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2.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3.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updateLinks="never" codeName="ThisWorkbook" hidePivotFieldList="1"/>
  <mc:AlternateContent xmlns:mc="http://schemas.openxmlformats.org/markup-compatibility/2006">
    <mc:Choice Requires="x15">
      <x15ac:absPath xmlns:x15ac="http://schemas.microsoft.com/office/spreadsheetml/2010/11/ac" url="https://pennineecological-my.sharepoint.com/personal/stuart_pennineecological_co_uk/Documents/2. Reports/1. BNG/2. March 2022/Goldthorpe Rotherham/FINAL Version 3/"/>
    </mc:Choice>
  </mc:AlternateContent>
  <xr:revisionPtr revIDLastSave="0" documentId="14_{5C3B8286-48AC-45AD-928F-41875AEF9264}" xr6:coauthVersionLast="47" xr6:coauthVersionMax="47" xr10:uidLastSave="{00000000-0000-0000-0000-000000000000}"/>
  <bookViews>
    <workbookView xWindow="-28920" yWindow="-120" windowWidth="29040" windowHeight="15840" tabRatio="741" firstSheet="5" activeTab="6" xr2:uid="{00000000-000D-0000-FFFF-FFFF00000000}"/>
  </bookViews>
  <sheets>
    <sheet name="Introduction" sheetId="101" r:id="rId1"/>
    <sheet name="Start" sheetId="96" r:id="rId2"/>
    <sheet name="Instructions" sheetId="89" r:id="rId3"/>
    <sheet name="Main Menu" sheetId="78" r:id="rId4"/>
    <sheet name="Results" sheetId="79" r:id="rId5"/>
    <sheet name="Headline Results" sheetId="73" r:id="rId6"/>
    <sheet name="Detailed Results" sheetId="36" r:id="rId7"/>
    <sheet name="Trading Summary" sheetId="72" r:id="rId8"/>
    <sheet name="A-1 Site Habitat Baseline" sheetId="11" r:id="rId9"/>
    <sheet name="A-2 Site Habitat Creation" sheetId="46" r:id="rId10"/>
    <sheet name="A-3 Site Habitat Enhancement" sheetId="32" r:id="rId11"/>
    <sheet name="D-1 Off Site Habitat Baseline" sheetId="59" r:id="rId12"/>
    <sheet name="D-2 Off Site Habitat Creation" sheetId="71" r:id="rId13"/>
    <sheet name="D-3 Off Site Habitat Enhancment" sheetId="50" r:id="rId14"/>
    <sheet name="B-1 Site Hedge Baseline" sheetId="52" r:id="rId15"/>
    <sheet name="B-2 Site Hedge Creation" sheetId="42" r:id="rId16"/>
    <sheet name="B-3 Site Hedge Enhancement" sheetId="53" r:id="rId17"/>
    <sheet name="E-1 Off Site Hedge Baseline" sheetId="55" r:id="rId18"/>
    <sheet name="E-2 Off Site Hedge Creation" sheetId="58" r:id="rId19"/>
    <sheet name="E-3 Off Site Hedge Enhancement" sheetId="57" r:id="rId20"/>
    <sheet name="C-1 Site River Baseline" sheetId="63" r:id="rId21"/>
    <sheet name="C-2 Site River Creation" sheetId="64" r:id="rId22"/>
    <sheet name="C-3 Site River Enhancement" sheetId="65" r:id="rId23"/>
    <sheet name="F-1 Off Site River Baseline" sheetId="67" r:id="rId24"/>
    <sheet name="F-2 Off Site River Creation" sheetId="68" r:id="rId25"/>
    <sheet name="F-3 Off Site River Enhancement" sheetId="69" r:id="rId26"/>
    <sheet name="G-1 All Habitats" sheetId="29" r:id="rId27"/>
    <sheet name="G-2 Habitat groups" sheetId="22" r:id="rId28"/>
    <sheet name="G-3 Multipliers" sheetId="28" r:id="rId29"/>
    <sheet name="G-4 Temporal multipliers" sheetId="20" r:id="rId30"/>
    <sheet name="G-5 Enhancement Temporal" sheetId="33" r:id="rId31"/>
    <sheet name="G-6 Hedgerow Data" sheetId="39" r:id="rId32"/>
    <sheet name="G-7 Rivers Data" sheetId="66" r:id="rId33"/>
    <sheet name="G-8 Condition Look up" sheetId="99" r:id="rId34"/>
    <sheet name="G-9 Translation Phase 1" sheetId="103" r:id="rId35"/>
    <sheet name="Technical Data" sheetId="95" r:id="rId36"/>
    <sheet name="Lists" sheetId="61" r:id="rId37"/>
  </sheets>
  <externalReferences>
    <externalReference r:id="rId38"/>
    <externalReference r:id="rId39"/>
    <externalReference r:id="rId40"/>
  </externalReferences>
  <definedNames>
    <definedName name="_xlnm._FilterDatabase" localSheetId="8" hidden="1">'A-1 Site Habitat Baseline'!$E$10:$Q$259</definedName>
    <definedName name="_xlnm._FilterDatabase" localSheetId="9" hidden="1">'A-2 Site Habitat Creation'!$F$10:$AA$257</definedName>
    <definedName name="_xlnm._FilterDatabase" localSheetId="10" hidden="1">'A-3 Site Habitat Enhancement'!$E$11:$AP$261</definedName>
    <definedName name="_xlnm._FilterDatabase" localSheetId="14" hidden="1">'B-1 Site Hedge Baseline'!$C$9:$N$258</definedName>
    <definedName name="_xlnm._FilterDatabase" localSheetId="15" hidden="1">'B-2 Site Hedge Creation'!$B$11:$S$11</definedName>
    <definedName name="_xlnm._FilterDatabase" localSheetId="16" hidden="1">'B-3 Site Hedge Enhancement'!$B$11:$AD$261</definedName>
    <definedName name="_xlnm._FilterDatabase" localSheetId="20" hidden="1">'C-1 Site River Baseline'!$C$9:$N$258</definedName>
    <definedName name="_xlnm._FilterDatabase" localSheetId="21" hidden="1">'C-2 Site River Creation'!$C$11:$X$261</definedName>
    <definedName name="_xlnm._FilterDatabase" localSheetId="22" hidden="1">'C-3 Site River Enhancement'!$B$11:$M$11</definedName>
    <definedName name="_xlnm._FilterDatabase" localSheetId="11" hidden="1">'D-1 Off Site Habitat Baseline'!$E$10:$Q$259</definedName>
    <definedName name="_xlnm._FilterDatabase" localSheetId="12" hidden="1">'D-2 Off Site Habitat Creation'!$F$10:$AC$10</definedName>
    <definedName name="_xlnm._FilterDatabase" localSheetId="13" hidden="1">'D-3 Off Site Habitat Enhancment'!$E$11:$AR$495</definedName>
    <definedName name="_xlnm._FilterDatabase" localSheetId="17" hidden="1">'E-1 Off Site Hedge Baseline'!$C$9:$N$258</definedName>
    <definedName name="_xlnm._FilterDatabase" localSheetId="18" hidden="1">'E-2 Off Site Hedge Creation'!$B$11:$U$11</definedName>
    <definedName name="_xlnm._FilterDatabase" localSheetId="19" hidden="1">'E-3 Off Site Hedge Enhancement'!$B$11:$AH$11</definedName>
    <definedName name="_xlnm._FilterDatabase" localSheetId="23" hidden="1">'F-1 Off Site River Baseline'!$C$9:$N$258</definedName>
    <definedName name="_xlnm._FilterDatabase" localSheetId="24" hidden="1">'F-2 Off Site River Creation'!$B$11:$AB$11</definedName>
    <definedName name="_xlnm._FilterDatabase" localSheetId="25" hidden="1">'F-3 Off Site River Enhancement'!$B$11:$AO$261</definedName>
    <definedName name="_xlnm._FilterDatabase" localSheetId="26" hidden="1">'G-1 All Habitats'!$B$2:$S$129</definedName>
    <definedName name="_xlnm._FilterDatabase" localSheetId="27" hidden="1">'G-2 Habitat groups'!$A$3:$R$78</definedName>
    <definedName name="_xlnm._FilterDatabase" localSheetId="28" hidden="1">'G-3 Multipliers'!$A$2:$E$121</definedName>
    <definedName name="_xlnm._FilterDatabase" localSheetId="29" hidden="1">'G-4 Temporal multipliers'!$F$3:$M$127</definedName>
    <definedName name="_xlnm._FilterDatabase" localSheetId="30" hidden="1">'G-5 Enhancement Temporal'!$C$3:$Y$131</definedName>
    <definedName name="_xlnm._FilterDatabase" localSheetId="33" hidden="1">'G-8 Condition Look up'!$A$3:$H$78</definedName>
    <definedName name="_xlnm._FilterDatabase" localSheetId="34" hidden="1">'G-9 Translation Phase 1'!$B$2:$D$150</definedName>
    <definedName name="_xlnm._FilterDatabase" localSheetId="36" hidden="1">Lists!$D$1:$D$156</definedName>
    <definedName name="_xlnm._FilterDatabase" localSheetId="7" hidden="1">'Trading Summary'!$B$12:$D$36</definedName>
    <definedName name="AllHabsSummaryData">'G-2 Habitat groups'!$A$3:$AF$130</definedName>
    <definedName name="BaselineHabOffsite">'D-1 Off Site Habitat Baseline'!$D$11:$X$258</definedName>
    <definedName name="BaselineHabSite">'A-1 Site Habitat Baseline'!$D$11:$X$258</definedName>
    <definedName name="baselineimage">Start!$D$31:$G$45</definedName>
    <definedName name="baselineimageOS" localSheetId="1">Start!$D$52:$G$57</definedName>
    <definedName name="Coastal_lagoons">'G-1 All Habitats'!$A$99</definedName>
    <definedName name="Coastal_saltmarsh">'G-1 All Habitats'!$A$108:$A$109</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3">'G-8 Condition Look up'!$B$3:$H$3</definedName>
    <definedName name="ConditionData" localSheetId="33">'G-8 Condition Look up'!$A$4:$H$99</definedName>
    <definedName name="ConditionHabitats" localSheetId="33">'G-8 Condition Look up'!$A$4:$A$125</definedName>
    <definedName name="Cropland">'G-1 All Habitats'!$A$3:$A$12</definedName>
    <definedName name="Difficulty">'G-3 Multipliers'!$P$3:$Q$6</definedName>
    <definedName name="EnhanceCondition">'G-5 Enhancement Temporal'!$C$4:$X$4</definedName>
    <definedName name="EnhanceHabitat">'G-5 Enhancement Temporal'!$C$4:$C$131</definedName>
    <definedName name="EnhanceTemporal">'G-5 Enhancement Temporal'!$C$4:$X$131</definedName>
    <definedName name="Grassland">'G-1 All Habitats'!$A$13:$A$25</definedName>
    <definedName name="Heathland_and_shrub">'G-1 All Habitats'!$A$26:$A$37</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tertidal_hard_structures">'G-1 All Habitats'!$A$127:$A$129</definedName>
    <definedName name="Intertidal_sediment">'G-1 All Habitats'!$A$110:$A$126</definedName>
    <definedName name="Lakes">'G-1 All Habitats'!$A$38:$A$48</definedName>
    <definedName name="LPAList">Lists!$A$1:$A$378</definedName>
    <definedName name="postdevelopmentimage">Start!$I$31:$O$45</definedName>
    <definedName name="postdevelopmentimageOS">Start!$I$52:$O$57</definedName>
    <definedName name="RetCatChecks">'A-1 Site Habitat Baseline'!$AE$11:$AH$258</definedName>
    <definedName name="riparianencroachment1">'G-7 Rivers Data'!$AA$4:$AA$6</definedName>
    <definedName name="riparianencroachment2">'G-7 Rivers Data'!$AA$7</definedName>
    <definedName name="Rivercond1">'G-7 Rivers Data'!$BB$3:$BB$7</definedName>
    <definedName name="Rivercond2">'G-7 Rivers Data'!$BC$3</definedName>
    <definedName name="RiverCondition">'G-7 Rivers Data'!$B$3:$X$3</definedName>
    <definedName name="RiverEnhanceTemporal">'G-7 Rivers Data'!$B$4:$X$12</definedName>
    <definedName name="RiverHabitat">'G-7 Rivers Data'!$B$4:$B$13</definedName>
    <definedName name="RiversEnhancment">'G-7 Rivers Data'!$O$3:$X$5</definedName>
    <definedName name="Rocky_shore">'G-1 All Habitats'!$A$100:$A$107</definedName>
    <definedName name="Sparsely_vegetated_land">'G-1 All Habitats'!$A$49:$A$56</definedName>
    <definedName name="TemporalConditions">'G-4 Temporal multipliers'!$F$3:$M$3</definedName>
    <definedName name="TemporalData">'G-4 Temporal multipliers'!$F$3:$M$130</definedName>
    <definedName name="TemporalHabitats">'G-4 Temporal multipliers'!$F$3:$F$130</definedName>
    <definedName name="TemporalMultipliers">'G-4 Temporal multipliers'!$A$4:$C$36</definedName>
    <definedName name="Urban">'G-1 All Habitats'!$A$57:$A$77</definedName>
    <definedName name="Wetland">'G-1 All Habitats'!$A$78:$A$85</definedName>
    <definedName name="Woodland_and_forest">'G-1 All Habitats'!$A$86:$A$98</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7" i="72" l="1"/>
  <c r="B107" i="72"/>
  <c r="X256" i="7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19" i="71"/>
  <c r="X18" i="71"/>
  <c r="X17" i="71"/>
  <c r="X16" i="71"/>
  <c r="X15" i="71"/>
  <c r="X14" i="71"/>
  <c r="X13" i="71"/>
  <c r="X12" i="71"/>
  <c r="X11"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3"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X25" i="46"/>
  <c r="X24" i="46"/>
  <c r="X23" i="46"/>
  <c r="X22" i="46"/>
  <c r="X21" i="46"/>
  <c r="X20" i="46"/>
  <c r="X19" i="46"/>
  <c r="X18" i="46"/>
  <c r="X17" i="46"/>
  <c r="X12" i="59"/>
  <c r="X13" i="59"/>
  <c r="X14" i="59"/>
  <c r="X15" i="59"/>
  <c r="X16" i="59"/>
  <c r="X17" i="59"/>
  <c r="X18" i="59"/>
  <c r="X19" i="59"/>
  <c r="X20" i="59"/>
  <c r="X21" i="59"/>
  <c r="X22" i="59"/>
  <c r="X23" i="59"/>
  <c r="X24" i="59"/>
  <c r="X25" i="59"/>
  <c r="X26" i="59"/>
  <c r="X27" i="59"/>
  <c r="X28" i="59"/>
  <c r="X29" i="59"/>
  <c r="X30" i="59"/>
  <c r="X31" i="59"/>
  <c r="X32" i="59"/>
  <c r="X33" i="59"/>
  <c r="X34" i="59"/>
  <c r="X35" i="59"/>
  <c r="X36" i="59"/>
  <c r="X37" i="59"/>
  <c r="X38" i="59"/>
  <c r="X39" i="59"/>
  <c r="X40" i="59"/>
  <c r="X41" i="59"/>
  <c r="X42" i="59"/>
  <c r="X43" i="59"/>
  <c r="X44" i="59"/>
  <c r="X45" i="59"/>
  <c r="X46" i="59"/>
  <c r="X47" i="59"/>
  <c r="X48" i="59"/>
  <c r="X49" i="59"/>
  <c r="X50" i="59"/>
  <c r="X51" i="59"/>
  <c r="X52" i="59"/>
  <c r="X53" i="59"/>
  <c r="X54" i="59"/>
  <c r="X55" i="59"/>
  <c r="X56" i="59"/>
  <c r="X57" i="59"/>
  <c r="X58" i="59"/>
  <c r="X59" i="59"/>
  <c r="X60" i="59"/>
  <c r="X61" i="59"/>
  <c r="X62" i="59"/>
  <c r="X63" i="59"/>
  <c r="X64" i="59"/>
  <c r="X65" i="59"/>
  <c r="X66" i="59"/>
  <c r="X67" i="59"/>
  <c r="X68" i="59"/>
  <c r="X69" i="59"/>
  <c r="X70" i="59"/>
  <c r="X71" i="59"/>
  <c r="X72" i="59"/>
  <c r="X73" i="59"/>
  <c r="X74" i="59"/>
  <c r="X75" i="59"/>
  <c r="X76" i="59"/>
  <c r="X77" i="59"/>
  <c r="X78" i="59"/>
  <c r="X79" i="59"/>
  <c r="X80" i="59"/>
  <c r="X81" i="59"/>
  <c r="X82" i="59"/>
  <c r="X83" i="59"/>
  <c r="X84" i="59"/>
  <c r="X85" i="59"/>
  <c r="X86" i="59"/>
  <c r="X87" i="59"/>
  <c r="X88" i="59"/>
  <c r="X89" i="59"/>
  <c r="X90" i="59"/>
  <c r="X91" i="59"/>
  <c r="X92" i="59"/>
  <c r="X93" i="59"/>
  <c r="X94" i="59"/>
  <c r="X95" i="59"/>
  <c r="X96" i="59"/>
  <c r="X97" i="59"/>
  <c r="X98" i="59"/>
  <c r="X99" i="59"/>
  <c r="X100" i="59"/>
  <c r="X101" i="59"/>
  <c r="X102" i="59"/>
  <c r="X103" i="59"/>
  <c r="X104" i="59"/>
  <c r="X105" i="59"/>
  <c r="X106" i="59"/>
  <c r="X107" i="59"/>
  <c r="X108" i="59"/>
  <c r="X109" i="59"/>
  <c r="X110" i="59"/>
  <c r="X111" i="59"/>
  <c r="X112" i="59"/>
  <c r="X113" i="59"/>
  <c r="X114" i="59"/>
  <c r="X115" i="59"/>
  <c r="X116" i="59"/>
  <c r="X117" i="59"/>
  <c r="X118" i="59"/>
  <c r="X119" i="59"/>
  <c r="X120" i="59"/>
  <c r="X121" i="59"/>
  <c r="X122" i="59"/>
  <c r="X123" i="59"/>
  <c r="X124" i="59"/>
  <c r="X125" i="59"/>
  <c r="X126" i="59"/>
  <c r="X127" i="59"/>
  <c r="X128" i="59"/>
  <c r="X129" i="59"/>
  <c r="X130" i="59"/>
  <c r="X131" i="59"/>
  <c r="X132" i="59"/>
  <c r="X133" i="59"/>
  <c r="X134" i="59"/>
  <c r="X135" i="59"/>
  <c r="X136" i="59"/>
  <c r="X137" i="59"/>
  <c r="X138" i="59"/>
  <c r="X139" i="59"/>
  <c r="X140" i="59"/>
  <c r="X141" i="59"/>
  <c r="X142" i="59"/>
  <c r="X143" i="59"/>
  <c r="X144" i="59"/>
  <c r="X145" i="59"/>
  <c r="X146" i="59"/>
  <c r="X147" i="59"/>
  <c r="X148" i="59"/>
  <c r="X149" i="59"/>
  <c r="X150" i="59"/>
  <c r="X151" i="59"/>
  <c r="X152" i="59"/>
  <c r="X153" i="59"/>
  <c r="X154" i="59"/>
  <c r="X155" i="59"/>
  <c r="X156" i="59"/>
  <c r="X157" i="59"/>
  <c r="X158" i="59"/>
  <c r="X159" i="59"/>
  <c r="X160" i="59"/>
  <c r="X161" i="59"/>
  <c r="X162" i="59"/>
  <c r="X163" i="59"/>
  <c r="X164" i="59"/>
  <c r="X165" i="59"/>
  <c r="X166" i="59"/>
  <c r="X167" i="59"/>
  <c r="X168" i="59"/>
  <c r="X169" i="59"/>
  <c r="X170" i="59"/>
  <c r="X171" i="59"/>
  <c r="X172" i="59"/>
  <c r="X173" i="59"/>
  <c r="X174" i="59"/>
  <c r="X175" i="59"/>
  <c r="X176" i="59"/>
  <c r="X177" i="59"/>
  <c r="X178" i="59"/>
  <c r="X179" i="59"/>
  <c r="X180" i="59"/>
  <c r="X181" i="59"/>
  <c r="X182" i="59"/>
  <c r="X183" i="59"/>
  <c r="X184" i="59"/>
  <c r="X185" i="59"/>
  <c r="X186" i="59"/>
  <c r="X187" i="59"/>
  <c r="X188" i="59"/>
  <c r="X189" i="59"/>
  <c r="X190" i="59"/>
  <c r="X191" i="59"/>
  <c r="X192" i="59"/>
  <c r="X193" i="59"/>
  <c r="X194" i="59"/>
  <c r="X195" i="59"/>
  <c r="X196" i="59"/>
  <c r="X197" i="59"/>
  <c r="X198" i="59"/>
  <c r="X199" i="59"/>
  <c r="X200" i="59"/>
  <c r="X201" i="59"/>
  <c r="X202" i="59"/>
  <c r="X203" i="59"/>
  <c r="X204" i="59"/>
  <c r="X205" i="59"/>
  <c r="X206" i="59"/>
  <c r="X207" i="59"/>
  <c r="X208" i="59"/>
  <c r="X209" i="59"/>
  <c r="X210" i="59"/>
  <c r="X211" i="59"/>
  <c r="X212" i="59"/>
  <c r="X213" i="59"/>
  <c r="X214" i="59"/>
  <c r="X215" i="59"/>
  <c r="X216" i="59"/>
  <c r="X217" i="59"/>
  <c r="X218" i="59"/>
  <c r="X219" i="59"/>
  <c r="X220" i="59"/>
  <c r="X221" i="59"/>
  <c r="X222" i="59"/>
  <c r="X223" i="59"/>
  <c r="X224" i="59"/>
  <c r="X225" i="59"/>
  <c r="X226" i="59"/>
  <c r="X227" i="59"/>
  <c r="X228" i="59"/>
  <c r="X229" i="59"/>
  <c r="X230" i="59"/>
  <c r="X231" i="59"/>
  <c r="X232" i="59"/>
  <c r="X233" i="59"/>
  <c r="X234" i="59"/>
  <c r="X235" i="59"/>
  <c r="X236" i="59"/>
  <c r="X237" i="59"/>
  <c r="X238" i="59"/>
  <c r="X239" i="59"/>
  <c r="X240" i="59"/>
  <c r="X241" i="59"/>
  <c r="X242" i="59"/>
  <c r="X243" i="59"/>
  <c r="X244" i="59"/>
  <c r="X245" i="59"/>
  <c r="X246" i="59"/>
  <c r="X247" i="59"/>
  <c r="X248" i="59"/>
  <c r="X249" i="59"/>
  <c r="X250" i="59"/>
  <c r="X251" i="59"/>
  <c r="X252" i="59"/>
  <c r="X253" i="59"/>
  <c r="X254" i="59"/>
  <c r="X255" i="59"/>
  <c r="X256" i="59"/>
  <c r="X257" i="59"/>
  <c r="X258" i="59"/>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R172" i="58"/>
  <c r="R228" i="58"/>
  <c r="R236" i="58"/>
  <c r="O13" i="58"/>
  <c r="O14" i="58"/>
  <c r="O15" i="58"/>
  <c r="O16" i="58"/>
  <c r="O17" i="58"/>
  <c r="O18" i="58"/>
  <c r="O19" i="58"/>
  <c r="O20" i="58"/>
  <c r="O21" i="58"/>
  <c r="O22" i="58"/>
  <c r="O23" i="58"/>
  <c r="O24" i="58"/>
  <c r="O25" i="58"/>
  <c r="O26" i="58"/>
  <c r="O27" i="58"/>
  <c r="O28" i="58"/>
  <c r="O29" i="58"/>
  <c r="O30" i="58"/>
  <c r="O31" i="58"/>
  <c r="O32" i="58"/>
  <c r="O33" i="58"/>
  <c r="O34" i="58"/>
  <c r="O35" i="58"/>
  <c r="O36" i="58"/>
  <c r="R36" i="58" s="1"/>
  <c r="O37" i="58"/>
  <c r="O38" i="58"/>
  <c r="O39" i="58"/>
  <c r="O40" i="58"/>
  <c r="O41" i="58"/>
  <c r="O42" i="58"/>
  <c r="O43" i="58"/>
  <c r="O44" i="58"/>
  <c r="O45" i="58"/>
  <c r="O46" i="58"/>
  <c r="O47" i="58"/>
  <c r="O48" i="58"/>
  <c r="O49" i="58"/>
  <c r="O50" i="58"/>
  <c r="O51" i="58"/>
  <c r="O52" i="58"/>
  <c r="O53" i="58"/>
  <c r="O54" i="58"/>
  <c r="O55" i="58"/>
  <c r="O56" i="58"/>
  <c r="O57" i="58"/>
  <c r="O58" i="58"/>
  <c r="O59" i="58"/>
  <c r="O60" i="58"/>
  <c r="O61" i="58"/>
  <c r="O62" i="58"/>
  <c r="O63" i="58"/>
  <c r="O64" i="58"/>
  <c r="O65" i="58"/>
  <c r="O66" i="58"/>
  <c r="O67" i="58"/>
  <c r="O68" i="58"/>
  <c r="O69" i="58"/>
  <c r="O70" i="58"/>
  <c r="O71" i="58"/>
  <c r="O72" i="58"/>
  <c r="O73" i="58"/>
  <c r="O74" i="58"/>
  <c r="O75" i="58"/>
  <c r="O76" i="58"/>
  <c r="O77" i="58"/>
  <c r="O78" i="58"/>
  <c r="O79" i="58"/>
  <c r="O80" i="58"/>
  <c r="O81" i="58"/>
  <c r="O82" i="58"/>
  <c r="O83" i="58"/>
  <c r="O84" i="58"/>
  <c r="O85" i="58"/>
  <c r="O86" i="58"/>
  <c r="O87" i="58"/>
  <c r="O88" i="58"/>
  <c r="O89" i="58"/>
  <c r="O90" i="58"/>
  <c r="O91" i="58"/>
  <c r="O92" i="58"/>
  <c r="O93" i="58"/>
  <c r="O94" i="58"/>
  <c r="O95" i="58"/>
  <c r="O96" i="58"/>
  <c r="O97" i="58"/>
  <c r="O98" i="58"/>
  <c r="O99" i="58"/>
  <c r="O100" i="58"/>
  <c r="R100" i="58" s="1"/>
  <c r="O101" i="58"/>
  <c r="O102" i="58"/>
  <c r="O103" i="58"/>
  <c r="O104" i="58"/>
  <c r="O105" i="58"/>
  <c r="O106" i="58"/>
  <c r="O107" i="58"/>
  <c r="O108" i="58"/>
  <c r="O109" i="58"/>
  <c r="O110" i="58"/>
  <c r="O111" i="58"/>
  <c r="O112" i="58"/>
  <c r="O113" i="58"/>
  <c r="O114" i="58"/>
  <c r="O115" i="58"/>
  <c r="O116" i="58"/>
  <c r="O117" i="58"/>
  <c r="O118" i="58"/>
  <c r="O119" i="58"/>
  <c r="O120" i="58"/>
  <c r="O121" i="58"/>
  <c r="O122" i="58"/>
  <c r="O123" i="58"/>
  <c r="O124" i="58"/>
  <c r="O125" i="58"/>
  <c r="O126" i="58"/>
  <c r="O127" i="58"/>
  <c r="O128" i="58"/>
  <c r="O129" i="58"/>
  <c r="O130" i="58"/>
  <c r="O131" i="58"/>
  <c r="O132" i="58"/>
  <c r="O133" i="58"/>
  <c r="O134" i="58"/>
  <c r="R134" i="58" s="1"/>
  <c r="O135" i="58"/>
  <c r="O136" i="58"/>
  <c r="O137" i="58"/>
  <c r="O138" i="58"/>
  <c r="O139" i="58"/>
  <c r="O140" i="58"/>
  <c r="O141" i="58"/>
  <c r="O142" i="58"/>
  <c r="O143" i="58"/>
  <c r="O144" i="58"/>
  <c r="O145" i="58"/>
  <c r="O146" i="58"/>
  <c r="O147" i="58"/>
  <c r="O148" i="58"/>
  <c r="O149" i="58"/>
  <c r="O150" i="58"/>
  <c r="R150" i="58" s="1"/>
  <c r="O151" i="58"/>
  <c r="O152" i="58"/>
  <c r="O153" i="58"/>
  <c r="O154" i="58"/>
  <c r="O155" i="58"/>
  <c r="O156" i="58"/>
  <c r="O157" i="58"/>
  <c r="O158" i="58"/>
  <c r="O159" i="58"/>
  <c r="O160" i="58"/>
  <c r="O161" i="58"/>
  <c r="O162" i="58"/>
  <c r="O163" i="58"/>
  <c r="O164" i="58"/>
  <c r="R164" i="58" s="1"/>
  <c r="O165" i="58"/>
  <c r="O166" i="58"/>
  <c r="O167" i="58"/>
  <c r="O168" i="58"/>
  <c r="O169" i="58"/>
  <c r="O170" i="58"/>
  <c r="O171" i="58"/>
  <c r="O172" i="58"/>
  <c r="O173" i="58"/>
  <c r="O174" i="58"/>
  <c r="O175" i="58"/>
  <c r="O176" i="58"/>
  <c r="O177" i="58"/>
  <c r="O178" i="58"/>
  <c r="O179" i="58"/>
  <c r="O180" i="58"/>
  <c r="O181" i="58"/>
  <c r="O182" i="58"/>
  <c r="O183" i="58"/>
  <c r="O184" i="58"/>
  <c r="O185" i="58"/>
  <c r="O186" i="58"/>
  <c r="O187" i="58"/>
  <c r="O188" i="58"/>
  <c r="O189" i="58"/>
  <c r="O190" i="58"/>
  <c r="O191" i="58"/>
  <c r="O192" i="58"/>
  <c r="O193" i="58"/>
  <c r="O194" i="58"/>
  <c r="O195" i="58"/>
  <c r="O196" i="58"/>
  <c r="R196" i="58" s="1"/>
  <c r="O197" i="58"/>
  <c r="O198" i="58"/>
  <c r="O199" i="58"/>
  <c r="O200" i="58"/>
  <c r="O201" i="58"/>
  <c r="O202" i="58"/>
  <c r="O203" i="58"/>
  <c r="O204" i="58"/>
  <c r="R204" i="58" s="1"/>
  <c r="O205" i="58"/>
  <c r="O206" i="58"/>
  <c r="O207" i="58"/>
  <c r="O208" i="58"/>
  <c r="O209" i="58"/>
  <c r="O210" i="58"/>
  <c r="O211" i="58"/>
  <c r="O212" i="58"/>
  <c r="R212" i="58" s="1"/>
  <c r="O213" i="58"/>
  <c r="O214" i="58"/>
  <c r="O215" i="58"/>
  <c r="O216" i="58"/>
  <c r="O217" i="58"/>
  <c r="O218" i="58"/>
  <c r="O219" i="58"/>
  <c r="O220" i="58"/>
  <c r="R220" i="58" s="1"/>
  <c r="O221" i="58"/>
  <c r="O222" i="58"/>
  <c r="O223" i="58"/>
  <c r="O224" i="58"/>
  <c r="O225" i="58"/>
  <c r="O226" i="58"/>
  <c r="O227" i="58"/>
  <c r="O228" i="58"/>
  <c r="O229" i="58"/>
  <c r="O230" i="58"/>
  <c r="O231" i="58"/>
  <c r="O232" i="58"/>
  <c r="O233" i="58"/>
  <c r="O234" i="58"/>
  <c r="O235" i="58"/>
  <c r="O236" i="58"/>
  <c r="O237" i="58"/>
  <c r="O238" i="58"/>
  <c r="O239" i="58"/>
  <c r="O240" i="58"/>
  <c r="O241" i="58"/>
  <c r="O242" i="58"/>
  <c r="O243" i="58"/>
  <c r="O244" i="58"/>
  <c r="O245" i="58"/>
  <c r="O246" i="58"/>
  <c r="O247" i="58"/>
  <c r="O248" i="58"/>
  <c r="O249" i="58"/>
  <c r="O250" i="58"/>
  <c r="O251" i="58"/>
  <c r="O252" i="58"/>
  <c r="O253" i="58"/>
  <c r="O254" i="58"/>
  <c r="O255" i="58"/>
  <c r="O256" i="58"/>
  <c r="O257" i="58"/>
  <c r="O258" i="58"/>
  <c r="O259" i="58"/>
  <c r="O12" i="58"/>
  <c r="N12" i="58"/>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9" i="58"/>
  <c r="N256" i="58"/>
  <c r="N257" i="58"/>
  <c r="N258" i="58"/>
  <c r="N255" i="58"/>
  <c r="A12" i="11"/>
  <c r="C128" i="72"/>
  <c r="B128" i="72"/>
  <c r="AL12" i="69"/>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X12"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W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W12" i="68"/>
  <c r="S14" i="68"/>
  <c r="S15" i="68"/>
  <c r="S16" i="68"/>
  <c r="S17" i="68"/>
  <c r="S18" i="68"/>
  <c r="S19" i="68"/>
  <c r="S20" i="68"/>
  <c r="S21"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J12" i="68"/>
  <c r="S146" i="58" l="1"/>
  <c r="V146" i="58" s="1"/>
  <c r="S256" i="58"/>
  <c r="V256" i="58" s="1"/>
  <c r="S192" i="58"/>
  <c r="V192" i="58" s="1"/>
  <c r="S114" i="58"/>
  <c r="V114" i="58" s="1"/>
  <c r="S239" i="58"/>
  <c r="V239" i="58" s="1"/>
  <c r="S175" i="58"/>
  <c r="V175" i="58" s="1"/>
  <c r="S226" i="58"/>
  <c r="V226" i="58" s="1"/>
  <c r="S185" i="58"/>
  <c r="V185" i="58" s="1"/>
  <c r="S150" i="58"/>
  <c r="V150" i="58" s="1"/>
  <c r="S134" i="58"/>
  <c r="V134" i="58" s="1"/>
  <c r="S102" i="58"/>
  <c r="V102" i="58" s="1"/>
  <c r="R114" i="58"/>
  <c r="S177" i="58"/>
  <c r="V177" i="58" s="1"/>
  <c r="S221" i="58"/>
  <c r="V221" i="58" s="1"/>
  <c r="R94" i="58"/>
  <c r="S209" i="58"/>
  <c r="V209" i="58" s="1"/>
  <c r="S236" i="58"/>
  <c r="V236" i="58" s="1"/>
  <c r="S228" i="58"/>
  <c r="V228" i="58" s="1"/>
  <c r="S220" i="58"/>
  <c r="V220" i="58" s="1"/>
  <c r="S212" i="58"/>
  <c r="V212" i="58" s="1"/>
  <c r="S204" i="58"/>
  <c r="V204" i="58" s="1"/>
  <c r="S196" i="58"/>
  <c r="V196" i="58" s="1"/>
  <c r="S172" i="58"/>
  <c r="V172" i="58" s="1"/>
  <c r="R252" i="58"/>
  <c r="R188" i="58"/>
  <c r="S188" i="58" s="1"/>
  <c r="V188" i="58" s="1"/>
  <c r="R57" i="58"/>
  <c r="S57" i="58" s="1"/>
  <c r="V57" i="58" s="1"/>
  <c r="R162" i="58"/>
  <c r="S259" i="58"/>
  <c r="V259" i="58" s="1"/>
  <c r="S195" i="58"/>
  <c r="V195" i="58" s="1"/>
  <c r="R244" i="58"/>
  <c r="S244" i="58" s="1"/>
  <c r="V244" i="58" s="1"/>
  <c r="R180" i="58"/>
  <c r="S100" i="58"/>
  <c r="V100" i="58" s="1"/>
  <c r="R141" i="58"/>
  <c r="S141" i="58" s="1"/>
  <c r="V141" i="58" s="1"/>
  <c r="R119" i="58"/>
  <c r="S119" i="58" s="1"/>
  <c r="V119" i="58" s="1"/>
  <c r="R111" i="58"/>
  <c r="R103" i="58"/>
  <c r="R95" i="58"/>
  <c r="S95" i="58" s="1"/>
  <c r="V95" i="58" s="1"/>
  <c r="R87" i="58"/>
  <c r="S87" i="58" s="1"/>
  <c r="V87" i="58" s="1"/>
  <c r="R79" i="58"/>
  <c r="R71" i="58"/>
  <c r="R63" i="58"/>
  <c r="S63" i="58" s="1"/>
  <c r="V63" i="58" s="1"/>
  <c r="R55" i="58"/>
  <c r="S55" i="58" s="1"/>
  <c r="V55" i="58" s="1"/>
  <c r="R47" i="58"/>
  <c r="R39" i="58"/>
  <c r="R31" i="58"/>
  <c r="S31" i="58" s="1"/>
  <c r="V31" i="58" s="1"/>
  <c r="R23" i="58"/>
  <c r="S23" i="58" s="1"/>
  <c r="V23" i="58" s="1"/>
  <c r="R15" i="58"/>
  <c r="R254" i="58"/>
  <c r="R246" i="58"/>
  <c r="R238" i="58"/>
  <c r="R230" i="58"/>
  <c r="R222" i="58"/>
  <c r="R214" i="58"/>
  <c r="R206" i="58"/>
  <c r="R198" i="58"/>
  <c r="R190" i="58"/>
  <c r="R182" i="58"/>
  <c r="R174" i="58"/>
  <c r="R166" i="58"/>
  <c r="S166" i="58" s="1"/>
  <c r="V166" i="58" s="1"/>
  <c r="R153" i="58"/>
  <c r="S153" i="58" s="1"/>
  <c r="V153" i="58" s="1"/>
  <c r="R137" i="58"/>
  <c r="R121" i="58"/>
  <c r="S121" i="58" s="1"/>
  <c r="V121" i="58" s="1"/>
  <c r="R98" i="58"/>
  <c r="R73" i="58"/>
  <c r="S86" i="58"/>
  <c r="V86" i="58" s="1"/>
  <c r="R86" i="58"/>
  <c r="S78" i="58"/>
  <c r="V78" i="58" s="1"/>
  <c r="R78" i="58"/>
  <c r="S70" i="58"/>
  <c r="V70" i="58" s="1"/>
  <c r="R70" i="58"/>
  <c r="S62" i="58"/>
  <c r="V62" i="58" s="1"/>
  <c r="R62" i="58"/>
  <c r="S54" i="58"/>
  <c r="V54" i="58" s="1"/>
  <c r="R54" i="58"/>
  <c r="S46" i="58"/>
  <c r="V46" i="58" s="1"/>
  <c r="R46" i="58"/>
  <c r="S38" i="58"/>
  <c r="V38" i="58" s="1"/>
  <c r="R38" i="58"/>
  <c r="S30" i="58"/>
  <c r="V30" i="58" s="1"/>
  <c r="R30" i="58"/>
  <c r="S22" i="58"/>
  <c r="V22" i="58" s="1"/>
  <c r="R22" i="58"/>
  <c r="S14" i="58"/>
  <c r="V14" i="58" s="1"/>
  <c r="R14" i="58"/>
  <c r="R253" i="58"/>
  <c r="S253" i="58" s="1"/>
  <c r="V253" i="58" s="1"/>
  <c r="R245" i="58"/>
  <c r="S245" i="58" s="1"/>
  <c r="V245" i="58" s="1"/>
  <c r="R237" i="58"/>
  <c r="S237" i="58" s="1"/>
  <c r="V237" i="58" s="1"/>
  <c r="R229" i="58"/>
  <c r="S229" i="58" s="1"/>
  <c r="V229" i="58" s="1"/>
  <c r="R221" i="58"/>
  <c r="R213" i="58"/>
  <c r="R205" i="58"/>
  <c r="R197" i="58"/>
  <c r="S197" i="58" s="1"/>
  <c r="V197" i="58" s="1"/>
  <c r="R189" i="58"/>
  <c r="S189" i="58" s="1"/>
  <c r="V189" i="58" s="1"/>
  <c r="R181" i="58"/>
  <c r="S181" i="58" s="1"/>
  <c r="V181" i="58" s="1"/>
  <c r="R173" i="58"/>
  <c r="S173" i="58" s="1"/>
  <c r="V173" i="58" s="1"/>
  <c r="R165" i="58"/>
  <c r="S165" i="58" s="1"/>
  <c r="V165" i="58" s="1"/>
  <c r="R151" i="58"/>
  <c r="R135" i="58"/>
  <c r="R118" i="58"/>
  <c r="S118" i="58" s="1"/>
  <c r="V118" i="58" s="1"/>
  <c r="R97" i="58"/>
  <c r="S97" i="58" s="1"/>
  <c r="V97" i="58" s="1"/>
  <c r="R65" i="58"/>
  <c r="S65" i="58" s="1"/>
  <c r="V65" i="58" s="1"/>
  <c r="S164" i="58"/>
  <c r="V164" i="58" s="1"/>
  <c r="R117" i="58"/>
  <c r="S77" i="58"/>
  <c r="V77" i="58" s="1"/>
  <c r="R77" i="58"/>
  <c r="S61" i="58"/>
  <c r="V61" i="58" s="1"/>
  <c r="R61" i="58"/>
  <c r="S29" i="58"/>
  <c r="V29" i="58" s="1"/>
  <c r="R29" i="58"/>
  <c r="T228" i="58"/>
  <c r="T164" i="58"/>
  <c r="R156" i="58"/>
  <c r="S156" i="58" s="1"/>
  <c r="V156" i="58" s="1"/>
  <c r="R148" i="58"/>
  <c r="S148" i="58" s="1"/>
  <c r="V148" i="58" s="1"/>
  <c r="R140" i="58"/>
  <c r="S140" i="58" s="1"/>
  <c r="V140" i="58" s="1"/>
  <c r="R132" i="58"/>
  <c r="S132" i="58"/>
  <c r="V132" i="58" s="1"/>
  <c r="S124" i="58"/>
  <c r="V124" i="58" s="1"/>
  <c r="R124" i="58"/>
  <c r="S116" i="58"/>
  <c r="V116" i="58" s="1"/>
  <c r="R116" i="58"/>
  <c r="S108" i="58"/>
  <c r="V108" i="58" s="1"/>
  <c r="R108" i="58"/>
  <c r="T100" i="58"/>
  <c r="R92" i="58"/>
  <c r="S92" i="58" s="1"/>
  <c r="V92" i="58" s="1"/>
  <c r="R84" i="58"/>
  <c r="S84" i="58"/>
  <c r="V84" i="58" s="1"/>
  <c r="R76" i="58"/>
  <c r="S76" i="58" s="1"/>
  <c r="V76" i="58" s="1"/>
  <c r="R68" i="58"/>
  <c r="S68" i="58"/>
  <c r="V68" i="58" s="1"/>
  <c r="S60" i="58"/>
  <c r="V60" i="58" s="1"/>
  <c r="R60" i="58"/>
  <c r="R52" i="58"/>
  <c r="S52" i="58" s="1"/>
  <c r="V52" i="58" s="1"/>
  <c r="S44" i="58"/>
  <c r="V44" i="58" s="1"/>
  <c r="R44" i="58"/>
  <c r="R28" i="58"/>
  <c r="S28" i="58"/>
  <c r="V28" i="58" s="1"/>
  <c r="R20" i="58"/>
  <c r="S20" i="58" s="1"/>
  <c r="V20" i="58" s="1"/>
  <c r="R259" i="58"/>
  <c r="R251" i="58"/>
  <c r="R243" i="58"/>
  <c r="S243" i="58" s="1"/>
  <c r="V243" i="58" s="1"/>
  <c r="R235" i="58"/>
  <c r="S235" i="58" s="1"/>
  <c r="V235" i="58" s="1"/>
  <c r="R227" i="58"/>
  <c r="S227" i="58" s="1"/>
  <c r="V227" i="58" s="1"/>
  <c r="R219" i="58"/>
  <c r="S219" i="58" s="1"/>
  <c r="V219" i="58" s="1"/>
  <c r="R211" i="58"/>
  <c r="S211" i="58" s="1"/>
  <c r="V211" i="58" s="1"/>
  <c r="R203" i="58"/>
  <c r="S203" i="58" s="1"/>
  <c r="V203" i="58" s="1"/>
  <c r="R195" i="58"/>
  <c r="R187" i="58"/>
  <c r="R179" i="58"/>
  <c r="S179" i="58" s="1"/>
  <c r="V179" i="58" s="1"/>
  <c r="R171" i="58"/>
  <c r="S171" i="58" s="1"/>
  <c r="V171" i="58" s="1"/>
  <c r="R161" i="58"/>
  <c r="R146" i="58"/>
  <c r="R130" i="58"/>
  <c r="R113" i="58"/>
  <c r="R90" i="58"/>
  <c r="R49" i="58"/>
  <c r="S49" i="58" s="1"/>
  <c r="V49" i="58" s="1"/>
  <c r="S36" i="58"/>
  <c r="V36" i="58" s="1"/>
  <c r="S149" i="58"/>
  <c r="V149" i="58" s="1"/>
  <c r="R149" i="58"/>
  <c r="R125" i="58"/>
  <c r="R101" i="58"/>
  <c r="S101" i="58" s="1"/>
  <c r="V101" i="58" s="1"/>
  <c r="S69" i="58"/>
  <c r="V69" i="58" s="1"/>
  <c r="R69" i="58"/>
  <c r="S37" i="58"/>
  <c r="V37" i="58" s="1"/>
  <c r="R37" i="58"/>
  <c r="R163" i="58"/>
  <c r="R155" i="58"/>
  <c r="S155" i="58" s="1"/>
  <c r="V155" i="58" s="1"/>
  <c r="S147" i="58"/>
  <c r="V147" i="58" s="1"/>
  <c r="R147" i="58"/>
  <c r="S139" i="58"/>
  <c r="V139" i="58" s="1"/>
  <c r="R139" i="58"/>
  <c r="R131" i="58"/>
  <c r="R123" i="58"/>
  <c r="S123" i="58" s="1"/>
  <c r="V123" i="58" s="1"/>
  <c r="S115" i="58"/>
  <c r="V115" i="58" s="1"/>
  <c r="R115" i="58"/>
  <c r="S107" i="58"/>
  <c r="V107" i="58" s="1"/>
  <c r="R107" i="58"/>
  <c r="R99" i="58"/>
  <c r="R91" i="58"/>
  <c r="S83" i="58"/>
  <c r="V83" i="58" s="1"/>
  <c r="R83" i="58"/>
  <c r="S75" i="58"/>
  <c r="V75" i="58" s="1"/>
  <c r="R75" i="58"/>
  <c r="R67" i="58"/>
  <c r="R59" i="58"/>
  <c r="S51" i="58"/>
  <c r="V51" i="58" s="1"/>
  <c r="R51" i="58"/>
  <c r="S43" i="58"/>
  <c r="V43" i="58" s="1"/>
  <c r="R43" i="58"/>
  <c r="R35" i="58"/>
  <c r="R27" i="58"/>
  <c r="S19" i="58"/>
  <c r="V19" i="58" s="1"/>
  <c r="R19" i="58"/>
  <c r="R258" i="58"/>
  <c r="S258" i="58" s="1"/>
  <c r="V258" i="58" s="1"/>
  <c r="R250" i="58"/>
  <c r="S250" i="58" s="1"/>
  <c r="V250" i="58" s="1"/>
  <c r="R242" i="58"/>
  <c r="R234" i="58"/>
  <c r="R226" i="58"/>
  <c r="R218" i="58"/>
  <c r="R210" i="58"/>
  <c r="S210" i="58" s="1"/>
  <c r="V210" i="58" s="1"/>
  <c r="R202" i="58"/>
  <c r="S202" i="58" s="1"/>
  <c r="V202" i="58" s="1"/>
  <c r="R194" i="58"/>
  <c r="S194" i="58" s="1"/>
  <c r="V194" i="58" s="1"/>
  <c r="R186" i="58"/>
  <c r="R178" i="58"/>
  <c r="R170" i="58"/>
  <c r="R159" i="58"/>
  <c r="R145" i="58"/>
  <c r="R129" i="58"/>
  <c r="R110" i="58"/>
  <c r="S110" i="58" s="1"/>
  <c r="V110" i="58" s="1"/>
  <c r="R89" i="58"/>
  <c r="S89" i="58" s="1"/>
  <c r="V89" i="58" s="1"/>
  <c r="R41" i="58"/>
  <c r="R93" i="58"/>
  <c r="R66" i="58"/>
  <c r="S58" i="58"/>
  <c r="V58" i="58" s="1"/>
  <c r="R58" i="58"/>
  <c r="S50" i="58"/>
  <c r="V50" i="58" s="1"/>
  <c r="R50" i="58"/>
  <c r="R42" i="58"/>
  <c r="R34" i="58"/>
  <c r="S26" i="58"/>
  <c r="V26" i="58" s="1"/>
  <c r="R26" i="58"/>
  <c r="S18" i="58"/>
  <c r="V18" i="58" s="1"/>
  <c r="R18" i="58"/>
  <c r="R257" i="58"/>
  <c r="S257" i="58" s="1"/>
  <c r="V257" i="58" s="1"/>
  <c r="R249" i="58"/>
  <c r="R241" i="58"/>
  <c r="S241" i="58" s="1"/>
  <c r="V241" i="58" s="1"/>
  <c r="R233" i="58"/>
  <c r="R225" i="58"/>
  <c r="R217" i="58"/>
  <c r="S217" i="58" s="1"/>
  <c r="V217" i="58" s="1"/>
  <c r="R209" i="58"/>
  <c r="R201" i="58"/>
  <c r="S201" i="58" s="1"/>
  <c r="V201" i="58" s="1"/>
  <c r="R193" i="58"/>
  <c r="R185" i="58"/>
  <c r="R177" i="58"/>
  <c r="R169" i="58"/>
  <c r="R158" i="58"/>
  <c r="R143" i="58"/>
  <c r="S143" i="58" s="1"/>
  <c r="V143" i="58" s="1"/>
  <c r="R127" i="58"/>
  <c r="S127" i="58" s="1"/>
  <c r="V127" i="58" s="1"/>
  <c r="R106" i="58"/>
  <c r="S106" i="58" s="1"/>
  <c r="V106" i="58" s="1"/>
  <c r="R82" i="58"/>
  <c r="R33" i="58"/>
  <c r="R133" i="58"/>
  <c r="S85" i="58"/>
  <c r="V85" i="58" s="1"/>
  <c r="R85" i="58"/>
  <c r="S45" i="58"/>
  <c r="V45" i="58" s="1"/>
  <c r="R45" i="58"/>
  <c r="R256" i="58"/>
  <c r="R248" i="58"/>
  <c r="R240" i="58"/>
  <c r="R232" i="58"/>
  <c r="R224" i="58"/>
  <c r="R216" i="58"/>
  <c r="S216" i="58" s="1"/>
  <c r="V216" i="58" s="1"/>
  <c r="R208" i="58"/>
  <c r="S208" i="58" s="1"/>
  <c r="V208" i="58" s="1"/>
  <c r="R200" i="58"/>
  <c r="S200" i="58" s="1"/>
  <c r="V200" i="58" s="1"/>
  <c r="R192" i="58"/>
  <c r="R184" i="58"/>
  <c r="R176" i="58"/>
  <c r="R168" i="58"/>
  <c r="R157" i="58"/>
  <c r="R142" i="58"/>
  <c r="S142" i="58" s="1"/>
  <c r="V142" i="58" s="1"/>
  <c r="R126" i="58"/>
  <c r="S126" i="58" s="1"/>
  <c r="V126" i="58" s="1"/>
  <c r="R105" i="58"/>
  <c r="R81" i="58"/>
  <c r="S81" i="58" s="1"/>
  <c r="V81" i="58" s="1"/>
  <c r="R25" i="58"/>
  <c r="R109" i="58"/>
  <c r="S53" i="58"/>
  <c r="V53" i="58" s="1"/>
  <c r="R53" i="58"/>
  <c r="S21" i="58"/>
  <c r="V21" i="58" s="1"/>
  <c r="R21" i="58"/>
  <c r="R13" i="58"/>
  <c r="R160" i="58"/>
  <c r="S152" i="58"/>
  <c r="V152" i="58" s="1"/>
  <c r="R152" i="58"/>
  <c r="S144" i="58"/>
  <c r="V144" i="58" s="1"/>
  <c r="R144" i="58"/>
  <c r="R136" i="58"/>
  <c r="R128" i="58"/>
  <c r="S120" i="58"/>
  <c r="V120" i="58" s="1"/>
  <c r="R120" i="58"/>
  <c r="S112" i="58"/>
  <c r="V112" i="58" s="1"/>
  <c r="R112" i="58"/>
  <c r="R104" i="58"/>
  <c r="R96" i="58"/>
  <c r="S88" i="58"/>
  <c r="V88" i="58" s="1"/>
  <c r="R88" i="58"/>
  <c r="S80" i="58"/>
  <c r="V80" i="58" s="1"/>
  <c r="R80" i="58"/>
  <c r="R72" i="58"/>
  <c r="R64" i="58"/>
  <c r="S56" i="58"/>
  <c r="V56" i="58" s="1"/>
  <c r="R56" i="58"/>
  <c r="S48" i="58"/>
  <c r="V48" i="58" s="1"/>
  <c r="R48" i="58"/>
  <c r="R40" i="58"/>
  <c r="R32" i="58"/>
  <c r="S24" i="58"/>
  <c r="V24" i="58" s="1"/>
  <c r="R24" i="58"/>
  <c r="S16" i="58"/>
  <c r="V16" i="58" s="1"/>
  <c r="R16" i="58"/>
  <c r="R255" i="58"/>
  <c r="S255" i="58" s="1"/>
  <c r="V255" i="58" s="1"/>
  <c r="R247" i="58"/>
  <c r="S247" i="58" s="1"/>
  <c r="V247" i="58" s="1"/>
  <c r="R239" i="58"/>
  <c r="R231" i="58"/>
  <c r="R223" i="58"/>
  <c r="R215" i="58"/>
  <c r="S215" i="58" s="1"/>
  <c r="V215" i="58" s="1"/>
  <c r="R207" i="58"/>
  <c r="S207" i="58" s="1"/>
  <c r="V207" i="58" s="1"/>
  <c r="R199" i="58"/>
  <c r="S199" i="58" s="1"/>
  <c r="V199" i="58" s="1"/>
  <c r="R191" i="58"/>
  <c r="S191" i="58" s="1"/>
  <c r="V191" i="58" s="1"/>
  <c r="R183" i="58"/>
  <c r="S183" i="58" s="1"/>
  <c r="V183" i="58" s="1"/>
  <c r="R175" i="58"/>
  <c r="R167" i="58"/>
  <c r="R154" i="58"/>
  <c r="R138" i="58"/>
  <c r="S138" i="58" s="1"/>
  <c r="V138" i="58" s="1"/>
  <c r="R122" i="58"/>
  <c r="S122" i="58" s="1"/>
  <c r="V122" i="58" s="1"/>
  <c r="R102" i="58"/>
  <c r="R74" i="58"/>
  <c r="S74" i="58" s="1"/>
  <c r="V74" i="58" s="1"/>
  <c r="R17" i="58"/>
  <c r="R12" i="58"/>
  <c r="T11" i="55"/>
  <c r="T12" i="55"/>
  <c r="T13" i="55"/>
  <c r="T14" i="55"/>
  <c r="T15" i="55"/>
  <c r="T16" i="55"/>
  <c r="T17" i="55"/>
  <c r="T18" i="55"/>
  <c r="T19" i="55"/>
  <c r="T20" i="55"/>
  <c r="T21" i="55"/>
  <c r="T22" i="55"/>
  <c r="T23" i="55"/>
  <c r="T24" i="55"/>
  <c r="T25" i="55"/>
  <c r="T26" i="55"/>
  <c r="T27" i="55"/>
  <c r="T28" i="55"/>
  <c r="T29" i="55"/>
  <c r="T30" i="55"/>
  <c r="T31" i="55"/>
  <c r="T32" i="55"/>
  <c r="T33" i="55"/>
  <c r="T34" i="55"/>
  <c r="T35" i="55"/>
  <c r="T36" i="55"/>
  <c r="T37" i="55"/>
  <c r="T38" i="55"/>
  <c r="T39" i="55"/>
  <c r="T40" i="55"/>
  <c r="T41" i="55"/>
  <c r="T42" i="55"/>
  <c r="T43" i="55"/>
  <c r="T44" i="55"/>
  <c r="T45" i="55"/>
  <c r="T46" i="55"/>
  <c r="T47" i="55"/>
  <c r="T48" i="55"/>
  <c r="T49" i="55"/>
  <c r="T50" i="55"/>
  <c r="T51" i="55"/>
  <c r="T52" i="55"/>
  <c r="T53" i="55"/>
  <c r="T54" i="55"/>
  <c r="T55" i="55"/>
  <c r="T56" i="55"/>
  <c r="T57" i="55"/>
  <c r="T58" i="55"/>
  <c r="T59" i="55"/>
  <c r="T60" i="55"/>
  <c r="T61" i="55"/>
  <c r="T62" i="55"/>
  <c r="T63" i="55"/>
  <c r="T64" i="55"/>
  <c r="T65" i="55"/>
  <c r="T66" i="55"/>
  <c r="T67" i="55"/>
  <c r="T68" i="55"/>
  <c r="T69" i="55"/>
  <c r="T70" i="55"/>
  <c r="T71" i="55"/>
  <c r="T72" i="55"/>
  <c r="T73" i="55"/>
  <c r="T74" i="55"/>
  <c r="T75" i="55"/>
  <c r="T76" i="55"/>
  <c r="T77" i="55"/>
  <c r="T78" i="55"/>
  <c r="T79" i="55"/>
  <c r="T80" i="55"/>
  <c r="T81" i="55"/>
  <c r="T82" i="55"/>
  <c r="T83" i="55"/>
  <c r="T84" i="55"/>
  <c r="T85" i="55"/>
  <c r="T86" i="55"/>
  <c r="T87" i="55"/>
  <c r="T88" i="55"/>
  <c r="T89" i="55"/>
  <c r="T90" i="55"/>
  <c r="T91" i="55"/>
  <c r="T92" i="55"/>
  <c r="T93" i="55"/>
  <c r="T94" i="55"/>
  <c r="T95" i="55"/>
  <c r="T96" i="55"/>
  <c r="T97" i="55"/>
  <c r="T98" i="55"/>
  <c r="T99" i="55"/>
  <c r="T100" i="55"/>
  <c r="T101" i="55"/>
  <c r="T102" i="55"/>
  <c r="T103" i="55"/>
  <c r="T104" i="55"/>
  <c r="T105" i="55"/>
  <c r="T106" i="55"/>
  <c r="T107" i="55"/>
  <c r="T108" i="55"/>
  <c r="T109" i="55"/>
  <c r="T110" i="55"/>
  <c r="T111" i="55"/>
  <c r="T112" i="55"/>
  <c r="T113" i="55"/>
  <c r="T114" i="55"/>
  <c r="T115" i="55"/>
  <c r="T116" i="55"/>
  <c r="T117" i="55"/>
  <c r="T118" i="55"/>
  <c r="T119" i="55"/>
  <c r="T120" i="55"/>
  <c r="T121" i="55"/>
  <c r="T122" i="55"/>
  <c r="T123" i="55"/>
  <c r="T124" i="55"/>
  <c r="T125" i="55"/>
  <c r="T126" i="55"/>
  <c r="T127" i="55"/>
  <c r="T128" i="55"/>
  <c r="T129" i="55"/>
  <c r="T130" i="55"/>
  <c r="T131" i="55"/>
  <c r="T132" i="55"/>
  <c r="T133" i="55"/>
  <c r="T134" i="55"/>
  <c r="T135" i="55"/>
  <c r="T136" i="55"/>
  <c r="T137" i="55"/>
  <c r="T138" i="55"/>
  <c r="T139" i="55"/>
  <c r="T140" i="55"/>
  <c r="T141" i="55"/>
  <c r="T142" i="55"/>
  <c r="T143" i="55"/>
  <c r="T144" i="55"/>
  <c r="T145" i="55"/>
  <c r="T146" i="55"/>
  <c r="T147" i="55"/>
  <c r="T148" i="55"/>
  <c r="T149" i="55"/>
  <c r="T150" i="55"/>
  <c r="T151" i="55"/>
  <c r="T152" i="55"/>
  <c r="T153" i="55"/>
  <c r="T154" i="55"/>
  <c r="T155" i="55"/>
  <c r="T156" i="55"/>
  <c r="T157" i="55"/>
  <c r="T158" i="55"/>
  <c r="T159" i="55"/>
  <c r="T160" i="55"/>
  <c r="T161" i="55"/>
  <c r="T162" i="55"/>
  <c r="T163" i="55"/>
  <c r="T164" i="55"/>
  <c r="T165" i="55"/>
  <c r="T166" i="55"/>
  <c r="T167" i="55"/>
  <c r="T168" i="55"/>
  <c r="T169" i="55"/>
  <c r="T170" i="55"/>
  <c r="T171" i="55"/>
  <c r="T172" i="55"/>
  <c r="T173" i="55"/>
  <c r="T174" i="55"/>
  <c r="T175" i="55"/>
  <c r="T176" i="55"/>
  <c r="T177" i="55"/>
  <c r="T178" i="55"/>
  <c r="T179" i="55"/>
  <c r="T180" i="55"/>
  <c r="T181" i="55"/>
  <c r="T182" i="55"/>
  <c r="T183" i="55"/>
  <c r="T184" i="55"/>
  <c r="T185" i="55"/>
  <c r="T186" i="55"/>
  <c r="T187" i="55"/>
  <c r="T188" i="55"/>
  <c r="T189" i="55"/>
  <c r="T190" i="55"/>
  <c r="T191" i="55"/>
  <c r="T192" i="55"/>
  <c r="T193" i="55"/>
  <c r="T194" i="55"/>
  <c r="T195" i="55"/>
  <c r="T196" i="55"/>
  <c r="T197" i="55"/>
  <c r="T198" i="55"/>
  <c r="T199" i="55"/>
  <c r="T200" i="55"/>
  <c r="T201" i="55"/>
  <c r="T202" i="55"/>
  <c r="T203" i="55"/>
  <c r="T204" i="55"/>
  <c r="T205" i="55"/>
  <c r="T206" i="55"/>
  <c r="T207" i="55"/>
  <c r="T208" i="55"/>
  <c r="T209" i="55"/>
  <c r="T210" i="55"/>
  <c r="T211" i="55"/>
  <c r="T212" i="55"/>
  <c r="T213" i="55"/>
  <c r="T214" i="55"/>
  <c r="T215" i="55"/>
  <c r="T216" i="55"/>
  <c r="T217" i="55"/>
  <c r="T218" i="55"/>
  <c r="T219" i="55"/>
  <c r="T220" i="55"/>
  <c r="T221" i="55"/>
  <c r="T222" i="55"/>
  <c r="T223" i="55"/>
  <c r="T224" i="55"/>
  <c r="T225" i="55"/>
  <c r="T226" i="55"/>
  <c r="T227" i="55"/>
  <c r="T228" i="55"/>
  <c r="T229" i="55"/>
  <c r="T230" i="55"/>
  <c r="T231" i="55"/>
  <c r="T232" i="55"/>
  <c r="T233" i="55"/>
  <c r="T234" i="55"/>
  <c r="T235" i="55"/>
  <c r="T236" i="55"/>
  <c r="T237" i="55"/>
  <c r="T238" i="55"/>
  <c r="T239" i="55"/>
  <c r="T240" i="55"/>
  <c r="T241" i="55"/>
  <c r="T242" i="55"/>
  <c r="T243" i="55"/>
  <c r="T244" i="55"/>
  <c r="T245" i="55"/>
  <c r="T246" i="55"/>
  <c r="T247" i="55"/>
  <c r="T248" i="55"/>
  <c r="T249" i="55"/>
  <c r="T250" i="55"/>
  <c r="T251" i="55"/>
  <c r="T252" i="55"/>
  <c r="T253" i="55"/>
  <c r="T254" i="55"/>
  <c r="T255" i="55"/>
  <c r="T256" i="55"/>
  <c r="T257" i="55"/>
  <c r="T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W13" i="59"/>
  <c r="W14" i="59"/>
  <c r="W15" i="59"/>
  <c r="W16" i="59"/>
  <c r="W17" i="59"/>
  <c r="W18" i="59"/>
  <c r="W19" i="59"/>
  <c r="W20" i="59"/>
  <c r="W21" i="59"/>
  <c r="W22" i="59"/>
  <c r="W23" i="59"/>
  <c r="W24" i="59"/>
  <c r="W25" i="59"/>
  <c r="W26" i="59"/>
  <c r="W27" i="59"/>
  <c r="W28" i="59"/>
  <c r="W29" i="59"/>
  <c r="W30" i="59"/>
  <c r="W31" i="59"/>
  <c r="W32" i="59"/>
  <c r="W33" i="59"/>
  <c r="W34" i="59"/>
  <c r="W35" i="59"/>
  <c r="W36" i="59"/>
  <c r="W37" i="59"/>
  <c r="W38" i="59"/>
  <c r="W39" i="59"/>
  <c r="W40" i="59"/>
  <c r="W41" i="59"/>
  <c r="W42" i="59"/>
  <c r="W43" i="59"/>
  <c r="W44" i="59"/>
  <c r="W45" i="59"/>
  <c r="W46" i="59"/>
  <c r="W47" i="59"/>
  <c r="W48" i="59"/>
  <c r="W49" i="59"/>
  <c r="W50" i="59"/>
  <c r="W51" i="59"/>
  <c r="W52" i="59"/>
  <c r="W53" i="59"/>
  <c r="W54" i="59"/>
  <c r="W55" i="59"/>
  <c r="W56" i="59"/>
  <c r="W57" i="59"/>
  <c r="W58" i="59"/>
  <c r="W59" i="59"/>
  <c r="W60" i="59"/>
  <c r="W61" i="59"/>
  <c r="W62" i="59"/>
  <c r="W63" i="59"/>
  <c r="W64" i="59"/>
  <c r="W65" i="59"/>
  <c r="W66" i="59"/>
  <c r="W67" i="59"/>
  <c r="W68" i="59"/>
  <c r="W69" i="59"/>
  <c r="W70" i="59"/>
  <c r="W71" i="59"/>
  <c r="W72" i="59"/>
  <c r="W73" i="59"/>
  <c r="W74" i="59"/>
  <c r="W75" i="59"/>
  <c r="W76" i="59"/>
  <c r="W77" i="59"/>
  <c r="W78" i="59"/>
  <c r="W79" i="59"/>
  <c r="W80" i="59"/>
  <c r="W81" i="59"/>
  <c r="W82" i="59"/>
  <c r="W83" i="59"/>
  <c r="W84" i="59"/>
  <c r="W85" i="59"/>
  <c r="W86" i="59"/>
  <c r="W87" i="59"/>
  <c r="W88" i="59"/>
  <c r="W89" i="59"/>
  <c r="W90" i="59"/>
  <c r="W91" i="59"/>
  <c r="W92" i="59"/>
  <c r="W93" i="59"/>
  <c r="W94" i="59"/>
  <c r="W95" i="59"/>
  <c r="W96" i="59"/>
  <c r="W97" i="59"/>
  <c r="W98" i="59"/>
  <c r="W99" i="59"/>
  <c r="W100" i="59"/>
  <c r="W101" i="59"/>
  <c r="W102" i="59"/>
  <c r="W103" i="59"/>
  <c r="W104" i="59"/>
  <c r="W105" i="59"/>
  <c r="W106" i="59"/>
  <c r="W107" i="59"/>
  <c r="W108" i="59"/>
  <c r="W109" i="59"/>
  <c r="W110" i="59"/>
  <c r="W111" i="59"/>
  <c r="W112" i="59"/>
  <c r="W113" i="59"/>
  <c r="W114" i="59"/>
  <c r="W115" i="59"/>
  <c r="W116" i="59"/>
  <c r="W117" i="59"/>
  <c r="W118" i="59"/>
  <c r="W119" i="59"/>
  <c r="W120" i="59"/>
  <c r="W121" i="59"/>
  <c r="W122" i="59"/>
  <c r="W123" i="59"/>
  <c r="W124" i="59"/>
  <c r="W125" i="59"/>
  <c r="W126" i="59"/>
  <c r="W127" i="59"/>
  <c r="W128" i="59"/>
  <c r="W129" i="59"/>
  <c r="W130" i="59"/>
  <c r="W131" i="59"/>
  <c r="W132" i="59"/>
  <c r="W133" i="59"/>
  <c r="W134" i="59"/>
  <c r="W135" i="59"/>
  <c r="W136" i="59"/>
  <c r="W137" i="59"/>
  <c r="W138" i="59"/>
  <c r="W139" i="59"/>
  <c r="W140" i="59"/>
  <c r="W141" i="59"/>
  <c r="W142" i="59"/>
  <c r="W143" i="59"/>
  <c r="W144" i="59"/>
  <c r="W145" i="59"/>
  <c r="W146" i="59"/>
  <c r="W147" i="59"/>
  <c r="W148" i="59"/>
  <c r="W149" i="59"/>
  <c r="W150" i="59"/>
  <c r="W151" i="59"/>
  <c r="W152" i="59"/>
  <c r="W153" i="59"/>
  <c r="W154" i="59"/>
  <c r="W155" i="59"/>
  <c r="W156" i="59"/>
  <c r="W157" i="59"/>
  <c r="W158" i="59"/>
  <c r="W159" i="59"/>
  <c r="W160" i="59"/>
  <c r="W161" i="59"/>
  <c r="W162" i="59"/>
  <c r="W163" i="59"/>
  <c r="W164" i="59"/>
  <c r="W165" i="59"/>
  <c r="W166" i="59"/>
  <c r="W167" i="59"/>
  <c r="W168" i="59"/>
  <c r="W169" i="59"/>
  <c r="W170" i="59"/>
  <c r="W171" i="59"/>
  <c r="W172" i="59"/>
  <c r="W173" i="59"/>
  <c r="W174" i="59"/>
  <c r="W175" i="59"/>
  <c r="W176" i="59"/>
  <c r="W177" i="59"/>
  <c r="W178" i="59"/>
  <c r="W179" i="59"/>
  <c r="W180" i="59"/>
  <c r="W181" i="59"/>
  <c r="W182" i="59"/>
  <c r="W183" i="59"/>
  <c r="W184" i="59"/>
  <c r="W185" i="59"/>
  <c r="W186" i="59"/>
  <c r="W187" i="59"/>
  <c r="W188" i="59"/>
  <c r="W189" i="59"/>
  <c r="W190" i="59"/>
  <c r="W191" i="59"/>
  <c r="W192" i="59"/>
  <c r="W193" i="59"/>
  <c r="W194" i="59"/>
  <c r="W195" i="59"/>
  <c r="W196" i="59"/>
  <c r="W197" i="59"/>
  <c r="W198" i="59"/>
  <c r="W199" i="59"/>
  <c r="W200" i="59"/>
  <c r="W201" i="59"/>
  <c r="W202" i="59"/>
  <c r="W203" i="59"/>
  <c r="W204" i="59"/>
  <c r="W205" i="59"/>
  <c r="W206" i="59"/>
  <c r="W207" i="59"/>
  <c r="W208" i="59"/>
  <c r="W209" i="59"/>
  <c r="W210" i="59"/>
  <c r="W211" i="59"/>
  <c r="W212" i="59"/>
  <c r="W213" i="59"/>
  <c r="W214" i="59"/>
  <c r="W215" i="59"/>
  <c r="W216" i="59"/>
  <c r="W217" i="59"/>
  <c r="W218" i="59"/>
  <c r="W219" i="59"/>
  <c r="W220" i="59"/>
  <c r="W221" i="59"/>
  <c r="W222" i="59"/>
  <c r="W223" i="59"/>
  <c r="W224" i="59"/>
  <c r="W225" i="59"/>
  <c r="W226" i="59"/>
  <c r="W227" i="59"/>
  <c r="W228" i="59"/>
  <c r="W229" i="59"/>
  <c r="W230" i="59"/>
  <c r="W231" i="59"/>
  <c r="W232" i="59"/>
  <c r="W233" i="59"/>
  <c r="W234" i="59"/>
  <c r="W235" i="59"/>
  <c r="W236" i="59"/>
  <c r="W237" i="59"/>
  <c r="W238" i="59"/>
  <c r="W239" i="59"/>
  <c r="W240" i="59"/>
  <c r="W241" i="59"/>
  <c r="W242" i="59"/>
  <c r="W243" i="59"/>
  <c r="W244" i="59"/>
  <c r="W245" i="59"/>
  <c r="W246" i="59"/>
  <c r="W247" i="59"/>
  <c r="W248" i="59"/>
  <c r="W249" i="59"/>
  <c r="W250" i="59"/>
  <c r="W251" i="59"/>
  <c r="W252" i="59"/>
  <c r="W253" i="59"/>
  <c r="W254" i="59"/>
  <c r="W255" i="59"/>
  <c r="W256" i="59"/>
  <c r="W257" i="59"/>
  <c r="W258" i="59"/>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Y11" i="67"/>
  <c r="Y12" i="67"/>
  <c r="Y13" i="67"/>
  <c r="Y14" i="67"/>
  <c r="Y15" i="67"/>
  <c r="Y16" i="67"/>
  <c r="Y17" i="67"/>
  <c r="Y18" i="67"/>
  <c r="Y19" i="67"/>
  <c r="Y20" i="67"/>
  <c r="Y21" i="67"/>
  <c r="Y22" i="67"/>
  <c r="Y23" i="67"/>
  <c r="Y24" i="67"/>
  <c r="Y25" i="67"/>
  <c r="Y26" i="67"/>
  <c r="Y27" i="67"/>
  <c r="Y28" i="67"/>
  <c r="Y29" i="67"/>
  <c r="Y30" i="67"/>
  <c r="Y31" i="67"/>
  <c r="Y32" i="67"/>
  <c r="Y33" i="67"/>
  <c r="Y34" i="67"/>
  <c r="Y35" i="67"/>
  <c r="Y36" i="67"/>
  <c r="Y37" i="67"/>
  <c r="Y38" i="67"/>
  <c r="Y39" i="67"/>
  <c r="Y40" i="67"/>
  <c r="Y41" i="67"/>
  <c r="Y42" i="67"/>
  <c r="Y43" i="67"/>
  <c r="Y44" i="67"/>
  <c r="Y45" i="67"/>
  <c r="Y46" i="67"/>
  <c r="Y47" i="67"/>
  <c r="Y48" i="67"/>
  <c r="Y49" i="67"/>
  <c r="Y50" i="67"/>
  <c r="Y51" i="67"/>
  <c r="Y52" i="67"/>
  <c r="Y53" i="67"/>
  <c r="Y55" i="67"/>
  <c r="Y56" i="67"/>
  <c r="Y57" i="67"/>
  <c r="Y58" i="67"/>
  <c r="Y59" i="67"/>
  <c r="Y60" i="67"/>
  <c r="Y61" i="67"/>
  <c r="Y62" i="67"/>
  <c r="Y63" i="67"/>
  <c r="Y64" i="67"/>
  <c r="Y65" i="67"/>
  <c r="Y66" i="67"/>
  <c r="Y67" i="67"/>
  <c r="Y68" i="67"/>
  <c r="Y69" i="67"/>
  <c r="Y70" i="67"/>
  <c r="Y71" i="67"/>
  <c r="Y72" i="67"/>
  <c r="Y73" i="67"/>
  <c r="Y74" i="67"/>
  <c r="Y75" i="67"/>
  <c r="Y76" i="67"/>
  <c r="Y77" i="67"/>
  <c r="Y78" i="67"/>
  <c r="Y79" i="67"/>
  <c r="Y80" i="67"/>
  <c r="Y81" i="67"/>
  <c r="Y82" i="67"/>
  <c r="Y83" i="67"/>
  <c r="Y84" i="67"/>
  <c r="Y85" i="67"/>
  <c r="Y86" i="67"/>
  <c r="Y87" i="67"/>
  <c r="Y88" i="67"/>
  <c r="Y89" i="67"/>
  <c r="Y90" i="67"/>
  <c r="Y91" i="67"/>
  <c r="Y92" i="67"/>
  <c r="Y93" i="67"/>
  <c r="Y94" i="67"/>
  <c r="Y95" i="67"/>
  <c r="Y96" i="67"/>
  <c r="Y97" i="67"/>
  <c r="Y98" i="67"/>
  <c r="Y99" i="67"/>
  <c r="Y100" i="67"/>
  <c r="Y101" i="67"/>
  <c r="Y102" i="67"/>
  <c r="Y103" i="67"/>
  <c r="Y104" i="67"/>
  <c r="Y105" i="67"/>
  <c r="Y106" i="67"/>
  <c r="Y107" i="67"/>
  <c r="Y108" i="67"/>
  <c r="Y109" i="67"/>
  <c r="Y110" i="67"/>
  <c r="Y111" i="67"/>
  <c r="Y112" i="67"/>
  <c r="Y113" i="67"/>
  <c r="Y114" i="67"/>
  <c r="Y115" i="67"/>
  <c r="Y116" i="67"/>
  <c r="Y117" i="67"/>
  <c r="Y118" i="67"/>
  <c r="Y119" i="67"/>
  <c r="Y120" i="67"/>
  <c r="Y121" i="67"/>
  <c r="Y122" i="67"/>
  <c r="Y123" i="67"/>
  <c r="Y124" i="67"/>
  <c r="Y125" i="67"/>
  <c r="Y126" i="67"/>
  <c r="Y127" i="67"/>
  <c r="Y128" i="67"/>
  <c r="Y129" i="67"/>
  <c r="Y130" i="67"/>
  <c r="Y131" i="67"/>
  <c r="Y132" i="67"/>
  <c r="Y133" i="67"/>
  <c r="Y134" i="67"/>
  <c r="Y135" i="67"/>
  <c r="Y136" i="67"/>
  <c r="Y137" i="67"/>
  <c r="Y138" i="67"/>
  <c r="Y139" i="67"/>
  <c r="Y140" i="67"/>
  <c r="Y141" i="67"/>
  <c r="Y142" i="67"/>
  <c r="Y143" i="67"/>
  <c r="Y144" i="67"/>
  <c r="Y145" i="67"/>
  <c r="Y146" i="67"/>
  <c r="Y147" i="67"/>
  <c r="Y148" i="67"/>
  <c r="Y149" i="67"/>
  <c r="Y150" i="67"/>
  <c r="Y151" i="67"/>
  <c r="Y152" i="67"/>
  <c r="Y153" i="67"/>
  <c r="Y154" i="67"/>
  <c r="Y155" i="67"/>
  <c r="Y156" i="67"/>
  <c r="Y157" i="67"/>
  <c r="Y158" i="67"/>
  <c r="Y159" i="67"/>
  <c r="Y160" i="67"/>
  <c r="Y161" i="67"/>
  <c r="Y162" i="67"/>
  <c r="Y163" i="67"/>
  <c r="Y164" i="67"/>
  <c r="Y165" i="67"/>
  <c r="Y166" i="67"/>
  <c r="Y167" i="67"/>
  <c r="Y168" i="67"/>
  <c r="Y169" i="67"/>
  <c r="Y170" i="67"/>
  <c r="Y171" i="67"/>
  <c r="Y172" i="67"/>
  <c r="Y173" i="67"/>
  <c r="Y174" i="67"/>
  <c r="Y175" i="67"/>
  <c r="Y176" i="67"/>
  <c r="Y177" i="67"/>
  <c r="Y178" i="67"/>
  <c r="Y179" i="67"/>
  <c r="Y180" i="67"/>
  <c r="Y181" i="67"/>
  <c r="Y182" i="67"/>
  <c r="Y183" i="67"/>
  <c r="Y184" i="67"/>
  <c r="Y185" i="67"/>
  <c r="Y186" i="67"/>
  <c r="Y187" i="67"/>
  <c r="Y188" i="67"/>
  <c r="Y189" i="67"/>
  <c r="Y190" i="67"/>
  <c r="Y191" i="67"/>
  <c r="Y192" i="67"/>
  <c r="Y193" i="67"/>
  <c r="Y194" i="67"/>
  <c r="Y195" i="67"/>
  <c r="Y196" i="67"/>
  <c r="Y197" i="67"/>
  <c r="Y198" i="67"/>
  <c r="Y199" i="67"/>
  <c r="Y200" i="67"/>
  <c r="Y201" i="67"/>
  <c r="Y202" i="67"/>
  <c r="Y203" i="67"/>
  <c r="Y204" i="67"/>
  <c r="Y205" i="67"/>
  <c r="Y206" i="67"/>
  <c r="Y207" i="67"/>
  <c r="Y208" i="67"/>
  <c r="Y209" i="67"/>
  <c r="Y210" i="67"/>
  <c r="Y211" i="67"/>
  <c r="Y212" i="67"/>
  <c r="Y213" i="67"/>
  <c r="Y214" i="67"/>
  <c r="Y215" i="67"/>
  <c r="Y216" i="67"/>
  <c r="Y217" i="67"/>
  <c r="Y218" i="67"/>
  <c r="Y219" i="67"/>
  <c r="Y220" i="67"/>
  <c r="Y221" i="67"/>
  <c r="Y222" i="67"/>
  <c r="Y223" i="67"/>
  <c r="Y224" i="67"/>
  <c r="Y225" i="67"/>
  <c r="Y226" i="67"/>
  <c r="Y227" i="67"/>
  <c r="Y228" i="67"/>
  <c r="Y229" i="67"/>
  <c r="Y230" i="67"/>
  <c r="Y231" i="67"/>
  <c r="Y232" i="67"/>
  <c r="Y233" i="67"/>
  <c r="Y234" i="67"/>
  <c r="Y235" i="67"/>
  <c r="Y236" i="67"/>
  <c r="Y237" i="67"/>
  <c r="Y238" i="67"/>
  <c r="Y239" i="67"/>
  <c r="Y240" i="67"/>
  <c r="Y241" i="67"/>
  <c r="Y242" i="67"/>
  <c r="Y243" i="67"/>
  <c r="Y244" i="67"/>
  <c r="Y245" i="67"/>
  <c r="Y246" i="67"/>
  <c r="Y247" i="67"/>
  <c r="Y248" i="67"/>
  <c r="Y249" i="67"/>
  <c r="Y250" i="67"/>
  <c r="Y251" i="67"/>
  <c r="Y252" i="67"/>
  <c r="Y253" i="67"/>
  <c r="Y254" i="67"/>
  <c r="Y255" i="67"/>
  <c r="Y256" i="67"/>
  <c r="Y257" i="67"/>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L10"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K10" i="67"/>
  <c r="I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AF40" i="65"/>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W12" i="65"/>
  <c r="Y258" i="64"/>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9" i="64"/>
  <c r="Y12" i="64"/>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14" i="64"/>
  <c r="S15" i="64"/>
  <c r="S16" i="64"/>
  <c r="S17" i="64"/>
  <c r="S18" i="64"/>
  <c r="S19" i="64"/>
  <c r="S20" i="64"/>
  <c r="S21"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J12" i="64"/>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K12"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Y33" i="63"/>
  <c r="Y34" i="63"/>
  <c r="Y35" i="63"/>
  <c r="Y36" i="63"/>
  <c r="Y37" i="63"/>
  <c r="Y39" i="63"/>
  <c r="Y40" i="63"/>
  <c r="Y41" i="63"/>
  <c r="Y42" i="63"/>
  <c r="Y43" i="63"/>
  <c r="Y44" i="63"/>
  <c r="Y45" i="63"/>
  <c r="Y46"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7" i="63"/>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0"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0" i="63"/>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2" i="42"/>
  <c r="M11" i="71"/>
  <c r="T14" i="42"/>
  <c r="T15" i="42"/>
  <c r="T16" i="42"/>
  <c r="T17" i="42"/>
  <c r="T18" i="42"/>
  <c r="T19" i="42"/>
  <c r="T20" i="42"/>
  <c r="T21" i="42"/>
  <c r="T22" i="42"/>
  <c r="T23" i="42"/>
  <c r="T24" i="42"/>
  <c r="T25" i="42"/>
  <c r="T26" i="42"/>
  <c r="T27" i="42"/>
  <c r="T28" i="42"/>
  <c r="T29" i="42"/>
  <c r="T30" i="42"/>
  <c r="T31" i="42"/>
  <c r="T32" i="42"/>
  <c r="T33" i="42"/>
  <c r="T34" i="42"/>
  <c r="T35" i="42"/>
  <c r="T36" i="42"/>
  <c r="T37" i="42"/>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257" i="52"/>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T32" i="58" l="1"/>
  <c r="T133" i="58"/>
  <c r="T169" i="58"/>
  <c r="T27" i="58"/>
  <c r="T59" i="58"/>
  <c r="T195" i="58"/>
  <c r="T259" i="58"/>
  <c r="T84" i="58"/>
  <c r="T174" i="58"/>
  <c r="T238" i="58"/>
  <c r="S174" i="58"/>
  <c r="V174" i="58" s="1"/>
  <c r="S238" i="58"/>
  <c r="V238" i="58" s="1"/>
  <c r="S233" i="58"/>
  <c r="V233" i="58" s="1"/>
  <c r="S162" i="58"/>
  <c r="V162" i="58" s="1"/>
  <c r="T175" i="58"/>
  <c r="T239" i="58"/>
  <c r="S32" i="58"/>
  <c r="V32" i="58" s="1"/>
  <c r="S64" i="58"/>
  <c r="V64" i="58" s="1"/>
  <c r="S96" i="58"/>
  <c r="V96" i="58" s="1"/>
  <c r="S128" i="58"/>
  <c r="V128" i="58" s="1"/>
  <c r="S160" i="58"/>
  <c r="V160" i="58" s="1"/>
  <c r="S109" i="58"/>
  <c r="V109" i="58" s="1"/>
  <c r="S133" i="58"/>
  <c r="V133" i="58" s="1"/>
  <c r="T177" i="58"/>
  <c r="T241" i="58"/>
  <c r="S34" i="58"/>
  <c r="V34" i="58" s="1"/>
  <c r="S66" i="58"/>
  <c r="V66" i="58" s="1"/>
  <c r="T226" i="58"/>
  <c r="S27" i="58"/>
  <c r="V27" i="58" s="1"/>
  <c r="S59" i="58"/>
  <c r="V59" i="58" s="1"/>
  <c r="S91" i="58"/>
  <c r="V91" i="58" s="1"/>
  <c r="T203" i="58"/>
  <c r="T60" i="58"/>
  <c r="T156" i="58"/>
  <c r="T221" i="58"/>
  <c r="T246" i="58"/>
  <c r="S182" i="58"/>
  <c r="V182" i="58" s="1"/>
  <c r="S246" i="58"/>
  <c r="V246" i="58" s="1"/>
  <c r="T172" i="58"/>
  <c r="T196" i="58"/>
  <c r="T49" i="58"/>
  <c r="T183" i="58"/>
  <c r="T247" i="58"/>
  <c r="T40" i="58"/>
  <c r="T104" i="58"/>
  <c r="T33" i="58"/>
  <c r="T185" i="58"/>
  <c r="T67" i="58"/>
  <c r="T211" i="58"/>
  <c r="T20" i="58"/>
  <c r="T165" i="58"/>
  <c r="T229" i="58"/>
  <c r="S39" i="58"/>
  <c r="V39" i="58" s="1"/>
  <c r="S71" i="58"/>
  <c r="V71" i="58" s="1"/>
  <c r="S103" i="58"/>
  <c r="V103" i="58" s="1"/>
  <c r="S180" i="58"/>
  <c r="V180" i="58" s="1"/>
  <c r="S130" i="58"/>
  <c r="V130" i="58" s="1"/>
  <c r="S190" i="58"/>
  <c r="V190" i="58" s="1"/>
  <c r="S254" i="58"/>
  <c r="V254" i="58" s="1"/>
  <c r="S135" i="58"/>
  <c r="V135" i="58" s="1"/>
  <c r="S33" i="58"/>
  <c r="V33" i="58" s="1"/>
  <c r="S218" i="58"/>
  <c r="V218" i="58" s="1"/>
  <c r="S169" i="58"/>
  <c r="V169" i="58" s="1"/>
  <c r="T204" i="58"/>
  <c r="S230" i="58"/>
  <c r="V230" i="58" s="1"/>
  <c r="T74" i="58"/>
  <c r="T191" i="58"/>
  <c r="T255" i="58"/>
  <c r="S40" i="58"/>
  <c r="V40" i="58" s="1"/>
  <c r="S72" i="58"/>
  <c r="V72" i="58" s="1"/>
  <c r="S104" i="58"/>
  <c r="V104" i="58" s="1"/>
  <c r="S136" i="58"/>
  <c r="V136" i="58" s="1"/>
  <c r="S13" i="58"/>
  <c r="V13" i="58" s="1"/>
  <c r="T81" i="58"/>
  <c r="T192" i="58"/>
  <c r="T256" i="58"/>
  <c r="T193" i="58"/>
  <c r="T257" i="58"/>
  <c r="S42" i="58"/>
  <c r="V42" i="58" s="1"/>
  <c r="S93" i="58"/>
  <c r="V93" i="58" s="1"/>
  <c r="T178" i="58"/>
  <c r="S35" i="58"/>
  <c r="V35" i="58" s="1"/>
  <c r="S67" i="58"/>
  <c r="V67" i="58" s="1"/>
  <c r="S99" i="58"/>
  <c r="V99" i="58" s="1"/>
  <c r="S131" i="58"/>
  <c r="V131" i="58" s="1"/>
  <c r="S163" i="58"/>
  <c r="V163" i="58" s="1"/>
  <c r="S125" i="58"/>
  <c r="V125" i="58" s="1"/>
  <c r="T146" i="58"/>
  <c r="T219" i="58"/>
  <c r="S117" i="58"/>
  <c r="V117" i="58" s="1"/>
  <c r="T173" i="58"/>
  <c r="T237" i="58"/>
  <c r="T47" i="58"/>
  <c r="T244" i="58"/>
  <c r="S113" i="58"/>
  <c r="V113" i="58" s="1"/>
  <c r="S252" i="58"/>
  <c r="V252" i="58" s="1"/>
  <c r="S178" i="58"/>
  <c r="V178" i="58" s="1"/>
  <c r="S170" i="58"/>
  <c r="V170" i="58" s="1"/>
  <c r="S198" i="58"/>
  <c r="V198" i="58" s="1"/>
  <c r="S17" i="58"/>
  <c r="V17" i="58" s="1"/>
  <c r="S98" i="58"/>
  <c r="V98" i="58" s="1"/>
  <c r="S224" i="58"/>
  <c r="V224" i="58" s="1"/>
  <c r="T212" i="58"/>
  <c r="T102" i="58"/>
  <c r="T199" i="58"/>
  <c r="T16" i="58"/>
  <c r="T48" i="58"/>
  <c r="T80" i="58"/>
  <c r="T112" i="58"/>
  <c r="T144" i="58"/>
  <c r="T21" i="58"/>
  <c r="T200" i="58"/>
  <c r="T45" i="58"/>
  <c r="T106" i="58"/>
  <c r="T201" i="58"/>
  <c r="T18" i="58"/>
  <c r="T50" i="58"/>
  <c r="T41" i="58"/>
  <c r="T250" i="58"/>
  <c r="T43" i="58"/>
  <c r="T75" i="58"/>
  <c r="T107" i="58"/>
  <c r="T139" i="58"/>
  <c r="T37" i="58"/>
  <c r="T149" i="58"/>
  <c r="T227" i="58"/>
  <c r="T28" i="58"/>
  <c r="T181" i="58"/>
  <c r="T245" i="58"/>
  <c r="T121" i="58"/>
  <c r="S15" i="58"/>
  <c r="V15" i="58" s="1"/>
  <c r="S47" i="58"/>
  <c r="V47" i="58" s="1"/>
  <c r="S79" i="58"/>
  <c r="V79" i="58" s="1"/>
  <c r="S111" i="58"/>
  <c r="V111" i="58" s="1"/>
  <c r="S41" i="58"/>
  <c r="V41" i="58" s="1"/>
  <c r="S25" i="58"/>
  <c r="V25" i="58" s="1"/>
  <c r="S234" i="58"/>
  <c r="V234" i="58" s="1"/>
  <c r="S206" i="58"/>
  <c r="V206" i="58" s="1"/>
  <c r="S151" i="58"/>
  <c r="V151" i="58" s="1"/>
  <c r="S161" i="58"/>
  <c r="V161" i="58" s="1"/>
  <c r="S168" i="58"/>
  <c r="V168" i="58" s="1"/>
  <c r="S232" i="58"/>
  <c r="V232" i="58" s="1"/>
  <c r="S225" i="58"/>
  <c r="V225" i="58" s="1"/>
  <c r="T220" i="58"/>
  <c r="T210" i="58"/>
  <c r="S157" i="58"/>
  <c r="V157" i="58" s="1"/>
  <c r="T122" i="58"/>
  <c r="T207" i="58"/>
  <c r="T126" i="58"/>
  <c r="T208" i="58"/>
  <c r="T127" i="58"/>
  <c r="T209" i="58"/>
  <c r="T89" i="58"/>
  <c r="T194" i="58"/>
  <c r="T258" i="58"/>
  <c r="T171" i="58"/>
  <c r="T235" i="58"/>
  <c r="T140" i="58"/>
  <c r="T65" i="58"/>
  <c r="T189" i="58"/>
  <c r="T253" i="58"/>
  <c r="T137" i="58"/>
  <c r="S193" i="58"/>
  <c r="V193" i="58" s="1"/>
  <c r="S105" i="58"/>
  <c r="V105" i="58" s="1"/>
  <c r="S242" i="58"/>
  <c r="V242" i="58" s="1"/>
  <c r="S205" i="58"/>
  <c r="V205" i="58" s="1"/>
  <c r="S73" i="58"/>
  <c r="V73" i="58" s="1"/>
  <c r="T114" i="58"/>
  <c r="S214" i="58"/>
  <c r="V214" i="58" s="1"/>
  <c r="S154" i="58"/>
  <c r="V154" i="58" s="1"/>
  <c r="S159" i="58"/>
  <c r="V159" i="58" s="1"/>
  <c r="S223" i="58"/>
  <c r="V223" i="58" s="1"/>
  <c r="S249" i="58"/>
  <c r="V249" i="58" s="1"/>
  <c r="S176" i="58"/>
  <c r="V176" i="58" s="1"/>
  <c r="S240" i="58"/>
  <c r="V240" i="58" s="1"/>
  <c r="T236" i="58"/>
  <c r="T134" i="58"/>
  <c r="T118" i="58"/>
  <c r="T166" i="58"/>
  <c r="T188" i="58"/>
  <c r="T138" i="58"/>
  <c r="T215" i="58"/>
  <c r="T142" i="58"/>
  <c r="T216" i="58"/>
  <c r="T143" i="58"/>
  <c r="T217" i="58"/>
  <c r="T110" i="58"/>
  <c r="T202" i="58"/>
  <c r="T179" i="58"/>
  <c r="T243" i="58"/>
  <c r="T76" i="58"/>
  <c r="T116" i="58"/>
  <c r="T61" i="58"/>
  <c r="T97" i="58"/>
  <c r="T197" i="58"/>
  <c r="T14" i="58"/>
  <c r="T46" i="58"/>
  <c r="T78" i="58"/>
  <c r="T153" i="58"/>
  <c r="T222" i="58"/>
  <c r="S187" i="58"/>
  <c r="V187" i="58" s="1"/>
  <c r="S251" i="58"/>
  <c r="V251" i="58" s="1"/>
  <c r="T57" i="58"/>
  <c r="S145" i="58"/>
  <c r="V145" i="58" s="1"/>
  <c r="S213" i="58"/>
  <c r="V213" i="58" s="1"/>
  <c r="S129" i="58"/>
  <c r="V129" i="58" s="1"/>
  <c r="S94" i="58"/>
  <c r="V94" i="58" s="1"/>
  <c r="S158" i="58"/>
  <c r="V158" i="58" s="1"/>
  <c r="S222" i="58"/>
  <c r="V222" i="58" s="1"/>
  <c r="S137" i="58"/>
  <c r="V137" i="58" s="1"/>
  <c r="S186" i="58"/>
  <c r="V186" i="58" s="1"/>
  <c r="S167" i="58"/>
  <c r="V167" i="58" s="1"/>
  <c r="S231" i="58"/>
  <c r="V231" i="58" s="1"/>
  <c r="S90" i="58"/>
  <c r="V90" i="58" s="1"/>
  <c r="S184" i="58"/>
  <c r="V184" i="58" s="1"/>
  <c r="S248" i="58"/>
  <c r="V248" i="58" s="1"/>
  <c r="S82" i="58"/>
  <c r="V82" i="58" s="1"/>
  <c r="T150" i="58"/>
  <c r="S12" i="58"/>
  <c r="V12" i="58" s="1"/>
  <c r="T92" i="58"/>
  <c r="T30" i="58"/>
  <c r="T62" i="58"/>
  <c r="T132" i="58"/>
  <c r="T36" i="58"/>
  <c r="T68" i="58"/>
  <c r="T108" i="58"/>
  <c r="T29" i="58"/>
  <c r="T38" i="58"/>
  <c r="T70" i="58"/>
  <c r="T24" i="58"/>
  <c r="T56" i="58"/>
  <c r="T88" i="58"/>
  <c r="T120" i="58"/>
  <c r="T152" i="58"/>
  <c r="T53" i="58"/>
  <c r="T85" i="58"/>
  <c r="T26" i="58"/>
  <c r="T58" i="58"/>
  <c r="T19" i="58"/>
  <c r="T51" i="58"/>
  <c r="T83" i="58"/>
  <c r="T115" i="58"/>
  <c r="T147" i="58"/>
  <c r="T69" i="58"/>
  <c r="T44" i="58"/>
  <c r="T23" i="58"/>
  <c r="T55" i="58"/>
  <c r="T87" i="58"/>
  <c r="T119" i="58"/>
  <c r="T123" i="58"/>
  <c r="T155" i="58"/>
  <c r="T101" i="58"/>
  <c r="T52" i="58"/>
  <c r="T148" i="58"/>
  <c r="T31" i="58"/>
  <c r="T63" i="58"/>
  <c r="T95" i="58"/>
  <c r="T141" i="58"/>
  <c r="T124" i="58"/>
  <c r="T77" i="58"/>
  <c r="T22" i="58"/>
  <c r="T54" i="58"/>
  <c r="T86" i="58"/>
  <c r="AO13" i="50"/>
  <c r="T131" i="58" l="1"/>
  <c r="T130" i="58"/>
  <c r="T234" i="58"/>
  <c r="T184" i="58"/>
  <c r="T159" i="58"/>
  <c r="T213" i="58"/>
  <c r="T232" i="58"/>
  <c r="T231" i="58"/>
  <c r="T15" i="58"/>
  <c r="T254" i="58"/>
  <c r="T170" i="58"/>
  <c r="T25" i="58"/>
  <c r="T17" i="58"/>
  <c r="T103" i="58"/>
  <c r="T135" i="58"/>
  <c r="T218" i="58"/>
  <c r="T168" i="58"/>
  <c r="T167" i="58"/>
  <c r="T198" i="58"/>
  <c r="T187" i="58"/>
  <c r="T190" i="58"/>
  <c r="T125" i="58"/>
  <c r="T93" i="58"/>
  <c r="T13" i="58"/>
  <c r="T71" i="58"/>
  <c r="T145" i="58"/>
  <c r="T109" i="58"/>
  <c r="T230" i="58"/>
  <c r="T94" i="58"/>
  <c r="O2" i="58"/>
  <c r="T214" i="58"/>
  <c r="T161" i="58"/>
  <c r="T186" i="58"/>
  <c r="T105" i="58"/>
  <c r="T98" i="58"/>
  <c r="T157" i="58"/>
  <c r="T73" i="58"/>
  <c r="T163" i="58"/>
  <c r="T42" i="58"/>
  <c r="T136" i="58"/>
  <c r="T225" i="58"/>
  <c r="T39" i="58"/>
  <c r="T113" i="58"/>
  <c r="T66" i="58"/>
  <c r="T160" i="58"/>
  <c r="T205" i="58"/>
  <c r="T249" i="58"/>
  <c r="T154" i="58"/>
  <c r="T252" i="58"/>
  <c r="T34" i="58"/>
  <c r="T128" i="58"/>
  <c r="T251" i="58"/>
  <c r="T206" i="58"/>
  <c r="T82" i="58"/>
  <c r="T180" i="58"/>
  <c r="T99" i="58"/>
  <c r="T72" i="58"/>
  <c r="T182" i="58"/>
  <c r="T162" i="58"/>
  <c r="T90" i="58"/>
  <c r="T233" i="58"/>
  <c r="T96" i="58"/>
  <c r="T129" i="58"/>
  <c r="T223" i="58"/>
  <c r="T111" i="58"/>
  <c r="T117" i="58"/>
  <c r="T240" i="58"/>
  <c r="T91" i="58"/>
  <c r="T64" i="58"/>
  <c r="T158" i="58"/>
  <c r="T79" i="58"/>
  <c r="T242" i="58"/>
  <c r="T35" i="58"/>
  <c r="T248" i="58"/>
  <c r="T151" i="58"/>
  <c r="T176" i="58"/>
  <c r="T224" i="58"/>
  <c r="T1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W13" i="71"/>
  <c r="W14" i="71"/>
  <c r="W15" i="71"/>
  <c r="W16" i="71"/>
  <c r="W17" i="71"/>
  <c r="W18" i="71"/>
  <c r="W19" i="71"/>
  <c r="W20" i="71"/>
  <c r="W21" i="71"/>
  <c r="W22" i="71"/>
  <c r="W23" i="71"/>
  <c r="W24" i="71"/>
  <c r="W25" i="71"/>
  <c r="W26"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R13" i="71"/>
  <c r="R14" i="71"/>
  <c r="R15" i="71"/>
  <c r="R16" i="71"/>
  <c r="R17" i="71"/>
  <c r="R18" i="71"/>
  <c r="R19" i="71"/>
  <c r="R20" i="71"/>
  <c r="R21" i="71"/>
  <c r="R22" i="71"/>
  <c r="R23" i="71"/>
  <c r="R24" i="71"/>
  <c r="R25" i="71"/>
  <c r="R26"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R17" i="46"/>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X258" i="11"/>
  <c r="X257"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O11" i="11"/>
  <c r="G257" i="46" l="1"/>
  <c r="H259" i="11"/>
  <c r="G11" i="11"/>
  <c r="C140" i="72"/>
  <c r="B140" i="72"/>
  <c r="V9" i="78"/>
  <c r="T9" i="78"/>
  <c r="A51" i="28" l="1"/>
  <c r="AE40" i="65" l="1"/>
  <c r="I73" i="99"/>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AG11" i="67" l="1"/>
  <c r="AG12" i="67"/>
  <c r="AG13" i="67"/>
  <c r="AG14" i="67"/>
  <c r="AG15" i="67"/>
  <c r="AG16" i="67"/>
  <c r="AG17" i="67"/>
  <c r="AG18" i="67"/>
  <c r="AG19" i="67"/>
  <c r="AG20" i="67"/>
  <c r="AG21" i="67"/>
  <c r="AG22" i="67"/>
  <c r="AG23" i="67"/>
  <c r="AG24" i="67"/>
  <c r="AG25" i="67"/>
  <c r="AG26" i="67"/>
  <c r="AG27" i="67"/>
  <c r="AG28" i="67"/>
  <c r="AG29" i="67"/>
  <c r="AG30" i="67"/>
  <c r="AG31" i="67"/>
  <c r="AG32" i="67"/>
  <c r="AG33" i="67"/>
  <c r="AG34" i="67"/>
  <c r="AG35" i="67"/>
  <c r="AG36" i="67"/>
  <c r="AG37" i="67"/>
  <c r="AG38" i="67"/>
  <c r="AG39" i="67"/>
  <c r="AG40" i="67"/>
  <c r="AG41" i="67"/>
  <c r="AG42" i="67"/>
  <c r="AG43" i="67"/>
  <c r="AG44" i="67"/>
  <c r="AG45" i="67"/>
  <c r="AG46" i="67"/>
  <c r="AG47" i="67"/>
  <c r="AG48" i="67"/>
  <c r="AG49" i="67"/>
  <c r="AG50" i="67"/>
  <c r="AG51" i="67"/>
  <c r="AG52" i="67"/>
  <c r="AG53" i="67"/>
  <c r="AG54" i="67"/>
  <c r="AG55" i="67"/>
  <c r="AG56" i="67"/>
  <c r="AG57" i="67"/>
  <c r="AG58" i="67"/>
  <c r="AG59" i="67"/>
  <c r="AG60" i="67"/>
  <c r="AG61" i="67"/>
  <c r="AG62" i="67"/>
  <c r="AG63" i="67"/>
  <c r="AG64" i="67"/>
  <c r="AG65" i="67"/>
  <c r="AG66" i="67"/>
  <c r="AG67" i="67"/>
  <c r="AG68" i="67"/>
  <c r="AG69" i="67"/>
  <c r="AG70" i="67"/>
  <c r="AG71" i="67"/>
  <c r="AG72" i="67"/>
  <c r="AG73" i="67"/>
  <c r="AG74" i="67"/>
  <c r="AG75" i="67"/>
  <c r="AG76" i="67"/>
  <c r="AG77" i="67"/>
  <c r="AG78" i="67"/>
  <c r="AG79" i="67"/>
  <c r="AG80" i="67"/>
  <c r="AG81" i="67"/>
  <c r="AG82" i="67"/>
  <c r="AG83" i="67"/>
  <c r="AG84" i="67"/>
  <c r="AG85" i="67"/>
  <c r="AG86" i="67"/>
  <c r="AG87" i="67"/>
  <c r="AG88" i="67"/>
  <c r="AG89" i="67"/>
  <c r="AG90" i="67"/>
  <c r="AG91" i="67"/>
  <c r="AG92" i="67"/>
  <c r="AG93" i="67"/>
  <c r="AG94" i="67"/>
  <c r="AG95" i="67"/>
  <c r="AG96" i="67"/>
  <c r="AG97" i="67"/>
  <c r="AG98" i="67"/>
  <c r="AG99" i="67"/>
  <c r="AG100" i="67"/>
  <c r="AG101" i="67"/>
  <c r="AG102" i="67"/>
  <c r="AG103" i="67"/>
  <c r="AG104" i="67"/>
  <c r="AG105" i="67"/>
  <c r="AG106" i="67"/>
  <c r="AG107" i="67"/>
  <c r="AG108" i="67"/>
  <c r="AG109" i="67"/>
  <c r="AG110" i="67"/>
  <c r="AG111" i="67"/>
  <c r="AG112" i="67"/>
  <c r="AG113" i="67"/>
  <c r="AG114" i="67"/>
  <c r="AG115" i="67"/>
  <c r="AG116" i="67"/>
  <c r="AG117" i="67"/>
  <c r="AG118" i="67"/>
  <c r="AG119" i="67"/>
  <c r="AG120" i="67"/>
  <c r="AG121" i="67"/>
  <c r="AG122" i="67"/>
  <c r="AG123" i="67"/>
  <c r="AG124" i="67"/>
  <c r="AG125" i="67"/>
  <c r="AG126" i="67"/>
  <c r="AG127" i="67"/>
  <c r="AG128" i="67"/>
  <c r="AG129" i="67"/>
  <c r="AG130" i="67"/>
  <c r="AG131" i="67"/>
  <c r="AG132" i="67"/>
  <c r="AG133" i="67"/>
  <c r="AG134" i="67"/>
  <c r="AG135" i="67"/>
  <c r="AG136" i="67"/>
  <c r="AG137" i="67"/>
  <c r="AG138" i="67"/>
  <c r="AG139" i="67"/>
  <c r="AG140" i="67"/>
  <c r="AG141" i="67"/>
  <c r="AG142" i="67"/>
  <c r="AG143" i="67"/>
  <c r="AG144" i="67"/>
  <c r="AG145" i="67"/>
  <c r="AG146" i="67"/>
  <c r="AG147" i="67"/>
  <c r="AG148" i="67"/>
  <c r="AG149" i="67"/>
  <c r="AG150" i="67"/>
  <c r="AG151" i="67"/>
  <c r="AG152" i="67"/>
  <c r="AG153" i="67"/>
  <c r="AG154" i="67"/>
  <c r="AG155" i="67"/>
  <c r="AG156" i="67"/>
  <c r="AG157" i="67"/>
  <c r="AG158" i="67"/>
  <c r="AG159" i="67"/>
  <c r="AG160" i="67"/>
  <c r="AG161" i="67"/>
  <c r="AG162" i="67"/>
  <c r="AG163" i="67"/>
  <c r="AG164" i="67"/>
  <c r="AG165" i="67"/>
  <c r="AG166" i="67"/>
  <c r="AG167" i="67"/>
  <c r="AG168" i="67"/>
  <c r="AG169" i="67"/>
  <c r="AG170" i="67"/>
  <c r="AG171" i="67"/>
  <c r="AG172" i="67"/>
  <c r="AG173" i="67"/>
  <c r="AG174" i="67"/>
  <c r="AG175" i="67"/>
  <c r="AG176" i="67"/>
  <c r="AG177" i="67"/>
  <c r="AG178" i="67"/>
  <c r="AG179" i="67"/>
  <c r="AG180" i="67"/>
  <c r="AG181" i="67"/>
  <c r="AG182" i="67"/>
  <c r="AG183" i="67"/>
  <c r="AG184" i="67"/>
  <c r="AG185" i="67"/>
  <c r="AG186" i="67"/>
  <c r="AG187" i="67"/>
  <c r="AG188" i="67"/>
  <c r="AG189" i="67"/>
  <c r="AG190" i="67"/>
  <c r="AG191" i="67"/>
  <c r="AG192" i="67"/>
  <c r="AG193" i="67"/>
  <c r="AG194" i="67"/>
  <c r="AG195" i="67"/>
  <c r="AG196" i="67"/>
  <c r="AG197" i="67"/>
  <c r="AG198" i="67"/>
  <c r="AG199" i="67"/>
  <c r="AG200" i="67"/>
  <c r="AG201" i="67"/>
  <c r="AG202" i="67"/>
  <c r="AG203" i="67"/>
  <c r="AG204" i="67"/>
  <c r="AG205" i="67"/>
  <c r="AG206" i="67"/>
  <c r="AG207" i="67"/>
  <c r="AG208" i="67"/>
  <c r="AG209" i="67"/>
  <c r="AG210" i="67"/>
  <c r="AG211" i="67"/>
  <c r="AG212" i="67"/>
  <c r="AG213" i="67"/>
  <c r="AG214" i="67"/>
  <c r="AG215" i="67"/>
  <c r="AG216" i="67"/>
  <c r="AG217" i="67"/>
  <c r="AG218" i="67"/>
  <c r="AG219" i="67"/>
  <c r="AG220" i="67"/>
  <c r="AG221" i="67"/>
  <c r="AG222" i="67"/>
  <c r="AG223" i="67"/>
  <c r="AG224" i="67"/>
  <c r="AG225" i="67"/>
  <c r="AG226" i="67"/>
  <c r="AG227" i="67"/>
  <c r="AG228" i="67"/>
  <c r="AG229" i="67"/>
  <c r="AG230" i="67"/>
  <c r="AG231" i="67"/>
  <c r="AG232" i="67"/>
  <c r="AG233" i="67"/>
  <c r="AG234" i="67"/>
  <c r="AG235" i="67"/>
  <c r="AG236" i="67"/>
  <c r="AG237" i="67"/>
  <c r="AG238" i="67"/>
  <c r="AG239" i="67"/>
  <c r="AG240" i="67"/>
  <c r="AG241" i="67"/>
  <c r="AG242" i="67"/>
  <c r="AG243" i="67"/>
  <c r="AG244" i="67"/>
  <c r="AG245" i="67"/>
  <c r="AG246" i="67"/>
  <c r="AG247" i="67"/>
  <c r="AG248" i="67"/>
  <c r="AG249" i="67"/>
  <c r="AG250" i="67"/>
  <c r="AG251" i="67"/>
  <c r="AG252" i="67"/>
  <c r="AG253" i="67"/>
  <c r="AG254" i="67"/>
  <c r="AG255" i="67"/>
  <c r="AG256" i="67"/>
  <c r="AG257" i="67"/>
  <c r="AG10" i="67"/>
  <c r="AG10" i="63"/>
  <c r="T4" i="67" l="1"/>
  <c r="AG11" i="63"/>
  <c r="AG12" i="63"/>
  <c r="AG13" i="63"/>
  <c r="AG14" i="63"/>
  <c r="AG15" i="63"/>
  <c r="AG16" i="63"/>
  <c r="AG17" i="63"/>
  <c r="AG18" i="63"/>
  <c r="AG19" i="63"/>
  <c r="AG20" i="63"/>
  <c r="AG21" i="63"/>
  <c r="AG22" i="63"/>
  <c r="AG23" i="63"/>
  <c r="AG24" i="63"/>
  <c r="AG25" i="63"/>
  <c r="AG26" i="63"/>
  <c r="AG27" i="63"/>
  <c r="AG28" i="63"/>
  <c r="AG29" i="63"/>
  <c r="AG30" i="63"/>
  <c r="AG31" i="63"/>
  <c r="AG32" i="63"/>
  <c r="AG33" i="63"/>
  <c r="AG34" i="63"/>
  <c r="AG35" i="63"/>
  <c r="AG36" i="63"/>
  <c r="AG37" i="63"/>
  <c r="AG38" i="63"/>
  <c r="AG39" i="63"/>
  <c r="AG40" i="63"/>
  <c r="AG41" i="63"/>
  <c r="AG42" i="63"/>
  <c r="AG43" i="63"/>
  <c r="AG44" i="63"/>
  <c r="AG45" i="63"/>
  <c r="AG46" i="63"/>
  <c r="AG47" i="63"/>
  <c r="AG48" i="63"/>
  <c r="AG49" i="63"/>
  <c r="AG50" i="63"/>
  <c r="AG51" i="63"/>
  <c r="AG52" i="63"/>
  <c r="AG53" i="63"/>
  <c r="AG54" i="63"/>
  <c r="AG55" i="63"/>
  <c r="AG56" i="63"/>
  <c r="AG57" i="63"/>
  <c r="AG58" i="63"/>
  <c r="AG59" i="63"/>
  <c r="AG60" i="63"/>
  <c r="AG61" i="63"/>
  <c r="AG62" i="63"/>
  <c r="AG63" i="63"/>
  <c r="AG64" i="63"/>
  <c r="AG65" i="63"/>
  <c r="AG66" i="63"/>
  <c r="AG67" i="63"/>
  <c r="AG68" i="63"/>
  <c r="AG69" i="63"/>
  <c r="AG70" i="63"/>
  <c r="AG71" i="63"/>
  <c r="AG72" i="63"/>
  <c r="AG73" i="63"/>
  <c r="AG74" i="63"/>
  <c r="AG75" i="63"/>
  <c r="AG76" i="63"/>
  <c r="AG77" i="63"/>
  <c r="AG78" i="63"/>
  <c r="AG79" i="63"/>
  <c r="AG80" i="63"/>
  <c r="AG81" i="63"/>
  <c r="AG82" i="63"/>
  <c r="AG83" i="63"/>
  <c r="AG84" i="63"/>
  <c r="AG85" i="63"/>
  <c r="AG86" i="63"/>
  <c r="AG87" i="63"/>
  <c r="AG88" i="63"/>
  <c r="AG89" i="63"/>
  <c r="AG90" i="63"/>
  <c r="AG91" i="63"/>
  <c r="AG92" i="63"/>
  <c r="AG93" i="63"/>
  <c r="AG94" i="63"/>
  <c r="AG95" i="63"/>
  <c r="AG96" i="63"/>
  <c r="AG97" i="63"/>
  <c r="AG98" i="63"/>
  <c r="AG99" i="63"/>
  <c r="AG100" i="63"/>
  <c r="AG101" i="63"/>
  <c r="AG102" i="63"/>
  <c r="AG103" i="63"/>
  <c r="AG104" i="63"/>
  <c r="AG105" i="63"/>
  <c r="AG106" i="63"/>
  <c r="AG107" i="63"/>
  <c r="AG108" i="63"/>
  <c r="AG109" i="63"/>
  <c r="AG110" i="63"/>
  <c r="AG111" i="63"/>
  <c r="AG112" i="63"/>
  <c r="AG113" i="63"/>
  <c r="AG114" i="63"/>
  <c r="AG115" i="63"/>
  <c r="AG116" i="63"/>
  <c r="AG117" i="63"/>
  <c r="AG118" i="63"/>
  <c r="AG119" i="63"/>
  <c r="AG120" i="63"/>
  <c r="AG121" i="63"/>
  <c r="AG122" i="63"/>
  <c r="AG123" i="63"/>
  <c r="AG124" i="63"/>
  <c r="AG125" i="63"/>
  <c r="AG126" i="63"/>
  <c r="AG127" i="63"/>
  <c r="AG128" i="63"/>
  <c r="AG129" i="63"/>
  <c r="AG130" i="63"/>
  <c r="AG131" i="63"/>
  <c r="AG132" i="63"/>
  <c r="AG133" i="63"/>
  <c r="AG134" i="63"/>
  <c r="AG135" i="63"/>
  <c r="AG136" i="63"/>
  <c r="AG137" i="63"/>
  <c r="AG138" i="63"/>
  <c r="AG139" i="63"/>
  <c r="AG140" i="63"/>
  <c r="AG141" i="63"/>
  <c r="AG142" i="63"/>
  <c r="AG143" i="63"/>
  <c r="AG144" i="63"/>
  <c r="AG145" i="63"/>
  <c r="AG146" i="63"/>
  <c r="AG147" i="63"/>
  <c r="AG148" i="63"/>
  <c r="AG149" i="63"/>
  <c r="AG150" i="63"/>
  <c r="AG151" i="63"/>
  <c r="AG152" i="63"/>
  <c r="AG153" i="63"/>
  <c r="AG154" i="63"/>
  <c r="AG155" i="63"/>
  <c r="AG156" i="63"/>
  <c r="AG157" i="63"/>
  <c r="AG158" i="63"/>
  <c r="AG159" i="63"/>
  <c r="AG160" i="63"/>
  <c r="AG161" i="63"/>
  <c r="AG162" i="63"/>
  <c r="AG163" i="63"/>
  <c r="AG164" i="63"/>
  <c r="AG165" i="63"/>
  <c r="AG166" i="63"/>
  <c r="AG167" i="63"/>
  <c r="AG168" i="63"/>
  <c r="AG169" i="63"/>
  <c r="AG170" i="63"/>
  <c r="AG171" i="63"/>
  <c r="AG172" i="63"/>
  <c r="AG173" i="63"/>
  <c r="AG174" i="63"/>
  <c r="AG175" i="63"/>
  <c r="AG176" i="63"/>
  <c r="AG177" i="63"/>
  <c r="AG178" i="63"/>
  <c r="AG179" i="63"/>
  <c r="AG180" i="63"/>
  <c r="AG181" i="63"/>
  <c r="AG182" i="63"/>
  <c r="AG183" i="63"/>
  <c r="AG184" i="63"/>
  <c r="AG185" i="63"/>
  <c r="AG186" i="63"/>
  <c r="AG187" i="63"/>
  <c r="AG188" i="63"/>
  <c r="AG189" i="63"/>
  <c r="AG190" i="63"/>
  <c r="AG191" i="63"/>
  <c r="AG192" i="63"/>
  <c r="AG193" i="63"/>
  <c r="AG194" i="63"/>
  <c r="AG195" i="63"/>
  <c r="AG196" i="63"/>
  <c r="AG197" i="63"/>
  <c r="AG198" i="63"/>
  <c r="AG199" i="63"/>
  <c r="AG200" i="63"/>
  <c r="AG201" i="63"/>
  <c r="AG202" i="63"/>
  <c r="AG203" i="63"/>
  <c r="AG204" i="63"/>
  <c r="AG205" i="63"/>
  <c r="AG206" i="63"/>
  <c r="AG207" i="63"/>
  <c r="AG208" i="63"/>
  <c r="AG209" i="63"/>
  <c r="AG210" i="63"/>
  <c r="AG211" i="63"/>
  <c r="AG212" i="63"/>
  <c r="AG213" i="63"/>
  <c r="AG214" i="63"/>
  <c r="AG215" i="63"/>
  <c r="AG216" i="63"/>
  <c r="AG217" i="63"/>
  <c r="AG218" i="63"/>
  <c r="AG219" i="63"/>
  <c r="AG220" i="63"/>
  <c r="AG221" i="63"/>
  <c r="AG222" i="63"/>
  <c r="AG223" i="63"/>
  <c r="AG224" i="63"/>
  <c r="AG225" i="63"/>
  <c r="AG226" i="63"/>
  <c r="AG227" i="63"/>
  <c r="AG228" i="63"/>
  <c r="AG229" i="63"/>
  <c r="AG230" i="63"/>
  <c r="AG231" i="63"/>
  <c r="AG232" i="63"/>
  <c r="AG233" i="63"/>
  <c r="AG234" i="63"/>
  <c r="AG235" i="63"/>
  <c r="AG236" i="63"/>
  <c r="AG237" i="63"/>
  <c r="AG238" i="63"/>
  <c r="AG239" i="63"/>
  <c r="AG240" i="63"/>
  <c r="AG241" i="63"/>
  <c r="AG242" i="63"/>
  <c r="AG243" i="63"/>
  <c r="AG244" i="63"/>
  <c r="AG245" i="63"/>
  <c r="AG246" i="63"/>
  <c r="AG247" i="63"/>
  <c r="AG248" i="63"/>
  <c r="AG249" i="63"/>
  <c r="AG250" i="63"/>
  <c r="AG251" i="63"/>
  <c r="AG252" i="63"/>
  <c r="AG253" i="63"/>
  <c r="AG254" i="63"/>
  <c r="AG255" i="63"/>
  <c r="AG256" i="63"/>
  <c r="AG257" i="63"/>
  <c r="T5" i="63" l="1"/>
  <c r="A13" i="11"/>
  <c r="A11" i="11"/>
  <c r="W11" i="67" l="1"/>
  <c r="X11" i="67"/>
  <c r="W12" i="67"/>
  <c r="X12" i="67"/>
  <c r="W13" i="67"/>
  <c r="X13" i="67"/>
  <c r="W14" i="67"/>
  <c r="X14" i="67"/>
  <c r="W15" i="67"/>
  <c r="X15" i="67"/>
  <c r="W16" i="67"/>
  <c r="X16" i="67"/>
  <c r="W17" i="67"/>
  <c r="X17" i="67"/>
  <c r="W18" i="67"/>
  <c r="X18" i="67"/>
  <c r="W19" i="67"/>
  <c r="X19" i="67"/>
  <c r="W20" i="67"/>
  <c r="X20" i="67"/>
  <c r="W21" i="67"/>
  <c r="X21" i="67"/>
  <c r="W22" i="67"/>
  <c r="X22" i="67"/>
  <c r="W23" i="67"/>
  <c r="X23" i="67"/>
  <c r="W24" i="67"/>
  <c r="X24" i="67"/>
  <c r="W25" i="67"/>
  <c r="X25" i="67"/>
  <c r="W26" i="67"/>
  <c r="X26" i="67"/>
  <c r="W27" i="67"/>
  <c r="X27" i="67"/>
  <c r="W28" i="67"/>
  <c r="X28" i="67"/>
  <c r="W29" i="67"/>
  <c r="X29" i="67"/>
  <c r="W30" i="67"/>
  <c r="X30" i="67"/>
  <c r="W31" i="67"/>
  <c r="X31" i="67"/>
  <c r="W32" i="67"/>
  <c r="X32" i="67"/>
  <c r="W33" i="67"/>
  <c r="X33" i="67"/>
  <c r="W34" i="67"/>
  <c r="X34" i="67"/>
  <c r="W35" i="67"/>
  <c r="X35" i="67"/>
  <c r="W36" i="67"/>
  <c r="X36" i="67"/>
  <c r="W37" i="67"/>
  <c r="X37" i="67"/>
  <c r="W38" i="67"/>
  <c r="X38" i="67"/>
  <c r="W39" i="67"/>
  <c r="X39" i="67"/>
  <c r="W40" i="67"/>
  <c r="X40" i="67"/>
  <c r="W41" i="67"/>
  <c r="X41" i="67"/>
  <c r="W42" i="67"/>
  <c r="X42" i="67"/>
  <c r="W43" i="67"/>
  <c r="X43" i="67"/>
  <c r="W44" i="67"/>
  <c r="X44" i="67"/>
  <c r="W45" i="67"/>
  <c r="X45" i="67"/>
  <c r="W46" i="67"/>
  <c r="X46" i="67"/>
  <c r="W47" i="67"/>
  <c r="X47" i="67"/>
  <c r="W48" i="67"/>
  <c r="X48" i="67"/>
  <c r="W49" i="67"/>
  <c r="X49" i="67"/>
  <c r="W50" i="67"/>
  <c r="X50" i="67"/>
  <c r="W51" i="67"/>
  <c r="X51" i="67"/>
  <c r="W52" i="67"/>
  <c r="X52" i="67"/>
  <c r="W53" i="67"/>
  <c r="X53" i="67"/>
  <c r="X54" i="67"/>
  <c r="W55" i="67"/>
  <c r="X55" i="67"/>
  <c r="W56" i="67"/>
  <c r="X56" i="67"/>
  <c r="W57" i="67"/>
  <c r="X57" i="67"/>
  <c r="W58" i="67"/>
  <c r="X58" i="67"/>
  <c r="W59" i="67"/>
  <c r="X59" i="67"/>
  <c r="W60" i="67"/>
  <c r="X60" i="67"/>
  <c r="W61" i="67"/>
  <c r="X61" i="67"/>
  <c r="W62" i="67"/>
  <c r="X62" i="67"/>
  <c r="W63" i="67"/>
  <c r="X63" i="67"/>
  <c r="W64" i="67"/>
  <c r="X64" i="67"/>
  <c r="W65" i="67"/>
  <c r="X65" i="67"/>
  <c r="W66" i="67"/>
  <c r="X66" i="67"/>
  <c r="W67" i="67"/>
  <c r="X67" i="67"/>
  <c r="W68" i="67"/>
  <c r="X68" i="67"/>
  <c r="W69" i="67"/>
  <c r="X69" i="67"/>
  <c r="W70" i="67"/>
  <c r="X70" i="67"/>
  <c r="W71" i="67"/>
  <c r="X71" i="67"/>
  <c r="W72" i="67"/>
  <c r="X72" i="67"/>
  <c r="W73" i="67"/>
  <c r="X73" i="67"/>
  <c r="W74" i="67"/>
  <c r="X74" i="67"/>
  <c r="W75" i="67"/>
  <c r="X75" i="67"/>
  <c r="W76" i="67"/>
  <c r="X76" i="67"/>
  <c r="W77" i="67"/>
  <c r="X77" i="67"/>
  <c r="W78" i="67"/>
  <c r="X78" i="67"/>
  <c r="W79" i="67"/>
  <c r="X79" i="67"/>
  <c r="W80" i="67"/>
  <c r="X80" i="67"/>
  <c r="W81" i="67"/>
  <c r="X81" i="67"/>
  <c r="W82" i="67"/>
  <c r="X82" i="67"/>
  <c r="W83" i="67"/>
  <c r="X83" i="67"/>
  <c r="W84" i="67"/>
  <c r="X84" i="67"/>
  <c r="W85" i="67"/>
  <c r="X85" i="67"/>
  <c r="W86" i="67"/>
  <c r="X86" i="67"/>
  <c r="W87" i="67"/>
  <c r="X87" i="67"/>
  <c r="W88" i="67"/>
  <c r="X88" i="67"/>
  <c r="W89" i="67"/>
  <c r="X89" i="67"/>
  <c r="W90" i="67"/>
  <c r="X90" i="67"/>
  <c r="W91" i="67"/>
  <c r="X91" i="67"/>
  <c r="W92" i="67"/>
  <c r="X92" i="67"/>
  <c r="W93" i="67"/>
  <c r="X93" i="67"/>
  <c r="W94" i="67"/>
  <c r="X94" i="67"/>
  <c r="W95" i="67"/>
  <c r="X95" i="67"/>
  <c r="W96" i="67"/>
  <c r="X96" i="67"/>
  <c r="W97" i="67"/>
  <c r="X97" i="67"/>
  <c r="W98" i="67"/>
  <c r="X98" i="67"/>
  <c r="W99" i="67"/>
  <c r="X99" i="67"/>
  <c r="W100" i="67"/>
  <c r="X100" i="67"/>
  <c r="W101" i="67"/>
  <c r="X101" i="67"/>
  <c r="W102" i="67"/>
  <c r="X102" i="67"/>
  <c r="W103" i="67"/>
  <c r="X103" i="67"/>
  <c r="W104" i="67"/>
  <c r="X104" i="67"/>
  <c r="W105" i="67"/>
  <c r="X105" i="67"/>
  <c r="W106" i="67"/>
  <c r="X106" i="67"/>
  <c r="W107" i="67"/>
  <c r="X107" i="67"/>
  <c r="W108" i="67"/>
  <c r="X108" i="67"/>
  <c r="W109" i="67"/>
  <c r="X109" i="67"/>
  <c r="W110" i="67"/>
  <c r="X110" i="67"/>
  <c r="W111" i="67"/>
  <c r="X111" i="67"/>
  <c r="W112" i="67"/>
  <c r="X112" i="67"/>
  <c r="W113" i="67"/>
  <c r="X113" i="67"/>
  <c r="W114" i="67"/>
  <c r="X114" i="67"/>
  <c r="W115" i="67"/>
  <c r="X115" i="67"/>
  <c r="W116" i="67"/>
  <c r="X116" i="67"/>
  <c r="W117" i="67"/>
  <c r="X117" i="67"/>
  <c r="W118" i="67"/>
  <c r="X118" i="67"/>
  <c r="W119" i="67"/>
  <c r="X119" i="67"/>
  <c r="W120" i="67"/>
  <c r="X120" i="67"/>
  <c r="W121" i="67"/>
  <c r="X121" i="67"/>
  <c r="W122" i="67"/>
  <c r="X122" i="67"/>
  <c r="W123" i="67"/>
  <c r="X123" i="67"/>
  <c r="W124" i="67"/>
  <c r="X124" i="67"/>
  <c r="W125" i="67"/>
  <c r="X125" i="67"/>
  <c r="W126" i="67"/>
  <c r="X126" i="67"/>
  <c r="W127" i="67"/>
  <c r="X127" i="67"/>
  <c r="W128" i="67"/>
  <c r="X128" i="67"/>
  <c r="W129" i="67"/>
  <c r="X129" i="67"/>
  <c r="W130" i="67"/>
  <c r="X130" i="67"/>
  <c r="W131" i="67"/>
  <c r="X131" i="67"/>
  <c r="W132" i="67"/>
  <c r="X132" i="67"/>
  <c r="W133" i="67"/>
  <c r="X133" i="67"/>
  <c r="W134" i="67"/>
  <c r="X134" i="67"/>
  <c r="W135" i="67"/>
  <c r="X135" i="67"/>
  <c r="W136" i="67"/>
  <c r="X136" i="67"/>
  <c r="W137" i="67"/>
  <c r="X137" i="67"/>
  <c r="W138" i="67"/>
  <c r="X138" i="67"/>
  <c r="W139" i="67"/>
  <c r="X139" i="67"/>
  <c r="W140" i="67"/>
  <c r="X140" i="67"/>
  <c r="W141" i="67"/>
  <c r="X141" i="67"/>
  <c r="W142" i="67"/>
  <c r="X142" i="67"/>
  <c r="W143" i="67"/>
  <c r="X143" i="67"/>
  <c r="W144" i="67"/>
  <c r="X144" i="67"/>
  <c r="W145" i="67"/>
  <c r="X145" i="67"/>
  <c r="W146" i="67"/>
  <c r="X146" i="67"/>
  <c r="W147" i="67"/>
  <c r="X147" i="67"/>
  <c r="W148" i="67"/>
  <c r="X148" i="67"/>
  <c r="W149" i="67"/>
  <c r="X149" i="67"/>
  <c r="W150" i="67"/>
  <c r="X150" i="67"/>
  <c r="W151" i="67"/>
  <c r="X151" i="67"/>
  <c r="W152" i="67"/>
  <c r="X152" i="67"/>
  <c r="W153" i="67"/>
  <c r="X153" i="67"/>
  <c r="W154" i="67"/>
  <c r="X154" i="67"/>
  <c r="W155" i="67"/>
  <c r="X155" i="67"/>
  <c r="W156" i="67"/>
  <c r="X156" i="67"/>
  <c r="W157" i="67"/>
  <c r="X157" i="67"/>
  <c r="W158" i="67"/>
  <c r="X158" i="67"/>
  <c r="W159" i="67"/>
  <c r="X159" i="67"/>
  <c r="W160" i="67"/>
  <c r="X160" i="67"/>
  <c r="W161" i="67"/>
  <c r="X161" i="67"/>
  <c r="W162" i="67"/>
  <c r="X162" i="67"/>
  <c r="W163" i="67"/>
  <c r="X163" i="67"/>
  <c r="W164" i="67"/>
  <c r="X164" i="67"/>
  <c r="W165" i="67"/>
  <c r="X165" i="67"/>
  <c r="W166" i="67"/>
  <c r="X166" i="67"/>
  <c r="W167" i="67"/>
  <c r="X167" i="67"/>
  <c r="W168" i="67"/>
  <c r="X168" i="67"/>
  <c r="W169" i="67"/>
  <c r="X169" i="67"/>
  <c r="W170" i="67"/>
  <c r="X170" i="67"/>
  <c r="W171" i="67"/>
  <c r="X171" i="67"/>
  <c r="W172" i="67"/>
  <c r="X172" i="67"/>
  <c r="W173" i="67"/>
  <c r="X173" i="67"/>
  <c r="W174" i="67"/>
  <c r="X174" i="67"/>
  <c r="W175" i="67"/>
  <c r="X175" i="67"/>
  <c r="W176" i="67"/>
  <c r="X176" i="67"/>
  <c r="W177" i="67"/>
  <c r="X177" i="67"/>
  <c r="W178" i="67"/>
  <c r="X178" i="67"/>
  <c r="W179" i="67"/>
  <c r="X179" i="67"/>
  <c r="W180" i="67"/>
  <c r="X180" i="67"/>
  <c r="W181" i="67"/>
  <c r="X181" i="67"/>
  <c r="W182" i="67"/>
  <c r="X182" i="67"/>
  <c r="W183" i="67"/>
  <c r="X183" i="67"/>
  <c r="W184" i="67"/>
  <c r="X184" i="67"/>
  <c r="W185" i="67"/>
  <c r="X185" i="67"/>
  <c r="W186" i="67"/>
  <c r="X186" i="67"/>
  <c r="W187" i="67"/>
  <c r="X187" i="67"/>
  <c r="W188" i="67"/>
  <c r="X188" i="67"/>
  <c r="W189" i="67"/>
  <c r="X189" i="67"/>
  <c r="W190" i="67"/>
  <c r="X190" i="67"/>
  <c r="W191" i="67"/>
  <c r="X191" i="67"/>
  <c r="W192" i="67"/>
  <c r="X192" i="67"/>
  <c r="W193" i="67"/>
  <c r="X193" i="67"/>
  <c r="W194" i="67"/>
  <c r="X194" i="67"/>
  <c r="W195" i="67"/>
  <c r="X195" i="67"/>
  <c r="W196" i="67"/>
  <c r="X196" i="67"/>
  <c r="W197" i="67"/>
  <c r="X197" i="67"/>
  <c r="W198" i="67"/>
  <c r="X198" i="67"/>
  <c r="W199" i="67"/>
  <c r="X199" i="67"/>
  <c r="W200" i="67"/>
  <c r="X200" i="67"/>
  <c r="W201" i="67"/>
  <c r="X201" i="67"/>
  <c r="W202" i="67"/>
  <c r="X202" i="67"/>
  <c r="W203" i="67"/>
  <c r="X203" i="67"/>
  <c r="W204" i="67"/>
  <c r="X204" i="67"/>
  <c r="W205" i="67"/>
  <c r="X205" i="67"/>
  <c r="W206" i="67"/>
  <c r="X206" i="67"/>
  <c r="W207" i="67"/>
  <c r="X207" i="67"/>
  <c r="W208" i="67"/>
  <c r="X208" i="67"/>
  <c r="W209" i="67"/>
  <c r="X209" i="67"/>
  <c r="W210" i="67"/>
  <c r="X210" i="67"/>
  <c r="W211" i="67"/>
  <c r="X211" i="67"/>
  <c r="W212" i="67"/>
  <c r="X212" i="67"/>
  <c r="W213" i="67"/>
  <c r="X213" i="67"/>
  <c r="W214" i="67"/>
  <c r="X214" i="67"/>
  <c r="W215" i="67"/>
  <c r="X215" i="67"/>
  <c r="W216" i="67"/>
  <c r="X216" i="67"/>
  <c r="W217" i="67"/>
  <c r="X217" i="67"/>
  <c r="W218" i="67"/>
  <c r="X218" i="67"/>
  <c r="W219" i="67"/>
  <c r="X219" i="67"/>
  <c r="W220" i="67"/>
  <c r="X220" i="67"/>
  <c r="W221" i="67"/>
  <c r="X221" i="67"/>
  <c r="W222" i="67"/>
  <c r="X222" i="67"/>
  <c r="W223" i="67"/>
  <c r="X223" i="67"/>
  <c r="W224" i="67"/>
  <c r="X224" i="67"/>
  <c r="W225" i="67"/>
  <c r="X225" i="67"/>
  <c r="W226" i="67"/>
  <c r="X226" i="67"/>
  <c r="W227" i="67"/>
  <c r="X227" i="67"/>
  <c r="W228" i="67"/>
  <c r="X228" i="67"/>
  <c r="W229" i="67"/>
  <c r="X229" i="67"/>
  <c r="W230" i="67"/>
  <c r="X230" i="67"/>
  <c r="W231" i="67"/>
  <c r="X231" i="67"/>
  <c r="W232" i="67"/>
  <c r="X232" i="67"/>
  <c r="W233" i="67"/>
  <c r="X233" i="67"/>
  <c r="W234" i="67"/>
  <c r="X234" i="67"/>
  <c r="W235" i="67"/>
  <c r="X235" i="67"/>
  <c r="W236" i="67"/>
  <c r="X236" i="67"/>
  <c r="W237" i="67"/>
  <c r="X237" i="67"/>
  <c r="W238" i="67"/>
  <c r="X238" i="67"/>
  <c r="W239" i="67"/>
  <c r="X239" i="67"/>
  <c r="W240" i="67"/>
  <c r="X240" i="67"/>
  <c r="W241" i="67"/>
  <c r="X241" i="67"/>
  <c r="W242" i="67"/>
  <c r="X242" i="67"/>
  <c r="W243" i="67"/>
  <c r="X243" i="67"/>
  <c r="W244" i="67"/>
  <c r="X244" i="67"/>
  <c r="W245" i="67"/>
  <c r="X245" i="67"/>
  <c r="W246" i="67"/>
  <c r="X246" i="67"/>
  <c r="W247" i="67"/>
  <c r="X247" i="67"/>
  <c r="W248" i="67"/>
  <c r="X248" i="67"/>
  <c r="W249" i="67"/>
  <c r="X249" i="67"/>
  <c r="W250" i="67"/>
  <c r="X250" i="67"/>
  <c r="W251" i="67"/>
  <c r="X251" i="67"/>
  <c r="W252" i="67"/>
  <c r="X252" i="67"/>
  <c r="W253" i="67"/>
  <c r="X253" i="67"/>
  <c r="W254" i="67"/>
  <c r="X254" i="67"/>
  <c r="W255" i="67"/>
  <c r="X255" i="67"/>
  <c r="W256" i="67"/>
  <c r="X256" i="67"/>
  <c r="W257" i="67"/>
  <c r="X257" i="67"/>
  <c r="X10" i="67"/>
  <c r="X11" i="63"/>
  <c r="X12" i="63"/>
  <c r="X13" i="63"/>
  <c r="X15" i="63"/>
  <c r="X16" i="63"/>
  <c r="X17" i="63"/>
  <c r="X18" i="63"/>
  <c r="X19" i="63"/>
  <c r="X20" i="63"/>
  <c r="X21" i="63"/>
  <c r="X22" i="63"/>
  <c r="X23" i="63"/>
  <c r="X24" i="63"/>
  <c r="X25" i="63"/>
  <c r="X26" i="63"/>
  <c r="X27" i="63"/>
  <c r="X28" i="63"/>
  <c r="X29" i="63"/>
  <c r="X30" i="63"/>
  <c r="X31" i="63"/>
  <c r="X32" i="63"/>
  <c r="W33" i="63"/>
  <c r="X33" i="63"/>
  <c r="W34" i="63"/>
  <c r="X34" i="63"/>
  <c r="W35" i="63"/>
  <c r="X35" i="63"/>
  <c r="W36" i="63"/>
  <c r="X36" i="63"/>
  <c r="W37" i="63"/>
  <c r="X37" i="63"/>
  <c r="X38" i="63"/>
  <c r="W39" i="63"/>
  <c r="X39" i="63"/>
  <c r="W40" i="63"/>
  <c r="X40" i="63"/>
  <c r="W41" i="63"/>
  <c r="X41" i="63"/>
  <c r="W42" i="63"/>
  <c r="X42" i="63"/>
  <c r="W43" i="63"/>
  <c r="X43" i="63"/>
  <c r="W44" i="63"/>
  <c r="X44" i="63"/>
  <c r="W45" i="63"/>
  <c r="X45" i="63"/>
  <c r="W46" i="63"/>
  <c r="X46" i="63"/>
  <c r="X47" i="63"/>
  <c r="W48" i="63"/>
  <c r="X48" i="63"/>
  <c r="W49" i="63"/>
  <c r="X49" i="63"/>
  <c r="W50" i="63"/>
  <c r="X50" i="63"/>
  <c r="W51" i="63"/>
  <c r="X51" i="63"/>
  <c r="W52" i="63"/>
  <c r="X52" i="63"/>
  <c r="W53" i="63"/>
  <c r="X53" i="63"/>
  <c r="W54" i="63"/>
  <c r="X54" i="63"/>
  <c r="W55" i="63"/>
  <c r="X55" i="63"/>
  <c r="W56" i="63"/>
  <c r="X56" i="63"/>
  <c r="W57" i="63"/>
  <c r="X57" i="63"/>
  <c r="W58" i="63"/>
  <c r="X58" i="63"/>
  <c r="W59" i="63"/>
  <c r="X59" i="63"/>
  <c r="W60" i="63"/>
  <c r="X60" i="63"/>
  <c r="W61" i="63"/>
  <c r="X61" i="63"/>
  <c r="W62" i="63"/>
  <c r="X62" i="63"/>
  <c r="W63" i="63"/>
  <c r="X63" i="63"/>
  <c r="W64" i="63"/>
  <c r="X64" i="63"/>
  <c r="W65" i="63"/>
  <c r="X65" i="63"/>
  <c r="W66" i="63"/>
  <c r="X66" i="63"/>
  <c r="W67" i="63"/>
  <c r="X67" i="63"/>
  <c r="W68" i="63"/>
  <c r="X68" i="63"/>
  <c r="W69" i="63"/>
  <c r="X69" i="63"/>
  <c r="W70" i="63"/>
  <c r="X70" i="63"/>
  <c r="W71" i="63"/>
  <c r="X71" i="63"/>
  <c r="W72" i="63"/>
  <c r="X72" i="63"/>
  <c r="W73" i="63"/>
  <c r="X73" i="63"/>
  <c r="W74" i="63"/>
  <c r="X74" i="63"/>
  <c r="W75" i="63"/>
  <c r="X75" i="63"/>
  <c r="W76" i="63"/>
  <c r="X76" i="63"/>
  <c r="W77" i="63"/>
  <c r="X77" i="63"/>
  <c r="W78" i="63"/>
  <c r="X78" i="63"/>
  <c r="W79" i="63"/>
  <c r="X79" i="63"/>
  <c r="W80" i="63"/>
  <c r="X80" i="63"/>
  <c r="W81" i="63"/>
  <c r="X81" i="63"/>
  <c r="W82" i="63"/>
  <c r="X82" i="63"/>
  <c r="W83" i="63"/>
  <c r="X83" i="63"/>
  <c r="W84" i="63"/>
  <c r="X84" i="63"/>
  <c r="W85" i="63"/>
  <c r="X85" i="63"/>
  <c r="W86" i="63"/>
  <c r="X86" i="63"/>
  <c r="W87" i="63"/>
  <c r="X87" i="63"/>
  <c r="W88" i="63"/>
  <c r="X88" i="63"/>
  <c r="W89" i="63"/>
  <c r="X89" i="63"/>
  <c r="W90" i="63"/>
  <c r="X90" i="63"/>
  <c r="W91" i="63"/>
  <c r="X91" i="63"/>
  <c r="W92" i="63"/>
  <c r="X92" i="63"/>
  <c r="W93" i="63"/>
  <c r="X93" i="63"/>
  <c r="W94" i="63"/>
  <c r="X94" i="63"/>
  <c r="W95" i="63"/>
  <c r="X95" i="63"/>
  <c r="W96" i="63"/>
  <c r="X96" i="63"/>
  <c r="W97" i="63"/>
  <c r="X97" i="63"/>
  <c r="W98" i="63"/>
  <c r="X98" i="63"/>
  <c r="W99" i="63"/>
  <c r="X99" i="63"/>
  <c r="W100" i="63"/>
  <c r="X100" i="63"/>
  <c r="W101" i="63"/>
  <c r="X101" i="63"/>
  <c r="W102" i="63"/>
  <c r="X102" i="63"/>
  <c r="W103" i="63"/>
  <c r="X103" i="63"/>
  <c r="W104" i="63"/>
  <c r="X104" i="63"/>
  <c r="W105" i="63"/>
  <c r="X105" i="63"/>
  <c r="W106" i="63"/>
  <c r="X106" i="63"/>
  <c r="W107" i="63"/>
  <c r="X107" i="63"/>
  <c r="W108" i="63"/>
  <c r="X108" i="63"/>
  <c r="W109" i="63"/>
  <c r="X109" i="63"/>
  <c r="W110" i="63"/>
  <c r="X110" i="63"/>
  <c r="W111" i="63"/>
  <c r="X111" i="63"/>
  <c r="W112" i="63"/>
  <c r="X112" i="63"/>
  <c r="W113" i="63"/>
  <c r="X113" i="63"/>
  <c r="W114" i="63"/>
  <c r="X114" i="63"/>
  <c r="W115" i="63"/>
  <c r="X115" i="63"/>
  <c r="W116" i="63"/>
  <c r="X116" i="63"/>
  <c r="W117" i="63"/>
  <c r="X117" i="63"/>
  <c r="W118" i="63"/>
  <c r="X118" i="63"/>
  <c r="W119" i="63"/>
  <c r="X119" i="63"/>
  <c r="W120" i="63"/>
  <c r="X120" i="63"/>
  <c r="W121" i="63"/>
  <c r="X121" i="63"/>
  <c r="W122" i="63"/>
  <c r="X122" i="63"/>
  <c r="W123" i="63"/>
  <c r="X123" i="63"/>
  <c r="W124" i="63"/>
  <c r="X124" i="63"/>
  <c r="W125" i="63"/>
  <c r="X125" i="63"/>
  <c r="W126" i="63"/>
  <c r="X126" i="63"/>
  <c r="W127" i="63"/>
  <c r="X127" i="63"/>
  <c r="W128" i="63"/>
  <c r="X128" i="63"/>
  <c r="W129" i="63"/>
  <c r="X129" i="63"/>
  <c r="W130" i="63"/>
  <c r="X130" i="63"/>
  <c r="W131" i="63"/>
  <c r="X131" i="63"/>
  <c r="W132" i="63"/>
  <c r="X132" i="63"/>
  <c r="W133" i="63"/>
  <c r="X133" i="63"/>
  <c r="W134" i="63"/>
  <c r="X134" i="63"/>
  <c r="W135" i="63"/>
  <c r="X135" i="63"/>
  <c r="W136" i="63"/>
  <c r="X136" i="63"/>
  <c r="W137" i="63"/>
  <c r="X137" i="63"/>
  <c r="W138" i="63"/>
  <c r="X138" i="63"/>
  <c r="W139" i="63"/>
  <c r="X139" i="63"/>
  <c r="W140" i="63"/>
  <c r="X140" i="63"/>
  <c r="W141" i="63"/>
  <c r="X141" i="63"/>
  <c r="W142" i="63"/>
  <c r="X142" i="63"/>
  <c r="W143" i="63"/>
  <c r="X143" i="63"/>
  <c r="W144" i="63"/>
  <c r="X144" i="63"/>
  <c r="W145" i="63"/>
  <c r="X145" i="63"/>
  <c r="W146" i="63"/>
  <c r="X146" i="63"/>
  <c r="W147" i="63"/>
  <c r="X147" i="63"/>
  <c r="W148" i="63"/>
  <c r="X148" i="63"/>
  <c r="W149" i="63"/>
  <c r="X149" i="63"/>
  <c r="W150" i="63"/>
  <c r="X150" i="63"/>
  <c r="W151" i="63"/>
  <c r="X151" i="63"/>
  <c r="W152" i="63"/>
  <c r="X152" i="63"/>
  <c r="W153" i="63"/>
  <c r="X153" i="63"/>
  <c r="W154" i="63"/>
  <c r="X154" i="63"/>
  <c r="W155" i="63"/>
  <c r="X155" i="63"/>
  <c r="W156" i="63"/>
  <c r="X156" i="63"/>
  <c r="W157" i="63"/>
  <c r="X157" i="63"/>
  <c r="W158" i="63"/>
  <c r="X158" i="63"/>
  <c r="W159" i="63"/>
  <c r="X159" i="63"/>
  <c r="W160" i="63"/>
  <c r="X160" i="63"/>
  <c r="W161" i="63"/>
  <c r="X161" i="63"/>
  <c r="W162" i="63"/>
  <c r="X162" i="63"/>
  <c r="W163" i="63"/>
  <c r="X163" i="63"/>
  <c r="W164" i="63"/>
  <c r="X164" i="63"/>
  <c r="W165" i="63"/>
  <c r="X165" i="63"/>
  <c r="W166" i="63"/>
  <c r="X166" i="63"/>
  <c r="W167" i="63"/>
  <c r="X167" i="63"/>
  <c r="W168" i="63"/>
  <c r="X168" i="63"/>
  <c r="W169" i="63"/>
  <c r="X169" i="63"/>
  <c r="W170" i="63"/>
  <c r="X170" i="63"/>
  <c r="W171" i="63"/>
  <c r="X171" i="63"/>
  <c r="W172" i="63"/>
  <c r="X172" i="63"/>
  <c r="W173" i="63"/>
  <c r="X173" i="63"/>
  <c r="W174" i="63"/>
  <c r="X174" i="63"/>
  <c r="W175" i="63"/>
  <c r="X175" i="63"/>
  <c r="W176" i="63"/>
  <c r="X176" i="63"/>
  <c r="W177" i="63"/>
  <c r="X177" i="63"/>
  <c r="W178" i="63"/>
  <c r="X178" i="63"/>
  <c r="W179" i="63"/>
  <c r="X179" i="63"/>
  <c r="W180" i="63"/>
  <c r="X180" i="63"/>
  <c r="W181" i="63"/>
  <c r="X181" i="63"/>
  <c r="W182" i="63"/>
  <c r="X182" i="63"/>
  <c r="W183" i="63"/>
  <c r="X183" i="63"/>
  <c r="W184" i="63"/>
  <c r="X184" i="63"/>
  <c r="W185" i="63"/>
  <c r="X185" i="63"/>
  <c r="W186" i="63"/>
  <c r="X186" i="63"/>
  <c r="W187" i="63"/>
  <c r="X187" i="63"/>
  <c r="W188" i="63"/>
  <c r="X188" i="63"/>
  <c r="W189" i="63"/>
  <c r="X189" i="63"/>
  <c r="W190" i="63"/>
  <c r="X190" i="63"/>
  <c r="W191" i="63"/>
  <c r="X191" i="63"/>
  <c r="W192" i="63"/>
  <c r="X192" i="63"/>
  <c r="W193" i="63"/>
  <c r="X193" i="63"/>
  <c r="W194" i="63"/>
  <c r="X194" i="63"/>
  <c r="W195" i="63"/>
  <c r="X195" i="63"/>
  <c r="W196" i="63"/>
  <c r="X196" i="63"/>
  <c r="W197" i="63"/>
  <c r="X197" i="63"/>
  <c r="W198" i="63"/>
  <c r="X198" i="63"/>
  <c r="W199" i="63"/>
  <c r="X199" i="63"/>
  <c r="W200" i="63"/>
  <c r="X200" i="63"/>
  <c r="W201" i="63"/>
  <c r="X201" i="63"/>
  <c r="W202" i="63"/>
  <c r="X202" i="63"/>
  <c r="W203" i="63"/>
  <c r="X203" i="63"/>
  <c r="W204" i="63"/>
  <c r="X204" i="63"/>
  <c r="W205" i="63"/>
  <c r="X205" i="63"/>
  <c r="W206" i="63"/>
  <c r="X206" i="63"/>
  <c r="W207" i="63"/>
  <c r="X207" i="63"/>
  <c r="W208" i="63"/>
  <c r="X208" i="63"/>
  <c r="W209" i="63"/>
  <c r="X209" i="63"/>
  <c r="W210" i="63"/>
  <c r="X210" i="63"/>
  <c r="W211" i="63"/>
  <c r="X211" i="63"/>
  <c r="W212" i="63"/>
  <c r="X212" i="63"/>
  <c r="W213" i="63"/>
  <c r="X213" i="63"/>
  <c r="W214" i="63"/>
  <c r="X214" i="63"/>
  <c r="W215" i="63"/>
  <c r="X215" i="63"/>
  <c r="W216" i="63"/>
  <c r="X216" i="63"/>
  <c r="W217" i="63"/>
  <c r="X217" i="63"/>
  <c r="W218" i="63"/>
  <c r="X218" i="63"/>
  <c r="W219" i="63"/>
  <c r="X219" i="63"/>
  <c r="W220" i="63"/>
  <c r="X220" i="63"/>
  <c r="W221" i="63"/>
  <c r="X221" i="63"/>
  <c r="W222" i="63"/>
  <c r="X222" i="63"/>
  <c r="W223" i="63"/>
  <c r="X223" i="63"/>
  <c r="W224" i="63"/>
  <c r="X224" i="63"/>
  <c r="W225" i="63"/>
  <c r="X225" i="63"/>
  <c r="W226" i="63"/>
  <c r="X226" i="63"/>
  <c r="W227" i="63"/>
  <c r="X227" i="63"/>
  <c r="W228" i="63"/>
  <c r="X228" i="63"/>
  <c r="W229" i="63"/>
  <c r="X229" i="63"/>
  <c r="W230" i="63"/>
  <c r="X230" i="63"/>
  <c r="W231" i="63"/>
  <c r="X231" i="63"/>
  <c r="W232" i="63"/>
  <c r="X232" i="63"/>
  <c r="W233" i="63"/>
  <c r="X233" i="63"/>
  <c r="W234" i="63"/>
  <c r="X234" i="63"/>
  <c r="W235" i="63"/>
  <c r="X235" i="63"/>
  <c r="W236" i="63"/>
  <c r="X236" i="63"/>
  <c r="W237" i="63"/>
  <c r="X237" i="63"/>
  <c r="W238" i="63"/>
  <c r="X238" i="63"/>
  <c r="W239" i="63"/>
  <c r="X239" i="63"/>
  <c r="W240" i="63"/>
  <c r="X240" i="63"/>
  <c r="W241" i="63"/>
  <c r="X241" i="63"/>
  <c r="W242" i="63"/>
  <c r="X242" i="63"/>
  <c r="W243" i="63"/>
  <c r="X243" i="63"/>
  <c r="W244" i="63"/>
  <c r="X244" i="63"/>
  <c r="W245" i="63"/>
  <c r="X245" i="63"/>
  <c r="W246" i="63"/>
  <c r="X246" i="63"/>
  <c r="W247" i="63"/>
  <c r="X247" i="63"/>
  <c r="X248" i="63"/>
  <c r="W249" i="63"/>
  <c r="X249" i="63"/>
  <c r="W250" i="63"/>
  <c r="X250" i="63"/>
  <c r="W251" i="63"/>
  <c r="X251" i="63"/>
  <c r="W252" i="63"/>
  <c r="X252" i="63"/>
  <c r="W253" i="63"/>
  <c r="X253" i="63"/>
  <c r="W254" i="63"/>
  <c r="X254" i="63"/>
  <c r="W255" i="63"/>
  <c r="X255" i="63"/>
  <c r="X256" i="63"/>
  <c r="W257" i="63"/>
  <c r="X257" i="63"/>
  <c r="X10" i="63"/>
  <c r="M3" i="29"/>
  <c r="W17" i="46" l="1"/>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C74" i="72" l="1"/>
  <c r="B74" i="72"/>
  <c r="C136" i="72"/>
  <c r="B136" i="72"/>
  <c r="C133" i="72"/>
  <c r="C132" i="72"/>
  <c r="C158" i="72"/>
  <c r="B158" i="72"/>
  <c r="C81" i="72"/>
  <c r="B81" i="72"/>
  <c r="C62" i="72"/>
  <c r="B62" i="72"/>
  <c r="C32" i="72"/>
  <c r="B32" i="72"/>
  <c r="C31" i="72"/>
  <c r="C30" i="72"/>
  <c r="C29" i="72"/>
  <c r="C28" i="72"/>
  <c r="C27" i="72"/>
  <c r="C26" i="72"/>
  <c r="C25" i="72"/>
  <c r="C24" i="72"/>
  <c r="C23" i="72"/>
  <c r="C22" i="72"/>
  <c r="C21" i="72"/>
  <c r="C20" i="72"/>
  <c r="C19" i="72"/>
  <c r="C18" i="72"/>
  <c r="C17" i="72"/>
  <c r="C16" i="72"/>
  <c r="C15" i="72"/>
  <c r="C14" i="72"/>
  <c r="L99" i="29"/>
  <c r="M99" i="29"/>
  <c r="L100" i="29"/>
  <c r="M100" i="29"/>
  <c r="L101" i="29"/>
  <c r="M101" i="29"/>
  <c r="L102" i="29"/>
  <c r="M102" i="29"/>
  <c r="L103" i="29"/>
  <c r="M103" i="29"/>
  <c r="L104" i="29"/>
  <c r="M104" i="29"/>
  <c r="L105" i="29"/>
  <c r="M105" i="29"/>
  <c r="L106" i="29"/>
  <c r="M106" i="29"/>
  <c r="L107" i="29"/>
  <c r="M107" i="29"/>
  <c r="L108" i="29"/>
  <c r="M108" i="29"/>
  <c r="L109" i="29"/>
  <c r="M109" i="29"/>
  <c r="AQ258" i="59" l="1"/>
  <c r="AQ257" i="59"/>
  <c r="AQ256" i="59"/>
  <c r="AQ254" i="59"/>
  <c r="AQ253" i="59"/>
  <c r="AQ252" i="59"/>
  <c r="AQ251" i="59"/>
  <c r="AQ250" i="59"/>
  <c r="AQ249" i="59"/>
  <c r="AQ248" i="59"/>
  <c r="AQ247" i="59"/>
  <c r="AQ246" i="59"/>
  <c r="AQ245" i="59"/>
  <c r="AQ244" i="59"/>
  <c r="AQ243" i="59"/>
  <c r="AQ242" i="59"/>
  <c r="AQ241" i="59"/>
  <c r="AQ240" i="59"/>
  <c r="AQ239" i="59"/>
  <c r="AQ238" i="59"/>
  <c r="AQ237" i="59"/>
  <c r="AQ236" i="59"/>
  <c r="AQ235" i="59"/>
  <c r="AQ234" i="59"/>
  <c r="AQ233" i="59"/>
  <c r="AQ232" i="59"/>
  <c r="AQ231" i="59"/>
  <c r="AQ230" i="59"/>
  <c r="AQ229" i="59"/>
  <c r="AQ228" i="59"/>
  <c r="AQ227" i="59"/>
  <c r="AQ226" i="59"/>
  <c r="AQ225" i="59"/>
  <c r="AQ224" i="59"/>
  <c r="AQ223" i="59"/>
  <c r="AQ222" i="59"/>
  <c r="AQ221" i="59"/>
  <c r="AQ220" i="59"/>
  <c r="AQ219" i="59"/>
  <c r="AQ218" i="59"/>
  <c r="AQ217" i="59"/>
  <c r="AQ216" i="59"/>
  <c r="AQ215" i="59"/>
  <c r="AQ214" i="59"/>
  <c r="AQ213" i="59"/>
  <c r="AQ212" i="59"/>
  <c r="AQ211" i="59"/>
  <c r="AQ210" i="59"/>
  <c r="AQ209" i="59"/>
  <c r="AQ208" i="59"/>
  <c r="AQ207" i="59"/>
  <c r="AQ206" i="59"/>
  <c r="AQ205" i="59"/>
  <c r="AQ204" i="59"/>
  <c r="AQ203" i="59"/>
  <c r="AQ202" i="59"/>
  <c r="AQ201" i="59"/>
  <c r="AQ200" i="59"/>
  <c r="AQ199" i="59"/>
  <c r="AQ198" i="59"/>
  <c r="AQ197" i="59"/>
  <c r="AQ196" i="59"/>
  <c r="AQ195" i="59"/>
  <c r="AQ194" i="59"/>
  <c r="AQ193" i="59"/>
  <c r="AQ192" i="59"/>
  <c r="AQ191" i="59"/>
  <c r="AQ190" i="59"/>
  <c r="AQ189" i="59"/>
  <c r="AQ188" i="59"/>
  <c r="AQ187" i="59"/>
  <c r="AQ186" i="59"/>
  <c r="AQ185" i="59"/>
  <c r="AQ184" i="59"/>
  <c r="AQ183" i="59"/>
  <c r="AQ182" i="59"/>
  <c r="AQ181" i="59"/>
  <c r="AQ180" i="59"/>
  <c r="AQ179" i="59"/>
  <c r="AQ178" i="59"/>
  <c r="AQ177" i="59"/>
  <c r="AQ176" i="59"/>
  <c r="AQ175" i="59"/>
  <c r="AQ174" i="59"/>
  <c r="AQ173" i="59"/>
  <c r="AQ172" i="59"/>
  <c r="AQ171" i="59"/>
  <c r="AQ170" i="59"/>
  <c r="AQ169" i="59"/>
  <c r="AQ168" i="59"/>
  <c r="AQ167" i="59"/>
  <c r="AQ166" i="59"/>
  <c r="AQ165" i="59"/>
  <c r="AQ164" i="59"/>
  <c r="AQ163" i="59"/>
  <c r="AQ162" i="59"/>
  <c r="AQ161" i="59"/>
  <c r="AQ160" i="59"/>
  <c r="AQ159" i="59"/>
  <c r="AQ158" i="59"/>
  <c r="AQ157" i="59"/>
  <c r="AQ156" i="59"/>
  <c r="AQ155" i="59"/>
  <c r="AQ154" i="59"/>
  <c r="AQ153" i="59"/>
  <c r="AQ152" i="59"/>
  <c r="AQ151" i="59"/>
  <c r="AQ150" i="59"/>
  <c r="AQ149" i="59"/>
  <c r="AQ148" i="59"/>
  <c r="AQ147" i="59"/>
  <c r="AQ146" i="59"/>
  <c r="AQ145" i="59"/>
  <c r="AQ144" i="59"/>
  <c r="AQ143" i="59"/>
  <c r="AQ142" i="59"/>
  <c r="AQ141" i="59"/>
  <c r="AQ140" i="59"/>
  <c r="AQ139" i="59"/>
  <c r="AQ138" i="59"/>
  <c r="AQ137" i="59"/>
  <c r="AQ136" i="59"/>
  <c r="AQ135" i="59"/>
  <c r="AQ134" i="59"/>
  <c r="AQ133" i="59"/>
  <c r="AQ132" i="59"/>
  <c r="AQ131" i="59"/>
  <c r="AQ130" i="59"/>
  <c r="AQ129" i="59"/>
  <c r="AQ128" i="59"/>
  <c r="AQ127" i="59"/>
  <c r="AQ126" i="59"/>
  <c r="AQ125" i="59"/>
  <c r="AQ124" i="59"/>
  <c r="AQ123" i="59"/>
  <c r="AQ122" i="59"/>
  <c r="AQ121" i="59"/>
  <c r="AQ120" i="59"/>
  <c r="AQ119" i="59"/>
  <c r="AQ118" i="59"/>
  <c r="AQ117" i="59"/>
  <c r="AQ116" i="59"/>
  <c r="AQ115" i="59"/>
  <c r="AQ114" i="59"/>
  <c r="AQ113" i="59"/>
  <c r="AQ112" i="59"/>
  <c r="AQ111" i="59"/>
  <c r="AQ110" i="59"/>
  <c r="AQ109" i="59"/>
  <c r="AQ108" i="59"/>
  <c r="AQ107" i="59"/>
  <c r="AQ106" i="59"/>
  <c r="AQ105" i="59"/>
  <c r="AQ104" i="59"/>
  <c r="AQ103" i="59"/>
  <c r="AQ102" i="59"/>
  <c r="AQ101" i="59"/>
  <c r="AQ100" i="59"/>
  <c r="AQ99" i="59"/>
  <c r="AQ98" i="59"/>
  <c r="AQ97" i="59"/>
  <c r="AQ96" i="59"/>
  <c r="AQ95" i="59"/>
  <c r="AQ94" i="59"/>
  <c r="AQ93" i="59"/>
  <c r="AQ92" i="59"/>
  <c r="AQ91" i="59"/>
  <c r="AQ90" i="59"/>
  <c r="AQ89" i="59"/>
  <c r="AQ88" i="59"/>
  <c r="AQ87" i="59"/>
  <c r="AQ86" i="59"/>
  <c r="AQ85" i="59"/>
  <c r="AQ84" i="59"/>
  <c r="AQ83" i="59"/>
  <c r="AQ82" i="59"/>
  <c r="AQ81" i="59"/>
  <c r="AQ80" i="59"/>
  <c r="AQ79" i="59"/>
  <c r="AQ78" i="59"/>
  <c r="AQ77" i="59"/>
  <c r="AQ76" i="59"/>
  <c r="AQ75" i="59"/>
  <c r="AQ74" i="59"/>
  <c r="AQ73" i="59"/>
  <c r="AQ72" i="59"/>
  <c r="AQ71" i="59"/>
  <c r="AQ70" i="59"/>
  <c r="AQ69" i="59"/>
  <c r="AQ68" i="59"/>
  <c r="AQ67" i="59"/>
  <c r="AQ66" i="59"/>
  <c r="AQ65" i="59"/>
  <c r="AQ64" i="59"/>
  <c r="AQ63" i="59"/>
  <c r="AQ62" i="59"/>
  <c r="AQ61" i="59"/>
  <c r="AQ60" i="59"/>
  <c r="AQ59" i="59"/>
  <c r="AQ58" i="59"/>
  <c r="AQ57" i="59"/>
  <c r="AQ56" i="59"/>
  <c r="AQ55" i="59"/>
  <c r="AQ54" i="59"/>
  <c r="AQ53" i="59"/>
  <c r="AQ52" i="59"/>
  <c r="AQ51" i="59"/>
  <c r="AQ50" i="59"/>
  <c r="AQ49" i="59"/>
  <c r="AQ48" i="59"/>
  <c r="AQ47" i="59"/>
  <c r="AQ46" i="59"/>
  <c r="AQ45" i="59"/>
  <c r="AQ44" i="59"/>
  <c r="AQ43" i="59"/>
  <c r="AQ42" i="59"/>
  <c r="AQ41" i="59"/>
  <c r="AQ40" i="59"/>
  <c r="AQ39" i="59"/>
  <c r="AQ38" i="59"/>
  <c r="AQ37" i="59"/>
  <c r="AQ36" i="59"/>
  <c r="AQ35" i="59"/>
  <c r="AQ34" i="59"/>
  <c r="AQ33" i="59"/>
  <c r="AQ32" i="59"/>
  <c r="AQ31" i="59"/>
  <c r="AQ30" i="59"/>
  <c r="AQ29" i="59"/>
  <c r="AQ28" i="59"/>
  <c r="AQ27" i="59"/>
  <c r="AQ26" i="59"/>
  <c r="AQ25" i="59"/>
  <c r="AQ24" i="59"/>
  <c r="AQ23" i="59"/>
  <c r="AQ22" i="59"/>
  <c r="AQ21" i="59"/>
  <c r="AQ20" i="59"/>
  <c r="AQ19" i="59"/>
  <c r="AQ18" i="59"/>
  <c r="AQ17" i="59"/>
  <c r="AQ16" i="59"/>
  <c r="AQ15"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99" i="28" l="1"/>
  <c r="J169" i="36" l="1"/>
  <c r="J167" i="36"/>
  <c r="J165" i="36"/>
  <c r="J163" i="36"/>
  <c r="J104" i="36"/>
  <c r="F186" i="36"/>
  <c r="F185" i="36"/>
  <c r="F184" i="36"/>
  <c r="F183" i="36"/>
  <c r="F182" i="36"/>
  <c r="D172" i="22"/>
  <c r="D171" i="22"/>
  <c r="D170" i="22"/>
  <c r="D169" i="22"/>
  <c r="D168" i="22"/>
  <c r="C172" i="22"/>
  <c r="C171" i="22"/>
  <c r="C170" i="22"/>
  <c r="C169" i="22"/>
  <c r="C168" i="22"/>
  <c r="A172" i="22"/>
  <c r="A171" i="22"/>
  <c r="A170" i="22"/>
  <c r="A169" i="22"/>
  <c r="A168" i="22"/>
  <c r="K168" i="22" l="1"/>
  <c r="W168" i="22"/>
  <c r="U168" i="22"/>
  <c r="X170" i="22"/>
  <c r="V170" i="22"/>
  <c r="W170" i="22"/>
  <c r="T170" i="22"/>
  <c r="D184" i="36" s="1"/>
  <c r="H184" i="36" s="1"/>
  <c r="U170" i="22"/>
  <c r="U169" i="22"/>
  <c r="W169" i="22"/>
  <c r="X171" i="22"/>
  <c r="W171" i="22"/>
  <c r="U171" i="22"/>
  <c r="X172" i="22"/>
  <c r="V172" i="22"/>
  <c r="T172" i="22"/>
  <c r="D186" i="36" s="1"/>
  <c r="H186" i="36" s="1"/>
  <c r="W172" i="22"/>
  <c r="U172" i="22"/>
  <c r="K171" i="22"/>
  <c r="K170" i="22"/>
  <c r="L170" i="22"/>
  <c r="K172" i="22"/>
  <c r="S168" i="22"/>
  <c r="C182" i="36" s="1"/>
  <c r="S169" i="22"/>
  <c r="C183" i="36" s="1"/>
  <c r="S170" i="22"/>
  <c r="C184" i="36" s="1"/>
  <c r="S171" i="22"/>
  <c r="C185" i="36" s="1"/>
  <c r="K169" i="22"/>
  <c r="S172" i="22"/>
  <c r="C186" i="36" s="1"/>
  <c r="J108" i="36"/>
  <c r="J106" i="36"/>
  <c r="J102" i="36"/>
  <c r="J100" i="36"/>
  <c r="A146" i="22" l="1"/>
  <c r="S146" i="22" s="1"/>
  <c r="C119" i="36" s="1"/>
  <c r="A147" i="22"/>
  <c r="E147" i="22" s="1"/>
  <c r="C100" i="36" s="1"/>
  <c r="A148" i="22"/>
  <c r="T148" i="22" s="1"/>
  <c r="D121" i="36" s="1"/>
  <c r="A149" i="22"/>
  <c r="S149" i="22" s="1"/>
  <c r="C122" i="36" s="1"/>
  <c r="A150" i="22"/>
  <c r="G150" i="22" s="1"/>
  <c r="A151" i="22"/>
  <c r="S151" i="22" s="1"/>
  <c r="C124" i="36" s="1"/>
  <c r="A152" i="22"/>
  <c r="T152" i="22" s="1"/>
  <c r="D125" i="36" s="1"/>
  <c r="A153" i="22"/>
  <c r="A154" i="22"/>
  <c r="S154" i="22" s="1"/>
  <c r="C127" i="36" s="1"/>
  <c r="A155" i="22"/>
  <c r="L155" i="22" s="1"/>
  <c r="A156" i="22"/>
  <c r="A157" i="22"/>
  <c r="I157" i="22" s="1"/>
  <c r="A158" i="22"/>
  <c r="E158" i="22" s="1"/>
  <c r="C111" i="36" s="1"/>
  <c r="S152" i="22"/>
  <c r="C125" i="36" s="1"/>
  <c r="K153" i="22"/>
  <c r="K146" i="22"/>
  <c r="I154" i="22"/>
  <c r="G146" i="22"/>
  <c r="E154" i="22"/>
  <c r="C107" i="36" s="1"/>
  <c r="E146" i="22"/>
  <c r="C99" i="36" s="1"/>
  <c r="T151" i="22" l="1"/>
  <c r="D124" i="36" s="1"/>
  <c r="G154" i="22"/>
  <c r="K154" i="22"/>
  <c r="L154" i="22"/>
  <c r="G152" i="22"/>
  <c r="E152" i="22"/>
  <c r="C105" i="36" s="1"/>
  <c r="C145" i="36" s="1"/>
  <c r="K152" i="22"/>
  <c r="G151" i="22"/>
  <c r="E150" i="22"/>
  <c r="C103" i="36" s="1"/>
  <c r="E151" i="22"/>
  <c r="C104" i="36" s="1"/>
  <c r="C144" i="36" s="1"/>
  <c r="L149" i="22"/>
  <c r="L151" i="22"/>
  <c r="K151" i="22"/>
  <c r="G155" i="22"/>
  <c r="T150" i="22"/>
  <c r="D123" i="36" s="1"/>
  <c r="C147" i="36"/>
  <c r="E156" i="22"/>
  <c r="C109" i="36" s="1"/>
  <c r="C139" i="36"/>
  <c r="I155" i="22"/>
  <c r="E157" i="22"/>
  <c r="C110" i="36" s="1"/>
  <c r="G157" i="22"/>
  <c r="K149" i="22"/>
  <c r="E149" i="22"/>
  <c r="C102" i="36" s="1"/>
  <c r="C142" i="36" s="1"/>
  <c r="S157" i="22"/>
  <c r="C130" i="36" s="1"/>
  <c r="G149" i="22"/>
  <c r="H157" i="22"/>
  <c r="T149" i="22"/>
  <c r="D122" i="36" s="1"/>
  <c r="L157" i="22"/>
  <c r="K157" i="22"/>
  <c r="E148" i="22"/>
  <c r="C101" i="36" s="1"/>
  <c r="K150" i="22"/>
  <c r="K158" i="22"/>
  <c r="S150" i="22"/>
  <c r="C123" i="36" s="1"/>
  <c r="V149" i="22"/>
  <c r="W149" i="22"/>
  <c r="V148" i="22"/>
  <c r="W148" i="22"/>
  <c r="W155" i="22"/>
  <c r="V155" i="22"/>
  <c r="T154" i="22"/>
  <c r="D127" i="36" s="1"/>
  <c r="W154" i="22"/>
  <c r="V154" i="22"/>
  <c r="S155" i="22"/>
  <c r="C128" i="36" s="1"/>
  <c r="S153" i="22"/>
  <c r="C126" i="36" s="1"/>
  <c r="V153" i="22"/>
  <c r="W156" i="22"/>
  <c r="G147" i="22"/>
  <c r="G156" i="22"/>
  <c r="G148" i="22"/>
  <c r="G158" i="22"/>
  <c r="K147" i="22"/>
  <c r="K155" i="22"/>
  <c r="S147" i="22"/>
  <c r="C120" i="36" s="1"/>
  <c r="C140" i="36" s="1"/>
  <c r="S156" i="22"/>
  <c r="C129" i="36" s="1"/>
  <c r="T155" i="22"/>
  <c r="D128" i="36" s="1"/>
  <c r="W152" i="22"/>
  <c r="V152" i="22"/>
  <c r="E155" i="22"/>
  <c r="C108" i="36" s="1"/>
  <c r="K148" i="22"/>
  <c r="K156" i="22"/>
  <c r="S148" i="22"/>
  <c r="C121" i="36" s="1"/>
  <c r="V151" i="22"/>
  <c r="W151" i="22"/>
  <c r="V150" i="22"/>
  <c r="W150" i="22"/>
  <c r="V157" i="22"/>
  <c r="W157" i="22"/>
  <c r="T157" i="22"/>
  <c r="D130" i="36" s="1"/>
  <c r="U152" i="22"/>
  <c r="X152" i="22"/>
  <c r="U153" i="22"/>
  <c r="X151" i="22"/>
  <c r="U151" i="22"/>
  <c r="G153" i="22"/>
  <c r="U158" i="22"/>
  <c r="U150" i="22"/>
  <c r="L153" i="22"/>
  <c r="X157" i="22"/>
  <c r="U157" i="22"/>
  <c r="F157" i="22"/>
  <c r="D110" i="36" s="1"/>
  <c r="X149" i="22"/>
  <c r="U149" i="22"/>
  <c r="I153" i="22"/>
  <c r="T153" i="22"/>
  <c r="D126" i="36" s="1"/>
  <c r="U156" i="22"/>
  <c r="X156" i="22"/>
  <c r="U148" i="22"/>
  <c r="E153" i="22"/>
  <c r="C106" i="36" s="1"/>
  <c r="S158" i="22"/>
  <c r="C131" i="36" s="1"/>
  <c r="C151" i="36" s="1"/>
  <c r="X155" i="22"/>
  <c r="U155" i="22"/>
  <c r="U147" i="22"/>
  <c r="X154" i="22"/>
  <c r="U154" i="22"/>
  <c r="U146" i="22"/>
  <c r="D158" i="22"/>
  <c r="D157" i="22"/>
  <c r="D156" i="22"/>
  <c r="D155" i="22"/>
  <c r="D154" i="22"/>
  <c r="D153" i="22"/>
  <c r="D152" i="22"/>
  <c r="D151" i="22"/>
  <c r="D150" i="22"/>
  <c r="D149" i="22"/>
  <c r="D148" i="22"/>
  <c r="D147" i="22"/>
  <c r="D146" i="22"/>
  <c r="C158" i="22"/>
  <c r="C157" i="22"/>
  <c r="C156" i="22"/>
  <c r="C155" i="22"/>
  <c r="C154" i="22"/>
  <c r="C153" i="22"/>
  <c r="C152" i="22"/>
  <c r="C151" i="22"/>
  <c r="C150" i="22"/>
  <c r="C149" i="22"/>
  <c r="C148" i="22"/>
  <c r="C147" i="22"/>
  <c r="C146" i="22"/>
  <c r="C143" i="36" l="1"/>
  <c r="C146" i="36"/>
  <c r="C149" i="36"/>
  <c r="C148" i="36"/>
  <c r="C141" i="36"/>
  <c r="C150" i="36"/>
  <c r="D150" i="36"/>
  <c r="F11" i="46" l="1"/>
  <c r="F12" i="46"/>
  <c r="F13" i="46"/>
  <c r="F14" i="46"/>
  <c r="F15" i="46"/>
  <c r="G12" i="11" l="1"/>
  <c r="G13" i="11"/>
  <c r="G14" i="11" l="1"/>
  <c r="G15" i="11"/>
  <c r="AJ258" i="65" l="1"/>
  <c r="AK13" i="68"/>
  <c r="AK14" i="68"/>
  <c r="AK15" i="68"/>
  <c r="AK16" i="68"/>
  <c r="AK17" i="68"/>
  <c r="AK18" i="68"/>
  <c r="AK19" i="68"/>
  <c r="AK20" i="68"/>
  <c r="AK21" i="68"/>
  <c r="AK22" i="68"/>
  <c r="AK23" i="68"/>
  <c r="AK24" i="68"/>
  <c r="AK25" i="68"/>
  <c r="AK26" i="68"/>
  <c r="AK27" i="68"/>
  <c r="AK28" i="68"/>
  <c r="AK29" i="68"/>
  <c r="AK30" i="68"/>
  <c r="AK31" i="68"/>
  <c r="AK32" i="68"/>
  <c r="AK33" i="68"/>
  <c r="AK34" i="68"/>
  <c r="AK35" i="68"/>
  <c r="AK36" i="68"/>
  <c r="AK37" i="68"/>
  <c r="AK38" i="68"/>
  <c r="AK39" i="68"/>
  <c r="AK40" i="68"/>
  <c r="AK41" i="68"/>
  <c r="AK42" i="68"/>
  <c r="AK43" i="68"/>
  <c r="AK44" i="68"/>
  <c r="AK45" i="68"/>
  <c r="AK46" i="68"/>
  <c r="AK47" i="68"/>
  <c r="AK48" i="68"/>
  <c r="AK49" i="68"/>
  <c r="AK50" i="68"/>
  <c r="AK51" i="68"/>
  <c r="AK52" i="68"/>
  <c r="AK53" i="68"/>
  <c r="AK54" i="68"/>
  <c r="AK55" i="68"/>
  <c r="AK56" i="68"/>
  <c r="AK57" i="68"/>
  <c r="AK58" i="68"/>
  <c r="AK59" i="68"/>
  <c r="AK60" i="68"/>
  <c r="AK61" i="68"/>
  <c r="AK62" i="68"/>
  <c r="AK63" i="68"/>
  <c r="AK64" i="68"/>
  <c r="AK65" i="68"/>
  <c r="AK66" i="68"/>
  <c r="AK67" i="68"/>
  <c r="AK68" i="68"/>
  <c r="AK69" i="68"/>
  <c r="AK70" i="68"/>
  <c r="AK71" i="68"/>
  <c r="AK72" i="68"/>
  <c r="AK73" i="68"/>
  <c r="AK74" i="68"/>
  <c r="AK75" i="68"/>
  <c r="AK76" i="68"/>
  <c r="AK77" i="68"/>
  <c r="AK78" i="68"/>
  <c r="AK79" i="68"/>
  <c r="AK80" i="68"/>
  <c r="AK81" i="68"/>
  <c r="AK82" i="68"/>
  <c r="AK83" i="68"/>
  <c r="AK84" i="68"/>
  <c r="AK85" i="68"/>
  <c r="AK86" i="68"/>
  <c r="AK87" i="68"/>
  <c r="AK88" i="68"/>
  <c r="AK89" i="68"/>
  <c r="AK90" i="68"/>
  <c r="AK91" i="68"/>
  <c r="AK92" i="68"/>
  <c r="AK93" i="68"/>
  <c r="AK94" i="68"/>
  <c r="AK95" i="68"/>
  <c r="AK96" i="68"/>
  <c r="AK97" i="68"/>
  <c r="AK98" i="68"/>
  <c r="AK99" i="68"/>
  <c r="AK100" i="68"/>
  <c r="AK101" i="68"/>
  <c r="AK102" i="68"/>
  <c r="AK103" i="68"/>
  <c r="AK104" i="68"/>
  <c r="AK105" i="68"/>
  <c r="AK106" i="68"/>
  <c r="AK107" i="68"/>
  <c r="AK108" i="68"/>
  <c r="AK109" i="68"/>
  <c r="AK110" i="68"/>
  <c r="AK111" i="68"/>
  <c r="AK112" i="68"/>
  <c r="AK113" i="68"/>
  <c r="AK114" i="68"/>
  <c r="AK115" i="68"/>
  <c r="AK116" i="68"/>
  <c r="AK117" i="68"/>
  <c r="AK118" i="68"/>
  <c r="AK119" i="68"/>
  <c r="AK120" i="68"/>
  <c r="AK121" i="68"/>
  <c r="AK122" i="68"/>
  <c r="AK123" i="68"/>
  <c r="AK124" i="68"/>
  <c r="AK125" i="68"/>
  <c r="AK126" i="68"/>
  <c r="AK127" i="68"/>
  <c r="AK128" i="68"/>
  <c r="AK129" i="68"/>
  <c r="AK130" i="68"/>
  <c r="AK131" i="68"/>
  <c r="AK132" i="68"/>
  <c r="AK133" i="68"/>
  <c r="AK134" i="68"/>
  <c r="AK135" i="68"/>
  <c r="AK136" i="68"/>
  <c r="AK137" i="68"/>
  <c r="AK138" i="68"/>
  <c r="AK139" i="68"/>
  <c r="AK140" i="68"/>
  <c r="AK141" i="68"/>
  <c r="AK142" i="68"/>
  <c r="AK143" i="68"/>
  <c r="AK144" i="68"/>
  <c r="AK145" i="68"/>
  <c r="AK146" i="68"/>
  <c r="AK147" i="68"/>
  <c r="AK148" i="68"/>
  <c r="AK149" i="68"/>
  <c r="AK150" i="68"/>
  <c r="AK151" i="68"/>
  <c r="AK152" i="68"/>
  <c r="AK153" i="68"/>
  <c r="AK154" i="68"/>
  <c r="AK155" i="68"/>
  <c r="AK156" i="68"/>
  <c r="AK157" i="68"/>
  <c r="AK158" i="68"/>
  <c r="AK159" i="68"/>
  <c r="AK160" i="68"/>
  <c r="AK161" i="68"/>
  <c r="AK162" i="68"/>
  <c r="AK163" i="68"/>
  <c r="AK164" i="68"/>
  <c r="AK165" i="68"/>
  <c r="AK166" i="68"/>
  <c r="AK167" i="68"/>
  <c r="AK168" i="68"/>
  <c r="AK169" i="68"/>
  <c r="AK170" i="68"/>
  <c r="AK171" i="68"/>
  <c r="AK172" i="68"/>
  <c r="AK173" i="68"/>
  <c r="AK174" i="68"/>
  <c r="AK175" i="68"/>
  <c r="AK176" i="68"/>
  <c r="AK177" i="68"/>
  <c r="AK178" i="68"/>
  <c r="AK179" i="68"/>
  <c r="AK180" i="68"/>
  <c r="AK181" i="68"/>
  <c r="AK182" i="68"/>
  <c r="AK183" i="68"/>
  <c r="AK184" i="68"/>
  <c r="AK185" i="68"/>
  <c r="AK186" i="68"/>
  <c r="AK187" i="68"/>
  <c r="AK188" i="68"/>
  <c r="AK189" i="68"/>
  <c r="AK190" i="68"/>
  <c r="AK191" i="68"/>
  <c r="AK192" i="68"/>
  <c r="AK193" i="68"/>
  <c r="AK194" i="68"/>
  <c r="AK195" i="68"/>
  <c r="AK196" i="68"/>
  <c r="AK197" i="68"/>
  <c r="AK198" i="68"/>
  <c r="AK199" i="68"/>
  <c r="AK200" i="68"/>
  <c r="AK201" i="68"/>
  <c r="AK202" i="68"/>
  <c r="AK203" i="68"/>
  <c r="AK204" i="68"/>
  <c r="AK205" i="68"/>
  <c r="AK206" i="68"/>
  <c r="AK207" i="68"/>
  <c r="AK208" i="68"/>
  <c r="AK209" i="68"/>
  <c r="AK210" i="68"/>
  <c r="AK211" i="68"/>
  <c r="AK212" i="68"/>
  <c r="AK213" i="68"/>
  <c r="AK214" i="68"/>
  <c r="AK215" i="68"/>
  <c r="AK216" i="68"/>
  <c r="AK217" i="68"/>
  <c r="AK218" i="68"/>
  <c r="AK219" i="68"/>
  <c r="AK220" i="68"/>
  <c r="AK221" i="68"/>
  <c r="AK222" i="68"/>
  <c r="AK223" i="68"/>
  <c r="AK224" i="68"/>
  <c r="AK225" i="68"/>
  <c r="AK226" i="68"/>
  <c r="AK227" i="68"/>
  <c r="AK228" i="68"/>
  <c r="AK229" i="68"/>
  <c r="AK230" i="68"/>
  <c r="AK231" i="68"/>
  <c r="AK232" i="68"/>
  <c r="AK233" i="68"/>
  <c r="AK234" i="68"/>
  <c r="AK235" i="68"/>
  <c r="AK236" i="68"/>
  <c r="AK237" i="68"/>
  <c r="AK238" i="68"/>
  <c r="AK239" i="68"/>
  <c r="AK240" i="68"/>
  <c r="AK241" i="68"/>
  <c r="AK242" i="68"/>
  <c r="AK243" i="68"/>
  <c r="AK244" i="68"/>
  <c r="AK245" i="68"/>
  <c r="AK246" i="68"/>
  <c r="AK247" i="68"/>
  <c r="AK248" i="68"/>
  <c r="AK249" i="68"/>
  <c r="AK250" i="68"/>
  <c r="AK251" i="68"/>
  <c r="AK252" i="68"/>
  <c r="AK253" i="68"/>
  <c r="AK254" i="68"/>
  <c r="AK255" i="68"/>
  <c r="AK256" i="68"/>
  <c r="AK257" i="68"/>
  <c r="AK258" i="68"/>
  <c r="AK259" i="68"/>
  <c r="AK12" i="68"/>
  <c r="AF11" i="67"/>
  <c r="AF12" i="67"/>
  <c r="AF13" i="67"/>
  <c r="AF14" i="67"/>
  <c r="AF15" i="67"/>
  <c r="AF16" i="67"/>
  <c r="AF17" i="67"/>
  <c r="AF18" i="67"/>
  <c r="AF19" i="67"/>
  <c r="AF20" i="67"/>
  <c r="AF21" i="67"/>
  <c r="AF22" i="67"/>
  <c r="AF23" i="67"/>
  <c r="AF24" i="67"/>
  <c r="AF25" i="67"/>
  <c r="AF26" i="67"/>
  <c r="AF27" i="67"/>
  <c r="AF28" i="67"/>
  <c r="AF29" i="67"/>
  <c r="AF30" i="67"/>
  <c r="AF31" i="67"/>
  <c r="AF32" i="67"/>
  <c r="AF33" i="67"/>
  <c r="AF34" i="67"/>
  <c r="AF35" i="67"/>
  <c r="AF36" i="67"/>
  <c r="AF37" i="67"/>
  <c r="AF38" i="67"/>
  <c r="AF39" i="67"/>
  <c r="AF40" i="67"/>
  <c r="AF41" i="67"/>
  <c r="AF42" i="67"/>
  <c r="AF43" i="67"/>
  <c r="AF44" i="67"/>
  <c r="AF45" i="67"/>
  <c r="AF46" i="67"/>
  <c r="AF47" i="67"/>
  <c r="AF48" i="67"/>
  <c r="AF49" i="67"/>
  <c r="AF50" i="67"/>
  <c r="AF51" i="67"/>
  <c r="AF52" i="67"/>
  <c r="AF53" i="67"/>
  <c r="AF54" i="67"/>
  <c r="AF55" i="67"/>
  <c r="AF56" i="67"/>
  <c r="AF57" i="67"/>
  <c r="AF58" i="67"/>
  <c r="AF59" i="67"/>
  <c r="AF60" i="67"/>
  <c r="AF61" i="67"/>
  <c r="AF62" i="67"/>
  <c r="AF63" i="67"/>
  <c r="AF64" i="67"/>
  <c r="AF65" i="67"/>
  <c r="AF66" i="67"/>
  <c r="AF67" i="67"/>
  <c r="AF68" i="67"/>
  <c r="AF69" i="67"/>
  <c r="AF70" i="67"/>
  <c r="AF71" i="67"/>
  <c r="AF72" i="67"/>
  <c r="AF73" i="67"/>
  <c r="AF74" i="67"/>
  <c r="AF75" i="67"/>
  <c r="AF76" i="67"/>
  <c r="AF77" i="67"/>
  <c r="AF78" i="67"/>
  <c r="AF79" i="67"/>
  <c r="AF80" i="67"/>
  <c r="AF81" i="67"/>
  <c r="AF82" i="67"/>
  <c r="AF83" i="67"/>
  <c r="AF84" i="67"/>
  <c r="AF85" i="67"/>
  <c r="AF86" i="67"/>
  <c r="AF87" i="67"/>
  <c r="AF88" i="67"/>
  <c r="AF89" i="67"/>
  <c r="AF90" i="67"/>
  <c r="AF91" i="67"/>
  <c r="AF92" i="67"/>
  <c r="AF93" i="67"/>
  <c r="AF94" i="67"/>
  <c r="AF95" i="67"/>
  <c r="AF96" i="67"/>
  <c r="AF97" i="67"/>
  <c r="AF98" i="67"/>
  <c r="AF99" i="67"/>
  <c r="AF100" i="67"/>
  <c r="AF101" i="67"/>
  <c r="AF102" i="67"/>
  <c r="AF103" i="67"/>
  <c r="AF104" i="67"/>
  <c r="AF105" i="67"/>
  <c r="AF106" i="67"/>
  <c r="AF107" i="67"/>
  <c r="AF108" i="67"/>
  <c r="AF109" i="67"/>
  <c r="AF110" i="67"/>
  <c r="AF111" i="67"/>
  <c r="AF112" i="67"/>
  <c r="AF113" i="67"/>
  <c r="AF114" i="67"/>
  <c r="AF115" i="67"/>
  <c r="AF116" i="67"/>
  <c r="AF117" i="67"/>
  <c r="AF118" i="67"/>
  <c r="AF119" i="67"/>
  <c r="AF120" i="67"/>
  <c r="AF121" i="67"/>
  <c r="AF122" i="67"/>
  <c r="AF123" i="67"/>
  <c r="AF124" i="67"/>
  <c r="AF125" i="67"/>
  <c r="AF126" i="67"/>
  <c r="AF127" i="67"/>
  <c r="AF128" i="67"/>
  <c r="AF129" i="67"/>
  <c r="AF130" i="67"/>
  <c r="AF131" i="67"/>
  <c r="AF132" i="67"/>
  <c r="AF133" i="67"/>
  <c r="AF134" i="67"/>
  <c r="AF135" i="67"/>
  <c r="AF136" i="67"/>
  <c r="AF137" i="67"/>
  <c r="AF138" i="67"/>
  <c r="AF139" i="67"/>
  <c r="AF140" i="67"/>
  <c r="AF141" i="67"/>
  <c r="AF142" i="67"/>
  <c r="AF143" i="67"/>
  <c r="AF144" i="67"/>
  <c r="AF145" i="67"/>
  <c r="AF146" i="67"/>
  <c r="AF147" i="67"/>
  <c r="AF148" i="67"/>
  <c r="AF149" i="67"/>
  <c r="AF150" i="67"/>
  <c r="AF151" i="67"/>
  <c r="AF152" i="67"/>
  <c r="AF153" i="67"/>
  <c r="AF154" i="67"/>
  <c r="AF155" i="67"/>
  <c r="AF156" i="67"/>
  <c r="AF157" i="67"/>
  <c r="AF158" i="67"/>
  <c r="AF159" i="67"/>
  <c r="AF160" i="67"/>
  <c r="AF161" i="67"/>
  <c r="AF162" i="67"/>
  <c r="AF163" i="67"/>
  <c r="AF164" i="67"/>
  <c r="AF165" i="67"/>
  <c r="AF166" i="67"/>
  <c r="AF167" i="67"/>
  <c r="AF168" i="67"/>
  <c r="AF169" i="67"/>
  <c r="AF170" i="67"/>
  <c r="AF171" i="67"/>
  <c r="AF172" i="67"/>
  <c r="AF173" i="67"/>
  <c r="AF174" i="67"/>
  <c r="AF175" i="67"/>
  <c r="AF176" i="67"/>
  <c r="AF177" i="67"/>
  <c r="AF178" i="67"/>
  <c r="AF179" i="67"/>
  <c r="AF180" i="67"/>
  <c r="AF181" i="67"/>
  <c r="AF182" i="67"/>
  <c r="AF183" i="67"/>
  <c r="AF184" i="67"/>
  <c r="AF185" i="67"/>
  <c r="AF186" i="67"/>
  <c r="AF187" i="67"/>
  <c r="AF188" i="67"/>
  <c r="AF189" i="67"/>
  <c r="AF190" i="67"/>
  <c r="AF191" i="67"/>
  <c r="AF192" i="67"/>
  <c r="AF193" i="67"/>
  <c r="AF194" i="67"/>
  <c r="AF195" i="67"/>
  <c r="AF196" i="67"/>
  <c r="AF197" i="67"/>
  <c r="AF198" i="67"/>
  <c r="AF199" i="67"/>
  <c r="AF200" i="67"/>
  <c r="AF201" i="67"/>
  <c r="AF202" i="67"/>
  <c r="AF203" i="67"/>
  <c r="AF204" i="67"/>
  <c r="AF205" i="67"/>
  <c r="AF206" i="67"/>
  <c r="AF207" i="67"/>
  <c r="AF208" i="67"/>
  <c r="AF209" i="67"/>
  <c r="AF210" i="67"/>
  <c r="AF211" i="67"/>
  <c r="AF212" i="67"/>
  <c r="AF213" i="67"/>
  <c r="AF214" i="67"/>
  <c r="AF215" i="67"/>
  <c r="AF216" i="67"/>
  <c r="AF217" i="67"/>
  <c r="AF218" i="67"/>
  <c r="AF219" i="67"/>
  <c r="AF220" i="67"/>
  <c r="AF221" i="67"/>
  <c r="AF222" i="67"/>
  <c r="AF223" i="67"/>
  <c r="AF224" i="67"/>
  <c r="AF225" i="67"/>
  <c r="AF226" i="67"/>
  <c r="AF227" i="67"/>
  <c r="AF228" i="67"/>
  <c r="AF229" i="67"/>
  <c r="AF230" i="67"/>
  <c r="AF231" i="67"/>
  <c r="AF232" i="67"/>
  <c r="AF233" i="67"/>
  <c r="AF234" i="67"/>
  <c r="AF235" i="67"/>
  <c r="AF236" i="67"/>
  <c r="AF237" i="67"/>
  <c r="AF238" i="67"/>
  <c r="AF239" i="67"/>
  <c r="AF240" i="67"/>
  <c r="AF241" i="67"/>
  <c r="AF242" i="67"/>
  <c r="AF243" i="67"/>
  <c r="AF244" i="67"/>
  <c r="AF245" i="67"/>
  <c r="AF246" i="67"/>
  <c r="AF247" i="67"/>
  <c r="AF248" i="67"/>
  <c r="AF249" i="67"/>
  <c r="AF250" i="67"/>
  <c r="AF251" i="67"/>
  <c r="AF252" i="67"/>
  <c r="AF253" i="67"/>
  <c r="AF254" i="67"/>
  <c r="AF255" i="67"/>
  <c r="AF256" i="67"/>
  <c r="AF257" i="67"/>
  <c r="AF10" i="67"/>
  <c r="AG13" i="58" l="1"/>
  <c r="AG14" i="58"/>
  <c r="AG15" i="58"/>
  <c r="AG16" i="58"/>
  <c r="AG17" i="58"/>
  <c r="AG18" i="58"/>
  <c r="AG19" i="58"/>
  <c r="AG20" i="58"/>
  <c r="AG21" i="58"/>
  <c r="AG22" i="58"/>
  <c r="AG23" i="58"/>
  <c r="AG24" i="58"/>
  <c r="AG25" i="58"/>
  <c r="AG26" i="58"/>
  <c r="AG27" i="58"/>
  <c r="AG28" i="58"/>
  <c r="AG29" i="58"/>
  <c r="AG30" i="58"/>
  <c r="AG31" i="58"/>
  <c r="AG32" i="58"/>
  <c r="AG33" i="58"/>
  <c r="AG34" i="58"/>
  <c r="AG35" i="58"/>
  <c r="AG36" i="58"/>
  <c r="AG37" i="58"/>
  <c r="AG38" i="58"/>
  <c r="AG39" i="58"/>
  <c r="AG40" i="58"/>
  <c r="AG41" i="58"/>
  <c r="AG42" i="58"/>
  <c r="AG43" i="58"/>
  <c r="AG44" i="58"/>
  <c r="AG45" i="58"/>
  <c r="AG46" i="58"/>
  <c r="AG47" i="58"/>
  <c r="AG48" i="58"/>
  <c r="AG49" i="58"/>
  <c r="AG50" i="58"/>
  <c r="AG51" i="58"/>
  <c r="AG52" i="58"/>
  <c r="AG53" i="58"/>
  <c r="AG54" i="58"/>
  <c r="AG55" i="58"/>
  <c r="AG56" i="58"/>
  <c r="AG57" i="58"/>
  <c r="AG58" i="58"/>
  <c r="AG59" i="58"/>
  <c r="AG60" i="58"/>
  <c r="AG61" i="58"/>
  <c r="AG62" i="58"/>
  <c r="AG63" i="58"/>
  <c r="AG64" i="58"/>
  <c r="AG65" i="58"/>
  <c r="AG66" i="58"/>
  <c r="AG67" i="58"/>
  <c r="AG68" i="58"/>
  <c r="AG69" i="58"/>
  <c r="AG70" i="58"/>
  <c r="AG71" i="58"/>
  <c r="AG72" i="58"/>
  <c r="AG73" i="58"/>
  <c r="AG74" i="58"/>
  <c r="AG75" i="58"/>
  <c r="AG76" i="58"/>
  <c r="AG77" i="58"/>
  <c r="AG78" i="58"/>
  <c r="AG79" i="58"/>
  <c r="AG80" i="58"/>
  <c r="AG81" i="58"/>
  <c r="AG82" i="58"/>
  <c r="AG83" i="58"/>
  <c r="AG84" i="58"/>
  <c r="AG85" i="58"/>
  <c r="AG86" i="58"/>
  <c r="AG87" i="58"/>
  <c r="AG88" i="58"/>
  <c r="AG89" i="58"/>
  <c r="AG90" i="58"/>
  <c r="AG91" i="58"/>
  <c r="AG92" i="58"/>
  <c r="AG93" i="58"/>
  <c r="AG94" i="58"/>
  <c r="AG95" i="58"/>
  <c r="AG96" i="58"/>
  <c r="AG97" i="58"/>
  <c r="AG98" i="58"/>
  <c r="AG99" i="58"/>
  <c r="AG100" i="58"/>
  <c r="AG101" i="58"/>
  <c r="AG102" i="58"/>
  <c r="AG103" i="58"/>
  <c r="AG104" i="58"/>
  <c r="AG105" i="58"/>
  <c r="AG106" i="58"/>
  <c r="AG107" i="58"/>
  <c r="AG108" i="58"/>
  <c r="AG109" i="58"/>
  <c r="AG110" i="58"/>
  <c r="AG111" i="58"/>
  <c r="AG112" i="58"/>
  <c r="AG113" i="58"/>
  <c r="AG114" i="58"/>
  <c r="AG115" i="58"/>
  <c r="AG116" i="58"/>
  <c r="AG117" i="58"/>
  <c r="AG118" i="58"/>
  <c r="AG119" i="58"/>
  <c r="AG120" i="58"/>
  <c r="AG121" i="58"/>
  <c r="AG122" i="58"/>
  <c r="AG123" i="58"/>
  <c r="AG124" i="58"/>
  <c r="AG125" i="58"/>
  <c r="AG126" i="58"/>
  <c r="AG127" i="58"/>
  <c r="AG128" i="58"/>
  <c r="AG129" i="58"/>
  <c r="AG130" i="58"/>
  <c r="AG131" i="58"/>
  <c r="AG132" i="58"/>
  <c r="AG133" i="58"/>
  <c r="AG134" i="58"/>
  <c r="AG135" i="58"/>
  <c r="AG136" i="58"/>
  <c r="AG137" i="58"/>
  <c r="AG138" i="58"/>
  <c r="AG139" i="58"/>
  <c r="AG140" i="58"/>
  <c r="AG141" i="58"/>
  <c r="AG142" i="58"/>
  <c r="AG143" i="58"/>
  <c r="AG144" i="58"/>
  <c r="AG145" i="58"/>
  <c r="AG146" i="58"/>
  <c r="AG147" i="58"/>
  <c r="AG148" i="58"/>
  <c r="AG149" i="58"/>
  <c r="AG150" i="58"/>
  <c r="AG151" i="58"/>
  <c r="AG152" i="58"/>
  <c r="AG153" i="58"/>
  <c r="AG154" i="58"/>
  <c r="AG155" i="58"/>
  <c r="AG156" i="58"/>
  <c r="AG157" i="58"/>
  <c r="AG158" i="58"/>
  <c r="AG159" i="58"/>
  <c r="AG160" i="58"/>
  <c r="AG161" i="58"/>
  <c r="AG162" i="58"/>
  <c r="AG163" i="58"/>
  <c r="AG164" i="58"/>
  <c r="AG165" i="58"/>
  <c r="AG166" i="58"/>
  <c r="AG167" i="58"/>
  <c r="AG168" i="58"/>
  <c r="AG169" i="58"/>
  <c r="AG170" i="58"/>
  <c r="AG171" i="58"/>
  <c r="AG172" i="58"/>
  <c r="AG173" i="58"/>
  <c r="AG174" i="58"/>
  <c r="AG175" i="58"/>
  <c r="AG176" i="58"/>
  <c r="AG177" i="58"/>
  <c r="AG178" i="58"/>
  <c r="AG179" i="58"/>
  <c r="AG180" i="58"/>
  <c r="AG181" i="58"/>
  <c r="AG182" i="58"/>
  <c r="AG183" i="58"/>
  <c r="AG184" i="58"/>
  <c r="AG185" i="58"/>
  <c r="AG186" i="58"/>
  <c r="AG187" i="58"/>
  <c r="AG188" i="58"/>
  <c r="AG189" i="58"/>
  <c r="AG190" i="58"/>
  <c r="AG191" i="58"/>
  <c r="AG192" i="58"/>
  <c r="AG193" i="58"/>
  <c r="AG194" i="58"/>
  <c r="AG195" i="58"/>
  <c r="AG196" i="58"/>
  <c r="AG197" i="58"/>
  <c r="AG198" i="58"/>
  <c r="AG199" i="58"/>
  <c r="AG200" i="58"/>
  <c r="AG201" i="58"/>
  <c r="AG202" i="58"/>
  <c r="AG203" i="58"/>
  <c r="AG204" i="58"/>
  <c r="AG205" i="58"/>
  <c r="AG206" i="58"/>
  <c r="AG207" i="58"/>
  <c r="AG208" i="58"/>
  <c r="AG209" i="58"/>
  <c r="AG210" i="58"/>
  <c r="AG211" i="58"/>
  <c r="AG212" i="58"/>
  <c r="AG213" i="58"/>
  <c r="AG214" i="58"/>
  <c r="AG215" i="58"/>
  <c r="AG216" i="58"/>
  <c r="AG217" i="58"/>
  <c r="AG218" i="58"/>
  <c r="AG219" i="58"/>
  <c r="AG220" i="58"/>
  <c r="AG221" i="58"/>
  <c r="AG222" i="58"/>
  <c r="AG223" i="58"/>
  <c r="AG224" i="58"/>
  <c r="AG225" i="58"/>
  <c r="AG226" i="58"/>
  <c r="AG227" i="58"/>
  <c r="AG228" i="58"/>
  <c r="AG229" i="58"/>
  <c r="AG230" i="58"/>
  <c r="AG231" i="58"/>
  <c r="AG232" i="58"/>
  <c r="AG233" i="58"/>
  <c r="AG234" i="58"/>
  <c r="AG235" i="58"/>
  <c r="AG236" i="58"/>
  <c r="AG237" i="58"/>
  <c r="AG238" i="58"/>
  <c r="AG239" i="58"/>
  <c r="AG240" i="58"/>
  <c r="AG241" i="58"/>
  <c r="AG242" i="58"/>
  <c r="AG243" i="58"/>
  <c r="AG244" i="58"/>
  <c r="AG245" i="58"/>
  <c r="AG246" i="58"/>
  <c r="AG247" i="58"/>
  <c r="AG248" i="58"/>
  <c r="AG249" i="58"/>
  <c r="AG250" i="58"/>
  <c r="AG251" i="58"/>
  <c r="AG252" i="58"/>
  <c r="AG253" i="58"/>
  <c r="AG254" i="58"/>
  <c r="AG255" i="58"/>
  <c r="AG256" i="58"/>
  <c r="AG257" i="58"/>
  <c r="AG258" i="58"/>
  <c r="AG259" i="58"/>
  <c r="AG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B17" i="55"/>
  <c r="AB18" i="55"/>
  <c r="AB19" i="55"/>
  <c r="AB20" i="55"/>
  <c r="AB21" i="55"/>
  <c r="AB22" i="55"/>
  <c r="AB23" i="55"/>
  <c r="AB24" i="55"/>
  <c r="AB25" i="55"/>
  <c r="AB26" i="55"/>
  <c r="AB27" i="55"/>
  <c r="AB28" i="55"/>
  <c r="AB29" i="55"/>
  <c r="AB30" i="55"/>
  <c r="AB31" i="55"/>
  <c r="AB32" i="55"/>
  <c r="AB33" i="55"/>
  <c r="AB34" i="55"/>
  <c r="AB35" i="55"/>
  <c r="AB36" i="55"/>
  <c r="AB37" i="55"/>
  <c r="AB38" i="55"/>
  <c r="AB39" i="55"/>
  <c r="AB40" i="55"/>
  <c r="AB41" i="55"/>
  <c r="AB42" i="55"/>
  <c r="AB43" i="55"/>
  <c r="AB44" i="55"/>
  <c r="AB45" i="55"/>
  <c r="AB46" i="55"/>
  <c r="AB47" i="55"/>
  <c r="AB48" i="55"/>
  <c r="AB49" i="55"/>
  <c r="AB50" i="55"/>
  <c r="AB51" i="55"/>
  <c r="AB52" i="55"/>
  <c r="AB53" i="55"/>
  <c r="AB54" i="55"/>
  <c r="AB55" i="55"/>
  <c r="AB56" i="55"/>
  <c r="AB57" i="55"/>
  <c r="AB58" i="55"/>
  <c r="AB59" i="55"/>
  <c r="AB60" i="55"/>
  <c r="AB61" i="55"/>
  <c r="AB62" i="55"/>
  <c r="AB63" i="55"/>
  <c r="AB64" i="55"/>
  <c r="AB65" i="55"/>
  <c r="AB66" i="55"/>
  <c r="AB67" i="55"/>
  <c r="AB68" i="55"/>
  <c r="AB69" i="55"/>
  <c r="AB70" i="55"/>
  <c r="AB71" i="55"/>
  <c r="AB72" i="55"/>
  <c r="AB73" i="55"/>
  <c r="AB74" i="55"/>
  <c r="AB75" i="55"/>
  <c r="AB76" i="55"/>
  <c r="AB77" i="55"/>
  <c r="AB78" i="55"/>
  <c r="AB79" i="55"/>
  <c r="AB80" i="55"/>
  <c r="AB81" i="55"/>
  <c r="AB82" i="55"/>
  <c r="AB83" i="55"/>
  <c r="AB84" i="55"/>
  <c r="AB85" i="55"/>
  <c r="AB86" i="55"/>
  <c r="AB87" i="55"/>
  <c r="AB88" i="55"/>
  <c r="AB89" i="55"/>
  <c r="AB90" i="55"/>
  <c r="AB91" i="55"/>
  <c r="AB92" i="55"/>
  <c r="AB93" i="55"/>
  <c r="AB94" i="55"/>
  <c r="AB95" i="55"/>
  <c r="AB96" i="55"/>
  <c r="AB97" i="55"/>
  <c r="AB98" i="55"/>
  <c r="AB99" i="55"/>
  <c r="AB100" i="55"/>
  <c r="AB101" i="55"/>
  <c r="AB102" i="55"/>
  <c r="AB103" i="55"/>
  <c r="AB104" i="55"/>
  <c r="AB105" i="55"/>
  <c r="AB106" i="55"/>
  <c r="AB107" i="55"/>
  <c r="AB108" i="55"/>
  <c r="AB109" i="55"/>
  <c r="AB110" i="55"/>
  <c r="AB111" i="55"/>
  <c r="AB112" i="55"/>
  <c r="AB113" i="55"/>
  <c r="AB114" i="55"/>
  <c r="AB115" i="55"/>
  <c r="AB116" i="55"/>
  <c r="AB117" i="55"/>
  <c r="AB118" i="55"/>
  <c r="AB119" i="55"/>
  <c r="AB120" i="55"/>
  <c r="AB121" i="55"/>
  <c r="AB122" i="55"/>
  <c r="AB123" i="55"/>
  <c r="AB124" i="55"/>
  <c r="AB125" i="55"/>
  <c r="AB126" i="55"/>
  <c r="AB127" i="55"/>
  <c r="AB128" i="55"/>
  <c r="AB129" i="55"/>
  <c r="AB130" i="55"/>
  <c r="AB131" i="55"/>
  <c r="AB132" i="55"/>
  <c r="AB133" i="55"/>
  <c r="AB134" i="55"/>
  <c r="AB135" i="55"/>
  <c r="AB136" i="55"/>
  <c r="AB137" i="55"/>
  <c r="AB138" i="55"/>
  <c r="AB139" i="55"/>
  <c r="AB140" i="55"/>
  <c r="AB141" i="55"/>
  <c r="AB142" i="55"/>
  <c r="AB143" i="55"/>
  <c r="AB144" i="55"/>
  <c r="AB145" i="55"/>
  <c r="AB146" i="55"/>
  <c r="AB147" i="55"/>
  <c r="AB148" i="55"/>
  <c r="AB149" i="55"/>
  <c r="AB150" i="55"/>
  <c r="AB151" i="55"/>
  <c r="AB152" i="55"/>
  <c r="AB153" i="55"/>
  <c r="AB154" i="55"/>
  <c r="AB155" i="55"/>
  <c r="AB156" i="55"/>
  <c r="AB157" i="55"/>
  <c r="AB158" i="55"/>
  <c r="AB159" i="55"/>
  <c r="AB160" i="55"/>
  <c r="AB161" i="55"/>
  <c r="AB162" i="55"/>
  <c r="AB163" i="55"/>
  <c r="AB164" i="55"/>
  <c r="AB165" i="55"/>
  <c r="AB166" i="55"/>
  <c r="AB167" i="55"/>
  <c r="AB168" i="55"/>
  <c r="AB169" i="55"/>
  <c r="AB170" i="55"/>
  <c r="AB171" i="55"/>
  <c r="AB172" i="55"/>
  <c r="AB173" i="55"/>
  <c r="AB174" i="55"/>
  <c r="AB175" i="55"/>
  <c r="AB176" i="55"/>
  <c r="AB177" i="55"/>
  <c r="AB178" i="55"/>
  <c r="AB179" i="55"/>
  <c r="AB180" i="55"/>
  <c r="AB181" i="55"/>
  <c r="AB182" i="55"/>
  <c r="AB183" i="55"/>
  <c r="AB184" i="55"/>
  <c r="AB185" i="55"/>
  <c r="AB186" i="55"/>
  <c r="AB187" i="55"/>
  <c r="AB188" i="55"/>
  <c r="AB189" i="55"/>
  <c r="AB190" i="55"/>
  <c r="AB191" i="55"/>
  <c r="AB192" i="55"/>
  <c r="AB193" i="55"/>
  <c r="AB194" i="55"/>
  <c r="AB195" i="55"/>
  <c r="AB196" i="55"/>
  <c r="AB197" i="55"/>
  <c r="AB198" i="55"/>
  <c r="AB199" i="55"/>
  <c r="AB200" i="55"/>
  <c r="AB201" i="55"/>
  <c r="AB202" i="55"/>
  <c r="AB203" i="55"/>
  <c r="AB204" i="55"/>
  <c r="AB205" i="55"/>
  <c r="AB206" i="55"/>
  <c r="AB207" i="55"/>
  <c r="AB208" i="55"/>
  <c r="AB209" i="55"/>
  <c r="AB210" i="55"/>
  <c r="AB211" i="55"/>
  <c r="AB212" i="55"/>
  <c r="AB213" i="55"/>
  <c r="AB214" i="55"/>
  <c r="AB215" i="55"/>
  <c r="AB216" i="55"/>
  <c r="AB217" i="55"/>
  <c r="AB218" i="55"/>
  <c r="AB219" i="55"/>
  <c r="AB220" i="55"/>
  <c r="AB221" i="55"/>
  <c r="AB222" i="55"/>
  <c r="AB223" i="55"/>
  <c r="AB224" i="55"/>
  <c r="AB225" i="55"/>
  <c r="AB226" i="55"/>
  <c r="AB227" i="55"/>
  <c r="AB228" i="55"/>
  <c r="AB229" i="55"/>
  <c r="AB230" i="55"/>
  <c r="AB231" i="55"/>
  <c r="AB232" i="55"/>
  <c r="AB233" i="55"/>
  <c r="AB234" i="55"/>
  <c r="AB235" i="55"/>
  <c r="AB236" i="55"/>
  <c r="AB237" i="55"/>
  <c r="AB238" i="55"/>
  <c r="AB239" i="55"/>
  <c r="AB240" i="55"/>
  <c r="AB241" i="55"/>
  <c r="AB242" i="55"/>
  <c r="AB243" i="55"/>
  <c r="AB244" i="55"/>
  <c r="AB245" i="55"/>
  <c r="AB246" i="55"/>
  <c r="AB247" i="55"/>
  <c r="AB248" i="55"/>
  <c r="AB249" i="55"/>
  <c r="AB250" i="55"/>
  <c r="AB251" i="55"/>
  <c r="AB252" i="55"/>
  <c r="AB253" i="55"/>
  <c r="AB254" i="55"/>
  <c r="AB255" i="55"/>
  <c r="AB256" i="55"/>
  <c r="AB257" i="55"/>
  <c r="AB11" i="55"/>
  <c r="AB12" i="55"/>
  <c r="AB13" i="55"/>
  <c r="AB14" i="55"/>
  <c r="AB15" i="55"/>
  <c r="AB16" i="55"/>
  <c r="AB10" i="55"/>
  <c r="AV40" i="65" l="1"/>
  <c r="Z17" i="64"/>
  <c r="Z18" i="64"/>
  <c r="Z19" i="64"/>
  <c r="Z20" i="64"/>
  <c r="Z21" i="64"/>
  <c r="Z22" i="64"/>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R33" i="63"/>
  <c r="R34" i="63"/>
  <c r="R35" i="63"/>
  <c r="R36" i="63"/>
  <c r="R37" i="63"/>
  <c r="R39" i="63"/>
  <c r="R40" i="63"/>
  <c r="R41" i="63"/>
  <c r="R42" i="63"/>
  <c r="R43" i="63"/>
  <c r="R44" i="63"/>
  <c r="R45" i="63"/>
  <c r="R46"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9" i="63"/>
  <c r="R250" i="63"/>
  <c r="R251" i="63"/>
  <c r="R252" i="63"/>
  <c r="R253" i="63"/>
  <c r="R254" i="63"/>
  <c r="R255" i="63"/>
  <c r="R257" i="63"/>
  <c r="AP19" i="63"/>
  <c r="AP20" i="63"/>
  <c r="AP21" i="63"/>
  <c r="AP22" i="63"/>
  <c r="AP23" i="63"/>
  <c r="AP24" i="63"/>
  <c r="AP25" i="63"/>
  <c r="AP26" i="63"/>
  <c r="AP27" i="63"/>
  <c r="AP28" i="63"/>
  <c r="AP29" i="63"/>
  <c r="AP30" i="63"/>
  <c r="AP31" i="63"/>
  <c r="AP32" i="63"/>
  <c r="AP33" i="63"/>
  <c r="AP34" i="63"/>
  <c r="AP35" i="63"/>
  <c r="AP36" i="63"/>
  <c r="AP37" i="63"/>
  <c r="AP38" i="63"/>
  <c r="AP39" i="63"/>
  <c r="AP40" i="63"/>
  <c r="AP41" i="63"/>
  <c r="AP42" i="63"/>
  <c r="AP43" i="63"/>
  <c r="AP44" i="63"/>
  <c r="AP45" i="63"/>
  <c r="AP46" i="63"/>
  <c r="AP47" i="63"/>
  <c r="AP48" i="63"/>
  <c r="AP49" i="63"/>
  <c r="AP50" i="63"/>
  <c r="AP51" i="63"/>
  <c r="AP52" i="63"/>
  <c r="AP53" i="63"/>
  <c r="AP54" i="63"/>
  <c r="AP55" i="63"/>
  <c r="AP56" i="63"/>
  <c r="AP57" i="63"/>
  <c r="AP58" i="63"/>
  <c r="AP59" i="63"/>
  <c r="AP60" i="63"/>
  <c r="AP61" i="63"/>
  <c r="AP62" i="63"/>
  <c r="AP63" i="63"/>
  <c r="AP64" i="63"/>
  <c r="AP65" i="63"/>
  <c r="AP66" i="63"/>
  <c r="AP67" i="63"/>
  <c r="AP68" i="63"/>
  <c r="AP69" i="63"/>
  <c r="AP70" i="63"/>
  <c r="AP71" i="63"/>
  <c r="AP72" i="63"/>
  <c r="AP73" i="63"/>
  <c r="AP74" i="63"/>
  <c r="AP75" i="63"/>
  <c r="AP76" i="63"/>
  <c r="AP77" i="63"/>
  <c r="AP78" i="63"/>
  <c r="AP79" i="63"/>
  <c r="AP80" i="63"/>
  <c r="AP81" i="63"/>
  <c r="AP82" i="63"/>
  <c r="AP83" i="63"/>
  <c r="AP84" i="63"/>
  <c r="AP85" i="63"/>
  <c r="AP86" i="63"/>
  <c r="AP87" i="63"/>
  <c r="AP88" i="63"/>
  <c r="AP89" i="63"/>
  <c r="AP90" i="63"/>
  <c r="AP91" i="63"/>
  <c r="AP92" i="63"/>
  <c r="AP93" i="63"/>
  <c r="AP94" i="63"/>
  <c r="AP95" i="63"/>
  <c r="AP96" i="63"/>
  <c r="AP97" i="63"/>
  <c r="AP98" i="63"/>
  <c r="AP99" i="63"/>
  <c r="AP100" i="63"/>
  <c r="AP101" i="63"/>
  <c r="AP102" i="63"/>
  <c r="AP103" i="63"/>
  <c r="AP104" i="63"/>
  <c r="AP105" i="63"/>
  <c r="AP106" i="63"/>
  <c r="AP107" i="63"/>
  <c r="AP108" i="63"/>
  <c r="AP109" i="63"/>
  <c r="AP110" i="63"/>
  <c r="AP111" i="63"/>
  <c r="AP112" i="63"/>
  <c r="AP113" i="63"/>
  <c r="AP114" i="63"/>
  <c r="AP115" i="63"/>
  <c r="AP116" i="63"/>
  <c r="AP117" i="63"/>
  <c r="AP118" i="63"/>
  <c r="AP119" i="63"/>
  <c r="AP120" i="63"/>
  <c r="AP121" i="63"/>
  <c r="AP122" i="63"/>
  <c r="AP123" i="63"/>
  <c r="AP124" i="63"/>
  <c r="AP125" i="63"/>
  <c r="AP126" i="63"/>
  <c r="AP127" i="63"/>
  <c r="AP128" i="63"/>
  <c r="AP129" i="63"/>
  <c r="AP130" i="63"/>
  <c r="AP131" i="63"/>
  <c r="AP132" i="63"/>
  <c r="AP133" i="63"/>
  <c r="AP134" i="63"/>
  <c r="AP135" i="63"/>
  <c r="AP136" i="63"/>
  <c r="AP137" i="63"/>
  <c r="AP138" i="63"/>
  <c r="AP139" i="63"/>
  <c r="AP140" i="63"/>
  <c r="AP141" i="63"/>
  <c r="AP142" i="63"/>
  <c r="AP143" i="63"/>
  <c r="AP144" i="63"/>
  <c r="AP145" i="63"/>
  <c r="AP146" i="63"/>
  <c r="AP147" i="63"/>
  <c r="AP148" i="63"/>
  <c r="AP149" i="63"/>
  <c r="AP150" i="63"/>
  <c r="AP151" i="63"/>
  <c r="AP152" i="63"/>
  <c r="AP153" i="63"/>
  <c r="AP154" i="63"/>
  <c r="AP155" i="63"/>
  <c r="AP156" i="63"/>
  <c r="AP157" i="63"/>
  <c r="AP158" i="63"/>
  <c r="AP159" i="63"/>
  <c r="AP160" i="63"/>
  <c r="AP161" i="63"/>
  <c r="AP162" i="63"/>
  <c r="AP163" i="63"/>
  <c r="AP164" i="63"/>
  <c r="AP165" i="63"/>
  <c r="AP166" i="63"/>
  <c r="AP167" i="63"/>
  <c r="AP168" i="63"/>
  <c r="AP169" i="63"/>
  <c r="AP170" i="63"/>
  <c r="AP171" i="63"/>
  <c r="AP172" i="63"/>
  <c r="AP173" i="63"/>
  <c r="AP174" i="63"/>
  <c r="AP175" i="63"/>
  <c r="AP176" i="63"/>
  <c r="AP177" i="63"/>
  <c r="AP178" i="63"/>
  <c r="AP179" i="63"/>
  <c r="AP180" i="63"/>
  <c r="AP181" i="63"/>
  <c r="AP182" i="63"/>
  <c r="AP183" i="63"/>
  <c r="AP184" i="63"/>
  <c r="AP185" i="63"/>
  <c r="AP186" i="63"/>
  <c r="AP187" i="63"/>
  <c r="AP188" i="63"/>
  <c r="AP189" i="63"/>
  <c r="AP190" i="63"/>
  <c r="AP191" i="63"/>
  <c r="AP192" i="63"/>
  <c r="AP193" i="63"/>
  <c r="AP194" i="63"/>
  <c r="AP195" i="63"/>
  <c r="AP196" i="63"/>
  <c r="AP197" i="63"/>
  <c r="AP198" i="63"/>
  <c r="AP199" i="63"/>
  <c r="AP200" i="63"/>
  <c r="AP201" i="63"/>
  <c r="AP202" i="63"/>
  <c r="AP203" i="63"/>
  <c r="AP204" i="63"/>
  <c r="AP205" i="63"/>
  <c r="AP206" i="63"/>
  <c r="AP207" i="63"/>
  <c r="AP208" i="63"/>
  <c r="AP209" i="63"/>
  <c r="AP210" i="63"/>
  <c r="AP211" i="63"/>
  <c r="AP212" i="63"/>
  <c r="AP213" i="63"/>
  <c r="AP214" i="63"/>
  <c r="AP215" i="63"/>
  <c r="AP216" i="63"/>
  <c r="AP217" i="63"/>
  <c r="AP218" i="63"/>
  <c r="AP219" i="63"/>
  <c r="AP220" i="63"/>
  <c r="AP221" i="63"/>
  <c r="AP222" i="63"/>
  <c r="AP223" i="63"/>
  <c r="AP224" i="63"/>
  <c r="AP225" i="63"/>
  <c r="AP226" i="63"/>
  <c r="AP227" i="63"/>
  <c r="AP228" i="63"/>
  <c r="AP229" i="63"/>
  <c r="AP230" i="63"/>
  <c r="AP231" i="63"/>
  <c r="AP232" i="63"/>
  <c r="AP233" i="63"/>
  <c r="AP234" i="63"/>
  <c r="AP235" i="63"/>
  <c r="AP236" i="63"/>
  <c r="AP237" i="63"/>
  <c r="AP238" i="63"/>
  <c r="AP239" i="63"/>
  <c r="AP240" i="63"/>
  <c r="AP241" i="63"/>
  <c r="AP242" i="63"/>
  <c r="AP243" i="63"/>
  <c r="AP244" i="63"/>
  <c r="AP245" i="63"/>
  <c r="AP246" i="63"/>
  <c r="AP247" i="63"/>
  <c r="AP248" i="63"/>
  <c r="AP249" i="63"/>
  <c r="AP250" i="63"/>
  <c r="AP251" i="63"/>
  <c r="AP252" i="63"/>
  <c r="AP253" i="63"/>
  <c r="AP254" i="63"/>
  <c r="AP255" i="63"/>
  <c r="AP256" i="63"/>
  <c r="AP257" i="63"/>
  <c r="AP11" i="63"/>
  <c r="AP12" i="63"/>
  <c r="AP13" i="63"/>
  <c r="AP15" i="63"/>
  <c r="AP16" i="63"/>
  <c r="AP17" i="63"/>
  <c r="AP18" i="63"/>
  <c r="AP10" i="63"/>
  <c r="AL10" i="52"/>
  <c r="T13" i="53"/>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2" i="53"/>
  <c r="AG12" i="42"/>
  <c r="I13" i="42" l="1"/>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12" i="42"/>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AH40" i="65" l="1"/>
  <c r="I5" i="99"/>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7" i="99"/>
  <c r="I38" i="99"/>
  <c r="I39" i="99"/>
  <c r="I40" i="99"/>
  <c r="I41" i="99"/>
  <c r="I42" i="99"/>
  <c r="I43" i="99"/>
  <c r="I44" i="99"/>
  <c r="I45" i="99"/>
  <c r="I46" i="99"/>
  <c r="I47" i="99"/>
  <c r="I48" i="99"/>
  <c r="I49" i="99"/>
  <c r="I50" i="99"/>
  <c r="I51" i="99"/>
  <c r="I52" i="99"/>
  <c r="I53" i="99"/>
  <c r="I54" i="99"/>
  <c r="I55" i="99"/>
  <c r="I56" i="99"/>
  <c r="I57" i="99"/>
  <c r="I58" i="99"/>
  <c r="I59" i="99"/>
  <c r="I60" i="99"/>
  <c r="I61" i="99"/>
  <c r="I62" i="99"/>
  <c r="I63" i="99"/>
  <c r="I64" i="99"/>
  <c r="I65" i="99"/>
  <c r="I66" i="99"/>
  <c r="I67" i="99"/>
  <c r="I68" i="99"/>
  <c r="I69" i="99"/>
  <c r="I70" i="99"/>
  <c r="I71" i="99"/>
  <c r="I72" i="99"/>
  <c r="I74" i="99"/>
  <c r="I75" i="99"/>
  <c r="I76" i="99"/>
  <c r="I77" i="99"/>
  <c r="I78" i="99"/>
  <c r="I79" i="99"/>
  <c r="I80" i="99"/>
  <c r="I81" i="99"/>
  <c r="I82" i="99"/>
  <c r="I83" i="99"/>
  <c r="I84" i="99"/>
  <c r="I85" i="99"/>
  <c r="I86" i="99"/>
  <c r="I88" i="99"/>
  <c r="I89" i="99"/>
  <c r="I90"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U14" i="64" s="1"/>
  <c r="R15" i="64"/>
  <c r="R16" i="64"/>
  <c r="U16" i="64" s="1"/>
  <c r="R17" i="64"/>
  <c r="U17" i="64"/>
  <c r="R18" i="64"/>
  <c r="U18" i="64"/>
  <c r="R19" i="64"/>
  <c r="U19" i="64"/>
  <c r="R20" i="64"/>
  <c r="U20" i="64"/>
  <c r="R21" i="64"/>
  <c r="U21" i="64"/>
  <c r="R22" i="64"/>
  <c r="U22" i="64"/>
  <c r="R23" i="64"/>
  <c r="U23" i="64"/>
  <c r="R24" i="64"/>
  <c r="U24" i="64"/>
  <c r="R25" i="64"/>
  <c r="U25" i="64"/>
  <c r="R26" i="64"/>
  <c r="U26" i="64"/>
  <c r="R27" i="64"/>
  <c r="U27" i="64"/>
  <c r="R28" i="64"/>
  <c r="U28" i="64"/>
  <c r="R29" i="64"/>
  <c r="U29" i="64"/>
  <c r="R30" i="64"/>
  <c r="U30" i="64"/>
  <c r="R31" i="64"/>
  <c r="U31" i="64"/>
  <c r="R32" i="64"/>
  <c r="U32" i="64"/>
  <c r="R33" i="64"/>
  <c r="U33" i="64"/>
  <c r="R34" i="64"/>
  <c r="U34" i="64"/>
  <c r="R35" i="64"/>
  <c r="U35" i="64"/>
  <c r="R36" i="64"/>
  <c r="U36" i="64"/>
  <c r="R37" i="64"/>
  <c r="U37" i="64"/>
  <c r="R38" i="64"/>
  <c r="U38" i="64"/>
  <c r="R39" i="64"/>
  <c r="U39" i="64"/>
  <c r="R40" i="64"/>
  <c r="U40" i="64"/>
  <c r="R41" i="64"/>
  <c r="U41" i="64"/>
  <c r="R42" i="64"/>
  <c r="U42" i="64"/>
  <c r="R43" i="64"/>
  <c r="U43" i="64"/>
  <c r="R44" i="64"/>
  <c r="U44" i="64" s="1"/>
  <c r="R45" i="64"/>
  <c r="U45" i="64"/>
  <c r="R46" i="64"/>
  <c r="U46" i="64"/>
  <c r="R47" i="64"/>
  <c r="U47" i="64"/>
  <c r="R48" i="64"/>
  <c r="U48" i="64"/>
  <c r="R49" i="64"/>
  <c r="U49" i="64"/>
  <c r="R50" i="64"/>
  <c r="U50" i="64"/>
  <c r="R51" i="64"/>
  <c r="U51" i="64"/>
  <c r="R52" i="64"/>
  <c r="U52" i="64"/>
  <c r="R53" i="64"/>
  <c r="U53" i="64"/>
  <c r="R54" i="64"/>
  <c r="U54" i="64"/>
  <c r="R55" i="64"/>
  <c r="U55" i="64"/>
  <c r="R56" i="64"/>
  <c r="U56" i="64"/>
  <c r="R57" i="64"/>
  <c r="U57" i="64"/>
  <c r="R58" i="64"/>
  <c r="U58" i="64"/>
  <c r="R59" i="64"/>
  <c r="U59" i="64"/>
  <c r="R60" i="64"/>
  <c r="U60" i="64"/>
  <c r="R61" i="64"/>
  <c r="U61" i="64"/>
  <c r="R62" i="64"/>
  <c r="U62" i="64"/>
  <c r="R63" i="64"/>
  <c r="U63" i="64"/>
  <c r="R64" i="64"/>
  <c r="U64" i="64"/>
  <c r="R65" i="64"/>
  <c r="U65" i="64"/>
  <c r="R66" i="64"/>
  <c r="U66" i="64"/>
  <c r="R67" i="64"/>
  <c r="U67" i="64"/>
  <c r="R68" i="64"/>
  <c r="U68" i="64"/>
  <c r="R69" i="64"/>
  <c r="U69" i="64"/>
  <c r="R70" i="64"/>
  <c r="U70" i="64"/>
  <c r="R71" i="64"/>
  <c r="U71" i="64"/>
  <c r="R72" i="64"/>
  <c r="U72" i="64"/>
  <c r="R73" i="64"/>
  <c r="U73" i="64"/>
  <c r="R74" i="64"/>
  <c r="U74" i="64"/>
  <c r="R75" i="64"/>
  <c r="U75" i="64"/>
  <c r="R76" i="64"/>
  <c r="U76" i="64"/>
  <c r="R77" i="64"/>
  <c r="U77" i="64"/>
  <c r="R78" i="64"/>
  <c r="U78" i="64"/>
  <c r="R79" i="64"/>
  <c r="U79" i="64"/>
  <c r="R80" i="64"/>
  <c r="U80" i="64"/>
  <c r="R81" i="64"/>
  <c r="U81" i="64"/>
  <c r="R82" i="64"/>
  <c r="U82" i="64"/>
  <c r="R83" i="64"/>
  <c r="U83" i="64"/>
  <c r="R84" i="64"/>
  <c r="U84" i="64"/>
  <c r="R85" i="64"/>
  <c r="U85" i="64"/>
  <c r="R86" i="64"/>
  <c r="U86" i="64"/>
  <c r="R87" i="64"/>
  <c r="U87" i="64"/>
  <c r="R88" i="64"/>
  <c r="U88" i="64"/>
  <c r="R89" i="64"/>
  <c r="U89" i="64"/>
  <c r="R90" i="64"/>
  <c r="U90" i="64"/>
  <c r="R91" i="64"/>
  <c r="U91" i="64"/>
  <c r="R92" i="64"/>
  <c r="U92" i="64"/>
  <c r="R93" i="64"/>
  <c r="U93" i="64"/>
  <c r="R94" i="64"/>
  <c r="U94" i="64"/>
  <c r="R95" i="64"/>
  <c r="U95" i="64"/>
  <c r="R96" i="64"/>
  <c r="U96" i="64"/>
  <c r="R97" i="64"/>
  <c r="U97" i="64"/>
  <c r="R98" i="64"/>
  <c r="U98" i="64"/>
  <c r="R99" i="64"/>
  <c r="U99" i="64"/>
  <c r="R100" i="64"/>
  <c r="U100" i="64"/>
  <c r="R101" i="64"/>
  <c r="U101" i="64"/>
  <c r="R102" i="64"/>
  <c r="U102" i="64"/>
  <c r="R103" i="64"/>
  <c r="U103" i="64"/>
  <c r="R104" i="64"/>
  <c r="U104" i="64"/>
  <c r="R105" i="64"/>
  <c r="U105" i="64"/>
  <c r="R106" i="64"/>
  <c r="U106" i="64"/>
  <c r="R107" i="64"/>
  <c r="U107" i="64"/>
  <c r="R108" i="64"/>
  <c r="U108" i="64"/>
  <c r="R109" i="64"/>
  <c r="U109" i="64"/>
  <c r="R110" i="64"/>
  <c r="U110" i="64"/>
  <c r="R111" i="64"/>
  <c r="U111" i="64"/>
  <c r="R112" i="64"/>
  <c r="U112" i="64"/>
  <c r="R113" i="64"/>
  <c r="U113" i="64"/>
  <c r="R114" i="64"/>
  <c r="U114" i="64"/>
  <c r="R115" i="64"/>
  <c r="U115" i="64"/>
  <c r="R116" i="64"/>
  <c r="U116" i="64"/>
  <c r="R117" i="64"/>
  <c r="U117" i="64"/>
  <c r="R118" i="64"/>
  <c r="U118" i="64"/>
  <c r="R119" i="64"/>
  <c r="U119" i="64"/>
  <c r="R120" i="64"/>
  <c r="U120" i="64"/>
  <c r="R121" i="64"/>
  <c r="U121" i="64"/>
  <c r="R122" i="64"/>
  <c r="U122" i="64"/>
  <c r="R123" i="64"/>
  <c r="U123" i="64"/>
  <c r="R124" i="64"/>
  <c r="U124" i="64"/>
  <c r="R125" i="64"/>
  <c r="U125" i="64"/>
  <c r="R126" i="64"/>
  <c r="U126" i="64"/>
  <c r="R127" i="64"/>
  <c r="U127" i="64"/>
  <c r="R128" i="64"/>
  <c r="U128" i="64"/>
  <c r="R129" i="64"/>
  <c r="U129" i="64"/>
  <c r="R130" i="64"/>
  <c r="U130" i="64"/>
  <c r="R131" i="64"/>
  <c r="U131" i="64"/>
  <c r="R132" i="64"/>
  <c r="U132" i="64"/>
  <c r="R133" i="64"/>
  <c r="U133" i="64"/>
  <c r="R134" i="64"/>
  <c r="U134" i="64"/>
  <c r="R135" i="64"/>
  <c r="U135" i="64"/>
  <c r="R136" i="64"/>
  <c r="U136" i="64"/>
  <c r="R137" i="64"/>
  <c r="U137" i="64"/>
  <c r="R138" i="64"/>
  <c r="U138" i="64"/>
  <c r="R139" i="64"/>
  <c r="U139" i="64"/>
  <c r="R140" i="64"/>
  <c r="U140" i="64"/>
  <c r="R141" i="64"/>
  <c r="U141" i="64"/>
  <c r="R142" i="64"/>
  <c r="U142" i="64"/>
  <c r="R143" i="64"/>
  <c r="U143" i="64"/>
  <c r="R144" i="64"/>
  <c r="U144" i="64"/>
  <c r="R145" i="64"/>
  <c r="U145" i="64"/>
  <c r="R146" i="64"/>
  <c r="U146" i="64"/>
  <c r="R147" i="64"/>
  <c r="U147" i="64"/>
  <c r="R148" i="64"/>
  <c r="U148" i="64"/>
  <c r="R149" i="64"/>
  <c r="U149" i="64"/>
  <c r="R150" i="64"/>
  <c r="U150" i="64"/>
  <c r="R151" i="64"/>
  <c r="U151" i="64"/>
  <c r="R152" i="64"/>
  <c r="U152" i="64"/>
  <c r="R153" i="64"/>
  <c r="U153" i="64"/>
  <c r="R154" i="64"/>
  <c r="U154" i="64"/>
  <c r="R155" i="64"/>
  <c r="U155" i="64"/>
  <c r="R156" i="64"/>
  <c r="U156" i="64"/>
  <c r="R157" i="64"/>
  <c r="U157" i="64"/>
  <c r="R158" i="64"/>
  <c r="U158" i="64"/>
  <c r="R159" i="64"/>
  <c r="U159" i="64"/>
  <c r="R160" i="64"/>
  <c r="U160" i="64"/>
  <c r="R161" i="64"/>
  <c r="U161" i="64"/>
  <c r="R162" i="64"/>
  <c r="U162" i="64"/>
  <c r="R163" i="64"/>
  <c r="U163" i="64"/>
  <c r="R164" i="64"/>
  <c r="U164" i="64"/>
  <c r="R165" i="64"/>
  <c r="U165" i="64"/>
  <c r="R166" i="64"/>
  <c r="U166" i="64"/>
  <c r="R167" i="64"/>
  <c r="U167" i="64"/>
  <c r="R168" i="64"/>
  <c r="U168" i="64"/>
  <c r="R169" i="64"/>
  <c r="U169" i="64"/>
  <c r="R170" i="64"/>
  <c r="U170" i="64"/>
  <c r="R171" i="64"/>
  <c r="U171" i="64"/>
  <c r="R172" i="64"/>
  <c r="U172" i="64"/>
  <c r="R173" i="64"/>
  <c r="U173" i="64"/>
  <c r="R174" i="64"/>
  <c r="U174" i="64"/>
  <c r="R175" i="64"/>
  <c r="U175" i="64"/>
  <c r="R176" i="64"/>
  <c r="U176" i="64"/>
  <c r="R177" i="64"/>
  <c r="U177" i="64"/>
  <c r="R178" i="64"/>
  <c r="U178" i="64"/>
  <c r="R179" i="64"/>
  <c r="U179" i="64"/>
  <c r="R180" i="64"/>
  <c r="U180" i="64"/>
  <c r="R181" i="64"/>
  <c r="U181" i="64"/>
  <c r="R182" i="64"/>
  <c r="U182" i="64"/>
  <c r="R183" i="64"/>
  <c r="U183" i="64"/>
  <c r="R184" i="64"/>
  <c r="U184" i="64"/>
  <c r="R185" i="64"/>
  <c r="U185" i="64"/>
  <c r="R186" i="64"/>
  <c r="U186" i="64"/>
  <c r="R187" i="64"/>
  <c r="U187" i="64"/>
  <c r="R188" i="64"/>
  <c r="U188" i="64"/>
  <c r="R189" i="64"/>
  <c r="U189" i="64"/>
  <c r="R190" i="64"/>
  <c r="U190" i="64"/>
  <c r="R191" i="64"/>
  <c r="U191" i="64"/>
  <c r="R192" i="64"/>
  <c r="U192" i="64"/>
  <c r="R193" i="64"/>
  <c r="U193" i="64"/>
  <c r="R194" i="64"/>
  <c r="U194" i="64"/>
  <c r="R195" i="64"/>
  <c r="U195" i="64"/>
  <c r="R196" i="64"/>
  <c r="U196" i="64"/>
  <c r="R197" i="64"/>
  <c r="U197" i="64"/>
  <c r="R198" i="64"/>
  <c r="U198" i="64"/>
  <c r="R199" i="64"/>
  <c r="U199" i="64"/>
  <c r="R200" i="64"/>
  <c r="U200" i="64"/>
  <c r="R201" i="64"/>
  <c r="U201" i="64"/>
  <c r="R202" i="64"/>
  <c r="U202" i="64"/>
  <c r="R203" i="64"/>
  <c r="U203" i="64"/>
  <c r="R204" i="64"/>
  <c r="U204" i="64"/>
  <c r="R205" i="64"/>
  <c r="U205" i="64"/>
  <c r="R206" i="64"/>
  <c r="U206" i="64"/>
  <c r="R207" i="64"/>
  <c r="U207" i="64"/>
  <c r="R208" i="64"/>
  <c r="U208" i="64"/>
  <c r="R209" i="64"/>
  <c r="U209" i="64"/>
  <c r="R210" i="64"/>
  <c r="U210" i="64"/>
  <c r="R211" i="64"/>
  <c r="U211" i="64"/>
  <c r="R212" i="64"/>
  <c r="U212" i="64"/>
  <c r="R213" i="64"/>
  <c r="U213" i="64"/>
  <c r="R214" i="64"/>
  <c r="U214" i="64"/>
  <c r="R215" i="64"/>
  <c r="U215" i="64"/>
  <c r="R216" i="64"/>
  <c r="U216" i="64"/>
  <c r="R217" i="64"/>
  <c r="U217" i="64"/>
  <c r="R218" i="64"/>
  <c r="U218" i="64"/>
  <c r="R219" i="64"/>
  <c r="U219" i="64"/>
  <c r="R220" i="64"/>
  <c r="U220" i="64"/>
  <c r="R221" i="64"/>
  <c r="U221" i="64"/>
  <c r="R222" i="64"/>
  <c r="U222" i="64"/>
  <c r="R223" i="64"/>
  <c r="U223" i="64"/>
  <c r="R224" i="64"/>
  <c r="U224" i="64"/>
  <c r="R225" i="64"/>
  <c r="U225" i="64"/>
  <c r="R226" i="64"/>
  <c r="U226" i="64"/>
  <c r="R227" i="64"/>
  <c r="U227" i="64"/>
  <c r="R228" i="64"/>
  <c r="U228" i="64"/>
  <c r="R229" i="64"/>
  <c r="U229" i="64"/>
  <c r="R230" i="64"/>
  <c r="U230" i="64"/>
  <c r="R231" i="64"/>
  <c r="U231" i="64"/>
  <c r="R232" i="64"/>
  <c r="U232" i="64"/>
  <c r="R233" i="64"/>
  <c r="U233" i="64"/>
  <c r="R234" i="64"/>
  <c r="U234" i="64"/>
  <c r="R235" i="64"/>
  <c r="U235" i="64"/>
  <c r="R236" i="64"/>
  <c r="U236" i="64"/>
  <c r="R237" i="64"/>
  <c r="U237" i="64"/>
  <c r="R238" i="64"/>
  <c r="U238" i="64"/>
  <c r="R239" i="64"/>
  <c r="U239" i="64"/>
  <c r="R240" i="64"/>
  <c r="U240" i="64"/>
  <c r="R241" i="64"/>
  <c r="U241" i="64"/>
  <c r="R242" i="64"/>
  <c r="U242" i="64"/>
  <c r="R243" i="64"/>
  <c r="U243" i="64"/>
  <c r="R244" i="64"/>
  <c r="U244" i="64"/>
  <c r="R245" i="64"/>
  <c r="U245" i="64"/>
  <c r="R246" i="64"/>
  <c r="U246" i="64"/>
  <c r="R247" i="64"/>
  <c r="U247" i="64"/>
  <c r="R248" i="64"/>
  <c r="U248" i="64"/>
  <c r="R249" i="64"/>
  <c r="U249" i="64"/>
  <c r="R250" i="64"/>
  <c r="U250" i="64"/>
  <c r="R251" i="64"/>
  <c r="U251" i="64"/>
  <c r="R252" i="64"/>
  <c r="U252" i="64"/>
  <c r="R253" i="64"/>
  <c r="U253" i="64"/>
  <c r="R254" i="64"/>
  <c r="U254" i="64"/>
  <c r="R255" i="64"/>
  <c r="U255" i="64"/>
  <c r="R256" i="64"/>
  <c r="U256" i="64"/>
  <c r="R257" i="64"/>
  <c r="U257" i="64"/>
  <c r="R258" i="64"/>
  <c r="U258" i="64"/>
  <c r="R259" i="64"/>
  <c r="U259" i="64"/>
  <c r="R12" i="64"/>
  <c r="U15" i="64" l="1"/>
  <c r="U13" i="64"/>
  <c r="U13" i="58"/>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c r="S18" i="42"/>
  <c r="V18" i="42"/>
  <c r="S19" i="42"/>
  <c r="V19" i="42"/>
  <c r="S20" i="42"/>
  <c r="V20" i="42"/>
  <c r="S21" i="42"/>
  <c r="V21" i="42"/>
  <c r="S22" i="42"/>
  <c r="V22" i="42"/>
  <c r="S23" i="42"/>
  <c r="V23" i="42"/>
  <c r="S24" i="42"/>
  <c r="V24" i="42"/>
  <c r="S25" i="42"/>
  <c r="V25" i="42"/>
  <c r="S26" i="42"/>
  <c r="V26" i="42"/>
  <c r="S27" i="42"/>
  <c r="V27" i="42"/>
  <c r="S28" i="42"/>
  <c r="V28" i="42"/>
  <c r="S29" i="42"/>
  <c r="V29" i="42"/>
  <c r="S30" i="42"/>
  <c r="V30" i="42"/>
  <c r="S31" i="42"/>
  <c r="V31" i="42"/>
  <c r="S32" i="42"/>
  <c r="V32" i="42"/>
  <c r="S33" i="42"/>
  <c r="V33" i="42"/>
  <c r="S34" i="42"/>
  <c r="V34" i="42"/>
  <c r="S35" i="42"/>
  <c r="V35" i="42"/>
  <c r="S36" i="42"/>
  <c r="V36" i="42"/>
  <c r="S37" i="42"/>
  <c r="V37" i="42"/>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58" i="22" l="1"/>
  <c r="I150" i="22"/>
  <c r="I149" i="22"/>
  <c r="I148" i="22"/>
  <c r="I147" i="22" l="1"/>
  <c r="I151" i="22"/>
  <c r="I152" i="22"/>
  <c r="I156" i="22"/>
  <c r="C79" i="72"/>
  <c r="B79" i="72"/>
  <c r="C78" i="72"/>
  <c r="B78" i="72"/>
  <c r="C113" i="72"/>
  <c r="B113" i="72"/>
  <c r="C112" i="72"/>
  <c r="B112" i="72"/>
  <c r="C111" i="72"/>
  <c r="B111" i="72"/>
  <c r="C131" i="72"/>
  <c r="B131" i="72"/>
  <c r="B132" i="72"/>
  <c r="C130" i="72"/>
  <c r="B130" i="72"/>
  <c r="C148" i="72"/>
  <c r="B148" i="72"/>
  <c r="C135" i="72"/>
  <c r="B135" i="72"/>
  <c r="C123" i="72"/>
  <c r="C102" i="72"/>
  <c r="B102" i="72"/>
  <c r="C91" i="72"/>
  <c r="C90" i="72"/>
  <c r="B91" i="72"/>
  <c r="C16" i="71" l="1"/>
  <c r="F16" i="71"/>
  <c r="V16" i="71" s="1"/>
  <c r="C17" i="71"/>
  <c r="F17" i="71"/>
  <c r="V17" i="71" s="1"/>
  <c r="C18" i="71"/>
  <c r="F18" i="71"/>
  <c r="V18" i="71" s="1"/>
  <c r="C19" i="71"/>
  <c r="F19" i="71"/>
  <c r="V19" i="71" s="1"/>
  <c r="C20" i="71"/>
  <c r="F20" i="71"/>
  <c r="V20" i="71" s="1"/>
  <c r="C21" i="71"/>
  <c r="F21" i="71"/>
  <c r="V21" i="71" s="1"/>
  <c r="C22" i="71"/>
  <c r="F22" i="71"/>
  <c r="V22" i="71" s="1"/>
  <c r="C23" i="71"/>
  <c r="F23" i="71"/>
  <c r="V23" i="71" s="1"/>
  <c r="C24" i="71"/>
  <c r="F24" i="71"/>
  <c r="V24" i="71" s="1"/>
  <c r="C25" i="71"/>
  <c r="F25" i="71"/>
  <c r="V25" i="71" s="1"/>
  <c r="C26" i="71"/>
  <c r="F26" i="71"/>
  <c r="V26" i="71" s="1"/>
  <c r="C27" i="71"/>
  <c r="F27" i="71"/>
  <c r="C28" i="71"/>
  <c r="F28" i="71"/>
  <c r="V28" i="71" s="1"/>
  <c r="C29" i="71"/>
  <c r="F29" i="71"/>
  <c r="V29" i="71" s="1"/>
  <c r="C30" i="71"/>
  <c r="F30" i="71"/>
  <c r="V30" i="71" s="1"/>
  <c r="C31" i="71"/>
  <c r="F31" i="71"/>
  <c r="V31" i="71" s="1"/>
  <c r="C32" i="71"/>
  <c r="F32" i="71"/>
  <c r="V32" i="71" s="1"/>
  <c r="C33" i="71"/>
  <c r="F33" i="71"/>
  <c r="V33" i="71" s="1"/>
  <c r="C34" i="71"/>
  <c r="F34" i="71"/>
  <c r="V34" i="71" s="1"/>
  <c r="C35" i="71"/>
  <c r="F35" i="71"/>
  <c r="V35" i="71" s="1"/>
  <c r="C36" i="71"/>
  <c r="F36" i="71"/>
  <c r="V36" i="71" s="1"/>
  <c r="C37" i="71"/>
  <c r="F37" i="71"/>
  <c r="V37" i="71" s="1"/>
  <c r="C38" i="71"/>
  <c r="F38" i="71"/>
  <c r="V38" i="71" s="1"/>
  <c r="C39" i="71"/>
  <c r="F39" i="71"/>
  <c r="V39" i="71" s="1"/>
  <c r="C40" i="71"/>
  <c r="F40" i="71"/>
  <c r="V40" i="71" s="1"/>
  <c r="C41" i="71"/>
  <c r="F41" i="71"/>
  <c r="V41" i="71" s="1"/>
  <c r="C42" i="71"/>
  <c r="F42" i="71"/>
  <c r="V42" i="71" s="1"/>
  <c r="C43" i="71"/>
  <c r="F43" i="71"/>
  <c r="V43" i="71" s="1"/>
  <c r="C44" i="71"/>
  <c r="F44" i="71"/>
  <c r="V44" i="71" s="1"/>
  <c r="C45" i="71"/>
  <c r="F45" i="71"/>
  <c r="V45" i="71" s="1"/>
  <c r="C46" i="71"/>
  <c r="F46" i="71"/>
  <c r="V46" i="71" s="1"/>
  <c r="C47" i="71"/>
  <c r="F47" i="71"/>
  <c r="V47" i="71" s="1"/>
  <c r="C48" i="71"/>
  <c r="F48" i="71"/>
  <c r="V48" i="71" s="1"/>
  <c r="C49" i="71"/>
  <c r="F49" i="71"/>
  <c r="V49" i="71" s="1"/>
  <c r="C50" i="71"/>
  <c r="F50" i="71"/>
  <c r="V50" i="71" s="1"/>
  <c r="C51" i="71"/>
  <c r="F51" i="71"/>
  <c r="V51" i="71" s="1"/>
  <c r="C52" i="71"/>
  <c r="F52" i="71"/>
  <c r="V52" i="71" s="1"/>
  <c r="C53" i="71"/>
  <c r="F53" i="71"/>
  <c r="V53" i="71" s="1"/>
  <c r="C54" i="71"/>
  <c r="F54" i="71"/>
  <c r="V54" i="71" s="1"/>
  <c r="C55" i="71"/>
  <c r="F55" i="71"/>
  <c r="V55" i="71" s="1"/>
  <c r="C56" i="71"/>
  <c r="F56" i="71"/>
  <c r="V56" i="71" s="1"/>
  <c r="C57" i="71"/>
  <c r="F57" i="71"/>
  <c r="V57" i="71" s="1"/>
  <c r="C58" i="71"/>
  <c r="F58" i="71"/>
  <c r="V58" i="71" s="1"/>
  <c r="C59" i="71"/>
  <c r="F59" i="71"/>
  <c r="V59" i="71" s="1"/>
  <c r="C60" i="71"/>
  <c r="F60" i="71"/>
  <c r="V60" i="71" s="1"/>
  <c r="C61" i="71"/>
  <c r="F61" i="71"/>
  <c r="V61" i="71" s="1"/>
  <c r="C62" i="71"/>
  <c r="F62" i="71"/>
  <c r="V62" i="71" s="1"/>
  <c r="C63" i="71"/>
  <c r="F63" i="71"/>
  <c r="V63" i="71" s="1"/>
  <c r="C64" i="71"/>
  <c r="F64" i="71"/>
  <c r="V64" i="71" s="1"/>
  <c r="C65" i="71"/>
  <c r="F65" i="71"/>
  <c r="V65" i="71" s="1"/>
  <c r="C66" i="71"/>
  <c r="F66" i="71"/>
  <c r="V66" i="71" s="1"/>
  <c r="C67" i="71"/>
  <c r="F67" i="71"/>
  <c r="V67" i="71" s="1"/>
  <c r="C68" i="71"/>
  <c r="F68" i="71"/>
  <c r="V68" i="71" s="1"/>
  <c r="C69" i="71"/>
  <c r="F69" i="71"/>
  <c r="V69" i="71" s="1"/>
  <c r="C70" i="71"/>
  <c r="F70" i="71"/>
  <c r="V70" i="71" s="1"/>
  <c r="C71" i="71"/>
  <c r="F71" i="71"/>
  <c r="V71" i="71" s="1"/>
  <c r="C72" i="71"/>
  <c r="F72" i="71"/>
  <c r="V72" i="71" s="1"/>
  <c r="C73" i="71"/>
  <c r="F73" i="71"/>
  <c r="V73" i="71" s="1"/>
  <c r="C74" i="71"/>
  <c r="F74" i="71"/>
  <c r="V74" i="71" s="1"/>
  <c r="C75" i="71"/>
  <c r="F75" i="71"/>
  <c r="V75" i="71" s="1"/>
  <c r="C76" i="71"/>
  <c r="F76" i="71"/>
  <c r="V76" i="71" s="1"/>
  <c r="C77" i="71"/>
  <c r="F77" i="71"/>
  <c r="V77" i="71" s="1"/>
  <c r="C78" i="71"/>
  <c r="F78" i="71"/>
  <c r="V78" i="71" s="1"/>
  <c r="C79" i="71"/>
  <c r="F79" i="71"/>
  <c r="V79" i="71" s="1"/>
  <c r="C80" i="71"/>
  <c r="F80" i="71"/>
  <c r="V80" i="71" s="1"/>
  <c r="C81" i="71"/>
  <c r="F81" i="71"/>
  <c r="V81" i="71" s="1"/>
  <c r="C82" i="71"/>
  <c r="F82" i="71"/>
  <c r="V82" i="71" s="1"/>
  <c r="C83" i="71"/>
  <c r="F83" i="71"/>
  <c r="V83" i="71" s="1"/>
  <c r="C84" i="71"/>
  <c r="F84" i="71"/>
  <c r="V84" i="71" s="1"/>
  <c r="C85" i="71"/>
  <c r="F85" i="71"/>
  <c r="V85" i="71" s="1"/>
  <c r="C86" i="71"/>
  <c r="F86" i="71"/>
  <c r="V86" i="71" s="1"/>
  <c r="C87" i="71"/>
  <c r="F87" i="71"/>
  <c r="V87" i="71" s="1"/>
  <c r="C88" i="71"/>
  <c r="F88" i="71"/>
  <c r="V88" i="71" s="1"/>
  <c r="C89" i="71"/>
  <c r="F89" i="71"/>
  <c r="V89" i="71" s="1"/>
  <c r="C90" i="71"/>
  <c r="F90" i="71"/>
  <c r="V90" i="71" s="1"/>
  <c r="C91" i="71"/>
  <c r="F91" i="71"/>
  <c r="V91" i="71" s="1"/>
  <c r="C92" i="71"/>
  <c r="F92" i="71"/>
  <c r="V92" i="71" s="1"/>
  <c r="C93" i="71"/>
  <c r="F93" i="71"/>
  <c r="V93" i="71" s="1"/>
  <c r="C94" i="71"/>
  <c r="F94" i="71"/>
  <c r="V94" i="71" s="1"/>
  <c r="C95" i="71"/>
  <c r="F95" i="71"/>
  <c r="V95" i="71" s="1"/>
  <c r="C96" i="71"/>
  <c r="F96" i="71"/>
  <c r="V96" i="71" s="1"/>
  <c r="C97" i="71"/>
  <c r="F97" i="71"/>
  <c r="V97" i="71" s="1"/>
  <c r="C98" i="71"/>
  <c r="F98" i="71"/>
  <c r="V98" i="71" s="1"/>
  <c r="C99" i="71"/>
  <c r="F99" i="71"/>
  <c r="V99" i="71" s="1"/>
  <c r="C100" i="71"/>
  <c r="F100" i="71"/>
  <c r="V100" i="71" s="1"/>
  <c r="C101" i="71"/>
  <c r="F101" i="71"/>
  <c r="V101" i="71" s="1"/>
  <c r="C102" i="71"/>
  <c r="F102" i="71"/>
  <c r="V102" i="71" s="1"/>
  <c r="C103" i="71"/>
  <c r="F103" i="71"/>
  <c r="V103" i="71" s="1"/>
  <c r="C104" i="71"/>
  <c r="F104" i="71"/>
  <c r="V104" i="71" s="1"/>
  <c r="C105" i="71"/>
  <c r="F105" i="71"/>
  <c r="V105" i="71" s="1"/>
  <c r="C106" i="71"/>
  <c r="F106" i="71"/>
  <c r="V106" i="71" s="1"/>
  <c r="C107" i="71"/>
  <c r="F107" i="71"/>
  <c r="V107" i="71" s="1"/>
  <c r="C108" i="71"/>
  <c r="F108" i="71"/>
  <c r="V108" i="71" s="1"/>
  <c r="C109" i="71"/>
  <c r="F109" i="71"/>
  <c r="V109" i="71" s="1"/>
  <c r="C110" i="71"/>
  <c r="F110" i="71"/>
  <c r="V110" i="71" s="1"/>
  <c r="C111" i="71"/>
  <c r="F111" i="71"/>
  <c r="V111" i="71" s="1"/>
  <c r="C112" i="71"/>
  <c r="F112" i="71"/>
  <c r="V112" i="71" s="1"/>
  <c r="C113" i="71"/>
  <c r="F113" i="71"/>
  <c r="V113" i="71" s="1"/>
  <c r="C114" i="71"/>
  <c r="F114" i="71"/>
  <c r="V114" i="71" s="1"/>
  <c r="C115" i="71"/>
  <c r="F115" i="71"/>
  <c r="V115" i="71" s="1"/>
  <c r="C116" i="71"/>
  <c r="F116" i="71"/>
  <c r="V116" i="71" s="1"/>
  <c r="C117" i="71"/>
  <c r="F117" i="71"/>
  <c r="V117" i="71" s="1"/>
  <c r="C118" i="71"/>
  <c r="F118" i="71"/>
  <c r="V118" i="71" s="1"/>
  <c r="C119" i="71"/>
  <c r="F119" i="71"/>
  <c r="V119" i="71" s="1"/>
  <c r="C120" i="71"/>
  <c r="F120" i="71"/>
  <c r="V120" i="71" s="1"/>
  <c r="C121" i="71"/>
  <c r="F121" i="71"/>
  <c r="V121" i="71" s="1"/>
  <c r="C122" i="71"/>
  <c r="F122" i="71"/>
  <c r="V122" i="71" s="1"/>
  <c r="C123" i="71"/>
  <c r="F123" i="71"/>
  <c r="V123" i="71" s="1"/>
  <c r="C124" i="71"/>
  <c r="F124" i="71"/>
  <c r="V124" i="71" s="1"/>
  <c r="C125" i="71"/>
  <c r="F125" i="71"/>
  <c r="V125" i="71" s="1"/>
  <c r="C126" i="71"/>
  <c r="F126" i="71"/>
  <c r="V126" i="71" s="1"/>
  <c r="C127" i="71"/>
  <c r="F127" i="71"/>
  <c r="V127" i="71" s="1"/>
  <c r="C128" i="71"/>
  <c r="F128" i="71"/>
  <c r="V128" i="71" s="1"/>
  <c r="C129" i="71"/>
  <c r="F129" i="71"/>
  <c r="V129" i="71" s="1"/>
  <c r="C130" i="71"/>
  <c r="F130" i="71"/>
  <c r="V130" i="71" s="1"/>
  <c r="C131" i="71"/>
  <c r="F131" i="71"/>
  <c r="V131" i="71" s="1"/>
  <c r="C132" i="71"/>
  <c r="F132" i="71"/>
  <c r="V132" i="71" s="1"/>
  <c r="C133" i="71"/>
  <c r="F133" i="71"/>
  <c r="V133" i="71" s="1"/>
  <c r="C134" i="71"/>
  <c r="F134" i="71"/>
  <c r="V134" i="71" s="1"/>
  <c r="C135" i="71"/>
  <c r="F135" i="71"/>
  <c r="V135" i="71" s="1"/>
  <c r="C136" i="71"/>
  <c r="F136" i="71"/>
  <c r="V136" i="71" s="1"/>
  <c r="C137" i="71"/>
  <c r="F137" i="71"/>
  <c r="V137" i="71" s="1"/>
  <c r="C138" i="71"/>
  <c r="F138" i="71"/>
  <c r="V138" i="71" s="1"/>
  <c r="C139" i="71"/>
  <c r="F139" i="71"/>
  <c r="V139" i="71" s="1"/>
  <c r="C140" i="71"/>
  <c r="F140" i="71"/>
  <c r="V140" i="71" s="1"/>
  <c r="C141" i="71"/>
  <c r="F141" i="71"/>
  <c r="V141" i="71" s="1"/>
  <c r="C142" i="71"/>
  <c r="F142" i="71"/>
  <c r="V142" i="71" s="1"/>
  <c r="C143" i="71"/>
  <c r="F143" i="71"/>
  <c r="V143" i="71" s="1"/>
  <c r="C144" i="71"/>
  <c r="F144" i="71"/>
  <c r="V144" i="71" s="1"/>
  <c r="C145" i="71"/>
  <c r="F145" i="71"/>
  <c r="V145" i="71" s="1"/>
  <c r="C146" i="71"/>
  <c r="F146" i="71"/>
  <c r="V146" i="71" s="1"/>
  <c r="C147" i="71"/>
  <c r="F147" i="71"/>
  <c r="V147" i="71" s="1"/>
  <c r="C148" i="71"/>
  <c r="F148" i="71"/>
  <c r="V148" i="71" s="1"/>
  <c r="C149" i="71"/>
  <c r="F149" i="71"/>
  <c r="V149" i="71" s="1"/>
  <c r="C150" i="71"/>
  <c r="F150" i="71"/>
  <c r="V150" i="71" s="1"/>
  <c r="C151" i="71"/>
  <c r="F151" i="71"/>
  <c r="V151" i="71" s="1"/>
  <c r="C152" i="71"/>
  <c r="F152" i="71"/>
  <c r="V152" i="71" s="1"/>
  <c r="C153" i="71"/>
  <c r="F153" i="71"/>
  <c r="V153" i="71" s="1"/>
  <c r="C154" i="71"/>
  <c r="F154" i="71"/>
  <c r="V154" i="71" s="1"/>
  <c r="C155" i="71"/>
  <c r="F155" i="71"/>
  <c r="V155" i="71" s="1"/>
  <c r="C156" i="71"/>
  <c r="F156" i="71"/>
  <c r="V156" i="71" s="1"/>
  <c r="C157" i="71"/>
  <c r="F157" i="71"/>
  <c r="V157" i="71" s="1"/>
  <c r="C158" i="71"/>
  <c r="F158" i="71"/>
  <c r="V158" i="71" s="1"/>
  <c r="C159" i="71"/>
  <c r="F159" i="71"/>
  <c r="V159" i="71" s="1"/>
  <c r="C160" i="71"/>
  <c r="F160" i="71"/>
  <c r="V160" i="71" s="1"/>
  <c r="C161" i="71"/>
  <c r="F161" i="71"/>
  <c r="V161" i="71" s="1"/>
  <c r="C162" i="71"/>
  <c r="F162" i="71"/>
  <c r="V162" i="71" s="1"/>
  <c r="C163" i="71"/>
  <c r="F163" i="71"/>
  <c r="V163" i="71" s="1"/>
  <c r="C164" i="71"/>
  <c r="F164" i="71"/>
  <c r="V164" i="71" s="1"/>
  <c r="C165" i="71"/>
  <c r="F165" i="71"/>
  <c r="V165" i="71" s="1"/>
  <c r="C166" i="71"/>
  <c r="F166" i="71"/>
  <c r="V166" i="71" s="1"/>
  <c r="C167" i="71"/>
  <c r="F167" i="71"/>
  <c r="V167" i="71" s="1"/>
  <c r="C168" i="71"/>
  <c r="F168" i="71"/>
  <c r="V168" i="71" s="1"/>
  <c r="C169" i="71"/>
  <c r="F169" i="71"/>
  <c r="V169" i="71" s="1"/>
  <c r="C170" i="71"/>
  <c r="F170" i="71"/>
  <c r="V170" i="71" s="1"/>
  <c r="C171" i="71"/>
  <c r="F171" i="71"/>
  <c r="V171" i="71" s="1"/>
  <c r="C172" i="71"/>
  <c r="F172" i="71"/>
  <c r="V172" i="71" s="1"/>
  <c r="C173" i="71"/>
  <c r="F173" i="71"/>
  <c r="V173" i="71" s="1"/>
  <c r="C174" i="71"/>
  <c r="F174" i="71"/>
  <c r="V174" i="71" s="1"/>
  <c r="C175" i="71"/>
  <c r="F175" i="71"/>
  <c r="V175" i="71" s="1"/>
  <c r="C176" i="71"/>
  <c r="F176" i="71"/>
  <c r="V176" i="71" s="1"/>
  <c r="C177" i="71"/>
  <c r="F177" i="71"/>
  <c r="V177" i="71" s="1"/>
  <c r="C178" i="71"/>
  <c r="F178" i="71"/>
  <c r="V178" i="71" s="1"/>
  <c r="C179" i="71"/>
  <c r="F179" i="71"/>
  <c r="V179" i="71" s="1"/>
  <c r="C180" i="71"/>
  <c r="F180" i="71"/>
  <c r="V180" i="71" s="1"/>
  <c r="C181" i="71"/>
  <c r="F181" i="71"/>
  <c r="V181" i="71" s="1"/>
  <c r="C182" i="71"/>
  <c r="F182" i="71"/>
  <c r="V182" i="71" s="1"/>
  <c r="C183" i="71"/>
  <c r="F183" i="71"/>
  <c r="V183" i="71" s="1"/>
  <c r="C184" i="71"/>
  <c r="F184" i="71"/>
  <c r="V184" i="71" s="1"/>
  <c r="C185" i="71"/>
  <c r="F185" i="71"/>
  <c r="V185" i="71" s="1"/>
  <c r="C186" i="71"/>
  <c r="F186" i="71"/>
  <c r="V186" i="71" s="1"/>
  <c r="C187" i="71"/>
  <c r="F187" i="71"/>
  <c r="V187" i="71" s="1"/>
  <c r="C188" i="71"/>
  <c r="F188" i="71"/>
  <c r="V188" i="71" s="1"/>
  <c r="C189" i="71"/>
  <c r="F189" i="71"/>
  <c r="V189" i="71" s="1"/>
  <c r="C190" i="71"/>
  <c r="F190" i="71"/>
  <c r="V190" i="71" s="1"/>
  <c r="C191" i="71"/>
  <c r="F191" i="71"/>
  <c r="V191" i="71" s="1"/>
  <c r="C192" i="71"/>
  <c r="F192" i="71"/>
  <c r="V192" i="71" s="1"/>
  <c r="C193" i="71"/>
  <c r="F193" i="71"/>
  <c r="V193" i="71" s="1"/>
  <c r="C194" i="71"/>
  <c r="F194" i="71"/>
  <c r="V194" i="71" s="1"/>
  <c r="C195" i="71"/>
  <c r="F195" i="71"/>
  <c r="V195" i="71" s="1"/>
  <c r="C196" i="71"/>
  <c r="F196" i="71"/>
  <c r="V196" i="71" s="1"/>
  <c r="C197" i="71"/>
  <c r="F197" i="71"/>
  <c r="V197" i="71" s="1"/>
  <c r="C198" i="71"/>
  <c r="F198" i="71"/>
  <c r="V198" i="71" s="1"/>
  <c r="C199" i="71"/>
  <c r="F199" i="71"/>
  <c r="V199" i="71" s="1"/>
  <c r="C200" i="71"/>
  <c r="F200" i="71"/>
  <c r="V200" i="71" s="1"/>
  <c r="C201" i="71"/>
  <c r="F201" i="71"/>
  <c r="V201" i="71" s="1"/>
  <c r="C202" i="71"/>
  <c r="F202" i="71"/>
  <c r="V202" i="71" s="1"/>
  <c r="C203" i="71"/>
  <c r="F203" i="71"/>
  <c r="V203" i="71" s="1"/>
  <c r="C204" i="71"/>
  <c r="F204" i="71"/>
  <c r="V204" i="71" s="1"/>
  <c r="C205" i="71"/>
  <c r="F205" i="71"/>
  <c r="V205" i="71" s="1"/>
  <c r="C206" i="71"/>
  <c r="F206" i="71"/>
  <c r="V206" i="71" s="1"/>
  <c r="C207" i="71"/>
  <c r="F207" i="71"/>
  <c r="V207" i="71" s="1"/>
  <c r="C208" i="71"/>
  <c r="F208" i="71"/>
  <c r="V208" i="71" s="1"/>
  <c r="C209" i="71"/>
  <c r="F209" i="71"/>
  <c r="V209" i="71" s="1"/>
  <c r="C210" i="71"/>
  <c r="F210" i="71"/>
  <c r="V210" i="71" s="1"/>
  <c r="C211" i="71"/>
  <c r="F211" i="71"/>
  <c r="V211" i="71" s="1"/>
  <c r="C212" i="71"/>
  <c r="F212" i="71"/>
  <c r="V212" i="71" s="1"/>
  <c r="C213" i="71"/>
  <c r="F213" i="71"/>
  <c r="V213" i="71" s="1"/>
  <c r="C214" i="71"/>
  <c r="F214" i="71"/>
  <c r="V214" i="71" s="1"/>
  <c r="C215" i="71"/>
  <c r="F215" i="71"/>
  <c r="V215" i="71" s="1"/>
  <c r="C216" i="71"/>
  <c r="F216" i="71"/>
  <c r="V216" i="71" s="1"/>
  <c r="C217" i="71"/>
  <c r="F217" i="71"/>
  <c r="V217" i="71" s="1"/>
  <c r="C218" i="71"/>
  <c r="F218" i="71"/>
  <c r="V218" i="71" s="1"/>
  <c r="C219" i="71"/>
  <c r="F219" i="71"/>
  <c r="V219" i="71" s="1"/>
  <c r="C220" i="71"/>
  <c r="F220" i="71"/>
  <c r="V220" i="71" s="1"/>
  <c r="C221" i="71"/>
  <c r="F221" i="71"/>
  <c r="V221" i="71" s="1"/>
  <c r="C222" i="71"/>
  <c r="F222" i="71"/>
  <c r="V222" i="71" s="1"/>
  <c r="C223" i="71"/>
  <c r="F223" i="71"/>
  <c r="V223" i="71" s="1"/>
  <c r="C224" i="71"/>
  <c r="F224" i="71"/>
  <c r="V224" i="71" s="1"/>
  <c r="C225" i="71"/>
  <c r="F225" i="71"/>
  <c r="V225" i="71" s="1"/>
  <c r="C226" i="71"/>
  <c r="F226" i="71"/>
  <c r="V226" i="71" s="1"/>
  <c r="C227" i="71"/>
  <c r="F227" i="71"/>
  <c r="V227" i="71" s="1"/>
  <c r="C228" i="71"/>
  <c r="F228" i="71"/>
  <c r="V228" i="71" s="1"/>
  <c r="C229" i="71"/>
  <c r="F229" i="71"/>
  <c r="V229" i="71" s="1"/>
  <c r="C230" i="71"/>
  <c r="F230" i="71"/>
  <c r="V230" i="71" s="1"/>
  <c r="C231" i="71"/>
  <c r="F231" i="71"/>
  <c r="V231" i="71" s="1"/>
  <c r="C232" i="71"/>
  <c r="F232" i="71"/>
  <c r="V232" i="71" s="1"/>
  <c r="C233" i="71"/>
  <c r="F233" i="71"/>
  <c r="V233" i="71" s="1"/>
  <c r="C234" i="71"/>
  <c r="F234" i="71"/>
  <c r="V234" i="71" s="1"/>
  <c r="C235" i="71"/>
  <c r="F235" i="71"/>
  <c r="V235" i="71" s="1"/>
  <c r="C236" i="71"/>
  <c r="F236" i="71"/>
  <c r="V236" i="71" s="1"/>
  <c r="C237" i="71"/>
  <c r="F237" i="71"/>
  <c r="V237" i="71" s="1"/>
  <c r="C238" i="71"/>
  <c r="F238" i="71"/>
  <c r="V238" i="71" s="1"/>
  <c r="C239" i="71"/>
  <c r="F239" i="71"/>
  <c r="V239" i="71" s="1"/>
  <c r="C240" i="71"/>
  <c r="F240" i="71"/>
  <c r="V240" i="71" s="1"/>
  <c r="C241" i="71"/>
  <c r="F241" i="71"/>
  <c r="V241" i="71" s="1"/>
  <c r="C242" i="71"/>
  <c r="F242" i="71"/>
  <c r="V242" i="71" s="1"/>
  <c r="C243" i="71"/>
  <c r="F243" i="71"/>
  <c r="V243" i="71" s="1"/>
  <c r="C244" i="71"/>
  <c r="F244" i="71"/>
  <c r="V244" i="71" s="1"/>
  <c r="C245" i="71"/>
  <c r="F245" i="71"/>
  <c r="V245" i="71" s="1"/>
  <c r="C246" i="71"/>
  <c r="F246" i="71"/>
  <c r="V246" i="71" s="1"/>
  <c r="C247" i="71"/>
  <c r="F247" i="71"/>
  <c r="V247" i="71" s="1"/>
  <c r="C248" i="71"/>
  <c r="F248" i="71"/>
  <c r="V248" i="71" s="1"/>
  <c r="C249" i="71"/>
  <c r="F249" i="71"/>
  <c r="V249" i="71" s="1"/>
  <c r="C250" i="71"/>
  <c r="F250" i="71"/>
  <c r="V250" i="71" s="1"/>
  <c r="C251" i="71"/>
  <c r="F251" i="71"/>
  <c r="V251" i="71" s="1"/>
  <c r="C252" i="71"/>
  <c r="F252" i="71"/>
  <c r="V252" i="71" s="1"/>
  <c r="C253" i="71"/>
  <c r="F253" i="71"/>
  <c r="V253" i="71" s="1"/>
  <c r="C254" i="71"/>
  <c r="F254" i="71"/>
  <c r="V254" i="71" s="1"/>
  <c r="C255" i="71"/>
  <c r="F255" i="71"/>
  <c r="V255" i="71" s="1"/>
  <c r="C256" i="71"/>
  <c r="F256" i="71"/>
  <c r="V256" i="71" s="1"/>
  <c r="F15" i="71"/>
  <c r="V15" i="71" s="1"/>
  <c r="C15" i="71"/>
  <c r="F14" i="71"/>
  <c r="V14" i="71" s="1"/>
  <c r="C14" i="71"/>
  <c r="F13" i="71"/>
  <c r="V13" i="71" s="1"/>
  <c r="C13" i="71"/>
  <c r="F12" i="71"/>
  <c r="C12" i="71"/>
  <c r="F11" i="71"/>
  <c r="C11" i="71"/>
  <c r="A16" i="59"/>
  <c r="G16" i="59"/>
  <c r="A17" i="59"/>
  <c r="G17" i="59"/>
  <c r="A18" i="59"/>
  <c r="G18" i="59"/>
  <c r="A19" i="59"/>
  <c r="G19" i="59"/>
  <c r="A20" i="59"/>
  <c r="G20" i="59"/>
  <c r="A21" i="59"/>
  <c r="G21" i="59"/>
  <c r="A22" i="59"/>
  <c r="G22" i="59"/>
  <c r="A23" i="59"/>
  <c r="G23" i="59"/>
  <c r="A24" i="59"/>
  <c r="G24" i="59"/>
  <c r="A25" i="59"/>
  <c r="G25" i="59"/>
  <c r="A26" i="59"/>
  <c r="G26" i="59"/>
  <c r="A27" i="59"/>
  <c r="G27" i="59"/>
  <c r="A28" i="59"/>
  <c r="G28" i="59"/>
  <c r="A29" i="59"/>
  <c r="G29" i="59"/>
  <c r="A30" i="59"/>
  <c r="G30" i="59"/>
  <c r="A31" i="59"/>
  <c r="G31" i="59"/>
  <c r="A32" i="59"/>
  <c r="G32" i="59"/>
  <c r="A33" i="59"/>
  <c r="G33" i="59"/>
  <c r="A34" i="59"/>
  <c r="G34" i="59"/>
  <c r="A35" i="59"/>
  <c r="G35" i="59"/>
  <c r="A36" i="59"/>
  <c r="G36" i="59"/>
  <c r="A37" i="59"/>
  <c r="G37" i="59"/>
  <c r="A38" i="59"/>
  <c r="G38" i="59"/>
  <c r="A39" i="59"/>
  <c r="G39" i="59"/>
  <c r="A40" i="59"/>
  <c r="G40" i="59"/>
  <c r="A41" i="59"/>
  <c r="G41" i="59"/>
  <c r="A42" i="59"/>
  <c r="G42" i="59"/>
  <c r="A43" i="59"/>
  <c r="G43" i="59"/>
  <c r="A44" i="59"/>
  <c r="G44" i="59"/>
  <c r="A45" i="59"/>
  <c r="G45" i="59"/>
  <c r="A46" i="59"/>
  <c r="G46" i="59"/>
  <c r="A47" i="59"/>
  <c r="G47" i="59"/>
  <c r="A48" i="59"/>
  <c r="G48" i="59"/>
  <c r="A49" i="59"/>
  <c r="G49" i="59"/>
  <c r="A50" i="59"/>
  <c r="G50" i="59"/>
  <c r="A51" i="59"/>
  <c r="G51" i="59"/>
  <c r="A52" i="59"/>
  <c r="G52" i="59"/>
  <c r="A53" i="59"/>
  <c r="G53" i="59"/>
  <c r="A54" i="59"/>
  <c r="G54" i="59"/>
  <c r="A55" i="59"/>
  <c r="G55" i="59"/>
  <c r="A56" i="59"/>
  <c r="G56" i="59"/>
  <c r="A57" i="59"/>
  <c r="G57" i="59"/>
  <c r="A58" i="59"/>
  <c r="G58" i="59"/>
  <c r="A59" i="59"/>
  <c r="G59" i="59"/>
  <c r="A60" i="59"/>
  <c r="G60" i="59"/>
  <c r="A61" i="59"/>
  <c r="G61" i="59"/>
  <c r="A62" i="59"/>
  <c r="G62" i="59"/>
  <c r="A63" i="59"/>
  <c r="G63" i="59"/>
  <c r="A64" i="59"/>
  <c r="G64" i="59"/>
  <c r="A65" i="59"/>
  <c r="G65" i="59"/>
  <c r="A66" i="59"/>
  <c r="G66" i="59"/>
  <c r="A67" i="59"/>
  <c r="G67" i="59"/>
  <c r="A68" i="59"/>
  <c r="G68" i="59"/>
  <c r="A69" i="59"/>
  <c r="G69" i="59"/>
  <c r="A70" i="59"/>
  <c r="G70" i="59"/>
  <c r="A71" i="59"/>
  <c r="G71" i="59"/>
  <c r="A72" i="59"/>
  <c r="G72" i="59"/>
  <c r="A73" i="59"/>
  <c r="G73" i="59"/>
  <c r="A74" i="59"/>
  <c r="G74" i="59"/>
  <c r="A75" i="59"/>
  <c r="G75" i="59"/>
  <c r="A76" i="59"/>
  <c r="G76" i="59"/>
  <c r="A77" i="59"/>
  <c r="G77" i="59"/>
  <c r="A78" i="59"/>
  <c r="G78" i="59"/>
  <c r="A79" i="59"/>
  <c r="G79" i="59"/>
  <c r="A80" i="59"/>
  <c r="G80" i="59"/>
  <c r="A81" i="59"/>
  <c r="G81" i="59"/>
  <c r="A82" i="59"/>
  <c r="G82" i="59"/>
  <c r="A83" i="59"/>
  <c r="G83" i="59"/>
  <c r="A84" i="59"/>
  <c r="G84" i="59"/>
  <c r="A85" i="59"/>
  <c r="G85" i="59"/>
  <c r="A86" i="59"/>
  <c r="G86" i="59"/>
  <c r="A87" i="59"/>
  <c r="G87" i="59"/>
  <c r="A88" i="59"/>
  <c r="G88" i="59"/>
  <c r="A89" i="59"/>
  <c r="G89" i="59"/>
  <c r="A90" i="59"/>
  <c r="G90" i="59"/>
  <c r="A91" i="59"/>
  <c r="G91" i="59"/>
  <c r="A92" i="59"/>
  <c r="G92" i="59"/>
  <c r="A93" i="59"/>
  <c r="G93" i="59"/>
  <c r="A94" i="59"/>
  <c r="G94" i="59"/>
  <c r="A95" i="59"/>
  <c r="G95" i="59"/>
  <c r="A96" i="59"/>
  <c r="G96" i="59"/>
  <c r="A97" i="59"/>
  <c r="G97" i="59"/>
  <c r="A98" i="59"/>
  <c r="G98" i="59"/>
  <c r="A99" i="59"/>
  <c r="G99" i="59"/>
  <c r="A100" i="59"/>
  <c r="G100" i="59"/>
  <c r="A101" i="59"/>
  <c r="G101" i="59"/>
  <c r="A102" i="59"/>
  <c r="G102" i="59"/>
  <c r="A103" i="59"/>
  <c r="G103" i="59"/>
  <c r="A104" i="59"/>
  <c r="G104" i="59"/>
  <c r="A105" i="59"/>
  <c r="G105" i="59"/>
  <c r="A106" i="59"/>
  <c r="G106" i="59"/>
  <c r="A107" i="59"/>
  <c r="G107" i="59"/>
  <c r="A108" i="59"/>
  <c r="G108" i="59"/>
  <c r="A109" i="59"/>
  <c r="G109" i="59"/>
  <c r="A110" i="59"/>
  <c r="G110" i="59"/>
  <c r="A111" i="59"/>
  <c r="G111" i="59"/>
  <c r="A112" i="59"/>
  <c r="G112" i="59"/>
  <c r="A113" i="59"/>
  <c r="G113" i="59"/>
  <c r="A114" i="59"/>
  <c r="G114" i="59"/>
  <c r="A115" i="59"/>
  <c r="G115" i="59"/>
  <c r="A116" i="59"/>
  <c r="G116" i="59"/>
  <c r="A117" i="59"/>
  <c r="G117" i="59"/>
  <c r="A118" i="59"/>
  <c r="G118" i="59"/>
  <c r="A119" i="59"/>
  <c r="G119" i="59"/>
  <c r="A120" i="59"/>
  <c r="G120" i="59"/>
  <c r="A121" i="59"/>
  <c r="G121" i="59"/>
  <c r="A122" i="59"/>
  <c r="G122" i="59"/>
  <c r="A123" i="59"/>
  <c r="G123" i="59"/>
  <c r="A124" i="59"/>
  <c r="G124" i="59"/>
  <c r="A125" i="59"/>
  <c r="G125" i="59"/>
  <c r="A126" i="59"/>
  <c r="G126" i="59"/>
  <c r="A127" i="59"/>
  <c r="G127" i="59"/>
  <c r="A128" i="59"/>
  <c r="G128" i="59"/>
  <c r="A129" i="59"/>
  <c r="G129" i="59"/>
  <c r="A130" i="59"/>
  <c r="G130" i="59"/>
  <c r="A131" i="59"/>
  <c r="G131" i="59"/>
  <c r="A132" i="59"/>
  <c r="G132" i="59"/>
  <c r="A133" i="59"/>
  <c r="G133" i="59"/>
  <c r="A134" i="59"/>
  <c r="G134" i="59"/>
  <c r="A135" i="59"/>
  <c r="G135" i="59"/>
  <c r="A136" i="59"/>
  <c r="G136" i="59"/>
  <c r="A137" i="59"/>
  <c r="G137" i="59"/>
  <c r="A138" i="59"/>
  <c r="G138" i="59"/>
  <c r="A139" i="59"/>
  <c r="G139" i="59"/>
  <c r="A140" i="59"/>
  <c r="G140" i="59"/>
  <c r="A141" i="59"/>
  <c r="G141" i="59"/>
  <c r="A142" i="59"/>
  <c r="G142" i="59"/>
  <c r="A143" i="59"/>
  <c r="G143" i="59"/>
  <c r="A144" i="59"/>
  <c r="G144" i="59"/>
  <c r="A145" i="59"/>
  <c r="G145" i="59"/>
  <c r="A146" i="59"/>
  <c r="G146" i="59"/>
  <c r="A147" i="59"/>
  <c r="G147" i="59"/>
  <c r="A148" i="59"/>
  <c r="G148" i="59"/>
  <c r="A149" i="59"/>
  <c r="G149" i="59"/>
  <c r="A150" i="59"/>
  <c r="G150" i="59"/>
  <c r="A151" i="59"/>
  <c r="G151" i="59"/>
  <c r="A152" i="59"/>
  <c r="G152" i="59"/>
  <c r="A153" i="59"/>
  <c r="G153" i="59"/>
  <c r="A154" i="59"/>
  <c r="G154" i="59"/>
  <c r="A155" i="59"/>
  <c r="G155" i="59"/>
  <c r="A156" i="59"/>
  <c r="G156" i="59"/>
  <c r="A157" i="59"/>
  <c r="G157" i="59"/>
  <c r="A158" i="59"/>
  <c r="G158" i="59"/>
  <c r="A159" i="59"/>
  <c r="G159" i="59"/>
  <c r="A160" i="59"/>
  <c r="G160" i="59"/>
  <c r="A161" i="59"/>
  <c r="G161" i="59"/>
  <c r="A162" i="59"/>
  <c r="G162" i="59"/>
  <c r="A163" i="59"/>
  <c r="G163" i="59"/>
  <c r="A164" i="59"/>
  <c r="G164" i="59"/>
  <c r="A165" i="59"/>
  <c r="G165" i="59"/>
  <c r="A166" i="59"/>
  <c r="G166" i="59"/>
  <c r="A167" i="59"/>
  <c r="G167" i="59"/>
  <c r="A168" i="59"/>
  <c r="G168" i="59"/>
  <c r="A169" i="59"/>
  <c r="G169" i="59"/>
  <c r="A170" i="59"/>
  <c r="G170" i="59"/>
  <c r="A171" i="59"/>
  <c r="G171" i="59"/>
  <c r="A172" i="59"/>
  <c r="G172" i="59"/>
  <c r="A173" i="59"/>
  <c r="G173" i="59"/>
  <c r="A174" i="59"/>
  <c r="G174" i="59"/>
  <c r="A175" i="59"/>
  <c r="G175" i="59"/>
  <c r="A176" i="59"/>
  <c r="G176" i="59"/>
  <c r="A177" i="59"/>
  <c r="G177" i="59"/>
  <c r="A178" i="59"/>
  <c r="G178" i="59"/>
  <c r="A179" i="59"/>
  <c r="G179" i="59"/>
  <c r="A180" i="59"/>
  <c r="G180" i="59"/>
  <c r="A181" i="59"/>
  <c r="G181" i="59"/>
  <c r="A182" i="59"/>
  <c r="G182" i="59"/>
  <c r="A183" i="59"/>
  <c r="G183" i="59"/>
  <c r="A184" i="59"/>
  <c r="G184" i="59"/>
  <c r="A185" i="59"/>
  <c r="G185" i="59"/>
  <c r="A186" i="59"/>
  <c r="G186" i="59"/>
  <c r="A187" i="59"/>
  <c r="G187" i="59"/>
  <c r="A188" i="59"/>
  <c r="G188" i="59"/>
  <c r="A189" i="59"/>
  <c r="G189" i="59"/>
  <c r="A190" i="59"/>
  <c r="G190" i="59"/>
  <c r="A191" i="59"/>
  <c r="G191" i="59"/>
  <c r="A192" i="59"/>
  <c r="G192" i="59"/>
  <c r="A193" i="59"/>
  <c r="G193" i="59"/>
  <c r="A194" i="59"/>
  <c r="G194" i="59"/>
  <c r="A195" i="59"/>
  <c r="G195" i="59"/>
  <c r="A196" i="59"/>
  <c r="G196" i="59"/>
  <c r="A197" i="59"/>
  <c r="G197" i="59"/>
  <c r="A198" i="59"/>
  <c r="G198" i="59"/>
  <c r="A199" i="59"/>
  <c r="G199" i="59"/>
  <c r="A200" i="59"/>
  <c r="G200" i="59"/>
  <c r="A201" i="59"/>
  <c r="G201" i="59"/>
  <c r="A202" i="59"/>
  <c r="G202" i="59"/>
  <c r="A203" i="59"/>
  <c r="G203" i="59"/>
  <c r="A204" i="59"/>
  <c r="G204" i="59"/>
  <c r="A205" i="59"/>
  <c r="G205" i="59"/>
  <c r="A206" i="59"/>
  <c r="G206" i="59"/>
  <c r="A207" i="59"/>
  <c r="G207" i="59"/>
  <c r="A208" i="59"/>
  <c r="G208" i="59"/>
  <c r="A209" i="59"/>
  <c r="G209" i="59"/>
  <c r="A210" i="59"/>
  <c r="G210" i="59"/>
  <c r="A211" i="59"/>
  <c r="G211" i="59"/>
  <c r="A212" i="59"/>
  <c r="G212" i="59"/>
  <c r="A213" i="59"/>
  <c r="G213" i="59"/>
  <c r="A214" i="59"/>
  <c r="G214" i="59"/>
  <c r="A215" i="59"/>
  <c r="G215" i="59"/>
  <c r="A216" i="59"/>
  <c r="G216" i="59"/>
  <c r="A217" i="59"/>
  <c r="G217" i="59"/>
  <c r="A218" i="59"/>
  <c r="G218" i="59"/>
  <c r="A219" i="59"/>
  <c r="G219" i="59"/>
  <c r="A220" i="59"/>
  <c r="G220" i="59"/>
  <c r="A221" i="59"/>
  <c r="G221" i="59"/>
  <c r="A222" i="59"/>
  <c r="G222" i="59"/>
  <c r="A223" i="59"/>
  <c r="G223" i="59"/>
  <c r="A224" i="59"/>
  <c r="G224" i="59"/>
  <c r="A225" i="59"/>
  <c r="G225" i="59"/>
  <c r="A226" i="59"/>
  <c r="G226" i="59"/>
  <c r="A227" i="59"/>
  <c r="G227" i="59"/>
  <c r="A228" i="59"/>
  <c r="G228" i="59"/>
  <c r="A229" i="59"/>
  <c r="G229" i="59"/>
  <c r="A230" i="59"/>
  <c r="G230" i="59"/>
  <c r="A231" i="59"/>
  <c r="G231" i="59"/>
  <c r="A232" i="59"/>
  <c r="G232" i="59"/>
  <c r="A233" i="59"/>
  <c r="G233" i="59"/>
  <c r="A234" i="59"/>
  <c r="G234" i="59"/>
  <c r="A235" i="59"/>
  <c r="G235" i="59"/>
  <c r="A236" i="59"/>
  <c r="G236" i="59"/>
  <c r="A237" i="59"/>
  <c r="G237" i="59"/>
  <c r="A238" i="59"/>
  <c r="G238" i="59"/>
  <c r="A239" i="59"/>
  <c r="G239" i="59"/>
  <c r="A240" i="59"/>
  <c r="G240" i="59"/>
  <c r="A241" i="59"/>
  <c r="G241" i="59"/>
  <c r="A242" i="59"/>
  <c r="G242" i="59"/>
  <c r="A243" i="59"/>
  <c r="G243" i="59"/>
  <c r="A244" i="59"/>
  <c r="G244" i="59"/>
  <c r="A245" i="59"/>
  <c r="G245" i="59"/>
  <c r="A246" i="59"/>
  <c r="G246" i="59"/>
  <c r="A247" i="59"/>
  <c r="G247" i="59"/>
  <c r="A248" i="59"/>
  <c r="G248" i="59"/>
  <c r="A249" i="59"/>
  <c r="G249" i="59"/>
  <c r="A250" i="59"/>
  <c r="G250" i="59"/>
  <c r="A251" i="59"/>
  <c r="G251" i="59"/>
  <c r="A252" i="59"/>
  <c r="G252" i="59"/>
  <c r="A253" i="59"/>
  <c r="G253" i="59"/>
  <c r="A254" i="59"/>
  <c r="G254" i="59"/>
  <c r="A255" i="59"/>
  <c r="G255" i="59"/>
  <c r="A256" i="59"/>
  <c r="G256" i="59"/>
  <c r="A257" i="59"/>
  <c r="G257" i="59"/>
  <c r="A258" i="59"/>
  <c r="G258" i="59"/>
  <c r="G14" i="59"/>
  <c r="G15" i="59"/>
  <c r="A12" i="59"/>
  <c r="G12" i="59"/>
  <c r="P12" i="59" s="1"/>
  <c r="A13" i="59"/>
  <c r="G13" i="59"/>
  <c r="A14" i="59"/>
  <c r="A15" i="59"/>
  <c r="G11" i="59"/>
  <c r="A11" i="59"/>
  <c r="C11" i="46"/>
  <c r="D3" i="46"/>
  <c r="C12" i="46"/>
  <c r="C13" i="46"/>
  <c r="C14" i="46"/>
  <c r="C15" i="46"/>
  <c r="C16" i="46"/>
  <c r="F16" i="46"/>
  <c r="C17" i="46"/>
  <c r="F17" i="46"/>
  <c r="V17" i="46" s="1"/>
  <c r="C18" i="46"/>
  <c r="F18" i="46"/>
  <c r="V18" i="46" s="1"/>
  <c r="C19" i="46"/>
  <c r="F19" i="46"/>
  <c r="V19" i="46" s="1"/>
  <c r="C20" i="46"/>
  <c r="F20" i="46"/>
  <c r="V20" i="46" s="1"/>
  <c r="C21" i="46"/>
  <c r="F21" i="46"/>
  <c r="V21" i="46" s="1"/>
  <c r="C22" i="46"/>
  <c r="F22" i="46"/>
  <c r="V22" i="46" s="1"/>
  <c r="C23" i="46"/>
  <c r="F23" i="46"/>
  <c r="V23" i="46" s="1"/>
  <c r="C24" i="46"/>
  <c r="F24" i="46"/>
  <c r="V24" i="46" s="1"/>
  <c r="C25" i="46"/>
  <c r="F25" i="46"/>
  <c r="V25" i="46" s="1"/>
  <c r="C26" i="46"/>
  <c r="F26" i="46"/>
  <c r="V26" i="46" s="1"/>
  <c r="C27" i="46"/>
  <c r="F27" i="46"/>
  <c r="V27" i="46" s="1"/>
  <c r="C28" i="46"/>
  <c r="F28" i="46"/>
  <c r="V28" i="46" s="1"/>
  <c r="C29" i="46"/>
  <c r="F29" i="46"/>
  <c r="V29" i="46" s="1"/>
  <c r="C30" i="46"/>
  <c r="F30" i="46"/>
  <c r="V30" i="46" s="1"/>
  <c r="C31" i="46"/>
  <c r="F31" i="46"/>
  <c r="V31" i="46" s="1"/>
  <c r="C32" i="46"/>
  <c r="F32" i="46"/>
  <c r="V32" i="46" s="1"/>
  <c r="C33" i="46"/>
  <c r="F33" i="46"/>
  <c r="V33" i="46" s="1"/>
  <c r="C34" i="46"/>
  <c r="F34" i="46"/>
  <c r="V34" i="46" s="1"/>
  <c r="C35" i="46"/>
  <c r="F35" i="46"/>
  <c r="V35" i="46" s="1"/>
  <c r="C36" i="46"/>
  <c r="F36" i="46"/>
  <c r="V36" i="46" s="1"/>
  <c r="C37" i="46"/>
  <c r="F37" i="46"/>
  <c r="V37" i="46" s="1"/>
  <c r="C38" i="46"/>
  <c r="F38" i="46"/>
  <c r="V38" i="46" s="1"/>
  <c r="C39" i="46"/>
  <c r="F39" i="46"/>
  <c r="V39" i="46" s="1"/>
  <c r="C40" i="46"/>
  <c r="F40" i="46"/>
  <c r="V40" i="46" s="1"/>
  <c r="C41" i="46"/>
  <c r="F41" i="46"/>
  <c r="V41" i="46" s="1"/>
  <c r="C42" i="46"/>
  <c r="F42" i="46"/>
  <c r="V42" i="46" s="1"/>
  <c r="C43" i="46"/>
  <c r="F43" i="46"/>
  <c r="V43" i="46" s="1"/>
  <c r="C44" i="46"/>
  <c r="F44" i="46"/>
  <c r="V44" i="46" s="1"/>
  <c r="C45" i="46"/>
  <c r="F45" i="46"/>
  <c r="V45" i="46" s="1"/>
  <c r="C46" i="46"/>
  <c r="F46" i="46"/>
  <c r="V46" i="46" s="1"/>
  <c r="C47" i="46"/>
  <c r="F47" i="46"/>
  <c r="V47" i="46" s="1"/>
  <c r="C48" i="46"/>
  <c r="F48" i="46"/>
  <c r="V48" i="46" s="1"/>
  <c r="C49" i="46"/>
  <c r="F49" i="46"/>
  <c r="V49" i="46" s="1"/>
  <c r="C50" i="46"/>
  <c r="F50" i="46"/>
  <c r="V50" i="46" s="1"/>
  <c r="C51" i="46"/>
  <c r="F51" i="46"/>
  <c r="V51" i="46" s="1"/>
  <c r="C52" i="46"/>
  <c r="F52" i="46"/>
  <c r="V52" i="46" s="1"/>
  <c r="C53" i="46"/>
  <c r="F53" i="46"/>
  <c r="V53" i="46" s="1"/>
  <c r="C54" i="46"/>
  <c r="F54" i="46"/>
  <c r="V54" i="46" s="1"/>
  <c r="C55" i="46"/>
  <c r="F55" i="46"/>
  <c r="V55" i="46" s="1"/>
  <c r="C56" i="46"/>
  <c r="F56" i="46"/>
  <c r="V56" i="46" s="1"/>
  <c r="C57" i="46"/>
  <c r="F57" i="46"/>
  <c r="V57" i="46" s="1"/>
  <c r="C58" i="46"/>
  <c r="F58" i="46"/>
  <c r="V58" i="46" s="1"/>
  <c r="C59" i="46"/>
  <c r="F59" i="46"/>
  <c r="V59" i="46" s="1"/>
  <c r="C60" i="46"/>
  <c r="F60" i="46"/>
  <c r="V60" i="46" s="1"/>
  <c r="C61" i="46"/>
  <c r="F61" i="46"/>
  <c r="V61" i="46" s="1"/>
  <c r="C62" i="46"/>
  <c r="F62" i="46"/>
  <c r="V62" i="46" s="1"/>
  <c r="C63" i="46"/>
  <c r="F63" i="46"/>
  <c r="V63" i="46" s="1"/>
  <c r="C64" i="46"/>
  <c r="F64" i="46"/>
  <c r="V64" i="46" s="1"/>
  <c r="C65" i="46"/>
  <c r="F65" i="46"/>
  <c r="V65" i="46" s="1"/>
  <c r="C66" i="46"/>
  <c r="F66" i="46"/>
  <c r="V66" i="46" s="1"/>
  <c r="C67" i="46"/>
  <c r="F67" i="46"/>
  <c r="V67" i="46" s="1"/>
  <c r="C68" i="46"/>
  <c r="F68" i="46"/>
  <c r="V68" i="46" s="1"/>
  <c r="C69" i="46"/>
  <c r="F69" i="46"/>
  <c r="V69" i="46" s="1"/>
  <c r="C70" i="46"/>
  <c r="F70" i="46"/>
  <c r="V70" i="46" s="1"/>
  <c r="C71" i="46"/>
  <c r="F71" i="46"/>
  <c r="V71" i="46" s="1"/>
  <c r="C72" i="46"/>
  <c r="F72" i="46"/>
  <c r="V72" i="46" s="1"/>
  <c r="C73" i="46"/>
  <c r="F73" i="46"/>
  <c r="V73" i="46" s="1"/>
  <c r="C74" i="46"/>
  <c r="F74" i="46"/>
  <c r="V74" i="46" s="1"/>
  <c r="C75" i="46"/>
  <c r="F75" i="46"/>
  <c r="V75" i="46" s="1"/>
  <c r="C76" i="46"/>
  <c r="F76" i="46"/>
  <c r="V76" i="46" s="1"/>
  <c r="C77" i="46"/>
  <c r="F77" i="46"/>
  <c r="V77" i="46" s="1"/>
  <c r="C78" i="46"/>
  <c r="F78" i="46"/>
  <c r="V78" i="46" s="1"/>
  <c r="C79" i="46"/>
  <c r="F79" i="46"/>
  <c r="V79" i="46" s="1"/>
  <c r="C80" i="46"/>
  <c r="F80" i="46"/>
  <c r="V80" i="46" s="1"/>
  <c r="C81" i="46"/>
  <c r="F81" i="46"/>
  <c r="V81" i="46" s="1"/>
  <c r="C82" i="46"/>
  <c r="F82" i="46"/>
  <c r="V82" i="46" s="1"/>
  <c r="C83" i="46"/>
  <c r="F83" i="46"/>
  <c r="V83" i="46" s="1"/>
  <c r="C84" i="46"/>
  <c r="F84" i="46"/>
  <c r="V84" i="46" s="1"/>
  <c r="C85" i="46"/>
  <c r="F85" i="46"/>
  <c r="V85" i="46" s="1"/>
  <c r="C86" i="46"/>
  <c r="F86" i="46"/>
  <c r="V86" i="46" s="1"/>
  <c r="C87" i="46"/>
  <c r="F87" i="46"/>
  <c r="V87" i="46" s="1"/>
  <c r="C88" i="46"/>
  <c r="F88" i="46"/>
  <c r="V88" i="46" s="1"/>
  <c r="C89" i="46"/>
  <c r="F89" i="46"/>
  <c r="V89" i="46" s="1"/>
  <c r="C90" i="46"/>
  <c r="F90" i="46"/>
  <c r="V90" i="46" s="1"/>
  <c r="C91" i="46"/>
  <c r="F91" i="46"/>
  <c r="V91" i="46" s="1"/>
  <c r="C92" i="46"/>
  <c r="F92" i="46"/>
  <c r="V92" i="46" s="1"/>
  <c r="C93" i="46"/>
  <c r="F93" i="46"/>
  <c r="V93" i="46" s="1"/>
  <c r="C94" i="46"/>
  <c r="F94" i="46"/>
  <c r="V94" i="46" s="1"/>
  <c r="C95" i="46"/>
  <c r="F95" i="46"/>
  <c r="V95" i="46" s="1"/>
  <c r="C96" i="46"/>
  <c r="F96" i="46"/>
  <c r="V96" i="46" s="1"/>
  <c r="C97" i="46"/>
  <c r="F97" i="46"/>
  <c r="V97" i="46" s="1"/>
  <c r="C98" i="46"/>
  <c r="F98" i="46"/>
  <c r="V98" i="46" s="1"/>
  <c r="C99" i="46"/>
  <c r="F99" i="46"/>
  <c r="V99" i="46" s="1"/>
  <c r="C100" i="46"/>
  <c r="F100" i="46"/>
  <c r="V100" i="46" s="1"/>
  <c r="C101" i="46"/>
  <c r="F101" i="46"/>
  <c r="V101" i="46" s="1"/>
  <c r="C102" i="46"/>
  <c r="F102" i="46"/>
  <c r="V102" i="46" s="1"/>
  <c r="C103" i="46"/>
  <c r="F103" i="46"/>
  <c r="V103" i="46" s="1"/>
  <c r="C104" i="46"/>
  <c r="F104" i="46"/>
  <c r="V104" i="46" s="1"/>
  <c r="C105" i="46"/>
  <c r="F105" i="46"/>
  <c r="V105" i="46" s="1"/>
  <c r="C106" i="46"/>
  <c r="F106" i="46"/>
  <c r="V106" i="46" s="1"/>
  <c r="C107" i="46"/>
  <c r="F107" i="46"/>
  <c r="V107" i="46" s="1"/>
  <c r="C108" i="46"/>
  <c r="F108" i="46"/>
  <c r="V108" i="46" s="1"/>
  <c r="C109" i="46"/>
  <c r="F109" i="46"/>
  <c r="V109" i="46" s="1"/>
  <c r="C110" i="46"/>
  <c r="F110" i="46"/>
  <c r="V110" i="46" s="1"/>
  <c r="C111" i="46"/>
  <c r="F111" i="46"/>
  <c r="V111" i="46" s="1"/>
  <c r="C112" i="46"/>
  <c r="F112" i="46"/>
  <c r="V112" i="46" s="1"/>
  <c r="C113" i="46"/>
  <c r="F113" i="46"/>
  <c r="V113" i="46" s="1"/>
  <c r="C114" i="46"/>
  <c r="F114" i="46"/>
  <c r="V114" i="46" s="1"/>
  <c r="C115" i="46"/>
  <c r="F115" i="46"/>
  <c r="V115" i="46" s="1"/>
  <c r="C116" i="46"/>
  <c r="F116" i="46"/>
  <c r="V116" i="46" s="1"/>
  <c r="C117" i="46"/>
  <c r="F117" i="46"/>
  <c r="V117" i="46" s="1"/>
  <c r="C118" i="46"/>
  <c r="F118" i="46"/>
  <c r="V118" i="46" s="1"/>
  <c r="C119" i="46"/>
  <c r="F119" i="46"/>
  <c r="V119" i="46" s="1"/>
  <c r="C120" i="46"/>
  <c r="F120" i="46"/>
  <c r="V120" i="46" s="1"/>
  <c r="C121" i="46"/>
  <c r="F121" i="46"/>
  <c r="V121" i="46" s="1"/>
  <c r="C122" i="46"/>
  <c r="F122" i="46"/>
  <c r="V122" i="46" s="1"/>
  <c r="C123" i="46"/>
  <c r="F123" i="46"/>
  <c r="V123" i="46" s="1"/>
  <c r="C124" i="46"/>
  <c r="F124" i="46"/>
  <c r="V124" i="46" s="1"/>
  <c r="C125" i="46"/>
  <c r="F125" i="46"/>
  <c r="V125" i="46" s="1"/>
  <c r="C126" i="46"/>
  <c r="F126" i="46"/>
  <c r="V126" i="46" s="1"/>
  <c r="C127" i="46"/>
  <c r="F127" i="46"/>
  <c r="V127" i="46" s="1"/>
  <c r="C128" i="46"/>
  <c r="F128" i="46"/>
  <c r="V128" i="46" s="1"/>
  <c r="C129" i="46"/>
  <c r="F129" i="46"/>
  <c r="V129" i="46" s="1"/>
  <c r="C130" i="46"/>
  <c r="F130" i="46"/>
  <c r="V130" i="46" s="1"/>
  <c r="C131" i="46"/>
  <c r="F131" i="46"/>
  <c r="V131" i="46" s="1"/>
  <c r="C132" i="46"/>
  <c r="F132" i="46"/>
  <c r="V132" i="46" s="1"/>
  <c r="C133" i="46"/>
  <c r="F133" i="46"/>
  <c r="V133" i="46" s="1"/>
  <c r="C134" i="46"/>
  <c r="F134" i="46"/>
  <c r="V134" i="46" s="1"/>
  <c r="C135" i="46"/>
  <c r="F135" i="46"/>
  <c r="V135" i="46" s="1"/>
  <c r="C136" i="46"/>
  <c r="F136" i="46"/>
  <c r="V136" i="46" s="1"/>
  <c r="C137" i="46"/>
  <c r="F137" i="46"/>
  <c r="V137" i="46" s="1"/>
  <c r="C138" i="46"/>
  <c r="F138" i="46"/>
  <c r="V138" i="46" s="1"/>
  <c r="C139" i="46"/>
  <c r="F139" i="46"/>
  <c r="V139" i="46" s="1"/>
  <c r="C140" i="46"/>
  <c r="F140" i="46"/>
  <c r="V140" i="46" s="1"/>
  <c r="C141" i="46"/>
  <c r="F141" i="46"/>
  <c r="V141" i="46" s="1"/>
  <c r="C142" i="46"/>
  <c r="F142" i="46"/>
  <c r="V142" i="46" s="1"/>
  <c r="C143" i="46"/>
  <c r="F143" i="46"/>
  <c r="V143" i="46" s="1"/>
  <c r="C144" i="46"/>
  <c r="F144" i="46"/>
  <c r="V144" i="46" s="1"/>
  <c r="C145" i="46"/>
  <c r="F145" i="46"/>
  <c r="V145" i="46" s="1"/>
  <c r="C146" i="46"/>
  <c r="F146" i="46"/>
  <c r="V146" i="46" s="1"/>
  <c r="C147" i="46"/>
  <c r="F147" i="46"/>
  <c r="V147" i="46" s="1"/>
  <c r="C148" i="46"/>
  <c r="F148" i="46"/>
  <c r="V148" i="46" s="1"/>
  <c r="C149" i="46"/>
  <c r="F149" i="46"/>
  <c r="V149" i="46" s="1"/>
  <c r="C150" i="46"/>
  <c r="F150" i="46"/>
  <c r="V150" i="46" s="1"/>
  <c r="C151" i="46"/>
  <c r="F151" i="46"/>
  <c r="V151" i="46" s="1"/>
  <c r="C152" i="46"/>
  <c r="F152" i="46"/>
  <c r="V152" i="46" s="1"/>
  <c r="C153" i="46"/>
  <c r="F153" i="46"/>
  <c r="V153" i="46" s="1"/>
  <c r="C154" i="46"/>
  <c r="F154" i="46"/>
  <c r="V154" i="46" s="1"/>
  <c r="C155" i="46"/>
  <c r="F155" i="46"/>
  <c r="V155" i="46" s="1"/>
  <c r="C156" i="46"/>
  <c r="F156" i="46"/>
  <c r="V156" i="46" s="1"/>
  <c r="C157" i="46"/>
  <c r="F157" i="46"/>
  <c r="V157" i="46" s="1"/>
  <c r="C158" i="46"/>
  <c r="F158" i="46"/>
  <c r="V158" i="46" s="1"/>
  <c r="C159" i="46"/>
  <c r="F159" i="46"/>
  <c r="V159" i="46" s="1"/>
  <c r="C160" i="46"/>
  <c r="F160" i="46"/>
  <c r="V160" i="46" s="1"/>
  <c r="C161" i="46"/>
  <c r="F161" i="46"/>
  <c r="V161" i="46" s="1"/>
  <c r="C162" i="46"/>
  <c r="F162" i="46"/>
  <c r="V162" i="46" s="1"/>
  <c r="C163" i="46"/>
  <c r="F163" i="46"/>
  <c r="V163" i="46" s="1"/>
  <c r="C164" i="46"/>
  <c r="F164" i="46"/>
  <c r="V164" i="46" s="1"/>
  <c r="C165" i="46"/>
  <c r="F165" i="46"/>
  <c r="V165" i="46" s="1"/>
  <c r="C166" i="46"/>
  <c r="F166" i="46"/>
  <c r="V166" i="46" s="1"/>
  <c r="C167" i="46"/>
  <c r="F167" i="46"/>
  <c r="V167" i="46" s="1"/>
  <c r="C168" i="46"/>
  <c r="F168" i="46"/>
  <c r="V168" i="46" s="1"/>
  <c r="C169" i="46"/>
  <c r="F169" i="46"/>
  <c r="V169" i="46" s="1"/>
  <c r="C170" i="46"/>
  <c r="F170" i="46"/>
  <c r="V170" i="46" s="1"/>
  <c r="C171" i="46"/>
  <c r="F171" i="46"/>
  <c r="V171" i="46" s="1"/>
  <c r="C172" i="46"/>
  <c r="F172" i="46"/>
  <c r="V172" i="46" s="1"/>
  <c r="C173" i="46"/>
  <c r="F173" i="46"/>
  <c r="V173" i="46" s="1"/>
  <c r="C174" i="46"/>
  <c r="F174" i="46"/>
  <c r="V174" i="46" s="1"/>
  <c r="C175" i="46"/>
  <c r="F175" i="46"/>
  <c r="V175" i="46" s="1"/>
  <c r="C176" i="46"/>
  <c r="F176" i="46"/>
  <c r="V176" i="46" s="1"/>
  <c r="C177" i="46"/>
  <c r="F177" i="46"/>
  <c r="V177" i="46" s="1"/>
  <c r="C178" i="46"/>
  <c r="F178" i="46"/>
  <c r="V178" i="46" s="1"/>
  <c r="C179" i="46"/>
  <c r="F179" i="46"/>
  <c r="V179" i="46" s="1"/>
  <c r="C180" i="46"/>
  <c r="F180" i="46"/>
  <c r="V180" i="46" s="1"/>
  <c r="C181" i="46"/>
  <c r="F181" i="46"/>
  <c r="V181" i="46" s="1"/>
  <c r="C182" i="46"/>
  <c r="F182" i="46"/>
  <c r="V182" i="46" s="1"/>
  <c r="C183" i="46"/>
  <c r="F183" i="46"/>
  <c r="V183" i="46" s="1"/>
  <c r="C184" i="46"/>
  <c r="F184" i="46"/>
  <c r="V184" i="46" s="1"/>
  <c r="C185" i="46"/>
  <c r="F185" i="46"/>
  <c r="V185" i="46" s="1"/>
  <c r="C186" i="46"/>
  <c r="F186" i="46"/>
  <c r="V186" i="46" s="1"/>
  <c r="C187" i="46"/>
  <c r="F187" i="46"/>
  <c r="V187" i="46" s="1"/>
  <c r="C188" i="46"/>
  <c r="F188" i="46"/>
  <c r="V188" i="46" s="1"/>
  <c r="C189" i="46"/>
  <c r="F189" i="46"/>
  <c r="V189" i="46" s="1"/>
  <c r="C190" i="46"/>
  <c r="F190" i="46"/>
  <c r="V190" i="46" s="1"/>
  <c r="C191" i="46"/>
  <c r="F191" i="46"/>
  <c r="V191" i="46" s="1"/>
  <c r="C192" i="46"/>
  <c r="F192" i="46"/>
  <c r="V192" i="46" s="1"/>
  <c r="C193" i="46"/>
  <c r="F193" i="46"/>
  <c r="V193" i="46" s="1"/>
  <c r="C194" i="46"/>
  <c r="F194" i="46"/>
  <c r="V194" i="46" s="1"/>
  <c r="C195" i="46"/>
  <c r="F195" i="46"/>
  <c r="V195" i="46" s="1"/>
  <c r="C196" i="46"/>
  <c r="F196" i="46"/>
  <c r="V196" i="46" s="1"/>
  <c r="C197" i="46"/>
  <c r="F197" i="46"/>
  <c r="V197" i="46" s="1"/>
  <c r="C198" i="46"/>
  <c r="F198" i="46"/>
  <c r="V198" i="46" s="1"/>
  <c r="C199" i="46"/>
  <c r="F199" i="46"/>
  <c r="V199" i="46" s="1"/>
  <c r="C200" i="46"/>
  <c r="F200" i="46"/>
  <c r="V200" i="46" s="1"/>
  <c r="C201" i="46"/>
  <c r="F201" i="46"/>
  <c r="V201" i="46" s="1"/>
  <c r="C202" i="46"/>
  <c r="F202" i="46"/>
  <c r="V202" i="46" s="1"/>
  <c r="C203" i="46"/>
  <c r="F203" i="46"/>
  <c r="V203" i="46" s="1"/>
  <c r="C204" i="46"/>
  <c r="F204" i="46"/>
  <c r="V204" i="46" s="1"/>
  <c r="C205" i="46"/>
  <c r="F205" i="46"/>
  <c r="V205" i="46" s="1"/>
  <c r="C206" i="46"/>
  <c r="F206" i="46"/>
  <c r="V206" i="46" s="1"/>
  <c r="C207" i="46"/>
  <c r="F207" i="46"/>
  <c r="V207" i="46" s="1"/>
  <c r="C208" i="46"/>
  <c r="F208" i="46"/>
  <c r="V208" i="46" s="1"/>
  <c r="C209" i="46"/>
  <c r="F209" i="46"/>
  <c r="V209" i="46" s="1"/>
  <c r="C210" i="46"/>
  <c r="F210" i="46"/>
  <c r="V210" i="46" s="1"/>
  <c r="C211" i="46"/>
  <c r="F211" i="46"/>
  <c r="V211" i="46" s="1"/>
  <c r="C212" i="46"/>
  <c r="F212" i="46"/>
  <c r="V212" i="46" s="1"/>
  <c r="C213" i="46"/>
  <c r="F213" i="46"/>
  <c r="V213" i="46" s="1"/>
  <c r="C214" i="46"/>
  <c r="F214" i="46"/>
  <c r="V214" i="46" s="1"/>
  <c r="C215" i="46"/>
  <c r="F215" i="46"/>
  <c r="V215" i="46" s="1"/>
  <c r="C216" i="46"/>
  <c r="F216" i="46"/>
  <c r="V216" i="46" s="1"/>
  <c r="C217" i="46"/>
  <c r="F217" i="46"/>
  <c r="V217" i="46" s="1"/>
  <c r="C218" i="46"/>
  <c r="F218" i="46"/>
  <c r="V218" i="46" s="1"/>
  <c r="C219" i="46"/>
  <c r="F219" i="46"/>
  <c r="V219" i="46" s="1"/>
  <c r="C220" i="46"/>
  <c r="F220" i="46"/>
  <c r="V220" i="46" s="1"/>
  <c r="C221" i="46"/>
  <c r="F221" i="46"/>
  <c r="V221" i="46" s="1"/>
  <c r="C222" i="46"/>
  <c r="F222" i="46"/>
  <c r="V222" i="46" s="1"/>
  <c r="C223" i="46"/>
  <c r="F223" i="46"/>
  <c r="V223" i="46" s="1"/>
  <c r="C224" i="46"/>
  <c r="F224" i="46"/>
  <c r="V224" i="46" s="1"/>
  <c r="C225" i="46"/>
  <c r="F225" i="46"/>
  <c r="V225" i="46" s="1"/>
  <c r="C226" i="46"/>
  <c r="F226" i="46"/>
  <c r="V226" i="46" s="1"/>
  <c r="C227" i="46"/>
  <c r="F227" i="46"/>
  <c r="V227" i="46" s="1"/>
  <c r="C228" i="46"/>
  <c r="F228" i="46"/>
  <c r="V228" i="46" s="1"/>
  <c r="C229" i="46"/>
  <c r="F229" i="46"/>
  <c r="V229" i="46" s="1"/>
  <c r="C230" i="46"/>
  <c r="F230" i="46"/>
  <c r="V230" i="46" s="1"/>
  <c r="C231" i="46"/>
  <c r="F231" i="46"/>
  <c r="V231" i="46" s="1"/>
  <c r="C232" i="46"/>
  <c r="F232" i="46"/>
  <c r="V232" i="46" s="1"/>
  <c r="C233" i="46"/>
  <c r="F233" i="46"/>
  <c r="V233" i="46" s="1"/>
  <c r="C234" i="46"/>
  <c r="F234" i="46"/>
  <c r="V234" i="46" s="1"/>
  <c r="C235" i="46"/>
  <c r="F235" i="46"/>
  <c r="V235" i="46" s="1"/>
  <c r="C236" i="46"/>
  <c r="F236" i="46"/>
  <c r="V236" i="46" s="1"/>
  <c r="C237" i="46"/>
  <c r="F237" i="46"/>
  <c r="V237" i="46" s="1"/>
  <c r="C238" i="46"/>
  <c r="F238" i="46"/>
  <c r="V238" i="46" s="1"/>
  <c r="C239" i="46"/>
  <c r="F239" i="46"/>
  <c r="V239" i="46" s="1"/>
  <c r="C240" i="46"/>
  <c r="F240" i="46"/>
  <c r="V240" i="46" s="1"/>
  <c r="C241" i="46"/>
  <c r="F241" i="46"/>
  <c r="V241" i="46" s="1"/>
  <c r="C242" i="46"/>
  <c r="F242" i="46"/>
  <c r="V242" i="46" s="1"/>
  <c r="C243" i="46"/>
  <c r="F243" i="46"/>
  <c r="V243" i="46" s="1"/>
  <c r="C244" i="46"/>
  <c r="F244" i="46"/>
  <c r="V244" i="46" s="1"/>
  <c r="C245" i="46"/>
  <c r="F245" i="46"/>
  <c r="V245" i="46" s="1"/>
  <c r="C246" i="46"/>
  <c r="F246" i="46"/>
  <c r="V246" i="46" s="1"/>
  <c r="C247" i="46"/>
  <c r="F247" i="46"/>
  <c r="V247" i="46" s="1"/>
  <c r="C248" i="46"/>
  <c r="F248" i="46"/>
  <c r="V248" i="46" s="1"/>
  <c r="C249" i="46"/>
  <c r="F249" i="46"/>
  <c r="V249" i="46" s="1"/>
  <c r="C250" i="46"/>
  <c r="F250" i="46"/>
  <c r="V250" i="46" s="1"/>
  <c r="C251" i="46"/>
  <c r="F251" i="46"/>
  <c r="V251" i="46" s="1"/>
  <c r="C252" i="46"/>
  <c r="F252" i="46"/>
  <c r="V252" i="46" s="1"/>
  <c r="C253" i="46"/>
  <c r="F253" i="46"/>
  <c r="V253" i="46" s="1"/>
  <c r="C254" i="46"/>
  <c r="F254" i="46"/>
  <c r="V254" i="46" s="1"/>
  <c r="C255" i="46"/>
  <c r="F255" i="46"/>
  <c r="V255" i="46" s="1"/>
  <c r="C256" i="46"/>
  <c r="F256" i="46"/>
  <c r="V256" i="46" s="1"/>
  <c r="A14" i="11"/>
  <c r="A15" i="11"/>
  <c r="A16" i="11"/>
  <c r="G16" i="11"/>
  <c r="A17" i="11"/>
  <c r="G17" i="11"/>
  <c r="A18" i="11"/>
  <c r="G18" i="11"/>
  <c r="P18" i="11" s="1"/>
  <c r="W18" i="11" s="1"/>
  <c r="A19" i="11"/>
  <c r="G19" i="11"/>
  <c r="A20" i="11"/>
  <c r="G20" i="11"/>
  <c r="A21" i="11"/>
  <c r="G21" i="11"/>
  <c r="A22" i="11"/>
  <c r="G22" i="11"/>
  <c r="I22" i="11" s="1"/>
  <c r="A23" i="11"/>
  <c r="G23" i="11"/>
  <c r="A24" i="11"/>
  <c r="G24" i="11"/>
  <c r="A25" i="11"/>
  <c r="G25" i="11"/>
  <c r="A26" i="11"/>
  <c r="G26" i="11"/>
  <c r="A27" i="11"/>
  <c r="G27" i="11"/>
  <c r="A28" i="11"/>
  <c r="G28" i="11"/>
  <c r="A29" i="11"/>
  <c r="G29" i="11"/>
  <c r="A30" i="11"/>
  <c r="G30" i="11"/>
  <c r="A31" i="11"/>
  <c r="G31" i="11"/>
  <c r="A32" i="11"/>
  <c r="G32" i="11"/>
  <c r="A33" i="11"/>
  <c r="G33" i="11"/>
  <c r="A34" i="11"/>
  <c r="G34" i="11"/>
  <c r="A35" i="11"/>
  <c r="G35" i="11"/>
  <c r="A36" i="11"/>
  <c r="G36" i="11"/>
  <c r="A37" i="11"/>
  <c r="G37" i="11"/>
  <c r="A38" i="11"/>
  <c r="G38" i="11"/>
  <c r="A39" i="11"/>
  <c r="G39" i="11"/>
  <c r="A40" i="11"/>
  <c r="G40" i="11"/>
  <c r="A41" i="11"/>
  <c r="G41" i="11"/>
  <c r="A42" i="11"/>
  <c r="G42" i="11"/>
  <c r="A43" i="11"/>
  <c r="G43" i="11"/>
  <c r="A44" i="11"/>
  <c r="G44" i="11"/>
  <c r="A45" i="11"/>
  <c r="G45" i="11"/>
  <c r="A46" i="11"/>
  <c r="G46" i="11"/>
  <c r="A47" i="11"/>
  <c r="G47" i="11"/>
  <c r="A48" i="11"/>
  <c r="G48" i="11"/>
  <c r="A49" i="11"/>
  <c r="G49" i="11"/>
  <c r="A50" i="11"/>
  <c r="G50" i="11"/>
  <c r="A51" i="11"/>
  <c r="G51" i="11"/>
  <c r="A52" i="11"/>
  <c r="G52" i="11"/>
  <c r="A53" i="11"/>
  <c r="G53" i="11"/>
  <c r="A54" i="11"/>
  <c r="G54" i="11"/>
  <c r="A55" i="11"/>
  <c r="G55" i="11"/>
  <c r="A56" i="11"/>
  <c r="G56" i="11"/>
  <c r="A57" i="11"/>
  <c r="G57" i="11"/>
  <c r="A58" i="11"/>
  <c r="G58" i="11"/>
  <c r="A59" i="11"/>
  <c r="G59" i="11"/>
  <c r="A60" i="11"/>
  <c r="G60" i="11"/>
  <c r="A61" i="11"/>
  <c r="G61" i="11"/>
  <c r="A62" i="11"/>
  <c r="G62" i="11"/>
  <c r="A63" i="11"/>
  <c r="G63" i="11"/>
  <c r="A64" i="11"/>
  <c r="G64" i="11"/>
  <c r="A65" i="11"/>
  <c r="G65" i="11"/>
  <c r="A66" i="11"/>
  <c r="G66" i="11"/>
  <c r="A67" i="11"/>
  <c r="G67" i="11"/>
  <c r="A68" i="11"/>
  <c r="G68" i="11"/>
  <c r="A69" i="11"/>
  <c r="G69" i="11"/>
  <c r="A70" i="11"/>
  <c r="G70" i="11"/>
  <c r="A71" i="11"/>
  <c r="G71" i="11"/>
  <c r="A72" i="11"/>
  <c r="G72" i="11"/>
  <c r="A73" i="11"/>
  <c r="G73" i="11"/>
  <c r="A74" i="11"/>
  <c r="G74" i="11"/>
  <c r="A75" i="11"/>
  <c r="G75" i="11"/>
  <c r="A76" i="11"/>
  <c r="G76" i="11"/>
  <c r="A77" i="11"/>
  <c r="G77" i="11"/>
  <c r="A78" i="11"/>
  <c r="G78" i="11"/>
  <c r="A79" i="11"/>
  <c r="G79" i="11"/>
  <c r="A80" i="11"/>
  <c r="G80" i="11"/>
  <c r="A81" i="11"/>
  <c r="G81" i="11"/>
  <c r="A82" i="11"/>
  <c r="G82" i="11"/>
  <c r="A83" i="11"/>
  <c r="G83" i="11"/>
  <c r="A84" i="11"/>
  <c r="G84" i="11"/>
  <c r="A85" i="11"/>
  <c r="G85" i="11"/>
  <c r="A86" i="11"/>
  <c r="G86" i="11"/>
  <c r="A87" i="11"/>
  <c r="G87" i="11"/>
  <c r="A88" i="11"/>
  <c r="G88" i="11"/>
  <c r="A89" i="11"/>
  <c r="G89" i="11"/>
  <c r="A90" i="11"/>
  <c r="G90" i="11"/>
  <c r="A91" i="11"/>
  <c r="G91" i="11"/>
  <c r="A92" i="11"/>
  <c r="G92" i="11"/>
  <c r="A93" i="11"/>
  <c r="G93" i="11"/>
  <c r="A94" i="11"/>
  <c r="G94" i="11"/>
  <c r="A95" i="11"/>
  <c r="G95" i="11"/>
  <c r="A96" i="11"/>
  <c r="G96" i="11"/>
  <c r="A97" i="11"/>
  <c r="G97" i="11"/>
  <c r="A98" i="11"/>
  <c r="G98" i="11"/>
  <c r="A99" i="11"/>
  <c r="G99" i="11"/>
  <c r="A100" i="11"/>
  <c r="G100" i="11"/>
  <c r="A101" i="11"/>
  <c r="G101" i="11"/>
  <c r="A102" i="11"/>
  <c r="G102" i="11"/>
  <c r="A103" i="11"/>
  <c r="G103" i="11"/>
  <c r="A104" i="11"/>
  <c r="G104" i="11"/>
  <c r="A105" i="11"/>
  <c r="G105" i="11"/>
  <c r="A106" i="11"/>
  <c r="G106" i="11"/>
  <c r="A107" i="11"/>
  <c r="G107" i="11"/>
  <c r="A108" i="11"/>
  <c r="G108" i="11"/>
  <c r="A109" i="11"/>
  <c r="G109" i="11"/>
  <c r="A110" i="11"/>
  <c r="G110" i="11"/>
  <c r="A111" i="11"/>
  <c r="G111" i="11"/>
  <c r="A112" i="11"/>
  <c r="G112" i="11"/>
  <c r="A113" i="11"/>
  <c r="G113" i="11"/>
  <c r="A114" i="11"/>
  <c r="G114" i="11"/>
  <c r="A115" i="11"/>
  <c r="G115" i="11"/>
  <c r="A116" i="11"/>
  <c r="G116" i="11"/>
  <c r="A117" i="11"/>
  <c r="G117" i="11"/>
  <c r="A118" i="11"/>
  <c r="G118" i="11"/>
  <c r="A119" i="11"/>
  <c r="G119" i="11"/>
  <c r="A120" i="11"/>
  <c r="G120" i="11"/>
  <c r="A121" i="11"/>
  <c r="G121" i="11"/>
  <c r="A122" i="11"/>
  <c r="G122" i="11"/>
  <c r="A123" i="11"/>
  <c r="G123" i="11"/>
  <c r="A124" i="11"/>
  <c r="G124" i="11"/>
  <c r="A125" i="11"/>
  <c r="G125" i="11"/>
  <c r="A126" i="11"/>
  <c r="G126" i="11"/>
  <c r="A127" i="11"/>
  <c r="G127" i="11"/>
  <c r="A128" i="11"/>
  <c r="G128" i="11"/>
  <c r="A129" i="11"/>
  <c r="G129" i="11"/>
  <c r="A130" i="11"/>
  <c r="G130" i="11"/>
  <c r="A131" i="11"/>
  <c r="G131" i="11"/>
  <c r="A132" i="11"/>
  <c r="G132" i="11"/>
  <c r="A133" i="11"/>
  <c r="G133" i="11"/>
  <c r="A134" i="11"/>
  <c r="G134" i="11"/>
  <c r="A135" i="11"/>
  <c r="G135" i="11"/>
  <c r="A136" i="11"/>
  <c r="G136" i="11"/>
  <c r="A137" i="11"/>
  <c r="G137" i="11"/>
  <c r="A138" i="11"/>
  <c r="G138" i="11"/>
  <c r="A139" i="11"/>
  <c r="G139" i="11"/>
  <c r="A140" i="11"/>
  <c r="G140" i="11"/>
  <c r="A141" i="11"/>
  <c r="G141" i="11"/>
  <c r="A142" i="11"/>
  <c r="G142" i="11"/>
  <c r="A143" i="11"/>
  <c r="G143" i="11"/>
  <c r="A144" i="11"/>
  <c r="G144" i="11"/>
  <c r="A145" i="11"/>
  <c r="G145" i="11"/>
  <c r="A146" i="11"/>
  <c r="G146" i="11"/>
  <c r="A147" i="11"/>
  <c r="G147" i="11"/>
  <c r="A148" i="11"/>
  <c r="G148" i="11"/>
  <c r="A149" i="11"/>
  <c r="G149" i="11"/>
  <c r="A150" i="11"/>
  <c r="G150" i="11"/>
  <c r="A151" i="11"/>
  <c r="G151" i="11"/>
  <c r="A152" i="11"/>
  <c r="G152" i="11"/>
  <c r="A153" i="11"/>
  <c r="G153" i="11"/>
  <c r="A154" i="11"/>
  <c r="G154" i="11"/>
  <c r="A155" i="11"/>
  <c r="G155" i="11"/>
  <c r="A156" i="11"/>
  <c r="G156" i="11"/>
  <c r="A157" i="11"/>
  <c r="G157" i="11"/>
  <c r="A158" i="11"/>
  <c r="G158" i="11"/>
  <c r="A159" i="11"/>
  <c r="G159" i="11"/>
  <c r="A160" i="11"/>
  <c r="G160" i="11"/>
  <c r="A161" i="11"/>
  <c r="G161" i="11"/>
  <c r="A162" i="11"/>
  <c r="G162" i="11"/>
  <c r="A163" i="11"/>
  <c r="G163" i="11"/>
  <c r="A164" i="11"/>
  <c r="G164" i="11"/>
  <c r="A165" i="11"/>
  <c r="G165" i="11"/>
  <c r="A166" i="11"/>
  <c r="G166" i="11"/>
  <c r="A167" i="11"/>
  <c r="G167" i="11"/>
  <c r="A168" i="11"/>
  <c r="G168" i="11"/>
  <c r="A169" i="11"/>
  <c r="G169" i="11"/>
  <c r="A170" i="11"/>
  <c r="G170" i="11"/>
  <c r="A171" i="11"/>
  <c r="G171" i="11"/>
  <c r="A172" i="11"/>
  <c r="G172" i="11"/>
  <c r="A173" i="11"/>
  <c r="G173" i="11"/>
  <c r="A174" i="11"/>
  <c r="G174" i="11"/>
  <c r="A175" i="11"/>
  <c r="G175" i="11"/>
  <c r="A176" i="11"/>
  <c r="G176" i="11"/>
  <c r="A177" i="11"/>
  <c r="G177" i="11"/>
  <c r="A178" i="11"/>
  <c r="G178" i="11"/>
  <c r="A179" i="11"/>
  <c r="G179" i="11"/>
  <c r="A180" i="11"/>
  <c r="G180" i="11"/>
  <c r="A181" i="11"/>
  <c r="G181" i="11"/>
  <c r="A182" i="11"/>
  <c r="G182" i="11"/>
  <c r="A183" i="11"/>
  <c r="G183" i="11"/>
  <c r="A184" i="11"/>
  <c r="G184" i="11"/>
  <c r="A185" i="11"/>
  <c r="G185" i="11"/>
  <c r="A186" i="11"/>
  <c r="G186" i="11"/>
  <c r="A187" i="11"/>
  <c r="G187" i="11"/>
  <c r="A188" i="11"/>
  <c r="G188" i="11"/>
  <c r="A189" i="11"/>
  <c r="G189" i="11"/>
  <c r="A190" i="11"/>
  <c r="G190" i="11"/>
  <c r="A191" i="11"/>
  <c r="G191" i="11"/>
  <c r="A192" i="11"/>
  <c r="G192" i="11"/>
  <c r="A193" i="11"/>
  <c r="G193" i="11"/>
  <c r="A194" i="11"/>
  <c r="G194" i="11"/>
  <c r="A195" i="11"/>
  <c r="G195" i="11"/>
  <c r="A196" i="11"/>
  <c r="G196" i="11"/>
  <c r="A197" i="11"/>
  <c r="G197" i="11"/>
  <c r="A198" i="11"/>
  <c r="G198" i="11"/>
  <c r="A199" i="11"/>
  <c r="G199" i="11"/>
  <c r="A200" i="11"/>
  <c r="G200" i="11"/>
  <c r="A201" i="11"/>
  <c r="G201" i="11"/>
  <c r="A202" i="11"/>
  <c r="G202" i="11"/>
  <c r="A203" i="11"/>
  <c r="G203" i="11"/>
  <c r="A204" i="11"/>
  <c r="G204" i="11"/>
  <c r="A205" i="11"/>
  <c r="G205" i="11"/>
  <c r="A206" i="11"/>
  <c r="G206" i="11"/>
  <c r="A207" i="11"/>
  <c r="G207" i="11"/>
  <c r="A208" i="11"/>
  <c r="G208" i="11"/>
  <c r="A209" i="11"/>
  <c r="G209" i="11"/>
  <c r="A210" i="11"/>
  <c r="G210" i="11"/>
  <c r="A211" i="11"/>
  <c r="G211" i="11"/>
  <c r="A212" i="11"/>
  <c r="G212" i="11"/>
  <c r="A213" i="11"/>
  <c r="G213" i="11"/>
  <c r="A214" i="11"/>
  <c r="G214" i="11"/>
  <c r="A215" i="11"/>
  <c r="G215" i="11"/>
  <c r="A216" i="11"/>
  <c r="G216" i="11"/>
  <c r="A217" i="11"/>
  <c r="G217" i="11"/>
  <c r="A218" i="11"/>
  <c r="G218" i="11"/>
  <c r="A219" i="11"/>
  <c r="G219" i="11"/>
  <c r="A220" i="11"/>
  <c r="G220" i="11"/>
  <c r="A221" i="11"/>
  <c r="G221" i="11"/>
  <c r="A222" i="11"/>
  <c r="G222" i="11"/>
  <c r="A223" i="11"/>
  <c r="G223" i="11"/>
  <c r="A224" i="11"/>
  <c r="G224" i="11"/>
  <c r="A225" i="11"/>
  <c r="G225" i="11"/>
  <c r="A226" i="11"/>
  <c r="G226" i="11"/>
  <c r="A227" i="11"/>
  <c r="G227" i="11"/>
  <c r="A228" i="11"/>
  <c r="G228" i="11"/>
  <c r="A229" i="11"/>
  <c r="G229" i="11"/>
  <c r="A230" i="11"/>
  <c r="G230" i="11"/>
  <c r="A231" i="11"/>
  <c r="G231" i="11"/>
  <c r="A232" i="11"/>
  <c r="G232" i="11"/>
  <c r="A233" i="11"/>
  <c r="G233" i="11"/>
  <c r="A234" i="11"/>
  <c r="G234" i="11"/>
  <c r="A235" i="11"/>
  <c r="G235" i="11"/>
  <c r="A236" i="11"/>
  <c r="G236" i="11"/>
  <c r="A237" i="11"/>
  <c r="G237" i="11"/>
  <c r="A238" i="11"/>
  <c r="G238" i="11"/>
  <c r="A239" i="11"/>
  <c r="G239" i="11"/>
  <c r="A240" i="11"/>
  <c r="G240" i="11"/>
  <c r="A241" i="11"/>
  <c r="G241" i="11"/>
  <c r="A242" i="11"/>
  <c r="G242" i="11"/>
  <c r="A243" i="11"/>
  <c r="G243" i="11"/>
  <c r="A244" i="11"/>
  <c r="G244" i="11"/>
  <c r="A245" i="11"/>
  <c r="G245" i="11"/>
  <c r="A246" i="11"/>
  <c r="G246" i="11"/>
  <c r="A247" i="11"/>
  <c r="G247" i="11"/>
  <c r="A248" i="11"/>
  <c r="G248" i="11"/>
  <c r="A249" i="11"/>
  <c r="G249" i="11"/>
  <c r="A250" i="11"/>
  <c r="G250" i="11"/>
  <c r="A251" i="11"/>
  <c r="G251" i="11"/>
  <c r="A252" i="11"/>
  <c r="G252" i="11"/>
  <c r="A253" i="11"/>
  <c r="G253" i="11"/>
  <c r="A254" i="11"/>
  <c r="G254" i="11"/>
  <c r="A255" i="11"/>
  <c r="G255" i="11"/>
  <c r="A256" i="11"/>
  <c r="G256" i="11"/>
  <c r="A257" i="11"/>
  <c r="G257" i="11"/>
  <c r="A258" i="11"/>
  <c r="G258" i="11"/>
  <c r="W12" i="59" l="1"/>
  <c r="Q12" i="59"/>
  <c r="U256" i="71"/>
  <c r="U251" i="71"/>
  <c r="U243" i="71"/>
  <c r="U235" i="71"/>
  <c r="U227" i="71"/>
  <c r="U219" i="71"/>
  <c r="U211" i="71"/>
  <c r="U203" i="71"/>
  <c r="U195" i="71"/>
  <c r="U187" i="71"/>
  <c r="U179" i="71"/>
  <c r="U171" i="71"/>
  <c r="U163" i="71"/>
  <c r="U155" i="71"/>
  <c r="U147" i="71"/>
  <c r="U139" i="71"/>
  <c r="U131" i="71"/>
  <c r="U127" i="71"/>
  <c r="U123" i="71"/>
  <c r="U119" i="71"/>
  <c r="U115" i="71"/>
  <c r="U107" i="71"/>
  <c r="U103" i="71"/>
  <c r="U99" i="71"/>
  <c r="U95" i="71"/>
  <c r="U91" i="71"/>
  <c r="U87" i="71"/>
  <c r="U83" i="71"/>
  <c r="U79" i="71"/>
  <c r="U75" i="71"/>
  <c r="U71" i="71"/>
  <c r="U67" i="71"/>
  <c r="U63" i="71"/>
  <c r="U59" i="71"/>
  <c r="U55" i="71"/>
  <c r="U51" i="71"/>
  <c r="U47" i="71"/>
  <c r="U43" i="71"/>
  <c r="U39" i="71"/>
  <c r="U35" i="71"/>
  <c r="U31" i="71"/>
  <c r="U27" i="71"/>
  <c r="U23" i="71"/>
  <c r="U19" i="71"/>
  <c r="U255" i="71"/>
  <c r="U247" i="71"/>
  <c r="U239" i="71"/>
  <c r="U231" i="71"/>
  <c r="U223" i="71"/>
  <c r="U215" i="71"/>
  <c r="U207" i="71"/>
  <c r="U199" i="71"/>
  <c r="U191" i="71"/>
  <c r="U183" i="71"/>
  <c r="U175" i="71"/>
  <c r="U167" i="71"/>
  <c r="U159" i="71"/>
  <c r="U151" i="71"/>
  <c r="U143" i="71"/>
  <c r="U135" i="71"/>
  <c r="U111" i="71"/>
  <c r="U13" i="71"/>
  <c r="U250" i="71"/>
  <c r="U242" i="71"/>
  <c r="U234" i="71"/>
  <c r="U226" i="71"/>
  <c r="U218" i="71"/>
  <c r="U210" i="71"/>
  <c r="U202" i="71"/>
  <c r="U194" i="71"/>
  <c r="U182" i="71"/>
  <c r="U174" i="71"/>
  <c r="U166" i="71"/>
  <c r="U158" i="71"/>
  <c r="U150" i="71"/>
  <c r="U142" i="71"/>
  <c r="U138" i="71"/>
  <c r="U130" i="71"/>
  <c r="U126" i="71"/>
  <c r="U122" i="71"/>
  <c r="U118" i="71"/>
  <c r="U114" i="71"/>
  <c r="U106" i="71"/>
  <c r="U102" i="71"/>
  <c r="U98" i="71"/>
  <c r="U94" i="71"/>
  <c r="U90" i="71"/>
  <c r="U86" i="71"/>
  <c r="U82" i="71"/>
  <c r="U78" i="71"/>
  <c r="U74" i="71"/>
  <c r="U70" i="71"/>
  <c r="U66" i="71"/>
  <c r="U62" i="71"/>
  <c r="U58" i="71"/>
  <c r="U54" i="71"/>
  <c r="U50" i="71"/>
  <c r="U46" i="71"/>
  <c r="U42" i="71"/>
  <c r="U38" i="71"/>
  <c r="U34" i="71"/>
  <c r="U30" i="71"/>
  <c r="U26" i="71"/>
  <c r="U22" i="71"/>
  <c r="U18" i="71"/>
  <c r="U246" i="71"/>
  <c r="U238" i="71"/>
  <c r="U230" i="71"/>
  <c r="U222" i="71"/>
  <c r="U214" i="71"/>
  <c r="U206" i="71"/>
  <c r="U198" i="71"/>
  <c r="U190" i="71"/>
  <c r="U186" i="71"/>
  <c r="U178" i="71"/>
  <c r="U170" i="71"/>
  <c r="U162" i="71"/>
  <c r="U154" i="71"/>
  <c r="U146" i="71"/>
  <c r="U134" i="71"/>
  <c r="U110" i="71"/>
  <c r="U14" i="71"/>
  <c r="U249" i="71"/>
  <c r="U241" i="71"/>
  <c r="U233" i="71"/>
  <c r="U225" i="71"/>
  <c r="U217" i="71"/>
  <c r="U209" i="71"/>
  <c r="U201" i="71"/>
  <c r="U193" i="71"/>
  <c r="U185" i="71"/>
  <c r="U177" i="71"/>
  <c r="U169" i="71"/>
  <c r="U161" i="71"/>
  <c r="U153" i="71"/>
  <c r="U145" i="71"/>
  <c r="U137" i="71"/>
  <c r="U129" i="71"/>
  <c r="U125" i="71"/>
  <c r="U121" i="71"/>
  <c r="U117" i="71"/>
  <c r="U113" i="71"/>
  <c r="U105" i="71"/>
  <c r="U101" i="71"/>
  <c r="U97" i="71"/>
  <c r="U93" i="71"/>
  <c r="U89" i="71"/>
  <c r="U85" i="71"/>
  <c r="U81" i="71"/>
  <c r="U77" i="71"/>
  <c r="U73" i="71"/>
  <c r="U69" i="71"/>
  <c r="U65" i="71"/>
  <c r="U61" i="71"/>
  <c r="U57" i="71"/>
  <c r="U53" i="71"/>
  <c r="U49" i="71"/>
  <c r="U45" i="71"/>
  <c r="U41" i="71"/>
  <c r="U37" i="71"/>
  <c r="U33" i="71"/>
  <c r="U29" i="71"/>
  <c r="U25" i="71"/>
  <c r="U21" i="71"/>
  <c r="U17" i="71"/>
  <c r="U253" i="71"/>
  <c r="U245" i="71"/>
  <c r="U237" i="71"/>
  <c r="U229" i="71"/>
  <c r="U221" i="71"/>
  <c r="U213" i="71"/>
  <c r="U205" i="71"/>
  <c r="U197" i="71"/>
  <c r="U189" i="71"/>
  <c r="U181" i="71"/>
  <c r="U173" i="71"/>
  <c r="U165" i="71"/>
  <c r="U157" i="71"/>
  <c r="U149" i="71"/>
  <c r="U141" i="71"/>
  <c r="U133" i="71"/>
  <c r="U109" i="71"/>
  <c r="U15" i="71"/>
  <c r="U252" i="71"/>
  <c r="U244" i="71"/>
  <c r="U236" i="71"/>
  <c r="U228" i="71"/>
  <c r="U220" i="71"/>
  <c r="U212" i="71"/>
  <c r="U204" i="71"/>
  <c r="U196" i="71"/>
  <c r="U188" i="71"/>
  <c r="U180" i="71"/>
  <c r="U172" i="71"/>
  <c r="U164" i="71"/>
  <c r="U156" i="71"/>
  <c r="U148" i="71"/>
  <c r="U144" i="71"/>
  <c r="U136" i="71"/>
  <c r="U128" i="71"/>
  <c r="U124" i="71"/>
  <c r="U120" i="71"/>
  <c r="U116" i="71"/>
  <c r="U112" i="71"/>
  <c r="U104" i="71"/>
  <c r="U100" i="71"/>
  <c r="U96" i="71"/>
  <c r="U92" i="71"/>
  <c r="U88" i="71"/>
  <c r="U84" i="71"/>
  <c r="U80" i="71"/>
  <c r="U76" i="71"/>
  <c r="U72" i="71"/>
  <c r="U68" i="71"/>
  <c r="U64" i="71"/>
  <c r="U60" i="71"/>
  <c r="U56" i="71"/>
  <c r="U52" i="71"/>
  <c r="U48" i="71"/>
  <c r="U44" i="71"/>
  <c r="U40" i="71"/>
  <c r="U36" i="71"/>
  <c r="U32" i="71"/>
  <c r="U28" i="71"/>
  <c r="U24" i="71"/>
  <c r="U20" i="71"/>
  <c r="U16" i="71"/>
  <c r="U248" i="71"/>
  <c r="U240" i="71"/>
  <c r="U232" i="71"/>
  <c r="U224" i="71"/>
  <c r="U216" i="71"/>
  <c r="U208" i="71"/>
  <c r="U200" i="71"/>
  <c r="U192" i="71"/>
  <c r="U184" i="71"/>
  <c r="U176" i="71"/>
  <c r="U168" i="71"/>
  <c r="U160" i="71"/>
  <c r="U152" i="71"/>
  <c r="U140" i="71"/>
  <c r="U132" i="71"/>
  <c r="U108" i="71"/>
  <c r="U12" i="71"/>
  <c r="U254" i="71"/>
  <c r="U250" i="46"/>
  <c r="U242" i="46"/>
  <c r="U234" i="46"/>
  <c r="U226" i="46"/>
  <c r="U218" i="46"/>
  <c r="U210" i="46"/>
  <c r="U202" i="46"/>
  <c r="U194" i="46"/>
  <c r="U186" i="46"/>
  <c r="U178" i="46"/>
  <c r="U170" i="46"/>
  <c r="U166" i="46"/>
  <c r="U162" i="46"/>
  <c r="U154" i="46"/>
  <c r="U150" i="46"/>
  <c r="U146" i="46"/>
  <c r="U142" i="46"/>
  <c r="U138" i="46"/>
  <c r="U134" i="46"/>
  <c r="U130" i="46"/>
  <c r="U126" i="46"/>
  <c r="U122" i="46"/>
  <c r="U118" i="46"/>
  <c r="U114" i="46"/>
  <c r="U110" i="46"/>
  <c r="U106" i="46"/>
  <c r="U102" i="46"/>
  <c r="U98" i="46"/>
  <c r="U94" i="46"/>
  <c r="U90" i="46"/>
  <c r="U86" i="46"/>
  <c r="U82" i="46"/>
  <c r="U78" i="46"/>
  <c r="U74" i="46"/>
  <c r="U70" i="46"/>
  <c r="U66" i="46"/>
  <c r="U62" i="46"/>
  <c r="U58" i="46"/>
  <c r="U54" i="46"/>
  <c r="U50" i="46"/>
  <c r="U46" i="46"/>
  <c r="U42" i="46"/>
  <c r="U38" i="46"/>
  <c r="U254" i="46"/>
  <c r="U246" i="46"/>
  <c r="U238" i="46"/>
  <c r="U230" i="46"/>
  <c r="U222" i="46"/>
  <c r="U214" i="46"/>
  <c r="U206" i="46"/>
  <c r="U198" i="46"/>
  <c r="U190" i="46"/>
  <c r="U182" i="46"/>
  <c r="U174" i="46"/>
  <c r="U158" i="46"/>
  <c r="U245" i="46"/>
  <c r="U237" i="46"/>
  <c r="U229" i="46"/>
  <c r="U221" i="46"/>
  <c r="U213" i="46"/>
  <c r="U205" i="46"/>
  <c r="U197" i="46"/>
  <c r="U189" i="46"/>
  <c r="U181" i="46"/>
  <c r="U173" i="46"/>
  <c r="U169" i="46"/>
  <c r="U161" i="46"/>
  <c r="U157" i="46"/>
  <c r="U153" i="46"/>
  <c r="U149" i="46"/>
  <c r="U145" i="46"/>
  <c r="U141" i="46"/>
  <c r="U137" i="46"/>
  <c r="U133" i="46"/>
  <c r="U129" i="46"/>
  <c r="U125" i="46"/>
  <c r="U121" i="46"/>
  <c r="U117" i="46"/>
  <c r="U113" i="46"/>
  <c r="U109" i="46"/>
  <c r="U105" i="46"/>
  <c r="U101" i="46"/>
  <c r="U97" i="46"/>
  <c r="U93" i="46"/>
  <c r="U89" i="46"/>
  <c r="U85" i="46"/>
  <c r="U81" i="46"/>
  <c r="U77" i="46"/>
  <c r="U73" i="46"/>
  <c r="U69" i="46"/>
  <c r="U65" i="46"/>
  <c r="U61" i="46"/>
  <c r="U57" i="46"/>
  <c r="U53" i="46"/>
  <c r="U49" i="46"/>
  <c r="U45" i="46"/>
  <c r="U41" i="46"/>
  <c r="U37" i="46"/>
  <c r="U253" i="46"/>
  <c r="U249" i="46"/>
  <c r="U241" i="46"/>
  <c r="U233" i="46"/>
  <c r="U225" i="46"/>
  <c r="U217" i="46"/>
  <c r="U209" i="46"/>
  <c r="U201" i="46"/>
  <c r="U193" i="46"/>
  <c r="U185" i="46"/>
  <c r="U177" i="46"/>
  <c r="U165" i="46"/>
  <c r="U252" i="46"/>
  <c r="U244" i="46"/>
  <c r="U236" i="46"/>
  <c r="U228" i="46"/>
  <c r="U220" i="46"/>
  <c r="U212" i="46"/>
  <c r="U204" i="46"/>
  <c r="U196" i="46"/>
  <c r="U188" i="46"/>
  <c r="U180" i="46"/>
  <c r="U172" i="46"/>
  <c r="U168" i="46"/>
  <c r="U164" i="46"/>
  <c r="U156" i="46"/>
  <c r="U152" i="46"/>
  <c r="U148" i="46"/>
  <c r="U144" i="46"/>
  <c r="U140" i="46"/>
  <c r="U136" i="46"/>
  <c r="U132" i="46"/>
  <c r="U128" i="46"/>
  <c r="U124" i="46"/>
  <c r="U120" i="46"/>
  <c r="U116" i="46"/>
  <c r="U112" i="46"/>
  <c r="U108" i="46"/>
  <c r="U104" i="46"/>
  <c r="U100" i="46"/>
  <c r="U96" i="46"/>
  <c r="U92" i="46"/>
  <c r="U88" i="46"/>
  <c r="U84" i="46"/>
  <c r="U80" i="46"/>
  <c r="U76" i="46"/>
  <c r="U72" i="46"/>
  <c r="U68" i="46"/>
  <c r="U64" i="46"/>
  <c r="U60" i="46"/>
  <c r="U56" i="46"/>
  <c r="U52" i="46"/>
  <c r="U48" i="46"/>
  <c r="U44" i="46"/>
  <c r="U40" i="46"/>
  <c r="U36" i="46"/>
  <c r="U256" i="46"/>
  <c r="U248" i="46"/>
  <c r="U240" i="46"/>
  <c r="U232" i="46"/>
  <c r="U224" i="46"/>
  <c r="U216" i="46"/>
  <c r="U208" i="46"/>
  <c r="U200" i="46"/>
  <c r="U192" i="46"/>
  <c r="U184" i="46"/>
  <c r="U176" i="46"/>
  <c r="U160" i="46"/>
  <c r="U255" i="46"/>
  <c r="U247" i="46"/>
  <c r="U239" i="46"/>
  <c r="U231" i="46"/>
  <c r="U223" i="46"/>
  <c r="U215" i="46"/>
  <c r="U203" i="46"/>
  <c r="U195" i="46"/>
  <c r="U187" i="46"/>
  <c r="U179" i="46"/>
  <c r="U171" i="46"/>
  <c r="U167" i="46"/>
  <c r="U163" i="46"/>
  <c r="U155" i="46"/>
  <c r="U151" i="46"/>
  <c r="U147" i="46"/>
  <c r="U143" i="46"/>
  <c r="U139" i="46"/>
  <c r="U135" i="46"/>
  <c r="U131" i="46"/>
  <c r="U127" i="46"/>
  <c r="U123" i="46"/>
  <c r="U119" i="46"/>
  <c r="U115" i="46"/>
  <c r="U111" i="46"/>
  <c r="U107" i="46"/>
  <c r="U103" i="46"/>
  <c r="U99" i="46"/>
  <c r="U95" i="46"/>
  <c r="U91" i="46"/>
  <c r="U87" i="46"/>
  <c r="U83" i="46"/>
  <c r="U79" i="46"/>
  <c r="U75" i="46"/>
  <c r="U71" i="46"/>
  <c r="U67" i="46"/>
  <c r="U63" i="46"/>
  <c r="U59" i="46"/>
  <c r="U55" i="46"/>
  <c r="U51" i="46"/>
  <c r="U47" i="46"/>
  <c r="U43" i="46"/>
  <c r="U39" i="46"/>
  <c r="U251" i="46"/>
  <c r="U243" i="46"/>
  <c r="U235" i="46"/>
  <c r="U227" i="46"/>
  <c r="U219" i="46"/>
  <c r="U211" i="46"/>
  <c r="U207" i="46"/>
  <c r="U199" i="46"/>
  <c r="U191" i="46"/>
  <c r="U183" i="46"/>
  <c r="U175" i="46"/>
  <c r="U159" i="46"/>
  <c r="J148" i="22"/>
  <c r="J155" i="22"/>
  <c r="J157" i="22"/>
  <c r="J151" i="22"/>
  <c r="J149" i="22"/>
  <c r="J150" i="22"/>
  <c r="J147" i="22"/>
  <c r="J154" i="22"/>
  <c r="J158" i="22"/>
  <c r="J152" i="22"/>
  <c r="J156" i="22"/>
  <c r="J153" i="22"/>
  <c r="P253" i="59"/>
  <c r="Q253" i="59" s="1"/>
  <c r="P245" i="59"/>
  <c r="Q245" i="59" s="1"/>
  <c r="P237" i="59"/>
  <c r="Q237" i="59" s="1"/>
  <c r="P229" i="59"/>
  <c r="Q229" i="59" s="1"/>
  <c r="P221" i="59"/>
  <c r="Q221" i="59" s="1"/>
  <c r="P213" i="59"/>
  <c r="Q213" i="59" s="1"/>
  <c r="P205" i="59"/>
  <c r="Q205" i="59" s="1"/>
  <c r="P201" i="59"/>
  <c r="Q201" i="59" s="1"/>
  <c r="P197" i="59"/>
  <c r="Q197" i="59" s="1"/>
  <c r="P189" i="59"/>
  <c r="Q189" i="59" s="1"/>
  <c r="P185" i="59"/>
  <c r="Q185" i="59" s="1"/>
  <c r="P181" i="59"/>
  <c r="Q181" i="59" s="1"/>
  <c r="P177" i="59"/>
  <c r="Q177" i="59" s="1"/>
  <c r="P173" i="59"/>
  <c r="Q173" i="59" s="1"/>
  <c r="P169" i="59"/>
  <c r="Q169" i="59" s="1"/>
  <c r="P165" i="59"/>
  <c r="Q165" i="59" s="1"/>
  <c r="P161" i="59"/>
  <c r="Q161" i="59" s="1"/>
  <c r="P157" i="59"/>
  <c r="Q157" i="59" s="1"/>
  <c r="P153" i="59"/>
  <c r="Q153" i="59" s="1"/>
  <c r="P149" i="59"/>
  <c r="Q149" i="59" s="1"/>
  <c r="P145" i="59"/>
  <c r="Q145" i="59" s="1"/>
  <c r="P141" i="59"/>
  <c r="Q141" i="59" s="1"/>
  <c r="P137" i="59"/>
  <c r="Q137" i="59" s="1"/>
  <c r="P133" i="59"/>
  <c r="Q133" i="59" s="1"/>
  <c r="P129" i="59"/>
  <c r="Q129" i="59" s="1"/>
  <c r="P125" i="59"/>
  <c r="Q125" i="59" s="1"/>
  <c r="P121" i="59"/>
  <c r="Q121" i="59" s="1"/>
  <c r="P117" i="59"/>
  <c r="Q117" i="59" s="1"/>
  <c r="P113" i="59"/>
  <c r="Q113" i="59" s="1"/>
  <c r="P109" i="59"/>
  <c r="Q109" i="59" s="1"/>
  <c r="P105" i="59"/>
  <c r="Q105" i="59" s="1"/>
  <c r="P101" i="59"/>
  <c r="Q101" i="59" s="1"/>
  <c r="P97" i="59"/>
  <c r="Q97" i="59" s="1"/>
  <c r="P93" i="59"/>
  <c r="Q93" i="59" s="1"/>
  <c r="P89" i="59"/>
  <c r="Q89" i="59" s="1"/>
  <c r="P85" i="59"/>
  <c r="Q85" i="59" s="1"/>
  <c r="P81" i="59"/>
  <c r="Q81" i="59" s="1"/>
  <c r="P77" i="59"/>
  <c r="Q77" i="59" s="1"/>
  <c r="P73" i="59"/>
  <c r="Q73" i="59" s="1"/>
  <c r="P69" i="59"/>
  <c r="Q69" i="59" s="1"/>
  <c r="P65" i="59"/>
  <c r="Q65" i="59" s="1"/>
  <c r="P61" i="59"/>
  <c r="Q61" i="59" s="1"/>
  <c r="P57" i="59"/>
  <c r="Q57" i="59" s="1"/>
  <c r="P53" i="59"/>
  <c r="Q53" i="59" s="1"/>
  <c r="P49" i="59"/>
  <c r="Q49" i="59" s="1"/>
  <c r="P45" i="59"/>
  <c r="Q45" i="59" s="1"/>
  <c r="P41" i="59"/>
  <c r="Q41" i="59" s="1"/>
  <c r="P37" i="59"/>
  <c r="Q37" i="59" s="1"/>
  <c r="P33" i="59"/>
  <c r="Q33" i="59" s="1"/>
  <c r="P29" i="59"/>
  <c r="Q29" i="59" s="1"/>
  <c r="P25" i="59"/>
  <c r="Q25" i="59" s="1"/>
  <c r="P257" i="59"/>
  <c r="Q257" i="59" s="1"/>
  <c r="P249" i="59"/>
  <c r="Q249" i="59" s="1"/>
  <c r="P241" i="59"/>
  <c r="Q241" i="59" s="1"/>
  <c r="P233" i="59"/>
  <c r="Q233" i="59" s="1"/>
  <c r="P225" i="59"/>
  <c r="Q225" i="59" s="1"/>
  <c r="P217" i="59"/>
  <c r="Q217" i="59" s="1"/>
  <c r="P209" i="59"/>
  <c r="Q209" i="59" s="1"/>
  <c r="P193" i="59"/>
  <c r="Q193" i="59" s="1"/>
  <c r="P252" i="59"/>
  <c r="Q252" i="59" s="1"/>
  <c r="P244" i="59"/>
  <c r="Q244" i="59" s="1"/>
  <c r="P236" i="59"/>
  <c r="Q236" i="59" s="1"/>
  <c r="P228" i="59"/>
  <c r="Q228" i="59" s="1"/>
  <c r="P220" i="59"/>
  <c r="Q220" i="59" s="1"/>
  <c r="P212" i="59"/>
  <c r="Q212" i="59" s="1"/>
  <c r="P204" i="59"/>
  <c r="Q204" i="59" s="1"/>
  <c r="P196" i="59"/>
  <c r="Q196" i="59" s="1"/>
  <c r="P192" i="59"/>
  <c r="Q192" i="59" s="1"/>
  <c r="P188" i="59"/>
  <c r="Q188" i="59" s="1"/>
  <c r="P180" i="59"/>
  <c r="Q180" i="59" s="1"/>
  <c r="P176" i="59"/>
  <c r="Q176" i="59" s="1"/>
  <c r="P172" i="59"/>
  <c r="Q172" i="59" s="1"/>
  <c r="P168" i="59"/>
  <c r="Q168" i="59" s="1"/>
  <c r="P164" i="59"/>
  <c r="Q164" i="59" s="1"/>
  <c r="P160" i="59"/>
  <c r="Q160" i="59" s="1"/>
  <c r="P156" i="59"/>
  <c r="Q156" i="59" s="1"/>
  <c r="P152" i="59"/>
  <c r="Q152" i="59" s="1"/>
  <c r="P148" i="59"/>
  <c r="Q148" i="59" s="1"/>
  <c r="P144" i="59"/>
  <c r="Q144" i="59" s="1"/>
  <c r="P140" i="59"/>
  <c r="Q140" i="59" s="1"/>
  <c r="P136" i="59"/>
  <c r="Q136" i="59" s="1"/>
  <c r="P132" i="59"/>
  <c r="Q132" i="59" s="1"/>
  <c r="P128" i="59"/>
  <c r="Q128" i="59" s="1"/>
  <c r="P124" i="59"/>
  <c r="Q124" i="59" s="1"/>
  <c r="P120" i="59"/>
  <c r="Q120" i="59" s="1"/>
  <c r="P116" i="59"/>
  <c r="Q116" i="59" s="1"/>
  <c r="P112" i="59"/>
  <c r="Q112" i="59" s="1"/>
  <c r="P108" i="59"/>
  <c r="Q108" i="59" s="1"/>
  <c r="P104" i="59"/>
  <c r="Q104" i="59" s="1"/>
  <c r="P100" i="59"/>
  <c r="Q100" i="59" s="1"/>
  <c r="P96" i="59"/>
  <c r="Q96" i="59" s="1"/>
  <c r="P92" i="59"/>
  <c r="Q92" i="59" s="1"/>
  <c r="P88" i="59"/>
  <c r="Q88" i="59" s="1"/>
  <c r="P84" i="59"/>
  <c r="Q84" i="59" s="1"/>
  <c r="P80" i="59"/>
  <c r="Q80" i="59" s="1"/>
  <c r="P76" i="59"/>
  <c r="Q76" i="59" s="1"/>
  <c r="P72" i="59"/>
  <c r="Q72" i="59" s="1"/>
  <c r="P68" i="59"/>
  <c r="Q68" i="59" s="1"/>
  <c r="P64" i="59"/>
  <c r="Q64" i="59" s="1"/>
  <c r="P60" i="59"/>
  <c r="Q60" i="59" s="1"/>
  <c r="P56" i="59"/>
  <c r="Q56" i="59" s="1"/>
  <c r="P52" i="59"/>
  <c r="Q52" i="59" s="1"/>
  <c r="P48" i="59"/>
  <c r="Q48" i="59" s="1"/>
  <c r="P44" i="59"/>
  <c r="Q44" i="59" s="1"/>
  <c r="P40" i="59"/>
  <c r="Q40" i="59" s="1"/>
  <c r="P36" i="59"/>
  <c r="Q36" i="59" s="1"/>
  <c r="P32" i="59"/>
  <c r="Q32" i="59" s="1"/>
  <c r="P28" i="59"/>
  <c r="Q28" i="59" s="1"/>
  <c r="P24" i="59"/>
  <c r="Q24" i="59" s="1"/>
  <c r="P256" i="59"/>
  <c r="Q256" i="59" s="1"/>
  <c r="P248" i="59"/>
  <c r="Q248" i="59" s="1"/>
  <c r="P240" i="59"/>
  <c r="Q240" i="59" s="1"/>
  <c r="P232" i="59"/>
  <c r="Q232" i="59" s="1"/>
  <c r="P224" i="59"/>
  <c r="Q224" i="59" s="1"/>
  <c r="P216" i="59"/>
  <c r="Q216" i="59" s="1"/>
  <c r="P208" i="59"/>
  <c r="Q208" i="59" s="1"/>
  <c r="P200" i="59"/>
  <c r="Q200" i="59" s="1"/>
  <c r="P184" i="59"/>
  <c r="Q184" i="59" s="1"/>
  <c r="P255" i="59"/>
  <c r="Q255" i="59" s="1"/>
  <c r="P247" i="59"/>
  <c r="Q247" i="59" s="1"/>
  <c r="P239" i="59"/>
  <c r="Q239" i="59" s="1"/>
  <c r="P231" i="59"/>
  <c r="Q231" i="59" s="1"/>
  <c r="P223" i="59"/>
  <c r="Q223" i="59" s="1"/>
  <c r="P215" i="59"/>
  <c r="Q215" i="59" s="1"/>
  <c r="P207" i="59"/>
  <c r="Q207" i="59" s="1"/>
  <c r="P203" i="59"/>
  <c r="Q203" i="59" s="1"/>
  <c r="P199" i="59"/>
  <c r="Q199" i="59" s="1"/>
  <c r="P191" i="59"/>
  <c r="Q191" i="59" s="1"/>
  <c r="P187" i="59"/>
  <c r="Q187" i="59" s="1"/>
  <c r="P183" i="59"/>
  <c r="Q183" i="59" s="1"/>
  <c r="P179" i="59"/>
  <c r="Q179" i="59" s="1"/>
  <c r="P175" i="59"/>
  <c r="Q175" i="59" s="1"/>
  <c r="P171" i="59"/>
  <c r="Q171" i="59" s="1"/>
  <c r="P167" i="59"/>
  <c r="Q167" i="59" s="1"/>
  <c r="P163" i="59"/>
  <c r="Q163" i="59" s="1"/>
  <c r="P159" i="59"/>
  <c r="Q159" i="59" s="1"/>
  <c r="P155" i="59"/>
  <c r="Q155" i="59" s="1"/>
  <c r="P151" i="59"/>
  <c r="Q151" i="59" s="1"/>
  <c r="P147" i="59"/>
  <c r="Q147" i="59" s="1"/>
  <c r="P143" i="59"/>
  <c r="Q143" i="59" s="1"/>
  <c r="P139" i="59"/>
  <c r="Q139" i="59" s="1"/>
  <c r="P135" i="59"/>
  <c r="Q135" i="59" s="1"/>
  <c r="P131" i="59"/>
  <c r="Q131" i="59" s="1"/>
  <c r="P127" i="59"/>
  <c r="Q127" i="59" s="1"/>
  <c r="P123" i="59"/>
  <c r="Q123" i="59" s="1"/>
  <c r="P119" i="59"/>
  <c r="Q119" i="59" s="1"/>
  <c r="P115" i="59"/>
  <c r="Q115" i="59" s="1"/>
  <c r="P111" i="59"/>
  <c r="Q111" i="59" s="1"/>
  <c r="P107" i="59"/>
  <c r="Q107" i="59" s="1"/>
  <c r="P103" i="59"/>
  <c r="Q103" i="59" s="1"/>
  <c r="P99" i="59"/>
  <c r="Q99" i="59" s="1"/>
  <c r="P95" i="59"/>
  <c r="Q95" i="59" s="1"/>
  <c r="P91" i="59"/>
  <c r="Q91" i="59" s="1"/>
  <c r="P87" i="59"/>
  <c r="Q87" i="59" s="1"/>
  <c r="P83" i="59"/>
  <c r="Q83" i="59" s="1"/>
  <c r="P79" i="59"/>
  <c r="Q79" i="59" s="1"/>
  <c r="P75" i="59"/>
  <c r="Q75" i="59" s="1"/>
  <c r="P71" i="59"/>
  <c r="Q71" i="59" s="1"/>
  <c r="P67" i="59"/>
  <c r="Q67" i="59" s="1"/>
  <c r="P63" i="59"/>
  <c r="Q63" i="59" s="1"/>
  <c r="P59" i="59"/>
  <c r="Q59" i="59" s="1"/>
  <c r="P55" i="59"/>
  <c r="Q55" i="59" s="1"/>
  <c r="P51" i="59"/>
  <c r="Q51" i="59" s="1"/>
  <c r="P47" i="59"/>
  <c r="Q47" i="59" s="1"/>
  <c r="P43" i="59"/>
  <c r="Q43" i="59" s="1"/>
  <c r="P39" i="59"/>
  <c r="Q39" i="59" s="1"/>
  <c r="P35" i="59"/>
  <c r="Q35" i="59" s="1"/>
  <c r="P31" i="59"/>
  <c r="Q31" i="59" s="1"/>
  <c r="P27" i="59"/>
  <c r="Q27" i="59" s="1"/>
  <c r="P251" i="59"/>
  <c r="Q251" i="59" s="1"/>
  <c r="P243" i="59"/>
  <c r="Q243" i="59" s="1"/>
  <c r="P235" i="59"/>
  <c r="Q235" i="59" s="1"/>
  <c r="P227" i="59"/>
  <c r="Q227" i="59" s="1"/>
  <c r="P219" i="59"/>
  <c r="Q219" i="59" s="1"/>
  <c r="P211" i="59"/>
  <c r="Q211" i="59" s="1"/>
  <c r="P195" i="59"/>
  <c r="Q195" i="59" s="1"/>
  <c r="P254" i="59"/>
  <c r="Q254" i="59" s="1"/>
  <c r="P246" i="59"/>
  <c r="Q246" i="59" s="1"/>
  <c r="P238" i="59"/>
  <c r="Q238" i="59" s="1"/>
  <c r="P230" i="59"/>
  <c r="Q230" i="59" s="1"/>
  <c r="P222" i="59"/>
  <c r="Q222" i="59" s="1"/>
  <c r="P214" i="59"/>
  <c r="Q214" i="59" s="1"/>
  <c r="P206" i="59"/>
  <c r="Q206" i="59" s="1"/>
  <c r="P198" i="59"/>
  <c r="Q198" i="59" s="1"/>
  <c r="P194" i="59"/>
  <c r="Q194" i="59" s="1"/>
  <c r="P190" i="59"/>
  <c r="Q190" i="59" s="1"/>
  <c r="P182" i="59"/>
  <c r="Q182" i="59" s="1"/>
  <c r="P178" i="59"/>
  <c r="Q178" i="59" s="1"/>
  <c r="P174" i="59"/>
  <c r="Q174" i="59" s="1"/>
  <c r="P170" i="59"/>
  <c r="Q170" i="59" s="1"/>
  <c r="P166" i="59"/>
  <c r="Q166" i="59" s="1"/>
  <c r="P162" i="59"/>
  <c r="Q162" i="59" s="1"/>
  <c r="P158" i="59"/>
  <c r="Q158" i="59" s="1"/>
  <c r="P154" i="59"/>
  <c r="Q154" i="59" s="1"/>
  <c r="P150" i="59"/>
  <c r="Q150" i="59" s="1"/>
  <c r="P146" i="59"/>
  <c r="Q146" i="59" s="1"/>
  <c r="P142" i="59"/>
  <c r="Q142" i="59" s="1"/>
  <c r="P138" i="59"/>
  <c r="Q138" i="59" s="1"/>
  <c r="P134" i="59"/>
  <c r="Q134" i="59" s="1"/>
  <c r="P130" i="59"/>
  <c r="Q130" i="59" s="1"/>
  <c r="P126" i="59"/>
  <c r="Q126" i="59" s="1"/>
  <c r="P122" i="59"/>
  <c r="Q122" i="59" s="1"/>
  <c r="P118" i="59"/>
  <c r="Q118" i="59" s="1"/>
  <c r="P114" i="59"/>
  <c r="Q114" i="59" s="1"/>
  <c r="P110" i="59"/>
  <c r="Q110" i="59" s="1"/>
  <c r="P106" i="59"/>
  <c r="Q106" i="59" s="1"/>
  <c r="P102" i="59"/>
  <c r="Q102" i="59" s="1"/>
  <c r="P98" i="59"/>
  <c r="Q98" i="59" s="1"/>
  <c r="P94" i="59"/>
  <c r="Q94" i="59" s="1"/>
  <c r="P90" i="59"/>
  <c r="Q90" i="59" s="1"/>
  <c r="P86" i="59"/>
  <c r="Q86" i="59" s="1"/>
  <c r="P82" i="59"/>
  <c r="Q82" i="59" s="1"/>
  <c r="P78" i="59"/>
  <c r="Q78" i="59" s="1"/>
  <c r="P74" i="59"/>
  <c r="Q74" i="59" s="1"/>
  <c r="P70" i="59"/>
  <c r="Q70" i="59" s="1"/>
  <c r="P66" i="59"/>
  <c r="Q66" i="59" s="1"/>
  <c r="P62" i="59"/>
  <c r="Q62" i="59" s="1"/>
  <c r="P58" i="59"/>
  <c r="Q58" i="59" s="1"/>
  <c r="P54" i="59"/>
  <c r="Q54" i="59" s="1"/>
  <c r="P50" i="59"/>
  <c r="Q50" i="59" s="1"/>
  <c r="P46" i="59"/>
  <c r="Q46" i="59" s="1"/>
  <c r="P42" i="59"/>
  <c r="Q42" i="59" s="1"/>
  <c r="P38" i="59"/>
  <c r="Q38" i="59" s="1"/>
  <c r="P34" i="59"/>
  <c r="Q34" i="59" s="1"/>
  <c r="P30" i="59"/>
  <c r="Q30" i="59" s="1"/>
  <c r="P26" i="59"/>
  <c r="Q26" i="59" s="1"/>
  <c r="P258" i="59"/>
  <c r="Q258" i="59" s="1"/>
  <c r="P250" i="59"/>
  <c r="Q250" i="59" s="1"/>
  <c r="P242" i="59"/>
  <c r="Q242" i="59" s="1"/>
  <c r="P234" i="59"/>
  <c r="Q234" i="59" s="1"/>
  <c r="P226" i="59"/>
  <c r="Q226" i="59" s="1"/>
  <c r="P218" i="59"/>
  <c r="Q218" i="59" s="1"/>
  <c r="P210" i="59"/>
  <c r="Q210" i="59" s="1"/>
  <c r="P202" i="59"/>
  <c r="Q202" i="59" s="1"/>
  <c r="P186" i="59"/>
  <c r="Q186" i="59" s="1"/>
  <c r="P23" i="59"/>
  <c r="Q23" i="59" s="1"/>
  <c r="P22" i="59"/>
  <c r="Q22" i="59" s="1"/>
  <c r="P21" i="59"/>
  <c r="Q21" i="59" s="1"/>
  <c r="P20" i="59"/>
  <c r="Q20" i="59" s="1"/>
  <c r="P19" i="59"/>
  <c r="Q19" i="59" s="1"/>
  <c r="P18" i="59"/>
  <c r="Q18" i="59" s="1"/>
  <c r="P17" i="59"/>
  <c r="Q17" i="59" s="1"/>
  <c r="P16" i="59"/>
  <c r="Q16" i="59" s="1"/>
  <c r="P15" i="59"/>
  <c r="Q15" i="59" s="1"/>
  <c r="P14" i="59"/>
  <c r="Q14" i="59" s="1"/>
  <c r="P13" i="59"/>
  <c r="Q13" i="59" s="1"/>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L244" i="58"/>
  <c r="K244" i="58"/>
  <c r="F244" i="58"/>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L236" i="58"/>
  <c r="K236" i="58"/>
  <c r="F236" i="58"/>
  <c r="I236" i="58" s="1"/>
  <c r="L235" i="58"/>
  <c r="K235" i="58"/>
  <c r="F235" i="58"/>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L228" i="58"/>
  <c r="K228" i="58"/>
  <c r="F228" i="58"/>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L220" i="58"/>
  <c r="K220" i="58"/>
  <c r="F220" i="58"/>
  <c r="I220" i="58" s="1"/>
  <c r="L219" i="58"/>
  <c r="K219" i="58"/>
  <c r="F219" i="58"/>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L212" i="58"/>
  <c r="K212" i="58"/>
  <c r="F212" i="58"/>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L204" i="58"/>
  <c r="K204" i="58"/>
  <c r="F204" i="58"/>
  <c r="I204" i="58" s="1"/>
  <c r="L203" i="58"/>
  <c r="K203" i="58"/>
  <c r="F203" i="58"/>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L196" i="58"/>
  <c r="K196" i="58"/>
  <c r="F196" i="58"/>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L189" i="58"/>
  <c r="K189" i="58"/>
  <c r="F189" i="58"/>
  <c r="L188" i="58"/>
  <c r="K188" i="58"/>
  <c r="F188" i="58"/>
  <c r="I188" i="58" s="1"/>
  <c r="L187" i="58"/>
  <c r="K187" i="58"/>
  <c r="F187" i="58"/>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L180" i="58"/>
  <c r="K180" i="58"/>
  <c r="F180" i="58"/>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L172" i="58"/>
  <c r="K172" i="58"/>
  <c r="F172" i="58"/>
  <c r="L171" i="58"/>
  <c r="K171" i="58"/>
  <c r="F171" i="58"/>
  <c r="L170" i="58"/>
  <c r="K170" i="58"/>
  <c r="F170" i="58"/>
  <c r="I170" i="58" s="1"/>
  <c r="L169" i="58"/>
  <c r="K169" i="58"/>
  <c r="F169" i="58"/>
  <c r="I169" i="58" s="1"/>
  <c r="L168" i="58"/>
  <c r="K168" i="58"/>
  <c r="F168" i="58"/>
  <c r="L167" i="58"/>
  <c r="K167" i="58"/>
  <c r="F167" i="58"/>
  <c r="I167" i="58" s="1"/>
  <c r="L166" i="58"/>
  <c r="K166" i="58"/>
  <c r="F166" i="58"/>
  <c r="I166" i="58" s="1"/>
  <c r="L165" i="58"/>
  <c r="K165" i="58"/>
  <c r="F165" i="58"/>
  <c r="I165" i="58" s="1"/>
  <c r="L164" i="58"/>
  <c r="K164" i="58"/>
  <c r="F164" i="58"/>
  <c r="L163" i="58"/>
  <c r="K163" i="58"/>
  <c r="F163" i="58"/>
  <c r="I163" i="58" s="1"/>
  <c r="L162" i="58"/>
  <c r="K162" i="58"/>
  <c r="F162" i="58"/>
  <c r="I162" i="58" s="1"/>
  <c r="L161" i="58"/>
  <c r="K161" i="58"/>
  <c r="F161" i="58"/>
  <c r="I161" i="58" s="1"/>
  <c r="L160" i="58"/>
  <c r="K160" i="58"/>
  <c r="F160" i="58"/>
  <c r="L159" i="58"/>
  <c r="K159" i="58"/>
  <c r="F159" i="58"/>
  <c r="I159" i="58" s="1"/>
  <c r="L158" i="58"/>
  <c r="K158" i="58"/>
  <c r="F158" i="58"/>
  <c r="L157" i="58"/>
  <c r="K157" i="58"/>
  <c r="F157" i="58"/>
  <c r="I157" i="58" s="1"/>
  <c r="L156" i="58"/>
  <c r="K156" i="58"/>
  <c r="F156" i="58"/>
  <c r="L155" i="58"/>
  <c r="K155" i="58"/>
  <c r="F155" i="58"/>
  <c r="I155" i="58" s="1"/>
  <c r="L154" i="58"/>
  <c r="K154" i="58"/>
  <c r="F154" i="58"/>
  <c r="I154" i="58" s="1"/>
  <c r="L153" i="58"/>
  <c r="K153" i="58"/>
  <c r="F153" i="58"/>
  <c r="I153" i="58" s="1"/>
  <c r="L152" i="58"/>
  <c r="K152" i="58"/>
  <c r="F152" i="58"/>
  <c r="L151" i="58"/>
  <c r="K151" i="58"/>
  <c r="F151" i="58"/>
  <c r="I151" i="58" s="1"/>
  <c r="L150" i="58"/>
  <c r="K150" i="58"/>
  <c r="F150" i="58"/>
  <c r="I150" i="58" s="1"/>
  <c r="L149" i="58"/>
  <c r="K149" i="58"/>
  <c r="F149" i="58"/>
  <c r="I149" i="58" s="1"/>
  <c r="L148" i="58"/>
  <c r="K148" i="58"/>
  <c r="F148" i="58"/>
  <c r="L147" i="58"/>
  <c r="K147" i="58"/>
  <c r="F147" i="58"/>
  <c r="I147" i="58" s="1"/>
  <c r="L146" i="58"/>
  <c r="K146" i="58"/>
  <c r="F146" i="58"/>
  <c r="I146" i="58" s="1"/>
  <c r="L145" i="58"/>
  <c r="K145" i="58"/>
  <c r="F145" i="58"/>
  <c r="I145" i="58" s="1"/>
  <c r="L144" i="58"/>
  <c r="K144" i="58"/>
  <c r="F144" i="58"/>
  <c r="L143" i="58"/>
  <c r="K143" i="58"/>
  <c r="F143" i="58"/>
  <c r="I143" i="58" s="1"/>
  <c r="L142" i="58"/>
  <c r="K142" i="58"/>
  <c r="F142" i="58"/>
  <c r="I142" i="58" s="1"/>
  <c r="L141" i="58"/>
  <c r="K141" i="58"/>
  <c r="F141" i="58"/>
  <c r="L140" i="58"/>
  <c r="K140" i="58"/>
  <c r="F140" i="58"/>
  <c r="L139" i="58"/>
  <c r="K139" i="58"/>
  <c r="F139" i="58"/>
  <c r="L138" i="58"/>
  <c r="K138" i="58"/>
  <c r="F138" i="58"/>
  <c r="I138" i="58" s="1"/>
  <c r="L137" i="58"/>
  <c r="K137" i="58"/>
  <c r="F137" i="58"/>
  <c r="I137" i="58" s="1"/>
  <c r="L136" i="58"/>
  <c r="K136" i="58"/>
  <c r="F136" i="58"/>
  <c r="L135" i="58"/>
  <c r="K135" i="58"/>
  <c r="F135" i="58"/>
  <c r="L134" i="58"/>
  <c r="K134" i="58"/>
  <c r="F134" i="58"/>
  <c r="I134" i="58" s="1"/>
  <c r="L133" i="58"/>
  <c r="K133" i="58"/>
  <c r="F133" i="58"/>
  <c r="I133" i="58" s="1"/>
  <c r="L132" i="58"/>
  <c r="K132" i="58"/>
  <c r="F132" i="58"/>
  <c r="L131" i="58"/>
  <c r="K131" i="58"/>
  <c r="F131" i="58"/>
  <c r="I131" i="58" s="1"/>
  <c r="L130" i="58"/>
  <c r="K130" i="58"/>
  <c r="F130" i="58"/>
  <c r="I130" i="58" s="1"/>
  <c r="L129" i="58"/>
  <c r="K129" i="58"/>
  <c r="F129" i="58"/>
  <c r="I129" i="58" s="1"/>
  <c r="L128" i="58"/>
  <c r="K128" i="58"/>
  <c r="F128" i="58"/>
  <c r="L127" i="58"/>
  <c r="K127" i="58"/>
  <c r="F127" i="58"/>
  <c r="I127" i="58" s="1"/>
  <c r="L126" i="58"/>
  <c r="K126" i="58"/>
  <c r="F126" i="58"/>
  <c r="L125" i="58"/>
  <c r="K125" i="58"/>
  <c r="F125" i="58"/>
  <c r="I125" i="58" s="1"/>
  <c r="L124" i="58"/>
  <c r="K124" i="58"/>
  <c r="F124" i="58"/>
  <c r="L123" i="58"/>
  <c r="K123" i="58"/>
  <c r="F123" i="58"/>
  <c r="I123" i="58" s="1"/>
  <c r="L122" i="58"/>
  <c r="K122" i="58"/>
  <c r="F122" i="58"/>
  <c r="I122" i="58" s="1"/>
  <c r="L121" i="58"/>
  <c r="K121" i="58"/>
  <c r="F121" i="58"/>
  <c r="I121" i="58" s="1"/>
  <c r="L120" i="58"/>
  <c r="K120" i="58"/>
  <c r="F120" i="58"/>
  <c r="L119" i="58"/>
  <c r="K119" i="58"/>
  <c r="F119" i="58"/>
  <c r="I119" i="58" s="1"/>
  <c r="L118" i="58"/>
  <c r="K118" i="58"/>
  <c r="F118" i="58"/>
  <c r="I118" i="58" s="1"/>
  <c r="L117" i="58"/>
  <c r="K117" i="58"/>
  <c r="F117" i="58"/>
  <c r="I117" i="58" s="1"/>
  <c r="L116" i="58"/>
  <c r="K116" i="58"/>
  <c r="F116" i="58"/>
  <c r="L115" i="58"/>
  <c r="K115" i="58"/>
  <c r="F115" i="58"/>
  <c r="I115" i="58" s="1"/>
  <c r="L114" i="58"/>
  <c r="K114" i="58"/>
  <c r="F114" i="58"/>
  <c r="I114" i="58" s="1"/>
  <c r="L113" i="58"/>
  <c r="K113" i="58"/>
  <c r="F113" i="58"/>
  <c r="I113" i="58" s="1"/>
  <c r="L112" i="58"/>
  <c r="K112" i="58"/>
  <c r="F112" i="58"/>
  <c r="L111" i="58"/>
  <c r="K111" i="58"/>
  <c r="F111" i="58"/>
  <c r="I111" i="58" s="1"/>
  <c r="L110" i="58"/>
  <c r="K110" i="58"/>
  <c r="F110" i="58"/>
  <c r="I110" i="58" s="1"/>
  <c r="L109" i="58"/>
  <c r="K109" i="58"/>
  <c r="F109" i="58"/>
  <c r="L108" i="58"/>
  <c r="K108" i="58"/>
  <c r="F108" i="58"/>
  <c r="L107" i="58"/>
  <c r="K107" i="58"/>
  <c r="F107" i="58"/>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I112" i="58"/>
  <c r="X120" i="58"/>
  <c r="I120" i="58"/>
  <c r="X128" i="58"/>
  <c r="I128" i="58"/>
  <c r="X136" i="58"/>
  <c r="I136" i="58"/>
  <c r="X144" i="58"/>
  <c r="I144" i="58"/>
  <c r="X152" i="58"/>
  <c r="I152" i="58"/>
  <c r="X160" i="58"/>
  <c r="I160" i="58"/>
  <c r="X168" i="58"/>
  <c r="I168" i="58"/>
  <c r="X91" i="58"/>
  <c r="I91" i="58"/>
  <c r="X107" i="58"/>
  <c r="I107" i="58"/>
  <c r="X139" i="58"/>
  <c r="I139" i="58"/>
  <c r="X171" i="58"/>
  <c r="I171" i="58"/>
  <c r="X187" i="58"/>
  <c r="I187" i="58"/>
  <c r="X203" i="58"/>
  <c r="I203" i="58"/>
  <c r="X219" i="58"/>
  <c r="I219" i="58"/>
  <c r="X235" i="58"/>
  <c r="I235" i="58"/>
  <c r="X251" i="58"/>
  <c r="I251" i="58"/>
  <c r="X126" i="58"/>
  <c r="I126" i="58"/>
  <c r="X158" i="58"/>
  <c r="I158" i="58"/>
  <c r="X190" i="58"/>
  <c r="I190" i="58"/>
  <c r="X108" i="58"/>
  <c r="I108" i="58"/>
  <c r="X116" i="58"/>
  <c r="I116" i="58"/>
  <c r="X124" i="58"/>
  <c r="I124" i="58"/>
  <c r="X132" i="58"/>
  <c r="I132" i="58"/>
  <c r="X140" i="58"/>
  <c r="I140" i="58"/>
  <c r="X148" i="58"/>
  <c r="I148" i="58"/>
  <c r="X156" i="58"/>
  <c r="I156" i="58"/>
  <c r="X164" i="58"/>
  <c r="I164" i="58"/>
  <c r="X172" i="58"/>
  <c r="I172" i="58"/>
  <c r="X180" i="58"/>
  <c r="I180" i="58"/>
  <c r="X196" i="58"/>
  <c r="I196" i="58"/>
  <c r="X212" i="58"/>
  <c r="I212" i="58"/>
  <c r="X228" i="58"/>
  <c r="I228" i="58"/>
  <c r="X244" i="58"/>
  <c r="I244" i="58"/>
  <c r="X135" i="58"/>
  <c r="I135" i="58"/>
  <c r="X21" i="58"/>
  <c r="I21" i="58"/>
  <c r="X37" i="58"/>
  <c r="I37" i="58"/>
  <c r="X53" i="58"/>
  <c r="I53" i="58"/>
  <c r="X69" i="58"/>
  <c r="I69" i="58"/>
  <c r="X109" i="58"/>
  <c r="I109" i="58"/>
  <c r="X141" i="58"/>
  <c r="I141" i="58"/>
  <c r="X173" i="58"/>
  <c r="I173" i="58"/>
  <c r="X181" i="58"/>
  <c r="I181" i="58"/>
  <c r="X189" i="58"/>
  <c r="I189" i="58"/>
  <c r="X197" i="58"/>
  <c r="I197" i="58"/>
  <c r="X205" i="58"/>
  <c r="I205" i="58"/>
  <c r="X213" i="58"/>
  <c r="I213" i="58"/>
  <c r="X221" i="58"/>
  <c r="I221" i="58"/>
  <c r="X229" i="58"/>
  <c r="I229" i="58"/>
  <c r="X237" i="58"/>
  <c r="I237" i="58"/>
  <c r="X245" i="58"/>
  <c r="I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X148" i="22" s="1"/>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X150" i="22" s="1"/>
  <c r="Y114" i="58"/>
  <c r="Y90" i="58"/>
  <c r="Y151" i="58"/>
  <c r="Y209" i="58"/>
  <c r="Y146" i="58"/>
  <c r="Y193" i="58"/>
  <c r="Y103" i="58"/>
  <c r="Y57" i="58"/>
  <c r="Y41" i="58"/>
  <c r="Y118" i="58"/>
  <c r="Y253" i="58"/>
  <c r="Y25" i="58"/>
  <c r="Y97" i="58"/>
  <c r="Y236" i="58"/>
  <c r="Y142" i="58"/>
  <c r="Y159" i="58"/>
  <c r="Y169" i="58"/>
  <c r="Y206" i="58"/>
  <c r="Y14" i="58"/>
  <c r="Y16" i="58"/>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Y15" i="58" l="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B2" i="58"/>
  <c r="E260" i="58"/>
  <c r="B3" i="58"/>
  <c r="F11" i="55"/>
  <c r="I11" i="55" s="1"/>
  <c r="F12" i="55"/>
  <c r="I12" i="55" s="1"/>
  <c r="F13" i="55"/>
  <c r="I13" i="55" s="1"/>
  <c r="F14" i="55"/>
  <c r="I14" i="55" s="1"/>
  <c r="F15" i="55"/>
  <c r="I15" i="55" s="1"/>
  <c r="F16" i="55"/>
  <c r="I16" i="55" s="1"/>
  <c r="F17" i="55"/>
  <c r="I17" i="55" s="1"/>
  <c r="F18" i="55"/>
  <c r="I18" i="55" s="1"/>
  <c r="F19" i="55"/>
  <c r="I19" i="55" s="1"/>
  <c r="F20" i="55"/>
  <c r="I20" i="55" s="1"/>
  <c r="F21" i="55"/>
  <c r="I21" i="55" s="1"/>
  <c r="F22" i="55"/>
  <c r="I22" i="55" s="1"/>
  <c r="F23" i="55"/>
  <c r="I23" i="55" s="1"/>
  <c r="F24" i="55"/>
  <c r="I24" i="55" s="1"/>
  <c r="F25" i="55"/>
  <c r="I25" i="55" s="1"/>
  <c r="F26" i="55"/>
  <c r="I26" i="55" s="1"/>
  <c r="F27" i="55"/>
  <c r="I27" i="55" s="1"/>
  <c r="F28" i="55"/>
  <c r="I28" i="55" s="1"/>
  <c r="F29" i="55"/>
  <c r="I29" i="55" s="1"/>
  <c r="F30" i="55"/>
  <c r="I30" i="55" s="1"/>
  <c r="F31" i="55"/>
  <c r="I31" i="55" s="1"/>
  <c r="F32" i="55"/>
  <c r="I32" i="55" s="1"/>
  <c r="F33" i="55"/>
  <c r="I33" i="55" s="1"/>
  <c r="F34" i="55"/>
  <c r="I34" i="55" s="1"/>
  <c r="F35" i="55"/>
  <c r="I35" i="55" s="1"/>
  <c r="F36" i="55"/>
  <c r="I36" i="55" s="1"/>
  <c r="F37" i="55"/>
  <c r="I37" i="55" s="1"/>
  <c r="F38" i="55"/>
  <c r="I38" i="55" s="1"/>
  <c r="F39" i="55"/>
  <c r="I39" i="55" s="1"/>
  <c r="F40" i="55"/>
  <c r="I40" i="55" s="1"/>
  <c r="F41" i="55"/>
  <c r="I41" i="55" s="1"/>
  <c r="F42" i="55"/>
  <c r="I42" i="55" s="1"/>
  <c r="F43" i="55"/>
  <c r="I43" i="55" s="1"/>
  <c r="F44" i="55"/>
  <c r="I44" i="55" s="1"/>
  <c r="F45" i="55"/>
  <c r="I45" i="55" s="1"/>
  <c r="F46" i="55"/>
  <c r="I46" i="55" s="1"/>
  <c r="F47" i="55"/>
  <c r="I47" i="55" s="1"/>
  <c r="F48" i="55"/>
  <c r="I48" i="55" s="1"/>
  <c r="F49" i="55"/>
  <c r="I49" i="55" s="1"/>
  <c r="F50" i="55"/>
  <c r="I50" i="55" s="1"/>
  <c r="F51" i="55"/>
  <c r="I51" i="55" s="1"/>
  <c r="F52" i="55"/>
  <c r="I52" i="55" s="1"/>
  <c r="F53" i="55"/>
  <c r="I53" i="55" s="1"/>
  <c r="F54" i="55"/>
  <c r="I54" i="55" s="1"/>
  <c r="F55" i="55"/>
  <c r="I55" i="55" s="1"/>
  <c r="F56" i="55"/>
  <c r="I56" i="55" s="1"/>
  <c r="F57" i="55"/>
  <c r="I57" i="55" s="1"/>
  <c r="F58" i="55"/>
  <c r="I58" i="55" s="1"/>
  <c r="F59" i="55"/>
  <c r="I59" i="55" s="1"/>
  <c r="F60" i="55"/>
  <c r="I60" i="55" s="1"/>
  <c r="F61" i="55"/>
  <c r="I61" i="55" s="1"/>
  <c r="F62" i="55"/>
  <c r="I62" i="55" s="1"/>
  <c r="F63" i="55"/>
  <c r="I63" i="55" s="1"/>
  <c r="F64" i="55"/>
  <c r="I64" i="55" s="1"/>
  <c r="F65" i="55"/>
  <c r="I65" i="55" s="1"/>
  <c r="F66" i="55"/>
  <c r="I66" i="55" s="1"/>
  <c r="F67" i="55"/>
  <c r="I67" i="55" s="1"/>
  <c r="F68" i="55"/>
  <c r="I68" i="55" s="1"/>
  <c r="F69" i="55"/>
  <c r="I69" i="55" s="1"/>
  <c r="F70" i="55"/>
  <c r="I70" i="55" s="1"/>
  <c r="F71" i="55"/>
  <c r="I71" i="55" s="1"/>
  <c r="F72" i="55"/>
  <c r="I72" i="55" s="1"/>
  <c r="F73" i="55"/>
  <c r="I73" i="55" s="1"/>
  <c r="F74" i="55"/>
  <c r="I74" i="55" s="1"/>
  <c r="F75" i="55"/>
  <c r="I75" i="55" s="1"/>
  <c r="F76" i="55"/>
  <c r="I76" i="55" s="1"/>
  <c r="F77" i="55"/>
  <c r="I77" i="55" s="1"/>
  <c r="F78" i="55"/>
  <c r="I78" i="55" s="1"/>
  <c r="F79" i="55"/>
  <c r="I79" i="55" s="1"/>
  <c r="F80" i="55"/>
  <c r="I80" i="55" s="1"/>
  <c r="F81" i="55"/>
  <c r="I81" i="55" s="1"/>
  <c r="F82" i="55"/>
  <c r="I82" i="55" s="1"/>
  <c r="F83" i="55"/>
  <c r="I83" i="55" s="1"/>
  <c r="F84" i="55"/>
  <c r="I84" i="55" s="1"/>
  <c r="F85" i="55"/>
  <c r="I85" i="55" s="1"/>
  <c r="F86" i="55"/>
  <c r="I86" i="55" s="1"/>
  <c r="F87" i="55"/>
  <c r="I87" i="55" s="1"/>
  <c r="F88" i="55"/>
  <c r="I88" i="55" s="1"/>
  <c r="F89" i="55"/>
  <c r="I89" i="55" s="1"/>
  <c r="F90" i="55"/>
  <c r="I90" i="55" s="1"/>
  <c r="F91" i="55"/>
  <c r="I91" i="55" s="1"/>
  <c r="F92" i="55"/>
  <c r="I92" i="55" s="1"/>
  <c r="F93" i="55"/>
  <c r="I93" i="55" s="1"/>
  <c r="F94" i="55"/>
  <c r="I94" i="55" s="1"/>
  <c r="F95" i="55"/>
  <c r="I95" i="55" s="1"/>
  <c r="F96" i="55"/>
  <c r="I96" i="55" s="1"/>
  <c r="F97" i="55"/>
  <c r="I97" i="55" s="1"/>
  <c r="F98" i="55"/>
  <c r="I98" i="55" s="1"/>
  <c r="F99" i="55"/>
  <c r="I99" i="55" s="1"/>
  <c r="F100" i="55"/>
  <c r="I100" i="55" s="1"/>
  <c r="F101" i="55"/>
  <c r="I101" i="55" s="1"/>
  <c r="F102" i="55"/>
  <c r="I102" i="55" s="1"/>
  <c r="F103" i="55"/>
  <c r="I103" i="55" s="1"/>
  <c r="F104" i="55"/>
  <c r="I104" i="55" s="1"/>
  <c r="F105" i="55"/>
  <c r="I105" i="55" s="1"/>
  <c r="F106" i="55"/>
  <c r="I106" i="55" s="1"/>
  <c r="F107" i="55"/>
  <c r="I107" i="55" s="1"/>
  <c r="F108" i="55"/>
  <c r="I108" i="55" s="1"/>
  <c r="F109" i="55"/>
  <c r="I109" i="55" s="1"/>
  <c r="F110" i="55"/>
  <c r="I110" i="55" s="1"/>
  <c r="F111" i="55"/>
  <c r="I111" i="55" s="1"/>
  <c r="F112" i="55"/>
  <c r="I112" i="55" s="1"/>
  <c r="F113" i="55"/>
  <c r="I113" i="55" s="1"/>
  <c r="F114" i="55"/>
  <c r="I114" i="55" s="1"/>
  <c r="F115" i="55"/>
  <c r="I115" i="55" s="1"/>
  <c r="F116" i="55"/>
  <c r="I116" i="55" s="1"/>
  <c r="F117" i="55"/>
  <c r="I117" i="55" s="1"/>
  <c r="F118" i="55"/>
  <c r="I118" i="55" s="1"/>
  <c r="F119" i="55"/>
  <c r="I119" i="55" s="1"/>
  <c r="F120" i="55"/>
  <c r="I120" i="55" s="1"/>
  <c r="F121" i="55"/>
  <c r="I121" i="55" s="1"/>
  <c r="F122" i="55"/>
  <c r="I122" i="55" s="1"/>
  <c r="F123" i="55"/>
  <c r="I123" i="55" s="1"/>
  <c r="F124" i="55"/>
  <c r="I124" i="55" s="1"/>
  <c r="F125" i="55"/>
  <c r="I125" i="55" s="1"/>
  <c r="F126" i="55"/>
  <c r="I126" i="55" s="1"/>
  <c r="F127" i="55"/>
  <c r="I127" i="55" s="1"/>
  <c r="F128" i="55"/>
  <c r="I128" i="55" s="1"/>
  <c r="F129" i="55"/>
  <c r="I129" i="55" s="1"/>
  <c r="F130" i="55"/>
  <c r="I130" i="55" s="1"/>
  <c r="F131" i="55"/>
  <c r="I131" i="55" s="1"/>
  <c r="F132" i="55"/>
  <c r="I132" i="55" s="1"/>
  <c r="F133" i="55"/>
  <c r="I133" i="55" s="1"/>
  <c r="F134" i="55"/>
  <c r="I134" i="55" s="1"/>
  <c r="F135" i="55"/>
  <c r="I135" i="55" s="1"/>
  <c r="F136" i="55"/>
  <c r="I136" i="55" s="1"/>
  <c r="F137" i="55"/>
  <c r="I137" i="55" s="1"/>
  <c r="F138" i="55"/>
  <c r="I138" i="55" s="1"/>
  <c r="F139" i="55"/>
  <c r="I139" i="55" s="1"/>
  <c r="F140" i="55"/>
  <c r="I140" i="55" s="1"/>
  <c r="F141" i="55"/>
  <c r="I141" i="55" s="1"/>
  <c r="F142" i="55"/>
  <c r="I142" i="55" s="1"/>
  <c r="F143" i="55"/>
  <c r="I143" i="55" s="1"/>
  <c r="F144" i="55"/>
  <c r="I144" i="55" s="1"/>
  <c r="F145" i="55"/>
  <c r="I145" i="55" s="1"/>
  <c r="F146" i="55"/>
  <c r="I146" i="55" s="1"/>
  <c r="F147" i="55"/>
  <c r="I147" i="55" s="1"/>
  <c r="F148" i="55"/>
  <c r="I148" i="55" s="1"/>
  <c r="F149" i="55"/>
  <c r="I149" i="55" s="1"/>
  <c r="F150" i="55"/>
  <c r="I150" i="55" s="1"/>
  <c r="F151" i="55"/>
  <c r="I151" i="55" s="1"/>
  <c r="F152" i="55"/>
  <c r="I152" i="55" s="1"/>
  <c r="F153" i="55"/>
  <c r="I153" i="55" s="1"/>
  <c r="F154" i="55"/>
  <c r="I154" i="55" s="1"/>
  <c r="F155" i="55"/>
  <c r="I155" i="55" s="1"/>
  <c r="F156" i="55"/>
  <c r="I156" i="55" s="1"/>
  <c r="F157" i="55"/>
  <c r="I157" i="55" s="1"/>
  <c r="F158" i="55"/>
  <c r="I158" i="55" s="1"/>
  <c r="F159" i="55"/>
  <c r="I159" i="55" s="1"/>
  <c r="F160" i="55"/>
  <c r="I160" i="55" s="1"/>
  <c r="F161" i="55"/>
  <c r="I161" i="55" s="1"/>
  <c r="F162" i="55"/>
  <c r="I162" i="55" s="1"/>
  <c r="F163" i="55"/>
  <c r="I163" i="55" s="1"/>
  <c r="F164" i="55"/>
  <c r="I164" i="55" s="1"/>
  <c r="F165" i="55"/>
  <c r="I165" i="55" s="1"/>
  <c r="F166" i="55"/>
  <c r="I166" i="55" s="1"/>
  <c r="F167" i="55"/>
  <c r="I167" i="55" s="1"/>
  <c r="F168" i="55"/>
  <c r="I168" i="55" s="1"/>
  <c r="F169" i="55"/>
  <c r="I169" i="55" s="1"/>
  <c r="F170" i="55"/>
  <c r="I170" i="55" s="1"/>
  <c r="F171" i="55"/>
  <c r="I171" i="55" s="1"/>
  <c r="F172" i="55"/>
  <c r="I172" i="55" s="1"/>
  <c r="F173" i="55"/>
  <c r="I173" i="55" s="1"/>
  <c r="F174" i="55"/>
  <c r="I174" i="55" s="1"/>
  <c r="F175" i="55"/>
  <c r="I175" i="55" s="1"/>
  <c r="F176" i="55"/>
  <c r="I176" i="55" s="1"/>
  <c r="F177" i="55"/>
  <c r="I177" i="55" s="1"/>
  <c r="F178" i="55"/>
  <c r="I178" i="55" s="1"/>
  <c r="F179" i="55"/>
  <c r="I179" i="55" s="1"/>
  <c r="F180" i="55"/>
  <c r="I180" i="55" s="1"/>
  <c r="F181" i="55"/>
  <c r="I181" i="55" s="1"/>
  <c r="F182" i="55"/>
  <c r="I182" i="55" s="1"/>
  <c r="F183" i="55"/>
  <c r="I183" i="55" s="1"/>
  <c r="F184" i="55"/>
  <c r="I184" i="55" s="1"/>
  <c r="F185" i="55"/>
  <c r="I185" i="55" s="1"/>
  <c r="F186" i="55"/>
  <c r="I186" i="55" s="1"/>
  <c r="F187" i="55"/>
  <c r="I187" i="55" s="1"/>
  <c r="F188" i="55"/>
  <c r="I188" i="55" s="1"/>
  <c r="F189" i="55"/>
  <c r="I189" i="55" s="1"/>
  <c r="F190" i="55"/>
  <c r="I190" i="55" s="1"/>
  <c r="F191" i="55"/>
  <c r="I191" i="55" s="1"/>
  <c r="F192" i="55"/>
  <c r="I192" i="55" s="1"/>
  <c r="F193" i="55"/>
  <c r="I193" i="55" s="1"/>
  <c r="F194" i="55"/>
  <c r="I194" i="55" s="1"/>
  <c r="F195" i="55"/>
  <c r="I195" i="55" s="1"/>
  <c r="F196" i="55"/>
  <c r="I196" i="55" s="1"/>
  <c r="F197" i="55"/>
  <c r="I197" i="55" s="1"/>
  <c r="F198" i="55"/>
  <c r="I198" i="55" s="1"/>
  <c r="F199" i="55"/>
  <c r="I199" i="55" s="1"/>
  <c r="F200" i="55"/>
  <c r="I200" i="55" s="1"/>
  <c r="F201" i="55"/>
  <c r="I201" i="55" s="1"/>
  <c r="F202" i="55"/>
  <c r="I202" i="55" s="1"/>
  <c r="F203" i="55"/>
  <c r="I203" i="55" s="1"/>
  <c r="F204" i="55"/>
  <c r="I204" i="55" s="1"/>
  <c r="F205" i="55"/>
  <c r="I205" i="55" s="1"/>
  <c r="F206" i="55"/>
  <c r="I206" i="55" s="1"/>
  <c r="F207" i="55"/>
  <c r="I207" i="55" s="1"/>
  <c r="F208" i="55"/>
  <c r="I208" i="55" s="1"/>
  <c r="F209" i="55"/>
  <c r="I209" i="55" s="1"/>
  <c r="F210" i="55"/>
  <c r="I210" i="55" s="1"/>
  <c r="F211" i="55"/>
  <c r="I211" i="55" s="1"/>
  <c r="F212" i="55"/>
  <c r="I212" i="55" s="1"/>
  <c r="F213" i="55"/>
  <c r="I213" i="55" s="1"/>
  <c r="F214" i="55"/>
  <c r="I214" i="55" s="1"/>
  <c r="F215" i="55"/>
  <c r="I215" i="55" s="1"/>
  <c r="F216" i="55"/>
  <c r="I216" i="55" s="1"/>
  <c r="F217" i="55"/>
  <c r="I217" i="55" s="1"/>
  <c r="F218" i="55"/>
  <c r="I218" i="55" s="1"/>
  <c r="F219" i="55"/>
  <c r="I219" i="55" s="1"/>
  <c r="F220" i="55"/>
  <c r="I220" i="55" s="1"/>
  <c r="F221" i="55"/>
  <c r="I221" i="55" s="1"/>
  <c r="F222" i="55"/>
  <c r="I222" i="55" s="1"/>
  <c r="F223" i="55"/>
  <c r="I223" i="55" s="1"/>
  <c r="F224" i="55"/>
  <c r="I224" i="55" s="1"/>
  <c r="F225" i="55"/>
  <c r="I225" i="55" s="1"/>
  <c r="F226" i="55"/>
  <c r="I226" i="55" s="1"/>
  <c r="F227" i="55"/>
  <c r="I227" i="55" s="1"/>
  <c r="F228" i="55"/>
  <c r="I228" i="55" s="1"/>
  <c r="F229" i="55"/>
  <c r="I229" i="55" s="1"/>
  <c r="F230" i="55"/>
  <c r="I230" i="55" s="1"/>
  <c r="F231" i="55"/>
  <c r="I231" i="55" s="1"/>
  <c r="F232" i="55"/>
  <c r="I232" i="55" s="1"/>
  <c r="F233" i="55"/>
  <c r="I233" i="55" s="1"/>
  <c r="F234" i="55"/>
  <c r="I234" i="55" s="1"/>
  <c r="F235" i="55"/>
  <c r="I235" i="55" s="1"/>
  <c r="F236" i="55"/>
  <c r="I236" i="55" s="1"/>
  <c r="F237" i="55"/>
  <c r="I237" i="55" s="1"/>
  <c r="F238" i="55"/>
  <c r="I238" i="55" s="1"/>
  <c r="F239" i="55"/>
  <c r="I239" i="55" s="1"/>
  <c r="F240" i="55"/>
  <c r="I240" i="55" s="1"/>
  <c r="F241" i="55"/>
  <c r="I241" i="55" s="1"/>
  <c r="F242" i="55"/>
  <c r="I242" i="55" s="1"/>
  <c r="F243" i="55"/>
  <c r="I243" i="55" s="1"/>
  <c r="F244" i="55"/>
  <c r="I244" i="55" s="1"/>
  <c r="F245" i="55"/>
  <c r="I245" i="55" s="1"/>
  <c r="F246" i="55"/>
  <c r="I246" i="55" s="1"/>
  <c r="F247" i="55"/>
  <c r="I247" i="55" s="1"/>
  <c r="F248" i="55"/>
  <c r="I248" i="55" s="1"/>
  <c r="F249" i="55"/>
  <c r="I249" i="55" s="1"/>
  <c r="F250" i="55"/>
  <c r="I250" i="55" s="1"/>
  <c r="F251" i="55"/>
  <c r="I251" i="55" s="1"/>
  <c r="F252" i="55"/>
  <c r="I252" i="55" s="1"/>
  <c r="F253" i="55"/>
  <c r="I253" i="55" s="1"/>
  <c r="F254" i="55"/>
  <c r="I254" i="55" s="1"/>
  <c r="F255" i="55"/>
  <c r="I255" i="55" s="1"/>
  <c r="F256" i="55"/>
  <c r="I256" i="55" s="1"/>
  <c r="F257" i="55"/>
  <c r="I257" i="55" s="1"/>
  <c r="B2" i="55"/>
  <c r="Q258" i="55"/>
  <c r="P258" i="55"/>
  <c r="E258" i="55"/>
  <c r="AF257" i="55"/>
  <c r="AE257" i="55"/>
  <c r="AF256" i="55"/>
  <c r="AE256" i="55"/>
  <c r="AF255" i="55"/>
  <c r="AE255" i="55"/>
  <c r="AF254" i="55"/>
  <c r="AE254" i="55"/>
  <c r="AF253" i="55"/>
  <c r="AE253" i="55"/>
  <c r="AF252" i="55"/>
  <c r="AE252" i="55"/>
  <c r="AF251" i="55"/>
  <c r="AE251" i="55"/>
  <c r="AF250" i="55"/>
  <c r="AE250" i="55"/>
  <c r="AF249" i="55"/>
  <c r="AE249" i="55"/>
  <c r="AF248" i="55"/>
  <c r="AE248" i="55"/>
  <c r="AF247" i="55"/>
  <c r="AE247" i="55"/>
  <c r="AF246" i="55"/>
  <c r="AE246" i="55"/>
  <c r="AF245" i="55"/>
  <c r="AE245" i="55"/>
  <c r="AF244" i="55"/>
  <c r="AE244" i="55"/>
  <c r="AF243" i="55"/>
  <c r="AE243" i="55"/>
  <c r="AF242" i="55"/>
  <c r="AE242" i="55"/>
  <c r="AF241" i="55"/>
  <c r="AE241" i="55"/>
  <c r="AF240" i="55"/>
  <c r="AE240" i="55"/>
  <c r="AF239" i="55"/>
  <c r="AE239" i="55"/>
  <c r="AF238" i="55"/>
  <c r="AE238" i="55"/>
  <c r="AF237" i="55"/>
  <c r="AE237" i="55"/>
  <c r="AF236" i="55"/>
  <c r="AE236" i="55"/>
  <c r="AF235" i="55"/>
  <c r="AE235" i="55"/>
  <c r="AF234" i="55"/>
  <c r="AE234" i="55"/>
  <c r="AF233" i="55"/>
  <c r="AE233" i="55"/>
  <c r="AF232" i="55"/>
  <c r="AE232" i="55"/>
  <c r="AF231" i="55"/>
  <c r="AE231" i="55"/>
  <c r="AF230" i="55"/>
  <c r="AE230" i="55"/>
  <c r="AF229" i="55"/>
  <c r="AE229" i="55"/>
  <c r="AF228" i="55"/>
  <c r="AE228" i="55"/>
  <c r="AF227" i="55"/>
  <c r="AE227" i="55"/>
  <c r="AF226" i="55"/>
  <c r="AE226" i="55"/>
  <c r="AF225" i="55"/>
  <c r="AE225" i="55"/>
  <c r="AF224" i="55"/>
  <c r="AE224" i="55"/>
  <c r="AF223" i="55"/>
  <c r="AE223" i="55"/>
  <c r="AF222" i="55"/>
  <c r="AE222" i="55"/>
  <c r="AF221" i="55"/>
  <c r="AE221" i="55"/>
  <c r="AF220" i="55"/>
  <c r="AE220" i="55"/>
  <c r="AF219" i="55"/>
  <c r="AE219" i="55"/>
  <c r="AF218" i="55"/>
  <c r="AE218" i="55"/>
  <c r="AF217" i="55"/>
  <c r="AE217" i="55"/>
  <c r="AF216" i="55"/>
  <c r="AE216" i="55"/>
  <c r="AF215" i="55"/>
  <c r="AE215" i="55"/>
  <c r="AF214" i="55"/>
  <c r="AE214" i="55"/>
  <c r="AF213" i="55"/>
  <c r="AE213" i="55"/>
  <c r="AF212" i="55"/>
  <c r="AE212" i="55"/>
  <c r="AF211" i="55"/>
  <c r="AE211" i="55"/>
  <c r="AF210" i="55"/>
  <c r="AE210" i="55"/>
  <c r="AF209" i="55"/>
  <c r="AE209" i="55"/>
  <c r="AF208" i="55"/>
  <c r="AE208" i="55"/>
  <c r="AF207" i="55"/>
  <c r="AE207" i="55"/>
  <c r="AF206" i="55"/>
  <c r="AE206" i="55"/>
  <c r="AF205" i="55"/>
  <c r="AE205" i="55"/>
  <c r="AF204" i="55"/>
  <c r="AE204" i="55"/>
  <c r="AF203" i="55"/>
  <c r="AE203" i="55"/>
  <c r="AF202" i="55"/>
  <c r="AE202" i="55"/>
  <c r="AF201" i="55"/>
  <c r="AE201" i="55"/>
  <c r="AF200" i="55"/>
  <c r="AE200" i="55"/>
  <c r="AF199" i="55"/>
  <c r="AE199" i="55"/>
  <c r="AF198" i="55"/>
  <c r="AE198" i="55"/>
  <c r="AF197" i="55"/>
  <c r="AE197" i="55"/>
  <c r="AF196" i="55"/>
  <c r="AE196" i="55"/>
  <c r="AF195" i="55"/>
  <c r="AE195" i="55"/>
  <c r="AF194" i="55"/>
  <c r="AE194" i="55"/>
  <c r="AF193" i="55"/>
  <c r="AE193" i="55"/>
  <c r="AF192" i="55"/>
  <c r="AE192" i="55"/>
  <c r="AF191" i="55"/>
  <c r="AE191" i="55"/>
  <c r="AF190" i="55"/>
  <c r="AE190" i="55"/>
  <c r="AF189" i="55"/>
  <c r="AE189" i="55"/>
  <c r="AF188" i="55"/>
  <c r="AE188" i="55"/>
  <c r="AF187" i="55"/>
  <c r="AE187" i="55"/>
  <c r="AF186" i="55"/>
  <c r="AE186" i="55"/>
  <c r="AF185" i="55"/>
  <c r="AE185" i="55"/>
  <c r="AF184" i="55"/>
  <c r="AE184" i="55"/>
  <c r="AF183" i="55"/>
  <c r="AE183" i="55"/>
  <c r="AF182" i="55"/>
  <c r="AE182" i="55"/>
  <c r="AF181" i="55"/>
  <c r="AE181" i="55"/>
  <c r="AF180" i="55"/>
  <c r="AE180" i="55"/>
  <c r="AF179" i="55"/>
  <c r="AE179" i="55"/>
  <c r="AF178" i="55"/>
  <c r="AE178" i="55"/>
  <c r="AF177" i="55"/>
  <c r="AE177" i="55"/>
  <c r="AF176" i="55"/>
  <c r="AE176" i="55"/>
  <c r="AF175" i="55"/>
  <c r="AE175" i="55"/>
  <c r="AF174" i="55"/>
  <c r="AE174" i="55"/>
  <c r="AF173" i="55"/>
  <c r="AE173" i="55"/>
  <c r="AF172" i="55"/>
  <c r="AE172" i="55"/>
  <c r="AF171" i="55"/>
  <c r="AE171" i="55"/>
  <c r="AF170" i="55"/>
  <c r="AE170" i="55"/>
  <c r="AF169" i="55"/>
  <c r="AE169" i="55"/>
  <c r="AF168" i="55"/>
  <c r="AE168" i="55"/>
  <c r="AF167" i="55"/>
  <c r="AE167" i="55"/>
  <c r="AF166" i="55"/>
  <c r="AE166" i="55"/>
  <c r="AF165" i="55"/>
  <c r="AE165" i="55"/>
  <c r="AF164" i="55"/>
  <c r="AE164" i="55"/>
  <c r="AF163" i="55"/>
  <c r="AE163" i="55"/>
  <c r="AF162" i="55"/>
  <c r="AE162" i="55"/>
  <c r="AF161" i="55"/>
  <c r="AE161" i="55"/>
  <c r="AF160" i="55"/>
  <c r="AE160" i="55"/>
  <c r="AF159" i="55"/>
  <c r="AE159" i="55"/>
  <c r="AF158" i="55"/>
  <c r="AE158" i="55"/>
  <c r="AF157" i="55"/>
  <c r="AE157" i="55"/>
  <c r="AF156" i="55"/>
  <c r="AE156" i="55"/>
  <c r="AF155" i="55"/>
  <c r="AE155" i="55"/>
  <c r="AF154" i="55"/>
  <c r="AE154" i="55"/>
  <c r="AF153" i="55"/>
  <c r="AE153" i="55"/>
  <c r="AF152" i="55"/>
  <c r="AE152" i="55"/>
  <c r="AF151" i="55"/>
  <c r="AE151" i="55"/>
  <c r="AF150" i="55"/>
  <c r="AE150" i="55"/>
  <c r="AF149" i="55"/>
  <c r="AE149" i="55"/>
  <c r="AF148" i="55"/>
  <c r="AE148" i="55"/>
  <c r="AF147" i="55"/>
  <c r="AE147" i="55"/>
  <c r="AF146" i="55"/>
  <c r="AE146" i="55"/>
  <c r="AF145" i="55"/>
  <c r="AE145" i="55"/>
  <c r="AF144" i="55"/>
  <c r="AE144" i="55"/>
  <c r="AF143" i="55"/>
  <c r="AE143" i="55"/>
  <c r="AF142" i="55"/>
  <c r="AE142" i="55"/>
  <c r="AF141" i="55"/>
  <c r="AE141" i="55"/>
  <c r="AF140" i="55"/>
  <c r="AE140" i="55"/>
  <c r="AF139" i="55"/>
  <c r="AE139" i="55"/>
  <c r="AF138" i="55"/>
  <c r="AE138" i="55"/>
  <c r="AF137" i="55"/>
  <c r="AE137" i="55"/>
  <c r="AF136" i="55"/>
  <c r="AE136" i="55"/>
  <c r="AF135" i="55"/>
  <c r="AE135" i="55"/>
  <c r="AF134" i="55"/>
  <c r="AE134" i="55"/>
  <c r="AF133" i="55"/>
  <c r="AE133" i="55"/>
  <c r="AF132" i="55"/>
  <c r="AE132" i="55"/>
  <c r="AF131" i="55"/>
  <c r="AE131" i="55"/>
  <c r="AF130" i="55"/>
  <c r="AE130" i="55"/>
  <c r="AF129" i="55"/>
  <c r="AE129" i="55"/>
  <c r="AF128" i="55"/>
  <c r="AE128" i="55"/>
  <c r="AF127" i="55"/>
  <c r="AE127" i="55"/>
  <c r="AF126" i="55"/>
  <c r="AE126" i="55"/>
  <c r="AF125" i="55"/>
  <c r="AE125" i="55"/>
  <c r="AF124" i="55"/>
  <c r="AE124" i="55"/>
  <c r="AF123" i="55"/>
  <c r="AE123" i="55"/>
  <c r="AF122" i="55"/>
  <c r="AE122" i="55"/>
  <c r="AF121" i="55"/>
  <c r="AE121" i="55"/>
  <c r="AF120" i="55"/>
  <c r="AE120" i="55"/>
  <c r="AF119" i="55"/>
  <c r="AE119" i="55"/>
  <c r="AF118" i="55"/>
  <c r="AE118" i="55"/>
  <c r="AF117" i="55"/>
  <c r="AE117" i="55"/>
  <c r="AF116" i="55"/>
  <c r="AE116" i="55"/>
  <c r="AF115" i="55"/>
  <c r="AE115" i="55"/>
  <c r="AF114" i="55"/>
  <c r="AE114" i="55"/>
  <c r="AF113" i="55"/>
  <c r="AE113" i="55"/>
  <c r="AF112" i="55"/>
  <c r="AE112" i="55"/>
  <c r="AF111" i="55"/>
  <c r="AE111" i="55"/>
  <c r="AF110" i="55"/>
  <c r="AE110" i="55"/>
  <c r="AF109" i="55"/>
  <c r="AE109" i="55"/>
  <c r="AF108" i="55"/>
  <c r="AE108" i="55"/>
  <c r="AF107" i="55"/>
  <c r="AE107" i="55"/>
  <c r="AF106" i="55"/>
  <c r="AE106" i="55"/>
  <c r="AF105" i="55"/>
  <c r="AE105" i="55"/>
  <c r="AF104" i="55"/>
  <c r="AE104" i="55"/>
  <c r="AF103" i="55"/>
  <c r="AE103" i="55"/>
  <c r="AF102" i="55"/>
  <c r="AE102" i="55"/>
  <c r="AF101" i="55"/>
  <c r="AE101" i="55"/>
  <c r="AF100" i="55"/>
  <c r="AE100" i="55"/>
  <c r="AF99" i="55"/>
  <c r="AE99" i="55"/>
  <c r="AF98" i="55"/>
  <c r="AE98" i="55"/>
  <c r="AF97" i="55"/>
  <c r="AE97" i="55"/>
  <c r="AF96" i="55"/>
  <c r="AE96" i="55"/>
  <c r="AF95" i="55"/>
  <c r="AE95" i="55"/>
  <c r="AF94" i="55"/>
  <c r="AE94" i="55"/>
  <c r="AF93" i="55"/>
  <c r="AE93" i="55"/>
  <c r="AF92" i="55"/>
  <c r="AE92" i="55"/>
  <c r="AF91" i="55"/>
  <c r="AE91" i="55"/>
  <c r="AF90" i="55"/>
  <c r="AE90" i="55"/>
  <c r="AF89" i="55"/>
  <c r="AE89" i="55"/>
  <c r="AF88" i="55"/>
  <c r="AE88" i="55"/>
  <c r="AF87" i="55"/>
  <c r="AE87" i="55"/>
  <c r="AF86" i="55"/>
  <c r="AE86" i="55"/>
  <c r="AF85" i="55"/>
  <c r="AE85" i="55"/>
  <c r="AF84" i="55"/>
  <c r="AE84" i="55"/>
  <c r="AF83" i="55"/>
  <c r="AE83" i="55"/>
  <c r="AF82" i="55"/>
  <c r="AE82" i="55"/>
  <c r="AF81" i="55"/>
  <c r="AE81" i="55"/>
  <c r="AF80" i="55"/>
  <c r="AE80" i="55"/>
  <c r="AF79" i="55"/>
  <c r="AE79" i="55"/>
  <c r="AF78" i="55"/>
  <c r="AE78" i="55"/>
  <c r="AF77" i="55"/>
  <c r="AE77" i="55"/>
  <c r="AF76" i="55"/>
  <c r="AE76" i="55"/>
  <c r="AF75" i="55"/>
  <c r="AE75" i="55"/>
  <c r="AF74" i="55"/>
  <c r="AE74" i="55"/>
  <c r="AF73" i="55"/>
  <c r="AE73" i="55"/>
  <c r="AF72" i="55"/>
  <c r="AE72" i="55"/>
  <c r="AF71" i="55"/>
  <c r="AE71" i="55"/>
  <c r="AF70" i="55"/>
  <c r="AE70" i="55"/>
  <c r="AF69" i="55"/>
  <c r="AE69" i="55"/>
  <c r="AF68" i="55"/>
  <c r="AE68" i="55"/>
  <c r="AF67" i="55"/>
  <c r="AE67" i="55"/>
  <c r="AF66" i="55"/>
  <c r="AE66" i="55"/>
  <c r="AF65" i="55"/>
  <c r="AE65" i="55"/>
  <c r="AF64" i="55"/>
  <c r="AE64" i="55"/>
  <c r="AF63" i="55"/>
  <c r="AE63" i="55"/>
  <c r="AF62" i="55"/>
  <c r="AE62" i="55"/>
  <c r="AF61" i="55"/>
  <c r="AE61" i="55"/>
  <c r="AF60" i="55"/>
  <c r="AE60" i="55"/>
  <c r="AF59" i="55"/>
  <c r="AE59" i="55"/>
  <c r="AF58" i="55"/>
  <c r="AE58" i="55"/>
  <c r="AF57" i="55"/>
  <c r="AE57" i="55"/>
  <c r="AF56" i="55"/>
  <c r="AE56" i="55"/>
  <c r="AF55" i="55"/>
  <c r="AE55" i="55"/>
  <c r="AF54" i="55"/>
  <c r="AE54" i="55"/>
  <c r="AF53" i="55"/>
  <c r="AE53" i="55"/>
  <c r="AF52" i="55"/>
  <c r="AE52" i="55"/>
  <c r="AF51" i="55"/>
  <c r="AE51" i="55"/>
  <c r="AF50" i="55"/>
  <c r="AE50" i="55"/>
  <c r="AF49" i="55"/>
  <c r="AE49" i="55"/>
  <c r="AF48" i="55"/>
  <c r="AE48" i="55"/>
  <c r="AF47" i="55"/>
  <c r="AE47" i="55"/>
  <c r="AF46" i="55"/>
  <c r="AE46" i="55"/>
  <c r="AF45" i="55"/>
  <c r="AE45" i="55"/>
  <c r="AF44" i="55"/>
  <c r="AE44" i="55"/>
  <c r="AF43" i="55"/>
  <c r="AE43" i="55"/>
  <c r="AF42" i="55"/>
  <c r="AE42" i="55"/>
  <c r="AF41" i="55"/>
  <c r="AE41" i="55"/>
  <c r="AF40" i="55"/>
  <c r="AE40" i="55"/>
  <c r="AF39" i="55"/>
  <c r="AE39" i="55"/>
  <c r="AF38" i="55"/>
  <c r="AE38" i="55"/>
  <c r="AF37" i="55"/>
  <c r="AE37" i="55"/>
  <c r="AF36" i="55"/>
  <c r="AE36" i="55"/>
  <c r="AF35" i="55"/>
  <c r="AE35" i="55"/>
  <c r="AF34" i="55"/>
  <c r="AE34" i="55"/>
  <c r="AF33" i="55"/>
  <c r="AE33" i="55"/>
  <c r="AF32" i="55"/>
  <c r="AE32" i="55"/>
  <c r="AF31" i="55"/>
  <c r="AE31" i="55"/>
  <c r="AF30" i="55"/>
  <c r="AE30" i="55"/>
  <c r="AF29" i="55"/>
  <c r="AE29" i="55"/>
  <c r="AF28" i="55"/>
  <c r="AE28" i="55"/>
  <c r="AF27" i="55"/>
  <c r="AE27" i="55"/>
  <c r="AF26" i="55"/>
  <c r="AE26" i="55"/>
  <c r="AF25" i="55"/>
  <c r="AE25" i="55"/>
  <c r="AF24" i="55"/>
  <c r="AE24" i="55"/>
  <c r="AF23" i="55"/>
  <c r="AE23" i="55"/>
  <c r="AF22" i="55"/>
  <c r="AE22" i="55"/>
  <c r="AF21" i="55"/>
  <c r="AE21" i="55"/>
  <c r="AF20" i="55"/>
  <c r="AE20" i="55"/>
  <c r="AF19" i="55"/>
  <c r="AE19" i="55"/>
  <c r="AF18" i="55"/>
  <c r="AE18" i="55"/>
  <c r="AF17" i="55"/>
  <c r="AE17" i="55"/>
  <c r="AF16" i="55"/>
  <c r="AE16" i="55"/>
  <c r="AF15" i="55"/>
  <c r="AE15" i="55"/>
  <c r="AF14" i="55"/>
  <c r="AE14" i="55"/>
  <c r="AF13" i="55"/>
  <c r="AE13" i="55"/>
  <c r="AF12" i="55"/>
  <c r="AE12" i="55"/>
  <c r="AF11" i="55"/>
  <c r="AE11" i="55"/>
  <c r="AF10" i="55"/>
  <c r="AE10" i="55"/>
  <c r="B3" i="55"/>
  <c r="B2" i="53"/>
  <c r="B3" i="53"/>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M39" i="42"/>
  <c r="M40" i="42"/>
  <c r="M41" i="42"/>
  <c r="M42" i="42"/>
  <c r="M43" i="42"/>
  <c r="M44" i="42"/>
  <c r="M45" i="42"/>
  <c r="M46" i="42"/>
  <c r="M47" i="42"/>
  <c r="M48" i="42"/>
  <c r="M49" i="42"/>
  <c r="M50" i="42"/>
  <c r="M51" i="42"/>
  <c r="M52" i="42"/>
  <c r="M53" i="42"/>
  <c r="M54" i="42"/>
  <c r="M55" i="42"/>
  <c r="M56" i="42"/>
  <c r="M57" i="42"/>
  <c r="M58" i="42"/>
  <c r="M59" i="42"/>
  <c r="M60" i="42"/>
  <c r="M61" i="42"/>
  <c r="M62" i="42"/>
  <c r="M63" i="42"/>
  <c r="M64" i="42"/>
  <c r="M65" i="42"/>
  <c r="M66" i="42"/>
  <c r="M67" i="42"/>
  <c r="M68" i="42"/>
  <c r="M69" i="42"/>
  <c r="M70" i="42"/>
  <c r="M71" i="42"/>
  <c r="M72" i="42"/>
  <c r="M73" i="42"/>
  <c r="M74" i="42"/>
  <c r="M75" i="42"/>
  <c r="M76" i="42"/>
  <c r="M77" i="42"/>
  <c r="M78" i="42"/>
  <c r="M79" i="42"/>
  <c r="M80" i="42"/>
  <c r="M81" i="42"/>
  <c r="M82" i="42"/>
  <c r="M83" i="42"/>
  <c r="M84" i="42"/>
  <c r="M85" i="42"/>
  <c r="M86" i="42"/>
  <c r="M87" i="42"/>
  <c r="M88" i="42"/>
  <c r="M89" i="42"/>
  <c r="M90" i="42"/>
  <c r="M91" i="42"/>
  <c r="M92" i="42"/>
  <c r="M93" i="42"/>
  <c r="M94" i="42"/>
  <c r="M95" i="42"/>
  <c r="M96" i="42"/>
  <c r="M97" i="42"/>
  <c r="M98" i="42"/>
  <c r="M99" i="42"/>
  <c r="M100" i="42"/>
  <c r="M101" i="42"/>
  <c r="M102" i="42"/>
  <c r="M103" i="42"/>
  <c r="M104" i="42"/>
  <c r="M105" i="42"/>
  <c r="M106" i="42"/>
  <c r="M107" i="42"/>
  <c r="M108" i="42"/>
  <c r="M109" i="42"/>
  <c r="M110" i="42"/>
  <c r="M111" i="42"/>
  <c r="M112" i="42"/>
  <c r="M113" i="42"/>
  <c r="M114" i="42"/>
  <c r="M115" i="42"/>
  <c r="M116" i="42"/>
  <c r="M117" i="42"/>
  <c r="M118" i="42"/>
  <c r="M119" i="42"/>
  <c r="M120" i="42"/>
  <c r="M121" i="42"/>
  <c r="M122" i="42"/>
  <c r="M123" i="42"/>
  <c r="M124" i="42"/>
  <c r="M125" i="42"/>
  <c r="M126" i="42"/>
  <c r="M127" i="42"/>
  <c r="M128" i="42"/>
  <c r="M129" i="42"/>
  <c r="M130" i="42"/>
  <c r="M131" i="42"/>
  <c r="M132" i="42"/>
  <c r="M133" i="42"/>
  <c r="M134" i="42"/>
  <c r="M135" i="42"/>
  <c r="M136" i="42"/>
  <c r="M137" i="42"/>
  <c r="M138" i="42"/>
  <c r="M139" i="42"/>
  <c r="M140" i="42"/>
  <c r="M141" i="42"/>
  <c r="M142" i="42"/>
  <c r="M143" i="42"/>
  <c r="M144" i="42"/>
  <c r="M145" i="42"/>
  <c r="M146" i="42"/>
  <c r="M147" i="42"/>
  <c r="M148" i="42"/>
  <c r="M149" i="42"/>
  <c r="M150" i="42"/>
  <c r="M151" i="42"/>
  <c r="M152" i="42"/>
  <c r="M153" i="42"/>
  <c r="M154" i="42"/>
  <c r="M155" i="42"/>
  <c r="M156" i="42"/>
  <c r="M157" i="42"/>
  <c r="M158" i="42"/>
  <c r="M159" i="42"/>
  <c r="M160" i="42"/>
  <c r="M161" i="42"/>
  <c r="M162" i="42"/>
  <c r="M163" i="42"/>
  <c r="M164" i="42"/>
  <c r="M165" i="42"/>
  <c r="M166" i="42"/>
  <c r="M167" i="42"/>
  <c r="M168" i="42"/>
  <c r="M169" i="42"/>
  <c r="M170" i="42"/>
  <c r="M171" i="42"/>
  <c r="M172" i="42"/>
  <c r="M173" i="42"/>
  <c r="M174" i="42"/>
  <c r="M175" i="42"/>
  <c r="M176" i="42"/>
  <c r="M177" i="42"/>
  <c r="M178" i="42"/>
  <c r="M179" i="42"/>
  <c r="M180" i="42"/>
  <c r="M181" i="42"/>
  <c r="M182" i="42"/>
  <c r="M183" i="42"/>
  <c r="M184" i="42"/>
  <c r="M185" i="42"/>
  <c r="M186" i="42"/>
  <c r="M187" i="42"/>
  <c r="M188" i="42"/>
  <c r="M189" i="42"/>
  <c r="M190" i="42"/>
  <c r="M191" i="42"/>
  <c r="M192" i="42"/>
  <c r="M193" i="42"/>
  <c r="M194" i="42"/>
  <c r="M195" i="42"/>
  <c r="M196" i="42"/>
  <c r="M197" i="42"/>
  <c r="M198" i="42"/>
  <c r="M199" i="42"/>
  <c r="M200" i="42"/>
  <c r="M201" i="42"/>
  <c r="M202" i="42"/>
  <c r="M203" i="42"/>
  <c r="M204" i="42"/>
  <c r="M205" i="42"/>
  <c r="M206" i="42"/>
  <c r="M207" i="42"/>
  <c r="M208" i="42"/>
  <c r="M209" i="42"/>
  <c r="M210" i="42"/>
  <c r="M211" i="42"/>
  <c r="M212" i="42"/>
  <c r="M213" i="42"/>
  <c r="M214" i="42"/>
  <c r="M215" i="42"/>
  <c r="M216" i="42"/>
  <c r="M217" i="42"/>
  <c r="M218" i="42"/>
  <c r="M219" i="42"/>
  <c r="M220" i="42"/>
  <c r="M221" i="42"/>
  <c r="M222" i="42"/>
  <c r="M223" i="42"/>
  <c r="M224" i="42"/>
  <c r="M225" i="42"/>
  <c r="M226" i="42"/>
  <c r="M227" i="42"/>
  <c r="M228" i="42"/>
  <c r="M229" i="42"/>
  <c r="M230" i="42"/>
  <c r="M231" i="42"/>
  <c r="M232" i="42"/>
  <c r="M233" i="42"/>
  <c r="M234" i="42"/>
  <c r="M235" i="42"/>
  <c r="M236" i="42"/>
  <c r="M237" i="42"/>
  <c r="M238" i="42"/>
  <c r="M239" i="42"/>
  <c r="M240" i="42"/>
  <c r="M241" i="42"/>
  <c r="M242" i="42"/>
  <c r="M243" i="42"/>
  <c r="M244" i="42"/>
  <c r="M245" i="42"/>
  <c r="M246" i="42"/>
  <c r="M247" i="42"/>
  <c r="M248" i="42"/>
  <c r="M249" i="42"/>
  <c r="M250" i="42"/>
  <c r="M251" i="42"/>
  <c r="M252" i="42"/>
  <c r="M253" i="42"/>
  <c r="M254" i="42"/>
  <c r="M255" i="42"/>
  <c r="M256" i="42"/>
  <c r="M257" i="42"/>
  <c r="M258" i="42"/>
  <c r="M259" i="42"/>
  <c r="E260" i="42"/>
  <c r="B3" i="42"/>
  <c r="B2"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B2" i="52"/>
  <c r="F24" i="36" l="1"/>
  <c r="Q173" i="42"/>
  <c r="U173" i="42" s="1"/>
  <c r="R173" i="42"/>
  <c r="P173" i="42"/>
  <c r="Q234" i="42"/>
  <c r="U234" i="42" s="1"/>
  <c r="R234" i="42"/>
  <c r="P234" i="42"/>
  <c r="Q256" i="42"/>
  <c r="U256" i="42" s="1"/>
  <c r="R256" i="42"/>
  <c r="P256" i="42"/>
  <c r="Q248" i="42"/>
  <c r="U248" i="42" s="1"/>
  <c r="R248" i="42"/>
  <c r="P248" i="42"/>
  <c r="Q240" i="42"/>
  <c r="U240" i="42" s="1"/>
  <c r="R240" i="42"/>
  <c r="P240" i="42"/>
  <c r="Q232" i="42"/>
  <c r="U232" i="42" s="1"/>
  <c r="R232" i="42"/>
  <c r="P232" i="42"/>
  <c r="Q224" i="42"/>
  <c r="U224" i="42" s="1"/>
  <c r="R224" i="42"/>
  <c r="P224" i="42"/>
  <c r="Q216" i="42"/>
  <c r="U216" i="42" s="1"/>
  <c r="R216" i="42"/>
  <c r="P216" i="42"/>
  <c r="Q208" i="42"/>
  <c r="U208" i="42" s="1"/>
  <c r="R208" i="42"/>
  <c r="P208" i="42"/>
  <c r="Q200" i="42"/>
  <c r="U200" i="42" s="1"/>
  <c r="R200" i="42"/>
  <c r="P200" i="42"/>
  <c r="Q192" i="42"/>
  <c r="U192" i="42" s="1"/>
  <c r="R192" i="42"/>
  <c r="P192" i="42"/>
  <c r="Q184" i="42"/>
  <c r="U184" i="42" s="1"/>
  <c r="R184" i="42"/>
  <c r="P184" i="42"/>
  <c r="Q176" i="42"/>
  <c r="U176" i="42" s="1"/>
  <c r="R176" i="42"/>
  <c r="P176" i="42"/>
  <c r="Q168" i="42"/>
  <c r="U168" i="42" s="1"/>
  <c r="P168" i="42"/>
  <c r="R168" i="42"/>
  <c r="Q160" i="42"/>
  <c r="U160" i="42" s="1"/>
  <c r="P160" i="42"/>
  <c r="R160" i="42"/>
  <c r="Q152" i="42"/>
  <c r="U152" i="42" s="1"/>
  <c r="P152" i="42"/>
  <c r="R152" i="42"/>
  <c r="Q144" i="42"/>
  <c r="U144" i="42" s="1"/>
  <c r="P144" i="42"/>
  <c r="R144" i="42"/>
  <c r="Q136" i="42"/>
  <c r="U136" i="42" s="1"/>
  <c r="P136" i="42"/>
  <c r="R136" i="42"/>
  <c r="Q128" i="42"/>
  <c r="U128" i="42" s="1"/>
  <c r="P128" i="42"/>
  <c r="R128" i="42"/>
  <c r="Q120" i="42"/>
  <c r="U120" i="42" s="1"/>
  <c r="P120" i="42"/>
  <c r="R120" i="42"/>
  <c r="Q112" i="42"/>
  <c r="U112" i="42" s="1"/>
  <c r="P112" i="42"/>
  <c r="R112" i="42"/>
  <c r="W112" i="42" s="1"/>
  <c r="Q104" i="42"/>
  <c r="U104" i="42" s="1"/>
  <c r="P104" i="42"/>
  <c r="R104" i="42"/>
  <c r="W104" i="42" s="1"/>
  <c r="Q96" i="42"/>
  <c r="U96" i="42" s="1"/>
  <c r="P96" i="42"/>
  <c r="R96" i="42"/>
  <c r="W96" i="42" s="1"/>
  <c r="Q88" i="42"/>
  <c r="U88" i="42" s="1"/>
  <c r="P88" i="42"/>
  <c r="R88" i="42"/>
  <c r="Q80" i="42"/>
  <c r="U80" i="42" s="1"/>
  <c r="P80" i="42"/>
  <c r="R80" i="42"/>
  <c r="W80" i="42" s="1"/>
  <c r="Q72" i="42"/>
  <c r="U72" i="42" s="1"/>
  <c r="P72" i="42"/>
  <c r="R72" i="42"/>
  <c r="Q64" i="42"/>
  <c r="U64" i="42" s="1"/>
  <c r="P64" i="42"/>
  <c r="R64" i="42"/>
  <c r="W64" i="42" s="1"/>
  <c r="Q56" i="42"/>
  <c r="U56" i="42" s="1"/>
  <c r="P56" i="42"/>
  <c r="R56" i="42"/>
  <c r="Q48" i="42"/>
  <c r="U48" i="42" s="1"/>
  <c r="P48" i="42"/>
  <c r="R48" i="42"/>
  <c r="W48" i="42" s="1"/>
  <c r="Q40" i="42"/>
  <c r="U40" i="42" s="1"/>
  <c r="P40" i="42"/>
  <c r="R40" i="42"/>
  <c r="Q32" i="42"/>
  <c r="U32" i="42" s="1"/>
  <c r="P32" i="42"/>
  <c r="R32" i="42"/>
  <c r="W32" i="42" s="1"/>
  <c r="Q24" i="42"/>
  <c r="U24" i="42" s="1"/>
  <c r="P24" i="42"/>
  <c r="R24" i="42"/>
  <c r="Q16" i="42"/>
  <c r="U16" i="42" s="1"/>
  <c r="P16" i="42"/>
  <c r="R16" i="42"/>
  <c r="Q213" i="42"/>
  <c r="U213" i="42" s="1"/>
  <c r="R213" i="42"/>
  <c r="P213" i="42"/>
  <c r="Q141" i="42"/>
  <c r="U141" i="42" s="1"/>
  <c r="R141" i="42"/>
  <c r="P141" i="42"/>
  <c r="Q93" i="42"/>
  <c r="U93" i="42" s="1"/>
  <c r="R93" i="42"/>
  <c r="P93" i="42"/>
  <c r="Q45" i="42"/>
  <c r="U45" i="42" s="1"/>
  <c r="R45" i="42"/>
  <c r="P45" i="42"/>
  <c r="Q255" i="42"/>
  <c r="U255" i="42" s="1"/>
  <c r="R255" i="42"/>
  <c r="P255" i="42"/>
  <c r="Q247" i="42"/>
  <c r="U247" i="42" s="1"/>
  <c r="R247" i="42"/>
  <c r="P247" i="42"/>
  <c r="Q239" i="42"/>
  <c r="U239" i="42" s="1"/>
  <c r="P239" i="42"/>
  <c r="R239" i="42"/>
  <c r="Q231" i="42"/>
  <c r="U231" i="42" s="1"/>
  <c r="P231" i="42"/>
  <c r="R231" i="42"/>
  <c r="Q223" i="42"/>
  <c r="U223" i="42" s="1"/>
  <c r="P223" i="42"/>
  <c r="R223" i="42"/>
  <c r="Q215" i="42"/>
  <c r="U215" i="42" s="1"/>
  <c r="P215" i="42"/>
  <c r="R215" i="42"/>
  <c r="Q207" i="42"/>
  <c r="U207" i="42" s="1"/>
  <c r="P207" i="42"/>
  <c r="R207" i="42"/>
  <c r="Q199" i="42"/>
  <c r="U199" i="42" s="1"/>
  <c r="P199" i="42"/>
  <c r="R199" i="42"/>
  <c r="Q191" i="42"/>
  <c r="U191" i="42" s="1"/>
  <c r="P191" i="42"/>
  <c r="R191" i="42"/>
  <c r="Q183" i="42"/>
  <c r="U183" i="42" s="1"/>
  <c r="P183" i="42"/>
  <c r="R183" i="42"/>
  <c r="Q175" i="42"/>
  <c r="U175" i="42" s="1"/>
  <c r="P175" i="42"/>
  <c r="R175" i="42"/>
  <c r="Q167" i="42"/>
  <c r="U167" i="42" s="1"/>
  <c r="P167" i="42"/>
  <c r="R167" i="42"/>
  <c r="Q159" i="42"/>
  <c r="U159" i="42" s="1"/>
  <c r="P159" i="42"/>
  <c r="R159" i="42"/>
  <c r="Q151" i="42"/>
  <c r="U151" i="42" s="1"/>
  <c r="P151" i="42"/>
  <c r="R151" i="42"/>
  <c r="Q143" i="42"/>
  <c r="U143" i="42" s="1"/>
  <c r="P143" i="42"/>
  <c r="R143" i="42"/>
  <c r="Q135" i="42"/>
  <c r="U135" i="42" s="1"/>
  <c r="P135" i="42"/>
  <c r="R135" i="42"/>
  <c r="Q127" i="42"/>
  <c r="U127" i="42" s="1"/>
  <c r="P127" i="42"/>
  <c r="R127" i="42"/>
  <c r="Q119" i="42"/>
  <c r="U119" i="42" s="1"/>
  <c r="P119" i="42"/>
  <c r="R119" i="42"/>
  <c r="Q111" i="42"/>
  <c r="U111" i="42" s="1"/>
  <c r="P111" i="42"/>
  <c r="R111" i="42"/>
  <c r="Q103" i="42"/>
  <c r="U103" i="42" s="1"/>
  <c r="P103" i="42"/>
  <c r="R103" i="42"/>
  <c r="Q95" i="42"/>
  <c r="U95" i="42" s="1"/>
  <c r="P95" i="42"/>
  <c r="R95" i="42"/>
  <c r="Q87" i="42"/>
  <c r="U87" i="42" s="1"/>
  <c r="P87" i="42"/>
  <c r="R87" i="42"/>
  <c r="Q79" i="42"/>
  <c r="U79" i="42" s="1"/>
  <c r="P79" i="42"/>
  <c r="R79" i="42"/>
  <c r="Q71" i="42"/>
  <c r="U71" i="42" s="1"/>
  <c r="P71" i="42"/>
  <c r="R71" i="42"/>
  <c r="Q63" i="42"/>
  <c r="U63" i="42" s="1"/>
  <c r="P63" i="42"/>
  <c r="R63" i="42"/>
  <c r="Q55" i="42"/>
  <c r="U55" i="42" s="1"/>
  <c r="P55" i="42"/>
  <c r="R55" i="42"/>
  <c r="Q47" i="42"/>
  <c r="U47" i="42" s="1"/>
  <c r="P47" i="42"/>
  <c r="R47" i="42"/>
  <c r="Q39" i="42"/>
  <c r="U39" i="42" s="1"/>
  <c r="P39" i="42"/>
  <c r="R39" i="42"/>
  <c r="Q31" i="42"/>
  <c r="U31" i="42" s="1"/>
  <c r="P31" i="42"/>
  <c r="R31" i="42"/>
  <c r="Q23" i="42"/>
  <c r="U23" i="42" s="1"/>
  <c r="P23" i="42"/>
  <c r="R23" i="42"/>
  <c r="Q15" i="42"/>
  <c r="U15" i="42" s="1"/>
  <c r="P15" i="42"/>
  <c r="R15" i="42"/>
  <c r="Q221" i="42"/>
  <c r="U221" i="42" s="1"/>
  <c r="R221" i="42"/>
  <c r="P221" i="42"/>
  <c r="Q165" i="42"/>
  <c r="U165" i="42" s="1"/>
  <c r="R165" i="42"/>
  <c r="P165" i="42"/>
  <c r="Q109" i="42"/>
  <c r="U109" i="42" s="1"/>
  <c r="R109" i="42"/>
  <c r="P109" i="42"/>
  <c r="Q37" i="42"/>
  <c r="U37" i="42" s="1"/>
  <c r="R37" i="42"/>
  <c r="P37" i="42"/>
  <c r="Q254" i="42"/>
  <c r="U254" i="42" s="1"/>
  <c r="R254" i="42"/>
  <c r="P254" i="42"/>
  <c r="Q246" i="42"/>
  <c r="U246" i="42" s="1"/>
  <c r="R246" i="42"/>
  <c r="P246" i="42"/>
  <c r="Q238" i="42"/>
  <c r="U238" i="42" s="1"/>
  <c r="R238" i="42"/>
  <c r="P238" i="42"/>
  <c r="Q230" i="42"/>
  <c r="U230" i="42" s="1"/>
  <c r="R230" i="42"/>
  <c r="P230" i="42"/>
  <c r="Q222" i="42"/>
  <c r="U222" i="42" s="1"/>
  <c r="R222" i="42"/>
  <c r="P222" i="42"/>
  <c r="Q214" i="42"/>
  <c r="U214" i="42" s="1"/>
  <c r="R214" i="42"/>
  <c r="P214" i="42"/>
  <c r="Q206" i="42"/>
  <c r="U206" i="42" s="1"/>
  <c r="R206" i="42"/>
  <c r="P206" i="42"/>
  <c r="Q198" i="42"/>
  <c r="U198" i="42" s="1"/>
  <c r="R198" i="42"/>
  <c r="P198" i="42"/>
  <c r="Q190" i="42"/>
  <c r="U190" i="42" s="1"/>
  <c r="R190" i="42"/>
  <c r="P190" i="42"/>
  <c r="Q182" i="42"/>
  <c r="U182" i="42" s="1"/>
  <c r="R182" i="42"/>
  <c r="P182" i="42"/>
  <c r="Q174" i="42"/>
  <c r="U174" i="42" s="1"/>
  <c r="R174" i="42"/>
  <c r="P174" i="42"/>
  <c r="Q166" i="42"/>
  <c r="U166" i="42" s="1"/>
  <c r="R166" i="42"/>
  <c r="P166" i="42"/>
  <c r="Q158" i="42"/>
  <c r="U158" i="42" s="1"/>
  <c r="R158" i="42"/>
  <c r="P158" i="42"/>
  <c r="Q150" i="42"/>
  <c r="R150" i="42"/>
  <c r="P150" i="42"/>
  <c r="U150" i="42"/>
  <c r="Q142" i="42"/>
  <c r="R142" i="42"/>
  <c r="P142" i="42"/>
  <c r="U142" i="42"/>
  <c r="Q134" i="42"/>
  <c r="R134" i="42"/>
  <c r="P134" i="42"/>
  <c r="U134" i="42"/>
  <c r="Q126" i="42"/>
  <c r="R126" i="42"/>
  <c r="P126" i="42"/>
  <c r="U126" i="42"/>
  <c r="Q118" i="42"/>
  <c r="R118" i="42"/>
  <c r="W118" i="42" s="1"/>
  <c r="P118" i="42"/>
  <c r="U118" i="42"/>
  <c r="Q110" i="42"/>
  <c r="R110" i="42"/>
  <c r="P110" i="42"/>
  <c r="U110" i="42"/>
  <c r="Q102" i="42"/>
  <c r="R102" i="42"/>
  <c r="W102" i="42" s="1"/>
  <c r="P102" i="42"/>
  <c r="U102" i="42"/>
  <c r="Q94" i="42"/>
  <c r="R94" i="42"/>
  <c r="W94" i="42" s="1"/>
  <c r="P94" i="42"/>
  <c r="U94" i="42"/>
  <c r="Q86" i="42"/>
  <c r="R86" i="42"/>
  <c r="W86" i="42" s="1"/>
  <c r="P86" i="42"/>
  <c r="U86" i="42"/>
  <c r="Q78" i="42"/>
  <c r="R78" i="42"/>
  <c r="W78" i="42" s="1"/>
  <c r="P78" i="42"/>
  <c r="U78" i="42"/>
  <c r="Q70" i="42"/>
  <c r="R70" i="42"/>
  <c r="W70" i="42" s="1"/>
  <c r="P70" i="42"/>
  <c r="U70" i="42"/>
  <c r="Q62" i="42"/>
  <c r="R62" i="42"/>
  <c r="W62" i="42" s="1"/>
  <c r="P62" i="42"/>
  <c r="U62" i="42"/>
  <c r="Q54" i="42"/>
  <c r="R54" i="42"/>
  <c r="W54" i="42" s="1"/>
  <c r="P54" i="42"/>
  <c r="U54" i="42"/>
  <c r="Q46" i="42"/>
  <c r="R46" i="42"/>
  <c r="W46" i="42" s="1"/>
  <c r="P46" i="42"/>
  <c r="U46" i="42"/>
  <c r="Q38" i="42"/>
  <c r="R38" i="42"/>
  <c r="W38" i="42" s="1"/>
  <c r="P38" i="42"/>
  <c r="U38" i="42"/>
  <c r="Q30" i="42"/>
  <c r="R30" i="42"/>
  <c r="P30" i="42"/>
  <c r="U30" i="42"/>
  <c r="Q22" i="42"/>
  <c r="R22" i="42"/>
  <c r="P22" i="42"/>
  <c r="U22" i="42"/>
  <c r="Q14" i="42"/>
  <c r="R14" i="42"/>
  <c r="P14" i="42"/>
  <c r="U14" i="42"/>
  <c r="Q245" i="42"/>
  <c r="R245" i="42"/>
  <c r="P245" i="42"/>
  <c r="U245" i="42"/>
  <c r="Q181" i="42"/>
  <c r="R181" i="42"/>
  <c r="P181" i="42"/>
  <c r="U181" i="42"/>
  <c r="Q101" i="42"/>
  <c r="R101" i="42"/>
  <c r="P101" i="42"/>
  <c r="U101" i="42"/>
  <c r="Q69" i="42"/>
  <c r="R69" i="42"/>
  <c r="P69" i="42"/>
  <c r="U69" i="42"/>
  <c r="Q61" i="42"/>
  <c r="R61" i="42"/>
  <c r="P61" i="42"/>
  <c r="U61" i="42"/>
  <c r="P13" i="42"/>
  <c r="Q13" i="42" s="1"/>
  <c r="T13" i="42" s="1"/>
  <c r="U13" i="42" s="1"/>
  <c r="Q252" i="42"/>
  <c r="U252" i="42" s="1"/>
  <c r="R252" i="42"/>
  <c r="P252" i="42"/>
  <c r="Q244" i="42"/>
  <c r="U244" i="42" s="1"/>
  <c r="R244" i="42"/>
  <c r="P244" i="42"/>
  <c r="Q236" i="42"/>
  <c r="U236" i="42" s="1"/>
  <c r="P236" i="42"/>
  <c r="R236" i="42"/>
  <c r="Q228" i="42"/>
  <c r="U228" i="42" s="1"/>
  <c r="P228" i="42"/>
  <c r="R228" i="42"/>
  <c r="Q220" i="42"/>
  <c r="U220" i="42" s="1"/>
  <c r="P220" i="42"/>
  <c r="R220" i="42"/>
  <c r="Q212" i="42"/>
  <c r="P212" i="42"/>
  <c r="R212" i="42"/>
  <c r="U212" i="42"/>
  <c r="Q204" i="42"/>
  <c r="P204" i="42"/>
  <c r="R204" i="42"/>
  <c r="U204" i="42"/>
  <c r="Q196" i="42"/>
  <c r="P196" i="42"/>
  <c r="R196" i="42"/>
  <c r="U196" i="42"/>
  <c r="Q188" i="42"/>
  <c r="P188" i="42"/>
  <c r="R188" i="42"/>
  <c r="U188" i="42"/>
  <c r="Q180" i="42"/>
  <c r="P180" i="42"/>
  <c r="R180" i="42"/>
  <c r="U180" i="42"/>
  <c r="Q172" i="42"/>
  <c r="P172" i="42"/>
  <c r="R172" i="42"/>
  <c r="U172" i="42"/>
  <c r="Q164" i="42"/>
  <c r="P164" i="42"/>
  <c r="R164" i="42"/>
  <c r="U164" i="42"/>
  <c r="Q156" i="42"/>
  <c r="P156" i="42"/>
  <c r="R156" i="42"/>
  <c r="U156" i="42"/>
  <c r="Q148" i="42"/>
  <c r="P148" i="42"/>
  <c r="R148" i="42"/>
  <c r="U148" i="42"/>
  <c r="Q140" i="42"/>
  <c r="P140" i="42"/>
  <c r="R140" i="42"/>
  <c r="U140" i="42"/>
  <c r="Q132" i="42"/>
  <c r="P132" i="42"/>
  <c r="R132" i="42"/>
  <c r="U132" i="42"/>
  <c r="Q124" i="42"/>
  <c r="P124" i="42"/>
  <c r="R124" i="42"/>
  <c r="U124" i="42"/>
  <c r="Q116" i="42"/>
  <c r="P116" i="42"/>
  <c r="R116" i="42"/>
  <c r="U116" i="42"/>
  <c r="Q108" i="42"/>
  <c r="P108" i="42"/>
  <c r="R108" i="42"/>
  <c r="U108" i="42"/>
  <c r="Q100" i="42"/>
  <c r="P100" i="42"/>
  <c r="R100" i="42"/>
  <c r="U100" i="42"/>
  <c r="Q92" i="42"/>
  <c r="P92" i="42"/>
  <c r="R92" i="42"/>
  <c r="U92" i="42"/>
  <c r="Q84" i="42"/>
  <c r="P84" i="42"/>
  <c r="R84" i="42"/>
  <c r="U84" i="42"/>
  <c r="Q76" i="42"/>
  <c r="P76" i="42"/>
  <c r="R76" i="42"/>
  <c r="U76" i="42"/>
  <c r="Q68" i="42"/>
  <c r="P68" i="42"/>
  <c r="R68" i="42"/>
  <c r="U68" i="42"/>
  <c r="Q60" i="42"/>
  <c r="P60" i="42"/>
  <c r="R60" i="42"/>
  <c r="U60" i="42"/>
  <c r="Q52" i="42"/>
  <c r="P52" i="42"/>
  <c r="R52" i="42"/>
  <c r="U52" i="42"/>
  <c r="Q44" i="42"/>
  <c r="P44" i="42"/>
  <c r="R44" i="42"/>
  <c r="U44" i="42"/>
  <c r="Q36" i="42"/>
  <c r="P36" i="42"/>
  <c r="R36" i="42"/>
  <c r="U36" i="42"/>
  <c r="Q28" i="42"/>
  <c r="P28" i="42"/>
  <c r="R28" i="42"/>
  <c r="U28" i="42"/>
  <c r="Q20" i="42"/>
  <c r="P20" i="42"/>
  <c r="R20" i="42"/>
  <c r="U20" i="42"/>
  <c r="Q253" i="42"/>
  <c r="R253" i="42"/>
  <c r="P253" i="42"/>
  <c r="U253" i="42"/>
  <c r="Q205" i="42"/>
  <c r="R205" i="42"/>
  <c r="P205" i="42"/>
  <c r="U205" i="42"/>
  <c r="Q157" i="42"/>
  <c r="R157" i="42"/>
  <c r="P157" i="42"/>
  <c r="U157" i="42"/>
  <c r="Q125" i="42"/>
  <c r="R125" i="42"/>
  <c r="P125" i="42"/>
  <c r="U125" i="42"/>
  <c r="Q85" i="42"/>
  <c r="R85" i="42"/>
  <c r="P85" i="42"/>
  <c r="U85" i="42"/>
  <c r="Q21" i="42"/>
  <c r="R21" i="42"/>
  <c r="P21" i="42"/>
  <c r="U21" i="42"/>
  <c r="Q259" i="42"/>
  <c r="P259" i="42"/>
  <c r="R259" i="42"/>
  <c r="W259" i="42" s="1"/>
  <c r="U259" i="42"/>
  <c r="Q251" i="42"/>
  <c r="P251" i="42"/>
  <c r="R251" i="42"/>
  <c r="W251" i="42" s="1"/>
  <c r="U251" i="42"/>
  <c r="Q243" i="42"/>
  <c r="P243" i="42"/>
  <c r="R243" i="42"/>
  <c r="W243" i="42" s="1"/>
  <c r="U243" i="42"/>
  <c r="Q235" i="42"/>
  <c r="P235" i="42"/>
  <c r="R235" i="42"/>
  <c r="W235" i="42" s="1"/>
  <c r="U235" i="42"/>
  <c r="Q227" i="42"/>
  <c r="P227" i="42"/>
  <c r="R227" i="42"/>
  <c r="W227" i="42" s="1"/>
  <c r="U227" i="42"/>
  <c r="Q219" i="42"/>
  <c r="P219" i="42"/>
  <c r="R219" i="42"/>
  <c r="W219" i="42" s="1"/>
  <c r="U219" i="42"/>
  <c r="Q211" i="42"/>
  <c r="P211" i="42"/>
  <c r="R211" i="42"/>
  <c r="W211" i="42" s="1"/>
  <c r="U211" i="42"/>
  <c r="Q203" i="42"/>
  <c r="P203" i="42"/>
  <c r="R203" i="42"/>
  <c r="W203" i="42" s="1"/>
  <c r="U203" i="42"/>
  <c r="Q195" i="42"/>
  <c r="P195" i="42"/>
  <c r="R195" i="42"/>
  <c r="W195" i="42" s="1"/>
  <c r="U195" i="42"/>
  <c r="Q187" i="42"/>
  <c r="P187" i="42"/>
  <c r="R187" i="42"/>
  <c r="W187" i="42" s="1"/>
  <c r="U187" i="42"/>
  <c r="Q179" i="42"/>
  <c r="P179" i="42"/>
  <c r="R179" i="42"/>
  <c r="W179" i="42" s="1"/>
  <c r="U179" i="42"/>
  <c r="Q171" i="42"/>
  <c r="P171" i="42"/>
  <c r="R171" i="42"/>
  <c r="W171" i="42" s="1"/>
  <c r="U171" i="42"/>
  <c r="Q163" i="42"/>
  <c r="P163" i="42"/>
  <c r="R163" i="42"/>
  <c r="W163" i="42" s="1"/>
  <c r="U163" i="42"/>
  <c r="Q155" i="42"/>
  <c r="P155" i="42"/>
  <c r="R155" i="42"/>
  <c r="W155" i="42" s="1"/>
  <c r="U155" i="42"/>
  <c r="Q147" i="42"/>
  <c r="P147" i="42"/>
  <c r="R147" i="42"/>
  <c r="W147" i="42" s="1"/>
  <c r="U147" i="42"/>
  <c r="Q139" i="42"/>
  <c r="P139" i="42"/>
  <c r="R139" i="42"/>
  <c r="W139" i="42" s="1"/>
  <c r="U139" i="42"/>
  <c r="Q131" i="42"/>
  <c r="P131" i="42"/>
  <c r="R131" i="42"/>
  <c r="W131" i="42" s="1"/>
  <c r="U131" i="42"/>
  <c r="Q123" i="42"/>
  <c r="P123" i="42"/>
  <c r="R123" i="42"/>
  <c r="W123" i="42" s="1"/>
  <c r="U123" i="42"/>
  <c r="Q115" i="42"/>
  <c r="P115" i="42"/>
  <c r="R115" i="42"/>
  <c r="W115" i="42" s="1"/>
  <c r="U115" i="42"/>
  <c r="Q107" i="42"/>
  <c r="P107" i="42"/>
  <c r="R107" i="42"/>
  <c r="W107" i="42" s="1"/>
  <c r="U107" i="42"/>
  <c r="Q99" i="42"/>
  <c r="P99" i="42"/>
  <c r="R99" i="42"/>
  <c r="W99" i="42" s="1"/>
  <c r="U99" i="42"/>
  <c r="Q91" i="42"/>
  <c r="P91" i="42"/>
  <c r="R91" i="42"/>
  <c r="W91" i="42" s="1"/>
  <c r="U91" i="42"/>
  <c r="Q83" i="42"/>
  <c r="P83" i="42"/>
  <c r="R83" i="42"/>
  <c r="W83" i="42" s="1"/>
  <c r="U83" i="42"/>
  <c r="Q75" i="42"/>
  <c r="P75" i="42"/>
  <c r="R75" i="42"/>
  <c r="W75" i="42" s="1"/>
  <c r="U75" i="42"/>
  <c r="Q67" i="42"/>
  <c r="P67" i="42"/>
  <c r="R67" i="42"/>
  <c r="W67" i="42" s="1"/>
  <c r="U67" i="42"/>
  <c r="Q59" i="42"/>
  <c r="P59" i="42"/>
  <c r="R59" i="42"/>
  <c r="W59" i="42" s="1"/>
  <c r="U59" i="42"/>
  <c r="Q51" i="42"/>
  <c r="P51" i="42"/>
  <c r="R51" i="42"/>
  <c r="W51" i="42" s="1"/>
  <c r="U51" i="42"/>
  <c r="Q43" i="42"/>
  <c r="P43" i="42"/>
  <c r="R43" i="42"/>
  <c r="W43" i="42" s="1"/>
  <c r="U43" i="42"/>
  <c r="Q35" i="42"/>
  <c r="P35" i="42"/>
  <c r="R35" i="42"/>
  <c r="W35" i="42" s="1"/>
  <c r="U35" i="42"/>
  <c r="Q27" i="42"/>
  <c r="P27" i="42"/>
  <c r="R27" i="42"/>
  <c r="W27" i="42" s="1"/>
  <c r="U27" i="42"/>
  <c r="Q19" i="42"/>
  <c r="P19" i="42"/>
  <c r="R19" i="42"/>
  <c r="W19" i="42" s="1"/>
  <c r="U19" i="42"/>
  <c r="Q229" i="42"/>
  <c r="R229" i="42"/>
  <c r="P229" i="42"/>
  <c r="U229" i="42"/>
  <c r="Q189" i="42"/>
  <c r="R189" i="42"/>
  <c r="P189" i="42"/>
  <c r="U189" i="42"/>
  <c r="Q133" i="42"/>
  <c r="R133" i="42"/>
  <c r="P133" i="42"/>
  <c r="U133" i="42"/>
  <c r="Q29" i="42"/>
  <c r="R29" i="42"/>
  <c r="P29" i="42"/>
  <c r="U29" i="42"/>
  <c r="Q250" i="42"/>
  <c r="R250" i="42"/>
  <c r="P250" i="42"/>
  <c r="U250" i="42"/>
  <c r="Q226" i="42"/>
  <c r="R226" i="42"/>
  <c r="P226" i="42"/>
  <c r="U226" i="42"/>
  <c r="Q210" i="42"/>
  <c r="R210" i="42"/>
  <c r="P210" i="42"/>
  <c r="U210" i="42"/>
  <c r="Q202" i="42"/>
  <c r="R202" i="42"/>
  <c r="P202" i="42"/>
  <c r="U202" i="42"/>
  <c r="Q186" i="42"/>
  <c r="P186" i="42"/>
  <c r="R186" i="42"/>
  <c r="U186" i="42"/>
  <c r="Q178" i="42"/>
  <c r="P178" i="42"/>
  <c r="R178" i="42"/>
  <c r="U178" i="42"/>
  <c r="Q170" i="42"/>
  <c r="P170" i="42"/>
  <c r="R170" i="42"/>
  <c r="U170" i="42"/>
  <c r="Q162" i="42"/>
  <c r="P162" i="42"/>
  <c r="R162" i="42"/>
  <c r="U162" i="42"/>
  <c r="Q154" i="42"/>
  <c r="P154" i="42"/>
  <c r="R154" i="42"/>
  <c r="U154" i="42"/>
  <c r="Q146" i="42"/>
  <c r="P146" i="42"/>
  <c r="R146" i="42"/>
  <c r="U146" i="42"/>
  <c r="Q138" i="42"/>
  <c r="P138" i="42"/>
  <c r="R138" i="42"/>
  <c r="U138" i="42"/>
  <c r="Q130" i="42"/>
  <c r="P130" i="42"/>
  <c r="R130" i="42"/>
  <c r="U130" i="42"/>
  <c r="Q122" i="42"/>
  <c r="P122" i="42"/>
  <c r="R122" i="42"/>
  <c r="W122" i="42" s="1"/>
  <c r="U122" i="42"/>
  <c r="Q114" i="42"/>
  <c r="P114" i="42"/>
  <c r="R114" i="42"/>
  <c r="W114" i="42" s="1"/>
  <c r="U114" i="42"/>
  <c r="Q106" i="42"/>
  <c r="P106" i="42"/>
  <c r="R106" i="42"/>
  <c r="W106" i="42" s="1"/>
  <c r="U106" i="42"/>
  <c r="Q98" i="42"/>
  <c r="P98" i="42"/>
  <c r="R98" i="42"/>
  <c r="W98" i="42" s="1"/>
  <c r="U98" i="42"/>
  <c r="Q90" i="42"/>
  <c r="P90" i="42"/>
  <c r="R90" i="42"/>
  <c r="W90" i="42" s="1"/>
  <c r="U90" i="42"/>
  <c r="Q82" i="42"/>
  <c r="P82" i="42"/>
  <c r="R82" i="42"/>
  <c r="W82" i="42" s="1"/>
  <c r="U82" i="42"/>
  <c r="Q74" i="42"/>
  <c r="P74" i="42"/>
  <c r="R74" i="42"/>
  <c r="W74" i="42" s="1"/>
  <c r="U74" i="42"/>
  <c r="Q66" i="42"/>
  <c r="P66" i="42"/>
  <c r="R66" i="42"/>
  <c r="W66" i="42" s="1"/>
  <c r="U66" i="42"/>
  <c r="Q58" i="42"/>
  <c r="P58" i="42"/>
  <c r="R58" i="42"/>
  <c r="W58" i="42" s="1"/>
  <c r="U58" i="42"/>
  <c r="Q50" i="42"/>
  <c r="P50" i="42"/>
  <c r="R50" i="42"/>
  <c r="W50" i="42" s="1"/>
  <c r="U50" i="42"/>
  <c r="Q42" i="42"/>
  <c r="P42" i="42"/>
  <c r="R42" i="42"/>
  <c r="W42" i="42" s="1"/>
  <c r="U42" i="42"/>
  <c r="Q34" i="42"/>
  <c r="P34" i="42"/>
  <c r="R34" i="42"/>
  <c r="W34" i="42" s="1"/>
  <c r="U34" i="42"/>
  <c r="Q26" i="42"/>
  <c r="P26" i="42"/>
  <c r="R26" i="42"/>
  <c r="U26" i="42"/>
  <c r="Q18" i="42"/>
  <c r="P18" i="42"/>
  <c r="R18" i="42"/>
  <c r="W18" i="42" s="1"/>
  <c r="U18" i="42"/>
  <c r="Q237" i="42"/>
  <c r="R237" i="42"/>
  <c r="P237" i="42"/>
  <c r="U237" i="42"/>
  <c r="Q197" i="42"/>
  <c r="R197" i="42"/>
  <c r="P197" i="42"/>
  <c r="U197" i="42"/>
  <c r="Q149" i="42"/>
  <c r="R149" i="42"/>
  <c r="P149" i="42"/>
  <c r="U149" i="42"/>
  <c r="Q117" i="42"/>
  <c r="R117" i="42"/>
  <c r="P117" i="42"/>
  <c r="U117" i="42"/>
  <c r="Q77" i="42"/>
  <c r="R77" i="42"/>
  <c r="P77" i="42"/>
  <c r="U77" i="42"/>
  <c r="Q53" i="42"/>
  <c r="R53" i="42"/>
  <c r="P53" i="42"/>
  <c r="U53" i="42"/>
  <c r="Q258" i="42"/>
  <c r="R258" i="42"/>
  <c r="P258" i="42"/>
  <c r="U258" i="42"/>
  <c r="Q242" i="42"/>
  <c r="R242" i="42"/>
  <c r="P242" i="42"/>
  <c r="U242" i="42"/>
  <c r="Q218" i="42"/>
  <c r="R218" i="42"/>
  <c r="P218" i="42"/>
  <c r="U218" i="42"/>
  <c r="Q194" i="42"/>
  <c r="P194" i="42"/>
  <c r="R194" i="42"/>
  <c r="U194" i="42"/>
  <c r="Q257" i="42"/>
  <c r="R257" i="42"/>
  <c r="W257" i="42" s="1"/>
  <c r="P257" i="42"/>
  <c r="U257" i="42"/>
  <c r="Q249" i="42"/>
  <c r="R249" i="42"/>
  <c r="W249" i="42" s="1"/>
  <c r="P249" i="42"/>
  <c r="U249" i="42"/>
  <c r="Q241" i="42"/>
  <c r="R241" i="42"/>
  <c r="P241" i="42"/>
  <c r="U241" i="42"/>
  <c r="Q233" i="42"/>
  <c r="R233" i="42"/>
  <c r="W233" i="42" s="1"/>
  <c r="P233" i="42"/>
  <c r="U233" i="42"/>
  <c r="Q225" i="42"/>
  <c r="R225" i="42"/>
  <c r="W225" i="42" s="1"/>
  <c r="P225" i="42"/>
  <c r="U225" i="42"/>
  <c r="Q217" i="42"/>
  <c r="R217" i="42"/>
  <c r="W217" i="42" s="1"/>
  <c r="P217" i="42"/>
  <c r="U217" i="42"/>
  <c r="Q209" i="42"/>
  <c r="R209" i="42"/>
  <c r="W209" i="42" s="1"/>
  <c r="P209" i="42"/>
  <c r="U209" i="42"/>
  <c r="Q201" i="42"/>
  <c r="R201" i="42"/>
  <c r="W201" i="42" s="1"/>
  <c r="P201" i="42"/>
  <c r="U201" i="42"/>
  <c r="Q193" i="42"/>
  <c r="P193" i="42"/>
  <c r="R193" i="42"/>
  <c r="W193" i="42" s="1"/>
  <c r="U193" i="42"/>
  <c r="Q185" i="42"/>
  <c r="P185" i="42"/>
  <c r="R185" i="42"/>
  <c r="W185" i="42" s="1"/>
  <c r="U185" i="42"/>
  <c r="Q177" i="42"/>
  <c r="P177" i="42"/>
  <c r="R177" i="42"/>
  <c r="W177" i="42" s="1"/>
  <c r="U177" i="42"/>
  <c r="Q169" i="42"/>
  <c r="P169" i="42"/>
  <c r="R169" i="42"/>
  <c r="W169" i="42" s="1"/>
  <c r="U169" i="42"/>
  <c r="Q161" i="42"/>
  <c r="P161" i="42"/>
  <c r="R161" i="42"/>
  <c r="W161" i="42" s="1"/>
  <c r="U161" i="42"/>
  <c r="Q153" i="42"/>
  <c r="P153" i="42"/>
  <c r="R153" i="42"/>
  <c r="W153" i="42" s="1"/>
  <c r="U153" i="42"/>
  <c r="Q145" i="42"/>
  <c r="P145" i="42"/>
  <c r="R145" i="42"/>
  <c r="W145" i="42" s="1"/>
  <c r="U145" i="42"/>
  <c r="Q137" i="42"/>
  <c r="P137" i="42"/>
  <c r="R137" i="42"/>
  <c r="W137" i="42" s="1"/>
  <c r="U137" i="42"/>
  <c r="Q129" i="42"/>
  <c r="P129" i="42"/>
  <c r="R129" i="42"/>
  <c r="W129" i="42" s="1"/>
  <c r="U129" i="42"/>
  <c r="Q121" i="42"/>
  <c r="P121" i="42"/>
  <c r="R121" i="42"/>
  <c r="W121" i="42" s="1"/>
  <c r="U121" i="42"/>
  <c r="Q113" i="42"/>
  <c r="P113" i="42"/>
  <c r="R113" i="42"/>
  <c r="W113" i="42" s="1"/>
  <c r="U113" i="42"/>
  <c r="Q105" i="42"/>
  <c r="P105" i="42"/>
  <c r="R105" i="42"/>
  <c r="W105" i="42" s="1"/>
  <c r="U105" i="42"/>
  <c r="Q97" i="42"/>
  <c r="P97" i="42"/>
  <c r="R97" i="42"/>
  <c r="W97" i="42" s="1"/>
  <c r="U97" i="42"/>
  <c r="Q89" i="42"/>
  <c r="P89" i="42"/>
  <c r="R89" i="42"/>
  <c r="W89" i="42" s="1"/>
  <c r="U89" i="42"/>
  <c r="Q81" i="42"/>
  <c r="P81" i="42"/>
  <c r="R81" i="42"/>
  <c r="W81" i="42" s="1"/>
  <c r="U81" i="42"/>
  <c r="Q73" i="42"/>
  <c r="P73" i="42"/>
  <c r="R73" i="42"/>
  <c r="W73" i="42" s="1"/>
  <c r="U73" i="42"/>
  <c r="Q65" i="42"/>
  <c r="P65" i="42"/>
  <c r="R65" i="42"/>
  <c r="W65" i="42" s="1"/>
  <c r="U65" i="42"/>
  <c r="Q57" i="42"/>
  <c r="P57" i="42"/>
  <c r="R57" i="42"/>
  <c r="W57" i="42" s="1"/>
  <c r="U57" i="42"/>
  <c r="Q49" i="42"/>
  <c r="P49" i="42"/>
  <c r="R49" i="42"/>
  <c r="W49" i="42" s="1"/>
  <c r="U49" i="42"/>
  <c r="Q41" i="42"/>
  <c r="P41" i="42"/>
  <c r="R41" i="42"/>
  <c r="W41" i="42" s="1"/>
  <c r="U41" i="42"/>
  <c r="Q33" i="42"/>
  <c r="P33" i="42"/>
  <c r="R33" i="42"/>
  <c r="W33" i="42" s="1"/>
  <c r="U33" i="42"/>
  <c r="Q25" i="42"/>
  <c r="P25" i="42"/>
  <c r="R25" i="42"/>
  <c r="W25" i="42" s="1"/>
  <c r="U25" i="42"/>
  <c r="Q17" i="42"/>
  <c r="P17" i="42"/>
  <c r="R17" i="42"/>
  <c r="W17" i="42" s="1"/>
  <c r="U17" i="42"/>
  <c r="P12" i="42"/>
  <c r="Q12" i="42" s="1"/>
  <c r="V12" i="42"/>
  <c r="N238" i="52"/>
  <c r="U238" i="52" s="1"/>
  <c r="N154" i="52"/>
  <c r="U154" i="52" s="1"/>
  <c r="N174" i="52"/>
  <c r="U174" i="52" s="1"/>
  <c r="N90" i="52"/>
  <c r="U90" i="52" s="1"/>
  <c r="K100" i="36"/>
  <c r="N110" i="52"/>
  <c r="U110" i="52" s="1"/>
  <c r="N26" i="52"/>
  <c r="U26" i="52" s="1"/>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F155" i="22" s="1"/>
  <c r="D108" i="36" s="1"/>
  <c r="D148" i="36" s="1"/>
  <c r="I146" i="22"/>
  <c r="K108" i="36"/>
  <c r="K106" i="36"/>
  <c r="K104" i="36"/>
  <c r="K102" i="36"/>
  <c r="N16" i="52"/>
  <c r="U16" i="52" s="1"/>
  <c r="F21" i="36"/>
  <c r="N216" i="52"/>
  <c r="U216" i="52" s="1"/>
  <c r="N184" i="52"/>
  <c r="U184" i="52" s="1"/>
  <c r="N152" i="52"/>
  <c r="U152" i="52" s="1"/>
  <c r="N120" i="52"/>
  <c r="U120" i="52" s="1"/>
  <c r="N88" i="52"/>
  <c r="U88" i="52" s="1"/>
  <c r="N66" i="52"/>
  <c r="U66" i="52" s="1"/>
  <c r="N56" i="52"/>
  <c r="U56" i="52" s="1"/>
  <c r="N24" i="52"/>
  <c r="U24" i="52" s="1"/>
  <c r="N224" i="52"/>
  <c r="U224" i="52" s="1"/>
  <c r="N192" i="52"/>
  <c r="U192" i="52" s="1"/>
  <c r="N160" i="52"/>
  <c r="U160" i="52" s="1"/>
  <c r="N128" i="52"/>
  <c r="U128" i="52" s="1"/>
  <c r="N96" i="52"/>
  <c r="U96" i="52" s="1"/>
  <c r="N64" i="52"/>
  <c r="U64" i="52" s="1"/>
  <c r="N42" i="52"/>
  <c r="U42" i="52" s="1"/>
  <c r="N32" i="52"/>
  <c r="U32" i="52" s="1"/>
  <c r="N248" i="52"/>
  <c r="U248" i="52" s="1"/>
  <c r="N256" i="52"/>
  <c r="U256" i="52" s="1"/>
  <c r="N232" i="52"/>
  <c r="U232" i="52" s="1"/>
  <c r="N200" i="52"/>
  <c r="U200" i="52" s="1"/>
  <c r="N168" i="52"/>
  <c r="U168" i="52" s="1"/>
  <c r="N136" i="52"/>
  <c r="U136" i="52" s="1"/>
  <c r="N104" i="52"/>
  <c r="U104" i="52" s="1"/>
  <c r="N72" i="52"/>
  <c r="U72" i="52" s="1"/>
  <c r="N40" i="52"/>
  <c r="U40" i="52" s="1"/>
  <c r="W253" i="42"/>
  <c r="W241" i="42"/>
  <c r="W221" i="42"/>
  <c r="W120" i="42"/>
  <c r="W88" i="42"/>
  <c r="W72" i="42"/>
  <c r="W56" i="42"/>
  <c r="W40" i="42"/>
  <c r="W126" i="42"/>
  <c r="W110" i="42"/>
  <c r="N86" i="52"/>
  <c r="U86" i="52" s="1"/>
  <c r="N76" i="52"/>
  <c r="U76" i="52" s="1"/>
  <c r="N22" i="52"/>
  <c r="U22" i="52" s="1"/>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U34" i="52" s="1"/>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U28" i="52" s="1"/>
  <c r="N18" i="52"/>
  <c r="U18" i="52" s="1"/>
  <c r="N222" i="52"/>
  <c r="U222" i="52" s="1"/>
  <c r="N212" i="52"/>
  <c r="U212" i="52" s="1"/>
  <c r="N202" i="52"/>
  <c r="U202" i="52" s="1"/>
  <c r="N158" i="52"/>
  <c r="U158" i="52" s="1"/>
  <c r="N148" i="52"/>
  <c r="U148" i="52" s="1"/>
  <c r="N138" i="52"/>
  <c r="U138" i="52" s="1"/>
  <c r="N94" i="52"/>
  <c r="U94" i="52" s="1"/>
  <c r="N84" i="52"/>
  <c r="U84" i="52" s="1"/>
  <c r="N74" i="52"/>
  <c r="U74" i="52" s="1"/>
  <c r="N30" i="52"/>
  <c r="U30" i="52" s="1"/>
  <c r="N20" i="52"/>
  <c r="U20" i="52" s="1"/>
  <c r="F27" i="36"/>
  <c r="N12" i="52"/>
  <c r="U12" i="52" s="1"/>
  <c r="N11" i="52"/>
  <c r="N14" i="52"/>
  <c r="U14" i="52" s="1"/>
  <c r="R227" i="55"/>
  <c r="X12" i="58"/>
  <c r="W175" i="42"/>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H150" i="22" s="1"/>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R245" i="55"/>
  <c r="R224" i="55"/>
  <c r="R197" i="55"/>
  <c r="N165" i="55"/>
  <c r="U165" i="55" s="1"/>
  <c r="R133" i="55"/>
  <c r="N108" i="55"/>
  <c r="U108" i="55" s="1"/>
  <c r="R88" i="55"/>
  <c r="S65" i="55"/>
  <c r="R44" i="55"/>
  <c r="N24" i="55"/>
  <c r="U24" i="55" s="1"/>
  <c r="R244" i="55"/>
  <c r="S221" i="55"/>
  <c r="S193" i="55"/>
  <c r="S161" i="55"/>
  <c r="S129" i="55"/>
  <c r="S105" i="55"/>
  <c r="R84" i="55"/>
  <c r="N64" i="55"/>
  <c r="U64" i="55" s="1"/>
  <c r="R41" i="55"/>
  <c r="N20" i="55"/>
  <c r="U20" i="55" s="1"/>
  <c r="R240" i="55"/>
  <c r="R217" i="55"/>
  <c r="R189" i="55"/>
  <c r="S157" i="55"/>
  <c r="R125" i="55"/>
  <c r="R104" i="55"/>
  <c r="N81" i="55"/>
  <c r="U81" i="55" s="1"/>
  <c r="R60" i="55"/>
  <c r="S40" i="55"/>
  <c r="N17" i="55"/>
  <c r="U17" i="55" s="1"/>
  <c r="R237" i="55"/>
  <c r="R216" i="55"/>
  <c r="R185" i="55"/>
  <c r="S153" i="55"/>
  <c r="N121" i="55"/>
  <c r="U121" i="55" s="1"/>
  <c r="R100" i="55"/>
  <c r="R80" i="55"/>
  <c r="N57" i="55"/>
  <c r="U57" i="55" s="1"/>
  <c r="S36" i="55"/>
  <c r="R16" i="55"/>
  <c r="R213" i="55"/>
  <c r="R181" i="55"/>
  <c r="S149" i="55"/>
  <c r="N120" i="55"/>
  <c r="U120" i="55" s="1"/>
  <c r="S97" i="55"/>
  <c r="N76" i="55"/>
  <c r="U76" i="55" s="1"/>
  <c r="R56" i="55"/>
  <c r="N33" i="55"/>
  <c r="U33" i="55" s="1"/>
  <c r="R232" i="55"/>
  <c r="S209" i="55"/>
  <c r="N177" i="55"/>
  <c r="U177" i="55" s="1"/>
  <c r="S145" i="55"/>
  <c r="N116" i="55"/>
  <c r="U116" i="55" s="1"/>
  <c r="S96" i="55"/>
  <c r="S73" i="55"/>
  <c r="N52" i="55"/>
  <c r="U52" i="55" s="1"/>
  <c r="S32" i="55"/>
  <c r="R256" i="55"/>
  <c r="R229" i="55"/>
  <c r="N205" i="55"/>
  <c r="U205" i="55" s="1"/>
  <c r="S173" i="55"/>
  <c r="N141" i="55"/>
  <c r="U141" i="55" s="1"/>
  <c r="N113" i="55"/>
  <c r="U113" i="55" s="1"/>
  <c r="R92" i="55"/>
  <c r="N72" i="55"/>
  <c r="U72" i="55" s="1"/>
  <c r="R49" i="55"/>
  <c r="S28" i="55"/>
  <c r="R249" i="55"/>
  <c r="R228" i="55"/>
  <c r="N201" i="55"/>
  <c r="U201" i="55" s="1"/>
  <c r="N169" i="55"/>
  <c r="U169" i="55" s="1"/>
  <c r="S137" i="55"/>
  <c r="N112" i="55"/>
  <c r="U112" i="55" s="1"/>
  <c r="S89" i="55"/>
  <c r="R68" i="55"/>
  <c r="S48" i="55"/>
  <c r="N25" i="55"/>
  <c r="U25" i="55" s="1"/>
  <c r="N248" i="55"/>
  <c r="U248" i="55" s="1"/>
  <c r="S253" i="55"/>
  <c r="R252" i="55"/>
  <c r="R236" i="55"/>
  <c r="R220" i="55"/>
  <c r="R212" i="55"/>
  <c r="S257" i="55"/>
  <c r="R241" i="55"/>
  <c r="S117" i="55"/>
  <c r="S109" i="55"/>
  <c r="N101" i="55"/>
  <c r="U101" i="55" s="1"/>
  <c r="R93" i="55"/>
  <c r="S85" i="55"/>
  <c r="S77" i="55"/>
  <c r="R69" i="55"/>
  <c r="R61" i="55"/>
  <c r="R53" i="55"/>
  <c r="R45" i="55"/>
  <c r="N37" i="55"/>
  <c r="U37" i="55" s="1"/>
  <c r="S29" i="55"/>
  <c r="R21" i="55"/>
  <c r="V156" i="22" s="1"/>
  <c r="N239" i="55"/>
  <c r="U239" i="55" s="1"/>
  <c r="N235" i="55"/>
  <c r="U235" i="55" s="1"/>
  <c r="N115" i="55"/>
  <c r="U115" i="55" s="1"/>
  <c r="S111" i="55"/>
  <c r="S107" i="55"/>
  <c r="S103" i="55"/>
  <c r="N99" i="55"/>
  <c r="U99" i="55" s="1"/>
  <c r="S95" i="55"/>
  <c r="S91" i="55"/>
  <c r="S87" i="55"/>
  <c r="S83" i="55"/>
  <c r="N79" i="55"/>
  <c r="U79" i="55" s="1"/>
  <c r="N75" i="55"/>
  <c r="U75" i="55" s="1"/>
  <c r="S71" i="55"/>
  <c r="S67" i="55"/>
  <c r="N63" i="55"/>
  <c r="U63" i="55" s="1"/>
  <c r="S59" i="55"/>
  <c r="S55" i="55"/>
  <c r="R51" i="55"/>
  <c r="R47" i="55"/>
  <c r="R43" i="55"/>
  <c r="N39" i="55"/>
  <c r="U39" i="55" s="1"/>
  <c r="R35" i="55"/>
  <c r="N31" i="55"/>
  <c r="U31" i="55" s="1"/>
  <c r="R27" i="55"/>
  <c r="N23" i="55"/>
  <c r="U23" i="55" s="1"/>
  <c r="R19" i="55"/>
  <c r="R15" i="55"/>
  <c r="N254" i="55"/>
  <c r="U254" i="55" s="1"/>
  <c r="R250" i="55"/>
  <c r="N234" i="55"/>
  <c r="U234" i="55" s="1"/>
  <c r="S222" i="55"/>
  <c r="R218" i="55"/>
  <c r="R214" i="55"/>
  <c r="R210" i="55"/>
  <c r="R206" i="55"/>
  <c r="S202" i="55"/>
  <c r="R198" i="55"/>
  <c r="R194" i="55"/>
  <c r="S190" i="55"/>
  <c r="R186" i="55"/>
  <c r="N182" i="55"/>
  <c r="U182" i="55" s="1"/>
  <c r="R178" i="55"/>
  <c r="R174" i="55"/>
  <c r="N170" i="55"/>
  <c r="U170" i="55" s="1"/>
  <c r="R166" i="55"/>
  <c r="R162" i="55"/>
  <c r="S158" i="55"/>
  <c r="R154" i="55"/>
  <c r="R150" i="55"/>
  <c r="R146" i="55"/>
  <c r="R142" i="55"/>
  <c r="S138" i="55"/>
  <c r="R134" i="55"/>
  <c r="R130" i="55"/>
  <c r="S126" i="55"/>
  <c r="R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U35" i="52" s="1"/>
  <c r="N31" i="52"/>
  <c r="U31" i="52" s="1"/>
  <c r="N27" i="52"/>
  <c r="U27" i="52" s="1"/>
  <c r="N23" i="52"/>
  <c r="U23" i="52" s="1"/>
  <c r="N19" i="52"/>
  <c r="U19" i="52" s="1"/>
  <c r="N15" i="52"/>
  <c r="U15" i="52" s="1"/>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U33" i="52" s="1"/>
  <c r="N29" i="52"/>
  <c r="U29" i="52" s="1"/>
  <c r="N25" i="52"/>
  <c r="U25" i="52" s="1"/>
  <c r="N21" i="52"/>
  <c r="U21" i="52" s="1"/>
  <c r="N17" i="52"/>
  <c r="U17" i="52" s="1"/>
  <c r="N13" i="52"/>
  <c r="U13" i="52" s="1"/>
  <c r="R14" i="55"/>
  <c r="R13" i="55"/>
  <c r="S12" i="55"/>
  <c r="N11" i="55"/>
  <c r="U11" i="55" s="1"/>
  <c r="N10" i="55"/>
  <c r="R11" i="52"/>
  <c r="AK10" i="55" a="1"/>
  <c r="AK10" i="55" s="1"/>
  <c r="B12" i="57" s="1"/>
  <c r="AK10" i="52" a="1"/>
  <c r="AK10" i="52" s="1"/>
  <c r="B12" i="53" s="1"/>
  <c r="AJ10" i="55" a="1"/>
  <c r="AJ10" i="55" s="1"/>
  <c r="AJ11" i="55" s="1" a="1"/>
  <c r="AJ11" i="55" s="1"/>
  <c r="T258" i="55"/>
  <c r="AJ10" i="52" a="1"/>
  <c r="AJ10" i="52" s="1"/>
  <c r="AJ11" i="52" s="1" a="1"/>
  <c r="AJ11" i="52" s="1"/>
  <c r="T258" i="52"/>
  <c r="R13" i="42" l="1"/>
  <c r="M3" i="42"/>
  <c r="F153" i="22"/>
  <c r="D106" i="36" s="1"/>
  <c r="D146" i="36" s="1"/>
  <c r="F154" i="22"/>
  <c r="D107" i="36" s="1"/>
  <c r="D147" i="36" s="1"/>
  <c r="W146" i="22"/>
  <c r="W147" i="22"/>
  <c r="L12" i="53"/>
  <c r="P12" i="57"/>
  <c r="C12" i="57"/>
  <c r="M12" i="57" s="1"/>
  <c r="T12" i="42"/>
  <c r="U12" i="42" s="1"/>
  <c r="Y12" i="58"/>
  <c r="W158" i="22"/>
  <c r="W153" i="22"/>
  <c r="F146" i="22"/>
  <c r="D99" i="36" s="1"/>
  <c r="W14" i="42"/>
  <c r="W15" i="42"/>
  <c r="W255" i="42"/>
  <c r="R10" i="52"/>
  <c r="H148" i="22"/>
  <c r="T146" i="22"/>
  <c r="D119" i="36" s="1"/>
  <c r="T147" i="22"/>
  <c r="D120" i="36" s="1"/>
  <c r="S10" i="52"/>
  <c r="W242" i="42"/>
  <c r="W250" i="42"/>
  <c r="W26" i="42"/>
  <c r="W226" i="42"/>
  <c r="W258" i="42"/>
  <c r="W63" i="42"/>
  <c r="W127" i="42"/>
  <c r="W150" i="42"/>
  <c r="W238" i="42"/>
  <c r="W246" i="42"/>
  <c r="W234" i="42"/>
  <c r="W236" i="42"/>
  <c r="W87" i="42"/>
  <c r="W191" i="42"/>
  <c r="F148" i="22"/>
  <c r="D101" i="36" s="1"/>
  <c r="D141" i="36" s="1"/>
  <c r="F149" i="22"/>
  <c r="D102" i="36" s="1"/>
  <c r="D142" i="36" s="1"/>
  <c r="W183" i="42"/>
  <c r="W124" i="42"/>
  <c r="F150" i="22"/>
  <c r="D103" i="36" s="1"/>
  <c r="D143" i="36" s="1"/>
  <c r="W239" i="42"/>
  <c r="F147" i="22"/>
  <c r="D100" i="36" s="1"/>
  <c r="F156" i="22"/>
  <c r="D109" i="36" s="1"/>
  <c r="W109" i="42"/>
  <c r="W199" i="42"/>
  <c r="S227" i="55"/>
  <c r="W84" i="42"/>
  <c r="W45" i="42"/>
  <c r="W245" i="42"/>
  <c r="W247" i="42"/>
  <c r="W39" i="42"/>
  <c r="W79" i="42"/>
  <c r="W160" i="42"/>
  <c r="W215" i="42"/>
  <c r="W197" i="42"/>
  <c r="W77" i="42"/>
  <c r="W103" i="42"/>
  <c r="L104" i="36"/>
  <c r="L106" i="36"/>
  <c r="L100" i="36"/>
  <c r="F152" i="22"/>
  <c r="D105" i="36" s="1"/>
  <c r="D145" i="36" s="1"/>
  <c r="L102" i="36"/>
  <c r="L108" i="36"/>
  <c r="F158" i="22"/>
  <c r="D111" i="36" s="1"/>
  <c r="F151" i="22"/>
  <c r="D104" i="36" s="1"/>
  <c r="D144" i="36" s="1"/>
  <c r="N227" i="55"/>
  <c r="U227" i="55" s="1"/>
  <c r="W231" i="42"/>
  <c r="W189" i="42"/>
  <c r="W136" i="42"/>
  <c r="W144" i="42"/>
  <c r="W168" i="42"/>
  <c r="W240" i="42"/>
  <c r="W125" i="42"/>
  <c r="W142" i="42"/>
  <c r="W166" i="42"/>
  <c r="W206" i="42"/>
  <c r="W230" i="42"/>
  <c r="W29" i="42"/>
  <c r="W37" i="42"/>
  <c r="W52" i="42"/>
  <c r="W71" i="42"/>
  <c r="W92" i="42"/>
  <c r="W213" i="42"/>
  <c r="W93" i="42"/>
  <c r="W111" i="42"/>
  <c r="W146" i="42"/>
  <c r="W218" i="42"/>
  <c r="W149" i="42"/>
  <c r="W68" i="42"/>
  <c r="W95" i="42"/>
  <c r="W207" i="42"/>
  <c r="W205" i="42"/>
  <c r="W101" i="42"/>
  <c r="W119" i="42"/>
  <c r="W20" i="42"/>
  <c r="W158" i="42"/>
  <c r="W214" i="42"/>
  <c r="W181" i="42"/>
  <c r="W31" i="42"/>
  <c r="W55" i="42"/>
  <c r="W116" i="42"/>
  <c r="W223" i="42"/>
  <c r="W141" i="42"/>
  <c r="W173" i="42"/>
  <c r="W69" i="42"/>
  <c r="W108" i="42"/>
  <c r="W134" i="42"/>
  <c r="W198" i="42"/>
  <c r="W53" i="42"/>
  <c r="W229" i="42"/>
  <c r="W159" i="42"/>
  <c r="W21" i="42"/>
  <c r="W36" i="42"/>
  <c r="W167" i="42"/>
  <c r="W76" i="42"/>
  <c r="W165" i="42"/>
  <c r="F30" i="36"/>
  <c r="L12" i="57"/>
  <c r="N245" i="55"/>
  <c r="U245" i="55" s="1"/>
  <c r="N197" i="55"/>
  <c r="U197" i="55" s="1"/>
  <c r="S133" i="55"/>
  <c r="N65" i="55"/>
  <c r="U65" i="55" s="1"/>
  <c r="N193" i="55"/>
  <c r="U193" i="55" s="1"/>
  <c r="R96" i="55"/>
  <c r="N105" i="55"/>
  <c r="U105" i="55" s="1"/>
  <c r="S213" i="55"/>
  <c r="W16" i="42"/>
  <c r="S245" i="55"/>
  <c r="R149" i="55"/>
  <c r="R157" i="55"/>
  <c r="R72" i="55"/>
  <c r="R173" i="55"/>
  <c r="R37" i="55"/>
  <c r="N237" i="55"/>
  <c r="U237" i="55" s="1"/>
  <c r="S69" i="55"/>
  <c r="R221" i="55"/>
  <c r="R120" i="55"/>
  <c r="N44" i="55"/>
  <c r="U44" i="55" s="1"/>
  <c r="S101" i="55"/>
  <c r="S237" i="55"/>
  <c r="W47" i="42"/>
  <c r="W60" i="42"/>
  <c r="W117" i="42"/>
  <c r="W157" i="42"/>
  <c r="W133" i="42"/>
  <c r="W85" i="42"/>
  <c r="W151" i="42"/>
  <c r="W61" i="42"/>
  <c r="W237" i="42"/>
  <c r="W23" i="42"/>
  <c r="W44" i="42"/>
  <c r="W135" i="42"/>
  <c r="W100" i="42"/>
  <c r="W143" i="42"/>
  <c r="S25" i="52"/>
  <c r="R25" i="52"/>
  <c r="S57" i="52"/>
  <c r="R57" i="52"/>
  <c r="S89" i="52"/>
  <c r="R89" i="52"/>
  <c r="S121" i="52"/>
  <c r="R121" i="52"/>
  <c r="S153" i="52"/>
  <c r="R153" i="52"/>
  <c r="S185" i="52"/>
  <c r="R185" i="52"/>
  <c r="S217" i="52"/>
  <c r="R217" i="52"/>
  <c r="S249" i="52"/>
  <c r="R249" i="52"/>
  <c r="S35" i="52"/>
  <c r="R35" i="52"/>
  <c r="S67" i="52"/>
  <c r="R67" i="52"/>
  <c r="S99" i="52"/>
  <c r="R99" i="52"/>
  <c r="S131" i="52"/>
  <c r="R131" i="52"/>
  <c r="S163" i="52"/>
  <c r="R163" i="52"/>
  <c r="S195" i="52"/>
  <c r="R195" i="52"/>
  <c r="S227" i="52"/>
  <c r="R227" i="52"/>
  <c r="W132" i="42"/>
  <c r="W148" i="42"/>
  <c r="W164" i="42"/>
  <c r="W180" i="42"/>
  <c r="W196" i="42"/>
  <c r="W212" i="42"/>
  <c r="W228" i="42"/>
  <c r="W244" i="42"/>
  <c r="R246" i="55"/>
  <c r="S246" i="55"/>
  <c r="S225" i="55"/>
  <c r="R225" i="55"/>
  <c r="S123" i="55"/>
  <c r="R123" i="55"/>
  <c r="S139" i="55"/>
  <c r="R139" i="55"/>
  <c r="S159" i="55"/>
  <c r="R159" i="55"/>
  <c r="S179" i="55"/>
  <c r="R179" i="55"/>
  <c r="S203" i="55"/>
  <c r="R203" i="55"/>
  <c r="S26" i="55"/>
  <c r="R26" i="55"/>
  <c r="R70" i="55"/>
  <c r="S70" i="55"/>
  <c r="S175" i="55"/>
  <c r="R175" i="55"/>
  <c r="S223" i="55"/>
  <c r="R223" i="55"/>
  <c r="N153" i="55"/>
  <c r="U153" i="55" s="1"/>
  <c r="R29" i="55"/>
  <c r="S61" i="55"/>
  <c r="S93" i="55"/>
  <c r="S125" i="55"/>
  <c r="S189" i="55"/>
  <c r="R24" i="55"/>
  <c r="S56" i="55"/>
  <c r="S88" i="55"/>
  <c r="S120" i="55"/>
  <c r="S11" i="55"/>
  <c r="S43" i="55"/>
  <c r="R75" i="55"/>
  <c r="R107" i="55"/>
  <c r="S248" i="55"/>
  <c r="R126" i="55"/>
  <c r="R158" i="55"/>
  <c r="R190" i="55"/>
  <c r="R222" i="55"/>
  <c r="S17" i="55"/>
  <c r="S49" i="55"/>
  <c r="R81" i="55"/>
  <c r="R113" i="55"/>
  <c r="R145" i="55"/>
  <c r="R177" i="55"/>
  <c r="R209" i="55"/>
  <c r="R12" i="55"/>
  <c r="S44" i="55"/>
  <c r="R76" i="55"/>
  <c r="R108" i="55"/>
  <c r="S241" i="55"/>
  <c r="S15" i="55"/>
  <c r="S47" i="55"/>
  <c r="R79" i="55"/>
  <c r="R111" i="55"/>
  <c r="S252" i="55"/>
  <c r="R138" i="55"/>
  <c r="R170" i="55"/>
  <c r="R202" i="55"/>
  <c r="S165" i="52"/>
  <c r="R165" i="52"/>
  <c r="S47" i="52"/>
  <c r="R47" i="52"/>
  <c r="W186" i="4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W22" i="42"/>
  <c r="W182" i="42"/>
  <c r="S255" i="55"/>
  <c r="R255" i="55"/>
  <c r="S247" i="55"/>
  <c r="R247" i="55"/>
  <c r="S38" i="55"/>
  <c r="R38" i="55"/>
  <c r="R58" i="55"/>
  <c r="S58" i="55"/>
  <c r="R102" i="55"/>
  <c r="S102" i="55"/>
  <c r="R132" i="55"/>
  <c r="S132" i="55"/>
  <c r="R148" i="55"/>
  <c r="S148" i="55"/>
  <c r="R164" i="55"/>
  <c r="S164" i="55"/>
  <c r="R180" i="55"/>
  <c r="S180" i="55"/>
  <c r="R196" i="55"/>
  <c r="S196" i="55"/>
  <c r="R98" i="55"/>
  <c r="S98" i="55"/>
  <c r="N161" i="55"/>
  <c r="U161" i="55" s="1"/>
  <c r="R233" i="55"/>
  <c r="S233" i="55"/>
  <c r="S37" i="55"/>
  <c r="R101" i="55"/>
  <c r="R165" i="55"/>
  <c r="S197" i="55"/>
  <c r="S234" i="55"/>
  <c r="S24" i="55"/>
  <c r="R11" i="55"/>
  <c r="S75" i="55"/>
  <c r="R248" i="55"/>
  <c r="S134" i="55"/>
  <c r="S166" i="55"/>
  <c r="S198" i="55"/>
  <c r="R17" i="55"/>
  <c r="S81" i="55"/>
  <c r="S113" i="55"/>
  <c r="S177" i="55"/>
  <c r="R20" i="55"/>
  <c r="R52" i="55"/>
  <c r="S84" i="55"/>
  <c r="S116" i="55"/>
  <c r="S249" i="55"/>
  <c r="S79" i="55"/>
  <c r="S146" i="55"/>
  <c r="S178" i="55"/>
  <c r="S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W24" i="42"/>
  <c r="W152" i="42"/>
  <c r="W184" i="42"/>
  <c r="W200" i="42"/>
  <c r="W216" i="42"/>
  <c r="W232" i="42"/>
  <c r="W248" i="42"/>
  <c r="R226" i="55"/>
  <c r="S226" i="55"/>
  <c r="R230" i="55"/>
  <c r="S230" i="55"/>
  <c r="S127" i="55"/>
  <c r="R127" i="55"/>
  <c r="S143" i="55"/>
  <c r="R143" i="55"/>
  <c r="S163" i="55"/>
  <c r="R163" i="55"/>
  <c r="S183" i="55"/>
  <c r="R183" i="55"/>
  <c r="S207" i="55"/>
  <c r="R207" i="55"/>
  <c r="S30" i="55"/>
  <c r="R30" i="55"/>
  <c r="R74" i="55"/>
  <c r="S74" i="55"/>
  <c r="S191" i="55"/>
  <c r="R191" i="55"/>
  <c r="S165" i="55"/>
  <c r="R234" i="55"/>
  <c r="R32" i="55"/>
  <c r="S64" i="55"/>
  <c r="S216" i="55"/>
  <c r="S19" i="55"/>
  <c r="S51" i="55"/>
  <c r="R83" i="55"/>
  <c r="R115" i="55"/>
  <c r="S256" i="55"/>
  <c r="S25" i="55"/>
  <c r="R57" i="55"/>
  <c r="R89" i="55"/>
  <c r="R121" i="55"/>
  <c r="R153" i="55"/>
  <c r="S185" i="55"/>
  <c r="S217" i="55"/>
  <c r="S20" i="55"/>
  <c r="S52" i="55"/>
  <c r="R116" i="55"/>
  <c r="S23" i="55"/>
  <c r="R55" i="55"/>
  <c r="R87" i="55"/>
  <c r="S228" i="55"/>
  <c r="N217" i="55"/>
  <c r="U217" i="55" s="1"/>
  <c r="S13" i="55"/>
  <c r="S45" i="55"/>
  <c r="R77" i="55"/>
  <c r="R109" i="55"/>
  <c r="R141" i="55"/>
  <c r="R205" i="55"/>
  <c r="S250" i="55"/>
  <c r="R64" i="55"/>
  <c r="S115" i="55"/>
  <c r="S142" i="55"/>
  <c r="S174" i="55"/>
  <c r="S206" i="55"/>
  <c r="R235" i="55"/>
  <c r="R25" i="55"/>
  <c r="S57" i="55"/>
  <c r="S121" i="55"/>
  <c r="R28" i="55"/>
  <c r="S60" i="55"/>
  <c r="S92" i="55"/>
  <c r="S212" i="55"/>
  <c r="R257" i="55"/>
  <c r="R23" i="55"/>
  <c r="S122" i="55"/>
  <c r="S154" i="55"/>
  <c r="S186" i="55"/>
  <c r="S218" i="55"/>
  <c r="S69" i="52"/>
  <c r="R69" i="52"/>
  <c r="S197" i="52"/>
  <c r="R197" i="52"/>
  <c r="S79" i="52"/>
  <c r="R79" i="52"/>
  <c r="S143" i="52"/>
  <c r="R143" i="52"/>
  <c r="S207" i="52"/>
  <c r="R207" i="52"/>
  <c r="W138" i="42"/>
  <c r="W170" i="42"/>
  <c r="W202" i="42"/>
  <c r="S251" i="55"/>
  <c r="R251" i="55"/>
  <c r="S46" i="55"/>
  <c r="R46" i="55"/>
  <c r="R62" i="55"/>
  <c r="S62" i="55"/>
  <c r="R106" i="55"/>
  <c r="S106" i="55"/>
  <c r="R136" i="55"/>
  <c r="S136" i="55"/>
  <c r="R152" i="55"/>
  <c r="S152" i="55"/>
  <c r="R168" i="55"/>
  <c r="S168" i="55"/>
  <c r="R184" i="55"/>
  <c r="S184" i="55"/>
  <c r="R200" i="55"/>
  <c r="S200" i="55"/>
  <c r="S231" i="55"/>
  <c r="R231" i="55"/>
  <c r="S34" i="55"/>
  <c r="R34" i="55"/>
  <c r="R118" i="55"/>
  <c r="S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W28" i="42"/>
  <c r="W140" i="42"/>
  <c r="W156" i="42"/>
  <c r="W172" i="42"/>
  <c r="W188" i="42"/>
  <c r="W204" i="42"/>
  <c r="W220" i="42"/>
  <c r="W252" i="42"/>
  <c r="R238" i="55"/>
  <c r="S238" i="55"/>
  <c r="S131" i="55"/>
  <c r="R131" i="55"/>
  <c r="S147" i="55"/>
  <c r="R147" i="55"/>
  <c r="S167" i="55"/>
  <c r="R167" i="55"/>
  <c r="S187" i="55"/>
  <c r="R187" i="55"/>
  <c r="S211" i="55"/>
  <c r="R211" i="55"/>
  <c r="S42" i="55"/>
  <c r="R42" i="55"/>
  <c r="R78" i="55"/>
  <c r="S78" i="55"/>
  <c r="S195" i="55"/>
  <c r="R195" i="55"/>
  <c r="S141" i="55"/>
  <c r="S205" i="55"/>
  <c r="R40" i="55"/>
  <c r="S72" i="55"/>
  <c r="S104" i="55"/>
  <c r="S224" i="55"/>
  <c r="R253" i="55"/>
  <c r="S27" i="55"/>
  <c r="R59" i="55"/>
  <c r="R91" i="55"/>
  <c r="S232" i="55"/>
  <c r="S235" i="55"/>
  <c r="S33" i="55"/>
  <c r="R65" i="55"/>
  <c r="R97" i="55"/>
  <c r="R129" i="55"/>
  <c r="R161" i="55"/>
  <c r="R193" i="55"/>
  <c r="S254" i="55"/>
  <c r="S31" i="55"/>
  <c r="R63" i="55"/>
  <c r="R95" i="55"/>
  <c r="S236" i="55"/>
  <c r="S37" i="52"/>
  <c r="R37" i="52"/>
  <c r="S133" i="52"/>
  <c r="R133" i="52"/>
  <c r="S229" i="52"/>
  <c r="R229" i="52"/>
  <c r="S111" i="52"/>
  <c r="R111" i="52"/>
  <c r="S175" i="52"/>
  <c r="R175" i="52"/>
  <c r="S239" i="52"/>
  <c r="R239" i="52"/>
  <c r="R13" i="52"/>
  <c r="H149" i="2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W30" i="42"/>
  <c r="W174" i="42"/>
  <c r="W190" i="42"/>
  <c r="W222" i="42"/>
  <c r="W254" i="42"/>
  <c r="S18" i="55"/>
  <c r="R18" i="55"/>
  <c r="S50" i="55"/>
  <c r="R50" i="55"/>
  <c r="R86" i="55"/>
  <c r="S86" i="55"/>
  <c r="R110" i="55"/>
  <c r="S110" i="55"/>
  <c r="R124" i="55"/>
  <c r="S124" i="55"/>
  <c r="R140" i="55"/>
  <c r="S140" i="55"/>
  <c r="R156" i="55"/>
  <c r="S156" i="55"/>
  <c r="R172" i="55"/>
  <c r="S172" i="55"/>
  <c r="R188" i="55"/>
  <c r="S188" i="55"/>
  <c r="R204" i="55"/>
  <c r="S204" i="55"/>
  <c r="R82" i="55"/>
  <c r="S82" i="55"/>
  <c r="S243" i="55"/>
  <c r="R243" i="55"/>
  <c r="S21" i="55"/>
  <c r="S53" i="55"/>
  <c r="R85" i="55"/>
  <c r="R117" i="55"/>
  <c r="S181" i="55"/>
  <c r="S14" i="55"/>
  <c r="S150" i="55"/>
  <c r="S182" i="55"/>
  <c r="S214" i="55"/>
  <c r="R33" i="55"/>
  <c r="R254" i="55"/>
  <c r="S11" i="52"/>
  <c r="U11" i="52" s="1"/>
  <c r="R36" i="55"/>
  <c r="S68" i="55"/>
  <c r="S100" i="55"/>
  <c r="S220" i="55"/>
  <c r="R31" i="55"/>
  <c r="S63" i="55"/>
  <c r="S130" i="55"/>
  <c r="S162" i="55"/>
  <c r="S194" i="55"/>
  <c r="R239" i="55"/>
  <c r="S101" i="52"/>
  <c r="R101" i="52"/>
  <c r="S15" i="52"/>
  <c r="R15" i="52"/>
  <c r="H151" i="22" s="1"/>
  <c r="W154" i="42"/>
  <c r="R17" i="52"/>
  <c r="S17" i="52"/>
  <c r="S49" i="52"/>
  <c r="R49" i="52"/>
  <c r="S81" i="52"/>
  <c r="R81" i="52"/>
  <c r="S113" i="52"/>
  <c r="R113" i="52"/>
  <c r="S145" i="52"/>
  <c r="R145" i="52"/>
  <c r="S177" i="52"/>
  <c r="R177" i="52"/>
  <c r="S209" i="52"/>
  <c r="R209" i="52"/>
  <c r="S241" i="52"/>
  <c r="R241" i="52"/>
  <c r="S27" i="52"/>
  <c r="R27" i="52"/>
  <c r="S59" i="52"/>
  <c r="R59" i="52"/>
  <c r="S91" i="52"/>
  <c r="R91" i="52"/>
  <c r="S123" i="52"/>
  <c r="R123" i="52"/>
  <c r="S155" i="52"/>
  <c r="R155" i="52"/>
  <c r="S187" i="52"/>
  <c r="R187" i="52"/>
  <c r="S219" i="52"/>
  <c r="R219" i="52"/>
  <c r="S251" i="52"/>
  <c r="R251" i="52"/>
  <c r="W128" i="42"/>
  <c r="W176" i="42"/>
  <c r="W192" i="42"/>
  <c r="W208" i="42"/>
  <c r="W224" i="42"/>
  <c r="W256" i="42"/>
  <c r="R242" i="55"/>
  <c r="S242" i="55"/>
  <c r="S119" i="55"/>
  <c r="R119" i="55"/>
  <c r="S135" i="55"/>
  <c r="R135" i="55"/>
  <c r="S151" i="55"/>
  <c r="R151" i="55"/>
  <c r="S171" i="55"/>
  <c r="R171" i="55"/>
  <c r="S199" i="55"/>
  <c r="R199" i="55"/>
  <c r="S215" i="55"/>
  <c r="R215" i="55"/>
  <c r="R66" i="55"/>
  <c r="S66" i="55"/>
  <c r="S155" i="55"/>
  <c r="R155" i="55"/>
  <c r="S219" i="55"/>
  <c r="R219" i="55"/>
  <c r="S16" i="55"/>
  <c r="R48" i="55"/>
  <c r="S80" i="55"/>
  <c r="S112" i="55"/>
  <c r="S229" i="55"/>
  <c r="S35" i="55"/>
  <c r="R67" i="55"/>
  <c r="R99" i="55"/>
  <c r="S240" i="55"/>
  <c r="R182" i="55"/>
  <c r="S41" i="55"/>
  <c r="R73" i="55"/>
  <c r="R105" i="55"/>
  <c r="R137" i="55"/>
  <c r="R169" i="55"/>
  <c r="S201" i="55"/>
  <c r="S39" i="55"/>
  <c r="R71" i="55"/>
  <c r="R103" i="55"/>
  <c r="S244" i="55"/>
  <c r="S239" i="55"/>
  <c r="R21" i="52"/>
  <c r="S21" i="52"/>
  <c r="S53" i="52"/>
  <c r="R53" i="52"/>
  <c r="S85" i="52"/>
  <c r="R85" i="52"/>
  <c r="S117" i="52"/>
  <c r="R117" i="52"/>
  <c r="S149" i="52"/>
  <c r="R149" i="52"/>
  <c r="S181" i="52"/>
  <c r="R181" i="52"/>
  <c r="S213" i="52"/>
  <c r="R213" i="52"/>
  <c r="S245" i="52"/>
  <c r="R245" i="52"/>
  <c r="S31" i="52"/>
  <c r="R31" i="52"/>
  <c r="S63" i="52"/>
  <c r="R63" i="52"/>
  <c r="S95" i="52"/>
  <c r="R95" i="52"/>
  <c r="S127" i="52"/>
  <c r="R127" i="52"/>
  <c r="S159" i="52"/>
  <c r="R159" i="52"/>
  <c r="S191" i="52"/>
  <c r="R191" i="52"/>
  <c r="S223" i="52"/>
  <c r="R223" i="52"/>
  <c r="S255" i="52"/>
  <c r="R255" i="52"/>
  <c r="W130" i="42"/>
  <c r="W162" i="42"/>
  <c r="W178" i="42"/>
  <c r="W194" i="42"/>
  <c r="W210" i="42"/>
  <c r="S22" i="55"/>
  <c r="R22" i="55"/>
  <c r="S54" i="55"/>
  <c r="R54" i="55"/>
  <c r="R90" i="55"/>
  <c r="S90" i="55"/>
  <c r="R114" i="55"/>
  <c r="S114" i="55"/>
  <c r="R128" i="55"/>
  <c r="S128" i="55"/>
  <c r="R144" i="55"/>
  <c r="S144" i="55"/>
  <c r="R160" i="55"/>
  <c r="S160" i="55"/>
  <c r="R176" i="55"/>
  <c r="S176" i="55"/>
  <c r="R192" i="55"/>
  <c r="S192" i="55"/>
  <c r="R208" i="55"/>
  <c r="S208" i="55"/>
  <c r="R94" i="55"/>
  <c r="S94" i="55"/>
  <c r="R112" i="55"/>
  <c r="S99" i="55"/>
  <c r="S169" i="55"/>
  <c r="R201" i="55"/>
  <c r="S76" i="55"/>
  <c r="S108" i="55"/>
  <c r="R39" i="55"/>
  <c r="S170" i="55"/>
  <c r="N97" i="55"/>
  <c r="U97" i="55" s="1"/>
  <c r="N73" i="55"/>
  <c r="U73" i="55" s="1"/>
  <c r="N166" i="55"/>
  <c r="U166" i="55" s="1"/>
  <c r="N36" i="55"/>
  <c r="U36" i="55" s="1"/>
  <c r="N146" i="55"/>
  <c r="U146" i="55" s="1"/>
  <c r="N117" i="55"/>
  <c r="U117" i="55" s="1"/>
  <c r="N240" i="55"/>
  <c r="U240" i="55" s="1"/>
  <c r="N80" i="55"/>
  <c r="U80" i="55" s="1"/>
  <c r="N67" i="55"/>
  <c r="U67" i="55" s="1"/>
  <c r="N137" i="55"/>
  <c r="U137" i="55" s="1"/>
  <c r="N174" i="55"/>
  <c r="U174" i="55" s="1"/>
  <c r="N145" i="55"/>
  <c r="U145" i="55" s="1"/>
  <c r="N68" i="55"/>
  <c r="U68" i="55" s="1"/>
  <c r="N210" i="55"/>
  <c r="U210" i="55" s="1"/>
  <c r="N133" i="55"/>
  <c r="U133" i="55" s="1"/>
  <c r="N96" i="55"/>
  <c r="U96" i="55" s="1"/>
  <c r="N47" i="55"/>
  <c r="U47" i="55" s="1"/>
  <c r="N107" i="55"/>
  <c r="U107" i="55" s="1"/>
  <c r="N49" i="55"/>
  <c r="U49" i="55" s="1"/>
  <c r="N71" i="55"/>
  <c r="U71" i="55" s="1"/>
  <c r="N40" i="55"/>
  <c r="U40" i="55" s="1"/>
  <c r="N198" i="55"/>
  <c r="U198" i="55" s="1"/>
  <c r="N89" i="55"/>
  <c r="U89" i="55" s="1"/>
  <c r="N157" i="55"/>
  <c r="U157" i="55" s="1"/>
  <c r="N92" i="55"/>
  <c r="U92" i="55" s="1"/>
  <c r="N221" i="55"/>
  <c r="U221" i="55" s="1"/>
  <c r="N56" i="55"/>
  <c r="U56" i="55" s="1"/>
  <c r="N51" i="55"/>
  <c r="U51" i="55" s="1"/>
  <c r="N249" i="55"/>
  <c r="U249" i="55" s="1"/>
  <c r="N224" i="55"/>
  <c r="U224" i="55" s="1"/>
  <c r="N134" i="55"/>
  <c r="U134" i="55" s="1"/>
  <c r="N129" i="55"/>
  <c r="U129" i="55" s="1"/>
  <c r="N53" i="55"/>
  <c r="U53" i="55" s="1"/>
  <c r="N251" i="55"/>
  <c r="U251" i="55" s="1"/>
  <c r="N46" i="55"/>
  <c r="U46" i="55" s="1"/>
  <c r="N62" i="55"/>
  <c r="U62" i="55" s="1"/>
  <c r="N106" i="55"/>
  <c r="U106" i="55" s="1"/>
  <c r="N136" i="55"/>
  <c r="U136" i="55" s="1"/>
  <c r="N152" i="55"/>
  <c r="U152" i="55" s="1"/>
  <c r="N168" i="55"/>
  <c r="U168" i="55" s="1"/>
  <c r="N184" i="55"/>
  <c r="U184" i="55" s="1"/>
  <c r="N200" i="55"/>
  <c r="U200" i="55" s="1"/>
  <c r="N231" i="55"/>
  <c r="U231" i="55" s="1"/>
  <c r="N34" i="55"/>
  <c r="U34" i="55" s="1"/>
  <c r="N118" i="55"/>
  <c r="U118" i="55" s="1"/>
  <c r="N35" i="55"/>
  <c r="U35" i="55" s="1"/>
  <c r="N14" i="55"/>
  <c r="U14" i="55" s="1"/>
  <c r="N142" i="55"/>
  <c r="U142" i="55" s="1"/>
  <c r="N206" i="55"/>
  <c r="U206" i="55" s="1"/>
  <c r="N12" i="55"/>
  <c r="U12" i="55" s="1"/>
  <c r="N100" i="55"/>
  <c r="U100" i="55" s="1"/>
  <c r="N55" i="55"/>
  <c r="U55" i="55" s="1"/>
  <c r="N130" i="55"/>
  <c r="U130" i="55" s="1"/>
  <c r="N154" i="55"/>
  <c r="U154" i="55" s="1"/>
  <c r="N194" i="55"/>
  <c r="U194" i="55" s="1"/>
  <c r="N218" i="55"/>
  <c r="U218" i="55" s="1"/>
  <c r="N61" i="55"/>
  <c r="U61" i="55" s="1"/>
  <c r="N238" i="55"/>
  <c r="U238" i="55" s="1"/>
  <c r="N131" i="55"/>
  <c r="U131" i="55" s="1"/>
  <c r="N147" i="55"/>
  <c r="U147" i="55" s="1"/>
  <c r="N167" i="55"/>
  <c r="U167" i="55" s="1"/>
  <c r="N187" i="55"/>
  <c r="U187" i="55" s="1"/>
  <c r="N211" i="55"/>
  <c r="U211" i="55" s="1"/>
  <c r="N42" i="55"/>
  <c r="U42" i="55" s="1"/>
  <c r="N78" i="55"/>
  <c r="U78" i="55" s="1"/>
  <c r="N195" i="55"/>
  <c r="U195" i="55" s="1"/>
  <c r="N59" i="55"/>
  <c r="U59" i="55" s="1"/>
  <c r="N232" i="55"/>
  <c r="U232" i="55" s="1"/>
  <c r="N41" i="55"/>
  <c r="U41" i="55" s="1"/>
  <c r="N212" i="55"/>
  <c r="U212" i="55" s="1"/>
  <c r="N15" i="55"/>
  <c r="U15" i="55" s="1"/>
  <c r="N103" i="55"/>
  <c r="U103" i="55" s="1"/>
  <c r="N233" i="55"/>
  <c r="U233" i="55" s="1"/>
  <c r="N252" i="55"/>
  <c r="U252" i="55" s="1"/>
  <c r="N21" i="55"/>
  <c r="N125" i="55"/>
  <c r="U125" i="55" s="1"/>
  <c r="N149" i="55"/>
  <c r="U149" i="55" s="1"/>
  <c r="N189" i="55"/>
  <c r="U189" i="55" s="1"/>
  <c r="N213" i="55"/>
  <c r="U213" i="55" s="1"/>
  <c r="N48" i="55"/>
  <c r="U48" i="55" s="1"/>
  <c r="N88" i="55"/>
  <c r="U88" i="55" s="1"/>
  <c r="N18" i="55"/>
  <c r="U18" i="55" s="1"/>
  <c r="N50" i="55"/>
  <c r="U50" i="55" s="1"/>
  <c r="N86" i="55"/>
  <c r="U86" i="55" s="1"/>
  <c r="N110" i="55"/>
  <c r="U110" i="55" s="1"/>
  <c r="N124" i="55"/>
  <c r="U124" i="55" s="1"/>
  <c r="N140" i="55"/>
  <c r="U140" i="55" s="1"/>
  <c r="N156" i="55"/>
  <c r="U156" i="55" s="1"/>
  <c r="N172" i="55"/>
  <c r="U172" i="55" s="1"/>
  <c r="N188" i="55"/>
  <c r="U188" i="55" s="1"/>
  <c r="N204" i="55"/>
  <c r="U204" i="55" s="1"/>
  <c r="N82" i="55"/>
  <c r="U82" i="55" s="1"/>
  <c r="N243" i="55"/>
  <c r="U243" i="55" s="1"/>
  <c r="N19" i="55"/>
  <c r="U19" i="55" s="1"/>
  <c r="N83" i="55"/>
  <c r="U83" i="55" s="1"/>
  <c r="N253" i="55"/>
  <c r="U253" i="55" s="1"/>
  <c r="N126" i="55"/>
  <c r="U126" i="55" s="1"/>
  <c r="N190" i="55"/>
  <c r="U190" i="55" s="1"/>
  <c r="N256" i="55"/>
  <c r="U256" i="55" s="1"/>
  <c r="N60" i="55"/>
  <c r="U60" i="55" s="1"/>
  <c r="N84" i="55"/>
  <c r="U84" i="55" s="1"/>
  <c r="N241" i="55"/>
  <c r="U241" i="55" s="1"/>
  <c r="N138" i="55"/>
  <c r="U138" i="55" s="1"/>
  <c r="N178" i="55"/>
  <c r="U178" i="55" s="1"/>
  <c r="N202" i="55"/>
  <c r="U202" i="55" s="1"/>
  <c r="N45" i="55"/>
  <c r="U45" i="55" s="1"/>
  <c r="N85" i="55"/>
  <c r="U85" i="55" s="1"/>
  <c r="N109" i="55"/>
  <c r="U109" i="55" s="1"/>
  <c r="N173" i="55"/>
  <c r="U173" i="55" s="1"/>
  <c r="N250" i="55"/>
  <c r="U250" i="55" s="1"/>
  <c r="K12" i="53"/>
  <c r="P12" i="53"/>
  <c r="N242" i="55"/>
  <c r="U242" i="55" s="1"/>
  <c r="N119" i="55"/>
  <c r="U119" i="55" s="1"/>
  <c r="N135" i="55"/>
  <c r="U135" i="55" s="1"/>
  <c r="N151" i="55"/>
  <c r="U151" i="55" s="1"/>
  <c r="N171" i="55"/>
  <c r="U171" i="55" s="1"/>
  <c r="N199" i="55"/>
  <c r="U199" i="55" s="1"/>
  <c r="N215" i="55"/>
  <c r="U215" i="55" s="1"/>
  <c r="N66" i="55"/>
  <c r="U66" i="55" s="1"/>
  <c r="N155" i="55"/>
  <c r="U155" i="55" s="1"/>
  <c r="N219" i="55"/>
  <c r="U219" i="55" s="1"/>
  <c r="J12" i="57"/>
  <c r="N43" i="55"/>
  <c r="U43" i="55" s="1"/>
  <c r="N150" i="55"/>
  <c r="U150" i="55" s="1"/>
  <c r="N214" i="55"/>
  <c r="U214" i="55" s="1"/>
  <c r="N87" i="55"/>
  <c r="U87" i="55" s="1"/>
  <c r="N111" i="55"/>
  <c r="U111" i="55" s="1"/>
  <c r="N162" i="55"/>
  <c r="U162" i="55" s="1"/>
  <c r="N236" i="55"/>
  <c r="U236" i="55" s="1"/>
  <c r="N32" i="55"/>
  <c r="U32" i="55" s="1"/>
  <c r="N22" i="55"/>
  <c r="U22" i="55" s="1"/>
  <c r="N54" i="55"/>
  <c r="U54" i="55" s="1"/>
  <c r="N90" i="55"/>
  <c r="U90" i="55" s="1"/>
  <c r="N114" i="55"/>
  <c r="U114" i="55" s="1"/>
  <c r="N128" i="55"/>
  <c r="U128" i="55" s="1"/>
  <c r="N144" i="55"/>
  <c r="U144" i="55" s="1"/>
  <c r="N160" i="55"/>
  <c r="U160" i="55" s="1"/>
  <c r="N176" i="55"/>
  <c r="U176" i="55" s="1"/>
  <c r="N192" i="55"/>
  <c r="U192" i="55" s="1"/>
  <c r="N208" i="55"/>
  <c r="U208" i="55" s="1"/>
  <c r="N94" i="55"/>
  <c r="U94" i="55" s="1"/>
  <c r="K12" i="57"/>
  <c r="N220" i="55"/>
  <c r="U220" i="55" s="1"/>
  <c r="N29" i="55"/>
  <c r="U29" i="55" s="1"/>
  <c r="N69" i="55"/>
  <c r="U69" i="55" s="1"/>
  <c r="N93" i="55"/>
  <c r="U93" i="55" s="1"/>
  <c r="N229" i="55"/>
  <c r="U229" i="55" s="1"/>
  <c r="N246" i="55"/>
  <c r="U246" i="55" s="1"/>
  <c r="N225" i="55"/>
  <c r="U225" i="55" s="1"/>
  <c r="N123" i="55"/>
  <c r="U123" i="55" s="1"/>
  <c r="N139" i="55"/>
  <c r="U139" i="55" s="1"/>
  <c r="N159" i="55"/>
  <c r="U159" i="55" s="1"/>
  <c r="N179" i="55"/>
  <c r="U179" i="55" s="1"/>
  <c r="N203" i="55"/>
  <c r="U203" i="55" s="1"/>
  <c r="N26" i="55"/>
  <c r="U26" i="55" s="1"/>
  <c r="N70" i="55"/>
  <c r="U70" i="55" s="1"/>
  <c r="N175" i="55"/>
  <c r="U175" i="55" s="1"/>
  <c r="N223" i="55"/>
  <c r="U223" i="55" s="1"/>
  <c r="N27" i="55"/>
  <c r="U27" i="55" s="1"/>
  <c r="N91" i="55"/>
  <c r="U91" i="55" s="1"/>
  <c r="N95" i="55"/>
  <c r="U95" i="55" s="1"/>
  <c r="N122" i="55"/>
  <c r="U122" i="55" s="1"/>
  <c r="N186" i="55"/>
  <c r="U186" i="55" s="1"/>
  <c r="N181" i="55"/>
  <c r="U181" i="55" s="1"/>
  <c r="N16" i="55"/>
  <c r="U16" i="55" s="1"/>
  <c r="N255" i="55"/>
  <c r="U255" i="55" s="1"/>
  <c r="N247" i="55"/>
  <c r="U247" i="55" s="1"/>
  <c r="N38" i="55"/>
  <c r="U38" i="55" s="1"/>
  <c r="N58" i="55"/>
  <c r="U58" i="55" s="1"/>
  <c r="N102" i="55"/>
  <c r="U102" i="55" s="1"/>
  <c r="N132" i="55"/>
  <c r="U132" i="55" s="1"/>
  <c r="N148" i="55"/>
  <c r="U148" i="55" s="1"/>
  <c r="N164" i="55"/>
  <c r="U164" i="55" s="1"/>
  <c r="N180" i="55"/>
  <c r="U180" i="55" s="1"/>
  <c r="N196" i="55"/>
  <c r="U196" i="55" s="1"/>
  <c r="N98" i="55"/>
  <c r="U98" i="55" s="1"/>
  <c r="N158" i="55"/>
  <c r="U158" i="55" s="1"/>
  <c r="N222" i="55"/>
  <c r="U222" i="55" s="1"/>
  <c r="N185" i="55"/>
  <c r="U185" i="55" s="1"/>
  <c r="N209" i="55"/>
  <c r="U209" i="55" s="1"/>
  <c r="N28" i="55"/>
  <c r="U28" i="55" s="1"/>
  <c r="N228" i="55"/>
  <c r="U228" i="55" s="1"/>
  <c r="N244" i="55"/>
  <c r="U244" i="55" s="1"/>
  <c r="N13" i="55"/>
  <c r="U13" i="55" s="1"/>
  <c r="N77" i="55"/>
  <c r="U77" i="55" s="1"/>
  <c r="N104" i="55"/>
  <c r="U104" i="55" s="1"/>
  <c r="N216" i="55"/>
  <c r="U216" i="55" s="1"/>
  <c r="N226" i="55"/>
  <c r="U226" i="55" s="1"/>
  <c r="N230" i="55"/>
  <c r="U230" i="55" s="1"/>
  <c r="N127" i="55"/>
  <c r="U127" i="55" s="1"/>
  <c r="N143" i="55"/>
  <c r="U143" i="55" s="1"/>
  <c r="N163" i="55"/>
  <c r="U163" i="55" s="1"/>
  <c r="N183" i="55"/>
  <c r="U183" i="55" s="1"/>
  <c r="N207" i="55"/>
  <c r="U207" i="55" s="1"/>
  <c r="N30" i="55"/>
  <c r="U30" i="55" s="1"/>
  <c r="N74" i="55"/>
  <c r="U74" i="55" s="1"/>
  <c r="N191" i="55"/>
  <c r="U191" i="55" s="1"/>
  <c r="I12" i="57"/>
  <c r="N257" i="55"/>
  <c r="U257" i="55" s="1"/>
  <c r="R10" i="55"/>
  <c r="V146" i="22" s="1"/>
  <c r="S10" i="55"/>
  <c r="J12" i="53"/>
  <c r="I12" i="53"/>
  <c r="AK11" i="55" a="1"/>
  <c r="AK11" i="55" s="1"/>
  <c r="B13" i="57" s="1"/>
  <c r="H12" i="57"/>
  <c r="G12" i="57"/>
  <c r="F12" i="57"/>
  <c r="E12" i="57"/>
  <c r="D12" i="57"/>
  <c r="D12" i="53"/>
  <c r="AK11" i="52" a="1"/>
  <c r="AK11" i="52" s="1"/>
  <c r="B13" i="53" s="1"/>
  <c r="H12" i="53"/>
  <c r="E12" i="53"/>
  <c r="F12" i="53"/>
  <c r="C12" i="53"/>
  <c r="M12" i="53" s="1"/>
  <c r="G12" i="53"/>
  <c r="AJ12" i="55" a="1"/>
  <c r="AJ12" i="55" s="1"/>
  <c r="AJ13" i="55" s="1" a="1"/>
  <c r="AJ13" i="55" s="1"/>
  <c r="AJ12" i="52" a="1"/>
  <c r="AJ12" i="52" s="1"/>
  <c r="H154" i="22" l="1"/>
  <c r="H155" i="22"/>
  <c r="H146" i="22"/>
  <c r="H153" i="22"/>
  <c r="X146" i="22"/>
  <c r="X147" i="22"/>
  <c r="U21" i="55"/>
  <c r="T156" i="22"/>
  <c r="D129" i="36" s="1"/>
  <c r="D149" i="36" s="1"/>
  <c r="T158" i="22"/>
  <c r="D131" i="36" s="1"/>
  <c r="D151" i="36" s="1"/>
  <c r="N12" i="57"/>
  <c r="U10" i="55"/>
  <c r="N12" i="53"/>
  <c r="U10" i="52"/>
  <c r="H147" i="22"/>
  <c r="L13" i="57"/>
  <c r="AH12" i="53"/>
  <c r="Q12" i="57"/>
  <c r="T12" i="57" s="1"/>
  <c r="R12" i="42"/>
  <c r="W12" i="42" s="1"/>
  <c r="R12" i="53"/>
  <c r="Q12" i="53"/>
  <c r="R12" i="57"/>
  <c r="W12" i="58"/>
  <c r="X158" i="22"/>
  <c r="X153" i="22"/>
  <c r="V147" i="22"/>
  <c r="V158" i="22"/>
  <c r="H158" i="22"/>
  <c r="D139" i="36"/>
  <c r="D140" i="36"/>
  <c r="H152" i="22"/>
  <c r="H156" i="22"/>
  <c r="J146" i="22"/>
  <c r="AP12" i="57"/>
  <c r="W13" i="42"/>
  <c r="L152" i="22" s="1"/>
  <c r="L13" i="53"/>
  <c r="K13" i="53"/>
  <c r="I13" i="53"/>
  <c r="H13" i="53"/>
  <c r="G13" i="53"/>
  <c r="C13" i="53"/>
  <c r="P13" i="53"/>
  <c r="E13" i="53"/>
  <c r="D13" i="53"/>
  <c r="F13" i="53"/>
  <c r="J13" i="53"/>
  <c r="I13" i="57"/>
  <c r="G13" i="57"/>
  <c r="K13" i="57"/>
  <c r="D13" i="57"/>
  <c r="P13" i="57"/>
  <c r="F13" i="57"/>
  <c r="J13" i="57"/>
  <c r="C13" i="57"/>
  <c r="M13" i="57" s="1"/>
  <c r="H13" i="57"/>
  <c r="E13" i="57"/>
  <c r="Y260" i="58"/>
  <c r="AK12" i="55" a="1"/>
  <c r="AK12" i="55" s="1"/>
  <c r="B14" i="57" s="1"/>
  <c r="N258" i="52"/>
  <c r="H9" i="73" s="1"/>
  <c r="AK12" i="52" a="1"/>
  <c r="AK12" i="52" s="1"/>
  <c r="B14" i="53" s="1"/>
  <c r="AJ14" i="55" a="1"/>
  <c r="AJ14" i="55" s="1"/>
  <c r="AJ15" i="55" s="1" a="1"/>
  <c r="AJ15" i="55" s="1"/>
  <c r="AJ16" i="55" s="1" a="1"/>
  <c r="AJ16" i="55" s="1"/>
  <c r="R258" i="55"/>
  <c r="S258" i="55"/>
  <c r="N258" i="55"/>
  <c r="H21" i="73" s="1"/>
  <c r="S258" i="52"/>
  <c r="R258" i="52"/>
  <c r="AJ13" i="52" a="1"/>
  <c r="AJ13" i="52" s="1"/>
  <c r="L148" i="22" l="1"/>
  <c r="L150" i="22"/>
  <c r="O12" i="57"/>
  <c r="X12" i="57" s="1"/>
  <c r="AA12" i="57" s="1"/>
  <c r="O12" i="53"/>
  <c r="X12" i="53" s="1"/>
  <c r="AA12" i="53" s="1"/>
  <c r="AE12" i="53" s="1"/>
  <c r="L14" i="57"/>
  <c r="AC13" i="57"/>
  <c r="L156" i="22"/>
  <c r="L147" i="22"/>
  <c r="R13" i="57"/>
  <c r="L146" i="22"/>
  <c r="L158" i="22"/>
  <c r="F22" i="36"/>
  <c r="F28" i="36"/>
  <c r="F25" i="36"/>
  <c r="M13" i="53"/>
  <c r="AD12" i="53"/>
  <c r="U258" i="55"/>
  <c r="AT12" i="53"/>
  <c r="W260" i="42"/>
  <c r="U258" i="52"/>
  <c r="AD12" i="57"/>
  <c r="E14" i="53"/>
  <c r="H14" i="53"/>
  <c r="D14" i="53"/>
  <c r="G14" i="53"/>
  <c r="P14" i="53"/>
  <c r="F14" i="53"/>
  <c r="I14" i="53"/>
  <c r="K14" i="53"/>
  <c r="C14" i="53"/>
  <c r="M14" i="53" s="1"/>
  <c r="J14" i="53"/>
  <c r="L14" i="53"/>
  <c r="K14" i="57"/>
  <c r="I14" i="57"/>
  <c r="H14" i="57"/>
  <c r="G14" i="57"/>
  <c r="E14" i="57"/>
  <c r="P14" i="57"/>
  <c r="D14" i="57"/>
  <c r="C14" i="57"/>
  <c r="M14" i="57" s="1"/>
  <c r="F14" i="57"/>
  <c r="J14" i="57"/>
  <c r="AK13" i="55" a="1"/>
  <c r="AK13" i="55" s="1"/>
  <c r="B15" i="57" s="1"/>
  <c r="AK13" i="52" a="1"/>
  <c r="AK13" i="52" s="1"/>
  <c r="AJ17" i="55" a="1"/>
  <c r="AJ17" i="55" s="1"/>
  <c r="AJ14" i="52" a="1"/>
  <c r="AJ14" i="52" s="1"/>
  <c r="AJ15" i="52" s="1" a="1"/>
  <c r="AJ15" i="52" s="1"/>
  <c r="AB12" i="53" l="1"/>
  <c r="AC12" i="53" s="1"/>
  <c r="AF12" i="53"/>
  <c r="L15" i="57"/>
  <c r="AC14" i="53"/>
  <c r="AC14" i="57"/>
  <c r="AB12" i="57"/>
  <c r="AC12" i="57" s="1"/>
  <c r="AE12" i="57"/>
  <c r="AF12" i="57" s="1"/>
  <c r="R14" i="57"/>
  <c r="R13" i="53"/>
  <c r="R14" i="53"/>
  <c r="F31" i="36"/>
  <c r="AD13" i="57"/>
  <c r="AP14" i="57"/>
  <c r="Q13" i="57"/>
  <c r="T13" i="57" s="1"/>
  <c r="AP13" i="57"/>
  <c r="N13" i="57"/>
  <c r="N14" i="57"/>
  <c r="AT13" i="53"/>
  <c r="N14" i="53"/>
  <c r="O14" i="53" s="1"/>
  <c r="AT14" i="53"/>
  <c r="AD13" i="53"/>
  <c r="Q13" i="53"/>
  <c r="N13" i="53"/>
  <c r="AD14" i="57"/>
  <c r="AD14" i="53"/>
  <c r="Q14" i="57"/>
  <c r="T14" i="57" s="1"/>
  <c r="Q14" i="53"/>
  <c r="AK14" i="52" a="1"/>
  <c r="AK14" i="52" s="1"/>
  <c r="B16" i="53" s="1"/>
  <c r="B15" i="53"/>
  <c r="K15" i="57"/>
  <c r="I15" i="57"/>
  <c r="F15" i="57"/>
  <c r="C15" i="57"/>
  <c r="M15" i="57" s="1"/>
  <c r="P15" i="57"/>
  <c r="H15" i="57"/>
  <c r="D15" i="57"/>
  <c r="G15" i="57"/>
  <c r="E15" i="57"/>
  <c r="J15" i="57"/>
  <c r="AK14" i="55" a="1"/>
  <c r="AK14" i="55" s="1"/>
  <c r="B16" i="57" s="1"/>
  <c r="AJ18" i="55" a="1"/>
  <c r="AJ18" i="55" s="1"/>
  <c r="AJ16" i="52" a="1"/>
  <c r="AJ16" i="52" s="1"/>
  <c r="O13" i="53" l="1"/>
  <c r="X13" i="53" s="1"/>
  <c r="AA13" i="53" s="1"/>
  <c r="AE13" i="53" s="1"/>
  <c r="O13" i="57"/>
  <c r="X13" i="57" s="1"/>
  <c r="AA13" i="57" s="1"/>
  <c r="O14" i="57"/>
  <c r="X14" i="57" s="1"/>
  <c r="L16" i="57"/>
  <c r="X14" i="53"/>
  <c r="AC15" i="57"/>
  <c r="R15" i="57"/>
  <c r="AG12" i="53"/>
  <c r="AK15" i="52" a="1"/>
  <c r="AK15" i="52" s="1"/>
  <c r="B17" i="53" s="1"/>
  <c r="H16" i="57"/>
  <c r="G16" i="57"/>
  <c r="E16" i="57"/>
  <c r="P16" i="57"/>
  <c r="D16" i="57"/>
  <c r="C16" i="57"/>
  <c r="M16" i="57" s="1"/>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K15" i="55" a="1"/>
  <c r="AK15" i="55" s="1"/>
  <c r="B17" i="57" s="1"/>
  <c r="AJ19" i="55" a="1"/>
  <c r="AJ19" i="55" s="1"/>
  <c r="AJ17" i="52" a="1"/>
  <c r="AJ17" i="52" s="1"/>
  <c r="AB14" i="57" l="1"/>
  <c r="AA14" i="57"/>
  <c r="AF13" i="53"/>
  <c r="AB13" i="53"/>
  <c r="AC13" i="53" s="1"/>
  <c r="AA14" i="53"/>
  <c r="AE14" i="53" s="1"/>
  <c r="AF14" i="53" s="1"/>
  <c r="AB14" i="53"/>
  <c r="AE13" i="57"/>
  <c r="AF13" i="57" s="1"/>
  <c r="AB13" i="57"/>
  <c r="AE14" i="57"/>
  <c r="AF14" i="57" s="1"/>
  <c r="AC16" i="57"/>
  <c r="R16" i="57"/>
  <c r="L17" i="57"/>
  <c r="AP15" i="57"/>
  <c r="AG12" i="57"/>
  <c r="AD15" i="57"/>
  <c r="Q15" i="57"/>
  <c r="T15" i="57" s="1"/>
  <c r="N15" i="57"/>
  <c r="AG13" i="57"/>
  <c r="AP16" i="57"/>
  <c r="M16" i="53"/>
  <c r="M15" i="53"/>
  <c r="AG13" i="53"/>
  <c r="C17" i="53"/>
  <c r="M17" i="53" s="1"/>
  <c r="K17" i="53"/>
  <c r="G17" i="53"/>
  <c r="E17" i="53"/>
  <c r="I17" i="53"/>
  <c r="D17" i="53"/>
  <c r="H17" i="53"/>
  <c r="L17" i="53"/>
  <c r="P17" i="53"/>
  <c r="F17" i="53"/>
  <c r="J17" i="53"/>
  <c r="AK16" i="52" a="1"/>
  <c r="AK16" i="52" s="1"/>
  <c r="B18" i="53" s="1"/>
  <c r="K17" i="57"/>
  <c r="J17" i="57"/>
  <c r="E17" i="57"/>
  <c r="C17" i="57"/>
  <c r="M17" i="57" s="1"/>
  <c r="P17" i="57"/>
  <c r="I17" i="57"/>
  <c r="H17" i="57"/>
  <c r="F17" i="57"/>
  <c r="D17" i="57"/>
  <c r="G17" i="57"/>
  <c r="AK16" i="55" a="1"/>
  <c r="AK16" i="55" s="1"/>
  <c r="B18" i="57" s="1"/>
  <c r="AJ20" i="55" a="1"/>
  <c r="AJ20" i="55" s="1"/>
  <c r="AJ18" i="52" a="1"/>
  <c r="AJ18" i="52" s="1"/>
  <c r="AJ19" i="52" s="1" a="1"/>
  <c r="AJ19" i="52" s="1"/>
  <c r="O15" i="57" l="1"/>
  <c r="X15" i="57" s="1"/>
  <c r="N17" i="57"/>
  <c r="N17" i="53"/>
  <c r="O17" i="53" s="1"/>
  <c r="AG17" i="53" s="1"/>
  <c r="AC17" i="53"/>
  <c r="AC15" i="53"/>
  <c r="R16" i="53"/>
  <c r="AC16" i="53"/>
  <c r="AC17" i="57"/>
  <c r="R17" i="57"/>
  <c r="R15" i="53"/>
  <c r="R17" i="53"/>
  <c r="Q16" i="53"/>
  <c r="AD15" i="53"/>
  <c r="L18" i="57"/>
  <c r="AJ17" i="57"/>
  <c r="AP17" i="57"/>
  <c r="AJ13" i="57"/>
  <c r="AG14" i="57"/>
  <c r="N16" i="57"/>
  <c r="AD16" i="57"/>
  <c r="Q16" i="57"/>
  <c r="T16" i="57" s="1"/>
  <c r="AT15" i="53"/>
  <c r="Q15" i="53"/>
  <c r="N15" i="53"/>
  <c r="O15" i="53" s="1"/>
  <c r="AT16" i="53"/>
  <c r="AD16" i="53"/>
  <c r="N16" i="53"/>
  <c r="O16" i="53" s="1"/>
  <c r="AH17" i="53"/>
  <c r="AT17" i="53"/>
  <c r="AG14" i="53"/>
  <c r="AD17" i="57"/>
  <c r="AD17" i="53"/>
  <c r="G18" i="57"/>
  <c r="E18" i="57"/>
  <c r="P18" i="57"/>
  <c r="D18" i="57"/>
  <c r="C18" i="57"/>
  <c r="M18" i="57" s="1"/>
  <c r="K18" i="57"/>
  <c r="I18" i="57"/>
  <c r="H18" i="57"/>
  <c r="F18" i="57"/>
  <c r="J18" i="57"/>
  <c r="P18" i="53"/>
  <c r="H18" i="53"/>
  <c r="K18" i="53"/>
  <c r="C18" i="53"/>
  <c r="F18" i="53"/>
  <c r="I18" i="53"/>
  <c r="E18" i="53"/>
  <c r="G18" i="53"/>
  <c r="J18" i="53"/>
  <c r="L18" i="53"/>
  <c r="D18" i="53"/>
  <c r="Q17" i="57"/>
  <c r="T17" i="57" s="1"/>
  <c r="Q17" i="53"/>
  <c r="AK17" i="52" a="1"/>
  <c r="AK17" i="52" s="1"/>
  <c r="B19" i="53" s="1"/>
  <c r="AK17" i="55" a="1"/>
  <c r="AK17" i="55" s="1"/>
  <c r="B19" i="57" s="1"/>
  <c r="AJ21" i="55" a="1"/>
  <c r="AJ21" i="55" s="1"/>
  <c r="AJ22" i="55" s="1" a="1"/>
  <c r="AJ22" i="55" s="1"/>
  <c r="AJ23" i="55" s="1" a="1"/>
  <c r="AJ23" i="55" s="1"/>
  <c r="AJ24" i="55" s="1" a="1"/>
  <c r="AJ24" i="55" s="1"/>
  <c r="AJ25" i="55" s="1" a="1"/>
  <c r="AJ25" i="55" s="1"/>
  <c r="AJ26" i="55" s="1" a="1"/>
  <c r="AJ26" i="55" s="1"/>
  <c r="AJ27" i="55" s="1" a="1"/>
  <c r="AJ27" i="55" s="1"/>
  <c r="AJ28" i="55" s="1" a="1"/>
  <c r="AJ28" i="55" s="1"/>
  <c r="AJ29" i="55" s="1" a="1"/>
  <c r="AJ29" i="55" s="1"/>
  <c r="AJ30" i="55" s="1" a="1"/>
  <c r="AJ30" i="55" s="1"/>
  <c r="AJ31" i="55" s="1" a="1"/>
  <c r="AJ31" i="55" s="1"/>
  <c r="AJ32" i="55" s="1" a="1"/>
  <c r="AJ32" i="55" s="1"/>
  <c r="AJ33" i="55" s="1" a="1"/>
  <c r="AJ33" i="55" s="1"/>
  <c r="AJ34" i="55" s="1" a="1"/>
  <c r="AJ34" i="55" s="1"/>
  <c r="AJ35" i="55" s="1" a="1"/>
  <c r="AJ35" i="55" s="1"/>
  <c r="AJ36" i="55" s="1" a="1"/>
  <c r="AJ36" i="55" s="1"/>
  <c r="AJ37" i="55" s="1" a="1"/>
  <c r="AJ37" i="55" s="1"/>
  <c r="AJ38" i="55" s="1" a="1"/>
  <c r="AJ38" i="55" s="1"/>
  <c r="AJ39" i="55" s="1" a="1"/>
  <c r="AJ39" i="55" s="1"/>
  <c r="AJ40" i="55" s="1" a="1"/>
  <c r="AJ40" i="55" s="1"/>
  <c r="AJ41" i="55" s="1" a="1"/>
  <c r="AJ41" i="55" s="1"/>
  <c r="AJ42" i="55" s="1" a="1"/>
  <c r="AJ42" i="55" s="1"/>
  <c r="AJ43" i="55" s="1" a="1"/>
  <c r="AJ43" i="55" s="1"/>
  <c r="AJ44" i="55" s="1" a="1"/>
  <c r="AJ44" i="55" s="1"/>
  <c r="AJ45" i="55" s="1" a="1"/>
  <c r="AJ45" i="55" s="1"/>
  <c r="AJ46" i="55" s="1" a="1"/>
  <c r="AJ46" i="55" s="1"/>
  <c r="AJ47" i="55" s="1" a="1"/>
  <c r="AJ47" i="55" s="1"/>
  <c r="AJ48" i="55" s="1" a="1"/>
  <c r="AJ48" i="55" s="1"/>
  <c r="AJ49" i="55" s="1" a="1"/>
  <c r="AJ49" i="55" s="1"/>
  <c r="AJ50" i="55" s="1" a="1"/>
  <c r="AJ50" i="55" s="1"/>
  <c r="AJ51" i="55" s="1" a="1"/>
  <c r="AJ51" i="55" s="1"/>
  <c r="AJ52" i="55" s="1" a="1"/>
  <c r="AJ52" i="55" s="1"/>
  <c r="AJ53" i="55" s="1" a="1"/>
  <c r="AJ53" i="55" s="1"/>
  <c r="AJ54" i="55" s="1" a="1"/>
  <c r="AJ54" i="55" s="1"/>
  <c r="AJ55" i="55" s="1" a="1"/>
  <c r="AJ55" i="55" s="1"/>
  <c r="AJ56" i="55" s="1" a="1"/>
  <c r="AJ56" i="55" s="1"/>
  <c r="AJ57" i="55" s="1" a="1"/>
  <c r="AJ57" i="55" s="1"/>
  <c r="AJ58" i="55" s="1" a="1"/>
  <c r="AJ58" i="55" s="1"/>
  <c r="AJ59" i="55" s="1" a="1"/>
  <c r="AJ59" i="55" s="1"/>
  <c r="AJ60" i="55" s="1" a="1"/>
  <c r="AJ60" i="55" s="1"/>
  <c r="AJ61" i="55" s="1" a="1"/>
  <c r="AJ61" i="55" s="1"/>
  <c r="AJ62" i="55" s="1" a="1"/>
  <c r="AJ62" i="55" s="1"/>
  <c r="AJ63" i="55" s="1" a="1"/>
  <c r="AJ63" i="55" s="1"/>
  <c r="AJ64" i="55" s="1" a="1"/>
  <c r="AJ64" i="55" s="1"/>
  <c r="AJ65" i="55" s="1" a="1"/>
  <c r="AJ65" i="55" s="1"/>
  <c r="AJ66" i="55" s="1" a="1"/>
  <c r="AJ66" i="55" s="1"/>
  <c r="AJ67" i="55" s="1" a="1"/>
  <c r="AJ67" i="55" s="1"/>
  <c r="AJ68" i="55" s="1" a="1"/>
  <c r="AJ68" i="55" s="1"/>
  <c r="AJ69" i="55" s="1" a="1"/>
  <c r="AJ69" i="55" s="1"/>
  <c r="AJ70" i="55" s="1" a="1"/>
  <c r="AJ70" i="55" s="1"/>
  <c r="AJ71" i="55" s="1" a="1"/>
  <c r="AJ71" i="55" s="1"/>
  <c r="AJ72" i="55" s="1" a="1"/>
  <c r="AJ72" i="55" s="1"/>
  <c r="AJ73" i="55" s="1" a="1"/>
  <c r="AJ73" i="55" s="1"/>
  <c r="AJ74" i="55" s="1" a="1"/>
  <c r="AJ74" i="55" s="1"/>
  <c r="AJ75" i="55" s="1" a="1"/>
  <c r="AJ75" i="55" s="1"/>
  <c r="AJ76" i="55" s="1" a="1"/>
  <c r="AJ76" i="55" s="1"/>
  <c r="AJ77" i="55" s="1" a="1"/>
  <c r="AJ77" i="55" s="1"/>
  <c r="AJ78" i="55" s="1" a="1"/>
  <c r="AJ78" i="55" s="1"/>
  <c r="AJ79" i="55" s="1" a="1"/>
  <c r="AJ79" i="55" s="1"/>
  <c r="AJ80" i="55" s="1" a="1"/>
  <c r="AJ80" i="55" s="1"/>
  <c r="AJ81" i="55" s="1" a="1"/>
  <c r="AJ81" i="55" s="1"/>
  <c r="AJ82" i="55" s="1" a="1"/>
  <c r="AJ82" i="55" s="1"/>
  <c r="AJ83" i="55" s="1" a="1"/>
  <c r="AJ83" i="55" s="1"/>
  <c r="AJ84" i="55" s="1" a="1"/>
  <c r="AJ84" i="55" s="1"/>
  <c r="AJ85" i="55" s="1" a="1"/>
  <c r="AJ85" i="55" s="1"/>
  <c r="AJ86" i="55" s="1" a="1"/>
  <c r="AJ86" i="55" s="1"/>
  <c r="AJ87" i="55" s="1" a="1"/>
  <c r="AJ87" i="55" s="1"/>
  <c r="AJ88" i="55" s="1" a="1"/>
  <c r="AJ88" i="55" s="1"/>
  <c r="AJ89" i="55" s="1" a="1"/>
  <c r="AJ89" i="55" s="1"/>
  <c r="AJ90" i="55" s="1" a="1"/>
  <c r="AJ90" i="55" s="1"/>
  <c r="AJ91" i="55" s="1" a="1"/>
  <c r="AJ91" i="55" s="1"/>
  <c r="AJ92" i="55" s="1" a="1"/>
  <c r="AJ92" i="55" s="1"/>
  <c r="AJ93" i="55" s="1" a="1"/>
  <c r="AJ93" i="55" s="1"/>
  <c r="AJ94" i="55" s="1" a="1"/>
  <c r="AJ94" i="55" s="1"/>
  <c r="AJ95" i="55" s="1" a="1"/>
  <c r="AJ95" i="55" s="1"/>
  <c r="AJ96" i="55" s="1" a="1"/>
  <c r="AJ96" i="55" s="1"/>
  <c r="AJ97" i="55" s="1" a="1"/>
  <c r="AJ97" i="55" s="1"/>
  <c r="AJ98" i="55" s="1" a="1"/>
  <c r="AJ98" i="55" s="1"/>
  <c r="AJ99" i="55" s="1" a="1"/>
  <c r="AJ99" i="55" s="1"/>
  <c r="AJ100" i="55" s="1" a="1"/>
  <c r="AJ100" i="55" s="1"/>
  <c r="AJ101" i="55" s="1" a="1"/>
  <c r="AJ101" i="55" s="1"/>
  <c r="AJ102" i="55" s="1" a="1"/>
  <c r="AJ102" i="55" s="1"/>
  <c r="AJ103" i="55" s="1" a="1"/>
  <c r="AJ103" i="55" s="1"/>
  <c r="AJ104" i="55" s="1" a="1"/>
  <c r="AJ104" i="55" s="1"/>
  <c r="AJ105" i="55" s="1" a="1"/>
  <c r="AJ105" i="55" s="1"/>
  <c r="AJ106" i="55" s="1" a="1"/>
  <c r="AJ106" i="55" s="1"/>
  <c r="AJ107" i="55" s="1" a="1"/>
  <c r="AJ107" i="55" s="1"/>
  <c r="AJ108" i="55" s="1" a="1"/>
  <c r="AJ108" i="55" s="1"/>
  <c r="AJ109" i="55" s="1" a="1"/>
  <c r="AJ109" i="55" s="1"/>
  <c r="AJ110" i="55" s="1" a="1"/>
  <c r="AJ110" i="55" s="1"/>
  <c r="AJ111" i="55" s="1" a="1"/>
  <c r="AJ111" i="55" s="1"/>
  <c r="AJ112" i="55" s="1" a="1"/>
  <c r="AJ112" i="55" s="1"/>
  <c r="AJ113" i="55" s="1" a="1"/>
  <c r="AJ113" i="55" s="1"/>
  <c r="AJ114" i="55" s="1" a="1"/>
  <c r="AJ114" i="55" s="1"/>
  <c r="AJ115" i="55" s="1" a="1"/>
  <c r="AJ115" i="55" s="1"/>
  <c r="AJ116" i="55" s="1" a="1"/>
  <c r="AJ116" i="55" s="1"/>
  <c r="AJ117" i="55" s="1" a="1"/>
  <c r="AJ117" i="55" s="1"/>
  <c r="AJ118" i="55" s="1" a="1"/>
  <c r="AJ118" i="55" s="1"/>
  <c r="AJ119" i="55" s="1" a="1"/>
  <c r="AJ119" i="55" s="1"/>
  <c r="AJ120" i="55" s="1" a="1"/>
  <c r="AJ120" i="55" s="1"/>
  <c r="AJ121" i="55" s="1" a="1"/>
  <c r="AJ121" i="55" s="1"/>
  <c r="AJ122" i="55" s="1" a="1"/>
  <c r="AJ122" i="55" s="1"/>
  <c r="AJ123" i="55" s="1" a="1"/>
  <c r="AJ123" i="55" s="1"/>
  <c r="AJ124" i="55" s="1" a="1"/>
  <c r="AJ124" i="55" s="1"/>
  <c r="AJ125" i="55" s="1" a="1"/>
  <c r="AJ125" i="55" s="1"/>
  <c r="AJ126" i="55" s="1" a="1"/>
  <c r="AJ126" i="55" s="1"/>
  <c r="AJ127" i="55" s="1" a="1"/>
  <c r="AJ127" i="55" s="1"/>
  <c r="AJ128" i="55" s="1" a="1"/>
  <c r="AJ128" i="55" s="1"/>
  <c r="AJ129" i="55" s="1" a="1"/>
  <c r="AJ129" i="55" s="1"/>
  <c r="AJ130" i="55" s="1" a="1"/>
  <c r="AJ130" i="55" s="1"/>
  <c r="AJ131" i="55" s="1" a="1"/>
  <c r="AJ131" i="55" s="1"/>
  <c r="AJ132" i="55" s="1" a="1"/>
  <c r="AJ132" i="55" s="1"/>
  <c r="AJ133" i="55" s="1" a="1"/>
  <c r="AJ133" i="55" s="1"/>
  <c r="AJ134" i="55" s="1" a="1"/>
  <c r="AJ134" i="55" s="1"/>
  <c r="AJ135" i="55" s="1" a="1"/>
  <c r="AJ135" i="55" s="1"/>
  <c r="AJ136" i="55" s="1" a="1"/>
  <c r="AJ136" i="55" s="1"/>
  <c r="AJ137" i="55" s="1" a="1"/>
  <c r="AJ137" i="55" s="1"/>
  <c r="AJ138" i="55" s="1" a="1"/>
  <c r="AJ138" i="55" s="1"/>
  <c r="AJ139" i="55" s="1" a="1"/>
  <c r="AJ139" i="55" s="1"/>
  <c r="AJ140" i="55" s="1" a="1"/>
  <c r="AJ140" i="55" s="1"/>
  <c r="AJ141" i="55" s="1" a="1"/>
  <c r="AJ141" i="55" s="1"/>
  <c r="AJ142" i="55" s="1" a="1"/>
  <c r="AJ142" i="55" s="1"/>
  <c r="AJ143" i="55" s="1" a="1"/>
  <c r="AJ143" i="55" s="1"/>
  <c r="AJ144" i="55" s="1" a="1"/>
  <c r="AJ144" i="55" s="1"/>
  <c r="AJ145" i="55" s="1" a="1"/>
  <c r="AJ145" i="55" s="1"/>
  <c r="AJ146" i="55" s="1" a="1"/>
  <c r="AJ146" i="55" s="1"/>
  <c r="AJ147" i="55" s="1" a="1"/>
  <c r="AJ147" i="55" s="1"/>
  <c r="AJ148" i="55" s="1" a="1"/>
  <c r="AJ148" i="55" s="1"/>
  <c r="AJ149" i="55" s="1" a="1"/>
  <c r="AJ149" i="55" s="1"/>
  <c r="AJ150" i="55" s="1" a="1"/>
  <c r="AJ150" i="55" s="1"/>
  <c r="AJ151" i="55" s="1" a="1"/>
  <c r="AJ151" i="55" s="1"/>
  <c r="AJ152" i="55" s="1" a="1"/>
  <c r="AJ152" i="55" s="1"/>
  <c r="AJ153" i="55" s="1" a="1"/>
  <c r="AJ153" i="55" s="1"/>
  <c r="AJ154" i="55" s="1" a="1"/>
  <c r="AJ154" i="55" s="1"/>
  <c r="AJ155" i="55" s="1" a="1"/>
  <c r="AJ155" i="55" s="1"/>
  <c r="AJ156" i="55" s="1" a="1"/>
  <c r="AJ156" i="55" s="1"/>
  <c r="AJ157" i="55" s="1" a="1"/>
  <c r="AJ157" i="55" s="1"/>
  <c r="AJ158" i="55" s="1" a="1"/>
  <c r="AJ158" i="55" s="1"/>
  <c r="AJ159" i="55" s="1" a="1"/>
  <c r="AJ159" i="55" s="1"/>
  <c r="AJ160" i="55" s="1" a="1"/>
  <c r="AJ160" i="55" s="1"/>
  <c r="AJ161" i="55" s="1" a="1"/>
  <c r="AJ161" i="55" s="1"/>
  <c r="AJ162" i="55" s="1" a="1"/>
  <c r="AJ162" i="55" s="1"/>
  <c r="AJ163" i="55" s="1" a="1"/>
  <c r="AJ163" i="55" s="1"/>
  <c r="AJ164" i="55" s="1" a="1"/>
  <c r="AJ164" i="55" s="1"/>
  <c r="AJ165" i="55" s="1" a="1"/>
  <c r="AJ165" i="55" s="1"/>
  <c r="AJ166" i="55" s="1" a="1"/>
  <c r="AJ166" i="55" s="1"/>
  <c r="AJ167" i="55" s="1" a="1"/>
  <c r="AJ167" i="55" s="1"/>
  <c r="AJ168" i="55" s="1" a="1"/>
  <c r="AJ168" i="55" s="1"/>
  <c r="AJ169" i="55" s="1" a="1"/>
  <c r="AJ169" i="55" s="1"/>
  <c r="AJ170" i="55" s="1" a="1"/>
  <c r="AJ170" i="55" s="1"/>
  <c r="AJ171" i="55" s="1" a="1"/>
  <c r="AJ171" i="55" s="1"/>
  <c r="AJ172" i="55" s="1" a="1"/>
  <c r="AJ172" i="55" s="1"/>
  <c r="AJ173" i="55" s="1" a="1"/>
  <c r="AJ173" i="55" s="1"/>
  <c r="AJ174" i="55" s="1" a="1"/>
  <c r="AJ174" i="55" s="1"/>
  <c r="AJ175" i="55" s="1" a="1"/>
  <c r="AJ175" i="55" s="1"/>
  <c r="AJ176" i="55" s="1" a="1"/>
  <c r="AJ176" i="55" s="1"/>
  <c r="AJ177" i="55" s="1" a="1"/>
  <c r="AJ177" i="55" s="1"/>
  <c r="AJ178" i="55" s="1" a="1"/>
  <c r="AJ178" i="55" s="1"/>
  <c r="AJ179" i="55" s="1" a="1"/>
  <c r="AJ179" i="55" s="1"/>
  <c r="AJ180" i="55" s="1" a="1"/>
  <c r="AJ180" i="55" s="1"/>
  <c r="AJ181" i="55" s="1" a="1"/>
  <c r="AJ181" i="55" s="1"/>
  <c r="AJ182" i="55" s="1" a="1"/>
  <c r="AJ182" i="55" s="1"/>
  <c r="AJ183" i="55" s="1" a="1"/>
  <c r="AJ183" i="55" s="1"/>
  <c r="AJ184" i="55" s="1" a="1"/>
  <c r="AJ184" i="55" s="1"/>
  <c r="AJ185" i="55" s="1" a="1"/>
  <c r="AJ185" i="55" s="1"/>
  <c r="AJ186" i="55" s="1" a="1"/>
  <c r="AJ186" i="55" s="1"/>
  <c r="AJ187" i="55" s="1" a="1"/>
  <c r="AJ187" i="55" s="1"/>
  <c r="AJ188" i="55" s="1" a="1"/>
  <c r="AJ188" i="55" s="1"/>
  <c r="AJ189" i="55" s="1" a="1"/>
  <c r="AJ189" i="55" s="1"/>
  <c r="AJ190" i="55" s="1" a="1"/>
  <c r="AJ190" i="55" s="1"/>
  <c r="AJ191" i="55" s="1" a="1"/>
  <c r="AJ191" i="55" s="1"/>
  <c r="AJ192" i="55" s="1" a="1"/>
  <c r="AJ192" i="55" s="1"/>
  <c r="AJ193" i="55" s="1" a="1"/>
  <c r="AJ193" i="55" s="1"/>
  <c r="AJ194" i="55" s="1" a="1"/>
  <c r="AJ194" i="55" s="1"/>
  <c r="AJ195" i="55" s="1" a="1"/>
  <c r="AJ195" i="55" s="1"/>
  <c r="AJ196" i="55" s="1" a="1"/>
  <c r="AJ196" i="55" s="1"/>
  <c r="AJ197" i="55" s="1" a="1"/>
  <c r="AJ197" i="55" s="1"/>
  <c r="AJ198" i="55" s="1" a="1"/>
  <c r="AJ198" i="55" s="1"/>
  <c r="AJ199" i="55" s="1" a="1"/>
  <c r="AJ199" i="55" s="1"/>
  <c r="AJ200" i="55" s="1" a="1"/>
  <c r="AJ200" i="55" s="1"/>
  <c r="AJ201" i="55" s="1" a="1"/>
  <c r="AJ201" i="55" s="1"/>
  <c r="AJ202" i="55" s="1" a="1"/>
  <c r="AJ202" i="55" s="1"/>
  <c r="AJ203" i="55" s="1" a="1"/>
  <c r="AJ203" i="55" s="1"/>
  <c r="AJ204" i="55" s="1" a="1"/>
  <c r="AJ204" i="55" s="1"/>
  <c r="AJ205" i="55" s="1" a="1"/>
  <c r="AJ205" i="55" s="1"/>
  <c r="AJ206" i="55" s="1" a="1"/>
  <c r="AJ206" i="55" s="1"/>
  <c r="AJ207" i="55" s="1" a="1"/>
  <c r="AJ207" i="55" s="1"/>
  <c r="AJ208" i="55" s="1" a="1"/>
  <c r="AJ208" i="55" s="1"/>
  <c r="AJ209" i="55" s="1" a="1"/>
  <c r="AJ209" i="55" s="1"/>
  <c r="AJ210" i="55" s="1" a="1"/>
  <c r="AJ210" i="55" s="1"/>
  <c r="AJ211" i="55" s="1" a="1"/>
  <c r="AJ211" i="55" s="1"/>
  <c r="AJ212" i="55" s="1" a="1"/>
  <c r="AJ212" i="55" s="1"/>
  <c r="AJ213" i="55" s="1" a="1"/>
  <c r="AJ213" i="55" s="1"/>
  <c r="AJ214" i="55" s="1" a="1"/>
  <c r="AJ214" i="55" s="1"/>
  <c r="AJ215" i="55" s="1" a="1"/>
  <c r="AJ215" i="55" s="1"/>
  <c r="AJ216" i="55" s="1" a="1"/>
  <c r="AJ216" i="55" s="1"/>
  <c r="AJ217" i="55" s="1" a="1"/>
  <c r="AJ217" i="55" s="1"/>
  <c r="AJ218" i="55" s="1" a="1"/>
  <c r="AJ218" i="55" s="1"/>
  <c r="AJ219" i="55" s="1" a="1"/>
  <c r="AJ219" i="55" s="1"/>
  <c r="AJ220" i="55" s="1" a="1"/>
  <c r="AJ220" i="55" s="1"/>
  <c r="AJ221" i="55" s="1" a="1"/>
  <c r="AJ221" i="55" s="1"/>
  <c r="AJ222" i="55" s="1" a="1"/>
  <c r="AJ222" i="55" s="1"/>
  <c r="AJ223" i="55" s="1" a="1"/>
  <c r="AJ223" i="55" s="1"/>
  <c r="AJ224" i="55" s="1" a="1"/>
  <c r="AJ224" i="55" s="1"/>
  <c r="AJ225" i="55" s="1" a="1"/>
  <c r="AJ225" i="55" s="1"/>
  <c r="AJ226" i="55" s="1" a="1"/>
  <c r="AJ226" i="55" s="1"/>
  <c r="AJ227" i="55" s="1" a="1"/>
  <c r="AJ227" i="55" s="1"/>
  <c r="AJ228" i="55" s="1" a="1"/>
  <c r="AJ228" i="55" s="1"/>
  <c r="AJ229" i="55" s="1" a="1"/>
  <c r="AJ229" i="55" s="1"/>
  <c r="AJ230" i="55" s="1" a="1"/>
  <c r="AJ230" i="55" s="1"/>
  <c r="AJ231" i="55" s="1" a="1"/>
  <c r="AJ231" i="55" s="1"/>
  <c r="AJ232" i="55" s="1" a="1"/>
  <c r="AJ232" i="55" s="1"/>
  <c r="AJ233" i="55" s="1" a="1"/>
  <c r="AJ233" i="55" s="1"/>
  <c r="AJ234" i="55" s="1" a="1"/>
  <c r="AJ234" i="55" s="1"/>
  <c r="AJ235" i="55" s="1" a="1"/>
  <c r="AJ235" i="55" s="1"/>
  <c r="AJ236" i="55" s="1" a="1"/>
  <c r="AJ236" i="55" s="1"/>
  <c r="AJ237" i="55" s="1" a="1"/>
  <c r="AJ237" i="55" s="1"/>
  <c r="AJ238" i="55" s="1" a="1"/>
  <c r="AJ238" i="55" s="1"/>
  <c r="AJ239" i="55" s="1" a="1"/>
  <c r="AJ239" i="55" s="1"/>
  <c r="AJ240" i="55" s="1" a="1"/>
  <c r="AJ240" i="55" s="1"/>
  <c r="AJ241" i="55" s="1" a="1"/>
  <c r="AJ241" i="55" s="1"/>
  <c r="AJ242" i="55" s="1" a="1"/>
  <c r="AJ242" i="55" s="1"/>
  <c r="AJ243" i="55" s="1" a="1"/>
  <c r="AJ243" i="55" s="1"/>
  <c r="AJ244" i="55" s="1" a="1"/>
  <c r="AJ244" i="55" s="1"/>
  <c r="AJ245" i="55" s="1" a="1"/>
  <c r="AJ245" i="55" s="1"/>
  <c r="AJ246" i="55" s="1" a="1"/>
  <c r="AJ246" i="55" s="1"/>
  <c r="AJ247" i="55" s="1" a="1"/>
  <c r="AJ247" i="55" s="1"/>
  <c r="AJ248" i="55" s="1" a="1"/>
  <c r="AJ248" i="55" s="1"/>
  <c r="AJ249" i="55" s="1" a="1"/>
  <c r="AJ249" i="55" s="1"/>
  <c r="AJ250" i="55" s="1" a="1"/>
  <c r="AJ250" i="55" s="1"/>
  <c r="AJ251" i="55" s="1" a="1"/>
  <c r="AJ251" i="55" s="1"/>
  <c r="AJ252" i="55" s="1" a="1"/>
  <c r="AJ252" i="55" s="1"/>
  <c r="AJ253" i="55" s="1" a="1"/>
  <c r="AJ253" i="55" s="1"/>
  <c r="AJ254" i="55" s="1" a="1"/>
  <c r="AJ254" i="55" s="1"/>
  <c r="AJ255" i="55" s="1" a="1"/>
  <c r="AJ255" i="55" s="1"/>
  <c r="AJ256" i="55" s="1" a="1"/>
  <c r="AJ256" i="55" s="1"/>
  <c r="AJ257" i="55" s="1" a="1"/>
  <c r="AJ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AE15" i="57" l="1"/>
  <c r="AF15" i="57" s="1"/>
  <c r="AA15" i="57"/>
  <c r="O16" i="57"/>
  <c r="X16" i="57" s="1"/>
  <c r="AA16" i="57" s="1"/>
  <c r="O17" i="57"/>
  <c r="AG17" i="57" s="1"/>
  <c r="N18" i="57"/>
  <c r="M18" i="53"/>
  <c r="N18" i="53" s="1"/>
  <c r="X17" i="53"/>
  <c r="AA17" i="53" s="1"/>
  <c r="AE17" i="53" s="1"/>
  <c r="AF17" i="53" s="1"/>
  <c r="X16" i="53"/>
  <c r="AB16" i="53" s="1"/>
  <c r="X15" i="53"/>
  <c r="AB15" i="57"/>
  <c r="AC18" i="57"/>
  <c r="R18" i="57"/>
  <c r="L19" i="57"/>
  <c r="AJ18" i="57"/>
  <c r="AP18" i="57"/>
  <c r="AJ12" i="57"/>
  <c r="AH13" i="53"/>
  <c r="AD18" i="57"/>
  <c r="Q18" i="57"/>
  <c r="T18" i="57" s="1"/>
  <c r="AK18" i="52" a="1"/>
  <c r="AK18" i="52" s="1"/>
  <c r="B20" i="53" s="1"/>
  <c r="I19" i="57"/>
  <c r="F19" i="57"/>
  <c r="E19" i="57"/>
  <c r="C19" i="57"/>
  <c r="M19" i="57" s="1"/>
  <c r="K19" i="57"/>
  <c r="J19" i="57"/>
  <c r="G19" i="57"/>
  <c r="P19" i="57"/>
  <c r="H19" i="57"/>
  <c r="D19" i="57"/>
  <c r="L19" i="53"/>
  <c r="K19" i="53"/>
  <c r="I19" i="53"/>
  <c r="H19" i="53"/>
  <c r="G19" i="53"/>
  <c r="C19" i="53"/>
  <c r="P19" i="53"/>
  <c r="E19" i="53"/>
  <c r="D19" i="53"/>
  <c r="F19" i="53"/>
  <c r="J19" i="53"/>
  <c r="AK18" i="55" a="1"/>
  <c r="AK18" i="55" s="1"/>
  <c r="B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R18" i="53" l="1"/>
  <c r="Q18" i="53"/>
  <c r="AT18" i="53"/>
  <c r="X17" i="57"/>
  <c r="N19" i="57"/>
  <c r="O18" i="57"/>
  <c r="AG18" i="57" s="1"/>
  <c r="AD18" i="53"/>
  <c r="AC18" i="53"/>
  <c r="N19" i="53"/>
  <c r="O19" i="53" s="1"/>
  <c r="AG19" i="53" s="1"/>
  <c r="M19" i="53"/>
  <c r="AC19" i="53" s="1"/>
  <c r="AH18" i="53"/>
  <c r="AB17" i="53"/>
  <c r="O18" i="53"/>
  <c r="AG18" i="53" s="1"/>
  <c r="AA16" i="53"/>
  <c r="AE16" i="53" s="1"/>
  <c r="AF16" i="53" s="1"/>
  <c r="AA15" i="53"/>
  <c r="AE15" i="53" s="1"/>
  <c r="AF15" i="53" s="1"/>
  <c r="AB15" i="53"/>
  <c r="AE16" i="57"/>
  <c r="AF16" i="57" s="1"/>
  <c r="AB16" i="57"/>
  <c r="AC19" i="57"/>
  <c r="R19" i="57"/>
  <c r="L20" i="57"/>
  <c r="AJ19" i="57"/>
  <c r="AP19" i="57"/>
  <c r="AG15" i="57"/>
  <c r="AJ14" i="57"/>
  <c r="AG16" i="57"/>
  <c r="AG15" i="53"/>
  <c r="AG16" i="53"/>
  <c r="AD19" i="57"/>
  <c r="L20" i="53"/>
  <c r="P20" i="53"/>
  <c r="H20" i="53"/>
  <c r="F20" i="53"/>
  <c r="D20" i="53"/>
  <c r="E20" i="53"/>
  <c r="J20" i="53"/>
  <c r="K20" i="53"/>
  <c r="G20" i="53"/>
  <c r="C20" i="53"/>
  <c r="I20" i="53"/>
  <c r="AK19" i="52" a="1"/>
  <c r="AK19" i="52" s="1"/>
  <c r="B21" i="53" s="1"/>
  <c r="I20" i="57"/>
  <c r="H20" i="57"/>
  <c r="G20" i="57"/>
  <c r="E20" i="57"/>
  <c r="P20" i="57"/>
  <c r="D20" i="57"/>
  <c r="C20" i="57"/>
  <c r="M20" i="57" s="1"/>
  <c r="K20" i="57"/>
  <c r="F20" i="57"/>
  <c r="J20" i="57"/>
  <c r="Q19" i="57"/>
  <c r="T19" i="57" s="1"/>
  <c r="AK19" i="55" a="1"/>
  <c r="AK19" i="55" s="1"/>
  <c r="B21" i="57" s="1"/>
  <c r="P258" i="11"/>
  <c r="Q258" i="11" s="1"/>
  <c r="P257" i="11"/>
  <c r="Q257" i="11" s="1"/>
  <c r="P256" i="11"/>
  <c r="Q256" i="11" s="1"/>
  <c r="P255" i="11"/>
  <c r="Q255" i="11" s="1"/>
  <c r="P254" i="11"/>
  <c r="Q254" i="11" s="1"/>
  <c r="P253" i="11"/>
  <c r="Q253" i="11" s="1"/>
  <c r="P252" i="11"/>
  <c r="Q252" i="11" s="1"/>
  <c r="P251" i="11"/>
  <c r="Q251" i="11" s="1"/>
  <c r="P250" i="11"/>
  <c r="Q250" i="11" s="1"/>
  <c r="P249" i="11"/>
  <c r="Q249" i="11" s="1"/>
  <c r="P248" i="11"/>
  <c r="Q248" i="11" s="1"/>
  <c r="P247" i="11"/>
  <c r="Q247" i="11" s="1"/>
  <c r="P246" i="11"/>
  <c r="Q246" i="11" s="1"/>
  <c r="P245" i="11"/>
  <c r="Q245" i="11" s="1"/>
  <c r="P244" i="11"/>
  <c r="Q244" i="11" s="1"/>
  <c r="P243" i="11"/>
  <c r="Q243" i="11" s="1"/>
  <c r="P242" i="11"/>
  <c r="Q242" i="11" s="1"/>
  <c r="P241" i="11"/>
  <c r="Q241" i="11" s="1"/>
  <c r="P240" i="11"/>
  <c r="Q240" i="11" s="1"/>
  <c r="P239" i="11"/>
  <c r="Q239" i="11" s="1"/>
  <c r="P238" i="11"/>
  <c r="Q238" i="11" s="1"/>
  <c r="P237" i="11"/>
  <c r="Q237" i="11" s="1"/>
  <c r="P236" i="11"/>
  <c r="Q236" i="11" s="1"/>
  <c r="P235" i="11"/>
  <c r="Q235" i="11" s="1"/>
  <c r="P234" i="11"/>
  <c r="Q234" i="11" s="1"/>
  <c r="P233" i="11"/>
  <c r="Q233" i="11" s="1"/>
  <c r="P232" i="11"/>
  <c r="Q232" i="11" s="1"/>
  <c r="P231" i="11"/>
  <c r="Q231" i="11" s="1"/>
  <c r="P230" i="11"/>
  <c r="Q230" i="11" s="1"/>
  <c r="P229" i="11"/>
  <c r="Q229" i="11" s="1"/>
  <c r="P228" i="11"/>
  <c r="Q228" i="11" s="1"/>
  <c r="P227" i="11"/>
  <c r="Q227" i="11" s="1"/>
  <c r="P226" i="11"/>
  <c r="Q226" i="11" s="1"/>
  <c r="P225" i="11"/>
  <c r="Q225" i="11" s="1"/>
  <c r="P224" i="11"/>
  <c r="Q224" i="11" s="1"/>
  <c r="P223" i="11"/>
  <c r="Q223" i="11" s="1"/>
  <c r="P222" i="11"/>
  <c r="Q222" i="11" s="1"/>
  <c r="P221" i="11"/>
  <c r="Q221" i="11" s="1"/>
  <c r="P220" i="11"/>
  <c r="Q220" i="11" s="1"/>
  <c r="P219" i="11"/>
  <c r="Q219" i="11" s="1"/>
  <c r="P218" i="11"/>
  <c r="Q218" i="11" s="1"/>
  <c r="P217" i="11"/>
  <c r="Q217" i="11" s="1"/>
  <c r="P216" i="11"/>
  <c r="Q216" i="11" s="1"/>
  <c r="P215" i="11"/>
  <c r="Q215" i="11" s="1"/>
  <c r="P214" i="11"/>
  <c r="Q214" i="11" s="1"/>
  <c r="P213" i="11"/>
  <c r="Q213" i="11" s="1"/>
  <c r="P212" i="11"/>
  <c r="Q212" i="11" s="1"/>
  <c r="P211" i="11"/>
  <c r="Q211" i="11" s="1"/>
  <c r="P210" i="11"/>
  <c r="Q210" i="11" s="1"/>
  <c r="P209" i="11"/>
  <c r="Q209" i="11" s="1"/>
  <c r="P208" i="11"/>
  <c r="Q208" i="11" s="1"/>
  <c r="P207" i="11"/>
  <c r="Q207" i="11" s="1"/>
  <c r="P206" i="11"/>
  <c r="Q206" i="11" s="1"/>
  <c r="P205" i="11"/>
  <c r="Q205" i="11" s="1"/>
  <c r="P204" i="11"/>
  <c r="Q204" i="11" s="1"/>
  <c r="P203" i="11"/>
  <c r="Q203" i="11" s="1"/>
  <c r="P202" i="11"/>
  <c r="Q202" i="11" s="1"/>
  <c r="P201" i="11"/>
  <c r="Q201" i="11" s="1"/>
  <c r="P200" i="11"/>
  <c r="Q200" i="11" s="1"/>
  <c r="P199" i="11"/>
  <c r="Q199" i="11" s="1"/>
  <c r="P198" i="11"/>
  <c r="Q198" i="11" s="1"/>
  <c r="P197" i="11"/>
  <c r="Q197" i="11" s="1"/>
  <c r="P196" i="11"/>
  <c r="Q196" i="11" s="1"/>
  <c r="P195" i="11"/>
  <c r="Q195" i="11" s="1"/>
  <c r="P194" i="11"/>
  <c r="Q194" i="11" s="1"/>
  <c r="P193" i="11"/>
  <c r="Q193" i="11" s="1"/>
  <c r="P192" i="11"/>
  <c r="Q192" i="11" s="1"/>
  <c r="P191" i="11"/>
  <c r="Q191" i="11" s="1"/>
  <c r="P190" i="11"/>
  <c r="Q190" i="11" s="1"/>
  <c r="P189" i="11"/>
  <c r="Q189" i="11" s="1"/>
  <c r="P188" i="11"/>
  <c r="Q188" i="11" s="1"/>
  <c r="P187" i="11"/>
  <c r="Q187" i="11" s="1"/>
  <c r="P186" i="11"/>
  <c r="Q186" i="11" s="1"/>
  <c r="P185" i="11"/>
  <c r="Q185" i="11" s="1"/>
  <c r="P184" i="11"/>
  <c r="Q184" i="11" s="1"/>
  <c r="P183" i="11"/>
  <c r="Q183" i="11" s="1"/>
  <c r="P182" i="11"/>
  <c r="Q182" i="11" s="1"/>
  <c r="P181" i="11"/>
  <c r="Q181" i="11" s="1"/>
  <c r="P180" i="11"/>
  <c r="Q180" i="11" s="1"/>
  <c r="P179" i="11"/>
  <c r="Q179" i="11" s="1"/>
  <c r="P178" i="11"/>
  <c r="Q178" i="11" s="1"/>
  <c r="P177" i="11"/>
  <c r="Q177" i="11" s="1"/>
  <c r="P176" i="11"/>
  <c r="Q176" i="11" s="1"/>
  <c r="P175" i="11"/>
  <c r="Q175" i="11" s="1"/>
  <c r="P174" i="11"/>
  <c r="Q174" i="11" s="1"/>
  <c r="P173" i="11"/>
  <c r="Q173" i="11" s="1"/>
  <c r="P172" i="11"/>
  <c r="Q172" i="11" s="1"/>
  <c r="P171" i="11"/>
  <c r="Q171" i="11" s="1"/>
  <c r="P170" i="11"/>
  <c r="Q170" i="11" s="1"/>
  <c r="P169" i="11"/>
  <c r="Q169" i="11" s="1"/>
  <c r="P168" i="11"/>
  <c r="Q168" i="11" s="1"/>
  <c r="P167" i="11"/>
  <c r="Q167" i="11" s="1"/>
  <c r="P166" i="11"/>
  <c r="Q166" i="11" s="1"/>
  <c r="P165" i="11"/>
  <c r="Q165" i="11" s="1"/>
  <c r="P164" i="11"/>
  <c r="Q164" i="11" s="1"/>
  <c r="P163" i="11"/>
  <c r="Q163" i="11" s="1"/>
  <c r="P162" i="11"/>
  <c r="Q162" i="11" s="1"/>
  <c r="P161" i="11"/>
  <c r="Q161" i="11" s="1"/>
  <c r="P160" i="11"/>
  <c r="Q160" i="11" s="1"/>
  <c r="P159" i="11"/>
  <c r="Q159" i="11" s="1"/>
  <c r="P158" i="11"/>
  <c r="Q158" i="11" s="1"/>
  <c r="P157" i="11"/>
  <c r="Q157" i="11" s="1"/>
  <c r="P156" i="11"/>
  <c r="Q156" i="11" s="1"/>
  <c r="P155" i="11"/>
  <c r="Q155" i="11" s="1"/>
  <c r="P154" i="11"/>
  <c r="Q154" i="11" s="1"/>
  <c r="P153" i="11"/>
  <c r="Q153" i="11" s="1"/>
  <c r="P152" i="11"/>
  <c r="Q152" i="11" s="1"/>
  <c r="P151" i="11"/>
  <c r="Q151" i="11" s="1"/>
  <c r="P150" i="11"/>
  <c r="Q150" i="11" s="1"/>
  <c r="P149" i="11"/>
  <c r="Q149" i="11" s="1"/>
  <c r="P148" i="11"/>
  <c r="Q148" i="11" s="1"/>
  <c r="P147" i="11"/>
  <c r="Q147" i="11" s="1"/>
  <c r="P146" i="11"/>
  <c r="Q146" i="11" s="1"/>
  <c r="P145" i="11"/>
  <c r="Q145" i="11" s="1"/>
  <c r="P144" i="11"/>
  <c r="Q144" i="11" s="1"/>
  <c r="H256" i="71"/>
  <c r="H255" i="71"/>
  <c r="H254" i="71"/>
  <c r="H253" i="71"/>
  <c r="H252" i="71"/>
  <c r="H251" i="71"/>
  <c r="H250" i="71"/>
  <c r="H249" i="71"/>
  <c r="H248" i="71"/>
  <c r="H247" i="71"/>
  <c r="H246" i="71"/>
  <c r="H245" i="71"/>
  <c r="H244" i="71"/>
  <c r="H243" i="71"/>
  <c r="H242" i="71"/>
  <c r="H241" i="71"/>
  <c r="H240" i="71"/>
  <c r="H239" i="71"/>
  <c r="H238" i="71"/>
  <c r="H237" i="71"/>
  <c r="H236" i="71"/>
  <c r="H235" i="71"/>
  <c r="H234" i="71"/>
  <c r="H233" i="71"/>
  <c r="H232" i="71"/>
  <c r="H231" i="71"/>
  <c r="H230" i="71"/>
  <c r="H229" i="71"/>
  <c r="H228" i="71"/>
  <c r="H227" i="71"/>
  <c r="H226" i="71"/>
  <c r="H225" i="71"/>
  <c r="H224" i="71"/>
  <c r="H223" i="71"/>
  <c r="H222" i="71"/>
  <c r="H221" i="71"/>
  <c r="H220" i="71"/>
  <c r="H219" i="71"/>
  <c r="H218" i="71"/>
  <c r="H217" i="71"/>
  <c r="H216" i="71"/>
  <c r="H215" i="71"/>
  <c r="H214" i="71"/>
  <c r="H213" i="71"/>
  <c r="H212" i="71"/>
  <c r="H211" i="71"/>
  <c r="H210" i="71"/>
  <c r="H209" i="71"/>
  <c r="H208" i="71"/>
  <c r="H207" i="71"/>
  <c r="H206" i="71"/>
  <c r="H205" i="71"/>
  <c r="H204" i="71"/>
  <c r="H203" i="71"/>
  <c r="H202" i="71"/>
  <c r="H201" i="71"/>
  <c r="H200" i="71"/>
  <c r="H199" i="71"/>
  <c r="H198" i="71"/>
  <c r="H197" i="71"/>
  <c r="H196" i="71"/>
  <c r="H195" i="71"/>
  <c r="H194" i="71"/>
  <c r="H193" i="71"/>
  <c r="H192" i="71"/>
  <c r="H191" i="71"/>
  <c r="H190" i="71"/>
  <c r="H189" i="71"/>
  <c r="H188" i="71"/>
  <c r="H187" i="71"/>
  <c r="H186" i="71"/>
  <c r="H185" i="71"/>
  <c r="H184" i="71"/>
  <c r="H183" i="71"/>
  <c r="H182" i="71"/>
  <c r="H181" i="71"/>
  <c r="H180" i="71"/>
  <c r="H179" i="71"/>
  <c r="H178" i="71"/>
  <c r="H177" i="71"/>
  <c r="H176" i="71"/>
  <c r="H175" i="71"/>
  <c r="H174" i="71"/>
  <c r="H173" i="71"/>
  <c r="H172" i="71"/>
  <c r="H171" i="71"/>
  <c r="H170" i="71"/>
  <c r="H169" i="71"/>
  <c r="H168" i="71"/>
  <c r="H167" i="71"/>
  <c r="H166" i="71"/>
  <c r="H165" i="71"/>
  <c r="H164" i="71"/>
  <c r="H163" i="71"/>
  <c r="H162" i="71"/>
  <c r="H161" i="71"/>
  <c r="H160" i="71"/>
  <c r="H159" i="71"/>
  <c r="H158" i="71"/>
  <c r="H157" i="71"/>
  <c r="H156" i="71"/>
  <c r="H155" i="71"/>
  <c r="H154" i="71"/>
  <c r="H153" i="71"/>
  <c r="H152" i="71"/>
  <c r="H151" i="71"/>
  <c r="H150" i="71"/>
  <c r="H149" i="71"/>
  <c r="H148" i="71"/>
  <c r="H147" i="71"/>
  <c r="H146" i="71"/>
  <c r="H145" i="71"/>
  <c r="H144" i="71"/>
  <c r="H143" i="71"/>
  <c r="H142" i="71"/>
  <c r="H141" i="71"/>
  <c r="H140" i="71"/>
  <c r="H139" i="71"/>
  <c r="H138" i="71"/>
  <c r="H137" i="71"/>
  <c r="H136" i="71"/>
  <c r="H135" i="71"/>
  <c r="H134" i="71"/>
  <c r="H133" i="71"/>
  <c r="H132" i="71"/>
  <c r="H131" i="71"/>
  <c r="H130" i="71"/>
  <c r="H129" i="71"/>
  <c r="H128" i="71"/>
  <c r="H127" i="71"/>
  <c r="H126" i="71"/>
  <c r="H125" i="71"/>
  <c r="H124" i="71"/>
  <c r="H123" i="71"/>
  <c r="H122" i="71"/>
  <c r="H121" i="71"/>
  <c r="H120" i="71"/>
  <c r="H119" i="71"/>
  <c r="H118" i="71"/>
  <c r="H117" i="71"/>
  <c r="H116" i="71"/>
  <c r="H115" i="71"/>
  <c r="H114" i="71"/>
  <c r="H113" i="71"/>
  <c r="H112" i="71"/>
  <c r="H111" i="71"/>
  <c r="H110" i="71"/>
  <c r="H109" i="71"/>
  <c r="H108" i="71"/>
  <c r="H107" i="71"/>
  <c r="H106" i="71"/>
  <c r="H105" i="71"/>
  <c r="H104" i="71"/>
  <c r="H103" i="71"/>
  <c r="H102" i="71"/>
  <c r="H101" i="71"/>
  <c r="H100" i="71"/>
  <c r="H99" i="71"/>
  <c r="H98" i="71"/>
  <c r="H97" i="71"/>
  <c r="H96" i="71"/>
  <c r="H95" i="71"/>
  <c r="H94" i="71"/>
  <c r="H93" i="71"/>
  <c r="H92" i="71"/>
  <c r="H91" i="71"/>
  <c r="H90" i="71"/>
  <c r="H89" i="71"/>
  <c r="H88" i="71"/>
  <c r="H87" i="71"/>
  <c r="H86" i="71"/>
  <c r="H85" i="71"/>
  <c r="H84" i="71"/>
  <c r="H83" i="71"/>
  <c r="H82" i="71"/>
  <c r="H81" i="71"/>
  <c r="H80" i="71"/>
  <c r="H79" i="71"/>
  <c r="H78" i="71"/>
  <c r="H77" i="71"/>
  <c r="H76" i="71"/>
  <c r="H75" i="71"/>
  <c r="H74" i="71"/>
  <c r="H73" i="71"/>
  <c r="H72" i="71"/>
  <c r="H71" i="71"/>
  <c r="H70" i="71"/>
  <c r="H69" i="71"/>
  <c r="H68" i="71"/>
  <c r="H67" i="71"/>
  <c r="H66" i="71"/>
  <c r="H65" i="71"/>
  <c r="H64" i="71"/>
  <c r="H63" i="71"/>
  <c r="H62" i="71"/>
  <c r="H61" i="71"/>
  <c r="H60" i="71"/>
  <c r="H59" i="71"/>
  <c r="H58" i="71"/>
  <c r="H57" i="71"/>
  <c r="H56" i="71"/>
  <c r="H55" i="71"/>
  <c r="H54" i="71"/>
  <c r="H53" i="71"/>
  <c r="H52" i="71"/>
  <c r="H51" i="71"/>
  <c r="H50" i="71"/>
  <c r="H49" i="71"/>
  <c r="H48" i="71"/>
  <c r="H47" i="71"/>
  <c r="H46" i="71"/>
  <c r="H45" i="71"/>
  <c r="H44" i="71"/>
  <c r="H43" i="71"/>
  <c r="H42" i="71"/>
  <c r="H41" i="71"/>
  <c r="H40" i="71"/>
  <c r="H39" i="71"/>
  <c r="H38" i="71"/>
  <c r="H37" i="71"/>
  <c r="H36" i="71"/>
  <c r="H35" i="71"/>
  <c r="H34" i="71"/>
  <c r="H33" i="71"/>
  <c r="H32" i="71"/>
  <c r="H31" i="71"/>
  <c r="H30" i="71"/>
  <c r="H29" i="71"/>
  <c r="H28" i="71"/>
  <c r="H27" i="71"/>
  <c r="H26" i="71"/>
  <c r="H25" i="71"/>
  <c r="H24" i="71"/>
  <c r="H23" i="71"/>
  <c r="H22" i="71"/>
  <c r="H21" i="71"/>
  <c r="H20" i="71"/>
  <c r="H19" i="71"/>
  <c r="H18" i="71"/>
  <c r="H17" i="71"/>
  <c r="H16" i="71"/>
  <c r="H15" i="71"/>
  <c r="H14" i="71"/>
  <c r="H13" i="71"/>
  <c r="H12" i="71"/>
  <c r="H11" i="71"/>
  <c r="I258" i="59"/>
  <c r="I257" i="59"/>
  <c r="I256" i="59"/>
  <c r="I255" i="59"/>
  <c r="I254" i="59"/>
  <c r="I253" i="59"/>
  <c r="I252" i="59"/>
  <c r="I251" i="59"/>
  <c r="I250" i="59"/>
  <c r="I249" i="59"/>
  <c r="I248" i="59"/>
  <c r="I247" i="59"/>
  <c r="I246" i="59"/>
  <c r="I245" i="59"/>
  <c r="I244" i="59"/>
  <c r="I243" i="59"/>
  <c r="I242" i="59"/>
  <c r="I241" i="59"/>
  <c r="I240" i="59"/>
  <c r="I239" i="59"/>
  <c r="I238" i="59"/>
  <c r="I237" i="59"/>
  <c r="I236" i="59"/>
  <c r="I235" i="59"/>
  <c r="I234" i="59"/>
  <c r="I233" i="59"/>
  <c r="I232" i="59"/>
  <c r="I231" i="59"/>
  <c r="I230" i="59"/>
  <c r="I229" i="59"/>
  <c r="I228" i="59"/>
  <c r="I227" i="59"/>
  <c r="I226" i="59"/>
  <c r="I225" i="59"/>
  <c r="I224" i="59"/>
  <c r="I223" i="59"/>
  <c r="I222" i="59"/>
  <c r="I221" i="59"/>
  <c r="I220" i="59"/>
  <c r="I219" i="59"/>
  <c r="I218" i="59"/>
  <c r="I217" i="59"/>
  <c r="I216" i="59"/>
  <c r="I215" i="59"/>
  <c r="I214" i="59"/>
  <c r="I213" i="59"/>
  <c r="I212" i="59"/>
  <c r="I211" i="59"/>
  <c r="I210" i="59"/>
  <c r="I209" i="59"/>
  <c r="I208" i="59"/>
  <c r="I207" i="59"/>
  <c r="I206" i="59"/>
  <c r="I205" i="59"/>
  <c r="I204" i="59"/>
  <c r="I203" i="59"/>
  <c r="I202" i="59"/>
  <c r="I201" i="59"/>
  <c r="I200" i="59"/>
  <c r="I199" i="59"/>
  <c r="I198" i="59"/>
  <c r="I197" i="59"/>
  <c r="I196" i="59"/>
  <c r="I195" i="59"/>
  <c r="I194" i="59"/>
  <c r="I193" i="59"/>
  <c r="I192" i="59"/>
  <c r="I191" i="59"/>
  <c r="I190" i="59"/>
  <c r="I189" i="59"/>
  <c r="I188" i="59"/>
  <c r="I187" i="59"/>
  <c r="I186" i="59"/>
  <c r="I185" i="59"/>
  <c r="I184" i="59"/>
  <c r="I183" i="59"/>
  <c r="I182" i="59"/>
  <c r="I181" i="59"/>
  <c r="I180" i="59"/>
  <c r="I179" i="59"/>
  <c r="I178" i="59"/>
  <c r="I177" i="59"/>
  <c r="I176" i="59"/>
  <c r="I175" i="59"/>
  <c r="I174" i="59"/>
  <c r="I173" i="59"/>
  <c r="I172" i="59"/>
  <c r="I171" i="59"/>
  <c r="I170" i="59"/>
  <c r="I169" i="59"/>
  <c r="I168" i="59"/>
  <c r="I167" i="59"/>
  <c r="I166" i="59"/>
  <c r="I165" i="59"/>
  <c r="I164" i="59"/>
  <c r="I163" i="59"/>
  <c r="I162" i="59"/>
  <c r="I161" i="59"/>
  <c r="I160" i="59"/>
  <c r="I159" i="59"/>
  <c r="I158" i="59"/>
  <c r="I157" i="59"/>
  <c r="I156" i="59"/>
  <c r="I155" i="59"/>
  <c r="I154" i="59"/>
  <c r="I153" i="59"/>
  <c r="I152" i="59"/>
  <c r="I151" i="59"/>
  <c r="I150" i="59"/>
  <c r="I149" i="59"/>
  <c r="I148" i="59"/>
  <c r="I147" i="59"/>
  <c r="I146" i="59"/>
  <c r="I145" i="59"/>
  <c r="I144" i="59"/>
  <c r="I143" i="59"/>
  <c r="I142" i="59"/>
  <c r="I141" i="59"/>
  <c r="I140" i="59"/>
  <c r="I139" i="59"/>
  <c r="I138" i="59"/>
  <c r="I137" i="59"/>
  <c r="I136" i="59"/>
  <c r="I135" i="59"/>
  <c r="I134" i="59"/>
  <c r="I133" i="59"/>
  <c r="I132" i="59"/>
  <c r="I131" i="59"/>
  <c r="I130" i="59"/>
  <c r="I129" i="59"/>
  <c r="I128" i="59"/>
  <c r="I127" i="59"/>
  <c r="I126" i="59"/>
  <c r="I125" i="59"/>
  <c r="I124" i="59"/>
  <c r="I123" i="59"/>
  <c r="I122" i="59"/>
  <c r="I121" i="59"/>
  <c r="I120" i="59"/>
  <c r="I119" i="59"/>
  <c r="I118" i="59"/>
  <c r="I117" i="59"/>
  <c r="I116" i="59"/>
  <c r="I115" i="59"/>
  <c r="I114" i="59"/>
  <c r="I113" i="59"/>
  <c r="I112" i="59"/>
  <c r="I111" i="59"/>
  <c r="I110" i="59"/>
  <c r="I109" i="59"/>
  <c r="I108" i="59"/>
  <c r="I107" i="59"/>
  <c r="I106" i="59"/>
  <c r="I105" i="59"/>
  <c r="I104" i="59"/>
  <c r="I103" i="59"/>
  <c r="I102" i="59"/>
  <c r="I101" i="59"/>
  <c r="I100" i="59"/>
  <c r="I99" i="59"/>
  <c r="I98" i="59"/>
  <c r="I97" i="59"/>
  <c r="I96" i="59"/>
  <c r="I95" i="59"/>
  <c r="I94" i="59"/>
  <c r="I93" i="59"/>
  <c r="I92" i="59"/>
  <c r="I91" i="59"/>
  <c r="I90" i="59"/>
  <c r="I89" i="59"/>
  <c r="I88" i="59"/>
  <c r="I87" i="59"/>
  <c r="I86" i="59"/>
  <c r="I85" i="59"/>
  <c r="I84" i="59"/>
  <c r="I83" i="59"/>
  <c r="I82" i="59"/>
  <c r="I81" i="59"/>
  <c r="I80" i="59"/>
  <c r="I79" i="59"/>
  <c r="I78" i="59"/>
  <c r="I77" i="59"/>
  <c r="I76" i="59"/>
  <c r="I75" i="59"/>
  <c r="I74" i="59"/>
  <c r="I73" i="59"/>
  <c r="I72" i="59"/>
  <c r="I71" i="59"/>
  <c r="I70" i="59"/>
  <c r="I69" i="59"/>
  <c r="I68" i="59"/>
  <c r="I67" i="59"/>
  <c r="I66" i="59"/>
  <c r="I65" i="59"/>
  <c r="I64" i="59"/>
  <c r="I63" i="59"/>
  <c r="I62" i="59"/>
  <c r="I61" i="59"/>
  <c r="I60" i="59"/>
  <c r="I59" i="59"/>
  <c r="I58" i="59"/>
  <c r="I57" i="59"/>
  <c r="I56" i="59"/>
  <c r="I55" i="59"/>
  <c r="I54" i="59"/>
  <c r="I53" i="59"/>
  <c r="I52" i="59"/>
  <c r="I51" i="59"/>
  <c r="I50" i="59"/>
  <c r="I49" i="59"/>
  <c r="I48" i="59"/>
  <c r="I47" i="59"/>
  <c r="I46" i="59"/>
  <c r="I45" i="59"/>
  <c r="I44" i="59"/>
  <c r="I43" i="59"/>
  <c r="I42" i="59"/>
  <c r="I41" i="59"/>
  <c r="I40" i="59"/>
  <c r="I39" i="59"/>
  <c r="I38" i="59"/>
  <c r="I37" i="59"/>
  <c r="I36" i="59"/>
  <c r="I35" i="59"/>
  <c r="I34" i="59"/>
  <c r="I33" i="59"/>
  <c r="I32" i="59"/>
  <c r="I31" i="59"/>
  <c r="I30" i="59"/>
  <c r="I29" i="59"/>
  <c r="I28" i="59"/>
  <c r="I27" i="59"/>
  <c r="I26" i="59"/>
  <c r="I25" i="59"/>
  <c r="I24" i="59"/>
  <c r="I23" i="59"/>
  <c r="I22" i="59"/>
  <c r="I21" i="59"/>
  <c r="I20" i="59"/>
  <c r="I19" i="59"/>
  <c r="I18" i="59"/>
  <c r="I17" i="59"/>
  <c r="I16" i="59"/>
  <c r="I15" i="59"/>
  <c r="I14" i="59"/>
  <c r="I13" i="59"/>
  <c r="I12" i="59"/>
  <c r="I11" i="59"/>
  <c r="H256" i="46"/>
  <c r="H255" i="46"/>
  <c r="H254" i="46"/>
  <c r="H253" i="46"/>
  <c r="H252" i="46"/>
  <c r="H251" i="46"/>
  <c r="H250" i="46"/>
  <c r="H249" i="46"/>
  <c r="H248" i="46"/>
  <c r="H247" i="46"/>
  <c r="H246" i="46"/>
  <c r="H245" i="46"/>
  <c r="H244" i="46"/>
  <c r="H243" i="46"/>
  <c r="H242" i="46"/>
  <c r="H241" i="46"/>
  <c r="H240" i="46"/>
  <c r="H239" i="46"/>
  <c r="H238" i="46"/>
  <c r="H237" i="46"/>
  <c r="H236" i="46"/>
  <c r="H235" i="46"/>
  <c r="H234" i="46"/>
  <c r="H233" i="46"/>
  <c r="H232" i="46"/>
  <c r="H231" i="46"/>
  <c r="H230" i="46"/>
  <c r="H229" i="46"/>
  <c r="H228" i="46"/>
  <c r="H227" i="46"/>
  <c r="H226" i="46"/>
  <c r="H225" i="46"/>
  <c r="H224" i="46"/>
  <c r="H223" i="46"/>
  <c r="H222" i="46"/>
  <c r="H221" i="46"/>
  <c r="H220" i="46"/>
  <c r="H219" i="46"/>
  <c r="H218" i="46"/>
  <c r="H217" i="46"/>
  <c r="H216" i="46"/>
  <c r="H215" i="46"/>
  <c r="H214" i="46"/>
  <c r="H213" i="46"/>
  <c r="H212" i="46"/>
  <c r="H211" i="46"/>
  <c r="H210" i="46"/>
  <c r="H209" i="46"/>
  <c r="H208" i="46"/>
  <c r="H207" i="46"/>
  <c r="H206" i="46"/>
  <c r="H205" i="46"/>
  <c r="H204" i="46"/>
  <c r="H203" i="46"/>
  <c r="H202" i="46"/>
  <c r="H201" i="46"/>
  <c r="H200" i="46"/>
  <c r="H199" i="46"/>
  <c r="H198" i="46"/>
  <c r="H197" i="46"/>
  <c r="H196" i="46"/>
  <c r="H195" i="46"/>
  <c r="H194" i="46"/>
  <c r="H193" i="46"/>
  <c r="H192" i="46"/>
  <c r="H191" i="46"/>
  <c r="H190" i="46"/>
  <c r="H189" i="46"/>
  <c r="H188" i="46"/>
  <c r="H187" i="46"/>
  <c r="H186" i="46"/>
  <c r="H185" i="46"/>
  <c r="H184" i="46"/>
  <c r="H183" i="46"/>
  <c r="H182" i="46"/>
  <c r="H181" i="46"/>
  <c r="H180" i="46"/>
  <c r="H179" i="46"/>
  <c r="H178" i="46"/>
  <c r="H177" i="46"/>
  <c r="H176" i="46"/>
  <c r="H175" i="46"/>
  <c r="H174" i="46"/>
  <c r="H173" i="46"/>
  <c r="H172" i="46"/>
  <c r="H171" i="46"/>
  <c r="H170" i="46"/>
  <c r="H169" i="46"/>
  <c r="H168" i="46"/>
  <c r="H167" i="46"/>
  <c r="H166" i="46"/>
  <c r="H165" i="46"/>
  <c r="H164" i="46"/>
  <c r="H163" i="46"/>
  <c r="H162" i="46"/>
  <c r="H161" i="46"/>
  <c r="H160" i="46"/>
  <c r="H159" i="46"/>
  <c r="H158" i="46"/>
  <c r="H157" i="46"/>
  <c r="H156" i="46"/>
  <c r="H155" i="46"/>
  <c r="H154" i="46"/>
  <c r="H153" i="46"/>
  <c r="H152" i="46"/>
  <c r="H151" i="46"/>
  <c r="H150" i="46"/>
  <c r="H149" i="46"/>
  <c r="H148" i="46"/>
  <c r="H147" i="46"/>
  <c r="H146" i="46"/>
  <c r="H145" i="46"/>
  <c r="H144" i="46"/>
  <c r="H143" i="46"/>
  <c r="H142" i="46"/>
  <c r="H141" i="46"/>
  <c r="H140" i="46"/>
  <c r="H139" i="46"/>
  <c r="H138" i="46"/>
  <c r="H137" i="46"/>
  <c r="H136" i="46"/>
  <c r="H135" i="46"/>
  <c r="H134" i="46"/>
  <c r="H133" i="46"/>
  <c r="H132" i="46"/>
  <c r="H131" i="46"/>
  <c r="H130" i="46"/>
  <c r="H129" i="46"/>
  <c r="H128" i="46"/>
  <c r="H127" i="46"/>
  <c r="H126" i="46"/>
  <c r="H125" i="46"/>
  <c r="H124" i="46"/>
  <c r="H123" i="46"/>
  <c r="H122" i="46"/>
  <c r="H121" i="46"/>
  <c r="H120" i="46"/>
  <c r="H119" i="46"/>
  <c r="H118" i="46"/>
  <c r="H117" i="46"/>
  <c r="H116" i="46"/>
  <c r="H115" i="46"/>
  <c r="H114" i="46"/>
  <c r="H113" i="46"/>
  <c r="H112" i="46"/>
  <c r="H111" i="46"/>
  <c r="H110" i="46"/>
  <c r="H109" i="46"/>
  <c r="H108" i="46"/>
  <c r="H107" i="46"/>
  <c r="H106" i="46"/>
  <c r="H105" i="46"/>
  <c r="H104" i="46"/>
  <c r="H103" i="46"/>
  <c r="H102" i="46"/>
  <c r="H101" i="46"/>
  <c r="H100" i="46"/>
  <c r="H99" i="46"/>
  <c r="H98" i="46"/>
  <c r="H97" i="46"/>
  <c r="H96" i="46"/>
  <c r="H95" i="46"/>
  <c r="H94" i="46"/>
  <c r="H93" i="46"/>
  <c r="H92" i="46"/>
  <c r="H91" i="46"/>
  <c r="H90" i="46"/>
  <c r="H89" i="46"/>
  <c r="H88" i="46"/>
  <c r="H87" i="46"/>
  <c r="H86" i="46"/>
  <c r="H85" i="46"/>
  <c r="H84" i="46"/>
  <c r="H83" i="46"/>
  <c r="H82" i="46"/>
  <c r="H81" i="46"/>
  <c r="H80" i="46"/>
  <c r="H79" i="46"/>
  <c r="H78" i="46"/>
  <c r="H77" i="46"/>
  <c r="H76" i="46"/>
  <c r="H75" i="46"/>
  <c r="H74" i="46"/>
  <c r="H73" i="46"/>
  <c r="H72" i="46"/>
  <c r="H71" i="46"/>
  <c r="H70" i="46"/>
  <c r="H69" i="46"/>
  <c r="H68" i="46"/>
  <c r="H67" i="46"/>
  <c r="H66" i="46"/>
  <c r="H65" i="46"/>
  <c r="H64" i="46"/>
  <c r="H63" i="46"/>
  <c r="H62" i="46"/>
  <c r="H61" i="46"/>
  <c r="H60" i="46"/>
  <c r="H59" i="46"/>
  <c r="H58" i="46"/>
  <c r="H57" i="46"/>
  <c r="H56" i="46"/>
  <c r="H55" i="46"/>
  <c r="H54" i="46"/>
  <c r="H53" i="46"/>
  <c r="H52" i="46"/>
  <c r="H51" i="46"/>
  <c r="H50" i="46"/>
  <c r="H49" i="46"/>
  <c r="H48" i="46"/>
  <c r="H47" i="46"/>
  <c r="H46" i="46"/>
  <c r="H45" i="46"/>
  <c r="H44" i="46"/>
  <c r="H43" i="46"/>
  <c r="H42" i="46"/>
  <c r="H41" i="46"/>
  <c r="H40" i="46"/>
  <c r="H39" i="46"/>
  <c r="H38" i="46"/>
  <c r="H37" i="46"/>
  <c r="H36" i="46"/>
  <c r="H35" i="46"/>
  <c r="H34" i="46"/>
  <c r="H33" i="46"/>
  <c r="H32" i="46"/>
  <c r="H31" i="46"/>
  <c r="H30" i="46"/>
  <c r="H29" i="46"/>
  <c r="H28" i="46"/>
  <c r="H27" i="46"/>
  <c r="H26" i="46"/>
  <c r="H25" i="46"/>
  <c r="H24" i="46"/>
  <c r="H23" i="46"/>
  <c r="H22" i="46"/>
  <c r="H21" i="46"/>
  <c r="H20" i="46"/>
  <c r="H19" i="46"/>
  <c r="H18" i="46"/>
  <c r="H17" i="46"/>
  <c r="H16" i="46"/>
  <c r="H15" i="46"/>
  <c r="H14" i="46"/>
  <c r="H13" i="46"/>
  <c r="H12" i="46"/>
  <c r="H11" i="46"/>
  <c r="I258" i="11"/>
  <c r="I257" i="11"/>
  <c r="I256" i="11"/>
  <c r="I255" i="11"/>
  <c r="I254" i="11"/>
  <c r="I253" i="11"/>
  <c r="I252" i="11"/>
  <c r="I251" i="11"/>
  <c r="I250" i="11"/>
  <c r="I249" i="11"/>
  <c r="I248" i="11"/>
  <c r="I247" i="11"/>
  <c r="I246" i="11"/>
  <c r="I245" i="11"/>
  <c r="I244" i="11"/>
  <c r="I243" i="11"/>
  <c r="I242" i="11"/>
  <c r="I241" i="11"/>
  <c r="I240" i="11"/>
  <c r="I239" i="11"/>
  <c r="I238" i="11"/>
  <c r="I237" i="11"/>
  <c r="I236" i="11"/>
  <c r="I235" i="11"/>
  <c r="I234" i="11"/>
  <c r="I233" i="11"/>
  <c r="I232" i="11"/>
  <c r="I231" i="11"/>
  <c r="I230" i="11"/>
  <c r="I229" i="11"/>
  <c r="I228" i="11"/>
  <c r="I227" i="11"/>
  <c r="I226" i="11"/>
  <c r="I225" i="11"/>
  <c r="I224" i="11"/>
  <c r="I223" i="11"/>
  <c r="I222" i="11"/>
  <c r="I221" i="11"/>
  <c r="I220" i="11"/>
  <c r="I219" i="11"/>
  <c r="I218" i="11"/>
  <c r="I217" i="11"/>
  <c r="I216" i="11"/>
  <c r="I215" i="11"/>
  <c r="I214" i="11"/>
  <c r="I213" i="11"/>
  <c r="I212" i="11"/>
  <c r="I211" i="11"/>
  <c r="I210" i="11"/>
  <c r="I209" i="11"/>
  <c r="I208" i="11"/>
  <c r="I207" i="11"/>
  <c r="I206" i="11"/>
  <c r="I205" i="11"/>
  <c r="I204" i="11"/>
  <c r="I203" i="11"/>
  <c r="I202" i="11"/>
  <c r="I201" i="11"/>
  <c r="I200" i="11"/>
  <c r="I199" i="11"/>
  <c r="I198" i="11"/>
  <c r="I197" i="11"/>
  <c r="I196" i="11"/>
  <c r="I195" i="11"/>
  <c r="I194" i="11"/>
  <c r="I193" i="11"/>
  <c r="I192" i="11"/>
  <c r="I191" i="11"/>
  <c r="I190" i="11"/>
  <c r="I189" i="11"/>
  <c r="I188" i="11"/>
  <c r="I187" i="11"/>
  <c r="I186" i="11"/>
  <c r="I185" i="11"/>
  <c r="I184" i="11"/>
  <c r="I183" i="11"/>
  <c r="I182" i="11"/>
  <c r="I181" i="11"/>
  <c r="I180" i="11"/>
  <c r="I179" i="11"/>
  <c r="I178" i="11"/>
  <c r="I177" i="11"/>
  <c r="I176" i="11"/>
  <c r="I175" i="11"/>
  <c r="I174" i="11"/>
  <c r="I173" i="11"/>
  <c r="I172" i="11"/>
  <c r="I171" i="11"/>
  <c r="I170" i="11"/>
  <c r="I169" i="11"/>
  <c r="I168" i="11"/>
  <c r="I167" i="11"/>
  <c r="I166" i="11"/>
  <c r="I165" i="11"/>
  <c r="I164" i="11"/>
  <c r="I163" i="11"/>
  <c r="I162" i="11"/>
  <c r="I161" i="11"/>
  <c r="I160" i="11"/>
  <c r="I159" i="11"/>
  <c r="I158" i="11"/>
  <c r="I157" i="11"/>
  <c r="I156" i="11"/>
  <c r="I155" i="11"/>
  <c r="I154" i="11"/>
  <c r="I153" i="11"/>
  <c r="I152" i="11"/>
  <c r="I151" i="11"/>
  <c r="I150" i="11"/>
  <c r="I149" i="11"/>
  <c r="I148" i="11"/>
  <c r="I147" i="11"/>
  <c r="I146" i="11"/>
  <c r="I145" i="11"/>
  <c r="I144" i="11"/>
  <c r="I143" i="11"/>
  <c r="I142" i="11"/>
  <c r="I141" i="11"/>
  <c r="I140" i="11"/>
  <c r="I139" i="11"/>
  <c r="I138" i="11"/>
  <c r="I137" i="11"/>
  <c r="I136" i="11"/>
  <c r="I135" i="11"/>
  <c r="I134" i="11"/>
  <c r="I133" i="11"/>
  <c r="I132" i="11"/>
  <c r="I131" i="11"/>
  <c r="I130" i="11"/>
  <c r="I129" i="11"/>
  <c r="I128" i="11"/>
  <c r="I127" i="11"/>
  <c r="I126" i="11"/>
  <c r="I125" i="11"/>
  <c r="I124" i="11"/>
  <c r="I123" i="11"/>
  <c r="I122" i="11"/>
  <c r="I121" i="11"/>
  <c r="I120" i="11"/>
  <c r="I119" i="11"/>
  <c r="I118" i="11"/>
  <c r="I117" i="11"/>
  <c r="I116" i="11"/>
  <c r="I115" i="11"/>
  <c r="I114" i="11"/>
  <c r="I113" i="11"/>
  <c r="I112" i="11"/>
  <c r="I111" i="11"/>
  <c r="I110" i="11"/>
  <c r="I109" i="11"/>
  <c r="I108" i="11"/>
  <c r="I107" i="11"/>
  <c r="I106" i="11"/>
  <c r="I105" i="11"/>
  <c r="I104" i="11"/>
  <c r="I103" i="11"/>
  <c r="I102" i="11"/>
  <c r="I101" i="11"/>
  <c r="I100" i="11"/>
  <c r="I99" i="11"/>
  <c r="I98" i="11"/>
  <c r="I97" i="11"/>
  <c r="I96" i="11"/>
  <c r="I95" i="11"/>
  <c r="I94" i="11"/>
  <c r="I93" i="11"/>
  <c r="I92" i="11"/>
  <c r="I91" i="11"/>
  <c r="I90" i="11"/>
  <c r="I89" i="11"/>
  <c r="I88" i="11"/>
  <c r="I87" i="11"/>
  <c r="I86" i="11"/>
  <c r="I85" i="11"/>
  <c r="I84" i="11"/>
  <c r="I83" i="11"/>
  <c r="I82" i="11"/>
  <c r="I81" i="11"/>
  <c r="I80" i="11"/>
  <c r="I79" i="11"/>
  <c r="I78" i="11"/>
  <c r="I77" i="11"/>
  <c r="I76" i="11"/>
  <c r="I75" i="11"/>
  <c r="I74" i="11"/>
  <c r="I73" i="11"/>
  <c r="I72" i="11"/>
  <c r="I71" i="11"/>
  <c r="I70" i="11"/>
  <c r="I69" i="11"/>
  <c r="I68" i="11"/>
  <c r="I67" i="11"/>
  <c r="I66" i="11"/>
  <c r="I65" i="11"/>
  <c r="I64" i="11"/>
  <c r="I63" i="11"/>
  <c r="I62" i="11"/>
  <c r="I61" i="11"/>
  <c r="I60" i="11"/>
  <c r="I59" i="11"/>
  <c r="I58" i="11"/>
  <c r="I57" i="11"/>
  <c r="I56" i="11"/>
  <c r="I55" i="11"/>
  <c r="I54" i="11"/>
  <c r="I53" i="11"/>
  <c r="I52" i="11"/>
  <c r="I51" i="11"/>
  <c r="I50" i="11"/>
  <c r="I49" i="11"/>
  <c r="I48" i="11"/>
  <c r="I47" i="11"/>
  <c r="I46" i="11"/>
  <c r="I45" i="11"/>
  <c r="I44" i="11"/>
  <c r="I43" i="11"/>
  <c r="I42" i="11"/>
  <c r="I41" i="11"/>
  <c r="I40" i="11"/>
  <c r="I39" i="11"/>
  <c r="I38" i="11"/>
  <c r="I37" i="11"/>
  <c r="I36" i="11"/>
  <c r="I35" i="11"/>
  <c r="I34" i="11"/>
  <c r="I33" i="11"/>
  <c r="I32" i="11"/>
  <c r="I31" i="11"/>
  <c r="I30" i="11"/>
  <c r="I29" i="11"/>
  <c r="I28" i="11"/>
  <c r="I27" i="11"/>
  <c r="I26" i="11"/>
  <c r="I25" i="11"/>
  <c r="I24" i="11"/>
  <c r="I23" i="11"/>
  <c r="I21" i="11"/>
  <c r="I20" i="11"/>
  <c r="I19" i="11"/>
  <c r="I18" i="11"/>
  <c r="I17" i="11"/>
  <c r="I16" i="11"/>
  <c r="I15" i="11"/>
  <c r="I14" i="11"/>
  <c r="I13" i="11"/>
  <c r="I12" i="11"/>
  <c r="I11" i="11"/>
  <c r="A130" i="99"/>
  <c r="A129" i="99"/>
  <c r="A128" i="99"/>
  <c r="A127" i="99"/>
  <c r="A126" i="99"/>
  <c r="A121" i="99"/>
  <c r="A120" i="99"/>
  <c r="A116" i="99"/>
  <c r="A113" i="99"/>
  <c r="C128" i="33"/>
  <c r="C127" i="33"/>
  <c r="C131" i="33"/>
  <c r="C130" i="33"/>
  <c r="C129" i="33"/>
  <c r="C122" i="33"/>
  <c r="C121" i="33"/>
  <c r="C117" i="33"/>
  <c r="C114" i="33"/>
  <c r="F130" i="20"/>
  <c r="F129" i="20"/>
  <c r="F128" i="20"/>
  <c r="F127" i="20"/>
  <c r="F126" i="20"/>
  <c r="F121" i="20"/>
  <c r="F120" i="20"/>
  <c r="F116" i="20"/>
  <c r="F113" i="20"/>
  <c r="D129" i="28"/>
  <c r="B129" i="28"/>
  <c r="A129" i="28"/>
  <c r="D128" i="28"/>
  <c r="B128" i="28"/>
  <c r="A128" i="28"/>
  <c r="D127" i="28"/>
  <c r="B127" i="28"/>
  <c r="A127" i="28"/>
  <c r="D126" i="28"/>
  <c r="B126" i="28"/>
  <c r="A126" i="28"/>
  <c r="D125" i="28"/>
  <c r="B125" i="28"/>
  <c r="A125" i="28"/>
  <c r="D124" i="28"/>
  <c r="B124" i="28"/>
  <c r="A124" i="28"/>
  <c r="D123" i="28"/>
  <c r="B123" i="28"/>
  <c r="A123" i="28"/>
  <c r="D122" i="28"/>
  <c r="B122" i="28"/>
  <c r="A122" i="28"/>
  <c r="A121" i="28"/>
  <c r="C121" i="22"/>
  <c r="B121" i="22"/>
  <c r="A121" i="22"/>
  <c r="F121" i="22" s="1"/>
  <c r="C120" i="22"/>
  <c r="B120" i="22"/>
  <c r="A120" i="22"/>
  <c r="F120" i="22" s="1"/>
  <c r="C113" i="22"/>
  <c r="B113" i="22"/>
  <c r="A113" i="22"/>
  <c r="F113" i="22" s="1"/>
  <c r="C112" i="22"/>
  <c r="B112" i="22"/>
  <c r="A112" i="22"/>
  <c r="F112" i="22" s="1"/>
  <c r="C116" i="22"/>
  <c r="B116" i="22"/>
  <c r="A116" i="22"/>
  <c r="F116" i="22" s="1"/>
  <c r="L115" i="29"/>
  <c r="M115" i="29"/>
  <c r="D116" i="22" s="1"/>
  <c r="Q115" i="29"/>
  <c r="E127" i="28" s="1"/>
  <c r="O115" i="29"/>
  <c r="C127" i="28" s="1"/>
  <c r="Q109" i="29"/>
  <c r="E126" i="28" s="1"/>
  <c r="O109" i="29"/>
  <c r="C126" i="28" s="1"/>
  <c r="Q129" i="29"/>
  <c r="E125" i="28" s="1"/>
  <c r="O129" i="29"/>
  <c r="C125" i="28" s="1"/>
  <c r="Q128" i="29"/>
  <c r="E124" i="28" s="1"/>
  <c r="O128" i="29"/>
  <c r="C124" i="28" s="1"/>
  <c r="Q127" i="29"/>
  <c r="E123" i="28" s="1"/>
  <c r="O127" i="29"/>
  <c r="C123" i="28" s="1"/>
  <c r="Q126" i="29"/>
  <c r="E122" i="28" s="1"/>
  <c r="O126" i="29"/>
  <c r="C122" i="28" s="1"/>
  <c r="M126" i="29"/>
  <c r="P62" i="11" s="1"/>
  <c r="Q62" i="11" s="1"/>
  <c r="L126" i="29"/>
  <c r="M120" i="29"/>
  <c r="D121" i="22" s="1"/>
  <c r="M119" i="29"/>
  <c r="D120" i="22" s="1"/>
  <c r="Q120" i="29"/>
  <c r="E129" i="28" s="1"/>
  <c r="Q119" i="29"/>
  <c r="E128" i="28" s="1"/>
  <c r="O120" i="29"/>
  <c r="C129" i="28" s="1"/>
  <c r="O119" i="29"/>
  <c r="C128" i="28" s="1"/>
  <c r="Q125" i="29"/>
  <c r="O125" i="29"/>
  <c r="AB17" i="57" l="1"/>
  <c r="AA17" i="57"/>
  <c r="Q19" i="53"/>
  <c r="AD19" i="53"/>
  <c r="AT19" i="53"/>
  <c r="R19" i="53"/>
  <c r="X19" i="53" s="1"/>
  <c r="AB19" i="53" s="1"/>
  <c r="AH19" i="53"/>
  <c r="AE17" i="57"/>
  <c r="AF17" i="57" s="1"/>
  <c r="O19" i="57"/>
  <c r="AG19" i="57" s="1"/>
  <c r="X18" i="57"/>
  <c r="N20" i="57"/>
  <c r="N20" i="53"/>
  <c r="M20" i="53"/>
  <c r="AH20" i="53" s="1"/>
  <c r="X18" i="53"/>
  <c r="AC20" i="57"/>
  <c r="R20" i="57"/>
  <c r="S116" i="22"/>
  <c r="E116" i="22"/>
  <c r="E120" i="22"/>
  <c r="S120" i="22"/>
  <c r="S112" i="22"/>
  <c r="E112" i="22"/>
  <c r="E121" i="22"/>
  <c r="S121" i="22"/>
  <c r="S113" i="22"/>
  <c r="E113" i="22"/>
  <c r="P54" i="11"/>
  <c r="Q54" i="11" s="1"/>
  <c r="P56" i="11"/>
  <c r="Q56" i="11" s="1"/>
  <c r="P57" i="11"/>
  <c r="Q57" i="11" s="1"/>
  <c r="L21" i="57"/>
  <c r="AJ20" i="57"/>
  <c r="AP20" i="57"/>
  <c r="AJ15" i="57"/>
  <c r="AH14" i="53"/>
  <c r="AD20" i="57"/>
  <c r="AK20" i="52" a="1"/>
  <c r="AK20" i="52" s="1"/>
  <c r="B22" i="53" s="1"/>
  <c r="G21" i="57"/>
  <c r="J21" i="57"/>
  <c r="F21" i="57"/>
  <c r="K21" i="57"/>
  <c r="P21" i="57"/>
  <c r="C21" i="57"/>
  <c r="M21" i="57" s="1"/>
  <c r="H21" i="57"/>
  <c r="E21" i="57"/>
  <c r="I21" i="57"/>
  <c r="D21" i="57"/>
  <c r="Q20" i="57"/>
  <c r="T20" i="57" s="1"/>
  <c r="K21" i="53"/>
  <c r="I21" i="53"/>
  <c r="G21" i="53"/>
  <c r="E21" i="53"/>
  <c r="C21" i="53"/>
  <c r="H21" i="53"/>
  <c r="L21" i="53"/>
  <c r="P21" i="53"/>
  <c r="D21" i="53"/>
  <c r="J21" i="53"/>
  <c r="F21" i="53"/>
  <c r="AK20" i="55" a="1"/>
  <c r="AK20" i="55" s="1"/>
  <c r="B22" i="57" s="1"/>
  <c r="W120" i="22"/>
  <c r="W121" i="22"/>
  <c r="T120" i="22"/>
  <c r="X120" i="22"/>
  <c r="T121" i="22"/>
  <c r="X121" i="22"/>
  <c r="G120" i="22"/>
  <c r="K120" i="22"/>
  <c r="U120" i="22"/>
  <c r="G121" i="22"/>
  <c r="K121" i="22"/>
  <c r="U121" i="22"/>
  <c r="L120" i="22"/>
  <c r="V120" i="22"/>
  <c r="L121" i="22"/>
  <c r="V121" i="22"/>
  <c r="K112" i="22"/>
  <c r="U112" i="22"/>
  <c r="K113" i="22"/>
  <c r="U113" i="22"/>
  <c r="V112" i="22"/>
  <c r="L113" i="22"/>
  <c r="G113" i="22"/>
  <c r="G112" i="22"/>
  <c r="T112" i="22"/>
  <c r="W113" i="22"/>
  <c r="X113" i="22"/>
  <c r="W112" i="22"/>
  <c r="I116" i="22"/>
  <c r="W116" i="22"/>
  <c r="T116" i="22"/>
  <c r="G116" i="22"/>
  <c r="K116" i="22"/>
  <c r="U116" i="22"/>
  <c r="V116" i="22"/>
  <c r="AB18" i="57" l="1"/>
  <c r="AA18" i="57"/>
  <c r="AD20" i="53"/>
  <c r="R20" i="53"/>
  <c r="Q20" i="53"/>
  <c r="X19" i="57"/>
  <c r="AE18" i="57"/>
  <c r="AF18" i="57" s="1"/>
  <c r="O20" i="57"/>
  <c r="AG20" i="57" s="1"/>
  <c r="N21" i="57"/>
  <c r="AT20" i="53"/>
  <c r="N21" i="53"/>
  <c r="M21" i="53"/>
  <c r="AH21" i="53" s="1"/>
  <c r="AA19" i="53"/>
  <c r="AE19" i="53" s="1"/>
  <c r="AF19" i="53" s="1"/>
  <c r="AB18" i="53"/>
  <c r="AA18" i="53"/>
  <c r="AE18" i="53" s="1"/>
  <c r="AF18" i="53" s="1"/>
  <c r="O20" i="53"/>
  <c r="AG20" i="53" s="1"/>
  <c r="AC20" i="53"/>
  <c r="AC21" i="57"/>
  <c r="R21" i="57"/>
  <c r="I120" i="22"/>
  <c r="I121" i="22"/>
  <c r="AH16" i="53"/>
  <c r="L22" i="57"/>
  <c r="AJ21" i="57"/>
  <c r="AP21" i="57"/>
  <c r="AJ16" i="57"/>
  <c r="AD21" i="57"/>
  <c r="AK21" i="52" a="1"/>
  <c r="AK21" i="52" s="1"/>
  <c r="B23" i="53" s="1"/>
  <c r="O23" i="53" s="1"/>
  <c r="Q21" i="57"/>
  <c r="T21" i="57" s="1"/>
  <c r="L22" i="53"/>
  <c r="P22" i="53"/>
  <c r="H22" i="53"/>
  <c r="F22" i="53"/>
  <c r="D22" i="53"/>
  <c r="G22" i="53"/>
  <c r="C22" i="53"/>
  <c r="J22" i="53"/>
  <c r="M22" i="53"/>
  <c r="N22" i="53" s="1"/>
  <c r="I22" i="53"/>
  <c r="E22" i="53"/>
  <c r="K22" i="53"/>
  <c r="K22" i="57"/>
  <c r="I22" i="57"/>
  <c r="H22" i="57"/>
  <c r="G22" i="57"/>
  <c r="E22" i="57"/>
  <c r="P22" i="57"/>
  <c r="D22" i="57"/>
  <c r="C22" i="57"/>
  <c r="M22" i="57" s="1"/>
  <c r="F22" i="57"/>
  <c r="J22" i="57"/>
  <c r="AK21" i="55" a="1"/>
  <c r="AK21" i="55" s="1"/>
  <c r="B23" i="57" s="1"/>
  <c r="AE19" i="57" l="1"/>
  <c r="AF19" i="57" s="1"/>
  <c r="AA19" i="57"/>
  <c r="AB19" i="57"/>
  <c r="X20" i="57"/>
  <c r="O21" i="57"/>
  <c r="AG21" i="57" s="1"/>
  <c r="N22" i="57"/>
  <c r="AT21" i="53"/>
  <c r="Q21" i="53"/>
  <c r="AC21" i="53"/>
  <c r="R21" i="53"/>
  <c r="AD21" i="53"/>
  <c r="X20" i="53"/>
  <c r="AC22" i="53"/>
  <c r="AC22" i="57"/>
  <c r="R22" i="57"/>
  <c r="R22" i="53"/>
  <c r="O22" i="53" s="1"/>
  <c r="AG22" i="53" s="1"/>
  <c r="L23" i="57"/>
  <c r="AJ22" i="57"/>
  <c r="AP22" i="57"/>
  <c r="AH15" i="53"/>
  <c r="AH22" i="53"/>
  <c r="AT22" i="53"/>
  <c r="N23" i="53"/>
  <c r="AD22" i="57"/>
  <c r="AD22" i="53"/>
  <c r="K23" i="57"/>
  <c r="I23" i="57"/>
  <c r="F23" i="57"/>
  <c r="C23" i="57"/>
  <c r="M23" i="57" s="1"/>
  <c r="P23" i="57"/>
  <c r="H23" i="57"/>
  <c r="D23" i="57"/>
  <c r="E23" i="57"/>
  <c r="G23" i="57"/>
  <c r="J23" i="57"/>
  <c r="Q22" i="53"/>
  <c r="Q22" i="57"/>
  <c r="T22" i="57" s="1"/>
  <c r="AK22" i="52" a="1"/>
  <c r="AK22" i="52" s="1"/>
  <c r="B24" i="53" s="1"/>
  <c r="O24" i="53" s="1"/>
  <c r="H23" i="53"/>
  <c r="G23" i="53"/>
  <c r="P23" i="53"/>
  <c r="E23" i="53"/>
  <c r="D23" i="53"/>
  <c r="M23" i="53"/>
  <c r="C23" i="53"/>
  <c r="K23" i="53"/>
  <c r="I23" i="53"/>
  <c r="L23" i="53"/>
  <c r="F23" i="53"/>
  <c r="J23" i="53"/>
  <c r="AK22" i="55" a="1"/>
  <c r="AK22" i="55" s="1"/>
  <c r="B24" i="57" s="1"/>
  <c r="O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AE20" i="57" l="1"/>
  <c r="AF20" i="57" s="1"/>
  <c r="AA20" i="57"/>
  <c r="O15" i="68"/>
  <c r="P15" i="68" s="1"/>
  <c r="Q15" i="68" s="1"/>
  <c r="T15" i="68"/>
  <c r="O14" i="68"/>
  <c r="P14" i="68" s="1"/>
  <c r="Q14" i="68" s="1"/>
  <c r="T14" i="68"/>
  <c r="O16" i="68"/>
  <c r="P16" i="68" s="1"/>
  <c r="Q16" i="68" s="1"/>
  <c r="T16" i="68"/>
  <c r="O259" i="68"/>
  <c r="P259" i="68" s="1"/>
  <c r="Q259" i="68" s="1"/>
  <c r="T259" i="68"/>
  <c r="T255" i="68"/>
  <c r="O255" i="68"/>
  <c r="P255" i="68" s="1"/>
  <c r="Q255" i="68" s="1"/>
  <c r="T251" i="68"/>
  <c r="O251" i="68"/>
  <c r="P251" i="68" s="1"/>
  <c r="Q251" i="68" s="1"/>
  <c r="T247" i="68"/>
  <c r="O247" i="68"/>
  <c r="P247" i="68" s="1"/>
  <c r="Q247" i="68" s="1"/>
  <c r="O243" i="68"/>
  <c r="P243" i="68" s="1"/>
  <c r="Q243" i="68" s="1"/>
  <c r="T243" i="68"/>
  <c r="T239" i="68"/>
  <c r="O239" i="68"/>
  <c r="P239" i="68" s="1"/>
  <c r="Q239" i="68" s="1"/>
  <c r="T235" i="68"/>
  <c r="O235" i="68"/>
  <c r="P235" i="68" s="1"/>
  <c r="Q235" i="68" s="1"/>
  <c r="T231" i="68"/>
  <c r="O231" i="68"/>
  <c r="P231" i="68" s="1"/>
  <c r="Q231" i="68" s="1"/>
  <c r="O227" i="68"/>
  <c r="P227" i="68" s="1"/>
  <c r="Q227" i="68" s="1"/>
  <c r="T227" i="68"/>
  <c r="T223" i="68"/>
  <c r="O223" i="68"/>
  <c r="P223" i="68" s="1"/>
  <c r="Q223" i="68" s="1"/>
  <c r="T219" i="68"/>
  <c r="O219" i="68"/>
  <c r="P219" i="68" s="1"/>
  <c r="Q219" i="68" s="1"/>
  <c r="T215" i="68"/>
  <c r="O215" i="68"/>
  <c r="P215" i="68" s="1"/>
  <c r="Q215" i="68" s="1"/>
  <c r="O211" i="68"/>
  <c r="P211" i="68" s="1"/>
  <c r="Q211" i="68" s="1"/>
  <c r="T211" i="68"/>
  <c r="T207" i="68"/>
  <c r="O207" i="68"/>
  <c r="P207" i="68" s="1"/>
  <c r="Q207" i="68" s="1"/>
  <c r="T203" i="68"/>
  <c r="O203" i="68"/>
  <c r="P203" i="68" s="1"/>
  <c r="Q203" i="68" s="1"/>
  <c r="T199" i="68"/>
  <c r="O199" i="68"/>
  <c r="P199" i="68" s="1"/>
  <c r="Q199" i="68" s="1"/>
  <c r="O195" i="68"/>
  <c r="P195" i="68" s="1"/>
  <c r="Q195" i="68" s="1"/>
  <c r="T195" i="68"/>
  <c r="T191" i="68"/>
  <c r="O191" i="68"/>
  <c r="P191" i="68" s="1"/>
  <c r="Q191" i="68" s="1"/>
  <c r="T187" i="68"/>
  <c r="O187" i="68"/>
  <c r="P187" i="68" s="1"/>
  <c r="Q187" i="68" s="1"/>
  <c r="T183" i="68"/>
  <c r="O183" i="68"/>
  <c r="P183" i="68" s="1"/>
  <c r="Q183" i="68" s="1"/>
  <c r="O179" i="68"/>
  <c r="P179" i="68" s="1"/>
  <c r="Q179" i="68" s="1"/>
  <c r="T179" i="68"/>
  <c r="T175" i="68"/>
  <c r="O175" i="68"/>
  <c r="P175" i="68" s="1"/>
  <c r="Q175" i="68" s="1"/>
  <c r="T171" i="68"/>
  <c r="O171" i="68"/>
  <c r="P171" i="68" s="1"/>
  <c r="Q171" i="68" s="1"/>
  <c r="T167" i="68"/>
  <c r="O167" i="68"/>
  <c r="P167" i="68" s="1"/>
  <c r="Q167" i="68" s="1"/>
  <c r="O163" i="68"/>
  <c r="P163" i="68" s="1"/>
  <c r="Q163" i="68" s="1"/>
  <c r="T163" i="68"/>
  <c r="T159" i="68"/>
  <c r="O159" i="68"/>
  <c r="P159" i="68" s="1"/>
  <c r="Q159" i="68" s="1"/>
  <c r="T155" i="68"/>
  <c r="O155" i="68"/>
  <c r="P155" i="68" s="1"/>
  <c r="Q155" i="68" s="1"/>
  <c r="O151" i="68"/>
  <c r="P151" i="68" s="1"/>
  <c r="Q151" i="68" s="1"/>
  <c r="T151" i="68"/>
  <c r="T147" i="68"/>
  <c r="O147" i="68"/>
  <c r="P147" i="68" s="1"/>
  <c r="Q147" i="68" s="1"/>
  <c r="T143" i="68"/>
  <c r="O143" i="68"/>
  <c r="P143" i="68" s="1"/>
  <c r="Q143" i="68" s="1"/>
  <c r="T139" i="68"/>
  <c r="O139" i="68"/>
  <c r="P139" i="68" s="1"/>
  <c r="Q139" i="68" s="1"/>
  <c r="T135" i="68"/>
  <c r="O135" i="68"/>
  <c r="P135" i="68" s="1"/>
  <c r="Q135" i="68" s="1"/>
  <c r="T131" i="68"/>
  <c r="O131" i="68"/>
  <c r="P131" i="68" s="1"/>
  <c r="Q131" i="68" s="1"/>
  <c r="T127" i="68"/>
  <c r="O127" i="68"/>
  <c r="P127" i="68" s="1"/>
  <c r="Q127" i="68" s="1"/>
  <c r="T123" i="68"/>
  <c r="O123" i="68"/>
  <c r="P123" i="68" s="1"/>
  <c r="Q123" i="68" s="1"/>
  <c r="T119" i="68"/>
  <c r="O119" i="68"/>
  <c r="P119" i="68" s="1"/>
  <c r="Q119" i="68" s="1"/>
  <c r="T115" i="68"/>
  <c r="O115" i="68"/>
  <c r="P115" i="68" s="1"/>
  <c r="Q115" i="68" s="1"/>
  <c r="T111" i="68"/>
  <c r="O111" i="68"/>
  <c r="P111" i="68" s="1"/>
  <c r="Q111" i="68" s="1"/>
  <c r="T107" i="68"/>
  <c r="O107" i="68"/>
  <c r="P107" i="68" s="1"/>
  <c r="Q107" i="68" s="1"/>
  <c r="O103" i="68"/>
  <c r="P103" i="68" s="1"/>
  <c r="Q103" i="68" s="1"/>
  <c r="T103" i="68"/>
  <c r="T99" i="68"/>
  <c r="O99" i="68"/>
  <c r="P99" i="68" s="1"/>
  <c r="Q99" i="68" s="1"/>
  <c r="T95" i="68"/>
  <c r="O95" i="68"/>
  <c r="P95" i="68" s="1"/>
  <c r="Q95" i="68" s="1"/>
  <c r="T91" i="68"/>
  <c r="O91" i="68"/>
  <c r="P91" i="68" s="1"/>
  <c r="Q91" i="68" s="1"/>
  <c r="O87" i="68"/>
  <c r="P87" i="68" s="1"/>
  <c r="Q87" i="68" s="1"/>
  <c r="T87" i="68"/>
  <c r="T83" i="68"/>
  <c r="O83" i="68"/>
  <c r="P83" i="68" s="1"/>
  <c r="Q83" i="68" s="1"/>
  <c r="T79" i="68"/>
  <c r="O79" i="68"/>
  <c r="P79" i="68" s="1"/>
  <c r="Q79" i="68" s="1"/>
  <c r="T75" i="68"/>
  <c r="O75" i="68"/>
  <c r="P75" i="68" s="1"/>
  <c r="Q75" i="68" s="1"/>
  <c r="T71" i="68"/>
  <c r="O71" i="68"/>
  <c r="P71" i="68" s="1"/>
  <c r="Q71" i="68" s="1"/>
  <c r="T67" i="68"/>
  <c r="O67" i="68"/>
  <c r="P67" i="68" s="1"/>
  <c r="Q67" i="68" s="1"/>
  <c r="T63" i="68"/>
  <c r="O63" i="68"/>
  <c r="P63" i="68" s="1"/>
  <c r="Q63" i="68" s="1"/>
  <c r="T59" i="68"/>
  <c r="O59" i="68"/>
  <c r="P59" i="68" s="1"/>
  <c r="Q59" i="68" s="1"/>
  <c r="T55" i="68"/>
  <c r="O55" i="68"/>
  <c r="P55" i="68" s="1"/>
  <c r="Q55" i="68" s="1"/>
  <c r="T51" i="68"/>
  <c r="O51" i="68"/>
  <c r="P51" i="68" s="1"/>
  <c r="Q51" i="68" s="1"/>
  <c r="T47" i="68"/>
  <c r="O47" i="68"/>
  <c r="P47" i="68" s="1"/>
  <c r="Q47" i="68" s="1"/>
  <c r="T43" i="68"/>
  <c r="O43" i="68"/>
  <c r="P43" i="68" s="1"/>
  <c r="Q43" i="68" s="1"/>
  <c r="O39" i="68"/>
  <c r="P39" i="68" s="1"/>
  <c r="Q39" i="68" s="1"/>
  <c r="T39" i="68"/>
  <c r="T35" i="68"/>
  <c r="O35" i="68"/>
  <c r="P35" i="68" s="1"/>
  <c r="Q35" i="68" s="1"/>
  <c r="T31" i="68"/>
  <c r="O31" i="68"/>
  <c r="P31" i="68" s="1"/>
  <c r="Q31" i="68" s="1"/>
  <c r="T27" i="68"/>
  <c r="O27" i="68"/>
  <c r="P27" i="68" s="1"/>
  <c r="Q27" i="68" s="1"/>
  <c r="T23" i="68"/>
  <c r="O23" i="68"/>
  <c r="P23" i="68" s="1"/>
  <c r="Q23" i="68" s="1"/>
  <c r="T19" i="68"/>
  <c r="O19" i="68"/>
  <c r="P19" i="68" s="1"/>
  <c r="Q19" i="68" s="1"/>
  <c r="O258" i="68"/>
  <c r="P258" i="68" s="1"/>
  <c r="Q258" i="68" s="1"/>
  <c r="T258" i="68"/>
  <c r="O254" i="68"/>
  <c r="P254" i="68" s="1"/>
  <c r="Q254" i="68" s="1"/>
  <c r="T254" i="68"/>
  <c r="O250" i="68"/>
  <c r="P250" i="68" s="1"/>
  <c r="Q250" i="68" s="1"/>
  <c r="T250" i="68"/>
  <c r="O246" i="68"/>
  <c r="P246" i="68" s="1"/>
  <c r="Q246" i="68" s="1"/>
  <c r="T246" i="68"/>
  <c r="O242" i="68"/>
  <c r="P242" i="68" s="1"/>
  <c r="Q242" i="68" s="1"/>
  <c r="T242" i="68"/>
  <c r="O238" i="68"/>
  <c r="P238" i="68" s="1"/>
  <c r="Q238" i="68" s="1"/>
  <c r="T238" i="68"/>
  <c r="O234" i="68"/>
  <c r="P234" i="68" s="1"/>
  <c r="Q234" i="68" s="1"/>
  <c r="T234" i="68"/>
  <c r="O230" i="68"/>
  <c r="P230" i="68" s="1"/>
  <c r="Q230" i="68" s="1"/>
  <c r="T230" i="68"/>
  <c r="O226" i="68"/>
  <c r="P226" i="68" s="1"/>
  <c r="Q226" i="68" s="1"/>
  <c r="T226" i="68"/>
  <c r="O222" i="68"/>
  <c r="P222" i="68" s="1"/>
  <c r="Q222" i="68" s="1"/>
  <c r="T222" i="68"/>
  <c r="O218" i="68"/>
  <c r="P218" i="68" s="1"/>
  <c r="Q218" i="68" s="1"/>
  <c r="T218" i="68"/>
  <c r="O214" i="68"/>
  <c r="P214" i="68" s="1"/>
  <c r="Q214" i="68" s="1"/>
  <c r="T214" i="68"/>
  <c r="O210" i="68"/>
  <c r="P210" i="68" s="1"/>
  <c r="Q210" i="68" s="1"/>
  <c r="T210" i="68"/>
  <c r="O206" i="68"/>
  <c r="P206" i="68" s="1"/>
  <c r="Q206" i="68" s="1"/>
  <c r="T206" i="68"/>
  <c r="O202" i="68"/>
  <c r="P202" i="68" s="1"/>
  <c r="Q202" i="68" s="1"/>
  <c r="T202" i="68"/>
  <c r="O198" i="68"/>
  <c r="P198" i="68" s="1"/>
  <c r="Q198" i="68" s="1"/>
  <c r="T198" i="68"/>
  <c r="O194" i="68"/>
  <c r="P194" i="68" s="1"/>
  <c r="Q194" i="68" s="1"/>
  <c r="T194" i="68"/>
  <c r="O190" i="68"/>
  <c r="P190" i="68" s="1"/>
  <c r="Q190" i="68" s="1"/>
  <c r="T190" i="68"/>
  <c r="O186" i="68"/>
  <c r="P186" i="68" s="1"/>
  <c r="Q186" i="68" s="1"/>
  <c r="T186" i="68"/>
  <c r="O182" i="68"/>
  <c r="P182" i="68" s="1"/>
  <c r="Q182" i="68" s="1"/>
  <c r="T182" i="68"/>
  <c r="O178" i="68"/>
  <c r="P178" i="68" s="1"/>
  <c r="Q178" i="68" s="1"/>
  <c r="T178" i="68"/>
  <c r="O174" i="68"/>
  <c r="P174" i="68" s="1"/>
  <c r="Q174" i="68" s="1"/>
  <c r="T174" i="68"/>
  <c r="O170" i="68"/>
  <c r="P170" i="68" s="1"/>
  <c r="Q170" i="68" s="1"/>
  <c r="T170" i="68"/>
  <c r="O166" i="68"/>
  <c r="P166" i="68" s="1"/>
  <c r="Q166" i="68" s="1"/>
  <c r="T166" i="68"/>
  <c r="O162" i="68"/>
  <c r="P162" i="68" s="1"/>
  <c r="Q162" i="68" s="1"/>
  <c r="T162" i="68"/>
  <c r="O158" i="68"/>
  <c r="P158" i="68" s="1"/>
  <c r="Q158" i="68" s="1"/>
  <c r="T158" i="68"/>
  <c r="O154" i="68"/>
  <c r="P154" i="68" s="1"/>
  <c r="Q154" i="68" s="1"/>
  <c r="T154" i="68"/>
  <c r="O150" i="68"/>
  <c r="P150" i="68" s="1"/>
  <c r="Q150" i="68" s="1"/>
  <c r="T150" i="68"/>
  <c r="O146" i="68"/>
  <c r="P146" i="68" s="1"/>
  <c r="Q146" i="68" s="1"/>
  <c r="T146" i="68"/>
  <c r="O142" i="68"/>
  <c r="P142" i="68" s="1"/>
  <c r="Q142" i="68" s="1"/>
  <c r="T142" i="68"/>
  <c r="O138" i="68"/>
  <c r="P138" i="68" s="1"/>
  <c r="Q138" i="68" s="1"/>
  <c r="T138" i="68"/>
  <c r="O134" i="68"/>
  <c r="P134" i="68" s="1"/>
  <c r="Q134" i="68" s="1"/>
  <c r="T134" i="68"/>
  <c r="O130" i="68"/>
  <c r="P130" i="68" s="1"/>
  <c r="Q130" i="68" s="1"/>
  <c r="T130" i="68"/>
  <c r="O126" i="68"/>
  <c r="P126" i="68" s="1"/>
  <c r="Q126" i="68" s="1"/>
  <c r="T126" i="68"/>
  <c r="O122" i="68"/>
  <c r="P122" i="68" s="1"/>
  <c r="Q122" i="68" s="1"/>
  <c r="T122" i="68"/>
  <c r="O118" i="68"/>
  <c r="P118" i="68" s="1"/>
  <c r="Q118" i="68" s="1"/>
  <c r="T118" i="68"/>
  <c r="O114" i="68"/>
  <c r="P114" i="68" s="1"/>
  <c r="Q114" i="68" s="1"/>
  <c r="T114" i="68"/>
  <c r="O110" i="68"/>
  <c r="P110" i="68" s="1"/>
  <c r="Q110" i="68" s="1"/>
  <c r="T110" i="68"/>
  <c r="O106" i="68"/>
  <c r="P106" i="68" s="1"/>
  <c r="Q106" i="68" s="1"/>
  <c r="T106" i="68"/>
  <c r="O102" i="68"/>
  <c r="P102" i="68" s="1"/>
  <c r="Q102" i="68" s="1"/>
  <c r="T102" i="68"/>
  <c r="O98" i="68"/>
  <c r="P98" i="68" s="1"/>
  <c r="Q98" i="68" s="1"/>
  <c r="T98" i="68"/>
  <c r="O94" i="68"/>
  <c r="P94" i="68" s="1"/>
  <c r="Q94" i="68" s="1"/>
  <c r="T94" i="68"/>
  <c r="O90" i="68"/>
  <c r="P90" i="68" s="1"/>
  <c r="Q90" i="68" s="1"/>
  <c r="T90" i="68"/>
  <c r="O86" i="68"/>
  <c r="P86" i="68" s="1"/>
  <c r="Q86" i="68" s="1"/>
  <c r="T86" i="68"/>
  <c r="O82" i="68"/>
  <c r="P82" i="68" s="1"/>
  <c r="Q82" i="68" s="1"/>
  <c r="T82" i="68"/>
  <c r="O78" i="68"/>
  <c r="P78" i="68" s="1"/>
  <c r="Q78" i="68" s="1"/>
  <c r="T78" i="68"/>
  <c r="O74" i="68"/>
  <c r="P74" i="68" s="1"/>
  <c r="Q74" i="68" s="1"/>
  <c r="T74" i="68"/>
  <c r="O70" i="68"/>
  <c r="P70" i="68" s="1"/>
  <c r="Q70" i="68" s="1"/>
  <c r="T70" i="68"/>
  <c r="O66" i="68"/>
  <c r="P66" i="68" s="1"/>
  <c r="Q66" i="68" s="1"/>
  <c r="T66" i="68"/>
  <c r="O62" i="68"/>
  <c r="P62" i="68" s="1"/>
  <c r="Q62" i="68" s="1"/>
  <c r="T62" i="68"/>
  <c r="O58" i="68"/>
  <c r="P58" i="68" s="1"/>
  <c r="Q58" i="68" s="1"/>
  <c r="T58" i="68"/>
  <c r="O54" i="68"/>
  <c r="P54" i="68" s="1"/>
  <c r="Q54" i="68" s="1"/>
  <c r="T54" i="68"/>
  <c r="O50" i="68"/>
  <c r="P50" i="68" s="1"/>
  <c r="Q50" i="68" s="1"/>
  <c r="T50" i="68"/>
  <c r="O46" i="68"/>
  <c r="P46" i="68" s="1"/>
  <c r="Q46" i="68" s="1"/>
  <c r="T46" i="68"/>
  <c r="O42" i="68"/>
  <c r="P42" i="68" s="1"/>
  <c r="Q42" i="68" s="1"/>
  <c r="T42" i="68"/>
  <c r="O38" i="68"/>
  <c r="P38" i="68" s="1"/>
  <c r="Q38" i="68" s="1"/>
  <c r="T38" i="68"/>
  <c r="O34" i="68"/>
  <c r="P34" i="68" s="1"/>
  <c r="Q34" i="68" s="1"/>
  <c r="T34" i="68"/>
  <c r="O30" i="68"/>
  <c r="P30" i="68" s="1"/>
  <c r="Q30" i="68" s="1"/>
  <c r="T30" i="68"/>
  <c r="O26" i="68"/>
  <c r="P26" i="68" s="1"/>
  <c r="Q26" i="68" s="1"/>
  <c r="T26" i="68"/>
  <c r="O22" i="68"/>
  <c r="P22" i="68" s="1"/>
  <c r="Q22" i="68" s="1"/>
  <c r="T22" i="68"/>
  <c r="O18" i="68"/>
  <c r="P18" i="68" s="1"/>
  <c r="Q18" i="68" s="1"/>
  <c r="T18" i="68"/>
  <c r="O257" i="68"/>
  <c r="P257" i="68" s="1"/>
  <c r="Q257" i="68" s="1"/>
  <c r="T257" i="68"/>
  <c r="O253" i="68"/>
  <c r="P253" i="68" s="1"/>
  <c r="Q253" i="68" s="1"/>
  <c r="T253" i="68"/>
  <c r="O249" i="68"/>
  <c r="P249" i="68" s="1"/>
  <c r="Q249" i="68" s="1"/>
  <c r="T249" i="68"/>
  <c r="O245" i="68"/>
  <c r="P245" i="68" s="1"/>
  <c r="Q245" i="68" s="1"/>
  <c r="T245" i="68"/>
  <c r="O241" i="68"/>
  <c r="P241" i="68" s="1"/>
  <c r="Q241" i="68" s="1"/>
  <c r="T241" i="68"/>
  <c r="O237" i="68"/>
  <c r="P237" i="68" s="1"/>
  <c r="Q237" i="68" s="1"/>
  <c r="T237" i="68"/>
  <c r="O233" i="68"/>
  <c r="P233" i="68" s="1"/>
  <c r="Q233" i="68" s="1"/>
  <c r="T233" i="68"/>
  <c r="O229" i="68"/>
  <c r="P229" i="68" s="1"/>
  <c r="Q229" i="68" s="1"/>
  <c r="T229" i="68"/>
  <c r="O225" i="68"/>
  <c r="P225" i="68" s="1"/>
  <c r="Q225" i="68" s="1"/>
  <c r="T225" i="68"/>
  <c r="O221" i="68"/>
  <c r="P221" i="68" s="1"/>
  <c r="Q221" i="68" s="1"/>
  <c r="T221" i="68"/>
  <c r="O217" i="68"/>
  <c r="P217" i="68" s="1"/>
  <c r="Q217" i="68" s="1"/>
  <c r="T217" i="68"/>
  <c r="O213" i="68"/>
  <c r="P213" i="68" s="1"/>
  <c r="Q213" i="68" s="1"/>
  <c r="T213" i="68"/>
  <c r="O209" i="68"/>
  <c r="P209" i="68" s="1"/>
  <c r="Q209" i="68" s="1"/>
  <c r="T209" i="68"/>
  <c r="O205" i="68"/>
  <c r="P205" i="68" s="1"/>
  <c r="Q205" i="68" s="1"/>
  <c r="T205" i="68"/>
  <c r="O201" i="68"/>
  <c r="P201" i="68" s="1"/>
  <c r="Q201" i="68" s="1"/>
  <c r="T201" i="68"/>
  <c r="O197" i="68"/>
  <c r="P197" i="68" s="1"/>
  <c r="Q197" i="68" s="1"/>
  <c r="T197" i="68"/>
  <c r="O193" i="68"/>
  <c r="P193" i="68" s="1"/>
  <c r="Q193" i="68" s="1"/>
  <c r="T193" i="68"/>
  <c r="O189" i="68"/>
  <c r="P189" i="68" s="1"/>
  <c r="Q189" i="68" s="1"/>
  <c r="T189" i="68"/>
  <c r="O185" i="68"/>
  <c r="P185" i="68" s="1"/>
  <c r="Q185" i="68" s="1"/>
  <c r="T185" i="68"/>
  <c r="O181" i="68"/>
  <c r="P181" i="68" s="1"/>
  <c r="Q181" i="68" s="1"/>
  <c r="T181" i="68"/>
  <c r="O177" i="68"/>
  <c r="P177" i="68" s="1"/>
  <c r="Q177" i="68" s="1"/>
  <c r="T177" i="68"/>
  <c r="O173" i="68"/>
  <c r="P173" i="68" s="1"/>
  <c r="Q173" i="68" s="1"/>
  <c r="T173" i="68"/>
  <c r="O169" i="68"/>
  <c r="P169" i="68" s="1"/>
  <c r="Q169" i="68" s="1"/>
  <c r="T169" i="68"/>
  <c r="O165" i="68"/>
  <c r="P165" i="68" s="1"/>
  <c r="Q165" i="68" s="1"/>
  <c r="T165" i="68"/>
  <c r="O161" i="68"/>
  <c r="P161" i="68" s="1"/>
  <c r="Q161" i="68" s="1"/>
  <c r="T161" i="68"/>
  <c r="O157" i="68"/>
  <c r="P157" i="68" s="1"/>
  <c r="Q157" i="68" s="1"/>
  <c r="T157" i="68"/>
  <c r="O153" i="68"/>
  <c r="P153" i="68" s="1"/>
  <c r="Q153" i="68" s="1"/>
  <c r="T153" i="68"/>
  <c r="O149" i="68"/>
  <c r="P149" i="68" s="1"/>
  <c r="Q149" i="68" s="1"/>
  <c r="T149" i="68"/>
  <c r="O145" i="68"/>
  <c r="P145" i="68" s="1"/>
  <c r="Q145" i="68" s="1"/>
  <c r="T145" i="68"/>
  <c r="O141" i="68"/>
  <c r="P141" i="68" s="1"/>
  <c r="Q141" i="68" s="1"/>
  <c r="T141" i="68"/>
  <c r="O137" i="68"/>
  <c r="P137" i="68" s="1"/>
  <c r="Q137" i="68" s="1"/>
  <c r="T137" i="68"/>
  <c r="O133" i="68"/>
  <c r="P133" i="68" s="1"/>
  <c r="Q133" i="68" s="1"/>
  <c r="T133" i="68"/>
  <c r="O129" i="68"/>
  <c r="P129" i="68" s="1"/>
  <c r="Q129" i="68" s="1"/>
  <c r="T129" i="68"/>
  <c r="O125" i="68"/>
  <c r="P125" i="68" s="1"/>
  <c r="Q125" i="68" s="1"/>
  <c r="T125" i="68"/>
  <c r="O121" i="68"/>
  <c r="P121" i="68" s="1"/>
  <c r="Q121" i="68" s="1"/>
  <c r="T121" i="68"/>
  <c r="O117" i="68"/>
  <c r="P117" i="68" s="1"/>
  <c r="Q117" i="68" s="1"/>
  <c r="T117" i="68"/>
  <c r="O113" i="68"/>
  <c r="P113" i="68" s="1"/>
  <c r="Q113" i="68" s="1"/>
  <c r="T113" i="68"/>
  <c r="O109" i="68"/>
  <c r="P109" i="68" s="1"/>
  <c r="Q109" i="68" s="1"/>
  <c r="T109" i="68"/>
  <c r="O105" i="68"/>
  <c r="P105" i="68" s="1"/>
  <c r="Q105" i="68" s="1"/>
  <c r="T105" i="68"/>
  <c r="O101" i="68"/>
  <c r="P101" i="68" s="1"/>
  <c r="Q101" i="68" s="1"/>
  <c r="T101" i="68"/>
  <c r="O97" i="68"/>
  <c r="P97" i="68" s="1"/>
  <c r="Q97" i="68" s="1"/>
  <c r="T97" i="68"/>
  <c r="O93" i="68"/>
  <c r="P93" i="68" s="1"/>
  <c r="Q93" i="68" s="1"/>
  <c r="T93" i="68"/>
  <c r="O89" i="68"/>
  <c r="P89" i="68" s="1"/>
  <c r="Q89" i="68" s="1"/>
  <c r="T89" i="68"/>
  <c r="O85" i="68"/>
  <c r="P85" i="68" s="1"/>
  <c r="Q85" i="68" s="1"/>
  <c r="T85" i="68"/>
  <c r="O81" i="68"/>
  <c r="P81" i="68" s="1"/>
  <c r="Q81" i="68" s="1"/>
  <c r="T81" i="68"/>
  <c r="O77" i="68"/>
  <c r="P77" i="68" s="1"/>
  <c r="Q77" i="68" s="1"/>
  <c r="T77" i="68"/>
  <c r="O73" i="68"/>
  <c r="P73" i="68" s="1"/>
  <c r="Q73" i="68" s="1"/>
  <c r="T73" i="68"/>
  <c r="O69" i="68"/>
  <c r="P69" i="68" s="1"/>
  <c r="Q69" i="68" s="1"/>
  <c r="T69" i="68"/>
  <c r="O65" i="68"/>
  <c r="P65" i="68" s="1"/>
  <c r="Q65" i="68" s="1"/>
  <c r="T65" i="68"/>
  <c r="O61" i="68"/>
  <c r="P61" i="68" s="1"/>
  <c r="Q61" i="68" s="1"/>
  <c r="T61" i="68"/>
  <c r="O57" i="68"/>
  <c r="P57" i="68" s="1"/>
  <c r="Q57" i="68" s="1"/>
  <c r="T57" i="68"/>
  <c r="O53" i="68"/>
  <c r="P53" i="68" s="1"/>
  <c r="Q53" i="68" s="1"/>
  <c r="T53" i="68"/>
  <c r="O49" i="68"/>
  <c r="P49" i="68" s="1"/>
  <c r="Q49" i="68" s="1"/>
  <c r="T49" i="68"/>
  <c r="O45" i="68"/>
  <c r="P45" i="68" s="1"/>
  <c r="Q45" i="68" s="1"/>
  <c r="T45" i="68"/>
  <c r="O41" i="68"/>
  <c r="P41" i="68" s="1"/>
  <c r="Q41" i="68" s="1"/>
  <c r="T41" i="68"/>
  <c r="O37" i="68"/>
  <c r="P37" i="68" s="1"/>
  <c r="Q37" i="68" s="1"/>
  <c r="T37" i="68"/>
  <c r="O33" i="68"/>
  <c r="P33" i="68" s="1"/>
  <c r="Q33" i="68" s="1"/>
  <c r="T33" i="68"/>
  <c r="O29" i="68"/>
  <c r="P29" i="68" s="1"/>
  <c r="Q29" i="68" s="1"/>
  <c r="T29" i="68"/>
  <c r="O25" i="68"/>
  <c r="P25" i="68" s="1"/>
  <c r="Q25" i="68" s="1"/>
  <c r="T25" i="68"/>
  <c r="O21" i="68"/>
  <c r="P21" i="68" s="1"/>
  <c r="Q21" i="68" s="1"/>
  <c r="T21" i="68"/>
  <c r="O17" i="68"/>
  <c r="P17" i="68" s="1"/>
  <c r="Q17" i="68" s="1"/>
  <c r="T17" i="68"/>
  <c r="O256" i="68"/>
  <c r="P256" i="68" s="1"/>
  <c r="Q256" i="68" s="1"/>
  <c r="T256" i="68"/>
  <c r="O252" i="68"/>
  <c r="P252" i="68" s="1"/>
  <c r="Q252" i="68" s="1"/>
  <c r="T252" i="68"/>
  <c r="O248" i="68"/>
  <c r="P248" i="68" s="1"/>
  <c r="Q248" i="68" s="1"/>
  <c r="T248" i="68"/>
  <c r="O244" i="68"/>
  <c r="P244" i="68" s="1"/>
  <c r="Q244" i="68" s="1"/>
  <c r="T244" i="68"/>
  <c r="O240" i="68"/>
  <c r="P240" i="68" s="1"/>
  <c r="Q240" i="68" s="1"/>
  <c r="T240" i="68"/>
  <c r="O236" i="68"/>
  <c r="P236" i="68" s="1"/>
  <c r="Q236" i="68" s="1"/>
  <c r="T236" i="68"/>
  <c r="O232" i="68"/>
  <c r="P232" i="68" s="1"/>
  <c r="Q232" i="68" s="1"/>
  <c r="T232" i="68"/>
  <c r="O228" i="68"/>
  <c r="P228" i="68" s="1"/>
  <c r="Q228" i="68" s="1"/>
  <c r="T228" i="68"/>
  <c r="O224" i="68"/>
  <c r="P224" i="68" s="1"/>
  <c r="Q224" i="68" s="1"/>
  <c r="T224" i="68"/>
  <c r="O220" i="68"/>
  <c r="P220" i="68" s="1"/>
  <c r="Q220" i="68" s="1"/>
  <c r="T220" i="68"/>
  <c r="O216" i="68"/>
  <c r="P216" i="68" s="1"/>
  <c r="Q216" i="68" s="1"/>
  <c r="T216" i="68"/>
  <c r="O212" i="68"/>
  <c r="P212" i="68" s="1"/>
  <c r="Q212" i="68" s="1"/>
  <c r="T212" i="68"/>
  <c r="O208" i="68"/>
  <c r="P208" i="68" s="1"/>
  <c r="Q208" i="68" s="1"/>
  <c r="T208" i="68"/>
  <c r="O204" i="68"/>
  <c r="P204" i="68" s="1"/>
  <c r="Q204" i="68" s="1"/>
  <c r="T204" i="68"/>
  <c r="O200" i="68"/>
  <c r="P200" i="68" s="1"/>
  <c r="Q200" i="68" s="1"/>
  <c r="T200" i="68"/>
  <c r="O196" i="68"/>
  <c r="P196" i="68" s="1"/>
  <c r="Q196" i="68" s="1"/>
  <c r="T196" i="68"/>
  <c r="O192" i="68"/>
  <c r="P192" i="68" s="1"/>
  <c r="Q192" i="68" s="1"/>
  <c r="T192" i="68"/>
  <c r="O188" i="68"/>
  <c r="P188" i="68" s="1"/>
  <c r="Q188" i="68" s="1"/>
  <c r="T188" i="68"/>
  <c r="O184" i="68"/>
  <c r="P184" i="68" s="1"/>
  <c r="Q184" i="68" s="1"/>
  <c r="T184" i="68"/>
  <c r="O180" i="68"/>
  <c r="P180" i="68" s="1"/>
  <c r="Q180" i="68" s="1"/>
  <c r="T180" i="68"/>
  <c r="O176" i="68"/>
  <c r="P176" i="68" s="1"/>
  <c r="Q176" i="68" s="1"/>
  <c r="T176" i="68"/>
  <c r="O172" i="68"/>
  <c r="P172" i="68" s="1"/>
  <c r="Q172" i="68" s="1"/>
  <c r="T172" i="68"/>
  <c r="O168" i="68"/>
  <c r="P168" i="68" s="1"/>
  <c r="Q168" i="68" s="1"/>
  <c r="T168" i="68"/>
  <c r="O164" i="68"/>
  <c r="P164" i="68" s="1"/>
  <c r="Q164" i="68" s="1"/>
  <c r="T164" i="68"/>
  <c r="O160" i="68"/>
  <c r="P160" i="68" s="1"/>
  <c r="Q160" i="68" s="1"/>
  <c r="T160" i="68"/>
  <c r="O156" i="68"/>
  <c r="P156" i="68" s="1"/>
  <c r="Q156" i="68" s="1"/>
  <c r="T156" i="68"/>
  <c r="O152" i="68"/>
  <c r="P152" i="68" s="1"/>
  <c r="Q152" i="68" s="1"/>
  <c r="T152" i="68"/>
  <c r="O148" i="68"/>
  <c r="P148" i="68" s="1"/>
  <c r="Q148" i="68" s="1"/>
  <c r="T148" i="68"/>
  <c r="O144" i="68"/>
  <c r="P144" i="68" s="1"/>
  <c r="Q144" i="68" s="1"/>
  <c r="T144" i="68"/>
  <c r="O140" i="68"/>
  <c r="P140" i="68" s="1"/>
  <c r="Q140" i="68" s="1"/>
  <c r="T140" i="68"/>
  <c r="O136" i="68"/>
  <c r="P136" i="68" s="1"/>
  <c r="Q136" i="68" s="1"/>
  <c r="T136" i="68"/>
  <c r="O132" i="68"/>
  <c r="P132" i="68" s="1"/>
  <c r="Q132" i="68" s="1"/>
  <c r="T132" i="68"/>
  <c r="O128" i="68"/>
  <c r="P128" i="68" s="1"/>
  <c r="Q128" i="68" s="1"/>
  <c r="T128" i="68"/>
  <c r="O124" i="68"/>
  <c r="P124" i="68" s="1"/>
  <c r="Q124" i="68" s="1"/>
  <c r="T124" i="68"/>
  <c r="O120" i="68"/>
  <c r="P120" i="68" s="1"/>
  <c r="Q120" i="68" s="1"/>
  <c r="T120" i="68"/>
  <c r="O116" i="68"/>
  <c r="P116" i="68" s="1"/>
  <c r="Q116" i="68" s="1"/>
  <c r="T116" i="68"/>
  <c r="O112" i="68"/>
  <c r="P112" i="68" s="1"/>
  <c r="Q112" i="68" s="1"/>
  <c r="T112" i="68"/>
  <c r="O108" i="68"/>
  <c r="P108" i="68" s="1"/>
  <c r="Q108" i="68" s="1"/>
  <c r="T108" i="68"/>
  <c r="O104" i="68"/>
  <c r="P104" i="68" s="1"/>
  <c r="Q104" i="68" s="1"/>
  <c r="T104" i="68"/>
  <c r="O100" i="68"/>
  <c r="P100" i="68" s="1"/>
  <c r="Q100" i="68" s="1"/>
  <c r="T100" i="68"/>
  <c r="O96" i="68"/>
  <c r="P96" i="68" s="1"/>
  <c r="Q96" i="68" s="1"/>
  <c r="T96" i="68"/>
  <c r="O92" i="68"/>
  <c r="P92" i="68" s="1"/>
  <c r="Q92" i="68" s="1"/>
  <c r="T92" i="68"/>
  <c r="O88" i="68"/>
  <c r="P88" i="68" s="1"/>
  <c r="Q88" i="68" s="1"/>
  <c r="T88" i="68"/>
  <c r="O84" i="68"/>
  <c r="P84" i="68" s="1"/>
  <c r="Q84" i="68" s="1"/>
  <c r="T84" i="68"/>
  <c r="O80" i="68"/>
  <c r="P80" i="68" s="1"/>
  <c r="Q80" i="68" s="1"/>
  <c r="T80" i="68"/>
  <c r="O76" i="68"/>
  <c r="P76" i="68" s="1"/>
  <c r="Q76" i="68" s="1"/>
  <c r="T76" i="68"/>
  <c r="O72" i="68"/>
  <c r="P72" i="68" s="1"/>
  <c r="Q72" i="68" s="1"/>
  <c r="T72" i="68"/>
  <c r="O68" i="68"/>
  <c r="P68" i="68" s="1"/>
  <c r="Q68" i="68" s="1"/>
  <c r="T68" i="68"/>
  <c r="O64" i="68"/>
  <c r="P64" i="68" s="1"/>
  <c r="Q64" i="68" s="1"/>
  <c r="T64" i="68"/>
  <c r="O60" i="68"/>
  <c r="P60" i="68" s="1"/>
  <c r="Q60" i="68" s="1"/>
  <c r="T60" i="68"/>
  <c r="O56" i="68"/>
  <c r="P56" i="68" s="1"/>
  <c r="Q56" i="68" s="1"/>
  <c r="T56" i="68"/>
  <c r="O52" i="68"/>
  <c r="P52" i="68" s="1"/>
  <c r="Q52" i="68" s="1"/>
  <c r="T52" i="68"/>
  <c r="O48" i="68"/>
  <c r="P48" i="68" s="1"/>
  <c r="Q48" i="68" s="1"/>
  <c r="T48" i="68"/>
  <c r="O44" i="68"/>
  <c r="P44" i="68" s="1"/>
  <c r="Q44" i="68" s="1"/>
  <c r="T44" i="68"/>
  <c r="O40" i="68"/>
  <c r="P40" i="68" s="1"/>
  <c r="Q40" i="68" s="1"/>
  <c r="T40" i="68"/>
  <c r="O36" i="68"/>
  <c r="P36" i="68" s="1"/>
  <c r="Q36" i="68" s="1"/>
  <c r="T36" i="68"/>
  <c r="O32" i="68"/>
  <c r="P32" i="68" s="1"/>
  <c r="Q32" i="68" s="1"/>
  <c r="T32" i="68"/>
  <c r="O28" i="68"/>
  <c r="P28" i="68" s="1"/>
  <c r="Q28" i="68" s="1"/>
  <c r="T28" i="68"/>
  <c r="O24" i="68"/>
  <c r="P24" i="68" s="1"/>
  <c r="Q24" i="68" s="1"/>
  <c r="T24" i="68"/>
  <c r="O20" i="68"/>
  <c r="P20" i="68" s="1"/>
  <c r="Q20" i="68" s="1"/>
  <c r="T20" i="68"/>
  <c r="S13" i="68"/>
  <c r="T13" i="68" s="1"/>
  <c r="Q13" i="68"/>
  <c r="AB20" i="57"/>
  <c r="X21" i="57"/>
  <c r="O22" i="57"/>
  <c r="AG22" i="57" s="1"/>
  <c r="N23" i="57"/>
  <c r="AB20" i="53"/>
  <c r="AA20" i="53"/>
  <c r="AE20" i="53" s="1"/>
  <c r="AF20" i="53" s="1"/>
  <c r="X22" i="53"/>
  <c r="AA22" i="53" s="1"/>
  <c r="AE22" i="53" s="1"/>
  <c r="AF22" i="53" s="1"/>
  <c r="O21" i="53"/>
  <c r="AG21" i="53" s="1"/>
  <c r="AE23" i="53"/>
  <c r="AC23" i="53"/>
  <c r="AC23" i="57"/>
  <c r="R23" i="57"/>
  <c r="R23" i="53"/>
  <c r="X23" i="53" s="1"/>
  <c r="AG24" i="57"/>
  <c r="L24" i="57"/>
  <c r="AJ23" i="57"/>
  <c r="AP23" i="57"/>
  <c r="AH23" i="53"/>
  <c r="AT23" i="53"/>
  <c r="AG23" i="53"/>
  <c r="N24" i="57"/>
  <c r="N24" i="53"/>
  <c r="AD23" i="57"/>
  <c r="AD23" i="53"/>
  <c r="AK23" i="52" a="1"/>
  <c r="AK23" i="52" s="1"/>
  <c r="B25" i="53" s="1"/>
  <c r="O25" i="53" s="1"/>
  <c r="H24" i="57"/>
  <c r="G24" i="57"/>
  <c r="E24" i="57"/>
  <c r="P24" i="57"/>
  <c r="D24" i="57"/>
  <c r="C24" i="57"/>
  <c r="M24" i="57" s="1"/>
  <c r="K24" i="57"/>
  <c r="I24" i="57"/>
  <c r="F24" i="57"/>
  <c r="J24" i="57"/>
  <c r="Q23" i="53"/>
  <c r="Q23" i="57"/>
  <c r="T23" i="57" s="1"/>
  <c r="L24" i="53"/>
  <c r="H24" i="53"/>
  <c r="F24" i="53"/>
  <c r="D24" i="53"/>
  <c r="P24" i="53"/>
  <c r="G24" i="53"/>
  <c r="C24" i="53"/>
  <c r="I24" i="53"/>
  <c r="M24" i="53"/>
  <c r="E24" i="53"/>
  <c r="J24" i="53"/>
  <c r="K24" i="53"/>
  <c r="AK23" i="55" a="1"/>
  <c r="AK23" i="55" s="1"/>
  <c r="B25" i="57" s="1"/>
  <c r="O25" i="57" s="1"/>
  <c r="L12" i="64"/>
  <c r="O12" i="64" s="1"/>
  <c r="P12" i="64" s="1"/>
  <c r="L13" i="64"/>
  <c r="O13" i="64" s="1"/>
  <c r="L14" i="64"/>
  <c r="O14" i="64" s="1"/>
  <c r="L15" i="64"/>
  <c r="O15" i="64" s="1"/>
  <c r="L16" i="64"/>
  <c r="O16" i="64" s="1"/>
  <c r="L17" i="64"/>
  <c r="O17" i="64" s="1"/>
  <c r="L18" i="64"/>
  <c r="O18" i="64" s="1"/>
  <c r="L19" i="64"/>
  <c r="O19" i="64" s="1"/>
  <c r="L20" i="64"/>
  <c r="O20" i="64" s="1"/>
  <c r="L21" i="64"/>
  <c r="O21" i="64" s="1"/>
  <c r="L22" i="64"/>
  <c r="O22" i="64" s="1"/>
  <c r="L23" i="64"/>
  <c r="O23" i="64" s="1"/>
  <c r="L24" i="64"/>
  <c r="O24" i="64" s="1"/>
  <c r="L25" i="64"/>
  <c r="O25" i="64" s="1"/>
  <c r="L26" i="64"/>
  <c r="O26" i="64" s="1"/>
  <c r="L27" i="64"/>
  <c r="O27" i="64" s="1"/>
  <c r="L28" i="64"/>
  <c r="O28" i="64" s="1"/>
  <c r="L29" i="64"/>
  <c r="O29" i="64" s="1"/>
  <c r="L30" i="64"/>
  <c r="O30" i="64" s="1"/>
  <c r="L31" i="64"/>
  <c r="O31" i="64" s="1"/>
  <c r="L32" i="64"/>
  <c r="O32" i="64" s="1"/>
  <c r="L33" i="64"/>
  <c r="O33" i="64" s="1"/>
  <c r="L34" i="64"/>
  <c r="O34" i="64" s="1"/>
  <c r="L35" i="64"/>
  <c r="O35" i="64" s="1"/>
  <c r="L36" i="64"/>
  <c r="O36" i="64" s="1"/>
  <c r="L37" i="64"/>
  <c r="O37" i="64" s="1"/>
  <c r="L38" i="64"/>
  <c r="O38" i="64" s="1"/>
  <c r="L39" i="64"/>
  <c r="O39" i="64" s="1"/>
  <c r="L40" i="64"/>
  <c r="O40" i="64" s="1"/>
  <c r="L41" i="64"/>
  <c r="O41" i="64" s="1"/>
  <c r="L42" i="64"/>
  <c r="O42" i="64" s="1"/>
  <c r="L43" i="64"/>
  <c r="O43" i="64" s="1"/>
  <c r="L44" i="64"/>
  <c r="O44" i="64" s="1"/>
  <c r="L45" i="64"/>
  <c r="O45" i="64" s="1"/>
  <c r="L46" i="64"/>
  <c r="O46" i="64" s="1"/>
  <c r="L47" i="64"/>
  <c r="O47" i="64" s="1"/>
  <c r="L48" i="64"/>
  <c r="O48" i="64" s="1"/>
  <c r="L49" i="64"/>
  <c r="O49" i="64" s="1"/>
  <c r="L50" i="64"/>
  <c r="O50" i="64" s="1"/>
  <c r="L51" i="64"/>
  <c r="O51" i="64" s="1"/>
  <c r="L52" i="64"/>
  <c r="O52" i="64" s="1"/>
  <c r="L53" i="64"/>
  <c r="O53" i="64" s="1"/>
  <c r="L54" i="64"/>
  <c r="O54" i="64" s="1"/>
  <c r="L55" i="64"/>
  <c r="O55" i="64" s="1"/>
  <c r="L56" i="64"/>
  <c r="O56" i="64" s="1"/>
  <c r="L57" i="64"/>
  <c r="O57" i="64" s="1"/>
  <c r="L58" i="64"/>
  <c r="O58" i="64" s="1"/>
  <c r="L59" i="64"/>
  <c r="O59" i="64" s="1"/>
  <c r="L60" i="64"/>
  <c r="O60" i="64" s="1"/>
  <c r="L61" i="64"/>
  <c r="O61" i="64" s="1"/>
  <c r="L62" i="64"/>
  <c r="O62" i="64" s="1"/>
  <c r="L63" i="64"/>
  <c r="O63" i="64" s="1"/>
  <c r="L64" i="64"/>
  <c r="O64" i="64" s="1"/>
  <c r="L65" i="64"/>
  <c r="O65" i="64" s="1"/>
  <c r="L66" i="64"/>
  <c r="O66" i="64" s="1"/>
  <c r="L67" i="64"/>
  <c r="O67" i="64" s="1"/>
  <c r="L68" i="64"/>
  <c r="O68" i="64" s="1"/>
  <c r="L69" i="64"/>
  <c r="O69" i="64" s="1"/>
  <c r="L70" i="64"/>
  <c r="O70" i="64" s="1"/>
  <c r="L71" i="64"/>
  <c r="O71" i="64" s="1"/>
  <c r="L72" i="64"/>
  <c r="O72" i="64" s="1"/>
  <c r="L73" i="64"/>
  <c r="O73" i="64" s="1"/>
  <c r="L74" i="64"/>
  <c r="O74" i="64" s="1"/>
  <c r="L75" i="64"/>
  <c r="O75" i="64" s="1"/>
  <c r="L76" i="64"/>
  <c r="O76" i="64" s="1"/>
  <c r="L77" i="64"/>
  <c r="O77" i="64" s="1"/>
  <c r="L78" i="64"/>
  <c r="O78" i="64" s="1"/>
  <c r="L79" i="64"/>
  <c r="O79" i="64" s="1"/>
  <c r="L80" i="64"/>
  <c r="O80" i="64" s="1"/>
  <c r="L81" i="64"/>
  <c r="O81" i="64" s="1"/>
  <c r="L82" i="64"/>
  <c r="O82" i="64" s="1"/>
  <c r="L83" i="64"/>
  <c r="O83" i="64" s="1"/>
  <c r="L84" i="64"/>
  <c r="O84" i="64" s="1"/>
  <c r="L85" i="64"/>
  <c r="O85" i="64" s="1"/>
  <c r="L86" i="64"/>
  <c r="O86" i="64" s="1"/>
  <c r="L87" i="64"/>
  <c r="O87" i="64" s="1"/>
  <c r="L88" i="64"/>
  <c r="O88" i="64" s="1"/>
  <c r="L89" i="64"/>
  <c r="O89" i="64" s="1"/>
  <c r="L90" i="64"/>
  <c r="O90" i="64" s="1"/>
  <c r="L91" i="64"/>
  <c r="O91" i="64" s="1"/>
  <c r="L92" i="64"/>
  <c r="O92" i="64" s="1"/>
  <c r="L93" i="64"/>
  <c r="O93" i="64" s="1"/>
  <c r="L94" i="64"/>
  <c r="O94" i="64" s="1"/>
  <c r="L95" i="64"/>
  <c r="O95" i="64" s="1"/>
  <c r="L96" i="64"/>
  <c r="O96" i="64" s="1"/>
  <c r="L97" i="64"/>
  <c r="O97" i="64" s="1"/>
  <c r="L98" i="64"/>
  <c r="O98" i="64" s="1"/>
  <c r="L99" i="64"/>
  <c r="O99" i="64" s="1"/>
  <c r="L100" i="64"/>
  <c r="O100" i="64" s="1"/>
  <c r="L101" i="64"/>
  <c r="O101" i="64" s="1"/>
  <c r="L102" i="64"/>
  <c r="O102" i="64" s="1"/>
  <c r="L103" i="64"/>
  <c r="O103" i="64" s="1"/>
  <c r="L104" i="64"/>
  <c r="O104" i="64" s="1"/>
  <c r="L105" i="64"/>
  <c r="O105" i="64" s="1"/>
  <c r="L106" i="64"/>
  <c r="O106" i="64" s="1"/>
  <c r="L107" i="64"/>
  <c r="O107" i="64" s="1"/>
  <c r="L108" i="64"/>
  <c r="O108" i="64" s="1"/>
  <c r="L109" i="64"/>
  <c r="O109" i="64" s="1"/>
  <c r="L110" i="64"/>
  <c r="O110" i="64" s="1"/>
  <c r="L111" i="64"/>
  <c r="O111" i="64" s="1"/>
  <c r="L112" i="64"/>
  <c r="O112" i="64" s="1"/>
  <c r="L113" i="64"/>
  <c r="O113" i="64" s="1"/>
  <c r="L114" i="64"/>
  <c r="O114" i="64" s="1"/>
  <c r="L115" i="64"/>
  <c r="O115" i="64" s="1"/>
  <c r="L116" i="64"/>
  <c r="O116" i="64" s="1"/>
  <c r="L117" i="64"/>
  <c r="O117" i="64" s="1"/>
  <c r="L118" i="64"/>
  <c r="O118" i="64" s="1"/>
  <c r="L119" i="64"/>
  <c r="O119" i="64" s="1"/>
  <c r="L120" i="64"/>
  <c r="O120" i="64" s="1"/>
  <c r="L121" i="64"/>
  <c r="O121" i="64" s="1"/>
  <c r="L122" i="64"/>
  <c r="O122" i="64" s="1"/>
  <c r="L123" i="64"/>
  <c r="O123" i="64" s="1"/>
  <c r="L124" i="64"/>
  <c r="O124" i="64" s="1"/>
  <c r="L125" i="64"/>
  <c r="O125" i="64" s="1"/>
  <c r="L126" i="64"/>
  <c r="O126" i="64" s="1"/>
  <c r="L127" i="64"/>
  <c r="O127" i="64" s="1"/>
  <c r="L128" i="64"/>
  <c r="O128" i="64" s="1"/>
  <c r="L129" i="64"/>
  <c r="O129" i="64" s="1"/>
  <c r="L130" i="64"/>
  <c r="O130" i="64" s="1"/>
  <c r="L131" i="64"/>
  <c r="O131" i="64" s="1"/>
  <c r="L132" i="64"/>
  <c r="O132" i="64" s="1"/>
  <c r="L133" i="64"/>
  <c r="O133" i="64" s="1"/>
  <c r="L134" i="64"/>
  <c r="O134" i="64" s="1"/>
  <c r="L135" i="64"/>
  <c r="O135" i="64" s="1"/>
  <c r="L136" i="64"/>
  <c r="O136" i="64" s="1"/>
  <c r="L137" i="64"/>
  <c r="O137" i="64" s="1"/>
  <c r="L138" i="64"/>
  <c r="O138" i="64" s="1"/>
  <c r="L139" i="64"/>
  <c r="O139" i="64" s="1"/>
  <c r="L140" i="64"/>
  <c r="O140" i="64" s="1"/>
  <c r="L141" i="64"/>
  <c r="O141" i="64" s="1"/>
  <c r="L142" i="64"/>
  <c r="O142" i="64" s="1"/>
  <c r="L143" i="64"/>
  <c r="O143" i="64" s="1"/>
  <c r="L144" i="64"/>
  <c r="O144" i="64" s="1"/>
  <c r="L145" i="64"/>
  <c r="O145" i="64" s="1"/>
  <c r="L146" i="64"/>
  <c r="O146" i="64" s="1"/>
  <c r="L147" i="64"/>
  <c r="O147" i="64" s="1"/>
  <c r="L148" i="64"/>
  <c r="O148" i="64" s="1"/>
  <c r="L149" i="64"/>
  <c r="O149" i="64" s="1"/>
  <c r="L150" i="64"/>
  <c r="O150" i="64" s="1"/>
  <c r="L151" i="64"/>
  <c r="O151" i="64" s="1"/>
  <c r="L152" i="64"/>
  <c r="O152" i="64" s="1"/>
  <c r="L153" i="64"/>
  <c r="O153" i="64" s="1"/>
  <c r="L154" i="64"/>
  <c r="O154" i="64" s="1"/>
  <c r="L155" i="64"/>
  <c r="O155" i="64" s="1"/>
  <c r="L156" i="64"/>
  <c r="O156" i="64" s="1"/>
  <c r="L157" i="64"/>
  <c r="O157" i="64" s="1"/>
  <c r="L158" i="64"/>
  <c r="O158" i="64" s="1"/>
  <c r="L159" i="64"/>
  <c r="O159" i="64" s="1"/>
  <c r="L160" i="64"/>
  <c r="O160" i="64" s="1"/>
  <c r="L161" i="64"/>
  <c r="O161" i="64" s="1"/>
  <c r="L162" i="64"/>
  <c r="O162" i="64" s="1"/>
  <c r="L163" i="64"/>
  <c r="O163" i="64" s="1"/>
  <c r="L164" i="64"/>
  <c r="O164" i="64" s="1"/>
  <c r="L165" i="64"/>
  <c r="O165" i="64" s="1"/>
  <c r="L166" i="64"/>
  <c r="O166" i="64" s="1"/>
  <c r="L167" i="64"/>
  <c r="O167" i="64" s="1"/>
  <c r="L168" i="64"/>
  <c r="O168" i="64" s="1"/>
  <c r="L169" i="64"/>
  <c r="O169" i="64" s="1"/>
  <c r="L170" i="64"/>
  <c r="O170" i="64" s="1"/>
  <c r="L171" i="64"/>
  <c r="O171" i="64" s="1"/>
  <c r="L172" i="64"/>
  <c r="O172" i="64" s="1"/>
  <c r="L173" i="64"/>
  <c r="O173" i="64" s="1"/>
  <c r="L174" i="64"/>
  <c r="O174" i="64" s="1"/>
  <c r="L175" i="64"/>
  <c r="O175" i="64" s="1"/>
  <c r="L176" i="64"/>
  <c r="O176" i="64" s="1"/>
  <c r="L177" i="64"/>
  <c r="O177" i="64" s="1"/>
  <c r="L178" i="64"/>
  <c r="O178" i="64" s="1"/>
  <c r="L179" i="64"/>
  <c r="O179" i="64" s="1"/>
  <c r="L180" i="64"/>
  <c r="O180" i="64" s="1"/>
  <c r="L181" i="64"/>
  <c r="O181" i="64" s="1"/>
  <c r="L182" i="64"/>
  <c r="O182" i="64" s="1"/>
  <c r="L183" i="64"/>
  <c r="O183" i="64" s="1"/>
  <c r="L184" i="64"/>
  <c r="O184" i="64" s="1"/>
  <c r="L185" i="64"/>
  <c r="O185" i="64" s="1"/>
  <c r="L186" i="64"/>
  <c r="O186" i="64" s="1"/>
  <c r="L187" i="64"/>
  <c r="O187" i="64" s="1"/>
  <c r="L188" i="64"/>
  <c r="O188" i="64" s="1"/>
  <c r="L189" i="64"/>
  <c r="O189" i="64" s="1"/>
  <c r="L190" i="64"/>
  <c r="O190" i="64" s="1"/>
  <c r="L191" i="64"/>
  <c r="O191" i="64" s="1"/>
  <c r="L192" i="64"/>
  <c r="O192" i="64" s="1"/>
  <c r="L193" i="64"/>
  <c r="O193" i="64" s="1"/>
  <c r="L194" i="64"/>
  <c r="O194" i="64" s="1"/>
  <c r="L195" i="64"/>
  <c r="O195" i="64" s="1"/>
  <c r="L196" i="64"/>
  <c r="O196" i="64" s="1"/>
  <c r="L197" i="64"/>
  <c r="O197" i="64" s="1"/>
  <c r="L198" i="64"/>
  <c r="O198" i="64" s="1"/>
  <c r="L199" i="64"/>
  <c r="O199" i="64" s="1"/>
  <c r="L200" i="64"/>
  <c r="O200" i="64" s="1"/>
  <c r="L201" i="64"/>
  <c r="O201" i="64" s="1"/>
  <c r="L202" i="64"/>
  <c r="O202" i="64" s="1"/>
  <c r="L203" i="64"/>
  <c r="O203" i="64" s="1"/>
  <c r="L204" i="64"/>
  <c r="O204" i="64" s="1"/>
  <c r="L205" i="64"/>
  <c r="O205" i="64" s="1"/>
  <c r="L206" i="64"/>
  <c r="O206" i="64" s="1"/>
  <c r="L207" i="64"/>
  <c r="O207" i="64" s="1"/>
  <c r="L208" i="64"/>
  <c r="O208" i="64" s="1"/>
  <c r="L209" i="64"/>
  <c r="O209" i="64" s="1"/>
  <c r="L210" i="64"/>
  <c r="O210" i="64" s="1"/>
  <c r="L211" i="64"/>
  <c r="O211" i="64" s="1"/>
  <c r="L212" i="64"/>
  <c r="O212" i="64" s="1"/>
  <c r="L213" i="64"/>
  <c r="O213" i="64" s="1"/>
  <c r="L214" i="64"/>
  <c r="O214" i="64" s="1"/>
  <c r="L215" i="64"/>
  <c r="O215" i="64" s="1"/>
  <c r="L216" i="64"/>
  <c r="O216" i="64" s="1"/>
  <c r="L217" i="64"/>
  <c r="O217" i="64" s="1"/>
  <c r="L218" i="64"/>
  <c r="O218" i="64" s="1"/>
  <c r="L219" i="64"/>
  <c r="O219" i="64" s="1"/>
  <c r="L220" i="64"/>
  <c r="O220" i="64" s="1"/>
  <c r="L221" i="64"/>
  <c r="O221" i="64" s="1"/>
  <c r="L222" i="64"/>
  <c r="O222" i="64" s="1"/>
  <c r="L223" i="64"/>
  <c r="O223" i="64" s="1"/>
  <c r="L224" i="64"/>
  <c r="O224" i="64" s="1"/>
  <c r="L225" i="64"/>
  <c r="O225" i="64" s="1"/>
  <c r="L226" i="64"/>
  <c r="O226" i="64" s="1"/>
  <c r="L227" i="64"/>
  <c r="O227" i="64" s="1"/>
  <c r="L228" i="64"/>
  <c r="O228" i="64" s="1"/>
  <c r="L229" i="64"/>
  <c r="O229" i="64" s="1"/>
  <c r="L230" i="64"/>
  <c r="O230" i="64" s="1"/>
  <c r="L231" i="64"/>
  <c r="O231" i="64" s="1"/>
  <c r="L232" i="64"/>
  <c r="O232" i="64" s="1"/>
  <c r="L233" i="64"/>
  <c r="O233" i="64" s="1"/>
  <c r="L234" i="64"/>
  <c r="O234" i="64" s="1"/>
  <c r="L235" i="64"/>
  <c r="O235" i="64" s="1"/>
  <c r="L236" i="64"/>
  <c r="O236" i="64" s="1"/>
  <c r="L237" i="64"/>
  <c r="O237" i="64" s="1"/>
  <c r="L238" i="64"/>
  <c r="O238" i="64" s="1"/>
  <c r="L239" i="64"/>
  <c r="O239" i="64" s="1"/>
  <c r="L240" i="64"/>
  <c r="O240" i="64" s="1"/>
  <c r="L241" i="64"/>
  <c r="O241" i="64" s="1"/>
  <c r="L242" i="64"/>
  <c r="O242" i="64" s="1"/>
  <c r="L243" i="64"/>
  <c r="O243" i="64" s="1"/>
  <c r="L244" i="64"/>
  <c r="O244" i="64" s="1"/>
  <c r="L245" i="64"/>
  <c r="O245" i="64" s="1"/>
  <c r="L246" i="64"/>
  <c r="O246" i="64" s="1"/>
  <c r="L247" i="64"/>
  <c r="O247" i="64" s="1"/>
  <c r="L248" i="64"/>
  <c r="O248" i="64" s="1"/>
  <c r="L249" i="64"/>
  <c r="O249" i="64" s="1"/>
  <c r="L250" i="64"/>
  <c r="O250" i="64" s="1"/>
  <c r="L251" i="64"/>
  <c r="O251" i="64" s="1"/>
  <c r="L252" i="64"/>
  <c r="O252" i="64" s="1"/>
  <c r="L253" i="64"/>
  <c r="O253" i="64" s="1"/>
  <c r="L254" i="64"/>
  <c r="O254" i="64" s="1"/>
  <c r="L255" i="64"/>
  <c r="O255" i="64" s="1"/>
  <c r="L256" i="64"/>
  <c r="O256" i="64" s="1"/>
  <c r="L257" i="64"/>
  <c r="O257" i="64" s="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E13" i="68"/>
  <c r="F13" i="68" s="1"/>
  <c r="H13" i="68"/>
  <c r="U13" i="68"/>
  <c r="AA13" i="68"/>
  <c r="E14" i="68"/>
  <c r="F14" i="68" s="1"/>
  <c r="H14" i="68"/>
  <c r="U14" i="68"/>
  <c r="AA14" i="68"/>
  <c r="E15" i="68"/>
  <c r="F15" i="68" s="1"/>
  <c r="H15" i="68"/>
  <c r="U15" i="68"/>
  <c r="AA15" i="68"/>
  <c r="E16" i="68"/>
  <c r="F16" i="68" s="1"/>
  <c r="H16" i="68"/>
  <c r="U16" i="68"/>
  <c r="AA16" i="68"/>
  <c r="E17" i="68"/>
  <c r="F17" i="68" s="1"/>
  <c r="H17" i="68"/>
  <c r="U17" i="68"/>
  <c r="AA17" i="68"/>
  <c r="E18" i="68"/>
  <c r="F18" i="68" s="1"/>
  <c r="H18" i="68"/>
  <c r="U18" i="68"/>
  <c r="AA18" i="68"/>
  <c r="E19" i="68"/>
  <c r="F19" i="68" s="1"/>
  <c r="H19" i="68"/>
  <c r="U19" i="68"/>
  <c r="AA19" i="68"/>
  <c r="E20" i="68"/>
  <c r="F20" i="68" s="1"/>
  <c r="H20" i="68"/>
  <c r="U20" i="68"/>
  <c r="AA20" i="68"/>
  <c r="E21" i="68"/>
  <c r="F21" i="68" s="1"/>
  <c r="H21" i="68"/>
  <c r="U21" i="68"/>
  <c r="AA21" i="68"/>
  <c r="E22" i="68"/>
  <c r="F22" i="68" s="1"/>
  <c r="H22" i="68"/>
  <c r="U22" i="68"/>
  <c r="AA22" i="68"/>
  <c r="E23" i="68"/>
  <c r="F23" i="68" s="1"/>
  <c r="H23" i="68"/>
  <c r="U23" i="68"/>
  <c r="AA23" i="68"/>
  <c r="E24" i="68"/>
  <c r="F24" i="68" s="1"/>
  <c r="H24" i="68"/>
  <c r="U24" i="68"/>
  <c r="AA24" i="68"/>
  <c r="E25" i="68"/>
  <c r="F25" i="68" s="1"/>
  <c r="H25" i="68"/>
  <c r="U25" i="68"/>
  <c r="AA25" i="68"/>
  <c r="E26" i="68"/>
  <c r="F26" i="68" s="1"/>
  <c r="H26" i="68"/>
  <c r="U26" i="68"/>
  <c r="AA26" i="68"/>
  <c r="E27" i="68"/>
  <c r="F27" i="68" s="1"/>
  <c r="H27" i="68"/>
  <c r="U27" i="68"/>
  <c r="AA27" i="68"/>
  <c r="E28" i="68"/>
  <c r="F28" i="68" s="1"/>
  <c r="H28" i="68"/>
  <c r="U28" i="68"/>
  <c r="AA28" i="68"/>
  <c r="E29" i="68"/>
  <c r="F29" i="68" s="1"/>
  <c r="H29" i="68"/>
  <c r="U29" i="68"/>
  <c r="AA29" i="68"/>
  <c r="E30" i="68"/>
  <c r="F30" i="68" s="1"/>
  <c r="H30" i="68"/>
  <c r="U30" i="68"/>
  <c r="AA30" i="68"/>
  <c r="E31" i="68"/>
  <c r="F31" i="68" s="1"/>
  <c r="H31" i="68"/>
  <c r="U31" i="68"/>
  <c r="AA31" i="68"/>
  <c r="E32" i="68"/>
  <c r="F32" i="68" s="1"/>
  <c r="H32" i="68"/>
  <c r="U32" i="68"/>
  <c r="AA32" i="68"/>
  <c r="E33" i="68"/>
  <c r="F33" i="68" s="1"/>
  <c r="H33" i="68"/>
  <c r="U33" i="68"/>
  <c r="AA33" i="68"/>
  <c r="E34" i="68"/>
  <c r="F34" i="68" s="1"/>
  <c r="H34" i="68"/>
  <c r="U34" i="68"/>
  <c r="AA34" i="68"/>
  <c r="E35" i="68"/>
  <c r="F35" i="68" s="1"/>
  <c r="H35" i="68"/>
  <c r="U35" i="68"/>
  <c r="AA35" i="68"/>
  <c r="E36" i="68"/>
  <c r="F36" i="68" s="1"/>
  <c r="H36" i="68"/>
  <c r="U36" i="68"/>
  <c r="AA36" i="68"/>
  <c r="E37" i="68"/>
  <c r="F37" i="68" s="1"/>
  <c r="H37" i="68"/>
  <c r="U37" i="68"/>
  <c r="AA37" i="68"/>
  <c r="E38" i="68"/>
  <c r="F38" i="68" s="1"/>
  <c r="H38" i="68"/>
  <c r="U38" i="68"/>
  <c r="AA38" i="68"/>
  <c r="E39" i="68"/>
  <c r="F39" i="68" s="1"/>
  <c r="H39" i="68"/>
  <c r="U39" i="68"/>
  <c r="AA39" i="68"/>
  <c r="E40" i="68"/>
  <c r="F40" i="68" s="1"/>
  <c r="H40" i="68"/>
  <c r="U40" i="68"/>
  <c r="AA40" i="68"/>
  <c r="E41" i="68"/>
  <c r="F41" i="68" s="1"/>
  <c r="H41" i="68"/>
  <c r="U41" i="68"/>
  <c r="AA41" i="68"/>
  <c r="E42" i="68"/>
  <c r="F42" i="68" s="1"/>
  <c r="H42" i="68"/>
  <c r="U42" i="68"/>
  <c r="AA42" i="68"/>
  <c r="E43" i="68"/>
  <c r="F43" i="68" s="1"/>
  <c r="H43" i="68"/>
  <c r="U43" i="68"/>
  <c r="AA43" i="68"/>
  <c r="E44" i="68"/>
  <c r="F44" i="68" s="1"/>
  <c r="H44" i="68"/>
  <c r="U44" i="68"/>
  <c r="AA44" i="68"/>
  <c r="E45" i="68"/>
  <c r="F45" i="68" s="1"/>
  <c r="H45" i="68"/>
  <c r="U45" i="68"/>
  <c r="AA45" i="68"/>
  <c r="E46" i="68"/>
  <c r="F46" i="68" s="1"/>
  <c r="H46" i="68"/>
  <c r="U46" i="68"/>
  <c r="AA46" i="68"/>
  <c r="E47" i="68"/>
  <c r="F47" i="68" s="1"/>
  <c r="H47" i="68"/>
  <c r="U47" i="68"/>
  <c r="AA47" i="68"/>
  <c r="E48" i="68"/>
  <c r="F48" i="68" s="1"/>
  <c r="H48" i="68"/>
  <c r="U48" i="68"/>
  <c r="AA48" i="68"/>
  <c r="E49" i="68"/>
  <c r="F49" i="68" s="1"/>
  <c r="H49" i="68"/>
  <c r="U49" i="68"/>
  <c r="AA49" i="68"/>
  <c r="E50" i="68"/>
  <c r="F50" i="68" s="1"/>
  <c r="H50" i="68"/>
  <c r="U50" i="68"/>
  <c r="AA50" i="68"/>
  <c r="E51" i="68"/>
  <c r="F51" i="68" s="1"/>
  <c r="H51" i="68"/>
  <c r="U51" i="68"/>
  <c r="AA51" i="68"/>
  <c r="E52" i="68"/>
  <c r="F52" i="68" s="1"/>
  <c r="H52" i="68"/>
  <c r="U52" i="68"/>
  <c r="AA52" i="68"/>
  <c r="E53" i="68"/>
  <c r="F53" i="68" s="1"/>
  <c r="H53" i="68"/>
  <c r="U53" i="68"/>
  <c r="AA53" i="68"/>
  <c r="E54" i="68"/>
  <c r="F54" i="68" s="1"/>
  <c r="H54" i="68"/>
  <c r="U54" i="68"/>
  <c r="AA54" i="68"/>
  <c r="E55" i="68"/>
  <c r="F55" i="68" s="1"/>
  <c r="H55" i="68"/>
  <c r="U55" i="68"/>
  <c r="AA55" i="68"/>
  <c r="E56" i="68"/>
  <c r="F56" i="68" s="1"/>
  <c r="H56" i="68"/>
  <c r="U56" i="68"/>
  <c r="AA56" i="68"/>
  <c r="E57" i="68"/>
  <c r="F57" i="68" s="1"/>
  <c r="H57" i="68"/>
  <c r="U57" i="68"/>
  <c r="AA57" i="68"/>
  <c r="E58" i="68"/>
  <c r="F58" i="68" s="1"/>
  <c r="H58" i="68"/>
  <c r="U58" i="68"/>
  <c r="AA58" i="68"/>
  <c r="E59" i="68"/>
  <c r="F59" i="68" s="1"/>
  <c r="H59" i="68"/>
  <c r="U59" i="68"/>
  <c r="AA59" i="68"/>
  <c r="E60" i="68"/>
  <c r="F60" i="68" s="1"/>
  <c r="H60" i="68"/>
  <c r="U60" i="68"/>
  <c r="AA60" i="68"/>
  <c r="E61" i="68"/>
  <c r="F61" i="68" s="1"/>
  <c r="H61" i="68"/>
  <c r="U61" i="68"/>
  <c r="AA61" i="68"/>
  <c r="E62" i="68"/>
  <c r="F62" i="68" s="1"/>
  <c r="H62" i="68"/>
  <c r="U62" i="68"/>
  <c r="AA62" i="68"/>
  <c r="E63" i="68"/>
  <c r="F63" i="68" s="1"/>
  <c r="H63" i="68"/>
  <c r="U63" i="68"/>
  <c r="AA63" i="68"/>
  <c r="E64" i="68"/>
  <c r="F64" i="68" s="1"/>
  <c r="H64" i="68"/>
  <c r="U64" i="68"/>
  <c r="AA64" i="68"/>
  <c r="E65" i="68"/>
  <c r="F65" i="68" s="1"/>
  <c r="H65" i="68"/>
  <c r="U65" i="68"/>
  <c r="AA65" i="68"/>
  <c r="E66" i="68"/>
  <c r="F66" i="68" s="1"/>
  <c r="H66" i="68"/>
  <c r="U66" i="68"/>
  <c r="AA66" i="68"/>
  <c r="E67" i="68"/>
  <c r="F67" i="68" s="1"/>
  <c r="H67" i="68"/>
  <c r="U67" i="68"/>
  <c r="AA67" i="68"/>
  <c r="E68" i="68"/>
  <c r="F68" i="68" s="1"/>
  <c r="H68" i="68"/>
  <c r="U68" i="68"/>
  <c r="AA68" i="68"/>
  <c r="E69" i="68"/>
  <c r="F69" i="68" s="1"/>
  <c r="H69" i="68"/>
  <c r="U69" i="68"/>
  <c r="AA69" i="68"/>
  <c r="E70" i="68"/>
  <c r="F70" i="68" s="1"/>
  <c r="H70" i="68"/>
  <c r="U70" i="68"/>
  <c r="AA70" i="68"/>
  <c r="E71" i="68"/>
  <c r="F71" i="68" s="1"/>
  <c r="H71" i="68"/>
  <c r="U71" i="68"/>
  <c r="AA71" i="68"/>
  <c r="E72" i="68"/>
  <c r="F72" i="68" s="1"/>
  <c r="H72" i="68"/>
  <c r="U72" i="68"/>
  <c r="AA72" i="68"/>
  <c r="E73" i="68"/>
  <c r="F73" i="68" s="1"/>
  <c r="H73" i="68"/>
  <c r="U73" i="68"/>
  <c r="AA73" i="68"/>
  <c r="E74" i="68"/>
  <c r="F74" i="68" s="1"/>
  <c r="H74" i="68"/>
  <c r="U74" i="68"/>
  <c r="AA74" i="68"/>
  <c r="E75" i="68"/>
  <c r="F75" i="68" s="1"/>
  <c r="H75" i="68"/>
  <c r="U75" i="68"/>
  <c r="AA75" i="68"/>
  <c r="E76" i="68"/>
  <c r="F76" i="68" s="1"/>
  <c r="H76" i="68"/>
  <c r="U76" i="68"/>
  <c r="AA76" i="68"/>
  <c r="E77" i="68"/>
  <c r="F77" i="68" s="1"/>
  <c r="H77" i="68"/>
  <c r="U77" i="68"/>
  <c r="AA77" i="68"/>
  <c r="E78" i="68"/>
  <c r="F78" i="68" s="1"/>
  <c r="H78" i="68"/>
  <c r="U78" i="68"/>
  <c r="AA78" i="68"/>
  <c r="E79" i="68"/>
  <c r="F79" i="68" s="1"/>
  <c r="H79" i="68"/>
  <c r="U79" i="68"/>
  <c r="AA79" i="68"/>
  <c r="E80" i="68"/>
  <c r="F80" i="68" s="1"/>
  <c r="H80" i="68"/>
  <c r="U80" i="68"/>
  <c r="AA80" i="68"/>
  <c r="E81" i="68"/>
  <c r="F81" i="68" s="1"/>
  <c r="H81" i="68"/>
  <c r="U81" i="68"/>
  <c r="AA81" i="68"/>
  <c r="E82" i="68"/>
  <c r="F82" i="68" s="1"/>
  <c r="H82" i="68"/>
  <c r="U82" i="68"/>
  <c r="AA82" i="68"/>
  <c r="E83" i="68"/>
  <c r="F83" i="68" s="1"/>
  <c r="H83" i="68"/>
  <c r="U83" i="68"/>
  <c r="AA83" i="68"/>
  <c r="E84" i="68"/>
  <c r="F84" i="68" s="1"/>
  <c r="H84" i="68"/>
  <c r="U84" i="68"/>
  <c r="AA84" i="68"/>
  <c r="E85" i="68"/>
  <c r="F85" i="68" s="1"/>
  <c r="H85" i="68"/>
  <c r="U85" i="68"/>
  <c r="AA85" i="68"/>
  <c r="E86" i="68"/>
  <c r="F86" i="68" s="1"/>
  <c r="H86" i="68"/>
  <c r="U86" i="68"/>
  <c r="AA86" i="68"/>
  <c r="E87" i="68"/>
  <c r="F87" i="68" s="1"/>
  <c r="H87" i="68"/>
  <c r="U87" i="68"/>
  <c r="AA87" i="68"/>
  <c r="E88" i="68"/>
  <c r="F88" i="68" s="1"/>
  <c r="H88" i="68"/>
  <c r="U88" i="68"/>
  <c r="AA88" i="68"/>
  <c r="E89" i="68"/>
  <c r="F89" i="68" s="1"/>
  <c r="H89" i="68"/>
  <c r="U89" i="68"/>
  <c r="AA89" i="68"/>
  <c r="E90" i="68"/>
  <c r="F90" i="68" s="1"/>
  <c r="H90" i="68"/>
  <c r="U90" i="68"/>
  <c r="AA90" i="68"/>
  <c r="E91" i="68"/>
  <c r="F91" i="68" s="1"/>
  <c r="H91" i="68"/>
  <c r="U91" i="68"/>
  <c r="AA91" i="68"/>
  <c r="E92" i="68"/>
  <c r="F92" i="68" s="1"/>
  <c r="H92" i="68"/>
  <c r="U92" i="68"/>
  <c r="AA92" i="68"/>
  <c r="E93" i="68"/>
  <c r="F93" i="68" s="1"/>
  <c r="H93" i="68"/>
  <c r="U93" i="68"/>
  <c r="AA93" i="68"/>
  <c r="E94" i="68"/>
  <c r="F94" i="68" s="1"/>
  <c r="H94" i="68"/>
  <c r="U94" i="68"/>
  <c r="AA94" i="68"/>
  <c r="E95" i="68"/>
  <c r="F95" i="68" s="1"/>
  <c r="H95" i="68"/>
  <c r="U95" i="68"/>
  <c r="AA95" i="68"/>
  <c r="E96" i="68"/>
  <c r="F96" i="68" s="1"/>
  <c r="H96" i="68"/>
  <c r="U96" i="68"/>
  <c r="AA96" i="68"/>
  <c r="E97" i="68"/>
  <c r="F97" i="68" s="1"/>
  <c r="H97" i="68"/>
  <c r="U97" i="68"/>
  <c r="AA97" i="68"/>
  <c r="E98" i="68"/>
  <c r="F98" i="68" s="1"/>
  <c r="H98" i="68"/>
  <c r="U98" i="68"/>
  <c r="AA98" i="68"/>
  <c r="E99" i="68"/>
  <c r="F99" i="68" s="1"/>
  <c r="H99" i="68"/>
  <c r="U99" i="68"/>
  <c r="AA99" i="68"/>
  <c r="E100" i="68"/>
  <c r="F100" i="68" s="1"/>
  <c r="H100" i="68"/>
  <c r="U100" i="68"/>
  <c r="AA100" i="68"/>
  <c r="E101" i="68"/>
  <c r="F101" i="68" s="1"/>
  <c r="H101" i="68"/>
  <c r="U101" i="68"/>
  <c r="AA101" i="68"/>
  <c r="E102" i="68"/>
  <c r="F102" i="68" s="1"/>
  <c r="H102" i="68"/>
  <c r="U102" i="68"/>
  <c r="AA102" i="68"/>
  <c r="E103" i="68"/>
  <c r="F103" i="68" s="1"/>
  <c r="H103" i="68"/>
  <c r="U103" i="68"/>
  <c r="AA103" i="68"/>
  <c r="E104" i="68"/>
  <c r="F104" i="68" s="1"/>
  <c r="H104" i="68"/>
  <c r="U104" i="68"/>
  <c r="AA104" i="68"/>
  <c r="E105" i="68"/>
  <c r="F105" i="68" s="1"/>
  <c r="H105" i="68"/>
  <c r="U105" i="68"/>
  <c r="AA105" i="68"/>
  <c r="E106" i="68"/>
  <c r="F106" i="68" s="1"/>
  <c r="H106" i="68"/>
  <c r="U106" i="68"/>
  <c r="AA106" i="68"/>
  <c r="E107" i="68"/>
  <c r="F107" i="68" s="1"/>
  <c r="H107" i="68"/>
  <c r="U107" i="68"/>
  <c r="AA107" i="68"/>
  <c r="E108" i="68"/>
  <c r="F108" i="68" s="1"/>
  <c r="H108" i="68"/>
  <c r="U108" i="68"/>
  <c r="AA108" i="68"/>
  <c r="E109" i="68"/>
  <c r="F109" i="68" s="1"/>
  <c r="H109" i="68"/>
  <c r="U109" i="68"/>
  <c r="AA109" i="68"/>
  <c r="E110" i="68"/>
  <c r="F110" i="68" s="1"/>
  <c r="H110" i="68"/>
  <c r="U110" i="68"/>
  <c r="AA110" i="68"/>
  <c r="E111" i="68"/>
  <c r="F111" i="68" s="1"/>
  <c r="H111" i="68"/>
  <c r="U111" i="68"/>
  <c r="AA111" i="68"/>
  <c r="E112" i="68"/>
  <c r="F112" i="68" s="1"/>
  <c r="H112" i="68"/>
  <c r="U112" i="68"/>
  <c r="AA112" i="68"/>
  <c r="E113" i="68"/>
  <c r="F113" i="68" s="1"/>
  <c r="H113" i="68"/>
  <c r="U113" i="68"/>
  <c r="AA113" i="68"/>
  <c r="E114" i="68"/>
  <c r="F114" i="68" s="1"/>
  <c r="H114" i="68"/>
  <c r="U114" i="68"/>
  <c r="AA114" i="68"/>
  <c r="E115" i="68"/>
  <c r="F115" i="68" s="1"/>
  <c r="H115" i="68"/>
  <c r="U115" i="68"/>
  <c r="AA115" i="68"/>
  <c r="E116" i="68"/>
  <c r="F116" i="68" s="1"/>
  <c r="H116" i="68"/>
  <c r="U116" i="68"/>
  <c r="AA116" i="68"/>
  <c r="E117" i="68"/>
  <c r="F117" i="68" s="1"/>
  <c r="H117" i="68"/>
  <c r="U117" i="68"/>
  <c r="AA117" i="68"/>
  <c r="E118" i="68"/>
  <c r="F118" i="68" s="1"/>
  <c r="H118" i="68"/>
  <c r="U118" i="68"/>
  <c r="AA118" i="68"/>
  <c r="E119" i="68"/>
  <c r="F119" i="68" s="1"/>
  <c r="H119" i="68"/>
  <c r="U119" i="68"/>
  <c r="AA119" i="68"/>
  <c r="E120" i="68"/>
  <c r="F120" i="68" s="1"/>
  <c r="H120" i="68"/>
  <c r="U120" i="68"/>
  <c r="AA120" i="68"/>
  <c r="E121" i="68"/>
  <c r="F121" i="68" s="1"/>
  <c r="H121" i="68"/>
  <c r="U121" i="68"/>
  <c r="AA121" i="68"/>
  <c r="E122" i="68"/>
  <c r="F122" i="68" s="1"/>
  <c r="H122" i="68"/>
  <c r="U122" i="68"/>
  <c r="AA122" i="68"/>
  <c r="E123" i="68"/>
  <c r="F123" i="68" s="1"/>
  <c r="H123" i="68"/>
  <c r="U123" i="68"/>
  <c r="AA123" i="68"/>
  <c r="E124" i="68"/>
  <c r="F124" i="68" s="1"/>
  <c r="H124" i="68"/>
  <c r="U124" i="68"/>
  <c r="AA124" i="68"/>
  <c r="E125" i="68"/>
  <c r="F125" i="68" s="1"/>
  <c r="H125" i="68"/>
  <c r="U125" i="68"/>
  <c r="AA125" i="68"/>
  <c r="E126" i="68"/>
  <c r="F126" i="68" s="1"/>
  <c r="H126" i="68"/>
  <c r="U126" i="68"/>
  <c r="AA126" i="68"/>
  <c r="E127" i="68"/>
  <c r="F127" i="68" s="1"/>
  <c r="H127" i="68"/>
  <c r="U127" i="68"/>
  <c r="AA127" i="68"/>
  <c r="E128" i="68"/>
  <c r="F128" i="68" s="1"/>
  <c r="H128" i="68"/>
  <c r="U128" i="68"/>
  <c r="AA128" i="68"/>
  <c r="E129" i="68"/>
  <c r="F129" i="68" s="1"/>
  <c r="H129" i="68"/>
  <c r="U129" i="68"/>
  <c r="AA129" i="68"/>
  <c r="E130" i="68"/>
  <c r="F130" i="68" s="1"/>
  <c r="H130" i="68"/>
  <c r="U130" i="68"/>
  <c r="AA130" i="68"/>
  <c r="E131" i="68"/>
  <c r="F131" i="68" s="1"/>
  <c r="H131" i="68"/>
  <c r="U131" i="68"/>
  <c r="AA131" i="68"/>
  <c r="E132" i="68"/>
  <c r="F132" i="68" s="1"/>
  <c r="H132" i="68"/>
  <c r="U132" i="68"/>
  <c r="AA132" i="68"/>
  <c r="E133" i="68"/>
  <c r="F133" i="68" s="1"/>
  <c r="H133" i="68"/>
  <c r="U133" i="68"/>
  <c r="AA133" i="68"/>
  <c r="E134" i="68"/>
  <c r="F134" i="68" s="1"/>
  <c r="H134" i="68"/>
  <c r="U134" i="68"/>
  <c r="AA134" i="68"/>
  <c r="E135" i="68"/>
  <c r="F135" i="68" s="1"/>
  <c r="H135" i="68"/>
  <c r="U135" i="68"/>
  <c r="AA135" i="68"/>
  <c r="E136" i="68"/>
  <c r="F136" i="68" s="1"/>
  <c r="H136" i="68"/>
  <c r="U136" i="68"/>
  <c r="AA136" i="68"/>
  <c r="E137" i="68"/>
  <c r="F137" i="68" s="1"/>
  <c r="H137" i="68"/>
  <c r="U137" i="68"/>
  <c r="AA137" i="68"/>
  <c r="E138" i="68"/>
  <c r="F138" i="68" s="1"/>
  <c r="H138" i="68"/>
  <c r="U138" i="68"/>
  <c r="AA138" i="68"/>
  <c r="E139" i="68"/>
  <c r="F139" i="68" s="1"/>
  <c r="H139" i="68"/>
  <c r="U139" i="68"/>
  <c r="AA139" i="68"/>
  <c r="E140" i="68"/>
  <c r="F140" i="68" s="1"/>
  <c r="H140" i="68"/>
  <c r="U140" i="68"/>
  <c r="AA140" i="68"/>
  <c r="E141" i="68"/>
  <c r="F141" i="68" s="1"/>
  <c r="H141" i="68"/>
  <c r="U141" i="68"/>
  <c r="AA141" i="68"/>
  <c r="E142" i="68"/>
  <c r="F142" i="68" s="1"/>
  <c r="H142" i="68"/>
  <c r="U142" i="68"/>
  <c r="AA142" i="68"/>
  <c r="E143" i="68"/>
  <c r="F143" i="68" s="1"/>
  <c r="H143" i="68"/>
  <c r="U143" i="68"/>
  <c r="AA143" i="68"/>
  <c r="E144" i="68"/>
  <c r="F144" i="68" s="1"/>
  <c r="H144" i="68"/>
  <c r="U144" i="68"/>
  <c r="AA144" i="68"/>
  <c r="E145" i="68"/>
  <c r="F145" i="68" s="1"/>
  <c r="H145" i="68"/>
  <c r="U145" i="68"/>
  <c r="AA145" i="68"/>
  <c r="E146" i="68"/>
  <c r="F146" i="68" s="1"/>
  <c r="H146" i="68"/>
  <c r="U146" i="68"/>
  <c r="AA146" i="68"/>
  <c r="E147" i="68"/>
  <c r="F147" i="68" s="1"/>
  <c r="H147" i="68"/>
  <c r="U147" i="68"/>
  <c r="AA147" i="68"/>
  <c r="E148" i="68"/>
  <c r="F148" i="68" s="1"/>
  <c r="H148" i="68"/>
  <c r="U148" i="68"/>
  <c r="AA148" i="68"/>
  <c r="E149" i="68"/>
  <c r="F149" i="68" s="1"/>
  <c r="H149" i="68"/>
  <c r="U149" i="68"/>
  <c r="AA149" i="68"/>
  <c r="E150" i="68"/>
  <c r="F150" i="68" s="1"/>
  <c r="H150" i="68"/>
  <c r="U150" i="68"/>
  <c r="AA150" i="68"/>
  <c r="E151" i="68"/>
  <c r="F151" i="68" s="1"/>
  <c r="H151" i="68"/>
  <c r="U151" i="68"/>
  <c r="AA151" i="68"/>
  <c r="E152" i="68"/>
  <c r="F152" i="68" s="1"/>
  <c r="H152" i="68"/>
  <c r="U152" i="68"/>
  <c r="AA152" i="68"/>
  <c r="E153" i="68"/>
  <c r="F153" i="68" s="1"/>
  <c r="H153" i="68"/>
  <c r="U153" i="68"/>
  <c r="AA153" i="68"/>
  <c r="E154" i="68"/>
  <c r="F154" i="68" s="1"/>
  <c r="H154" i="68"/>
  <c r="U154" i="68"/>
  <c r="AA154" i="68"/>
  <c r="E155" i="68"/>
  <c r="F155" i="68" s="1"/>
  <c r="H155" i="68"/>
  <c r="U155" i="68"/>
  <c r="AA155" i="68"/>
  <c r="E156" i="68"/>
  <c r="F156" i="68" s="1"/>
  <c r="H156" i="68"/>
  <c r="U156" i="68"/>
  <c r="AA156" i="68"/>
  <c r="E157" i="68"/>
  <c r="F157" i="68" s="1"/>
  <c r="H157" i="68"/>
  <c r="U157" i="68"/>
  <c r="AA157" i="68"/>
  <c r="E158" i="68"/>
  <c r="F158" i="68" s="1"/>
  <c r="H158" i="68"/>
  <c r="U158" i="68"/>
  <c r="AA158" i="68"/>
  <c r="E159" i="68"/>
  <c r="F159" i="68" s="1"/>
  <c r="H159" i="68"/>
  <c r="U159" i="68"/>
  <c r="AA159" i="68"/>
  <c r="E160" i="68"/>
  <c r="F160" i="68" s="1"/>
  <c r="H160" i="68"/>
  <c r="U160" i="68"/>
  <c r="AA160" i="68"/>
  <c r="E161" i="68"/>
  <c r="F161" i="68" s="1"/>
  <c r="H161" i="68"/>
  <c r="U161" i="68"/>
  <c r="AA161" i="68"/>
  <c r="E162" i="68"/>
  <c r="F162" i="68" s="1"/>
  <c r="H162" i="68"/>
  <c r="U162" i="68"/>
  <c r="AA162" i="68"/>
  <c r="E163" i="68"/>
  <c r="F163" i="68" s="1"/>
  <c r="H163" i="68"/>
  <c r="U163" i="68"/>
  <c r="AA163" i="68"/>
  <c r="E164" i="68"/>
  <c r="F164" i="68" s="1"/>
  <c r="H164" i="68"/>
  <c r="U164" i="68"/>
  <c r="AA164" i="68"/>
  <c r="E165" i="68"/>
  <c r="F165" i="68" s="1"/>
  <c r="H165" i="68"/>
  <c r="U165" i="68"/>
  <c r="AA165" i="68"/>
  <c r="E166" i="68"/>
  <c r="F166" i="68" s="1"/>
  <c r="H166" i="68"/>
  <c r="U166" i="68"/>
  <c r="AA166" i="68"/>
  <c r="E167" i="68"/>
  <c r="F167" i="68" s="1"/>
  <c r="H167" i="68"/>
  <c r="U167" i="68"/>
  <c r="AA167" i="68"/>
  <c r="E168" i="68"/>
  <c r="F168" i="68" s="1"/>
  <c r="H168" i="68"/>
  <c r="U168" i="68"/>
  <c r="AA168" i="68"/>
  <c r="E169" i="68"/>
  <c r="F169" i="68" s="1"/>
  <c r="H169" i="68"/>
  <c r="U169" i="68"/>
  <c r="AA169" i="68"/>
  <c r="E170" i="68"/>
  <c r="F170" i="68" s="1"/>
  <c r="H170" i="68"/>
  <c r="U170" i="68"/>
  <c r="AA170" i="68"/>
  <c r="E171" i="68"/>
  <c r="F171" i="68" s="1"/>
  <c r="H171" i="68"/>
  <c r="U171" i="68"/>
  <c r="AA171" i="68"/>
  <c r="E172" i="68"/>
  <c r="F172" i="68" s="1"/>
  <c r="H172" i="68"/>
  <c r="U172" i="68"/>
  <c r="AA172" i="68"/>
  <c r="E173" i="68"/>
  <c r="F173" i="68" s="1"/>
  <c r="H173" i="68"/>
  <c r="U173" i="68"/>
  <c r="AA173" i="68"/>
  <c r="E174" i="68"/>
  <c r="F174" i="68" s="1"/>
  <c r="H174" i="68"/>
  <c r="U174" i="68"/>
  <c r="AA174" i="68"/>
  <c r="E175" i="68"/>
  <c r="F175" i="68" s="1"/>
  <c r="H175" i="68"/>
  <c r="U175" i="68"/>
  <c r="AA175" i="68"/>
  <c r="E176" i="68"/>
  <c r="F176" i="68" s="1"/>
  <c r="H176" i="68"/>
  <c r="U176" i="68"/>
  <c r="AA176" i="68"/>
  <c r="E177" i="68"/>
  <c r="F177" i="68" s="1"/>
  <c r="H177" i="68"/>
  <c r="U177" i="68"/>
  <c r="AA177" i="68"/>
  <c r="E178" i="68"/>
  <c r="F178" i="68" s="1"/>
  <c r="H178" i="68"/>
  <c r="U178" i="68"/>
  <c r="AA178" i="68"/>
  <c r="E179" i="68"/>
  <c r="F179" i="68" s="1"/>
  <c r="H179" i="68"/>
  <c r="U179" i="68"/>
  <c r="AA179" i="68"/>
  <c r="E180" i="68"/>
  <c r="F180" i="68" s="1"/>
  <c r="H180" i="68"/>
  <c r="U180" i="68"/>
  <c r="AA180" i="68"/>
  <c r="E181" i="68"/>
  <c r="F181" i="68" s="1"/>
  <c r="H181" i="68"/>
  <c r="U181" i="68"/>
  <c r="AA181" i="68"/>
  <c r="E182" i="68"/>
  <c r="F182" i="68" s="1"/>
  <c r="H182" i="68"/>
  <c r="U182" i="68"/>
  <c r="AA182" i="68"/>
  <c r="E183" i="68"/>
  <c r="F183" i="68" s="1"/>
  <c r="H183" i="68"/>
  <c r="U183" i="68"/>
  <c r="AA183" i="68"/>
  <c r="E184" i="68"/>
  <c r="F184" i="68" s="1"/>
  <c r="H184" i="68"/>
  <c r="U184" i="68"/>
  <c r="AA184" i="68"/>
  <c r="E185" i="68"/>
  <c r="F185" i="68" s="1"/>
  <c r="H185" i="68"/>
  <c r="U185" i="68"/>
  <c r="AA185" i="68"/>
  <c r="E186" i="68"/>
  <c r="F186" i="68" s="1"/>
  <c r="H186" i="68"/>
  <c r="U186" i="68"/>
  <c r="AA186" i="68"/>
  <c r="E187" i="68"/>
  <c r="F187" i="68" s="1"/>
  <c r="H187" i="68"/>
  <c r="U187" i="68"/>
  <c r="AA187" i="68"/>
  <c r="E188" i="68"/>
  <c r="F188" i="68" s="1"/>
  <c r="H188" i="68"/>
  <c r="U188" i="68"/>
  <c r="AA188" i="68"/>
  <c r="E189" i="68"/>
  <c r="F189" i="68" s="1"/>
  <c r="H189" i="68"/>
  <c r="U189" i="68"/>
  <c r="AA189" i="68"/>
  <c r="E190" i="68"/>
  <c r="F190" i="68" s="1"/>
  <c r="H190" i="68"/>
  <c r="U190" i="68"/>
  <c r="AA190" i="68"/>
  <c r="E191" i="68"/>
  <c r="F191" i="68" s="1"/>
  <c r="H191" i="68"/>
  <c r="U191" i="68"/>
  <c r="AA191" i="68"/>
  <c r="E192" i="68"/>
  <c r="F192" i="68" s="1"/>
  <c r="H192" i="68"/>
  <c r="U192" i="68"/>
  <c r="AA192" i="68"/>
  <c r="E193" i="68"/>
  <c r="F193" i="68" s="1"/>
  <c r="H193" i="68"/>
  <c r="U193" i="68"/>
  <c r="AA193" i="68"/>
  <c r="E194" i="68"/>
  <c r="F194" i="68" s="1"/>
  <c r="H194" i="68"/>
  <c r="U194" i="68"/>
  <c r="AA194" i="68"/>
  <c r="E195" i="68"/>
  <c r="F195" i="68" s="1"/>
  <c r="H195" i="68"/>
  <c r="U195" i="68"/>
  <c r="AA195" i="68"/>
  <c r="E196" i="68"/>
  <c r="F196" i="68" s="1"/>
  <c r="H196" i="68"/>
  <c r="U196" i="68"/>
  <c r="AA196" i="68"/>
  <c r="E197" i="68"/>
  <c r="F197" i="68" s="1"/>
  <c r="H197" i="68"/>
  <c r="U197" i="68"/>
  <c r="AA197" i="68"/>
  <c r="E198" i="68"/>
  <c r="F198" i="68" s="1"/>
  <c r="H198" i="68"/>
  <c r="U198" i="68"/>
  <c r="AA198" i="68"/>
  <c r="E199" i="68"/>
  <c r="F199" i="68" s="1"/>
  <c r="H199" i="68"/>
  <c r="U199" i="68"/>
  <c r="AA199" i="68"/>
  <c r="E200" i="68"/>
  <c r="F200" i="68" s="1"/>
  <c r="H200" i="68"/>
  <c r="U200" i="68"/>
  <c r="AA200" i="68"/>
  <c r="E201" i="68"/>
  <c r="F201" i="68" s="1"/>
  <c r="H201" i="68"/>
  <c r="U201" i="68"/>
  <c r="AA201" i="68"/>
  <c r="E202" i="68"/>
  <c r="F202" i="68" s="1"/>
  <c r="H202" i="68"/>
  <c r="U202" i="68"/>
  <c r="AA202" i="68"/>
  <c r="E203" i="68"/>
  <c r="F203" i="68" s="1"/>
  <c r="H203" i="68"/>
  <c r="U203" i="68"/>
  <c r="AA203" i="68"/>
  <c r="E204" i="68"/>
  <c r="F204" i="68" s="1"/>
  <c r="H204" i="68"/>
  <c r="U204" i="68"/>
  <c r="AA204" i="68"/>
  <c r="E205" i="68"/>
  <c r="F205" i="68" s="1"/>
  <c r="H205" i="68"/>
  <c r="U205" i="68"/>
  <c r="AA205" i="68"/>
  <c r="E206" i="68"/>
  <c r="F206" i="68" s="1"/>
  <c r="H206" i="68"/>
  <c r="U206" i="68"/>
  <c r="AA206" i="68"/>
  <c r="E207" i="68"/>
  <c r="F207" i="68" s="1"/>
  <c r="H207" i="68"/>
  <c r="U207" i="68"/>
  <c r="AA207" i="68"/>
  <c r="E208" i="68"/>
  <c r="F208" i="68" s="1"/>
  <c r="H208" i="68"/>
  <c r="U208" i="68"/>
  <c r="AA208" i="68"/>
  <c r="E209" i="68"/>
  <c r="F209" i="68" s="1"/>
  <c r="H209" i="68"/>
  <c r="U209" i="68"/>
  <c r="AA209" i="68"/>
  <c r="E210" i="68"/>
  <c r="F210" i="68" s="1"/>
  <c r="H210" i="68"/>
  <c r="U210" i="68"/>
  <c r="AA210" i="68"/>
  <c r="E211" i="68"/>
  <c r="F211" i="68" s="1"/>
  <c r="H211" i="68"/>
  <c r="U211" i="68"/>
  <c r="AA211" i="68"/>
  <c r="E212" i="68"/>
  <c r="F212" i="68" s="1"/>
  <c r="H212" i="68"/>
  <c r="U212" i="68"/>
  <c r="AA212" i="68"/>
  <c r="E213" i="68"/>
  <c r="F213" i="68" s="1"/>
  <c r="H213" i="68"/>
  <c r="U213" i="68"/>
  <c r="AA213" i="68"/>
  <c r="E214" i="68"/>
  <c r="F214" i="68" s="1"/>
  <c r="H214" i="68"/>
  <c r="U214" i="68"/>
  <c r="AA214" i="68"/>
  <c r="E215" i="68"/>
  <c r="F215" i="68" s="1"/>
  <c r="H215" i="68"/>
  <c r="U215" i="68"/>
  <c r="AA215" i="68"/>
  <c r="E216" i="68"/>
  <c r="F216" i="68" s="1"/>
  <c r="H216" i="68"/>
  <c r="U216" i="68"/>
  <c r="AA216" i="68"/>
  <c r="E217" i="68"/>
  <c r="F217" i="68" s="1"/>
  <c r="H217" i="68"/>
  <c r="U217" i="68"/>
  <c r="AA217" i="68"/>
  <c r="E218" i="68"/>
  <c r="F218" i="68" s="1"/>
  <c r="H218" i="68"/>
  <c r="U218" i="68"/>
  <c r="AA218" i="68"/>
  <c r="E219" i="68"/>
  <c r="F219" i="68" s="1"/>
  <c r="H219" i="68"/>
  <c r="U219" i="68"/>
  <c r="AA219" i="68"/>
  <c r="E220" i="68"/>
  <c r="F220" i="68" s="1"/>
  <c r="H220" i="68"/>
  <c r="U220" i="68"/>
  <c r="AA220" i="68"/>
  <c r="E221" i="68"/>
  <c r="F221" i="68" s="1"/>
  <c r="H221" i="68"/>
  <c r="U221" i="68"/>
  <c r="AA221" i="68"/>
  <c r="E222" i="68"/>
  <c r="F222" i="68" s="1"/>
  <c r="H222" i="68"/>
  <c r="U222" i="68"/>
  <c r="AA222" i="68"/>
  <c r="E223" i="68"/>
  <c r="F223" i="68" s="1"/>
  <c r="H223" i="68"/>
  <c r="U223" i="68"/>
  <c r="AA223" i="68"/>
  <c r="E224" i="68"/>
  <c r="F224" i="68" s="1"/>
  <c r="H224" i="68"/>
  <c r="U224" i="68"/>
  <c r="AA224" i="68"/>
  <c r="E225" i="68"/>
  <c r="F225" i="68" s="1"/>
  <c r="H225" i="68"/>
  <c r="U225" i="68"/>
  <c r="AA225" i="68"/>
  <c r="E226" i="68"/>
  <c r="F226" i="68" s="1"/>
  <c r="H226" i="68"/>
  <c r="U226" i="68"/>
  <c r="AA226" i="68"/>
  <c r="E227" i="68"/>
  <c r="F227" i="68" s="1"/>
  <c r="H227" i="68"/>
  <c r="U227" i="68"/>
  <c r="AA227" i="68"/>
  <c r="E228" i="68"/>
  <c r="F228" i="68" s="1"/>
  <c r="H228" i="68"/>
  <c r="U228" i="68"/>
  <c r="AA228" i="68"/>
  <c r="E229" i="68"/>
  <c r="F229" i="68" s="1"/>
  <c r="H229" i="68"/>
  <c r="U229" i="68"/>
  <c r="AA229" i="68"/>
  <c r="E230" i="68"/>
  <c r="F230" i="68" s="1"/>
  <c r="H230" i="68"/>
  <c r="U230" i="68"/>
  <c r="AA230" i="68"/>
  <c r="E231" i="68"/>
  <c r="F231" i="68" s="1"/>
  <c r="H231" i="68"/>
  <c r="U231" i="68"/>
  <c r="AA231" i="68"/>
  <c r="E232" i="68"/>
  <c r="F232" i="68" s="1"/>
  <c r="H232" i="68"/>
  <c r="U232" i="68"/>
  <c r="AA232" i="68"/>
  <c r="E233" i="68"/>
  <c r="F233" i="68" s="1"/>
  <c r="H233" i="68"/>
  <c r="U233" i="68"/>
  <c r="AA233" i="68"/>
  <c r="E234" i="68"/>
  <c r="F234" i="68" s="1"/>
  <c r="H234" i="68"/>
  <c r="U234" i="68"/>
  <c r="AA234" i="68"/>
  <c r="E235" i="68"/>
  <c r="F235" i="68" s="1"/>
  <c r="H235" i="68"/>
  <c r="U235" i="68"/>
  <c r="AA235" i="68"/>
  <c r="E236" i="68"/>
  <c r="F236" i="68" s="1"/>
  <c r="H236" i="68"/>
  <c r="U236" i="68"/>
  <c r="AA236" i="68"/>
  <c r="E237" i="68"/>
  <c r="F237" i="68" s="1"/>
  <c r="H237" i="68"/>
  <c r="U237" i="68"/>
  <c r="AA237" i="68"/>
  <c r="E238" i="68"/>
  <c r="F238" i="68" s="1"/>
  <c r="H238" i="68"/>
  <c r="U238" i="68"/>
  <c r="AA238" i="68"/>
  <c r="E239" i="68"/>
  <c r="F239" i="68" s="1"/>
  <c r="H239" i="68"/>
  <c r="U239" i="68"/>
  <c r="AA239" i="68"/>
  <c r="E240" i="68"/>
  <c r="F240" i="68" s="1"/>
  <c r="H240" i="68"/>
  <c r="U240" i="68"/>
  <c r="AA240" i="68"/>
  <c r="E241" i="68"/>
  <c r="F241" i="68" s="1"/>
  <c r="H241" i="68"/>
  <c r="U241" i="68"/>
  <c r="AA241" i="68"/>
  <c r="E242" i="68"/>
  <c r="F242" i="68" s="1"/>
  <c r="H242" i="68"/>
  <c r="U242" i="68"/>
  <c r="AA242" i="68"/>
  <c r="E243" i="68"/>
  <c r="F243" i="68" s="1"/>
  <c r="H243" i="68"/>
  <c r="U243" i="68"/>
  <c r="AA243" i="68"/>
  <c r="E244" i="68"/>
  <c r="F244" i="68" s="1"/>
  <c r="H244" i="68"/>
  <c r="U244" i="68"/>
  <c r="AA244" i="68"/>
  <c r="E245" i="68"/>
  <c r="F245" i="68" s="1"/>
  <c r="H245" i="68"/>
  <c r="U245" i="68"/>
  <c r="AA245" i="68"/>
  <c r="E246" i="68"/>
  <c r="F246" i="68" s="1"/>
  <c r="H246" i="68"/>
  <c r="U246" i="68"/>
  <c r="AA246" i="68"/>
  <c r="E247" i="68"/>
  <c r="F247" i="68" s="1"/>
  <c r="H247" i="68"/>
  <c r="U247" i="68"/>
  <c r="AA247" i="68"/>
  <c r="E248" i="68"/>
  <c r="F248" i="68" s="1"/>
  <c r="H248" i="68"/>
  <c r="U248" i="68"/>
  <c r="AA248" i="68"/>
  <c r="E249" i="68"/>
  <c r="F249" i="68" s="1"/>
  <c r="H249" i="68"/>
  <c r="U249" i="68"/>
  <c r="AA249" i="68"/>
  <c r="E250" i="68"/>
  <c r="F250" i="68" s="1"/>
  <c r="H250" i="68"/>
  <c r="U250" i="68"/>
  <c r="AA250" i="68"/>
  <c r="E251" i="68"/>
  <c r="F251" i="68" s="1"/>
  <c r="H251" i="68"/>
  <c r="U251" i="68"/>
  <c r="AA251" i="68"/>
  <c r="E252" i="68"/>
  <c r="F252" i="68" s="1"/>
  <c r="H252" i="68"/>
  <c r="U252" i="68"/>
  <c r="AA252" i="68"/>
  <c r="E253" i="68"/>
  <c r="F253" i="68" s="1"/>
  <c r="H253" i="68"/>
  <c r="U253" i="68"/>
  <c r="AA253" i="68"/>
  <c r="E254" i="68"/>
  <c r="F254" i="68" s="1"/>
  <c r="H254" i="68"/>
  <c r="U254" i="68"/>
  <c r="AA254" i="68"/>
  <c r="E255" i="68"/>
  <c r="F255" i="68" s="1"/>
  <c r="H255" i="68"/>
  <c r="U255" i="68"/>
  <c r="AA255" i="68"/>
  <c r="E256" i="68"/>
  <c r="F256" i="68" s="1"/>
  <c r="H256" i="68"/>
  <c r="U256" i="68"/>
  <c r="AA256" i="68"/>
  <c r="E257" i="68"/>
  <c r="F257" i="68" s="1"/>
  <c r="H257" i="68"/>
  <c r="U257" i="68"/>
  <c r="AA257" i="68"/>
  <c r="E258" i="68"/>
  <c r="F258" i="68" s="1"/>
  <c r="H258" i="68"/>
  <c r="U258" i="68"/>
  <c r="AA258" i="68"/>
  <c r="E259" i="68"/>
  <c r="F259" i="68" s="1"/>
  <c r="H259" i="68"/>
  <c r="U259" i="68"/>
  <c r="AA259" i="68"/>
  <c r="AA12"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257" i="67"/>
  <c r="Q10" i="67"/>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F11" i="67"/>
  <c r="G11" i="67" s="1"/>
  <c r="F12" i="67"/>
  <c r="G12" i="67" s="1"/>
  <c r="V12" i="67" s="1"/>
  <c r="F13" i="67"/>
  <c r="G13" i="67" s="1"/>
  <c r="F14" i="67"/>
  <c r="G14" i="67" s="1"/>
  <c r="F15" i="67"/>
  <c r="G15" i="67" s="1"/>
  <c r="F16" i="67"/>
  <c r="G16" i="67" s="1"/>
  <c r="F17" i="67"/>
  <c r="G17" i="67" s="1"/>
  <c r="F18" i="67"/>
  <c r="G18" i="67" s="1"/>
  <c r="F19" i="67"/>
  <c r="G19" i="67" s="1"/>
  <c r="F20" i="67"/>
  <c r="G20" i="67" s="1"/>
  <c r="V20" i="67" s="1"/>
  <c r="F21" i="67"/>
  <c r="G21" i="67" s="1"/>
  <c r="F22" i="67"/>
  <c r="G22" i="67" s="1"/>
  <c r="F23" i="67"/>
  <c r="G23" i="67" s="1"/>
  <c r="F24" i="67"/>
  <c r="G24" i="67" s="1"/>
  <c r="F25" i="67"/>
  <c r="G25" i="67" s="1"/>
  <c r="F26" i="67"/>
  <c r="G26" i="67" s="1"/>
  <c r="F27" i="67"/>
  <c r="G27" i="67" s="1"/>
  <c r="F28" i="67"/>
  <c r="G28" i="67" s="1"/>
  <c r="V28" i="67" s="1"/>
  <c r="F29" i="67"/>
  <c r="G29" i="67" s="1"/>
  <c r="F30" i="67"/>
  <c r="G30" i="67" s="1"/>
  <c r="F31" i="67"/>
  <c r="G31" i="67" s="1"/>
  <c r="F32" i="67"/>
  <c r="G32" i="67" s="1"/>
  <c r="F33" i="67"/>
  <c r="G33" i="67" s="1"/>
  <c r="F34" i="67"/>
  <c r="G34" i="67" s="1"/>
  <c r="F35" i="67"/>
  <c r="G35" i="67" s="1"/>
  <c r="F36" i="67"/>
  <c r="G36" i="67" s="1"/>
  <c r="V36" i="67" s="1"/>
  <c r="F37" i="67"/>
  <c r="G37" i="67" s="1"/>
  <c r="F38" i="67"/>
  <c r="G38" i="67" s="1"/>
  <c r="F39" i="67"/>
  <c r="G39" i="67" s="1"/>
  <c r="F40" i="67"/>
  <c r="G40" i="67" s="1"/>
  <c r="F41" i="67"/>
  <c r="G41" i="67" s="1"/>
  <c r="F42" i="67"/>
  <c r="G42" i="67" s="1"/>
  <c r="F43" i="67"/>
  <c r="G43" i="67" s="1"/>
  <c r="F44" i="67"/>
  <c r="G44" i="67" s="1"/>
  <c r="V44" i="67" s="1"/>
  <c r="F45" i="67"/>
  <c r="G45" i="67" s="1"/>
  <c r="F46" i="67"/>
  <c r="G46" i="67" s="1"/>
  <c r="F47" i="67"/>
  <c r="G47" i="67" s="1"/>
  <c r="F48" i="67"/>
  <c r="G48" i="67" s="1"/>
  <c r="F49" i="67"/>
  <c r="G49" i="67" s="1"/>
  <c r="F50" i="67"/>
  <c r="G50" i="67" s="1"/>
  <c r="F51" i="67"/>
  <c r="G51" i="67" s="1"/>
  <c r="F52" i="67"/>
  <c r="G52" i="67" s="1"/>
  <c r="V52" i="67" s="1"/>
  <c r="F53" i="67"/>
  <c r="G53" i="67" s="1"/>
  <c r="F54" i="67"/>
  <c r="G54" i="67" s="1"/>
  <c r="F55" i="67"/>
  <c r="G55" i="67" s="1"/>
  <c r="F56" i="67"/>
  <c r="G56" i="67" s="1"/>
  <c r="F57" i="67"/>
  <c r="G57" i="67" s="1"/>
  <c r="F58" i="67"/>
  <c r="G58" i="67" s="1"/>
  <c r="F59" i="67"/>
  <c r="G59" i="67" s="1"/>
  <c r="F60" i="67"/>
  <c r="G60" i="67" s="1"/>
  <c r="V60" i="67" s="1"/>
  <c r="F61" i="67"/>
  <c r="G61" i="67" s="1"/>
  <c r="F62" i="67"/>
  <c r="G62" i="67" s="1"/>
  <c r="F63" i="67"/>
  <c r="G63" i="67" s="1"/>
  <c r="F64" i="67"/>
  <c r="G64" i="67" s="1"/>
  <c r="F65" i="67"/>
  <c r="G65" i="67" s="1"/>
  <c r="F66" i="67"/>
  <c r="G66" i="67" s="1"/>
  <c r="F67" i="67"/>
  <c r="G67" i="67" s="1"/>
  <c r="F68" i="67"/>
  <c r="G68" i="67" s="1"/>
  <c r="V68" i="67" s="1"/>
  <c r="F69" i="67"/>
  <c r="G69" i="67" s="1"/>
  <c r="F70" i="67"/>
  <c r="G70" i="67" s="1"/>
  <c r="F71" i="67"/>
  <c r="G71" i="67" s="1"/>
  <c r="F72" i="67"/>
  <c r="G72" i="67" s="1"/>
  <c r="F73" i="67"/>
  <c r="G73" i="67" s="1"/>
  <c r="F74" i="67"/>
  <c r="G74" i="67" s="1"/>
  <c r="F75" i="67"/>
  <c r="G75" i="67" s="1"/>
  <c r="F76" i="67"/>
  <c r="G76" i="67" s="1"/>
  <c r="V76" i="67" s="1"/>
  <c r="F77" i="67"/>
  <c r="G77" i="67" s="1"/>
  <c r="F78" i="67"/>
  <c r="G78" i="67" s="1"/>
  <c r="F79" i="67"/>
  <c r="G79" i="67" s="1"/>
  <c r="F80" i="67"/>
  <c r="G80" i="67" s="1"/>
  <c r="F81" i="67"/>
  <c r="G81" i="67" s="1"/>
  <c r="F82" i="67"/>
  <c r="G82" i="67" s="1"/>
  <c r="F83" i="67"/>
  <c r="G83" i="67" s="1"/>
  <c r="F84" i="67"/>
  <c r="G84" i="67" s="1"/>
  <c r="V84" i="67" s="1"/>
  <c r="F85" i="67"/>
  <c r="G85" i="67" s="1"/>
  <c r="F86" i="67"/>
  <c r="G86" i="67" s="1"/>
  <c r="F87" i="67"/>
  <c r="G87" i="67" s="1"/>
  <c r="F88" i="67"/>
  <c r="G88" i="67" s="1"/>
  <c r="F89" i="67"/>
  <c r="G89" i="67" s="1"/>
  <c r="F90" i="67"/>
  <c r="G90" i="67" s="1"/>
  <c r="F91" i="67"/>
  <c r="G91" i="67" s="1"/>
  <c r="F92" i="67"/>
  <c r="G92" i="67" s="1"/>
  <c r="V92" i="67" s="1"/>
  <c r="F93" i="67"/>
  <c r="G93" i="67" s="1"/>
  <c r="F94" i="67"/>
  <c r="G94" i="67" s="1"/>
  <c r="F95" i="67"/>
  <c r="G95" i="67" s="1"/>
  <c r="F96" i="67"/>
  <c r="G96" i="67" s="1"/>
  <c r="F97" i="67"/>
  <c r="G97" i="67" s="1"/>
  <c r="F98" i="67"/>
  <c r="G98" i="67" s="1"/>
  <c r="F99" i="67"/>
  <c r="G99" i="67" s="1"/>
  <c r="F100" i="67"/>
  <c r="G100" i="67" s="1"/>
  <c r="V100" i="67" s="1"/>
  <c r="F101" i="67"/>
  <c r="G101" i="67" s="1"/>
  <c r="F102" i="67"/>
  <c r="G102" i="67" s="1"/>
  <c r="F103" i="67"/>
  <c r="G103" i="67" s="1"/>
  <c r="F104" i="67"/>
  <c r="G104" i="67" s="1"/>
  <c r="F105" i="67"/>
  <c r="G105" i="67" s="1"/>
  <c r="F106" i="67"/>
  <c r="G106" i="67" s="1"/>
  <c r="F107" i="67"/>
  <c r="G107" i="67" s="1"/>
  <c r="F108" i="67"/>
  <c r="G108" i="67" s="1"/>
  <c r="V108" i="67" s="1"/>
  <c r="F109" i="67"/>
  <c r="G109" i="67" s="1"/>
  <c r="F110" i="67"/>
  <c r="G110" i="67" s="1"/>
  <c r="F111" i="67"/>
  <c r="G111" i="67" s="1"/>
  <c r="F112" i="67"/>
  <c r="G112" i="67" s="1"/>
  <c r="F113" i="67"/>
  <c r="G113" i="67" s="1"/>
  <c r="F114" i="67"/>
  <c r="G114" i="67" s="1"/>
  <c r="F115" i="67"/>
  <c r="G115" i="67" s="1"/>
  <c r="F116" i="67"/>
  <c r="G116" i="67" s="1"/>
  <c r="V116" i="67" s="1"/>
  <c r="F117" i="67"/>
  <c r="G117" i="67" s="1"/>
  <c r="F118" i="67"/>
  <c r="G118" i="67" s="1"/>
  <c r="F119" i="67"/>
  <c r="G119" i="67" s="1"/>
  <c r="F120" i="67"/>
  <c r="G120" i="67" s="1"/>
  <c r="F121" i="67"/>
  <c r="G121" i="67" s="1"/>
  <c r="F122" i="67"/>
  <c r="G122" i="67" s="1"/>
  <c r="F123" i="67"/>
  <c r="G123" i="67" s="1"/>
  <c r="F124" i="67"/>
  <c r="G124" i="67" s="1"/>
  <c r="V124" i="67" s="1"/>
  <c r="F125" i="67"/>
  <c r="G125" i="67" s="1"/>
  <c r="F126" i="67"/>
  <c r="G126" i="67" s="1"/>
  <c r="F127" i="67"/>
  <c r="G127" i="67" s="1"/>
  <c r="F128" i="67"/>
  <c r="G128" i="67" s="1"/>
  <c r="F129" i="67"/>
  <c r="G129" i="67" s="1"/>
  <c r="F130" i="67"/>
  <c r="G130" i="67" s="1"/>
  <c r="F131" i="67"/>
  <c r="G131" i="67" s="1"/>
  <c r="F132" i="67"/>
  <c r="G132" i="67" s="1"/>
  <c r="V132" i="67" s="1"/>
  <c r="F133" i="67"/>
  <c r="G133" i="67" s="1"/>
  <c r="F134" i="67"/>
  <c r="G134" i="67" s="1"/>
  <c r="F135" i="67"/>
  <c r="G135" i="67" s="1"/>
  <c r="F136" i="67"/>
  <c r="G136" i="67" s="1"/>
  <c r="F137" i="67"/>
  <c r="G137" i="67" s="1"/>
  <c r="F138" i="67"/>
  <c r="G138" i="67" s="1"/>
  <c r="F139" i="67"/>
  <c r="G139" i="67" s="1"/>
  <c r="F140" i="67"/>
  <c r="G140" i="67" s="1"/>
  <c r="V140" i="67" s="1"/>
  <c r="F141" i="67"/>
  <c r="G141" i="67" s="1"/>
  <c r="F142" i="67"/>
  <c r="G142" i="67" s="1"/>
  <c r="F143" i="67"/>
  <c r="G143" i="67" s="1"/>
  <c r="F144" i="67"/>
  <c r="G144" i="67" s="1"/>
  <c r="F145" i="67"/>
  <c r="G145" i="67" s="1"/>
  <c r="F146" i="67"/>
  <c r="G146" i="67" s="1"/>
  <c r="F147" i="67"/>
  <c r="G147" i="67" s="1"/>
  <c r="F148" i="67"/>
  <c r="G148" i="67" s="1"/>
  <c r="V148" i="67" s="1"/>
  <c r="F149" i="67"/>
  <c r="G149" i="67" s="1"/>
  <c r="F150" i="67"/>
  <c r="G150" i="67" s="1"/>
  <c r="F151" i="67"/>
  <c r="G151" i="67" s="1"/>
  <c r="F152" i="67"/>
  <c r="G152" i="67" s="1"/>
  <c r="F153" i="67"/>
  <c r="G153" i="67" s="1"/>
  <c r="F154" i="67"/>
  <c r="G154" i="67" s="1"/>
  <c r="F155" i="67"/>
  <c r="G155" i="67" s="1"/>
  <c r="F156" i="67"/>
  <c r="G156" i="67" s="1"/>
  <c r="V156" i="67" s="1"/>
  <c r="F157" i="67"/>
  <c r="G157" i="67" s="1"/>
  <c r="F158" i="67"/>
  <c r="G158" i="67" s="1"/>
  <c r="F159" i="67"/>
  <c r="G159" i="67" s="1"/>
  <c r="F160" i="67"/>
  <c r="G160" i="67" s="1"/>
  <c r="F161" i="67"/>
  <c r="G161" i="67" s="1"/>
  <c r="F162" i="67"/>
  <c r="G162" i="67" s="1"/>
  <c r="F163" i="67"/>
  <c r="G163" i="67" s="1"/>
  <c r="F164" i="67"/>
  <c r="G164" i="67" s="1"/>
  <c r="V164" i="67" s="1"/>
  <c r="F165" i="67"/>
  <c r="G165" i="67" s="1"/>
  <c r="F166" i="67"/>
  <c r="G166" i="67" s="1"/>
  <c r="F167" i="67"/>
  <c r="G167" i="67" s="1"/>
  <c r="F168" i="67"/>
  <c r="G168" i="67" s="1"/>
  <c r="F169" i="67"/>
  <c r="G169" i="67" s="1"/>
  <c r="F170" i="67"/>
  <c r="G170" i="67" s="1"/>
  <c r="F171" i="67"/>
  <c r="G171" i="67" s="1"/>
  <c r="F172" i="67"/>
  <c r="G172" i="67" s="1"/>
  <c r="V172" i="67" s="1"/>
  <c r="F173" i="67"/>
  <c r="G173" i="67" s="1"/>
  <c r="F174" i="67"/>
  <c r="G174" i="67" s="1"/>
  <c r="F175" i="67"/>
  <c r="G175" i="67" s="1"/>
  <c r="F176" i="67"/>
  <c r="G176" i="67" s="1"/>
  <c r="F177" i="67"/>
  <c r="G177" i="67" s="1"/>
  <c r="F178" i="67"/>
  <c r="G178" i="67" s="1"/>
  <c r="F179" i="67"/>
  <c r="G179" i="67" s="1"/>
  <c r="F180" i="67"/>
  <c r="G180" i="67" s="1"/>
  <c r="V180" i="67" s="1"/>
  <c r="F181" i="67"/>
  <c r="G181" i="67" s="1"/>
  <c r="F182" i="67"/>
  <c r="G182" i="67" s="1"/>
  <c r="F183" i="67"/>
  <c r="G183" i="67" s="1"/>
  <c r="F184" i="67"/>
  <c r="G184" i="67" s="1"/>
  <c r="F185" i="67"/>
  <c r="G185" i="67" s="1"/>
  <c r="F186" i="67"/>
  <c r="G186" i="67" s="1"/>
  <c r="F187" i="67"/>
  <c r="G187" i="67" s="1"/>
  <c r="F188" i="67"/>
  <c r="G188" i="67" s="1"/>
  <c r="V188" i="67" s="1"/>
  <c r="F189" i="67"/>
  <c r="G189" i="67" s="1"/>
  <c r="F190" i="67"/>
  <c r="G190" i="67" s="1"/>
  <c r="F191" i="67"/>
  <c r="G191" i="67" s="1"/>
  <c r="F192" i="67"/>
  <c r="G192" i="67" s="1"/>
  <c r="F193" i="67"/>
  <c r="G193" i="67" s="1"/>
  <c r="F194" i="67"/>
  <c r="G194" i="67" s="1"/>
  <c r="F195" i="67"/>
  <c r="G195" i="67" s="1"/>
  <c r="F196" i="67"/>
  <c r="G196" i="67" s="1"/>
  <c r="V196" i="67" s="1"/>
  <c r="F197" i="67"/>
  <c r="G197" i="67" s="1"/>
  <c r="F198" i="67"/>
  <c r="G198" i="67" s="1"/>
  <c r="F199" i="67"/>
  <c r="G199" i="67" s="1"/>
  <c r="F200" i="67"/>
  <c r="G200" i="67" s="1"/>
  <c r="F201" i="67"/>
  <c r="G201" i="67" s="1"/>
  <c r="F202" i="67"/>
  <c r="G202" i="67" s="1"/>
  <c r="F203" i="67"/>
  <c r="G203" i="67" s="1"/>
  <c r="F204" i="67"/>
  <c r="G204" i="67" s="1"/>
  <c r="V204" i="67" s="1"/>
  <c r="F205" i="67"/>
  <c r="G205" i="67" s="1"/>
  <c r="F206" i="67"/>
  <c r="G206" i="67" s="1"/>
  <c r="F207" i="67"/>
  <c r="G207" i="67" s="1"/>
  <c r="F208" i="67"/>
  <c r="G208" i="67" s="1"/>
  <c r="F209" i="67"/>
  <c r="G209" i="67" s="1"/>
  <c r="F210" i="67"/>
  <c r="G210" i="67" s="1"/>
  <c r="F211" i="67"/>
  <c r="G211" i="67" s="1"/>
  <c r="F212" i="67"/>
  <c r="G212" i="67" s="1"/>
  <c r="V212" i="67" s="1"/>
  <c r="F213" i="67"/>
  <c r="G213" i="67" s="1"/>
  <c r="F214" i="67"/>
  <c r="G214" i="67" s="1"/>
  <c r="F215" i="67"/>
  <c r="G215" i="67" s="1"/>
  <c r="F216" i="67"/>
  <c r="G216" i="67" s="1"/>
  <c r="F217" i="67"/>
  <c r="G217" i="67" s="1"/>
  <c r="F218" i="67"/>
  <c r="G218" i="67" s="1"/>
  <c r="F219" i="67"/>
  <c r="G219" i="67" s="1"/>
  <c r="F220" i="67"/>
  <c r="G220" i="67" s="1"/>
  <c r="V220" i="67" s="1"/>
  <c r="F221" i="67"/>
  <c r="G221" i="67" s="1"/>
  <c r="F222" i="67"/>
  <c r="G222" i="67" s="1"/>
  <c r="F223" i="67"/>
  <c r="G223" i="67" s="1"/>
  <c r="F224" i="67"/>
  <c r="G224" i="67" s="1"/>
  <c r="F225" i="67"/>
  <c r="G225" i="67" s="1"/>
  <c r="F226" i="67"/>
  <c r="G226" i="67" s="1"/>
  <c r="F227" i="67"/>
  <c r="G227" i="67" s="1"/>
  <c r="F228" i="67"/>
  <c r="G228" i="67" s="1"/>
  <c r="V228" i="67" s="1"/>
  <c r="F229" i="67"/>
  <c r="G229" i="67" s="1"/>
  <c r="F230" i="67"/>
  <c r="G230" i="67" s="1"/>
  <c r="F231" i="67"/>
  <c r="G231" i="67" s="1"/>
  <c r="F232" i="67"/>
  <c r="G232" i="67" s="1"/>
  <c r="F233" i="67"/>
  <c r="G233" i="67" s="1"/>
  <c r="F234" i="67"/>
  <c r="G234" i="67" s="1"/>
  <c r="F235" i="67"/>
  <c r="G235" i="67" s="1"/>
  <c r="F236" i="67"/>
  <c r="G236" i="67" s="1"/>
  <c r="V236" i="67" s="1"/>
  <c r="F237" i="67"/>
  <c r="G237" i="67" s="1"/>
  <c r="F238" i="67"/>
  <c r="G238" i="67" s="1"/>
  <c r="F239" i="67"/>
  <c r="G239" i="67" s="1"/>
  <c r="F240" i="67"/>
  <c r="G240" i="67" s="1"/>
  <c r="F241" i="67"/>
  <c r="G241" i="67" s="1"/>
  <c r="F242" i="67"/>
  <c r="G242" i="67" s="1"/>
  <c r="F243" i="67"/>
  <c r="G243" i="67" s="1"/>
  <c r="F244" i="67"/>
  <c r="G244" i="67" s="1"/>
  <c r="V244" i="67" s="1"/>
  <c r="F245" i="67"/>
  <c r="G245" i="67" s="1"/>
  <c r="F246" i="67"/>
  <c r="G246" i="67" s="1"/>
  <c r="F247" i="67"/>
  <c r="G247" i="67" s="1"/>
  <c r="F248" i="67"/>
  <c r="G248" i="67" s="1"/>
  <c r="F249" i="67"/>
  <c r="G249" i="67" s="1"/>
  <c r="F250" i="67"/>
  <c r="G250" i="67" s="1"/>
  <c r="F251" i="67"/>
  <c r="G251" i="67" s="1"/>
  <c r="F252" i="67"/>
  <c r="G252" i="67" s="1"/>
  <c r="V252" i="67" s="1"/>
  <c r="F253" i="67"/>
  <c r="G253" i="67" s="1"/>
  <c r="F254" i="67"/>
  <c r="G254" i="67" s="1"/>
  <c r="F255" i="67"/>
  <c r="G255" i="67" s="1"/>
  <c r="F256" i="67"/>
  <c r="G256" i="67" s="1"/>
  <c r="F257" i="67"/>
  <c r="G257" i="67" s="1"/>
  <c r="F10" i="67"/>
  <c r="G10" i="67" s="1"/>
  <c r="AB21" i="57" l="1"/>
  <c r="AA21" i="57"/>
  <c r="W54" i="67"/>
  <c r="P16" i="64"/>
  <c r="Q16" i="64" s="1"/>
  <c r="T16" i="64"/>
  <c r="P15" i="64"/>
  <c r="Q15" i="64" s="1"/>
  <c r="T15" i="64"/>
  <c r="P14" i="64"/>
  <c r="Q14" i="64" s="1"/>
  <c r="T14" i="64"/>
  <c r="P13" i="64"/>
  <c r="P257" i="64"/>
  <c r="Q257" i="64" s="1"/>
  <c r="T257" i="64"/>
  <c r="P249" i="64"/>
  <c r="Q249" i="64" s="1"/>
  <c r="T249" i="64"/>
  <c r="P241" i="64"/>
  <c r="Q241" i="64" s="1"/>
  <c r="T241" i="64"/>
  <c r="P233" i="64"/>
  <c r="Q233" i="64" s="1"/>
  <c r="T233" i="64"/>
  <c r="P225" i="64"/>
  <c r="Q225" i="64" s="1"/>
  <c r="T225" i="64"/>
  <c r="P217" i="64"/>
  <c r="Q217" i="64" s="1"/>
  <c r="T217" i="64"/>
  <c r="P209" i="64"/>
  <c r="Q209" i="64" s="1"/>
  <c r="T209" i="64"/>
  <c r="P201" i="64"/>
  <c r="Q201" i="64" s="1"/>
  <c r="T201" i="64"/>
  <c r="P193" i="64"/>
  <c r="Q193" i="64" s="1"/>
  <c r="T193" i="64"/>
  <c r="P185" i="64"/>
  <c r="Q185" i="64" s="1"/>
  <c r="T185" i="64"/>
  <c r="P177" i="64"/>
  <c r="Q177" i="64" s="1"/>
  <c r="T177" i="64"/>
  <c r="P169" i="64"/>
  <c r="Q169" i="64" s="1"/>
  <c r="T169" i="64"/>
  <c r="P161" i="64"/>
  <c r="Q161" i="64" s="1"/>
  <c r="T161" i="64"/>
  <c r="P153" i="64"/>
  <c r="Q153" i="64" s="1"/>
  <c r="T153" i="64"/>
  <c r="P145" i="64"/>
  <c r="Q145" i="64" s="1"/>
  <c r="T145" i="64"/>
  <c r="P137" i="64"/>
  <c r="Q137" i="64" s="1"/>
  <c r="T137" i="64"/>
  <c r="P129" i="64"/>
  <c r="Q129" i="64" s="1"/>
  <c r="T129" i="64"/>
  <c r="P121" i="64"/>
  <c r="Q121" i="64" s="1"/>
  <c r="T121" i="64"/>
  <c r="P113" i="64"/>
  <c r="Q113" i="64" s="1"/>
  <c r="T113" i="64"/>
  <c r="P105" i="64"/>
  <c r="Q105" i="64" s="1"/>
  <c r="T105" i="64"/>
  <c r="P97" i="64"/>
  <c r="Q97" i="64" s="1"/>
  <c r="T97" i="64"/>
  <c r="P89" i="64"/>
  <c r="Q89" i="64" s="1"/>
  <c r="T89" i="64"/>
  <c r="P81" i="64"/>
  <c r="Q81" i="64" s="1"/>
  <c r="T81" i="64"/>
  <c r="P73" i="64"/>
  <c r="Q73" i="64" s="1"/>
  <c r="T73" i="64"/>
  <c r="P65" i="64"/>
  <c r="Q65" i="64" s="1"/>
  <c r="T65" i="64"/>
  <c r="P57" i="64"/>
  <c r="Q57" i="64" s="1"/>
  <c r="T57" i="64"/>
  <c r="P49" i="64"/>
  <c r="Q49" i="64" s="1"/>
  <c r="T49" i="64"/>
  <c r="P41" i="64"/>
  <c r="Q41" i="64" s="1"/>
  <c r="T41" i="64"/>
  <c r="P33" i="64"/>
  <c r="Q33" i="64" s="1"/>
  <c r="T33" i="64"/>
  <c r="P25" i="64"/>
  <c r="Q25" i="64" s="1"/>
  <c r="T25" i="64"/>
  <c r="P17" i="64"/>
  <c r="Q17" i="64" s="1"/>
  <c r="T17" i="64"/>
  <c r="P256" i="64"/>
  <c r="Q256" i="64" s="1"/>
  <c r="T256" i="64"/>
  <c r="P248" i="64"/>
  <c r="Q248" i="64" s="1"/>
  <c r="T248" i="64"/>
  <c r="P240" i="64"/>
  <c r="Q240" i="64" s="1"/>
  <c r="T240" i="64"/>
  <c r="P232" i="64"/>
  <c r="Q232" i="64" s="1"/>
  <c r="T232" i="64"/>
  <c r="P224" i="64"/>
  <c r="Q224" i="64" s="1"/>
  <c r="T224" i="64"/>
  <c r="P216" i="64"/>
  <c r="Q216" i="64" s="1"/>
  <c r="T216" i="64"/>
  <c r="P208" i="64"/>
  <c r="Q208" i="64" s="1"/>
  <c r="T208" i="64"/>
  <c r="P200" i="64"/>
  <c r="Q200" i="64" s="1"/>
  <c r="T200" i="64"/>
  <c r="P192" i="64"/>
  <c r="Q192" i="64" s="1"/>
  <c r="T192" i="64"/>
  <c r="P184" i="64"/>
  <c r="Q184" i="64" s="1"/>
  <c r="T184" i="64"/>
  <c r="P176" i="64"/>
  <c r="Q176" i="64" s="1"/>
  <c r="T176" i="64"/>
  <c r="P168" i="64"/>
  <c r="Q168" i="64" s="1"/>
  <c r="T168" i="64"/>
  <c r="P160" i="64"/>
  <c r="Q160" i="64" s="1"/>
  <c r="T160" i="64"/>
  <c r="P152" i="64"/>
  <c r="Q152" i="64" s="1"/>
  <c r="T152" i="64"/>
  <c r="P144" i="64"/>
  <c r="Q144" i="64" s="1"/>
  <c r="T144" i="64"/>
  <c r="P136" i="64"/>
  <c r="Q136" i="64" s="1"/>
  <c r="T136" i="64"/>
  <c r="P128" i="64"/>
  <c r="Q128" i="64" s="1"/>
  <c r="T128" i="64"/>
  <c r="P120" i="64"/>
  <c r="Q120" i="64" s="1"/>
  <c r="T120" i="64"/>
  <c r="P112" i="64"/>
  <c r="Q112" i="64" s="1"/>
  <c r="T112" i="64"/>
  <c r="P104" i="64"/>
  <c r="Q104" i="64" s="1"/>
  <c r="T104" i="64"/>
  <c r="P96" i="64"/>
  <c r="Q96" i="64" s="1"/>
  <c r="T96" i="64"/>
  <c r="P88" i="64"/>
  <c r="Q88" i="64" s="1"/>
  <c r="T88" i="64"/>
  <c r="P80" i="64"/>
  <c r="Q80" i="64" s="1"/>
  <c r="T80" i="64"/>
  <c r="P72" i="64"/>
  <c r="Q72" i="64" s="1"/>
  <c r="T72" i="64"/>
  <c r="P64" i="64"/>
  <c r="Q64" i="64" s="1"/>
  <c r="T64" i="64"/>
  <c r="P56" i="64"/>
  <c r="Q56" i="64" s="1"/>
  <c r="T56" i="64"/>
  <c r="P48" i="64"/>
  <c r="Q48" i="64" s="1"/>
  <c r="T48" i="64"/>
  <c r="P40" i="64"/>
  <c r="Q40" i="64" s="1"/>
  <c r="T40" i="64"/>
  <c r="P32" i="64"/>
  <c r="Q32" i="64" s="1"/>
  <c r="T32" i="64"/>
  <c r="P24" i="64"/>
  <c r="Q24" i="64" s="1"/>
  <c r="T24" i="64"/>
  <c r="P255" i="64"/>
  <c r="Q255" i="64" s="1"/>
  <c r="T255" i="64"/>
  <c r="P247" i="64"/>
  <c r="Q247" i="64" s="1"/>
  <c r="T247" i="64"/>
  <c r="P239" i="64"/>
  <c r="Q239" i="64" s="1"/>
  <c r="T239" i="64"/>
  <c r="P231" i="64"/>
  <c r="Q231" i="64" s="1"/>
  <c r="T231" i="64"/>
  <c r="P223" i="64"/>
  <c r="Q223" i="64" s="1"/>
  <c r="T223" i="64"/>
  <c r="P215" i="64"/>
  <c r="Q215" i="64" s="1"/>
  <c r="T215" i="64"/>
  <c r="P207" i="64"/>
  <c r="Q207" i="64" s="1"/>
  <c r="T207" i="64"/>
  <c r="P199" i="64"/>
  <c r="Q199" i="64" s="1"/>
  <c r="T199" i="64"/>
  <c r="P191" i="64"/>
  <c r="Q191" i="64" s="1"/>
  <c r="T191" i="64"/>
  <c r="P183" i="64"/>
  <c r="Q183" i="64" s="1"/>
  <c r="T183" i="64"/>
  <c r="P175" i="64"/>
  <c r="Q175" i="64" s="1"/>
  <c r="T175" i="64"/>
  <c r="P167" i="64"/>
  <c r="Q167" i="64" s="1"/>
  <c r="T167" i="64"/>
  <c r="P159" i="64"/>
  <c r="Q159" i="64" s="1"/>
  <c r="T159" i="64"/>
  <c r="P151" i="64"/>
  <c r="Q151" i="64" s="1"/>
  <c r="T151" i="64"/>
  <c r="P143" i="64"/>
  <c r="Q143" i="64" s="1"/>
  <c r="T143" i="64"/>
  <c r="P135" i="64"/>
  <c r="Q135" i="64" s="1"/>
  <c r="T135" i="64"/>
  <c r="P127" i="64"/>
  <c r="Q127" i="64" s="1"/>
  <c r="T127" i="64"/>
  <c r="P119" i="64"/>
  <c r="Q119" i="64" s="1"/>
  <c r="T119" i="64"/>
  <c r="P111" i="64"/>
  <c r="Q111" i="64" s="1"/>
  <c r="T111" i="64"/>
  <c r="P103" i="64"/>
  <c r="Q103" i="64" s="1"/>
  <c r="T103" i="64"/>
  <c r="P95" i="64"/>
  <c r="Q95" i="64" s="1"/>
  <c r="T95" i="64"/>
  <c r="P87" i="64"/>
  <c r="Q87" i="64" s="1"/>
  <c r="T87" i="64"/>
  <c r="P79" i="64"/>
  <c r="Q79" i="64" s="1"/>
  <c r="T79" i="64"/>
  <c r="P71" i="64"/>
  <c r="Q71" i="64" s="1"/>
  <c r="T71" i="64"/>
  <c r="P63" i="64"/>
  <c r="Q63" i="64" s="1"/>
  <c r="T63" i="64"/>
  <c r="P55" i="64"/>
  <c r="Q55" i="64" s="1"/>
  <c r="T55" i="64"/>
  <c r="P47" i="64"/>
  <c r="Q47" i="64" s="1"/>
  <c r="T47" i="64"/>
  <c r="P39" i="64"/>
  <c r="Q39" i="64" s="1"/>
  <c r="T39" i="64"/>
  <c r="P31" i="64"/>
  <c r="Q31" i="64" s="1"/>
  <c r="T31" i="64"/>
  <c r="P23" i="64"/>
  <c r="Q23" i="64" s="1"/>
  <c r="T23" i="64"/>
  <c r="P254" i="64"/>
  <c r="Q254" i="64" s="1"/>
  <c r="T254" i="64"/>
  <c r="P246" i="64"/>
  <c r="Q246" i="64" s="1"/>
  <c r="T246" i="64"/>
  <c r="P238" i="64"/>
  <c r="Q238" i="64" s="1"/>
  <c r="T238" i="64"/>
  <c r="P230" i="64"/>
  <c r="Q230" i="64" s="1"/>
  <c r="T230" i="64"/>
  <c r="P222" i="64"/>
  <c r="Q222" i="64" s="1"/>
  <c r="T222" i="64"/>
  <c r="P214" i="64"/>
  <c r="Q214" i="64" s="1"/>
  <c r="T214" i="64"/>
  <c r="P206" i="64"/>
  <c r="Q206" i="64" s="1"/>
  <c r="T206" i="64"/>
  <c r="P198" i="64"/>
  <c r="Q198" i="64" s="1"/>
  <c r="T198" i="64"/>
  <c r="P190" i="64"/>
  <c r="Q190" i="64" s="1"/>
  <c r="T190" i="64"/>
  <c r="P182" i="64"/>
  <c r="Q182" i="64" s="1"/>
  <c r="T182" i="64"/>
  <c r="P174" i="64"/>
  <c r="Q174" i="64" s="1"/>
  <c r="T174" i="64"/>
  <c r="P166" i="64"/>
  <c r="Q166" i="64" s="1"/>
  <c r="T166" i="64"/>
  <c r="P158" i="64"/>
  <c r="Q158" i="64" s="1"/>
  <c r="T158" i="64"/>
  <c r="P150" i="64"/>
  <c r="Q150" i="64" s="1"/>
  <c r="T150" i="64"/>
  <c r="P142" i="64"/>
  <c r="Q142" i="64" s="1"/>
  <c r="T142" i="64"/>
  <c r="P134" i="64"/>
  <c r="Q134" i="64" s="1"/>
  <c r="T134" i="64"/>
  <c r="P126" i="64"/>
  <c r="Q126" i="64" s="1"/>
  <c r="T126" i="64"/>
  <c r="P118" i="64"/>
  <c r="Q118" i="64" s="1"/>
  <c r="T118" i="64"/>
  <c r="P110" i="64"/>
  <c r="Q110" i="64" s="1"/>
  <c r="T110" i="64"/>
  <c r="P102" i="64"/>
  <c r="Q102" i="64" s="1"/>
  <c r="T102" i="64"/>
  <c r="P94" i="64"/>
  <c r="Q94" i="64" s="1"/>
  <c r="T94" i="64"/>
  <c r="P86" i="64"/>
  <c r="Q86" i="64" s="1"/>
  <c r="T86" i="64"/>
  <c r="P78" i="64"/>
  <c r="Q78" i="64" s="1"/>
  <c r="T78" i="64"/>
  <c r="P70" i="64"/>
  <c r="Q70" i="64" s="1"/>
  <c r="T70" i="64"/>
  <c r="P62" i="64"/>
  <c r="Q62" i="64" s="1"/>
  <c r="T62" i="64"/>
  <c r="P54" i="64"/>
  <c r="Q54" i="64" s="1"/>
  <c r="T54" i="64"/>
  <c r="P46" i="64"/>
  <c r="Q46" i="64" s="1"/>
  <c r="T46" i="64"/>
  <c r="P38" i="64"/>
  <c r="Q38" i="64" s="1"/>
  <c r="T38" i="64"/>
  <c r="P30" i="64"/>
  <c r="Q30" i="64" s="1"/>
  <c r="T30" i="64"/>
  <c r="P22" i="64"/>
  <c r="Q22" i="64" s="1"/>
  <c r="T22" i="64"/>
  <c r="P253" i="64"/>
  <c r="Q253" i="64" s="1"/>
  <c r="T253" i="64"/>
  <c r="P245" i="64"/>
  <c r="Q245" i="64" s="1"/>
  <c r="T245" i="64"/>
  <c r="P237" i="64"/>
  <c r="Q237" i="64" s="1"/>
  <c r="T237" i="64"/>
  <c r="P229" i="64"/>
  <c r="Q229" i="64" s="1"/>
  <c r="T229" i="64"/>
  <c r="P221" i="64"/>
  <c r="Q221" i="64" s="1"/>
  <c r="T221" i="64"/>
  <c r="P213" i="64"/>
  <c r="Q213" i="64" s="1"/>
  <c r="T213" i="64"/>
  <c r="P205" i="64"/>
  <c r="Q205" i="64" s="1"/>
  <c r="T205" i="64"/>
  <c r="P197" i="64"/>
  <c r="Q197" i="64" s="1"/>
  <c r="T197" i="64"/>
  <c r="P189" i="64"/>
  <c r="Q189" i="64" s="1"/>
  <c r="T189" i="64"/>
  <c r="P181" i="64"/>
  <c r="Q181" i="64" s="1"/>
  <c r="T181" i="64"/>
  <c r="P173" i="64"/>
  <c r="Q173" i="64" s="1"/>
  <c r="T173" i="64"/>
  <c r="P165" i="64"/>
  <c r="Q165" i="64" s="1"/>
  <c r="T165" i="64"/>
  <c r="P157" i="64"/>
  <c r="Q157" i="64" s="1"/>
  <c r="T157" i="64"/>
  <c r="P149" i="64"/>
  <c r="Q149" i="64" s="1"/>
  <c r="T149" i="64"/>
  <c r="P141" i="64"/>
  <c r="Q141" i="64" s="1"/>
  <c r="T141" i="64"/>
  <c r="P133" i="64"/>
  <c r="Q133" i="64" s="1"/>
  <c r="T133" i="64"/>
  <c r="P125" i="64"/>
  <c r="Q125" i="64" s="1"/>
  <c r="T125" i="64"/>
  <c r="P117" i="64"/>
  <c r="Q117" i="64" s="1"/>
  <c r="T117" i="64"/>
  <c r="P109" i="64"/>
  <c r="Q109" i="64" s="1"/>
  <c r="T109" i="64"/>
  <c r="P101" i="64"/>
  <c r="Q101" i="64" s="1"/>
  <c r="T101" i="64"/>
  <c r="P93" i="64"/>
  <c r="Q93" i="64" s="1"/>
  <c r="T93" i="64"/>
  <c r="P85" i="64"/>
  <c r="Q85" i="64" s="1"/>
  <c r="T85" i="64"/>
  <c r="P77" i="64"/>
  <c r="Q77" i="64" s="1"/>
  <c r="T77" i="64"/>
  <c r="P69" i="64"/>
  <c r="Q69" i="64" s="1"/>
  <c r="T69" i="64"/>
  <c r="P61" i="64"/>
  <c r="Q61" i="64" s="1"/>
  <c r="T61" i="64"/>
  <c r="P53" i="64"/>
  <c r="Q53" i="64" s="1"/>
  <c r="T53" i="64"/>
  <c r="P45" i="64"/>
  <c r="Q45" i="64" s="1"/>
  <c r="T45" i="64"/>
  <c r="P37" i="64"/>
  <c r="Q37" i="64" s="1"/>
  <c r="T37" i="64"/>
  <c r="P29" i="64"/>
  <c r="Q29" i="64" s="1"/>
  <c r="T29" i="64"/>
  <c r="P21" i="64"/>
  <c r="Q21" i="64" s="1"/>
  <c r="T21" i="64"/>
  <c r="P252" i="64"/>
  <c r="Q252" i="64" s="1"/>
  <c r="T252" i="64"/>
  <c r="P244" i="64"/>
  <c r="Q244" i="64" s="1"/>
  <c r="T244" i="64"/>
  <c r="P236" i="64"/>
  <c r="Q236" i="64" s="1"/>
  <c r="T236" i="64"/>
  <c r="P228" i="64"/>
  <c r="Q228" i="64" s="1"/>
  <c r="T228" i="64"/>
  <c r="P220" i="64"/>
  <c r="Q220" i="64" s="1"/>
  <c r="T220" i="64"/>
  <c r="P212" i="64"/>
  <c r="Q212" i="64" s="1"/>
  <c r="T212" i="64"/>
  <c r="P204" i="64"/>
  <c r="Q204" i="64" s="1"/>
  <c r="T204" i="64"/>
  <c r="P196" i="64"/>
  <c r="Q196" i="64" s="1"/>
  <c r="T196" i="64"/>
  <c r="P188" i="64"/>
  <c r="Q188" i="64" s="1"/>
  <c r="T188" i="64"/>
  <c r="P180" i="64"/>
  <c r="Q180" i="64" s="1"/>
  <c r="T180" i="64"/>
  <c r="P172" i="64"/>
  <c r="Q172" i="64" s="1"/>
  <c r="T172" i="64"/>
  <c r="P164" i="64"/>
  <c r="Q164" i="64" s="1"/>
  <c r="T164" i="64"/>
  <c r="P156" i="64"/>
  <c r="Q156" i="64" s="1"/>
  <c r="T156" i="64"/>
  <c r="P148" i="64"/>
  <c r="Q148" i="64" s="1"/>
  <c r="T148" i="64"/>
  <c r="P140" i="64"/>
  <c r="Q140" i="64" s="1"/>
  <c r="T140" i="64"/>
  <c r="P132" i="64"/>
  <c r="Q132" i="64" s="1"/>
  <c r="T132" i="64"/>
  <c r="P124" i="64"/>
  <c r="Q124" i="64" s="1"/>
  <c r="T124" i="64"/>
  <c r="P116" i="64"/>
  <c r="Q116" i="64" s="1"/>
  <c r="T116" i="64"/>
  <c r="P108" i="64"/>
  <c r="Q108" i="64" s="1"/>
  <c r="T108" i="64"/>
  <c r="P100" i="64"/>
  <c r="Q100" i="64" s="1"/>
  <c r="T100" i="64"/>
  <c r="P92" i="64"/>
  <c r="Q92" i="64" s="1"/>
  <c r="T92" i="64"/>
  <c r="P84" i="64"/>
  <c r="Q84" i="64" s="1"/>
  <c r="T84" i="64"/>
  <c r="P76" i="64"/>
  <c r="Q76" i="64" s="1"/>
  <c r="T76" i="64"/>
  <c r="P68" i="64"/>
  <c r="Q68" i="64" s="1"/>
  <c r="T68" i="64"/>
  <c r="P60" i="64"/>
  <c r="Q60" i="64" s="1"/>
  <c r="T60" i="64"/>
  <c r="P52" i="64"/>
  <c r="Q52" i="64" s="1"/>
  <c r="T52" i="64"/>
  <c r="P44" i="64"/>
  <c r="P36" i="64"/>
  <c r="Q36" i="64" s="1"/>
  <c r="T36" i="64"/>
  <c r="P28" i="64"/>
  <c r="Q28" i="64" s="1"/>
  <c r="T28" i="64"/>
  <c r="P20" i="64"/>
  <c r="Q20" i="64" s="1"/>
  <c r="T20" i="64"/>
  <c r="P251" i="64"/>
  <c r="Q251" i="64" s="1"/>
  <c r="T251" i="64"/>
  <c r="P243" i="64"/>
  <c r="Q243" i="64" s="1"/>
  <c r="T243" i="64"/>
  <c r="P235" i="64"/>
  <c r="Q235" i="64" s="1"/>
  <c r="T235" i="64"/>
  <c r="P227" i="64"/>
  <c r="Q227" i="64" s="1"/>
  <c r="T227" i="64"/>
  <c r="P219" i="64"/>
  <c r="Q219" i="64" s="1"/>
  <c r="T219" i="64"/>
  <c r="P211" i="64"/>
  <c r="Q211" i="64" s="1"/>
  <c r="T211" i="64"/>
  <c r="P203" i="64"/>
  <c r="Q203" i="64" s="1"/>
  <c r="T203" i="64"/>
  <c r="P195" i="64"/>
  <c r="Q195" i="64" s="1"/>
  <c r="T195" i="64"/>
  <c r="P187" i="64"/>
  <c r="Q187" i="64" s="1"/>
  <c r="T187" i="64"/>
  <c r="P179" i="64"/>
  <c r="Q179" i="64" s="1"/>
  <c r="T179" i="64"/>
  <c r="P171" i="64"/>
  <c r="Q171" i="64" s="1"/>
  <c r="T171" i="64"/>
  <c r="P163" i="64"/>
  <c r="Q163" i="64" s="1"/>
  <c r="T163" i="64"/>
  <c r="P155" i="64"/>
  <c r="Q155" i="64" s="1"/>
  <c r="T155" i="64"/>
  <c r="P147" i="64"/>
  <c r="Q147" i="64" s="1"/>
  <c r="T147" i="64"/>
  <c r="P139" i="64"/>
  <c r="Q139" i="64" s="1"/>
  <c r="T139" i="64"/>
  <c r="P131" i="64"/>
  <c r="Q131" i="64" s="1"/>
  <c r="T131" i="64"/>
  <c r="P123" i="64"/>
  <c r="Q123" i="64" s="1"/>
  <c r="T123" i="64"/>
  <c r="P115" i="64"/>
  <c r="Q115" i="64" s="1"/>
  <c r="T115" i="64"/>
  <c r="P107" i="64"/>
  <c r="Q107" i="64" s="1"/>
  <c r="T107" i="64"/>
  <c r="P99" i="64"/>
  <c r="Q99" i="64" s="1"/>
  <c r="T99" i="64"/>
  <c r="P91" i="64"/>
  <c r="Q91" i="64" s="1"/>
  <c r="T91" i="64"/>
  <c r="P83" i="64"/>
  <c r="Q83" i="64" s="1"/>
  <c r="T83" i="64"/>
  <c r="P75" i="64"/>
  <c r="Q75" i="64" s="1"/>
  <c r="T75" i="64"/>
  <c r="P67" i="64"/>
  <c r="Q67" i="64" s="1"/>
  <c r="T67" i="64"/>
  <c r="P59" i="64"/>
  <c r="Q59" i="64" s="1"/>
  <c r="T59" i="64"/>
  <c r="P51" i="64"/>
  <c r="Q51" i="64" s="1"/>
  <c r="T51" i="64"/>
  <c r="P43" i="64"/>
  <c r="Q43" i="64" s="1"/>
  <c r="T43" i="64"/>
  <c r="P35" i="64"/>
  <c r="Q35" i="64" s="1"/>
  <c r="T35" i="64"/>
  <c r="P27" i="64"/>
  <c r="Q27" i="64" s="1"/>
  <c r="T27" i="64"/>
  <c r="P19" i="64"/>
  <c r="Q19" i="64" s="1"/>
  <c r="T19" i="64"/>
  <c r="P250" i="64"/>
  <c r="Q250" i="64" s="1"/>
  <c r="T250" i="64"/>
  <c r="P242" i="64"/>
  <c r="Q242" i="64" s="1"/>
  <c r="T242" i="64"/>
  <c r="P234" i="64"/>
  <c r="Q234" i="64" s="1"/>
  <c r="T234" i="64"/>
  <c r="P226" i="64"/>
  <c r="Q226" i="64" s="1"/>
  <c r="T226" i="64"/>
  <c r="P218" i="64"/>
  <c r="Q218" i="64" s="1"/>
  <c r="T218" i="64"/>
  <c r="P210" i="64"/>
  <c r="Q210" i="64" s="1"/>
  <c r="T210" i="64"/>
  <c r="P202" i="64"/>
  <c r="Q202" i="64" s="1"/>
  <c r="T202" i="64"/>
  <c r="P194" i="64"/>
  <c r="Q194" i="64" s="1"/>
  <c r="T194" i="64"/>
  <c r="P186" i="64"/>
  <c r="Q186" i="64" s="1"/>
  <c r="T186" i="64"/>
  <c r="P178" i="64"/>
  <c r="Q178" i="64" s="1"/>
  <c r="T178" i="64"/>
  <c r="P170" i="64"/>
  <c r="Q170" i="64" s="1"/>
  <c r="T170" i="64"/>
  <c r="P162" i="64"/>
  <c r="Q162" i="64" s="1"/>
  <c r="T162" i="64"/>
  <c r="P154" i="64"/>
  <c r="Q154" i="64" s="1"/>
  <c r="T154" i="64"/>
  <c r="P146" i="64"/>
  <c r="Q146" i="64" s="1"/>
  <c r="T146" i="64"/>
  <c r="P138" i="64"/>
  <c r="Q138" i="64" s="1"/>
  <c r="T138" i="64"/>
  <c r="P130" i="64"/>
  <c r="Q130" i="64" s="1"/>
  <c r="T130" i="64"/>
  <c r="P122" i="64"/>
  <c r="Q122" i="64" s="1"/>
  <c r="T122" i="64"/>
  <c r="P114" i="64"/>
  <c r="Q114" i="64" s="1"/>
  <c r="T114" i="64"/>
  <c r="P106" i="64"/>
  <c r="Q106" i="64" s="1"/>
  <c r="T106" i="64"/>
  <c r="P98" i="64"/>
  <c r="Q98" i="64" s="1"/>
  <c r="T98" i="64"/>
  <c r="P90" i="64"/>
  <c r="Q90" i="64" s="1"/>
  <c r="T90" i="64"/>
  <c r="P82" i="64"/>
  <c r="Q82" i="64" s="1"/>
  <c r="T82" i="64"/>
  <c r="P74" i="64"/>
  <c r="Q74" i="64" s="1"/>
  <c r="T74" i="64"/>
  <c r="P66" i="64"/>
  <c r="Q66" i="64" s="1"/>
  <c r="T66" i="64"/>
  <c r="P58" i="64"/>
  <c r="Q58" i="64" s="1"/>
  <c r="T58" i="64"/>
  <c r="P50" i="64"/>
  <c r="Q50" i="64" s="1"/>
  <c r="T50" i="64"/>
  <c r="P42" i="64"/>
  <c r="Q42" i="64" s="1"/>
  <c r="T42" i="64"/>
  <c r="P34" i="64"/>
  <c r="Q34" i="64" s="1"/>
  <c r="T34" i="64"/>
  <c r="P26" i="64"/>
  <c r="Q26" i="64" s="1"/>
  <c r="T26" i="64"/>
  <c r="P18" i="64"/>
  <c r="Q18" i="64" s="1"/>
  <c r="T18" i="64"/>
  <c r="S12" i="68"/>
  <c r="T12" i="68" s="1"/>
  <c r="Q12" i="68"/>
  <c r="AB22" i="53"/>
  <c r="V242" i="67"/>
  <c r="V202" i="67"/>
  <c r="V194" i="67"/>
  <c r="V186" i="67"/>
  <c r="V178" i="67"/>
  <c r="V170" i="67"/>
  <c r="V210" i="67"/>
  <c r="V226" i="67"/>
  <c r="V218" i="67"/>
  <c r="V234" i="67"/>
  <c r="V11" i="67"/>
  <c r="V250" i="67"/>
  <c r="V251" i="67"/>
  <c r="V195" i="67"/>
  <c r="V179" i="67"/>
  <c r="V171" i="67"/>
  <c r="V163" i="67"/>
  <c r="V155" i="67"/>
  <c r="V147" i="67"/>
  <c r="V139" i="67"/>
  <c r="V131" i="67"/>
  <c r="V123" i="67"/>
  <c r="V115" i="67"/>
  <c r="V107" i="67"/>
  <c r="V99" i="67"/>
  <c r="V91" i="67"/>
  <c r="V83" i="67"/>
  <c r="V75" i="67"/>
  <c r="V67" i="67"/>
  <c r="V59" i="67"/>
  <c r="V51" i="67"/>
  <c r="V43" i="67"/>
  <c r="V35" i="67"/>
  <c r="V27" i="67"/>
  <c r="V19" i="67"/>
  <c r="V243" i="67"/>
  <c r="V187" i="67"/>
  <c r="V235" i="67"/>
  <c r="V211" i="67"/>
  <c r="V227" i="67"/>
  <c r="V219" i="67"/>
  <c r="V203" i="67"/>
  <c r="X22" i="57"/>
  <c r="AE21" i="57"/>
  <c r="AF21" i="57" s="1"/>
  <c r="O23" i="57"/>
  <c r="AG23" i="57" s="1"/>
  <c r="X21" i="53"/>
  <c r="AB23" i="53"/>
  <c r="AA23" i="53"/>
  <c r="AF23" i="53"/>
  <c r="AE24" i="53"/>
  <c r="AC24" i="53"/>
  <c r="AE24" i="57"/>
  <c r="AC24" i="57"/>
  <c r="V257" i="67"/>
  <c r="V249" i="67"/>
  <c r="V241" i="67"/>
  <c r="V233" i="67"/>
  <c r="V225" i="67"/>
  <c r="V217" i="67"/>
  <c r="V209" i="67"/>
  <c r="V201" i="67"/>
  <c r="V193" i="67"/>
  <c r="V185" i="67"/>
  <c r="V177" i="67"/>
  <c r="V169" i="67"/>
  <c r="V161" i="67"/>
  <c r="V153" i="67"/>
  <c r="V145" i="67"/>
  <c r="V137" i="67"/>
  <c r="V129" i="67"/>
  <c r="V121" i="67"/>
  <c r="V113" i="67"/>
  <c r="V105" i="67"/>
  <c r="V97" i="67"/>
  <c r="V89" i="67"/>
  <c r="V81" i="67"/>
  <c r="V73" i="67"/>
  <c r="V65" i="67"/>
  <c r="V57" i="67"/>
  <c r="V49" i="67"/>
  <c r="V41" i="67"/>
  <c r="V33" i="67"/>
  <c r="V25" i="67"/>
  <c r="V17" i="67"/>
  <c r="V232" i="67"/>
  <c r="V208" i="67"/>
  <c r="V176" i="67"/>
  <c r="V144" i="67"/>
  <c r="V112" i="67"/>
  <c r="V72" i="67"/>
  <c r="V32" i="67"/>
  <c r="V240" i="67"/>
  <c r="V200" i="67"/>
  <c r="V168" i="67"/>
  <c r="V136" i="67"/>
  <c r="V104" i="67"/>
  <c r="V80" i="67"/>
  <c r="V48" i="67"/>
  <c r="V16" i="67"/>
  <c r="V255" i="67"/>
  <c r="V247" i="67"/>
  <c r="V239" i="67"/>
  <c r="V231" i="67"/>
  <c r="V223" i="67"/>
  <c r="V215" i="67"/>
  <c r="V207" i="67"/>
  <c r="V199" i="67"/>
  <c r="V191" i="67"/>
  <c r="V183" i="67"/>
  <c r="V175" i="67"/>
  <c r="V167" i="67"/>
  <c r="V159" i="67"/>
  <c r="V151" i="67"/>
  <c r="V143" i="67"/>
  <c r="V135" i="67"/>
  <c r="V127" i="67"/>
  <c r="V119" i="67"/>
  <c r="V111" i="67"/>
  <c r="V103" i="67"/>
  <c r="V95" i="67"/>
  <c r="V87" i="67"/>
  <c r="V79" i="67"/>
  <c r="V71" i="67"/>
  <c r="V63" i="67"/>
  <c r="V55" i="67"/>
  <c r="V47" i="67"/>
  <c r="V39" i="67"/>
  <c r="V31" i="67"/>
  <c r="V23" i="67"/>
  <c r="V15" i="67"/>
  <c r="V248" i="67"/>
  <c r="V216" i="67"/>
  <c r="V184" i="67"/>
  <c r="V160" i="67"/>
  <c r="V128" i="67"/>
  <c r="V96" i="67"/>
  <c r="V64" i="67"/>
  <c r="V40" i="67"/>
  <c r="V254" i="67"/>
  <c r="V246" i="67"/>
  <c r="V238" i="67"/>
  <c r="V230" i="67"/>
  <c r="V222" i="67"/>
  <c r="V214" i="67"/>
  <c r="V206" i="67"/>
  <c r="V198" i="67"/>
  <c r="V190" i="67"/>
  <c r="V182" i="67"/>
  <c r="V174" i="67"/>
  <c r="V166" i="67"/>
  <c r="V158" i="67"/>
  <c r="V150" i="67"/>
  <c r="V142" i="67"/>
  <c r="V134" i="67"/>
  <c r="V126" i="67"/>
  <c r="V118" i="67"/>
  <c r="V110" i="67"/>
  <c r="V102" i="67"/>
  <c r="V94" i="67"/>
  <c r="V86" i="67"/>
  <c r="V78" i="67"/>
  <c r="V70" i="67"/>
  <c r="V62" i="67"/>
  <c r="V54" i="67"/>
  <c r="V46" i="67"/>
  <c r="V38" i="67"/>
  <c r="V30" i="67"/>
  <c r="V22" i="67"/>
  <c r="V14" i="67"/>
  <c r="V256" i="67"/>
  <c r="V224" i="67"/>
  <c r="V192" i="67"/>
  <c r="V152" i="67"/>
  <c r="V120" i="67"/>
  <c r="V88" i="67"/>
  <c r="V56" i="67"/>
  <c r="V24" i="67"/>
  <c r="V253" i="67"/>
  <c r="V245" i="67"/>
  <c r="V237" i="67"/>
  <c r="V229" i="67"/>
  <c r="V221" i="67"/>
  <c r="V213" i="67"/>
  <c r="V205" i="67"/>
  <c r="V197" i="67"/>
  <c r="V189" i="67"/>
  <c r="V181" i="67"/>
  <c r="V173" i="67"/>
  <c r="V165" i="67"/>
  <c r="V157" i="67"/>
  <c r="V149" i="67"/>
  <c r="V141" i="67"/>
  <c r="V133" i="67"/>
  <c r="V125" i="67"/>
  <c r="V117" i="67"/>
  <c r="V109" i="67"/>
  <c r="V101" i="67"/>
  <c r="V93" i="67"/>
  <c r="V85" i="67"/>
  <c r="V77" i="67"/>
  <c r="V69" i="67"/>
  <c r="V61" i="67"/>
  <c r="V53" i="67"/>
  <c r="V45" i="67"/>
  <c r="V37" i="67"/>
  <c r="V29" i="67"/>
  <c r="V21" i="67"/>
  <c r="V13" i="67"/>
  <c r="V162" i="67"/>
  <c r="V154" i="67"/>
  <c r="V146" i="67"/>
  <c r="V138" i="67"/>
  <c r="V130" i="67"/>
  <c r="V122" i="67"/>
  <c r="V114" i="67"/>
  <c r="V106" i="67"/>
  <c r="V98" i="67"/>
  <c r="V90" i="67"/>
  <c r="V82" i="67"/>
  <c r="V74" i="67"/>
  <c r="V66" i="67"/>
  <c r="V58" i="67"/>
  <c r="V50" i="67"/>
  <c r="V42" i="67"/>
  <c r="V34" i="67"/>
  <c r="V26" i="67"/>
  <c r="V18" i="67"/>
  <c r="R24" i="57"/>
  <c r="R24" i="53"/>
  <c r="X24" i="53" s="1"/>
  <c r="V10" i="67"/>
  <c r="W10" i="67"/>
  <c r="R250" i="67"/>
  <c r="R242" i="67"/>
  <c r="R234" i="67"/>
  <c r="R226" i="67"/>
  <c r="R218" i="67"/>
  <c r="R210" i="67"/>
  <c r="R202" i="67"/>
  <c r="R194" i="67"/>
  <c r="R186" i="67"/>
  <c r="R178" i="67"/>
  <c r="R170" i="67"/>
  <c r="R162" i="67"/>
  <c r="R154" i="67"/>
  <c r="R146" i="67"/>
  <c r="R138" i="67"/>
  <c r="R130" i="67"/>
  <c r="R122" i="67"/>
  <c r="R114" i="67"/>
  <c r="R106" i="67"/>
  <c r="R98" i="67"/>
  <c r="R90" i="67"/>
  <c r="R82" i="67"/>
  <c r="R74" i="67"/>
  <c r="R66" i="67"/>
  <c r="R58" i="67"/>
  <c r="R50" i="67"/>
  <c r="R42" i="67"/>
  <c r="R34" i="67"/>
  <c r="R26" i="67"/>
  <c r="R18" i="67"/>
  <c r="R10" i="67"/>
  <c r="R255" i="67"/>
  <c r="R251" i="67"/>
  <c r="R247" i="67"/>
  <c r="R243" i="67"/>
  <c r="R239" i="67"/>
  <c r="R235" i="67"/>
  <c r="R231" i="67"/>
  <c r="R227" i="67"/>
  <c r="R223" i="67"/>
  <c r="R219" i="67"/>
  <c r="R215" i="67"/>
  <c r="R211" i="67"/>
  <c r="R207" i="67"/>
  <c r="R203" i="67"/>
  <c r="R199" i="67"/>
  <c r="R195" i="67"/>
  <c r="R191" i="67"/>
  <c r="R187" i="67"/>
  <c r="R183" i="67"/>
  <c r="R179" i="67"/>
  <c r="R175" i="67"/>
  <c r="R171" i="67"/>
  <c r="R167" i="67"/>
  <c r="R163" i="67"/>
  <c r="R159" i="67"/>
  <c r="R155" i="67"/>
  <c r="R151" i="67"/>
  <c r="R147" i="67"/>
  <c r="R143" i="67"/>
  <c r="R139" i="67"/>
  <c r="R135" i="67"/>
  <c r="R131" i="67"/>
  <c r="R127" i="67"/>
  <c r="R123" i="67"/>
  <c r="R119" i="67"/>
  <c r="R115" i="67"/>
  <c r="R111" i="67"/>
  <c r="R107" i="67"/>
  <c r="R103" i="67"/>
  <c r="R99" i="67"/>
  <c r="R95" i="67"/>
  <c r="R91" i="67"/>
  <c r="R87" i="67"/>
  <c r="R83" i="67"/>
  <c r="R79" i="67"/>
  <c r="R75" i="67"/>
  <c r="R71" i="67"/>
  <c r="R67" i="67"/>
  <c r="R63" i="67"/>
  <c r="R59" i="67"/>
  <c r="R55" i="67"/>
  <c r="R51" i="67"/>
  <c r="R47" i="67"/>
  <c r="R43" i="67"/>
  <c r="R39" i="67"/>
  <c r="R35" i="67"/>
  <c r="R31" i="67"/>
  <c r="R27" i="67"/>
  <c r="R23" i="67"/>
  <c r="R19" i="67"/>
  <c r="R15" i="67"/>
  <c r="R257" i="67"/>
  <c r="R249" i="67"/>
  <c r="R241" i="67"/>
  <c r="R233" i="67"/>
  <c r="R225" i="67"/>
  <c r="R217" i="67"/>
  <c r="R209" i="67"/>
  <c r="R201" i="67"/>
  <c r="R193" i="67"/>
  <c r="R185" i="67"/>
  <c r="R177" i="67"/>
  <c r="R169" i="67"/>
  <c r="R161" i="67"/>
  <c r="R153" i="67"/>
  <c r="R145" i="67"/>
  <c r="R137" i="67"/>
  <c r="R129" i="67"/>
  <c r="R121" i="67"/>
  <c r="R113" i="67"/>
  <c r="R105" i="67"/>
  <c r="R97" i="67"/>
  <c r="R89" i="67"/>
  <c r="R81" i="67"/>
  <c r="R73" i="67"/>
  <c r="R65" i="67"/>
  <c r="R57" i="67"/>
  <c r="R49" i="67"/>
  <c r="R41" i="67"/>
  <c r="R33" i="67"/>
  <c r="R252" i="67"/>
  <c r="R244" i="67"/>
  <c r="R236" i="67"/>
  <c r="R228" i="67"/>
  <c r="R220" i="67"/>
  <c r="R212" i="67"/>
  <c r="R204" i="67"/>
  <c r="R196" i="67"/>
  <c r="R188" i="67"/>
  <c r="R180" i="67"/>
  <c r="R172" i="67"/>
  <c r="R164" i="67"/>
  <c r="R156" i="67"/>
  <c r="R148" i="67"/>
  <c r="R140" i="67"/>
  <c r="R132" i="67"/>
  <c r="R124" i="67"/>
  <c r="R116" i="67"/>
  <c r="R108" i="67"/>
  <c r="R100" i="67"/>
  <c r="R92" i="67"/>
  <c r="R84" i="67"/>
  <c r="R76" i="67"/>
  <c r="R68" i="67"/>
  <c r="R60" i="67"/>
  <c r="R52" i="67"/>
  <c r="R44" i="67"/>
  <c r="R36" i="67"/>
  <c r="R28" i="67"/>
  <c r="R20" i="67"/>
  <c r="R12" i="67"/>
  <c r="R25" i="67"/>
  <c r="R17" i="67"/>
  <c r="AB259" i="68"/>
  <c r="AB258" i="68"/>
  <c r="AB257" i="68"/>
  <c r="AB256" i="68"/>
  <c r="AB255" i="68"/>
  <c r="AB254" i="68"/>
  <c r="AB253" i="68"/>
  <c r="AB252" i="68"/>
  <c r="AB251" i="68"/>
  <c r="AB250" i="68"/>
  <c r="AB249" i="68"/>
  <c r="AB248" i="68"/>
  <c r="AB247" i="68"/>
  <c r="AB246" i="68"/>
  <c r="AB245" i="68"/>
  <c r="AB244" i="68"/>
  <c r="AB243" i="68"/>
  <c r="AB242" i="68"/>
  <c r="AB241" i="68"/>
  <c r="AB240" i="68"/>
  <c r="AB239" i="68"/>
  <c r="AB238" i="68"/>
  <c r="AB237" i="68"/>
  <c r="AB236" i="68"/>
  <c r="AB235" i="68"/>
  <c r="AB234" i="68"/>
  <c r="AB233" i="68"/>
  <c r="AB232" i="68"/>
  <c r="AB231" i="68"/>
  <c r="AB230" i="68"/>
  <c r="AB229" i="68"/>
  <c r="AB228" i="68"/>
  <c r="AB227" i="68"/>
  <c r="AB226" i="68"/>
  <c r="AB225" i="68"/>
  <c r="AB224" i="68"/>
  <c r="AB223" i="68"/>
  <c r="AB222" i="68"/>
  <c r="AB221" i="68"/>
  <c r="AB220" i="68"/>
  <c r="AB219" i="68"/>
  <c r="AB218" i="68"/>
  <c r="AB217" i="68"/>
  <c r="AB216" i="68"/>
  <c r="AB215" i="68"/>
  <c r="AB214" i="68"/>
  <c r="AB213" i="68"/>
  <c r="AB212" i="68"/>
  <c r="AB211" i="68"/>
  <c r="AB210" i="68"/>
  <c r="AB209" i="68"/>
  <c r="AB208" i="68"/>
  <c r="AB207" i="68"/>
  <c r="AB206" i="68"/>
  <c r="AB205" i="68"/>
  <c r="AB204" i="68"/>
  <c r="AB203" i="68"/>
  <c r="AB202" i="68"/>
  <c r="AB201" i="68"/>
  <c r="AB200" i="68"/>
  <c r="AB199" i="68"/>
  <c r="AB198" i="68"/>
  <c r="AB197" i="68"/>
  <c r="AB196" i="68"/>
  <c r="AB195" i="68"/>
  <c r="AB194" i="68"/>
  <c r="AB193" i="68"/>
  <c r="AB192" i="68"/>
  <c r="AB191" i="68"/>
  <c r="AB190" i="68"/>
  <c r="AB189" i="68"/>
  <c r="AB188" i="68"/>
  <c r="AB187" i="68"/>
  <c r="AB186" i="68"/>
  <c r="AB185" i="68"/>
  <c r="AB184" i="68"/>
  <c r="AB183" i="68"/>
  <c r="AB182" i="68"/>
  <c r="AB181" i="68"/>
  <c r="AB180" i="68"/>
  <c r="AB179" i="68"/>
  <c r="AB178" i="68"/>
  <c r="AB177" i="68"/>
  <c r="AB176" i="68"/>
  <c r="AB175" i="68"/>
  <c r="AB174" i="68"/>
  <c r="AB173" i="68"/>
  <c r="AB172" i="68"/>
  <c r="AB171" i="68"/>
  <c r="AB170" i="68"/>
  <c r="AB169" i="68"/>
  <c r="AB168" i="68"/>
  <c r="AB167" i="68"/>
  <c r="AB166" i="68"/>
  <c r="AB165" i="68"/>
  <c r="AB164" i="68"/>
  <c r="AB163" i="68"/>
  <c r="AB162" i="68"/>
  <c r="AB161" i="68"/>
  <c r="AB160" i="68"/>
  <c r="AB159" i="68"/>
  <c r="AB158" i="68"/>
  <c r="AB157" i="68"/>
  <c r="AB156" i="68"/>
  <c r="AB155" i="68"/>
  <c r="AB154" i="68"/>
  <c r="AB153" i="68"/>
  <c r="AB152" i="68"/>
  <c r="AB151" i="68"/>
  <c r="AB150" i="68"/>
  <c r="AB149" i="68"/>
  <c r="AB148" i="68"/>
  <c r="AB147" i="68"/>
  <c r="AB146" i="68"/>
  <c r="AB145" i="68"/>
  <c r="AB144" i="68"/>
  <c r="AB143" i="68"/>
  <c r="AB142" i="68"/>
  <c r="AB141" i="68"/>
  <c r="AB140" i="68"/>
  <c r="AB139" i="68"/>
  <c r="AB138" i="68"/>
  <c r="AB137" i="68"/>
  <c r="AB136" i="68"/>
  <c r="AB135" i="68"/>
  <c r="AB134" i="68"/>
  <c r="AB133" i="68"/>
  <c r="AB132" i="68"/>
  <c r="AB131" i="68"/>
  <c r="AB130" i="68"/>
  <c r="AB129" i="68"/>
  <c r="AB128" i="68"/>
  <c r="AB127" i="68"/>
  <c r="AB126" i="68"/>
  <c r="AB125" i="68"/>
  <c r="AB124" i="68"/>
  <c r="AB123" i="68"/>
  <c r="AB122" i="68"/>
  <c r="AB121" i="68"/>
  <c r="AB120" i="68"/>
  <c r="AB119" i="68"/>
  <c r="AB118" i="68"/>
  <c r="AB117" i="68"/>
  <c r="AB116" i="68"/>
  <c r="AB115" i="68"/>
  <c r="AB114" i="68"/>
  <c r="AB113" i="68"/>
  <c r="AB112" i="68"/>
  <c r="AB111" i="68"/>
  <c r="AB110" i="68"/>
  <c r="AB109" i="68"/>
  <c r="AB108" i="68"/>
  <c r="AB107" i="68"/>
  <c r="AB106" i="68"/>
  <c r="AB105" i="68"/>
  <c r="AB104" i="68"/>
  <c r="AB103" i="68"/>
  <c r="AB102" i="68"/>
  <c r="AB101" i="68"/>
  <c r="AB100" i="68"/>
  <c r="AB99" i="68"/>
  <c r="AB98" i="68"/>
  <c r="AB97" i="68"/>
  <c r="AB96" i="68"/>
  <c r="AB95" i="68"/>
  <c r="AB94" i="68"/>
  <c r="AB93" i="68"/>
  <c r="AB92" i="68"/>
  <c r="AB91" i="68"/>
  <c r="AB90" i="68"/>
  <c r="AB89" i="68"/>
  <c r="AB88" i="68"/>
  <c r="AB87" i="68"/>
  <c r="AB86" i="68"/>
  <c r="AB85" i="68"/>
  <c r="AB84" i="68"/>
  <c r="AB83" i="68"/>
  <c r="AB82" i="68"/>
  <c r="AB81" i="68"/>
  <c r="AB80" i="68"/>
  <c r="AB79" i="68"/>
  <c r="AB78" i="68"/>
  <c r="AB77" i="68"/>
  <c r="AB76" i="68"/>
  <c r="AB75" i="68"/>
  <c r="AB74" i="68"/>
  <c r="AB73" i="68"/>
  <c r="AB72" i="68"/>
  <c r="AB71" i="68"/>
  <c r="AB70" i="68"/>
  <c r="AB69" i="68"/>
  <c r="AB68" i="68"/>
  <c r="AB67" i="68"/>
  <c r="AB66" i="68"/>
  <c r="AB65" i="68"/>
  <c r="AB64" i="68"/>
  <c r="AB63" i="68"/>
  <c r="AB62" i="68"/>
  <c r="AB61" i="68"/>
  <c r="AB60" i="68"/>
  <c r="AB59" i="68"/>
  <c r="AB58" i="68"/>
  <c r="AB57" i="68"/>
  <c r="AB56" i="68"/>
  <c r="AB55" i="68"/>
  <c r="AB54" i="68"/>
  <c r="AB53" i="68"/>
  <c r="AB52" i="68"/>
  <c r="AB51" i="68"/>
  <c r="AB50" i="68"/>
  <c r="AB49" i="68"/>
  <c r="AB48" i="68"/>
  <c r="AB47" i="68"/>
  <c r="AB46" i="68"/>
  <c r="AB45" i="68"/>
  <c r="AB44" i="68"/>
  <c r="AB43" i="68"/>
  <c r="AB42" i="68"/>
  <c r="AB41" i="68"/>
  <c r="AB40" i="68"/>
  <c r="AB39" i="68"/>
  <c r="AB38" i="68"/>
  <c r="AB37" i="68"/>
  <c r="AB36" i="68"/>
  <c r="AB35" i="68"/>
  <c r="AB34" i="68"/>
  <c r="AB33" i="68"/>
  <c r="AB32" i="68"/>
  <c r="AB31" i="68"/>
  <c r="AB30" i="68"/>
  <c r="AB29" i="68"/>
  <c r="AB28" i="68"/>
  <c r="AB27" i="68"/>
  <c r="AB26" i="68"/>
  <c r="AB25" i="68"/>
  <c r="AB24" i="68"/>
  <c r="AB23" i="68"/>
  <c r="AB22" i="68"/>
  <c r="AB21" i="68"/>
  <c r="AB20" i="68"/>
  <c r="AB19" i="68"/>
  <c r="AB18" i="68"/>
  <c r="AB17" i="68"/>
  <c r="R256" i="67"/>
  <c r="R248" i="67"/>
  <c r="R240" i="67"/>
  <c r="R232" i="67"/>
  <c r="R224" i="67"/>
  <c r="R216" i="67"/>
  <c r="R208" i="67"/>
  <c r="R200" i="67"/>
  <c r="R192" i="67"/>
  <c r="R184" i="67"/>
  <c r="R176" i="67"/>
  <c r="R168" i="67"/>
  <c r="R160" i="67"/>
  <c r="R152" i="67"/>
  <c r="R144" i="67"/>
  <c r="R136" i="67"/>
  <c r="R128" i="67"/>
  <c r="R120" i="67"/>
  <c r="R112" i="67"/>
  <c r="R104" i="67"/>
  <c r="R96" i="67"/>
  <c r="R88" i="67"/>
  <c r="R80" i="67"/>
  <c r="R72" i="67"/>
  <c r="R64" i="67"/>
  <c r="R56" i="67"/>
  <c r="R48" i="67"/>
  <c r="R40" i="67"/>
  <c r="R32" i="67"/>
  <c r="R24" i="67"/>
  <c r="R16" i="67"/>
  <c r="R174" i="67"/>
  <c r="R166" i="67"/>
  <c r="R158" i="67"/>
  <c r="R150" i="67"/>
  <c r="R142" i="67"/>
  <c r="R134" i="67"/>
  <c r="R126" i="67"/>
  <c r="R118" i="67"/>
  <c r="R110" i="67"/>
  <c r="R102" i="67"/>
  <c r="R94" i="67"/>
  <c r="R86" i="67"/>
  <c r="R78" i="67"/>
  <c r="R70" i="67"/>
  <c r="R62" i="67"/>
  <c r="R54" i="67"/>
  <c r="T169" i="22" s="1"/>
  <c r="D183" i="36" s="1"/>
  <c r="H183" i="36" s="1"/>
  <c r="R46" i="67"/>
  <c r="R38" i="67"/>
  <c r="R30" i="67"/>
  <c r="R22" i="67"/>
  <c r="R14" i="67"/>
  <c r="R238" i="67"/>
  <c r="R214" i="67"/>
  <c r="R198" i="67"/>
  <c r="R190" i="67"/>
  <c r="R182" i="67"/>
  <c r="R253" i="67"/>
  <c r="R245" i="67"/>
  <c r="R237" i="67"/>
  <c r="R229" i="67"/>
  <c r="R221" i="67"/>
  <c r="R213" i="67"/>
  <c r="R205" i="67"/>
  <c r="R197" i="67"/>
  <c r="R189" i="67"/>
  <c r="R181" i="67"/>
  <c r="R173" i="67"/>
  <c r="R165" i="67"/>
  <c r="R157" i="67"/>
  <c r="R149" i="67"/>
  <c r="R141" i="67"/>
  <c r="R133" i="67"/>
  <c r="R125" i="67"/>
  <c r="R117" i="67"/>
  <c r="R109" i="67"/>
  <c r="R101" i="67"/>
  <c r="R93" i="67"/>
  <c r="R85" i="67"/>
  <c r="R77" i="67"/>
  <c r="R69" i="67"/>
  <c r="R61" i="67"/>
  <c r="R53" i="67"/>
  <c r="R45" i="67"/>
  <c r="R37" i="67"/>
  <c r="R29" i="67"/>
  <c r="R21" i="67"/>
  <c r="R246" i="67"/>
  <c r="R222" i="67"/>
  <c r="R254" i="67"/>
  <c r="R230" i="67"/>
  <c r="R206" i="67"/>
  <c r="R11" i="67"/>
  <c r="AB16" i="68"/>
  <c r="AB15" i="68"/>
  <c r="AB14" i="68"/>
  <c r="AB13" i="68"/>
  <c r="R13" i="67"/>
  <c r="L2" i="68"/>
  <c r="AG25" i="57"/>
  <c r="L25" i="57"/>
  <c r="AJ24" i="57"/>
  <c r="AP24" i="57"/>
  <c r="AH24" i="53"/>
  <c r="AT24" i="53"/>
  <c r="AG24" i="53"/>
  <c r="N25" i="57"/>
  <c r="N25" i="53"/>
  <c r="AD24" i="57"/>
  <c r="AD24" i="53"/>
  <c r="AK24" i="52" a="1"/>
  <c r="AK24" i="52" s="1"/>
  <c r="B26" i="53" s="1"/>
  <c r="O26" i="53" s="1"/>
  <c r="K25" i="57"/>
  <c r="J25" i="57"/>
  <c r="E25" i="57"/>
  <c r="P25" i="57"/>
  <c r="H25" i="57"/>
  <c r="F25" i="57"/>
  <c r="D25" i="57"/>
  <c r="G25" i="57"/>
  <c r="C25" i="57"/>
  <c r="M25" i="57" s="1"/>
  <c r="I25" i="57"/>
  <c r="Q24" i="53"/>
  <c r="Q24" i="57"/>
  <c r="T24" i="57" s="1"/>
  <c r="E25" i="53"/>
  <c r="C25" i="53"/>
  <c r="M25" i="53"/>
  <c r="K25" i="53"/>
  <c r="I25" i="53"/>
  <c r="G25" i="53"/>
  <c r="L25" i="53"/>
  <c r="F25" i="53"/>
  <c r="P25" i="53"/>
  <c r="J25" i="53"/>
  <c r="H25" i="53"/>
  <c r="D25" i="53"/>
  <c r="AK24" i="55" a="1"/>
  <c r="AK24" i="55" s="1"/>
  <c r="B26" i="57" s="1"/>
  <c r="O26" i="57" s="1"/>
  <c r="U40" i="65"/>
  <c r="Q40" i="65"/>
  <c r="R40" i="65"/>
  <c r="S40" i="65" s="1"/>
  <c r="U12" i="64"/>
  <c r="L258" i="64"/>
  <c r="O258" i="64" s="1"/>
  <c r="L259" i="64"/>
  <c r="O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I11" i="63"/>
  <c r="I12" i="63"/>
  <c r="I13"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0" i="63"/>
  <c r="F11" i="63"/>
  <c r="G11" i="63" s="1"/>
  <c r="F12" i="63"/>
  <c r="G12" i="63" s="1"/>
  <c r="F13" i="63"/>
  <c r="G13" i="63" s="1"/>
  <c r="F15" i="63"/>
  <c r="G15" i="63" s="1"/>
  <c r="F16" i="63"/>
  <c r="G16" i="63" s="1"/>
  <c r="F17" i="63"/>
  <c r="G17" i="63" s="1"/>
  <c r="F18" i="63"/>
  <c r="G18" i="63" s="1"/>
  <c r="F19" i="63"/>
  <c r="G19" i="63" s="1"/>
  <c r="F20" i="63"/>
  <c r="G20" i="63" s="1"/>
  <c r="F21" i="63"/>
  <c r="G21" i="63" s="1"/>
  <c r="F22" i="63"/>
  <c r="G22" i="63" s="1"/>
  <c r="F23" i="63"/>
  <c r="G23" i="63" s="1"/>
  <c r="F24" i="63"/>
  <c r="G24" i="63" s="1"/>
  <c r="F25" i="63"/>
  <c r="G25" i="63" s="1"/>
  <c r="F26" i="63"/>
  <c r="G26" i="63" s="1"/>
  <c r="F27" i="63"/>
  <c r="G27" i="63" s="1"/>
  <c r="F28" i="63"/>
  <c r="G28" i="63" s="1"/>
  <c r="F29" i="63"/>
  <c r="G29" i="63" s="1"/>
  <c r="F30" i="63"/>
  <c r="G30" i="63" s="1"/>
  <c r="F31" i="63"/>
  <c r="G31" i="63" s="1"/>
  <c r="F32" i="63"/>
  <c r="G32" i="63" s="1"/>
  <c r="F33" i="63"/>
  <c r="G33" i="63" s="1"/>
  <c r="F34" i="63"/>
  <c r="G34" i="63" s="1"/>
  <c r="F35" i="63"/>
  <c r="G35" i="63" s="1"/>
  <c r="V35" i="63" s="1"/>
  <c r="F36" i="63"/>
  <c r="G36" i="63" s="1"/>
  <c r="F37" i="63"/>
  <c r="G37" i="63" s="1"/>
  <c r="V37" i="63" s="1"/>
  <c r="F38" i="63"/>
  <c r="G38" i="63" s="1"/>
  <c r="F39" i="63"/>
  <c r="G39" i="63" s="1"/>
  <c r="V39" i="63" s="1"/>
  <c r="F40" i="63"/>
  <c r="G40" i="63" s="1"/>
  <c r="F41" i="63"/>
  <c r="G41" i="63" s="1"/>
  <c r="F42" i="63"/>
  <c r="G42" i="63" s="1"/>
  <c r="F43" i="63"/>
  <c r="G43" i="63" s="1"/>
  <c r="V43" i="63" s="1"/>
  <c r="F44" i="63"/>
  <c r="G44" i="63" s="1"/>
  <c r="F45" i="63"/>
  <c r="G45" i="63" s="1"/>
  <c r="V45" i="63" s="1"/>
  <c r="F46" i="63"/>
  <c r="G46" i="63" s="1"/>
  <c r="F47" i="63"/>
  <c r="G47" i="63" s="1"/>
  <c r="F48" i="63"/>
  <c r="G48" i="63" s="1"/>
  <c r="F49" i="63"/>
  <c r="G49" i="63" s="1"/>
  <c r="F50" i="63"/>
  <c r="G50" i="63" s="1"/>
  <c r="F51" i="63"/>
  <c r="G51" i="63" s="1"/>
  <c r="V51" i="63" s="1"/>
  <c r="F52" i="63"/>
  <c r="G52" i="63" s="1"/>
  <c r="F53" i="63"/>
  <c r="G53" i="63" s="1"/>
  <c r="V53" i="63" s="1"/>
  <c r="F54" i="63"/>
  <c r="G54" i="63" s="1"/>
  <c r="F55" i="63"/>
  <c r="G55" i="63" s="1"/>
  <c r="V55" i="63" s="1"/>
  <c r="F56" i="63"/>
  <c r="G56" i="63" s="1"/>
  <c r="F57" i="63"/>
  <c r="G57" i="63" s="1"/>
  <c r="F58" i="63"/>
  <c r="G58" i="63" s="1"/>
  <c r="F59" i="63"/>
  <c r="G59" i="63" s="1"/>
  <c r="V59" i="63" s="1"/>
  <c r="F60" i="63"/>
  <c r="G60" i="63" s="1"/>
  <c r="F61" i="63"/>
  <c r="G61" i="63" s="1"/>
  <c r="V61" i="63" s="1"/>
  <c r="F62" i="63"/>
  <c r="G62" i="63" s="1"/>
  <c r="F63" i="63"/>
  <c r="G63" i="63" s="1"/>
  <c r="V63" i="63" s="1"/>
  <c r="F64" i="63"/>
  <c r="G64" i="63" s="1"/>
  <c r="F65" i="63"/>
  <c r="G65" i="63" s="1"/>
  <c r="F66" i="63"/>
  <c r="G66" i="63" s="1"/>
  <c r="F67" i="63"/>
  <c r="G67" i="63" s="1"/>
  <c r="V67" i="63" s="1"/>
  <c r="F68" i="63"/>
  <c r="G68" i="63" s="1"/>
  <c r="F69" i="63"/>
  <c r="G69" i="63" s="1"/>
  <c r="V69" i="63" s="1"/>
  <c r="F70" i="63"/>
  <c r="G70" i="63" s="1"/>
  <c r="F71" i="63"/>
  <c r="G71" i="63" s="1"/>
  <c r="V71" i="63" s="1"/>
  <c r="F72" i="63"/>
  <c r="G72" i="63" s="1"/>
  <c r="F73" i="63"/>
  <c r="G73" i="63" s="1"/>
  <c r="F74" i="63"/>
  <c r="G74" i="63" s="1"/>
  <c r="F75" i="63"/>
  <c r="G75" i="63" s="1"/>
  <c r="V75" i="63" s="1"/>
  <c r="F76" i="63"/>
  <c r="G76" i="63" s="1"/>
  <c r="F77" i="63"/>
  <c r="G77" i="63" s="1"/>
  <c r="V77" i="63" s="1"/>
  <c r="F78" i="63"/>
  <c r="G78" i="63" s="1"/>
  <c r="F79" i="63"/>
  <c r="G79" i="63" s="1"/>
  <c r="V79" i="63" s="1"/>
  <c r="F80" i="63"/>
  <c r="G80" i="63" s="1"/>
  <c r="F81" i="63"/>
  <c r="G81" i="63" s="1"/>
  <c r="F82" i="63"/>
  <c r="G82" i="63" s="1"/>
  <c r="F83" i="63"/>
  <c r="G83" i="63" s="1"/>
  <c r="V83" i="63" s="1"/>
  <c r="F84" i="63"/>
  <c r="G84" i="63" s="1"/>
  <c r="F85" i="63"/>
  <c r="G85" i="63" s="1"/>
  <c r="V85" i="63" s="1"/>
  <c r="F86" i="63"/>
  <c r="G86" i="63" s="1"/>
  <c r="F87" i="63"/>
  <c r="G87" i="63" s="1"/>
  <c r="V87" i="63" s="1"/>
  <c r="F88" i="63"/>
  <c r="G88" i="63" s="1"/>
  <c r="F89" i="63"/>
  <c r="G89" i="63" s="1"/>
  <c r="F90" i="63"/>
  <c r="G90" i="63" s="1"/>
  <c r="F91" i="63"/>
  <c r="G91" i="63" s="1"/>
  <c r="V91" i="63" s="1"/>
  <c r="F92" i="63"/>
  <c r="G92" i="63" s="1"/>
  <c r="F93" i="63"/>
  <c r="G93" i="63" s="1"/>
  <c r="V93" i="63" s="1"/>
  <c r="F94" i="63"/>
  <c r="G94" i="63" s="1"/>
  <c r="F95" i="63"/>
  <c r="G95" i="63" s="1"/>
  <c r="V95" i="63" s="1"/>
  <c r="F96" i="63"/>
  <c r="G96" i="63" s="1"/>
  <c r="F97" i="63"/>
  <c r="G97" i="63" s="1"/>
  <c r="F98" i="63"/>
  <c r="G98" i="63" s="1"/>
  <c r="F99" i="63"/>
  <c r="G99" i="63" s="1"/>
  <c r="V99" i="63" s="1"/>
  <c r="F100" i="63"/>
  <c r="G100" i="63" s="1"/>
  <c r="F101" i="63"/>
  <c r="G101" i="63" s="1"/>
  <c r="V101" i="63" s="1"/>
  <c r="F102" i="63"/>
  <c r="G102" i="63" s="1"/>
  <c r="F103" i="63"/>
  <c r="G103" i="63" s="1"/>
  <c r="V103" i="63" s="1"/>
  <c r="F104" i="63"/>
  <c r="G104" i="63" s="1"/>
  <c r="F105" i="63"/>
  <c r="G105" i="63" s="1"/>
  <c r="F106" i="63"/>
  <c r="G106" i="63" s="1"/>
  <c r="F107" i="63"/>
  <c r="G107" i="63" s="1"/>
  <c r="V107" i="63" s="1"/>
  <c r="F108" i="63"/>
  <c r="G108" i="63" s="1"/>
  <c r="F109" i="63"/>
  <c r="G109" i="63" s="1"/>
  <c r="V109" i="63" s="1"/>
  <c r="F110" i="63"/>
  <c r="G110" i="63" s="1"/>
  <c r="F111" i="63"/>
  <c r="G111" i="63" s="1"/>
  <c r="V111" i="63" s="1"/>
  <c r="F112" i="63"/>
  <c r="G112" i="63" s="1"/>
  <c r="F113" i="63"/>
  <c r="G113" i="63" s="1"/>
  <c r="F114" i="63"/>
  <c r="G114" i="63" s="1"/>
  <c r="F115" i="63"/>
  <c r="G115" i="63" s="1"/>
  <c r="V115" i="63" s="1"/>
  <c r="F116" i="63"/>
  <c r="G116" i="63" s="1"/>
  <c r="F117" i="63"/>
  <c r="G117" i="63" s="1"/>
  <c r="V117" i="63" s="1"/>
  <c r="F118" i="63"/>
  <c r="G118" i="63" s="1"/>
  <c r="F119" i="63"/>
  <c r="G119" i="63" s="1"/>
  <c r="V119" i="63" s="1"/>
  <c r="F120" i="63"/>
  <c r="G120" i="63" s="1"/>
  <c r="F121" i="63"/>
  <c r="G121" i="63" s="1"/>
  <c r="F122" i="63"/>
  <c r="G122" i="63" s="1"/>
  <c r="F123" i="63"/>
  <c r="G123" i="63" s="1"/>
  <c r="V123" i="63" s="1"/>
  <c r="F124" i="63"/>
  <c r="G124" i="63" s="1"/>
  <c r="F125" i="63"/>
  <c r="G125" i="63" s="1"/>
  <c r="V125" i="63" s="1"/>
  <c r="F126" i="63"/>
  <c r="G126" i="63" s="1"/>
  <c r="F127" i="63"/>
  <c r="G127" i="63" s="1"/>
  <c r="V127" i="63" s="1"/>
  <c r="F128" i="63"/>
  <c r="G128" i="63" s="1"/>
  <c r="F129" i="63"/>
  <c r="G129" i="63" s="1"/>
  <c r="F130" i="63"/>
  <c r="G130" i="63" s="1"/>
  <c r="F131" i="63"/>
  <c r="G131" i="63" s="1"/>
  <c r="V131" i="63" s="1"/>
  <c r="F132" i="63"/>
  <c r="G132" i="63" s="1"/>
  <c r="F133" i="63"/>
  <c r="G133" i="63" s="1"/>
  <c r="V133" i="63" s="1"/>
  <c r="F134" i="63"/>
  <c r="G134" i="63" s="1"/>
  <c r="F135" i="63"/>
  <c r="G135" i="63" s="1"/>
  <c r="V135" i="63" s="1"/>
  <c r="F136" i="63"/>
  <c r="G136" i="63" s="1"/>
  <c r="F137" i="63"/>
  <c r="G137" i="63" s="1"/>
  <c r="F138" i="63"/>
  <c r="G138" i="63" s="1"/>
  <c r="F139" i="63"/>
  <c r="G139" i="63" s="1"/>
  <c r="V139" i="63" s="1"/>
  <c r="F140" i="63"/>
  <c r="G140" i="63" s="1"/>
  <c r="F141" i="63"/>
  <c r="G141" i="63" s="1"/>
  <c r="V141" i="63" s="1"/>
  <c r="F142" i="63"/>
  <c r="G142" i="63" s="1"/>
  <c r="F143" i="63"/>
  <c r="G143" i="63" s="1"/>
  <c r="V143" i="63" s="1"/>
  <c r="F144" i="63"/>
  <c r="G144" i="63" s="1"/>
  <c r="F145" i="63"/>
  <c r="G145" i="63" s="1"/>
  <c r="F146" i="63"/>
  <c r="G146" i="63" s="1"/>
  <c r="F147" i="63"/>
  <c r="G147" i="63" s="1"/>
  <c r="V147" i="63" s="1"/>
  <c r="F148" i="63"/>
  <c r="G148" i="63" s="1"/>
  <c r="F149" i="63"/>
  <c r="G149" i="63" s="1"/>
  <c r="V149" i="63" s="1"/>
  <c r="F150" i="63"/>
  <c r="G150" i="63" s="1"/>
  <c r="F151" i="63"/>
  <c r="G151" i="63" s="1"/>
  <c r="V151" i="63" s="1"/>
  <c r="F152" i="63"/>
  <c r="G152" i="63" s="1"/>
  <c r="F153" i="63"/>
  <c r="G153" i="63" s="1"/>
  <c r="F154" i="63"/>
  <c r="G154" i="63" s="1"/>
  <c r="F155" i="63"/>
  <c r="G155" i="63" s="1"/>
  <c r="V155" i="63" s="1"/>
  <c r="F156" i="63"/>
  <c r="G156" i="63" s="1"/>
  <c r="F157" i="63"/>
  <c r="G157" i="63" s="1"/>
  <c r="V157" i="63" s="1"/>
  <c r="F158" i="63"/>
  <c r="G158" i="63" s="1"/>
  <c r="F159" i="63"/>
  <c r="G159" i="63" s="1"/>
  <c r="V159" i="63" s="1"/>
  <c r="F160" i="63"/>
  <c r="G160" i="63" s="1"/>
  <c r="F161" i="63"/>
  <c r="G161" i="63" s="1"/>
  <c r="F162" i="63"/>
  <c r="G162" i="63" s="1"/>
  <c r="F163" i="63"/>
  <c r="G163" i="63" s="1"/>
  <c r="V163" i="63" s="1"/>
  <c r="F164" i="63"/>
  <c r="G164" i="63" s="1"/>
  <c r="F165" i="63"/>
  <c r="G165" i="63" s="1"/>
  <c r="V165" i="63" s="1"/>
  <c r="F166" i="63"/>
  <c r="G166" i="63" s="1"/>
  <c r="F167" i="63"/>
  <c r="G167" i="63" s="1"/>
  <c r="V167" i="63" s="1"/>
  <c r="F168" i="63"/>
  <c r="G168" i="63" s="1"/>
  <c r="F169" i="63"/>
  <c r="G169" i="63" s="1"/>
  <c r="F170" i="63"/>
  <c r="G170" i="63" s="1"/>
  <c r="F171" i="63"/>
  <c r="G171" i="63" s="1"/>
  <c r="V171" i="63" s="1"/>
  <c r="F172" i="63"/>
  <c r="G172" i="63" s="1"/>
  <c r="F173" i="63"/>
  <c r="G173" i="63" s="1"/>
  <c r="V173" i="63" s="1"/>
  <c r="F174" i="63"/>
  <c r="G174" i="63" s="1"/>
  <c r="F175" i="63"/>
  <c r="G175" i="63" s="1"/>
  <c r="V175" i="63" s="1"/>
  <c r="F176" i="63"/>
  <c r="G176" i="63" s="1"/>
  <c r="F177" i="63"/>
  <c r="G177" i="63" s="1"/>
  <c r="F178" i="63"/>
  <c r="G178" i="63" s="1"/>
  <c r="F179" i="63"/>
  <c r="G179" i="63" s="1"/>
  <c r="V179" i="63" s="1"/>
  <c r="F180" i="63"/>
  <c r="G180" i="63" s="1"/>
  <c r="F181" i="63"/>
  <c r="G181" i="63" s="1"/>
  <c r="V181" i="63" s="1"/>
  <c r="F182" i="63"/>
  <c r="G182" i="63" s="1"/>
  <c r="F183" i="63"/>
  <c r="G183" i="63" s="1"/>
  <c r="V183" i="63" s="1"/>
  <c r="F184" i="63"/>
  <c r="G184" i="63" s="1"/>
  <c r="F185" i="63"/>
  <c r="G185" i="63" s="1"/>
  <c r="F186" i="63"/>
  <c r="G186" i="63" s="1"/>
  <c r="F187" i="63"/>
  <c r="G187" i="63" s="1"/>
  <c r="V187" i="63" s="1"/>
  <c r="F188" i="63"/>
  <c r="G188" i="63" s="1"/>
  <c r="F189" i="63"/>
  <c r="G189" i="63" s="1"/>
  <c r="V189" i="63" s="1"/>
  <c r="F190" i="63"/>
  <c r="G190" i="63" s="1"/>
  <c r="F191" i="63"/>
  <c r="G191" i="63" s="1"/>
  <c r="V191" i="63" s="1"/>
  <c r="F192" i="63"/>
  <c r="G192" i="63" s="1"/>
  <c r="F193" i="63"/>
  <c r="G193" i="63" s="1"/>
  <c r="F194" i="63"/>
  <c r="G194" i="63" s="1"/>
  <c r="F195" i="63"/>
  <c r="G195" i="63" s="1"/>
  <c r="V195" i="63" s="1"/>
  <c r="F196" i="63"/>
  <c r="G196" i="63" s="1"/>
  <c r="F197" i="63"/>
  <c r="G197" i="63" s="1"/>
  <c r="V197" i="63" s="1"/>
  <c r="F198" i="63"/>
  <c r="G198" i="63" s="1"/>
  <c r="F199" i="63"/>
  <c r="G199" i="63" s="1"/>
  <c r="V199" i="63" s="1"/>
  <c r="F200" i="63"/>
  <c r="G200" i="63" s="1"/>
  <c r="F201" i="63"/>
  <c r="G201" i="63" s="1"/>
  <c r="F202" i="63"/>
  <c r="G202" i="63" s="1"/>
  <c r="F203" i="63"/>
  <c r="G203" i="63" s="1"/>
  <c r="V203" i="63" s="1"/>
  <c r="F204" i="63"/>
  <c r="G204" i="63" s="1"/>
  <c r="F205" i="63"/>
  <c r="G205" i="63" s="1"/>
  <c r="V205" i="63" s="1"/>
  <c r="F206" i="63"/>
  <c r="G206" i="63" s="1"/>
  <c r="F207" i="63"/>
  <c r="G207" i="63" s="1"/>
  <c r="V207" i="63" s="1"/>
  <c r="F208" i="63"/>
  <c r="G208" i="63" s="1"/>
  <c r="F209" i="63"/>
  <c r="G209" i="63" s="1"/>
  <c r="F210" i="63"/>
  <c r="G210" i="63" s="1"/>
  <c r="F211" i="63"/>
  <c r="G211" i="63" s="1"/>
  <c r="V211" i="63" s="1"/>
  <c r="F212" i="63"/>
  <c r="G212" i="63" s="1"/>
  <c r="F213" i="63"/>
  <c r="G213" i="63" s="1"/>
  <c r="V213" i="63" s="1"/>
  <c r="F214" i="63"/>
  <c r="G214" i="63" s="1"/>
  <c r="F215" i="63"/>
  <c r="G215" i="63" s="1"/>
  <c r="V215" i="63" s="1"/>
  <c r="F216" i="63"/>
  <c r="G216" i="63" s="1"/>
  <c r="F217" i="63"/>
  <c r="G217" i="63" s="1"/>
  <c r="F218" i="63"/>
  <c r="G218" i="63" s="1"/>
  <c r="F219" i="63"/>
  <c r="G219" i="63" s="1"/>
  <c r="V219" i="63" s="1"/>
  <c r="F220" i="63"/>
  <c r="G220" i="63" s="1"/>
  <c r="F221" i="63"/>
  <c r="G221" i="63" s="1"/>
  <c r="V221" i="63" s="1"/>
  <c r="F222" i="63"/>
  <c r="G222" i="63" s="1"/>
  <c r="F223" i="63"/>
  <c r="G223" i="63" s="1"/>
  <c r="V223" i="63" s="1"/>
  <c r="F224" i="63"/>
  <c r="G224" i="63" s="1"/>
  <c r="F225" i="63"/>
  <c r="G225" i="63" s="1"/>
  <c r="F226" i="63"/>
  <c r="G226" i="63" s="1"/>
  <c r="F227" i="63"/>
  <c r="G227" i="63" s="1"/>
  <c r="V227" i="63" s="1"/>
  <c r="F228" i="63"/>
  <c r="G228" i="63" s="1"/>
  <c r="F229" i="63"/>
  <c r="G229" i="63" s="1"/>
  <c r="V229" i="63" s="1"/>
  <c r="F230" i="63"/>
  <c r="G230" i="63" s="1"/>
  <c r="F231" i="63"/>
  <c r="G231" i="63" s="1"/>
  <c r="V231" i="63" s="1"/>
  <c r="F232" i="63"/>
  <c r="G232" i="63" s="1"/>
  <c r="F233" i="63"/>
  <c r="G233" i="63" s="1"/>
  <c r="F234" i="63"/>
  <c r="G234" i="63" s="1"/>
  <c r="F235" i="63"/>
  <c r="G235" i="63" s="1"/>
  <c r="V235" i="63" s="1"/>
  <c r="F236" i="63"/>
  <c r="G236" i="63" s="1"/>
  <c r="F237" i="63"/>
  <c r="G237" i="63" s="1"/>
  <c r="V237" i="63" s="1"/>
  <c r="F238" i="63"/>
  <c r="G238" i="63" s="1"/>
  <c r="F239" i="63"/>
  <c r="G239" i="63" s="1"/>
  <c r="V239" i="63" s="1"/>
  <c r="F240" i="63"/>
  <c r="G240" i="63" s="1"/>
  <c r="F241" i="63"/>
  <c r="G241" i="63" s="1"/>
  <c r="F242" i="63"/>
  <c r="G242" i="63" s="1"/>
  <c r="F243" i="63"/>
  <c r="G243" i="63" s="1"/>
  <c r="V243" i="63" s="1"/>
  <c r="F244" i="63"/>
  <c r="G244" i="63" s="1"/>
  <c r="F245" i="63"/>
  <c r="G245" i="63" s="1"/>
  <c r="V245" i="63" s="1"/>
  <c r="F246" i="63"/>
  <c r="G246" i="63" s="1"/>
  <c r="F247" i="63"/>
  <c r="G247" i="63" s="1"/>
  <c r="V247" i="63" s="1"/>
  <c r="F248" i="63"/>
  <c r="G248" i="63" s="1"/>
  <c r="F249" i="63"/>
  <c r="G249" i="63" s="1"/>
  <c r="F250" i="63"/>
  <c r="G250" i="63" s="1"/>
  <c r="F251" i="63"/>
  <c r="G251" i="63" s="1"/>
  <c r="V251" i="63" s="1"/>
  <c r="F252" i="63"/>
  <c r="G252" i="63" s="1"/>
  <c r="F253" i="63"/>
  <c r="G253" i="63" s="1"/>
  <c r="V253" i="63" s="1"/>
  <c r="F254" i="63"/>
  <c r="G254" i="63" s="1"/>
  <c r="F255" i="63"/>
  <c r="G255" i="63" s="1"/>
  <c r="V255" i="63" s="1"/>
  <c r="F256" i="63"/>
  <c r="G256" i="63" s="1"/>
  <c r="F257" i="63"/>
  <c r="G257" i="63" s="1"/>
  <c r="F10" i="63"/>
  <c r="AJ259" i="69"/>
  <c r="AJ258" i="69"/>
  <c r="B3" i="69"/>
  <c r="B2" i="69"/>
  <c r="D260" i="68"/>
  <c r="U12" i="68"/>
  <c r="B3" i="68"/>
  <c r="B2" i="68"/>
  <c r="U258" i="67"/>
  <c r="T258" i="67"/>
  <c r="E258" i="67"/>
  <c r="AI257" i="67"/>
  <c r="AH257" i="67"/>
  <c r="AI256" i="67"/>
  <c r="AH256" i="67"/>
  <c r="AI255" i="67"/>
  <c r="AH255" i="67"/>
  <c r="AI254" i="67"/>
  <c r="AH254" i="67"/>
  <c r="AI253" i="67"/>
  <c r="AH253" i="67"/>
  <c r="AI252" i="67"/>
  <c r="AH252" i="67"/>
  <c r="AI251" i="67"/>
  <c r="AH251" i="67"/>
  <c r="AI250" i="67"/>
  <c r="AH250" i="67"/>
  <c r="AI249" i="67"/>
  <c r="AH249" i="67"/>
  <c r="AI248" i="67"/>
  <c r="AH248" i="67"/>
  <c r="AI247" i="67"/>
  <c r="AH247" i="67"/>
  <c r="AI246" i="67"/>
  <c r="AH246" i="67"/>
  <c r="AI245" i="67"/>
  <c r="AH245" i="67"/>
  <c r="AI244" i="67"/>
  <c r="AH244" i="67"/>
  <c r="AI243" i="67"/>
  <c r="AH243" i="67"/>
  <c r="AI242" i="67"/>
  <c r="AH242" i="67"/>
  <c r="AI241" i="67"/>
  <c r="AH241" i="67"/>
  <c r="AI240" i="67"/>
  <c r="AH240" i="67"/>
  <c r="AI239" i="67"/>
  <c r="AH239" i="67"/>
  <c r="AI238" i="67"/>
  <c r="AH238" i="67"/>
  <c r="AI237" i="67"/>
  <c r="AH237" i="67"/>
  <c r="AI236" i="67"/>
  <c r="AH236" i="67"/>
  <c r="AI235" i="67"/>
  <c r="AH235" i="67"/>
  <c r="AI234" i="67"/>
  <c r="AH234" i="67"/>
  <c r="AI233" i="67"/>
  <c r="AH233" i="67"/>
  <c r="AI232" i="67"/>
  <c r="AH232" i="67"/>
  <c r="AI231" i="67"/>
  <c r="AH231" i="67"/>
  <c r="AI230" i="67"/>
  <c r="AH230" i="67"/>
  <c r="AI229" i="67"/>
  <c r="AH229" i="67"/>
  <c r="AI228" i="67"/>
  <c r="AH228" i="67"/>
  <c r="AI227" i="67"/>
  <c r="AH227" i="67"/>
  <c r="AI226" i="67"/>
  <c r="AH226" i="67"/>
  <c r="AI225" i="67"/>
  <c r="AH225" i="67"/>
  <c r="AI224" i="67"/>
  <c r="AH224" i="67"/>
  <c r="AI223" i="67"/>
  <c r="AH223" i="67"/>
  <c r="AI222" i="67"/>
  <c r="AH222" i="67"/>
  <c r="AI221" i="67"/>
  <c r="AH221" i="67"/>
  <c r="AI220" i="67"/>
  <c r="AH220" i="67"/>
  <c r="AI219" i="67"/>
  <c r="AH219" i="67"/>
  <c r="AI218" i="67"/>
  <c r="AH218" i="67"/>
  <c r="AI217" i="67"/>
  <c r="AH217" i="67"/>
  <c r="AI216" i="67"/>
  <c r="AH216" i="67"/>
  <c r="AI215" i="67"/>
  <c r="AH215" i="67"/>
  <c r="AI214" i="67"/>
  <c r="AH214" i="67"/>
  <c r="AI213" i="67"/>
  <c r="AH213" i="67"/>
  <c r="AI212" i="67"/>
  <c r="AH212" i="67"/>
  <c r="AI211" i="67"/>
  <c r="AH211" i="67"/>
  <c r="AI210" i="67"/>
  <c r="AH210" i="67"/>
  <c r="AI209" i="67"/>
  <c r="AH209" i="67"/>
  <c r="AI208" i="67"/>
  <c r="AH208" i="67"/>
  <c r="AI207" i="67"/>
  <c r="AH207" i="67"/>
  <c r="AI206" i="67"/>
  <c r="AH206" i="67"/>
  <c r="AI205" i="67"/>
  <c r="AH205" i="67"/>
  <c r="AI204" i="67"/>
  <c r="AH204" i="67"/>
  <c r="AI203" i="67"/>
  <c r="AH203" i="67"/>
  <c r="AI202" i="67"/>
  <c r="AH202" i="67"/>
  <c r="AI201" i="67"/>
  <c r="AH201" i="67"/>
  <c r="AI200" i="67"/>
  <c r="AH200" i="67"/>
  <c r="AI199" i="67"/>
  <c r="AH199" i="67"/>
  <c r="AI198" i="67"/>
  <c r="AH198" i="67"/>
  <c r="AI197" i="67"/>
  <c r="AH197" i="67"/>
  <c r="AI196" i="67"/>
  <c r="AH196" i="67"/>
  <c r="AI195" i="67"/>
  <c r="AH195" i="67"/>
  <c r="AI194" i="67"/>
  <c r="AH194" i="67"/>
  <c r="AI193" i="67"/>
  <c r="AH193" i="67"/>
  <c r="AI192" i="67"/>
  <c r="AH192" i="67"/>
  <c r="AI191" i="67"/>
  <c r="AH191" i="67"/>
  <c r="AI190" i="67"/>
  <c r="AH190" i="67"/>
  <c r="AI189" i="67"/>
  <c r="AH189" i="67"/>
  <c r="AI188" i="67"/>
  <c r="AH188" i="67"/>
  <c r="AI187" i="67"/>
  <c r="AH187" i="67"/>
  <c r="AI186" i="67"/>
  <c r="AH186" i="67"/>
  <c r="AI185" i="67"/>
  <c r="AH185" i="67"/>
  <c r="AI184" i="67"/>
  <c r="AH184" i="67"/>
  <c r="AI183" i="67"/>
  <c r="AH183" i="67"/>
  <c r="AI182" i="67"/>
  <c r="AH182" i="67"/>
  <c r="AI181" i="67"/>
  <c r="AH181" i="67"/>
  <c r="AI180" i="67"/>
  <c r="AH180" i="67"/>
  <c r="AI179" i="67"/>
  <c r="AH179" i="67"/>
  <c r="AI178" i="67"/>
  <c r="AH178" i="67"/>
  <c r="AI177" i="67"/>
  <c r="AH177" i="67"/>
  <c r="AI176" i="67"/>
  <c r="AH176" i="67"/>
  <c r="AI175" i="67"/>
  <c r="AH175" i="67"/>
  <c r="AI174" i="67"/>
  <c r="AH174" i="67"/>
  <c r="AI173" i="67"/>
  <c r="AH173" i="67"/>
  <c r="AI172" i="67"/>
  <c r="AH172" i="67"/>
  <c r="AI171" i="67"/>
  <c r="AH171" i="67"/>
  <c r="AI170" i="67"/>
  <c r="AH170" i="67"/>
  <c r="AI169" i="67"/>
  <c r="AH169" i="67"/>
  <c r="AI168" i="67"/>
  <c r="AH168" i="67"/>
  <c r="AI167" i="67"/>
  <c r="AH167" i="67"/>
  <c r="AI166" i="67"/>
  <c r="AH166" i="67"/>
  <c r="AI165" i="67"/>
  <c r="AH165" i="67"/>
  <c r="AI164" i="67"/>
  <c r="AH164" i="67"/>
  <c r="AI163" i="67"/>
  <c r="AH163" i="67"/>
  <c r="AI162" i="67"/>
  <c r="AH162" i="67"/>
  <c r="AI161" i="67"/>
  <c r="AH161" i="67"/>
  <c r="AI160" i="67"/>
  <c r="AH160" i="67"/>
  <c r="AI159" i="67"/>
  <c r="AH159" i="67"/>
  <c r="AI158" i="67"/>
  <c r="AH158" i="67"/>
  <c r="AI157" i="67"/>
  <c r="AH157" i="67"/>
  <c r="AI156" i="67"/>
  <c r="AH156" i="67"/>
  <c r="AI155" i="67"/>
  <c r="AH155" i="67"/>
  <c r="AI154" i="67"/>
  <c r="AH154" i="67"/>
  <c r="AI153" i="67"/>
  <c r="AH153" i="67"/>
  <c r="AI152" i="67"/>
  <c r="AH152" i="67"/>
  <c r="AI151" i="67"/>
  <c r="AH151" i="67"/>
  <c r="AI150" i="67"/>
  <c r="AH150" i="67"/>
  <c r="AI149" i="67"/>
  <c r="AH149" i="67"/>
  <c r="AI148" i="67"/>
  <c r="AH148" i="67"/>
  <c r="AI147" i="67"/>
  <c r="AH147" i="67"/>
  <c r="AI146" i="67"/>
  <c r="AH146" i="67"/>
  <c r="AI145" i="67"/>
  <c r="AH145" i="67"/>
  <c r="AI144" i="67"/>
  <c r="AH144" i="67"/>
  <c r="AI143" i="67"/>
  <c r="AH143" i="67"/>
  <c r="AI142" i="67"/>
  <c r="AH142" i="67"/>
  <c r="AI141" i="67"/>
  <c r="AH141" i="67"/>
  <c r="AI140" i="67"/>
  <c r="AH140" i="67"/>
  <c r="AI139" i="67"/>
  <c r="AH139" i="67"/>
  <c r="AI138" i="67"/>
  <c r="AH138" i="67"/>
  <c r="AI137" i="67"/>
  <c r="AH137" i="67"/>
  <c r="AI136" i="67"/>
  <c r="AH136" i="67"/>
  <c r="AI135" i="67"/>
  <c r="AH135" i="67"/>
  <c r="AI134" i="67"/>
  <c r="AH134" i="67"/>
  <c r="AI133" i="67"/>
  <c r="AH133" i="67"/>
  <c r="AI132" i="67"/>
  <c r="AH132" i="67"/>
  <c r="AI131" i="67"/>
  <c r="AH131" i="67"/>
  <c r="AI130" i="67"/>
  <c r="AH130" i="67"/>
  <c r="AI129" i="67"/>
  <c r="AH129" i="67"/>
  <c r="AI128" i="67"/>
  <c r="AH128" i="67"/>
  <c r="AI127" i="67"/>
  <c r="AH127" i="67"/>
  <c r="AI126" i="67"/>
  <c r="AH126" i="67"/>
  <c r="AI125" i="67"/>
  <c r="AH125" i="67"/>
  <c r="AI124" i="67"/>
  <c r="AH124" i="67"/>
  <c r="AI123" i="67"/>
  <c r="AH123" i="67"/>
  <c r="AI122" i="67"/>
  <c r="AH122" i="67"/>
  <c r="AI121" i="67"/>
  <c r="AH121" i="67"/>
  <c r="AI120" i="67"/>
  <c r="AH120" i="67"/>
  <c r="AI119" i="67"/>
  <c r="AH119" i="67"/>
  <c r="AI118" i="67"/>
  <c r="AH118" i="67"/>
  <c r="AI117" i="67"/>
  <c r="AH117" i="67"/>
  <c r="AI116" i="67"/>
  <c r="AH116" i="67"/>
  <c r="AI115" i="67"/>
  <c r="AH115" i="67"/>
  <c r="AI114" i="67"/>
  <c r="AH114" i="67"/>
  <c r="AI113" i="67"/>
  <c r="AH113" i="67"/>
  <c r="AI112" i="67"/>
  <c r="AH112" i="67"/>
  <c r="AI111" i="67"/>
  <c r="AH111" i="67"/>
  <c r="AI110" i="67"/>
  <c r="AH110" i="67"/>
  <c r="AI109" i="67"/>
  <c r="AH109" i="67"/>
  <c r="AI108" i="67"/>
  <c r="AH108" i="67"/>
  <c r="AI107" i="67"/>
  <c r="AH107" i="67"/>
  <c r="AI106" i="67"/>
  <c r="AH106" i="67"/>
  <c r="AI105" i="67"/>
  <c r="AH105" i="67"/>
  <c r="AI104" i="67"/>
  <c r="AH104" i="67"/>
  <c r="AI103" i="67"/>
  <c r="AH103" i="67"/>
  <c r="AI102" i="67"/>
  <c r="AH102" i="67"/>
  <c r="AI101" i="67"/>
  <c r="AH101" i="67"/>
  <c r="AI100" i="67"/>
  <c r="AH100" i="67"/>
  <c r="AI99" i="67"/>
  <c r="AH99" i="67"/>
  <c r="AI98" i="67"/>
  <c r="AH98" i="67"/>
  <c r="AI97" i="67"/>
  <c r="AH97" i="67"/>
  <c r="AI96" i="67"/>
  <c r="AH96" i="67"/>
  <c r="AI95" i="67"/>
  <c r="AH95" i="67"/>
  <c r="AI94" i="67"/>
  <c r="AH94" i="67"/>
  <c r="AI93" i="67"/>
  <c r="AH93" i="67"/>
  <c r="AI92" i="67"/>
  <c r="AH92" i="67"/>
  <c r="AI91" i="67"/>
  <c r="AH91" i="67"/>
  <c r="AI90" i="67"/>
  <c r="AH90" i="67"/>
  <c r="AI89" i="67"/>
  <c r="AH89" i="67"/>
  <c r="AI88" i="67"/>
  <c r="AH88" i="67"/>
  <c r="AI87" i="67"/>
  <c r="AH87" i="67"/>
  <c r="AI86" i="67"/>
  <c r="AH86" i="67"/>
  <c r="AI85" i="67"/>
  <c r="AH85" i="67"/>
  <c r="AI84" i="67"/>
  <c r="AH84" i="67"/>
  <c r="AI83" i="67"/>
  <c r="AH83" i="67"/>
  <c r="AI82" i="67"/>
  <c r="AH82" i="67"/>
  <c r="AI81" i="67"/>
  <c r="AH81" i="67"/>
  <c r="AI80" i="67"/>
  <c r="AH80" i="67"/>
  <c r="AI79" i="67"/>
  <c r="AH79" i="67"/>
  <c r="AI78" i="67"/>
  <c r="AH78" i="67"/>
  <c r="AI77" i="67"/>
  <c r="AH77" i="67"/>
  <c r="AI76" i="67"/>
  <c r="AH76" i="67"/>
  <c r="AI75" i="67"/>
  <c r="AH75" i="67"/>
  <c r="AI74" i="67"/>
  <c r="AH74" i="67"/>
  <c r="AI73" i="67"/>
  <c r="AH73" i="67"/>
  <c r="AI72" i="67"/>
  <c r="AH72" i="67"/>
  <c r="AI71" i="67"/>
  <c r="AH71" i="67"/>
  <c r="AI70" i="67"/>
  <c r="AH70" i="67"/>
  <c r="AI69" i="67"/>
  <c r="AH69" i="67"/>
  <c r="AI68" i="67"/>
  <c r="AH68" i="67"/>
  <c r="AI67" i="67"/>
  <c r="AH67" i="67"/>
  <c r="AI66" i="67"/>
  <c r="AH66" i="67"/>
  <c r="AI65" i="67"/>
  <c r="AH65" i="67"/>
  <c r="AI64" i="67"/>
  <c r="AH64" i="67"/>
  <c r="AI63" i="67"/>
  <c r="AH63" i="67"/>
  <c r="AI62" i="67"/>
  <c r="AH62" i="67"/>
  <c r="AI61" i="67"/>
  <c r="AH61" i="67"/>
  <c r="AI60" i="67"/>
  <c r="AH60" i="67"/>
  <c r="AI59" i="67"/>
  <c r="AH59" i="67"/>
  <c r="AI58" i="67"/>
  <c r="AH58" i="67"/>
  <c r="AI57" i="67"/>
  <c r="AH57" i="67"/>
  <c r="AI56" i="67"/>
  <c r="AH56" i="67"/>
  <c r="AI55" i="67"/>
  <c r="AH55" i="67"/>
  <c r="AI54" i="67"/>
  <c r="AH54" i="67"/>
  <c r="AI53" i="67"/>
  <c r="AH53" i="67"/>
  <c r="AI52" i="67"/>
  <c r="AH52" i="67"/>
  <c r="AI51" i="67"/>
  <c r="AH51" i="67"/>
  <c r="AI50" i="67"/>
  <c r="AH50" i="67"/>
  <c r="AI49" i="67"/>
  <c r="AH49" i="67"/>
  <c r="AI48" i="67"/>
  <c r="AH48" i="67"/>
  <c r="AI47" i="67"/>
  <c r="AH47" i="67"/>
  <c r="AI46" i="67"/>
  <c r="AH46" i="67"/>
  <c r="AI45" i="67"/>
  <c r="AH45" i="67"/>
  <c r="AI44" i="67"/>
  <c r="AH44" i="67"/>
  <c r="AI43" i="67"/>
  <c r="AH43" i="67"/>
  <c r="AI42" i="67"/>
  <c r="AH42" i="67"/>
  <c r="AI41" i="67"/>
  <c r="AH41" i="67"/>
  <c r="AI40" i="67"/>
  <c r="AH40" i="67"/>
  <c r="AI39" i="67"/>
  <c r="AH39" i="67"/>
  <c r="AI38" i="67"/>
  <c r="AH38" i="67"/>
  <c r="AI37" i="67"/>
  <c r="AH37" i="67"/>
  <c r="AI36" i="67"/>
  <c r="AH36" i="67"/>
  <c r="AI35" i="67"/>
  <c r="AH35" i="67"/>
  <c r="AI34" i="67"/>
  <c r="AH34" i="67"/>
  <c r="AI33" i="67"/>
  <c r="AH33" i="67"/>
  <c r="AI32" i="67"/>
  <c r="AH32" i="67"/>
  <c r="AI31" i="67"/>
  <c r="AH31" i="67"/>
  <c r="AI30" i="67"/>
  <c r="AH30" i="67"/>
  <c r="AI29" i="67"/>
  <c r="AH29" i="67"/>
  <c r="AI28" i="67"/>
  <c r="AH28" i="67"/>
  <c r="AI27" i="67"/>
  <c r="AH27" i="67"/>
  <c r="AI26" i="67"/>
  <c r="AH26" i="67"/>
  <c r="AI25" i="67"/>
  <c r="AH25" i="67"/>
  <c r="AI24" i="67"/>
  <c r="AH24" i="67"/>
  <c r="AI23" i="67"/>
  <c r="AH23" i="67"/>
  <c r="AI22" i="67"/>
  <c r="AH22" i="67"/>
  <c r="AI21" i="67"/>
  <c r="AH21" i="67"/>
  <c r="AI20" i="67"/>
  <c r="AH20" i="67"/>
  <c r="AI19" i="67"/>
  <c r="AH19" i="67"/>
  <c r="AI18" i="67"/>
  <c r="AH18" i="67"/>
  <c r="AI17" i="67"/>
  <c r="AH17" i="67"/>
  <c r="AI16" i="67"/>
  <c r="AH16" i="67"/>
  <c r="AI15" i="67"/>
  <c r="AH15" i="67"/>
  <c r="AI14" i="67"/>
  <c r="AH14" i="67"/>
  <c r="AI13" i="67"/>
  <c r="AH13" i="67"/>
  <c r="AI12" i="67"/>
  <c r="AH12" i="67"/>
  <c r="AI11" i="67"/>
  <c r="AH11" i="67"/>
  <c r="AI10" i="67"/>
  <c r="AH10" i="67"/>
  <c r="B3" i="67"/>
  <c r="B2" i="67"/>
  <c r="AJ259" i="65"/>
  <c r="B3" i="65"/>
  <c r="B2" i="65"/>
  <c r="D260" i="64"/>
  <c r="B3" i="64"/>
  <c r="B2" i="64"/>
  <c r="U258" i="63"/>
  <c r="T258" i="63"/>
  <c r="E258" i="63"/>
  <c r="AI257" i="63"/>
  <c r="AH257" i="63"/>
  <c r="AI256" i="63"/>
  <c r="AH256" i="63"/>
  <c r="AI255" i="63"/>
  <c r="AH255" i="63"/>
  <c r="AI254" i="63"/>
  <c r="AH254" i="63"/>
  <c r="AI253" i="63"/>
  <c r="AH253" i="63"/>
  <c r="AI252" i="63"/>
  <c r="AH252" i="63"/>
  <c r="AI251" i="63"/>
  <c r="AH251" i="63"/>
  <c r="AI250" i="63"/>
  <c r="AH250" i="63"/>
  <c r="AI249" i="63"/>
  <c r="AH249" i="63"/>
  <c r="AI248" i="63"/>
  <c r="AH248" i="63"/>
  <c r="AI247" i="63"/>
  <c r="AH247" i="63"/>
  <c r="AI246" i="63"/>
  <c r="AH246" i="63"/>
  <c r="AI245" i="63"/>
  <c r="AH245" i="63"/>
  <c r="AI244" i="63"/>
  <c r="AH244" i="63"/>
  <c r="AI243" i="63"/>
  <c r="AH243" i="63"/>
  <c r="AI242" i="63"/>
  <c r="AH242" i="63"/>
  <c r="AI241" i="63"/>
  <c r="AH241" i="63"/>
  <c r="AI240" i="63"/>
  <c r="AH240" i="63"/>
  <c r="AI239" i="63"/>
  <c r="AH239" i="63"/>
  <c r="AI238" i="63"/>
  <c r="AH238" i="63"/>
  <c r="AI237" i="63"/>
  <c r="AH237" i="63"/>
  <c r="AI236" i="63"/>
  <c r="AH236" i="63"/>
  <c r="AI235" i="63"/>
  <c r="AH235" i="63"/>
  <c r="AI234" i="63"/>
  <c r="AH234" i="63"/>
  <c r="AI233" i="63"/>
  <c r="AH233" i="63"/>
  <c r="AI232" i="63"/>
  <c r="AH232" i="63"/>
  <c r="AI231" i="63"/>
  <c r="AH231" i="63"/>
  <c r="AI230" i="63"/>
  <c r="AH230" i="63"/>
  <c r="AI229" i="63"/>
  <c r="AH229" i="63"/>
  <c r="AI228" i="63"/>
  <c r="AH228" i="63"/>
  <c r="AI227" i="63"/>
  <c r="AH227" i="63"/>
  <c r="AI226" i="63"/>
  <c r="AH226" i="63"/>
  <c r="AI225" i="63"/>
  <c r="AH225" i="63"/>
  <c r="AI224" i="63"/>
  <c r="AH224" i="63"/>
  <c r="AI223" i="63"/>
  <c r="AH223" i="63"/>
  <c r="AI222" i="63"/>
  <c r="AH222" i="63"/>
  <c r="AI221" i="63"/>
  <c r="AH221" i="63"/>
  <c r="AI220" i="63"/>
  <c r="AH220" i="63"/>
  <c r="AI219" i="63"/>
  <c r="AH219" i="63"/>
  <c r="AI218" i="63"/>
  <c r="AH218" i="63"/>
  <c r="AI217" i="63"/>
  <c r="AH217" i="63"/>
  <c r="AI216" i="63"/>
  <c r="AH216" i="63"/>
  <c r="AI215" i="63"/>
  <c r="AH215" i="63"/>
  <c r="AI214" i="63"/>
  <c r="AH214" i="63"/>
  <c r="AI213" i="63"/>
  <c r="AH213" i="63"/>
  <c r="AI212" i="63"/>
  <c r="AH212" i="63"/>
  <c r="AI211" i="63"/>
  <c r="AH211" i="63"/>
  <c r="AI210" i="63"/>
  <c r="AH210" i="63"/>
  <c r="AI209" i="63"/>
  <c r="AH209" i="63"/>
  <c r="AI208" i="63"/>
  <c r="AH208" i="63"/>
  <c r="AI207" i="63"/>
  <c r="AH207" i="63"/>
  <c r="AI206" i="63"/>
  <c r="AH206" i="63"/>
  <c r="AI205" i="63"/>
  <c r="AH205" i="63"/>
  <c r="AI204" i="63"/>
  <c r="AH204" i="63"/>
  <c r="AI203" i="63"/>
  <c r="AH203" i="63"/>
  <c r="AI202" i="63"/>
  <c r="AH202" i="63"/>
  <c r="AI201" i="63"/>
  <c r="AH201" i="63"/>
  <c r="AI200" i="63"/>
  <c r="AH200" i="63"/>
  <c r="AI199" i="63"/>
  <c r="AH199" i="63"/>
  <c r="AI198" i="63"/>
  <c r="AH198" i="63"/>
  <c r="AI197" i="63"/>
  <c r="AH197" i="63"/>
  <c r="AI196" i="63"/>
  <c r="AH196" i="63"/>
  <c r="AI195" i="63"/>
  <c r="AH195" i="63"/>
  <c r="AI194" i="63"/>
  <c r="AH194" i="63"/>
  <c r="AI193" i="63"/>
  <c r="AH193" i="63"/>
  <c r="AI192" i="63"/>
  <c r="AH192" i="63"/>
  <c r="AI191" i="63"/>
  <c r="AH191" i="63"/>
  <c r="AI190" i="63"/>
  <c r="AH190" i="63"/>
  <c r="AI189" i="63"/>
  <c r="AH189" i="63"/>
  <c r="AI188" i="63"/>
  <c r="AH188" i="63"/>
  <c r="AI187" i="63"/>
  <c r="AH187" i="63"/>
  <c r="AI186" i="63"/>
  <c r="AH186" i="63"/>
  <c r="AI185" i="63"/>
  <c r="AH185" i="63"/>
  <c r="AI184" i="63"/>
  <c r="AH184" i="63"/>
  <c r="AI183" i="63"/>
  <c r="AH183" i="63"/>
  <c r="AI182" i="63"/>
  <c r="AH182" i="63"/>
  <c r="AI181" i="63"/>
  <c r="AH181" i="63"/>
  <c r="AI180" i="63"/>
  <c r="AH180" i="63"/>
  <c r="AI179" i="63"/>
  <c r="AH179" i="63"/>
  <c r="AI178" i="63"/>
  <c r="AH178" i="63"/>
  <c r="AI177" i="63"/>
  <c r="AH177" i="63"/>
  <c r="AI176" i="63"/>
  <c r="AH176" i="63"/>
  <c r="AI175" i="63"/>
  <c r="AH175" i="63"/>
  <c r="AI174" i="63"/>
  <c r="AH174" i="63"/>
  <c r="AI173" i="63"/>
  <c r="AH173" i="63"/>
  <c r="AI172" i="63"/>
  <c r="AH172" i="63"/>
  <c r="AI171" i="63"/>
  <c r="AH171" i="63"/>
  <c r="AI170" i="63"/>
  <c r="AH170" i="63"/>
  <c r="AI169" i="63"/>
  <c r="AH169" i="63"/>
  <c r="AI168" i="63"/>
  <c r="AH168" i="63"/>
  <c r="AI167" i="63"/>
  <c r="AH167" i="63"/>
  <c r="AI166" i="63"/>
  <c r="AH166" i="63"/>
  <c r="AI165" i="63"/>
  <c r="AH165" i="63"/>
  <c r="AI164" i="63"/>
  <c r="AH164" i="63"/>
  <c r="AI163" i="63"/>
  <c r="AH163" i="63"/>
  <c r="AI162" i="63"/>
  <c r="AH162" i="63"/>
  <c r="AI161" i="63"/>
  <c r="AH161" i="63"/>
  <c r="AI160" i="63"/>
  <c r="AH160" i="63"/>
  <c r="AI159" i="63"/>
  <c r="AH159" i="63"/>
  <c r="AI158" i="63"/>
  <c r="AH158" i="63"/>
  <c r="AI157" i="63"/>
  <c r="AH157" i="63"/>
  <c r="AI156" i="63"/>
  <c r="AH156" i="63"/>
  <c r="AI155" i="63"/>
  <c r="AH155" i="63"/>
  <c r="AI154" i="63"/>
  <c r="AH154" i="63"/>
  <c r="AI153" i="63"/>
  <c r="AH153" i="63"/>
  <c r="AI152" i="63"/>
  <c r="AH152" i="63"/>
  <c r="AI151" i="63"/>
  <c r="AH151" i="63"/>
  <c r="AI150" i="63"/>
  <c r="AH150" i="63"/>
  <c r="AI149" i="63"/>
  <c r="AH149" i="63"/>
  <c r="AI148" i="63"/>
  <c r="AH148" i="63"/>
  <c r="AI147" i="63"/>
  <c r="AH147" i="63"/>
  <c r="AI146" i="63"/>
  <c r="AH146" i="63"/>
  <c r="AI145" i="63"/>
  <c r="AH145" i="63"/>
  <c r="AI144" i="63"/>
  <c r="AH144" i="63"/>
  <c r="AI143" i="63"/>
  <c r="AH143" i="63"/>
  <c r="AI142" i="63"/>
  <c r="AH142" i="63"/>
  <c r="AI141" i="63"/>
  <c r="AH141" i="63"/>
  <c r="AI140" i="63"/>
  <c r="AH140" i="63"/>
  <c r="AI139" i="63"/>
  <c r="AH139" i="63"/>
  <c r="AI138" i="63"/>
  <c r="AH138" i="63"/>
  <c r="AI137" i="63"/>
  <c r="AH137" i="63"/>
  <c r="AI136" i="63"/>
  <c r="AH136" i="63"/>
  <c r="AI135" i="63"/>
  <c r="AH135" i="63"/>
  <c r="AI134" i="63"/>
  <c r="AH134" i="63"/>
  <c r="AI133" i="63"/>
  <c r="AH133" i="63"/>
  <c r="AI132" i="63"/>
  <c r="AH132" i="63"/>
  <c r="AI131" i="63"/>
  <c r="AH131" i="63"/>
  <c r="AI130" i="63"/>
  <c r="AH130" i="63"/>
  <c r="AI129" i="63"/>
  <c r="AH129" i="63"/>
  <c r="AI128" i="63"/>
  <c r="AH128" i="63"/>
  <c r="AI127" i="63"/>
  <c r="AH127" i="63"/>
  <c r="AI126" i="63"/>
  <c r="AH126" i="63"/>
  <c r="AI125" i="63"/>
  <c r="AH125" i="63"/>
  <c r="AI124" i="63"/>
  <c r="AH124" i="63"/>
  <c r="AI123" i="63"/>
  <c r="AH123" i="63"/>
  <c r="AI122" i="63"/>
  <c r="AH122" i="63"/>
  <c r="AI121" i="63"/>
  <c r="AH121" i="63"/>
  <c r="AI120" i="63"/>
  <c r="AH120" i="63"/>
  <c r="AI119" i="63"/>
  <c r="AH119" i="63"/>
  <c r="AI118" i="63"/>
  <c r="AH118" i="63"/>
  <c r="AI117" i="63"/>
  <c r="AH117" i="63"/>
  <c r="AI116" i="63"/>
  <c r="AH116" i="63"/>
  <c r="AI115" i="63"/>
  <c r="AH115" i="63"/>
  <c r="AI114" i="63"/>
  <c r="AH114" i="63"/>
  <c r="AI113" i="63"/>
  <c r="AH113" i="63"/>
  <c r="AI112" i="63"/>
  <c r="AH112" i="63"/>
  <c r="AI111" i="63"/>
  <c r="AH111" i="63"/>
  <c r="AI110" i="63"/>
  <c r="AH110" i="63"/>
  <c r="AI109" i="63"/>
  <c r="AH109" i="63"/>
  <c r="AI108" i="63"/>
  <c r="AH108" i="63"/>
  <c r="AI107" i="63"/>
  <c r="AH107" i="63"/>
  <c r="AI106" i="63"/>
  <c r="AH106" i="63"/>
  <c r="AI105" i="63"/>
  <c r="AH105" i="63"/>
  <c r="AI104" i="63"/>
  <c r="AH104" i="63"/>
  <c r="AI103" i="63"/>
  <c r="AH103" i="63"/>
  <c r="AI102" i="63"/>
  <c r="AH102" i="63"/>
  <c r="AI101" i="63"/>
  <c r="AH101" i="63"/>
  <c r="AI100" i="63"/>
  <c r="AH100" i="63"/>
  <c r="AI99" i="63"/>
  <c r="AH99" i="63"/>
  <c r="AI98" i="63"/>
  <c r="AH98" i="63"/>
  <c r="AI97" i="63"/>
  <c r="AH97" i="63"/>
  <c r="AI96" i="63"/>
  <c r="AH96" i="63"/>
  <c r="AI95" i="63"/>
  <c r="AH95" i="63"/>
  <c r="AI94" i="63"/>
  <c r="AH94" i="63"/>
  <c r="AI93" i="63"/>
  <c r="AH93" i="63"/>
  <c r="AI92" i="63"/>
  <c r="AH92" i="63"/>
  <c r="AI91" i="63"/>
  <c r="AH91" i="63"/>
  <c r="AI90" i="63"/>
  <c r="AH90" i="63"/>
  <c r="AI89" i="63"/>
  <c r="AH89" i="63"/>
  <c r="AI88" i="63"/>
  <c r="AH88" i="63"/>
  <c r="AI87" i="63"/>
  <c r="AH87" i="63"/>
  <c r="AI86" i="63"/>
  <c r="AH86" i="63"/>
  <c r="AI85" i="63"/>
  <c r="AH85" i="63"/>
  <c r="AI84" i="63"/>
  <c r="AH84" i="63"/>
  <c r="AI83" i="63"/>
  <c r="AH83" i="63"/>
  <c r="AI82" i="63"/>
  <c r="AH82" i="63"/>
  <c r="AI81" i="63"/>
  <c r="AH81" i="63"/>
  <c r="AI80" i="63"/>
  <c r="AH80" i="63"/>
  <c r="AI79" i="63"/>
  <c r="AH79" i="63"/>
  <c r="AI78" i="63"/>
  <c r="AH78" i="63"/>
  <c r="AI77" i="63"/>
  <c r="AH77" i="63"/>
  <c r="AI76" i="63"/>
  <c r="AH76" i="63"/>
  <c r="AI75" i="63"/>
  <c r="AH75" i="63"/>
  <c r="AI74" i="63"/>
  <c r="AH74" i="63"/>
  <c r="AI73" i="63"/>
  <c r="AH73" i="63"/>
  <c r="AI72" i="63"/>
  <c r="AH72" i="63"/>
  <c r="AI71" i="63"/>
  <c r="AH71" i="63"/>
  <c r="AI70" i="63"/>
  <c r="AH70" i="63"/>
  <c r="AI69" i="63"/>
  <c r="AH69" i="63"/>
  <c r="AI68" i="63"/>
  <c r="AH68" i="63"/>
  <c r="AI67" i="63"/>
  <c r="AH67" i="63"/>
  <c r="AI66" i="63"/>
  <c r="AH66" i="63"/>
  <c r="AI65" i="63"/>
  <c r="AH65" i="63"/>
  <c r="AI64" i="63"/>
  <c r="AH64" i="63"/>
  <c r="AI63" i="63"/>
  <c r="AH63" i="63"/>
  <c r="AI62" i="63"/>
  <c r="AH62" i="63"/>
  <c r="AI61" i="63"/>
  <c r="AH61" i="63"/>
  <c r="AI60" i="63"/>
  <c r="AH60" i="63"/>
  <c r="AI59" i="63"/>
  <c r="AH59" i="63"/>
  <c r="AI58" i="63"/>
  <c r="AH58" i="63"/>
  <c r="AI57" i="63"/>
  <c r="AH57" i="63"/>
  <c r="AI56" i="63"/>
  <c r="AH56" i="63"/>
  <c r="AI55" i="63"/>
  <c r="AH55" i="63"/>
  <c r="AI54" i="63"/>
  <c r="AH54" i="63"/>
  <c r="AI53" i="63"/>
  <c r="AH53" i="63"/>
  <c r="AI52" i="63"/>
  <c r="AH52" i="63"/>
  <c r="AI51" i="63"/>
  <c r="AH51" i="63"/>
  <c r="AI50" i="63"/>
  <c r="AH50" i="63"/>
  <c r="AI49" i="63"/>
  <c r="AH49" i="63"/>
  <c r="AI48" i="63"/>
  <c r="AH48" i="63"/>
  <c r="AI47" i="63"/>
  <c r="AH47" i="63"/>
  <c r="AI46" i="63"/>
  <c r="AH46" i="63"/>
  <c r="AI45" i="63"/>
  <c r="AH45" i="63"/>
  <c r="AI44" i="63"/>
  <c r="AH44" i="63"/>
  <c r="AI43" i="63"/>
  <c r="AH43" i="63"/>
  <c r="AI42" i="63"/>
  <c r="AH42" i="63"/>
  <c r="AI41" i="63"/>
  <c r="AH41" i="63"/>
  <c r="AI40" i="63"/>
  <c r="AH40" i="63"/>
  <c r="AI39" i="63"/>
  <c r="AH39" i="63"/>
  <c r="AI38" i="63"/>
  <c r="AH38" i="63"/>
  <c r="AI37" i="63"/>
  <c r="AH37" i="63"/>
  <c r="AI36" i="63"/>
  <c r="AH36" i="63"/>
  <c r="AI35" i="63"/>
  <c r="AH35" i="63"/>
  <c r="AI34" i="63"/>
  <c r="AH34" i="63"/>
  <c r="AI33" i="63"/>
  <c r="AH33" i="63"/>
  <c r="AI32" i="63"/>
  <c r="AH32" i="63"/>
  <c r="AI31" i="63"/>
  <c r="AH31" i="63"/>
  <c r="AI30" i="63"/>
  <c r="AH30" i="63"/>
  <c r="AI29" i="63"/>
  <c r="AH29" i="63"/>
  <c r="AI28" i="63"/>
  <c r="AH28" i="63"/>
  <c r="AI27" i="63"/>
  <c r="AH27" i="63"/>
  <c r="AI26" i="63"/>
  <c r="AH26" i="63"/>
  <c r="AI25" i="63"/>
  <c r="AH25" i="63"/>
  <c r="AI24" i="63"/>
  <c r="AH24" i="63"/>
  <c r="AI23" i="63"/>
  <c r="AH23" i="63"/>
  <c r="AI22" i="63"/>
  <c r="AH22" i="63"/>
  <c r="AI21" i="63"/>
  <c r="AH21" i="63"/>
  <c r="AI20" i="63"/>
  <c r="AH20" i="63"/>
  <c r="AI19" i="63"/>
  <c r="AH19" i="63"/>
  <c r="AI18" i="63"/>
  <c r="AH18" i="63"/>
  <c r="AI17" i="63"/>
  <c r="AH17" i="63"/>
  <c r="AI16" i="63"/>
  <c r="AH16" i="63"/>
  <c r="AI15" i="63"/>
  <c r="AH15" i="63"/>
  <c r="AI13" i="63"/>
  <c r="AH13" i="63"/>
  <c r="AI12" i="63"/>
  <c r="AH12" i="63"/>
  <c r="AI11" i="63"/>
  <c r="AH11" i="63"/>
  <c r="AI10" i="63"/>
  <c r="AH10" i="63"/>
  <c r="B3" i="63"/>
  <c r="B2" i="63"/>
  <c r="AB22" i="57" l="1"/>
  <c r="AA22" i="57"/>
  <c r="V254" i="63"/>
  <c r="V250" i="63"/>
  <c r="V246" i="63"/>
  <c r="V242" i="63"/>
  <c r="V238" i="63"/>
  <c r="V234" i="63"/>
  <c r="V230" i="63"/>
  <c r="V226" i="63"/>
  <c r="V222" i="63"/>
  <c r="V218" i="63"/>
  <c r="V214" i="63"/>
  <c r="V210" i="63"/>
  <c r="V206" i="63"/>
  <c r="V202" i="63"/>
  <c r="V198" i="63"/>
  <c r="V194" i="63"/>
  <c r="V190" i="63"/>
  <c r="V186" i="63"/>
  <c r="V182" i="63"/>
  <c r="V178" i="63"/>
  <c r="V174" i="63"/>
  <c r="V170" i="63"/>
  <c r="V166" i="63"/>
  <c r="V162" i="63"/>
  <c r="V158" i="63"/>
  <c r="V154" i="63"/>
  <c r="V150" i="63"/>
  <c r="V146" i="63"/>
  <c r="V142" i="63"/>
  <c r="V138" i="63"/>
  <c r="V134" i="63"/>
  <c r="V130" i="63"/>
  <c r="V126" i="63"/>
  <c r="V122" i="63"/>
  <c r="V118" i="63"/>
  <c r="V114" i="63"/>
  <c r="V110" i="63"/>
  <c r="V106" i="63"/>
  <c r="V102" i="63"/>
  <c r="V98" i="63"/>
  <c r="V94" i="63"/>
  <c r="V90" i="63"/>
  <c r="V86" i="63"/>
  <c r="V82" i="63"/>
  <c r="V78" i="63"/>
  <c r="V74" i="63"/>
  <c r="V70" i="63"/>
  <c r="V66" i="63"/>
  <c r="V62" i="63"/>
  <c r="V58" i="63"/>
  <c r="V54" i="63"/>
  <c r="V50" i="63"/>
  <c r="V46" i="63"/>
  <c r="V42" i="63"/>
  <c r="V34" i="63"/>
  <c r="V252" i="63"/>
  <c r="V244" i="63"/>
  <c r="V240" i="63"/>
  <c r="V236" i="63"/>
  <c r="V232" i="63"/>
  <c r="V228" i="63"/>
  <c r="V224" i="63"/>
  <c r="V220" i="63"/>
  <c r="V216" i="63"/>
  <c r="V212" i="63"/>
  <c r="V208" i="63"/>
  <c r="V204" i="63"/>
  <c r="V200" i="63"/>
  <c r="V196" i="63"/>
  <c r="V192" i="63"/>
  <c r="V188" i="63"/>
  <c r="V184" i="63"/>
  <c r="V180" i="63"/>
  <c r="V176" i="63"/>
  <c r="V172" i="63"/>
  <c r="V168" i="63"/>
  <c r="V164" i="63"/>
  <c r="V160" i="63"/>
  <c r="V156" i="63"/>
  <c r="V152" i="63"/>
  <c r="V148" i="63"/>
  <c r="V144" i="63"/>
  <c r="V140" i="63"/>
  <c r="V136" i="63"/>
  <c r="V132" i="63"/>
  <c r="V128" i="63"/>
  <c r="V124" i="63"/>
  <c r="V120" i="63"/>
  <c r="V116" i="63"/>
  <c r="V112" i="63"/>
  <c r="V108" i="63"/>
  <c r="V104" i="63"/>
  <c r="V100" i="63"/>
  <c r="V96" i="63"/>
  <c r="V92" i="63"/>
  <c r="V88" i="63"/>
  <c r="V84" i="63"/>
  <c r="V80" i="63"/>
  <c r="V76" i="63"/>
  <c r="V72" i="63"/>
  <c r="V68" i="63"/>
  <c r="V64" i="63"/>
  <c r="V60" i="63"/>
  <c r="V56" i="63"/>
  <c r="V52" i="63"/>
  <c r="V48" i="63"/>
  <c r="V44" i="63"/>
  <c r="V40" i="63"/>
  <c r="V36" i="63"/>
  <c r="Q44" i="64"/>
  <c r="S44" i="64"/>
  <c r="T44" i="64" s="1"/>
  <c r="V169" i="22"/>
  <c r="Y54" i="67"/>
  <c r="Q13" i="64"/>
  <c r="S13" i="64"/>
  <c r="T13" i="64" s="1"/>
  <c r="V32" i="63"/>
  <c r="W32" i="63"/>
  <c r="R32" i="63"/>
  <c r="V31" i="63"/>
  <c r="W31" i="63"/>
  <c r="R31" i="63"/>
  <c r="V30" i="63"/>
  <c r="W30" i="63"/>
  <c r="R30" i="63"/>
  <c r="V29" i="63"/>
  <c r="W29" i="63"/>
  <c r="R29" i="63"/>
  <c r="V28" i="63"/>
  <c r="W28" i="63"/>
  <c r="R28" i="63"/>
  <c r="V27" i="63"/>
  <c r="W27" i="63"/>
  <c r="R27" i="63"/>
  <c r="V26" i="63"/>
  <c r="W26" i="63"/>
  <c r="R26" i="63"/>
  <c r="W25" i="63"/>
  <c r="R25" i="63"/>
  <c r="V24" i="63"/>
  <c r="W24" i="63"/>
  <c r="R24" i="63"/>
  <c r="V23" i="63"/>
  <c r="W23" i="63"/>
  <c r="R23" i="63"/>
  <c r="V22" i="63"/>
  <c r="W22" i="63"/>
  <c r="R22" i="63"/>
  <c r="V21" i="63"/>
  <c r="W21" i="63"/>
  <c r="R21" i="63"/>
  <c r="V20" i="63"/>
  <c r="W20" i="63"/>
  <c r="R20" i="63"/>
  <c r="V19" i="63"/>
  <c r="W19" i="63"/>
  <c r="R19" i="63"/>
  <c r="V18" i="63"/>
  <c r="W18" i="63"/>
  <c r="R18" i="63"/>
  <c r="W17" i="63"/>
  <c r="R17" i="63"/>
  <c r="V16" i="63"/>
  <c r="W16" i="63"/>
  <c r="R16" i="63"/>
  <c r="V256" i="63"/>
  <c r="W256" i="63"/>
  <c r="R256" i="63"/>
  <c r="V47" i="63"/>
  <c r="W47" i="63"/>
  <c r="R47" i="63"/>
  <c r="V38" i="63"/>
  <c r="W38" i="63"/>
  <c r="R38" i="63"/>
  <c r="P259" i="64"/>
  <c r="Q259" i="64" s="1"/>
  <c r="T259" i="64"/>
  <c r="P258" i="64"/>
  <c r="Q258" i="64" s="1"/>
  <c r="T258" i="64"/>
  <c r="S12" i="64"/>
  <c r="T12" i="64" s="1"/>
  <c r="Q12" i="64"/>
  <c r="V15" i="63"/>
  <c r="W15" i="63"/>
  <c r="R15" i="63"/>
  <c r="Y10" i="67"/>
  <c r="T171" i="22"/>
  <c r="D185" i="36" s="1"/>
  <c r="H185" i="36" s="1"/>
  <c r="T168" i="22"/>
  <c r="D182" i="36" s="1"/>
  <c r="H182" i="36" s="1"/>
  <c r="V171" i="22"/>
  <c r="V168" i="22"/>
  <c r="V13" i="63"/>
  <c r="W13" i="63"/>
  <c r="V12" i="63"/>
  <c r="W12" i="63"/>
  <c r="V11" i="63"/>
  <c r="AE22" i="57"/>
  <c r="AF22" i="57" s="1"/>
  <c r="X23" i="57"/>
  <c r="AA21" i="53"/>
  <c r="AE21" i="53" s="1"/>
  <c r="AF21" i="53" s="1"/>
  <c r="AB21" i="53"/>
  <c r="X24" i="57"/>
  <c r="AA24" i="57" s="1"/>
  <c r="AB24" i="53"/>
  <c r="AA24" i="53"/>
  <c r="AF24" i="53"/>
  <c r="AE25" i="53"/>
  <c r="AC25" i="53"/>
  <c r="AE25" i="57"/>
  <c r="AC25" i="57"/>
  <c r="V248" i="63"/>
  <c r="W248" i="63"/>
  <c r="R248" i="63"/>
  <c r="H24" i="36"/>
  <c r="V257" i="63"/>
  <c r="V249" i="63"/>
  <c r="V241" i="63"/>
  <c r="V233" i="63"/>
  <c r="V225" i="63"/>
  <c r="V217" i="63"/>
  <c r="V209" i="63"/>
  <c r="V201" i="63"/>
  <c r="V193" i="63"/>
  <c r="V185" i="63"/>
  <c r="V177" i="63"/>
  <c r="V169" i="63"/>
  <c r="V161" i="63"/>
  <c r="V153" i="63"/>
  <c r="V145" i="63"/>
  <c r="V137" i="63"/>
  <c r="V129" i="63"/>
  <c r="V121" i="63"/>
  <c r="V113" i="63"/>
  <c r="V105" i="63"/>
  <c r="V97" i="63"/>
  <c r="V89" i="63"/>
  <c r="V81" i="63"/>
  <c r="V73" i="63"/>
  <c r="V65" i="63"/>
  <c r="V57" i="63"/>
  <c r="V49" i="63"/>
  <c r="V41" i="63"/>
  <c r="V33" i="63"/>
  <c r="V25" i="63"/>
  <c r="V17" i="63"/>
  <c r="Y17" i="63" s="1"/>
  <c r="R25" i="57"/>
  <c r="R25" i="53"/>
  <c r="X25" i="53" s="1"/>
  <c r="R13" i="63"/>
  <c r="W11" i="63"/>
  <c r="H27" i="36"/>
  <c r="R12" i="63"/>
  <c r="R11" i="63"/>
  <c r="G10" i="63"/>
  <c r="H21" i="36"/>
  <c r="AB12" i="68"/>
  <c r="X169" i="22" s="1"/>
  <c r="AG26" i="57"/>
  <c r="L26" i="57"/>
  <c r="AJ25" i="57"/>
  <c r="AP25" i="57"/>
  <c r="AG25" i="53"/>
  <c r="AH25" i="53"/>
  <c r="AT25" i="53"/>
  <c r="N26" i="57"/>
  <c r="N26" i="53"/>
  <c r="AD25" i="57"/>
  <c r="AD25" i="53"/>
  <c r="Q25" i="53"/>
  <c r="Q25" i="57"/>
  <c r="T25" i="57" s="1"/>
  <c r="AK25" i="52" a="1"/>
  <c r="AK25" i="52" s="1"/>
  <c r="B27" i="53" s="1"/>
  <c r="O27" i="53" s="1"/>
  <c r="G26" i="57"/>
  <c r="E26" i="57"/>
  <c r="P26" i="57"/>
  <c r="D26" i="57"/>
  <c r="C26" i="57"/>
  <c r="M26" i="57" s="1"/>
  <c r="K26" i="57"/>
  <c r="I26" i="57"/>
  <c r="H26" i="57"/>
  <c r="F26" i="57"/>
  <c r="J26" i="57"/>
  <c r="P26" i="53"/>
  <c r="L26" i="53"/>
  <c r="H26" i="53"/>
  <c r="D26" i="53"/>
  <c r="F26" i="53"/>
  <c r="I26" i="53"/>
  <c r="E26" i="53"/>
  <c r="K26" i="53"/>
  <c r="J26" i="53"/>
  <c r="M26" i="53"/>
  <c r="G26" i="53"/>
  <c r="C26" i="53"/>
  <c r="AK25" i="55" a="1"/>
  <c r="AK25" i="55" s="1"/>
  <c r="B27" i="57" s="1"/>
  <c r="O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Z16" i="64" s="1"/>
  <c r="AM10" i="67" a="1"/>
  <c r="AM10" i="67" s="1"/>
  <c r="AM11" i="67" s="1" a="1"/>
  <c r="AM11" i="67" s="1"/>
  <c r="AM12" i="67" s="1" a="1"/>
  <c r="AM12" i="67" s="1"/>
  <c r="AN10" i="67" a="1"/>
  <c r="AN10" i="67" s="1"/>
  <c r="X258" i="67"/>
  <c r="AE23" i="57" l="1"/>
  <c r="AF23" i="57" s="1"/>
  <c r="AA23" i="57"/>
  <c r="L3" i="64"/>
  <c r="Z44" i="64"/>
  <c r="Y31" i="63"/>
  <c r="Y18" i="63"/>
  <c r="Y28" i="63"/>
  <c r="Y27" i="63"/>
  <c r="Y25" i="63"/>
  <c r="Y24" i="63"/>
  <c r="Y21" i="63"/>
  <c r="Y20" i="63"/>
  <c r="Y30" i="63"/>
  <c r="Y32" i="63"/>
  <c r="Y16" i="63"/>
  <c r="Y19" i="63"/>
  <c r="Y22" i="63"/>
  <c r="Y23" i="63"/>
  <c r="Y26" i="63"/>
  <c r="Y29" i="63"/>
  <c r="Y256" i="63"/>
  <c r="Y47" i="63"/>
  <c r="Y38" i="63"/>
  <c r="Y15" i="63"/>
  <c r="AB260" i="68"/>
  <c r="X168" i="22"/>
  <c r="Y13" i="63"/>
  <c r="Y12" i="63"/>
  <c r="Y11" i="63"/>
  <c r="AB23" i="57"/>
  <c r="X25" i="57"/>
  <c r="AA25" i="57" s="1"/>
  <c r="AB24" i="57"/>
  <c r="AF24" i="57"/>
  <c r="AA25" i="53"/>
  <c r="AB25" i="53"/>
  <c r="AE26" i="53"/>
  <c r="AC26" i="53"/>
  <c r="AF25" i="53"/>
  <c r="AE26" i="57"/>
  <c r="AC26" i="57"/>
  <c r="R26" i="57"/>
  <c r="R26" i="53"/>
  <c r="X26" i="53" s="1"/>
  <c r="R10" i="63"/>
  <c r="V10" i="63"/>
  <c r="W10" i="63"/>
  <c r="Z15" i="64"/>
  <c r="Z14" i="64"/>
  <c r="Z13" i="64"/>
  <c r="Z12" i="64"/>
  <c r="L171" i="22" s="1"/>
  <c r="AG27" i="57"/>
  <c r="L27" i="57"/>
  <c r="AJ26" i="57"/>
  <c r="AP26" i="57"/>
  <c r="AH26" i="53"/>
  <c r="AT26" i="53"/>
  <c r="AG26" i="53"/>
  <c r="N27" i="57"/>
  <c r="N27" i="53"/>
  <c r="AD26" i="57"/>
  <c r="AD26" i="53"/>
  <c r="AK26" i="52" a="1"/>
  <c r="AK26" i="52" s="1"/>
  <c r="B28" i="53" s="1"/>
  <c r="O28" i="53" s="1"/>
  <c r="Q26" i="53"/>
  <c r="H27" i="53"/>
  <c r="G27" i="53"/>
  <c r="P27" i="53"/>
  <c r="E27" i="53"/>
  <c r="D27" i="53"/>
  <c r="M27" i="53"/>
  <c r="C27" i="53"/>
  <c r="L27" i="53"/>
  <c r="K27" i="53"/>
  <c r="I27" i="53"/>
  <c r="F27" i="53"/>
  <c r="J27" i="53"/>
  <c r="I27" i="57"/>
  <c r="F27" i="57"/>
  <c r="E27" i="57"/>
  <c r="C27" i="57"/>
  <c r="M27" i="57" s="1"/>
  <c r="K27" i="57"/>
  <c r="J27" i="57"/>
  <c r="P27" i="57"/>
  <c r="H27" i="57"/>
  <c r="D27" i="57"/>
  <c r="G27" i="57"/>
  <c r="Q26" i="57"/>
  <c r="T26" i="57" s="1"/>
  <c r="AK26" i="55" a="1"/>
  <c r="AK26" i="55" s="1"/>
  <c r="B28" i="57" s="1"/>
  <c r="O28" i="57" s="1"/>
  <c r="AN11" i="67" a="1"/>
  <c r="AN11" i="67" s="1"/>
  <c r="B12" i="69"/>
  <c r="R258" i="67"/>
  <c r="H22" i="73" s="1"/>
  <c r="V258" i="67"/>
  <c r="AM13" i="67" a="1"/>
  <c r="AM13" i="67" s="1"/>
  <c r="W258" i="67"/>
  <c r="L169" i="22" l="1"/>
  <c r="Y10" i="63"/>
  <c r="Y258" i="67"/>
  <c r="L12" i="69"/>
  <c r="O12" i="69"/>
  <c r="AB25" i="57"/>
  <c r="AF25" i="57"/>
  <c r="AB26" i="53"/>
  <c r="AA26" i="53"/>
  <c r="AF26" i="53"/>
  <c r="AE27" i="53"/>
  <c r="AC27" i="53"/>
  <c r="X26" i="57"/>
  <c r="AA26" i="57" s="1"/>
  <c r="AE27" i="57"/>
  <c r="AC27" i="57"/>
  <c r="L168" i="22"/>
  <c r="L172" i="22"/>
  <c r="R27" i="57"/>
  <c r="R27" i="53"/>
  <c r="X27" i="53" s="1"/>
  <c r="Z260" i="64"/>
  <c r="AG28" i="57"/>
  <c r="L28" i="57"/>
  <c r="AJ27" i="57"/>
  <c r="AP27" i="57"/>
  <c r="AG27" i="53"/>
  <c r="AH27" i="53"/>
  <c r="AT27" i="53"/>
  <c r="N28" i="57"/>
  <c r="P28" i="53"/>
  <c r="N28" i="53"/>
  <c r="AD27" i="57"/>
  <c r="AD27" i="53"/>
  <c r="F28" i="53"/>
  <c r="K28" i="53"/>
  <c r="E28" i="53"/>
  <c r="I28" i="53"/>
  <c r="M28" i="53"/>
  <c r="J28" i="53"/>
  <c r="G28" i="53"/>
  <c r="AK27" i="52" a="1"/>
  <c r="AK27" i="52" s="1"/>
  <c r="B29" i="53" s="1"/>
  <c r="O29" i="53" s="1"/>
  <c r="C28" i="53"/>
  <c r="H28" i="53"/>
  <c r="D28" i="53"/>
  <c r="L28" i="53"/>
  <c r="Q27" i="57"/>
  <c r="T27" i="57" s="1"/>
  <c r="Q27" i="53"/>
  <c r="I28" i="57"/>
  <c r="H28" i="57"/>
  <c r="G28" i="57"/>
  <c r="E28" i="57"/>
  <c r="P28" i="57"/>
  <c r="D28" i="57"/>
  <c r="C28" i="57"/>
  <c r="M28" i="57" s="1"/>
  <c r="K28" i="57"/>
  <c r="F28" i="57"/>
  <c r="J28" i="57"/>
  <c r="AK27" i="55" a="1"/>
  <c r="AK27" i="55" s="1"/>
  <c r="B29" i="57" s="1"/>
  <c r="O29" i="57" s="1"/>
  <c r="B13" i="69"/>
  <c r="AN12" i="67" a="1"/>
  <c r="AN12" i="67" s="1"/>
  <c r="B14" i="69" s="1"/>
  <c r="C12" i="69"/>
  <c r="P12" i="69" s="1"/>
  <c r="AM14" i="67" a="1"/>
  <c r="AM14" i="67" s="1"/>
  <c r="AM15" i="67" s="1" a="1"/>
  <c r="AM15" i="67" s="1"/>
  <c r="L120" i="29"/>
  <c r="L119" i="29"/>
  <c r="M127" i="29"/>
  <c r="L127" i="29"/>
  <c r="M128" i="29"/>
  <c r="P66" i="11" s="1"/>
  <c r="Q66" i="11" s="1"/>
  <c r="L128" i="29"/>
  <c r="M129" i="29"/>
  <c r="L129" i="29"/>
  <c r="L14" i="69" l="1"/>
  <c r="O14" i="69"/>
  <c r="L13" i="69"/>
  <c r="O13" i="69"/>
  <c r="X27" i="57"/>
  <c r="AA27" i="57" s="1"/>
  <c r="AB27" i="53"/>
  <c r="AA27" i="53"/>
  <c r="AF27" i="53"/>
  <c r="AE28" i="53"/>
  <c r="AC28" i="53"/>
  <c r="AF26" i="57"/>
  <c r="AB26" i="57"/>
  <c r="AC28" i="57"/>
  <c r="AE28" i="57"/>
  <c r="R28" i="57"/>
  <c r="R28" i="53"/>
  <c r="X28" i="53" s="1"/>
  <c r="N12" i="69"/>
  <c r="P72" i="11"/>
  <c r="Q72" i="11" s="1"/>
  <c r="P71" i="11"/>
  <c r="Q71" i="11" s="1"/>
  <c r="D113" i="22"/>
  <c r="P51" i="11"/>
  <c r="Q51" i="11" s="1"/>
  <c r="L29" i="57"/>
  <c r="AG29" i="57"/>
  <c r="AJ28" i="57"/>
  <c r="AP28" i="57"/>
  <c r="AG28" i="53"/>
  <c r="AH28" i="53"/>
  <c r="AT28" i="53"/>
  <c r="N29" i="57"/>
  <c r="N29" i="53"/>
  <c r="AD28" i="57"/>
  <c r="Q28" i="53"/>
  <c r="AD28" i="53"/>
  <c r="H29" i="53"/>
  <c r="F29" i="53"/>
  <c r="K29" i="53"/>
  <c r="C29" i="53"/>
  <c r="L29" i="53"/>
  <c r="G29" i="53"/>
  <c r="E29" i="53"/>
  <c r="D29" i="53"/>
  <c r="P29" i="53"/>
  <c r="M29" i="53"/>
  <c r="AK28" i="52" a="1"/>
  <c r="AK28" i="52" s="1"/>
  <c r="B30" i="53" s="1"/>
  <c r="O30" i="53" s="1"/>
  <c r="J29" i="53"/>
  <c r="I29" i="53"/>
  <c r="P29" i="57"/>
  <c r="J29" i="57"/>
  <c r="G29" i="57"/>
  <c r="H29" i="57"/>
  <c r="D29" i="57"/>
  <c r="C29" i="57"/>
  <c r="M29" i="57" s="1"/>
  <c r="F29" i="57"/>
  <c r="E29" i="57"/>
  <c r="K29" i="57"/>
  <c r="I29" i="57"/>
  <c r="Q28" i="57"/>
  <c r="T28" i="57" s="1"/>
  <c r="AK28" i="55" a="1"/>
  <c r="AK28" i="55" s="1"/>
  <c r="B30" i="57" s="1"/>
  <c r="O30" i="57" s="1"/>
  <c r="AN13" i="67" a="1"/>
  <c r="AN13" i="67" s="1"/>
  <c r="D12" i="69"/>
  <c r="C14" i="69"/>
  <c r="C13" i="69"/>
  <c r="AM16" i="67" a="1"/>
  <c r="AM16" i="67" s="1"/>
  <c r="AM17" i="67" s="1" a="1"/>
  <c r="AM17" i="67" s="1"/>
  <c r="M125" i="29"/>
  <c r="L125" i="29"/>
  <c r="A130" i="22"/>
  <c r="F130" i="22" s="1"/>
  <c r="A129" i="22"/>
  <c r="F129" i="22" s="1"/>
  <c r="A128" i="22"/>
  <c r="D136" i="22"/>
  <c r="C136" i="22"/>
  <c r="B136" i="22"/>
  <c r="A136" i="22"/>
  <c r="F136" i="22" s="1"/>
  <c r="D135" i="22"/>
  <c r="C135" i="22"/>
  <c r="B135" i="22"/>
  <c r="A135" i="22"/>
  <c r="F135" i="22" s="1"/>
  <c r="D134" i="22"/>
  <c r="C134" i="22"/>
  <c r="B134" i="22"/>
  <c r="A134" i="22"/>
  <c r="F134" i="22" s="1"/>
  <c r="D133" i="22"/>
  <c r="C133" i="22"/>
  <c r="B133" i="22"/>
  <c r="A133" i="22"/>
  <c r="F133" i="22" s="1"/>
  <c r="D132" i="22"/>
  <c r="C132" i="22"/>
  <c r="B132" i="22"/>
  <c r="A132" i="22"/>
  <c r="F132" i="22" s="1"/>
  <c r="D131" i="22"/>
  <c r="C131" i="22"/>
  <c r="B131" i="22"/>
  <c r="A131" i="22"/>
  <c r="F131" i="22" s="1"/>
  <c r="D130" i="22"/>
  <c r="C130" i="22"/>
  <c r="B130" i="22"/>
  <c r="D129" i="22"/>
  <c r="C129" i="22"/>
  <c r="B129" i="22"/>
  <c r="A127" i="22"/>
  <c r="F127" i="22" s="1"/>
  <c r="A126" i="22"/>
  <c r="F126" i="22" s="1"/>
  <c r="B126" i="22"/>
  <c r="C126" i="22"/>
  <c r="AO13" i="69" l="1"/>
  <c r="P13" i="69"/>
  <c r="AO14" i="69"/>
  <c r="P14" i="69"/>
  <c r="U12" i="69"/>
  <c r="AF12" i="69"/>
  <c r="AF27" i="57"/>
  <c r="AB27" i="57"/>
  <c r="AB28" i="53"/>
  <c r="AA28" i="53"/>
  <c r="AE29" i="53"/>
  <c r="AC29" i="53"/>
  <c r="AF28" i="53"/>
  <c r="X28" i="57"/>
  <c r="AE29" i="57"/>
  <c r="AC29" i="57"/>
  <c r="R29" i="57"/>
  <c r="R29" i="53"/>
  <c r="X29" i="53" s="1"/>
  <c r="AE12" i="69"/>
  <c r="AH12" i="69" s="1"/>
  <c r="AX12" i="69"/>
  <c r="E126" i="22"/>
  <c r="S126" i="22"/>
  <c r="S130" i="22"/>
  <c r="E130" i="22"/>
  <c r="S132" i="22"/>
  <c r="E132" i="22"/>
  <c r="E134" i="22"/>
  <c r="S134" i="22"/>
  <c r="E136" i="22"/>
  <c r="S136" i="22"/>
  <c r="S131" i="22"/>
  <c r="E131" i="22"/>
  <c r="E133" i="22"/>
  <c r="S133" i="22"/>
  <c r="E135" i="22"/>
  <c r="S135" i="22"/>
  <c r="E129" i="22"/>
  <c r="S129" i="22"/>
  <c r="D126" i="22"/>
  <c r="P67" i="11"/>
  <c r="Q67" i="11" s="1"/>
  <c r="I129" i="22"/>
  <c r="I131" i="22"/>
  <c r="W132" i="22"/>
  <c r="I134" i="22"/>
  <c r="AG30" i="57"/>
  <c r="L30" i="57"/>
  <c r="AJ29" i="57"/>
  <c r="AP29" i="57"/>
  <c r="AH29" i="53"/>
  <c r="AT29" i="53"/>
  <c r="AG29" i="53"/>
  <c r="N30" i="57"/>
  <c r="L30" i="53"/>
  <c r="N30" i="53"/>
  <c r="AD29" i="57"/>
  <c r="AD29" i="53"/>
  <c r="Q29" i="53"/>
  <c r="AK29" i="52" a="1"/>
  <c r="AK29" i="52" s="1"/>
  <c r="B31" i="53" s="1"/>
  <c r="O31" i="53" s="1"/>
  <c r="G30" i="53"/>
  <c r="I30" i="53"/>
  <c r="P30" i="53"/>
  <c r="M30" i="53"/>
  <c r="J30" i="53"/>
  <c r="D30" i="53"/>
  <c r="E30" i="53"/>
  <c r="K30" i="53"/>
  <c r="C30" i="53"/>
  <c r="F30" i="53"/>
  <c r="H30" i="53"/>
  <c r="K30" i="57"/>
  <c r="I30" i="57"/>
  <c r="H30" i="57"/>
  <c r="G30" i="57"/>
  <c r="E30" i="57"/>
  <c r="P30" i="57"/>
  <c r="D30" i="57"/>
  <c r="C30" i="57"/>
  <c r="M30" i="57" s="1"/>
  <c r="F30" i="57"/>
  <c r="J30" i="57"/>
  <c r="Q29" i="57"/>
  <c r="T29" i="57" s="1"/>
  <c r="AK29" i="55" a="1"/>
  <c r="AK29" i="55" s="1"/>
  <c r="B31" i="57" s="1"/>
  <c r="O31" i="57" s="1"/>
  <c r="X126" i="22"/>
  <c r="AN14" i="67" a="1"/>
  <c r="AN14" i="67" s="1"/>
  <c r="B16" i="69" s="1"/>
  <c r="B15" i="69"/>
  <c r="D13" i="69"/>
  <c r="E13" i="69" s="1"/>
  <c r="F13" i="69" s="1"/>
  <c r="G13" i="69" s="1"/>
  <c r="H13" i="69" s="1"/>
  <c r="I13" i="69" s="1"/>
  <c r="J13" i="69" s="1"/>
  <c r="K13" i="69" s="1"/>
  <c r="M13" i="69" s="1"/>
  <c r="N13" i="69"/>
  <c r="AF13" i="69" s="1"/>
  <c r="D14" i="69"/>
  <c r="E14" i="69" s="1"/>
  <c r="F14" i="69" s="1"/>
  <c r="G14" i="69" s="1"/>
  <c r="H14" i="69" s="1"/>
  <c r="I14" i="69" s="1"/>
  <c r="J14" i="69" s="1"/>
  <c r="K14" i="69" s="1"/>
  <c r="M14" i="69" s="1"/>
  <c r="N14" i="69"/>
  <c r="AF14" i="69" s="1"/>
  <c r="R12" i="69"/>
  <c r="S12" i="69" s="1"/>
  <c r="Q12" i="69"/>
  <c r="E12" i="69"/>
  <c r="F12" i="69" s="1"/>
  <c r="AM18" i="67" a="1"/>
  <c r="AM18" i="67" s="1"/>
  <c r="W131" i="22"/>
  <c r="W126" i="22"/>
  <c r="L126" i="22"/>
  <c r="I133" i="22"/>
  <c r="V126" i="22"/>
  <c r="W130" i="22"/>
  <c r="I132" i="22"/>
  <c r="W133" i="22"/>
  <c r="W129" i="22"/>
  <c r="V135" i="22"/>
  <c r="L135" i="22"/>
  <c r="H135" i="22"/>
  <c r="U135" i="22"/>
  <c r="K135" i="22"/>
  <c r="G135" i="22"/>
  <c r="V136" i="22"/>
  <c r="L136" i="22"/>
  <c r="H136" i="22"/>
  <c r="U136" i="22"/>
  <c r="K136" i="22"/>
  <c r="G136" i="22"/>
  <c r="V129" i="22"/>
  <c r="V131" i="22"/>
  <c r="L131" i="22"/>
  <c r="H131" i="22"/>
  <c r="J131" i="22"/>
  <c r="X131" i="22"/>
  <c r="V132" i="22"/>
  <c r="L132" i="22"/>
  <c r="H132" i="22"/>
  <c r="J132" i="22"/>
  <c r="X132" i="22"/>
  <c r="V133" i="22"/>
  <c r="L133" i="22"/>
  <c r="H133" i="22"/>
  <c r="J133" i="22"/>
  <c r="X133" i="22"/>
  <c r="V134" i="22"/>
  <c r="L134" i="22"/>
  <c r="H134" i="22"/>
  <c r="U134" i="22"/>
  <c r="J134" i="22"/>
  <c r="T134" i="22"/>
  <c r="T135" i="22"/>
  <c r="T136" i="22"/>
  <c r="K129" i="22"/>
  <c r="T129" i="22"/>
  <c r="K130" i="22"/>
  <c r="K131" i="22"/>
  <c r="T131" i="22"/>
  <c r="K132" i="22"/>
  <c r="T132" i="22"/>
  <c r="K133" i="22"/>
  <c r="T133" i="22"/>
  <c r="K134" i="22"/>
  <c r="W134" i="22"/>
  <c r="I135" i="22"/>
  <c r="W135" i="22"/>
  <c r="I136" i="22"/>
  <c r="W136" i="22"/>
  <c r="G129" i="22"/>
  <c r="U129" i="22"/>
  <c r="G130" i="22"/>
  <c r="U130" i="22"/>
  <c r="G131" i="22"/>
  <c r="U131" i="22"/>
  <c r="G132" i="22"/>
  <c r="U132" i="22"/>
  <c r="G133" i="22"/>
  <c r="U133" i="22"/>
  <c r="G134" i="22"/>
  <c r="X134" i="22"/>
  <c r="J135" i="22"/>
  <c r="X135" i="22"/>
  <c r="J136" i="22"/>
  <c r="X136" i="22"/>
  <c r="U126" i="22"/>
  <c r="K126" i="22"/>
  <c r="G126" i="22"/>
  <c r="T126" i="22"/>
  <c r="AB28" i="57" l="1"/>
  <c r="AA28" i="57"/>
  <c r="L15" i="69"/>
  <c r="O15" i="69"/>
  <c r="G12" i="69"/>
  <c r="H12" i="69" s="1"/>
  <c r="I12" i="69" s="1"/>
  <c r="J12" i="69" s="1"/>
  <c r="K12" i="69" s="1"/>
  <c r="M12" i="69" s="1"/>
  <c r="L16" i="69"/>
  <c r="O16" i="69"/>
  <c r="X29" i="57"/>
  <c r="AA29" i="57" s="1"/>
  <c r="AA29" i="53"/>
  <c r="AB29" i="53"/>
  <c r="AE30" i="53"/>
  <c r="AC30" i="53"/>
  <c r="AF29" i="53"/>
  <c r="AF28" i="57"/>
  <c r="AE30" i="57"/>
  <c r="AC30" i="57"/>
  <c r="R30" i="57"/>
  <c r="R30" i="53"/>
  <c r="X30" i="53" s="1"/>
  <c r="AX14" i="69"/>
  <c r="I126" i="22"/>
  <c r="AX13" i="69"/>
  <c r="AG31" i="57"/>
  <c r="L31" i="57"/>
  <c r="AJ30" i="57"/>
  <c r="AP30" i="57"/>
  <c r="AH30" i="53"/>
  <c r="AT30" i="53"/>
  <c r="AG30" i="53"/>
  <c r="N31" i="57"/>
  <c r="N31" i="53"/>
  <c r="AD30" i="57"/>
  <c r="AD30" i="53"/>
  <c r="Q30" i="53"/>
  <c r="AK30" i="52" a="1"/>
  <c r="AK30" i="52" s="1"/>
  <c r="B32" i="53" s="1"/>
  <c r="O32" i="53" s="1"/>
  <c r="F31" i="53"/>
  <c r="K31" i="53"/>
  <c r="M31" i="53"/>
  <c r="P31" i="53"/>
  <c r="H31" i="53"/>
  <c r="L31" i="53"/>
  <c r="J31" i="53"/>
  <c r="I31" i="53"/>
  <c r="C31" i="53"/>
  <c r="E31" i="53"/>
  <c r="G31" i="53"/>
  <c r="D31" i="53"/>
  <c r="Q30" i="57"/>
  <c r="T30" i="57" s="1"/>
  <c r="K31" i="57"/>
  <c r="I31" i="57"/>
  <c r="F31" i="57"/>
  <c r="C31" i="57"/>
  <c r="M31" i="57" s="1"/>
  <c r="E31" i="57"/>
  <c r="P31" i="57"/>
  <c r="J31" i="57"/>
  <c r="H31" i="57"/>
  <c r="D31" i="57"/>
  <c r="G31" i="57"/>
  <c r="AK30" i="55" a="1"/>
  <c r="AK30" i="55" s="1"/>
  <c r="B32" i="57" s="1"/>
  <c r="O32" i="57" s="1"/>
  <c r="AE14" i="69"/>
  <c r="AH14" i="69" s="1"/>
  <c r="Q14" i="69"/>
  <c r="U14" i="69"/>
  <c r="R14" i="69"/>
  <c r="S14" i="69" s="1"/>
  <c r="Y14" i="69" s="1"/>
  <c r="AB14" i="69" s="1"/>
  <c r="AC14" i="69" s="1"/>
  <c r="AD14" i="69" s="1"/>
  <c r="AN15" i="67" a="1"/>
  <c r="AN15" i="67" s="1"/>
  <c r="AE13" i="69"/>
  <c r="AH13" i="69" s="1"/>
  <c r="R13" i="69"/>
  <c r="S13" i="69" s="1"/>
  <c r="Y13" i="69" s="1"/>
  <c r="Q13" i="69"/>
  <c r="U13" i="69"/>
  <c r="C15" i="69"/>
  <c r="P15" i="69" s="1"/>
  <c r="C16" i="69"/>
  <c r="AM19" i="67" a="1"/>
  <c r="AM19" i="67" s="1"/>
  <c r="E121" i="28"/>
  <c r="D121" i="28"/>
  <c r="C121" i="28"/>
  <c r="B121" i="28"/>
  <c r="D128" i="22"/>
  <c r="C128" i="22"/>
  <c r="B128" i="22"/>
  <c r="Y12" i="69" l="1"/>
  <c r="AG12" i="69" s="1"/>
  <c r="AB13" i="69"/>
  <c r="AC13" i="69" s="1"/>
  <c r="AD13" i="69" s="1"/>
  <c r="AG13" i="69"/>
  <c r="AG14" i="69"/>
  <c r="AO16" i="69"/>
  <c r="P16" i="69"/>
  <c r="AF29" i="57"/>
  <c r="AB29" i="57"/>
  <c r="AE31" i="53"/>
  <c r="AC31" i="53"/>
  <c r="AF30" i="53"/>
  <c r="AB30" i="53"/>
  <c r="AA30" i="53"/>
  <c r="X30" i="57"/>
  <c r="AE31" i="57"/>
  <c r="AC31" i="57"/>
  <c r="R31" i="57"/>
  <c r="R31" i="53"/>
  <c r="X31" i="53" s="1"/>
  <c r="N15" i="69"/>
  <c r="AF15" i="69" s="1"/>
  <c r="AO15" i="69"/>
  <c r="E128" i="22"/>
  <c r="S128" i="22"/>
  <c r="AG32" i="57"/>
  <c r="L32" i="57"/>
  <c r="AJ31" i="57"/>
  <c r="AP31" i="57"/>
  <c r="AG31" i="53"/>
  <c r="AH31" i="53"/>
  <c r="AT31" i="53"/>
  <c r="N32" i="57"/>
  <c r="N32" i="53"/>
  <c r="AD31" i="57"/>
  <c r="AD31" i="53"/>
  <c r="AK31" i="52" a="1"/>
  <c r="AK31" i="52" s="1"/>
  <c r="B33" i="53" s="1"/>
  <c r="O33" i="53" s="1"/>
  <c r="L32" i="53"/>
  <c r="C32" i="53"/>
  <c r="G32" i="53"/>
  <c r="P32" i="53"/>
  <c r="E32" i="53"/>
  <c r="F32" i="53"/>
  <c r="Q31" i="53"/>
  <c r="J32" i="53"/>
  <c r="M32" i="53"/>
  <c r="I32" i="53"/>
  <c r="H32" i="53"/>
  <c r="D32" i="53"/>
  <c r="K32" i="53"/>
  <c r="H32" i="57"/>
  <c r="G32" i="57"/>
  <c r="E32" i="57"/>
  <c r="P32" i="57"/>
  <c r="D32" i="57"/>
  <c r="C32" i="57"/>
  <c r="M32" i="57" s="1"/>
  <c r="K32" i="57"/>
  <c r="I32" i="57"/>
  <c r="F32" i="57"/>
  <c r="J32" i="57"/>
  <c r="Q31" i="57"/>
  <c r="T31" i="57" s="1"/>
  <c r="AK31" i="55" a="1"/>
  <c r="AK31" i="55" s="1"/>
  <c r="B33" i="57" s="1"/>
  <c r="O33" i="57" s="1"/>
  <c r="AN16" i="67" a="1"/>
  <c r="AN16" i="67" s="1"/>
  <c r="B18" i="69" s="1"/>
  <c r="B17" i="69"/>
  <c r="D16" i="69"/>
  <c r="E16" i="69" s="1"/>
  <c r="F16" i="69" s="1"/>
  <c r="G16" i="69" s="1"/>
  <c r="H16" i="69" s="1"/>
  <c r="I16" i="69" s="1"/>
  <c r="J16" i="69" s="1"/>
  <c r="K16" i="69" s="1"/>
  <c r="M16" i="69" s="1"/>
  <c r="N16" i="69"/>
  <c r="AF16" i="69" s="1"/>
  <c r="D15" i="69"/>
  <c r="AM20" i="67" a="1"/>
  <c r="AM20" i="67" s="1"/>
  <c r="W128" i="22"/>
  <c r="T128" i="22"/>
  <c r="G128" i="22"/>
  <c r="K128" i="22"/>
  <c r="U128" i="22"/>
  <c r="L128" i="22"/>
  <c r="V128"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3" i="28"/>
  <c r="B33" i="28"/>
  <c r="D33"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B51" i="28"/>
  <c r="D51" i="28"/>
  <c r="A52"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0" i="28"/>
  <c r="B80" i="28"/>
  <c r="D80" i="28"/>
  <c r="A81" i="28"/>
  <c r="B81" i="28"/>
  <c r="D81" i="28"/>
  <c r="A82" i="28"/>
  <c r="B82" i="28"/>
  <c r="D82"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D99" i="28"/>
  <c r="A100" i="28"/>
  <c r="B100" i="28"/>
  <c r="D100" i="28"/>
  <c r="A101" i="28"/>
  <c r="B101" i="28"/>
  <c r="D101" i="28"/>
  <c r="A102" i="28"/>
  <c r="B102" i="28"/>
  <c r="D102" i="28"/>
  <c r="A103" i="28"/>
  <c r="B103" i="28"/>
  <c r="D103" i="28"/>
  <c r="A104" i="28"/>
  <c r="B104" i="28"/>
  <c r="D104" i="28"/>
  <c r="A105" i="28"/>
  <c r="B105" i="28"/>
  <c r="D105" i="28"/>
  <c r="A106" i="28"/>
  <c r="B106" i="28"/>
  <c r="D106" i="28"/>
  <c r="A107" i="28"/>
  <c r="B107" i="28"/>
  <c r="D107" i="28"/>
  <c r="A108" i="28"/>
  <c r="D108" i="28"/>
  <c r="A109" i="28"/>
  <c r="B109" i="28"/>
  <c r="D109" i="28"/>
  <c r="A110" i="28"/>
  <c r="B110" i="28"/>
  <c r="D110" i="28"/>
  <c r="A111" i="28"/>
  <c r="B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AB30" i="57" l="1"/>
  <c r="AA30" i="57"/>
  <c r="AB12" i="69"/>
  <c r="AC12" i="69" s="1"/>
  <c r="AD12" i="69" s="1"/>
  <c r="L18" i="69"/>
  <c r="O18" i="69"/>
  <c r="L17" i="69"/>
  <c r="O17" i="69"/>
  <c r="W8" i="78"/>
  <c r="U8" i="78"/>
  <c r="W7" i="78"/>
  <c r="U7" i="78"/>
  <c r="W6" i="78"/>
  <c r="U6" i="78"/>
  <c r="U11" i="71"/>
  <c r="AB31" i="53"/>
  <c r="AA31" i="53"/>
  <c r="AE32" i="53"/>
  <c r="AC32" i="53"/>
  <c r="AF31" i="53"/>
  <c r="AF30" i="57"/>
  <c r="X31" i="57"/>
  <c r="AC32" i="57"/>
  <c r="AE32" i="57"/>
  <c r="AX15" i="69"/>
  <c r="R32" i="57"/>
  <c r="R32" i="53"/>
  <c r="X32" i="53" s="1"/>
  <c r="AO12" i="69"/>
  <c r="U12" i="46"/>
  <c r="U15" i="46"/>
  <c r="U14" i="46"/>
  <c r="U19" i="46"/>
  <c r="U34" i="46"/>
  <c r="U16" i="46"/>
  <c r="U33" i="46"/>
  <c r="U22" i="46"/>
  <c r="U25" i="46"/>
  <c r="U18" i="46"/>
  <c r="U17" i="46"/>
  <c r="U32" i="46"/>
  <c r="U35" i="46"/>
  <c r="U28" i="46"/>
  <c r="U31" i="46"/>
  <c r="U24" i="46"/>
  <c r="U27" i="46"/>
  <c r="U26" i="46"/>
  <c r="U23" i="46"/>
  <c r="U13" i="46"/>
  <c r="U11" i="46"/>
  <c r="U30" i="46"/>
  <c r="U20" i="46"/>
  <c r="U29" i="46"/>
  <c r="U21" i="46"/>
  <c r="AX16" i="69"/>
  <c r="AG33" i="57"/>
  <c r="L33" i="57"/>
  <c r="AJ32" i="57"/>
  <c r="AP32" i="57"/>
  <c r="AG32" i="53"/>
  <c r="AH32" i="53"/>
  <c r="AT32" i="53"/>
  <c r="N33" i="57"/>
  <c r="K33" i="53"/>
  <c r="N33" i="53"/>
  <c r="AD32" i="57"/>
  <c r="AD32" i="53"/>
  <c r="AK32" i="52" a="1"/>
  <c r="AK32" i="52" s="1"/>
  <c r="B34" i="53" s="1"/>
  <c r="O34" i="53" s="1"/>
  <c r="H33" i="53"/>
  <c r="G33" i="53"/>
  <c r="Q32" i="53"/>
  <c r="L33" i="53"/>
  <c r="F33" i="53"/>
  <c r="I33" i="53"/>
  <c r="J33" i="53"/>
  <c r="E33" i="53"/>
  <c r="M33" i="53"/>
  <c r="P33" i="53"/>
  <c r="D33" i="53"/>
  <c r="C33" i="53"/>
  <c r="K33" i="57"/>
  <c r="J33" i="57"/>
  <c r="E33" i="57"/>
  <c r="P33" i="57"/>
  <c r="C33" i="57"/>
  <c r="M33" i="57" s="1"/>
  <c r="H33" i="57"/>
  <c r="I33" i="57"/>
  <c r="D33" i="57"/>
  <c r="F33" i="57"/>
  <c r="G33" i="57"/>
  <c r="Q32" i="57"/>
  <c r="T32" i="57" s="1"/>
  <c r="AK32" i="55" a="1"/>
  <c r="AK32" i="55" s="1"/>
  <c r="B34" i="57" s="1"/>
  <c r="O34" i="57" s="1"/>
  <c r="AN17" i="67" a="1"/>
  <c r="AN17" i="67" s="1"/>
  <c r="B19" i="69" s="1"/>
  <c r="O19" i="69" s="1"/>
  <c r="C17" i="69"/>
  <c r="C18" i="69"/>
  <c r="Q16" i="69"/>
  <c r="AE16" i="69"/>
  <c r="AH16" i="69" s="1"/>
  <c r="U16" i="69"/>
  <c r="R16" i="69"/>
  <c r="S16" i="69" s="1"/>
  <c r="Y16" i="69" s="1"/>
  <c r="AB16" i="69" s="1"/>
  <c r="AC16" i="69" s="1"/>
  <c r="AD16" i="69" s="1"/>
  <c r="AE15" i="69"/>
  <c r="AH15" i="69" s="1"/>
  <c r="R15" i="69"/>
  <c r="S15" i="69" s="1"/>
  <c r="Q15" i="69"/>
  <c r="U15" i="69"/>
  <c r="E15" i="69"/>
  <c r="F15" i="69" s="1"/>
  <c r="AM21" i="67" a="1"/>
  <c r="AM21" i="67" s="1"/>
  <c r="AM22" i="67" s="1" a="1"/>
  <c r="AM22" i="67" s="1"/>
  <c r="AM23" i="67" s="1" a="1"/>
  <c r="AM23" i="67" s="1"/>
  <c r="AM24" i="67" s="1" a="1"/>
  <c r="AM24" i="67" s="1"/>
  <c r="AM25" i="67" s="1" a="1"/>
  <c r="AM25" i="67" s="1"/>
  <c r="AM26" i="67" s="1" a="1"/>
  <c r="AM26" i="67" s="1"/>
  <c r="AM27" i="67" s="1" a="1"/>
  <c r="AM27" i="67" s="1"/>
  <c r="AM28" i="67" s="1" a="1"/>
  <c r="AM28" i="67" s="1"/>
  <c r="AM29" i="67" s="1" a="1"/>
  <c r="AM29" i="67" s="1"/>
  <c r="AM30" i="67" s="1" a="1"/>
  <c r="AM30" i="67" s="1"/>
  <c r="AM31" i="67" s="1" a="1"/>
  <c r="AM31" i="67" s="1"/>
  <c r="AM32" i="67" s="1" a="1"/>
  <c r="AM32" i="67" s="1"/>
  <c r="AM33" i="67" s="1" a="1"/>
  <c r="AM33" i="67" s="1"/>
  <c r="AM34" i="67" s="1" a="1"/>
  <c r="AM34" i="67" s="1"/>
  <c r="AM35" i="67" s="1" a="1"/>
  <c r="AM35" i="67" s="1"/>
  <c r="AM36" i="67" s="1" a="1"/>
  <c r="AM36" i="67" s="1"/>
  <c r="AM37" i="67" s="1" a="1"/>
  <c r="AM37" i="67" s="1"/>
  <c r="AM38" i="67" s="1" a="1"/>
  <c r="AM38" i="67" s="1"/>
  <c r="AM39" i="67" s="1" a="1"/>
  <c r="AM39" i="67" s="1"/>
  <c r="AM40" i="67" s="1" a="1"/>
  <c r="AM40" i="67" s="1"/>
  <c r="AM41" i="67" s="1" a="1"/>
  <c r="AM41" i="67" s="1"/>
  <c r="AM42" i="67" s="1" a="1"/>
  <c r="AM42" i="67" s="1"/>
  <c r="AM43" i="67" s="1" a="1"/>
  <c r="AM43" i="67" s="1"/>
  <c r="AM44" i="67" s="1" a="1"/>
  <c r="AM44" i="67" s="1"/>
  <c r="AM45" i="67" s="1" a="1"/>
  <c r="AM45" i="67" s="1"/>
  <c r="AM46" i="67" s="1" a="1"/>
  <c r="AM46" i="67" s="1"/>
  <c r="AM47" i="67" s="1" a="1"/>
  <c r="AM47" i="67" s="1"/>
  <c r="AM48" i="67" s="1" a="1"/>
  <c r="AM48" i="67" s="1"/>
  <c r="AM49" i="67" s="1" a="1"/>
  <c r="AM49" i="67" s="1"/>
  <c r="AM50" i="67" s="1" a="1"/>
  <c r="AM50" i="67" s="1"/>
  <c r="AM51" i="67" s="1" a="1"/>
  <c r="AM51" i="67" s="1"/>
  <c r="AM52" i="67" s="1" a="1"/>
  <c r="AM52" i="67" s="1"/>
  <c r="AM53" i="67" s="1" a="1"/>
  <c r="AM53" i="67" s="1"/>
  <c r="AM54" i="67" s="1" a="1"/>
  <c r="AM54" i="67" s="1"/>
  <c r="AM55" i="67" s="1" a="1"/>
  <c r="AM55" i="67" s="1"/>
  <c r="AM56" i="67" s="1" a="1"/>
  <c r="AM56" i="67" s="1"/>
  <c r="AM57" i="67" s="1" a="1"/>
  <c r="AM57" i="67" s="1"/>
  <c r="AM58" i="67" s="1" a="1"/>
  <c r="AM58" i="67" s="1"/>
  <c r="AM59" i="67" s="1" a="1"/>
  <c r="AM59" i="67" s="1"/>
  <c r="AM60" i="67" s="1" a="1"/>
  <c r="AM60" i="67" s="1"/>
  <c r="AM61" i="67" s="1" a="1"/>
  <c r="AM61" i="67" s="1"/>
  <c r="AM62" i="67" s="1" a="1"/>
  <c r="AM62" i="67" s="1"/>
  <c r="AM63" i="67" s="1" a="1"/>
  <c r="AM63" i="67" s="1"/>
  <c r="AM64" i="67" s="1" a="1"/>
  <c r="AM64" i="67" s="1"/>
  <c r="AM65" i="67" s="1" a="1"/>
  <c r="AM65" i="67" s="1"/>
  <c r="AM66" i="67" s="1" a="1"/>
  <c r="AM66" i="67" s="1"/>
  <c r="AM67" i="67" s="1" a="1"/>
  <c r="AM67" i="67" s="1"/>
  <c r="AM68" i="67" s="1" a="1"/>
  <c r="AM68" i="67" s="1"/>
  <c r="AM69" i="67" s="1" a="1"/>
  <c r="AM69" i="67" s="1"/>
  <c r="AM70" i="67" s="1" a="1"/>
  <c r="AM70" i="67" s="1"/>
  <c r="AM71" i="67" s="1" a="1"/>
  <c r="AM71" i="67" s="1"/>
  <c r="AM72" i="67" s="1" a="1"/>
  <c r="AM72" i="67" s="1"/>
  <c r="AM73" i="67" s="1" a="1"/>
  <c r="AM73" i="67" s="1"/>
  <c r="AM74" i="67" s="1" a="1"/>
  <c r="AM74" i="67" s="1"/>
  <c r="AM75" i="67" s="1" a="1"/>
  <c r="AM75" i="67" s="1"/>
  <c r="AM76" i="67" s="1" a="1"/>
  <c r="AM76" i="67" s="1"/>
  <c r="AM77" i="67" s="1" a="1"/>
  <c r="AM77" i="67" s="1"/>
  <c r="AM78" i="67" s="1" a="1"/>
  <c r="AM78" i="67" s="1"/>
  <c r="AM79" i="67" s="1" a="1"/>
  <c r="AM79" i="67" s="1"/>
  <c r="AM80" i="67" s="1" a="1"/>
  <c r="AM80" i="67" s="1"/>
  <c r="AM81" i="67" s="1" a="1"/>
  <c r="AM81" i="67" s="1"/>
  <c r="AM82" i="67" s="1" a="1"/>
  <c r="AM82" i="67" s="1"/>
  <c r="AM83" i="67" s="1" a="1"/>
  <c r="AM83" i="67" s="1"/>
  <c r="AM84" i="67" s="1" a="1"/>
  <c r="AM84" i="67" s="1"/>
  <c r="AM85" i="67" s="1" a="1"/>
  <c r="AM85" i="67" s="1"/>
  <c r="AM86" i="67" s="1" a="1"/>
  <c r="AM86" i="67" s="1"/>
  <c r="AM87" i="67" s="1" a="1"/>
  <c r="AM87" i="67" s="1"/>
  <c r="AM88" i="67" s="1" a="1"/>
  <c r="AM88" i="67" s="1"/>
  <c r="AM89" i="67" s="1" a="1"/>
  <c r="AM89" i="67" s="1"/>
  <c r="AM90" i="67" s="1" a="1"/>
  <c r="AM90" i="67" s="1"/>
  <c r="AM91" i="67" s="1" a="1"/>
  <c r="AM91" i="67" s="1"/>
  <c r="AM92" i="67" s="1" a="1"/>
  <c r="AM92" i="67" s="1"/>
  <c r="AM93" i="67" s="1" a="1"/>
  <c r="AM93" i="67" s="1"/>
  <c r="AM94" i="67" s="1" a="1"/>
  <c r="AM94" i="67" s="1"/>
  <c r="AM95" i="67" s="1" a="1"/>
  <c r="AM95" i="67" s="1"/>
  <c r="AM96" i="67" s="1" a="1"/>
  <c r="AM96" i="67" s="1"/>
  <c r="AM97" i="67" s="1" a="1"/>
  <c r="AM97" i="67" s="1"/>
  <c r="AM98" i="67" s="1" a="1"/>
  <c r="AM98" i="67" s="1"/>
  <c r="AM99" i="67" s="1" a="1"/>
  <c r="AM99" i="67" s="1"/>
  <c r="AM100" i="67" s="1" a="1"/>
  <c r="AM100" i="67" s="1"/>
  <c r="AM101" i="67" s="1" a="1"/>
  <c r="AM101" i="67" s="1"/>
  <c r="AM102" i="67" s="1" a="1"/>
  <c r="AM102" i="67" s="1"/>
  <c r="AM103" i="67" s="1" a="1"/>
  <c r="AM103" i="67" s="1"/>
  <c r="AM104" i="67" s="1" a="1"/>
  <c r="AM104" i="67" s="1"/>
  <c r="AM105" i="67" s="1" a="1"/>
  <c r="AM105" i="67" s="1"/>
  <c r="AM106" i="67" s="1" a="1"/>
  <c r="AM106" i="67" s="1"/>
  <c r="AM107" i="67" s="1" a="1"/>
  <c r="AM107" i="67" s="1"/>
  <c r="AM108" i="67" s="1" a="1"/>
  <c r="AM108" i="67" s="1"/>
  <c r="AM109" i="67" s="1" a="1"/>
  <c r="AM109" i="67" s="1"/>
  <c r="AM110" i="67" s="1" a="1"/>
  <c r="AM110" i="67" s="1"/>
  <c r="AM111" i="67" s="1" a="1"/>
  <c r="AM111" i="67" s="1"/>
  <c r="AM112" i="67" s="1" a="1"/>
  <c r="AM112" i="67" s="1"/>
  <c r="AM113" i="67" s="1" a="1"/>
  <c r="AM113" i="67" s="1"/>
  <c r="AM114" i="67" s="1" a="1"/>
  <c r="AM114" i="67" s="1"/>
  <c r="AM115" i="67" s="1" a="1"/>
  <c r="AM115" i="67" s="1"/>
  <c r="AM116" i="67" s="1" a="1"/>
  <c r="AM116" i="67" s="1"/>
  <c r="AM117" i="67" s="1" a="1"/>
  <c r="AM117" i="67" s="1"/>
  <c r="AM118" i="67" s="1" a="1"/>
  <c r="AM118" i="67" s="1"/>
  <c r="AM119" i="67" s="1" a="1"/>
  <c r="AM119" i="67" s="1"/>
  <c r="AM120" i="67" s="1" a="1"/>
  <c r="AM120" i="67" s="1"/>
  <c r="AM121" i="67" s="1" a="1"/>
  <c r="AM121" i="67" s="1"/>
  <c r="AM122" i="67" s="1" a="1"/>
  <c r="AM122" i="67" s="1"/>
  <c r="AM123" i="67" s="1" a="1"/>
  <c r="AM123" i="67" s="1"/>
  <c r="AM124" i="67" s="1" a="1"/>
  <c r="AM124" i="67" s="1"/>
  <c r="AM125" i="67" s="1" a="1"/>
  <c r="AM125" i="67" s="1"/>
  <c r="AM126" i="67" s="1" a="1"/>
  <c r="AM126" i="67" s="1"/>
  <c r="AM127" i="67" s="1" a="1"/>
  <c r="AM127" i="67" s="1"/>
  <c r="AM128" i="67" s="1" a="1"/>
  <c r="AM128" i="67" s="1"/>
  <c r="AM129" i="67" s="1" a="1"/>
  <c r="AM129" i="67" s="1"/>
  <c r="AM130" i="67" s="1" a="1"/>
  <c r="AM130" i="67" s="1"/>
  <c r="AM131" i="67" s="1" a="1"/>
  <c r="AM131" i="67" s="1"/>
  <c r="AM132" i="67" s="1" a="1"/>
  <c r="AM132" i="67" s="1"/>
  <c r="AM133" i="67" s="1" a="1"/>
  <c r="AM133" i="67" s="1"/>
  <c r="AM134" i="67" s="1" a="1"/>
  <c r="AM134" i="67" s="1"/>
  <c r="AM135" i="67" s="1" a="1"/>
  <c r="AM135" i="67" s="1"/>
  <c r="AM136" i="67" s="1" a="1"/>
  <c r="AM136" i="67" s="1"/>
  <c r="AM137" i="67" s="1" a="1"/>
  <c r="AM137" i="67" s="1"/>
  <c r="AM138" i="67" s="1" a="1"/>
  <c r="AM138" i="67" s="1"/>
  <c r="AM139" i="67" s="1" a="1"/>
  <c r="AM139" i="67" s="1"/>
  <c r="AM140" i="67" s="1" a="1"/>
  <c r="AM140" i="67" s="1"/>
  <c r="AM141" i="67" s="1" a="1"/>
  <c r="AM141" i="67" s="1"/>
  <c r="AM142" i="67" s="1" a="1"/>
  <c r="AM142" i="67" s="1"/>
  <c r="AM143" i="67" s="1" a="1"/>
  <c r="AM143" i="67" s="1"/>
  <c r="AM144" i="67" s="1" a="1"/>
  <c r="AM144" i="67" s="1"/>
  <c r="AM145" i="67" s="1" a="1"/>
  <c r="AM145" i="67" s="1"/>
  <c r="AM146" i="67" s="1" a="1"/>
  <c r="AM146" i="67" s="1"/>
  <c r="AM147" i="67" s="1" a="1"/>
  <c r="AM147" i="67" s="1"/>
  <c r="AM148" i="67" s="1" a="1"/>
  <c r="AM148" i="67" s="1"/>
  <c r="AM149" i="67" s="1" a="1"/>
  <c r="AM149" i="67" s="1"/>
  <c r="AM150" i="67" s="1" a="1"/>
  <c r="AM150" i="67" s="1"/>
  <c r="AM151" i="67" s="1" a="1"/>
  <c r="AM151" i="67" s="1"/>
  <c r="AM152" i="67" s="1" a="1"/>
  <c r="AM152" i="67" s="1"/>
  <c r="AM153" i="67" s="1" a="1"/>
  <c r="AM153" i="67" s="1"/>
  <c r="AM154" i="67" s="1" a="1"/>
  <c r="AM154" i="67" s="1"/>
  <c r="AM155" i="67" s="1" a="1"/>
  <c r="AM155" i="67" s="1"/>
  <c r="AM156" i="67" s="1" a="1"/>
  <c r="AM156" i="67" s="1"/>
  <c r="AM157" i="67" s="1" a="1"/>
  <c r="AM157" i="67" s="1"/>
  <c r="AM158" i="67" s="1" a="1"/>
  <c r="AM158" i="67" s="1"/>
  <c r="AM159" i="67" s="1" a="1"/>
  <c r="AM159" i="67" s="1"/>
  <c r="AM160" i="67" s="1" a="1"/>
  <c r="AM160" i="67" s="1"/>
  <c r="AM161" i="67" s="1" a="1"/>
  <c r="AM161" i="67" s="1"/>
  <c r="AM162" i="67" s="1" a="1"/>
  <c r="AM162" i="67" s="1"/>
  <c r="AM163" i="67" s="1" a="1"/>
  <c r="AM163" i="67" s="1"/>
  <c r="AM164" i="67" s="1" a="1"/>
  <c r="AM164" i="67" s="1"/>
  <c r="AM165" i="67" s="1" a="1"/>
  <c r="AM165" i="67" s="1"/>
  <c r="AM166" i="67" s="1" a="1"/>
  <c r="AM166" i="67" s="1"/>
  <c r="AM167" i="67" s="1" a="1"/>
  <c r="AM167" i="67" s="1"/>
  <c r="AM168" i="67" s="1" a="1"/>
  <c r="AM168" i="67" s="1"/>
  <c r="AM169" i="67" s="1" a="1"/>
  <c r="AM169" i="67" s="1"/>
  <c r="AM170" i="67" s="1" a="1"/>
  <c r="AM170" i="67" s="1"/>
  <c r="AM171" i="67" s="1" a="1"/>
  <c r="AM171" i="67" s="1"/>
  <c r="AM172" i="67" s="1" a="1"/>
  <c r="AM172" i="67" s="1"/>
  <c r="AM173" i="67" s="1" a="1"/>
  <c r="AM173" i="67" s="1"/>
  <c r="AM174" i="67" s="1" a="1"/>
  <c r="AM174" i="67" s="1"/>
  <c r="AM175" i="67" s="1" a="1"/>
  <c r="AM175" i="67" s="1"/>
  <c r="AM176" i="67" s="1" a="1"/>
  <c r="AM176" i="67" s="1"/>
  <c r="AM177" i="67" s="1" a="1"/>
  <c r="AM177" i="67" s="1"/>
  <c r="AM178" i="67" s="1" a="1"/>
  <c r="AM178" i="67" s="1"/>
  <c r="AM179" i="67" s="1" a="1"/>
  <c r="AM179" i="67" s="1"/>
  <c r="AM180" i="67" s="1" a="1"/>
  <c r="AM180" i="67" s="1"/>
  <c r="AM181" i="67" s="1" a="1"/>
  <c r="AM181" i="67" s="1"/>
  <c r="AM182" i="67" s="1" a="1"/>
  <c r="AM182" i="67" s="1"/>
  <c r="AM183" i="67" s="1" a="1"/>
  <c r="AM183" i="67" s="1"/>
  <c r="AM184" i="67" s="1" a="1"/>
  <c r="AM184" i="67" s="1"/>
  <c r="AM185" i="67" s="1" a="1"/>
  <c r="AM185" i="67" s="1"/>
  <c r="AM186" i="67" s="1" a="1"/>
  <c r="AM186" i="67" s="1"/>
  <c r="AM187" i="67" s="1" a="1"/>
  <c r="AM187" i="67" s="1"/>
  <c r="AM188" i="67" s="1" a="1"/>
  <c r="AM188" i="67" s="1"/>
  <c r="AM189" i="67" s="1" a="1"/>
  <c r="AM189" i="67" s="1"/>
  <c r="AM190" i="67" s="1" a="1"/>
  <c r="AM190" i="67" s="1"/>
  <c r="AM191" i="67" s="1" a="1"/>
  <c r="AM191" i="67" s="1"/>
  <c r="AM192" i="67" s="1" a="1"/>
  <c r="AM192" i="67" s="1"/>
  <c r="AM193" i="67" s="1" a="1"/>
  <c r="AM193" i="67" s="1"/>
  <c r="AM194" i="67" s="1" a="1"/>
  <c r="AM194" i="67" s="1"/>
  <c r="AM195" i="67" s="1" a="1"/>
  <c r="AM195" i="67" s="1"/>
  <c r="AM196" i="67" s="1" a="1"/>
  <c r="AM196" i="67" s="1"/>
  <c r="AM197" i="67" s="1" a="1"/>
  <c r="AM197" i="67" s="1"/>
  <c r="AM198" i="67" s="1" a="1"/>
  <c r="AM198" i="67" s="1"/>
  <c r="AM199" i="67" s="1" a="1"/>
  <c r="AM199" i="67" s="1"/>
  <c r="AM200" i="67" s="1" a="1"/>
  <c r="AM200" i="67" s="1"/>
  <c r="AM201" i="67" s="1" a="1"/>
  <c r="AM201" i="67" s="1"/>
  <c r="AM202" i="67" s="1" a="1"/>
  <c r="AM202" i="67" s="1"/>
  <c r="AM203" i="67" s="1" a="1"/>
  <c r="AM203" i="67" s="1"/>
  <c r="AM204" i="67" s="1" a="1"/>
  <c r="AM204" i="67" s="1"/>
  <c r="AM205" i="67" s="1" a="1"/>
  <c r="AM205" i="67" s="1"/>
  <c r="AM206" i="67" s="1" a="1"/>
  <c r="AM206" i="67" s="1"/>
  <c r="AM207" i="67" s="1" a="1"/>
  <c r="AM207" i="67" s="1"/>
  <c r="AM208" i="67" s="1" a="1"/>
  <c r="AM208" i="67" s="1"/>
  <c r="AM209" i="67" s="1" a="1"/>
  <c r="AM209" i="67" s="1"/>
  <c r="AM210" i="67" s="1" a="1"/>
  <c r="AM210" i="67" s="1"/>
  <c r="AM211" i="67" s="1" a="1"/>
  <c r="AM211" i="67" s="1"/>
  <c r="AM212" i="67" s="1" a="1"/>
  <c r="AM212" i="67" s="1"/>
  <c r="AM213" i="67" s="1" a="1"/>
  <c r="AM213" i="67" s="1"/>
  <c r="AM214" i="67" s="1" a="1"/>
  <c r="AM214" i="67" s="1"/>
  <c r="AM215" i="67" s="1" a="1"/>
  <c r="AM215" i="67" s="1"/>
  <c r="AM216" i="67" s="1" a="1"/>
  <c r="AM216" i="67" s="1"/>
  <c r="AM217" i="67" s="1" a="1"/>
  <c r="AM217" i="67" s="1"/>
  <c r="AM218" i="67" s="1" a="1"/>
  <c r="AM218" i="67" s="1"/>
  <c r="AM219" i="67" s="1" a="1"/>
  <c r="AM219" i="67" s="1"/>
  <c r="AM220" i="67" s="1" a="1"/>
  <c r="AM220" i="67" s="1"/>
  <c r="AM221" i="67" s="1" a="1"/>
  <c r="AM221" i="67" s="1"/>
  <c r="AM222" i="67" s="1" a="1"/>
  <c r="AM222" i="67" s="1"/>
  <c r="AM223" i="67" s="1" a="1"/>
  <c r="AM223" i="67" s="1"/>
  <c r="AM224" i="67" s="1" a="1"/>
  <c r="AM224" i="67" s="1"/>
  <c r="AM225" i="67" s="1" a="1"/>
  <c r="AM225" i="67" s="1"/>
  <c r="AM226" i="67" s="1" a="1"/>
  <c r="AM226" i="67" s="1"/>
  <c r="AM227" i="67" s="1" a="1"/>
  <c r="AM227" i="67" s="1"/>
  <c r="AM228" i="67" s="1" a="1"/>
  <c r="AM228" i="67" s="1"/>
  <c r="AM229" i="67" s="1" a="1"/>
  <c r="AM229" i="67" s="1"/>
  <c r="AM230" i="67" s="1" a="1"/>
  <c r="AM230" i="67" s="1"/>
  <c r="AM231" i="67" s="1" a="1"/>
  <c r="AM231" i="67" s="1"/>
  <c r="AM232" i="67" s="1" a="1"/>
  <c r="AM232" i="67" s="1"/>
  <c r="AM233" i="67" s="1" a="1"/>
  <c r="AM233" i="67" s="1"/>
  <c r="AM234" i="67" s="1" a="1"/>
  <c r="AM234" i="67" s="1"/>
  <c r="AM235" i="67" s="1" a="1"/>
  <c r="AM235" i="67" s="1"/>
  <c r="AM236" i="67" s="1" a="1"/>
  <c r="AM236" i="67" s="1"/>
  <c r="AM237" i="67" s="1" a="1"/>
  <c r="AM237" i="67" s="1"/>
  <c r="AM238" i="67" s="1" a="1"/>
  <c r="AM238" i="67" s="1"/>
  <c r="AM239" i="67" s="1" a="1"/>
  <c r="AM239" i="67" s="1"/>
  <c r="AM240" i="67" s="1" a="1"/>
  <c r="AM240" i="67" s="1"/>
  <c r="AM241" i="67" s="1" a="1"/>
  <c r="AM241" i="67" s="1"/>
  <c r="AM242" i="67" s="1" a="1"/>
  <c r="AM242" i="67" s="1"/>
  <c r="AM243" i="67" s="1" a="1"/>
  <c r="AM243" i="67" s="1"/>
  <c r="AM244" i="67" s="1" a="1"/>
  <c r="AM244" i="67" s="1"/>
  <c r="AM245" i="67" s="1" a="1"/>
  <c r="AM245" i="67" s="1"/>
  <c r="AM246" i="67" s="1" a="1"/>
  <c r="AM246" i="67" s="1"/>
  <c r="AM247" i="67" s="1" a="1"/>
  <c r="AM247" i="67" s="1"/>
  <c r="AM248" i="67" s="1" a="1"/>
  <c r="AM248" i="67" s="1"/>
  <c r="AM249" i="67" s="1" a="1"/>
  <c r="AM249" i="67" s="1"/>
  <c r="AM250" i="67" s="1" a="1"/>
  <c r="AM250" i="67" s="1"/>
  <c r="AM251" i="67" s="1" a="1"/>
  <c r="AM251" i="67" s="1"/>
  <c r="AM252" i="67" s="1" a="1"/>
  <c r="AM252" i="67" s="1"/>
  <c r="AM253" i="67" s="1" a="1"/>
  <c r="AM253" i="67" s="1"/>
  <c r="AM254" i="67" s="1" a="1"/>
  <c r="AM254" i="67" s="1"/>
  <c r="AM255" i="67" s="1" a="1"/>
  <c r="AM255" i="67" s="1"/>
  <c r="AM256" i="67" s="1" a="1"/>
  <c r="AM256" i="67" s="1"/>
  <c r="AM257" i="67" s="1" a="1"/>
  <c r="AM257" i="67" s="1"/>
  <c r="C71"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D141" i="61"/>
  <c r="D142" i="61"/>
  <c r="D143" i="61"/>
  <c r="D144" i="61"/>
  <c r="D145" i="61"/>
  <c r="D146" i="61"/>
  <c r="D147" i="61"/>
  <c r="D148" i="61"/>
  <c r="D149" i="61"/>
  <c r="D150" i="61"/>
  <c r="D151" i="61"/>
  <c r="D152" i="61"/>
  <c r="D153" i="61"/>
  <c r="D154" i="61"/>
  <c r="D155" i="61"/>
  <c r="D156" i="61"/>
  <c r="U9" i="78" l="1"/>
  <c r="AB31" i="57"/>
  <c r="AA31" i="57"/>
  <c r="AO18" i="69"/>
  <c r="P18" i="69"/>
  <c r="AO17" i="69"/>
  <c r="P17" i="69"/>
  <c r="AG16" i="69"/>
  <c r="G15" i="69"/>
  <c r="H15" i="69" s="1"/>
  <c r="I15" i="69" s="1"/>
  <c r="J15" i="69" s="1"/>
  <c r="K15" i="69" s="1"/>
  <c r="M15" i="69" s="1"/>
  <c r="X32" i="57"/>
  <c r="W9" i="78"/>
  <c r="AB32" i="53"/>
  <c r="AA32" i="53"/>
  <c r="AE33" i="53"/>
  <c r="AC33" i="53"/>
  <c r="AF32" i="53"/>
  <c r="AF31" i="57"/>
  <c r="AE33" i="57"/>
  <c r="AC33" i="57"/>
  <c r="R33" i="57"/>
  <c r="R33" i="53"/>
  <c r="X33" i="53" s="1"/>
  <c r="C19" i="69"/>
  <c r="P19" i="69" s="1"/>
  <c r="L19" i="69"/>
  <c r="AG34" i="57"/>
  <c r="L34" i="57"/>
  <c r="AJ33" i="57"/>
  <c r="AP33" i="57"/>
  <c r="AG33" i="53"/>
  <c r="AH33" i="53"/>
  <c r="AT33" i="53"/>
  <c r="N34" i="57"/>
  <c r="N34" i="53"/>
  <c r="AD33" i="57"/>
  <c r="AD33" i="53"/>
  <c r="AK33" i="52" a="1"/>
  <c r="AK33" i="52" s="1"/>
  <c r="B35" i="53" s="1"/>
  <c r="O35" i="53" s="1"/>
  <c r="Q33" i="53"/>
  <c r="F34" i="53"/>
  <c r="H34" i="53"/>
  <c r="D34" i="53"/>
  <c r="C34" i="53"/>
  <c r="M34" i="53"/>
  <c r="L34" i="53"/>
  <c r="I34" i="53"/>
  <c r="G34" i="53"/>
  <c r="P34" i="53"/>
  <c r="K34" i="53"/>
  <c r="J34" i="53"/>
  <c r="E34" i="53"/>
  <c r="Q33" i="57"/>
  <c r="T33" i="57" s="1"/>
  <c r="G34" i="57"/>
  <c r="E34" i="57"/>
  <c r="P34" i="57"/>
  <c r="D34" i="57"/>
  <c r="C34" i="57"/>
  <c r="M34" i="57" s="1"/>
  <c r="K34" i="57"/>
  <c r="I34" i="57"/>
  <c r="H34" i="57"/>
  <c r="F34" i="57"/>
  <c r="J34" i="57"/>
  <c r="AK33" i="55" a="1"/>
  <c r="AK33" i="55" s="1"/>
  <c r="B35" i="57" s="1"/>
  <c r="O35" i="57" s="1"/>
  <c r="AN18" i="67" a="1"/>
  <c r="AN18" i="67" s="1"/>
  <c r="B20" i="69" s="1"/>
  <c r="O20" i="69" s="1"/>
  <c r="D18" i="69"/>
  <c r="E18" i="69" s="1"/>
  <c r="F18" i="69" s="1"/>
  <c r="G18" i="69" s="1"/>
  <c r="H18" i="69" s="1"/>
  <c r="I18" i="69" s="1"/>
  <c r="J18" i="69" s="1"/>
  <c r="K18" i="69" s="1"/>
  <c r="M18" i="69" s="1"/>
  <c r="N18" i="69"/>
  <c r="AF18" i="69" s="1"/>
  <c r="N17" i="69"/>
  <c r="AF17" i="69" s="1"/>
  <c r="D17" i="69"/>
  <c r="AF32" i="57" l="1"/>
  <c r="AA32" i="57"/>
  <c r="Y15" i="69"/>
  <c r="X33" i="57"/>
  <c r="AB32" i="57"/>
  <c r="AA33" i="53"/>
  <c r="AB33" i="53"/>
  <c r="AE34" i="53"/>
  <c r="AC34" i="53"/>
  <c r="AF33" i="53"/>
  <c r="AE34" i="57"/>
  <c r="AC34" i="57"/>
  <c r="R34" i="57"/>
  <c r="R34" i="53"/>
  <c r="X34" i="53" s="1"/>
  <c r="N19" i="69"/>
  <c r="AF19" i="69" s="1"/>
  <c r="AO19" i="69"/>
  <c r="D19" i="69"/>
  <c r="E19" i="69" s="1"/>
  <c r="F19" i="69" s="1"/>
  <c r="G19" i="69" s="1"/>
  <c r="H19" i="69" s="1"/>
  <c r="I19" i="69" s="1"/>
  <c r="J19" i="69" s="1"/>
  <c r="K19" i="69" s="1"/>
  <c r="M19" i="69"/>
  <c r="AX18" i="69"/>
  <c r="L20" i="69"/>
  <c r="AX17" i="69"/>
  <c r="AG35" i="57"/>
  <c r="L35" i="57"/>
  <c r="AJ34" i="57"/>
  <c r="AP34" i="57"/>
  <c r="AH34" i="53"/>
  <c r="AT34" i="53"/>
  <c r="AG34" i="53"/>
  <c r="N35" i="57"/>
  <c r="E35" i="53"/>
  <c r="N35" i="53"/>
  <c r="AH18" i="69"/>
  <c r="AH17" i="69"/>
  <c r="AD34" i="57"/>
  <c r="AD34" i="53"/>
  <c r="Q34" i="53"/>
  <c r="J35" i="53"/>
  <c r="K35" i="53"/>
  <c r="M35" i="53"/>
  <c r="P35" i="53"/>
  <c r="F35" i="53"/>
  <c r="D35" i="53"/>
  <c r="G35" i="53"/>
  <c r="H35" i="53"/>
  <c r="L35" i="53"/>
  <c r="AK34" i="52" a="1"/>
  <c r="AK34" i="52" s="1"/>
  <c r="B36" i="53" s="1"/>
  <c r="O36" i="53" s="1"/>
  <c r="I35" i="53"/>
  <c r="C35" i="53"/>
  <c r="I35" i="57"/>
  <c r="F35" i="57"/>
  <c r="E35" i="57"/>
  <c r="C35" i="57"/>
  <c r="M35" i="57" s="1"/>
  <c r="K35" i="57"/>
  <c r="J35" i="57"/>
  <c r="H35" i="57"/>
  <c r="D35" i="57"/>
  <c r="G35" i="57"/>
  <c r="P35" i="57"/>
  <c r="Q34" i="57"/>
  <c r="T34" i="57" s="1"/>
  <c r="AK34" i="55" a="1"/>
  <c r="AK34" i="55" s="1"/>
  <c r="B36" i="57" s="1"/>
  <c r="O36" i="57" s="1"/>
  <c r="AN19" i="67" a="1"/>
  <c r="AN19" i="67" s="1"/>
  <c r="B21" i="69" s="1"/>
  <c r="O21" i="69" s="1"/>
  <c r="C20" i="69"/>
  <c r="P20" i="69" s="1"/>
  <c r="E17" i="69"/>
  <c r="F17" i="69" s="1"/>
  <c r="G17" i="69" s="1"/>
  <c r="H17" i="69" s="1"/>
  <c r="I17" i="69" s="1"/>
  <c r="J17" i="69" s="1"/>
  <c r="K17" i="69" s="1"/>
  <c r="M17" i="69" s="1"/>
  <c r="AE17" i="69"/>
  <c r="R17" i="69"/>
  <c r="S17" i="69" s="1"/>
  <c r="Q17" i="69"/>
  <c r="U17" i="69"/>
  <c r="AE18" i="69"/>
  <c r="R18" i="69"/>
  <c r="S18" i="69" s="1"/>
  <c r="Y18" i="69" s="1"/>
  <c r="U18" i="69"/>
  <c r="Q18" i="69"/>
  <c r="J40" i="36"/>
  <c r="J42" i="36"/>
  <c r="J44" i="36"/>
  <c r="J46" i="36"/>
  <c r="J48" i="36"/>
  <c r="AF33" i="57" l="1"/>
  <c r="AA33" i="57"/>
  <c r="AB18" i="69"/>
  <c r="AC18" i="69" s="1"/>
  <c r="AD18" i="69" s="1"/>
  <c r="AG18" i="69"/>
  <c r="Y17" i="69"/>
  <c r="AB15" i="69"/>
  <c r="AC15" i="69" s="1"/>
  <c r="AD15" i="69" s="1"/>
  <c r="AG15" i="69"/>
  <c r="AB33" i="57"/>
  <c r="X34" i="57"/>
  <c r="AA34" i="57" s="1"/>
  <c r="AB34" i="53"/>
  <c r="AA34" i="53"/>
  <c r="AF34" i="53"/>
  <c r="AE35" i="53"/>
  <c r="AC35" i="53"/>
  <c r="AE35" i="57"/>
  <c r="AC35" i="57"/>
  <c r="R35" i="57"/>
  <c r="R35" i="53"/>
  <c r="X35" i="53" s="1"/>
  <c r="AH19" i="69"/>
  <c r="U19" i="69"/>
  <c r="Q19" i="69"/>
  <c r="R19" i="69"/>
  <c r="S19" i="69" s="1"/>
  <c r="Y19" i="69" s="1"/>
  <c r="AE19" i="69"/>
  <c r="AX19" i="69"/>
  <c r="D20" i="69"/>
  <c r="E20" i="69" s="1"/>
  <c r="F20" i="69" s="1"/>
  <c r="G20" i="69" s="1"/>
  <c r="H20" i="69" s="1"/>
  <c r="I20" i="69" s="1"/>
  <c r="J20" i="69" s="1"/>
  <c r="K20" i="69" s="1"/>
  <c r="AO20" i="69"/>
  <c r="M20" i="69"/>
  <c r="L21" i="69"/>
  <c r="AG36" i="57"/>
  <c r="L36" i="57"/>
  <c r="AJ35" i="57"/>
  <c r="AP35" i="57"/>
  <c r="AH35" i="53"/>
  <c r="AT35" i="53"/>
  <c r="AG35" i="53"/>
  <c r="N36" i="57"/>
  <c r="L36" i="53"/>
  <c r="N36" i="53"/>
  <c r="AD35" i="57"/>
  <c r="Q35" i="53"/>
  <c r="AD35" i="53"/>
  <c r="AK35" i="52" a="1"/>
  <c r="AK35" i="52" s="1"/>
  <c r="B37" i="53" s="1"/>
  <c r="O37" i="53" s="1"/>
  <c r="C36" i="53"/>
  <c r="J36" i="53"/>
  <c r="F36" i="53"/>
  <c r="I36" i="53"/>
  <c r="G36" i="53"/>
  <c r="D36" i="53"/>
  <c r="H36" i="53"/>
  <c r="E36" i="53"/>
  <c r="K36" i="53"/>
  <c r="P36" i="53"/>
  <c r="M36" i="53"/>
  <c r="I36" i="57"/>
  <c r="H36" i="57"/>
  <c r="G36" i="57"/>
  <c r="E36" i="57"/>
  <c r="P36" i="57"/>
  <c r="D36" i="57"/>
  <c r="C36" i="57"/>
  <c r="M36" i="57" s="1"/>
  <c r="K36" i="57"/>
  <c r="F36" i="57"/>
  <c r="J36" i="57"/>
  <c r="Q35" i="57"/>
  <c r="T35" i="57" s="1"/>
  <c r="AK35" i="55" a="1"/>
  <c r="AK35" i="55" s="1"/>
  <c r="B37" i="57" s="1"/>
  <c r="O37" i="57" s="1"/>
  <c r="N20" i="69"/>
  <c r="AF20" i="69" s="1"/>
  <c r="AN20" i="67" a="1"/>
  <c r="AN20" i="67" s="1"/>
  <c r="AN21" i="67" s="1" a="1"/>
  <c r="AN21" i="67" s="1"/>
  <c r="C21" i="69"/>
  <c r="P21" i="69" s="1"/>
  <c r="C157" i="72"/>
  <c r="B157" i="72"/>
  <c r="C156" i="72"/>
  <c r="B156" i="72"/>
  <c r="C155" i="72"/>
  <c r="B155" i="72"/>
  <c r="C154" i="72"/>
  <c r="B154" i="72"/>
  <c r="C153" i="72"/>
  <c r="B153" i="72"/>
  <c r="C152" i="72"/>
  <c r="B152" i="72"/>
  <c r="C151" i="72"/>
  <c r="B151" i="72"/>
  <c r="C150" i="72"/>
  <c r="B150" i="72"/>
  <c r="C149" i="72"/>
  <c r="B149"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J258" i="11"/>
  <c r="J257" i="11"/>
  <c r="J256" i="11"/>
  <c r="J255" i="11"/>
  <c r="J254" i="11"/>
  <c r="J253" i="11"/>
  <c r="J252" i="11"/>
  <c r="J251" i="11"/>
  <c r="J250" i="11"/>
  <c r="J24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18" i="11"/>
  <c r="J217" i="11"/>
  <c r="J216" i="11"/>
  <c r="J215" i="11"/>
  <c r="J214" i="11"/>
  <c r="J213" i="11"/>
  <c r="J212" i="11"/>
  <c r="J211" i="11"/>
  <c r="J210" i="11"/>
  <c r="J209" i="11"/>
  <c r="J208" i="11"/>
  <c r="J207" i="11"/>
  <c r="J206" i="11"/>
  <c r="J205" i="11"/>
  <c r="J204" i="11"/>
  <c r="J203" i="11"/>
  <c r="J202" i="11"/>
  <c r="J201" i="11"/>
  <c r="J200" i="11"/>
  <c r="J199" i="11"/>
  <c r="J198" i="11"/>
  <c r="J197" i="11"/>
  <c r="J196" i="11"/>
  <c r="J195" i="11"/>
  <c r="J194" i="11"/>
  <c r="J193" i="11"/>
  <c r="J192" i="11"/>
  <c r="J191" i="11"/>
  <c r="J190" i="11"/>
  <c r="J189" i="11"/>
  <c r="J188" i="11"/>
  <c r="J187" i="11"/>
  <c r="J186" i="11"/>
  <c r="J185" i="11"/>
  <c r="J184" i="11"/>
  <c r="J183" i="11"/>
  <c r="J182" i="11"/>
  <c r="J181" i="11"/>
  <c r="J180" i="11"/>
  <c r="J179" i="11"/>
  <c r="J178" i="11"/>
  <c r="J177" i="11"/>
  <c r="J176" i="11"/>
  <c r="J175" i="11"/>
  <c r="J174" i="11"/>
  <c r="J173" i="11"/>
  <c r="J172" i="11"/>
  <c r="J171" i="11"/>
  <c r="J170" i="11"/>
  <c r="J169" i="11"/>
  <c r="J168" i="11"/>
  <c r="J167" i="11"/>
  <c r="J166" i="11"/>
  <c r="J165" i="11"/>
  <c r="J164" i="11"/>
  <c r="J163" i="11"/>
  <c r="J162" i="11"/>
  <c r="J161" i="11"/>
  <c r="J160" i="11"/>
  <c r="J159" i="11"/>
  <c r="J158" i="11"/>
  <c r="J157" i="11"/>
  <c r="J156" i="11"/>
  <c r="J155" i="11"/>
  <c r="J154" i="11"/>
  <c r="J153" i="11"/>
  <c r="J152" i="11"/>
  <c r="J151" i="11"/>
  <c r="J150" i="11"/>
  <c r="J149" i="11"/>
  <c r="J148" i="11"/>
  <c r="J147" i="11"/>
  <c r="J146" i="11"/>
  <c r="J145" i="11"/>
  <c r="J144" i="11"/>
  <c r="J143" i="11"/>
  <c r="J142" i="11"/>
  <c r="J141" i="11"/>
  <c r="J140" i="11"/>
  <c r="J139" i="11"/>
  <c r="J138" i="11"/>
  <c r="J137" i="11"/>
  <c r="J136" i="11"/>
  <c r="J135" i="11"/>
  <c r="J134" i="11"/>
  <c r="J133" i="11"/>
  <c r="J132" i="11"/>
  <c r="J131" i="11"/>
  <c r="J130" i="11"/>
  <c r="J129" i="11"/>
  <c r="J128" i="11"/>
  <c r="J127" i="11"/>
  <c r="J126" i="11"/>
  <c r="J125" i="11"/>
  <c r="J124" i="11"/>
  <c r="J123" i="11"/>
  <c r="J122" i="11"/>
  <c r="J121" i="11"/>
  <c r="J120" i="11"/>
  <c r="J119" i="11"/>
  <c r="J118" i="11"/>
  <c r="J117" i="11"/>
  <c r="J116" i="11"/>
  <c r="J115" i="11"/>
  <c r="J114" i="11"/>
  <c r="J113" i="11"/>
  <c r="J112" i="11"/>
  <c r="J111" i="1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Q99" i="29"/>
  <c r="E3" i="28" s="1"/>
  <c r="Q124" i="29"/>
  <c r="E40" i="28" s="1"/>
  <c r="O124" i="29"/>
  <c r="C40" i="28" s="1"/>
  <c r="M124" i="29"/>
  <c r="P49" i="11" s="1"/>
  <c r="Q49" i="11" s="1"/>
  <c r="L124" i="29"/>
  <c r="Q123" i="29"/>
  <c r="E44" i="28" s="1"/>
  <c r="O123" i="29"/>
  <c r="C44" i="28" s="1"/>
  <c r="M123" i="29"/>
  <c r="P59" i="11" s="1"/>
  <c r="Q59" i="11" s="1"/>
  <c r="L123" i="29"/>
  <c r="Q122" i="29"/>
  <c r="E42" i="28" s="1"/>
  <c r="O122" i="29"/>
  <c r="C42" i="28" s="1"/>
  <c r="M122" i="29"/>
  <c r="P55" i="11" s="1"/>
  <c r="Q55" i="11" s="1"/>
  <c r="L122" i="29"/>
  <c r="Q121" i="29"/>
  <c r="E43" i="28" s="1"/>
  <c r="O121" i="29"/>
  <c r="C43" i="28" s="1"/>
  <c r="M121" i="29"/>
  <c r="P53" i="11" s="1"/>
  <c r="Q53" i="11" s="1"/>
  <c r="L121" i="29"/>
  <c r="Q118" i="29"/>
  <c r="E41" i="28" s="1"/>
  <c r="O118" i="29"/>
  <c r="C41" i="28" s="1"/>
  <c r="M118" i="29"/>
  <c r="P50" i="11" s="1"/>
  <c r="Q50" i="11" s="1"/>
  <c r="L118" i="29"/>
  <c r="Q117" i="29"/>
  <c r="E45" i="28" s="1"/>
  <c r="O117" i="29"/>
  <c r="C45" i="28" s="1"/>
  <c r="M117" i="29"/>
  <c r="P60" i="11" s="1"/>
  <c r="Q60" i="11" s="1"/>
  <c r="L117" i="29"/>
  <c r="Q116" i="29"/>
  <c r="E46" i="28" s="1"/>
  <c r="O116" i="29"/>
  <c r="C46" i="28" s="1"/>
  <c r="M116" i="29"/>
  <c r="P58" i="11" s="1"/>
  <c r="Q58" i="11" s="1"/>
  <c r="L116" i="29"/>
  <c r="Q114" i="29"/>
  <c r="E51" i="28" s="1"/>
  <c r="O114" i="29"/>
  <c r="C51" i="28" s="1"/>
  <c r="M114" i="29"/>
  <c r="P65" i="11" s="1"/>
  <c r="Q65" i="11" s="1"/>
  <c r="L114" i="29"/>
  <c r="Q113" i="29"/>
  <c r="E50" i="28" s="1"/>
  <c r="O113" i="29"/>
  <c r="C50" i="28" s="1"/>
  <c r="M113" i="29"/>
  <c r="P68" i="11" s="1"/>
  <c r="Q68" i="11" s="1"/>
  <c r="L113" i="29"/>
  <c r="Q108" i="29"/>
  <c r="E4" i="28" s="1"/>
  <c r="O108" i="29"/>
  <c r="C4" i="28" s="1"/>
  <c r="Q112" i="29"/>
  <c r="E48" i="28" s="1"/>
  <c r="O112" i="29"/>
  <c r="C48" i="28" s="1"/>
  <c r="M112" i="29"/>
  <c r="P64" i="11" s="1"/>
  <c r="Q64" i="11" s="1"/>
  <c r="L112" i="29"/>
  <c r="Q111" i="29"/>
  <c r="E49" i="28" s="1"/>
  <c r="O111" i="29"/>
  <c r="C49" i="28" s="1"/>
  <c r="M111" i="29"/>
  <c r="P61" i="11" s="1"/>
  <c r="Q61" i="11" s="1"/>
  <c r="L111" i="29"/>
  <c r="Q110" i="29"/>
  <c r="E47" i="28" s="1"/>
  <c r="O110" i="29"/>
  <c r="C47" i="28" s="1"/>
  <c r="M110" i="29"/>
  <c r="P63" i="11" s="1"/>
  <c r="Q63" i="11" s="1"/>
  <c r="L110" i="29"/>
  <c r="Q107" i="29"/>
  <c r="E64" i="28" s="1"/>
  <c r="O107" i="29"/>
  <c r="C64" i="28" s="1"/>
  <c r="P44" i="11"/>
  <c r="Q44" i="11" s="1"/>
  <c r="Q106" i="29"/>
  <c r="E63" i="28" s="1"/>
  <c r="O106" i="29"/>
  <c r="C63" i="28" s="1"/>
  <c r="P43" i="11"/>
  <c r="Q43" i="11" s="1"/>
  <c r="Q105" i="29"/>
  <c r="E68" i="28" s="1"/>
  <c r="O105" i="29"/>
  <c r="C68" i="28" s="1"/>
  <c r="P48" i="11"/>
  <c r="Q48" i="11" s="1"/>
  <c r="Q104" i="29"/>
  <c r="E67" i="28" s="1"/>
  <c r="O104" i="29"/>
  <c r="C67" i="28" s="1"/>
  <c r="P47" i="11"/>
  <c r="Q47" i="11" s="1"/>
  <c r="Q103" i="29"/>
  <c r="E70" i="28" s="1"/>
  <c r="O103" i="29"/>
  <c r="C70" i="28" s="1"/>
  <c r="P46" i="11"/>
  <c r="Q46" i="11" s="1"/>
  <c r="Q102" i="29"/>
  <c r="E69" i="28" s="1"/>
  <c r="O102" i="29"/>
  <c r="C69" i="28" s="1"/>
  <c r="P45" i="11"/>
  <c r="Q45" i="11" s="1"/>
  <c r="Q101" i="29"/>
  <c r="E66" i="28" s="1"/>
  <c r="O101" i="29"/>
  <c r="C66" i="28" s="1"/>
  <c r="P42" i="11"/>
  <c r="Q42" i="11" s="1"/>
  <c r="Q100" i="29"/>
  <c r="E65" i="28" s="1"/>
  <c r="O100" i="29"/>
  <c r="C65" i="28" s="1"/>
  <c r="P41" i="11"/>
  <c r="Q41" i="11" s="1"/>
  <c r="O99" i="29"/>
  <c r="C3" i="28" s="1"/>
  <c r="P38" i="11"/>
  <c r="Q38" i="11" s="1"/>
  <c r="AB19" i="69" l="1"/>
  <c r="AC19" i="69" s="1"/>
  <c r="AD19" i="69" s="1"/>
  <c r="AG19" i="69"/>
  <c r="AB17" i="69"/>
  <c r="AC17" i="69" s="1"/>
  <c r="AD17" i="69" s="1"/>
  <c r="AG17" i="69"/>
  <c r="AF34" i="57"/>
  <c r="AB34" i="57"/>
  <c r="X35" i="57"/>
  <c r="AB35" i="53"/>
  <c r="AA35" i="53"/>
  <c r="AE36" i="53"/>
  <c r="AC36" i="53"/>
  <c r="AF35" i="53"/>
  <c r="AC36" i="57"/>
  <c r="AE36" i="57"/>
  <c r="R36" i="57"/>
  <c r="R36" i="53"/>
  <c r="X36" i="53" s="1"/>
  <c r="D21" i="69"/>
  <c r="E21" i="69" s="1"/>
  <c r="F21" i="69" s="1"/>
  <c r="G21" i="69" s="1"/>
  <c r="H21" i="69" s="1"/>
  <c r="I21" i="69" s="1"/>
  <c r="J21" i="69" s="1"/>
  <c r="K21" i="69" s="1"/>
  <c r="AO21" i="69"/>
  <c r="D112" i="22"/>
  <c r="P52" i="11"/>
  <c r="Q52" i="11" s="1"/>
  <c r="M21" i="69"/>
  <c r="AX20" i="69"/>
  <c r="L37" i="57"/>
  <c r="AG37" i="57"/>
  <c r="AJ36" i="57"/>
  <c r="AP36" i="57"/>
  <c r="AG36" i="53"/>
  <c r="AH36" i="53"/>
  <c r="AT36" i="53"/>
  <c r="N37" i="57"/>
  <c r="N37" i="53"/>
  <c r="AH20" i="69"/>
  <c r="AD36" i="57"/>
  <c r="Q36" i="53"/>
  <c r="AD36" i="53"/>
  <c r="I37" i="53"/>
  <c r="C37" i="53"/>
  <c r="F37" i="53"/>
  <c r="L37" i="53"/>
  <c r="K37" i="53"/>
  <c r="E37" i="53"/>
  <c r="P37" i="53"/>
  <c r="H37" i="53"/>
  <c r="M37" i="53"/>
  <c r="G37" i="53"/>
  <c r="AK36" i="52" a="1"/>
  <c r="AK36" i="52" s="1"/>
  <c r="B38" i="53" s="1"/>
  <c r="O38" i="53" s="1"/>
  <c r="J37" i="53"/>
  <c r="D37" i="53"/>
  <c r="Q36" i="57"/>
  <c r="T36" i="57" s="1"/>
  <c r="G37" i="57"/>
  <c r="I37" i="57"/>
  <c r="J37" i="57"/>
  <c r="F37" i="57"/>
  <c r="P37" i="57"/>
  <c r="K37" i="57"/>
  <c r="H37" i="57"/>
  <c r="E37" i="57"/>
  <c r="D37" i="57"/>
  <c r="C37" i="57"/>
  <c r="M37" i="57" s="1"/>
  <c r="AK36" i="55" a="1"/>
  <c r="AK36" i="55" s="1"/>
  <c r="B38" i="57" s="1"/>
  <c r="O38" i="57" s="1"/>
  <c r="AE20" i="69"/>
  <c r="Q20" i="69"/>
  <c r="R20" i="69"/>
  <c r="S20" i="69" s="1"/>
  <c r="Y20" i="69" s="1"/>
  <c r="AB20" i="69" s="1"/>
  <c r="AC20" i="69" s="1"/>
  <c r="AD20" i="69" s="1"/>
  <c r="N21" i="69"/>
  <c r="AF21" i="69" s="1"/>
  <c r="U20" i="69"/>
  <c r="B22" i="69"/>
  <c r="O22" i="69" s="1"/>
  <c r="AN22" i="67" a="1"/>
  <c r="AN22" i="67" s="1"/>
  <c r="B23" i="69"/>
  <c r="AB35" i="57" l="1"/>
  <c r="AA35" i="57"/>
  <c r="L23" i="69"/>
  <c r="O23" i="69"/>
  <c r="AG20" i="69"/>
  <c r="AF35" i="57"/>
  <c r="AB36" i="53"/>
  <c r="AA36" i="53"/>
  <c r="AF36" i="53"/>
  <c r="AE37" i="53"/>
  <c r="AC37" i="53"/>
  <c r="X36" i="57"/>
  <c r="AE37" i="57"/>
  <c r="AC37" i="57"/>
  <c r="R37" i="57"/>
  <c r="R37" i="53"/>
  <c r="X37" i="53" s="1"/>
  <c r="L22" i="69"/>
  <c r="AX21" i="69"/>
  <c r="AG38" i="57"/>
  <c r="L38" i="57"/>
  <c r="AJ37" i="57"/>
  <c r="AP37" i="57"/>
  <c r="AG37" i="53"/>
  <c r="AH37" i="53"/>
  <c r="AT37" i="53"/>
  <c r="N38" i="57"/>
  <c r="H38" i="53"/>
  <c r="N38" i="53"/>
  <c r="Q21" i="69"/>
  <c r="AH21" i="69"/>
  <c r="AD37" i="57"/>
  <c r="Q37" i="53"/>
  <c r="AD37" i="53"/>
  <c r="AK37" i="52" a="1"/>
  <c r="AK37" i="52" s="1"/>
  <c r="B39" i="53" s="1"/>
  <c r="O39" i="53" s="1"/>
  <c r="K38" i="53"/>
  <c r="D38" i="53"/>
  <c r="C38" i="53"/>
  <c r="G38" i="53"/>
  <c r="I38" i="53"/>
  <c r="F38" i="53"/>
  <c r="M38" i="53"/>
  <c r="P38" i="53"/>
  <c r="L38" i="53"/>
  <c r="E38" i="53"/>
  <c r="J38" i="53"/>
  <c r="P38" i="57"/>
  <c r="D38" i="57"/>
  <c r="K38" i="57"/>
  <c r="I38" i="57"/>
  <c r="H38" i="57"/>
  <c r="G38" i="57"/>
  <c r="E38" i="57"/>
  <c r="C38" i="57"/>
  <c r="M38" i="57" s="1"/>
  <c r="F38" i="57"/>
  <c r="J38" i="57"/>
  <c r="Q37" i="57"/>
  <c r="T37" i="57" s="1"/>
  <c r="AK37" i="55" a="1"/>
  <c r="AK37" i="55" s="1"/>
  <c r="B39" i="57" s="1"/>
  <c r="O39" i="57" s="1"/>
  <c r="U21" i="69"/>
  <c r="R21" i="69"/>
  <c r="S21" i="69" s="1"/>
  <c r="Y21" i="69" s="1"/>
  <c r="AE21" i="69"/>
  <c r="C22" i="69"/>
  <c r="P22" i="69" s="1"/>
  <c r="C23" i="69"/>
  <c r="AN23" i="67" a="1"/>
  <c r="AN23" i="67" s="1"/>
  <c r="B24" i="69"/>
  <c r="A125" i="99"/>
  <c r="A124" i="99"/>
  <c r="A123" i="99"/>
  <c r="A122" i="99"/>
  <c r="A119" i="99"/>
  <c r="A118" i="99"/>
  <c r="A117" i="99"/>
  <c r="A115" i="99"/>
  <c r="A114" i="99"/>
  <c r="A112" i="99"/>
  <c r="A111" i="99"/>
  <c r="A110" i="99"/>
  <c r="A109" i="99"/>
  <c r="A108" i="99"/>
  <c r="A107" i="99"/>
  <c r="A106" i="99"/>
  <c r="A105" i="99"/>
  <c r="A104" i="99"/>
  <c r="A103" i="99"/>
  <c r="A102" i="99"/>
  <c r="A101" i="99"/>
  <c r="A100" i="99"/>
  <c r="C126" i="33"/>
  <c r="C125" i="33"/>
  <c r="C124" i="33"/>
  <c r="C123" i="33"/>
  <c r="C120" i="33"/>
  <c r="C119" i="33"/>
  <c r="C118" i="33"/>
  <c r="C116" i="33"/>
  <c r="C115" i="33"/>
  <c r="C113" i="33"/>
  <c r="C112" i="33"/>
  <c r="C111" i="33"/>
  <c r="C110" i="33"/>
  <c r="C109" i="33"/>
  <c r="C108" i="33"/>
  <c r="C107" i="33"/>
  <c r="C106" i="33"/>
  <c r="C105" i="33"/>
  <c r="C104" i="33"/>
  <c r="C103" i="33"/>
  <c r="C102" i="33"/>
  <c r="C101" i="33"/>
  <c r="F125" i="20"/>
  <c r="F124" i="20"/>
  <c r="F123" i="20"/>
  <c r="F122" i="20"/>
  <c r="F119" i="20"/>
  <c r="F118" i="20"/>
  <c r="F117" i="20"/>
  <c r="F115" i="20"/>
  <c r="F114" i="20"/>
  <c r="F112" i="20"/>
  <c r="F111" i="20"/>
  <c r="F110" i="20"/>
  <c r="F109" i="20"/>
  <c r="F108" i="20"/>
  <c r="F107" i="20"/>
  <c r="F106" i="20"/>
  <c r="F105" i="20"/>
  <c r="F104" i="20"/>
  <c r="F103" i="20"/>
  <c r="F102" i="20"/>
  <c r="F101" i="20"/>
  <c r="F100" i="20"/>
  <c r="D127" i="22"/>
  <c r="C127" i="22"/>
  <c r="B127" i="22"/>
  <c r="D125" i="22"/>
  <c r="C125" i="22"/>
  <c r="B125" i="22"/>
  <c r="A125" i="22"/>
  <c r="F125" i="22" s="1"/>
  <c r="D124" i="22"/>
  <c r="C124" i="22"/>
  <c r="B124" i="22"/>
  <c r="A124" i="22"/>
  <c r="F124" i="22" s="1"/>
  <c r="D123" i="22"/>
  <c r="C123" i="22"/>
  <c r="B123" i="22"/>
  <c r="A123" i="22"/>
  <c r="F123" i="22" s="1"/>
  <c r="D122" i="22"/>
  <c r="C122" i="22"/>
  <c r="B122" i="22"/>
  <c r="A122" i="22"/>
  <c r="F122" i="22" s="1"/>
  <c r="D119" i="22"/>
  <c r="C119" i="22"/>
  <c r="B119" i="22"/>
  <c r="A119" i="22"/>
  <c r="F119" i="22" s="1"/>
  <c r="D118" i="22"/>
  <c r="C118" i="22"/>
  <c r="B118" i="22"/>
  <c r="A118" i="22"/>
  <c r="F118" i="22" s="1"/>
  <c r="D117" i="22"/>
  <c r="C117" i="22"/>
  <c r="B117" i="22"/>
  <c r="A117" i="22"/>
  <c r="F117" i="22" s="1"/>
  <c r="D115" i="22"/>
  <c r="C115" i="22"/>
  <c r="B115" i="22"/>
  <c r="A115" i="22"/>
  <c r="F115" i="22" s="1"/>
  <c r="D114" i="22"/>
  <c r="C114" i="22"/>
  <c r="B114" i="22"/>
  <c r="A114" i="22"/>
  <c r="F114" i="22" s="1"/>
  <c r="D111" i="22"/>
  <c r="C111" i="22"/>
  <c r="B111" i="22"/>
  <c r="A111" i="22"/>
  <c r="F111" i="22" s="1"/>
  <c r="D110" i="22"/>
  <c r="C110" i="22"/>
  <c r="B110" i="22"/>
  <c r="A110" i="22"/>
  <c r="F110" i="22" s="1"/>
  <c r="D109" i="22"/>
  <c r="C109" i="22"/>
  <c r="B109" i="22"/>
  <c r="A109" i="22"/>
  <c r="F109" i="22" s="1"/>
  <c r="D108" i="22"/>
  <c r="C108" i="22"/>
  <c r="B108" i="22"/>
  <c r="A108" i="22"/>
  <c r="F108" i="22" s="1"/>
  <c r="D107" i="22"/>
  <c r="C107" i="22"/>
  <c r="B107" i="22"/>
  <c r="A107" i="22"/>
  <c r="F107" i="22" s="1"/>
  <c r="D106" i="22"/>
  <c r="C106" i="22"/>
  <c r="B106" i="22"/>
  <c r="A106" i="22"/>
  <c r="D105" i="22"/>
  <c r="C105" i="22"/>
  <c r="B105" i="22"/>
  <c r="A105" i="22"/>
  <c r="F105" i="22" s="1"/>
  <c r="D104" i="22"/>
  <c r="C104" i="22"/>
  <c r="B104" i="22"/>
  <c r="A104" i="22"/>
  <c r="F104" i="22" s="1"/>
  <c r="D103" i="22"/>
  <c r="C103" i="22"/>
  <c r="B103" i="22"/>
  <c r="A103" i="22"/>
  <c r="F103" i="22" s="1"/>
  <c r="D102" i="22"/>
  <c r="C102" i="22"/>
  <c r="B102" i="22"/>
  <c r="A102" i="22"/>
  <c r="F102" i="22" s="1"/>
  <c r="D101" i="22"/>
  <c r="C101" i="22"/>
  <c r="B101" i="22"/>
  <c r="A101" i="22"/>
  <c r="F101" i="22" s="1"/>
  <c r="D100" i="22"/>
  <c r="C100" i="22"/>
  <c r="B100" i="22"/>
  <c r="A100" i="22"/>
  <c r="F100" i="22" s="1"/>
  <c r="AB36" i="57" l="1"/>
  <c r="AA36" i="57"/>
  <c r="AB21" i="69"/>
  <c r="AC21" i="69" s="1"/>
  <c r="AD21" i="69" s="1"/>
  <c r="AG21" i="69"/>
  <c r="L24" i="69"/>
  <c r="O24" i="69"/>
  <c r="AO23" i="69"/>
  <c r="P23" i="69"/>
  <c r="AA37" i="53"/>
  <c r="AB37" i="53"/>
  <c r="AE38" i="53"/>
  <c r="AC38" i="53"/>
  <c r="AF37" i="53"/>
  <c r="X37" i="57"/>
  <c r="AF36" i="57"/>
  <c r="AE38" i="57"/>
  <c r="AC38" i="57"/>
  <c r="R38" i="57"/>
  <c r="R38" i="53"/>
  <c r="X38" i="53" s="1"/>
  <c r="AO22" i="69"/>
  <c r="S100" i="22"/>
  <c r="E100" i="22"/>
  <c r="S102" i="22"/>
  <c r="E102" i="22"/>
  <c r="S104" i="22"/>
  <c r="E104" i="22"/>
  <c r="S108" i="22"/>
  <c r="E108" i="22"/>
  <c r="S110" i="22"/>
  <c r="E110" i="22"/>
  <c r="S114" i="22"/>
  <c r="E114" i="22"/>
  <c r="E117" i="22"/>
  <c r="S117" i="22"/>
  <c r="S127" i="22"/>
  <c r="E127" i="22"/>
  <c r="S101" i="22"/>
  <c r="E101" i="22"/>
  <c r="S103" i="22"/>
  <c r="E103" i="22"/>
  <c r="E105" i="22"/>
  <c r="S105" i="22"/>
  <c r="S107" i="22"/>
  <c r="E107" i="22"/>
  <c r="S109" i="22"/>
  <c r="E109" i="22"/>
  <c r="S111" i="22"/>
  <c r="E111" i="22"/>
  <c r="E115" i="22"/>
  <c r="S115" i="22"/>
  <c r="S118" i="22"/>
  <c r="E118" i="22"/>
  <c r="E122" i="22"/>
  <c r="S122" i="22"/>
  <c r="E124" i="22"/>
  <c r="S124" i="22"/>
  <c r="E106" i="22"/>
  <c r="S106" i="22"/>
  <c r="E119" i="22"/>
  <c r="S119" i="22"/>
  <c r="S123" i="22"/>
  <c r="E123" i="22"/>
  <c r="S125" i="22"/>
  <c r="E125" i="22"/>
  <c r="AG39" i="57"/>
  <c r="L39" i="57"/>
  <c r="AJ38" i="57"/>
  <c r="AP38" i="57"/>
  <c r="AH38" i="53"/>
  <c r="AT38" i="53"/>
  <c r="AG38" i="53"/>
  <c r="N39" i="57"/>
  <c r="C39" i="53"/>
  <c r="N39" i="53"/>
  <c r="AD38" i="57"/>
  <c r="AD38" i="53"/>
  <c r="Q38" i="53"/>
  <c r="F39" i="53"/>
  <c r="G39" i="53"/>
  <c r="K39" i="53"/>
  <c r="M39" i="53"/>
  <c r="D39" i="53"/>
  <c r="H39" i="53"/>
  <c r="L39" i="53"/>
  <c r="AK38" i="52" a="1"/>
  <c r="AK38" i="52" s="1"/>
  <c r="B40" i="53" s="1"/>
  <c r="O40" i="53" s="1"/>
  <c r="P39" i="53"/>
  <c r="J39" i="53"/>
  <c r="E39" i="53"/>
  <c r="I39" i="53"/>
  <c r="F39" i="57"/>
  <c r="K39" i="57"/>
  <c r="I39" i="57"/>
  <c r="C39" i="57"/>
  <c r="M39" i="57" s="1"/>
  <c r="P39" i="57"/>
  <c r="H39" i="57"/>
  <c r="D39" i="57"/>
  <c r="E39" i="57"/>
  <c r="G39" i="57"/>
  <c r="J39" i="57"/>
  <c r="Q38" i="57"/>
  <c r="T38" i="57" s="1"/>
  <c r="AK38" i="55" a="1"/>
  <c r="AK38" i="55" s="1"/>
  <c r="B40" i="57" s="1"/>
  <c r="O40" i="57" s="1"/>
  <c r="N22" i="69"/>
  <c r="AF22" i="69" s="1"/>
  <c r="D22" i="69"/>
  <c r="E22" i="69" s="1"/>
  <c r="F22" i="69" s="1"/>
  <c r="G22" i="69" s="1"/>
  <c r="H22" i="69" s="1"/>
  <c r="I22" i="69" s="1"/>
  <c r="J22" i="69" s="1"/>
  <c r="K22" i="69" s="1"/>
  <c r="M22" i="69" s="1"/>
  <c r="AN24" i="67" a="1"/>
  <c r="AN24" i="67" s="1"/>
  <c r="B25" i="69"/>
  <c r="D23" i="69"/>
  <c r="E23" i="69" s="1"/>
  <c r="F23" i="69" s="1"/>
  <c r="G23" i="69" s="1"/>
  <c r="H23" i="69" s="1"/>
  <c r="I23" i="69" s="1"/>
  <c r="J23" i="69" s="1"/>
  <c r="K23" i="69" s="1"/>
  <c r="M23" i="69" s="1"/>
  <c r="N23" i="69"/>
  <c r="AF23" i="69" s="1"/>
  <c r="C24" i="69"/>
  <c r="V105" i="22"/>
  <c r="U105" i="22"/>
  <c r="W109" i="22"/>
  <c r="V109" i="22"/>
  <c r="U109" i="22"/>
  <c r="U107" i="22"/>
  <c r="V107" i="22"/>
  <c r="W110" i="22"/>
  <c r="U110" i="22"/>
  <c r="V124" i="22"/>
  <c r="U124" i="22"/>
  <c r="U100" i="22"/>
  <c r="U102" i="22"/>
  <c r="V102" i="22"/>
  <c r="U104" i="22"/>
  <c r="V104" i="22"/>
  <c r="V106" i="22"/>
  <c r="U106" i="22"/>
  <c r="V108" i="22"/>
  <c r="U108" i="22"/>
  <c r="U111" i="22"/>
  <c r="V111" i="22"/>
  <c r="I114" i="22"/>
  <c r="U114" i="22"/>
  <c r="V114" i="22"/>
  <c r="U117" i="22"/>
  <c r="V117" i="22"/>
  <c r="U118" i="22"/>
  <c r="V123" i="22"/>
  <c r="U123" i="22"/>
  <c r="U125" i="22"/>
  <c r="U127" i="22"/>
  <c r="V127" i="22"/>
  <c r="U103" i="22"/>
  <c r="V115" i="22"/>
  <c r="U115" i="22"/>
  <c r="V122" i="22"/>
  <c r="U122" i="22"/>
  <c r="V101" i="22"/>
  <c r="U101" i="22"/>
  <c r="V119" i="22"/>
  <c r="U119" i="22"/>
  <c r="W115" i="22"/>
  <c r="X103" i="22"/>
  <c r="X106" i="22"/>
  <c r="W107" i="22"/>
  <c r="X104" i="22"/>
  <c r="L107" i="22"/>
  <c r="W103" i="22"/>
  <c r="G105" i="22"/>
  <c r="L105" i="22"/>
  <c r="X105" i="22"/>
  <c r="G103" i="22"/>
  <c r="G107" i="22"/>
  <c r="G115" i="22"/>
  <c r="L118" i="22"/>
  <c r="G123" i="22"/>
  <c r="W105" i="22"/>
  <c r="X118" i="22"/>
  <c r="T106" i="22"/>
  <c r="T123" i="22"/>
  <c r="X124" i="22"/>
  <c r="X127" i="22"/>
  <c r="K102" i="22"/>
  <c r="T102" i="22"/>
  <c r="K115" i="22"/>
  <c r="T115" i="22"/>
  <c r="L117" i="22"/>
  <c r="G102" i="22"/>
  <c r="L102" i="22"/>
  <c r="K110" i="22"/>
  <c r="K109" i="22"/>
  <c r="T109" i="22"/>
  <c r="X101" i="22"/>
  <c r="K103" i="22"/>
  <c r="K105" i="22"/>
  <c r="T105" i="22"/>
  <c r="K107" i="22"/>
  <c r="T107" i="22"/>
  <c r="G109" i="22"/>
  <c r="L109" i="22"/>
  <c r="G110" i="22"/>
  <c r="T117" i="22"/>
  <c r="I119" i="22"/>
  <c r="W100" i="22"/>
  <c r="G100" i="22"/>
  <c r="K100" i="22"/>
  <c r="W111" i="22"/>
  <c r="K111" i="22"/>
  <c r="G111" i="22"/>
  <c r="L108" i="22"/>
  <c r="T108" i="22"/>
  <c r="L111" i="22"/>
  <c r="T111" i="22"/>
  <c r="W114" i="22"/>
  <c r="K114" i="22"/>
  <c r="G114" i="22"/>
  <c r="W108" i="22"/>
  <c r="K108" i="22"/>
  <c r="G108" i="22"/>
  <c r="X108" i="22"/>
  <c r="X111" i="22"/>
  <c r="T114" i="22"/>
  <c r="T122" i="22"/>
  <c r="W122" i="22"/>
  <c r="K122" i="22"/>
  <c r="G122" i="22"/>
  <c r="L122" i="22"/>
  <c r="I122" i="22"/>
  <c r="X122" i="22"/>
  <c r="T101" i="22"/>
  <c r="W104" i="22"/>
  <c r="K104" i="22"/>
  <c r="G104" i="22"/>
  <c r="G101" i="22"/>
  <c r="K101" i="22"/>
  <c r="W101" i="22"/>
  <c r="W102" i="22"/>
  <c r="X102" i="22"/>
  <c r="T104" i="22"/>
  <c r="W106" i="22"/>
  <c r="K106" i="22"/>
  <c r="G106" i="22"/>
  <c r="I111" i="22"/>
  <c r="I117" i="22"/>
  <c r="I118" i="22"/>
  <c r="L119" i="22"/>
  <c r="T119" i="22"/>
  <c r="W119" i="22"/>
  <c r="K119" i="22"/>
  <c r="G119" i="22"/>
  <c r="I103" i="22"/>
  <c r="I105" i="22"/>
  <c r="I107" i="22"/>
  <c r="I110" i="22"/>
  <c r="G117" i="22"/>
  <c r="K117" i="22"/>
  <c r="W117" i="22"/>
  <c r="G118" i="22"/>
  <c r="K118" i="22"/>
  <c r="W118" i="22"/>
  <c r="X119" i="22"/>
  <c r="I123" i="22"/>
  <c r="G124" i="22"/>
  <c r="K124" i="22"/>
  <c r="W124" i="22"/>
  <c r="I125" i="22"/>
  <c r="G127" i="22"/>
  <c r="K127" i="22"/>
  <c r="W127" i="22"/>
  <c r="K123" i="22"/>
  <c r="W123" i="22"/>
  <c r="G125" i="22"/>
  <c r="K125" i="22"/>
  <c r="W125" i="22"/>
  <c r="I127" i="22"/>
  <c r="L123" i="22"/>
  <c r="X123" i="22"/>
  <c r="T124" i="22"/>
  <c r="L125" i="22"/>
  <c r="X125" i="22"/>
  <c r="T127" i="22"/>
  <c r="AF37" i="57" l="1"/>
  <c r="AA37" i="57"/>
  <c r="AO24" i="69"/>
  <c r="P24" i="69"/>
  <c r="L25" i="69"/>
  <c r="O25" i="69"/>
  <c r="AB38" i="53"/>
  <c r="AA38" i="53"/>
  <c r="AE39" i="53"/>
  <c r="AC39" i="53"/>
  <c r="AF38" i="53"/>
  <c r="AB37" i="57"/>
  <c r="X38" i="57"/>
  <c r="AE39" i="57"/>
  <c r="AC39" i="57"/>
  <c r="R39" i="57"/>
  <c r="R39" i="53"/>
  <c r="X39" i="53" s="1"/>
  <c r="AX22" i="69"/>
  <c r="AX23" i="69"/>
  <c r="AG40" i="57"/>
  <c r="L40" i="57"/>
  <c r="AJ39" i="57"/>
  <c r="AP39" i="57"/>
  <c r="AH39" i="53"/>
  <c r="AT39" i="53"/>
  <c r="AG39" i="53"/>
  <c r="N40" i="57"/>
  <c r="H40" i="53"/>
  <c r="N40" i="53"/>
  <c r="AH22" i="69"/>
  <c r="AH23" i="69"/>
  <c r="AD39" i="57"/>
  <c r="AD39" i="53"/>
  <c r="AK39" i="52" a="1"/>
  <c r="AK39" i="52" s="1"/>
  <c r="B41" i="53" s="1"/>
  <c r="O41" i="53" s="1"/>
  <c r="G40" i="53"/>
  <c r="E40" i="53"/>
  <c r="D40" i="53"/>
  <c r="J40" i="53"/>
  <c r="M40" i="53"/>
  <c r="F40" i="53"/>
  <c r="P40" i="53"/>
  <c r="Q39" i="53"/>
  <c r="K40" i="53"/>
  <c r="L40" i="53"/>
  <c r="I40" i="53"/>
  <c r="C40" i="53"/>
  <c r="K40" i="57"/>
  <c r="G40" i="57"/>
  <c r="E40" i="57"/>
  <c r="P40" i="57"/>
  <c r="D40" i="57"/>
  <c r="C40" i="57"/>
  <c r="M40" i="57" s="1"/>
  <c r="H40" i="57"/>
  <c r="I40" i="57"/>
  <c r="F40" i="57"/>
  <c r="J40" i="57"/>
  <c r="Q39" i="57"/>
  <c r="T39" i="57" s="1"/>
  <c r="X39" i="57" s="1"/>
  <c r="AA39" i="57" s="1"/>
  <c r="AK39" i="55" a="1"/>
  <c r="AK39" i="55" s="1"/>
  <c r="B41" i="57" s="1"/>
  <c r="O41" i="57" s="1"/>
  <c r="U22" i="69"/>
  <c r="Q22" i="69"/>
  <c r="AE22" i="69"/>
  <c r="R22" i="69"/>
  <c r="S22" i="69" s="1"/>
  <c r="Y22" i="69" s="1"/>
  <c r="AB22" i="69" s="1"/>
  <c r="AC22" i="69" s="1"/>
  <c r="AD22" i="69" s="1"/>
  <c r="D24" i="69"/>
  <c r="E24" i="69" s="1"/>
  <c r="F24" i="69" s="1"/>
  <c r="G24" i="69" s="1"/>
  <c r="H24" i="69" s="1"/>
  <c r="I24" i="69" s="1"/>
  <c r="J24" i="69" s="1"/>
  <c r="K24" i="69" s="1"/>
  <c r="M24" i="69" s="1"/>
  <c r="N24" i="69"/>
  <c r="AF24" i="69" s="1"/>
  <c r="R23" i="69"/>
  <c r="S23" i="69" s="1"/>
  <c r="Y23" i="69" s="1"/>
  <c r="Q23" i="69"/>
  <c r="U23" i="69"/>
  <c r="AE23" i="69"/>
  <c r="C25" i="69"/>
  <c r="AN25" i="67" a="1"/>
  <c r="AN25" i="67" s="1"/>
  <c r="B26" i="69"/>
  <c r="AB38" i="57" l="1"/>
  <c r="AA38" i="57"/>
  <c r="AB23" i="69"/>
  <c r="AC23" i="69" s="1"/>
  <c r="AD23" i="69" s="1"/>
  <c r="AG23" i="69"/>
  <c r="L26" i="69"/>
  <c r="O26" i="69"/>
  <c r="AO25" i="69"/>
  <c r="P25" i="69"/>
  <c r="AG22" i="69"/>
  <c r="AB39" i="53"/>
  <c r="AA39" i="53"/>
  <c r="AF39" i="53"/>
  <c r="AE40" i="53"/>
  <c r="AC40" i="53"/>
  <c r="AF38" i="57"/>
  <c r="AB39" i="57"/>
  <c r="AF39" i="57"/>
  <c r="AE40" i="57"/>
  <c r="AC40" i="57"/>
  <c r="R40" i="57"/>
  <c r="R40" i="53"/>
  <c r="X40" i="53" s="1"/>
  <c r="AX24" i="69"/>
  <c r="AG41" i="57"/>
  <c r="L41" i="57"/>
  <c r="AJ40" i="57"/>
  <c r="AP40" i="57"/>
  <c r="AG40" i="53"/>
  <c r="AH40" i="53"/>
  <c r="AT40" i="53"/>
  <c r="N41" i="57"/>
  <c r="I41" i="53"/>
  <c r="N41" i="53"/>
  <c r="AH24" i="69"/>
  <c r="AD40" i="57"/>
  <c r="AD40" i="53"/>
  <c r="D41" i="53"/>
  <c r="K41" i="53"/>
  <c r="P41" i="53"/>
  <c r="J41" i="53"/>
  <c r="E41" i="53"/>
  <c r="M41" i="53"/>
  <c r="L41" i="53"/>
  <c r="F41" i="53"/>
  <c r="G41" i="53"/>
  <c r="Q40" i="53"/>
  <c r="AK40" i="52" a="1"/>
  <c r="AK40" i="52" s="1"/>
  <c r="B42" i="53" s="1"/>
  <c r="O42" i="53" s="1"/>
  <c r="H41" i="53"/>
  <c r="C41" i="53"/>
  <c r="Q40" i="57"/>
  <c r="T40" i="57" s="1"/>
  <c r="K41" i="57"/>
  <c r="J41" i="57"/>
  <c r="E41" i="57"/>
  <c r="C41" i="57"/>
  <c r="M41" i="57" s="1"/>
  <c r="I41" i="57"/>
  <c r="P41" i="57"/>
  <c r="H41" i="57"/>
  <c r="D41" i="57"/>
  <c r="G41" i="57"/>
  <c r="F41" i="57"/>
  <c r="AK40" i="55" a="1"/>
  <c r="AK40" i="55" s="1"/>
  <c r="B42" i="57" s="1"/>
  <c r="O42" i="57" s="1"/>
  <c r="AN26" i="67" a="1"/>
  <c r="AN26" i="67" s="1"/>
  <c r="B27" i="69"/>
  <c r="N25" i="69"/>
  <c r="AF25" i="69" s="1"/>
  <c r="D25" i="69"/>
  <c r="E25" i="69" s="1"/>
  <c r="F25" i="69" s="1"/>
  <c r="G25" i="69" s="1"/>
  <c r="H25" i="69" s="1"/>
  <c r="I25" i="69" s="1"/>
  <c r="J25" i="69" s="1"/>
  <c r="K25" i="69" s="1"/>
  <c r="M25" i="69" s="1"/>
  <c r="AE24" i="69"/>
  <c r="R24" i="69"/>
  <c r="S24" i="69" s="1"/>
  <c r="Y24" i="69" s="1"/>
  <c r="AB24" i="69" s="1"/>
  <c r="AC24" i="69" s="1"/>
  <c r="AD24" i="69" s="1"/>
  <c r="Q24" i="69"/>
  <c r="U24" i="69"/>
  <c r="C26" i="69"/>
  <c r="L27" i="69" l="1"/>
  <c r="O27" i="69"/>
  <c r="AG24" i="69"/>
  <c r="AO26" i="69"/>
  <c r="P26" i="69"/>
  <c r="X40" i="57"/>
  <c r="AB40" i="53"/>
  <c r="AA40" i="53"/>
  <c r="AE41" i="53"/>
  <c r="AC41" i="53"/>
  <c r="AF40" i="53"/>
  <c r="AE41" i="57"/>
  <c r="AC41" i="57"/>
  <c r="R41" i="57"/>
  <c r="R41" i="53"/>
  <c r="X41" i="53" s="1"/>
  <c r="AX25" i="69"/>
  <c r="AG42" i="57"/>
  <c r="L42" i="57"/>
  <c r="AJ41" i="57"/>
  <c r="AP41" i="57"/>
  <c r="AG41" i="53"/>
  <c r="AH41" i="53"/>
  <c r="AT41" i="53"/>
  <c r="N42" i="57"/>
  <c r="D42" i="53"/>
  <c r="N42" i="53"/>
  <c r="AH25" i="69"/>
  <c r="AD41" i="57"/>
  <c r="AD41" i="53"/>
  <c r="K42" i="53"/>
  <c r="L42" i="53"/>
  <c r="H42" i="53"/>
  <c r="J42" i="53"/>
  <c r="M42" i="53"/>
  <c r="P42" i="53"/>
  <c r="Q41" i="53"/>
  <c r="C42" i="53"/>
  <c r="G42" i="53"/>
  <c r="F42" i="53"/>
  <c r="AK41" i="52" a="1"/>
  <c r="AK41" i="52" s="1"/>
  <c r="B43" i="53" s="1"/>
  <c r="O43" i="53" s="1"/>
  <c r="I42" i="53"/>
  <c r="E42" i="53"/>
  <c r="Q41" i="57"/>
  <c r="T41" i="57" s="1"/>
  <c r="I42" i="57"/>
  <c r="E42" i="57"/>
  <c r="P42" i="57"/>
  <c r="D42" i="57"/>
  <c r="C42" i="57"/>
  <c r="M42" i="57" s="1"/>
  <c r="K42" i="57"/>
  <c r="H42" i="57"/>
  <c r="G42" i="57"/>
  <c r="F42" i="57"/>
  <c r="J42" i="57"/>
  <c r="AK41" i="55" a="1"/>
  <c r="AK41" i="55" s="1"/>
  <c r="B43" i="57" s="1"/>
  <c r="O43" i="57" s="1"/>
  <c r="AN27" i="67" a="1"/>
  <c r="AN27" i="67" s="1"/>
  <c r="B28" i="69"/>
  <c r="R25" i="69"/>
  <c r="S25" i="69" s="1"/>
  <c r="Y25" i="69" s="1"/>
  <c r="AE25" i="69"/>
  <c r="Q25" i="69"/>
  <c r="U25" i="69"/>
  <c r="D26" i="69"/>
  <c r="E26" i="69" s="1"/>
  <c r="F26" i="69" s="1"/>
  <c r="G26" i="69" s="1"/>
  <c r="H26" i="69" s="1"/>
  <c r="I26" i="69" s="1"/>
  <c r="J26" i="69" s="1"/>
  <c r="K26" i="69" s="1"/>
  <c r="M26" i="69" s="1"/>
  <c r="N26" i="69"/>
  <c r="AF26" i="69" s="1"/>
  <c r="C27" i="69"/>
  <c r="X41" i="57" l="1"/>
  <c r="AA41" i="57" s="1"/>
  <c r="AB40" i="57"/>
  <c r="AA40" i="57"/>
  <c r="AB25" i="69"/>
  <c r="AC25" i="69" s="1"/>
  <c r="AD25" i="69" s="1"/>
  <c r="AG25" i="69"/>
  <c r="L28" i="69"/>
  <c r="O28" i="69"/>
  <c r="AO27" i="69"/>
  <c r="P27" i="69"/>
  <c r="AF40" i="57"/>
  <c r="AE42" i="53"/>
  <c r="AC42" i="53"/>
  <c r="AF41" i="53"/>
  <c r="AA41" i="53"/>
  <c r="AB41" i="53"/>
  <c r="AE42" i="57"/>
  <c r="AC42" i="57"/>
  <c r="R42" i="57"/>
  <c r="R42" i="53"/>
  <c r="X42" i="53" s="1"/>
  <c r="AX26" i="69"/>
  <c r="AG43" i="57"/>
  <c r="L43" i="57"/>
  <c r="AJ42" i="57"/>
  <c r="AP42" i="57"/>
  <c r="AH42" i="53"/>
  <c r="AT42" i="53"/>
  <c r="AG42" i="53"/>
  <c r="N43" i="57"/>
  <c r="L43" i="53"/>
  <c r="N43" i="53"/>
  <c r="AH26" i="69"/>
  <c r="AD42" i="57"/>
  <c r="AD42" i="53"/>
  <c r="Q42" i="53"/>
  <c r="P43" i="53"/>
  <c r="K43" i="53"/>
  <c r="F43" i="53"/>
  <c r="E43" i="53"/>
  <c r="I43" i="53"/>
  <c r="C43" i="53"/>
  <c r="J43" i="53"/>
  <c r="G43" i="53"/>
  <c r="M43" i="53"/>
  <c r="AK42" i="52" a="1"/>
  <c r="AK42" i="52" s="1"/>
  <c r="B44" i="53" s="1"/>
  <c r="O44" i="53" s="1"/>
  <c r="D43" i="53"/>
  <c r="H43" i="53"/>
  <c r="K43" i="57"/>
  <c r="F43" i="57"/>
  <c r="E43" i="57"/>
  <c r="C43" i="57"/>
  <c r="M43" i="57" s="1"/>
  <c r="J43" i="57"/>
  <c r="I43" i="57"/>
  <c r="P43" i="57"/>
  <c r="H43" i="57"/>
  <c r="D43" i="57"/>
  <c r="G43" i="57"/>
  <c r="Q42" i="57"/>
  <c r="T42" i="57" s="1"/>
  <c r="AK42" i="55" a="1"/>
  <c r="AK42" i="55" s="1"/>
  <c r="B44" i="57" s="1"/>
  <c r="O44" i="57" s="1"/>
  <c r="D27" i="69"/>
  <c r="E27" i="69" s="1"/>
  <c r="F27" i="69" s="1"/>
  <c r="G27" i="69" s="1"/>
  <c r="H27" i="69" s="1"/>
  <c r="I27" i="69" s="1"/>
  <c r="J27" i="69" s="1"/>
  <c r="K27" i="69" s="1"/>
  <c r="M27" i="69" s="1"/>
  <c r="N27" i="69"/>
  <c r="AF27" i="69" s="1"/>
  <c r="Q26" i="69"/>
  <c r="AE26" i="69"/>
  <c r="R26" i="69"/>
  <c r="S26" i="69" s="1"/>
  <c r="Y26" i="69" s="1"/>
  <c r="U26" i="69"/>
  <c r="C28" i="69"/>
  <c r="AN28" i="67" a="1"/>
  <c r="AN28" i="67" s="1"/>
  <c r="B29" i="69"/>
  <c r="AF41" i="57" l="1"/>
  <c r="AB41" i="57"/>
  <c r="AB26" i="69"/>
  <c r="AC26" i="69" s="1"/>
  <c r="AD26" i="69" s="1"/>
  <c r="AG26" i="69"/>
  <c r="AO28" i="69"/>
  <c r="P28" i="69"/>
  <c r="L29" i="69"/>
  <c r="O29" i="69"/>
  <c r="AF42" i="53"/>
  <c r="AB42" i="53"/>
  <c r="AA42" i="53"/>
  <c r="AE43" i="53"/>
  <c r="AC43" i="53"/>
  <c r="X42" i="57"/>
  <c r="AA42" i="57" s="1"/>
  <c r="AE43" i="57"/>
  <c r="AC43" i="57"/>
  <c r="R43" i="57"/>
  <c r="R43" i="53"/>
  <c r="X43" i="53" s="1"/>
  <c r="AX27" i="69"/>
  <c r="AG44" i="57"/>
  <c r="L44" i="57"/>
  <c r="AJ43" i="57"/>
  <c r="AP43" i="57"/>
  <c r="AG43" i="53"/>
  <c r="AH43" i="53"/>
  <c r="AT43" i="53"/>
  <c r="N44" i="57"/>
  <c r="E44" i="53"/>
  <c r="N44" i="53"/>
  <c r="AH27" i="69"/>
  <c r="AD43" i="57"/>
  <c r="Q43" i="53"/>
  <c r="AD43" i="53"/>
  <c r="AK43" i="52" a="1"/>
  <c r="AK43" i="52" s="1"/>
  <c r="B45" i="53" s="1"/>
  <c r="O45" i="53" s="1"/>
  <c r="H44" i="53"/>
  <c r="D44" i="53"/>
  <c r="P44" i="53"/>
  <c r="F44" i="53"/>
  <c r="K44" i="53"/>
  <c r="I44" i="53"/>
  <c r="M44" i="53"/>
  <c r="J44" i="53"/>
  <c r="C44" i="53"/>
  <c r="G44" i="53"/>
  <c r="L44" i="53"/>
  <c r="Q43" i="57"/>
  <c r="T43" i="57" s="1"/>
  <c r="H44" i="57"/>
  <c r="G44" i="57"/>
  <c r="E44" i="57"/>
  <c r="P44" i="57"/>
  <c r="D44" i="57"/>
  <c r="C44" i="57"/>
  <c r="M44" i="57" s="1"/>
  <c r="K44" i="57"/>
  <c r="I44" i="57"/>
  <c r="F44" i="57"/>
  <c r="J44" i="57"/>
  <c r="AK43" i="55" a="1"/>
  <c r="AK43" i="55" s="1"/>
  <c r="B45" i="57" s="1"/>
  <c r="O45" i="57" s="1"/>
  <c r="AN29" i="67" a="1"/>
  <c r="AN29" i="67" s="1"/>
  <c r="B30" i="69"/>
  <c r="C29" i="69"/>
  <c r="N28" i="69"/>
  <c r="AF28" i="69" s="1"/>
  <c r="D28" i="69"/>
  <c r="E28" i="69" s="1"/>
  <c r="F28" i="69" s="1"/>
  <c r="G28" i="69" s="1"/>
  <c r="H28" i="69" s="1"/>
  <c r="I28" i="69" s="1"/>
  <c r="J28" i="69" s="1"/>
  <c r="K28" i="69" s="1"/>
  <c r="M28" i="69" s="1"/>
  <c r="Q27" i="69"/>
  <c r="AE27" i="69"/>
  <c r="R27" i="69"/>
  <c r="S27" i="69" s="1"/>
  <c r="Y27" i="69" s="1"/>
  <c r="AB27" i="69" s="1"/>
  <c r="AC27" i="69" s="1"/>
  <c r="AD27" i="69" s="1"/>
  <c r="U27" i="69"/>
  <c r="C40" i="33"/>
  <c r="L30" i="69" l="1"/>
  <c r="O30" i="69"/>
  <c r="AG27" i="69"/>
  <c r="AO29" i="69"/>
  <c r="P29" i="69"/>
  <c r="AB43" i="53"/>
  <c r="AA43" i="53"/>
  <c r="AE44" i="53"/>
  <c r="AC44" i="53"/>
  <c r="AF43" i="53"/>
  <c r="X43" i="57"/>
  <c r="AF42" i="57"/>
  <c r="AB42" i="57"/>
  <c r="AC44" i="57"/>
  <c r="AE44" i="57"/>
  <c r="R44" i="57"/>
  <c r="R44" i="53"/>
  <c r="X44" i="53" s="1"/>
  <c r="AX28" i="69"/>
  <c r="L45" i="57"/>
  <c r="AG45" i="57"/>
  <c r="AJ44" i="57"/>
  <c r="AP44" i="57"/>
  <c r="AH44" i="53"/>
  <c r="AT44" i="53"/>
  <c r="AG44" i="53"/>
  <c r="N45" i="57"/>
  <c r="M45" i="53"/>
  <c r="N45" i="53"/>
  <c r="AH28" i="69"/>
  <c r="AD44" i="57"/>
  <c r="Q44" i="53"/>
  <c r="AD44" i="53"/>
  <c r="AK44" i="52" a="1"/>
  <c r="AK44" i="52" s="1"/>
  <c r="B46" i="53" s="1"/>
  <c r="O46" i="53" s="1"/>
  <c r="L45" i="53"/>
  <c r="C45" i="53"/>
  <c r="I45" i="53"/>
  <c r="F45" i="53"/>
  <c r="K45" i="53"/>
  <c r="J45" i="53"/>
  <c r="D45" i="53"/>
  <c r="G45" i="53"/>
  <c r="P45" i="53"/>
  <c r="H45" i="53"/>
  <c r="E45" i="53"/>
  <c r="C45" i="57"/>
  <c r="M45" i="57" s="1"/>
  <c r="J45" i="57"/>
  <c r="F45" i="57"/>
  <c r="P45" i="57"/>
  <c r="I45" i="57"/>
  <c r="K45" i="57"/>
  <c r="H45" i="57"/>
  <c r="D45" i="57"/>
  <c r="G45" i="57"/>
  <c r="E45" i="57"/>
  <c r="Q44" i="57"/>
  <c r="T44" i="57" s="1"/>
  <c r="AK44" i="55" a="1"/>
  <c r="AK44" i="55" s="1"/>
  <c r="B46" i="57" s="1"/>
  <c r="O46" i="57" s="1"/>
  <c r="N29" i="69"/>
  <c r="AF29" i="69" s="1"/>
  <c r="D29" i="69"/>
  <c r="E29" i="69" s="1"/>
  <c r="F29" i="69" s="1"/>
  <c r="G29" i="69" s="1"/>
  <c r="H29" i="69" s="1"/>
  <c r="I29" i="69" s="1"/>
  <c r="J29" i="69" s="1"/>
  <c r="K29" i="69" s="1"/>
  <c r="M29" i="69" s="1"/>
  <c r="U28" i="69"/>
  <c r="AE28" i="69"/>
  <c r="R28" i="69"/>
  <c r="S28" i="69" s="1"/>
  <c r="Y28" i="69" s="1"/>
  <c r="Q28" i="69"/>
  <c r="C30" i="69"/>
  <c r="AN30" i="67" a="1"/>
  <c r="AN30" i="67" s="1"/>
  <c r="B31" i="69"/>
  <c r="B2" i="73"/>
  <c r="B2" i="36"/>
  <c r="AF43" i="57" l="1"/>
  <c r="AA43" i="57"/>
  <c r="AB28" i="69"/>
  <c r="AC28" i="69" s="1"/>
  <c r="AD28" i="69" s="1"/>
  <c r="AG28" i="69"/>
  <c r="AO30" i="69"/>
  <c r="P30" i="69"/>
  <c r="L31" i="69"/>
  <c r="O31" i="69"/>
  <c r="AB43" i="57"/>
  <c r="AF44" i="53"/>
  <c r="AE45" i="53"/>
  <c r="AC45" i="53"/>
  <c r="AB44" i="53"/>
  <c r="AA44" i="53"/>
  <c r="X44" i="57"/>
  <c r="AE45" i="57"/>
  <c r="AC45" i="57"/>
  <c r="R45" i="57"/>
  <c r="R45" i="53"/>
  <c r="X45" i="53" s="1"/>
  <c r="AX29" i="69"/>
  <c r="AG46" i="57"/>
  <c r="L46" i="57"/>
  <c r="AJ45" i="57"/>
  <c r="AP45" i="57"/>
  <c r="AG45" i="53"/>
  <c r="AD45" i="53"/>
  <c r="AH45" i="53"/>
  <c r="AT45" i="53"/>
  <c r="N46" i="57"/>
  <c r="Q45" i="53"/>
  <c r="H46" i="53"/>
  <c r="N46" i="53"/>
  <c r="AH29" i="69"/>
  <c r="AD45" i="57"/>
  <c r="AK45" i="52" a="1"/>
  <c r="AK45" i="52" s="1"/>
  <c r="B47" i="53" s="1"/>
  <c r="O47" i="53" s="1"/>
  <c r="K46" i="53"/>
  <c r="G46" i="53"/>
  <c r="M46" i="53"/>
  <c r="D46" i="53"/>
  <c r="E46" i="53"/>
  <c r="J46" i="53"/>
  <c r="C46" i="53"/>
  <c r="P46" i="53"/>
  <c r="F46" i="53"/>
  <c r="I46" i="53"/>
  <c r="L46" i="53"/>
  <c r="Q45" i="57"/>
  <c r="T45" i="57" s="1"/>
  <c r="P46" i="57"/>
  <c r="D46" i="57"/>
  <c r="K46" i="57"/>
  <c r="I46" i="57"/>
  <c r="H46" i="57"/>
  <c r="G46" i="57"/>
  <c r="E46" i="57"/>
  <c r="C46" i="57"/>
  <c r="M46" i="57" s="1"/>
  <c r="F46" i="57"/>
  <c r="J46" i="57"/>
  <c r="AK45" i="55" a="1"/>
  <c r="AK45" i="55" s="1"/>
  <c r="B47" i="57" s="1"/>
  <c r="O47" i="57" s="1"/>
  <c r="AN31" i="67" a="1"/>
  <c r="AN31" i="67" s="1"/>
  <c r="B32" i="69"/>
  <c r="U29" i="69"/>
  <c r="Q29" i="69"/>
  <c r="R29" i="69"/>
  <c r="S29" i="69" s="1"/>
  <c r="Y29" i="69" s="1"/>
  <c r="AE29" i="69"/>
  <c r="D30" i="69"/>
  <c r="E30" i="69" s="1"/>
  <c r="F30" i="69" s="1"/>
  <c r="G30" i="69" s="1"/>
  <c r="H30" i="69" s="1"/>
  <c r="I30" i="69" s="1"/>
  <c r="J30" i="69" s="1"/>
  <c r="K30" i="69" s="1"/>
  <c r="M30" i="69" s="1"/>
  <c r="N30" i="69"/>
  <c r="AF30" i="69" s="1"/>
  <c r="C31" i="69"/>
  <c r="E2" i="50"/>
  <c r="D2" i="11"/>
  <c r="AB44" i="57" l="1"/>
  <c r="AA44" i="57"/>
  <c r="AB29" i="69"/>
  <c r="AC29" i="69" s="1"/>
  <c r="AD29" i="69" s="1"/>
  <c r="AG29" i="69"/>
  <c r="AO31" i="69"/>
  <c r="P31" i="69"/>
  <c r="L32" i="69"/>
  <c r="O32" i="69"/>
  <c r="AE46" i="53"/>
  <c r="AC46" i="53"/>
  <c r="AB45" i="53"/>
  <c r="AA45" i="53"/>
  <c r="AF45" i="53"/>
  <c r="X45" i="57"/>
  <c r="AF44" i="57"/>
  <c r="AE46" i="57"/>
  <c r="AC46" i="57"/>
  <c r="R46" i="57"/>
  <c r="R46" i="53"/>
  <c r="X46" i="53" s="1"/>
  <c r="AX30" i="69"/>
  <c r="AG47" i="57"/>
  <c r="L47" i="57"/>
  <c r="AJ46" i="57"/>
  <c r="AP46" i="57"/>
  <c r="AH46" i="53"/>
  <c r="AT46" i="53"/>
  <c r="AG46" i="53"/>
  <c r="N47" i="57"/>
  <c r="K47" i="53"/>
  <c r="N47" i="53"/>
  <c r="AH30" i="69"/>
  <c r="AD46" i="57"/>
  <c r="AD46" i="53"/>
  <c r="Q46" i="53"/>
  <c r="J47" i="53"/>
  <c r="C47" i="53"/>
  <c r="G47" i="53"/>
  <c r="D47" i="53"/>
  <c r="H47" i="53"/>
  <c r="M47" i="53"/>
  <c r="E47" i="53"/>
  <c r="I47" i="53"/>
  <c r="AK46" i="52" a="1"/>
  <c r="AK46" i="52" s="1"/>
  <c r="B48" i="53" s="1"/>
  <c r="O48" i="53" s="1"/>
  <c r="L47" i="53"/>
  <c r="F47" i="53"/>
  <c r="P47" i="53"/>
  <c r="Q46" i="57"/>
  <c r="T46" i="57" s="1"/>
  <c r="F47" i="57"/>
  <c r="K47" i="57"/>
  <c r="I47" i="57"/>
  <c r="C47" i="57"/>
  <c r="M47" i="57" s="1"/>
  <c r="E47" i="57"/>
  <c r="P47" i="57"/>
  <c r="J47" i="57"/>
  <c r="H47" i="57"/>
  <c r="D47" i="57"/>
  <c r="G47" i="57"/>
  <c r="AK46" i="55" a="1"/>
  <c r="AK46" i="55" s="1"/>
  <c r="B48" i="57" s="1"/>
  <c r="O48" i="57" s="1"/>
  <c r="AN32" i="67" a="1"/>
  <c r="AN32" i="67" s="1"/>
  <c r="B33" i="69"/>
  <c r="C32" i="69"/>
  <c r="R30" i="69"/>
  <c r="S30" i="69" s="1"/>
  <c r="Y30" i="69" s="1"/>
  <c r="AB30" i="69" s="1"/>
  <c r="AC30" i="69" s="1"/>
  <c r="AD30" i="69" s="1"/>
  <c r="U30" i="69"/>
  <c r="AE30" i="69"/>
  <c r="Q30" i="69"/>
  <c r="N31" i="69"/>
  <c r="AF31" i="69" s="1"/>
  <c r="D31" i="69"/>
  <c r="E31" i="69" s="1"/>
  <c r="F31" i="69" s="1"/>
  <c r="G31" i="69" s="1"/>
  <c r="H31" i="69" s="1"/>
  <c r="I31" i="69" s="1"/>
  <c r="J31" i="69" s="1"/>
  <c r="K31" i="69" s="1"/>
  <c r="M31" i="69" s="1"/>
  <c r="D2" i="46"/>
  <c r="H4" i="32"/>
  <c r="E2" i="32"/>
  <c r="AF45" i="57" l="1"/>
  <c r="AA45" i="57"/>
  <c r="AO32" i="69"/>
  <c r="P32" i="69"/>
  <c r="AG30" i="69"/>
  <c r="L33" i="69"/>
  <c r="O33" i="69"/>
  <c r="AB45" i="57"/>
  <c r="AB46" i="53"/>
  <c r="AA46" i="53"/>
  <c r="AF46" i="53"/>
  <c r="AE47" i="53"/>
  <c r="AC47" i="53"/>
  <c r="X46" i="57"/>
  <c r="AE47" i="57"/>
  <c r="AC47" i="57"/>
  <c r="R47" i="57"/>
  <c r="R47" i="53"/>
  <c r="X47" i="53" s="1"/>
  <c r="AX31" i="69"/>
  <c r="AG48" i="57"/>
  <c r="L48" i="57"/>
  <c r="AJ47" i="57"/>
  <c r="AP47" i="57"/>
  <c r="AG47" i="53"/>
  <c r="AH47" i="53"/>
  <c r="AT47" i="53"/>
  <c r="N48" i="57"/>
  <c r="N48" i="53"/>
  <c r="AH31" i="69"/>
  <c r="AD47" i="57"/>
  <c r="AD47" i="53"/>
  <c r="AK47" i="52" a="1"/>
  <c r="AK47" i="52" s="1"/>
  <c r="B49" i="53" s="1"/>
  <c r="O49" i="53" s="1"/>
  <c r="M48" i="53"/>
  <c r="F48" i="53"/>
  <c r="C48" i="53"/>
  <c r="P48" i="53"/>
  <c r="Q47" i="53"/>
  <c r="L48" i="53"/>
  <c r="J48" i="53"/>
  <c r="K48" i="53"/>
  <c r="H48" i="53"/>
  <c r="G48" i="53"/>
  <c r="I48" i="53"/>
  <c r="D48" i="53"/>
  <c r="E48" i="53"/>
  <c r="Q47" i="57"/>
  <c r="T47" i="57" s="1"/>
  <c r="K48" i="57"/>
  <c r="G48" i="57"/>
  <c r="E48" i="57"/>
  <c r="P48" i="57"/>
  <c r="D48" i="57"/>
  <c r="C48" i="57"/>
  <c r="M48" i="57" s="1"/>
  <c r="I48" i="57"/>
  <c r="H48" i="57"/>
  <c r="F48" i="57"/>
  <c r="J48" i="57"/>
  <c r="AK47" i="55" a="1"/>
  <c r="AK47" i="55" s="1"/>
  <c r="B49" i="57" s="1"/>
  <c r="O49" i="57" s="1"/>
  <c r="AN33" i="67" a="1"/>
  <c r="AN33" i="67" s="1"/>
  <c r="B34" i="69"/>
  <c r="D32" i="69"/>
  <c r="E32" i="69" s="1"/>
  <c r="F32" i="69" s="1"/>
  <c r="G32" i="69" s="1"/>
  <c r="H32" i="69" s="1"/>
  <c r="I32" i="69" s="1"/>
  <c r="J32" i="69" s="1"/>
  <c r="K32" i="69" s="1"/>
  <c r="M32" i="69" s="1"/>
  <c r="N32" i="69"/>
  <c r="AF32" i="69" s="1"/>
  <c r="U31" i="69"/>
  <c r="Q31" i="69"/>
  <c r="AE31" i="69"/>
  <c r="R31" i="69"/>
  <c r="S31" i="69" s="1"/>
  <c r="Y31" i="69" s="1"/>
  <c r="C33" i="69"/>
  <c r="AB46" i="57" l="1"/>
  <c r="AA46" i="57"/>
  <c r="AB31" i="69"/>
  <c r="AC31" i="69" s="1"/>
  <c r="AD31" i="69" s="1"/>
  <c r="AG31" i="69"/>
  <c r="AO33" i="69"/>
  <c r="P33" i="69"/>
  <c r="L34" i="69"/>
  <c r="O34" i="69"/>
  <c r="AB47" i="53"/>
  <c r="AA47" i="53"/>
  <c r="AF47" i="53"/>
  <c r="AE48" i="53"/>
  <c r="AC48" i="53"/>
  <c r="X47" i="57"/>
  <c r="AF46" i="57"/>
  <c r="AC48" i="57"/>
  <c r="AE48" i="57"/>
  <c r="R48" i="57"/>
  <c r="R48" i="53"/>
  <c r="X48" i="53" s="1"/>
  <c r="AX32" i="69"/>
  <c r="AG49" i="57"/>
  <c r="L49" i="57"/>
  <c r="AJ48" i="57"/>
  <c r="AP48" i="57"/>
  <c r="AG48" i="53"/>
  <c r="AH48" i="53"/>
  <c r="AT48" i="53"/>
  <c r="N49" i="57"/>
  <c r="N49" i="53"/>
  <c r="AH32" i="69"/>
  <c r="AD48" i="57"/>
  <c r="AD48" i="53"/>
  <c r="Q48" i="53"/>
  <c r="F49" i="53"/>
  <c r="H49" i="53"/>
  <c r="I49" i="53"/>
  <c r="C49" i="53"/>
  <c r="D49" i="53"/>
  <c r="K49" i="53"/>
  <c r="P49" i="53"/>
  <c r="E49" i="53"/>
  <c r="M49" i="53"/>
  <c r="AK48" i="52" a="1"/>
  <c r="AK48" i="52" s="1"/>
  <c r="B50" i="53" s="1"/>
  <c r="O50" i="53" s="1"/>
  <c r="J49" i="53"/>
  <c r="L49" i="53"/>
  <c r="G49" i="53"/>
  <c r="E49" i="57"/>
  <c r="G49" i="57"/>
  <c r="F49" i="57"/>
  <c r="I49" i="57"/>
  <c r="P49" i="57"/>
  <c r="H49" i="57"/>
  <c r="D49" i="57"/>
  <c r="C49" i="57"/>
  <c r="M49" i="57" s="1"/>
  <c r="K49" i="57"/>
  <c r="J49" i="57"/>
  <c r="Q48" i="57"/>
  <c r="T48" i="57" s="1"/>
  <c r="AK48" i="55" a="1"/>
  <c r="AK48" i="55" s="1"/>
  <c r="B50" i="57" s="1"/>
  <c r="O50" i="57" s="1"/>
  <c r="AE32" i="69"/>
  <c r="R32" i="69"/>
  <c r="S32" i="69" s="1"/>
  <c r="Y32" i="69" s="1"/>
  <c r="U32" i="69"/>
  <c r="Q32" i="69"/>
  <c r="D33" i="69"/>
  <c r="E33" i="69" s="1"/>
  <c r="F33" i="69" s="1"/>
  <c r="G33" i="69" s="1"/>
  <c r="H33" i="69" s="1"/>
  <c r="I33" i="69" s="1"/>
  <c r="J33" i="69" s="1"/>
  <c r="K33" i="69" s="1"/>
  <c r="M33" i="69" s="1"/>
  <c r="N33" i="69"/>
  <c r="AF33" i="69" s="1"/>
  <c r="C34" i="69"/>
  <c r="AN34" i="67" a="1"/>
  <c r="AN34" i="67" s="1"/>
  <c r="B35" i="69"/>
  <c r="D2" i="71"/>
  <c r="D3" i="71"/>
  <c r="D3" i="59"/>
  <c r="D2" i="59"/>
  <c r="AB47" i="57" l="1"/>
  <c r="AA47" i="57"/>
  <c r="AB32" i="69"/>
  <c r="AC32" i="69" s="1"/>
  <c r="AD32" i="69" s="1"/>
  <c r="AG32" i="69"/>
  <c r="AO34" i="69"/>
  <c r="P34" i="69"/>
  <c r="L35" i="69"/>
  <c r="O35" i="69"/>
  <c r="X48" i="57"/>
  <c r="AF47" i="57"/>
  <c r="AF48" i="53"/>
  <c r="AE49" i="53"/>
  <c r="AC49" i="53"/>
  <c r="AB48" i="53"/>
  <c r="AA48" i="53"/>
  <c r="AE49" i="57"/>
  <c r="AC49" i="57"/>
  <c r="R49" i="57"/>
  <c r="R49" i="53"/>
  <c r="X49" i="53" s="1"/>
  <c r="AX33" i="69"/>
  <c r="AG50" i="57"/>
  <c r="L50" i="57"/>
  <c r="AJ49" i="57"/>
  <c r="AP49" i="57"/>
  <c r="AH49" i="53"/>
  <c r="AT49" i="53"/>
  <c r="AG49" i="53"/>
  <c r="N50" i="57"/>
  <c r="H50" i="53"/>
  <c r="N50" i="53"/>
  <c r="AH33" i="69"/>
  <c r="AD49" i="57"/>
  <c r="Q49" i="53"/>
  <c r="AD49" i="53"/>
  <c r="F50" i="53"/>
  <c r="K50" i="53"/>
  <c r="P50" i="53"/>
  <c r="L50" i="53"/>
  <c r="C50" i="53"/>
  <c r="E50" i="53"/>
  <c r="J50" i="53"/>
  <c r="AK49" i="52" a="1"/>
  <c r="AK49" i="52" s="1"/>
  <c r="B51" i="53" s="1"/>
  <c r="O51" i="53" s="1"/>
  <c r="M50" i="53"/>
  <c r="G50" i="53"/>
  <c r="I50" i="53"/>
  <c r="D50" i="53"/>
  <c r="H50" i="57"/>
  <c r="G50" i="57"/>
  <c r="E50" i="57"/>
  <c r="P50" i="57"/>
  <c r="D50" i="57"/>
  <c r="C50" i="57"/>
  <c r="M50" i="57" s="1"/>
  <c r="K50" i="57"/>
  <c r="I50" i="57"/>
  <c r="F50" i="57"/>
  <c r="J50" i="57"/>
  <c r="Q49" i="57"/>
  <c r="T49" i="57" s="1"/>
  <c r="AK49" i="55" a="1"/>
  <c r="AK49" i="55" s="1"/>
  <c r="B51" i="57" s="1"/>
  <c r="O51" i="57" s="1"/>
  <c r="AN35" i="67" a="1"/>
  <c r="AN35" i="67" s="1"/>
  <c r="B36" i="69"/>
  <c r="D34" i="69"/>
  <c r="E34" i="69" s="1"/>
  <c r="F34" i="69" s="1"/>
  <c r="G34" i="69" s="1"/>
  <c r="H34" i="69" s="1"/>
  <c r="I34" i="69" s="1"/>
  <c r="J34" i="69" s="1"/>
  <c r="K34" i="69" s="1"/>
  <c r="M34" i="69" s="1"/>
  <c r="N34" i="69"/>
  <c r="AF34" i="69" s="1"/>
  <c r="C35" i="69"/>
  <c r="AE33" i="69"/>
  <c r="U33" i="69"/>
  <c r="R33" i="69"/>
  <c r="S33" i="69" s="1"/>
  <c r="Y33" i="69" s="1"/>
  <c r="AB33" i="69" s="1"/>
  <c r="AC33" i="69" s="1"/>
  <c r="AD33" i="69" s="1"/>
  <c r="Q33" i="69"/>
  <c r="AB48" i="57" l="1"/>
  <c r="AA48" i="57"/>
  <c r="AO35" i="69"/>
  <c r="P35" i="69"/>
  <c r="L36" i="69"/>
  <c r="O36" i="69"/>
  <c r="AG33" i="69"/>
  <c r="AF48" i="57"/>
  <c r="AB49" i="53"/>
  <c r="AA49" i="53"/>
  <c r="AE50" i="53"/>
  <c r="AC50" i="53"/>
  <c r="AF49" i="53"/>
  <c r="X49" i="57"/>
  <c r="AE50" i="57"/>
  <c r="AC50" i="57"/>
  <c r="R50" i="57"/>
  <c r="R50" i="53"/>
  <c r="X50" i="53" s="1"/>
  <c r="AX34" i="69"/>
  <c r="AG51" i="57"/>
  <c r="L51" i="57"/>
  <c r="AJ50" i="57"/>
  <c r="AP50" i="57"/>
  <c r="AH50" i="53"/>
  <c r="AT50" i="53"/>
  <c r="AG50" i="53"/>
  <c r="N51" i="57"/>
  <c r="N51" i="53"/>
  <c r="AH34" i="69"/>
  <c r="AD50" i="57"/>
  <c r="Q50" i="53"/>
  <c r="AD50" i="53"/>
  <c r="AK50" i="52" a="1"/>
  <c r="AK50" i="52" s="1"/>
  <c r="B52" i="53" s="1"/>
  <c r="O52" i="53" s="1"/>
  <c r="P51" i="53"/>
  <c r="M51" i="53"/>
  <c r="I51" i="53"/>
  <c r="F51" i="53"/>
  <c r="E51" i="53"/>
  <c r="H51" i="53"/>
  <c r="L51" i="53"/>
  <c r="C51" i="53"/>
  <c r="K51" i="53"/>
  <c r="J51" i="53"/>
  <c r="D51" i="53"/>
  <c r="G51" i="53"/>
  <c r="Q50" i="57"/>
  <c r="T50" i="57" s="1"/>
  <c r="P51" i="57"/>
  <c r="K51" i="57"/>
  <c r="I51" i="57"/>
  <c r="G51" i="57"/>
  <c r="E51" i="57"/>
  <c r="C51" i="57"/>
  <c r="M51" i="57" s="1"/>
  <c r="J51" i="57"/>
  <c r="D51" i="57"/>
  <c r="H51" i="57"/>
  <c r="F51" i="57"/>
  <c r="AK50" i="55" a="1"/>
  <c r="AK50" i="55" s="1"/>
  <c r="B52" i="57" s="1"/>
  <c r="O52" i="57" s="1"/>
  <c r="AN36" i="67" a="1"/>
  <c r="AN36" i="67" s="1"/>
  <c r="B37" i="69"/>
  <c r="R34" i="69"/>
  <c r="S34" i="69" s="1"/>
  <c r="Y34" i="69" s="1"/>
  <c r="AB34" i="69" s="1"/>
  <c r="AC34" i="69" s="1"/>
  <c r="AD34" i="69" s="1"/>
  <c r="AE34" i="69"/>
  <c r="Q34" i="69"/>
  <c r="U34" i="69"/>
  <c r="D35" i="69"/>
  <c r="E35" i="69" s="1"/>
  <c r="F35" i="69" s="1"/>
  <c r="G35" i="69" s="1"/>
  <c r="H35" i="69" s="1"/>
  <c r="I35" i="69" s="1"/>
  <c r="J35" i="69" s="1"/>
  <c r="K35" i="69" s="1"/>
  <c r="M35" i="69" s="1"/>
  <c r="N35" i="69"/>
  <c r="AF35" i="69" s="1"/>
  <c r="C36" i="69"/>
  <c r="R9" i="78"/>
  <c r="AB49" i="57" l="1"/>
  <c r="AA49" i="57"/>
  <c r="L37" i="69"/>
  <c r="O37" i="69"/>
  <c r="AO36" i="69"/>
  <c r="P36" i="69"/>
  <c r="AG34" i="69"/>
  <c r="AB50" i="53"/>
  <c r="AA50" i="53"/>
  <c r="AF50" i="53"/>
  <c r="AE51" i="53"/>
  <c r="AC51" i="53"/>
  <c r="X50" i="57"/>
  <c r="AA50" i="57" s="1"/>
  <c r="AF49" i="57"/>
  <c r="AE51" i="57"/>
  <c r="AC51" i="57"/>
  <c r="R51" i="57"/>
  <c r="R51" i="53"/>
  <c r="X51" i="53" s="1"/>
  <c r="AX35" i="69"/>
  <c r="AG52" i="57"/>
  <c r="L52" i="57"/>
  <c r="AJ51" i="57"/>
  <c r="AP51" i="57"/>
  <c r="AG51" i="53"/>
  <c r="AH51" i="53"/>
  <c r="AT51" i="53"/>
  <c r="N52" i="57"/>
  <c r="N52" i="53"/>
  <c r="AH35" i="69"/>
  <c r="AD51" i="57"/>
  <c r="AD51" i="53"/>
  <c r="Q51" i="53"/>
  <c r="I52" i="53"/>
  <c r="K52" i="53"/>
  <c r="H52" i="53"/>
  <c r="L52" i="53"/>
  <c r="M52" i="53"/>
  <c r="E52" i="53"/>
  <c r="C52" i="53"/>
  <c r="D52" i="53"/>
  <c r="P52" i="53"/>
  <c r="AK51" i="52" a="1"/>
  <c r="AK51" i="52" s="1"/>
  <c r="B53" i="53" s="1"/>
  <c r="O53" i="53" s="1"/>
  <c r="J52" i="53"/>
  <c r="G52" i="53"/>
  <c r="F52" i="53"/>
  <c r="Q51" i="57"/>
  <c r="T51" i="57" s="1"/>
  <c r="H52" i="57"/>
  <c r="G52" i="57"/>
  <c r="E52" i="57"/>
  <c r="P52" i="57"/>
  <c r="D52" i="57"/>
  <c r="C52" i="57"/>
  <c r="M52" i="57" s="1"/>
  <c r="K52" i="57"/>
  <c r="I52" i="57"/>
  <c r="J52" i="57"/>
  <c r="F52" i="57"/>
  <c r="AK51" i="55" a="1"/>
  <c r="AK51" i="55" s="1"/>
  <c r="B53" i="57" s="1"/>
  <c r="O53" i="57" s="1"/>
  <c r="Q35" i="69"/>
  <c r="U35" i="69"/>
  <c r="AE35" i="69"/>
  <c r="R35" i="69"/>
  <c r="S35" i="69" s="1"/>
  <c r="Y35" i="69" s="1"/>
  <c r="D36" i="69"/>
  <c r="E36" i="69" s="1"/>
  <c r="F36" i="69" s="1"/>
  <c r="G36" i="69" s="1"/>
  <c r="H36" i="69" s="1"/>
  <c r="I36" i="69" s="1"/>
  <c r="J36" i="69" s="1"/>
  <c r="K36" i="69" s="1"/>
  <c r="M36" i="69" s="1"/>
  <c r="N36" i="69"/>
  <c r="AF36" i="69" s="1"/>
  <c r="C37" i="69"/>
  <c r="AN37" i="67" a="1"/>
  <c r="AN37" i="67" s="1"/>
  <c r="B38" i="69"/>
  <c r="A99" i="99"/>
  <c r="A98" i="99"/>
  <c r="A97" i="99"/>
  <c r="A96" i="99"/>
  <c r="A95" i="99"/>
  <c r="A94" i="99"/>
  <c r="A93" i="99"/>
  <c r="A92" i="99"/>
  <c r="A91" i="99"/>
  <c r="A90" i="99"/>
  <c r="A89" i="99"/>
  <c r="A88" i="99"/>
  <c r="A87" i="99"/>
  <c r="A86" i="99"/>
  <c r="A85" i="99"/>
  <c r="A84" i="99"/>
  <c r="A83" i="99"/>
  <c r="A82" i="99"/>
  <c r="A81" i="99"/>
  <c r="A80"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4" i="99"/>
  <c r="A53" i="99"/>
  <c r="A52" i="99"/>
  <c r="A51" i="99"/>
  <c r="A50" i="99"/>
  <c r="A49" i="99"/>
  <c r="A48" i="99"/>
  <c r="A47" i="99"/>
  <c r="A46" i="99"/>
  <c r="A45" i="99"/>
  <c r="A44" i="99"/>
  <c r="A43" i="99"/>
  <c r="A42" i="99"/>
  <c r="A41" i="99"/>
  <c r="A40" i="99"/>
  <c r="A39" i="99"/>
  <c r="A38"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1" i="57" l="1"/>
  <c r="AB35" i="69"/>
  <c r="AC35" i="69" s="1"/>
  <c r="AD35" i="69" s="1"/>
  <c r="AG35" i="69"/>
  <c r="AO37" i="69"/>
  <c r="P37" i="69"/>
  <c r="L38" i="69"/>
  <c r="O38" i="69"/>
  <c r="K11" i="46"/>
  <c r="L11" i="59"/>
  <c r="AB50" i="57"/>
  <c r="AF50" i="57"/>
  <c r="AB51" i="53"/>
  <c r="AA51" i="53"/>
  <c r="AE52" i="53"/>
  <c r="AC52" i="53"/>
  <c r="AF51" i="53"/>
  <c r="AC52" i="57"/>
  <c r="AE52" i="57"/>
  <c r="B11" i="11"/>
  <c r="R52" i="57"/>
  <c r="R52" i="53"/>
  <c r="X52" i="53" s="1"/>
  <c r="AX36" i="69"/>
  <c r="L53" i="57"/>
  <c r="AG53" i="57"/>
  <c r="AJ52" i="57"/>
  <c r="AP52" i="57"/>
  <c r="AH52" i="53"/>
  <c r="AT52" i="53"/>
  <c r="AG52" i="53"/>
  <c r="A11" i="46"/>
  <c r="A244" i="46"/>
  <c r="B123" i="11"/>
  <c r="B91" i="11"/>
  <c r="B59" i="11"/>
  <c r="B27" i="11"/>
  <c r="B223" i="11"/>
  <c r="B146" i="11"/>
  <c r="B78" i="11"/>
  <c r="B18" i="11"/>
  <c r="A195" i="46"/>
  <c r="B151" i="11"/>
  <c r="B114" i="11"/>
  <c r="B50" i="11"/>
  <c r="A227" i="46"/>
  <c r="B227" i="11"/>
  <c r="B154" i="11"/>
  <c r="B193" i="11"/>
  <c r="B129" i="11"/>
  <c r="B187" i="11"/>
  <c r="B245" i="11"/>
  <c r="B181" i="11"/>
  <c r="B117" i="11"/>
  <c r="B242" i="11"/>
  <c r="B236" i="11"/>
  <c r="B172" i="11"/>
  <c r="B108" i="11"/>
  <c r="B214" i="11"/>
  <c r="B224" i="11"/>
  <c r="B247" i="11"/>
  <c r="B119" i="11"/>
  <c r="B87" i="11"/>
  <c r="B55" i="11"/>
  <c r="B23" i="11"/>
  <c r="B195" i="11"/>
  <c r="B134" i="11"/>
  <c r="B70" i="11"/>
  <c r="A255" i="46"/>
  <c r="A187" i="46"/>
  <c r="B250" i="11"/>
  <c r="B106" i="11"/>
  <c r="B42" i="11"/>
  <c r="A223" i="46"/>
  <c r="B199" i="11"/>
  <c r="B249" i="11"/>
  <c r="B185" i="11"/>
  <c r="B121" i="11"/>
  <c r="B163" i="11"/>
  <c r="B237" i="11"/>
  <c r="B173" i="11"/>
  <c r="B105" i="11"/>
  <c r="B218" i="11"/>
  <c r="B228" i="11"/>
  <c r="B164" i="11"/>
  <c r="B100" i="11"/>
  <c r="B190" i="11"/>
  <c r="B216" i="11"/>
  <c r="B152" i="11"/>
  <c r="A236" i="46"/>
  <c r="A176" i="46"/>
  <c r="A120" i="46"/>
  <c r="A88" i="46"/>
  <c r="A56" i="46"/>
  <c r="A24" i="46"/>
  <c r="B245" i="59"/>
  <c r="B213" i="59"/>
  <c r="B181" i="59"/>
  <c r="B149" i="59"/>
  <c r="B117" i="59"/>
  <c r="A212" i="46"/>
  <c r="A148" i="46"/>
  <c r="A127" i="46"/>
  <c r="A59" i="46"/>
  <c r="B232" i="59"/>
  <c r="B200" i="59"/>
  <c r="B168" i="59"/>
  <c r="B136" i="59"/>
  <c r="B104" i="59"/>
  <c r="B72" i="59"/>
  <c r="A107" i="46"/>
  <c r="A51" i="46"/>
  <c r="A19" i="46"/>
  <c r="B37" i="11"/>
  <c r="A218" i="46"/>
  <c r="A126" i="46"/>
  <c r="A58" i="46"/>
  <c r="B255" i="59"/>
  <c r="B215" i="59"/>
  <c r="B183" i="59"/>
  <c r="B151" i="59"/>
  <c r="B119" i="59"/>
  <c r="B49" i="11"/>
  <c r="A230" i="46"/>
  <c r="A170" i="46"/>
  <c r="A130" i="46"/>
  <c r="A70" i="46"/>
  <c r="B219" i="59"/>
  <c r="B32" i="11"/>
  <c r="A217" i="46"/>
  <c r="A121" i="46"/>
  <c r="A61" i="46"/>
  <c r="B250" i="59"/>
  <c r="B214" i="59"/>
  <c r="B182" i="59"/>
  <c r="B150" i="59"/>
  <c r="B118" i="59"/>
  <c r="B44" i="11"/>
  <c r="A221" i="46"/>
  <c r="A169" i="46"/>
  <c r="A125" i="46"/>
  <c r="A57" i="46"/>
  <c r="A13" i="71"/>
  <c r="B219" i="11"/>
  <c r="B115" i="11"/>
  <c r="B83" i="11"/>
  <c r="B51" i="11"/>
  <c r="B19" i="11"/>
  <c r="B155" i="11"/>
  <c r="B126" i="11"/>
  <c r="B62" i="11"/>
  <c r="A247" i="46"/>
  <c r="A183" i="46"/>
  <c r="B226" i="11"/>
  <c r="B98" i="11"/>
  <c r="B34" i="11"/>
  <c r="A215" i="46"/>
  <c r="B171" i="11"/>
  <c r="B241" i="11"/>
  <c r="B177" i="11"/>
  <c r="B113" i="11"/>
  <c r="B258" i="11"/>
  <c r="B229" i="11"/>
  <c r="B165" i="11"/>
  <c r="B97" i="11"/>
  <c r="B194" i="11"/>
  <c r="B220" i="11"/>
  <c r="B156" i="11"/>
  <c r="B243" i="11"/>
  <c r="B170" i="11"/>
  <c r="B208" i="11"/>
  <c r="B191" i="11"/>
  <c r="B111" i="11"/>
  <c r="B79" i="11"/>
  <c r="B47" i="11"/>
  <c r="B15" i="11"/>
  <c r="B254" i="11"/>
  <c r="B118" i="11"/>
  <c r="B54" i="11"/>
  <c r="A239" i="46"/>
  <c r="A175" i="46"/>
  <c r="B198" i="11"/>
  <c r="B90" i="11"/>
  <c r="B22" i="11"/>
  <c r="A207" i="46"/>
  <c r="B143" i="11"/>
  <c r="B233" i="11"/>
  <c r="B169" i="11"/>
  <c r="B109" i="11"/>
  <c r="B238" i="11"/>
  <c r="B221" i="11"/>
  <c r="B157" i="11"/>
  <c r="B255" i="11"/>
  <c r="B174" i="11"/>
  <c r="B212" i="11"/>
  <c r="B148" i="11"/>
  <c r="B215" i="11"/>
  <c r="B138" i="11"/>
  <c r="B200" i="11"/>
  <c r="B136" i="11"/>
  <c r="A224" i="46"/>
  <c r="A160" i="46"/>
  <c r="A112" i="46"/>
  <c r="A80" i="46"/>
  <c r="A48" i="46"/>
  <c r="A16" i="46"/>
  <c r="B237" i="59"/>
  <c r="B205" i="59"/>
  <c r="B173" i="59"/>
  <c r="B141" i="59"/>
  <c r="B109" i="59"/>
  <c r="A196" i="46"/>
  <c r="A124" i="46"/>
  <c r="A111" i="46"/>
  <c r="B256" i="59"/>
  <c r="B224" i="59"/>
  <c r="B192" i="59"/>
  <c r="B160" i="59"/>
  <c r="B128" i="59"/>
  <c r="B96" i="59"/>
  <c r="A155" i="46"/>
  <c r="A91" i="46"/>
  <c r="A43" i="46"/>
  <c r="B85" i="11"/>
  <c r="B21" i="11"/>
  <c r="A202" i="46"/>
  <c r="A110" i="46"/>
  <c r="A46" i="46"/>
  <c r="B247" i="59"/>
  <c r="B207" i="59"/>
  <c r="B175" i="59"/>
  <c r="B143" i="59"/>
  <c r="B111" i="59"/>
  <c r="B33" i="11"/>
  <c r="A214" i="46"/>
  <c r="A162" i="46"/>
  <c r="A114" i="46"/>
  <c r="A50" i="46"/>
  <c r="B84" i="11"/>
  <c r="B20" i="11"/>
  <c r="A201" i="46"/>
  <c r="A105" i="46"/>
  <c r="A45" i="46"/>
  <c r="B242" i="59"/>
  <c r="B206" i="59"/>
  <c r="B174" i="59"/>
  <c r="B142" i="59"/>
  <c r="B88" i="11"/>
  <c r="B24" i="11"/>
  <c r="A205" i="46"/>
  <c r="A161" i="46"/>
  <c r="A109" i="46"/>
  <c r="A41" i="46"/>
  <c r="B64" i="59"/>
  <c r="B32" i="59"/>
  <c r="A242" i="71"/>
  <c r="B167" i="11"/>
  <c r="B107" i="11"/>
  <c r="B75" i="11"/>
  <c r="B43" i="11"/>
  <c r="A256" i="46"/>
  <c r="B230" i="11"/>
  <c r="B110" i="11"/>
  <c r="B46" i="11"/>
  <c r="A231" i="46"/>
  <c r="A167" i="46"/>
  <c r="B166" i="11"/>
  <c r="B82" i="11"/>
  <c r="B14" i="11"/>
  <c r="A199" i="46"/>
  <c r="B246" i="11"/>
  <c r="B225" i="11"/>
  <c r="B161" i="11"/>
  <c r="B101" i="11"/>
  <c r="B210" i="11"/>
  <c r="B213" i="11"/>
  <c r="B149" i="11"/>
  <c r="B231" i="11"/>
  <c r="B150" i="11"/>
  <c r="B204" i="11"/>
  <c r="B140" i="11"/>
  <c r="B183" i="11"/>
  <c r="B256" i="11"/>
  <c r="B147" i="11"/>
  <c r="B103" i="11"/>
  <c r="B71" i="11"/>
  <c r="B39" i="11"/>
  <c r="A252" i="46"/>
  <c r="B206" i="11"/>
  <c r="B102" i="11"/>
  <c r="B38" i="11"/>
  <c r="A219" i="46"/>
  <c r="B235" i="11"/>
  <c r="B142" i="11"/>
  <c r="B74" i="11"/>
  <c r="A251" i="46"/>
  <c r="A191" i="46"/>
  <c r="B222" i="11"/>
  <c r="B217" i="11"/>
  <c r="B153" i="11"/>
  <c r="B93" i="11"/>
  <c r="B186" i="11"/>
  <c r="B205" i="11"/>
  <c r="B141" i="11"/>
  <c r="B203" i="11"/>
  <c r="B253" i="11"/>
  <c r="B196" i="11"/>
  <c r="B132" i="11"/>
  <c r="B159" i="11"/>
  <c r="B248" i="11"/>
  <c r="B184" i="11"/>
  <c r="B120" i="11"/>
  <c r="A208" i="46"/>
  <c r="A144" i="46"/>
  <c r="A104" i="46"/>
  <c r="A72" i="46"/>
  <c r="A40" i="46"/>
  <c r="B13" i="59"/>
  <c r="B229" i="59"/>
  <c r="B197" i="59"/>
  <c r="B165" i="59"/>
  <c r="B133" i="59"/>
  <c r="B101" i="59"/>
  <c r="A180" i="46"/>
  <c r="A159" i="46"/>
  <c r="A95" i="46"/>
  <c r="B248" i="59"/>
  <c r="B216" i="59"/>
  <c r="B184" i="59"/>
  <c r="B152" i="59"/>
  <c r="B120" i="59"/>
  <c r="B88" i="59"/>
  <c r="A139" i="46"/>
  <c r="A75" i="46"/>
  <c r="A35" i="46"/>
  <c r="B69" i="11"/>
  <c r="A250" i="46"/>
  <c r="A186" i="46"/>
  <c r="A90" i="46"/>
  <c r="A30" i="46"/>
  <c r="B239" i="59"/>
  <c r="B199" i="59"/>
  <c r="B167" i="59"/>
  <c r="B135" i="59"/>
  <c r="B81" i="11"/>
  <c r="B17" i="11"/>
  <c r="A198" i="46"/>
  <c r="A154" i="46"/>
  <c r="A98" i="46"/>
  <c r="A34" i="46"/>
  <c r="B68" i="11"/>
  <c r="A245" i="46"/>
  <c r="A185" i="46"/>
  <c r="A93" i="46"/>
  <c r="A29" i="46"/>
  <c r="B230" i="59"/>
  <c r="B198" i="59"/>
  <c r="B166" i="59"/>
  <c r="B134" i="59"/>
  <c r="B72" i="11"/>
  <c r="A253" i="46"/>
  <c r="A189" i="46"/>
  <c r="A153" i="46"/>
  <c r="A89" i="46"/>
  <c r="A25" i="46"/>
  <c r="B56" i="59"/>
  <c r="B131" i="11"/>
  <c r="B99" i="11"/>
  <c r="B67" i="11"/>
  <c r="B35" i="11"/>
  <c r="A248" i="46"/>
  <c r="B182" i="11"/>
  <c r="B94" i="11"/>
  <c r="B30" i="11"/>
  <c r="A211" i="46"/>
  <c r="B207" i="11"/>
  <c r="B130" i="11"/>
  <c r="B66" i="11"/>
  <c r="A243" i="46"/>
  <c r="A179" i="46"/>
  <c r="B202" i="11"/>
  <c r="B209" i="11"/>
  <c r="B145" i="11"/>
  <c r="B239" i="11"/>
  <c r="B158" i="11"/>
  <c r="B197" i="11"/>
  <c r="B133" i="11"/>
  <c r="B175" i="11"/>
  <c r="B252" i="11"/>
  <c r="B188" i="11"/>
  <c r="B124" i="11"/>
  <c r="B135" i="11"/>
  <c r="B240" i="11"/>
  <c r="B127" i="11"/>
  <c r="B95" i="11"/>
  <c r="B63" i="11"/>
  <c r="B31" i="11"/>
  <c r="B251" i="11"/>
  <c r="B162" i="11"/>
  <c r="B86" i="11"/>
  <c r="B26" i="11"/>
  <c r="A203" i="46"/>
  <c r="B179" i="11"/>
  <c r="B122" i="11"/>
  <c r="B58" i="11"/>
  <c r="A235" i="46"/>
  <c r="A171" i="46"/>
  <c r="B178" i="11"/>
  <c r="B201" i="11"/>
  <c r="B137" i="11"/>
  <c r="B211" i="11"/>
  <c r="B257" i="11"/>
  <c r="B189" i="11"/>
  <c r="B125" i="11"/>
  <c r="B139" i="11"/>
  <c r="B244" i="11"/>
  <c r="B180" i="11"/>
  <c r="B116" i="11"/>
  <c r="B234" i="11"/>
  <c r="B232" i="11"/>
  <c r="B168" i="11"/>
  <c r="B104" i="11"/>
  <c r="A192" i="46"/>
  <c r="A132" i="46"/>
  <c r="A96" i="46"/>
  <c r="A64" i="46"/>
  <c r="A32" i="46"/>
  <c r="B253" i="59"/>
  <c r="B221" i="59"/>
  <c r="B189" i="59"/>
  <c r="B157" i="59"/>
  <c r="B125" i="59"/>
  <c r="A228" i="46"/>
  <c r="A164" i="46"/>
  <c r="A143" i="46"/>
  <c r="A79" i="46"/>
  <c r="B240" i="59"/>
  <c r="B208" i="59"/>
  <c r="B176" i="59"/>
  <c r="B144" i="59"/>
  <c r="B112" i="59"/>
  <c r="B80" i="59"/>
  <c r="A123" i="46"/>
  <c r="A63" i="46"/>
  <c r="A27" i="46"/>
  <c r="B53" i="11"/>
  <c r="A234" i="46"/>
  <c r="A142" i="46"/>
  <c r="A74" i="46"/>
  <c r="A14" i="46"/>
  <c r="B227" i="59"/>
  <c r="B191" i="59"/>
  <c r="B159" i="59"/>
  <c r="B127" i="59"/>
  <c r="B65" i="11"/>
  <c r="A246" i="46"/>
  <c r="A182" i="46"/>
  <c r="A146" i="46"/>
  <c r="A86" i="46"/>
  <c r="A18" i="46"/>
  <c r="B52" i="11"/>
  <c r="A233" i="46"/>
  <c r="A141" i="46"/>
  <c r="A77" i="46"/>
  <c r="A13" i="46"/>
  <c r="B222" i="59"/>
  <c r="B190" i="59"/>
  <c r="B158" i="59"/>
  <c r="B126" i="59"/>
  <c r="B56" i="11"/>
  <c r="A241" i="46"/>
  <c r="A177" i="46"/>
  <c r="A137" i="46"/>
  <c r="A73" i="46"/>
  <c r="B258" i="59"/>
  <c r="B48" i="59"/>
  <c r="B16" i="59"/>
  <c r="A226" i="71"/>
  <c r="A194" i="71"/>
  <c r="B192" i="11"/>
  <c r="A216" i="46"/>
  <c r="A108" i="46"/>
  <c r="A44" i="46"/>
  <c r="B233" i="59"/>
  <c r="B169" i="59"/>
  <c r="B105" i="59"/>
  <c r="B252" i="59"/>
  <c r="B188" i="59"/>
  <c r="B124" i="59"/>
  <c r="A147" i="46"/>
  <c r="A39" i="46"/>
  <c r="B13" i="11"/>
  <c r="A102" i="46"/>
  <c r="B243" i="59"/>
  <c r="B171" i="59"/>
  <c r="B89" i="11"/>
  <c r="A206" i="46"/>
  <c r="A106" i="46"/>
  <c r="B76" i="11"/>
  <c r="A193" i="46"/>
  <c r="A37" i="46"/>
  <c r="B202" i="59"/>
  <c r="B138" i="59"/>
  <c r="B16" i="11"/>
  <c r="A157" i="46"/>
  <c r="A33" i="46"/>
  <c r="B36" i="59"/>
  <c r="A234" i="71"/>
  <c r="A198" i="71"/>
  <c r="A162" i="71"/>
  <c r="A130" i="71"/>
  <c r="A98" i="71"/>
  <c r="A66" i="71"/>
  <c r="A34" i="71"/>
  <c r="B99" i="59"/>
  <c r="B67" i="59"/>
  <c r="B35" i="59"/>
  <c r="A241" i="71"/>
  <c r="A209" i="71"/>
  <c r="A177" i="71"/>
  <c r="A145" i="71"/>
  <c r="A113" i="71"/>
  <c r="A81" i="71"/>
  <c r="A49" i="71"/>
  <c r="A17" i="71"/>
  <c r="B94" i="59"/>
  <c r="B62" i="59"/>
  <c r="B30" i="59"/>
  <c r="A240" i="71"/>
  <c r="A208" i="71"/>
  <c r="A176" i="71"/>
  <c r="A144" i="71"/>
  <c r="A112" i="71"/>
  <c r="A80" i="71"/>
  <c r="A48" i="71"/>
  <c r="A16" i="71"/>
  <c r="B73" i="59"/>
  <c r="B41" i="59"/>
  <c r="A251" i="71"/>
  <c r="A219" i="71"/>
  <c r="A187" i="71"/>
  <c r="A155" i="71"/>
  <c r="A123" i="71"/>
  <c r="A91" i="71"/>
  <c r="A59" i="71"/>
  <c r="A27" i="71"/>
  <c r="B176" i="11"/>
  <c r="A200" i="46"/>
  <c r="A100" i="46"/>
  <c r="A36" i="46"/>
  <c r="B225" i="59"/>
  <c r="B161" i="59"/>
  <c r="A240" i="46"/>
  <c r="A151" i="46"/>
  <c r="B244" i="59"/>
  <c r="B180" i="59"/>
  <c r="B116" i="59"/>
  <c r="A131" i="46"/>
  <c r="A31" i="46"/>
  <c r="A242" i="46"/>
  <c r="A82" i="46"/>
  <c r="B231" i="59"/>
  <c r="B163" i="59"/>
  <c r="B73" i="11"/>
  <c r="A190" i="46"/>
  <c r="A94" i="46"/>
  <c r="B60" i="11"/>
  <c r="A149" i="46"/>
  <c r="A21" i="46"/>
  <c r="B194" i="59"/>
  <c r="B130" i="59"/>
  <c r="A249" i="46"/>
  <c r="A145" i="46"/>
  <c r="A17" i="46"/>
  <c r="B28" i="59"/>
  <c r="A230" i="71"/>
  <c r="A190" i="71"/>
  <c r="A158" i="71"/>
  <c r="A126" i="71"/>
  <c r="A94" i="71"/>
  <c r="A62" i="71"/>
  <c r="A30" i="71"/>
  <c r="B95" i="59"/>
  <c r="B63" i="59"/>
  <c r="B31" i="59"/>
  <c r="A237" i="71"/>
  <c r="A205" i="71"/>
  <c r="A173" i="71"/>
  <c r="A141" i="71"/>
  <c r="A109" i="71"/>
  <c r="A77" i="71"/>
  <c r="A45" i="71"/>
  <c r="B11" i="59"/>
  <c r="B90" i="59"/>
  <c r="B58" i="59"/>
  <c r="B26" i="59"/>
  <c r="A236" i="71"/>
  <c r="A204" i="71"/>
  <c r="A172" i="71"/>
  <c r="A140" i="71"/>
  <c r="A108" i="71"/>
  <c r="A76" i="71"/>
  <c r="A44" i="71"/>
  <c r="A12" i="71"/>
  <c r="B69" i="59"/>
  <c r="B37" i="59"/>
  <c r="A247" i="71"/>
  <c r="A215" i="71"/>
  <c r="A183" i="71"/>
  <c r="A151" i="71"/>
  <c r="A119" i="71"/>
  <c r="A87" i="71"/>
  <c r="A55" i="71"/>
  <c r="A23" i="71"/>
  <c r="B160" i="11"/>
  <c r="A184" i="46"/>
  <c r="A92" i="46"/>
  <c r="A28" i="46"/>
  <c r="B217" i="59"/>
  <c r="B153" i="59"/>
  <c r="A220" i="46"/>
  <c r="A135" i="46"/>
  <c r="B236" i="59"/>
  <c r="B172" i="59"/>
  <c r="B108" i="59"/>
  <c r="A115" i="46"/>
  <c r="A23" i="46"/>
  <c r="A226" i="46"/>
  <c r="A66" i="46"/>
  <c r="B223" i="59"/>
  <c r="B155" i="59"/>
  <c r="B57" i="11"/>
  <c r="A174" i="46"/>
  <c r="A78" i="46"/>
  <c r="B40" i="11"/>
  <c r="A133" i="46"/>
  <c r="B254" i="59"/>
  <c r="B186" i="59"/>
  <c r="B122" i="59"/>
  <c r="A229" i="46"/>
  <c r="A129" i="46"/>
  <c r="B238" i="59"/>
  <c r="B24" i="59"/>
  <c r="A222" i="71"/>
  <c r="A186" i="71"/>
  <c r="A154" i="71"/>
  <c r="A122" i="71"/>
  <c r="A90" i="71"/>
  <c r="A58" i="71"/>
  <c r="A26" i="71"/>
  <c r="B91" i="59"/>
  <c r="B59" i="59"/>
  <c r="B27" i="59"/>
  <c r="A233" i="71"/>
  <c r="A201" i="71"/>
  <c r="A169" i="71"/>
  <c r="A137" i="71"/>
  <c r="A105" i="71"/>
  <c r="A73" i="71"/>
  <c r="A41" i="71"/>
  <c r="B14" i="59"/>
  <c r="B86" i="59"/>
  <c r="B54" i="59"/>
  <c r="B22" i="59"/>
  <c r="A232" i="71"/>
  <c r="A200" i="71"/>
  <c r="A168" i="71"/>
  <c r="A136" i="71"/>
  <c r="A104" i="71"/>
  <c r="A72" i="71"/>
  <c r="A40" i="71"/>
  <c r="B97" i="59"/>
  <c r="B65" i="59"/>
  <c r="B33" i="59"/>
  <c r="A243" i="71"/>
  <c r="A211" i="71"/>
  <c r="A179" i="71"/>
  <c r="A147" i="71"/>
  <c r="A115" i="71"/>
  <c r="A83" i="71"/>
  <c r="A51" i="71"/>
  <c r="A19" i="71"/>
  <c r="B144" i="11"/>
  <c r="A168" i="46"/>
  <c r="A84" i="46"/>
  <c r="A20" i="46"/>
  <c r="B209" i="59"/>
  <c r="B145" i="59"/>
  <c r="A204" i="46"/>
  <c r="A119" i="46"/>
  <c r="B228" i="59"/>
  <c r="B164" i="59"/>
  <c r="B100" i="59"/>
  <c r="A99" i="46"/>
  <c r="A15" i="46"/>
  <c r="A210" i="46"/>
  <c r="A54" i="46"/>
  <c r="B211" i="59"/>
  <c r="B147" i="59"/>
  <c r="B41" i="11"/>
  <c r="A166" i="46"/>
  <c r="A62" i="46"/>
  <c r="B28" i="11"/>
  <c r="A113" i="46"/>
  <c r="B246" i="59"/>
  <c r="B178" i="59"/>
  <c r="B114" i="59"/>
  <c r="A213" i="46"/>
  <c r="A117" i="46"/>
  <c r="B68" i="59"/>
  <c r="B20" i="59"/>
  <c r="A218" i="71"/>
  <c r="A182" i="71"/>
  <c r="A150" i="71"/>
  <c r="A118" i="71"/>
  <c r="A86" i="71"/>
  <c r="A54" i="71"/>
  <c r="A22" i="71"/>
  <c r="B87" i="59"/>
  <c r="B55" i="59"/>
  <c r="B23" i="59"/>
  <c r="A229" i="71"/>
  <c r="A197" i="71"/>
  <c r="A165" i="71"/>
  <c r="A133" i="71"/>
  <c r="A101" i="71"/>
  <c r="A69" i="71"/>
  <c r="A37" i="71"/>
  <c r="A15" i="71"/>
  <c r="B82" i="59"/>
  <c r="B50" i="59"/>
  <c r="B18" i="59"/>
  <c r="A228" i="71"/>
  <c r="A196" i="71"/>
  <c r="A164" i="71"/>
  <c r="A132" i="71"/>
  <c r="A100" i="71"/>
  <c r="A68" i="71"/>
  <c r="A36" i="71"/>
  <c r="B93" i="59"/>
  <c r="B61" i="59"/>
  <c r="B29" i="59"/>
  <c r="A239" i="71"/>
  <c r="A207" i="71"/>
  <c r="A175" i="71"/>
  <c r="A143" i="71"/>
  <c r="A111" i="71"/>
  <c r="A79" i="71"/>
  <c r="A47" i="71"/>
  <c r="A11" i="71"/>
  <c r="B128" i="11"/>
  <c r="A152" i="46"/>
  <c r="A76" i="46"/>
  <c r="A12" i="46"/>
  <c r="B201" i="59"/>
  <c r="B137" i="59"/>
  <c r="A188" i="46"/>
  <c r="A103" i="46"/>
  <c r="B220" i="59"/>
  <c r="B156" i="59"/>
  <c r="B92" i="59"/>
  <c r="A83" i="46"/>
  <c r="B77" i="11"/>
  <c r="A194" i="46"/>
  <c r="A38" i="46"/>
  <c r="B203" i="59"/>
  <c r="B139" i="59"/>
  <c r="B25" i="11"/>
  <c r="A158" i="46"/>
  <c r="A42" i="46"/>
  <c r="B12" i="11"/>
  <c r="A97" i="46"/>
  <c r="B234" i="59"/>
  <c r="B170" i="59"/>
  <c r="B80" i="11"/>
  <c r="A197" i="46"/>
  <c r="A101" i="46"/>
  <c r="B60" i="59"/>
  <c r="A254" i="71"/>
  <c r="A214" i="71"/>
  <c r="A178" i="71"/>
  <c r="A146" i="71"/>
  <c r="A114" i="71"/>
  <c r="A82" i="71"/>
  <c r="A50" i="71"/>
  <c r="A18" i="71"/>
  <c r="B83" i="59"/>
  <c r="B51" i="59"/>
  <c r="B19" i="59"/>
  <c r="A225" i="71"/>
  <c r="A193" i="71"/>
  <c r="A161" i="71"/>
  <c r="A129" i="71"/>
  <c r="A97" i="71"/>
  <c r="A65" i="71"/>
  <c r="A33" i="71"/>
  <c r="B110" i="59"/>
  <c r="B78" i="59"/>
  <c r="B46" i="59"/>
  <c r="A256" i="71"/>
  <c r="A224" i="71"/>
  <c r="A192" i="71"/>
  <c r="A160" i="71"/>
  <c r="A128" i="71"/>
  <c r="A96" i="71"/>
  <c r="A64" i="71"/>
  <c r="A32" i="71"/>
  <c r="B89" i="59"/>
  <c r="B57" i="59"/>
  <c r="B25" i="59"/>
  <c r="A235" i="71"/>
  <c r="A203" i="71"/>
  <c r="A171" i="71"/>
  <c r="A139" i="71"/>
  <c r="A107" i="71"/>
  <c r="A75" i="71"/>
  <c r="A43" i="71"/>
  <c r="B112" i="11"/>
  <c r="A136" i="46"/>
  <c r="A68" i="46"/>
  <c r="B257" i="59"/>
  <c r="B193" i="59"/>
  <c r="B129" i="59"/>
  <c r="A172" i="46"/>
  <c r="A87" i="46"/>
  <c r="B212" i="59"/>
  <c r="B148" i="59"/>
  <c r="B84" i="59"/>
  <c r="A67" i="46"/>
  <c r="B61" i="11"/>
  <c r="A178" i="46"/>
  <c r="A22" i="46"/>
  <c r="B195" i="59"/>
  <c r="B131" i="59"/>
  <c r="A254" i="46"/>
  <c r="A150" i="46"/>
  <c r="A26" i="46"/>
  <c r="A237" i="46"/>
  <c r="A85" i="46"/>
  <c r="B226" i="59"/>
  <c r="B162" i="59"/>
  <c r="B64" i="11"/>
  <c r="A181" i="46"/>
  <c r="A81" i="46"/>
  <c r="B52" i="59"/>
  <c r="A250" i="71"/>
  <c r="A210" i="71"/>
  <c r="A174" i="71"/>
  <c r="A142" i="71"/>
  <c r="A110" i="71"/>
  <c r="A78" i="71"/>
  <c r="A46" i="71"/>
  <c r="A14" i="71"/>
  <c r="B79" i="59"/>
  <c r="B47" i="59"/>
  <c r="A253" i="71"/>
  <c r="A221" i="71"/>
  <c r="A189" i="71"/>
  <c r="A157" i="71"/>
  <c r="A125" i="71"/>
  <c r="A93" i="71"/>
  <c r="A61" i="71"/>
  <c r="A29" i="71"/>
  <c r="B106" i="59"/>
  <c r="B74" i="59"/>
  <c r="B42" i="59"/>
  <c r="A252" i="71"/>
  <c r="A220" i="71"/>
  <c r="A188" i="71"/>
  <c r="A156" i="71"/>
  <c r="A124" i="71"/>
  <c r="A92" i="71"/>
  <c r="A60" i="71"/>
  <c r="A28" i="71"/>
  <c r="B85" i="59"/>
  <c r="B53" i="59"/>
  <c r="B21" i="59"/>
  <c r="A231" i="71"/>
  <c r="A199" i="71"/>
  <c r="A167" i="71"/>
  <c r="A135" i="71"/>
  <c r="A103" i="71"/>
  <c r="A71" i="71"/>
  <c r="A39" i="71"/>
  <c r="B96" i="11"/>
  <c r="A128" i="46"/>
  <c r="A60" i="46"/>
  <c r="B249" i="59"/>
  <c r="B185" i="59"/>
  <c r="B121" i="59"/>
  <c r="A156" i="46"/>
  <c r="A71" i="46"/>
  <c r="B204" i="59"/>
  <c r="B140" i="59"/>
  <c r="B76" i="59"/>
  <c r="A55" i="46"/>
  <c r="B45" i="11"/>
  <c r="A134" i="46"/>
  <c r="B15" i="59"/>
  <c r="B187" i="59"/>
  <c r="B123" i="59"/>
  <c r="A238" i="46"/>
  <c r="A138" i="46"/>
  <c r="B235" i="59"/>
  <c r="A225" i="46"/>
  <c r="A69" i="46"/>
  <c r="B218" i="59"/>
  <c r="B154" i="59"/>
  <c r="B48" i="11"/>
  <c r="A173" i="46"/>
  <c r="A65" i="46"/>
  <c r="B44" i="59"/>
  <c r="A246" i="71"/>
  <c r="A206" i="71"/>
  <c r="A170" i="71"/>
  <c r="A138" i="71"/>
  <c r="A106" i="71"/>
  <c r="A74" i="71"/>
  <c r="A42" i="71"/>
  <c r="B107" i="59"/>
  <c r="B75" i="59"/>
  <c r="B43" i="59"/>
  <c r="A249" i="71"/>
  <c r="A217" i="71"/>
  <c r="A185" i="71"/>
  <c r="A153" i="71"/>
  <c r="A121" i="71"/>
  <c r="A89" i="71"/>
  <c r="A57" i="71"/>
  <c r="A25" i="71"/>
  <c r="B102" i="59"/>
  <c r="B70" i="59"/>
  <c r="B38" i="59"/>
  <c r="A248" i="71"/>
  <c r="A216" i="71"/>
  <c r="A184" i="71"/>
  <c r="A152" i="71"/>
  <c r="A120" i="71"/>
  <c r="A88" i="71"/>
  <c r="A56" i="71"/>
  <c r="A24" i="71"/>
  <c r="B81" i="59"/>
  <c r="B49" i="59"/>
  <c r="B17" i="59"/>
  <c r="A227" i="71"/>
  <c r="A195" i="71"/>
  <c r="A163" i="71"/>
  <c r="A131" i="71"/>
  <c r="A99" i="71"/>
  <c r="A67" i="71"/>
  <c r="A35" i="71"/>
  <c r="A232" i="46"/>
  <c r="A116" i="46"/>
  <c r="A52" i="46"/>
  <c r="B241" i="59"/>
  <c r="B177" i="59"/>
  <c r="B113" i="59"/>
  <c r="A140" i="46"/>
  <c r="B12" i="59"/>
  <c r="B196" i="59"/>
  <c r="B132" i="59"/>
  <c r="A163" i="46"/>
  <c r="A47" i="46"/>
  <c r="B29" i="11"/>
  <c r="A118" i="46"/>
  <c r="B251" i="59"/>
  <c r="B179" i="59"/>
  <c r="B115" i="59"/>
  <c r="A222" i="46"/>
  <c r="A122" i="46"/>
  <c r="B92" i="11"/>
  <c r="A209" i="46"/>
  <c r="A53" i="46"/>
  <c r="B210" i="59"/>
  <c r="B146" i="59"/>
  <c r="B36" i="11"/>
  <c r="A165" i="46"/>
  <c r="A49" i="46"/>
  <c r="B40" i="59"/>
  <c r="A238" i="71"/>
  <c r="A202" i="71"/>
  <c r="A166" i="71"/>
  <c r="A134" i="71"/>
  <c r="A102" i="71"/>
  <c r="A70" i="71"/>
  <c r="A38" i="71"/>
  <c r="B103" i="59"/>
  <c r="B71" i="59"/>
  <c r="B39" i="59"/>
  <c r="A245" i="71"/>
  <c r="A213" i="71"/>
  <c r="A181" i="71"/>
  <c r="A149" i="71"/>
  <c r="A117" i="71"/>
  <c r="A85" i="71"/>
  <c r="A53" i="71"/>
  <c r="A21" i="71"/>
  <c r="B98" i="59"/>
  <c r="B66" i="59"/>
  <c r="B34" i="59"/>
  <c r="A244" i="71"/>
  <c r="A212" i="71"/>
  <c r="A180" i="71"/>
  <c r="A148" i="71"/>
  <c r="A116" i="71"/>
  <c r="A84" i="71"/>
  <c r="A52" i="71"/>
  <c r="A20" i="71"/>
  <c r="B77" i="59"/>
  <c r="B45" i="59"/>
  <c r="A255" i="71"/>
  <c r="A223" i="71"/>
  <c r="A191" i="71"/>
  <c r="A159" i="71"/>
  <c r="A127" i="71"/>
  <c r="A95" i="71"/>
  <c r="A63" i="71"/>
  <c r="A31" i="71"/>
  <c r="N53" i="57"/>
  <c r="N53" i="53"/>
  <c r="AH36" i="69"/>
  <c r="AD52" i="57"/>
  <c r="AD52" i="53"/>
  <c r="Q52" i="53"/>
  <c r="C53" i="53"/>
  <c r="K53" i="53"/>
  <c r="AK52" i="52" a="1"/>
  <c r="AK52" i="52" s="1"/>
  <c r="B54" i="53" s="1"/>
  <c r="O54" i="53" s="1"/>
  <c r="D53" i="53"/>
  <c r="H53" i="53"/>
  <c r="I53" i="53"/>
  <c r="F53" i="53"/>
  <c r="P53" i="53"/>
  <c r="E53" i="53"/>
  <c r="M53" i="53"/>
  <c r="J53" i="53"/>
  <c r="L53" i="53"/>
  <c r="G53" i="53"/>
  <c r="P53" i="57"/>
  <c r="K53" i="57"/>
  <c r="I53" i="57"/>
  <c r="G53" i="57"/>
  <c r="E53" i="57"/>
  <c r="C53" i="57"/>
  <c r="M53" i="57" s="1"/>
  <c r="D53" i="57"/>
  <c r="F53" i="57"/>
  <c r="H53" i="57"/>
  <c r="J53" i="57"/>
  <c r="Q52" i="57"/>
  <c r="T52" i="57" s="1"/>
  <c r="AK52" i="55" a="1"/>
  <c r="AK52" i="55" s="1"/>
  <c r="B54" i="57" s="1"/>
  <c r="O54" i="57" s="1"/>
  <c r="K253" i="71"/>
  <c r="K245" i="71"/>
  <c r="K237" i="71"/>
  <c r="K229" i="71"/>
  <c r="K221" i="71"/>
  <c r="K213" i="71"/>
  <c r="K205" i="71"/>
  <c r="K197" i="71"/>
  <c r="K189" i="71"/>
  <c r="K181" i="71"/>
  <c r="K173" i="71"/>
  <c r="K165" i="71"/>
  <c r="K157" i="71"/>
  <c r="K149" i="71"/>
  <c r="K141" i="71"/>
  <c r="K133" i="71"/>
  <c r="K125" i="71"/>
  <c r="K117" i="71"/>
  <c r="K109" i="71"/>
  <c r="K101" i="71"/>
  <c r="K93" i="71"/>
  <c r="K85" i="71"/>
  <c r="K77" i="71"/>
  <c r="K69" i="71"/>
  <c r="K61" i="71"/>
  <c r="K53" i="71"/>
  <c r="K45" i="71"/>
  <c r="K37" i="71"/>
  <c r="K29" i="71"/>
  <c r="K21" i="71"/>
  <c r="K13" i="71"/>
  <c r="L253" i="59"/>
  <c r="L245" i="59"/>
  <c r="L237" i="59"/>
  <c r="L229" i="59"/>
  <c r="L221" i="59"/>
  <c r="L213" i="59"/>
  <c r="L205" i="59"/>
  <c r="L197" i="59"/>
  <c r="L189" i="59"/>
  <c r="L181" i="59"/>
  <c r="L173" i="59"/>
  <c r="L165" i="59"/>
  <c r="L157" i="59"/>
  <c r="L149" i="59"/>
  <c r="L141" i="59"/>
  <c r="L133" i="59"/>
  <c r="L125" i="59"/>
  <c r="L117" i="59"/>
  <c r="L109" i="59"/>
  <c r="L101" i="59"/>
  <c r="L93" i="59"/>
  <c r="L85" i="59"/>
  <c r="L77" i="59"/>
  <c r="L69" i="59"/>
  <c r="L61" i="59"/>
  <c r="L53" i="59"/>
  <c r="L45" i="59"/>
  <c r="L37" i="59"/>
  <c r="L29" i="59"/>
  <c r="L21" i="59"/>
  <c r="L13" i="59"/>
  <c r="K251" i="46"/>
  <c r="K243" i="46"/>
  <c r="K235" i="46"/>
  <c r="K227" i="46"/>
  <c r="K219" i="46"/>
  <c r="K211" i="46"/>
  <c r="K203" i="46"/>
  <c r="K195" i="46"/>
  <c r="K187" i="46"/>
  <c r="K179" i="46"/>
  <c r="K171" i="46"/>
  <c r="K163" i="46"/>
  <c r="K155" i="46"/>
  <c r="K147" i="46"/>
  <c r="K139" i="46"/>
  <c r="K131" i="46"/>
  <c r="K123" i="46"/>
  <c r="K115" i="46"/>
  <c r="K107" i="46"/>
  <c r="K99" i="46"/>
  <c r="K91" i="46"/>
  <c r="K251" i="71"/>
  <c r="K243" i="71"/>
  <c r="K235" i="71"/>
  <c r="K227" i="71"/>
  <c r="K219" i="71"/>
  <c r="K211" i="71"/>
  <c r="K203" i="71"/>
  <c r="K195" i="71"/>
  <c r="K187" i="71"/>
  <c r="K179" i="71"/>
  <c r="K171" i="71"/>
  <c r="K163" i="71"/>
  <c r="K155" i="71"/>
  <c r="K147" i="71"/>
  <c r="K139" i="71"/>
  <c r="K131" i="71"/>
  <c r="K123" i="71"/>
  <c r="K115" i="71"/>
  <c r="K107" i="71"/>
  <c r="K99" i="71"/>
  <c r="K91" i="71"/>
  <c r="K83" i="71"/>
  <c r="K75" i="71"/>
  <c r="K67" i="71"/>
  <c r="K59" i="71"/>
  <c r="K250" i="71"/>
  <c r="K242" i="71"/>
  <c r="K234" i="71"/>
  <c r="K226" i="71"/>
  <c r="K218" i="71"/>
  <c r="K210" i="71"/>
  <c r="K202" i="71"/>
  <c r="K194" i="71"/>
  <c r="K186" i="71"/>
  <c r="K178" i="71"/>
  <c r="K170" i="71"/>
  <c r="K162" i="71"/>
  <c r="K154" i="71"/>
  <c r="K146" i="71"/>
  <c r="K138" i="71"/>
  <c r="K130" i="71"/>
  <c r="K122" i="71"/>
  <c r="K114" i="71"/>
  <c r="K106" i="71"/>
  <c r="K98" i="71"/>
  <c r="K90" i="71"/>
  <c r="K82" i="71"/>
  <c r="K74" i="71"/>
  <c r="K66" i="71"/>
  <c r="K58" i="71"/>
  <c r="K50" i="71"/>
  <c r="K42" i="71"/>
  <c r="K34" i="71"/>
  <c r="K26" i="71"/>
  <c r="K18" i="71"/>
  <c r="L258" i="59"/>
  <c r="L250" i="59"/>
  <c r="L242" i="59"/>
  <c r="L234" i="59"/>
  <c r="L226" i="59"/>
  <c r="L218" i="59"/>
  <c r="L210" i="59"/>
  <c r="L202" i="59"/>
  <c r="L194" i="59"/>
  <c r="L186" i="59"/>
  <c r="L178" i="59"/>
  <c r="L170" i="59"/>
  <c r="L162" i="59"/>
  <c r="L154" i="59"/>
  <c r="L146" i="59"/>
  <c r="L138" i="59"/>
  <c r="L130" i="59"/>
  <c r="L122" i="59"/>
  <c r="L114" i="59"/>
  <c r="L106" i="59"/>
  <c r="L98" i="59"/>
  <c r="L90" i="59"/>
  <c r="L82" i="59"/>
  <c r="L74" i="59"/>
  <c r="L66" i="59"/>
  <c r="L58" i="59"/>
  <c r="L50" i="59"/>
  <c r="L42" i="59"/>
  <c r="L34" i="59"/>
  <c r="L26" i="59"/>
  <c r="L18" i="59"/>
  <c r="K256" i="46"/>
  <c r="K248" i="46"/>
  <c r="K240" i="46"/>
  <c r="K232" i="46"/>
  <c r="K224" i="46"/>
  <c r="K216" i="46"/>
  <c r="K208" i="46"/>
  <c r="K200" i="46"/>
  <c r="K192" i="46"/>
  <c r="K184" i="46"/>
  <c r="K176" i="46"/>
  <c r="K168" i="46"/>
  <c r="K160" i="46"/>
  <c r="K152" i="46"/>
  <c r="K144" i="46"/>
  <c r="K136" i="46"/>
  <c r="K128" i="46"/>
  <c r="K120" i="46"/>
  <c r="K112" i="46"/>
  <c r="K104" i="46"/>
  <c r="K96" i="46"/>
  <c r="K88" i="46"/>
  <c r="K80" i="46"/>
  <c r="K249" i="71"/>
  <c r="K241" i="71"/>
  <c r="K233" i="71"/>
  <c r="K225" i="71"/>
  <c r="K217" i="71"/>
  <c r="K209" i="71"/>
  <c r="K201" i="71"/>
  <c r="K193" i="71"/>
  <c r="K185" i="71"/>
  <c r="K177" i="71"/>
  <c r="K169" i="71"/>
  <c r="K161" i="71"/>
  <c r="K153" i="71"/>
  <c r="K145" i="71"/>
  <c r="K137" i="71"/>
  <c r="K129" i="71"/>
  <c r="K121" i="71"/>
  <c r="K113" i="71"/>
  <c r="K105" i="71"/>
  <c r="K97" i="71"/>
  <c r="K89" i="71"/>
  <c r="K81" i="71"/>
  <c r="K73" i="71"/>
  <c r="K65" i="71"/>
  <c r="K57" i="71"/>
  <c r="K49" i="71"/>
  <c r="K41" i="71"/>
  <c r="K33" i="71"/>
  <c r="K25" i="71"/>
  <c r="K17" i="71"/>
  <c r="L257" i="59"/>
  <c r="L249" i="59"/>
  <c r="L241" i="59"/>
  <c r="L233" i="59"/>
  <c r="L225" i="59"/>
  <c r="L217" i="59"/>
  <c r="L209" i="59"/>
  <c r="L201" i="59"/>
  <c r="L193" i="59"/>
  <c r="L185" i="59"/>
  <c r="L177" i="59"/>
  <c r="L169" i="59"/>
  <c r="L161" i="59"/>
  <c r="L153" i="59"/>
  <c r="L145" i="59"/>
  <c r="L137" i="59"/>
  <c r="L129" i="59"/>
  <c r="L121" i="59"/>
  <c r="L113" i="59"/>
  <c r="L105" i="59"/>
  <c r="L97" i="59"/>
  <c r="L89" i="59"/>
  <c r="L81" i="59"/>
  <c r="L73" i="59"/>
  <c r="L65" i="59"/>
  <c r="L57" i="59"/>
  <c r="L49" i="59"/>
  <c r="L41" i="59"/>
  <c r="L33" i="59"/>
  <c r="L25" i="59"/>
  <c r="L17" i="59"/>
  <c r="K255" i="46"/>
  <c r="K247" i="46"/>
  <c r="K239" i="46"/>
  <c r="K231" i="46"/>
  <c r="K223" i="46"/>
  <c r="K215" i="46"/>
  <c r="K207" i="46"/>
  <c r="K199" i="46"/>
  <c r="K191" i="46"/>
  <c r="K183" i="46"/>
  <c r="K175" i="46"/>
  <c r="K167" i="46"/>
  <c r="K159" i="46"/>
  <c r="K151" i="46"/>
  <c r="K143" i="46"/>
  <c r="K135" i="46"/>
  <c r="K127" i="46"/>
  <c r="K119" i="46"/>
  <c r="K111" i="46"/>
  <c r="K103" i="46"/>
  <c r="K95" i="46"/>
  <c r="K87" i="46"/>
  <c r="K256" i="71"/>
  <c r="K248" i="71"/>
  <c r="K240" i="71"/>
  <c r="K232" i="71"/>
  <c r="K224" i="71"/>
  <c r="K216" i="71"/>
  <c r="K208" i="71"/>
  <c r="K200" i="71"/>
  <c r="K192" i="71"/>
  <c r="K184" i="71"/>
  <c r="K176" i="71"/>
  <c r="K168" i="71"/>
  <c r="K160" i="71"/>
  <c r="K152" i="71"/>
  <c r="K144" i="71"/>
  <c r="K136" i="71"/>
  <c r="K128" i="71"/>
  <c r="K120" i="71"/>
  <c r="K112" i="71"/>
  <c r="K104" i="71"/>
  <c r="K96" i="71"/>
  <c r="K88" i="71"/>
  <c r="K80" i="71"/>
  <c r="K72" i="71"/>
  <c r="K64" i="71"/>
  <c r="K56" i="71"/>
  <c r="K48" i="71"/>
  <c r="K40" i="71"/>
  <c r="K32" i="71"/>
  <c r="K24" i="71"/>
  <c r="K16" i="71"/>
  <c r="L256" i="59"/>
  <c r="L248" i="59"/>
  <c r="L240" i="59"/>
  <c r="L232" i="59"/>
  <c r="L224" i="59"/>
  <c r="L216" i="59"/>
  <c r="L208" i="59"/>
  <c r="L200" i="59"/>
  <c r="L192" i="59"/>
  <c r="L184" i="59"/>
  <c r="L176" i="59"/>
  <c r="L168" i="59"/>
  <c r="L160" i="59"/>
  <c r="L152" i="59"/>
  <c r="L144" i="59"/>
  <c r="L136" i="59"/>
  <c r="L128" i="59"/>
  <c r="L120" i="59"/>
  <c r="L112" i="59"/>
  <c r="L104" i="59"/>
  <c r="L96" i="59"/>
  <c r="L88" i="59"/>
  <c r="L80" i="59"/>
  <c r="L72" i="59"/>
  <c r="L64" i="59"/>
  <c r="L56" i="59"/>
  <c r="L48" i="59"/>
  <c r="L40" i="59"/>
  <c r="L32" i="59"/>
  <c r="L24" i="59"/>
  <c r="L16" i="59"/>
  <c r="K254" i="46"/>
  <c r="K246" i="46"/>
  <c r="K238" i="46"/>
  <c r="K230" i="46"/>
  <c r="K222" i="46"/>
  <c r="K214" i="46"/>
  <c r="K206" i="46"/>
  <c r="K198" i="46"/>
  <c r="K190" i="46"/>
  <c r="K182" i="46"/>
  <c r="K174" i="46"/>
  <c r="K166" i="46"/>
  <c r="K158" i="46"/>
  <c r="K150" i="46"/>
  <c r="K142" i="46"/>
  <c r="K134" i="46"/>
  <c r="K126" i="46"/>
  <c r="K118" i="46"/>
  <c r="K110" i="46"/>
  <c r="K102" i="46"/>
  <c r="K94" i="46"/>
  <c r="K255" i="71"/>
  <c r="K247" i="71"/>
  <c r="K239" i="71"/>
  <c r="K231" i="71"/>
  <c r="K223" i="71"/>
  <c r="K215" i="71"/>
  <c r="K207" i="71"/>
  <c r="K199" i="71"/>
  <c r="K191" i="71"/>
  <c r="K183" i="71"/>
  <c r="K175" i="71"/>
  <c r="K167" i="71"/>
  <c r="K159" i="71"/>
  <c r="K151" i="71"/>
  <c r="K143" i="71"/>
  <c r="K135" i="71"/>
  <c r="K127" i="71"/>
  <c r="K119" i="71"/>
  <c r="K111" i="71"/>
  <c r="K103" i="71"/>
  <c r="K95" i="71"/>
  <c r="K87" i="71"/>
  <c r="K79" i="71"/>
  <c r="K71" i="71"/>
  <c r="K252" i="71"/>
  <c r="K220" i="71"/>
  <c r="K188" i="71"/>
  <c r="K156" i="71"/>
  <c r="K124" i="71"/>
  <c r="K92" i="71"/>
  <c r="K62" i="71"/>
  <c r="K44" i="71"/>
  <c r="K28" i="71"/>
  <c r="K12" i="71"/>
  <c r="L244" i="59"/>
  <c r="L228" i="59"/>
  <c r="L212" i="59"/>
  <c r="L196" i="59"/>
  <c r="L180" i="59"/>
  <c r="L164" i="59"/>
  <c r="L148" i="59"/>
  <c r="L132" i="59"/>
  <c r="L116" i="59"/>
  <c r="L100" i="59"/>
  <c r="L84" i="59"/>
  <c r="L68" i="59"/>
  <c r="L52" i="59"/>
  <c r="L36" i="59"/>
  <c r="L20" i="59"/>
  <c r="K250" i="46"/>
  <c r="K234" i="46"/>
  <c r="K218" i="46"/>
  <c r="K202" i="46"/>
  <c r="K186" i="46"/>
  <c r="K170" i="46"/>
  <c r="K154" i="46"/>
  <c r="K138" i="46"/>
  <c r="K122" i="46"/>
  <c r="K106" i="46"/>
  <c r="K90" i="46"/>
  <c r="K79" i="46"/>
  <c r="K71" i="46"/>
  <c r="K63" i="46"/>
  <c r="K55" i="46"/>
  <c r="K47" i="46"/>
  <c r="K39" i="46"/>
  <c r="K31" i="46"/>
  <c r="K23" i="46"/>
  <c r="K15" i="46"/>
  <c r="L255" i="11"/>
  <c r="L247" i="11"/>
  <c r="L239" i="11"/>
  <c r="L231" i="11"/>
  <c r="L223" i="11"/>
  <c r="L215" i="11"/>
  <c r="L207" i="11"/>
  <c r="L199" i="11"/>
  <c r="L191" i="11"/>
  <c r="L183" i="11"/>
  <c r="L175" i="11"/>
  <c r="L167" i="11"/>
  <c r="L159" i="11"/>
  <c r="L151" i="11"/>
  <c r="L143" i="11"/>
  <c r="L135" i="11"/>
  <c r="L127" i="11"/>
  <c r="L119" i="11"/>
  <c r="L111" i="11"/>
  <c r="L103" i="11"/>
  <c r="L95" i="11"/>
  <c r="L87" i="11"/>
  <c r="L79" i="11"/>
  <c r="L71" i="11"/>
  <c r="L63" i="11"/>
  <c r="L55" i="11"/>
  <c r="L47" i="11"/>
  <c r="L39" i="11"/>
  <c r="L31" i="11"/>
  <c r="L23" i="11"/>
  <c r="L15" i="11"/>
  <c r="K246" i="71"/>
  <c r="K214" i="71"/>
  <c r="K182" i="71"/>
  <c r="K150" i="71"/>
  <c r="K118" i="71"/>
  <c r="K86" i="71"/>
  <c r="K60" i="71"/>
  <c r="K43" i="71"/>
  <c r="K27" i="71"/>
  <c r="K11" i="71"/>
  <c r="L243" i="59"/>
  <c r="L227" i="59"/>
  <c r="L211" i="59"/>
  <c r="L195" i="59"/>
  <c r="L179" i="59"/>
  <c r="L163" i="59"/>
  <c r="L147" i="59"/>
  <c r="L131" i="59"/>
  <c r="L115" i="59"/>
  <c r="L99" i="59"/>
  <c r="L83" i="59"/>
  <c r="L67" i="59"/>
  <c r="L51" i="59"/>
  <c r="L35" i="59"/>
  <c r="L19" i="59"/>
  <c r="K249" i="46"/>
  <c r="K233" i="46"/>
  <c r="K217" i="46"/>
  <c r="K201" i="46"/>
  <c r="K185" i="46"/>
  <c r="K169" i="46"/>
  <c r="K153" i="46"/>
  <c r="K137" i="46"/>
  <c r="K121" i="46"/>
  <c r="K105" i="46"/>
  <c r="K89" i="46"/>
  <c r="K78" i="46"/>
  <c r="K70" i="46"/>
  <c r="K62" i="46"/>
  <c r="K54" i="46"/>
  <c r="K46" i="46"/>
  <c r="K38" i="46"/>
  <c r="K30" i="46"/>
  <c r="K22" i="46"/>
  <c r="K14" i="46"/>
  <c r="L254" i="11"/>
  <c r="L246" i="11"/>
  <c r="L238" i="11"/>
  <c r="L230" i="11"/>
  <c r="L222" i="11"/>
  <c r="L214" i="11"/>
  <c r="L206" i="11"/>
  <c r="L198" i="11"/>
  <c r="L190" i="11"/>
  <c r="L182" i="11"/>
  <c r="L174" i="11"/>
  <c r="L166" i="11"/>
  <c r="L158" i="11"/>
  <c r="L150" i="11"/>
  <c r="L142" i="11"/>
  <c r="L134" i="11"/>
  <c r="L126" i="11"/>
  <c r="L118" i="11"/>
  <c r="L110" i="11"/>
  <c r="L102" i="11"/>
  <c r="L94" i="11"/>
  <c r="L86" i="11"/>
  <c r="L78" i="11"/>
  <c r="L70" i="11"/>
  <c r="L62" i="11"/>
  <c r="L54" i="11"/>
  <c r="L46" i="11"/>
  <c r="L38" i="11"/>
  <c r="L30" i="11"/>
  <c r="L22" i="11"/>
  <c r="L14" i="11"/>
  <c r="K244" i="71"/>
  <c r="K212" i="71"/>
  <c r="K180" i="71"/>
  <c r="K148" i="71"/>
  <c r="K116" i="71"/>
  <c r="K84" i="71"/>
  <c r="K55" i="71"/>
  <c r="K39" i="71"/>
  <c r="K23" i="71"/>
  <c r="L255" i="59"/>
  <c r="L239" i="59"/>
  <c r="L223" i="59"/>
  <c r="L207" i="59"/>
  <c r="L191" i="59"/>
  <c r="L175" i="59"/>
  <c r="L159" i="59"/>
  <c r="L143" i="59"/>
  <c r="L127" i="59"/>
  <c r="L111" i="59"/>
  <c r="L95" i="59"/>
  <c r="L79" i="59"/>
  <c r="L63" i="59"/>
  <c r="L47" i="59"/>
  <c r="L31" i="59"/>
  <c r="L15" i="59"/>
  <c r="K245" i="46"/>
  <c r="K229" i="46"/>
  <c r="K213" i="46"/>
  <c r="K197" i="46"/>
  <c r="K181" i="46"/>
  <c r="K165" i="46"/>
  <c r="K149" i="46"/>
  <c r="K133" i="46"/>
  <c r="K117" i="46"/>
  <c r="K101" i="46"/>
  <c r="K86" i="46"/>
  <c r="K77" i="46"/>
  <c r="K69" i="46"/>
  <c r="K61" i="46"/>
  <c r="K53" i="46"/>
  <c r="K45" i="46"/>
  <c r="K37" i="46"/>
  <c r="K29" i="46"/>
  <c r="K21" i="46"/>
  <c r="K13" i="46"/>
  <c r="L253" i="11"/>
  <c r="L245" i="11"/>
  <c r="L237" i="11"/>
  <c r="L229" i="11"/>
  <c r="L221" i="11"/>
  <c r="L213" i="11"/>
  <c r="L205" i="11"/>
  <c r="L197" i="11"/>
  <c r="L189" i="11"/>
  <c r="L181" i="11"/>
  <c r="L173" i="11"/>
  <c r="L165" i="11"/>
  <c r="L157" i="11"/>
  <c r="L149" i="11"/>
  <c r="L141" i="11"/>
  <c r="L133" i="11"/>
  <c r="L125" i="11"/>
  <c r="L117" i="11"/>
  <c r="L109" i="11"/>
  <c r="L101" i="11"/>
  <c r="L93" i="11"/>
  <c r="L85" i="11"/>
  <c r="L77" i="11"/>
  <c r="L69" i="11"/>
  <c r="L61" i="11"/>
  <c r="L53" i="11"/>
  <c r="L45" i="11"/>
  <c r="L37" i="11"/>
  <c r="L29" i="11"/>
  <c r="L21" i="11"/>
  <c r="L13" i="11"/>
  <c r="K238" i="71"/>
  <c r="K206" i="71"/>
  <c r="K174" i="71"/>
  <c r="K142" i="71"/>
  <c r="K110" i="71"/>
  <c r="K78" i="71"/>
  <c r="K54" i="71"/>
  <c r="K38" i="71"/>
  <c r="K22" i="71"/>
  <c r="L254" i="59"/>
  <c r="L238" i="59"/>
  <c r="L222" i="59"/>
  <c r="L206" i="59"/>
  <c r="L190" i="59"/>
  <c r="L174" i="59"/>
  <c r="L158" i="59"/>
  <c r="L142" i="59"/>
  <c r="L126" i="59"/>
  <c r="L110" i="59"/>
  <c r="L94" i="59"/>
  <c r="L78" i="59"/>
  <c r="L62" i="59"/>
  <c r="L46" i="59"/>
  <c r="L30" i="59"/>
  <c r="L14" i="59"/>
  <c r="K244" i="46"/>
  <c r="K228" i="46"/>
  <c r="K212" i="46"/>
  <c r="K196" i="46"/>
  <c r="K180" i="46"/>
  <c r="K164" i="46"/>
  <c r="K148" i="46"/>
  <c r="K132" i="46"/>
  <c r="K116" i="46"/>
  <c r="K100" i="46"/>
  <c r="K85" i="46"/>
  <c r="K76" i="46"/>
  <c r="K68" i="46"/>
  <c r="K60" i="46"/>
  <c r="K52" i="46"/>
  <c r="K44" i="46"/>
  <c r="K36" i="46"/>
  <c r="K28" i="46"/>
  <c r="K20" i="46"/>
  <c r="K12" i="46"/>
  <c r="L252" i="11"/>
  <c r="L244" i="11"/>
  <c r="L236" i="11"/>
  <c r="L228" i="11"/>
  <c r="L220"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L12" i="11"/>
  <c r="K236" i="71"/>
  <c r="K204" i="71"/>
  <c r="K172" i="71"/>
  <c r="K140" i="71"/>
  <c r="K108" i="71"/>
  <c r="K76" i="71"/>
  <c r="K52" i="71"/>
  <c r="K36" i="71"/>
  <c r="K20" i="71"/>
  <c r="L252" i="59"/>
  <c r="L236" i="59"/>
  <c r="L220" i="59"/>
  <c r="L204" i="59"/>
  <c r="L188" i="59"/>
  <c r="L172" i="59"/>
  <c r="L156" i="59"/>
  <c r="L140" i="59"/>
  <c r="L124" i="59"/>
  <c r="L108" i="59"/>
  <c r="L92" i="59"/>
  <c r="L76" i="59"/>
  <c r="L60" i="59"/>
  <c r="L44" i="59"/>
  <c r="L28" i="59"/>
  <c r="L12" i="59"/>
  <c r="K242" i="46"/>
  <c r="K226" i="46"/>
  <c r="K210" i="46"/>
  <c r="K194" i="46"/>
  <c r="K178" i="46"/>
  <c r="K162" i="46"/>
  <c r="K146" i="46"/>
  <c r="K130" i="46"/>
  <c r="K114" i="46"/>
  <c r="K98" i="46"/>
  <c r="K84" i="46"/>
  <c r="K75" i="46"/>
  <c r="K67" i="46"/>
  <c r="K59" i="46"/>
  <c r="K51" i="46"/>
  <c r="K43" i="46"/>
  <c r="K35" i="46"/>
  <c r="K27" i="46"/>
  <c r="K19" i="46"/>
  <c r="L251" i="11"/>
  <c r="L243" i="11"/>
  <c r="L235" i="11"/>
  <c r="L227" i="11"/>
  <c r="L219" i="11"/>
  <c r="L211" i="11"/>
  <c r="L203" i="11"/>
  <c r="L195" i="11"/>
  <c r="L187" i="11"/>
  <c r="L179" i="11"/>
  <c r="L171" i="11"/>
  <c r="L163" i="11"/>
  <c r="L155" i="11"/>
  <c r="L147" i="11"/>
  <c r="L139" i="11"/>
  <c r="L131" i="11"/>
  <c r="L123" i="11"/>
  <c r="L115" i="11"/>
  <c r="L107" i="11"/>
  <c r="L99" i="11"/>
  <c r="L91" i="11"/>
  <c r="L83" i="11"/>
  <c r="L75" i="11"/>
  <c r="L67" i="11"/>
  <c r="L59" i="11"/>
  <c r="L51" i="11"/>
  <c r="L43" i="11"/>
  <c r="L35" i="11"/>
  <c r="L27" i="11"/>
  <c r="L19" i="11"/>
  <c r="L11" i="11"/>
  <c r="K230" i="71"/>
  <c r="K198" i="71"/>
  <c r="K166" i="71"/>
  <c r="K134" i="71"/>
  <c r="K102" i="71"/>
  <c r="K70" i="71"/>
  <c r="K51" i="71"/>
  <c r="K35" i="71"/>
  <c r="K19" i="71"/>
  <c r="L251" i="59"/>
  <c r="L235" i="59"/>
  <c r="L219" i="59"/>
  <c r="L203" i="59"/>
  <c r="L187" i="59"/>
  <c r="L171" i="59"/>
  <c r="L155" i="59"/>
  <c r="L139" i="59"/>
  <c r="L123" i="59"/>
  <c r="L107" i="59"/>
  <c r="L91" i="59"/>
  <c r="L75" i="59"/>
  <c r="L59" i="59"/>
  <c r="L43" i="59"/>
  <c r="L27" i="59"/>
  <c r="K241" i="46"/>
  <c r="K225" i="46"/>
  <c r="K209" i="46"/>
  <c r="K193" i="46"/>
  <c r="K177" i="46"/>
  <c r="K161" i="46"/>
  <c r="K145" i="46"/>
  <c r="K129" i="46"/>
  <c r="K113" i="46"/>
  <c r="K97" i="46"/>
  <c r="K83" i="46"/>
  <c r="K74" i="46"/>
  <c r="K66" i="46"/>
  <c r="K58" i="46"/>
  <c r="K50" i="46"/>
  <c r="K42" i="46"/>
  <c r="K34" i="46"/>
  <c r="K26" i="46"/>
  <c r="K18" i="46"/>
  <c r="L258" i="11"/>
  <c r="L250" i="11"/>
  <c r="L242" i="11"/>
  <c r="L234" i="11"/>
  <c r="L226" i="11"/>
  <c r="L218" i="11"/>
  <c r="L210" i="11"/>
  <c r="L202" i="11"/>
  <c r="L194" i="11"/>
  <c r="L186" i="11"/>
  <c r="L178" i="11"/>
  <c r="L170" i="11"/>
  <c r="L162" i="11"/>
  <c r="L154" i="11"/>
  <c r="L146" i="11"/>
  <c r="L138" i="11"/>
  <c r="L130" i="11"/>
  <c r="L122" i="11"/>
  <c r="L114" i="11"/>
  <c r="L106" i="11"/>
  <c r="L98" i="11"/>
  <c r="L90" i="11"/>
  <c r="L82" i="11"/>
  <c r="L74" i="11"/>
  <c r="L66" i="11"/>
  <c r="L58" i="11"/>
  <c r="L50" i="11"/>
  <c r="L42" i="11"/>
  <c r="L34" i="11"/>
  <c r="L26" i="11"/>
  <c r="L18" i="11"/>
  <c r="K228" i="71"/>
  <c r="K196" i="71"/>
  <c r="K164" i="71"/>
  <c r="K132" i="71"/>
  <c r="K100" i="71"/>
  <c r="K68" i="71"/>
  <c r="K47" i="71"/>
  <c r="K31" i="71"/>
  <c r="K15" i="71"/>
  <c r="L247" i="59"/>
  <c r="L231" i="59"/>
  <c r="L215" i="59"/>
  <c r="L199" i="59"/>
  <c r="L183" i="59"/>
  <c r="L167" i="59"/>
  <c r="L151" i="59"/>
  <c r="L135" i="59"/>
  <c r="L119" i="59"/>
  <c r="L103" i="59"/>
  <c r="L87" i="59"/>
  <c r="L71" i="59"/>
  <c r="L55" i="59"/>
  <c r="L39" i="59"/>
  <c r="L23" i="59"/>
  <c r="K253" i="46"/>
  <c r="K237" i="46"/>
  <c r="K221" i="46"/>
  <c r="K205" i="46"/>
  <c r="K189" i="46"/>
  <c r="K173" i="46"/>
  <c r="K157" i="46"/>
  <c r="K141" i="46"/>
  <c r="K125" i="46"/>
  <c r="K109" i="46"/>
  <c r="K93" i="46"/>
  <c r="K82" i="46"/>
  <c r="K73" i="46"/>
  <c r="K65" i="46"/>
  <c r="K57" i="46"/>
  <c r="K49" i="46"/>
  <c r="K41" i="46"/>
  <c r="K33" i="46"/>
  <c r="K25" i="46"/>
  <c r="K17" i="46"/>
  <c r="L257" i="11"/>
  <c r="L249" i="11"/>
  <c r="L241" i="11"/>
  <c r="L233" i="11"/>
  <c r="L225" i="11"/>
  <c r="L217" i="11"/>
  <c r="L209" i="11"/>
  <c r="L201" i="11"/>
  <c r="L193" i="11"/>
  <c r="L185" i="11"/>
  <c r="L177" i="11"/>
  <c r="L169" i="11"/>
  <c r="L161" i="11"/>
  <c r="L153" i="11"/>
  <c r="L145" i="11"/>
  <c r="L137" i="11"/>
  <c r="L129" i="11"/>
  <c r="L121" i="11"/>
  <c r="L113" i="11"/>
  <c r="L105" i="11"/>
  <c r="L97" i="11"/>
  <c r="L89" i="11"/>
  <c r="L81" i="11"/>
  <c r="L73" i="11"/>
  <c r="L65" i="11"/>
  <c r="L57" i="11"/>
  <c r="L49" i="11"/>
  <c r="L41" i="11"/>
  <c r="L33" i="11"/>
  <c r="L25" i="11"/>
  <c r="L17" i="11"/>
  <c r="K254" i="71"/>
  <c r="K222" i="71"/>
  <c r="K190" i="71"/>
  <c r="K158" i="71"/>
  <c r="K126" i="71"/>
  <c r="K94" i="71"/>
  <c r="K63" i="71"/>
  <c r="K46" i="71"/>
  <c r="K30" i="71"/>
  <c r="K14" i="71"/>
  <c r="L246" i="59"/>
  <c r="L230" i="59"/>
  <c r="L214" i="59"/>
  <c r="L198" i="59"/>
  <c r="L182" i="59"/>
  <c r="L166" i="59"/>
  <c r="L150" i="59"/>
  <c r="L134" i="59"/>
  <c r="L118" i="59"/>
  <c r="L102" i="59"/>
  <c r="L86" i="59"/>
  <c r="L70" i="59"/>
  <c r="L54" i="59"/>
  <c r="L38" i="59"/>
  <c r="L22" i="59"/>
  <c r="K252" i="46"/>
  <c r="K236" i="46"/>
  <c r="K220" i="46"/>
  <c r="K204" i="46"/>
  <c r="K188" i="46"/>
  <c r="K172" i="46"/>
  <c r="K156" i="46"/>
  <c r="K140" i="46"/>
  <c r="K124" i="46"/>
  <c r="K108" i="46"/>
  <c r="K92" i="46"/>
  <c r="K81" i="46"/>
  <c r="K72" i="46"/>
  <c r="K64" i="46"/>
  <c r="K56" i="46"/>
  <c r="K48" i="46"/>
  <c r="K40" i="46"/>
  <c r="K32" i="46"/>
  <c r="K24" i="46"/>
  <c r="K16" i="46"/>
  <c r="L256" i="11"/>
  <c r="L248" i="11"/>
  <c r="L240" i="11"/>
  <c r="L232" i="11"/>
  <c r="L224"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AN38" i="67" a="1"/>
  <c r="AN38" i="67" s="1"/>
  <c r="B39" i="69"/>
  <c r="D37" i="69"/>
  <c r="E37" i="69" s="1"/>
  <c r="F37" i="69" s="1"/>
  <c r="G37" i="69" s="1"/>
  <c r="H37" i="69" s="1"/>
  <c r="I37" i="69" s="1"/>
  <c r="J37" i="69" s="1"/>
  <c r="K37" i="69" s="1"/>
  <c r="M37" i="69" s="1"/>
  <c r="N37" i="69"/>
  <c r="AF37" i="69" s="1"/>
  <c r="AE36" i="69"/>
  <c r="R36" i="69"/>
  <c r="S36" i="69" s="1"/>
  <c r="Y36" i="69" s="1"/>
  <c r="Q36" i="69"/>
  <c r="U36" i="69"/>
  <c r="C38" i="69"/>
  <c r="AB51" i="57" l="1"/>
  <c r="AA51" i="57"/>
  <c r="AF51" i="57"/>
  <c r="AB36" i="69"/>
  <c r="AC36" i="69" s="1"/>
  <c r="AD36" i="69" s="1"/>
  <c r="AG36" i="69"/>
  <c r="L39" i="69"/>
  <c r="O39" i="69"/>
  <c r="AO38" i="69"/>
  <c r="P38" i="69"/>
  <c r="AF52" i="53"/>
  <c r="AE53" i="53"/>
  <c r="AC53" i="53"/>
  <c r="AB52" i="53"/>
  <c r="AA52" i="53"/>
  <c r="X52" i="57"/>
  <c r="AE53" i="57"/>
  <c r="AC53" i="57"/>
  <c r="R53" i="57"/>
  <c r="R53" i="53"/>
  <c r="X53" i="53" s="1"/>
  <c r="U12" i="59"/>
  <c r="V12" i="59"/>
  <c r="V15" i="59"/>
  <c r="U15" i="59"/>
  <c r="V13" i="59"/>
  <c r="U13" i="59"/>
  <c r="V14" i="59"/>
  <c r="U14" i="59"/>
  <c r="V150" i="59"/>
  <c r="U150" i="59"/>
  <c r="V87" i="59"/>
  <c r="U87" i="59"/>
  <c r="V215" i="59"/>
  <c r="U215" i="59"/>
  <c r="V43" i="59"/>
  <c r="U43" i="59"/>
  <c r="V171" i="59"/>
  <c r="U171" i="59"/>
  <c r="V108" i="59"/>
  <c r="U108" i="59"/>
  <c r="V236" i="59"/>
  <c r="U236" i="59"/>
  <c r="V46" i="59"/>
  <c r="U46" i="59"/>
  <c r="V174" i="59"/>
  <c r="U174" i="59"/>
  <c r="V111" i="59"/>
  <c r="U111" i="59"/>
  <c r="V239" i="59"/>
  <c r="U239" i="59"/>
  <c r="V51" i="59"/>
  <c r="U51" i="59"/>
  <c r="V179" i="59"/>
  <c r="U179" i="59"/>
  <c r="V116" i="59"/>
  <c r="U116" i="59"/>
  <c r="V244" i="59"/>
  <c r="U244" i="59"/>
  <c r="V16" i="59"/>
  <c r="U16" i="59"/>
  <c r="U80" i="59"/>
  <c r="V80" i="59"/>
  <c r="V144" i="59"/>
  <c r="U144" i="59"/>
  <c r="U208" i="59"/>
  <c r="V208" i="59"/>
  <c r="U49" i="59"/>
  <c r="V49" i="59"/>
  <c r="U113" i="59"/>
  <c r="V113" i="59"/>
  <c r="V177" i="59"/>
  <c r="U177" i="59"/>
  <c r="V241" i="59"/>
  <c r="U241" i="59"/>
  <c r="V18" i="59"/>
  <c r="U18" i="59"/>
  <c r="V82" i="59"/>
  <c r="U82" i="59"/>
  <c r="V146" i="59"/>
  <c r="U146" i="59"/>
  <c r="V210" i="59"/>
  <c r="U210" i="59"/>
  <c r="U53" i="59"/>
  <c r="V53" i="59"/>
  <c r="U117" i="59"/>
  <c r="V117" i="59"/>
  <c r="V181" i="59"/>
  <c r="U181" i="59"/>
  <c r="V245" i="59"/>
  <c r="U245" i="59"/>
  <c r="V86" i="59"/>
  <c r="U86" i="59"/>
  <c r="V166" i="59"/>
  <c r="U166" i="59"/>
  <c r="U103" i="59"/>
  <c r="V103" i="59"/>
  <c r="U231" i="59"/>
  <c r="V231" i="59"/>
  <c r="V59" i="59"/>
  <c r="U59" i="59"/>
  <c r="U187" i="59"/>
  <c r="V187" i="59"/>
  <c r="V124" i="59"/>
  <c r="U124" i="59"/>
  <c r="V252" i="59"/>
  <c r="U252" i="59"/>
  <c r="V62" i="59"/>
  <c r="U62" i="59"/>
  <c r="V190" i="59"/>
  <c r="U190" i="59"/>
  <c r="V127" i="59"/>
  <c r="U127" i="59"/>
  <c r="V67" i="59"/>
  <c r="U67" i="59"/>
  <c r="V195" i="59"/>
  <c r="U195" i="59"/>
  <c r="V132" i="59"/>
  <c r="U132" i="59"/>
  <c r="V24" i="59"/>
  <c r="U24" i="59"/>
  <c r="U88" i="59"/>
  <c r="V88" i="59"/>
  <c r="U152" i="59"/>
  <c r="V152" i="59"/>
  <c r="U216" i="59"/>
  <c r="V216" i="59"/>
  <c r="U57" i="59"/>
  <c r="V57" i="59"/>
  <c r="U121" i="59"/>
  <c r="V121" i="59"/>
  <c r="V185" i="59"/>
  <c r="U185" i="59"/>
  <c r="V249" i="59"/>
  <c r="U249" i="59"/>
  <c r="U26" i="59"/>
  <c r="V26" i="59"/>
  <c r="U90" i="59"/>
  <c r="V90" i="59"/>
  <c r="U154" i="59"/>
  <c r="V154" i="59"/>
  <c r="V218" i="59"/>
  <c r="U218" i="59"/>
  <c r="U61" i="59"/>
  <c r="V61" i="59"/>
  <c r="U125" i="59"/>
  <c r="V125" i="59"/>
  <c r="V189" i="59"/>
  <c r="U189" i="59"/>
  <c r="V253" i="59"/>
  <c r="U253" i="59"/>
  <c r="V38" i="59"/>
  <c r="U38" i="59"/>
  <c r="V54" i="59"/>
  <c r="U54" i="59"/>
  <c r="V182" i="59"/>
  <c r="U182" i="59"/>
  <c r="V119" i="59"/>
  <c r="U119" i="59"/>
  <c r="V247" i="59"/>
  <c r="U247" i="59"/>
  <c r="V75" i="59"/>
  <c r="U75" i="59"/>
  <c r="V203" i="59"/>
  <c r="U203" i="59"/>
  <c r="V140" i="59"/>
  <c r="U140" i="59"/>
  <c r="V78" i="59"/>
  <c r="U78" i="59"/>
  <c r="V206" i="59"/>
  <c r="U206" i="59"/>
  <c r="V143" i="59"/>
  <c r="U143" i="59"/>
  <c r="V83" i="59"/>
  <c r="U83" i="59"/>
  <c r="V211" i="59"/>
  <c r="U211" i="59"/>
  <c r="V20" i="59"/>
  <c r="U20" i="59"/>
  <c r="V148" i="59"/>
  <c r="U148" i="59"/>
  <c r="V32" i="59"/>
  <c r="U32" i="59"/>
  <c r="U96" i="59"/>
  <c r="V96" i="59"/>
  <c r="U160" i="59"/>
  <c r="V160" i="59"/>
  <c r="U224" i="59"/>
  <c r="V224" i="59"/>
  <c r="U65" i="59"/>
  <c r="V65" i="59"/>
  <c r="U129" i="59"/>
  <c r="V129" i="59"/>
  <c r="V193" i="59"/>
  <c r="U193" i="59"/>
  <c r="U257" i="59"/>
  <c r="V257" i="59"/>
  <c r="V34" i="59"/>
  <c r="U34" i="59"/>
  <c r="V98" i="59"/>
  <c r="U98" i="59"/>
  <c r="V162" i="59"/>
  <c r="U162" i="59"/>
  <c r="V226" i="59"/>
  <c r="U226" i="59"/>
  <c r="U69" i="59"/>
  <c r="V69" i="59"/>
  <c r="V133" i="59"/>
  <c r="U133" i="59"/>
  <c r="U197" i="59"/>
  <c r="V197" i="59"/>
  <c r="U22" i="59"/>
  <c r="V22" i="59"/>
  <c r="V70" i="59"/>
  <c r="U70" i="59"/>
  <c r="V198" i="59"/>
  <c r="U198" i="59"/>
  <c r="U135" i="59"/>
  <c r="V135" i="59"/>
  <c r="U91" i="59"/>
  <c r="V91" i="59"/>
  <c r="V219" i="59"/>
  <c r="U219" i="59"/>
  <c r="V28" i="59"/>
  <c r="U28" i="59"/>
  <c r="V156" i="59"/>
  <c r="U156" i="59"/>
  <c r="V94" i="59"/>
  <c r="U94" i="59"/>
  <c r="V222" i="59"/>
  <c r="U222" i="59"/>
  <c r="U31" i="59"/>
  <c r="V31" i="59"/>
  <c r="V159" i="59"/>
  <c r="U159" i="59"/>
  <c r="V99" i="59"/>
  <c r="U99" i="59"/>
  <c r="V227" i="59"/>
  <c r="U227" i="59"/>
  <c r="V36" i="59"/>
  <c r="U36" i="59"/>
  <c r="V164" i="59"/>
  <c r="U164" i="59"/>
  <c r="V40" i="59"/>
  <c r="U40" i="59"/>
  <c r="U104" i="59"/>
  <c r="V104" i="59"/>
  <c r="U168" i="59"/>
  <c r="V168" i="59"/>
  <c r="U232" i="59"/>
  <c r="V232" i="59"/>
  <c r="U73" i="59"/>
  <c r="V73" i="59"/>
  <c r="U137" i="59"/>
  <c r="V137" i="59"/>
  <c r="V201" i="59"/>
  <c r="U201" i="59"/>
  <c r="U42" i="59"/>
  <c r="V42" i="59"/>
  <c r="V106" i="59"/>
  <c r="U106" i="59"/>
  <c r="V170" i="59"/>
  <c r="U170" i="59"/>
  <c r="V234" i="59"/>
  <c r="U234" i="59"/>
  <c r="U77" i="59"/>
  <c r="V77" i="59"/>
  <c r="U141" i="59"/>
  <c r="V141" i="59"/>
  <c r="V205" i="59"/>
  <c r="U205" i="59"/>
  <c r="V214" i="59"/>
  <c r="U214" i="59"/>
  <c r="V23" i="59"/>
  <c r="U23" i="59"/>
  <c r="V151" i="59"/>
  <c r="U151" i="59"/>
  <c r="V107" i="59"/>
  <c r="U107" i="59"/>
  <c r="V235" i="59"/>
  <c r="U235" i="59"/>
  <c r="V44" i="59"/>
  <c r="U44" i="59"/>
  <c r="V172" i="59"/>
  <c r="U172" i="59"/>
  <c r="V110" i="59"/>
  <c r="U110" i="59"/>
  <c r="V238" i="59"/>
  <c r="U238" i="59"/>
  <c r="V47" i="59"/>
  <c r="U47" i="59"/>
  <c r="V175" i="59"/>
  <c r="U175" i="59"/>
  <c r="V115" i="59"/>
  <c r="U115" i="59"/>
  <c r="V243" i="59"/>
  <c r="U243" i="59"/>
  <c r="V52" i="59"/>
  <c r="U52" i="59"/>
  <c r="U180" i="59"/>
  <c r="V180" i="59"/>
  <c r="V48" i="59"/>
  <c r="U48" i="59"/>
  <c r="U112" i="59"/>
  <c r="V112" i="59"/>
  <c r="V176" i="59"/>
  <c r="U176" i="59"/>
  <c r="V240" i="59"/>
  <c r="U240" i="59"/>
  <c r="V17" i="59"/>
  <c r="U17" i="59"/>
  <c r="U81" i="59"/>
  <c r="V81" i="59"/>
  <c r="U145" i="59"/>
  <c r="V145" i="59"/>
  <c r="V209" i="59"/>
  <c r="U209" i="59"/>
  <c r="U50" i="59"/>
  <c r="V50" i="59"/>
  <c r="V114" i="59"/>
  <c r="U114" i="59"/>
  <c r="V178" i="59"/>
  <c r="U178" i="59"/>
  <c r="V242" i="59"/>
  <c r="U242" i="59"/>
  <c r="V21" i="59"/>
  <c r="U21" i="59"/>
  <c r="U85" i="59"/>
  <c r="V85" i="59"/>
  <c r="U149" i="59"/>
  <c r="V149" i="59"/>
  <c r="V213" i="59"/>
  <c r="U213" i="59"/>
  <c r="V230" i="59"/>
  <c r="U230" i="59"/>
  <c r="V39" i="59"/>
  <c r="U39" i="59"/>
  <c r="V167" i="59"/>
  <c r="U167" i="59"/>
  <c r="V123" i="59"/>
  <c r="U123" i="59"/>
  <c r="V251" i="59"/>
  <c r="U251" i="59"/>
  <c r="V60" i="59"/>
  <c r="U60" i="59"/>
  <c r="V188" i="59"/>
  <c r="U188" i="59"/>
  <c r="V126" i="59"/>
  <c r="U126" i="59"/>
  <c r="V254" i="59"/>
  <c r="U254" i="59"/>
  <c r="U63" i="59"/>
  <c r="V63" i="59"/>
  <c r="V191" i="59"/>
  <c r="U191" i="59"/>
  <c r="V131" i="59"/>
  <c r="U131" i="59"/>
  <c r="V68" i="59"/>
  <c r="U68" i="59"/>
  <c r="V196" i="59"/>
  <c r="U196" i="59"/>
  <c r="V56" i="59"/>
  <c r="U56" i="59"/>
  <c r="U120" i="59"/>
  <c r="V120" i="59"/>
  <c r="U184" i="59"/>
  <c r="V184" i="59"/>
  <c r="U248" i="59"/>
  <c r="V248" i="59"/>
  <c r="V25" i="59"/>
  <c r="U25" i="59"/>
  <c r="U89" i="59"/>
  <c r="V89" i="59"/>
  <c r="U153" i="59"/>
  <c r="V153" i="59"/>
  <c r="V217" i="59"/>
  <c r="U217" i="59"/>
  <c r="V58" i="59"/>
  <c r="U58" i="59"/>
  <c r="V122" i="59"/>
  <c r="U122" i="59"/>
  <c r="V186" i="59"/>
  <c r="U186" i="59"/>
  <c r="U250" i="59"/>
  <c r="V250" i="59"/>
  <c r="V29" i="59"/>
  <c r="U29" i="59"/>
  <c r="U93" i="59"/>
  <c r="V93" i="59"/>
  <c r="V157" i="59"/>
  <c r="U157" i="59"/>
  <c r="V221" i="59"/>
  <c r="U221" i="59"/>
  <c r="V102" i="59"/>
  <c r="U102" i="59"/>
  <c r="V246" i="59"/>
  <c r="U246" i="59"/>
  <c r="V55" i="59"/>
  <c r="U55" i="59"/>
  <c r="V183" i="59"/>
  <c r="U183" i="59"/>
  <c r="V139" i="59"/>
  <c r="U139" i="59"/>
  <c r="V76" i="59"/>
  <c r="U76" i="59"/>
  <c r="V204" i="59"/>
  <c r="U204" i="59"/>
  <c r="V142" i="59"/>
  <c r="U142" i="59"/>
  <c r="V79" i="59"/>
  <c r="U79" i="59"/>
  <c r="V207" i="59"/>
  <c r="U207" i="59"/>
  <c r="V19" i="59"/>
  <c r="U19" i="59"/>
  <c r="V147" i="59"/>
  <c r="U147" i="59"/>
  <c r="V84" i="59"/>
  <c r="U84" i="59"/>
  <c r="U212" i="59"/>
  <c r="V212" i="59"/>
  <c r="V64" i="59"/>
  <c r="U64" i="59"/>
  <c r="U128" i="59"/>
  <c r="V128" i="59"/>
  <c r="U192" i="59"/>
  <c r="V192" i="59"/>
  <c r="V256" i="59"/>
  <c r="U256" i="59"/>
  <c r="U33" i="59"/>
  <c r="V33" i="59"/>
  <c r="U97" i="59"/>
  <c r="V97" i="59"/>
  <c r="V161" i="59"/>
  <c r="U161" i="59"/>
  <c r="V225" i="59"/>
  <c r="U225" i="59"/>
  <c r="V66" i="59"/>
  <c r="U66" i="59"/>
  <c r="V130" i="59"/>
  <c r="U130" i="59"/>
  <c r="V194" i="59"/>
  <c r="U194" i="59"/>
  <c r="V258" i="59"/>
  <c r="U258" i="59"/>
  <c r="V37" i="59"/>
  <c r="U37" i="59"/>
  <c r="U101" i="59"/>
  <c r="V101" i="59"/>
  <c r="V165" i="59"/>
  <c r="U165" i="59"/>
  <c r="U229" i="59"/>
  <c r="V229" i="59"/>
  <c r="V118" i="59"/>
  <c r="U118" i="59"/>
  <c r="V134" i="59"/>
  <c r="U134" i="59"/>
  <c r="V71" i="59"/>
  <c r="U71" i="59"/>
  <c r="V199" i="59"/>
  <c r="U199" i="59"/>
  <c r="V27" i="59"/>
  <c r="U27" i="59"/>
  <c r="V155" i="59"/>
  <c r="U155" i="59"/>
  <c r="V92" i="59"/>
  <c r="U92" i="59"/>
  <c r="V220" i="59"/>
  <c r="U220" i="59"/>
  <c r="U30" i="59"/>
  <c r="V30" i="59"/>
  <c r="V158" i="59"/>
  <c r="U158" i="59"/>
  <c r="V95" i="59"/>
  <c r="U95" i="59"/>
  <c r="V223" i="59"/>
  <c r="U223" i="59"/>
  <c r="U35" i="59"/>
  <c r="V35" i="59"/>
  <c r="V163" i="59"/>
  <c r="U163" i="59"/>
  <c r="V100" i="59"/>
  <c r="U100" i="59"/>
  <c r="V228" i="59"/>
  <c r="U228" i="59"/>
  <c r="V72" i="59"/>
  <c r="U72" i="59"/>
  <c r="U136" i="59"/>
  <c r="V136" i="59"/>
  <c r="U200" i="59"/>
  <c r="V200" i="59"/>
  <c r="U41" i="59"/>
  <c r="V41" i="59"/>
  <c r="U105" i="59"/>
  <c r="V105" i="59"/>
  <c r="V169" i="59"/>
  <c r="U169" i="59"/>
  <c r="V233" i="59"/>
  <c r="U233" i="59"/>
  <c r="U74" i="59"/>
  <c r="V74" i="59"/>
  <c r="V138" i="59"/>
  <c r="U138" i="59"/>
  <c r="V202" i="59"/>
  <c r="U202" i="59"/>
  <c r="U45" i="59"/>
  <c r="V45" i="59"/>
  <c r="U109" i="59"/>
  <c r="V109" i="59"/>
  <c r="V173" i="59"/>
  <c r="U173" i="59"/>
  <c r="V237" i="59"/>
  <c r="U237" i="59"/>
  <c r="U255" i="59"/>
  <c r="V255" i="59"/>
  <c r="AX37" i="69"/>
  <c r="AG54" i="57"/>
  <c r="L54" i="57"/>
  <c r="AJ53" i="57"/>
  <c r="AP53" i="57"/>
  <c r="AG53" i="53"/>
  <c r="AH53" i="53"/>
  <c r="AT53" i="53"/>
  <c r="N54" i="57"/>
  <c r="L54" i="53"/>
  <c r="N54" i="53"/>
  <c r="AH37" i="69"/>
  <c r="AD53" i="57"/>
  <c r="AD53" i="53"/>
  <c r="Q53" i="53"/>
  <c r="G54" i="53"/>
  <c r="D54" i="53"/>
  <c r="J54" i="53"/>
  <c r="AK53" i="52" a="1"/>
  <c r="AK53" i="52" s="1"/>
  <c r="B55" i="53" s="1"/>
  <c r="O55" i="53" s="1"/>
  <c r="M54" i="53"/>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5"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18" i="22" s="1"/>
  <c r="V221" i="11"/>
  <c r="U221" i="11"/>
  <c r="V95" i="11"/>
  <c r="U95" i="11"/>
  <c r="V56" i="11"/>
  <c r="U56" i="11"/>
  <c r="H120" i="22" s="1"/>
  <c r="V89" i="11"/>
  <c r="U89" i="11"/>
  <c r="U130" i="11"/>
  <c r="V130" i="11"/>
  <c r="V99" i="11"/>
  <c r="U99" i="11"/>
  <c r="V24" i="11"/>
  <c r="U24" i="11"/>
  <c r="V88" i="11"/>
  <c r="U88" i="11"/>
  <c r="V152" i="11"/>
  <c r="U152" i="11"/>
  <c r="V216" i="11"/>
  <c r="U216" i="11"/>
  <c r="V57" i="11"/>
  <c r="U57" i="11"/>
  <c r="H116" i="22" s="1"/>
  <c r="U121" i="11"/>
  <c r="V121" i="11"/>
  <c r="V185" i="11"/>
  <c r="U185" i="11"/>
  <c r="V249" i="11"/>
  <c r="U249" i="11"/>
  <c r="U34" i="11"/>
  <c r="V34" i="11"/>
  <c r="V98" i="11"/>
  <c r="U98" i="11"/>
  <c r="V162" i="11"/>
  <c r="U162" i="11"/>
  <c r="U226" i="11"/>
  <c r="V226" i="11"/>
  <c r="V67" i="11"/>
  <c r="U67" i="11"/>
  <c r="H126"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19"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1" i="22" s="1"/>
  <c r="V118" i="11"/>
  <c r="U118" i="11"/>
  <c r="V182" i="11"/>
  <c r="U182" i="11"/>
  <c r="V246" i="11"/>
  <c r="U246" i="11"/>
  <c r="V23" i="11"/>
  <c r="U23" i="11"/>
  <c r="V87" i="11"/>
  <c r="U87" i="11"/>
  <c r="V151" i="11"/>
  <c r="U151" i="11"/>
  <c r="V215" i="11"/>
  <c r="U215" i="11"/>
  <c r="Q53" i="57"/>
  <c r="T53" i="57" s="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M54" i="57" s="1"/>
  <c r="P54" i="57"/>
  <c r="F54" i="57"/>
  <c r="J54" i="57"/>
  <c r="V240" i="11"/>
  <c r="U240" i="11"/>
  <c r="V122" i="11"/>
  <c r="U122" i="11"/>
  <c r="U124" i="11"/>
  <c r="V124" i="11"/>
  <c r="V62" i="11"/>
  <c r="U62" i="11"/>
  <c r="H127" i="22" s="1"/>
  <c r="V159" i="11"/>
  <c r="U159" i="11"/>
  <c r="V25" i="11"/>
  <c r="U25" i="11"/>
  <c r="V66" i="11"/>
  <c r="U66" i="11"/>
  <c r="H129" i="22" s="1"/>
  <c r="V163" i="11"/>
  <c r="U163" i="11"/>
  <c r="V68" i="11"/>
  <c r="U68" i="11"/>
  <c r="H114" i="22" s="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07"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17"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2" i="22" s="1"/>
  <c r="V117" i="11"/>
  <c r="U117" i="11"/>
  <c r="V181" i="11"/>
  <c r="U181" i="11"/>
  <c r="V245" i="11"/>
  <c r="U245" i="11"/>
  <c r="V22" i="11"/>
  <c r="U22" i="11"/>
  <c r="V86" i="11"/>
  <c r="U86" i="11"/>
  <c r="V150" i="11"/>
  <c r="U150" i="11"/>
  <c r="V214" i="11"/>
  <c r="U214" i="11"/>
  <c r="V55" i="11"/>
  <c r="U55" i="11"/>
  <c r="H123" i="22" s="1"/>
  <c r="V119" i="11"/>
  <c r="U119" i="11"/>
  <c r="V183" i="11"/>
  <c r="U183" i="11"/>
  <c r="V247" i="11"/>
  <c r="U247" i="11"/>
  <c r="AK53" i="55" a="1"/>
  <c r="AK53" i="55" s="1"/>
  <c r="B55" i="57" s="1"/>
  <c r="O55" i="57" s="1"/>
  <c r="AE37" i="69"/>
  <c r="Q37" i="69"/>
  <c r="U37" i="69"/>
  <c r="R37" i="69"/>
  <c r="S37" i="69" s="1"/>
  <c r="Y37" i="69" s="1"/>
  <c r="D38" i="69"/>
  <c r="E38" i="69" s="1"/>
  <c r="F38" i="69" s="1"/>
  <c r="G38" i="69" s="1"/>
  <c r="H38" i="69" s="1"/>
  <c r="I38" i="69" s="1"/>
  <c r="J38" i="69" s="1"/>
  <c r="K38" i="69" s="1"/>
  <c r="M38" i="69" s="1"/>
  <c r="N38" i="69"/>
  <c r="AF38" i="69" s="1"/>
  <c r="C39" i="69"/>
  <c r="AN39" i="67" a="1"/>
  <c r="AN39" i="67" s="1"/>
  <c r="B40" i="69"/>
  <c r="B26" i="72"/>
  <c r="B25" i="72"/>
  <c r="B24" i="72"/>
  <c r="B23" i="72"/>
  <c r="B22" i="72"/>
  <c r="B21" i="72"/>
  <c r="B20" i="72"/>
  <c r="B19" i="72"/>
  <c r="B18" i="72"/>
  <c r="B17" i="72"/>
  <c r="AB52" i="57" l="1"/>
  <c r="AA52" i="57"/>
  <c r="AB37" i="69"/>
  <c r="AC37" i="69" s="1"/>
  <c r="AD37" i="69" s="1"/>
  <c r="AG37" i="69"/>
  <c r="L40" i="69"/>
  <c r="O40" i="69"/>
  <c r="AO39" i="69"/>
  <c r="P39" i="69"/>
  <c r="AB53" i="53"/>
  <c r="AA53" i="53"/>
  <c r="AF53" i="53"/>
  <c r="AE54" i="53"/>
  <c r="AC54" i="53"/>
  <c r="X53" i="57"/>
  <c r="AF52" i="57"/>
  <c r="AE54" i="57"/>
  <c r="AC54" i="57"/>
  <c r="R54" i="57"/>
  <c r="R54" i="53"/>
  <c r="X54" i="53" s="1"/>
  <c r="H109" i="22"/>
  <c r="H102" i="22"/>
  <c r="H104" i="22"/>
  <c r="H108" i="22"/>
  <c r="H115" i="22"/>
  <c r="V110" i="22"/>
  <c r="V113" i="22"/>
  <c r="V103" i="22"/>
  <c r="V100" i="22"/>
  <c r="H111" i="22"/>
  <c r="H103" i="22"/>
  <c r="H110" i="22"/>
  <c r="AX38" i="69"/>
  <c r="AG55" i="57"/>
  <c r="L55" i="57"/>
  <c r="AJ54" i="57"/>
  <c r="AP54" i="57"/>
  <c r="AG54" i="53"/>
  <c r="AH54" i="53"/>
  <c r="AT54" i="53"/>
  <c r="H105" i="22"/>
  <c r="N55" i="57"/>
  <c r="G55" i="53"/>
  <c r="N55" i="53"/>
  <c r="AH38" i="69"/>
  <c r="AD54" i="57"/>
  <c r="Q54" i="53"/>
  <c r="AD54" i="53"/>
  <c r="AK54" i="52" a="1"/>
  <c r="AK54" i="52" s="1"/>
  <c r="B56" i="53" s="1"/>
  <c r="O56" i="53" s="1"/>
  <c r="F55" i="53"/>
  <c r="H55" i="53"/>
  <c r="I55" i="53"/>
  <c r="C55" i="53"/>
  <c r="E55" i="53"/>
  <c r="K55" i="53"/>
  <c r="M55" i="53"/>
  <c r="P55" i="53"/>
  <c r="J55" i="53"/>
  <c r="L55" i="53"/>
  <c r="D55" i="53"/>
  <c r="P55" i="57"/>
  <c r="G55" i="57"/>
  <c r="K55" i="57"/>
  <c r="I55" i="57"/>
  <c r="C55" i="57"/>
  <c r="M55" i="57" s="1"/>
  <c r="E55" i="57"/>
  <c r="F55" i="57"/>
  <c r="J55" i="57"/>
  <c r="D55" i="57"/>
  <c r="H55" i="57"/>
  <c r="Q54" i="57"/>
  <c r="T54" i="57" s="1"/>
  <c r="AK54" i="55" a="1"/>
  <c r="AK54" i="55" s="1"/>
  <c r="B56" i="57" s="1"/>
  <c r="O56" i="57" s="1"/>
  <c r="AN40" i="67" a="1"/>
  <c r="AN40" i="67" s="1"/>
  <c r="B41" i="69"/>
  <c r="D39" i="69"/>
  <c r="E39" i="69" s="1"/>
  <c r="F39" i="69" s="1"/>
  <c r="G39" i="69" s="1"/>
  <c r="H39" i="69" s="1"/>
  <c r="I39" i="69" s="1"/>
  <c r="J39" i="69" s="1"/>
  <c r="K39" i="69" s="1"/>
  <c r="M39" i="69" s="1"/>
  <c r="N39" i="69"/>
  <c r="AF39" i="69" s="1"/>
  <c r="Q38" i="69"/>
  <c r="R38" i="69"/>
  <c r="S38" i="69" s="1"/>
  <c r="Y38" i="69" s="1"/>
  <c r="AE38" i="69"/>
  <c r="U38" i="69"/>
  <c r="C40" i="69"/>
  <c r="L15" i="29"/>
  <c r="AF53" i="57" l="1"/>
  <c r="AA53" i="57"/>
  <c r="X54" i="57"/>
  <c r="AA54" i="57" s="1"/>
  <c r="AB38" i="69"/>
  <c r="AC38" i="69" s="1"/>
  <c r="AD38" i="69" s="1"/>
  <c r="AG38" i="69"/>
  <c r="L41" i="69"/>
  <c r="O41" i="69"/>
  <c r="AO40" i="69"/>
  <c r="P40" i="69"/>
  <c r="AB54" i="53"/>
  <c r="AA54" i="53"/>
  <c r="AF54" i="53"/>
  <c r="AE55" i="53"/>
  <c r="AC55" i="53"/>
  <c r="AB53" i="57"/>
  <c r="AE55" i="57"/>
  <c r="AC55" i="57"/>
  <c r="R55" i="57"/>
  <c r="R55" i="53"/>
  <c r="X55" i="53" s="1"/>
  <c r="AX39" i="69"/>
  <c r="AG56" i="57"/>
  <c r="L56" i="57"/>
  <c r="AJ55" i="57"/>
  <c r="AP55" i="57"/>
  <c r="AG55" i="53"/>
  <c r="AH55" i="53"/>
  <c r="AT55" i="53"/>
  <c r="N56" i="57"/>
  <c r="F56" i="53"/>
  <c r="N56" i="53"/>
  <c r="AH39" i="69"/>
  <c r="AD55" i="57"/>
  <c r="AD55" i="53"/>
  <c r="Q55" i="53"/>
  <c r="AK55" i="52" a="1"/>
  <c r="AK55" i="52" s="1"/>
  <c r="B57" i="53" s="1"/>
  <c r="O57" i="53" s="1"/>
  <c r="M56" i="53"/>
  <c r="D56" i="53"/>
  <c r="L56" i="53"/>
  <c r="I56" i="53"/>
  <c r="C56" i="53"/>
  <c r="G56" i="53"/>
  <c r="E56" i="53"/>
  <c r="P56" i="53"/>
  <c r="H56" i="53"/>
  <c r="J56" i="53"/>
  <c r="K56" i="53"/>
  <c r="Q55" i="57"/>
  <c r="T55" i="57" s="1"/>
  <c r="I56" i="57"/>
  <c r="C56" i="57"/>
  <c r="M56" i="57" s="1"/>
  <c r="K56" i="57"/>
  <c r="J56" i="57"/>
  <c r="F56" i="57"/>
  <c r="E56" i="57"/>
  <c r="P56" i="57"/>
  <c r="H56" i="57"/>
  <c r="D56" i="57"/>
  <c r="G56" i="57"/>
  <c r="AK55" i="55" a="1"/>
  <c r="AK55" i="55" s="1"/>
  <c r="B57" i="57" s="1"/>
  <c r="O57" i="57" s="1"/>
  <c r="AN41" i="67" a="1"/>
  <c r="AN41" i="67" s="1"/>
  <c r="B42" i="69"/>
  <c r="C41" i="69"/>
  <c r="N40" i="69"/>
  <c r="AF40" i="69" s="1"/>
  <c r="D40" i="69"/>
  <c r="E40" i="69" s="1"/>
  <c r="F40" i="69" s="1"/>
  <c r="G40" i="69" s="1"/>
  <c r="H40" i="69" s="1"/>
  <c r="I40" i="69" s="1"/>
  <c r="J40" i="69" s="1"/>
  <c r="K40" i="69" s="1"/>
  <c r="M40" i="69" s="1"/>
  <c r="U39" i="69"/>
  <c r="Q39" i="69"/>
  <c r="R39" i="69"/>
  <c r="S39" i="69" s="1"/>
  <c r="Y39" i="69" s="1"/>
  <c r="AE39" i="69"/>
  <c r="AB54" i="57" l="1"/>
  <c r="AF54" i="57"/>
  <c r="AB39" i="69"/>
  <c r="AC39" i="69" s="1"/>
  <c r="AD39" i="69" s="1"/>
  <c r="AG39" i="69"/>
  <c r="AO41" i="69"/>
  <c r="P41" i="69"/>
  <c r="L42" i="69"/>
  <c r="O42" i="69"/>
  <c r="AB55" i="53"/>
  <c r="AA55" i="53"/>
  <c r="AE56" i="53"/>
  <c r="AC56" i="53"/>
  <c r="AF55" i="53"/>
  <c r="X55" i="57"/>
  <c r="AE56" i="57"/>
  <c r="AC56" i="57"/>
  <c r="R56" i="57"/>
  <c r="R56" i="53"/>
  <c r="X56" i="53" s="1"/>
  <c r="AX40" i="69"/>
  <c r="AG57" i="57"/>
  <c r="L57" i="57"/>
  <c r="AJ56" i="57"/>
  <c r="AP56" i="57"/>
  <c r="AG56" i="53"/>
  <c r="AH56" i="53"/>
  <c r="AT56" i="53"/>
  <c r="N57" i="57"/>
  <c r="C57" i="53"/>
  <c r="N57" i="53"/>
  <c r="AH40" i="69"/>
  <c r="AD56" i="57"/>
  <c r="Q56" i="53"/>
  <c r="AD56" i="53"/>
  <c r="H57" i="53"/>
  <c r="F57" i="53"/>
  <c r="K57" i="53"/>
  <c r="E57" i="53"/>
  <c r="L57" i="53"/>
  <c r="M57" i="53"/>
  <c r="J57" i="53"/>
  <c r="G57" i="53"/>
  <c r="AK56" i="52" a="1"/>
  <c r="AK56" i="52" s="1"/>
  <c r="B58" i="53" s="1"/>
  <c r="O58" i="53" s="1"/>
  <c r="D57" i="53"/>
  <c r="P57" i="53"/>
  <c r="I57" i="53"/>
  <c r="I57" i="57"/>
  <c r="E57" i="57"/>
  <c r="P57" i="57"/>
  <c r="D57" i="57"/>
  <c r="C57" i="57"/>
  <c r="M57" i="57" s="1"/>
  <c r="K57" i="57"/>
  <c r="H57" i="57"/>
  <c r="G57" i="57"/>
  <c r="F57" i="57"/>
  <c r="J57" i="57"/>
  <c r="Q56" i="57"/>
  <c r="T56" i="57" s="1"/>
  <c r="AK56" i="55" a="1"/>
  <c r="AK56" i="55" s="1"/>
  <c r="B58" i="57" s="1"/>
  <c r="O58" i="57" s="1"/>
  <c r="Q40" i="69"/>
  <c r="AE40" i="69"/>
  <c r="R40" i="69"/>
  <c r="S40" i="69" s="1"/>
  <c r="Y40" i="69" s="1"/>
  <c r="U40" i="69"/>
  <c r="D41" i="69"/>
  <c r="E41" i="69" s="1"/>
  <c r="F41" i="69" s="1"/>
  <c r="G41" i="69" s="1"/>
  <c r="H41" i="69" s="1"/>
  <c r="I41" i="69" s="1"/>
  <c r="J41" i="69" s="1"/>
  <c r="K41" i="69" s="1"/>
  <c r="M41" i="69" s="1"/>
  <c r="N41" i="69"/>
  <c r="AF41" i="69" s="1"/>
  <c r="C42" i="69"/>
  <c r="AN42" i="67" a="1"/>
  <c r="AN42" i="67" s="1"/>
  <c r="B43" i="69"/>
  <c r="B3" i="73"/>
  <c r="AB55" i="57" l="1"/>
  <c r="AA55" i="57"/>
  <c r="AB40" i="69"/>
  <c r="AC40" i="69" s="1"/>
  <c r="AD40" i="69" s="1"/>
  <c r="AG40" i="69"/>
  <c r="L43" i="69"/>
  <c r="O43" i="69"/>
  <c r="AO42" i="69"/>
  <c r="P42" i="69"/>
  <c r="AE57" i="53"/>
  <c r="AC57" i="53"/>
  <c r="AF56" i="53"/>
  <c r="AB56" i="53"/>
  <c r="AA56" i="53"/>
  <c r="X56" i="57"/>
  <c r="AA56" i="57" s="1"/>
  <c r="AF55" i="57"/>
  <c r="AE57" i="57"/>
  <c r="AC57" i="57"/>
  <c r="R57" i="57"/>
  <c r="R57" i="53"/>
  <c r="X57" i="53" s="1"/>
  <c r="AX41" i="69"/>
  <c r="AG58" i="57"/>
  <c r="L58" i="57"/>
  <c r="AJ57" i="57"/>
  <c r="AP57" i="57"/>
  <c r="AG57" i="53"/>
  <c r="AH57" i="53"/>
  <c r="AT57" i="53"/>
  <c r="N58" i="57"/>
  <c r="N58" i="53"/>
  <c r="AH41" i="69"/>
  <c r="AD57" i="57"/>
  <c r="AD57" i="53"/>
  <c r="Q57" i="53"/>
  <c r="K58" i="53"/>
  <c r="P58" i="53"/>
  <c r="I58" i="53"/>
  <c r="E58" i="53"/>
  <c r="H58" i="53"/>
  <c r="AK57" i="52" a="1"/>
  <c r="AK57" i="52" s="1"/>
  <c r="B59" i="53" s="1"/>
  <c r="O59" i="53" s="1"/>
  <c r="J58" i="53"/>
  <c r="M58" i="53"/>
  <c r="D58" i="53"/>
  <c r="L58" i="53"/>
  <c r="C58" i="53"/>
  <c r="G58" i="53"/>
  <c r="F58" i="53"/>
  <c r="Q57" i="57"/>
  <c r="T57" i="57" s="1"/>
  <c r="D58" i="57"/>
  <c r="G58" i="57"/>
  <c r="K58" i="57"/>
  <c r="F58" i="57"/>
  <c r="E58" i="57"/>
  <c r="I58" i="57"/>
  <c r="P58" i="57"/>
  <c r="C58" i="57"/>
  <c r="M58" i="57" s="1"/>
  <c r="H58" i="57"/>
  <c r="J58" i="57"/>
  <c r="AK57" i="55" a="1"/>
  <c r="AK57" i="55" s="1"/>
  <c r="B59" i="57" s="1"/>
  <c r="O59" i="57" s="1"/>
  <c r="C43" i="69"/>
  <c r="N42" i="69"/>
  <c r="AF42" i="69" s="1"/>
  <c r="D42" i="69"/>
  <c r="E42" i="69" s="1"/>
  <c r="F42" i="69" s="1"/>
  <c r="G42" i="69" s="1"/>
  <c r="H42" i="69" s="1"/>
  <c r="I42" i="69" s="1"/>
  <c r="J42" i="69" s="1"/>
  <c r="K42" i="69" s="1"/>
  <c r="M42" i="69" s="1"/>
  <c r="Q41" i="69"/>
  <c r="R41" i="69"/>
  <c r="S41" i="69" s="1"/>
  <c r="Y41" i="69" s="1"/>
  <c r="U41" i="69"/>
  <c r="AE41" i="69"/>
  <c r="AN43" i="67" a="1"/>
  <c r="AN43" i="67" s="1"/>
  <c r="B44" i="69"/>
  <c r="AB41" i="69" l="1"/>
  <c r="AC41" i="69" s="1"/>
  <c r="AD41" i="69" s="1"/>
  <c r="AG41" i="69"/>
  <c r="L44" i="69"/>
  <c r="O44" i="69"/>
  <c r="AO43" i="69"/>
  <c r="P43" i="69"/>
  <c r="AB57" i="53"/>
  <c r="AA57" i="53"/>
  <c r="AE58" i="53"/>
  <c r="AC58" i="53"/>
  <c r="AF57" i="53"/>
  <c r="AF56" i="57"/>
  <c r="AB56" i="57"/>
  <c r="X57" i="57"/>
  <c r="AE58" i="57"/>
  <c r="AC58" i="57"/>
  <c r="R58" i="57"/>
  <c r="R58" i="53"/>
  <c r="X58" i="53" s="1"/>
  <c r="AX42" i="69"/>
  <c r="AG59" i="57"/>
  <c r="L59" i="57"/>
  <c r="AJ58" i="57"/>
  <c r="AP58" i="57"/>
  <c r="AG58" i="53"/>
  <c r="AH58" i="53"/>
  <c r="AT58" i="53"/>
  <c r="N59" i="57"/>
  <c r="H59" i="53"/>
  <c r="N59" i="53"/>
  <c r="AH42" i="69"/>
  <c r="AD58" i="57"/>
  <c r="Q58" i="53"/>
  <c r="AD58" i="53"/>
  <c r="AK58" i="52" a="1"/>
  <c r="AK58" i="52" s="1"/>
  <c r="B60" i="53" s="1"/>
  <c r="O60" i="53" s="1"/>
  <c r="K59" i="53"/>
  <c r="P59" i="53"/>
  <c r="I59" i="53"/>
  <c r="C59" i="53"/>
  <c r="E59" i="53"/>
  <c r="M59" i="53"/>
  <c r="J59" i="53"/>
  <c r="L59" i="53"/>
  <c r="D59" i="53"/>
  <c r="G59" i="53"/>
  <c r="F59" i="53"/>
  <c r="Q58" i="57"/>
  <c r="T58" i="57" s="1"/>
  <c r="K59" i="57"/>
  <c r="G59" i="57"/>
  <c r="E59" i="57"/>
  <c r="P59" i="57"/>
  <c r="D59" i="57"/>
  <c r="C59" i="57"/>
  <c r="M59" i="57" s="1"/>
  <c r="I59" i="57"/>
  <c r="H59" i="57"/>
  <c r="F59" i="57"/>
  <c r="J59" i="57"/>
  <c r="AK58" i="55" a="1"/>
  <c r="AK58" i="55" s="1"/>
  <c r="B60" i="57" s="1"/>
  <c r="O60" i="57" s="1"/>
  <c r="C44" i="69"/>
  <c r="D43" i="69"/>
  <c r="E43" i="69" s="1"/>
  <c r="F43" i="69" s="1"/>
  <c r="G43" i="69" s="1"/>
  <c r="H43" i="69" s="1"/>
  <c r="I43" i="69" s="1"/>
  <c r="J43" i="69" s="1"/>
  <c r="K43" i="69" s="1"/>
  <c r="M43" i="69" s="1"/>
  <c r="N43" i="69"/>
  <c r="AF43" i="69" s="1"/>
  <c r="Q42" i="69"/>
  <c r="R42" i="69"/>
  <c r="S42" i="69" s="1"/>
  <c r="Y42" i="69" s="1"/>
  <c r="AE42" i="69"/>
  <c r="U42" i="69"/>
  <c r="AN44" i="67" a="1"/>
  <c r="AN44" i="67" s="1"/>
  <c r="B45" i="69"/>
  <c r="AB57" i="57" l="1"/>
  <c r="AA57" i="57"/>
  <c r="AB42" i="69"/>
  <c r="AC42" i="69" s="1"/>
  <c r="AD42" i="69" s="1"/>
  <c r="AG42" i="69"/>
  <c r="AO44" i="69"/>
  <c r="P44" i="69"/>
  <c r="L45" i="69"/>
  <c r="O45" i="69"/>
  <c r="X58" i="57"/>
  <c r="AA58" i="57" s="1"/>
  <c r="AB58" i="53"/>
  <c r="AA58" i="53"/>
  <c r="AE59" i="53"/>
  <c r="AC59" i="53"/>
  <c r="AF58" i="53"/>
  <c r="AF57" i="57"/>
  <c r="AE59" i="57"/>
  <c r="AC59" i="57"/>
  <c r="R59" i="57"/>
  <c r="R59" i="53"/>
  <c r="X59" i="53" s="1"/>
  <c r="AX43" i="69"/>
  <c r="AG60" i="57"/>
  <c r="L60" i="57"/>
  <c r="AJ59" i="57"/>
  <c r="AP59" i="57"/>
  <c r="AG59" i="53"/>
  <c r="AH59" i="53"/>
  <c r="AT59" i="53"/>
  <c r="N60" i="57"/>
  <c r="N60" i="53"/>
  <c r="AH43" i="69"/>
  <c r="AD59" i="57"/>
  <c r="Q59" i="53"/>
  <c r="AD59" i="53"/>
  <c r="J60" i="53"/>
  <c r="M60" i="53"/>
  <c r="K60" i="53"/>
  <c r="E60" i="53"/>
  <c r="F60" i="53"/>
  <c r="P60" i="53"/>
  <c r="I60" i="53"/>
  <c r="L60" i="53"/>
  <c r="C60" i="53"/>
  <c r="AK59" i="52" a="1"/>
  <c r="AK59" i="52" s="1"/>
  <c r="B61" i="53" s="1"/>
  <c r="O61" i="53" s="1"/>
  <c r="D60" i="53"/>
  <c r="H60" i="53"/>
  <c r="G60" i="53"/>
  <c r="K60" i="57"/>
  <c r="I60" i="57"/>
  <c r="F60" i="57"/>
  <c r="C60" i="57"/>
  <c r="M60" i="57" s="1"/>
  <c r="P60" i="57"/>
  <c r="H60" i="57"/>
  <c r="D60" i="57"/>
  <c r="G60" i="57"/>
  <c r="E60" i="57"/>
  <c r="J60" i="57"/>
  <c r="Q59" i="57"/>
  <c r="T59" i="57" s="1"/>
  <c r="AK59" i="55" a="1"/>
  <c r="AK59" i="55" s="1"/>
  <c r="B61" i="57" s="1"/>
  <c r="O61" i="57" s="1"/>
  <c r="Q43" i="69"/>
  <c r="R43" i="69"/>
  <c r="S43" i="69" s="1"/>
  <c r="Y43" i="69" s="1"/>
  <c r="AB43" i="69" s="1"/>
  <c r="AC43" i="69" s="1"/>
  <c r="AD43" i="69" s="1"/>
  <c r="U43" i="69"/>
  <c r="AE43" i="69"/>
  <c r="C45" i="69"/>
  <c r="AN45" i="67" a="1"/>
  <c r="AN45" i="67" s="1"/>
  <c r="B46" i="69"/>
  <c r="D44" i="69"/>
  <c r="E44" i="69" s="1"/>
  <c r="F44" i="69" s="1"/>
  <c r="G44" i="69" s="1"/>
  <c r="H44" i="69" s="1"/>
  <c r="I44" i="69" s="1"/>
  <c r="J44" i="69" s="1"/>
  <c r="K44" i="69" s="1"/>
  <c r="M44" i="69" s="1"/>
  <c r="N44" i="69"/>
  <c r="AF44" i="69" s="1"/>
  <c r="L46" i="69" l="1"/>
  <c r="O46" i="69"/>
  <c r="AO45" i="69"/>
  <c r="P45" i="69"/>
  <c r="AG43" i="69"/>
  <c r="AF58" i="57"/>
  <c r="AB58" i="57"/>
  <c r="AF59" i="53"/>
  <c r="AE60" i="53"/>
  <c r="AC60" i="53"/>
  <c r="AB59" i="53"/>
  <c r="AA59" i="53"/>
  <c r="X59" i="57"/>
  <c r="AA59" i="57" s="1"/>
  <c r="AC60" i="57"/>
  <c r="AE60" i="57"/>
  <c r="R60" i="57"/>
  <c r="R60" i="53"/>
  <c r="X60" i="53" s="1"/>
  <c r="AX44" i="69"/>
  <c r="L61" i="57"/>
  <c r="AG61" i="57"/>
  <c r="AJ60" i="57"/>
  <c r="AP60" i="57"/>
  <c r="AT60" i="53"/>
  <c r="AH60" i="53"/>
  <c r="AG60" i="53"/>
  <c r="N61" i="57"/>
  <c r="N61" i="53"/>
  <c r="AH44" i="69"/>
  <c r="AD60" i="57"/>
  <c r="AD60" i="53"/>
  <c r="Q60" i="53"/>
  <c r="AK60" i="52" a="1"/>
  <c r="AK60" i="52" s="1"/>
  <c r="B62" i="53" s="1"/>
  <c r="O62" i="53" s="1"/>
  <c r="H61" i="53"/>
  <c r="F61" i="53"/>
  <c r="I61" i="53"/>
  <c r="C61" i="53"/>
  <c r="L61" i="53"/>
  <c r="P61" i="53"/>
  <c r="K61" i="53"/>
  <c r="E61" i="53"/>
  <c r="D61" i="53"/>
  <c r="M61" i="53"/>
  <c r="J61" i="53"/>
  <c r="G61" i="53"/>
  <c r="G61" i="57"/>
  <c r="C61" i="57"/>
  <c r="M61" i="57" s="1"/>
  <c r="K61" i="57"/>
  <c r="I61" i="57"/>
  <c r="H61" i="57"/>
  <c r="E61" i="57"/>
  <c r="D61" i="57"/>
  <c r="P61" i="57"/>
  <c r="J61" i="57"/>
  <c r="F61" i="57"/>
  <c r="Q60" i="57"/>
  <c r="T60" i="57" s="1"/>
  <c r="AK60" i="55" a="1"/>
  <c r="AK60" i="55" s="1"/>
  <c r="B62" i="57" s="1"/>
  <c r="O62" i="57" s="1"/>
  <c r="R44" i="69"/>
  <c r="S44" i="69" s="1"/>
  <c r="Y44" i="69" s="1"/>
  <c r="U44" i="69"/>
  <c r="AE44" i="69"/>
  <c r="Q44" i="69"/>
  <c r="C46" i="69"/>
  <c r="AN46" i="67" a="1"/>
  <c r="AN46" i="67" s="1"/>
  <c r="B47" i="69"/>
  <c r="D45" i="69"/>
  <c r="E45" i="69" s="1"/>
  <c r="F45" i="69" s="1"/>
  <c r="G45" i="69" s="1"/>
  <c r="H45" i="69" s="1"/>
  <c r="I45" i="69" s="1"/>
  <c r="J45" i="69" s="1"/>
  <c r="K45" i="69" s="1"/>
  <c r="M45" i="69" s="1"/>
  <c r="N45" i="69"/>
  <c r="AF45" i="69" s="1"/>
  <c r="AB44" i="69" l="1"/>
  <c r="AC44" i="69" s="1"/>
  <c r="AD44" i="69" s="1"/>
  <c r="AG44" i="69"/>
  <c r="L47" i="69"/>
  <c r="O47" i="69"/>
  <c r="AO46" i="69"/>
  <c r="P46" i="69"/>
  <c r="AB60" i="53"/>
  <c r="AA60" i="53"/>
  <c r="AE61" i="53"/>
  <c r="AC61" i="53"/>
  <c r="AF60" i="53"/>
  <c r="AF59" i="57"/>
  <c r="AB59" i="57"/>
  <c r="X60" i="57"/>
  <c r="AE61" i="57"/>
  <c r="AC61" i="57"/>
  <c r="R61" i="57"/>
  <c r="R61" i="53"/>
  <c r="X61" i="53" s="1"/>
  <c r="AX45" i="69"/>
  <c r="AG62" i="57"/>
  <c r="L62" i="57"/>
  <c r="AJ61" i="57"/>
  <c r="AP61" i="57"/>
  <c r="AG61" i="53"/>
  <c r="AH61" i="53"/>
  <c r="AT61" i="53"/>
  <c r="N62" i="57"/>
  <c r="H62" i="53"/>
  <c r="N62" i="53"/>
  <c r="AH45" i="69"/>
  <c r="AD61" i="57"/>
  <c r="AD61" i="53"/>
  <c r="Q61" i="53"/>
  <c r="F62" i="53"/>
  <c r="E62" i="53"/>
  <c r="I62" i="53"/>
  <c r="C62" i="53"/>
  <c r="G62" i="53"/>
  <c r="K62" i="53"/>
  <c r="J62" i="53"/>
  <c r="AK61" i="52" a="1"/>
  <c r="AK61" i="52" s="1"/>
  <c r="B63" i="53" s="1"/>
  <c r="O63" i="53" s="1"/>
  <c r="L62" i="53"/>
  <c r="M62" i="53"/>
  <c r="P62" i="53"/>
  <c r="D62" i="53"/>
  <c r="Q61" i="57"/>
  <c r="T61" i="57" s="1"/>
  <c r="E62" i="57"/>
  <c r="J62" i="57"/>
  <c r="G62" i="57"/>
  <c r="C62" i="57"/>
  <c r="M62" i="57" s="1"/>
  <c r="K62" i="57"/>
  <c r="P62" i="57"/>
  <c r="F62" i="57"/>
  <c r="H62" i="57"/>
  <c r="D62" i="57"/>
  <c r="I62" i="57"/>
  <c r="AK61" i="55" a="1"/>
  <c r="AK61" i="55" s="1"/>
  <c r="B63" i="57" s="1"/>
  <c r="O63" i="57" s="1"/>
  <c r="AN47" i="67" a="1"/>
  <c r="AN47" i="67" s="1"/>
  <c r="B48" i="69"/>
  <c r="U45" i="69"/>
  <c r="R45" i="69"/>
  <c r="S45" i="69" s="1"/>
  <c r="Y45" i="69" s="1"/>
  <c r="Q45" i="69"/>
  <c r="AE45" i="69"/>
  <c r="C47" i="69"/>
  <c r="D46" i="69"/>
  <c r="E46" i="69" s="1"/>
  <c r="F46" i="69" s="1"/>
  <c r="G46" i="69" s="1"/>
  <c r="H46" i="69" s="1"/>
  <c r="I46" i="69" s="1"/>
  <c r="J46" i="69" s="1"/>
  <c r="K46" i="69" s="1"/>
  <c r="M46" i="69" s="1"/>
  <c r="N46" i="69"/>
  <c r="AF46" i="69" s="1"/>
  <c r="B147" i="72"/>
  <c r="C147" i="72"/>
  <c r="B144" i="72"/>
  <c r="C144" i="72"/>
  <c r="B145" i="72"/>
  <c r="C145" i="72"/>
  <c r="B146" i="72"/>
  <c r="C146" i="72"/>
  <c r="B137" i="72"/>
  <c r="C137" i="72"/>
  <c r="B138" i="72"/>
  <c r="C138" i="72"/>
  <c r="B139" i="72"/>
  <c r="C139" i="72"/>
  <c r="B141" i="72"/>
  <c r="C141" i="72"/>
  <c r="B142" i="72"/>
  <c r="C142" i="72"/>
  <c r="B143" i="72"/>
  <c r="C143" i="72"/>
  <c r="B124" i="72"/>
  <c r="C124" i="72"/>
  <c r="B125" i="72"/>
  <c r="C125" i="72"/>
  <c r="B126" i="72"/>
  <c r="C126" i="72"/>
  <c r="B127" i="72"/>
  <c r="C127" i="72"/>
  <c r="B129" i="72"/>
  <c r="C129" i="72"/>
  <c r="B133" i="72"/>
  <c r="B134" i="72"/>
  <c r="C134" i="72"/>
  <c r="B105" i="72"/>
  <c r="C105" i="72"/>
  <c r="B106" i="72"/>
  <c r="C106" i="72"/>
  <c r="B108" i="72"/>
  <c r="C108" i="72"/>
  <c r="B109" i="72"/>
  <c r="C109" i="72"/>
  <c r="B110" i="72"/>
  <c r="C110" i="72"/>
  <c r="B96" i="72"/>
  <c r="C96" i="72"/>
  <c r="B97" i="72"/>
  <c r="C97" i="72"/>
  <c r="B98" i="72"/>
  <c r="C98" i="72"/>
  <c r="B99" i="72"/>
  <c r="C99" i="72"/>
  <c r="B100" i="72"/>
  <c r="C100" i="72"/>
  <c r="B101" i="72"/>
  <c r="C101" i="72"/>
  <c r="B103" i="72"/>
  <c r="C103" i="72"/>
  <c r="B104" i="72"/>
  <c r="C104" i="72"/>
  <c r="B90" i="72"/>
  <c r="B92" i="72"/>
  <c r="C92" i="72"/>
  <c r="B93" i="72"/>
  <c r="C93" i="72"/>
  <c r="B94" i="72"/>
  <c r="C94" i="72"/>
  <c r="B95" i="72"/>
  <c r="C95" i="72"/>
  <c r="C89" i="72"/>
  <c r="B89" i="72"/>
  <c r="B70" i="72"/>
  <c r="C70" i="72"/>
  <c r="B42" i="72"/>
  <c r="C42" i="72"/>
  <c r="B43" i="72"/>
  <c r="C43" i="72"/>
  <c r="B44" i="72"/>
  <c r="C44" i="72"/>
  <c r="B45" i="72"/>
  <c r="C45" i="72"/>
  <c r="B46" i="72"/>
  <c r="C46" i="72"/>
  <c r="B47" i="72"/>
  <c r="C47" i="72"/>
  <c r="B48" i="72"/>
  <c r="C48" i="72"/>
  <c r="B49" i="72"/>
  <c r="C49" i="72"/>
  <c r="B50" i="72"/>
  <c r="C50" i="72"/>
  <c r="B51" i="72"/>
  <c r="C51" i="72"/>
  <c r="B52" i="72"/>
  <c r="C52" i="72"/>
  <c r="B53" i="72"/>
  <c r="C53" i="72"/>
  <c r="B54" i="72"/>
  <c r="C54" i="72"/>
  <c r="B55"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C13" i="72"/>
  <c r="B13" i="72"/>
  <c r="AB60" i="57" l="1"/>
  <c r="AA60" i="57"/>
  <c r="AB45" i="69"/>
  <c r="AC45" i="69" s="1"/>
  <c r="AD45" i="69" s="1"/>
  <c r="AG45" i="69"/>
  <c r="AO47" i="69"/>
  <c r="P47" i="69"/>
  <c r="L48" i="69"/>
  <c r="O48" i="69"/>
  <c r="X61" i="57"/>
  <c r="AB61" i="53"/>
  <c r="AA61" i="53"/>
  <c r="AF61" i="53"/>
  <c r="AE62" i="53"/>
  <c r="AC62" i="53"/>
  <c r="AF60" i="57"/>
  <c r="AE62" i="57"/>
  <c r="AC62" i="57"/>
  <c r="R62" i="57"/>
  <c r="R62" i="53"/>
  <c r="X62" i="53" s="1"/>
  <c r="AX46" i="69"/>
  <c r="AG63" i="57"/>
  <c r="L63" i="57"/>
  <c r="AJ62" i="57"/>
  <c r="AP62" i="57"/>
  <c r="AG62" i="53"/>
  <c r="AH62" i="53"/>
  <c r="AT62" i="53"/>
  <c r="N63" i="57"/>
  <c r="P63" i="53"/>
  <c r="N63" i="53"/>
  <c r="AH46" i="69"/>
  <c r="AD62" i="57"/>
  <c r="Q62" i="53"/>
  <c r="AD62" i="53"/>
  <c r="AK62" i="52" a="1"/>
  <c r="AK62" i="52" s="1"/>
  <c r="B64" i="53" s="1"/>
  <c r="O64" i="53" s="1"/>
  <c r="J63" i="53"/>
  <c r="I63" i="53"/>
  <c r="C63" i="53"/>
  <c r="E63" i="53"/>
  <c r="G63" i="53"/>
  <c r="D63" i="53"/>
  <c r="H63" i="53"/>
  <c r="L63" i="53"/>
  <c r="F63" i="53"/>
  <c r="K63" i="53"/>
  <c r="M63" i="53"/>
  <c r="Q62" i="57"/>
  <c r="T62" i="57" s="1"/>
  <c r="P63" i="57"/>
  <c r="D63" i="57"/>
  <c r="K63" i="57"/>
  <c r="I63" i="57"/>
  <c r="H63" i="57"/>
  <c r="G63" i="57"/>
  <c r="E63" i="57"/>
  <c r="C63" i="57"/>
  <c r="M63" i="57" s="1"/>
  <c r="F63" i="57"/>
  <c r="J63" i="57"/>
  <c r="AK62" i="55" a="1"/>
  <c r="AK62" i="55" s="1"/>
  <c r="B64" i="57" s="1"/>
  <c r="O64" i="57" s="1"/>
  <c r="AN48" i="67" a="1"/>
  <c r="AN48" i="67" s="1"/>
  <c r="B49" i="69"/>
  <c r="Q46" i="69"/>
  <c r="R46" i="69"/>
  <c r="S46" i="69" s="1"/>
  <c r="Y46" i="69" s="1"/>
  <c r="AE46" i="69"/>
  <c r="U46" i="69"/>
  <c r="C48" i="69"/>
  <c r="D47" i="69"/>
  <c r="E47" i="69" s="1"/>
  <c r="F47" i="69" s="1"/>
  <c r="G47" i="69" s="1"/>
  <c r="H47" i="69" s="1"/>
  <c r="I47" i="69" s="1"/>
  <c r="J47" i="69" s="1"/>
  <c r="K47" i="69" s="1"/>
  <c r="M47" i="69" s="1"/>
  <c r="N47" i="69"/>
  <c r="AF47" i="69" s="1"/>
  <c r="AF61" i="57" l="1"/>
  <c r="AA61" i="57"/>
  <c r="AB46" i="69"/>
  <c r="AC46" i="69" s="1"/>
  <c r="AD46" i="69" s="1"/>
  <c r="AG46" i="69"/>
  <c r="AO48" i="69"/>
  <c r="P48" i="69"/>
  <c r="L49" i="69"/>
  <c r="O49" i="69"/>
  <c r="AB61" i="57"/>
  <c r="X62" i="57"/>
  <c r="AF62" i="53"/>
  <c r="AB62" i="53"/>
  <c r="AA62" i="53"/>
  <c r="AE63" i="53"/>
  <c r="AC63" i="53"/>
  <c r="AE63" i="57"/>
  <c r="AC63" i="57"/>
  <c r="R63" i="57"/>
  <c r="R63" i="53"/>
  <c r="X63" i="53" s="1"/>
  <c r="AX47" i="69"/>
  <c r="AG64" i="57"/>
  <c r="L64" i="57"/>
  <c r="AJ63" i="57"/>
  <c r="AP63" i="57"/>
  <c r="AG63" i="53"/>
  <c r="AH63" i="53"/>
  <c r="AT63" i="53"/>
  <c r="N64" i="57"/>
  <c r="P64" i="53"/>
  <c r="N64" i="53"/>
  <c r="AH47" i="69"/>
  <c r="AD63" i="57"/>
  <c r="Q63" i="53"/>
  <c r="AD63" i="53"/>
  <c r="G64" i="53"/>
  <c r="E64" i="53"/>
  <c r="C64" i="53"/>
  <c r="L64" i="53"/>
  <c r="M64" i="53"/>
  <c r="H64" i="53"/>
  <c r="AK63" i="52" a="1"/>
  <c r="AK63" i="52" s="1"/>
  <c r="B65" i="53" s="1"/>
  <c r="O65" i="53" s="1"/>
  <c r="F64" i="53"/>
  <c r="J64" i="53"/>
  <c r="I64" i="53"/>
  <c r="D64" i="53"/>
  <c r="K64" i="53"/>
  <c r="Q63" i="57"/>
  <c r="T63" i="57" s="1"/>
  <c r="E64" i="57"/>
  <c r="K64" i="57"/>
  <c r="J64" i="57"/>
  <c r="I64" i="57"/>
  <c r="F64" i="57"/>
  <c r="C64" i="57"/>
  <c r="M64" i="57" s="1"/>
  <c r="P64" i="57"/>
  <c r="H64" i="57"/>
  <c r="D64" i="57"/>
  <c r="G64" i="57"/>
  <c r="AK63" i="55" a="1"/>
  <c r="AK63" i="55" s="1"/>
  <c r="B65" i="57" s="1"/>
  <c r="O65" i="57" s="1"/>
  <c r="N48" i="69"/>
  <c r="AF48" i="69" s="1"/>
  <c r="D48" i="69"/>
  <c r="E48" i="69" s="1"/>
  <c r="F48" i="69" s="1"/>
  <c r="G48" i="69" s="1"/>
  <c r="H48" i="69" s="1"/>
  <c r="I48" i="69" s="1"/>
  <c r="J48" i="69" s="1"/>
  <c r="K48" i="69" s="1"/>
  <c r="M48" i="69" s="1"/>
  <c r="AE47" i="69"/>
  <c r="R47" i="69"/>
  <c r="S47" i="69" s="1"/>
  <c r="Y47" i="69" s="1"/>
  <c r="U47" i="69"/>
  <c r="Q47" i="69"/>
  <c r="C49" i="69"/>
  <c r="AN49" i="67" a="1"/>
  <c r="AN49" i="67" s="1"/>
  <c r="B50" i="69"/>
  <c r="M15" i="29"/>
  <c r="A93" i="22"/>
  <c r="B93" i="22"/>
  <c r="C93" i="22"/>
  <c r="A94" i="22"/>
  <c r="F94" i="22" s="1"/>
  <c r="B94" i="22"/>
  <c r="C94" i="22"/>
  <c r="A95" i="22"/>
  <c r="F95" i="22" s="1"/>
  <c r="B95" i="22"/>
  <c r="C95" i="22"/>
  <c r="A96" i="22"/>
  <c r="F96" i="22" s="1"/>
  <c r="B96" i="22"/>
  <c r="C96" i="22"/>
  <c r="A97" i="22"/>
  <c r="F97" i="22" s="1"/>
  <c r="B97" i="22"/>
  <c r="C97" i="22"/>
  <c r="A98" i="22"/>
  <c r="F98" i="22" s="1"/>
  <c r="B98" i="22"/>
  <c r="C98" i="22"/>
  <c r="A99" i="22"/>
  <c r="F99" i="22" s="1"/>
  <c r="B99" i="22"/>
  <c r="C99" i="22"/>
  <c r="A5" i="22"/>
  <c r="F5" i="22" s="1"/>
  <c r="B5" i="22"/>
  <c r="C5" i="22"/>
  <c r="A6" i="22"/>
  <c r="F6" i="22" s="1"/>
  <c r="B6" i="22"/>
  <c r="C6" i="22"/>
  <c r="A7" i="22"/>
  <c r="F7" i="22" s="1"/>
  <c r="B7" i="22"/>
  <c r="C7" i="22"/>
  <c r="A8" i="22"/>
  <c r="B8" i="22"/>
  <c r="C8" i="22"/>
  <c r="A9" i="22"/>
  <c r="B9" i="22"/>
  <c r="C9" i="22"/>
  <c r="A10" i="22"/>
  <c r="F10" i="22" s="1"/>
  <c r="B10" i="22"/>
  <c r="C10" i="22"/>
  <c r="A11" i="22"/>
  <c r="B11" i="22"/>
  <c r="C11" i="22"/>
  <c r="A12" i="22"/>
  <c r="F12" i="22" s="1"/>
  <c r="B12" i="22"/>
  <c r="C12" i="22"/>
  <c r="A13" i="22"/>
  <c r="F13" i="22" s="1"/>
  <c r="B13" i="22"/>
  <c r="C13" i="22"/>
  <c r="A14" i="22"/>
  <c r="B14" i="22"/>
  <c r="C14" i="22"/>
  <c r="A15" i="22"/>
  <c r="B15" i="22"/>
  <c r="C15" i="22"/>
  <c r="A16" i="22"/>
  <c r="F16" i="22" s="1"/>
  <c r="B16" i="22"/>
  <c r="C16" i="22"/>
  <c r="A17" i="22"/>
  <c r="F17" i="22" s="1"/>
  <c r="B17" i="22"/>
  <c r="C17" i="22"/>
  <c r="A18" i="22"/>
  <c r="B18" i="22"/>
  <c r="C18" i="22"/>
  <c r="A19" i="22"/>
  <c r="B19" i="22"/>
  <c r="C19" i="22"/>
  <c r="A20" i="22"/>
  <c r="B20" i="22"/>
  <c r="C20" i="22"/>
  <c r="A21" i="22"/>
  <c r="F21" i="22" s="1"/>
  <c r="B21" i="22"/>
  <c r="C21" i="22"/>
  <c r="A22" i="22"/>
  <c r="F22" i="22" s="1"/>
  <c r="B22" i="22"/>
  <c r="C22" i="22"/>
  <c r="A23" i="22"/>
  <c r="B23" i="22"/>
  <c r="C23" i="22"/>
  <c r="A24" i="22"/>
  <c r="F24" i="22" s="1"/>
  <c r="B24" i="22"/>
  <c r="C24" i="22"/>
  <c r="A25" i="22"/>
  <c r="F25" i="22" s="1"/>
  <c r="B25" i="22"/>
  <c r="C25" i="22"/>
  <c r="A26" i="22"/>
  <c r="B26" i="22"/>
  <c r="C26" i="22"/>
  <c r="A27" i="22"/>
  <c r="F27" i="22" s="1"/>
  <c r="B27" i="22"/>
  <c r="C27" i="22"/>
  <c r="A28" i="22"/>
  <c r="B28" i="22"/>
  <c r="C28" i="22"/>
  <c r="A29" i="22"/>
  <c r="B29" i="22"/>
  <c r="C29" i="22"/>
  <c r="A30" i="22"/>
  <c r="F30" i="22" s="1"/>
  <c r="B30" i="22"/>
  <c r="C30" i="22"/>
  <c r="A31" i="22"/>
  <c r="F31" i="22" s="1"/>
  <c r="B31" i="22"/>
  <c r="C31" i="22"/>
  <c r="A32" i="22"/>
  <c r="F32" i="22" s="1"/>
  <c r="B32" i="22"/>
  <c r="C32" i="22"/>
  <c r="A33" i="22"/>
  <c r="B33" i="22"/>
  <c r="C33" i="22"/>
  <c r="A34" i="22"/>
  <c r="B34" i="22"/>
  <c r="C34" i="22"/>
  <c r="A35" i="22"/>
  <c r="F35" i="22" s="1"/>
  <c r="B35" i="22"/>
  <c r="C35" i="22"/>
  <c r="A36" i="22"/>
  <c r="F36" i="22" s="1"/>
  <c r="B36" i="22"/>
  <c r="C36" i="22"/>
  <c r="A37" i="22"/>
  <c r="F37" i="22" s="1"/>
  <c r="B37" i="22"/>
  <c r="C37" i="22"/>
  <c r="A38" i="22"/>
  <c r="F38" i="22" s="1"/>
  <c r="B38" i="22"/>
  <c r="C38" i="22"/>
  <c r="A39" i="22"/>
  <c r="F39" i="22" s="1"/>
  <c r="B39" i="22"/>
  <c r="C39" i="22"/>
  <c r="A41" i="22"/>
  <c r="F41" i="22" s="1"/>
  <c r="B41" i="22"/>
  <c r="C41" i="22"/>
  <c r="A42" i="22"/>
  <c r="F42" i="22" s="1"/>
  <c r="B42" i="22"/>
  <c r="C42" i="22"/>
  <c r="A43" i="22"/>
  <c r="F43" i="22" s="1"/>
  <c r="B43" i="22"/>
  <c r="C43" i="22"/>
  <c r="A44" i="22"/>
  <c r="F44" i="22" s="1"/>
  <c r="B44" i="22"/>
  <c r="C44" i="22"/>
  <c r="A45" i="22"/>
  <c r="F45" i="22" s="1"/>
  <c r="B45" i="22"/>
  <c r="C45" i="22"/>
  <c r="A46" i="22"/>
  <c r="B46" i="22"/>
  <c r="C46" i="22"/>
  <c r="A47" i="22"/>
  <c r="F47" i="22" s="1"/>
  <c r="B47" i="22"/>
  <c r="C47" i="22"/>
  <c r="A48" i="22"/>
  <c r="F48" i="22" s="1"/>
  <c r="B48" i="22"/>
  <c r="C48" i="22"/>
  <c r="A49" i="22"/>
  <c r="F49" i="22" s="1"/>
  <c r="B49" i="22"/>
  <c r="C49" i="22"/>
  <c r="A50" i="22"/>
  <c r="F50" i="22" s="1"/>
  <c r="B50" i="22"/>
  <c r="C50" i="22"/>
  <c r="A51" i="22"/>
  <c r="F51" i="22" s="1"/>
  <c r="B51" i="22"/>
  <c r="C51" i="22"/>
  <c r="A52" i="22"/>
  <c r="F52" i="22" s="1"/>
  <c r="B52" i="22"/>
  <c r="C52" i="22"/>
  <c r="A53" i="22"/>
  <c r="B53" i="22"/>
  <c r="C53" i="22"/>
  <c r="A54" i="22"/>
  <c r="F54" i="22" s="1"/>
  <c r="B54" i="22"/>
  <c r="C54" i="22"/>
  <c r="A55" i="22"/>
  <c r="F55" i="22" s="1"/>
  <c r="B55" i="22"/>
  <c r="C55" i="22"/>
  <c r="A56" i="22"/>
  <c r="F56" i="22" s="1"/>
  <c r="B56" i="22"/>
  <c r="C56" i="22"/>
  <c r="A57" i="22"/>
  <c r="F57" i="22" s="1"/>
  <c r="B57" i="22"/>
  <c r="C57" i="22"/>
  <c r="A58" i="22"/>
  <c r="F58" i="22" s="1"/>
  <c r="B58" i="22"/>
  <c r="C58" i="22"/>
  <c r="A40" i="22"/>
  <c r="F40" i="22" s="1"/>
  <c r="B40" i="22"/>
  <c r="C40" i="22"/>
  <c r="A59" i="22"/>
  <c r="F59" i="22" s="1"/>
  <c r="B59" i="22"/>
  <c r="C59" i="22"/>
  <c r="A60" i="22"/>
  <c r="B60" i="22"/>
  <c r="C60" i="22"/>
  <c r="A61" i="22"/>
  <c r="B61" i="22"/>
  <c r="C61" i="22"/>
  <c r="A62" i="22"/>
  <c r="F62" i="22" s="1"/>
  <c r="B62" i="22"/>
  <c r="C62" i="22"/>
  <c r="A63" i="22"/>
  <c r="F63" i="22" s="1"/>
  <c r="B63" i="22"/>
  <c r="C63" i="22"/>
  <c r="A64" i="22"/>
  <c r="B64" i="22"/>
  <c r="C64" i="22"/>
  <c r="A65" i="22"/>
  <c r="B65" i="22"/>
  <c r="C65" i="22"/>
  <c r="A66" i="22"/>
  <c r="F66" i="22" s="1"/>
  <c r="B66" i="22"/>
  <c r="C66" i="22"/>
  <c r="A67" i="22"/>
  <c r="F67" i="22" s="1"/>
  <c r="B67" i="22"/>
  <c r="C67" i="22"/>
  <c r="A68" i="22"/>
  <c r="F68" i="22" s="1"/>
  <c r="B68" i="22"/>
  <c r="C68" i="22"/>
  <c r="A69" i="22"/>
  <c r="B69" i="22"/>
  <c r="C69" i="22"/>
  <c r="A70" i="22"/>
  <c r="F70" i="22" s="1"/>
  <c r="B70" i="22"/>
  <c r="C70" i="22"/>
  <c r="A71" i="22"/>
  <c r="B71" i="22"/>
  <c r="C71" i="22"/>
  <c r="A72" i="22"/>
  <c r="F72" i="22" s="1"/>
  <c r="B72" i="22"/>
  <c r="C72" i="22"/>
  <c r="A73" i="22"/>
  <c r="B73" i="22"/>
  <c r="C73" i="22"/>
  <c r="A74" i="22"/>
  <c r="B74" i="22"/>
  <c r="C74" i="22"/>
  <c r="A75" i="22"/>
  <c r="F75" i="22" s="1"/>
  <c r="B75" i="22"/>
  <c r="C75" i="22"/>
  <c r="A76" i="22"/>
  <c r="F76" i="22" s="1"/>
  <c r="B76" i="22"/>
  <c r="C76" i="22"/>
  <c r="A77" i="22"/>
  <c r="B77" i="22"/>
  <c r="C77" i="22"/>
  <c r="A78" i="22"/>
  <c r="F78" i="22" s="1"/>
  <c r="B78" i="22"/>
  <c r="C78" i="22"/>
  <c r="A79" i="22"/>
  <c r="F79" i="22" s="1"/>
  <c r="B79" i="22"/>
  <c r="C79" i="22"/>
  <c r="A80" i="22"/>
  <c r="F80" i="22" s="1"/>
  <c r="B80" i="22"/>
  <c r="C80" i="22"/>
  <c r="A81" i="22"/>
  <c r="F81" i="22" s="1"/>
  <c r="B81" i="22"/>
  <c r="C81" i="22"/>
  <c r="A82" i="22"/>
  <c r="F82" i="22" s="1"/>
  <c r="B82" i="22"/>
  <c r="C82" i="22"/>
  <c r="A83" i="22"/>
  <c r="F83" i="22" s="1"/>
  <c r="B83" i="22"/>
  <c r="C83" i="22"/>
  <c r="A84" i="22"/>
  <c r="B84" i="22"/>
  <c r="C84" i="22"/>
  <c r="A85" i="22"/>
  <c r="B85" i="22"/>
  <c r="C85" i="22"/>
  <c r="A86" i="22"/>
  <c r="F86" i="22" s="1"/>
  <c r="B86" i="22"/>
  <c r="C86" i="22"/>
  <c r="A87" i="22"/>
  <c r="B87" i="22"/>
  <c r="C87" i="22"/>
  <c r="A88" i="22"/>
  <c r="F88" i="22" s="1"/>
  <c r="B88" i="22"/>
  <c r="C88" i="22"/>
  <c r="A89" i="22"/>
  <c r="F89" i="22" s="1"/>
  <c r="B89" i="22"/>
  <c r="C89" i="22"/>
  <c r="A90" i="22"/>
  <c r="F90" i="22" s="1"/>
  <c r="B90" i="22"/>
  <c r="C90" i="22"/>
  <c r="A91" i="22"/>
  <c r="B91" i="22"/>
  <c r="C91" i="22"/>
  <c r="A92" i="22"/>
  <c r="F92" i="22" s="1"/>
  <c r="B92" i="22"/>
  <c r="C92" i="22"/>
  <c r="C4" i="22"/>
  <c r="B4" i="22"/>
  <c r="A4" i="22"/>
  <c r="AB62" i="57" l="1"/>
  <c r="AA62" i="57"/>
  <c r="AB47" i="69"/>
  <c r="AC47" i="69" s="1"/>
  <c r="AD47" i="69" s="1"/>
  <c r="AG47" i="69"/>
  <c r="L50" i="69"/>
  <c r="O50" i="69"/>
  <c r="AO49" i="69"/>
  <c r="P49" i="69"/>
  <c r="U4" i="22"/>
  <c r="S4" i="22"/>
  <c r="X63" i="57"/>
  <c r="AF62" i="57"/>
  <c r="AB63" i="53"/>
  <c r="AA63" i="53"/>
  <c r="AF63" i="53"/>
  <c r="AE64" i="53"/>
  <c r="AC64" i="53"/>
  <c r="AC64" i="57"/>
  <c r="AE64" i="57"/>
  <c r="R64" i="57"/>
  <c r="R64" i="53"/>
  <c r="X64" i="53" s="1"/>
  <c r="E71" i="22"/>
  <c r="S71" i="22"/>
  <c r="E56" i="22"/>
  <c r="S56" i="22"/>
  <c r="S48" i="22"/>
  <c r="E48" i="22"/>
  <c r="S39" i="22"/>
  <c r="E39" i="22"/>
  <c r="E31" i="22"/>
  <c r="S31" i="22"/>
  <c r="E23" i="22"/>
  <c r="S23" i="22"/>
  <c r="E15" i="22"/>
  <c r="S15" i="22"/>
  <c r="S8" i="22"/>
  <c r="E8" i="22"/>
  <c r="S95" i="22"/>
  <c r="E95" i="22"/>
  <c r="S88" i="22"/>
  <c r="E88" i="22"/>
  <c r="E90" i="22"/>
  <c r="S90" i="22"/>
  <c r="S82" i="22"/>
  <c r="E82" i="22"/>
  <c r="E4" i="22"/>
  <c r="S87" i="22"/>
  <c r="E87" i="22"/>
  <c r="S63" i="22"/>
  <c r="E63" i="22"/>
  <c r="E92" i="22"/>
  <c r="S92" i="22"/>
  <c r="E84" i="22"/>
  <c r="S84" i="22"/>
  <c r="S76" i="22"/>
  <c r="E76" i="22"/>
  <c r="S68" i="22"/>
  <c r="E68" i="22"/>
  <c r="E60" i="22"/>
  <c r="S60" i="22"/>
  <c r="S53" i="22"/>
  <c r="E53" i="22"/>
  <c r="S45" i="22"/>
  <c r="E45" i="22"/>
  <c r="S36" i="22"/>
  <c r="E36" i="22"/>
  <c r="S28" i="22"/>
  <c r="E28" i="22"/>
  <c r="S20" i="22"/>
  <c r="E20" i="22"/>
  <c r="S12" i="22"/>
  <c r="E12" i="22"/>
  <c r="S5" i="22"/>
  <c r="E5" i="22"/>
  <c r="E79" i="22"/>
  <c r="S79" i="22"/>
  <c r="S89" i="22"/>
  <c r="E89" i="22"/>
  <c r="E81" i="22"/>
  <c r="S81" i="22"/>
  <c r="S73" i="22"/>
  <c r="E73" i="22"/>
  <c r="E65" i="22"/>
  <c r="S65" i="22"/>
  <c r="E58" i="22"/>
  <c r="S58" i="22"/>
  <c r="S50" i="22"/>
  <c r="E50" i="22"/>
  <c r="S42" i="22"/>
  <c r="E42" i="22"/>
  <c r="S33" i="22"/>
  <c r="E33" i="22"/>
  <c r="S25" i="22"/>
  <c r="E25" i="22"/>
  <c r="E17" i="22"/>
  <c r="S17" i="22"/>
  <c r="S9" i="22"/>
  <c r="E9" i="22"/>
  <c r="S97" i="22"/>
  <c r="E97" i="22"/>
  <c r="E86" i="22"/>
  <c r="S86" i="22"/>
  <c r="E78" i="22"/>
  <c r="S78" i="22"/>
  <c r="E70" i="22"/>
  <c r="S70" i="22"/>
  <c r="E62" i="22"/>
  <c r="S62" i="22"/>
  <c r="E55" i="22"/>
  <c r="S55" i="22"/>
  <c r="S47" i="22"/>
  <c r="E47" i="22"/>
  <c r="S38" i="22"/>
  <c r="E38" i="22"/>
  <c r="E30" i="22"/>
  <c r="S30" i="22"/>
  <c r="E22" i="22"/>
  <c r="S22" i="22"/>
  <c r="E14" i="22"/>
  <c r="S14" i="22"/>
  <c r="E7" i="22"/>
  <c r="S7" i="22"/>
  <c r="S94" i="22"/>
  <c r="E94" i="22"/>
  <c r="AW97" i="22" s="1"/>
  <c r="E91" i="22"/>
  <c r="S91" i="22"/>
  <c r="E83" i="22"/>
  <c r="S83" i="22"/>
  <c r="E75" i="22"/>
  <c r="S75" i="22"/>
  <c r="S67" i="22"/>
  <c r="E67" i="22"/>
  <c r="S59" i="22"/>
  <c r="E59" i="22"/>
  <c r="E52" i="22"/>
  <c r="S52" i="22"/>
  <c r="S44" i="22"/>
  <c r="E44" i="22"/>
  <c r="S35" i="22"/>
  <c r="E35" i="22"/>
  <c r="E27" i="22"/>
  <c r="S27" i="22"/>
  <c r="S19" i="22"/>
  <c r="E19" i="22"/>
  <c r="S11" i="22"/>
  <c r="E11" i="22"/>
  <c r="S99" i="22"/>
  <c r="E99" i="22"/>
  <c r="AW19" i="22" s="1"/>
  <c r="S80" i="22"/>
  <c r="E80" i="22"/>
  <c r="E72" i="22"/>
  <c r="S72" i="22"/>
  <c r="E64" i="22"/>
  <c r="S64" i="22"/>
  <c r="E57" i="22"/>
  <c r="S57" i="22"/>
  <c r="E49" i="22"/>
  <c r="S49" i="22"/>
  <c r="S41" i="22"/>
  <c r="E41" i="22"/>
  <c r="S32" i="22"/>
  <c r="E32" i="22"/>
  <c r="E24" i="22"/>
  <c r="S24" i="22"/>
  <c r="E16" i="22"/>
  <c r="S16" i="22"/>
  <c r="E96" i="22"/>
  <c r="S96" i="22"/>
  <c r="E85" i="22"/>
  <c r="S85" i="22"/>
  <c r="E77" i="22"/>
  <c r="S77" i="22"/>
  <c r="E69" i="22"/>
  <c r="S69" i="22"/>
  <c r="E61" i="22"/>
  <c r="AW146" i="22" s="1"/>
  <c r="S61" i="22"/>
  <c r="S54" i="22"/>
  <c r="E54" i="22"/>
  <c r="S46" i="22"/>
  <c r="E46" i="22"/>
  <c r="S37" i="22"/>
  <c r="E37" i="22"/>
  <c r="S29" i="22"/>
  <c r="E29" i="22"/>
  <c r="S21" i="22"/>
  <c r="E21" i="22"/>
  <c r="S13" i="22"/>
  <c r="E13" i="22"/>
  <c r="S6" i="22"/>
  <c r="E6" i="22"/>
  <c r="E93" i="22"/>
  <c r="AW96" i="22" s="1"/>
  <c r="S93" i="22"/>
  <c r="S74" i="22"/>
  <c r="E74" i="22"/>
  <c r="S66" i="22"/>
  <c r="E66" i="22"/>
  <c r="S40" i="22"/>
  <c r="E40" i="22"/>
  <c r="S51" i="22"/>
  <c r="E51" i="22"/>
  <c r="S43" i="22"/>
  <c r="E43" i="22"/>
  <c r="E34" i="22"/>
  <c r="S34" i="22"/>
  <c r="S26" i="22"/>
  <c r="E26" i="22"/>
  <c r="S18" i="22"/>
  <c r="E18" i="22"/>
  <c r="E10" i="22"/>
  <c r="S10" i="22"/>
  <c r="E98" i="22"/>
  <c r="S98" i="22"/>
  <c r="AW69" i="22"/>
  <c r="AW68" i="22"/>
  <c r="AW64" i="22"/>
  <c r="AW60" i="22"/>
  <c r="AW67" i="22"/>
  <c r="AW63" i="22"/>
  <c r="AW70" i="22"/>
  <c r="AW66" i="22"/>
  <c r="AW62" i="22"/>
  <c r="AW65" i="22"/>
  <c r="AW61" i="22"/>
  <c r="BG24" i="22"/>
  <c r="AW24" i="22"/>
  <c r="D16" i="22"/>
  <c r="P87" i="11"/>
  <c r="Q87" i="11" s="1"/>
  <c r="U29" i="22"/>
  <c r="U13" i="22"/>
  <c r="U22" i="22"/>
  <c r="U15" i="22"/>
  <c r="U8" i="22"/>
  <c r="U20" i="22"/>
  <c r="U19" i="22"/>
  <c r="AW100" i="22"/>
  <c r="AX48" i="69"/>
  <c r="AG65" i="57"/>
  <c r="L65" i="57"/>
  <c r="AJ64" i="57"/>
  <c r="AP64" i="57"/>
  <c r="AG64" i="53"/>
  <c r="Q64" i="53"/>
  <c r="AH64" i="53"/>
  <c r="AT64" i="53"/>
  <c r="N65" i="57"/>
  <c r="I65" i="53"/>
  <c r="N65" i="53"/>
  <c r="AH48" i="69"/>
  <c r="AD64" i="57"/>
  <c r="AD64" i="53"/>
  <c r="AK64" i="52" a="1"/>
  <c r="AK64" i="52" s="1"/>
  <c r="B66" i="53" s="1"/>
  <c r="O66" i="53" s="1"/>
  <c r="J65" i="53"/>
  <c r="E65" i="53"/>
  <c r="H65" i="53"/>
  <c r="M65" i="53"/>
  <c r="G65" i="53"/>
  <c r="P65" i="53"/>
  <c r="D65" i="53"/>
  <c r="C65" i="53"/>
  <c r="K65" i="53"/>
  <c r="L65" i="53"/>
  <c r="F65" i="53"/>
  <c r="Q64" i="57"/>
  <c r="T64" i="57" s="1"/>
  <c r="G65" i="57"/>
  <c r="C65" i="57"/>
  <c r="M65" i="57" s="1"/>
  <c r="K65" i="57"/>
  <c r="I65" i="57"/>
  <c r="H65" i="57"/>
  <c r="E65" i="57"/>
  <c r="D65" i="57"/>
  <c r="P65" i="57"/>
  <c r="F65" i="57"/>
  <c r="J65" i="57"/>
  <c r="AW135" i="22"/>
  <c r="AW99" i="22"/>
  <c r="AW98" i="22"/>
  <c r="AK16" i="22"/>
  <c r="C51" i="36" s="1"/>
  <c r="AK32" i="22"/>
  <c r="C70" i="36" s="1"/>
  <c r="AK64" i="55" a="1"/>
  <c r="AK64" i="55" s="1"/>
  <c r="B66" i="57" s="1"/>
  <c r="O66" i="57" s="1"/>
  <c r="D49" i="69"/>
  <c r="E49" i="69" s="1"/>
  <c r="F49" i="69" s="1"/>
  <c r="G49" i="69" s="1"/>
  <c r="H49" i="69" s="1"/>
  <c r="I49" i="69" s="1"/>
  <c r="J49" i="69" s="1"/>
  <c r="K49" i="69" s="1"/>
  <c r="M49" i="69" s="1"/>
  <c r="N49" i="69"/>
  <c r="AF49" i="69" s="1"/>
  <c r="C50" i="69"/>
  <c r="AN50" i="67" a="1"/>
  <c r="AN50" i="67" s="1"/>
  <c r="B51" i="69"/>
  <c r="AE48" i="69"/>
  <c r="Q48" i="69"/>
  <c r="R48" i="69"/>
  <c r="S48" i="69" s="1"/>
  <c r="Y48" i="69" s="1"/>
  <c r="U48" i="69"/>
  <c r="V94" i="22"/>
  <c r="U94" i="22"/>
  <c r="V48" i="22"/>
  <c r="U48" i="22"/>
  <c r="U78" i="22"/>
  <c r="V78" i="22"/>
  <c r="U58" i="22"/>
  <c r="V58" i="22"/>
  <c r="U42" i="22"/>
  <c r="V42" i="22"/>
  <c r="AK29" i="22"/>
  <c r="C67" i="36" s="1"/>
  <c r="AK31" i="22"/>
  <c r="C69" i="36" s="1"/>
  <c r="AK28" i="22"/>
  <c r="C66" i="36" s="1"/>
  <c r="AK30" i="22"/>
  <c r="C68" i="36" s="1"/>
  <c r="V21" i="22"/>
  <c r="U21" i="22"/>
  <c r="U6" i="22"/>
  <c r="U85" i="22"/>
  <c r="U65" i="22"/>
  <c r="U34" i="22"/>
  <c r="G98" i="22"/>
  <c r="V98" i="22"/>
  <c r="U98" i="22"/>
  <c r="V90" i="22"/>
  <c r="U90" i="22"/>
  <c r="V82" i="22"/>
  <c r="U82" i="22"/>
  <c r="V75" i="22"/>
  <c r="U75" i="22"/>
  <c r="V70" i="22"/>
  <c r="U70" i="22"/>
  <c r="V62" i="22"/>
  <c r="U62" i="22"/>
  <c r="V55" i="22"/>
  <c r="U55" i="22"/>
  <c r="U87" i="22"/>
  <c r="V87" i="22"/>
  <c r="U79" i="22"/>
  <c r="V79" i="22"/>
  <c r="U67" i="22"/>
  <c r="V67" i="22"/>
  <c r="U59" i="22"/>
  <c r="U52" i="22"/>
  <c r="V52" i="22"/>
  <c r="V36" i="22"/>
  <c r="U36" i="22"/>
  <c r="V5" i="22"/>
  <c r="U5" i="22"/>
  <c r="V45" i="22"/>
  <c r="U45" i="22"/>
  <c r="V26" i="22"/>
  <c r="U26" i="22"/>
  <c r="U18" i="22"/>
  <c r="U10" i="22"/>
  <c r="V47" i="22"/>
  <c r="U47" i="22"/>
  <c r="V39" i="22"/>
  <c r="U39" i="22"/>
  <c r="U31" i="22"/>
  <c r="V23" i="22"/>
  <c r="U23" i="22"/>
  <c r="V95" i="22"/>
  <c r="U95" i="22"/>
  <c r="U93" i="22"/>
  <c r="V93" i="22"/>
  <c r="U92" i="22"/>
  <c r="V92" i="22"/>
  <c r="U84" i="22"/>
  <c r="V84" i="22"/>
  <c r="U77" i="22"/>
  <c r="V77" i="22"/>
  <c r="U71" i="22"/>
  <c r="V71" i="22"/>
  <c r="U64" i="22"/>
  <c r="V64" i="22"/>
  <c r="U57" i="22"/>
  <c r="V57" i="22"/>
  <c r="U49" i="22"/>
  <c r="V49" i="22"/>
  <c r="U41" i="22"/>
  <c r="V41" i="22"/>
  <c r="U33" i="22"/>
  <c r="U25" i="22"/>
  <c r="V25" i="22"/>
  <c r="U17" i="22"/>
  <c r="U9" i="22"/>
  <c r="K97" i="22"/>
  <c r="V97" i="22"/>
  <c r="U97" i="22"/>
  <c r="V91" i="22"/>
  <c r="U91" i="22"/>
  <c r="V83" i="22"/>
  <c r="U83" i="22"/>
  <c r="V76" i="22"/>
  <c r="U76" i="22"/>
  <c r="V63" i="22"/>
  <c r="U63" i="22"/>
  <c r="U24" i="22"/>
  <c r="V24" i="22"/>
  <c r="U16" i="22"/>
  <c r="V16" i="22"/>
  <c r="V88" i="22"/>
  <c r="U88" i="22"/>
  <c r="V74" i="22"/>
  <c r="U74" i="22"/>
  <c r="V60" i="22"/>
  <c r="U60" i="22"/>
  <c r="U37" i="22"/>
  <c r="V73" i="22"/>
  <c r="U73" i="22"/>
  <c r="U44" i="22"/>
  <c r="V44" i="22"/>
  <c r="U28" i="22"/>
  <c r="U12" i="22"/>
  <c r="V12" i="22"/>
  <c r="V89" i="22"/>
  <c r="U89" i="22"/>
  <c r="U81" i="22"/>
  <c r="V81" i="22"/>
  <c r="U69" i="22"/>
  <c r="U61" i="22"/>
  <c r="V54" i="22"/>
  <c r="U54" i="22"/>
  <c r="U46" i="22"/>
  <c r="V46" i="22"/>
  <c r="V38" i="22"/>
  <c r="U38" i="22"/>
  <c r="U30" i="22"/>
  <c r="V30" i="22"/>
  <c r="U14" i="22"/>
  <c r="V14" i="22"/>
  <c r="U7" i="22"/>
  <c r="V56" i="22"/>
  <c r="U56" i="22"/>
  <c r="U32" i="22"/>
  <c r="U96" i="22"/>
  <c r="V96" i="22"/>
  <c r="V80" i="22"/>
  <c r="U80" i="22"/>
  <c r="U68" i="22"/>
  <c r="V53" i="22"/>
  <c r="U53" i="22"/>
  <c r="U50" i="22"/>
  <c r="V50" i="22"/>
  <c r="V86" i="22"/>
  <c r="U86" i="22"/>
  <c r="V72" i="22"/>
  <c r="U72" i="22"/>
  <c r="U66" i="22"/>
  <c r="V40" i="22"/>
  <c r="U40" i="22"/>
  <c r="V51" i="22"/>
  <c r="U51" i="22"/>
  <c r="V43" i="22"/>
  <c r="U43" i="22"/>
  <c r="U35" i="22"/>
  <c r="V27" i="22"/>
  <c r="U27" i="22"/>
  <c r="V11" i="22"/>
  <c r="U11" i="22"/>
  <c r="K99" i="22"/>
  <c r="U99" i="22"/>
  <c r="V99" i="22"/>
  <c r="AW21" i="22"/>
  <c r="BG21" i="22"/>
  <c r="BG23" i="22"/>
  <c r="BG22" i="22"/>
  <c r="AW143" i="22"/>
  <c r="AW142" i="22"/>
  <c r="AW23" i="22"/>
  <c r="AW144" i="22"/>
  <c r="AW140" i="22"/>
  <c r="AW22" i="22"/>
  <c r="AW136" i="22"/>
  <c r="AW141" i="22"/>
  <c r="AW139" i="22"/>
  <c r="AW137" i="22"/>
  <c r="AW138" i="22"/>
  <c r="AW20" i="22"/>
  <c r="AK12" i="22"/>
  <c r="AK13" i="22"/>
  <c r="AK14" i="22"/>
  <c r="AK15" i="22"/>
  <c r="K96" i="22"/>
  <c r="G95" i="22"/>
  <c r="W94" i="22"/>
  <c r="K94" i="22"/>
  <c r="G93" i="22"/>
  <c r="G99" i="22"/>
  <c r="W98" i="22"/>
  <c r="K98" i="22"/>
  <c r="G97" i="22"/>
  <c r="W96" i="22"/>
  <c r="W99" i="22"/>
  <c r="G96" i="22"/>
  <c r="W95" i="22"/>
  <c r="K95" i="22"/>
  <c r="G94" i="22"/>
  <c r="W93" i="22"/>
  <c r="K93" i="22"/>
  <c r="W97"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3" i="28" s="1"/>
  <c r="Q32" i="29"/>
  <c r="E34" i="28" s="1"/>
  <c r="Q33" i="29"/>
  <c r="E35" i="28" s="1"/>
  <c r="Q34" i="29"/>
  <c r="E36" i="28" s="1"/>
  <c r="Q35" i="29"/>
  <c r="E37" i="28" s="1"/>
  <c r="Q36" i="29"/>
  <c r="E38" i="28" s="1"/>
  <c r="Q37" i="29"/>
  <c r="E39" i="28" s="1"/>
  <c r="Q38" i="29"/>
  <c r="E52" i="28" s="1"/>
  <c r="Q40" i="29"/>
  <c r="E54" i="28" s="1"/>
  <c r="Q41" i="29"/>
  <c r="E55" i="28" s="1"/>
  <c r="Q42" i="29"/>
  <c r="E56" i="28" s="1"/>
  <c r="Q43" i="29"/>
  <c r="E57" i="28" s="1"/>
  <c r="Q44" i="29"/>
  <c r="E58" i="28" s="1"/>
  <c r="Q45" i="29"/>
  <c r="E60" i="28" s="1"/>
  <c r="Q46" i="29"/>
  <c r="E59" i="28" s="1"/>
  <c r="Q47" i="29"/>
  <c r="E61" i="28" s="1"/>
  <c r="Q48" i="29"/>
  <c r="E62" i="28" s="1"/>
  <c r="Q49" i="29"/>
  <c r="E71" i="28" s="1"/>
  <c r="Q50" i="29"/>
  <c r="E72" i="28" s="1"/>
  <c r="Q51" i="29"/>
  <c r="E73" i="28" s="1"/>
  <c r="Q52" i="29"/>
  <c r="E78" i="28" s="1"/>
  <c r="Q53" i="29"/>
  <c r="E74" i="28" s="1"/>
  <c r="Q54" i="29"/>
  <c r="E75" i="28" s="1"/>
  <c r="Q55" i="29"/>
  <c r="E76" i="28" s="1"/>
  <c r="Q56" i="29"/>
  <c r="E77" i="28" s="1"/>
  <c r="Q57" i="29"/>
  <c r="E80" i="28" s="1"/>
  <c r="Q39" i="29"/>
  <c r="E53" i="28" s="1"/>
  <c r="Q58" i="29"/>
  <c r="E81" i="28" s="1"/>
  <c r="Q59" i="29"/>
  <c r="E82" i="28" s="1"/>
  <c r="Q60" i="29"/>
  <c r="E83" i="28" s="1"/>
  <c r="Q61" i="29"/>
  <c r="E84" i="28" s="1"/>
  <c r="Q62" i="29"/>
  <c r="E85" i="28" s="1"/>
  <c r="Q63" i="29"/>
  <c r="E86" i="28" s="1"/>
  <c r="Q64" i="29"/>
  <c r="E87" i="28" s="1"/>
  <c r="Q65" i="29"/>
  <c r="E88" i="28" s="1"/>
  <c r="Q66" i="29"/>
  <c r="E89" i="28" s="1"/>
  <c r="Q67" i="29"/>
  <c r="E90" i="28" s="1"/>
  <c r="Q68" i="29"/>
  <c r="E91" i="28" s="1"/>
  <c r="Q69" i="29"/>
  <c r="E92" i="28" s="1"/>
  <c r="Q70" i="29"/>
  <c r="E93" i="28" s="1"/>
  <c r="Q71" i="29"/>
  <c r="E94" i="28" s="1"/>
  <c r="Q72" i="29"/>
  <c r="E95" i="28" s="1"/>
  <c r="Q73" i="29"/>
  <c r="E96" i="28" s="1"/>
  <c r="Q74" i="29"/>
  <c r="E97" i="28" s="1"/>
  <c r="Q75" i="29"/>
  <c r="E98" i="28" s="1"/>
  <c r="Q76" i="29"/>
  <c r="E79" i="28" s="1"/>
  <c r="Q77" i="29"/>
  <c r="E99" i="28" s="1"/>
  <c r="Q78" i="29"/>
  <c r="E100" i="28" s="1"/>
  <c r="Q79" i="29"/>
  <c r="E101" i="28" s="1"/>
  <c r="Q80" i="29"/>
  <c r="E102" i="28" s="1"/>
  <c r="Q81" i="29"/>
  <c r="E103" i="28" s="1"/>
  <c r="Q82" i="29"/>
  <c r="E104" i="28" s="1"/>
  <c r="Q83" i="29"/>
  <c r="E105" i="28" s="1"/>
  <c r="Q84" i="29"/>
  <c r="E106" i="28" s="1"/>
  <c r="Q85" i="29"/>
  <c r="E107" i="28" s="1"/>
  <c r="Q86" i="29"/>
  <c r="E108" i="28" s="1"/>
  <c r="Q87" i="29"/>
  <c r="E109" i="28" s="1"/>
  <c r="Q88" i="29"/>
  <c r="E110" i="28" s="1"/>
  <c r="Q89" i="29"/>
  <c r="E111" i="28" s="1"/>
  <c r="Q90" i="29"/>
  <c r="E112" i="28" s="1"/>
  <c r="Q91" i="29"/>
  <c r="E113" i="28" s="1"/>
  <c r="Q92" i="29"/>
  <c r="E114" i="28" s="1"/>
  <c r="Q93" i="29"/>
  <c r="E115" i="28" s="1"/>
  <c r="Q94" i="29"/>
  <c r="E116" i="28" s="1"/>
  <c r="Q95" i="29"/>
  <c r="E117" i="28" s="1"/>
  <c r="Q96" i="29"/>
  <c r="E118" i="28" s="1"/>
  <c r="Q97" i="29"/>
  <c r="E119" i="28" s="1"/>
  <c r="Q98" i="29"/>
  <c r="E120"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3" i="28" s="1"/>
  <c r="O32" i="29"/>
  <c r="C34" i="28" s="1"/>
  <c r="O33" i="29"/>
  <c r="C35" i="28" s="1"/>
  <c r="O34" i="29"/>
  <c r="C36" i="28" s="1"/>
  <c r="O35" i="29"/>
  <c r="C37" i="28" s="1"/>
  <c r="O36" i="29"/>
  <c r="C38" i="28" s="1"/>
  <c r="O37" i="29"/>
  <c r="C39" i="28" s="1"/>
  <c r="O38" i="29"/>
  <c r="C52" i="28" s="1"/>
  <c r="O40" i="29"/>
  <c r="C54" i="28" s="1"/>
  <c r="O41" i="29"/>
  <c r="C55" i="28" s="1"/>
  <c r="O42" i="29"/>
  <c r="C56" i="28" s="1"/>
  <c r="O43" i="29"/>
  <c r="C57" i="28" s="1"/>
  <c r="O44" i="29"/>
  <c r="C58" i="28" s="1"/>
  <c r="O45" i="29"/>
  <c r="C60" i="28" s="1"/>
  <c r="O46" i="29"/>
  <c r="C59" i="28" s="1"/>
  <c r="O47" i="29"/>
  <c r="C61" i="28" s="1"/>
  <c r="O48" i="29"/>
  <c r="C62" i="28" s="1"/>
  <c r="O49" i="29"/>
  <c r="C71" i="28" s="1"/>
  <c r="O50" i="29"/>
  <c r="C72" i="28" s="1"/>
  <c r="O51" i="29"/>
  <c r="C73" i="28" s="1"/>
  <c r="O52" i="29"/>
  <c r="C78" i="28" s="1"/>
  <c r="O53" i="29"/>
  <c r="C74" i="28" s="1"/>
  <c r="O54" i="29"/>
  <c r="C75" i="28" s="1"/>
  <c r="O55" i="29"/>
  <c r="C76" i="28" s="1"/>
  <c r="O56" i="29"/>
  <c r="C77" i="28" s="1"/>
  <c r="O57" i="29"/>
  <c r="C80" i="28" s="1"/>
  <c r="O39" i="29"/>
  <c r="C53" i="28" s="1"/>
  <c r="O58" i="29"/>
  <c r="C81" i="28" s="1"/>
  <c r="O59" i="29"/>
  <c r="C82" i="28" s="1"/>
  <c r="O60" i="29"/>
  <c r="C83" i="28" s="1"/>
  <c r="O61" i="29"/>
  <c r="C84" i="28" s="1"/>
  <c r="O62" i="29"/>
  <c r="C85" i="28" s="1"/>
  <c r="O63" i="29"/>
  <c r="C86" i="28" s="1"/>
  <c r="O64" i="29"/>
  <c r="C87" i="28" s="1"/>
  <c r="O65" i="29"/>
  <c r="C88" i="28" s="1"/>
  <c r="O66" i="29"/>
  <c r="C89" i="28" s="1"/>
  <c r="O67" i="29"/>
  <c r="C90" i="28" s="1"/>
  <c r="O68" i="29"/>
  <c r="C91" i="28" s="1"/>
  <c r="O69" i="29"/>
  <c r="C92" i="28" s="1"/>
  <c r="O70" i="29"/>
  <c r="C93" i="28" s="1"/>
  <c r="O71" i="29"/>
  <c r="C94" i="28" s="1"/>
  <c r="O72" i="29"/>
  <c r="C95" i="28" s="1"/>
  <c r="O73" i="29"/>
  <c r="C96" i="28" s="1"/>
  <c r="O74" i="29"/>
  <c r="C97" i="28" s="1"/>
  <c r="O75" i="29"/>
  <c r="C98" i="28" s="1"/>
  <c r="O76" i="29"/>
  <c r="C79" i="28" s="1"/>
  <c r="O77" i="29"/>
  <c r="C99" i="28" s="1"/>
  <c r="O78" i="29"/>
  <c r="C100" i="28" s="1"/>
  <c r="O79" i="29"/>
  <c r="C101" i="28" s="1"/>
  <c r="O80" i="29"/>
  <c r="C102" i="28" s="1"/>
  <c r="O81" i="29"/>
  <c r="C103" i="28" s="1"/>
  <c r="O82" i="29"/>
  <c r="C104" i="28" s="1"/>
  <c r="O83" i="29"/>
  <c r="C105" i="28" s="1"/>
  <c r="O84" i="29"/>
  <c r="C106" i="28" s="1"/>
  <c r="O85" i="29"/>
  <c r="C107" i="28" s="1"/>
  <c r="O86" i="29"/>
  <c r="C108" i="28" s="1"/>
  <c r="O87" i="29"/>
  <c r="C109" i="28" s="1"/>
  <c r="O88" i="29"/>
  <c r="C110" i="28" s="1"/>
  <c r="O89" i="29"/>
  <c r="C111" i="28" s="1"/>
  <c r="O90" i="29"/>
  <c r="C112" i="28" s="1"/>
  <c r="O91" i="29"/>
  <c r="C113" i="28" s="1"/>
  <c r="O92" i="29"/>
  <c r="C114" i="28" s="1"/>
  <c r="O93" i="29"/>
  <c r="C115" i="28" s="1"/>
  <c r="O94" i="29"/>
  <c r="C116" i="28" s="1"/>
  <c r="O95" i="29"/>
  <c r="C117" i="28" s="1"/>
  <c r="O96" i="29"/>
  <c r="C118" i="28" s="1"/>
  <c r="O97" i="29"/>
  <c r="C119" i="28" s="1"/>
  <c r="O98" i="29"/>
  <c r="C120"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3" i="33"/>
  <c r="C34" i="33"/>
  <c r="C35" i="33"/>
  <c r="C36" i="33"/>
  <c r="C37" i="33"/>
  <c r="C38" i="33"/>
  <c r="C39" i="33"/>
  <c r="C41" i="33"/>
  <c r="C42" i="33"/>
  <c r="C43" i="33"/>
  <c r="C44" i="33"/>
  <c r="C45" i="33"/>
  <c r="C46" i="33"/>
  <c r="C47" i="33"/>
  <c r="C48" i="33"/>
  <c r="C49" i="33"/>
  <c r="C50" i="33"/>
  <c r="C51" i="33"/>
  <c r="C52" i="33"/>
  <c r="C53" i="33"/>
  <c r="C54" i="33"/>
  <c r="C55" i="33"/>
  <c r="C56" i="33"/>
  <c r="C57" i="33"/>
  <c r="C58" i="33"/>
  <c r="C59" i="33"/>
  <c r="C60" i="33"/>
  <c r="C61" i="33"/>
  <c r="C62" i="33"/>
  <c r="C63" i="33"/>
  <c r="C64" i="33"/>
  <c r="C65" i="33"/>
  <c r="C66" i="33"/>
  <c r="C67" i="33"/>
  <c r="C68" i="33"/>
  <c r="C69" i="33"/>
  <c r="C70" i="33"/>
  <c r="C72" i="33"/>
  <c r="C73" i="33"/>
  <c r="C74" i="33"/>
  <c r="C75" i="33"/>
  <c r="C76" i="33"/>
  <c r="C77" i="33"/>
  <c r="C78" i="33"/>
  <c r="C79" i="33"/>
  <c r="C80" i="33"/>
  <c r="C81" i="33"/>
  <c r="C82" i="33"/>
  <c r="C83" i="33"/>
  <c r="C84" i="33"/>
  <c r="C85" i="33"/>
  <c r="C86" i="33"/>
  <c r="C87" i="33"/>
  <c r="C88" i="33"/>
  <c r="C89" i="33"/>
  <c r="C90" i="33"/>
  <c r="C91" i="33"/>
  <c r="C92" i="33"/>
  <c r="C93" i="33"/>
  <c r="C94" i="33"/>
  <c r="C95" i="33"/>
  <c r="C96" i="33"/>
  <c r="C97" i="33"/>
  <c r="C98" i="33"/>
  <c r="C99" i="33"/>
  <c r="C100" i="33"/>
  <c r="C5" i="33"/>
  <c r="F95" i="20"/>
  <c r="F96" i="20"/>
  <c r="F97" i="20"/>
  <c r="F98" i="20"/>
  <c r="F99"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4" i="20"/>
  <c r="O11" i="71" s="1"/>
  <c r="L40" i="29"/>
  <c r="M40" i="29"/>
  <c r="L41" i="29"/>
  <c r="M41" i="29"/>
  <c r="L42" i="29"/>
  <c r="M42" i="29"/>
  <c r="L43" i="29"/>
  <c r="M43" i="29"/>
  <c r="L44" i="29"/>
  <c r="M44" i="29"/>
  <c r="L45" i="29"/>
  <c r="M45" i="29"/>
  <c r="L36" i="29"/>
  <c r="M36" i="29"/>
  <c r="AB63" i="57" l="1"/>
  <c r="AA63" i="57"/>
  <c r="AB48" i="69"/>
  <c r="AC48" i="69" s="1"/>
  <c r="AD48" i="69" s="1"/>
  <c r="AG48" i="69"/>
  <c r="L51" i="69"/>
  <c r="O51" i="69"/>
  <c r="AO50" i="69"/>
  <c r="P50" i="69"/>
  <c r="AF63" i="57"/>
  <c r="O187" i="71"/>
  <c r="S187" i="71" s="1"/>
  <c r="T187" i="71" s="1"/>
  <c r="O91" i="71"/>
  <c r="S91" i="71" s="1"/>
  <c r="T91" i="71" s="1"/>
  <c r="O75" i="71"/>
  <c r="S75" i="71" s="1"/>
  <c r="T75" i="71" s="1"/>
  <c r="O59" i="71"/>
  <c r="S59" i="71" s="1"/>
  <c r="T59" i="71" s="1"/>
  <c r="O43" i="71"/>
  <c r="S43" i="71" s="1"/>
  <c r="T43" i="71" s="1"/>
  <c r="O27" i="71"/>
  <c r="O147" i="71"/>
  <c r="S147" i="71" s="1"/>
  <c r="T147" i="71" s="1"/>
  <c r="O114" i="71"/>
  <c r="S114" i="71" s="1"/>
  <c r="T114" i="71" s="1"/>
  <c r="O154" i="71"/>
  <c r="S154" i="71" s="1"/>
  <c r="T154" i="71" s="1"/>
  <c r="O106" i="71"/>
  <c r="S106" i="71" s="1"/>
  <c r="T106" i="71" s="1"/>
  <c r="O252" i="71"/>
  <c r="S252" i="71" s="1"/>
  <c r="T252" i="71" s="1"/>
  <c r="O220" i="71"/>
  <c r="S220" i="71" s="1"/>
  <c r="T220" i="71" s="1"/>
  <c r="O188" i="71"/>
  <c r="S188" i="71" s="1"/>
  <c r="T188" i="71" s="1"/>
  <c r="O88" i="71"/>
  <c r="S88" i="71" s="1"/>
  <c r="T88" i="71" s="1"/>
  <c r="O72" i="71"/>
  <c r="S72" i="71" s="1"/>
  <c r="T72" i="71" s="1"/>
  <c r="O56" i="71"/>
  <c r="S56" i="71" s="1"/>
  <c r="T56" i="71" s="1"/>
  <c r="O40" i="71"/>
  <c r="S40" i="71" s="1"/>
  <c r="T40" i="71" s="1"/>
  <c r="O24" i="71"/>
  <c r="S24" i="71" s="1"/>
  <c r="T24" i="71" s="1"/>
  <c r="O248" i="71"/>
  <c r="S248" i="71" s="1"/>
  <c r="T248" i="71" s="1"/>
  <c r="O216" i="71"/>
  <c r="S216" i="71" s="1"/>
  <c r="T216" i="71" s="1"/>
  <c r="O184" i="71"/>
  <c r="S184" i="71" s="1"/>
  <c r="T184" i="71" s="1"/>
  <c r="O152" i="71"/>
  <c r="S152" i="71" s="1"/>
  <c r="T152" i="71" s="1"/>
  <c r="O104" i="71"/>
  <c r="S104" i="71" s="1"/>
  <c r="T104" i="71" s="1"/>
  <c r="O251" i="71"/>
  <c r="S251" i="71" s="1"/>
  <c r="T251" i="71" s="1"/>
  <c r="O219" i="71"/>
  <c r="S219" i="71" s="1"/>
  <c r="T219" i="71" s="1"/>
  <c r="O159" i="71"/>
  <c r="S159" i="71" s="1"/>
  <c r="T159" i="71" s="1"/>
  <c r="O127" i="71"/>
  <c r="S127" i="71" s="1"/>
  <c r="T127" i="71" s="1"/>
  <c r="O111" i="71"/>
  <c r="S111" i="71" s="1"/>
  <c r="T111" i="71" s="1"/>
  <c r="O247" i="71"/>
  <c r="S247" i="71" s="1"/>
  <c r="T247" i="71" s="1"/>
  <c r="O215" i="71"/>
  <c r="S215" i="71" s="1"/>
  <c r="T215" i="71" s="1"/>
  <c r="O183" i="71"/>
  <c r="S183" i="71" s="1"/>
  <c r="T183" i="71" s="1"/>
  <c r="O13" i="71"/>
  <c r="S13" i="71" s="1"/>
  <c r="T13" i="71" s="1"/>
  <c r="O230" i="71"/>
  <c r="S230" i="71" s="1"/>
  <c r="T230" i="71" s="1"/>
  <c r="O198" i="71"/>
  <c r="S198" i="71" s="1"/>
  <c r="T198" i="71" s="1"/>
  <c r="O166" i="71"/>
  <c r="S166" i="71" s="1"/>
  <c r="T166" i="71" s="1"/>
  <c r="O134" i="71"/>
  <c r="S134" i="71" s="1"/>
  <c r="T134" i="71" s="1"/>
  <c r="O94" i="71"/>
  <c r="S94" i="71" s="1"/>
  <c r="T94" i="71" s="1"/>
  <c r="O78" i="71"/>
  <c r="S78" i="71" s="1"/>
  <c r="T78" i="71" s="1"/>
  <c r="O62" i="71"/>
  <c r="S62" i="71" s="1"/>
  <c r="T62" i="71" s="1"/>
  <c r="O46" i="71"/>
  <c r="S46" i="71" s="1"/>
  <c r="T46" i="71" s="1"/>
  <c r="O30" i="71"/>
  <c r="S30" i="71" s="1"/>
  <c r="T30" i="71" s="1"/>
  <c r="O250" i="71"/>
  <c r="S250" i="71" s="1"/>
  <c r="T250" i="71" s="1"/>
  <c r="O218" i="71"/>
  <c r="S218" i="71" s="1"/>
  <c r="T218" i="71" s="1"/>
  <c r="O190" i="71"/>
  <c r="S190" i="71" s="1"/>
  <c r="T190" i="71" s="1"/>
  <c r="O233" i="71"/>
  <c r="S233" i="71" s="1"/>
  <c r="T233" i="71" s="1"/>
  <c r="O201" i="71"/>
  <c r="S201" i="71" s="1"/>
  <c r="T201" i="71" s="1"/>
  <c r="O169" i="71"/>
  <c r="S169" i="71" s="1"/>
  <c r="T169" i="71" s="1"/>
  <c r="O141" i="71"/>
  <c r="S141" i="71" s="1"/>
  <c r="T141" i="71" s="1"/>
  <c r="O117" i="71"/>
  <c r="S117" i="71" s="1"/>
  <c r="T117" i="71" s="1"/>
  <c r="O97" i="71"/>
  <c r="S97" i="71" s="1"/>
  <c r="T97" i="71" s="1"/>
  <c r="O81" i="71"/>
  <c r="S81" i="71" s="1"/>
  <c r="T81" i="71" s="1"/>
  <c r="O65" i="71"/>
  <c r="S65" i="71" s="1"/>
  <c r="T65" i="71" s="1"/>
  <c r="O49" i="71"/>
  <c r="S49" i="71" s="1"/>
  <c r="T49" i="71" s="1"/>
  <c r="O33" i="71"/>
  <c r="S33" i="71" s="1"/>
  <c r="T33" i="71" s="1"/>
  <c r="O17" i="71"/>
  <c r="S17" i="71" s="1"/>
  <c r="T17" i="71" s="1"/>
  <c r="O229" i="71"/>
  <c r="S229" i="71" s="1"/>
  <c r="T229" i="71" s="1"/>
  <c r="O197" i="71"/>
  <c r="S197" i="71" s="1"/>
  <c r="T197" i="71" s="1"/>
  <c r="O161" i="71"/>
  <c r="S161" i="71" s="1"/>
  <c r="T161" i="71" s="1"/>
  <c r="O129" i="71"/>
  <c r="S129" i="71" s="1"/>
  <c r="T129" i="71" s="1"/>
  <c r="O148" i="71"/>
  <c r="S148" i="71" s="1"/>
  <c r="T148" i="71" s="1"/>
  <c r="O100" i="71"/>
  <c r="S100" i="71" s="1"/>
  <c r="T100" i="71" s="1"/>
  <c r="O84" i="71"/>
  <c r="S84" i="71" s="1"/>
  <c r="T84" i="71" s="1"/>
  <c r="O68" i="71"/>
  <c r="S68" i="71" s="1"/>
  <c r="T68" i="71" s="1"/>
  <c r="O52" i="71"/>
  <c r="S52" i="71" s="1"/>
  <c r="T52" i="71" s="1"/>
  <c r="O36" i="71"/>
  <c r="S36" i="71" s="1"/>
  <c r="T36" i="71" s="1"/>
  <c r="O20" i="71"/>
  <c r="S20" i="71" s="1"/>
  <c r="T20" i="71" s="1"/>
  <c r="O12" i="71"/>
  <c r="O179" i="71"/>
  <c r="S179" i="71" s="1"/>
  <c r="T179" i="71" s="1"/>
  <c r="O123" i="71"/>
  <c r="S123" i="71" s="1"/>
  <c r="T123" i="71" s="1"/>
  <c r="O139" i="71"/>
  <c r="S139" i="71" s="1"/>
  <c r="T139" i="71" s="1"/>
  <c r="O90" i="71"/>
  <c r="S90" i="71" s="1"/>
  <c r="T90" i="71" s="1"/>
  <c r="O74" i="71"/>
  <c r="S74" i="71" s="1"/>
  <c r="T74" i="71" s="1"/>
  <c r="O58" i="71"/>
  <c r="S58" i="71" s="1"/>
  <c r="T58" i="71" s="1"/>
  <c r="O42" i="71"/>
  <c r="S42" i="71" s="1"/>
  <c r="T42" i="71" s="1"/>
  <c r="O26" i="71"/>
  <c r="S26" i="71" s="1"/>
  <c r="T26" i="71" s="1"/>
  <c r="O146" i="71"/>
  <c r="S146" i="71" s="1"/>
  <c r="T146" i="71" s="1"/>
  <c r="O244" i="71"/>
  <c r="S244" i="71" s="1"/>
  <c r="T244" i="71" s="1"/>
  <c r="O212" i="71"/>
  <c r="S212" i="71" s="1"/>
  <c r="T212" i="71" s="1"/>
  <c r="O180" i="71"/>
  <c r="S180" i="71" s="1"/>
  <c r="T180" i="71" s="1"/>
  <c r="O120" i="71"/>
  <c r="S120" i="71" s="1"/>
  <c r="T120" i="71" s="1"/>
  <c r="O240" i="71"/>
  <c r="S240" i="71" s="1"/>
  <c r="T240" i="71" s="1"/>
  <c r="O208" i="71"/>
  <c r="S208" i="71" s="1"/>
  <c r="T208" i="71" s="1"/>
  <c r="O176" i="71"/>
  <c r="S176" i="71" s="1"/>
  <c r="T176" i="71" s="1"/>
  <c r="O144" i="71"/>
  <c r="S144" i="71" s="1"/>
  <c r="T144" i="71" s="1"/>
  <c r="O243" i="71"/>
  <c r="S243" i="71" s="1"/>
  <c r="T243" i="71" s="1"/>
  <c r="O211" i="71"/>
  <c r="S211" i="71" s="1"/>
  <c r="T211" i="71" s="1"/>
  <c r="O151" i="71"/>
  <c r="S151" i="71" s="1"/>
  <c r="T151" i="71" s="1"/>
  <c r="O103" i="71"/>
  <c r="S103" i="71" s="1"/>
  <c r="T103" i="71" s="1"/>
  <c r="O87" i="71"/>
  <c r="S87" i="71" s="1"/>
  <c r="T87" i="71" s="1"/>
  <c r="O71" i="71"/>
  <c r="S71" i="71" s="1"/>
  <c r="T71" i="71" s="1"/>
  <c r="O55" i="71"/>
  <c r="S55" i="71" s="1"/>
  <c r="T55" i="71" s="1"/>
  <c r="O39" i="71"/>
  <c r="S39" i="71" s="1"/>
  <c r="T39" i="71" s="1"/>
  <c r="O23" i="71"/>
  <c r="S23" i="71" s="1"/>
  <c r="T23" i="71" s="1"/>
  <c r="O239" i="71"/>
  <c r="S239" i="71" s="1"/>
  <c r="T239" i="71" s="1"/>
  <c r="O207" i="71"/>
  <c r="S207" i="71" s="1"/>
  <c r="T207" i="71" s="1"/>
  <c r="O175" i="71"/>
  <c r="S175" i="71" s="1"/>
  <c r="T175" i="71" s="1"/>
  <c r="O254" i="71"/>
  <c r="S254" i="71" s="1"/>
  <c r="T254" i="71" s="1"/>
  <c r="O222" i="71"/>
  <c r="S222" i="71" s="1"/>
  <c r="T222" i="71" s="1"/>
  <c r="O186" i="71"/>
  <c r="S186" i="71" s="1"/>
  <c r="T186" i="71" s="1"/>
  <c r="O158" i="71"/>
  <c r="S158" i="71" s="1"/>
  <c r="T158" i="71" s="1"/>
  <c r="O126" i="71"/>
  <c r="S126" i="71" s="1"/>
  <c r="T126" i="71" s="1"/>
  <c r="O110" i="71"/>
  <c r="S110" i="71" s="1"/>
  <c r="T110" i="71" s="1"/>
  <c r="O242" i="71"/>
  <c r="S242" i="71" s="1"/>
  <c r="T242" i="71" s="1"/>
  <c r="O210" i="71"/>
  <c r="S210" i="71" s="1"/>
  <c r="T210" i="71" s="1"/>
  <c r="O182" i="71"/>
  <c r="S182" i="71" s="1"/>
  <c r="T182" i="71" s="1"/>
  <c r="O14" i="71"/>
  <c r="S14" i="71" s="1"/>
  <c r="T14" i="71" s="1"/>
  <c r="O225" i="71"/>
  <c r="S225" i="71" s="1"/>
  <c r="T225" i="71" s="1"/>
  <c r="O193" i="71"/>
  <c r="S193" i="71" s="1"/>
  <c r="T193" i="71" s="1"/>
  <c r="O165" i="71"/>
  <c r="S165" i="71" s="1"/>
  <c r="T165" i="71" s="1"/>
  <c r="O133" i="71"/>
  <c r="S133" i="71" s="1"/>
  <c r="T133" i="71" s="1"/>
  <c r="O113" i="71"/>
  <c r="S113" i="71" s="1"/>
  <c r="T113" i="71" s="1"/>
  <c r="O93" i="71"/>
  <c r="S93" i="71" s="1"/>
  <c r="T93" i="71" s="1"/>
  <c r="O77" i="71"/>
  <c r="S77" i="71" s="1"/>
  <c r="T77" i="71" s="1"/>
  <c r="O61" i="71"/>
  <c r="S61" i="71" s="1"/>
  <c r="T61" i="71" s="1"/>
  <c r="O45" i="71"/>
  <c r="S45" i="71" s="1"/>
  <c r="T45" i="71" s="1"/>
  <c r="O29" i="71"/>
  <c r="S29" i="71" s="1"/>
  <c r="T29" i="71" s="1"/>
  <c r="O253" i="71"/>
  <c r="S253" i="71" s="1"/>
  <c r="T253" i="71" s="1"/>
  <c r="O221" i="71"/>
  <c r="S221" i="71" s="1"/>
  <c r="T221" i="71" s="1"/>
  <c r="O189" i="71"/>
  <c r="S189" i="71" s="1"/>
  <c r="T189" i="71" s="1"/>
  <c r="O153" i="71"/>
  <c r="S153" i="71" s="1"/>
  <c r="T153" i="71" s="1"/>
  <c r="O105" i="71"/>
  <c r="S105" i="71" s="1"/>
  <c r="T105" i="71" s="1"/>
  <c r="O172" i="71"/>
  <c r="S172" i="71" s="1"/>
  <c r="T172" i="71" s="1"/>
  <c r="O140" i="71"/>
  <c r="S140" i="71" s="1"/>
  <c r="T140" i="71" s="1"/>
  <c r="O116" i="71"/>
  <c r="S116" i="71" s="1"/>
  <c r="T116" i="71" s="1"/>
  <c r="O203" i="71"/>
  <c r="S203" i="71" s="1"/>
  <c r="T203" i="71" s="1"/>
  <c r="O171" i="71"/>
  <c r="S171" i="71" s="1"/>
  <c r="T171" i="71" s="1"/>
  <c r="O99" i="71"/>
  <c r="S99" i="71" s="1"/>
  <c r="T99" i="71" s="1"/>
  <c r="O83" i="71"/>
  <c r="S83" i="71" s="1"/>
  <c r="T83" i="71" s="1"/>
  <c r="O67" i="71"/>
  <c r="S67" i="71" s="1"/>
  <c r="T67" i="71" s="1"/>
  <c r="O51" i="71"/>
  <c r="S51" i="71" s="1"/>
  <c r="T51" i="71" s="1"/>
  <c r="O35" i="71"/>
  <c r="S35" i="71" s="1"/>
  <c r="T35" i="71" s="1"/>
  <c r="O19" i="71"/>
  <c r="S19" i="71" s="1"/>
  <c r="T19" i="71" s="1"/>
  <c r="O163" i="71"/>
  <c r="S163" i="71" s="1"/>
  <c r="T163" i="71" s="1"/>
  <c r="O131" i="71"/>
  <c r="S131" i="71" s="1"/>
  <c r="T131" i="71" s="1"/>
  <c r="O122" i="71"/>
  <c r="S122" i="71" s="1"/>
  <c r="T122" i="71" s="1"/>
  <c r="O138" i="71"/>
  <c r="S138" i="71" s="1"/>
  <c r="T138" i="71" s="1"/>
  <c r="O236" i="71"/>
  <c r="S236" i="71" s="1"/>
  <c r="T236" i="71" s="1"/>
  <c r="O204" i="71"/>
  <c r="S204" i="71" s="1"/>
  <c r="T204" i="71" s="1"/>
  <c r="O96" i="71"/>
  <c r="S96" i="71" s="1"/>
  <c r="T96" i="71" s="1"/>
  <c r="O80" i="71"/>
  <c r="S80" i="71" s="1"/>
  <c r="T80" i="71" s="1"/>
  <c r="O64" i="71"/>
  <c r="S64" i="71" s="1"/>
  <c r="T64" i="71" s="1"/>
  <c r="O48" i="71"/>
  <c r="S48" i="71" s="1"/>
  <c r="T48" i="71" s="1"/>
  <c r="O32" i="71"/>
  <c r="S32" i="71" s="1"/>
  <c r="T32" i="71" s="1"/>
  <c r="O16" i="71"/>
  <c r="S16" i="71" s="1"/>
  <c r="T16" i="71" s="1"/>
  <c r="O232" i="71"/>
  <c r="S232" i="71" s="1"/>
  <c r="T232" i="71" s="1"/>
  <c r="O200" i="71"/>
  <c r="S200" i="71" s="1"/>
  <c r="T200" i="71" s="1"/>
  <c r="O168" i="71"/>
  <c r="S168" i="71" s="1"/>
  <c r="T168" i="71" s="1"/>
  <c r="O136" i="71"/>
  <c r="S136" i="71" s="1"/>
  <c r="T136" i="71" s="1"/>
  <c r="O235" i="71"/>
  <c r="S235" i="71" s="1"/>
  <c r="T235" i="71" s="1"/>
  <c r="O143" i="71"/>
  <c r="S143" i="71" s="1"/>
  <c r="T143" i="71" s="1"/>
  <c r="O119" i="71"/>
  <c r="S119" i="71" s="1"/>
  <c r="T119" i="71" s="1"/>
  <c r="O231" i="71"/>
  <c r="S231" i="71" s="1"/>
  <c r="T231" i="71" s="1"/>
  <c r="O199" i="71"/>
  <c r="S199" i="71" s="1"/>
  <c r="T199" i="71" s="1"/>
  <c r="O246" i="71"/>
  <c r="S246" i="71" s="1"/>
  <c r="T246" i="71" s="1"/>
  <c r="O214" i="71"/>
  <c r="S214" i="71" s="1"/>
  <c r="T214" i="71" s="1"/>
  <c r="O178" i="71"/>
  <c r="S178" i="71" s="1"/>
  <c r="T178" i="71" s="1"/>
  <c r="O150" i="71"/>
  <c r="S150" i="71" s="1"/>
  <c r="T150" i="71" s="1"/>
  <c r="O102" i="71"/>
  <c r="S102" i="71" s="1"/>
  <c r="T102" i="71" s="1"/>
  <c r="O86" i="71"/>
  <c r="S86" i="71" s="1"/>
  <c r="T86" i="71" s="1"/>
  <c r="O70" i="71"/>
  <c r="S70" i="71" s="1"/>
  <c r="T70" i="71" s="1"/>
  <c r="O54" i="71"/>
  <c r="S54" i="71" s="1"/>
  <c r="T54" i="71" s="1"/>
  <c r="O38" i="71"/>
  <c r="S38" i="71" s="1"/>
  <c r="T38" i="71" s="1"/>
  <c r="O22" i="71"/>
  <c r="S22" i="71" s="1"/>
  <c r="T22" i="71" s="1"/>
  <c r="O234" i="71"/>
  <c r="S234" i="71" s="1"/>
  <c r="T234" i="71" s="1"/>
  <c r="O202" i="71"/>
  <c r="S202" i="71" s="1"/>
  <c r="T202" i="71" s="1"/>
  <c r="O174" i="71"/>
  <c r="S174" i="71" s="1"/>
  <c r="T174" i="71" s="1"/>
  <c r="O249" i="71"/>
  <c r="S249" i="71" s="1"/>
  <c r="T249" i="71" s="1"/>
  <c r="O217" i="71"/>
  <c r="S217" i="71" s="1"/>
  <c r="T217" i="71" s="1"/>
  <c r="O185" i="71"/>
  <c r="S185" i="71" s="1"/>
  <c r="T185" i="71" s="1"/>
  <c r="O157" i="71"/>
  <c r="S157" i="71" s="1"/>
  <c r="T157" i="71" s="1"/>
  <c r="O125" i="71"/>
  <c r="S125" i="71" s="1"/>
  <c r="T125" i="71" s="1"/>
  <c r="O109" i="71"/>
  <c r="S109" i="71" s="1"/>
  <c r="T109" i="71" s="1"/>
  <c r="O89" i="71"/>
  <c r="S89" i="71" s="1"/>
  <c r="T89" i="71" s="1"/>
  <c r="O73" i="71"/>
  <c r="S73" i="71" s="1"/>
  <c r="T73" i="71" s="1"/>
  <c r="O57" i="71"/>
  <c r="S57" i="71" s="1"/>
  <c r="T57" i="71" s="1"/>
  <c r="O41" i="71"/>
  <c r="S41" i="71" s="1"/>
  <c r="T41" i="71" s="1"/>
  <c r="O25" i="71"/>
  <c r="S25" i="71" s="1"/>
  <c r="T25" i="71" s="1"/>
  <c r="O245" i="71"/>
  <c r="S245" i="71" s="1"/>
  <c r="T245" i="71" s="1"/>
  <c r="O213" i="71"/>
  <c r="S213" i="71" s="1"/>
  <c r="T213" i="71" s="1"/>
  <c r="O181" i="71"/>
  <c r="S181" i="71" s="1"/>
  <c r="T181" i="71" s="1"/>
  <c r="O145" i="71"/>
  <c r="S145" i="71" s="1"/>
  <c r="T145" i="71" s="1"/>
  <c r="O164" i="71"/>
  <c r="S164" i="71" s="1"/>
  <c r="T164" i="71" s="1"/>
  <c r="O132" i="71"/>
  <c r="S132" i="71" s="1"/>
  <c r="T132" i="71" s="1"/>
  <c r="O92" i="71"/>
  <c r="S92" i="71" s="1"/>
  <c r="T92" i="71" s="1"/>
  <c r="O76" i="71"/>
  <c r="S76" i="71" s="1"/>
  <c r="T76" i="71" s="1"/>
  <c r="O60" i="71"/>
  <c r="S60" i="71" s="1"/>
  <c r="T60" i="71" s="1"/>
  <c r="O44" i="71"/>
  <c r="S44" i="71" s="1"/>
  <c r="T44" i="71" s="1"/>
  <c r="O28" i="71"/>
  <c r="S28" i="71" s="1"/>
  <c r="T28" i="71" s="1"/>
  <c r="O195" i="71"/>
  <c r="S195" i="71" s="1"/>
  <c r="T195" i="71" s="1"/>
  <c r="O115" i="71"/>
  <c r="S115" i="71" s="1"/>
  <c r="T115" i="71" s="1"/>
  <c r="O155" i="71"/>
  <c r="S155" i="71" s="1"/>
  <c r="T155" i="71" s="1"/>
  <c r="O107" i="71"/>
  <c r="S107" i="71" s="1"/>
  <c r="T107" i="71" s="1"/>
  <c r="O170" i="71"/>
  <c r="S170" i="71" s="1"/>
  <c r="T170" i="71" s="1"/>
  <c r="O98" i="71"/>
  <c r="S98" i="71" s="1"/>
  <c r="T98" i="71" s="1"/>
  <c r="O82" i="71"/>
  <c r="S82" i="71" s="1"/>
  <c r="T82" i="71" s="1"/>
  <c r="O66" i="71"/>
  <c r="S66" i="71" s="1"/>
  <c r="T66" i="71" s="1"/>
  <c r="O50" i="71"/>
  <c r="S50" i="71" s="1"/>
  <c r="T50" i="71" s="1"/>
  <c r="O34" i="71"/>
  <c r="S34" i="71" s="1"/>
  <c r="T34" i="71" s="1"/>
  <c r="O18" i="71"/>
  <c r="S18" i="71" s="1"/>
  <c r="T18" i="71" s="1"/>
  <c r="O162" i="71"/>
  <c r="S162" i="71" s="1"/>
  <c r="T162" i="71" s="1"/>
  <c r="O130" i="71"/>
  <c r="S130" i="71" s="1"/>
  <c r="T130" i="71" s="1"/>
  <c r="O15" i="71"/>
  <c r="S15" i="71" s="1"/>
  <c r="T15" i="71" s="1"/>
  <c r="O228" i="71"/>
  <c r="S228" i="71" s="1"/>
  <c r="T228" i="71" s="1"/>
  <c r="O196" i="71"/>
  <c r="S196" i="71" s="1"/>
  <c r="T196" i="71" s="1"/>
  <c r="O112" i="71"/>
  <c r="S112" i="71" s="1"/>
  <c r="T112" i="71" s="1"/>
  <c r="O256" i="71"/>
  <c r="S256" i="71" s="1"/>
  <c r="T256" i="71" s="1"/>
  <c r="O224" i="71"/>
  <c r="S224" i="71" s="1"/>
  <c r="T224" i="71" s="1"/>
  <c r="O192" i="71"/>
  <c r="S192" i="71" s="1"/>
  <c r="T192" i="71" s="1"/>
  <c r="O160" i="71"/>
  <c r="S160" i="71" s="1"/>
  <c r="T160" i="71" s="1"/>
  <c r="O128" i="71"/>
  <c r="S128" i="71" s="1"/>
  <c r="T128" i="71" s="1"/>
  <c r="O227" i="71"/>
  <c r="S227" i="71" s="1"/>
  <c r="T227" i="71" s="1"/>
  <c r="O167" i="71"/>
  <c r="S167" i="71" s="1"/>
  <c r="T167" i="71" s="1"/>
  <c r="O135" i="71"/>
  <c r="S135" i="71" s="1"/>
  <c r="T135" i="71" s="1"/>
  <c r="O95" i="71"/>
  <c r="S95" i="71" s="1"/>
  <c r="T95" i="71" s="1"/>
  <c r="O79" i="71"/>
  <c r="S79" i="71" s="1"/>
  <c r="T79" i="71" s="1"/>
  <c r="O63" i="71"/>
  <c r="S63" i="71" s="1"/>
  <c r="T63" i="71" s="1"/>
  <c r="O47" i="71"/>
  <c r="S47" i="71" s="1"/>
  <c r="T47" i="71" s="1"/>
  <c r="O31" i="71"/>
  <c r="S31" i="71" s="1"/>
  <c r="T31" i="71" s="1"/>
  <c r="O255" i="71"/>
  <c r="S255" i="71" s="1"/>
  <c r="T255" i="71" s="1"/>
  <c r="O223" i="71"/>
  <c r="S223" i="71" s="1"/>
  <c r="T223" i="71" s="1"/>
  <c r="O191" i="71"/>
  <c r="S191" i="71" s="1"/>
  <c r="T191" i="71" s="1"/>
  <c r="O238" i="71"/>
  <c r="S238" i="71" s="1"/>
  <c r="T238" i="71" s="1"/>
  <c r="O206" i="71"/>
  <c r="S206" i="71" s="1"/>
  <c r="T206" i="71" s="1"/>
  <c r="O142" i="71"/>
  <c r="S142" i="71" s="1"/>
  <c r="T142" i="71" s="1"/>
  <c r="O118" i="71"/>
  <c r="S118" i="71" s="1"/>
  <c r="T118" i="71" s="1"/>
  <c r="O226" i="71"/>
  <c r="S226" i="71" s="1"/>
  <c r="T226" i="71" s="1"/>
  <c r="O194" i="71"/>
  <c r="S194" i="71" s="1"/>
  <c r="T194" i="71" s="1"/>
  <c r="O241" i="71"/>
  <c r="S241" i="71" s="1"/>
  <c r="T241" i="71" s="1"/>
  <c r="O209" i="71"/>
  <c r="S209" i="71" s="1"/>
  <c r="T209" i="71" s="1"/>
  <c r="O177" i="71"/>
  <c r="S177" i="71" s="1"/>
  <c r="T177" i="71" s="1"/>
  <c r="O149" i="71"/>
  <c r="S149" i="71" s="1"/>
  <c r="T149" i="71" s="1"/>
  <c r="O121" i="71"/>
  <c r="S121" i="71" s="1"/>
  <c r="T121" i="71" s="1"/>
  <c r="O101" i="71"/>
  <c r="S101" i="71" s="1"/>
  <c r="T101" i="71" s="1"/>
  <c r="O85" i="71"/>
  <c r="S85" i="71" s="1"/>
  <c r="T85" i="71" s="1"/>
  <c r="O69" i="71"/>
  <c r="S69" i="71" s="1"/>
  <c r="T69" i="71" s="1"/>
  <c r="O53" i="71"/>
  <c r="S53" i="71" s="1"/>
  <c r="T53" i="71" s="1"/>
  <c r="O37" i="71"/>
  <c r="S37" i="71" s="1"/>
  <c r="T37" i="71" s="1"/>
  <c r="O21" i="71"/>
  <c r="S21" i="71" s="1"/>
  <c r="T21" i="71" s="1"/>
  <c r="O237" i="71"/>
  <c r="S237" i="71" s="1"/>
  <c r="T237" i="71" s="1"/>
  <c r="O205" i="71"/>
  <c r="S205" i="71" s="1"/>
  <c r="T205" i="71" s="1"/>
  <c r="O173" i="71"/>
  <c r="S173" i="71" s="1"/>
  <c r="T173" i="71" s="1"/>
  <c r="O137" i="71"/>
  <c r="S137" i="71" s="1"/>
  <c r="T137" i="71" s="1"/>
  <c r="O156" i="71"/>
  <c r="S156" i="71" s="1"/>
  <c r="T156" i="71" s="1"/>
  <c r="O124" i="71"/>
  <c r="S124" i="71" s="1"/>
  <c r="T124" i="71" s="1"/>
  <c r="O108" i="71"/>
  <c r="S108" i="71" s="1"/>
  <c r="T108" i="71" s="1"/>
  <c r="X64" i="57"/>
  <c r="AB64" i="53"/>
  <c r="AA64" i="53"/>
  <c r="AE65" i="53"/>
  <c r="AC65" i="53"/>
  <c r="AF64" i="53"/>
  <c r="AE65" i="57"/>
  <c r="AC65" i="57"/>
  <c r="R65" i="57"/>
  <c r="R65" i="53"/>
  <c r="X65" i="53" s="1"/>
  <c r="AW59" i="22"/>
  <c r="D45" i="22"/>
  <c r="P114" i="11"/>
  <c r="Q114" i="11" s="1"/>
  <c r="D41" i="22"/>
  <c r="P109" i="11"/>
  <c r="Q109" i="11" s="1"/>
  <c r="D44" i="22"/>
  <c r="P116" i="11"/>
  <c r="Q116" i="11" s="1"/>
  <c r="D37" i="22"/>
  <c r="P106" i="11"/>
  <c r="Q106" i="11" s="1"/>
  <c r="D43" i="22"/>
  <c r="P115" i="11"/>
  <c r="Q115" i="11" s="1"/>
  <c r="D46" i="22"/>
  <c r="P120" i="11"/>
  <c r="Q120" i="11" s="1"/>
  <c r="D42" i="22"/>
  <c r="P110" i="11"/>
  <c r="Q110" i="11" s="1"/>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X49" i="69"/>
  <c r="AG66" i="57"/>
  <c r="L66" i="57"/>
  <c r="AJ65" i="57"/>
  <c r="AP65" i="57"/>
  <c r="AG65" i="53"/>
  <c r="AH65" i="53"/>
  <c r="AT65" i="53"/>
  <c r="N66" i="57"/>
  <c r="P66" i="53"/>
  <c r="N66" i="53"/>
  <c r="AH49" i="69"/>
  <c r="AD65" i="57"/>
  <c r="AD65" i="53"/>
  <c r="Q65" i="53"/>
  <c r="G66" i="53"/>
  <c r="I66" i="53"/>
  <c r="AK65" i="52" a="1"/>
  <c r="AK65" i="52" s="1"/>
  <c r="B67" i="53" s="1"/>
  <c r="O67" i="53" s="1"/>
  <c r="C66" i="53"/>
  <c r="F66" i="53"/>
  <c r="H66" i="53"/>
  <c r="L66" i="53"/>
  <c r="E66" i="53"/>
  <c r="K66" i="53"/>
  <c r="J66" i="53"/>
  <c r="D66" i="53"/>
  <c r="M66" i="53"/>
  <c r="Q65" i="57"/>
  <c r="T65" i="57" s="1"/>
  <c r="X65" i="57" s="1"/>
  <c r="AA65" i="57" s="1"/>
  <c r="E66" i="57"/>
  <c r="J66" i="57"/>
  <c r="H66" i="57"/>
  <c r="D66" i="57"/>
  <c r="K66" i="57"/>
  <c r="F66" i="57"/>
  <c r="I66" i="57"/>
  <c r="P66" i="57"/>
  <c r="C66" i="57"/>
  <c r="M66" i="57" s="1"/>
  <c r="G66" i="57"/>
  <c r="C89" i="36"/>
  <c r="AK65" i="55" a="1"/>
  <c r="AK65" i="55" s="1"/>
  <c r="B67" i="57" s="1"/>
  <c r="O67" i="57" s="1"/>
  <c r="O11" i="46"/>
  <c r="C51" i="69"/>
  <c r="AN51" i="67" a="1"/>
  <c r="AN51" i="67" s="1"/>
  <c r="B52" i="69"/>
  <c r="D50" i="69"/>
  <c r="E50" i="69" s="1"/>
  <c r="F50" i="69" s="1"/>
  <c r="G50" i="69" s="1"/>
  <c r="H50" i="69" s="1"/>
  <c r="I50" i="69" s="1"/>
  <c r="J50" i="69" s="1"/>
  <c r="K50" i="69" s="1"/>
  <c r="M50" i="69" s="1"/>
  <c r="N50" i="69"/>
  <c r="AF50" i="69" s="1"/>
  <c r="Q49" i="69"/>
  <c r="U49" i="69"/>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S23" i="46" s="1"/>
  <c r="T23" i="46" s="1"/>
  <c r="O236" i="46"/>
  <c r="S236" i="46" s="1"/>
  <c r="T236" i="46" s="1"/>
  <c r="O173" i="46"/>
  <c r="S173" i="46" s="1"/>
  <c r="T173" i="46" s="1"/>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S22" i="46" s="1"/>
  <c r="T22" i="46" s="1"/>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S21" i="46" s="1"/>
  <c r="T21" i="46" s="1"/>
  <c r="O250" i="46"/>
  <c r="S250" i="46" s="1"/>
  <c r="T250" i="46" s="1"/>
  <c r="O211" i="46"/>
  <c r="S211" i="46" s="1"/>
  <c r="T211" i="46" s="1"/>
  <c r="O179" i="46"/>
  <c r="S179" i="46" s="1"/>
  <c r="T179" i="46" s="1"/>
  <c r="O147" i="46"/>
  <c r="S147" i="46" s="1"/>
  <c r="T147" i="46" s="1"/>
  <c r="O115" i="46"/>
  <c r="S115" i="46" s="1"/>
  <c r="T115" i="46" s="1"/>
  <c r="O65" i="46"/>
  <c r="S65" i="46" s="1"/>
  <c r="T65" i="46" s="1"/>
  <c r="O20" i="46"/>
  <c r="S20" i="46" s="1"/>
  <c r="T20" i="46" s="1"/>
  <c r="O226" i="46"/>
  <c r="S226" i="46" s="1"/>
  <c r="T226" i="46" s="1"/>
  <c r="O168" i="46"/>
  <c r="S168" i="46" s="1"/>
  <c r="T168" i="46" s="1"/>
  <c r="O99" i="46"/>
  <c r="S99" i="46" s="1"/>
  <c r="T99" i="46" s="1"/>
  <c r="O181" i="46"/>
  <c r="S181" i="46" s="1"/>
  <c r="T181" i="46" s="1"/>
  <c r="O154" i="46"/>
  <c r="S154" i="46" s="1"/>
  <c r="T154" i="46" s="1"/>
  <c r="O16" i="46"/>
  <c r="O210" i="46"/>
  <c r="S210" i="46" s="1"/>
  <c r="T210" i="46" s="1"/>
  <c r="O146" i="46"/>
  <c r="S146" i="46" s="1"/>
  <c r="T146" i="46" s="1"/>
  <c r="O45" i="46"/>
  <c r="S45" i="46" s="1"/>
  <c r="T45" i="46" s="1"/>
  <c r="O149" i="46"/>
  <c r="S149" i="46" s="1"/>
  <c r="T149" i="46" s="1"/>
  <c r="O17" i="46"/>
  <c r="S17" i="46" s="1"/>
  <c r="T17" i="46" s="1"/>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O242" i="46"/>
  <c r="S242" i="46" s="1"/>
  <c r="T242" i="46" s="1"/>
  <c r="O203" i="46"/>
  <c r="S203" i="46" s="1"/>
  <c r="T203" i="46" s="1"/>
  <c r="O171" i="46"/>
  <c r="S171" i="46" s="1"/>
  <c r="T171" i="46" s="1"/>
  <c r="O139" i="46"/>
  <c r="S139" i="46" s="1"/>
  <c r="T139" i="46" s="1"/>
  <c r="O107" i="46"/>
  <c r="S107" i="46" s="1"/>
  <c r="T107" i="46" s="1"/>
  <c r="O49" i="46"/>
  <c r="S49" i="46" s="1"/>
  <c r="T49" i="46" s="1"/>
  <c r="O12" i="46"/>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S25" i="46" s="1"/>
  <c r="T25" i="46" s="1"/>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S24" i="46" s="1"/>
  <c r="T24" i="46" s="1"/>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S19" i="46" s="1"/>
  <c r="T19" i="46" s="1"/>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S18" i="46" s="1"/>
  <c r="T18" i="46" s="1"/>
  <c r="O245" i="46"/>
  <c r="S245" i="46" s="1"/>
  <c r="T245" i="46" s="1"/>
  <c r="O174" i="46"/>
  <c r="S174" i="46" s="1"/>
  <c r="T174" i="46" s="1"/>
  <c r="O110" i="46"/>
  <c r="S110" i="46" s="1"/>
  <c r="T110" i="46" s="1"/>
  <c r="O15" i="46"/>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P84" i="11" s="1"/>
  <c r="Q84" i="11" s="1"/>
  <c r="M12" i="29"/>
  <c r="M13" i="29"/>
  <c r="P95" i="11" s="1"/>
  <c r="Q95" i="11" s="1"/>
  <c r="M14" i="29"/>
  <c r="M16" i="29"/>
  <c r="P88" i="11" s="1"/>
  <c r="Q88" i="11" s="1"/>
  <c r="M17" i="29"/>
  <c r="P11" i="11" s="1"/>
  <c r="W11" i="11" s="1"/>
  <c r="M18" i="29"/>
  <c r="M19" i="29"/>
  <c r="M20" i="29"/>
  <c r="M21" i="29"/>
  <c r="M22" i="29"/>
  <c r="M23" i="29"/>
  <c r="M24" i="29"/>
  <c r="M25" i="29"/>
  <c r="M26" i="29"/>
  <c r="M27" i="29"/>
  <c r="M28" i="29"/>
  <c r="M29" i="29"/>
  <c r="M30" i="29"/>
  <c r="P103" i="11" s="1"/>
  <c r="Q103" i="11" s="1"/>
  <c r="M31" i="29"/>
  <c r="M32" i="29"/>
  <c r="M33" i="29"/>
  <c r="M34" i="29"/>
  <c r="M35" i="29"/>
  <c r="M37" i="29"/>
  <c r="M38" i="29"/>
  <c r="M46" i="29"/>
  <c r="M47" i="29"/>
  <c r="M48" i="29"/>
  <c r="M49" i="29"/>
  <c r="M50" i="29"/>
  <c r="M51" i="29"/>
  <c r="M52" i="29"/>
  <c r="M53" i="29"/>
  <c r="M54" i="29"/>
  <c r="M55" i="29"/>
  <c r="M56" i="29"/>
  <c r="M57" i="29"/>
  <c r="M39" i="29"/>
  <c r="M58" i="29"/>
  <c r="M59" i="29"/>
  <c r="M60" i="29"/>
  <c r="M61" i="29"/>
  <c r="M62" i="29"/>
  <c r="M63" i="29"/>
  <c r="M64" i="29"/>
  <c r="M65" i="29"/>
  <c r="D66" i="22" s="1"/>
  <c r="M66" i="29"/>
  <c r="M67" i="29"/>
  <c r="M68" i="29"/>
  <c r="M69" i="29"/>
  <c r="M70" i="29"/>
  <c r="M71" i="29"/>
  <c r="M72" i="29"/>
  <c r="M73" i="29"/>
  <c r="M74" i="29"/>
  <c r="M75" i="29"/>
  <c r="M76" i="29"/>
  <c r="M77" i="29"/>
  <c r="M78" i="29"/>
  <c r="M79" i="29"/>
  <c r="M80" i="29"/>
  <c r="M81" i="29"/>
  <c r="P28" i="11" s="1"/>
  <c r="Q28" i="11" s="1"/>
  <c r="M82" i="29"/>
  <c r="D83" i="22" s="1"/>
  <c r="M83" i="29"/>
  <c r="M84" i="29"/>
  <c r="M85" i="29"/>
  <c r="M86" i="29"/>
  <c r="M87" i="29"/>
  <c r="D88" i="22" s="1"/>
  <c r="M88" i="29"/>
  <c r="M89" i="29"/>
  <c r="M90" i="29"/>
  <c r="M91" i="29"/>
  <c r="D92" i="22" s="1"/>
  <c r="M92" i="29"/>
  <c r="P33" i="11" s="1"/>
  <c r="Q33" i="11" s="1"/>
  <c r="M93" i="29"/>
  <c r="M94" i="29"/>
  <c r="M95" i="29"/>
  <c r="D96" i="22" s="1"/>
  <c r="M96" i="29"/>
  <c r="M97" i="29"/>
  <c r="M98" i="29"/>
  <c r="T11" i="22"/>
  <c r="T12" i="22"/>
  <c r="T76" i="22"/>
  <c r="T78" i="22"/>
  <c r="T87" i="22"/>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8" i="22"/>
  <c r="W39" i="22"/>
  <c r="W41" i="22"/>
  <c r="W42" i="22"/>
  <c r="W43" i="22"/>
  <c r="W44" i="22"/>
  <c r="W45" i="22"/>
  <c r="W46" i="22"/>
  <c r="W47" i="22"/>
  <c r="W48" i="22"/>
  <c r="W49" i="22"/>
  <c r="W50" i="22"/>
  <c r="W51" i="22"/>
  <c r="W52" i="22"/>
  <c r="W53" i="22"/>
  <c r="W54" i="22"/>
  <c r="W55" i="22"/>
  <c r="W56" i="22"/>
  <c r="W57" i="22"/>
  <c r="W58" i="22"/>
  <c r="W40" i="22"/>
  <c r="W59" i="22"/>
  <c r="W60" i="22"/>
  <c r="W61" i="22"/>
  <c r="W62" i="22"/>
  <c r="W63" i="22"/>
  <c r="W64" i="22"/>
  <c r="W65" i="22"/>
  <c r="W66" i="22"/>
  <c r="W67" i="22"/>
  <c r="W68" i="22"/>
  <c r="W69" i="22"/>
  <c r="W70" i="22"/>
  <c r="W71" i="22"/>
  <c r="W72" i="22"/>
  <c r="W73" i="22"/>
  <c r="W74" i="22"/>
  <c r="W75" i="22"/>
  <c r="W76" i="22"/>
  <c r="W77" i="22"/>
  <c r="W78" i="22"/>
  <c r="W79" i="22"/>
  <c r="W80" i="22"/>
  <c r="W81" i="22"/>
  <c r="W82" i="22"/>
  <c r="W83" i="22"/>
  <c r="W84" i="22"/>
  <c r="W85" i="22"/>
  <c r="W86" i="22"/>
  <c r="W87" i="22"/>
  <c r="W88" i="22"/>
  <c r="W89" i="22"/>
  <c r="W90" i="22"/>
  <c r="W91" i="22"/>
  <c r="W92" i="22"/>
  <c r="W4" i="22"/>
  <c r="AW78" i="22"/>
  <c r="G5" i="22"/>
  <c r="K5" i="22"/>
  <c r="AW79" i="22"/>
  <c r="G6" i="22"/>
  <c r="K6" i="22"/>
  <c r="AW80" i="22"/>
  <c r="G7" i="22"/>
  <c r="K7" i="22"/>
  <c r="G8" i="22"/>
  <c r="K8" i="22"/>
  <c r="AW115" i="22"/>
  <c r="G9" i="22"/>
  <c r="K9" i="22"/>
  <c r="AW111" i="22"/>
  <c r="G10" i="22"/>
  <c r="K10" i="22"/>
  <c r="AW112" i="22"/>
  <c r="G11" i="22"/>
  <c r="K11" i="22"/>
  <c r="AW113" i="22"/>
  <c r="G12" i="22"/>
  <c r="K12" i="22"/>
  <c r="AW114" i="22"/>
  <c r="G13" i="22"/>
  <c r="K13" i="22"/>
  <c r="AW30" i="22"/>
  <c r="G14" i="22"/>
  <c r="K14" i="22"/>
  <c r="AW117" i="22"/>
  <c r="G15" i="22"/>
  <c r="K15" i="22"/>
  <c r="AW31" i="22"/>
  <c r="G16" i="22"/>
  <c r="K16" i="22"/>
  <c r="AW32" i="22"/>
  <c r="G17" i="22"/>
  <c r="K17" i="22"/>
  <c r="G18" i="22"/>
  <c r="K18" i="22"/>
  <c r="G19" i="22"/>
  <c r="K19" i="22"/>
  <c r="AW116" i="22"/>
  <c r="G20" i="22"/>
  <c r="K20" i="22"/>
  <c r="AW81" i="22"/>
  <c r="G21" i="22"/>
  <c r="K21" i="22"/>
  <c r="AW82" i="22"/>
  <c r="G22" i="22"/>
  <c r="K22" i="22"/>
  <c r="G23" i="22"/>
  <c r="K23" i="22"/>
  <c r="AW83" i="22"/>
  <c r="G24" i="22"/>
  <c r="K24" i="22"/>
  <c r="AW34" i="22"/>
  <c r="G25" i="22"/>
  <c r="K25" i="22"/>
  <c r="G26" i="22"/>
  <c r="K26" i="22"/>
  <c r="G27" i="22"/>
  <c r="K27" i="22"/>
  <c r="AW85" i="22"/>
  <c r="G28" i="22"/>
  <c r="K28" i="22"/>
  <c r="G29" i="22"/>
  <c r="K29" i="22"/>
  <c r="G30" i="22"/>
  <c r="K30" i="22"/>
  <c r="G31" i="22"/>
  <c r="K31" i="22"/>
  <c r="G32" i="22"/>
  <c r="K32" i="22"/>
  <c r="G33" i="22"/>
  <c r="K33" i="22"/>
  <c r="G34" i="22"/>
  <c r="K34" i="22"/>
  <c r="AW118" i="22"/>
  <c r="G35" i="22"/>
  <c r="K35" i="22"/>
  <c r="G36" i="22"/>
  <c r="K36" i="22"/>
  <c r="AW145" i="22"/>
  <c r="G37" i="22"/>
  <c r="K37" i="22"/>
  <c r="G38" i="22"/>
  <c r="K38" i="22"/>
  <c r="G39" i="22"/>
  <c r="K39" i="22"/>
  <c r="G41" i="22"/>
  <c r="K41" i="22"/>
  <c r="G42" i="22"/>
  <c r="K42" i="22"/>
  <c r="G43" i="22"/>
  <c r="K43" i="22"/>
  <c r="G44" i="22"/>
  <c r="K44" i="22"/>
  <c r="G45" i="22"/>
  <c r="K45" i="22"/>
  <c r="G46" i="22"/>
  <c r="K46" i="22"/>
  <c r="AW90" i="22"/>
  <c r="G47" i="22"/>
  <c r="K47" i="22"/>
  <c r="G48" i="22"/>
  <c r="K48" i="22"/>
  <c r="G49" i="22"/>
  <c r="K49" i="22"/>
  <c r="G50" i="22"/>
  <c r="K50" i="22"/>
  <c r="G51" i="22"/>
  <c r="K51" i="22"/>
  <c r="G52" i="22"/>
  <c r="K52" i="22"/>
  <c r="G53" i="22"/>
  <c r="K53" i="22"/>
  <c r="G54" i="22"/>
  <c r="K54" i="22"/>
  <c r="G55" i="22"/>
  <c r="K55" i="22"/>
  <c r="G56" i="22"/>
  <c r="K56" i="22"/>
  <c r="G57" i="22"/>
  <c r="K57" i="22"/>
  <c r="AW122" i="22"/>
  <c r="G58" i="22"/>
  <c r="K58" i="22"/>
  <c r="G40" i="22"/>
  <c r="K40" i="22"/>
  <c r="G59" i="22"/>
  <c r="K59" i="22"/>
  <c r="AW121" i="22"/>
  <c r="G60" i="22"/>
  <c r="K60" i="22"/>
  <c r="G61" i="22"/>
  <c r="K61" i="22"/>
  <c r="G62" i="22"/>
  <c r="K62" i="22"/>
  <c r="G63" i="22"/>
  <c r="K63" i="22"/>
  <c r="G64" i="22"/>
  <c r="K64" i="22"/>
  <c r="G65" i="22"/>
  <c r="K65" i="22"/>
  <c r="G66" i="22"/>
  <c r="K66" i="22"/>
  <c r="G67" i="22"/>
  <c r="K67" i="22"/>
  <c r="G68" i="22"/>
  <c r="K68" i="22"/>
  <c r="G69" i="22"/>
  <c r="K69" i="22"/>
  <c r="G70" i="22"/>
  <c r="K70" i="22"/>
  <c r="AW55" i="22"/>
  <c r="G71" i="22"/>
  <c r="K71" i="22"/>
  <c r="AW128" i="22"/>
  <c r="G72" i="22"/>
  <c r="K72" i="22"/>
  <c r="G73" i="22"/>
  <c r="K73" i="22"/>
  <c r="AW130" i="22"/>
  <c r="G74" i="22"/>
  <c r="K74" i="22"/>
  <c r="G75" i="22"/>
  <c r="K75" i="22"/>
  <c r="AW155" i="22"/>
  <c r="G76" i="22"/>
  <c r="K76" i="22"/>
  <c r="G77" i="22"/>
  <c r="K77" i="22"/>
  <c r="G78" i="22"/>
  <c r="K78" i="22"/>
  <c r="G79" i="22"/>
  <c r="K79" i="22"/>
  <c r="AW9" i="22"/>
  <c r="K80" i="22"/>
  <c r="G81" i="22"/>
  <c r="K81" i="22"/>
  <c r="G82" i="22"/>
  <c r="K82" i="22"/>
  <c r="G83" i="22"/>
  <c r="K83" i="22"/>
  <c r="G84" i="22"/>
  <c r="K84" i="22"/>
  <c r="AW56" i="22"/>
  <c r="G85" i="22"/>
  <c r="K85" i="22"/>
  <c r="G86" i="22"/>
  <c r="K86" i="22"/>
  <c r="AW51" i="22"/>
  <c r="G87" i="22"/>
  <c r="K87" i="22"/>
  <c r="AW58" i="22"/>
  <c r="G88" i="22"/>
  <c r="K88" i="22"/>
  <c r="G89" i="22"/>
  <c r="K89" i="22"/>
  <c r="G90" i="22"/>
  <c r="K90" i="22"/>
  <c r="G91" i="22"/>
  <c r="K91" i="22"/>
  <c r="AW95" i="22"/>
  <c r="G92" i="22"/>
  <c r="K92" i="22"/>
  <c r="K4" i="22"/>
  <c r="R16" i="46" l="1"/>
  <c r="V16" i="46" s="1"/>
  <c r="W16" i="46" s="1"/>
  <c r="X16" i="46" s="1"/>
  <c r="R15" i="46"/>
  <c r="V15" i="46" s="1"/>
  <c r="W15" i="46" s="1"/>
  <c r="X15" i="46" s="1"/>
  <c r="AB64" i="57"/>
  <c r="AA64" i="57"/>
  <c r="R13" i="46"/>
  <c r="V13" i="46" s="1"/>
  <c r="W13" i="46" s="1"/>
  <c r="X13" i="46" s="1"/>
  <c r="R27" i="71"/>
  <c r="V27" i="71" s="1"/>
  <c r="W27" i="71" s="1"/>
  <c r="R12" i="71"/>
  <c r="AB49" i="69"/>
  <c r="AC49" i="69" s="1"/>
  <c r="AD49" i="69" s="1"/>
  <c r="AG49" i="69"/>
  <c r="AO51" i="69"/>
  <c r="P51" i="69"/>
  <c r="L52" i="69"/>
  <c r="O52" i="69"/>
  <c r="R14" i="46"/>
  <c r="V14" i="46" s="1"/>
  <c r="W14" i="46" s="1"/>
  <c r="X14" i="46" s="1"/>
  <c r="R12" i="46"/>
  <c r="V12" i="46" s="1"/>
  <c r="W12" i="46" s="1"/>
  <c r="X12" i="46" s="1"/>
  <c r="AF64" i="57"/>
  <c r="AF65" i="53"/>
  <c r="AE66" i="53"/>
  <c r="AC66" i="53"/>
  <c r="AB65" i="53"/>
  <c r="AA65" i="53"/>
  <c r="AB65" i="57"/>
  <c r="AF65" i="57"/>
  <c r="AE66" i="57"/>
  <c r="AC66" i="57"/>
  <c r="W210" i="46"/>
  <c r="AA247" i="71"/>
  <c r="Y79" i="46"/>
  <c r="AA226" i="71"/>
  <c r="AA156" i="71"/>
  <c r="Y143" i="46"/>
  <c r="AA249" i="71"/>
  <c r="Y232" i="46"/>
  <c r="AA43" i="71"/>
  <c r="AA31" i="71"/>
  <c r="Y235" i="46"/>
  <c r="AA250" i="71"/>
  <c r="Y48" i="46"/>
  <c r="Y91" i="46"/>
  <c r="Y164" i="46"/>
  <c r="AA185" i="71"/>
  <c r="Y205" i="46"/>
  <c r="AA39" i="71"/>
  <c r="Y124" i="46"/>
  <c r="AA203" i="71"/>
  <c r="Y227" i="46"/>
  <c r="AA165" i="71"/>
  <c r="AA146" i="71"/>
  <c r="Y193" i="46"/>
  <c r="AA215" i="71"/>
  <c r="Y194" i="46"/>
  <c r="Y216" i="46"/>
  <c r="AA58" i="71"/>
  <c r="AA65" i="71"/>
  <c r="Y209" i="46"/>
  <c r="AA120" i="71"/>
  <c r="AA100" i="71"/>
  <c r="AA51" i="71"/>
  <c r="AA228" i="71"/>
  <c r="AA173" i="71"/>
  <c r="Y160" i="46"/>
  <c r="Y197" i="46"/>
  <c r="Y150" i="46"/>
  <c r="Y153" i="46"/>
  <c r="AA175" i="71"/>
  <c r="Y69" i="46"/>
  <c r="AA93" i="71"/>
  <c r="Y190" i="46"/>
  <c r="Y186" i="46"/>
  <c r="AA81" i="71"/>
  <c r="Y118" i="46"/>
  <c r="Y196" i="46"/>
  <c r="Y57" i="46"/>
  <c r="Y96" i="46"/>
  <c r="Y207" i="46"/>
  <c r="Y103" i="46"/>
  <c r="AA198" i="71"/>
  <c r="Y141" i="46"/>
  <c r="AA134" i="71"/>
  <c r="Y231" i="46"/>
  <c r="Y111" i="46"/>
  <c r="Y37" i="46"/>
  <c r="AA117" i="71"/>
  <c r="Y41" i="46"/>
  <c r="AA160" i="71"/>
  <c r="Y165" i="46"/>
  <c r="Y224" i="46"/>
  <c r="Y155" i="46"/>
  <c r="Y156" i="46"/>
  <c r="AA29" i="71"/>
  <c r="Y225" i="46"/>
  <c r="AA162" i="71"/>
  <c r="AA119" i="71"/>
  <c r="AA75" i="71"/>
  <c r="AA244" i="71"/>
  <c r="AA211" i="71"/>
  <c r="Y68" i="46"/>
  <c r="AA246" i="71"/>
  <c r="AA148" i="71"/>
  <c r="Y243" i="46"/>
  <c r="AA208" i="71"/>
  <c r="AA133" i="71"/>
  <c r="Y154" i="46"/>
  <c r="Y65" i="46"/>
  <c r="Y63" i="46"/>
  <c r="AA73" i="71"/>
  <c r="Y88" i="46"/>
  <c r="AA109" i="71"/>
  <c r="Y182" i="46"/>
  <c r="Y185" i="46"/>
  <c r="AA71" i="71"/>
  <c r="AA67" i="71"/>
  <c r="AA204" i="71"/>
  <c r="Y51" i="46"/>
  <c r="AA235" i="71"/>
  <c r="Y152" i="46"/>
  <c r="AA212" i="71"/>
  <c r="AA140" i="71"/>
  <c r="Y83" i="46"/>
  <c r="AA131" i="71"/>
  <c r="AA218" i="71"/>
  <c r="Y201" i="46"/>
  <c r="AA222" i="71"/>
  <c r="Y244" i="46"/>
  <c r="Y174" i="46"/>
  <c r="Y75" i="46"/>
  <c r="Y145" i="46"/>
  <c r="AA158" i="71"/>
  <c r="Y134" i="46"/>
  <c r="AA44" i="71"/>
  <c r="AA155" i="71"/>
  <c r="Y187" i="46"/>
  <c r="Y188" i="46"/>
  <c r="AA210" i="71"/>
  <c r="Y46" i="46"/>
  <c r="AA178" i="71"/>
  <c r="AA107" i="71"/>
  <c r="Y49" i="46"/>
  <c r="Y47" i="46"/>
  <c r="AA53" i="71"/>
  <c r="Y84" i="46"/>
  <c r="AA99" i="71"/>
  <c r="AA201" i="71"/>
  <c r="AA123" i="71"/>
  <c r="AA49" i="71"/>
  <c r="Y115" i="46"/>
  <c r="Y116" i="46"/>
  <c r="AA183" i="71"/>
  <c r="Y61" i="46"/>
  <c r="Y109" i="46"/>
  <c r="Y214" i="46"/>
  <c r="Y217" i="46"/>
  <c r="AA150" i="71"/>
  <c r="Y97" i="46"/>
  <c r="Y132" i="46"/>
  <c r="Y202" i="46"/>
  <c r="Y161" i="46"/>
  <c r="Y56" i="46"/>
  <c r="AA190" i="71"/>
  <c r="AA88" i="71"/>
  <c r="Y142" i="46"/>
  <c r="Y80" i="46"/>
  <c r="Y208" i="46"/>
  <c r="Y125" i="46"/>
  <c r="AA48" i="71"/>
  <c r="Y223" i="46"/>
  <c r="Y105" i="46"/>
  <c r="Y98" i="46"/>
  <c r="AA40" i="71"/>
  <c r="Y64" i="46"/>
  <c r="Y198" i="46"/>
  <c r="AA237" i="71"/>
  <c r="Y77" i="46"/>
  <c r="Y220" i="46"/>
  <c r="AA152" i="71"/>
  <c r="AA116" i="71"/>
  <c r="AA240" i="71"/>
  <c r="AA127" i="71"/>
  <c r="Y238" i="46"/>
  <c r="Y107" i="46"/>
  <c r="Y108" i="46"/>
  <c r="AA144" i="71"/>
  <c r="Y100" i="46"/>
  <c r="Y70" i="46"/>
  <c r="AA248" i="71"/>
  <c r="AA168" i="71"/>
  <c r="Y149" i="46"/>
  <c r="Y181" i="46"/>
  <c r="Y147" i="46"/>
  <c r="AA202" i="71"/>
  <c r="AA170" i="71"/>
  <c r="Y173" i="46"/>
  <c r="Y253" i="46"/>
  <c r="AA101" i="71"/>
  <c r="AA37" i="71"/>
  <c r="Y157" i="46"/>
  <c r="Y42" i="46"/>
  <c r="AA86" i="71"/>
  <c r="Y106" i="46"/>
  <c r="AA221" i="71"/>
  <c r="AA195" i="71"/>
  <c r="AA42" i="71"/>
  <c r="Y221" i="46"/>
  <c r="Y213" i="46"/>
  <c r="AA125" i="71"/>
  <c r="AA245" i="71"/>
  <c r="AA113" i="71"/>
  <c r="Y131" i="46"/>
  <c r="AA41" i="71"/>
  <c r="Y183" i="46"/>
  <c r="AA46" i="71"/>
  <c r="AA243" i="71"/>
  <c r="Y256" i="46"/>
  <c r="Y44" i="46"/>
  <c r="AA161" i="71"/>
  <c r="AA102" i="71"/>
  <c r="AA35" i="71"/>
  <c r="Y78" i="46"/>
  <c r="Y117" i="46"/>
  <c r="Y133" i="46"/>
  <c r="Y139" i="46"/>
  <c r="Y140" i="46"/>
  <c r="AA236" i="71"/>
  <c r="AA188" i="71"/>
  <c r="AA59" i="71"/>
  <c r="Y86" i="46"/>
  <c r="AA106" i="71"/>
  <c r="AA207" i="71"/>
  <c r="AA47" i="71"/>
  <c r="AA187" i="71"/>
  <c r="Y179" i="46"/>
  <c r="AA62" i="71"/>
  <c r="AA60" i="71"/>
  <c r="AA200" i="71"/>
  <c r="Y215" i="46"/>
  <c r="Y236" i="46"/>
  <c r="AA89" i="71"/>
  <c r="Y58" i="46"/>
  <c r="AA214" i="71"/>
  <c r="AA129" i="71"/>
  <c r="Y222" i="46"/>
  <c r="AA167" i="71"/>
  <c r="AA172" i="71"/>
  <c r="AA121" i="71"/>
  <c r="Y177" i="46"/>
  <c r="Y226" i="46"/>
  <c r="Y121" i="46"/>
  <c r="Y218" i="46"/>
  <c r="Y163" i="46"/>
  <c r="AA85" i="71"/>
  <c r="AA61" i="71"/>
  <c r="Y191" i="46"/>
  <c r="Y89" i="46"/>
  <c r="Y82" i="46"/>
  <c r="Y119" i="46"/>
  <c r="Y237" i="46"/>
  <c r="AA132" i="71"/>
  <c r="AA33" i="71"/>
  <c r="Y137" i="46"/>
  <c r="AA157" i="71"/>
  <c r="Y50" i="46"/>
  <c r="Y195" i="46"/>
  <c r="AA230" i="71"/>
  <c r="Y127" i="46"/>
  <c r="Y55" i="46"/>
  <c r="AA145" i="71"/>
  <c r="Y241" i="46"/>
  <c r="Y247" i="46"/>
  <c r="AA141" i="71"/>
  <c r="AA115" i="71"/>
  <c r="Y60" i="46"/>
  <c r="AA216" i="71"/>
  <c r="AA130" i="71"/>
  <c r="Y87" i="46"/>
  <c r="AA91" i="71"/>
  <c r="Y94" i="46"/>
  <c r="AA128" i="71"/>
  <c r="AA238" i="71"/>
  <c r="Y239" i="46"/>
  <c r="AA45" i="71"/>
  <c r="Y171" i="46"/>
  <c r="Y172" i="46"/>
  <c r="AA52" i="71"/>
  <c r="AA54" i="71"/>
  <c r="AA253" i="71"/>
  <c r="AA192" i="71"/>
  <c r="AA147" i="71"/>
  <c r="Y102" i="46"/>
  <c r="AA138" i="71"/>
  <c r="AA256" i="71"/>
  <c r="Y45" i="46"/>
  <c r="Y99" i="46"/>
  <c r="Y211" i="46"/>
  <c r="Y212" i="46"/>
  <c r="AA137" i="71"/>
  <c r="AA103" i="71"/>
  <c r="AA55" i="71"/>
  <c r="AA234" i="71"/>
  <c r="Y85" i="46"/>
  <c r="AA25" i="71"/>
  <c r="Y74" i="46"/>
  <c r="AA66" i="71"/>
  <c r="AA179" i="71"/>
  <c r="AA122" i="71"/>
  <c r="Y249" i="46"/>
  <c r="Y122" i="46"/>
  <c r="Y81" i="46"/>
  <c r="Y242" i="46"/>
  <c r="AA56" i="71"/>
  <c r="AA70" i="71"/>
  <c r="AA92" i="71"/>
  <c r="Y176" i="46"/>
  <c r="Y228" i="46"/>
  <c r="Y230" i="46"/>
  <c r="Y114" i="46"/>
  <c r="AA108" i="71"/>
  <c r="Y192" i="46"/>
  <c r="Y158" i="46"/>
  <c r="AA94" i="71"/>
  <c r="AA143" i="71"/>
  <c r="AA220" i="71"/>
  <c r="AA83" i="71"/>
  <c r="AA149" i="71"/>
  <c r="Y43" i="46"/>
  <c r="Y126" i="46"/>
  <c r="Y233" i="46"/>
  <c r="Y178" i="46"/>
  <c r="AA34" i="71"/>
  <c r="AA232" i="71"/>
  <c r="Y128" i="46"/>
  <c r="Y169" i="46"/>
  <c r="AA186" i="71"/>
  <c r="Y101" i="46"/>
  <c r="AA30" i="71"/>
  <c r="Y76" i="46"/>
  <c r="AA78" i="71"/>
  <c r="AA182" i="71"/>
  <c r="Y129" i="46"/>
  <c r="AA217" i="71"/>
  <c r="Y229" i="46"/>
  <c r="AA166" i="71"/>
  <c r="AA151" i="71"/>
  <c r="Y67" i="46"/>
  <c r="Y203" i="46"/>
  <c r="Y204" i="46"/>
  <c r="AA114" i="71"/>
  <c r="AA97" i="71"/>
  <c r="AA50" i="71"/>
  <c r="AA227" i="71"/>
  <c r="AA251" i="71"/>
  <c r="AA193" i="71"/>
  <c r="AA164" i="71"/>
  <c r="Y146" i="46"/>
  <c r="Y168" i="46"/>
  <c r="Y250" i="46"/>
  <c r="Y248" i="46"/>
  <c r="AA213" i="71"/>
  <c r="AA154" i="71"/>
  <c r="AA96" i="71"/>
  <c r="Y175" i="46"/>
  <c r="Y159" i="46"/>
  <c r="Y73" i="46"/>
  <c r="Y71" i="46"/>
  <c r="AA77" i="71"/>
  <c r="Y90" i="46"/>
  <c r="AA110" i="71"/>
  <c r="AA225" i="71"/>
  <c r="R66" i="57"/>
  <c r="R66" i="53"/>
  <c r="X66" i="53" s="1"/>
  <c r="AW11" i="22"/>
  <c r="AW6" i="22"/>
  <c r="AW10" i="22"/>
  <c r="AW123" i="22"/>
  <c r="D85" i="22"/>
  <c r="P26" i="11"/>
  <c r="Q26" i="11" s="1"/>
  <c r="D77" i="22"/>
  <c r="P23" i="11"/>
  <c r="Q23" i="11" s="1"/>
  <c r="D69" i="22"/>
  <c r="P16" i="11"/>
  <c r="W16" i="11" s="1"/>
  <c r="D61" i="22"/>
  <c r="P130" i="11"/>
  <c r="Q130" i="11" s="1"/>
  <c r="D54" i="22"/>
  <c r="P122" i="11"/>
  <c r="Q122" i="11" s="1"/>
  <c r="D39" i="22"/>
  <c r="P112" i="11"/>
  <c r="Q112" i="11" s="1"/>
  <c r="D30" i="22"/>
  <c r="P98" i="11"/>
  <c r="Q98" i="11" s="1"/>
  <c r="D22" i="22"/>
  <c r="P89" i="11"/>
  <c r="Q89" i="11" s="1"/>
  <c r="D13" i="22"/>
  <c r="P81" i="11"/>
  <c r="Q81" i="11" s="1"/>
  <c r="D6" i="22"/>
  <c r="P73" i="11"/>
  <c r="Q73" i="11" s="1"/>
  <c r="D84" i="22"/>
  <c r="P25" i="11"/>
  <c r="Q25" i="11" s="1"/>
  <c r="D76" i="22"/>
  <c r="P17" i="11"/>
  <c r="W17" i="11" s="1"/>
  <c r="P139" i="11"/>
  <c r="Q139" i="11" s="1"/>
  <c r="P140" i="11"/>
  <c r="Q140" i="11" s="1"/>
  <c r="D60" i="22"/>
  <c r="P129" i="11"/>
  <c r="Q129" i="11" s="1"/>
  <c r="D53" i="22"/>
  <c r="P126" i="11"/>
  <c r="Q126" i="11" s="1"/>
  <c r="D38" i="22"/>
  <c r="P111" i="11"/>
  <c r="Q111" i="11" s="1"/>
  <c r="D29" i="22"/>
  <c r="P97" i="11"/>
  <c r="Q97" i="11" s="1"/>
  <c r="D21" i="22"/>
  <c r="P92" i="11"/>
  <c r="Q92" i="11" s="1"/>
  <c r="D5" i="22"/>
  <c r="P76" i="11"/>
  <c r="Q76" i="11" s="1"/>
  <c r="D99" i="22"/>
  <c r="P37" i="11"/>
  <c r="Q37" i="11" s="1"/>
  <c r="D91" i="22"/>
  <c r="P36" i="11"/>
  <c r="Q36" i="11" s="1"/>
  <c r="D75" i="22"/>
  <c r="P141" i="11"/>
  <c r="Q141" i="11" s="1"/>
  <c r="D67" i="22"/>
  <c r="P15" i="11"/>
  <c r="W15" i="11" s="1"/>
  <c r="D59" i="22"/>
  <c r="P132" i="11"/>
  <c r="Q132" i="11" s="1"/>
  <c r="D52" i="22"/>
  <c r="P121" i="11"/>
  <c r="Q121" i="11" s="1"/>
  <c r="D36" i="22"/>
  <c r="P105" i="11"/>
  <c r="Q105" i="11" s="1"/>
  <c r="D28" i="22"/>
  <c r="P100" i="11"/>
  <c r="Q100" i="11" s="1"/>
  <c r="D20" i="22"/>
  <c r="P91" i="11"/>
  <c r="Q91" i="11" s="1"/>
  <c r="D11" i="22"/>
  <c r="P83" i="11"/>
  <c r="Q83" i="11" s="1"/>
  <c r="D98" i="22"/>
  <c r="P14" i="11"/>
  <c r="W14" i="11" s="1"/>
  <c r="D90" i="22"/>
  <c r="P35" i="11"/>
  <c r="Q35" i="11" s="1"/>
  <c r="AQ28" i="11"/>
  <c r="D40" i="22"/>
  <c r="P113" i="11"/>
  <c r="Q113" i="11" s="1"/>
  <c r="D51" i="22"/>
  <c r="P124" i="11"/>
  <c r="Q124" i="11" s="1"/>
  <c r="D35" i="22"/>
  <c r="P108" i="11"/>
  <c r="Q108" i="11" s="1"/>
  <c r="D27" i="22"/>
  <c r="P99" i="11"/>
  <c r="Q99" i="11" s="1"/>
  <c r="D19" i="22"/>
  <c r="P86" i="11"/>
  <c r="Q86" i="11" s="1"/>
  <c r="D10" i="22"/>
  <c r="P78" i="11"/>
  <c r="Q78" i="11" s="1"/>
  <c r="D97" i="22"/>
  <c r="P40" i="11"/>
  <c r="Q40" i="11" s="1"/>
  <c r="D89" i="22"/>
  <c r="P30" i="11"/>
  <c r="Q30" i="11" s="1"/>
  <c r="D81" i="22"/>
  <c r="P27" i="11"/>
  <c r="Q27" i="11" s="1"/>
  <c r="D73" i="22"/>
  <c r="P20" i="11"/>
  <c r="D65" i="22"/>
  <c r="P134" i="11"/>
  <c r="Q134" i="11" s="1"/>
  <c r="D58" i="22"/>
  <c r="P131" i="11"/>
  <c r="Q131" i="11" s="1"/>
  <c r="D50" i="22"/>
  <c r="P123" i="11"/>
  <c r="Q123" i="11" s="1"/>
  <c r="D34" i="22"/>
  <c r="P11" i="59"/>
  <c r="P107" i="11"/>
  <c r="Q107" i="11" s="1"/>
  <c r="D26" i="22"/>
  <c r="P94" i="11"/>
  <c r="Q94" i="11" s="1"/>
  <c r="D18" i="22"/>
  <c r="P85" i="11"/>
  <c r="Q85" i="11" s="1"/>
  <c r="D9" i="22"/>
  <c r="P77" i="11"/>
  <c r="Q77" i="11" s="1"/>
  <c r="D80" i="22"/>
  <c r="P22" i="11"/>
  <c r="Q22" i="11" s="1"/>
  <c r="D72" i="22"/>
  <c r="P19" i="11"/>
  <c r="D64" i="22"/>
  <c r="P133" i="11"/>
  <c r="Q133" i="11" s="1"/>
  <c r="D57" i="22"/>
  <c r="P125" i="11"/>
  <c r="Q125" i="11" s="1"/>
  <c r="D49" i="22"/>
  <c r="P118" i="11"/>
  <c r="Q118" i="11" s="1"/>
  <c r="D33" i="22"/>
  <c r="P102" i="11"/>
  <c r="Q102" i="11" s="1"/>
  <c r="D25" i="22"/>
  <c r="P93" i="11"/>
  <c r="Q93" i="11" s="1"/>
  <c r="P80" i="11"/>
  <c r="Q80" i="11" s="1"/>
  <c r="D95" i="22"/>
  <c r="P39" i="11"/>
  <c r="Q39" i="11" s="1"/>
  <c r="D87" i="22"/>
  <c r="P29" i="11"/>
  <c r="Q29" i="11" s="1"/>
  <c r="D79" i="22"/>
  <c r="P21" i="11"/>
  <c r="Q21" i="11" s="1"/>
  <c r="D71" i="22"/>
  <c r="P138" i="11"/>
  <c r="Q138" i="11" s="1"/>
  <c r="D63" i="22"/>
  <c r="P136" i="11"/>
  <c r="Q136" i="11" s="1"/>
  <c r="D56" i="22"/>
  <c r="P128" i="11"/>
  <c r="Q128" i="11" s="1"/>
  <c r="D48" i="22"/>
  <c r="P117" i="11"/>
  <c r="Q117" i="11" s="1"/>
  <c r="D32" i="22"/>
  <c r="P104" i="11"/>
  <c r="Q104" i="11" s="1"/>
  <c r="P101" i="11"/>
  <c r="Q101" i="11" s="1"/>
  <c r="D24" i="22"/>
  <c r="P96" i="11"/>
  <c r="Q96" i="11" s="1"/>
  <c r="D15" i="22"/>
  <c r="P82" i="11"/>
  <c r="Q82" i="11" s="1"/>
  <c r="D8" i="22"/>
  <c r="P79" i="11"/>
  <c r="Q79" i="11" s="1"/>
  <c r="D94" i="22"/>
  <c r="P34" i="11"/>
  <c r="Q34" i="11" s="1"/>
  <c r="D86" i="22"/>
  <c r="P32" i="11"/>
  <c r="Q32" i="11" s="1"/>
  <c r="P31" i="11"/>
  <c r="Q31" i="11" s="1"/>
  <c r="D78" i="22"/>
  <c r="P24" i="11"/>
  <c r="Q24" i="11" s="1"/>
  <c r="D70" i="22"/>
  <c r="P137" i="11"/>
  <c r="Q137" i="11" s="1"/>
  <c r="D62" i="22"/>
  <c r="P135" i="11"/>
  <c r="Q135" i="11" s="1"/>
  <c r="D55" i="22"/>
  <c r="P127" i="11"/>
  <c r="Q127" i="11" s="1"/>
  <c r="D47" i="22"/>
  <c r="P119" i="11"/>
  <c r="Q119" i="11" s="1"/>
  <c r="D23" i="22"/>
  <c r="P90" i="11"/>
  <c r="Q90" i="11" s="1"/>
  <c r="D7" i="22"/>
  <c r="P74" i="11"/>
  <c r="Q74" i="11" s="1"/>
  <c r="D82" i="22"/>
  <c r="D93" i="22"/>
  <c r="P13" i="11"/>
  <c r="W13" i="11" s="1"/>
  <c r="AA105" i="71"/>
  <c r="AA24" i="71"/>
  <c r="AA36" i="71"/>
  <c r="AA224" i="71"/>
  <c r="AA176" i="71"/>
  <c r="AA194" i="71"/>
  <c r="AA95" i="71"/>
  <c r="AA219" i="71"/>
  <c r="AA74" i="71"/>
  <c r="AA241" i="71"/>
  <c r="AA98" i="71"/>
  <c r="AA171" i="71"/>
  <c r="AA184" i="71"/>
  <c r="AA84" i="71"/>
  <c r="AA72" i="71"/>
  <c r="AA68" i="71"/>
  <c r="AA205" i="71"/>
  <c r="AA153" i="71"/>
  <c r="AA136" i="71"/>
  <c r="AA104" i="71"/>
  <c r="AA64" i="71"/>
  <c r="AA239" i="71"/>
  <c r="AA169" i="71"/>
  <c r="AA177" i="71"/>
  <c r="AA69" i="71"/>
  <c r="AA229" i="71"/>
  <c r="AA139" i="71"/>
  <c r="AA135" i="71"/>
  <c r="AA197" i="71"/>
  <c r="AA252" i="71"/>
  <c r="AA242" i="71"/>
  <c r="AA159" i="71"/>
  <c r="AA82" i="71"/>
  <c r="AA112" i="71"/>
  <c r="AA231" i="71"/>
  <c r="AA79" i="71"/>
  <c r="AA189" i="71"/>
  <c r="AA163" i="71"/>
  <c r="AA76" i="71"/>
  <c r="AA223" i="71"/>
  <c r="AA191" i="71"/>
  <c r="AA142" i="71"/>
  <c r="AA38" i="71"/>
  <c r="AA180" i="71"/>
  <c r="AA206" i="71"/>
  <c r="AA126" i="71"/>
  <c r="AA87" i="71"/>
  <c r="AA57" i="71"/>
  <c r="AA255" i="71"/>
  <c r="AA199" i="71"/>
  <c r="AA124" i="71"/>
  <c r="AA111" i="71"/>
  <c r="AA174" i="71"/>
  <c r="AA28" i="71"/>
  <c r="AA181" i="71"/>
  <c r="AA90" i="71"/>
  <c r="AA80" i="71"/>
  <c r="AA32" i="71"/>
  <c r="AA196" i="71"/>
  <c r="AA118" i="71"/>
  <c r="AA233" i="71"/>
  <c r="AA63" i="71"/>
  <c r="AA26" i="71"/>
  <c r="AA209" i="71"/>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X50" i="69"/>
  <c r="AG67" i="57"/>
  <c r="L67" i="57"/>
  <c r="AJ66" i="57"/>
  <c r="AP66" i="57"/>
  <c r="AG66" i="53"/>
  <c r="AH66" i="53"/>
  <c r="AT66" i="53"/>
  <c r="N67" i="57"/>
  <c r="G67" i="53"/>
  <c r="N67" i="53"/>
  <c r="AH50" i="69"/>
  <c r="AD66" i="57"/>
  <c r="AD66" i="53"/>
  <c r="D17" i="22"/>
  <c r="Q66" i="53"/>
  <c r="H67" i="53"/>
  <c r="C67" i="53"/>
  <c r="E67" i="53"/>
  <c r="J67" i="53"/>
  <c r="I67" i="53"/>
  <c r="M67" i="53"/>
  <c r="P67" i="53"/>
  <c r="AK66" i="52" a="1"/>
  <c r="AK66" i="52" s="1"/>
  <c r="B68" i="53" s="1"/>
  <c r="O68" i="53" s="1"/>
  <c r="L67" i="53"/>
  <c r="F67" i="53"/>
  <c r="K67" i="53"/>
  <c r="D67" i="53"/>
  <c r="L114" i="22"/>
  <c r="D31" i="22"/>
  <c r="D14" i="22"/>
  <c r="P12" i="11"/>
  <c r="W12" i="11" s="1"/>
  <c r="Q66" i="57"/>
  <c r="T66" i="57" s="1"/>
  <c r="P67" i="57"/>
  <c r="D67" i="57"/>
  <c r="K67" i="57"/>
  <c r="I67" i="57"/>
  <c r="H67" i="57"/>
  <c r="G67" i="57"/>
  <c r="E67" i="57"/>
  <c r="C67" i="57"/>
  <c r="M67" i="57" s="1"/>
  <c r="F67" i="57"/>
  <c r="J67" i="57"/>
  <c r="AK66" i="55" a="1"/>
  <c r="AK66" i="55" s="1"/>
  <c r="B68" i="57" s="1"/>
  <c r="O68" i="57" s="1"/>
  <c r="Q50" i="69"/>
  <c r="R50" i="69"/>
  <c r="S50" i="69" s="1"/>
  <c r="Y50" i="69" s="1"/>
  <c r="AE50" i="69"/>
  <c r="U50" i="69"/>
  <c r="C52" i="69"/>
  <c r="AN52" i="67" a="1"/>
  <c r="AN52" i="67" s="1"/>
  <c r="B53" i="69"/>
  <c r="D51" i="69"/>
  <c r="E51" i="69" s="1"/>
  <c r="F51" i="69" s="1"/>
  <c r="G51" i="69" s="1"/>
  <c r="H51" i="69" s="1"/>
  <c r="I51" i="69" s="1"/>
  <c r="J51" i="69" s="1"/>
  <c r="K51" i="69" s="1"/>
  <c r="M51" i="69" s="1"/>
  <c r="N51" i="69"/>
  <c r="AF51" i="69" s="1"/>
  <c r="D68" i="22"/>
  <c r="AK26" i="22"/>
  <c r="C64" i="36" s="1"/>
  <c r="AK23" i="22"/>
  <c r="C61" i="36" s="1"/>
  <c r="AK22" i="22"/>
  <c r="C60" i="36" s="1"/>
  <c r="AK21" i="22"/>
  <c r="C59" i="36" s="1"/>
  <c r="AK27" i="22"/>
  <c r="C65" i="36" s="1"/>
  <c r="AK20" i="22"/>
  <c r="C58" i="36" s="1"/>
  <c r="AK25" i="22"/>
  <c r="C63" i="36" s="1"/>
  <c r="AK24" i="22"/>
  <c r="C62" i="36" s="1"/>
  <c r="AK8" i="22"/>
  <c r="AK7" i="22"/>
  <c r="AW84" i="22"/>
  <c r="AK6" i="22"/>
  <c r="AK5" i="22"/>
  <c r="AK9" i="22"/>
  <c r="AK10" i="22"/>
  <c r="AK11" i="22"/>
  <c r="AW12" i="22"/>
  <c r="D74" i="22"/>
  <c r="D12" i="22"/>
  <c r="AW54" i="22"/>
  <c r="AW93" i="22"/>
  <c r="AW33" i="22"/>
  <c r="AW15" i="22"/>
  <c r="AW94" i="22"/>
  <c r="AW8" i="22"/>
  <c r="AW53" i="22"/>
  <c r="AW52" i="22"/>
  <c r="AW47" i="22"/>
  <c r="AW42" i="22"/>
  <c r="AW39" i="22"/>
  <c r="AW38" i="22"/>
  <c r="AW57" i="22"/>
  <c r="AW14" i="22"/>
  <c r="AW50" i="22"/>
  <c r="AW49" i="22"/>
  <c r="AW18" i="22"/>
  <c r="AW48" i="22"/>
  <c r="AW46" i="22"/>
  <c r="AW44" i="22"/>
  <c r="AW43" i="22"/>
  <c r="AW7" i="22"/>
  <c r="AW17" i="22"/>
  <c r="AW36" i="22"/>
  <c r="AW35" i="22"/>
  <c r="AW16" i="22"/>
  <c r="AW13" i="22"/>
  <c r="AW45" i="22"/>
  <c r="AW41" i="22"/>
  <c r="AW40" i="22"/>
  <c r="AW153" i="22"/>
  <c r="AW152" i="22"/>
  <c r="AW131" i="22"/>
  <c r="AW154" i="22"/>
  <c r="AW133" i="22"/>
  <c r="AW129" i="22"/>
  <c r="AW134" i="22"/>
  <c r="AW127" i="22"/>
  <c r="AW89" i="22"/>
  <c r="AW126" i="22"/>
  <c r="AW88" i="22"/>
  <c r="AW124" i="22"/>
  <c r="AW86" i="22"/>
  <c r="AW120" i="22"/>
  <c r="AW92" i="22"/>
  <c r="AW91" i="22"/>
  <c r="AW37" i="22"/>
  <c r="AW125" i="22"/>
  <c r="AW87" i="22"/>
  <c r="AW119" i="22"/>
  <c r="AW132" i="22"/>
  <c r="I11" i="71"/>
  <c r="R11" i="71" s="1"/>
  <c r="S16" i="46" l="1"/>
  <c r="T16" i="46" s="1"/>
  <c r="S15" i="46"/>
  <c r="T15" i="46" s="1"/>
  <c r="S13" i="46"/>
  <c r="T13" i="46" s="1"/>
  <c r="W11" i="59"/>
  <c r="S27" i="71"/>
  <c r="T27" i="71" s="1"/>
  <c r="AA27" i="71" s="1"/>
  <c r="W20" i="11"/>
  <c r="W19" i="11"/>
  <c r="V12" i="71"/>
  <c r="W12" i="71" s="1"/>
  <c r="S11" i="71"/>
  <c r="T11" i="71" s="1"/>
  <c r="V11" i="71"/>
  <c r="W11" i="71" s="1"/>
  <c r="S12" i="71"/>
  <c r="T12" i="71" s="1"/>
  <c r="AB50" i="69"/>
  <c r="AC50" i="69" s="1"/>
  <c r="AD50" i="69" s="1"/>
  <c r="AG50" i="69"/>
  <c r="L53" i="69"/>
  <c r="O53" i="69"/>
  <c r="AO52" i="69"/>
  <c r="P52" i="69"/>
  <c r="X66" i="57"/>
  <c r="S14" i="46"/>
  <c r="T14" i="46" s="1"/>
  <c r="S12" i="46"/>
  <c r="T12" i="46" s="1"/>
  <c r="AB66" i="53"/>
  <c r="AA66" i="53"/>
  <c r="AE67" i="53"/>
  <c r="AC67" i="53"/>
  <c r="AF66" i="53"/>
  <c r="AE67" i="57"/>
  <c r="AC67" i="57"/>
  <c r="Y210" i="46"/>
  <c r="R67" i="57"/>
  <c r="R67" i="53"/>
  <c r="X67" i="53" s="1"/>
  <c r="AQ127" i="11"/>
  <c r="AA254" i="71"/>
  <c r="Y255" i="46"/>
  <c r="Y254" i="46"/>
  <c r="AA23" i="71"/>
  <c r="X128" i="22" s="1"/>
  <c r="AA22" i="71"/>
  <c r="X109" i="22" s="1"/>
  <c r="AA21" i="71"/>
  <c r="AA20" i="71"/>
  <c r="X107" i="22" s="1"/>
  <c r="AA19" i="71"/>
  <c r="X100" i="22" s="1"/>
  <c r="AA18" i="71"/>
  <c r="X90" i="22" s="1"/>
  <c r="AA17" i="71"/>
  <c r="AA16" i="71"/>
  <c r="AA14" i="71"/>
  <c r="AA13" i="71"/>
  <c r="X31" i="22" s="1"/>
  <c r="AX51" i="69"/>
  <c r="AG68" i="57"/>
  <c r="L68" i="57"/>
  <c r="AJ67" i="57"/>
  <c r="AP67" i="57"/>
  <c r="AG67" i="53"/>
  <c r="AH67" i="53"/>
  <c r="AT67" i="53"/>
  <c r="N68" i="57"/>
  <c r="H68" i="53"/>
  <c r="N68" i="53"/>
  <c r="AH51" i="69"/>
  <c r="AD67" i="57"/>
  <c r="Q67" i="53"/>
  <c r="AD67" i="53"/>
  <c r="C68" i="53"/>
  <c r="P68" i="53"/>
  <c r="E68" i="53"/>
  <c r="G68" i="53"/>
  <c r="L68" i="53"/>
  <c r="AK67" i="52" a="1"/>
  <c r="AK67" i="52" s="1"/>
  <c r="B69" i="53" s="1"/>
  <c r="O69" i="53" s="1"/>
  <c r="I68" i="53"/>
  <c r="K68" i="53"/>
  <c r="F68" i="53"/>
  <c r="J68" i="53"/>
  <c r="M68" i="53"/>
  <c r="D68" i="53"/>
  <c r="F68" i="57"/>
  <c r="K68" i="57"/>
  <c r="I68" i="57"/>
  <c r="C68" i="57"/>
  <c r="M68" i="57" s="1"/>
  <c r="D68" i="57"/>
  <c r="G68" i="57"/>
  <c r="P68" i="57"/>
  <c r="E68" i="57"/>
  <c r="J68" i="57"/>
  <c r="H68" i="57"/>
  <c r="Q67" i="57"/>
  <c r="T67" i="57" s="1"/>
  <c r="AK67" i="55" a="1"/>
  <c r="AK67" i="55" s="1"/>
  <c r="B69" i="57" s="1"/>
  <c r="O69" i="57" s="1"/>
  <c r="L115" i="22"/>
  <c r="L127" i="22"/>
  <c r="R51" i="69"/>
  <c r="S51" i="69" s="1"/>
  <c r="Y51" i="69" s="1"/>
  <c r="Q51" i="69"/>
  <c r="U51" i="69"/>
  <c r="AE51" i="69"/>
  <c r="C53" i="69"/>
  <c r="AN53" i="67" a="1"/>
  <c r="AN53" i="67" s="1"/>
  <c r="B54" i="69"/>
  <c r="D52" i="69"/>
  <c r="E52" i="69" s="1"/>
  <c r="F52" i="69" s="1"/>
  <c r="G52" i="69" s="1"/>
  <c r="H52" i="69" s="1"/>
  <c r="I52" i="69" s="1"/>
  <c r="J52" i="69" s="1"/>
  <c r="K52" i="69" s="1"/>
  <c r="M52" i="69" s="1"/>
  <c r="N52" i="69"/>
  <c r="AF52" i="69" s="1"/>
  <c r="X24" i="22"/>
  <c r="X28" i="22"/>
  <c r="X36" i="22"/>
  <c r="X46" i="22"/>
  <c r="X48" i="22"/>
  <c r="X50" i="22"/>
  <c r="X43" i="22"/>
  <c r="X51" i="22"/>
  <c r="X55" i="22"/>
  <c r="X40" i="22"/>
  <c r="X80" i="22"/>
  <c r="X86" i="22"/>
  <c r="X7" i="22"/>
  <c r="AF66" i="57" l="1"/>
  <c r="AA66" i="57"/>
  <c r="O2" i="71"/>
  <c r="AA12" i="71"/>
  <c r="X67" i="57"/>
  <c r="X30" i="22"/>
  <c r="AB51" i="69"/>
  <c r="AC51" i="69" s="1"/>
  <c r="AD51" i="69" s="1"/>
  <c r="AG51" i="69"/>
  <c r="L54" i="69"/>
  <c r="O54" i="69"/>
  <c r="AO53" i="69"/>
  <c r="P53" i="69"/>
  <c r="AB66" i="57"/>
  <c r="AB67" i="53"/>
  <c r="AA67" i="53"/>
  <c r="AE68" i="53"/>
  <c r="AC68" i="53"/>
  <c r="AF67" i="53"/>
  <c r="AC68" i="57"/>
  <c r="AE68" i="57"/>
  <c r="Y32" i="46"/>
  <c r="Y17" i="46"/>
  <c r="L106" i="22" s="1"/>
  <c r="Y33" i="46"/>
  <c r="Y30" i="46"/>
  <c r="Y26" i="46"/>
  <c r="Y20" i="46"/>
  <c r="L103" i="22" s="1"/>
  <c r="Y29" i="46"/>
  <c r="Y36" i="46"/>
  <c r="Y27" i="46"/>
  <c r="Y28" i="46"/>
  <c r="Y34" i="46"/>
  <c r="Y16" i="46"/>
  <c r="L104" i="22" s="1"/>
  <c r="Y35" i="46"/>
  <c r="Y19" i="46"/>
  <c r="Y25" i="46"/>
  <c r="Y22" i="46"/>
  <c r="L110" i="22" s="1"/>
  <c r="Y31" i="46"/>
  <c r="Y23" i="46"/>
  <c r="Y18" i="46"/>
  <c r="Y24" i="46"/>
  <c r="Y21" i="46"/>
  <c r="AE51" i="65"/>
  <c r="AH51" i="65" s="1"/>
  <c r="R68" i="57"/>
  <c r="R68" i="53"/>
  <c r="X68" i="53" s="1"/>
  <c r="L100" i="22"/>
  <c r="L112" i="22"/>
  <c r="L116" i="22"/>
  <c r="Y14" i="46"/>
  <c r="Y15" i="46"/>
  <c r="Y12" i="46"/>
  <c r="Y13" i="46"/>
  <c r="I112" i="22"/>
  <c r="AX52" i="69"/>
  <c r="L69" i="57"/>
  <c r="AG69" i="57"/>
  <c r="AJ68" i="57"/>
  <c r="AP68" i="57"/>
  <c r="AV51" i="65"/>
  <c r="AG68" i="53"/>
  <c r="AH68" i="53"/>
  <c r="AT68" i="53"/>
  <c r="N69" i="57"/>
  <c r="C69" i="53"/>
  <c r="N69" i="53"/>
  <c r="AH52" i="69"/>
  <c r="X62" i="22"/>
  <c r="AD68" i="57"/>
  <c r="Q68" i="53"/>
  <c r="AD68" i="53"/>
  <c r="P69" i="53"/>
  <c r="L69" i="53"/>
  <c r="I69" i="53"/>
  <c r="E69" i="53"/>
  <c r="F69" i="53"/>
  <c r="H69" i="53"/>
  <c r="K69" i="53"/>
  <c r="G69" i="53"/>
  <c r="J69" i="53"/>
  <c r="D69" i="53"/>
  <c r="AK68" i="52" a="1"/>
  <c r="AK68" i="52" s="1"/>
  <c r="B70" i="53" s="1"/>
  <c r="O70" i="53" s="1"/>
  <c r="M69" i="53"/>
  <c r="Q68" i="57"/>
  <c r="T68" i="57" s="1"/>
  <c r="I69" i="57"/>
  <c r="E69" i="57"/>
  <c r="P69" i="57"/>
  <c r="D69" i="57"/>
  <c r="C69" i="57"/>
  <c r="M69" i="57" s="1"/>
  <c r="K69" i="57"/>
  <c r="H69" i="57"/>
  <c r="G69" i="57"/>
  <c r="J69" i="57"/>
  <c r="F69" i="57"/>
  <c r="AK68" i="55" a="1"/>
  <c r="AK68" i="55" s="1"/>
  <c r="B70" i="57" s="1"/>
  <c r="O70" i="57" s="1"/>
  <c r="X5" i="22"/>
  <c r="X130" i="22"/>
  <c r="AN54" i="67" a="1"/>
  <c r="AN54" i="67" s="1"/>
  <c r="B55" i="69"/>
  <c r="D53" i="69"/>
  <c r="E53" i="69" s="1"/>
  <c r="F53" i="69" s="1"/>
  <c r="G53" i="69" s="1"/>
  <c r="H53" i="69" s="1"/>
  <c r="I53" i="69" s="1"/>
  <c r="J53" i="69" s="1"/>
  <c r="K53" i="69" s="1"/>
  <c r="M53" i="69" s="1"/>
  <c r="N53" i="69"/>
  <c r="AF53" i="69" s="1"/>
  <c r="C54" i="69"/>
  <c r="U52" i="69"/>
  <c r="R52" i="69"/>
  <c r="S52" i="69" s="1"/>
  <c r="Y52" i="69" s="1"/>
  <c r="AB52" i="69" s="1"/>
  <c r="AC52" i="69" s="1"/>
  <c r="AD52" i="69" s="1"/>
  <c r="AE52" i="69"/>
  <c r="Q52" i="69"/>
  <c r="R51" i="65"/>
  <c r="S51" i="65" s="1"/>
  <c r="U51" i="65"/>
  <c r="X98" i="22"/>
  <c r="X96" i="22"/>
  <c r="X35" i="22"/>
  <c r="X70" i="22"/>
  <c r="X44" i="22"/>
  <c r="X99" i="22"/>
  <c r="X23" i="22"/>
  <c r="X19" i="22"/>
  <c r="X12" i="22"/>
  <c r="X11" i="22"/>
  <c r="X91" i="22"/>
  <c r="X83" i="22"/>
  <c r="X76" i="22"/>
  <c r="X63" i="22"/>
  <c r="X56" i="22"/>
  <c r="X41" i="22"/>
  <c r="X71" i="22"/>
  <c r="X89" i="22"/>
  <c r="X81" i="22"/>
  <c r="X38" i="22"/>
  <c r="X53" i="22"/>
  <c r="X37" i="22"/>
  <c r="X39" i="22"/>
  <c r="X29" i="22"/>
  <c r="X77" i="22"/>
  <c r="X79" i="22"/>
  <c r="X73" i="22"/>
  <c r="X67" i="22"/>
  <c r="X59" i="22"/>
  <c r="X52" i="22"/>
  <c r="X49" i="22"/>
  <c r="X25" i="22"/>
  <c r="X92" i="22"/>
  <c r="X84" i="22"/>
  <c r="X74" i="22"/>
  <c r="X68" i="22"/>
  <c r="X60" i="22"/>
  <c r="X45" i="22"/>
  <c r="X85" i="22"/>
  <c r="X78" i="22"/>
  <c r="X58" i="22"/>
  <c r="X42" i="22"/>
  <c r="X34" i="22"/>
  <c r="X26" i="22"/>
  <c r="X75" i="22"/>
  <c r="X47" i="22"/>
  <c r="X33" i="22"/>
  <c r="X21" i="22"/>
  <c r="X6" i="22"/>
  <c r="X14" i="22"/>
  <c r="X10" i="22"/>
  <c r="X13" i="22"/>
  <c r="X15" i="22"/>
  <c r="X9" i="22"/>
  <c r="X66" i="22"/>
  <c r="X72" i="22"/>
  <c r="X64" i="22"/>
  <c r="X57" i="22"/>
  <c r="AB67" i="57" l="1"/>
  <c r="AA67" i="57"/>
  <c r="AF67" i="57"/>
  <c r="AO54" i="69"/>
  <c r="P54" i="69"/>
  <c r="AG52" i="69"/>
  <c r="L55" i="69"/>
  <c r="O55" i="69"/>
  <c r="AB68" i="53"/>
  <c r="AA68" i="53"/>
  <c r="AF68" i="53"/>
  <c r="AE69" i="53"/>
  <c r="AC69" i="53"/>
  <c r="X68" i="57"/>
  <c r="AE69" i="57"/>
  <c r="AC69" i="57"/>
  <c r="AA11" i="71"/>
  <c r="X112" i="22" s="1"/>
  <c r="R69" i="57"/>
  <c r="R69" i="53"/>
  <c r="X69" i="53" s="1"/>
  <c r="X129" i="22"/>
  <c r="X82" i="22"/>
  <c r="X32" i="22"/>
  <c r="AX53" i="69"/>
  <c r="AG70" i="57"/>
  <c r="L70" i="57"/>
  <c r="X93" i="22"/>
  <c r="AA15" i="71"/>
  <c r="AJ69" i="57"/>
  <c r="AP69" i="57"/>
  <c r="X88" i="22"/>
  <c r="X94" i="22"/>
  <c r="AH69" i="53"/>
  <c r="AT69" i="53"/>
  <c r="AG69" i="53"/>
  <c r="X27" i="22"/>
  <c r="X95" i="22"/>
  <c r="X97" i="22"/>
  <c r="N70" i="57"/>
  <c r="P70" i="53"/>
  <c r="N70" i="53"/>
  <c r="AH53" i="69"/>
  <c r="AD69" i="57"/>
  <c r="AD69" i="53"/>
  <c r="Q69" i="53"/>
  <c r="C70" i="53"/>
  <c r="D70" i="53"/>
  <c r="J70" i="53"/>
  <c r="E70" i="53"/>
  <c r="H70" i="53"/>
  <c r="F70" i="53"/>
  <c r="G70" i="53"/>
  <c r="I70" i="53"/>
  <c r="L70" i="53"/>
  <c r="AK69" i="52" a="1"/>
  <c r="AK69" i="52" s="1"/>
  <c r="B71" i="53" s="1"/>
  <c r="O71" i="53" s="1"/>
  <c r="K70" i="53"/>
  <c r="M70" i="53"/>
  <c r="Q69" i="57"/>
  <c r="T69" i="57" s="1"/>
  <c r="P70" i="57"/>
  <c r="F70" i="57"/>
  <c r="E70" i="57"/>
  <c r="H70" i="57"/>
  <c r="J70" i="57"/>
  <c r="D70" i="57"/>
  <c r="I70" i="57"/>
  <c r="C70" i="57"/>
  <c r="M70" i="57" s="1"/>
  <c r="K70" i="57"/>
  <c r="G70" i="57"/>
  <c r="AK69" i="55" a="1"/>
  <c r="AK69" i="55" s="1"/>
  <c r="B71" i="57" s="1"/>
  <c r="O71" i="57" s="1"/>
  <c r="N54" i="69"/>
  <c r="AF54" i="69" s="1"/>
  <c r="D54" i="69"/>
  <c r="E54" i="69" s="1"/>
  <c r="F54" i="69" s="1"/>
  <c r="G54" i="69" s="1"/>
  <c r="H54" i="69" s="1"/>
  <c r="I54" i="69" s="1"/>
  <c r="J54" i="69" s="1"/>
  <c r="K54" i="69" s="1"/>
  <c r="M54" i="69" s="1"/>
  <c r="R53" i="69"/>
  <c r="S53" i="69" s="1"/>
  <c r="Y53" i="69" s="1"/>
  <c r="AB53" i="69" s="1"/>
  <c r="AC53" i="69" s="1"/>
  <c r="AD53" i="69" s="1"/>
  <c r="Q53" i="69"/>
  <c r="AE53" i="69"/>
  <c r="U53" i="69"/>
  <c r="C55" i="69"/>
  <c r="AN55" i="67" a="1"/>
  <c r="AN55" i="67" s="1"/>
  <c r="B56" i="69"/>
  <c r="AG258" i="59"/>
  <c r="AF258" i="59"/>
  <c r="AG257" i="59"/>
  <c r="AF257" i="59"/>
  <c r="AG256" i="59"/>
  <c r="AF256" i="59"/>
  <c r="AG255" i="59"/>
  <c r="AF255" i="59"/>
  <c r="AC255" i="59"/>
  <c r="AG254" i="59"/>
  <c r="AF254" i="59"/>
  <c r="AG253" i="59"/>
  <c r="AF253" i="59"/>
  <c r="AG252" i="59"/>
  <c r="AF252" i="59"/>
  <c r="AG251" i="59"/>
  <c r="AF251" i="59"/>
  <c r="AC251" i="59"/>
  <c r="AD251" i="59" s="1"/>
  <c r="AG250" i="59"/>
  <c r="AF250" i="59"/>
  <c r="AG249" i="59"/>
  <c r="AF249" i="59"/>
  <c r="AG248" i="59"/>
  <c r="AF248" i="59"/>
  <c r="AG247" i="59"/>
  <c r="AF247" i="59"/>
  <c r="AC247" i="59"/>
  <c r="AD247" i="59" s="1"/>
  <c r="AG246" i="59"/>
  <c r="AF246" i="59"/>
  <c r="AG245" i="59"/>
  <c r="AF245" i="59"/>
  <c r="AG244" i="59"/>
  <c r="AF244" i="59"/>
  <c r="AG243" i="59"/>
  <c r="AF243" i="59"/>
  <c r="AC243" i="59"/>
  <c r="AD243" i="59" s="1"/>
  <c r="AG242" i="59"/>
  <c r="AF242" i="59"/>
  <c r="AG241" i="59"/>
  <c r="AF241" i="59"/>
  <c r="AG240" i="59"/>
  <c r="AF240" i="59"/>
  <c r="AG239" i="59"/>
  <c r="AF239" i="59"/>
  <c r="AC239" i="59"/>
  <c r="AD239" i="59" s="1"/>
  <c r="AG238" i="59"/>
  <c r="AF238" i="59"/>
  <c r="AG237" i="59"/>
  <c r="AF237" i="59"/>
  <c r="AG236" i="59"/>
  <c r="AF236" i="59"/>
  <c r="AG235" i="59"/>
  <c r="AF235" i="59"/>
  <c r="AC235" i="59"/>
  <c r="AD235" i="59" s="1"/>
  <c r="AG234" i="59"/>
  <c r="AF234" i="59"/>
  <c r="AG233" i="59"/>
  <c r="AF233" i="59"/>
  <c r="AG232" i="59"/>
  <c r="AF232" i="59"/>
  <c r="AG231" i="59"/>
  <c r="AF231" i="59"/>
  <c r="AC231" i="59"/>
  <c r="AD231" i="59" s="1"/>
  <c r="AG230" i="59"/>
  <c r="AF230" i="59"/>
  <c r="AG229" i="59"/>
  <c r="AF229" i="59"/>
  <c r="AG228" i="59"/>
  <c r="AF228" i="59"/>
  <c r="AG227" i="59"/>
  <c r="AF227" i="59"/>
  <c r="AC227" i="59"/>
  <c r="AD227" i="59" s="1"/>
  <c r="AG226" i="59"/>
  <c r="AF226" i="59"/>
  <c r="AG225" i="59"/>
  <c r="AF225" i="59"/>
  <c r="AG224" i="59"/>
  <c r="AF224" i="59"/>
  <c r="AC224" i="59"/>
  <c r="AD224" i="59" s="1"/>
  <c r="AG223" i="59"/>
  <c r="AF223" i="59"/>
  <c r="AC223" i="59"/>
  <c r="AD223" i="59" s="1"/>
  <c r="AG222" i="59"/>
  <c r="AF222" i="59"/>
  <c r="AG221" i="59"/>
  <c r="AF221" i="59"/>
  <c r="AG220" i="59"/>
  <c r="AF220" i="59"/>
  <c r="AC220" i="59"/>
  <c r="AD220" i="59" s="1"/>
  <c r="AG219" i="59"/>
  <c r="AF219" i="59"/>
  <c r="AC219" i="59"/>
  <c r="AD219" i="59" s="1"/>
  <c r="AG218" i="59"/>
  <c r="AF218" i="59"/>
  <c r="AG217" i="59"/>
  <c r="AF217" i="59"/>
  <c r="AG216" i="59"/>
  <c r="AF216" i="59"/>
  <c r="AG215" i="59"/>
  <c r="AF215" i="59"/>
  <c r="AC215" i="59"/>
  <c r="AD215" i="59" s="1"/>
  <c r="AG214" i="59"/>
  <c r="AF214" i="59"/>
  <c r="AG213" i="59"/>
  <c r="AF213" i="59"/>
  <c r="AG212" i="59"/>
  <c r="AF212" i="59"/>
  <c r="AG211" i="59"/>
  <c r="AF211" i="59"/>
  <c r="AC211" i="59"/>
  <c r="AD211" i="59" s="1"/>
  <c r="AG210" i="59"/>
  <c r="AF210" i="59"/>
  <c r="AG209" i="59"/>
  <c r="AF209" i="59"/>
  <c r="AG208" i="59"/>
  <c r="AF208" i="59"/>
  <c r="AC208" i="59"/>
  <c r="AD208" i="59" s="1"/>
  <c r="AG207" i="59"/>
  <c r="AF207" i="59"/>
  <c r="AC207" i="59"/>
  <c r="AD207" i="59" s="1"/>
  <c r="AG206" i="59"/>
  <c r="AF206" i="59"/>
  <c r="AG205" i="59"/>
  <c r="AF205" i="59"/>
  <c r="AG204" i="59"/>
  <c r="AF204" i="59"/>
  <c r="AC204" i="59"/>
  <c r="AD204" i="59" s="1"/>
  <c r="AG203" i="59"/>
  <c r="AF203" i="59"/>
  <c r="AG202" i="59"/>
  <c r="AF202" i="59"/>
  <c r="AG201" i="59"/>
  <c r="AF201" i="59"/>
  <c r="AG200" i="59"/>
  <c r="AF200" i="59"/>
  <c r="AG199" i="59"/>
  <c r="AF199" i="59"/>
  <c r="AC199" i="59"/>
  <c r="AD199" i="59" s="1"/>
  <c r="AG198" i="59"/>
  <c r="AF198" i="59"/>
  <c r="AG197" i="59"/>
  <c r="AF197" i="59"/>
  <c r="AG196" i="59"/>
  <c r="AF196" i="59"/>
  <c r="AG195" i="59"/>
  <c r="AF195" i="59"/>
  <c r="AC195" i="59"/>
  <c r="AD195" i="59" s="1"/>
  <c r="AG194" i="59"/>
  <c r="AF194" i="59"/>
  <c r="AG193" i="59"/>
  <c r="AF193" i="59"/>
  <c r="AG192" i="59"/>
  <c r="AF192" i="59"/>
  <c r="AG191" i="59"/>
  <c r="AF191" i="59"/>
  <c r="AC191" i="59"/>
  <c r="AD191" i="59" s="1"/>
  <c r="AG190" i="59"/>
  <c r="AF190" i="59"/>
  <c r="AG189" i="59"/>
  <c r="AF189" i="59"/>
  <c r="AG188" i="59"/>
  <c r="AF188" i="59"/>
  <c r="AG187" i="59"/>
  <c r="AF187" i="59"/>
  <c r="AG186" i="59"/>
  <c r="AF186" i="59"/>
  <c r="AG185" i="59"/>
  <c r="AF185" i="59"/>
  <c r="AG184" i="59"/>
  <c r="AF184" i="59"/>
  <c r="AC184" i="59"/>
  <c r="AD184" i="59" s="1"/>
  <c r="AG183" i="59"/>
  <c r="AF183" i="59"/>
  <c r="AG182" i="59"/>
  <c r="AF182" i="59"/>
  <c r="AC182" i="59"/>
  <c r="AD182" i="59" s="1"/>
  <c r="AG181" i="59"/>
  <c r="AF181" i="59"/>
  <c r="AG180" i="59"/>
  <c r="AF180" i="59"/>
  <c r="AC180" i="59"/>
  <c r="AD180" i="59" s="1"/>
  <c r="AG179" i="59"/>
  <c r="AF179" i="59"/>
  <c r="AG178" i="59"/>
  <c r="AF178" i="59"/>
  <c r="AG177" i="59"/>
  <c r="AF177" i="59"/>
  <c r="AG176" i="59"/>
  <c r="AF176" i="59"/>
  <c r="AC176" i="59"/>
  <c r="AD176" i="59" s="1"/>
  <c r="AG175" i="59"/>
  <c r="AF175" i="59"/>
  <c r="AG174" i="59"/>
  <c r="AF174" i="59"/>
  <c r="AG173" i="59"/>
  <c r="AF173" i="59"/>
  <c r="AG172" i="59"/>
  <c r="AF172" i="59"/>
  <c r="AC172" i="59"/>
  <c r="AD172" i="59" s="1"/>
  <c r="AG171" i="59"/>
  <c r="AF171" i="59"/>
  <c r="AG170" i="59"/>
  <c r="AF170" i="59"/>
  <c r="AG169" i="59"/>
  <c r="AF169" i="59"/>
  <c r="AG168" i="59"/>
  <c r="AF168" i="59"/>
  <c r="AG167" i="59"/>
  <c r="AF167" i="59"/>
  <c r="AG166" i="59"/>
  <c r="AF166" i="59"/>
  <c r="AG165" i="59"/>
  <c r="AF165" i="59"/>
  <c r="AG164" i="59"/>
  <c r="AF164" i="59"/>
  <c r="AG163" i="59"/>
  <c r="AF163" i="59"/>
  <c r="AG162" i="59"/>
  <c r="AF162" i="59"/>
  <c r="AC162" i="59"/>
  <c r="AD162" i="59" s="1"/>
  <c r="AG161" i="59"/>
  <c r="AF161" i="59"/>
  <c r="AC161" i="59"/>
  <c r="AD161" i="59" s="1"/>
  <c r="AG160" i="59"/>
  <c r="AF160" i="59"/>
  <c r="AG159" i="59"/>
  <c r="AF159" i="59"/>
  <c r="AG158" i="59"/>
  <c r="AF158" i="59"/>
  <c r="AG157" i="59"/>
  <c r="AF157" i="59"/>
  <c r="AC157" i="59"/>
  <c r="AD157" i="59" s="1"/>
  <c r="AG156" i="59"/>
  <c r="AF156" i="59"/>
  <c r="AG155" i="59"/>
  <c r="AF155" i="59"/>
  <c r="AG154" i="59"/>
  <c r="AF154" i="59"/>
  <c r="AC154" i="59"/>
  <c r="AD154" i="59" s="1"/>
  <c r="AG153" i="59"/>
  <c r="AF153" i="59"/>
  <c r="AC153" i="59"/>
  <c r="AD153" i="59" s="1"/>
  <c r="AG152" i="59"/>
  <c r="AF152" i="59"/>
  <c r="AG151" i="59"/>
  <c r="AF151" i="59"/>
  <c r="AG150" i="59"/>
  <c r="AF150" i="59"/>
  <c r="AG149" i="59"/>
  <c r="AF149" i="59"/>
  <c r="AC149" i="59"/>
  <c r="AD149" i="59" s="1"/>
  <c r="AG148" i="59"/>
  <c r="AF148" i="59"/>
  <c r="AG147" i="59"/>
  <c r="AF147" i="59"/>
  <c r="AG146" i="59"/>
  <c r="AF146" i="59"/>
  <c r="AG145" i="59"/>
  <c r="AF145" i="59"/>
  <c r="AC145" i="59"/>
  <c r="AD145" i="59" s="1"/>
  <c r="AG144" i="59"/>
  <c r="AF144" i="59"/>
  <c r="AG143" i="59"/>
  <c r="AF143" i="59"/>
  <c r="AC143" i="59"/>
  <c r="AD143" i="59" s="1"/>
  <c r="AG142" i="59"/>
  <c r="AF142" i="59"/>
  <c r="AG141" i="59"/>
  <c r="AF141" i="59"/>
  <c r="AG140" i="59"/>
  <c r="AF140" i="59"/>
  <c r="AG139" i="59"/>
  <c r="AF139" i="59"/>
  <c r="AG138" i="59"/>
  <c r="AF138" i="59"/>
  <c r="AG137" i="59"/>
  <c r="AF137" i="59"/>
  <c r="AC137" i="59"/>
  <c r="AD137" i="59" s="1"/>
  <c r="AG136" i="59"/>
  <c r="AF136" i="59"/>
  <c r="AG135" i="59"/>
  <c r="AF135" i="59"/>
  <c r="AG134" i="59"/>
  <c r="AF134" i="59"/>
  <c r="AG133" i="59"/>
  <c r="AF133" i="59"/>
  <c r="AC133" i="59"/>
  <c r="AD133" i="59" s="1"/>
  <c r="AG132" i="59"/>
  <c r="AF132" i="59"/>
  <c r="AG131" i="59"/>
  <c r="AF131" i="59"/>
  <c r="AG130" i="59"/>
  <c r="AF130" i="59"/>
  <c r="AG129" i="59"/>
  <c r="AF129" i="59"/>
  <c r="AG128" i="59"/>
  <c r="AF128" i="59"/>
  <c r="AC128" i="59"/>
  <c r="AD128" i="59" s="1"/>
  <c r="AG127" i="59"/>
  <c r="AF127" i="59"/>
  <c r="AG126" i="59"/>
  <c r="AF126" i="59"/>
  <c r="AG125" i="59"/>
  <c r="AF125" i="59"/>
  <c r="AC125" i="59"/>
  <c r="AD125" i="59" s="1"/>
  <c r="AG124" i="59"/>
  <c r="AF124" i="59"/>
  <c r="AG123" i="59"/>
  <c r="AF123" i="59"/>
  <c r="AG122" i="59"/>
  <c r="AF122" i="59"/>
  <c r="AG121" i="59"/>
  <c r="AF121" i="59"/>
  <c r="AC121" i="59"/>
  <c r="AD121" i="59" s="1"/>
  <c r="AG120" i="59"/>
  <c r="AF120" i="59"/>
  <c r="AG119" i="59"/>
  <c r="AF119" i="59"/>
  <c r="AG118" i="59"/>
  <c r="AF118" i="59"/>
  <c r="AG117" i="59"/>
  <c r="AF117" i="59"/>
  <c r="AC117" i="59"/>
  <c r="AD117" i="59" s="1"/>
  <c r="AG116" i="59"/>
  <c r="AF116" i="59"/>
  <c r="AG115" i="59"/>
  <c r="AF115" i="59"/>
  <c r="AG114" i="59"/>
  <c r="AF114" i="59"/>
  <c r="AG113" i="59"/>
  <c r="AF113" i="59"/>
  <c r="AC113" i="59"/>
  <c r="AD113" i="59" s="1"/>
  <c r="AG112" i="59"/>
  <c r="AF112" i="59"/>
  <c r="AG111" i="59"/>
  <c r="AF111" i="59"/>
  <c r="AC111" i="59"/>
  <c r="AD111" i="59" s="1"/>
  <c r="AG110" i="59"/>
  <c r="AF110" i="59"/>
  <c r="AG109" i="59"/>
  <c r="AF109" i="59"/>
  <c r="AG108" i="59"/>
  <c r="AF108" i="59"/>
  <c r="AG107" i="59"/>
  <c r="AF107" i="59"/>
  <c r="AG106" i="59"/>
  <c r="AF106" i="59"/>
  <c r="AG105" i="59"/>
  <c r="AF105" i="59"/>
  <c r="AC105" i="59"/>
  <c r="AD105" i="59" s="1"/>
  <c r="AG104" i="59"/>
  <c r="AF104" i="59"/>
  <c r="AG103" i="59"/>
  <c r="AF103" i="59"/>
  <c r="AG102" i="59"/>
  <c r="AF102" i="59"/>
  <c r="AG101" i="59"/>
  <c r="AF101" i="59"/>
  <c r="AC101" i="59"/>
  <c r="AD101" i="59" s="1"/>
  <c r="AG100" i="59"/>
  <c r="AF100" i="59"/>
  <c r="AG99" i="59"/>
  <c r="AF99" i="59"/>
  <c r="AG98" i="59"/>
  <c r="AF98" i="59"/>
  <c r="AG97" i="59"/>
  <c r="AF97" i="59"/>
  <c r="AC97" i="59"/>
  <c r="AD97" i="59" s="1"/>
  <c r="AG96" i="59"/>
  <c r="AF96" i="59"/>
  <c r="AG95" i="59"/>
  <c r="AF95" i="59"/>
  <c r="AG94" i="59"/>
  <c r="AF94" i="59"/>
  <c r="AG93" i="59"/>
  <c r="AF93" i="59"/>
  <c r="AC93" i="59"/>
  <c r="AD93" i="59" s="1"/>
  <c r="AG92" i="59"/>
  <c r="AF92" i="59"/>
  <c r="AG91" i="59"/>
  <c r="AF91" i="59"/>
  <c r="AC91" i="59"/>
  <c r="AD91" i="59" s="1"/>
  <c r="AG90" i="59"/>
  <c r="AF90" i="59"/>
  <c r="AG89" i="59"/>
  <c r="AF89" i="59"/>
  <c r="AC89" i="59"/>
  <c r="AD89" i="59" s="1"/>
  <c r="AG88" i="59"/>
  <c r="AF88" i="59"/>
  <c r="AG87" i="59"/>
  <c r="AF87" i="59"/>
  <c r="AC87" i="59"/>
  <c r="AD87" i="59" s="1"/>
  <c r="AG86" i="59"/>
  <c r="AF86" i="59"/>
  <c r="AG85" i="59"/>
  <c r="AF85" i="59"/>
  <c r="AC85" i="59"/>
  <c r="AD85" i="59" s="1"/>
  <c r="AG84" i="59"/>
  <c r="AF84" i="59"/>
  <c r="AG83" i="59"/>
  <c r="AF83" i="59"/>
  <c r="AG82" i="59"/>
  <c r="AF82" i="59"/>
  <c r="AG81" i="59"/>
  <c r="AF81" i="59"/>
  <c r="AC81" i="59"/>
  <c r="AD81" i="59" s="1"/>
  <c r="AG80" i="59"/>
  <c r="AF80" i="59"/>
  <c r="AG79" i="59"/>
  <c r="AF79" i="59"/>
  <c r="AG78" i="59"/>
  <c r="AF78" i="59"/>
  <c r="AG77" i="59"/>
  <c r="AF77" i="59"/>
  <c r="AC77" i="59"/>
  <c r="AD77" i="59" s="1"/>
  <c r="AG76" i="59"/>
  <c r="AF76" i="59"/>
  <c r="AG75" i="59"/>
  <c r="AF75" i="59"/>
  <c r="AG74" i="59"/>
  <c r="AF74" i="59"/>
  <c r="AG73" i="59"/>
  <c r="AF73" i="59"/>
  <c r="AG72" i="59"/>
  <c r="AF72" i="59"/>
  <c r="AG71" i="59"/>
  <c r="AF71" i="59"/>
  <c r="AG70" i="59"/>
  <c r="AF70" i="59"/>
  <c r="AC70" i="59"/>
  <c r="AD70" i="59" s="1"/>
  <c r="AG69" i="59"/>
  <c r="AF69" i="59"/>
  <c r="AC69" i="59"/>
  <c r="AD69" i="59" s="1"/>
  <c r="AG68" i="59"/>
  <c r="AF68" i="59"/>
  <c r="AG67" i="59"/>
  <c r="AF67" i="59"/>
  <c r="AG66" i="59"/>
  <c r="AF66" i="59"/>
  <c r="AG65" i="59"/>
  <c r="AF65" i="59"/>
  <c r="AG64" i="59"/>
  <c r="AF64" i="59"/>
  <c r="AG63" i="59"/>
  <c r="AF63" i="59"/>
  <c r="AG62" i="59"/>
  <c r="AF62" i="59"/>
  <c r="AG61" i="59"/>
  <c r="AF61" i="59"/>
  <c r="AG60" i="59"/>
  <c r="AF60" i="59"/>
  <c r="AG59" i="59"/>
  <c r="AF59" i="59"/>
  <c r="AC59" i="59"/>
  <c r="AD59" i="59" s="1"/>
  <c r="AG58" i="59"/>
  <c r="AF58" i="59"/>
  <c r="AG57" i="59"/>
  <c r="AF57" i="59"/>
  <c r="AG56" i="59"/>
  <c r="AF56" i="59"/>
  <c r="AG55" i="59"/>
  <c r="AF55" i="59"/>
  <c r="AG54" i="59"/>
  <c r="AF54" i="59"/>
  <c r="AG53" i="59"/>
  <c r="AF53" i="59"/>
  <c r="AC53" i="59"/>
  <c r="AD53" i="59" s="1"/>
  <c r="AG52" i="59"/>
  <c r="AF52" i="59"/>
  <c r="AG51" i="59"/>
  <c r="AF51" i="59"/>
  <c r="AG50" i="59"/>
  <c r="AF50" i="59"/>
  <c r="AG49" i="59"/>
  <c r="AF49" i="59"/>
  <c r="AG48" i="59"/>
  <c r="AF48" i="59"/>
  <c r="AC48" i="59"/>
  <c r="AD48" i="59" s="1"/>
  <c r="AG47" i="59"/>
  <c r="AF47" i="59"/>
  <c r="AC47" i="59"/>
  <c r="AD47" i="59" s="1"/>
  <c r="AG46" i="59"/>
  <c r="AF46" i="59"/>
  <c r="AG45" i="59"/>
  <c r="AF45" i="59"/>
  <c r="AG44" i="59"/>
  <c r="AF44" i="59"/>
  <c r="AG43" i="59"/>
  <c r="AF43" i="59"/>
  <c r="AG42" i="59"/>
  <c r="AF42" i="59"/>
  <c r="AC42" i="59"/>
  <c r="AD42" i="59" s="1"/>
  <c r="AG41" i="59"/>
  <c r="AF41" i="59"/>
  <c r="AG40" i="59"/>
  <c r="AF40" i="59"/>
  <c r="AG39" i="59"/>
  <c r="AF39" i="59"/>
  <c r="AG38" i="59"/>
  <c r="AF38" i="59"/>
  <c r="AC38" i="59"/>
  <c r="AD38" i="59" s="1"/>
  <c r="AG37" i="59"/>
  <c r="AF37" i="59"/>
  <c r="AG36" i="59"/>
  <c r="AF36" i="59"/>
  <c r="AG35" i="59"/>
  <c r="AF35" i="59"/>
  <c r="AG34" i="59"/>
  <c r="AF34" i="59"/>
  <c r="AC34" i="59"/>
  <c r="AD34" i="59" s="1"/>
  <c r="AG33" i="59"/>
  <c r="AF33" i="59"/>
  <c r="AG32" i="59"/>
  <c r="AF32" i="59"/>
  <c r="AG31" i="59"/>
  <c r="AF31" i="59"/>
  <c r="AG30" i="59"/>
  <c r="AF30" i="59"/>
  <c r="AC30" i="59"/>
  <c r="AD30" i="59" s="1"/>
  <c r="AG29" i="59"/>
  <c r="AF29" i="59"/>
  <c r="AG28" i="59"/>
  <c r="AF28" i="59"/>
  <c r="AG27" i="59"/>
  <c r="AF27" i="59"/>
  <c r="AG26" i="59"/>
  <c r="AF26" i="59"/>
  <c r="AC26" i="59"/>
  <c r="AD26" i="59" s="1"/>
  <c r="AG25" i="59"/>
  <c r="AF25" i="59"/>
  <c r="AG24" i="59"/>
  <c r="AF24" i="59"/>
  <c r="AG23" i="59"/>
  <c r="AF23" i="59"/>
  <c r="AG22" i="59"/>
  <c r="AF22" i="59"/>
  <c r="AC22" i="59"/>
  <c r="AG21" i="59"/>
  <c r="AF21" i="59"/>
  <c r="AG20" i="59"/>
  <c r="AF20" i="59"/>
  <c r="AC20" i="59"/>
  <c r="AG19" i="59"/>
  <c r="AF19" i="59"/>
  <c r="AG18" i="59"/>
  <c r="AF18" i="59"/>
  <c r="AC18" i="59"/>
  <c r="AG17" i="59"/>
  <c r="AF17" i="59"/>
  <c r="AG16" i="59"/>
  <c r="AF16" i="59"/>
  <c r="AG15" i="59"/>
  <c r="AF15" i="59"/>
  <c r="AG14" i="59"/>
  <c r="AF14" i="59"/>
  <c r="AG13" i="59"/>
  <c r="AF13" i="59"/>
  <c r="AG12" i="59"/>
  <c r="AF12" i="59"/>
  <c r="AC12" i="59"/>
  <c r="AG11" i="59"/>
  <c r="AF11" i="59"/>
  <c r="AB68" i="57" l="1"/>
  <c r="AA68" i="57"/>
  <c r="X114" i="22"/>
  <c r="X117" i="22"/>
  <c r="X115" i="22"/>
  <c r="X116" i="22"/>
  <c r="X4" i="22"/>
  <c r="X110" i="22"/>
  <c r="AO55" i="69"/>
  <c r="P55" i="69"/>
  <c r="L56" i="69"/>
  <c r="O56" i="69"/>
  <c r="AG53" i="69"/>
  <c r="X18" i="22"/>
  <c r="X20" i="22"/>
  <c r="AE70" i="53"/>
  <c r="AC70" i="53"/>
  <c r="AF69" i="53"/>
  <c r="AB69" i="53"/>
  <c r="AA69" i="53"/>
  <c r="AF68" i="57"/>
  <c r="X69" i="57"/>
  <c r="AE70" i="57"/>
  <c r="AC70" i="57"/>
  <c r="X69" i="22"/>
  <c r="X65" i="22"/>
  <c r="X22" i="22"/>
  <c r="X61" i="22"/>
  <c r="X8" i="22"/>
  <c r="X17" i="22"/>
  <c r="X16" i="22"/>
  <c r="X87" i="22"/>
  <c r="R70" i="57"/>
  <c r="R70" i="53"/>
  <c r="X70" i="53" s="1"/>
  <c r="AD255" i="59"/>
  <c r="AA257" i="71"/>
  <c r="X54" i="22"/>
  <c r="AD22" i="59"/>
  <c r="AD20" i="59"/>
  <c r="AD18" i="59"/>
  <c r="AX54" i="69"/>
  <c r="AG71" i="57"/>
  <c r="L71" i="57"/>
  <c r="AJ70" i="57"/>
  <c r="AP70" i="57"/>
  <c r="Q70" i="53"/>
  <c r="AH70" i="53"/>
  <c r="AT70" i="53"/>
  <c r="AG70" i="53"/>
  <c r="N71" i="57"/>
  <c r="L71" i="53"/>
  <c r="N71" i="53"/>
  <c r="AH54" i="69"/>
  <c r="AD70" i="57"/>
  <c r="AD70" i="53"/>
  <c r="AD12" i="59"/>
  <c r="J71" i="53"/>
  <c r="D71" i="53"/>
  <c r="I71" i="53"/>
  <c r="C71" i="53"/>
  <c r="F71" i="53"/>
  <c r="K71" i="53"/>
  <c r="M71" i="53"/>
  <c r="E71" i="53"/>
  <c r="P71" i="53"/>
  <c r="AK70" i="52" a="1"/>
  <c r="AK70" i="52" s="1"/>
  <c r="B72" i="53" s="1"/>
  <c r="O72" i="53" s="1"/>
  <c r="G71" i="53"/>
  <c r="H71" i="53"/>
  <c r="Q70" i="57"/>
  <c r="T70" i="57" s="1"/>
  <c r="K71" i="57"/>
  <c r="G71" i="57"/>
  <c r="E71" i="57"/>
  <c r="P71" i="57"/>
  <c r="D71" i="57"/>
  <c r="C71" i="57"/>
  <c r="M71" i="57" s="1"/>
  <c r="I71" i="57"/>
  <c r="H71" i="57"/>
  <c r="F71" i="57"/>
  <c r="J71" i="57"/>
  <c r="AK70" i="55" a="1"/>
  <c r="AK70" i="55" s="1"/>
  <c r="B72" i="57" s="1"/>
  <c r="O72" i="57" s="1"/>
  <c r="N55" i="69"/>
  <c r="AF55" i="69" s="1"/>
  <c r="D55" i="69"/>
  <c r="E55" i="69" s="1"/>
  <c r="F55" i="69" s="1"/>
  <c r="G55" i="69" s="1"/>
  <c r="H55" i="69" s="1"/>
  <c r="I55" i="69" s="1"/>
  <c r="J55" i="69" s="1"/>
  <c r="K55" i="69" s="1"/>
  <c r="M55" i="69" s="1"/>
  <c r="Q54" i="69"/>
  <c r="AE54" i="69"/>
  <c r="R54" i="69"/>
  <c r="S54" i="69" s="1"/>
  <c r="Y54" i="69" s="1"/>
  <c r="AB54" i="69" s="1"/>
  <c r="AC54" i="69" s="1"/>
  <c r="AD54" i="69" s="1"/>
  <c r="U54" i="69"/>
  <c r="C56" i="69"/>
  <c r="AN56" i="67" a="1"/>
  <c r="AN56" i="67" s="1"/>
  <c r="B57" i="69"/>
  <c r="AC65" i="59"/>
  <c r="AD65" i="59" s="1"/>
  <c r="AC61" i="59"/>
  <c r="AD61" i="59" s="1"/>
  <c r="AC57" i="59"/>
  <c r="AD57" i="59" s="1"/>
  <c r="AC92" i="59"/>
  <c r="AD92" i="59" s="1"/>
  <c r="AK11" i="59" a="1"/>
  <c r="AK11" i="59" s="1"/>
  <c r="AK12" i="59" s="1" a="1"/>
  <c r="AK12" i="59" s="1"/>
  <c r="AK13" i="59" s="1" a="1"/>
  <c r="AK13" i="59" s="1"/>
  <c r="AL11" i="59" a="1"/>
  <c r="AL11" i="59" s="1"/>
  <c r="AC150" i="59"/>
  <c r="AD150" i="59" s="1"/>
  <c r="AC19" i="59"/>
  <c r="AC216" i="59"/>
  <c r="AD216" i="59" s="1"/>
  <c r="AC217" i="59"/>
  <c r="AD217" i="59" s="1"/>
  <c r="AC55" i="59"/>
  <c r="AD55" i="59" s="1"/>
  <c r="AC86" i="59"/>
  <c r="AD86" i="59" s="1"/>
  <c r="AC103" i="59"/>
  <c r="AD103" i="59" s="1"/>
  <c r="AC17" i="59"/>
  <c r="AC119" i="59"/>
  <c r="AD119" i="59" s="1"/>
  <c r="AC15" i="59"/>
  <c r="AC132" i="59"/>
  <c r="AD132" i="59" s="1"/>
  <c r="AC156" i="59"/>
  <c r="AD156" i="59" s="1"/>
  <c r="AC252" i="59"/>
  <c r="AD252" i="59" s="1"/>
  <c r="AC66" i="59"/>
  <c r="AD66" i="59" s="1"/>
  <c r="AC75" i="59"/>
  <c r="AD75" i="59" s="1"/>
  <c r="AC160" i="59"/>
  <c r="AD160" i="59" s="1"/>
  <c r="AC248" i="59"/>
  <c r="AD248" i="59" s="1"/>
  <c r="AC54" i="59"/>
  <c r="AD54" i="59" s="1"/>
  <c r="AC21" i="59"/>
  <c r="AC64" i="59"/>
  <c r="AD64" i="59" s="1"/>
  <c r="AC107" i="59"/>
  <c r="AD107" i="59" s="1"/>
  <c r="AC130" i="59"/>
  <c r="AD130" i="59" s="1"/>
  <c r="AC139" i="59"/>
  <c r="AD139" i="59" s="1"/>
  <c r="AC178" i="59"/>
  <c r="AD178" i="59" s="1"/>
  <c r="AC52" i="59"/>
  <c r="AD52" i="59" s="1"/>
  <c r="AC83" i="59"/>
  <c r="AD83" i="59" s="1"/>
  <c r="AC122" i="59"/>
  <c r="AD122" i="59" s="1"/>
  <c r="AC166" i="59"/>
  <c r="AD166" i="59" s="1"/>
  <c r="AC181" i="59"/>
  <c r="AD181" i="59" s="1"/>
  <c r="AC185" i="59"/>
  <c r="AD185" i="59" s="1"/>
  <c r="AC13" i="59"/>
  <c r="AQ13" i="59" s="1"/>
  <c r="AC96" i="59"/>
  <c r="AD96" i="59" s="1"/>
  <c r="AC147" i="59"/>
  <c r="AD147" i="59" s="1"/>
  <c r="AC14" i="59"/>
  <c r="AC62" i="59"/>
  <c r="AD62" i="59" s="1"/>
  <c r="AC16" i="59"/>
  <c r="AC27" i="59"/>
  <c r="AD27" i="59" s="1"/>
  <c r="AC49" i="59"/>
  <c r="AD49" i="59" s="1"/>
  <c r="AC84" i="59"/>
  <c r="AD84" i="59" s="1"/>
  <c r="AC114" i="59"/>
  <c r="AD114" i="59" s="1"/>
  <c r="AC51" i="59"/>
  <c r="AD51" i="59" s="1"/>
  <c r="AC58" i="59"/>
  <c r="AD58" i="59" s="1"/>
  <c r="AC151" i="59"/>
  <c r="AD151" i="59" s="1"/>
  <c r="AC11" i="59"/>
  <c r="Q11" i="59" s="1"/>
  <c r="AC23" i="59"/>
  <c r="AC31" i="59"/>
  <c r="AD31" i="59" s="1"/>
  <c r="AC79" i="59"/>
  <c r="AD79" i="59" s="1"/>
  <c r="AC129" i="59"/>
  <c r="AD129" i="59" s="1"/>
  <c r="AC165" i="59"/>
  <c r="AD165" i="59" s="1"/>
  <c r="AC90" i="59"/>
  <c r="AD90" i="59" s="1"/>
  <c r="AC98" i="59"/>
  <c r="AD98" i="59" s="1"/>
  <c r="AC158" i="59"/>
  <c r="AD158" i="59" s="1"/>
  <c r="AC100" i="59"/>
  <c r="AD100" i="59" s="1"/>
  <c r="AC118" i="59"/>
  <c r="AD118" i="59" s="1"/>
  <c r="AC124" i="59"/>
  <c r="AD124" i="59" s="1"/>
  <c r="AC212" i="59"/>
  <c r="AD212" i="59" s="1"/>
  <c r="AC170" i="59"/>
  <c r="AD170" i="59" s="1"/>
  <c r="AC179" i="59"/>
  <c r="AD179" i="59" s="1"/>
  <c r="AC228" i="59"/>
  <c r="AD228" i="59" s="1"/>
  <c r="AC186" i="59"/>
  <c r="AD186" i="59" s="1"/>
  <c r="AC190" i="59"/>
  <c r="AD190" i="59" s="1"/>
  <c r="AC200" i="59"/>
  <c r="AD200" i="59" s="1"/>
  <c r="AC213" i="59"/>
  <c r="AD213" i="59" s="1"/>
  <c r="AC229" i="59"/>
  <c r="AD229" i="59" s="1"/>
  <c r="AC240" i="59"/>
  <c r="AD240" i="59" s="1"/>
  <c r="AC135" i="59"/>
  <c r="AD135" i="59" s="1"/>
  <c r="AC146" i="59"/>
  <c r="AD146" i="59" s="1"/>
  <c r="AC197" i="59"/>
  <c r="AD197" i="59" s="1"/>
  <c r="AC201" i="59"/>
  <c r="AD201" i="59" s="1"/>
  <c r="AC174" i="59"/>
  <c r="AD174" i="59" s="1"/>
  <c r="AC187" i="59"/>
  <c r="AD187" i="59" s="1"/>
  <c r="AC232" i="59"/>
  <c r="AD232" i="59" s="1"/>
  <c r="AC244" i="59"/>
  <c r="AD244" i="59" s="1"/>
  <c r="AC36" i="59"/>
  <c r="AD36" i="59" s="1"/>
  <c r="AC39" i="59"/>
  <c r="AD39" i="59" s="1"/>
  <c r="AC40" i="59"/>
  <c r="AD40" i="59" s="1"/>
  <c r="AC43" i="59"/>
  <c r="AD43" i="59" s="1"/>
  <c r="AC44" i="59"/>
  <c r="AD44" i="59" s="1"/>
  <c r="AC63" i="59"/>
  <c r="AD63" i="59" s="1"/>
  <c r="AC25" i="59"/>
  <c r="AD25" i="59" s="1"/>
  <c r="AC46" i="59"/>
  <c r="AD46" i="59" s="1"/>
  <c r="AC29" i="59"/>
  <c r="AD29" i="59" s="1"/>
  <c r="AC24" i="59"/>
  <c r="AD24" i="59" s="1"/>
  <c r="AC33" i="59"/>
  <c r="AD33" i="59" s="1"/>
  <c r="AC50" i="59"/>
  <c r="AD50" i="59" s="1"/>
  <c r="AC28" i="59"/>
  <c r="AD28" i="59" s="1"/>
  <c r="AC37" i="59"/>
  <c r="AD37" i="59" s="1"/>
  <c r="AC72" i="59"/>
  <c r="AD72" i="59" s="1"/>
  <c r="AC73" i="59"/>
  <c r="AD73" i="59" s="1"/>
  <c r="AC74" i="59"/>
  <c r="AD74" i="59" s="1"/>
  <c r="AC94" i="59"/>
  <c r="AD94" i="59" s="1"/>
  <c r="AC32" i="59"/>
  <c r="AD32" i="59" s="1"/>
  <c r="AC35" i="59"/>
  <c r="AD35" i="59" s="1"/>
  <c r="AC41" i="59"/>
  <c r="AD41" i="59" s="1"/>
  <c r="AC45" i="59"/>
  <c r="AD45" i="59" s="1"/>
  <c r="AC76" i="59"/>
  <c r="AD76" i="59" s="1"/>
  <c r="AC56" i="59"/>
  <c r="AD56" i="59" s="1"/>
  <c r="AC67" i="59"/>
  <c r="AD67" i="59" s="1"/>
  <c r="AC78" i="59"/>
  <c r="AD78" i="59" s="1"/>
  <c r="AC88" i="59"/>
  <c r="AD88" i="59" s="1"/>
  <c r="AC99" i="59"/>
  <c r="AD99" i="59" s="1"/>
  <c r="AC169" i="59"/>
  <c r="AD169" i="59" s="1"/>
  <c r="AC68" i="59"/>
  <c r="AD68" i="59" s="1"/>
  <c r="AC80" i="59"/>
  <c r="AD80" i="59" s="1"/>
  <c r="AC140" i="59"/>
  <c r="AD140" i="59" s="1"/>
  <c r="AC141" i="59"/>
  <c r="AD141" i="59" s="1"/>
  <c r="AC142" i="59"/>
  <c r="AD142" i="59" s="1"/>
  <c r="AC60" i="59"/>
  <c r="AD60" i="59" s="1"/>
  <c r="AC71" i="59"/>
  <c r="AD71" i="59" s="1"/>
  <c r="AC82" i="59"/>
  <c r="AD82" i="59" s="1"/>
  <c r="AC95" i="59"/>
  <c r="AD95" i="59" s="1"/>
  <c r="AC108" i="59"/>
  <c r="AD108" i="59" s="1"/>
  <c r="AC109" i="59"/>
  <c r="AD109" i="59" s="1"/>
  <c r="AC110" i="59"/>
  <c r="AD110" i="59" s="1"/>
  <c r="AC131" i="59"/>
  <c r="AD131" i="59" s="1"/>
  <c r="AC163" i="59"/>
  <c r="AD163" i="59" s="1"/>
  <c r="AC102" i="59"/>
  <c r="AD102" i="59" s="1"/>
  <c r="AC112" i="59"/>
  <c r="AD112" i="59" s="1"/>
  <c r="AC123" i="59"/>
  <c r="AD123" i="59" s="1"/>
  <c r="AC134" i="59"/>
  <c r="AD134" i="59" s="1"/>
  <c r="AC144" i="59"/>
  <c r="AD144" i="59" s="1"/>
  <c r="AC155" i="59"/>
  <c r="AD155" i="59" s="1"/>
  <c r="AC104" i="59"/>
  <c r="AD104" i="59" s="1"/>
  <c r="AC115" i="59"/>
  <c r="AD115" i="59" s="1"/>
  <c r="AC126" i="59"/>
  <c r="AD126" i="59" s="1"/>
  <c r="AC136" i="59"/>
  <c r="AD136" i="59" s="1"/>
  <c r="AC167" i="59"/>
  <c r="AD167" i="59" s="1"/>
  <c r="AC106" i="59"/>
  <c r="AD106" i="59" s="1"/>
  <c r="AC116" i="59"/>
  <c r="AD116" i="59" s="1"/>
  <c r="AC127" i="59"/>
  <c r="AD127" i="59" s="1"/>
  <c r="AC138" i="59"/>
  <c r="AD138" i="59" s="1"/>
  <c r="AC148" i="59"/>
  <c r="AD148" i="59" s="1"/>
  <c r="AC159" i="59"/>
  <c r="AD159" i="59" s="1"/>
  <c r="AC168" i="59"/>
  <c r="AD168" i="59" s="1"/>
  <c r="AC120" i="59"/>
  <c r="AD120" i="59" s="1"/>
  <c r="AC152" i="59"/>
  <c r="AD152" i="59" s="1"/>
  <c r="AC164" i="59"/>
  <c r="AD164" i="59" s="1"/>
  <c r="AC177" i="59"/>
  <c r="AD177" i="59" s="1"/>
  <c r="AC205" i="59"/>
  <c r="AD205" i="59" s="1"/>
  <c r="AC206" i="59"/>
  <c r="AD206" i="59" s="1"/>
  <c r="AC188" i="59"/>
  <c r="AD188" i="59" s="1"/>
  <c r="AC171" i="59"/>
  <c r="AD171" i="59" s="1"/>
  <c r="AC192" i="59"/>
  <c r="AD192" i="59" s="1"/>
  <c r="AC173" i="59"/>
  <c r="AD173" i="59" s="1"/>
  <c r="AC183" i="59"/>
  <c r="AD183" i="59" s="1"/>
  <c r="AC189" i="59"/>
  <c r="AD189" i="59" s="1"/>
  <c r="AC175" i="59"/>
  <c r="AD175" i="59" s="1"/>
  <c r="AC203" i="59"/>
  <c r="AD203" i="59" s="1"/>
  <c r="AC194" i="59"/>
  <c r="AD194" i="59" s="1"/>
  <c r="AC210" i="59"/>
  <c r="AD210" i="59" s="1"/>
  <c r="AC221" i="59"/>
  <c r="AD221" i="59" s="1"/>
  <c r="AC226" i="59"/>
  <c r="AD226" i="59" s="1"/>
  <c r="AC253" i="59"/>
  <c r="AD253" i="59" s="1"/>
  <c r="AC256" i="59"/>
  <c r="AD256" i="59" s="1"/>
  <c r="AC234" i="59"/>
  <c r="AD234" i="59" s="1"/>
  <c r="AC257" i="59"/>
  <c r="AD257" i="59" s="1"/>
  <c r="AC222" i="59"/>
  <c r="AD222" i="59" s="1"/>
  <c r="AC238" i="59"/>
  <c r="AD238" i="59" s="1"/>
  <c r="AC233" i="59"/>
  <c r="AD233" i="59" s="1"/>
  <c r="AC236" i="59"/>
  <c r="AD236" i="59" s="1"/>
  <c r="AC242" i="59"/>
  <c r="AD242" i="59" s="1"/>
  <c r="AC196" i="59"/>
  <c r="AD196" i="59" s="1"/>
  <c r="AC202" i="59"/>
  <c r="AD202" i="59" s="1"/>
  <c r="AC218" i="59"/>
  <c r="AD218" i="59" s="1"/>
  <c r="AC237" i="59"/>
  <c r="AD237" i="59" s="1"/>
  <c r="AC246" i="59"/>
  <c r="AD246" i="59" s="1"/>
  <c r="AC241" i="59"/>
  <c r="AD241" i="59" s="1"/>
  <c r="AC250" i="59"/>
  <c r="AD250" i="59" s="1"/>
  <c r="AC193" i="59"/>
  <c r="AD193" i="59" s="1"/>
  <c r="AC198" i="59"/>
  <c r="AD198" i="59" s="1"/>
  <c r="AC209" i="59"/>
  <c r="AD209" i="59" s="1"/>
  <c r="AC214" i="59"/>
  <c r="AD214" i="59" s="1"/>
  <c r="AC225" i="59"/>
  <c r="AD225" i="59" s="1"/>
  <c r="AC230" i="59"/>
  <c r="AD230" i="59" s="1"/>
  <c r="AC245" i="59"/>
  <c r="AD245" i="59" s="1"/>
  <c r="AC254" i="59"/>
  <c r="AD254" i="59" s="1"/>
  <c r="AC249" i="59"/>
  <c r="AD249" i="59" s="1"/>
  <c r="AC258" i="59"/>
  <c r="AD258" i="59" s="1"/>
  <c r="S7" i="78"/>
  <c r="S8" i="78"/>
  <c r="S6" i="78"/>
  <c r="AB69" i="57" l="1"/>
  <c r="AA69" i="57"/>
  <c r="AO56" i="69"/>
  <c r="P56" i="69"/>
  <c r="AG54" i="69"/>
  <c r="L57" i="69"/>
  <c r="O57" i="69"/>
  <c r="X70" i="57"/>
  <c r="AF70" i="53"/>
  <c r="AE71" i="53"/>
  <c r="AC71" i="53"/>
  <c r="AB70" i="53"/>
  <c r="AA70" i="53"/>
  <c r="AF69" i="57"/>
  <c r="AE71" i="57"/>
  <c r="AC71" i="57"/>
  <c r="R71" i="57"/>
  <c r="R71" i="53"/>
  <c r="X71" i="53" s="1"/>
  <c r="T64" i="22"/>
  <c r="AQ14" i="59"/>
  <c r="T14" i="22"/>
  <c r="AQ255" i="59"/>
  <c r="T103" i="22"/>
  <c r="AL30" i="22" s="1"/>
  <c r="T110" i="22"/>
  <c r="AD23" i="59"/>
  <c r="AD21" i="59"/>
  <c r="AD19" i="59"/>
  <c r="AD17" i="59"/>
  <c r="AD16" i="59"/>
  <c r="AX55" i="69"/>
  <c r="AG72" i="57"/>
  <c r="L72" i="57"/>
  <c r="AJ71" i="57"/>
  <c r="AP71" i="57"/>
  <c r="AG71" i="53"/>
  <c r="AH71" i="53"/>
  <c r="AT71" i="53"/>
  <c r="AD15" i="59"/>
  <c r="AD14" i="59"/>
  <c r="T62" i="22"/>
  <c r="N72" i="57"/>
  <c r="L72" i="53"/>
  <c r="N72" i="53"/>
  <c r="AH55" i="69"/>
  <c r="AD13" i="59"/>
  <c r="AD71" i="57"/>
  <c r="AD71" i="53"/>
  <c r="Q71" i="53"/>
  <c r="AK71" i="52" a="1"/>
  <c r="AK71" i="52" s="1"/>
  <c r="B73" i="53" s="1"/>
  <c r="O73" i="53" s="1"/>
  <c r="P72" i="53"/>
  <c r="E72" i="53"/>
  <c r="D72" i="53"/>
  <c r="M72" i="53"/>
  <c r="C72" i="53"/>
  <c r="F72" i="53"/>
  <c r="K72" i="53"/>
  <c r="H72" i="53"/>
  <c r="G72" i="53"/>
  <c r="J72" i="53"/>
  <c r="I72" i="53"/>
  <c r="Q71" i="57"/>
  <c r="T71" i="57" s="1"/>
  <c r="I72" i="57"/>
  <c r="F72" i="57"/>
  <c r="E72" i="57"/>
  <c r="C72" i="57"/>
  <c r="M72" i="57" s="1"/>
  <c r="K72" i="57"/>
  <c r="J72" i="57"/>
  <c r="P72" i="57"/>
  <c r="H72" i="57"/>
  <c r="D72" i="57"/>
  <c r="G72" i="57"/>
  <c r="AK71" i="55" a="1"/>
  <c r="AK71" i="55" s="1"/>
  <c r="B73" i="57" s="1"/>
  <c r="O73" i="57" s="1"/>
  <c r="C57" i="69"/>
  <c r="D56" i="69"/>
  <c r="E56" i="69" s="1"/>
  <c r="F56" i="69" s="1"/>
  <c r="G56" i="69" s="1"/>
  <c r="H56" i="69" s="1"/>
  <c r="I56" i="69" s="1"/>
  <c r="J56" i="69" s="1"/>
  <c r="K56" i="69" s="1"/>
  <c r="M56" i="69" s="1"/>
  <c r="N56" i="69"/>
  <c r="AF56" i="69" s="1"/>
  <c r="AN57" i="67" a="1"/>
  <c r="AN57" i="67" s="1"/>
  <c r="B58" i="69"/>
  <c r="AE55" i="69"/>
  <c r="R55" i="69"/>
  <c r="S55" i="69" s="1"/>
  <c r="Y55" i="69" s="1"/>
  <c r="U55" i="69"/>
  <c r="Q55" i="69"/>
  <c r="T125" i="22"/>
  <c r="S9" i="78"/>
  <c r="AL12" i="59" a="1"/>
  <c r="AL12" i="59" s="1"/>
  <c r="E13" i="50" s="1"/>
  <c r="E12" i="50"/>
  <c r="AK14" i="59" a="1"/>
  <c r="AK14" i="59" s="1"/>
  <c r="L7" i="29"/>
  <c r="AB70" i="57" l="1"/>
  <c r="AA70" i="57"/>
  <c r="AB55" i="69"/>
  <c r="AC55" i="69" s="1"/>
  <c r="AD55" i="69" s="1"/>
  <c r="AG55" i="69"/>
  <c r="AO57" i="69"/>
  <c r="P57" i="69"/>
  <c r="L58" i="69"/>
  <c r="O58" i="69"/>
  <c r="O12" i="50"/>
  <c r="AF70" i="57"/>
  <c r="X71" i="57"/>
  <c r="AB71" i="53"/>
  <c r="AA71" i="53"/>
  <c r="AE72" i="53"/>
  <c r="AC72" i="53"/>
  <c r="AF71" i="53"/>
  <c r="AE72" i="57"/>
  <c r="AC72" i="57"/>
  <c r="R72" i="57"/>
  <c r="R72" i="53"/>
  <c r="X72" i="53" s="1"/>
  <c r="AQ12" i="59"/>
  <c r="T113" i="22"/>
  <c r="AL29" i="22" s="1"/>
  <c r="T100" i="22"/>
  <c r="AL31" i="22" s="1"/>
  <c r="O13" i="50"/>
  <c r="AX56" i="69"/>
  <c r="AG73" i="57"/>
  <c r="L73" i="57"/>
  <c r="AJ72" i="57"/>
  <c r="AP72" i="57"/>
  <c r="AH72" i="53"/>
  <c r="AT72" i="53"/>
  <c r="AG72" i="53"/>
  <c r="N73" i="57"/>
  <c r="M73" i="53"/>
  <c r="N73" i="53"/>
  <c r="AH56" i="69"/>
  <c r="AD72" i="57"/>
  <c r="Q72" i="53"/>
  <c r="AD72" i="53"/>
  <c r="P73" i="53"/>
  <c r="J73" i="53"/>
  <c r="G73" i="53"/>
  <c r="L73" i="53"/>
  <c r="F73" i="53"/>
  <c r="I73" i="53"/>
  <c r="AK72" i="52" a="1"/>
  <c r="AK72" i="52" s="1"/>
  <c r="B74" i="53" s="1"/>
  <c r="O74" i="53" s="1"/>
  <c r="H73" i="53"/>
  <c r="C73" i="53"/>
  <c r="K73" i="53"/>
  <c r="D73" i="53"/>
  <c r="E73" i="53"/>
  <c r="A13" i="50"/>
  <c r="Q13" i="50" s="1"/>
  <c r="I13" i="50"/>
  <c r="M13" i="50"/>
  <c r="G13" i="50"/>
  <c r="B13" i="50"/>
  <c r="R13" i="50" s="1"/>
  <c r="K13" i="50"/>
  <c r="J13" i="50"/>
  <c r="N13" i="50"/>
  <c r="H13" i="50"/>
  <c r="L13" i="50"/>
  <c r="F13" i="50"/>
  <c r="F12" i="50"/>
  <c r="B12" i="50"/>
  <c r="R12" i="50" s="1"/>
  <c r="A12" i="50"/>
  <c r="J12" i="50"/>
  <c r="H12" i="50"/>
  <c r="K12" i="50"/>
  <c r="G12" i="50"/>
  <c r="Q72" i="57"/>
  <c r="T72" i="57" s="1"/>
  <c r="C73" i="57"/>
  <c r="M73" i="57" s="1"/>
  <c r="I73" i="57"/>
  <c r="H73" i="57"/>
  <c r="G73" i="57"/>
  <c r="E73" i="57"/>
  <c r="P73" i="57"/>
  <c r="D73" i="57"/>
  <c r="K73" i="57"/>
  <c r="F73" i="57"/>
  <c r="J73" i="57"/>
  <c r="AK72" i="55" a="1"/>
  <c r="AK72" i="55" s="1"/>
  <c r="B74" i="57" s="1"/>
  <c r="O74" i="57" s="1"/>
  <c r="Q56" i="69"/>
  <c r="R56" i="69"/>
  <c r="S56" i="69" s="1"/>
  <c r="Y56" i="69" s="1"/>
  <c r="AB56" i="69" s="1"/>
  <c r="AC56" i="69" s="1"/>
  <c r="AD56" i="69" s="1"/>
  <c r="U56" i="69"/>
  <c r="AE56" i="69"/>
  <c r="D57" i="69"/>
  <c r="E57" i="69" s="1"/>
  <c r="F57" i="69" s="1"/>
  <c r="G57" i="69" s="1"/>
  <c r="H57" i="69" s="1"/>
  <c r="I57" i="69" s="1"/>
  <c r="J57" i="69" s="1"/>
  <c r="K57" i="69" s="1"/>
  <c r="M57" i="69" s="1"/>
  <c r="N57" i="69"/>
  <c r="AF57" i="69" s="1"/>
  <c r="C58" i="69"/>
  <c r="AN58" i="67" a="1"/>
  <c r="AN58" i="67" s="1"/>
  <c r="B59" i="69"/>
  <c r="AL13" i="59" a="1"/>
  <c r="AL13" i="59" s="1"/>
  <c r="E14" i="50" s="1"/>
  <c r="AK15" i="59" a="1"/>
  <c r="AK15" i="59" s="1"/>
  <c r="AB71" i="57" l="1"/>
  <c r="AA71" i="57"/>
  <c r="AG56" i="69"/>
  <c r="L59" i="69"/>
  <c r="O59" i="69"/>
  <c r="AO58" i="69"/>
  <c r="P58" i="69"/>
  <c r="T14" i="50"/>
  <c r="AK14" i="50"/>
  <c r="AF71" i="57"/>
  <c r="X72" i="57"/>
  <c r="AA72" i="57" s="1"/>
  <c r="AB72" i="53"/>
  <c r="AA72" i="53"/>
  <c r="AF72" i="53"/>
  <c r="AE73" i="53"/>
  <c r="AC73" i="53"/>
  <c r="AE73" i="57"/>
  <c r="AC73" i="57"/>
  <c r="Q12" i="50"/>
  <c r="AD5" i="50" s="1"/>
  <c r="R73" i="57"/>
  <c r="R73" i="53"/>
  <c r="X73" i="53" s="1"/>
  <c r="O14" i="50"/>
  <c r="AX57" i="69"/>
  <c r="AG74" i="57"/>
  <c r="L74" i="57"/>
  <c r="AJ73" i="57"/>
  <c r="AP73" i="57"/>
  <c r="P13" i="50"/>
  <c r="AG73" i="53"/>
  <c r="AH73" i="53"/>
  <c r="AT73" i="53"/>
  <c r="Q73" i="53"/>
  <c r="N74" i="57"/>
  <c r="AD73" i="53"/>
  <c r="D74" i="53"/>
  <c r="N74" i="53"/>
  <c r="AH57" i="69"/>
  <c r="AD73" i="57"/>
  <c r="S13" i="50"/>
  <c r="S12" i="50"/>
  <c r="Z12" i="50" s="1"/>
  <c r="I74" i="53"/>
  <c r="G74" i="53"/>
  <c r="F74" i="53"/>
  <c r="P74" i="53"/>
  <c r="M74" i="53"/>
  <c r="K74" i="53"/>
  <c r="L74" i="53"/>
  <c r="AK73" i="52" a="1"/>
  <c r="AK73" i="52" s="1"/>
  <c r="B75" i="53" s="1"/>
  <c r="O75" i="53" s="1"/>
  <c r="C74" i="53"/>
  <c r="E74" i="53"/>
  <c r="H74" i="53"/>
  <c r="J74" i="53"/>
  <c r="I14" i="50"/>
  <c r="B14" i="50"/>
  <c r="R14" i="50" s="1"/>
  <c r="H14" i="50"/>
  <c r="N14" i="50"/>
  <c r="F14" i="50"/>
  <c r="L14" i="50"/>
  <c r="M14" i="50"/>
  <c r="A14" i="50"/>
  <c r="G14" i="50"/>
  <c r="K14" i="50"/>
  <c r="J14" i="50"/>
  <c r="J74" i="57"/>
  <c r="G74" i="57"/>
  <c r="D74" i="57"/>
  <c r="K74" i="57"/>
  <c r="F74" i="57"/>
  <c r="E74" i="57"/>
  <c r="I74" i="57"/>
  <c r="P74" i="57"/>
  <c r="C74" i="57"/>
  <c r="M74" i="57" s="1"/>
  <c r="H74" i="57"/>
  <c r="Q73" i="57"/>
  <c r="T73" i="57" s="1"/>
  <c r="AK73" i="55" a="1"/>
  <c r="AK73" i="55" s="1"/>
  <c r="B75" i="57" s="1"/>
  <c r="O75" i="57" s="1"/>
  <c r="AN59" i="67" a="1"/>
  <c r="AN59" i="67" s="1"/>
  <c r="B60" i="69"/>
  <c r="D58" i="69"/>
  <c r="E58" i="69" s="1"/>
  <c r="F58" i="69" s="1"/>
  <c r="G58" i="69" s="1"/>
  <c r="H58" i="69" s="1"/>
  <c r="I58" i="69" s="1"/>
  <c r="J58" i="69" s="1"/>
  <c r="K58" i="69" s="1"/>
  <c r="M58" i="69" s="1"/>
  <c r="N58" i="69"/>
  <c r="AF58" i="69" s="1"/>
  <c r="AE57" i="69"/>
  <c r="Q57" i="69"/>
  <c r="R57" i="69"/>
  <c r="S57" i="69" s="1"/>
  <c r="Y57" i="69" s="1"/>
  <c r="U57" i="69"/>
  <c r="C59" i="69"/>
  <c r="AL14" i="59" a="1"/>
  <c r="AL14" i="59" s="1"/>
  <c r="E15" i="50" s="1"/>
  <c r="AK16" i="59" a="1"/>
  <c r="AK16" i="59" s="1"/>
  <c r="AK17" i="59" s="1" a="1"/>
  <c r="AK17" i="59" s="1"/>
  <c r="AB57" i="69" l="1"/>
  <c r="AC57" i="69" s="1"/>
  <c r="AD57" i="69" s="1"/>
  <c r="AG57" i="69"/>
  <c r="AO59" i="69"/>
  <c r="P59" i="69"/>
  <c r="L60" i="69"/>
  <c r="O60" i="69"/>
  <c r="AK15" i="50"/>
  <c r="T15" i="50"/>
  <c r="AF72" i="57"/>
  <c r="AB72" i="57"/>
  <c r="AB73" i="53"/>
  <c r="AA73" i="53"/>
  <c r="AF73" i="53"/>
  <c r="AE74" i="53"/>
  <c r="AC74" i="53"/>
  <c r="X73" i="57"/>
  <c r="AE74" i="57"/>
  <c r="AC74" i="57"/>
  <c r="AM14" i="50"/>
  <c r="U14" i="50"/>
  <c r="P12" i="50"/>
  <c r="R74" i="57"/>
  <c r="R74" i="53"/>
  <c r="X74" i="53" s="1"/>
  <c r="C12" i="50"/>
  <c r="O15" i="50"/>
  <c r="Q14" i="50"/>
  <c r="P14" i="50" s="1"/>
  <c r="AX58" i="69"/>
  <c r="AG75" i="57"/>
  <c r="L75" i="57"/>
  <c r="AJ74" i="57"/>
  <c r="AP74" i="57"/>
  <c r="AH74" i="53"/>
  <c r="AT74" i="53"/>
  <c r="AG74" i="53"/>
  <c r="N75" i="57"/>
  <c r="E75" i="53"/>
  <c r="N75" i="53"/>
  <c r="AH58" i="69"/>
  <c r="AJ13" i="50"/>
  <c r="C13" i="50"/>
  <c r="AJ12" i="50"/>
  <c r="AD74" i="57"/>
  <c r="AD74" i="53"/>
  <c r="Q74" i="53"/>
  <c r="W12" i="50"/>
  <c r="V12" i="50"/>
  <c r="V13" i="50"/>
  <c r="S14" i="50"/>
  <c r="F75" i="53"/>
  <c r="H75" i="53"/>
  <c r="M75" i="53"/>
  <c r="P75" i="53"/>
  <c r="J75" i="53"/>
  <c r="I75" i="53"/>
  <c r="D75" i="53"/>
  <c r="G75" i="53"/>
  <c r="K75" i="53"/>
  <c r="L75" i="53"/>
  <c r="AK74" i="52" a="1"/>
  <c r="AK74" i="52" s="1"/>
  <c r="B76" i="53" s="1"/>
  <c r="O76" i="53" s="1"/>
  <c r="C75" i="53"/>
  <c r="K15" i="50"/>
  <c r="B15" i="50"/>
  <c r="R15" i="50" s="1"/>
  <c r="A15" i="50"/>
  <c r="F15" i="50"/>
  <c r="M15" i="50"/>
  <c r="H15" i="50"/>
  <c r="I15" i="50"/>
  <c r="J15" i="50"/>
  <c r="N15" i="50"/>
  <c r="G15" i="50"/>
  <c r="L15" i="50"/>
  <c r="P75" i="57"/>
  <c r="D75" i="57"/>
  <c r="K75" i="57"/>
  <c r="I75" i="57"/>
  <c r="H75" i="57"/>
  <c r="G75" i="57"/>
  <c r="E75" i="57"/>
  <c r="C75" i="57"/>
  <c r="M75" i="57" s="1"/>
  <c r="F75" i="57"/>
  <c r="J75" i="57"/>
  <c r="W13" i="50"/>
  <c r="X13" i="50" s="1"/>
  <c r="T13" i="50" s="1"/>
  <c r="Z13" i="50"/>
  <c r="Q74" i="57"/>
  <c r="T74" i="57" s="1"/>
  <c r="X74" i="57" s="1"/>
  <c r="AA74" i="57" s="1"/>
  <c r="AK74" i="55" a="1"/>
  <c r="AK74" i="55" s="1"/>
  <c r="B76" i="57" s="1"/>
  <c r="O76" i="57" s="1"/>
  <c r="AN60" i="67" a="1"/>
  <c r="AN60" i="67" s="1"/>
  <c r="B61" i="69"/>
  <c r="D59" i="69"/>
  <c r="E59" i="69" s="1"/>
  <c r="F59" i="69" s="1"/>
  <c r="G59" i="69" s="1"/>
  <c r="H59" i="69" s="1"/>
  <c r="I59" i="69" s="1"/>
  <c r="J59" i="69" s="1"/>
  <c r="K59" i="69" s="1"/>
  <c r="M59" i="69" s="1"/>
  <c r="N59" i="69"/>
  <c r="AF59" i="69" s="1"/>
  <c r="AE58" i="69"/>
  <c r="U58" i="69"/>
  <c r="Q58" i="69"/>
  <c r="R58" i="69"/>
  <c r="S58" i="69" s="1"/>
  <c r="Y58" i="69" s="1"/>
  <c r="AB58" i="69" s="1"/>
  <c r="AC58" i="69" s="1"/>
  <c r="AD58" i="69" s="1"/>
  <c r="C60" i="69"/>
  <c r="AL15" i="59" a="1"/>
  <c r="AL15" i="59" s="1"/>
  <c r="E16" i="50" s="1"/>
  <c r="AK18" i="59" a="1"/>
  <c r="AK18" i="59" s="1"/>
  <c r="AB73" i="57" l="1"/>
  <c r="AA73" i="57"/>
  <c r="U13" i="50"/>
  <c r="AD13" i="50" s="1"/>
  <c r="AG13" i="50" s="1"/>
  <c r="AH13" i="50" s="1"/>
  <c r="AG58" i="69"/>
  <c r="AO60" i="69"/>
  <c r="P60" i="69"/>
  <c r="L61" i="69"/>
  <c r="O61" i="69"/>
  <c r="AK16" i="50"/>
  <c r="T16" i="50"/>
  <c r="AB74" i="53"/>
  <c r="AA74" i="53"/>
  <c r="AE75" i="53"/>
  <c r="AC75" i="53"/>
  <c r="AF74" i="53"/>
  <c r="AF73" i="57"/>
  <c r="AB74" i="57"/>
  <c r="AF74" i="57"/>
  <c r="AE75" i="57"/>
  <c r="AC75" i="57"/>
  <c r="AD14" i="50"/>
  <c r="AG14" i="50" s="1"/>
  <c r="AH14" i="50" s="1"/>
  <c r="AI14" i="50" s="1"/>
  <c r="AM15" i="50"/>
  <c r="U15" i="50"/>
  <c r="R75" i="57"/>
  <c r="R75" i="53"/>
  <c r="X75" i="53" s="1"/>
  <c r="O16" i="50"/>
  <c r="Q15" i="50"/>
  <c r="P15" i="50" s="1"/>
  <c r="AX59" i="69"/>
  <c r="AG76" i="57"/>
  <c r="L76" i="57"/>
  <c r="AJ75" i="57"/>
  <c r="AP75" i="57"/>
  <c r="AG75" i="53"/>
  <c r="AH75" i="53"/>
  <c r="AT75" i="53"/>
  <c r="N76" i="57"/>
  <c r="N76" i="53"/>
  <c r="AH59" i="69"/>
  <c r="AJ14" i="50"/>
  <c r="C14" i="50"/>
  <c r="AD75" i="57"/>
  <c r="AD75" i="53"/>
  <c r="V14" i="50"/>
  <c r="S15" i="50"/>
  <c r="Q75" i="53"/>
  <c r="H76" i="53"/>
  <c r="P76" i="53"/>
  <c r="E76" i="53"/>
  <c r="K76" i="53"/>
  <c r="C76" i="53"/>
  <c r="I76" i="53"/>
  <c r="D76" i="53"/>
  <c r="F76" i="53"/>
  <c r="L76" i="53"/>
  <c r="AK75" i="52" a="1"/>
  <c r="AK75" i="52" s="1"/>
  <c r="B77" i="53" s="1"/>
  <c r="O77" i="53" s="1"/>
  <c r="G76" i="53"/>
  <c r="M76" i="53"/>
  <c r="J76" i="53"/>
  <c r="B16" i="50"/>
  <c r="R16" i="50" s="1"/>
  <c r="M16" i="50"/>
  <c r="L16" i="50"/>
  <c r="K16" i="50"/>
  <c r="G16" i="50"/>
  <c r="N16" i="50"/>
  <c r="A16" i="50"/>
  <c r="F16" i="50"/>
  <c r="H16" i="50"/>
  <c r="I16" i="50"/>
  <c r="J16" i="50"/>
  <c r="F76" i="57"/>
  <c r="K76" i="57"/>
  <c r="I76" i="57"/>
  <c r="C76" i="57"/>
  <c r="M76" i="57" s="1"/>
  <c r="P76" i="57"/>
  <c r="H76" i="57"/>
  <c r="D76" i="57"/>
  <c r="G76" i="57"/>
  <c r="E76" i="57"/>
  <c r="J76" i="57"/>
  <c r="Z14" i="50"/>
  <c r="W14" i="50"/>
  <c r="X14" i="50" s="1"/>
  <c r="Q75" i="57"/>
  <c r="T75" i="57" s="1"/>
  <c r="AK75" i="55" a="1"/>
  <c r="AK75" i="55" s="1"/>
  <c r="B77" i="57" s="1"/>
  <c r="O77" i="57" s="1"/>
  <c r="D60" i="69"/>
  <c r="E60" i="69" s="1"/>
  <c r="F60" i="69" s="1"/>
  <c r="G60" i="69" s="1"/>
  <c r="H60" i="69" s="1"/>
  <c r="I60" i="69" s="1"/>
  <c r="J60" i="69" s="1"/>
  <c r="K60" i="69" s="1"/>
  <c r="M60" i="69" s="1"/>
  <c r="N60" i="69"/>
  <c r="AF60" i="69" s="1"/>
  <c r="AE59" i="69"/>
  <c r="R59" i="69"/>
  <c r="S59" i="69" s="1"/>
  <c r="Y59" i="69" s="1"/>
  <c r="Q59" i="69"/>
  <c r="U59" i="69"/>
  <c r="C61" i="69"/>
  <c r="AN61" i="67" a="1"/>
  <c r="AN61" i="67" s="1"/>
  <c r="B62" i="69"/>
  <c r="AL16" i="59" a="1"/>
  <c r="AL16" i="59" s="1"/>
  <c r="E17" i="50" s="1"/>
  <c r="AK19" i="59" a="1"/>
  <c r="AK19" i="59" s="1"/>
  <c r="AK13" i="50" l="1"/>
  <c r="AI13" i="50"/>
  <c r="AB59" i="69"/>
  <c r="AC59" i="69" s="1"/>
  <c r="AD59" i="69" s="1"/>
  <c r="AG59" i="69"/>
  <c r="AO61" i="69"/>
  <c r="P61" i="69"/>
  <c r="L62" i="69"/>
  <c r="O62" i="69"/>
  <c r="T17" i="50"/>
  <c r="AK17" i="50"/>
  <c r="X75" i="57"/>
  <c r="AB75" i="53"/>
  <c r="AA75" i="53"/>
  <c r="AE76" i="53"/>
  <c r="AC76" i="53"/>
  <c r="AF75" i="53"/>
  <c r="AC76" i="57"/>
  <c r="AE76" i="57"/>
  <c r="AD15" i="50"/>
  <c r="AM16" i="50"/>
  <c r="U16" i="50"/>
  <c r="R76" i="57"/>
  <c r="R76" i="53"/>
  <c r="X76" i="53" s="1"/>
  <c r="Q16" i="50"/>
  <c r="P16" i="50" s="1"/>
  <c r="AX60" i="69"/>
  <c r="L77" i="57"/>
  <c r="AG77" i="57"/>
  <c r="O17" i="50"/>
  <c r="AJ76" i="57"/>
  <c r="AP76" i="57"/>
  <c r="AL14" i="50"/>
  <c r="AH76" i="53"/>
  <c r="AT76" i="53"/>
  <c r="AG76" i="53"/>
  <c r="N77" i="57"/>
  <c r="C77" i="53"/>
  <c r="N77" i="53"/>
  <c r="AH60" i="69"/>
  <c r="AJ15" i="50"/>
  <c r="C15" i="50"/>
  <c r="AD76" i="57"/>
  <c r="AD76" i="53"/>
  <c r="V15" i="50"/>
  <c r="S16" i="50"/>
  <c r="Q76" i="53"/>
  <c r="L77" i="53"/>
  <c r="I77" i="53"/>
  <c r="M77" i="53"/>
  <c r="J77" i="53"/>
  <c r="D77" i="53"/>
  <c r="K77" i="53"/>
  <c r="F77" i="53"/>
  <c r="G77" i="53"/>
  <c r="AK76" i="52" a="1"/>
  <c r="AK76" i="52" s="1"/>
  <c r="B78" i="53" s="1"/>
  <c r="O78" i="53" s="1"/>
  <c r="P77" i="53"/>
  <c r="H77" i="53"/>
  <c r="E77" i="53"/>
  <c r="M17" i="50"/>
  <c r="K17" i="50"/>
  <c r="H17" i="50"/>
  <c r="N17" i="50"/>
  <c r="B17" i="50"/>
  <c r="R17" i="50" s="1"/>
  <c r="L17" i="50"/>
  <c r="G17" i="50"/>
  <c r="I17" i="50"/>
  <c r="A17" i="50"/>
  <c r="Q17" i="50" s="1"/>
  <c r="P17" i="50" s="1"/>
  <c r="J17" i="50"/>
  <c r="F17" i="50"/>
  <c r="K77" i="57"/>
  <c r="G77" i="57"/>
  <c r="E77" i="57"/>
  <c r="P77" i="57"/>
  <c r="D77" i="57"/>
  <c r="C77" i="57"/>
  <c r="M77" i="57" s="1"/>
  <c r="I77" i="57"/>
  <c r="H77" i="57"/>
  <c r="F77" i="57"/>
  <c r="J77" i="57"/>
  <c r="Q76" i="57"/>
  <c r="T76" i="57" s="1"/>
  <c r="Z15" i="50"/>
  <c r="W15" i="50"/>
  <c r="X15" i="50" s="1"/>
  <c r="AK76" i="55" a="1"/>
  <c r="AK76" i="55" s="1"/>
  <c r="B78" i="57" s="1"/>
  <c r="O78" i="57" s="1"/>
  <c r="AN62" i="67" a="1"/>
  <c r="AN62" i="67" s="1"/>
  <c r="B63" i="69"/>
  <c r="AE60" i="69"/>
  <c r="R60" i="69"/>
  <c r="S60" i="69" s="1"/>
  <c r="Y60" i="69" s="1"/>
  <c r="U60" i="69"/>
  <c r="Q60" i="69"/>
  <c r="C62" i="69"/>
  <c r="N61" i="69"/>
  <c r="AF61" i="69" s="1"/>
  <c r="D61" i="69"/>
  <c r="E61" i="69" s="1"/>
  <c r="F61" i="69" s="1"/>
  <c r="G61" i="69" s="1"/>
  <c r="H61" i="69" s="1"/>
  <c r="I61" i="69" s="1"/>
  <c r="J61" i="69" s="1"/>
  <c r="K61" i="69" s="1"/>
  <c r="M61" i="69" s="1"/>
  <c r="AL17" i="59" a="1"/>
  <c r="AL17" i="59" s="1"/>
  <c r="E18" i="50" s="1"/>
  <c r="AK20" i="59" a="1"/>
  <c r="AK20" i="59" s="1"/>
  <c r="AK21" i="59" s="1" a="1"/>
  <c r="AK21" i="59" s="1"/>
  <c r="AK22" i="59" s="1" a="1"/>
  <c r="AK22" i="59" s="1"/>
  <c r="AK23" i="59" s="1" a="1"/>
  <c r="AK23" i="59" s="1"/>
  <c r="AK24" i="59" s="1" a="1"/>
  <c r="AK24" i="59" s="1"/>
  <c r="AK25" i="59" s="1" a="1"/>
  <c r="AK25" i="59" s="1"/>
  <c r="AK26" i="59" s="1" a="1"/>
  <c r="AK26" i="59" s="1"/>
  <c r="AK27" i="59" s="1" a="1"/>
  <c r="AK27" i="59" s="1"/>
  <c r="AK28" i="59" s="1" a="1"/>
  <c r="AK28" i="59" s="1"/>
  <c r="AK29" i="59" s="1" a="1"/>
  <c r="AK29" i="59" s="1"/>
  <c r="AK30" i="59" s="1" a="1"/>
  <c r="AK30" i="59" s="1"/>
  <c r="AK31" i="59" s="1" a="1"/>
  <c r="AK31" i="59" s="1"/>
  <c r="AK32" i="59" s="1" a="1"/>
  <c r="AK32" i="59" s="1"/>
  <c r="AK33" i="59" s="1" a="1"/>
  <c r="AK33" i="59" s="1"/>
  <c r="AK34" i="59" s="1" a="1"/>
  <c r="AK34" i="59" s="1"/>
  <c r="AK35" i="59" s="1" a="1"/>
  <c r="AK35" i="59" s="1"/>
  <c r="AK36" i="59" s="1" a="1"/>
  <c r="AK36" i="59" s="1"/>
  <c r="AK37" i="59" s="1" a="1"/>
  <c r="AK37" i="59" s="1"/>
  <c r="AK38" i="59" s="1" a="1"/>
  <c r="AK38" i="59" s="1"/>
  <c r="AK39" i="59" s="1" a="1"/>
  <c r="AK39" i="59" s="1"/>
  <c r="AK40" i="59" s="1" a="1"/>
  <c r="AK40" i="59" s="1"/>
  <c r="AK41" i="59" s="1" a="1"/>
  <c r="AK41" i="59" s="1"/>
  <c r="AK42" i="59" s="1" a="1"/>
  <c r="AK42" i="59" s="1"/>
  <c r="AK43" i="59" s="1" a="1"/>
  <c r="AK43" i="59" s="1"/>
  <c r="AK44" i="59" s="1" a="1"/>
  <c r="AK44" i="59" s="1"/>
  <c r="AK45" i="59" s="1" a="1"/>
  <c r="AK45" i="59" s="1"/>
  <c r="AK46" i="59" s="1" a="1"/>
  <c r="AK46" i="59" s="1"/>
  <c r="AK47" i="59" s="1" a="1"/>
  <c r="AK47" i="59" s="1"/>
  <c r="AK48" i="59" s="1" a="1"/>
  <c r="AK48" i="59" s="1"/>
  <c r="AK49" i="59" s="1" a="1"/>
  <c r="AK49" i="59" s="1"/>
  <c r="AK50" i="59" s="1" a="1"/>
  <c r="AK50" i="59" s="1"/>
  <c r="AK51" i="59" s="1" a="1"/>
  <c r="AK51" i="59" s="1"/>
  <c r="AK52" i="59" s="1" a="1"/>
  <c r="AK52" i="59" s="1"/>
  <c r="AK53" i="59" s="1" a="1"/>
  <c r="AK53" i="59" s="1"/>
  <c r="AK54" i="59" s="1" a="1"/>
  <c r="AK54" i="59" s="1"/>
  <c r="AK55" i="59" s="1" a="1"/>
  <c r="AK55" i="59" s="1"/>
  <c r="AK56" i="59" s="1" a="1"/>
  <c r="AK56" i="59" s="1"/>
  <c r="AK57" i="59" s="1" a="1"/>
  <c r="AK57" i="59" s="1"/>
  <c r="AK58" i="59" s="1" a="1"/>
  <c r="AK58" i="59" s="1"/>
  <c r="AK59" i="59" s="1" a="1"/>
  <c r="AK59" i="59" s="1"/>
  <c r="AK60" i="59" s="1" a="1"/>
  <c r="AK60" i="59" s="1"/>
  <c r="AK61" i="59" s="1" a="1"/>
  <c r="AK61" i="59" s="1"/>
  <c r="AK62" i="59" s="1" a="1"/>
  <c r="AK62" i="59" s="1"/>
  <c r="AK63" i="59" s="1" a="1"/>
  <c r="AK63" i="59" s="1"/>
  <c r="AK64" i="59" s="1" a="1"/>
  <c r="AK64" i="59" s="1"/>
  <c r="AK65" i="59" s="1" a="1"/>
  <c r="AK65" i="59" s="1"/>
  <c r="AK66" i="59" s="1" a="1"/>
  <c r="AK66" i="59" s="1"/>
  <c r="AK67" i="59" s="1" a="1"/>
  <c r="AK67" i="59" s="1"/>
  <c r="AK68" i="59" s="1" a="1"/>
  <c r="AK68" i="59" s="1"/>
  <c r="AK69" i="59" s="1" a="1"/>
  <c r="AK69" i="59" s="1"/>
  <c r="AK70" i="59" s="1" a="1"/>
  <c r="AK70" i="59" s="1"/>
  <c r="AK71" i="59" s="1" a="1"/>
  <c r="AK71" i="59" s="1"/>
  <c r="AK72" i="59" s="1" a="1"/>
  <c r="AK72" i="59" s="1"/>
  <c r="AK73" i="59" s="1" a="1"/>
  <c r="AK73" i="59" s="1"/>
  <c r="AK74" i="59" s="1" a="1"/>
  <c r="AK74" i="59" s="1"/>
  <c r="AK75" i="59" s="1" a="1"/>
  <c r="AK75" i="59" s="1"/>
  <c r="AK76" i="59" s="1" a="1"/>
  <c r="AK76" i="59" s="1"/>
  <c r="AK77" i="59" s="1" a="1"/>
  <c r="AK77" i="59" s="1"/>
  <c r="AK78" i="59" s="1" a="1"/>
  <c r="AK78" i="59" s="1"/>
  <c r="AK79" i="59" s="1" a="1"/>
  <c r="AK79" i="59" s="1"/>
  <c r="AK80" i="59" s="1" a="1"/>
  <c r="AK80" i="59" s="1"/>
  <c r="AK81" i="59" s="1" a="1"/>
  <c r="AK81" i="59" s="1"/>
  <c r="AK82" i="59" s="1" a="1"/>
  <c r="AK82" i="59" s="1"/>
  <c r="AK83" i="59" s="1" a="1"/>
  <c r="AK83" i="59" s="1"/>
  <c r="AK84" i="59" s="1" a="1"/>
  <c r="AK84" i="59" s="1"/>
  <c r="AK85" i="59" s="1" a="1"/>
  <c r="AK85" i="59" s="1"/>
  <c r="AK86" i="59" s="1" a="1"/>
  <c r="AK86" i="59" s="1"/>
  <c r="AK87" i="59" s="1" a="1"/>
  <c r="AK87" i="59" s="1"/>
  <c r="AK88" i="59" s="1" a="1"/>
  <c r="AK88" i="59" s="1"/>
  <c r="AK89" i="59" s="1" a="1"/>
  <c r="AK89" i="59" s="1"/>
  <c r="AK90" i="59" s="1" a="1"/>
  <c r="AK90" i="59" s="1"/>
  <c r="AK91" i="59" s="1" a="1"/>
  <c r="AK91" i="59" s="1"/>
  <c r="AK92" i="59" s="1" a="1"/>
  <c r="AK92" i="59" s="1"/>
  <c r="AK93" i="59" s="1" a="1"/>
  <c r="AK93" i="59" s="1"/>
  <c r="AK94" i="59" s="1" a="1"/>
  <c r="AK94" i="59" s="1"/>
  <c r="AK95" i="59" s="1" a="1"/>
  <c r="AK95" i="59" s="1"/>
  <c r="AK96" i="59" s="1" a="1"/>
  <c r="AK96" i="59" s="1"/>
  <c r="AK97" i="59" s="1" a="1"/>
  <c r="AK97" i="59" s="1"/>
  <c r="AK98" i="59" s="1" a="1"/>
  <c r="AK98" i="59" s="1"/>
  <c r="AK99" i="59" s="1" a="1"/>
  <c r="AK99" i="59" s="1"/>
  <c r="AK100" i="59" s="1" a="1"/>
  <c r="AK100" i="59" s="1"/>
  <c r="AK101" i="59" s="1" a="1"/>
  <c r="AK101" i="59" s="1"/>
  <c r="AK102" i="59" s="1" a="1"/>
  <c r="AK102" i="59" s="1"/>
  <c r="AK103" i="59" s="1" a="1"/>
  <c r="AK103" i="59" s="1"/>
  <c r="AK104" i="59" s="1" a="1"/>
  <c r="AK104" i="59" s="1"/>
  <c r="AK105" i="59" s="1" a="1"/>
  <c r="AK105" i="59" s="1"/>
  <c r="AK106" i="59" s="1" a="1"/>
  <c r="AK106" i="59" s="1"/>
  <c r="AK107" i="59" s="1" a="1"/>
  <c r="AK107" i="59" s="1"/>
  <c r="AK108" i="59" s="1" a="1"/>
  <c r="AK108" i="59" s="1"/>
  <c r="AK109" i="59" s="1" a="1"/>
  <c r="AK109" i="59" s="1"/>
  <c r="AK110" i="59" s="1" a="1"/>
  <c r="AK110" i="59" s="1"/>
  <c r="AK111" i="59" s="1" a="1"/>
  <c r="AK111" i="59" s="1"/>
  <c r="AK112" i="59" s="1" a="1"/>
  <c r="AK112" i="59" s="1"/>
  <c r="AK113" i="59" s="1" a="1"/>
  <c r="AK113" i="59" s="1"/>
  <c r="AK114" i="59" s="1" a="1"/>
  <c r="AK114" i="59" s="1"/>
  <c r="AK115" i="59" s="1" a="1"/>
  <c r="AK115" i="59" s="1"/>
  <c r="AK116" i="59" s="1" a="1"/>
  <c r="AK116" i="59" s="1"/>
  <c r="AK117" i="59" s="1" a="1"/>
  <c r="AK117" i="59" s="1"/>
  <c r="AK118" i="59" s="1" a="1"/>
  <c r="AK118" i="59" s="1"/>
  <c r="AK119" i="59" s="1" a="1"/>
  <c r="AK119" i="59" s="1"/>
  <c r="AK120" i="59" s="1" a="1"/>
  <c r="AK120" i="59" s="1"/>
  <c r="AK121" i="59" s="1" a="1"/>
  <c r="AK121" i="59" s="1"/>
  <c r="AK122" i="59" s="1" a="1"/>
  <c r="AK122" i="59" s="1"/>
  <c r="AK123" i="59" s="1" a="1"/>
  <c r="AK123" i="59" s="1"/>
  <c r="AK124" i="59" s="1" a="1"/>
  <c r="AK124" i="59" s="1"/>
  <c r="AK125" i="59" s="1" a="1"/>
  <c r="AK125" i="59" s="1"/>
  <c r="AK126" i="59" s="1" a="1"/>
  <c r="AK126" i="59" s="1"/>
  <c r="AK127" i="59" s="1" a="1"/>
  <c r="AK127" i="59" s="1"/>
  <c r="AK128" i="59" s="1" a="1"/>
  <c r="AK128" i="59" s="1"/>
  <c r="AK129" i="59" s="1" a="1"/>
  <c r="AK129" i="59" s="1"/>
  <c r="AK130" i="59" s="1" a="1"/>
  <c r="AK130" i="59" s="1"/>
  <c r="AK131" i="59" s="1" a="1"/>
  <c r="AK131" i="59" s="1"/>
  <c r="AK132" i="59" s="1" a="1"/>
  <c r="AK132" i="59" s="1"/>
  <c r="AK133" i="59" s="1" a="1"/>
  <c r="AK133" i="59" s="1"/>
  <c r="AK134" i="59" s="1" a="1"/>
  <c r="AK134" i="59" s="1"/>
  <c r="AK135" i="59" s="1" a="1"/>
  <c r="AK135" i="59" s="1"/>
  <c r="AK136" i="59" s="1" a="1"/>
  <c r="AK136" i="59" s="1"/>
  <c r="AK137" i="59" s="1" a="1"/>
  <c r="AK137" i="59" s="1"/>
  <c r="AK138" i="59" s="1" a="1"/>
  <c r="AK138" i="59" s="1"/>
  <c r="AK139" i="59" s="1" a="1"/>
  <c r="AK139" i="59" s="1"/>
  <c r="AK140" i="59" s="1" a="1"/>
  <c r="AK140" i="59" s="1"/>
  <c r="AK141" i="59" s="1" a="1"/>
  <c r="AK141" i="59" s="1"/>
  <c r="AK142" i="59" s="1" a="1"/>
  <c r="AK142" i="59" s="1"/>
  <c r="AK143" i="59" s="1" a="1"/>
  <c r="AK143" i="59" s="1"/>
  <c r="AK144" i="59" s="1" a="1"/>
  <c r="AK144" i="59" s="1"/>
  <c r="AK145" i="59" s="1" a="1"/>
  <c r="AK145" i="59" s="1"/>
  <c r="AK146" i="59" s="1" a="1"/>
  <c r="AK146" i="59" s="1"/>
  <c r="AK147" i="59" s="1" a="1"/>
  <c r="AK147" i="59" s="1"/>
  <c r="AK148" i="59" s="1" a="1"/>
  <c r="AK148" i="59" s="1"/>
  <c r="AK149" i="59" s="1" a="1"/>
  <c r="AK149" i="59" s="1"/>
  <c r="AK150" i="59" s="1" a="1"/>
  <c r="AK150" i="59" s="1"/>
  <c r="AK151" i="59" s="1" a="1"/>
  <c r="AK151" i="59" s="1"/>
  <c r="AK152" i="59" s="1" a="1"/>
  <c r="AK152" i="59" s="1"/>
  <c r="AK153" i="59" s="1" a="1"/>
  <c r="AK153" i="59" s="1"/>
  <c r="AK154" i="59" s="1" a="1"/>
  <c r="AK154" i="59" s="1"/>
  <c r="AK155" i="59" s="1" a="1"/>
  <c r="AK155" i="59" s="1"/>
  <c r="AK156" i="59" s="1" a="1"/>
  <c r="AK156" i="59" s="1"/>
  <c r="AK157" i="59" s="1" a="1"/>
  <c r="AK157" i="59" s="1"/>
  <c r="AK158" i="59" s="1" a="1"/>
  <c r="AK158" i="59" s="1"/>
  <c r="AK159" i="59" s="1" a="1"/>
  <c r="AK159" i="59" s="1"/>
  <c r="AK160" i="59" s="1" a="1"/>
  <c r="AK160" i="59" s="1"/>
  <c r="AK161" i="59" s="1" a="1"/>
  <c r="AK161" i="59" s="1"/>
  <c r="AK162" i="59" s="1" a="1"/>
  <c r="AK162" i="59" s="1"/>
  <c r="AK163" i="59" s="1" a="1"/>
  <c r="AK163" i="59" s="1"/>
  <c r="AK164" i="59" s="1" a="1"/>
  <c r="AK164" i="59" s="1"/>
  <c r="AK165" i="59" s="1" a="1"/>
  <c r="AK165" i="59" s="1"/>
  <c r="AK166" i="59" s="1" a="1"/>
  <c r="AK166" i="59" s="1"/>
  <c r="AK167" i="59" s="1" a="1"/>
  <c r="AK167" i="59" s="1"/>
  <c r="AK168" i="59" s="1" a="1"/>
  <c r="AK168" i="59" s="1"/>
  <c r="AK169" i="59" s="1" a="1"/>
  <c r="AK169" i="59" s="1"/>
  <c r="AK170" i="59" s="1" a="1"/>
  <c r="AK170" i="59" s="1"/>
  <c r="AK171" i="59" s="1" a="1"/>
  <c r="AK171" i="59" s="1"/>
  <c r="AK172" i="59" s="1" a="1"/>
  <c r="AK172" i="59" s="1"/>
  <c r="AK173" i="59" s="1" a="1"/>
  <c r="AK173" i="59" s="1"/>
  <c r="AK174" i="59" s="1" a="1"/>
  <c r="AK174" i="59" s="1"/>
  <c r="AK175" i="59" s="1" a="1"/>
  <c r="AK175" i="59" s="1"/>
  <c r="AK176" i="59" s="1" a="1"/>
  <c r="AK176" i="59" s="1"/>
  <c r="AK177" i="59" s="1" a="1"/>
  <c r="AK177" i="59" s="1"/>
  <c r="AK178" i="59" s="1" a="1"/>
  <c r="AK178" i="59" s="1"/>
  <c r="AK179" i="59" s="1" a="1"/>
  <c r="AK179" i="59" s="1"/>
  <c r="AK180" i="59" s="1" a="1"/>
  <c r="AK180" i="59" s="1"/>
  <c r="AK181" i="59" s="1" a="1"/>
  <c r="AK181" i="59" s="1"/>
  <c r="AK182" i="59" s="1" a="1"/>
  <c r="AK182" i="59" s="1"/>
  <c r="AK183" i="59" s="1" a="1"/>
  <c r="AK183" i="59" s="1"/>
  <c r="AK184" i="59" s="1" a="1"/>
  <c r="AK184" i="59" s="1"/>
  <c r="AK185" i="59" s="1" a="1"/>
  <c r="AK185" i="59" s="1"/>
  <c r="AK186" i="59" s="1" a="1"/>
  <c r="AK186" i="59" s="1"/>
  <c r="AK187" i="59" s="1" a="1"/>
  <c r="AK187" i="59" s="1"/>
  <c r="AK188" i="59" s="1" a="1"/>
  <c r="AK188" i="59" s="1"/>
  <c r="AK189" i="59" s="1" a="1"/>
  <c r="AK189" i="59" s="1"/>
  <c r="AK190" i="59" s="1" a="1"/>
  <c r="AK190" i="59" s="1"/>
  <c r="AK191" i="59" s="1" a="1"/>
  <c r="AK191" i="59" s="1"/>
  <c r="AK192" i="59" s="1" a="1"/>
  <c r="AK192" i="59" s="1"/>
  <c r="AK193" i="59" s="1" a="1"/>
  <c r="AK193" i="59" s="1"/>
  <c r="AK194" i="59" s="1" a="1"/>
  <c r="AK194" i="59" s="1"/>
  <c r="AK195" i="59" s="1" a="1"/>
  <c r="AK195" i="59" s="1"/>
  <c r="AK196" i="59" s="1" a="1"/>
  <c r="AK196" i="59" s="1"/>
  <c r="AK197" i="59" s="1" a="1"/>
  <c r="AK197" i="59" s="1"/>
  <c r="AK198" i="59" s="1" a="1"/>
  <c r="AK198" i="59" s="1"/>
  <c r="AK199" i="59" s="1" a="1"/>
  <c r="AK199" i="59" s="1"/>
  <c r="AK200" i="59" s="1" a="1"/>
  <c r="AK200" i="59" s="1"/>
  <c r="AK201" i="59" s="1" a="1"/>
  <c r="AK201" i="59" s="1"/>
  <c r="AK202" i="59" s="1" a="1"/>
  <c r="AK202" i="59" s="1"/>
  <c r="AK203" i="59" s="1" a="1"/>
  <c r="AK203" i="59" s="1"/>
  <c r="AK204" i="59" s="1" a="1"/>
  <c r="AK204" i="59" s="1"/>
  <c r="AK205" i="59" s="1" a="1"/>
  <c r="AK205" i="59" s="1"/>
  <c r="AK206" i="59" s="1" a="1"/>
  <c r="AK206" i="59" s="1"/>
  <c r="AK207" i="59" s="1" a="1"/>
  <c r="AK207" i="59" s="1"/>
  <c r="AK208" i="59" s="1" a="1"/>
  <c r="AK208" i="59" s="1"/>
  <c r="AK209" i="59" s="1" a="1"/>
  <c r="AK209" i="59" s="1"/>
  <c r="AK210" i="59" s="1" a="1"/>
  <c r="AK210" i="59" s="1"/>
  <c r="AK211" i="59" s="1" a="1"/>
  <c r="AK211" i="59" s="1"/>
  <c r="AK212" i="59" s="1" a="1"/>
  <c r="AK212" i="59" s="1"/>
  <c r="AK213" i="59" s="1" a="1"/>
  <c r="AK213" i="59" s="1"/>
  <c r="AK214" i="59" s="1" a="1"/>
  <c r="AK214" i="59" s="1"/>
  <c r="AK215" i="59" s="1" a="1"/>
  <c r="AK215" i="59" s="1"/>
  <c r="AK216" i="59" s="1" a="1"/>
  <c r="AK216" i="59" s="1"/>
  <c r="AK217" i="59" s="1" a="1"/>
  <c r="AK217" i="59" s="1"/>
  <c r="AK218" i="59" s="1" a="1"/>
  <c r="AK218" i="59" s="1"/>
  <c r="AK219" i="59" s="1" a="1"/>
  <c r="AK219" i="59" s="1"/>
  <c r="AK220" i="59" s="1" a="1"/>
  <c r="AK220" i="59" s="1"/>
  <c r="AK221" i="59" s="1" a="1"/>
  <c r="AK221" i="59" s="1"/>
  <c r="AK222" i="59" s="1" a="1"/>
  <c r="AK222" i="59" s="1"/>
  <c r="AK223" i="59" s="1" a="1"/>
  <c r="AK223" i="59" s="1"/>
  <c r="AK224" i="59" s="1" a="1"/>
  <c r="AK224" i="59" s="1"/>
  <c r="AK225" i="59" s="1" a="1"/>
  <c r="AK225" i="59" s="1"/>
  <c r="AK226" i="59" s="1" a="1"/>
  <c r="AK226" i="59" s="1"/>
  <c r="AK227" i="59" s="1" a="1"/>
  <c r="AK227" i="59" s="1"/>
  <c r="AK228" i="59" s="1" a="1"/>
  <c r="AK228" i="59" s="1"/>
  <c r="AK229" i="59" s="1" a="1"/>
  <c r="AK229" i="59" s="1"/>
  <c r="AK230" i="59" s="1" a="1"/>
  <c r="AK230" i="59" s="1"/>
  <c r="AK231" i="59" s="1" a="1"/>
  <c r="AK231" i="59" s="1"/>
  <c r="AK232" i="59" s="1" a="1"/>
  <c r="AK232" i="59" s="1"/>
  <c r="AK233" i="59" s="1" a="1"/>
  <c r="AK233" i="59" s="1"/>
  <c r="AK234" i="59" s="1" a="1"/>
  <c r="AK234" i="59" s="1"/>
  <c r="AK235" i="59" s="1" a="1"/>
  <c r="AK235" i="59" s="1"/>
  <c r="AK236" i="59" s="1" a="1"/>
  <c r="AK236" i="59" s="1"/>
  <c r="AK237" i="59" s="1" a="1"/>
  <c r="AK237" i="59" s="1"/>
  <c r="AK238" i="59" s="1" a="1"/>
  <c r="AK238" i="59" s="1"/>
  <c r="AK239" i="59" s="1" a="1"/>
  <c r="AK239" i="59" s="1"/>
  <c r="AK240" i="59" s="1" a="1"/>
  <c r="AK240" i="59" s="1"/>
  <c r="AK241" i="59" s="1" a="1"/>
  <c r="AK241" i="59" s="1"/>
  <c r="AK242" i="59" s="1" a="1"/>
  <c r="AK242" i="59" s="1"/>
  <c r="AK243" i="59" s="1" a="1"/>
  <c r="AK243" i="59" s="1"/>
  <c r="AK244" i="59" s="1" a="1"/>
  <c r="AK244" i="59" s="1"/>
  <c r="AK245" i="59" s="1" a="1"/>
  <c r="AK245" i="59" s="1"/>
  <c r="AK246" i="59" s="1" a="1"/>
  <c r="AK246" i="59" s="1"/>
  <c r="AK247" i="59" s="1" a="1"/>
  <c r="AK247" i="59" s="1"/>
  <c r="AK248" i="59" s="1" a="1"/>
  <c r="AK248" i="59" s="1"/>
  <c r="AK249" i="59" s="1" a="1"/>
  <c r="AK249" i="59" s="1"/>
  <c r="AK250" i="59" s="1" a="1"/>
  <c r="AK250" i="59" s="1"/>
  <c r="AK251" i="59" s="1" a="1"/>
  <c r="AK251" i="59" s="1"/>
  <c r="AK252" i="59" s="1" a="1"/>
  <c r="AK252" i="59" s="1"/>
  <c r="AK253" i="59" s="1" a="1"/>
  <c r="AK253" i="59" s="1"/>
  <c r="AK254" i="59" s="1" a="1"/>
  <c r="AK254" i="59" s="1"/>
  <c r="AK255" i="59" s="1" a="1"/>
  <c r="AK255" i="59" s="1"/>
  <c r="AK256" i="59" s="1" a="1"/>
  <c r="AK256" i="59" s="1"/>
  <c r="AK257" i="59" s="1" a="1"/>
  <c r="AK257" i="59" s="1"/>
  <c r="AK258" i="59" s="1" a="1"/>
  <c r="AK258" i="59" s="1"/>
  <c r="I101" i="22"/>
  <c r="AF75" i="57" l="1"/>
  <c r="AA75" i="57"/>
  <c r="AB60" i="69"/>
  <c r="AC60" i="69" s="1"/>
  <c r="AD60" i="69" s="1"/>
  <c r="AG60" i="69"/>
  <c r="AO62" i="69"/>
  <c r="P62" i="69"/>
  <c r="L63" i="69"/>
  <c r="O63" i="69"/>
  <c r="T18" i="50"/>
  <c r="AK18" i="50"/>
  <c r="X76" i="57"/>
  <c r="AB75" i="57"/>
  <c r="AE77" i="53"/>
  <c r="AC77" i="53"/>
  <c r="AF76" i="53"/>
  <c r="AB76" i="53"/>
  <c r="AA76" i="53"/>
  <c r="AE77" i="57"/>
  <c r="AC77" i="57"/>
  <c r="AD16" i="50"/>
  <c r="AG16" i="50" s="1"/>
  <c r="AH16" i="50" s="1"/>
  <c r="AI16" i="50" s="1"/>
  <c r="AM17" i="50"/>
  <c r="U17" i="50"/>
  <c r="AG15" i="50"/>
  <c r="AH15" i="50" s="1"/>
  <c r="AI15" i="50" s="1"/>
  <c r="R77" i="57"/>
  <c r="R77" i="53"/>
  <c r="X77" i="53" s="1"/>
  <c r="D4" i="22"/>
  <c r="P143" i="11"/>
  <c r="Q143" i="11" s="1"/>
  <c r="P142" i="11"/>
  <c r="P70" i="11"/>
  <c r="P69" i="11"/>
  <c r="P75" i="11"/>
  <c r="Q75" i="11" s="1"/>
  <c r="AX61" i="69"/>
  <c r="AG78" i="57"/>
  <c r="L78" i="57"/>
  <c r="O18" i="50"/>
  <c r="AJ77" i="57"/>
  <c r="AP77" i="57"/>
  <c r="AL15" i="50"/>
  <c r="AG77" i="53"/>
  <c r="AH77" i="53"/>
  <c r="AT77" i="53"/>
  <c r="N78" i="57"/>
  <c r="P78" i="53"/>
  <c r="N78" i="53"/>
  <c r="AH61" i="69"/>
  <c r="AJ16" i="50"/>
  <c r="C16" i="50"/>
  <c r="AD77" i="57"/>
  <c r="AD77" i="53"/>
  <c r="Q77" i="53"/>
  <c r="V16" i="50"/>
  <c r="S17" i="50"/>
  <c r="J78" i="53"/>
  <c r="C78" i="53"/>
  <c r="F78" i="53"/>
  <c r="G78" i="53"/>
  <c r="K78" i="53"/>
  <c r="L78" i="53"/>
  <c r="M78" i="53"/>
  <c r="E78" i="53"/>
  <c r="D78" i="53"/>
  <c r="AK77" i="52" a="1"/>
  <c r="AK77" i="52" s="1"/>
  <c r="B79" i="53" s="1"/>
  <c r="O79" i="53" s="1"/>
  <c r="H78" i="53"/>
  <c r="I78" i="53"/>
  <c r="F18" i="50"/>
  <c r="L18" i="50"/>
  <c r="M18" i="50"/>
  <c r="B18" i="50"/>
  <c r="R18" i="50" s="1"/>
  <c r="A18" i="50"/>
  <c r="Q18" i="50" s="1"/>
  <c r="P18" i="50" s="1"/>
  <c r="J18" i="50"/>
  <c r="H18" i="50"/>
  <c r="I18" i="50"/>
  <c r="N18" i="50"/>
  <c r="K18" i="50"/>
  <c r="G18" i="50"/>
  <c r="Q77" i="57"/>
  <c r="T77" i="57" s="1"/>
  <c r="J78" i="57"/>
  <c r="E78" i="57"/>
  <c r="D78" i="57"/>
  <c r="G78" i="57"/>
  <c r="I78" i="57"/>
  <c r="C78" i="57"/>
  <c r="M78" i="57" s="1"/>
  <c r="K78" i="57"/>
  <c r="P78" i="57"/>
  <c r="F78" i="57"/>
  <c r="H78" i="57"/>
  <c r="Z16" i="50"/>
  <c r="W16" i="50"/>
  <c r="X16" i="50" s="1"/>
  <c r="AK77" i="55" a="1"/>
  <c r="AK77" i="55" s="1"/>
  <c r="B79" i="57" s="1"/>
  <c r="O79" i="57" s="1"/>
  <c r="AE61" i="69"/>
  <c r="R61" i="69"/>
  <c r="S61" i="69" s="1"/>
  <c r="Y61" i="69" s="1"/>
  <c r="U61" i="69"/>
  <c r="Q61" i="69"/>
  <c r="D62" i="69"/>
  <c r="E62" i="69" s="1"/>
  <c r="F62" i="69" s="1"/>
  <c r="G62" i="69" s="1"/>
  <c r="H62" i="69" s="1"/>
  <c r="I62" i="69" s="1"/>
  <c r="J62" i="69" s="1"/>
  <c r="K62" i="69" s="1"/>
  <c r="M62" i="69" s="1"/>
  <c r="N62" i="69"/>
  <c r="AF62" i="69" s="1"/>
  <c r="C63" i="69"/>
  <c r="AN63" i="67" a="1"/>
  <c r="AN63" i="67" s="1"/>
  <c r="B64" i="69"/>
  <c r="I100" i="22"/>
  <c r="I43" i="22"/>
  <c r="I15" i="22"/>
  <c r="I30" i="22"/>
  <c r="I54" i="22"/>
  <c r="I27" i="22"/>
  <c r="I47" i="22"/>
  <c r="I44" i="22"/>
  <c r="I63" i="22"/>
  <c r="I67" i="22"/>
  <c r="I76" i="22"/>
  <c r="I91" i="22"/>
  <c r="I38" i="22"/>
  <c r="I42" i="22"/>
  <c r="I65" i="22"/>
  <c r="I69" i="22"/>
  <c r="I78" i="22"/>
  <c r="I96" i="22"/>
  <c r="I35" i="22"/>
  <c r="I62" i="22"/>
  <c r="I66" i="22"/>
  <c r="I70" i="22"/>
  <c r="I72" i="22"/>
  <c r="I75" i="22"/>
  <c r="I90" i="22"/>
  <c r="I29" i="22"/>
  <c r="I41" i="22"/>
  <c r="I77" i="22"/>
  <c r="I88" i="22"/>
  <c r="I95" i="22"/>
  <c r="I59" i="22"/>
  <c r="AL18" i="59" a="1"/>
  <c r="AL18" i="59" s="1"/>
  <c r="E19" i="50" s="1"/>
  <c r="AC17" i="11"/>
  <c r="Q17" i="11" s="1"/>
  <c r="AC14" i="11"/>
  <c r="Q14" i="11" s="1"/>
  <c r="AC20" i="11"/>
  <c r="Q20" i="11" s="1"/>
  <c r="X20" i="11" s="1"/>
  <c r="AC32" i="11"/>
  <c r="AC44" i="11"/>
  <c r="AC60" i="11"/>
  <c r="AC76" i="11"/>
  <c r="AC92" i="11"/>
  <c r="AC108" i="11"/>
  <c r="AC120" i="11"/>
  <c r="AC136" i="11"/>
  <c r="AC148" i="11"/>
  <c r="AC164" i="11"/>
  <c r="AC184" i="11"/>
  <c r="AC192" i="11"/>
  <c r="AC208" i="11"/>
  <c r="AC224" i="11"/>
  <c r="AC244" i="11"/>
  <c r="AC256" i="11"/>
  <c r="AC16" i="1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C48" i="11"/>
  <c r="AC56" i="11"/>
  <c r="AC72" i="11"/>
  <c r="AQ72" i="11" s="1"/>
  <c r="AC88" i="11"/>
  <c r="AC104" i="11"/>
  <c r="AQ104" i="11" s="1"/>
  <c r="AC116" i="11"/>
  <c r="AC132" i="11"/>
  <c r="AC152" i="11"/>
  <c r="AC168" i="11"/>
  <c r="AC180" i="11"/>
  <c r="AC196" i="11"/>
  <c r="AC212" i="11"/>
  <c r="AC228" i="11"/>
  <c r="AC240" i="11"/>
  <c r="AC252" i="11"/>
  <c r="AC26" i="11"/>
  <c r="AQ26" i="11"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X19" i="11" s="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AB76" i="57" l="1"/>
  <c r="AA76" i="57"/>
  <c r="F85" i="22"/>
  <c r="X17" i="11"/>
  <c r="AQ17" i="11" s="1"/>
  <c r="F53" i="22"/>
  <c r="X14" i="11"/>
  <c r="AQ14" i="11" s="1"/>
  <c r="AB61" i="69"/>
  <c r="AC61" i="69" s="1"/>
  <c r="AD61" i="69" s="1"/>
  <c r="AG61" i="69"/>
  <c r="AO63" i="69"/>
  <c r="P63" i="69"/>
  <c r="L64" i="69"/>
  <c r="O64" i="69"/>
  <c r="Q16" i="11"/>
  <c r="X16" i="11" s="1"/>
  <c r="AQ16" i="11" s="1"/>
  <c r="T19" i="50"/>
  <c r="AK19" i="50"/>
  <c r="AF76" i="57"/>
  <c r="X77" i="57"/>
  <c r="AA77" i="57" s="1"/>
  <c r="AB77" i="53"/>
  <c r="AA77" i="53"/>
  <c r="AE78" i="53"/>
  <c r="AC78" i="53"/>
  <c r="AF77" i="53"/>
  <c r="AC142" i="11"/>
  <c r="AQ142" i="11" s="1"/>
  <c r="Q142" i="11"/>
  <c r="AC69" i="11"/>
  <c r="Q69" i="11"/>
  <c r="AC70" i="11"/>
  <c r="AQ70" i="11" s="1"/>
  <c r="Q70" i="11"/>
  <c r="AE78" i="57"/>
  <c r="AC78" i="57"/>
  <c r="AD17" i="50"/>
  <c r="AG17" i="50" s="1"/>
  <c r="AH17" i="50" s="1"/>
  <c r="AI17" i="50" s="1"/>
  <c r="AM18" i="50"/>
  <c r="U18" i="50"/>
  <c r="AC75" i="11"/>
  <c r="R78" i="57"/>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9" i="11"/>
  <c r="AQ102" i="11"/>
  <c r="AQ85" i="11"/>
  <c r="AQ32" i="11"/>
  <c r="AQ112" i="11"/>
  <c r="AQ103" i="11"/>
  <c r="AQ39" i="11"/>
  <c r="I102" i="22"/>
  <c r="AQ80" i="11"/>
  <c r="AQ98" i="11"/>
  <c r="AQ88" i="11"/>
  <c r="AQ81" i="11"/>
  <c r="AQ136" i="11"/>
  <c r="AQ20" i="11"/>
  <c r="AQ99" i="11"/>
  <c r="AQ35" i="11"/>
  <c r="AQ94" i="11"/>
  <c r="AQ113" i="11"/>
  <c r="AQ77" i="11"/>
  <c r="AQ45" i="11"/>
  <c r="AQ38" i="11"/>
  <c r="AQ63" i="11"/>
  <c r="AQ31" i="11"/>
  <c r="AQ30" i="11"/>
  <c r="AQ64" i="11"/>
  <c r="AQ90" i="11"/>
  <c r="I104" i="22"/>
  <c r="AQ141" i="11"/>
  <c r="AQ109" i="11"/>
  <c r="AQ73" i="11"/>
  <c r="AQ41" i="11"/>
  <c r="AQ108" i="11"/>
  <c r="AQ131" i="11"/>
  <c r="AQ123" i="11"/>
  <c r="AQ59" i="11"/>
  <c r="AQ27" i="11"/>
  <c r="AQ22" i="11"/>
  <c r="AQ52" i="11"/>
  <c r="AQ86" i="11"/>
  <c r="AQ34" i="11"/>
  <c r="AQ137" i="11"/>
  <c r="AQ105" i="11"/>
  <c r="AQ37" i="11"/>
  <c r="AQ92" i="11"/>
  <c r="AQ107" i="11"/>
  <c r="AQ25" i="11"/>
  <c r="AQ144" i="11"/>
  <c r="AQ139" i="11"/>
  <c r="I115" i="22"/>
  <c r="I99" i="22"/>
  <c r="I108" i="22"/>
  <c r="AQ121" i="11"/>
  <c r="AQ117" i="11"/>
  <c r="AQ119" i="11"/>
  <c r="AQ115" i="11"/>
  <c r="AQ126" i="11"/>
  <c r="AQ120" i="11"/>
  <c r="AQ122" i="11"/>
  <c r="AQ128" i="11"/>
  <c r="AQ124" i="11"/>
  <c r="AQ118" i="11"/>
  <c r="AQ69" i="11"/>
  <c r="AQ132" i="11"/>
  <c r="AQ129" i="11"/>
  <c r="AQ116" i="11"/>
  <c r="AQ125" i="11"/>
  <c r="AQ18" i="11"/>
  <c r="K48" i="36"/>
  <c r="J111" i="22"/>
  <c r="AX65" i="22" s="1"/>
  <c r="J103" i="22"/>
  <c r="AX61" i="22" s="1"/>
  <c r="AX62" i="69"/>
  <c r="AG79" i="57"/>
  <c r="L79" i="57"/>
  <c r="O19" i="50"/>
  <c r="AJ78" i="57"/>
  <c r="AP78" i="57"/>
  <c r="AG78" i="53"/>
  <c r="AH78" i="53"/>
  <c r="AT78" i="53"/>
  <c r="N79" i="57"/>
  <c r="N79" i="53"/>
  <c r="AH62" i="69"/>
  <c r="AJ17" i="50"/>
  <c r="C17" i="50"/>
  <c r="AD78" i="57"/>
  <c r="AD78" i="53"/>
  <c r="S18" i="50"/>
  <c r="V17" i="50"/>
  <c r="H79" i="53"/>
  <c r="K79" i="53"/>
  <c r="M79" i="53"/>
  <c r="AK78" i="52" a="1"/>
  <c r="AK78" i="52" s="1"/>
  <c r="B80" i="53" s="1"/>
  <c r="O80" i="53" s="1"/>
  <c r="Q78" i="53"/>
  <c r="F79" i="53"/>
  <c r="E79" i="53"/>
  <c r="D79" i="53"/>
  <c r="G79" i="53"/>
  <c r="I79" i="53"/>
  <c r="C79" i="53"/>
  <c r="J79" i="53"/>
  <c r="P79" i="53"/>
  <c r="L79" i="53"/>
  <c r="F19" i="50"/>
  <c r="M19" i="50"/>
  <c r="K19" i="50"/>
  <c r="A19" i="50"/>
  <c r="Q19" i="50" s="1"/>
  <c r="P19" i="50" s="1"/>
  <c r="L19" i="50"/>
  <c r="H19" i="50"/>
  <c r="N19" i="50"/>
  <c r="I19" i="50"/>
  <c r="J19" i="50"/>
  <c r="G19" i="50"/>
  <c r="B19" i="50"/>
  <c r="R19" i="50" s="1"/>
  <c r="W17" i="50"/>
  <c r="X17" i="50" s="1"/>
  <c r="Z17" i="50"/>
  <c r="Q78" i="57"/>
  <c r="T78" i="57" s="1"/>
  <c r="H79" i="57"/>
  <c r="P79" i="57"/>
  <c r="D79" i="57"/>
  <c r="C79" i="57"/>
  <c r="M79" i="57" s="1"/>
  <c r="K79" i="57"/>
  <c r="I79" i="57"/>
  <c r="G79" i="57"/>
  <c r="E79" i="57"/>
  <c r="F79" i="57"/>
  <c r="J79" i="57"/>
  <c r="AK78" i="55" a="1"/>
  <c r="AK78" i="55" s="1"/>
  <c r="B80" i="57" s="1"/>
  <c r="O80" i="57" s="1"/>
  <c r="N63" i="69"/>
  <c r="AF63" i="69" s="1"/>
  <c r="D63" i="69"/>
  <c r="E63" i="69" s="1"/>
  <c r="F63" i="69" s="1"/>
  <c r="G63" i="69" s="1"/>
  <c r="H63" i="69" s="1"/>
  <c r="I63" i="69" s="1"/>
  <c r="J63" i="69" s="1"/>
  <c r="K63" i="69" s="1"/>
  <c r="M63" i="69" s="1"/>
  <c r="AE62" i="69"/>
  <c r="U62" i="69"/>
  <c r="R62" i="69"/>
  <c r="S62" i="69" s="1"/>
  <c r="Y62" i="69" s="1"/>
  <c r="AB62" i="69" s="1"/>
  <c r="AC62" i="69" s="1"/>
  <c r="AD62" i="69" s="1"/>
  <c r="Q62" i="69"/>
  <c r="C64" i="69"/>
  <c r="AN64" i="67" a="1"/>
  <c r="AN64" i="67" s="1"/>
  <c r="B65" i="69"/>
  <c r="I21" i="22"/>
  <c r="AC11" i="11"/>
  <c r="I39" i="22"/>
  <c r="I53" i="22"/>
  <c r="I46" i="22"/>
  <c r="AL19" i="59" a="1"/>
  <c r="AL19" i="59" s="1"/>
  <c r="E20" i="50" s="1"/>
  <c r="I89" i="22"/>
  <c r="I49" i="22"/>
  <c r="I33" i="22"/>
  <c r="I24" i="22"/>
  <c r="I92" i="22"/>
  <c r="I71" i="22"/>
  <c r="I40" i="22"/>
  <c r="AC15" i="11"/>
  <c r="AC13" i="11"/>
  <c r="Q13" i="11" s="1"/>
  <c r="X13" i="11" s="1"/>
  <c r="AC12" i="11"/>
  <c r="Q12" i="11" s="1"/>
  <c r="F29" i="22" l="1"/>
  <c r="F33" i="22"/>
  <c r="L65" i="69"/>
  <c r="O65" i="69"/>
  <c r="AO64" i="69"/>
  <c r="P64" i="69"/>
  <c r="AG62" i="69"/>
  <c r="Q15" i="11"/>
  <c r="F11" i="22"/>
  <c r="F46" i="22"/>
  <c r="F8" i="22"/>
  <c r="X12" i="11"/>
  <c r="T20" i="50"/>
  <c r="AK20" i="50"/>
  <c r="AF77" i="57"/>
  <c r="AB77" i="57"/>
  <c r="X78" i="57"/>
  <c r="AB78" i="53"/>
  <c r="AA78" i="53"/>
  <c r="AF78" i="53"/>
  <c r="AE79" i="53"/>
  <c r="AC79" i="53"/>
  <c r="AE79" i="57"/>
  <c r="AC79" i="57"/>
  <c r="AM19" i="50"/>
  <c r="U19" i="50"/>
  <c r="AD18" i="50"/>
  <c r="I87" i="22"/>
  <c r="I106" i="22"/>
  <c r="F91" i="22"/>
  <c r="I128" i="22"/>
  <c r="I73" i="22"/>
  <c r="R79" i="57"/>
  <c r="R79" i="53"/>
  <c r="X79" i="53" s="1"/>
  <c r="J108" i="22"/>
  <c r="AX23" i="22" s="1"/>
  <c r="AQ44" i="11"/>
  <c r="J115" i="22"/>
  <c r="AX24" i="22" s="1"/>
  <c r="AQ65" i="11"/>
  <c r="AQ71" i="11"/>
  <c r="J120" i="22"/>
  <c r="AX137" i="22" s="1"/>
  <c r="AQ56" i="11"/>
  <c r="J126" i="22"/>
  <c r="AX99" i="22" s="1"/>
  <c r="AQ67" i="11"/>
  <c r="AQ58" i="11"/>
  <c r="J117" i="22"/>
  <c r="AX68" i="22" s="1"/>
  <c r="AQ43" i="11"/>
  <c r="J107" i="22"/>
  <c r="AX63" i="22" s="1"/>
  <c r="J116" i="22"/>
  <c r="AX67" i="22" s="1"/>
  <c r="AQ57" i="11"/>
  <c r="AQ62" i="11"/>
  <c r="J127" i="22"/>
  <c r="AX70" i="22" s="1"/>
  <c r="AQ48" i="11"/>
  <c r="AQ60" i="11"/>
  <c r="J118" i="22"/>
  <c r="AX69" i="22" s="1"/>
  <c r="J104" i="22"/>
  <c r="AX21" i="22" s="1"/>
  <c r="AQ46" i="11"/>
  <c r="AQ68" i="11"/>
  <c r="J114" i="22"/>
  <c r="AQ66" i="11"/>
  <c r="J129" i="22"/>
  <c r="AX144" i="22" s="1"/>
  <c r="AQ53" i="11"/>
  <c r="J122" i="22"/>
  <c r="AX139" i="22" s="1"/>
  <c r="AQ55" i="11"/>
  <c r="J123" i="22"/>
  <c r="AX140" i="22" s="1"/>
  <c r="J121" i="22"/>
  <c r="AX138" i="22" s="1"/>
  <c r="AQ54" i="11"/>
  <c r="J102" i="22"/>
  <c r="AX20" i="22" s="1"/>
  <c r="AQ42" i="11"/>
  <c r="I81" i="22"/>
  <c r="AQ49" i="11"/>
  <c r="J125" i="22"/>
  <c r="AX142" i="22" s="1"/>
  <c r="AQ50" i="11"/>
  <c r="J119" i="22"/>
  <c r="AX136" i="22" s="1"/>
  <c r="AQ61" i="11"/>
  <c r="J110" i="22"/>
  <c r="AX64" i="22" s="1"/>
  <c r="AQ143" i="11"/>
  <c r="BG19" i="22"/>
  <c r="BG20" i="22"/>
  <c r="AQ75" i="11"/>
  <c r="I61" i="22"/>
  <c r="AQ13" i="11"/>
  <c r="I28" i="22"/>
  <c r="K46" i="36"/>
  <c r="I93" i="22"/>
  <c r="K42" i="36"/>
  <c r="I98" i="22"/>
  <c r="K44" i="36"/>
  <c r="I22" i="22"/>
  <c r="AP14" i="50"/>
  <c r="I109" i="22"/>
  <c r="AX63" i="69"/>
  <c r="AG80" i="57"/>
  <c r="L80" i="57"/>
  <c r="O20" i="50"/>
  <c r="AJ79" i="57"/>
  <c r="AP79" i="57"/>
  <c r="AL16" i="50"/>
  <c r="AG79" i="53"/>
  <c r="AH79" i="53"/>
  <c r="AT79" i="53"/>
  <c r="N80" i="57"/>
  <c r="P80" i="53"/>
  <c r="N80" i="53"/>
  <c r="AH63" i="69"/>
  <c r="AJ18" i="50"/>
  <c r="C18" i="50"/>
  <c r="AD79" i="57"/>
  <c r="AD79" i="53"/>
  <c r="Q79" i="53"/>
  <c r="S19" i="50"/>
  <c r="V18" i="50"/>
  <c r="AK79" i="52" a="1"/>
  <c r="AK79" i="52" s="1"/>
  <c r="B81" i="53" s="1"/>
  <c r="O81" i="53" s="1"/>
  <c r="K80" i="53"/>
  <c r="J80" i="53"/>
  <c r="F80" i="53"/>
  <c r="M80" i="53"/>
  <c r="I80" i="53"/>
  <c r="H80" i="53"/>
  <c r="G80" i="53"/>
  <c r="D80" i="53"/>
  <c r="C80" i="53"/>
  <c r="L80" i="53"/>
  <c r="E80" i="53"/>
  <c r="I20" i="50"/>
  <c r="F20" i="50"/>
  <c r="H20" i="50"/>
  <c r="M20" i="50"/>
  <c r="N20" i="50"/>
  <c r="G20" i="50"/>
  <c r="A20" i="50"/>
  <c r="Q20" i="50" s="1"/>
  <c r="P20" i="50" s="1"/>
  <c r="J20" i="50"/>
  <c r="B20" i="50"/>
  <c r="R20" i="50" s="1"/>
  <c r="K20" i="50"/>
  <c r="L20" i="50"/>
  <c r="J105" i="22"/>
  <c r="AX62" i="22" s="1"/>
  <c r="Z18" i="50"/>
  <c r="W18" i="50"/>
  <c r="X18" i="50" s="1"/>
  <c r="J80" i="57"/>
  <c r="E80" i="57"/>
  <c r="C80" i="57"/>
  <c r="M80" i="57" s="1"/>
  <c r="K80" i="57"/>
  <c r="I80" i="57"/>
  <c r="F80" i="57"/>
  <c r="P80" i="57"/>
  <c r="H80" i="57"/>
  <c r="D80" i="57"/>
  <c r="G80" i="57"/>
  <c r="Q79" i="57"/>
  <c r="T79" i="57" s="1"/>
  <c r="I85" i="22"/>
  <c r="AK79" i="55" a="1"/>
  <c r="AK79" i="55" s="1"/>
  <c r="B81" i="57" s="1"/>
  <c r="O81" i="57" s="1"/>
  <c r="AN65" i="67" a="1"/>
  <c r="AN65" i="67" s="1"/>
  <c r="B66" i="69"/>
  <c r="D64" i="69"/>
  <c r="E64" i="69" s="1"/>
  <c r="F64" i="69" s="1"/>
  <c r="G64" i="69" s="1"/>
  <c r="H64" i="69" s="1"/>
  <c r="I64" i="69" s="1"/>
  <c r="J64" i="69" s="1"/>
  <c r="K64" i="69" s="1"/>
  <c r="M64" i="69" s="1"/>
  <c r="N64" i="69"/>
  <c r="AF64" i="69" s="1"/>
  <c r="AE63" i="69"/>
  <c r="Q63" i="69"/>
  <c r="R63" i="69"/>
  <c r="S63" i="69" s="1"/>
  <c r="Y63" i="69" s="1"/>
  <c r="U63" i="69"/>
  <c r="C65" i="69"/>
  <c r="I124" i="22"/>
  <c r="I32" i="22"/>
  <c r="I31" i="22"/>
  <c r="I25" i="22"/>
  <c r="I37" i="22"/>
  <c r="I74" i="22"/>
  <c r="I12" i="22"/>
  <c r="I11" i="22"/>
  <c r="I9" i="22"/>
  <c r="I6" i="22"/>
  <c r="I86" i="22"/>
  <c r="I18" i="22"/>
  <c r="BG5" i="22" s="1"/>
  <c r="I8" i="22"/>
  <c r="I34" i="22"/>
  <c r="I36" i="22"/>
  <c r="I94" i="22"/>
  <c r="I14" i="22"/>
  <c r="I82" i="22"/>
  <c r="I55" i="22"/>
  <c r="AL20" i="59" a="1"/>
  <c r="AL20" i="59" s="1"/>
  <c r="E21" i="50" s="1"/>
  <c r="I58"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AB78" i="57" l="1"/>
  <c r="AA78" i="57"/>
  <c r="F84" i="22"/>
  <c r="X15" i="11"/>
  <c r="AQ15" i="11" s="1"/>
  <c r="AB63" i="69"/>
  <c r="AC63" i="69" s="1"/>
  <c r="AD63" i="69" s="1"/>
  <c r="AG63" i="69"/>
  <c r="AO65" i="69"/>
  <c r="P65" i="69"/>
  <c r="L66" i="69"/>
  <c r="O66" i="69"/>
  <c r="T21" i="50"/>
  <c r="AK21" i="50"/>
  <c r="I60" i="22"/>
  <c r="AF78" i="57"/>
  <c r="AB79" i="53"/>
  <c r="AA79" i="53"/>
  <c r="AE80" i="53"/>
  <c r="AC80" i="53"/>
  <c r="AF79" i="53"/>
  <c r="X79" i="57"/>
  <c r="AC80" i="57"/>
  <c r="AE80" i="57"/>
  <c r="AG18" i="50"/>
  <c r="AH18" i="50" s="1"/>
  <c r="AI18" i="50" s="1"/>
  <c r="AM20" i="50"/>
  <c r="U20" i="50"/>
  <c r="AD19" i="50"/>
  <c r="AG19" i="50" s="1"/>
  <c r="AH19" i="50" s="1"/>
  <c r="AI19" i="50" s="1"/>
  <c r="R80" i="57"/>
  <c r="R80" i="53"/>
  <c r="X80" i="53" s="1"/>
  <c r="AL17" i="50"/>
  <c r="BG14" i="22"/>
  <c r="BG11" i="22"/>
  <c r="AQ12" i="11"/>
  <c r="I83" i="22"/>
  <c r="AP15" i="50"/>
  <c r="J109" i="22"/>
  <c r="AX98" i="22" s="1"/>
  <c r="AX64" i="69"/>
  <c r="AG81" i="57"/>
  <c r="L81" i="57"/>
  <c r="O21" i="50"/>
  <c r="AJ80" i="57"/>
  <c r="AP80" i="57"/>
  <c r="AG80" i="53"/>
  <c r="AH80" i="53"/>
  <c r="AT80" i="53"/>
  <c r="I19" i="22"/>
  <c r="BG15" i="22" s="1"/>
  <c r="N81" i="57"/>
  <c r="N81" i="53"/>
  <c r="AH64" i="69"/>
  <c r="AJ19" i="50"/>
  <c r="C19" i="50"/>
  <c r="AD80" i="57"/>
  <c r="Q80" i="53"/>
  <c r="AD80" i="53"/>
  <c r="S20" i="50"/>
  <c r="V19" i="50"/>
  <c r="AK80" i="52" a="1"/>
  <c r="AK80" i="52" s="1"/>
  <c r="B82" i="53" s="1"/>
  <c r="O82" i="53" s="1"/>
  <c r="F81" i="53"/>
  <c r="H81" i="53"/>
  <c r="I81" i="53"/>
  <c r="P81" i="53"/>
  <c r="K81" i="53"/>
  <c r="E81" i="53"/>
  <c r="J81" i="53"/>
  <c r="L81" i="53"/>
  <c r="M81" i="53"/>
  <c r="G81" i="53"/>
  <c r="D81" i="53"/>
  <c r="C81" i="53"/>
  <c r="F21" i="50"/>
  <c r="K21" i="50"/>
  <c r="A21" i="50"/>
  <c r="Q21" i="50" s="1"/>
  <c r="P21" i="50" s="1"/>
  <c r="H21" i="50"/>
  <c r="B21" i="50"/>
  <c r="R21" i="50" s="1"/>
  <c r="L21" i="50"/>
  <c r="I21" i="50"/>
  <c r="M21" i="50"/>
  <c r="G21" i="50"/>
  <c r="J21" i="50"/>
  <c r="N21" i="50"/>
  <c r="Z19" i="50"/>
  <c r="W19" i="50"/>
  <c r="X19" i="50" s="1"/>
  <c r="Q80" i="57"/>
  <c r="T80" i="57" s="1"/>
  <c r="K81" i="57"/>
  <c r="G81" i="57"/>
  <c r="E81" i="57"/>
  <c r="P81" i="57"/>
  <c r="D81" i="57"/>
  <c r="C81" i="57"/>
  <c r="M81" i="57" s="1"/>
  <c r="I81" i="57"/>
  <c r="H81" i="57"/>
  <c r="F81" i="57"/>
  <c r="J81" i="57"/>
  <c r="I130" i="22"/>
  <c r="I113" i="22"/>
  <c r="AK80" i="55" a="1"/>
  <c r="AK80" i="55" s="1"/>
  <c r="B82" i="57" s="1"/>
  <c r="O82" i="57" s="1"/>
  <c r="D65" i="69"/>
  <c r="E65" i="69" s="1"/>
  <c r="F65" i="69" s="1"/>
  <c r="G65" i="69" s="1"/>
  <c r="H65" i="69" s="1"/>
  <c r="I65" i="69" s="1"/>
  <c r="J65" i="69" s="1"/>
  <c r="K65" i="69" s="1"/>
  <c r="M65" i="69" s="1"/>
  <c r="N65" i="69"/>
  <c r="AF65" i="69" s="1"/>
  <c r="Q64" i="69"/>
  <c r="R64" i="69"/>
  <c r="S64" i="69" s="1"/>
  <c r="Y64" i="69" s="1"/>
  <c r="U64" i="69"/>
  <c r="AE64" i="69"/>
  <c r="C66" i="69"/>
  <c r="AN66" i="67" a="1"/>
  <c r="AN66" i="67" s="1"/>
  <c r="B67" i="69"/>
  <c r="I68" i="22"/>
  <c r="I17" i="22"/>
  <c r="I97" i="22"/>
  <c r="I51" i="22"/>
  <c r="I84" i="22"/>
  <c r="I52" i="22"/>
  <c r="I50" i="22"/>
  <c r="J39" i="22"/>
  <c r="AX9" i="22" s="1"/>
  <c r="I16" i="22"/>
  <c r="I20" i="22"/>
  <c r="J86" i="22"/>
  <c r="AX18" i="22" s="1"/>
  <c r="AL21" i="59" a="1"/>
  <c r="AL21" i="59" s="1"/>
  <c r="E22" i="50" s="1"/>
  <c r="AL11" i="11" a="1"/>
  <c r="AL11" i="11" s="1"/>
  <c r="E12" i="32" s="1"/>
  <c r="AB79" i="57" l="1"/>
  <c r="AA79" i="57"/>
  <c r="AB64" i="69"/>
  <c r="AC64" i="69" s="1"/>
  <c r="AD64" i="69" s="1"/>
  <c r="AG64" i="69"/>
  <c r="L67" i="69"/>
  <c r="O67" i="69"/>
  <c r="AO66" i="69"/>
  <c r="P66" i="69"/>
  <c r="T22" i="50"/>
  <c r="AK22" i="50"/>
  <c r="AE81" i="53"/>
  <c r="AC81" i="53"/>
  <c r="AF80" i="53"/>
  <c r="AB80" i="53"/>
  <c r="AA80" i="53"/>
  <c r="AF79" i="57"/>
  <c r="X80" i="57"/>
  <c r="AE81" i="57"/>
  <c r="AC81" i="57"/>
  <c r="AM21" i="50"/>
  <c r="U21" i="50"/>
  <c r="AD20" i="50"/>
  <c r="AG20" i="50" s="1"/>
  <c r="AH20" i="50" s="1"/>
  <c r="AI20" i="50" s="1"/>
  <c r="R81" i="57"/>
  <c r="R81" i="53"/>
  <c r="X81" i="53" s="1"/>
  <c r="AL18" i="50"/>
  <c r="BG18" i="22"/>
  <c r="BG10" i="22"/>
  <c r="BG17" i="22"/>
  <c r="BG6" i="22"/>
  <c r="AX65" i="69"/>
  <c r="AG82" i="57"/>
  <c r="L82" i="57"/>
  <c r="O22" i="50"/>
  <c r="AJ81" i="57"/>
  <c r="AP81" i="57"/>
  <c r="AG81" i="53"/>
  <c r="AH81" i="53"/>
  <c r="AT81" i="53"/>
  <c r="N82" i="57"/>
  <c r="H82" i="53"/>
  <c r="N82" i="53"/>
  <c r="AH65" i="69"/>
  <c r="AJ20" i="50"/>
  <c r="C20" i="50"/>
  <c r="AD81" i="57"/>
  <c r="AD81" i="53"/>
  <c r="Q81" i="53"/>
  <c r="V20" i="50"/>
  <c r="S21" i="50"/>
  <c r="AK81" i="52" a="1"/>
  <c r="AK81" i="52" s="1"/>
  <c r="B83" i="53" s="1"/>
  <c r="O83" i="53" s="1"/>
  <c r="K82" i="53"/>
  <c r="I82" i="53"/>
  <c r="P82" i="53"/>
  <c r="D82" i="53"/>
  <c r="F82" i="53"/>
  <c r="M82" i="53"/>
  <c r="L82" i="53"/>
  <c r="G82" i="53"/>
  <c r="J82" i="53"/>
  <c r="C82" i="53"/>
  <c r="E82" i="53"/>
  <c r="I22" i="50"/>
  <c r="B22" i="50"/>
  <c r="R22" i="50" s="1"/>
  <c r="H22" i="50"/>
  <c r="G22" i="50"/>
  <c r="A22" i="50"/>
  <c r="Q22" i="50" s="1"/>
  <c r="P22" i="50" s="1"/>
  <c r="M22" i="50"/>
  <c r="N22" i="50"/>
  <c r="K22" i="50"/>
  <c r="L22" i="50"/>
  <c r="F22" i="50"/>
  <c r="J22" i="50"/>
  <c r="Q81" i="57"/>
  <c r="T81" i="57" s="1"/>
  <c r="Z20" i="50"/>
  <c r="W20" i="50"/>
  <c r="X20" i="50" s="1"/>
  <c r="J82" i="57"/>
  <c r="G82" i="57"/>
  <c r="E82" i="57"/>
  <c r="H82" i="57"/>
  <c r="D82" i="57"/>
  <c r="K82" i="57"/>
  <c r="F82" i="57"/>
  <c r="I82" i="57"/>
  <c r="P82" i="57"/>
  <c r="C82" i="57"/>
  <c r="M82" i="57" s="1"/>
  <c r="AK81" i="55" a="1"/>
  <c r="AK81" i="55" s="1"/>
  <c r="B83" i="57" s="1"/>
  <c r="O83" i="57" s="1"/>
  <c r="AN67" i="67" a="1"/>
  <c r="AN67" i="67" s="1"/>
  <c r="B68" i="69"/>
  <c r="C67" i="69"/>
  <c r="AE65" i="69"/>
  <c r="Q65" i="69"/>
  <c r="U65" i="69"/>
  <c r="R65" i="69"/>
  <c r="S65" i="69" s="1"/>
  <c r="Y65" i="69" s="1"/>
  <c r="AB65" i="69" s="1"/>
  <c r="AC65" i="69" s="1"/>
  <c r="AD65" i="69" s="1"/>
  <c r="D66" i="69"/>
  <c r="E66" i="69" s="1"/>
  <c r="F66" i="69" s="1"/>
  <c r="G66" i="69" s="1"/>
  <c r="H66" i="69" s="1"/>
  <c r="I66" i="69" s="1"/>
  <c r="J66" i="69" s="1"/>
  <c r="K66" i="69" s="1"/>
  <c r="M66" i="69" s="1"/>
  <c r="N66" i="69"/>
  <c r="AF66" i="69" s="1"/>
  <c r="AL22" i="59" a="1"/>
  <c r="AL22" i="59" s="1"/>
  <c r="E23" i="50" s="1"/>
  <c r="AL12" i="11" a="1"/>
  <c r="AL12" i="11" s="1"/>
  <c r="E13" i="32" s="1"/>
  <c r="AB80" i="57" l="1"/>
  <c r="AA80" i="57"/>
  <c r="AG65" i="69"/>
  <c r="L68" i="69"/>
  <c r="O68" i="69"/>
  <c r="AO67" i="69"/>
  <c r="P67" i="69"/>
  <c r="AK23" i="50"/>
  <c r="T23" i="50"/>
  <c r="X81" i="57"/>
  <c r="AB81" i="53"/>
  <c r="AA81" i="53"/>
  <c r="AE82" i="53"/>
  <c r="AC82" i="53"/>
  <c r="AF81" i="53"/>
  <c r="AF80" i="57"/>
  <c r="AE82" i="57"/>
  <c r="AC82" i="57"/>
  <c r="AD21" i="50"/>
  <c r="AG21" i="50" s="1"/>
  <c r="AH21" i="50" s="1"/>
  <c r="AI21" i="50" s="1"/>
  <c r="AM22" i="50"/>
  <c r="U22" i="50"/>
  <c r="AP17" i="50"/>
  <c r="R82" i="57"/>
  <c r="R82" i="53"/>
  <c r="X82" i="53" s="1"/>
  <c r="AL19" i="50"/>
  <c r="AP16" i="50"/>
  <c r="AX66" i="69"/>
  <c r="AG83" i="57"/>
  <c r="L83" i="57"/>
  <c r="O23" i="50"/>
  <c r="AJ82" i="57"/>
  <c r="AP82" i="57"/>
  <c r="AH82" i="53"/>
  <c r="AT82" i="53"/>
  <c r="AG82" i="53"/>
  <c r="N83" i="57"/>
  <c r="E83" i="53"/>
  <c r="N83" i="53"/>
  <c r="AH66" i="69"/>
  <c r="AJ21" i="50"/>
  <c r="C21" i="50"/>
  <c r="AD82" i="57"/>
  <c r="AD82" i="53"/>
  <c r="Q82" i="53"/>
  <c r="V21" i="50"/>
  <c r="S22" i="50"/>
  <c r="F83" i="53"/>
  <c r="K83" i="53"/>
  <c r="M83" i="53"/>
  <c r="P83" i="53"/>
  <c r="G83" i="53"/>
  <c r="D83" i="53"/>
  <c r="H83" i="53"/>
  <c r="L83" i="53"/>
  <c r="AK82" i="52" a="1"/>
  <c r="AK82" i="52" s="1"/>
  <c r="B84" i="53" s="1"/>
  <c r="O84" i="53" s="1"/>
  <c r="J83" i="53"/>
  <c r="I83" i="53"/>
  <c r="C83" i="53"/>
  <c r="B23" i="50"/>
  <c r="R23" i="50" s="1"/>
  <c r="N23" i="50"/>
  <c r="M23" i="50"/>
  <c r="A23" i="50"/>
  <c r="Q23" i="50" s="1"/>
  <c r="P23" i="50" s="1"/>
  <c r="L23" i="50"/>
  <c r="G23" i="50"/>
  <c r="K23" i="50"/>
  <c r="J23" i="50"/>
  <c r="I23" i="50"/>
  <c r="F23" i="50"/>
  <c r="H23" i="50"/>
  <c r="Z21" i="50"/>
  <c r="W21" i="50"/>
  <c r="X21" i="50" s="1"/>
  <c r="H83" i="57"/>
  <c r="P83" i="57"/>
  <c r="D83" i="57"/>
  <c r="C83" i="57"/>
  <c r="M83" i="57" s="1"/>
  <c r="K83" i="57"/>
  <c r="I83" i="57"/>
  <c r="G83" i="57"/>
  <c r="E83" i="57"/>
  <c r="F83" i="57"/>
  <c r="J83" i="57"/>
  <c r="Q82" i="57"/>
  <c r="T82" i="57" s="1"/>
  <c r="AK82" i="55" a="1"/>
  <c r="AK82" i="55" s="1"/>
  <c r="B84" i="57" s="1"/>
  <c r="O84" i="57" s="1"/>
  <c r="N67" i="69"/>
  <c r="AF67" i="69" s="1"/>
  <c r="D67" i="69"/>
  <c r="E67" i="69" s="1"/>
  <c r="F67" i="69" s="1"/>
  <c r="G67" i="69" s="1"/>
  <c r="H67" i="69" s="1"/>
  <c r="I67" i="69" s="1"/>
  <c r="J67" i="69" s="1"/>
  <c r="K67" i="69" s="1"/>
  <c r="M67" i="69" s="1"/>
  <c r="Q66" i="69"/>
  <c r="R66" i="69"/>
  <c r="S66" i="69" s="1"/>
  <c r="Y66" i="69" s="1"/>
  <c r="AB66" i="69" s="1"/>
  <c r="AC66" i="69" s="1"/>
  <c r="AD66" i="69" s="1"/>
  <c r="U66" i="69"/>
  <c r="AE66" i="69"/>
  <c r="C68" i="69"/>
  <c r="AN68" i="67" a="1"/>
  <c r="AN68" i="67" s="1"/>
  <c r="B69" i="69"/>
  <c r="AL23" i="59" a="1"/>
  <c r="AL23" i="59" s="1"/>
  <c r="E24" i="50" s="1"/>
  <c r="AL13" i="11" a="1"/>
  <c r="AL13" i="11" s="1"/>
  <c r="E14" i="32" s="1"/>
  <c r="AB81" i="57" l="1"/>
  <c r="AA81" i="57"/>
  <c r="AO68" i="69"/>
  <c r="P68" i="69"/>
  <c r="L69" i="69"/>
  <c r="O69" i="69"/>
  <c r="AG66" i="69"/>
  <c r="AF81" i="57"/>
  <c r="AK24" i="50"/>
  <c r="T24" i="50"/>
  <c r="X82" i="57"/>
  <c r="AA82" i="57" s="1"/>
  <c r="AB82" i="53"/>
  <c r="AA82" i="53"/>
  <c r="AF82" i="53"/>
  <c r="AE83" i="53"/>
  <c r="AC83" i="53"/>
  <c r="AE83" i="57"/>
  <c r="AC83" i="57"/>
  <c r="AD22" i="50"/>
  <c r="AG22" i="50" s="1"/>
  <c r="AH22" i="50" s="1"/>
  <c r="AI22" i="50" s="1"/>
  <c r="AM23" i="50"/>
  <c r="U23" i="50"/>
  <c r="R83" i="57"/>
  <c r="R83" i="53"/>
  <c r="X83" i="53" s="1"/>
  <c r="AL20" i="50"/>
  <c r="AP18" i="50"/>
  <c r="AX67" i="69"/>
  <c r="AG84" i="57"/>
  <c r="L84" i="57"/>
  <c r="O24" i="50"/>
  <c r="AJ83" i="57"/>
  <c r="AP83" i="57"/>
  <c r="AG83" i="53"/>
  <c r="AH83" i="53"/>
  <c r="AT83" i="53"/>
  <c r="N84" i="57"/>
  <c r="D84" i="53"/>
  <c r="N84" i="53"/>
  <c r="AH67" i="69"/>
  <c r="AJ22" i="50"/>
  <c r="C22" i="50"/>
  <c r="AD83" i="57"/>
  <c r="AD83" i="53"/>
  <c r="S23" i="50"/>
  <c r="V22" i="50"/>
  <c r="Q83" i="53"/>
  <c r="G84" i="53"/>
  <c r="P84" i="53"/>
  <c r="H84" i="53"/>
  <c r="F84" i="53"/>
  <c r="AK83" i="52" a="1"/>
  <c r="AK83" i="52" s="1"/>
  <c r="B85" i="53" s="1"/>
  <c r="O85" i="53" s="1"/>
  <c r="K84" i="53"/>
  <c r="E84" i="53"/>
  <c r="L84" i="53"/>
  <c r="C84" i="53"/>
  <c r="M84" i="53"/>
  <c r="J84" i="53"/>
  <c r="I84" i="53"/>
  <c r="F24" i="50"/>
  <c r="J24" i="50"/>
  <c r="I24" i="50"/>
  <c r="M24" i="50"/>
  <c r="L24" i="50"/>
  <c r="B24" i="50"/>
  <c r="R24" i="50" s="1"/>
  <c r="K24" i="50"/>
  <c r="A24" i="50"/>
  <c r="Q24" i="50" s="1"/>
  <c r="P24" i="50" s="1"/>
  <c r="G24" i="50"/>
  <c r="N24" i="50"/>
  <c r="H24" i="50"/>
  <c r="Q83" i="57"/>
  <c r="T83" i="57" s="1"/>
  <c r="F84" i="57"/>
  <c r="C84" i="57"/>
  <c r="M84" i="57" s="1"/>
  <c r="K84" i="57"/>
  <c r="I84" i="57"/>
  <c r="H84" i="57"/>
  <c r="D84" i="57"/>
  <c r="G84" i="57"/>
  <c r="E84" i="57"/>
  <c r="J84" i="57"/>
  <c r="P84" i="57"/>
  <c r="Z22" i="50"/>
  <c r="W22" i="50"/>
  <c r="X22" i="50" s="1"/>
  <c r="AK83" i="55" a="1"/>
  <c r="AK83" i="55" s="1"/>
  <c r="B85" i="57" s="1"/>
  <c r="O85" i="57" s="1"/>
  <c r="AN69" i="67" a="1"/>
  <c r="AN69" i="67" s="1"/>
  <c r="B70" i="69"/>
  <c r="AE67" i="69"/>
  <c r="Q67" i="69"/>
  <c r="R67" i="69"/>
  <c r="S67" i="69" s="1"/>
  <c r="Y67" i="69" s="1"/>
  <c r="U67" i="69"/>
  <c r="C69" i="69"/>
  <c r="D68" i="69"/>
  <c r="E68" i="69" s="1"/>
  <c r="F68" i="69" s="1"/>
  <c r="G68" i="69" s="1"/>
  <c r="H68" i="69" s="1"/>
  <c r="I68" i="69" s="1"/>
  <c r="J68" i="69" s="1"/>
  <c r="K68" i="69" s="1"/>
  <c r="M68" i="69" s="1"/>
  <c r="N68" i="69"/>
  <c r="AF68" i="69" s="1"/>
  <c r="AL24" i="59" a="1"/>
  <c r="AL24" i="59" s="1"/>
  <c r="E25" i="50" s="1"/>
  <c r="AL14" i="11" a="1"/>
  <c r="AL14" i="11" s="1"/>
  <c r="E15" i="32" s="1"/>
  <c r="AB67" i="69" l="1"/>
  <c r="AC67" i="69" s="1"/>
  <c r="AD67" i="69" s="1"/>
  <c r="AG67" i="69"/>
  <c r="L70" i="69"/>
  <c r="O70" i="69"/>
  <c r="AO69" i="69"/>
  <c r="P69" i="69"/>
  <c r="X83" i="57"/>
  <c r="T25" i="50"/>
  <c r="AK25" i="50"/>
  <c r="AF82" i="57"/>
  <c r="AB82" i="57"/>
  <c r="AB83" i="53"/>
  <c r="AA83" i="53"/>
  <c r="AF83" i="53"/>
  <c r="AE84" i="53"/>
  <c r="AC84" i="53"/>
  <c r="AC84" i="57"/>
  <c r="AE84" i="57"/>
  <c r="AD23" i="50"/>
  <c r="AG23" i="50" s="1"/>
  <c r="AH23" i="50" s="1"/>
  <c r="AI23" i="50" s="1"/>
  <c r="AM24" i="50"/>
  <c r="U24" i="50"/>
  <c r="AP19" i="50"/>
  <c r="R84" i="57"/>
  <c r="R84" i="53"/>
  <c r="X84" i="53" s="1"/>
  <c r="AL21" i="50"/>
  <c r="AX68" i="69"/>
  <c r="L85" i="57"/>
  <c r="AG85" i="57"/>
  <c r="O25" i="50"/>
  <c r="AJ84" i="57"/>
  <c r="AP84" i="57"/>
  <c r="AG84" i="53"/>
  <c r="AH84" i="53"/>
  <c r="AT84" i="53"/>
  <c r="N85" i="57"/>
  <c r="J85" i="53"/>
  <c r="N85" i="53"/>
  <c r="AH68" i="69"/>
  <c r="AJ23" i="50"/>
  <c r="C23" i="50"/>
  <c r="AD84" i="57"/>
  <c r="AD84" i="53"/>
  <c r="Q84" i="53"/>
  <c r="S24" i="50"/>
  <c r="V23" i="50"/>
  <c r="E85" i="53"/>
  <c r="D85" i="53"/>
  <c r="P85" i="53"/>
  <c r="C85" i="53"/>
  <c r="AK84" i="52" a="1"/>
  <c r="AK84" i="52" s="1"/>
  <c r="B86" i="53" s="1"/>
  <c r="O86" i="53" s="1"/>
  <c r="M85" i="53"/>
  <c r="G85" i="53"/>
  <c r="H85" i="53"/>
  <c r="F85" i="53"/>
  <c r="L85" i="53"/>
  <c r="K85" i="53"/>
  <c r="I85" i="53"/>
  <c r="M25" i="50"/>
  <c r="J25" i="50"/>
  <c r="G25" i="50"/>
  <c r="L25" i="50"/>
  <c r="H25" i="50"/>
  <c r="I25" i="50"/>
  <c r="K25" i="50"/>
  <c r="B25" i="50"/>
  <c r="R25" i="50" s="1"/>
  <c r="F25" i="50"/>
  <c r="A25" i="50"/>
  <c r="Q25" i="50" s="1"/>
  <c r="P25" i="50" s="1"/>
  <c r="N25" i="50"/>
  <c r="Z23" i="50"/>
  <c r="W23" i="50"/>
  <c r="X23" i="50" s="1"/>
  <c r="Q84" i="57"/>
  <c r="T84" i="57" s="1"/>
  <c r="C85" i="57"/>
  <c r="M85" i="57" s="1"/>
  <c r="I85" i="57"/>
  <c r="H85" i="57"/>
  <c r="G85" i="57"/>
  <c r="E85" i="57"/>
  <c r="P85" i="57"/>
  <c r="D85" i="57"/>
  <c r="K85" i="57"/>
  <c r="F85" i="57"/>
  <c r="J85" i="57"/>
  <c r="AK84" i="55" a="1"/>
  <c r="AK84" i="55" s="1"/>
  <c r="B86" i="57" s="1"/>
  <c r="O86" i="57" s="1"/>
  <c r="D69" i="69"/>
  <c r="E69" i="69" s="1"/>
  <c r="F69" i="69" s="1"/>
  <c r="G69" i="69" s="1"/>
  <c r="H69" i="69" s="1"/>
  <c r="I69" i="69" s="1"/>
  <c r="J69" i="69" s="1"/>
  <c r="K69" i="69" s="1"/>
  <c r="M69" i="69" s="1"/>
  <c r="N69" i="69"/>
  <c r="AF69" i="69" s="1"/>
  <c r="AE68" i="69"/>
  <c r="U68" i="69"/>
  <c r="Q68" i="69"/>
  <c r="R68" i="69"/>
  <c r="S68" i="69" s="1"/>
  <c r="Y68" i="69" s="1"/>
  <c r="AB68" i="69" s="1"/>
  <c r="AC68" i="69" s="1"/>
  <c r="AD68" i="69" s="1"/>
  <c r="C70" i="69"/>
  <c r="AN70" i="67" a="1"/>
  <c r="AN70" i="67" s="1"/>
  <c r="B71" i="69"/>
  <c r="AL25" i="59" a="1"/>
  <c r="AL25" i="59" s="1"/>
  <c r="E26" i="50" s="1"/>
  <c r="AL15" i="11" a="1"/>
  <c r="AL15" i="11" s="1"/>
  <c r="E16" i="32" s="1"/>
  <c r="AB83" i="57" l="1"/>
  <c r="AA83" i="57"/>
  <c r="L71" i="69"/>
  <c r="O71" i="69"/>
  <c r="AG68" i="69"/>
  <c r="AO70" i="69"/>
  <c r="P70" i="69"/>
  <c r="AF83" i="57"/>
  <c r="T26" i="50"/>
  <c r="AK26" i="50"/>
  <c r="AB84" i="53"/>
  <c r="AA84" i="53"/>
  <c r="AE85" i="53"/>
  <c r="AC85" i="53"/>
  <c r="AF84" i="53"/>
  <c r="X84" i="57"/>
  <c r="AE85" i="57"/>
  <c r="AC85" i="57"/>
  <c r="AD24" i="50"/>
  <c r="AG24" i="50" s="1"/>
  <c r="AH24" i="50" s="1"/>
  <c r="AI24" i="50" s="1"/>
  <c r="AM25" i="50"/>
  <c r="U25" i="50"/>
  <c r="AP20" i="50"/>
  <c r="R85" i="57"/>
  <c r="R85" i="53"/>
  <c r="X85" i="53" s="1"/>
  <c r="AL22" i="50"/>
  <c r="AX69" i="69"/>
  <c r="AG86" i="57"/>
  <c r="L86" i="57"/>
  <c r="O26" i="50"/>
  <c r="AJ85" i="57"/>
  <c r="AP85" i="57"/>
  <c r="AH85" i="53"/>
  <c r="AT85" i="53"/>
  <c r="AG85" i="53"/>
  <c r="N86" i="57"/>
  <c r="N86" i="53"/>
  <c r="AH69" i="69"/>
  <c r="AJ24" i="50"/>
  <c r="C24" i="50"/>
  <c r="AD85" i="57"/>
  <c r="AD85" i="53"/>
  <c r="Q85" i="53"/>
  <c r="S25" i="50"/>
  <c r="V24" i="50"/>
  <c r="C86" i="53"/>
  <c r="H86" i="53"/>
  <c r="AK85" i="52" a="1"/>
  <c r="AK85" i="52" s="1"/>
  <c r="B87" i="53" s="1"/>
  <c r="O87" i="53" s="1"/>
  <c r="J86" i="53"/>
  <c r="E86" i="53"/>
  <c r="I86" i="53"/>
  <c r="F86" i="53"/>
  <c r="L86" i="53"/>
  <c r="P86" i="53"/>
  <c r="K86" i="53"/>
  <c r="D86" i="53"/>
  <c r="M86" i="53"/>
  <c r="G86" i="53"/>
  <c r="A26" i="50"/>
  <c r="Q26" i="50" s="1"/>
  <c r="P26" i="50" s="1"/>
  <c r="H26" i="50"/>
  <c r="J26" i="50"/>
  <c r="M26" i="50"/>
  <c r="G26" i="50"/>
  <c r="K26" i="50"/>
  <c r="N26" i="50"/>
  <c r="F26" i="50"/>
  <c r="L26" i="50"/>
  <c r="B26" i="50"/>
  <c r="R26" i="50" s="1"/>
  <c r="I26" i="50"/>
  <c r="Q85" i="57"/>
  <c r="T85" i="57" s="1"/>
  <c r="X85" i="57" s="1"/>
  <c r="AA85" i="57" s="1"/>
  <c r="Z24" i="50"/>
  <c r="W24" i="50"/>
  <c r="X24" i="50" s="1"/>
  <c r="J86" i="57"/>
  <c r="G86" i="57"/>
  <c r="E86" i="57"/>
  <c r="H86" i="57"/>
  <c r="D86" i="57"/>
  <c r="I86" i="57"/>
  <c r="C86" i="57"/>
  <c r="M86" i="57" s="1"/>
  <c r="K86" i="57"/>
  <c r="P86" i="57"/>
  <c r="F86" i="57"/>
  <c r="AK85" i="55" a="1"/>
  <c r="AK85" i="55" s="1"/>
  <c r="B87" i="57" s="1"/>
  <c r="O87" i="57" s="1"/>
  <c r="AN71" i="67" a="1"/>
  <c r="AN71" i="67" s="1"/>
  <c r="B72" i="69"/>
  <c r="C71" i="69"/>
  <c r="D70" i="69"/>
  <c r="E70" i="69" s="1"/>
  <c r="F70" i="69" s="1"/>
  <c r="G70" i="69" s="1"/>
  <c r="H70" i="69" s="1"/>
  <c r="I70" i="69" s="1"/>
  <c r="J70" i="69" s="1"/>
  <c r="K70" i="69" s="1"/>
  <c r="M70" i="69" s="1"/>
  <c r="N70" i="69"/>
  <c r="AF70" i="69" s="1"/>
  <c r="AE69" i="69"/>
  <c r="Q69" i="69"/>
  <c r="U69" i="69"/>
  <c r="R69" i="69"/>
  <c r="S69" i="69" s="1"/>
  <c r="Y69" i="69" s="1"/>
  <c r="AL26" i="59" a="1"/>
  <c r="AL26" i="59" s="1"/>
  <c r="E27" i="50" s="1"/>
  <c r="AL16" i="11" a="1"/>
  <c r="AL16" i="11" s="1"/>
  <c r="E17" i="32" s="1"/>
  <c r="AB84" i="57" l="1"/>
  <c r="AA84" i="57"/>
  <c r="AB69" i="69"/>
  <c r="AC69" i="69" s="1"/>
  <c r="AD69" i="69" s="1"/>
  <c r="AG69" i="69"/>
  <c r="AO71" i="69"/>
  <c r="P71" i="69"/>
  <c r="L72" i="69"/>
  <c r="O72" i="69"/>
  <c r="T27" i="50"/>
  <c r="AK27" i="50"/>
  <c r="AB85" i="53"/>
  <c r="AA85" i="53"/>
  <c r="AE86" i="53"/>
  <c r="AC86" i="53"/>
  <c r="AF85" i="53"/>
  <c r="AF84" i="57"/>
  <c r="AB85" i="57"/>
  <c r="AF85" i="57"/>
  <c r="AE86" i="57"/>
  <c r="AC86" i="57"/>
  <c r="AM26" i="50"/>
  <c r="U26" i="50"/>
  <c r="AD25" i="50"/>
  <c r="AG25" i="50" s="1"/>
  <c r="AH25" i="50" s="1"/>
  <c r="AI25" i="50" s="1"/>
  <c r="AP21" i="50"/>
  <c r="R86" i="57"/>
  <c r="R86" i="53"/>
  <c r="X86" i="53" s="1"/>
  <c r="AL23" i="50"/>
  <c r="AX70" i="69"/>
  <c r="AG87" i="57"/>
  <c r="L87" i="57"/>
  <c r="O27" i="50"/>
  <c r="AJ86" i="57"/>
  <c r="AP86" i="57"/>
  <c r="AH86" i="53"/>
  <c r="AT86" i="53"/>
  <c r="AG86" i="53"/>
  <c r="N87" i="57"/>
  <c r="J87" i="53"/>
  <c r="N87" i="53"/>
  <c r="AH70" i="69"/>
  <c r="AJ25" i="50"/>
  <c r="C25" i="50"/>
  <c r="AD86" i="57"/>
  <c r="AD86" i="53"/>
  <c r="S26" i="50"/>
  <c r="V25" i="50"/>
  <c r="Q86" i="53"/>
  <c r="C87" i="53"/>
  <c r="D87" i="53"/>
  <c r="AK86" i="52" a="1"/>
  <c r="AK86" i="52" s="1"/>
  <c r="B88" i="53" s="1"/>
  <c r="O88" i="53" s="1"/>
  <c r="L87" i="53"/>
  <c r="I87" i="53"/>
  <c r="G87" i="53"/>
  <c r="P87" i="53"/>
  <c r="M87" i="53"/>
  <c r="K87" i="53"/>
  <c r="E87" i="53"/>
  <c r="H87" i="53"/>
  <c r="F87" i="53"/>
  <c r="F27" i="50"/>
  <c r="A27" i="50"/>
  <c r="Q27" i="50" s="1"/>
  <c r="P27" i="50" s="1"/>
  <c r="K27" i="50"/>
  <c r="M27" i="50"/>
  <c r="L27" i="50"/>
  <c r="B27" i="50"/>
  <c r="R27" i="50" s="1"/>
  <c r="I27" i="50"/>
  <c r="H27" i="50"/>
  <c r="J27" i="50"/>
  <c r="G27" i="50"/>
  <c r="N27" i="50"/>
  <c r="Q86" i="57"/>
  <c r="T86" i="57" s="1"/>
  <c r="Z25" i="50"/>
  <c r="W25" i="50"/>
  <c r="X25" i="50" s="1"/>
  <c r="P87" i="57"/>
  <c r="D87" i="57"/>
  <c r="C87" i="57"/>
  <c r="M87" i="57" s="1"/>
  <c r="K87" i="57"/>
  <c r="I87" i="57"/>
  <c r="H87" i="57"/>
  <c r="G87" i="57"/>
  <c r="E87" i="57"/>
  <c r="F87" i="57"/>
  <c r="J87" i="57"/>
  <c r="AK86" i="55" a="1"/>
  <c r="AK86" i="55" s="1"/>
  <c r="B88" i="57" s="1"/>
  <c r="O88" i="57" s="1"/>
  <c r="AN72" i="67" a="1"/>
  <c r="AN72" i="67" s="1"/>
  <c r="B73" i="69"/>
  <c r="D71" i="69"/>
  <c r="E71" i="69" s="1"/>
  <c r="F71" i="69" s="1"/>
  <c r="G71" i="69" s="1"/>
  <c r="H71" i="69" s="1"/>
  <c r="I71" i="69" s="1"/>
  <c r="J71" i="69" s="1"/>
  <c r="K71" i="69" s="1"/>
  <c r="M71" i="69" s="1"/>
  <c r="N71" i="69"/>
  <c r="AF71" i="69" s="1"/>
  <c r="AE70" i="69"/>
  <c r="R70" i="69"/>
  <c r="S70" i="69" s="1"/>
  <c r="Y70" i="69" s="1"/>
  <c r="U70" i="69"/>
  <c r="Q70" i="69"/>
  <c r="C72" i="69"/>
  <c r="AL27" i="59" a="1"/>
  <c r="AL27" i="59" s="1"/>
  <c r="E28" i="50" s="1"/>
  <c r="AL17" i="11" a="1"/>
  <c r="AL17" i="11" s="1"/>
  <c r="E18" i="32" s="1"/>
  <c r="AB70" i="69" l="1"/>
  <c r="AC70" i="69" s="1"/>
  <c r="AD70" i="69" s="1"/>
  <c r="AG70" i="69"/>
  <c r="L73" i="69"/>
  <c r="O73" i="69"/>
  <c r="AO72" i="69"/>
  <c r="P72" i="69"/>
  <c r="T28" i="50"/>
  <c r="AK28" i="50"/>
  <c r="AB86" i="53"/>
  <c r="AA86" i="53"/>
  <c r="AF86" i="53"/>
  <c r="AE87" i="53"/>
  <c r="AC87" i="53"/>
  <c r="X86" i="57"/>
  <c r="AE87" i="57"/>
  <c r="AC87" i="57"/>
  <c r="AD26" i="50"/>
  <c r="AG26" i="50" s="1"/>
  <c r="AH26" i="50" s="1"/>
  <c r="AI26" i="50" s="1"/>
  <c r="AM27" i="50"/>
  <c r="U27" i="50"/>
  <c r="AP22" i="50"/>
  <c r="R87" i="57"/>
  <c r="R87" i="53"/>
  <c r="X87" i="53" s="1"/>
  <c r="AL24" i="50"/>
  <c r="AL25" i="50"/>
  <c r="AX71" i="69"/>
  <c r="AG88" i="57"/>
  <c r="L88" i="57"/>
  <c r="O28" i="50"/>
  <c r="AJ87" i="57"/>
  <c r="AP87" i="57"/>
  <c r="AG87" i="53"/>
  <c r="AH87" i="53"/>
  <c r="AT87" i="53"/>
  <c r="N88" i="57"/>
  <c r="K88" i="53"/>
  <c r="N88" i="53"/>
  <c r="AH71" i="69"/>
  <c r="AJ26" i="50"/>
  <c r="C26" i="50"/>
  <c r="AD87" i="57"/>
  <c r="AD87" i="53"/>
  <c r="S27" i="50"/>
  <c r="V26" i="50"/>
  <c r="Q87" i="53"/>
  <c r="P88" i="53"/>
  <c r="D88" i="53"/>
  <c r="C88" i="53"/>
  <c r="E88" i="53"/>
  <c r="H88" i="53"/>
  <c r="F88" i="53"/>
  <c r="AK87" i="52" a="1"/>
  <c r="AK87" i="52" s="1"/>
  <c r="B89" i="53" s="1"/>
  <c r="O89" i="53" s="1"/>
  <c r="M88" i="53"/>
  <c r="L88" i="53"/>
  <c r="I88" i="53"/>
  <c r="G88" i="53"/>
  <c r="J88" i="53"/>
  <c r="I28" i="50"/>
  <c r="N28" i="50"/>
  <c r="H28" i="50"/>
  <c r="M28" i="50"/>
  <c r="L28" i="50"/>
  <c r="K28" i="50"/>
  <c r="G28" i="50"/>
  <c r="F28" i="50"/>
  <c r="J28" i="50"/>
  <c r="B28" i="50"/>
  <c r="R28" i="50" s="1"/>
  <c r="A28" i="50"/>
  <c r="Q28" i="50" s="1"/>
  <c r="P28" i="50" s="1"/>
  <c r="W26" i="50"/>
  <c r="X26" i="50" s="1"/>
  <c r="Z26" i="50"/>
  <c r="E88" i="57"/>
  <c r="C88" i="57"/>
  <c r="M88" i="57" s="1"/>
  <c r="K88" i="57"/>
  <c r="J88" i="57"/>
  <c r="I88" i="57"/>
  <c r="F88" i="57"/>
  <c r="P88" i="57"/>
  <c r="H88" i="57"/>
  <c r="D88" i="57"/>
  <c r="G88" i="57"/>
  <c r="Q87" i="57"/>
  <c r="T87" i="57" s="1"/>
  <c r="AK87" i="55" a="1"/>
  <c r="AK87" i="55" s="1"/>
  <c r="B89" i="57" s="1"/>
  <c r="O89" i="57" s="1"/>
  <c r="AE71" i="69"/>
  <c r="Q71" i="69"/>
  <c r="U71" i="69"/>
  <c r="R71" i="69"/>
  <c r="S71" i="69" s="1"/>
  <c r="Y71" i="69" s="1"/>
  <c r="AB71" i="69" s="1"/>
  <c r="AC71" i="69" s="1"/>
  <c r="AD71" i="69" s="1"/>
  <c r="D72" i="69"/>
  <c r="E72" i="69" s="1"/>
  <c r="F72" i="69" s="1"/>
  <c r="G72" i="69" s="1"/>
  <c r="H72" i="69" s="1"/>
  <c r="I72" i="69" s="1"/>
  <c r="J72" i="69" s="1"/>
  <c r="K72" i="69" s="1"/>
  <c r="M72" i="69" s="1"/>
  <c r="N72" i="69"/>
  <c r="AF72" i="69" s="1"/>
  <c r="C73" i="69"/>
  <c r="AN73" i="67" a="1"/>
  <c r="AN73" i="67" s="1"/>
  <c r="B74" i="69"/>
  <c r="AL28" i="59" a="1"/>
  <c r="AL28" i="59" s="1"/>
  <c r="E29" i="50" s="1"/>
  <c r="AL18" i="11" a="1"/>
  <c r="AL18" i="11" s="1"/>
  <c r="E19" i="32" s="1"/>
  <c r="AB86" i="57" l="1"/>
  <c r="AA86" i="57"/>
  <c r="L74" i="69"/>
  <c r="O74" i="69"/>
  <c r="AO73" i="69"/>
  <c r="P73" i="69"/>
  <c r="AG71" i="69"/>
  <c r="T29" i="50"/>
  <c r="AK29" i="50"/>
  <c r="AB87" i="53"/>
  <c r="AA87" i="53"/>
  <c r="AE88" i="53"/>
  <c r="AC88" i="53"/>
  <c r="AF87" i="53"/>
  <c r="AF86" i="57"/>
  <c r="X87" i="57"/>
  <c r="AE88" i="57"/>
  <c r="AC88" i="57"/>
  <c r="AD27" i="50"/>
  <c r="AG27" i="50" s="1"/>
  <c r="AH27" i="50" s="1"/>
  <c r="AI27" i="50" s="1"/>
  <c r="AM28" i="50"/>
  <c r="U28" i="50"/>
  <c r="AP25" i="50"/>
  <c r="R88" i="57"/>
  <c r="R88" i="53"/>
  <c r="X88" i="53" s="1"/>
  <c r="AL26" i="50"/>
  <c r="AP23" i="50"/>
  <c r="AX72" i="69"/>
  <c r="AG89" i="57"/>
  <c r="L89" i="57"/>
  <c r="O29" i="50"/>
  <c r="AJ88" i="57"/>
  <c r="AP88" i="57"/>
  <c r="AG88" i="53"/>
  <c r="AH88" i="53"/>
  <c r="AT88" i="53"/>
  <c r="N89" i="57"/>
  <c r="J89" i="53"/>
  <c r="N89" i="53"/>
  <c r="AH72" i="69"/>
  <c r="AJ27" i="50"/>
  <c r="C27" i="50"/>
  <c r="AD88" i="57"/>
  <c r="AD88" i="53"/>
  <c r="S28" i="50"/>
  <c r="V27" i="50"/>
  <c r="Q88" i="53"/>
  <c r="E89" i="53"/>
  <c r="L89" i="53"/>
  <c r="K89" i="53"/>
  <c r="C89" i="53"/>
  <c r="G89" i="53"/>
  <c r="D89" i="53"/>
  <c r="P89" i="53"/>
  <c r="H89" i="53"/>
  <c r="AK88" i="52" a="1"/>
  <c r="AK88" i="52" s="1"/>
  <c r="B90" i="53" s="1"/>
  <c r="O90" i="53" s="1"/>
  <c r="I89" i="53"/>
  <c r="M89" i="53"/>
  <c r="F89" i="53"/>
  <c r="B29" i="50"/>
  <c r="R29" i="50" s="1"/>
  <c r="I29" i="50"/>
  <c r="A29" i="50"/>
  <c r="Q29" i="50" s="1"/>
  <c r="P29" i="50" s="1"/>
  <c r="M29" i="50"/>
  <c r="H29" i="50"/>
  <c r="K29" i="50"/>
  <c r="G29" i="50"/>
  <c r="F29" i="50"/>
  <c r="J29" i="50"/>
  <c r="N29" i="50"/>
  <c r="L29" i="50"/>
  <c r="G89" i="57"/>
  <c r="E89" i="57"/>
  <c r="P89" i="57"/>
  <c r="D89" i="57"/>
  <c r="C89" i="57"/>
  <c r="M89" i="57" s="1"/>
  <c r="K89" i="57"/>
  <c r="I89" i="57"/>
  <c r="H89" i="57"/>
  <c r="F89" i="57"/>
  <c r="J89" i="57"/>
  <c r="Z27" i="50"/>
  <c r="W27" i="50"/>
  <c r="X27" i="50" s="1"/>
  <c r="Q88" i="57"/>
  <c r="T88" i="57" s="1"/>
  <c r="AK88" i="55" a="1"/>
  <c r="AK88" i="55" s="1"/>
  <c r="B90" i="57" s="1"/>
  <c r="O90" i="57" s="1"/>
  <c r="AN74" i="67" a="1"/>
  <c r="AN74" i="67" s="1"/>
  <c r="B75" i="69"/>
  <c r="AE72" i="69"/>
  <c r="U72" i="69"/>
  <c r="Q72" i="69"/>
  <c r="R72" i="69"/>
  <c r="S72" i="69" s="1"/>
  <c r="Y72" i="69" s="1"/>
  <c r="D73" i="69"/>
  <c r="E73" i="69" s="1"/>
  <c r="F73" i="69" s="1"/>
  <c r="G73" i="69" s="1"/>
  <c r="H73" i="69" s="1"/>
  <c r="I73" i="69" s="1"/>
  <c r="J73" i="69" s="1"/>
  <c r="K73" i="69" s="1"/>
  <c r="M73" i="69" s="1"/>
  <c r="N73" i="69"/>
  <c r="AF73" i="69" s="1"/>
  <c r="C74" i="69"/>
  <c r="AL29" i="59" a="1"/>
  <c r="AL29" i="59" s="1"/>
  <c r="E30" i="50" s="1"/>
  <c r="AL19" i="11" a="1"/>
  <c r="AL19" i="11" s="1"/>
  <c r="E20" i="32" s="1"/>
  <c r="AB87" i="57" l="1"/>
  <c r="AA87" i="57"/>
  <c r="AB72" i="69"/>
  <c r="AC72" i="69" s="1"/>
  <c r="AD72" i="69" s="1"/>
  <c r="AG72" i="69"/>
  <c r="AO74" i="69"/>
  <c r="P74" i="69"/>
  <c r="L75" i="69"/>
  <c r="O75" i="69"/>
  <c r="T30" i="50"/>
  <c r="AK30" i="50"/>
  <c r="AB88" i="53"/>
  <c r="AA88" i="53"/>
  <c r="AF88" i="53"/>
  <c r="AE89" i="53"/>
  <c r="AC89" i="53"/>
  <c r="AF87" i="57"/>
  <c r="X88" i="57"/>
  <c r="AE89" i="57"/>
  <c r="AC89" i="57"/>
  <c r="AD28" i="50"/>
  <c r="AG28" i="50" s="1"/>
  <c r="AH28" i="50" s="1"/>
  <c r="AI28" i="50" s="1"/>
  <c r="AM29" i="50"/>
  <c r="U29" i="50"/>
  <c r="AP26" i="50"/>
  <c r="AP24" i="50"/>
  <c r="R89" i="57"/>
  <c r="R89" i="53"/>
  <c r="X89" i="53" s="1"/>
  <c r="AL27" i="50"/>
  <c r="AX73" i="69"/>
  <c r="AG90" i="57"/>
  <c r="L90" i="57"/>
  <c r="O30" i="50"/>
  <c r="AJ89" i="57"/>
  <c r="AP89" i="57"/>
  <c r="AG89" i="53"/>
  <c r="AH89" i="53"/>
  <c r="AT89" i="53"/>
  <c r="N90" i="57"/>
  <c r="P90" i="53"/>
  <c r="N90" i="53"/>
  <c r="AH73" i="69"/>
  <c r="AJ28" i="50"/>
  <c r="C28" i="50"/>
  <c r="AD89" i="57"/>
  <c r="AD89" i="53"/>
  <c r="S29" i="50"/>
  <c r="V28" i="50"/>
  <c r="Q89" i="53"/>
  <c r="F90" i="53"/>
  <c r="L90" i="53"/>
  <c r="D90" i="53"/>
  <c r="G90" i="53"/>
  <c r="H90" i="53"/>
  <c r="I90" i="53"/>
  <c r="C90" i="53"/>
  <c r="E90" i="53"/>
  <c r="AK89" i="52" a="1"/>
  <c r="AK89" i="52" s="1"/>
  <c r="B91" i="53" s="1"/>
  <c r="O91" i="53" s="1"/>
  <c r="J90" i="53"/>
  <c r="K90" i="53"/>
  <c r="M90" i="53"/>
  <c r="G30" i="50"/>
  <c r="B30" i="50"/>
  <c r="R30" i="50" s="1"/>
  <c r="M30" i="50"/>
  <c r="L30" i="50"/>
  <c r="F30" i="50"/>
  <c r="A30" i="50"/>
  <c r="Q30" i="50" s="1"/>
  <c r="P30" i="50" s="1"/>
  <c r="N30" i="50"/>
  <c r="H30" i="50"/>
  <c r="K30" i="50"/>
  <c r="J30" i="50"/>
  <c r="I30" i="50"/>
  <c r="Q89" i="57"/>
  <c r="T89" i="57" s="1"/>
  <c r="Z28" i="50"/>
  <c r="W28" i="50"/>
  <c r="X28" i="50" s="1"/>
  <c r="P90" i="57"/>
  <c r="C90" i="57"/>
  <c r="M90" i="57" s="1"/>
  <c r="H90" i="57"/>
  <c r="J90" i="57"/>
  <c r="D90" i="57"/>
  <c r="G90" i="57"/>
  <c r="K90" i="57"/>
  <c r="E90" i="57"/>
  <c r="F90" i="57"/>
  <c r="I90" i="57"/>
  <c r="AK89" i="55" a="1"/>
  <c r="AK89" i="55" s="1"/>
  <c r="B91" i="57" s="1"/>
  <c r="O91" i="57" s="1"/>
  <c r="N74" i="69"/>
  <c r="AF74" i="69" s="1"/>
  <c r="D74" i="69"/>
  <c r="E74" i="69" s="1"/>
  <c r="F74" i="69" s="1"/>
  <c r="G74" i="69" s="1"/>
  <c r="H74" i="69" s="1"/>
  <c r="I74" i="69" s="1"/>
  <c r="J74" i="69" s="1"/>
  <c r="K74" i="69" s="1"/>
  <c r="M74" i="69" s="1"/>
  <c r="AE73" i="69"/>
  <c r="Q73" i="69"/>
  <c r="R73" i="69"/>
  <c r="S73" i="69" s="1"/>
  <c r="Y73" i="69" s="1"/>
  <c r="U73" i="69"/>
  <c r="C75" i="69"/>
  <c r="AN75" i="67" a="1"/>
  <c r="AN75" i="67" s="1"/>
  <c r="B76" i="69"/>
  <c r="AL30" i="59" a="1"/>
  <c r="AL30" i="59" s="1"/>
  <c r="E31" i="50" s="1"/>
  <c r="AL20" i="11" a="1"/>
  <c r="AL20" i="11" s="1"/>
  <c r="E21" i="32" s="1"/>
  <c r="AB88" i="57" l="1"/>
  <c r="AA88" i="57"/>
  <c r="AB73" i="69"/>
  <c r="AC73" i="69" s="1"/>
  <c r="AD73" i="69" s="1"/>
  <c r="AG73" i="69"/>
  <c r="L76" i="69"/>
  <c r="O76" i="69"/>
  <c r="AO75" i="69"/>
  <c r="P75" i="69"/>
  <c r="AK31" i="50"/>
  <c r="T31" i="50"/>
  <c r="AB89" i="53"/>
  <c r="AA89" i="53"/>
  <c r="AE90" i="53"/>
  <c r="AC90" i="53"/>
  <c r="AF89" i="53"/>
  <c r="X89" i="57"/>
  <c r="AA89" i="57" s="1"/>
  <c r="AF88" i="57"/>
  <c r="AE90" i="57"/>
  <c r="AC90" i="57"/>
  <c r="AM30" i="50"/>
  <c r="U30" i="50"/>
  <c r="AD29" i="50"/>
  <c r="AG29" i="50" s="1"/>
  <c r="AH29" i="50" s="1"/>
  <c r="AI29" i="50" s="1"/>
  <c r="AP27" i="50"/>
  <c r="R90" i="57"/>
  <c r="R90" i="53"/>
  <c r="X90" i="53" s="1"/>
  <c r="AL28" i="50"/>
  <c r="AX74" i="69"/>
  <c r="AG91" i="57"/>
  <c r="L91" i="57"/>
  <c r="O31" i="50"/>
  <c r="AJ90" i="57"/>
  <c r="AP90" i="57"/>
  <c r="AH90" i="53"/>
  <c r="AT90" i="53"/>
  <c r="AG90" i="53"/>
  <c r="N91" i="57"/>
  <c r="G91" i="53"/>
  <c r="N91" i="53"/>
  <c r="AH74" i="69"/>
  <c r="AJ29" i="50"/>
  <c r="C29" i="50"/>
  <c r="AD90" i="57"/>
  <c r="AD90" i="53"/>
  <c r="S30" i="50"/>
  <c r="V29" i="50"/>
  <c r="Q90" i="53"/>
  <c r="F91" i="53"/>
  <c r="H91" i="53"/>
  <c r="E91" i="53"/>
  <c r="M91" i="53"/>
  <c r="J91" i="53"/>
  <c r="C91" i="53"/>
  <c r="I91" i="53"/>
  <c r="D91" i="53"/>
  <c r="AK90" i="52" a="1"/>
  <c r="AK90" i="52" s="1"/>
  <c r="B92" i="53" s="1"/>
  <c r="O92" i="53" s="1"/>
  <c r="P91" i="53"/>
  <c r="L91" i="53"/>
  <c r="K91" i="53"/>
  <c r="M31" i="50"/>
  <c r="H31" i="50"/>
  <c r="I31" i="50"/>
  <c r="J31" i="50"/>
  <c r="N31" i="50"/>
  <c r="F31" i="50"/>
  <c r="G31" i="50"/>
  <c r="K31" i="50"/>
  <c r="A31" i="50"/>
  <c r="Q31" i="50" s="1"/>
  <c r="P31" i="50" s="1"/>
  <c r="L31" i="50"/>
  <c r="B31" i="50"/>
  <c r="R31" i="50" s="1"/>
  <c r="Q90" i="57"/>
  <c r="T90" i="57" s="1"/>
  <c r="Z29" i="50"/>
  <c r="W29" i="50"/>
  <c r="X29" i="50" s="1"/>
  <c r="H91" i="57"/>
  <c r="G91" i="57"/>
  <c r="E91" i="57"/>
  <c r="P91" i="57"/>
  <c r="D91" i="57"/>
  <c r="C91" i="57"/>
  <c r="M91" i="57" s="1"/>
  <c r="K91" i="57"/>
  <c r="I91" i="57"/>
  <c r="F91" i="57"/>
  <c r="J91" i="57"/>
  <c r="AK90" i="55" a="1"/>
  <c r="AK90" i="55" s="1"/>
  <c r="B92" i="57" s="1"/>
  <c r="O92" i="57" s="1"/>
  <c r="AN76" i="67" a="1"/>
  <c r="AN76" i="67" s="1"/>
  <c r="B77" i="69"/>
  <c r="AE74" i="69"/>
  <c r="Q74" i="69"/>
  <c r="R74" i="69"/>
  <c r="S74" i="69" s="1"/>
  <c r="Y74" i="69" s="1"/>
  <c r="U74" i="69"/>
  <c r="C76" i="69"/>
  <c r="N75" i="69"/>
  <c r="AF75" i="69" s="1"/>
  <c r="D75" i="69"/>
  <c r="E75" i="69" s="1"/>
  <c r="F75" i="69" s="1"/>
  <c r="G75" i="69" s="1"/>
  <c r="H75" i="69" s="1"/>
  <c r="I75" i="69" s="1"/>
  <c r="J75" i="69" s="1"/>
  <c r="K75" i="69" s="1"/>
  <c r="M75" i="69" s="1"/>
  <c r="AL31" i="59" a="1"/>
  <c r="AL31" i="59" s="1"/>
  <c r="E32" i="50" s="1"/>
  <c r="AL21" i="11" a="1"/>
  <c r="AL21" i="11" s="1"/>
  <c r="E22" i="32" s="1"/>
  <c r="X90" i="57" l="1"/>
  <c r="AA90" i="57" s="1"/>
  <c r="AB74" i="69"/>
  <c r="AC74" i="69" s="1"/>
  <c r="AD74" i="69" s="1"/>
  <c r="AG74" i="69"/>
  <c r="L77" i="69"/>
  <c r="O77" i="69"/>
  <c r="AO76" i="69"/>
  <c r="P76" i="69"/>
  <c r="AK32" i="50"/>
  <c r="T32" i="50"/>
  <c r="AB89" i="57"/>
  <c r="AB90" i="53"/>
  <c r="AA90" i="53"/>
  <c r="AF90" i="53"/>
  <c r="AE91" i="53"/>
  <c r="AC91" i="53"/>
  <c r="AK22" i="32"/>
  <c r="T22" i="32"/>
  <c r="AF89" i="57"/>
  <c r="AE91" i="57"/>
  <c r="AC91" i="57"/>
  <c r="AD30" i="50"/>
  <c r="AG30" i="50" s="1"/>
  <c r="AH30" i="50" s="1"/>
  <c r="AI30" i="50" s="1"/>
  <c r="AM31" i="50"/>
  <c r="U31" i="50"/>
  <c r="AP28" i="50"/>
  <c r="R91" i="57"/>
  <c r="R91" i="53"/>
  <c r="X91" i="53" s="1"/>
  <c r="AL29" i="50"/>
  <c r="AX75" i="69"/>
  <c r="AG92" i="57"/>
  <c r="L92" i="57"/>
  <c r="O32" i="50"/>
  <c r="AJ91" i="57"/>
  <c r="AP91" i="57"/>
  <c r="AG91" i="53"/>
  <c r="AH91" i="53"/>
  <c r="AT91" i="53"/>
  <c r="N92" i="57"/>
  <c r="I92" i="53"/>
  <c r="N92" i="53"/>
  <c r="AH75" i="69"/>
  <c r="AJ30" i="50"/>
  <c r="C30" i="50"/>
  <c r="AD91" i="57"/>
  <c r="Q91" i="53"/>
  <c r="AD91" i="53"/>
  <c r="S31" i="50"/>
  <c r="V30" i="50"/>
  <c r="G92" i="53"/>
  <c r="L92" i="53"/>
  <c r="J92" i="53"/>
  <c r="E92" i="53"/>
  <c r="H92" i="53"/>
  <c r="C92" i="53"/>
  <c r="M92" i="53"/>
  <c r="P92" i="53"/>
  <c r="K92" i="53"/>
  <c r="F92" i="53"/>
  <c r="AK91" i="52" a="1"/>
  <c r="AK91" i="52" s="1"/>
  <c r="B93" i="53" s="1"/>
  <c r="O93" i="53" s="1"/>
  <c r="D92" i="53"/>
  <c r="F32" i="50"/>
  <c r="I32" i="50"/>
  <c r="J32" i="50"/>
  <c r="L32" i="50"/>
  <c r="M32" i="50"/>
  <c r="K32" i="50"/>
  <c r="N32" i="50"/>
  <c r="B32" i="50"/>
  <c r="R32" i="50" s="1"/>
  <c r="A32" i="50"/>
  <c r="Q32" i="50" s="1"/>
  <c r="P32" i="50" s="1"/>
  <c r="G32" i="50"/>
  <c r="H32" i="50"/>
  <c r="K92" i="57"/>
  <c r="I92" i="57"/>
  <c r="F92" i="57"/>
  <c r="C92" i="57"/>
  <c r="M92" i="57" s="1"/>
  <c r="G92" i="57"/>
  <c r="P92" i="57"/>
  <c r="H92" i="57"/>
  <c r="E92" i="57"/>
  <c r="D92" i="57"/>
  <c r="J92" i="57"/>
  <c r="Q91" i="57"/>
  <c r="T91" i="57" s="1"/>
  <c r="W30" i="50"/>
  <c r="X30" i="50" s="1"/>
  <c r="Z30" i="50"/>
  <c r="AK91" i="55" a="1"/>
  <c r="AK91" i="55" s="1"/>
  <c r="B93" i="57" s="1"/>
  <c r="O93" i="57" s="1"/>
  <c r="C77" i="69"/>
  <c r="AE75" i="69"/>
  <c r="R75" i="69"/>
  <c r="S75" i="69" s="1"/>
  <c r="Y75" i="69" s="1"/>
  <c r="Q75" i="69"/>
  <c r="U75" i="69"/>
  <c r="D76" i="69"/>
  <c r="E76" i="69" s="1"/>
  <c r="F76" i="69" s="1"/>
  <c r="G76" i="69" s="1"/>
  <c r="H76" i="69" s="1"/>
  <c r="I76" i="69" s="1"/>
  <c r="J76" i="69" s="1"/>
  <c r="K76" i="69" s="1"/>
  <c r="M76" i="69" s="1"/>
  <c r="N76" i="69"/>
  <c r="AF76" i="69" s="1"/>
  <c r="AN77" i="67" a="1"/>
  <c r="AN77" i="67" s="1"/>
  <c r="B78" i="69"/>
  <c r="AL32" i="59" a="1"/>
  <c r="AL32" i="59" s="1"/>
  <c r="E33" i="50" s="1"/>
  <c r="AL22" i="11" a="1"/>
  <c r="AL22" i="11" s="1"/>
  <c r="E23" i="32" s="1"/>
  <c r="AB90" i="57" l="1"/>
  <c r="AF90" i="57"/>
  <c r="AB75" i="69"/>
  <c r="AC75" i="69" s="1"/>
  <c r="AD75" i="69" s="1"/>
  <c r="AG75" i="69"/>
  <c r="L78" i="69"/>
  <c r="O78" i="69"/>
  <c r="AO77" i="69"/>
  <c r="P77" i="69"/>
  <c r="T33" i="50"/>
  <c r="AK33" i="50"/>
  <c r="AB91" i="53"/>
  <c r="AA91" i="53"/>
  <c r="AE92" i="53"/>
  <c r="AC92" i="53"/>
  <c r="AF91" i="53"/>
  <c r="AK23" i="32"/>
  <c r="T23" i="32"/>
  <c r="X91" i="57"/>
  <c r="AA91" i="57" s="1"/>
  <c r="AC92" i="57"/>
  <c r="AE92" i="57"/>
  <c r="AD31" i="50"/>
  <c r="AG31" i="50" s="1"/>
  <c r="AH31" i="50" s="1"/>
  <c r="AI31" i="50" s="1"/>
  <c r="AM32" i="50"/>
  <c r="U32" i="50"/>
  <c r="AP29" i="50"/>
  <c r="R92" i="57"/>
  <c r="R92" i="53"/>
  <c r="X92" i="53" s="1"/>
  <c r="AL30" i="50"/>
  <c r="AX76" i="69"/>
  <c r="L93" i="57"/>
  <c r="AG93" i="57"/>
  <c r="O33" i="50"/>
  <c r="AJ92" i="57"/>
  <c r="AP92" i="57"/>
  <c r="AG92" i="53"/>
  <c r="AH92" i="53"/>
  <c r="AT92" i="53"/>
  <c r="N93" i="57"/>
  <c r="C93" i="53"/>
  <c r="N93" i="53"/>
  <c r="AH76" i="69"/>
  <c r="AJ31" i="50"/>
  <c r="C31" i="50"/>
  <c r="AD92" i="57"/>
  <c r="AD92" i="53"/>
  <c r="Q92" i="53"/>
  <c r="V31" i="50"/>
  <c r="S32" i="50"/>
  <c r="M93" i="53"/>
  <c r="G93" i="53"/>
  <c r="F93" i="53"/>
  <c r="P93" i="53"/>
  <c r="I93" i="53"/>
  <c r="J93" i="53"/>
  <c r="K93" i="53"/>
  <c r="H93" i="53"/>
  <c r="E93" i="53"/>
  <c r="AK92" i="52" a="1"/>
  <c r="AK92" i="52" s="1"/>
  <c r="B94" i="53" s="1"/>
  <c r="O94" i="53" s="1"/>
  <c r="L93" i="53"/>
  <c r="D93" i="53"/>
  <c r="M33" i="50"/>
  <c r="F33" i="50"/>
  <c r="A33" i="50"/>
  <c r="Q33" i="50" s="1"/>
  <c r="P33" i="50" s="1"/>
  <c r="B33" i="50"/>
  <c r="R33" i="50" s="1"/>
  <c r="L33" i="50"/>
  <c r="G33" i="50"/>
  <c r="H33" i="50"/>
  <c r="I33" i="50"/>
  <c r="K33" i="50"/>
  <c r="J33" i="50"/>
  <c r="N33" i="50"/>
  <c r="W31" i="50"/>
  <c r="X31" i="50" s="1"/>
  <c r="Z31" i="50"/>
  <c r="Q92" i="57"/>
  <c r="T92" i="57" s="1"/>
  <c r="P93" i="57"/>
  <c r="D93" i="57"/>
  <c r="C93" i="57"/>
  <c r="M93" i="57" s="1"/>
  <c r="K93" i="57"/>
  <c r="I93" i="57"/>
  <c r="H93" i="57"/>
  <c r="G93" i="57"/>
  <c r="E93" i="57"/>
  <c r="F93" i="57"/>
  <c r="J93" i="57"/>
  <c r="AK92" i="55" a="1"/>
  <c r="AK92" i="55" s="1"/>
  <c r="B94" i="57" s="1"/>
  <c r="O94" i="57" s="1"/>
  <c r="AN78" i="67" a="1"/>
  <c r="AN78" i="67" s="1"/>
  <c r="B79" i="69"/>
  <c r="D77" i="69"/>
  <c r="E77" i="69" s="1"/>
  <c r="F77" i="69" s="1"/>
  <c r="G77" i="69" s="1"/>
  <c r="H77" i="69" s="1"/>
  <c r="I77" i="69" s="1"/>
  <c r="J77" i="69" s="1"/>
  <c r="K77" i="69" s="1"/>
  <c r="M77" i="69" s="1"/>
  <c r="N77" i="69"/>
  <c r="AF77" i="69" s="1"/>
  <c r="C78" i="69"/>
  <c r="AE76" i="69"/>
  <c r="Q76" i="69"/>
  <c r="R76" i="69"/>
  <c r="S76" i="69" s="1"/>
  <c r="Y76" i="69" s="1"/>
  <c r="U76" i="69"/>
  <c r="AL23" i="11" a="1"/>
  <c r="AL23" i="11" s="1"/>
  <c r="E24" i="32" s="1"/>
  <c r="AL33" i="59" a="1"/>
  <c r="AL33" i="59" s="1"/>
  <c r="E34" i="50" s="1"/>
  <c r="AB76" i="69" l="1"/>
  <c r="AC76" i="69" s="1"/>
  <c r="AD76" i="69" s="1"/>
  <c r="AG76" i="69"/>
  <c r="L79" i="69"/>
  <c r="O79" i="69"/>
  <c r="AO78" i="69"/>
  <c r="P78" i="69"/>
  <c r="T34" i="50"/>
  <c r="AK34" i="50"/>
  <c r="AB92" i="53"/>
  <c r="AA92" i="53"/>
  <c r="AE93" i="53"/>
  <c r="AC93" i="53"/>
  <c r="AF92" i="53"/>
  <c r="T24" i="32"/>
  <c r="AK24" i="32"/>
  <c r="AB91" i="57"/>
  <c r="AF91" i="57"/>
  <c r="X92" i="57"/>
  <c r="AA92" i="57" s="1"/>
  <c r="AE93" i="57"/>
  <c r="AC93" i="57"/>
  <c r="AD32" i="50"/>
  <c r="AG32" i="50" s="1"/>
  <c r="AH32" i="50" s="1"/>
  <c r="AI32" i="50" s="1"/>
  <c r="AM33" i="50"/>
  <c r="U33" i="50"/>
  <c r="AP30" i="50"/>
  <c r="R93" i="57"/>
  <c r="R93" i="53"/>
  <c r="X93" i="53" s="1"/>
  <c r="AL31" i="50"/>
  <c r="AX77" i="69"/>
  <c r="AG94" i="57"/>
  <c r="L94" i="57"/>
  <c r="O34" i="50"/>
  <c r="AJ93" i="57"/>
  <c r="AP93" i="57"/>
  <c r="AH93" i="53"/>
  <c r="AT93" i="53"/>
  <c r="AG93" i="53"/>
  <c r="N94" i="57"/>
  <c r="N94" i="53"/>
  <c r="AH77" i="69"/>
  <c r="AJ32" i="50"/>
  <c r="C32" i="50"/>
  <c r="AD93" i="57"/>
  <c r="AD93" i="53"/>
  <c r="Q93" i="53"/>
  <c r="V32" i="50"/>
  <c r="S33" i="50"/>
  <c r="F94" i="53"/>
  <c r="K94" i="53"/>
  <c r="M94" i="53"/>
  <c r="P94" i="53"/>
  <c r="H94" i="53"/>
  <c r="J94" i="53"/>
  <c r="G94" i="53"/>
  <c r="C94" i="53"/>
  <c r="E94" i="53"/>
  <c r="AK93" i="52" a="1"/>
  <c r="AK93" i="52" s="1"/>
  <c r="B95" i="53" s="1"/>
  <c r="O95" i="53" s="1"/>
  <c r="I94" i="53"/>
  <c r="L94" i="53"/>
  <c r="D94" i="53"/>
  <c r="A34" i="50"/>
  <c r="Q34" i="50" s="1"/>
  <c r="P34" i="50" s="1"/>
  <c r="M34" i="50"/>
  <c r="J34" i="50"/>
  <c r="N34" i="50"/>
  <c r="H34" i="50"/>
  <c r="B34" i="50"/>
  <c r="R34" i="50" s="1"/>
  <c r="I34" i="50"/>
  <c r="F34" i="50"/>
  <c r="K34" i="50"/>
  <c r="L34" i="50"/>
  <c r="G34" i="50"/>
  <c r="Q93" i="57"/>
  <c r="T93" i="57" s="1"/>
  <c r="W32" i="50"/>
  <c r="X32" i="50" s="1"/>
  <c r="Z32" i="50"/>
  <c r="J94" i="57"/>
  <c r="G94" i="57"/>
  <c r="E94" i="57"/>
  <c r="D94" i="57"/>
  <c r="I94" i="57"/>
  <c r="C94" i="57"/>
  <c r="M94" i="57" s="1"/>
  <c r="K94" i="57"/>
  <c r="P94" i="57"/>
  <c r="F94" i="57"/>
  <c r="H94" i="57"/>
  <c r="AK93" i="55" a="1"/>
  <c r="AK93" i="55" s="1"/>
  <c r="B95" i="57" s="1"/>
  <c r="O95" i="57" s="1"/>
  <c r="C79" i="69"/>
  <c r="N78" i="69"/>
  <c r="AF78" i="69" s="1"/>
  <c r="D78" i="69"/>
  <c r="E78" i="69" s="1"/>
  <c r="F78" i="69" s="1"/>
  <c r="G78" i="69" s="1"/>
  <c r="H78" i="69" s="1"/>
  <c r="I78" i="69" s="1"/>
  <c r="J78" i="69" s="1"/>
  <c r="K78" i="69" s="1"/>
  <c r="M78" i="69" s="1"/>
  <c r="AE77" i="69"/>
  <c r="Q77" i="69"/>
  <c r="R77" i="69"/>
  <c r="S77" i="69" s="1"/>
  <c r="Y77" i="69" s="1"/>
  <c r="U77" i="69"/>
  <c r="AN79" i="67" a="1"/>
  <c r="AN79" i="67" s="1"/>
  <c r="B80" i="69"/>
  <c r="AL24" i="11" a="1"/>
  <c r="AL24" i="11" s="1"/>
  <c r="E25" i="32" s="1"/>
  <c r="AL34" i="59" a="1"/>
  <c r="AL34" i="59" s="1"/>
  <c r="E35" i="50" s="1"/>
  <c r="AB77" i="69" l="1"/>
  <c r="AC77" i="69" s="1"/>
  <c r="AD77" i="69" s="1"/>
  <c r="AG77" i="69"/>
  <c r="L80" i="69"/>
  <c r="O80" i="69"/>
  <c r="AO79" i="69"/>
  <c r="P79" i="69"/>
  <c r="T35" i="50"/>
  <c r="AK35" i="50"/>
  <c r="AB92" i="57"/>
  <c r="AB93" i="53"/>
  <c r="AA93" i="53"/>
  <c r="AE94" i="53"/>
  <c r="AC94" i="53"/>
  <c r="AF93" i="53"/>
  <c r="AK25" i="32"/>
  <c r="T25" i="32"/>
  <c r="AF92" i="57"/>
  <c r="X93" i="57"/>
  <c r="AE94" i="57"/>
  <c r="AC94" i="57"/>
  <c r="AD33" i="50"/>
  <c r="AG33" i="50" s="1"/>
  <c r="AH33" i="50" s="1"/>
  <c r="AI33" i="50" s="1"/>
  <c r="U34" i="50"/>
  <c r="AM34" i="50"/>
  <c r="AP31" i="50"/>
  <c r="R94" i="57"/>
  <c r="R94" i="53"/>
  <c r="X94" i="53" s="1"/>
  <c r="AL32" i="50"/>
  <c r="AX78" i="69"/>
  <c r="AG95" i="57"/>
  <c r="L95" i="57"/>
  <c r="O35" i="50"/>
  <c r="AJ94" i="57"/>
  <c r="AP94" i="57"/>
  <c r="AH94" i="53"/>
  <c r="AT94" i="53"/>
  <c r="AG94" i="53"/>
  <c r="N95" i="57"/>
  <c r="G95" i="53"/>
  <c r="N95" i="53"/>
  <c r="AH78" i="69"/>
  <c r="AJ33" i="50"/>
  <c r="C33" i="50"/>
  <c r="AD94" i="57"/>
  <c r="AD94" i="53"/>
  <c r="V33" i="50"/>
  <c r="S34" i="50"/>
  <c r="Q94" i="53"/>
  <c r="I95" i="53"/>
  <c r="L95" i="53"/>
  <c r="M95" i="53"/>
  <c r="F95" i="53"/>
  <c r="E95" i="53"/>
  <c r="AK94" i="52" a="1"/>
  <c r="AK94" i="52" s="1"/>
  <c r="B96" i="53" s="1"/>
  <c r="O96" i="53" s="1"/>
  <c r="H95" i="53"/>
  <c r="K95" i="53"/>
  <c r="J95" i="53"/>
  <c r="C95" i="53"/>
  <c r="D95" i="53"/>
  <c r="P95" i="53"/>
  <c r="F35" i="50"/>
  <c r="A35" i="50"/>
  <c r="Q35" i="50" s="1"/>
  <c r="P35" i="50" s="1"/>
  <c r="M35" i="50"/>
  <c r="K35" i="50"/>
  <c r="L35" i="50"/>
  <c r="J35" i="50"/>
  <c r="I35" i="50"/>
  <c r="H35" i="50"/>
  <c r="N35" i="50"/>
  <c r="B35" i="50"/>
  <c r="R35" i="50" s="1"/>
  <c r="G35" i="50"/>
  <c r="Z33" i="50"/>
  <c r="W33" i="50"/>
  <c r="X33" i="50" s="1"/>
  <c r="E95" i="57"/>
  <c r="C95" i="57"/>
  <c r="M95" i="57" s="1"/>
  <c r="K95" i="57"/>
  <c r="G95" i="57"/>
  <c r="H95" i="57"/>
  <c r="D95" i="57"/>
  <c r="P95" i="57"/>
  <c r="I95" i="57"/>
  <c r="F95" i="57"/>
  <c r="J95" i="57"/>
  <c r="Q94" i="57"/>
  <c r="T94" i="57" s="1"/>
  <c r="AK94" i="55" a="1"/>
  <c r="AK94" i="55" s="1"/>
  <c r="B96" i="57" s="1"/>
  <c r="O96" i="57" s="1"/>
  <c r="AN80" i="67" a="1"/>
  <c r="AN80" i="67" s="1"/>
  <c r="B81" i="69"/>
  <c r="D79" i="69"/>
  <c r="E79" i="69" s="1"/>
  <c r="F79" i="69" s="1"/>
  <c r="G79" i="69" s="1"/>
  <c r="H79" i="69" s="1"/>
  <c r="I79" i="69" s="1"/>
  <c r="J79" i="69" s="1"/>
  <c r="K79" i="69" s="1"/>
  <c r="M79" i="69" s="1"/>
  <c r="N79" i="69"/>
  <c r="AF79" i="69" s="1"/>
  <c r="C80" i="69"/>
  <c r="R78" i="69"/>
  <c r="S78" i="69" s="1"/>
  <c r="Y78" i="69" s="1"/>
  <c r="U78" i="69"/>
  <c r="AE78" i="69"/>
  <c r="Q78" i="69"/>
  <c r="AL25" i="11" a="1"/>
  <c r="AL25" i="11" s="1"/>
  <c r="E26" i="32" s="1"/>
  <c r="AL35" i="59" a="1"/>
  <c r="AL35" i="59" s="1"/>
  <c r="E36" i="50" s="1"/>
  <c r="AB93" i="57" l="1"/>
  <c r="AA93" i="57"/>
  <c r="AB78" i="69"/>
  <c r="AC78" i="69" s="1"/>
  <c r="AD78" i="69" s="1"/>
  <c r="AG78" i="69"/>
  <c r="AO80" i="69"/>
  <c r="P80" i="69"/>
  <c r="L81" i="69"/>
  <c r="O81" i="69"/>
  <c r="T36" i="50"/>
  <c r="AK36" i="50"/>
  <c r="X94" i="57"/>
  <c r="AA94" i="57" s="1"/>
  <c r="AB94" i="53"/>
  <c r="AA94" i="53"/>
  <c r="AF94" i="53"/>
  <c r="AE95" i="53"/>
  <c r="AC95" i="53"/>
  <c r="AK26" i="32"/>
  <c r="T26" i="32"/>
  <c r="AF93" i="57"/>
  <c r="AE95" i="57"/>
  <c r="AC95" i="57"/>
  <c r="AM35" i="50"/>
  <c r="U35" i="50"/>
  <c r="AD34" i="50"/>
  <c r="AG34" i="50" s="1"/>
  <c r="AH34" i="50" s="1"/>
  <c r="AI34" i="50" s="1"/>
  <c r="AP32" i="50"/>
  <c r="R95" i="57"/>
  <c r="R95" i="53"/>
  <c r="X95" i="53" s="1"/>
  <c r="AL33" i="50"/>
  <c r="AX79" i="69"/>
  <c r="AG96" i="57"/>
  <c r="L96" i="57"/>
  <c r="O36" i="50"/>
  <c r="AJ95" i="57"/>
  <c r="AP95" i="57"/>
  <c r="AG95" i="53"/>
  <c r="AH95" i="53"/>
  <c r="AT95" i="53"/>
  <c r="N96" i="57"/>
  <c r="N96" i="53"/>
  <c r="AH79" i="69"/>
  <c r="AJ34" i="50"/>
  <c r="C34" i="50"/>
  <c r="AD95" i="57"/>
  <c r="AD95" i="53"/>
  <c r="V34" i="50"/>
  <c r="S35" i="50"/>
  <c r="J96" i="53"/>
  <c r="F96" i="53"/>
  <c r="M96" i="53"/>
  <c r="H96" i="53"/>
  <c r="I96" i="53"/>
  <c r="P96" i="53"/>
  <c r="G96" i="53"/>
  <c r="E96" i="53"/>
  <c r="K96" i="53"/>
  <c r="Q95" i="53"/>
  <c r="AK95" i="52" a="1"/>
  <c r="AK95" i="52" s="1"/>
  <c r="B97" i="53" s="1"/>
  <c r="O97" i="53" s="1"/>
  <c r="L96" i="53"/>
  <c r="D96" i="53"/>
  <c r="C96" i="53"/>
  <c r="F36" i="50"/>
  <c r="H36" i="50"/>
  <c r="M36" i="50"/>
  <c r="N36" i="50"/>
  <c r="G36" i="50"/>
  <c r="L36" i="50"/>
  <c r="K36" i="50"/>
  <c r="I36" i="50"/>
  <c r="J36" i="50"/>
  <c r="B36" i="50"/>
  <c r="R36" i="50" s="1"/>
  <c r="A36" i="50"/>
  <c r="Q36" i="50" s="1"/>
  <c r="P36" i="50" s="1"/>
  <c r="Z34" i="50"/>
  <c r="W34" i="50"/>
  <c r="X34" i="50" s="1"/>
  <c r="Q95" i="57"/>
  <c r="T95" i="57" s="1"/>
  <c r="F96" i="57"/>
  <c r="E96" i="57"/>
  <c r="C96" i="57"/>
  <c r="M96" i="57" s="1"/>
  <c r="I96" i="57"/>
  <c r="J96" i="57"/>
  <c r="K96" i="57"/>
  <c r="P96" i="57"/>
  <c r="H96" i="57"/>
  <c r="D96" i="57"/>
  <c r="G96" i="57"/>
  <c r="AK95" i="55" a="1"/>
  <c r="AK95" i="55" s="1"/>
  <c r="B97" i="57" s="1"/>
  <c r="O97" i="57" s="1"/>
  <c r="AN81" i="67" a="1"/>
  <c r="AN81" i="67" s="1"/>
  <c r="B82" i="69"/>
  <c r="C81" i="69"/>
  <c r="D80" i="69"/>
  <c r="E80" i="69" s="1"/>
  <c r="F80" i="69" s="1"/>
  <c r="G80" i="69" s="1"/>
  <c r="H80" i="69" s="1"/>
  <c r="I80" i="69" s="1"/>
  <c r="J80" i="69" s="1"/>
  <c r="K80" i="69" s="1"/>
  <c r="M80" i="69" s="1"/>
  <c r="N80" i="69"/>
  <c r="AF80" i="69" s="1"/>
  <c r="AE79" i="69"/>
  <c r="Q79" i="69"/>
  <c r="R79" i="69"/>
  <c r="S79" i="69" s="1"/>
  <c r="Y79" i="69" s="1"/>
  <c r="AB79" i="69" s="1"/>
  <c r="AC79" i="69" s="1"/>
  <c r="AD79" i="69" s="1"/>
  <c r="U79" i="69"/>
  <c r="AL26" i="11" a="1"/>
  <c r="AL26" i="11" s="1"/>
  <c r="E27" i="32" s="1"/>
  <c r="AL36" i="59" a="1"/>
  <c r="AL36" i="59" s="1"/>
  <c r="E37" i="50" s="1"/>
  <c r="L82" i="69" l="1"/>
  <c r="O82" i="69"/>
  <c r="AO81" i="69"/>
  <c r="P81" i="69"/>
  <c r="AG79" i="69"/>
  <c r="T37" i="50"/>
  <c r="AK37" i="50"/>
  <c r="AF94" i="57"/>
  <c r="AB94" i="57"/>
  <c r="AB95" i="53"/>
  <c r="AA95" i="53"/>
  <c r="AF95" i="53"/>
  <c r="AE96" i="53"/>
  <c r="AC96" i="53"/>
  <c r="AK27" i="32"/>
  <c r="T27" i="32"/>
  <c r="X95" i="57"/>
  <c r="AE96" i="57"/>
  <c r="AC96" i="57"/>
  <c r="AM36" i="50"/>
  <c r="U36" i="50"/>
  <c r="AD35" i="50"/>
  <c r="AG35" i="50" s="1"/>
  <c r="AH35" i="50" s="1"/>
  <c r="AI35" i="50" s="1"/>
  <c r="AP33" i="50"/>
  <c r="R96" i="57"/>
  <c r="R96" i="53"/>
  <c r="X96" i="53" s="1"/>
  <c r="AL34" i="50"/>
  <c r="AX80" i="69"/>
  <c r="AG97" i="57"/>
  <c r="L97" i="57"/>
  <c r="O37" i="50"/>
  <c r="AJ96" i="57"/>
  <c r="AP96" i="57"/>
  <c r="AG96" i="53"/>
  <c r="AH96" i="53"/>
  <c r="AT96" i="53"/>
  <c r="N97" i="57"/>
  <c r="J97" i="53"/>
  <c r="N97" i="53"/>
  <c r="AH80" i="69"/>
  <c r="AJ35" i="50"/>
  <c r="C35" i="50"/>
  <c r="AD96" i="57"/>
  <c r="AD96" i="53"/>
  <c r="Q96" i="53"/>
  <c r="S36" i="50"/>
  <c r="V35" i="50"/>
  <c r="C97" i="53"/>
  <c r="M97" i="53"/>
  <c r="E97" i="53"/>
  <c r="P97" i="53"/>
  <c r="G97" i="53"/>
  <c r="K97" i="53"/>
  <c r="F97" i="53"/>
  <c r="L97" i="53"/>
  <c r="H97" i="53"/>
  <c r="AK96" i="52" a="1"/>
  <c r="AK96" i="52" s="1"/>
  <c r="B98" i="53" s="1"/>
  <c r="O98" i="53" s="1"/>
  <c r="I97" i="53"/>
  <c r="D97" i="53"/>
  <c r="B37" i="50"/>
  <c r="R37" i="50" s="1"/>
  <c r="K37" i="50"/>
  <c r="M37" i="50"/>
  <c r="I37" i="50"/>
  <c r="A37" i="50"/>
  <c r="Q37" i="50" s="1"/>
  <c r="P37" i="50" s="1"/>
  <c r="H37" i="50"/>
  <c r="G37" i="50"/>
  <c r="F37" i="50"/>
  <c r="N37" i="50"/>
  <c r="J37" i="50"/>
  <c r="L37" i="50"/>
  <c r="Q96" i="57"/>
  <c r="T96" i="57" s="1"/>
  <c r="X96" i="57" s="1"/>
  <c r="AA96" i="57" s="1"/>
  <c r="Z35" i="50"/>
  <c r="W35" i="50"/>
  <c r="X35" i="50" s="1"/>
  <c r="H97" i="57"/>
  <c r="G97" i="57"/>
  <c r="E97" i="57"/>
  <c r="P97" i="57"/>
  <c r="D97" i="57"/>
  <c r="C97" i="57"/>
  <c r="M97" i="57" s="1"/>
  <c r="I97" i="57"/>
  <c r="K97" i="57"/>
  <c r="F97" i="57"/>
  <c r="J97" i="57"/>
  <c r="AK96" i="55" a="1"/>
  <c r="AK96" i="55" s="1"/>
  <c r="B98" i="57" s="1"/>
  <c r="O98" i="57" s="1"/>
  <c r="AE80" i="69"/>
  <c r="R80" i="69"/>
  <c r="S80" i="69" s="1"/>
  <c r="Y80" i="69" s="1"/>
  <c r="AB80" i="69" s="1"/>
  <c r="AC80" i="69" s="1"/>
  <c r="AD80" i="69" s="1"/>
  <c r="U80" i="69"/>
  <c r="Q80" i="69"/>
  <c r="D81" i="69"/>
  <c r="E81" i="69" s="1"/>
  <c r="F81" i="69" s="1"/>
  <c r="G81" i="69" s="1"/>
  <c r="H81" i="69" s="1"/>
  <c r="I81" i="69" s="1"/>
  <c r="J81" i="69" s="1"/>
  <c r="K81" i="69" s="1"/>
  <c r="M81" i="69" s="1"/>
  <c r="N81" i="69"/>
  <c r="AF81" i="69" s="1"/>
  <c r="C82" i="69"/>
  <c r="AN82" i="67" a="1"/>
  <c r="AN82" i="67" s="1"/>
  <c r="B83" i="69"/>
  <c r="AL27" i="11" a="1"/>
  <c r="AL27" i="11" s="1"/>
  <c r="E28" i="32" s="1"/>
  <c r="AL37" i="59" a="1"/>
  <c r="AL37" i="59" s="1"/>
  <c r="E38" i="50" s="1"/>
  <c r="AB95" i="57" l="1"/>
  <c r="AA95" i="57"/>
  <c r="L83" i="69"/>
  <c r="O83" i="69"/>
  <c r="AO82" i="69"/>
  <c r="P82" i="69"/>
  <c r="AG80" i="69"/>
  <c r="T38" i="50"/>
  <c r="AK38" i="50"/>
  <c r="AB96" i="53"/>
  <c r="AA96" i="53"/>
  <c r="AE97" i="53"/>
  <c r="AC97" i="53"/>
  <c r="AF96" i="53"/>
  <c r="T28" i="32"/>
  <c r="AK28" i="32"/>
  <c r="AF95" i="57"/>
  <c r="AB96" i="57"/>
  <c r="AE97" i="57"/>
  <c r="AC97" i="57"/>
  <c r="AF96" i="57"/>
  <c r="AM37" i="50"/>
  <c r="U37" i="50"/>
  <c r="AD36" i="50"/>
  <c r="AG36" i="50" s="1"/>
  <c r="AH36" i="50" s="1"/>
  <c r="AI36" i="50" s="1"/>
  <c r="AP34" i="50"/>
  <c r="R97" i="57"/>
  <c r="R97" i="53"/>
  <c r="X97" i="53" s="1"/>
  <c r="AL35" i="50"/>
  <c r="AX81" i="69"/>
  <c r="AG98" i="57"/>
  <c r="L98" i="57"/>
  <c r="O38" i="50"/>
  <c r="AJ97" i="57"/>
  <c r="AP97" i="57"/>
  <c r="AG97" i="53"/>
  <c r="AH97" i="53"/>
  <c r="AT97" i="53"/>
  <c r="N98" i="57"/>
  <c r="G98" i="53"/>
  <c r="N98" i="53"/>
  <c r="AH81" i="69"/>
  <c r="AJ36" i="50"/>
  <c r="C36" i="50"/>
  <c r="AD97" i="57"/>
  <c r="AD97" i="53"/>
  <c r="S37" i="50"/>
  <c r="V36" i="50"/>
  <c r="Q97" i="53"/>
  <c r="J98" i="53"/>
  <c r="M98" i="53"/>
  <c r="E98" i="53"/>
  <c r="I98" i="53"/>
  <c r="AK97" i="52" a="1"/>
  <c r="AK97" i="52" s="1"/>
  <c r="B99" i="53" s="1"/>
  <c r="O99" i="53" s="1"/>
  <c r="K98" i="53"/>
  <c r="P98" i="53"/>
  <c r="F98" i="53"/>
  <c r="L98" i="53"/>
  <c r="H98" i="53"/>
  <c r="C98" i="53"/>
  <c r="D98" i="53"/>
  <c r="G38" i="50"/>
  <c r="F38" i="50"/>
  <c r="M38" i="50"/>
  <c r="L38" i="50"/>
  <c r="K38" i="50"/>
  <c r="H38" i="50"/>
  <c r="B38" i="50"/>
  <c r="R38" i="50" s="1"/>
  <c r="N38" i="50"/>
  <c r="A38" i="50"/>
  <c r="Q38" i="50" s="1"/>
  <c r="P38" i="50" s="1"/>
  <c r="J38" i="50"/>
  <c r="I38" i="50"/>
  <c r="Q97" i="57"/>
  <c r="T97" i="57" s="1"/>
  <c r="J98" i="57"/>
  <c r="E98" i="57"/>
  <c r="H98" i="57"/>
  <c r="G98" i="57"/>
  <c r="D98" i="57"/>
  <c r="K98" i="57"/>
  <c r="F98" i="57"/>
  <c r="I98" i="57"/>
  <c r="C98" i="57"/>
  <c r="M98" i="57" s="1"/>
  <c r="P98" i="57"/>
  <c r="W36" i="50"/>
  <c r="X36" i="50" s="1"/>
  <c r="Z36" i="50"/>
  <c r="AK97" i="55" a="1"/>
  <c r="AK97" i="55" s="1"/>
  <c r="B99" i="57" s="1"/>
  <c r="O99" i="57" s="1"/>
  <c r="D82" i="69"/>
  <c r="E82" i="69" s="1"/>
  <c r="F82" i="69" s="1"/>
  <c r="G82" i="69" s="1"/>
  <c r="H82" i="69" s="1"/>
  <c r="I82" i="69" s="1"/>
  <c r="J82" i="69" s="1"/>
  <c r="K82" i="69" s="1"/>
  <c r="M82" i="69" s="1"/>
  <c r="N82" i="69"/>
  <c r="AF82" i="69" s="1"/>
  <c r="U81" i="69"/>
  <c r="Q81" i="69"/>
  <c r="R81" i="69"/>
  <c r="S81" i="69" s="1"/>
  <c r="Y81" i="69" s="1"/>
  <c r="AE81" i="69"/>
  <c r="C83" i="69"/>
  <c r="AN83" i="67" a="1"/>
  <c r="AN83" i="67" s="1"/>
  <c r="B84" i="69"/>
  <c r="AL28" i="11" a="1"/>
  <c r="AL28" i="11" s="1"/>
  <c r="E29" i="32" s="1"/>
  <c r="AL38" i="59" a="1"/>
  <c r="AL38" i="59" s="1"/>
  <c r="E39" i="50" s="1"/>
  <c r="X97" i="57" l="1"/>
  <c r="AA97" i="57" s="1"/>
  <c r="AB81" i="69"/>
  <c r="AC81" i="69" s="1"/>
  <c r="AD81" i="69" s="1"/>
  <c r="AG81" i="69"/>
  <c r="AO83" i="69"/>
  <c r="P83" i="69"/>
  <c r="L84" i="69"/>
  <c r="O84" i="69"/>
  <c r="AK39" i="50"/>
  <c r="T39" i="50"/>
  <c r="AF97" i="53"/>
  <c r="AB97" i="53"/>
  <c r="AA97" i="53"/>
  <c r="AE98" i="53"/>
  <c r="AC98" i="53"/>
  <c r="AK29" i="32"/>
  <c r="T29" i="32"/>
  <c r="AE98" i="57"/>
  <c r="AC98" i="57"/>
  <c r="AD37" i="50"/>
  <c r="AG37" i="50" s="1"/>
  <c r="AH37" i="50" s="1"/>
  <c r="AI37" i="50" s="1"/>
  <c r="AM38" i="50"/>
  <c r="U38" i="50"/>
  <c r="AP35" i="50"/>
  <c r="R98" i="57"/>
  <c r="R98" i="53"/>
  <c r="X98" i="53" s="1"/>
  <c r="AL36" i="50"/>
  <c r="AX82" i="69"/>
  <c r="AG99" i="57"/>
  <c r="L99" i="57"/>
  <c r="O39" i="50"/>
  <c r="AJ98" i="57"/>
  <c r="AP98" i="57"/>
  <c r="AH98" i="53"/>
  <c r="AT98" i="53"/>
  <c r="AG98" i="53"/>
  <c r="N99" i="57"/>
  <c r="L99" i="53"/>
  <c r="N99" i="53"/>
  <c r="AH82" i="69"/>
  <c r="AJ37" i="50"/>
  <c r="C37" i="50"/>
  <c r="AD98" i="57"/>
  <c r="Q98" i="53"/>
  <c r="AD98" i="53"/>
  <c r="S38" i="50"/>
  <c r="V37" i="50"/>
  <c r="G99" i="53"/>
  <c r="C99" i="53"/>
  <c r="P99" i="53"/>
  <c r="I99" i="53"/>
  <c r="D99" i="53"/>
  <c r="J99" i="53"/>
  <c r="F99" i="53"/>
  <c r="H99" i="53"/>
  <c r="AK98" i="52" a="1"/>
  <c r="AK98" i="52" s="1"/>
  <c r="B100" i="53" s="1"/>
  <c r="O100" i="53" s="1"/>
  <c r="K99" i="53"/>
  <c r="E99" i="53"/>
  <c r="M99" i="53"/>
  <c r="J39" i="50"/>
  <c r="M39" i="50"/>
  <c r="F39" i="50"/>
  <c r="N39" i="50"/>
  <c r="G39" i="50"/>
  <c r="K39" i="50"/>
  <c r="I39" i="50"/>
  <c r="A39" i="50"/>
  <c r="Q39" i="50" s="1"/>
  <c r="P39" i="50" s="1"/>
  <c r="L39" i="50"/>
  <c r="H39" i="50"/>
  <c r="B39" i="50"/>
  <c r="R39" i="50" s="1"/>
  <c r="Z37" i="50"/>
  <c r="W37" i="50"/>
  <c r="X37" i="50" s="1"/>
  <c r="E99" i="57"/>
  <c r="P99" i="57"/>
  <c r="D99" i="57"/>
  <c r="C99" i="57"/>
  <c r="M99" i="57" s="1"/>
  <c r="K99" i="57"/>
  <c r="G99" i="57"/>
  <c r="I99" i="57"/>
  <c r="H99" i="57"/>
  <c r="F99" i="57"/>
  <c r="J99" i="57"/>
  <c r="Q98" i="57"/>
  <c r="T98" i="57" s="1"/>
  <c r="AK98" i="55" a="1"/>
  <c r="AK98" i="55" s="1"/>
  <c r="B100" i="57" s="1"/>
  <c r="O100" i="57" s="1"/>
  <c r="AN84" i="67" a="1"/>
  <c r="AN84" i="67" s="1"/>
  <c r="B85" i="69"/>
  <c r="AE82" i="69"/>
  <c r="Q82" i="69"/>
  <c r="R82" i="69"/>
  <c r="S82" i="69" s="1"/>
  <c r="Y82" i="69" s="1"/>
  <c r="U82" i="69"/>
  <c r="C84" i="69"/>
  <c r="D83" i="69"/>
  <c r="E83" i="69" s="1"/>
  <c r="F83" i="69" s="1"/>
  <c r="G83" i="69" s="1"/>
  <c r="H83" i="69" s="1"/>
  <c r="I83" i="69" s="1"/>
  <c r="J83" i="69" s="1"/>
  <c r="K83" i="69" s="1"/>
  <c r="M83" i="69" s="1"/>
  <c r="N83" i="69"/>
  <c r="AF83" i="69" s="1"/>
  <c r="AL29" i="11" a="1"/>
  <c r="AL29" i="11" s="1"/>
  <c r="E30" i="32" s="1"/>
  <c r="AL39" i="59" a="1"/>
  <c r="AL39" i="59" s="1"/>
  <c r="E40" i="50" s="1"/>
  <c r="AB97" i="57" l="1"/>
  <c r="AF97" i="57"/>
  <c r="AB82" i="69"/>
  <c r="AC82" i="69" s="1"/>
  <c r="AD82" i="69" s="1"/>
  <c r="AG82" i="69"/>
  <c r="L85" i="69"/>
  <c r="O85" i="69"/>
  <c r="AO84" i="69"/>
  <c r="P84" i="69"/>
  <c r="AK40" i="50"/>
  <c r="T40" i="50"/>
  <c r="X98" i="57"/>
  <c r="AA98" i="57" s="1"/>
  <c r="AE99" i="53"/>
  <c r="AC99" i="53"/>
  <c r="AF98" i="53"/>
  <c r="AB98" i="53"/>
  <c r="AA98" i="53"/>
  <c r="AK30" i="32"/>
  <c r="T30" i="32"/>
  <c r="AE99" i="57"/>
  <c r="AC99" i="57"/>
  <c r="AD38" i="50"/>
  <c r="AG38" i="50" s="1"/>
  <c r="AH38" i="50" s="1"/>
  <c r="AI38" i="50" s="1"/>
  <c r="AM39" i="50"/>
  <c r="U39" i="50"/>
  <c r="AP36" i="50"/>
  <c r="R99" i="57"/>
  <c r="R99" i="53"/>
  <c r="X99" i="53" s="1"/>
  <c r="AL37" i="50"/>
  <c r="AX83" i="69"/>
  <c r="AG100" i="57"/>
  <c r="L100" i="57"/>
  <c r="O40" i="50"/>
  <c r="AJ99" i="57"/>
  <c r="AP99" i="57"/>
  <c r="AH99" i="53"/>
  <c r="AT99" i="53"/>
  <c r="AG99" i="53"/>
  <c r="N100" i="57"/>
  <c r="K100" i="53"/>
  <c r="N100" i="53"/>
  <c r="AH83" i="69"/>
  <c r="AJ38" i="50"/>
  <c r="C38" i="50"/>
  <c r="AD99" i="57"/>
  <c r="Q99" i="53"/>
  <c r="AD99" i="53"/>
  <c r="V38" i="50"/>
  <c r="S39" i="50"/>
  <c r="L100" i="53"/>
  <c r="D100" i="53"/>
  <c r="G100" i="53"/>
  <c r="P100" i="53"/>
  <c r="F100" i="53"/>
  <c r="E100" i="53"/>
  <c r="M100" i="53"/>
  <c r="J100" i="53"/>
  <c r="C100" i="53"/>
  <c r="I100" i="53"/>
  <c r="AK99" i="52" a="1"/>
  <c r="AK99" i="52" s="1"/>
  <c r="B101" i="53" s="1"/>
  <c r="O101" i="53" s="1"/>
  <c r="H100" i="53"/>
  <c r="N40" i="50"/>
  <c r="I40" i="50"/>
  <c r="J40" i="50"/>
  <c r="G40" i="50"/>
  <c r="B40" i="50"/>
  <c r="R40" i="50" s="1"/>
  <c r="A40" i="50"/>
  <c r="Q40" i="50" s="1"/>
  <c r="P40" i="50" s="1"/>
  <c r="H40" i="50"/>
  <c r="M40" i="50"/>
  <c r="K40" i="50"/>
  <c r="F40" i="50"/>
  <c r="L40" i="50"/>
  <c r="I100" i="57"/>
  <c r="F100" i="57"/>
  <c r="C100" i="57"/>
  <c r="M100" i="57" s="1"/>
  <c r="K100" i="57"/>
  <c r="P100" i="57"/>
  <c r="H100" i="57"/>
  <c r="D100" i="57"/>
  <c r="G100" i="57"/>
  <c r="E100" i="57"/>
  <c r="J100" i="57"/>
  <c r="Q99" i="57"/>
  <c r="T99" i="57" s="1"/>
  <c r="Z38" i="50"/>
  <c r="W38" i="50"/>
  <c r="X38" i="50" s="1"/>
  <c r="AK99" i="55" a="1"/>
  <c r="AK99" i="55" s="1"/>
  <c r="B101" i="57" s="1"/>
  <c r="O101" i="57" s="1"/>
  <c r="Q83" i="69"/>
  <c r="R83" i="69"/>
  <c r="S83" i="69" s="1"/>
  <c r="Y83" i="69" s="1"/>
  <c r="AB83" i="69" s="1"/>
  <c r="AC83" i="69" s="1"/>
  <c r="AD83" i="69" s="1"/>
  <c r="U83" i="69"/>
  <c r="AE83" i="69"/>
  <c r="D84" i="69"/>
  <c r="E84" i="69" s="1"/>
  <c r="F84" i="69" s="1"/>
  <c r="G84" i="69" s="1"/>
  <c r="H84" i="69" s="1"/>
  <c r="I84" i="69" s="1"/>
  <c r="J84" i="69" s="1"/>
  <c r="K84" i="69" s="1"/>
  <c r="M84" i="69" s="1"/>
  <c r="N84" i="69"/>
  <c r="AF84" i="69" s="1"/>
  <c r="C85" i="69"/>
  <c r="AN85" i="67" a="1"/>
  <c r="AN85" i="67" s="1"/>
  <c r="B86" i="69"/>
  <c r="AL30" i="11" a="1"/>
  <c r="AL30" i="11" s="1"/>
  <c r="E31" i="32" s="1"/>
  <c r="AL40" i="59" a="1"/>
  <c r="AL40" i="59" s="1"/>
  <c r="E41" i="50" s="1"/>
  <c r="L86" i="69" l="1"/>
  <c r="O86" i="69"/>
  <c r="AG83" i="69"/>
  <c r="AO85" i="69"/>
  <c r="P85" i="69"/>
  <c r="T41" i="50"/>
  <c r="AK41" i="50"/>
  <c r="AF98" i="57"/>
  <c r="AB98" i="57"/>
  <c r="AB99" i="53"/>
  <c r="AA99" i="53"/>
  <c r="AE100" i="53"/>
  <c r="AC100" i="53"/>
  <c r="AF99" i="53"/>
  <c r="AK31" i="32"/>
  <c r="T31" i="32"/>
  <c r="X99" i="57"/>
  <c r="AA99" i="57" s="1"/>
  <c r="AC100" i="57"/>
  <c r="AE100" i="57"/>
  <c r="AD39" i="50"/>
  <c r="AG39" i="50" s="1"/>
  <c r="AH39" i="50" s="1"/>
  <c r="AI39" i="50" s="1"/>
  <c r="AM40" i="50"/>
  <c r="U40" i="50"/>
  <c r="AP37" i="50"/>
  <c r="R100" i="57"/>
  <c r="R100" i="53"/>
  <c r="X100" i="53" s="1"/>
  <c r="AL38" i="50"/>
  <c r="AX84" i="69"/>
  <c r="L101" i="57"/>
  <c r="AG101" i="57"/>
  <c r="O41" i="50"/>
  <c r="AJ100" i="57"/>
  <c r="AP100" i="57"/>
  <c r="AH100" i="53"/>
  <c r="AT100" i="53"/>
  <c r="AG100" i="53"/>
  <c r="N101" i="57"/>
  <c r="N101" i="53"/>
  <c r="AH84" i="69"/>
  <c r="AJ39" i="50"/>
  <c r="C39" i="50"/>
  <c r="AD100" i="57"/>
  <c r="AD100" i="53"/>
  <c r="S40" i="50"/>
  <c r="V39" i="50"/>
  <c r="Q100" i="53"/>
  <c r="K101" i="53"/>
  <c r="L101" i="53"/>
  <c r="M101" i="53"/>
  <c r="C101" i="53"/>
  <c r="P101" i="53"/>
  <c r="AK100" i="52" a="1"/>
  <c r="AK100" i="52" s="1"/>
  <c r="B102" i="53" s="1"/>
  <c r="O102" i="53" s="1"/>
  <c r="I101" i="53"/>
  <c r="F101" i="53"/>
  <c r="E101" i="53"/>
  <c r="D101" i="53"/>
  <c r="J101" i="53"/>
  <c r="G101" i="53"/>
  <c r="H101" i="53"/>
  <c r="M41" i="50"/>
  <c r="K41" i="50"/>
  <c r="H41" i="50"/>
  <c r="N41" i="50"/>
  <c r="I41" i="50"/>
  <c r="A41" i="50"/>
  <c r="Q41" i="50" s="1"/>
  <c r="P41" i="50" s="1"/>
  <c r="B41" i="50"/>
  <c r="R41" i="50" s="1"/>
  <c r="L41" i="50"/>
  <c r="G41" i="50"/>
  <c r="J41" i="50"/>
  <c r="F41" i="50"/>
  <c r="Q100" i="57"/>
  <c r="T100" i="57" s="1"/>
  <c r="K101" i="57"/>
  <c r="I101" i="57"/>
  <c r="H101" i="57"/>
  <c r="G101" i="57"/>
  <c r="E101" i="57"/>
  <c r="P101" i="57"/>
  <c r="D101" i="57"/>
  <c r="C101" i="57"/>
  <c r="M101" i="57" s="1"/>
  <c r="F101" i="57"/>
  <c r="J101" i="57"/>
  <c r="Z39" i="50"/>
  <c r="W39" i="50"/>
  <c r="X39" i="50" s="1"/>
  <c r="AK100" i="55" a="1"/>
  <c r="AK100" i="55" s="1"/>
  <c r="B102" i="57" s="1"/>
  <c r="O102" i="57" s="1"/>
  <c r="AN86" i="67" a="1"/>
  <c r="AN86" i="67" s="1"/>
  <c r="B87" i="69"/>
  <c r="N85" i="69"/>
  <c r="AF85" i="69" s="1"/>
  <c r="D85" i="69"/>
  <c r="E85" i="69" s="1"/>
  <c r="F85" i="69" s="1"/>
  <c r="G85" i="69" s="1"/>
  <c r="H85" i="69" s="1"/>
  <c r="I85" i="69" s="1"/>
  <c r="J85" i="69" s="1"/>
  <c r="K85" i="69" s="1"/>
  <c r="M85" i="69" s="1"/>
  <c r="C86" i="69"/>
  <c r="AE84" i="69"/>
  <c r="Q84" i="69"/>
  <c r="U84" i="69"/>
  <c r="R84" i="69"/>
  <c r="S84" i="69" s="1"/>
  <c r="Y84" i="69" s="1"/>
  <c r="AL31" i="11" a="1"/>
  <c r="AL31" i="11" s="1"/>
  <c r="E32" i="32" s="1"/>
  <c r="AL41" i="59" a="1"/>
  <c r="AL41" i="59" s="1"/>
  <c r="E42" i="50" s="1"/>
  <c r="AB84" i="69" l="1"/>
  <c r="AC84" i="69" s="1"/>
  <c r="AD84" i="69" s="1"/>
  <c r="AG84" i="69"/>
  <c r="L87" i="69"/>
  <c r="O87" i="69"/>
  <c r="AO86" i="69"/>
  <c r="P86" i="69"/>
  <c r="T42" i="50"/>
  <c r="AK42" i="50"/>
  <c r="AC101" i="53"/>
  <c r="AE101" i="53"/>
  <c r="AF100" i="53"/>
  <c r="AB100" i="53"/>
  <c r="AA100" i="53"/>
  <c r="AK32" i="32"/>
  <c r="T32" i="32"/>
  <c r="X100" i="57"/>
  <c r="AF99" i="57"/>
  <c r="AB99" i="57"/>
  <c r="AE101" i="57"/>
  <c r="AC101" i="57"/>
  <c r="AD40" i="50"/>
  <c r="AG40" i="50" s="1"/>
  <c r="AH40" i="50" s="1"/>
  <c r="AI40" i="50" s="1"/>
  <c r="AM41" i="50"/>
  <c r="U41" i="50"/>
  <c r="AP38" i="50"/>
  <c r="R101" i="57"/>
  <c r="R101" i="53"/>
  <c r="X101" i="53" s="1"/>
  <c r="AL39" i="50"/>
  <c r="AX85" i="69"/>
  <c r="AG102" i="57"/>
  <c r="L102" i="57"/>
  <c r="O42" i="50"/>
  <c r="AJ101" i="57"/>
  <c r="AP101" i="57"/>
  <c r="AH101" i="53"/>
  <c r="AT101" i="53"/>
  <c r="AG101" i="53"/>
  <c r="N102" i="57"/>
  <c r="N102" i="53"/>
  <c r="AH85" i="69"/>
  <c r="AJ40" i="50"/>
  <c r="C40" i="50"/>
  <c r="AD101" i="57"/>
  <c r="AD101" i="53"/>
  <c r="S41" i="50"/>
  <c r="V40" i="50"/>
  <c r="Q101" i="53"/>
  <c r="G102" i="53"/>
  <c r="I102" i="53"/>
  <c r="C102" i="53"/>
  <c r="H102" i="53"/>
  <c r="M102" i="53"/>
  <c r="J102" i="53"/>
  <c r="E102" i="53"/>
  <c r="K102" i="53"/>
  <c r="D102" i="53"/>
  <c r="AK101" i="52" a="1"/>
  <c r="AK101" i="52" s="1"/>
  <c r="B103" i="53" s="1"/>
  <c r="O103" i="53" s="1"/>
  <c r="F102" i="53"/>
  <c r="P102" i="53"/>
  <c r="L102" i="53"/>
  <c r="A42" i="50"/>
  <c r="Q42" i="50" s="1"/>
  <c r="P42" i="50" s="1"/>
  <c r="M42" i="50"/>
  <c r="B42" i="50"/>
  <c r="R42" i="50" s="1"/>
  <c r="L42" i="50"/>
  <c r="K42" i="50"/>
  <c r="I42" i="50"/>
  <c r="F42" i="50"/>
  <c r="H42" i="50"/>
  <c r="N42" i="50"/>
  <c r="J42" i="50"/>
  <c r="G42" i="50"/>
  <c r="Z40" i="50"/>
  <c r="W40" i="50"/>
  <c r="X40" i="50" s="1"/>
  <c r="Q101" i="57"/>
  <c r="T101" i="57" s="1"/>
  <c r="I102" i="57"/>
  <c r="C102" i="57"/>
  <c r="M102" i="57" s="1"/>
  <c r="E102" i="57"/>
  <c r="K102" i="57"/>
  <c r="G102" i="57"/>
  <c r="P102" i="57"/>
  <c r="F102" i="57"/>
  <c r="H102" i="57"/>
  <c r="J102" i="57"/>
  <c r="D102" i="57"/>
  <c r="AK101" i="55" a="1"/>
  <c r="AK101" i="55" s="1"/>
  <c r="B103" i="57" s="1"/>
  <c r="O103" i="57" s="1"/>
  <c r="AN87" i="67" a="1"/>
  <c r="AN87" i="67" s="1"/>
  <c r="B88" i="69"/>
  <c r="D86" i="69"/>
  <c r="E86" i="69" s="1"/>
  <c r="F86" i="69" s="1"/>
  <c r="G86" i="69" s="1"/>
  <c r="H86" i="69" s="1"/>
  <c r="I86" i="69" s="1"/>
  <c r="J86" i="69" s="1"/>
  <c r="K86" i="69" s="1"/>
  <c r="M86" i="69" s="1"/>
  <c r="N86" i="69"/>
  <c r="AF86" i="69" s="1"/>
  <c r="AE85" i="69"/>
  <c r="R85" i="69"/>
  <c r="S85" i="69" s="1"/>
  <c r="Y85" i="69" s="1"/>
  <c r="U85" i="69"/>
  <c r="Q85" i="69"/>
  <c r="C87" i="69"/>
  <c r="AL32" i="11" a="1"/>
  <c r="AL32" i="11" s="1"/>
  <c r="E33" i="32" s="1"/>
  <c r="AL42" i="59" a="1"/>
  <c r="AL42" i="59" s="1"/>
  <c r="E43" i="50" s="1"/>
  <c r="AB100" i="57" l="1"/>
  <c r="AA100" i="57"/>
  <c r="AB85" i="69"/>
  <c r="AC85" i="69" s="1"/>
  <c r="AD85" i="69" s="1"/>
  <c r="AG85" i="69"/>
  <c r="L88" i="69"/>
  <c r="O88" i="69"/>
  <c r="AO87" i="69"/>
  <c r="P87" i="69"/>
  <c r="T43" i="50"/>
  <c r="AK43" i="50"/>
  <c r="AF100" i="57"/>
  <c r="AB101" i="53"/>
  <c r="AA101" i="53"/>
  <c r="AF101" i="53"/>
  <c r="AE102" i="53"/>
  <c r="AC102" i="53"/>
  <c r="AK33" i="32"/>
  <c r="T33" i="32"/>
  <c r="X101" i="57"/>
  <c r="AA101" i="57" s="1"/>
  <c r="AE102" i="57"/>
  <c r="AC102" i="57"/>
  <c r="AD41" i="50"/>
  <c r="AG41" i="50" s="1"/>
  <c r="AH41" i="50" s="1"/>
  <c r="AI41" i="50" s="1"/>
  <c r="AM42" i="50"/>
  <c r="U42" i="50"/>
  <c r="AP39" i="50"/>
  <c r="R102" i="57"/>
  <c r="R102" i="53"/>
  <c r="X102" i="53" s="1"/>
  <c r="AL40" i="50"/>
  <c r="AX86" i="69"/>
  <c r="AG103" i="57"/>
  <c r="L103" i="57"/>
  <c r="O43" i="50"/>
  <c r="AJ102" i="57"/>
  <c r="AP102" i="57"/>
  <c r="AG102" i="53"/>
  <c r="AH102" i="53"/>
  <c r="AT102" i="53"/>
  <c r="N103" i="57"/>
  <c r="N103" i="53"/>
  <c r="AH86" i="69"/>
  <c r="AJ41" i="50"/>
  <c r="C41" i="50"/>
  <c r="AD102" i="57"/>
  <c r="Q102" i="53"/>
  <c r="AD102" i="53"/>
  <c r="S42" i="50"/>
  <c r="V41" i="50"/>
  <c r="J103" i="53"/>
  <c r="E103" i="53"/>
  <c r="AK102" i="52" a="1"/>
  <c r="AK102" i="52" s="1"/>
  <c r="B104" i="53" s="1"/>
  <c r="O104" i="53" s="1"/>
  <c r="F103" i="53"/>
  <c r="M103" i="53"/>
  <c r="D103" i="53"/>
  <c r="G103" i="53"/>
  <c r="K103" i="53"/>
  <c r="C103" i="53"/>
  <c r="P103" i="53"/>
  <c r="H103" i="53"/>
  <c r="I103" i="53"/>
  <c r="L103" i="53"/>
  <c r="F43" i="50"/>
  <c r="M43" i="50"/>
  <c r="K43" i="50"/>
  <c r="J43" i="50"/>
  <c r="A43" i="50"/>
  <c r="Q43" i="50" s="1"/>
  <c r="P43" i="50" s="1"/>
  <c r="N43" i="50"/>
  <c r="L43" i="50"/>
  <c r="B43" i="50"/>
  <c r="R43" i="50" s="1"/>
  <c r="I43" i="50"/>
  <c r="H43" i="50"/>
  <c r="G43" i="50"/>
  <c r="Z41" i="50"/>
  <c r="W41" i="50"/>
  <c r="X41" i="50" s="1"/>
  <c r="Q102" i="57"/>
  <c r="T102" i="57" s="1"/>
  <c r="K103" i="57"/>
  <c r="I103" i="57"/>
  <c r="H103" i="57"/>
  <c r="G103" i="57"/>
  <c r="C103" i="57"/>
  <c r="M103" i="57" s="1"/>
  <c r="P103" i="57"/>
  <c r="E103" i="57"/>
  <c r="D103" i="57"/>
  <c r="F103" i="57"/>
  <c r="J103" i="57"/>
  <c r="AK102" i="55" a="1"/>
  <c r="AK102" i="55" s="1"/>
  <c r="B104" i="57" s="1"/>
  <c r="O104" i="57" s="1"/>
  <c r="AN88" i="67" a="1"/>
  <c r="AN88" i="67" s="1"/>
  <c r="B89" i="69"/>
  <c r="D87" i="69"/>
  <c r="E87" i="69" s="1"/>
  <c r="F87" i="69" s="1"/>
  <c r="G87" i="69" s="1"/>
  <c r="H87" i="69" s="1"/>
  <c r="I87" i="69" s="1"/>
  <c r="J87" i="69" s="1"/>
  <c r="K87" i="69" s="1"/>
  <c r="M87" i="69" s="1"/>
  <c r="N87" i="69"/>
  <c r="AF87" i="69" s="1"/>
  <c r="C88" i="69"/>
  <c r="AE86" i="69"/>
  <c r="R86" i="69"/>
  <c r="S86" i="69" s="1"/>
  <c r="Y86" i="69" s="1"/>
  <c r="AB86" i="69" s="1"/>
  <c r="AC86" i="69" s="1"/>
  <c r="AD86" i="69" s="1"/>
  <c r="Q86" i="69"/>
  <c r="U86" i="69"/>
  <c r="AL33" i="11" a="1"/>
  <c r="AL33" i="11" s="1"/>
  <c r="E34" i="32" s="1"/>
  <c r="AL43" i="59" a="1"/>
  <c r="AL43" i="59" s="1"/>
  <c r="E44" i="50" s="1"/>
  <c r="AG86" i="69" l="1"/>
  <c r="AO88" i="69"/>
  <c r="P88" i="69"/>
  <c r="L89" i="69"/>
  <c r="O89" i="69"/>
  <c r="T44" i="50"/>
  <c r="AK44" i="50"/>
  <c r="AB102" i="53"/>
  <c r="AA102" i="53"/>
  <c r="AE103" i="53"/>
  <c r="AC103" i="53"/>
  <c r="AF102" i="53"/>
  <c r="AK34" i="32"/>
  <c r="T34" i="32"/>
  <c r="AF101" i="57"/>
  <c r="AB101" i="57"/>
  <c r="X102" i="57"/>
  <c r="AA102" i="57" s="1"/>
  <c r="AE103" i="57"/>
  <c r="AC103" i="57"/>
  <c r="AM43" i="50"/>
  <c r="U43" i="50"/>
  <c r="AD42" i="50"/>
  <c r="AG42" i="50" s="1"/>
  <c r="AH42" i="50" s="1"/>
  <c r="AI42" i="50" s="1"/>
  <c r="AP40" i="50"/>
  <c r="R103" i="57"/>
  <c r="R103" i="53"/>
  <c r="X103" i="53" s="1"/>
  <c r="AL41" i="50"/>
  <c r="AX87" i="69"/>
  <c r="AG104" i="57"/>
  <c r="L104" i="57"/>
  <c r="O44" i="50"/>
  <c r="AJ103" i="57"/>
  <c r="AP103" i="57"/>
  <c r="AG103" i="53"/>
  <c r="AH103" i="53"/>
  <c r="AT103" i="53"/>
  <c r="N104" i="57"/>
  <c r="I104" i="53"/>
  <c r="N104" i="53"/>
  <c r="AH87" i="69"/>
  <c r="AJ42" i="50"/>
  <c r="C42" i="50"/>
  <c r="AD103" i="57"/>
  <c r="AD103" i="53"/>
  <c r="V42" i="50"/>
  <c r="S43" i="50"/>
  <c r="Q103" i="53"/>
  <c r="D104" i="53"/>
  <c r="L104" i="53"/>
  <c r="M104" i="53"/>
  <c r="H104" i="53"/>
  <c r="G104" i="53"/>
  <c r="AK103" i="52" a="1"/>
  <c r="AK103" i="52" s="1"/>
  <c r="B105" i="53" s="1"/>
  <c r="O105" i="53" s="1"/>
  <c r="P104" i="53"/>
  <c r="K104" i="53"/>
  <c r="J104" i="53"/>
  <c r="E104" i="53"/>
  <c r="F104" i="53"/>
  <c r="C104" i="53"/>
  <c r="H44" i="50"/>
  <c r="F44" i="50"/>
  <c r="M44" i="50"/>
  <c r="K44" i="50"/>
  <c r="J44" i="50"/>
  <c r="N44" i="50"/>
  <c r="A44" i="50"/>
  <c r="Q44" i="50" s="1"/>
  <c r="P44" i="50" s="1"/>
  <c r="L44" i="50"/>
  <c r="B44" i="50"/>
  <c r="R44" i="50" s="1"/>
  <c r="I44" i="50"/>
  <c r="G44" i="50"/>
  <c r="K104" i="57"/>
  <c r="J104" i="57"/>
  <c r="I104" i="57"/>
  <c r="C104" i="57"/>
  <c r="M104" i="57" s="1"/>
  <c r="F104" i="57"/>
  <c r="E104" i="57"/>
  <c r="P104" i="57"/>
  <c r="H104" i="57"/>
  <c r="D104" i="57"/>
  <c r="G104" i="57"/>
  <c r="Z42" i="50"/>
  <c r="W42" i="50"/>
  <c r="X42" i="50" s="1"/>
  <c r="Q103" i="57"/>
  <c r="T103" i="57" s="1"/>
  <c r="AK103" i="55" a="1"/>
  <c r="AK103" i="55" s="1"/>
  <c r="B105" i="57" s="1"/>
  <c r="O105" i="57" s="1"/>
  <c r="AE87" i="69"/>
  <c r="U87" i="69"/>
  <c r="R87" i="69"/>
  <c r="S87" i="69" s="1"/>
  <c r="Y87" i="69" s="1"/>
  <c r="Q87" i="69"/>
  <c r="N88" i="69"/>
  <c r="AF88" i="69" s="1"/>
  <c r="D88" i="69"/>
  <c r="E88" i="69" s="1"/>
  <c r="F88" i="69" s="1"/>
  <c r="G88" i="69" s="1"/>
  <c r="H88" i="69" s="1"/>
  <c r="I88" i="69" s="1"/>
  <c r="J88" i="69" s="1"/>
  <c r="K88" i="69" s="1"/>
  <c r="M88" i="69" s="1"/>
  <c r="C89" i="69"/>
  <c r="AN89" i="67" a="1"/>
  <c r="AN89" i="67" s="1"/>
  <c r="B90" i="69"/>
  <c r="AL34" i="11" a="1"/>
  <c r="AL34" i="11" s="1"/>
  <c r="E35" i="32" s="1"/>
  <c r="AL44" i="59" a="1"/>
  <c r="AL44" i="59" s="1"/>
  <c r="E45" i="50" s="1"/>
  <c r="AB87" i="69" l="1"/>
  <c r="AC87" i="69" s="1"/>
  <c r="AD87" i="69" s="1"/>
  <c r="AG87" i="69"/>
  <c r="AO89" i="69"/>
  <c r="P89" i="69"/>
  <c r="L90" i="69"/>
  <c r="O90" i="69"/>
  <c r="T45" i="50"/>
  <c r="AK45" i="50"/>
  <c r="AB103" i="53"/>
  <c r="AA103" i="53"/>
  <c r="AC104" i="53"/>
  <c r="AE104" i="53"/>
  <c r="AF103" i="53"/>
  <c r="AK35" i="32"/>
  <c r="T35" i="32"/>
  <c r="AF102" i="57"/>
  <c r="AB102" i="57"/>
  <c r="X103" i="57"/>
  <c r="AC104" i="57"/>
  <c r="AE104" i="57"/>
  <c r="AD43" i="50"/>
  <c r="AG43" i="50" s="1"/>
  <c r="AH43" i="50" s="1"/>
  <c r="AI43" i="50" s="1"/>
  <c r="AM44" i="50"/>
  <c r="U44" i="50"/>
  <c r="AP41" i="50"/>
  <c r="R104" i="57"/>
  <c r="R104" i="53"/>
  <c r="X104" i="53" s="1"/>
  <c r="AL42" i="50"/>
  <c r="AX88" i="69"/>
  <c r="AG105" i="57"/>
  <c r="L105" i="57"/>
  <c r="O45" i="50"/>
  <c r="AJ104" i="57"/>
  <c r="AP104" i="57"/>
  <c r="AH104" i="53"/>
  <c r="AT104" i="53"/>
  <c r="AG104" i="53"/>
  <c r="N105" i="57"/>
  <c r="F105" i="53"/>
  <c r="N105" i="53"/>
  <c r="AH88" i="69"/>
  <c r="AJ43" i="50"/>
  <c r="C43" i="50"/>
  <c r="AD104" i="57"/>
  <c r="AD104" i="53"/>
  <c r="V43" i="50"/>
  <c r="S44" i="50"/>
  <c r="D105" i="53"/>
  <c r="E105" i="53"/>
  <c r="C105" i="53"/>
  <c r="G105" i="53"/>
  <c r="AK104" i="52" a="1"/>
  <c r="AK104" i="52" s="1"/>
  <c r="B106" i="53" s="1"/>
  <c r="O106" i="53" s="1"/>
  <c r="P105" i="53"/>
  <c r="I105" i="53"/>
  <c r="Q104" i="53"/>
  <c r="L105" i="53"/>
  <c r="M105" i="53"/>
  <c r="H105" i="53"/>
  <c r="K105" i="53"/>
  <c r="J105" i="53"/>
  <c r="M45" i="50"/>
  <c r="B45" i="50"/>
  <c r="R45" i="50" s="1"/>
  <c r="I45" i="50"/>
  <c r="A45" i="50"/>
  <c r="Q45" i="50" s="1"/>
  <c r="P45" i="50" s="1"/>
  <c r="H45" i="50"/>
  <c r="G45" i="50"/>
  <c r="K45" i="50"/>
  <c r="J45" i="50"/>
  <c r="F45" i="50"/>
  <c r="N45" i="50"/>
  <c r="L45" i="50"/>
  <c r="Q104" i="57"/>
  <c r="T104" i="57" s="1"/>
  <c r="W43" i="50"/>
  <c r="X43" i="50" s="1"/>
  <c r="Z43" i="50"/>
  <c r="P105" i="57"/>
  <c r="D105" i="57"/>
  <c r="C105" i="57"/>
  <c r="M105" i="57" s="1"/>
  <c r="K105" i="57"/>
  <c r="I105" i="57"/>
  <c r="E105" i="57"/>
  <c r="G105" i="57"/>
  <c r="H105" i="57"/>
  <c r="F105" i="57"/>
  <c r="J105" i="57"/>
  <c r="AK104" i="55" a="1"/>
  <c r="AK104" i="55" s="1"/>
  <c r="B106" i="57" s="1"/>
  <c r="O106" i="57" s="1"/>
  <c r="AN90" i="67" a="1"/>
  <c r="AN90" i="67" s="1"/>
  <c r="B91" i="69"/>
  <c r="AE88" i="69"/>
  <c r="R88" i="69"/>
  <c r="S88" i="69" s="1"/>
  <c r="Y88" i="69" s="1"/>
  <c r="Q88" i="69"/>
  <c r="U88" i="69"/>
  <c r="C90" i="69"/>
  <c r="N89" i="69"/>
  <c r="AF89" i="69" s="1"/>
  <c r="D89" i="69"/>
  <c r="E89" i="69" s="1"/>
  <c r="F89" i="69" s="1"/>
  <c r="G89" i="69" s="1"/>
  <c r="H89" i="69" s="1"/>
  <c r="I89" i="69" s="1"/>
  <c r="J89" i="69" s="1"/>
  <c r="K89" i="69" s="1"/>
  <c r="M89" i="69" s="1"/>
  <c r="AL35" i="11" a="1"/>
  <c r="AL35" i="11" s="1"/>
  <c r="E36" i="32" s="1"/>
  <c r="AL45" i="59" a="1"/>
  <c r="AL45" i="59" s="1"/>
  <c r="E46" i="50" s="1"/>
  <c r="AB103" i="57" l="1"/>
  <c r="AA103" i="57"/>
  <c r="AB88" i="69"/>
  <c r="AC88" i="69" s="1"/>
  <c r="AD88" i="69" s="1"/>
  <c r="AG88" i="69"/>
  <c r="L91" i="69"/>
  <c r="O91" i="69"/>
  <c r="AO90" i="69"/>
  <c r="P90" i="69"/>
  <c r="T46" i="50"/>
  <c r="AK46" i="50"/>
  <c r="AF104" i="53"/>
  <c r="AC105" i="53"/>
  <c r="AE105" i="53"/>
  <c r="AB104" i="53"/>
  <c r="AA104" i="53"/>
  <c r="AK36" i="32"/>
  <c r="T36" i="32"/>
  <c r="X104" i="57"/>
  <c r="AF103" i="57"/>
  <c r="AC105" i="57"/>
  <c r="AE105" i="57"/>
  <c r="AM45" i="50"/>
  <c r="U45" i="50"/>
  <c r="AD44" i="50"/>
  <c r="AG44" i="50" s="1"/>
  <c r="AH44" i="50" s="1"/>
  <c r="AI44" i="50" s="1"/>
  <c r="AP42" i="50"/>
  <c r="R105" i="57"/>
  <c r="R105" i="53"/>
  <c r="X105" i="53" s="1"/>
  <c r="AL43" i="50"/>
  <c r="AX89" i="69"/>
  <c r="AG106" i="57"/>
  <c r="L106" i="57"/>
  <c r="O46" i="50"/>
  <c r="AJ105" i="57"/>
  <c r="AP105" i="57"/>
  <c r="AH105" i="53"/>
  <c r="AT105" i="53"/>
  <c r="AG105" i="53"/>
  <c r="N106" i="57"/>
  <c r="N106" i="53"/>
  <c r="AH89" i="69"/>
  <c r="AJ44" i="50"/>
  <c r="C44" i="50"/>
  <c r="AD105" i="57"/>
  <c r="AD105" i="53"/>
  <c r="S45" i="50"/>
  <c r="V44" i="50"/>
  <c r="Q105" i="53"/>
  <c r="K106" i="53"/>
  <c r="D106" i="53"/>
  <c r="G106" i="53"/>
  <c r="J106" i="53"/>
  <c r="L106" i="53"/>
  <c r="H106" i="53"/>
  <c r="AK105" i="52" a="1"/>
  <c r="AK105" i="52" s="1"/>
  <c r="B107" i="53" s="1"/>
  <c r="O107" i="53" s="1"/>
  <c r="F106" i="53"/>
  <c r="M106" i="53"/>
  <c r="E106" i="53"/>
  <c r="I106" i="53"/>
  <c r="C106" i="53"/>
  <c r="P106" i="53"/>
  <c r="G46" i="50"/>
  <c r="H46" i="50"/>
  <c r="N46" i="50"/>
  <c r="M46" i="50"/>
  <c r="F46" i="50"/>
  <c r="L46" i="50"/>
  <c r="A46" i="50"/>
  <c r="Q46" i="50" s="1"/>
  <c r="P46" i="50" s="1"/>
  <c r="J46" i="50"/>
  <c r="K46" i="50"/>
  <c r="B46" i="50"/>
  <c r="R46" i="50" s="1"/>
  <c r="I46" i="50"/>
  <c r="J106" i="57"/>
  <c r="G106" i="57"/>
  <c r="P106" i="57"/>
  <c r="C106" i="57"/>
  <c r="M106" i="57" s="1"/>
  <c r="H106" i="57"/>
  <c r="D106" i="57"/>
  <c r="K106" i="57"/>
  <c r="F106" i="57"/>
  <c r="E106" i="57"/>
  <c r="I106" i="57"/>
  <c r="Q105" i="57"/>
  <c r="T105" i="57" s="1"/>
  <c r="Z44" i="50"/>
  <c r="W44" i="50"/>
  <c r="X44" i="50" s="1"/>
  <c r="AK105" i="55" a="1"/>
  <c r="AK105" i="55" s="1"/>
  <c r="B107" i="57" s="1"/>
  <c r="O107" i="57" s="1"/>
  <c r="AN91" i="67" a="1"/>
  <c r="AN91" i="67" s="1"/>
  <c r="B92" i="69"/>
  <c r="D90" i="69"/>
  <c r="E90" i="69" s="1"/>
  <c r="F90" i="69" s="1"/>
  <c r="G90" i="69" s="1"/>
  <c r="H90" i="69" s="1"/>
  <c r="I90" i="69" s="1"/>
  <c r="J90" i="69" s="1"/>
  <c r="K90" i="69" s="1"/>
  <c r="M90" i="69" s="1"/>
  <c r="N90" i="69"/>
  <c r="AF90" i="69" s="1"/>
  <c r="AE89" i="69"/>
  <c r="U89" i="69"/>
  <c r="Q89" i="69"/>
  <c r="R89" i="69"/>
  <c r="S89" i="69" s="1"/>
  <c r="Y89" i="69" s="1"/>
  <c r="C91" i="69"/>
  <c r="AL36" i="11" a="1"/>
  <c r="AL36" i="11" s="1"/>
  <c r="E37" i="32" s="1"/>
  <c r="AL46" i="59" a="1"/>
  <c r="AL46" i="59" s="1"/>
  <c r="E47" i="50" s="1"/>
  <c r="AB104" i="57" l="1"/>
  <c r="AA104" i="57"/>
  <c r="AB89" i="69"/>
  <c r="AC89" i="69" s="1"/>
  <c r="AD89" i="69" s="1"/>
  <c r="AG89" i="69"/>
  <c r="L92" i="69"/>
  <c r="O92" i="69"/>
  <c r="AO91" i="69"/>
  <c r="P91" i="69"/>
  <c r="AK47" i="50"/>
  <c r="T47" i="50"/>
  <c r="X105" i="57"/>
  <c r="AC106" i="53"/>
  <c r="AE106" i="53"/>
  <c r="AF105" i="53"/>
  <c r="AB105" i="53"/>
  <c r="AA105" i="53"/>
  <c r="AK37" i="32"/>
  <c r="T37" i="32"/>
  <c r="AF104" i="57"/>
  <c r="AE106" i="57"/>
  <c r="AC106" i="57"/>
  <c r="AD45" i="50"/>
  <c r="AG45" i="50" s="1"/>
  <c r="AH45" i="50" s="1"/>
  <c r="AI45" i="50" s="1"/>
  <c r="AM46" i="50"/>
  <c r="U46" i="50"/>
  <c r="AP43" i="50"/>
  <c r="R106" i="57"/>
  <c r="R106" i="53"/>
  <c r="X106" i="53" s="1"/>
  <c r="AL44" i="50"/>
  <c r="AX90" i="69"/>
  <c r="AG107" i="57"/>
  <c r="L107" i="57"/>
  <c r="O47" i="50"/>
  <c r="AJ106" i="57"/>
  <c r="AP106" i="57"/>
  <c r="AH106" i="53"/>
  <c r="AT106" i="53"/>
  <c r="AG106" i="53"/>
  <c r="N107" i="57"/>
  <c r="H107" i="53"/>
  <c r="N107" i="53"/>
  <c r="AH90" i="69"/>
  <c r="AJ45" i="50"/>
  <c r="C45" i="50"/>
  <c r="AD106" i="57"/>
  <c r="AD106" i="53"/>
  <c r="V45" i="50"/>
  <c r="S46" i="50"/>
  <c r="Q106" i="53"/>
  <c r="C107" i="53"/>
  <c r="J107" i="53"/>
  <c r="AK106" i="52" a="1"/>
  <c r="AK106" i="52" s="1"/>
  <c r="B108" i="53" s="1"/>
  <c r="O108" i="53" s="1"/>
  <c r="G107" i="53"/>
  <c r="E107" i="53"/>
  <c r="F107" i="53"/>
  <c r="I107" i="53"/>
  <c r="D107" i="53"/>
  <c r="L107" i="53"/>
  <c r="M107" i="53"/>
  <c r="K107" i="53"/>
  <c r="P107" i="53"/>
  <c r="G47" i="50"/>
  <c r="I47" i="50"/>
  <c r="M47" i="50"/>
  <c r="J47" i="50"/>
  <c r="F47" i="50"/>
  <c r="N47" i="50"/>
  <c r="L47" i="50"/>
  <c r="B47" i="50"/>
  <c r="R47" i="50" s="1"/>
  <c r="H47" i="50"/>
  <c r="A47" i="50"/>
  <c r="Q47" i="50" s="1"/>
  <c r="P47" i="50" s="1"/>
  <c r="K47" i="50"/>
  <c r="Z45" i="50"/>
  <c r="W45" i="50"/>
  <c r="X45" i="50" s="1"/>
  <c r="E107" i="57"/>
  <c r="P107" i="57"/>
  <c r="D107" i="57"/>
  <c r="C107" i="57"/>
  <c r="M107" i="57" s="1"/>
  <c r="K107" i="57"/>
  <c r="G107" i="57"/>
  <c r="I107" i="57"/>
  <c r="H107" i="57"/>
  <c r="F107" i="57"/>
  <c r="J107" i="57"/>
  <c r="Q106" i="57"/>
  <c r="T106" i="57" s="1"/>
  <c r="AK106" i="55" a="1"/>
  <c r="AK106" i="55" s="1"/>
  <c r="B108" i="57" s="1"/>
  <c r="O108" i="57" s="1"/>
  <c r="AN92" i="67" a="1"/>
  <c r="AN92" i="67" s="1"/>
  <c r="B93" i="69"/>
  <c r="C92" i="69"/>
  <c r="D91" i="69"/>
  <c r="E91" i="69" s="1"/>
  <c r="F91" i="69" s="1"/>
  <c r="G91" i="69" s="1"/>
  <c r="H91" i="69" s="1"/>
  <c r="I91" i="69" s="1"/>
  <c r="J91" i="69" s="1"/>
  <c r="K91" i="69" s="1"/>
  <c r="M91" i="69" s="1"/>
  <c r="N91" i="69"/>
  <c r="AF91" i="69" s="1"/>
  <c r="Q90" i="69"/>
  <c r="AE90" i="69"/>
  <c r="U90" i="69"/>
  <c r="R90" i="69"/>
  <c r="S90" i="69" s="1"/>
  <c r="Y90" i="69" s="1"/>
  <c r="AL37" i="11" a="1"/>
  <c r="AL37" i="11" s="1"/>
  <c r="E38" i="32" s="1"/>
  <c r="AL47" i="59" a="1"/>
  <c r="AL47" i="59" s="1"/>
  <c r="E48" i="50" s="1"/>
  <c r="AF105" i="57" l="1"/>
  <c r="AA105" i="57"/>
  <c r="AB90" i="69"/>
  <c r="AC90" i="69" s="1"/>
  <c r="AD90" i="69" s="1"/>
  <c r="AG90" i="69"/>
  <c r="L93" i="69"/>
  <c r="O93" i="69"/>
  <c r="AO92" i="69"/>
  <c r="P92" i="69"/>
  <c r="AK48" i="50"/>
  <c r="T48" i="50"/>
  <c r="AB105" i="57"/>
  <c r="X106" i="57"/>
  <c r="AA106" i="57" s="1"/>
  <c r="AB106" i="53"/>
  <c r="AA106" i="53"/>
  <c r="AF106" i="53"/>
  <c r="AE107" i="53"/>
  <c r="AC107" i="53"/>
  <c r="AK38" i="32"/>
  <c r="T38" i="32"/>
  <c r="AE107" i="57"/>
  <c r="AC107" i="57"/>
  <c r="AM47" i="50"/>
  <c r="U47" i="50"/>
  <c r="AD46" i="50"/>
  <c r="AG46" i="50" s="1"/>
  <c r="AH46" i="50" s="1"/>
  <c r="AI46" i="50" s="1"/>
  <c r="AP44" i="50"/>
  <c r="R107" i="57"/>
  <c r="R107" i="53"/>
  <c r="X107" i="53" s="1"/>
  <c r="AL45" i="50"/>
  <c r="AX91" i="69"/>
  <c r="AG108" i="57"/>
  <c r="L108" i="57"/>
  <c r="O48" i="50"/>
  <c r="AJ107" i="57"/>
  <c r="AP107" i="57"/>
  <c r="AG107" i="53"/>
  <c r="AH107" i="53"/>
  <c r="AT107" i="53"/>
  <c r="N108" i="57"/>
  <c r="E108" i="53"/>
  <c r="N108" i="53"/>
  <c r="AH91" i="69"/>
  <c r="AJ46" i="50"/>
  <c r="C46" i="50"/>
  <c r="AD107" i="57"/>
  <c r="AD107" i="53"/>
  <c r="S47" i="50"/>
  <c r="V46" i="50"/>
  <c r="H108" i="53"/>
  <c r="P108" i="53"/>
  <c r="M108" i="53"/>
  <c r="G108" i="53"/>
  <c r="Q107" i="53"/>
  <c r="J108" i="53"/>
  <c r="L108" i="53"/>
  <c r="F108" i="53"/>
  <c r="I108" i="53"/>
  <c r="C108" i="53"/>
  <c r="AK107" i="52" a="1"/>
  <c r="AK107" i="52" s="1"/>
  <c r="B109" i="53" s="1"/>
  <c r="O109" i="53" s="1"/>
  <c r="D108" i="53"/>
  <c r="K108" i="53"/>
  <c r="B48" i="50"/>
  <c r="R48" i="50" s="1"/>
  <c r="F48" i="50"/>
  <c r="H48" i="50"/>
  <c r="L48" i="50"/>
  <c r="I48" i="50"/>
  <c r="N48" i="50"/>
  <c r="M48" i="50"/>
  <c r="J48" i="50"/>
  <c r="K48" i="50"/>
  <c r="G48" i="50"/>
  <c r="A48" i="50"/>
  <c r="Q48" i="50" s="1"/>
  <c r="P48" i="50" s="1"/>
  <c r="I108" i="57"/>
  <c r="F108" i="57"/>
  <c r="C108" i="57"/>
  <c r="M108" i="57" s="1"/>
  <c r="K108" i="57"/>
  <c r="H108" i="57"/>
  <c r="D108" i="57"/>
  <c r="G108" i="57"/>
  <c r="P108" i="57"/>
  <c r="E108" i="57"/>
  <c r="J108" i="57"/>
  <c r="Z46" i="50"/>
  <c r="W46" i="50"/>
  <c r="X46" i="50" s="1"/>
  <c r="Q107" i="57"/>
  <c r="T107" i="57" s="1"/>
  <c r="AK107" i="55" a="1"/>
  <c r="AK107" i="55" s="1"/>
  <c r="B109" i="57" s="1"/>
  <c r="O109" i="57" s="1"/>
  <c r="C93" i="69"/>
  <c r="Q91" i="69"/>
  <c r="AE91" i="69"/>
  <c r="U91" i="69"/>
  <c r="R91" i="69"/>
  <c r="S91" i="69" s="1"/>
  <c r="Y91" i="69" s="1"/>
  <c r="D92" i="69"/>
  <c r="E92" i="69" s="1"/>
  <c r="F92" i="69" s="1"/>
  <c r="G92" i="69" s="1"/>
  <c r="H92" i="69" s="1"/>
  <c r="I92" i="69" s="1"/>
  <c r="J92" i="69" s="1"/>
  <c r="K92" i="69" s="1"/>
  <c r="M92" i="69" s="1"/>
  <c r="N92" i="69"/>
  <c r="AF92" i="69" s="1"/>
  <c r="AN93" i="67" a="1"/>
  <c r="AN93" i="67" s="1"/>
  <c r="B94" i="69"/>
  <c r="AL38" i="11" a="1"/>
  <c r="AL38" i="11" s="1"/>
  <c r="E39" i="32" s="1"/>
  <c r="AL48" i="59" a="1"/>
  <c r="AL48" i="59" s="1"/>
  <c r="E49" i="50" s="1"/>
  <c r="AB91" i="69" l="1"/>
  <c r="AC91" i="69" s="1"/>
  <c r="AD91" i="69" s="1"/>
  <c r="AG91" i="69"/>
  <c r="L94" i="69"/>
  <c r="O94" i="69"/>
  <c r="AO93" i="69"/>
  <c r="P93" i="69"/>
  <c r="T49" i="50"/>
  <c r="AK49" i="50"/>
  <c r="X107" i="57"/>
  <c r="AF106" i="57"/>
  <c r="AB106" i="57"/>
  <c r="AB107" i="53"/>
  <c r="AA107" i="53"/>
  <c r="AF107" i="53"/>
  <c r="AC108" i="53"/>
  <c r="AE108" i="53"/>
  <c r="AK39" i="32"/>
  <c r="T39" i="32"/>
  <c r="AC108" i="57"/>
  <c r="AE108" i="57"/>
  <c r="AD47" i="50"/>
  <c r="AG47" i="50" s="1"/>
  <c r="AH47" i="50" s="1"/>
  <c r="AI47" i="50" s="1"/>
  <c r="AM48" i="50"/>
  <c r="U48" i="50"/>
  <c r="AP45" i="50"/>
  <c r="R108" i="57"/>
  <c r="R108" i="53"/>
  <c r="X108" i="53" s="1"/>
  <c r="AL46" i="50"/>
  <c r="AX92" i="69"/>
  <c r="L109" i="57"/>
  <c r="AG109" i="57"/>
  <c r="O49" i="50"/>
  <c r="AJ108" i="57"/>
  <c r="AP108" i="57"/>
  <c r="AH108" i="53"/>
  <c r="AT108" i="53"/>
  <c r="AG108" i="53"/>
  <c r="N109" i="57"/>
  <c r="P109" i="53"/>
  <c r="N109" i="53"/>
  <c r="AH92" i="69"/>
  <c r="AJ47" i="50"/>
  <c r="C47" i="50"/>
  <c r="AD108" i="57"/>
  <c r="Q108" i="53"/>
  <c r="AD108" i="53"/>
  <c r="S48" i="50"/>
  <c r="V47" i="50"/>
  <c r="I109" i="53"/>
  <c r="G109" i="53"/>
  <c r="M109" i="53"/>
  <c r="D109" i="53"/>
  <c r="L109" i="53"/>
  <c r="K109" i="53"/>
  <c r="J109" i="53"/>
  <c r="F109" i="53"/>
  <c r="AK108" i="52" a="1"/>
  <c r="AK108" i="52" s="1"/>
  <c r="B110" i="53" s="1"/>
  <c r="O110" i="53" s="1"/>
  <c r="E109" i="53"/>
  <c r="C109" i="53"/>
  <c r="H109" i="53"/>
  <c r="M49" i="50"/>
  <c r="B49" i="50"/>
  <c r="R49" i="50" s="1"/>
  <c r="I49" i="50"/>
  <c r="H49" i="50"/>
  <c r="J49" i="50"/>
  <c r="K49" i="50"/>
  <c r="L49" i="50"/>
  <c r="F49" i="50"/>
  <c r="G49" i="50"/>
  <c r="A49" i="50"/>
  <c r="Q49" i="50" s="1"/>
  <c r="P49" i="50" s="1"/>
  <c r="N49" i="50"/>
  <c r="K109" i="57"/>
  <c r="I109" i="57"/>
  <c r="H109" i="57"/>
  <c r="G109" i="57"/>
  <c r="C109" i="57"/>
  <c r="M109" i="57" s="1"/>
  <c r="P109" i="57"/>
  <c r="E109" i="57"/>
  <c r="D109" i="57"/>
  <c r="F109" i="57"/>
  <c r="J109" i="57"/>
  <c r="Q108" i="57"/>
  <c r="T108" i="57" s="1"/>
  <c r="Z47" i="50"/>
  <c r="W47" i="50"/>
  <c r="X47" i="50" s="1"/>
  <c r="AK108" i="55" a="1"/>
  <c r="AK108" i="55" s="1"/>
  <c r="B110" i="57" s="1"/>
  <c r="O110" i="57" s="1"/>
  <c r="AN94" i="67" a="1"/>
  <c r="AN94" i="67" s="1"/>
  <c r="B95" i="69"/>
  <c r="D93" i="69"/>
  <c r="E93" i="69" s="1"/>
  <c r="F93" i="69" s="1"/>
  <c r="G93" i="69" s="1"/>
  <c r="H93" i="69" s="1"/>
  <c r="I93" i="69" s="1"/>
  <c r="J93" i="69" s="1"/>
  <c r="K93" i="69" s="1"/>
  <c r="M93" i="69" s="1"/>
  <c r="N93" i="69"/>
  <c r="AF93" i="69" s="1"/>
  <c r="AE92" i="69"/>
  <c r="Q92" i="69"/>
  <c r="R92" i="69"/>
  <c r="S92" i="69" s="1"/>
  <c r="Y92" i="69" s="1"/>
  <c r="U92" i="69"/>
  <c r="C94" i="69"/>
  <c r="AL39" i="11" a="1"/>
  <c r="AL39" i="11" s="1"/>
  <c r="E40" i="32" s="1"/>
  <c r="AL49" i="59" a="1"/>
  <c r="AL49" i="59" s="1"/>
  <c r="E50" i="50" s="1"/>
  <c r="AF107" i="57" l="1"/>
  <c r="AA107" i="57"/>
  <c r="AB92" i="69"/>
  <c r="AC92" i="69" s="1"/>
  <c r="AD92" i="69" s="1"/>
  <c r="AG92" i="69"/>
  <c r="AO94" i="69"/>
  <c r="P94" i="69"/>
  <c r="L95" i="69"/>
  <c r="O95" i="69"/>
  <c r="T50" i="50"/>
  <c r="AK50" i="50"/>
  <c r="AB107" i="57"/>
  <c r="AB108" i="53"/>
  <c r="AA108" i="53"/>
  <c r="AF108" i="53"/>
  <c r="AC109" i="53"/>
  <c r="AE109" i="53"/>
  <c r="AK40" i="32"/>
  <c r="T40" i="32"/>
  <c r="X108" i="57"/>
  <c r="AC109" i="57"/>
  <c r="AE109" i="57"/>
  <c r="AM49" i="50"/>
  <c r="U49" i="50"/>
  <c r="AD48" i="50"/>
  <c r="AG48" i="50" s="1"/>
  <c r="AH48" i="50" s="1"/>
  <c r="AI48" i="50" s="1"/>
  <c r="AP46" i="50"/>
  <c r="R109" i="57"/>
  <c r="R109" i="53"/>
  <c r="X109" i="53" s="1"/>
  <c r="AL47" i="50"/>
  <c r="AX93" i="69"/>
  <c r="AG110" i="57"/>
  <c r="L110" i="57"/>
  <c r="O50" i="50"/>
  <c r="AJ109" i="57"/>
  <c r="AP109" i="57"/>
  <c r="AG109" i="53"/>
  <c r="AH109" i="53"/>
  <c r="AT109" i="53"/>
  <c r="N110" i="57"/>
  <c r="I110" i="53"/>
  <c r="N110" i="53"/>
  <c r="AH93" i="69"/>
  <c r="AJ48" i="50"/>
  <c r="C48" i="50"/>
  <c r="AD109" i="57"/>
  <c r="AD109" i="53"/>
  <c r="S49" i="50"/>
  <c r="V48" i="50"/>
  <c r="Q109" i="53"/>
  <c r="C110" i="53"/>
  <c r="D110" i="53"/>
  <c r="G110" i="53"/>
  <c r="AK109" i="52" a="1"/>
  <c r="AK109" i="52" s="1"/>
  <c r="B111" i="53" s="1"/>
  <c r="O111" i="53" s="1"/>
  <c r="K110" i="53"/>
  <c r="H110" i="53"/>
  <c r="F110" i="53"/>
  <c r="M110" i="53"/>
  <c r="P110" i="53"/>
  <c r="J110" i="53"/>
  <c r="L110" i="53"/>
  <c r="E110" i="53"/>
  <c r="I50" i="50"/>
  <c r="F50" i="50"/>
  <c r="G50" i="50"/>
  <c r="M50" i="50"/>
  <c r="A50" i="50"/>
  <c r="Q50" i="50" s="1"/>
  <c r="P50" i="50" s="1"/>
  <c r="N50" i="50"/>
  <c r="H50" i="50"/>
  <c r="J50" i="50"/>
  <c r="K50" i="50"/>
  <c r="L50" i="50"/>
  <c r="B50" i="50"/>
  <c r="R50" i="50" s="1"/>
  <c r="J110" i="57"/>
  <c r="E110" i="57"/>
  <c r="H110" i="57"/>
  <c r="D110" i="57"/>
  <c r="I110" i="57"/>
  <c r="G110" i="57"/>
  <c r="C110" i="57"/>
  <c r="M110" i="57" s="1"/>
  <c r="K110" i="57"/>
  <c r="P110" i="57"/>
  <c r="F110" i="57"/>
  <c r="Q109" i="57"/>
  <c r="T109" i="57" s="1"/>
  <c r="W48" i="50"/>
  <c r="X48" i="50" s="1"/>
  <c r="Z48" i="50"/>
  <c r="AK109" i="55" a="1"/>
  <c r="AK109" i="55" s="1"/>
  <c r="B111" i="57" s="1"/>
  <c r="O111" i="57" s="1"/>
  <c r="AN95" i="67" a="1"/>
  <c r="AN95" i="67" s="1"/>
  <c r="B96" i="69"/>
  <c r="AE93" i="69"/>
  <c r="U93" i="69"/>
  <c r="Q93" i="69"/>
  <c r="R93" i="69"/>
  <c r="S93" i="69" s="1"/>
  <c r="Y93" i="69" s="1"/>
  <c r="AB93" i="69" s="1"/>
  <c r="AC93" i="69" s="1"/>
  <c r="AD93" i="69" s="1"/>
  <c r="N94" i="69"/>
  <c r="AF94" i="69" s="1"/>
  <c r="D94" i="69"/>
  <c r="E94" i="69" s="1"/>
  <c r="F94" i="69" s="1"/>
  <c r="G94" i="69" s="1"/>
  <c r="H94" i="69" s="1"/>
  <c r="I94" i="69" s="1"/>
  <c r="J94" i="69" s="1"/>
  <c r="K94" i="69" s="1"/>
  <c r="M94" i="69" s="1"/>
  <c r="C95" i="69"/>
  <c r="AL40" i="11" a="1"/>
  <c r="AL40" i="11" s="1"/>
  <c r="E41" i="32" s="1"/>
  <c r="AL50" i="59" a="1"/>
  <c r="AL50" i="59" s="1"/>
  <c r="E51" i="50" s="1"/>
  <c r="AB108" i="57" l="1"/>
  <c r="AA108" i="57"/>
  <c r="AG93" i="69"/>
  <c r="L96" i="69"/>
  <c r="O96" i="69"/>
  <c r="AO95" i="69"/>
  <c r="P95" i="69"/>
  <c r="T51" i="50"/>
  <c r="AK51" i="50"/>
  <c r="AB109" i="53"/>
  <c r="AA109" i="53"/>
  <c r="AF109" i="53"/>
  <c r="AC110" i="53"/>
  <c r="AE110" i="53"/>
  <c r="AK41" i="32"/>
  <c r="T41" i="32"/>
  <c r="AF108" i="57"/>
  <c r="X109" i="57"/>
  <c r="AE110" i="57"/>
  <c r="AC110" i="57"/>
  <c r="AD49" i="50"/>
  <c r="AG49" i="50" s="1"/>
  <c r="AH49" i="50" s="1"/>
  <c r="AI49" i="50" s="1"/>
  <c r="AM50" i="50"/>
  <c r="U50" i="50"/>
  <c r="AP47" i="50"/>
  <c r="R110" i="57"/>
  <c r="R110" i="53"/>
  <c r="X110" i="53" s="1"/>
  <c r="AL48" i="50"/>
  <c r="AX94" i="69"/>
  <c r="AG111" i="57"/>
  <c r="L111" i="57"/>
  <c r="O51" i="50"/>
  <c r="AJ110" i="57"/>
  <c r="AP110" i="57"/>
  <c r="AH110" i="53"/>
  <c r="AT110" i="53"/>
  <c r="AG110" i="53"/>
  <c r="N111" i="57"/>
  <c r="M111" i="53"/>
  <c r="N111" i="53"/>
  <c r="AH94" i="69"/>
  <c r="AJ49" i="50"/>
  <c r="C49" i="50"/>
  <c r="AD110" i="57"/>
  <c r="Q110" i="53"/>
  <c r="AD110" i="53"/>
  <c r="S50" i="50"/>
  <c r="V49" i="50"/>
  <c r="AK110" i="52" a="1"/>
  <c r="AK110" i="52" s="1"/>
  <c r="B112" i="53" s="1"/>
  <c r="O112" i="53" s="1"/>
  <c r="D111" i="53"/>
  <c r="G111" i="53"/>
  <c r="H111" i="53"/>
  <c r="L111" i="53"/>
  <c r="P111" i="53"/>
  <c r="K111" i="53"/>
  <c r="E111" i="53"/>
  <c r="J111" i="53"/>
  <c r="I111" i="53"/>
  <c r="C111" i="53"/>
  <c r="F111" i="53"/>
  <c r="F51" i="50"/>
  <c r="A51" i="50"/>
  <c r="Q51" i="50" s="1"/>
  <c r="P51" i="50" s="1"/>
  <c r="M51" i="50"/>
  <c r="K51" i="50"/>
  <c r="H51" i="50"/>
  <c r="L51" i="50"/>
  <c r="B51" i="50"/>
  <c r="R51" i="50" s="1"/>
  <c r="G51" i="50"/>
  <c r="N51" i="50"/>
  <c r="J51" i="50"/>
  <c r="I51" i="50"/>
  <c r="W49" i="50"/>
  <c r="X49" i="50" s="1"/>
  <c r="Z49" i="50"/>
  <c r="Q110" i="57"/>
  <c r="T110" i="57" s="1"/>
  <c r="I111" i="57"/>
  <c r="H111" i="57"/>
  <c r="G111" i="57"/>
  <c r="E111" i="57"/>
  <c r="P111" i="57"/>
  <c r="D111" i="57"/>
  <c r="K111" i="57"/>
  <c r="C111" i="57"/>
  <c r="M111" i="57" s="1"/>
  <c r="F111" i="57"/>
  <c r="J111" i="57"/>
  <c r="AK110" i="55" a="1"/>
  <c r="AK110" i="55" s="1"/>
  <c r="B112" i="57" s="1"/>
  <c r="O112" i="57" s="1"/>
  <c r="AN96" i="67" a="1"/>
  <c r="AN96" i="67" s="1"/>
  <c r="B97" i="69"/>
  <c r="N95" i="69"/>
  <c r="AF95" i="69" s="1"/>
  <c r="D95" i="69"/>
  <c r="E95" i="69" s="1"/>
  <c r="F95" i="69" s="1"/>
  <c r="G95" i="69" s="1"/>
  <c r="H95" i="69" s="1"/>
  <c r="I95" i="69" s="1"/>
  <c r="J95" i="69" s="1"/>
  <c r="K95" i="69" s="1"/>
  <c r="M95" i="69" s="1"/>
  <c r="U94" i="69"/>
  <c r="R94" i="69"/>
  <c r="S94" i="69" s="1"/>
  <c r="Y94" i="69" s="1"/>
  <c r="AE94" i="69"/>
  <c r="Q94" i="69"/>
  <c r="C96" i="69"/>
  <c r="AL41" i="11" a="1"/>
  <c r="AL41" i="11" s="1"/>
  <c r="E42" i="32" s="1"/>
  <c r="AL51" i="59" a="1"/>
  <c r="AL51" i="59" s="1"/>
  <c r="E52" i="50" s="1"/>
  <c r="AB109" i="57" l="1"/>
  <c r="AA109" i="57"/>
  <c r="AB94" i="69"/>
  <c r="AC94" i="69" s="1"/>
  <c r="AD94" i="69" s="1"/>
  <c r="AG94" i="69"/>
  <c r="AO96" i="69"/>
  <c r="P96" i="69"/>
  <c r="L97" i="69"/>
  <c r="O97" i="69"/>
  <c r="T52" i="50"/>
  <c r="AK52" i="50"/>
  <c r="AE111" i="53"/>
  <c r="AC111" i="53"/>
  <c r="AB110" i="53"/>
  <c r="AA110" i="53"/>
  <c r="AF110" i="53"/>
  <c r="AK42" i="32"/>
  <c r="T42" i="32"/>
  <c r="AF109" i="57"/>
  <c r="X110" i="57"/>
  <c r="AE111" i="57"/>
  <c r="AC111" i="57"/>
  <c r="AM51" i="50"/>
  <c r="U51" i="50"/>
  <c r="AD50" i="50"/>
  <c r="AG50" i="50" s="1"/>
  <c r="AH50" i="50" s="1"/>
  <c r="AI50" i="50" s="1"/>
  <c r="AP48" i="50"/>
  <c r="R111" i="57"/>
  <c r="R111" i="53"/>
  <c r="X111" i="53" s="1"/>
  <c r="AL49" i="50"/>
  <c r="AX95" i="69"/>
  <c r="AG112" i="57"/>
  <c r="L112" i="57"/>
  <c r="O52" i="50"/>
  <c r="AJ111" i="57"/>
  <c r="AP111" i="57"/>
  <c r="AG111" i="53"/>
  <c r="Q111" i="53"/>
  <c r="AH111" i="53"/>
  <c r="AT111" i="53"/>
  <c r="N112" i="57"/>
  <c r="E112" i="53"/>
  <c r="N112" i="53"/>
  <c r="AD111" i="53"/>
  <c r="AH95" i="69"/>
  <c r="AJ50" i="50"/>
  <c r="C50" i="50"/>
  <c r="AD111" i="57"/>
  <c r="S51" i="50"/>
  <c r="V50" i="50"/>
  <c r="H112" i="53"/>
  <c r="M112" i="53"/>
  <c r="G112" i="53"/>
  <c r="J112" i="53"/>
  <c r="P112" i="53"/>
  <c r="L112" i="53"/>
  <c r="I112" i="53"/>
  <c r="C112" i="53"/>
  <c r="AK111" i="52" a="1"/>
  <c r="AK111" i="52" s="1"/>
  <c r="B113" i="53" s="1"/>
  <c r="O113" i="53" s="1"/>
  <c r="F112" i="53"/>
  <c r="D112" i="53"/>
  <c r="K112" i="53"/>
  <c r="H52" i="50"/>
  <c r="N52" i="50"/>
  <c r="M52" i="50"/>
  <c r="F52" i="50"/>
  <c r="L52" i="50"/>
  <c r="B52" i="50"/>
  <c r="R52" i="50" s="1"/>
  <c r="J52" i="50"/>
  <c r="I52" i="50"/>
  <c r="A52" i="50"/>
  <c r="Q52" i="50" s="1"/>
  <c r="P52" i="50" s="1"/>
  <c r="G52" i="50"/>
  <c r="K52" i="50"/>
  <c r="K112" i="57"/>
  <c r="I112" i="57"/>
  <c r="F112" i="57"/>
  <c r="E112" i="57"/>
  <c r="C112" i="57"/>
  <c r="M112" i="57" s="1"/>
  <c r="P112" i="57"/>
  <c r="H112" i="57"/>
  <c r="D112" i="57"/>
  <c r="J112" i="57"/>
  <c r="G112" i="57"/>
  <c r="Z50" i="50"/>
  <c r="W50" i="50"/>
  <c r="X50" i="50" s="1"/>
  <c r="Q111" i="57"/>
  <c r="T111" i="57" s="1"/>
  <c r="AK111" i="55" a="1"/>
  <c r="AK111" i="55" s="1"/>
  <c r="B113" i="57" s="1"/>
  <c r="O113" i="57" s="1"/>
  <c r="D96" i="69"/>
  <c r="E96" i="69" s="1"/>
  <c r="F96" i="69" s="1"/>
  <c r="G96" i="69" s="1"/>
  <c r="H96" i="69" s="1"/>
  <c r="I96" i="69" s="1"/>
  <c r="J96" i="69" s="1"/>
  <c r="K96" i="69" s="1"/>
  <c r="M96" i="69" s="1"/>
  <c r="N96" i="69"/>
  <c r="AF96" i="69" s="1"/>
  <c r="U95" i="69"/>
  <c r="Q95" i="69"/>
  <c r="AE95" i="69"/>
  <c r="R95" i="69"/>
  <c r="S95" i="69" s="1"/>
  <c r="Y95" i="69" s="1"/>
  <c r="C97" i="69"/>
  <c r="AN97" i="67" a="1"/>
  <c r="AN97" i="67" s="1"/>
  <c r="B98" i="69"/>
  <c r="AL42" i="11" a="1"/>
  <c r="AL42" i="11" s="1"/>
  <c r="E43" i="32" s="1"/>
  <c r="AL52" i="59" a="1"/>
  <c r="AL52" i="59" s="1"/>
  <c r="E53" i="50" s="1"/>
  <c r="AB110" i="57" l="1"/>
  <c r="AA110" i="57"/>
  <c r="AB95" i="69"/>
  <c r="AC95" i="69" s="1"/>
  <c r="AD95" i="69" s="1"/>
  <c r="AG95" i="69"/>
  <c r="AO97" i="69"/>
  <c r="P97" i="69"/>
  <c r="L98" i="69"/>
  <c r="O98" i="69"/>
  <c r="T53" i="50"/>
  <c r="AK53" i="50"/>
  <c r="X111" i="57"/>
  <c r="AC112" i="53"/>
  <c r="AE112" i="53"/>
  <c r="AF111" i="53"/>
  <c r="AB111" i="53"/>
  <c r="AA111" i="53"/>
  <c r="AK43" i="32"/>
  <c r="T43" i="32"/>
  <c r="AF110" i="57"/>
  <c r="AC112" i="57"/>
  <c r="AE112" i="57"/>
  <c r="AM52" i="50"/>
  <c r="U52" i="50"/>
  <c r="AD51" i="50"/>
  <c r="AG51" i="50" s="1"/>
  <c r="AH51" i="50" s="1"/>
  <c r="AI51" i="50" s="1"/>
  <c r="AP49" i="50"/>
  <c r="R112" i="57"/>
  <c r="R112" i="53"/>
  <c r="X112" i="53" s="1"/>
  <c r="AL50" i="50"/>
  <c r="AX96" i="69"/>
  <c r="AG113" i="57"/>
  <c r="L113" i="57"/>
  <c r="O53" i="50"/>
  <c r="AJ112" i="57"/>
  <c r="AP112" i="57"/>
  <c r="AH112" i="53"/>
  <c r="AT112" i="53"/>
  <c r="AG112" i="53"/>
  <c r="N113" i="57"/>
  <c r="E113" i="53"/>
  <c r="N113" i="53"/>
  <c r="AH96" i="69"/>
  <c r="AJ51" i="50"/>
  <c r="C51" i="50"/>
  <c r="AD112" i="57"/>
  <c r="AD112" i="53"/>
  <c r="Q112" i="53"/>
  <c r="S52" i="50"/>
  <c r="V51" i="50"/>
  <c r="H113" i="53"/>
  <c r="F113" i="53"/>
  <c r="D113" i="53"/>
  <c r="P113" i="53"/>
  <c r="AK112" i="52" a="1"/>
  <c r="AK112" i="52" s="1"/>
  <c r="B114" i="53" s="1"/>
  <c r="O114" i="53" s="1"/>
  <c r="I113" i="53"/>
  <c r="K113" i="53"/>
  <c r="L113" i="53"/>
  <c r="C113" i="53"/>
  <c r="M113" i="53"/>
  <c r="J113" i="53"/>
  <c r="G113" i="53"/>
  <c r="B53" i="50"/>
  <c r="R53" i="50" s="1"/>
  <c r="I53" i="50"/>
  <c r="H53" i="50"/>
  <c r="A53" i="50"/>
  <c r="Q53" i="50" s="1"/>
  <c r="P53" i="50" s="1"/>
  <c r="G53" i="50"/>
  <c r="K53" i="50"/>
  <c r="J53" i="50"/>
  <c r="L53" i="50"/>
  <c r="N53" i="50"/>
  <c r="F53" i="50"/>
  <c r="M53" i="50"/>
  <c r="W51" i="50"/>
  <c r="X51" i="50" s="1"/>
  <c r="Z51" i="50"/>
  <c r="Q112" i="57"/>
  <c r="T112" i="57" s="1"/>
  <c r="P113" i="57"/>
  <c r="D113" i="57"/>
  <c r="C113" i="57"/>
  <c r="M113" i="57" s="1"/>
  <c r="K113" i="57"/>
  <c r="I113" i="57"/>
  <c r="E113" i="57"/>
  <c r="H113" i="57"/>
  <c r="G113" i="57"/>
  <c r="F113" i="57"/>
  <c r="J113" i="57"/>
  <c r="AK112" i="55" a="1"/>
  <c r="AK112" i="55" s="1"/>
  <c r="B114" i="57" s="1"/>
  <c r="O114" i="57" s="1"/>
  <c r="AN98" i="67" a="1"/>
  <c r="AN98" i="67" s="1"/>
  <c r="B99" i="69"/>
  <c r="AE96" i="69"/>
  <c r="Q96" i="69"/>
  <c r="U96" i="69"/>
  <c r="R96" i="69"/>
  <c r="S96" i="69" s="1"/>
  <c r="Y96" i="69" s="1"/>
  <c r="C98" i="69"/>
  <c r="D97" i="69"/>
  <c r="E97" i="69" s="1"/>
  <c r="F97" i="69" s="1"/>
  <c r="G97" i="69" s="1"/>
  <c r="H97" i="69" s="1"/>
  <c r="I97" i="69" s="1"/>
  <c r="J97" i="69" s="1"/>
  <c r="K97" i="69" s="1"/>
  <c r="M97" i="69" s="1"/>
  <c r="N97" i="69"/>
  <c r="AF97" i="69" s="1"/>
  <c r="AL43" i="11" a="1"/>
  <c r="AL43" i="11" s="1"/>
  <c r="E44" i="32" s="1"/>
  <c r="AL53" i="59" a="1"/>
  <c r="AL53" i="59" s="1"/>
  <c r="E54" i="50" s="1"/>
  <c r="AB111" i="57" l="1"/>
  <c r="AA111" i="57"/>
  <c r="AB96" i="69"/>
  <c r="AC96" i="69" s="1"/>
  <c r="AD96" i="69" s="1"/>
  <c r="AG96" i="69"/>
  <c r="L99" i="69"/>
  <c r="O99" i="69"/>
  <c r="AO98" i="69"/>
  <c r="P98" i="69"/>
  <c r="T54" i="50"/>
  <c r="AK54" i="50"/>
  <c r="X112" i="57"/>
  <c r="AF111" i="57"/>
  <c r="AB112" i="53"/>
  <c r="AA112" i="53"/>
  <c r="AC113" i="53"/>
  <c r="AE113" i="53"/>
  <c r="AF112" i="53"/>
  <c r="AK44" i="32"/>
  <c r="T44" i="32"/>
  <c r="AC113" i="57"/>
  <c r="AE113" i="57"/>
  <c r="AD52" i="50"/>
  <c r="AG52" i="50" s="1"/>
  <c r="AH52" i="50" s="1"/>
  <c r="AI52" i="50" s="1"/>
  <c r="AM53" i="50"/>
  <c r="U53" i="50"/>
  <c r="AL51" i="50"/>
  <c r="AP50" i="50"/>
  <c r="R113" i="57"/>
  <c r="R113" i="53"/>
  <c r="X113" i="53" s="1"/>
  <c r="AX97" i="69"/>
  <c r="AG114" i="57"/>
  <c r="L114" i="57"/>
  <c r="O54" i="50"/>
  <c r="AJ113" i="57"/>
  <c r="AP113" i="57"/>
  <c r="AH113" i="53"/>
  <c r="AT113" i="53"/>
  <c r="AG113" i="53"/>
  <c r="N114" i="57"/>
  <c r="G114" i="53"/>
  <c r="N114" i="53"/>
  <c r="AH97" i="69"/>
  <c r="AJ52" i="50"/>
  <c r="C52" i="50"/>
  <c r="AD113" i="57"/>
  <c r="AD113" i="53"/>
  <c r="Q113" i="53"/>
  <c r="S53" i="50"/>
  <c r="V52" i="50"/>
  <c r="F114" i="53"/>
  <c r="L114" i="53"/>
  <c r="H114" i="53"/>
  <c r="E114" i="53"/>
  <c r="I114" i="53"/>
  <c r="M114" i="53"/>
  <c r="P114" i="53"/>
  <c r="AK113" i="52" a="1"/>
  <c r="AK113" i="52" s="1"/>
  <c r="B115" i="53" s="1"/>
  <c r="O115" i="53" s="1"/>
  <c r="C114" i="53"/>
  <c r="J114" i="53"/>
  <c r="K114" i="53"/>
  <c r="D114" i="53"/>
  <c r="F54" i="50"/>
  <c r="G54" i="50"/>
  <c r="H54" i="50"/>
  <c r="L54" i="50"/>
  <c r="J54" i="50"/>
  <c r="K54" i="50"/>
  <c r="M54" i="50"/>
  <c r="A54" i="50"/>
  <c r="Q54" i="50" s="1"/>
  <c r="P54" i="50" s="1"/>
  <c r="I54" i="50"/>
  <c r="B54" i="50"/>
  <c r="R54" i="50" s="1"/>
  <c r="N54" i="50"/>
  <c r="P114" i="57"/>
  <c r="E114" i="57"/>
  <c r="C114" i="57"/>
  <c r="M114" i="57" s="1"/>
  <c r="G114" i="57"/>
  <c r="I114" i="57"/>
  <c r="K114" i="57"/>
  <c r="F114" i="57"/>
  <c r="J114" i="57"/>
  <c r="D114" i="57"/>
  <c r="H114" i="57"/>
  <c r="Z52" i="50"/>
  <c r="W52" i="50"/>
  <c r="X52" i="50" s="1"/>
  <c r="Q113" i="57"/>
  <c r="T113" i="57" s="1"/>
  <c r="AK113" i="55" a="1"/>
  <c r="AK113" i="55" s="1"/>
  <c r="B115" i="57" s="1"/>
  <c r="O115" i="57" s="1"/>
  <c r="C99" i="69"/>
  <c r="D98" i="69"/>
  <c r="E98" i="69" s="1"/>
  <c r="F98" i="69" s="1"/>
  <c r="G98" i="69" s="1"/>
  <c r="H98" i="69" s="1"/>
  <c r="I98" i="69" s="1"/>
  <c r="J98" i="69" s="1"/>
  <c r="K98" i="69" s="1"/>
  <c r="M98" i="69" s="1"/>
  <c r="N98" i="69"/>
  <c r="AF98" i="69" s="1"/>
  <c r="Q97" i="69"/>
  <c r="R97" i="69"/>
  <c r="S97" i="69" s="1"/>
  <c r="Y97" i="69" s="1"/>
  <c r="AB97" i="69" s="1"/>
  <c r="AC97" i="69" s="1"/>
  <c r="AD97" i="69" s="1"/>
  <c r="AE97" i="69"/>
  <c r="U97" i="69"/>
  <c r="AN99" i="67" a="1"/>
  <c r="AN99" i="67" s="1"/>
  <c r="B100" i="69"/>
  <c r="AL44" i="11" a="1"/>
  <c r="AL44" i="11" s="1"/>
  <c r="E45" i="32" s="1"/>
  <c r="AL54" i="59" a="1"/>
  <c r="AL54" i="59" s="1"/>
  <c r="E55" i="50" s="1"/>
  <c r="AB112" i="57" l="1"/>
  <c r="AA112" i="57"/>
  <c r="L100" i="69"/>
  <c r="O100" i="69"/>
  <c r="AO99" i="69"/>
  <c r="P99" i="69"/>
  <c r="AG97" i="69"/>
  <c r="AK55" i="50"/>
  <c r="T55" i="50"/>
  <c r="X113" i="57"/>
  <c r="AA113" i="57" s="1"/>
  <c r="AF112" i="57"/>
  <c r="AB113" i="53"/>
  <c r="AA113" i="53"/>
  <c r="AF113" i="53"/>
  <c r="AC114" i="53"/>
  <c r="AE114" i="53"/>
  <c r="AK45" i="32"/>
  <c r="T45" i="32"/>
  <c r="AE114" i="57"/>
  <c r="AC114" i="57"/>
  <c r="AM54" i="50"/>
  <c r="U54" i="50"/>
  <c r="AD53" i="50"/>
  <c r="AG53" i="50" s="1"/>
  <c r="AH53" i="50" s="1"/>
  <c r="AI53" i="50" s="1"/>
  <c r="R114" i="57"/>
  <c r="R114" i="53"/>
  <c r="X114" i="53" s="1"/>
  <c r="AL52" i="50"/>
  <c r="AP51" i="50"/>
  <c r="AX98" i="69"/>
  <c r="AG115" i="57"/>
  <c r="L115" i="57"/>
  <c r="O55" i="50"/>
  <c r="AJ114" i="57"/>
  <c r="AP114" i="57"/>
  <c r="AG114" i="53"/>
  <c r="AH114" i="53"/>
  <c r="AT114" i="53"/>
  <c r="N115" i="57"/>
  <c r="N115" i="53"/>
  <c r="AH98" i="69"/>
  <c r="AJ53" i="50"/>
  <c r="C53" i="50"/>
  <c r="AD114" i="57"/>
  <c r="AD114" i="53"/>
  <c r="Q114" i="53"/>
  <c r="S54" i="50"/>
  <c r="V53" i="50"/>
  <c r="G115" i="53"/>
  <c r="H115" i="53"/>
  <c r="E115" i="53"/>
  <c r="I115" i="53"/>
  <c r="K115" i="53"/>
  <c r="L115" i="53"/>
  <c r="F115" i="53"/>
  <c r="M115" i="53"/>
  <c r="P115" i="53"/>
  <c r="AK114" i="52" a="1"/>
  <c r="AK114" i="52" s="1"/>
  <c r="B116" i="53" s="1"/>
  <c r="O116" i="53" s="1"/>
  <c r="J115" i="53"/>
  <c r="C115" i="53"/>
  <c r="D115" i="53"/>
  <c r="J55" i="50"/>
  <c r="M55" i="50"/>
  <c r="I55" i="50"/>
  <c r="N55" i="50"/>
  <c r="G55" i="50"/>
  <c r="F55" i="50"/>
  <c r="K55" i="50"/>
  <c r="B55" i="50"/>
  <c r="R55" i="50" s="1"/>
  <c r="H55" i="50"/>
  <c r="L55" i="50"/>
  <c r="A55" i="50"/>
  <c r="Q55" i="50" s="1"/>
  <c r="P55" i="50" s="1"/>
  <c r="Z53" i="50"/>
  <c r="W53" i="50"/>
  <c r="X53" i="50" s="1"/>
  <c r="E115" i="57"/>
  <c r="P115" i="57"/>
  <c r="D115" i="57"/>
  <c r="C115" i="57"/>
  <c r="M115" i="57" s="1"/>
  <c r="K115" i="57"/>
  <c r="G115" i="57"/>
  <c r="I115" i="57"/>
  <c r="H115" i="57"/>
  <c r="F115" i="57"/>
  <c r="J115" i="57"/>
  <c r="Q114" i="57"/>
  <c r="T114" i="57" s="1"/>
  <c r="AK114" i="55" a="1"/>
  <c r="AK114" i="55" s="1"/>
  <c r="B116" i="57" s="1"/>
  <c r="O116" i="57" s="1"/>
  <c r="AN100" i="67" a="1"/>
  <c r="AN100" i="67" s="1"/>
  <c r="B101" i="69"/>
  <c r="D99" i="69"/>
  <c r="E99" i="69" s="1"/>
  <c r="F99" i="69" s="1"/>
  <c r="G99" i="69" s="1"/>
  <c r="H99" i="69" s="1"/>
  <c r="I99" i="69" s="1"/>
  <c r="J99" i="69" s="1"/>
  <c r="K99" i="69" s="1"/>
  <c r="M99" i="69" s="1"/>
  <c r="N99" i="69"/>
  <c r="AF99" i="69" s="1"/>
  <c r="C100" i="69"/>
  <c r="U98" i="69"/>
  <c r="R98" i="69"/>
  <c r="S98" i="69" s="1"/>
  <c r="Y98" i="69" s="1"/>
  <c r="AB98" i="69" s="1"/>
  <c r="AC98" i="69" s="1"/>
  <c r="AD98" i="69" s="1"/>
  <c r="AE98" i="69"/>
  <c r="Q98" i="69"/>
  <c r="AL45" i="11" a="1"/>
  <c r="AL45" i="11" s="1"/>
  <c r="E46" i="32" s="1"/>
  <c r="AL55" i="59" a="1"/>
  <c r="AL55" i="59" s="1"/>
  <c r="E56" i="50" s="1"/>
  <c r="AO100" i="69" l="1"/>
  <c r="P100" i="69"/>
  <c r="L101" i="69"/>
  <c r="O101" i="69"/>
  <c r="AG98" i="69"/>
  <c r="AK56" i="50"/>
  <c r="T56" i="50"/>
  <c r="AB113" i="57"/>
  <c r="X114" i="57"/>
  <c r="AF113" i="57"/>
  <c r="AB114" i="53"/>
  <c r="AA114" i="53"/>
  <c r="AE115" i="53"/>
  <c r="AC115" i="53"/>
  <c r="AF114" i="53"/>
  <c r="AK46" i="32"/>
  <c r="T46" i="32"/>
  <c r="AE115" i="57"/>
  <c r="AC115" i="57"/>
  <c r="AM55" i="50"/>
  <c r="U55" i="50"/>
  <c r="AD54" i="50"/>
  <c r="AG54" i="50" s="1"/>
  <c r="AH54" i="50" s="1"/>
  <c r="AI54" i="50" s="1"/>
  <c r="AP52" i="50"/>
  <c r="R115" i="57"/>
  <c r="R115" i="53"/>
  <c r="X115" i="53" s="1"/>
  <c r="AL53" i="50"/>
  <c r="AX99" i="69"/>
  <c r="AG116" i="57"/>
  <c r="L116" i="57"/>
  <c r="O56" i="50"/>
  <c r="AJ115" i="57"/>
  <c r="AP115" i="57"/>
  <c r="AG115" i="53"/>
  <c r="AH115" i="53"/>
  <c r="AT115" i="53"/>
  <c r="N116" i="57"/>
  <c r="G116" i="53"/>
  <c r="N116" i="53"/>
  <c r="AH99" i="69"/>
  <c r="AJ54" i="50"/>
  <c r="C54" i="50"/>
  <c r="AD115" i="57"/>
  <c r="AD115" i="53"/>
  <c r="Q115" i="53"/>
  <c r="V54" i="50"/>
  <c r="S55" i="50"/>
  <c r="P116" i="53"/>
  <c r="F116" i="53"/>
  <c r="C116" i="53"/>
  <c r="K116" i="53"/>
  <c r="AK115" i="52" a="1"/>
  <c r="AK115" i="52" s="1"/>
  <c r="B117" i="53" s="1"/>
  <c r="O117" i="53" s="1"/>
  <c r="H116" i="53"/>
  <c r="E116" i="53"/>
  <c r="L116" i="53"/>
  <c r="J116" i="53"/>
  <c r="I116" i="53"/>
  <c r="D116" i="53"/>
  <c r="M116" i="53"/>
  <c r="F56" i="50"/>
  <c r="L56" i="50"/>
  <c r="B56" i="50"/>
  <c r="R56" i="50" s="1"/>
  <c r="J56" i="50"/>
  <c r="M56" i="50"/>
  <c r="I56" i="50"/>
  <c r="H56" i="50"/>
  <c r="N56" i="50"/>
  <c r="G56" i="50"/>
  <c r="K56" i="50"/>
  <c r="A56" i="50"/>
  <c r="Q56" i="50" s="1"/>
  <c r="P56" i="50" s="1"/>
  <c r="P116" i="57"/>
  <c r="G116" i="57"/>
  <c r="E116" i="57"/>
  <c r="C116" i="57"/>
  <c r="M116" i="57" s="1"/>
  <c r="I116" i="57"/>
  <c r="K116" i="57"/>
  <c r="J116" i="57"/>
  <c r="F116" i="57"/>
  <c r="D116" i="57"/>
  <c r="H116" i="57"/>
  <c r="Q115" i="57"/>
  <c r="T115" i="57" s="1"/>
  <c r="Z54" i="50"/>
  <c r="W54" i="50"/>
  <c r="X54" i="50" s="1"/>
  <c r="AK115" i="55" a="1"/>
  <c r="AK115" i="55" s="1"/>
  <c r="B117" i="57" s="1"/>
  <c r="O117" i="57" s="1"/>
  <c r="R99" i="69"/>
  <c r="S99" i="69" s="1"/>
  <c r="Y99" i="69" s="1"/>
  <c r="AE99" i="69"/>
  <c r="U99" i="69"/>
  <c r="Q99" i="69"/>
  <c r="C101" i="69"/>
  <c r="D100" i="69"/>
  <c r="E100" i="69" s="1"/>
  <c r="F100" i="69" s="1"/>
  <c r="G100" i="69" s="1"/>
  <c r="H100" i="69" s="1"/>
  <c r="I100" i="69" s="1"/>
  <c r="J100" i="69" s="1"/>
  <c r="K100" i="69" s="1"/>
  <c r="M100" i="69" s="1"/>
  <c r="N100" i="69"/>
  <c r="AF100" i="69" s="1"/>
  <c r="AN101" i="67" a="1"/>
  <c r="AN101" i="67" s="1"/>
  <c r="B102" i="69"/>
  <c r="AL46" i="11" a="1"/>
  <c r="AL46" i="11" s="1"/>
  <c r="E47" i="32" s="1"/>
  <c r="AL56" i="59" a="1"/>
  <c r="AL56" i="59" s="1"/>
  <c r="E57" i="50" s="1"/>
  <c r="AB114" i="57" l="1"/>
  <c r="AA114" i="57"/>
  <c r="AB99" i="69"/>
  <c r="AC99" i="69" s="1"/>
  <c r="AD99" i="69" s="1"/>
  <c r="AG99" i="69"/>
  <c r="AO101" i="69"/>
  <c r="P101" i="69"/>
  <c r="L102" i="69"/>
  <c r="O102" i="69"/>
  <c r="X115" i="57"/>
  <c r="T57" i="50"/>
  <c r="AK57" i="50"/>
  <c r="AF114" i="57"/>
  <c r="AB115" i="53"/>
  <c r="AA115" i="53"/>
  <c r="AF115" i="53"/>
  <c r="AC116" i="53"/>
  <c r="AE116" i="53"/>
  <c r="AK47" i="32"/>
  <c r="T47" i="32"/>
  <c r="AC116" i="57"/>
  <c r="AE116" i="57"/>
  <c r="AM56" i="50"/>
  <c r="U56" i="50"/>
  <c r="AD55" i="50"/>
  <c r="AG55" i="50" s="1"/>
  <c r="AH55" i="50" s="1"/>
  <c r="AI55" i="50" s="1"/>
  <c r="AP53" i="50"/>
  <c r="R116" i="57"/>
  <c r="R116" i="53"/>
  <c r="X116" i="53" s="1"/>
  <c r="AL54" i="50"/>
  <c r="AX100" i="69"/>
  <c r="L117" i="57"/>
  <c r="AG117" i="57"/>
  <c r="O57" i="50"/>
  <c r="AJ116" i="57"/>
  <c r="AP116" i="57"/>
  <c r="AH116" i="53"/>
  <c r="AT116" i="53"/>
  <c r="AG116" i="53"/>
  <c r="N117" i="57"/>
  <c r="L117" i="53"/>
  <c r="N117" i="53"/>
  <c r="AH100" i="69"/>
  <c r="AJ55" i="50"/>
  <c r="C55" i="50"/>
  <c r="AD116" i="57"/>
  <c r="AD116" i="53"/>
  <c r="S56" i="50"/>
  <c r="V55" i="50"/>
  <c r="Q116" i="53"/>
  <c r="AK116" i="52" a="1"/>
  <c r="AK116" i="52" s="1"/>
  <c r="B118" i="53" s="1"/>
  <c r="O118" i="53" s="1"/>
  <c r="K117" i="53"/>
  <c r="M117" i="53"/>
  <c r="P117" i="53"/>
  <c r="D117" i="53"/>
  <c r="G117" i="53"/>
  <c r="E117" i="53"/>
  <c r="J117" i="53"/>
  <c r="H117" i="53"/>
  <c r="C117" i="53"/>
  <c r="I117" i="53"/>
  <c r="F117" i="53"/>
  <c r="M57" i="50"/>
  <c r="J57" i="50"/>
  <c r="G57" i="50"/>
  <c r="L57" i="50"/>
  <c r="H57" i="50"/>
  <c r="I57" i="50"/>
  <c r="K57" i="50"/>
  <c r="B57" i="50"/>
  <c r="R57" i="50" s="1"/>
  <c r="F57" i="50"/>
  <c r="A57" i="50"/>
  <c r="Q57" i="50" s="1"/>
  <c r="P57" i="50" s="1"/>
  <c r="N57" i="50"/>
  <c r="Z55" i="50"/>
  <c r="W55" i="50"/>
  <c r="X55" i="50" s="1"/>
  <c r="G117" i="57"/>
  <c r="E117" i="57"/>
  <c r="P117" i="57"/>
  <c r="D117" i="57"/>
  <c r="C117" i="57"/>
  <c r="M117" i="57" s="1"/>
  <c r="H117" i="57"/>
  <c r="K117" i="57"/>
  <c r="I117" i="57"/>
  <c r="F117" i="57"/>
  <c r="J117" i="57"/>
  <c r="Q116" i="57"/>
  <c r="T116" i="57" s="1"/>
  <c r="AK116" i="55" a="1"/>
  <c r="AK116" i="55" s="1"/>
  <c r="B118" i="57" s="1"/>
  <c r="O118" i="57" s="1"/>
  <c r="C102" i="69"/>
  <c r="AE100" i="69"/>
  <c r="U100" i="69"/>
  <c r="Q100" i="69"/>
  <c r="R100" i="69"/>
  <c r="S100" i="69" s="1"/>
  <c r="Y100" i="69" s="1"/>
  <c r="AB100" i="69" s="1"/>
  <c r="AC100" i="69" s="1"/>
  <c r="AD100" i="69" s="1"/>
  <c r="AN102" i="67" a="1"/>
  <c r="AN102" i="67" s="1"/>
  <c r="B103" i="69"/>
  <c r="N101" i="69"/>
  <c r="AF101" i="69" s="1"/>
  <c r="D101" i="69"/>
  <c r="E101" i="69" s="1"/>
  <c r="F101" i="69" s="1"/>
  <c r="G101" i="69" s="1"/>
  <c r="H101" i="69" s="1"/>
  <c r="I101" i="69" s="1"/>
  <c r="J101" i="69" s="1"/>
  <c r="K101" i="69" s="1"/>
  <c r="M101" i="69" s="1"/>
  <c r="AL47" i="11" a="1"/>
  <c r="AL47" i="11" s="1"/>
  <c r="E48" i="32" s="1"/>
  <c r="AL57" i="59" a="1"/>
  <c r="AL57" i="59" s="1"/>
  <c r="E58" i="50" s="1"/>
  <c r="AB115" i="57" l="1"/>
  <c r="AA115" i="57"/>
  <c r="L103" i="69"/>
  <c r="O103" i="69"/>
  <c r="AG100" i="69"/>
  <c r="AO102" i="69"/>
  <c r="P102" i="69"/>
  <c r="AF115" i="57"/>
  <c r="T58" i="50"/>
  <c r="AK58" i="50"/>
  <c r="X116" i="57"/>
  <c r="AA116" i="57" s="1"/>
  <c r="AB116" i="53"/>
  <c r="AA116" i="53"/>
  <c r="AC117" i="53"/>
  <c r="AE117" i="53"/>
  <c r="AF116" i="53"/>
  <c r="AK48" i="32"/>
  <c r="T48" i="32"/>
  <c r="AC117" i="57"/>
  <c r="AE117" i="57"/>
  <c r="AM57" i="50"/>
  <c r="U57" i="50"/>
  <c r="AD56" i="50"/>
  <c r="AG56" i="50" s="1"/>
  <c r="AH56" i="50" s="1"/>
  <c r="AI56" i="50" s="1"/>
  <c r="AP54" i="50"/>
  <c r="R117" i="57"/>
  <c r="R117" i="53"/>
  <c r="X117" i="53" s="1"/>
  <c r="AL55" i="50"/>
  <c r="AX101" i="69"/>
  <c r="AG118" i="57"/>
  <c r="L118" i="57"/>
  <c r="O58" i="50"/>
  <c r="AJ117" i="57"/>
  <c r="AP117" i="57"/>
  <c r="AH117" i="53"/>
  <c r="AT117" i="53"/>
  <c r="AG117" i="53"/>
  <c r="N118" i="57"/>
  <c r="M118" i="53"/>
  <c r="N118" i="53"/>
  <c r="AH101" i="69"/>
  <c r="AJ56" i="50"/>
  <c r="C56" i="50"/>
  <c r="AD117" i="57"/>
  <c r="AD117" i="53"/>
  <c r="S57" i="50"/>
  <c r="V56" i="50"/>
  <c r="Q117" i="53"/>
  <c r="L118" i="53"/>
  <c r="J118" i="53"/>
  <c r="E118" i="53"/>
  <c r="G118" i="53"/>
  <c r="C118" i="53"/>
  <c r="AK117" i="52" a="1"/>
  <c r="AK117" i="52" s="1"/>
  <c r="B119" i="53" s="1"/>
  <c r="O119" i="53" s="1"/>
  <c r="P118" i="53"/>
  <c r="K118" i="53"/>
  <c r="D118" i="53"/>
  <c r="F118" i="53"/>
  <c r="H118" i="53"/>
  <c r="I118" i="53"/>
  <c r="I58" i="50"/>
  <c r="J58" i="50"/>
  <c r="K58" i="50"/>
  <c r="M58" i="50"/>
  <c r="L58" i="50"/>
  <c r="N58" i="50"/>
  <c r="G58" i="50"/>
  <c r="F58" i="50"/>
  <c r="A58" i="50"/>
  <c r="Q58" i="50" s="1"/>
  <c r="P58" i="50" s="1"/>
  <c r="H58" i="50"/>
  <c r="B58" i="50"/>
  <c r="R58" i="50" s="1"/>
  <c r="P118" i="57"/>
  <c r="I118" i="57"/>
  <c r="G118" i="57"/>
  <c r="E118" i="57"/>
  <c r="C118" i="57"/>
  <c r="M118" i="57" s="1"/>
  <c r="K118" i="57"/>
  <c r="F118" i="57"/>
  <c r="J118" i="57"/>
  <c r="D118" i="57"/>
  <c r="H118" i="57"/>
  <c r="Q117" i="57"/>
  <c r="T117" i="57" s="1"/>
  <c r="Z56" i="50"/>
  <c r="W56" i="50"/>
  <c r="X56" i="50" s="1"/>
  <c r="AK117" i="55" a="1"/>
  <c r="AK117" i="55" s="1"/>
  <c r="B119" i="57" s="1"/>
  <c r="O119" i="57" s="1"/>
  <c r="C103" i="69"/>
  <c r="U101" i="69"/>
  <c r="R101" i="69"/>
  <c r="S101" i="69" s="1"/>
  <c r="Y101" i="69" s="1"/>
  <c r="AE101" i="69"/>
  <c r="Q101" i="69"/>
  <c r="AN103" i="67" a="1"/>
  <c r="AN103" i="67" s="1"/>
  <c r="B104" i="69"/>
  <c r="D102" i="69"/>
  <c r="E102" i="69" s="1"/>
  <c r="F102" i="69" s="1"/>
  <c r="G102" i="69" s="1"/>
  <c r="H102" i="69" s="1"/>
  <c r="I102" i="69" s="1"/>
  <c r="J102" i="69" s="1"/>
  <c r="K102" i="69" s="1"/>
  <c r="M102" i="69" s="1"/>
  <c r="N102" i="69"/>
  <c r="AF102" i="69" s="1"/>
  <c r="AL48" i="11" a="1"/>
  <c r="AL48" i="11" s="1"/>
  <c r="E49" i="32" s="1"/>
  <c r="AL58" i="59" a="1"/>
  <c r="AL58" i="59" s="1"/>
  <c r="E59" i="50" s="1"/>
  <c r="AB101" i="69" l="1"/>
  <c r="AC101" i="69" s="1"/>
  <c r="AD101" i="69" s="1"/>
  <c r="AG101" i="69"/>
  <c r="AO103" i="69"/>
  <c r="P103" i="69"/>
  <c r="L104" i="69"/>
  <c r="O104" i="69"/>
  <c r="AB116" i="57"/>
  <c r="T59" i="50"/>
  <c r="AK59" i="50"/>
  <c r="X117" i="57"/>
  <c r="AA117" i="57" s="1"/>
  <c r="AF116" i="57"/>
  <c r="AF117" i="53"/>
  <c r="AC118" i="53"/>
  <c r="AE118" i="53"/>
  <c r="AB117" i="53"/>
  <c r="AA117" i="53"/>
  <c r="AK49" i="32"/>
  <c r="T49" i="32"/>
  <c r="AE118" i="57"/>
  <c r="AC118" i="57"/>
  <c r="AM58" i="50"/>
  <c r="U58" i="50"/>
  <c r="AD57" i="50"/>
  <c r="AG57" i="50" s="1"/>
  <c r="AH57" i="50" s="1"/>
  <c r="AI57" i="50" s="1"/>
  <c r="AP55" i="50"/>
  <c r="R118" i="57"/>
  <c r="R118" i="53"/>
  <c r="X118" i="53" s="1"/>
  <c r="AL56" i="50"/>
  <c r="AX102" i="69"/>
  <c r="AG119" i="57"/>
  <c r="L119" i="57"/>
  <c r="O59" i="50"/>
  <c r="AJ118" i="57"/>
  <c r="AP118" i="57"/>
  <c r="AH118" i="53"/>
  <c r="AT118" i="53"/>
  <c r="AG118" i="53"/>
  <c r="N119" i="57"/>
  <c r="N119" i="53"/>
  <c r="Q118" i="53"/>
  <c r="AD118" i="53"/>
  <c r="AH102" i="69"/>
  <c r="AJ57" i="50"/>
  <c r="C57" i="50"/>
  <c r="AD118" i="57"/>
  <c r="V57" i="50"/>
  <c r="S58" i="50"/>
  <c r="AK118" i="52" a="1"/>
  <c r="AK118" i="52" s="1"/>
  <c r="B120" i="53" s="1"/>
  <c r="O120" i="53" s="1"/>
  <c r="G119" i="53"/>
  <c r="E119" i="53"/>
  <c r="F119" i="53"/>
  <c r="K119" i="53"/>
  <c r="H119" i="53"/>
  <c r="I119" i="53"/>
  <c r="C119" i="53"/>
  <c r="P119" i="53"/>
  <c r="D119" i="53"/>
  <c r="M119" i="53"/>
  <c r="L119" i="53"/>
  <c r="J119" i="53"/>
  <c r="F59" i="50"/>
  <c r="M59" i="50"/>
  <c r="I59" i="50"/>
  <c r="K59" i="50"/>
  <c r="A59" i="50"/>
  <c r="Q59" i="50" s="1"/>
  <c r="P59" i="50" s="1"/>
  <c r="J59" i="50"/>
  <c r="L59" i="50"/>
  <c r="B59" i="50"/>
  <c r="R59" i="50" s="1"/>
  <c r="H59" i="50"/>
  <c r="G59" i="50"/>
  <c r="N59" i="50"/>
  <c r="Z57" i="50"/>
  <c r="W57" i="50"/>
  <c r="X57" i="50" s="1"/>
  <c r="Q118" i="57"/>
  <c r="T118" i="57" s="1"/>
  <c r="H119" i="57"/>
  <c r="G119" i="57"/>
  <c r="E119" i="57"/>
  <c r="P119" i="57"/>
  <c r="D119" i="57"/>
  <c r="C119" i="57"/>
  <c r="M119" i="57" s="1"/>
  <c r="I119" i="57"/>
  <c r="K119" i="57"/>
  <c r="F119" i="57"/>
  <c r="J119" i="57"/>
  <c r="AK118" i="55" a="1"/>
  <c r="AK118" i="55" s="1"/>
  <c r="B120" i="57" s="1"/>
  <c r="O120" i="57" s="1"/>
  <c r="Q102" i="69"/>
  <c r="U102" i="69"/>
  <c r="R102" i="69"/>
  <c r="S102" i="69" s="1"/>
  <c r="Y102" i="69" s="1"/>
  <c r="AE102" i="69"/>
  <c r="C104" i="69"/>
  <c r="AN104" i="67" a="1"/>
  <c r="AN104" i="67" s="1"/>
  <c r="B105" i="69"/>
  <c r="D103" i="69"/>
  <c r="E103" i="69" s="1"/>
  <c r="F103" i="69" s="1"/>
  <c r="G103" i="69" s="1"/>
  <c r="H103" i="69" s="1"/>
  <c r="I103" i="69" s="1"/>
  <c r="J103" i="69" s="1"/>
  <c r="K103" i="69" s="1"/>
  <c r="M103" i="69" s="1"/>
  <c r="N103" i="69"/>
  <c r="AF103" i="69" s="1"/>
  <c r="AL49" i="11" a="1"/>
  <c r="AL49" i="11" s="1"/>
  <c r="E50" i="32" s="1"/>
  <c r="AL59" i="59" a="1"/>
  <c r="AL59" i="59" s="1"/>
  <c r="E60" i="50" s="1"/>
  <c r="AB102" i="69" l="1"/>
  <c r="AC102" i="69" s="1"/>
  <c r="AD102" i="69" s="1"/>
  <c r="AG102" i="69"/>
  <c r="AO104" i="69"/>
  <c r="P104" i="69"/>
  <c r="L105" i="69"/>
  <c r="O105" i="69"/>
  <c r="AF117" i="57"/>
  <c r="T60" i="50"/>
  <c r="AK60" i="50"/>
  <c r="AB117" i="57"/>
  <c r="X118" i="57"/>
  <c r="AE119" i="53"/>
  <c r="AC119" i="53"/>
  <c r="AF118" i="53"/>
  <c r="AB118" i="53"/>
  <c r="AA118" i="53"/>
  <c r="AK50" i="32"/>
  <c r="T50" i="32"/>
  <c r="AE119" i="57"/>
  <c r="AC119" i="57"/>
  <c r="AM59" i="50"/>
  <c r="U59" i="50"/>
  <c r="AD58" i="50"/>
  <c r="AG58" i="50" s="1"/>
  <c r="AH58" i="50" s="1"/>
  <c r="AI58" i="50" s="1"/>
  <c r="AP56" i="50"/>
  <c r="R119" i="57"/>
  <c r="R119" i="53"/>
  <c r="X119" i="53" s="1"/>
  <c r="AL57" i="50"/>
  <c r="AX103" i="69"/>
  <c r="AG120" i="57"/>
  <c r="L120" i="57"/>
  <c r="O60" i="50"/>
  <c r="AJ119" i="57"/>
  <c r="AP119" i="57"/>
  <c r="AG119" i="53"/>
  <c r="AH119" i="53"/>
  <c r="AT119" i="53"/>
  <c r="N120" i="57"/>
  <c r="N120" i="53"/>
  <c r="AH103" i="69"/>
  <c r="AJ58" i="50"/>
  <c r="C58" i="50"/>
  <c r="AD119" i="57"/>
  <c r="AD119" i="53"/>
  <c r="S59" i="50"/>
  <c r="V58" i="50"/>
  <c r="Q119" i="53"/>
  <c r="AK119" i="52" a="1"/>
  <c r="AK119" i="52" s="1"/>
  <c r="B121" i="53" s="1"/>
  <c r="O121" i="53" s="1"/>
  <c r="H120" i="53"/>
  <c r="J120" i="53"/>
  <c r="E120" i="53"/>
  <c r="D120" i="53"/>
  <c r="K120" i="53"/>
  <c r="G120" i="53"/>
  <c r="C120" i="53"/>
  <c r="M120" i="53"/>
  <c r="P120" i="53"/>
  <c r="I120" i="53"/>
  <c r="L120" i="53"/>
  <c r="F120" i="53"/>
  <c r="H60" i="50"/>
  <c r="N60" i="50"/>
  <c r="B60" i="50"/>
  <c r="R60" i="50" s="1"/>
  <c r="M60" i="50"/>
  <c r="L60" i="50"/>
  <c r="F60" i="50"/>
  <c r="I60" i="50"/>
  <c r="K60" i="50"/>
  <c r="J60" i="50"/>
  <c r="G60" i="50"/>
  <c r="A60" i="50"/>
  <c r="Q60" i="50" s="1"/>
  <c r="P60" i="50" s="1"/>
  <c r="P120" i="57"/>
  <c r="K120" i="57"/>
  <c r="I120" i="57"/>
  <c r="G120" i="57"/>
  <c r="E120" i="57"/>
  <c r="C120" i="57"/>
  <c r="M120" i="57" s="1"/>
  <c r="F120" i="57"/>
  <c r="J120" i="57"/>
  <c r="H120" i="57"/>
  <c r="D120" i="57"/>
  <c r="Q119" i="57"/>
  <c r="T119" i="57" s="1"/>
  <c r="X119" i="57" s="1"/>
  <c r="AA119" i="57" s="1"/>
  <c r="W58" i="50"/>
  <c r="X58" i="50" s="1"/>
  <c r="Z58" i="50"/>
  <c r="AK119" i="55" a="1"/>
  <c r="AK119" i="55" s="1"/>
  <c r="B121" i="57" s="1"/>
  <c r="O121" i="57" s="1"/>
  <c r="C105" i="69"/>
  <c r="AN105" i="67" a="1"/>
  <c r="AN105" i="67" s="1"/>
  <c r="B106" i="69"/>
  <c r="N104" i="69"/>
  <c r="AF104" i="69" s="1"/>
  <c r="D104" i="69"/>
  <c r="E104" i="69" s="1"/>
  <c r="F104" i="69" s="1"/>
  <c r="G104" i="69" s="1"/>
  <c r="H104" i="69" s="1"/>
  <c r="I104" i="69" s="1"/>
  <c r="J104" i="69" s="1"/>
  <c r="K104" i="69" s="1"/>
  <c r="M104" i="69" s="1"/>
  <c r="Q103" i="69"/>
  <c r="AE103" i="69"/>
  <c r="U103" i="69"/>
  <c r="R103" i="69"/>
  <c r="S103" i="69" s="1"/>
  <c r="Y103" i="69" s="1"/>
  <c r="AB103" i="69" s="1"/>
  <c r="AC103" i="69" s="1"/>
  <c r="AD103" i="69" s="1"/>
  <c r="AL50" i="11" a="1"/>
  <c r="AL50" i="11" s="1"/>
  <c r="E51" i="32" s="1"/>
  <c r="AL60" i="59" a="1"/>
  <c r="AL60" i="59" s="1"/>
  <c r="E61" i="50" s="1"/>
  <c r="AF118" i="57" l="1"/>
  <c r="AA118" i="57"/>
  <c r="AG103" i="69"/>
  <c r="AO105" i="69"/>
  <c r="P105" i="69"/>
  <c r="L106" i="69"/>
  <c r="O106" i="69"/>
  <c r="T61" i="50"/>
  <c r="AK61" i="50"/>
  <c r="AB118" i="57"/>
  <c r="AC120" i="53"/>
  <c r="AE120" i="53"/>
  <c r="AB119" i="53"/>
  <c r="AA119" i="53"/>
  <c r="AF119" i="53"/>
  <c r="AK51" i="32"/>
  <c r="T51" i="32"/>
  <c r="AB119" i="57"/>
  <c r="AC120" i="57"/>
  <c r="AE120" i="57"/>
  <c r="AF119" i="57"/>
  <c r="AD59" i="50"/>
  <c r="AG59" i="50" s="1"/>
  <c r="AH59" i="50" s="1"/>
  <c r="AI59" i="50" s="1"/>
  <c r="AM60" i="50"/>
  <c r="U60" i="50"/>
  <c r="AP57" i="50"/>
  <c r="R120" i="57"/>
  <c r="R120" i="53"/>
  <c r="X120" i="53" s="1"/>
  <c r="AL58" i="50"/>
  <c r="AX104" i="69"/>
  <c r="AG121" i="57"/>
  <c r="L121" i="57"/>
  <c r="O61" i="50"/>
  <c r="AJ120" i="57"/>
  <c r="AP120" i="57"/>
  <c r="AH120" i="53"/>
  <c r="AT120" i="53"/>
  <c r="AG120" i="53"/>
  <c r="N121" i="57"/>
  <c r="F121" i="53"/>
  <c r="N121" i="53"/>
  <c r="AH104" i="69"/>
  <c r="AJ59" i="50"/>
  <c r="C59" i="50"/>
  <c r="AD120" i="57"/>
  <c r="Q120" i="53"/>
  <c r="AD120" i="53"/>
  <c r="S60" i="50"/>
  <c r="V59" i="50"/>
  <c r="P121" i="53"/>
  <c r="M121" i="53"/>
  <c r="K121" i="53"/>
  <c r="L121" i="53"/>
  <c r="D121" i="53"/>
  <c r="J121" i="53"/>
  <c r="E121" i="53"/>
  <c r="I121" i="53"/>
  <c r="C121" i="53"/>
  <c r="AK120" i="52" a="1"/>
  <c r="AK120" i="52" s="1"/>
  <c r="B122" i="53" s="1"/>
  <c r="O122" i="53" s="1"/>
  <c r="H121" i="53"/>
  <c r="G121" i="53"/>
  <c r="B61" i="50"/>
  <c r="R61" i="50" s="1"/>
  <c r="A61" i="50"/>
  <c r="Q61" i="50" s="1"/>
  <c r="P61" i="50" s="1"/>
  <c r="H61" i="50"/>
  <c r="K61" i="50"/>
  <c r="M61" i="50"/>
  <c r="I61" i="50"/>
  <c r="G61" i="50"/>
  <c r="J61" i="50"/>
  <c r="L61" i="50"/>
  <c r="N61" i="50"/>
  <c r="F61" i="50"/>
  <c r="Q120" i="57"/>
  <c r="T120" i="57" s="1"/>
  <c r="Z59" i="50"/>
  <c r="W59" i="50"/>
  <c r="X59" i="50" s="1"/>
  <c r="I121" i="57"/>
  <c r="H121" i="57"/>
  <c r="G121" i="57"/>
  <c r="E121" i="57"/>
  <c r="P121" i="57"/>
  <c r="D121" i="57"/>
  <c r="K121" i="57"/>
  <c r="C121" i="57"/>
  <c r="M121" i="57" s="1"/>
  <c r="F121" i="57"/>
  <c r="J121" i="57"/>
  <c r="AK120" i="55" a="1"/>
  <c r="AK120" i="55" s="1"/>
  <c r="B122" i="57" s="1"/>
  <c r="O122" i="57" s="1"/>
  <c r="AN106" i="67" a="1"/>
  <c r="AN106" i="67" s="1"/>
  <c r="B107" i="69"/>
  <c r="D105" i="69"/>
  <c r="E105" i="69" s="1"/>
  <c r="F105" i="69" s="1"/>
  <c r="G105" i="69" s="1"/>
  <c r="H105" i="69" s="1"/>
  <c r="I105" i="69" s="1"/>
  <c r="J105" i="69" s="1"/>
  <c r="K105" i="69" s="1"/>
  <c r="M105" i="69" s="1"/>
  <c r="N105" i="69"/>
  <c r="AF105" i="69" s="1"/>
  <c r="U104" i="69"/>
  <c r="AE104" i="69"/>
  <c r="Q104" i="69"/>
  <c r="R104" i="69"/>
  <c r="S104" i="69" s="1"/>
  <c r="Y104" i="69" s="1"/>
  <c r="C106" i="69"/>
  <c r="AL51" i="11" a="1"/>
  <c r="AL51" i="11" s="1"/>
  <c r="E52" i="32" s="1"/>
  <c r="AL61" i="59" a="1"/>
  <c r="AL61" i="59" s="1"/>
  <c r="E62" i="50" s="1"/>
  <c r="X120" i="57" l="1"/>
  <c r="AB104" i="69"/>
  <c r="AC104" i="69" s="1"/>
  <c r="AD104" i="69" s="1"/>
  <c r="AG104" i="69"/>
  <c r="AO106" i="69"/>
  <c r="P106" i="69"/>
  <c r="L107" i="69"/>
  <c r="O107" i="69"/>
  <c r="T62" i="50"/>
  <c r="AK62" i="50"/>
  <c r="AB120" i="53"/>
  <c r="AA120" i="53"/>
  <c r="AC121" i="53"/>
  <c r="AE121" i="53"/>
  <c r="AF120" i="53"/>
  <c r="AK52" i="32"/>
  <c r="T52" i="32"/>
  <c r="AC121" i="57"/>
  <c r="AE121" i="57"/>
  <c r="AM61" i="50"/>
  <c r="U61" i="50"/>
  <c r="AD60" i="50"/>
  <c r="AG60" i="50" s="1"/>
  <c r="AH60" i="50" s="1"/>
  <c r="AI60" i="50" s="1"/>
  <c r="AP58" i="50"/>
  <c r="R121" i="57"/>
  <c r="R121" i="53"/>
  <c r="X121" i="53" s="1"/>
  <c r="AL59" i="50"/>
  <c r="AX105" i="69"/>
  <c r="AG122" i="57"/>
  <c r="L122" i="57"/>
  <c r="O62" i="50"/>
  <c r="AJ121" i="57"/>
  <c r="AP121" i="57"/>
  <c r="AH121" i="53"/>
  <c r="AT121" i="53"/>
  <c r="AG121" i="53"/>
  <c r="N122" i="57"/>
  <c r="P122" i="53"/>
  <c r="N122" i="53"/>
  <c r="AH105" i="69"/>
  <c r="AJ60" i="50"/>
  <c r="C60" i="50"/>
  <c r="AD121" i="57"/>
  <c r="AD121" i="53"/>
  <c r="S61" i="50"/>
  <c r="V60" i="50"/>
  <c r="Q121" i="53"/>
  <c r="C122" i="53"/>
  <c r="K122" i="53"/>
  <c r="D122" i="53"/>
  <c r="M122" i="53"/>
  <c r="J122" i="53"/>
  <c r="G122" i="53"/>
  <c r="I122" i="53"/>
  <c r="E122" i="53"/>
  <c r="AK121" i="52" a="1"/>
  <c r="AK121" i="52" s="1"/>
  <c r="B123" i="53" s="1"/>
  <c r="O123" i="53" s="1"/>
  <c r="F122" i="53"/>
  <c r="H122" i="53"/>
  <c r="L122" i="53"/>
  <c r="G62" i="50"/>
  <c r="L62" i="50"/>
  <c r="A62" i="50"/>
  <c r="Q62" i="50" s="1"/>
  <c r="P62" i="50" s="1"/>
  <c r="B62" i="50"/>
  <c r="R62" i="50" s="1"/>
  <c r="F62" i="50"/>
  <c r="H62" i="50"/>
  <c r="N62" i="50"/>
  <c r="K62" i="50"/>
  <c r="M62" i="50"/>
  <c r="J62" i="50"/>
  <c r="I62" i="50"/>
  <c r="P122" i="57"/>
  <c r="K122" i="57"/>
  <c r="I122" i="57"/>
  <c r="G122" i="57"/>
  <c r="E122" i="57"/>
  <c r="C122" i="57"/>
  <c r="M122" i="57" s="1"/>
  <c r="F122" i="57"/>
  <c r="J122" i="57"/>
  <c r="D122" i="57"/>
  <c r="H122" i="57"/>
  <c r="Z60" i="50"/>
  <c r="W60" i="50"/>
  <c r="X60" i="50" s="1"/>
  <c r="Q121" i="57"/>
  <c r="T121" i="57" s="1"/>
  <c r="X121" i="57" s="1"/>
  <c r="AA121" i="57" s="1"/>
  <c r="AK121" i="55" a="1"/>
  <c r="AK121" i="55" s="1"/>
  <c r="B123" i="57" s="1"/>
  <c r="O123" i="57" s="1"/>
  <c r="N106" i="69"/>
  <c r="AF106" i="69" s="1"/>
  <c r="D106" i="69"/>
  <c r="E106" i="69" s="1"/>
  <c r="F106" i="69" s="1"/>
  <c r="G106" i="69" s="1"/>
  <c r="H106" i="69" s="1"/>
  <c r="I106" i="69" s="1"/>
  <c r="J106" i="69" s="1"/>
  <c r="K106" i="69" s="1"/>
  <c r="M106" i="69" s="1"/>
  <c r="C107" i="69"/>
  <c r="Q105" i="69"/>
  <c r="R105" i="69"/>
  <c r="S105" i="69" s="1"/>
  <c r="Y105" i="69" s="1"/>
  <c r="U105" i="69"/>
  <c r="AE105" i="69"/>
  <c r="AN107" i="67" a="1"/>
  <c r="AN107" i="67" s="1"/>
  <c r="B108" i="69"/>
  <c r="AL52" i="11" a="1"/>
  <c r="AL52" i="11" s="1"/>
  <c r="E53" i="32" s="1"/>
  <c r="AL62" i="59" a="1"/>
  <c r="AL62" i="59" s="1"/>
  <c r="E63" i="50" s="1"/>
  <c r="AB120" i="57" l="1"/>
  <c r="AA120" i="57"/>
  <c r="AF120" i="57"/>
  <c r="AB105" i="69"/>
  <c r="AC105" i="69" s="1"/>
  <c r="AD105" i="69" s="1"/>
  <c r="AG105" i="69"/>
  <c r="L108" i="69"/>
  <c r="O108" i="69"/>
  <c r="AO107" i="69"/>
  <c r="P107" i="69"/>
  <c r="AK63" i="50"/>
  <c r="T63" i="50"/>
  <c r="AF121" i="53"/>
  <c r="AB121" i="53"/>
  <c r="AA121" i="53"/>
  <c r="AC122" i="53"/>
  <c r="AE122" i="53"/>
  <c r="AK53" i="32"/>
  <c r="T53" i="32"/>
  <c r="AB121" i="57"/>
  <c r="AF121" i="57"/>
  <c r="AE122" i="57"/>
  <c r="AC122" i="57"/>
  <c r="AD61" i="50"/>
  <c r="AG61" i="50" s="1"/>
  <c r="AH61" i="50" s="1"/>
  <c r="AI61" i="50" s="1"/>
  <c r="AM62" i="50"/>
  <c r="U62" i="50"/>
  <c r="AP59" i="50"/>
  <c r="R122" i="57"/>
  <c r="R122" i="53"/>
  <c r="X122" i="53" s="1"/>
  <c r="AL60" i="50"/>
  <c r="AX106" i="69"/>
  <c r="AG123" i="57"/>
  <c r="L123" i="57"/>
  <c r="O63" i="50"/>
  <c r="AJ122" i="57"/>
  <c r="AP122" i="57"/>
  <c r="AH122" i="53"/>
  <c r="AT122" i="53"/>
  <c r="AG122" i="53"/>
  <c r="N123" i="57"/>
  <c r="N123" i="53"/>
  <c r="AH106" i="69"/>
  <c r="AJ61" i="50"/>
  <c r="C61" i="50"/>
  <c r="AD122" i="57"/>
  <c r="Q122" i="53"/>
  <c r="AD122" i="53"/>
  <c r="S62" i="50"/>
  <c r="V61" i="50"/>
  <c r="C123" i="53"/>
  <c r="J123" i="53"/>
  <c r="M123" i="53"/>
  <c r="P123" i="53"/>
  <c r="F123" i="53"/>
  <c r="I123" i="53"/>
  <c r="G123" i="53"/>
  <c r="H123" i="53"/>
  <c r="D123" i="53"/>
  <c r="AK122" i="52" a="1"/>
  <c r="AK122" i="52" s="1"/>
  <c r="B124" i="53" s="1"/>
  <c r="O124" i="53" s="1"/>
  <c r="E123" i="53"/>
  <c r="K123" i="53"/>
  <c r="L123" i="53"/>
  <c r="I63" i="50"/>
  <c r="M63" i="50"/>
  <c r="G63" i="50"/>
  <c r="F63" i="50"/>
  <c r="L63" i="50"/>
  <c r="K63" i="50"/>
  <c r="A63" i="50"/>
  <c r="Q63" i="50" s="1"/>
  <c r="P63" i="50" s="1"/>
  <c r="H63" i="50"/>
  <c r="N63" i="50"/>
  <c r="J63" i="50"/>
  <c r="B63" i="50"/>
  <c r="R63" i="50" s="1"/>
  <c r="Z61" i="50"/>
  <c r="W61" i="50"/>
  <c r="X61" i="50" s="1"/>
  <c r="Q122" i="57"/>
  <c r="T122" i="57" s="1"/>
  <c r="K123" i="57"/>
  <c r="I123" i="57"/>
  <c r="H123" i="57"/>
  <c r="G123" i="57"/>
  <c r="E123" i="57"/>
  <c r="D123" i="57"/>
  <c r="C123" i="57"/>
  <c r="M123" i="57" s="1"/>
  <c r="P123" i="57"/>
  <c r="J123" i="57"/>
  <c r="F123" i="57"/>
  <c r="AK122" i="55" a="1"/>
  <c r="AK122" i="55" s="1"/>
  <c r="B124" i="57" s="1"/>
  <c r="O124" i="57" s="1"/>
  <c r="AN108" i="67" a="1"/>
  <c r="AN108" i="67" s="1"/>
  <c r="B109" i="69"/>
  <c r="N107" i="69"/>
  <c r="AF107" i="69" s="1"/>
  <c r="D107" i="69"/>
  <c r="E107" i="69" s="1"/>
  <c r="F107" i="69" s="1"/>
  <c r="G107" i="69" s="1"/>
  <c r="H107" i="69" s="1"/>
  <c r="I107" i="69" s="1"/>
  <c r="J107" i="69" s="1"/>
  <c r="K107" i="69" s="1"/>
  <c r="M107" i="69" s="1"/>
  <c r="AE106" i="69"/>
  <c r="R106" i="69"/>
  <c r="S106" i="69" s="1"/>
  <c r="Y106" i="69" s="1"/>
  <c r="AB106" i="69" s="1"/>
  <c r="AC106" i="69" s="1"/>
  <c r="AD106" i="69" s="1"/>
  <c r="U106" i="69"/>
  <c r="Q106" i="69"/>
  <c r="C108" i="69"/>
  <c r="AL53" i="11" a="1"/>
  <c r="AL53" i="11" s="1"/>
  <c r="E54" i="32" s="1"/>
  <c r="AL63" i="59" a="1"/>
  <c r="AL63" i="59" s="1"/>
  <c r="E64" i="50" s="1"/>
  <c r="AO108" i="69" l="1"/>
  <c r="P108" i="69"/>
  <c r="AG106" i="69"/>
  <c r="L109" i="69"/>
  <c r="O109" i="69"/>
  <c r="AK64" i="50"/>
  <c r="T64" i="50"/>
  <c r="AE123" i="53"/>
  <c r="AC123" i="53"/>
  <c r="AF122" i="53"/>
  <c r="AB122" i="53"/>
  <c r="AA122" i="53"/>
  <c r="AK54" i="32"/>
  <c r="T54" i="32"/>
  <c r="X122" i="57"/>
  <c r="AA122" i="57" s="1"/>
  <c r="AE123" i="57"/>
  <c r="AC123" i="57"/>
  <c r="AM63" i="50"/>
  <c r="U63" i="50"/>
  <c r="AD62" i="50"/>
  <c r="AG62" i="50" s="1"/>
  <c r="AH62" i="50" s="1"/>
  <c r="AI62" i="50" s="1"/>
  <c r="AP60" i="50"/>
  <c r="R123" i="57"/>
  <c r="R123" i="53"/>
  <c r="X123" i="53" s="1"/>
  <c r="AL61" i="50"/>
  <c r="AX107" i="69"/>
  <c r="AG124" i="57"/>
  <c r="L124" i="57"/>
  <c r="O64" i="50"/>
  <c r="AJ123" i="57"/>
  <c r="AP123" i="57"/>
  <c r="AG123" i="53"/>
  <c r="AH123" i="53"/>
  <c r="AT123" i="53"/>
  <c r="N124" i="57"/>
  <c r="K124" i="53"/>
  <c r="N124" i="53"/>
  <c r="AH107" i="69"/>
  <c r="AJ62" i="50"/>
  <c r="C62" i="50"/>
  <c r="AD123" i="57"/>
  <c r="Q123" i="53"/>
  <c r="AD123" i="53"/>
  <c r="S63" i="50"/>
  <c r="V62" i="50"/>
  <c r="P124" i="53"/>
  <c r="D124" i="53"/>
  <c r="M124" i="53"/>
  <c r="J124" i="53"/>
  <c r="H124" i="53"/>
  <c r="I124" i="53"/>
  <c r="F124" i="53"/>
  <c r="E124" i="53"/>
  <c r="G124" i="53"/>
  <c r="AK123" i="52" a="1"/>
  <c r="AK123" i="52" s="1"/>
  <c r="B125" i="53" s="1"/>
  <c r="O125" i="53" s="1"/>
  <c r="L124" i="53"/>
  <c r="C124" i="53"/>
  <c r="F64" i="50"/>
  <c r="H64" i="50"/>
  <c r="J64" i="50"/>
  <c r="L64" i="50"/>
  <c r="B64" i="50"/>
  <c r="R64" i="50" s="1"/>
  <c r="I64" i="50"/>
  <c r="G64" i="50"/>
  <c r="K64" i="50"/>
  <c r="M64" i="50"/>
  <c r="N64" i="50"/>
  <c r="A64" i="50"/>
  <c r="Q64" i="50" s="1"/>
  <c r="P64" i="50" s="1"/>
  <c r="W62" i="50"/>
  <c r="X62" i="50" s="1"/>
  <c r="Z62" i="50"/>
  <c r="P124" i="57"/>
  <c r="K124" i="57"/>
  <c r="I124" i="57"/>
  <c r="G124" i="57"/>
  <c r="E124" i="57"/>
  <c r="C124" i="57"/>
  <c r="M124" i="57" s="1"/>
  <c r="F124" i="57"/>
  <c r="J124" i="57"/>
  <c r="H124" i="57"/>
  <c r="D124" i="57"/>
  <c r="Q123" i="57"/>
  <c r="T123" i="57" s="1"/>
  <c r="AK123" i="55" a="1"/>
  <c r="AK123" i="55" s="1"/>
  <c r="B125" i="57" s="1"/>
  <c r="O125" i="57" s="1"/>
  <c r="C109" i="69"/>
  <c r="N108" i="69"/>
  <c r="AF108" i="69" s="1"/>
  <c r="D108" i="69"/>
  <c r="E108" i="69" s="1"/>
  <c r="F108" i="69" s="1"/>
  <c r="G108" i="69" s="1"/>
  <c r="H108" i="69" s="1"/>
  <c r="I108" i="69" s="1"/>
  <c r="J108" i="69" s="1"/>
  <c r="K108" i="69" s="1"/>
  <c r="M108" i="69" s="1"/>
  <c r="AE107" i="69"/>
  <c r="U107" i="69"/>
  <c r="Q107" i="69"/>
  <c r="R107" i="69"/>
  <c r="S107" i="69" s="1"/>
  <c r="Y107" i="69" s="1"/>
  <c r="AB107" i="69" s="1"/>
  <c r="AC107" i="69" s="1"/>
  <c r="AD107" i="69" s="1"/>
  <c r="AN109" i="67" a="1"/>
  <c r="AN109" i="67" s="1"/>
  <c r="B110" i="69"/>
  <c r="AL54" i="11" a="1"/>
  <c r="AL54" i="11" s="1"/>
  <c r="AL64" i="59" a="1"/>
  <c r="AL64" i="59" s="1"/>
  <c r="E65" i="50" s="1"/>
  <c r="AG107" i="69" l="1"/>
  <c r="L110" i="69"/>
  <c r="O110" i="69"/>
  <c r="AO109" i="69"/>
  <c r="P109" i="69"/>
  <c r="T65" i="50"/>
  <c r="AK65" i="50"/>
  <c r="X123" i="57"/>
  <c r="AA123" i="57" s="1"/>
  <c r="AB123" i="53"/>
  <c r="AA123" i="53"/>
  <c r="AC124" i="53"/>
  <c r="AE124" i="53"/>
  <c r="AF123" i="53"/>
  <c r="AB122" i="57"/>
  <c r="AF122" i="57"/>
  <c r="AE124" i="57"/>
  <c r="AC124" i="57"/>
  <c r="AM64" i="50"/>
  <c r="U64" i="50"/>
  <c r="AD63" i="50"/>
  <c r="AG63" i="50" s="1"/>
  <c r="AH63" i="50" s="1"/>
  <c r="AI63" i="50" s="1"/>
  <c r="R124" i="57"/>
  <c r="R124" i="53"/>
  <c r="X124" i="53" s="1"/>
  <c r="AL62" i="50"/>
  <c r="AP61" i="50"/>
  <c r="AX108" i="69"/>
  <c r="AG125" i="57"/>
  <c r="L125" i="57"/>
  <c r="O65" i="50"/>
  <c r="AJ124" i="57"/>
  <c r="AP124" i="57"/>
  <c r="AH124" i="53"/>
  <c r="AT124" i="53"/>
  <c r="AG124" i="53"/>
  <c r="N125" i="57"/>
  <c r="J125" i="53"/>
  <c r="N125" i="53"/>
  <c r="AH108" i="69"/>
  <c r="AJ63" i="50"/>
  <c r="C63" i="50"/>
  <c r="AD124" i="57"/>
  <c r="AD124" i="53"/>
  <c r="S64" i="50"/>
  <c r="V63" i="50"/>
  <c r="Q124" i="53"/>
  <c r="M125" i="53"/>
  <c r="E125" i="53"/>
  <c r="H125" i="53"/>
  <c r="G125" i="53"/>
  <c r="K125" i="53"/>
  <c r="D125" i="53"/>
  <c r="I125" i="53"/>
  <c r="C125" i="53"/>
  <c r="P125" i="53"/>
  <c r="AK124" i="52" a="1"/>
  <c r="AK124" i="52" s="1"/>
  <c r="B126" i="53" s="1"/>
  <c r="O126" i="53" s="1"/>
  <c r="L125" i="53"/>
  <c r="F125" i="53"/>
  <c r="M65" i="50"/>
  <c r="I65" i="50"/>
  <c r="B65" i="50"/>
  <c r="R65" i="50" s="1"/>
  <c r="J65" i="50"/>
  <c r="A65" i="50"/>
  <c r="Q65" i="50" s="1"/>
  <c r="P65" i="50" s="1"/>
  <c r="L65" i="50"/>
  <c r="F65" i="50"/>
  <c r="G65" i="50"/>
  <c r="N65" i="50"/>
  <c r="H65" i="50"/>
  <c r="K65" i="50"/>
  <c r="Q124" i="57"/>
  <c r="T124" i="57" s="1"/>
  <c r="K125" i="57"/>
  <c r="I125" i="57"/>
  <c r="H125" i="57"/>
  <c r="G125" i="57"/>
  <c r="C125" i="57"/>
  <c r="M125" i="57" s="1"/>
  <c r="P125" i="57"/>
  <c r="E125" i="57"/>
  <c r="D125" i="57"/>
  <c r="F125" i="57"/>
  <c r="J125" i="57"/>
  <c r="Z63" i="50"/>
  <c r="W63" i="50"/>
  <c r="X63" i="50" s="1"/>
  <c r="E55" i="32"/>
  <c r="AK124" i="55" a="1"/>
  <c r="AK124" i="55" s="1"/>
  <c r="B126" i="57" s="1"/>
  <c r="O126" i="57" s="1"/>
  <c r="AN110" i="67" a="1"/>
  <c r="AN110" i="67" s="1"/>
  <c r="B111" i="69"/>
  <c r="N109" i="69"/>
  <c r="AF109" i="69" s="1"/>
  <c r="D109" i="69"/>
  <c r="E109" i="69" s="1"/>
  <c r="F109" i="69" s="1"/>
  <c r="G109" i="69" s="1"/>
  <c r="H109" i="69" s="1"/>
  <c r="I109" i="69" s="1"/>
  <c r="J109" i="69" s="1"/>
  <c r="K109" i="69" s="1"/>
  <c r="M109" i="69" s="1"/>
  <c r="C110" i="69"/>
  <c r="Q108" i="69"/>
  <c r="U108" i="69"/>
  <c r="AE108" i="69"/>
  <c r="R108" i="69"/>
  <c r="S108" i="69" s="1"/>
  <c r="Y108" i="69" s="1"/>
  <c r="AL55" i="11" a="1"/>
  <c r="AL55" i="11" s="1"/>
  <c r="E56" i="32" s="1"/>
  <c r="AL65" i="59" a="1"/>
  <c r="AL65" i="59" s="1"/>
  <c r="E66" i="50" s="1"/>
  <c r="X124" i="57" l="1"/>
  <c r="AB108" i="69"/>
  <c r="AC108" i="69" s="1"/>
  <c r="AD108" i="69" s="1"/>
  <c r="AG108" i="69"/>
  <c r="L111" i="69"/>
  <c r="O111" i="69"/>
  <c r="AO110" i="69"/>
  <c r="P110" i="69"/>
  <c r="T66" i="50"/>
  <c r="AK66" i="50"/>
  <c r="AF123" i="57"/>
  <c r="AB123" i="57"/>
  <c r="AB124" i="53"/>
  <c r="AA124" i="53"/>
  <c r="AC125" i="53"/>
  <c r="AE125" i="53"/>
  <c r="AF124" i="53"/>
  <c r="AK55" i="32"/>
  <c r="T55" i="32"/>
  <c r="AK56" i="32"/>
  <c r="T56" i="32"/>
  <c r="AC125" i="57"/>
  <c r="AE125" i="57"/>
  <c r="AM65" i="50"/>
  <c r="U65" i="50"/>
  <c r="AD64" i="50"/>
  <c r="AG64" i="50" s="1"/>
  <c r="AH64" i="50" s="1"/>
  <c r="AI64" i="50" s="1"/>
  <c r="R125" i="57"/>
  <c r="R125" i="53"/>
  <c r="X125" i="53" s="1"/>
  <c r="AL63" i="50"/>
  <c r="AP62" i="50"/>
  <c r="AX109" i="69"/>
  <c r="AG126" i="57"/>
  <c r="L126" i="57"/>
  <c r="O66" i="50"/>
  <c r="AJ125" i="57"/>
  <c r="AP125" i="57"/>
  <c r="AH125" i="53"/>
  <c r="AT125" i="53"/>
  <c r="AG125" i="53"/>
  <c r="N126" i="57"/>
  <c r="J126" i="53"/>
  <c r="N126" i="53"/>
  <c r="AH109" i="69"/>
  <c r="AJ64" i="50"/>
  <c r="C64" i="50"/>
  <c r="AD125" i="57"/>
  <c r="Q125" i="53"/>
  <c r="AD125" i="53"/>
  <c r="S65" i="50"/>
  <c r="V64" i="50"/>
  <c r="I126" i="53"/>
  <c r="D126" i="53"/>
  <c r="M126" i="53"/>
  <c r="F126" i="53"/>
  <c r="E126" i="53"/>
  <c r="L126" i="53"/>
  <c r="C126" i="53"/>
  <c r="K126" i="53"/>
  <c r="H126" i="53"/>
  <c r="G126" i="53"/>
  <c r="AK125" i="52" a="1"/>
  <c r="AK125" i="52" s="1"/>
  <c r="B127" i="53" s="1"/>
  <c r="O127" i="53" s="1"/>
  <c r="P126" i="53"/>
  <c r="I66" i="50"/>
  <c r="A66" i="50"/>
  <c r="Q66" i="50" s="1"/>
  <c r="P66" i="50" s="1"/>
  <c r="L66" i="50"/>
  <c r="K66" i="50"/>
  <c r="G66" i="50"/>
  <c r="N66" i="50"/>
  <c r="B66" i="50"/>
  <c r="R66" i="50" s="1"/>
  <c r="H66" i="50"/>
  <c r="J66" i="50"/>
  <c r="F66" i="50"/>
  <c r="M66" i="50"/>
  <c r="Z64" i="50"/>
  <c r="W64" i="50"/>
  <c r="X64" i="50" s="1"/>
  <c r="P126" i="57"/>
  <c r="K126" i="57"/>
  <c r="I126" i="57"/>
  <c r="C126" i="57"/>
  <c r="M126" i="57" s="1"/>
  <c r="G126" i="57"/>
  <c r="E126" i="57"/>
  <c r="F126" i="57"/>
  <c r="J126" i="57"/>
  <c r="D126" i="57"/>
  <c r="H126" i="57"/>
  <c r="Q125" i="57"/>
  <c r="T125" i="57" s="1"/>
  <c r="AK125" i="55" a="1"/>
  <c r="AK125" i="55" s="1"/>
  <c r="B127" i="57" s="1"/>
  <c r="O127" i="57" s="1"/>
  <c r="C111" i="69"/>
  <c r="AE109" i="69"/>
  <c r="U109" i="69"/>
  <c r="R109" i="69"/>
  <c r="S109" i="69" s="1"/>
  <c r="Y109" i="69" s="1"/>
  <c r="AB109" i="69" s="1"/>
  <c r="AC109" i="69" s="1"/>
  <c r="AD109" i="69" s="1"/>
  <c r="Q109" i="69"/>
  <c r="N110" i="69"/>
  <c r="AF110" i="69" s="1"/>
  <c r="D110" i="69"/>
  <c r="E110" i="69" s="1"/>
  <c r="F110" i="69" s="1"/>
  <c r="G110" i="69" s="1"/>
  <c r="H110" i="69" s="1"/>
  <c r="I110" i="69" s="1"/>
  <c r="J110" i="69" s="1"/>
  <c r="K110" i="69" s="1"/>
  <c r="M110" i="69" s="1"/>
  <c r="AN111" i="67" a="1"/>
  <c r="AN111" i="67" s="1"/>
  <c r="B112" i="69"/>
  <c r="AL56" i="11" a="1"/>
  <c r="AL56" i="11" s="1"/>
  <c r="AL66" i="59" a="1"/>
  <c r="AL66" i="59" s="1"/>
  <c r="E67" i="50" s="1"/>
  <c r="AB124" i="57" l="1"/>
  <c r="AA124" i="57"/>
  <c r="AF124" i="57"/>
  <c r="AG109" i="69"/>
  <c r="L112" i="69"/>
  <c r="O112" i="69"/>
  <c r="AO111" i="69"/>
  <c r="P111" i="69"/>
  <c r="T67" i="50"/>
  <c r="AK67" i="50"/>
  <c r="X125" i="57"/>
  <c r="AC126" i="53"/>
  <c r="AE126" i="53"/>
  <c r="AF125" i="53"/>
  <c r="AB125" i="53"/>
  <c r="AA125" i="53"/>
  <c r="AE126" i="57"/>
  <c r="AC126" i="57"/>
  <c r="AD65" i="50"/>
  <c r="AG65" i="50" s="1"/>
  <c r="AH65" i="50" s="1"/>
  <c r="AI65" i="50" s="1"/>
  <c r="AM66" i="50"/>
  <c r="U66" i="50"/>
  <c r="AP63" i="50"/>
  <c r="R126" i="57"/>
  <c r="R126" i="53"/>
  <c r="X126" i="53" s="1"/>
  <c r="AL64" i="50"/>
  <c r="AX110" i="69"/>
  <c r="AG127" i="57"/>
  <c r="L127" i="57"/>
  <c r="O67" i="50"/>
  <c r="AJ126" i="57"/>
  <c r="AP126" i="57"/>
  <c r="AG126" i="53"/>
  <c r="AH126" i="53"/>
  <c r="AT126" i="53"/>
  <c r="N127" i="57"/>
  <c r="L127" i="53"/>
  <c r="N127" i="53"/>
  <c r="AH110" i="69"/>
  <c r="AJ65" i="50"/>
  <c r="C65" i="50"/>
  <c r="AD126" i="57"/>
  <c r="AD126" i="53"/>
  <c r="V65" i="50"/>
  <c r="S66" i="50"/>
  <c r="J127" i="53"/>
  <c r="G127" i="53"/>
  <c r="P127" i="53"/>
  <c r="Q126" i="53"/>
  <c r="H127" i="53"/>
  <c r="K127" i="53"/>
  <c r="D127" i="53"/>
  <c r="AK126" i="52" a="1"/>
  <c r="AK126" i="52" s="1"/>
  <c r="B128" i="53" s="1"/>
  <c r="O128" i="53" s="1"/>
  <c r="E127" i="53"/>
  <c r="F127" i="53"/>
  <c r="I127" i="53"/>
  <c r="M127" i="53"/>
  <c r="C127" i="53"/>
  <c r="F67" i="50"/>
  <c r="K67" i="50"/>
  <c r="M67" i="50"/>
  <c r="A67" i="50"/>
  <c r="Q67" i="50" s="1"/>
  <c r="P67" i="50" s="1"/>
  <c r="I67" i="50"/>
  <c r="G67" i="50"/>
  <c r="L67" i="50"/>
  <c r="B67" i="50"/>
  <c r="R67" i="50" s="1"/>
  <c r="H67" i="50"/>
  <c r="N67" i="50"/>
  <c r="J67" i="50"/>
  <c r="C127" i="57"/>
  <c r="M127" i="57" s="1"/>
  <c r="K127" i="57"/>
  <c r="I127" i="57"/>
  <c r="H127" i="57"/>
  <c r="P127" i="57"/>
  <c r="D127" i="57"/>
  <c r="G127" i="57"/>
  <c r="E127" i="57"/>
  <c r="J127" i="57"/>
  <c r="F127" i="57"/>
  <c r="Z65" i="50"/>
  <c r="W65" i="50"/>
  <c r="X65" i="50" s="1"/>
  <c r="Q126" i="57"/>
  <c r="T126" i="57" s="1"/>
  <c r="E57" i="32"/>
  <c r="AK126" i="55" a="1"/>
  <c r="AK126" i="55" s="1"/>
  <c r="B128" i="57" s="1"/>
  <c r="O128" i="57" s="1"/>
  <c r="AN112" i="67" a="1"/>
  <c r="AN112" i="67" s="1"/>
  <c r="B113" i="69"/>
  <c r="D111" i="69"/>
  <c r="E111" i="69" s="1"/>
  <c r="F111" i="69" s="1"/>
  <c r="G111" i="69" s="1"/>
  <c r="H111" i="69" s="1"/>
  <c r="I111" i="69" s="1"/>
  <c r="J111" i="69" s="1"/>
  <c r="K111" i="69" s="1"/>
  <c r="M111" i="69" s="1"/>
  <c r="N111" i="69"/>
  <c r="AF111" i="69" s="1"/>
  <c r="C112" i="69"/>
  <c r="Q110" i="69"/>
  <c r="R110" i="69"/>
  <c r="S110" i="69" s="1"/>
  <c r="Y110" i="69" s="1"/>
  <c r="AB110" i="69" s="1"/>
  <c r="AC110" i="69" s="1"/>
  <c r="AD110" i="69" s="1"/>
  <c r="U110" i="69"/>
  <c r="AE110" i="69"/>
  <c r="AL57" i="11" a="1"/>
  <c r="AL57" i="11" s="1"/>
  <c r="E58" i="32" s="1"/>
  <c r="AL67" i="59" a="1"/>
  <c r="AL67" i="59" s="1"/>
  <c r="E68" i="50" s="1"/>
  <c r="AB125" i="57" l="1"/>
  <c r="AA125" i="57"/>
  <c r="AG110" i="69"/>
  <c r="L113" i="69"/>
  <c r="O113" i="69"/>
  <c r="AO112" i="69"/>
  <c r="P112" i="69"/>
  <c r="T68" i="50"/>
  <c r="AK68" i="50"/>
  <c r="X126" i="57"/>
  <c r="AF125" i="57"/>
  <c r="AB126" i="53"/>
  <c r="AA126" i="53"/>
  <c r="AE127" i="53"/>
  <c r="AC127" i="53"/>
  <c r="AF126" i="53"/>
  <c r="AK58" i="32"/>
  <c r="T58" i="32"/>
  <c r="AK57" i="32"/>
  <c r="T57" i="32"/>
  <c r="AE127" i="57"/>
  <c r="AC127" i="57"/>
  <c r="AD66" i="50"/>
  <c r="AG66" i="50" s="1"/>
  <c r="AH66" i="50" s="1"/>
  <c r="AI66" i="50" s="1"/>
  <c r="AM67" i="50"/>
  <c r="U67" i="50"/>
  <c r="AP64" i="50"/>
  <c r="R127" i="57"/>
  <c r="R127" i="53"/>
  <c r="X127" i="53" s="1"/>
  <c r="AL65" i="50"/>
  <c r="AX111" i="69"/>
  <c r="AG128" i="57"/>
  <c r="L128" i="57"/>
  <c r="O68" i="50"/>
  <c r="AJ127" i="57"/>
  <c r="AP127" i="57"/>
  <c r="AH127" i="53"/>
  <c r="AT127" i="53"/>
  <c r="AG127" i="53"/>
  <c r="N128" i="57"/>
  <c r="N128" i="53"/>
  <c r="AH111" i="69"/>
  <c r="AJ66" i="50"/>
  <c r="C66" i="50"/>
  <c r="AD127" i="57"/>
  <c r="Q127" i="53"/>
  <c r="AD127" i="53"/>
  <c r="S67" i="50"/>
  <c r="V66" i="50"/>
  <c r="C128" i="53"/>
  <c r="I128" i="53"/>
  <c r="F128" i="53"/>
  <c r="G128" i="53"/>
  <c r="E128" i="53"/>
  <c r="J128" i="53"/>
  <c r="K128" i="53"/>
  <c r="L128" i="53"/>
  <c r="P128" i="53"/>
  <c r="AK127" i="52" a="1"/>
  <c r="AK127" i="52" s="1"/>
  <c r="B129" i="53" s="1"/>
  <c r="O129" i="53" s="1"/>
  <c r="H128" i="53"/>
  <c r="M128" i="53"/>
  <c r="D128" i="53"/>
  <c r="I68" i="50"/>
  <c r="N68" i="50"/>
  <c r="H68" i="50"/>
  <c r="M68" i="50"/>
  <c r="L68" i="50"/>
  <c r="F68" i="50"/>
  <c r="B68" i="50"/>
  <c r="R68" i="50" s="1"/>
  <c r="K68" i="50"/>
  <c r="A68" i="50"/>
  <c r="Q68" i="50" s="1"/>
  <c r="P68" i="50" s="1"/>
  <c r="J68" i="50"/>
  <c r="G68" i="50"/>
  <c r="P128" i="57"/>
  <c r="C128" i="57"/>
  <c r="M128" i="57" s="1"/>
  <c r="K128" i="57"/>
  <c r="E128" i="57"/>
  <c r="I128" i="57"/>
  <c r="G128" i="57"/>
  <c r="F128" i="57"/>
  <c r="J128" i="57"/>
  <c r="D128" i="57"/>
  <c r="H128" i="57"/>
  <c r="W66" i="50"/>
  <c r="X66" i="50" s="1"/>
  <c r="Z66" i="50"/>
  <c r="Q127" i="57"/>
  <c r="T127" i="57" s="1"/>
  <c r="AK127" i="55" a="1"/>
  <c r="AK127" i="55" s="1"/>
  <c r="B129" i="57" s="1"/>
  <c r="O129" i="57" s="1"/>
  <c r="AE111" i="69"/>
  <c r="Q111" i="69"/>
  <c r="R111" i="69"/>
  <c r="S111" i="69" s="1"/>
  <c r="Y111" i="69" s="1"/>
  <c r="AB111" i="69" s="1"/>
  <c r="AC111" i="69" s="1"/>
  <c r="AD111" i="69" s="1"/>
  <c r="U111" i="69"/>
  <c r="D112" i="69"/>
  <c r="E112" i="69" s="1"/>
  <c r="F112" i="69" s="1"/>
  <c r="G112" i="69" s="1"/>
  <c r="H112" i="69" s="1"/>
  <c r="I112" i="69" s="1"/>
  <c r="J112" i="69" s="1"/>
  <c r="K112" i="69" s="1"/>
  <c r="M112" i="69" s="1"/>
  <c r="N112" i="69"/>
  <c r="AF112" i="69" s="1"/>
  <c r="C113" i="69"/>
  <c r="AN113" i="67" a="1"/>
  <c r="AN113" i="67" s="1"/>
  <c r="B114" i="69"/>
  <c r="AL58" i="11" a="1"/>
  <c r="AL58" i="11" s="1"/>
  <c r="AL68" i="59" a="1"/>
  <c r="AL68" i="59" s="1"/>
  <c r="E69" i="50" s="1"/>
  <c r="AF126" i="57" l="1"/>
  <c r="AA126" i="57"/>
  <c r="AG111" i="69"/>
  <c r="L114" i="69"/>
  <c r="O114" i="69"/>
  <c r="AO113" i="69"/>
  <c r="P113" i="69"/>
  <c r="T69" i="50"/>
  <c r="AK69" i="50"/>
  <c r="X127" i="57"/>
  <c r="AB126" i="57"/>
  <c r="AB127" i="53"/>
  <c r="AA127" i="53"/>
  <c r="AC128" i="53"/>
  <c r="AE128" i="53"/>
  <c r="AF127" i="53"/>
  <c r="AE128" i="57"/>
  <c r="AC128" i="57"/>
  <c r="AM68" i="50"/>
  <c r="U68" i="50"/>
  <c r="AD67" i="50"/>
  <c r="AG67" i="50" s="1"/>
  <c r="AH67" i="50" s="1"/>
  <c r="AI67" i="50" s="1"/>
  <c r="AP65" i="50"/>
  <c r="R128" i="57"/>
  <c r="R128" i="53"/>
  <c r="X128" i="53" s="1"/>
  <c r="AL66" i="50"/>
  <c r="AX112" i="69"/>
  <c r="AG129" i="57"/>
  <c r="L129" i="57"/>
  <c r="O69" i="50"/>
  <c r="AJ128" i="57"/>
  <c r="AP128" i="57"/>
  <c r="AG128" i="53"/>
  <c r="AH128" i="53"/>
  <c r="AT128" i="53"/>
  <c r="N129" i="57"/>
  <c r="F129" i="53"/>
  <c r="N129" i="53"/>
  <c r="AH112" i="69"/>
  <c r="AJ67" i="50"/>
  <c r="C67" i="50"/>
  <c r="AD128" i="57"/>
  <c r="AD128" i="53"/>
  <c r="V67" i="50"/>
  <c r="S68" i="50"/>
  <c r="Q128" i="53"/>
  <c r="I129" i="53"/>
  <c r="L129" i="53"/>
  <c r="H129" i="53"/>
  <c r="E129" i="53"/>
  <c r="G129" i="53"/>
  <c r="M129" i="53"/>
  <c r="C129" i="53"/>
  <c r="P129" i="53"/>
  <c r="AK128" i="52" a="1"/>
  <c r="AK128" i="52" s="1"/>
  <c r="B130" i="53" s="1"/>
  <c r="O130" i="53" s="1"/>
  <c r="J129" i="53"/>
  <c r="D129" i="53"/>
  <c r="K129" i="53"/>
  <c r="B69" i="50"/>
  <c r="R69" i="50" s="1"/>
  <c r="I69" i="50"/>
  <c r="G69" i="50"/>
  <c r="A69" i="50"/>
  <c r="Q69" i="50" s="1"/>
  <c r="P69" i="50" s="1"/>
  <c r="M69" i="50"/>
  <c r="K69" i="50"/>
  <c r="H69" i="50"/>
  <c r="J69" i="50"/>
  <c r="F69" i="50"/>
  <c r="L69" i="50"/>
  <c r="N69" i="50"/>
  <c r="Z67" i="50"/>
  <c r="W67" i="50"/>
  <c r="X67" i="50" s="1"/>
  <c r="P129" i="57"/>
  <c r="D129" i="57"/>
  <c r="C129" i="57"/>
  <c r="M129" i="57" s="1"/>
  <c r="K129" i="57"/>
  <c r="I129" i="57"/>
  <c r="E129" i="57"/>
  <c r="H129" i="57"/>
  <c r="G129" i="57"/>
  <c r="F129" i="57"/>
  <c r="J129" i="57"/>
  <c r="Q128" i="57"/>
  <c r="T128" i="57" s="1"/>
  <c r="E59" i="32"/>
  <c r="AK128" i="55" a="1"/>
  <c r="AK128" i="55" s="1"/>
  <c r="B130" i="57" s="1"/>
  <c r="O130" i="57" s="1"/>
  <c r="AN114" i="67" a="1"/>
  <c r="AN114" i="67" s="1"/>
  <c r="B115" i="69"/>
  <c r="C114" i="69"/>
  <c r="D113" i="69"/>
  <c r="E113" i="69" s="1"/>
  <c r="F113" i="69" s="1"/>
  <c r="G113" i="69" s="1"/>
  <c r="H113" i="69" s="1"/>
  <c r="I113" i="69" s="1"/>
  <c r="J113" i="69" s="1"/>
  <c r="K113" i="69" s="1"/>
  <c r="M113" i="69" s="1"/>
  <c r="N113" i="69"/>
  <c r="AF113" i="69" s="1"/>
  <c r="AE112" i="69"/>
  <c r="Q112" i="69"/>
  <c r="R112" i="69"/>
  <c r="S112" i="69" s="1"/>
  <c r="Y112" i="69" s="1"/>
  <c r="U112" i="69"/>
  <c r="AL59" i="11" a="1"/>
  <c r="AL59" i="11" s="1"/>
  <c r="AL69" i="59" a="1"/>
  <c r="AL69" i="59" s="1"/>
  <c r="E70" i="50" s="1"/>
  <c r="AB127" i="57" l="1"/>
  <c r="AA127" i="57"/>
  <c r="AB112" i="69"/>
  <c r="AC112" i="69" s="1"/>
  <c r="AD112" i="69" s="1"/>
  <c r="AG112" i="69"/>
  <c r="L115" i="69"/>
  <c r="O115" i="69"/>
  <c r="AO114" i="69"/>
  <c r="P114" i="69"/>
  <c r="X128" i="57"/>
  <c r="AA128" i="57" s="1"/>
  <c r="T70" i="50"/>
  <c r="AK70" i="50"/>
  <c r="AF127" i="57"/>
  <c r="AC129" i="53"/>
  <c r="AE129" i="53"/>
  <c r="AF128" i="53"/>
  <c r="AB128" i="53"/>
  <c r="AA128" i="53"/>
  <c r="AK59" i="32"/>
  <c r="T59" i="32"/>
  <c r="AC129" i="57"/>
  <c r="AE129" i="57"/>
  <c r="AM69" i="50"/>
  <c r="U69" i="50"/>
  <c r="AD68" i="50"/>
  <c r="AG68" i="50" s="1"/>
  <c r="AH68" i="50" s="1"/>
  <c r="AI68" i="50" s="1"/>
  <c r="AP66" i="50"/>
  <c r="R129" i="57"/>
  <c r="R129" i="53"/>
  <c r="X129" i="53" s="1"/>
  <c r="AL67" i="50"/>
  <c r="AX113" i="69"/>
  <c r="AG130" i="57"/>
  <c r="L130" i="57"/>
  <c r="O70" i="50"/>
  <c r="AJ129" i="57"/>
  <c r="AP129" i="57"/>
  <c r="AG129" i="53"/>
  <c r="AH129" i="53"/>
  <c r="AT129" i="53"/>
  <c r="N130" i="57"/>
  <c r="G130" i="53"/>
  <c r="N130" i="53"/>
  <c r="AH113" i="69"/>
  <c r="AJ68" i="50"/>
  <c r="C68" i="50"/>
  <c r="AD129" i="57"/>
  <c r="Q129" i="53"/>
  <c r="AD129" i="53"/>
  <c r="S69" i="50"/>
  <c r="V68" i="50"/>
  <c r="I130" i="53"/>
  <c r="E130" i="53"/>
  <c r="L130" i="53"/>
  <c r="K130" i="53"/>
  <c r="C130" i="53"/>
  <c r="D130" i="53"/>
  <c r="H130" i="53"/>
  <c r="P130" i="53"/>
  <c r="J130" i="53"/>
  <c r="AK129" i="52" a="1"/>
  <c r="AK129" i="52" s="1"/>
  <c r="B131" i="53" s="1"/>
  <c r="O131" i="53" s="1"/>
  <c r="F130" i="53"/>
  <c r="M130" i="53"/>
  <c r="I70" i="50"/>
  <c r="G70" i="50"/>
  <c r="N70" i="50"/>
  <c r="A70" i="50"/>
  <c r="Q70" i="50" s="1"/>
  <c r="P70" i="50" s="1"/>
  <c r="L70" i="50"/>
  <c r="K70" i="50"/>
  <c r="F70" i="50"/>
  <c r="J70" i="50"/>
  <c r="M70" i="50"/>
  <c r="B70" i="50"/>
  <c r="R70" i="50" s="1"/>
  <c r="H70" i="50"/>
  <c r="P130" i="57"/>
  <c r="E130" i="57"/>
  <c r="C130" i="57"/>
  <c r="M130" i="57" s="1"/>
  <c r="G130" i="57"/>
  <c r="K130" i="57"/>
  <c r="I130" i="57"/>
  <c r="F130" i="57"/>
  <c r="J130" i="57"/>
  <c r="D130" i="57"/>
  <c r="H130" i="57"/>
  <c r="Q129" i="57"/>
  <c r="T129" i="57" s="1"/>
  <c r="W68" i="50"/>
  <c r="X68" i="50" s="1"/>
  <c r="Z68" i="50"/>
  <c r="E60" i="32"/>
  <c r="AK129" i="55" a="1"/>
  <c r="AK129" i="55" s="1"/>
  <c r="B131" i="57" s="1"/>
  <c r="O131" i="57" s="1"/>
  <c r="D114" i="69"/>
  <c r="E114" i="69" s="1"/>
  <c r="F114" i="69" s="1"/>
  <c r="G114" i="69" s="1"/>
  <c r="H114" i="69" s="1"/>
  <c r="I114" i="69" s="1"/>
  <c r="J114" i="69" s="1"/>
  <c r="K114" i="69" s="1"/>
  <c r="M114" i="69" s="1"/>
  <c r="N114" i="69"/>
  <c r="AF114" i="69" s="1"/>
  <c r="C115" i="69"/>
  <c r="R113" i="69"/>
  <c r="S113" i="69" s="1"/>
  <c r="Y113" i="69" s="1"/>
  <c r="AE113" i="69"/>
  <c r="U113" i="69"/>
  <c r="Q113" i="69"/>
  <c r="AN115" i="67" a="1"/>
  <c r="AN115" i="67" s="1"/>
  <c r="B116" i="69"/>
  <c r="AL60" i="11" a="1"/>
  <c r="AL60" i="11" s="1"/>
  <c r="E61" i="32" s="1"/>
  <c r="AL70" i="59" a="1"/>
  <c r="AL70" i="59" s="1"/>
  <c r="E71" i="50" s="1"/>
  <c r="AB113" i="69" l="1"/>
  <c r="AC113" i="69" s="1"/>
  <c r="AD113" i="69" s="1"/>
  <c r="AG113" i="69"/>
  <c r="L116" i="69"/>
  <c r="O116" i="69"/>
  <c r="AO115" i="69"/>
  <c r="P115" i="69"/>
  <c r="AB128" i="57"/>
  <c r="AF128" i="57"/>
  <c r="AK71" i="50"/>
  <c r="T71" i="50"/>
  <c r="X129" i="57"/>
  <c r="AC130" i="53"/>
  <c r="AE130" i="53"/>
  <c r="AB129" i="53"/>
  <c r="AA129" i="53"/>
  <c r="AF129" i="53"/>
  <c r="AK61" i="32"/>
  <c r="T61" i="32"/>
  <c r="T60" i="32"/>
  <c r="AK60" i="32"/>
  <c r="AE130" i="57"/>
  <c r="AC130" i="57"/>
  <c r="AD69" i="50"/>
  <c r="AG69" i="50" s="1"/>
  <c r="AH69" i="50" s="1"/>
  <c r="AI69" i="50" s="1"/>
  <c r="AM70" i="50"/>
  <c r="U70" i="50"/>
  <c r="AP67" i="50"/>
  <c r="R130" i="57"/>
  <c r="R130" i="53"/>
  <c r="X130" i="53" s="1"/>
  <c r="AL68" i="50"/>
  <c r="AX114" i="69"/>
  <c r="AG131" i="57"/>
  <c r="L131" i="57"/>
  <c r="O71" i="50"/>
  <c r="AJ130" i="57"/>
  <c r="AP130" i="57"/>
  <c r="AH130" i="53"/>
  <c r="AT130" i="53"/>
  <c r="AG130" i="53"/>
  <c r="N131" i="57"/>
  <c r="J131" i="53"/>
  <c r="N131" i="53"/>
  <c r="AH114" i="69"/>
  <c r="AJ69" i="50"/>
  <c r="C69" i="50"/>
  <c r="AD130" i="57"/>
  <c r="Q130" i="53"/>
  <c r="AD130" i="53"/>
  <c r="S70" i="50"/>
  <c r="V69" i="50"/>
  <c r="AK130" i="52" a="1"/>
  <c r="AK130" i="52" s="1"/>
  <c r="B132" i="53" s="1"/>
  <c r="O132" i="53" s="1"/>
  <c r="E131" i="53"/>
  <c r="H131" i="53"/>
  <c r="D131" i="53"/>
  <c r="L131" i="53"/>
  <c r="G131" i="53"/>
  <c r="C131" i="53"/>
  <c r="I131" i="53"/>
  <c r="F131" i="53"/>
  <c r="M131" i="53"/>
  <c r="K131" i="53"/>
  <c r="P131" i="53"/>
  <c r="F71" i="50"/>
  <c r="N71" i="50"/>
  <c r="H71" i="50"/>
  <c r="G71" i="50"/>
  <c r="A71" i="50"/>
  <c r="Q71" i="50" s="1"/>
  <c r="P71" i="50" s="1"/>
  <c r="K71" i="50"/>
  <c r="I71" i="50"/>
  <c r="B71" i="50"/>
  <c r="R71" i="50" s="1"/>
  <c r="L71" i="50"/>
  <c r="M71" i="50"/>
  <c r="J71" i="50"/>
  <c r="E131" i="57"/>
  <c r="P131" i="57"/>
  <c r="D131" i="57"/>
  <c r="C131" i="57"/>
  <c r="M131" i="57" s="1"/>
  <c r="K131" i="57"/>
  <c r="G131" i="57"/>
  <c r="I131" i="57"/>
  <c r="H131" i="57"/>
  <c r="F131" i="57"/>
  <c r="J131" i="57"/>
  <c r="Z69" i="50"/>
  <c r="W69" i="50"/>
  <c r="X69" i="50" s="1"/>
  <c r="Q130" i="57"/>
  <c r="T130" i="57" s="1"/>
  <c r="AK130" i="55" a="1"/>
  <c r="AK130" i="55" s="1"/>
  <c r="B132" i="57" s="1"/>
  <c r="O132" i="57" s="1"/>
  <c r="C116" i="69"/>
  <c r="Q114" i="69"/>
  <c r="R114" i="69"/>
  <c r="S114" i="69" s="1"/>
  <c r="Y114" i="69" s="1"/>
  <c r="AE114" i="69"/>
  <c r="U114" i="69"/>
  <c r="AN116" i="67" a="1"/>
  <c r="AN116" i="67" s="1"/>
  <c r="B117" i="69"/>
  <c r="N115" i="69"/>
  <c r="AF115" i="69" s="1"/>
  <c r="D115" i="69"/>
  <c r="E115" i="69" s="1"/>
  <c r="F115" i="69" s="1"/>
  <c r="G115" i="69" s="1"/>
  <c r="H115" i="69" s="1"/>
  <c r="I115" i="69" s="1"/>
  <c r="J115" i="69" s="1"/>
  <c r="K115" i="69" s="1"/>
  <c r="M115" i="69" s="1"/>
  <c r="AL61" i="11" a="1"/>
  <c r="AL61" i="11" s="1"/>
  <c r="E62" i="32" s="1"/>
  <c r="AL71" i="59" a="1"/>
  <c r="AL71" i="59" s="1"/>
  <c r="E72" i="50" s="1"/>
  <c r="AF129" i="57" l="1"/>
  <c r="AA129" i="57"/>
  <c r="AB114" i="69"/>
  <c r="AC114" i="69" s="1"/>
  <c r="AD114" i="69" s="1"/>
  <c r="AG114" i="69"/>
  <c r="AO116" i="69"/>
  <c r="P116" i="69"/>
  <c r="L117" i="69"/>
  <c r="O117" i="69"/>
  <c r="AK72" i="50"/>
  <c r="T72" i="50"/>
  <c r="AB129" i="57"/>
  <c r="X130" i="57"/>
  <c r="AB130" i="53"/>
  <c r="AA130" i="53"/>
  <c r="AE131" i="53"/>
  <c r="AC131" i="53"/>
  <c r="AF130" i="53"/>
  <c r="AK62" i="32"/>
  <c r="T62" i="32"/>
  <c r="AE131" i="57"/>
  <c r="AC131" i="57"/>
  <c r="AM71" i="50"/>
  <c r="U71" i="50"/>
  <c r="AD70" i="50"/>
  <c r="AG70" i="50" s="1"/>
  <c r="AH70" i="50" s="1"/>
  <c r="AI70" i="50" s="1"/>
  <c r="AP68" i="50"/>
  <c r="R131" i="57"/>
  <c r="R131" i="53"/>
  <c r="X131" i="53" s="1"/>
  <c r="AL69" i="50"/>
  <c r="AX115" i="69"/>
  <c r="AG132" i="57"/>
  <c r="L132" i="57"/>
  <c r="O72" i="50"/>
  <c r="AJ131" i="57"/>
  <c r="AP131" i="57"/>
  <c r="AG131" i="53"/>
  <c r="AH131" i="53"/>
  <c r="AT131" i="53"/>
  <c r="N132" i="57"/>
  <c r="N132" i="53"/>
  <c r="AH115" i="69"/>
  <c r="AJ70" i="50"/>
  <c r="C70" i="50"/>
  <c r="AD131" i="57"/>
  <c r="AD131" i="53"/>
  <c r="Q131" i="53"/>
  <c r="S71" i="50"/>
  <c r="V70" i="50"/>
  <c r="AK131" i="52" a="1"/>
  <c r="AK131" i="52" s="1"/>
  <c r="B133" i="53" s="1"/>
  <c r="O133" i="53" s="1"/>
  <c r="J132" i="53"/>
  <c r="E132" i="53"/>
  <c r="H132" i="53"/>
  <c r="D132" i="53"/>
  <c r="I132" i="53"/>
  <c r="P132" i="53"/>
  <c r="C132" i="53"/>
  <c r="G132" i="53"/>
  <c r="M132" i="53"/>
  <c r="F132" i="53"/>
  <c r="L132" i="53"/>
  <c r="K132" i="53"/>
  <c r="M72" i="50"/>
  <c r="B72" i="50"/>
  <c r="R72" i="50" s="1"/>
  <c r="G72" i="50"/>
  <c r="N72" i="50"/>
  <c r="I72" i="50"/>
  <c r="F72" i="50"/>
  <c r="L72" i="50"/>
  <c r="J72" i="50"/>
  <c r="A72" i="50"/>
  <c r="Q72" i="50" s="1"/>
  <c r="P72" i="50" s="1"/>
  <c r="H72" i="50"/>
  <c r="K72" i="50"/>
  <c r="P132" i="57"/>
  <c r="G132" i="57"/>
  <c r="E132" i="57"/>
  <c r="C132" i="57"/>
  <c r="M132" i="57" s="1"/>
  <c r="I132" i="57"/>
  <c r="K132" i="57"/>
  <c r="J132" i="57"/>
  <c r="D132" i="57"/>
  <c r="H132" i="57"/>
  <c r="F132" i="57"/>
  <c r="W70" i="50"/>
  <c r="X70" i="50" s="1"/>
  <c r="Z70" i="50"/>
  <c r="Q131" i="57"/>
  <c r="T131" i="57" s="1"/>
  <c r="AK131" i="55" a="1"/>
  <c r="AK131" i="55" s="1"/>
  <c r="B133" i="57" s="1"/>
  <c r="O133" i="57" s="1"/>
  <c r="AN117" i="67" a="1"/>
  <c r="AN117" i="67" s="1"/>
  <c r="B118" i="69"/>
  <c r="R115" i="69"/>
  <c r="S115" i="69" s="1"/>
  <c r="Y115" i="69" s="1"/>
  <c r="U115" i="69"/>
  <c r="Q115" i="69"/>
  <c r="AE115" i="69"/>
  <c r="D116" i="69"/>
  <c r="E116" i="69" s="1"/>
  <c r="F116" i="69" s="1"/>
  <c r="G116" i="69" s="1"/>
  <c r="H116" i="69" s="1"/>
  <c r="I116" i="69" s="1"/>
  <c r="J116" i="69" s="1"/>
  <c r="K116" i="69" s="1"/>
  <c r="M116" i="69" s="1"/>
  <c r="N116" i="69"/>
  <c r="AF116" i="69" s="1"/>
  <c r="C117" i="69"/>
  <c r="AL62" i="11" a="1"/>
  <c r="AL62" i="11" s="1"/>
  <c r="AL72" i="59" a="1"/>
  <c r="AL72" i="59" s="1"/>
  <c r="E73" i="50" s="1"/>
  <c r="AF130" i="57" l="1"/>
  <c r="AA130" i="57"/>
  <c r="X131" i="57"/>
  <c r="AB115" i="69"/>
  <c r="AC115" i="69" s="1"/>
  <c r="AD115" i="69" s="1"/>
  <c r="AG115" i="69"/>
  <c r="L118" i="69"/>
  <c r="O118" i="69"/>
  <c r="AO117" i="69"/>
  <c r="P117" i="69"/>
  <c r="T73" i="50"/>
  <c r="AK73" i="50"/>
  <c r="AB130" i="57"/>
  <c r="AC132" i="53"/>
  <c r="AE132" i="53"/>
  <c r="AF131" i="53"/>
  <c r="AB131" i="53"/>
  <c r="AA131" i="53"/>
  <c r="AE132" i="57"/>
  <c r="AC132" i="57"/>
  <c r="AM72" i="50"/>
  <c r="U72" i="50"/>
  <c r="AD71" i="50"/>
  <c r="AG71" i="50" s="1"/>
  <c r="AH71" i="50" s="1"/>
  <c r="AI71" i="50" s="1"/>
  <c r="AP69" i="50"/>
  <c r="R132" i="57"/>
  <c r="R132" i="53"/>
  <c r="X132" i="53" s="1"/>
  <c r="AL70" i="50"/>
  <c r="AX116" i="69"/>
  <c r="AG133" i="57"/>
  <c r="L133" i="57"/>
  <c r="O73" i="50"/>
  <c r="AJ132" i="57"/>
  <c r="AP132" i="57"/>
  <c r="AG132" i="53"/>
  <c r="AH132" i="53"/>
  <c r="AT132" i="53"/>
  <c r="N133" i="57"/>
  <c r="J133" i="53"/>
  <c r="N133" i="53"/>
  <c r="AH116" i="69"/>
  <c r="AJ71" i="50"/>
  <c r="C71" i="50"/>
  <c r="AD132" i="57"/>
  <c r="AD132" i="53"/>
  <c r="V71" i="50"/>
  <c r="S72" i="50"/>
  <c r="K133" i="53"/>
  <c r="C133" i="53"/>
  <c r="D133" i="53"/>
  <c r="L133" i="53"/>
  <c r="E133" i="53"/>
  <c r="Q132" i="53"/>
  <c r="P133" i="53"/>
  <c r="I133" i="53"/>
  <c r="H133" i="53"/>
  <c r="AK132" i="52" a="1"/>
  <c r="AK132" i="52" s="1"/>
  <c r="B134" i="53" s="1"/>
  <c r="O134" i="53" s="1"/>
  <c r="G133" i="53"/>
  <c r="F133" i="53"/>
  <c r="M133" i="53"/>
  <c r="G73" i="50"/>
  <c r="A73" i="50"/>
  <c r="Q73" i="50" s="1"/>
  <c r="P73" i="50" s="1"/>
  <c r="L73" i="50"/>
  <c r="H73" i="50"/>
  <c r="I73" i="50"/>
  <c r="K73" i="50"/>
  <c r="F73" i="50"/>
  <c r="N73" i="50"/>
  <c r="J73" i="50"/>
  <c r="B73" i="50"/>
  <c r="R73" i="50" s="1"/>
  <c r="M73" i="50"/>
  <c r="G133" i="57"/>
  <c r="E133" i="57"/>
  <c r="P133" i="57"/>
  <c r="D133" i="57"/>
  <c r="C133" i="57"/>
  <c r="M133" i="57" s="1"/>
  <c r="H133" i="57"/>
  <c r="I133" i="57"/>
  <c r="K133" i="57"/>
  <c r="F133" i="57"/>
  <c r="J133" i="57"/>
  <c r="Q132" i="57"/>
  <c r="T132" i="57" s="1"/>
  <c r="W71" i="50"/>
  <c r="X71" i="50" s="1"/>
  <c r="Z71" i="50"/>
  <c r="E63" i="32"/>
  <c r="AK132" i="55" a="1"/>
  <c r="AK132" i="55" s="1"/>
  <c r="B134" i="57" s="1"/>
  <c r="O134" i="57" s="1"/>
  <c r="AN118" i="67" a="1"/>
  <c r="AN118" i="67" s="1"/>
  <c r="B119" i="69"/>
  <c r="Q116" i="69"/>
  <c r="AE116" i="69"/>
  <c r="R116" i="69"/>
  <c r="S116" i="69" s="1"/>
  <c r="Y116" i="69" s="1"/>
  <c r="U116" i="69"/>
  <c r="D117" i="69"/>
  <c r="E117" i="69" s="1"/>
  <c r="F117" i="69" s="1"/>
  <c r="G117" i="69" s="1"/>
  <c r="H117" i="69" s="1"/>
  <c r="I117" i="69" s="1"/>
  <c r="J117" i="69" s="1"/>
  <c r="K117" i="69" s="1"/>
  <c r="M117" i="69" s="1"/>
  <c r="N117" i="69"/>
  <c r="AF117" i="69" s="1"/>
  <c r="C118" i="69"/>
  <c r="AL63" i="11" a="1"/>
  <c r="AL63" i="11" s="1"/>
  <c r="E64" i="32" s="1"/>
  <c r="AL73" i="59" a="1"/>
  <c r="AL73" i="59" s="1"/>
  <c r="E74" i="50" s="1"/>
  <c r="AB131" i="57" l="1"/>
  <c r="AA131" i="57"/>
  <c r="AF131" i="57"/>
  <c r="AB116" i="69"/>
  <c r="AC116" i="69" s="1"/>
  <c r="AD116" i="69" s="1"/>
  <c r="AG116" i="69"/>
  <c r="AO118" i="69"/>
  <c r="P118" i="69"/>
  <c r="L119" i="69"/>
  <c r="O119" i="69"/>
  <c r="T74" i="50"/>
  <c r="AK74" i="50"/>
  <c r="AB132" i="53"/>
  <c r="AA132" i="53"/>
  <c r="AF132" i="53"/>
  <c r="AC133" i="53"/>
  <c r="AE133" i="53"/>
  <c r="AK64" i="32"/>
  <c r="T64" i="32"/>
  <c r="AK63" i="32"/>
  <c r="T63" i="32"/>
  <c r="X132" i="57"/>
  <c r="AC133" i="57"/>
  <c r="AE133" i="57"/>
  <c r="AD72" i="50"/>
  <c r="AG72" i="50" s="1"/>
  <c r="AH72" i="50" s="1"/>
  <c r="AI72" i="50" s="1"/>
  <c r="AM73" i="50"/>
  <c r="U73" i="50"/>
  <c r="AP70" i="50"/>
  <c r="R133" i="57"/>
  <c r="R133" i="53"/>
  <c r="X133" i="53" s="1"/>
  <c r="AL71" i="50"/>
  <c r="AX117" i="69"/>
  <c r="AG134" i="57"/>
  <c r="L134" i="57"/>
  <c r="O74" i="50"/>
  <c r="AJ133" i="57"/>
  <c r="AP133" i="57"/>
  <c r="AG133" i="53"/>
  <c r="AH133" i="53"/>
  <c r="AT133" i="53"/>
  <c r="N134" i="57"/>
  <c r="L134" i="53"/>
  <c r="N134" i="53"/>
  <c r="AH117" i="69"/>
  <c r="AJ72" i="50"/>
  <c r="C72" i="50"/>
  <c r="AD133" i="57"/>
  <c r="AD133" i="53"/>
  <c r="S73" i="50"/>
  <c r="V72" i="50"/>
  <c r="Q133" i="53"/>
  <c r="I134" i="53"/>
  <c r="P134" i="53"/>
  <c r="H134" i="53"/>
  <c r="M134" i="53"/>
  <c r="K134" i="53"/>
  <c r="E134" i="53"/>
  <c r="C134" i="53"/>
  <c r="F134" i="53"/>
  <c r="AK133" i="52" a="1"/>
  <c r="AK133" i="52" s="1"/>
  <c r="B135" i="53" s="1"/>
  <c r="O135" i="53" s="1"/>
  <c r="G134" i="53"/>
  <c r="J134" i="53"/>
  <c r="D134" i="53"/>
  <c r="I74" i="50"/>
  <c r="N74" i="50"/>
  <c r="J74" i="50"/>
  <c r="H74" i="50"/>
  <c r="G74" i="50"/>
  <c r="K74" i="50"/>
  <c r="M74" i="50"/>
  <c r="B74" i="50"/>
  <c r="R74" i="50" s="1"/>
  <c r="F74" i="50"/>
  <c r="A74" i="50"/>
  <c r="Q74" i="50" s="1"/>
  <c r="P74" i="50" s="1"/>
  <c r="L74" i="50"/>
  <c r="Q133" i="57"/>
  <c r="T133" i="57" s="1"/>
  <c r="X133" i="57" s="1"/>
  <c r="AA133" i="57" s="1"/>
  <c r="P134" i="57"/>
  <c r="I134" i="57"/>
  <c r="G134" i="57"/>
  <c r="E134" i="57"/>
  <c r="C134" i="57"/>
  <c r="M134" i="57" s="1"/>
  <c r="K134" i="57"/>
  <c r="F134" i="57"/>
  <c r="J134" i="57"/>
  <c r="D134" i="57"/>
  <c r="H134" i="57"/>
  <c r="W72" i="50"/>
  <c r="X72" i="50" s="1"/>
  <c r="Z72" i="50"/>
  <c r="AK133" i="55" a="1"/>
  <c r="AK133" i="55" s="1"/>
  <c r="B135" i="57" s="1"/>
  <c r="O135" i="57" s="1"/>
  <c r="C119" i="69"/>
  <c r="D118" i="69"/>
  <c r="E118" i="69" s="1"/>
  <c r="F118" i="69" s="1"/>
  <c r="G118" i="69" s="1"/>
  <c r="H118" i="69" s="1"/>
  <c r="I118" i="69" s="1"/>
  <c r="J118" i="69" s="1"/>
  <c r="K118" i="69" s="1"/>
  <c r="M118" i="69" s="1"/>
  <c r="N118" i="69"/>
  <c r="AF118" i="69" s="1"/>
  <c r="AE117" i="69"/>
  <c r="Q117" i="69"/>
  <c r="U117" i="69"/>
  <c r="R117" i="69"/>
  <c r="S117" i="69" s="1"/>
  <c r="Y117" i="69" s="1"/>
  <c r="AN119" i="67" a="1"/>
  <c r="AN119" i="67" s="1"/>
  <c r="B120" i="69"/>
  <c r="AL64" i="11" a="1"/>
  <c r="AL64" i="11" s="1"/>
  <c r="AL74" i="59" a="1"/>
  <c r="AL74" i="59" s="1"/>
  <c r="E75" i="50" s="1"/>
  <c r="AB132" i="57" l="1"/>
  <c r="AA132" i="57"/>
  <c r="AB117" i="69"/>
  <c r="AC117" i="69" s="1"/>
  <c r="AD117" i="69" s="1"/>
  <c r="AG117" i="69"/>
  <c r="L120" i="69"/>
  <c r="O120" i="69"/>
  <c r="AO119" i="69"/>
  <c r="P119" i="69"/>
  <c r="T75" i="50"/>
  <c r="AK75" i="50"/>
  <c r="AB133" i="53"/>
  <c r="AA133" i="53"/>
  <c r="AC134" i="53"/>
  <c r="AE134" i="53"/>
  <c r="AF133" i="53"/>
  <c r="AF132" i="57"/>
  <c r="AB133" i="57"/>
  <c r="AF133" i="57"/>
  <c r="AE134" i="57"/>
  <c r="AC134" i="57"/>
  <c r="AM74" i="50"/>
  <c r="U74" i="50"/>
  <c r="AD73" i="50"/>
  <c r="AG73" i="50" s="1"/>
  <c r="AH73" i="50" s="1"/>
  <c r="AI73" i="50" s="1"/>
  <c r="AP71" i="50"/>
  <c r="R134" i="57"/>
  <c r="R134" i="53"/>
  <c r="X134" i="53" s="1"/>
  <c r="AL72" i="50"/>
  <c r="AX118" i="69"/>
  <c r="AG135" i="57"/>
  <c r="L135" i="57"/>
  <c r="O75" i="50"/>
  <c r="AJ134" i="57"/>
  <c r="AP134" i="57"/>
  <c r="AH134" i="53"/>
  <c r="AT134" i="53"/>
  <c r="AG134" i="53"/>
  <c r="N135" i="57"/>
  <c r="P135" i="53"/>
  <c r="N135" i="53"/>
  <c r="AH118" i="69"/>
  <c r="AJ73" i="50"/>
  <c r="C73" i="50"/>
  <c r="AD134" i="57"/>
  <c r="AD134" i="53"/>
  <c r="Q134" i="53"/>
  <c r="S74" i="50"/>
  <c r="V73" i="50"/>
  <c r="F135" i="53"/>
  <c r="K135" i="53"/>
  <c r="M135" i="53"/>
  <c r="I135" i="53"/>
  <c r="AK134" i="52" a="1"/>
  <c r="AK134" i="52" s="1"/>
  <c r="B136" i="53" s="1"/>
  <c r="O136" i="53" s="1"/>
  <c r="D135" i="53"/>
  <c r="L135" i="53"/>
  <c r="E135" i="53"/>
  <c r="J135" i="53"/>
  <c r="G135" i="53"/>
  <c r="C135" i="53"/>
  <c r="H135" i="53"/>
  <c r="I75" i="50"/>
  <c r="H75" i="50"/>
  <c r="M75" i="50"/>
  <c r="K75" i="50"/>
  <c r="A75" i="50"/>
  <c r="Q75" i="50" s="1"/>
  <c r="P75" i="50" s="1"/>
  <c r="L75" i="50"/>
  <c r="B75" i="50"/>
  <c r="R75" i="50" s="1"/>
  <c r="G75" i="50"/>
  <c r="J75" i="50"/>
  <c r="N75" i="50"/>
  <c r="F75" i="50"/>
  <c r="H135" i="57"/>
  <c r="G135" i="57"/>
  <c r="E135" i="57"/>
  <c r="P135" i="57"/>
  <c r="D135" i="57"/>
  <c r="C135" i="57"/>
  <c r="M135" i="57" s="1"/>
  <c r="I135" i="57"/>
  <c r="K135" i="57"/>
  <c r="F135" i="57"/>
  <c r="J135" i="57"/>
  <c r="Q134" i="57"/>
  <c r="T134" i="57" s="1"/>
  <c r="Z73" i="50"/>
  <c r="W73" i="50"/>
  <c r="X73" i="50" s="1"/>
  <c r="E65" i="32"/>
  <c r="AK134" i="55" a="1"/>
  <c r="AK134" i="55" s="1"/>
  <c r="B136" i="57" s="1"/>
  <c r="O136" i="57" s="1"/>
  <c r="AN120" i="67" a="1"/>
  <c r="AN120" i="67" s="1"/>
  <c r="B121" i="69"/>
  <c r="C120" i="69"/>
  <c r="Q118" i="69"/>
  <c r="U118" i="69"/>
  <c r="R118" i="69"/>
  <c r="S118" i="69" s="1"/>
  <c r="Y118" i="69" s="1"/>
  <c r="AE118" i="69"/>
  <c r="D119" i="69"/>
  <c r="E119" i="69" s="1"/>
  <c r="F119" i="69" s="1"/>
  <c r="G119" i="69" s="1"/>
  <c r="H119" i="69" s="1"/>
  <c r="I119" i="69" s="1"/>
  <c r="J119" i="69" s="1"/>
  <c r="K119" i="69" s="1"/>
  <c r="M119" i="69" s="1"/>
  <c r="N119" i="69"/>
  <c r="AF119" i="69" s="1"/>
  <c r="AL65" i="11" a="1"/>
  <c r="AL65" i="11" s="1"/>
  <c r="AL75" i="59" a="1"/>
  <c r="AL75" i="59" s="1"/>
  <c r="E76" i="50" s="1"/>
  <c r="AB118" i="69" l="1"/>
  <c r="AC118" i="69" s="1"/>
  <c r="AD118" i="69" s="1"/>
  <c r="AG118" i="69"/>
  <c r="AO120" i="69"/>
  <c r="P120" i="69"/>
  <c r="L121" i="69"/>
  <c r="O121" i="69"/>
  <c r="T76" i="50"/>
  <c r="AK76" i="50"/>
  <c r="X134" i="57"/>
  <c r="AB134" i="53"/>
  <c r="AA134" i="53"/>
  <c r="AF134" i="53"/>
  <c r="AE135" i="53"/>
  <c r="AC135" i="53"/>
  <c r="AK65" i="32"/>
  <c r="T65" i="32"/>
  <c r="AE135" i="57"/>
  <c r="AC135" i="57"/>
  <c r="AM75" i="50"/>
  <c r="U75" i="50"/>
  <c r="AD74" i="50"/>
  <c r="AG74" i="50" s="1"/>
  <c r="AH74" i="50" s="1"/>
  <c r="AI74" i="50" s="1"/>
  <c r="AP72" i="50"/>
  <c r="R135" i="57"/>
  <c r="R135" i="53"/>
  <c r="X135" i="53" s="1"/>
  <c r="AL73" i="50"/>
  <c r="AX119" i="69"/>
  <c r="AG136" i="57"/>
  <c r="L136" i="57"/>
  <c r="O76" i="50"/>
  <c r="AJ135" i="57"/>
  <c r="AP135" i="57"/>
  <c r="AG135" i="53"/>
  <c r="AH135" i="53"/>
  <c r="AT135" i="53"/>
  <c r="N136" i="57"/>
  <c r="J136" i="53"/>
  <c r="N136" i="53"/>
  <c r="AH119" i="69"/>
  <c r="AJ74" i="50"/>
  <c r="C74" i="50"/>
  <c r="AD135" i="57"/>
  <c r="Q135" i="53"/>
  <c r="AD135" i="53"/>
  <c r="V74" i="50"/>
  <c r="S75" i="50"/>
  <c r="AK135" i="52" a="1"/>
  <c r="AK135" i="52" s="1"/>
  <c r="B137" i="53" s="1"/>
  <c r="O137" i="53" s="1"/>
  <c r="P136" i="53"/>
  <c r="D136" i="53"/>
  <c r="F136" i="53"/>
  <c r="G136" i="53"/>
  <c r="E136" i="53"/>
  <c r="M136" i="53"/>
  <c r="L136" i="53"/>
  <c r="C136" i="53"/>
  <c r="K136" i="53"/>
  <c r="I136" i="53"/>
  <c r="H136" i="53"/>
  <c r="F76" i="50"/>
  <c r="M76" i="50"/>
  <c r="I76" i="50"/>
  <c r="K76" i="50"/>
  <c r="B76" i="50"/>
  <c r="R76" i="50" s="1"/>
  <c r="J76" i="50"/>
  <c r="G76" i="50"/>
  <c r="H76" i="50"/>
  <c r="N76" i="50"/>
  <c r="A76" i="50"/>
  <c r="Q76" i="50" s="1"/>
  <c r="P76" i="50" s="1"/>
  <c r="L76" i="50"/>
  <c r="P136" i="57"/>
  <c r="K136" i="57"/>
  <c r="I136" i="57"/>
  <c r="G136" i="57"/>
  <c r="E136" i="57"/>
  <c r="C136" i="57"/>
  <c r="M136" i="57" s="1"/>
  <c r="F136" i="57"/>
  <c r="J136" i="57"/>
  <c r="H136" i="57"/>
  <c r="D136" i="57"/>
  <c r="Q135" i="57"/>
  <c r="T135" i="57" s="1"/>
  <c r="Z74" i="50"/>
  <c r="W74" i="50"/>
  <c r="X74" i="50" s="1"/>
  <c r="E66" i="32"/>
  <c r="AK135" i="55" a="1"/>
  <c r="AK135" i="55" s="1"/>
  <c r="B137" i="57" s="1"/>
  <c r="O137" i="57" s="1"/>
  <c r="D120" i="69"/>
  <c r="E120" i="69" s="1"/>
  <c r="F120" i="69" s="1"/>
  <c r="G120" i="69" s="1"/>
  <c r="H120" i="69" s="1"/>
  <c r="I120" i="69" s="1"/>
  <c r="J120" i="69" s="1"/>
  <c r="K120" i="69" s="1"/>
  <c r="M120" i="69" s="1"/>
  <c r="N120" i="69"/>
  <c r="AF120" i="69" s="1"/>
  <c r="AE119" i="69"/>
  <c r="R119" i="69"/>
  <c r="S119" i="69" s="1"/>
  <c r="Y119" i="69" s="1"/>
  <c r="AB119" i="69" s="1"/>
  <c r="AC119" i="69" s="1"/>
  <c r="AD119" i="69" s="1"/>
  <c r="U119" i="69"/>
  <c r="Q119" i="69"/>
  <c r="C121" i="69"/>
  <c r="AN121" i="67" a="1"/>
  <c r="AN121" i="67" s="1"/>
  <c r="B122" i="69"/>
  <c r="AL66" i="11" a="1"/>
  <c r="AL66" i="11" s="1"/>
  <c r="E67" i="32" s="1"/>
  <c r="AL76" i="59" a="1"/>
  <c r="AL76" i="59" s="1"/>
  <c r="E77" i="50" s="1"/>
  <c r="AB134" i="57" l="1"/>
  <c r="AA134" i="57"/>
  <c r="L122" i="69"/>
  <c r="O122" i="69"/>
  <c r="AO121" i="69"/>
  <c r="P121" i="69"/>
  <c r="AG119" i="69"/>
  <c r="T77" i="50"/>
  <c r="AK77" i="50"/>
  <c r="AF134" i="57"/>
  <c r="X135" i="57"/>
  <c r="AA135" i="57" s="1"/>
  <c r="AF135" i="53"/>
  <c r="AC136" i="53"/>
  <c r="AE136" i="53"/>
  <c r="AB135" i="53"/>
  <c r="AA135" i="53"/>
  <c r="AK67" i="32"/>
  <c r="T67" i="32"/>
  <c r="AK66" i="32"/>
  <c r="T66" i="32"/>
  <c r="AE136" i="57"/>
  <c r="AC136" i="57"/>
  <c r="AD75" i="50"/>
  <c r="AG75" i="50" s="1"/>
  <c r="AH75" i="50" s="1"/>
  <c r="AI75" i="50" s="1"/>
  <c r="AM76" i="50"/>
  <c r="U76" i="50"/>
  <c r="AP73" i="50"/>
  <c r="R136" i="57"/>
  <c r="R136" i="53"/>
  <c r="X136" i="53" s="1"/>
  <c r="AL74" i="50"/>
  <c r="AX120" i="69"/>
  <c r="AG137" i="57"/>
  <c r="L137" i="57"/>
  <c r="O77" i="50"/>
  <c r="AJ136" i="57"/>
  <c r="AP136" i="57"/>
  <c r="Q136" i="53"/>
  <c r="AH136" i="53"/>
  <c r="AT136" i="53"/>
  <c r="AG136" i="53"/>
  <c r="N137" i="57"/>
  <c r="K137" i="53"/>
  <c r="N137" i="53"/>
  <c r="AH120" i="69"/>
  <c r="AJ75" i="50"/>
  <c r="C75" i="50"/>
  <c r="AD136" i="57"/>
  <c r="AD136" i="53"/>
  <c r="S76" i="50"/>
  <c r="V75" i="50"/>
  <c r="G137" i="53"/>
  <c r="C137" i="53"/>
  <c r="P137" i="53"/>
  <c r="D137" i="53"/>
  <c r="I137" i="53"/>
  <c r="E137" i="53"/>
  <c r="AK136" i="52" a="1"/>
  <c r="AK136" i="52" s="1"/>
  <c r="B138" i="53" s="1"/>
  <c r="O138" i="53" s="1"/>
  <c r="F137" i="53"/>
  <c r="L137" i="53"/>
  <c r="M137" i="53"/>
  <c r="H137" i="53"/>
  <c r="J137" i="53"/>
  <c r="G77" i="50"/>
  <c r="M77" i="50"/>
  <c r="K77" i="50"/>
  <c r="F77" i="50"/>
  <c r="H77" i="50"/>
  <c r="J77" i="50"/>
  <c r="I77" i="50"/>
  <c r="L77" i="50"/>
  <c r="B77" i="50"/>
  <c r="R77" i="50" s="1"/>
  <c r="A77" i="50"/>
  <c r="Q77" i="50" s="1"/>
  <c r="P77" i="50" s="1"/>
  <c r="N77" i="50"/>
  <c r="W75" i="50"/>
  <c r="X75" i="50" s="1"/>
  <c r="Z75" i="50"/>
  <c r="Q136" i="57"/>
  <c r="T136" i="57" s="1"/>
  <c r="I137" i="57"/>
  <c r="H137" i="57"/>
  <c r="G137" i="57"/>
  <c r="E137" i="57"/>
  <c r="P137" i="57"/>
  <c r="D137" i="57"/>
  <c r="K137" i="57"/>
  <c r="C137" i="57"/>
  <c r="M137" i="57" s="1"/>
  <c r="F137" i="57"/>
  <c r="J137" i="57"/>
  <c r="AK136" i="55" a="1"/>
  <c r="AK136" i="55" s="1"/>
  <c r="B138" i="57" s="1"/>
  <c r="O138" i="57" s="1"/>
  <c r="AN122" i="67" a="1"/>
  <c r="AN122" i="67" s="1"/>
  <c r="B123" i="69"/>
  <c r="Q120" i="69"/>
  <c r="R120" i="69"/>
  <c r="S120" i="69" s="1"/>
  <c r="Y120" i="69" s="1"/>
  <c r="AB120" i="69" s="1"/>
  <c r="AC120" i="69" s="1"/>
  <c r="AD120" i="69" s="1"/>
  <c r="AE120" i="69"/>
  <c r="U120" i="69"/>
  <c r="C122" i="69"/>
  <c r="D121" i="69"/>
  <c r="E121" i="69" s="1"/>
  <c r="F121" i="69" s="1"/>
  <c r="G121" i="69" s="1"/>
  <c r="H121" i="69" s="1"/>
  <c r="I121" i="69" s="1"/>
  <c r="J121" i="69" s="1"/>
  <c r="K121" i="69" s="1"/>
  <c r="M121" i="69" s="1"/>
  <c r="N121" i="69"/>
  <c r="AF121" i="69" s="1"/>
  <c r="AL67" i="11" a="1"/>
  <c r="AL67" i="11" s="1"/>
  <c r="E68" i="32" s="1"/>
  <c r="AL77" i="59" a="1"/>
  <c r="AL77" i="59" s="1"/>
  <c r="E78" i="50" s="1"/>
  <c r="AG120" i="69" l="1"/>
  <c r="L123" i="69"/>
  <c r="O123" i="69"/>
  <c r="AO122" i="69"/>
  <c r="P122" i="69"/>
  <c r="T78" i="50"/>
  <c r="AK78" i="50"/>
  <c r="AF135" i="57"/>
  <c r="AB135" i="57"/>
  <c r="AB136" i="53"/>
  <c r="AA136" i="53"/>
  <c r="AC137" i="53"/>
  <c r="AE137" i="53"/>
  <c r="AF136" i="53"/>
  <c r="AK68" i="32"/>
  <c r="T68" i="32"/>
  <c r="X136" i="57"/>
  <c r="AC137" i="57"/>
  <c r="AE137" i="57"/>
  <c r="AD76" i="50"/>
  <c r="AG76" i="50" s="1"/>
  <c r="AH76" i="50" s="1"/>
  <c r="AI76" i="50" s="1"/>
  <c r="AM77" i="50"/>
  <c r="U77" i="50"/>
  <c r="AP74" i="50"/>
  <c r="R137" i="57"/>
  <c r="R137" i="53"/>
  <c r="X137" i="53" s="1"/>
  <c r="AL75" i="50"/>
  <c r="AX121" i="69"/>
  <c r="AG138" i="57"/>
  <c r="L138" i="57"/>
  <c r="O78" i="50"/>
  <c r="AJ137" i="57"/>
  <c r="AP137" i="57"/>
  <c r="AH137" i="53"/>
  <c r="AT137" i="53"/>
  <c r="AG137" i="53"/>
  <c r="N138" i="57"/>
  <c r="I138" i="53"/>
  <c r="N138" i="53"/>
  <c r="AH121" i="69"/>
  <c r="AJ76" i="50"/>
  <c r="C76" i="50"/>
  <c r="AD137" i="57"/>
  <c r="Q137" i="53"/>
  <c r="AD137" i="53"/>
  <c r="S77" i="50"/>
  <c r="V76" i="50"/>
  <c r="AK137" i="52" a="1"/>
  <c r="AK137" i="52" s="1"/>
  <c r="B139" i="53" s="1"/>
  <c r="O139" i="53" s="1"/>
  <c r="G138" i="53"/>
  <c r="J138" i="53"/>
  <c r="P138" i="53"/>
  <c r="K138" i="53"/>
  <c r="H138" i="53"/>
  <c r="F138" i="53"/>
  <c r="L138" i="53"/>
  <c r="C138" i="53"/>
  <c r="D138" i="53"/>
  <c r="M138" i="53"/>
  <c r="E138" i="53"/>
  <c r="F78" i="50"/>
  <c r="A78" i="50"/>
  <c r="Q78" i="50" s="1"/>
  <c r="P78" i="50" s="1"/>
  <c r="K78" i="50"/>
  <c r="H78" i="50"/>
  <c r="L78" i="50"/>
  <c r="M78" i="50"/>
  <c r="B78" i="50"/>
  <c r="R78" i="50" s="1"/>
  <c r="G78" i="50"/>
  <c r="N78" i="50"/>
  <c r="I78" i="50"/>
  <c r="J78" i="50"/>
  <c r="P138" i="57"/>
  <c r="K138" i="57"/>
  <c r="I138" i="57"/>
  <c r="G138" i="57"/>
  <c r="E138" i="57"/>
  <c r="C138" i="57"/>
  <c r="M138" i="57" s="1"/>
  <c r="F138" i="57"/>
  <c r="J138" i="57"/>
  <c r="D138" i="57"/>
  <c r="H138" i="57"/>
  <c r="Q137" i="57"/>
  <c r="T137" i="57" s="1"/>
  <c r="W76" i="50"/>
  <c r="X76" i="50" s="1"/>
  <c r="Z76" i="50"/>
  <c r="AK137" i="55" a="1"/>
  <c r="AK137" i="55" s="1"/>
  <c r="B139" i="57" s="1"/>
  <c r="O139" i="57" s="1"/>
  <c r="D122" i="69"/>
  <c r="E122" i="69" s="1"/>
  <c r="F122" i="69" s="1"/>
  <c r="G122" i="69" s="1"/>
  <c r="H122" i="69" s="1"/>
  <c r="I122" i="69" s="1"/>
  <c r="J122" i="69" s="1"/>
  <c r="K122" i="69" s="1"/>
  <c r="M122" i="69" s="1"/>
  <c r="N122" i="69"/>
  <c r="AF122" i="69" s="1"/>
  <c r="C123" i="69"/>
  <c r="Q121" i="69"/>
  <c r="U121" i="69"/>
  <c r="AE121" i="69"/>
  <c r="R121" i="69"/>
  <c r="S121" i="69" s="1"/>
  <c r="Y121" i="69" s="1"/>
  <c r="AN123" i="67" a="1"/>
  <c r="AN123" i="67" s="1"/>
  <c r="B124" i="69"/>
  <c r="AL68" i="11" a="1"/>
  <c r="AL68" i="11" s="1"/>
  <c r="AL78" i="59" a="1"/>
  <c r="AL78" i="59" s="1"/>
  <c r="E79" i="50" s="1"/>
  <c r="AB136" i="57" l="1"/>
  <c r="AA136" i="57"/>
  <c r="AB121" i="69"/>
  <c r="AC121" i="69" s="1"/>
  <c r="AD121" i="69" s="1"/>
  <c r="AG121" i="69"/>
  <c r="AO123" i="69"/>
  <c r="P123" i="69"/>
  <c r="L124" i="69"/>
  <c r="O124" i="69"/>
  <c r="AK79" i="50"/>
  <c r="T79" i="50"/>
  <c r="AB137" i="53"/>
  <c r="AA137" i="53"/>
  <c r="AC138" i="53"/>
  <c r="AE138" i="53"/>
  <c r="AF137" i="53"/>
  <c r="AF136" i="57"/>
  <c r="X137" i="57"/>
  <c r="AE138" i="57"/>
  <c r="AC138" i="57"/>
  <c r="AD77" i="50"/>
  <c r="AG77" i="50" s="1"/>
  <c r="AH77" i="50" s="1"/>
  <c r="AI77" i="50" s="1"/>
  <c r="AM78" i="50"/>
  <c r="U78" i="50"/>
  <c r="AP75" i="50"/>
  <c r="R138" i="57"/>
  <c r="R138" i="53"/>
  <c r="X138" i="53" s="1"/>
  <c r="AL76" i="50"/>
  <c r="AX122" i="69"/>
  <c r="AG139" i="57"/>
  <c r="L139" i="57"/>
  <c r="O79" i="50"/>
  <c r="AJ138" i="57"/>
  <c r="AP138" i="57"/>
  <c r="AH138" i="53"/>
  <c r="AT138" i="53"/>
  <c r="AG138" i="53"/>
  <c r="N139" i="57"/>
  <c r="N139" i="53"/>
  <c r="AH122" i="69"/>
  <c r="AJ77" i="50"/>
  <c r="C77" i="50"/>
  <c r="AD138" i="57"/>
  <c r="AD138" i="53"/>
  <c r="S78" i="50"/>
  <c r="V77" i="50"/>
  <c r="Q138" i="53"/>
  <c r="AK138" i="52" a="1"/>
  <c r="AK138" i="52" s="1"/>
  <c r="B140" i="53" s="1"/>
  <c r="O140" i="53" s="1"/>
  <c r="J139" i="53"/>
  <c r="K139" i="53"/>
  <c r="M139" i="53"/>
  <c r="I139" i="53"/>
  <c r="L139" i="53"/>
  <c r="E139" i="53"/>
  <c r="G139" i="53"/>
  <c r="C139" i="53"/>
  <c r="H139" i="53"/>
  <c r="F139" i="53"/>
  <c r="D139" i="53"/>
  <c r="P139" i="53"/>
  <c r="A79" i="50"/>
  <c r="Q79" i="50" s="1"/>
  <c r="P79" i="50" s="1"/>
  <c r="M79" i="50"/>
  <c r="B79" i="50"/>
  <c r="R79" i="50" s="1"/>
  <c r="L79" i="50"/>
  <c r="J79" i="50"/>
  <c r="N79" i="50"/>
  <c r="F79" i="50"/>
  <c r="I79" i="50"/>
  <c r="G79" i="50"/>
  <c r="K79" i="50"/>
  <c r="H79" i="50"/>
  <c r="Q138" i="57"/>
  <c r="T138" i="57" s="1"/>
  <c r="K139" i="57"/>
  <c r="I139" i="57"/>
  <c r="H139" i="57"/>
  <c r="G139" i="57"/>
  <c r="E139" i="57"/>
  <c r="C139" i="57"/>
  <c r="M139" i="57" s="1"/>
  <c r="P139" i="57"/>
  <c r="D139" i="57"/>
  <c r="J139" i="57"/>
  <c r="F139" i="57"/>
  <c r="Z77" i="50"/>
  <c r="W77" i="50"/>
  <c r="X77" i="50" s="1"/>
  <c r="E69" i="32"/>
  <c r="AK138" i="55" a="1"/>
  <c r="AK138" i="55" s="1"/>
  <c r="B140" i="57" s="1"/>
  <c r="O140" i="57" s="1"/>
  <c r="AN124" i="67" a="1"/>
  <c r="AN124" i="67" s="1"/>
  <c r="B125" i="69"/>
  <c r="C124" i="69"/>
  <c r="D123" i="69"/>
  <c r="E123" i="69" s="1"/>
  <c r="F123" i="69" s="1"/>
  <c r="G123" i="69" s="1"/>
  <c r="H123" i="69" s="1"/>
  <c r="I123" i="69" s="1"/>
  <c r="J123" i="69" s="1"/>
  <c r="K123" i="69" s="1"/>
  <c r="M123" i="69" s="1"/>
  <c r="N123" i="69"/>
  <c r="AF123" i="69" s="1"/>
  <c r="R122" i="69"/>
  <c r="S122" i="69" s="1"/>
  <c r="Y122" i="69" s="1"/>
  <c r="Q122" i="69"/>
  <c r="U122" i="69"/>
  <c r="AE122" i="69"/>
  <c r="AL69" i="11" a="1"/>
  <c r="AL69" i="11" s="1"/>
  <c r="E70" i="32" s="1"/>
  <c r="AL79" i="59" a="1"/>
  <c r="AL79" i="59" s="1"/>
  <c r="E80" i="50" s="1"/>
  <c r="AB137" i="57" l="1"/>
  <c r="AA137" i="57"/>
  <c r="AB122" i="69"/>
  <c r="AC122" i="69" s="1"/>
  <c r="AD122" i="69" s="1"/>
  <c r="AG122" i="69"/>
  <c r="L125" i="69"/>
  <c r="O125" i="69"/>
  <c r="AO124" i="69"/>
  <c r="P124" i="69"/>
  <c r="AK80" i="50"/>
  <c r="T80" i="50"/>
  <c r="AB138" i="53"/>
  <c r="AA138" i="53"/>
  <c r="AE139" i="53"/>
  <c r="AC139" i="53"/>
  <c r="AF138" i="53"/>
  <c r="AK70" i="32"/>
  <c r="T70" i="32"/>
  <c r="AK69" i="32"/>
  <c r="T69" i="32"/>
  <c r="X138" i="57"/>
  <c r="AF137" i="57"/>
  <c r="AE139" i="57"/>
  <c r="AC139" i="57"/>
  <c r="AD78" i="50"/>
  <c r="AG78" i="50" s="1"/>
  <c r="AH78" i="50" s="1"/>
  <c r="AI78" i="50" s="1"/>
  <c r="AM79" i="50"/>
  <c r="U79" i="50"/>
  <c r="AP76" i="50"/>
  <c r="R139" i="57"/>
  <c r="R139" i="53"/>
  <c r="X139" i="53" s="1"/>
  <c r="AL77" i="50"/>
  <c r="AX123" i="69"/>
  <c r="AG140" i="57"/>
  <c r="L140" i="57"/>
  <c r="O80" i="50"/>
  <c r="AJ139" i="57"/>
  <c r="AP139" i="57"/>
  <c r="AG139" i="53"/>
  <c r="AH139" i="53"/>
  <c r="AT139" i="53"/>
  <c r="N140" i="57"/>
  <c r="N140" i="53"/>
  <c r="AH123" i="69"/>
  <c r="AJ78" i="50"/>
  <c r="C78" i="50"/>
  <c r="AD139" i="57"/>
  <c r="Q139" i="53"/>
  <c r="AD139" i="53"/>
  <c r="S79" i="50"/>
  <c r="V78" i="50"/>
  <c r="AK139" i="52" a="1"/>
  <c r="AK139" i="52" s="1"/>
  <c r="B141" i="53" s="1"/>
  <c r="O141" i="53" s="1"/>
  <c r="H140" i="53"/>
  <c r="G140" i="53"/>
  <c r="M140" i="53"/>
  <c r="I140" i="53"/>
  <c r="F140" i="53"/>
  <c r="P140" i="53"/>
  <c r="K140" i="53"/>
  <c r="E140" i="53"/>
  <c r="D140" i="53"/>
  <c r="C140" i="53"/>
  <c r="L140" i="53"/>
  <c r="J140" i="53"/>
  <c r="M80" i="50"/>
  <c r="A80" i="50"/>
  <c r="Q80" i="50" s="1"/>
  <c r="P80" i="50" s="1"/>
  <c r="N80" i="50"/>
  <c r="G80" i="50"/>
  <c r="I80" i="50"/>
  <c r="J80" i="50"/>
  <c r="K80" i="50"/>
  <c r="F80" i="50"/>
  <c r="L80" i="50"/>
  <c r="H80" i="50"/>
  <c r="B80" i="50"/>
  <c r="R80" i="50" s="1"/>
  <c r="P140" i="57"/>
  <c r="K140" i="57"/>
  <c r="I140" i="57"/>
  <c r="G140" i="57"/>
  <c r="E140" i="57"/>
  <c r="C140" i="57"/>
  <c r="M140" i="57" s="1"/>
  <c r="F140" i="57"/>
  <c r="J140" i="57"/>
  <c r="H140" i="57"/>
  <c r="D140" i="57"/>
  <c r="Z78" i="50"/>
  <c r="W78" i="50"/>
  <c r="X78" i="50" s="1"/>
  <c r="Q139" i="57"/>
  <c r="T139" i="57" s="1"/>
  <c r="AK139" i="55" a="1"/>
  <c r="AK139" i="55" s="1"/>
  <c r="B141" i="57" s="1"/>
  <c r="O141" i="57" s="1"/>
  <c r="R123" i="69"/>
  <c r="S123" i="69" s="1"/>
  <c r="Y123" i="69" s="1"/>
  <c r="U123" i="69"/>
  <c r="Q123" i="69"/>
  <c r="AE123" i="69"/>
  <c r="C125" i="69"/>
  <c r="D124" i="69"/>
  <c r="E124" i="69" s="1"/>
  <c r="F124" i="69" s="1"/>
  <c r="G124" i="69" s="1"/>
  <c r="H124" i="69" s="1"/>
  <c r="I124" i="69" s="1"/>
  <c r="J124" i="69" s="1"/>
  <c r="K124" i="69" s="1"/>
  <c r="M124" i="69" s="1"/>
  <c r="N124" i="69"/>
  <c r="AF124" i="69" s="1"/>
  <c r="AN125" i="67" a="1"/>
  <c r="AN125" i="67" s="1"/>
  <c r="B126" i="69"/>
  <c r="AL70" i="11" a="1"/>
  <c r="AL70" i="11" s="1"/>
  <c r="E71" i="32" s="1"/>
  <c r="AL80" i="59" a="1"/>
  <c r="AL80" i="59" s="1"/>
  <c r="E81" i="50" s="1"/>
  <c r="AF138" i="57" l="1"/>
  <c r="AA138" i="57"/>
  <c r="AB123" i="69"/>
  <c r="AC123" i="69" s="1"/>
  <c r="AD123" i="69" s="1"/>
  <c r="AG123" i="69"/>
  <c r="AO125" i="69"/>
  <c r="P125" i="69"/>
  <c r="L126" i="69"/>
  <c r="O126" i="69"/>
  <c r="T81" i="50"/>
  <c r="AK81" i="50"/>
  <c r="X139" i="57"/>
  <c r="AA139" i="57" s="1"/>
  <c r="AB138" i="57"/>
  <c r="AB139" i="53"/>
  <c r="AA139" i="53"/>
  <c r="AF139" i="53"/>
  <c r="AC140" i="53"/>
  <c r="AE140" i="53"/>
  <c r="AK71" i="32"/>
  <c r="T71" i="32"/>
  <c r="AE140" i="57"/>
  <c r="AC140" i="57"/>
  <c r="AD79" i="50"/>
  <c r="AG79" i="50" s="1"/>
  <c r="AH79" i="50" s="1"/>
  <c r="AI79" i="50" s="1"/>
  <c r="AM80" i="50"/>
  <c r="U80" i="50"/>
  <c r="AP77" i="50"/>
  <c r="R140" i="57"/>
  <c r="R140" i="53"/>
  <c r="X140" i="53" s="1"/>
  <c r="AL78" i="50"/>
  <c r="AX124" i="69"/>
  <c r="AG141" i="57"/>
  <c r="L141" i="57"/>
  <c r="O81" i="50"/>
  <c r="AJ140" i="57"/>
  <c r="AP140" i="57"/>
  <c r="AH140" i="53"/>
  <c r="AT140" i="53"/>
  <c r="AG140" i="53"/>
  <c r="N141" i="57"/>
  <c r="N141" i="53"/>
  <c r="AH124" i="69"/>
  <c r="AJ79" i="50"/>
  <c r="C79" i="50"/>
  <c r="AD140" i="57"/>
  <c r="Q140" i="53"/>
  <c r="AD140" i="53"/>
  <c r="S80" i="50"/>
  <c r="V79" i="50"/>
  <c r="J141" i="53"/>
  <c r="D141" i="53"/>
  <c r="G141" i="53"/>
  <c r="C141" i="53"/>
  <c r="H141" i="53"/>
  <c r="K141" i="53"/>
  <c r="F141" i="53"/>
  <c r="I141" i="53"/>
  <c r="L141" i="53"/>
  <c r="AK140" i="52" a="1"/>
  <c r="AK140" i="52" s="1"/>
  <c r="B142" i="53" s="1"/>
  <c r="O142" i="53" s="1"/>
  <c r="E141" i="53"/>
  <c r="M141" i="53"/>
  <c r="P141" i="53"/>
  <c r="F81" i="50"/>
  <c r="B81" i="50"/>
  <c r="R81" i="50" s="1"/>
  <c r="H81" i="50"/>
  <c r="I81" i="50"/>
  <c r="L81" i="50"/>
  <c r="K81" i="50"/>
  <c r="A81" i="50"/>
  <c r="Q81" i="50" s="1"/>
  <c r="P81" i="50" s="1"/>
  <c r="M81" i="50"/>
  <c r="J81" i="50"/>
  <c r="G81" i="50"/>
  <c r="N81" i="50"/>
  <c r="W79" i="50"/>
  <c r="X79" i="50" s="1"/>
  <c r="Z79" i="50"/>
  <c r="Q140" i="57"/>
  <c r="T140" i="57" s="1"/>
  <c r="K141" i="57"/>
  <c r="I141" i="57"/>
  <c r="H141" i="57"/>
  <c r="G141" i="57"/>
  <c r="E141" i="57"/>
  <c r="C141" i="57"/>
  <c r="M141" i="57" s="1"/>
  <c r="D141" i="57"/>
  <c r="P141" i="57"/>
  <c r="F141" i="57"/>
  <c r="J141" i="57"/>
  <c r="AK140" i="55" a="1"/>
  <c r="AK140" i="55" s="1"/>
  <c r="B142" i="57" s="1"/>
  <c r="O142" i="57" s="1"/>
  <c r="C126" i="69"/>
  <c r="AE124" i="69"/>
  <c r="U124" i="69"/>
  <c r="Q124" i="69"/>
  <c r="R124" i="69"/>
  <c r="S124" i="69" s="1"/>
  <c r="Y124" i="69" s="1"/>
  <c r="AB124" i="69" s="1"/>
  <c r="AC124" i="69" s="1"/>
  <c r="AD124" i="69" s="1"/>
  <c r="N125" i="69"/>
  <c r="AF125" i="69" s="1"/>
  <c r="D125" i="69"/>
  <c r="E125" i="69" s="1"/>
  <c r="F125" i="69" s="1"/>
  <c r="G125" i="69" s="1"/>
  <c r="H125" i="69" s="1"/>
  <c r="I125" i="69" s="1"/>
  <c r="J125" i="69" s="1"/>
  <c r="K125" i="69" s="1"/>
  <c r="M125" i="69" s="1"/>
  <c r="AN126" i="67" a="1"/>
  <c r="AN126" i="67" s="1"/>
  <c r="B127" i="69"/>
  <c r="AL71" i="11" a="1"/>
  <c r="AL71" i="11" s="1"/>
  <c r="E72" i="32" s="1"/>
  <c r="AL81" i="59" a="1"/>
  <c r="AL81" i="59" s="1"/>
  <c r="E82" i="50" s="1"/>
  <c r="L127" i="69" l="1"/>
  <c r="O127" i="69"/>
  <c r="AO126" i="69"/>
  <c r="P126" i="69"/>
  <c r="AG124" i="69"/>
  <c r="T82" i="50"/>
  <c r="AK82" i="50"/>
  <c r="AF139" i="57"/>
  <c r="AB139" i="57"/>
  <c r="AB140" i="53"/>
  <c r="AA140" i="53"/>
  <c r="AC141" i="53"/>
  <c r="AE141" i="53"/>
  <c r="AF140" i="53"/>
  <c r="AK72" i="32"/>
  <c r="T72" i="32"/>
  <c r="X140" i="57"/>
  <c r="AC141" i="57"/>
  <c r="AE141" i="57"/>
  <c r="AD80" i="50"/>
  <c r="AG80" i="50" s="1"/>
  <c r="AH80" i="50" s="1"/>
  <c r="AI80" i="50" s="1"/>
  <c r="AM81" i="50"/>
  <c r="U81" i="50"/>
  <c r="AP78" i="50"/>
  <c r="R141" i="57"/>
  <c r="R141" i="53"/>
  <c r="X141" i="53" s="1"/>
  <c r="AL79" i="50"/>
  <c r="AX125" i="69"/>
  <c r="AG142" i="57"/>
  <c r="L142" i="57"/>
  <c r="O82" i="50"/>
  <c r="AJ141" i="57"/>
  <c r="AP141" i="57"/>
  <c r="AG141" i="53"/>
  <c r="AH141" i="53"/>
  <c r="AT141" i="53"/>
  <c r="N142" i="57"/>
  <c r="N142" i="53"/>
  <c r="AH125" i="69"/>
  <c r="AJ80" i="50"/>
  <c r="C80" i="50"/>
  <c r="AD141" i="57"/>
  <c r="Q141" i="53"/>
  <c r="AD141" i="53"/>
  <c r="V80" i="50"/>
  <c r="S81" i="50"/>
  <c r="AK141" i="52" a="1"/>
  <c r="AK141" i="52" s="1"/>
  <c r="B143" i="53" s="1"/>
  <c r="O143" i="53" s="1"/>
  <c r="L142" i="53"/>
  <c r="I142" i="53"/>
  <c r="D142" i="53"/>
  <c r="P142" i="53"/>
  <c r="F142" i="53"/>
  <c r="K142" i="53"/>
  <c r="H142" i="53"/>
  <c r="C142" i="53"/>
  <c r="E142" i="53"/>
  <c r="G142" i="53"/>
  <c r="M142" i="53"/>
  <c r="J142" i="53"/>
  <c r="K82" i="50"/>
  <c r="B82" i="50"/>
  <c r="R82" i="50" s="1"/>
  <c r="M82" i="50"/>
  <c r="A82" i="50"/>
  <c r="Q82" i="50" s="1"/>
  <c r="P82" i="50" s="1"/>
  <c r="I82" i="50"/>
  <c r="F82" i="50"/>
  <c r="L82" i="50"/>
  <c r="H82" i="50"/>
  <c r="N82" i="50"/>
  <c r="J82" i="50"/>
  <c r="G82" i="50"/>
  <c r="W80" i="50"/>
  <c r="X80" i="50" s="1"/>
  <c r="Z80" i="50"/>
  <c r="P142" i="57"/>
  <c r="K142" i="57"/>
  <c r="I142" i="57"/>
  <c r="G142" i="57"/>
  <c r="C142" i="57"/>
  <c r="M142" i="57" s="1"/>
  <c r="E142" i="57"/>
  <c r="F142" i="57"/>
  <c r="D142" i="57"/>
  <c r="J142" i="57"/>
  <c r="H142" i="57"/>
  <c r="Q141" i="57"/>
  <c r="T141" i="57" s="1"/>
  <c r="AK141" i="55" a="1"/>
  <c r="AK141" i="55" s="1"/>
  <c r="B143" i="57" s="1"/>
  <c r="O143" i="57" s="1"/>
  <c r="Q125" i="69"/>
  <c r="AE125" i="69"/>
  <c r="U125" i="69"/>
  <c r="R125" i="69"/>
  <c r="S125" i="69" s="1"/>
  <c r="Y125" i="69" s="1"/>
  <c r="D126" i="69"/>
  <c r="E126" i="69" s="1"/>
  <c r="F126" i="69" s="1"/>
  <c r="G126" i="69" s="1"/>
  <c r="H126" i="69" s="1"/>
  <c r="I126" i="69" s="1"/>
  <c r="J126" i="69" s="1"/>
  <c r="K126" i="69" s="1"/>
  <c r="M126" i="69" s="1"/>
  <c r="N126" i="69"/>
  <c r="AF126" i="69" s="1"/>
  <c r="C127" i="69"/>
  <c r="AN127" i="67" a="1"/>
  <c r="AN127" i="67" s="1"/>
  <c r="B128" i="69"/>
  <c r="AL72" i="11" a="1"/>
  <c r="AL72" i="11" s="1"/>
  <c r="E73" i="32" s="1"/>
  <c r="AL82" i="59" a="1"/>
  <c r="AL82" i="59" s="1"/>
  <c r="E83" i="50" s="1"/>
  <c r="AB140" i="57" l="1"/>
  <c r="AA140" i="57"/>
  <c r="AB125" i="69"/>
  <c r="AC125" i="69" s="1"/>
  <c r="AD125" i="69" s="1"/>
  <c r="AG125" i="69"/>
  <c r="L128" i="69"/>
  <c r="O128" i="69"/>
  <c r="AO127" i="69"/>
  <c r="P127" i="69"/>
  <c r="T83" i="50"/>
  <c r="AK83" i="50"/>
  <c r="X141" i="57"/>
  <c r="AB141" i="53"/>
  <c r="AA141" i="53"/>
  <c r="AF141" i="53"/>
  <c r="AC142" i="53"/>
  <c r="AE142" i="53"/>
  <c r="AK73" i="32"/>
  <c r="T73" i="32"/>
  <c r="AF140" i="57"/>
  <c r="AE142" i="57"/>
  <c r="AC142" i="57"/>
  <c r="AM82" i="50"/>
  <c r="U82" i="50"/>
  <c r="AD81" i="50"/>
  <c r="AG81" i="50" s="1"/>
  <c r="AH81" i="50" s="1"/>
  <c r="AI81" i="50" s="1"/>
  <c r="AP79" i="50"/>
  <c r="R142" i="57"/>
  <c r="R142" i="53"/>
  <c r="X142" i="53" s="1"/>
  <c r="AL80" i="50"/>
  <c r="AX126" i="69"/>
  <c r="AG143" i="57"/>
  <c r="L143" i="57"/>
  <c r="O83" i="50"/>
  <c r="AJ142" i="57"/>
  <c r="AP142" i="57"/>
  <c r="AG142" i="53"/>
  <c r="AH142" i="53"/>
  <c r="AT142" i="53"/>
  <c r="N143" i="57"/>
  <c r="M143" i="53"/>
  <c r="N143" i="53"/>
  <c r="AH126" i="69"/>
  <c r="AJ81" i="50"/>
  <c r="C81" i="50"/>
  <c r="AD142" i="57"/>
  <c r="AD142" i="53"/>
  <c r="S82" i="50"/>
  <c r="V81" i="50"/>
  <c r="Q142" i="53"/>
  <c r="F143" i="53"/>
  <c r="E143" i="53"/>
  <c r="H143" i="53"/>
  <c r="D143" i="53"/>
  <c r="J143" i="53"/>
  <c r="G143" i="53"/>
  <c r="K143" i="53"/>
  <c r="P143" i="53"/>
  <c r="I143" i="53"/>
  <c r="C143" i="53"/>
  <c r="AK142" i="52" a="1"/>
  <c r="AK142" i="52" s="1"/>
  <c r="B144" i="53" s="1"/>
  <c r="O144" i="53" s="1"/>
  <c r="L143" i="53"/>
  <c r="B83" i="50"/>
  <c r="R83" i="50" s="1"/>
  <c r="J83" i="50"/>
  <c r="F83" i="50"/>
  <c r="K83" i="50"/>
  <c r="A83" i="50"/>
  <c r="Q83" i="50" s="1"/>
  <c r="P83" i="50" s="1"/>
  <c r="N83" i="50"/>
  <c r="I83" i="50"/>
  <c r="M83" i="50"/>
  <c r="H83" i="50"/>
  <c r="G83" i="50"/>
  <c r="L83" i="50"/>
  <c r="Q142" i="57"/>
  <c r="T142" i="57" s="1"/>
  <c r="Z81" i="50"/>
  <c r="W81" i="50"/>
  <c r="X81" i="50" s="1"/>
  <c r="C143" i="57"/>
  <c r="M143" i="57" s="1"/>
  <c r="K143" i="57"/>
  <c r="I143" i="57"/>
  <c r="H143" i="57"/>
  <c r="G143" i="57"/>
  <c r="P143" i="57"/>
  <c r="D143" i="57"/>
  <c r="E143" i="57"/>
  <c r="J143" i="57"/>
  <c r="F143" i="57"/>
  <c r="AK142" i="55" a="1"/>
  <c r="AK142" i="55" s="1"/>
  <c r="B144" i="57" s="1"/>
  <c r="O144" i="57" s="1"/>
  <c r="N127" i="69"/>
  <c r="AF127" i="69" s="1"/>
  <c r="D127" i="69"/>
  <c r="E127" i="69" s="1"/>
  <c r="F127" i="69" s="1"/>
  <c r="G127" i="69" s="1"/>
  <c r="H127" i="69" s="1"/>
  <c r="I127" i="69" s="1"/>
  <c r="J127" i="69" s="1"/>
  <c r="K127" i="69" s="1"/>
  <c r="M127" i="69" s="1"/>
  <c r="C128" i="69"/>
  <c r="AN128" i="67" a="1"/>
  <c r="AN128" i="67" s="1"/>
  <c r="B129" i="69"/>
  <c r="R126" i="69"/>
  <c r="S126" i="69" s="1"/>
  <c r="Y126" i="69" s="1"/>
  <c r="AE126" i="69"/>
  <c r="Q126" i="69"/>
  <c r="U126" i="69"/>
  <c r="AL73" i="11" a="1"/>
  <c r="AL73" i="11" s="1"/>
  <c r="AL83" i="59" a="1"/>
  <c r="AL83" i="59" s="1"/>
  <c r="E84" i="50" s="1"/>
  <c r="X142" i="57" l="1"/>
  <c r="AA142" i="57" s="1"/>
  <c r="AF141" i="57"/>
  <c r="AA141" i="57"/>
  <c r="AB126" i="69"/>
  <c r="AC126" i="69" s="1"/>
  <c r="AD126" i="69" s="1"/>
  <c r="AG126" i="69"/>
  <c r="AO128" i="69"/>
  <c r="P128" i="69"/>
  <c r="L129" i="69"/>
  <c r="O129" i="69"/>
  <c r="T84" i="50"/>
  <c r="AK84" i="50"/>
  <c r="AB141" i="57"/>
  <c r="AE143" i="53"/>
  <c r="AC143" i="53"/>
  <c r="AB142" i="53"/>
  <c r="AA142" i="53"/>
  <c r="AF142" i="53"/>
  <c r="AE143" i="57"/>
  <c r="AC143" i="57"/>
  <c r="AM83" i="50"/>
  <c r="U83" i="50"/>
  <c r="AD82" i="50"/>
  <c r="AG82" i="50" s="1"/>
  <c r="AH82" i="50" s="1"/>
  <c r="AI82" i="50" s="1"/>
  <c r="AP80" i="50"/>
  <c r="R143" i="57"/>
  <c r="R143" i="53"/>
  <c r="X143" i="53" s="1"/>
  <c r="AL81" i="50"/>
  <c r="AX127" i="69"/>
  <c r="AG144" i="57"/>
  <c r="L144" i="57"/>
  <c r="O84" i="50"/>
  <c r="AJ143" i="57"/>
  <c r="AP143" i="57"/>
  <c r="Q143" i="53"/>
  <c r="AH143" i="53"/>
  <c r="AT143" i="53"/>
  <c r="AG143" i="53"/>
  <c r="N144" i="57"/>
  <c r="D144" i="53"/>
  <c r="N144" i="53"/>
  <c r="AD143" i="53"/>
  <c r="AH127" i="69"/>
  <c r="AJ82" i="50"/>
  <c r="C82" i="50"/>
  <c r="AD143" i="57"/>
  <c r="S83" i="50"/>
  <c r="V82" i="50"/>
  <c r="AK143" i="52" a="1"/>
  <c r="AK143" i="52" s="1"/>
  <c r="B145" i="53" s="1"/>
  <c r="O145" i="53" s="1"/>
  <c r="F144" i="53"/>
  <c r="H144" i="53"/>
  <c r="P144" i="53"/>
  <c r="M144" i="53"/>
  <c r="E144" i="53"/>
  <c r="G144" i="53"/>
  <c r="J144" i="53"/>
  <c r="C144" i="53"/>
  <c r="L144" i="53"/>
  <c r="I144" i="53"/>
  <c r="K144" i="53"/>
  <c r="J84" i="50"/>
  <c r="M84" i="50"/>
  <c r="I84" i="50"/>
  <c r="K84" i="50"/>
  <c r="A84" i="50"/>
  <c r="Q84" i="50" s="1"/>
  <c r="P84" i="50" s="1"/>
  <c r="H84" i="50"/>
  <c r="F84" i="50"/>
  <c r="N84" i="50"/>
  <c r="L84" i="50"/>
  <c r="G84" i="50"/>
  <c r="B84" i="50"/>
  <c r="R84" i="50" s="1"/>
  <c r="Z82" i="50"/>
  <c r="W82" i="50"/>
  <c r="X82" i="50" s="1"/>
  <c r="P144" i="57"/>
  <c r="C144" i="57"/>
  <c r="M144" i="57" s="1"/>
  <c r="K144" i="57"/>
  <c r="I144" i="57"/>
  <c r="E144" i="57"/>
  <c r="G144" i="57"/>
  <c r="F144" i="57"/>
  <c r="J144" i="57"/>
  <c r="D144" i="57"/>
  <c r="H144" i="57"/>
  <c r="Q143" i="57"/>
  <c r="T143" i="57" s="1"/>
  <c r="E74" i="32"/>
  <c r="AK143" i="55" a="1"/>
  <c r="AK143" i="55" s="1"/>
  <c r="B145" i="57" s="1"/>
  <c r="O145" i="57" s="1"/>
  <c r="D128" i="69"/>
  <c r="E128" i="69" s="1"/>
  <c r="F128" i="69" s="1"/>
  <c r="G128" i="69" s="1"/>
  <c r="H128" i="69" s="1"/>
  <c r="I128" i="69" s="1"/>
  <c r="J128" i="69" s="1"/>
  <c r="K128" i="69" s="1"/>
  <c r="M128" i="69" s="1"/>
  <c r="N128" i="69"/>
  <c r="AF128" i="69" s="1"/>
  <c r="AN129" i="67" a="1"/>
  <c r="AN129" i="67" s="1"/>
  <c r="B130" i="69"/>
  <c r="C129" i="69"/>
  <c r="AE127" i="69"/>
  <c r="U127" i="69"/>
  <c r="Q127" i="69"/>
  <c r="R127" i="69"/>
  <c r="S127" i="69" s="1"/>
  <c r="Y127" i="69" s="1"/>
  <c r="AB127" i="69" s="1"/>
  <c r="AC127" i="69" s="1"/>
  <c r="AD127" i="69" s="1"/>
  <c r="AL74" i="11" a="1"/>
  <c r="AL74" i="11" s="1"/>
  <c r="AL84" i="59" a="1"/>
  <c r="AL84" i="59" s="1"/>
  <c r="E85" i="50" s="1"/>
  <c r="AB142" i="57" l="1"/>
  <c r="AF142" i="57"/>
  <c r="AO129" i="69"/>
  <c r="P129" i="69"/>
  <c r="L130" i="69"/>
  <c r="O130" i="69"/>
  <c r="AG127" i="69"/>
  <c r="T85" i="50"/>
  <c r="AK85" i="50"/>
  <c r="X143" i="57"/>
  <c r="AB143" i="53"/>
  <c r="AA143" i="53"/>
  <c r="AF143" i="53"/>
  <c r="AC144" i="53"/>
  <c r="AE144" i="53"/>
  <c r="AK74" i="32"/>
  <c r="T74" i="32"/>
  <c r="AE144" i="57"/>
  <c r="AC144" i="57"/>
  <c r="AM84" i="50"/>
  <c r="U84" i="50"/>
  <c r="AD83" i="50"/>
  <c r="AG83" i="50" s="1"/>
  <c r="AH83" i="50" s="1"/>
  <c r="AI83" i="50" s="1"/>
  <c r="AP81" i="50"/>
  <c r="R144" i="57"/>
  <c r="R144" i="53"/>
  <c r="X144" i="53" s="1"/>
  <c r="AL82" i="50"/>
  <c r="AX128" i="69"/>
  <c r="AG145" i="57"/>
  <c r="L145" i="57"/>
  <c r="O85" i="50"/>
  <c r="AJ144" i="57"/>
  <c r="AP144" i="57"/>
  <c r="AH144" i="53"/>
  <c r="AT144" i="53"/>
  <c r="AG144" i="53"/>
  <c r="N145" i="57"/>
  <c r="K145" i="53"/>
  <c r="N145" i="53"/>
  <c r="AH128" i="69"/>
  <c r="AJ83" i="50"/>
  <c r="C83" i="50"/>
  <c r="AD144" i="57"/>
  <c r="Q144" i="53"/>
  <c r="AD144" i="53"/>
  <c r="S84" i="50"/>
  <c r="V83" i="50"/>
  <c r="AK144" i="52" a="1"/>
  <c r="AK144" i="52" s="1"/>
  <c r="B146" i="53" s="1"/>
  <c r="O146" i="53" s="1"/>
  <c r="H145" i="53"/>
  <c r="J145" i="53"/>
  <c r="M145" i="53"/>
  <c r="F145" i="53"/>
  <c r="L145" i="53"/>
  <c r="E145" i="53"/>
  <c r="G145" i="53"/>
  <c r="P145" i="53"/>
  <c r="I145" i="53"/>
  <c r="D145" i="53"/>
  <c r="C145" i="53"/>
  <c r="M85" i="50"/>
  <c r="F85" i="50"/>
  <c r="N85" i="50"/>
  <c r="L85" i="50"/>
  <c r="G85" i="50"/>
  <c r="H85" i="50"/>
  <c r="B85" i="50"/>
  <c r="R85" i="50" s="1"/>
  <c r="J85" i="50"/>
  <c r="K85" i="50"/>
  <c r="A85" i="50"/>
  <c r="Q85" i="50" s="1"/>
  <c r="P85" i="50" s="1"/>
  <c r="I85" i="50"/>
  <c r="P145" i="57"/>
  <c r="D145" i="57"/>
  <c r="C145" i="57"/>
  <c r="M145" i="57" s="1"/>
  <c r="K145" i="57"/>
  <c r="I145" i="57"/>
  <c r="H145" i="57"/>
  <c r="E145" i="57"/>
  <c r="G145" i="57"/>
  <c r="F145" i="57"/>
  <c r="J145" i="57"/>
  <c r="Q144" i="57"/>
  <c r="T144" i="57" s="1"/>
  <c r="W83" i="50"/>
  <c r="X83" i="50" s="1"/>
  <c r="Z83" i="50"/>
  <c r="E75" i="32"/>
  <c r="AK144" i="55" a="1"/>
  <c r="AK144" i="55" s="1"/>
  <c r="B146" i="57" s="1"/>
  <c r="O146" i="57" s="1"/>
  <c r="U128" i="69"/>
  <c r="Q128" i="69"/>
  <c r="R128" i="69"/>
  <c r="S128" i="69" s="1"/>
  <c r="Y128" i="69" s="1"/>
  <c r="AE128" i="69"/>
  <c r="D129" i="69"/>
  <c r="E129" i="69" s="1"/>
  <c r="F129" i="69" s="1"/>
  <c r="G129" i="69" s="1"/>
  <c r="H129" i="69" s="1"/>
  <c r="I129" i="69" s="1"/>
  <c r="J129" i="69" s="1"/>
  <c r="K129" i="69" s="1"/>
  <c r="M129" i="69" s="1"/>
  <c r="N129" i="69"/>
  <c r="AF129" i="69" s="1"/>
  <c r="C130" i="69"/>
  <c r="AN130" i="67" a="1"/>
  <c r="AN130" i="67" s="1"/>
  <c r="B131" i="69"/>
  <c r="AL75" i="11" a="1"/>
  <c r="AL75" i="11" s="1"/>
  <c r="E76" i="32" s="1"/>
  <c r="AL85" i="59" a="1"/>
  <c r="AL85" i="59" s="1"/>
  <c r="E86" i="50" s="1"/>
  <c r="AB143" i="57" l="1"/>
  <c r="AA143" i="57"/>
  <c r="AB128" i="69"/>
  <c r="AC128" i="69" s="1"/>
  <c r="AD128" i="69" s="1"/>
  <c r="AG128" i="69"/>
  <c r="AO130" i="69"/>
  <c r="P130" i="69"/>
  <c r="L131" i="69"/>
  <c r="O131" i="69"/>
  <c r="T86" i="50"/>
  <c r="AK86" i="50"/>
  <c r="AF143" i="57"/>
  <c r="AB144" i="53"/>
  <c r="AA144" i="53"/>
  <c r="AF144" i="53"/>
  <c r="AC145" i="53"/>
  <c r="AE145" i="53"/>
  <c r="AK76" i="32"/>
  <c r="T76" i="32"/>
  <c r="AK75" i="32"/>
  <c r="T75" i="32"/>
  <c r="X144" i="57"/>
  <c r="AC145" i="57"/>
  <c r="AE145" i="57"/>
  <c r="AM85" i="50"/>
  <c r="U85" i="50"/>
  <c r="AD84" i="50"/>
  <c r="AG84" i="50" s="1"/>
  <c r="AH84" i="50" s="1"/>
  <c r="AI84" i="50" s="1"/>
  <c r="AP82" i="50"/>
  <c r="R145" i="57"/>
  <c r="R145" i="53"/>
  <c r="X145" i="53" s="1"/>
  <c r="AL83" i="50"/>
  <c r="AX129" i="69"/>
  <c r="AG146" i="57"/>
  <c r="L146" i="57"/>
  <c r="O86" i="50"/>
  <c r="AJ145" i="57"/>
  <c r="AP145" i="57"/>
  <c r="AH145" i="53"/>
  <c r="AT145" i="53"/>
  <c r="AG145" i="53"/>
  <c r="N146" i="57"/>
  <c r="M146" i="53"/>
  <c r="N146" i="53"/>
  <c r="AH129" i="69"/>
  <c r="AJ84" i="50"/>
  <c r="C84" i="50"/>
  <c r="AD145" i="57"/>
  <c r="AD145" i="53"/>
  <c r="S85" i="50"/>
  <c r="V84" i="50"/>
  <c r="Q145" i="53"/>
  <c r="AK145" i="52" a="1"/>
  <c r="AK145" i="52" s="1"/>
  <c r="B147" i="53" s="1"/>
  <c r="O147" i="53" s="1"/>
  <c r="G146" i="53"/>
  <c r="H146" i="53"/>
  <c r="P146" i="53"/>
  <c r="J146" i="53"/>
  <c r="E146" i="53"/>
  <c r="C146" i="53"/>
  <c r="F146" i="53"/>
  <c r="I146" i="53"/>
  <c r="L146" i="53"/>
  <c r="D146" i="53"/>
  <c r="K146" i="53"/>
  <c r="F86" i="50"/>
  <c r="G86" i="50"/>
  <c r="J86" i="50"/>
  <c r="A86" i="50"/>
  <c r="Q86" i="50" s="1"/>
  <c r="P86" i="50" s="1"/>
  <c r="H86" i="50"/>
  <c r="L86" i="50"/>
  <c r="N86" i="50"/>
  <c r="I86" i="50"/>
  <c r="M86" i="50"/>
  <c r="K86" i="50"/>
  <c r="B86" i="50"/>
  <c r="R86" i="50" s="1"/>
  <c r="P146" i="57"/>
  <c r="C146" i="57"/>
  <c r="M146" i="57" s="1"/>
  <c r="K146" i="57"/>
  <c r="I146" i="57"/>
  <c r="G146" i="57"/>
  <c r="E146" i="57"/>
  <c r="F146" i="57"/>
  <c r="J146" i="57"/>
  <c r="D146" i="57"/>
  <c r="H146" i="57"/>
  <c r="W84" i="50"/>
  <c r="X84" i="50" s="1"/>
  <c r="Z84" i="50"/>
  <c r="Q145" i="57"/>
  <c r="T145" i="57" s="1"/>
  <c r="AK145" i="55" a="1"/>
  <c r="AK145" i="55" s="1"/>
  <c r="B147" i="57" s="1"/>
  <c r="O147" i="57" s="1"/>
  <c r="D130" i="69"/>
  <c r="E130" i="69" s="1"/>
  <c r="F130" i="69" s="1"/>
  <c r="G130" i="69" s="1"/>
  <c r="H130" i="69" s="1"/>
  <c r="I130" i="69" s="1"/>
  <c r="J130" i="69" s="1"/>
  <c r="K130" i="69" s="1"/>
  <c r="M130" i="69" s="1"/>
  <c r="N130" i="69"/>
  <c r="AF130" i="69" s="1"/>
  <c r="C131" i="69"/>
  <c r="AN131" i="67" a="1"/>
  <c r="AN131" i="67" s="1"/>
  <c r="B132" i="69"/>
  <c r="U129" i="69"/>
  <c r="AE129" i="69"/>
  <c r="R129" i="69"/>
  <c r="S129" i="69" s="1"/>
  <c r="Y129" i="69" s="1"/>
  <c r="Q129" i="69"/>
  <c r="AL76" i="11" a="1"/>
  <c r="AL76" i="11" s="1"/>
  <c r="E77" i="32" s="1"/>
  <c r="AL86" i="59" a="1"/>
  <c r="AL86" i="59" s="1"/>
  <c r="E87" i="50" s="1"/>
  <c r="AB144" i="57" l="1"/>
  <c r="AA144" i="57"/>
  <c r="AB129" i="69"/>
  <c r="AC129" i="69" s="1"/>
  <c r="AD129" i="69" s="1"/>
  <c r="AG129" i="69"/>
  <c r="AO131" i="69"/>
  <c r="P131" i="69"/>
  <c r="L132" i="69"/>
  <c r="O132" i="69"/>
  <c r="AK87" i="50"/>
  <c r="T87" i="50"/>
  <c r="AB145" i="53"/>
  <c r="AA145" i="53"/>
  <c r="AC146" i="53"/>
  <c r="AE146" i="53"/>
  <c r="AF145" i="53"/>
  <c r="AK77" i="32"/>
  <c r="T77" i="32"/>
  <c r="X145" i="57"/>
  <c r="AF144" i="57"/>
  <c r="AE146" i="57"/>
  <c r="AC146" i="57"/>
  <c r="AD85" i="50"/>
  <c r="AG85" i="50" s="1"/>
  <c r="AH85" i="50" s="1"/>
  <c r="AI85" i="50" s="1"/>
  <c r="AM86" i="50"/>
  <c r="U86" i="50"/>
  <c r="AP83" i="50"/>
  <c r="R146" i="57"/>
  <c r="R146" i="53"/>
  <c r="X146" i="53" s="1"/>
  <c r="AL84" i="50"/>
  <c r="AX130" i="69"/>
  <c r="AG147" i="57"/>
  <c r="L147" i="57"/>
  <c r="O87" i="50"/>
  <c r="AJ146" i="57"/>
  <c r="AP146" i="57"/>
  <c r="AG146" i="53"/>
  <c r="Q146" i="53"/>
  <c r="AH146" i="53"/>
  <c r="AT146" i="53"/>
  <c r="N147" i="57"/>
  <c r="AD146" i="53"/>
  <c r="G147" i="53"/>
  <c r="N147" i="53"/>
  <c r="AH130" i="69"/>
  <c r="AJ85" i="50"/>
  <c r="C85" i="50"/>
  <c r="AD146" i="57"/>
  <c r="V85" i="50"/>
  <c r="S86" i="50"/>
  <c r="K147" i="53"/>
  <c r="M147" i="53"/>
  <c r="C147" i="53"/>
  <c r="P147" i="53"/>
  <c r="H147" i="53"/>
  <c r="E147" i="53"/>
  <c r="J147" i="53"/>
  <c r="F147" i="53"/>
  <c r="D147" i="53"/>
  <c r="L147" i="53"/>
  <c r="AK146" i="52" a="1"/>
  <c r="AK146" i="52" s="1"/>
  <c r="B148" i="53" s="1"/>
  <c r="O148" i="53" s="1"/>
  <c r="I147" i="53"/>
  <c r="J87" i="50"/>
  <c r="N87" i="50"/>
  <c r="B87" i="50"/>
  <c r="R87" i="50" s="1"/>
  <c r="M87" i="50"/>
  <c r="A87" i="50"/>
  <c r="Q87" i="50" s="1"/>
  <c r="P87" i="50" s="1"/>
  <c r="L87" i="50"/>
  <c r="F87" i="50"/>
  <c r="I87" i="50"/>
  <c r="K87" i="50"/>
  <c r="H87" i="50"/>
  <c r="G87" i="50"/>
  <c r="Z85" i="50"/>
  <c r="W85" i="50"/>
  <c r="X85" i="50" s="1"/>
  <c r="Q146" i="57"/>
  <c r="T146" i="57" s="1"/>
  <c r="P147" i="57"/>
  <c r="D147" i="57"/>
  <c r="C147" i="57"/>
  <c r="M147" i="57" s="1"/>
  <c r="K147" i="57"/>
  <c r="I147" i="57"/>
  <c r="H147" i="57"/>
  <c r="G147" i="57"/>
  <c r="E147" i="57"/>
  <c r="F147" i="57"/>
  <c r="J147" i="57"/>
  <c r="AK146" i="55" a="1"/>
  <c r="AK146" i="55" s="1"/>
  <c r="B148" i="57" s="1"/>
  <c r="O148" i="57" s="1"/>
  <c r="AN132" i="67" a="1"/>
  <c r="AN132" i="67" s="1"/>
  <c r="B133" i="69"/>
  <c r="C132" i="69"/>
  <c r="N131" i="69"/>
  <c r="AF131" i="69" s="1"/>
  <c r="D131" i="69"/>
  <c r="E131" i="69" s="1"/>
  <c r="F131" i="69" s="1"/>
  <c r="G131" i="69" s="1"/>
  <c r="H131" i="69" s="1"/>
  <c r="I131" i="69" s="1"/>
  <c r="J131" i="69" s="1"/>
  <c r="K131" i="69" s="1"/>
  <c r="M131" i="69" s="1"/>
  <c r="AE130" i="69"/>
  <c r="U130" i="69"/>
  <c r="Q130" i="69"/>
  <c r="R130" i="69"/>
  <c r="S130" i="69" s="1"/>
  <c r="Y130" i="69" s="1"/>
  <c r="AL77" i="11" a="1"/>
  <c r="AL77" i="11" s="1"/>
  <c r="E78" i="32" s="1"/>
  <c r="AL87" i="59" a="1"/>
  <c r="AL87" i="59" s="1"/>
  <c r="E88" i="50" s="1"/>
  <c r="AB145" i="57" l="1"/>
  <c r="AA145" i="57"/>
  <c r="AB130" i="69"/>
  <c r="AC130" i="69" s="1"/>
  <c r="AD130" i="69" s="1"/>
  <c r="AG130" i="69"/>
  <c r="L133" i="69"/>
  <c r="O133" i="69"/>
  <c r="AO132" i="69"/>
  <c r="P132" i="69"/>
  <c r="AK88" i="50"/>
  <c r="T88" i="50"/>
  <c r="AF145" i="57"/>
  <c r="AB146" i="53"/>
  <c r="AA146" i="53"/>
  <c r="AE147" i="53"/>
  <c r="AC147" i="53"/>
  <c r="AF146" i="53"/>
  <c r="AK78" i="32"/>
  <c r="T78" i="32"/>
  <c r="X146" i="57"/>
  <c r="AA146" i="57" s="1"/>
  <c r="AE147" i="57"/>
  <c r="AC147" i="57"/>
  <c r="AD86" i="50"/>
  <c r="AG86" i="50" s="1"/>
  <c r="AH86" i="50" s="1"/>
  <c r="AI86" i="50" s="1"/>
  <c r="AM87" i="50"/>
  <c r="U87" i="50"/>
  <c r="AP84" i="50"/>
  <c r="R147" i="57"/>
  <c r="R147" i="53"/>
  <c r="X147" i="53" s="1"/>
  <c r="AL85" i="50"/>
  <c r="AX131" i="69"/>
  <c r="AG148" i="57"/>
  <c r="L148" i="57"/>
  <c r="O88" i="50"/>
  <c r="AJ147" i="57"/>
  <c r="AP147" i="57"/>
  <c r="AH147" i="53"/>
  <c r="AT147" i="53"/>
  <c r="AG147" i="53"/>
  <c r="N148" i="57"/>
  <c r="J148" i="53"/>
  <c r="N148" i="53"/>
  <c r="AH131" i="69"/>
  <c r="AJ86" i="50"/>
  <c r="C86" i="50"/>
  <c r="AD147" i="57"/>
  <c r="AD147" i="53"/>
  <c r="S87" i="50"/>
  <c r="V86" i="50"/>
  <c r="Q147" i="53"/>
  <c r="D148" i="53"/>
  <c r="I148" i="53"/>
  <c r="E148" i="53"/>
  <c r="M148" i="53"/>
  <c r="L148" i="53"/>
  <c r="K148" i="53"/>
  <c r="G148" i="53"/>
  <c r="P148" i="53"/>
  <c r="F148" i="53"/>
  <c r="C148" i="53"/>
  <c r="AK147" i="52" a="1"/>
  <c r="AK147" i="52" s="1"/>
  <c r="B149" i="53" s="1"/>
  <c r="O149" i="53" s="1"/>
  <c r="H148" i="53"/>
  <c r="F88" i="50"/>
  <c r="L88" i="50"/>
  <c r="N88" i="50"/>
  <c r="M88" i="50"/>
  <c r="H88" i="50"/>
  <c r="I88" i="50"/>
  <c r="G88" i="50"/>
  <c r="A88" i="50"/>
  <c r="Q88" i="50" s="1"/>
  <c r="P88" i="50" s="1"/>
  <c r="K88" i="50"/>
  <c r="B88" i="50"/>
  <c r="R88" i="50" s="1"/>
  <c r="J88" i="50"/>
  <c r="W86" i="50"/>
  <c r="X86" i="50" s="1"/>
  <c r="Z86" i="50"/>
  <c r="Q147" i="57"/>
  <c r="T147" i="57" s="1"/>
  <c r="F148" i="57"/>
  <c r="C148" i="57"/>
  <c r="M148" i="57" s="1"/>
  <c r="P148" i="57"/>
  <c r="K148" i="57"/>
  <c r="H148" i="57"/>
  <c r="E148" i="57"/>
  <c r="G148" i="57"/>
  <c r="I148" i="57"/>
  <c r="D148" i="57"/>
  <c r="J148" i="57"/>
  <c r="AK147" i="55" a="1"/>
  <c r="AK147" i="55" s="1"/>
  <c r="B149" i="57" s="1"/>
  <c r="O149" i="57" s="1"/>
  <c r="AN133" i="67" a="1"/>
  <c r="AN133" i="67" s="1"/>
  <c r="B134" i="69"/>
  <c r="C133" i="69"/>
  <c r="Q131" i="69"/>
  <c r="R131" i="69"/>
  <c r="S131" i="69" s="1"/>
  <c r="Y131" i="69" s="1"/>
  <c r="U131" i="69"/>
  <c r="AE131" i="69"/>
  <c r="D132" i="69"/>
  <c r="E132" i="69" s="1"/>
  <c r="F132" i="69" s="1"/>
  <c r="G132" i="69" s="1"/>
  <c r="H132" i="69" s="1"/>
  <c r="I132" i="69" s="1"/>
  <c r="J132" i="69" s="1"/>
  <c r="K132" i="69" s="1"/>
  <c r="M132" i="69" s="1"/>
  <c r="N132" i="69"/>
  <c r="AF132" i="69" s="1"/>
  <c r="AL78" i="11" a="1"/>
  <c r="AL78" i="11" s="1"/>
  <c r="AL88" i="59" a="1"/>
  <c r="AL88" i="59" s="1"/>
  <c r="E89" i="50" s="1"/>
  <c r="AB131" i="69" l="1"/>
  <c r="AC131" i="69" s="1"/>
  <c r="AD131" i="69" s="1"/>
  <c r="AG131" i="69"/>
  <c r="AO133" i="69"/>
  <c r="P133" i="69"/>
  <c r="L134" i="69"/>
  <c r="O134" i="69"/>
  <c r="T89" i="50"/>
  <c r="AK89" i="50"/>
  <c r="AB147" i="53"/>
  <c r="AA147" i="53"/>
  <c r="AF147" i="53"/>
  <c r="AC148" i="53"/>
  <c r="AE148" i="53"/>
  <c r="AF146" i="57"/>
  <c r="X147" i="57"/>
  <c r="AA147" i="57" s="1"/>
  <c r="AB146" i="57"/>
  <c r="AE148" i="57"/>
  <c r="AC148" i="57"/>
  <c r="AM88" i="50"/>
  <c r="U88" i="50"/>
  <c r="AD87" i="50"/>
  <c r="AG87" i="50" s="1"/>
  <c r="AH87" i="50" s="1"/>
  <c r="AI87" i="50" s="1"/>
  <c r="R148" i="57"/>
  <c r="R148" i="53"/>
  <c r="X148" i="53" s="1"/>
  <c r="AL86" i="50"/>
  <c r="AP85" i="50"/>
  <c r="AX132" i="69"/>
  <c r="AG149" i="57"/>
  <c r="L149" i="57"/>
  <c r="O89" i="50"/>
  <c r="AJ148" i="57"/>
  <c r="AP148" i="57"/>
  <c r="AH148" i="53"/>
  <c r="AT148" i="53"/>
  <c r="AG148" i="53"/>
  <c r="N149" i="57"/>
  <c r="N149" i="53"/>
  <c r="AH132" i="69"/>
  <c r="AJ87" i="50"/>
  <c r="C87" i="50"/>
  <c r="AD148" i="57"/>
  <c r="AD148" i="53"/>
  <c r="Q148" i="53"/>
  <c r="S88" i="50"/>
  <c r="V87" i="50"/>
  <c r="AK148" i="52" a="1"/>
  <c r="AK148" i="52" s="1"/>
  <c r="B150" i="53" s="1"/>
  <c r="O150" i="53" s="1"/>
  <c r="I149" i="53"/>
  <c r="L149" i="53"/>
  <c r="K149" i="53"/>
  <c r="F149" i="53"/>
  <c r="C149" i="53"/>
  <c r="E149" i="53"/>
  <c r="P149" i="53"/>
  <c r="D149" i="53"/>
  <c r="M149" i="53"/>
  <c r="J149" i="53"/>
  <c r="H149" i="53"/>
  <c r="G149" i="53"/>
  <c r="I89" i="50"/>
  <c r="K89" i="50"/>
  <c r="A89" i="50"/>
  <c r="Q89" i="50" s="1"/>
  <c r="P89" i="50" s="1"/>
  <c r="L89" i="50"/>
  <c r="J89" i="50"/>
  <c r="B89" i="50"/>
  <c r="R89" i="50" s="1"/>
  <c r="M89" i="50"/>
  <c r="G89" i="50"/>
  <c r="N89" i="50"/>
  <c r="F89" i="50"/>
  <c r="H89" i="50"/>
  <c r="P149" i="57"/>
  <c r="J149" i="57"/>
  <c r="H149" i="57"/>
  <c r="E149" i="57"/>
  <c r="F149" i="57"/>
  <c r="K149" i="57"/>
  <c r="G149" i="57"/>
  <c r="C149" i="57"/>
  <c r="M149" i="57" s="1"/>
  <c r="I149" i="57"/>
  <c r="D149" i="57"/>
  <c r="Q148" i="57"/>
  <c r="T148" i="57" s="1"/>
  <c r="Z87" i="50"/>
  <c r="W87" i="50"/>
  <c r="X87" i="50" s="1"/>
  <c r="E79" i="32"/>
  <c r="AK148" i="55" a="1"/>
  <c r="AK148" i="55" s="1"/>
  <c r="B150" i="57" s="1"/>
  <c r="O150" i="57" s="1"/>
  <c r="AE132" i="69"/>
  <c r="R132" i="69"/>
  <c r="S132" i="69" s="1"/>
  <c r="Y132" i="69" s="1"/>
  <c r="AB132" i="69" s="1"/>
  <c r="AC132" i="69" s="1"/>
  <c r="AD132" i="69" s="1"/>
  <c r="Q132" i="69"/>
  <c r="U132" i="69"/>
  <c r="C134" i="69"/>
  <c r="N133" i="69"/>
  <c r="AF133" i="69" s="1"/>
  <c r="D133" i="69"/>
  <c r="E133" i="69" s="1"/>
  <c r="F133" i="69" s="1"/>
  <c r="G133" i="69" s="1"/>
  <c r="H133" i="69" s="1"/>
  <c r="I133" i="69" s="1"/>
  <c r="J133" i="69" s="1"/>
  <c r="K133" i="69" s="1"/>
  <c r="M133" i="69" s="1"/>
  <c r="AN134" i="67" a="1"/>
  <c r="AN134" i="67" s="1"/>
  <c r="B135" i="69"/>
  <c r="AL79" i="11" a="1"/>
  <c r="AL79" i="11" s="1"/>
  <c r="AL89" i="59" a="1"/>
  <c r="AL89" i="59" s="1"/>
  <c r="E90" i="50" s="1"/>
  <c r="AG132" i="69" l="1"/>
  <c r="L135" i="69"/>
  <c r="O135" i="69"/>
  <c r="AO134" i="69"/>
  <c r="P134" i="69"/>
  <c r="T90" i="50"/>
  <c r="AK90" i="50"/>
  <c r="X148" i="57"/>
  <c r="AB148" i="53"/>
  <c r="AA148" i="53"/>
  <c r="AC149" i="53"/>
  <c r="AE149" i="53"/>
  <c r="AF148" i="53"/>
  <c r="AK79" i="32"/>
  <c r="T79" i="32"/>
  <c r="AB147" i="57"/>
  <c r="AF147" i="57"/>
  <c r="AC149" i="57"/>
  <c r="AE149" i="57"/>
  <c r="AM89" i="50"/>
  <c r="U89" i="50"/>
  <c r="AD88" i="50"/>
  <c r="AG88" i="50" s="1"/>
  <c r="AH88" i="50" s="1"/>
  <c r="AI88" i="50" s="1"/>
  <c r="AP86" i="50"/>
  <c r="R149" i="57"/>
  <c r="R149" i="53"/>
  <c r="X149" i="53" s="1"/>
  <c r="AL87" i="50"/>
  <c r="AX133" i="69"/>
  <c r="AG150" i="57"/>
  <c r="L150" i="57"/>
  <c r="O90" i="50"/>
  <c r="AJ149" i="57"/>
  <c r="AP149" i="57"/>
  <c r="AG149" i="53"/>
  <c r="AH149" i="53"/>
  <c r="AT149" i="53"/>
  <c r="N150" i="57"/>
  <c r="N150" i="53"/>
  <c r="AH133" i="69"/>
  <c r="AJ88" i="50"/>
  <c r="C88" i="50"/>
  <c r="AD149" i="57"/>
  <c r="Q149" i="53"/>
  <c r="AD149" i="53"/>
  <c r="S89" i="50"/>
  <c r="V88" i="50"/>
  <c r="AK149" i="52" a="1"/>
  <c r="AK149" i="52" s="1"/>
  <c r="B151" i="53" s="1"/>
  <c r="O151" i="53" s="1"/>
  <c r="J150" i="53"/>
  <c r="G150" i="53"/>
  <c r="H150" i="53"/>
  <c r="D150" i="53"/>
  <c r="F150" i="53"/>
  <c r="I150" i="53"/>
  <c r="K150" i="53"/>
  <c r="E150" i="53"/>
  <c r="P150" i="53"/>
  <c r="M150" i="53"/>
  <c r="L150" i="53"/>
  <c r="C150" i="53"/>
  <c r="K90" i="50"/>
  <c r="M90" i="50"/>
  <c r="A90" i="50"/>
  <c r="Q90" i="50" s="1"/>
  <c r="P90" i="50" s="1"/>
  <c r="G90" i="50"/>
  <c r="F90" i="50"/>
  <c r="J90" i="50"/>
  <c r="L90" i="50"/>
  <c r="N90" i="50"/>
  <c r="H90" i="50"/>
  <c r="I90" i="50"/>
  <c r="B90" i="50"/>
  <c r="R90" i="50" s="1"/>
  <c r="Q149" i="57"/>
  <c r="T149" i="57" s="1"/>
  <c r="J150" i="57"/>
  <c r="D150" i="57"/>
  <c r="I150" i="57"/>
  <c r="E150" i="57"/>
  <c r="P150" i="57"/>
  <c r="G150" i="57"/>
  <c r="K150" i="57"/>
  <c r="F150" i="57"/>
  <c r="H150" i="57"/>
  <c r="C150" i="57"/>
  <c r="M150" i="57" s="1"/>
  <c r="Z88" i="50"/>
  <c r="W88" i="50"/>
  <c r="X88" i="50" s="1"/>
  <c r="E80" i="32"/>
  <c r="AK149" i="55" a="1"/>
  <c r="AK149" i="55" s="1"/>
  <c r="B151" i="57" s="1"/>
  <c r="O151" i="57" s="1"/>
  <c r="AN135" i="67" a="1"/>
  <c r="AN135" i="67" s="1"/>
  <c r="B136" i="69"/>
  <c r="C135" i="69"/>
  <c r="Q133" i="69"/>
  <c r="AE133" i="69"/>
  <c r="R133" i="69"/>
  <c r="S133" i="69" s="1"/>
  <c r="Y133" i="69" s="1"/>
  <c r="U133" i="69"/>
  <c r="D134" i="69"/>
  <c r="E134" i="69" s="1"/>
  <c r="F134" i="69" s="1"/>
  <c r="G134" i="69" s="1"/>
  <c r="H134" i="69" s="1"/>
  <c r="I134" i="69" s="1"/>
  <c r="J134" i="69" s="1"/>
  <c r="K134" i="69" s="1"/>
  <c r="M134" i="69" s="1"/>
  <c r="N134" i="69"/>
  <c r="AF134" i="69" s="1"/>
  <c r="AL80" i="11" a="1"/>
  <c r="AL80" i="11" s="1"/>
  <c r="E81" i="32" s="1"/>
  <c r="AL90" i="59" a="1"/>
  <c r="AL90" i="59" s="1"/>
  <c r="E91" i="50" s="1"/>
  <c r="AB148" i="57" l="1"/>
  <c r="AA148" i="57"/>
  <c r="AB133" i="69"/>
  <c r="AC133" i="69" s="1"/>
  <c r="AD133" i="69" s="1"/>
  <c r="AG133" i="69"/>
  <c r="AO135" i="69"/>
  <c r="P135" i="69"/>
  <c r="L136" i="69"/>
  <c r="O136" i="69"/>
  <c r="T91" i="50"/>
  <c r="AK91" i="50"/>
  <c r="AF148" i="57"/>
  <c r="AB149" i="53"/>
  <c r="AA149" i="53"/>
  <c r="AC150" i="53"/>
  <c r="AE150" i="53"/>
  <c r="AF149" i="53"/>
  <c r="AK81" i="32"/>
  <c r="T81" i="32"/>
  <c r="AK80" i="32"/>
  <c r="T80" i="32"/>
  <c r="X149" i="57"/>
  <c r="AE150" i="57"/>
  <c r="AC150" i="57"/>
  <c r="AM90" i="50"/>
  <c r="U90" i="50"/>
  <c r="AD89" i="50"/>
  <c r="AG89" i="50" s="1"/>
  <c r="AH89" i="50" s="1"/>
  <c r="AI89" i="50" s="1"/>
  <c r="AP87" i="50"/>
  <c r="R150" i="57"/>
  <c r="R150" i="53"/>
  <c r="X150" i="53" s="1"/>
  <c r="AL88" i="50"/>
  <c r="AX134" i="69"/>
  <c r="AG151" i="57"/>
  <c r="L151" i="57"/>
  <c r="O91" i="50"/>
  <c r="AJ150" i="57"/>
  <c r="AP150" i="57"/>
  <c r="AH150" i="53"/>
  <c r="AT150" i="53"/>
  <c r="AG150" i="53"/>
  <c r="N151" i="57"/>
  <c r="P151" i="53"/>
  <c r="N151" i="53"/>
  <c r="AH134" i="69"/>
  <c r="AJ89" i="50"/>
  <c r="C89" i="50"/>
  <c r="AD150" i="57"/>
  <c r="AD150" i="53"/>
  <c r="V89" i="50"/>
  <c r="S90" i="50"/>
  <c r="Q150" i="53"/>
  <c r="AK150" i="52" a="1"/>
  <c r="AK150" i="52" s="1"/>
  <c r="B152" i="53" s="1"/>
  <c r="O152" i="53" s="1"/>
  <c r="L151" i="53"/>
  <c r="I151" i="53"/>
  <c r="C151" i="53"/>
  <c r="F151" i="53"/>
  <c r="E151" i="53"/>
  <c r="J151" i="53"/>
  <c r="H151" i="53"/>
  <c r="G151" i="53"/>
  <c r="M151" i="53"/>
  <c r="K151" i="53"/>
  <c r="D151" i="53"/>
  <c r="I91" i="50"/>
  <c r="N91" i="50"/>
  <c r="H91" i="50"/>
  <c r="G91" i="50"/>
  <c r="B91" i="50"/>
  <c r="R91" i="50" s="1"/>
  <c r="A91" i="50"/>
  <c r="Q91" i="50" s="1"/>
  <c r="P91" i="50" s="1"/>
  <c r="K91" i="50"/>
  <c r="M91" i="50"/>
  <c r="F91" i="50"/>
  <c r="J91" i="50"/>
  <c r="L91" i="50"/>
  <c r="Z89" i="50"/>
  <c r="W89" i="50"/>
  <c r="X89" i="50" s="1"/>
  <c r="I151" i="57"/>
  <c r="F151" i="57"/>
  <c r="D151" i="57"/>
  <c r="K151" i="57"/>
  <c r="G151" i="57"/>
  <c r="C151" i="57"/>
  <c r="M151" i="57" s="1"/>
  <c r="P151" i="57"/>
  <c r="H151" i="57"/>
  <c r="E151" i="57"/>
  <c r="J151" i="57"/>
  <c r="Q150" i="57"/>
  <c r="T150" i="57" s="1"/>
  <c r="AK150" i="55" a="1"/>
  <c r="AK150" i="55" s="1"/>
  <c r="B152" i="57" s="1"/>
  <c r="O152" i="57" s="1"/>
  <c r="AN136" i="67" a="1"/>
  <c r="AN136" i="67" s="1"/>
  <c r="B137" i="69"/>
  <c r="C136" i="69"/>
  <c r="AE134" i="69"/>
  <c r="R134" i="69"/>
  <c r="S134" i="69" s="1"/>
  <c r="Y134" i="69" s="1"/>
  <c r="AB134" i="69" s="1"/>
  <c r="AC134" i="69" s="1"/>
  <c r="AD134" i="69" s="1"/>
  <c r="Q134" i="69"/>
  <c r="U134" i="69"/>
  <c r="D135" i="69"/>
  <c r="E135" i="69" s="1"/>
  <c r="F135" i="69" s="1"/>
  <c r="G135" i="69" s="1"/>
  <c r="H135" i="69" s="1"/>
  <c r="I135" i="69" s="1"/>
  <c r="J135" i="69" s="1"/>
  <c r="K135" i="69" s="1"/>
  <c r="M135" i="69" s="1"/>
  <c r="N135" i="69"/>
  <c r="AF135" i="69" s="1"/>
  <c r="AL81" i="11" a="1"/>
  <c r="AL81" i="11" s="1"/>
  <c r="E82" i="32" s="1"/>
  <c r="AL91" i="59" a="1"/>
  <c r="AL91" i="59" s="1"/>
  <c r="E92" i="50" s="1"/>
  <c r="AB149" i="57" l="1"/>
  <c r="AA149" i="57"/>
  <c r="AG134" i="69"/>
  <c r="L137" i="69"/>
  <c r="O137" i="69"/>
  <c r="AO136" i="69"/>
  <c r="P136" i="69"/>
  <c r="T92" i="50"/>
  <c r="AK92" i="50"/>
  <c r="AB150" i="53"/>
  <c r="AA150" i="53"/>
  <c r="AF150" i="53"/>
  <c r="AE151" i="53"/>
  <c r="AC151" i="53"/>
  <c r="AK82" i="32"/>
  <c r="T82" i="32"/>
  <c r="X150" i="57"/>
  <c r="AF149" i="57"/>
  <c r="AE151" i="57"/>
  <c r="AC151" i="57"/>
  <c r="AM91" i="50"/>
  <c r="U91" i="50"/>
  <c r="AD90" i="50"/>
  <c r="AG90" i="50" s="1"/>
  <c r="AH90" i="50" s="1"/>
  <c r="AI90" i="50" s="1"/>
  <c r="AP88" i="50"/>
  <c r="R151" i="57"/>
  <c r="R151" i="53"/>
  <c r="X151" i="53" s="1"/>
  <c r="AL89" i="50"/>
  <c r="AX135" i="69"/>
  <c r="AG152" i="57"/>
  <c r="L152" i="57"/>
  <c r="O92" i="50"/>
  <c r="AJ151" i="57"/>
  <c r="AP151" i="57"/>
  <c r="AH151" i="53"/>
  <c r="AT151" i="53"/>
  <c r="AG151" i="53"/>
  <c r="N152" i="57"/>
  <c r="C152" i="53"/>
  <c r="N152" i="53"/>
  <c r="AH135" i="69"/>
  <c r="AJ90" i="50"/>
  <c r="C90" i="50"/>
  <c r="AD151" i="57"/>
  <c r="Q151" i="53"/>
  <c r="AD151" i="53"/>
  <c r="S91" i="50"/>
  <c r="V90" i="50"/>
  <c r="D152" i="53"/>
  <c r="F152" i="53"/>
  <c r="E152" i="53"/>
  <c r="G152" i="53"/>
  <c r="K152" i="53"/>
  <c r="J152" i="53"/>
  <c r="H152" i="53"/>
  <c r="AK151" i="52" a="1"/>
  <c r="AK151" i="52" s="1"/>
  <c r="B153" i="53" s="1"/>
  <c r="O153" i="53" s="1"/>
  <c r="L152" i="53"/>
  <c r="I152" i="53"/>
  <c r="P152" i="53"/>
  <c r="M152" i="53"/>
  <c r="M92" i="50"/>
  <c r="I92" i="50"/>
  <c r="K92" i="50"/>
  <c r="G92" i="50"/>
  <c r="B92" i="50"/>
  <c r="R92" i="50" s="1"/>
  <c r="J92" i="50"/>
  <c r="A92" i="50"/>
  <c r="Q92" i="50" s="1"/>
  <c r="P92" i="50" s="1"/>
  <c r="F92" i="50"/>
  <c r="N92" i="50"/>
  <c r="H92" i="50"/>
  <c r="L92" i="50"/>
  <c r="K152" i="57"/>
  <c r="J152" i="57"/>
  <c r="H152" i="57"/>
  <c r="F152" i="57"/>
  <c r="P152" i="57"/>
  <c r="D152" i="57"/>
  <c r="C152" i="57"/>
  <c r="M152" i="57" s="1"/>
  <c r="I152" i="57"/>
  <c r="E152" i="57"/>
  <c r="G152" i="57"/>
  <c r="Q151" i="57"/>
  <c r="T151" i="57" s="1"/>
  <c r="W90" i="50"/>
  <c r="X90" i="50" s="1"/>
  <c r="Z90" i="50"/>
  <c r="AK151" i="55" a="1"/>
  <c r="AK151" i="55" s="1"/>
  <c r="B153" i="57" s="1"/>
  <c r="O153" i="57" s="1"/>
  <c r="AN137" i="67" a="1"/>
  <c r="AN137" i="67" s="1"/>
  <c r="B138" i="69"/>
  <c r="D136" i="69"/>
  <c r="E136" i="69" s="1"/>
  <c r="F136" i="69" s="1"/>
  <c r="G136" i="69" s="1"/>
  <c r="H136" i="69" s="1"/>
  <c r="I136" i="69" s="1"/>
  <c r="J136" i="69" s="1"/>
  <c r="K136" i="69" s="1"/>
  <c r="M136" i="69" s="1"/>
  <c r="N136" i="69"/>
  <c r="AF136" i="69" s="1"/>
  <c r="U135" i="69"/>
  <c r="AE135" i="69"/>
  <c r="Q135" i="69"/>
  <c r="R135" i="69"/>
  <c r="S135" i="69" s="1"/>
  <c r="Y135" i="69" s="1"/>
  <c r="AB135" i="69" s="1"/>
  <c r="AC135" i="69" s="1"/>
  <c r="AD135" i="69" s="1"/>
  <c r="C137" i="69"/>
  <c r="AL82" i="11" a="1"/>
  <c r="AL82" i="11" s="1"/>
  <c r="E83" i="32" s="1"/>
  <c r="AL92" i="59" a="1"/>
  <c r="AL92" i="59" s="1"/>
  <c r="E93" i="50" s="1"/>
  <c r="AB150" i="57" l="1"/>
  <c r="AA150" i="57"/>
  <c r="AG135" i="69"/>
  <c r="L138" i="69"/>
  <c r="O138" i="69"/>
  <c r="AO137" i="69"/>
  <c r="P137" i="69"/>
  <c r="T93" i="50"/>
  <c r="AK93" i="50"/>
  <c r="X151" i="57"/>
  <c r="AB151" i="53"/>
  <c r="AA151" i="53"/>
  <c r="AC152" i="53"/>
  <c r="AE152" i="53"/>
  <c r="AF151" i="53"/>
  <c r="AK83" i="32"/>
  <c r="T83" i="32"/>
  <c r="AF150" i="57"/>
  <c r="AE152" i="57"/>
  <c r="AC152" i="57"/>
  <c r="AD91" i="50"/>
  <c r="AG91" i="50" s="1"/>
  <c r="AH91" i="50" s="1"/>
  <c r="AI91" i="50" s="1"/>
  <c r="AM92" i="50"/>
  <c r="U92" i="50"/>
  <c r="AP89" i="50"/>
  <c r="R152" i="57"/>
  <c r="R152" i="53"/>
  <c r="X152" i="53" s="1"/>
  <c r="AL90" i="50"/>
  <c r="AX136" i="69"/>
  <c r="AG153" i="57"/>
  <c r="L153" i="57"/>
  <c r="O93" i="50"/>
  <c r="AJ152" i="57"/>
  <c r="AP152" i="57"/>
  <c r="AG152" i="53"/>
  <c r="AH152" i="53"/>
  <c r="AT152" i="53"/>
  <c r="N153" i="57"/>
  <c r="N153" i="53"/>
  <c r="AH136" i="69"/>
  <c r="AJ91" i="50"/>
  <c r="C91" i="50"/>
  <c r="AD152" i="57"/>
  <c r="AD152" i="53"/>
  <c r="V91" i="50"/>
  <c r="S92" i="50"/>
  <c r="Q152" i="53"/>
  <c r="D153" i="53"/>
  <c r="H153" i="53"/>
  <c r="F153" i="53"/>
  <c r="L153" i="53"/>
  <c r="I153" i="53"/>
  <c r="C153" i="53"/>
  <c r="K153" i="53"/>
  <c r="E153" i="53"/>
  <c r="J153" i="53"/>
  <c r="P153" i="53"/>
  <c r="AK152" i="52" a="1"/>
  <c r="AK152" i="52" s="1"/>
  <c r="B154" i="53" s="1"/>
  <c r="O154" i="53" s="1"/>
  <c r="M153" i="53"/>
  <c r="G153" i="53"/>
  <c r="J93" i="50"/>
  <c r="M93" i="50"/>
  <c r="I93" i="50"/>
  <c r="B93" i="50"/>
  <c r="R93" i="50" s="1"/>
  <c r="F93" i="50"/>
  <c r="N93" i="50"/>
  <c r="L93" i="50"/>
  <c r="G93" i="50"/>
  <c r="H93" i="50"/>
  <c r="K93" i="50"/>
  <c r="A93" i="50"/>
  <c r="Q93" i="50" s="1"/>
  <c r="P93" i="50" s="1"/>
  <c r="E153" i="57"/>
  <c r="P153" i="57"/>
  <c r="J153" i="57"/>
  <c r="I153" i="57"/>
  <c r="D153" i="57"/>
  <c r="K153" i="57"/>
  <c r="G153" i="57"/>
  <c r="H153" i="57"/>
  <c r="C153" i="57"/>
  <c r="M153" i="57" s="1"/>
  <c r="F153" i="57"/>
  <c r="Z91" i="50"/>
  <c r="W91" i="50"/>
  <c r="X91" i="50" s="1"/>
  <c r="Q152" i="57"/>
  <c r="T152" i="57" s="1"/>
  <c r="AK152" i="55" a="1"/>
  <c r="AK152" i="55" s="1"/>
  <c r="B154" i="57" s="1"/>
  <c r="O154" i="57" s="1"/>
  <c r="AE136" i="69"/>
  <c r="U136" i="69"/>
  <c r="R136" i="69"/>
  <c r="S136" i="69" s="1"/>
  <c r="Y136" i="69" s="1"/>
  <c r="Q136" i="69"/>
  <c r="C138" i="69"/>
  <c r="N137" i="69"/>
  <c r="AF137" i="69" s="1"/>
  <c r="D137" i="69"/>
  <c r="E137" i="69" s="1"/>
  <c r="F137" i="69" s="1"/>
  <c r="G137" i="69" s="1"/>
  <c r="H137" i="69" s="1"/>
  <c r="I137" i="69" s="1"/>
  <c r="J137" i="69" s="1"/>
  <c r="K137" i="69" s="1"/>
  <c r="M137" i="69" s="1"/>
  <c r="AN138" i="67" a="1"/>
  <c r="AN138" i="67" s="1"/>
  <c r="B139" i="69"/>
  <c r="AL83" i="11" a="1"/>
  <c r="AL83" i="11" s="1"/>
  <c r="E84" i="32" s="1"/>
  <c r="AL93" i="59" a="1"/>
  <c r="AL93" i="59" s="1"/>
  <c r="E94" i="50" s="1"/>
  <c r="AB151" i="57" l="1"/>
  <c r="AA151" i="57"/>
  <c r="AB136" i="69"/>
  <c r="AC136" i="69" s="1"/>
  <c r="AD136" i="69" s="1"/>
  <c r="AG136" i="69"/>
  <c r="AO138" i="69"/>
  <c r="P138" i="69"/>
  <c r="L139" i="69"/>
  <c r="O139" i="69"/>
  <c r="T94" i="50"/>
  <c r="AK94" i="50"/>
  <c r="AF151" i="57"/>
  <c r="X152" i="57"/>
  <c r="AB152" i="53"/>
  <c r="AA152" i="53"/>
  <c r="AF152" i="53"/>
  <c r="AC153" i="53"/>
  <c r="AE153" i="53"/>
  <c r="AK84" i="32"/>
  <c r="T84" i="32"/>
  <c r="AC153" i="57"/>
  <c r="AE153" i="57"/>
  <c r="AM93" i="50"/>
  <c r="U93" i="50"/>
  <c r="AD92" i="50"/>
  <c r="AG92" i="50" s="1"/>
  <c r="AH92" i="50" s="1"/>
  <c r="AI92" i="50" s="1"/>
  <c r="AP90" i="50"/>
  <c r="R153" i="57"/>
  <c r="R153" i="53"/>
  <c r="X153" i="53" s="1"/>
  <c r="AL91" i="50"/>
  <c r="AX137" i="69"/>
  <c r="AG154" i="57"/>
  <c r="L154" i="57"/>
  <c r="O94" i="50"/>
  <c r="AJ153" i="57"/>
  <c r="AP153" i="57"/>
  <c r="AG153" i="53"/>
  <c r="AH153" i="53"/>
  <c r="AT153" i="53"/>
  <c r="N154" i="57"/>
  <c r="P154" i="53"/>
  <c r="N154" i="53"/>
  <c r="AH137" i="69"/>
  <c r="AJ92" i="50"/>
  <c r="C92" i="50"/>
  <c r="AD153" i="57"/>
  <c r="AD153" i="53"/>
  <c r="V92" i="50"/>
  <c r="S93" i="50"/>
  <c r="Q153" i="53"/>
  <c r="AK153" i="52" a="1"/>
  <c r="AK153" i="52" s="1"/>
  <c r="B155" i="53" s="1"/>
  <c r="O155" i="53" s="1"/>
  <c r="D154" i="53"/>
  <c r="M154" i="53"/>
  <c r="H154" i="53"/>
  <c r="E154" i="53"/>
  <c r="F154" i="53"/>
  <c r="L154" i="53"/>
  <c r="C154" i="53"/>
  <c r="G154" i="53"/>
  <c r="J154" i="53"/>
  <c r="I154" i="53"/>
  <c r="K154" i="53"/>
  <c r="F94" i="50"/>
  <c r="J94" i="50"/>
  <c r="K94" i="50"/>
  <c r="M94" i="50"/>
  <c r="A94" i="50"/>
  <c r="Q94" i="50" s="1"/>
  <c r="P94" i="50" s="1"/>
  <c r="L94" i="50"/>
  <c r="B94" i="50"/>
  <c r="R94" i="50" s="1"/>
  <c r="H94" i="50"/>
  <c r="I94" i="50"/>
  <c r="G94" i="50"/>
  <c r="N94" i="50"/>
  <c r="J154" i="57"/>
  <c r="G154" i="57"/>
  <c r="D154" i="57"/>
  <c r="C154" i="57"/>
  <c r="M154" i="57" s="1"/>
  <c r="P154" i="57"/>
  <c r="K154" i="57"/>
  <c r="F154" i="57"/>
  <c r="I154" i="57"/>
  <c r="E154" i="57"/>
  <c r="H154" i="57"/>
  <c r="Q153" i="57"/>
  <c r="T153" i="57" s="1"/>
  <c r="W92" i="50"/>
  <c r="X92" i="50" s="1"/>
  <c r="Z92" i="50"/>
  <c r="AK153" i="55" a="1"/>
  <c r="AK153" i="55" s="1"/>
  <c r="B155" i="57" s="1"/>
  <c r="O155" i="57" s="1"/>
  <c r="C139" i="69"/>
  <c r="N138" i="69"/>
  <c r="AF138" i="69" s="1"/>
  <c r="D138" i="69"/>
  <c r="E138" i="69" s="1"/>
  <c r="F138" i="69" s="1"/>
  <c r="G138" i="69" s="1"/>
  <c r="H138" i="69" s="1"/>
  <c r="I138" i="69" s="1"/>
  <c r="J138" i="69" s="1"/>
  <c r="K138" i="69" s="1"/>
  <c r="M138" i="69" s="1"/>
  <c r="AN139" i="67" a="1"/>
  <c r="AN139" i="67" s="1"/>
  <c r="B140" i="69"/>
  <c r="R137" i="69"/>
  <c r="S137" i="69" s="1"/>
  <c r="Y137" i="69" s="1"/>
  <c r="AB137" i="69" s="1"/>
  <c r="AC137" i="69" s="1"/>
  <c r="AD137" i="69" s="1"/>
  <c r="U137" i="69"/>
  <c r="Q137" i="69"/>
  <c r="AE137" i="69"/>
  <c r="AL84" i="11" a="1"/>
  <c r="AL84" i="11" s="1"/>
  <c r="E85" i="32" s="1"/>
  <c r="AL94" i="59" a="1"/>
  <c r="AL94" i="59" s="1"/>
  <c r="E95" i="50" s="1"/>
  <c r="AF152" i="57" l="1"/>
  <c r="AA152" i="57"/>
  <c r="AG137" i="69"/>
  <c r="L140" i="69"/>
  <c r="O140" i="69"/>
  <c r="AO139" i="69"/>
  <c r="P139" i="69"/>
  <c r="AK95" i="50"/>
  <c r="T95" i="50"/>
  <c r="AB152" i="57"/>
  <c r="AC154" i="53"/>
  <c r="AE154" i="53"/>
  <c r="AF153" i="53"/>
  <c r="AB153" i="53"/>
  <c r="AA153" i="53"/>
  <c r="AK85" i="32"/>
  <c r="T85" i="32"/>
  <c r="X153" i="57"/>
  <c r="AE154" i="57"/>
  <c r="AC154" i="57"/>
  <c r="AM94" i="50"/>
  <c r="U94" i="50"/>
  <c r="AD93" i="50"/>
  <c r="AG93" i="50" s="1"/>
  <c r="AH93" i="50" s="1"/>
  <c r="AI93" i="50" s="1"/>
  <c r="AP91" i="50"/>
  <c r="R154" i="57"/>
  <c r="R154" i="53"/>
  <c r="X154" i="53" s="1"/>
  <c r="AL92" i="50"/>
  <c r="AX138" i="69"/>
  <c r="AG155" i="57"/>
  <c r="L155" i="57"/>
  <c r="O95" i="50"/>
  <c r="AJ154" i="57"/>
  <c r="AP154" i="57"/>
  <c r="AH154" i="53"/>
  <c r="AT154" i="53"/>
  <c r="AG154" i="53"/>
  <c r="N155" i="57"/>
  <c r="P155" i="53"/>
  <c r="N155" i="53"/>
  <c r="AH138" i="69"/>
  <c r="AJ93" i="50"/>
  <c r="C93" i="50"/>
  <c r="AD154" i="57"/>
  <c r="AD154" i="53"/>
  <c r="V93" i="50"/>
  <c r="S94" i="50"/>
  <c r="AK154" i="52" a="1"/>
  <c r="AK154" i="52" s="1"/>
  <c r="B156" i="53" s="1"/>
  <c r="O156" i="53" s="1"/>
  <c r="Q154" i="53"/>
  <c r="M155" i="53"/>
  <c r="C155" i="53"/>
  <c r="H155" i="53"/>
  <c r="I155" i="53"/>
  <c r="K155" i="53"/>
  <c r="E155" i="53"/>
  <c r="D155" i="53"/>
  <c r="L155" i="53"/>
  <c r="F155" i="53"/>
  <c r="J155" i="53"/>
  <c r="G155" i="53"/>
  <c r="B95" i="50"/>
  <c r="R95" i="50" s="1"/>
  <c r="L95" i="50"/>
  <c r="A95" i="50"/>
  <c r="Q95" i="50" s="1"/>
  <c r="P95" i="50" s="1"/>
  <c r="J95" i="50"/>
  <c r="F95" i="50"/>
  <c r="M95" i="50"/>
  <c r="N95" i="50"/>
  <c r="I95" i="50"/>
  <c r="K95" i="50"/>
  <c r="G95" i="50"/>
  <c r="H95" i="50"/>
  <c r="J155" i="57"/>
  <c r="I155" i="57"/>
  <c r="F155" i="57"/>
  <c r="E155" i="57"/>
  <c r="D155" i="57"/>
  <c r="P155" i="57"/>
  <c r="C155" i="57"/>
  <c r="M155" i="57" s="1"/>
  <c r="H155" i="57"/>
  <c r="K155" i="57"/>
  <c r="G155" i="57"/>
  <c r="Q154" i="57"/>
  <c r="T154" i="57" s="1"/>
  <c r="Z93" i="50"/>
  <c r="W93" i="50"/>
  <c r="X93" i="50" s="1"/>
  <c r="AK154" i="55" a="1"/>
  <c r="AK154" i="55" s="1"/>
  <c r="B156" i="57" s="1"/>
  <c r="O156" i="57" s="1"/>
  <c r="Q138" i="69"/>
  <c r="R138" i="69"/>
  <c r="S138" i="69" s="1"/>
  <c r="Y138" i="69" s="1"/>
  <c r="AE138" i="69"/>
  <c r="U138" i="69"/>
  <c r="AN140" i="67" a="1"/>
  <c r="AN140" i="67" s="1"/>
  <c r="B141" i="69"/>
  <c r="C140" i="69"/>
  <c r="D139" i="69"/>
  <c r="E139" i="69" s="1"/>
  <c r="F139" i="69" s="1"/>
  <c r="G139" i="69" s="1"/>
  <c r="H139" i="69" s="1"/>
  <c r="I139" i="69" s="1"/>
  <c r="J139" i="69" s="1"/>
  <c r="K139" i="69" s="1"/>
  <c r="M139" i="69" s="1"/>
  <c r="N139" i="69"/>
  <c r="AF139" i="69" s="1"/>
  <c r="AL85" i="11" a="1"/>
  <c r="AL85" i="11" s="1"/>
  <c r="E86" i="32" s="1"/>
  <c r="AL95" i="59" a="1"/>
  <c r="AL95" i="59" s="1"/>
  <c r="E96" i="50" s="1"/>
  <c r="AB153" i="57" l="1"/>
  <c r="AA153" i="57"/>
  <c r="AB138" i="69"/>
  <c r="AC138" i="69" s="1"/>
  <c r="AD138" i="69" s="1"/>
  <c r="AG138" i="69"/>
  <c r="AO140" i="69"/>
  <c r="P140" i="69"/>
  <c r="L141" i="69"/>
  <c r="O141" i="69"/>
  <c r="AK96" i="50"/>
  <c r="T96" i="50"/>
  <c r="AB154" i="53"/>
  <c r="AA154" i="53"/>
  <c r="AE155" i="53"/>
  <c r="AC155" i="53"/>
  <c r="AF154" i="53"/>
  <c r="AK86" i="32"/>
  <c r="T86" i="32"/>
  <c r="AF153" i="57"/>
  <c r="X154" i="57"/>
  <c r="AA154" i="57" s="1"/>
  <c r="AE155" i="57"/>
  <c r="AC155" i="57"/>
  <c r="AM95" i="50"/>
  <c r="U95" i="50"/>
  <c r="AD94" i="50"/>
  <c r="AG94" i="50" s="1"/>
  <c r="AH94" i="50" s="1"/>
  <c r="AI94" i="50" s="1"/>
  <c r="AP92" i="50"/>
  <c r="R155" i="57"/>
  <c r="R155" i="53"/>
  <c r="X155" i="53" s="1"/>
  <c r="AL93" i="50"/>
  <c r="AX139" i="69"/>
  <c r="AG156" i="57"/>
  <c r="L156" i="57"/>
  <c r="O96" i="50"/>
  <c r="AJ155" i="57"/>
  <c r="AP155" i="57"/>
  <c r="AH155" i="53"/>
  <c r="AT155" i="53"/>
  <c r="AG155" i="53"/>
  <c r="N156" i="57"/>
  <c r="M156" i="53"/>
  <c r="N156" i="53"/>
  <c r="AH139" i="69"/>
  <c r="AJ94" i="50"/>
  <c r="C94" i="50"/>
  <c r="AD155" i="57"/>
  <c r="Q155" i="53"/>
  <c r="AD155" i="53"/>
  <c r="V94" i="50"/>
  <c r="S95" i="50"/>
  <c r="L156" i="53"/>
  <c r="P156" i="53"/>
  <c r="C156" i="53"/>
  <c r="E156" i="53"/>
  <c r="G156" i="53"/>
  <c r="H156" i="53"/>
  <c r="D156" i="53"/>
  <c r="I156" i="53"/>
  <c r="K156" i="53"/>
  <c r="AK155" i="52" a="1"/>
  <c r="AK155" i="52" s="1"/>
  <c r="B157" i="53" s="1"/>
  <c r="O157" i="53" s="1"/>
  <c r="J156" i="53"/>
  <c r="F156" i="53"/>
  <c r="L96" i="50"/>
  <c r="H96" i="50"/>
  <c r="A96" i="50"/>
  <c r="Q96" i="50" s="1"/>
  <c r="P96" i="50" s="1"/>
  <c r="K96" i="50"/>
  <c r="B96" i="50"/>
  <c r="R96" i="50" s="1"/>
  <c r="I96" i="50"/>
  <c r="M96" i="50"/>
  <c r="F96" i="50"/>
  <c r="G96" i="50"/>
  <c r="J96" i="50"/>
  <c r="N96" i="50"/>
  <c r="Q155" i="57"/>
  <c r="T155" i="57" s="1"/>
  <c r="Z94" i="50"/>
  <c r="W94" i="50"/>
  <c r="X94" i="50" s="1"/>
  <c r="P156" i="57"/>
  <c r="K156" i="57"/>
  <c r="H156" i="57"/>
  <c r="F156" i="57"/>
  <c r="C156" i="57"/>
  <c r="M156" i="57" s="1"/>
  <c r="I156" i="57"/>
  <c r="E156" i="57"/>
  <c r="G156" i="57"/>
  <c r="D156" i="57"/>
  <c r="J156" i="57"/>
  <c r="AK155" i="55" a="1"/>
  <c r="AK155" i="55" s="1"/>
  <c r="B157" i="57" s="1"/>
  <c r="O157" i="57" s="1"/>
  <c r="C141" i="69"/>
  <c r="U139" i="69"/>
  <c r="Q139" i="69"/>
  <c r="AE139" i="69"/>
  <c r="R139" i="69"/>
  <c r="S139" i="69" s="1"/>
  <c r="Y139" i="69" s="1"/>
  <c r="AB139" i="69" s="1"/>
  <c r="AC139" i="69" s="1"/>
  <c r="AD139" i="69" s="1"/>
  <c r="D140" i="69"/>
  <c r="E140" i="69" s="1"/>
  <c r="F140" i="69" s="1"/>
  <c r="G140" i="69" s="1"/>
  <c r="H140" i="69" s="1"/>
  <c r="I140" i="69" s="1"/>
  <c r="J140" i="69" s="1"/>
  <c r="K140" i="69" s="1"/>
  <c r="M140" i="69" s="1"/>
  <c r="N140" i="69"/>
  <c r="AF140" i="69" s="1"/>
  <c r="AN141" i="67" a="1"/>
  <c r="AN141" i="67" s="1"/>
  <c r="B142" i="69"/>
  <c r="AL86" i="11" a="1"/>
  <c r="AL86" i="11" s="1"/>
  <c r="E87" i="32" s="1"/>
  <c r="AL96" i="59" a="1"/>
  <c r="AL96" i="59" s="1"/>
  <c r="E97" i="50" s="1"/>
  <c r="AG139" i="69" l="1"/>
  <c r="L142" i="69"/>
  <c r="O142" i="69"/>
  <c r="AO141" i="69"/>
  <c r="P141" i="69"/>
  <c r="T97" i="50"/>
  <c r="AK97" i="50"/>
  <c r="X155" i="57"/>
  <c r="AA155" i="57" s="1"/>
  <c r="AB155" i="53"/>
  <c r="AA155" i="53"/>
  <c r="AC156" i="53"/>
  <c r="AE156" i="53"/>
  <c r="AF155" i="53"/>
  <c r="AK87" i="32"/>
  <c r="T87" i="32"/>
  <c r="AB154" i="57"/>
  <c r="AF154" i="57"/>
  <c r="AE156" i="57"/>
  <c r="AC156" i="57"/>
  <c r="AM96" i="50"/>
  <c r="U96" i="50"/>
  <c r="AD95" i="50"/>
  <c r="AG95" i="50" s="1"/>
  <c r="AH95" i="50" s="1"/>
  <c r="AI95" i="50" s="1"/>
  <c r="AP93" i="50"/>
  <c r="R156" i="57"/>
  <c r="R156" i="53"/>
  <c r="X156" i="53" s="1"/>
  <c r="AL94" i="50"/>
  <c r="AX140" i="69"/>
  <c r="AG157" i="57"/>
  <c r="L157" i="57"/>
  <c r="O97" i="50"/>
  <c r="AJ156" i="57"/>
  <c r="AP156" i="57"/>
  <c r="AD156" i="53"/>
  <c r="AH156" i="53"/>
  <c r="AT156" i="53"/>
  <c r="AG156" i="53"/>
  <c r="N157" i="57"/>
  <c r="I157" i="53"/>
  <c r="N157" i="53"/>
  <c r="Q156" i="53"/>
  <c r="AH140" i="69"/>
  <c r="AJ95" i="50"/>
  <c r="C95" i="50"/>
  <c r="AD156" i="57"/>
  <c r="V95" i="50"/>
  <c r="S96" i="50"/>
  <c r="K157" i="53"/>
  <c r="P157" i="53"/>
  <c r="J157" i="53"/>
  <c r="F157" i="53"/>
  <c r="D157" i="53"/>
  <c r="E157" i="53"/>
  <c r="M157" i="53"/>
  <c r="C157" i="53"/>
  <c r="H157" i="53"/>
  <c r="AK156" i="52" a="1"/>
  <c r="AK156" i="52" s="1"/>
  <c r="B158" i="53" s="1"/>
  <c r="O158" i="53" s="1"/>
  <c r="G157" i="53"/>
  <c r="L157" i="53"/>
  <c r="I97" i="50"/>
  <c r="L97" i="50"/>
  <c r="K97" i="50"/>
  <c r="M97" i="50"/>
  <c r="H97" i="50"/>
  <c r="B97" i="50"/>
  <c r="R97" i="50" s="1"/>
  <c r="J97" i="50"/>
  <c r="A97" i="50"/>
  <c r="Q97" i="50" s="1"/>
  <c r="P97" i="50" s="1"/>
  <c r="N97" i="50"/>
  <c r="G97" i="50"/>
  <c r="F97" i="50"/>
  <c r="Z95" i="50"/>
  <c r="W95" i="50"/>
  <c r="X95" i="50" s="1"/>
  <c r="P157" i="57"/>
  <c r="J157" i="57"/>
  <c r="H157" i="57"/>
  <c r="E157" i="57"/>
  <c r="C157" i="57"/>
  <c r="M157" i="57" s="1"/>
  <c r="I157" i="57"/>
  <c r="D157" i="57"/>
  <c r="F157" i="57"/>
  <c r="K157" i="57"/>
  <c r="G157" i="57"/>
  <c r="Q156" i="57"/>
  <c r="T156" i="57" s="1"/>
  <c r="AK156" i="55" a="1"/>
  <c r="AK156" i="55" s="1"/>
  <c r="B158" i="57" s="1"/>
  <c r="O158" i="57" s="1"/>
  <c r="C142" i="69"/>
  <c r="N141" i="69"/>
  <c r="AF141" i="69" s="1"/>
  <c r="D141" i="69"/>
  <c r="E141" i="69" s="1"/>
  <c r="F141" i="69" s="1"/>
  <c r="G141" i="69" s="1"/>
  <c r="H141" i="69" s="1"/>
  <c r="I141" i="69" s="1"/>
  <c r="J141" i="69" s="1"/>
  <c r="K141" i="69" s="1"/>
  <c r="M141" i="69" s="1"/>
  <c r="U140" i="69"/>
  <c r="AE140" i="69"/>
  <c r="Q140" i="69"/>
  <c r="R140" i="69"/>
  <c r="S140" i="69" s="1"/>
  <c r="Y140" i="69" s="1"/>
  <c r="AN142" i="67" a="1"/>
  <c r="AN142" i="67" s="1"/>
  <c r="B143" i="69"/>
  <c r="AL87" i="11" a="1"/>
  <c r="AL87" i="11" s="1"/>
  <c r="E88" i="32" s="1"/>
  <c r="AL97" i="59" a="1"/>
  <c r="AL97" i="59" s="1"/>
  <c r="E98" i="50" s="1"/>
  <c r="B3" i="36"/>
  <c r="AB140" i="69" l="1"/>
  <c r="AC140" i="69" s="1"/>
  <c r="AD140" i="69" s="1"/>
  <c r="AG140" i="69"/>
  <c r="L143" i="69"/>
  <c r="O143" i="69"/>
  <c r="AO142" i="69"/>
  <c r="P142" i="69"/>
  <c r="T98" i="50"/>
  <c r="AK98" i="50"/>
  <c r="X156" i="57"/>
  <c r="AB155" i="57"/>
  <c r="AF155" i="57"/>
  <c r="AB156" i="53"/>
  <c r="AA156" i="53"/>
  <c r="AC157" i="53"/>
  <c r="AE157" i="53"/>
  <c r="AF156" i="53"/>
  <c r="AK88" i="32"/>
  <c r="T88" i="32"/>
  <c r="AC157" i="57"/>
  <c r="AE157" i="57"/>
  <c r="AM97" i="50"/>
  <c r="U97" i="50"/>
  <c r="AD96" i="50"/>
  <c r="AG96" i="50" s="1"/>
  <c r="AH96" i="50" s="1"/>
  <c r="AI96" i="50" s="1"/>
  <c r="AP94" i="50"/>
  <c r="R157" i="57"/>
  <c r="R157" i="53"/>
  <c r="X157" i="53" s="1"/>
  <c r="AL95" i="50"/>
  <c r="AX141" i="69"/>
  <c r="AG158" i="57"/>
  <c r="L158" i="57"/>
  <c r="O98" i="50"/>
  <c r="AJ157" i="57"/>
  <c r="AP157" i="57"/>
  <c r="AG157" i="53"/>
  <c r="AH157" i="53"/>
  <c r="AT157" i="53"/>
  <c r="N158" i="57"/>
  <c r="N158" i="53"/>
  <c r="AH141" i="69"/>
  <c r="AJ96" i="50"/>
  <c r="C96" i="50"/>
  <c r="AD157" i="57"/>
  <c r="AD157" i="53"/>
  <c r="V96" i="50"/>
  <c r="S97" i="50"/>
  <c r="Q157" i="53"/>
  <c r="I158" i="53"/>
  <c r="D158" i="53"/>
  <c r="H158" i="53"/>
  <c r="AK157" i="52" a="1"/>
  <c r="AK157" i="52" s="1"/>
  <c r="B159" i="53" s="1"/>
  <c r="O159" i="53" s="1"/>
  <c r="M158" i="53"/>
  <c r="G158" i="53"/>
  <c r="K158" i="53"/>
  <c r="F158" i="53"/>
  <c r="C158" i="53"/>
  <c r="P158" i="53"/>
  <c r="L158" i="53"/>
  <c r="J158" i="53"/>
  <c r="E158" i="53"/>
  <c r="K98" i="50"/>
  <c r="M98" i="50"/>
  <c r="A98" i="50"/>
  <c r="Q98" i="50" s="1"/>
  <c r="P98" i="50" s="1"/>
  <c r="G98" i="50"/>
  <c r="F98" i="50"/>
  <c r="J98" i="50"/>
  <c r="I98" i="50"/>
  <c r="B98" i="50"/>
  <c r="R98" i="50" s="1"/>
  <c r="L98" i="50"/>
  <c r="H98" i="50"/>
  <c r="N98" i="50"/>
  <c r="J158" i="57"/>
  <c r="D158" i="57"/>
  <c r="P158" i="57"/>
  <c r="K158" i="57"/>
  <c r="F158" i="57"/>
  <c r="H158" i="57"/>
  <c r="C158" i="57"/>
  <c r="M158" i="57" s="1"/>
  <c r="I158" i="57"/>
  <c r="G158" i="57"/>
  <c r="E158" i="57"/>
  <c r="W96" i="50"/>
  <c r="X96" i="50" s="1"/>
  <c r="Z96" i="50"/>
  <c r="Q157" i="57"/>
  <c r="T157" i="57" s="1"/>
  <c r="AK157" i="55" a="1"/>
  <c r="AK157" i="55" s="1"/>
  <c r="B159" i="57" s="1"/>
  <c r="O159" i="57" s="1"/>
  <c r="AN143" i="67" a="1"/>
  <c r="AN143" i="67" s="1"/>
  <c r="B144" i="69"/>
  <c r="AE141" i="69"/>
  <c r="U141" i="69"/>
  <c r="R141" i="69"/>
  <c r="S141" i="69" s="1"/>
  <c r="Y141" i="69" s="1"/>
  <c r="Q141" i="69"/>
  <c r="D142" i="69"/>
  <c r="E142" i="69" s="1"/>
  <c r="F142" i="69" s="1"/>
  <c r="G142" i="69" s="1"/>
  <c r="H142" i="69" s="1"/>
  <c r="I142" i="69" s="1"/>
  <c r="J142" i="69" s="1"/>
  <c r="K142" i="69" s="1"/>
  <c r="M142" i="69" s="1"/>
  <c r="N142" i="69"/>
  <c r="AF142" i="69" s="1"/>
  <c r="C143" i="69"/>
  <c r="AL88" i="11" a="1"/>
  <c r="AL88" i="11" s="1"/>
  <c r="E89" i="32" s="1"/>
  <c r="AL98" i="59" a="1"/>
  <c r="AL98" i="59" s="1"/>
  <c r="E99" i="50" s="1"/>
  <c r="E3" i="32"/>
  <c r="AB156" i="57" l="1"/>
  <c r="AA156" i="57"/>
  <c r="AB141" i="69"/>
  <c r="AC141" i="69" s="1"/>
  <c r="AD141" i="69" s="1"/>
  <c r="AG141" i="69"/>
  <c r="L144" i="69"/>
  <c r="O144" i="69"/>
  <c r="AO143" i="69"/>
  <c r="P143" i="69"/>
  <c r="T99" i="50"/>
  <c r="AK99" i="50"/>
  <c r="AF156" i="57"/>
  <c r="X157" i="57"/>
  <c r="AC158" i="53"/>
  <c r="AE158" i="53"/>
  <c r="AF157" i="53"/>
  <c r="AB157" i="53"/>
  <c r="AA157" i="53"/>
  <c r="AK89" i="32"/>
  <c r="T89" i="32"/>
  <c r="AE158" i="57"/>
  <c r="AC158" i="57"/>
  <c r="U98" i="50"/>
  <c r="AM98" i="50"/>
  <c r="AD97" i="50"/>
  <c r="AG97" i="50" s="1"/>
  <c r="AH97" i="50" s="1"/>
  <c r="AI97" i="50" s="1"/>
  <c r="AP95" i="50"/>
  <c r="R158" i="57"/>
  <c r="R158" i="53"/>
  <c r="X158" i="53" s="1"/>
  <c r="AL96" i="50"/>
  <c r="AX142" i="69"/>
  <c r="AG159" i="57"/>
  <c r="L159" i="57"/>
  <c r="O99" i="50"/>
  <c r="AJ158" i="57"/>
  <c r="AP158" i="57"/>
  <c r="AH158" i="53"/>
  <c r="AT158" i="53"/>
  <c r="AG158" i="53"/>
  <c r="N159" i="57"/>
  <c r="D159" i="53"/>
  <c r="N159" i="53"/>
  <c r="AH142" i="69"/>
  <c r="AJ97" i="50"/>
  <c r="C97" i="50"/>
  <c r="AD158" i="57"/>
  <c r="AD158" i="53"/>
  <c r="V97" i="50"/>
  <c r="S98" i="50"/>
  <c r="Q158" i="53"/>
  <c r="AK158" i="52" a="1"/>
  <c r="AK158" i="52" s="1"/>
  <c r="B160" i="53" s="1"/>
  <c r="O160" i="53" s="1"/>
  <c r="C159" i="53"/>
  <c r="I159" i="53"/>
  <c r="H159" i="53"/>
  <c r="L159" i="53"/>
  <c r="G159" i="53"/>
  <c r="E159" i="53"/>
  <c r="F159" i="53"/>
  <c r="K159" i="53"/>
  <c r="M159" i="53"/>
  <c r="P159" i="53"/>
  <c r="J159" i="53"/>
  <c r="K99" i="50"/>
  <c r="I99" i="50"/>
  <c r="N99" i="50"/>
  <c r="B99" i="50"/>
  <c r="R99" i="50" s="1"/>
  <c r="J99" i="50"/>
  <c r="G99" i="50"/>
  <c r="M99" i="50"/>
  <c r="H99" i="50"/>
  <c r="A99" i="50"/>
  <c r="Q99" i="50" s="1"/>
  <c r="P99" i="50" s="1"/>
  <c r="L99" i="50"/>
  <c r="F99" i="50"/>
  <c r="Q158" i="57"/>
  <c r="T158" i="57" s="1"/>
  <c r="D159" i="57"/>
  <c r="I159" i="57"/>
  <c r="F159" i="57"/>
  <c r="H159" i="57"/>
  <c r="K159" i="57"/>
  <c r="G159" i="57"/>
  <c r="C159" i="57"/>
  <c r="M159" i="57" s="1"/>
  <c r="J159" i="57"/>
  <c r="E159" i="57"/>
  <c r="P159" i="57"/>
  <c r="Z97" i="50"/>
  <c r="W97" i="50"/>
  <c r="X97" i="50" s="1"/>
  <c r="AK158" i="55" a="1"/>
  <c r="AK158" i="55" s="1"/>
  <c r="B160" i="57" s="1"/>
  <c r="O160" i="57" s="1"/>
  <c r="D143" i="69"/>
  <c r="E143" i="69" s="1"/>
  <c r="F143" i="69" s="1"/>
  <c r="G143" i="69" s="1"/>
  <c r="H143" i="69" s="1"/>
  <c r="I143" i="69" s="1"/>
  <c r="J143" i="69" s="1"/>
  <c r="K143" i="69" s="1"/>
  <c r="M143" i="69" s="1"/>
  <c r="N143" i="69"/>
  <c r="AF143" i="69" s="1"/>
  <c r="C144" i="69"/>
  <c r="Q142" i="69"/>
  <c r="AE142" i="69"/>
  <c r="U142" i="69"/>
  <c r="R142" i="69"/>
  <c r="S142" i="69" s="1"/>
  <c r="Y142" i="69" s="1"/>
  <c r="AB142" i="69" s="1"/>
  <c r="AC142" i="69" s="1"/>
  <c r="AD142" i="69" s="1"/>
  <c r="AN144" i="67" a="1"/>
  <c r="AN144" i="67" s="1"/>
  <c r="B145" i="69"/>
  <c r="AL89" i="11" a="1"/>
  <c r="AL89" i="11" s="1"/>
  <c r="E90" i="32" s="1"/>
  <c r="AL99" i="59" a="1"/>
  <c r="AL99" i="59" s="1"/>
  <c r="E100" i="50" s="1"/>
  <c r="AB157" i="57" l="1"/>
  <c r="AA157" i="57"/>
  <c r="X158" i="57"/>
  <c r="L145" i="69"/>
  <c r="O145" i="69"/>
  <c r="AO144" i="69"/>
  <c r="P144" i="69"/>
  <c r="AG142" i="69"/>
  <c r="T100" i="50"/>
  <c r="AK100" i="50"/>
  <c r="AF157" i="57"/>
  <c r="AB158" i="53"/>
  <c r="AA158" i="53"/>
  <c r="AE159" i="53"/>
  <c r="AC159" i="53"/>
  <c r="AF158" i="53"/>
  <c r="AK90" i="32"/>
  <c r="T90" i="32"/>
  <c r="AE159" i="57"/>
  <c r="AC159" i="57"/>
  <c r="AD98" i="50"/>
  <c r="AG98" i="50" s="1"/>
  <c r="AH98" i="50" s="1"/>
  <c r="AI98" i="50" s="1"/>
  <c r="AM99" i="50"/>
  <c r="U99" i="50"/>
  <c r="AP96" i="50"/>
  <c r="R159" i="57"/>
  <c r="R159" i="53"/>
  <c r="X159" i="53" s="1"/>
  <c r="AL97" i="50"/>
  <c r="AX143" i="69"/>
  <c r="AG160" i="57"/>
  <c r="L160" i="57"/>
  <c r="O100" i="50"/>
  <c r="AJ159" i="57"/>
  <c r="AP159" i="57"/>
  <c r="AG159" i="53"/>
  <c r="AH159" i="53"/>
  <c r="AT159" i="53"/>
  <c r="N160" i="57"/>
  <c r="N160" i="53"/>
  <c r="AH143" i="69"/>
  <c r="AJ98" i="50"/>
  <c r="C98" i="50"/>
  <c r="AD159" i="57"/>
  <c r="AD159" i="53"/>
  <c r="Q159" i="53"/>
  <c r="S99" i="50"/>
  <c r="V98" i="50"/>
  <c r="AK159" i="52" a="1"/>
  <c r="AK159" i="52" s="1"/>
  <c r="B161" i="53" s="1"/>
  <c r="O161" i="53" s="1"/>
  <c r="D160" i="53"/>
  <c r="E160" i="53"/>
  <c r="L160" i="53"/>
  <c r="J160" i="53"/>
  <c r="G160" i="53"/>
  <c r="K160" i="53"/>
  <c r="P160" i="53"/>
  <c r="C160" i="53"/>
  <c r="I160" i="53"/>
  <c r="H160" i="53"/>
  <c r="F160" i="53"/>
  <c r="M160" i="53"/>
  <c r="I100" i="50"/>
  <c r="M100" i="50"/>
  <c r="K100" i="50"/>
  <c r="G100" i="50"/>
  <c r="B100" i="50"/>
  <c r="R100" i="50" s="1"/>
  <c r="H100" i="50"/>
  <c r="A100" i="50"/>
  <c r="Q100" i="50" s="1"/>
  <c r="P100" i="50" s="1"/>
  <c r="J100" i="50"/>
  <c r="L100" i="50"/>
  <c r="N100" i="50"/>
  <c r="F100" i="50"/>
  <c r="Q159" i="57"/>
  <c r="T159" i="57" s="1"/>
  <c r="K160" i="57"/>
  <c r="J160" i="57"/>
  <c r="H160" i="57"/>
  <c r="F160" i="57"/>
  <c r="D160" i="57"/>
  <c r="P160" i="57"/>
  <c r="C160" i="57"/>
  <c r="M160" i="57" s="1"/>
  <c r="I160" i="57"/>
  <c r="E160" i="57"/>
  <c r="G160" i="57"/>
  <c r="Z98" i="50"/>
  <c r="W98" i="50"/>
  <c r="X98" i="50" s="1"/>
  <c r="AK159" i="55" a="1"/>
  <c r="AK159" i="55" s="1"/>
  <c r="B161" i="57" s="1"/>
  <c r="O161" i="57" s="1"/>
  <c r="C145" i="69"/>
  <c r="AE143" i="69"/>
  <c r="U143" i="69"/>
  <c r="Q143" i="69"/>
  <c r="R143" i="69"/>
  <c r="S143" i="69" s="1"/>
  <c r="Y143" i="69" s="1"/>
  <c r="AB143" i="69" s="1"/>
  <c r="AC143" i="69" s="1"/>
  <c r="AD143" i="69" s="1"/>
  <c r="AN145" i="67" a="1"/>
  <c r="AN145" i="67" s="1"/>
  <c r="B146" i="69"/>
  <c r="N144" i="69"/>
  <c r="AF144" i="69" s="1"/>
  <c r="D144" i="69"/>
  <c r="E144" i="69" s="1"/>
  <c r="F144" i="69" s="1"/>
  <c r="G144" i="69" s="1"/>
  <c r="H144" i="69" s="1"/>
  <c r="I144" i="69" s="1"/>
  <c r="J144" i="69" s="1"/>
  <c r="K144" i="69" s="1"/>
  <c r="M144" i="69" s="1"/>
  <c r="AL90" i="11" a="1"/>
  <c r="AL90" i="11" s="1"/>
  <c r="E91" i="32" s="1"/>
  <c r="AL100" i="59" a="1"/>
  <c r="AL100" i="59" s="1"/>
  <c r="E101" i="50" s="1"/>
  <c r="AB158" i="57" l="1"/>
  <c r="AA158" i="57"/>
  <c r="X159" i="57"/>
  <c r="AF158" i="57"/>
  <c r="L146" i="69"/>
  <c r="O146" i="69"/>
  <c r="AO145" i="69"/>
  <c r="P145" i="69"/>
  <c r="AG143" i="69"/>
  <c r="T101" i="50"/>
  <c r="AK101" i="50"/>
  <c r="AB159" i="53"/>
  <c r="AA159" i="53"/>
  <c r="AC160" i="53"/>
  <c r="AE160" i="53"/>
  <c r="AF159" i="53"/>
  <c r="AK91" i="32"/>
  <c r="T91" i="32"/>
  <c r="AE160" i="57"/>
  <c r="AC160" i="57"/>
  <c r="AD99" i="50"/>
  <c r="AG99" i="50" s="1"/>
  <c r="AH99" i="50" s="1"/>
  <c r="AI99" i="50" s="1"/>
  <c r="AM100" i="50"/>
  <c r="U100" i="50"/>
  <c r="AP97" i="50"/>
  <c r="R160" i="57"/>
  <c r="R160" i="53"/>
  <c r="X160" i="53" s="1"/>
  <c r="AL98" i="50"/>
  <c r="AX144" i="69"/>
  <c r="AG161" i="57"/>
  <c r="L161" i="57"/>
  <c r="O101" i="50"/>
  <c r="AJ160" i="57"/>
  <c r="AP160" i="57"/>
  <c r="AG160" i="53"/>
  <c r="AH160" i="53"/>
  <c r="AT160" i="53"/>
  <c r="N161" i="57"/>
  <c r="N161" i="53"/>
  <c r="AH144" i="69"/>
  <c r="AJ99" i="50"/>
  <c r="C99" i="50"/>
  <c r="AD160" i="57"/>
  <c r="AD160" i="53"/>
  <c r="Q160" i="53"/>
  <c r="V99" i="50"/>
  <c r="S100" i="50"/>
  <c r="M161" i="53"/>
  <c r="P161" i="53"/>
  <c r="F161" i="53"/>
  <c r="C161" i="53"/>
  <c r="J161" i="53"/>
  <c r="I161" i="53"/>
  <c r="G161" i="53"/>
  <c r="H161" i="53"/>
  <c r="D161" i="53"/>
  <c r="AK160" i="52" a="1"/>
  <c r="AK160" i="52" s="1"/>
  <c r="B162" i="53" s="1"/>
  <c r="O162" i="53" s="1"/>
  <c r="E161" i="53"/>
  <c r="K161" i="53"/>
  <c r="L161" i="53"/>
  <c r="J101" i="50"/>
  <c r="M101" i="50"/>
  <c r="I101" i="50"/>
  <c r="G101" i="50"/>
  <c r="F101" i="50"/>
  <c r="L101" i="50"/>
  <c r="N101" i="50"/>
  <c r="B101" i="50"/>
  <c r="R101" i="50" s="1"/>
  <c r="H101" i="50"/>
  <c r="K101" i="50"/>
  <c r="A101" i="50"/>
  <c r="Q101" i="50" s="1"/>
  <c r="P101" i="50" s="1"/>
  <c r="Z99" i="50"/>
  <c r="W99" i="50"/>
  <c r="X99" i="50" s="1"/>
  <c r="P161" i="57"/>
  <c r="J161" i="57"/>
  <c r="E161" i="57"/>
  <c r="K161" i="57"/>
  <c r="G161" i="57"/>
  <c r="C161" i="57"/>
  <c r="M161" i="57" s="1"/>
  <c r="F161" i="57"/>
  <c r="I161" i="57"/>
  <c r="H161" i="57"/>
  <c r="D161" i="57"/>
  <c r="Q160" i="57"/>
  <c r="T160" i="57" s="1"/>
  <c r="AK160" i="55" a="1"/>
  <c r="AK160" i="55" s="1"/>
  <c r="B162" i="57" s="1"/>
  <c r="O162" i="57" s="1"/>
  <c r="Q144" i="69"/>
  <c r="AE144" i="69"/>
  <c r="U144" i="69"/>
  <c r="R144" i="69"/>
  <c r="S144" i="69" s="1"/>
  <c r="Y144" i="69" s="1"/>
  <c r="C146" i="69"/>
  <c r="D145" i="69"/>
  <c r="E145" i="69" s="1"/>
  <c r="F145" i="69" s="1"/>
  <c r="G145" i="69" s="1"/>
  <c r="H145" i="69" s="1"/>
  <c r="I145" i="69" s="1"/>
  <c r="J145" i="69" s="1"/>
  <c r="K145" i="69" s="1"/>
  <c r="M145" i="69" s="1"/>
  <c r="N145" i="69"/>
  <c r="AF145" i="69" s="1"/>
  <c r="AN146" i="67" a="1"/>
  <c r="AN146" i="67" s="1"/>
  <c r="B147" i="69"/>
  <c r="AL91" i="11" a="1"/>
  <c r="AL91" i="11" s="1"/>
  <c r="E92" i="32" s="1"/>
  <c r="AL101" i="59" a="1"/>
  <c r="AL101" i="59" s="1"/>
  <c r="E102" i="50" s="1"/>
  <c r="E3" i="50"/>
  <c r="AB159" i="57" l="1"/>
  <c r="AA159" i="57"/>
  <c r="AF159" i="57"/>
  <c r="AB144" i="69"/>
  <c r="AC144" i="69" s="1"/>
  <c r="AD144" i="69" s="1"/>
  <c r="AG144" i="69"/>
  <c r="AO146" i="69"/>
  <c r="P146" i="69"/>
  <c r="L147" i="69"/>
  <c r="O147" i="69"/>
  <c r="T102" i="50"/>
  <c r="AK102" i="50"/>
  <c r="X160" i="57"/>
  <c r="AB160" i="53"/>
  <c r="AA160" i="53"/>
  <c r="AC161" i="53"/>
  <c r="AE161" i="53"/>
  <c r="AF160" i="53"/>
  <c r="T92" i="32"/>
  <c r="AK92" i="32"/>
  <c r="AC161" i="57"/>
  <c r="AE161" i="57"/>
  <c r="AM101" i="50"/>
  <c r="U101" i="50"/>
  <c r="AD100" i="50"/>
  <c r="AG100" i="50" s="1"/>
  <c r="AH100" i="50" s="1"/>
  <c r="AI100" i="50" s="1"/>
  <c r="AP98" i="50"/>
  <c r="R161" i="57"/>
  <c r="R161" i="53"/>
  <c r="X161" i="53" s="1"/>
  <c r="AL99" i="50"/>
  <c r="AX145" i="69"/>
  <c r="AG162" i="57"/>
  <c r="L162" i="57"/>
  <c r="O102" i="50"/>
  <c r="AJ161" i="57"/>
  <c r="AP161" i="57"/>
  <c r="AH161" i="53"/>
  <c r="AT161" i="53"/>
  <c r="AG161" i="53"/>
  <c r="N162" i="57"/>
  <c r="L162" i="53"/>
  <c r="N162" i="53"/>
  <c r="AH145" i="69"/>
  <c r="AJ100" i="50"/>
  <c r="C100" i="50"/>
  <c r="AD161" i="57"/>
  <c r="Q161" i="53"/>
  <c r="AD161" i="53"/>
  <c r="V100" i="50"/>
  <c r="S101" i="50"/>
  <c r="D162" i="53"/>
  <c r="M162" i="53"/>
  <c r="H162" i="53"/>
  <c r="AK161" i="52" a="1"/>
  <c r="AK161" i="52" s="1"/>
  <c r="B163" i="53" s="1"/>
  <c r="O163" i="53" s="1"/>
  <c r="F162" i="53"/>
  <c r="K162" i="53"/>
  <c r="C162" i="53"/>
  <c r="I162" i="53"/>
  <c r="P162" i="53"/>
  <c r="J162" i="53"/>
  <c r="G162" i="53"/>
  <c r="E162" i="53"/>
  <c r="I102" i="50"/>
  <c r="N102" i="50"/>
  <c r="F102" i="50"/>
  <c r="J102" i="50"/>
  <c r="K102" i="50"/>
  <c r="H102" i="50"/>
  <c r="A102" i="50"/>
  <c r="Q102" i="50" s="1"/>
  <c r="P102" i="50" s="1"/>
  <c r="G102" i="50"/>
  <c r="B102" i="50"/>
  <c r="R102" i="50" s="1"/>
  <c r="M102" i="50"/>
  <c r="L102" i="50"/>
  <c r="Q161" i="57"/>
  <c r="T161" i="57" s="1"/>
  <c r="J162" i="57"/>
  <c r="G162" i="57"/>
  <c r="D162" i="57"/>
  <c r="I162" i="57"/>
  <c r="E162" i="57"/>
  <c r="H162" i="57"/>
  <c r="C162" i="57"/>
  <c r="M162" i="57" s="1"/>
  <c r="P162" i="57"/>
  <c r="K162" i="57"/>
  <c r="F162" i="57"/>
  <c r="Z100" i="50"/>
  <c r="W100" i="50"/>
  <c r="X100" i="50" s="1"/>
  <c r="AK161" i="55" a="1"/>
  <c r="AK161" i="55" s="1"/>
  <c r="B163" i="57" s="1"/>
  <c r="O163" i="57" s="1"/>
  <c r="U145" i="69"/>
  <c r="R145" i="69"/>
  <c r="S145" i="69" s="1"/>
  <c r="Y145" i="69" s="1"/>
  <c r="Q145" i="69"/>
  <c r="AE145" i="69"/>
  <c r="D146" i="69"/>
  <c r="E146" i="69" s="1"/>
  <c r="F146" i="69" s="1"/>
  <c r="G146" i="69" s="1"/>
  <c r="H146" i="69" s="1"/>
  <c r="I146" i="69" s="1"/>
  <c r="J146" i="69" s="1"/>
  <c r="K146" i="69" s="1"/>
  <c r="M146" i="69" s="1"/>
  <c r="N146" i="69"/>
  <c r="AF146" i="69" s="1"/>
  <c r="C147" i="69"/>
  <c r="AN147" i="67" a="1"/>
  <c r="AN147" i="67" s="1"/>
  <c r="B148" i="69"/>
  <c r="AL92" i="11" a="1"/>
  <c r="AL92" i="11" s="1"/>
  <c r="E93" i="32" s="1"/>
  <c r="AL102" i="59" a="1"/>
  <c r="AL102" i="59" s="1"/>
  <c r="E103" i="50" s="1"/>
  <c r="D3" i="11"/>
  <c r="AB160" i="57" l="1"/>
  <c r="AA160" i="57"/>
  <c r="X161" i="57"/>
  <c r="AA161" i="57" s="1"/>
  <c r="A13" i="32"/>
  <c r="Q13" i="32" s="1"/>
  <c r="O12" i="32"/>
  <c r="AB145" i="69"/>
  <c r="AC145" i="69" s="1"/>
  <c r="AD145" i="69" s="1"/>
  <c r="AG145" i="69"/>
  <c r="AO147" i="69"/>
  <c r="P147" i="69"/>
  <c r="L148" i="69"/>
  <c r="O148" i="69"/>
  <c r="AF160" i="57"/>
  <c r="AK103" i="50"/>
  <c r="T103" i="50"/>
  <c r="AF161" i="53"/>
  <c r="AB161" i="53"/>
  <c r="AA161" i="53"/>
  <c r="AC162" i="53"/>
  <c r="AE162" i="53"/>
  <c r="AK93" i="32"/>
  <c r="T93" i="32"/>
  <c r="AE162" i="57"/>
  <c r="AC162" i="57"/>
  <c r="AD101" i="50"/>
  <c r="AG101" i="50" s="1"/>
  <c r="AH101" i="50" s="1"/>
  <c r="AI101" i="50" s="1"/>
  <c r="AM102" i="50"/>
  <c r="U102" i="50"/>
  <c r="AP99" i="50"/>
  <c r="R162" i="57"/>
  <c r="R162" i="53"/>
  <c r="X162" i="53" s="1"/>
  <c r="AL100" i="50"/>
  <c r="A12" i="32"/>
  <c r="Q12" i="32" s="1"/>
  <c r="F12" i="32"/>
  <c r="AM12" i="32" s="1"/>
  <c r="M92" i="32"/>
  <c r="O92" i="32"/>
  <c r="L92" i="32"/>
  <c r="I92" i="32"/>
  <c r="K92" i="32"/>
  <c r="G92" i="32"/>
  <c r="L25" i="32"/>
  <c r="K25" i="32"/>
  <c r="M25" i="32"/>
  <c r="J25" i="32"/>
  <c r="F25" i="32"/>
  <c r="AM25" i="32" s="1"/>
  <c r="A25" i="32"/>
  <c r="N25" i="32"/>
  <c r="B25" i="32"/>
  <c r="G25" i="32"/>
  <c r="O25" i="32"/>
  <c r="H25" i="32"/>
  <c r="I25" i="32"/>
  <c r="A26" i="32"/>
  <c r="M26" i="32"/>
  <c r="B26" i="32"/>
  <c r="F26" i="32"/>
  <c r="AM26" i="32" s="1"/>
  <c r="G26" i="32"/>
  <c r="O26" i="32"/>
  <c r="J26" i="32"/>
  <c r="H26" i="32"/>
  <c r="K26" i="32"/>
  <c r="I26" i="32"/>
  <c r="N26" i="32"/>
  <c r="L26" i="32"/>
  <c r="A27" i="32"/>
  <c r="F27" i="32"/>
  <c r="AM27" i="32" s="1"/>
  <c r="B27" i="32"/>
  <c r="L27" i="32"/>
  <c r="H27" i="32"/>
  <c r="G27" i="32"/>
  <c r="O27" i="32"/>
  <c r="I27" i="32"/>
  <c r="N27" i="32"/>
  <c r="M27" i="32"/>
  <c r="J27" i="32"/>
  <c r="K27" i="32"/>
  <c r="F28" i="32"/>
  <c r="AM28" i="32" s="1"/>
  <c r="M28" i="32"/>
  <c r="N28" i="32"/>
  <c r="L28" i="32"/>
  <c r="G28" i="32"/>
  <c r="A28" i="32"/>
  <c r="O28" i="32"/>
  <c r="B28" i="32"/>
  <c r="H28" i="32"/>
  <c r="J28" i="32"/>
  <c r="K28" i="32"/>
  <c r="I28" i="32"/>
  <c r="L29" i="32"/>
  <c r="M29" i="32"/>
  <c r="F29" i="32"/>
  <c r="AM29" i="32" s="1"/>
  <c r="A29" i="32"/>
  <c r="N29" i="32"/>
  <c r="K29" i="32"/>
  <c r="B29" i="32"/>
  <c r="G29" i="32"/>
  <c r="O29" i="32"/>
  <c r="H29" i="32"/>
  <c r="I29" i="32"/>
  <c r="J29" i="32"/>
  <c r="L30" i="32"/>
  <c r="H30" i="32"/>
  <c r="A30" i="32"/>
  <c r="M30" i="32"/>
  <c r="B30" i="32"/>
  <c r="F30" i="32"/>
  <c r="AM30" i="32" s="1"/>
  <c r="N30" i="32"/>
  <c r="G30" i="32"/>
  <c r="O30" i="32"/>
  <c r="J30" i="32"/>
  <c r="I30" i="32"/>
  <c r="K30" i="32"/>
  <c r="G31" i="32"/>
  <c r="H31" i="32"/>
  <c r="A31" i="32"/>
  <c r="L31" i="32"/>
  <c r="B31" i="32"/>
  <c r="I31" i="32"/>
  <c r="N31" i="32"/>
  <c r="J31" i="32"/>
  <c r="M31" i="32"/>
  <c r="O31" i="32"/>
  <c r="F31" i="32"/>
  <c r="AM31" i="32" s="1"/>
  <c r="K31" i="32"/>
  <c r="N32" i="32"/>
  <c r="M32" i="32"/>
  <c r="G32" i="32"/>
  <c r="K32" i="32"/>
  <c r="A32" i="32"/>
  <c r="O32" i="32"/>
  <c r="I32" i="32"/>
  <c r="F32" i="32"/>
  <c r="AM32" i="32" s="1"/>
  <c r="L32" i="32"/>
  <c r="B32" i="32"/>
  <c r="H32" i="32"/>
  <c r="J32" i="32"/>
  <c r="M33" i="32"/>
  <c r="F33" i="32"/>
  <c r="AM33" i="32" s="1"/>
  <c r="A33" i="32"/>
  <c r="N33" i="32"/>
  <c r="B33" i="32"/>
  <c r="G33" i="32"/>
  <c r="O33" i="32"/>
  <c r="H33" i="32"/>
  <c r="J33" i="32"/>
  <c r="I33" i="32"/>
  <c r="L33" i="32"/>
  <c r="K33" i="32"/>
  <c r="B34" i="32"/>
  <c r="F34" i="32"/>
  <c r="AM34" i="32" s="1"/>
  <c r="N34" i="32"/>
  <c r="G34" i="32"/>
  <c r="J34" i="32"/>
  <c r="K34" i="32"/>
  <c r="O34" i="32"/>
  <c r="I34" i="32"/>
  <c r="H34" i="32"/>
  <c r="L34" i="32"/>
  <c r="A34" i="32"/>
  <c r="M34" i="32"/>
  <c r="J35" i="32"/>
  <c r="B35" i="32"/>
  <c r="L35" i="32"/>
  <c r="M35" i="32"/>
  <c r="G35" i="32"/>
  <c r="F35" i="32"/>
  <c r="AM35" i="32" s="1"/>
  <c r="N35" i="32"/>
  <c r="O35" i="32"/>
  <c r="H35" i="32"/>
  <c r="I35" i="32"/>
  <c r="A35" i="32"/>
  <c r="K35" i="32"/>
  <c r="M36" i="32"/>
  <c r="L36" i="32"/>
  <c r="H36" i="32"/>
  <c r="G36" i="32"/>
  <c r="A36" i="32"/>
  <c r="O36" i="32"/>
  <c r="B36" i="32"/>
  <c r="I36" i="32"/>
  <c r="K36" i="32"/>
  <c r="J36" i="32"/>
  <c r="F36" i="32"/>
  <c r="AM36" i="32" s="1"/>
  <c r="N36" i="32"/>
  <c r="F37" i="32"/>
  <c r="AM37" i="32" s="1"/>
  <c r="A37" i="32"/>
  <c r="N37" i="32"/>
  <c r="B37" i="32"/>
  <c r="G37" i="32"/>
  <c r="O37" i="32"/>
  <c r="H37" i="32"/>
  <c r="K37" i="32"/>
  <c r="M37" i="32"/>
  <c r="I37" i="32"/>
  <c r="L37" i="32"/>
  <c r="J37" i="32"/>
  <c r="L38" i="32"/>
  <c r="A38" i="32"/>
  <c r="M38" i="32"/>
  <c r="B38" i="32"/>
  <c r="F38" i="32"/>
  <c r="AM38" i="32" s="1"/>
  <c r="N38" i="32"/>
  <c r="I38" i="32"/>
  <c r="G38" i="32"/>
  <c r="O38" i="32"/>
  <c r="J38" i="32"/>
  <c r="K38" i="32"/>
  <c r="H38" i="32"/>
  <c r="I39" i="32"/>
  <c r="N39" i="32"/>
  <c r="J39" i="32"/>
  <c r="A39" i="32"/>
  <c r="K39" i="32"/>
  <c r="L39" i="32"/>
  <c r="M39" i="32"/>
  <c r="F39" i="32"/>
  <c r="AM39" i="32" s="1"/>
  <c r="G39" i="32"/>
  <c r="H39" i="32"/>
  <c r="O39" i="32"/>
  <c r="B39" i="32"/>
  <c r="J40" i="32"/>
  <c r="L40" i="32"/>
  <c r="K40" i="32"/>
  <c r="F40" i="32"/>
  <c r="AM40" i="32" s="1"/>
  <c r="M40" i="32"/>
  <c r="N40" i="32"/>
  <c r="G40" i="32"/>
  <c r="A40" i="32"/>
  <c r="O40" i="32"/>
  <c r="B40" i="32"/>
  <c r="H40" i="32"/>
  <c r="I40" i="32"/>
  <c r="F41" i="32"/>
  <c r="AM41" i="32" s="1"/>
  <c r="A41" i="32"/>
  <c r="N41" i="32"/>
  <c r="B41" i="32"/>
  <c r="G41" i="32"/>
  <c r="H41" i="32"/>
  <c r="M41" i="32"/>
  <c r="O41" i="32"/>
  <c r="K41" i="32"/>
  <c r="I41" i="32"/>
  <c r="L41" i="32"/>
  <c r="J41" i="32"/>
  <c r="J42" i="32"/>
  <c r="M42" i="32"/>
  <c r="K42" i="32"/>
  <c r="I42" i="32"/>
  <c r="L42" i="32"/>
  <c r="B42" i="32"/>
  <c r="F42" i="32"/>
  <c r="AM42" i="32" s="1"/>
  <c r="N42" i="32"/>
  <c r="G42" i="32"/>
  <c r="A42" i="32"/>
  <c r="O42" i="32"/>
  <c r="H42" i="32"/>
  <c r="O43" i="32"/>
  <c r="H43" i="32"/>
  <c r="F43" i="32"/>
  <c r="AM43" i="32" s="1"/>
  <c r="I43" i="32"/>
  <c r="J43" i="32"/>
  <c r="A43" i="32"/>
  <c r="K43" i="32"/>
  <c r="B43" i="32"/>
  <c r="L43" i="32"/>
  <c r="M43" i="32"/>
  <c r="G43" i="32"/>
  <c r="N43" i="32"/>
  <c r="K44" i="32"/>
  <c r="N44" i="32"/>
  <c r="G44" i="32"/>
  <c r="A44" i="32"/>
  <c r="O44" i="32"/>
  <c r="B44" i="32"/>
  <c r="H44" i="32"/>
  <c r="J44" i="32"/>
  <c r="F44" i="32"/>
  <c r="AM44" i="32" s="1"/>
  <c r="I44" i="32"/>
  <c r="M44" i="32"/>
  <c r="L44" i="32"/>
  <c r="H45" i="32"/>
  <c r="I45" i="32"/>
  <c r="L45" i="32"/>
  <c r="M45" i="32"/>
  <c r="K45" i="32"/>
  <c r="F45" i="32"/>
  <c r="AM45" i="32" s="1"/>
  <c r="A45" i="32"/>
  <c r="N45" i="32"/>
  <c r="B45" i="32"/>
  <c r="G45" i="32"/>
  <c r="O45" i="32"/>
  <c r="J45" i="32"/>
  <c r="O46" i="32"/>
  <c r="J46" i="32"/>
  <c r="K46" i="32"/>
  <c r="L46" i="32"/>
  <c r="A46" i="32"/>
  <c r="M46" i="32"/>
  <c r="B46" i="32"/>
  <c r="F46" i="32"/>
  <c r="AM46" i="32" s="1"/>
  <c r="G46" i="32"/>
  <c r="H46" i="32"/>
  <c r="N46" i="32"/>
  <c r="I46" i="32"/>
  <c r="G47" i="32"/>
  <c r="F47" i="32"/>
  <c r="AM47" i="32" s="1"/>
  <c r="O47" i="32"/>
  <c r="H47" i="32"/>
  <c r="I47" i="32"/>
  <c r="N47" i="32"/>
  <c r="J47" i="32"/>
  <c r="A47" i="32"/>
  <c r="K47" i="32"/>
  <c r="B47" i="32"/>
  <c r="L47" i="32"/>
  <c r="M47" i="32"/>
  <c r="N48" i="32"/>
  <c r="M48" i="32"/>
  <c r="G48" i="32"/>
  <c r="A48" i="32"/>
  <c r="O48" i="32"/>
  <c r="B48" i="32"/>
  <c r="H48" i="32"/>
  <c r="I48" i="32"/>
  <c r="L48" i="32"/>
  <c r="J48" i="32"/>
  <c r="K48" i="32"/>
  <c r="F48" i="32"/>
  <c r="AM48" i="32" s="1"/>
  <c r="L49" i="32"/>
  <c r="J49" i="32"/>
  <c r="F49" i="32"/>
  <c r="AM49" i="32" s="1"/>
  <c r="A49" i="32"/>
  <c r="N49" i="32"/>
  <c r="B49" i="32"/>
  <c r="G49" i="32"/>
  <c r="O49" i="32"/>
  <c r="H49" i="32"/>
  <c r="M49" i="32"/>
  <c r="I49" i="32"/>
  <c r="K49" i="32"/>
  <c r="N50" i="32"/>
  <c r="O50" i="32"/>
  <c r="I50" i="32"/>
  <c r="B50" i="32"/>
  <c r="G50" i="32"/>
  <c r="J50" i="32"/>
  <c r="F50" i="32"/>
  <c r="AM50" i="32" s="1"/>
  <c r="K50" i="32"/>
  <c r="H50" i="32"/>
  <c r="L50" i="32"/>
  <c r="A50" i="32"/>
  <c r="M50" i="32"/>
  <c r="A51" i="32"/>
  <c r="K51" i="32"/>
  <c r="B51" i="32"/>
  <c r="L51" i="32"/>
  <c r="N51" i="32"/>
  <c r="O51" i="32"/>
  <c r="H51" i="32"/>
  <c r="J51" i="32"/>
  <c r="M51" i="32"/>
  <c r="G51" i="32"/>
  <c r="I51" i="32"/>
  <c r="F51" i="32"/>
  <c r="AM51" i="32" s="1"/>
  <c r="J52" i="32"/>
  <c r="M52" i="32"/>
  <c r="N52" i="32"/>
  <c r="B52" i="32"/>
  <c r="H52" i="32"/>
  <c r="I52" i="32"/>
  <c r="K52" i="32"/>
  <c r="F52" i="32"/>
  <c r="AM52" i="32" s="1"/>
  <c r="L52" i="32"/>
  <c r="G52" i="32"/>
  <c r="A52" i="32"/>
  <c r="O52" i="32"/>
  <c r="L53" i="32"/>
  <c r="K53" i="32"/>
  <c r="M53" i="32"/>
  <c r="J53" i="32"/>
  <c r="F53" i="32"/>
  <c r="AM53" i="32" s="1"/>
  <c r="A53" i="32"/>
  <c r="N53" i="32"/>
  <c r="B53" i="32"/>
  <c r="G53" i="32"/>
  <c r="O53" i="32"/>
  <c r="H53" i="32"/>
  <c r="I53" i="32"/>
  <c r="O54" i="32"/>
  <c r="J54" i="32"/>
  <c r="K54" i="32"/>
  <c r="L54" i="32"/>
  <c r="A54" i="32"/>
  <c r="M54" i="32"/>
  <c r="B54" i="32"/>
  <c r="F54" i="32"/>
  <c r="AM54" i="32" s="1"/>
  <c r="I54" i="32"/>
  <c r="H54" i="32"/>
  <c r="N54" i="32"/>
  <c r="G54" i="32"/>
  <c r="K56" i="32"/>
  <c r="M56" i="32"/>
  <c r="F55" i="32"/>
  <c r="AM55" i="32" s="1"/>
  <c r="A55" i="32"/>
  <c r="N56" i="32"/>
  <c r="L56" i="32"/>
  <c r="G55" i="32"/>
  <c r="I55" i="32"/>
  <c r="B55" i="32"/>
  <c r="G56" i="32"/>
  <c r="H55" i="32"/>
  <c r="O55" i="32"/>
  <c r="N55" i="32"/>
  <c r="I56" i="32"/>
  <c r="A56" i="32"/>
  <c r="O56" i="32"/>
  <c r="B56" i="32"/>
  <c r="H56" i="32"/>
  <c r="J55" i="32"/>
  <c r="J56" i="32"/>
  <c r="L55" i="32"/>
  <c r="M55" i="32"/>
  <c r="F56" i="32"/>
  <c r="AM56" i="32" s="1"/>
  <c r="K55" i="32"/>
  <c r="G58" i="32"/>
  <c r="G57" i="32"/>
  <c r="O58" i="32"/>
  <c r="O57" i="32"/>
  <c r="J58" i="32"/>
  <c r="H58" i="32"/>
  <c r="H57" i="32"/>
  <c r="L58" i="32"/>
  <c r="K57" i="32"/>
  <c r="M58" i="32"/>
  <c r="F58" i="32"/>
  <c r="AM58" i="32" s="1"/>
  <c r="B57" i="32"/>
  <c r="N57" i="32"/>
  <c r="A58" i="32"/>
  <c r="K58" i="32"/>
  <c r="I58" i="32"/>
  <c r="I57" i="32"/>
  <c r="B58" i="32"/>
  <c r="L57" i="32"/>
  <c r="A57" i="32"/>
  <c r="J57" i="32"/>
  <c r="F57" i="32"/>
  <c r="AM57" i="32" s="1"/>
  <c r="M57" i="32"/>
  <c r="N58" i="32"/>
  <c r="B59" i="32"/>
  <c r="J59" i="32"/>
  <c r="A59" i="32"/>
  <c r="G59" i="32"/>
  <c r="N59" i="32"/>
  <c r="F59" i="32"/>
  <c r="AM59" i="32" s="1"/>
  <c r="H59" i="32"/>
  <c r="O59" i="32"/>
  <c r="I59" i="32"/>
  <c r="K59" i="32"/>
  <c r="L59" i="32"/>
  <c r="M59" i="32"/>
  <c r="I61" i="32"/>
  <c r="O60" i="32"/>
  <c r="H61" i="32"/>
  <c r="J61" i="32"/>
  <c r="H60" i="32"/>
  <c r="O61" i="32"/>
  <c r="J60" i="32"/>
  <c r="L60" i="32"/>
  <c r="L61" i="32"/>
  <c r="G61" i="32"/>
  <c r="K60" i="32"/>
  <c r="M60" i="32"/>
  <c r="A61" i="32"/>
  <c r="M61" i="32"/>
  <c r="K61" i="32"/>
  <c r="B60" i="32"/>
  <c r="B61" i="32"/>
  <c r="F61" i="32"/>
  <c r="AM61" i="32" s="1"/>
  <c r="F60" i="32"/>
  <c r="AM60" i="32" s="1"/>
  <c r="G60" i="32"/>
  <c r="A60" i="32"/>
  <c r="N61" i="32"/>
  <c r="N60" i="32"/>
  <c r="I60" i="32"/>
  <c r="O62" i="32"/>
  <c r="M62" i="32"/>
  <c r="J62" i="32"/>
  <c r="I62" i="32"/>
  <c r="K62" i="32"/>
  <c r="H62" i="32"/>
  <c r="A62" i="32"/>
  <c r="F62" i="32"/>
  <c r="AM62" i="32" s="1"/>
  <c r="B62" i="32"/>
  <c r="N62" i="32"/>
  <c r="G62" i="32"/>
  <c r="L62" i="32"/>
  <c r="A63" i="32"/>
  <c r="O64" i="32"/>
  <c r="I63" i="32"/>
  <c r="N63" i="32"/>
  <c r="F64" i="32"/>
  <c r="AM64" i="32" s="1"/>
  <c r="B63" i="32"/>
  <c r="H64" i="32"/>
  <c r="J63" i="32"/>
  <c r="J64" i="32"/>
  <c r="L63" i="32"/>
  <c r="K64" i="32"/>
  <c r="M63" i="32"/>
  <c r="M64" i="32"/>
  <c r="F63" i="32"/>
  <c r="AM63" i="32" s="1"/>
  <c r="K63" i="32"/>
  <c r="L64" i="32"/>
  <c r="A64" i="32"/>
  <c r="N64" i="32"/>
  <c r="I64" i="32"/>
  <c r="O63" i="32"/>
  <c r="B64" i="32"/>
  <c r="G64" i="32"/>
  <c r="H63" i="32"/>
  <c r="G63" i="32"/>
  <c r="F65" i="32"/>
  <c r="AM65" i="32" s="1"/>
  <c r="A65" i="32"/>
  <c r="N65" i="32"/>
  <c r="K65" i="32"/>
  <c r="L65" i="32"/>
  <c r="B65" i="32"/>
  <c r="H65" i="32"/>
  <c r="I65" i="32"/>
  <c r="G65" i="32"/>
  <c r="J65" i="32"/>
  <c r="M65" i="32"/>
  <c r="O65" i="32"/>
  <c r="N67" i="32"/>
  <c r="G66" i="32"/>
  <c r="K67" i="32"/>
  <c r="J66" i="32"/>
  <c r="H67" i="32"/>
  <c r="L66" i="32"/>
  <c r="A67" i="32"/>
  <c r="I67" i="32"/>
  <c r="O67" i="32"/>
  <c r="H66" i="32"/>
  <c r="B67" i="32"/>
  <c r="M66" i="32"/>
  <c r="A66" i="32"/>
  <c r="L67" i="32"/>
  <c r="K66" i="32"/>
  <c r="I66" i="32"/>
  <c r="B66" i="32"/>
  <c r="F67" i="32"/>
  <c r="AM67" i="32" s="1"/>
  <c r="F66" i="32"/>
  <c r="AM66" i="32" s="1"/>
  <c r="O66" i="32"/>
  <c r="G67" i="32"/>
  <c r="N66" i="32"/>
  <c r="J67" i="32"/>
  <c r="M67" i="32"/>
  <c r="B68" i="32"/>
  <c r="G68" i="32"/>
  <c r="O68" i="32"/>
  <c r="J68" i="32"/>
  <c r="K68" i="32"/>
  <c r="H68" i="32"/>
  <c r="M68" i="32"/>
  <c r="I68" i="32"/>
  <c r="A68" i="32"/>
  <c r="N68" i="32"/>
  <c r="L68" i="32"/>
  <c r="F68" i="32"/>
  <c r="AM68" i="32" s="1"/>
  <c r="A70" i="32"/>
  <c r="F70" i="32"/>
  <c r="AM70" i="32" s="1"/>
  <c r="M69" i="32"/>
  <c r="K69" i="32"/>
  <c r="B70" i="32"/>
  <c r="N70" i="32"/>
  <c r="F69" i="32"/>
  <c r="AM69" i="32" s="1"/>
  <c r="G70" i="32"/>
  <c r="N69" i="32"/>
  <c r="J69" i="32"/>
  <c r="H69" i="32"/>
  <c r="I70" i="32"/>
  <c r="I69" i="32"/>
  <c r="J70" i="32"/>
  <c r="H70" i="32"/>
  <c r="G69" i="32"/>
  <c r="A69" i="32"/>
  <c r="K70" i="32"/>
  <c r="M70" i="32"/>
  <c r="B69" i="32"/>
  <c r="L70" i="32"/>
  <c r="L69" i="32"/>
  <c r="O69" i="32"/>
  <c r="O70" i="32"/>
  <c r="K71" i="32"/>
  <c r="M71" i="32"/>
  <c r="O71" i="32"/>
  <c r="H71" i="32"/>
  <c r="F71" i="32"/>
  <c r="AM71" i="32" s="1"/>
  <c r="N71" i="32"/>
  <c r="I71" i="32"/>
  <c r="J71" i="32"/>
  <c r="A71" i="32"/>
  <c r="L71" i="32"/>
  <c r="B71" i="32"/>
  <c r="G71" i="32"/>
  <c r="F72" i="32"/>
  <c r="AM72" i="32" s="1"/>
  <c r="M72" i="32"/>
  <c r="K72" i="32"/>
  <c r="N72" i="32"/>
  <c r="I72" i="32"/>
  <c r="J72" i="32"/>
  <c r="G72" i="32"/>
  <c r="A72" i="32"/>
  <c r="O72" i="32"/>
  <c r="B72" i="32"/>
  <c r="H72" i="32"/>
  <c r="L72" i="32"/>
  <c r="J73" i="32"/>
  <c r="K73" i="32"/>
  <c r="L73" i="32"/>
  <c r="O73" i="32"/>
  <c r="M73" i="32"/>
  <c r="G73" i="32"/>
  <c r="F73" i="32"/>
  <c r="AM73" i="32" s="1"/>
  <c r="A73" i="32"/>
  <c r="N73" i="32"/>
  <c r="I73" i="32"/>
  <c r="B73" i="32"/>
  <c r="H73" i="32"/>
  <c r="L74" i="32"/>
  <c r="A74" i="32"/>
  <c r="B74" i="32"/>
  <c r="N74" i="32"/>
  <c r="G74" i="32"/>
  <c r="F74" i="32"/>
  <c r="AM74" i="32" s="1"/>
  <c r="O74" i="32"/>
  <c r="H74" i="32"/>
  <c r="K74" i="32"/>
  <c r="J74" i="32"/>
  <c r="M74" i="32"/>
  <c r="I74" i="32"/>
  <c r="B75" i="32"/>
  <c r="G76" i="32"/>
  <c r="H75" i="32"/>
  <c r="O75" i="32"/>
  <c r="A76" i="32"/>
  <c r="O76" i="32"/>
  <c r="I75" i="32"/>
  <c r="F75" i="32"/>
  <c r="AM75" i="32" s="1"/>
  <c r="M76" i="32"/>
  <c r="N76" i="32"/>
  <c r="L76" i="32"/>
  <c r="B76" i="32"/>
  <c r="H76" i="32"/>
  <c r="J75" i="32"/>
  <c r="M75" i="32"/>
  <c r="I76" i="32"/>
  <c r="N75" i="32"/>
  <c r="G75" i="32"/>
  <c r="J76" i="32"/>
  <c r="L75" i="32"/>
  <c r="K76" i="32"/>
  <c r="K75" i="32"/>
  <c r="F76" i="32"/>
  <c r="AM76" i="32" s="1"/>
  <c r="A75" i="32"/>
  <c r="N77" i="32"/>
  <c r="L77" i="32"/>
  <c r="M77" i="32"/>
  <c r="H77" i="32"/>
  <c r="A77" i="32"/>
  <c r="I77" i="32"/>
  <c r="K77" i="32"/>
  <c r="G77" i="32"/>
  <c r="F77" i="32"/>
  <c r="AM77" i="32" s="1"/>
  <c r="B77" i="32"/>
  <c r="J77" i="32"/>
  <c r="O77" i="32"/>
  <c r="M78" i="32"/>
  <c r="K78" i="32"/>
  <c r="L78" i="32"/>
  <c r="I78" i="32"/>
  <c r="J78" i="32"/>
  <c r="H78" i="32"/>
  <c r="O78" i="32"/>
  <c r="F78" i="32"/>
  <c r="AM78" i="32" s="1"/>
  <c r="A78" i="32"/>
  <c r="N78" i="32"/>
  <c r="B78" i="32"/>
  <c r="G78" i="32"/>
  <c r="K79" i="32"/>
  <c r="A79" i="32"/>
  <c r="O79" i="32"/>
  <c r="B79" i="32"/>
  <c r="G79" i="32"/>
  <c r="H79" i="32"/>
  <c r="J79" i="32"/>
  <c r="I79" i="32"/>
  <c r="N79" i="32"/>
  <c r="L79" i="32"/>
  <c r="M79" i="32"/>
  <c r="F79" i="32"/>
  <c r="AM79" i="32" s="1"/>
  <c r="A81" i="32"/>
  <c r="M81" i="32"/>
  <c r="N81" i="32"/>
  <c r="M80" i="32"/>
  <c r="B81" i="32"/>
  <c r="H81" i="32"/>
  <c r="F80" i="32"/>
  <c r="AM80" i="32" s="1"/>
  <c r="I80" i="32"/>
  <c r="N80" i="32"/>
  <c r="B80" i="32"/>
  <c r="K81" i="32"/>
  <c r="O80" i="32"/>
  <c r="F81" i="32"/>
  <c r="AM81" i="32" s="1"/>
  <c r="J80" i="32"/>
  <c r="O81" i="32"/>
  <c r="K80" i="32"/>
  <c r="L81" i="32"/>
  <c r="J81" i="32"/>
  <c r="L80" i="32"/>
  <c r="A80" i="32"/>
  <c r="I81" i="32"/>
  <c r="H80" i="32"/>
  <c r="G81" i="32"/>
  <c r="G80" i="32"/>
  <c r="I82" i="32"/>
  <c r="H82" i="32"/>
  <c r="J82" i="32"/>
  <c r="M82" i="32"/>
  <c r="K82" i="32"/>
  <c r="L82" i="32"/>
  <c r="F82" i="32"/>
  <c r="AM82" i="32" s="1"/>
  <c r="A82" i="32"/>
  <c r="N82" i="32"/>
  <c r="B82" i="32"/>
  <c r="G82" i="32"/>
  <c r="O82" i="32"/>
  <c r="K83" i="32"/>
  <c r="H83" i="32"/>
  <c r="J83" i="32"/>
  <c r="L83" i="32"/>
  <c r="I83" i="32"/>
  <c r="F83" i="32"/>
  <c r="AM83" i="32" s="1"/>
  <c r="M83" i="32"/>
  <c r="B83" i="32"/>
  <c r="G83" i="32"/>
  <c r="O83" i="32"/>
  <c r="A83" i="32"/>
  <c r="L84" i="32"/>
  <c r="O84" i="32"/>
  <c r="F84" i="32"/>
  <c r="AM84" i="32" s="1"/>
  <c r="M84" i="32"/>
  <c r="I84" i="32"/>
  <c r="A84" i="32"/>
  <c r="N84" i="32"/>
  <c r="J84" i="32"/>
  <c r="B84" i="32"/>
  <c r="H84" i="32"/>
  <c r="G84" i="32"/>
  <c r="K84" i="32"/>
  <c r="M85" i="32"/>
  <c r="I85" i="32"/>
  <c r="G85" i="32"/>
  <c r="J85" i="32"/>
  <c r="O85" i="32"/>
  <c r="L85" i="32"/>
  <c r="K85" i="32"/>
  <c r="H85" i="32"/>
  <c r="A85" i="32"/>
  <c r="F85" i="32"/>
  <c r="AM85" i="32" s="1"/>
  <c r="B85" i="32"/>
  <c r="N85" i="32"/>
  <c r="A86" i="32"/>
  <c r="J86" i="32"/>
  <c r="B86" i="32"/>
  <c r="L86" i="32"/>
  <c r="I86" i="32"/>
  <c r="M86" i="32"/>
  <c r="K86" i="32"/>
  <c r="H86" i="32"/>
  <c r="F86" i="32"/>
  <c r="AM86" i="32" s="1"/>
  <c r="G86" i="32"/>
  <c r="O86" i="32"/>
  <c r="N86" i="32"/>
  <c r="G87" i="32"/>
  <c r="L87" i="32"/>
  <c r="B87" i="32"/>
  <c r="O87" i="32"/>
  <c r="M87" i="32"/>
  <c r="I87" i="32"/>
  <c r="N87" i="32"/>
  <c r="A87" i="32"/>
  <c r="H87" i="32"/>
  <c r="J87" i="32"/>
  <c r="F87" i="32"/>
  <c r="AM87" i="32" s="1"/>
  <c r="K87" i="32"/>
  <c r="L88" i="32"/>
  <c r="G88" i="32"/>
  <c r="F88" i="32"/>
  <c r="AM88" i="32" s="1"/>
  <c r="M88" i="32"/>
  <c r="I88" i="32"/>
  <c r="A88" i="32"/>
  <c r="N88" i="32"/>
  <c r="K88" i="32"/>
  <c r="B88" i="32"/>
  <c r="H88" i="32"/>
  <c r="J88" i="32"/>
  <c r="O88" i="32"/>
  <c r="A89" i="32"/>
  <c r="F89" i="32"/>
  <c r="AM89" i="32" s="1"/>
  <c r="H89" i="32"/>
  <c r="G89" i="32"/>
  <c r="M89" i="32"/>
  <c r="B89" i="32"/>
  <c r="N89" i="32"/>
  <c r="I89" i="32"/>
  <c r="J89" i="32"/>
  <c r="K89" i="32"/>
  <c r="O89" i="32"/>
  <c r="L89" i="32"/>
  <c r="G90" i="32"/>
  <c r="K90" i="32"/>
  <c r="H90" i="32"/>
  <c r="O90" i="32"/>
  <c r="M90" i="32"/>
  <c r="B90" i="32"/>
  <c r="L90" i="32"/>
  <c r="I90" i="32"/>
  <c r="N90" i="32"/>
  <c r="F90" i="32"/>
  <c r="AM90" i="32" s="1"/>
  <c r="A90" i="32"/>
  <c r="J90" i="32"/>
  <c r="F91" i="32"/>
  <c r="AM91" i="32" s="1"/>
  <c r="N91" i="32"/>
  <c r="A91" i="32"/>
  <c r="H91" i="32"/>
  <c r="B91" i="32"/>
  <c r="J91" i="32"/>
  <c r="O91" i="32"/>
  <c r="L91" i="32"/>
  <c r="K91" i="32"/>
  <c r="M91" i="32"/>
  <c r="I91" i="32"/>
  <c r="G91" i="32"/>
  <c r="N92" i="32"/>
  <c r="A92" i="32"/>
  <c r="J92" i="32"/>
  <c r="H92" i="32"/>
  <c r="B92" i="32"/>
  <c r="F92" i="32"/>
  <c r="AM92" i="32" s="1"/>
  <c r="I17" i="32"/>
  <c r="K17" i="32"/>
  <c r="L17" i="32"/>
  <c r="M17" i="32"/>
  <c r="J17" i="32"/>
  <c r="F17" i="32"/>
  <c r="AM17" i="32" s="1"/>
  <c r="G17" i="32"/>
  <c r="A17" i="32"/>
  <c r="N17" i="32"/>
  <c r="B17" i="32"/>
  <c r="O17" i="32"/>
  <c r="H17" i="32"/>
  <c r="G18" i="32"/>
  <c r="M18" i="32"/>
  <c r="O18" i="32"/>
  <c r="I18" i="32"/>
  <c r="J18" i="32"/>
  <c r="K18" i="32"/>
  <c r="H18" i="32"/>
  <c r="A18" i="32"/>
  <c r="L18" i="32"/>
  <c r="B18" i="32"/>
  <c r="F18" i="32"/>
  <c r="AM18" i="32" s="1"/>
  <c r="N18" i="32"/>
  <c r="N19" i="32"/>
  <c r="O19" i="32"/>
  <c r="H19" i="32"/>
  <c r="G19" i="32"/>
  <c r="I19" i="32"/>
  <c r="F19" i="32"/>
  <c r="AM19" i="32" s="1"/>
  <c r="J19" i="32"/>
  <c r="A19" i="32"/>
  <c r="K19" i="32"/>
  <c r="B19" i="32"/>
  <c r="L19" i="32"/>
  <c r="M19" i="32"/>
  <c r="J20" i="32"/>
  <c r="K20" i="32"/>
  <c r="M20" i="32"/>
  <c r="F20" i="32"/>
  <c r="AM20" i="32" s="1"/>
  <c r="N20" i="32"/>
  <c r="L20" i="32"/>
  <c r="G20" i="32"/>
  <c r="A20" i="32"/>
  <c r="O20" i="32"/>
  <c r="B20" i="32"/>
  <c r="I20" i="32"/>
  <c r="H20" i="32"/>
  <c r="L21" i="32"/>
  <c r="K21" i="32"/>
  <c r="M21" i="32"/>
  <c r="J21" i="32"/>
  <c r="F21" i="32"/>
  <c r="AM21" i="32" s="1"/>
  <c r="A21" i="32"/>
  <c r="N21" i="32"/>
  <c r="B21" i="32"/>
  <c r="G21" i="32"/>
  <c r="O21" i="32"/>
  <c r="H21" i="32"/>
  <c r="I21" i="32"/>
  <c r="O22" i="32"/>
  <c r="J22" i="32"/>
  <c r="I22" i="32"/>
  <c r="K22" i="32"/>
  <c r="H22" i="32"/>
  <c r="L22" i="32"/>
  <c r="A22" i="32"/>
  <c r="M22" i="32"/>
  <c r="B22" i="32"/>
  <c r="R22" i="32" s="1"/>
  <c r="F22" i="32"/>
  <c r="AM22" i="32" s="1"/>
  <c r="G22" i="32"/>
  <c r="F23" i="32"/>
  <c r="AM23" i="32" s="1"/>
  <c r="G23" i="32"/>
  <c r="H23" i="32"/>
  <c r="O23" i="32"/>
  <c r="I23" i="32"/>
  <c r="N23" i="32"/>
  <c r="J23" i="32"/>
  <c r="A23" i="32"/>
  <c r="K23" i="32"/>
  <c r="B23" i="32"/>
  <c r="R23" i="32" s="1"/>
  <c r="L23" i="32"/>
  <c r="M23" i="32"/>
  <c r="I24" i="32"/>
  <c r="J24" i="32"/>
  <c r="K24" i="32"/>
  <c r="F24" i="32"/>
  <c r="AM24" i="32" s="1"/>
  <c r="M24" i="32"/>
  <c r="N24" i="32"/>
  <c r="L24" i="32"/>
  <c r="G24" i="32"/>
  <c r="A24" i="32"/>
  <c r="O24" i="32"/>
  <c r="B24" i="32"/>
  <c r="R24" i="32" s="1"/>
  <c r="H24" i="32"/>
  <c r="AX146" i="69"/>
  <c r="AG163" i="57"/>
  <c r="L163" i="57"/>
  <c r="O103" i="50"/>
  <c r="AJ162" i="57"/>
  <c r="AP162" i="57"/>
  <c r="AH162" i="53"/>
  <c r="AT162" i="53"/>
  <c r="AG162" i="53"/>
  <c r="J16" i="32"/>
  <c r="K16" i="32"/>
  <c r="F16" i="32"/>
  <c r="AM16" i="32" s="1"/>
  <c r="L16" i="32"/>
  <c r="N16" i="32"/>
  <c r="M16" i="32"/>
  <c r="A16" i="32"/>
  <c r="Q16" i="32" s="1"/>
  <c r="G16" i="32"/>
  <c r="B16" i="32"/>
  <c r="O16" i="32"/>
  <c r="H16" i="32"/>
  <c r="I16" i="32"/>
  <c r="N163" i="57"/>
  <c r="N163" i="53"/>
  <c r="AH146" i="69"/>
  <c r="AJ101" i="50"/>
  <c r="C101" i="50"/>
  <c r="AD162" i="57"/>
  <c r="AD162" i="53"/>
  <c r="V101" i="50"/>
  <c r="S102" i="50"/>
  <c r="Q162" i="53"/>
  <c r="K163" i="53"/>
  <c r="E163" i="53"/>
  <c r="F163" i="53"/>
  <c r="C163" i="53"/>
  <c r="P163" i="53"/>
  <c r="I163" i="53"/>
  <c r="J163" i="53"/>
  <c r="M163" i="53"/>
  <c r="L163" i="53"/>
  <c r="AK162" i="52" a="1"/>
  <c r="AK162" i="52" s="1"/>
  <c r="B164" i="53" s="1"/>
  <c r="O164" i="53" s="1"/>
  <c r="G163" i="53"/>
  <c r="H163" i="53"/>
  <c r="D163" i="53"/>
  <c r="A93" i="32"/>
  <c r="B93" i="32"/>
  <c r="R93" i="32" s="1"/>
  <c r="L103" i="50"/>
  <c r="N103" i="50"/>
  <c r="A103" i="50"/>
  <c r="Q103" i="50" s="1"/>
  <c r="P103" i="50" s="1"/>
  <c r="J103" i="50"/>
  <c r="M103" i="50"/>
  <c r="B103" i="50"/>
  <c r="R103" i="50" s="1"/>
  <c r="F103" i="50"/>
  <c r="K103" i="50"/>
  <c r="G103" i="50"/>
  <c r="I103" i="50"/>
  <c r="H103" i="50"/>
  <c r="B12" i="32"/>
  <c r="B13" i="32"/>
  <c r="A14" i="32"/>
  <c r="Q14" i="32" s="1"/>
  <c r="B14" i="32"/>
  <c r="A15" i="32"/>
  <c r="Q15" i="32" s="1"/>
  <c r="B15" i="32"/>
  <c r="I93" i="32"/>
  <c r="J93" i="32"/>
  <c r="L93" i="32"/>
  <c r="F93" i="32"/>
  <c r="AM93" i="32" s="1"/>
  <c r="N93" i="32"/>
  <c r="K93" i="32"/>
  <c r="H93" i="32"/>
  <c r="G93" i="32"/>
  <c r="M93" i="32"/>
  <c r="O93" i="32"/>
  <c r="F13" i="32"/>
  <c r="AM13" i="32" s="1"/>
  <c r="N13" i="32"/>
  <c r="L14" i="32"/>
  <c r="J15" i="32"/>
  <c r="G13" i="32"/>
  <c r="O13" i="32"/>
  <c r="M14" i="32"/>
  <c r="K15" i="32"/>
  <c r="H13" i="32"/>
  <c r="F14" i="32"/>
  <c r="AM14" i="32" s="1"/>
  <c r="N14" i="32"/>
  <c r="L15" i="32"/>
  <c r="I13" i="32"/>
  <c r="G14" i="32"/>
  <c r="O14" i="32"/>
  <c r="M15" i="32"/>
  <c r="H15" i="32"/>
  <c r="J13" i="32"/>
  <c r="H14" i="32"/>
  <c r="F15" i="32"/>
  <c r="AM15" i="32" s="1"/>
  <c r="N15" i="32"/>
  <c r="J14" i="32"/>
  <c r="K13" i="32"/>
  <c r="I14" i="32"/>
  <c r="G15" i="32"/>
  <c r="O15" i="32"/>
  <c r="L13" i="32"/>
  <c r="M13" i="32"/>
  <c r="K14" i="32"/>
  <c r="I15" i="32"/>
  <c r="J12" i="32"/>
  <c r="K12" i="32"/>
  <c r="H12" i="32"/>
  <c r="G12" i="32"/>
  <c r="Q162" i="57"/>
  <c r="T162" i="57" s="1"/>
  <c r="I163" i="57"/>
  <c r="F163" i="57"/>
  <c r="E163" i="57"/>
  <c r="D163" i="57"/>
  <c r="P163" i="57"/>
  <c r="J163" i="57"/>
  <c r="H163" i="57"/>
  <c r="G163" i="57"/>
  <c r="C163" i="57"/>
  <c r="M163" i="57" s="1"/>
  <c r="K163" i="57"/>
  <c r="W101" i="50"/>
  <c r="X101" i="50" s="1"/>
  <c r="Z101" i="50"/>
  <c r="AK162" i="55" a="1"/>
  <c r="AK162" i="55" s="1"/>
  <c r="B164" i="57" s="1"/>
  <c r="O164" i="57" s="1"/>
  <c r="C148" i="69"/>
  <c r="AN148" i="67" a="1"/>
  <c r="AN148" i="67" s="1"/>
  <c r="B149" i="69"/>
  <c r="N147" i="69"/>
  <c r="AF147" i="69" s="1"/>
  <c r="D147" i="69"/>
  <c r="E147" i="69" s="1"/>
  <c r="F147" i="69" s="1"/>
  <c r="G147" i="69" s="1"/>
  <c r="H147" i="69" s="1"/>
  <c r="I147" i="69" s="1"/>
  <c r="J147" i="69" s="1"/>
  <c r="K147" i="69" s="1"/>
  <c r="M147" i="69" s="1"/>
  <c r="Q146" i="69"/>
  <c r="AE146" i="69"/>
  <c r="R146" i="69"/>
  <c r="S146" i="69" s="1"/>
  <c r="Y146" i="69" s="1"/>
  <c r="U146" i="69"/>
  <c r="AL93" i="11" a="1"/>
  <c r="AL93" i="11" s="1"/>
  <c r="E94" i="32" s="1"/>
  <c r="AL103" i="59" a="1"/>
  <c r="AL103" i="59" s="1"/>
  <c r="E104" i="50" s="1"/>
  <c r="AB161" i="57" l="1"/>
  <c r="X162" i="57"/>
  <c r="AA162" i="57" s="1"/>
  <c r="AF161" i="57"/>
  <c r="AB146" i="69"/>
  <c r="AC146" i="69" s="1"/>
  <c r="AD146" i="69" s="1"/>
  <c r="AG146" i="69"/>
  <c r="AO148" i="69"/>
  <c r="P148" i="69"/>
  <c r="L149" i="69"/>
  <c r="O149" i="69"/>
  <c r="AK104" i="50"/>
  <c r="T104" i="50"/>
  <c r="AE163" i="53"/>
  <c r="AC163" i="53"/>
  <c r="AF162" i="53"/>
  <c r="AB162" i="53"/>
  <c r="AA162" i="53"/>
  <c r="AK94" i="32"/>
  <c r="T94" i="32"/>
  <c r="AE163" i="57"/>
  <c r="AC163" i="57"/>
  <c r="AM103" i="50"/>
  <c r="U103" i="50"/>
  <c r="AD102" i="50"/>
  <c r="AG102" i="50" s="1"/>
  <c r="AH102" i="50" s="1"/>
  <c r="AI102" i="50" s="1"/>
  <c r="U93" i="32"/>
  <c r="U23" i="32"/>
  <c r="U92" i="32"/>
  <c r="U90" i="32"/>
  <c r="U89" i="32"/>
  <c r="U85" i="32"/>
  <c r="U81" i="32"/>
  <c r="U77" i="32"/>
  <c r="U72" i="32"/>
  <c r="U71" i="32"/>
  <c r="U65" i="32"/>
  <c r="U64" i="32"/>
  <c r="U53" i="32"/>
  <c r="U44" i="32"/>
  <c r="U41" i="32"/>
  <c r="U38" i="32"/>
  <c r="U37" i="32"/>
  <c r="U28" i="32"/>
  <c r="U25" i="32"/>
  <c r="U88" i="32"/>
  <c r="U24" i="32"/>
  <c r="U91" i="32"/>
  <c r="U86" i="32"/>
  <c r="U79" i="32"/>
  <c r="U78" i="32"/>
  <c r="U75" i="32"/>
  <c r="U68" i="32"/>
  <c r="U62" i="32"/>
  <c r="U54" i="32"/>
  <c r="U52" i="32"/>
  <c r="U51" i="32"/>
  <c r="U48" i="32"/>
  <c r="U46" i="32"/>
  <c r="U40" i="32"/>
  <c r="U39" i="32"/>
  <c r="U32" i="32"/>
  <c r="U26" i="32"/>
  <c r="U22" i="32"/>
  <c r="U82" i="32"/>
  <c r="U80" i="32"/>
  <c r="U76" i="32"/>
  <c r="U73" i="32"/>
  <c r="U69" i="32"/>
  <c r="U66" i="32"/>
  <c r="U60" i="32"/>
  <c r="U58" i="32"/>
  <c r="U56" i="32"/>
  <c r="U55" i="32"/>
  <c r="U50" i="32"/>
  <c r="U49" i="32"/>
  <c r="U43" i="32"/>
  <c r="U42" i="32"/>
  <c r="U36" i="32"/>
  <c r="U31" i="32"/>
  <c r="U29" i="32"/>
  <c r="U87" i="32"/>
  <c r="U84" i="32"/>
  <c r="U83" i="32"/>
  <c r="U74" i="32"/>
  <c r="U70" i="32"/>
  <c r="U67" i="32"/>
  <c r="U63" i="32"/>
  <c r="U61" i="32"/>
  <c r="U59" i="32"/>
  <c r="U57" i="32"/>
  <c r="U47" i="32"/>
  <c r="U45" i="32"/>
  <c r="U35" i="32"/>
  <c r="U34" i="32"/>
  <c r="U33" i="32"/>
  <c r="U30" i="32"/>
  <c r="U27" i="32"/>
  <c r="AD5" i="32"/>
  <c r="AP100" i="50"/>
  <c r="R163" i="57"/>
  <c r="R163" i="53"/>
  <c r="X163" i="53" s="1"/>
  <c r="R87" i="32"/>
  <c r="S87" i="32" s="1"/>
  <c r="R85" i="32"/>
  <c r="S85" i="32" s="1"/>
  <c r="R77" i="32"/>
  <c r="S77" i="32" s="1"/>
  <c r="R58" i="32"/>
  <c r="S58" i="32" s="1"/>
  <c r="R48" i="32"/>
  <c r="S48" i="32" s="1"/>
  <c r="R47" i="32"/>
  <c r="S47" i="32" s="1"/>
  <c r="R44" i="32"/>
  <c r="S44" i="32" s="1"/>
  <c r="R42" i="32"/>
  <c r="S42" i="32" s="1"/>
  <c r="R35" i="32"/>
  <c r="S35" i="32" s="1"/>
  <c r="R90" i="32"/>
  <c r="S90" i="32" s="1"/>
  <c r="R81" i="32"/>
  <c r="S81" i="32" s="1"/>
  <c r="R75" i="32"/>
  <c r="S75" i="32" s="1"/>
  <c r="R59" i="32"/>
  <c r="S59" i="32" s="1"/>
  <c r="R56" i="32"/>
  <c r="S56" i="32" s="1"/>
  <c r="R55" i="32"/>
  <c r="S55" i="32" s="1"/>
  <c r="R45" i="32"/>
  <c r="S45" i="32" s="1"/>
  <c r="R30" i="32"/>
  <c r="S30" i="32" s="1"/>
  <c r="R92" i="32"/>
  <c r="S92" i="32" s="1"/>
  <c r="R83" i="32"/>
  <c r="S83" i="32" s="1"/>
  <c r="R53" i="32"/>
  <c r="S53" i="32" s="1"/>
  <c r="R52" i="32"/>
  <c r="S52" i="32" s="1"/>
  <c r="R50" i="32"/>
  <c r="S50" i="32" s="1"/>
  <c r="R43" i="32"/>
  <c r="S43" i="32" s="1"/>
  <c r="R38" i="32"/>
  <c r="S38" i="32" s="1"/>
  <c r="R25" i="32"/>
  <c r="S25" i="32" s="1"/>
  <c r="R78" i="32"/>
  <c r="S78" i="32" s="1"/>
  <c r="R74" i="32"/>
  <c r="S74" i="32" s="1"/>
  <c r="R67" i="32"/>
  <c r="S67" i="32" s="1"/>
  <c r="R29" i="32"/>
  <c r="S29" i="32" s="1"/>
  <c r="R26" i="32"/>
  <c r="S26" i="32" s="1"/>
  <c r="R86" i="32"/>
  <c r="S86" i="32" s="1"/>
  <c r="R82" i="32"/>
  <c r="S82" i="32" s="1"/>
  <c r="R80" i="32"/>
  <c r="S80" i="32" s="1"/>
  <c r="R72" i="32"/>
  <c r="S72" i="32" s="1"/>
  <c r="R65" i="32"/>
  <c r="S65" i="32" s="1"/>
  <c r="R63" i="32"/>
  <c r="S63" i="32" s="1"/>
  <c r="R49" i="32"/>
  <c r="S49" i="32" s="1"/>
  <c r="R40" i="32"/>
  <c r="S40" i="32" s="1"/>
  <c r="R32" i="32"/>
  <c r="S32" i="32" s="1"/>
  <c r="R89" i="32"/>
  <c r="S89" i="32" s="1"/>
  <c r="R70" i="32"/>
  <c r="S70" i="32" s="1"/>
  <c r="R68" i="32"/>
  <c r="S68" i="32" s="1"/>
  <c r="R66" i="32"/>
  <c r="S66" i="32" s="1"/>
  <c r="R64" i="32"/>
  <c r="S64" i="32" s="1"/>
  <c r="R62" i="32"/>
  <c r="S62" i="32" s="1"/>
  <c r="R61" i="32"/>
  <c r="S61" i="32" s="1"/>
  <c r="R34" i="32"/>
  <c r="S34" i="32" s="1"/>
  <c r="R33" i="32"/>
  <c r="S33" i="32" s="1"/>
  <c r="R31" i="32"/>
  <c r="S31" i="32" s="1"/>
  <c r="R91" i="32"/>
  <c r="S91" i="32" s="1"/>
  <c r="R88" i="32"/>
  <c r="S88" i="32" s="1"/>
  <c r="R84" i="32"/>
  <c r="S84" i="32" s="1"/>
  <c r="R79" i="32"/>
  <c r="S79" i="32" s="1"/>
  <c r="R76" i="32"/>
  <c r="S76" i="32" s="1"/>
  <c r="R69" i="32"/>
  <c r="S69" i="32" s="1"/>
  <c r="R60" i="32"/>
  <c r="S60" i="32" s="1"/>
  <c r="R57" i="32"/>
  <c r="S57" i="32" s="1"/>
  <c r="R41" i="32"/>
  <c r="S41" i="32" s="1"/>
  <c r="R39" i="32"/>
  <c r="S39" i="32" s="1"/>
  <c r="R37" i="32"/>
  <c r="S37" i="32" s="1"/>
  <c r="R28" i="32"/>
  <c r="S28" i="32" s="1"/>
  <c r="R73" i="32"/>
  <c r="S73" i="32" s="1"/>
  <c r="R71" i="32"/>
  <c r="S71" i="32" s="1"/>
  <c r="R54" i="32"/>
  <c r="S54" i="32" s="1"/>
  <c r="R51" i="32"/>
  <c r="S51" i="32" s="1"/>
  <c r="R46" i="32"/>
  <c r="S46" i="32" s="1"/>
  <c r="R36" i="32"/>
  <c r="S36" i="32" s="1"/>
  <c r="R27" i="32"/>
  <c r="S27" i="32" s="1"/>
  <c r="AL101" i="50"/>
  <c r="Q79" i="32"/>
  <c r="P79" i="32" s="1"/>
  <c r="Q80" i="32"/>
  <c r="P80" i="32" s="1"/>
  <c r="Q75" i="32"/>
  <c r="P75" i="32" s="1"/>
  <c r="Q73" i="32"/>
  <c r="P73" i="32" s="1"/>
  <c r="Q48" i="32"/>
  <c r="P48" i="32" s="1"/>
  <c r="Q47" i="32"/>
  <c r="P47" i="32" s="1"/>
  <c r="Q44" i="32"/>
  <c r="P44" i="32" s="1"/>
  <c r="Q93" i="32"/>
  <c r="P93" i="32" s="1"/>
  <c r="Q21" i="32"/>
  <c r="P21" i="32" s="1"/>
  <c r="Q87" i="32"/>
  <c r="P87" i="32" s="1"/>
  <c r="Q56" i="32"/>
  <c r="P56" i="32" s="1"/>
  <c r="Q52" i="32"/>
  <c r="P52" i="32" s="1"/>
  <c r="Q50" i="32"/>
  <c r="P50" i="32" s="1"/>
  <c r="Q45" i="32"/>
  <c r="P45" i="32" s="1"/>
  <c r="Q34" i="32"/>
  <c r="P34" i="32" s="1"/>
  <c r="Q30" i="32"/>
  <c r="P30" i="32" s="1"/>
  <c r="Q23" i="32"/>
  <c r="P23" i="32" s="1"/>
  <c r="Q89" i="32"/>
  <c r="P89" i="32" s="1"/>
  <c r="Q85" i="32"/>
  <c r="P85" i="32" s="1"/>
  <c r="Q90" i="32"/>
  <c r="P90" i="32" s="1"/>
  <c r="Q74" i="32"/>
  <c r="P74" i="32" s="1"/>
  <c r="Q58" i="32"/>
  <c r="P58" i="32" s="1"/>
  <c r="Q53" i="32"/>
  <c r="P53" i="32" s="1"/>
  <c r="Q43" i="32"/>
  <c r="P43" i="32" s="1"/>
  <c r="Q42" i="32"/>
  <c r="P42" i="32" s="1"/>
  <c r="Q38" i="32"/>
  <c r="P38" i="32" s="1"/>
  <c r="Q25" i="32"/>
  <c r="P25" i="32" s="1"/>
  <c r="Q24" i="32"/>
  <c r="P24" i="32" s="1"/>
  <c r="Q20" i="32"/>
  <c r="P20" i="32" s="1"/>
  <c r="Q18" i="32"/>
  <c r="P18" i="32" s="1"/>
  <c r="Q92" i="32"/>
  <c r="P92" i="32" s="1"/>
  <c r="Q81" i="32"/>
  <c r="P81" i="32" s="1"/>
  <c r="Q78" i="32"/>
  <c r="P78" i="32" s="1"/>
  <c r="Q77" i="32"/>
  <c r="P77" i="32" s="1"/>
  <c r="Q76" i="32"/>
  <c r="P76" i="32" s="1"/>
  <c r="Q68" i="32"/>
  <c r="P68" i="32" s="1"/>
  <c r="Q26" i="32"/>
  <c r="P26" i="32" s="1"/>
  <c r="Q91" i="32"/>
  <c r="P91" i="32" s="1"/>
  <c r="Q22" i="32"/>
  <c r="P22" i="32" s="1"/>
  <c r="Q86" i="32"/>
  <c r="P86" i="32" s="1"/>
  <c r="Q82" i="32"/>
  <c r="P82" i="32" s="1"/>
  <c r="Q72" i="32"/>
  <c r="P72" i="32" s="1"/>
  <c r="Q57" i="32"/>
  <c r="P57" i="32" s="1"/>
  <c r="Q55" i="32"/>
  <c r="P55" i="32" s="1"/>
  <c r="Q49" i="32"/>
  <c r="P49" i="32" s="1"/>
  <c r="Q40" i="32"/>
  <c r="P40" i="32" s="1"/>
  <c r="Q39" i="32"/>
  <c r="P39" i="32" s="1"/>
  <c r="Q29" i="32"/>
  <c r="P29" i="32" s="1"/>
  <c r="Q83" i="32"/>
  <c r="P83" i="32" s="1"/>
  <c r="Q67" i="32"/>
  <c r="P67" i="32" s="1"/>
  <c r="Q62" i="32"/>
  <c r="P62" i="32" s="1"/>
  <c r="Q59" i="32"/>
  <c r="P59" i="32" s="1"/>
  <c r="Q35" i="32"/>
  <c r="P35" i="32" s="1"/>
  <c r="Q33" i="32"/>
  <c r="P33" i="32" s="1"/>
  <c r="Q31" i="32"/>
  <c r="P31" i="32" s="1"/>
  <c r="Q41" i="32"/>
  <c r="P41" i="32" s="1"/>
  <c r="Q37" i="32"/>
  <c r="P37" i="32" s="1"/>
  <c r="Q28" i="32"/>
  <c r="P28" i="32" s="1"/>
  <c r="Q65" i="32"/>
  <c r="P65" i="32" s="1"/>
  <c r="Q19" i="32"/>
  <c r="P19" i="32" s="1"/>
  <c r="Q17" i="32"/>
  <c r="P17" i="32" s="1"/>
  <c r="Q88" i="32"/>
  <c r="P88" i="32" s="1"/>
  <c r="Q84" i="32"/>
  <c r="P84" i="32" s="1"/>
  <c r="Q71" i="32"/>
  <c r="P71" i="32" s="1"/>
  <c r="Q69" i="32"/>
  <c r="P69" i="32" s="1"/>
  <c r="Q70" i="32"/>
  <c r="P70" i="32" s="1"/>
  <c r="Q66" i="32"/>
  <c r="P66" i="32" s="1"/>
  <c r="Q64" i="32"/>
  <c r="P64" i="32" s="1"/>
  <c r="Q63" i="32"/>
  <c r="P63" i="32" s="1"/>
  <c r="Q60" i="32"/>
  <c r="P60" i="32" s="1"/>
  <c r="Q61" i="32"/>
  <c r="P61" i="32" s="1"/>
  <c r="Q54" i="32"/>
  <c r="P54" i="32" s="1"/>
  <c r="Q51" i="32"/>
  <c r="P51" i="32" s="1"/>
  <c r="Q46" i="32"/>
  <c r="P46" i="32" s="1"/>
  <c r="Q36" i="32"/>
  <c r="P36" i="32" s="1"/>
  <c r="Q32" i="32"/>
  <c r="P32" i="32" s="1"/>
  <c r="Q27" i="32"/>
  <c r="P27" i="32" s="1"/>
  <c r="P16" i="32"/>
  <c r="P15" i="32"/>
  <c r="S14" i="32"/>
  <c r="V14" i="32" s="1"/>
  <c r="S21" i="32"/>
  <c r="S24" i="32"/>
  <c r="S20" i="32"/>
  <c r="S18" i="32"/>
  <c r="S22" i="32"/>
  <c r="S23" i="32"/>
  <c r="S19" i="32"/>
  <c r="S17" i="32"/>
  <c r="AX147" i="69"/>
  <c r="AG164" i="57"/>
  <c r="L164" i="57"/>
  <c r="O104" i="50"/>
  <c r="AJ163" i="57"/>
  <c r="AP163" i="57"/>
  <c r="P14" i="32"/>
  <c r="AG163" i="53"/>
  <c r="AH163" i="53"/>
  <c r="AT163" i="53"/>
  <c r="S16" i="32"/>
  <c r="N164" i="57"/>
  <c r="K164" i="53"/>
  <c r="N164" i="53"/>
  <c r="AH147" i="69"/>
  <c r="AJ102" i="50"/>
  <c r="C102" i="50"/>
  <c r="AD163" i="57"/>
  <c r="Q163" i="53"/>
  <c r="AD163" i="53"/>
  <c r="P13" i="32"/>
  <c r="V102" i="50"/>
  <c r="S103" i="50"/>
  <c r="P12" i="32"/>
  <c r="S93" i="32"/>
  <c r="P164" i="53"/>
  <c r="J164" i="53"/>
  <c r="D164" i="53"/>
  <c r="C164" i="53"/>
  <c r="AK163" i="52" a="1"/>
  <c r="AK163" i="52" s="1"/>
  <c r="B165" i="53" s="1"/>
  <c r="O165" i="53" s="1"/>
  <c r="H164" i="53"/>
  <c r="M164" i="53"/>
  <c r="L164" i="53"/>
  <c r="E164" i="53"/>
  <c r="G164" i="53"/>
  <c r="F164" i="53"/>
  <c r="I164" i="53"/>
  <c r="A94" i="32"/>
  <c r="B94" i="32"/>
  <c r="R94" i="32" s="1"/>
  <c r="G104" i="50"/>
  <c r="M104" i="50"/>
  <c r="B104" i="50"/>
  <c r="R104" i="50" s="1"/>
  <c r="I104" i="50"/>
  <c r="N104" i="50"/>
  <c r="K104" i="50"/>
  <c r="L104" i="50"/>
  <c r="F104" i="50"/>
  <c r="H104" i="50"/>
  <c r="A104" i="50"/>
  <c r="Q104" i="50" s="1"/>
  <c r="P104" i="50" s="1"/>
  <c r="J104" i="50"/>
  <c r="G94" i="32"/>
  <c r="O94" i="32"/>
  <c r="H94" i="32"/>
  <c r="J94" i="32"/>
  <c r="L94" i="32"/>
  <c r="F94" i="32"/>
  <c r="AM94" i="32" s="1"/>
  <c r="I94" i="32"/>
  <c r="N94" i="32"/>
  <c r="M94" i="32"/>
  <c r="K94" i="32"/>
  <c r="Q163" i="57"/>
  <c r="T163" i="57" s="1"/>
  <c r="W102" i="50"/>
  <c r="X102" i="50" s="1"/>
  <c r="Z102" i="50"/>
  <c r="P164" i="57"/>
  <c r="K164" i="57"/>
  <c r="H164" i="57"/>
  <c r="F164" i="57"/>
  <c r="C164" i="57"/>
  <c r="M164" i="57" s="1"/>
  <c r="I164" i="57"/>
  <c r="E164" i="57"/>
  <c r="G164" i="57"/>
  <c r="D164" i="57"/>
  <c r="J164" i="57"/>
  <c r="AK163" i="55" a="1"/>
  <c r="AK163" i="55" s="1"/>
  <c r="B165" i="57" s="1"/>
  <c r="O165" i="57" s="1"/>
  <c r="AN149" i="67" a="1"/>
  <c r="AN149" i="67" s="1"/>
  <c r="B150" i="69"/>
  <c r="D148" i="69"/>
  <c r="E148" i="69" s="1"/>
  <c r="F148" i="69" s="1"/>
  <c r="G148" i="69" s="1"/>
  <c r="H148" i="69" s="1"/>
  <c r="I148" i="69" s="1"/>
  <c r="J148" i="69" s="1"/>
  <c r="K148" i="69" s="1"/>
  <c r="M148" i="69" s="1"/>
  <c r="N148" i="69"/>
  <c r="AF148" i="69" s="1"/>
  <c r="U147" i="69"/>
  <c r="AE147" i="69"/>
  <c r="Q147" i="69"/>
  <c r="R147" i="69"/>
  <c r="S147" i="69" s="1"/>
  <c r="Y147" i="69" s="1"/>
  <c r="C149" i="69"/>
  <c r="AL94" i="11" a="1"/>
  <c r="AL94" i="11" s="1"/>
  <c r="AL104" i="59" a="1"/>
  <c r="AL104" i="59" s="1"/>
  <c r="E105" i="50" s="1"/>
  <c r="AF162" i="57" l="1"/>
  <c r="AB162" i="57"/>
  <c r="AB147" i="69"/>
  <c r="AC147" i="69" s="1"/>
  <c r="AD147" i="69" s="1"/>
  <c r="AG147" i="69"/>
  <c r="L150" i="69"/>
  <c r="O150" i="69"/>
  <c r="AO149" i="69"/>
  <c r="P149" i="69"/>
  <c r="T105" i="50"/>
  <c r="AK105" i="50"/>
  <c r="X163" i="57"/>
  <c r="AA163" i="57" s="1"/>
  <c r="AB163" i="53"/>
  <c r="AA163" i="53"/>
  <c r="AF163" i="53"/>
  <c r="AC164" i="53"/>
  <c r="AE164" i="53"/>
  <c r="AD30" i="32"/>
  <c r="AG30" i="32" s="1"/>
  <c r="AH30" i="32" s="1"/>
  <c r="AD45" i="32"/>
  <c r="AG45" i="32" s="1"/>
  <c r="AH45" i="32" s="1"/>
  <c r="AD57" i="32"/>
  <c r="AD61" i="32"/>
  <c r="AG61" i="32" s="1"/>
  <c r="AH61" i="32" s="1"/>
  <c r="AD67" i="32"/>
  <c r="AG67" i="32" s="1"/>
  <c r="AH67" i="32" s="1"/>
  <c r="AD84" i="32"/>
  <c r="AG84" i="32" s="1"/>
  <c r="AH84" i="32" s="1"/>
  <c r="AD29" i="32"/>
  <c r="AG29" i="32" s="1"/>
  <c r="AH29" i="32" s="1"/>
  <c r="AD50" i="32"/>
  <c r="AG50" i="32" s="1"/>
  <c r="AH50" i="32" s="1"/>
  <c r="AD56" i="32"/>
  <c r="AG56" i="32" s="1"/>
  <c r="AH56" i="32" s="1"/>
  <c r="AD60" i="32"/>
  <c r="AG60" i="32" s="1"/>
  <c r="AH60" i="32" s="1"/>
  <c r="AD82" i="32"/>
  <c r="AG82" i="32" s="1"/>
  <c r="AH82" i="32" s="1"/>
  <c r="AD76" i="32"/>
  <c r="AG76" i="32" s="1"/>
  <c r="AH76" i="32" s="1"/>
  <c r="AD26" i="32"/>
  <c r="AG26" i="32" s="1"/>
  <c r="AH26" i="32" s="1"/>
  <c r="AD46" i="32"/>
  <c r="AG46" i="32" s="1"/>
  <c r="AH46" i="32" s="1"/>
  <c r="AD51" i="32"/>
  <c r="AG51" i="32" s="1"/>
  <c r="AH51" i="32" s="1"/>
  <c r="AD54" i="32"/>
  <c r="AG54" i="32" s="1"/>
  <c r="AH54" i="32" s="1"/>
  <c r="AD68" i="32"/>
  <c r="AG68" i="32" s="1"/>
  <c r="AH68" i="32" s="1"/>
  <c r="AD78" i="32"/>
  <c r="AG78" i="32" s="1"/>
  <c r="AH78" i="32" s="1"/>
  <c r="AD28" i="32"/>
  <c r="AD38" i="32"/>
  <c r="AG38" i="32" s="1"/>
  <c r="AH38" i="32" s="1"/>
  <c r="AD64" i="32"/>
  <c r="AG64" i="32" s="1"/>
  <c r="AH64" i="32" s="1"/>
  <c r="AD85" i="32"/>
  <c r="AG85" i="32" s="1"/>
  <c r="AH85" i="32" s="1"/>
  <c r="AD90" i="32"/>
  <c r="AG90" i="32" s="1"/>
  <c r="AH90" i="32" s="1"/>
  <c r="AD47" i="32"/>
  <c r="AG47" i="32" s="1"/>
  <c r="AH47" i="32" s="1"/>
  <c r="AD34" i="32"/>
  <c r="AG34" i="32" s="1"/>
  <c r="AH34" i="32" s="1"/>
  <c r="AD74" i="32"/>
  <c r="AG74" i="32" s="1"/>
  <c r="AH74" i="32" s="1"/>
  <c r="AD69" i="32"/>
  <c r="AG69" i="32" s="1"/>
  <c r="AH69" i="32" s="1"/>
  <c r="AD44" i="32"/>
  <c r="AD71" i="32"/>
  <c r="AD77" i="32"/>
  <c r="AD36" i="32"/>
  <c r="AD43" i="32"/>
  <c r="AD86" i="32"/>
  <c r="AD39" i="32"/>
  <c r="AD27" i="32"/>
  <c r="AG27" i="32" s="1"/>
  <c r="AH27" i="32" s="1"/>
  <c r="AD33" i="32"/>
  <c r="AG33" i="32" s="1"/>
  <c r="AH33" i="32" s="1"/>
  <c r="AD35" i="32"/>
  <c r="AG35" i="32" s="1"/>
  <c r="AH35" i="32" s="1"/>
  <c r="AD59" i="32"/>
  <c r="AG59" i="32" s="1"/>
  <c r="AH59" i="32" s="1"/>
  <c r="AD63" i="32"/>
  <c r="AG63" i="32" s="1"/>
  <c r="AH63" i="32" s="1"/>
  <c r="AD70" i="32"/>
  <c r="AG70" i="32" s="1"/>
  <c r="AH70" i="32" s="1"/>
  <c r="AD83" i="32"/>
  <c r="AD87" i="32"/>
  <c r="AG87" i="32" s="1"/>
  <c r="AH87" i="32" s="1"/>
  <c r="AD31" i="32"/>
  <c r="AG31" i="32" s="1"/>
  <c r="AH31" i="32" s="1"/>
  <c r="AD42" i="32"/>
  <c r="AG42" i="32" s="1"/>
  <c r="AH42" i="32" s="1"/>
  <c r="AD49" i="32"/>
  <c r="AG49" i="32" s="1"/>
  <c r="AH49" i="32" s="1"/>
  <c r="AD55" i="32"/>
  <c r="AG55" i="32" s="1"/>
  <c r="AH55" i="32" s="1"/>
  <c r="AD58" i="32"/>
  <c r="AG58" i="32" s="1"/>
  <c r="AH58" i="32" s="1"/>
  <c r="AD66" i="32"/>
  <c r="AG66" i="32" s="1"/>
  <c r="AH66" i="32" s="1"/>
  <c r="AD73" i="32"/>
  <c r="AG73" i="32" s="1"/>
  <c r="AH73" i="32" s="1"/>
  <c r="AD80" i="32"/>
  <c r="AG80" i="32" s="1"/>
  <c r="AH80" i="32" s="1"/>
  <c r="AD22" i="32"/>
  <c r="AD32" i="32"/>
  <c r="AG32" i="32" s="1"/>
  <c r="AH32" i="32" s="1"/>
  <c r="AD40" i="32"/>
  <c r="AG40" i="32" s="1"/>
  <c r="AH40" i="32" s="1"/>
  <c r="AD48" i="32"/>
  <c r="AG48" i="32" s="1"/>
  <c r="AH48" i="32" s="1"/>
  <c r="AD52" i="32"/>
  <c r="AG52" i="32" s="1"/>
  <c r="AH52" i="32" s="1"/>
  <c r="AD62" i="32"/>
  <c r="AD75" i="32"/>
  <c r="AG75" i="32" s="1"/>
  <c r="AH75" i="32" s="1"/>
  <c r="AD79" i="32"/>
  <c r="AG79" i="32" s="1"/>
  <c r="AH79" i="32" s="1"/>
  <c r="AD91" i="32"/>
  <c r="AG91" i="32" s="1"/>
  <c r="AH91" i="32" s="1"/>
  <c r="AD24" i="32"/>
  <c r="AD88" i="32"/>
  <c r="AG88" i="32" s="1"/>
  <c r="AH88" i="32" s="1"/>
  <c r="AD25" i="32"/>
  <c r="AG25" i="32" s="1"/>
  <c r="AH25" i="32" s="1"/>
  <c r="AD37" i="32"/>
  <c r="AG37" i="32" s="1"/>
  <c r="AH37" i="32" s="1"/>
  <c r="AD41" i="32"/>
  <c r="AG41" i="32" s="1"/>
  <c r="AH41" i="32" s="1"/>
  <c r="AD53" i="32"/>
  <c r="AG53" i="32" s="1"/>
  <c r="AH53" i="32" s="1"/>
  <c r="AD65" i="32"/>
  <c r="AD72" i="32"/>
  <c r="AG72" i="32" s="1"/>
  <c r="AH72" i="32" s="1"/>
  <c r="AD81" i="32"/>
  <c r="AD89" i="32"/>
  <c r="AG89" i="32" s="1"/>
  <c r="AH89" i="32" s="1"/>
  <c r="AD92" i="32"/>
  <c r="AD23" i="32"/>
  <c r="AD93" i="32"/>
  <c r="AE164" i="57"/>
  <c r="AC164" i="57"/>
  <c r="AM104" i="50"/>
  <c r="U104" i="50"/>
  <c r="AD103" i="50"/>
  <c r="AG103" i="50" s="1"/>
  <c r="AH103" i="50" s="1"/>
  <c r="AI103" i="50" s="1"/>
  <c r="U94" i="32"/>
  <c r="AP101" i="50"/>
  <c r="R164" i="57"/>
  <c r="R164" i="53"/>
  <c r="X164" i="53" s="1"/>
  <c r="W54" i="32"/>
  <c r="X54" i="32" s="1"/>
  <c r="V54" i="32"/>
  <c r="AJ54" i="32"/>
  <c r="C54" i="32"/>
  <c r="Z54" i="32"/>
  <c r="C60" i="32"/>
  <c r="Z60" i="32"/>
  <c r="V60" i="32"/>
  <c r="AJ60" i="32"/>
  <c r="W60" i="32"/>
  <c r="X60" i="32" s="1"/>
  <c r="Z33" i="32"/>
  <c r="V33" i="32"/>
  <c r="AJ33" i="32"/>
  <c r="C33" i="32"/>
  <c r="W33" i="32"/>
  <c r="X33" i="32" s="1"/>
  <c r="AJ89" i="32"/>
  <c r="C89" i="32"/>
  <c r="Z89" i="32"/>
  <c r="W89" i="32"/>
  <c r="X89" i="32" s="1"/>
  <c r="V89" i="32"/>
  <c r="W82" i="32"/>
  <c r="X82" i="32" s="1"/>
  <c r="V82" i="32"/>
  <c r="C82" i="32"/>
  <c r="AJ82" i="32"/>
  <c r="Z82" i="32"/>
  <c r="Z38" i="32"/>
  <c r="AJ38" i="32"/>
  <c r="C38" i="32"/>
  <c r="W38" i="32"/>
  <c r="X38" i="32" s="1"/>
  <c r="V38" i="32"/>
  <c r="Z45" i="32"/>
  <c r="V45" i="32"/>
  <c r="AJ45" i="32"/>
  <c r="C45" i="32"/>
  <c r="W45" i="32"/>
  <c r="X45" i="32" s="1"/>
  <c r="W42" i="32"/>
  <c r="X42" i="32" s="1"/>
  <c r="V42" i="32"/>
  <c r="AJ42" i="32"/>
  <c r="Z42" i="32"/>
  <c r="C42" i="32"/>
  <c r="AJ34" i="32"/>
  <c r="C34" i="32"/>
  <c r="W34" i="32"/>
  <c r="X34" i="32" s="1"/>
  <c r="Z34" i="32"/>
  <c r="V34" i="32"/>
  <c r="V43" i="32"/>
  <c r="AJ43" i="32"/>
  <c r="C43" i="32"/>
  <c r="W43" i="32"/>
  <c r="X43" i="32" s="1"/>
  <c r="Z43" i="32"/>
  <c r="Z55" i="32"/>
  <c r="V55" i="32"/>
  <c r="C55" i="32"/>
  <c r="W55" i="32"/>
  <c r="X55" i="32" s="1"/>
  <c r="AJ55" i="32"/>
  <c r="AJ44" i="32"/>
  <c r="C44" i="32"/>
  <c r="W44" i="32"/>
  <c r="X44" i="32" s="1"/>
  <c r="Z44" i="32"/>
  <c r="V44" i="32"/>
  <c r="AJ32" i="32"/>
  <c r="C32" i="32"/>
  <c r="V32" i="32"/>
  <c r="W32" i="32"/>
  <c r="X32" i="32" s="1"/>
  <c r="Z32" i="32"/>
  <c r="Z73" i="32"/>
  <c r="W73" i="32"/>
  <c r="X73" i="32" s="1"/>
  <c r="AJ73" i="32"/>
  <c r="C73" i="32"/>
  <c r="V73" i="32"/>
  <c r="V76" i="32"/>
  <c r="AJ76" i="32"/>
  <c r="C76" i="32"/>
  <c r="W76" i="32"/>
  <c r="X76" i="32" s="1"/>
  <c r="Z76" i="32"/>
  <c r="V61" i="32"/>
  <c r="AJ61" i="32"/>
  <c r="C61" i="32"/>
  <c r="W61" i="32"/>
  <c r="X61" i="32" s="1"/>
  <c r="Z61" i="32"/>
  <c r="W40" i="32"/>
  <c r="X40" i="32" s="1"/>
  <c r="AJ40" i="32"/>
  <c r="C40" i="32"/>
  <c r="Z40" i="32"/>
  <c r="V40" i="32"/>
  <c r="C26" i="32"/>
  <c r="W26" i="32"/>
  <c r="X26" i="32" s="1"/>
  <c r="Z26" i="32"/>
  <c r="V26" i="32"/>
  <c r="AJ26" i="32"/>
  <c r="V50" i="32"/>
  <c r="Z50" i="32"/>
  <c r="AJ50" i="32"/>
  <c r="C50" i="32"/>
  <c r="W50" i="32"/>
  <c r="X50" i="32" s="1"/>
  <c r="AJ56" i="32"/>
  <c r="W56" i="32"/>
  <c r="X56" i="32" s="1"/>
  <c r="C56" i="32"/>
  <c r="Z56" i="32"/>
  <c r="V56" i="32"/>
  <c r="V47" i="32"/>
  <c r="AJ47" i="32"/>
  <c r="W47" i="32"/>
  <c r="X47" i="32" s="1"/>
  <c r="Z47" i="32"/>
  <c r="C47" i="32"/>
  <c r="W86" i="32"/>
  <c r="X86" i="32" s="1"/>
  <c r="Z86" i="32"/>
  <c r="AJ86" i="32"/>
  <c r="C86" i="32"/>
  <c r="V86" i="32"/>
  <c r="AJ28" i="32"/>
  <c r="V28" i="32"/>
  <c r="C28" i="32"/>
  <c r="W28" i="32"/>
  <c r="X28" i="32" s="1"/>
  <c r="Z28" i="32"/>
  <c r="C79" i="32"/>
  <c r="W79" i="32"/>
  <c r="X79" i="32" s="1"/>
  <c r="V79" i="32"/>
  <c r="Z79" i="32"/>
  <c r="AJ79" i="32"/>
  <c r="C62" i="32"/>
  <c r="W62" i="32"/>
  <c r="X62" i="32" s="1"/>
  <c r="V62" i="32"/>
  <c r="Z62" i="32"/>
  <c r="AJ62" i="32"/>
  <c r="V49" i="32"/>
  <c r="W49" i="32"/>
  <c r="X49" i="32" s="1"/>
  <c r="Z49" i="32"/>
  <c r="AJ49" i="32"/>
  <c r="C49" i="32"/>
  <c r="V29" i="32"/>
  <c r="Z29" i="32"/>
  <c r="AJ29" i="32"/>
  <c r="C29" i="32"/>
  <c r="W29" i="32"/>
  <c r="X29" i="32" s="1"/>
  <c r="W52" i="32"/>
  <c r="X52" i="32" s="1"/>
  <c r="Z52" i="32"/>
  <c r="V52" i="32"/>
  <c r="AJ52" i="32"/>
  <c r="C52" i="32"/>
  <c r="V59" i="32"/>
  <c r="AJ59" i="32"/>
  <c r="C59" i="32"/>
  <c r="Z59" i="32"/>
  <c r="W59" i="32"/>
  <c r="X59" i="32" s="1"/>
  <c r="AJ48" i="32"/>
  <c r="C48" i="32"/>
  <c r="V48" i="32"/>
  <c r="W48" i="32"/>
  <c r="X48" i="32" s="1"/>
  <c r="Z48" i="32"/>
  <c r="V27" i="32"/>
  <c r="Z27" i="32"/>
  <c r="AJ27" i="32"/>
  <c r="C27" i="32"/>
  <c r="W27" i="32"/>
  <c r="X27" i="32" s="1"/>
  <c r="W37" i="32"/>
  <c r="X37" i="32" s="1"/>
  <c r="Z37" i="32"/>
  <c r="AJ37" i="32"/>
  <c r="V37" i="32"/>
  <c r="C37" i="32"/>
  <c r="AJ84" i="32"/>
  <c r="C84" i="32"/>
  <c r="W84" i="32"/>
  <c r="X84" i="32" s="1"/>
  <c r="Z84" i="32"/>
  <c r="V84" i="32"/>
  <c r="V64" i="32"/>
  <c r="W64" i="32"/>
  <c r="X64" i="32" s="1"/>
  <c r="AJ64" i="32"/>
  <c r="Z64" i="32"/>
  <c r="C64" i="32"/>
  <c r="V63" i="32"/>
  <c r="AJ63" i="32"/>
  <c r="C63" i="32"/>
  <c r="W63" i="32"/>
  <c r="X63" i="32" s="1"/>
  <c r="Z63" i="32"/>
  <c r="W67" i="32"/>
  <c r="X67" i="32" s="1"/>
  <c r="Z67" i="32"/>
  <c r="AJ67" i="32"/>
  <c r="V67" i="32"/>
  <c r="C67" i="32"/>
  <c r="V53" i="32"/>
  <c r="Z53" i="32"/>
  <c r="AJ53" i="32"/>
  <c r="C53" i="32"/>
  <c r="W53" i="32"/>
  <c r="X53" i="32" s="1"/>
  <c r="AJ75" i="32"/>
  <c r="C75" i="32"/>
  <c r="V75" i="32"/>
  <c r="Z75" i="32"/>
  <c r="W75" i="32"/>
  <c r="X75" i="32" s="1"/>
  <c r="V58" i="32"/>
  <c r="AJ58" i="32"/>
  <c r="W58" i="32"/>
  <c r="X58" i="32" s="1"/>
  <c r="Z58" i="32"/>
  <c r="C58" i="32"/>
  <c r="C71" i="32"/>
  <c r="Z71" i="32"/>
  <c r="AJ71" i="32"/>
  <c r="W71" i="32"/>
  <c r="X71" i="32" s="1"/>
  <c r="V71" i="32"/>
  <c r="V36" i="32"/>
  <c r="W36" i="32"/>
  <c r="X36" i="32" s="1"/>
  <c r="Z36" i="32"/>
  <c r="AJ36" i="32"/>
  <c r="C36" i="32"/>
  <c r="V39" i="32"/>
  <c r="AJ39" i="32"/>
  <c r="W39" i="32"/>
  <c r="X39" i="32" s="1"/>
  <c r="C39" i="32"/>
  <c r="Z39" i="32"/>
  <c r="V88" i="32"/>
  <c r="Z88" i="32"/>
  <c r="AJ88" i="32"/>
  <c r="C88" i="32"/>
  <c r="W88" i="32"/>
  <c r="X88" i="32" s="1"/>
  <c r="V66" i="32"/>
  <c r="AJ66" i="32"/>
  <c r="C66" i="32"/>
  <c r="W66" i="32"/>
  <c r="X66" i="32" s="1"/>
  <c r="Z66" i="32"/>
  <c r="C65" i="32"/>
  <c r="V65" i="32"/>
  <c r="Z65" i="32"/>
  <c r="W65" i="32"/>
  <c r="X65" i="32" s="1"/>
  <c r="AJ65" i="32"/>
  <c r="V74" i="32"/>
  <c r="AJ74" i="32"/>
  <c r="C74" i="32"/>
  <c r="W74" i="32"/>
  <c r="X74" i="32" s="1"/>
  <c r="Z74" i="32"/>
  <c r="V83" i="32"/>
  <c r="Z83" i="32"/>
  <c r="AJ83" i="32"/>
  <c r="C83" i="32"/>
  <c r="W83" i="32"/>
  <c r="X83" i="32" s="1"/>
  <c r="V81" i="32"/>
  <c r="Z81" i="32"/>
  <c r="C81" i="32"/>
  <c r="W81" i="32"/>
  <c r="X81" i="32" s="1"/>
  <c r="AJ81" i="32"/>
  <c r="W77" i="32"/>
  <c r="X77" i="32" s="1"/>
  <c r="Z77" i="32"/>
  <c r="AJ77" i="32"/>
  <c r="V77" i="32"/>
  <c r="C77" i="32"/>
  <c r="V69" i="32"/>
  <c r="C69" i="32"/>
  <c r="Z69" i="32"/>
  <c r="W69" i="32"/>
  <c r="X69" i="32" s="1"/>
  <c r="AJ69" i="32"/>
  <c r="Z46" i="32"/>
  <c r="C46" i="32"/>
  <c r="AJ46" i="32"/>
  <c r="V46" i="32"/>
  <c r="W46" i="32"/>
  <c r="X46" i="32" s="1"/>
  <c r="V41" i="32"/>
  <c r="AJ41" i="32"/>
  <c r="W41" i="32"/>
  <c r="X41" i="32" s="1"/>
  <c r="C41" i="32"/>
  <c r="Z41" i="32"/>
  <c r="V91" i="32"/>
  <c r="AJ91" i="32"/>
  <c r="C91" i="32"/>
  <c r="Z91" i="32"/>
  <c r="W91" i="32"/>
  <c r="X91" i="32" s="1"/>
  <c r="C68" i="32"/>
  <c r="Z68" i="32"/>
  <c r="W68" i="32"/>
  <c r="X68" i="32" s="1"/>
  <c r="V68" i="32"/>
  <c r="AJ68" i="32"/>
  <c r="AJ72" i="32"/>
  <c r="C72" i="32"/>
  <c r="W72" i="32"/>
  <c r="X72" i="32" s="1"/>
  <c r="Z72" i="32"/>
  <c r="V72" i="32"/>
  <c r="Z78" i="32"/>
  <c r="AJ78" i="32"/>
  <c r="V78" i="32"/>
  <c r="C78" i="32"/>
  <c r="W78" i="32"/>
  <c r="X78" i="32" s="1"/>
  <c r="V92" i="32"/>
  <c r="W92" i="32"/>
  <c r="X92" i="32" s="1"/>
  <c r="Z92" i="32"/>
  <c r="AJ92" i="32"/>
  <c r="C92" i="32"/>
  <c r="W90" i="32"/>
  <c r="X90" i="32" s="1"/>
  <c r="V90" i="32"/>
  <c r="AJ90" i="32"/>
  <c r="C90" i="32"/>
  <c r="Z90" i="32"/>
  <c r="V85" i="32"/>
  <c r="AJ85" i="32"/>
  <c r="C85" i="32"/>
  <c r="W85" i="32"/>
  <c r="X85" i="32" s="1"/>
  <c r="Z85" i="32"/>
  <c r="V51" i="32"/>
  <c r="C51" i="32"/>
  <c r="Z51" i="32"/>
  <c r="W51" i="32"/>
  <c r="X51" i="32" s="1"/>
  <c r="AJ51" i="32"/>
  <c r="W57" i="32"/>
  <c r="X57" i="32" s="1"/>
  <c r="C57" i="32"/>
  <c r="AJ57" i="32"/>
  <c r="V57" i="32"/>
  <c r="Z57" i="32"/>
  <c r="V31" i="32"/>
  <c r="AJ31" i="32"/>
  <c r="W31" i="32"/>
  <c r="X31" i="32" s="1"/>
  <c r="C31" i="32"/>
  <c r="Z31" i="32"/>
  <c r="V70" i="32"/>
  <c r="Z70" i="32"/>
  <c r="W70" i="32"/>
  <c r="X70" i="32" s="1"/>
  <c r="AJ70" i="32"/>
  <c r="C70" i="32"/>
  <c r="V80" i="32"/>
  <c r="C80" i="32"/>
  <c r="Z80" i="32"/>
  <c r="W80" i="32"/>
  <c r="X80" i="32" s="1"/>
  <c r="AJ80" i="32"/>
  <c r="Z25" i="32"/>
  <c r="V25" i="32"/>
  <c r="AJ25" i="32"/>
  <c r="C25" i="32"/>
  <c r="W25" i="32"/>
  <c r="X25" i="32" s="1"/>
  <c r="V30" i="32"/>
  <c r="Z30" i="32"/>
  <c r="W30" i="32"/>
  <c r="X30" i="32" s="1"/>
  <c r="AJ30" i="32"/>
  <c r="C30" i="32"/>
  <c r="V35" i="32"/>
  <c r="AJ35" i="32"/>
  <c r="AL35" i="32" s="1"/>
  <c r="C35" i="32"/>
  <c r="W35" i="32"/>
  <c r="X35" i="32" s="1"/>
  <c r="Z35" i="32"/>
  <c r="V87" i="32"/>
  <c r="W87" i="32"/>
  <c r="X87" i="32" s="1"/>
  <c r="Z87" i="32"/>
  <c r="AJ87" i="32"/>
  <c r="C87" i="32"/>
  <c r="AL102" i="50"/>
  <c r="Q94" i="32"/>
  <c r="P94" i="32" s="1"/>
  <c r="S15" i="32"/>
  <c r="V20" i="32"/>
  <c r="C20" i="32"/>
  <c r="W20" i="32"/>
  <c r="X20" i="32" s="1"/>
  <c r="T20" i="32" s="1"/>
  <c r="Z20" i="32"/>
  <c r="AJ20" i="32"/>
  <c r="V18" i="32"/>
  <c r="AJ18" i="32"/>
  <c r="C18" i="32"/>
  <c r="W18" i="32"/>
  <c r="X18" i="32" s="1"/>
  <c r="T18" i="32" s="1"/>
  <c r="Z18" i="32"/>
  <c r="V17" i="32"/>
  <c r="AJ17" i="32"/>
  <c r="C17" i="32"/>
  <c r="W17" i="32"/>
  <c r="X17" i="32" s="1"/>
  <c r="T17" i="32" s="1"/>
  <c r="Z17" i="32"/>
  <c r="V22" i="32"/>
  <c r="AJ22" i="32"/>
  <c r="C22" i="32"/>
  <c r="W22" i="32"/>
  <c r="X22" i="32" s="1"/>
  <c r="Z22" i="32"/>
  <c r="V23" i="32"/>
  <c r="AJ23" i="32"/>
  <c r="C23" i="32"/>
  <c r="W23" i="32"/>
  <c r="X23" i="32" s="1"/>
  <c r="Z23" i="32"/>
  <c r="V21" i="32"/>
  <c r="AJ21" i="32"/>
  <c r="C21" i="32"/>
  <c r="W21" i="32"/>
  <c r="X21" i="32" s="1"/>
  <c r="T21" i="32" s="1"/>
  <c r="Z21" i="32"/>
  <c r="V19" i="32"/>
  <c r="W19" i="32"/>
  <c r="X19" i="32" s="1"/>
  <c r="T19" i="32" s="1"/>
  <c r="Z19" i="32"/>
  <c r="AJ19" i="32"/>
  <c r="C19" i="32"/>
  <c r="V24" i="32"/>
  <c r="Z24" i="32"/>
  <c r="AJ24" i="32"/>
  <c r="C24" i="32"/>
  <c r="W24" i="32"/>
  <c r="X24" i="32" s="1"/>
  <c r="AX148" i="69"/>
  <c r="AG165" i="57"/>
  <c r="L165" i="57"/>
  <c r="O105" i="50"/>
  <c r="AJ164" i="57"/>
  <c r="AP164" i="57"/>
  <c r="AH164" i="53"/>
  <c r="AT164" i="53"/>
  <c r="AG164" i="53"/>
  <c r="V16" i="32"/>
  <c r="Z16" i="32"/>
  <c r="W16" i="32"/>
  <c r="X16" i="32" s="1"/>
  <c r="T16" i="32" s="1"/>
  <c r="AJ16" i="32"/>
  <c r="C16" i="32"/>
  <c r="N165" i="57"/>
  <c r="K165" i="53"/>
  <c r="N165" i="53"/>
  <c r="AH148" i="69"/>
  <c r="C93" i="32"/>
  <c r="V93" i="32"/>
  <c r="AJ103" i="50"/>
  <c r="C103" i="50"/>
  <c r="AJ14" i="32"/>
  <c r="C14" i="32"/>
  <c r="AD164" i="57"/>
  <c r="Q164" i="53"/>
  <c r="AD164" i="53"/>
  <c r="S12" i="32"/>
  <c r="AJ93" i="32"/>
  <c r="V103" i="50"/>
  <c r="S104" i="50"/>
  <c r="S94" i="32"/>
  <c r="V94" i="32" s="1"/>
  <c r="S13" i="32"/>
  <c r="E165" i="53"/>
  <c r="H165" i="53"/>
  <c r="J165" i="53"/>
  <c r="M165" i="53"/>
  <c r="D165" i="53"/>
  <c r="P165" i="53"/>
  <c r="C165" i="53"/>
  <c r="L165" i="53"/>
  <c r="I165" i="53"/>
  <c r="G165" i="53"/>
  <c r="F165" i="53"/>
  <c r="AK164" i="52" a="1"/>
  <c r="AK164" i="52" s="1"/>
  <c r="B166" i="53" s="1"/>
  <c r="O166" i="53" s="1"/>
  <c r="H105" i="50"/>
  <c r="I105" i="50"/>
  <c r="J105" i="50"/>
  <c r="B105" i="50"/>
  <c r="R105" i="50" s="1"/>
  <c r="L105" i="50"/>
  <c r="M105" i="50"/>
  <c r="A105" i="50"/>
  <c r="Q105" i="50" s="1"/>
  <c r="P105" i="50" s="1"/>
  <c r="G105" i="50"/>
  <c r="F105" i="50"/>
  <c r="K105" i="50"/>
  <c r="N105" i="50"/>
  <c r="W14" i="32"/>
  <c r="X14" i="32" s="1"/>
  <c r="T14" i="32" s="1"/>
  <c r="Z14" i="32"/>
  <c r="Z103" i="50"/>
  <c r="W103" i="50"/>
  <c r="X103" i="50" s="1"/>
  <c r="Q164" i="57"/>
  <c r="T164" i="57" s="1"/>
  <c r="H165" i="57"/>
  <c r="E165" i="57"/>
  <c r="P165" i="57"/>
  <c r="J165" i="57"/>
  <c r="F165" i="57"/>
  <c r="K165" i="57"/>
  <c r="G165" i="57"/>
  <c r="C165" i="57"/>
  <c r="M165" i="57" s="1"/>
  <c r="I165" i="57"/>
  <c r="D165" i="57"/>
  <c r="E95" i="32"/>
  <c r="AK164" i="55" a="1"/>
  <c r="AK164" i="55" s="1"/>
  <c r="B166" i="57" s="1"/>
  <c r="O166" i="57" s="1"/>
  <c r="W93" i="32"/>
  <c r="X93" i="32" s="1"/>
  <c r="Z93" i="32"/>
  <c r="AN150" i="67" a="1"/>
  <c r="AN150" i="67" s="1"/>
  <c r="B151" i="69"/>
  <c r="Q148" i="69"/>
  <c r="AE148" i="69"/>
  <c r="R148" i="69"/>
  <c r="S148" i="69" s="1"/>
  <c r="Y148" i="69" s="1"/>
  <c r="U148" i="69"/>
  <c r="D149" i="69"/>
  <c r="E149" i="69" s="1"/>
  <c r="F149" i="69" s="1"/>
  <c r="G149" i="69" s="1"/>
  <c r="H149" i="69" s="1"/>
  <c r="I149" i="69" s="1"/>
  <c r="J149" i="69" s="1"/>
  <c r="K149" i="69" s="1"/>
  <c r="M149" i="69" s="1"/>
  <c r="N149" i="69"/>
  <c r="AF149" i="69" s="1"/>
  <c r="C150" i="69"/>
  <c r="AL95" i="11" a="1"/>
  <c r="AL95" i="11" s="1"/>
  <c r="E96" i="32" s="1"/>
  <c r="AL105" i="59" a="1"/>
  <c r="AL105" i="59" s="1"/>
  <c r="E106" i="50" s="1"/>
  <c r="AL49" i="32" l="1"/>
  <c r="AL45" i="32"/>
  <c r="AL78" i="32"/>
  <c r="AL54" i="32"/>
  <c r="AL56" i="32"/>
  <c r="AL30" i="32"/>
  <c r="AL68" i="32"/>
  <c r="AL90" i="32"/>
  <c r="U14" i="32"/>
  <c r="AD14" i="32" s="1"/>
  <c r="U21" i="32"/>
  <c r="AD21" i="32" s="1"/>
  <c r="U20" i="32"/>
  <c r="AD20" i="32" s="1"/>
  <c r="U18" i="32"/>
  <c r="AD18" i="32" s="1"/>
  <c r="U19" i="32"/>
  <c r="AD19" i="32" s="1"/>
  <c r="U17" i="32"/>
  <c r="AD17" i="32" s="1"/>
  <c r="U16" i="32"/>
  <c r="AD16" i="32" s="1"/>
  <c r="V15" i="32"/>
  <c r="AL60" i="32"/>
  <c r="AL85" i="32"/>
  <c r="AB148" i="69"/>
  <c r="AC148" i="69" s="1"/>
  <c r="AD148" i="69" s="1"/>
  <c r="AG148" i="69"/>
  <c r="AO150" i="69"/>
  <c r="P150" i="69"/>
  <c r="L151" i="69"/>
  <c r="O151" i="69"/>
  <c r="AF163" i="57"/>
  <c r="AB163" i="57"/>
  <c r="AL32" i="32"/>
  <c r="T106" i="50"/>
  <c r="AK106" i="50"/>
  <c r="AL72" i="32"/>
  <c r="AL91" i="32"/>
  <c r="AL42" i="32"/>
  <c r="AL74" i="32"/>
  <c r="AL52" i="32"/>
  <c r="AL70" i="32"/>
  <c r="AL67" i="32"/>
  <c r="AL66" i="32"/>
  <c r="AL37" i="32"/>
  <c r="AL33" i="32"/>
  <c r="AL48" i="32"/>
  <c r="AL69" i="32"/>
  <c r="AL26" i="32"/>
  <c r="AL84" i="32"/>
  <c r="AL73" i="32"/>
  <c r="AL41" i="32"/>
  <c r="X164" i="57"/>
  <c r="AL46" i="32"/>
  <c r="AL29" i="32"/>
  <c r="AL80" i="32"/>
  <c r="AC165" i="53"/>
  <c r="AE165" i="53"/>
  <c r="AB164" i="53"/>
  <c r="AA164" i="53"/>
  <c r="AF164" i="53"/>
  <c r="AL82" i="32"/>
  <c r="AK96" i="32"/>
  <c r="T96" i="32"/>
  <c r="AL27" i="32"/>
  <c r="AL50" i="32"/>
  <c r="AL61" i="32"/>
  <c r="AL34" i="32"/>
  <c r="AK95" i="32"/>
  <c r="T95" i="32"/>
  <c r="AL51" i="32"/>
  <c r="AL58" i="32"/>
  <c r="AL63" i="32"/>
  <c r="AL64" i="32"/>
  <c r="AL79" i="32"/>
  <c r="AL76" i="32"/>
  <c r="AL25" i="32"/>
  <c r="AL31" i="32"/>
  <c r="AL89" i="32"/>
  <c r="AL87" i="32"/>
  <c r="AL53" i="32"/>
  <c r="AL55" i="32"/>
  <c r="AL38" i="32"/>
  <c r="AL75" i="32"/>
  <c r="AL59" i="32"/>
  <c r="AL47" i="32"/>
  <c r="AL40" i="32"/>
  <c r="AL88" i="32"/>
  <c r="AD94" i="32"/>
  <c r="AC165" i="57"/>
  <c r="AE165" i="57"/>
  <c r="AM105" i="50"/>
  <c r="U105" i="50"/>
  <c r="AD104" i="50"/>
  <c r="AG104" i="50" s="1"/>
  <c r="AH104" i="50" s="1"/>
  <c r="AI104" i="50" s="1"/>
  <c r="AG28" i="32"/>
  <c r="AH28" i="32" s="1"/>
  <c r="AI28" i="32" s="1"/>
  <c r="AL28" i="32"/>
  <c r="AG65" i="32"/>
  <c r="AH65" i="32" s="1"/>
  <c r="AI65" i="32" s="1"/>
  <c r="AL65" i="32"/>
  <c r="AG62" i="32"/>
  <c r="AH62" i="32" s="1"/>
  <c r="AI62" i="32" s="1"/>
  <c r="AL62" i="32"/>
  <c r="AG43" i="32"/>
  <c r="AH43" i="32" s="1"/>
  <c r="AI43" i="32" s="1"/>
  <c r="AL43" i="32"/>
  <c r="AG77" i="32"/>
  <c r="AH77" i="32" s="1"/>
  <c r="AI77" i="32" s="1"/>
  <c r="AL77" i="32"/>
  <c r="AG39" i="32"/>
  <c r="AH39" i="32" s="1"/>
  <c r="AI39" i="32" s="1"/>
  <c r="AL39" i="32"/>
  <c r="AG57" i="32"/>
  <c r="AH57" i="32" s="1"/>
  <c r="AI57" i="32" s="1"/>
  <c r="AL57" i="32"/>
  <c r="AG93" i="32"/>
  <c r="AH93" i="32" s="1"/>
  <c r="AL93" i="32"/>
  <c r="AG44" i="32"/>
  <c r="AH44" i="32" s="1"/>
  <c r="AI44" i="32" s="1"/>
  <c r="AL44" i="32"/>
  <c r="AG81" i="32"/>
  <c r="AH81" i="32" s="1"/>
  <c r="AI81" i="32" s="1"/>
  <c r="AL81" i="32"/>
  <c r="AG36" i="32"/>
  <c r="AH36" i="32" s="1"/>
  <c r="AI36" i="32" s="1"/>
  <c r="AL36" i="32"/>
  <c r="AG71" i="32"/>
  <c r="AH71" i="32" s="1"/>
  <c r="AL71" i="32"/>
  <c r="AG83" i="32"/>
  <c r="AH83" i="32" s="1"/>
  <c r="AI83" i="32" s="1"/>
  <c r="AL83" i="32"/>
  <c r="AG86" i="32"/>
  <c r="AH86" i="32" s="1"/>
  <c r="AI86" i="32" s="1"/>
  <c r="AL86" i="32"/>
  <c r="V12" i="32"/>
  <c r="Z12" i="32"/>
  <c r="AP102" i="50"/>
  <c r="R165" i="57"/>
  <c r="R165" i="53"/>
  <c r="X165" i="53" s="1"/>
  <c r="AI35" i="32"/>
  <c r="AL103" i="50"/>
  <c r="AI41" i="32"/>
  <c r="AI40" i="32"/>
  <c r="AI80" i="32"/>
  <c r="AI37" i="32"/>
  <c r="AI31" i="32"/>
  <c r="AI45" i="32"/>
  <c r="AI69" i="32"/>
  <c r="AI51" i="32"/>
  <c r="AI60" i="32"/>
  <c r="AI72" i="32"/>
  <c r="AI78" i="32"/>
  <c r="AI47" i="32"/>
  <c r="AI26" i="32"/>
  <c r="AI46" i="32"/>
  <c r="AI38" i="32"/>
  <c r="AI52" i="32"/>
  <c r="AI76" i="32"/>
  <c r="AI89" i="32"/>
  <c r="AI30" i="32"/>
  <c r="AI82" i="32"/>
  <c r="AI75" i="32"/>
  <c r="AI58" i="32"/>
  <c r="AI32" i="32"/>
  <c r="AI54" i="32"/>
  <c r="AI53" i="32"/>
  <c r="AI63" i="32"/>
  <c r="AI49" i="32"/>
  <c r="AI74" i="32"/>
  <c r="AI29" i="32"/>
  <c r="AI70" i="32"/>
  <c r="AI61" i="32"/>
  <c r="AI88" i="32"/>
  <c r="AI59" i="32"/>
  <c r="AI48" i="32"/>
  <c r="AI64" i="32"/>
  <c r="AI67" i="32"/>
  <c r="AI27" i="32"/>
  <c r="AI84" i="32"/>
  <c r="AI85" i="32"/>
  <c r="AI55" i="32"/>
  <c r="AI91" i="32"/>
  <c r="AI34" i="32"/>
  <c r="AI79" i="32"/>
  <c r="AI25" i="32"/>
  <c r="AI56" i="32"/>
  <c r="AI87" i="32"/>
  <c r="C15" i="32"/>
  <c r="Z15" i="32"/>
  <c r="W15" i="32"/>
  <c r="X15" i="32" s="1"/>
  <c r="T15" i="32" s="1"/>
  <c r="AJ15" i="32"/>
  <c r="AX149" i="69"/>
  <c r="AG166" i="57"/>
  <c r="L166" i="57"/>
  <c r="W12" i="32"/>
  <c r="X12" i="32" s="1"/>
  <c r="AJ12" i="32"/>
  <c r="O106" i="50"/>
  <c r="AJ165" i="57"/>
  <c r="AP165" i="57"/>
  <c r="V13" i="32"/>
  <c r="AH165" i="53"/>
  <c r="AT165" i="53"/>
  <c r="AG165" i="53"/>
  <c r="N166" i="57"/>
  <c r="P166" i="53"/>
  <c r="N166" i="53"/>
  <c r="AH149" i="69"/>
  <c r="C13" i="32"/>
  <c r="AJ104" i="50"/>
  <c r="C104" i="50"/>
  <c r="AJ94" i="32"/>
  <c r="C94" i="32"/>
  <c r="C12" i="32"/>
  <c r="AD165" i="57"/>
  <c r="AD165" i="53"/>
  <c r="S105" i="50"/>
  <c r="V104" i="50"/>
  <c r="AJ13" i="32"/>
  <c r="W13" i="32"/>
  <c r="X13" i="32" s="1"/>
  <c r="T13" i="32" s="1"/>
  <c r="Z13" i="32"/>
  <c r="Q165" i="53"/>
  <c r="AK165" i="52" a="1"/>
  <c r="AK165" i="52" s="1"/>
  <c r="B167" i="53" s="1"/>
  <c r="O167" i="53" s="1"/>
  <c r="K166" i="53"/>
  <c r="E166" i="53"/>
  <c r="J166" i="53"/>
  <c r="D166" i="53"/>
  <c r="C166" i="53"/>
  <c r="H166" i="53"/>
  <c r="F166" i="53"/>
  <c r="G166" i="53"/>
  <c r="M166" i="53"/>
  <c r="I166" i="53"/>
  <c r="L166" i="53"/>
  <c r="A96" i="32"/>
  <c r="B96" i="32"/>
  <c r="R96" i="32" s="1"/>
  <c r="A95" i="32"/>
  <c r="B95" i="32"/>
  <c r="R95" i="32" s="1"/>
  <c r="K106" i="50"/>
  <c r="A106" i="50"/>
  <c r="Q106" i="50" s="1"/>
  <c r="P106" i="50" s="1"/>
  <c r="M106" i="50"/>
  <c r="G106" i="50"/>
  <c r="F106" i="50"/>
  <c r="N106" i="50"/>
  <c r="J106" i="50"/>
  <c r="L106" i="50"/>
  <c r="H106" i="50"/>
  <c r="B106" i="50"/>
  <c r="R106" i="50" s="1"/>
  <c r="I106" i="50"/>
  <c r="K96" i="32"/>
  <c r="L96" i="32"/>
  <c r="F96" i="32"/>
  <c r="AM96" i="32" s="1"/>
  <c r="N96" i="32"/>
  <c r="H96" i="32"/>
  <c r="M96" i="32"/>
  <c r="J96" i="32"/>
  <c r="I96" i="32"/>
  <c r="O96" i="32"/>
  <c r="G96" i="32"/>
  <c r="M95" i="32"/>
  <c r="F95" i="32"/>
  <c r="AM95" i="32" s="1"/>
  <c r="N95" i="32"/>
  <c r="H95" i="32"/>
  <c r="J95" i="32"/>
  <c r="G95" i="32"/>
  <c r="L95" i="32"/>
  <c r="O95" i="32"/>
  <c r="I95" i="32"/>
  <c r="K95" i="32"/>
  <c r="Q165" i="57"/>
  <c r="T165" i="57" s="1"/>
  <c r="Z104" i="50"/>
  <c r="W104" i="50"/>
  <c r="X104" i="50" s="1"/>
  <c r="J166" i="57"/>
  <c r="D166" i="57"/>
  <c r="F166" i="57"/>
  <c r="H166" i="57"/>
  <c r="G166" i="57"/>
  <c r="C166" i="57"/>
  <c r="M166" i="57" s="1"/>
  <c r="I166" i="57"/>
  <c r="E166" i="57"/>
  <c r="P166" i="57"/>
  <c r="K166" i="57"/>
  <c r="AK165" i="55" a="1"/>
  <c r="AK165" i="55" s="1"/>
  <c r="B167" i="57" s="1"/>
  <c r="O167" i="57" s="1"/>
  <c r="W94" i="32"/>
  <c r="X94" i="32" s="1"/>
  <c r="Z94" i="32"/>
  <c r="AN151" i="67" a="1"/>
  <c r="AN151" i="67" s="1"/>
  <c r="B152" i="69"/>
  <c r="R149" i="69"/>
  <c r="S149" i="69" s="1"/>
  <c r="Y149" i="69" s="1"/>
  <c r="U149" i="69"/>
  <c r="AE149" i="69"/>
  <c r="Q149" i="69"/>
  <c r="C151" i="69"/>
  <c r="D150" i="69"/>
  <c r="E150" i="69" s="1"/>
  <c r="F150" i="69" s="1"/>
  <c r="G150" i="69" s="1"/>
  <c r="H150" i="69" s="1"/>
  <c r="I150" i="69" s="1"/>
  <c r="J150" i="69" s="1"/>
  <c r="K150" i="69" s="1"/>
  <c r="M150" i="69" s="1"/>
  <c r="N150" i="69"/>
  <c r="AF150" i="69" s="1"/>
  <c r="AL96" i="11" a="1"/>
  <c r="AL96" i="11" s="1"/>
  <c r="AL106" i="59" a="1"/>
  <c r="AL106" i="59" s="1"/>
  <c r="E107" i="50" s="1"/>
  <c r="G4" i="22"/>
  <c r="L8" i="29"/>
  <c r="L5" i="29"/>
  <c r="L4" i="29"/>
  <c r="L3" i="29"/>
  <c r="AB164" i="57" l="1"/>
  <c r="AA164" i="57"/>
  <c r="U15" i="32"/>
  <c r="AD15" i="32" s="1"/>
  <c r="U13" i="32"/>
  <c r="AD13" i="32" s="1"/>
  <c r="AB149" i="69"/>
  <c r="AC149" i="69" s="1"/>
  <c r="AD149" i="69" s="1"/>
  <c r="AG149" i="69"/>
  <c r="AO151" i="69"/>
  <c r="P151" i="69"/>
  <c r="L152" i="69"/>
  <c r="O152" i="69"/>
  <c r="T107" i="50"/>
  <c r="AK107" i="50"/>
  <c r="AF164" i="57"/>
  <c r="AC166" i="53"/>
  <c r="AE166" i="53"/>
  <c r="AF165" i="53"/>
  <c r="AB165" i="53"/>
  <c r="AA165" i="53"/>
  <c r="X165" i="57"/>
  <c r="AE166" i="57"/>
  <c r="AC166" i="57"/>
  <c r="AD105" i="50"/>
  <c r="AG105" i="50" s="1"/>
  <c r="AH105" i="50" s="1"/>
  <c r="AI105" i="50" s="1"/>
  <c r="AM106" i="50"/>
  <c r="U106" i="50"/>
  <c r="U95" i="32"/>
  <c r="AG22" i="32"/>
  <c r="AH22" i="32" s="1"/>
  <c r="AL22" i="32"/>
  <c r="AG14" i="32"/>
  <c r="AG24" i="32"/>
  <c r="AH24" i="32" s="1"/>
  <c r="AL24" i="32"/>
  <c r="AG17" i="32"/>
  <c r="AG16" i="32"/>
  <c r="AG19" i="32"/>
  <c r="AG92" i="32"/>
  <c r="AH92" i="32" s="1"/>
  <c r="AI92" i="32" s="1"/>
  <c r="AN92" i="32" s="1"/>
  <c r="AL92" i="32"/>
  <c r="AG18" i="32"/>
  <c r="U96" i="32"/>
  <c r="AG23" i="32"/>
  <c r="AH23" i="32" s="1"/>
  <c r="AL23" i="32"/>
  <c r="AG20" i="32"/>
  <c r="AG21" i="32"/>
  <c r="AI93" i="32"/>
  <c r="AI66" i="32"/>
  <c r="AN66" i="32" s="1"/>
  <c r="AI50" i="32"/>
  <c r="AN50" i="32" s="1"/>
  <c r="AI33" i="32"/>
  <c r="AN33" i="32" s="1"/>
  <c r="AI68" i="32"/>
  <c r="AN68" i="32" s="1"/>
  <c r="AI90" i="32"/>
  <c r="AN90" i="32" s="1"/>
  <c r="AI71" i="32"/>
  <c r="AN71" i="32" s="1"/>
  <c r="AI42" i="32"/>
  <c r="AN42" i="32" s="1"/>
  <c r="AI73" i="32"/>
  <c r="AN73" i="32" s="1"/>
  <c r="AP103" i="50"/>
  <c r="AE149" i="65"/>
  <c r="AH149" i="65" s="1"/>
  <c r="R166" i="57"/>
  <c r="R166" i="53"/>
  <c r="X166" i="53" s="1"/>
  <c r="AL104" i="50"/>
  <c r="Q95" i="32"/>
  <c r="P95" i="32" s="1"/>
  <c r="Q96" i="32"/>
  <c r="P96" i="32" s="1"/>
  <c r="AN63" i="32"/>
  <c r="AN62" i="32"/>
  <c r="AN82" i="32"/>
  <c r="AN76" i="32"/>
  <c r="AN46" i="32"/>
  <c r="AN78" i="32"/>
  <c r="AN39" i="32"/>
  <c r="AN31" i="32"/>
  <c r="AN25" i="32"/>
  <c r="AN54" i="32"/>
  <c r="AN89" i="32"/>
  <c r="AN81" i="32"/>
  <c r="AN53" i="32"/>
  <c r="AN87" i="32"/>
  <c r="AN79" i="32"/>
  <c r="AN77" i="32"/>
  <c r="AN55" i="32"/>
  <c r="AN67" i="32"/>
  <c r="AN44" i="32"/>
  <c r="AN83" i="32"/>
  <c r="AN36" i="32"/>
  <c r="AN64" i="32"/>
  <c r="AN61" i="32"/>
  <c r="AN74" i="32"/>
  <c r="AN26" i="32"/>
  <c r="AN72" i="32"/>
  <c r="AN69" i="32"/>
  <c r="AN37" i="32"/>
  <c r="AN28" i="32"/>
  <c r="AN56" i="32"/>
  <c r="AN86" i="32"/>
  <c r="AN91" i="32"/>
  <c r="AN85" i="32"/>
  <c r="AN84" i="32"/>
  <c r="AN48" i="32"/>
  <c r="AN70" i="32"/>
  <c r="AN49" i="32"/>
  <c r="AN47" i="32"/>
  <c r="AN60" i="32"/>
  <c r="AN35" i="32"/>
  <c r="AN80" i="32"/>
  <c r="AN41" i="32"/>
  <c r="AN32" i="32"/>
  <c r="AN75" i="32"/>
  <c r="AN65" i="32"/>
  <c r="AN34" i="32"/>
  <c r="AN27" i="32"/>
  <c r="AN59" i="32"/>
  <c r="AN29" i="32"/>
  <c r="AN38" i="32"/>
  <c r="AN43" i="32"/>
  <c r="AN51" i="32"/>
  <c r="AN45" i="32"/>
  <c r="AN40" i="32"/>
  <c r="AN57" i="32"/>
  <c r="AN88" i="32"/>
  <c r="AN58" i="32"/>
  <c r="AN30" i="32"/>
  <c r="AN52" i="32"/>
  <c r="AX150" i="69"/>
  <c r="AG167" i="57"/>
  <c r="L167" i="57"/>
  <c r="O107" i="50"/>
  <c r="AJ166" i="57"/>
  <c r="AP166" i="57"/>
  <c r="AV149" i="65"/>
  <c r="AH166" i="53"/>
  <c r="AT166" i="53"/>
  <c r="AG166" i="53"/>
  <c r="N167" i="57"/>
  <c r="I167" i="53"/>
  <c r="N167" i="53"/>
  <c r="AH150" i="69"/>
  <c r="AJ105" i="50"/>
  <c r="C105" i="50"/>
  <c r="AD166" i="57"/>
  <c r="Q166" i="53"/>
  <c r="AD166" i="53"/>
  <c r="V105" i="50"/>
  <c r="S106" i="50"/>
  <c r="S96" i="32"/>
  <c r="V96" i="32" s="1"/>
  <c r="S95" i="32"/>
  <c r="C167" i="53"/>
  <c r="L167" i="53"/>
  <c r="P167" i="53"/>
  <c r="K167" i="53"/>
  <c r="E167" i="53"/>
  <c r="M167" i="53"/>
  <c r="J167" i="53"/>
  <c r="H167" i="53"/>
  <c r="F167" i="53"/>
  <c r="D167" i="53"/>
  <c r="AK166" i="52" a="1"/>
  <c r="AK166" i="52" s="1"/>
  <c r="B168" i="53" s="1"/>
  <c r="O168" i="53" s="1"/>
  <c r="G167" i="53"/>
  <c r="H107" i="50"/>
  <c r="A107" i="50"/>
  <c r="Q107" i="50" s="1"/>
  <c r="P107" i="50" s="1"/>
  <c r="B107" i="50"/>
  <c r="R107" i="50" s="1"/>
  <c r="J107" i="50"/>
  <c r="G107" i="50"/>
  <c r="F107" i="50"/>
  <c r="K107" i="50"/>
  <c r="N107" i="50"/>
  <c r="I107" i="50"/>
  <c r="M107" i="50"/>
  <c r="L107" i="50"/>
  <c r="I167" i="57"/>
  <c r="F167" i="57"/>
  <c r="D167" i="57"/>
  <c r="C167" i="57"/>
  <c r="M167" i="57" s="1"/>
  <c r="H167" i="57"/>
  <c r="K167" i="57"/>
  <c r="G167" i="57"/>
  <c r="E167" i="57"/>
  <c r="P167" i="57"/>
  <c r="J167" i="57"/>
  <c r="W105" i="50"/>
  <c r="X105" i="50" s="1"/>
  <c r="Z105" i="50"/>
  <c r="Q166" i="57"/>
  <c r="T166" i="57" s="1"/>
  <c r="E97" i="32"/>
  <c r="AK166" i="55" a="1"/>
  <c r="AK166" i="55" s="1"/>
  <c r="B168" i="57" s="1"/>
  <c r="O168" i="57" s="1"/>
  <c r="AN152" i="67" a="1"/>
  <c r="AN152" i="67" s="1"/>
  <c r="B153" i="69"/>
  <c r="C152" i="69"/>
  <c r="R150" i="69"/>
  <c r="S150" i="69" s="1"/>
  <c r="Y150" i="69" s="1"/>
  <c r="U150" i="69"/>
  <c r="AE150" i="69"/>
  <c r="Q150" i="69"/>
  <c r="D151" i="69"/>
  <c r="E151" i="69" s="1"/>
  <c r="F151" i="69" s="1"/>
  <c r="G151" i="69" s="1"/>
  <c r="H151" i="69" s="1"/>
  <c r="I151" i="69" s="1"/>
  <c r="J151" i="69" s="1"/>
  <c r="K151" i="69" s="1"/>
  <c r="M151" i="69" s="1"/>
  <c r="N151" i="69"/>
  <c r="AF151" i="69" s="1"/>
  <c r="R149" i="65"/>
  <c r="S149" i="65" s="1"/>
  <c r="U149" i="65"/>
  <c r="AW77" i="22"/>
  <c r="AK4" i="22"/>
  <c r="AL97" i="11" a="1"/>
  <c r="AL97" i="11" s="1"/>
  <c r="E98" i="32" s="1"/>
  <c r="AL107" i="59" a="1"/>
  <c r="AL107" i="59" s="1"/>
  <c r="E108" i="50" s="1"/>
  <c r="AB165" i="57" l="1"/>
  <c r="AA165" i="57"/>
  <c r="AH21" i="32"/>
  <c r="AI21" i="32" s="1"/>
  <c r="AK21" i="32"/>
  <c r="AL21" i="32" s="1"/>
  <c r="AH20" i="32"/>
  <c r="AI20" i="32" s="1"/>
  <c r="AK20" i="32"/>
  <c r="AL20" i="32" s="1"/>
  <c r="AH19" i="32"/>
  <c r="AI19" i="32" s="1"/>
  <c r="AK19" i="32"/>
  <c r="AL19" i="32" s="1"/>
  <c r="AH18" i="32"/>
  <c r="AI18" i="32" s="1"/>
  <c r="AK18" i="32"/>
  <c r="AL18" i="32" s="1"/>
  <c r="AH17" i="32"/>
  <c r="AI17" i="32" s="1"/>
  <c r="AK17" i="32"/>
  <c r="AL17" i="32" s="1"/>
  <c r="AH16" i="32"/>
  <c r="AI16" i="32" s="1"/>
  <c r="AK16" i="32"/>
  <c r="AL16" i="32" s="1"/>
  <c r="AH14" i="32"/>
  <c r="AK14" i="32"/>
  <c r="AL14" i="32" s="1"/>
  <c r="AB150" i="69"/>
  <c r="AC150" i="69" s="1"/>
  <c r="AD150" i="69" s="1"/>
  <c r="AG150" i="69"/>
  <c r="AO152" i="69"/>
  <c r="P152" i="69"/>
  <c r="L153" i="69"/>
  <c r="O153" i="69"/>
  <c r="T108" i="50"/>
  <c r="AK108" i="50"/>
  <c r="X166" i="57"/>
  <c r="AB166" i="53"/>
  <c r="AA166" i="53"/>
  <c r="AE167" i="53"/>
  <c r="AC167" i="53"/>
  <c r="AF166" i="53"/>
  <c r="AK98" i="32"/>
  <c r="T98" i="32"/>
  <c r="AK97" i="32"/>
  <c r="T97" i="32"/>
  <c r="AD95" i="32"/>
  <c r="AD96" i="32"/>
  <c r="AF165" i="57"/>
  <c r="AE167" i="57"/>
  <c r="AC167" i="57"/>
  <c r="AM107" i="50"/>
  <c r="U107" i="50"/>
  <c r="AD106" i="50"/>
  <c r="AG106" i="50" s="1"/>
  <c r="AH106" i="50" s="1"/>
  <c r="AI106" i="50" s="1"/>
  <c r="AG13" i="32"/>
  <c r="AG94" i="32"/>
  <c r="AH94" i="32" s="1"/>
  <c r="AL94" i="32"/>
  <c r="AI23" i="32"/>
  <c r="AN23" i="32" s="1"/>
  <c r="AI22" i="32"/>
  <c r="AN22" i="32" s="1"/>
  <c r="AN93" i="32"/>
  <c r="AP104" i="50"/>
  <c r="R167" i="57"/>
  <c r="R167" i="53"/>
  <c r="X167" i="53" s="1"/>
  <c r="AL105" i="50"/>
  <c r="AI24" i="32"/>
  <c r="AX151" i="69"/>
  <c r="AG168" i="57"/>
  <c r="L168" i="57"/>
  <c r="O108" i="50"/>
  <c r="AJ167" i="57"/>
  <c r="AP167" i="57"/>
  <c r="AG167" i="53"/>
  <c r="AH167" i="53"/>
  <c r="AT167" i="53"/>
  <c r="N168" i="57"/>
  <c r="E168" i="53"/>
  <c r="N168" i="53"/>
  <c r="AH151" i="69"/>
  <c r="C95" i="32"/>
  <c r="V95" i="32"/>
  <c r="AJ106" i="50"/>
  <c r="C106" i="50"/>
  <c r="AJ96" i="32"/>
  <c r="C96" i="32"/>
  <c r="AD167" i="57"/>
  <c r="AD167" i="53"/>
  <c r="AJ95" i="32"/>
  <c r="V106" i="50"/>
  <c r="S107" i="50"/>
  <c r="AK167" i="52" a="1"/>
  <c r="AK167" i="52" s="1"/>
  <c r="B169" i="53" s="1"/>
  <c r="O169" i="53" s="1"/>
  <c r="J168" i="53"/>
  <c r="Q167" i="53"/>
  <c r="F168" i="53"/>
  <c r="L168" i="53"/>
  <c r="M168" i="53"/>
  <c r="I168" i="53"/>
  <c r="D168" i="53"/>
  <c r="H168" i="53"/>
  <c r="C168" i="53"/>
  <c r="G168" i="53"/>
  <c r="P168" i="53"/>
  <c r="K168" i="53"/>
  <c r="A97" i="32"/>
  <c r="B97" i="32"/>
  <c r="R97" i="32" s="1"/>
  <c r="A98" i="32"/>
  <c r="B98" i="32"/>
  <c r="R98" i="32" s="1"/>
  <c r="K108" i="50"/>
  <c r="M108" i="50"/>
  <c r="I108" i="50"/>
  <c r="G108" i="50"/>
  <c r="B108" i="50"/>
  <c r="R108" i="50" s="1"/>
  <c r="L108" i="50"/>
  <c r="F108" i="50"/>
  <c r="H108" i="50"/>
  <c r="J108" i="50"/>
  <c r="A108" i="50"/>
  <c r="Q108" i="50" s="1"/>
  <c r="P108" i="50" s="1"/>
  <c r="N108" i="50"/>
  <c r="I97" i="32"/>
  <c r="J97" i="32"/>
  <c r="L97" i="32"/>
  <c r="F97" i="32"/>
  <c r="AM97" i="32" s="1"/>
  <c r="N97" i="32"/>
  <c r="H97" i="32"/>
  <c r="K97" i="32"/>
  <c r="O97" i="32"/>
  <c r="G97" i="32"/>
  <c r="M97" i="32"/>
  <c r="G98" i="32"/>
  <c r="O98" i="32"/>
  <c r="H98" i="32"/>
  <c r="J98" i="32"/>
  <c r="L98" i="32"/>
  <c r="I98" i="32"/>
  <c r="N98" i="32"/>
  <c r="F98" i="32"/>
  <c r="AM98" i="32" s="1"/>
  <c r="K98" i="32"/>
  <c r="M98" i="32"/>
  <c r="Z95" i="32"/>
  <c r="W95" i="32"/>
  <c r="X95" i="32" s="1"/>
  <c r="Q167" i="57"/>
  <c r="T167" i="57" s="1"/>
  <c r="H168" i="57"/>
  <c r="F168" i="57"/>
  <c r="D168" i="57"/>
  <c r="P168" i="57"/>
  <c r="C168" i="57"/>
  <c r="M168" i="57" s="1"/>
  <c r="K168" i="57"/>
  <c r="J168" i="57"/>
  <c r="E168" i="57"/>
  <c r="G168" i="57"/>
  <c r="I168" i="57"/>
  <c r="Z106" i="50"/>
  <c r="W106" i="50"/>
  <c r="X106" i="50" s="1"/>
  <c r="AK167" i="55" a="1"/>
  <c r="AK167" i="55" s="1"/>
  <c r="B169" i="57" s="1"/>
  <c r="O169" i="57" s="1"/>
  <c r="W96" i="32"/>
  <c r="X96" i="32" s="1"/>
  <c r="Z96" i="32"/>
  <c r="C153" i="69"/>
  <c r="AE151" i="69"/>
  <c r="U151" i="69"/>
  <c r="R151" i="69"/>
  <c r="S151" i="69" s="1"/>
  <c r="Y151" i="69" s="1"/>
  <c r="Q151" i="69"/>
  <c r="D152" i="69"/>
  <c r="E152" i="69" s="1"/>
  <c r="F152" i="69" s="1"/>
  <c r="G152" i="69" s="1"/>
  <c r="H152" i="69" s="1"/>
  <c r="I152" i="69" s="1"/>
  <c r="J152" i="69" s="1"/>
  <c r="K152" i="69" s="1"/>
  <c r="M152" i="69" s="1"/>
  <c r="N152" i="69"/>
  <c r="AF152" i="69" s="1"/>
  <c r="AN153" i="67" a="1"/>
  <c r="AN153" i="67" s="1"/>
  <c r="B154" i="69"/>
  <c r="AL98" i="11" a="1"/>
  <c r="AL98" i="11" s="1"/>
  <c r="E99" i="32" s="1"/>
  <c r="AL108" i="59" a="1"/>
  <c r="AL108" i="59" s="1"/>
  <c r="E109" i="50" s="1"/>
  <c r="AB166" i="57" l="1"/>
  <c r="AA166" i="57"/>
  <c r="AN21" i="32"/>
  <c r="AN20" i="32"/>
  <c r="AN19" i="32"/>
  <c r="AN18" i="32"/>
  <c r="AN17" i="32"/>
  <c r="AN16" i="32"/>
  <c r="X167" i="57"/>
  <c r="AH13" i="32"/>
  <c r="AK13" i="32"/>
  <c r="AL13" i="32" s="1"/>
  <c r="AB151" i="69"/>
  <c r="AC151" i="69" s="1"/>
  <c r="AD151" i="69" s="1"/>
  <c r="AG151" i="69"/>
  <c r="AO153" i="69"/>
  <c r="P153" i="69"/>
  <c r="L154" i="69"/>
  <c r="O154" i="69"/>
  <c r="T109" i="50"/>
  <c r="AK109" i="50"/>
  <c r="AF166" i="57"/>
  <c r="AC168" i="53"/>
  <c r="AE168" i="53"/>
  <c r="AB167" i="53"/>
  <c r="AA167" i="53"/>
  <c r="AF167" i="53"/>
  <c r="AK99" i="32"/>
  <c r="T99" i="32"/>
  <c r="AE168" i="57"/>
  <c r="AC168" i="57"/>
  <c r="AD107" i="50"/>
  <c r="AG107" i="50" s="1"/>
  <c r="AH107" i="50" s="1"/>
  <c r="AI107" i="50" s="1"/>
  <c r="AM108" i="50"/>
  <c r="U108" i="50"/>
  <c r="AG96" i="32"/>
  <c r="AH96" i="32" s="1"/>
  <c r="AL96" i="32"/>
  <c r="U98" i="32"/>
  <c r="U97" i="32"/>
  <c r="AG15" i="32"/>
  <c r="AI94" i="32"/>
  <c r="AN94" i="32" s="1"/>
  <c r="AP105" i="50"/>
  <c r="R168" i="57"/>
  <c r="R168" i="53"/>
  <c r="X168" i="53" s="1"/>
  <c r="AL106" i="50"/>
  <c r="Q98" i="32"/>
  <c r="P98" i="32" s="1"/>
  <c r="Q97" i="32"/>
  <c r="P97" i="32" s="1"/>
  <c r="AI14" i="32"/>
  <c r="AN24" i="32"/>
  <c r="AX152" i="69"/>
  <c r="AG169" i="57"/>
  <c r="L169" i="57"/>
  <c r="O109" i="50"/>
  <c r="AJ168" i="57"/>
  <c r="AP168" i="57"/>
  <c r="AH168" i="53"/>
  <c r="AT168" i="53"/>
  <c r="AG168" i="53"/>
  <c r="N169" i="57"/>
  <c r="K169" i="53"/>
  <c r="N169" i="53"/>
  <c r="AH152" i="69"/>
  <c r="AJ107" i="50"/>
  <c r="C107" i="50"/>
  <c r="AD168" i="57"/>
  <c r="Q168" i="53"/>
  <c r="AD168" i="53"/>
  <c r="S108" i="50"/>
  <c r="V107" i="50"/>
  <c r="S98" i="32"/>
  <c r="V98" i="32" s="1"/>
  <c r="S97" i="32"/>
  <c r="AK168" i="52" a="1"/>
  <c r="AK168" i="52" s="1"/>
  <c r="B170" i="53" s="1"/>
  <c r="O170" i="53" s="1"/>
  <c r="I169" i="53"/>
  <c r="P169" i="53"/>
  <c r="D169" i="53"/>
  <c r="M169" i="53"/>
  <c r="G169" i="53"/>
  <c r="J169" i="53"/>
  <c r="H169" i="53"/>
  <c r="F169" i="53"/>
  <c r="L169" i="53"/>
  <c r="E169" i="53"/>
  <c r="C169" i="53"/>
  <c r="A99" i="32"/>
  <c r="B99" i="32"/>
  <c r="R99" i="32" s="1"/>
  <c r="N109" i="50"/>
  <c r="M109" i="50"/>
  <c r="F109" i="50"/>
  <c r="G109" i="50"/>
  <c r="H109" i="50"/>
  <c r="L109" i="50"/>
  <c r="B109" i="50"/>
  <c r="R109" i="50" s="1"/>
  <c r="J109" i="50"/>
  <c r="I109" i="50"/>
  <c r="A109" i="50"/>
  <c r="Q109" i="50" s="1"/>
  <c r="P109" i="50" s="1"/>
  <c r="K109" i="50"/>
  <c r="M99" i="32"/>
  <c r="F99" i="32"/>
  <c r="AM99" i="32" s="1"/>
  <c r="N99" i="32"/>
  <c r="H99" i="32"/>
  <c r="J99" i="32"/>
  <c r="O99" i="32"/>
  <c r="G99" i="32"/>
  <c r="L99" i="32"/>
  <c r="K99" i="32"/>
  <c r="I99" i="32"/>
  <c r="W107" i="50"/>
  <c r="X107" i="50" s="1"/>
  <c r="Z107" i="50"/>
  <c r="Q168" i="57"/>
  <c r="T168" i="57" s="1"/>
  <c r="P169" i="57"/>
  <c r="J169" i="57"/>
  <c r="E169" i="57"/>
  <c r="C169" i="57"/>
  <c r="M169" i="57" s="1"/>
  <c r="F169" i="57"/>
  <c r="H169" i="57"/>
  <c r="I169" i="57"/>
  <c r="D169" i="57"/>
  <c r="K169" i="57"/>
  <c r="G169" i="57"/>
  <c r="AK168" i="55" a="1"/>
  <c r="AK168" i="55" s="1"/>
  <c r="B170" i="57" s="1"/>
  <c r="O170" i="57" s="1"/>
  <c r="AN154" i="67" a="1"/>
  <c r="AN154" i="67" s="1"/>
  <c r="B155" i="69"/>
  <c r="U152" i="69"/>
  <c r="AE152" i="69"/>
  <c r="Q152" i="69"/>
  <c r="R152" i="69"/>
  <c r="S152" i="69" s="1"/>
  <c r="Y152" i="69" s="1"/>
  <c r="C154" i="69"/>
  <c r="D153" i="69"/>
  <c r="E153" i="69" s="1"/>
  <c r="F153" i="69" s="1"/>
  <c r="G153" i="69" s="1"/>
  <c r="H153" i="69" s="1"/>
  <c r="I153" i="69" s="1"/>
  <c r="J153" i="69" s="1"/>
  <c r="K153" i="69" s="1"/>
  <c r="M153" i="69" s="1"/>
  <c r="N153" i="69"/>
  <c r="AF153" i="69" s="1"/>
  <c r="AL99" i="11" a="1"/>
  <c r="AL99" i="11" s="1"/>
  <c r="E100" i="32" s="1"/>
  <c r="AL109" i="59" a="1"/>
  <c r="AL109" i="59" s="1"/>
  <c r="E110" i="50" s="1"/>
  <c r="AB167" i="57" l="1"/>
  <c r="AA167" i="57"/>
  <c r="AH15" i="32"/>
  <c r="AK15" i="32"/>
  <c r="AL15" i="32" s="1"/>
  <c r="AF167" i="57"/>
  <c r="AB152" i="69"/>
  <c r="AC152" i="69" s="1"/>
  <c r="AD152" i="69" s="1"/>
  <c r="AG152" i="69"/>
  <c r="AO154" i="69"/>
  <c r="P154" i="69"/>
  <c r="L155" i="69"/>
  <c r="O155" i="69"/>
  <c r="X168" i="57"/>
  <c r="AA168" i="57" s="1"/>
  <c r="T110" i="50"/>
  <c r="AK110" i="50"/>
  <c r="AC169" i="53"/>
  <c r="AE169" i="53"/>
  <c r="AF168" i="53"/>
  <c r="AB168" i="53"/>
  <c r="AA168" i="53"/>
  <c r="AK100" i="32"/>
  <c r="T100" i="32"/>
  <c r="AD98" i="32"/>
  <c r="AD97" i="32"/>
  <c r="AC169" i="57"/>
  <c r="AE169" i="57"/>
  <c r="AM109" i="50"/>
  <c r="U109" i="50"/>
  <c r="AD108" i="50"/>
  <c r="AG108" i="50" s="1"/>
  <c r="AH108" i="50" s="1"/>
  <c r="AI108" i="50" s="1"/>
  <c r="AG95" i="32"/>
  <c r="AH95" i="32" s="1"/>
  <c r="AL95" i="32"/>
  <c r="U99" i="32"/>
  <c r="AI96" i="32"/>
  <c r="AP106" i="50"/>
  <c r="AI13" i="32"/>
  <c r="R169" i="57"/>
  <c r="R169" i="53"/>
  <c r="X169" i="53" s="1"/>
  <c r="AL107" i="50"/>
  <c r="Q99" i="32"/>
  <c r="P99" i="32" s="1"/>
  <c r="AN14" i="32"/>
  <c r="AX153" i="69"/>
  <c r="AG170" i="57"/>
  <c r="L170" i="57"/>
  <c r="O110" i="50"/>
  <c r="AJ169" i="57"/>
  <c r="AP169" i="57"/>
  <c r="AG169" i="53"/>
  <c r="AH169" i="53"/>
  <c r="AT169" i="53"/>
  <c r="N170" i="57"/>
  <c r="N170" i="53"/>
  <c r="AH153" i="69"/>
  <c r="C97" i="32"/>
  <c r="V97" i="32"/>
  <c r="AJ108" i="50"/>
  <c r="C108" i="50"/>
  <c r="AJ98" i="32"/>
  <c r="C98" i="32"/>
  <c r="AD169" i="57"/>
  <c r="AD169" i="53"/>
  <c r="Q169" i="53"/>
  <c r="AJ97" i="32"/>
  <c r="S109" i="50"/>
  <c r="V108" i="50"/>
  <c r="S99" i="32"/>
  <c r="V99" i="32" s="1"/>
  <c r="AK169" i="52" a="1"/>
  <c r="AK169" i="52" s="1"/>
  <c r="B171" i="53" s="1"/>
  <c r="O171" i="53" s="1"/>
  <c r="G170" i="53"/>
  <c r="P170" i="53"/>
  <c r="K170" i="53"/>
  <c r="J170" i="53"/>
  <c r="H170" i="53"/>
  <c r="D170" i="53"/>
  <c r="L170" i="53"/>
  <c r="E170" i="53"/>
  <c r="M170" i="53"/>
  <c r="F170" i="53"/>
  <c r="C170" i="53"/>
  <c r="I170" i="53"/>
  <c r="A100" i="32"/>
  <c r="B100" i="32"/>
  <c r="R100" i="32" s="1"/>
  <c r="A110" i="50"/>
  <c r="Q110" i="50" s="1"/>
  <c r="P110" i="50" s="1"/>
  <c r="N110" i="50"/>
  <c r="J110" i="50"/>
  <c r="K110" i="50"/>
  <c r="F110" i="50"/>
  <c r="I110" i="50"/>
  <c r="H110" i="50"/>
  <c r="G110" i="50"/>
  <c r="M110" i="50"/>
  <c r="L110" i="50"/>
  <c r="B110" i="50"/>
  <c r="R110" i="50" s="1"/>
  <c r="K100" i="32"/>
  <c r="L100" i="32"/>
  <c r="F100" i="32"/>
  <c r="AM100" i="32" s="1"/>
  <c r="N100" i="32"/>
  <c r="H100" i="32"/>
  <c r="J100" i="32"/>
  <c r="M100" i="32"/>
  <c r="G100" i="32"/>
  <c r="I100" i="32"/>
  <c r="O100" i="32"/>
  <c r="W97" i="32"/>
  <c r="X97" i="32" s="1"/>
  <c r="Z97" i="32"/>
  <c r="J170" i="57"/>
  <c r="G170" i="57"/>
  <c r="D170" i="57"/>
  <c r="P170" i="57"/>
  <c r="H170" i="57"/>
  <c r="C170" i="57"/>
  <c r="M170" i="57" s="1"/>
  <c r="I170" i="57"/>
  <c r="F170" i="57"/>
  <c r="E170" i="57"/>
  <c r="K170" i="57"/>
  <c r="Q169" i="57"/>
  <c r="T169" i="57" s="1"/>
  <c r="W108" i="50"/>
  <c r="X108" i="50" s="1"/>
  <c r="Z108" i="50"/>
  <c r="AK169" i="55" a="1"/>
  <c r="AK169" i="55" s="1"/>
  <c r="B171" i="57" s="1"/>
  <c r="O171" i="57" s="1"/>
  <c r="W98" i="32"/>
  <c r="X98" i="32" s="1"/>
  <c r="Z98" i="32"/>
  <c r="C155" i="69"/>
  <c r="D154" i="69"/>
  <c r="E154" i="69" s="1"/>
  <c r="F154" i="69" s="1"/>
  <c r="G154" i="69" s="1"/>
  <c r="H154" i="69" s="1"/>
  <c r="I154" i="69" s="1"/>
  <c r="J154" i="69" s="1"/>
  <c r="K154" i="69" s="1"/>
  <c r="M154" i="69" s="1"/>
  <c r="N154" i="69"/>
  <c r="AF154" i="69" s="1"/>
  <c r="Q153" i="69"/>
  <c r="AE153" i="69"/>
  <c r="U153" i="69"/>
  <c r="R153" i="69"/>
  <c r="S153" i="69" s="1"/>
  <c r="Y153" i="69" s="1"/>
  <c r="AN155" i="67" a="1"/>
  <c r="AN155" i="67" s="1"/>
  <c r="B156" i="69"/>
  <c r="AL100" i="11" a="1"/>
  <c r="AL100" i="11" s="1"/>
  <c r="E101" i="32" s="1"/>
  <c r="AL110" i="59" a="1"/>
  <c r="AL110" i="59" s="1"/>
  <c r="E111" i="50" s="1"/>
  <c r="AI15" i="32" l="1"/>
  <c r="AB153" i="69"/>
  <c r="AC153" i="69" s="1"/>
  <c r="AD153" i="69" s="1"/>
  <c r="AG153" i="69"/>
  <c r="L156" i="69"/>
  <c r="O156" i="69"/>
  <c r="AO155" i="69"/>
  <c r="P155" i="69"/>
  <c r="AB168" i="57"/>
  <c r="AF168" i="57"/>
  <c r="AK111" i="50"/>
  <c r="T111" i="50"/>
  <c r="AB169" i="53"/>
  <c r="AA169" i="53"/>
  <c r="AC170" i="53"/>
  <c r="AE170" i="53"/>
  <c r="AF169" i="53"/>
  <c r="AK101" i="32"/>
  <c r="T101" i="32"/>
  <c r="AD99" i="32"/>
  <c r="X169" i="57"/>
  <c r="AE170" i="57"/>
  <c r="AC170" i="57"/>
  <c r="AD109" i="50"/>
  <c r="AG109" i="50" s="1"/>
  <c r="AH109" i="50" s="1"/>
  <c r="AI109" i="50" s="1"/>
  <c r="AM110" i="50"/>
  <c r="U110" i="50"/>
  <c r="U100" i="32"/>
  <c r="AN96" i="32"/>
  <c r="AI95" i="32"/>
  <c r="AN95" i="32" s="1"/>
  <c r="AP107" i="50"/>
  <c r="R170" i="57"/>
  <c r="R170" i="53"/>
  <c r="X170" i="53" s="1"/>
  <c r="AL108" i="50"/>
  <c r="Q100" i="32"/>
  <c r="P100" i="32" s="1"/>
  <c r="AN13" i="32"/>
  <c r="AX154" i="69"/>
  <c r="AG171" i="57"/>
  <c r="L171" i="57"/>
  <c r="O111" i="50"/>
  <c r="AJ170" i="57"/>
  <c r="AP170" i="57"/>
  <c r="AG170" i="53"/>
  <c r="AH170" i="53"/>
  <c r="AT170" i="53"/>
  <c r="N171" i="57"/>
  <c r="N171" i="53"/>
  <c r="AH154" i="69"/>
  <c r="AJ109" i="50"/>
  <c r="C109" i="50"/>
  <c r="AJ99" i="32"/>
  <c r="C99" i="32"/>
  <c r="AD170" i="57"/>
  <c r="AD170" i="53"/>
  <c r="V109" i="50"/>
  <c r="S110" i="50"/>
  <c r="S100" i="32"/>
  <c r="V100" i="32" s="1"/>
  <c r="AK170" i="52" a="1"/>
  <c r="AK170" i="52" s="1"/>
  <c r="B172" i="53" s="1"/>
  <c r="O172" i="53" s="1"/>
  <c r="Q170" i="53"/>
  <c r="I171" i="53"/>
  <c r="G171" i="53"/>
  <c r="M171" i="53"/>
  <c r="C171" i="53"/>
  <c r="K171" i="53"/>
  <c r="E171" i="53"/>
  <c r="J171" i="53"/>
  <c r="F171" i="53"/>
  <c r="H171" i="53"/>
  <c r="D171" i="53"/>
  <c r="L171" i="53"/>
  <c r="P171" i="53"/>
  <c r="A101" i="32"/>
  <c r="B101" i="32"/>
  <c r="R101" i="32" s="1"/>
  <c r="A111" i="50"/>
  <c r="Q111" i="50" s="1"/>
  <c r="P111" i="50" s="1"/>
  <c r="M111" i="50"/>
  <c r="J111" i="50"/>
  <c r="L111" i="50"/>
  <c r="N111" i="50"/>
  <c r="F111" i="50"/>
  <c r="G111" i="50"/>
  <c r="B111" i="50"/>
  <c r="R111" i="50" s="1"/>
  <c r="K111" i="50"/>
  <c r="I111" i="50"/>
  <c r="H111" i="50"/>
  <c r="I101" i="32"/>
  <c r="J101" i="32"/>
  <c r="L101" i="32"/>
  <c r="F101" i="32"/>
  <c r="AM101" i="32" s="1"/>
  <c r="N101" i="32"/>
  <c r="K101" i="32"/>
  <c r="H101" i="32"/>
  <c r="M101" i="32"/>
  <c r="G101" i="32"/>
  <c r="O101" i="32"/>
  <c r="Z109" i="50"/>
  <c r="W109" i="50"/>
  <c r="X109" i="50" s="1"/>
  <c r="Q170" i="57"/>
  <c r="T170" i="57" s="1"/>
  <c r="H171" i="57"/>
  <c r="D171" i="57"/>
  <c r="P171" i="57"/>
  <c r="J171" i="57"/>
  <c r="K171" i="57"/>
  <c r="G171" i="57"/>
  <c r="C171" i="57"/>
  <c r="M171" i="57" s="1"/>
  <c r="I171" i="57"/>
  <c r="F171" i="57"/>
  <c r="E171" i="57"/>
  <c r="AK170" i="55" a="1"/>
  <c r="AK170" i="55" s="1"/>
  <c r="B172" i="57" s="1"/>
  <c r="O172" i="57" s="1"/>
  <c r="W99" i="32"/>
  <c r="X99" i="32" s="1"/>
  <c r="Z99" i="32"/>
  <c r="AN156" i="67" a="1"/>
  <c r="AN156" i="67" s="1"/>
  <c r="B157" i="69"/>
  <c r="N155" i="69"/>
  <c r="AF155" i="69" s="1"/>
  <c r="D155" i="69"/>
  <c r="E155" i="69" s="1"/>
  <c r="F155" i="69" s="1"/>
  <c r="G155" i="69" s="1"/>
  <c r="H155" i="69" s="1"/>
  <c r="I155" i="69" s="1"/>
  <c r="J155" i="69" s="1"/>
  <c r="K155" i="69" s="1"/>
  <c r="M155" i="69" s="1"/>
  <c r="C156" i="69"/>
  <c r="R154" i="69"/>
  <c r="S154" i="69" s="1"/>
  <c r="Y154" i="69" s="1"/>
  <c r="U154" i="69"/>
  <c r="Q154" i="69"/>
  <c r="AE154" i="69"/>
  <c r="AL101" i="11" a="1"/>
  <c r="AL101" i="11" s="1"/>
  <c r="E102" i="32" s="1"/>
  <c r="AL111" i="59" a="1"/>
  <c r="AL111" i="59" s="1"/>
  <c r="E112" i="50" s="1"/>
  <c r="AB169" i="57" l="1"/>
  <c r="AA169" i="57"/>
  <c r="AN15" i="32"/>
  <c r="AB154" i="69"/>
  <c r="AC154" i="69" s="1"/>
  <c r="AD154" i="69" s="1"/>
  <c r="AG154" i="69"/>
  <c r="L157" i="69"/>
  <c r="O157" i="69"/>
  <c r="AO156" i="69"/>
  <c r="P156" i="69"/>
  <c r="AK112" i="50"/>
  <c r="T112" i="50"/>
  <c r="X170" i="57"/>
  <c r="AB170" i="53"/>
  <c r="AA170" i="53"/>
  <c r="AF170" i="53"/>
  <c r="AE171" i="53"/>
  <c r="AC171" i="53"/>
  <c r="AK102" i="32"/>
  <c r="T102" i="32"/>
  <c r="AD100" i="32"/>
  <c r="AF169" i="57"/>
  <c r="AE171" i="57"/>
  <c r="AC171" i="57"/>
  <c r="AM111" i="50"/>
  <c r="U111" i="50"/>
  <c r="AD110" i="50"/>
  <c r="AG110" i="50" s="1"/>
  <c r="AH110" i="50" s="1"/>
  <c r="AI110" i="50" s="1"/>
  <c r="U101" i="32"/>
  <c r="AG98" i="32"/>
  <c r="AH98" i="32" s="1"/>
  <c r="AL98" i="32"/>
  <c r="AG97" i="32"/>
  <c r="AH97" i="32" s="1"/>
  <c r="AL97" i="32"/>
  <c r="AP108" i="50"/>
  <c r="R171" i="57"/>
  <c r="R171" i="53"/>
  <c r="X171" i="53" s="1"/>
  <c r="AL109" i="50"/>
  <c r="Q101" i="32"/>
  <c r="P101" i="32" s="1"/>
  <c r="AX155" i="69"/>
  <c r="AG172" i="57"/>
  <c r="L172" i="57"/>
  <c r="O112" i="50"/>
  <c r="AJ171" i="57"/>
  <c r="AP171" i="57"/>
  <c r="AG171" i="53"/>
  <c r="AH171" i="53"/>
  <c r="AT171" i="53"/>
  <c r="N172" i="57"/>
  <c r="N172" i="53"/>
  <c r="AH155" i="69"/>
  <c r="AJ110" i="50"/>
  <c r="C110" i="50"/>
  <c r="AJ100" i="32"/>
  <c r="C100" i="32"/>
  <c r="AD171" i="57"/>
  <c r="AD171" i="53"/>
  <c r="V110" i="50"/>
  <c r="S111" i="50"/>
  <c r="S101" i="32"/>
  <c r="V101" i="32" s="1"/>
  <c r="Q171" i="53"/>
  <c r="AK171" i="52" a="1"/>
  <c r="AK171" i="52" s="1"/>
  <c r="B173" i="53" s="1"/>
  <c r="O173" i="53" s="1"/>
  <c r="H172" i="53"/>
  <c r="L172" i="53"/>
  <c r="F172" i="53"/>
  <c r="G172" i="53"/>
  <c r="C172" i="53"/>
  <c r="E172" i="53"/>
  <c r="J172" i="53"/>
  <c r="I172" i="53"/>
  <c r="K172" i="53"/>
  <c r="D172" i="53"/>
  <c r="P172" i="53"/>
  <c r="M172" i="53"/>
  <c r="A102" i="32"/>
  <c r="B102" i="32"/>
  <c r="R102" i="32" s="1"/>
  <c r="G112" i="50"/>
  <c r="I112" i="50"/>
  <c r="M112" i="50"/>
  <c r="L112" i="50"/>
  <c r="J112" i="50"/>
  <c r="H112" i="50"/>
  <c r="A112" i="50"/>
  <c r="Q112" i="50" s="1"/>
  <c r="P112" i="50" s="1"/>
  <c r="B112" i="50"/>
  <c r="R112" i="50" s="1"/>
  <c r="N112" i="50"/>
  <c r="F112" i="50"/>
  <c r="K112" i="50"/>
  <c r="G102" i="32"/>
  <c r="O102" i="32"/>
  <c r="H102" i="32"/>
  <c r="J102" i="32"/>
  <c r="L102" i="32"/>
  <c r="F102" i="32"/>
  <c r="AM102" i="32" s="1"/>
  <c r="I102" i="32"/>
  <c r="N102" i="32"/>
  <c r="M102" i="32"/>
  <c r="K102" i="32"/>
  <c r="W110" i="50"/>
  <c r="X110" i="50" s="1"/>
  <c r="Z110" i="50"/>
  <c r="Q171" i="57"/>
  <c r="T171" i="57" s="1"/>
  <c r="F172" i="57"/>
  <c r="P172" i="57"/>
  <c r="K172" i="57"/>
  <c r="J172" i="57"/>
  <c r="E172" i="57"/>
  <c r="G172" i="57"/>
  <c r="C172" i="57"/>
  <c r="M172" i="57" s="1"/>
  <c r="I172" i="57"/>
  <c r="D172" i="57"/>
  <c r="H172" i="57"/>
  <c r="AK171" i="55" a="1"/>
  <c r="AK171" i="55" s="1"/>
  <c r="B173" i="57" s="1"/>
  <c r="O173" i="57" s="1"/>
  <c r="W100" i="32"/>
  <c r="X100" i="32" s="1"/>
  <c r="Z100" i="32"/>
  <c r="AN157" i="67" a="1"/>
  <c r="AN157" i="67" s="1"/>
  <c r="B158" i="69"/>
  <c r="AE155" i="69"/>
  <c r="Q155" i="69"/>
  <c r="R155" i="69"/>
  <c r="S155" i="69" s="1"/>
  <c r="Y155" i="69" s="1"/>
  <c r="U155" i="69"/>
  <c r="D156" i="69"/>
  <c r="E156" i="69" s="1"/>
  <c r="F156" i="69" s="1"/>
  <c r="G156" i="69" s="1"/>
  <c r="H156" i="69" s="1"/>
  <c r="I156" i="69" s="1"/>
  <c r="J156" i="69" s="1"/>
  <c r="K156" i="69" s="1"/>
  <c r="M156" i="69" s="1"/>
  <c r="N156" i="69"/>
  <c r="AF156" i="69" s="1"/>
  <c r="C157" i="69"/>
  <c r="AL102" i="11" a="1"/>
  <c r="AL102" i="11" s="1"/>
  <c r="AL112" i="59" a="1"/>
  <c r="AL112" i="59" s="1"/>
  <c r="E113" i="50" s="1"/>
  <c r="AB170" i="57" l="1"/>
  <c r="AA170" i="57"/>
  <c r="AB155" i="69"/>
  <c r="AC155" i="69" s="1"/>
  <c r="AD155" i="69" s="1"/>
  <c r="AG155" i="69"/>
  <c r="L158" i="69"/>
  <c r="O158" i="69"/>
  <c r="AO157" i="69"/>
  <c r="P157" i="69"/>
  <c r="T113" i="50"/>
  <c r="AK113" i="50"/>
  <c r="AF170" i="57"/>
  <c r="AC172" i="53"/>
  <c r="AE172" i="53"/>
  <c r="AF171" i="53"/>
  <c r="AB171" i="53"/>
  <c r="AA171" i="53"/>
  <c r="AD101" i="32"/>
  <c r="X171" i="57"/>
  <c r="AA171" i="57" s="1"/>
  <c r="AE172" i="57"/>
  <c r="AC172" i="57"/>
  <c r="AD111" i="50"/>
  <c r="AG111" i="50" s="1"/>
  <c r="AH111" i="50" s="1"/>
  <c r="AI111" i="50" s="1"/>
  <c r="AM112" i="50"/>
  <c r="U112" i="50"/>
  <c r="U102" i="32"/>
  <c r="AG99" i="32"/>
  <c r="AH99" i="32" s="1"/>
  <c r="AL99" i="32"/>
  <c r="AI98" i="32"/>
  <c r="AN98" i="32" s="1"/>
  <c r="AP109" i="50"/>
  <c r="R172" i="57"/>
  <c r="R172" i="53"/>
  <c r="X172" i="53" s="1"/>
  <c r="AL110" i="50"/>
  <c r="Q102" i="32"/>
  <c r="P102" i="32" s="1"/>
  <c r="AI97" i="32"/>
  <c r="AX156" i="69"/>
  <c r="AG173" i="57"/>
  <c r="L173" i="57"/>
  <c r="O113" i="50"/>
  <c r="AJ172" i="57"/>
  <c r="AP172" i="57"/>
  <c r="AG172" i="53"/>
  <c r="AH172" i="53"/>
  <c r="AT172" i="53"/>
  <c r="N173" i="57"/>
  <c r="J173" i="53"/>
  <c r="N173" i="53"/>
  <c r="AH156" i="69"/>
  <c r="AJ111" i="50"/>
  <c r="C111" i="50"/>
  <c r="AJ101" i="32"/>
  <c r="C101" i="32"/>
  <c r="AD172" i="57"/>
  <c r="AD172" i="53"/>
  <c r="V111" i="50"/>
  <c r="S112" i="50"/>
  <c r="S102" i="32"/>
  <c r="V102" i="32" s="1"/>
  <c r="Q172" i="53"/>
  <c r="M173" i="53"/>
  <c r="E173" i="53"/>
  <c r="P173" i="53"/>
  <c r="I173" i="53"/>
  <c r="F173" i="53"/>
  <c r="G173" i="53"/>
  <c r="H173" i="53"/>
  <c r="AK172" i="52" a="1"/>
  <c r="AK172" i="52" s="1"/>
  <c r="B174" i="53" s="1"/>
  <c r="O174" i="53" s="1"/>
  <c r="K173" i="53"/>
  <c r="D173" i="53"/>
  <c r="C173" i="53"/>
  <c r="L173" i="53"/>
  <c r="I113" i="50"/>
  <c r="M113" i="50"/>
  <c r="L113" i="50"/>
  <c r="J113" i="50"/>
  <c r="H113" i="50"/>
  <c r="B113" i="50"/>
  <c r="R113" i="50" s="1"/>
  <c r="K113" i="50"/>
  <c r="F113" i="50"/>
  <c r="G113" i="50"/>
  <c r="N113" i="50"/>
  <c r="A113" i="50"/>
  <c r="Q113" i="50" s="1"/>
  <c r="P113" i="50" s="1"/>
  <c r="Q172" i="57"/>
  <c r="T172" i="57" s="1"/>
  <c r="P173" i="57"/>
  <c r="E173" i="57"/>
  <c r="J173" i="57"/>
  <c r="F173" i="57"/>
  <c r="K173" i="57"/>
  <c r="G173" i="57"/>
  <c r="C173" i="57"/>
  <c r="M173" i="57" s="1"/>
  <c r="I173" i="57"/>
  <c r="H173" i="57"/>
  <c r="D173" i="57"/>
  <c r="W111" i="50"/>
  <c r="X111" i="50" s="1"/>
  <c r="Z111" i="50"/>
  <c r="E103" i="32"/>
  <c r="AK172" i="55" a="1"/>
  <c r="AK172" i="55" s="1"/>
  <c r="B174" i="57" s="1"/>
  <c r="O174" i="57" s="1"/>
  <c r="W101" i="32"/>
  <c r="X101" i="32" s="1"/>
  <c r="Z101" i="32"/>
  <c r="AN158" i="67" a="1"/>
  <c r="AN158" i="67" s="1"/>
  <c r="B159" i="69"/>
  <c r="Q156" i="69"/>
  <c r="R156" i="69"/>
  <c r="S156" i="69" s="1"/>
  <c r="Y156" i="69" s="1"/>
  <c r="AE156" i="69"/>
  <c r="U156" i="69"/>
  <c r="C158" i="69"/>
  <c r="D157" i="69"/>
  <c r="E157" i="69" s="1"/>
  <c r="F157" i="69" s="1"/>
  <c r="G157" i="69" s="1"/>
  <c r="H157" i="69" s="1"/>
  <c r="I157" i="69" s="1"/>
  <c r="J157" i="69" s="1"/>
  <c r="K157" i="69" s="1"/>
  <c r="M157" i="69" s="1"/>
  <c r="N157" i="69"/>
  <c r="AF157" i="69" s="1"/>
  <c r="AL103" i="11" a="1"/>
  <c r="AL103" i="11" s="1"/>
  <c r="AL113" i="59" a="1"/>
  <c r="AL113" i="59" s="1"/>
  <c r="E114" i="50" s="1"/>
  <c r="AB156" i="69" l="1"/>
  <c r="AC156" i="69" s="1"/>
  <c r="AD156" i="69" s="1"/>
  <c r="AG156" i="69"/>
  <c r="L159" i="69"/>
  <c r="O159" i="69"/>
  <c r="AO158" i="69"/>
  <c r="P158" i="69"/>
  <c r="T114" i="50"/>
  <c r="AK114" i="50"/>
  <c r="AC173" i="53"/>
  <c r="AE173" i="53"/>
  <c r="AB172" i="53"/>
  <c r="AA172" i="53"/>
  <c r="AF172" i="53"/>
  <c r="AK103" i="32"/>
  <c r="T103" i="32"/>
  <c r="AD102" i="32"/>
  <c r="AF171" i="57"/>
  <c r="AB171" i="57"/>
  <c r="X172" i="57"/>
  <c r="AE173" i="57"/>
  <c r="AC173" i="57"/>
  <c r="AM113" i="50"/>
  <c r="U113" i="50"/>
  <c r="AD112" i="50"/>
  <c r="AG112" i="50" s="1"/>
  <c r="AH112" i="50" s="1"/>
  <c r="AI112" i="50" s="1"/>
  <c r="AG100" i="32"/>
  <c r="AH100" i="32" s="1"/>
  <c r="AL100" i="32"/>
  <c r="AP110" i="50"/>
  <c r="R173" i="57"/>
  <c r="R173" i="53"/>
  <c r="X173" i="53" s="1"/>
  <c r="AL111" i="50"/>
  <c r="AI99" i="32"/>
  <c r="AN97" i="32"/>
  <c r="AX157" i="69"/>
  <c r="AG174" i="57"/>
  <c r="L174" i="57"/>
  <c r="O114" i="50"/>
  <c r="AJ173" i="57"/>
  <c r="AP173" i="57"/>
  <c r="AG173" i="53"/>
  <c r="AH173" i="53"/>
  <c r="AT173" i="53"/>
  <c r="N174" i="57"/>
  <c r="N174" i="53"/>
  <c r="AH157" i="69"/>
  <c r="AJ112" i="50"/>
  <c r="C112" i="50"/>
  <c r="AJ102" i="32"/>
  <c r="C102" i="32"/>
  <c r="AD173" i="57"/>
  <c r="Q173" i="53"/>
  <c r="AD173" i="53"/>
  <c r="S113" i="50"/>
  <c r="V112" i="50"/>
  <c r="G174" i="53"/>
  <c r="I174" i="53"/>
  <c r="L174" i="53"/>
  <c r="M174" i="53"/>
  <c r="H174" i="53"/>
  <c r="AK173" i="52" a="1"/>
  <c r="AK173" i="52" s="1"/>
  <c r="B175" i="53" s="1"/>
  <c r="O175" i="53" s="1"/>
  <c r="J174" i="53"/>
  <c r="P174" i="53"/>
  <c r="C174" i="53"/>
  <c r="K174" i="53"/>
  <c r="F174" i="53"/>
  <c r="E174" i="53"/>
  <c r="D174" i="53"/>
  <c r="A103" i="32"/>
  <c r="B103" i="32"/>
  <c r="R103" i="32" s="1"/>
  <c r="G114" i="50"/>
  <c r="K114" i="50"/>
  <c r="M114" i="50"/>
  <c r="I114" i="50"/>
  <c r="J114" i="50"/>
  <c r="L114" i="50"/>
  <c r="A114" i="50"/>
  <c r="Q114" i="50" s="1"/>
  <c r="P114" i="50" s="1"/>
  <c r="F114" i="50"/>
  <c r="N114" i="50"/>
  <c r="H114" i="50"/>
  <c r="B114" i="50"/>
  <c r="R114" i="50" s="1"/>
  <c r="M103" i="32"/>
  <c r="F103" i="32"/>
  <c r="AM103" i="32" s="1"/>
  <c r="N103" i="32"/>
  <c r="H103" i="32"/>
  <c r="J103" i="32"/>
  <c r="G103" i="32"/>
  <c r="L103" i="32"/>
  <c r="O103" i="32"/>
  <c r="I103" i="32"/>
  <c r="K103" i="32"/>
  <c r="W112" i="50"/>
  <c r="X112" i="50" s="1"/>
  <c r="Z112" i="50"/>
  <c r="J174" i="57"/>
  <c r="G174" i="57"/>
  <c r="D174" i="57"/>
  <c r="P174" i="57"/>
  <c r="K174" i="57"/>
  <c r="F174" i="57"/>
  <c r="H174" i="57"/>
  <c r="I174" i="57"/>
  <c r="E174" i="57"/>
  <c r="C174" i="57"/>
  <c r="M174" i="57" s="1"/>
  <c r="Q173" i="57"/>
  <c r="T173" i="57" s="1"/>
  <c r="E104" i="32"/>
  <c r="AK173" i="55" a="1"/>
  <c r="AK173" i="55" s="1"/>
  <c r="B175" i="57" s="1"/>
  <c r="O175" i="57" s="1"/>
  <c r="W102" i="32"/>
  <c r="X102" i="32" s="1"/>
  <c r="Z102" i="32"/>
  <c r="AN159" i="67" a="1"/>
  <c r="AN159" i="67" s="1"/>
  <c r="B160" i="69"/>
  <c r="C159" i="69"/>
  <c r="R157" i="69"/>
  <c r="S157" i="69" s="1"/>
  <c r="Y157" i="69" s="1"/>
  <c r="Q157" i="69"/>
  <c r="U157" i="69"/>
  <c r="AE157" i="69"/>
  <c r="D158" i="69"/>
  <c r="E158" i="69" s="1"/>
  <c r="F158" i="69" s="1"/>
  <c r="G158" i="69" s="1"/>
  <c r="H158" i="69" s="1"/>
  <c r="I158" i="69" s="1"/>
  <c r="J158" i="69" s="1"/>
  <c r="K158" i="69" s="1"/>
  <c r="M158" i="69" s="1"/>
  <c r="N158" i="69"/>
  <c r="AF158" i="69" s="1"/>
  <c r="AL104" i="11" a="1"/>
  <c r="AL104" i="11" s="1"/>
  <c r="E105" i="32" s="1"/>
  <c r="AL114" i="59" a="1"/>
  <c r="AL114" i="59" s="1"/>
  <c r="E115" i="50" s="1"/>
  <c r="AB172" i="57" l="1"/>
  <c r="AA172" i="57"/>
  <c r="AB157" i="69"/>
  <c r="AC157" i="69" s="1"/>
  <c r="AD157" i="69" s="1"/>
  <c r="AG157" i="69"/>
  <c r="AO159" i="69"/>
  <c r="P159" i="69"/>
  <c r="L160" i="69"/>
  <c r="O160" i="69"/>
  <c r="T115" i="50"/>
  <c r="AK115" i="50"/>
  <c r="X173" i="57"/>
  <c r="AA173" i="57" s="1"/>
  <c r="AB173" i="53"/>
  <c r="AA173" i="53"/>
  <c r="AC174" i="53"/>
  <c r="AE174" i="53"/>
  <c r="AF173" i="53"/>
  <c r="AK105" i="32"/>
  <c r="T105" i="32"/>
  <c r="AK104" i="32"/>
  <c r="T104" i="32"/>
  <c r="AF172" i="57"/>
  <c r="AE174" i="57"/>
  <c r="AC174" i="57"/>
  <c r="AM114" i="50"/>
  <c r="U114" i="50"/>
  <c r="AD113" i="50"/>
  <c r="AG113" i="50" s="1"/>
  <c r="AH113" i="50" s="1"/>
  <c r="AI113" i="50" s="1"/>
  <c r="AG101" i="32"/>
  <c r="AH101" i="32" s="1"/>
  <c r="AL101" i="32"/>
  <c r="U103" i="32"/>
  <c r="AI100" i="32"/>
  <c r="AN100" i="32" s="1"/>
  <c r="AP111" i="50"/>
  <c r="R174" i="57"/>
  <c r="R174" i="53"/>
  <c r="X174" i="53" s="1"/>
  <c r="AL112" i="50"/>
  <c r="Q103" i="32"/>
  <c r="P103" i="32" s="1"/>
  <c r="AN99" i="32"/>
  <c r="AX158" i="69"/>
  <c r="AG175" i="57"/>
  <c r="L175" i="57"/>
  <c r="O115" i="50"/>
  <c r="AJ174" i="57"/>
  <c r="AP174" i="57"/>
  <c r="AH174" i="53"/>
  <c r="AT174" i="53"/>
  <c r="AG174" i="53"/>
  <c r="N175" i="57"/>
  <c r="L175" i="53"/>
  <c r="N175" i="53"/>
  <c r="AH158" i="69"/>
  <c r="AJ113" i="50"/>
  <c r="C113" i="50"/>
  <c r="AD174" i="57"/>
  <c r="AD174" i="53"/>
  <c r="S114" i="50"/>
  <c r="V113" i="50"/>
  <c r="S103" i="32"/>
  <c r="V103" i="32" s="1"/>
  <c r="Q174" i="53"/>
  <c r="G175" i="53"/>
  <c r="I175" i="53"/>
  <c r="P175" i="53"/>
  <c r="K175" i="53"/>
  <c r="M175" i="53"/>
  <c r="D175" i="53"/>
  <c r="C175" i="53"/>
  <c r="H175" i="53"/>
  <c r="AK174" i="52" a="1"/>
  <c r="AK174" i="52" s="1"/>
  <c r="B176" i="53" s="1"/>
  <c r="O176" i="53" s="1"/>
  <c r="J175" i="53"/>
  <c r="E175" i="53"/>
  <c r="F175" i="53"/>
  <c r="A105" i="32"/>
  <c r="B105" i="32"/>
  <c r="R105" i="32" s="1"/>
  <c r="A104" i="32"/>
  <c r="B104" i="32"/>
  <c r="R104" i="32" s="1"/>
  <c r="B115" i="50"/>
  <c r="R115" i="50" s="1"/>
  <c r="K115" i="50"/>
  <c r="A115" i="50"/>
  <c r="Q115" i="50" s="1"/>
  <c r="P115" i="50" s="1"/>
  <c r="G115" i="50"/>
  <c r="M115" i="50"/>
  <c r="N115" i="50"/>
  <c r="H115" i="50"/>
  <c r="F115" i="50"/>
  <c r="J115" i="50"/>
  <c r="I115" i="50"/>
  <c r="L115" i="50"/>
  <c r="I105" i="32"/>
  <c r="J105" i="32"/>
  <c r="L105" i="32"/>
  <c r="F105" i="32"/>
  <c r="AM105" i="32" s="1"/>
  <c r="N105" i="32"/>
  <c r="H105" i="32"/>
  <c r="K105" i="32"/>
  <c r="O105" i="32"/>
  <c r="G105" i="32"/>
  <c r="M105" i="32"/>
  <c r="K104" i="32"/>
  <c r="L104" i="32"/>
  <c r="F104" i="32"/>
  <c r="AM104" i="32" s="1"/>
  <c r="N104" i="32"/>
  <c r="H104" i="32"/>
  <c r="M104" i="32"/>
  <c r="J104" i="32"/>
  <c r="O104" i="32"/>
  <c r="I104" i="32"/>
  <c r="G104" i="32"/>
  <c r="Z113" i="50"/>
  <c r="W113" i="50"/>
  <c r="X113" i="50" s="1"/>
  <c r="I175" i="57"/>
  <c r="F175" i="57"/>
  <c r="D175" i="57"/>
  <c r="K175" i="57"/>
  <c r="G175" i="57"/>
  <c r="C175" i="57"/>
  <c r="M175" i="57" s="1"/>
  <c r="J175" i="57"/>
  <c r="P175" i="57"/>
  <c r="H175" i="57"/>
  <c r="E175" i="57"/>
  <c r="Q174" i="57"/>
  <c r="T174" i="57" s="1"/>
  <c r="AK174" i="55" a="1"/>
  <c r="AK174" i="55" s="1"/>
  <c r="B176" i="57" s="1"/>
  <c r="O176" i="57" s="1"/>
  <c r="AN160" i="67" a="1"/>
  <c r="AN160" i="67" s="1"/>
  <c r="B161" i="69"/>
  <c r="U158" i="69"/>
  <c r="R158" i="69"/>
  <c r="S158" i="69" s="1"/>
  <c r="Y158" i="69" s="1"/>
  <c r="Q158" i="69"/>
  <c r="AE158" i="69"/>
  <c r="N159" i="69"/>
  <c r="AF159" i="69" s="1"/>
  <c r="D159" i="69"/>
  <c r="E159" i="69" s="1"/>
  <c r="F159" i="69" s="1"/>
  <c r="G159" i="69" s="1"/>
  <c r="H159" i="69" s="1"/>
  <c r="I159" i="69" s="1"/>
  <c r="J159" i="69" s="1"/>
  <c r="K159" i="69" s="1"/>
  <c r="M159" i="69" s="1"/>
  <c r="C160" i="69"/>
  <c r="AL105" i="11" a="1"/>
  <c r="AL105" i="11" s="1"/>
  <c r="E106" i="32" s="1"/>
  <c r="AL115" i="59" a="1"/>
  <c r="AL115" i="59" s="1"/>
  <c r="E116" i="50" s="1"/>
  <c r="L73" i="29"/>
  <c r="AB158" i="69" l="1"/>
  <c r="AC158" i="69" s="1"/>
  <c r="AD158" i="69" s="1"/>
  <c r="AG158" i="69"/>
  <c r="L161" i="69"/>
  <c r="O161" i="69"/>
  <c r="AO160" i="69"/>
  <c r="P160" i="69"/>
  <c r="T116" i="50"/>
  <c r="AK116" i="50"/>
  <c r="AB173" i="57"/>
  <c r="AF173" i="57"/>
  <c r="X174" i="57"/>
  <c r="AB174" i="53"/>
  <c r="AA174" i="53"/>
  <c r="AF174" i="53"/>
  <c r="AE175" i="53"/>
  <c r="AC175" i="53"/>
  <c r="AK106" i="32"/>
  <c r="T106" i="32"/>
  <c r="AD103" i="32"/>
  <c r="AE175" i="57"/>
  <c r="AC175" i="57"/>
  <c r="AM115" i="50"/>
  <c r="U115" i="50"/>
  <c r="AD114" i="50"/>
  <c r="AG114" i="50" s="1"/>
  <c r="AH114" i="50" s="1"/>
  <c r="AI114" i="50" s="1"/>
  <c r="U104" i="32"/>
  <c r="AG102" i="32"/>
  <c r="AH102" i="32" s="1"/>
  <c r="AL102" i="32"/>
  <c r="U105" i="32"/>
  <c r="AI101" i="32"/>
  <c r="AN101" i="32" s="1"/>
  <c r="AP112" i="50"/>
  <c r="R175" i="57"/>
  <c r="R175" i="53"/>
  <c r="X175" i="53" s="1"/>
  <c r="AL113" i="50"/>
  <c r="Q104" i="32"/>
  <c r="P104" i="32" s="1"/>
  <c r="Q105" i="32"/>
  <c r="P105" i="32" s="1"/>
  <c r="AX159" i="69"/>
  <c r="AG176" i="57"/>
  <c r="L176" i="57"/>
  <c r="O116" i="50"/>
  <c r="AJ175" i="57"/>
  <c r="AP175" i="57"/>
  <c r="AH175" i="53"/>
  <c r="AT175" i="53"/>
  <c r="AG175" i="53"/>
  <c r="N176" i="57"/>
  <c r="I176" i="53"/>
  <c r="N176" i="53"/>
  <c r="AH159" i="69"/>
  <c r="AJ114" i="50"/>
  <c r="C114" i="50"/>
  <c r="AJ103" i="32"/>
  <c r="C103" i="32"/>
  <c r="AD175" i="57"/>
  <c r="AD175" i="53"/>
  <c r="Z103" i="32"/>
  <c r="S115" i="50"/>
  <c r="V114" i="50"/>
  <c r="S105" i="32"/>
  <c r="V105" i="32" s="1"/>
  <c r="S104" i="32"/>
  <c r="Q175" i="53"/>
  <c r="L176" i="53"/>
  <c r="D176" i="53"/>
  <c r="AK175" i="52" a="1"/>
  <c r="AK175" i="52" s="1"/>
  <c r="B177" i="53" s="1"/>
  <c r="O177" i="53" s="1"/>
  <c r="J176" i="53"/>
  <c r="G176" i="53"/>
  <c r="E176" i="53"/>
  <c r="P176" i="53"/>
  <c r="F176" i="53"/>
  <c r="K176" i="53"/>
  <c r="M176" i="53"/>
  <c r="H176" i="53"/>
  <c r="C176" i="53"/>
  <c r="A106" i="32"/>
  <c r="B106" i="32"/>
  <c r="R106" i="32" s="1"/>
  <c r="F116" i="50"/>
  <c r="I116" i="50"/>
  <c r="K116" i="50"/>
  <c r="M116" i="50"/>
  <c r="B116" i="50"/>
  <c r="R116" i="50" s="1"/>
  <c r="N116" i="50"/>
  <c r="G116" i="50"/>
  <c r="A116" i="50"/>
  <c r="Q116" i="50" s="1"/>
  <c r="P116" i="50" s="1"/>
  <c r="L116" i="50"/>
  <c r="H116" i="50"/>
  <c r="J116" i="50"/>
  <c r="G106" i="32"/>
  <c r="O106" i="32"/>
  <c r="H106" i="32"/>
  <c r="J106" i="32"/>
  <c r="L106" i="32"/>
  <c r="I106" i="32"/>
  <c r="N106" i="32"/>
  <c r="F106" i="32"/>
  <c r="AM106" i="32" s="1"/>
  <c r="K106" i="32"/>
  <c r="M106" i="32"/>
  <c r="Q175" i="57"/>
  <c r="T175" i="57" s="1"/>
  <c r="Z114" i="50"/>
  <c r="W114" i="50"/>
  <c r="X114" i="50" s="1"/>
  <c r="D176" i="57"/>
  <c r="P176" i="57"/>
  <c r="C176" i="57"/>
  <c r="M176" i="57" s="1"/>
  <c r="K176" i="57"/>
  <c r="J176" i="57"/>
  <c r="H176" i="57"/>
  <c r="F176" i="57"/>
  <c r="I176" i="57"/>
  <c r="E176" i="57"/>
  <c r="G176" i="57"/>
  <c r="W103" i="32"/>
  <c r="X103" i="32" s="1"/>
  <c r="AK175" i="55" a="1"/>
  <c r="AK175" i="55" s="1"/>
  <c r="B177" i="57" s="1"/>
  <c r="O177" i="57" s="1"/>
  <c r="AN161" i="67" a="1"/>
  <c r="AN161" i="67" s="1"/>
  <c r="B162" i="69"/>
  <c r="N160" i="69"/>
  <c r="AF160" i="69" s="1"/>
  <c r="D160" i="69"/>
  <c r="E160" i="69" s="1"/>
  <c r="F160" i="69" s="1"/>
  <c r="G160" i="69" s="1"/>
  <c r="H160" i="69" s="1"/>
  <c r="I160" i="69" s="1"/>
  <c r="J160" i="69" s="1"/>
  <c r="K160" i="69" s="1"/>
  <c r="M160" i="69" s="1"/>
  <c r="C161" i="69"/>
  <c r="AE159" i="69"/>
  <c r="Q159" i="69"/>
  <c r="R159" i="69"/>
  <c r="S159" i="69" s="1"/>
  <c r="Y159" i="69" s="1"/>
  <c r="U159" i="69"/>
  <c r="AL106" i="11" a="1"/>
  <c r="AL106" i="11" s="1"/>
  <c r="E107" i="32" s="1"/>
  <c r="AL116" i="59" a="1"/>
  <c r="AL116" i="59" s="1"/>
  <c r="E117" i="50" s="1"/>
  <c r="AB174" i="57" l="1"/>
  <c r="AA174" i="57"/>
  <c r="AB159" i="69"/>
  <c r="AC159" i="69" s="1"/>
  <c r="AD159" i="69" s="1"/>
  <c r="AG159" i="69"/>
  <c r="AO161" i="69"/>
  <c r="P161" i="69"/>
  <c r="L162" i="69"/>
  <c r="O162" i="69"/>
  <c r="X175" i="57"/>
  <c r="T117" i="50"/>
  <c r="AK117" i="50"/>
  <c r="AF174" i="57"/>
  <c r="AB175" i="53"/>
  <c r="AA175" i="53"/>
  <c r="AF175" i="53"/>
  <c r="AC176" i="53"/>
  <c r="AE176" i="53"/>
  <c r="AK107" i="32"/>
  <c r="T107" i="32"/>
  <c r="AD105" i="32"/>
  <c r="AD104" i="32"/>
  <c r="AE176" i="57"/>
  <c r="AC176" i="57"/>
  <c r="AM116" i="50"/>
  <c r="U116" i="50"/>
  <c r="AD115" i="50"/>
  <c r="AG115" i="50" s="1"/>
  <c r="AH115" i="50" s="1"/>
  <c r="AI115" i="50" s="1"/>
  <c r="U106" i="32"/>
  <c r="AI102" i="32"/>
  <c r="AN102" i="32" s="1"/>
  <c r="AP113" i="50"/>
  <c r="R176" i="57"/>
  <c r="R176" i="53"/>
  <c r="X176" i="53" s="1"/>
  <c r="AL114" i="50"/>
  <c r="Q106" i="32"/>
  <c r="P106" i="32" s="1"/>
  <c r="AX160" i="69"/>
  <c r="AG177" i="57"/>
  <c r="L177" i="57"/>
  <c r="O117" i="50"/>
  <c r="AJ176" i="57"/>
  <c r="AP176" i="57"/>
  <c r="AH176" i="53"/>
  <c r="AT176" i="53"/>
  <c r="AG176" i="53"/>
  <c r="N177" i="57"/>
  <c r="N177" i="53"/>
  <c r="AH160" i="69"/>
  <c r="C104" i="32"/>
  <c r="V104" i="32"/>
  <c r="AJ115" i="50"/>
  <c r="C115" i="50"/>
  <c r="AJ105" i="32"/>
  <c r="C105" i="32"/>
  <c r="AD176" i="57"/>
  <c r="AD176" i="53"/>
  <c r="AJ104" i="32"/>
  <c r="V115" i="50"/>
  <c r="S116" i="50"/>
  <c r="S106" i="32"/>
  <c r="V106" i="32" s="1"/>
  <c r="Q176" i="53"/>
  <c r="AK176" i="52" a="1"/>
  <c r="AK176" i="52" s="1"/>
  <c r="B178" i="53" s="1"/>
  <c r="O178" i="53" s="1"/>
  <c r="E177" i="53"/>
  <c r="C177" i="53"/>
  <c r="P177" i="53"/>
  <c r="D177" i="53"/>
  <c r="I177" i="53"/>
  <c r="K177" i="53"/>
  <c r="H177" i="53"/>
  <c r="M177" i="53"/>
  <c r="L177" i="53"/>
  <c r="J177" i="53"/>
  <c r="G177" i="53"/>
  <c r="F177" i="53"/>
  <c r="A107" i="32"/>
  <c r="B107" i="32"/>
  <c r="R107" i="32" s="1"/>
  <c r="J117" i="50"/>
  <c r="G117" i="50"/>
  <c r="N117" i="50"/>
  <c r="M117" i="50"/>
  <c r="B117" i="50"/>
  <c r="R117" i="50" s="1"/>
  <c r="H117" i="50"/>
  <c r="F117" i="50"/>
  <c r="I117" i="50"/>
  <c r="L117" i="50"/>
  <c r="K117" i="50"/>
  <c r="A117" i="50"/>
  <c r="Q117" i="50" s="1"/>
  <c r="P117" i="50" s="1"/>
  <c r="M107" i="32"/>
  <c r="F107" i="32"/>
  <c r="AM107" i="32" s="1"/>
  <c r="N107" i="32"/>
  <c r="H107" i="32"/>
  <c r="J107" i="32"/>
  <c r="O107" i="32"/>
  <c r="G107" i="32"/>
  <c r="L107" i="32"/>
  <c r="K107" i="32"/>
  <c r="I107" i="32"/>
  <c r="Z104" i="32"/>
  <c r="W104" i="32"/>
  <c r="X104" i="32" s="1"/>
  <c r="J177" i="57"/>
  <c r="H177" i="57"/>
  <c r="E177" i="57"/>
  <c r="P177" i="57"/>
  <c r="K177" i="57"/>
  <c r="G177" i="57"/>
  <c r="C177" i="57"/>
  <c r="M177" i="57" s="1"/>
  <c r="F177" i="57"/>
  <c r="I177" i="57"/>
  <c r="D177" i="57"/>
  <c r="Z115" i="50"/>
  <c r="W115" i="50"/>
  <c r="X115" i="50" s="1"/>
  <c r="Q176" i="57"/>
  <c r="T176" i="57" s="1"/>
  <c r="AK176" i="55" a="1"/>
  <c r="AK176" i="55" s="1"/>
  <c r="B178" i="57" s="1"/>
  <c r="O178" i="57" s="1"/>
  <c r="W105" i="32"/>
  <c r="X105" i="32" s="1"/>
  <c r="Z105" i="32"/>
  <c r="AN162" i="67" a="1"/>
  <c r="AN162" i="67" s="1"/>
  <c r="B163" i="69"/>
  <c r="U160" i="69"/>
  <c r="AE160" i="69"/>
  <c r="Q160" i="69"/>
  <c r="R160" i="69"/>
  <c r="S160" i="69" s="1"/>
  <c r="Y160" i="69" s="1"/>
  <c r="N161" i="69"/>
  <c r="AF161" i="69" s="1"/>
  <c r="D161" i="69"/>
  <c r="E161" i="69" s="1"/>
  <c r="F161" i="69" s="1"/>
  <c r="G161" i="69" s="1"/>
  <c r="H161" i="69" s="1"/>
  <c r="I161" i="69" s="1"/>
  <c r="J161" i="69" s="1"/>
  <c r="K161" i="69" s="1"/>
  <c r="M161" i="69" s="1"/>
  <c r="C162" i="69"/>
  <c r="AL107" i="11" a="1"/>
  <c r="AL107" i="11" s="1"/>
  <c r="E108" i="32" s="1"/>
  <c r="AL117" i="59" a="1"/>
  <c r="AL117" i="59" s="1"/>
  <c r="E118" i="50" s="1"/>
  <c r="AB175" i="57" l="1"/>
  <c r="AA175" i="57"/>
  <c r="AB160" i="69"/>
  <c r="AC160" i="69" s="1"/>
  <c r="AD160" i="69" s="1"/>
  <c r="AG160" i="69"/>
  <c r="AO162" i="69"/>
  <c r="P162" i="69"/>
  <c r="L163" i="69"/>
  <c r="O163" i="69"/>
  <c r="AF175" i="57"/>
  <c r="T118" i="50"/>
  <c r="AK118" i="50"/>
  <c r="X176" i="57"/>
  <c r="AA176" i="57" s="1"/>
  <c r="AB176" i="53"/>
  <c r="AA176" i="53"/>
  <c r="AC177" i="53"/>
  <c r="AE177" i="53"/>
  <c r="AF176" i="53"/>
  <c r="AK108" i="32"/>
  <c r="T108" i="32"/>
  <c r="AD106" i="32"/>
  <c r="AE177" i="57"/>
  <c r="AC177" i="57"/>
  <c r="AM117" i="50"/>
  <c r="U117" i="50"/>
  <c r="AD116" i="50"/>
  <c r="AG116" i="50" s="1"/>
  <c r="AH116" i="50" s="1"/>
  <c r="AI116" i="50" s="1"/>
  <c r="U107" i="32"/>
  <c r="AG103" i="32"/>
  <c r="AH103" i="32" s="1"/>
  <c r="AL103" i="32"/>
  <c r="AP114" i="50"/>
  <c r="R177" i="57"/>
  <c r="R177" i="53"/>
  <c r="X177" i="53" s="1"/>
  <c r="AL115" i="50"/>
  <c r="Q107" i="32"/>
  <c r="P107" i="32" s="1"/>
  <c r="AX161" i="69"/>
  <c r="AG178" i="57"/>
  <c r="L178" i="57"/>
  <c r="O118" i="50"/>
  <c r="AJ177" i="57"/>
  <c r="AP177" i="57"/>
  <c r="AG177" i="53"/>
  <c r="AH177" i="53"/>
  <c r="AT177" i="53"/>
  <c r="N178" i="57"/>
  <c r="K178" i="53"/>
  <c r="N178" i="53"/>
  <c r="AH161" i="69"/>
  <c r="AJ116" i="50"/>
  <c r="C116" i="50"/>
  <c r="AJ106" i="32"/>
  <c r="C106" i="32"/>
  <c r="AD177" i="57"/>
  <c r="AD177" i="53"/>
  <c r="S117" i="50"/>
  <c r="V116" i="50"/>
  <c r="S107" i="32"/>
  <c r="V107" i="32" s="1"/>
  <c r="Q177" i="53"/>
  <c r="AK177" i="52" a="1"/>
  <c r="AK177" i="52" s="1"/>
  <c r="B179" i="53" s="1"/>
  <c r="O179" i="53" s="1"/>
  <c r="F178" i="53"/>
  <c r="D178" i="53"/>
  <c r="C178" i="53"/>
  <c r="J178" i="53"/>
  <c r="E178" i="53"/>
  <c r="M178" i="53"/>
  <c r="G178" i="53"/>
  <c r="I178" i="53"/>
  <c r="H178" i="53"/>
  <c r="P178" i="53"/>
  <c r="L178" i="53"/>
  <c r="A108" i="32"/>
  <c r="B108" i="32"/>
  <c r="R108" i="32" s="1"/>
  <c r="I118" i="50"/>
  <c r="M118" i="50"/>
  <c r="L118" i="50"/>
  <c r="H118" i="50"/>
  <c r="J118" i="50"/>
  <c r="A118" i="50"/>
  <c r="Q118" i="50" s="1"/>
  <c r="P118" i="50" s="1"/>
  <c r="B118" i="50"/>
  <c r="R118" i="50" s="1"/>
  <c r="N118" i="50"/>
  <c r="K118" i="50"/>
  <c r="G118" i="50"/>
  <c r="F118" i="50"/>
  <c r="K108" i="32"/>
  <c r="L108" i="32"/>
  <c r="F108" i="32"/>
  <c r="AM108" i="32" s="1"/>
  <c r="N108" i="32"/>
  <c r="H108" i="32"/>
  <c r="J108" i="32"/>
  <c r="M108" i="32"/>
  <c r="G108" i="32"/>
  <c r="I108" i="32"/>
  <c r="O108" i="32"/>
  <c r="Q177" i="57"/>
  <c r="T177" i="57" s="1"/>
  <c r="D178" i="57"/>
  <c r="J178" i="57"/>
  <c r="K178" i="57"/>
  <c r="F178" i="57"/>
  <c r="I178" i="57"/>
  <c r="E178" i="57"/>
  <c r="H178" i="57"/>
  <c r="C178" i="57"/>
  <c r="M178" i="57" s="1"/>
  <c r="G178" i="57"/>
  <c r="P178" i="57"/>
  <c r="W116" i="50"/>
  <c r="X116" i="50" s="1"/>
  <c r="Z116" i="50"/>
  <c r="AK177" i="55" a="1"/>
  <c r="AK177" i="55" s="1"/>
  <c r="B179" i="57" s="1"/>
  <c r="O179" i="57" s="1"/>
  <c r="W106" i="32"/>
  <c r="X106" i="32" s="1"/>
  <c r="Z106" i="32"/>
  <c r="Q161" i="69"/>
  <c r="R161" i="69"/>
  <c r="S161" i="69" s="1"/>
  <c r="Y161" i="69" s="1"/>
  <c r="U161" i="69"/>
  <c r="AE161" i="69"/>
  <c r="C163" i="69"/>
  <c r="N162" i="69"/>
  <c r="AF162" i="69" s="1"/>
  <c r="D162" i="69"/>
  <c r="E162" i="69" s="1"/>
  <c r="F162" i="69" s="1"/>
  <c r="G162" i="69" s="1"/>
  <c r="H162" i="69" s="1"/>
  <c r="I162" i="69" s="1"/>
  <c r="J162" i="69" s="1"/>
  <c r="K162" i="69" s="1"/>
  <c r="M162" i="69" s="1"/>
  <c r="AN163" i="67" a="1"/>
  <c r="AN163" i="67" s="1"/>
  <c r="B164" i="69"/>
  <c r="AL108" i="11" a="1"/>
  <c r="AL108" i="11" s="1"/>
  <c r="E109" i="32" s="1"/>
  <c r="AL118" i="59" a="1"/>
  <c r="AL118" i="59" s="1"/>
  <c r="E119" i="50" s="1"/>
  <c r="X177" i="57" l="1"/>
  <c r="AB161" i="69"/>
  <c r="AC161" i="69" s="1"/>
  <c r="AD161" i="69" s="1"/>
  <c r="AG161" i="69"/>
  <c r="AO163" i="69"/>
  <c r="P163" i="69"/>
  <c r="L164" i="69"/>
  <c r="O164" i="69"/>
  <c r="AK119" i="50"/>
  <c r="T119" i="50"/>
  <c r="AF176" i="57"/>
  <c r="AB176" i="57"/>
  <c r="AF177" i="53"/>
  <c r="AC178" i="53"/>
  <c r="AE178" i="53"/>
  <c r="AB177" i="53"/>
  <c r="AA177" i="53"/>
  <c r="AK109" i="32"/>
  <c r="T109" i="32"/>
  <c r="AD107" i="32"/>
  <c r="AE178" i="57"/>
  <c r="AC178" i="57"/>
  <c r="AD117" i="50"/>
  <c r="AG117" i="50" s="1"/>
  <c r="AH117" i="50" s="1"/>
  <c r="AI117" i="50" s="1"/>
  <c r="AM118" i="50"/>
  <c r="U118" i="50"/>
  <c r="AG104" i="32"/>
  <c r="AH104" i="32" s="1"/>
  <c r="AL104" i="32"/>
  <c r="U108" i="32"/>
  <c r="AG105" i="32"/>
  <c r="AH105" i="32" s="1"/>
  <c r="AL105" i="32"/>
  <c r="AI103" i="32"/>
  <c r="AN103" i="32" s="1"/>
  <c r="AP115" i="50"/>
  <c r="R178" i="57"/>
  <c r="R178" i="53"/>
  <c r="X178" i="53" s="1"/>
  <c r="AL116" i="50"/>
  <c r="Q108" i="32"/>
  <c r="P108" i="32" s="1"/>
  <c r="AX162" i="69"/>
  <c r="AG179" i="57"/>
  <c r="L179" i="57"/>
  <c r="O119" i="50"/>
  <c r="AJ178" i="57"/>
  <c r="AP178" i="57"/>
  <c r="AH178" i="53"/>
  <c r="AT178" i="53"/>
  <c r="AG178" i="53"/>
  <c r="N179" i="57"/>
  <c r="D179" i="53"/>
  <c r="N179" i="53"/>
  <c r="AH162" i="69"/>
  <c r="AJ117" i="50"/>
  <c r="C117" i="50"/>
  <c r="AJ107" i="32"/>
  <c r="C107" i="32"/>
  <c r="AD178" i="57"/>
  <c r="AD178" i="53"/>
  <c r="S118" i="50"/>
  <c r="V117" i="50"/>
  <c r="S108" i="32"/>
  <c r="Q178" i="53"/>
  <c r="AK178" i="52" a="1"/>
  <c r="AK178" i="52" s="1"/>
  <c r="B180" i="53" s="1"/>
  <c r="O180" i="53" s="1"/>
  <c r="C179" i="53"/>
  <c r="P179" i="53"/>
  <c r="J179" i="53"/>
  <c r="H179" i="53"/>
  <c r="G179" i="53"/>
  <c r="E179" i="53"/>
  <c r="M179" i="53"/>
  <c r="F179" i="53"/>
  <c r="K179" i="53"/>
  <c r="I179" i="53"/>
  <c r="L179" i="53"/>
  <c r="A109" i="32"/>
  <c r="B109" i="32"/>
  <c r="R109" i="32" s="1"/>
  <c r="J119" i="50"/>
  <c r="F119" i="50"/>
  <c r="G119" i="50"/>
  <c r="M119" i="50"/>
  <c r="A119" i="50"/>
  <c r="Q119" i="50" s="1"/>
  <c r="P119" i="50" s="1"/>
  <c r="N119" i="50"/>
  <c r="B119" i="50"/>
  <c r="R119" i="50" s="1"/>
  <c r="L119" i="50"/>
  <c r="I119" i="50"/>
  <c r="K119" i="50"/>
  <c r="H119" i="50"/>
  <c r="I109" i="32"/>
  <c r="J109" i="32"/>
  <c r="L109" i="32"/>
  <c r="F109" i="32"/>
  <c r="AM109" i="32" s="1"/>
  <c r="N109" i="32"/>
  <c r="K109" i="32"/>
  <c r="H109" i="32"/>
  <c r="G109" i="32"/>
  <c r="M109" i="32"/>
  <c r="O109" i="32"/>
  <c r="Z117" i="50"/>
  <c r="W117" i="50"/>
  <c r="X117" i="50" s="1"/>
  <c r="P179" i="57"/>
  <c r="J179" i="57"/>
  <c r="I179" i="57"/>
  <c r="F179" i="57"/>
  <c r="D179" i="57"/>
  <c r="E179" i="57"/>
  <c r="H179" i="57"/>
  <c r="G179" i="57"/>
  <c r="K179" i="57"/>
  <c r="C179" i="57"/>
  <c r="M179" i="57" s="1"/>
  <c r="Q178" i="57"/>
  <c r="T178" i="57" s="1"/>
  <c r="AK178" i="55" a="1"/>
  <c r="AK178" i="55" s="1"/>
  <c r="B180" i="57" s="1"/>
  <c r="O180" i="57" s="1"/>
  <c r="W107" i="32"/>
  <c r="X107" i="32" s="1"/>
  <c r="Z107" i="32"/>
  <c r="R162" i="69"/>
  <c r="S162" i="69" s="1"/>
  <c r="Y162" i="69" s="1"/>
  <c r="U162" i="69"/>
  <c r="Q162" i="69"/>
  <c r="AE162" i="69"/>
  <c r="N163" i="69"/>
  <c r="AF163" i="69" s="1"/>
  <c r="D163" i="69"/>
  <c r="E163" i="69" s="1"/>
  <c r="F163" i="69" s="1"/>
  <c r="G163" i="69" s="1"/>
  <c r="H163" i="69" s="1"/>
  <c r="I163" i="69" s="1"/>
  <c r="J163" i="69" s="1"/>
  <c r="K163" i="69" s="1"/>
  <c r="M163" i="69" s="1"/>
  <c r="C164" i="69"/>
  <c r="AN164" i="67" a="1"/>
  <c r="AN164" i="67" s="1"/>
  <c r="B165" i="69"/>
  <c r="AL109" i="11" a="1"/>
  <c r="AL109" i="11" s="1"/>
  <c r="AL119" i="59" a="1"/>
  <c r="AL119" i="59" s="1"/>
  <c r="E120" i="50" s="1"/>
  <c r="L12" i="50"/>
  <c r="AB177" i="57" l="1"/>
  <c r="AA177" i="57"/>
  <c r="AF177" i="57"/>
  <c r="AB162" i="69"/>
  <c r="AC162" i="69" s="1"/>
  <c r="AD162" i="69" s="1"/>
  <c r="AG162" i="69"/>
  <c r="AO164" i="69"/>
  <c r="P164" i="69"/>
  <c r="L165" i="69"/>
  <c r="O165" i="69"/>
  <c r="AK120" i="50"/>
  <c r="T120" i="50"/>
  <c r="AB178" i="53"/>
  <c r="AA178" i="53"/>
  <c r="AE179" i="53"/>
  <c r="AC179" i="53"/>
  <c r="AF178" i="53"/>
  <c r="AD108" i="32"/>
  <c r="X178" i="57"/>
  <c r="AA178" i="57" s="1"/>
  <c r="AE179" i="57"/>
  <c r="AC179" i="57"/>
  <c r="AD118" i="50"/>
  <c r="AG118" i="50" s="1"/>
  <c r="AH118" i="50" s="1"/>
  <c r="AI118" i="50" s="1"/>
  <c r="AM119" i="50"/>
  <c r="U119" i="50"/>
  <c r="U109" i="32"/>
  <c r="AG106" i="32"/>
  <c r="AH106" i="32" s="1"/>
  <c r="AL106" i="32"/>
  <c r="AI104" i="32"/>
  <c r="AN104" i="32" s="1"/>
  <c r="AP116" i="50"/>
  <c r="R179" i="57"/>
  <c r="R179" i="53"/>
  <c r="X179" i="53" s="1"/>
  <c r="AL117" i="50"/>
  <c r="Q109" i="32"/>
  <c r="P109" i="32" s="1"/>
  <c r="V108" i="32"/>
  <c r="AI105" i="32"/>
  <c r="M12" i="50"/>
  <c r="AX163" i="69"/>
  <c r="AG180" i="57"/>
  <c r="L180" i="57"/>
  <c r="O120" i="50"/>
  <c r="AJ179" i="57"/>
  <c r="AP179" i="57"/>
  <c r="AG179" i="53"/>
  <c r="AH179" i="53"/>
  <c r="AT179" i="53"/>
  <c r="N180" i="57"/>
  <c r="N180" i="53"/>
  <c r="AH163" i="69"/>
  <c r="AJ118" i="50"/>
  <c r="C118" i="50"/>
  <c r="AJ108" i="32"/>
  <c r="C108" i="32"/>
  <c r="AD179" i="57"/>
  <c r="AD179" i="53"/>
  <c r="Q179" i="53"/>
  <c r="V118" i="50"/>
  <c r="S119" i="50"/>
  <c r="S109" i="32"/>
  <c r="V109" i="32" s="1"/>
  <c r="P180" i="53"/>
  <c r="M180" i="53"/>
  <c r="C180" i="53"/>
  <c r="L180" i="53"/>
  <c r="J180" i="53"/>
  <c r="E180" i="53"/>
  <c r="H180" i="53"/>
  <c r="I180" i="53"/>
  <c r="K180" i="53"/>
  <c r="AK179" i="52" a="1"/>
  <c r="AK179" i="52" s="1"/>
  <c r="B181" i="53" s="1"/>
  <c r="O181" i="53" s="1"/>
  <c r="F180" i="53"/>
  <c r="D180" i="53"/>
  <c r="G180" i="53"/>
  <c r="I120" i="50"/>
  <c r="M120" i="50"/>
  <c r="G120" i="50"/>
  <c r="H120" i="50"/>
  <c r="J120" i="50"/>
  <c r="A120" i="50"/>
  <c r="Q120" i="50" s="1"/>
  <c r="P120" i="50" s="1"/>
  <c r="K120" i="50"/>
  <c r="N120" i="50"/>
  <c r="B120" i="50"/>
  <c r="R120" i="50" s="1"/>
  <c r="L120" i="50"/>
  <c r="F120" i="50"/>
  <c r="Q179" i="57"/>
  <c r="T179" i="57" s="1"/>
  <c r="Z118" i="50"/>
  <c r="W118" i="50"/>
  <c r="X118" i="50" s="1"/>
  <c r="F180" i="57"/>
  <c r="C180" i="57"/>
  <c r="M180" i="57" s="1"/>
  <c r="P180" i="57"/>
  <c r="K180" i="57"/>
  <c r="H180" i="57"/>
  <c r="G180" i="57"/>
  <c r="D180" i="57"/>
  <c r="J180" i="57"/>
  <c r="I180" i="57"/>
  <c r="E180" i="57"/>
  <c r="E110" i="32"/>
  <c r="AK179" i="55" a="1"/>
  <c r="AK179" i="55" s="1"/>
  <c r="B181" i="57" s="1"/>
  <c r="O181" i="57" s="1"/>
  <c r="W108" i="32"/>
  <c r="X108" i="32" s="1"/>
  <c r="Z108" i="32"/>
  <c r="D164" i="69"/>
  <c r="E164" i="69" s="1"/>
  <c r="F164" i="69" s="1"/>
  <c r="G164" i="69" s="1"/>
  <c r="H164" i="69" s="1"/>
  <c r="I164" i="69" s="1"/>
  <c r="J164" i="69" s="1"/>
  <c r="K164" i="69" s="1"/>
  <c r="M164" i="69" s="1"/>
  <c r="N164" i="69"/>
  <c r="AF164" i="69" s="1"/>
  <c r="AE163" i="69"/>
  <c r="U163" i="69"/>
  <c r="Q163" i="69"/>
  <c r="R163" i="69"/>
  <c r="S163" i="69" s="1"/>
  <c r="Y163" i="69" s="1"/>
  <c r="AB163" i="69" s="1"/>
  <c r="AC163" i="69" s="1"/>
  <c r="AD163" i="69" s="1"/>
  <c r="C165" i="69"/>
  <c r="AN165" i="67" a="1"/>
  <c r="AN165" i="67" s="1"/>
  <c r="B166" i="69"/>
  <c r="AL110" i="11" a="1"/>
  <c r="AL110" i="11" s="1"/>
  <c r="E111" i="32" s="1"/>
  <c r="AH11" i="59"/>
  <c r="J11" i="59"/>
  <c r="AL120" i="59" a="1"/>
  <c r="AL120" i="59" s="1"/>
  <c r="E121" i="50" s="1"/>
  <c r="AH12" i="59"/>
  <c r="AH13" i="59"/>
  <c r="AH21" i="59"/>
  <c r="AH29" i="59"/>
  <c r="AH37" i="59"/>
  <c r="AH45" i="59"/>
  <c r="AH53" i="59"/>
  <c r="AH61" i="59"/>
  <c r="AH69" i="59"/>
  <c r="AH76" i="59"/>
  <c r="AH84" i="59"/>
  <c r="AH92" i="59"/>
  <c r="AH100" i="59"/>
  <c r="AH108" i="59"/>
  <c r="AH116" i="59"/>
  <c r="AH124" i="59"/>
  <c r="AH132" i="59"/>
  <c r="AH140" i="59"/>
  <c r="AH148" i="59"/>
  <c r="AH156" i="59"/>
  <c r="AH164" i="59"/>
  <c r="AH172" i="59"/>
  <c r="AH180" i="59"/>
  <c r="AH188" i="59"/>
  <c r="AH196" i="59"/>
  <c r="AH204" i="59"/>
  <c r="AH212" i="59"/>
  <c r="AH220" i="59"/>
  <c r="AH228" i="59"/>
  <c r="AH236" i="59"/>
  <c r="AH244" i="59"/>
  <c r="AH252" i="59"/>
  <c r="AH20" i="59"/>
  <c r="AH28" i="59"/>
  <c r="AH36" i="59"/>
  <c r="AH44" i="59"/>
  <c r="AH52" i="59"/>
  <c r="AH60" i="59"/>
  <c r="AH68" i="59"/>
  <c r="AH83" i="59"/>
  <c r="AH91" i="59"/>
  <c r="AH99" i="59"/>
  <c r="AH107" i="59"/>
  <c r="AH115" i="59"/>
  <c r="AH123" i="59"/>
  <c r="AH131" i="59"/>
  <c r="AH139" i="59"/>
  <c r="AH147" i="59"/>
  <c r="AH155" i="59"/>
  <c r="AH163" i="59"/>
  <c r="AH171" i="59"/>
  <c r="AH179" i="59"/>
  <c r="AH187" i="59"/>
  <c r="AH195" i="59"/>
  <c r="AH203" i="59"/>
  <c r="AH211" i="59"/>
  <c r="AH219" i="59"/>
  <c r="AH227" i="59"/>
  <c r="AH235" i="59"/>
  <c r="AH243" i="59"/>
  <c r="AH251" i="59"/>
  <c r="AH19" i="59"/>
  <c r="AH27" i="59"/>
  <c r="AH35" i="59"/>
  <c r="AH43" i="59"/>
  <c r="AH51" i="59"/>
  <c r="AH59" i="59"/>
  <c r="AH67" i="59"/>
  <c r="AH75" i="59"/>
  <c r="AH82" i="59"/>
  <c r="AH90" i="59"/>
  <c r="AH98" i="59"/>
  <c r="AH106" i="59"/>
  <c r="AH114" i="59"/>
  <c r="AH122" i="59"/>
  <c r="AH130" i="59"/>
  <c r="AH138" i="59"/>
  <c r="AH146" i="59"/>
  <c r="AH154" i="59"/>
  <c r="AH162" i="59"/>
  <c r="AH170" i="59"/>
  <c r="AH178" i="59"/>
  <c r="AH186" i="59"/>
  <c r="AH194" i="59"/>
  <c r="AH202" i="59"/>
  <c r="AH210" i="59"/>
  <c r="AH218" i="59"/>
  <c r="AH226" i="59"/>
  <c r="AH234" i="59"/>
  <c r="AH242" i="59"/>
  <c r="AH250" i="59"/>
  <c r="AH258" i="59"/>
  <c r="AH18" i="59"/>
  <c r="AH26" i="59"/>
  <c r="AH34" i="59"/>
  <c r="AH42" i="59"/>
  <c r="AH50" i="59"/>
  <c r="AH58" i="59"/>
  <c r="AH66" i="59"/>
  <c r="AH74" i="59"/>
  <c r="AH81" i="59"/>
  <c r="AH89" i="59"/>
  <c r="AH97" i="59"/>
  <c r="AH105" i="59"/>
  <c r="AH113" i="59"/>
  <c r="AH121" i="59"/>
  <c r="AH129" i="59"/>
  <c r="AH137" i="59"/>
  <c r="AH145" i="59"/>
  <c r="AH153" i="59"/>
  <c r="AH161" i="59"/>
  <c r="AH169" i="59"/>
  <c r="AH177" i="59"/>
  <c r="AH185" i="59"/>
  <c r="AH193" i="59"/>
  <c r="AH201" i="59"/>
  <c r="AH209" i="59"/>
  <c r="AH217" i="59"/>
  <c r="AH225" i="59"/>
  <c r="AH233" i="59"/>
  <c r="AH241" i="59"/>
  <c r="AH249" i="59"/>
  <c r="AH257" i="59"/>
  <c r="AH17" i="59"/>
  <c r="AH25" i="59"/>
  <c r="AH33" i="59"/>
  <c r="AH41" i="59"/>
  <c r="AH49" i="59"/>
  <c r="AH57" i="59"/>
  <c r="AH65" i="59"/>
  <c r="AH73" i="59"/>
  <c r="AH80" i="59"/>
  <c r="AH88" i="59"/>
  <c r="AH96" i="59"/>
  <c r="AH104" i="59"/>
  <c r="AH112" i="59"/>
  <c r="AH120" i="59"/>
  <c r="AH128" i="59"/>
  <c r="AH136" i="59"/>
  <c r="AH144" i="59"/>
  <c r="AH152" i="59"/>
  <c r="AH160" i="59"/>
  <c r="AH168" i="59"/>
  <c r="AH176" i="59"/>
  <c r="AH184" i="59"/>
  <c r="AH192" i="59"/>
  <c r="AH200" i="59"/>
  <c r="AH208" i="59"/>
  <c r="AH216" i="59"/>
  <c r="AH224" i="59"/>
  <c r="AH232" i="59"/>
  <c r="AH240" i="59"/>
  <c r="AH248" i="59"/>
  <c r="AH256" i="59"/>
  <c r="AH16" i="59"/>
  <c r="AH24" i="59"/>
  <c r="AH32" i="59"/>
  <c r="AH40" i="59"/>
  <c r="AH48" i="59"/>
  <c r="AH56" i="59"/>
  <c r="AH64" i="59"/>
  <c r="AH72" i="59"/>
  <c r="AH79" i="59"/>
  <c r="AH87" i="59"/>
  <c r="AH95" i="59"/>
  <c r="AH103" i="59"/>
  <c r="AH111" i="59"/>
  <c r="AH119" i="59"/>
  <c r="AH127" i="59"/>
  <c r="AH135" i="59"/>
  <c r="AH143" i="59"/>
  <c r="AH151" i="59"/>
  <c r="AH159" i="59"/>
  <c r="AH167" i="59"/>
  <c r="AH175" i="59"/>
  <c r="AH183" i="59"/>
  <c r="AH191" i="59"/>
  <c r="AH199" i="59"/>
  <c r="AH207" i="59"/>
  <c r="AH215" i="59"/>
  <c r="AH223" i="59"/>
  <c r="AH231" i="59"/>
  <c r="AH239" i="59"/>
  <c r="AH247" i="59"/>
  <c r="AH255" i="59"/>
  <c r="AH15" i="59"/>
  <c r="AH23" i="59"/>
  <c r="AH31" i="59"/>
  <c r="AH39" i="59"/>
  <c r="AH47" i="59"/>
  <c r="AH55" i="59"/>
  <c r="AH63" i="59"/>
  <c r="AH71" i="59"/>
  <c r="AH78" i="59"/>
  <c r="AH86" i="59"/>
  <c r="AH94" i="59"/>
  <c r="AH102" i="59"/>
  <c r="AH110" i="59"/>
  <c r="AH118" i="59"/>
  <c r="AH126" i="59"/>
  <c r="AH134" i="59"/>
  <c r="AH142" i="59"/>
  <c r="AH150" i="59"/>
  <c r="AH158" i="59"/>
  <c r="AH166" i="59"/>
  <c r="AH174" i="59"/>
  <c r="AH182" i="59"/>
  <c r="AH190" i="59"/>
  <c r="AH198" i="59"/>
  <c r="AH206" i="59"/>
  <c r="AH214" i="59"/>
  <c r="AH222" i="59"/>
  <c r="AH230" i="59"/>
  <c r="AH238" i="59"/>
  <c r="AH246" i="59"/>
  <c r="AH254" i="59"/>
  <c r="AH14" i="59"/>
  <c r="AH22" i="59"/>
  <c r="AH30" i="59"/>
  <c r="AH38" i="59"/>
  <c r="AH46" i="59"/>
  <c r="AH54" i="59"/>
  <c r="AH62" i="59"/>
  <c r="AH70" i="59"/>
  <c r="AH77" i="59"/>
  <c r="AH85" i="59"/>
  <c r="AH93" i="59"/>
  <c r="AH101" i="59"/>
  <c r="AH109" i="59"/>
  <c r="AH117" i="59"/>
  <c r="AH125" i="59"/>
  <c r="AH133" i="59"/>
  <c r="AH141" i="59"/>
  <c r="AH149" i="59"/>
  <c r="AH157" i="59"/>
  <c r="AH165" i="59"/>
  <c r="AH173" i="59"/>
  <c r="AH181" i="59"/>
  <c r="AH189" i="59"/>
  <c r="AH197" i="59"/>
  <c r="AH205" i="59"/>
  <c r="AH213" i="59"/>
  <c r="AH221" i="59"/>
  <c r="AH229" i="59"/>
  <c r="AH237" i="59"/>
  <c r="AH245" i="59"/>
  <c r="AH253" i="59"/>
  <c r="L166" i="69" l="1"/>
  <c r="O166" i="69"/>
  <c r="AO165" i="69"/>
  <c r="P165" i="69"/>
  <c r="AG163" i="69"/>
  <c r="T10" i="22"/>
  <c r="T4" i="22"/>
  <c r="T121" i="50"/>
  <c r="AK121" i="50"/>
  <c r="X179" i="57"/>
  <c r="AA179" i="57" s="1"/>
  <c r="AB179" i="53"/>
  <c r="AA179" i="53"/>
  <c r="AF179" i="53"/>
  <c r="AC180" i="53"/>
  <c r="AE180" i="53"/>
  <c r="AK111" i="32"/>
  <c r="T111" i="32"/>
  <c r="AK110" i="32"/>
  <c r="T110" i="32"/>
  <c r="AD109" i="32"/>
  <c r="AF178" i="57"/>
  <c r="AB178" i="57"/>
  <c r="AE180" i="57"/>
  <c r="AC180" i="57"/>
  <c r="AD119" i="50"/>
  <c r="AG119" i="50" s="1"/>
  <c r="AH119" i="50" s="1"/>
  <c r="AI119" i="50" s="1"/>
  <c r="AM120" i="50"/>
  <c r="U120" i="50"/>
  <c r="AG107" i="32"/>
  <c r="AH107" i="32" s="1"/>
  <c r="AL107" i="32"/>
  <c r="AI106" i="32"/>
  <c r="AN106" i="32" s="1"/>
  <c r="AP117" i="50"/>
  <c r="R180" i="57"/>
  <c r="R180" i="53"/>
  <c r="X180" i="53" s="1"/>
  <c r="AL118" i="50"/>
  <c r="AN105" i="32"/>
  <c r="U11" i="59"/>
  <c r="V11" i="59"/>
  <c r="T59" i="22"/>
  <c r="AX164" i="69"/>
  <c r="AG181" i="57"/>
  <c r="L181" i="57"/>
  <c r="O121" i="50"/>
  <c r="AJ180" i="57"/>
  <c r="AP180" i="57"/>
  <c r="AG180" i="53"/>
  <c r="AH180" i="53"/>
  <c r="AT180" i="53"/>
  <c r="N181" i="57"/>
  <c r="N181" i="53"/>
  <c r="AH164" i="69"/>
  <c r="AJ119" i="50"/>
  <c r="C119" i="50"/>
  <c r="AJ109" i="32"/>
  <c r="C109" i="32"/>
  <c r="AD11" i="59"/>
  <c r="I12" i="50"/>
  <c r="AD180" i="57"/>
  <c r="AD180" i="53"/>
  <c r="S120" i="50"/>
  <c r="V119" i="50"/>
  <c r="Q180" i="53"/>
  <c r="I181" i="53"/>
  <c r="C181" i="53"/>
  <c r="AK180" i="52" a="1"/>
  <c r="AK180" i="52" s="1"/>
  <c r="B182" i="53" s="1"/>
  <c r="O182" i="53" s="1"/>
  <c r="E181" i="53"/>
  <c r="H181" i="53"/>
  <c r="J181" i="53"/>
  <c r="F181" i="53"/>
  <c r="P181" i="53"/>
  <c r="K181" i="53"/>
  <c r="L181" i="53"/>
  <c r="M181" i="53"/>
  <c r="G181" i="53"/>
  <c r="D181" i="53"/>
  <c r="A111" i="32"/>
  <c r="B111" i="32"/>
  <c r="R111" i="32" s="1"/>
  <c r="A110" i="32"/>
  <c r="B110" i="32"/>
  <c r="R110" i="32" s="1"/>
  <c r="K121" i="50"/>
  <c r="M121" i="50"/>
  <c r="H121" i="50"/>
  <c r="J121" i="50"/>
  <c r="L121" i="50"/>
  <c r="A121" i="50"/>
  <c r="Q121" i="50" s="1"/>
  <c r="P121" i="50" s="1"/>
  <c r="G121" i="50"/>
  <c r="N121" i="50"/>
  <c r="B121" i="50"/>
  <c r="R121" i="50" s="1"/>
  <c r="F121" i="50"/>
  <c r="I121" i="50"/>
  <c r="G110" i="32"/>
  <c r="O110" i="32"/>
  <c r="H110" i="32"/>
  <c r="J110" i="32"/>
  <c r="L110" i="32"/>
  <c r="F110" i="32"/>
  <c r="AM110" i="32" s="1"/>
  <c r="I110" i="32"/>
  <c r="N110" i="32"/>
  <c r="M110" i="32"/>
  <c r="K110" i="32"/>
  <c r="M111" i="32"/>
  <c r="F111" i="32"/>
  <c r="AM111" i="32" s="1"/>
  <c r="N111" i="32"/>
  <c r="H111" i="32"/>
  <c r="J111" i="32"/>
  <c r="G111" i="32"/>
  <c r="L111" i="32"/>
  <c r="O111" i="32"/>
  <c r="I111" i="32"/>
  <c r="K111" i="32"/>
  <c r="Q180" i="57"/>
  <c r="T180" i="57" s="1"/>
  <c r="X180" i="57" s="1"/>
  <c r="AA180" i="57" s="1"/>
  <c r="V68" i="22"/>
  <c r="Z119" i="50"/>
  <c r="W119" i="50"/>
  <c r="X119" i="50" s="1"/>
  <c r="P181" i="57"/>
  <c r="J181" i="57"/>
  <c r="E181" i="57"/>
  <c r="I181" i="57"/>
  <c r="D181" i="57"/>
  <c r="F181" i="57"/>
  <c r="K181" i="57"/>
  <c r="G181" i="57"/>
  <c r="C181" i="57"/>
  <c r="M181" i="57" s="1"/>
  <c r="H181" i="57"/>
  <c r="AK180" i="55" a="1"/>
  <c r="AK180" i="55" s="1"/>
  <c r="B182" i="57" s="1"/>
  <c r="O182" i="57" s="1"/>
  <c r="W109" i="32"/>
  <c r="X109" i="32" s="1"/>
  <c r="Z109" i="32"/>
  <c r="D165" i="69"/>
  <c r="E165" i="69" s="1"/>
  <c r="F165" i="69" s="1"/>
  <c r="G165" i="69" s="1"/>
  <c r="H165" i="69" s="1"/>
  <c r="I165" i="69" s="1"/>
  <c r="J165" i="69" s="1"/>
  <c r="K165" i="69" s="1"/>
  <c r="M165" i="69" s="1"/>
  <c r="N165" i="69"/>
  <c r="AF165" i="69" s="1"/>
  <c r="C166" i="69"/>
  <c r="AN166" i="67" a="1"/>
  <c r="AN166" i="67" s="1"/>
  <c r="B167" i="69"/>
  <c r="U164" i="69"/>
  <c r="Q164" i="69"/>
  <c r="R164" i="69"/>
  <c r="S164" i="69" s="1"/>
  <c r="Y164" i="69" s="1"/>
  <c r="AE164" i="69"/>
  <c r="AL111" i="11" a="1"/>
  <c r="AL111" i="11" s="1"/>
  <c r="E112" i="32" s="1"/>
  <c r="AL121" i="59" a="1"/>
  <c r="AL121" i="59" s="1"/>
  <c r="E122" i="50" s="1"/>
  <c r="AM11" i="59" a="1"/>
  <c r="AM11" i="59" s="1"/>
  <c r="V125" i="22"/>
  <c r="T55" i="22"/>
  <c r="AW5" i="22"/>
  <c r="X12" i="50"/>
  <c r="X11" i="59" l="1"/>
  <c r="AQ11" i="59" s="1"/>
  <c r="AQ259" i="59" s="1"/>
  <c r="T12" i="50"/>
  <c r="U12" i="50" s="1"/>
  <c r="AD12" i="50" s="1"/>
  <c r="AG12" i="50" s="1"/>
  <c r="AH12" i="50" s="1"/>
  <c r="V10" i="22"/>
  <c r="V28" i="22"/>
  <c r="AB164" i="69"/>
  <c r="AC164" i="69" s="1"/>
  <c r="AD164" i="69" s="1"/>
  <c r="AG164" i="69"/>
  <c r="L167" i="69"/>
  <c r="O167" i="69"/>
  <c r="AO166" i="69"/>
  <c r="P166" i="69"/>
  <c r="T122" i="50"/>
  <c r="AK122" i="50"/>
  <c r="AF179" i="57"/>
  <c r="AB179" i="57"/>
  <c r="AC181" i="53"/>
  <c r="AE181" i="53"/>
  <c r="AF180" i="53"/>
  <c r="AB180" i="53"/>
  <c r="AA180" i="53"/>
  <c r="AK112" i="32"/>
  <c r="T112" i="32"/>
  <c r="AB180" i="57"/>
  <c r="AE181" i="57"/>
  <c r="AC181" i="57"/>
  <c r="AF180" i="57"/>
  <c r="AM121" i="50"/>
  <c r="U121" i="50"/>
  <c r="AD120" i="50"/>
  <c r="AG120" i="50" s="1"/>
  <c r="AH120" i="50" s="1"/>
  <c r="AI120" i="50" s="1"/>
  <c r="U111" i="32"/>
  <c r="U110" i="32"/>
  <c r="AG108" i="32"/>
  <c r="AH108" i="32" s="1"/>
  <c r="AL108" i="32"/>
  <c r="V61" i="22"/>
  <c r="V6" i="22"/>
  <c r="V9" i="22"/>
  <c r="AI107" i="32"/>
  <c r="AN107" i="32" s="1"/>
  <c r="V35" i="22"/>
  <c r="V18" i="22"/>
  <c r="AP118" i="50"/>
  <c r="R181" i="57"/>
  <c r="R181" i="53"/>
  <c r="X181" i="53" s="1"/>
  <c r="AL119" i="50"/>
  <c r="Q111" i="32"/>
  <c r="P111" i="32" s="1"/>
  <c r="Q110" i="32"/>
  <c r="P110" i="32" s="1"/>
  <c r="T34" i="22"/>
  <c r="V33" i="22"/>
  <c r="V37" i="22"/>
  <c r="V32" i="22"/>
  <c r="V34" i="22"/>
  <c r="V69" i="22"/>
  <c r="V66" i="22"/>
  <c r="V20" i="22"/>
  <c r="V65" i="22"/>
  <c r="V4" i="22"/>
  <c r="V59" i="22"/>
  <c r="AX165" i="69"/>
  <c r="AG182" i="57"/>
  <c r="L182" i="57"/>
  <c r="O122" i="50"/>
  <c r="AJ181" i="57"/>
  <c r="AP181" i="57"/>
  <c r="AH181" i="53"/>
  <c r="AT181" i="53"/>
  <c r="AG181" i="53"/>
  <c r="N182" i="57"/>
  <c r="N182" i="53"/>
  <c r="AH165" i="69"/>
  <c r="AJ120" i="50"/>
  <c r="C120" i="50"/>
  <c r="AD181" i="57"/>
  <c r="AD181" i="53"/>
  <c r="V130" i="22"/>
  <c r="V17" i="22"/>
  <c r="V120" i="50"/>
  <c r="S121" i="50"/>
  <c r="S111" i="32"/>
  <c r="V111" i="32" s="1"/>
  <c r="S110" i="32"/>
  <c r="Q181" i="53"/>
  <c r="AK181" i="52" a="1"/>
  <c r="AK181" i="52" s="1"/>
  <c r="B183" i="53" s="1"/>
  <c r="O183" i="53" s="1"/>
  <c r="C182" i="53"/>
  <c r="E182" i="53"/>
  <c r="H182" i="53"/>
  <c r="G182" i="53"/>
  <c r="J182" i="53"/>
  <c r="M182" i="53"/>
  <c r="K182" i="53"/>
  <c r="I182" i="53"/>
  <c r="L182" i="53"/>
  <c r="F182" i="53"/>
  <c r="P182" i="53"/>
  <c r="D182" i="53"/>
  <c r="A112" i="32"/>
  <c r="B112" i="32"/>
  <c r="R112" i="32" s="1"/>
  <c r="H122" i="50"/>
  <c r="A122" i="50"/>
  <c r="Q122" i="50" s="1"/>
  <c r="P122" i="50" s="1"/>
  <c r="M122" i="50"/>
  <c r="K122" i="50"/>
  <c r="G122" i="50"/>
  <c r="F122" i="50"/>
  <c r="N122" i="50"/>
  <c r="B122" i="50"/>
  <c r="R122" i="50" s="1"/>
  <c r="J122" i="50"/>
  <c r="I122" i="50"/>
  <c r="L122" i="50"/>
  <c r="V31" i="22"/>
  <c r="V85" i="22"/>
  <c r="K112" i="32"/>
  <c r="L112" i="32"/>
  <c r="F112" i="32"/>
  <c r="AM112" i="32" s="1"/>
  <c r="N112" i="32"/>
  <c r="H112" i="32"/>
  <c r="M112" i="32"/>
  <c r="J112" i="32"/>
  <c r="I112" i="32"/>
  <c r="O112" i="32"/>
  <c r="G112" i="32"/>
  <c r="W120" i="50"/>
  <c r="X120" i="50" s="1"/>
  <c r="Z120" i="50"/>
  <c r="J182" i="57"/>
  <c r="G182" i="57"/>
  <c r="D182" i="57"/>
  <c r="P182" i="57"/>
  <c r="K182" i="57"/>
  <c r="F182" i="57"/>
  <c r="H182" i="57"/>
  <c r="I182" i="57"/>
  <c r="E182" i="57"/>
  <c r="C182" i="57"/>
  <c r="M182" i="57" s="1"/>
  <c r="Q181" i="57"/>
  <c r="T181" i="57" s="1"/>
  <c r="AK181" i="55" a="1"/>
  <c r="AK181" i="55" s="1"/>
  <c r="B183" i="57" s="1"/>
  <c r="O183" i="57" s="1"/>
  <c r="T7" i="22"/>
  <c r="T130" i="22"/>
  <c r="AL32" i="22" s="1"/>
  <c r="D70" i="36" s="1"/>
  <c r="V118" i="22"/>
  <c r="V7" i="22"/>
  <c r="D166" i="69"/>
  <c r="E166" i="69" s="1"/>
  <c r="F166" i="69" s="1"/>
  <c r="G166" i="69" s="1"/>
  <c r="H166" i="69" s="1"/>
  <c r="I166" i="69" s="1"/>
  <c r="J166" i="69" s="1"/>
  <c r="K166" i="69" s="1"/>
  <c r="M166" i="69" s="1"/>
  <c r="N166" i="69"/>
  <c r="AF166" i="69" s="1"/>
  <c r="C167" i="69"/>
  <c r="AN167" i="67" a="1"/>
  <c r="AN167" i="67" s="1"/>
  <c r="B168" i="69"/>
  <c r="U165" i="69"/>
  <c r="AE165" i="69"/>
  <c r="Q165" i="69"/>
  <c r="R165" i="69"/>
  <c r="S165" i="69" s="1"/>
  <c r="Y165" i="69" s="1"/>
  <c r="V15" i="22"/>
  <c r="V29" i="22"/>
  <c r="V8" i="22"/>
  <c r="V13" i="22"/>
  <c r="V19" i="22"/>
  <c r="V22" i="22"/>
  <c r="T16" i="22"/>
  <c r="T118" i="22"/>
  <c r="AL28" i="22" s="1"/>
  <c r="AL112" i="11" a="1"/>
  <c r="AL112" i="11" s="1"/>
  <c r="E113" i="32" s="1"/>
  <c r="T81" i="22"/>
  <c r="T17" i="22"/>
  <c r="T86" i="22"/>
  <c r="T26" i="22"/>
  <c r="T83" i="22"/>
  <c r="T19" i="22"/>
  <c r="T37" i="22"/>
  <c r="T97" i="22"/>
  <c r="T33" i="22"/>
  <c r="T52" i="22"/>
  <c r="T31" i="22"/>
  <c r="T77" i="22"/>
  <c r="T57" i="22"/>
  <c r="T20" i="22"/>
  <c r="T27" i="22"/>
  <c r="T93" i="22"/>
  <c r="T42" i="22"/>
  <c r="T91" i="22"/>
  <c r="T54" i="22"/>
  <c r="T32" i="22"/>
  <c r="T63" i="22"/>
  <c r="T39" i="22"/>
  <c r="T96" i="22"/>
  <c r="T74" i="22"/>
  <c r="T25" i="22"/>
  <c r="T49" i="22"/>
  <c r="T24" i="22"/>
  <c r="T43" i="22"/>
  <c r="T50" i="22"/>
  <c r="T90" i="22"/>
  <c r="T69" i="22"/>
  <c r="T46" i="22"/>
  <c r="T56" i="22"/>
  <c r="T47" i="22"/>
  <c r="T60" i="22"/>
  <c r="T65" i="22"/>
  <c r="T68" i="22"/>
  <c r="T79" i="22"/>
  <c r="T36" i="22"/>
  <c r="T72" i="22"/>
  <c r="T40" i="22"/>
  <c r="T85" i="22"/>
  <c r="T41" i="22"/>
  <c r="T98" i="22"/>
  <c r="T48" i="22"/>
  <c r="T75" i="22"/>
  <c r="T15" i="22"/>
  <c r="T73" i="22"/>
  <c r="T94" i="22"/>
  <c r="T66" i="22"/>
  <c r="T71" i="22"/>
  <c r="T82" i="22"/>
  <c r="T28" i="22"/>
  <c r="T95" i="22"/>
  <c r="T45" i="22"/>
  <c r="T88" i="22"/>
  <c r="T44" i="22"/>
  <c r="T58" i="22"/>
  <c r="T30" i="22"/>
  <c r="T21" i="22"/>
  <c r="T70" i="22"/>
  <c r="T89" i="22"/>
  <c r="T80" i="22"/>
  <c r="T18" i="22"/>
  <c r="T53" i="22"/>
  <c r="T61" i="22"/>
  <c r="T23" i="22"/>
  <c r="T67" i="22"/>
  <c r="T35" i="22"/>
  <c r="T51" i="22"/>
  <c r="T38" i="22"/>
  <c r="T29" i="22"/>
  <c r="AL122" i="59" a="1"/>
  <c r="AL122" i="59" s="1"/>
  <c r="E123" i="50" s="1"/>
  <c r="T22" i="22"/>
  <c r="T84" i="22"/>
  <c r="T6" i="22"/>
  <c r="T9" i="22"/>
  <c r="T5" i="22"/>
  <c r="AM12" i="59" a="1"/>
  <c r="AM12" i="59" s="1"/>
  <c r="T92" i="22"/>
  <c r="T99" i="22"/>
  <c r="T8" i="22"/>
  <c r="T13" i="22"/>
  <c r="AK12" i="50" l="1"/>
  <c r="AL12" i="50" s="1"/>
  <c r="AM12" i="50" s="1"/>
  <c r="AI12" i="50"/>
  <c r="AB165" i="69"/>
  <c r="AC165" i="69" s="1"/>
  <c r="AD165" i="69" s="1"/>
  <c r="AG165" i="69"/>
  <c r="L168" i="69"/>
  <c r="O168" i="69"/>
  <c r="AO167" i="69"/>
  <c r="P167" i="69"/>
  <c r="X181" i="57"/>
  <c r="AA181" i="57" s="1"/>
  <c r="T123" i="50"/>
  <c r="AK123" i="50"/>
  <c r="AB181" i="53"/>
  <c r="AA181" i="53"/>
  <c r="AC182" i="53"/>
  <c r="AE182" i="53"/>
  <c r="AF181" i="53"/>
  <c r="AK113" i="32"/>
  <c r="T113" i="32"/>
  <c r="AD111" i="32"/>
  <c r="AD110" i="32"/>
  <c r="AE182" i="57"/>
  <c r="AC182" i="57"/>
  <c r="AD121" i="50"/>
  <c r="AG121" i="50" s="1"/>
  <c r="AH121" i="50" s="1"/>
  <c r="AI121" i="50" s="1"/>
  <c r="AM122" i="50"/>
  <c r="U122" i="50"/>
  <c r="U112" i="32"/>
  <c r="AG109" i="32"/>
  <c r="AH109" i="32" s="1"/>
  <c r="AL109" i="32"/>
  <c r="AI108" i="32"/>
  <c r="AN108" i="32" s="1"/>
  <c r="AP119" i="50"/>
  <c r="R182" i="57"/>
  <c r="R182" i="53"/>
  <c r="X182" i="53" s="1"/>
  <c r="AL120" i="50"/>
  <c r="Q112" i="32"/>
  <c r="P112" i="32" s="1"/>
  <c r="N12" i="50"/>
  <c r="AX166" i="69"/>
  <c r="AG183" i="57"/>
  <c r="L183" i="57"/>
  <c r="O123" i="50"/>
  <c r="AJ182" i="57"/>
  <c r="AP182" i="57"/>
  <c r="AG182" i="53"/>
  <c r="AH182" i="53"/>
  <c r="AT182" i="53"/>
  <c r="N183" i="57"/>
  <c r="D183" i="53"/>
  <c r="N183" i="53"/>
  <c r="AH166" i="69"/>
  <c r="C110" i="32"/>
  <c r="V110" i="32"/>
  <c r="AJ121" i="50"/>
  <c r="C121" i="50"/>
  <c r="AJ111" i="32"/>
  <c r="C111" i="32"/>
  <c r="AD182" i="57"/>
  <c r="Q182" i="53"/>
  <c r="AD182" i="53"/>
  <c r="AJ110" i="32"/>
  <c r="V121" i="50"/>
  <c r="S122" i="50"/>
  <c r="S112" i="32"/>
  <c r="V112" i="32" s="1"/>
  <c r="C183" i="53"/>
  <c r="L183" i="53"/>
  <c r="F183" i="53"/>
  <c r="P183" i="53"/>
  <c r="I183" i="53"/>
  <c r="K183" i="53"/>
  <c r="E183" i="53"/>
  <c r="AK182" i="52" a="1"/>
  <c r="AK182" i="52" s="1"/>
  <c r="B184" i="53" s="1"/>
  <c r="O184" i="53" s="1"/>
  <c r="G183" i="53"/>
  <c r="J183" i="53"/>
  <c r="M183" i="53"/>
  <c r="H183" i="53"/>
  <c r="A113" i="32"/>
  <c r="B113" i="32"/>
  <c r="R113" i="32" s="1"/>
  <c r="B123" i="50"/>
  <c r="R123" i="50" s="1"/>
  <c r="G123" i="50"/>
  <c r="A123" i="50"/>
  <c r="Q123" i="50" s="1"/>
  <c r="P123" i="50" s="1"/>
  <c r="N123" i="50"/>
  <c r="H123" i="50"/>
  <c r="K123" i="50"/>
  <c r="M123" i="50"/>
  <c r="I123" i="50"/>
  <c r="J123" i="50"/>
  <c r="F123" i="50"/>
  <c r="L123" i="50"/>
  <c r="I113" i="32"/>
  <c r="J113" i="32"/>
  <c r="L113" i="32"/>
  <c r="F113" i="32"/>
  <c r="AM113" i="32" s="1"/>
  <c r="N113" i="32"/>
  <c r="H113" i="32"/>
  <c r="K113" i="32"/>
  <c r="O113" i="32"/>
  <c r="G113" i="32"/>
  <c r="M113" i="32"/>
  <c r="Z110" i="32"/>
  <c r="W110" i="32"/>
  <c r="X110" i="32" s="1"/>
  <c r="I183" i="57"/>
  <c r="F183" i="57"/>
  <c r="D183" i="57"/>
  <c r="K183" i="57"/>
  <c r="G183" i="57"/>
  <c r="E183" i="57"/>
  <c r="H183" i="57"/>
  <c r="P183" i="57"/>
  <c r="C183" i="57"/>
  <c r="M183" i="57" s="1"/>
  <c r="J183" i="57"/>
  <c r="W121" i="50"/>
  <c r="X121" i="50" s="1"/>
  <c r="Z121" i="50"/>
  <c r="Q182" i="57"/>
  <c r="T182" i="57" s="1"/>
  <c r="AK182" i="55" a="1"/>
  <c r="AK182" i="55" s="1"/>
  <c r="B184" i="57" s="1"/>
  <c r="O184" i="57" s="1"/>
  <c r="W111" i="32"/>
  <c r="X111" i="32" s="1"/>
  <c r="Z111" i="32"/>
  <c r="C168" i="69"/>
  <c r="AN168" i="67" a="1"/>
  <c r="AN168" i="67" s="1"/>
  <c r="B169" i="69"/>
  <c r="N167" i="69"/>
  <c r="AF167" i="69" s="1"/>
  <c r="D167" i="69"/>
  <c r="E167" i="69" s="1"/>
  <c r="F167" i="69" s="1"/>
  <c r="G167" i="69" s="1"/>
  <c r="H167" i="69" s="1"/>
  <c r="I167" i="69" s="1"/>
  <c r="J167" i="69" s="1"/>
  <c r="K167" i="69" s="1"/>
  <c r="M167" i="69" s="1"/>
  <c r="Q166" i="69"/>
  <c r="AE166" i="69"/>
  <c r="U166" i="69"/>
  <c r="R166" i="69"/>
  <c r="S166" i="69" s="1"/>
  <c r="Y166" i="69" s="1"/>
  <c r="AL23" i="22"/>
  <c r="AL22" i="22"/>
  <c r="AL26" i="22"/>
  <c r="AL21" i="22"/>
  <c r="AL25" i="22"/>
  <c r="AL27" i="22"/>
  <c r="AL24" i="22"/>
  <c r="AL20" i="22"/>
  <c r="D58" i="36" s="1"/>
  <c r="AL113" i="11" a="1"/>
  <c r="AL113" i="11" s="1"/>
  <c r="E114" i="32" s="1"/>
  <c r="AL123" i="59" a="1"/>
  <c r="AL123" i="59" s="1"/>
  <c r="E124" i="50" s="1"/>
  <c r="AM13" i="59" a="1"/>
  <c r="AM13" i="59" s="1"/>
  <c r="AB166" i="69" l="1"/>
  <c r="AC166" i="69" s="1"/>
  <c r="AD166" i="69" s="1"/>
  <c r="AG166" i="69"/>
  <c r="L169" i="69"/>
  <c r="O169" i="69"/>
  <c r="AO168" i="69"/>
  <c r="P168" i="69"/>
  <c r="AB181" i="57"/>
  <c r="AF181" i="57"/>
  <c r="T124" i="50"/>
  <c r="AK124" i="50"/>
  <c r="X182" i="57"/>
  <c r="AB182" i="53"/>
  <c r="AA182" i="53"/>
  <c r="AF182" i="53"/>
  <c r="AE183" i="53"/>
  <c r="AC183" i="53"/>
  <c r="AK114" i="32"/>
  <c r="T114" i="32"/>
  <c r="AD112" i="32"/>
  <c r="AE183" i="57"/>
  <c r="AC183" i="57"/>
  <c r="AM123" i="50"/>
  <c r="U123" i="50"/>
  <c r="AD122" i="50"/>
  <c r="AG122" i="50" s="1"/>
  <c r="AH122" i="50" s="1"/>
  <c r="AI122" i="50" s="1"/>
  <c r="U113" i="32"/>
  <c r="AG111" i="32"/>
  <c r="AH111" i="32" s="1"/>
  <c r="AL111" i="32"/>
  <c r="AP120" i="50"/>
  <c r="R183" i="57"/>
  <c r="R183" i="53"/>
  <c r="X183" i="53" s="1"/>
  <c r="AL121" i="50"/>
  <c r="Q113" i="32"/>
  <c r="P113" i="32" s="1"/>
  <c r="AI109" i="32"/>
  <c r="AX167" i="69"/>
  <c r="AG184" i="57"/>
  <c r="L184" i="57"/>
  <c r="O124" i="50"/>
  <c r="AJ183" i="57"/>
  <c r="AP183" i="57"/>
  <c r="AH183" i="53"/>
  <c r="AT183" i="53"/>
  <c r="AG183" i="53"/>
  <c r="N184" i="57"/>
  <c r="N184" i="53"/>
  <c r="AH167" i="69"/>
  <c r="AJ122" i="50"/>
  <c r="C122" i="50"/>
  <c r="AJ112" i="32"/>
  <c r="C112" i="32"/>
  <c r="AD183" i="57"/>
  <c r="AD183" i="53"/>
  <c r="Q183" i="53"/>
  <c r="S123" i="50"/>
  <c r="V122" i="50"/>
  <c r="S113" i="32"/>
  <c r="P184" i="53"/>
  <c r="C184" i="53"/>
  <c r="D184" i="53"/>
  <c r="F184" i="53"/>
  <c r="I184" i="53"/>
  <c r="L184" i="53"/>
  <c r="E184" i="53"/>
  <c r="M184" i="53"/>
  <c r="AK183" i="52" a="1"/>
  <c r="AK183" i="52" s="1"/>
  <c r="B185" i="53" s="1"/>
  <c r="O185" i="53" s="1"/>
  <c r="G184" i="53"/>
  <c r="J184" i="53"/>
  <c r="H184" i="53"/>
  <c r="K184" i="53"/>
  <c r="A114" i="32"/>
  <c r="B114" i="32"/>
  <c r="R114" i="32" s="1"/>
  <c r="F124" i="50"/>
  <c r="N124" i="50"/>
  <c r="A124" i="50"/>
  <c r="Q124" i="50" s="1"/>
  <c r="P124" i="50" s="1"/>
  <c r="I124" i="50"/>
  <c r="K124" i="50"/>
  <c r="H124" i="50"/>
  <c r="M124" i="50"/>
  <c r="L124" i="50"/>
  <c r="J124" i="50"/>
  <c r="B124" i="50"/>
  <c r="R124" i="50" s="1"/>
  <c r="G124" i="50"/>
  <c r="G114" i="32"/>
  <c r="O114" i="32"/>
  <c r="H114" i="32"/>
  <c r="J114" i="32"/>
  <c r="L114" i="32"/>
  <c r="I114" i="32"/>
  <c r="N114" i="32"/>
  <c r="F114" i="32"/>
  <c r="AM114" i="32" s="1"/>
  <c r="K114" i="32"/>
  <c r="M114" i="32"/>
  <c r="K184" i="57"/>
  <c r="J184" i="57"/>
  <c r="H184" i="57"/>
  <c r="F184" i="57"/>
  <c r="C184" i="57"/>
  <c r="M184" i="57" s="1"/>
  <c r="D184" i="57"/>
  <c r="P184" i="57"/>
  <c r="E184" i="57"/>
  <c r="G184" i="57"/>
  <c r="I184" i="57"/>
  <c r="W122" i="50"/>
  <c r="X122" i="50" s="1"/>
  <c r="Z122" i="50"/>
  <c r="Q183" i="57"/>
  <c r="T183" i="57" s="1"/>
  <c r="AK183" i="55" a="1"/>
  <c r="AK183" i="55" s="1"/>
  <c r="B185" i="57" s="1"/>
  <c r="O185" i="57" s="1"/>
  <c r="W112" i="32"/>
  <c r="X112" i="32" s="1"/>
  <c r="Z112" i="32"/>
  <c r="Q167" i="69"/>
  <c r="AE167" i="69"/>
  <c r="U167" i="69"/>
  <c r="R167" i="69"/>
  <c r="S167" i="69" s="1"/>
  <c r="Y167" i="69" s="1"/>
  <c r="C169" i="69"/>
  <c r="AN169" i="67" a="1"/>
  <c r="AN169" i="67" s="1"/>
  <c r="B170" i="69"/>
  <c r="D168" i="69"/>
  <c r="E168" i="69" s="1"/>
  <c r="F168" i="69" s="1"/>
  <c r="G168" i="69" s="1"/>
  <c r="H168" i="69" s="1"/>
  <c r="I168" i="69" s="1"/>
  <c r="J168" i="69" s="1"/>
  <c r="K168" i="69" s="1"/>
  <c r="M168" i="69" s="1"/>
  <c r="N168" i="69"/>
  <c r="AF168" i="69" s="1"/>
  <c r="AL114" i="11" a="1"/>
  <c r="AL114" i="11" s="1"/>
  <c r="E115" i="32" s="1"/>
  <c r="AL124" i="59" a="1"/>
  <c r="AL124" i="59" s="1"/>
  <c r="E125" i="50" s="1"/>
  <c r="AM14" i="59" a="1"/>
  <c r="AM14" i="59" s="1"/>
  <c r="M11" i="46"/>
  <c r="I11" i="46"/>
  <c r="R11" i="46" s="1"/>
  <c r="AF182" i="57" l="1"/>
  <c r="AA182" i="57"/>
  <c r="AB167" i="69"/>
  <c r="AC167" i="69" s="1"/>
  <c r="AD167" i="69" s="1"/>
  <c r="AG167" i="69"/>
  <c r="AO169" i="69"/>
  <c r="P169" i="69"/>
  <c r="L170" i="69"/>
  <c r="O170" i="69"/>
  <c r="S11" i="46"/>
  <c r="T11" i="46" s="1"/>
  <c r="V11" i="46"/>
  <c r="W11" i="46" s="1"/>
  <c r="X11" i="46" s="1"/>
  <c r="T125" i="50"/>
  <c r="AK125" i="50"/>
  <c r="AB182" i="57"/>
  <c r="X183" i="57"/>
  <c r="AB183" i="53"/>
  <c r="AA183" i="53"/>
  <c r="AC184" i="53"/>
  <c r="AE184" i="53"/>
  <c r="AF183" i="53"/>
  <c r="AK115" i="32"/>
  <c r="T115" i="32"/>
  <c r="AD113" i="32"/>
  <c r="AE184" i="57"/>
  <c r="AC184" i="57"/>
  <c r="AM124" i="50"/>
  <c r="U124" i="50"/>
  <c r="AD123" i="50"/>
  <c r="AG123" i="50" s="1"/>
  <c r="AH123" i="50" s="1"/>
  <c r="AI123" i="50" s="1"/>
  <c r="U114" i="32"/>
  <c r="AG110" i="32"/>
  <c r="AH110" i="32" s="1"/>
  <c r="AL110" i="32"/>
  <c r="AG112" i="32"/>
  <c r="AH112" i="32" s="1"/>
  <c r="AL112" i="32"/>
  <c r="AI111" i="32"/>
  <c r="AN111" i="32" s="1"/>
  <c r="AL13" i="50"/>
  <c r="AM13" i="50" s="1"/>
  <c r="AP121" i="50"/>
  <c r="R184" i="57"/>
  <c r="R184" i="53"/>
  <c r="X184" i="53" s="1"/>
  <c r="AL122" i="50"/>
  <c r="Q114" i="32"/>
  <c r="P114" i="32" s="1"/>
  <c r="V113" i="32"/>
  <c r="AN109" i="32"/>
  <c r="AX168" i="69"/>
  <c r="AG185" i="57"/>
  <c r="L185" i="57"/>
  <c r="O125" i="50"/>
  <c r="AJ184" i="57"/>
  <c r="AP184" i="57"/>
  <c r="AH184" i="53"/>
  <c r="AT184" i="53"/>
  <c r="AG184" i="53"/>
  <c r="N185" i="57"/>
  <c r="N185" i="53"/>
  <c r="AH168" i="69"/>
  <c r="AJ123" i="50"/>
  <c r="C123" i="50"/>
  <c r="AJ113" i="32"/>
  <c r="C113" i="32"/>
  <c r="AD184" i="57"/>
  <c r="Q184" i="53"/>
  <c r="AD184" i="53"/>
  <c r="S124" i="50"/>
  <c r="V123" i="50"/>
  <c r="S114" i="32"/>
  <c r="V114" i="32" s="1"/>
  <c r="AK184" i="52" a="1"/>
  <c r="AK184" i="52" s="1"/>
  <c r="B186" i="53" s="1"/>
  <c r="O186" i="53" s="1"/>
  <c r="M185" i="53"/>
  <c r="G185" i="53"/>
  <c r="E185" i="53"/>
  <c r="C185" i="53"/>
  <c r="K185" i="53"/>
  <c r="P185" i="53"/>
  <c r="J185" i="53"/>
  <c r="F185" i="53"/>
  <c r="L185" i="53"/>
  <c r="I185" i="53"/>
  <c r="D185" i="53"/>
  <c r="H185" i="53"/>
  <c r="A115" i="32"/>
  <c r="B115" i="32"/>
  <c r="R115" i="32" s="1"/>
  <c r="H125" i="50"/>
  <c r="F125" i="50"/>
  <c r="G125" i="50"/>
  <c r="M125" i="50"/>
  <c r="B125" i="50"/>
  <c r="R125" i="50" s="1"/>
  <c r="L125" i="50"/>
  <c r="K125" i="50"/>
  <c r="J125" i="50"/>
  <c r="N125" i="50"/>
  <c r="I125" i="50"/>
  <c r="A125" i="50"/>
  <c r="Q125" i="50" s="1"/>
  <c r="P125" i="50" s="1"/>
  <c r="M115" i="32"/>
  <c r="F115" i="32"/>
  <c r="AM115" i="32" s="1"/>
  <c r="N115" i="32"/>
  <c r="H115" i="32"/>
  <c r="J115" i="32"/>
  <c r="O115" i="32"/>
  <c r="G115" i="32"/>
  <c r="L115" i="32"/>
  <c r="K115" i="32"/>
  <c r="I115" i="32"/>
  <c r="W123" i="50"/>
  <c r="X123" i="50" s="1"/>
  <c r="Z123" i="50"/>
  <c r="Q184" i="57"/>
  <c r="T184" i="57" s="1"/>
  <c r="E185" i="57"/>
  <c r="P185" i="57"/>
  <c r="H185" i="57"/>
  <c r="J185" i="57"/>
  <c r="K185" i="57"/>
  <c r="G185" i="57"/>
  <c r="C185" i="57"/>
  <c r="M185" i="57" s="1"/>
  <c r="F185" i="57"/>
  <c r="I185" i="57"/>
  <c r="D185" i="57"/>
  <c r="L130" i="22"/>
  <c r="AK184" i="55" a="1"/>
  <c r="AK184" i="55" s="1"/>
  <c r="B186" i="57" s="1"/>
  <c r="O186" i="57" s="1"/>
  <c r="W113" i="32"/>
  <c r="X113" i="32" s="1"/>
  <c r="Z113" i="32"/>
  <c r="C170" i="69"/>
  <c r="AN170" i="67" a="1"/>
  <c r="AN170" i="67" s="1"/>
  <c r="B171" i="69"/>
  <c r="D169" i="69"/>
  <c r="E169" i="69" s="1"/>
  <c r="F169" i="69" s="1"/>
  <c r="G169" i="69" s="1"/>
  <c r="H169" i="69" s="1"/>
  <c r="I169" i="69" s="1"/>
  <c r="J169" i="69" s="1"/>
  <c r="K169" i="69" s="1"/>
  <c r="M169" i="69" s="1"/>
  <c r="N169" i="69"/>
  <c r="AF169" i="69" s="1"/>
  <c r="U168" i="69"/>
  <c r="AE168" i="69"/>
  <c r="Q168" i="69"/>
  <c r="R168" i="69"/>
  <c r="S168" i="69" s="1"/>
  <c r="Y168" i="69" s="1"/>
  <c r="AL115" i="11" a="1"/>
  <c r="AL115" i="11" s="1"/>
  <c r="E116" i="32" s="1"/>
  <c r="AL125" i="59" a="1"/>
  <c r="AL125" i="59" s="1"/>
  <c r="E126" i="50" s="1"/>
  <c r="AM15" i="59" a="1"/>
  <c r="AM15" i="59" s="1"/>
  <c r="AF183" i="57" l="1"/>
  <c r="AA183" i="57"/>
  <c r="AB168" i="69"/>
  <c r="AC168" i="69" s="1"/>
  <c r="AD168" i="69" s="1"/>
  <c r="AG168" i="69"/>
  <c r="AO170" i="69"/>
  <c r="P170" i="69"/>
  <c r="L171" i="69"/>
  <c r="O171" i="69"/>
  <c r="T126" i="50"/>
  <c r="AK126" i="50"/>
  <c r="AB183" i="57"/>
  <c r="X184" i="57"/>
  <c r="AB184" i="53"/>
  <c r="AA184" i="53"/>
  <c r="AF184" i="53"/>
  <c r="AC185" i="53"/>
  <c r="AE185" i="53"/>
  <c r="T116" i="32"/>
  <c r="AK116" i="32"/>
  <c r="AD114" i="32"/>
  <c r="AE185" i="57"/>
  <c r="AC185" i="57"/>
  <c r="AD124" i="50"/>
  <c r="AG124" i="50" s="1"/>
  <c r="AH124" i="50" s="1"/>
  <c r="AI124" i="50" s="1"/>
  <c r="AM125" i="50"/>
  <c r="U125" i="50"/>
  <c r="U115" i="32"/>
  <c r="AG113" i="32"/>
  <c r="AH113" i="32" s="1"/>
  <c r="AL113" i="32"/>
  <c r="Y11" i="46"/>
  <c r="L129" i="22" s="1"/>
  <c r="AI112" i="32"/>
  <c r="AN112" i="32" s="1"/>
  <c r="AP122" i="50"/>
  <c r="R185" i="57"/>
  <c r="R185" i="53"/>
  <c r="X185" i="53" s="1"/>
  <c r="AL123" i="50"/>
  <c r="Q115" i="32"/>
  <c r="P115" i="32" s="1"/>
  <c r="AI110" i="32"/>
  <c r="AP13" i="50"/>
  <c r="P2" i="46"/>
  <c r="AX169" i="69"/>
  <c r="AG186" i="57"/>
  <c r="L186" i="57"/>
  <c r="O126" i="50"/>
  <c r="AJ185" i="57"/>
  <c r="AP185" i="57"/>
  <c r="AH185" i="53"/>
  <c r="AT185" i="53"/>
  <c r="AG185" i="53"/>
  <c r="N186" i="57"/>
  <c r="E186" i="53"/>
  <c r="N186" i="53"/>
  <c r="AH169" i="69"/>
  <c r="AJ124" i="50"/>
  <c r="C124" i="50"/>
  <c r="AJ114" i="32"/>
  <c r="C114" i="32"/>
  <c r="AD185" i="57"/>
  <c r="Q185" i="53"/>
  <c r="AD185" i="53"/>
  <c r="S125" i="50"/>
  <c r="V124" i="50"/>
  <c r="S115" i="32"/>
  <c r="D186" i="53"/>
  <c r="I186" i="53"/>
  <c r="L186" i="53"/>
  <c r="P186" i="53"/>
  <c r="K186" i="53"/>
  <c r="H186" i="53"/>
  <c r="M186" i="53"/>
  <c r="C186" i="53"/>
  <c r="J186" i="53"/>
  <c r="AK185" i="52" a="1"/>
  <c r="AK185" i="52" s="1"/>
  <c r="B187" i="53" s="1"/>
  <c r="O187" i="53" s="1"/>
  <c r="G186" i="53"/>
  <c r="F186" i="53"/>
  <c r="A116" i="32"/>
  <c r="B116" i="32"/>
  <c r="R116" i="32" s="1"/>
  <c r="F126" i="50"/>
  <c r="N126" i="50"/>
  <c r="M126" i="50"/>
  <c r="L126" i="50"/>
  <c r="G126" i="50"/>
  <c r="A126" i="50"/>
  <c r="Q126" i="50" s="1"/>
  <c r="P126" i="50" s="1"/>
  <c r="I126" i="50"/>
  <c r="K126" i="50"/>
  <c r="B126" i="50"/>
  <c r="R126" i="50" s="1"/>
  <c r="J126" i="50"/>
  <c r="H126" i="50"/>
  <c r="K116" i="32"/>
  <c r="L116" i="32"/>
  <c r="F116" i="32"/>
  <c r="AM116" i="32" s="1"/>
  <c r="N116" i="32"/>
  <c r="H116" i="32"/>
  <c r="J116" i="32"/>
  <c r="M116" i="32"/>
  <c r="G116" i="32"/>
  <c r="I116" i="32"/>
  <c r="O116" i="32"/>
  <c r="Q185" i="57"/>
  <c r="T185" i="57" s="1"/>
  <c r="J186" i="57"/>
  <c r="D186" i="57"/>
  <c r="C186" i="57"/>
  <c r="M186" i="57" s="1"/>
  <c r="P186" i="57"/>
  <c r="K186" i="57"/>
  <c r="F186" i="57"/>
  <c r="I186" i="57"/>
  <c r="E186" i="57"/>
  <c r="H186" i="57"/>
  <c r="G186" i="57"/>
  <c r="W124" i="50"/>
  <c r="X124" i="50" s="1"/>
  <c r="Z124" i="50"/>
  <c r="AK185" i="55" a="1"/>
  <c r="AK185" i="55" s="1"/>
  <c r="B187" i="57" s="1"/>
  <c r="O187" i="57" s="1"/>
  <c r="W114" i="32"/>
  <c r="X114" i="32" s="1"/>
  <c r="Z114" i="32"/>
  <c r="Q169" i="69"/>
  <c r="U169" i="69"/>
  <c r="AE169" i="69"/>
  <c r="R169" i="69"/>
  <c r="S169" i="69" s="1"/>
  <c r="Y169" i="69" s="1"/>
  <c r="C171" i="69"/>
  <c r="AN171" i="67" a="1"/>
  <c r="AN171" i="67" s="1"/>
  <c r="B172" i="69"/>
  <c r="D170" i="69"/>
  <c r="E170" i="69" s="1"/>
  <c r="F170" i="69" s="1"/>
  <c r="G170" i="69" s="1"/>
  <c r="H170" i="69" s="1"/>
  <c r="I170" i="69" s="1"/>
  <c r="J170" i="69" s="1"/>
  <c r="K170" i="69" s="1"/>
  <c r="M170" i="69" s="1"/>
  <c r="N170" i="69"/>
  <c r="AF170" i="69" s="1"/>
  <c r="AL116" i="11" a="1"/>
  <c r="AL116" i="11" s="1"/>
  <c r="E117" i="32" s="1"/>
  <c r="AL126" i="59" a="1"/>
  <c r="AL126" i="59" s="1"/>
  <c r="E127" i="50" s="1"/>
  <c r="AM16" i="59" a="1"/>
  <c r="AM16" i="59" s="1"/>
  <c r="AF184" i="57" l="1"/>
  <c r="AA184" i="57"/>
  <c r="AB169" i="69"/>
  <c r="AC169" i="69" s="1"/>
  <c r="AD169" i="69" s="1"/>
  <c r="AG169" i="69"/>
  <c r="L172" i="69"/>
  <c r="O172" i="69"/>
  <c r="AO171" i="69"/>
  <c r="P171" i="69"/>
  <c r="AK127" i="50"/>
  <c r="T127" i="50"/>
  <c r="X185" i="57"/>
  <c r="AB184" i="57"/>
  <c r="AB185" i="53"/>
  <c r="AA185" i="53"/>
  <c r="AC186" i="53"/>
  <c r="AE186" i="53"/>
  <c r="AF185" i="53"/>
  <c r="AK117" i="32"/>
  <c r="T117" i="32"/>
  <c r="AD115" i="32"/>
  <c r="AE186" i="57"/>
  <c r="AC186" i="57"/>
  <c r="AM126" i="50"/>
  <c r="U126" i="50"/>
  <c r="AD125" i="50"/>
  <c r="AG125" i="50" s="1"/>
  <c r="AH125" i="50" s="1"/>
  <c r="AI125" i="50" s="1"/>
  <c r="U116" i="32"/>
  <c r="AG114" i="32"/>
  <c r="AH114" i="32" s="1"/>
  <c r="AL114" i="32"/>
  <c r="AI113" i="32"/>
  <c r="AN113" i="32" s="1"/>
  <c r="AP123" i="50"/>
  <c r="R186" i="57"/>
  <c r="R186" i="53"/>
  <c r="X186" i="53" s="1"/>
  <c r="AL124" i="50"/>
  <c r="Q116" i="32"/>
  <c r="P116" i="32" s="1"/>
  <c r="V115" i="32"/>
  <c r="AN110" i="32"/>
  <c r="Y257" i="46"/>
  <c r="L101" i="22"/>
  <c r="AX170" i="69"/>
  <c r="AG187" i="57"/>
  <c r="L187" i="57"/>
  <c r="O127" i="50"/>
  <c r="AJ186" i="57"/>
  <c r="AP186" i="57"/>
  <c r="AG186" i="53"/>
  <c r="AH186" i="53"/>
  <c r="AT186" i="53"/>
  <c r="N187" i="57"/>
  <c r="I187" i="53"/>
  <c r="N187" i="53"/>
  <c r="AH170" i="69"/>
  <c r="AJ125" i="50"/>
  <c r="C125" i="50"/>
  <c r="AJ115" i="32"/>
  <c r="C115" i="32"/>
  <c r="AD186" i="57"/>
  <c r="Q186" i="53"/>
  <c r="AD186" i="53"/>
  <c r="V125" i="50"/>
  <c r="S126" i="50"/>
  <c r="S116" i="32"/>
  <c r="V116" i="32" s="1"/>
  <c r="AK186" i="52" a="1"/>
  <c r="AK186" i="52" s="1"/>
  <c r="B188" i="53" s="1"/>
  <c r="O188" i="53" s="1"/>
  <c r="E187" i="53"/>
  <c r="C187" i="53"/>
  <c r="F187" i="53"/>
  <c r="M187" i="53"/>
  <c r="P187" i="53"/>
  <c r="H187" i="53"/>
  <c r="G187" i="53"/>
  <c r="J187" i="53"/>
  <c r="L187" i="53"/>
  <c r="K187" i="53"/>
  <c r="D187" i="53"/>
  <c r="A117" i="32"/>
  <c r="B117" i="32"/>
  <c r="R117" i="32" s="1"/>
  <c r="J127" i="50"/>
  <c r="F127" i="50"/>
  <c r="G127" i="50"/>
  <c r="M127" i="50"/>
  <c r="A127" i="50"/>
  <c r="Q127" i="50" s="1"/>
  <c r="P127" i="50" s="1"/>
  <c r="N127" i="50"/>
  <c r="H127" i="50"/>
  <c r="B127" i="50"/>
  <c r="R127" i="50" s="1"/>
  <c r="I127" i="50"/>
  <c r="L127" i="50"/>
  <c r="K127" i="50"/>
  <c r="I117" i="32"/>
  <c r="J117" i="32"/>
  <c r="L117" i="32"/>
  <c r="F117" i="32"/>
  <c r="AM117" i="32" s="1"/>
  <c r="N117" i="32"/>
  <c r="K117" i="32"/>
  <c r="H117" i="32"/>
  <c r="M117" i="32"/>
  <c r="G117" i="32"/>
  <c r="O117" i="32"/>
  <c r="Q186" i="57"/>
  <c r="T186" i="57" s="1"/>
  <c r="J187" i="57"/>
  <c r="I187" i="57"/>
  <c r="F187" i="57"/>
  <c r="E187" i="57"/>
  <c r="D187" i="57"/>
  <c r="P187" i="57"/>
  <c r="K187" i="57"/>
  <c r="C187" i="57"/>
  <c r="M187" i="57" s="1"/>
  <c r="G187" i="57"/>
  <c r="H187" i="57"/>
  <c r="Z125" i="50"/>
  <c r="W125" i="50"/>
  <c r="X125" i="50" s="1"/>
  <c r="AK186" i="55" a="1"/>
  <c r="AK186" i="55" s="1"/>
  <c r="B188" i="57" s="1"/>
  <c r="O188" i="57" s="1"/>
  <c r="W115" i="32"/>
  <c r="X115" i="32" s="1"/>
  <c r="Z115" i="32"/>
  <c r="R170" i="69"/>
  <c r="S170" i="69" s="1"/>
  <c r="Y170" i="69" s="1"/>
  <c r="AE170" i="69"/>
  <c r="Q170" i="69"/>
  <c r="U170" i="69"/>
  <c r="C172" i="69"/>
  <c r="AN172" i="67" a="1"/>
  <c r="AN172" i="67" s="1"/>
  <c r="B173" i="69"/>
  <c r="D171" i="69"/>
  <c r="E171" i="69" s="1"/>
  <c r="F171" i="69" s="1"/>
  <c r="G171" i="69" s="1"/>
  <c r="H171" i="69" s="1"/>
  <c r="I171" i="69" s="1"/>
  <c r="J171" i="69" s="1"/>
  <c r="K171" i="69" s="1"/>
  <c r="M171" i="69" s="1"/>
  <c r="N171" i="69"/>
  <c r="AF171" i="69" s="1"/>
  <c r="AL117" i="11" a="1"/>
  <c r="AL117" i="11" s="1"/>
  <c r="E118" i="32" s="1"/>
  <c r="AL127" i="59" a="1"/>
  <c r="AL127" i="59" s="1"/>
  <c r="E128" i="50" s="1"/>
  <c r="AM17" i="59" a="1"/>
  <c r="AM17" i="59" s="1"/>
  <c r="AF185" i="57" l="1"/>
  <c r="AA185" i="57"/>
  <c r="AB170" i="69"/>
  <c r="AC170" i="69" s="1"/>
  <c r="AD170" i="69" s="1"/>
  <c r="AG170" i="69"/>
  <c r="L173" i="69"/>
  <c r="O173" i="69"/>
  <c r="AO172" i="69"/>
  <c r="P172" i="69"/>
  <c r="AK128" i="50"/>
  <c r="T128" i="50"/>
  <c r="AB185" i="57"/>
  <c r="AB186" i="53"/>
  <c r="AA186" i="53"/>
  <c r="AF186" i="53"/>
  <c r="AE187" i="53"/>
  <c r="AC187" i="53"/>
  <c r="AK118" i="32"/>
  <c r="T118" i="32"/>
  <c r="AD116" i="32"/>
  <c r="X186" i="57"/>
  <c r="AA186" i="57" s="1"/>
  <c r="AE187" i="57"/>
  <c r="AC187" i="57"/>
  <c r="AM127" i="50"/>
  <c r="U127" i="50"/>
  <c r="AD126" i="50"/>
  <c r="AG126" i="50" s="1"/>
  <c r="AH126" i="50" s="1"/>
  <c r="AI126" i="50" s="1"/>
  <c r="U117" i="32"/>
  <c r="AG115" i="32"/>
  <c r="AH115" i="32" s="1"/>
  <c r="AL115" i="32"/>
  <c r="AI114" i="32"/>
  <c r="AN114" i="32" s="1"/>
  <c r="AP124" i="50"/>
  <c r="R187" i="57"/>
  <c r="R187" i="53"/>
  <c r="X187" i="53" s="1"/>
  <c r="AL125" i="50"/>
  <c r="Q117" i="32"/>
  <c r="P117" i="32" s="1"/>
  <c r="AX171" i="69"/>
  <c r="AG188" i="57"/>
  <c r="L188" i="57"/>
  <c r="O128" i="50"/>
  <c r="AJ187" i="57"/>
  <c r="AP187" i="57"/>
  <c r="AG187" i="53"/>
  <c r="AH187" i="53"/>
  <c r="AT187" i="53"/>
  <c r="N188" i="57"/>
  <c r="C188" i="53"/>
  <c r="N188" i="53"/>
  <c r="AH171" i="69"/>
  <c r="AJ126" i="50"/>
  <c r="C126" i="50"/>
  <c r="AJ116" i="32"/>
  <c r="C116" i="32"/>
  <c r="AD187" i="57"/>
  <c r="AD187" i="53"/>
  <c r="S127" i="50"/>
  <c r="V126" i="50"/>
  <c r="S117" i="32"/>
  <c r="V117" i="32" s="1"/>
  <c r="J188" i="53"/>
  <c r="D188" i="53"/>
  <c r="H188" i="53"/>
  <c r="G188" i="53"/>
  <c r="E188" i="53"/>
  <c r="M188" i="53"/>
  <c r="F188" i="53"/>
  <c r="L188" i="53"/>
  <c r="P188" i="53"/>
  <c r="Q187" i="53"/>
  <c r="AK187" i="52" a="1"/>
  <c r="AK187" i="52" s="1"/>
  <c r="B189" i="53" s="1"/>
  <c r="O189" i="53" s="1"/>
  <c r="K188" i="53"/>
  <c r="I188" i="53"/>
  <c r="A118" i="32"/>
  <c r="B118" i="32"/>
  <c r="R118" i="32" s="1"/>
  <c r="N128" i="50"/>
  <c r="J128" i="50"/>
  <c r="F128" i="50"/>
  <c r="I128" i="50"/>
  <c r="H128" i="50"/>
  <c r="M128" i="50"/>
  <c r="K128" i="50"/>
  <c r="B128" i="50"/>
  <c r="R128" i="50" s="1"/>
  <c r="L128" i="50"/>
  <c r="G128" i="50"/>
  <c r="A128" i="50"/>
  <c r="Q128" i="50" s="1"/>
  <c r="P128" i="50" s="1"/>
  <c r="G118" i="32"/>
  <c r="O118" i="32"/>
  <c r="H118" i="32"/>
  <c r="J118" i="32"/>
  <c r="L118" i="32"/>
  <c r="F118" i="32"/>
  <c r="AM118" i="32" s="1"/>
  <c r="I118" i="32"/>
  <c r="N118" i="32"/>
  <c r="M118" i="32"/>
  <c r="K118" i="32"/>
  <c r="P188" i="57"/>
  <c r="K188" i="57"/>
  <c r="H188" i="57"/>
  <c r="F188" i="57"/>
  <c r="C188" i="57"/>
  <c r="M188" i="57" s="1"/>
  <c r="E188" i="57"/>
  <c r="D188" i="57"/>
  <c r="G188" i="57"/>
  <c r="J188" i="57"/>
  <c r="I188" i="57"/>
  <c r="Q187" i="57"/>
  <c r="T187" i="57" s="1"/>
  <c r="Z126" i="50"/>
  <c r="W126" i="50"/>
  <c r="X126" i="50" s="1"/>
  <c r="AK187" i="55" a="1"/>
  <c r="AK187" i="55" s="1"/>
  <c r="B189" i="57" s="1"/>
  <c r="O189" i="57" s="1"/>
  <c r="W116" i="32"/>
  <c r="X116" i="32" s="1"/>
  <c r="Z116" i="32"/>
  <c r="C173" i="69"/>
  <c r="AN173" i="67" a="1"/>
  <c r="AN173" i="67" s="1"/>
  <c r="B174" i="69"/>
  <c r="R171" i="69"/>
  <c r="S171" i="69" s="1"/>
  <c r="Y171" i="69" s="1"/>
  <c r="Q171" i="69"/>
  <c r="U171" i="69"/>
  <c r="AE171" i="69"/>
  <c r="N172" i="69"/>
  <c r="AF172" i="69" s="1"/>
  <c r="D172" i="69"/>
  <c r="E172" i="69" s="1"/>
  <c r="F172" i="69" s="1"/>
  <c r="G172" i="69" s="1"/>
  <c r="H172" i="69" s="1"/>
  <c r="I172" i="69" s="1"/>
  <c r="J172" i="69" s="1"/>
  <c r="K172" i="69" s="1"/>
  <c r="M172" i="69" s="1"/>
  <c r="AL118" i="11" a="1"/>
  <c r="AL118" i="11" s="1"/>
  <c r="E119" i="32" s="1"/>
  <c r="AL128" i="59" a="1"/>
  <c r="AL128" i="59" s="1"/>
  <c r="E129" i="50" s="1"/>
  <c r="AM18" i="59" a="1"/>
  <c r="AM18" i="59" s="1"/>
  <c r="AB171" i="69" l="1"/>
  <c r="AC171" i="69" s="1"/>
  <c r="AD171" i="69" s="1"/>
  <c r="AG171" i="69"/>
  <c r="AO173" i="69"/>
  <c r="P173" i="69"/>
  <c r="L174" i="69"/>
  <c r="O174" i="69"/>
  <c r="T129" i="50"/>
  <c r="AK129" i="50"/>
  <c r="X187" i="57"/>
  <c r="AA187" i="57" s="1"/>
  <c r="AC188" i="53"/>
  <c r="AE188" i="53"/>
  <c r="AF187" i="53"/>
  <c r="AB187" i="53"/>
  <c r="AA187" i="53"/>
  <c r="AK119" i="32"/>
  <c r="T119" i="32"/>
  <c r="AD117" i="32"/>
  <c r="AF186" i="57"/>
  <c r="AB186" i="57"/>
  <c r="AE188" i="57"/>
  <c r="AC188" i="57"/>
  <c r="AD127" i="50"/>
  <c r="AG127" i="50" s="1"/>
  <c r="AH127" i="50" s="1"/>
  <c r="AI127" i="50" s="1"/>
  <c r="AM128" i="50"/>
  <c r="U128" i="50"/>
  <c r="U118" i="32"/>
  <c r="AG116" i="32"/>
  <c r="AH116" i="32" s="1"/>
  <c r="AL116" i="32"/>
  <c r="AI115" i="32"/>
  <c r="AN115" i="32" s="1"/>
  <c r="AP125" i="50"/>
  <c r="R188" i="57"/>
  <c r="R188" i="53"/>
  <c r="X188" i="53" s="1"/>
  <c r="AL126" i="50"/>
  <c r="Q118" i="32"/>
  <c r="P118" i="32" s="1"/>
  <c r="AX172" i="69"/>
  <c r="AG189" i="57"/>
  <c r="L189" i="57"/>
  <c r="O129" i="50"/>
  <c r="AJ188" i="57"/>
  <c r="AP188" i="57"/>
  <c r="AH188" i="53"/>
  <c r="AT188" i="53"/>
  <c r="AG188" i="53"/>
  <c r="N189" i="57"/>
  <c r="M189" i="53"/>
  <c r="N189" i="53"/>
  <c r="AH172" i="69"/>
  <c r="AJ127" i="50"/>
  <c r="C127" i="50"/>
  <c r="AJ117" i="32"/>
  <c r="C117" i="32"/>
  <c r="AD188" i="57"/>
  <c r="AD188" i="53"/>
  <c r="S128" i="50"/>
  <c r="V127" i="50"/>
  <c r="S118" i="32"/>
  <c r="Q188" i="53"/>
  <c r="AK188" i="52" a="1"/>
  <c r="AK188" i="52" s="1"/>
  <c r="B190" i="53" s="1"/>
  <c r="O190" i="53" s="1"/>
  <c r="P189" i="53"/>
  <c r="J189" i="53"/>
  <c r="I189" i="53"/>
  <c r="E189" i="53"/>
  <c r="H189" i="53"/>
  <c r="F189" i="53"/>
  <c r="K189" i="53"/>
  <c r="G189" i="53"/>
  <c r="L189" i="53"/>
  <c r="D189" i="53"/>
  <c r="C189" i="53"/>
  <c r="A119" i="32"/>
  <c r="B119" i="32"/>
  <c r="R119" i="32" s="1"/>
  <c r="K129" i="50"/>
  <c r="L129" i="50"/>
  <c r="J129" i="50"/>
  <c r="M129" i="50"/>
  <c r="I129" i="50"/>
  <c r="A129" i="50"/>
  <c r="Q129" i="50" s="1"/>
  <c r="P129" i="50" s="1"/>
  <c r="G129" i="50"/>
  <c r="N129" i="50"/>
  <c r="B129" i="50"/>
  <c r="R129" i="50" s="1"/>
  <c r="H129" i="50"/>
  <c r="F129" i="50"/>
  <c r="M119" i="32"/>
  <c r="F119" i="32"/>
  <c r="AM119" i="32" s="1"/>
  <c r="N119" i="32"/>
  <c r="H119" i="32"/>
  <c r="J119" i="32"/>
  <c r="G119" i="32"/>
  <c r="L119" i="32"/>
  <c r="O119" i="32"/>
  <c r="I119" i="32"/>
  <c r="K119" i="32"/>
  <c r="W127" i="50"/>
  <c r="X127" i="50" s="1"/>
  <c r="Z127" i="50"/>
  <c r="P189" i="57"/>
  <c r="J189" i="57"/>
  <c r="E189" i="57"/>
  <c r="C189" i="57"/>
  <c r="M189" i="57" s="1"/>
  <c r="I189" i="57"/>
  <c r="D189" i="57"/>
  <c r="F189" i="57"/>
  <c r="K189" i="57"/>
  <c r="G189" i="57"/>
  <c r="H189" i="57"/>
  <c r="Q188" i="57"/>
  <c r="T188" i="57" s="1"/>
  <c r="AK188" i="55" a="1"/>
  <c r="AK188" i="55" s="1"/>
  <c r="B190" i="57" s="1"/>
  <c r="O190" i="57" s="1"/>
  <c r="W117" i="32"/>
  <c r="X117" i="32" s="1"/>
  <c r="Z117" i="32"/>
  <c r="AN174" i="67" a="1"/>
  <c r="AN174" i="67" s="1"/>
  <c r="B175" i="69"/>
  <c r="C174" i="69"/>
  <c r="Q172" i="69"/>
  <c r="AE172" i="69"/>
  <c r="U172" i="69"/>
  <c r="R172" i="69"/>
  <c r="S172" i="69" s="1"/>
  <c r="Y172" i="69" s="1"/>
  <c r="N173" i="69"/>
  <c r="AF173" i="69" s="1"/>
  <c r="D173" i="69"/>
  <c r="E173" i="69" s="1"/>
  <c r="F173" i="69" s="1"/>
  <c r="G173" i="69" s="1"/>
  <c r="H173" i="69" s="1"/>
  <c r="I173" i="69" s="1"/>
  <c r="J173" i="69" s="1"/>
  <c r="K173" i="69" s="1"/>
  <c r="M173" i="69" s="1"/>
  <c r="AL119" i="11" a="1"/>
  <c r="AL119" i="11" s="1"/>
  <c r="E120" i="32" s="1"/>
  <c r="AL129" i="59" a="1"/>
  <c r="AL129" i="59" s="1"/>
  <c r="E130" i="50" s="1"/>
  <c r="AM19" i="59" a="1"/>
  <c r="AM19" i="59" s="1"/>
  <c r="L12" i="32"/>
  <c r="L6" i="29"/>
  <c r="L98" i="29"/>
  <c r="L97" i="29"/>
  <c r="L96" i="29"/>
  <c r="L95" i="29"/>
  <c r="L94" i="29"/>
  <c r="L93" i="29"/>
  <c r="L92" i="29"/>
  <c r="L91" i="29"/>
  <c r="L90" i="29"/>
  <c r="L89" i="29"/>
  <c r="L88" i="29"/>
  <c r="L87" i="29"/>
  <c r="L86" i="29"/>
  <c r="L85" i="29"/>
  <c r="L84" i="29"/>
  <c r="L83" i="29"/>
  <c r="L82" i="29"/>
  <c r="L81" i="29"/>
  <c r="L80" i="29"/>
  <c r="L79" i="29"/>
  <c r="L78" i="29"/>
  <c r="L77" i="29"/>
  <c r="L76" i="29"/>
  <c r="L75" i="29"/>
  <c r="L74" i="29"/>
  <c r="L72" i="29"/>
  <c r="L71" i="29"/>
  <c r="L70" i="29"/>
  <c r="L69" i="29"/>
  <c r="L68" i="29"/>
  <c r="L67" i="29"/>
  <c r="L66" i="29"/>
  <c r="L65" i="29"/>
  <c r="L64" i="29"/>
  <c r="L63" i="29"/>
  <c r="L62" i="29"/>
  <c r="L61" i="29"/>
  <c r="L60" i="29"/>
  <c r="L59" i="29"/>
  <c r="L58" i="29"/>
  <c r="L39" i="29"/>
  <c r="L57" i="29"/>
  <c r="L56" i="29"/>
  <c r="L55" i="29"/>
  <c r="L54" i="29"/>
  <c r="L53" i="29"/>
  <c r="L52" i="29"/>
  <c r="L51" i="29"/>
  <c r="L50" i="29"/>
  <c r="L49" i="29"/>
  <c r="L48" i="29"/>
  <c r="L47" i="29"/>
  <c r="L46" i="29"/>
  <c r="L38" i="29"/>
  <c r="L37"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B172" i="69" l="1"/>
  <c r="AC172" i="69" s="1"/>
  <c r="AD172" i="69" s="1"/>
  <c r="AG172" i="69"/>
  <c r="AO174" i="69"/>
  <c r="P174" i="69"/>
  <c r="L175" i="69"/>
  <c r="O175" i="69"/>
  <c r="T130" i="50"/>
  <c r="AK130" i="50"/>
  <c r="AB187" i="57"/>
  <c r="AF187" i="57"/>
  <c r="AB188" i="53"/>
  <c r="AA188" i="53"/>
  <c r="AC189" i="53"/>
  <c r="AE189" i="53"/>
  <c r="AF188" i="53"/>
  <c r="AK120" i="32"/>
  <c r="T120" i="32"/>
  <c r="AD118" i="32"/>
  <c r="X188" i="57"/>
  <c r="AE189" i="57"/>
  <c r="AC189" i="57"/>
  <c r="AM129" i="50"/>
  <c r="U129" i="50"/>
  <c r="AD128" i="50"/>
  <c r="AG128" i="50" s="1"/>
  <c r="AH128" i="50" s="1"/>
  <c r="AI128" i="50" s="1"/>
  <c r="U119" i="32"/>
  <c r="AG117" i="32"/>
  <c r="AH117" i="32" s="1"/>
  <c r="AL117" i="32"/>
  <c r="AP126" i="50"/>
  <c r="R189" i="57"/>
  <c r="R189" i="53"/>
  <c r="X189" i="53" s="1"/>
  <c r="AL127" i="50"/>
  <c r="Q119" i="32"/>
  <c r="P119" i="32" s="1"/>
  <c r="V118" i="32"/>
  <c r="AI116" i="32"/>
  <c r="AN116" i="32" s="1"/>
  <c r="AX173" i="69"/>
  <c r="AG190" i="57"/>
  <c r="L190" i="57"/>
  <c r="O130" i="50"/>
  <c r="AJ189" i="57"/>
  <c r="AP189" i="57"/>
  <c r="AG189" i="53"/>
  <c r="AH189" i="53"/>
  <c r="AT189" i="53"/>
  <c r="N190" i="57"/>
  <c r="Q189" i="53"/>
  <c r="AD189" i="53"/>
  <c r="N190" i="53"/>
  <c r="AH173" i="69"/>
  <c r="AJ128" i="50"/>
  <c r="C128" i="50"/>
  <c r="AJ118" i="32"/>
  <c r="C118" i="32"/>
  <c r="AD189" i="57"/>
  <c r="S129" i="50"/>
  <c r="V128" i="50"/>
  <c r="S119" i="32"/>
  <c r="V119" i="32" s="1"/>
  <c r="AK189" i="52" a="1"/>
  <c r="AK189" i="52" s="1"/>
  <c r="B191" i="53" s="1"/>
  <c r="O191" i="53" s="1"/>
  <c r="G190" i="53"/>
  <c r="F190" i="53"/>
  <c r="C190" i="53"/>
  <c r="L190" i="53"/>
  <c r="P190" i="53"/>
  <c r="J190" i="53"/>
  <c r="D190" i="53"/>
  <c r="H190" i="53"/>
  <c r="I190" i="53"/>
  <c r="M190" i="53"/>
  <c r="K190" i="53"/>
  <c r="E190" i="53"/>
  <c r="A120" i="32"/>
  <c r="B120" i="32"/>
  <c r="R120" i="32" s="1"/>
  <c r="G130" i="50"/>
  <c r="F130" i="50"/>
  <c r="H130" i="50"/>
  <c r="L130" i="50"/>
  <c r="K130" i="50"/>
  <c r="B130" i="50"/>
  <c r="R130" i="50" s="1"/>
  <c r="J130" i="50"/>
  <c r="I130" i="50"/>
  <c r="M130" i="50"/>
  <c r="N130" i="50"/>
  <c r="A130" i="50"/>
  <c r="Q130" i="50" s="1"/>
  <c r="P130" i="50" s="1"/>
  <c r="K120" i="32"/>
  <c r="L120" i="32"/>
  <c r="F120" i="32"/>
  <c r="AM120" i="32" s="1"/>
  <c r="N120" i="32"/>
  <c r="H120" i="32"/>
  <c r="M120" i="32"/>
  <c r="J120" i="32"/>
  <c r="O120" i="32"/>
  <c r="I120" i="32"/>
  <c r="G120" i="32"/>
  <c r="Z128" i="50"/>
  <c r="W128" i="50"/>
  <c r="X128" i="50" s="1"/>
  <c r="J190" i="57"/>
  <c r="G190" i="57"/>
  <c r="D190" i="57"/>
  <c r="P190" i="57"/>
  <c r="K190" i="57"/>
  <c r="F190" i="57"/>
  <c r="H190" i="57"/>
  <c r="I190" i="57"/>
  <c r="C190" i="57"/>
  <c r="M190" i="57" s="1"/>
  <c r="E190" i="57"/>
  <c r="Q189" i="57"/>
  <c r="T189" i="57" s="1"/>
  <c r="AK189" i="55" a="1"/>
  <c r="AK189" i="55" s="1"/>
  <c r="B191" i="57" s="1"/>
  <c r="O191" i="57" s="1"/>
  <c r="W118" i="32"/>
  <c r="X118" i="32" s="1"/>
  <c r="Z118" i="32"/>
  <c r="C175" i="69"/>
  <c r="AE173" i="69"/>
  <c r="R173" i="69"/>
  <c r="S173" i="69" s="1"/>
  <c r="Y173" i="69" s="1"/>
  <c r="Q173" i="69"/>
  <c r="U173" i="69"/>
  <c r="D174" i="69"/>
  <c r="E174" i="69" s="1"/>
  <c r="F174" i="69" s="1"/>
  <c r="G174" i="69" s="1"/>
  <c r="H174" i="69" s="1"/>
  <c r="I174" i="69" s="1"/>
  <c r="J174" i="69" s="1"/>
  <c r="K174" i="69" s="1"/>
  <c r="M174" i="69" s="1"/>
  <c r="N174" i="69"/>
  <c r="AF174" i="69" s="1"/>
  <c r="AN175" i="67" a="1"/>
  <c r="AN175" i="67" s="1"/>
  <c r="B176" i="69"/>
  <c r="AL120" i="11" a="1"/>
  <c r="AL120" i="11" s="1"/>
  <c r="E121" i="32" s="1"/>
  <c r="AL130" i="59" a="1"/>
  <c r="AL130" i="59" s="1"/>
  <c r="E131" i="50" s="1"/>
  <c r="AM20" i="59" a="1"/>
  <c r="AM20" i="59" s="1"/>
  <c r="AB188" i="57" l="1"/>
  <c r="AA188" i="57"/>
  <c r="AB173" i="69"/>
  <c r="AC173" i="69" s="1"/>
  <c r="AD173" i="69" s="1"/>
  <c r="AG173" i="69"/>
  <c r="L176" i="69"/>
  <c r="O176" i="69"/>
  <c r="AO175" i="69"/>
  <c r="P175" i="69"/>
  <c r="T131" i="50"/>
  <c r="AK131" i="50"/>
  <c r="X189" i="57"/>
  <c r="AB189" i="53"/>
  <c r="AA189" i="53"/>
  <c r="AF189" i="53"/>
  <c r="AC190" i="53"/>
  <c r="AE190" i="53"/>
  <c r="AK121" i="32"/>
  <c r="T121" i="32"/>
  <c r="AD119" i="32"/>
  <c r="AF188" i="57"/>
  <c r="AE190" i="57"/>
  <c r="AC190" i="57"/>
  <c r="AD129" i="50"/>
  <c r="AG129" i="50" s="1"/>
  <c r="AH129" i="50" s="1"/>
  <c r="AI129" i="50" s="1"/>
  <c r="AM130" i="50"/>
  <c r="U130" i="50"/>
  <c r="U120" i="32"/>
  <c r="AG118" i="32"/>
  <c r="AH118" i="32" s="1"/>
  <c r="AL118" i="32"/>
  <c r="AI117" i="32"/>
  <c r="AN117" i="32" s="1"/>
  <c r="AP127" i="50"/>
  <c r="R190" i="57"/>
  <c r="R190" i="53"/>
  <c r="X190" i="53" s="1"/>
  <c r="AL128" i="50"/>
  <c r="Q120" i="32"/>
  <c r="P120" i="32" s="1"/>
  <c r="AX174" i="69"/>
  <c r="AG191" i="57"/>
  <c r="L191" i="57"/>
  <c r="O131" i="50"/>
  <c r="AJ190" i="57"/>
  <c r="AP190" i="57"/>
  <c r="AH190" i="53"/>
  <c r="AT190" i="53"/>
  <c r="AG190" i="53"/>
  <c r="N191" i="57"/>
  <c r="N191" i="53"/>
  <c r="AH174" i="69"/>
  <c r="AJ129" i="50"/>
  <c r="C129" i="50"/>
  <c r="AJ119" i="32"/>
  <c r="C119" i="32"/>
  <c r="AD190" i="57"/>
  <c r="AD190" i="53"/>
  <c r="Q190" i="53"/>
  <c r="S130" i="50"/>
  <c r="V129" i="50"/>
  <c r="S120" i="32"/>
  <c r="V120" i="32" s="1"/>
  <c r="AK190" i="52" a="1"/>
  <c r="AK190" i="52" s="1"/>
  <c r="B192" i="53" s="1"/>
  <c r="O192" i="53" s="1"/>
  <c r="E191" i="53"/>
  <c r="D191" i="53"/>
  <c r="G191" i="53"/>
  <c r="C191" i="53"/>
  <c r="F191" i="53"/>
  <c r="I191" i="53"/>
  <c r="H191" i="53"/>
  <c r="M191" i="53"/>
  <c r="J191" i="53"/>
  <c r="L191" i="53"/>
  <c r="P191" i="53"/>
  <c r="K191" i="53"/>
  <c r="A121" i="32"/>
  <c r="B121" i="32"/>
  <c r="R121" i="32" s="1"/>
  <c r="B131" i="50"/>
  <c r="R131" i="50" s="1"/>
  <c r="A131" i="50"/>
  <c r="Q131" i="50" s="1"/>
  <c r="P131" i="50" s="1"/>
  <c r="K131" i="50"/>
  <c r="G131" i="50"/>
  <c r="H131" i="50"/>
  <c r="M131" i="50"/>
  <c r="N131" i="50"/>
  <c r="I131" i="50"/>
  <c r="J131" i="50"/>
  <c r="L131" i="50"/>
  <c r="F131" i="50"/>
  <c r="I121" i="32"/>
  <c r="J121" i="32"/>
  <c r="L121" i="32"/>
  <c r="F121" i="32"/>
  <c r="AM121" i="32" s="1"/>
  <c r="N121" i="32"/>
  <c r="H121" i="32"/>
  <c r="K121" i="32"/>
  <c r="O121" i="32"/>
  <c r="G121" i="32"/>
  <c r="M121" i="32"/>
  <c r="Z129" i="50"/>
  <c r="W129" i="50"/>
  <c r="X129" i="50" s="1"/>
  <c r="D191" i="57"/>
  <c r="F191" i="57"/>
  <c r="I191" i="57"/>
  <c r="E191" i="57"/>
  <c r="K191" i="57"/>
  <c r="J191" i="57"/>
  <c r="C191" i="57"/>
  <c r="M191" i="57" s="1"/>
  <c r="G191" i="57"/>
  <c r="H191" i="57"/>
  <c r="P191" i="57"/>
  <c r="Q190" i="57"/>
  <c r="T190" i="57" s="1"/>
  <c r="AK190" i="55" a="1"/>
  <c r="AK190" i="55" s="1"/>
  <c r="B192" i="57" s="1"/>
  <c r="O192" i="57" s="1"/>
  <c r="W119" i="32"/>
  <c r="X119" i="32" s="1"/>
  <c r="Z119" i="32"/>
  <c r="AN176" i="67" a="1"/>
  <c r="AN176" i="67" s="1"/>
  <c r="B177" i="69"/>
  <c r="D175" i="69"/>
  <c r="E175" i="69" s="1"/>
  <c r="F175" i="69" s="1"/>
  <c r="G175" i="69" s="1"/>
  <c r="H175" i="69" s="1"/>
  <c r="I175" i="69" s="1"/>
  <c r="J175" i="69" s="1"/>
  <c r="K175" i="69" s="1"/>
  <c r="M175" i="69" s="1"/>
  <c r="N175" i="69"/>
  <c r="AF175" i="69" s="1"/>
  <c r="C176" i="69"/>
  <c r="U174" i="69"/>
  <c r="R174" i="69"/>
  <c r="S174" i="69" s="1"/>
  <c r="Y174" i="69" s="1"/>
  <c r="AE174" i="69"/>
  <c r="Q174" i="69"/>
  <c r="AL121" i="11" a="1"/>
  <c r="AL121" i="11" s="1"/>
  <c r="AL131" i="59" a="1"/>
  <c r="AL131" i="59" s="1"/>
  <c r="E132" i="50" s="1"/>
  <c r="AM21" i="59" a="1"/>
  <c r="AM21" i="59" s="1"/>
  <c r="AB189" i="57" l="1"/>
  <c r="AA189" i="57"/>
  <c r="AB174" i="69"/>
  <c r="AC174" i="69" s="1"/>
  <c r="AD174" i="69" s="1"/>
  <c r="AG174" i="69"/>
  <c r="L177" i="69"/>
  <c r="O177" i="69"/>
  <c r="AO176" i="69"/>
  <c r="P176" i="69"/>
  <c r="AF189" i="57"/>
  <c r="T132" i="50"/>
  <c r="AK132" i="50"/>
  <c r="X190" i="57"/>
  <c r="AE191" i="53"/>
  <c r="AC191" i="53"/>
  <c r="AB190" i="53"/>
  <c r="AA190" i="53"/>
  <c r="AF190" i="53"/>
  <c r="AD120" i="32"/>
  <c r="AE191" i="57"/>
  <c r="AC191" i="57"/>
  <c r="AM131" i="50"/>
  <c r="U131" i="50"/>
  <c r="AD130" i="50"/>
  <c r="AG130" i="50" s="1"/>
  <c r="AH130" i="50" s="1"/>
  <c r="AI130" i="50" s="1"/>
  <c r="U121" i="32"/>
  <c r="AG119" i="32"/>
  <c r="AH119" i="32" s="1"/>
  <c r="AL119" i="32"/>
  <c r="AI118" i="32"/>
  <c r="AN118" i="32" s="1"/>
  <c r="AP128" i="50"/>
  <c r="R191" i="57"/>
  <c r="R191" i="53"/>
  <c r="X191" i="53" s="1"/>
  <c r="AL129" i="50"/>
  <c r="Q121" i="32"/>
  <c r="P121" i="32" s="1"/>
  <c r="AX175" i="69"/>
  <c r="AG192" i="57"/>
  <c r="L192" i="57"/>
  <c r="O132" i="50"/>
  <c r="AJ191" i="57"/>
  <c r="AP191" i="57"/>
  <c r="AH191" i="53"/>
  <c r="AT191" i="53"/>
  <c r="AG191" i="53"/>
  <c r="N192" i="57"/>
  <c r="P192" i="53"/>
  <c r="N192" i="53"/>
  <c r="AH175" i="69"/>
  <c r="AJ130" i="50"/>
  <c r="C130" i="50"/>
  <c r="AJ120" i="32"/>
  <c r="C120" i="32"/>
  <c r="AD191" i="57"/>
  <c r="AD191" i="53"/>
  <c r="M12" i="32"/>
  <c r="S131" i="50"/>
  <c r="V130" i="50"/>
  <c r="S121" i="32"/>
  <c r="V121" i="32" s="1"/>
  <c r="J192" i="53"/>
  <c r="G192" i="53"/>
  <c r="H192" i="53"/>
  <c r="M192" i="53"/>
  <c r="K192" i="53"/>
  <c r="L192" i="53"/>
  <c r="Q191" i="53"/>
  <c r="I192" i="53"/>
  <c r="C192" i="53"/>
  <c r="D192" i="53"/>
  <c r="AK191" i="52" a="1"/>
  <c r="AK191" i="52" s="1"/>
  <c r="B193" i="53" s="1"/>
  <c r="O193" i="53" s="1"/>
  <c r="F192" i="53"/>
  <c r="E192" i="53"/>
  <c r="K132" i="50"/>
  <c r="I132" i="50"/>
  <c r="L132" i="50"/>
  <c r="A132" i="50"/>
  <c r="Q132" i="50" s="1"/>
  <c r="P132" i="50" s="1"/>
  <c r="J132" i="50"/>
  <c r="N132" i="50"/>
  <c r="B132" i="50"/>
  <c r="R132" i="50" s="1"/>
  <c r="M132" i="50"/>
  <c r="F132" i="50"/>
  <c r="G132" i="50"/>
  <c r="H132" i="50"/>
  <c r="Q191" i="57"/>
  <c r="T191" i="57" s="1"/>
  <c r="K192" i="57"/>
  <c r="J192" i="57"/>
  <c r="H192" i="57"/>
  <c r="F192" i="57"/>
  <c r="D192" i="57"/>
  <c r="P192" i="57"/>
  <c r="C192" i="57"/>
  <c r="M192" i="57" s="1"/>
  <c r="G192" i="57"/>
  <c r="I192" i="57"/>
  <c r="E192" i="57"/>
  <c r="W130" i="50"/>
  <c r="X130" i="50" s="1"/>
  <c r="Z130" i="50"/>
  <c r="E122" i="32"/>
  <c r="AK191" i="55" a="1"/>
  <c r="AK191" i="55" s="1"/>
  <c r="B193" i="57" s="1"/>
  <c r="O193" i="57" s="1"/>
  <c r="W120" i="32"/>
  <c r="X120" i="32" s="1"/>
  <c r="Z120" i="32"/>
  <c r="AN177" i="67" a="1"/>
  <c r="AN177" i="67" s="1"/>
  <c r="B178" i="69"/>
  <c r="N176" i="69"/>
  <c r="AF176" i="69" s="1"/>
  <c r="D176" i="69"/>
  <c r="E176" i="69" s="1"/>
  <c r="F176" i="69" s="1"/>
  <c r="G176" i="69" s="1"/>
  <c r="H176" i="69" s="1"/>
  <c r="I176" i="69" s="1"/>
  <c r="J176" i="69" s="1"/>
  <c r="K176" i="69" s="1"/>
  <c r="M176" i="69" s="1"/>
  <c r="C177" i="69"/>
  <c r="U175" i="69"/>
  <c r="AE175" i="69"/>
  <c r="Q175" i="69"/>
  <c r="R175" i="69"/>
  <c r="S175" i="69" s="1"/>
  <c r="Y175" i="69" s="1"/>
  <c r="AL122" i="11" a="1"/>
  <c r="AL122" i="11" s="1"/>
  <c r="E123" i="32" s="1"/>
  <c r="AL132" i="59" a="1"/>
  <c r="AL132" i="59" s="1"/>
  <c r="E133" i="50" s="1"/>
  <c r="AM22" i="59" a="1"/>
  <c r="AM22" i="59" s="1"/>
  <c r="AB190" i="57" l="1"/>
  <c r="AA190" i="57"/>
  <c r="AB175" i="69"/>
  <c r="AC175" i="69" s="1"/>
  <c r="AD175" i="69" s="1"/>
  <c r="AG175" i="69"/>
  <c r="AO177" i="69"/>
  <c r="P177" i="69"/>
  <c r="L178" i="69"/>
  <c r="O178" i="69"/>
  <c r="T133" i="50"/>
  <c r="AK133" i="50"/>
  <c r="AF190" i="57"/>
  <c r="X191" i="57"/>
  <c r="AB191" i="53"/>
  <c r="AA191" i="53"/>
  <c r="AC192" i="53"/>
  <c r="AE192" i="53"/>
  <c r="AF191" i="53"/>
  <c r="AK123" i="32"/>
  <c r="T123" i="32"/>
  <c r="AK122" i="32"/>
  <c r="T122" i="32"/>
  <c r="AD121" i="32"/>
  <c r="AE192" i="57"/>
  <c r="AC192" i="57"/>
  <c r="AM132" i="50"/>
  <c r="U132" i="50"/>
  <c r="AD131" i="50"/>
  <c r="AG131" i="50" s="1"/>
  <c r="AH131" i="50" s="1"/>
  <c r="AI131" i="50" s="1"/>
  <c r="AG120" i="32"/>
  <c r="AH120" i="32" s="1"/>
  <c r="AL120" i="32"/>
  <c r="AP129" i="50"/>
  <c r="R192" i="57"/>
  <c r="R192" i="53"/>
  <c r="X192" i="53" s="1"/>
  <c r="AL130" i="50"/>
  <c r="AI119" i="32"/>
  <c r="AN119" i="32" s="1"/>
  <c r="AX176" i="69"/>
  <c r="AG193" i="57"/>
  <c r="L193" i="57"/>
  <c r="O133" i="50"/>
  <c r="AJ192" i="57"/>
  <c r="AP192" i="57"/>
  <c r="AH192" i="53"/>
  <c r="AT192" i="53"/>
  <c r="AG192" i="53"/>
  <c r="N193" i="57"/>
  <c r="K193" i="53"/>
  <c r="N193" i="53"/>
  <c r="AH176" i="69"/>
  <c r="AJ131" i="50"/>
  <c r="C131" i="50"/>
  <c r="AJ121" i="32"/>
  <c r="C121" i="32"/>
  <c r="AD192" i="57"/>
  <c r="AD192" i="53"/>
  <c r="Q192" i="53"/>
  <c r="V131" i="50"/>
  <c r="S132" i="50"/>
  <c r="AK192" i="52" a="1"/>
  <c r="AK192" i="52" s="1"/>
  <c r="B194" i="53" s="1"/>
  <c r="O194" i="53" s="1"/>
  <c r="J193" i="53"/>
  <c r="D193" i="53"/>
  <c r="I193" i="53"/>
  <c r="C193" i="53"/>
  <c r="P193" i="53"/>
  <c r="E193" i="53"/>
  <c r="F193" i="53"/>
  <c r="H193" i="53"/>
  <c r="G193" i="53"/>
  <c r="L193" i="53"/>
  <c r="M193" i="53"/>
  <c r="A123" i="32"/>
  <c r="B123" i="32"/>
  <c r="R123" i="32" s="1"/>
  <c r="A122" i="32"/>
  <c r="B122" i="32"/>
  <c r="R122" i="32" s="1"/>
  <c r="M133" i="50"/>
  <c r="F133" i="50"/>
  <c r="H133" i="50"/>
  <c r="G133" i="50"/>
  <c r="I133" i="50"/>
  <c r="L133" i="50"/>
  <c r="N133" i="50"/>
  <c r="A133" i="50"/>
  <c r="Q133" i="50" s="1"/>
  <c r="P133" i="50" s="1"/>
  <c r="J133" i="50"/>
  <c r="K133" i="50"/>
  <c r="B133" i="50"/>
  <c r="R133" i="50" s="1"/>
  <c r="M123" i="32"/>
  <c r="F123" i="32"/>
  <c r="AM123" i="32" s="1"/>
  <c r="N123" i="32"/>
  <c r="H123" i="32"/>
  <c r="J123" i="32"/>
  <c r="O123" i="32"/>
  <c r="G123" i="32"/>
  <c r="L123" i="32"/>
  <c r="K123" i="32"/>
  <c r="I123" i="32"/>
  <c r="G122" i="32"/>
  <c r="O122" i="32"/>
  <c r="H122" i="32"/>
  <c r="J122" i="32"/>
  <c r="L122" i="32"/>
  <c r="I122" i="32"/>
  <c r="N122" i="32"/>
  <c r="F122" i="32"/>
  <c r="AM122" i="32" s="1"/>
  <c r="K122" i="32"/>
  <c r="M122" i="32"/>
  <c r="W131" i="50"/>
  <c r="X131" i="50" s="1"/>
  <c r="Z131" i="50"/>
  <c r="P193" i="57"/>
  <c r="J193" i="57"/>
  <c r="H193" i="57"/>
  <c r="E193" i="57"/>
  <c r="K193" i="57"/>
  <c r="G193" i="57"/>
  <c r="C193" i="57"/>
  <c r="M193" i="57" s="1"/>
  <c r="F193" i="57"/>
  <c r="I193" i="57"/>
  <c r="D193" i="57"/>
  <c r="Q192" i="57"/>
  <c r="T192" i="57" s="1"/>
  <c r="AK192" i="55" a="1"/>
  <c r="AK192" i="55" s="1"/>
  <c r="B194" i="57" s="1"/>
  <c r="O194" i="57" s="1"/>
  <c r="W121" i="32"/>
  <c r="X121" i="32" s="1"/>
  <c r="Z121" i="32"/>
  <c r="AN178" i="67" a="1"/>
  <c r="AN178" i="67" s="1"/>
  <c r="B179" i="69"/>
  <c r="R176" i="69"/>
  <c r="S176" i="69" s="1"/>
  <c r="Y176" i="69" s="1"/>
  <c r="AE176" i="69"/>
  <c r="Q176" i="69"/>
  <c r="U176" i="69"/>
  <c r="D177" i="69"/>
  <c r="E177" i="69" s="1"/>
  <c r="F177" i="69" s="1"/>
  <c r="G177" i="69" s="1"/>
  <c r="H177" i="69" s="1"/>
  <c r="I177" i="69" s="1"/>
  <c r="J177" i="69" s="1"/>
  <c r="K177" i="69" s="1"/>
  <c r="M177" i="69" s="1"/>
  <c r="N177" i="69"/>
  <c r="AF177" i="69" s="1"/>
  <c r="C178" i="69"/>
  <c r="AL123" i="11" a="1"/>
  <c r="AL123" i="11" s="1"/>
  <c r="E124" i="32" s="1"/>
  <c r="AL133" i="59" a="1"/>
  <c r="AL133" i="59" s="1"/>
  <c r="E134" i="50" s="1"/>
  <c r="AM23" i="59" a="1"/>
  <c r="AM23" i="59" s="1"/>
  <c r="AF191" i="57" l="1"/>
  <c r="AA191" i="57"/>
  <c r="AB176" i="69"/>
  <c r="AC176" i="69" s="1"/>
  <c r="AD176" i="69" s="1"/>
  <c r="AG176" i="69"/>
  <c r="AO178" i="69"/>
  <c r="P178" i="69"/>
  <c r="L179" i="69"/>
  <c r="O179" i="69"/>
  <c r="X192" i="57"/>
  <c r="T134" i="50"/>
  <c r="AK134" i="50"/>
  <c r="AB191" i="57"/>
  <c r="AB192" i="53"/>
  <c r="AA192" i="53"/>
  <c r="AC193" i="53"/>
  <c r="AE193" i="53"/>
  <c r="AF192" i="53"/>
  <c r="T124" i="32"/>
  <c r="AK124" i="32"/>
  <c r="AE193" i="57"/>
  <c r="AC193" i="57"/>
  <c r="AD132" i="50"/>
  <c r="AG132" i="50" s="1"/>
  <c r="AH132" i="50" s="1"/>
  <c r="AI132" i="50" s="1"/>
  <c r="AM133" i="50"/>
  <c r="U133" i="50"/>
  <c r="U122" i="32"/>
  <c r="U123" i="32"/>
  <c r="AG121" i="32"/>
  <c r="AH121" i="32" s="1"/>
  <c r="AL121" i="32"/>
  <c r="AI120" i="32"/>
  <c r="AN120" i="32" s="1"/>
  <c r="AP130" i="50"/>
  <c r="R193" i="57"/>
  <c r="R193" i="53"/>
  <c r="X193" i="53" s="1"/>
  <c r="AL131" i="50"/>
  <c r="Q122" i="32"/>
  <c r="P122" i="32" s="1"/>
  <c r="Q123" i="32"/>
  <c r="P123" i="32" s="1"/>
  <c r="AX177" i="69"/>
  <c r="AG194" i="57"/>
  <c r="L194" i="57"/>
  <c r="O134" i="50"/>
  <c r="AJ193" i="57"/>
  <c r="AP193" i="57"/>
  <c r="AH193" i="53"/>
  <c r="AT193" i="53"/>
  <c r="AG193" i="53"/>
  <c r="N194" i="57"/>
  <c r="L194" i="53"/>
  <c r="N194" i="53"/>
  <c r="AH177" i="69"/>
  <c r="AJ132" i="50"/>
  <c r="C132" i="50"/>
  <c r="AD193" i="57"/>
  <c r="AD193" i="53"/>
  <c r="Q193" i="53"/>
  <c r="V132" i="50"/>
  <c r="S133" i="50"/>
  <c r="S123" i="32"/>
  <c r="V123" i="32" s="1"/>
  <c r="S122" i="32"/>
  <c r="V122" i="32" s="1"/>
  <c r="AK193" i="52" a="1"/>
  <c r="AK193" i="52" s="1"/>
  <c r="B195" i="53" s="1"/>
  <c r="O195" i="53" s="1"/>
  <c r="F194" i="53"/>
  <c r="E194" i="53"/>
  <c r="P194" i="53"/>
  <c r="J194" i="53"/>
  <c r="I194" i="53"/>
  <c r="D194" i="53"/>
  <c r="C194" i="53"/>
  <c r="H194" i="53"/>
  <c r="G194" i="53"/>
  <c r="M194" i="53"/>
  <c r="K194" i="53"/>
  <c r="A124" i="32"/>
  <c r="B124" i="32"/>
  <c r="R124" i="32" s="1"/>
  <c r="F134" i="50"/>
  <c r="G134" i="50"/>
  <c r="B134" i="50"/>
  <c r="R134" i="50" s="1"/>
  <c r="L134" i="50"/>
  <c r="K134" i="50"/>
  <c r="I134" i="50"/>
  <c r="A134" i="50"/>
  <c r="Q134" i="50" s="1"/>
  <c r="P134" i="50" s="1"/>
  <c r="M134" i="50"/>
  <c r="J134" i="50"/>
  <c r="N134" i="50"/>
  <c r="H134" i="50"/>
  <c r="K124" i="32"/>
  <c r="L124" i="32"/>
  <c r="F124" i="32"/>
  <c r="AM124" i="32" s="1"/>
  <c r="N124" i="32"/>
  <c r="H124" i="32"/>
  <c r="J124" i="32"/>
  <c r="M124" i="32"/>
  <c r="G124" i="32"/>
  <c r="I124" i="32"/>
  <c r="O124" i="32"/>
  <c r="J194" i="57"/>
  <c r="D194" i="57"/>
  <c r="H194" i="57"/>
  <c r="C194" i="57"/>
  <c r="M194" i="57" s="1"/>
  <c r="P194" i="57"/>
  <c r="K194" i="57"/>
  <c r="F194" i="57"/>
  <c r="I194" i="57"/>
  <c r="G194" i="57"/>
  <c r="E194" i="57"/>
  <c r="Q193" i="57"/>
  <c r="T193" i="57" s="1"/>
  <c r="W132" i="50"/>
  <c r="X132" i="50" s="1"/>
  <c r="Z132" i="50"/>
  <c r="AK193" i="55" a="1"/>
  <c r="AK193" i="55" s="1"/>
  <c r="B195" i="57" s="1"/>
  <c r="O195" i="57" s="1"/>
  <c r="AN179" i="67" a="1"/>
  <c r="AN179" i="67" s="1"/>
  <c r="B180" i="69"/>
  <c r="U177" i="69"/>
  <c r="Q177" i="69"/>
  <c r="R177" i="69"/>
  <c r="S177" i="69" s="1"/>
  <c r="Y177" i="69" s="1"/>
  <c r="AE177" i="69"/>
  <c r="C179" i="69"/>
  <c r="D178" i="69"/>
  <c r="E178" i="69" s="1"/>
  <c r="F178" i="69" s="1"/>
  <c r="G178" i="69" s="1"/>
  <c r="H178" i="69" s="1"/>
  <c r="I178" i="69" s="1"/>
  <c r="J178" i="69" s="1"/>
  <c r="K178" i="69" s="1"/>
  <c r="M178" i="69" s="1"/>
  <c r="N178" i="69"/>
  <c r="AF178" i="69" s="1"/>
  <c r="AL124" i="11" a="1"/>
  <c r="AL124" i="11" s="1"/>
  <c r="E125" i="32" s="1"/>
  <c r="AL134" i="59" a="1"/>
  <c r="AL134" i="59" s="1"/>
  <c r="E135" i="50" s="1"/>
  <c r="AM24" i="59" a="1"/>
  <c r="AM24" i="59" s="1"/>
  <c r="AC21" i="11"/>
  <c r="AB192" i="57" l="1"/>
  <c r="AA192" i="57"/>
  <c r="AB177" i="69"/>
  <c r="AC177" i="69" s="1"/>
  <c r="AD177" i="69" s="1"/>
  <c r="AG177" i="69"/>
  <c r="L180" i="69"/>
  <c r="O180" i="69"/>
  <c r="AO179" i="69"/>
  <c r="P179" i="69"/>
  <c r="X193" i="57"/>
  <c r="AF192" i="57"/>
  <c r="AK135" i="50"/>
  <c r="T135" i="50"/>
  <c r="AB193" i="53"/>
  <c r="AA193" i="53"/>
  <c r="AF193" i="53"/>
  <c r="AC194" i="53"/>
  <c r="AE194" i="53"/>
  <c r="AK125" i="32"/>
  <c r="T125" i="32"/>
  <c r="AD123" i="32"/>
  <c r="AD122" i="32"/>
  <c r="AE194" i="57"/>
  <c r="AC194" i="57"/>
  <c r="AM134" i="50"/>
  <c r="U134" i="50"/>
  <c r="AD133" i="50"/>
  <c r="AG133" i="50" s="1"/>
  <c r="AH133" i="50" s="1"/>
  <c r="AI133" i="50" s="1"/>
  <c r="U124" i="32"/>
  <c r="AI121" i="32"/>
  <c r="AN121" i="32" s="1"/>
  <c r="AP131" i="50"/>
  <c r="R194" i="57"/>
  <c r="R194" i="53"/>
  <c r="X194" i="53" s="1"/>
  <c r="AL132" i="50"/>
  <c r="Q124" i="32"/>
  <c r="P124" i="32" s="1"/>
  <c r="K40" i="36"/>
  <c r="I79" i="22"/>
  <c r="N22" i="32"/>
  <c r="AX178" i="69"/>
  <c r="AG195" i="57"/>
  <c r="L195" i="57"/>
  <c r="O135" i="50"/>
  <c r="AJ194" i="57"/>
  <c r="AP194" i="57"/>
  <c r="AG194" i="53"/>
  <c r="AH194" i="53"/>
  <c r="AT194" i="53"/>
  <c r="N195" i="57"/>
  <c r="N195" i="53"/>
  <c r="AH178" i="69"/>
  <c r="AJ133" i="50"/>
  <c r="C133" i="50"/>
  <c r="AJ123" i="32"/>
  <c r="C123" i="32"/>
  <c r="AJ122" i="32"/>
  <c r="C122" i="32"/>
  <c r="AD194" i="57"/>
  <c r="Q194" i="53"/>
  <c r="AD194" i="53"/>
  <c r="S134" i="50"/>
  <c r="V133" i="50"/>
  <c r="S124" i="32"/>
  <c r="V124" i="32" s="1"/>
  <c r="AK194" i="52" a="1"/>
  <c r="AK194" i="52" s="1"/>
  <c r="B196" i="53" s="1"/>
  <c r="O196" i="53" s="1"/>
  <c r="J195" i="53"/>
  <c r="E195" i="53"/>
  <c r="H195" i="53"/>
  <c r="G195" i="53"/>
  <c r="M195" i="53"/>
  <c r="K195" i="53"/>
  <c r="D195" i="53"/>
  <c r="F195" i="53"/>
  <c r="P195" i="53"/>
  <c r="C195" i="53"/>
  <c r="I195" i="53"/>
  <c r="L195" i="53"/>
  <c r="A125" i="32"/>
  <c r="B125" i="32"/>
  <c r="R125" i="32" s="1"/>
  <c r="M135" i="50"/>
  <c r="G135" i="50"/>
  <c r="A135" i="50"/>
  <c r="Q135" i="50" s="1"/>
  <c r="P135" i="50" s="1"/>
  <c r="L135" i="50"/>
  <c r="J135" i="50"/>
  <c r="K135" i="50"/>
  <c r="F135" i="50"/>
  <c r="I135" i="50"/>
  <c r="B135" i="50"/>
  <c r="R135" i="50" s="1"/>
  <c r="N135" i="50"/>
  <c r="H135" i="50"/>
  <c r="I125" i="32"/>
  <c r="J125" i="32"/>
  <c r="L125" i="32"/>
  <c r="F125" i="32"/>
  <c r="AM125" i="32" s="1"/>
  <c r="N125" i="32"/>
  <c r="K125" i="32"/>
  <c r="H125" i="32"/>
  <c r="G125" i="32"/>
  <c r="M125" i="32"/>
  <c r="O125" i="32"/>
  <c r="Z133" i="50"/>
  <c r="W133" i="50"/>
  <c r="X133" i="50" s="1"/>
  <c r="Q194" i="57"/>
  <c r="T194" i="57" s="1"/>
  <c r="I195" i="57"/>
  <c r="F195" i="57"/>
  <c r="E195" i="57"/>
  <c r="D195" i="57"/>
  <c r="P195" i="57"/>
  <c r="J195" i="57"/>
  <c r="K195" i="57"/>
  <c r="G195" i="57"/>
  <c r="H195" i="57"/>
  <c r="C195" i="57"/>
  <c r="M195" i="57" s="1"/>
  <c r="W122" i="32"/>
  <c r="X122" i="32" s="1"/>
  <c r="Z122" i="32"/>
  <c r="AK194" i="55" a="1"/>
  <c r="AK194" i="55" s="1"/>
  <c r="B196" i="57" s="1"/>
  <c r="O196" i="57" s="1"/>
  <c r="W123" i="32"/>
  <c r="X123" i="32" s="1"/>
  <c r="Z123" i="32"/>
  <c r="AN180" i="67" a="1"/>
  <c r="AN180" i="67" s="1"/>
  <c r="B181" i="69"/>
  <c r="Q178" i="69"/>
  <c r="R178" i="69"/>
  <c r="S178" i="69" s="1"/>
  <c r="Y178" i="69" s="1"/>
  <c r="U178" i="69"/>
  <c r="AE178" i="69"/>
  <c r="N179" i="69"/>
  <c r="AF179" i="69" s="1"/>
  <c r="D179" i="69"/>
  <c r="E179" i="69" s="1"/>
  <c r="F179" i="69" s="1"/>
  <c r="G179" i="69" s="1"/>
  <c r="H179" i="69" s="1"/>
  <c r="I179" i="69" s="1"/>
  <c r="J179" i="69" s="1"/>
  <c r="K179" i="69" s="1"/>
  <c r="M179" i="69" s="1"/>
  <c r="C180" i="69"/>
  <c r="AL125" i="11" a="1"/>
  <c r="AL125" i="11" s="1"/>
  <c r="E126" i="32" s="1"/>
  <c r="AL135" i="59" a="1"/>
  <c r="AL135" i="59" s="1"/>
  <c r="E136" i="50" s="1"/>
  <c r="I4" i="22"/>
  <c r="I13" i="22"/>
  <c r="AM25" i="59" a="1"/>
  <c r="AM25" i="59" s="1"/>
  <c r="I64" i="22"/>
  <c r="I7" i="22"/>
  <c r="I57" i="22"/>
  <c r="I10" i="22"/>
  <c r="AH13" i="11"/>
  <c r="AH15" i="11"/>
  <c r="AH16" i="11"/>
  <c r="AH17" i="11"/>
  <c r="AH19" i="11"/>
  <c r="AF193" i="57" l="1"/>
  <c r="AA193" i="57"/>
  <c r="AB178" i="69"/>
  <c r="AC178" i="69" s="1"/>
  <c r="AD178" i="69" s="1"/>
  <c r="AG178" i="69"/>
  <c r="L181" i="69"/>
  <c r="O181" i="69"/>
  <c r="AO180" i="69"/>
  <c r="P180" i="69"/>
  <c r="AB193" i="57"/>
  <c r="AK136" i="50"/>
  <c r="T136" i="50"/>
  <c r="X194" i="57"/>
  <c r="AA194" i="57" s="1"/>
  <c r="AB194" i="53"/>
  <c r="AA194" i="53"/>
  <c r="AE195" i="53"/>
  <c r="AC195" i="53"/>
  <c r="AF194" i="53"/>
  <c r="AK126" i="32"/>
  <c r="T126" i="32"/>
  <c r="AD124" i="32"/>
  <c r="AE195" i="57"/>
  <c r="AC195" i="57"/>
  <c r="U259" i="59"/>
  <c r="X259" i="59"/>
  <c r="T259" i="59"/>
  <c r="W259" i="59"/>
  <c r="S259" i="59"/>
  <c r="H259" i="59"/>
  <c r="D21" i="36" s="1"/>
  <c r="V259" i="59"/>
  <c r="Q259" i="59"/>
  <c r="H20" i="73" s="1"/>
  <c r="AM135" i="50"/>
  <c r="U135" i="50"/>
  <c r="AD134" i="50"/>
  <c r="AG134" i="50" s="1"/>
  <c r="AH134" i="50" s="1"/>
  <c r="AI134" i="50" s="1"/>
  <c r="U125" i="32"/>
  <c r="AG123" i="32"/>
  <c r="AH123" i="32" s="1"/>
  <c r="AL123" i="32"/>
  <c r="AG122" i="32"/>
  <c r="AH122" i="32" s="1"/>
  <c r="AL122" i="32"/>
  <c r="W261" i="59"/>
  <c r="G259" i="71"/>
  <c r="G259" i="46"/>
  <c r="W261" i="11"/>
  <c r="AP132" i="50"/>
  <c r="R195" i="57"/>
  <c r="R195" i="53"/>
  <c r="X195" i="53" s="1"/>
  <c r="AP133" i="50"/>
  <c r="AL133" i="50"/>
  <c r="Q125" i="32"/>
  <c r="P125" i="32" s="1"/>
  <c r="AQ21" i="11"/>
  <c r="BG8" i="22"/>
  <c r="BG12" i="22"/>
  <c r="G257" i="71"/>
  <c r="S259" i="11"/>
  <c r="L48" i="36"/>
  <c r="L42" i="36"/>
  <c r="L46" i="36"/>
  <c r="L44" i="36"/>
  <c r="W259" i="11"/>
  <c r="D30" i="36" s="1"/>
  <c r="T259" i="11"/>
  <c r="L40" i="36"/>
  <c r="AX179" i="69"/>
  <c r="AG196" i="57"/>
  <c r="L196" i="57"/>
  <c r="O136" i="50"/>
  <c r="AJ195" i="57"/>
  <c r="AP195" i="57"/>
  <c r="AH195" i="53"/>
  <c r="AT195" i="53"/>
  <c r="AG195" i="53"/>
  <c r="N196" i="57"/>
  <c r="I196" i="53"/>
  <c r="N196" i="53"/>
  <c r="AH179" i="69"/>
  <c r="AJ134" i="50"/>
  <c r="C134" i="50"/>
  <c r="AJ124" i="32"/>
  <c r="C124" i="32"/>
  <c r="AD195" i="57"/>
  <c r="AD195" i="53"/>
  <c r="S135" i="50"/>
  <c r="V134" i="50"/>
  <c r="S125" i="32"/>
  <c r="V125" i="32" s="1"/>
  <c r="Q195" i="53"/>
  <c r="L196" i="53"/>
  <c r="G196" i="53"/>
  <c r="H196" i="53"/>
  <c r="F196" i="53"/>
  <c r="D196" i="53"/>
  <c r="K196" i="53"/>
  <c r="E196" i="53"/>
  <c r="M196" i="53"/>
  <c r="P196" i="53"/>
  <c r="J196" i="53"/>
  <c r="AK195" i="52" a="1"/>
  <c r="AK195" i="52" s="1"/>
  <c r="B197" i="53" s="1"/>
  <c r="O197" i="53" s="1"/>
  <c r="C196" i="53"/>
  <c r="A126" i="32"/>
  <c r="B126" i="32"/>
  <c r="R126" i="32" s="1"/>
  <c r="F136" i="50"/>
  <c r="N136" i="50"/>
  <c r="G136" i="50"/>
  <c r="J136" i="50"/>
  <c r="H136" i="50"/>
  <c r="I136" i="50"/>
  <c r="B136" i="50"/>
  <c r="R136" i="50" s="1"/>
  <c r="M136" i="50"/>
  <c r="A136" i="50"/>
  <c r="Q136" i="50" s="1"/>
  <c r="P136" i="50" s="1"/>
  <c r="K136" i="50"/>
  <c r="L136" i="50"/>
  <c r="G126" i="32"/>
  <c r="O126" i="32"/>
  <c r="H126" i="32"/>
  <c r="J126" i="32"/>
  <c r="L126" i="32"/>
  <c r="F126" i="32"/>
  <c r="AM126" i="32" s="1"/>
  <c r="I126" i="32"/>
  <c r="N126" i="32"/>
  <c r="M126" i="32"/>
  <c r="K126" i="32"/>
  <c r="Q195" i="57"/>
  <c r="T195" i="57" s="1"/>
  <c r="Z134" i="50"/>
  <c r="W134" i="50"/>
  <c r="X134" i="50" s="1"/>
  <c r="P196" i="57"/>
  <c r="K196" i="57"/>
  <c r="H196" i="57"/>
  <c r="F196" i="57"/>
  <c r="C196" i="57"/>
  <c r="M196" i="57" s="1"/>
  <c r="I196" i="57"/>
  <c r="J196" i="57"/>
  <c r="E196" i="57"/>
  <c r="G196" i="57"/>
  <c r="D196" i="57"/>
  <c r="AK195" i="55" a="1"/>
  <c r="AK195" i="55" s="1"/>
  <c r="B197" i="57" s="1"/>
  <c r="O197" i="57" s="1"/>
  <c r="W124" i="32"/>
  <c r="X124" i="32" s="1"/>
  <c r="Z124" i="32"/>
  <c r="AN181" i="67" a="1"/>
  <c r="AN181" i="67" s="1"/>
  <c r="B182" i="69"/>
  <c r="U179" i="69"/>
  <c r="Q179" i="69"/>
  <c r="AE179" i="69"/>
  <c r="R179" i="69"/>
  <c r="S179" i="69" s="1"/>
  <c r="Y179" i="69" s="1"/>
  <c r="AB179" i="69" s="1"/>
  <c r="AC179" i="69" s="1"/>
  <c r="AD179" i="69" s="1"/>
  <c r="D180" i="69"/>
  <c r="E180" i="69" s="1"/>
  <c r="F180" i="69" s="1"/>
  <c r="G180" i="69" s="1"/>
  <c r="H180" i="69" s="1"/>
  <c r="I180" i="69" s="1"/>
  <c r="J180" i="69" s="1"/>
  <c r="K180" i="69" s="1"/>
  <c r="M180" i="69" s="1"/>
  <c r="N180" i="69"/>
  <c r="AF180" i="69" s="1"/>
  <c r="C181" i="69"/>
  <c r="AL126" i="11" a="1"/>
  <c r="AL126" i="11" s="1"/>
  <c r="E127" i="32" s="1"/>
  <c r="I26" i="22"/>
  <c r="AL136" i="59" a="1"/>
  <c r="AL136" i="59" s="1"/>
  <c r="E137" i="50" s="1"/>
  <c r="AH11" i="11"/>
  <c r="I5" i="22"/>
  <c r="I45" i="22"/>
  <c r="AM26" i="59" a="1"/>
  <c r="AM26" i="59" s="1"/>
  <c r="I56" i="22"/>
  <c r="I23" i="22"/>
  <c r="AH20" i="11"/>
  <c r="AH258" i="11"/>
  <c r="AH24" i="11"/>
  <c r="AH31" i="11"/>
  <c r="I48"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87" i="22"/>
  <c r="L56" i="22"/>
  <c r="L32" i="22"/>
  <c r="L28" i="22"/>
  <c r="L59" i="22"/>
  <c r="L46" i="22"/>
  <c r="L42" i="22"/>
  <c r="L39" i="22"/>
  <c r="L35" i="22"/>
  <c r="L82" i="22"/>
  <c r="L31" i="22"/>
  <c r="J11" i="11"/>
  <c r="Q11" i="11" s="1"/>
  <c r="F28" i="22" s="1"/>
  <c r="D24" i="36" l="1"/>
  <c r="AG179" i="69"/>
  <c r="AO181" i="69"/>
  <c r="P181" i="69"/>
  <c r="L182" i="69"/>
  <c r="O182" i="69"/>
  <c r="F4" i="22"/>
  <c r="F9" i="22"/>
  <c r="T137" i="50"/>
  <c r="AK137" i="50"/>
  <c r="D27" i="36"/>
  <c r="F60" i="22"/>
  <c r="AF194" i="57"/>
  <c r="AB194" i="57"/>
  <c r="AB195" i="53"/>
  <c r="AA195" i="53"/>
  <c r="AF195" i="53"/>
  <c r="AE196" i="53"/>
  <c r="AC196" i="53"/>
  <c r="AK127" i="32"/>
  <c r="T127" i="32"/>
  <c r="AD125" i="32"/>
  <c r="X195" i="57"/>
  <c r="AA195" i="57" s="1"/>
  <c r="AE196" i="57"/>
  <c r="AC196" i="57"/>
  <c r="AM136" i="50"/>
  <c r="U136" i="50"/>
  <c r="AD135" i="50"/>
  <c r="AG135" i="50" s="1"/>
  <c r="AH135" i="50" s="1"/>
  <c r="AI135" i="50" s="1"/>
  <c r="U126" i="32"/>
  <c r="AG124" i="32"/>
  <c r="AH124" i="32" s="1"/>
  <c r="AL124" i="32"/>
  <c r="O5" i="71"/>
  <c r="P5" i="46"/>
  <c r="AI122" i="32"/>
  <c r="AN122" i="32" s="1"/>
  <c r="R196" i="57"/>
  <c r="R196" i="53"/>
  <c r="X196" i="53" s="1"/>
  <c r="AL134" i="50"/>
  <c r="Q126" i="32"/>
  <c r="P126" i="32" s="1"/>
  <c r="BG16" i="22"/>
  <c r="BG7" i="22"/>
  <c r="AI123" i="32"/>
  <c r="AN123" i="32" s="1"/>
  <c r="AX180" i="69"/>
  <c r="AG197" i="57"/>
  <c r="L197" i="57"/>
  <c r="O137" i="50"/>
  <c r="AJ196" i="57"/>
  <c r="AP196" i="57"/>
  <c r="AH196" i="53"/>
  <c r="AT196" i="53"/>
  <c r="AG196" i="53"/>
  <c r="N197" i="57"/>
  <c r="E197" i="53"/>
  <c r="N197" i="53"/>
  <c r="AH180" i="69"/>
  <c r="AJ135" i="50"/>
  <c r="C135" i="50"/>
  <c r="AJ125" i="32"/>
  <c r="C125" i="32"/>
  <c r="AD196" i="57"/>
  <c r="AD196" i="53"/>
  <c r="I12" i="32"/>
  <c r="Q196" i="53"/>
  <c r="S136" i="50"/>
  <c r="V135" i="50"/>
  <c r="S126" i="32"/>
  <c r="V126" i="32" s="1"/>
  <c r="P197" i="53"/>
  <c r="H197" i="53"/>
  <c r="C197" i="53"/>
  <c r="I197" i="53"/>
  <c r="F197" i="53"/>
  <c r="K197" i="53"/>
  <c r="M197" i="53"/>
  <c r="L197" i="53"/>
  <c r="D197" i="53"/>
  <c r="AK196" i="52" a="1"/>
  <c r="AK196" i="52" s="1"/>
  <c r="B198" i="53" s="1"/>
  <c r="O198" i="53" s="1"/>
  <c r="J197" i="53"/>
  <c r="G197" i="53"/>
  <c r="A127" i="32"/>
  <c r="B127" i="32"/>
  <c r="R127" i="32" s="1"/>
  <c r="J137" i="50"/>
  <c r="F137" i="50"/>
  <c r="M137" i="50"/>
  <c r="H137" i="50"/>
  <c r="K137" i="50"/>
  <c r="I137" i="50"/>
  <c r="G137" i="50"/>
  <c r="A137" i="50"/>
  <c r="Q137" i="50" s="1"/>
  <c r="P137" i="50" s="1"/>
  <c r="N137" i="50"/>
  <c r="L137" i="50"/>
  <c r="B137" i="50"/>
  <c r="R137" i="50" s="1"/>
  <c r="M127" i="32"/>
  <c r="F127" i="32"/>
  <c r="AM127" i="32" s="1"/>
  <c r="N127" i="32"/>
  <c r="H127" i="32"/>
  <c r="J127" i="32"/>
  <c r="G127" i="32"/>
  <c r="L127" i="32"/>
  <c r="O127" i="32"/>
  <c r="I127" i="32"/>
  <c r="K127" i="32"/>
  <c r="V11" i="11"/>
  <c r="V259" i="11" s="1"/>
  <c r="D28" i="36" s="1"/>
  <c r="U11" i="11"/>
  <c r="Z135" i="50"/>
  <c r="W135" i="50"/>
  <c r="X135" i="50" s="1"/>
  <c r="J197" i="57"/>
  <c r="E197" i="57"/>
  <c r="P197" i="57"/>
  <c r="K197" i="57"/>
  <c r="G197" i="57"/>
  <c r="C197" i="57"/>
  <c r="M197" i="57" s="1"/>
  <c r="I197" i="57"/>
  <c r="D197" i="57"/>
  <c r="F197" i="57"/>
  <c r="H197" i="57"/>
  <c r="Q196" i="57"/>
  <c r="T196" i="57" s="1"/>
  <c r="AK196" i="55" a="1"/>
  <c r="AK196" i="55" s="1"/>
  <c r="B198" i="57" s="1"/>
  <c r="O198" i="57" s="1"/>
  <c r="W125" i="32"/>
  <c r="X125" i="32" s="1"/>
  <c r="Z125" i="32"/>
  <c r="Q180" i="69"/>
  <c r="R180" i="69"/>
  <c r="S180" i="69" s="1"/>
  <c r="Y180" i="69" s="1"/>
  <c r="U180" i="69"/>
  <c r="AE180" i="69"/>
  <c r="N181" i="69"/>
  <c r="AF181" i="69" s="1"/>
  <c r="D181" i="69"/>
  <c r="E181" i="69" s="1"/>
  <c r="F181" i="69" s="1"/>
  <c r="G181" i="69" s="1"/>
  <c r="H181" i="69" s="1"/>
  <c r="I181" i="69" s="1"/>
  <c r="J181" i="69" s="1"/>
  <c r="K181" i="69" s="1"/>
  <c r="M181" i="69" s="1"/>
  <c r="C182" i="69"/>
  <c r="AN182" i="67" a="1"/>
  <c r="AN182" i="67" s="1"/>
  <c r="B183" i="69"/>
  <c r="AL127" i="11" a="1"/>
  <c r="AL127" i="11" s="1"/>
  <c r="E128" i="32" s="1"/>
  <c r="L55" i="22"/>
  <c r="L52" i="22"/>
  <c r="L53" i="22"/>
  <c r="L14" i="22"/>
  <c r="L44" i="22"/>
  <c r="L58" i="22"/>
  <c r="L38" i="22"/>
  <c r="L97" i="22"/>
  <c r="L79" i="22"/>
  <c r="L67" i="22"/>
  <c r="L98" i="22"/>
  <c r="L60" i="22"/>
  <c r="L72" i="22"/>
  <c r="L70" i="22"/>
  <c r="L40" i="22"/>
  <c r="L36" i="22"/>
  <c r="L73" i="22"/>
  <c r="L23" i="22"/>
  <c r="L54" i="22"/>
  <c r="L69" i="22"/>
  <c r="L81" i="22"/>
  <c r="L96" i="22"/>
  <c r="L24" i="22"/>
  <c r="L83" i="22"/>
  <c r="L85" i="22"/>
  <c r="L77" i="22"/>
  <c r="L50" i="22"/>
  <c r="L95" i="22"/>
  <c r="L37" i="22"/>
  <c r="L27" i="22"/>
  <c r="L88" i="22"/>
  <c r="L61" i="22"/>
  <c r="L86" i="22"/>
  <c r="L18" i="22"/>
  <c r="L47" i="22"/>
  <c r="L90" i="22"/>
  <c r="L49" i="22"/>
  <c r="L26" i="22"/>
  <c r="L71" i="22"/>
  <c r="L84" i="22"/>
  <c r="L45" i="22"/>
  <c r="L25" i="22"/>
  <c r="L93" i="22"/>
  <c r="L65" i="22"/>
  <c r="L80" i="22"/>
  <c r="L16" i="22"/>
  <c r="L30" i="22"/>
  <c r="L48" i="22"/>
  <c r="L63" i="22"/>
  <c r="L41" i="22"/>
  <c r="L20" i="22"/>
  <c r="L21" i="22"/>
  <c r="L29" i="22"/>
  <c r="L43" i="22"/>
  <c r="L68" i="22"/>
  <c r="L19" i="22"/>
  <c r="L33" i="22"/>
  <c r="L51" i="22"/>
  <c r="L66" i="22"/>
  <c r="L94" i="22"/>
  <c r="L15" i="22"/>
  <c r="AL137" i="59" a="1"/>
  <c r="AL137" i="59" s="1"/>
  <c r="E138" i="50" s="1"/>
  <c r="AM27" i="59" a="1"/>
  <c r="AM27" i="59" s="1"/>
  <c r="L10" i="22"/>
  <c r="L34" i="22"/>
  <c r="L9" i="22"/>
  <c r="L11" i="22"/>
  <c r="L22" i="22"/>
  <c r="L12" i="22"/>
  <c r="AD258" i="11"/>
  <c r="AD13" i="11"/>
  <c r="AD17" i="11"/>
  <c r="AD24" i="11"/>
  <c r="AD22" i="11"/>
  <c r="AD31" i="11"/>
  <c r="AD32" i="11"/>
  <c r="AD64" i="11"/>
  <c r="AD96" i="11"/>
  <c r="AD128" i="11"/>
  <c r="AD160" i="11"/>
  <c r="AD192" i="11"/>
  <c r="AD224" i="11"/>
  <c r="AD248" i="11"/>
  <c r="AD58" i="11"/>
  <c r="AD138" i="11"/>
  <c r="AD202" i="11"/>
  <c r="AD33" i="11"/>
  <c r="AD49" i="11"/>
  <c r="AD65" i="11"/>
  <c r="AD81" i="11"/>
  <c r="AD97" i="11"/>
  <c r="AD113" i="11"/>
  <c r="AD129" i="11"/>
  <c r="AD145" i="11"/>
  <c r="AD161" i="11"/>
  <c r="AD177" i="11"/>
  <c r="AD193" i="11"/>
  <c r="AD209" i="11"/>
  <c r="AD225" i="11"/>
  <c r="AD257" i="11"/>
  <c r="AD35" i="11"/>
  <c r="AD51" i="11"/>
  <c r="AD67" i="11"/>
  <c r="AD83" i="11"/>
  <c r="AD99" i="11"/>
  <c r="AD115" i="11"/>
  <c r="AD131" i="11"/>
  <c r="AD147" i="11"/>
  <c r="AD163" i="11"/>
  <c r="AD179" i="11"/>
  <c r="AD195" i="11"/>
  <c r="AD211" i="11"/>
  <c r="AD227" i="11"/>
  <c r="AD243" i="11"/>
  <c r="AD60" i="11"/>
  <c r="AD92" i="11"/>
  <c r="AD124" i="11"/>
  <c r="AD156" i="11"/>
  <c r="AD180" i="11"/>
  <c r="AD212" i="11"/>
  <c r="AD236" i="11"/>
  <c r="AD229" i="11"/>
  <c r="AD26" i="11"/>
  <c r="AD82" i="11"/>
  <c r="AD146" i="11"/>
  <c r="AD242" i="11"/>
  <c r="AD36" i="11"/>
  <c r="AD52" i="11"/>
  <c r="AD84" i="11"/>
  <c r="AD116" i="11"/>
  <c r="AD148" i="11"/>
  <c r="AD188" i="11"/>
  <c r="AD220" i="11"/>
  <c r="AD245" i="11"/>
  <c r="AD42" i="11"/>
  <c r="AD122" i="11"/>
  <c r="AD186" i="11"/>
  <c r="AD250" i="11"/>
  <c r="AD37" i="11"/>
  <c r="AD53" i="11"/>
  <c r="AD69" i="11"/>
  <c r="AD85" i="11"/>
  <c r="AD101" i="11"/>
  <c r="AD117" i="11"/>
  <c r="AD133" i="11"/>
  <c r="AD149" i="11"/>
  <c r="AD165" i="11"/>
  <c r="AD181" i="11"/>
  <c r="AD197" i="11"/>
  <c r="AD213" i="11"/>
  <c r="AD237" i="11"/>
  <c r="AD34" i="11"/>
  <c r="AD114" i="11"/>
  <c r="AD210" i="11"/>
  <c r="AD38" i="11"/>
  <c r="AD54" i="11"/>
  <c r="AD70" i="11"/>
  <c r="AD86" i="11"/>
  <c r="AD102" i="11"/>
  <c r="AD118" i="11"/>
  <c r="AD134" i="11"/>
  <c r="AD150" i="11"/>
  <c r="AD166" i="11"/>
  <c r="AD182" i="11"/>
  <c r="AD198" i="11"/>
  <c r="AD214" i="11"/>
  <c r="AD230" i="11"/>
  <c r="AD66" i="11"/>
  <c r="AD178" i="11"/>
  <c r="AD39" i="11"/>
  <c r="AD55" i="11"/>
  <c r="AD71" i="11"/>
  <c r="AD87" i="11"/>
  <c r="AD103" i="11"/>
  <c r="AD119" i="11"/>
  <c r="AD135" i="11"/>
  <c r="AD151" i="11"/>
  <c r="AD167" i="11"/>
  <c r="AD183" i="11"/>
  <c r="AD199" i="11"/>
  <c r="AD215" i="11"/>
  <c r="AD231" i="11"/>
  <c r="AD247" i="11"/>
  <c r="AD40" i="11"/>
  <c r="AD72" i="11"/>
  <c r="AD104" i="11"/>
  <c r="AD136" i="11"/>
  <c r="AD168" i="11"/>
  <c r="AD200" i="11"/>
  <c r="AD240" i="11"/>
  <c r="AD233" i="11"/>
  <c r="AD12" i="11"/>
  <c r="AD11" i="11"/>
  <c r="AD16" i="11"/>
  <c r="AD14" i="11"/>
  <c r="AD19" i="11"/>
  <c r="AD20" i="11"/>
  <c r="AD21" i="11"/>
  <c r="AD15" i="11"/>
  <c r="AD48" i="11"/>
  <c r="AD80" i="11"/>
  <c r="AD112" i="11"/>
  <c r="AD144" i="11"/>
  <c r="AD176" i="11"/>
  <c r="AD208" i="11"/>
  <c r="AD232" i="11"/>
  <c r="AD241" i="11"/>
  <c r="AD98" i="11"/>
  <c r="AD170" i="11"/>
  <c r="AD234" i="11"/>
  <c r="AD41" i="11"/>
  <c r="AD57" i="11"/>
  <c r="AD73" i="11"/>
  <c r="AD89" i="11"/>
  <c r="AD105" i="11"/>
  <c r="AD121" i="11"/>
  <c r="AD137" i="11"/>
  <c r="AD153" i="11"/>
  <c r="AD169" i="11"/>
  <c r="AD185" i="11"/>
  <c r="AD201" i="11"/>
  <c r="AD217" i="11"/>
  <c r="AD249" i="11"/>
  <c r="H124" i="22"/>
  <c r="AD27" i="11"/>
  <c r="AD43" i="11"/>
  <c r="AD59" i="11"/>
  <c r="AD75" i="11"/>
  <c r="AD91" i="11"/>
  <c r="AD107" i="11"/>
  <c r="AD123" i="11"/>
  <c r="AD139" i="11"/>
  <c r="AD155" i="11"/>
  <c r="AD171" i="11"/>
  <c r="AD187" i="11"/>
  <c r="AD203" i="11"/>
  <c r="AD219" i="11"/>
  <c r="AD235" i="11"/>
  <c r="AD251" i="11"/>
  <c r="AD76" i="11"/>
  <c r="AD108" i="11"/>
  <c r="AD140" i="11"/>
  <c r="AD164" i="11"/>
  <c r="AD196" i="11"/>
  <c r="AD228" i="11"/>
  <c r="AD252" i="11"/>
  <c r="AD246" i="11"/>
  <c r="H42" i="22"/>
  <c r="AD50" i="11"/>
  <c r="AD106" i="11"/>
  <c r="AD194" i="11"/>
  <c r="AD28" i="11"/>
  <c r="AD44" i="11"/>
  <c r="AD68" i="11"/>
  <c r="AD100" i="11"/>
  <c r="AD132" i="11"/>
  <c r="AD172" i="11"/>
  <c r="AD204" i="11"/>
  <c r="AD244" i="11"/>
  <c r="AD238" i="11"/>
  <c r="AD90" i="11"/>
  <c r="AD154" i="11"/>
  <c r="AD218" i="11"/>
  <c r="AD29" i="11"/>
  <c r="AD45" i="11"/>
  <c r="AD61" i="11"/>
  <c r="AD77" i="11"/>
  <c r="AD109" i="11"/>
  <c r="AD125" i="11"/>
  <c r="AD141" i="11"/>
  <c r="AD157" i="11"/>
  <c r="AD173" i="11"/>
  <c r="AD189" i="11"/>
  <c r="AD205" i="11"/>
  <c r="AD221" i="11"/>
  <c r="AD253" i="11"/>
  <c r="AD74" i="11"/>
  <c r="AD162" i="11"/>
  <c r="H101" i="22"/>
  <c r="AD30" i="11"/>
  <c r="AD46" i="11"/>
  <c r="AD62" i="11"/>
  <c r="AD78" i="11"/>
  <c r="AD94" i="11"/>
  <c r="AD110" i="11"/>
  <c r="AD126" i="11"/>
  <c r="AD142" i="11"/>
  <c r="AD158" i="11"/>
  <c r="AD174" i="11"/>
  <c r="AD190" i="11"/>
  <c r="AD206" i="11"/>
  <c r="AD222" i="11"/>
  <c r="AD254" i="11"/>
  <c r="AD130" i="11"/>
  <c r="AD226" i="11"/>
  <c r="AD47" i="11"/>
  <c r="AD63" i="11"/>
  <c r="AD79" i="11"/>
  <c r="AD95" i="11"/>
  <c r="AD111" i="11"/>
  <c r="AD127" i="11"/>
  <c r="AD143" i="11"/>
  <c r="AD159" i="11"/>
  <c r="AD175" i="11"/>
  <c r="AD191" i="11"/>
  <c r="AD207" i="11"/>
  <c r="AD223" i="11"/>
  <c r="AD239" i="11"/>
  <c r="AD255" i="11"/>
  <c r="AD56" i="11"/>
  <c r="AD88" i="11"/>
  <c r="AD120" i="11"/>
  <c r="AD152" i="11"/>
  <c r="AD184" i="11"/>
  <c r="AD216" i="11"/>
  <c r="AD256" i="11"/>
  <c r="AD25" i="11"/>
  <c r="AD23" i="11"/>
  <c r="AM11" i="11" a="1"/>
  <c r="AM11" i="11" s="1"/>
  <c r="AD18" i="11"/>
  <c r="L13" i="22"/>
  <c r="T12" i="32" l="1"/>
  <c r="U12" i="32" s="1"/>
  <c r="AD12" i="32" s="1"/>
  <c r="AG12" i="32" s="1"/>
  <c r="AB180" i="69"/>
  <c r="AC180" i="69" s="1"/>
  <c r="AD180" i="69" s="1"/>
  <c r="AG180" i="69"/>
  <c r="L183" i="69"/>
  <c r="O183" i="69"/>
  <c r="AO182" i="69"/>
  <c r="P182" i="69"/>
  <c r="X11" i="11"/>
  <c r="T138" i="50"/>
  <c r="AK138" i="50"/>
  <c r="AB196" i="53"/>
  <c r="AA196" i="53"/>
  <c r="AE197" i="53"/>
  <c r="AC197" i="53"/>
  <c r="AF196" i="53"/>
  <c r="AK128" i="32"/>
  <c r="T128" i="32"/>
  <c r="AD126" i="32"/>
  <c r="X196" i="57"/>
  <c r="AB195" i="57"/>
  <c r="AF195" i="57"/>
  <c r="AE197" i="57"/>
  <c r="AC197" i="57"/>
  <c r="AM137" i="50"/>
  <c r="U137" i="50"/>
  <c r="AD136" i="50"/>
  <c r="AG136" i="50" s="1"/>
  <c r="AH136" i="50" s="1"/>
  <c r="AI136" i="50" s="1"/>
  <c r="U127" i="32"/>
  <c r="AG125" i="32"/>
  <c r="AH125" i="32" s="1"/>
  <c r="AL125" i="32"/>
  <c r="H128" i="22"/>
  <c r="H106" i="22"/>
  <c r="AP134" i="50"/>
  <c r="R197" i="57"/>
  <c r="R197" i="53"/>
  <c r="X197" i="53" s="1"/>
  <c r="AL135" i="50"/>
  <c r="Q127" i="32"/>
  <c r="P127" i="32" s="1"/>
  <c r="U259" i="11"/>
  <c r="D25" i="36" s="1"/>
  <c r="F18" i="22"/>
  <c r="F26" i="22"/>
  <c r="AI124" i="32"/>
  <c r="AN124" i="32" s="1"/>
  <c r="H112" i="22"/>
  <c r="AX181" i="69"/>
  <c r="AG198" i="57"/>
  <c r="L198" i="57"/>
  <c r="O138" i="50"/>
  <c r="AJ197" i="57"/>
  <c r="AP197" i="57"/>
  <c r="AG197" i="53"/>
  <c r="AH197" i="53"/>
  <c r="AT197" i="53"/>
  <c r="N198" i="57"/>
  <c r="G198" i="53"/>
  <c r="N198" i="53"/>
  <c r="AH181" i="69"/>
  <c r="AJ136" i="50"/>
  <c r="C136" i="50"/>
  <c r="AJ126" i="32"/>
  <c r="C126" i="32"/>
  <c r="AD197" i="57"/>
  <c r="AD197" i="53"/>
  <c r="S137" i="50"/>
  <c r="V136" i="50"/>
  <c r="S127" i="32"/>
  <c r="V127" i="32" s="1"/>
  <c r="Q197" i="53"/>
  <c r="F198" i="53"/>
  <c r="H198" i="53"/>
  <c r="AK197" i="52" a="1"/>
  <c r="AK197" i="52" s="1"/>
  <c r="B199" i="53" s="1"/>
  <c r="O199" i="53" s="1"/>
  <c r="K198" i="53"/>
  <c r="J198" i="53"/>
  <c r="D198" i="53"/>
  <c r="L198" i="53"/>
  <c r="I198" i="53"/>
  <c r="C198" i="53"/>
  <c r="P198" i="53"/>
  <c r="E198" i="53"/>
  <c r="M198" i="53"/>
  <c r="A128" i="32"/>
  <c r="B128" i="32"/>
  <c r="R128" i="32" s="1"/>
  <c r="H138" i="50"/>
  <c r="I138" i="50"/>
  <c r="M138" i="50"/>
  <c r="F138" i="50"/>
  <c r="G138" i="50"/>
  <c r="N138" i="50"/>
  <c r="J138" i="50"/>
  <c r="K138" i="50"/>
  <c r="B138" i="50"/>
  <c r="R138" i="50" s="1"/>
  <c r="A138" i="50"/>
  <c r="Q138" i="50" s="1"/>
  <c r="P138" i="50" s="1"/>
  <c r="L138" i="50"/>
  <c r="K128" i="32"/>
  <c r="L128" i="32"/>
  <c r="F128" i="32"/>
  <c r="AM128" i="32" s="1"/>
  <c r="N128" i="32"/>
  <c r="H128" i="32"/>
  <c r="M128" i="32"/>
  <c r="J128" i="32"/>
  <c r="I128" i="32"/>
  <c r="O128" i="32"/>
  <c r="G128" i="32"/>
  <c r="D198" i="57"/>
  <c r="J198" i="57"/>
  <c r="G198" i="57"/>
  <c r="P198" i="57"/>
  <c r="K198" i="57"/>
  <c r="F198" i="57"/>
  <c r="H198" i="57"/>
  <c r="I198" i="57"/>
  <c r="E198" i="57"/>
  <c r="C198" i="57"/>
  <c r="M198" i="57" s="1"/>
  <c r="Q197" i="57"/>
  <c r="T197" i="57" s="1"/>
  <c r="Z136" i="50"/>
  <c r="W136" i="50"/>
  <c r="X136" i="50" s="1"/>
  <c r="H130" i="22"/>
  <c r="H113" i="22"/>
  <c r="AK197" i="55" a="1"/>
  <c r="AK197" i="55" s="1"/>
  <c r="B199" i="57" s="1"/>
  <c r="O199" i="57" s="1"/>
  <c r="W126" i="32"/>
  <c r="X126" i="32" s="1"/>
  <c r="Z126" i="32"/>
  <c r="N182" i="69"/>
  <c r="AF182" i="69" s="1"/>
  <c r="D182" i="69"/>
  <c r="E182" i="69" s="1"/>
  <c r="F182" i="69" s="1"/>
  <c r="G182" i="69" s="1"/>
  <c r="H182" i="69" s="1"/>
  <c r="I182" i="69" s="1"/>
  <c r="J182" i="69" s="1"/>
  <c r="K182" i="69" s="1"/>
  <c r="M182" i="69" s="1"/>
  <c r="R181" i="69"/>
  <c r="S181" i="69" s="1"/>
  <c r="Y181" i="69" s="1"/>
  <c r="Q181" i="69"/>
  <c r="U181" i="69"/>
  <c r="AE181" i="69"/>
  <c r="C183" i="69"/>
  <c r="AN183" i="67" a="1"/>
  <c r="AN183" i="67" s="1"/>
  <c r="B184" i="69"/>
  <c r="L91" i="22"/>
  <c r="H100" i="22"/>
  <c r="L124" i="22"/>
  <c r="AL128" i="11" a="1"/>
  <c r="AL128" i="11" s="1"/>
  <c r="E129" i="32" s="1"/>
  <c r="H77" i="22"/>
  <c r="H67" i="22"/>
  <c r="H95" i="22"/>
  <c r="H98" i="22"/>
  <c r="H96" i="22"/>
  <c r="H38" i="22"/>
  <c r="H54" i="22"/>
  <c r="H65" i="22"/>
  <c r="H97" i="22"/>
  <c r="H93" i="22"/>
  <c r="H85" i="22"/>
  <c r="J59" i="22"/>
  <c r="AX152" i="22" s="1"/>
  <c r="H91" i="22"/>
  <c r="H90" i="22"/>
  <c r="H75" i="22"/>
  <c r="H70" i="22"/>
  <c r="H31" i="22"/>
  <c r="H43" i="22"/>
  <c r="H69" i="22"/>
  <c r="H66" i="22"/>
  <c r="H35" i="22"/>
  <c r="H30" i="22"/>
  <c r="H29" i="22"/>
  <c r="H22" i="22"/>
  <c r="H86" i="22"/>
  <c r="H83" i="22"/>
  <c r="H39" i="22"/>
  <c r="L74" i="22"/>
  <c r="L7" i="22"/>
  <c r="L8" i="22"/>
  <c r="L5" i="22"/>
  <c r="H15" i="22"/>
  <c r="H10" i="22"/>
  <c r="H73" i="22"/>
  <c r="H78" i="22"/>
  <c r="H88" i="22"/>
  <c r="H18" i="22"/>
  <c r="H9" i="22"/>
  <c r="H62" i="22"/>
  <c r="H28" i="22"/>
  <c r="H99" i="22"/>
  <c r="H41" i="22"/>
  <c r="H32" i="22"/>
  <c r="H47" i="22"/>
  <c r="H34" i="22"/>
  <c r="H76" i="22"/>
  <c r="H87" i="22"/>
  <c r="H12" i="22"/>
  <c r="H63" i="22"/>
  <c r="H61" i="22"/>
  <c r="H60" i="22"/>
  <c r="H44" i="22"/>
  <c r="H72" i="22"/>
  <c r="H27" i="22"/>
  <c r="AL138" i="59" a="1"/>
  <c r="AL138" i="59" s="1"/>
  <c r="E139" i="50" s="1"/>
  <c r="H6" i="22"/>
  <c r="H59" i="22"/>
  <c r="H21" i="22"/>
  <c r="H53" i="22"/>
  <c r="H11" i="22"/>
  <c r="H57" i="22"/>
  <c r="H13" i="22"/>
  <c r="H37" i="22"/>
  <c r="H14" i="22"/>
  <c r="H79" i="22"/>
  <c r="H16" i="22"/>
  <c r="H36" i="22"/>
  <c r="H81" i="22"/>
  <c r="H46" i="22"/>
  <c r="H23" i="22"/>
  <c r="H45" i="22"/>
  <c r="H82" i="22"/>
  <c r="H94" i="22"/>
  <c r="L6" i="22"/>
  <c r="L4" i="22"/>
  <c r="H5" i="22"/>
  <c r="H17" i="22"/>
  <c r="H55" i="22"/>
  <c r="AM28" i="59" a="1"/>
  <c r="AM28" i="59" s="1"/>
  <c r="H20" i="22"/>
  <c r="H89" i="22"/>
  <c r="H7" i="22"/>
  <c r="L76" i="22"/>
  <c r="L89" i="22"/>
  <c r="L62" i="22"/>
  <c r="L78" i="22"/>
  <c r="L75" i="22"/>
  <c r="H49" i="22"/>
  <c r="H33" i="22"/>
  <c r="H52" i="22"/>
  <c r="H24" i="22"/>
  <c r="H19" i="22"/>
  <c r="H26" i="22"/>
  <c r="H25" i="22"/>
  <c r="H84" i="22"/>
  <c r="H92" i="22"/>
  <c r="H68" i="22"/>
  <c r="H74" i="22"/>
  <c r="L92" i="22"/>
  <c r="L99" i="22"/>
  <c r="H58" i="22"/>
  <c r="H51" i="22"/>
  <c r="H40" i="22"/>
  <c r="H56" i="22"/>
  <c r="L64" i="22"/>
  <c r="H64" i="22"/>
  <c r="H71" i="22"/>
  <c r="L57" i="22"/>
  <c r="H50" i="22"/>
  <c r="H48" i="22"/>
  <c r="H8" i="22"/>
  <c r="AM12" i="11" a="1"/>
  <c r="AM12" i="11" s="1"/>
  <c r="AM13" i="11" s="1" a="1"/>
  <c r="AM13" i="11" s="1"/>
  <c r="H4" i="22"/>
  <c r="AB196" i="57" l="1"/>
  <c r="AA196" i="57"/>
  <c r="AH12" i="32"/>
  <c r="AK12" i="32"/>
  <c r="AL12" i="32" s="1"/>
  <c r="AB181" i="69"/>
  <c r="AC181" i="69" s="1"/>
  <c r="AD181" i="69" s="1"/>
  <c r="AG181" i="69"/>
  <c r="L184" i="69"/>
  <c r="O184" i="69"/>
  <c r="AO183" i="69"/>
  <c r="P183" i="69"/>
  <c r="T139" i="50"/>
  <c r="AK139" i="50"/>
  <c r="X197" i="57"/>
  <c r="AB197" i="53"/>
  <c r="AA197" i="53"/>
  <c r="AF197" i="53"/>
  <c r="AE198" i="53"/>
  <c r="AC198" i="53"/>
  <c r="AK129" i="32"/>
  <c r="T129" i="32"/>
  <c r="AD127" i="32"/>
  <c r="AF196" i="57"/>
  <c r="AE198" i="57"/>
  <c r="AC198" i="57"/>
  <c r="AM138" i="50"/>
  <c r="U138" i="50"/>
  <c r="AD137" i="50"/>
  <c r="AG137" i="50" s="1"/>
  <c r="AH137" i="50" s="1"/>
  <c r="AI137" i="50" s="1"/>
  <c r="U128" i="32"/>
  <c r="AG126" i="32"/>
  <c r="AH126" i="32" s="1"/>
  <c r="AL126" i="32"/>
  <c r="F71" i="22"/>
  <c r="F15" i="22"/>
  <c r="F77" i="22"/>
  <c r="F74" i="22"/>
  <c r="F61" i="22"/>
  <c r="F65" i="22"/>
  <c r="F64" i="22"/>
  <c r="F69" i="22"/>
  <c r="F87" i="22"/>
  <c r="F106" i="22"/>
  <c r="F14" i="22"/>
  <c r="F23" i="22"/>
  <c r="AI125" i="32"/>
  <c r="AN125" i="32" s="1"/>
  <c r="AP135" i="50"/>
  <c r="F128" i="22"/>
  <c r="F73" i="22"/>
  <c r="R198" i="57"/>
  <c r="R198" i="53"/>
  <c r="X198" i="53" s="1"/>
  <c r="F20" i="22"/>
  <c r="F93" i="22"/>
  <c r="AL136" i="50"/>
  <c r="Q128" i="32"/>
  <c r="P128" i="32" s="1"/>
  <c r="F34" i="22"/>
  <c r="F19" i="22"/>
  <c r="N12" i="32"/>
  <c r="J65" i="22"/>
  <c r="AX126" i="22" s="1"/>
  <c r="J83" i="22"/>
  <c r="AX16" i="22" s="1"/>
  <c r="J112" i="22"/>
  <c r="AX66" i="22" s="1"/>
  <c r="AX182" i="69"/>
  <c r="AG199" i="57"/>
  <c r="L199" i="57"/>
  <c r="O139" i="50"/>
  <c r="AJ198" i="57"/>
  <c r="AP198" i="57"/>
  <c r="AP12" i="50"/>
  <c r="AH198" i="53"/>
  <c r="AT198" i="53"/>
  <c r="AG198" i="53"/>
  <c r="N199" i="57"/>
  <c r="N199" i="53"/>
  <c r="AH182" i="69"/>
  <c r="AJ137" i="50"/>
  <c r="C137" i="50"/>
  <c r="AJ127" i="32"/>
  <c r="C127" i="32"/>
  <c r="AD198" i="57"/>
  <c r="Q198" i="53"/>
  <c r="AD198" i="53"/>
  <c r="S138" i="50"/>
  <c r="V137" i="50"/>
  <c r="S128" i="32"/>
  <c r="V128" i="32" s="1"/>
  <c r="AK198" i="52" a="1"/>
  <c r="AK198" i="52" s="1"/>
  <c r="B200" i="53" s="1"/>
  <c r="O200" i="53" s="1"/>
  <c r="G199" i="53"/>
  <c r="D199" i="53"/>
  <c r="J199" i="53"/>
  <c r="I199" i="53"/>
  <c r="C199" i="53"/>
  <c r="F199" i="53"/>
  <c r="L199" i="53"/>
  <c r="H199" i="53"/>
  <c r="M199" i="53"/>
  <c r="E199" i="53"/>
  <c r="P199" i="53"/>
  <c r="K199" i="53"/>
  <c r="A129" i="32"/>
  <c r="B129" i="32"/>
  <c r="R129" i="32" s="1"/>
  <c r="I139" i="50"/>
  <c r="N139" i="50"/>
  <c r="H139" i="50"/>
  <c r="A139" i="50"/>
  <c r="Q139" i="50" s="1"/>
  <c r="P139" i="50" s="1"/>
  <c r="L139" i="50"/>
  <c r="B139" i="50"/>
  <c r="R139" i="50" s="1"/>
  <c r="G139" i="50"/>
  <c r="F139" i="50"/>
  <c r="K139" i="50"/>
  <c r="M139" i="50"/>
  <c r="J139" i="50"/>
  <c r="I129" i="32"/>
  <c r="J129" i="32"/>
  <c r="L129" i="32"/>
  <c r="F129" i="32"/>
  <c r="AM129" i="32" s="1"/>
  <c r="N129" i="32"/>
  <c r="H129" i="32"/>
  <c r="K129" i="32"/>
  <c r="O129" i="32"/>
  <c r="G129" i="32"/>
  <c r="M129" i="32"/>
  <c r="Q198" i="57"/>
  <c r="T198" i="57" s="1"/>
  <c r="I199" i="57"/>
  <c r="F199" i="57"/>
  <c r="D199" i="57"/>
  <c r="H199" i="57"/>
  <c r="E199" i="57"/>
  <c r="J199" i="57"/>
  <c r="P199" i="57"/>
  <c r="G199" i="57"/>
  <c r="K199" i="57"/>
  <c r="C199" i="57"/>
  <c r="M199" i="57" s="1"/>
  <c r="W137" i="50"/>
  <c r="X137" i="50" s="1"/>
  <c r="Z137" i="50"/>
  <c r="AK198" i="55" a="1"/>
  <c r="AK198" i="55" s="1"/>
  <c r="B200" i="57" s="1"/>
  <c r="O200" i="57" s="1"/>
  <c r="W127" i="32"/>
  <c r="X127" i="32" s="1"/>
  <c r="Z127" i="32"/>
  <c r="AN184" i="67" a="1"/>
  <c r="AN184" i="67" s="1"/>
  <c r="B185" i="69"/>
  <c r="D183" i="69"/>
  <c r="E183" i="69" s="1"/>
  <c r="F183" i="69" s="1"/>
  <c r="G183" i="69" s="1"/>
  <c r="H183" i="69" s="1"/>
  <c r="I183" i="69" s="1"/>
  <c r="J183" i="69" s="1"/>
  <c r="K183" i="69" s="1"/>
  <c r="M183" i="69" s="1"/>
  <c r="N183" i="69"/>
  <c r="AF183" i="69" s="1"/>
  <c r="C184" i="69"/>
  <c r="R182" i="69"/>
  <c r="S182" i="69" s="1"/>
  <c r="Y182" i="69" s="1"/>
  <c r="AB182" i="69" s="1"/>
  <c r="AC182" i="69" s="1"/>
  <c r="AD182" i="69" s="1"/>
  <c r="U182" i="69"/>
  <c r="Q182" i="69"/>
  <c r="AE182" i="69"/>
  <c r="J101" i="22"/>
  <c r="AX60" i="22" s="1"/>
  <c r="D69" i="36"/>
  <c r="J100" i="22"/>
  <c r="AX59" i="22" s="1"/>
  <c r="D67" i="36"/>
  <c r="AL129" i="11" a="1"/>
  <c r="AL129" i="11" s="1"/>
  <c r="E130" i="32" s="1"/>
  <c r="J72" i="22"/>
  <c r="AX128" i="22" s="1"/>
  <c r="J44" i="22"/>
  <c r="AX41" i="22" s="1"/>
  <c r="J41" i="22"/>
  <c r="AX38" i="22" s="1"/>
  <c r="J69" i="22"/>
  <c r="AX94" i="22" s="1"/>
  <c r="J99" i="22"/>
  <c r="AX19" i="22" s="1"/>
  <c r="J66" i="22"/>
  <c r="AX123" i="22" s="1"/>
  <c r="J85" i="22"/>
  <c r="AX50" i="22" s="1"/>
  <c r="J62" i="22"/>
  <c r="AX153" i="22" s="1"/>
  <c r="J28" i="22"/>
  <c r="AX85" i="22" s="1"/>
  <c r="J18" i="22"/>
  <c r="AX5" i="22" s="1"/>
  <c r="J27" i="22"/>
  <c r="AX84" i="22" s="1"/>
  <c r="J47" i="22"/>
  <c r="AX90" i="22" s="1"/>
  <c r="J76" i="22"/>
  <c r="AX155" i="22" s="1"/>
  <c r="J63" i="22"/>
  <c r="AX93" i="22" s="1"/>
  <c r="J12" i="22"/>
  <c r="AX113" i="22" s="1"/>
  <c r="J21" i="22"/>
  <c r="AX81" i="22" s="1"/>
  <c r="J78" i="22"/>
  <c r="AX133" i="22" s="1"/>
  <c r="J60" i="22"/>
  <c r="AX121" i="22" s="1"/>
  <c r="J88" i="22"/>
  <c r="AX52" i="22" s="1"/>
  <c r="J91" i="22"/>
  <c r="AX134" i="22" s="1"/>
  <c r="J93" i="22"/>
  <c r="AX96" i="22" s="1"/>
  <c r="J95" i="22"/>
  <c r="AX55" i="22" s="1"/>
  <c r="J90" i="22"/>
  <c r="AX54" i="22" s="1"/>
  <c r="J96" i="22"/>
  <c r="AX56" i="22" s="1"/>
  <c r="J54" i="22"/>
  <c r="AX47" i="22" s="1"/>
  <c r="J67" i="22"/>
  <c r="AX124" i="22" s="1"/>
  <c r="J75" i="22"/>
  <c r="AX131" i="22" s="1"/>
  <c r="J70" i="22"/>
  <c r="AX127" i="22" s="1"/>
  <c r="J42" i="22"/>
  <c r="AX39" i="22" s="1"/>
  <c r="J38" i="22"/>
  <c r="AX37" i="22" s="1"/>
  <c r="J35" i="22"/>
  <c r="AX118" i="22" s="1"/>
  <c r="J30" i="22"/>
  <c r="AX87" i="22" s="1"/>
  <c r="J29" i="22"/>
  <c r="AX86" i="22" s="1"/>
  <c r="J22" i="22"/>
  <c r="AX82" i="22" s="1"/>
  <c r="AL139" i="59" a="1"/>
  <c r="AL139" i="59" s="1"/>
  <c r="E140" i="50" s="1"/>
  <c r="J98" i="22"/>
  <c r="AX58" i="22" s="1"/>
  <c r="J6" i="22"/>
  <c r="AX79" i="22" s="1"/>
  <c r="J11" i="22"/>
  <c r="AX112" i="22" s="1"/>
  <c r="J9" i="22"/>
  <c r="AX115" i="22" s="1"/>
  <c r="J79" i="22"/>
  <c r="AX12" i="22" s="1"/>
  <c r="J37" i="22"/>
  <c r="AX145" i="22" s="1"/>
  <c r="J36" i="22"/>
  <c r="AX36" i="22" s="1"/>
  <c r="J43" i="22"/>
  <c r="AX40" i="22" s="1"/>
  <c r="J46" i="22"/>
  <c r="AX43" i="22" s="1"/>
  <c r="J45" i="22"/>
  <c r="AX42" i="22" s="1"/>
  <c r="J94" i="22"/>
  <c r="AX97" i="22" s="1"/>
  <c r="J82" i="22"/>
  <c r="AX15" i="22" s="1"/>
  <c r="J55" i="22"/>
  <c r="AX11" i="22" s="1"/>
  <c r="AM29" i="59" a="1"/>
  <c r="AM29" i="59" s="1"/>
  <c r="J81" i="22"/>
  <c r="AX14" i="22" s="1"/>
  <c r="J53" i="22"/>
  <c r="AX120" i="22" s="1"/>
  <c r="J23" i="22"/>
  <c r="AX33" i="22" s="1"/>
  <c r="J7" i="22"/>
  <c r="AX80" i="22" s="1"/>
  <c r="J89" i="22"/>
  <c r="AX53" i="22" s="1"/>
  <c r="J33" i="22"/>
  <c r="AX89" i="22" s="1"/>
  <c r="J16" i="22"/>
  <c r="AX31" i="22" s="1"/>
  <c r="J19" i="22"/>
  <c r="AX6" i="22" s="1"/>
  <c r="J24" i="22"/>
  <c r="AX83" i="22" s="1"/>
  <c r="J26" i="22"/>
  <c r="AX7" i="22" s="1"/>
  <c r="J58" i="22"/>
  <c r="AX122" i="22" s="1"/>
  <c r="J74" i="22"/>
  <c r="AX130" i="22" s="1"/>
  <c r="J40" i="22"/>
  <c r="AX119" i="22" s="1"/>
  <c r="J56" i="22"/>
  <c r="AX48" i="22" s="1"/>
  <c r="J92" i="22"/>
  <c r="AX95" i="22" s="1"/>
  <c r="J71" i="22"/>
  <c r="AX49" i="22" s="1"/>
  <c r="J48" i="22"/>
  <c r="AX91" i="22" s="1"/>
  <c r="J8" i="22"/>
  <c r="AX110" i="22" s="1"/>
  <c r="J84" i="22"/>
  <c r="AX17" i="22" s="1"/>
  <c r="J68" i="22"/>
  <c r="AX125" i="22" s="1"/>
  <c r="J51" i="22"/>
  <c r="AX45" i="22" s="1"/>
  <c r="J57" i="22"/>
  <c r="AX92" i="22" s="1"/>
  <c r="J64" i="22"/>
  <c r="AX154" i="22" s="1"/>
  <c r="J49" i="22"/>
  <c r="AX44" i="22" s="1"/>
  <c r="AM14" i="11" a="1"/>
  <c r="AM14" i="11" s="1"/>
  <c r="AB197" i="57" l="1"/>
  <c r="AA197" i="57"/>
  <c r="AI12" i="32"/>
  <c r="AG182" i="69"/>
  <c r="AO184" i="69"/>
  <c r="P184" i="69"/>
  <c r="L185" i="69"/>
  <c r="O185" i="69"/>
  <c r="X198" i="57"/>
  <c r="T140" i="50"/>
  <c r="AK140" i="50"/>
  <c r="AF197" i="57"/>
  <c r="AB198" i="53"/>
  <c r="AA198" i="53"/>
  <c r="AE199" i="53"/>
  <c r="AC199" i="53"/>
  <c r="AF198" i="53"/>
  <c r="AK130" i="32"/>
  <c r="T130" i="32"/>
  <c r="AD128" i="32"/>
  <c r="AE199" i="57"/>
  <c r="AC199" i="57"/>
  <c r="AD138" i="50"/>
  <c r="AG138" i="50" s="1"/>
  <c r="AH138" i="50" s="1"/>
  <c r="AI138" i="50" s="1"/>
  <c r="AM139" i="50"/>
  <c r="U139" i="50"/>
  <c r="U129" i="32"/>
  <c r="AG127" i="32"/>
  <c r="AH127" i="32" s="1"/>
  <c r="AL127" i="32"/>
  <c r="J15" i="22"/>
  <c r="AX117" i="22" s="1"/>
  <c r="J73" i="22"/>
  <c r="AX129" i="22" s="1"/>
  <c r="J77" i="22"/>
  <c r="AX132" i="22" s="1"/>
  <c r="J61" i="22"/>
  <c r="AX146" i="22" s="1"/>
  <c r="J87" i="22"/>
  <c r="AX51" i="22" s="1"/>
  <c r="J106" i="22"/>
  <c r="AX22" i="22" s="1"/>
  <c r="AP136" i="50"/>
  <c r="R199" i="57"/>
  <c r="R199" i="53"/>
  <c r="X199" i="53" s="1"/>
  <c r="J34" i="22"/>
  <c r="AX8" i="22" s="1"/>
  <c r="J128" i="22"/>
  <c r="AX143" i="22" s="1"/>
  <c r="AL137" i="50"/>
  <c r="Q129" i="32"/>
  <c r="P129" i="32" s="1"/>
  <c r="AQ11" i="11"/>
  <c r="AI126" i="32"/>
  <c r="AN126" i="32" s="1"/>
  <c r="AX183" i="69"/>
  <c r="AG200" i="57"/>
  <c r="L200" i="57"/>
  <c r="O140" i="50"/>
  <c r="AJ199" i="57"/>
  <c r="AP199" i="57"/>
  <c r="AH199" i="53"/>
  <c r="AT199" i="53"/>
  <c r="AG199" i="53"/>
  <c r="N200" i="57"/>
  <c r="N200" i="53"/>
  <c r="AH183" i="69"/>
  <c r="AJ138" i="50"/>
  <c r="C138" i="50"/>
  <c r="AJ128" i="32"/>
  <c r="C128" i="32"/>
  <c r="AD199" i="57"/>
  <c r="AD199" i="53"/>
  <c r="S139" i="50"/>
  <c r="V138" i="50"/>
  <c r="S129" i="32"/>
  <c r="Q199" i="53"/>
  <c r="AK199" i="52" a="1"/>
  <c r="AK199" i="52" s="1"/>
  <c r="B201" i="53" s="1"/>
  <c r="O201" i="53" s="1"/>
  <c r="E200" i="53"/>
  <c r="C200" i="53"/>
  <c r="D200" i="53"/>
  <c r="G200" i="53"/>
  <c r="M200" i="53"/>
  <c r="H200" i="53"/>
  <c r="L200" i="53"/>
  <c r="J200" i="53"/>
  <c r="P200" i="53"/>
  <c r="K200" i="53"/>
  <c r="I200" i="53"/>
  <c r="F200" i="53"/>
  <c r="A130" i="32"/>
  <c r="B130" i="32"/>
  <c r="R130" i="32" s="1"/>
  <c r="H140" i="50"/>
  <c r="A140" i="50"/>
  <c r="Q140" i="50" s="1"/>
  <c r="P140" i="50" s="1"/>
  <c r="G140" i="50"/>
  <c r="N140" i="50"/>
  <c r="M140" i="50"/>
  <c r="F140" i="50"/>
  <c r="K140" i="50"/>
  <c r="I140" i="50"/>
  <c r="L140" i="50"/>
  <c r="B140" i="50"/>
  <c r="R140" i="50" s="1"/>
  <c r="J140" i="50"/>
  <c r="G130" i="32"/>
  <c r="H130" i="32"/>
  <c r="J130" i="32"/>
  <c r="L130" i="32"/>
  <c r="I130" i="32"/>
  <c r="N130" i="32"/>
  <c r="O130" i="32"/>
  <c r="F130" i="32"/>
  <c r="AM130" i="32" s="1"/>
  <c r="K130" i="32"/>
  <c r="M130" i="32"/>
  <c r="H200" i="57"/>
  <c r="F200" i="57"/>
  <c r="D200" i="57"/>
  <c r="P200" i="57"/>
  <c r="C200" i="57"/>
  <c r="M200" i="57" s="1"/>
  <c r="K200" i="57"/>
  <c r="J200" i="57"/>
  <c r="E200" i="57"/>
  <c r="I200" i="57"/>
  <c r="G200" i="57"/>
  <c r="Q199" i="57"/>
  <c r="T199" i="57" s="1"/>
  <c r="Z138" i="50"/>
  <c r="W138" i="50"/>
  <c r="X138" i="50" s="1"/>
  <c r="J113" i="22"/>
  <c r="AX135" i="22" s="1"/>
  <c r="J10" i="22"/>
  <c r="AX111" i="22" s="1"/>
  <c r="AK199" i="55" a="1"/>
  <c r="AK199" i="55" s="1"/>
  <c r="B201" i="57" s="1"/>
  <c r="O201" i="57" s="1"/>
  <c r="W128" i="32"/>
  <c r="X128" i="32" s="1"/>
  <c r="Z128" i="32"/>
  <c r="J130" i="22"/>
  <c r="AX100" i="22" s="1"/>
  <c r="U183" i="69"/>
  <c r="Q183" i="69"/>
  <c r="AE183" i="69"/>
  <c r="R183" i="69"/>
  <c r="S183" i="69" s="1"/>
  <c r="Y183" i="69" s="1"/>
  <c r="AB183" i="69" s="1"/>
  <c r="AC183" i="69" s="1"/>
  <c r="AD183" i="69" s="1"/>
  <c r="C185" i="69"/>
  <c r="N184" i="69"/>
  <c r="AF184" i="69" s="1"/>
  <c r="D184" i="69"/>
  <c r="E184" i="69" s="1"/>
  <c r="F184" i="69" s="1"/>
  <c r="G184" i="69" s="1"/>
  <c r="H184" i="69" s="1"/>
  <c r="I184" i="69" s="1"/>
  <c r="J184" i="69" s="1"/>
  <c r="K184" i="69" s="1"/>
  <c r="M184" i="69" s="1"/>
  <c r="AN185" i="67" a="1"/>
  <c r="AN185" i="67" s="1"/>
  <c r="B186" i="69"/>
  <c r="AL7" i="22"/>
  <c r="J97" i="22"/>
  <c r="AX57" i="22" s="1"/>
  <c r="J13" i="22"/>
  <c r="AX114" i="22" s="1"/>
  <c r="D68" i="36"/>
  <c r="D63" i="36"/>
  <c r="D65" i="36"/>
  <c r="D61" i="36"/>
  <c r="AL14" i="22"/>
  <c r="AL15" i="22"/>
  <c r="AL9" i="22"/>
  <c r="AL130" i="11" a="1"/>
  <c r="AL130" i="11" s="1"/>
  <c r="E131" i="32" s="1"/>
  <c r="J32" i="22"/>
  <c r="AX35" i="22" s="1"/>
  <c r="J124" i="22"/>
  <c r="AX141" i="22" s="1"/>
  <c r="J50" i="22"/>
  <c r="AX10" i="22" s="1"/>
  <c r="D62" i="36"/>
  <c r="J52" i="22"/>
  <c r="AX46" i="22" s="1"/>
  <c r="J31" i="22"/>
  <c r="AX88" i="22" s="1"/>
  <c r="J17" i="22"/>
  <c r="AX32" i="22" s="1"/>
  <c r="J4" i="22"/>
  <c r="AX77" i="22" s="1"/>
  <c r="J5" i="22"/>
  <c r="AX78" i="22" s="1"/>
  <c r="J14" i="22"/>
  <c r="AX30" i="22" s="1"/>
  <c r="AL140" i="59" a="1"/>
  <c r="AL140" i="59" s="1"/>
  <c r="E141" i="50" s="1"/>
  <c r="J20" i="22"/>
  <c r="AX116" i="22" s="1"/>
  <c r="AM30" i="59" a="1"/>
  <c r="AM30" i="59" s="1"/>
  <c r="AM15" i="11" a="1"/>
  <c r="AM15" i="11" s="1"/>
  <c r="AF198" i="57" l="1"/>
  <c r="AA198" i="57"/>
  <c r="AN12" i="32"/>
  <c r="L186" i="69"/>
  <c r="O186" i="69"/>
  <c r="AG183" i="69"/>
  <c r="AO185" i="69"/>
  <c r="P185" i="69"/>
  <c r="AB198" i="57"/>
  <c r="T141" i="50"/>
  <c r="AK141" i="50"/>
  <c r="X199" i="57"/>
  <c r="AE200" i="53"/>
  <c r="AC200" i="53"/>
  <c r="AF199" i="53"/>
  <c r="AB199" i="53"/>
  <c r="AA199" i="53"/>
  <c r="AK131" i="32"/>
  <c r="T131" i="32"/>
  <c r="AD129" i="32"/>
  <c r="AE200" i="57"/>
  <c r="AC200" i="57"/>
  <c r="AD139" i="50"/>
  <c r="AG139" i="50" s="1"/>
  <c r="AH139" i="50" s="1"/>
  <c r="AI139" i="50" s="1"/>
  <c r="AM140" i="50"/>
  <c r="U140" i="50"/>
  <c r="U130" i="32"/>
  <c r="AG128" i="32"/>
  <c r="AH128" i="32" s="1"/>
  <c r="AL128" i="32"/>
  <c r="AI127" i="32"/>
  <c r="AN127" i="32" s="1"/>
  <c r="AP137" i="50"/>
  <c r="R200" i="57"/>
  <c r="R200" i="53"/>
  <c r="X200" i="53" s="1"/>
  <c r="AL138" i="50"/>
  <c r="Q130" i="32"/>
  <c r="P130" i="32" s="1"/>
  <c r="AX184" i="69"/>
  <c r="AG201" i="57"/>
  <c r="L201" i="57"/>
  <c r="O141" i="50"/>
  <c r="AJ200" i="57"/>
  <c r="AP200" i="57"/>
  <c r="AG200" i="53"/>
  <c r="AH200" i="53"/>
  <c r="AT200" i="53"/>
  <c r="N201" i="57"/>
  <c r="E201" i="53"/>
  <c r="N201" i="53"/>
  <c r="AH184" i="69"/>
  <c r="C129" i="32"/>
  <c r="V129" i="32"/>
  <c r="AJ139" i="50"/>
  <c r="C139" i="50"/>
  <c r="AD200" i="57"/>
  <c r="AD200" i="53"/>
  <c r="AJ129" i="32"/>
  <c r="V139" i="50"/>
  <c r="S140" i="50"/>
  <c r="L17" i="22"/>
  <c r="S130" i="32"/>
  <c r="V130" i="32" s="1"/>
  <c r="Q200" i="53"/>
  <c r="AK200" i="52" a="1"/>
  <c r="AK200" i="52" s="1"/>
  <c r="B202" i="53" s="1"/>
  <c r="O202" i="53" s="1"/>
  <c r="H201" i="53"/>
  <c r="L201" i="53"/>
  <c r="F201" i="53"/>
  <c r="K201" i="53"/>
  <c r="I201" i="53"/>
  <c r="D201" i="53"/>
  <c r="P201" i="53"/>
  <c r="C201" i="53"/>
  <c r="M201" i="53"/>
  <c r="J201" i="53"/>
  <c r="G201" i="53"/>
  <c r="A131" i="32"/>
  <c r="B131" i="32"/>
  <c r="R131" i="32" s="1"/>
  <c r="M141" i="50"/>
  <c r="A141" i="50"/>
  <c r="Q141" i="50" s="1"/>
  <c r="P141" i="50" s="1"/>
  <c r="J141" i="50"/>
  <c r="F141" i="50"/>
  <c r="H141" i="50"/>
  <c r="I141" i="50"/>
  <c r="N141" i="50"/>
  <c r="B141" i="50"/>
  <c r="R141" i="50" s="1"/>
  <c r="G141" i="50"/>
  <c r="K141" i="50"/>
  <c r="L141" i="50"/>
  <c r="F131" i="32"/>
  <c r="AM131" i="32" s="1"/>
  <c r="J131" i="32"/>
  <c r="M131" i="32"/>
  <c r="N131" i="32"/>
  <c r="I131" i="32"/>
  <c r="H131" i="32"/>
  <c r="K131" i="32"/>
  <c r="G131" i="32"/>
  <c r="O131" i="32"/>
  <c r="L131" i="32"/>
  <c r="Q200" i="57"/>
  <c r="T200" i="57" s="1"/>
  <c r="P201" i="57"/>
  <c r="J201" i="57"/>
  <c r="H201" i="57"/>
  <c r="E201" i="57"/>
  <c r="K201" i="57"/>
  <c r="G201" i="57"/>
  <c r="C201" i="57"/>
  <c r="M201" i="57" s="1"/>
  <c r="F201" i="57"/>
  <c r="I201" i="57"/>
  <c r="D201" i="57"/>
  <c r="Z139" i="50"/>
  <c r="W139" i="50"/>
  <c r="X139" i="50" s="1"/>
  <c r="AL13" i="22"/>
  <c r="AL16" i="22"/>
  <c r="D51" i="36" s="1"/>
  <c r="D89" i="36" s="1"/>
  <c r="AK200" i="55" a="1"/>
  <c r="AK200" i="55" s="1"/>
  <c r="B202" i="57" s="1"/>
  <c r="O202" i="57" s="1"/>
  <c r="W129" i="32"/>
  <c r="X129" i="32" s="1"/>
  <c r="Z129" i="32"/>
  <c r="AN186" i="67" a="1"/>
  <c r="AN186" i="67" s="1"/>
  <c r="B187" i="69"/>
  <c r="C186" i="69"/>
  <c r="D185" i="69"/>
  <c r="E185" i="69" s="1"/>
  <c r="F185" i="69" s="1"/>
  <c r="G185" i="69" s="1"/>
  <c r="H185" i="69" s="1"/>
  <c r="I185" i="69" s="1"/>
  <c r="J185" i="69" s="1"/>
  <c r="K185" i="69" s="1"/>
  <c r="M185" i="69" s="1"/>
  <c r="N185" i="69"/>
  <c r="AF185" i="69" s="1"/>
  <c r="U184" i="69"/>
  <c r="R184" i="69"/>
  <c r="S184" i="69" s="1"/>
  <c r="Y184" i="69" s="1"/>
  <c r="Q184" i="69"/>
  <c r="AE184" i="69"/>
  <c r="AL11" i="22"/>
  <c r="D59" i="36"/>
  <c r="D60" i="36"/>
  <c r="D66" i="36"/>
  <c r="AL12" i="22"/>
  <c r="AL8" i="22"/>
  <c r="AL6" i="22"/>
  <c r="AL4" i="22"/>
  <c r="AL131" i="11" a="1"/>
  <c r="AL131" i="11" s="1"/>
  <c r="E132" i="32" s="1"/>
  <c r="AL141" i="59" a="1"/>
  <c r="AL141" i="59" s="1"/>
  <c r="E142" i="50" s="1"/>
  <c r="AM31" i="59" a="1"/>
  <c r="AM31" i="59" s="1"/>
  <c r="AM16" i="11" a="1"/>
  <c r="AM16" i="11" s="1"/>
  <c r="AB199" i="57" l="1"/>
  <c r="AA199" i="57"/>
  <c r="AB184" i="69"/>
  <c r="AC184" i="69" s="1"/>
  <c r="AD184" i="69" s="1"/>
  <c r="AG184" i="69"/>
  <c r="AO186" i="69"/>
  <c r="P186" i="69"/>
  <c r="L187" i="69"/>
  <c r="O187" i="69"/>
  <c r="T142" i="50"/>
  <c r="AK142" i="50"/>
  <c r="AF199" i="57"/>
  <c r="AB200" i="53"/>
  <c r="AA200" i="53"/>
  <c r="AE201" i="53"/>
  <c r="AC201" i="53"/>
  <c r="AF200" i="53"/>
  <c r="T132" i="32"/>
  <c r="AK132" i="32"/>
  <c r="AD130" i="32"/>
  <c r="X200" i="57"/>
  <c r="AE201" i="57"/>
  <c r="AC201" i="57"/>
  <c r="AM141" i="50"/>
  <c r="U141" i="50"/>
  <c r="AD140" i="50"/>
  <c r="AG140" i="50" s="1"/>
  <c r="AH140" i="50" s="1"/>
  <c r="AI140" i="50" s="1"/>
  <c r="U131" i="32"/>
  <c r="AG129" i="32"/>
  <c r="AH129" i="32" s="1"/>
  <c r="AL129" i="32"/>
  <c r="AI128" i="32"/>
  <c r="AN128" i="32" s="1"/>
  <c r="AP138" i="50"/>
  <c r="R201" i="57"/>
  <c r="R201" i="53"/>
  <c r="X201" i="53" s="1"/>
  <c r="AL139" i="50"/>
  <c r="Q131" i="32"/>
  <c r="P131" i="32" s="1"/>
  <c r="AX185" i="69"/>
  <c r="AG202" i="57"/>
  <c r="L202" i="57"/>
  <c r="O142" i="50"/>
  <c r="AJ201" i="57"/>
  <c r="AP201" i="57"/>
  <c r="AH201" i="53"/>
  <c r="AT201" i="53"/>
  <c r="AG201" i="53"/>
  <c r="N202" i="57"/>
  <c r="F202" i="53"/>
  <c r="N202" i="53"/>
  <c r="AH185" i="69"/>
  <c r="AJ140" i="50"/>
  <c r="C140" i="50"/>
  <c r="AJ130" i="32"/>
  <c r="C130" i="32"/>
  <c r="AD201" i="57"/>
  <c r="AD201" i="53"/>
  <c r="V140" i="50"/>
  <c r="S141" i="50"/>
  <c r="S131" i="32"/>
  <c r="V131" i="32" s="1"/>
  <c r="C202" i="53"/>
  <c r="D202" i="53"/>
  <c r="H202" i="53"/>
  <c r="AK201" i="52" a="1"/>
  <c r="AK201" i="52" s="1"/>
  <c r="B203" i="53" s="1"/>
  <c r="O203" i="53" s="1"/>
  <c r="K202" i="53"/>
  <c r="I202" i="53"/>
  <c r="Q201" i="53"/>
  <c r="M202" i="53"/>
  <c r="J202" i="53"/>
  <c r="P202" i="53"/>
  <c r="G202" i="53"/>
  <c r="E202" i="53"/>
  <c r="L202" i="53"/>
  <c r="A132" i="32"/>
  <c r="B132" i="32"/>
  <c r="R132" i="32" s="1"/>
  <c r="L142" i="50"/>
  <c r="I142" i="50"/>
  <c r="M142" i="50"/>
  <c r="J142" i="50"/>
  <c r="A142" i="50"/>
  <c r="Q142" i="50" s="1"/>
  <c r="P142" i="50" s="1"/>
  <c r="K142" i="50"/>
  <c r="F142" i="50"/>
  <c r="G142" i="50"/>
  <c r="B142" i="50"/>
  <c r="R142" i="50" s="1"/>
  <c r="N142" i="50"/>
  <c r="H142" i="50"/>
  <c r="H132" i="32"/>
  <c r="K132" i="32"/>
  <c r="L132" i="32"/>
  <c r="G132" i="32"/>
  <c r="O132" i="32"/>
  <c r="I132" i="32"/>
  <c r="N132" i="32"/>
  <c r="F132" i="32"/>
  <c r="AM132" i="32" s="1"/>
  <c r="J132" i="32"/>
  <c r="M132" i="32"/>
  <c r="J202" i="57"/>
  <c r="D202" i="57"/>
  <c r="I202" i="57"/>
  <c r="F202" i="57"/>
  <c r="E202" i="57"/>
  <c r="K202" i="57"/>
  <c r="P202" i="57"/>
  <c r="H202" i="57"/>
  <c r="C202" i="57"/>
  <c r="M202" i="57" s="1"/>
  <c r="G202" i="57"/>
  <c r="W140" i="50"/>
  <c r="X140" i="50" s="1"/>
  <c r="Z140" i="50"/>
  <c r="Q201" i="57"/>
  <c r="T201" i="57" s="1"/>
  <c r="AK201" i="55" a="1"/>
  <c r="AK201" i="55" s="1"/>
  <c r="B203" i="57" s="1"/>
  <c r="O203" i="57" s="1"/>
  <c r="W130" i="32"/>
  <c r="X130" i="32" s="1"/>
  <c r="Z130" i="32"/>
  <c r="AN187" i="67" a="1"/>
  <c r="AN187" i="67" s="1"/>
  <c r="B188" i="69"/>
  <c r="Q185" i="69"/>
  <c r="U185" i="69"/>
  <c r="AE185" i="69"/>
  <c r="R185" i="69"/>
  <c r="S185" i="69" s="1"/>
  <c r="Y185" i="69" s="1"/>
  <c r="C187" i="69"/>
  <c r="D186" i="69"/>
  <c r="E186" i="69" s="1"/>
  <c r="F186" i="69" s="1"/>
  <c r="G186" i="69" s="1"/>
  <c r="H186" i="69" s="1"/>
  <c r="I186" i="69" s="1"/>
  <c r="J186" i="69" s="1"/>
  <c r="K186" i="69" s="1"/>
  <c r="M186" i="69" s="1"/>
  <c r="N186" i="69"/>
  <c r="AF186" i="69" s="1"/>
  <c r="AL132" i="11" a="1"/>
  <c r="AL132" i="11" s="1"/>
  <c r="E133" i="32" s="1"/>
  <c r="AL142" i="59" a="1"/>
  <c r="AL142" i="59" s="1"/>
  <c r="E143" i="50" s="1"/>
  <c r="AM32" i="59" a="1"/>
  <c r="AM32" i="59" s="1"/>
  <c r="AM17" i="11" a="1"/>
  <c r="AM17" i="11" s="1"/>
  <c r="AB200" i="57" l="1"/>
  <c r="AA200" i="57"/>
  <c r="AB185" i="69"/>
  <c r="AC185" i="69" s="1"/>
  <c r="AD185" i="69" s="1"/>
  <c r="AG185" i="69"/>
  <c r="L188" i="69"/>
  <c r="O188" i="69"/>
  <c r="AO187" i="69"/>
  <c r="P187" i="69"/>
  <c r="AK143" i="50"/>
  <c r="T143" i="50"/>
  <c r="AB201" i="53"/>
  <c r="AA201" i="53"/>
  <c r="AF201" i="53"/>
  <c r="AE202" i="53"/>
  <c r="AC202" i="53"/>
  <c r="AK133" i="32"/>
  <c r="T133" i="32"/>
  <c r="AD131" i="32"/>
  <c r="X201" i="57"/>
  <c r="AF200" i="57"/>
  <c r="AE202" i="57"/>
  <c r="AC202" i="57"/>
  <c r="AM142" i="50"/>
  <c r="U142" i="50"/>
  <c r="AD141" i="50"/>
  <c r="AG141" i="50" s="1"/>
  <c r="AH141" i="50" s="1"/>
  <c r="AI141" i="50" s="1"/>
  <c r="U132" i="32"/>
  <c r="AG130" i="32"/>
  <c r="AH130" i="32" s="1"/>
  <c r="AL130" i="32"/>
  <c r="AI129" i="32"/>
  <c r="AN129" i="32" s="1"/>
  <c r="AP139" i="50"/>
  <c r="R202" i="57"/>
  <c r="R202" i="53"/>
  <c r="X202" i="53" s="1"/>
  <c r="AL140" i="50"/>
  <c r="Q132" i="32"/>
  <c r="P132" i="32" s="1"/>
  <c r="AX186" i="69"/>
  <c r="L203" i="57"/>
  <c r="AG203" i="57"/>
  <c r="O143" i="50"/>
  <c r="AJ202" i="57"/>
  <c r="AP202" i="57"/>
  <c r="AH202" i="53"/>
  <c r="AT202" i="53"/>
  <c r="AG202" i="53"/>
  <c r="N203" i="57"/>
  <c r="I203" i="53"/>
  <c r="N203" i="53"/>
  <c r="AH186" i="69"/>
  <c r="AJ141" i="50"/>
  <c r="C141" i="50"/>
  <c r="AJ131" i="32"/>
  <c r="C131" i="32"/>
  <c r="AD202" i="57"/>
  <c r="Q202" i="53"/>
  <c r="AD202" i="53"/>
  <c r="V141" i="50"/>
  <c r="S142" i="50"/>
  <c r="S132" i="32"/>
  <c r="V132" i="32" s="1"/>
  <c r="J203" i="53"/>
  <c r="D203" i="53"/>
  <c r="C203" i="53"/>
  <c r="F203" i="53"/>
  <c r="E203" i="53"/>
  <c r="M203" i="53"/>
  <c r="L203" i="53"/>
  <c r="H203" i="53"/>
  <c r="K203" i="53"/>
  <c r="G203" i="53"/>
  <c r="AK202" i="52" a="1"/>
  <c r="AK202" i="52" s="1"/>
  <c r="B204" i="53" s="1"/>
  <c r="O204" i="53" s="1"/>
  <c r="P203" i="53"/>
  <c r="A133" i="32"/>
  <c r="B133" i="32"/>
  <c r="R133" i="32" s="1"/>
  <c r="J143" i="50"/>
  <c r="I143" i="50"/>
  <c r="H143" i="50"/>
  <c r="N143" i="50"/>
  <c r="M143" i="50"/>
  <c r="F143" i="50"/>
  <c r="G143" i="50"/>
  <c r="A143" i="50"/>
  <c r="Q143" i="50" s="1"/>
  <c r="P143" i="50" s="1"/>
  <c r="K143" i="50"/>
  <c r="L143" i="50"/>
  <c r="B143" i="50"/>
  <c r="R143" i="50" s="1"/>
  <c r="F133" i="32"/>
  <c r="AM133" i="32" s="1"/>
  <c r="N133" i="32"/>
  <c r="I133" i="32"/>
  <c r="J133" i="32"/>
  <c r="M133" i="32"/>
  <c r="O133" i="32"/>
  <c r="G133" i="32"/>
  <c r="L133" i="32"/>
  <c r="H133" i="32"/>
  <c r="K133" i="32"/>
  <c r="Q202" i="57"/>
  <c r="T202" i="57" s="1"/>
  <c r="H203" i="57"/>
  <c r="D203" i="57"/>
  <c r="P203" i="57"/>
  <c r="F203" i="57"/>
  <c r="K203" i="57"/>
  <c r="G203" i="57"/>
  <c r="C203" i="57"/>
  <c r="M203" i="57" s="1"/>
  <c r="E203" i="57"/>
  <c r="J203" i="57"/>
  <c r="I203" i="57"/>
  <c r="W141" i="50"/>
  <c r="X141" i="50" s="1"/>
  <c r="Z141" i="50"/>
  <c r="AK202" i="55" a="1"/>
  <c r="AK202" i="55" s="1"/>
  <c r="B204" i="57" s="1"/>
  <c r="O204" i="57" s="1"/>
  <c r="W131" i="32"/>
  <c r="X131" i="32" s="1"/>
  <c r="Z131" i="32"/>
  <c r="AN188" i="67" a="1"/>
  <c r="AN188" i="67" s="1"/>
  <c r="B189" i="69"/>
  <c r="D187" i="69"/>
  <c r="E187" i="69" s="1"/>
  <c r="F187" i="69" s="1"/>
  <c r="G187" i="69" s="1"/>
  <c r="H187" i="69" s="1"/>
  <c r="I187" i="69" s="1"/>
  <c r="J187" i="69" s="1"/>
  <c r="K187" i="69" s="1"/>
  <c r="M187" i="69" s="1"/>
  <c r="N187" i="69"/>
  <c r="AF187" i="69" s="1"/>
  <c r="Q186" i="69"/>
  <c r="R186" i="69"/>
  <c r="S186" i="69" s="1"/>
  <c r="Y186" i="69" s="1"/>
  <c r="AE186" i="69"/>
  <c r="U186" i="69"/>
  <c r="C188" i="69"/>
  <c r="AL133" i="11" a="1"/>
  <c r="AL133" i="11" s="1"/>
  <c r="E134" i="32" s="1"/>
  <c r="AL143" i="59" a="1"/>
  <c r="AL143" i="59" s="1"/>
  <c r="E144" i="50" s="1"/>
  <c r="AM33" i="59" a="1"/>
  <c r="AM33" i="59" s="1"/>
  <c r="AM18" i="11" a="1"/>
  <c r="AM18" i="11" s="1"/>
  <c r="X202" i="57" l="1"/>
  <c r="AA202" i="57" s="1"/>
  <c r="AF201" i="57"/>
  <c r="AA201" i="57"/>
  <c r="AB186" i="69"/>
  <c r="AC186" i="69" s="1"/>
  <c r="AD186" i="69" s="1"/>
  <c r="AG186" i="69"/>
  <c r="L189" i="69"/>
  <c r="O189" i="69"/>
  <c r="AO188" i="69"/>
  <c r="P188" i="69"/>
  <c r="AK144" i="50"/>
  <c r="T144" i="50"/>
  <c r="AF202" i="53"/>
  <c r="AE203" i="53"/>
  <c r="AC203" i="53"/>
  <c r="AB202" i="53"/>
  <c r="AA202" i="53"/>
  <c r="AK134" i="32"/>
  <c r="T134" i="32"/>
  <c r="AD132" i="32"/>
  <c r="AB201" i="57"/>
  <c r="AE203" i="57"/>
  <c r="AC203" i="57"/>
  <c r="AM143" i="50"/>
  <c r="U143" i="50"/>
  <c r="AD142" i="50"/>
  <c r="AG142" i="50" s="1"/>
  <c r="AH142" i="50" s="1"/>
  <c r="AI142" i="50" s="1"/>
  <c r="AG131" i="32"/>
  <c r="AH131" i="32" s="1"/>
  <c r="AL131" i="32"/>
  <c r="U133" i="32"/>
  <c r="AP140" i="50"/>
  <c r="R203" i="57"/>
  <c r="R203" i="53"/>
  <c r="X203" i="53" s="1"/>
  <c r="AL141" i="50"/>
  <c r="Q133" i="32"/>
  <c r="P133" i="32" s="1"/>
  <c r="AI130" i="32"/>
  <c r="AN130" i="32" s="1"/>
  <c r="AX187" i="69"/>
  <c r="AG204" i="57"/>
  <c r="L204" i="57"/>
  <c r="O144" i="50"/>
  <c r="AJ203" i="57"/>
  <c r="AP203" i="57"/>
  <c r="AH203" i="53"/>
  <c r="AT203" i="53"/>
  <c r="AG203" i="53"/>
  <c r="N204" i="57"/>
  <c r="M204" i="53"/>
  <c r="N204" i="53"/>
  <c r="AH187" i="69"/>
  <c r="AJ142" i="50"/>
  <c r="C142" i="50"/>
  <c r="AJ132" i="32"/>
  <c r="C132" i="32"/>
  <c r="AD203" i="57"/>
  <c r="Q203" i="53"/>
  <c r="AD203" i="53"/>
  <c r="S143" i="50"/>
  <c r="V142" i="50"/>
  <c r="S133" i="32"/>
  <c r="V133" i="32" s="1"/>
  <c r="J204" i="53"/>
  <c r="H204" i="53"/>
  <c r="P204" i="53"/>
  <c r="F204" i="53"/>
  <c r="L204" i="53"/>
  <c r="G204" i="53"/>
  <c r="I204" i="53"/>
  <c r="AK203" i="52" a="1"/>
  <c r="AK203" i="52" s="1"/>
  <c r="B205" i="53" s="1"/>
  <c r="O205" i="53" s="1"/>
  <c r="D204" i="53"/>
  <c r="C204" i="53"/>
  <c r="K204" i="53"/>
  <c r="E204" i="53"/>
  <c r="A134" i="32"/>
  <c r="B134" i="32"/>
  <c r="R134" i="32" s="1"/>
  <c r="K144" i="50"/>
  <c r="B144" i="50"/>
  <c r="R144" i="50" s="1"/>
  <c r="F144" i="50"/>
  <c r="G144" i="50"/>
  <c r="N144" i="50"/>
  <c r="I144" i="50"/>
  <c r="J144" i="50"/>
  <c r="A144" i="50"/>
  <c r="Q144" i="50" s="1"/>
  <c r="P144" i="50" s="1"/>
  <c r="M144" i="50"/>
  <c r="H144" i="50"/>
  <c r="L144" i="50"/>
  <c r="L134" i="32"/>
  <c r="G134" i="32"/>
  <c r="O134" i="32"/>
  <c r="H134" i="32"/>
  <c r="K134" i="32"/>
  <c r="J134" i="32"/>
  <c r="M134" i="32"/>
  <c r="F134" i="32"/>
  <c r="AM134" i="32" s="1"/>
  <c r="I134" i="32"/>
  <c r="N134" i="32"/>
  <c r="Q203" i="57"/>
  <c r="T203" i="57" s="1"/>
  <c r="F204" i="57"/>
  <c r="D204" i="57"/>
  <c r="I204" i="57"/>
  <c r="P204" i="57"/>
  <c r="E204" i="57"/>
  <c r="H204" i="57"/>
  <c r="K204" i="57"/>
  <c r="G204" i="57"/>
  <c r="J204" i="57"/>
  <c r="C204" i="57"/>
  <c r="M204" i="57" s="1"/>
  <c r="W142" i="50"/>
  <c r="X142" i="50" s="1"/>
  <c r="Z142" i="50"/>
  <c r="AK203" i="55" a="1"/>
  <c r="AK203" i="55" s="1"/>
  <c r="B205" i="57" s="1"/>
  <c r="O205" i="57" s="1"/>
  <c r="W132" i="32"/>
  <c r="X132" i="32" s="1"/>
  <c r="Z132" i="32"/>
  <c r="AN189" i="67" a="1"/>
  <c r="AN189" i="67" s="1"/>
  <c r="B190" i="69"/>
  <c r="C189" i="69"/>
  <c r="AE187" i="69"/>
  <c r="U187" i="69"/>
  <c r="Q187" i="69"/>
  <c r="R187" i="69"/>
  <c r="S187" i="69" s="1"/>
  <c r="Y187" i="69" s="1"/>
  <c r="AB187" i="69" s="1"/>
  <c r="AC187" i="69" s="1"/>
  <c r="AD187" i="69" s="1"/>
  <c r="D188" i="69"/>
  <c r="E188" i="69" s="1"/>
  <c r="F188" i="69" s="1"/>
  <c r="G188" i="69" s="1"/>
  <c r="H188" i="69" s="1"/>
  <c r="I188" i="69" s="1"/>
  <c r="J188" i="69" s="1"/>
  <c r="K188" i="69" s="1"/>
  <c r="M188" i="69" s="1"/>
  <c r="N188" i="69"/>
  <c r="AF188" i="69" s="1"/>
  <c r="AL134" i="11" a="1"/>
  <c r="AL134" i="11" s="1"/>
  <c r="E135" i="32" s="1"/>
  <c r="AL144" i="59" a="1"/>
  <c r="AL144" i="59" s="1"/>
  <c r="E145" i="50" s="1"/>
  <c r="AM34" i="59" a="1"/>
  <c r="AM34" i="59" s="1"/>
  <c r="AM19" i="11" a="1"/>
  <c r="AM19" i="11" s="1"/>
  <c r="AF202" i="57" l="1"/>
  <c r="AB202" i="57"/>
  <c r="AG187" i="69"/>
  <c r="AO189" i="69"/>
  <c r="P189" i="69"/>
  <c r="L190" i="69"/>
  <c r="O190" i="69"/>
  <c r="X203" i="57"/>
  <c r="T145" i="50"/>
  <c r="AK145" i="50"/>
  <c r="AB203" i="53"/>
  <c r="AA203" i="53"/>
  <c r="AE204" i="53"/>
  <c r="AC204" i="53"/>
  <c r="AF203" i="53"/>
  <c r="AK135" i="32"/>
  <c r="T135" i="32"/>
  <c r="AD133" i="32"/>
  <c r="AE204" i="57"/>
  <c r="AC204" i="57"/>
  <c r="AD143" i="50"/>
  <c r="AG143" i="50" s="1"/>
  <c r="AH143" i="50" s="1"/>
  <c r="AI143" i="50" s="1"/>
  <c r="AM144" i="50"/>
  <c r="U144" i="50"/>
  <c r="U134" i="32"/>
  <c r="AG132" i="32"/>
  <c r="AH132" i="32" s="1"/>
  <c r="AL132" i="32"/>
  <c r="AI131" i="32"/>
  <c r="AN131" i="32" s="1"/>
  <c r="AP141" i="50"/>
  <c r="R204" i="57"/>
  <c r="R204" i="53"/>
  <c r="X204" i="53" s="1"/>
  <c r="AL142" i="50"/>
  <c r="Q134" i="32"/>
  <c r="P134" i="32" s="1"/>
  <c r="AX188" i="69"/>
  <c r="AG205" i="57"/>
  <c r="L205" i="57"/>
  <c r="O145" i="50"/>
  <c r="AJ204" i="57"/>
  <c r="AP204" i="57"/>
  <c r="AG204" i="53"/>
  <c r="AT204" i="53"/>
  <c r="AH204" i="53"/>
  <c r="AD204" i="53"/>
  <c r="N205" i="57"/>
  <c r="Q204" i="53"/>
  <c r="N205" i="53"/>
  <c r="AH188" i="69"/>
  <c r="AJ143" i="50"/>
  <c r="C143" i="50"/>
  <c r="AJ133" i="32"/>
  <c r="C133" i="32"/>
  <c r="AD204" i="57"/>
  <c r="S144" i="50"/>
  <c r="V143" i="50"/>
  <c r="S134" i="32"/>
  <c r="V134" i="32" s="1"/>
  <c r="H205" i="53"/>
  <c r="K205" i="53"/>
  <c r="L205" i="53"/>
  <c r="D205" i="53"/>
  <c r="M205" i="53"/>
  <c r="C205" i="53"/>
  <c r="AK204" i="52" a="1"/>
  <c r="AK204" i="52" s="1"/>
  <c r="B206" i="53" s="1"/>
  <c r="O206" i="53" s="1"/>
  <c r="P205" i="53"/>
  <c r="E205" i="53"/>
  <c r="G205" i="53"/>
  <c r="F205" i="53"/>
  <c r="J205" i="53"/>
  <c r="I205" i="53"/>
  <c r="A135" i="32"/>
  <c r="B135" i="32"/>
  <c r="R135" i="32" s="1"/>
  <c r="J145" i="50"/>
  <c r="M145" i="50"/>
  <c r="H145" i="50"/>
  <c r="F145" i="50"/>
  <c r="K145" i="50"/>
  <c r="L145" i="50"/>
  <c r="G145" i="50"/>
  <c r="A145" i="50"/>
  <c r="Q145" i="50" s="1"/>
  <c r="P145" i="50" s="1"/>
  <c r="B145" i="50"/>
  <c r="R145" i="50" s="1"/>
  <c r="N145" i="50"/>
  <c r="I145" i="50"/>
  <c r="J135" i="32"/>
  <c r="M135" i="32"/>
  <c r="F135" i="32"/>
  <c r="AM135" i="32" s="1"/>
  <c r="N135" i="32"/>
  <c r="I135" i="32"/>
  <c r="K135" i="32"/>
  <c r="H135" i="32"/>
  <c r="L135" i="32"/>
  <c r="O135" i="32"/>
  <c r="G135" i="32"/>
  <c r="Z143" i="50"/>
  <c r="W143" i="50"/>
  <c r="X143" i="50" s="1"/>
  <c r="Q204" i="57"/>
  <c r="T204" i="57" s="1"/>
  <c r="P205" i="57"/>
  <c r="C205" i="57"/>
  <c r="M205" i="57" s="1"/>
  <c r="K205" i="57"/>
  <c r="J205" i="57"/>
  <c r="H205" i="57"/>
  <c r="D205" i="57"/>
  <c r="F205" i="57"/>
  <c r="I205" i="57"/>
  <c r="G205" i="57"/>
  <c r="E205" i="57"/>
  <c r="AK204" i="55" a="1"/>
  <c r="AK204" i="55" s="1"/>
  <c r="B206" i="57" s="1"/>
  <c r="O206" i="57" s="1"/>
  <c r="W133" i="32"/>
  <c r="X133" i="32" s="1"/>
  <c r="Z133" i="32"/>
  <c r="AN190" i="67" a="1"/>
  <c r="AN190" i="67" s="1"/>
  <c r="B191" i="69"/>
  <c r="N189" i="69"/>
  <c r="AF189" i="69" s="1"/>
  <c r="D189" i="69"/>
  <c r="E189" i="69" s="1"/>
  <c r="F189" i="69" s="1"/>
  <c r="G189" i="69" s="1"/>
  <c r="H189" i="69" s="1"/>
  <c r="I189" i="69" s="1"/>
  <c r="J189" i="69" s="1"/>
  <c r="K189" i="69" s="1"/>
  <c r="M189" i="69" s="1"/>
  <c r="AE188" i="69"/>
  <c r="R188" i="69"/>
  <c r="S188" i="69" s="1"/>
  <c r="Y188" i="69" s="1"/>
  <c r="AB188" i="69" s="1"/>
  <c r="AC188" i="69" s="1"/>
  <c r="AD188" i="69" s="1"/>
  <c r="U188" i="69"/>
  <c r="Q188" i="69"/>
  <c r="C190" i="69"/>
  <c r="AL135" i="11" a="1"/>
  <c r="AL135" i="11" s="1"/>
  <c r="E136" i="32" s="1"/>
  <c r="AL145" i="59" a="1"/>
  <c r="AL145" i="59" s="1"/>
  <c r="E146" i="50" s="1"/>
  <c r="AM35" i="59" a="1"/>
  <c r="AM35" i="59" s="1"/>
  <c r="AM20" i="11" a="1"/>
  <c r="AM20" i="11" s="1"/>
  <c r="AF203" i="57" l="1"/>
  <c r="AA203" i="57"/>
  <c r="L191" i="69"/>
  <c r="O191" i="69"/>
  <c r="AG188" i="69"/>
  <c r="AO190" i="69"/>
  <c r="P190" i="69"/>
  <c r="AB203" i="57"/>
  <c r="T146" i="50"/>
  <c r="AK146" i="50"/>
  <c r="AB204" i="53"/>
  <c r="AA204" i="53"/>
  <c r="AF204" i="53"/>
  <c r="AE205" i="53"/>
  <c r="AC205" i="53"/>
  <c r="AK136" i="32"/>
  <c r="T136" i="32"/>
  <c r="AD134" i="32"/>
  <c r="X204" i="57"/>
  <c r="AE205" i="57"/>
  <c r="AC205" i="57"/>
  <c r="AD144" i="50"/>
  <c r="AG144" i="50" s="1"/>
  <c r="AH144" i="50" s="1"/>
  <c r="AI144" i="50" s="1"/>
  <c r="AM145" i="50"/>
  <c r="U145" i="50"/>
  <c r="U135" i="32"/>
  <c r="AG133" i="32"/>
  <c r="AH133" i="32" s="1"/>
  <c r="AL133" i="32"/>
  <c r="R205" i="57"/>
  <c r="R205" i="53"/>
  <c r="X205" i="53" s="1"/>
  <c r="AL143" i="50"/>
  <c r="Q135" i="32"/>
  <c r="P135" i="32" s="1"/>
  <c r="AP142" i="50"/>
  <c r="AI132" i="32"/>
  <c r="AN132" i="32" s="1"/>
  <c r="AX189" i="69"/>
  <c r="AG206" i="57"/>
  <c r="L206" i="57"/>
  <c r="O146" i="50"/>
  <c r="AJ205" i="57"/>
  <c r="AP205" i="57"/>
  <c r="AH205" i="53"/>
  <c r="AT205" i="53"/>
  <c r="AG205" i="53"/>
  <c r="N206" i="57"/>
  <c r="J206" i="53"/>
  <c r="N206" i="53"/>
  <c r="AH189" i="69"/>
  <c r="AJ144" i="50"/>
  <c r="C144" i="50"/>
  <c r="AJ134" i="32"/>
  <c r="C134" i="32"/>
  <c r="AD205" i="57"/>
  <c r="Q205" i="53"/>
  <c r="AD205" i="53"/>
  <c r="V144" i="50"/>
  <c r="S145" i="50"/>
  <c r="S135" i="32"/>
  <c r="V135" i="32" s="1"/>
  <c r="D206" i="53"/>
  <c r="P206" i="53"/>
  <c r="M206" i="53"/>
  <c r="F206" i="53"/>
  <c r="G206" i="53"/>
  <c r="K206" i="53"/>
  <c r="H206" i="53"/>
  <c r="E206" i="53"/>
  <c r="C206" i="53"/>
  <c r="AK205" i="52" a="1"/>
  <c r="AK205" i="52" s="1"/>
  <c r="B207" i="53" s="1"/>
  <c r="O207" i="53" s="1"/>
  <c r="L206" i="53"/>
  <c r="I206" i="53"/>
  <c r="A136" i="32"/>
  <c r="B136" i="32"/>
  <c r="R136" i="32" s="1"/>
  <c r="H146" i="50"/>
  <c r="I146" i="50"/>
  <c r="G146" i="50"/>
  <c r="N146" i="50"/>
  <c r="M146" i="50"/>
  <c r="J146" i="50"/>
  <c r="A146" i="50"/>
  <c r="Q146" i="50" s="1"/>
  <c r="P146" i="50" s="1"/>
  <c r="B146" i="50"/>
  <c r="R146" i="50" s="1"/>
  <c r="L146" i="50"/>
  <c r="F146" i="50"/>
  <c r="K146" i="50"/>
  <c r="H136" i="32"/>
  <c r="K136" i="32"/>
  <c r="L136" i="32"/>
  <c r="G136" i="32"/>
  <c r="O136" i="32"/>
  <c r="F136" i="32"/>
  <c r="AM136" i="32" s="1"/>
  <c r="I136" i="32"/>
  <c r="N136" i="32"/>
  <c r="J136" i="32"/>
  <c r="M136" i="32"/>
  <c r="Q205" i="57"/>
  <c r="T205" i="57" s="1"/>
  <c r="H206" i="57"/>
  <c r="F206" i="57"/>
  <c r="I206" i="57"/>
  <c r="D206" i="57"/>
  <c r="K206" i="57"/>
  <c r="J206" i="57"/>
  <c r="G206" i="57"/>
  <c r="P206" i="57"/>
  <c r="E206" i="57"/>
  <c r="C206" i="57"/>
  <c r="M206" i="57" s="1"/>
  <c r="W144" i="50"/>
  <c r="X144" i="50" s="1"/>
  <c r="Z144" i="50"/>
  <c r="AK205" i="55" a="1"/>
  <c r="AK205" i="55" s="1"/>
  <c r="B207" i="57" s="1"/>
  <c r="O207" i="57" s="1"/>
  <c r="W134" i="32"/>
  <c r="X134" i="32" s="1"/>
  <c r="Z134" i="32"/>
  <c r="AN191" i="67" a="1"/>
  <c r="AN191" i="67" s="1"/>
  <c r="B192" i="69"/>
  <c r="U189" i="69"/>
  <c r="AE189" i="69"/>
  <c r="R189" i="69"/>
  <c r="S189" i="69" s="1"/>
  <c r="Y189" i="69" s="1"/>
  <c r="Q189" i="69"/>
  <c r="C191" i="69"/>
  <c r="D190" i="69"/>
  <c r="E190" i="69" s="1"/>
  <c r="F190" i="69" s="1"/>
  <c r="G190" i="69" s="1"/>
  <c r="H190" i="69" s="1"/>
  <c r="I190" i="69" s="1"/>
  <c r="J190" i="69" s="1"/>
  <c r="K190" i="69" s="1"/>
  <c r="M190" i="69" s="1"/>
  <c r="N190" i="69"/>
  <c r="AF190" i="69" s="1"/>
  <c r="AL136" i="11" a="1"/>
  <c r="AL136" i="11" s="1"/>
  <c r="AL146" i="59" a="1"/>
  <c r="AL146" i="59" s="1"/>
  <c r="E147" i="50" s="1"/>
  <c r="AM36" i="59" a="1"/>
  <c r="AM36" i="59" s="1"/>
  <c r="AM21" i="11" a="1"/>
  <c r="AM21" i="11" s="1"/>
  <c r="AB204" i="57" l="1"/>
  <c r="AA204" i="57"/>
  <c r="AB189" i="69"/>
  <c r="AC189" i="69" s="1"/>
  <c r="AD189" i="69" s="1"/>
  <c r="AG189" i="69"/>
  <c r="L192" i="69"/>
  <c r="O192" i="69"/>
  <c r="AO191" i="69"/>
  <c r="P191" i="69"/>
  <c r="T147" i="50"/>
  <c r="AK147" i="50"/>
  <c r="AB205" i="53"/>
  <c r="AA205" i="53"/>
  <c r="AE206" i="53"/>
  <c r="AC206" i="53"/>
  <c r="AF205" i="53"/>
  <c r="AD135" i="32"/>
  <c r="AF204" i="57"/>
  <c r="X205" i="57"/>
  <c r="AA205" i="57" s="1"/>
  <c r="AE206" i="57"/>
  <c r="AC206" i="57"/>
  <c r="AM146" i="50"/>
  <c r="U146" i="50"/>
  <c r="AD145" i="50"/>
  <c r="AG145" i="50" s="1"/>
  <c r="AH145" i="50" s="1"/>
  <c r="AI145" i="50" s="1"/>
  <c r="U136" i="32"/>
  <c r="AG134" i="32"/>
  <c r="AH134" i="32" s="1"/>
  <c r="AL134" i="32"/>
  <c r="AP143" i="50"/>
  <c r="R206" i="57"/>
  <c r="R206" i="53"/>
  <c r="X206" i="53" s="1"/>
  <c r="AL144" i="50"/>
  <c r="Q136" i="32"/>
  <c r="P136" i="32" s="1"/>
  <c r="AI133" i="32"/>
  <c r="AN133" i="32" s="1"/>
  <c r="AX190" i="69"/>
  <c r="AG207" i="57"/>
  <c r="L207" i="57"/>
  <c r="O147" i="50"/>
  <c r="AJ206" i="57"/>
  <c r="AP206" i="57"/>
  <c r="AH206" i="53"/>
  <c r="AT206" i="53"/>
  <c r="AG206" i="53"/>
  <c r="N207" i="57"/>
  <c r="N207" i="53"/>
  <c r="AH190" i="69"/>
  <c r="AJ145" i="50"/>
  <c r="C145" i="50"/>
  <c r="AJ135" i="32"/>
  <c r="C135" i="32"/>
  <c r="AD206" i="57"/>
  <c r="AD206" i="53"/>
  <c r="V145" i="50"/>
  <c r="S146" i="50"/>
  <c r="S136" i="32"/>
  <c r="V136" i="32" s="1"/>
  <c r="Q206" i="53"/>
  <c r="F207" i="53"/>
  <c r="P207" i="53"/>
  <c r="C207" i="53"/>
  <c r="G207" i="53"/>
  <c r="I207" i="53"/>
  <c r="E207" i="53"/>
  <c r="M207" i="53"/>
  <c r="K207" i="53"/>
  <c r="H207" i="53"/>
  <c r="D207" i="53"/>
  <c r="AK206" i="52" a="1"/>
  <c r="AK206" i="52" s="1"/>
  <c r="B208" i="53" s="1"/>
  <c r="O208" i="53" s="1"/>
  <c r="J207" i="53"/>
  <c r="L207" i="53"/>
  <c r="M147" i="50"/>
  <c r="B147" i="50"/>
  <c r="R147" i="50" s="1"/>
  <c r="J147" i="50"/>
  <c r="I147" i="50"/>
  <c r="L147" i="50"/>
  <c r="N147" i="50"/>
  <c r="A147" i="50"/>
  <c r="Q147" i="50" s="1"/>
  <c r="P147" i="50" s="1"/>
  <c r="H147" i="50"/>
  <c r="F147" i="50"/>
  <c r="K147" i="50"/>
  <c r="G147" i="50"/>
  <c r="W145" i="50"/>
  <c r="X145" i="50" s="1"/>
  <c r="Z145" i="50"/>
  <c r="Q206" i="57"/>
  <c r="T206" i="57" s="1"/>
  <c r="G207" i="57"/>
  <c r="K207" i="57"/>
  <c r="F207" i="57"/>
  <c r="I207" i="57"/>
  <c r="E207" i="57"/>
  <c r="D207" i="57"/>
  <c r="J207" i="57"/>
  <c r="C207" i="57"/>
  <c r="M207" i="57" s="1"/>
  <c r="H207" i="57"/>
  <c r="P207" i="57"/>
  <c r="E137" i="32"/>
  <c r="AK206" i="55" a="1"/>
  <c r="AK206" i="55" s="1"/>
  <c r="B208" i="57" s="1"/>
  <c r="O208" i="57" s="1"/>
  <c r="W135" i="32"/>
  <c r="X135" i="32" s="1"/>
  <c r="Z135" i="32"/>
  <c r="AN192" i="67" a="1"/>
  <c r="AN192" i="67" s="1"/>
  <c r="B193" i="69"/>
  <c r="D191" i="69"/>
  <c r="E191" i="69" s="1"/>
  <c r="F191" i="69" s="1"/>
  <c r="G191" i="69" s="1"/>
  <c r="H191" i="69" s="1"/>
  <c r="I191" i="69" s="1"/>
  <c r="J191" i="69" s="1"/>
  <c r="K191" i="69" s="1"/>
  <c r="M191" i="69" s="1"/>
  <c r="N191" i="69"/>
  <c r="AF191" i="69" s="1"/>
  <c r="Q190" i="69"/>
  <c r="AE190" i="69"/>
  <c r="R190" i="69"/>
  <c r="S190" i="69" s="1"/>
  <c r="Y190" i="69" s="1"/>
  <c r="AB190" i="69" s="1"/>
  <c r="AC190" i="69" s="1"/>
  <c r="AD190" i="69" s="1"/>
  <c r="U190" i="69"/>
  <c r="C192" i="69"/>
  <c r="AL137" i="11" a="1"/>
  <c r="AL137" i="11" s="1"/>
  <c r="E138" i="32" s="1"/>
  <c r="AL147" i="59" a="1"/>
  <c r="AL147" i="59" s="1"/>
  <c r="E148" i="50" s="1"/>
  <c r="AM37" i="59" a="1"/>
  <c r="AM37" i="59" s="1"/>
  <c r="AM22" i="11" a="1"/>
  <c r="AM22" i="11" s="1"/>
  <c r="L193" i="69" l="1"/>
  <c r="O193" i="69"/>
  <c r="AO192" i="69"/>
  <c r="P192" i="69"/>
  <c r="AG190" i="69"/>
  <c r="T148" i="50"/>
  <c r="AK148" i="50"/>
  <c r="X206" i="57"/>
  <c r="AA206" i="57" s="1"/>
  <c r="AF206" i="53"/>
  <c r="AE207" i="53"/>
  <c r="AC207" i="53"/>
  <c r="AB206" i="53"/>
  <c r="AA206" i="53"/>
  <c r="AK137" i="32"/>
  <c r="T137" i="32"/>
  <c r="AK138" i="32"/>
  <c r="T138" i="32"/>
  <c r="AD136" i="32"/>
  <c r="AF205" i="57"/>
  <c r="AB205" i="57"/>
  <c r="AE207" i="57"/>
  <c r="AC207" i="57"/>
  <c r="AD146" i="50"/>
  <c r="AG146" i="50" s="1"/>
  <c r="AH146" i="50" s="1"/>
  <c r="AI146" i="50" s="1"/>
  <c r="AM147" i="50"/>
  <c r="U147" i="50"/>
  <c r="AG135" i="32"/>
  <c r="AH135" i="32" s="1"/>
  <c r="AL135" i="32"/>
  <c r="AI134" i="32"/>
  <c r="AN134" i="32" s="1"/>
  <c r="AP144" i="50"/>
  <c r="R207" i="57"/>
  <c r="R207" i="53"/>
  <c r="X207" i="53" s="1"/>
  <c r="AL145" i="50"/>
  <c r="AX191" i="69"/>
  <c r="AG208" i="57"/>
  <c r="L208" i="57"/>
  <c r="O148" i="50"/>
  <c r="AJ207" i="57"/>
  <c r="AP207" i="57"/>
  <c r="AH207" i="53"/>
  <c r="AT207" i="53"/>
  <c r="AG207" i="53"/>
  <c r="N208" i="57"/>
  <c r="L208" i="53"/>
  <c r="N208" i="53"/>
  <c r="AH191" i="69"/>
  <c r="AJ146" i="50"/>
  <c r="C146" i="50"/>
  <c r="AJ136" i="32"/>
  <c r="C136" i="32"/>
  <c r="AD207" i="57"/>
  <c r="AD207" i="53"/>
  <c r="V146" i="50"/>
  <c r="S147" i="50"/>
  <c r="Q207" i="53"/>
  <c r="AK207" i="52" a="1"/>
  <c r="AK207" i="52" s="1"/>
  <c r="B209" i="53" s="1"/>
  <c r="O209" i="53" s="1"/>
  <c r="C208" i="53"/>
  <c r="E208" i="53"/>
  <c r="P208" i="53"/>
  <c r="G208" i="53"/>
  <c r="H208" i="53"/>
  <c r="J208" i="53"/>
  <c r="K208" i="53"/>
  <c r="I208" i="53"/>
  <c r="D208" i="53"/>
  <c r="F208" i="53"/>
  <c r="M208" i="53"/>
  <c r="A138" i="32"/>
  <c r="B138" i="32"/>
  <c r="R138" i="32" s="1"/>
  <c r="A137" i="32"/>
  <c r="B137" i="32"/>
  <c r="R137" i="32" s="1"/>
  <c r="H148" i="50"/>
  <c r="J148" i="50"/>
  <c r="K148" i="50"/>
  <c r="F148" i="50"/>
  <c r="N148" i="50"/>
  <c r="M148" i="50"/>
  <c r="G148" i="50"/>
  <c r="A148" i="50"/>
  <c r="Q148" i="50" s="1"/>
  <c r="P148" i="50" s="1"/>
  <c r="B148" i="50"/>
  <c r="R148" i="50" s="1"/>
  <c r="I148" i="50"/>
  <c r="L148" i="50"/>
  <c r="L138" i="32"/>
  <c r="G138" i="32"/>
  <c r="O138" i="32"/>
  <c r="H138" i="32"/>
  <c r="K138" i="32"/>
  <c r="M138" i="32"/>
  <c r="J138" i="32"/>
  <c r="N138" i="32"/>
  <c r="F138" i="32"/>
  <c r="AM138" i="32" s="1"/>
  <c r="I138" i="32"/>
  <c r="F137" i="32"/>
  <c r="AM137" i="32" s="1"/>
  <c r="N137" i="32"/>
  <c r="I137" i="32"/>
  <c r="J137" i="32"/>
  <c r="M137" i="32"/>
  <c r="G137" i="32"/>
  <c r="L137" i="32"/>
  <c r="O137" i="32"/>
  <c r="H137" i="32"/>
  <c r="K137" i="32"/>
  <c r="Z146" i="50"/>
  <c r="W146" i="50"/>
  <c r="X146" i="50" s="1"/>
  <c r="Q207" i="57"/>
  <c r="T207" i="57" s="1"/>
  <c r="F208" i="57"/>
  <c r="E208" i="57"/>
  <c r="D208" i="57"/>
  <c r="P208" i="57"/>
  <c r="J208" i="57"/>
  <c r="I208" i="57"/>
  <c r="K208" i="57"/>
  <c r="G208" i="57"/>
  <c r="C208" i="57"/>
  <c r="M208" i="57" s="1"/>
  <c r="H208" i="57"/>
  <c r="AK207" i="55" a="1"/>
  <c r="AK207" i="55" s="1"/>
  <c r="B209" i="57" s="1"/>
  <c r="O209" i="57" s="1"/>
  <c r="W136" i="32"/>
  <c r="X136" i="32" s="1"/>
  <c r="Z136" i="32"/>
  <c r="AN193" i="67" a="1"/>
  <c r="AN193" i="67" s="1"/>
  <c r="B194" i="69"/>
  <c r="C193" i="69"/>
  <c r="N192" i="69"/>
  <c r="AF192" i="69" s="1"/>
  <c r="D192" i="69"/>
  <c r="E192" i="69" s="1"/>
  <c r="F192" i="69" s="1"/>
  <c r="G192" i="69" s="1"/>
  <c r="H192" i="69" s="1"/>
  <c r="I192" i="69" s="1"/>
  <c r="J192" i="69" s="1"/>
  <c r="K192" i="69" s="1"/>
  <c r="M192" i="69" s="1"/>
  <c r="AE191" i="69"/>
  <c r="U191" i="69"/>
  <c r="Q191" i="69"/>
  <c r="R191" i="69"/>
  <c r="S191" i="69" s="1"/>
  <c r="Y191" i="69" s="1"/>
  <c r="AL138" i="11" a="1"/>
  <c r="AL138" i="11" s="1"/>
  <c r="E139" i="32" s="1"/>
  <c r="AL148" i="59" a="1"/>
  <c r="AL148" i="59" s="1"/>
  <c r="E149" i="50" s="1"/>
  <c r="AM38" i="59" a="1"/>
  <c r="AM38" i="59" s="1"/>
  <c r="AM23" i="11" a="1"/>
  <c r="AM23" i="11" s="1"/>
  <c r="AB191" i="69" l="1"/>
  <c r="AC191" i="69" s="1"/>
  <c r="AD191" i="69" s="1"/>
  <c r="AG191" i="69"/>
  <c r="AO193" i="69"/>
  <c r="P193" i="69"/>
  <c r="L194" i="69"/>
  <c r="O194" i="69"/>
  <c r="X207" i="57"/>
  <c r="T149" i="50"/>
  <c r="AK149" i="50"/>
  <c r="AB206" i="57"/>
  <c r="AF206" i="57"/>
  <c r="AE208" i="53"/>
  <c r="AC208" i="53"/>
  <c r="AB207" i="53"/>
  <c r="AA207" i="53"/>
  <c r="AF207" i="53"/>
  <c r="AK139" i="32"/>
  <c r="T139" i="32"/>
  <c r="AE208" i="57"/>
  <c r="AC208" i="57"/>
  <c r="AM148" i="50"/>
  <c r="U148" i="50"/>
  <c r="AD147" i="50"/>
  <c r="AG147" i="50" s="1"/>
  <c r="AH147" i="50" s="1"/>
  <c r="AI147" i="50" s="1"/>
  <c r="U138" i="32"/>
  <c r="U137" i="32"/>
  <c r="AG136" i="32"/>
  <c r="AH136" i="32" s="1"/>
  <c r="AL136" i="32"/>
  <c r="AP145" i="50"/>
  <c r="R208" i="57"/>
  <c r="R208" i="53"/>
  <c r="X208" i="53" s="1"/>
  <c r="AL146" i="50"/>
  <c r="Q138" i="32"/>
  <c r="P138" i="32" s="1"/>
  <c r="Q137" i="32"/>
  <c r="P137" i="32" s="1"/>
  <c r="AI135" i="32"/>
  <c r="AN135" i="32" s="1"/>
  <c r="AX192" i="69"/>
  <c r="AG209" i="57"/>
  <c r="L209" i="57"/>
  <c r="O149" i="50"/>
  <c r="AJ208" i="57"/>
  <c r="AP208" i="57"/>
  <c r="AH208" i="53"/>
  <c r="AT208" i="53"/>
  <c r="AG208" i="53"/>
  <c r="N209" i="57"/>
  <c r="I209" i="53"/>
  <c r="N209" i="53"/>
  <c r="AH192" i="69"/>
  <c r="AJ147" i="50"/>
  <c r="C147" i="50"/>
  <c r="AD208" i="57"/>
  <c r="Q208" i="53"/>
  <c r="AD208" i="53"/>
  <c r="S148" i="50"/>
  <c r="V147" i="50"/>
  <c r="S137" i="32"/>
  <c r="V137" i="32" s="1"/>
  <c r="S138" i="32"/>
  <c r="V138" i="32" s="1"/>
  <c r="L209" i="53"/>
  <c r="G209" i="53"/>
  <c r="C209" i="53"/>
  <c r="M209" i="53"/>
  <c r="F209" i="53"/>
  <c r="E209" i="53"/>
  <c r="H209" i="53"/>
  <c r="P209" i="53"/>
  <c r="AK208" i="52" a="1"/>
  <c r="AK208" i="52" s="1"/>
  <c r="B210" i="53" s="1"/>
  <c r="O210" i="53" s="1"/>
  <c r="J209" i="53"/>
  <c r="D209" i="53"/>
  <c r="K209" i="53"/>
  <c r="A139" i="32"/>
  <c r="B139" i="32"/>
  <c r="R139" i="32" s="1"/>
  <c r="M149" i="50"/>
  <c r="F149" i="50"/>
  <c r="J149" i="50"/>
  <c r="H149" i="50"/>
  <c r="A149" i="50"/>
  <c r="Q149" i="50" s="1"/>
  <c r="P149" i="50" s="1"/>
  <c r="K149" i="50"/>
  <c r="N149" i="50"/>
  <c r="L149" i="50"/>
  <c r="I149" i="50"/>
  <c r="B149" i="50"/>
  <c r="R149" i="50" s="1"/>
  <c r="G149" i="50"/>
  <c r="J139" i="32"/>
  <c r="M139" i="32"/>
  <c r="F139" i="32"/>
  <c r="AM139" i="32" s="1"/>
  <c r="N139" i="32"/>
  <c r="I139" i="32"/>
  <c r="H139" i="32"/>
  <c r="K139" i="32"/>
  <c r="G139" i="32"/>
  <c r="L139" i="32"/>
  <c r="O139" i="32"/>
  <c r="K209" i="57"/>
  <c r="H209" i="57"/>
  <c r="F209" i="57"/>
  <c r="C209" i="57"/>
  <c r="M209" i="57" s="1"/>
  <c r="P209" i="57"/>
  <c r="E209" i="57"/>
  <c r="G209" i="57"/>
  <c r="J209" i="57"/>
  <c r="I209" i="57"/>
  <c r="D209" i="57"/>
  <c r="Q208" i="57"/>
  <c r="T208" i="57" s="1"/>
  <c r="Z147" i="50"/>
  <c r="W147" i="50"/>
  <c r="X147" i="50" s="1"/>
  <c r="AK208" i="55" a="1"/>
  <c r="AK208" i="55" s="1"/>
  <c r="B210" i="57" s="1"/>
  <c r="O210" i="57" s="1"/>
  <c r="AN194" i="67" a="1"/>
  <c r="AN194" i="67" s="1"/>
  <c r="B195" i="69"/>
  <c r="N193" i="69"/>
  <c r="AF193" i="69" s="1"/>
  <c r="D193" i="69"/>
  <c r="E193" i="69" s="1"/>
  <c r="F193" i="69" s="1"/>
  <c r="G193" i="69" s="1"/>
  <c r="H193" i="69" s="1"/>
  <c r="I193" i="69" s="1"/>
  <c r="J193" i="69" s="1"/>
  <c r="K193" i="69" s="1"/>
  <c r="M193" i="69" s="1"/>
  <c r="U192" i="69"/>
  <c r="Q192" i="69"/>
  <c r="R192" i="69"/>
  <c r="S192" i="69" s="1"/>
  <c r="Y192" i="69" s="1"/>
  <c r="AE192" i="69"/>
  <c r="C194" i="69"/>
  <c r="AL139" i="11" a="1"/>
  <c r="AL139" i="11" s="1"/>
  <c r="E140" i="32" s="1"/>
  <c r="AL149" i="59" a="1"/>
  <c r="AL149" i="59" s="1"/>
  <c r="E150" i="50" s="1"/>
  <c r="AM39" i="59" a="1"/>
  <c r="AM39" i="59" s="1"/>
  <c r="AM24" i="11" a="1"/>
  <c r="AM24" i="11" s="1"/>
  <c r="AB207" i="57" l="1"/>
  <c r="AA207" i="57"/>
  <c r="AB192" i="69"/>
  <c r="AC192" i="69" s="1"/>
  <c r="AD192" i="69" s="1"/>
  <c r="AG192" i="69"/>
  <c r="L195" i="69"/>
  <c r="O195" i="69"/>
  <c r="AO194" i="69"/>
  <c r="P194" i="69"/>
  <c r="AF207" i="57"/>
  <c r="X208" i="57"/>
  <c r="AA208" i="57" s="1"/>
  <c r="T150" i="50"/>
  <c r="AK150" i="50"/>
  <c r="AB208" i="53"/>
  <c r="AA208" i="53"/>
  <c r="AE209" i="53"/>
  <c r="AC209" i="53"/>
  <c r="AF208" i="53"/>
  <c r="AK140" i="32"/>
  <c r="T140" i="32"/>
  <c r="AD137" i="32"/>
  <c r="AD138" i="32"/>
  <c r="AE209" i="57"/>
  <c r="AC209" i="57"/>
  <c r="AM149" i="50"/>
  <c r="U149" i="50"/>
  <c r="AD148" i="50"/>
  <c r="AG148" i="50" s="1"/>
  <c r="AH148" i="50" s="1"/>
  <c r="AI148" i="50" s="1"/>
  <c r="U139" i="32"/>
  <c r="AI136" i="32"/>
  <c r="AN136" i="32" s="1"/>
  <c r="AP146" i="50"/>
  <c r="R209" i="57"/>
  <c r="R209" i="53"/>
  <c r="X209" i="53" s="1"/>
  <c r="AL147" i="50"/>
  <c r="Q139" i="32"/>
  <c r="P139" i="32" s="1"/>
  <c r="AX193" i="69"/>
  <c r="AG210" i="57"/>
  <c r="L210" i="57"/>
  <c r="O150" i="50"/>
  <c r="AJ209" i="57"/>
  <c r="AP209" i="57"/>
  <c r="AH209" i="53"/>
  <c r="AT209" i="53"/>
  <c r="AG209" i="53"/>
  <c r="N210" i="57"/>
  <c r="N210" i="53"/>
  <c r="AH193" i="69"/>
  <c r="AJ148" i="50"/>
  <c r="C148" i="50"/>
  <c r="AJ137" i="32"/>
  <c r="C137" i="32"/>
  <c r="AJ138" i="32"/>
  <c r="C138" i="32"/>
  <c r="AD209" i="57"/>
  <c r="AD209" i="53"/>
  <c r="S149" i="50"/>
  <c r="V148" i="50"/>
  <c r="S139" i="32"/>
  <c r="V139" i="32" s="1"/>
  <c r="Q209" i="53"/>
  <c r="K210" i="53"/>
  <c r="I210" i="53"/>
  <c r="M210" i="53"/>
  <c r="G210" i="53"/>
  <c r="AK209" i="52" a="1"/>
  <c r="AK209" i="52" s="1"/>
  <c r="B211" i="53" s="1"/>
  <c r="O211" i="53" s="1"/>
  <c r="F210" i="53"/>
  <c r="L210" i="53"/>
  <c r="E210" i="53"/>
  <c r="C210" i="53"/>
  <c r="H210" i="53"/>
  <c r="J210" i="53"/>
  <c r="P210" i="53"/>
  <c r="D210" i="53"/>
  <c r="A140" i="32"/>
  <c r="B140" i="32"/>
  <c r="R140" i="32" s="1"/>
  <c r="F150" i="50"/>
  <c r="L150" i="50"/>
  <c r="N150" i="50"/>
  <c r="M150" i="50"/>
  <c r="G150" i="50"/>
  <c r="A150" i="50"/>
  <c r="Q150" i="50" s="1"/>
  <c r="P150" i="50" s="1"/>
  <c r="B150" i="50"/>
  <c r="R150" i="50" s="1"/>
  <c r="H150" i="50"/>
  <c r="I150" i="50"/>
  <c r="J150" i="50"/>
  <c r="K150" i="50"/>
  <c r="H140" i="32"/>
  <c r="K140" i="32"/>
  <c r="L140" i="32"/>
  <c r="G140" i="32"/>
  <c r="O140" i="32"/>
  <c r="I140" i="32"/>
  <c r="N140" i="32"/>
  <c r="F140" i="32"/>
  <c r="AM140" i="32" s="1"/>
  <c r="J140" i="32"/>
  <c r="M140" i="32"/>
  <c r="Z137" i="32"/>
  <c r="W137" i="32"/>
  <c r="X137" i="32" s="1"/>
  <c r="Q209" i="57"/>
  <c r="T209" i="57" s="1"/>
  <c r="Z148" i="50"/>
  <c r="W148" i="50"/>
  <c r="X148" i="50" s="1"/>
  <c r="K210" i="57"/>
  <c r="P210" i="57"/>
  <c r="G210" i="57"/>
  <c r="E210" i="57"/>
  <c r="C210" i="57"/>
  <c r="M210" i="57" s="1"/>
  <c r="J210" i="57"/>
  <c r="H210" i="57"/>
  <c r="I210" i="57"/>
  <c r="D210" i="57"/>
  <c r="F210" i="57"/>
  <c r="AK209" i="55" a="1"/>
  <c r="AK209" i="55" s="1"/>
  <c r="B211" i="57" s="1"/>
  <c r="O211" i="57" s="1"/>
  <c r="W138" i="32"/>
  <c r="X138" i="32" s="1"/>
  <c r="Z138" i="32"/>
  <c r="C195" i="69"/>
  <c r="N194" i="69"/>
  <c r="AF194" i="69" s="1"/>
  <c r="D194" i="69"/>
  <c r="E194" i="69" s="1"/>
  <c r="F194" i="69" s="1"/>
  <c r="G194" i="69" s="1"/>
  <c r="H194" i="69" s="1"/>
  <c r="I194" i="69" s="1"/>
  <c r="J194" i="69" s="1"/>
  <c r="K194" i="69" s="1"/>
  <c r="M194" i="69" s="1"/>
  <c r="Q193" i="69"/>
  <c r="U193" i="69"/>
  <c r="AE193" i="69"/>
  <c r="R193" i="69"/>
  <c r="S193" i="69" s="1"/>
  <c r="Y193" i="69" s="1"/>
  <c r="AN195" i="67" a="1"/>
  <c r="AN195" i="67" s="1"/>
  <c r="B196" i="69"/>
  <c r="AL140" i="11" a="1"/>
  <c r="AL140" i="11" s="1"/>
  <c r="E141" i="32" s="1"/>
  <c r="AL150" i="59" a="1"/>
  <c r="AL150" i="59" s="1"/>
  <c r="E151" i="50" s="1"/>
  <c r="AM40" i="59" a="1"/>
  <c r="AM40" i="59" s="1"/>
  <c r="AM25" i="11" a="1"/>
  <c r="AM25" i="11" s="1"/>
  <c r="AB193" i="69" l="1"/>
  <c r="AC193" i="69" s="1"/>
  <c r="AD193" i="69" s="1"/>
  <c r="AG193" i="69"/>
  <c r="AO195" i="69"/>
  <c r="P195" i="69"/>
  <c r="L196" i="69"/>
  <c r="O196" i="69"/>
  <c r="AB208" i="57"/>
  <c r="AF208" i="57"/>
  <c r="AK151" i="50"/>
  <c r="T151" i="50"/>
  <c r="AB209" i="53"/>
  <c r="AA209" i="53"/>
  <c r="AF209" i="53"/>
  <c r="AE210" i="53"/>
  <c r="AC210" i="53"/>
  <c r="AK141" i="32"/>
  <c r="T141" i="32"/>
  <c r="AD139" i="32"/>
  <c r="X209" i="57"/>
  <c r="AE210" i="57"/>
  <c r="AC210" i="57"/>
  <c r="AD149" i="50"/>
  <c r="AG149" i="50" s="1"/>
  <c r="AH149" i="50" s="1"/>
  <c r="AI149" i="50" s="1"/>
  <c r="AM150" i="50"/>
  <c r="U150" i="50"/>
  <c r="U140" i="32"/>
  <c r="AG138" i="32"/>
  <c r="AH138" i="32" s="1"/>
  <c r="AL138" i="32"/>
  <c r="AG137" i="32"/>
  <c r="AH137" i="32" s="1"/>
  <c r="AL137" i="32"/>
  <c r="AP147" i="50"/>
  <c r="R210" i="57"/>
  <c r="R210" i="53"/>
  <c r="X210" i="53" s="1"/>
  <c r="AL148" i="50"/>
  <c r="Q140" i="32"/>
  <c r="P140" i="32" s="1"/>
  <c r="AX194" i="69"/>
  <c r="L211" i="57"/>
  <c r="AG211" i="57"/>
  <c r="O151" i="50"/>
  <c r="AJ210" i="57"/>
  <c r="AP210" i="57"/>
  <c r="AH210" i="53"/>
  <c r="AT210" i="53"/>
  <c r="AG210" i="53"/>
  <c r="N211" i="57"/>
  <c r="F211" i="53"/>
  <c r="N211" i="53"/>
  <c r="AH194" i="69"/>
  <c r="AJ149" i="50"/>
  <c r="C149" i="50"/>
  <c r="AJ139" i="32"/>
  <c r="C139" i="32"/>
  <c r="AD210" i="57"/>
  <c r="Q210" i="53"/>
  <c r="AD210" i="53"/>
  <c r="S150" i="50"/>
  <c r="V149" i="50"/>
  <c r="S140" i="32"/>
  <c r="V140" i="32" s="1"/>
  <c r="AK210" i="52" a="1"/>
  <c r="AK210" i="52" s="1"/>
  <c r="B212" i="53" s="1"/>
  <c r="O212" i="53" s="1"/>
  <c r="M211" i="53"/>
  <c r="K211" i="53"/>
  <c r="L211" i="53"/>
  <c r="J211" i="53"/>
  <c r="H211" i="53"/>
  <c r="I211" i="53"/>
  <c r="P211" i="53"/>
  <c r="C211" i="53"/>
  <c r="E211" i="53"/>
  <c r="G211" i="53"/>
  <c r="D211" i="53"/>
  <c r="A141" i="32"/>
  <c r="B141" i="32"/>
  <c r="R141" i="32" s="1"/>
  <c r="G151" i="50"/>
  <c r="M151" i="50"/>
  <c r="F151" i="50"/>
  <c r="I151" i="50"/>
  <c r="J151" i="50"/>
  <c r="A151" i="50"/>
  <c r="Q151" i="50" s="1"/>
  <c r="P151" i="50" s="1"/>
  <c r="L151" i="50"/>
  <c r="N151" i="50"/>
  <c r="H151" i="50"/>
  <c r="K151" i="50"/>
  <c r="B151" i="50"/>
  <c r="R151" i="50" s="1"/>
  <c r="F141" i="32"/>
  <c r="AM141" i="32" s="1"/>
  <c r="N141" i="32"/>
  <c r="I141" i="32"/>
  <c r="J141" i="32"/>
  <c r="M141" i="32"/>
  <c r="O141" i="32"/>
  <c r="G141" i="32"/>
  <c r="L141" i="32"/>
  <c r="H141" i="32"/>
  <c r="K141" i="32"/>
  <c r="P211" i="57"/>
  <c r="D211" i="57"/>
  <c r="K211" i="57"/>
  <c r="G211" i="57"/>
  <c r="F211" i="57"/>
  <c r="H211" i="57"/>
  <c r="C211" i="57"/>
  <c r="M211" i="57" s="1"/>
  <c r="I211" i="57"/>
  <c r="J211" i="57"/>
  <c r="E211" i="57"/>
  <c r="Q210" i="57"/>
  <c r="T210" i="57" s="1"/>
  <c r="W149" i="50"/>
  <c r="X149" i="50" s="1"/>
  <c r="Z149" i="50"/>
  <c r="AK210" i="55" a="1"/>
  <c r="AK210" i="55" s="1"/>
  <c r="B212" i="57" s="1"/>
  <c r="O212" i="57" s="1"/>
  <c r="W139" i="32"/>
  <c r="X139" i="32" s="1"/>
  <c r="Z139" i="32"/>
  <c r="AN196" i="67" a="1"/>
  <c r="AN196" i="67" s="1"/>
  <c r="B197" i="69"/>
  <c r="D195" i="69"/>
  <c r="E195" i="69" s="1"/>
  <c r="F195" i="69" s="1"/>
  <c r="G195" i="69" s="1"/>
  <c r="H195" i="69" s="1"/>
  <c r="I195" i="69" s="1"/>
  <c r="J195" i="69" s="1"/>
  <c r="K195" i="69" s="1"/>
  <c r="M195" i="69" s="1"/>
  <c r="N195" i="69"/>
  <c r="AF195" i="69" s="1"/>
  <c r="AE194" i="69"/>
  <c r="R194" i="69"/>
  <c r="S194" i="69" s="1"/>
  <c r="Y194" i="69" s="1"/>
  <c r="Q194" i="69"/>
  <c r="U194" i="69"/>
  <c r="C196" i="69"/>
  <c r="AL141" i="11" a="1"/>
  <c r="AL141" i="11" s="1"/>
  <c r="E142" i="32" s="1"/>
  <c r="AL151" i="59" a="1"/>
  <c r="AL151" i="59" s="1"/>
  <c r="E152" i="50" s="1"/>
  <c r="AM41" i="59" a="1"/>
  <c r="AM41" i="59" s="1"/>
  <c r="AM26" i="11" a="1"/>
  <c r="AM26" i="11" s="1"/>
  <c r="AB209" i="57" l="1"/>
  <c r="AA209" i="57"/>
  <c r="AB194" i="69"/>
  <c r="AC194" i="69" s="1"/>
  <c r="AD194" i="69" s="1"/>
  <c r="AG194" i="69"/>
  <c r="L197" i="69"/>
  <c r="O197" i="69"/>
  <c r="AO196" i="69"/>
  <c r="P196" i="69"/>
  <c r="AK152" i="50"/>
  <c r="T152" i="50"/>
  <c r="X210" i="57"/>
  <c r="AA210" i="57" s="1"/>
  <c r="AB210" i="53"/>
  <c r="AA210" i="53"/>
  <c r="AF210" i="53"/>
  <c r="AE211" i="53"/>
  <c r="AC211" i="53"/>
  <c r="AK142" i="32"/>
  <c r="T142" i="32"/>
  <c r="AD140" i="32"/>
  <c r="AF209" i="57"/>
  <c r="AE211" i="57"/>
  <c r="AC211" i="57"/>
  <c r="AD150" i="50"/>
  <c r="AG150" i="50" s="1"/>
  <c r="AH150" i="50" s="1"/>
  <c r="AI150" i="50" s="1"/>
  <c r="AM151" i="50"/>
  <c r="U151" i="50"/>
  <c r="U141" i="32"/>
  <c r="AG139" i="32"/>
  <c r="AH139" i="32" s="1"/>
  <c r="AL139" i="32"/>
  <c r="AI137" i="32"/>
  <c r="AN137" i="32" s="1"/>
  <c r="AI138" i="32"/>
  <c r="AN138" i="32" s="1"/>
  <c r="AP148" i="50"/>
  <c r="R211" i="57"/>
  <c r="R211" i="53"/>
  <c r="X211" i="53" s="1"/>
  <c r="AL149" i="50"/>
  <c r="Q141" i="32"/>
  <c r="P141" i="32" s="1"/>
  <c r="AX195" i="69"/>
  <c r="AG212" i="57"/>
  <c r="L212" i="57"/>
  <c r="O152" i="50"/>
  <c r="AJ211" i="57"/>
  <c r="AP211" i="57"/>
  <c r="AH211" i="53"/>
  <c r="AT211" i="53"/>
  <c r="AG211" i="53"/>
  <c r="N212" i="57"/>
  <c r="M212" i="53"/>
  <c r="N212" i="53"/>
  <c r="AH195" i="69"/>
  <c r="AJ150" i="50"/>
  <c r="C150" i="50"/>
  <c r="AJ140" i="32"/>
  <c r="C140" i="32"/>
  <c r="AD211" i="57"/>
  <c r="AD211" i="53"/>
  <c r="S151" i="50"/>
  <c r="V150" i="50"/>
  <c r="S141" i="32"/>
  <c r="V141" i="32" s="1"/>
  <c r="Q211" i="53"/>
  <c r="AK211" i="52" a="1"/>
  <c r="AK211" i="52" s="1"/>
  <c r="B213" i="53" s="1"/>
  <c r="O213" i="53" s="1"/>
  <c r="J212" i="53"/>
  <c r="L212" i="53"/>
  <c r="H212" i="53"/>
  <c r="C212" i="53"/>
  <c r="E212" i="53"/>
  <c r="D212" i="53"/>
  <c r="G212" i="53"/>
  <c r="K212" i="53"/>
  <c r="F212" i="53"/>
  <c r="P212" i="53"/>
  <c r="I212" i="53"/>
  <c r="A142" i="32"/>
  <c r="B142" i="32"/>
  <c r="R142" i="32" s="1"/>
  <c r="B152" i="50"/>
  <c r="R152" i="50" s="1"/>
  <c r="I152" i="50"/>
  <c r="N152" i="50"/>
  <c r="A152" i="50"/>
  <c r="Q152" i="50" s="1"/>
  <c r="P152" i="50" s="1"/>
  <c r="G152" i="50"/>
  <c r="J152" i="50"/>
  <c r="K152" i="50"/>
  <c r="M152" i="50"/>
  <c r="F152" i="50"/>
  <c r="H152" i="50"/>
  <c r="L152" i="50"/>
  <c r="L142" i="32"/>
  <c r="G142" i="32"/>
  <c r="O142" i="32"/>
  <c r="H142" i="32"/>
  <c r="K142" i="32"/>
  <c r="J142" i="32"/>
  <c r="M142" i="32"/>
  <c r="F142" i="32"/>
  <c r="AM142" i="32" s="1"/>
  <c r="I142" i="32"/>
  <c r="N142" i="32"/>
  <c r="Q211" i="57"/>
  <c r="T211" i="57" s="1"/>
  <c r="I212" i="57"/>
  <c r="F212" i="57"/>
  <c r="D212" i="57"/>
  <c r="E212" i="57"/>
  <c r="J212" i="57"/>
  <c r="P212" i="57"/>
  <c r="K212" i="57"/>
  <c r="C212" i="57"/>
  <c r="M212" i="57" s="1"/>
  <c r="G212" i="57"/>
  <c r="H212" i="57"/>
  <c r="W150" i="50"/>
  <c r="X150" i="50" s="1"/>
  <c r="Z150" i="50"/>
  <c r="AK211" i="55" a="1"/>
  <c r="AK211" i="55" s="1"/>
  <c r="B213" i="57" s="1"/>
  <c r="O213" i="57" s="1"/>
  <c r="W140" i="32"/>
  <c r="X140" i="32" s="1"/>
  <c r="Z140" i="32"/>
  <c r="AN197" i="67" a="1"/>
  <c r="AN197" i="67" s="1"/>
  <c r="B198" i="69"/>
  <c r="AE195" i="69"/>
  <c r="U195" i="69"/>
  <c r="R195" i="69"/>
  <c r="S195" i="69" s="1"/>
  <c r="Y195" i="69" s="1"/>
  <c r="Q195" i="69"/>
  <c r="C197" i="69"/>
  <c r="N196" i="69"/>
  <c r="AF196" i="69" s="1"/>
  <c r="D196" i="69"/>
  <c r="E196" i="69" s="1"/>
  <c r="F196" i="69" s="1"/>
  <c r="G196" i="69" s="1"/>
  <c r="H196" i="69" s="1"/>
  <c r="I196" i="69" s="1"/>
  <c r="J196" i="69" s="1"/>
  <c r="K196" i="69" s="1"/>
  <c r="M196" i="69" s="1"/>
  <c r="AL142" i="11" a="1"/>
  <c r="AL142" i="11" s="1"/>
  <c r="E143" i="32" s="1"/>
  <c r="AL152" i="59" a="1"/>
  <c r="AL152" i="59" s="1"/>
  <c r="E153" i="50" s="1"/>
  <c r="AM42" i="59" a="1"/>
  <c r="AM42" i="59" s="1"/>
  <c r="AM27" i="11" a="1"/>
  <c r="AM27" i="11" s="1"/>
  <c r="X211" i="57" l="1"/>
  <c r="AA211" i="57" s="1"/>
  <c r="AB195" i="69"/>
  <c r="AC195" i="69" s="1"/>
  <c r="AD195" i="69" s="1"/>
  <c r="AG195" i="69"/>
  <c r="AO197" i="69"/>
  <c r="P197" i="69"/>
  <c r="L198" i="69"/>
  <c r="O198" i="69"/>
  <c r="T153" i="50"/>
  <c r="AK153" i="50"/>
  <c r="AF210" i="57"/>
  <c r="AB210" i="57"/>
  <c r="AF211" i="53"/>
  <c r="AB211" i="53"/>
  <c r="AA211" i="53"/>
  <c r="AE212" i="53"/>
  <c r="AC212" i="53"/>
  <c r="AK143" i="32"/>
  <c r="T143" i="32"/>
  <c r="AD141" i="32"/>
  <c r="AE212" i="57"/>
  <c r="AC212" i="57"/>
  <c r="AD151" i="50"/>
  <c r="AG151" i="50" s="1"/>
  <c r="AH151" i="50" s="1"/>
  <c r="AI151" i="50" s="1"/>
  <c r="AM152" i="50"/>
  <c r="U152" i="50"/>
  <c r="U142" i="32"/>
  <c r="AG140" i="32"/>
  <c r="AH140" i="32" s="1"/>
  <c r="AL140" i="32"/>
  <c r="AI139" i="32"/>
  <c r="AN139" i="32" s="1"/>
  <c r="AP149" i="50"/>
  <c r="R212" i="57"/>
  <c r="R212" i="53"/>
  <c r="X212" i="53" s="1"/>
  <c r="AL150" i="50"/>
  <c r="Q142" i="32"/>
  <c r="P142" i="32" s="1"/>
  <c r="AX196" i="69"/>
  <c r="L213" i="57"/>
  <c r="AG213" i="57"/>
  <c r="O153" i="50"/>
  <c r="AJ212" i="57"/>
  <c r="AP212" i="57"/>
  <c r="AH212" i="53"/>
  <c r="AT212" i="53"/>
  <c r="AG212" i="53"/>
  <c r="Q212" i="53"/>
  <c r="N213" i="57"/>
  <c r="N213" i="53"/>
  <c r="AD212" i="53"/>
  <c r="AH196" i="69"/>
  <c r="AJ151" i="50"/>
  <c r="C151" i="50"/>
  <c r="AJ141" i="32"/>
  <c r="C141" i="32"/>
  <c r="AD212" i="57"/>
  <c r="S152" i="50"/>
  <c r="V151" i="50"/>
  <c r="S142" i="32"/>
  <c r="V142" i="32" s="1"/>
  <c r="L213" i="53"/>
  <c r="E213" i="53"/>
  <c r="M213" i="53"/>
  <c r="J213" i="53"/>
  <c r="H213" i="53"/>
  <c r="P213" i="53"/>
  <c r="I213" i="53"/>
  <c r="G213" i="53"/>
  <c r="K213" i="53"/>
  <c r="C213" i="53"/>
  <c r="AK212" i="52" a="1"/>
  <c r="AK212" i="52" s="1"/>
  <c r="B214" i="53" s="1"/>
  <c r="O214" i="53" s="1"/>
  <c r="D213" i="53"/>
  <c r="F213" i="53"/>
  <c r="A143" i="32"/>
  <c r="B143" i="32"/>
  <c r="R143" i="32" s="1"/>
  <c r="F153" i="50"/>
  <c r="L153" i="50"/>
  <c r="M153" i="50"/>
  <c r="I153" i="50"/>
  <c r="N153" i="50"/>
  <c r="J153" i="50"/>
  <c r="G153" i="50"/>
  <c r="H153" i="50"/>
  <c r="B153" i="50"/>
  <c r="R153" i="50" s="1"/>
  <c r="A153" i="50"/>
  <c r="Q153" i="50" s="1"/>
  <c r="P153" i="50" s="1"/>
  <c r="K153" i="50"/>
  <c r="J143" i="32"/>
  <c r="M143" i="32"/>
  <c r="F143" i="32"/>
  <c r="AM143" i="32" s="1"/>
  <c r="N143" i="32"/>
  <c r="I143" i="32"/>
  <c r="K143" i="32"/>
  <c r="H143" i="32"/>
  <c r="G143" i="32"/>
  <c r="L143" i="32"/>
  <c r="O143" i="32"/>
  <c r="Z151" i="50"/>
  <c r="W151" i="50"/>
  <c r="X151" i="50" s="1"/>
  <c r="Q212" i="57"/>
  <c r="T212" i="57" s="1"/>
  <c r="D213" i="57"/>
  <c r="P213" i="57"/>
  <c r="C213" i="57"/>
  <c r="M213" i="57" s="1"/>
  <c r="K213" i="57"/>
  <c r="J213" i="57"/>
  <c r="H213" i="57"/>
  <c r="F213" i="57"/>
  <c r="I213" i="57"/>
  <c r="E213" i="57"/>
  <c r="G213" i="57"/>
  <c r="AK212" i="55" a="1"/>
  <c r="AK212" i="55" s="1"/>
  <c r="B214" i="57" s="1"/>
  <c r="O214" i="57" s="1"/>
  <c r="W141" i="32"/>
  <c r="X141" i="32" s="1"/>
  <c r="Z141" i="32"/>
  <c r="AN198" i="67" a="1"/>
  <c r="AN198" i="67" s="1"/>
  <c r="B199" i="69"/>
  <c r="D197" i="69"/>
  <c r="E197" i="69" s="1"/>
  <c r="F197" i="69" s="1"/>
  <c r="G197" i="69" s="1"/>
  <c r="H197" i="69" s="1"/>
  <c r="I197" i="69" s="1"/>
  <c r="J197" i="69" s="1"/>
  <c r="K197" i="69" s="1"/>
  <c r="M197" i="69" s="1"/>
  <c r="N197" i="69"/>
  <c r="AF197" i="69" s="1"/>
  <c r="AE196" i="69"/>
  <c r="U196" i="69"/>
  <c r="Q196" i="69"/>
  <c r="R196" i="69"/>
  <c r="S196" i="69" s="1"/>
  <c r="Y196" i="69" s="1"/>
  <c r="C198" i="69"/>
  <c r="AL143" i="11" a="1"/>
  <c r="AL143" i="11" s="1"/>
  <c r="E144" i="32" s="1"/>
  <c r="AL153" i="59" a="1"/>
  <c r="AL153" i="59" s="1"/>
  <c r="E154" i="50" s="1"/>
  <c r="AM43" i="59" a="1"/>
  <c r="AM43" i="59" s="1"/>
  <c r="AM28" i="11" a="1"/>
  <c r="AM28" i="11" s="1"/>
  <c r="AB211" i="57" l="1"/>
  <c r="AF211" i="57"/>
  <c r="AB196" i="69"/>
  <c r="AC196" i="69" s="1"/>
  <c r="AD196" i="69" s="1"/>
  <c r="AG196" i="69"/>
  <c r="L199" i="69"/>
  <c r="O199" i="69"/>
  <c r="AO198" i="69"/>
  <c r="P198" i="69"/>
  <c r="T154" i="50"/>
  <c r="AK154" i="50"/>
  <c r="AB212" i="53"/>
  <c r="AA212" i="53"/>
  <c r="AE213" i="53"/>
  <c r="AC213" i="53"/>
  <c r="AF212" i="53"/>
  <c r="AK144" i="32"/>
  <c r="T144" i="32"/>
  <c r="AD142" i="32"/>
  <c r="X212" i="57"/>
  <c r="AE213" i="57"/>
  <c r="AC213" i="57"/>
  <c r="AM153" i="50"/>
  <c r="U153" i="50"/>
  <c r="AD152" i="50"/>
  <c r="AG152" i="50" s="1"/>
  <c r="AH152" i="50" s="1"/>
  <c r="AI152" i="50" s="1"/>
  <c r="U143" i="32"/>
  <c r="AG141" i="32"/>
  <c r="AH141" i="32" s="1"/>
  <c r="AL141" i="32"/>
  <c r="AI140" i="32"/>
  <c r="AN140" i="32" s="1"/>
  <c r="AP150" i="50"/>
  <c r="R213" i="57"/>
  <c r="R213" i="53"/>
  <c r="X213" i="53" s="1"/>
  <c r="AL151" i="50"/>
  <c r="Q143" i="32"/>
  <c r="P143" i="32" s="1"/>
  <c r="AX197" i="69"/>
  <c r="AG214" i="57"/>
  <c r="L214" i="57"/>
  <c r="O154" i="50"/>
  <c r="AJ213" i="57"/>
  <c r="AP213" i="57"/>
  <c r="AH213" i="53"/>
  <c r="AT213" i="53"/>
  <c r="AG213" i="53"/>
  <c r="N214" i="57"/>
  <c r="N214" i="53"/>
  <c r="AH197" i="69"/>
  <c r="AJ152" i="50"/>
  <c r="C152" i="50"/>
  <c r="AJ142" i="32"/>
  <c r="C142" i="32"/>
  <c r="AD213" i="57"/>
  <c r="AD213" i="53"/>
  <c r="S153" i="50"/>
  <c r="V152" i="50"/>
  <c r="S143" i="32"/>
  <c r="V143" i="32" s="1"/>
  <c r="Q213" i="53"/>
  <c r="F214" i="53"/>
  <c r="H214" i="53"/>
  <c r="C214" i="53"/>
  <c r="J214" i="53"/>
  <c r="M214" i="53"/>
  <c r="P214" i="53"/>
  <c r="E214" i="53"/>
  <c r="K214" i="53"/>
  <c r="L214" i="53"/>
  <c r="I214" i="53"/>
  <c r="AK213" i="52" a="1"/>
  <c r="AK213" i="52" s="1"/>
  <c r="B215" i="53" s="1"/>
  <c r="O215" i="53" s="1"/>
  <c r="D214" i="53"/>
  <c r="G214" i="53"/>
  <c r="A144" i="32"/>
  <c r="B144" i="32"/>
  <c r="R144" i="32" s="1"/>
  <c r="L154" i="50"/>
  <c r="M154" i="50"/>
  <c r="G154" i="50"/>
  <c r="H154" i="50"/>
  <c r="I154" i="50"/>
  <c r="K154" i="50"/>
  <c r="F154" i="50"/>
  <c r="N154" i="50"/>
  <c r="J154" i="50"/>
  <c r="B154" i="50"/>
  <c r="R154" i="50" s="1"/>
  <c r="A154" i="50"/>
  <c r="Q154" i="50" s="1"/>
  <c r="P154" i="50" s="1"/>
  <c r="H144" i="32"/>
  <c r="K144" i="32"/>
  <c r="L144" i="32"/>
  <c r="G144" i="32"/>
  <c r="O144" i="32"/>
  <c r="F144" i="32"/>
  <c r="AM144" i="32" s="1"/>
  <c r="I144" i="32"/>
  <c r="N144" i="32"/>
  <c r="J144" i="32"/>
  <c r="M144" i="32"/>
  <c r="Q213" i="57"/>
  <c r="T213" i="57" s="1"/>
  <c r="Z152" i="50"/>
  <c r="W152" i="50"/>
  <c r="X152" i="50" s="1"/>
  <c r="I214" i="57"/>
  <c r="D214" i="57"/>
  <c r="K214" i="57"/>
  <c r="J214" i="57"/>
  <c r="G214" i="57"/>
  <c r="P214" i="57"/>
  <c r="C214" i="57"/>
  <c r="M214" i="57" s="1"/>
  <c r="E214" i="57"/>
  <c r="H214" i="57"/>
  <c r="F214" i="57"/>
  <c r="AK213" i="55" a="1"/>
  <c r="AK213" i="55" s="1"/>
  <c r="B215" i="57" s="1"/>
  <c r="O215" i="57" s="1"/>
  <c r="W142" i="32"/>
  <c r="X142" i="32" s="1"/>
  <c r="Z142" i="32"/>
  <c r="AN199" i="67" a="1"/>
  <c r="AN199" i="67" s="1"/>
  <c r="B200" i="69"/>
  <c r="N198" i="69"/>
  <c r="AF198" i="69" s="1"/>
  <c r="D198" i="69"/>
  <c r="E198" i="69" s="1"/>
  <c r="F198" i="69" s="1"/>
  <c r="G198" i="69" s="1"/>
  <c r="H198" i="69" s="1"/>
  <c r="I198" i="69" s="1"/>
  <c r="J198" i="69" s="1"/>
  <c r="K198" i="69" s="1"/>
  <c r="M198" i="69" s="1"/>
  <c r="C199" i="69"/>
  <c r="U197" i="69"/>
  <c r="AE197" i="69"/>
  <c r="Q197" i="69"/>
  <c r="R197" i="69"/>
  <c r="S197" i="69" s="1"/>
  <c r="Y197" i="69" s="1"/>
  <c r="AL144" i="11" a="1"/>
  <c r="AL144" i="11" s="1"/>
  <c r="AL154" i="59" a="1"/>
  <c r="AL154" i="59" s="1"/>
  <c r="E155" i="50" s="1"/>
  <c r="AM44" i="59" a="1"/>
  <c r="AM44" i="59" s="1"/>
  <c r="AM29" i="11" a="1"/>
  <c r="AM29" i="11" s="1"/>
  <c r="AB212" i="57" l="1"/>
  <c r="AA212" i="57"/>
  <c r="X213" i="57"/>
  <c r="AB197" i="69"/>
  <c r="AC197" i="69" s="1"/>
  <c r="AD197" i="69" s="1"/>
  <c r="AG197" i="69"/>
  <c r="L200" i="69"/>
  <c r="O200" i="69"/>
  <c r="AO199" i="69"/>
  <c r="P199" i="69"/>
  <c r="T155" i="50"/>
  <c r="AK155" i="50"/>
  <c r="AE214" i="53"/>
  <c r="AC214" i="53"/>
  <c r="AF213" i="53"/>
  <c r="AB213" i="53"/>
  <c r="AA213" i="53"/>
  <c r="AD143" i="32"/>
  <c r="AF212" i="57"/>
  <c r="AE214" i="57"/>
  <c r="AC214" i="57"/>
  <c r="AD153" i="50"/>
  <c r="AG153" i="50" s="1"/>
  <c r="AH153" i="50" s="1"/>
  <c r="AI153" i="50" s="1"/>
  <c r="AM154" i="50"/>
  <c r="U154" i="50"/>
  <c r="U144" i="32"/>
  <c r="AG142" i="32"/>
  <c r="AH142" i="32" s="1"/>
  <c r="AL142" i="32"/>
  <c r="AP151" i="50"/>
  <c r="R214" i="57"/>
  <c r="R214" i="53"/>
  <c r="X214" i="53" s="1"/>
  <c r="AL152" i="50"/>
  <c r="Q144" i="32"/>
  <c r="P144" i="32" s="1"/>
  <c r="AI141" i="32"/>
  <c r="AN141" i="32" s="1"/>
  <c r="AX198" i="69"/>
  <c r="AG215" i="57"/>
  <c r="L215" i="57"/>
  <c r="O155" i="50"/>
  <c r="AJ214" i="57"/>
  <c r="AP214" i="57"/>
  <c r="AG214" i="53"/>
  <c r="AH214" i="53"/>
  <c r="AT214" i="53"/>
  <c r="N215" i="57"/>
  <c r="L215" i="53"/>
  <c r="N215" i="53"/>
  <c r="AH198" i="69"/>
  <c r="AJ153" i="50"/>
  <c r="C153" i="50"/>
  <c r="AJ143" i="32"/>
  <c r="C143" i="32"/>
  <c r="AD214" i="57"/>
  <c r="AD214" i="53"/>
  <c r="S154" i="50"/>
  <c r="V153" i="50"/>
  <c r="S144" i="32"/>
  <c r="V144" i="32" s="1"/>
  <c r="Q214" i="53"/>
  <c r="AK214" i="52" a="1"/>
  <c r="AK214" i="52" s="1"/>
  <c r="B216" i="53" s="1"/>
  <c r="O216" i="53" s="1"/>
  <c r="K215" i="53"/>
  <c r="I215" i="53"/>
  <c r="H215" i="53"/>
  <c r="M215" i="53"/>
  <c r="G215" i="53"/>
  <c r="F215" i="53"/>
  <c r="E215" i="53"/>
  <c r="D215" i="53"/>
  <c r="J215" i="53"/>
  <c r="C215" i="53"/>
  <c r="P215" i="53"/>
  <c r="K155" i="50"/>
  <c r="B155" i="50"/>
  <c r="R155" i="50" s="1"/>
  <c r="N155" i="50"/>
  <c r="A155" i="50"/>
  <c r="Q155" i="50" s="1"/>
  <c r="P155" i="50" s="1"/>
  <c r="I155" i="50"/>
  <c r="F155" i="50"/>
  <c r="M155" i="50"/>
  <c r="G155" i="50"/>
  <c r="J155" i="50"/>
  <c r="H155" i="50"/>
  <c r="L155" i="50"/>
  <c r="Q214" i="57"/>
  <c r="T214" i="57" s="1"/>
  <c r="F215" i="57"/>
  <c r="I215" i="57"/>
  <c r="E215" i="57"/>
  <c r="D215" i="57"/>
  <c r="J215" i="57"/>
  <c r="H215" i="57"/>
  <c r="G215" i="57"/>
  <c r="C215" i="57"/>
  <c r="M215" i="57" s="1"/>
  <c r="P215" i="57"/>
  <c r="K215" i="57"/>
  <c r="W153" i="50"/>
  <c r="X153" i="50" s="1"/>
  <c r="Z153" i="50"/>
  <c r="E145" i="32"/>
  <c r="AK214" i="55" a="1"/>
  <c r="AK214" i="55" s="1"/>
  <c r="B216" i="57" s="1"/>
  <c r="O216" i="57" s="1"/>
  <c r="W143" i="32"/>
  <c r="X143" i="32" s="1"/>
  <c r="Z143" i="32"/>
  <c r="AN200" i="67" a="1"/>
  <c r="AN200" i="67" s="1"/>
  <c r="B201" i="69"/>
  <c r="Q198" i="69"/>
  <c r="AE198" i="69"/>
  <c r="R198" i="69"/>
  <c r="S198" i="69" s="1"/>
  <c r="Y198" i="69" s="1"/>
  <c r="AB198" i="69" s="1"/>
  <c r="AC198" i="69" s="1"/>
  <c r="AD198" i="69" s="1"/>
  <c r="U198" i="69"/>
  <c r="D199" i="69"/>
  <c r="E199" i="69" s="1"/>
  <c r="F199" i="69" s="1"/>
  <c r="G199" i="69" s="1"/>
  <c r="H199" i="69" s="1"/>
  <c r="I199" i="69" s="1"/>
  <c r="J199" i="69" s="1"/>
  <c r="K199" i="69" s="1"/>
  <c r="M199" i="69" s="1"/>
  <c r="N199" i="69"/>
  <c r="AF199" i="69" s="1"/>
  <c r="C200" i="69"/>
  <c r="AL145" i="11" a="1"/>
  <c r="AL145" i="11" s="1"/>
  <c r="E146" i="32" s="1"/>
  <c r="AL155" i="59" a="1"/>
  <c r="AL155" i="59" s="1"/>
  <c r="E156" i="50" s="1"/>
  <c r="AM45" i="59" a="1"/>
  <c r="AM45" i="59" s="1"/>
  <c r="AM30" i="11" a="1"/>
  <c r="AM30" i="11" s="1"/>
  <c r="AB213" i="57" l="1"/>
  <c r="AA213" i="57"/>
  <c r="AF213" i="57"/>
  <c r="AO200" i="69"/>
  <c r="P200" i="69"/>
  <c r="AG198" i="69"/>
  <c r="L201" i="69"/>
  <c r="O201" i="69"/>
  <c r="T156" i="50"/>
  <c r="AK156" i="50"/>
  <c r="X214" i="57"/>
  <c r="AA214" i="57" s="1"/>
  <c r="AB214" i="53"/>
  <c r="AA214" i="53"/>
  <c r="AE215" i="53"/>
  <c r="AC215" i="53"/>
  <c r="AF214" i="53"/>
  <c r="AK146" i="32"/>
  <c r="T146" i="32"/>
  <c r="AK145" i="32"/>
  <c r="T145" i="32"/>
  <c r="AD144" i="32"/>
  <c r="AE215" i="57"/>
  <c r="AC215" i="57"/>
  <c r="AD154" i="50"/>
  <c r="AG154" i="50" s="1"/>
  <c r="AH154" i="50" s="1"/>
  <c r="AI154" i="50" s="1"/>
  <c r="AM155" i="50"/>
  <c r="U155" i="50"/>
  <c r="AG143" i="32"/>
  <c r="AH143" i="32" s="1"/>
  <c r="AL143" i="32"/>
  <c r="AI142" i="32"/>
  <c r="AN142" i="32" s="1"/>
  <c r="AP152" i="50"/>
  <c r="R215" i="57"/>
  <c r="R215" i="53"/>
  <c r="X215" i="53" s="1"/>
  <c r="AL153" i="50"/>
  <c r="AX199" i="69"/>
  <c r="AG216" i="57"/>
  <c r="L216" i="57"/>
  <c r="O156" i="50"/>
  <c r="AJ215" i="57"/>
  <c r="AP215" i="57"/>
  <c r="AG215" i="53"/>
  <c r="AH215" i="53"/>
  <c r="AT215" i="53"/>
  <c r="N216" i="57"/>
  <c r="N216" i="53"/>
  <c r="AH199" i="69"/>
  <c r="AJ154" i="50"/>
  <c r="C154" i="50"/>
  <c r="AJ144" i="32"/>
  <c r="C144" i="32"/>
  <c r="AD215" i="57"/>
  <c r="Q215" i="53"/>
  <c r="AD215" i="53"/>
  <c r="S155" i="50"/>
  <c r="V154" i="50"/>
  <c r="J216" i="53"/>
  <c r="M216" i="53"/>
  <c r="P216" i="53"/>
  <c r="AK215" i="52" a="1"/>
  <c r="AK215" i="52" s="1"/>
  <c r="B217" i="53" s="1"/>
  <c r="O217" i="53" s="1"/>
  <c r="F216" i="53"/>
  <c r="L216" i="53"/>
  <c r="D216" i="53"/>
  <c r="H216" i="53"/>
  <c r="K216" i="53"/>
  <c r="C216" i="53"/>
  <c r="E216" i="53"/>
  <c r="G216" i="53"/>
  <c r="I216" i="53"/>
  <c r="A146" i="32"/>
  <c r="B146" i="32"/>
  <c r="R146" i="32" s="1"/>
  <c r="A145" i="32"/>
  <c r="B145" i="32"/>
  <c r="R145" i="32" s="1"/>
  <c r="F156" i="50"/>
  <c r="I156" i="50"/>
  <c r="K156" i="50"/>
  <c r="M156" i="50"/>
  <c r="H156" i="50"/>
  <c r="A156" i="50"/>
  <c r="Q156" i="50" s="1"/>
  <c r="P156" i="50" s="1"/>
  <c r="J156" i="50"/>
  <c r="L156" i="50"/>
  <c r="G156" i="50"/>
  <c r="B156" i="50"/>
  <c r="R156" i="50" s="1"/>
  <c r="N156" i="50"/>
  <c r="L146" i="32"/>
  <c r="G146" i="32"/>
  <c r="O146" i="32"/>
  <c r="H146" i="32"/>
  <c r="K146" i="32"/>
  <c r="M146" i="32"/>
  <c r="J146" i="32"/>
  <c r="F146" i="32"/>
  <c r="AM146" i="32" s="1"/>
  <c r="I146" i="32"/>
  <c r="N146" i="32"/>
  <c r="F145" i="32"/>
  <c r="AM145" i="32" s="1"/>
  <c r="N145" i="32"/>
  <c r="I145" i="32"/>
  <c r="J145" i="32"/>
  <c r="M145" i="32"/>
  <c r="G145" i="32"/>
  <c r="L145" i="32"/>
  <c r="O145" i="32"/>
  <c r="H145" i="32"/>
  <c r="K145" i="32"/>
  <c r="Q215" i="57"/>
  <c r="T215" i="57" s="1"/>
  <c r="J216" i="57"/>
  <c r="I216" i="57"/>
  <c r="F216" i="57"/>
  <c r="E216" i="57"/>
  <c r="D216" i="57"/>
  <c r="P216" i="57"/>
  <c r="K216" i="57"/>
  <c r="G216" i="57"/>
  <c r="C216" i="57"/>
  <c r="M216" i="57" s="1"/>
  <c r="H216" i="57"/>
  <c r="W154" i="50"/>
  <c r="X154" i="50" s="1"/>
  <c r="Z154" i="50"/>
  <c r="AK215" i="55" a="1"/>
  <c r="AK215" i="55" s="1"/>
  <c r="B217" i="57" s="1"/>
  <c r="O217" i="57" s="1"/>
  <c r="W144" i="32"/>
  <c r="X144" i="32" s="1"/>
  <c r="Z144" i="32"/>
  <c r="AN201" i="67" a="1"/>
  <c r="AN201" i="67" s="1"/>
  <c r="B202" i="69"/>
  <c r="N200" i="69"/>
  <c r="AF200" i="69" s="1"/>
  <c r="D200" i="69"/>
  <c r="E200" i="69" s="1"/>
  <c r="F200" i="69" s="1"/>
  <c r="G200" i="69" s="1"/>
  <c r="H200" i="69" s="1"/>
  <c r="I200" i="69" s="1"/>
  <c r="J200" i="69" s="1"/>
  <c r="K200" i="69" s="1"/>
  <c r="M200" i="69" s="1"/>
  <c r="U199" i="69"/>
  <c r="AE199" i="69"/>
  <c r="R199" i="69"/>
  <c r="S199" i="69" s="1"/>
  <c r="Y199" i="69" s="1"/>
  <c r="Q199" i="69"/>
  <c r="C201" i="69"/>
  <c r="AL146" i="11" a="1"/>
  <c r="AL146" i="11" s="1"/>
  <c r="E147" i="32" s="1"/>
  <c r="AL156" i="59" a="1"/>
  <c r="AL156" i="59" s="1"/>
  <c r="E157" i="50" s="1"/>
  <c r="AM46" i="59" a="1"/>
  <c r="AM46" i="59" s="1"/>
  <c r="AM31" i="11" a="1"/>
  <c r="AM31" i="11" s="1"/>
  <c r="AB199" i="69" l="1"/>
  <c r="AC199" i="69" s="1"/>
  <c r="AD199" i="69" s="1"/>
  <c r="AG199" i="69"/>
  <c r="L202" i="69"/>
  <c r="O202" i="69"/>
  <c r="AO201" i="69"/>
  <c r="P201" i="69"/>
  <c r="T157" i="50"/>
  <c r="AK157" i="50"/>
  <c r="AB214" i="57"/>
  <c r="AF214" i="57"/>
  <c r="X215" i="57"/>
  <c r="AB215" i="53"/>
  <c r="AA215" i="53"/>
  <c r="AE216" i="53"/>
  <c r="AC216" i="53"/>
  <c r="AF215" i="53"/>
  <c r="AK147" i="32"/>
  <c r="T147" i="32"/>
  <c r="AE216" i="57"/>
  <c r="AC216" i="57"/>
  <c r="AD155" i="50"/>
  <c r="AG155" i="50" s="1"/>
  <c r="AH155" i="50" s="1"/>
  <c r="AI155" i="50" s="1"/>
  <c r="AM156" i="50"/>
  <c r="U156" i="50"/>
  <c r="U146" i="32"/>
  <c r="AG144" i="32"/>
  <c r="AH144" i="32" s="1"/>
  <c r="AL144" i="32"/>
  <c r="U145" i="32"/>
  <c r="AI143" i="32"/>
  <c r="AN143" i="32" s="1"/>
  <c r="AP153" i="50"/>
  <c r="R216" i="57"/>
  <c r="R216" i="53"/>
  <c r="X216" i="53" s="1"/>
  <c r="AL154" i="50"/>
  <c r="Q145" i="32"/>
  <c r="P145" i="32" s="1"/>
  <c r="Q146" i="32"/>
  <c r="P146" i="32" s="1"/>
  <c r="AX200" i="69"/>
  <c r="AG217" i="57"/>
  <c r="L217" i="57"/>
  <c r="O157" i="50"/>
  <c r="AJ216" i="57"/>
  <c r="AP216" i="57"/>
  <c r="AH216" i="53"/>
  <c r="AT216" i="53"/>
  <c r="AG216" i="53"/>
  <c r="N217" i="57"/>
  <c r="F217" i="53"/>
  <c r="N217" i="53"/>
  <c r="AH200" i="69"/>
  <c r="AJ155" i="50"/>
  <c r="C155" i="50"/>
  <c r="AD216" i="57"/>
  <c r="AD216" i="53"/>
  <c r="S156" i="50"/>
  <c r="V155" i="50"/>
  <c r="S145" i="32"/>
  <c r="V145" i="32" s="1"/>
  <c r="S146" i="32"/>
  <c r="V146" i="32" s="1"/>
  <c r="Q216" i="53"/>
  <c r="L217" i="53"/>
  <c r="G217" i="53"/>
  <c r="J217" i="53"/>
  <c r="P217" i="53"/>
  <c r="D217" i="53"/>
  <c r="K217" i="53"/>
  <c r="AK216" i="52" a="1"/>
  <c r="AK216" i="52" s="1"/>
  <c r="B218" i="53" s="1"/>
  <c r="O218" i="53" s="1"/>
  <c r="C217" i="53"/>
  <c r="I217" i="53"/>
  <c r="M217" i="53"/>
  <c r="H217" i="53"/>
  <c r="E217" i="53"/>
  <c r="A147" i="32"/>
  <c r="B147" i="32"/>
  <c r="R147" i="32" s="1"/>
  <c r="F157" i="50"/>
  <c r="J157" i="50"/>
  <c r="I157" i="50"/>
  <c r="G157" i="50"/>
  <c r="M157" i="50"/>
  <c r="K157" i="50"/>
  <c r="N157" i="50"/>
  <c r="H157" i="50"/>
  <c r="A157" i="50"/>
  <c r="Q157" i="50" s="1"/>
  <c r="P157" i="50" s="1"/>
  <c r="B157" i="50"/>
  <c r="R157" i="50" s="1"/>
  <c r="L157" i="50"/>
  <c r="J147" i="32"/>
  <c r="M147" i="32"/>
  <c r="F147" i="32"/>
  <c r="AM147" i="32" s="1"/>
  <c r="N147" i="32"/>
  <c r="I147" i="32"/>
  <c r="H147" i="32"/>
  <c r="K147" i="32"/>
  <c r="G147" i="32"/>
  <c r="L147" i="32"/>
  <c r="O147" i="32"/>
  <c r="Q216" i="57"/>
  <c r="T216" i="57" s="1"/>
  <c r="C217" i="57"/>
  <c r="M217" i="57" s="1"/>
  <c r="P217" i="57"/>
  <c r="K217" i="57"/>
  <c r="H217" i="57"/>
  <c r="F217" i="57"/>
  <c r="I217" i="57"/>
  <c r="E217" i="57"/>
  <c r="G217" i="57"/>
  <c r="D217" i="57"/>
  <c r="J217" i="57"/>
  <c r="Z155" i="50"/>
  <c r="W155" i="50"/>
  <c r="X155" i="50" s="1"/>
  <c r="AK216" i="55" a="1"/>
  <c r="AK216" i="55" s="1"/>
  <c r="B218" i="57" s="1"/>
  <c r="O218" i="57" s="1"/>
  <c r="AN202" i="67" a="1"/>
  <c r="AN202" i="67" s="1"/>
  <c r="B203" i="69"/>
  <c r="Q200" i="69"/>
  <c r="AE200" i="69"/>
  <c r="R200" i="69"/>
  <c r="S200" i="69" s="1"/>
  <c r="Y200" i="69" s="1"/>
  <c r="U200" i="69"/>
  <c r="N201" i="69"/>
  <c r="AF201" i="69" s="1"/>
  <c r="D201" i="69"/>
  <c r="E201" i="69" s="1"/>
  <c r="F201" i="69" s="1"/>
  <c r="G201" i="69" s="1"/>
  <c r="H201" i="69" s="1"/>
  <c r="I201" i="69" s="1"/>
  <c r="J201" i="69" s="1"/>
  <c r="K201" i="69" s="1"/>
  <c r="M201" i="69" s="1"/>
  <c r="C202" i="69"/>
  <c r="AL147" i="11" a="1"/>
  <c r="AL147" i="11" s="1"/>
  <c r="E148" i="32" s="1"/>
  <c r="AL157" i="59" a="1"/>
  <c r="AL157" i="59" s="1"/>
  <c r="E158" i="50" s="1"/>
  <c r="AM47" i="59" a="1"/>
  <c r="AM47" i="59" s="1"/>
  <c r="AM32" i="11" a="1"/>
  <c r="AM32" i="11" s="1"/>
  <c r="AB215" i="57" l="1"/>
  <c r="AA215" i="57"/>
  <c r="AB200" i="69"/>
  <c r="AC200" i="69" s="1"/>
  <c r="AD200" i="69" s="1"/>
  <c r="AG200" i="69"/>
  <c r="L203" i="69"/>
  <c r="O203" i="69"/>
  <c r="AO202" i="69"/>
  <c r="P202" i="69"/>
  <c r="T158" i="50"/>
  <c r="AK158" i="50"/>
  <c r="AF215" i="57"/>
  <c r="AB216" i="53"/>
  <c r="AA216" i="53"/>
  <c r="AF216" i="53"/>
  <c r="AE217" i="53"/>
  <c r="AC217" i="53"/>
  <c r="T148" i="32"/>
  <c r="AK148" i="32"/>
  <c r="AD145" i="32"/>
  <c r="AD146" i="32"/>
  <c r="X216" i="57"/>
  <c r="AE217" i="57"/>
  <c r="AC217" i="57"/>
  <c r="AD156" i="50"/>
  <c r="AG156" i="50" s="1"/>
  <c r="AH156" i="50" s="1"/>
  <c r="AI156" i="50" s="1"/>
  <c r="AM157" i="50"/>
  <c r="U157" i="50"/>
  <c r="U147" i="32"/>
  <c r="AI144" i="32"/>
  <c r="AN144" i="32" s="1"/>
  <c r="AP154" i="50"/>
  <c r="R217" i="57"/>
  <c r="R217" i="53"/>
  <c r="X217" i="53" s="1"/>
  <c r="AL155" i="50"/>
  <c r="Q147" i="32"/>
  <c r="P147" i="32" s="1"/>
  <c r="AX201" i="69"/>
  <c r="AG218" i="57"/>
  <c r="L218" i="57"/>
  <c r="O158" i="50"/>
  <c r="AJ217" i="57"/>
  <c r="AP217" i="57"/>
  <c r="AH217" i="53"/>
  <c r="AT217" i="53"/>
  <c r="AG217" i="53"/>
  <c r="N218" i="57"/>
  <c r="N218" i="53"/>
  <c r="AH201" i="69"/>
  <c r="AJ156" i="50"/>
  <c r="C156" i="50"/>
  <c r="AJ145" i="32"/>
  <c r="C145" i="32"/>
  <c r="AJ146" i="32"/>
  <c r="C146" i="32"/>
  <c r="AD217" i="57"/>
  <c r="AD217" i="53"/>
  <c r="Q217" i="53"/>
  <c r="S157" i="50"/>
  <c r="V156" i="50"/>
  <c r="S147" i="32"/>
  <c r="V147" i="32" s="1"/>
  <c r="L218" i="53"/>
  <c r="G218" i="53"/>
  <c r="M218" i="53"/>
  <c r="AK217" i="52" a="1"/>
  <c r="AK217" i="52" s="1"/>
  <c r="B219" i="53" s="1"/>
  <c r="O219" i="53" s="1"/>
  <c r="D218" i="53"/>
  <c r="I218" i="53"/>
  <c r="F218" i="53"/>
  <c r="H218" i="53"/>
  <c r="E218" i="53"/>
  <c r="C218" i="53"/>
  <c r="P218" i="53"/>
  <c r="J218" i="53"/>
  <c r="K218" i="53"/>
  <c r="A148" i="32"/>
  <c r="B148" i="32"/>
  <c r="R148" i="32" s="1"/>
  <c r="G158" i="50"/>
  <c r="K158" i="50"/>
  <c r="M158" i="50"/>
  <c r="L158" i="50"/>
  <c r="A158" i="50"/>
  <c r="Q158" i="50" s="1"/>
  <c r="P158" i="50" s="1"/>
  <c r="I158" i="50"/>
  <c r="H158" i="50"/>
  <c r="F158" i="50"/>
  <c r="N158" i="50"/>
  <c r="J158" i="50"/>
  <c r="B158" i="50"/>
  <c r="R158" i="50" s="1"/>
  <c r="H148" i="32"/>
  <c r="K148" i="32"/>
  <c r="L148" i="32"/>
  <c r="G148" i="32"/>
  <c r="O148" i="32"/>
  <c r="I148" i="32"/>
  <c r="N148" i="32"/>
  <c r="F148" i="32"/>
  <c r="AM148" i="32" s="1"/>
  <c r="J148" i="32"/>
  <c r="M148" i="32"/>
  <c r="Z145" i="32"/>
  <c r="W145" i="32"/>
  <c r="X145" i="32" s="1"/>
  <c r="H218" i="57"/>
  <c r="I218" i="57"/>
  <c r="D218" i="57"/>
  <c r="F218" i="57"/>
  <c r="K218" i="57"/>
  <c r="P218" i="57"/>
  <c r="G218" i="57"/>
  <c r="E218" i="57"/>
  <c r="C218" i="57"/>
  <c r="M218" i="57" s="1"/>
  <c r="J218" i="57"/>
  <c r="Q217" i="57"/>
  <c r="T217" i="57" s="1"/>
  <c r="W156" i="50"/>
  <c r="X156" i="50" s="1"/>
  <c r="Z156" i="50"/>
  <c r="AK217" i="55" a="1"/>
  <c r="AK217" i="55" s="1"/>
  <c r="B219" i="57" s="1"/>
  <c r="O219" i="57" s="1"/>
  <c r="W146" i="32"/>
  <c r="X146" i="32" s="1"/>
  <c r="Z146" i="32"/>
  <c r="C203" i="69"/>
  <c r="Q201" i="69"/>
  <c r="U201" i="69"/>
  <c r="AE201" i="69"/>
  <c r="R201" i="69"/>
  <c r="S201" i="69" s="1"/>
  <c r="Y201" i="69" s="1"/>
  <c r="D202" i="69"/>
  <c r="E202" i="69" s="1"/>
  <c r="F202" i="69" s="1"/>
  <c r="G202" i="69" s="1"/>
  <c r="H202" i="69" s="1"/>
  <c r="I202" i="69" s="1"/>
  <c r="J202" i="69" s="1"/>
  <c r="K202" i="69" s="1"/>
  <c r="M202" i="69" s="1"/>
  <c r="N202" i="69"/>
  <c r="AF202" i="69" s="1"/>
  <c r="AN203" i="67" a="1"/>
  <c r="AN203" i="67" s="1"/>
  <c r="B204" i="69"/>
  <c r="AL148" i="11" a="1"/>
  <c r="AL148" i="11" s="1"/>
  <c r="E149" i="32" s="1"/>
  <c r="AL158" i="59" a="1"/>
  <c r="AL158" i="59" s="1"/>
  <c r="E159" i="50" s="1"/>
  <c r="AM48" i="59" a="1"/>
  <c r="AM48" i="59" s="1"/>
  <c r="AM33" i="11" a="1"/>
  <c r="AM33" i="11" s="1"/>
  <c r="AB216" i="57" l="1"/>
  <c r="AA216" i="57"/>
  <c r="AB201" i="69"/>
  <c r="AC201" i="69" s="1"/>
  <c r="AD201" i="69" s="1"/>
  <c r="AG201" i="69"/>
  <c r="L204" i="69"/>
  <c r="O204" i="69"/>
  <c r="AO203" i="69"/>
  <c r="P203" i="69"/>
  <c r="AK159" i="50"/>
  <c r="T159" i="50"/>
  <c r="X217" i="57"/>
  <c r="AB217" i="53"/>
  <c r="AA217" i="53"/>
  <c r="AE218" i="53"/>
  <c r="AC218" i="53"/>
  <c r="AF217" i="53"/>
  <c r="AK149" i="32"/>
  <c r="T149" i="32"/>
  <c r="AD147" i="32"/>
  <c r="AF216" i="57"/>
  <c r="AE218" i="57"/>
  <c r="AC218" i="57"/>
  <c r="AD157" i="50"/>
  <c r="AG157" i="50" s="1"/>
  <c r="AH157" i="50" s="1"/>
  <c r="AI157" i="50" s="1"/>
  <c r="AM158" i="50"/>
  <c r="U158" i="50"/>
  <c r="AG146" i="32"/>
  <c r="AH146" i="32" s="1"/>
  <c r="AL146" i="32"/>
  <c r="AG145" i="32"/>
  <c r="AH145" i="32" s="1"/>
  <c r="AL145" i="32"/>
  <c r="U148" i="32"/>
  <c r="AP155" i="50"/>
  <c r="R218" i="57"/>
  <c r="R218" i="53"/>
  <c r="X218" i="53" s="1"/>
  <c r="AL156" i="50"/>
  <c r="Q148" i="32"/>
  <c r="P148" i="32" s="1"/>
  <c r="AX202" i="69"/>
  <c r="L219" i="57"/>
  <c r="AG219" i="57"/>
  <c r="O159" i="50"/>
  <c r="AJ218" i="57"/>
  <c r="AP218" i="57"/>
  <c r="AH218" i="53"/>
  <c r="AT218" i="53"/>
  <c r="AG218" i="53"/>
  <c r="N219" i="57"/>
  <c r="N219" i="53"/>
  <c r="AH202" i="69"/>
  <c r="AJ157" i="50"/>
  <c r="C157" i="50"/>
  <c r="AJ147" i="32"/>
  <c r="C147" i="32"/>
  <c r="AD218" i="57"/>
  <c r="Q218" i="53"/>
  <c r="AD218" i="53"/>
  <c r="S158" i="50"/>
  <c r="V157" i="50"/>
  <c r="S148" i="32"/>
  <c r="V148" i="32" s="1"/>
  <c r="H219" i="53"/>
  <c r="P219" i="53"/>
  <c r="L219" i="53"/>
  <c r="M219" i="53"/>
  <c r="K219" i="53"/>
  <c r="E219" i="53"/>
  <c r="F219" i="53"/>
  <c r="D219" i="53"/>
  <c r="I219" i="53"/>
  <c r="AK218" i="52" a="1"/>
  <c r="AK218" i="52" s="1"/>
  <c r="B220" i="53" s="1"/>
  <c r="O220" i="53" s="1"/>
  <c r="G219" i="53"/>
  <c r="J219" i="53"/>
  <c r="C219" i="53"/>
  <c r="A149" i="32"/>
  <c r="B149" i="32"/>
  <c r="R149" i="32" s="1"/>
  <c r="F159" i="50"/>
  <c r="A159" i="50"/>
  <c r="Q159" i="50" s="1"/>
  <c r="P159" i="50" s="1"/>
  <c r="L159" i="50"/>
  <c r="B159" i="50"/>
  <c r="R159" i="50" s="1"/>
  <c r="K159" i="50"/>
  <c r="J159" i="50"/>
  <c r="G159" i="50"/>
  <c r="N159" i="50"/>
  <c r="M159" i="50"/>
  <c r="I159" i="50"/>
  <c r="H159" i="50"/>
  <c r="F149" i="32"/>
  <c r="AM149" i="32" s="1"/>
  <c r="N149" i="32"/>
  <c r="I149" i="32"/>
  <c r="J149" i="32"/>
  <c r="M149" i="32"/>
  <c r="O149" i="32"/>
  <c r="G149" i="32"/>
  <c r="L149" i="32"/>
  <c r="H149" i="32"/>
  <c r="K149" i="32"/>
  <c r="G219" i="57"/>
  <c r="K219" i="57"/>
  <c r="F219" i="57"/>
  <c r="H219" i="57"/>
  <c r="C219" i="57"/>
  <c r="M219" i="57" s="1"/>
  <c r="E219" i="57"/>
  <c r="I219" i="57"/>
  <c r="P219" i="57"/>
  <c r="D219" i="57"/>
  <c r="J219" i="57"/>
  <c r="W157" i="50"/>
  <c r="X157" i="50" s="1"/>
  <c r="Z157" i="50"/>
  <c r="Q218" i="57"/>
  <c r="T218" i="57" s="1"/>
  <c r="AK218" i="55" a="1"/>
  <c r="AK218" i="55" s="1"/>
  <c r="B220" i="57" s="1"/>
  <c r="O220" i="57" s="1"/>
  <c r="W147" i="32"/>
  <c r="X147" i="32" s="1"/>
  <c r="Z147" i="32"/>
  <c r="AN204" i="67" a="1"/>
  <c r="AN204" i="67" s="1"/>
  <c r="B205" i="69"/>
  <c r="D203" i="69"/>
  <c r="E203" i="69" s="1"/>
  <c r="F203" i="69" s="1"/>
  <c r="G203" i="69" s="1"/>
  <c r="H203" i="69" s="1"/>
  <c r="I203" i="69" s="1"/>
  <c r="J203" i="69" s="1"/>
  <c r="K203" i="69" s="1"/>
  <c r="M203" i="69" s="1"/>
  <c r="N203" i="69"/>
  <c r="AF203" i="69" s="1"/>
  <c r="R202" i="69"/>
  <c r="S202" i="69" s="1"/>
  <c r="Y202" i="69" s="1"/>
  <c r="Q202" i="69"/>
  <c r="AE202" i="69"/>
  <c r="U202" i="69"/>
  <c r="C204" i="69"/>
  <c r="AL149" i="11" a="1"/>
  <c r="AL149" i="11" s="1"/>
  <c r="E150" i="32" s="1"/>
  <c r="AL159" i="59" a="1"/>
  <c r="AL159" i="59" s="1"/>
  <c r="E160" i="50" s="1"/>
  <c r="AM49" i="59" a="1"/>
  <c r="AM49" i="59" s="1"/>
  <c r="AM34" i="11" a="1"/>
  <c r="AM34" i="11" s="1"/>
  <c r="AF217" i="57" l="1"/>
  <c r="AA217" i="57"/>
  <c r="AB202" i="69"/>
  <c r="AC202" i="69" s="1"/>
  <c r="AD202" i="69" s="1"/>
  <c r="AG202" i="69"/>
  <c r="L205" i="69"/>
  <c r="O205" i="69"/>
  <c r="AO204" i="69"/>
  <c r="P204" i="69"/>
  <c r="X218" i="57"/>
  <c r="AK160" i="50"/>
  <c r="T160" i="50"/>
  <c r="AB217" i="57"/>
  <c r="AB218" i="53"/>
  <c r="AA218" i="53"/>
  <c r="AE219" i="53"/>
  <c r="AC219" i="53"/>
  <c r="AF218" i="53"/>
  <c r="AK150" i="32"/>
  <c r="T150" i="32"/>
  <c r="AD148" i="32"/>
  <c r="AE219" i="57"/>
  <c r="AC219" i="57"/>
  <c r="AM159" i="50"/>
  <c r="U159" i="50"/>
  <c r="AD158" i="50"/>
  <c r="AG158" i="50" s="1"/>
  <c r="AH158" i="50" s="1"/>
  <c r="AI158" i="50" s="1"/>
  <c r="U149" i="32"/>
  <c r="AG147" i="32"/>
  <c r="AH147" i="32" s="1"/>
  <c r="AL147" i="32"/>
  <c r="AI146" i="32"/>
  <c r="AN146" i="32" s="1"/>
  <c r="AP156" i="50"/>
  <c r="R219" i="57"/>
  <c r="R219" i="53"/>
  <c r="X219" i="53" s="1"/>
  <c r="AL157" i="50"/>
  <c r="Q149" i="32"/>
  <c r="P149" i="32" s="1"/>
  <c r="AI145" i="32"/>
  <c r="AN145" i="32" s="1"/>
  <c r="AX203" i="69"/>
  <c r="AG220" i="57"/>
  <c r="L220" i="57"/>
  <c r="O160" i="50"/>
  <c r="AJ219" i="57"/>
  <c r="AP219" i="57"/>
  <c r="AG219" i="53"/>
  <c r="AH219" i="53"/>
  <c r="AT219" i="53"/>
  <c r="N220" i="57"/>
  <c r="N220" i="53"/>
  <c r="AH203" i="69"/>
  <c r="AJ158" i="50"/>
  <c r="C158" i="50"/>
  <c r="AJ148" i="32"/>
  <c r="C148" i="32"/>
  <c r="AD219" i="57"/>
  <c r="AD219" i="53"/>
  <c r="S159" i="50"/>
  <c r="V158" i="50"/>
  <c r="S149" i="32"/>
  <c r="V149" i="32" s="1"/>
  <c r="AK219" i="52" a="1"/>
  <c r="AK219" i="52" s="1"/>
  <c r="B221" i="53" s="1"/>
  <c r="O221" i="53" s="1"/>
  <c r="G220" i="53"/>
  <c r="D220" i="53"/>
  <c r="K220" i="53"/>
  <c r="Q219" i="53"/>
  <c r="J220" i="53"/>
  <c r="L220" i="53"/>
  <c r="H220" i="53"/>
  <c r="C220" i="53"/>
  <c r="F220" i="53"/>
  <c r="P220" i="53"/>
  <c r="I220" i="53"/>
  <c r="M220" i="53"/>
  <c r="E220" i="53"/>
  <c r="A150" i="32"/>
  <c r="B150" i="32"/>
  <c r="R150" i="32" s="1"/>
  <c r="F160" i="50"/>
  <c r="J160" i="50"/>
  <c r="M160" i="50"/>
  <c r="G160" i="50"/>
  <c r="K160" i="50"/>
  <c r="B160" i="50"/>
  <c r="R160" i="50" s="1"/>
  <c r="N160" i="50"/>
  <c r="L160" i="50"/>
  <c r="H160" i="50"/>
  <c r="I160" i="50"/>
  <c r="A160" i="50"/>
  <c r="Q160" i="50" s="1"/>
  <c r="P160" i="50" s="1"/>
  <c r="L150" i="32"/>
  <c r="G150" i="32"/>
  <c r="O150" i="32"/>
  <c r="H150" i="32"/>
  <c r="K150" i="32"/>
  <c r="J150" i="32"/>
  <c r="M150" i="32"/>
  <c r="F150" i="32"/>
  <c r="AM150" i="32" s="1"/>
  <c r="I150" i="32"/>
  <c r="N150" i="32"/>
  <c r="I220" i="57"/>
  <c r="F220" i="57"/>
  <c r="D220" i="57"/>
  <c r="H220" i="57"/>
  <c r="J220" i="57"/>
  <c r="P220" i="57"/>
  <c r="G220" i="57"/>
  <c r="E220" i="57"/>
  <c r="C220" i="57"/>
  <c r="M220" i="57" s="1"/>
  <c r="K220" i="57"/>
  <c r="Z158" i="50"/>
  <c r="W158" i="50"/>
  <c r="X158" i="50" s="1"/>
  <c r="Q219" i="57"/>
  <c r="T219" i="57" s="1"/>
  <c r="AK219" i="55" a="1"/>
  <c r="AK219" i="55" s="1"/>
  <c r="B221" i="57" s="1"/>
  <c r="O221" i="57" s="1"/>
  <c r="W148" i="32"/>
  <c r="X148" i="32" s="1"/>
  <c r="Z148" i="32"/>
  <c r="AN205" i="67" a="1"/>
  <c r="AN205" i="67" s="1"/>
  <c r="B206" i="69"/>
  <c r="D204" i="69"/>
  <c r="E204" i="69" s="1"/>
  <c r="F204" i="69" s="1"/>
  <c r="G204" i="69" s="1"/>
  <c r="H204" i="69" s="1"/>
  <c r="I204" i="69" s="1"/>
  <c r="J204" i="69" s="1"/>
  <c r="K204" i="69" s="1"/>
  <c r="M204" i="69" s="1"/>
  <c r="N204" i="69"/>
  <c r="AF204" i="69" s="1"/>
  <c r="C205" i="69"/>
  <c r="AE203" i="69"/>
  <c r="U203" i="69"/>
  <c r="Q203" i="69"/>
  <c r="R203" i="69"/>
  <c r="S203" i="69" s="1"/>
  <c r="Y203" i="69" s="1"/>
  <c r="AL150" i="11" a="1"/>
  <c r="AL150" i="11" s="1"/>
  <c r="E151" i="32" s="1"/>
  <c r="AL160" i="59" a="1"/>
  <c r="AL160" i="59" s="1"/>
  <c r="E161" i="50" s="1"/>
  <c r="AM50" i="59" a="1"/>
  <c r="AM50" i="59" s="1"/>
  <c r="AM35" i="11" a="1"/>
  <c r="AM35" i="11" s="1"/>
  <c r="AF218" i="57" l="1"/>
  <c r="AA218" i="57"/>
  <c r="AB203" i="69"/>
  <c r="AC203" i="69" s="1"/>
  <c r="AD203" i="69" s="1"/>
  <c r="AG203" i="69"/>
  <c r="L206" i="69"/>
  <c r="O206" i="69"/>
  <c r="AO205" i="69"/>
  <c r="P205" i="69"/>
  <c r="AB218" i="57"/>
  <c r="T161" i="50"/>
  <c r="AK161" i="50"/>
  <c r="AB219" i="53"/>
  <c r="AA219" i="53"/>
  <c r="AF219" i="53"/>
  <c r="AE220" i="53"/>
  <c r="AC220" i="53"/>
  <c r="AK151" i="32"/>
  <c r="T151" i="32"/>
  <c r="AD149" i="32"/>
  <c r="X219" i="57"/>
  <c r="AA219" i="57" s="1"/>
  <c r="AE220" i="57"/>
  <c r="AC220" i="57"/>
  <c r="AM160" i="50"/>
  <c r="U160" i="50"/>
  <c r="AD159" i="50"/>
  <c r="AG159" i="50" s="1"/>
  <c r="AH159" i="50" s="1"/>
  <c r="AI159" i="50" s="1"/>
  <c r="U150" i="32"/>
  <c r="AG148" i="32"/>
  <c r="AH148" i="32" s="1"/>
  <c r="AL148" i="32"/>
  <c r="AI147" i="32"/>
  <c r="AN147" i="32" s="1"/>
  <c r="AP157" i="50"/>
  <c r="R220" i="57"/>
  <c r="R220" i="53"/>
  <c r="X220" i="53" s="1"/>
  <c r="AL158" i="50"/>
  <c r="Q150" i="32"/>
  <c r="P150" i="32" s="1"/>
  <c r="AX204" i="69"/>
  <c r="AG221" i="57"/>
  <c r="L221" i="57"/>
  <c r="O161" i="50"/>
  <c r="AJ220" i="57"/>
  <c r="AP220" i="57"/>
  <c r="AG220" i="53"/>
  <c r="AH220" i="53"/>
  <c r="AT220" i="53"/>
  <c r="N221" i="57"/>
  <c r="P221" i="53"/>
  <c r="N221" i="53"/>
  <c r="AH204" i="69"/>
  <c r="AJ159" i="50"/>
  <c r="C159" i="50"/>
  <c r="AJ149" i="32"/>
  <c r="C149" i="32"/>
  <c r="AD220" i="57"/>
  <c r="AD220" i="53"/>
  <c r="Q220" i="53"/>
  <c r="S160" i="50"/>
  <c r="V159" i="50"/>
  <c r="S150" i="32"/>
  <c r="V150" i="32" s="1"/>
  <c r="E221" i="53"/>
  <c r="C221" i="53"/>
  <c r="K221" i="53"/>
  <c r="I221" i="53"/>
  <c r="H221" i="53"/>
  <c r="L221" i="53"/>
  <c r="G221" i="53"/>
  <c r="M221" i="53"/>
  <c r="F221" i="53"/>
  <c r="AK220" i="52" a="1"/>
  <c r="AK220" i="52" s="1"/>
  <c r="B222" i="53" s="1"/>
  <c r="O222" i="53" s="1"/>
  <c r="J221" i="53"/>
  <c r="D221" i="53"/>
  <c r="A151" i="32"/>
  <c r="B151" i="32"/>
  <c r="R151" i="32" s="1"/>
  <c r="H161" i="50"/>
  <c r="I161" i="50"/>
  <c r="J161" i="50"/>
  <c r="F161" i="50"/>
  <c r="L161" i="50"/>
  <c r="M161" i="50"/>
  <c r="K161" i="50"/>
  <c r="N161" i="50"/>
  <c r="B161" i="50"/>
  <c r="R161" i="50" s="1"/>
  <c r="A161" i="50"/>
  <c r="Q161" i="50" s="1"/>
  <c r="P161" i="50" s="1"/>
  <c r="G161" i="50"/>
  <c r="J151" i="32"/>
  <c r="M151" i="32"/>
  <c r="F151" i="32"/>
  <c r="AM151" i="32" s="1"/>
  <c r="N151" i="32"/>
  <c r="I151" i="32"/>
  <c r="K151" i="32"/>
  <c r="H151" i="32"/>
  <c r="L151" i="32"/>
  <c r="O151" i="32"/>
  <c r="G151" i="32"/>
  <c r="Q220" i="57"/>
  <c r="T220" i="57" s="1"/>
  <c r="F221" i="57"/>
  <c r="D221" i="57"/>
  <c r="P221" i="57"/>
  <c r="C221" i="57"/>
  <c r="M221" i="57" s="1"/>
  <c r="K221" i="57"/>
  <c r="J221" i="57"/>
  <c r="H221" i="57"/>
  <c r="I221" i="57"/>
  <c r="E221" i="57"/>
  <c r="G221" i="57"/>
  <c r="W159" i="50"/>
  <c r="X159" i="50" s="1"/>
  <c r="Z159" i="50"/>
  <c r="AK220" i="55" a="1"/>
  <c r="AK220" i="55" s="1"/>
  <c r="B222" i="57" s="1"/>
  <c r="O222" i="57" s="1"/>
  <c r="W149" i="32"/>
  <c r="X149" i="32" s="1"/>
  <c r="Z149" i="32"/>
  <c r="AN206" i="67" a="1"/>
  <c r="AN206" i="67" s="1"/>
  <c r="B207" i="69"/>
  <c r="Q204" i="69"/>
  <c r="U204" i="69"/>
  <c r="AE204" i="69"/>
  <c r="R204" i="69"/>
  <c r="S204" i="69" s="1"/>
  <c r="Y204" i="69" s="1"/>
  <c r="N205" i="69"/>
  <c r="AF205" i="69" s="1"/>
  <c r="D205" i="69"/>
  <c r="E205" i="69" s="1"/>
  <c r="F205" i="69" s="1"/>
  <c r="G205" i="69" s="1"/>
  <c r="H205" i="69" s="1"/>
  <c r="I205" i="69" s="1"/>
  <c r="J205" i="69" s="1"/>
  <c r="K205" i="69" s="1"/>
  <c r="M205" i="69" s="1"/>
  <c r="C206" i="69"/>
  <c r="AL151" i="11" a="1"/>
  <c r="AL151" i="11" s="1"/>
  <c r="E152" i="32" s="1"/>
  <c r="AL161" i="59" a="1"/>
  <c r="AL161" i="59" s="1"/>
  <c r="E162" i="50" s="1"/>
  <c r="AM51" i="59" a="1"/>
  <c r="AM51" i="59" s="1"/>
  <c r="AM36" i="11" a="1"/>
  <c r="AM36" i="11" s="1"/>
  <c r="X220" i="57" l="1"/>
  <c r="AA220" i="57" s="1"/>
  <c r="AB204" i="69"/>
  <c r="AC204" i="69" s="1"/>
  <c r="AD204" i="69" s="1"/>
  <c r="AG204" i="69"/>
  <c r="AO206" i="69"/>
  <c r="P206" i="69"/>
  <c r="L207" i="69"/>
  <c r="O207" i="69"/>
  <c r="T162" i="50"/>
  <c r="AK162" i="50"/>
  <c r="AB220" i="53"/>
  <c r="AA220" i="53"/>
  <c r="AE221" i="53"/>
  <c r="AC221" i="53"/>
  <c r="AF220" i="53"/>
  <c r="AK152" i="32"/>
  <c r="T152" i="32"/>
  <c r="AD150" i="32"/>
  <c r="AF219" i="57"/>
  <c r="AB219" i="57"/>
  <c r="AE221" i="57"/>
  <c r="AC221" i="57"/>
  <c r="AM161" i="50"/>
  <c r="U161" i="50"/>
  <c r="AD160" i="50"/>
  <c r="AG160" i="50" s="1"/>
  <c r="AH160" i="50" s="1"/>
  <c r="AI160" i="50" s="1"/>
  <c r="U151" i="32"/>
  <c r="AG149" i="32"/>
  <c r="AH149" i="32" s="1"/>
  <c r="AL149" i="32"/>
  <c r="AI148" i="32"/>
  <c r="AN148" i="32" s="1"/>
  <c r="AP158" i="50"/>
  <c r="R221" i="57"/>
  <c r="R221" i="53"/>
  <c r="X221" i="53" s="1"/>
  <c r="AL159" i="50"/>
  <c r="Q151" i="32"/>
  <c r="P151" i="32" s="1"/>
  <c r="AX205" i="69"/>
  <c r="AG222" i="57"/>
  <c r="L222" i="57"/>
  <c r="O162" i="50"/>
  <c r="AJ221" i="57"/>
  <c r="AP221" i="57"/>
  <c r="AH221" i="53"/>
  <c r="AT221" i="53"/>
  <c r="AG221" i="53"/>
  <c r="N222" i="57"/>
  <c r="I222" i="53"/>
  <c r="N222" i="53"/>
  <c r="AH205" i="69"/>
  <c r="AJ160" i="50"/>
  <c r="C160" i="50"/>
  <c r="AJ150" i="32"/>
  <c r="C150" i="32"/>
  <c r="AD221" i="57"/>
  <c r="AD221" i="53"/>
  <c r="S161" i="50"/>
  <c r="V160" i="50"/>
  <c r="S151" i="32"/>
  <c r="V151" i="32" s="1"/>
  <c r="Q221" i="53"/>
  <c r="AK221" i="52" a="1"/>
  <c r="AK221" i="52" s="1"/>
  <c r="B223" i="53" s="1"/>
  <c r="O223" i="53" s="1"/>
  <c r="C222" i="53"/>
  <c r="G222" i="53"/>
  <c r="L222" i="53"/>
  <c r="F222" i="53"/>
  <c r="M222" i="53"/>
  <c r="D222" i="53"/>
  <c r="P222" i="53"/>
  <c r="E222" i="53"/>
  <c r="H222" i="53"/>
  <c r="J222" i="53"/>
  <c r="K222" i="53"/>
  <c r="A152" i="32"/>
  <c r="B152" i="32"/>
  <c r="R152" i="32" s="1"/>
  <c r="G162" i="50"/>
  <c r="K162" i="50"/>
  <c r="I162" i="50"/>
  <c r="L162" i="50"/>
  <c r="A162" i="50"/>
  <c r="Q162" i="50" s="1"/>
  <c r="P162" i="50" s="1"/>
  <c r="M162" i="50"/>
  <c r="J162" i="50"/>
  <c r="B162" i="50"/>
  <c r="R162" i="50" s="1"/>
  <c r="F162" i="50"/>
  <c r="N162" i="50"/>
  <c r="H162" i="50"/>
  <c r="H152" i="32"/>
  <c r="K152" i="32"/>
  <c r="L152" i="32"/>
  <c r="G152" i="32"/>
  <c r="O152" i="32"/>
  <c r="F152" i="32"/>
  <c r="AM152" i="32" s="1"/>
  <c r="I152" i="32"/>
  <c r="N152" i="32"/>
  <c r="J152" i="32"/>
  <c r="M152" i="32"/>
  <c r="H222" i="57"/>
  <c r="D222" i="57"/>
  <c r="K222" i="57"/>
  <c r="J222" i="57"/>
  <c r="G222" i="57"/>
  <c r="P222" i="57"/>
  <c r="C222" i="57"/>
  <c r="M222" i="57" s="1"/>
  <c r="E222" i="57"/>
  <c r="F222" i="57"/>
  <c r="I222" i="57"/>
  <c r="Q221" i="57"/>
  <c r="T221" i="57" s="1"/>
  <c r="W160" i="50"/>
  <c r="X160" i="50" s="1"/>
  <c r="Z160" i="50"/>
  <c r="AK221" i="55" a="1"/>
  <c r="AK221" i="55" s="1"/>
  <c r="B223" i="57" s="1"/>
  <c r="O223" i="57" s="1"/>
  <c r="W150" i="32"/>
  <c r="X150" i="32" s="1"/>
  <c r="Z150" i="32"/>
  <c r="C207" i="69"/>
  <c r="U205" i="69"/>
  <c r="R205" i="69"/>
  <c r="S205" i="69" s="1"/>
  <c r="Y205" i="69" s="1"/>
  <c r="AB205" i="69" s="1"/>
  <c r="AC205" i="69" s="1"/>
  <c r="AD205" i="69" s="1"/>
  <c r="AE205" i="69"/>
  <c r="Q205" i="69"/>
  <c r="D206" i="69"/>
  <c r="E206" i="69" s="1"/>
  <c r="F206" i="69" s="1"/>
  <c r="G206" i="69" s="1"/>
  <c r="H206" i="69" s="1"/>
  <c r="I206" i="69" s="1"/>
  <c r="J206" i="69" s="1"/>
  <c r="K206" i="69" s="1"/>
  <c r="M206" i="69" s="1"/>
  <c r="N206" i="69"/>
  <c r="AF206" i="69" s="1"/>
  <c r="AN207" i="67" a="1"/>
  <c r="AN207" i="67" s="1"/>
  <c r="B208" i="69"/>
  <c r="AL152" i="11" a="1"/>
  <c r="AL152" i="11" s="1"/>
  <c r="E153" i="32" s="1"/>
  <c r="AL162" i="59" a="1"/>
  <c r="AL162" i="59" s="1"/>
  <c r="E163" i="50" s="1"/>
  <c r="AM52" i="59" a="1"/>
  <c r="AM52" i="59" s="1"/>
  <c r="AM37" i="11" a="1"/>
  <c r="AM37" i="11" s="1"/>
  <c r="AF220" i="57" l="1"/>
  <c r="AB220" i="57"/>
  <c r="L208" i="69"/>
  <c r="O208" i="69"/>
  <c r="AO207" i="69"/>
  <c r="P207" i="69"/>
  <c r="AG205" i="69"/>
  <c r="T163" i="50"/>
  <c r="AK163" i="50"/>
  <c r="X221" i="57"/>
  <c r="AF221" i="53"/>
  <c r="AE222" i="53"/>
  <c r="AC222" i="53"/>
  <c r="AB221" i="53"/>
  <c r="AA221" i="53"/>
  <c r="AK153" i="32"/>
  <c r="T153" i="32"/>
  <c r="AD151" i="32"/>
  <c r="AE222" i="57"/>
  <c r="AC222" i="57"/>
  <c r="AM162" i="50"/>
  <c r="U162" i="50"/>
  <c r="AD161" i="50"/>
  <c r="AG161" i="50" s="1"/>
  <c r="AH161" i="50" s="1"/>
  <c r="AI161" i="50" s="1"/>
  <c r="U152" i="32"/>
  <c r="AG150" i="32"/>
  <c r="AH150" i="32" s="1"/>
  <c r="AL150" i="32"/>
  <c r="AI149" i="32"/>
  <c r="AN149" i="32" s="1"/>
  <c r="AP159" i="50"/>
  <c r="R222" i="57"/>
  <c r="R222" i="53"/>
  <c r="X222" i="53" s="1"/>
  <c r="AL160" i="50"/>
  <c r="Q152" i="32"/>
  <c r="P152" i="32" s="1"/>
  <c r="AX206" i="69"/>
  <c r="AG223" i="57"/>
  <c r="L223" i="57"/>
  <c r="O163" i="50"/>
  <c r="AJ222" i="57"/>
  <c r="AP222" i="57"/>
  <c r="AH222" i="53"/>
  <c r="AT222" i="53"/>
  <c r="AG222" i="53"/>
  <c r="N223" i="57"/>
  <c r="H223" i="53"/>
  <c r="N223" i="53"/>
  <c r="AH206" i="69"/>
  <c r="AJ161" i="50"/>
  <c r="C161" i="50"/>
  <c r="AJ151" i="32"/>
  <c r="C151" i="32"/>
  <c r="AD222" i="57"/>
  <c r="AD222" i="53"/>
  <c r="Q222" i="53"/>
  <c r="S162" i="50"/>
  <c r="V161" i="50"/>
  <c r="S152" i="32"/>
  <c r="V152" i="32" s="1"/>
  <c r="AK222" i="52" a="1"/>
  <c r="AK222" i="52" s="1"/>
  <c r="B224" i="53" s="1"/>
  <c r="O224" i="53" s="1"/>
  <c r="M223" i="53"/>
  <c r="J223" i="53"/>
  <c r="P223" i="53"/>
  <c r="G223" i="53"/>
  <c r="E223" i="53"/>
  <c r="L223" i="53"/>
  <c r="F223" i="53"/>
  <c r="K223" i="53"/>
  <c r="I223" i="53"/>
  <c r="C223" i="53"/>
  <c r="D223" i="53"/>
  <c r="A153" i="32"/>
  <c r="B153" i="32"/>
  <c r="R153" i="32" s="1"/>
  <c r="J163" i="50"/>
  <c r="M163" i="50"/>
  <c r="N163" i="50"/>
  <c r="I163" i="50"/>
  <c r="A163" i="50"/>
  <c r="Q163" i="50" s="1"/>
  <c r="P163" i="50" s="1"/>
  <c r="L163" i="50"/>
  <c r="K163" i="50"/>
  <c r="G163" i="50"/>
  <c r="B163" i="50"/>
  <c r="R163" i="50" s="1"/>
  <c r="F163" i="50"/>
  <c r="H163" i="50"/>
  <c r="F153" i="32"/>
  <c r="AM153" i="32" s="1"/>
  <c r="N153" i="32"/>
  <c r="I153" i="32"/>
  <c r="J153" i="32"/>
  <c r="M153" i="32"/>
  <c r="G153" i="32"/>
  <c r="L153" i="32"/>
  <c r="O153" i="32"/>
  <c r="H153" i="32"/>
  <c r="K153" i="32"/>
  <c r="Q222" i="57"/>
  <c r="T222" i="57" s="1"/>
  <c r="G223" i="57"/>
  <c r="I223" i="57"/>
  <c r="E223" i="57"/>
  <c r="D223" i="57"/>
  <c r="J223" i="57"/>
  <c r="H223" i="57"/>
  <c r="C223" i="57"/>
  <c r="M223" i="57" s="1"/>
  <c r="P223" i="57"/>
  <c r="K223" i="57"/>
  <c r="F223" i="57"/>
  <c r="W161" i="50"/>
  <c r="X161" i="50" s="1"/>
  <c r="Z161" i="50"/>
  <c r="AK222" i="55" a="1"/>
  <c r="AK222" i="55" s="1"/>
  <c r="B224" i="57" s="1"/>
  <c r="O224" i="57" s="1"/>
  <c r="Z151" i="32"/>
  <c r="W151" i="32"/>
  <c r="X151" i="32" s="1"/>
  <c r="AN208" i="67" a="1"/>
  <c r="AN208" i="67" s="1"/>
  <c r="B209" i="69"/>
  <c r="D207" i="69"/>
  <c r="E207" i="69" s="1"/>
  <c r="F207" i="69" s="1"/>
  <c r="G207" i="69" s="1"/>
  <c r="H207" i="69" s="1"/>
  <c r="I207" i="69" s="1"/>
  <c r="J207" i="69" s="1"/>
  <c r="K207" i="69" s="1"/>
  <c r="M207" i="69" s="1"/>
  <c r="N207" i="69"/>
  <c r="AF207" i="69" s="1"/>
  <c r="R206" i="69"/>
  <c r="S206" i="69" s="1"/>
  <c r="Y206" i="69" s="1"/>
  <c r="U206" i="69"/>
  <c r="Q206" i="69"/>
  <c r="AE206" i="69"/>
  <c r="C208" i="69"/>
  <c r="AL153" i="11" a="1"/>
  <c r="AL153" i="11" s="1"/>
  <c r="E154" i="32" s="1"/>
  <c r="AL163" i="59" a="1"/>
  <c r="AL163" i="59" s="1"/>
  <c r="E164" i="50" s="1"/>
  <c r="AM53" i="59" a="1"/>
  <c r="AM53" i="59" s="1"/>
  <c r="AM38" i="11" a="1"/>
  <c r="AM38" i="11" s="1"/>
  <c r="AF221" i="57" l="1"/>
  <c r="AA221" i="57"/>
  <c r="AB206" i="69"/>
  <c r="AC206" i="69" s="1"/>
  <c r="AD206" i="69" s="1"/>
  <c r="AG206" i="69"/>
  <c r="L209" i="69"/>
  <c r="O209" i="69"/>
  <c r="AO208" i="69"/>
  <c r="P208" i="69"/>
  <c r="T164" i="50"/>
  <c r="AK164" i="50"/>
  <c r="AB221" i="57"/>
  <c r="AB222" i="53"/>
  <c r="AA222" i="53"/>
  <c r="AE223" i="53"/>
  <c r="AC223" i="53"/>
  <c r="AF222" i="53"/>
  <c r="AK154" i="32"/>
  <c r="T154" i="32"/>
  <c r="AD152" i="32"/>
  <c r="X222" i="57"/>
  <c r="AA222" i="57" s="1"/>
  <c r="AE223" i="57"/>
  <c r="AC223" i="57"/>
  <c r="AM163" i="50"/>
  <c r="U163" i="50"/>
  <c r="AD162" i="50"/>
  <c r="AG162" i="50" s="1"/>
  <c r="AH162" i="50" s="1"/>
  <c r="AI162" i="50" s="1"/>
  <c r="U153" i="32"/>
  <c r="AG151" i="32"/>
  <c r="AH151" i="32" s="1"/>
  <c r="AL151" i="32"/>
  <c r="AI150" i="32"/>
  <c r="AN150" i="32" s="1"/>
  <c r="AP160" i="50"/>
  <c r="R223" i="57"/>
  <c r="R223" i="53"/>
  <c r="X223" i="53" s="1"/>
  <c r="AL161" i="50"/>
  <c r="Q153" i="32"/>
  <c r="P153" i="32" s="1"/>
  <c r="AX207" i="69"/>
  <c r="AG224" i="57"/>
  <c r="L224" i="57"/>
  <c r="O164" i="50"/>
  <c r="AJ223" i="57"/>
  <c r="AP223" i="57"/>
  <c r="AG223" i="53"/>
  <c r="AH223" i="53"/>
  <c r="AT223" i="53"/>
  <c r="N224" i="57"/>
  <c r="N224" i="53"/>
  <c r="AH207" i="69"/>
  <c r="AJ162" i="50"/>
  <c r="C162" i="50"/>
  <c r="AJ152" i="32"/>
  <c r="C152" i="32"/>
  <c r="AD223" i="57"/>
  <c r="AD223" i="53"/>
  <c r="S163" i="50"/>
  <c r="V162" i="50"/>
  <c r="S153" i="32"/>
  <c r="V153" i="32" s="1"/>
  <c r="Q223" i="53"/>
  <c r="D224" i="53"/>
  <c r="C224" i="53"/>
  <c r="I224" i="53"/>
  <c r="J224" i="53"/>
  <c r="E224" i="53"/>
  <c r="M224" i="53"/>
  <c r="F224" i="53"/>
  <c r="L224" i="53"/>
  <c r="AK223" i="52" a="1"/>
  <c r="AK223" i="52" s="1"/>
  <c r="B225" i="53" s="1"/>
  <c r="O225" i="53" s="1"/>
  <c r="G224" i="53"/>
  <c r="K224" i="53"/>
  <c r="P224" i="53"/>
  <c r="H224" i="53"/>
  <c r="A154" i="32"/>
  <c r="B154" i="32"/>
  <c r="R154" i="32" s="1"/>
  <c r="F164" i="50"/>
  <c r="K164" i="50"/>
  <c r="M164" i="50"/>
  <c r="J164" i="50"/>
  <c r="I164" i="50"/>
  <c r="N164" i="50"/>
  <c r="A164" i="50"/>
  <c r="Q164" i="50" s="1"/>
  <c r="P164" i="50" s="1"/>
  <c r="G164" i="50"/>
  <c r="L164" i="50"/>
  <c r="B164" i="50"/>
  <c r="R164" i="50" s="1"/>
  <c r="H164" i="50"/>
  <c r="L154" i="32"/>
  <c r="G154" i="32"/>
  <c r="O154" i="32"/>
  <c r="H154" i="32"/>
  <c r="K154" i="32"/>
  <c r="M154" i="32"/>
  <c r="J154" i="32"/>
  <c r="N154" i="32"/>
  <c r="F154" i="32"/>
  <c r="AM154" i="32" s="1"/>
  <c r="I154" i="32"/>
  <c r="W162" i="50"/>
  <c r="X162" i="50" s="1"/>
  <c r="Z162" i="50"/>
  <c r="Q223" i="57"/>
  <c r="T223" i="57" s="1"/>
  <c r="J224" i="57"/>
  <c r="F224" i="57"/>
  <c r="E224" i="57"/>
  <c r="D224" i="57"/>
  <c r="G224" i="57"/>
  <c r="C224" i="57"/>
  <c r="M224" i="57" s="1"/>
  <c r="I224" i="57"/>
  <c r="H224" i="57"/>
  <c r="P224" i="57"/>
  <c r="K224" i="57"/>
  <c r="AK223" i="55" a="1"/>
  <c r="AK223" i="55" s="1"/>
  <c r="B225" i="57" s="1"/>
  <c r="O225" i="57" s="1"/>
  <c r="W152" i="32"/>
  <c r="X152" i="32" s="1"/>
  <c r="Z152" i="32"/>
  <c r="AN209" i="67" a="1"/>
  <c r="AN209" i="67" s="1"/>
  <c r="B210" i="69"/>
  <c r="C209" i="69"/>
  <c r="AE207" i="69"/>
  <c r="U207" i="69"/>
  <c r="Q207" i="69"/>
  <c r="R207" i="69"/>
  <c r="S207" i="69" s="1"/>
  <c r="Y207" i="69" s="1"/>
  <c r="AB207" i="69" s="1"/>
  <c r="AC207" i="69" s="1"/>
  <c r="AD207" i="69" s="1"/>
  <c r="D208" i="69"/>
  <c r="E208" i="69" s="1"/>
  <c r="F208" i="69" s="1"/>
  <c r="G208" i="69" s="1"/>
  <c r="H208" i="69" s="1"/>
  <c r="I208" i="69" s="1"/>
  <c r="J208" i="69" s="1"/>
  <c r="K208" i="69" s="1"/>
  <c r="M208" i="69" s="1"/>
  <c r="N208" i="69"/>
  <c r="AF208" i="69" s="1"/>
  <c r="AL154" i="11" a="1"/>
  <c r="AL154" i="11" s="1"/>
  <c r="E155" i="32" s="1"/>
  <c r="AL164" i="59" a="1"/>
  <c r="AL164" i="59" s="1"/>
  <c r="E165" i="50" s="1"/>
  <c r="AM54" i="59" a="1"/>
  <c r="AM54" i="59" s="1"/>
  <c r="AM39" i="11" a="1"/>
  <c r="AM39" i="11" s="1"/>
  <c r="AO209" i="69" l="1"/>
  <c r="P209" i="69"/>
  <c r="AG207" i="69"/>
  <c r="L210" i="69"/>
  <c r="O210" i="69"/>
  <c r="X223" i="57"/>
  <c r="AA223" i="57" s="1"/>
  <c r="T165" i="50"/>
  <c r="AK165" i="50"/>
  <c r="AE224" i="53"/>
  <c r="AC224" i="53"/>
  <c r="AB223" i="53"/>
  <c r="AA223" i="53"/>
  <c r="AF223" i="53"/>
  <c r="AK155" i="32"/>
  <c r="T155" i="32"/>
  <c r="AD153" i="32"/>
  <c r="AF222" i="57"/>
  <c r="AB222" i="57"/>
  <c r="AE224" i="57"/>
  <c r="AC224" i="57"/>
  <c r="AM164" i="50"/>
  <c r="U164" i="50"/>
  <c r="AD163" i="50"/>
  <c r="AG163" i="50" s="1"/>
  <c r="AH163" i="50" s="1"/>
  <c r="AI163" i="50" s="1"/>
  <c r="U154" i="32"/>
  <c r="AG152" i="32"/>
  <c r="AH152" i="32" s="1"/>
  <c r="AL152" i="32"/>
  <c r="AI151" i="32"/>
  <c r="AN151" i="32" s="1"/>
  <c r="R224" i="57"/>
  <c r="R224" i="53"/>
  <c r="X224" i="53" s="1"/>
  <c r="AL162" i="50"/>
  <c r="Q154" i="32"/>
  <c r="P154" i="32" s="1"/>
  <c r="AP161" i="50"/>
  <c r="AX208" i="69"/>
  <c r="AG225" i="57"/>
  <c r="L225" i="57"/>
  <c r="O165" i="50"/>
  <c r="AJ224" i="57"/>
  <c r="AP224" i="57"/>
  <c r="AG224" i="53"/>
  <c r="AH224" i="53"/>
  <c r="AT224" i="53"/>
  <c r="N225" i="57"/>
  <c r="N225" i="53"/>
  <c r="AH208" i="69"/>
  <c r="AJ163" i="50"/>
  <c r="C163" i="50"/>
  <c r="AJ153" i="32"/>
  <c r="C153" i="32"/>
  <c r="AD224" i="57"/>
  <c r="AD224" i="53"/>
  <c r="Q224" i="53"/>
  <c r="S164" i="50"/>
  <c r="V163" i="50"/>
  <c r="S154" i="32"/>
  <c r="V154" i="32" s="1"/>
  <c r="G225" i="53"/>
  <c r="M225" i="53"/>
  <c r="P225" i="53"/>
  <c r="K225" i="53"/>
  <c r="E225" i="53"/>
  <c r="F225" i="53"/>
  <c r="I225" i="53"/>
  <c r="C225" i="53"/>
  <c r="J225" i="53"/>
  <c r="AK224" i="52" a="1"/>
  <c r="AK224" i="52" s="1"/>
  <c r="B226" i="53" s="1"/>
  <c r="O226" i="53" s="1"/>
  <c r="L225" i="53"/>
  <c r="D225" i="53"/>
  <c r="H225" i="53"/>
  <c r="A155" i="32"/>
  <c r="B155" i="32"/>
  <c r="R155" i="32" s="1"/>
  <c r="J165" i="50"/>
  <c r="B165" i="50"/>
  <c r="R165" i="50" s="1"/>
  <c r="I165" i="50"/>
  <c r="H165" i="50"/>
  <c r="F165" i="50"/>
  <c r="N165" i="50"/>
  <c r="L165" i="50"/>
  <c r="M165" i="50"/>
  <c r="A165" i="50"/>
  <c r="Q165" i="50" s="1"/>
  <c r="P165" i="50" s="1"/>
  <c r="G165" i="50"/>
  <c r="K165" i="50"/>
  <c r="J155" i="32"/>
  <c r="M155" i="32"/>
  <c r="F155" i="32"/>
  <c r="AM155" i="32" s="1"/>
  <c r="N155" i="32"/>
  <c r="I155" i="32"/>
  <c r="H155" i="32"/>
  <c r="K155" i="32"/>
  <c r="G155" i="32"/>
  <c r="L155" i="32"/>
  <c r="O155" i="32"/>
  <c r="Q224" i="57"/>
  <c r="T224" i="57" s="1"/>
  <c r="H225" i="57"/>
  <c r="D225" i="57"/>
  <c r="P225" i="57"/>
  <c r="I225" i="57"/>
  <c r="E225" i="57"/>
  <c r="K225" i="57"/>
  <c r="C225" i="57"/>
  <c r="M225" i="57" s="1"/>
  <c r="G225" i="57"/>
  <c r="J225" i="57"/>
  <c r="F225" i="57"/>
  <c r="W163" i="50"/>
  <c r="X163" i="50" s="1"/>
  <c r="Z163" i="50"/>
  <c r="AK224" i="55" a="1"/>
  <c r="AK224" i="55" s="1"/>
  <c r="B226" i="57" s="1"/>
  <c r="O226" i="57" s="1"/>
  <c r="Z153" i="32"/>
  <c r="W153" i="32"/>
  <c r="X153" i="32" s="1"/>
  <c r="AN210" i="67" a="1"/>
  <c r="AN210" i="67" s="1"/>
  <c r="B211" i="69"/>
  <c r="N209" i="69"/>
  <c r="AF209" i="69" s="1"/>
  <c r="D209" i="69"/>
  <c r="E209" i="69" s="1"/>
  <c r="F209" i="69" s="1"/>
  <c r="G209" i="69" s="1"/>
  <c r="H209" i="69" s="1"/>
  <c r="I209" i="69" s="1"/>
  <c r="J209" i="69" s="1"/>
  <c r="K209" i="69" s="1"/>
  <c r="M209" i="69" s="1"/>
  <c r="AE208" i="69"/>
  <c r="R208" i="69"/>
  <c r="S208" i="69" s="1"/>
  <c r="Y208" i="69" s="1"/>
  <c r="Q208" i="69"/>
  <c r="U208" i="69"/>
  <c r="C210" i="69"/>
  <c r="AL155" i="11" a="1"/>
  <c r="AL155" i="11" s="1"/>
  <c r="E156" i="32" s="1"/>
  <c r="AL165" i="59" a="1"/>
  <c r="AL165" i="59" s="1"/>
  <c r="E166" i="50" s="1"/>
  <c r="AM55" i="59" a="1"/>
  <c r="AM55" i="59" s="1"/>
  <c r="AM40" i="11" a="1"/>
  <c r="AM40" i="11" s="1"/>
  <c r="AB208" i="69" l="1"/>
  <c r="AC208" i="69" s="1"/>
  <c r="AD208" i="69" s="1"/>
  <c r="AG208" i="69"/>
  <c r="L211" i="69"/>
  <c r="O211" i="69"/>
  <c r="AO210" i="69"/>
  <c r="P210" i="69"/>
  <c r="AF223" i="57"/>
  <c r="AB223" i="57"/>
  <c r="T166" i="50"/>
  <c r="AK166" i="50"/>
  <c r="AB224" i="53"/>
  <c r="AA224" i="53"/>
  <c r="AE225" i="53"/>
  <c r="AC225" i="53"/>
  <c r="AF224" i="53"/>
  <c r="T156" i="32"/>
  <c r="AK156" i="32"/>
  <c r="AD154" i="32"/>
  <c r="X224" i="57"/>
  <c r="AE225" i="57"/>
  <c r="AC225" i="57"/>
  <c r="AM165" i="50"/>
  <c r="U165" i="50"/>
  <c r="AD164" i="50"/>
  <c r="AG164" i="50" s="1"/>
  <c r="AH164" i="50" s="1"/>
  <c r="AI164" i="50" s="1"/>
  <c r="U155" i="32"/>
  <c r="AG153" i="32"/>
  <c r="AH153" i="32" s="1"/>
  <c r="AL153" i="32"/>
  <c r="AI152" i="32"/>
  <c r="AN152" i="32" s="1"/>
  <c r="AP162" i="50"/>
  <c r="R225" i="57"/>
  <c r="R225" i="53"/>
  <c r="X225" i="53" s="1"/>
  <c r="AL163" i="50"/>
  <c r="Q155" i="32"/>
  <c r="P155" i="32" s="1"/>
  <c r="AX209" i="69"/>
  <c r="AG226" i="57"/>
  <c r="L226" i="57"/>
  <c r="O166" i="50"/>
  <c r="AJ225" i="57"/>
  <c r="AP225" i="57"/>
  <c r="AH225" i="53"/>
  <c r="AT225" i="53"/>
  <c r="AG225" i="53"/>
  <c r="N226" i="57"/>
  <c r="E226" i="53"/>
  <c r="N226" i="53"/>
  <c r="AH209" i="69"/>
  <c r="AJ164" i="50"/>
  <c r="C164" i="50"/>
  <c r="AJ154" i="32"/>
  <c r="C154" i="32"/>
  <c r="AD225" i="57"/>
  <c r="Q225" i="53"/>
  <c r="AD225" i="53"/>
  <c r="S165" i="50"/>
  <c r="V164" i="50"/>
  <c r="S155" i="32"/>
  <c r="V155" i="32" s="1"/>
  <c r="AK225" i="52" a="1"/>
  <c r="AK225" i="52" s="1"/>
  <c r="B227" i="53" s="1"/>
  <c r="O227" i="53" s="1"/>
  <c r="K226" i="53"/>
  <c r="G226" i="53"/>
  <c r="M226" i="53"/>
  <c r="H226" i="53"/>
  <c r="L226" i="53"/>
  <c r="P226" i="53"/>
  <c r="I226" i="53"/>
  <c r="D226" i="53"/>
  <c r="J226" i="53"/>
  <c r="F226" i="53"/>
  <c r="C226" i="53"/>
  <c r="A156" i="32"/>
  <c r="B156" i="32"/>
  <c r="R156" i="32" s="1"/>
  <c r="H166" i="50"/>
  <c r="B166" i="50"/>
  <c r="R166" i="50" s="1"/>
  <c r="G166" i="50"/>
  <c r="I166" i="50"/>
  <c r="M166" i="50"/>
  <c r="A166" i="50"/>
  <c r="Q166" i="50" s="1"/>
  <c r="P166" i="50" s="1"/>
  <c r="L166" i="50"/>
  <c r="J166" i="50"/>
  <c r="N166" i="50"/>
  <c r="F166" i="50"/>
  <c r="K166" i="50"/>
  <c r="H156" i="32"/>
  <c r="K156" i="32"/>
  <c r="L156" i="32"/>
  <c r="G156" i="32"/>
  <c r="O156" i="32"/>
  <c r="I156" i="32"/>
  <c r="N156" i="32"/>
  <c r="F156" i="32"/>
  <c r="AM156" i="32" s="1"/>
  <c r="J156" i="32"/>
  <c r="M156" i="32"/>
  <c r="Z164" i="50"/>
  <c r="W164" i="50"/>
  <c r="X164" i="50" s="1"/>
  <c r="J226" i="57"/>
  <c r="G226" i="57"/>
  <c r="F226" i="57"/>
  <c r="C226" i="57"/>
  <c r="M226" i="57" s="1"/>
  <c r="I226" i="57"/>
  <c r="E226" i="57"/>
  <c r="K226" i="57"/>
  <c r="H226" i="57"/>
  <c r="D226" i="57"/>
  <c r="P226" i="57"/>
  <c r="Q225" i="57"/>
  <c r="T225" i="57" s="1"/>
  <c r="AK225" i="55" a="1"/>
  <c r="AK225" i="55" s="1"/>
  <c r="B227" i="57" s="1"/>
  <c r="O227" i="57" s="1"/>
  <c r="W154" i="32"/>
  <c r="X154" i="32" s="1"/>
  <c r="Z154" i="32"/>
  <c r="AN211" i="67" a="1"/>
  <c r="AN211" i="67" s="1"/>
  <c r="B212" i="69"/>
  <c r="Q209" i="69"/>
  <c r="U209" i="69"/>
  <c r="AE209" i="69"/>
  <c r="R209" i="69"/>
  <c r="S209" i="69" s="1"/>
  <c r="Y209" i="69" s="1"/>
  <c r="C211" i="69"/>
  <c r="D210" i="69"/>
  <c r="E210" i="69" s="1"/>
  <c r="F210" i="69" s="1"/>
  <c r="G210" i="69" s="1"/>
  <c r="H210" i="69" s="1"/>
  <c r="I210" i="69" s="1"/>
  <c r="J210" i="69" s="1"/>
  <c r="K210" i="69" s="1"/>
  <c r="M210" i="69" s="1"/>
  <c r="N210" i="69"/>
  <c r="AF210" i="69" s="1"/>
  <c r="AL156" i="11" a="1"/>
  <c r="AL156" i="11" s="1"/>
  <c r="E157" i="32" s="1"/>
  <c r="AL166" i="59" a="1"/>
  <c r="AL166" i="59" s="1"/>
  <c r="E167" i="50" s="1"/>
  <c r="AM56" i="59" a="1"/>
  <c r="AM56" i="59" s="1"/>
  <c r="AM41" i="11" a="1"/>
  <c r="AM41" i="11" s="1"/>
  <c r="AB224" i="57" l="1"/>
  <c r="AA224" i="57"/>
  <c r="X225" i="57"/>
  <c r="AB209" i="69"/>
  <c r="AC209" i="69" s="1"/>
  <c r="AD209" i="69" s="1"/>
  <c r="AG209" i="69"/>
  <c r="L212" i="69"/>
  <c r="O212" i="69"/>
  <c r="AO211" i="69"/>
  <c r="P211" i="69"/>
  <c r="AK167" i="50"/>
  <c r="T167" i="50"/>
  <c r="AB225" i="53"/>
  <c r="AA225" i="53"/>
  <c r="AE226" i="53"/>
  <c r="AC226" i="53"/>
  <c r="AF225" i="53"/>
  <c r="AK157" i="32"/>
  <c r="T157" i="32"/>
  <c r="AD155" i="32"/>
  <c r="AF224" i="57"/>
  <c r="AE226" i="57"/>
  <c r="AC226" i="57"/>
  <c r="AM166" i="50"/>
  <c r="U166" i="50"/>
  <c r="AD165" i="50"/>
  <c r="AG165" i="50" s="1"/>
  <c r="AH165" i="50" s="1"/>
  <c r="AI165" i="50" s="1"/>
  <c r="U156" i="32"/>
  <c r="AG154" i="32"/>
  <c r="AH154" i="32" s="1"/>
  <c r="AL154" i="32"/>
  <c r="AI153" i="32"/>
  <c r="AN153" i="32" s="1"/>
  <c r="AP163" i="50"/>
  <c r="R226" i="57"/>
  <c r="R226" i="53"/>
  <c r="X226" i="53" s="1"/>
  <c r="AL164" i="50"/>
  <c r="Q156" i="32"/>
  <c r="P156" i="32" s="1"/>
  <c r="AX210" i="69"/>
  <c r="L227" i="57"/>
  <c r="AG227" i="57"/>
  <c r="O167" i="50"/>
  <c r="AJ226" i="57"/>
  <c r="AP226" i="57"/>
  <c r="AG226" i="53"/>
  <c r="AH226" i="53"/>
  <c r="AT226" i="53"/>
  <c r="N227" i="57"/>
  <c r="N227" i="53"/>
  <c r="AH210" i="69"/>
  <c r="AJ165" i="50"/>
  <c r="C165" i="50"/>
  <c r="AJ155" i="32"/>
  <c r="C155" i="32"/>
  <c r="AD226" i="57"/>
  <c r="AD226" i="53"/>
  <c r="S166" i="50"/>
  <c r="V165" i="50"/>
  <c r="S156" i="32"/>
  <c r="V156" i="32" s="1"/>
  <c r="Q226" i="53"/>
  <c r="AK226" i="52" a="1"/>
  <c r="AK226" i="52" s="1"/>
  <c r="B228" i="53" s="1"/>
  <c r="O228" i="53" s="1"/>
  <c r="P227" i="53"/>
  <c r="E227" i="53"/>
  <c r="M227" i="53"/>
  <c r="I227" i="53"/>
  <c r="G227" i="53"/>
  <c r="J227" i="53"/>
  <c r="D227" i="53"/>
  <c r="L227" i="53"/>
  <c r="K227" i="53"/>
  <c r="C227" i="53"/>
  <c r="H227" i="53"/>
  <c r="F227" i="53"/>
  <c r="A157" i="32"/>
  <c r="B157" i="32"/>
  <c r="R157" i="32" s="1"/>
  <c r="A167" i="50"/>
  <c r="Q167" i="50" s="1"/>
  <c r="P167" i="50" s="1"/>
  <c r="I167" i="50"/>
  <c r="F167" i="50"/>
  <c r="N167" i="50"/>
  <c r="J167" i="50"/>
  <c r="M167" i="50"/>
  <c r="K167" i="50"/>
  <c r="G167" i="50"/>
  <c r="H167" i="50"/>
  <c r="L167" i="50"/>
  <c r="B167" i="50"/>
  <c r="R167" i="50" s="1"/>
  <c r="F157" i="32"/>
  <c r="AM157" i="32" s="1"/>
  <c r="N157" i="32"/>
  <c r="I157" i="32"/>
  <c r="J157" i="32"/>
  <c r="M157" i="32"/>
  <c r="O157" i="32"/>
  <c r="G157" i="32"/>
  <c r="L157" i="32"/>
  <c r="K157" i="32"/>
  <c r="H157" i="32"/>
  <c r="Q226" i="57"/>
  <c r="T226" i="57" s="1"/>
  <c r="W165" i="50"/>
  <c r="X165" i="50" s="1"/>
  <c r="Z165" i="50"/>
  <c r="D227" i="57"/>
  <c r="J227" i="57"/>
  <c r="I227" i="57"/>
  <c r="E227" i="57"/>
  <c r="H227" i="57"/>
  <c r="C227" i="57"/>
  <c r="M227" i="57" s="1"/>
  <c r="K227" i="57"/>
  <c r="P227" i="57"/>
  <c r="F227" i="57"/>
  <c r="G227" i="57"/>
  <c r="AK226" i="55" a="1"/>
  <c r="AK226" i="55" s="1"/>
  <c r="B228" i="57" s="1"/>
  <c r="O228" i="57" s="1"/>
  <c r="W155" i="32"/>
  <c r="X155" i="32" s="1"/>
  <c r="Z155" i="32"/>
  <c r="AN212" i="67" a="1"/>
  <c r="AN212" i="67" s="1"/>
  <c r="B213" i="69"/>
  <c r="N211" i="69"/>
  <c r="AF211" i="69" s="1"/>
  <c r="D211" i="69"/>
  <c r="E211" i="69" s="1"/>
  <c r="F211" i="69" s="1"/>
  <c r="G211" i="69" s="1"/>
  <c r="H211" i="69" s="1"/>
  <c r="I211" i="69" s="1"/>
  <c r="J211" i="69" s="1"/>
  <c r="K211" i="69" s="1"/>
  <c r="M211" i="69" s="1"/>
  <c r="AE210" i="69"/>
  <c r="Q210" i="69"/>
  <c r="U210" i="69"/>
  <c r="R210" i="69"/>
  <c r="S210" i="69" s="1"/>
  <c r="Y210" i="69" s="1"/>
  <c r="AB210" i="69" s="1"/>
  <c r="AC210" i="69" s="1"/>
  <c r="AD210" i="69" s="1"/>
  <c r="C212" i="69"/>
  <c r="AL157" i="11" a="1"/>
  <c r="AL157" i="11" s="1"/>
  <c r="E158" i="32" s="1"/>
  <c r="AL167" i="59" a="1"/>
  <c r="AL167" i="59" s="1"/>
  <c r="E168" i="50" s="1"/>
  <c r="AM57" i="59" a="1"/>
  <c r="AM57" i="59" s="1"/>
  <c r="AM42" i="11" a="1"/>
  <c r="AM42" i="11" s="1"/>
  <c r="AB225" i="57" l="1"/>
  <c r="AA225" i="57"/>
  <c r="AF225" i="57"/>
  <c r="X226" i="57"/>
  <c r="AG210" i="69"/>
  <c r="L213" i="69"/>
  <c r="O213" i="69"/>
  <c r="AO212" i="69"/>
  <c r="P212" i="69"/>
  <c r="AK168" i="50"/>
  <c r="T168" i="50"/>
  <c r="AB226" i="53"/>
  <c r="AA226" i="53"/>
  <c r="AF226" i="53"/>
  <c r="AE227" i="53"/>
  <c r="AC227" i="53"/>
  <c r="AD156" i="32"/>
  <c r="AK158" i="32"/>
  <c r="T158" i="32"/>
  <c r="AE227" i="57"/>
  <c r="AC227" i="57"/>
  <c r="AD166" i="50"/>
  <c r="AG166" i="50" s="1"/>
  <c r="AH166" i="50" s="1"/>
  <c r="AI166" i="50" s="1"/>
  <c r="AM167" i="50"/>
  <c r="U167" i="50"/>
  <c r="U157" i="32"/>
  <c r="AG155" i="32"/>
  <c r="AH155" i="32" s="1"/>
  <c r="AL155" i="32"/>
  <c r="AP164" i="50"/>
  <c r="R227" i="57"/>
  <c r="R227" i="53"/>
  <c r="X227" i="53" s="1"/>
  <c r="AL165" i="50"/>
  <c r="Q157" i="32"/>
  <c r="P157" i="32" s="1"/>
  <c r="AI154" i="32"/>
  <c r="AN154" i="32" s="1"/>
  <c r="AX211" i="69"/>
  <c r="AG228" i="57"/>
  <c r="L228" i="57"/>
  <c r="O168" i="50"/>
  <c r="AJ227" i="57"/>
  <c r="AP227" i="57"/>
  <c r="AH227" i="53"/>
  <c r="AT227" i="53"/>
  <c r="AG227" i="53"/>
  <c r="N228" i="57"/>
  <c r="I228" i="53"/>
  <c r="N228" i="53"/>
  <c r="AH211" i="69"/>
  <c r="AJ166" i="50"/>
  <c r="C166" i="50"/>
  <c r="AJ156" i="32"/>
  <c r="C156" i="32"/>
  <c r="AD227" i="57"/>
  <c r="Q227" i="53"/>
  <c r="AD227" i="53"/>
  <c r="S167" i="50"/>
  <c r="V166" i="50"/>
  <c r="S157" i="32"/>
  <c r="V157" i="32" s="1"/>
  <c r="F228" i="53"/>
  <c r="K228" i="53"/>
  <c r="P228" i="53"/>
  <c r="M228" i="53"/>
  <c r="D228" i="53"/>
  <c r="G228" i="53"/>
  <c r="C228" i="53"/>
  <c r="AK227" i="52" a="1"/>
  <c r="AK227" i="52" s="1"/>
  <c r="B229" i="53" s="1"/>
  <c r="O229" i="53" s="1"/>
  <c r="H228" i="53"/>
  <c r="J228" i="53"/>
  <c r="L228" i="53"/>
  <c r="E228" i="53"/>
  <c r="A158" i="32"/>
  <c r="B158" i="32"/>
  <c r="R158" i="32" s="1"/>
  <c r="K168" i="50"/>
  <c r="A168" i="50"/>
  <c r="Q168" i="50" s="1"/>
  <c r="P168" i="50" s="1"/>
  <c r="G168" i="50"/>
  <c r="N168" i="50"/>
  <c r="F168" i="50"/>
  <c r="I168" i="50"/>
  <c r="H168" i="50"/>
  <c r="J168" i="50"/>
  <c r="M168" i="50"/>
  <c r="B168" i="50"/>
  <c r="R168" i="50" s="1"/>
  <c r="L168" i="50"/>
  <c r="L158" i="32"/>
  <c r="G158" i="32"/>
  <c r="O158" i="32"/>
  <c r="H158" i="32"/>
  <c r="K158" i="32"/>
  <c r="J158" i="32"/>
  <c r="M158" i="32"/>
  <c r="F158" i="32"/>
  <c r="AM158" i="32" s="1"/>
  <c r="I158" i="32"/>
  <c r="N158" i="32"/>
  <c r="Q227" i="57"/>
  <c r="T227" i="57" s="1"/>
  <c r="P228" i="57"/>
  <c r="J228" i="57"/>
  <c r="I228" i="57"/>
  <c r="F228" i="57"/>
  <c r="E228" i="57"/>
  <c r="D228" i="57"/>
  <c r="C228" i="57"/>
  <c r="M228" i="57" s="1"/>
  <c r="H228" i="57"/>
  <c r="K228" i="57"/>
  <c r="G228" i="57"/>
  <c r="Z166" i="50"/>
  <c r="W166" i="50"/>
  <c r="X166" i="50" s="1"/>
  <c r="AK227" i="55" a="1"/>
  <c r="AK227" i="55" s="1"/>
  <c r="B229" i="57" s="1"/>
  <c r="O229" i="57" s="1"/>
  <c r="W156" i="32"/>
  <c r="X156" i="32" s="1"/>
  <c r="Z156" i="32"/>
  <c r="N212" i="69"/>
  <c r="AF212" i="69" s="1"/>
  <c r="D212" i="69"/>
  <c r="E212" i="69" s="1"/>
  <c r="F212" i="69" s="1"/>
  <c r="G212" i="69" s="1"/>
  <c r="H212" i="69" s="1"/>
  <c r="I212" i="69" s="1"/>
  <c r="J212" i="69" s="1"/>
  <c r="K212" i="69" s="1"/>
  <c r="M212" i="69" s="1"/>
  <c r="R211" i="69"/>
  <c r="S211" i="69" s="1"/>
  <c r="Y211" i="69" s="1"/>
  <c r="AE211" i="69"/>
  <c r="Q211" i="69"/>
  <c r="U211" i="69"/>
  <c r="C213" i="69"/>
  <c r="AN213" i="67" a="1"/>
  <c r="AN213" i="67" s="1"/>
  <c r="B214" i="69"/>
  <c r="AL158" i="11" a="1"/>
  <c r="AL158" i="11" s="1"/>
  <c r="E159" i="32" s="1"/>
  <c r="AL168" i="59" a="1"/>
  <c r="AL168" i="59" s="1"/>
  <c r="E169" i="50" s="1"/>
  <c r="AM58" i="59" a="1"/>
  <c r="AM58" i="59" s="1"/>
  <c r="AM43" i="11" a="1"/>
  <c r="AM43" i="11" s="1"/>
  <c r="AF226" i="57" l="1"/>
  <c r="AA226" i="57"/>
  <c r="AB226" i="57"/>
  <c r="AB211" i="69"/>
  <c r="AC211" i="69" s="1"/>
  <c r="AD211" i="69" s="1"/>
  <c r="AG211" i="69"/>
  <c r="L214" i="69"/>
  <c r="O214" i="69"/>
  <c r="AO213" i="69"/>
  <c r="P213" i="69"/>
  <c r="T169" i="50"/>
  <c r="AK169" i="50"/>
  <c r="X227" i="57"/>
  <c r="AA227" i="57" s="1"/>
  <c r="AF227" i="53"/>
  <c r="AB227" i="53"/>
  <c r="AA227" i="53"/>
  <c r="AE228" i="53"/>
  <c r="AC228" i="53"/>
  <c r="AK159" i="32"/>
  <c r="T159" i="32"/>
  <c r="AD157" i="32"/>
  <c r="AE228" i="57"/>
  <c r="AC228" i="57"/>
  <c r="AM168" i="50"/>
  <c r="U168" i="50"/>
  <c r="AD167" i="50"/>
  <c r="AG167" i="50" s="1"/>
  <c r="AH167" i="50" s="1"/>
  <c r="AI167" i="50" s="1"/>
  <c r="U158" i="32"/>
  <c r="AG156" i="32"/>
  <c r="AH156" i="32" s="1"/>
  <c r="AL156" i="32"/>
  <c r="AI155" i="32"/>
  <c r="AN155" i="32" s="1"/>
  <c r="AP165" i="50"/>
  <c r="R228" i="57"/>
  <c r="R228" i="53"/>
  <c r="X228" i="53" s="1"/>
  <c r="AL166" i="50"/>
  <c r="Q158" i="32"/>
  <c r="P158" i="32" s="1"/>
  <c r="AX212" i="69"/>
  <c r="L229" i="57"/>
  <c r="AG229" i="57"/>
  <c r="O169" i="50"/>
  <c r="AJ228" i="57"/>
  <c r="AP228" i="57"/>
  <c r="AG228" i="53"/>
  <c r="AH228" i="53"/>
  <c r="AT228" i="53"/>
  <c r="N229" i="57"/>
  <c r="H229" i="53"/>
  <c r="N229" i="53"/>
  <c r="AH212" i="69"/>
  <c r="AJ167" i="50"/>
  <c r="C167" i="50"/>
  <c r="AJ157" i="32"/>
  <c r="C157" i="32"/>
  <c r="AD228" i="57"/>
  <c r="Q228" i="53"/>
  <c r="AD228" i="53"/>
  <c r="S168" i="50"/>
  <c r="V167" i="50"/>
  <c r="S158" i="32"/>
  <c r="V158" i="32" s="1"/>
  <c r="AK228" i="52" a="1"/>
  <c r="AK228" i="52" s="1"/>
  <c r="B230" i="53" s="1"/>
  <c r="O230" i="53" s="1"/>
  <c r="D229" i="53"/>
  <c r="F229" i="53"/>
  <c r="P229" i="53"/>
  <c r="G229" i="53"/>
  <c r="J229" i="53"/>
  <c r="C229" i="53"/>
  <c r="K229" i="53"/>
  <c r="L229" i="53"/>
  <c r="I229" i="53"/>
  <c r="E229" i="53"/>
  <c r="M229" i="53"/>
  <c r="A159" i="32"/>
  <c r="B159" i="32"/>
  <c r="R159" i="32" s="1"/>
  <c r="H169" i="50"/>
  <c r="B169" i="50"/>
  <c r="R169" i="50" s="1"/>
  <c r="F169" i="50"/>
  <c r="N169" i="50"/>
  <c r="I169" i="50"/>
  <c r="L169" i="50"/>
  <c r="A169" i="50"/>
  <c r="Q169" i="50" s="1"/>
  <c r="P169" i="50" s="1"/>
  <c r="J169" i="50"/>
  <c r="K169" i="50"/>
  <c r="M169" i="50"/>
  <c r="G169" i="50"/>
  <c r="J159" i="32"/>
  <c r="M159" i="32"/>
  <c r="F159" i="32"/>
  <c r="AM159" i="32" s="1"/>
  <c r="N159" i="32"/>
  <c r="I159" i="32"/>
  <c r="K159" i="32"/>
  <c r="H159" i="32"/>
  <c r="G159" i="32"/>
  <c r="L159" i="32"/>
  <c r="O159" i="32"/>
  <c r="W167" i="50"/>
  <c r="X167" i="50" s="1"/>
  <c r="Z167" i="50"/>
  <c r="Q228" i="57"/>
  <c r="T228" i="57" s="1"/>
  <c r="F229" i="57"/>
  <c r="C229" i="57"/>
  <c r="M229" i="57" s="1"/>
  <c r="P229" i="57"/>
  <c r="H229" i="57"/>
  <c r="K229" i="57"/>
  <c r="E229" i="57"/>
  <c r="G229" i="57"/>
  <c r="D229" i="57"/>
  <c r="J229" i="57"/>
  <c r="I229" i="57"/>
  <c r="AK228" i="55" a="1"/>
  <c r="AK228" i="55" s="1"/>
  <c r="B230" i="57" s="1"/>
  <c r="O230" i="57" s="1"/>
  <c r="W157" i="32"/>
  <c r="X157" i="32" s="1"/>
  <c r="Z157" i="32"/>
  <c r="AN214" i="67" a="1"/>
  <c r="AN214" i="67" s="1"/>
  <c r="B215" i="69"/>
  <c r="U212" i="69"/>
  <c r="Q212" i="69"/>
  <c r="R212" i="69"/>
  <c r="S212" i="69" s="1"/>
  <c r="Y212" i="69" s="1"/>
  <c r="AB212" i="69" s="1"/>
  <c r="AC212" i="69" s="1"/>
  <c r="AD212" i="69" s="1"/>
  <c r="AE212" i="69"/>
  <c r="C214" i="69"/>
  <c r="D213" i="69"/>
  <c r="E213" i="69" s="1"/>
  <c r="F213" i="69" s="1"/>
  <c r="G213" i="69" s="1"/>
  <c r="H213" i="69" s="1"/>
  <c r="I213" i="69" s="1"/>
  <c r="J213" i="69" s="1"/>
  <c r="K213" i="69" s="1"/>
  <c r="M213" i="69" s="1"/>
  <c r="N213" i="69"/>
  <c r="AF213" i="69" s="1"/>
  <c r="AL159" i="11" a="1"/>
  <c r="AL159" i="11" s="1"/>
  <c r="E160" i="32" s="1"/>
  <c r="AL169" i="59" a="1"/>
  <c r="AL169" i="59" s="1"/>
  <c r="E170" i="50" s="1"/>
  <c r="AM59" i="59" a="1"/>
  <c r="AM59" i="59" s="1"/>
  <c r="AM44" i="11" a="1"/>
  <c r="AM44" i="11" s="1"/>
  <c r="AG212" i="69" l="1"/>
  <c r="AO214" i="69"/>
  <c r="P214" i="69"/>
  <c r="L215" i="69"/>
  <c r="O215" i="69"/>
  <c r="T170" i="50"/>
  <c r="AK170" i="50"/>
  <c r="X228" i="57"/>
  <c r="AB227" i="57"/>
  <c r="AF227" i="57"/>
  <c r="AB228" i="53"/>
  <c r="AA228" i="53"/>
  <c r="AE229" i="53"/>
  <c r="AC229" i="53"/>
  <c r="AF228" i="53"/>
  <c r="AK160" i="32"/>
  <c r="T160" i="32"/>
  <c r="AD158" i="32"/>
  <c r="AE229" i="57"/>
  <c r="AC229" i="57"/>
  <c r="AD168" i="50"/>
  <c r="AG168" i="50" s="1"/>
  <c r="AH168" i="50" s="1"/>
  <c r="AI168" i="50" s="1"/>
  <c r="AM169" i="50"/>
  <c r="U169" i="50"/>
  <c r="AG157" i="32"/>
  <c r="AH157" i="32" s="1"/>
  <c r="AL157" i="32"/>
  <c r="U159" i="32"/>
  <c r="AI156" i="32"/>
  <c r="AN156" i="32" s="1"/>
  <c r="AP166" i="50"/>
  <c r="R229" i="57"/>
  <c r="R229" i="53"/>
  <c r="X229" i="53" s="1"/>
  <c r="AL167" i="50"/>
  <c r="Q159" i="32"/>
  <c r="P159" i="32" s="1"/>
  <c r="AX213" i="69"/>
  <c r="AG230" i="57"/>
  <c r="L230" i="57"/>
  <c r="O170" i="50"/>
  <c r="AJ229" i="57"/>
  <c r="AP229" i="57"/>
  <c r="AH229" i="53"/>
  <c r="AT229" i="53"/>
  <c r="AG229" i="53"/>
  <c r="N230" i="57"/>
  <c r="N230" i="53"/>
  <c r="AH213" i="69"/>
  <c r="AJ168" i="50"/>
  <c r="C168" i="50"/>
  <c r="AJ158" i="32"/>
  <c r="C158" i="32"/>
  <c r="AD229" i="57"/>
  <c r="AD229" i="53"/>
  <c r="S169" i="50"/>
  <c r="V168" i="50"/>
  <c r="S159" i="32"/>
  <c r="V159" i="32" s="1"/>
  <c r="Q229" i="53"/>
  <c r="C230" i="53"/>
  <c r="K230" i="53"/>
  <c r="L230" i="53"/>
  <c r="AK229" i="52" a="1"/>
  <c r="AK229" i="52" s="1"/>
  <c r="B231" i="53" s="1"/>
  <c r="O231" i="53" s="1"/>
  <c r="G230" i="53"/>
  <c r="M230" i="53"/>
  <c r="J230" i="53"/>
  <c r="E230" i="53"/>
  <c r="I230" i="53"/>
  <c r="F230" i="53"/>
  <c r="D230" i="53"/>
  <c r="H230" i="53"/>
  <c r="P230" i="53"/>
  <c r="A160" i="32"/>
  <c r="B160" i="32"/>
  <c r="R160" i="32" s="1"/>
  <c r="G170" i="50"/>
  <c r="B170" i="50"/>
  <c r="R170" i="50" s="1"/>
  <c r="A170" i="50"/>
  <c r="Q170" i="50" s="1"/>
  <c r="P170" i="50" s="1"/>
  <c r="H170" i="50"/>
  <c r="J170" i="50"/>
  <c r="L170" i="50"/>
  <c r="I170" i="50"/>
  <c r="M170" i="50"/>
  <c r="N170" i="50"/>
  <c r="K170" i="50"/>
  <c r="F170" i="50"/>
  <c r="H160" i="32"/>
  <c r="K160" i="32"/>
  <c r="L160" i="32"/>
  <c r="G160" i="32"/>
  <c r="O160" i="32"/>
  <c r="F160" i="32"/>
  <c r="AM160" i="32" s="1"/>
  <c r="I160" i="32"/>
  <c r="N160" i="32"/>
  <c r="M160" i="32"/>
  <c r="J160" i="32"/>
  <c r="Q229" i="57"/>
  <c r="T229" i="57" s="1"/>
  <c r="W168" i="50"/>
  <c r="X168" i="50" s="1"/>
  <c r="Z168" i="50"/>
  <c r="P230" i="57"/>
  <c r="J230" i="57"/>
  <c r="E230" i="57"/>
  <c r="F230" i="57"/>
  <c r="K230" i="57"/>
  <c r="G230" i="57"/>
  <c r="C230" i="57"/>
  <c r="M230" i="57" s="1"/>
  <c r="H230" i="57"/>
  <c r="I230" i="57"/>
  <c r="D230" i="57"/>
  <c r="AK229" i="55" a="1"/>
  <c r="AK229" i="55" s="1"/>
  <c r="B231" i="57" s="1"/>
  <c r="O231" i="57" s="1"/>
  <c r="W158" i="32"/>
  <c r="X158" i="32" s="1"/>
  <c r="Z158" i="32"/>
  <c r="AN215" i="67" a="1"/>
  <c r="AN215" i="67" s="1"/>
  <c r="B216" i="69"/>
  <c r="AE213" i="69"/>
  <c r="Q213" i="69"/>
  <c r="R213" i="69"/>
  <c r="S213" i="69" s="1"/>
  <c r="Y213" i="69" s="1"/>
  <c r="AB213" i="69" s="1"/>
  <c r="AC213" i="69" s="1"/>
  <c r="AD213" i="69" s="1"/>
  <c r="U213" i="69"/>
  <c r="D214" i="69"/>
  <c r="E214" i="69" s="1"/>
  <c r="F214" i="69" s="1"/>
  <c r="G214" i="69" s="1"/>
  <c r="H214" i="69" s="1"/>
  <c r="I214" i="69" s="1"/>
  <c r="J214" i="69" s="1"/>
  <c r="K214" i="69" s="1"/>
  <c r="M214" i="69" s="1"/>
  <c r="N214" i="69"/>
  <c r="AF214" i="69" s="1"/>
  <c r="C215" i="69"/>
  <c r="AL160" i="11" a="1"/>
  <c r="AL160" i="11" s="1"/>
  <c r="AL170" i="59" a="1"/>
  <c r="AL170" i="59" s="1"/>
  <c r="E171" i="50" s="1"/>
  <c r="AM60" i="59" a="1"/>
  <c r="AM60" i="59" s="1"/>
  <c r="AM45" i="11" a="1"/>
  <c r="AM45" i="11" s="1"/>
  <c r="AB228" i="57" l="1"/>
  <c r="AA228" i="57"/>
  <c r="X229" i="57"/>
  <c r="AA229" i="57" s="1"/>
  <c r="AG213" i="69"/>
  <c r="L216" i="69"/>
  <c r="O216" i="69"/>
  <c r="AO215" i="69"/>
  <c r="P215" i="69"/>
  <c r="T171" i="50"/>
  <c r="AK171" i="50"/>
  <c r="AF228" i="57"/>
  <c r="AD159" i="32"/>
  <c r="AB229" i="53"/>
  <c r="AA229" i="53"/>
  <c r="AF229" i="53"/>
  <c r="AE230" i="53"/>
  <c r="AC230" i="53"/>
  <c r="AE230" i="57"/>
  <c r="AC230" i="57"/>
  <c r="AM170" i="50"/>
  <c r="U170" i="50"/>
  <c r="AD169" i="50"/>
  <c r="AG169" i="50" s="1"/>
  <c r="AH169" i="50" s="1"/>
  <c r="AI169" i="50" s="1"/>
  <c r="U160" i="32"/>
  <c r="AG158" i="32"/>
  <c r="AH158" i="32" s="1"/>
  <c r="AL158" i="32"/>
  <c r="AP167" i="50"/>
  <c r="R230" i="57"/>
  <c r="R230" i="53"/>
  <c r="X230" i="53" s="1"/>
  <c r="AL168" i="50"/>
  <c r="Q160" i="32"/>
  <c r="P160" i="32" s="1"/>
  <c r="AI157" i="32"/>
  <c r="AN157" i="32" s="1"/>
  <c r="AX214" i="69"/>
  <c r="AG231" i="57"/>
  <c r="L231" i="57"/>
  <c r="O171" i="50"/>
  <c r="AJ230" i="57"/>
  <c r="AP230" i="57"/>
  <c r="AH230" i="53"/>
  <c r="AT230" i="53"/>
  <c r="AG230" i="53"/>
  <c r="N231" i="57"/>
  <c r="E231" i="53"/>
  <c r="N231" i="53"/>
  <c r="AH214" i="69"/>
  <c r="AJ169" i="50"/>
  <c r="C169" i="50"/>
  <c r="AJ159" i="32"/>
  <c r="C159" i="32"/>
  <c r="AD230" i="57"/>
  <c r="AD230" i="53"/>
  <c r="V169" i="50"/>
  <c r="S170" i="50"/>
  <c r="S160" i="32"/>
  <c r="V160" i="32" s="1"/>
  <c r="Q230" i="53"/>
  <c r="D231" i="53"/>
  <c r="H231" i="53"/>
  <c r="C231" i="53"/>
  <c r="F231" i="53"/>
  <c r="AK230" i="52" a="1"/>
  <c r="AK230" i="52" s="1"/>
  <c r="B232" i="53" s="1"/>
  <c r="O232" i="53" s="1"/>
  <c r="L231" i="53"/>
  <c r="G231" i="53"/>
  <c r="I231" i="53"/>
  <c r="K231" i="53"/>
  <c r="M231" i="53"/>
  <c r="J231" i="53"/>
  <c r="P231" i="53"/>
  <c r="I171" i="50"/>
  <c r="H171" i="50"/>
  <c r="F171" i="50"/>
  <c r="L171" i="50"/>
  <c r="N171" i="50"/>
  <c r="M171" i="50"/>
  <c r="B171" i="50"/>
  <c r="R171" i="50" s="1"/>
  <c r="G171" i="50"/>
  <c r="J171" i="50"/>
  <c r="K171" i="50"/>
  <c r="A171" i="50"/>
  <c r="Q171" i="50" s="1"/>
  <c r="P171" i="50" s="1"/>
  <c r="J231" i="57"/>
  <c r="G231" i="57"/>
  <c r="D231" i="57"/>
  <c r="K231" i="57"/>
  <c r="F231" i="57"/>
  <c r="H231" i="57"/>
  <c r="C231" i="57"/>
  <c r="M231" i="57" s="1"/>
  <c r="E231" i="57"/>
  <c r="P231" i="57"/>
  <c r="I231" i="57"/>
  <c r="Z169" i="50"/>
  <c r="W169" i="50"/>
  <c r="X169" i="50" s="1"/>
  <c r="Q230" i="57"/>
  <c r="T230" i="57" s="1"/>
  <c r="E161" i="32"/>
  <c r="AK230" i="55" a="1"/>
  <c r="AK230" i="55" s="1"/>
  <c r="B232" i="57" s="1"/>
  <c r="O232" i="57" s="1"/>
  <c r="W159" i="32"/>
  <c r="X159" i="32" s="1"/>
  <c r="Z159" i="32"/>
  <c r="AN216" i="67" a="1"/>
  <c r="AN216" i="67" s="1"/>
  <c r="B217" i="69"/>
  <c r="C216" i="69"/>
  <c r="D215" i="69"/>
  <c r="E215" i="69" s="1"/>
  <c r="F215" i="69" s="1"/>
  <c r="G215" i="69" s="1"/>
  <c r="H215" i="69" s="1"/>
  <c r="I215" i="69" s="1"/>
  <c r="J215" i="69" s="1"/>
  <c r="K215" i="69" s="1"/>
  <c r="M215" i="69" s="1"/>
  <c r="N215" i="69"/>
  <c r="AF215" i="69" s="1"/>
  <c r="AE214" i="69"/>
  <c r="Q214" i="69"/>
  <c r="R214" i="69"/>
  <c r="S214" i="69" s="1"/>
  <c r="Y214" i="69" s="1"/>
  <c r="AB214" i="69" s="1"/>
  <c r="AC214" i="69" s="1"/>
  <c r="AD214" i="69" s="1"/>
  <c r="U214" i="69"/>
  <c r="AL161" i="11" a="1"/>
  <c r="AL161" i="11" s="1"/>
  <c r="E162" i="32" s="1"/>
  <c r="AL171" i="59" a="1"/>
  <c r="AL171" i="59" s="1"/>
  <c r="E172" i="50" s="1"/>
  <c r="AM61" i="59" a="1"/>
  <c r="AM61" i="59" s="1"/>
  <c r="AM46" i="11" a="1"/>
  <c r="AM46" i="11" s="1"/>
  <c r="AF229" i="57" l="1"/>
  <c r="AB229" i="57"/>
  <c r="AG214" i="69"/>
  <c r="AO216" i="69"/>
  <c r="P216" i="69"/>
  <c r="L217" i="69"/>
  <c r="O217" i="69"/>
  <c r="T172" i="50"/>
  <c r="AK172" i="50"/>
  <c r="X230" i="57"/>
  <c r="AA230" i="57" s="1"/>
  <c r="AB230" i="53"/>
  <c r="AA230" i="53"/>
  <c r="AF230" i="53"/>
  <c r="AE231" i="53"/>
  <c r="AC231" i="53"/>
  <c r="AK161" i="32"/>
  <c r="T161" i="32"/>
  <c r="AK162" i="32"/>
  <c r="T162" i="32"/>
  <c r="AD160" i="32"/>
  <c r="AE231" i="57"/>
  <c r="AC231" i="57"/>
  <c r="AM171" i="50"/>
  <c r="U171" i="50"/>
  <c r="AD170" i="50"/>
  <c r="AG170" i="50" s="1"/>
  <c r="AH170" i="50" s="1"/>
  <c r="AI170" i="50" s="1"/>
  <c r="AG159" i="32"/>
  <c r="AH159" i="32" s="1"/>
  <c r="AL159" i="32"/>
  <c r="AI158" i="32"/>
  <c r="AN158" i="32" s="1"/>
  <c r="AP168" i="50"/>
  <c r="R231" i="57"/>
  <c r="R231" i="53"/>
  <c r="X231" i="53" s="1"/>
  <c r="AL169" i="50"/>
  <c r="AX215" i="69"/>
  <c r="AG232" i="57"/>
  <c r="L232" i="57"/>
  <c r="O172" i="50"/>
  <c r="AJ231" i="57"/>
  <c r="AP231" i="57"/>
  <c r="AH231" i="53"/>
  <c r="AT231" i="53"/>
  <c r="AG231" i="53"/>
  <c r="N232" i="57"/>
  <c r="H232" i="53"/>
  <c r="N232" i="53"/>
  <c r="AH215" i="69"/>
  <c r="AJ170" i="50"/>
  <c r="C170" i="50"/>
  <c r="AJ160" i="32"/>
  <c r="C160" i="32"/>
  <c r="AD231" i="57"/>
  <c r="AD231" i="53"/>
  <c r="S171" i="50"/>
  <c r="V170" i="50"/>
  <c r="Q231" i="53"/>
  <c r="F232" i="53"/>
  <c r="P232" i="53"/>
  <c r="L232" i="53"/>
  <c r="I232" i="53"/>
  <c r="M232" i="53"/>
  <c r="D232" i="53"/>
  <c r="K232" i="53"/>
  <c r="E232" i="53"/>
  <c r="AK231" i="52" a="1"/>
  <c r="AK231" i="52" s="1"/>
  <c r="B233" i="53" s="1"/>
  <c r="O233" i="53" s="1"/>
  <c r="J232" i="53"/>
  <c r="G232" i="53"/>
  <c r="C232" i="53"/>
  <c r="A162" i="32"/>
  <c r="B162" i="32"/>
  <c r="R162" i="32" s="1"/>
  <c r="A161" i="32"/>
  <c r="B161" i="32"/>
  <c r="R161" i="32" s="1"/>
  <c r="L172" i="50"/>
  <c r="N172" i="50"/>
  <c r="F172" i="50"/>
  <c r="G172" i="50"/>
  <c r="I172" i="50"/>
  <c r="H172" i="50"/>
  <c r="K172" i="50"/>
  <c r="J172" i="50"/>
  <c r="M172" i="50"/>
  <c r="A172" i="50"/>
  <c r="Q172" i="50" s="1"/>
  <c r="P172" i="50" s="1"/>
  <c r="B172" i="50"/>
  <c r="R172" i="50" s="1"/>
  <c r="F161" i="32"/>
  <c r="AM161" i="32" s="1"/>
  <c r="N161" i="32"/>
  <c r="I161" i="32"/>
  <c r="J161" i="32"/>
  <c r="M161" i="32"/>
  <c r="G161" i="32"/>
  <c r="L161" i="32"/>
  <c r="O161" i="32"/>
  <c r="H161" i="32"/>
  <c r="K161" i="32"/>
  <c r="L162" i="32"/>
  <c r="G162" i="32"/>
  <c r="O162" i="32"/>
  <c r="H162" i="32"/>
  <c r="K162" i="32"/>
  <c r="M162" i="32"/>
  <c r="J162" i="32"/>
  <c r="F162" i="32"/>
  <c r="AM162" i="32" s="1"/>
  <c r="I162" i="32"/>
  <c r="N162" i="32"/>
  <c r="Q231" i="57"/>
  <c r="T231" i="57" s="1"/>
  <c r="I232" i="57"/>
  <c r="F232" i="57"/>
  <c r="D232" i="57"/>
  <c r="C232" i="57"/>
  <c r="M232" i="57" s="1"/>
  <c r="J232" i="57"/>
  <c r="K232" i="57"/>
  <c r="E232" i="57"/>
  <c r="G232" i="57"/>
  <c r="P232" i="57"/>
  <c r="H232" i="57"/>
  <c r="Z170" i="50"/>
  <c r="W170" i="50"/>
  <c r="X170" i="50" s="1"/>
  <c r="AK231" i="55" a="1"/>
  <c r="AK231" i="55" s="1"/>
  <c r="B233" i="57" s="1"/>
  <c r="O233" i="57" s="1"/>
  <c r="W160" i="32"/>
  <c r="X160" i="32" s="1"/>
  <c r="Z160" i="32"/>
  <c r="AN217" i="67" a="1"/>
  <c r="AN217" i="67" s="1"/>
  <c r="B218" i="69"/>
  <c r="D216" i="69"/>
  <c r="E216" i="69" s="1"/>
  <c r="F216" i="69" s="1"/>
  <c r="G216" i="69" s="1"/>
  <c r="H216" i="69" s="1"/>
  <c r="I216" i="69" s="1"/>
  <c r="J216" i="69" s="1"/>
  <c r="K216" i="69" s="1"/>
  <c r="M216" i="69" s="1"/>
  <c r="N216" i="69"/>
  <c r="AF216" i="69" s="1"/>
  <c r="Q215" i="69"/>
  <c r="U215" i="69"/>
  <c r="AE215" i="69"/>
  <c r="R215" i="69"/>
  <c r="S215" i="69" s="1"/>
  <c r="Y215" i="69" s="1"/>
  <c r="AB215" i="69" s="1"/>
  <c r="AC215" i="69" s="1"/>
  <c r="AD215" i="69" s="1"/>
  <c r="C217" i="69"/>
  <c r="AL162" i="11" a="1"/>
  <c r="AL162" i="11" s="1"/>
  <c r="E163" i="32" s="1"/>
  <c r="AL172" i="59" a="1"/>
  <c r="AL172" i="59" s="1"/>
  <c r="E173" i="50" s="1"/>
  <c r="AM62" i="59" a="1"/>
  <c r="AM62" i="59" s="1"/>
  <c r="AM47" i="11" a="1"/>
  <c r="AM47" i="11" s="1"/>
  <c r="L218" i="69" l="1"/>
  <c r="O218" i="69"/>
  <c r="AO217" i="69"/>
  <c r="P217" i="69"/>
  <c r="AG215" i="69"/>
  <c r="X231" i="57"/>
  <c r="T173" i="50"/>
  <c r="AK173" i="50"/>
  <c r="AF230" i="57"/>
  <c r="AB230" i="57"/>
  <c r="AE232" i="53"/>
  <c r="AC232" i="53"/>
  <c r="AF231" i="53"/>
  <c r="AB231" i="53"/>
  <c r="AA231" i="53"/>
  <c r="AK163" i="32"/>
  <c r="T163" i="32"/>
  <c r="AE232" i="57"/>
  <c r="AC232" i="57"/>
  <c r="AM172" i="50"/>
  <c r="U172" i="50"/>
  <c r="AD171" i="50"/>
  <c r="AG171" i="50" s="1"/>
  <c r="AH171" i="50" s="1"/>
  <c r="AI171" i="50" s="1"/>
  <c r="U162" i="32"/>
  <c r="AG160" i="32"/>
  <c r="AH160" i="32" s="1"/>
  <c r="AL160" i="32"/>
  <c r="U161" i="32"/>
  <c r="AI159" i="32"/>
  <c r="AN159" i="32" s="1"/>
  <c r="AP169" i="50"/>
  <c r="R232" i="57"/>
  <c r="R232" i="53"/>
  <c r="X232" i="53" s="1"/>
  <c r="AL170" i="50"/>
  <c r="Q161" i="32"/>
  <c r="P161" i="32" s="1"/>
  <c r="Q162" i="32"/>
  <c r="P162" i="32" s="1"/>
  <c r="AX216" i="69"/>
  <c r="AG233" i="57"/>
  <c r="L233" i="57"/>
  <c r="O173" i="50"/>
  <c r="AJ232" i="57"/>
  <c r="AP232" i="57"/>
  <c r="AH232" i="53"/>
  <c r="AT232" i="53"/>
  <c r="AG232" i="53"/>
  <c r="N233" i="57"/>
  <c r="M233" i="53"/>
  <c r="N233" i="53"/>
  <c r="AH216" i="69"/>
  <c r="AJ171" i="50"/>
  <c r="C171" i="50"/>
  <c r="AD232" i="57"/>
  <c r="Q232" i="53"/>
  <c r="AD232" i="53"/>
  <c r="S172" i="50"/>
  <c r="V171" i="50"/>
  <c r="S161" i="32"/>
  <c r="V161" i="32" s="1"/>
  <c r="S162" i="32"/>
  <c r="V162" i="32" s="1"/>
  <c r="AK232" i="52" a="1"/>
  <c r="AK232" i="52" s="1"/>
  <c r="B234" i="53" s="1"/>
  <c r="O234" i="53" s="1"/>
  <c r="E233" i="53"/>
  <c r="J233" i="53"/>
  <c r="H233" i="53"/>
  <c r="L233" i="53"/>
  <c r="F233" i="53"/>
  <c r="D233" i="53"/>
  <c r="K233" i="53"/>
  <c r="C233" i="53"/>
  <c r="I233" i="53"/>
  <c r="G233" i="53"/>
  <c r="P233" i="53"/>
  <c r="A163" i="32"/>
  <c r="B163" i="32"/>
  <c r="R163" i="32" s="1"/>
  <c r="F173" i="50"/>
  <c r="M173" i="50"/>
  <c r="J173" i="50"/>
  <c r="K173" i="50"/>
  <c r="B173" i="50"/>
  <c r="R173" i="50" s="1"/>
  <c r="L173" i="50"/>
  <c r="H173" i="50"/>
  <c r="A173" i="50"/>
  <c r="Q173" i="50" s="1"/>
  <c r="P173" i="50" s="1"/>
  <c r="G173" i="50"/>
  <c r="I173" i="50"/>
  <c r="N173" i="50"/>
  <c r="J163" i="32"/>
  <c r="M163" i="32"/>
  <c r="F163" i="32"/>
  <c r="AM163" i="32" s="1"/>
  <c r="N163" i="32"/>
  <c r="I163" i="32"/>
  <c r="H163" i="32"/>
  <c r="K163" i="32"/>
  <c r="G163" i="32"/>
  <c r="L163" i="32"/>
  <c r="O163" i="32"/>
  <c r="K233" i="57"/>
  <c r="J233" i="57"/>
  <c r="H233" i="57"/>
  <c r="F233" i="57"/>
  <c r="P233" i="57"/>
  <c r="D233" i="57"/>
  <c r="C233" i="57"/>
  <c r="M233" i="57" s="1"/>
  <c r="I233" i="57"/>
  <c r="E233" i="57"/>
  <c r="G233" i="57"/>
  <c r="Q232" i="57"/>
  <c r="T232" i="57" s="1"/>
  <c r="Z171" i="50"/>
  <c r="W171" i="50"/>
  <c r="X171" i="50" s="1"/>
  <c r="AK232" i="55" a="1"/>
  <c r="AK232" i="55" s="1"/>
  <c r="B234" i="57" s="1"/>
  <c r="O234" i="57" s="1"/>
  <c r="U216" i="69"/>
  <c r="Q216" i="69"/>
  <c r="R216" i="69"/>
  <c r="S216" i="69" s="1"/>
  <c r="Y216" i="69" s="1"/>
  <c r="AE216" i="69"/>
  <c r="C218" i="69"/>
  <c r="N217" i="69"/>
  <c r="AF217" i="69" s="1"/>
  <c r="D217" i="69"/>
  <c r="E217" i="69" s="1"/>
  <c r="F217" i="69" s="1"/>
  <c r="G217" i="69" s="1"/>
  <c r="H217" i="69" s="1"/>
  <c r="I217" i="69" s="1"/>
  <c r="J217" i="69" s="1"/>
  <c r="K217" i="69" s="1"/>
  <c r="M217" i="69" s="1"/>
  <c r="AN218" i="67" a="1"/>
  <c r="AN218" i="67" s="1"/>
  <c r="B219" i="69"/>
  <c r="AL163" i="11" a="1"/>
  <c r="AL163" i="11" s="1"/>
  <c r="E164" i="32" s="1"/>
  <c r="AL173" i="59" a="1"/>
  <c r="AL173" i="59" s="1"/>
  <c r="E174" i="50" s="1"/>
  <c r="AM63" i="59" a="1"/>
  <c r="AM63" i="59" s="1"/>
  <c r="AM48" i="11" a="1"/>
  <c r="AM48" i="11" s="1"/>
  <c r="AB231" i="57" l="1"/>
  <c r="AA231" i="57"/>
  <c r="AB216" i="69"/>
  <c r="AC216" i="69" s="1"/>
  <c r="AD216" i="69" s="1"/>
  <c r="AG216" i="69"/>
  <c r="L219" i="69"/>
  <c r="O219" i="69"/>
  <c r="AO218" i="69"/>
  <c r="P218" i="69"/>
  <c r="AF231" i="57"/>
  <c r="T174" i="50"/>
  <c r="AK174" i="50"/>
  <c r="X232" i="57"/>
  <c r="AB232" i="53"/>
  <c r="AA232" i="53"/>
  <c r="AE233" i="53"/>
  <c r="AC233" i="53"/>
  <c r="AF232" i="53"/>
  <c r="T164" i="32"/>
  <c r="AK164" i="32"/>
  <c r="AD161" i="32"/>
  <c r="AD162" i="32"/>
  <c r="AE233" i="57"/>
  <c r="AC233" i="57"/>
  <c r="AD172" i="50"/>
  <c r="AG172" i="50" s="1"/>
  <c r="AH172" i="50" s="1"/>
  <c r="AI172" i="50" s="1"/>
  <c r="AM173" i="50"/>
  <c r="U173" i="50"/>
  <c r="U163" i="32"/>
  <c r="AI160" i="32"/>
  <c r="AN160" i="32" s="1"/>
  <c r="AP170" i="50"/>
  <c r="R233" i="57"/>
  <c r="R233" i="53"/>
  <c r="X233" i="53" s="1"/>
  <c r="AL171" i="50"/>
  <c r="Q163" i="32"/>
  <c r="P163" i="32" s="1"/>
  <c r="AX217" i="69"/>
  <c r="AG234" i="57"/>
  <c r="L234" i="57"/>
  <c r="O174" i="50"/>
  <c r="AJ233" i="57"/>
  <c r="AP233" i="57"/>
  <c r="AG233" i="53"/>
  <c r="Q233" i="53"/>
  <c r="AH233" i="53"/>
  <c r="AT233" i="53"/>
  <c r="AD233" i="53"/>
  <c r="N234" i="57"/>
  <c r="J234" i="53"/>
  <c r="N234" i="53"/>
  <c r="AH217" i="69"/>
  <c r="AJ172" i="50"/>
  <c r="C172" i="50"/>
  <c r="AJ162" i="32"/>
  <c r="C162" i="32"/>
  <c r="AJ161" i="32"/>
  <c r="C161" i="32"/>
  <c r="AD233" i="57"/>
  <c r="S173" i="50"/>
  <c r="V172" i="50"/>
  <c r="S163" i="32"/>
  <c r="V163" i="32" s="1"/>
  <c r="I234" i="53"/>
  <c r="H234" i="53"/>
  <c r="P234" i="53"/>
  <c r="E234" i="53"/>
  <c r="M234" i="53"/>
  <c r="F234" i="53"/>
  <c r="AK233" i="52" a="1"/>
  <c r="AK233" i="52" s="1"/>
  <c r="B235" i="53" s="1"/>
  <c r="O235" i="53" s="1"/>
  <c r="K234" i="53"/>
  <c r="D234" i="53"/>
  <c r="L234" i="53"/>
  <c r="G234" i="53"/>
  <c r="C234" i="53"/>
  <c r="A164" i="32"/>
  <c r="B164" i="32"/>
  <c r="R164" i="32" s="1"/>
  <c r="M174" i="50"/>
  <c r="A174" i="50"/>
  <c r="Q174" i="50" s="1"/>
  <c r="P174" i="50" s="1"/>
  <c r="K174" i="50"/>
  <c r="G174" i="50"/>
  <c r="N174" i="50"/>
  <c r="I174" i="50"/>
  <c r="L174" i="50"/>
  <c r="H174" i="50"/>
  <c r="B174" i="50"/>
  <c r="R174" i="50" s="1"/>
  <c r="J174" i="50"/>
  <c r="F174" i="50"/>
  <c r="H164" i="32"/>
  <c r="K164" i="32"/>
  <c r="L164" i="32"/>
  <c r="G164" i="32"/>
  <c r="O164" i="32"/>
  <c r="I164" i="32"/>
  <c r="N164" i="32"/>
  <c r="F164" i="32"/>
  <c r="AM164" i="32" s="1"/>
  <c r="J164" i="32"/>
  <c r="M164" i="32"/>
  <c r="Z161" i="32"/>
  <c r="W161" i="32"/>
  <c r="X161" i="32" s="1"/>
  <c r="E234" i="57"/>
  <c r="P234" i="57"/>
  <c r="J234" i="57"/>
  <c r="H234" i="57"/>
  <c r="G234" i="57"/>
  <c r="C234" i="57"/>
  <c r="M234" i="57" s="1"/>
  <c r="F234" i="57"/>
  <c r="D234" i="57"/>
  <c r="K234" i="57"/>
  <c r="I234" i="57"/>
  <c r="Z172" i="50"/>
  <c r="W172" i="50"/>
  <c r="X172" i="50" s="1"/>
  <c r="Q233" i="57"/>
  <c r="T233" i="57" s="1"/>
  <c r="AK233" i="55" a="1"/>
  <c r="AK233" i="55" s="1"/>
  <c r="B235" i="57" s="1"/>
  <c r="O235" i="57" s="1"/>
  <c r="W162" i="32"/>
  <c r="X162" i="32" s="1"/>
  <c r="Z162" i="32"/>
  <c r="U217" i="69"/>
  <c r="Q217" i="69"/>
  <c r="R217" i="69"/>
  <c r="S217" i="69" s="1"/>
  <c r="Y217" i="69" s="1"/>
  <c r="AE217" i="69"/>
  <c r="D218" i="69"/>
  <c r="E218" i="69" s="1"/>
  <c r="F218" i="69" s="1"/>
  <c r="G218" i="69" s="1"/>
  <c r="H218" i="69" s="1"/>
  <c r="I218" i="69" s="1"/>
  <c r="J218" i="69" s="1"/>
  <c r="K218" i="69" s="1"/>
  <c r="M218" i="69" s="1"/>
  <c r="N218" i="69"/>
  <c r="AF218" i="69" s="1"/>
  <c r="AN219" i="67" a="1"/>
  <c r="AN219" i="67" s="1"/>
  <c r="B220" i="69"/>
  <c r="C219" i="69"/>
  <c r="AL164" i="11" a="1"/>
  <c r="AL164" i="11" s="1"/>
  <c r="E165" i="32" s="1"/>
  <c r="AL174" i="59" a="1"/>
  <c r="AL174" i="59" s="1"/>
  <c r="E175" i="50" s="1"/>
  <c r="AM64" i="59" a="1"/>
  <c r="AM64" i="59" s="1"/>
  <c r="AM49" i="11" a="1"/>
  <c r="AM49" i="11" s="1"/>
  <c r="AF232" i="57" l="1"/>
  <c r="AA232" i="57"/>
  <c r="AB217" i="69"/>
  <c r="AC217" i="69" s="1"/>
  <c r="AD217" i="69" s="1"/>
  <c r="AG217" i="69"/>
  <c r="AO219" i="69"/>
  <c r="P219" i="69"/>
  <c r="L220" i="69"/>
  <c r="O220" i="69"/>
  <c r="AK175" i="50"/>
  <c r="T175" i="50"/>
  <c r="AB232" i="57"/>
  <c r="AB233" i="53"/>
  <c r="AA233" i="53"/>
  <c r="AE234" i="53"/>
  <c r="AC234" i="53"/>
  <c r="AF233" i="53"/>
  <c r="AK165" i="32"/>
  <c r="T165" i="32"/>
  <c r="AD163" i="32"/>
  <c r="X233" i="57"/>
  <c r="AE234" i="57"/>
  <c r="AC234" i="57"/>
  <c r="AD173" i="50"/>
  <c r="AG173" i="50" s="1"/>
  <c r="AH173" i="50" s="1"/>
  <c r="AI173" i="50" s="1"/>
  <c r="AM174" i="50"/>
  <c r="U174" i="50"/>
  <c r="U164" i="32"/>
  <c r="AG161" i="32"/>
  <c r="AH161" i="32" s="1"/>
  <c r="AL161" i="32"/>
  <c r="AG162" i="32"/>
  <c r="AH162" i="32" s="1"/>
  <c r="AL162" i="32"/>
  <c r="AP171" i="50"/>
  <c r="R234" i="57"/>
  <c r="R234" i="53"/>
  <c r="X234" i="53" s="1"/>
  <c r="AL172" i="50"/>
  <c r="Q164" i="32"/>
  <c r="P164" i="32" s="1"/>
  <c r="AX218" i="69"/>
  <c r="L235" i="57"/>
  <c r="AG235" i="57"/>
  <c r="O175" i="50"/>
  <c r="AJ234" i="57"/>
  <c r="AP234" i="57"/>
  <c r="AH234" i="53"/>
  <c r="AT234" i="53"/>
  <c r="AG234" i="53"/>
  <c r="N235" i="57"/>
  <c r="M235" i="53"/>
  <c r="N235" i="53"/>
  <c r="AH218" i="69"/>
  <c r="AJ173" i="50"/>
  <c r="C173" i="50"/>
  <c r="AJ163" i="32"/>
  <c r="C163" i="32"/>
  <c r="AD234" i="57"/>
  <c r="AD234" i="53"/>
  <c r="Q234" i="53"/>
  <c r="S174" i="50"/>
  <c r="V173" i="50"/>
  <c r="S164" i="32"/>
  <c r="V164" i="32" s="1"/>
  <c r="L235" i="53"/>
  <c r="C235" i="53"/>
  <c r="D235" i="53"/>
  <c r="I235" i="53"/>
  <c r="AK234" i="52" a="1"/>
  <c r="AK234" i="52" s="1"/>
  <c r="B236" i="53" s="1"/>
  <c r="O236" i="53" s="1"/>
  <c r="H235" i="53"/>
  <c r="G235" i="53"/>
  <c r="K235" i="53"/>
  <c r="F235" i="53"/>
  <c r="P235" i="53"/>
  <c r="J235" i="53"/>
  <c r="E235" i="53"/>
  <c r="A165" i="32"/>
  <c r="B165" i="32"/>
  <c r="R165" i="32" s="1"/>
  <c r="F175" i="50"/>
  <c r="L175" i="50"/>
  <c r="A175" i="50"/>
  <c r="Q175" i="50" s="1"/>
  <c r="P175" i="50" s="1"/>
  <c r="K175" i="50"/>
  <c r="H175" i="50"/>
  <c r="M175" i="50"/>
  <c r="I175" i="50"/>
  <c r="J175" i="50"/>
  <c r="B175" i="50"/>
  <c r="R175" i="50" s="1"/>
  <c r="G175" i="50"/>
  <c r="N175" i="50"/>
  <c r="F165" i="32"/>
  <c r="AM165" i="32" s="1"/>
  <c r="K165" i="32"/>
  <c r="N165" i="32"/>
  <c r="G165" i="32"/>
  <c r="O165" i="32"/>
  <c r="J165" i="32"/>
  <c r="H165" i="32"/>
  <c r="I165" i="32"/>
  <c r="L165" i="32"/>
  <c r="M165" i="32"/>
  <c r="W173" i="50"/>
  <c r="X173" i="50" s="1"/>
  <c r="Z173" i="50"/>
  <c r="Q234" i="57"/>
  <c r="T234" i="57" s="1"/>
  <c r="J235" i="57"/>
  <c r="D235" i="57"/>
  <c r="K235" i="57"/>
  <c r="F235" i="57"/>
  <c r="I235" i="57"/>
  <c r="E235" i="57"/>
  <c r="C235" i="57"/>
  <c r="M235" i="57" s="1"/>
  <c r="G235" i="57"/>
  <c r="P235" i="57"/>
  <c r="H235" i="57"/>
  <c r="AK234" i="55" a="1"/>
  <c r="AK234" i="55" s="1"/>
  <c r="B236" i="57" s="1"/>
  <c r="O236" i="57" s="1"/>
  <c r="W163" i="32"/>
  <c r="X163" i="32" s="1"/>
  <c r="Z163" i="32"/>
  <c r="AN220" i="67" a="1"/>
  <c r="AN220" i="67" s="1"/>
  <c r="B221" i="69"/>
  <c r="Q218" i="69"/>
  <c r="U218" i="69"/>
  <c r="AE218" i="69"/>
  <c r="R218" i="69"/>
  <c r="S218" i="69" s="1"/>
  <c r="Y218" i="69" s="1"/>
  <c r="C220" i="69"/>
  <c r="N219" i="69"/>
  <c r="AF219" i="69" s="1"/>
  <c r="D219" i="69"/>
  <c r="E219" i="69" s="1"/>
  <c r="F219" i="69" s="1"/>
  <c r="G219" i="69" s="1"/>
  <c r="H219" i="69" s="1"/>
  <c r="I219" i="69" s="1"/>
  <c r="J219" i="69" s="1"/>
  <c r="K219" i="69" s="1"/>
  <c r="M219" i="69" s="1"/>
  <c r="AL165" i="11" a="1"/>
  <c r="AL165" i="11" s="1"/>
  <c r="E166" i="32" s="1"/>
  <c r="AL175" i="59" a="1"/>
  <c r="AL175" i="59" s="1"/>
  <c r="E176" i="50" s="1"/>
  <c r="AM65" i="59" a="1"/>
  <c r="AM65" i="59" s="1"/>
  <c r="AM50" i="11" a="1"/>
  <c r="AM50" i="11" s="1"/>
  <c r="AB233" i="57" l="1"/>
  <c r="AA233" i="57"/>
  <c r="AB218" i="69"/>
  <c r="AC218" i="69" s="1"/>
  <c r="AD218" i="69" s="1"/>
  <c r="AG218" i="69"/>
  <c r="AO220" i="69"/>
  <c r="P220" i="69"/>
  <c r="L221" i="69"/>
  <c r="O221" i="69"/>
  <c r="AK176" i="50"/>
  <c r="T176" i="50"/>
  <c r="AB234" i="53"/>
  <c r="AA234" i="53"/>
  <c r="AE235" i="53"/>
  <c r="AC235" i="53"/>
  <c r="AF234" i="53"/>
  <c r="AK166" i="32"/>
  <c r="T166" i="32"/>
  <c r="AD164" i="32"/>
  <c r="AF233" i="57"/>
  <c r="X234" i="57"/>
  <c r="AA234" i="57" s="1"/>
  <c r="AE235" i="57"/>
  <c r="AC235" i="57"/>
  <c r="AM175" i="50"/>
  <c r="U175" i="50"/>
  <c r="AD174" i="50"/>
  <c r="AG174" i="50" s="1"/>
  <c r="AH174" i="50" s="1"/>
  <c r="AI174" i="50" s="1"/>
  <c r="U165" i="32"/>
  <c r="AG163" i="32"/>
  <c r="AH163" i="32" s="1"/>
  <c r="AL163" i="32"/>
  <c r="AI161" i="32"/>
  <c r="AN161" i="32" s="1"/>
  <c r="AI162" i="32"/>
  <c r="AN162" i="32" s="1"/>
  <c r="AP172" i="50"/>
  <c r="R235" i="57"/>
  <c r="R235" i="53"/>
  <c r="X235" i="53" s="1"/>
  <c r="AL173" i="50"/>
  <c r="Q165" i="32"/>
  <c r="P165" i="32" s="1"/>
  <c r="AX219" i="69"/>
  <c r="AG236" i="57"/>
  <c r="L236" i="57"/>
  <c r="O176" i="50"/>
  <c r="AJ235" i="57"/>
  <c r="AP235" i="57"/>
  <c r="AG235" i="53"/>
  <c r="AH235" i="53"/>
  <c r="AT235" i="53"/>
  <c r="Q235" i="53"/>
  <c r="AD235" i="53"/>
  <c r="N236" i="57"/>
  <c r="I236" i="53"/>
  <c r="N236" i="53"/>
  <c r="AH219" i="69"/>
  <c r="AJ174" i="50"/>
  <c r="C174" i="50"/>
  <c r="AJ164" i="32"/>
  <c r="C164" i="32"/>
  <c r="AD235" i="57"/>
  <c r="S175" i="50"/>
  <c r="V174" i="50"/>
  <c r="S165" i="32"/>
  <c r="V165" i="32" s="1"/>
  <c r="C236" i="53"/>
  <c r="H236" i="53"/>
  <c r="E236" i="53"/>
  <c r="D236" i="53"/>
  <c r="K236" i="53"/>
  <c r="P236" i="53"/>
  <c r="AK235" i="52" a="1"/>
  <c r="AK235" i="52" s="1"/>
  <c r="B237" i="53" s="1"/>
  <c r="O237" i="53" s="1"/>
  <c r="F236" i="53"/>
  <c r="G236" i="53"/>
  <c r="M236" i="53"/>
  <c r="J236" i="53"/>
  <c r="L236" i="53"/>
  <c r="A166" i="32"/>
  <c r="B166" i="32"/>
  <c r="R166" i="32" s="1"/>
  <c r="G176" i="50"/>
  <c r="A176" i="50"/>
  <c r="Q176" i="50" s="1"/>
  <c r="P176" i="50" s="1"/>
  <c r="I176" i="50"/>
  <c r="H176" i="50"/>
  <c r="N176" i="50"/>
  <c r="F176" i="50"/>
  <c r="J176" i="50"/>
  <c r="K176" i="50"/>
  <c r="M176" i="50"/>
  <c r="B176" i="50"/>
  <c r="R176" i="50" s="1"/>
  <c r="L176" i="50"/>
  <c r="I166" i="32"/>
  <c r="L166" i="32"/>
  <c r="M166" i="32"/>
  <c r="H166" i="32"/>
  <c r="J166" i="32"/>
  <c r="K166" i="32"/>
  <c r="N166" i="32"/>
  <c r="O166" i="32"/>
  <c r="F166" i="32"/>
  <c r="AM166" i="32" s="1"/>
  <c r="G166" i="32"/>
  <c r="Q235" i="57"/>
  <c r="T235" i="57" s="1"/>
  <c r="J236" i="57"/>
  <c r="I236" i="57"/>
  <c r="F236" i="57"/>
  <c r="E236" i="57"/>
  <c r="D236" i="57"/>
  <c r="P236" i="57"/>
  <c r="H236" i="57"/>
  <c r="G236" i="57"/>
  <c r="C236" i="57"/>
  <c r="M236" i="57" s="1"/>
  <c r="K236" i="57"/>
  <c r="Z174" i="50"/>
  <c r="W174" i="50"/>
  <c r="X174" i="50" s="1"/>
  <c r="AK235" i="55" a="1"/>
  <c r="AK235" i="55" s="1"/>
  <c r="B237" i="57" s="1"/>
  <c r="O237" i="57" s="1"/>
  <c r="W164" i="32"/>
  <c r="X164" i="32" s="1"/>
  <c r="Z164" i="32"/>
  <c r="AN221" i="67" a="1"/>
  <c r="AN221" i="67" s="1"/>
  <c r="B222" i="69"/>
  <c r="C221" i="69"/>
  <c r="R219" i="69"/>
  <c r="S219" i="69" s="1"/>
  <c r="Y219" i="69" s="1"/>
  <c r="Q219" i="69"/>
  <c r="AE219" i="69"/>
  <c r="U219" i="69"/>
  <c r="D220" i="69"/>
  <c r="E220" i="69" s="1"/>
  <c r="F220" i="69" s="1"/>
  <c r="G220" i="69" s="1"/>
  <c r="H220" i="69" s="1"/>
  <c r="I220" i="69" s="1"/>
  <c r="J220" i="69" s="1"/>
  <c r="K220" i="69" s="1"/>
  <c r="M220" i="69" s="1"/>
  <c r="N220" i="69"/>
  <c r="AF220" i="69" s="1"/>
  <c r="AL166" i="11" a="1"/>
  <c r="AL166" i="11" s="1"/>
  <c r="E167" i="32" s="1"/>
  <c r="AL176" i="59" a="1"/>
  <c r="AL176" i="59" s="1"/>
  <c r="E177" i="50" s="1"/>
  <c r="AM66" i="59" a="1"/>
  <c r="AM66" i="59" s="1"/>
  <c r="AM51" i="11" a="1"/>
  <c r="AM51" i="11" s="1"/>
  <c r="AB219" i="69" l="1"/>
  <c r="AC219" i="69" s="1"/>
  <c r="AD219" i="69" s="1"/>
  <c r="AG219" i="69"/>
  <c r="AO221" i="69"/>
  <c r="P221" i="69"/>
  <c r="L222" i="69"/>
  <c r="O222" i="69"/>
  <c r="T177" i="50"/>
  <c r="AK177" i="50"/>
  <c r="AB235" i="53"/>
  <c r="AA235" i="53"/>
  <c r="AE236" i="53"/>
  <c r="AC236" i="53"/>
  <c r="AF235" i="53"/>
  <c r="AK167" i="32"/>
  <c r="T167" i="32"/>
  <c r="AD165" i="32"/>
  <c r="X235" i="57"/>
  <c r="AB234" i="57"/>
  <c r="AF234" i="57"/>
  <c r="AE236" i="57"/>
  <c r="AC236" i="57"/>
  <c r="AD175" i="50"/>
  <c r="AG175" i="50" s="1"/>
  <c r="AH175" i="50" s="1"/>
  <c r="AI175" i="50" s="1"/>
  <c r="AM176" i="50"/>
  <c r="U176" i="50"/>
  <c r="U166" i="32"/>
  <c r="AG164" i="32"/>
  <c r="AH164" i="32" s="1"/>
  <c r="AL164" i="32"/>
  <c r="AI163" i="32"/>
  <c r="AN163" i="32" s="1"/>
  <c r="AP173" i="50"/>
  <c r="R236" i="57"/>
  <c r="R236" i="53"/>
  <c r="X236" i="53" s="1"/>
  <c r="AL174" i="50"/>
  <c r="Q166" i="32"/>
  <c r="P166" i="32" s="1"/>
  <c r="AX220" i="69"/>
  <c r="AG237" i="57"/>
  <c r="L237" i="57"/>
  <c r="O177" i="50"/>
  <c r="AJ236" i="57"/>
  <c r="AP236" i="57"/>
  <c r="AH236" i="53"/>
  <c r="AT236" i="53"/>
  <c r="AG236" i="53"/>
  <c r="N237" i="57"/>
  <c r="M237" i="53"/>
  <c r="N237" i="53"/>
  <c r="AH220" i="69"/>
  <c r="AJ175" i="50"/>
  <c r="C175" i="50"/>
  <c r="AJ165" i="32"/>
  <c r="C165" i="32"/>
  <c r="AD236" i="57"/>
  <c r="Q236" i="53"/>
  <c r="AD236" i="53"/>
  <c r="S176" i="50"/>
  <c r="V175" i="50"/>
  <c r="S166" i="32"/>
  <c r="V166" i="32" s="1"/>
  <c r="J237" i="53"/>
  <c r="C237" i="53"/>
  <c r="K237" i="53"/>
  <c r="I237" i="53"/>
  <c r="F237" i="53"/>
  <c r="H237" i="53"/>
  <c r="AK236" i="52" a="1"/>
  <c r="AK236" i="52" s="1"/>
  <c r="B238" i="53" s="1"/>
  <c r="O238" i="53" s="1"/>
  <c r="P237" i="53"/>
  <c r="D237" i="53"/>
  <c r="E237" i="53"/>
  <c r="L237" i="53"/>
  <c r="G237" i="53"/>
  <c r="A167" i="32"/>
  <c r="B167" i="32"/>
  <c r="R167" i="32" s="1"/>
  <c r="J177" i="50"/>
  <c r="L177" i="50"/>
  <c r="B177" i="50"/>
  <c r="R177" i="50" s="1"/>
  <c r="M177" i="50"/>
  <c r="N177" i="50"/>
  <c r="F177" i="50"/>
  <c r="A177" i="50"/>
  <c r="Q177" i="50" s="1"/>
  <c r="P177" i="50" s="1"/>
  <c r="I177" i="50"/>
  <c r="K177" i="50"/>
  <c r="H177" i="50"/>
  <c r="G177" i="50"/>
  <c r="G167" i="32"/>
  <c r="O167" i="32"/>
  <c r="J167" i="32"/>
  <c r="K167" i="32"/>
  <c r="F167" i="32"/>
  <c r="AM167" i="32" s="1"/>
  <c r="N167" i="32"/>
  <c r="H167" i="32"/>
  <c r="I167" i="32"/>
  <c r="L167" i="32"/>
  <c r="M167" i="32"/>
  <c r="W175" i="50"/>
  <c r="X175" i="50" s="1"/>
  <c r="Z175" i="50"/>
  <c r="P237" i="57"/>
  <c r="K237" i="57"/>
  <c r="H237" i="57"/>
  <c r="C237" i="57"/>
  <c r="M237" i="57" s="1"/>
  <c r="F237" i="57"/>
  <c r="I237" i="57"/>
  <c r="E237" i="57"/>
  <c r="D237" i="57"/>
  <c r="G237" i="57"/>
  <c r="J237" i="57"/>
  <c r="Q236" i="57"/>
  <c r="T236" i="57" s="1"/>
  <c r="AK236" i="55" a="1"/>
  <c r="AK236" i="55" s="1"/>
  <c r="B238" i="57" s="1"/>
  <c r="O238" i="57" s="1"/>
  <c r="W165" i="32"/>
  <c r="X165" i="32" s="1"/>
  <c r="Z165" i="32"/>
  <c r="AN222" i="67" a="1"/>
  <c r="AN222" i="67" s="1"/>
  <c r="B223" i="69"/>
  <c r="N221" i="69"/>
  <c r="AF221" i="69" s="1"/>
  <c r="D221" i="69"/>
  <c r="E221" i="69" s="1"/>
  <c r="F221" i="69" s="1"/>
  <c r="G221" i="69" s="1"/>
  <c r="H221" i="69" s="1"/>
  <c r="I221" i="69" s="1"/>
  <c r="J221" i="69" s="1"/>
  <c r="K221" i="69" s="1"/>
  <c r="M221" i="69" s="1"/>
  <c r="R220" i="69"/>
  <c r="S220" i="69" s="1"/>
  <c r="Y220" i="69" s="1"/>
  <c r="AE220" i="69"/>
  <c r="U220" i="69"/>
  <c r="Q220" i="69"/>
  <c r="C222" i="69"/>
  <c r="AL167" i="11" a="1"/>
  <c r="AL167" i="11" s="1"/>
  <c r="E168" i="32" s="1"/>
  <c r="AL177" i="59" a="1"/>
  <c r="AL177" i="59" s="1"/>
  <c r="E178" i="50" s="1"/>
  <c r="AM67" i="59" a="1"/>
  <c r="AM67" i="59" s="1"/>
  <c r="AM52" i="11" a="1"/>
  <c r="AM52" i="11" s="1"/>
  <c r="AB235" i="57" l="1"/>
  <c r="AA235" i="57"/>
  <c r="AB220" i="69"/>
  <c r="AC220" i="69" s="1"/>
  <c r="AD220" i="69" s="1"/>
  <c r="AG220" i="69"/>
  <c r="L223" i="69"/>
  <c r="O223" i="69"/>
  <c r="AO222" i="69"/>
  <c r="P222" i="69"/>
  <c r="T178" i="50"/>
  <c r="AK178" i="50"/>
  <c r="AE237" i="53"/>
  <c r="AC237" i="53"/>
  <c r="AB236" i="53"/>
  <c r="AA236" i="53"/>
  <c r="AF236" i="53"/>
  <c r="AK168" i="32"/>
  <c r="T168" i="32"/>
  <c r="AD166" i="32"/>
  <c r="AF235" i="57"/>
  <c r="X236" i="57"/>
  <c r="AA236" i="57" s="1"/>
  <c r="AE237" i="57"/>
  <c r="AC237" i="57"/>
  <c r="AM177" i="50"/>
  <c r="U177" i="50"/>
  <c r="AD176" i="50"/>
  <c r="AG176" i="50" s="1"/>
  <c r="AH176" i="50" s="1"/>
  <c r="AI176" i="50" s="1"/>
  <c r="U167" i="32"/>
  <c r="AG165" i="32"/>
  <c r="AH165" i="32" s="1"/>
  <c r="AL165" i="32"/>
  <c r="AI164" i="32"/>
  <c r="AN164" i="32" s="1"/>
  <c r="AP174" i="50"/>
  <c r="R237" i="57"/>
  <c r="R237" i="53"/>
  <c r="X237" i="53" s="1"/>
  <c r="AL175" i="50"/>
  <c r="Q167" i="32"/>
  <c r="P167" i="32" s="1"/>
  <c r="AX221" i="69"/>
  <c r="AG238" i="57"/>
  <c r="L238" i="57"/>
  <c r="O178" i="50"/>
  <c r="AJ237" i="57"/>
  <c r="AP237" i="57"/>
  <c r="AH237" i="53"/>
  <c r="AT237" i="53"/>
  <c r="AG237" i="53"/>
  <c r="N238" i="57"/>
  <c r="Q237" i="53"/>
  <c r="AD237" i="53"/>
  <c r="F238" i="53"/>
  <c r="N238" i="53"/>
  <c r="AH221" i="69"/>
  <c r="AJ176" i="50"/>
  <c r="C176" i="50"/>
  <c r="AJ166" i="32"/>
  <c r="C166" i="32"/>
  <c r="AD237" i="57"/>
  <c r="S177" i="50"/>
  <c r="V176" i="50"/>
  <c r="S167" i="32"/>
  <c r="V167" i="32" s="1"/>
  <c r="L238" i="53"/>
  <c r="P238" i="53"/>
  <c r="I238" i="53"/>
  <c r="G238" i="53"/>
  <c r="K238" i="53"/>
  <c r="M238" i="53"/>
  <c r="J238" i="53"/>
  <c r="AK237" i="52" a="1"/>
  <c r="AK237" i="52" s="1"/>
  <c r="B239" i="53" s="1"/>
  <c r="O239" i="53" s="1"/>
  <c r="H238" i="53"/>
  <c r="D238" i="53"/>
  <c r="C238" i="53"/>
  <c r="E238" i="53"/>
  <c r="A168" i="32"/>
  <c r="B168" i="32"/>
  <c r="R168" i="32" s="1"/>
  <c r="A178" i="50"/>
  <c r="Q178" i="50" s="1"/>
  <c r="P178" i="50" s="1"/>
  <c r="G178" i="50"/>
  <c r="H178" i="50"/>
  <c r="K178" i="50"/>
  <c r="M178" i="50"/>
  <c r="I178" i="50"/>
  <c r="L178" i="50"/>
  <c r="B178" i="50"/>
  <c r="R178" i="50" s="1"/>
  <c r="F178" i="50"/>
  <c r="N178" i="50"/>
  <c r="J178" i="50"/>
  <c r="M168" i="32"/>
  <c r="H168" i="32"/>
  <c r="I168" i="32"/>
  <c r="L168" i="32"/>
  <c r="F168" i="32"/>
  <c r="AM168" i="32" s="1"/>
  <c r="G168" i="32"/>
  <c r="J168" i="32"/>
  <c r="K168" i="32"/>
  <c r="N168" i="32"/>
  <c r="O168" i="32"/>
  <c r="Q237" i="57"/>
  <c r="T237" i="57" s="1"/>
  <c r="Z176" i="50"/>
  <c r="W176" i="50"/>
  <c r="X176" i="50" s="1"/>
  <c r="P238" i="57"/>
  <c r="J238" i="57"/>
  <c r="E238" i="57"/>
  <c r="I238" i="57"/>
  <c r="D238" i="57"/>
  <c r="F238" i="57"/>
  <c r="K238" i="57"/>
  <c r="C238" i="57"/>
  <c r="M238" i="57" s="1"/>
  <c r="G238" i="57"/>
  <c r="H238" i="57"/>
  <c r="AK237" i="55" a="1"/>
  <c r="AK237" i="55" s="1"/>
  <c r="B239" i="57" s="1"/>
  <c r="O239" i="57" s="1"/>
  <c r="W166" i="32"/>
  <c r="X166" i="32" s="1"/>
  <c r="Z166" i="32"/>
  <c r="AN223" i="67" a="1"/>
  <c r="AN223" i="67" s="1"/>
  <c r="B224" i="69"/>
  <c r="C223" i="69"/>
  <c r="AE221" i="69"/>
  <c r="Q221" i="69"/>
  <c r="R221" i="69"/>
  <c r="S221" i="69" s="1"/>
  <c r="Y221" i="69" s="1"/>
  <c r="U221" i="69"/>
  <c r="D222" i="69"/>
  <c r="E222" i="69" s="1"/>
  <c r="F222" i="69" s="1"/>
  <c r="G222" i="69" s="1"/>
  <c r="H222" i="69" s="1"/>
  <c r="I222" i="69" s="1"/>
  <c r="J222" i="69" s="1"/>
  <c r="K222" i="69" s="1"/>
  <c r="M222" i="69" s="1"/>
  <c r="N222" i="69"/>
  <c r="AF222" i="69" s="1"/>
  <c r="AL168" i="11" a="1"/>
  <c r="AL168" i="11" s="1"/>
  <c r="E169" i="32" s="1"/>
  <c r="AL178" i="59" a="1"/>
  <c r="AL178" i="59" s="1"/>
  <c r="E179" i="50" s="1"/>
  <c r="AM68" i="59" a="1"/>
  <c r="AM68" i="59" s="1"/>
  <c r="AM53" i="11" a="1"/>
  <c r="AM53" i="11" s="1"/>
  <c r="X237" i="57" l="1"/>
  <c r="AB221" i="69"/>
  <c r="AC221" i="69" s="1"/>
  <c r="AD221" i="69" s="1"/>
  <c r="AG221" i="69"/>
  <c r="AO223" i="69"/>
  <c r="P223" i="69"/>
  <c r="L224" i="69"/>
  <c r="O224" i="69"/>
  <c r="T179" i="50"/>
  <c r="AK179" i="50"/>
  <c r="AE238" i="53"/>
  <c r="AC238" i="53"/>
  <c r="AB237" i="53"/>
  <c r="AA237" i="53"/>
  <c r="AF237" i="53"/>
  <c r="AK169" i="32"/>
  <c r="T169" i="32"/>
  <c r="AD167" i="32"/>
  <c r="AF236" i="57"/>
  <c r="AB236" i="57"/>
  <c r="AE238" i="57"/>
  <c r="AC238" i="57"/>
  <c r="AM178" i="50"/>
  <c r="U178" i="50"/>
  <c r="AD177" i="50"/>
  <c r="AG177" i="50" s="1"/>
  <c r="AH177" i="50" s="1"/>
  <c r="AI177" i="50" s="1"/>
  <c r="U168" i="32"/>
  <c r="AG166" i="32"/>
  <c r="AH166" i="32" s="1"/>
  <c r="AL166" i="32"/>
  <c r="AI165" i="32"/>
  <c r="AN165" i="32" s="1"/>
  <c r="AP175" i="50"/>
  <c r="R238" i="57"/>
  <c r="R238" i="53"/>
  <c r="X238" i="53" s="1"/>
  <c r="AL176" i="50"/>
  <c r="Q168" i="32"/>
  <c r="P168" i="32" s="1"/>
  <c r="AX222" i="69"/>
  <c r="AG239" i="57"/>
  <c r="L239" i="57"/>
  <c r="O179" i="50"/>
  <c r="AJ238" i="57"/>
  <c r="AP238" i="57"/>
  <c r="AH238" i="53"/>
  <c r="AT238" i="53"/>
  <c r="AG238" i="53"/>
  <c r="N239" i="57"/>
  <c r="F239" i="53"/>
  <c r="N239" i="53"/>
  <c r="AH222" i="69"/>
  <c r="AJ177" i="50"/>
  <c r="C177" i="50"/>
  <c r="AJ167" i="32"/>
  <c r="C167" i="32"/>
  <c r="AD238" i="57"/>
  <c r="Q238" i="53"/>
  <c r="AD238" i="53"/>
  <c r="S178" i="50"/>
  <c r="V177" i="50"/>
  <c r="S168" i="32"/>
  <c r="V168" i="32" s="1"/>
  <c r="J239" i="53"/>
  <c r="M239" i="53"/>
  <c r="P239" i="53"/>
  <c r="AK238" i="52" a="1"/>
  <c r="AK238" i="52" s="1"/>
  <c r="B240" i="53" s="1"/>
  <c r="O240" i="53" s="1"/>
  <c r="H239" i="53"/>
  <c r="C239" i="53"/>
  <c r="D239" i="53"/>
  <c r="E239" i="53"/>
  <c r="I239" i="53"/>
  <c r="K239" i="53"/>
  <c r="L239" i="53"/>
  <c r="G239" i="53"/>
  <c r="A169" i="32"/>
  <c r="B169" i="32"/>
  <c r="R169" i="32" s="1"/>
  <c r="F179" i="50"/>
  <c r="I179" i="50"/>
  <c r="N179" i="50"/>
  <c r="A179" i="50"/>
  <c r="Q179" i="50" s="1"/>
  <c r="P179" i="50" s="1"/>
  <c r="M179" i="50"/>
  <c r="H179" i="50"/>
  <c r="K179" i="50"/>
  <c r="J179" i="50"/>
  <c r="L179" i="50"/>
  <c r="B179" i="50"/>
  <c r="R179" i="50" s="1"/>
  <c r="G179" i="50"/>
  <c r="K169" i="32"/>
  <c r="F169" i="32"/>
  <c r="AM169" i="32" s="1"/>
  <c r="N169" i="32"/>
  <c r="G169" i="32"/>
  <c r="O169" i="32"/>
  <c r="J169" i="32"/>
  <c r="L169" i="32"/>
  <c r="M169" i="32"/>
  <c r="I169" i="32"/>
  <c r="H169" i="32"/>
  <c r="Q238" i="57"/>
  <c r="T238" i="57" s="1"/>
  <c r="H239" i="57"/>
  <c r="F239" i="57"/>
  <c r="D239" i="57"/>
  <c r="P239" i="57"/>
  <c r="G239" i="57"/>
  <c r="C239" i="57"/>
  <c r="M239" i="57" s="1"/>
  <c r="J239" i="57"/>
  <c r="I239" i="57"/>
  <c r="E239" i="57"/>
  <c r="K239" i="57"/>
  <c r="W177" i="50"/>
  <c r="X177" i="50" s="1"/>
  <c r="Z177" i="50"/>
  <c r="AK238" i="55" a="1"/>
  <c r="AK238" i="55" s="1"/>
  <c r="B240" i="57" s="1"/>
  <c r="O240" i="57" s="1"/>
  <c r="W167" i="32"/>
  <c r="X167" i="32" s="1"/>
  <c r="Z167" i="32"/>
  <c r="AN224" i="67" a="1"/>
  <c r="AN224" i="67" s="1"/>
  <c r="B225" i="69"/>
  <c r="N223" i="69"/>
  <c r="AF223" i="69" s="1"/>
  <c r="D223" i="69"/>
  <c r="E223" i="69" s="1"/>
  <c r="F223" i="69" s="1"/>
  <c r="G223" i="69" s="1"/>
  <c r="H223" i="69" s="1"/>
  <c r="I223" i="69" s="1"/>
  <c r="J223" i="69" s="1"/>
  <c r="K223" i="69" s="1"/>
  <c r="M223" i="69" s="1"/>
  <c r="R222" i="69"/>
  <c r="S222" i="69" s="1"/>
  <c r="Y222" i="69" s="1"/>
  <c r="Q222" i="69"/>
  <c r="AE222" i="69"/>
  <c r="U222" i="69"/>
  <c r="C224" i="69"/>
  <c r="AL169" i="11" a="1"/>
  <c r="AL169" i="11" s="1"/>
  <c r="E170" i="32" s="1"/>
  <c r="AL179" i="59" a="1"/>
  <c r="AL179" i="59" s="1"/>
  <c r="E180" i="50" s="1"/>
  <c r="AM69" i="59" a="1"/>
  <c r="AM69" i="59" s="1"/>
  <c r="AM54" i="11" a="1"/>
  <c r="AM54" i="11" s="1"/>
  <c r="AB237" i="57" l="1"/>
  <c r="AA237" i="57"/>
  <c r="X238" i="57"/>
  <c r="AA238" i="57" s="1"/>
  <c r="AF237" i="57"/>
  <c r="AB222" i="69"/>
  <c r="AC222" i="69" s="1"/>
  <c r="AD222" i="69" s="1"/>
  <c r="AG222" i="69"/>
  <c r="AO224" i="69"/>
  <c r="P224" i="69"/>
  <c r="L225" i="69"/>
  <c r="O225" i="69"/>
  <c r="T180" i="50"/>
  <c r="AK180" i="50"/>
  <c r="AB238" i="53"/>
  <c r="AA238" i="53"/>
  <c r="AE239" i="53"/>
  <c r="AC239" i="53"/>
  <c r="AF238" i="53"/>
  <c r="AK170" i="32"/>
  <c r="T170" i="32"/>
  <c r="AD168" i="32"/>
  <c r="AE239" i="57"/>
  <c r="AC239" i="57"/>
  <c r="AD178" i="50"/>
  <c r="AG178" i="50" s="1"/>
  <c r="AH178" i="50" s="1"/>
  <c r="AI178" i="50" s="1"/>
  <c r="AM179" i="50"/>
  <c r="U179" i="50"/>
  <c r="U169" i="32"/>
  <c r="AG167" i="32"/>
  <c r="AH167" i="32" s="1"/>
  <c r="AL167" i="32"/>
  <c r="AI166" i="32"/>
  <c r="AN166" i="32" s="1"/>
  <c r="AP176" i="50"/>
  <c r="R239" i="57"/>
  <c r="R239" i="53"/>
  <c r="X239" i="53" s="1"/>
  <c r="AL177" i="50"/>
  <c r="Q169" i="32"/>
  <c r="P169" i="32" s="1"/>
  <c r="AX223" i="69"/>
  <c r="AG240" i="57"/>
  <c r="L240" i="57"/>
  <c r="O180" i="50"/>
  <c r="AJ239" i="57"/>
  <c r="AP239" i="57"/>
  <c r="AG239" i="53"/>
  <c r="AH239" i="53"/>
  <c r="AT239" i="53"/>
  <c r="N240" i="57"/>
  <c r="H240" i="53"/>
  <c r="N240" i="53"/>
  <c r="AH223" i="69"/>
  <c r="AJ178" i="50"/>
  <c r="C178" i="50"/>
  <c r="AJ168" i="32"/>
  <c r="C168" i="32"/>
  <c r="AD239" i="57"/>
  <c r="Q239" i="53"/>
  <c r="AD239" i="53"/>
  <c r="S179" i="50"/>
  <c r="V178" i="50"/>
  <c r="S169" i="32"/>
  <c r="V169" i="32" s="1"/>
  <c r="E240" i="53"/>
  <c r="C240" i="53"/>
  <c r="G240" i="53"/>
  <c r="D240" i="53"/>
  <c r="F240" i="53"/>
  <c r="L240" i="53"/>
  <c r="J240" i="53"/>
  <c r="P240" i="53"/>
  <c r="I240" i="53"/>
  <c r="AK239" i="52" a="1"/>
  <c r="AK239" i="52" s="1"/>
  <c r="B241" i="53" s="1"/>
  <c r="O241" i="53" s="1"/>
  <c r="M240" i="53"/>
  <c r="K240" i="53"/>
  <c r="A170" i="32"/>
  <c r="B170" i="32"/>
  <c r="R170" i="32" s="1"/>
  <c r="G180" i="50"/>
  <c r="L180" i="50"/>
  <c r="M180" i="50"/>
  <c r="H180" i="50"/>
  <c r="N180" i="50"/>
  <c r="I180" i="50"/>
  <c r="J180" i="50"/>
  <c r="B180" i="50"/>
  <c r="R180" i="50" s="1"/>
  <c r="K180" i="50"/>
  <c r="A180" i="50"/>
  <c r="Q180" i="50" s="1"/>
  <c r="P180" i="50" s="1"/>
  <c r="F180" i="50"/>
  <c r="I170" i="32"/>
  <c r="L170" i="32"/>
  <c r="M170" i="32"/>
  <c r="H170" i="32"/>
  <c r="F170" i="32"/>
  <c r="AM170" i="32" s="1"/>
  <c r="G170" i="32"/>
  <c r="J170" i="32"/>
  <c r="K170" i="32"/>
  <c r="N170" i="32"/>
  <c r="O170" i="32"/>
  <c r="Q239" i="57"/>
  <c r="T239" i="57" s="1"/>
  <c r="J240" i="57"/>
  <c r="K240" i="57"/>
  <c r="D240" i="57"/>
  <c r="G240" i="57"/>
  <c r="C240" i="57"/>
  <c r="M240" i="57" s="1"/>
  <c r="F240" i="57"/>
  <c r="I240" i="57"/>
  <c r="P240" i="57"/>
  <c r="E240" i="57"/>
  <c r="H240" i="57"/>
  <c r="W178" i="50"/>
  <c r="X178" i="50" s="1"/>
  <c r="Z178" i="50"/>
  <c r="AK239" i="55" a="1"/>
  <c r="AK239" i="55" s="1"/>
  <c r="B241" i="57" s="1"/>
  <c r="O241" i="57" s="1"/>
  <c r="W168" i="32"/>
  <c r="X168" i="32" s="1"/>
  <c r="Z168" i="32"/>
  <c r="D224" i="69"/>
  <c r="E224" i="69" s="1"/>
  <c r="F224" i="69" s="1"/>
  <c r="G224" i="69" s="1"/>
  <c r="H224" i="69" s="1"/>
  <c r="I224" i="69" s="1"/>
  <c r="J224" i="69" s="1"/>
  <c r="K224" i="69" s="1"/>
  <c r="M224" i="69" s="1"/>
  <c r="N224" i="69"/>
  <c r="AF224" i="69" s="1"/>
  <c r="C225" i="69"/>
  <c r="AE223" i="69"/>
  <c r="Q223" i="69"/>
  <c r="R223" i="69"/>
  <c r="S223" i="69" s="1"/>
  <c r="Y223" i="69" s="1"/>
  <c r="U223" i="69"/>
  <c r="AN225" i="67" a="1"/>
  <c r="AN225" i="67" s="1"/>
  <c r="B226" i="69"/>
  <c r="AL170" i="11" a="1"/>
  <c r="AL170" i="11" s="1"/>
  <c r="E171" i="32" s="1"/>
  <c r="AL180" i="59" a="1"/>
  <c r="AL180" i="59" s="1"/>
  <c r="E181" i="50" s="1"/>
  <c r="AM70" i="59" a="1"/>
  <c r="AM70" i="59" s="1"/>
  <c r="AM55" i="11" a="1"/>
  <c r="AM55" i="11" s="1"/>
  <c r="AB238" i="57" l="1"/>
  <c r="AF238" i="57"/>
  <c r="AB223" i="69"/>
  <c r="AC223" i="69" s="1"/>
  <c r="AD223" i="69" s="1"/>
  <c r="AG223" i="69"/>
  <c r="L226" i="69"/>
  <c r="O226" i="69"/>
  <c r="AO225" i="69"/>
  <c r="P225" i="69"/>
  <c r="T181" i="50"/>
  <c r="AK181" i="50"/>
  <c r="AB239" i="53"/>
  <c r="AA239" i="53"/>
  <c r="AF239" i="53"/>
  <c r="AE240" i="53"/>
  <c r="AC240" i="53"/>
  <c r="AK171" i="32"/>
  <c r="T171" i="32"/>
  <c r="AD169" i="32"/>
  <c r="X239" i="57"/>
  <c r="AA239" i="57" s="1"/>
  <c r="AE240" i="57"/>
  <c r="AC240" i="57"/>
  <c r="AM180" i="50"/>
  <c r="U180" i="50"/>
  <c r="AD179" i="50"/>
  <c r="AG179" i="50" s="1"/>
  <c r="AH179" i="50" s="1"/>
  <c r="AI179" i="50" s="1"/>
  <c r="U170" i="32"/>
  <c r="AG168" i="32"/>
  <c r="AH168" i="32" s="1"/>
  <c r="AL168" i="32"/>
  <c r="AI167" i="32"/>
  <c r="AN167" i="32" s="1"/>
  <c r="AP177" i="50"/>
  <c r="R240" i="57"/>
  <c r="R240" i="53"/>
  <c r="X240" i="53" s="1"/>
  <c r="AL178" i="50"/>
  <c r="Q170" i="32"/>
  <c r="P170" i="32" s="1"/>
  <c r="AX224" i="69"/>
  <c r="AG241" i="57"/>
  <c r="L241" i="57"/>
  <c r="O181" i="50"/>
  <c r="AJ240" i="57"/>
  <c r="AP240" i="57"/>
  <c r="AG240" i="53"/>
  <c r="AH240" i="53"/>
  <c r="AT240" i="53"/>
  <c r="N241" i="57"/>
  <c r="L241" i="53"/>
  <c r="N241" i="53"/>
  <c r="AH224" i="69"/>
  <c r="AJ179" i="50"/>
  <c r="C179" i="50"/>
  <c r="AJ169" i="32"/>
  <c r="C169" i="32"/>
  <c r="AD240" i="57"/>
  <c r="AD240" i="53"/>
  <c r="S180" i="50"/>
  <c r="V179" i="50"/>
  <c r="S170" i="32"/>
  <c r="V170" i="32" s="1"/>
  <c r="Q240" i="53"/>
  <c r="E241" i="53"/>
  <c r="G241" i="53"/>
  <c r="M241" i="53"/>
  <c r="P241" i="53"/>
  <c r="D241" i="53"/>
  <c r="J241" i="53"/>
  <c r="K241" i="53"/>
  <c r="F241" i="53"/>
  <c r="AK240" i="52" a="1"/>
  <c r="AK240" i="52" s="1"/>
  <c r="B242" i="53" s="1"/>
  <c r="O242" i="53" s="1"/>
  <c r="I241" i="53"/>
  <c r="C241" i="53"/>
  <c r="H241" i="53"/>
  <c r="A171" i="32"/>
  <c r="B171" i="32"/>
  <c r="R171" i="32" s="1"/>
  <c r="M181" i="50"/>
  <c r="A181" i="50"/>
  <c r="Q181" i="50" s="1"/>
  <c r="P181" i="50" s="1"/>
  <c r="G181" i="50"/>
  <c r="K181" i="50"/>
  <c r="F181" i="50"/>
  <c r="I181" i="50"/>
  <c r="L181" i="50"/>
  <c r="N181" i="50"/>
  <c r="H181" i="50"/>
  <c r="J181" i="50"/>
  <c r="B181" i="50"/>
  <c r="R181" i="50" s="1"/>
  <c r="G171" i="32"/>
  <c r="O171" i="32"/>
  <c r="J171" i="32"/>
  <c r="K171" i="32"/>
  <c r="F171" i="32"/>
  <c r="AM171" i="32" s="1"/>
  <c r="N171" i="32"/>
  <c r="H171" i="32"/>
  <c r="I171" i="32"/>
  <c r="L171" i="32"/>
  <c r="M171" i="32"/>
  <c r="P241" i="57"/>
  <c r="H241" i="57"/>
  <c r="D241" i="57"/>
  <c r="G241" i="57"/>
  <c r="C241" i="57"/>
  <c r="M241" i="57" s="1"/>
  <c r="J241" i="57"/>
  <c r="F241" i="57"/>
  <c r="K241" i="57"/>
  <c r="E241" i="57"/>
  <c r="I241" i="57"/>
  <c r="Q240" i="57"/>
  <c r="T240" i="57" s="1"/>
  <c r="Z179" i="50"/>
  <c r="W179" i="50"/>
  <c r="X179" i="50" s="1"/>
  <c r="AK240" i="55" a="1"/>
  <c r="AK240" i="55" s="1"/>
  <c r="B242" i="57" s="1"/>
  <c r="O242" i="57" s="1"/>
  <c r="W169" i="32"/>
  <c r="X169" i="32" s="1"/>
  <c r="Z169" i="32"/>
  <c r="AN226" i="67" a="1"/>
  <c r="AN226" i="67" s="1"/>
  <c r="B227" i="69"/>
  <c r="D225" i="69"/>
  <c r="E225" i="69" s="1"/>
  <c r="F225" i="69" s="1"/>
  <c r="G225" i="69" s="1"/>
  <c r="H225" i="69" s="1"/>
  <c r="I225" i="69" s="1"/>
  <c r="J225" i="69" s="1"/>
  <c r="K225" i="69" s="1"/>
  <c r="M225" i="69" s="1"/>
  <c r="N225" i="69"/>
  <c r="AF225" i="69" s="1"/>
  <c r="C226" i="69"/>
  <c r="U224" i="69"/>
  <c r="AE224" i="69"/>
  <c r="Q224" i="69"/>
  <c r="R224" i="69"/>
  <c r="S224" i="69" s="1"/>
  <c r="Y224" i="69" s="1"/>
  <c r="AL171" i="11" a="1"/>
  <c r="AL171" i="11" s="1"/>
  <c r="E172" i="32" s="1"/>
  <c r="AL181" i="59" a="1"/>
  <c r="AL181" i="59" s="1"/>
  <c r="E182" i="50" s="1"/>
  <c r="AM71" i="59" a="1"/>
  <c r="AM71" i="59" s="1"/>
  <c r="AM56" i="11" a="1"/>
  <c r="AM56" i="11" s="1"/>
  <c r="AB224" i="69" l="1"/>
  <c r="AC224" i="69" s="1"/>
  <c r="AD224" i="69" s="1"/>
  <c r="AG224" i="69"/>
  <c r="AO226" i="69"/>
  <c r="P226" i="69"/>
  <c r="L227" i="69"/>
  <c r="O227" i="69"/>
  <c r="X240" i="57"/>
  <c r="T182" i="50"/>
  <c r="AK182" i="50"/>
  <c r="AB240" i="53"/>
  <c r="AA240" i="53"/>
  <c r="AE241" i="53"/>
  <c r="AC241" i="53"/>
  <c r="AF240" i="53"/>
  <c r="AK172" i="32"/>
  <c r="T172" i="32"/>
  <c r="AD170" i="32"/>
  <c r="AF239" i="57"/>
  <c r="AB239" i="57"/>
  <c r="AE241" i="57"/>
  <c r="AC241" i="57"/>
  <c r="AM181" i="50"/>
  <c r="U181" i="50"/>
  <c r="AD180" i="50"/>
  <c r="AG180" i="50" s="1"/>
  <c r="AH180" i="50" s="1"/>
  <c r="AI180" i="50" s="1"/>
  <c r="U171" i="32"/>
  <c r="AG169" i="32"/>
  <c r="AH169" i="32" s="1"/>
  <c r="AL169" i="32"/>
  <c r="AI168" i="32"/>
  <c r="AN168" i="32" s="1"/>
  <c r="AP178" i="50"/>
  <c r="R241" i="57"/>
  <c r="R241" i="53"/>
  <c r="X241" i="53" s="1"/>
  <c r="AL179" i="50"/>
  <c r="Q171" i="32"/>
  <c r="P171" i="32" s="1"/>
  <c r="AX225" i="69"/>
  <c r="AG242" i="57"/>
  <c r="L242" i="57"/>
  <c r="O182" i="50"/>
  <c r="AJ241" i="57"/>
  <c r="AP241" i="57"/>
  <c r="AH241" i="53"/>
  <c r="AT241" i="53"/>
  <c r="AG241" i="53"/>
  <c r="N242" i="57"/>
  <c r="I242" i="53"/>
  <c r="N242" i="53"/>
  <c r="AH225" i="69"/>
  <c r="AJ180" i="50"/>
  <c r="C180" i="50"/>
  <c r="AJ170" i="32"/>
  <c r="C170" i="32"/>
  <c r="AD241" i="57"/>
  <c r="Q241" i="53"/>
  <c r="AD241" i="53"/>
  <c r="S181" i="50"/>
  <c r="V180" i="50"/>
  <c r="S171" i="32"/>
  <c r="V171" i="32" s="1"/>
  <c r="J242" i="53"/>
  <c r="F242" i="53"/>
  <c r="G242" i="53"/>
  <c r="L242" i="53"/>
  <c r="P242" i="53"/>
  <c r="K242" i="53"/>
  <c r="AK241" i="52" a="1"/>
  <c r="AK241" i="52" s="1"/>
  <c r="B243" i="53" s="1"/>
  <c r="O243" i="53" s="1"/>
  <c r="C242" i="53"/>
  <c r="M242" i="53"/>
  <c r="H242" i="53"/>
  <c r="D242" i="53"/>
  <c r="E242" i="53"/>
  <c r="A172" i="32"/>
  <c r="B172" i="32"/>
  <c r="R172" i="32" s="1"/>
  <c r="H182" i="50"/>
  <c r="I182" i="50"/>
  <c r="G182" i="50"/>
  <c r="M182" i="50"/>
  <c r="N182" i="50"/>
  <c r="A182" i="50"/>
  <c r="Q182" i="50" s="1"/>
  <c r="P182" i="50" s="1"/>
  <c r="F182" i="50"/>
  <c r="L182" i="50"/>
  <c r="B182" i="50"/>
  <c r="R182" i="50" s="1"/>
  <c r="J182" i="50"/>
  <c r="K182" i="50"/>
  <c r="M172" i="32"/>
  <c r="H172" i="32"/>
  <c r="I172" i="32"/>
  <c r="L172" i="32"/>
  <c r="N172" i="32"/>
  <c r="O172" i="32"/>
  <c r="F172" i="32"/>
  <c r="AM172" i="32" s="1"/>
  <c r="G172" i="32"/>
  <c r="J172" i="32"/>
  <c r="K172" i="32"/>
  <c r="J242" i="57"/>
  <c r="F242" i="57"/>
  <c r="C242" i="57"/>
  <c r="M242" i="57" s="1"/>
  <c r="I242" i="57"/>
  <c r="E242" i="57"/>
  <c r="K242" i="57"/>
  <c r="H242" i="57"/>
  <c r="D242" i="57"/>
  <c r="P242" i="57"/>
  <c r="G242" i="57"/>
  <c r="Z180" i="50"/>
  <c r="W180" i="50"/>
  <c r="X180" i="50" s="1"/>
  <c r="Q241" i="57"/>
  <c r="T241" i="57" s="1"/>
  <c r="AK241" i="55" a="1"/>
  <c r="AK241" i="55" s="1"/>
  <c r="B243" i="57" s="1"/>
  <c r="O243" i="57" s="1"/>
  <c r="W170" i="32"/>
  <c r="X170" i="32" s="1"/>
  <c r="Z170" i="32"/>
  <c r="AN227" i="67" a="1"/>
  <c r="AN227" i="67" s="1"/>
  <c r="B228" i="69"/>
  <c r="D226" i="69"/>
  <c r="E226" i="69" s="1"/>
  <c r="F226" i="69" s="1"/>
  <c r="G226" i="69" s="1"/>
  <c r="H226" i="69" s="1"/>
  <c r="I226" i="69" s="1"/>
  <c r="J226" i="69" s="1"/>
  <c r="K226" i="69" s="1"/>
  <c r="M226" i="69" s="1"/>
  <c r="N226" i="69"/>
  <c r="AF226" i="69" s="1"/>
  <c r="U225" i="69"/>
  <c r="Q225" i="69"/>
  <c r="R225" i="69"/>
  <c r="S225" i="69" s="1"/>
  <c r="Y225" i="69" s="1"/>
  <c r="AB225" i="69" s="1"/>
  <c r="AC225" i="69" s="1"/>
  <c r="AD225" i="69" s="1"/>
  <c r="AE225" i="69"/>
  <c r="C227" i="69"/>
  <c r="AL172" i="11" a="1"/>
  <c r="AL172" i="11" s="1"/>
  <c r="E173" i="32" s="1"/>
  <c r="AL182" i="59" a="1"/>
  <c r="AL182" i="59" s="1"/>
  <c r="E183" i="50" s="1"/>
  <c r="AM72" i="59" a="1"/>
  <c r="AM72" i="59" s="1"/>
  <c r="AM57" i="11" a="1"/>
  <c r="AM57" i="11" s="1"/>
  <c r="AF240" i="57" l="1"/>
  <c r="AA240" i="57"/>
  <c r="AG225" i="69"/>
  <c r="L228" i="69"/>
  <c r="O228" i="69"/>
  <c r="AO227" i="69"/>
  <c r="P227" i="69"/>
  <c r="AB240" i="57"/>
  <c r="AK183" i="50"/>
  <c r="T183" i="50"/>
  <c r="AE242" i="53"/>
  <c r="AC242" i="53"/>
  <c r="AB241" i="53"/>
  <c r="AA241" i="53"/>
  <c r="AF241" i="53"/>
  <c r="AK173" i="32"/>
  <c r="T173" i="32"/>
  <c r="AD171" i="32"/>
  <c r="X241" i="57"/>
  <c r="AE242" i="57"/>
  <c r="AC242" i="57"/>
  <c r="AM182" i="50"/>
  <c r="U182" i="50"/>
  <c r="AD181" i="50"/>
  <c r="AG181" i="50" s="1"/>
  <c r="AH181" i="50" s="1"/>
  <c r="AI181" i="50" s="1"/>
  <c r="U172" i="32"/>
  <c r="AG170" i="32"/>
  <c r="AH170" i="32" s="1"/>
  <c r="AL170" i="32"/>
  <c r="AI169" i="32"/>
  <c r="AN169" i="32" s="1"/>
  <c r="AP179" i="50"/>
  <c r="R242" i="57"/>
  <c r="R242" i="53"/>
  <c r="X242" i="53" s="1"/>
  <c r="AL180" i="50"/>
  <c r="Q172" i="32"/>
  <c r="P172" i="32" s="1"/>
  <c r="AX226" i="69"/>
  <c r="L243" i="57"/>
  <c r="AG243" i="57"/>
  <c r="O183" i="50"/>
  <c r="AJ242" i="57"/>
  <c r="AP242" i="57"/>
  <c r="AH242" i="53"/>
  <c r="AT242" i="53"/>
  <c r="AG242" i="53"/>
  <c r="N243" i="57"/>
  <c r="N243" i="53"/>
  <c r="AH226" i="69"/>
  <c r="AJ181" i="50"/>
  <c r="C181" i="50"/>
  <c r="AJ171" i="32"/>
  <c r="C171" i="32"/>
  <c r="AD242" i="57"/>
  <c r="AD242" i="53"/>
  <c r="Q242" i="53"/>
  <c r="S182" i="50"/>
  <c r="V181" i="50"/>
  <c r="S172" i="32"/>
  <c r="V172" i="32" s="1"/>
  <c r="J243" i="53"/>
  <c r="I243" i="53"/>
  <c r="F243" i="53"/>
  <c r="K243" i="53"/>
  <c r="P243" i="53"/>
  <c r="M243" i="53"/>
  <c r="L243" i="53"/>
  <c r="G243" i="53"/>
  <c r="E243" i="53"/>
  <c r="C243" i="53"/>
  <c r="D243" i="53"/>
  <c r="AK242" i="52" a="1"/>
  <c r="AK242" i="52" s="1"/>
  <c r="B244" i="53" s="1"/>
  <c r="O244" i="53" s="1"/>
  <c r="H243" i="53"/>
  <c r="A173" i="32"/>
  <c r="B173" i="32"/>
  <c r="R173" i="32" s="1"/>
  <c r="A183" i="50"/>
  <c r="Q183" i="50" s="1"/>
  <c r="P183" i="50" s="1"/>
  <c r="B183" i="50"/>
  <c r="R183" i="50" s="1"/>
  <c r="L183" i="50"/>
  <c r="F183" i="50"/>
  <c r="N183" i="50"/>
  <c r="H183" i="50"/>
  <c r="K183" i="50"/>
  <c r="J183" i="50"/>
  <c r="M183" i="50"/>
  <c r="I183" i="50"/>
  <c r="G183" i="50"/>
  <c r="K173" i="32"/>
  <c r="F173" i="32"/>
  <c r="AM173" i="32" s="1"/>
  <c r="N173" i="32"/>
  <c r="G173" i="32"/>
  <c r="O173" i="32"/>
  <c r="J173" i="32"/>
  <c r="H173" i="32"/>
  <c r="I173" i="32"/>
  <c r="L173" i="32"/>
  <c r="M173" i="32"/>
  <c r="Q242" i="57"/>
  <c r="T242" i="57" s="1"/>
  <c r="W181" i="50"/>
  <c r="X181" i="50" s="1"/>
  <c r="Z181" i="50"/>
  <c r="H243" i="57"/>
  <c r="F243" i="57"/>
  <c r="D243" i="57"/>
  <c r="P243" i="57"/>
  <c r="K243" i="57"/>
  <c r="G243" i="57"/>
  <c r="C243" i="57"/>
  <c r="M243" i="57" s="1"/>
  <c r="J243" i="57"/>
  <c r="E243" i="57"/>
  <c r="I243" i="57"/>
  <c r="AK242" i="55" a="1"/>
  <c r="AK242" i="55" s="1"/>
  <c r="B244" i="57" s="1"/>
  <c r="O244" i="57" s="1"/>
  <c r="W171" i="32"/>
  <c r="X171" i="32" s="1"/>
  <c r="Z171" i="32"/>
  <c r="AN228" i="67" a="1"/>
  <c r="AN228" i="67" s="1"/>
  <c r="B229" i="69"/>
  <c r="D227" i="69"/>
  <c r="E227" i="69" s="1"/>
  <c r="F227" i="69" s="1"/>
  <c r="G227" i="69" s="1"/>
  <c r="H227" i="69" s="1"/>
  <c r="I227" i="69" s="1"/>
  <c r="J227" i="69" s="1"/>
  <c r="K227" i="69" s="1"/>
  <c r="M227" i="69" s="1"/>
  <c r="N227" i="69"/>
  <c r="AF227" i="69" s="1"/>
  <c r="Q226" i="69"/>
  <c r="R226" i="69"/>
  <c r="S226" i="69" s="1"/>
  <c r="Y226" i="69" s="1"/>
  <c r="AB226" i="69" s="1"/>
  <c r="AC226" i="69" s="1"/>
  <c r="AD226" i="69" s="1"/>
  <c r="U226" i="69"/>
  <c r="AE226" i="69"/>
  <c r="C228" i="69"/>
  <c r="AL173" i="11" a="1"/>
  <c r="AL173" i="11" s="1"/>
  <c r="E174" i="32" s="1"/>
  <c r="AL183" i="59" a="1"/>
  <c r="AL183" i="59" s="1"/>
  <c r="E184" i="50" s="1"/>
  <c r="AM73" i="59" a="1"/>
  <c r="AM73" i="59" s="1"/>
  <c r="AM58" i="11" a="1"/>
  <c r="AM58" i="11" s="1"/>
  <c r="AB241" i="57" l="1"/>
  <c r="AA241" i="57"/>
  <c r="L229" i="69"/>
  <c r="O229" i="69"/>
  <c r="AO228" i="69"/>
  <c r="P228" i="69"/>
  <c r="AG226" i="69"/>
  <c r="AK184" i="50"/>
  <c r="T184" i="50"/>
  <c r="AB242" i="53"/>
  <c r="AA242" i="53"/>
  <c r="AE243" i="53"/>
  <c r="AC243" i="53"/>
  <c r="AF242" i="53"/>
  <c r="AK174" i="32"/>
  <c r="T174" i="32"/>
  <c r="AD172" i="32"/>
  <c r="AF241" i="57"/>
  <c r="X242" i="57"/>
  <c r="AA242" i="57" s="1"/>
  <c r="AE243" i="57"/>
  <c r="AC243" i="57"/>
  <c r="AM183" i="50"/>
  <c r="U183" i="50"/>
  <c r="AD182" i="50"/>
  <c r="AG182" i="50" s="1"/>
  <c r="AH182" i="50" s="1"/>
  <c r="AI182" i="50" s="1"/>
  <c r="U173" i="32"/>
  <c r="AG171" i="32"/>
  <c r="AH171" i="32" s="1"/>
  <c r="AL171" i="32"/>
  <c r="AI170" i="32"/>
  <c r="AN170" i="32" s="1"/>
  <c r="AP180" i="50"/>
  <c r="R243" i="57"/>
  <c r="R243" i="53"/>
  <c r="X243" i="53" s="1"/>
  <c r="AL181" i="50"/>
  <c r="Q173" i="32"/>
  <c r="P173" i="32" s="1"/>
  <c r="AX227" i="69"/>
  <c r="AG244" i="57"/>
  <c r="L244" i="57"/>
  <c r="O184" i="50"/>
  <c r="AJ243" i="57"/>
  <c r="AP243" i="57"/>
  <c r="AH243" i="53"/>
  <c r="AT243" i="53"/>
  <c r="AG243" i="53"/>
  <c r="N244" i="57"/>
  <c r="M244" i="53"/>
  <c r="N244" i="53"/>
  <c r="AH227" i="69"/>
  <c r="AJ182" i="50"/>
  <c r="C182" i="50"/>
  <c r="AJ172" i="32"/>
  <c r="C172" i="32"/>
  <c r="AD243" i="57"/>
  <c r="AD243" i="53"/>
  <c r="Q243" i="53"/>
  <c r="S183" i="50"/>
  <c r="V182" i="50"/>
  <c r="S173" i="32"/>
  <c r="V173" i="32" s="1"/>
  <c r="J244" i="53"/>
  <c r="D244" i="53"/>
  <c r="C244" i="53"/>
  <c r="L244" i="53"/>
  <c r="E244" i="53"/>
  <c r="I244" i="53"/>
  <c r="AK243" i="52" a="1"/>
  <c r="AK243" i="52" s="1"/>
  <c r="B245" i="53" s="1"/>
  <c r="O245" i="53" s="1"/>
  <c r="F244" i="53"/>
  <c r="G244" i="53"/>
  <c r="K244" i="53"/>
  <c r="P244" i="53"/>
  <c r="H244" i="53"/>
  <c r="A174" i="32"/>
  <c r="B174" i="32"/>
  <c r="R174" i="32" s="1"/>
  <c r="M184" i="50"/>
  <c r="F184" i="50"/>
  <c r="N184" i="50"/>
  <c r="G184" i="50"/>
  <c r="H184" i="50"/>
  <c r="B184" i="50"/>
  <c r="R184" i="50" s="1"/>
  <c r="L184" i="50"/>
  <c r="K184" i="50"/>
  <c r="I184" i="50"/>
  <c r="A184" i="50"/>
  <c r="Q184" i="50" s="1"/>
  <c r="P184" i="50" s="1"/>
  <c r="J184" i="50"/>
  <c r="I174" i="32"/>
  <c r="L174" i="32"/>
  <c r="M174" i="32"/>
  <c r="H174" i="32"/>
  <c r="J174" i="32"/>
  <c r="K174" i="32"/>
  <c r="N174" i="32"/>
  <c r="O174" i="32"/>
  <c r="G174" i="32"/>
  <c r="F174" i="32"/>
  <c r="AM174" i="32" s="1"/>
  <c r="J244" i="57"/>
  <c r="E244" i="57"/>
  <c r="P244" i="57"/>
  <c r="H244" i="57"/>
  <c r="K244" i="57"/>
  <c r="D244" i="57"/>
  <c r="C244" i="57"/>
  <c r="M244" i="57" s="1"/>
  <c r="F244" i="57"/>
  <c r="G244" i="57"/>
  <c r="I244" i="57"/>
  <c r="W182" i="50"/>
  <c r="X182" i="50" s="1"/>
  <c r="Z182" i="50"/>
  <c r="Q243" i="57"/>
  <c r="T243" i="57" s="1"/>
  <c r="AK243" i="55" a="1"/>
  <c r="AK243" i="55" s="1"/>
  <c r="B245" i="57" s="1"/>
  <c r="O245" i="57" s="1"/>
  <c r="W172" i="32"/>
  <c r="X172" i="32" s="1"/>
  <c r="Z172" i="32"/>
  <c r="AN229" i="67" a="1"/>
  <c r="AN229" i="67" s="1"/>
  <c r="B230" i="69"/>
  <c r="C229" i="69"/>
  <c r="R227" i="69"/>
  <c r="S227" i="69" s="1"/>
  <c r="Y227" i="69" s="1"/>
  <c r="AE227" i="69"/>
  <c r="Q227" i="69"/>
  <c r="U227" i="69"/>
  <c r="D228" i="69"/>
  <c r="E228" i="69" s="1"/>
  <c r="F228" i="69" s="1"/>
  <c r="G228" i="69" s="1"/>
  <c r="H228" i="69" s="1"/>
  <c r="I228" i="69" s="1"/>
  <c r="J228" i="69" s="1"/>
  <c r="K228" i="69" s="1"/>
  <c r="M228" i="69" s="1"/>
  <c r="N228" i="69"/>
  <c r="AF228" i="69" s="1"/>
  <c r="AL174" i="11" a="1"/>
  <c r="AL174" i="11" s="1"/>
  <c r="E175" i="32" s="1"/>
  <c r="AL184" i="59" a="1"/>
  <c r="AL184" i="59" s="1"/>
  <c r="E185" i="50" s="1"/>
  <c r="AM74" i="59" a="1"/>
  <c r="AM74" i="59" s="1"/>
  <c r="AM59" i="11" a="1"/>
  <c r="AM59" i="11" s="1"/>
  <c r="AB227" i="69" l="1"/>
  <c r="AC227" i="69" s="1"/>
  <c r="AD227" i="69" s="1"/>
  <c r="AG227" i="69"/>
  <c r="L230" i="69"/>
  <c r="O230" i="69"/>
  <c r="AO229" i="69"/>
  <c r="P229" i="69"/>
  <c r="T185" i="50"/>
  <c r="AK185" i="50"/>
  <c r="X243" i="57"/>
  <c r="AA243" i="57" s="1"/>
  <c r="AB243" i="53"/>
  <c r="AA243" i="53"/>
  <c r="AE244" i="53"/>
  <c r="AC244" i="53"/>
  <c r="AF243" i="53"/>
  <c r="AK175" i="32"/>
  <c r="T175" i="32"/>
  <c r="AD173" i="32"/>
  <c r="AF242" i="57"/>
  <c r="AB242" i="57"/>
  <c r="AE244" i="57"/>
  <c r="AC244" i="57"/>
  <c r="AM184" i="50"/>
  <c r="U184" i="50"/>
  <c r="AD183" i="50"/>
  <c r="AG183" i="50" s="1"/>
  <c r="AH183" i="50" s="1"/>
  <c r="AI183" i="50" s="1"/>
  <c r="U174" i="32"/>
  <c r="AG172" i="32"/>
  <c r="AH172" i="32" s="1"/>
  <c r="AL172" i="32"/>
  <c r="AI171" i="32"/>
  <c r="AN171" i="32" s="1"/>
  <c r="AP181" i="50"/>
  <c r="R244" i="57"/>
  <c r="R244" i="53"/>
  <c r="X244" i="53" s="1"/>
  <c r="AL182" i="50"/>
  <c r="Q174" i="32"/>
  <c r="P174" i="32" s="1"/>
  <c r="AX228" i="69"/>
  <c r="AG245" i="57"/>
  <c r="L245" i="57"/>
  <c r="O185" i="50"/>
  <c r="AJ244" i="57"/>
  <c r="AP244" i="57"/>
  <c r="AH244" i="53"/>
  <c r="AT244" i="53"/>
  <c r="AG244" i="53"/>
  <c r="Q244" i="53"/>
  <c r="N245" i="57"/>
  <c r="AD244" i="53"/>
  <c r="I245" i="53"/>
  <c r="N245" i="53"/>
  <c r="AH228" i="69"/>
  <c r="AJ183" i="50"/>
  <c r="C183" i="50"/>
  <c r="AJ173" i="32"/>
  <c r="C173" i="32"/>
  <c r="AD244" i="57"/>
  <c r="S184" i="50"/>
  <c r="V183" i="50"/>
  <c r="S174" i="32"/>
  <c r="V174" i="32" s="1"/>
  <c r="D245" i="53"/>
  <c r="L245" i="53"/>
  <c r="M245" i="53"/>
  <c r="C245" i="53"/>
  <c r="H245" i="53"/>
  <c r="E245" i="53"/>
  <c r="G245" i="53"/>
  <c r="F245" i="53"/>
  <c r="AK244" i="52" a="1"/>
  <c r="AK244" i="52" s="1"/>
  <c r="B246" i="53" s="1"/>
  <c r="O246" i="53" s="1"/>
  <c r="J245" i="53"/>
  <c r="P245" i="53"/>
  <c r="K245" i="53"/>
  <c r="A175" i="32"/>
  <c r="B175" i="32"/>
  <c r="R175" i="32" s="1"/>
  <c r="G185" i="50"/>
  <c r="I185" i="50"/>
  <c r="H185" i="50"/>
  <c r="K185" i="50"/>
  <c r="M185" i="50"/>
  <c r="J185" i="50"/>
  <c r="B185" i="50"/>
  <c r="R185" i="50" s="1"/>
  <c r="A185" i="50"/>
  <c r="Q185" i="50" s="1"/>
  <c r="P185" i="50" s="1"/>
  <c r="N185" i="50"/>
  <c r="L185" i="50"/>
  <c r="F185" i="50"/>
  <c r="G175" i="32"/>
  <c r="O175" i="32"/>
  <c r="J175" i="32"/>
  <c r="K175" i="32"/>
  <c r="F175" i="32"/>
  <c r="AM175" i="32" s="1"/>
  <c r="N175" i="32"/>
  <c r="H175" i="32"/>
  <c r="I175" i="32"/>
  <c r="L175" i="32"/>
  <c r="M175" i="32"/>
  <c r="Q244" i="57"/>
  <c r="T244" i="57" s="1"/>
  <c r="W183" i="50"/>
  <c r="X183" i="50" s="1"/>
  <c r="Z183" i="50"/>
  <c r="I245" i="57"/>
  <c r="D245" i="57"/>
  <c r="E245" i="57"/>
  <c r="H245" i="57"/>
  <c r="C245" i="57"/>
  <c r="M245" i="57" s="1"/>
  <c r="P245" i="57"/>
  <c r="K245" i="57"/>
  <c r="G245" i="57"/>
  <c r="J245" i="57"/>
  <c r="F245" i="57"/>
  <c r="AK244" i="55" a="1"/>
  <c r="AK244" i="55" s="1"/>
  <c r="B246" i="57" s="1"/>
  <c r="O246" i="57" s="1"/>
  <c r="W173" i="32"/>
  <c r="X173" i="32" s="1"/>
  <c r="Z173" i="32"/>
  <c r="AN230" i="67" a="1"/>
  <c r="AN230" i="67" s="1"/>
  <c r="B231" i="69"/>
  <c r="N229" i="69"/>
  <c r="AF229" i="69" s="1"/>
  <c r="D229" i="69"/>
  <c r="E229" i="69" s="1"/>
  <c r="F229" i="69" s="1"/>
  <c r="G229" i="69" s="1"/>
  <c r="H229" i="69" s="1"/>
  <c r="I229" i="69" s="1"/>
  <c r="J229" i="69" s="1"/>
  <c r="K229" i="69" s="1"/>
  <c r="M229" i="69" s="1"/>
  <c r="AE228" i="69"/>
  <c r="U228" i="69"/>
  <c r="Q228" i="69"/>
  <c r="R228" i="69"/>
  <c r="S228" i="69" s="1"/>
  <c r="Y228" i="69" s="1"/>
  <c r="C230" i="69"/>
  <c r="AL175" i="11" a="1"/>
  <c r="AL175" i="11" s="1"/>
  <c r="E176" i="32" s="1"/>
  <c r="AL185" i="59" a="1"/>
  <c r="AL185" i="59" s="1"/>
  <c r="E186" i="50" s="1"/>
  <c r="AM75" i="59" a="1"/>
  <c r="AM75" i="59" s="1"/>
  <c r="AM60" i="11" a="1"/>
  <c r="AM60" i="11" s="1"/>
  <c r="X244" i="57" l="1"/>
  <c r="AA244" i="57" s="1"/>
  <c r="AB228" i="69"/>
  <c r="AC228" i="69" s="1"/>
  <c r="AD228" i="69" s="1"/>
  <c r="AG228" i="69"/>
  <c r="L231" i="69"/>
  <c r="O231" i="69"/>
  <c r="AO230" i="69"/>
  <c r="P230" i="69"/>
  <c r="T186" i="50"/>
  <c r="AK186" i="50"/>
  <c r="AF243" i="57"/>
  <c r="AB243" i="57"/>
  <c r="AB244" i="53"/>
  <c r="AA244" i="53"/>
  <c r="AF244" i="53"/>
  <c r="AE245" i="53"/>
  <c r="AC245" i="53"/>
  <c r="AK176" i="32"/>
  <c r="T176" i="32"/>
  <c r="AD174" i="32"/>
  <c r="AE245" i="57"/>
  <c r="AC245" i="57"/>
  <c r="AM185" i="50"/>
  <c r="U185" i="50"/>
  <c r="AD184" i="50"/>
  <c r="AG184" i="50" s="1"/>
  <c r="AH184" i="50" s="1"/>
  <c r="AI184" i="50" s="1"/>
  <c r="AG173" i="32"/>
  <c r="AH173" i="32" s="1"/>
  <c r="AL173" i="32"/>
  <c r="U175" i="32"/>
  <c r="AI172" i="32"/>
  <c r="AN172" i="32" s="1"/>
  <c r="AP182" i="50"/>
  <c r="R245" i="57"/>
  <c r="R245" i="53"/>
  <c r="X245" i="53" s="1"/>
  <c r="AL183" i="50"/>
  <c r="Q175" i="32"/>
  <c r="P175" i="32" s="1"/>
  <c r="AX229" i="69"/>
  <c r="AG246" i="57"/>
  <c r="L246" i="57"/>
  <c r="O186" i="50"/>
  <c r="AJ245" i="57"/>
  <c r="AP245" i="57"/>
  <c r="AH245" i="53"/>
  <c r="AT245" i="53"/>
  <c r="AG245" i="53"/>
  <c r="N246" i="57"/>
  <c r="L246" i="53"/>
  <c r="N246" i="53"/>
  <c r="AH229" i="69"/>
  <c r="AJ184" i="50"/>
  <c r="C184" i="50"/>
  <c r="AJ174" i="32"/>
  <c r="C174" i="32"/>
  <c r="AD245" i="57"/>
  <c r="Q245" i="53"/>
  <c r="AD245" i="53"/>
  <c r="S185" i="50"/>
  <c r="V184" i="50"/>
  <c r="S175" i="32"/>
  <c r="V175" i="32" s="1"/>
  <c r="I246" i="53"/>
  <c r="J246" i="53"/>
  <c r="F246" i="53"/>
  <c r="P246" i="53"/>
  <c r="G246" i="53"/>
  <c r="D246" i="53"/>
  <c r="C246" i="53"/>
  <c r="K246" i="53"/>
  <c r="M246" i="53"/>
  <c r="AK245" i="52" a="1"/>
  <c r="AK245" i="52" s="1"/>
  <c r="B247" i="53" s="1"/>
  <c r="O247" i="53" s="1"/>
  <c r="E246" i="53"/>
  <c r="H246" i="53"/>
  <c r="A176" i="32"/>
  <c r="B176" i="32"/>
  <c r="R176" i="32" s="1"/>
  <c r="K186" i="50"/>
  <c r="B186" i="50"/>
  <c r="R186" i="50" s="1"/>
  <c r="A186" i="50"/>
  <c r="Q186" i="50" s="1"/>
  <c r="P186" i="50" s="1"/>
  <c r="N186" i="50"/>
  <c r="G186" i="50"/>
  <c r="L186" i="50"/>
  <c r="F186" i="50"/>
  <c r="J186" i="50"/>
  <c r="M186" i="50"/>
  <c r="H186" i="50"/>
  <c r="I186" i="50"/>
  <c r="M176" i="32"/>
  <c r="H176" i="32"/>
  <c r="I176" i="32"/>
  <c r="L176" i="32"/>
  <c r="F176" i="32"/>
  <c r="AM176" i="32" s="1"/>
  <c r="G176" i="32"/>
  <c r="J176" i="32"/>
  <c r="K176" i="32"/>
  <c r="N176" i="32"/>
  <c r="O176" i="32"/>
  <c r="W184" i="50"/>
  <c r="X184" i="50" s="1"/>
  <c r="Z184" i="50"/>
  <c r="Q245" i="57"/>
  <c r="T245" i="57" s="1"/>
  <c r="P246" i="57"/>
  <c r="C246" i="57"/>
  <c r="M246" i="57" s="1"/>
  <c r="K246" i="57"/>
  <c r="J246" i="57"/>
  <c r="H246" i="57"/>
  <c r="D246" i="57"/>
  <c r="F246" i="57"/>
  <c r="I246" i="57"/>
  <c r="E246" i="57"/>
  <c r="G246" i="57"/>
  <c r="AK245" i="55" a="1"/>
  <c r="AK245" i="55" s="1"/>
  <c r="B247" i="57" s="1"/>
  <c r="O247" i="57" s="1"/>
  <c r="W174" i="32"/>
  <c r="X174" i="32" s="1"/>
  <c r="Z174" i="32"/>
  <c r="C231" i="69"/>
  <c r="Q229" i="69"/>
  <c r="R229" i="69"/>
  <c r="S229" i="69" s="1"/>
  <c r="Y229" i="69" s="1"/>
  <c r="U229" i="69"/>
  <c r="AE229" i="69"/>
  <c r="D230" i="69"/>
  <c r="E230" i="69" s="1"/>
  <c r="F230" i="69" s="1"/>
  <c r="G230" i="69" s="1"/>
  <c r="H230" i="69" s="1"/>
  <c r="I230" i="69" s="1"/>
  <c r="J230" i="69" s="1"/>
  <c r="K230" i="69" s="1"/>
  <c r="M230" i="69" s="1"/>
  <c r="N230" i="69"/>
  <c r="AF230" i="69" s="1"/>
  <c r="AN231" i="67" a="1"/>
  <c r="AN231" i="67" s="1"/>
  <c r="B232" i="69"/>
  <c r="AL176" i="11" a="1"/>
  <c r="AL176" i="11" s="1"/>
  <c r="E177" i="32" s="1"/>
  <c r="AL186" i="59" a="1"/>
  <c r="AL186" i="59" s="1"/>
  <c r="E187" i="50" s="1"/>
  <c r="AM76" i="59" a="1"/>
  <c r="AM76" i="59" s="1"/>
  <c r="AM61" i="11" a="1"/>
  <c r="AM61" i="11" s="1"/>
  <c r="AF244" i="57" l="1"/>
  <c r="AB244" i="57"/>
  <c r="AB229" i="69"/>
  <c r="AC229" i="69" s="1"/>
  <c r="AD229" i="69" s="1"/>
  <c r="AG229" i="69"/>
  <c r="L232" i="69"/>
  <c r="O232" i="69"/>
  <c r="AO231" i="69"/>
  <c r="P231" i="69"/>
  <c r="T187" i="50"/>
  <c r="AK187" i="50"/>
  <c r="AB245" i="53"/>
  <c r="AA245" i="53"/>
  <c r="AE246" i="53"/>
  <c r="AC246" i="53"/>
  <c r="AF245" i="53"/>
  <c r="AK177" i="32"/>
  <c r="T177" i="32"/>
  <c r="AD175" i="32"/>
  <c r="X245" i="57"/>
  <c r="AE246" i="57"/>
  <c r="AC246" i="57"/>
  <c r="AM186" i="50"/>
  <c r="U186" i="50"/>
  <c r="AD185" i="50"/>
  <c r="AG185" i="50" s="1"/>
  <c r="AH185" i="50" s="1"/>
  <c r="AI185" i="50" s="1"/>
  <c r="U176" i="32"/>
  <c r="AG174" i="32"/>
  <c r="AH174" i="32" s="1"/>
  <c r="AL174" i="32"/>
  <c r="AP183" i="50"/>
  <c r="R246" i="57"/>
  <c r="R246" i="53"/>
  <c r="X246" i="53" s="1"/>
  <c r="AL184" i="50"/>
  <c r="Q176" i="32"/>
  <c r="P176" i="32" s="1"/>
  <c r="AI173" i="32"/>
  <c r="AN173" i="32" s="1"/>
  <c r="AX230" i="69"/>
  <c r="AG247" i="57"/>
  <c r="L247" i="57"/>
  <c r="O187" i="50"/>
  <c r="AJ246" i="57"/>
  <c r="AP246" i="57"/>
  <c r="AH246" i="53"/>
  <c r="AT246" i="53"/>
  <c r="AG246" i="53"/>
  <c r="N247" i="57"/>
  <c r="K247" i="53"/>
  <c r="N247" i="53"/>
  <c r="AH230" i="69"/>
  <c r="AJ185" i="50"/>
  <c r="C185" i="50"/>
  <c r="AJ175" i="32"/>
  <c r="C175" i="32"/>
  <c r="AD246" i="57"/>
  <c r="Q246" i="53"/>
  <c r="AD246" i="53"/>
  <c r="S186" i="50"/>
  <c r="V185" i="50"/>
  <c r="S176" i="32"/>
  <c r="V176" i="32" s="1"/>
  <c r="G247" i="53"/>
  <c r="L247" i="53"/>
  <c r="H247" i="53"/>
  <c r="E247" i="53"/>
  <c r="P247" i="53"/>
  <c r="F247" i="53"/>
  <c r="C247" i="53"/>
  <c r="I247" i="53"/>
  <c r="AK246" i="52" a="1"/>
  <c r="AK246" i="52" s="1"/>
  <c r="B248" i="53" s="1"/>
  <c r="O248" i="53" s="1"/>
  <c r="J247" i="53"/>
  <c r="M247" i="53"/>
  <c r="D247" i="53"/>
  <c r="A177" i="32"/>
  <c r="B177" i="32"/>
  <c r="R177" i="32" s="1"/>
  <c r="I187" i="50"/>
  <c r="G187" i="50"/>
  <c r="M187" i="50"/>
  <c r="N187" i="50"/>
  <c r="H187" i="50"/>
  <c r="J187" i="50"/>
  <c r="A187" i="50"/>
  <c r="Q187" i="50" s="1"/>
  <c r="P187" i="50" s="1"/>
  <c r="B187" i="50"/>
  <c r="R187" i="50" s="1"/>
  <c r="F187" i="50"/>
  <c r="L187" i="50"/>
  <c r="K187" i="50"/>
  <c r="K177" i="32"/>
  <c r="F177" i="32"/>
  <c r="AM177" i="32" s="1"/>
  <c r="N177" i="32"/>
  <c r="G177" i="32"/>
  <c r="O177" i="32"/>
  <c r="J177" i="32"/>
  <c r="L177" i="32"/>
  <c r="M177" i="32"/>
  <c r="H177" i="32"/>
  <c r="I177" i="32"/>
  <c r="Q246" i="57"/>
  <c r="T246" i="57" s="1"/>
  <c r="J247" i="57"/>
  <c r="E247" i="57"/>
  <c r="P247" i="57"/>
  <c r="F247" i="57"/>
  <c r="I247" i="57"/>
  <c r="G247" i="57"/>
  <c r="K247" i="57"/>
  <c r="D247" i="57"/>
  <c r="H247" i="57"/>
  <c r="C247" i="57"/>
  <c r="M247" i="57" s="1"/>
  <c r="W185" i="50"/>
  <c r="X185" i="50" s="1"/>
  <c r="Z185" i="50"/>
  <c r="AK246" i="55" a="1"/>
  <c r="AK246" i="55" s="1"/>
  <c r="B248" i="57" s="1"/>
  <c r="O248" i="57" s="1"/>
  <c r="W175" i="32"/>
  <c r="X175" i="32" s="1"/>
  <c r="Z175" i="32"/>
  <c r="AN232" i="67" a="1"/>
  <c r="AN232" i="67" s="1"/>
  <c r="B233" i="69"/>
  <c r="N231" i="69"/>
  <c r="AF231" i="69" s="1"/>
  <c r="D231" i="69"/>
  <c r="E231" i="69" s="1"/>
  <c r="F231" i="69" s="1"/>
  <c r="G231" i="69" s="1"/>
  <c r="H231" i="69" s="1"/>
  <c r="I231" i="69" s="1"/>
  <c r="J231" i="69" s="1"/>
  <c r="K231" i="69" s="1"/>
  <c r="M231" i="69" s="1"/>
  <c r="C232" i="69"/>
  <c r="U230" i="69"/>
  <c r="AE230" i="69"/>
  <c r="Q230" i="69"/>
  <c r="R230" i="69"/>
  <c r="S230" i="69" s="1"/>
  <c r="Y230" i="69" s="1"/>
  <c r="AL177" i="11" a="1"/>
  <c r="AL177" i="11" s="1"/>
  <c r="E178" i="32" s="1"/>
  <c r="AL187" i="59" a="1"/>
  <c r="AL187" i="59" s="1"/>
  <c r="E188" i="50" s="1"/>
  <c r="AM77" i="59" a="1"/>
  <c r="AM77" i="59" s="1"/>
  <c r="AM62" i="11" a="1"/>
  <c r="AM62" i="11" s="1"/>
  <c r="AB245" i="57" l="1"/>
  <c r="AA245" i="57"/>
  <c r="AB230" i="69"/>
  <c r="AC230" i="69" s="1"/>
  <c r="AD230" i="69" s="1"/>
  <c r="AG230" i="69"/>
  <c r="L233" i="69"/>
  <c r="O233" i="69"/>
  <c r="AO232" i="69"/>
  <c r="P232" i="69"/>
  <c r="T188" i="50"/>
  <c r="AK188" i="50"/>
  <c r="AB246" i="53"/>
  <c r="AA246" i="53"/>
  <c r="AE247" i="53"/>
  <c r="AC247" i="53"/>
  <c r="AF246" i="53"/>
  <c r="AK178" i="32"/>
  <c r="T178" i="32"/>
  <c r="AD176" i="32"/>
  <c r="X246" i="57"/>
  <c r="AF245" i="57"/>
  <c r="AE247" i="57"/>
  <c r="AC247" i="57"/>
  <c r="AD186" i="50"/>
  <c r="AG186" i="50" s="1"/>
  <c r="AH186" i="50" s="1"/>
  <c r="AI186" i="50" s="1"/>
  <c r="AM187" i="50"/>
  <c r="U187" i="50"/>
  <c r="U177" i="32"/>
  <c r="AG175" i="32"/>
  <c r="AH175" i="32" s="1"/>
  <c r="AL175" i="32"/>
  <c r="AP184" i="50"/>
  <c r="R247" i="57"/>
  <c r="R247" i="53"/>
  <c r="X247" i="53" s="1"/>
  <c r="AL185" i="50"/>
  <c r="Q177" i="32"/>
  <c r="P177" i="32" s="1"/>
  <c r="AI174" i="32"/>
  <c r="AN174" i="32" s="1"/>
  <c r="AX231" i="69"/>
  <c r="AG248" i="57"/>
  <c r="L248" i="57"/>
  <c r="O188" i="50"/>
  <c r="AJ247" i="57"/>
  <c r="AP247" i="57"/>
  <c r="AG247" i="53"/>
  <c r="AH247" i="53"/>
  <c r="AT247" i="53"/>
  <c r="N248" i="57"/>
  <c r="D248" i="53"/>
  <c r="N248" i="53"/>
  <c r="AH231" i="69"/>
  <c r="AJ186" i="50"/>
  <c r="C186" i="50"/>
  <c r="AJ176" i="32"/>
  <c r="C176" i="32"/>
  <c r="AD247" i="57"/>
  <c r="AD247" i="53"/>
  <c r="S187" i="50"/>
  <c r="V186" i="50"/>
  <c r="S177" i="32"/>
  <c r="V177" i="32" s="1"/>
  <c r="Q247" i="53"/>
  <c r="L248" i="53"/>
  <c r="E248" i="53"/>
  <c r="C248" i="53"/>
  <c r="G248" i="53"/>
  <c r="AK247" i="52" a="1"/>
  <c r="AK247" i="52" s="1"/>
  <c r="B249" i="53" s="1"/>
  <c r="O249" i="53" s="1"/>
  <c r="F248" i="53"/>
  <c r="K248" i="53"/>
  <c r="H248" i="53"/>
  <c r="J248" i="53"/>
  <c r="P248" i="53"/>
  <c r="I248" i="53"/>
  <c r="M248" i="53"/>
  <c r="A178" i="32"/>
  <c r="B178" i="32"/>
  <c r="R178" i="32" s="1"/>
  <c r="I188" i="50"/>
  <c r="B188" i="50"/>
  <c r="R188" i="50" s="1"/>
  <c r="F188" i="50"/>
  <c r="K188" i="50"/>
  <c r="G188" i="50"/>
  <c r="N188" i="50"/>
  <c r="H188" i="50"/>
  <c r="L188" i="50"/>
  <c r="J188" i="50"/>
  <c r="M188" i="50"/>
  <c r="A188" i="50"/>
  <c r="Q188" i="50" s="1"/>
  <c r="P188" i="50" s="1"/>
  <c r="I178" i="32"/>
  <c r="L178" i="32"/>
  <c r="M178" i="32"/>
  <c r="H178" i="32"/>
  <c r="F178" i="32"/>
  <c r="AM178" i="32" s="1"/>
  <c r="G178" i="32"/>
  <c r="J178" i="32"/>
  <c r="K178" i="32"/>
  <c r="N178" i="32"/>
  <c r="O178" i="32"/>
  <c r="Q247" i="57"/>
  <c r="T247" i="57" s="1"/>
  <c r="W186" i="50"/>
  <c r="X186" i="50" s="1"/>
  <c r="Z186" i="50"/>
  <c r="D248" i="57"/>
  <c r="J248" i="57"/>
  <c r="G248" i="57"/>
  <c r="H248" i="57"/>
  <c r="C248" i="57"/>
  <c r="M248" i="57" s="1"/>
  <c r="P248" i="57"/>
  <c r="I248" i="57"/>
  <c r="E248" i="57"/>
  <c r="K248" i="57"/>
  <c r="F248" i="57"/>
  <c r="AK247" i="55" a="1"/>
  <c r="AK247" i="55" s="1"/>
  <c r="B249" i="57" s="1"/>
  <c r="O249" i="57" s="1"/>
  <c r="W176" i="32"/>
  <c r="X176" i="32" s="1"/>
  <c r="Z176" i="32"/>
  <c r="C233" i="69"/>
  <c r="D232" i="69"/>
  <c r="E232" i="69" s="1"/>
  <c r="F232" i="69" s="1"/>
  <c r="G232" i="69" s="1"/>
  <c r="H232" i="69" s="1"/>
  <c r="I232" i="69" s="1"/>
  <c r="J232" i="69" s="1"/>
  <c r="K232" i="69" s="1"/>
  <c r="M232" i="69" s="1"/>
  <c r="N232" i="69"/>
  <c r="AF232" i="69" s="1"/>
  <c r="U231" i="69"/>
  <c r="AE231" i="69"/>
  <c r="R231" i="69"/>
  <c r="S231" i="69" s="1"/>
  <c r="Y231" i="69" s="1"/>
  <c r="Q231" i="69"/>
  <c r="AN233" i="67" a="1"/>
  <c r="AN233" i="67" s="1"/>
  <c r="B234" i="69"/>
  <c r="AL178" i="11" a="1"/>
  <c r="AL178" i="11" s="1"/>
  <c r="E179" i="32" s="1"/>
  <c r="AL188" i="59" a="1"/>
  <c r="AL188" i="59" s="1"/>
  <c r="E189" i="50" s="1"/>
  <c r="AM78" i="59" a="1"/>
  <c r="AM78" i="59" s="1"/>
  <c r="AM63" i="11" a="1"/>
  <c r="AM63" i="11" s="1"/>
  <c r="AB246" i="57" l="1"/>
  <c r="AA246" i="57"/>
  <c r="AB231" i="69"/>
  <c r="AC231" i="69" s="1"/>
  <c r="AD231" i="69" s="1"/>
  <c r="AG231" i="69"/>
  <c r="L234" i="69"/>
  <c r="O234" i="69"/>
  <c r="AO233" i="69"/>
  <c r="P233" i="69"/>
  <c r="X247" i="57"/>
  <c r="AA247" i="57" s="1"/>
  <c r="T189" i="50"/>
  <c r="AK189" i="50"/>
  <c r="AF247" i="53"/>
  <c r="AE248" i="53"/>
  <c r="AC248" i="53"/>
  <c r="AB247" i="53"/>
  <c r="AA247" i="53"/>
  <c r="AK179" i="32"/>
  <c r="T179" i="32"/>
  <c r="AD177" i="32"/>
  <c r="AF246" i="57"/>
  <c r="AE248" i="57"/>
  <c r="AC248" i="57"/>
  <c r="AD187" i="50"/>
  <c r="AG187" i="50" s="1"/>
  <c r="AH187" i="50" s="1"/>
  <c r="AI187" i="50" s="1"/>
  <c r="AM188" i="50"/>
  <c r="U188" i="50"/>
  <c r="AG176" i="32"/>
  <c r="AH176" i="32" s="1"/>
  <c r="AL176" i="32"/>
  <c r="U178" i="32"/>
  <c r="AI175" i="32"/>
  <c r="AN175" i="32" s="1"/>
  <c r="AP185" i="50"/>
  <c r="R248" i="57"/>
  <c r="R248" i="53"/>
  <c r="X248" i="53" s="1"/>
  <c r="AL186" i="50"/>
  <c r="Q178" i="32"/>
  <c r="P178" i="32" s="1"/>
  <c r="AX232" i="69"/>
  <c r="AG249" i="57"/>
  <c r="L249" i="57"/>
  <c r="O189" i="50"/>
  <c r="AJ248" i="57"/>
  <c r="AP248" i="57"/>
  <c r="AH248" i="53"/>
  <c r="AT248" i="53"/>
  <c r="AG248" i="53"/>
  <c r="N249" i="57"/>
  <c r="K249" i="53"/>
  <c r="N249" i="53"/>
  <c r="AH232" i="69"/>
  <c r="AJ187" i="50"/>
  <c r="C187" i="50"/>
  <c r="AJ177" i="32"/>
  <c r="C177" i="32"/>
  <c r="AD248" i="57"/>
  <c r="AD248" i="53"/>
  <c r="S188" i="50"/>
  <c r="V187" i="50"/>
  <c r="S178" i="32"/>
  <c r="V178" i="32" s="1"/>
  <c r="Q248" i="53"/>
  <c r="E249" i="53"/>
  <c r="C249" i="53"/>
  <c r="M249" i="53"/>
  <c r="D249" i="53"/>
  <c r="P249" i="53"/>
  <c r="F249" i="53"/>
  <c r="AK248" i="52" a="1"/>
  <c r="AK248" i="52" s="1"/>
  <c r="B250" i="53" s="1"/>
  <c r="O250" i="53" s="1"/>
  <c r="G249" i="53"/>
  <c r="H249" i="53"/>
  <c r="I249" i="53"/>
  <c r="J249" i="53"/>
  <c r="L249" i="53"/>
  <c r="A179" i="32"/>
  <c r="B179" i="32"/>
  <c r="R179" i="32" s="1"/>
  <c r="J189" i="50"/>
  <c r="L189" i="50"/>
  <c r="A189" i="50"/>
  <c r="Q189" i="50" s="1"/>
  <c r="P189" i="50" s="1"/>
  <c r="N189" i="50"/>
  <c r="H189" i="50"/>
  <c r="I189" i="50"/>
  <c r="G189" i="50"/>
  <c r="M189" i="50"/>
  <c r="K189" i="50"/>
  <c r="B189" i="50"/>
  <c r="R189" i="50" s="1"/>
  <c r="F189" i="50"/>
  <c r="G179" i="32"/>
  <c r="O179" i="32"/>
  <c r="J179" i="32"/>
  <c r="K179" i="32"/>
  <c r="F179" i="32"/>
  <c r="AM179" i="32" s="1"/>
  <c r="N179" i="32"/>
  <c r="H179" i="32"/>
  <c r="I179" i="32"/>
  <c r="L179" i="32"/>
  <c r="M179" i="32"/>
  <c r="W187" i="50"/>
  <c r="X187" i="50" s="1"/>
  <c r="Z187" i="50"/>
  <c r="J249" i="57"/>
  <c r="I249" i="57"/>
  <c r="F249" i="57"/>
  <c r="E249" i="57"/>
  <c r="P249" i="57"/>
  <c r="D249" i="57"/>
  <c r="C249" i="57"/>
  <c r="M249" i="57" s="1"/>
  <c r="H249" i="57"/>
  <c r="K249" i="57"/>
  <c r="G249" i="57"/>
  <c r="Q248" i="57"/>
  <c r="T248" i="57" s="1"/>
  <c r="AK248" i="55" a="1"/>
  <c r="AK248" i="55" s="1"/>
  <c r="B250" i="57" s="1"/>
  <c r="O250" i="57" s="1"/>
  <c r="W177" i="32"/>
  <c r="X177" i="32" s="1"/>
  <c r="Z177" i="32"/>
  <c r="AN234" i="67" a="1"/>
  <c r="AN234" i="67" s="1"/>
  <c r="B235" i="69"/>
  <c r="C234" i="69"/>
  <c r="Q232" i="69"/>
  <c r="U232" i="69"/>
  <c r="R232" i="69"/>
  <c r="S232" i="69" s="1"/>
  <c r="Y232" i="69" s="1"/>
  <c r="AE232" i="69"/>
  <c r="N233" i="69"/>
  <c r="AF233" i="69" s="1"/>
  <c r="D233" i="69"/>
  <c r="E233" i="69" s="1"/>
  <c r="F233" i="69" s="1"/>
  <c r="G233" i="69" s="1"/>
  <c r="H233" i="69" s="1"/>
  <c r="I233" i="69" s="1"/>
  <c r="J233" i="69" s="1"/>
  <c r="K233" i="69" s="1"/>
  <c r="M233" i="69" s="1"/>
  <c r="AL179" i="11" a="1"/>
  <c r="AL179" i="11" s="1"/>
  <c r="E180" i="32" s="1"/>
  <c r="AL189" i="59" a="1"/>
  <c r="AL189" i="59" s="1"/>
  <c r="E190" i="50" s="1"/>
  <c r="AM79" i="59" a="1"/>
  <c r="AM79" i="59" s="1"/>
  <c r="AM64" i="11" a="1"/>
  <c r="AM64" i="11" s="1"/>
  <c r="AB232" i="69" l="1"/>
  <c r="AC232" i="69" s="1"/>
  <c r="AD232" i="69" s="1"/>
  <c r="AG232" i="69"/>
  <c r="AO234" i="69"/>
  <c r="P234" i="69"/>
  <c r="L235" i="69"/>
  <c r="O235" i="69"/>
  <c r="AF247" i="57"/>
  <c r="AB247" i="57"/>
  <c r="T190" i="50"/>
  <c r="AK190" i="50"/>
  <c r="AB248" i="53"/>
  <c r="AA248" i="53"/>
  <c r="AE249" i="53"/>
  <c r="AC249" i="53"/>
  <c r="AF248" i="53"/>
  <c r="AK180" i="32"/>
  <c r="T180" i="32"/>
  <c r="AD178" i="32"/>
  <c r="X248" i="57"/>
  <c r="AE249" i="57"/>
  <c r="AC249" i="57"/>
  <c r="AM189" i="50"/>
  <c r="U189" i="50"/>
  <c r="AD188" i="50"/>
  <c r="AG188" i="50" s="1"/>
  <c r="AH188" i="50" s="1"/>
  <c r="AI188" i="50" s="1"/>
  <c r="U179" i="32"/>
  <c r="AG177" i="32"/>
  <c r="AH177" i="32" s="1"/>
  <c r="AL177" i="32"/>
  <c r="AI176" i="32"/>
  <c r="AN176" i="32" s="1"/>
  <c r="AP186" i="50"/>
  <c r="R249" i="57"/>
  <c r="R249" i="53"/>
  <c r="X249" i="53" s="1"/>
  <c r="AL187" i="50"/>
  <c r="Q179" i="32"/>
  <c r="P179" i="32" s="1"/>
  <c r="AX233" i="69"/>
  <c r="AG250" i="57"/>
  <c r="L250" i="57"/>
  <c r="O190" i="50"/>
  <c r="AJ249" i="57"/>
  <c r="AP249" i="57"/>
  <c r="AH249" i="53"/>
  <c r="AT249" i="53"/>
  <c r="AG249" i="53"/>
  <c r="N250" i="57"/>
  <c r="M250" i="53"/>
  <c r="N250" i="53"/>
  <c r="AH233" i="69"/>
  <c r="AJ188" i="50"/>
  <c r="C188" i="50"/>
  <c r="AJ178" i="32"/>
  <c r="C178" i="32"/>
  <c r="AD249" i="57"/>
  <c r="AD249" i="53"/>
  <c r="S189" i="50"/>
  <c r="V188" i="50"/>
  <c r="S179" i="32"/>
  <c r="V179" i="32" s="1"/>
  <c r="Q249" i="53"/>
  <c r="AK249" i="52" a="1"/>
  <c r="AK249" i="52" s="1"/>
  <c r="B251" i="53" s="1"/>
  <c r="O251" i="53" s="1"/>
  <c r="J250" i="53"/>
  <c r="H250" i="53"/>
  <c r="I250" i="53"/>
  <c r="F250" i="53"/>
  <c r="E250" i="53"/>
  <c r="D250" i="53"/>
  <c r="L250" i="53"/>
  <c r="C250" i="53"/>
  <c r="G250" i="53"/>
  <c r="P250" i="53"/>
  <c r="K250" i="53"/>
  <c r="A180" i="32"/>
  <c r="B180" i="32"/>
  <c r="R180" i="32" s="1"/>
  <c r="A190" i="50"/>
  <c r="Q190" i="50" s="1"/>
  <c r="P190" i="50" s="1"/>
  <c r="G190" i="50"/>
  <c r="H190" i="50"/>
  <c r="J190" i="50"/>
  <c r="I190" i="50"/>
  <c r="L190" i="50"/>
  <c r="N190" i="50"/>
  <c r="F190" i="50"/>
  <c r="M190" i="50"/>
  <c r="B190" i="50"/>
  <c r="R190" i="50" s="1"/>
  <c r="K190" i="50"/>
  <c r="M180" i="32"/>
  <c r="H180" i="32"/>
  <c r="I180" i="32"/>
  <c r="L180" i="32"/>
  <c r="N180" i="32"/>
  <c r="O180" i="32"/>
  <c r="F180" i="32"/>
  <c r="AM180" i="32" s="1"/>
  <c r="G180" i="32"/>
  <c r="J180" i="32"/>
  <c r="K180" i="32"/>
  <c r="W188" i="50"/>
  <c r="X188" i="50" s="1"/>
  <c r="Z188" i="50"/>
  <c r="Q249" i="57"/>
  <c r="T249" i="57" s="1"/>
  <c r="C250" i="57"/>
  <c r="M250" i="57" s="1"/>
  <c r="P250" i="57"/>
  <c r="H250" i="57"/>
  <c r="I250" i="57"/>
  <c r="E250" i="57"/>
  <c r="D250" i="57"/>
  <c r="K250" i="57"/>
  <c r="F250" i="57"/>
  <c r="G250" i="57"/>
  <c r="J250" i="57"/>
  <c r="AK249" i="55" a="1"/>
  <c r="AK249" i="55" s="1"/>
  <c r="B251" i="57" s="1"/>
  <c r="O251" i="57" s="1"/>
  <c r="Z178" i="32"/>
  <c r="W178" i="32"/>
  <c r="X178" i="32" s="1"/>
  <c r="AN235" i="67" a="1"/>
  <c r="AN235" i="67" s="1"/>
  <c r="B236" i="69"/>
  <c r="U233" i="69"/>
  <c r="Q233" i="69"/>
  <c r="R233" i="69"/>
  <c r="S233" i="69" s="1"/>
  <c r="Y233" i="69" s="1"/>
  <c r="AB233" i="69" s="1"/>
  <c r="AC233" i="69" s="1"/>
  <c r="AD233" i="69" s="1"/>
  <c r="AE233" i="69"/>
  <c r="C235" i="69"/>
  <c r="D234" i="69"/>
  <c r="E234" i="69" s="1"/>
  <c r="F234" i="69" s="1"/>
  <c r="G234" i="69" s="1"/>
  <c r="H234" i="69" s="1"/>
  <c r="I234" i="69" s="1"/>
  <c r="J234" i="69" s="1"/>
  <c r="K234" i="69" s="1"/>
  <c r="M234" i="69" s="1"/>
  <c r="N234" i="69"/>
  <c r="AF234" i="69" s="1"/>
  <c r="AL180" i="11" a="1"/>
  <c r="AL180" i="11" s="1"/>
  <c r="E181" i="32" s="1"/>
  <c r="AL190" i="59" a="1"/>
  <c r="AL190" i="59" s="1"/>
  <c r="E191" i="50" s="1"/>
  <c r="AM80" i="59" a="1"/>
  <c r="AM80" i="59" s="1"/>
  <c r="AM65" i="11" a="1"/>
  <c r="AM65" i="11" s="1"/>
  <c r="AB248" i="57" l="1"/>
  <c r="AA248" i="57"/>
  <c r="L236" i="69"/>
  <c r="O236" i="69"/>
  <c r="AG233" i="69"/>
  <c r="AO235" i="69"/>
  <c r="P235" i="69"/>
  <c r="AK191" i="50"/>
  <c r="T191" i="50"/>
  <c r="X249" i="57"/>
  <c r="AE250" i="53"/>
  <c r="AC250" i="53"/>
  <c r="AF249" i="53"/>
  <c r="AB249" i="53"/>
  <c r="AA249" i="53"/>
  <c r="AK181" i="32"/>
  <c r="T181" i="32"/>
  <c r="AD179" i="32"/>
  <c r="AF248" i="57"/>
  <c r="AE250" i="57"/>
  <c r="AC250" i="57"/>
  <c r="AM190" i="50"/>
  <c r="U190" i="50"/>
  <c r="AD189" i="50"/>
  <c r="AG189" i="50" s="1"/>
  <c r="AH189" i="50" s="1"/>
  <c r="AI189" i="50" s="1"/>
  <c r="U180" i="32"/>
  <c r="AG178" i="32"/>
  <c r="AH178" i="32" s="1"/>
  <c r="AL178" i="32"/>
  <c r="AI177" i="32"/>
  <c r="AN177" i="32" s="1"/>
  <c r="AP187" i="50"/>
  <c r="R250" i="57"/>
  <c r="R250" i="53"/>
  <c r="X250" i="53" s="1"/>
  <c r="AL188" i="50"/>
  <c r="Q180" i="32"/>
  <c r="P180" i="32" s="1"/>
  <c r="AX234" i="69"/>
  <c r="L251" i="57"/>
  <c r="AG251" i="57"/>
  <c r="O191" i="50"/>
  <c r="AJ250" i="57"/>
  <c r="AP250" i="57"/>
  <c r="AG250" i="53"/>
  <c r="Q250" i="53"/>
  <c r="AH250" i="53"/>
  <c r="AT250" i="53"/>
  <c r="AD250" i="53"/>
  <c r="N251" i="57"/>
  <c r="G251" i="53"/>
  <c r="N251" i="53"/>
  <c r="AH234" i="69"/>
  <c r="AJ189" i="50"/>
  <c r="C189" i="50"/>
  <c r="AJ179" i="32"/>
  <c r="C179" i="32"/>
  <c r="AD250" i="57"/>
  <c r="V189" i="50"/>
  <c r="S190" i="50"/>
  <c r="S180" i="32"/>
  <c r="I251" i="53"/>
  <c r="J251" i="53"/>
  <c r="K251" i="53"/>
  <c r="M251" i="53"/>
  <c r="P251" i="53"/>
  <c r="AK250" i="52" a="1"/>
  <c r="AK250" i="52" s="1"/>
  <c r="B252" i="53" s="1"/>
  <c r="O252" i="53" s="1"/>
  <c r="H251" i="53"/>
  <c r="C251" i="53"/>
  <c r="E251" i="53"/>
  <c r="F251" i="53"/>
  <c r="L251" i="53"/>
  <c r="D251" i="53"/>
  <c r="A181" i="32"/>
  <c r="B181" i="32"/>
  <c r="R181" i="32" s="1"/>
  <c r="I191" i="50"/>
  <c r="A191" i="50"/>
  <c r="Q191" i="50" s="1"/>
  <c r="P191" i="50" s="1"/>
  <c r="M191" i="50"/>
  <c r="K191" i="50"/>
  <c r="N191" i="50"/>
  <c r="H191" i="50"/>
  <c r="B191" i="50"/>
  <c r="R191" i="50" s="1"/>
  <c r="L191" i="50"/>
  <c r="F191" i="50"/>
  <c r="G191" i="50"/>
  <c r="J191" i="50"/>
  <c r="K181" i="32"/>
  <c r="F181" i="32"/>
  <c r="AM181" i="32" s="1"/>
  <c r="N181" i="32"/>
  <c r="G181" i="32"/>
  <c r="O181" i="32"/>
  <c r="J181" i="32"/>
  <c r="H181" i="32"/>
  <c r="I181" i="32"/>
  <c r="L181" i="32"/>
  <c r="M181" i="32"/>
  <c r="W189" i="50"/>
  <c r="X189" i="50" s="1"/>
  <c r="Z189" i="50"/>
  <c r="H251" i="57"/>
  <c r="D251" i="57"/>
  <c r="P251" i="57"/>
  <c r="E251" i="57"/>
  <c r="J251" i="57"/>
  <c r="F251" i="57"/>
  <c r="C251" i="57"/>
  <c r="M251" i="57" s="1"/>
  <c r="K251" i="57"/>
  <c r="G251" i="57"/>
  <c r="I251" i="57"/>
  <c r="Q250" i="57"/>
  <c r="T250" i="57" s="1"/>
  <c r="AK250" i="55" a="1"/>
  <c r="AK250" i="55" s="1"/>
  <c r="B252" i="57" s="1"/>
  <c r="O252" i="57" s="1"/>
  <c r="W179" i="32"/>
  <c r="X179" i="32" s="1"/>
  <c r="Z179" i="32"/>
  <c r="AN236" i="67" a="1"/>
  <c r="AN236" i="67" s="1"/>
  <c r="B237" i="69"/>
  <c r="D235" i="69"/>
  <c r="E235" i="69" s="1"/>
  <c r="F235" i="69" s="1"/>
  <c r="G235" i="69" s="1"/>
  <c r="H235" i="69" s="1"/>
  <c r="I235" i="69" s="1"/>
  <c r="J235" i="69" s="1"/>
  <c r="K235" i="69" s="1"/>
  <c r="M235" i="69" s="1"/>
  <c r="N235" i="69"/>
  <c r="AF235" i="69" s="1"/>
  <c r="AE234" i="69"/>
  <c r="Q234" i="69"/>
  <c r="U234" i="69"/>
  <c r="R234" i="69"/>
  <c r="S234" i="69" s="1"/>
  <c r="Y234" i="69" s="1"/>
  <c r="AB234" i="69" s="1"/>
  <c r="AC234" i="69" s="1"/>
  <c r="AD234" i="69" s="1"/>
  <c r="C236" i="69"/>
  <c r="AL181" i="11" a="1"/>
  <c r="AL181" i="11" s="1"/>
  <c r="AL191" i="59" a="1"/>
  <c r="AL191" i="59" s="1"/>
  <c r="E192" i="50" s="1"/>
  <c r="AM81" i="59" a="1"/>
  <c r="AM81" i="59" s="1"/>
  <c r="AM66" i="11" a="1"/>
  <c r="AM66" i="11" s="1"/>
  <c r="AF249" i="57" l="1"/>
  <c r="AA249" i="57"/>
  <c r="L237" i="69"/>
  <c r="O237" i="69"/>
  <c r="AO236" i="69"/>
  <c r="P236" i="69"/>
  <c r="AG234" i="69"/>
  <c r="AK192" i="50"/>
  <c r="T192" i="50"/>
  <c r="AB249" i="57"/>
  <c r="X250" i="57"/>
  <c r="AA250" i="57" s="1"/>
  <c r="AB250" i="53"/>
  <c r="AA250" i="53"/>
  <c r="AE251" i="53"/>
  <c r="AC251" i="53"/>
  <c r="AF250" i="53"/>
  <c r="AD180" i="32"/>
  <c r="AE251" i="57"/>
  <c r="AC251" i="57"/>
  <c r="AM191" i="50"/>
  <c r="U191" i="50"/>
  <c r="AD190" i="50"/>
  <c r="AG190" i="50" s="1"/>
  <c r="AH190" i="50" s="1"/>
  <c r="AI190" i="50" s="1"/>
  <c r="U181" i="32"/>
  <c r="AG179" i="32"/>
  <c r="AH179" i="32" s="1"/>
  <c r="AL179" i="32"/>
  <c r="AI178" i="32"/>
  <c r="AN178" i="32" s="1"/>
  <c r="AP188" i="50"/>
  <c r="R251" i="57"/>
  <c r="R251" i="53"/>
  <c r="X251" i="53" s="1"/>
  <c r="AL189" i="50"/>
  <c r="Q181" i="32"/>
  <c r="P181" i="32" s="1"/>
  <c r="AX235" i="69"/>
  <c r="AG252" i="57"/>
  <c r="L252" i="57"/>
  <c r="O192" i="50"/>
  <c r="AJ251" i="57"/>
  <c r="AP251" i="57"/>
  <c r="AH251" i="53"/>
  <c r="AT251" i="53"/>
  <c r="AG251" i="53"/>
  <c r="N252" i="57"/>
  <c r="N252" i="53"/>
  <c r="AH235" i="69"/>
  <c r="C180" i="32"/>
  <c r="V180" i="32"/>
  <c r="AJ190" i="50"/>
  <c r="C190" i="50"/>
  <c r="AD251" i="57"/>
  <c r="AD251" i="53"/>
  <c r="AJ180" i="32"/>
  <c r="S191" i="50"/>
  <c r="V190" i="50"/>
  <c r="S181" i="32"/>
  <c r="V181" i="32" s="1"/>
  <c r="Q251" i="53"/>
  <c r="F252" i="53"/>
  <c r="L252" i="53"/>
  <c r="H252" i="53"/>
  <c r="D252" i="53"/>
  <c r="E252" i="53"/>
  <c r="M252" i="53"/>
  <c r="G252" i="53"/>
  <c r="K252" i="53"/>
  <c r="C252" i="53"/>
  <c r="J252" i="53"/>
  <c r="AK251" i="52" a="1"/>
  <c r="AK251" i="52" s="1"/>
  <c r="B253" i="53" s="1"/>
  <c r="O253" i="53" s="1"/>
  <c r="P252" i="53"/>
  <c r="I252" i="53"/>
  <c r="G192" i="50"/>
  <c r="H192" i="50"/>
  <c r="M192" i="50"/>
  <c r="F192" i="50"/>
  <c r="N192" i="50"/>
  <c r="L192" i="50"/>
  <c r="B192" i="50"/>
  <c r="R192" i="50" s="1"/>
  <c r="K192" i="50"/>
  <c r="I192" i="50"/>
  <c r="J192" i="50"/>
  <c r="A192" i="50"/>
  <c r="Q192" i="50" s="1"/>
  <c r="P192" i="50" s="1"/>
  <c r="Q251" i="57"/>
  <c r="T251" i="57" s="1"/>
  <c r="W190" i="50"/>
  <c r="X190" i="50" s="1"/>
  <c r="Z190" i="50"/>
  <c r="F252" i="57"/>
  <c r="J252" i="57"/>
  <c r="E252" i="57"/>
  <c r="H252" i="57"/>
  <c r="K252" i="57"/>
  <c r="G252" i="57"/>
  <c r="D252" i="57"/>
  <c r="I252" i="57"/>
  <c r="C252" i="57"/>
  <c r="M252" i="57" s="1"/>
  <c r="P252" i="57"/>
  <c r="E182" i="32"/>
  <c r="AK251" i="55" a="1"/>
  <c r="AK251" i="55" s="1"/>
  <c r="B253" i="57" s="1"/>
  <c r="O253" i="57" s="1"/>
  <c r="W180" i="32"/>
  <c r="X180" i="32" s="1"/>
  <c r="Z180" i="32"/>
  <c r="C237" i="69"/>
  <c r="R235" i="69"/>
  <c r="S235" i="69" s="1"/>
  <c r="Y235" i="69" s="1"/>
  <c r="AB235" i="69" s="1"/>
  <c r="AC235" i="69" s="1"/>
  <c r="AD235" i="69" s="1"/>
  <c r="Q235" i="69"/>
  <c r="U235" i="69"/>
  <c r="AE235" i="69"/>
  <c r="D236" i="69"/>
  <c r="E236" i="69" s="1"/>
  <c r="F236" i="69" s="1"/>
  <c r="G236" i="69" s="1"/>
  <c r="H236" i="69" s="1"/>
  <c r="I236" i="69" s="1"/>
  <c r="J236" i="69" s="1"/>
  <c r="K236" i="69" s="1"/>
  <c r="M236" i="69" s="1"/>
  <c r="N236" i="69"/>
  <c r="AF236" i="69" s="1"/>
  <c r="AN237" i="67" a="1"/>
  <c r="AN237" i="67" s="1"/>
  <c r="B238" i="69"/>
  <c r="AL182" i="11" a="1"/>
  <c r="AL182" i="11" s="1"/>
  <c r="E183" i="32" s="1"/>
  <c r="AL192" i="59" a="1"/>
  <c r="AL192" i="59" s="1"/>
  <c r="E193" i="50" s="1"/>
  <c r="AM82" i="59" a="1"/>
  <c r="AM82" i="59" s="1"/>
  <c r="AM67" i="11" a="1"/>
  <c r="AM67" i="11" s="1"/>
  <c r="AG235" i="69" l="1"/>
  <c r="L238" i="69"/>
  <c r="O238" i="69"/>
  <c r="AO237" i="69"/>
  <c r="P237" i="69"/>
  <c r="T193" i="50"/>
  <c r="AK193" i="50"/>
  <c r="AF250" i="57"/>
  <c r="AB250" i="57"/>
  <c r="X251" i="57"/>
  <c r="AA251" i="57" s="1"/>
  <c r="AE252" i="53"/>
  <c r="AC252" i="53"/>
  <c r="AB251" i="53"/>
  <c r="AA251" i="53"/>
  <c r="AF251" i="53"/>
  <c r="AK183" i="32"/>
  <c r="T183" i="32"/>
  <c r="AK182" i="32"/>
  <c r="T182" i="32"/>
  <c r="AD181" i="32"/>
  <c r="AE252" i="57"/>
  <c r="AC252" i="57"/>
  <c r="AM192" i="50"/>
  <c r="U192" i="50"/>
  <c r="AD191" i="50"/>
  <c r="AG191" i="50" s="1"/>
  <c r="AH191" i="50" s="1"/>
  <c r="AI191" i="50" s="1"/>
  <c r="AG180" i="32"/>
  <c r="AH180" i="32" s="1"/>
  <c r="AL180" i="32"/>
  <c r="AP189" i="50"/>
  <c r="R252" i="57"/>
  <c r="R252" i="53"/>
  <c r="X252" i="53" s="1"/>
  <c r="AL190" i="50"/>
  <c r="AI179" i="32"/>
  <c r="AN179" i="32" s="1"/>
  <c r="AX236" i="69"/>
  <c r="L253" i="57"/>
  <c r="AG253" i="57"/>
  <c r="O193" i="50"/>
  <c r="AJ252" i="57"/>
  <c r="AP252" i="57"/>
  <c r="AG252" i="53"/>
  <c r="AH252" i="53"/>
  <c r="AT252" i="53"/>
  <c r="N253" i="57"/>
  <c r="F253" i="53"/>
  <c r="N253" i="53"/>
  <c r="AH236" i="69"/>
  <c r="AJ191" i="50"/>
  <c r="C191" i="50"/>
  <c r="AJ181" i="32"/>
  <c r="C181" i="32"/>
  <c r="AD252" i="57"/>
  <c r="AD252" i="53"/>
  <c r="S192" i="50"/>
  <c r="V191" i="50"/>
  <c r="Q252" i="53"/>
  <c r="M253" i="53"/>
  <c r="K253" i="53"/>
  <c r="C253" i="53"/>
  <c r="H253" i="53"/>
  <c r="I253" i="53"/>
  <c r="P253" i="53"/>
  <c r="G253" i="53"/>
  <c r="J253" i="53"/>
  <c r="E253" i="53"/>
  <c r="AK252" i="52" a="1"/>
  <c r="AK252" i="52" s="1"/>
  <c r="B254" i="53" s="1"/>
  <c r="O254" i="53" s="1"/>
  <c r="L253" i="53"/>
  <c r="D253" i="53"/>
  <c r="A183" i="32"/>
  <c r="B183" i="32"/>
  <c r="R183" i="32" s="1"/>
  <c r="A182" i="32"/>
  <c r="B182" i="32"/>
  <c r="R182" i="32" s="1"/>
  <c r="H193" i="50"/>
  <c r="B193" i="50"/>
  <c r="R193" i="50" s="1"/>
  <c r="J193" i="50"/>
  <c r="I193" i="50"/>
  <c r="A193" i="50"/>
  <c r="Q193" i="50" s="1"/>
  <c r="P193" i="50" s="1"/>
  <c r="G193" i="50"/>
  <c r="M193" i="50"/>
  <c r="K193" i="50"/>
  <c r="N193" i="50"/>
  <c r="F193" i="50"/>
  <c r="L193" i="50"/>
  <c r="I182" i="32"/>
  <c r="L182" i="32"/>
  <c r="M182" i="32"/>
  <c r="H182" i="32"/>
  <c r="J182" i="32"/>
  <c r="K182" i="32"/>
  <c r="N182" i="32"/>
  <c r="O182" i="32"/>
  <c r="G182" i="32"/>
  <c r="F182" i="32"/>
  <c r="AM182" i="32" s="1"/>
  <c r="G183" i="32"/>
  <c r="O183" i="32"/>
  <c r="J183" i="32"/>
  <c r="K183" i="32"/>
  <c r="F183" i="32"/>
  <c r="AM183" i="32" s="1"/>
  <c r="N183" i="32"/>
  <c r="H183" i="32"/>
  <c r="I183" i="32"/>
  <c r="L183" i="32"/>
  <c r="M183" i="32"/>
  <c r="Q252" i="57"/>
  <c r="T252" i="57" s="1"/>
  <c r="P253" i="57"/>
  <c r="H253" i="57"/>
  <c r="F253" i="57"/>
  <c r="D253" i="57"/>
  <c r="I253" i="57"/>
  <c r="E253" i="57"/>
  <c r="J253" i="57"/>
  <c r="G253" i="57"/>
  <c r="K253" i="57"/>
  <c r="C253" i="57"/>
  <c r="M253" i="57" s="1"/>
  <c r="W191" i="50"/>
  <c r="X191" i="50" s="1"/>
  <c r="Z191" i="50"/>
  <c r="AK252" i="55" a="1"/>
  <c r="AK252" i="55" s="1"/>
  <c r="B254" i="57" s="1"/>
  <c r="O254" i="57" s="1"/>
  <c r="W181" i="32"/>
  <c r="X181" i="32" s="1"/>
  <c r="Z181" i="32"/>
  <c r="D237" i="69"/>
  <c r="E237" i="69" s="1"/>
  <c r="F237" i="69" s="1"/>
  <c r="G237" i="69" s="1"/>
  <c r="H237" i="69" s="1"/>
  <c r="I237" i="69" s="1"/>
  <c r="J237" i="69" s="1"/>
  <c r="K237" i="69" s="1"/>
  <c r="M237" i="69" s="1"/>
  <c r="N237" i="69"/>
  <c r="AF237" i="69" s="1"/>
  <c r="R236" i="69"/>
  <c r="S236" i="69" s="1"/>
  <c r="Y236" i="69" s="1"/>
  <c r="AE236" i="69"/>
  <c r="Q236" i="69"/>
  <c r="U236" i="69"/>
  <c r="AN238" i="67" a="1"/>
  <c r="AN238" i="67" s="1"/>
  <c r="B239" i="69"/>
  <c r="C238" i="69"/>
  <c r="AL183" i="11" a="1"/>
  <c r="AL183" i="11" s="1"/>
  <c r="E184" i="32" s="1"/>
  <c r="AL193" i="59" a="1"/>
  <c r="AL193" i="59" s="1"/>
  <c r="E194" i="50" s="1"/>
  <c r="AM83" i="59" a="1"/>
  <c r="AM83" i="59" s="1"/>
  <c r="AM68" i="11" a="1"/>
  <c r="AM68" i="11" s="1"/>
  <c r="AB236" i="69" l="1"/>
  <c r="AC236" i="69" s="1"/>
  <c r="AD236" i="69" s="1"/>
  <c r="AG236" i="69"/>
  <c r="AO238" i="69"/>
  <c r="P238" i="69"/>
  <c r="L239" i="69"/>
  <c r="O239" i="69"/>
  <c r="X252" i="57"/>
  <c r="T194" i="50"/>
  <c r="AK194" i="50"/>
  <c r="AF251" i="57"/>
  <c r="AB251" i="57"/>
  <c r="AB252" i="53"/>
  <c r="AA252" i="53"/>
  <c r="AE253" i="53"/>
  <c r="AC253" i="53"/>
  <c r="AF252" i="53"/>
  <c r="AK184" i="32"/>
  <c r="T184" i="32"/>
  <c r="AE253" i="57"/>
  <c r="AC253" i="57"/>
  <c r="AM193" i="50"/>
  <c r="U193" i="50"/>
  <c r="AD192" i="50"/>
  <c r="AG192" i="50" s="1"/>
  <c r="AH192" i="50" s="1"/>
  <c r="AI192" i="50" s="1"/>
  <c r="U182" i="32"/>
  <c r="AG181" i="32"/>
  <c r="AH181" i="32" s="1"/>
  <c r="AL181" i="32"/>
  <c r="U183" i="32"/>
  <c r="AI180" i="32"/>
  <c r="AN180" i="32" s="1"/>
  <c r="AP190" i="50"/>
  <c r="R253" i="57"/>
  <c r="R253" i="53"/>
  <c r="X253" i="53" s="1"/>
  <c r="AL191" i="50"/>
  <c r="Q183" i="32"/>
  <c r="P183" i="32" s="1"/>
  <c r="Q182" i="32"/>
  <c r="P182" i="32" s="1"/>
  <c r="AX237" i="69"/>
  <c r="AG254" i="57"/>
  <c r="L254" i="57"/>
  <c r="O194" i="50"/>
  <c r="AJ253" i="57"/>
  <c r="AP253" i="57"/>
  <c r="AH253" i="53"/>
  <c r="AT253" i="53"/>
  <c r="AG253" i="53"/>
  <c r="N254" i="57"/>
  <c r="C254" i="53"/>
  <c r="N254" i="53"/>
  <c r="AH237" i="69"/>
  <c r="AJ192" i="50"/>
  <c r="C192" i="50"/>
  <c r="AD253" i="57"/>
  <c r="AD253" i="53"/>
  <c r="Q253" i="53"/>
  <c r="V192" i="50"/>
  <c r="S193" i="50"/>
  <c r="S183" i="32"/>
  <c r="V183" i="32" s="1"/>
  <c r="S182" i="32"/>
  <c r="V182" i="32" s="1"/>
  <c r="F254" i="53"/>
  <c r="D254" i="53"/>
  <c r="P254" i="53"/>
  <c r="AK253" i="52" a="1"/>
  <c r="AK253" i="52" s="1"/>
  <c r="B255" i="53" s="1"/>
  <c r="O255" i="53" s="1"/>
  <c r="M254" i="53"/>
  <c r="J254" i="53"/>
  <c r="E254" i="53"/>
  <c r="L254" i="53"/>
  <c r="K254" i="53"/>
  <c r="I254" i="53"/>
  <c r="H254" i="53"/>
  <c r="G254" i="53"/>
  <c r="A184" i="32"/>
  <c r="B184" i="32"/>
  <c r="R184" i="32" s="1"/>
  <c r="F194" i="50"/>
  <c r="A194" i="50"/>
  <c r="Q194" i="50" s="1"/>
  <c r="P194" i="50" s="1"/>
  <c r="N194" i="50"/>
  <c r="B194" i="50"/>
  <c r="R194" i="50" s="1"/>
  <c r="J194" i="50"/>
  <c r="M194" i="50"/>
  <c r="L194" i="50"/>
  <c r="K194" i="50"/>
  <c r="I194" i="50"/>
  <c r="G194" i="50"/>
  <c r="H194" i="50"/>
  <c r="M184" i="32"/>
  <c r="H184" i="32"/>
  <c r="I184" i="32"/>
  <c r="L184" i="32"/>
  <c r="F184" i="32"/>
  <c r="AM184" i="32" s="1"/>
  <c r="G184" i="32"/>
  <c r="J184" i="32"/>
  <c r="K184" i="32"/>
  <c r="N184" i="32"/>
  <c r="O184" i="32"/>
  <c r="Q253" i="57"/>
  <c r="T253" i="57" s="1"/>
  <c r="Z192" i="50"/>
  <c r="W192" i="50"/>
  <c r="X192" i="50" s="1"/>
  <c r="I254" i="57"/>
  <c r="E254" i="57"/>
  <c r="D254" i="57"/>
  <c r="K254" i="57"/>
  <c r="F254" i="57"/>
  <c r="G254" i="57"/>
  <c r="J254" i="57"/>
  <c r="P254" i="57"/>
  <c r="C254" i="57"/>
  <c r="M254" i="57" s="1"/>
  <c r="H254" i="57"/>
  <c r="AK253" i="55" a="1"/>
  <c r="AK253" i="55" s="1"/>
  <c r="B255" i="57" s="1"/>
  <c r="O255" i="57" s="1"/>
  <c r="AN239" i="67" a="1"/>
  <c r="AN239" i="67" s="1"/>
  <c r="B240" i="69"/>
  <c r="U237" i="69"/>
  <c r="Q237" i="69"/>
  <c r="AE237" i="69"/>
  <c r="R237" i="69"/>
  <c r="S237" i="69" s="1"/>
  <c r="Y237" i="69" s="1"/>
  <c r="C239" i="69"/>
  <c r="D238" i="69"/>
  <c r="E238" i="69" s="1"/>
  <c r="F238" i="69" s="1"/>
  <c r="G238" i="69" s="1"/>
  <c r="H238" i="69" s="1"/>
  <c r="I238" i="69" s="1"/>
  <c r="J238" i="69" s="1"/>
  <c r="K238" i="69" s="1"/>
  <c r="M238" i="69" s="1"/>
  <c r="N238" i="69"/>
  <c r="AF238" i="69" s="1"/>
  <c r="AL184" i="11" a="1"/>
  <c r="AL184" i="11" s="1"/>
  <c r="E185" i="32" s="1"/>
  <c r="AL194" i="59" a="1"/>
  <c r="AL194" i="59" s="1"/>
  <c r="E195" i="50" s="1"/>
  <c r="AM84" i="59" a="1"/>
  <c r="AM84" i="59" s="1"/>
  <c r="AM69" i="11" a="1"/>
  <c r="AM69" i="11" s="1"/>
  <c r="AB252" i="57" l="1"/>
  <c r="AA252" i="57"/>
  <c r="AB237" i="69"/>
  <c r="AC237" i="69" s="1"/>
  <c r="AD237" i="69" s="1"/>
  <c r="AG237" i="69"/>
  <c r="L240" i="69"/>
  <c r="O240" i="69"/>
  <c r="AO239" i="69"/>
  <c r="P239" i="69"/>
  <c r="AF252" i="57"/>
  <c r="T195" i="50"/>
  <c r="AK195" i="50"/>
  <c r="AE254" i="53"/>
  <c r="AC254" i="53"/>
  <c r="AF253" i="53"/>
  <c r="AB253" i="53"/>
  <c r="AA253" i="53"/>
  <c r="AK185" i="32"/>
  <c r="T185" i="32"/>
  <c r="AD183" i="32"/>
  <c r="AD182" i="32"/>
  <c r="X253" i="57"/>
  <c r="AE254" i="57"/>
  <c r="AC254" i="57"/>
  <c r="AD193" i="50"/>
  <c r="AG193" i="50" s="1"/>
  <c r="AH193" i="50" s="1"/>
  <c r="AI193" i="50" s="1"/>
  <c r="AM194" i="50"/>
  <c r="U194" i="50"/>
  <c r="U184" i="32"/>
  <c r="AI181" i="32"/>
  <c r="AN181" i="32" s="1"/>
  <c r="AP191" i="50"/>
  <c r="R254" i="57"/>
  <c r="R254" i="53"/>
  <c r="X254" i="53" s="1"/>
  <c r="AL192" i="50"/>
  <c r="Q184" i="32"/>
  <c r="P184" i="32" s="1"/>
  <c r="AX238" i="69"/>
  <c r="AG255" i="57"/>
  <c r="L255" i="57"/>
  <c r="O195" i="50"/>
  <c r="AJ254" i="57"/>
  <c r="AP254" i="57"/>
  <c r="AG254" i="53"/>
  <c r="AH254" i="53"/>
  <c r="AT254" i="53"/>
  <c r="N255" i="57"/>
  <c r="P255" i="53"/>
  <c r="N255" i="53"/>
  <c r="AH238" i="69"/>
  <c r="AJ193" i="50"/>
  <c r="C193" i="50"/>
  <c r="AJ182" i="32"/>
  <c r="C182" i="32"/>
  <c r="AJ183" i="32"/>
  <c r="C183" i="32"/>
  <c r="AD254" i="57"/>
  <c r="AD254" i="53"/>
  <c r="Q254" i="53"/>
  <c r="V193" i="50"/>
  <c r="S194" i="50"/>
  <c r="S184" i="32"/>
  <c r="V184" i="32" s="1"/>
  <c r="AK254" i="52" a="1"/>
  <c r="AK254" i="52" s="1"/>
  <c r="B256" i="53" s="1"/>
  <c r="O256" i="53" s="1"/>
  <c r="G255" i="53"/>
  <c r="H255" i="53"/>
  <c r="L255" i="53"/>
  <c r="D255" i="53"/>
  <c r="J255" i="53"/>
  <c r="I255" i="53"/>
  <c r="C255" i="53"/>
  <c r="E255" i="53"/>
  <c r="F255" i="53"/>
  <c r="K255" i="53"/>
  <c r="M255" i="53"/>
  <c r="A185" i="32"/>
  <c r="B185" i="32"/>
  <c r="R185" i="32" s="1"/>
  <c r="M195" i="50"/>
  <c r="G195" i="50"/>
  <c r="J195" i="50"/>
  <c r="B195" i="50"/>
  <c r="R195" i="50" s="1"/>
  <c r="I195" i="50"/>
  <c r="K195" i="50"/>
  <c r="L195" i="50"/>
  <c r="N195" i="50"/>
  <c r="H195" i="50"/>
  <c r="F195" i="50"/>
  <c r="A195" i="50"/>
  <c r="Q195" i="50" s="1"/>
  <c r="P195" i="50" s="1"/>
  <c r="K185" i="32"/>
  <c r="F185" i="32"/>
  <c r="AM185" i="32" s="1"/>
  <c r="N185" i="32"/>
  <c r="G185" i="32"/>
  <c r="O185" i="32"/>
  <c r="J185" i="32"/>
  <c r="L185" i="32"/>
  <c r="M185" i="32"/>
  <c r="H185" i="32"/>
  <c r="I185" i="32"/>
  <c r="Z182" i="32"/>
  <c r="W182" i="32"/>
  <c r="X182" i="32" s="1"/>
  <c r="Q254" i="57"/>
  <c r="T254" i="57" s="1"/>
  <c r="P255" i="57"/>
  <c r="H255" i="57"/>
  <c r="D255" i="57"/>
  <c r="J255" i="57"/>
  <c r="K255" i="57"/>
  <c r="F255" i="57"/>
  <c r="I255" i="57"/>
  <c r="G255" i="57"/>
  <c r="E255" i="57"/>
  <c r="C255" i="57"/>
  <c r="M255" i="57" s="1"/>
  <c r="Z193" i="50"/>
  <c r="W193" i="50"/>
  <c r="X193" i="50" s="1"/>
  <c r="AK254" i="55" a="1"/>
  <c r="AK254" i="55" s="1"/>
  <c r="B256" i="57" s="1"/>
  <c r="O256" i="57" s="1"/>
  <c r="W183" i="32"/>
  <c r="X183" i="32" s="1"/>
  <c r="Z183" i="32"/>
  <c r="AN240" i="67" a="1"/>
  <c r="AN240" i="67" s="1"/>
  <c r="B241" i="69"/>
  <c r="AE238" i="69"/>
  <c r="U238" i="69"/>
  <c r="Q238" i="69"/>
  <c r="R238" i="69"/>
  <c r="S238" i="69" s="1"/>
  <c r="Y238" i="69" s="1"/>
  <c r="D239" i="69"/>
  <c r="E239" i="69" s="1"/>
  <c r="F239" i="69" s="1"/>
  <c r="G239" i="69" s="1"/>
  <c r="H239" i="69" s="1"/>
  <c r="I239" i="69" s="1"/>
  <c r="J239" i="69" s="1"/>
  <c r="K239" i="69" s="1"/>
  <c r="M239" i="69" s="1"/>
  <c r="N239" i="69"/>
  <c r="AF239" i="69" s="1"/>
  <c r="C240" i="69"/>
  <c r="AL185" i="11" a="1"/>
  <c r="AL185" i="11" s="1"/>
  <c r="E186" i="32" s="1"/>
  <c r="AL195" i="59" a="1"/>
  <c r="AL195" i="59" s="1"/>
  <c r="E196" i="50" s="1"/>
  <c r="AM85" i="59" a="1"/>
  <c r="AM85" i="59" s="1"/>
  <c r="AM70" i="11" a="1"/>
  <c r="AM70" i="11" s="1"/>
  <c r="AB253" i="57" l="1"/>
  <c r="AA253" i="57"/>
  <c r="AB238" i="69"/>
  <c r="AC238" i="69" s="1"/>
  <c r="AD238" i="69" s="1"/>
  <c r="AG238" i="69"/>
  <c r="L241" i="69"/>
  <c r="O241" i="69"/>
  <c r="AO240" i="69"/>
  <c r="P240" i="69"/>
  <c r="T196" i="50"/>
  <c r="AK196" i="50"/>
  <c r="X254" i="57"/>
  <c r="AE255" i="53"/>
  <c r="AC255" i="53"/>
  <c r="AF254" i="53"/>
  <c r="AB254" i="53"/>
  <c r="AA254" i="53"/>
  <c r="AK186" i="32"/>
  <c r="T186" i="32"/>
  <c r="AD184" i="32"/>
  <c r="AF253" i="57"/>
  <c r="AE255" i="57"/>
  <c r="AC255" i="57"/>
  <c r="AM195" i="50"/>
  <c r="U195" i="50"/>
  <c r="AD194" i="50"/>
  <c r="AG194" i="50" s="1"/>
  <c r="AH194" i="50" s="1"/>
  <c r="AI194" i="50" s="1"/>
  <c r="AG183" i="32"/>
  <c r="AH183" i="32" s="1"/>
  <c r="AL183" i="32"/>
  <c r="U185" i="32"/>
  <c r="AG182" i="32"/>
  <c r="AH182" i="32" s="1"/>
  <c r="AL182" i="32"/>
  <c r="AP192" i="50"/>
  <c r="AE238" i="65"/>
  <c r="AH238" i="65" s="1"/>
  <c r="R255" i="57"/>
  <c r="R255" i="53"/>
  <c r="X255" i="53" s="1"/>
  <c r="AL193" i="50"/>
  <c r="Q185" i="32"/>
  <c r="P185" i="32" s="1"/>
  <c r="AX239" i="69"/>
  <c r="AG256" i="57"/>
  <c r="L256" i="57"/>
  <c r="O196" i="50"/>
  <c r="AJ255" i="57"/>
  <c r="AP255" i="57"/>
  <c r="AV238" i="65"/>
  <c r="AH255" i="53"/>
  <c r="AT255" i="53"/>
  <c r="AG255" i="53"/>
  <c r="N256" i="57"/>
  <c r="N256" i="53"/>
  <c r="AH239" i="69"/>
  <c r="AJ194" i="50"/>
  <c r="C194" i="50"/>
  <c r="AJ184" i="32"/>
  <c r="C184" i="32"/>
  <c r="AD255" i="57"/>
  <c r="Q255" i="53"/>
  <c r="AD255" i="53"/>
  <c r="V194" i="50"/>
  <c r="S195" i="50"/>
  <c r="S185" i="32"/>
  <c r="V185" i="32" s="1"/>
  <c r="L256" i="53"/>
  <c r="G256" i="53"/>
  <c r="M256" i="53"/>
  <c r="P256" i="53"/>
  <c r="E256" i="53"/>
  <c r="K256" i="53"/>
  <c r="C256" i="53"/>
  <c r="D256" i="53"/>
  <c r="J256" i="53"/>
  <c r="AK255" i="52" a="1"/>
  <c r="AK255" i="52" s="1"/>
  <c r="B257" i="53" s="1"/>
  <c r="O257" i="53" s="1"/>
  <c r="I256" i="53"/>
  <c r="F256" i="53"/>
  <c r="H256" i="53"/>
  <c r="A186" i="32"/>
  <c r="B186" i="32"/>
  <c r="R186" i="32" s="1"/>
  <c r="I196" i="50"/>
  <c r="F196" i="50"/>
  <c r="K196" i="50"/>
  <c r="G196" i="50"/>
  <c r="M196" i="50"/>
  <c r="N196" i="50"/>
  <c r="J196" i="50"/>
  <c r="A196" i="50"/>
  <c r="Q196" i="50" s="1"/>
  <c r="P196" i="50" s="1"/>
  <c r="B196" i="50"/>
  <c r="R196" i="50" s="1"/>
  <c r="H196" i="50"/>
  <c r="L196" i="50"/>
  <c r="I186" i="32"/>
  <c r="L186" i="32"/>
  <c r="M186" i="32"/>
  <c r="H186" i="32"/>
  <c r="F186" i="32"/>
  <c r="AM186" i="32" s="1"/>
  <c r="G186" i="32"/>
  <c r="J186" i="32"/>
  <c r="K186" i="32"/>
  <c r="O186" i="32"/>
  <c r="N186" i="32"/>
  <c r="Z194" i="50"/>
  <c r="W194" i="50"/>
  <c r="X194" i="50" s="1"/>
  <c r="Q255" i="57"/>
  <c r="T255" i="57" s="1"/>
  <c r="J256" i="57"/>
  <c r="F256" i="57"/>
  <c r="D256" i="57"/>
  <c r="I256" i="57"/>
  <c r="P256" i="57"/>
  <c r="E256" i="57"/>
  <c r="H256" i="57"/>
  <c r="C256" i="57"/>
  <c r="M256" i="57" s="1"/>
  <c r="G256" i="57"/>
  <c r="K256" i="57"/>
  <c r="AK255" i="55" a="1"/>
  <c r="AK255" i="55" s="1"/>
  <c r="B257" i="57" s="1"/>
  <c r="O257" i="57" s="1"/>
  <c r="W184" i="32"/>
  <c r="X184" i="32" s="1"/>
  <c r="Z184" i="32"/>
  <c r="C241" i="69"/>
  <c r="N240" i="69"/>
  <c r="AF240" i="69" s="1"/>
  <c r="D240" i="69"/>
  <c r="E240" i="69" s="1"/>
  <c r="F240" i="69" s="1"/>
  <c r="G240" i="69" s="1"/>
  <c r="H240" i="69" s="1"/>
  <c r="I240" i="69" s="1"/>
  <c r="J240" i="69" s="1"/>
  <c r="K240" i="69" s="1"/>
  <c r="M240" i="69" s="1"/>
  <c r="U239" i="69"/>
  <c r="AE239" i="69"/>
  <c r="Q239" i="69"/>
  <c r="R239" i="69"/>
  <c r="S239" i="69" s="1"/>
  <c r="Y239" i="69" s="1"/>
  <c r="AN241" i="67" a="1"/>
  <c r="AN241" i="67" s="1"/>
  <c r="B242" i="69"/>
  <c r="U238" i="65"/>
  <c r="R238" i="65"/>
  <c r="S238" i="65" s="1"/>
  <c r="AL186" i="11" a="1"/>
  <c r="AL186" i="11" s="1"/>
  <c r="E187" i="32" s="1"/>
  <c r="AL196" i="59" a="1"/>
  <c r="AL196" i="59" s="1"/>
  <c r="E197" i="50" s="1"/>
  <c r="AM86" i="59" a="1"/>
  <c r="AM86" i="59" s="1"/>
  <c r="AM71" i="11" a="1"/>
  <c r="AM71" i="11" s="1"/>
  <c r="AF254" i="57" l="1"/>
  <c r="AA254" i="57"/>
  <c r="AB239" i="69"/>
  <c r="AC239" i="69" s="1"/>
  <c r="AD239" i="69" s="1"/>
  <c r="AG239" i="69"/>
  <c r="AO241" i="69"/>
  <c r="P241" i="69"/>
  <c r="L242" i="69"/>
  <c r="O242" i="69"/>
  <c r="AB254" i="57"/>
  <c r="T197" i="50"/>
  <c r="AK197" i="50"/>
  <c r="AB255" i="53"/>
  <c r="AA255" i="53"/>
  <c r="AE256" i="53"/>
  <c r="AC256" i="53"/>
  <c r="AF255" i="53"/>
  <c r="AK187" i="32"/>
  <c r="T187" i="32"/>
  <c r="AD185" i="32"/>
  <c r="X255" i="57"/>
  <c r="AA255" i="57" s="1"/>
  <c r="AE256" i="57"/>
  <c r="AC256" i="57"/>
  <c r="AD195" i="50"/>
  <c r="AG195" i="50" s="1"/>
  <c r="AH195" i="50" s="1"/>
  <c r="AI195" i="50" s="1"/>
  <c r="AM196" i="50"/>
  <c r="U196" i="50"/>
  <c r="U186" i="32"/>
  <c r="AG184" i="32"/>
  <c r="AH184" i="32" s="1"/>
  <c r="AL184" i="32"/>
  <c r="AI183" i="32"/>
  <c r="AN183" i="32" s="1"/>
  <c r="AP193" i="50"/>
  <c r="R256" i="57"/>
  <c r="R256" i="53"/>
  <c r="X256" i="53" s="1"/>
  <c r="AL194" i="50"/>
  <c r="Q186" i="32"/>
  <c r="P186" i="32" s="1"/>
  <c r="AI182" i="32"/>
  <c r="AN182" i="32" s="1"/>
  <c r="AX240" i="69"/>
  <c r="AG257" i="57"/>
  <c r="L257" i="57"/>
  <c r="O197" i="50"/>
  <c r="AJ256" i="57"/>
  <c r="AP256" i="57"/>
  <c r="AH256" i="53"/>
  <c r="AT256" i="53"/>
  <c r="AG256" i="53"/>
  <c r="N257" i="57"/>
  <c r="N257" i="53"/>
  <c r="AH240" i="69"/>
  <c r="AJ195" i="50"/>
  <c r="C195" i="50"/>
  <c r="AJ185" i="32"/>
  <c r="C185" i="32"/>
  <c r="AD256" i="57"/>
  <c r="Q256" i="53"/>
  <c r="AD256" i="53"/>
  <c r="V195" i="50"/>
  <c r="S196" i="50"/>
  <c r="S186" i="32"/>
  <c r="V186" i="32" s="1"/>
  <c r="J257" i="53"/>
  <c r="F257" i="53"/>
  <c r="AK256" i="52" a="1"/>
  <c r="AK256" i="52" s="1"/>
  <c r="AK257" i="52" s="1" a="1"/>
  <c r="AK257" i="52" s="1"/>
  <c r="M257" i="53"/>
  <c r="L257" i="53"/>
  <c r="K257" i="53"/>
  <c r="D257" i="53"/>
  <c r="E257" i="53"/>
  <c r="H257" i="53"/>
  <c r="I257" i="53"/>
  <c r="P257" i="53"/>
  <c r="P258" i="53" s="1"/>
  <c r="G257" i="53"/>
  <c r="C257" i="53"/>
  <c r="A187" i="32"/>
  <c r="B187" i="32"/>
  <c r="R187" i="32" s="1"/>
  <c r="K197" i="50"/>
  <c r="A197" i="50"/>
  <c r="Q197" i="50" s="1"/>
  <c r="P197" i="50" s="1"/>
  <c r="M197" i="50"/>
  <c r="G197" i="50"/>
  <c r="N197" i="50"/>
  <c r="J197" i="50"/>
  <c r="B197" i="50"/>
  <c r="R197" i="50" s="1"/>
  <c r="L197" i="50"/>
  <c r="F197" i="50"/>
  <c r="H197" i="50"/>
  <c r="I197" i="50"/>
  <c r="G187" i="32"/>
  <c r="O187" i="32"/>
  <c r="J187" i="32"/>
  <c r="K187" i="32"/>
  <c r="F187" i="32"/>
  <c r="AM187" i="32" s="1"/>
  <c r="N187" i="32"/>
  <c r="H187" i="32"/>
  <c r="I187" i="32"/>
  <c r="L187" i="32"/>
  <c r="M187" i="32"/>
  <c r="H257" i="57"/>
  <c r="F257" i="57"/>
  <c r="D257" i="57"/>
  <c r="P257" i="57"/>
  <c r="P258" i="57" s="1"/>
  <c r="C257" i="57"/>
  <c r="M257" i="57" s="1"/>
  <c r="I257" i="57"/>
  <c r="E257" i="57"/>
  <c r="J257" i="57"/>
  <c r="K257" i="57"/>
  <c r="G257" i="57"/>
  <c r="Q256" i="57"/>
  <c r="T256" i="57" s="1"/>
  <c r="Z195" i="50"/>
  <c r="W195" i="50"/>
  <c r="X195" i="50" s="1"/>
  <c r="AK256" i="55" a="1"/>
  <c r="AK256" i="55" s="1"/>
  <c r="AK257" i="55" s="1" a="1"/>
  <c r="AK257" i="55" s="1"/>
  <c r="W185" i="32"/>
  <c r="X185" i="32" s="1"/>
  <c r="Z185" i="32"/>
  <c r="AN242" i="67" a="1"/>
  <c r="AN242" i="67" s="1"/>
  <c r="B243" i="69"/>
  <c r="Q240" i="69"/>
  <c r="R240" i="69"/>
  <c r="S240" i="69" s="1"/>
  <c r="Y240" i="69" s="1"/>
  <c r="U240" i="69"/>
  <c r="AE240" i="69"/>
  <c r="C242" i="69"/>
  <c r="D241" i="69"/>
  <c r="E241" i="69" s="1"/>
  <c r="F241" i="69" s="1"/>
  <c r="G241" i="69" s="1"/>
  <c r="H241" i="69" s="1"/>
  <c r="I241" i="69" s="1"/>
  <c r="J241" i="69" s="1"/>
  <c r="K241" i="69" s="1"/>
  <c r="M241" i="69" s="1"/>
  <c r="N241" i="69"/>
  <c r="AF241" i="69" s="1"/>
  <c r="AL187" i="11" a="1"/>
  <c r="AL187" i="11" s="1"/>
  <c r="AL197" i="59" a="1"/>
  <c r="AL197" i="59" s="1"/>
  <c r="E198" i="50" s="1"/>
  <c r="AM87" i="59" a="1"/>
  <c r="AM87" i="59" s="1"/>
  <c r="AM72" i="11" a="1"/>
  <c r="AM72" i="11" s="1"/>
  <c r="AB240" i="69" l="1"/>
  <c r="AC240" i="69" s="1"/>
  <c r="AD240" i="69" s="1"/>
  <c r="AG240" i="69"/>
  <c r="L243" i="69"/>
  <c r="O243" i="69"/>
  <c r="AO242" i="69"/>
  <c r="P242" i="69"/>
  <c r="T198" i="50"/>
  <c r="AK198" i="50"/>
  <c r="X256" i="57"/>
  <c r="AB256" i="53"/>
  <c r="AA256" i="53"/>
  <c r="AE257" i="53"/>
  <c r="AC257" i="53"/>
  <c r="AF256" i="53"/>
  <c r="AD186" i="32"/>
  <c r="AB255" i="57"/>
  <c r="AF255" i="57"/>
  <c r="AE257" i="57"/>
  <c r="AC257" i="57"/>
  <c r="AD196" i="50"/>
  <c r="AG196" i="50" s="1"/>
  <c r="AH196" i="50" s="1"/>
  <c r="AI196" i="50" s="1"/>
  <c r="AM197" i="50"/>
  <c r="U197" i="50"/>
  <c r="U187" i="32"/>
  <c r="AG185" i="32"/>
  <c r="AH185" i="32" s="1"/>
  <c r="AL185" i="32"/>
  <c r="AI184" i="32"/>
  <c r="AN184" i="32" s="1"/>
  <c r="AP194" i="50"/>
  <c r="R257" i="57"/>
  <c r="R257" i="53"/>
  <c r="X257" i="53" s="1"/>
  <c r="AL195" i="50"/>
  <c r="Q187" i="32"/>
  <c r="P187" i="32" s="1"/>
  <c r="Z156" i="22"/>
  <c r="Z155" i="22"/>
  <c r="Z146" i="22"/>
  <c r="Z157" i="22"/>
  <c r="Z154" i="22"/>
  <c r="Z149" i="22"/>
  <c r="Z151" i="22"/>
  <c r="Z152" i="22"/>
  <c r="Z147" i="22"/>
  <c r="Z153" i="22"/>
  <c r="Z150" i="22"/>
  <c r="Z148" i="22"/>
  <c r="Z158" i="22"/>
  <c r="Y154" i="22"/>
  <c r="Y155" i="22"/>
  <c r="Y148" i="22"/>
  <c r="Y149" i="22"/>
  <c r="Y153" i="22"/>
  <c r="Y146" i="22"/>
  <c r="AA146" i="22" s="1"/>
  <c r="E119" i="36" s="1"/>
  <c r="G119" i="36" s="1"/>
  <c r="Y151" i="22"/>
  <c r="Y156" i="22"/>
  <c r="Y157" i="22"/>
  <c r="Y150" i="22"/>
  <c r="Y158" i="22"/>
  <c r="Y147" i="22"/>
  <c r="Y152" i="22"/>
  <c r="N150" i="22"/>
  <c r="P150" i="22" s="1"/>
  <c r="M150" i="22"/>
  <c r="O150" i="22" s="1"/>
  <c r="M146" i="22"/>
  <c r="O146" i="22" s="1"/>
  <c r="M158" i="22"/>
  <c r="O158" i="22" s="1"/>
  <c r="N152" i="22"/>
  <c r="P152" i="22" s="1"/>
  <c r="N154" i="22"/>
  <c r="P154" i="22" s="1"/>
  <c r="M151" i="22"/>
  <c r="O151" i="22" s="1"/>
  <c r="M152" i="22"/>
  <c r="O152" i="22" s="1"/>
  <c r="M155" i="22"/>
  <c r="O155" i="22" s="1"/>
  <c r="N147" i="22"/>
  <c r="P147" i="22" s="1"/>
  <c r="N151" i="22"/>
  <c r="P151" i="22" s="1"/>
  <c r="N149" i="22"/>
  <c r="P149" i="22" s="1"/>
  <c r="N155" i="22"/>
  <c r="P155" i="22" s="1"/>
  <c r="N157" i="22"/>
  <c r="P157" i="22" s="1"/>
  <c r="M148" i="22"/>
  <c r="O148" i="22" s="1"/>
  <c r="N158" i="22"/>
  <c r="P158" i="22" s="1"/>
  <c r="M157" i="22"/>
  <c r="O157" i="22" s="1"/>
  <c r="M156" i="22"/>
  <c r="O156" i="22" s="1"/>
  <c r="M149" i="22"/>
  <c r="O149" i="22" s="1"/>
  <c r="M147" i="22"/>
  <c r="O147" i="22" s="1"/>
  <c r="M154" i="22"/>
  <c r="O154" i="22" s="1"/>
  <c r="N156" i="22"/>
  <c r="P156" i="22" s="1"/>
  <c r="N153" i="22"/>
  <c r="P153" i="22" s="1"/>
  <c r="M153" i="22"/>
  <c r="O153" i="22" s="1"/>
  <c r="N148" i="22"/>
  <c r="P148" i="22" s="1"/>
  <c r="N146" i="22"/>
  <c r="P146" i="22" s="1"/>
  <c r="AX241" i="69"/>
  <c r="O198" i="50"/>
  <c r="AJ257" i="57"/>
  <c r="AP257" i="57"/>
  <c r="AG257" i="53"/>
  <c r="AH257" i="53"/>
  <c r="AH258" i="53" s="1"/>
  <c r="H13" i="73" s="1"/>
  <c r="AT257" i="53"/>
  <c r="AH241" i="69"/>
  <c r="AJ196" i="50"/>
  <c r="C196" i="50"/>
  <c r="AJ186" i="32"/>
  <c r="C186" i="32"/>
  <c r="AD257" i="57"/>
  <c r="Q257" i="53"/>
  <c r="AD257" i="53"/>
  <c r="S197" i="50"/>
  <c r="V196" i="50"/>
  <c r="S187" i="32"/>
  <c r="V187" i="32" s="1"/>
  <c r="A198" i="50"/>
  <c r="Q198" i="50" s="1"/>
  <c r="P198" i="50" s="1"/>
  <c r="N198" i="50"/>
  <c r="I198" i="50"/>
  <c r="F198" i="50"/>
  <c r="J198" i="50"/>
  <c r="G198" i="50"/>
  <c r="L198" i="50"/>
  <c r="H198" i="50"/>
  <c r="B198" i="50"/>
  <c r="R198" i="50" s="1"/>
  <c r="M198" i="50"/>
  <c r="K198" i="50"/>
  <c r="Q257" i="57"/>
  <c r="T257" i="57" s="1"/>
  <c r="X257" i="57" s="1"/>
  <c r="AA257" i="57" s="1"/>
  <c r="Z196" i="50"/>
  <c r="W196" i="50"/>
  <c r="X196" i="50" s="1"/>
  <c r="E188" i="32"/>
  <c r="W186" i="32"/>
  <c r="X186" i="32" s="1"/>
  <c r="Z186" i="32"/>
  <c r="Q241" i="69"/>
  <c r="U241" i="69"/>
  <c r="AE241" i="69"/>
  <c r="R241" i="69"/>
  <c r="S241" i="69" s="1"/>
  <c r="Y241" i="69" s="1"/>
  <c r="D242" i="69"/>
  <c r="E242" i="69" s="1"/>
  <c r="F242" i="69" s="1"/>
  <c r="G242" i="69" s="1"/>
  <c r="H242" i="69" s="1"/>
  <c r="I242" i="69" s="1"/>
  <c r="J242" i="69" s="1"/>
  <c r="K242" i="69" s="1"/>
  <c r="M242" i="69" s="1"/>
  <c r="N242" i="69"/>
  <c r="AF242" i="69" s="1"/>
  <c r="C243" i="69"/>
  <c r="AN243" i="67" a="1"/>
  <c r="AN243" i="67" s="1"/>
  <c r="B244" i="69"/>
  <c r="AL188" i="11" a="1"/>
  <c r="AL188" i="11" s="1"/>
  <c r="E189" i="32" s="1"/>
  <c r="AL198" i="59" a="1"/>
  <c r="AL198" i="59" s="1"/>
  <c r="E199" i="50" s="1"/>
  <c r="AM88" i="59" a="1"/>
  <c r="AM88" i="59" s="1"/>
  <c r="AM73" i="11" a="1"/>
  <c r="AM73" i="11" s="1"/>
  <c r="AB256" i="57" l="1"/>
  <c r="AA256" i="57"/>
  <c r="AB241" i="69"/>
  <c r="AC241" i="69" s="1"/>
  <c r="AD241" i="69" s="1"/>
  <c r="AG241" i="69"/>
  <c r="AO243" i="69"/>
  <c r="P243" i="69"/>
  <c r="L244" i="69"/>
  <c r="O244" i="69"/>
  <c r="AK199" i="50"/>
  <c r="T199" i="50"/>
  <c r="AF256" i="57"/>
  <c r="AB257" i="53"/>
  <c r="AA257" i="53"/>
  <c r="AF257" i="53"/>
  <c r="AK189" i="32"/>
  <c r="T189" i="32"/>
  <c r="AK188" i="32"/>
  <c r="T188" i="32"/>
  <c r="AD187" i="32"/>
  <c r="AB257" i="57"/>
  <c r="X2" i="57"/>
  <c r="AF257" i="57"/>
  <c r="AD197" i="50"/>
  <c r="AG197" i="50" s="1"/>
  <c r="AH197" i="50" s="1"/>
  <c r="AI197" i="50" s="1"/>
  <c r="AM198" i="50"/>
  <c r="U198" i="50"/>
  <c r="H17" i="73"/>
  <c r="AG186" i="32"/>
  <c r="AH186" i="32" s="1"/>
  <c r="AL186" i="32"/>
  <c r="AI185" i="32"/>
  <c r="AN185" i="32" s="1"/>
  <c r="AP195" i="50"/>
  <c r="AL196" i="50"/>
  <c r="Q153" i="22"/>
  <c r="E106" i="36"/>
  <c r="R158" i="22"/>
  <c r="F111" i="36"/>
  <c r="Q158" i="22"/>
  <c r="E111" i="36"/>
  <c r="Q149" i="22"/>
  <c r="E102" i="36"/>
  <c r="R151" i="22"/>
  <c r="F104" i="36"/>
  <c r="Q146" i="22"/>
  <c r="E99" i="36"/>
  <c r="R146" i="22"/>
  <c r="F99" i="36"/>
  <c r="R156" i="22"/>
  <c r="F109" i="36"/>
  <c r="Q156" i="22"/>
  <c r="E109" i="36"/>
  <c r="R157" i="22"/>
  <c r="F110" i="36"/>
  <c r="R147" i="22"/>
  <c r="F100" i="36"/>
  <c r="R154" i="22"/>
  <c r="F107" i="36"/>
  <c r="Q150" i="22"/>
  <c r="E103" i="36"/>
  <c r="Q147" i="22"/>
  <c r="E100" i="36"/>
  <c r="R149" i="22"/>
  <c r="F102" i="36"/>
  <c r="Q152" i="22"/>
  <c r="E105" i="36"/>
  <c r="R153" i="22"/>
  <c r="F106" i="36"/>
  <c r="Q148" i="22"/>
  <c r="E101" i="36"/>
  <c r="Q151" i="22"/>
  <c r="E104" i="36"/>
  <c r="R148" i="22"/>
  <c r="F101" i="36"/>
  <c r="Q154" i="22"/>
  <c r="E107" i="36"/>
  <c r="Q157" i="22"/>
  <c r="E110" i="36"/>
  <c r="R155" i="22"/>
  <c r="F108" i="36"/>
  <c r="Q155" i="22"/>
  <c r="E108" i="36"/>
  <c r="R152" i="22"/>
  <c r="F105" i="36"/>
  <c r="R150" i="22"/>
  <c r="F103" i="36"/>
  <c r="AX242" i="69"/>
  <c r="O199" i="50"/>
  <c r="AH242" i="69"/>
  <c r="AJ197" i="50"/>
  <c r="C197" i="50"/>
  <c r="AJ187" i="32"/>
  <c r="C187" i="32"/>
  <c r="S198" i="50"/>
  <c r="V197" i="50"/>
  <c r="A189" i="32"/>
  <c r="B189" i="32"/>
  <c r="R189" i="32" s="1"/>
  <c r="A188" i="32"/>
  <c r="B188" i="32"/>
  <c r="R188" i="32" s="1"/>
  <c r="K199" i="50"/>
  <c r="M199" i="50"/>
  <c r="I199" i="50"/>
  <c r="A199" i="50"/>
  <c r="Q199" i="50" s="1"/>
  <c r="P199" i="50" s="1"/>
  <c r="G199" i="50"/>
  <c r="H199" i="50"/>
  <c r="J199" i="50"/>
  <c r="L199" i="50"/>
  <c r="B199" i="50"/>
  <c r="R199" i="50" s="1"/>
  <c r="N199" i="50"/>
  <c r="F199" i="50"/>
  <c r="K189" i="32"/>
  <c r="F189" i="32"/>
  <c r="AM189" i="32" s="1"/>
  <c r="N189" i="32"/>
  <c r="G189" i="32"/>
  <c r="O189" i="32"/>
  <c r="J189" i="32"/>
  <c r="H189" i="32"/>
  <c r="I189" i="32"/>
  <c r="L189" i="32"/>
  <c r="M189" i="32"/>
  <c r="M188" i="32"/>
  <c r="H188" i="32"/>
  <c r="I188" i="32"/>
  <c r="L188" i="32"/>
  <c r="N188" i="32"/>
  <c r="O188" i="32"/>
  <c r="F188" i="32"/>
  <c r="AM188" i="32" s="1"/>
  <c r="G188" i="32"/>
  <c r="K188" i="32"/>
  <c r="J188" i="32"/>
  <c r="W197" i="50"/>
  <c r="X197" i="50" s="1"/>
  <c r="Z197" i="50"/>
  <c r="AJ258" i="57"/>
  <c r="H25" i="73" s="1"/>
  <c r="H29" i="73" s="1"/>
  <c r="W187" i="32"/>
  <c r="X187" i="32" s="1"/>
  <c r="Z187" i="32"/>
  <c r="AN244" i="67" a="1"/>
  <c r="AN244" i="67" s="1"/>
  <c r="B245" i="69"/>
  <c r="N243" i="69"/>
  <c r="AF243" i="69" s="1"/>
  <c r="D243" i="69"/>
  <c r="E243" i="69" s="1"/>
  <c r="F243" i="69" s="1"/>
  <c r="G243" i="69" s="1"/>
  <c r="H243" i="69" s="1"/>
  <c r="I243" i="69" s="1"/>
  <c r="J243" i="69" s="1"/>
  <c r="K243" i="69" s="1"/>
  <c r="M243" i="69" s="1"/>
  <c r="Q242" i="69"/>
  <c r="AE242" i="69"/>
  <c r="U242" i="69"/>
  <c r="R242" i="69"/>
  <c r="S242" i="69" s="1"/>
  <c r="Y242" i="69" s="1"/>
  <c r="C244" i="69"/>
  <c r="AL189" i="11" a="1"/>
  <c r="AL189" i="11" s="1"/>
  <c r="E190" i="32" s="1"/>
  <c r="AL199" i="59" a="1"/>
  <c r="AL199" i="59" s="1"/>
  <c r="E200" i="50" s="1"/>
  <c r="AM89" i="59" a="1"/>
  <c r="AM89" i="59" s="1"/>
  <c r="AM74" i="11" a="1"/>
  <c r="AM74" i="11" s="1"/>
  <c r="AB242" i="69" l="1"/>
  <c r="AC242" i="69" s="1"/>
  <c r="AD242" i="69" s="1"/>
  <c r="AG242" i="69"/>
  <c r="AO244" i="69"/>
  <c r="P244" i="69"/>
  <c r="L245" i="69"/>
  <c r="O245" i="69"/>
  <c r="AK200" i="50"/>
  <c r="T200" i="50"/>
  <c r="AK190" i="32"/>
  <c r="T190" i="32"/>
  <c r="AM199" i="50"/>
  <c r="U199" i="50"/>
  <c r="AD198" i="50"/>
  <c r="AG198" i="50" s="1"/>
  <c r="AH198" i="50" s="1"/>
  <c r="AI198" i="50" s="1"/>
  <c r="H33" i="73"/>
  <c r="H15" i="36" s="1"/>
  <c r="H11" i="36"/>
  <c r="AG187" i="32"/>
  <c r="AH187" i="32" s="1"/>
  <c r="AL187" i="32"/>
  <c r="U189" i="32"/>
  <c r="U188" i="32"/>
  <c r="AI186" i="32"/>
  <c r="AN186" i="32" s="1"/>
  <c r="AP196" i="50"/>
  <c r="AL197" i="50"/>
  <c r="Q188" i="32"/>
  <c r="P188" i="32" s="1"/>
  <c r="Q189" i="32"/>
  <c r="P189" i="32" s="1"/>
  <c r="G108" i="36"/>
  <c r="G110" i="36"/>
  <c r="H101" i="36"/>
  <c r="G101" i="36"/>
  <c r="G100" i="36"/>
  <c r="H107" i="36"/>
  <c r="H110" i="36"/>
  <c r="H109" i="36"/>
  <c r="E139" i="36"/>
  <c r="G99" i="36"/>
  <c r="G139" i="36" s="1"/>
  <c r="G102" i="36"/>
  <c r="H111" i="36"/>
  <c r="H105" i="36"/>
  <c r="H108" i="36"/>
  <c r="G107" i="36"/>
  <c r="G104" i="36"/>
  <c r="H106" i="36"/>
  <c r="H102" i="36"/>
  <c r="G103" i="36"/>
  <c r="H100" i="36"/>
  <c r="G109" i="36"/>
  <c r="H99" i="36"/>
  <c r="H104" i="36"/>
  <c r="G111" i="36"/>
  <c r="G106" i="36"/>
  <c r="H103" i="36"/>
  <c r="G105" i="36"/>
  <c r="AX243" i="69"/>
  <c r="O200" i="50"/>
  <c r="X2" i="53"/>
  <c r="AH243" i="69"/>
  <c r="AJ198" i="50"/>
  <c r="C198" i="50"/>
  <c r="S199" i="50"/>
  <c r="V198" i="50"/>
  <c r="S189" i="32"/>
  <c r="V189" i="32" s="1"/>
  <c r="S188" i="32"/>
  <c r="V188" i="32" s="1"/>
  <c r="A190" i="32"/>
  <c r="B190" i="32"/>
  <c r="R190" i="32" s="1"/>
  <c r="L200" i="50"/>
  <c r="M200" i="50"/>
  <c r="G200" i="50"/>
  <c r="B200" i="50"/>
  <c r="R200" i="50" s="1"/>
  <c r="N200" i="50"/>
  <c r="F200" i="50"/>
  <c r="H200" i="50"/>
  <c r="I200" i="50"/>
  <c r="J200" i="50"/>
  <c r="K200" i="50"/>
  <c r="A200" i="50"/>
  <c r="Q200" i="50" s="1"/>
  <c r="P200" i="50" s="1"/>
  <c r="I190" i="32"/>
  <c r="L190" i="32"/>
  <c r="M190" i="32"/>
  <c r="H190" i="32"/>
  <c r="J190" i="32"/>
  <c r="K190" i="32"/>
  <c r="N190" i="32"/>
  <c r="O190" i="32"/>
  <c r="F190" i="32"/>
  <c r="AM190" i="32" s="1"/>
  <c r="G190" i="32"/>
  <c r="Z198" i="50"/>
  <c r="W198" i="50"/>
  <c r="X198" i="50" s="1"/>
  <c r="AN245" i="67" a="1"/>
  <c r="AN245" i="67" s="1"/>
  <c r="B246" i="69"/>
  <c r="C245" i="69"/>
  <c r="D244" i="69"/>
  <c r="E244" i="69" s="1"/>
  <c r="F244" i="69" s="1"/>
  <c r="G244" i="69" s="1"/>
  <c r="H244" i="69" s="1"/>
  <c r="I244" i="69" s="1"/>
  <c r="J244" i="69" s="1"/>
  <c r="K244" i="69" s="1"/>
  <c r="M244" i="69" s="1"/>
  <c r="N244" i="69"/>
  <c r="AF244" i="69" s="1"/>
  <c r="R243" i="69"/>
  <c r="S243" i="69" s="1"/>
  <c r="Y243" i="69" s="1"/>
  <c r="AE243" i="69"/>
  <c r="Q243" i="69"/>
  <c r="U243" i="69"/>
  <c r="AL190" i="11" a="1"/>
  <c r="AL190" i="11" s="1"/>
  <c r="E191" i="32" s="1"/>
  <c r="AL200" i="59" a="1"/>
  <c r="AL200" i="59" s="1"/>
  <c r="E201" i="50" s="1"/>
  <c r="AM90" i="59" a="1"/>
  <c r="AM90" i="59" s="1"/>
  <c r="AM75" i="11" a="1"/>
  <c r="AM75" i="11" s="1"/>
  <c r="AB243" i="69" l="1"/>
  <c r="AC243" i="69" s="1"/>
  <c r="AD243" i="69" s="1"/>
  <c r="AG243" i="69"/>
  <c r="L246" i="69"/>
  <c r="O246" i="69"/>
  <c r="AO245" i="69"/>
  <c r="P245" i="69"/>
  <c r="T201" i="50"/>
  <c r="AK201" i="50"/>
  <c r="AK191" i="32"/>
  <c r="T191" i="32"/>
  <c r="AD188" i="32"/>
  <c r="AD189" i="32"/>
  <c r="AD199" i="50"/>
  <c r="AG199" i="50" s="1"/>
  <c r="AH199" i="50" s="1"/>
  <c r="AI199" i="50" s="1"/>
  <c r="AM200" i="50"/>
  <c r="U200" i="50"/>
  <c r="U190" i="32"/>
  <c r="AI187" i="32"/>
  <c r="AN187" i="32" s="1"/>
  <c r="AP197" i="50"/>
  <c r="AL198" i="50"/>
  <c r="Q190" i="32"/>
  <c r="P190" i="32" s="1"/>
  <c r="AX244" i="69"/>
  <c r="O201" i="50"/>
  <c r="AH244" i="69"/>
  <c r="AJ199" i="50"/>
  <c r="C199" i="50"/>
  <c r="AJ189" i="32"/>
  <c r="C189" i="32"/>
  <c r="AJ188" i="32"/>
  <c r="C188" i="32"/>
  <c r="S200" i="50"/>
  <c r="V199" i="50"/>
  <c r="S190" i="32"/>
  <c r="A191" i="32"/>
  <c r="B191" i="32"/>
  <c r="R191" i="32" s="1"/>
  <c r="H201" i="50"/>
  <c r="B201" i="50"/>
  <c r="R201" i="50" s="1"/>
  <c r="I201" i="50"/>
  <c r="M201" i="50"/>
  <c r="J201" i="50"/>
  <c r="A201" i="50"/>
  <c r="Q201" i="50" s="1"/>
  <c r="P201" i="50" s="1"/>
  <c r="G201" i="50"/>
  <c r="K201" i="50"/>
  <c r="F201" i="50"/>
  <c r="L201" i="50"/>
  <c r="N201" i="50"/>
  <c r="G191" i="32"/>
  <c r="O191" i="32"/>
  <c r="J191" i="32"/>
  <c r="K191" i="32"/>
  <c r="F191" i="32"/>
  <c r="AM191" i="32" s="1"/>
  <c r="N191" i="32"/>
  <c r="H191" i="32"/>
  <c r="I191" i="32"/>
  <c r="L191" i="32"/>
  <c r="M191" i="32"/>
  <c r="Z199" i="50"/>
  <c r="W199" i="50"/>
  <c r="X199" i="50" s="1"/>
  <c r="W188" i="32"/>
  <c r="X188" i="32" s="1"/>
  <c r="Z188" i="32"/>
  <c r="W189" i="32"/>
  <c r="X189" i="32" s="1"/>
  <c r="Z189" i="32"/>
  <c r="AN246" i="67" a="1"/>
  <c r="AN246" i="67" s="1"/>
  <c r="B247" i="69"/>
  <c r="AE244" i="69"/>
  <c r="Q244" i="69"/>
  <c r="R244" i="69"/>
  <c r="S244" i="69" s="1"/>
  <c r="Y244" i="69" s="1"/>
  <c r="AB244" i="69" s="1"/>
  <c r="AC244" i="69" s="1"/>
  <c r="AD244" i="69" s="1"/>
  <c r="U244" i="69"/>
  <c r="D245" i="69"/>
  <c r="E245" i="69" s="1"/>
  <c r="F245" i="69" s="1"/>
  <c r="G245" i="69" s="1"/>
  <c r="H245" i="69" s="1"/>
  <c r="I245" i="69" s="1"/>
  <c r="J245" i="69" s="1"/>
  <c r="K245" i="69" s="1"/>
  <c r="M245" i="69" s="1"/>
  <c r="N245" i="69"/>
  <c r="AF245" i="69" s="1"/>
  <c r="C246" i="69"/>
  <c r="AL191" i="11" a="1"/>
  <c r="AL191" i="11" s="1"/>
  <c r="E192" i="32" s="1"/>
  <c r="AL201" i="59" a="1"/>
  <c r="AL201" i="59" s="1"/>
  <c r="E202" i="50" s="1"/>
  <c r="AM91" i="59" a="1"/>
  <c r="AM91" i="59" s="1"/>
  <c r="AM76" i="11" a="1"/>
  <c r="AM76" i="11" s="1"/>
  <c r="L247" i="69" l="1"/>
  <c r="O247" i="69"/>
  <c r="AO246" i="69"/>
  <c r="P246" i="69"/>
  <c r="AG244" i="69"/>
  <c r="T202" i="50"/>
  <c r="AK202" i="50"/>
  <c r="AK192" i="32"/>
  <c r="T192" i="32"/>
  <c r="AD190" i="32"/>
  <c r="AM201" i="50"/>
  <c r="U201" i="50"/>
  <c r="AD200" i="50"/>
  <c r="AG200" i="50" s="1"/>
  <c r="AH200" i="50" s="1"/>
  <c r="AI200" i="50" s="1"/>
  <c r="AG189" i="32"/>
  <c r="AH189" i="32" s="1"/>
  <c r="AL189" i="32"/>
  <c r="U191" i="32"/>
  <c r="AG188" i="32"/>
  <c r="AH188" i="32" s="1"/>
  <c r="AL188" i="32"/>
  <c r="AP198" i="50"/>
  <c r="AL199" i="50"/>
  <c r="Q191" i="32"/>
  <c r="P191" i="32" s="1"/>
  <c r="AX245" i="69"/>
  <c r="O202" i="50"/>
  <c r="AH245" i="69"/>
  <c r="C190" i="32"/>
  <c r="V190" i="32"/>
  <c r="AJ200" i="50"/>
  <c r="C200" i="50"/>
  <c r="AJ190" i="32"/>
  <c r="S201" i="50"/>
  <c r="V200" i="50"/>
  <c r="S191" i="32"/>
  <c r="V191" i="32" s="1"/>
  <c r="A192" i="32"/>
  <c r="B192" i="32"/>
  <c r="R192" i="32" s="1"/>
  <c r="G202" i="50"/>
  <c r="F202" i="50"/>
  <c r="A202" i="50"/>
  <c r="Q202" i="50" s="1"/>
  <c r="P202" i="50" s="1"/>
  <c r="M202" i="50"/>
  <c r="N202" i="50"/>
  <c r="K202" i="50"/>
  <c r="J202" i="50"/>
  <c r="L202" i="50"/>
  <c r="B202" i="50"/>
  <c r="R202" i="50" s="1"/>
  <c r="I202" i="50"/>
  <c r="H202" i="50"/>
  <c r="M192" i="32"/>
  <c r="H192" i="32"/>
  <c r="I192" i="32"/>
  <c r="L192" i="32"/>
  <c r="F192" i="32"/>
  <c r="AM192" i="32" s="1"/>
  <c r="G192" i="32"/>
  <c r="J192" i="32"/>
  <c r="K192" i="32"/>
  <c r="N192" i="32"/>
  <c r="O192" i="32"/>
  <c r="Z200" i="50"/>
  <c r="W200" i="50"/>
  <c r="X200" i="50" s="1"/>
  <c r="W190" i="32"/>
  <c r="X190" i="32" s="1"/>
  <c r="Z190" i="32"/>
  <c r="AN247" i="67" a="1"/>
  <c r="AN247" i="67" s="1"/>
  <c r="B248" i="69"/>
  <c r="Q245" i="69"/>
  <c r="R245" i="69"/>
  <c r="S245" i="69" s="1"/>
  <c r="Y245" i="69" s="1"/>
  <c r="AE245" i="69"/>
  <c r="U245" i="69"/>
  <c r="N246" i="69"/>
  <c r="AF246" i="69" s="1"/>
  <c r="D246" i="69"/>
  <c r="E246" i="69" s="1"/>
  <c r="F246" i="69" s="1"/>
  <c r="G246" i="69" s="1"/>
  <c r="H246" i="69" s="1"/>
  <c r="I246" i="69" s="1"/>
  <c r="J246" i="69" s="1"/>
  <c r="K246" i="69" s="1"/>
  <c r="M246" i="69" s="1"/>
  <c r="C247" i="69"/>
  <c r="AL192" i="11" a="1"/>
  <c r="AL192" i="11" s="1"/>
  <c r="AL202" i="59" a="1"/>
  <c r="AL202" i="59" s="1"/>
  <c r="E203" i="50" s="1"/>
  <c r="AM92" i="59" a="1"/>
  <c r="AM92" i="59" s="1"/>
  <c r="AM77" i="11" a="1"/>
  <c r="AM77" i="11" s="1"/>
  <c r="AB245" i="69" l="1"/>
  <c r="AC245" i="69" s="1"/>
  <c r="AD245" i="69" s="1"/>
  <c r="AG245" i="69"/>
  <c r="L248" i="69"/>
  <c r="O248" i="69"/>
  <c r="AO247" i="69"/>
  <c r="P247" i="69"/>
  <c r="T203" i="50"/>
  <c r="AK203" i="50"/>
  <c r="AD191" i="32"/>
  <c r="AD201" i="50"/>
  <c r="AG201" i="50" s="1"/>
  <c r="AH201" i="50" s="1"/>
  <c r="AI201" i="50" s="1"/>
  <c r="AM202" i="50"/>
  <c r="U202" i="50"/>
  <c r="AG190" i="32"/>
  <c r="AH190" i="32" s="1"/>
  <c r="AL190" i="32"/>
  <c r="U192" i="32"/>
  <c r="AI188" i="32"/>
  <c r="AN188" i="32" s="1"/>
  <c r="AI189" i="32"/>
  <c r="AN189" i="32" s="1"/>
  <c r="AP199" i="50"/>
  <c r="AL200" i="50"/>
  <c r="Q192" i="32"/>
  <c r="P192" i="32" s="1"/>
  <c r="AX246" i="69"/>
  <c r="O203" i="50"/>
  <c r="AH246" i="69"/>
  <c r="AJ201" i="50"/>
  <c r="C201" i="50"/>
  <c r="AJ191" i="32"/>
  <c r="C191" i="32"/>
  <c r="S202" i="50"/>
  <c r="V201" i="50"/>
  <c r="S192" i="32"/>
  <c r="M203" i="50"/>
  <c r="N203" i="50"/>
  <c r="G203" i="50"/>
  <c r="I203" i="50"/>
  <c r="F203" i="50"/>
  <c r="K203" i="50"/>
  <c r="H203" i="50"/>
  <c r="J203" i="50"/>
  <c r="B203" i="50"/>
  <c r="R203" i="50" s="1"/>
  <c r="A203" i="50"/>
  <c r="Q203" i="50" s="1"/>
  <c r="P203" i="50" s="1"/>
  <c r="L203" i="50"/>
  <c r="Z201" i="50"/>
  <c r="W201" i="50"/>
  <c r="X201" i="50" s="1"/>
  <c r="E193" i="32"/>
  <c r="W191" i="32"/>
  <c r="X191" i="32" s="1"/>
  <c r="Z191" i="32"/>
  <c r="C248" i="69"/>
  <c r="N247" i="69"/>
  <c r="AF247" i="69" s="1"/>
  <c r="D247" i="69"/>
  <c r="E247" i="69" s="1"/>
  <c r="F247" i="69" s="1"/>
  <c r="G247" i="69" s="1"/>
  <c r="H247" i="69" s="1"/>
  <c r="I247" i="69" s="1"/>
  <c r="J247" i="69" s="1"/>
  <c r="K247" i="69" s="1"/>
  <c r="M247" i="69" s="1"/>
  <c r="R246" i="69"/>
  <c r="S246" i="69" s="1"/>
  <c r="Y246" i="69" s="1"/>
  <c r="AE246" i="69"/>
  <c r="Q246" i="69"/>
  <c r="U246" i="69"/>
  <c r="AN248" i="67" a="1"/>
  <c r="AN248" i="67" s="1"/>
  <c r="B249" i="69"/>
  <c r="AL193" i="11" a="1"/>
  <c r="AL193" i="11" s="1"/>
  <c r="AL203" i="59" a="1"/>
  <c r="AL203" i="59" s="1"/>
  <c r="E204" i="50" s="1"/>
  <c r="AM93" i="59" a="1"/>
  <c r="AM93" i="59" s="1"/>
  <c r="AM78" i="11" a="1"/>
  <c r="AM78" i="11" s="1"/>
  <c r="AB246" i="69" l="1"/>
  <c r="AC246" i="69" s="1"/>
  <c r="AD246" i="69" s="1"/>
  <c r="AG246" i="69"/>
  <c r="L249" i="69"/>
  <c r="O249" i="69"/>
  <c r="AO248" i="69"/>
  <c r="P248" i="69"/>
  <c r="T204" i="50"/>
  <c r="AK204" i="50"/>
  <c r="AK193" i="32"/>
  <c r="T193" i="32"/>
  <c r="AD192" i="32"/>
  <c r="AM203" i="50"/>
  <c r="U203" i="50"/>
  <c r="AD202" i="50"/>
  <c r="AG202" i="50" s="1"/>
  <c r="AH202" i="50" s="1"/>
  <c r="AI202" i="50" s="1"/>
  <c r="AG191" i="32"/>
  <c r="AH191" i="32" s="1"/>
  <c r="AL191" i="32"/>
  <c r="AP200" i="50"/>
  <c r="AL201" i="50"/>
  <c r="AI190" i="32"/>
  <c r="AN190" i="32" s="1"/>
  <c r="AX247" i="69"/>
  <c r="O204" i="50"/>
  <c r="AH247" i="69"/>
  <c r="C192" i="32"/>
  <c r="V192" i="32"/>
  <c r="AJ202" i="50"/>
  <c r="C202" i="50"/>
  <c r="AJ192" i="32"/>
  <c r="V202" i="50"/>
  <c r="S203" i="50"/>
  <c r="A193" i="32"/>
  <c r="B193" i="32"/>
  <c r="R193" i="32" s="1"/>
  <c r="F204" i="50"/>
  <c r="N204" i="50"/>
  <c r="B204" i="50"/>
  <c r="R204" i="50" s="1"/>
  <c r="A204" i="50"/>
  <c r="Q204" i="50" s="1"/>
  <c r="P204" i="50" s="1"/>
  <c r="J204" i="50"/>
  <c r="L204" i="50"/>
  <c r="G204" i="50"/>
  <c r="M204" i="50"/>
  <c r="H204" i="50"/>
  <c r="I204" i="50"/>
  <c r="K204" i="50"/>
  <c r="K193" i="32"/>
  <c r="F193" i="32"/>
  <c r="AM193" i="32" s="1"/>
  <c r="N193" i="32"/>
  <c r="G193" i="32"/>
  <c r="O193" i="32"/>
  <c r="J193" i="32"/>
  <c r="L193" i="32"/>
  <c r="M193" i="32"/>
  <c r="H193" i="32"/>
  <c r="I193" i="32"/>
  <c r="Z202" i="50"/>
  <c r="W202" i="50"/>
  <c r="X202" i="50" s="1"/>
  <c r="E194" i="32"/>
  <c r="W192" i="32"/>
  <c r="X192" i="32" s="1"/>
  <c r="Z192" i="32"/>
  <c r="AN249" i="67" a="1"/>
  <c r="AN249" i="67" s="1"/>
  <c r="B250" i="69"/>
  <c r="AE247" i="69"/>
  <c r="R247" i="69"/>
  <c r="S247" i="69" s="1"/>
  <c r="Y247" i="69" s="1"/>
  <c r="AB247" i="69" s="1"/>
  <c r="AC247" i="69" s="1"/>
  <c r="AD247" i="69" s="1"/>
  <c r="U247" i="69"/>
  <c r="Q247" i="69"/>
  <c r="C249" i="69"/>
  <c r="N248" i="69"/>
  <c r="AF248" i="69" s="1"/>
  <c r="D248" i="69"/>
  <c r="E248" i="69" s="1"/>
  <c r="F248" i="69" s="1"/>
  <c r="G248" i="69" s="1"/>
  <c r="H248" i="69" s="1"/>
  <c r="I248" i="69" s="1"/>
  <c r="J248" i="69" s="1"/>
  <c r="K248" i="69" s="1"/>
  <c r="M248" i="69" s="1"/>
  <c r="AL194" i="11" a="1"/>
  <c r="AL194" i="11" s="1"/>
  <c r="E195" i="32" s="1"/>
  <c r="AL204" i="59" a="1"/>
  <c r="AL204" i="59" s="1"/>
  <c r="E205" i="50" s="1"/>
  <c r="AM94" i="59" a="1"/>
  <c r="AM94" i="59" s="1"/>
  <c r="AM79" i="11" a="1"/>
  <c r="AM79" i="11" s="1"/>
  <c r="AG247" i="69" l="1"/>
  <c r="L250" i="69"/>
  <c r="O250" i="69"/>
  <c r="AO249" i="69"/>
  <c r="P249" i="69"/>
  <c r="T205" i="50"/>
  <c r="AK205" i="50"/>
  <c r="AK195" i="32"/>
  <c r="T195" i="32"/>
  <c r="AK194" i="32"/>
  <c r="T194" i="32"/>
  <c r="AD203" i="50"/>
  <c r="AG203" i="50" s="1"/>
  <c r="AH203" i="50" s="1"/>
  <c r="AI203" i="50" s="1"/>
  <c r="AM204" i="50"/>
  <c r="U204" i="50"/>
  <c r="AG192" i="32"/>
  <c r="AH192" i="32" s="1"/>
  <c r="AL192" i="32"/>
  <c r="U193" i="32"/>
  <c r="AI191" i="32"/>
  <c r="AN191" i="32" s="1"/>
  <c r="AP201" i="50"/>
  <c r="AL202" i="50"/>
  <c r="Q193" i="32"/>
  <c r="P193" i="32" s="1"/>
  <c r="AX248" i="69"/>
  <c r="O205" i="50"/>
  <c r="AH248" i="69"/>
  <c r="AJ203" i="50"/>
  <c r="C203" i="50"/>
  <c r="V203" i="50"/>
  <c r="S204" i="50"/>
  <c r="S193" i="32"/>
  <c r="V193" i="32" s="1"/>
  <c r="A195" i="32"/>
  <c r="B195" i="32"/>
  <c r="R195" i="32" s="1"/>
  <c r="A194" i="32"/>
  <c r="B194" i="32"/>
  <c r="R194" i="32" s="1"/>
  <c r="K205" i="50"/>
  <c r="F205" i="50"/>
  <c r="M205" i="50"/>
  <c r="G205" i="50"/>
  <c r="B205" i="50"/>
  <c r="R205" i="50" s="1"/>
  <c r="L205" i="50"/>
  <c r="N205" i="50"/>
  <c r="H205" i="50"/>
  <c r="I205" i="50"/>
  <c r="A205" i="50"/>
  <c r="Q205" i="50" s="1"/>
  <c r="P205" i="50" s="1"/>
  <c r="J205" i="50"/>
  <c r="G195" i="32"/>
  <c r="O195" i="32"/>
  <c r="J195" i="32"/>
  <c r="K195" i="32"/>
  <c r="F195" i="32"/>
  <c r="AM195" i="32" s="1"/>
  <c r="N195" i="32"/>
  <c r="H195" i="32"/>
  <c r="I195" i="32"/>
  <c r="L195" i="32"/>
  <c r="M195" i="32"/>
  <c r="I194" i="32"/>
  <c r="L194" i="32"/>
  <c r="M194" i="32"/>
  <c r="H194" i="32"/>
  <c r="F194" i="32"/>
  <c r="AM194" i="32" s="1"/>
  <c r="G194" i="32"/>
  <c r="J194" i="32"/>
  <c r="K194" i="32"/>
  <c r="N194" i="32"/>
  <c r="O194" i="32"/>
  <c r="Z203" i="50"/>
  <c r="W203" i="50"/>
  <c r="X203" i="50" s="1"/>
  <c r="D249" i="69"/>
  <c r="E249" i="69" s="1"/>
  <c r="F249" i="69" s="1"/>
  <c r="G249" i="69" s="1"/>
  <c r="H249" i="69" s="1"/>
  <c r="I249" i="69" s="1"/>
  <c r="J249" i="69" s="1"/>
  <c r="K249" i="69" s="1"/>
  <c r="M249" i="69" s="1"/>
  <c r="N249" i="69"/>
  <c r="AF249" i="69" s="1"/>
  <c r="AN250" i="67" a="1"/>
  <c r="AN250" i="67" s="1"/>
  <c r="B251" i="69"/>
  <c r="Q248" i="69"/>
  <c r="U248" i="69"/>
  <c r="R248" i="69"/>
  <c r="S248" i="69" s="1"/>
  <c r="Y248" i="69" s="1"/>
  <c r="AB248" i="69" s="1"/>
  <c r="AC248" i="69" s="1"/>
  <c r="AD248" i="69" s="1"/>
  <c r="AE248" i="69"/>
  <c r="C250" i="69"/>
  <c r="AL195" i="11" a="1"/>
  <c r="AL195" i="11" s="1"/>
  <c r="E196" i="32" s="1"/>
  <c r="AL205" i="59" a="1"/>
  <c r="AL205" i="59" s="1"/>
  <c r="E206" i="50" s="1"/>
  <c r="AM95" i="59" a="1"/>
  <c r="AM95" i="59" s="1"/>
  <c r="AM80" i="11" a="1"/>
  <c r="AM80" i="11" s="1"/>
  <c r="AG248" i="69" l="1"/>
  <c r="L251" i="69"/>
  <c r="O251" i="69"/>
  <c r="AO250" i="69"/>
  <c r="P250" i="69"/>
  <c r="T206" i="50"/>
  <c r="AK206" i="50"/>
  <c r="AK196" i="32"/>
  <c r="T196" i="32"/>
  <c r="AD193" i="32"/>
  <c r="AD204" i="50"/>
  <c r="AG204" i="50" s="1"/>
  <c r="AH204" i="50" s="1"/>
  <c r="AI204" i="50" s="1"/>
  <c r="AM205" i="50"/>
  <c r="U205" i="50"/>
  <c r="U195" i="32"/>
  <c r="U194" i="32"/>
  <c r="AI192" i="32"/>
  <c r="AN192" i="32" s="1"/>
  <c r="AP202" i="50"/>
  <c r="AL203" i="50"/>
  <c r="Q194" i="32"/>
  <c r="P194" i="32" s="1"/>
  <c r="Q195" i="32"/>
  <c r="P195" i="32" s="1"/>
  <c r="AX249" i="69"/>
  <c r="O206" i="50"/>
  <c r="AH249" i="69"/>
  <c r="AJ204" i="50"/>
  <c r="C204" i="50"/>
  <c r="AJ193" i="32"/>
  <c r="C193" i="32"/>
  <c r="S205" i="50"/>
  <c r="V204" i="50"/>
  <c r="S195" i="32"/>
  <c r="V195" i="32" s="1"/>
  <c r="S194" i="32"/>
  <c r="V194" i="32" s="1"/>
  <c r="A196" i="32"/>
  <c r="B196" i="32"/>
  <c r="R196" i="32" s="1"/>
  <c r="I206" i="50"/>
  <c r="G206" i="50"/>
  <c r="H206" i="50"/>
  <c r="A206" i="50"/>
  <c r="Q206" i="50" s="1"/>
  <c r="P206" i="50" s="1"/>
  <c r="N206" i="50"/>
  <c r="L206" i="50"/>
  <c r="F206" i="50"/>
  <c r="M206" i="50"/>
  <c r="J206" i="50"/>
  <c r="B206" i="50"/>
  <c r="R206" i="50" s="1"/>
  <c r="K206" i="50"/>
  <c r="M196" i="32"/>
  <c r="H196" i="32"/>
  <c r="I196" i="32"/>
  <c r="L196" i="32"/>
  <c r="N196" i="32"/>
  <c r="O196" i="32"/>
  <c r="F196" i="32"/>
  <c r="AM196" i="32" s="1"/>
  <c r="G196" i="32"/>
  <c r="J196" i="32"/>
  <c r="K196" i="32"/>
  <c r="Z204" i="50"/>
  <c r="W204" i="50"/>
  <c r="X204" i="50" s="1"/>
  <c r="Z193" i="32"/>
  <c r="W193" i="32"/>
  <c r="X193" i="32" s="1"/>
  <c r="D250" i="69"/>
  <c r="E250" i="69" s="1"/>
  <c r="F250" i="69" s="1"/>
  <c r="G250" i="69" s="1"/>
  <c r="H250" i="69" s="1"/>
  <c r="I250" i="69" s="1"/>
  <c r="J250" i="69" s="1"/>
  <c r="K250" i="69" s="1"/>
  <c r="M250" i="69" s="1"/>
  <c r="N250" i="69"/>
  <c r="AF250" i="69" s="1"/>
  <c r="Q249" i="69"/>
  <c r="AE249" i="69"/>
  <c r="R249" i="69"/>
  <c r="S249" i="69" s="1"/>
  <c r="Y249" i="69" s="1"/>
  <c r="U249" i="69"/>
  <c r="C251" i="69"/>
  <c r="AN251" i="67" a="1"/>
  <c r="AN251" i="67" s="1"/>
  <c r="B252" i="69"/>
  <c r="AL196" i="11" a="1"/>
  <c r="AL196" i="11" s="1"/>
  <c r="E197" i="32" s="1"/>
  <c r="AL206" i="59" a="1"/>
  <c r="AL206" i="59" s="1"/>
  <c r="E207" i="50" s="1"/>
  <c r="AM96" i="59" a="1"/>
  <c r="AM96" i="59" s="1"/>
  <c r="AM81" i="11" a="1"/>
  <c r="AM81" i="11" s="1"/>
  <c r="AB249" i="69" l="1"/>
  <c r="AC249" i="69" s="1"/>
  <c r="AD249" i="69" s="1"/>
  <c r="AG249" i="69"/>
  <c r="L252" i="69"/>
  <c r="O252" i="69"/>
  <c r="AO251" i="69"/>
  <c r="P251" i="69"/>
  <c r="AK207" i="50"/>
  <c r="T207" i="50"/>
  <c r="AK197" i="32"/>
  <c r="T197" i="32"/>
  <c r="AD195" i="32"/>
  <c r="AD194" i="32"/>
  <c r="AM206" i="50"/>
  <c r="U206" i="50"/>
  <c r="AD205" i="50"/>
  <c r="AG205" i="50" s="1"/>
  <c r="AH205" i="50" s="1"/>
  <c r="AI205" i="50" s="1"/>
  <c r="U196" i="32"/>
  <c r="AG193" i="32"/>
  <c r="AH193" i="32" s="1"/>
  <c r="AL193" i="32"/>
  <c r="AP203" i="50"/>
  <c r="AL204" i="50"/>
  <c r="Q196" i="32"/>
  <c r="P196" i="32" s="1"/>
  <c r="AX250" i="69"/>
  <c r="O207" i="50"/>
  <c r="AH250" i="69"/>
  <c r="AJ205" i="50"/>
  <c r="C205" i="50"/>
  <c r="AJ194" i="32"/>
  <c r="C194" i="32"/>
  <c r="AJ195" i="32"/>
  <c r="C195" i="32"/>
  <c r="S206" i="50"/>
  <c r="V205" i="50"/>
  <c r="S196" i="32"/>
  <c r="V196" i="32" s="1"/>
  <c r="A197" i="32"/>
  <c r="B197" i="32"/>
  <c r="R197" i="32" s="1"/>
  <c r="I207" i="50"/>
  <c r="K207" i="50"/>
  <c r="A207" i="50"/>
  <c r="Q207" i="50" s="1"/>
  <c r="P207" i="50" s="1"/>
  <c r="B207" i="50"/>
  <c r="R207" i="50" s="1"/>
  <c r="G207" i="50"/>
  <c r="M207" i="50"/>
  <c r="H207" i="50"/>
  <c r="J207" i="50"/>
  <c r="L207" i="50"/>
  <c r="F207" i="50"/>
  <c r="N207" i="50"/>
  <c r="K197" i="32"/>
  <c r="F197" i="32"/>
  <c r="AM197" i="32" s="1"/>
  <c r="N197" i="32"/>
  <c r="G197" i="32"/>
  <c r="O197" i="32"/>
  <c r="J197" i="32"/>
  <c r="H197" i="32"/>
  <c r="I197" i="32"/>
  <c r="L197" i="32"/>
  <c r="M197" i="32"/>
  <c r="Z194" i="32"/>
  <c r="W194" i="32"/>
  <c r="X194" i="32" s="1"/>
  <c r="W205" i="50"/>
  <c r="X205" i="50" s="1"/>
  <c r="Z205" i="50"/>
  <c r="W195" i="32"/>
  <c r="X195" i="32" s="1"/>
  <c r="Z195" i="32"/>
  <c r="C252" i="69"/>
  <c r="AN252" i="67" a="1"/>
  <c r="AN252" i="67" s="1"/>
  <c r="B253" i="69"/>
  <c r="AE250" i="69"/>
  <c r="U250" i="69"/>
  <c r="R250" i="69"/>
  <c r="S250" i="69" s="1"/>
  <c r="Y250" i="69" s="1"/>
  <c r="Q250" i="69"/>
  <c r="D251" i="69"/>
  <c r="E251" i="69" s="1"/>
  <c r="F251" i="69" s="1"/>
  <c r="G251" i="69" s="1"/>
  <c r="H251" i="69" s="1"/>
  <c r="I251" i="69" s="1"/>
  <c r="J251" i="69" s="1"/>
  <c r="K251" i="69" s="1"/>
  <c r="M251" i="69" s="1"/>
  <c r="N251" i="69"/>
  <c r="AF251" i="69" s="1"/>
  <c r="AL197" i="11" a="1"/>
  <c r="AL197" i="11" s="1"/>
  <c r="E198" i="32" s="1"/>
  <c r="AL207" i="59" a="1"/>
  <c r="AL207" i="59" s="1"/>
  <c r="E208" i="50" s="1"/>
  <c r="AM97" i="59" a="1"/>
  <c r="AM97" i="59" s="1"/>
  <c r="AM82" i="11" a="1"/>
  <c r="AM82" i="11" s="1"/>
  <c r="AB250" i="69" l="1"/>
  <c r="AC250" i="69" s="1"/>
  <c r="AD250" i="69" s="1"/>
  <c r="AG250" i="69"/>
  <c r="AO252" i="69"/>
  <c r="P252" i="69"/>
  <c r="L253" i="69"/>
  <c r="O253" i="69"/>
  <c r="AK208" i="50"/>
  <c r="T208" i="50"/>
  <c r="AK198" i="32"/>
  <c r="T198" i="32"/>
  <c r="AD196" i="32"/>
  <c r="AG196" i="32" s="1"/>
  <c r="AH196" i="32" s="1"/>
  <c r="AM207" i="50"/>
  <c r="U207" i="50"/>
  <c r="AD206" i="50"/>
  <c r="AG206" i="50" s="1"/>
  <c r="AH206" i="50" s="1"/>
  <c r="AI206" i="50" s="1"/>
  <c r="AG195" i="32"/>
  <c r="AH195" i="32" s="1"/>
  <c r="AL195" i="32"/>
  <c r="AG194" i="32"/>
  <c r="AH194" i="32" s="1"/>
  <c r="AL194" i="32"/>
  <c r="U197" i="32"/>
  <c r="AI193" i="32"/>
  <c r="AN193" i="32" s="1"/>
  <c r="AP204" i="50"/>
  <c r="AL205" i="50"/>
  <c r="Q197" i="32"/>
  <c r="P197" i="32" s="1"/>
  <c r="AX251" i="69"/>
  <c r="O208" i="50"/>
  <c r="AH251" i="69"/>
  <c r="AJ206" i="50"/>
  <c r="C206" i="50"/>
  <c r="AJ196" i="32"/>
  <c r="C196" i="32"/>
  <c r="S207" i="50"/>
  <c r="V206" i="50"/>
  <c r="S197" i="32"/>
  <c r="V197" i="32" s="1"/>
  <c r="A198" i="32"/>
  <c r="B198" i="32"/>
  <c r="R198" i="32" s="1"/>
  <c r="F208" i="50"/>
  <c r="G208" i="50"/>
  <c r="N208" i="50"/>
  <c r="J208" i="50"/>
  <c r="M208" i="50"/>
  <c r="B208" i="50"/>
  <c r="R208" i="50" s="1"/>
  <c r="K208" i="50"/>
  <c r="L208" i="50"/>
  <c r="A208" i="50"/>
  <c r="Q208" i="50" s="1"/>
  <c r="P208" i="50" s="1"/>
  <c r="I208" i="50"/>
  <c r="H208" i="50"/>
  <c r="I198" i="32"/>
  <c r="L198" i="32"/>
  <c r="M198" i="32"/>
  <c r="H198" i="32"/>
  <c r="J198" i="32"/>
  <c r="K198" i="32"/>
  <c r="N198" i="32"/>
  <c r="O198" i="32"/>
  <c r="F198" i="32"/>
  <c r="AM198" i="32" s="1"/>
  <c r="G198" i="32"/>
  <c r="Z206" i="50"/>
  <c r="W206" i="50"/>
  <c r="X206" i="50" s="1"/>
  <c r="W196" i="32"/>
  <c r="X196" i="32" s="1"/>
  <c r="Z196" i="32"/>
  <c r="AN253" i="67" a="1"/>
  <c r="AN253" i="67" s="1"/>
  <c r="B254" i="69"/>
  <c r="C253" i="69"/>
  <c r="Q251" i="69"/>
  <c r="R251" i="69"/>
  <c r="S251" i="69" s="1"/>
  <c r="Y251" i="69" s="1"/>
  <c r="U251" i="69"/>
  <c r="AE251" i="69"/>
  <c r="N252" i="69"/>
  <c r="AF252" i="69" s="1"/>
  <c r="D252" i="69"/>
  <c r="E252" i="69" s="1"/>
  <c r="F252" i="69" s="1"/>
  <c r="G252" i="69" s="1"/>
  <c r="H252" i="69" s="1"/>
  <c r="I252" i="69" s="1"/>
  <c r="J252" i="69" s="1"/>
  <c r="K252" i="69" s="1"/>
  <c r="M252" i="69" s="1"/>
  <c r="AL198" i="11" a="1"/>
  <c r="AL198" i="11" s="1"/>
  <c r="AL208" i="59" a="1"/>
  <c r="AL208" i="59" s="1"/>
  <c r="E209" i="50" s="1"/>
  <c r="AM98" i="59" a="1"/>
  <c r="AM98" i="59" s="1"/>
  <c r="AM83" i="11" a="1"/>
  <c r="AM83" i="11" s="1"/>
  <c r="AB251" i="69" l="1"/>
  <c r="AC251" i="69" s="1"/>
  <c r="AD251" i="69" s="1"/>
  <c r="AG251" i="69"/>
  <c r="AO253" i="69"/>
  <c r="P253" i="69"/>
  <c r="L254" i="69"/>
  <c r="O254" i="69"/>
  <c r="T209" i="50"/>
  <c r="AK209" i="50"/>
  <c r="AD197" i="32"/>
  <c r="AM208" i="50"/>
  <c r="U208" i="50"/>
  <c r="AD207" i="50"/>
  <c r="AG207" i="50" s="1"/>
  <c r="AH207" i="50" s="1"/>
  <c r="AI207" i="50" s="1"/>
  <c r="AL196" i="32"/>
  <c r="U198" i="32"/>
  <c r="AI194" i="32"/>
  <c r="AN194" i="32" s="1"/>
  <c r="AI195" i="32"/>
  <c r="AN195" i="32" s="1"/>
  <c r="AP205" i="50"/>
  <c r="AL206" i="50"/>
  <c r="Q198" i="32"/>
  <c r="P198" i="32" s="1"/>
  <c r="AX252" i="69"/>
  <c r="O209" i="50"/>
  <c r="AH252" i="69"/>
  <c r="AJ207" i="50"/>
  <c r="C207" i="50"/>
  <c r="AJ197" i="32"/>
  <c r="C197" i="32"/>
  <c r="V207" i="50"/>
  <c r="S208" i="50"/>
  <c r="S198" i="32"/>
  <c r="B209" i="50"/>
  <c r="R209" i="50" s="1"/>
  <c r="M209" i="50"/>
  <c r="K209" i="50"/>
  <c r="G209" i="50"/>
  <c r="H209" i="50"/>
  <c r="A209" i="50"/>
  <c r="Q209" i="50" s="1"/>
  <c r="P209" i="50" s="1"/>
  <c r="J209" i="50"/>
  <c r="I209" i="50"/>
  <c r="N209" i="50"/>
  <c r="F209" i="50"/>
  <c r="L209" i="50"/>
  <c r="W207" i="50"/>
  <c r="X207" i="50" s="1"/>
  <c r="Z207" i="50"/>
  <c r="E199" i="32"/>
  <c r="W197" i="32"/>
  <c r="X197" i="32" s="1"/>
  <c r="Z197" i="32"/>
  <c r="AN254" i="67" a="1"/>
  <c r="AN254" i="67" s="1"/>
  <c r="B255" i="69"/>
  <c r="AE252" i="69"/>
  <c r="U252" i="69"/>
  <c r="R252" i="69"/>
  <c r="S252" i="69" s="1"/>
  <c r="Y252" i="69" s="1"/>
  <c r="Q252" i="69"/>
  <c r="N253" i="69"/>
  <c r="AF253" i="69" s="1"/>
  <c r="D253" i="69"/>
  <c r="E253" i="69" s="1"/>
  <c r="F253" i="69" s="1"/>
  <c r="G253" i="69" s="1"/>
  <c r="H253" i="69" s="1"/>
  <c r="I253" i="69" s="1"/>
  <c r="J253" i="69" s="1"/>
  <c r="K253" i="69" s="1"/>
  <c r="M253" i="69" s="1"/>
  <c r="C254" i="69"/>
  <c r="AL199" i="11" a="1"/>
  <c r="AL199" i="11" s="1"/>
  <c r="E200" i="32" s="1"/>
  <c r="AL209" i="59" a="1"/>
  <c r="AL209" i="59" s="1"/>
  <c r="E210" i="50" s="1"/>
  <c r="AM99" i="59" a="1"/>
  <c r="AM99" i="59" s="1"/>
  <c r="AM84" i="11" a="1"/>
  <c r="AM84" i="11" s="1"/>
  <c r="AB252" i="69" l="1"/>
  <c r="AC252" i="69" s="1"/>
  <c r="AD252" i="69" s="1"/>
  <c r="AG252" i="69"/>
  <c r="AO254" i="69"/>
  <c r="P254" i="69"/>
  <c r="L255" i="69"/>
  <c r="O255" i="69"/>
  <c r="T210" i="50"/>
  <c r="AK210" i="50"/>
  <c r="AK199" i="32"/>
  <c r="T199" i="32"/>
  <c r="AK200" i="32"/>
  <c r="T200" i="32"/>
  <c r="AD198" i="32"/>
  <c r="AM209" i="50"/>
  <c r="U209" i="50"/>
  <c r="AD208" i="50"/>
  <c r="AG208" i="50" s="1"/>
  <c r="AH208" i="50" s="1"/>
  <c r="AI208" i="50" s="1"/>
  <c r="AG197" i="32"/>
  <c r="AH197" i="32" s="1"/>
  <c r="AL197" i="32"/>
  <c r="AP206" i="50"/>
  <c r="AL207" i="50"/>
  <c r="AI196" i="32"/>
  <c r="AN196" i="32" s="1"/>
  <c r="AX253" i="69"/>
  <c r="O210" i="50"/>
  <c r="AH253" i="69"/>
  <c r="C198" i="32"/>
  <c r="V198" i="32"/>
  <c r="AJ208" i="50"/>
  <c r="C208" i="50"/>
  <c r="AJ198" i="32"/>
  <c r="S209" i="50"/>
  <c r="V208" i="50"/>
  <c r="A199" i="32"/>
  <c r="B199" i="32"/>
  <c r="R199" i="32" s="1"/>
  <c r="A200" i="32"/>
  <c r="B200" i="32"/>
  <c r="R200" i="32" s="1"/>
  <c r="F210" i="50"/>
  <c r="L210" i="50"/>
  <c r="K210" i="50"/>
  <c r="H210" i="50"/>
  <c r="J210" i="50"/>
  <c r="I210" i="50"/>
  <c r="B210" i="50"/>
  <c r="R210" i="50" s="1"/>
  <c r="M210" i="50"/>
  <c r="A210" i="50"/>
  <c r="Q210" i="50" s="1"/>
  <c r="P210" i="50" s="1"/>
  <c r="N210" i="50"/>
  <c r="G210" i="50"/>
  <c r="G199" i="32"/>
  <c r="F199" i="32"/>
  <c r="AM199" i="32" s="1"/>
  <c r="L199" i="32"/>
  <c r="M199" i="32"/>
  <c r="N199" i="32"/>
  <c r="O199" i="32"/>
  <c r="H199" i="32"/>
  <c r="I199" i="32"/>
  <c r="K199" i="32"/>
  <c r="J199" i="32"/>
  <c r="J200" i="32"/>
  <c r="K200" i="32"/>
  <c r="L200" i="32"/>
  <c r="M200" i="32"/>
  <c r="F200" i="32"/>
  <c r="AM200" i="32" s="1"/>
  <c r="N200" i="32"/>
  <c r="G200" i="32"/>
  <c r="O200" i="32"/>
  <c r="H200" i="32"/>
  <c r="I200" i="32"/>
  <c r="W208" i="50"/>
  <c r="X208" i="50" s="1"/>
  <c r="Z208" i="50"/>
  <c r="W198" i="32"/>
  <c r="X198" i="32" s="1"/>
  <c r="Z198" i="32"/>
  <c r="AN255" i="67" a="1"/>
  <c r="AN255" i="67" s="1"/>
  <c r="B256" i="69"/>
  <c r="U253" i="69"/>
  <c r="AE253" i="69"/>
  <c r="R253" i="69"/>
  <c r="S253" i="69" s="1"/>
  <c r="Y253" i="69" s="1"/>
  <c r="Q253" i="69"/>
  <c r="D254" i="69"/>
  <c r="E254" i="69" s="1"/>
  <c r="F254" i="69" s="1"/>
  <c r="G254" i="69" s="1"/>
  <c r="H254" i="69" s="1"/>
  <c r="I254" i="69" s="1"/>
  <c r="J254" i="69" s="1"/>
  <c r="K254" i="69" s="1"/>
  <c r="M254" i="69" s="1"/>
  <c r="N254" i="69"/>
  <c r="AF254" i="69" s="1"/>
  <c r="C255" i="69"/>
  <c r="AL200" i="11" a="1"/>
  <c r="AL200" i="11" s="1"/>
  <c r="E201" i="32" s="1"/>
  <c r="AL210" i="59" a="1"/>
  <c r="AL210" i="59" s="1"/>
  <c r="E211" i="50" s="1"/>
  <c r="AM100" i="59" a="1"/>
  <c r="AM100" i="59" s="1"/>
  <c r="AM85" i="11" a="1"/>
  <c r="AM85" i="11" s="1"/>
  <c r="AB253" i="69" l="1"/>
  <c r="AC253" i="69" s="1"/>
  <c r="AD253" i="69" s="1"/>
  <c r="AG253" i="69"/>
  <c r="L256" i="69"/>
  <c r="O256" i="69"/>
  <c r="AO255" i="69"/>
  <c r="P255" i="69"/>
  <c r="T211" i="50"/>
  <c r="AK211" i="50"/>
  <c r="AK201" i="32"/>
  <c r="T201" i="32"/>
  <c r="AD209" i="50"/>
  <c r="AG209" i="50" s="1"/>
  <c r="AH209" i="50" s="1"/>
  <c r="AI209" i="50" s="1"/>
  <c r="AM210" i="50"/>
  <c r="U210" i="50"/>
  <c r="U200" i="32"/>
  <c r="U199" i="32"/>
  <c r="AG198" i="32"/>
  <c r="AH198" i="32" s="1"/>
  <c r="AL198" i="32"/>
  <c r="AI197" i="32"/>
  <c r="AN197" i="32" s="1"/>
  <c r="AP207" i="50"/>
  <c r="AL208" i="50"/>
  <c r="Q200" i="32"/>
  <c r="P200" i="32" s="1"/>
  <c r="Q199" i="32"/>
  <c r="P199" i="32" s="1"/>
  <c r="AX254" i="69"/>
  <c r="O211" i="50"/>
  <c r="AH254" i="69"/>
  <c r="AJ209" i="50"/>
  <c r="C209" i="50"/>
  <c r="S210" i="50"/>
  <c r="V209" i="50"/>
  <c r="S199" i="32"/>
  <c r="V199" i="32" s="1"/>
  <c r="S200" i="32"/>
  <c r="A201" i="32"/>
  <c r="B201" i="32"/>
  <c r="R201" i="32" s="1"/>
  <c r="M211" i="50"/>
  <c r="F211" i="50"/>
  <c r="G211" i="50"/>
  <c r="I211" i="50"/>
  <c r="B211" i="50"/>
  <c r="R211" i="50" s="1"/>
  <c r="H211" i="50"/>
  <c r="L211" i="50"/>
  <c r="N211" i="50"/>
  <c r="J211" i="50"/>
  <c r="K211" i="50"/>
  <c r="A211" i="50"/>
  <c r="Q211" i="50" s="1"/>
  <c r="P211" i="50" s="1"/>
  <c r="H201" i="32"/>
  <c r="I201" i="32"/>
  <c r="J201" i="32"/>
  <c r="K201" i="32"/>
  <c r="L201" i="32"/>
  <c r="M201" i="32"/>
  <c r="F201" i="32"/>
  <c r="AM201" i="32" s="1"/>
  <c r="G201" i="32"/>
  <c r="N201" i="32"/>
  <c r="O201" i="32"/>
  <c r="Z209" i="50"/>
  <c r="W209" i="50"/>
  <c r="X209" i="50" s="1"/>
  <c r="D255" i="69"/>
  <c r="E255" i="69" s="1"/>
  <c r="F255" i="69" s="1"/>
  <c r="G255" i="69" s="1"/>
  <c r="H255" i="69" s="1"/>
  <c r="I255" i="69" s="1"/>
  <c r="J255" i="69" s="1"/>
  <c r="K255" i="69" s="1"/>
  <c r="M255" i="69" s="1"/>
  <c r="N255" i="69"/>
  <c r="AF255" i="69" s="1"/>
  <c r="U254" i="69"/>
  <c r="AE254" i="69"/>
  <c r="R254" i="69"/>
  <c r="S254" i="69" s="1"/>
  <c r="Y254" i="69" s="1"/>
  <c r="Q254" i="69"/>
  <c r="C256" i="69"/>
  <c r="AN256" i="67" a="1"/>
  <c r="AN256" i="67" s="1"/>
  <c r="AN257" i="67" s="1" a="1"/>
  <c r="AN257" i="67" s="1"/>
  <c r="B257" i="69"/>
  <c r="AL201" i="11" a="1"/>
  <c r="AL201" i="11" s="1"/>
  <c r="E202" i="32" s="1"/>
  <c r="AL211" i="59" a="1"/>
  <c r="AL211" i="59" s="1"/>
  <c r="E212" i="50" s="1"/>
  <c r="AM101" i="59" a="1"/>
  <c r="AM101" i="59" s="1"/>
  <c r="AM86" i="11" a="1"/>
  <c r="AM86" i="11" s="1"/>
  <c r="AB254" i="69" l="1"/>
  <c r="AC254" i="69" s="1"/>
  <c r="AD254" i="69" s="1"/>
  <c r="AG254" i="69"/>
  <c r="L257" i="69"/>
  <c r="O257" i="69"/>
  <c r="AO256" i="69"/>
  <c r="P256" i="69"/>
  <c r="T212" i="50"/>
  <c r="AK212" i="50"/>
  <c r="AK202" i="32"/>
  <c r="T202" i="32"/>
  <c r="AD199" i="32"/>
  <c r="AD200" i="32"/>
  <c r="AM211" i="50"/>
  <c r="U211" i="50"/>
  <c r="AD210" i="50"/>
  <c r="AG210" i="50" s="1"/>
  <c r="AH210" i="50" s="1"/>
  <c r="AI210" i="50" s="1"/>
  <c r="U201" i="32"/>
  <c r="AP208" i="50"/>
  <c r="AL209" i="50"/>
  <c r="Q201" i="32"/>
  <c r="P201" i="32" s="1"/>
  <c r="AI198" i="32"/>
  <c r="AN198" i="32" s="1"/>
  <c r="AX255" i="69"/>
  <c r="O212" i="50"/>
  <c r="AH255" i="69"/>
  <c r="C200" i="32"/>
  <c r="V200" i="32"/>
  <c r="AJ210" i="50"/>
  <c r="C210" i="50"/>
  <c r="AJ199" i="32"/>
  <c r="C199" i="32"/>
  <c r="AJ200" i="32"/>
  <c r="S211" i="50"/>
  <c r="V210" i="50"/>
  <c r="S201" i="32"/>
  <c r="V201" i="32" s="1"/>
  <c r="A202" i="32"/>
  <c r="B202" i="32"/>
  <c r="R202" i="32" s="1"/>
  <c r="I212" i="50"/>
  <c r="N212" i="50"/>
  <c r="H212" i="50"/>
  <c r="M212" i="50"/>
  <c r="L212" i="50"/>
  <c r="G212" i="50"/>
  <c r="A212" i="50"/>
  <c r="Q212" i="50" s="1"/>
  <c r="P212" i="50" s="1"/>
  <c r="J212" i="50"/>
  <c r="F212" i="50"/>
  <c r="K212" i="50"/>
  <c r="B212" i="50"/>
  <c r="R212" i="50" s="1"/>
  <c r="F202" i="32"/>
  <c r="AM202" i="32" s="1"/>
  <c r="N202" i="32"/>
  <c r="G202" i="32"/>
  <c r="O202" i="32"/>
  <c r="H202" i="32"/>
  <c r="I202" i="32"/>
  <c r="J202" i="32"/>
  <c r="K202" i="32"/>
  <c r="L202" i="32"/>
  <c r="M202" i="32"/>
  <c r="W210" i="50"/>
  <c r="X210" i="50" s="1"/>
  <c r="Z210" i="50"/>
  <c r="Z199" i="32"/>
  <c r="W199" i="32"/>
  <c r="X199" i="32" s="1"/>
  <c r="W200" i="32"/>
  <c r="X200" i="32" s="1"/>
  <c r="Z200" i="32"/>
  <c r="N256" i="69"/>
  <c r="AF256" i="69" s="1"/>
  <c r="D256" i="69"/>
  <c r="E256" i="69" s="1"/>
  <c r="F256" i="69" s="1"/>
  <c r="G256" i="69" s="1"/>
  <c r="H256" i="69" s="1"/>
  <c r="I256" i="69" s="1"/>
  <c r="J256" i="69" s="1"/>
  <c r="K256" i="69" s="1"/>
  <c r="M256" i="69" s="1"/>
  <c r="C257" i="69"/>
  <c r="Q255" i="69"/>
  <c r="U255" i="69"/>
  <c r="R255" i="69"/>
  <c r="S255" i="69" s="1"/>
  <c r="Y255" i="69" s="1"/>
  <c r="AE255" i="69"/>
  <c r="AL202" i="11" a="1"/>
  <c r="AL202" i="11" s="1"/>
  <c r="E203" i="32" s="1"/>
  <c r="AL212" i="59" a="1"/>
  <c r="AL212" i="59" s="1"/>
  <c r="E213" i="50" s="1"/>
  <c r="AM102" i="59" a="1"/>
  <c r="AM102" i="59" s="1"/>
  <c r="AM87" i="11" a="1"/>
  <c r="AM87" i="11" s="1"/>
  <c r="AB255" i="69" l="1"/>
  <c r="AC255" i="69" s="1"/>
  <c r="AD255" i="69" s="1"/>
  <c r="AG255" i="69"/>
  <c r="AO257" i="69"/>
  <c r="P257" i="69"/>
  <c r="T213" i="50"/>
  <c r="AK213" i="50"/>
  <c r="AK203" i="32"/>
  <c r="T203" i="32"/>
  <c r="AD201" i="32"/>
  <c r="AD211" i="50"/>
  <c r="AG211" i="50" s="1"/>
  <c r="AH211" i="50" s="1"/>
  <c r="AI211" i="50" s="1"/>
  <c r="AM212" i="50"/>
  <c r="U212" i="50"/>
  <c r="AG199" i="32"/>
  <c r="AH199" i="32" s="1"/>
  <c r="AL199" i="32"/>
  <c r="AG200" i="32"/>
  <c r="AH200" i="32" s="1"/>
  <c r="AL200" i="32"/>
  <c r="U202" i="32"/>
  <c r="AP209" i="50"/>
  <c r="AL210" i="50"/>
  <c r="Q202" i="32"/>
  <c r="P202" i="32" s="1"/>
  <c r="AX256" i="69"/>
  <c r="O213" i="50"/>
  <c r="AH256" i="69"/>
  <c r="AJ211" i="50"/>
  <c r="C211" i="50"/>
  <c r="AJ201" i="32"/>
  <c r="C201" i="32"/>
  <c r="S212" i="50"/>
  <c r="V211" i="50"/>
  <c r="S202" i="32"/>
  <c r="V202" i="32" s="1"/>
  <c r="A203" i="32"/>
  <c r="B203" i="32"/>
  <c r="R203" i="32" s="1"/>
  <c r="F213" i="50"/>
  <c r="N213" i="50"/>
  <c r="K213" i="50"/>
  <c r="G213" i="50"/>
  <c r="A213" i="50"/>
  <c r="Q213" i="50" s="1"/>
  <c r="P213" i="50" s="1"/>
  <c r="L213" i="50"/>
  <c r="H213" i="50"/>
  <c r="B213" i="50"/>
  <c r="R213" i="50" s="1"/>
  <c r="I213" i="50"/>
  <c r="J213" i="50"/>
  <c r="M213" i="50"/>
  <c r="L203" i="32"/>
  <c r="M203" i="32"/>
  <c r="F203" i="32"/>
  <c r="AM203" i="32" s="1"/>
  <c r="N203" i="32"/>
  <c r="G203" i="32"/>
  <c r="O203" i="32"/>
  <c r="H203" i="32"/>
  <c r="I203" i="32"/>
  <c r="J203" i="32"/>
  <c r="K203" i="32"/>
  <c r="Z211" i="50"/>
  <c r="W211" i="50"/>
  <c r="X211" i="50" s="1"/>
  <c r="W201" i="32"/>
  <c r="X201" i="32" s="1"/>
  <c r="Z201" i="32"/>
  <c r="R256" i="69"/>
  <c r="S256" i="69" s="1"/>
  <c r="Y256" i="69" s="1"/>
  <c r="U256" i="69"/>
  <c r="AE256" i="69"/>
  <c r="Q256" i="69"/>
  <c r="N257" i="69"/>
  <c r="AF257" i="69" s="1"/>
  <c r="D257" i="69"/>
  <c r="AL203" i="11" a="1"/>
  <c r="AL203" i="11" s="1"/>
  <c r="E204" i="32" s="1"/>
  <c r="AL213" i="59" a="1"/>
  <c r="AL213" i="59" s="1"/>
  <c r="E214" i="50" s="1"/>
  <c r="AM103" i="59" a="1"/>
  <c r="AM103" i="59" s="1"/>
  <c r="AM88" i="11" a="1"/>
  <c r="AM88" i="11" s="1"/>
  <c r="AB256" i="69" l="1"/>
  <c r="AC256" i="69" s="1"/>
  <c r="AD256" i="69" s="1"/>
  <c r="AG256" i="69"/>
  <c r="T214" i="50"/>
  <c r="AK214" i="50"/>
  <c r="AK204" i="32"/>
  <c r="T204" i="32"/>
  <c r="AD202" i="32"/>
  <c r="AM213" i="50"/>
  <c r="U213" i="50"/>
  <c r="AD212" i="50"/>
  <c r="AG212" i="50" s="1"/>
  <c r="AH212" i="50" s="1"/>
  <c r="AI212" i="50" s="1"/>
  <c r="U203" i="32"/>
  <c r="AG201" i="32"/>
  <c r="AH201" i="32" s="1"/>
  <c r="AL201" i="32"/>
  <c r="Z171" i="22"/>
  <c r="AB171" i="22" s="1"/>
  <c r="AD171" i="22" s="1"/>
  <c r="Z170" i="22"/>
  <c r="AB170" i="22" s="1"/>
  <c r="AD170" i="22" s="1"/>
  <c r="Z169" i="22"/>
  <c r="AB169" i="22" s="1"/>
  <c r="AD169" i="22" s="1"/>
  <c r="Z172" i="22"/>
  <c r="AB172" i="22" s="1"/>
  <c r="AD172" i="22" s="1"/>
  <c r="Z168" i="22"/>
  <c r="AB168" i="22" s="1"/>
  <c r="AD168" i="22" s="1"/>
  <c r="AI199" i="32"/>
  <c r="AN199" i="32" s="1"/>
  <c r="AI200" i="32"/>
  <c r="AN200" i="32" s="1"/>
  <c r="AP210" i="50"/>
  <c r="AL211" i="50"/>
  <c r="Q203" i="32"/>
  <c r="P203" i="32" s="1"/>
  <c r="Y168" i="22"/>
  <c r="AA168" i="22" s="1"/>
  <c r="Y169" i="22"/>
  <c r="AA169" i="22" s="1"/>
  <c r="Y171" i="22"/>
  <c r="AA171" i="22" s="1"/>
  <c r="Y170" i="22"/>
  <c r="AA170" i="22" s="1"/>
  <c r="Y172" i="22"/>
  <c r="AA172" i="22" s="1"/>
  <c r="AX257" i="69"/>
  <c r="O214" i="50"/>
  <c r="AH257" i="69"/>
  <c r="AJ212" i="50"/>
  <c r="C212" i="50"/>
  <c r="AJ202" i="32"/>
  <c r="C202" i="32"/>
  <c r="V212" i="50"/>
  <c r="S213" i="50"/>
  <c r="S203" i="32"/>
  <c r="V203" i="32" s="1"/>
  <c r="A204" i="32"/>
  <c r="B204" i="32"/>
  <c r="R204" i="32" s="1"/>
  <c r="A214" i="50"/>
  <c r="Q214" i="50" s="1"/>
  <c r="P214" i="50" s="1"/>
  <c r="G214" i="50"/>
  <c r="L214" i="50"/>
  <c r="N214" i="50"/>
  <c r="F214" i="50"/>
  <c r="J214" i="50"/>
  <c r="I214" i="50"/>
  <c r="B214" i="50"/>
  <c r="R214" i="50" s="1"/>
  <c r="M214" i="50"/>
  <c r="K214" i="50"/>
  <c r="H214" i="50"/>
  <c r="J204" i="32"/>
  <c r="K204" i="32"/>
  <c r="L204" i="32"/>
  <c r="M204" i="32"/>
  <c r="F204" i="32"/>
  <c r="AM204" i="32" s="1"/>
  <c r="N204" i="32"/>
  <c r="G204" i="32"/>
  <c r="O204" i="32"/>
  <c r="H204" i="32"/>
  <c r="I204" i="32"/>
  <c r="W212" i="50"/>
  <c r="X212" i="50" s="1"/>
  <c r="Z212" i="50"/>
  <c r="W202" i="32"/>
  <c r="X202" i="32" s="1"/>
  <c r="Z202" i="32"/>
  <c r="E257" i="69"/>
  <c r="F257" i="69" s="1"/>
  <c r="G257" i="69" s="1"/>
  <c r="H257" i="69" s="1"/>
  <c r="I257" i="69" s="1"/>
  <c r="J257" i="69" s="1"/>
  <c r="K257" i="69" s="1"/>
  <c r="M257" i="69" s="1"/>
  <c r="D258" i="69"/>
  <c r="R257" i="69"/>
  <c r="S257" i="69" s="1"/>
  <c r="U257" i="69"/>
  <c r="AE257" i="69"/>
  <c r="Q257" i="69"/>
  <c r="AL204" i="11" a="1"/>
  <c r="AL204" i="11" s="1"/>
  <c r="E205" i="32" s="1"/>
  <c r="AL214" i="59" a="1"/>
  <c r="AL214" i="59" s="1"/>
  <c r="E215" i="50" s="1"/>
  <c r="AM104" i="59" a="1"/>
  <c r="AM104" i="59" s="1"/>
  <c r="AM89" i="11" a="1"/>
  <c r="AM89" i="11" s="1"/>
  <c r="Y257" i="69" l="1"/>
  <c r="AK215" i="50"/>
  <c r="T215" i="50"/>
  <c r="AK205" i="32"/>
  <c r="T205" i="32"/>
  <c r="AD203" i="32"/>
  <c r="AD213" i="50"/>
  <c r="AG213" i="50" s="1"/>
  <c r="AH213" i="50" s="1"/>
  <c r="AI213" i="50" s="1"/>
  <c r="AM214" i="50"/>
  <c r="U214" i="50"/>
  <c r="U204" i="32"/>
  <c r="AG202" i="32"/>
  <c r="AH202" i="32" s="1"/>
  <c r="AL202" i="32"/>
  <c r="AI201" i="32"/>
  <c r="AN201" i="32" s="1"/>
  <c r="AP211" i="50"/>
  <c r="AL212" i="50"/>
  <c r="Q204" i="32"/>
  <c r="P204" i="32" s="1"/>
  <c r="AC172" i="22"/>
  <c r="E186" i="36"/>
  <c r="G186" i="36" s="1"/>
  <c r="AC170" i="22"/>
  <c r="E184" i="36"/>
  <c r="G184" i="36" s="1"/>
  <c r="AC171" i="22"/>
  <c r="E185" i="36"/>
  <c r="G185" i="36" s="1"/>
  <c r="E183" i="36"/>
  <c r="G183" i="36" s="1"/>
  <c r="AC169" i="22"/>
  <c r="AC168" i="22"/>
  <c r="E182" i="36"/>
  <c r="G182" i="36" s="1"/>
  <c r="Q258" i="69"/>
  <c r="O215" i="50"/>
  <c r="AJ213" i="50"/>
  <c r="C213" i="50"/>
  <c r="AJ203" i="32"/>
  <c r="C203" i="32"/>
  <c r="S214" i="50"/>
  <c r="V213" i="50"/>
  <c r="S204" i="32"/>
  <c r="V204" i="32" s="1"/>
  <c r="A205" i="32"/>
  <c r="B205" i="32"/>
  <c r="R205" i="32" s="1"/>
  <c r="K215" i="50"/>
  <c r="I215" i="50"/>
  <c r="M215" i="50"/>
  <c r="H215" i="50"/>
  <c r="J215" i="50"/>
  <c r="L215" i="50"/>
  <c r="B215" i="50"/>
  <c r="R215" i="50" s="1"/>
  <c r="A215" i="50"/>
  <c r="Q215" i="50" s="1"/>
  <c r="P215" i="50" s="1"/>
  <c r="F215" i="50"/>
  <c r="G215" i="50"/>
  <c r="N215" i="50"/>
  <c r="H205" i="32"/>
  <c r="I205" i="32"/>
  <c r="J205" i="32"/>
  <c r="K205" i="32"/>
  <c r="L205" i="32"/>
  <c r="M205" i="32"/>
  <c r="F205" i="32"/>
  <c r="AM205" i="32" s="1"/>
  <c r="G205" i="32"/>
  <c r="O205" i="32"/>
  <c r="N205" i="32"/>
  <c r="W213" i="50"/>
  <c r="X213" i="50" s="1"/>
  <c r="Z213" i="50"/>
  <c r="W203" i="32"/>
  <c r="X203" i="32" s="1"/>
  <c r="Z203" i="32"/>
  <c r="AL205" i="11" a="1"/>
  <c r="AL205" i="11" s="1"/>
  <c r="E206" i="32" s="1"/>
  <c r="AL215" i="59" a="1"/>
  <c r="AL215" i="59" s="1"/>
  <c r="E216" i="50" s="1"/>
  <c r="AM105" i="59" a="1"/>
  <c r="AM105" i="59" s="1"/>
  <c r="AM90" i="11" a="1"/>
  <c r="AM90" i="11" s="1"/>
  <c r="AB257" i="69" l="1"/>
  <c r="AC257" i="69" s="1"/>
  <c r="AD257" i="69" s="1"/>
  <c r="Y2" i="69"/>
  <c r="AG257" i="69"/>
  <c r="AK216" i="50"/>
  <c r="T216" i="50"/>
  <c r="AK206" i="32"/>
  <c r="T206" i="32"/>
  <c r="AD204" i="32"/>
  <c r="AM215" i="50"/>
  <c r="U215" i="50"/>
  <c r="AD214" i="50"/>
  <c r="AG214" i="50" s="1"/>
  <c r="AH214" i="50" s="1"/>
  <c r="AI214" i="50" s="1"/>
  <c r="U205" i="32"/>
  <c r="AG203" i="32"/>
  <c r="AH203" i="32" s="1"/>
  <c r="AL203" i="32"/>
  <c r="AI202" i="32"/>
  <c r="AN202" i="32" s="1"/>
  <c r="AP212" i="50"/>
  <c r="AL213" i="50"/>
  <c r="AO258" i="69"/>
  <c r="H26" i="73" s="1"/>
  <c r="Q205" i="32"/>
  <c r="P205" i="32" s="1"/>
  <c r="O216" i="50"/>
  <c r="AJ214" i="50"/>
  <c r="C214" i="50"/>
  <c r="AJ204" i="32"/>
  <c r="C204" i="32"/>
  <c r="S215" i="50"/>
  <c r="V214" i="50"/>
  <c r="S205" i="32"/>
  <c r="V205" i="32" s="1"/>
  <c r="A206" i="32"/>
  <c r="B206" i="32"/>
  <c r="R206" i="32" s="1"/>
  <c r="L216" i="50"/>
  <c r="M216" i="50"/>
  <c r="N216" i="50"/>
  <c r="G216" i="50"/>
  <c r="F216" i="50"/>
  <c r="I216" i="50"/>
  <c r="H216" i="50"/>
  <c r="J216" i="50"/>
  <c r="K216" i="50"/>
  <c r="A216" i="50"/>
  <c r="Q216" i="50" s="1"/>
  <c r="P216" i="50" s="1"/>
  <c r="B216" i="50"/>
  <c r="R216" i="50" s="1"/>
  <c r="F206" i="32"/>
  <c r="AM206" i="32" s="1"/>
  <c r="N206" i="32"/>
  <c r="G206" i="32"/>
  <c r="O206" i="32"/>
  <c r="H206" i="32"/>
  <c r="I206" i="32"/>
  <c r="J206" i="32"/>
  <c r="K206" i="32"/>
  <c r="L206" i="32"/>
  <c r="M206" i="32"/>
  <c r="Z214" i="50"/>
  <c r="W214" i="50"/>
  <c r="X214" i="50" s="1"/>
  <c r="W204" i="32"/>
  <c r="X204" i="32" s="1"/>
  <c r="Z204" i="32"/>
  <c r="AL206" i="11" a="1"/>
  <c r="AL206" i="11" s="1"/>
  <c r="E207" i="32" s="1"/>
  <c r="AL216" i="59" a="1"/>
  <c r="AL216" i="59" s="1"/>
  <c r="E217" i="50" s="1"/>
  <c r="AM106" i="59" a="1"/>
  <c r="AM106" i="59" s="1"/>
  <c r="AM91" i="11" a="1"/>
  <c r="AM91" i="11" s="1"/>
  <c r="T217" i="50" l="1"/>
  <c r="AK217" i="50"/>
  <c r="AK207" i="32"/>
  <c r="T207" i="32"/>
  <c r="AD205" i="32"/>
  <c r="AD215" i="50"/>
  <c r="AG215" i="50" s="1"/>
  <c r="AH215" i="50" s="1"/>
  <c r="AI215" i="50" s="1"/>
  <c r="AM216" i="50"/>
  <c r="U216" i="50"/>
  <c r="U206" i="32"/>
  <c r="AG204" i="32"/>
  <c r="AH204" i="32" s="1"/>
  <c r="AL204" i="32"/>
  <c r="AI203" i="32"/>
  <c r="AN203" i="32" s="1"/>
  <c r="AP213" i="50"/>
  <c r="AL214" i="50"/>
  <c r="Q206" i="32"/>
  <c r="P206" i="32" s="1"/>
  <c r="O217" i="50"/>
  <c r="AJ215" i="50"/>
  <c r="C215" i="50"/>
  <c r="AJ205" i="32"/>
  <c r="C205" i="32"/>
  <c r="S216" i="50"/>
  <c r="V215" i="50"/>
  <c r="S206" i="32"/>
  <c r="V206" i="32" s="1"/>
  <c r="A207" i="32"/>
  <c r="B207" i="32"/>
  <c r="R207" i="32" s="1"/>
  <c r="B217" i="50"/>
  <c r="R217" i="50" s="1"/>
  <c r="G217" i="50"/>
  <c r="I217" i="50"/>
  <c r="H217" i="50"/>
  <c r="A217" i="50"/>
  <c r="Q217" i="50" s="1"/>
  <c r="P217" i="50" s="1"/>
  <c r="K217" i="50"/>
  <c r="J217" i="50"/>
  <c r="M217" i="50"/>
  <c r="F217" i="50"/>
  <c r="L217" i="50"/>
  <c r="N217" i="50"/>
  <c r="L207" i="32"/>
  <c r="M207" i="32"/>
  <c r="F207" i="32"/>
  <c r="AM207" i="32" s="1"/>
  <c r="N207" i="32"/>
  <c r="G207" i="32"/>
  <c r="O207" i="32"/>
  <c r="H207" i="32"/>
  <c r="I207" i="32"/>
  <c r="J207" i="32"/>
  <c r="K207" i="32"/>
  <c r="Z215" i="50"/>
  <c r="W215" i="50"/>
  <c r="X215" i="50" s="1"/>
  <c r="W205" i="32"/>
  <c r="X205" i="32" s="1"/>
  <c r="Z205" i="32"/>
  <c r="AL207" i="11" a="1"/>
  <c r="AL207" i="11" s="1"/>
  <c r="E208" i="32" s="1"/>
  <c r="AL217" i="59" a="1"/>
  <c r="AL217" i="59" s="1"/>
  <c r="E218" i="50" s="1"/>
  <c r="AM107" i="59" a="1"/>
  <c r="AM107" i="59" s="1"/>
  <c r="AM92" i="11" a="1"/>
  <c r="AM92" i="11" s="1"/>
  <c r="T218" i="50" l="1"/>
  <c r="AK218" i="50"/>
  <c r="AD206" i="32"/>
  <c r="AK208" i="32"/>
  <c r="T208" i="32"/>
  <c r="AD216" i="50"/>
  <c r="AG216" i="50" s="1"/>
  <c r="AH216" i="50" s="1"/>
  <c r="AI216" i="50" s="1"/>
  <c r="AM217" i="50"/>
  <c r="U217" i="50"/>
  <c r="U207" i="32"/>
  <c r="AG205" i="32"/>
  <c r="AH205" i="32" s="1"/>
  <c r="AL205" i="32"/>
  <c r="AI204" i="32"/>
  <c r="AN204" i="32" s="1"/>
  <c r="AP214" i="50"/>
  <c r="AL215" i="50"/>
  <c r="Q207" i="32"/>
  <c r="P207" i="32" s="1"/>
  <c r="O218" i="50"/>
  <c r="AJ216" i="50"/>
  <c r="C216" i="50"/>
  <c r="AJ206" i="32"/>
  <c r="C206" i="32"/>
  <c r="S217" i="50"/>
  <c r="V216" i="50"/>
  <c r="S207" i="32"/>
  <c r="A208" i="32"/>
  <c r="B208" i="32"/>
  <c r="R208" i="32" s="1"/>
  <c r="F218" i="50"/>
  <c r="B218" i="50"/>
  <c r="R218" i="50" s="1"/>
  <c r="A218" i="50"/>
  <c r="Q218" i="50" s="1"/>
  <c r="P218" i="50" s="1"/>
  <c r="J218" i="50"/>
  <c r="N218" i="50"/>
  <c r="K218" i="50"/>
  <c r="G218" i="50"/>
  <c r="H218" i="50"/>
  <c r="I218" i="50"/>
  <c r="L218" i="50"/>
  <c r="M218" i="50"/>
  <c r="J208" i="32"/>
  <c r="K208" i="32"/>
  <c r="L208" i="32"/>
  <c r="M208" i="32"/>
  <c r="F208" i="32"/>
  <c r="AM208" i="32" s="1"/>
  <c r="N208" i="32"/>
  <c r="G208" i="32"/>
  <c r="O208" i="32"/>
  <c r="H208" i="32"/>
  <c r="I208" i="32"/>
  <c r="Z216" i="50"/>
  <c r="W216" i="50"/>
  <c r="X216" i="50" s="1"/>
  <c r="W206" i="32"/>
  <c r="X206" i="32" s="1"/>
  <c r="Z206" i="32"/>
  <c r="AL208" i="11" a="1"/>
  <c r="AL208" i="11" s="1"/>
  <c r="AL218" i="59" a="1"/>
  <c r="AL218" i="59" s="1"/>
  <c r="E219" i="50" s="1"/>
  <c r="AM108" i="59" a="1"/>
  <c r="AM108" i="59" s="1"/>
  <c r="AM93" i="11" a="1"/>
  <c r="AM93" i="11" s="1"/>
  <c r="T219" i="50" l="1"/>
  <c r="AK219" i="50"/>
  <c r="AD207" i="32"/>
  <c r="AD217" i="50"/>
  <c r="AG217" i="50" s="1"/>
  <c r="AH217" i="50" s="1"/>
  <c r="AI217" i="50" s="1"/>
  <c r="AM218" i="50"/>
  <c r="U218" i="50"/>
  <c r="AG206" i="32"/>
  <c r="AH206" i="32" s="1"/>
  <c r="AL206" i="32"/>
  <c r="U208" i="32"/>
  <c r="AI205" i="32"/>
  <c r="AN205" i="32" s="1"/>
  <c r="AP215" i="50"/>
  <c r="AL216" i="50"/>
  <c r="Q208" i="32"/>
  <c r="P208" i="32" s="1"/>
  <c r="O219" i="50"/>
  <c r="C207" i="32"/>
  <c r="V207" i="32"/>
  <c r="AJ217" i="50"/>
  <c r="C217" i="50"/>
  <c r="AJ207" i="32"/>
  <c r="S218" i="50"/>
  <c r="V217" i="50"/>
  <c r="S208" i="32"/>
  <c r="V208" i="32" s="1"/>
  <c r="N219" i="50"/>
  <c r="K219" i="50"/>
  <c r="J219" i="50"/>
  <c r="B219" i="50"/>
  <c r="R219" i="50" s="1"/>
  <c r="A219" i="50"/>
  <c r="Q219" i="50" s="1"/>
  <c r="P219" i="50" s="1"/>
  <c r="L219" i="50"/>
  <c r="M219" i="50"/>
  <c r="I219" i="50"/>
  <c r="F219" i="50"/>
  <c r="G219" i="50"/>
  <c r="H219" i="50"/>
  <c r="Z217" i="50"/>
  <c r="W217" i="50"/>
  <c r="X217" i="50" s="1"/>
  <c r="E209" i="32"/>
  <c r="W207" i="32"/>
  <c r="X207" i="32" s="1"/>
  <c r="Z207" i="32"/>
  <c r="AL209" i="11" a="1"/>
  <c r="AL209" i="11" s="1"/>
  <c r="E210" i="32" s="1"/>
  <c r="AL219" i="59" a="1"/>
  <c r="AL219" i="59" s="1"/>
  <c r="E220" i="50" s="1"/>
  <c r="AM109" i="59" a="1"/>
  <c r="AM109" i="59" s="1"/>
  <c r="AM94" i="11" a="1"/>
  <c r="AM94" i="11" s="1"/>
  <c r="T220" i="50" l="1"/>
  <c r="AK220" i="50"/>
  <c r="AK209" i="32"/>
  <c r="T209" i="32"/>
  <c r="AK210" i="32"/>
  <c r="T210" i="32"/>
  <c r="AD208" i="32"/>
  <c r="AD218" i="50"/>
  <c r="AG218" i="50" s="1"/>
  <c r="AH218" i="50" s="1"/>
  <c r="AI218" i="50" s="1"/>
  <c r="AM219" i="50"/>
  <c r="U219" i="50"/>
  <c r="AG207" i="32"/>
  <c r="AH207" i="32" s="1"/>
  <c r="AL207" i="32"/>
  <c r="AI206" i="32"/>
  <c r="AN206" i="32" s="1"/>
  <c r="AP216" i="50"/>
  <c r="AL217" i="50"/>
  <c r="O220" i="50"/>
  <c r="AJ218" i="50"/>
  <c r="C218" i="50"/>
  <c r="AJ208" i="32"/>
  <c r="C208" i="32"/>
  <c r="S219" i="50"/>
  <c r="V218" i="50"/>
  <c r="A210" i="32"/>
  <c r="B210" i="32"/>
  <c r="R210" i="32" s="1"/>
  <c r="A209" i="32"/>
  <c r="B209" i="32"/>
  <c r="R209" i="32" s="1"/>
  <c r="I220" i="50"/>
  <c r="J220" i="50"/>
  <c r="G220" i="50"/>
  <c r="A220" i="50"/>
  <c r="Q220" i="50" s="1"/>
  <c r="P220" i="50" s="1"/>
  <c r="L220" i="50"/>
  <c r="H220" i="50"/>
  <c r="N220" i="50"/>
  <c r="F220" i="50"/>
  <c r="K220" i="50"/>
  <c r="B220" i="50"/>
  <c r="R220" i="50" s="1"/>
  <c r="M220" i="50"/>
  <c r="H209" i="32"/>
  <c r="I209" i="32"/>
  <c r="J209" i="32"/>
  <c r="K209" i="32"/>
  <c r="L209" i="32"/>
  <c r="M209" i="32"/>
  <c r="G209" i="32"/>
  <c r="N209" i="32"/>
  <c r="O209" i="32"/>
  <c r="F209" i="32"/>
  <c r="AM209" i="32" s="1"/>
  <c r="F210" i="32"/>
  <c r="AM210" i="32" s="1"/>
  <c r="N210" i="32"/>
  <c r="G210" i="32"/>
  <c r="O210" i="32"/>
  <c r="H210" i="32"/>
  <c r="I210" i="32"/>
  <c r="J210" i="32"/>
  <c r="K210" i="32"/>
  <c r="L210" i="32"/>
  <c r="M210" i="32"/>
  <c r="Z218" i="50"/>
  <c r="W218" i="50"/>
  <c r="X218" i="50" s="1"/>
  <c r="W208" i="32"/>
  <c r="X208" i="32" s="1"/>
  <c r="Z208" i="32"/>
  <c r="AL210" i="11" a="1"/>
  <c r="AL210" i="11" s="1"/>
  <c r="E211" i="32" s="1"/>
  <c r="AL220" i="59" a="1"/>
  <c r="AL220" i="59" s="1"/>
  <c r="E221" i="50" s="1"/>
  <c r="AM110" i="59" a="1"/>
  <c r="AM110" i="59" s="1"/>
  <c r="AM95" i="11" a="1"/>
  <c r="AM95" i="11" s="1"/>
  <c r="T221" i="50" l="1"/>
  <c r="AK221" i="50"/>
  <c r="AK211" i="32"/>
  <c r="T211" i="32"/>
  <c r="AD219" i="50"/>
  <c r="AG219" i="50" s="1"/>
  <c r="AH219" i="50" s="1"/>
  <c r="AI219" i="50" s="1"/>
  <c r="AM220" i="50"/>
  <c r="U220" i="50"/>
  <c r="AG208" i="32"/>
  <c r="AH208" i="32" s="1"/>
  <c r="AL208" i="32"/>
  <c r="U210" i="32"/>
  <c r="U209" i="32"/>
  <c r="AI207" i="32"/>
  <c r="AN207" i="32" s="1"/>
  <c r="AL218" i="50"/>
  <c r="Q209" i="32"/>
  <c r="P209" i="32" s="1"/>
  <c r="Q210" i="32"/>
  <c r="P210" i="32" s="1"/>
  <c r="AP217" i="50"/>
  <c r="O221" i="50"/>
  <c r="AJ219" i="50"/>
  <c r="C219" i="50"/>
  <c r="S220" i="50"/>
  <c r="V219" i="50"/>
  <c r="S209" i="32"/>
  <c r="V209" i="32" s="1"/>
  <c r="S210" i="32"/>
  <c r="A211" i="32"/>
  <c r="B211" i="32"/>
  <c r="R211" i="32" s="1"/>
  <c r="N221" i="50"/>
  <c r="G221" i="50"/>
  <c r="M221" i="50"/>
  <c r="F221" i="50"/>
  <c r="K221" i="50"/>
  <c r="B221" i="50"/>
  <c r="R221" i="50" s="1"/>
  <c r="A221" i="50"/>
  <c r="Q221" i="50" s="1"/>
  <c r="P221" i="50" s="1"/>
  <c r="L221" i="50"/>
  <c r="H221" i="50"/>
  <c r="I221" i="50"/>
  <c r="J221" i="50"/>
  <c r="L211" i="32"/>
  <c r="M211" i="32"/>
  <c r="F211" i="32"/>
  <c r="AM211" i="32" s="1"/>
  <c r="N211" i="32"/>
  <c r="G211" i="32"/>
  <c r="O211" i="32"/>
  <c r="H211" i="32"/>
  <c r="I211" i="32"/>
  <c r="J211" i="32"/>
  <c r="K211" i="32"/>
  <c r="Z219" i="50"/>
  <c r="W219" i="50"/>
  <c r="X219" i="50" s="1"/>
  <c r="AL211" i="11" a="1"/>
  <c r="AL211" i="11" s="1"/>
  <c r="E212" i="32" s="1"/>
  <c r="AL221" i="59" a="1"/>
  <c r="AL221" i="59" s="1"/>
  <c r="E222" i="50" s="1"/>
  <c r="AM111" i="59" a="1"/>
  <c r="AM111" i="59" s="1"/>
  <c r="AM96" i="11" a="1"/>
  <c r="AM96" i="11" s="1"/>
  <c r="T222" i="50" l="1"/>
  <c r="AK222" i="50"/>
  <c r="AD209" i="32"/>
  <c r="AK212" i="32"/>
  <c r="T212" i="32"/>
  <c r="AD210" i="32"/>
  <c r="AM221" i="50"/>
  <c r="U221" i="50"/>
  <c r="AD220" i="50"/>
  <c r="AG220" i="50" s="1"/>
  <c r="AH220" i="50" s="1"/>
  <c r="AI220" i="50" s="1"/>
  <c r="U211" i="32"/>
  <c r="AI208" i="32"/>
  <c r="AN208" i="32" s="1"/>
  <c r="AP218" i="50"/>
  <c r="AL219" i="50"/>
  <c r="Q211" i="32"/>
  <c r="P211" i="32" s="1"/>
  <c r="O222" i="50"/>
  <c r="C210" i="32"/>
  <c r="V210" i="32"/>
  <c r="AJ220" i="50"/>
  <c r="C220" i="50"/>
  <c r="AJ209" i="32"/>
  <c r="C209" i="32"/>
  <c r="AJ210" i="32"/>
  <c r="V220" i="50"/>
  <c r="S221" i="50"/>
  <c r="S211" i="32"/>
  <c r="A212" i="32"/>
  <c r="B212" i="32"/>
  <c r="R212" i="32" s="1"/>
  <c r="H222" i="50"/>
  <c r="L222" i="50"/>
  <c r="M222" i="50"/>
  <c r="K222" i="50"/>
  <c r="A222" i="50"/>
  <c r="Q222" i="50" s="1"/>
  <c r="P222" i="50" s="1"/>
  <c r="F222" i="50"/>
  <c r="G222" i="50"/>
  <c r="J222" i="50"/>
  <c r="B222" i="50"/>
  <c r="R222" i="50" s="1"/>
  <c r="N222" i="50"/>
  <c r="I222" i="50"/>
  <c r="J212" i="32"/>
  <c r="K212" i="32"/>
  <c r="L212" i="32"/>
  <c r="M212" i="32"/>
  <c r="F212" i="32"/>
  <c r="AM212" i="32" s="1"/>
  <c r="N212" i="32"/>
  <c r="I212" i="32"/>
  <c r="O212" i="32"/>
  <c r="H212" i="32"/>
  <c r="G212" i="32"/>
  <c r="W209" i="32"/>
  <c r="X209" i="32" s="1"/>
  <c r="Z209" i="32"/>
  <c r="Z220" i="50"/>
  <c r="W220" i="50"/>
  <c r="X220" i="50" s="1"/>
  <c r="W210" i="32"/>
  <c r="X210" i="32" s="1"/>
  <c r="Z210" i="32"/>
  <c r="AL212" i="11" a="1"/>
  <c r="AL212" i="11" s="1"/>
  <c r="E213" i="32" s="1"/>
  <c r="AL222" i="59" a="1"/>
  <c r="AL222" i="59" s="1"/>
  <c r="E223" i="50" s="1"/>
  <c r="AM112" i="59" a="1"/>
  <c r="AM112" i="59" s="1"/>
  <c r="AM97" i="11" a="1"/>
  <c r="AM97" i="11" s="1"/>
  <c r="AK223" i="50" l="1"/>
  <c r="T223" i="50"/>
  <c r="AK213" i="32"/>
  <c r="T213" i="32"/>
  <c r="AD211" i="32"/>
  <c r="AM222" i="50"/>
  <c r="U222" i="50"/>
  <c r="AD221" i="50"/>
  <c r="AG221" i="50" s="1"/>
  <c r="AH221" i="50" s="1"/>
  <c r="AI221" i="50" s="1"/>
  <c r="AG210" i="32"/>
  <c r="AH210" i="32" s="1"/>
  <c r="AL210" i="32"/>
  <c r="AG209" i="32"/>
  <c r="AH209" i="32" s="1"/>
  <c r="AL209" i="32"/>
  <c r="U212" i="32"/>
  <c r="AP219" i="50"/>
  <c r="AL220" i="50"/>
  <c r="Q212" i="32"/>
  <c r="P212" i="32" s="1"/>
  <c r="O223" i="50"/>
  <c r="C211" i="32"/>
  <c r="V211" i="32"/>
  <c r="AJ221" i="50"/>
  <c r="C221" i="50"/>
  <c r="AJ211" i="32"/>
  <c r="V221" i="50"/>
  <c r="S222" i="50"/>
  <c r="S212" i="32"/>
  <c r="V212" i="32" s="1"/>
  <c r="A213" i="32"/>
  <c r="B213" i="32"/>
  <c r="R213" i="32" s="1"/>
  <c r="G223" i="50"/>
  <c r="K223" i="50"/>
  <c r="J223" i="50"/>
  <c r="I223" i="50"/>
  <c r="F223" i="50"/>
  <c r="B223" i="50"/>
  <c r="R223" i="50" s="1"/>
  <c r="H223" i="50"/>
  <c r="M223" i="50"/>
  <c r="A223" i="50"/>
  <c r="Q223" i="50" s="1"/>
  <c r="P223" i="50" s="1"/>
  <c r="N223" i="50"/>
  <c r="L223" i="50"/>
  <c r="H213" i="32"/>
  <c r="I213" i="32"/>
  <c r="J213" i="32"/>
  <c r="K213" i="32"/>
  <c r="L213" i="32"/>
  <c r="F213" i="32"/>
  <c r="AM213" i="32" s="1"/>
  <c r="G213" i="32"/>
  <c r="O213" i="32"/>
  <c r="M213" i="32"/>
  <c r="N213" i="32"/>
  <c r="Z221" i="50"/>
  <c r="W221" i="50"/>
  <c r="X221" i="50" s="1"/>
  <c r="W211" i="32"/>
  <c r="X211" i="32" s="1"/>
  <c r="Z211" i="32"/>
  <c r="AL213" i="11" a="1"/>
  <c r="AL213" i="11" s="1"/>
  <c r="E214" i="32" s="1"/>
  <c r="AL223" i="59" a="1"/>
  <c r="AL223" i="59" s="1"/>
  <c r="E224" i="50" s="1"/>
  <c r="AM113" i="59" a="1"/>
  <c r="AM113" i="59" s="1"/>
  <c r="AM98" i="11" a="1"/>
  <c r="AM98" i="11" s="1"/>
  <c r="AK224" i="50" l="1"/>
  <c r="T224" i="50"/>
  <c r="AK214" i="32"/>
  <c r="T214" i="32"/>
  <c r="AD212" i="32"/>
  <c r="AM223" i="50"/>
  <c r="U223" i="50"/>
  <c r="AD222" i="50"/>
  <c r="AG222" i="50" s="1"/>
  <c r="AH222" i="50" s="1"/>
  <c r="AI222" i="50" s="1"/>
  <c r="U213" i="32"/>
  <c r="AG211" i="32"/>
  <c r="AH211" i="32" s="1"/>
  <c r="AL211" i="32"/>
  <c r="AI209" i="32"/>
  <c r="AN209" i="32" s="1"/>
  <c r="AI210" i="32"/>
  <c r="AN210" i="32" s="1"/>
  <c r="AP220" i="50"/>
  <c r="AL221" i="50"/>
  <c r="Q213" i="32"/>
  <c r="P213" i="32" s="1"/>
  <c r="O224" i="50"/>
  <c r="AJ222" i="50"/>
  <c r="C222" i="50"/>
  <c r="AJ212" i="32"/>
  <c r="C212" i="32"/>
  <c r="V222" i="50"/>
  <c r="S223" i="50"/>
  <c r="S213" i="32"/>
  <c r="A214" i="32"/>
  <c r="B214" i="32"/>
  <c r="R214" i="32" s="1"/>
  <c r="L224" i="50"/>
  <c r="N224" i="50"/>
  <c r="J224" i="50"/>
  <c r="F224" i="50"/>
  <c r="H224" i="50"/>
  <c r="M224" i="50"/>
  <c r="G224" i="50"/>
  <c r="K224" i="50"/>
  <c r="I224" i="50"/>
  <c r="B224" i="50"/>
  <c r="R224" i="50" s="1"/>
  <c r="A224" i="50"/>
  <c r="Q224" i="50" s="1"/>
  <c r="P224" i="50" s="1"/>
  <c r="F214" i="32"/>
  <c r="AM214" i="32" s="1"/>
  <c r="N214" i="32"/>
  <c r="G214" i="32"/>
  <c r="O214" i="32"/>
  <c r="H214" i="32"/>
  <c r="I214" i="32"/>
  <c r="J214" i="32"/>
  <c r="L214" i="32"/>
  <c r="M214" i="32"/>
  <c r="K214" i="32"/>
  <c r="Z222" i="50"/>
  <c r="W222" i="50"/>
  <c r="X222" i="50" s="1"/>
  <c r="W212" i="32"/>
  <c r="X212" i="32" s="1"/>
  <c r="Z212" i="32"/>
  <c r="AL214" i="11" a="1"/>
  <c r="AL214" i="11" s="1"/>
  <c r="E215" i="32" s="1"/>
  <c r="AL224" i="59" a="1"/>
  <c r="AL224" i="59" s="1"/>
  <c r="E225" i="50" s="1"/>
  <c r="AM114" i="59" a="1"/>
  <c r="AM114" i="59" s="1"/>
  <c r="AM99" i="11" a="1"/>
  <c r="AM99" i="11" s="1"/>
  <c r="T225" i="50" l="1"/>
  <c r="AK225" i="50"/>
  <c r="AK215" i="32"/>
  <c r="T215" i="32"/>
  <c r="AD213" i="32"/>
  <c r="AD223" i="50"/>
  <c r="AG223" i="50" s="1"/>
  <c r="AH223" i="50" s="1"/>
  <c r="AI223" i="50" s="1"/>
  <c r="AM224" i="50"/>
  <c r="U224" i="50"/>
  <c r="AG212" i="32"/>
  <c r="AH212" i="32" s="1"/>
  <c r="AL212" i="32"/>
  <c r="U214" i="32"/>
  <c r="AP221" i="50"/>
  <c r="AL222" i="50"/>
  <c r="Q214" i="32"/>
  <c r="P214" i="32" s="1"/>
  <c r="AI211" i="32"/>
  <c r="AN211" i="32" s="1"/>
  <c r="O225" i="50"/>
  <c r="C213" i="32"/>
  <c r="V213" i="32"/>
  <c r="AJ223" i="50"/>
  <c r="C223" i="50"/>
  <c r="AJ213" i="32"/>
  <c r="S224" i="50"/>
  <c r="V223" i="50"/>
  <c r="S214" i="32"/>
  <c r="V214" i="32" s="1"/>
  <c r="A215" i="32"/>
  <c r="B215" i="32"/>
  <c r="R215" i="32" s="1"/>
  <c r="F225" i="50"/>
  <c r="N225" i="50"/>
  <c r="M225" i="50"/>
  <c r="G225" i="50"/>
  <c r="H225" i="50"/>
  <c r="A225" i="50"/>
  <c r="Q225" i="50" s="1"/>
  <c r="P225" i="50" s="1"/>
  <c r="L225" i="50"/>
  <c r="K225" i="50"/>
  <c r="B225" i="50"/>
  <c r="R225" i="50" s="1"/>
  <c r="J225" i="50"/>
  <c r="I225" i="50"/>
  <c r="L215" i="32"/>
  <c r="M215" i="32"/>
  <c r="F215" i="32"/>
  <c r="AM215" i="32" s="1"/>
  <c r="N215" i="32"/>
  <c r="G215" i="32"/>
  <c r="O215" i="32"/>
  <c r="H215" i="32"/>
  <c r="I215" i="32"/>
  <c r="J215" i="32"/>
  <c r="K215" i="32"/>
  <c r="Z223" i="50"/>
  <c r="W223" i="50"/>
  <c r="X223" i="50" s="1"/>
  <c r="W213" i="32"/>
  <c r="X213" i="32" s="1"/>
  <c r="Z213" i="32"/>
  <c r="AL215" i="11" a="1"/>
  <c r="AL215" i="11" s="1"/>
  <c r="E216" i="32" s="1"/>
  <c r="AL225" i="59" a="1"/>
  <c r="AL225" i="59" s="1"/>
  <c r="E226" i="50" s="1"/>
  <c r="AM115" i="59" a="1"/>
  <c r="AM115" i="59" s="1"/>
  <c r="AM100" i="11" a="1"/>
  <c r="AM100" i="11" s="1"/>
  <c r="T226" i="50" l="1"/>
  <c r="AK226" i="50"/>
  <c r="AK216" i="32"/>
  <c r="T216" i="32"/>
  <c r="AD214" i="32"/>
  <c r="AM225" i="50"/>
  <c r="U225" i="50"/>
  <c r="AD224" i="50"/>
  <c r="AG224" i="50" s="1"/>
  <c r="AH224" i="50" s="1"/>
  <c r="AI224" i="50" s="1"/>
  <c r="AG213" i="32"/>
  <c r="AH213" i="32" s="1"/>
  <c r="AL213" i="32"/>
  <c r="U215" i="32"/>
  <c r="AI212" i="32"/>
  <c r="AN212" i="32" s="1"/>
  <c r="AP222" i="50"/>
  <c r="AL223" i="50"/>
  <c r="Q215" i="32"/>
  <c r="P215" i="32" s="1"/>
  <c r="O226" i="50"/>
  <c r="AJ224" i="50"/>
  <c r="C224" i="50"/>
  <c r="AJ214" i="32"/>
  <c r="C214" i="32"/>
  <c r="S225" i="50"/>
  <c r="V224" i="50"/>
  <c r="S215" i="32"/>
  <c r="V215" i="32" s="1"/>
  <c r="A216" i="32"/>
  <c r="B216" i="32"/>
  <c r="R216" i="32" s="1"/>
  <c r="I226" i="50"/>
  <c r="M226" i="50"/>
  <c r="H226" i="50"/>
  <c r="J226" i="50"/>
  <c r="F226" i="50"/>
  <c r="G226" i="50"/>
  <c r="L226" i="50"/>
  <c r="B226" i="50"/>
  <c r="R226" i="50" s="1"/>
  <c r="A226" i="50"/>
  <c r="Q226" i="50" s="1"/>
  <c r="P226" i="50" s="1"/>
  <c r="N226" i="50"/>
  <c r="K226" i="50"/>
  <c r="J216" i="32"/>
  <c r="K216" i="32"/>
  <c r="L216" i="32"/>
  <c r="M216" i="32"/>
  <c r="F216" i="32"/>
  <c r="AM216" i="32" s="1"/>
  <c r="N216" i="32"/>
  <c r="O216" i="32"/>
  <c r="G216" i="32"/>
  <c r="H216" i="32"/>
  <c r="I216" i="32"/>
  <c r="Z224" i="50"/>
  <c r="W224" i="50"/>
  <c r="X224" i="50" s="1"/>
  <c r="W214" i="32"/>
  <c r="X214" i="32" s="1"/>
  <c r="Z214" i="32"/>
  <c r="AL216" i="11" a="1"/>
  <c r="AL216" i="11" s="1"/>
  <c r="E217" i="32" s="1"/>
  <c r="AL226" i="59" a="1"/>
  <c r="AL226" i="59" s="1"/>
  <c r="E227" i="50" s="1"/>
  <c r="AM116" i="59" a="1"/>
  <c r="AM116" i="59" s="1"/>
  <c r="AM101" i="11" a="1"/>
  <c r="AM101" i="11" s="1"/>
  <c r="T227" i="50" l="1"/>
  <c r="AK227" i="50"/>
  <c r="AK217" i="32"/>
  <c r="T217" i="32"/>
  <c r="AD215" i="32"/>
  <c r="AM226" i="50"/>
  <c r="U226" i="50"/>
  <c r="AD225" i="50"/>
  <c r="AG225" i="50" s="1"/>
  <c r="AH225" i="50" s="1"/>
  <c r="AI225" i="50" s="1"/>
  <c r="AG214" i="32"/>
  <c r="AH214" i="32" s="1"/>
  <c r="AL214" i="32"/>
  <c r="U216" i="32"/>
  <c r="AI213" i="32"/>
  <c r="AN213" i="32" s="1"/>
  <c r="AP223" i="50"/>
  <c r="AL224" i="50"/>
  <c r="Q216" i="32"/>
  <c r="P216" i="32" s="1"/>
  <c r="O227" i="50"/>
  <c r="AJ225" i="50"/>
  <c r="C225" i="50"/>
  <c r="AJ215" i="32"/>
  <c r="C215" i="32"/>
  <c r="S226" i="50"/>
  <c r="V225" i="50"/>
  <c r="S216" i="32"/>
  <c r="V216" i="32" s="1"/>
  <c r="A217" i="32"/>
  <c r="B217" i="32"/>
  <c r="R217" i="32" s="1"/>
  <c r="M227" i="50"/>
  <c r="K227" i="50"/>
  <c r="N227" i="50"/>
  <c r="F227" i="50"/>
  <c r="H227" i="50"/>
  <c r="G227" i="50"/>
  <c r="L227" i="50"/>
  <c r="A227" i="50"/>
  <c r="Q227" i="50" s="1"/>
  <c r="P227" i="50" s="1"/>
  <c r="J227" i="50"/>
  <c r="I227" i="50"/>
  <c r="B227" i="50"/>
  <c r="R227" i="50" s="1"/>
  <c r="H217" i="32"/>
  <c r="I217" i="32"/>
  <c r="J217" i="32"/>
  <c r="K217" i="32"/>
  <c r="L217" i="32"/>
  <c r="F217" i="32"/>
  <c r="AM217" i="32" s="1"/>
  <c r="G217" i="32"/>
  <c r="M217" i="32"/>
  <c r="N217" i="32"/>
  <c r="O217" i="32"/>
  <c r="W225" i="50"/>
  <c r="X225" i="50" s="1"/>
  <c r="Z225" i="50"/>
  <c r="W215" i="32"/>
  <c r="X215" i="32" s="1"/>
  <c r="Z215" i="32"/>
  <c r="AL217" i="11" a="1"/>
  <c r="AL217" i="11" s="1"/>
  <c r="E218" i="32" s="1"/>
  <c r="AL227" i="59" a="1"/>
  <c r="AL227" i="59" s="1"/>
  <c r="E228" i="50" s="1"/>
  <c r="AM117" i="59" a="1"/>
  <c r="AM117" i="59" s="1"/>
  <c r="AM102" i="11" a="1"/>
  <c r="AM102" i="11" s="1"/>
  <c r="T228" i="50" l="1"/>
  <c r="AK228" i="50"/>
  <c r="AK218" i="32"/>
  <c r="T218" i="32"/>
  <c r="AD216" i="32"/>
  <c r="AD226" i="50"/>
  <c r="AG226" i="50" s="1"/>
  <c r="AH226" i="50" s="1"/>
  <c r="AI226" i="50" s="1"/>
  <c r="AM227" i="50"/>
  <c r="U227" i="50"/>
  <c r="U217" i="32"/>
  <c r="AG215" i="32"/>
  <c r="AH215" i="32" s="1"/>
  <c r="AL215" i="32"/>
  <c r="AI214" i="32"/>
  <c r="AN214" i="32" s="1"/>
  <c r="AP224" i="50"/>
  <c r="AL225" i="50"/>
  <c r="Q217" i="32"/>
  <c r="P217" i="32" s="1"/>
  <c r="O228" i="50"/>
  <c r="AJ226" i="50"/>
  <c r="C226" i="50"/>
  <c r="AJ216" i="32"/>
  <c r="C216" i="32"/>
  <c r="V226" i="50"/>
  <c r="S227" i="50"/>
  <c r="S217" i="32"/>
  <c r="V217" i="32" s="1"/>
  <c r="A218" i="32"/>
  <c r="B218" i="32"/>
  <c r="R218" i="32" s="1"/>
  <c r="F228" i="50"/>
  <c r="H228" i="50"/>
  <c r="J228" i="50"/>
  <c r="I228" i="50"/>
  <c r="A228" i="50"/>
  <c r="Q228" i="50" s="1"/>
  <c r="P228" i="50" s="1"/>
  <c r="L228" i="50"/>
  <c r="B228" i="50"/>
  <c r="R228" i="50" s="1"/>
  <c r="M228" i="50"/>
  <c r="N228" i="50"/>
  <c r="G228" i="50"/>
  <c r="K228" i="50"/>
  <c r="F218" i="32"/>
  <c r="AM218" i="32" s="1"/>
  <c r="N218" i="32"/>
  <c r="G218" i="32"/>
  <c r="O218" i="32"/>
  <c r="H218" i="32"/>
  <c r="I218" i="32"/>
  <c r="J218" i="32"/>
  <c r="M218" i="32"/>
  <c r="K218" i="32"/>
  <c r="L218" i="32"/>
  <c r="Z226" i="50"/>
  <c r="W226" i="50"/>
  <c r="X226" i="50" s="1"/>
  <c r="W216" i="32"/>
  <c r="X216" i="32" s="1"/>
  <c r="Z216" i="32"/>
  <c r="AL218" i="11" a="1"/>
  <c r="AL218" i="11" s="1"/>
  <c r="AL228" i="59" a="1"/>
  <c r="AL228" i="59" s="1"/>
  <c r="E229" i="50" s="1"/>
  <c r="AM118" i="59" a="1"/>
  <c r="AM118" i="59" s="1"/>
  <c r="AM103" i="11" a="1"/>
  <c r="AM103" i="11" s="1"/>
  <c r="T229" i="50" l="1"/>
  <c r="AK229" i="50"/>
  <c r="AD217" i="32"/>
  <c r="AD227" i="50"/>
  <c r="AG227" i="50" s="1"/>
  <c r="AH227" i="50" s="1"/>
  <c r="AI227" i="50" s="1"/>
  <c r="AM228" i="50"/>
  <c r="U228" i="50"/>
  <c r="U218" i="32"/>
  <c r="AG216" i="32"/>
  <c r="AH216" i="32" s="1"/>
  <c r="AL216" i="32"/>
  <c r="AI215" i="32"/>
  <c r="AN215" i="32" s="1"/>
  <c r="AP225" i="50"/>
  <c r="AL226" i="50"/>
  <c r="Q218" i="32"/>
  <c r="P218" i="32" s="1"/>
  <c r="O229" i="50"/>
  <c r="AJ227" i="50"/>
  <c r="C227" i="50"/>
  <c r="AJ217" i="32"/>
  <c r="C217" i="32"/>
  <c r="S228" i="50"/>
  <c r="V227" i="50"/>
  <c r="S218" i="32"/>
  <c r="A229" i="50"/>
  <c r="Q229" i="50" s="1"/>
  <c r="P229" i="50" s="1"/>
  <c r="M229" i="50"/>
  <c r="I229" i="50"/>
  <c r="J229" i="50"/>
  <c r="H229" i="50"/>
  <c r="L229" i="50"/>
  <c r="B229" i="50"/>
  <c r="R229" i="50" s="1"/>
  <c r="N229" i="50"/>
  <c r="K229" i="50"/>
  <c r="F229" i="50"/>
  <c r="G229" i="50"/>
  <c r="Z227" i="50"/>
  <c r="W227" i="50"/>
  <c r="X227" i="50" s="1"/>
  <c r="E219" i="32"/>
  <c r="W217" i="32"/>
  <c r="X217" i="32" s="1"/>
  <c r="Z217" i="32"/>
  <c r="AL219" i="11" a="1"/>
  <c r="AL219" i="11" s="1"/>
  <c r="E220" i="32" s="1"/>
  <c r="AL229" i="59" a="1"/>
  <c r="AL229" i="59" s="1"/>
  <c r="E230" i="50" s="1"/>
  <c r="AM119" i="59" a="1"/>
  <c r="AM119" i="59" s="1"/>
  <c r="AM104" i="11" a="1"/>
  <c r="AM104" i="11" s="1"/>
  <c r="T230" i="50" l="1"/>
  <c r="AK230" i="50"/>
  <c r="AK220" i="32"/>
  <c r="T220" i="32"/>
  <c r="AK219" i="32"/>
  <c r="T219" i="32"/>
  <c r="AD218" i="32"/>
  <c r="AD228" i="50"/>
  <c r="AG228" i="50" s="1"/>
  <c r="AH228" i="50" s="1"/>
  <c r="AI228" i="50" s="1"/>
  <c r="AM229" i="50"/>
  <c r="U229" i="50"/>
  <c r="AG217" i="32"/>
  <c r="AH217" i="32" s="1"/>
  <c r="AL217" i="32"/>
  <c r="AI216" i="32"/>
  <c r="AN216" i="32" s="1"/>
  <c r="AP226" i="50"/>
  <c r="AL227" i="50"/>
  <c r="O230" i="50"/>
  <c r="C218" i="32"/>
  <c r="V218" i="32"/>
  <c r="AJ228" i="50"/>
  <c r="C228" i="50"/>
  <c r="AJ218" i="32"/>
  <c r="S229" i="50"/>
  <c r="V228" i="50"/>
  <c r="A220" i="32"/>
  <c r="B220" i="32"/>
  <c r="R220" i="32" s="1"/>
  <c r="A219" i="32"/>
  <c r="B219" i="32"/>
  <c r="R219" i="32" s="1"/>
  <c r="G230" i="50"/>
  <c r="M230" i="50"/>
  <c r="K230" i="50"/>
  <c r="F230" i="50"/>
  <c r="I230" i="50"/>
  <c r="L230" i="50"/>
  <c r="N230" i="50"/>
  <c r="A230" i="50"/>
  <c r="Q230" i="50" s="1"/>
  <c r="P230" i="50" s="1"/>
  <c r="H230" i="50"/>
  <c r="B230" i="50"/>
  <c r="R230" i="50" s="1"/>
  <c r="J230" i="50"/>
  <c r="J220" i="32"/>
  <c r="K220" i="32"/>
  <c r="L220" i="32"/>
  <c r="M220" i="32"/>
  <c r="F220" i="32"/>
  <c r="AM220" i="32" s="1"/>
  <c r="N220" i="32"/>
  <c r="H220" i="32"/>
  <c r="I220" i="32"/>
  <c r="O220" i="32"/>
  <c r="G220" i="32"/>
  <c r="L219" i="32"/>
  <c r="M219" i="32"/>
  <c r="F219" i="32"/>
  <c r="AM219" i="32" s="1"/>
  <c r="N219" i="32"/>
  <c r="G219" i="32"/>
  <c r="O219" i="32"/>
  <c r="H219" i="32"/>
  <c r="I219" i="32"/>
  <c r="J219" i="32"/>
  <c r="K219" i="32"/>
  <c r="W228" i="50"/>
  <c r="X228" i="50" s="1"/>
  <c r="Z228" i="50"/>
  <c r="W218" i="32"/>
  <c r="X218" i="32" s="1"/>
  <c r="Z218" i="32"/>
  <c r="AL220" i="11" a="1"/>
  <c r="AL220" i="11" s="1"/>
  <c r="AL230" i="59" a="1"/>
  <c r="AL230" i="59" s="1"/>
  <c r="E231" i="50" s="1"/>
  <c r="AM120" i="59" a="1"/>
  <c r="AM120" i="59" s="1"/>
  <c r="AM105" i="11" a="1"/>
  <c r="AM105" i="11" s="1"/>
  <c r="AK231" i="50" l="1"/>
  <c r="T231" i="50"/>
  <c r="AD229" i="50"/>
  <c r="AG229" i="50" s="1"/>
  <c r="AH229" i="50" s="1"/>
  <c r="AI229" i="50" s="1"/>
  <c r="AM230" i="50"/>
  <c r="U230" i="50"/>
  <c r="U219" i="32"/>
  <c r="AG218" i="32"/>
  <c r="AH218" i="32" s="1"/>
  <c r="AL218" i="32"/>
  <c r="U220" i="32"/>
  <c r="AI217" i="32"/>
  <c r="AN217" i="32" s="1"/>
  <c r="AP227" i="50"/>
  <c r="AL228" i="50"/>
  <c r="Q219" i="32"/>
  <c r="P219" i="32" s="1"/>
  <c r="Q220" i="32"/>
  <c r="P220" i="32" s="1"/>
  <c r="O231" i="50"/>
  <c r="AJ229" i="50"/>
  <c r="C229" i="50"/>
  <c r="S230" i="50"/>
  <c r="V229" i="50"/>
  <c r="S220" i="32"/>
  <c r="S219" i="32"/>
  <c r="V219" i="32" s="1"/>
  <c r="G231" i="50"/>
  <c r="K231" i="50"/>
  <c r="N231" i="50"/>
  <c r="M231" i="50"/>
  <c r="I231" i="50"/>
  <c r="A231" i="50"/>
  <c r="Q231" i="50" s="1"/>
  <c r="P231" i="50" s="1"/>
  <c r="B231" i="50"/>
  <c r="R231" i="50" s="1"/>
  <c r="H231" i="50"/>
  <c r="J231" i="50"/>
  <c r="F231" i="50"/>
  <c r="L231" i="50"/>
  <c r="W229" i="50"/>
  <c r="X229" i="50" s="1"/>
  <c r="Z229" i="50"/>
  <c r="E221" i="32"/>
  <c r="AL221" i="11" a="1"/>
  <c r="AL221" i="11" s="1"/>
  <c r="E222" i="32" s="1"/>
  <c r="AL231" i="59" a="1"/>
  <c r="AL231" i="59" s="1"/>
  <c r="E232" i="50" s="1"/>
  <c r="AM121" i="59" a="1"/>
  <c r="AM121" i="59" s="1"/>
  <c r="AM106" i="11" a="1"/>
  <c r="AM106" i="11" s="1"/>
  <c r="AK232" i="50" l="1"/>
  <c r="T232" i="50"/>
  <c r="AK221" i="32"/>
  <c r="T221" i="32"/>
  <c r="AK222" i="32"/>
  <c r="T222" i="32"/>
  <c r="AD220" i="32"/>
  <c r="AD219" i="32"/>
  <c r="AM231" i="50"/>
  <c r="U231" i="50"/>
  <c r="AD230" i="50"/>
  <c r="AG230" i="50" s="1"/>
  <c r="AH230" i="50" s="1"/>
  <c r="AI230" i="50" s="1"/>
  <c r="AI218" i="32"/>
  <c r="AN218" i="32" s="1"/>
  <c r="AP228" i="50"/>
  <c r="AL229" i="50"/>
  <c r="O232" i="50"/>
  <c r="C220" i="32"/>
  <c r="V220" i="32"/>
  <c r="AJ230" i="50"/>
  <c r="C230" i="50"/>
  <c r="AJ219" i="32"/>
  <c r="C219" i="32"/>
  <c r="AJ220" i="32"/>
  <c r="S231" i="50"/>
  <c r="V230" i="50"/>
  <c r="A221" i="32"/>
  <c r="B221" i="32"/>
  <c r="R221" i="32" s="1"/>
  <c r="A222" i="32"/>
  <c r="B222" i="32"/>
  <c r="R222" i="32" s="1"/>
  <c r="F232" i="50"/>
  <c r="M232" i="50"/>
  <c r="J232" i="50"/>
  <c r="N232" i="50"/>
  <c r="B232" i="50"/>
  <c r="R232" i="50" s="1"/>
  <c r="K232" i="50"/>
  <c r="A232" i="50"/>
  <c r="Q232" i="50" s="1"/>
  <c r="P232" i="50" s="1"/>
  <c r="I232" i="50"/>
  <c r="G232" i="50"/>
  <c r="L232" i="50"/>
  <c r="H232" i="50"/>
  <c r="H221" i="32"/>
  <c r="I221" i="32"/>
  <c r="J221" i="32"/>
  <c r="K221" i="32"/>
  <c r="L221" i="32"/>
  <c r="F221" i="32"/>
  <c r="AM221" i="32" s="1"/>
  <c r="G221" i="32"/>
  <c r="M221" i="32"/>
  <c r="N221" i="32"/>
  <c r="O221" i="32"/>
  <c r="F222" i="32"/>
  <c r="AM222" i="32" s="1"/>
  <c r="N222" i="32"/>
  <c r="G222" i="32"/>
  <c r="O222" i="32"/>
  <c r="H222" i="32"/>
  <c r="I222" i="32"/>
  <c r="J222" i="32"/>
  <c r="K222" i="32"/>
  <c r="L222" i="32"/>
  <c r="M222" i="32"/>
  <c r="W230" i="50"/>
  <c r="X230" i="50" s="1"/>
  <c r="Z230" i="50"/>
  <c r="Z219" i="32"/>
  <c r="W219" i="32"/>
  <c r="X219" i="32" s="1"/>
  <c r="W220" i="32"/>
  <c r="X220" i="32" s="1"/>
  <c r="Z220" i="32"/>
  <c r="AL222" i="11" a="1"/>
  <c r="AL222" i="11" s="1"/>
  <c r="E223" i="32" s="1"/>
  <c r="AL232" i="59" a="1"/>
  <c r="AL232" i="59" s="1"/>
  <c r="E233" i="50" s="1"/>
  <c r="AM122" i="59" a="1"/>
  <c r="AM122" i="59" s="1"/>
  <c r="AM107" i="11" a="1"/>
  <c r="AM107" i="11" s="1"/>
  <c r="T233" i="50" l="1"/>
  <c r="AK233" i="50"/>
  <c r="AK223" i="32"/>
  <c r="T223" i="32"/>
  <c r="AD231" i="50"/>
  <c r="AG231" i="50" s="1"/>
  <c r="AH231" i="50" s="1"/>
  <c r="AI231" i="50" s="1"/>
  <c r="AM232" i="50"/>
  <c r="U232" i="50"/>
  <c r="U221" i="32"/>
  <c r="AG220" i="32"/>
  <c r="AH220" i="32" s="1"/>
  <c r="AL220" i="32"/>
  <c r="U222" i="32"/>
  <c r="AG219" i="32"/>
  <c r="AH219" i="32" s="1"/>
  <c r="AL219" i="32"/>
  <c r="AP229" i="50"/>
  <c r="AL230" i="50"/>
  <c r="Q221" i="32"/>
  <c r="P221" i="32" s="1"/>
  <c r="Q222" i="32"/>
  <c r="P222" i="32" s="1"/>
  <c r="O233" i="50"/>
  <c r="AJ231" i="50"/>
  <c r="C231" i="50"/>
  <c r="S232" i="50"/>
  <c r="V231" i="50"/>
  <c r="S221" i="32"/>
  <c r="S222" i="32"/>
  <c r="A223" i="32"/>
  <c r="B223" i="32"/>
  <c r="R223" i="32" s="1"/>
  <c r="G233" i="50"/>
  <c r="A233" i="50"/>
  <c r="Q233" i="50" s="1"/>
  <c r="P233" i="50" s="1"/>
  <c r="F233" i="50"/>
  <c r="L233" i="50"/>
  <c r="B233" i="50"/>
  <c r="R233" i="50" s="1"/>
  <c r="I233" i="50"/>
  <c r="N233" i="50"/>
  <c r="M233" i="50"/>
  <c r="K233" i="50"/>
  <c r="H233" i="50"/>
  <c r="J233" i="50"/>
  <c r="L223" i="32"/>
  <c r="M223" i="32"/>
  <c r="F223" i="32"/>
  <c r="AM223" i="32" s="1"/>
  <c r="N223" i="32"/>
  <c r="G223" i="32"/>
  <c r="O223" i="32"/>
  <c r="H223" i="32"/>
  <c r="I223" i="32"/>
  <c r="J223" i="32"/>
  <c r="K223" i="32"/>
  <c r="Z231" i="50"/>
  <c r="W231" i="50"/>
  <c r="X231" i="50" s="1"/>
  <c r="AL223" i="11" a="1"/>
  <c r="AL223" i="11" s="1"/>
  <c r="E224" i="32" s="1"/>
  <c r="AL233" i="59" a="1"/>
  <c r="AL233" i="59" s="1"/>
  <c r="E234" i="50" s="1"/>
  <c r="AM123" i="59" a="1"/>
  <c r="AM123" i="59" s="1"/>
  <c r="AM108" i="11" a="1"/>
  <c r="AM108" i="11" s="1"/>
  <c r="T234" i="50" l="1"/>
  <c r="AK234" i="50"/>
  <c r="AK224" i="32"/>
  <c r="T224" i="32"/>
  <c r="AD222" i="32"/>
  <c r="AD221" i="32"/>
  <c r="AM233" i="50"/>
  <c r="U233" i="50"/>
  <c r="AD232" i="50"/>
  <c r="AG232" i="50" s="1"/>
  <c r="AH232" i="50" s="1"/>
  <c r="AI232" i="50" s="1"/>
  <c r="U223" i="32"/>
  <c r="AI220" i="32"/>
  <c r="AN220" i="32" s="1"/>
  <c r="AI219" i="32"/>
  <c r="AN219" i="32" s="1"/>
  <c r="AP230" i="50"/>
  <c r="AL231" i="50"/>
  <c r="Q223" i="32"/>
  <c r="P223" i="32" s="1"/>
  <c r="O234" i="50"/>
  <c r="C222" i="32"/>
  <c r="V222" i="32"/>
  <c r="C221" i="32"/>
  <c r="V221" i="32"/>
  <c r="AJ232" i="50"/>
  <c r="C232" i="50"/>
  <c r="AJ222" i="32"/>
  <c r="AJ221" i="32"/>
  <c r="V232" i="50"/>
  <c r="S233" i="50"/>
  <c r="S223" i="32"/>
  <c r="V223" i="32" s="1"/>
  <c r="A224" i="32"/>
  <c r="B224" i="32"/>
  <c r="R224" i="32" s="1"/>
  <c r="B234" i="50"/>
  <c r="R234" i="50" s="1"/>
  <c r="M234" i="50"/>
  <c r="L234" i="50"/>
  <c r="K234" i="50"/>
  <c r="F234" i="50"/>
  <c r="I234" i="50"/>
  <c r="A234" i="50"/>
  <c r="Q234" i="50" s="1"/>
  <c r="P234" i="50" s="1"/>
  <c r="H234" i="50"/>
  <c r="J234" i="50"/>
  <c r="G234" i="50"/>
  <c r="N234" i="50"/>
  <c r="J224" i="32"/>
  <c r="K224" i="32"/>
  <c r="L224" i="32"/>
  <c r="M224" i="32"/>
  <c r="F224" i="32"/>
  <c r="AM224" i="32" s="1"/>
  <c r="N224" i="32"/>
  <c r="G224" i="32"/>
  <c r="I224" i="32"/>
  <c r="O224" i="32"/>
  <c r="H224" i="32"/>
  <c r="Z221" i="32"/>
  <c r="W221" i="32"/>
  <c r="X221" i="32" s="1"/>
  <c r="W232" i="50"/>
  <c r="X232" i="50" s="1"/>
  <c r="Z232" i="50"/>
  <c r="W222" i="32"/>
  <c r="X222" i="32" s="1"/>
  <c r="Z222" i="32"/>
  <c r="AL224" i="11" a="1"/>
  <c r="AL224" i="11" s="1"/>
  <c r="E225" i="32" s="1"/>
  <c r="AL234" i="59" a="1"/>
  <c r="AL234" i="59" s="1"/>
  <c r="E235" i="50" s="1"/>
  <c r="AM124" i="59" a="1"/>
  <c r="AM124" i="59" s="1"/>
  <c r="AM109" i="11" a="1"/>
  <c r="AM109" i="11" s="1"/>
  <c r="T235" i="50" l="1"/>
  <c r="AK235" i="50"/>
  <c r="AK225" i="32"/>
  <c r="T225" i="32"/>
  <c r="AD223" i="32"/>
  <c r="AD233" i="50"/>
  <c r="AG233" i="50" s="1"/>
  <c r="AH233" i="50" s="1"/>
  <c r="AI233" i="50" s="1"/>
  <c r="AM234" i="50"/>
  <c r="U234" i="50"/>
  <c r="AG221" i="32"/>
  <c r="AH221" i="32" s="1"/>
  <c r="AL221" i="32"/>
  <c r="U224" i="32"/>
  <c r="AG222" i="32"/>
  <c r="AH222" i="32" s="1"/>
  <c r="AL222" i="32"/>
  <c r="AP231" i="50"/>
  <c r="AL232" i="50"/>
  <c r="Q224" i="32"/>
  <c r="P224" i="32" s="1"/>
  <c r="O235" i="50"/>
  <c r="AJ233" i="50"/>
  <c r="C233" i="50"/>
  <c r="AJ223" i="32"/>
  <c r="C223" i="32"/>
  <c r="V233" i="50"/>
  <c r="S234" i="50"/>
  <c r="S224" i="32"/>
  <c r="V224" i="32" s="1"/>
  <c r="A225" i="32"/>
  <c r="B225" i="32"/>
  <c r="R225" i="32" s="1"/>
  <c r="H235" i="50"/>
  <c r="M235" i="50"/>
  <c r="G235" i="50"/>
  <c r="K235" i="50"/>
  <c r="N235" i="50"/>
  <c r="F235" i="50"/>
  <c r="B235" i="50"/>
  <c r="R235" i="50" s="1"/>
  <c r="I235" i="50"/>
  <c r="J235" i="50"/>
  <c r="A235" i="50"/>
  <c r="Q235" i="50" s="1"/>
  <c r="P235" i="50" s="1"/>
  <c r="L235" i="50"/>
  <c r="H225" i="32"/>
  <c r="I225" i="32"/>
  <c r="J225" i="32"/>
  <c r="K225" i="32"/>
  <c r="L225" i="32"/>
  <c r="G225" i="32"/>
  <c r="M225" i="32"/>
  <c r="N225" i="32"/>
  <c r="O225" i="32"/>
  <c r="F225" i="32"/>
  <c r="AM225" i="32" s="1"/>
  <c r="Z233" i="50"/>
  <c r="W233" i="50"/>
  <c r="X233" i="50" s="1"/>
  <c r="W223" i="32"/>
  <c r="X223" i="32" s="1"/>
  <c r="Z223" i="32"/>
  <c r="AL225" i="11" a="1"/>
  <c r="AL225" i="11" s="1"/>
  <c r="E226" i="32" s="1"/>
  <c r="AL235" i="59" a="1"/>
  <c r="AL235" i="59" s="1"/>
  <c r="E236" i="50" s="1"/>
  <c r="AM125" i="59" a="1"/>
  <c r="AM125" i="59" s="1"/>
  <c r="AM110" i="11" a="1"/>
  <c r="AM110" i="11" s="1"/>
  <c r="T236" i="50" l="1"/>
  <c r="AK236" i="50"/>
  <c r="AK226" i="32"/>
  <c r="T226" i="32"/>
  <c r="AD224" i="32"/>
  <c r="AM235" i="50"/>
  <c r="U235" i="50"/>
  <c r="AD234" i="50"/>
  <c r="AG234" i="50" s="1"/>
  <c r="AH234" i="50" s="1"/>
  <c r="AI234" i="50" s="1"/>
  <c r="AG223" i="32"/>
  <c r="AH223" i="32" s="1"/>
  <c r="AL223" i="32"/>
  <c r="U225" i="32"/>
  <c r="AI222" i="32"/>
  <c r="AN222" i="32" s="1"/>
  <c r="AP232" i="50"/>
  <c r="AL233" i="50"/>
  <c r="Q225" i="32"/>
  <c r="P225" i="32" s="1"/>
  <c r="AI221" i="32"/>
  <c r="AN221" i="32" s="1"/>
  <c r="O236" i="50"/>
  <c r="AJ234" i="50"/>
  <c r="C234" i="50"/>
  <c r="AJ224" i="32"/>
  <c r="C224" i="32"/>
  <c r="V234" i="50"/>
  <c r="S235" i="50"/>
  <c r="S225" i="32"/>
  <c r="V225" i="32" s="1"/>
  <c r="A226" i="32"/>
  <c r="B226" i="32"/>
  <c r="R226" i="32" s="1"/>
  <c r="A236" i="50"/>
  <c r="Q236" i="50" s="1"/>
  <c r="P236" i="50" s="1"/>
  <c r="F236" i="50"/>
  <c r="H236" i="50"/>
  <c r="J236" i="50"/>
  <c r="I236" i="50"/>
  <c r="N236" i="50"/>
  <c r="M236" i="50"/>
  <c r="L236" i="50"/>
  <c r="B236" i="50"/>
  <c r="R236" i="50" s="1"/>
  <c r="G236" i="50"/>
  <c r="K236" i="50"/>
  <c r="F226" i="32"/>
  <c r="AM226" i="32" s="1"/>
  <c r="N226" i="32"/>
  <c r="G226" i="32"/>
  <c r="O226" i="32"/>
  <c r="H226" i="32"/>
  <c r="I226" i="32"/>
  <c r="J226" i="32"/>
  <c r="K226" i="32"/>
  <c r="L226" i="32"/>
  <c r="M226" i="32"/>
  <c r="Z234" i="50"/>
  <c r="W234" i="50"/>
  <c r="X234" i="50" s="1"/>
  <c r="W224" i="32"/>
  <c r="X224" i="32" s="1"/>
  <c r="Z224" i="32"/>
  <c r="AL226" i="11" a="1"/>
  <c r="AL226" i="11" s="1"/>
  <c r="E227" i="32" s="1"/>
  <c r="AL236" i="59" a="1"/>
  <c r="AL236" i="59" s="1"/>
  <c r="E237" i="50" s="1"/>
  <c r="AM126" i="59" a="1"/>
  <c r="AM126" i="59" s="1"/>
  <c r="AM111" i="11" a="1"/>
  <c r="AM111" i="11" s="1"/>
  <c r="T237" i="50" l="1"/>
  <c r="AK237" i="50"/>
  <c r="AK227" i="32"/>
  <c r="T227" i="32"/>
  <c r="AD225" i="32"/>
  <c r="AD235" i="50"/>
  <c r="AG235" i="50" s="1"/>
  <c r="AH235" i="50" s="1"/>
  <c r="AI235" i="50" s="1"/>
  <c r="AM236" i="50"/>
  <c r="U236" i="50"/>
  <c r="U226" i="32"/>
  <c r="AG224" i="32"/>
  <c r="AH224" i="32" s="1"/>
  <c r="AL224" i="32"/>
  <c r="AI223" i="32"/>
  <c r="AN223" i="32" s="1"/>
  <c r="AP233" i="50"/>
  <c r="AL234" i="50"/>
  <c r="Q226" i="32"/>
  <c r="P226" i="32" s="1"/>
  <c r="O237" i="50"/>
  <c r="AJ235" i="50"/>
  <c r="C235" i="50"/>
  <c r="AJ225" i="32"/>
  <c r="C225" i="32"/>
  <c r="S236" i="50"/>
  <c r="V235" i="50"/>
  <c r="S226" i="32"/>
  <c r="V226" i="32" s="1"/>
  <c r="A227" i="32"/>
  <c r="B227" i="32"/>
  <c r="R227" i="32" s="1"/>
  <c r="A237" i="50"/>
  <c r="Q237" i="50" s="1"/>
  <c r="P237" i="50" s="1"/>
  <c r="M237" i="50"/>
  <c r="I237" i="50"/>
  <c r="H237" i="50"/>
  <c r="G237" i="50"/>
  <c r="K237" i="50"/>
  <c r="J237" i="50"/>
  <c r="L237" i="50"/>
  <c r="B237" i="50"/>
  <c r="R237" i="50" s="1"/>
  <c r="F237" i="50"/>
  <c r="N237" i="50"/>
  <c r="L227" i="32"/>
  <c r="M227" i="32"/>
  <c r="F227" i="32"/>
  <c r="AM227" i="32" s="1"/>
  <c r="N227" i="32"/>
  <c r="G227" i="32"/>
  <c r="O227" i="32"/>
  <c r="H227" i="32"/>
  <c r="J227" i="32"/>
  <c r="K227" i="32"/>
  <c r="I227" i="32"/>
  <c r="W235" i="50"/>
  <c r="X235" i="50" s="1"/>
  <c r="Z235" i="50"/>
  <c r="W225" i="32"/>
  <c r="X225" i="32" s="1"/>
  <c r="Z225" i="32"/>
  <c r="AL227" i="11" a="1"/>
  <c r="AL227" i="11" s="1"/>
  <c r="E228" i="32" s="1"/>
  <c r="AL237" i="59" a="1"/>
  <c r="AL237" i="59" s="1"/>
  <c r="E238" i="50" s="1"/>
  <c r="AM127" i="59" a="1"/>
  <c r="AM127" i="59" s="1"/>
  <c r="AM112" i="11" a="1"/>
  <c r="AM112" i="11" s="1"/>
  <c r="T238" i="50" l="1"/>
  <c r="AK238" i="50"/>
  <c r="AK228" i="32"/>
  <c r="T228" i="32"/>
  <c r="AD226" i="32"/>
  <c r="AM237" i="50"/>
  <c r="U237" i="50"/>
  <c r="AD236" i="50"/>
  <c r="AG236" i="50" s="1"/>
  <c r="AH236" i="50" s="1"/>
  <c r="AI236" i="50" s="1"/>
  <c r="U227" i="32"/>
  <c r="AG225" i="32"/>
  <c r="AH225" i="32" s="1"/>
  <c r="AL225" i="32"/>
  <c r="AI224" i="32"/>
  <c r="AN224" i="32" s="1"/>
  <c r="AP234" i="50"/>
  <c r="AL235" i="50"/>
  <c r="Q227" i="32"/>
  <c r="P227" i="32" s="1"/>
  <c r="O238" i="50"/>
  <c r="AJ236" i="50"/>
  <c r="C236" i="50"/>
  <c r="AJ226" i="32"/>
  <c r="C226" i="32"/>
  <c r="S237" i="50"/>
  <c r="V236" i="50"/>
  <c r="S227" i="32"/>
  <c r="V227" i="32" s="1"/>
  <c r="A228" i="32"/>
  <c r="B228" i="32"/>
  <c r="R228" i="32" s="1"/>
  <c r="I238" i="50"/>
  <c r="L238" i="50"/>
  <c r="M238" i="50"/>
  <c r="B238" i="50"/>
  <c r="R238" i="50" s="1"/>
  <c r="A238" i="50"/>
  <c r="Q238" i="50" s="1"/>
  <c r="P238" i="50" s="1"/>
  <c r="K238" i="50"/>
  <c r="H238" i="50"/>
  <c r="F238" i="50"/>
  <c r="N238" i="50"/>
  <c r="G238" i="50"/>
  <c r="J238" i="50"/>
  <c r="J228" i="32"/>
  <c r="K228" i="32"/>
  <c r="L228" i="32"/>
  <c r="M228" i="32"/>
  <c r="F228" i="32"/>
  <c r="AM228" i="32" s="1"/>
  <c r="N228" i="32"/>
  <c r="G228" i="32"/>
  <c r="H228" i="32"/>
  <c r="O228" i="32"/>
  <c r="I228" i="32"/>
  <c r="W236" i="50"/>
  <c r="X236" i="50" s="1"/>
  <c r="Z236" i="50"/>
  <c r="W226" i="32"/>
  <c r="X226" i="32" s="1"/>
  <c r="Z226" i="32"/>
  <c r="AL228" i="11" a="1"/>
  <c r="AL228" i="11" s="1"/>
  <c r="AL238" i="59" a="1"/>
  <c r="AL238" i="59" s="1"/>
  <c r="E239" i="50" s="1"/>
  <c r="AM128" i="59" a="1"/>
  <c r="AM128" i="59" s="1"/>
  <c r="AM113" i="11" a="1"/>
  <c r="AM113" i="11" s="1"/>
  <c r="AK239" i="50" l="1"/>
  <c r="T239" i="50"/>
  <c r="AD227" i="32"/>
  <c r="AD237" i="50"/>
  <c r="AG237" i="50" s="1"/>
  <c r="AH237" i="50" s="1"/>
  <c r="AI237" i="50" s="1"/>
  <c r="AM238" i="50"/>
  <c r="U238" i="50"/>
  <c r="U228" i="32"/>
  <c r="AG226" i="32"/>
  <c r="AH226" i="32" s="1"/>
  <c r="AL226" i="32"/>
  <c r="AP235" i="50"/>
  <c r="AL236" i="50"/>
  <c r="Q228" i="32"/>
  <c r="P228" i="32" s="1"/>
  <c r="AI225" i="32"/>
  <c r="AN225" i="32" s="1"/>
  <c r="O239" i="50"/>
  <c r="AJ237" i="50"/>
  <c r="C237" i="50"/>
  <c r="AJ227" i="32"/>
  <c r="C227" i="32"/>
  <c r="V237" i="50"/>
  <c r="S238" i="50"/>
  <c r="S228" i="32"/>
  <c r="V228" i="32" s="1"/>
  <c r="B239" i="50"/>
  <c r="R239" i="50" s="1"/>
  <c r="A239" i="50"/>
  <c r="Q239" i="50" s="1"/>
  <c r="P239" i="50" s="1"/>
  <c r="K239" i="50"/>
  <c r="H239" i="50"/>
  <c r="I239" i="50"/>
  <c r="N239" i="50"/>
  <c r="M239" i="50"/>
  <c r="F239" i="50"/>
  <c r="G239" i="50"/>
  <c r="J239" i="50"/>
  <c r="L239" i="50"/>
  <c r="W237" i="50"/>
  <c r="X237" i="50" s="1"/>
  <c r="Z237" i="50"/>
  <c r="E229" i="32"/>
  <c r="W227" i="32"/>
  <c r="X227" i="32" s="1"/>
  <c r="Z227" i="32"/>
  <c r="AL229" i="11" a="1"/>
  <c r="AL229" i="11" s="1"/>
  <c r="E230" i="32" s="1"/>
  <c r="AL239" i="59" a="1"/>
  <c r="AL239" i="59" s="1"/>
  <c r="E240" i="50" s="1"/>
  <c r="AM129" i="59" a="1"/>
  <c r="AM129" i="59" s="1"/>
  <c r="AM114" i="11" a="1"/>
  <c r="AM114" i="11" s="1"/>
  <c r="AK240" i="50" l="1"/>
  <c r="T240" i="50"/>
  <c r="AK230" i="32"/>
  <c r="T230" i="32"/>
  <c r="AK229" i="32"/>
  <c r="T229" i="32"/>
  <c r="AD228" i="32"/>
  <c r="AG227" i="32"/>
  <c r="AH227" i="32" s="1"/>
  <c r="AL227" i="32"/>
  <c r="AM239" i="50"/>
  <c r="U239" i="50"/>
  <c r="AD238" i="50"/>
  <c r="AG238" i="50" s="1"/>
  <c r="AH238" i="50" s="1"/>
  <c r="AI238" i="50" s="1"/>
  <c r="AI226" i="32"/>
  <c r="AN226" i="32" s="1"/>
  <c r="AP236" i="50"/>
  <c r="AL237" i="50"/>
  <c r="O240" i="50"/>
  <c r="AJ238" i="50"/>
  <c r="C238" i="50"/>
  <c r="AJ228" i="32"/>
  <c r="C228" i="32"/>
  <c r="S239" i="50"/>
  <c r="V238" i="50"/>
  <c r="A230" i="32"/>
  <c r="B230" i="32"/>
  <c r="R230" i="32" s="1"/>
  <c r="A229" i="32"/>
  <c r="B229" i="32"/>
  <c r="R229" i="32" s="1"/>
  <c r="B240" i="50"/>
  <c r="R240" i="50" s="1"/>
  <c r="F240" i="50"/>
  <c r="N240" i="50"/>
  <c r="M240" i="50"/>
  <c r="H240" i="50"/>
  <c r="J240" i="50"/>
  <c r="G240" i="50"/>
  <c r="K240" i="50"/>
  <c r="L240" i="50"/>
  <c r="A240" i="50"/>
  <c r="Q240" i="50" s="1"/>
  <c r="P240" i="50" s="1"/>
  <c r="I240" i="50"/>
  <c r="H229" i="32"/>
  <c r="I229" i="32"/>
  <c r="J229" i="32"/>
  <c r="K229" i="32"/>
  <c r="L229" i="32"/>
  <c r="M229" i="32"/>
  <c r="N229" i="32"/>
  <c r="O229" i="32"/>
  <c r="F229" i="32"/>
  <c r="AM229" i="32" s="1"/>
  <c r="G229" i="32"/>
  <c r="F230" i="32"/>
  <c r="AM230" i="32" s="1"/>
  <c r="N230" i="32"/>
  <c r="G230" i="32"/>
  <c r="O230" i="32"/>
  <c r="H230" i="32"/>
  <c r="I230" i="32"/>
  <c r="J230" i="32"/>
  <c r="K230" i="32"/>
  <c r="L230" i="32"/>
  <c r="M230" i="32"/>
  <c r="Z238" i="50"/>
  <c r="W238" i="50"/>
  <c r="X238" i="50" s="1"/>
  <c r="W228" i="32"/>
  <c r="X228" i="32" s="1"/>
  <c r="Z228" i="32"/>
  <c r="AL230" i="11" a="1"/>
  <c r="AL230" i="11" s="1"/>
  <c r="AL240" i="59" a="1"/>
  <c r="AL240" i="59" s="1"/>
  <c r="E241" i="50" s="1"/>
  <c r="AM130" i="59" a="1"/>
  <c r="AM130" i="59" s="1"/>
  <c r="AM115" i="11" a="1"/>
  <c r="AM115" i="11" s="1"/>
  <c r="T241" i="50" l="1"/>
  <c r="AK241" i="50"/>
  <c r="AM240" i="50"/>
  <c r="U240" i="50"/>
  <c r="AD239" i="50"/>
  <c r="AG239" i="50" s="1"/>
  <c r="AH239" i="50" s="1"/>
  <c r="AI239" i="50" s="1"/>
  <c r="U230" i="32"/>
  <c r="AG228" i="32"/>
  <c r="AH228" i="32" s="1"/>
  <c r="AL228" i="32"/>
  <c r="U229" i="32"/>
  <c r="AI227" i="32"/>
  <c r="AN227" i="32" s="1"/>
  <c r="AP237" i="50"/>
  <c r="AL238" i="50"/>
  <c r="Q229" i="32"/>
  <c r="P229" i="32" s="1"/>
  <c r="Q230" i="32"/>
  <c r="P230" i="32" s="1"/>
  <c r="O241" i="50"/>
  <c r="AJ239" i="50"/>
  <c r="C239" i="50"/>
  <c r="V239" i="50"/>
  <c r="S240" i="50"/>
  <c r="S229" i="32"/>
  <c r="S230" i="32"/>
  <c r="G241" i="50"/>
  <c r="M241" i="50"/>
  <c r="L241" i="50"/>
  <c r="N241" i="50"/>
  <c r="F241" i="50"/>
  <c r="J241" i="50"/>
  <c r="I241" i="50"/>
  <c r="B241" i="50"/>
  <c r="R241" i="50" s="1"/>
  <c r="K241" i="50"/>
  <c r="H241" i="50"/>
  <c r="A241" i="50"/>
  <c r="Q241" i="50" s="1"/>
  <c r="P241" i="50" s="1"/>
  <c r="Z239" i="50"/>
  <c r="W239" i="50"/>
  <c r="X239" i="50" s="1"/>
  <c r="E231" i="32"/>
  <c r="AL231" i="11" a="1"/>
  <c r="AL231" i="11" s="1"/>
  <c r="E232" i="32" s="1"/>
  <c r="AL241" i="59" a="1"/>
  <c r="AL241" i="59" s="1"/>
  <c r="E242" i="50" s="1"/>
  <c r="AM131" i="59" a="1"/>
  <c r="AM131" i="59" s="1"/>
  <c r="AM116" i="11" a="1"/>
  <c r="AM116" i="11" s="1"/>
  <c r="T242" i="50" l="1"/>
  <c r="AK242" i="50"/>
  <c r="AK231" i="32"/>
  <c r="T231" i="32"/>
  <c r="AK232" i="32"/>
  <c r="T232" i="32"/>
  <c r="AD229" i="32"/>
  <c r="AD230" i="32"/>
  <c r="AM241" i="50"/>
  <c r="U241" i="50"/>
  <c r="AD240" i="50"/>
  <c r="AG240" i="50" s="1"/>
  <c r="AH240" i="50" s="1"/>
  <c r="AI240" i="50" s="1"/>
  <c r="AI228" i="32"/>
  <c r="AN228" i="32" s="1"/>
  <c r="AP238" i="50"/>
  <c r="AL239" i="50"/>
  <c r="O242" i="50"/>
  <c r="C229" i="32"/>
  <c r="V229" i="32"/>
  <c r="C230" i="32"/>
  <c r="V230" i="32"/>
  <c r="AJ240" i="50"/>
  <c r="C240" i="50"/>
  <c r="AJ229" i="32"/>
  <c r="AJ230" i="32"/>
  <c r="S241" i="50"/>
  <c r="V240" i="50"/>
  <c r="A231" i="32"/>
  <c r="B231" i="32"/>
  <c r="R231" i="32" s="1"/>
  <c r="A232" i="32"/>
  <c r="B232" i="32"/>
  <c r="R232" i="32" s="1"/>
  <c r="B242" i="50"/>
  <c r="R242" i="50" s="1"/>
  <c r="G242" i="50"/>
  <c r="A242" i="50"/>
  <c r="Q242" i="50" s="1"/>
  <c r="P242" i="50" s="1"/>
  <c r="K242" i="50"/>
  <c r="I242" i="50"/>
  <c r="J242" i="50"/>
  <c r="F242" i="50"/>
  <c r="N242" i="50"/>
  <c r="M242" i="50"/>
  <c r="L242" i="50"/>
  <c r="H242" i="50"/>
  <c r="L231" i="32"/>
  <c r="M231" i="32"/>
  <c r="N231" i="32"/>
  <c r="F231" i="32"/>
  <c r="AM231" i="32" s="1"/>
  <c r="G231" i="32"/>
  <c r="O231" i="32"/>
  <c r="H231" i="32"/>
  <c r="K231" i="32"/>
  <c r="I231" i="32"/>
  <c r="J231" i="32"/>
  <c r="J232" i="32"/>
  <c r="K232" i="32"/>
  <c r="L232" i="32"/>
  <c r="M232" i="32"/>
  <c r="F232" i="32"/>
  <c r="AM232" i="32" s="1"/>
  <c r="N232" i="32"/>
  <c r="G232" i="32"/>
  <c r="H232" i="32"/>
  <c r="I232" i="32"/>
  <c r="O232" i="32"/>
  <c r="Z229" i="32"/>
  <c r="W229" i="32"/>
  <c r="X229" i="32" s="1"/>
  <c r="Z240" i="50"/>
  <c r="W240" i="50"/>
  <c r="X240" i="50" s="1"/>
  <c r="W230" i="32"/>
  <c r="X230" i="32" s="1"/>
  <c r="Z230" i="32"/>
  <c r="AL232" i="11" a="1"/>
  <c r="AL232" i="11" s="1"/>
  <c r="E233" i="32" s="1"/>
  <c r="AL242" i="59" a="1"/>
  <c r="AL242" i="59" s="1"/>
  <c r="E243" i="50" s="1"/>
  <c r="AM132" i="59" a="1"/>
  <c r="AM132" i="59" s="1"/>
  <c r="AM117" i="11" a="1"/>
  <c r="AM117" i="11" s="1"/>
  <c r="T243" i="50" l="1"/>
  <c r="AK243" i="50"/>
  <c r="AK233" i="32"/>
  <c r="T233" i="32"/>
  <c r="AM242" i="50"/>
  <c r="U242" i="50"/>
  <c r="AD241" i="50"/>
  <c r="AG241" i="50" s="1"/>
  <c r="AH241" i="50" s="1"/>
  <c r="AI241" i="50" s="1"/>
  <c r="AG229" i="32"/>
  <c r="AH229" i="32" s="1"/>
  <c r="AL229" i="32"/>
  <c r="U232" i="32"/>
  <c r="U231" i="32"/>
  <c r="AG230" i="32"/>
  <c r="AH230" i="32" s="1"/>
  <c r="AL230" i="32"/>
  <c r="AP239" i="50"/>
  <c r="AL240" i="50"/>
  <c r="Q232" i="32"/>
  <c r="P232" i="32" s="1"/>
  <c r="Q231" i="32"/>
  <c r="P231" i="32" s="1"/>
  <c r="O243" i="50"/>
  <c r="AJ241" i="50"/>
  <c r="C241" i="50"/>
  <c r="V241" i="50"/>
  <c r="S242" i="50"/>
  <c r="S231" i="32"/>
  <c r="V231" i="32" s="1"/>
  <c r="S232" i="32"/>
  <c r="A233" i="32"/>
  <c r="B233" i="32"/>
  <c r="R233" i="32" s="1"/>
  <c r="H243" i="50"/>
  <c r="F243" i="50"/>
  <c r="G243" i="50"/>
  <c r="A243" i="50"/>
  <c r="Q243" i="50" s="1"/>
  <c r="P243" i="50" s="1"/>
  <c r="K243" i="50"/>
  <c r="B243" i="50"/>
  <c r="R243" i="50" s="1"/>
  <c r="M243" i="50"/>
  <c r="N243" i="50"/>
  <c r="J243" i="50"/>
  <c r="I243" i="50"/>
  <c r="L243" i="50"/>
  <c r="H233" i="32"/>
  <c r="I233" i="32"/>
  <c r="J233" i="32"/>
  <c r="K233" i="32"/>
  <c r="L233" i="32"/>
  <c r="N233" i="32"/>
  <c r="O233" i="32"/>
  <c r="F233" i="32"/>
  <c r="AM233" i="32" s="1"/>
  <c r="G233" i="32"/>
  <c r="M233" i="32"/>
  <c r="Z241" i="50"/>
  <c r="W241" i="50"/>
  <c r="X241" i="50" s="1"/>
  <c r="AL233" i="11" a="1"/>
  <c r="AL233" i="11" s="1"/>
  <c r="AL243" i="59" a="1"/>
  <c r="AL243" i="59" s="1"/>
  <c r="E244" i="50" s="1"/>
  <c r="AM133" i="59" a="1"/>
  <c r="AM133" i="59" s="1"/>
  <c r="AM118" i="11" a="1"/>
  <c r="AM118" i="11" s="1"/>
  <c r="T244" i="50" l="1"/>
  <c r="AK244" i="50"/>
  <c r="AD232" i="32"/>
  <c r="AD231" i="32"/>
  <c r="AD242" i="50"/>
  <c r="AG242" i="50" s="1"/>
  <c r="AH242" i="50" s="1"/>
  <c r="AI242" i="50" s="1"/>
  <c r="AM243" i="50"/>
  <c r="U243" i="50"/>
  <c r="U233" i="32"/>
  <c r="AI229" i="32"/>
  <c r="AN229" i="32" s="1"/>
  <c r="AI230" i="32"/>
  <c r="AN230" i="32" s="1"/>
  <c r="AP240" i="50"/>
  <c r="AL241" i="50"/>
  <c r="Q233" i="32"/>
  <c r="P233" i="32" s="1"/>
  <c r="O244" i="50"/>
  <c r="C232" i="32"/>
  <c r="V232" i="32"/>
  <c r="AJ242" i="50"/>
  <c r="C242" i="50"/>
  <c r="AJ231" i="32"/>
  <c r="C231" i="32"/>
  <c r="AJ232" i="32"/>
  <c r="S243" i="50"/>
  <c r="V242" i="50"/>
  <c r="S233" i="32"/>
  <c r="V233" i="32" s="1"/>
  <c r="A244" i="50"/>
  <c r="Q244" i="50" s="1"/>
  <c r="P244" i="50" s="1"/>
  <c r="J244" i="50"/>
  <c r="I244" i="50"/>
  <c r="F244" i="50"/>
  <c r="H244" i="50"/>
  <c r="G244" i="50"/>
  <c r="K244" i="50"/>
  <c r="M244" i="50"/>
  <c r="L244" i="50"/>
  <c r="N244" i="50"/>
  <c r="B244" i="50"/>
  <c r="R244" i="50" s="1"/>
  <c r="W242" i="50"/>
  <c r="X242" i="50" s="1"/>
  <c r="Z242" i="50"/>
  <c r="E234" i="32"/>
  <c r="Z231" i="32"/>
  <c r="W231" i="32"/>
  <c r="X231" i="32" s="1"/>
  <c r="W232" i="32"/>
  <c r="X232" i="32" s="1"/>
  <c r="Z232" i="32"/>
  <c r="AL234" i="11" a="1"/>
  <c r="AL234" i="11" s="1"/>
  <c r="E235" i="32" s="1"/>
  <c r="AL244" i="59" a="1"/>
  <c r="AL244" i="59" s="1"/>
  <c r="E245" i="50" s="1"/>
  <c r="AM134" i="59" a="1"/>
  <c r="AM134" i="59" s="1"/>
  <c r="AM119" i="11" a="1"/>
  <c r="AM119" i="11" s="1"/>
  <c r="T245" i="50" l="1"/>
  <c r="AK245" i="50"/>
  <c r="AK235" i="32"/>
  <c r="T235" i="32"/>
  <c r="AK234" i="32"/>
  <c r="T234" i="32"/>
  <c r="AD233" i="32"/>
  <c r="AD243" i="50"/>
  <c r="AG243" i="50" s="1"/>
  <c r="AH243" i="50" s="1"/>
  <c r="AI243" i="50" s="1"/>
  <c r="AM244" i="50"/>
  <c r="U244" i="50"/>
  <c r="AG231" i="32"/>
  <c r="AH231" i="32" s="1"/>
  <c r="AL231" i="32"/>
  <c r="AG232" i="32"/>
  <c r="AH232" i="32" s="1"/>
  <c r="AL232" i="32"/>
  <c r="AP241" i="50"/>
  <c r="AL242" i="50"/>
  <c r="O245" i="50"/>
  <c r="AJ243" i="50"/>
  <c r="C243" i="50"/>
  <c r="AJ233" i="32"/>
  <c r="C233" i="32"/>
  <c r="S244" i="50"/>
  <c r="V243" i="50"/>
  <c r="A235" i="32"/>
  <c r="B235" i="32"/>
  <c r="R235" i="32" s="1"/>
  <c r="A234" i="32"/>
  <c r="B234" i="32"/>
  <c r="R234" i="32" s="1"/>
  <c r="A245" i="50"/>
  <c r="Q245" i="50" s="1"/>
  <c r="P245" i="50" s="1"/>
  <c r="I245" i="50"/>
  <c r="M245" i="50"/>
  <c r="F245" i="50"/>
  <c r="H245" i="50"/>
  <c r="G245" i="50"/>
  <c r="L245" i="50"/>
  <c r="J245" i="50"/>
  <c r="B245" i="50"/>
  <c r="R245" i="50" s="1"/>
  <c r="K245" i="50"/>
  <c r="N245" i="50"/>
  <c r="F234" i="32"/>
  <c r="AM234" i="32" s="1"/>
  <c r="N234" i="32"/>
  <c r="G234" i="32"/>
  <c r="O234" i="32"/>
  <c r="H234" i="32"/>
  <c r="I234" i="32"/>
  <c r="J234" i="32"/>
  <c r="K234" i="32"/>
  <c r="L234" i="32"/>
  <c r="M234" i="32"/>
  <c r="L235" i="32"/>
  <c r="M235" i="32"/>
  <c r="N235" i="32"/>
  <c r="F235" i="32"/>
  <c r="AM235" i="32" s="1"/>
  <c r="G235" i="32"/>
  <c r="O235" i="32"/>
  <c r="H235" i="32"/>
  <c r="I235" i="32"/>
  <c r="J235" i="32"/>
  <c r="K235" i="32"/>
  <c r="Z243" i="50"/>
  <c r="W243" i="50"/>
  <c r="X243" i="50" s="1"/>
  <c r="W233" i="32"/>
  <c r="X233" i="32" s="1"/>
  <c r="Z233" i="32"/>
  <c r="AL235" i="11" a="1"/>
  <c r="AL235" i="11" s="1"/>
  <c r="E236" i="32" s="1"/>
  <c r="AL245" i="59" a="1"/>
  <c r="AL245" i="59" s="1"/>
  <c r="E246" i="50" s="1"/>
  <c r="AM135" i="59" a="1"/>
  <c r="AM135" i="59" s="1"/>
  <c r="AM120" i="11" a="1"/>
  <c r="AM120" i="11" s="1"/>
  <c r="T246" i="50" l="1"/>
  <c r="AK246" i="50"/>
  <c r="AK236" i="32"/>
  <c r="T236" i="32"/>
  <c r="AM245" i="50"/>
  <c r="U245" i="50"/>
  <c r="AD244" i="50"/>
  <c r="AG244" i="50" s="1"/>
  <c r="AH244" i="50" s="1"/>
  <c r="AI244" i="50" s="1"/>
  <c r="U235" i="32"/>
  <c r="U234" i="32"/>
  <c r="AG233" i="32"/>
  <c r="AH233" i="32" s="1"/>
  <c r="AL233" i="32"/>
  <c r="AP242" i="50"/>
  <c r="AL243" i="50"/>
  <c r="Q235" i="32"/>
  <c r="P235" i="32" s="1"/>
  <c r="Q234" i="32"/>
  <c r="P234" i="32" s="1"/>
  <c r="AI231" i="32"/>
  <c r="AN231" i="32" s="1"/>
  <c r="AI232" i="32"/>
  <c r="AN232" i="32" s="1"/>
  <c r="O246" i="50"/>
  <c r="AJ244" i="50"/>
  <c r="C244" i="50"/>
  <c r="S245" i="50"/>
  <c r="V244" i="50"/>
  <c r="S235" i="32"/>
  <c r="S234" i="32"/>
  <c r="A236" i="32"/>
  <c r="B236" i="32"/>
  <c r="R236" i="32" s="1"/>
  <c r="I246" i="50"/>
  <c r="H246" i="50"/>
  <c r="M246" i="50"/>
  <c r="K246" i="50"/>
  <c r="N246" i="50"/>
  <c r="A246" i="50"/>
  <c r="Q246" i="50" s="1"/>
  <c r="P246" i="50" s="1"/>
  <c r="B246" i="50"/>
  <c r="R246" i="50" s="1"/>
  <c r="G246" i="50"/>
  <c r="F246" i="50"/>
  <c r="J246" i="50"/>
  <c r="L246" i="50"/>
  <c r="K236" i="32"/>
  <c r="L236" i="32"/>
  <c r="M236" i="32"/>
  <c r="F236" i="32"/>
  <c r="AM236" i="32" s="1"/>
  <c r="N236" i="32"/>
  <c r="G236" i="32"/>
  <c r="H236" i="32"/>
  <c r="I236" i="32"/>
  <c r="J236" i="32"/>
  <c r="O236" i="32"/>
  <c r="W244" i="50"/>
  <c r="X244" i="50" s="1"/>
  <c r="Z244" i="50"/>
  <c r="AL236" i="11" a="1"/>
  <c r="AL236" i="11" s="1"/>
  <c r="AL246" i="59" a="1"/>
  <c r="AL246" i="59" s="1"/>
  <c r="E247" i="50" s="1"/>
  <c r="AM136" i="59" a="1"/>
  <c r="AM136" i="59" s="1"/>
  <c r="AM121" i="11" a="1"/>
  <c r="AM121" i="11" s="1"/>
  <c r="AK247" i="50" l="1"/>
  <c r="T247" i="50"/>
  <c r="AD235" i="32"/>
  <c r="AD234" i="32"/>
  <c r="AG234" i="32" s="1"/>
  <c r="AH234" i="32" s="1"/>
  <c r="AD245" i="50"/>
  <c r="AG245" i="50" s="1"/>
  <c r="AH245" i="50" s="1"/>
  <c r="AI245" i="50" s="1"/>
  <c r="AM246" i="50"/>
  <c r="U246" i="50"/>
  <c r="U236" i="32"/>
  <c r="AI233" i="32"/>
  <c r="AN233" i="32" s="1"/>
  <c r="AP243" i="50"/>
  <c r="AL244" i="50"/>
  <c r="Q236" i="32"/>
  <c r="P236" i="32" s="1"/>
  <c r="O247" i="50"/>
  <c r="C234" i="32"/>
  <c r="V234" i="32"/>
  <c r="C235" i="32"/>
  <c r="V235" i="32"/>
  <c r="AJ245" i="50"/>
  <c r="C245" i="50"/>
  <c r="AJ234" i="32"/>
  <c r="AJ235" i="32"/>
  <c r="S246" i="50"/>
  <c r="V245" i="50"/>
  <c r="S236" i="32"/>
  <c r="V236" i="32" s="1"/>
  <c r="B247" i="50"/>
  <c r="R247" i="50" s="1"/>
  <c r="F247" i="50"/>
  <c r="G247" i="50"/>
  <c r="J247" i="50"/>
  <c r="N247" i="50"/>
  <c r="K247" i="50"/>
  <c r="I247" i="50"/>
  <c r="H247" i="50"/>
  <c r="A247" i="50"/>
  <c r="Q247" i="50" s="1"/>
  <c r="P247" i="50" s="1"/>
  <c r="M247" i="50"/>
  <c r="L247" i="50"/>
  <c r="Z234" i="32"/>
  <c r="W234" i="32"/>
  <c r="X234" i="32" s="1"/>
  <c r="W245" i="50"/>
  <c r="X245" i="50" s="1"/>
  <c r="Z245" i="50"/>
  <c r="E237" i="32"/>
  <c r="W235" i="32"/>
  <c r="X235" i="32" s="1"/>
  <c r="Z235" i="32"/>
  <c r="AL237" i="11" a="1"/>
  <c r="AL237" i="11" s="1"/>
  <c r="E238" i="32" s="1"/>
  <c r="AL247" i="59" a="1"/>
  <c r="AL247" i="59" s="1"/>
  <c r="E248" i="50" s="1"/>
  <c r="AM137" i="59" a="1"/>
  <c r="AM137" i="59" s="1"/>
  <c r="AM122" i="11" a="1"/>
  <c r="AM122" i="11" s="1"/>
  <c r="AK248" i="50" l="1"/>
  <c r="T248" i="50"/>
  <c r="AK237" i="32"/>
  <c r="T237" i="32"/>
  <c r="AK238" i="32"/>
  <c r="T238" i="32"/>
  <c r="AL234" i="32"/>
  <c r="AD236" i="32"/>
  <c r="AM247" i="50"/>
  <c r="U247" i="50"/>
  <c r="AD246" i="50"/>
  <c r="AG246" i="50" s="1"/>
  <c r="AH246" i="50" s="1"/>
  <c r="AI246" i="50" s="1"/>
  <c r="AG235" i="32"/>
  <c r="AH235" i="32" s="1"/>
  <c r="AL235" i="32"/>
  <c r="AP244" i="50"/>
  <c r="AL245" i="50"/>
  <c r="O248" i="50"/>
  <c r="AJ246" i="50"/>
  <c r="C246" i="50"/>
  <c r="AJ236" i="32"/>
  <c r="C236" i="32"/>
  <c r="S247" i="50"/>
  <c r="V246" i="50"/>
  <c r="A238" i="32"/>
  <c r="B238" i="32"/>
  <c r="R238" i="32" s="1"/>
  <c r="A237" i="32"/>
  <c r="B237" i="32"/>
  <c r="R237" i="32" s="1"/>
  <c r="B248" i="50"/>
  <c r="R248" i="50" s="1"/>
  <c r="M248" i="50"/>
  <c r="F248" i="50"/>
  <c r="N248" i="50"/>
  <c r="J248" i="50"/>
  <c r="I248" i="50"/>
  <c r="H248" i="50"/>
  <c r="K248" i="50"/>
  <c r="A248" i="50"/>
  <c r="Q248" i="50" s="1"/>
  <c r="P248" i="50" s="1"/>
  <c r="G248" i="50"/>
  <c r="L248" i="50"/>
  <c r="G238" i="32"/>
  <c r="O238" i="32"/>
  <c r="H238" i="32"/>
  <c r="I238" i="32"/>
  <c r="J238" i="32"/>
  <c r="N238" i="32"/>
  <c r="F238" i="32"/>
  <c r="AM238" i="32" s="1"/>
  <c r="M238" i="32"/>
  <c r="K238" i="32"/>
  <c r="L238" i="32"/>
  <c r="I237" i="32"/>
  <c r="J237" i="32"/>
  <c r="K237" i="32"/>
  <c r="L237" i="32"/>
  <c r="M237" i="32"/>
  <c r="N237" i="32"/>
  <c r="O237" i="32"/>
  <c r="F237" i="32"/>
  <c r="AM237" i="32" s="1"/>
  <c r="G237" i="32"/>
  <c r="H237" i="32"/>
  <c r="W246" i="50"/>
  <c r="X246" i="50" s="1"/>
  <c r="Z246" i="50"/>
  <c r="W236" i="32"/>
  <c r="X236" i="32" s="1"/>
  <c r="Z236" i="32"/>
  <c r="AL238" i="11" a="1"/>
  <c r="AL238" i="11" s="1"/>
  <c r="AL248" i="59" a="1"/>
  <c r="AL248" i="59" s="1"/>
  <c r="E249" i="50" s="1"/>
  <c r="AM138" i="59" a="1"/>
  <c r="AM138" i="59" s="1"/>
  <c r="AM123" i="11" a="1"/>
  <c r="AM123" i="11" s="1"/>
  <c r="T249" i="50" l="1"/>
  <c r="AK249" i="50"/>
  <c r="AM248" i="50"/>
  <c r="U248" i="50"/>
  <c r="AD247" i="50"/>
  <c r="AG247" i="50" s="1"/>
  <c r="AH247" i="50" s="1"/>
  <c r="AI247" i="50" s="1"/>
  <c r="AG236" i="32"/>
  <c r="AH236" i="32" s="1"/>
  <c r="AL236" i="32"/>
  <c r="U238" i="32"/>
  <c r="U237" i="32"/>
  <c r="AI235" i="32"/>
  <c r="AN235" i="32" s="1"/>
  <c r="AP245" i="50"/>
  <c r="AL246" i="50"/>
  <c r="Q238" i="32"/>
  <c r="P238" i="32" s="1"/>
  <c r="Q237" i="32"/>
  <c r="P237" i="32" s="1"/>
  <c r="AI234" i="32"/>
  <c r="AN234" i="32" s="1"/>
  <c r="O249" i="50"/>
  <c r="AJ247" i="50"/>
  <c r="C247" i="50"/>
  <c r="S248" i="50"/>
  <c r="V247" i="50"/>
  <c r="S238" i="32"/>
  <c r="V238" i="32" s="1"/>
  <c r="S237" i="32"/>
  <c r="V237" i="32" s="1"/>
  <c r="G249" i="50"/>
  <c r="F249" i="50"/>
  <c r="L249" i="50"/>
  <c r="B249" i="50"/>
  <c r="R249" i="50" s="1"/>
  <c r="N249" i="50"/>
  <c r="I249" i="50"/>
  <c r="H249" i="50"/>
  <c r="K249" i="50"/>
  <c r="M249" i="50"/>
  <c r="A249" i="50"/>
  <c r="Q249" i="50" s="1"/>
  <c r="P249" i="50" s="1"/>
  <c r="J249" i="50"/>
  <c r="Z247" i="50"/>
  <c r="W247" i="50"/>
  <c r="X247" i="50" s="1"/>
  <c r="E239" i="32"/>
  <c r="AL239" i="11" a="1"/>
  <c r="AL239" i="11" s="1"/>
  <c r="E240" i="32" s="1"/>
  <c r="AL249" i="59" a="1"/>
  <c r="AL249" i="59" s="1"/>
  <c r="E250" i="50" s="1"/>
  <c r="AM139" i="59" a="1"/>
  <c r="AM139" i="59" s="1"/>
  <c r="AM124" i="11" a="1"/>
  <c r="AM124" i="11" s="1"/>
  <c r="T250" i="50" l="1"/>
  <c r="AK250" i="50"/>
  <c r="AK239" i="32"/>
  <c r="T239" i="32"/>
  <c r="AK240" i="32"/>
  <c r="T240" i="32"/>
  <c r="AD238" i="32"/>
  <c r="AD237" i="32"/>
  <c r="AM249" i="50"/>
  <c r="U249" i="50"/>
  <c r="AD248" i="50"/>
  <c r="AG248" i="50" s="1"/>
  <c r="AH248" i="50" s="1"/>
  <c r="AI248" i="50" s="1"/>
  <c r="AI236" i="32"/>
  <c r="AN236" i="32" s="1"/>
  <c r="AP246" i="50"/>
  <c r="AL247" i="50"/>
  <c r="O250" i="50"/>
  <c r="AJ248" i="50"/>
  <c r="C248" i="50"/>
  <c r="AJ237" i="32"/>
  <c r="C237" i="32"/>
  <c r="AJ238" i="32"/>
  <c r="C238" i="32"/>
  <c r="S249" i="50"/>
  <c r="V248" i="50"/>
  <c r="A240" i="32"/>
  <c r="B240" i="32"/>
  <c r="R240" i="32" s="1"/>
  <c r="A239" i="32"/>
  <c r="B239" i="32"/>
  <c r="R239" i="32" s="1"/>
  <c r="F250" i="50"/>
  <c r="G250" i="50"/>
  <c r="B250" i="50"/>
  <c r="R250" i="50" s="1"/>
  <c r="M250" i="50"/>
  <c r="L250" i="50"/>
  <c r="K250" i="50"/>
  <c r="A250" i="50"/>
  <c r="Q250" i="50" s="1"/>
  <c r="P250" i="50" s="1"/>
  <c r="J250" i="50"/>
  <c r="H250" i="50"/>
  <c r="I250" i="50"/>
  <c r="N250" i="50"/>
  <c r="K240" i="32"/>
  <c r="M240" i="32"/>
  <c r="F240" i="32"/>
  <c r="AM240" i="32" s="1"/>
  <c r="N240" i="32"/>
  <c r="J240" i="32"/>
  <c r="L240" i="32"/>
  <c r="O240" i="32"/>
  <c r="G240" i="32"/>
  <c r="I240" i="32"/>
  <c r="H240" i="32"/>
  <c r="M239" i="32"/>
  <c r="F239" i="32"/>
  <c r="AM239" i="32" s="1"/>
  <c r="G239" i="32"/>
  <c r="O239" i="32"/>
  <c r="H239" i="32"/>
  <c r="I239" i="32"/>
  <c r="J239" i="32"/>
  <c r="K239" i="32"/>
  <c r="L239" i="32"/>
  <c r="N239" i="32"/>
  <c r="Z248" i="50"/>
  <c r="W248" i="50"/>
  <c r="X248" i="50" s="1"/>
  <c r="W237" i="32"/>
  <c r="X237" i="32" s="1"/>
  <c r="Z237" i="32"/>
  <c r="W238" i="32"/>
  <c r="X238" i="32" s="1"/>
  <c r="Z238" i="32"/>
  <c r="AL240" i="11" a="1"/>
  <c r="AL240" i="11" s="1"/>
  <c r="E241" i="32" s="1"/>
  <c r="AL250" i="59" a="1"/>
  <c r="AL250" i="59" s="1"/>
  <c r="E251" i="50" s="1"/>
  <c r="AM140" i="59" a="1"/>
  <c r="AM140" i="59" s="1"/>
  <c r="AM125" i="11" a="1"/>
  <c r="AM125" i="11" s="1"/>
  <c r="T251" i="50" l="1"/>
  <c r="AK251" i="50"/>
  <c r="AK241" i="32"/>
  <c r="T241" i="32"/>
  <c r="AM250" i="50"/>
  <c r="U250" i="50"/>
  <c r="AD249" i="50"/>
  <c r="AG249" i="50" s="1"/>
  <c r="AH249" i="50" s="1"/>
  <c r="AI249" i="50" s="1"/>
  <c r="U240" i="32"/>
  <c r="AG237" i="32"/>
  <c r="AH237" i="32" s="1"/>
  <c r="AL237" i="32"/>
  <c r="U239" i="32"/>
  <c r="AG238" i="32"/>
  <c r="AH238" i="32" s="1"/>
  <c r="AL238" i="32"/>
  <c r="AP247" i="50"/>
  <c r="AL248" i="50"/>
  <c r="Q240" i="32"/>
  <c r="P240" i="32" s="1"/>
  <c r="Q239" i="32"/>
  <c r="P239" i="32" s="1"/>
  <c r="O251" i="50"/>
  <c r="AJ249" i="50"/>
  <c r="C249" i="50"/>
  <c r="S250" i="50"/>
  <c r="V249" i="50"/>
  <c r="S240" i="32"/>
  <c r="V240" i="32" s="1"/>
  <c r="S239" i="32"/>
  <c r="V239" i="32" s="1"/>
  <c r="A241" i="32"/>
  <c r="B241" i="32"/>
  <c r="R241" i="32" s="1"/>
  <c r="H251" i="50"/>
  <c r="M251" i="50"/>
  <c r="A251" i="50"/>
  <c r="Q251" i="50" s="1"/>
  <c r="P251" i="50" s="1"/>
  <c r="N251" i="50"/>
  <c r="F251" i="50"/>
  <c r="K251" i="50"/>
  <c r="G251" i="50"/>
  <c r="L251" i="50"/>
  <c r="J251" i="50"/>
  <c r="B251" i="50"/>
  <c r="R251" i="50" s="1"/>
  <c r="I251" i="50"/>
  <c r="I241" i="32"/>
  <c r="K241" i="32"/>
  <c r="L241" i="32"/>
  <c r="N241" i="32"/>
  <c r="O241" i="32"/>
  <c r="J241" i="32"/>
  <c r="F241" i="32"/>
  <c r="AM241" i="32" s="1"/>
  <c r="G241" i="32"/>
  <c r="H241" i="32"/>
  <c r="M241" i="32"/>
  <c r="W249" i="50"/>
  <c r="X249" i="50" s="1"/>
  <c r="Z249" i="50"/>
  <c r="AL241" i="11" a="1"/>
  <c r="AL241" i="11" s="1"/>
  <c r="E242" i="32" s="1"/>
  <c r="AL251" i="59" a="1"/>
  <c r="AL251" i="59" s="1"/>
  <c r="E252" i="50" s="1"/>
  <c r="AM141" i="59" a="1"/>
  <c r="AM141" i="59" s="1"/>
  <c r="AM126" i="11" a="1"/>
  <c r="AM126" i="11" s="1"/>
  <c r="T252" i="50" l="1"/>
  <c r="AK252" i="50"/>
  <c r="AK242" i="32"/>
  <c r="T242" i="32"/>
  <c r="AD239" i="32"/>
  <c r="AD240" i="32"/>
  <c r="AD250" i="50"/>
  <c r="AG250" i="50" s="1"/>
  <c r="AH250" i="50" s="1"/>
  <c r="AI250" i="50" s="1"/>
  <c r="AM251" i="50"/>
  <c r="U251" i="50"/>
  <c r="U241" i="32"/>
  <c r="AI238" i="32"/>
  <c r="AN238" i="32" s="1"/>
  <c r="AP248" i="50"/>
  <c r="AL249" i="50"/>
  <c r="Q241" i="32"/>
  <c r="P241" i="32" s="1"/>
  <c r="AI237" i="32"/>
  <c r="AN237" i="32" s="1"/>
  <c r="O252" i="50"/>
  <c r="AJ250" i="50"/>
  <c r="C250" i="50"/>
  <c r="AJ239" i="32"/>
  <c r="C239" i="32"/>
  <c r="AJ240" i="32"/>
  <c r="C240" i="32"/>
  <c r="S251" i="50"/>
  <c r="V250" i="50"/>
  <c r="S241" i="32"/>
  <c r="V241" i="32" s="1"/>
  <c r="A242" i="32"/>
  <c r="B242" i="32"/>
  <c r="R242" i="32" s="1"/>
  <c r="A252" i="50"/>
  <c r="Q252" i="50" s="1"/>
  <c r="P252" i="50" s="1"/>
  <c r="N252" i="50"/>
  <c r="J252" i="50"/>
  <c r="I252" i="50"/>
  <c r="H252" i="50"/>
  <c r="M252" i="50"/>
  <c r="B252" i="50"/>
  <c r="R252" i="50" s="1"/>
  <c r="G252" i="50"/>
  <c r="K252" i="50"/>
  <c r="F252" i="50"/>
  <c r="L252" i="50"/>
  <c r="G242" i="32"/>
  <c r="O242" i="32"/>
  <c r="I242" i="32"/>
  <c r="J242" i="32"/>
  <c r="M242" i="32"/>
  <c r="F242" i="32"/>
  <c r="AM242" i="32" s="1"/>
  <c r="H242" i="32"/>
  <c r="L242" i="32"/>
  <c r="K242" i="32"/>
  <c r="N242" i="32"/>
  <c r="Z239" i="32"/>
  <c r="W239" i="32"/>
  <c r="X239" i="32" s="1"/>
  <c r="W250" i="50"/>
  <c r="X250" i="50" s="1"/>
  <c r="Z250" i="50"/>
  <c r="W240" i="32"/>
  <c r="X240" i="32" s="1"/>
  <c r="Z240" i="32"/>
  <c r="AL242" i="11" a="1"/>
  <c r="AL242" i="11" s="1"/>
  <c r="E243" i="32" s="1"/>
  <c r="AL252" i="59" a="1"/>
  <c r="AL252" i="59" s="1"/>
  <c r="E253" i="50" s="1"/>
  <c r="AM142" i="59" a="1"/>
  <c r="AM142" i="59" s="1"/>
  <c r="AM127" i="11" a="1"/>
  <c r="AM127" i="11" s="1"/>
  <c r="T253" i="50" l="1"/>
  <c r="AK253" i="50"/>
  <c r="AK243" i="32"/>
  <c r="T243" i="32"/>
  <c r="AD241" i="32"/>
  <c r="AM252" i="50"/>
  <c r="U252" i="50"/>
  <c r="AD251" i="50"/>
  <c r="AG251" i="50" s="1"/>
  <c r="AH251" i="50" s="1"/>
  <c r="AI251" i="50" s="1"/>
  <c r="U242" i="32"/>
  <c r="AG239" i="32"/>
  <c r="AH239" i="32" s="1"/>
  <c r="AL239" i="32"/>
  <c r="AG240" i="32"/>
  <c r="AH240" i="32" s="1"/>
  <c r="AL240" i="32"/>
  <c r="AP249" i="50"/>
  <c r="AL250" i="50"/>
  <c r="Q242" i="32"/>
  <c r="P242" i="32" s="1"/>
  <c r="O253" i="50"/>
  <c r="AJ251" i="50"/>
  <c r="C251" i="50"/>
  <c r="AJ241" i="32"/>
  <c r="C241" i="32"/>
  <c r="S252" i="50"/>
  <c r="V251" i="50"/>
  <c r="S242" i="32"/>
  <c r="V242" i="32" s="1"/>
  <c r="A243" i="32"/>
  <c r="B243" i="32"/>
  <c r="R243" i="32" s="1"/>
  <c r="A253" i="50"/>
  <c r="Q253" i="50" s="1"/>
  <c r="P253" i="50" s="1"/>
  <c r="I253" i="50"/>
  <c r="M253" i="50"/>
  <c r="F253" i="50"/>
  <c r="B253" i="50"/>
  <c r="R253" i="50" s="1"/>
  <c r="N253" i="50"/>
  <c r="G253" i="50"/>
  <c r="K253" i="50"/>
  <c r="H253" i="50"/>
  <c r="J253" i="50"/>
  <c r="L253" i="50"/>
  <c r="M243" i="32"/>
  <c r="G243" i="32"/>
  <c r="O243" i="32"/>
  <c r="H243" i="32"/>
  <c r="F243" i="32"/>
  <c r="AM243" i="32" s="1"/>
  <c r="I243" i="32"/>
  <c r="J243" i="32"/>
  <c r="K243" i="32"/>
  <c r="L243" i="32"/>
  <c r="N243" i="32"/>
  <c r="Z251" i="50"/>
  <c r="W251" i="50"/>
  <c r="X251" i="50" s="1"/>
  <c r="W241" i="32"/>
  <c r="X241" i="32" s="1"/>
  <c r="Z241" i="32"/>
  <c r="AL243" i="11" a="1"/>
  <c r="AL243" i="11" s="1"/>
  <c r="E244" i="32" s="1"/>
  <c r="AL253" i="59" a="1"/>
  <c r="AL253" i="59" s="1"/>
  <c r="E254" i="50" s="1"/>
  <c r="AM143" i="59" a="1"/>
  <c r="AM143" i="59" s="1"/>
  <c r="AM128" i="11" a="1"/>
  <c r="AM128" i="11" s="1"/>
  <c r="T254" i="50" l="1"/>
  <c r="AK254" i="50"/>
  <c r="AK244" i="32"/>
  <c r="T244" i="32"/>
  <c r="AD242" i="32"/>
  <c r="AM253" i="50"/>
  <c r="U253" i="50"/>
  <c r="AD252" i="50"/>
  <c r="AG252" i="50" s="1"/>
  <c r="AH252" i="50" s="1"/>
  <c r="AI252" i="50" s="1"/>
  <c r="U243" i="32"/>
  <c r="AG241" i="32"/>
  <c r="AH241" i="32" s="1"/>
  <c r="AL241" i="32"/>
  <c r="AI240" i="32"/>
  <c r="AN240" i="32" s="1"/>
  <c r="AI239" i="32"/>
  <c r="AN239" i="32" s="1"/>
  <c r="AP250" i="50"/>
  <c r="AL251" i="50"/>
  <c r="Q243" i="32"/>
  <c r="P243" i="32" s="1"/>
  <c r="O254" i="50"/>
  <c r="AJ252" i="50"/>
  <c r="C252" i="50"/>
  <c r="AJ242" i="32"/>
  <c r="C242" i="32"/>
  <c r="S253" i="50"/>
  <c r="V252" i="50"/>
  <c r="S243" i="32"/>
  <c r="V243" i="32" s="1"/>
  <c r="A244" i="32"/>
  <c r="B244" i="32"/>
  <c r="R244" i="32" s="1"/>
  <c r="I254" i="50"/>
  <c r="F254" i="50"/>
  <c r="A254" i="50"/>
  <c r="Q254" i="50" s="1"/>
  <c r="P254" i="50" s="1"/>
  <c r="G254" i="50"/>
  <c r="H254" i="50"/>
  <c r="L254" i="50"/>
  <c r="K254" i="50"/>
  <c r="M254" i="50"/>
  <c r="N254" i="50"/>
  <c r="B254" i="50"/>
  <c r="R254" i="50" s="1"/>
  <c r="J254" i="50"/>
  <c r="K244" i="32"/>
  <c r="M244" i="32"/>
  <c r="F244" i="32"/>
  <c r="AM244" i="32" s="1"/>
  <c r="N244" i="32"/>
  <c r="I244" i="32"/>
  <c r="J244" i="32"/>
  <c r="L244" i="32"/>
  <c r="H244" i="32"/>
  <c r="O244" i="32"/>
  <c r="G244" i="32"/>
  <c r="Z252" i="50"/>
  <c r="W252" i="50"/>
  <c r="X252" i="50" s="1"/>
  <c r="W242" i="32"/>
  <c r="X242" i="32" s="1"/>
  <c r="Z242" i="32"/>
  <c r="AL244" i="11" a="1"/>
  <c r="AL244" i="11" s="1"/>
  <c r="E245" i="32" s="1"/>
  <c r="AL254" i="59" a="1"/>
  <c r="AL254" i="59" s="1"/>
  <c r="E255" i="50" s="1"/>
  <c r="AM144" i="59" a="1"/>
  <c r="AM144" i="59" s="1"/>
  <c r="AM129" i="11" a="1"/>
  <c r="AM129" i="11" s="1"/>
  <c r="AK255" i="50" l="1"/>
  <c r="T255" i="50"/>
  <c r="AK245" i="32"/>
  <c r="T245" i="32"/>
  <c r="AD243" i="32"/>
  <c r="AM254" i="50"/>
  <c r="U254" i="50"/>
  <c r="AD253" i="50"/>
  <c r="AG253" i="50" s="1"/>
  <c r="AH253" i="50" s="1"/>
  <c r="AI253" i="50" s="1"/>
  <c r="U244" i="32"/>
  <c r="AG242" i="32"/>
  <c r="AH242" i="32" s="1"/>
  <c r="AL242" i="32"/>
  <c r="AI241" i="32"/>
  <c r="AN241" i="32" s="1"/>
  <c r="AP251" i="50"/>
  <c r="AL252" i="50"/>
  <c r="Q244" i="32"/>
  <c r="P244" i="32" s="1"/>
  <c r="O255" i="50"/>
  <c r="AJ253" i="50"/>
  <c r="C253" i="50"/>
  <c r="AJ243" i="32"/>
  <c r="C243" i="32"/>
  <c r="S254" i="50"/>
  <c r="V253" i="50"/>
  <c r="S244" i="32"/>
  <c r="V244" i="32" s="1"/>
  <c r="A245" i="32"/>
  <c r="B245" i="32"/>
  <c r="R245" i="32" s="1"/>
  <c r="B255" i="50"/>
  <c r="R255" i="50" s="1"/>
  <c r="F255" i="50"/>
  <c r="G255" i="50"/>
  <c r="J255" i="50"/>
  <c r="N255" i="50"/>
  <c r="H255" i="50"/>
  <c r="I255" i="50"/>
  <c r="A255" i="50"/>
  <c r="Q255" i="50" s="1"/>
  <c r="P255" i="50" s="1"/>
  <c r="K255" i="50"/>
  <c r="M255" i="50"/>
  <c r="L255" i="50"/>
  <c r="I245" i="32"/>
  <c r="K245" i="32"/>
  <c r="L245" i="32"/>
  <c r="M245" i="32"/>
  <c r="N245" i="32"/>
  <c r="O245" i="32"/>
  <c r="G245" i="32"/>
  <c r="H245" i="32"/>
  <c r="J245" i="32"/>
  <c r="F245" i="32"/>
  <c r="AM245" i="32" s="1"/>
  <c r="Z253" i="50"/>
  <c r="W253" i="50"/>
  <c r="X253" i="50" s="1"/>
  <c r="W243" i="32"/>
  <c r="X243" i="32" s="1"/>
  <c r="Z243" i="32"/>
  <c r="AL245" i="11" a="1"/>
  <c r="AL245" i="11" s="1"/>
  <c r="E246" i="32" s="1"/>
  <c r="AL255" i="59" a="1"/>
  <c r="AL255" i="59" s="1"/>
  <c r="E256" i="50" s="1"/>
  <c r="AM145" i="59" a="1"/>
  <c r="AM145" i="59" s="1"/>
  <c r="AM130" i="11" a="1"/>
  <c r="AM130" i="11" s="1"/>
  <c r="AK256" i="50" l="1"/>
  <c r="T256" i="50"/>
  <c r="AK246" i="32"/>
  <c r="T246" i="32"/>
  <c r="AD244" i="32"/>
  <c r="AM255" i="50"/>
  <c r="U255" i="50"/>
  <c r="AD254" i="50"/>
  <c r="AG254" i="50" s="1"/>
  <c r="AH254" i="50" s="1"/>
  <c r="AI254" i="50" s="1"/>
  <c r="U245" i="32"/>
  <c r="AG243" i="32"/>
  <c r="AH243" i="32" s="1"/>
  <c r="AL243" i="32"/>
  <c r="AI242" i="32"/>
  <c r="AN242" i="32" s="1"/>
  <c r="AP252" i="50"/>
  <c r="AL253" i="50"/>
  <c r="Q245" i="32"/>
  <c r="P245" i="32" s="1"/>
  <c r="O256" i="50"/>
  <c r="AJ254" i="50"/>
  <c r="C254" i="50"/>
  <c r="AJ244" i="32"/>
  <c r="C244" i="32"/>
  <c r="S255" i="50"/>
  <c r="V254" i="50"/>
  <c r="S245" i="32"/>
  <c r="V245" i="32" s="1"/>
  <c r="A246" i="32"/>
  <c r="B246" i="32"/>
  <c r="R246" i="32" s="1"/>
  <c r="B256" i="50"/>
  <c r="R256" i="50" s="1"/>
  <c r="M256" i="50"/>
  <c r="N256" i="50"/>
  <c r="J256" i="50"/>
  <c r="I256" i="50"/>
  <c r="K256" i="50"/>
  <c r="G256" i="50"/>
  <c r="H256" i="50"/>
  <c r="L256" i="50"/>
  <c r="A256" i="50"/>
  <c r="Q256" i="50" s="1"/>
  <c r="P256" i="50" s="1"/>
  <c r="F256" i="50"/>
  <c r="G246" i="32"/>
  <c r="O246" i="32"/>
  <c r="I246" i="32"/>
  <c r="J246" i="32"/>
  <c r="N246" i="32"/>
  <c r="F246" i="32"/>
  <c r="AM246" i="32" s="1"/>
  <c r="K246" i="32"/>
  <c r="L246" i="32"/>
  <c r="H246" i="32"/>
  <c r="M246" i="32"/>
  <c r="W254" i="50"/>
  <c r="X254" i="50" s="1"/>
  <c r="Z254" i="50"/>
  <c r="W244" i="32"/>
  <c r="X244" i="32" s="1"/>
  <c r="Z244" i="32"/>
  <c r="AL246" i="11" a="1"/>
  <c r="AL246" i="11" s="1"/>
  <c r="E247" i="32" s="1"/>
  <c r="AL256" i="59" a="1"/>
  <c r="AL256" i="59" s="1"/>
  <c r="E257" i="50" s="1"/>
  <c r="AM146" i="59" a="1"/>
  <c r="AM146" i="59" s="1"/>
  <c r="AM131" i="11" a="1"/>
  <c r="AM131" i="11" s="1"/>
  <c r="T257" i="50" l="1"/>
  <c r="AK257" i="50"/>
  <c r="AK247" i="32"/>
  <c r="T247" i="32"/>
  <c r="AD245" i="32"/>
  <c r="AM256" i="50"/>
  <c r="U256" i="50"/>
  <c r="AD255" i="50"/>
  <c r="AG255" i="50" s="1"/>
  <c r="AH255" i="50" s="1"/>
  <c r="AI255" i="50" s="1"/>
  <c r="U246" i="32"/>
  <c r="AG244" i="32"/>
  <c r="AH244" i="32" s="1"/>
  <c r="AL244" i="32"/>
  <c r="AI243" i="32"/>
  <c r="AN243" i="32" s="1"/>
  <c r="AP253" i="50"/>
  <c r="AL254" i="50"/>
  <c r="Q246" i="32"/>
  <c r="P246" i="32" s="1"/>
  <c r="O257" i="50"/>
  <c r="AJ255" i="50"/>
  <c r="C255" i="50"/>
  <c r="AJ245" i="32"/>
  <c r="C245" i="32"/>
  <c r="V255" i="50"/>
  <c r="S256" i="50"/>
  <c r="S246" i="32"/>
  <c r="V246" i="32" s="1"/>
  <c r="A247" i="32"/>
  <c r="B247" i="32"/>
  <c r="R247" i="32" s="1"/>
  <c r="G257" i="50"/>
  <c r="J257" i="50"/>
  <c r="A257" i="50"/>
  <c r="Q257" i="50" s="1"/>
  <c r="P257" i="50" s="1"/>
  <c r="N257" i="50"/>
  <c r="F257" i="50"/>
  <c r="L257" i="50"/>
  <c r="I257" i="50"/>
  <c r="B257" i="50"/>
  <c r="R257" i="50" s="1"/>
  <c r="M257" i="50"/>
  <c r="K257" i="50"/>
  <c r="H257" i="50"/>
  <c r="M247" i="32"/>
  <c r="G247" i="32"/>
  <c r="O247" i="32"/>
  <c r="H247" i="32"/>
  <c r="F247" i="32"/>
  <c r="AM247" i="32" s="1"/>
  <c r="I247" i="32"/>
  <c r="J247" i="32"/>
  <c r="K247" i="32"/>
  <c r="L247" i="32"/>
  <c r="N247" i="32"/>
  <c r="W255" i="50"/>
  <c r="X255" i="50" s="1"/>
  <c r="Z255" i="50"/>
  <c r="W245" i="32"/>
  <c r="X245" i="32" s="1"/>
  <c r="Z245" i="32"/>
  <c r="AL247" i="11" a="1"/>
  <c r="AL247" i="11" s="1"/>
  <c r="AL257" i="59" a="1"/>
  <c r="AL257" i="59" s="1"/>
  <c r="E258" i="50" s="1"/>
  <c r="AM147" i="59" a="1"/>
  <c r="AM147" i="59" s="1"/>
  <c r="AM132" i="11" a="1"/>
  <c r="AM132" i="11" s="1"/>
  <c r="T258" i="50" l="1"/>
  <c r="AK258" i="50"/>
  <c r="AD246" i="32"/>
  <c r="AM257" i="50"/>
  <c r="U257" i="50"/>
  <c r="AD256" i="50"/>
  <c r="AG256" i="50" s="1"/>
  <c r="AH256" i="50" s="1"/>
  <c r="AI256" i="50" s="1"/>
  <c r="U247" i="32"/>
  <c r="AG245" i="32"/>
  <c r="AH245" i="32" s="1"/>
  <c r="AL245" i="32"/>
  <c r="AI244" i="32"/>
  <c r="AN244" i="32" s="1"/>
  <c r="AP254" i="50"/>
  <c r="AL255" i="50"/>
  <c r="Q247" i="32"/>
  <c r="P247" i="32" s="1"/>
  <c r="O258" i="50"/>
  <c r="AJ256" i="50"/>
  <c r="C256" i="50"/>
  <c r="AJ246" i="32"/>
  <c r="C246" i="32"/>
  <c r="V256" i="50"/>
  <c r="S257" i="50"/>
  <c r="S247" i="32"/>
  <c r="F258" i="50"/>
  <c r="N258" i="50"/>
  <c r="L258" i="50"/>
  <c r="B258" i="50"/>
  <c r="R258" i="50" s="1"/>
  <c r="I258" i="50"/>
  <c r="M258" i="50"/>
  <c r="J258" i="50"/>
  <c r="G258" i="50"/>
  <c r="H258" i="50"/>
  <c r="K258" i="50"/>
  <c r="A258" i="50"/>
  <c r="Q258" i="50" s="1"/>
  <c r="P258" i="50" s="1"/>
  <c r="Z256" i="50"/>
  <c r="W256" i="50"/>
  <c r="X256" i="50" s="1"/>
  <c r="E248" i="32"/>
  <c r="W246" i="32"/>
  <c r="X246" i="32" s="1"/>
  <c r="Z246" i="32"/>
  <c r="AL248" i="11" a="1"/>
  <c r="AL248" i="11" s="1"/>
  <c r="E249" i="32" s="1"/>
  <c r="AL258" i="59" a="1"/>
  <c r="AL258" i="59" s="1"/>
  <c r="AM148" i="59" a="1"/>
  <c r="AM148" i="59" s="1"/>
  <c r="AM133" i="11" a="1"/>
  <c r="AM133" i="11" s="1"/>
  <c r="AK249" i="32" l="1"/>
  <c r="T249" i="32"/>
  <c r="AK248" i="32"/>
  <c r="T248" i="32"/>
  <c r="AD247" i="32"/>
  <c r="AM258" i="50"/>
  <c r="U258" i="50"/>
  <c r="AD257" i="50"/>
  <c r="AG246" i="32"/>
  <c r="AH246" i="32" s="1"/>
  <c r="AL246" i="32"/>
  <c r="AI245" i="32"/>
  <c r="AN245" i="32" s="1"/>
  <c r="AP255" i="50"/>
  <c r="AL256" i="50"/>
  <c r="C247" i="32"/>
  <c r="V247" i="32"/>
  <c r="AJ257" i="50"/>
  <c r="C257" i="50"/>
  <c r="AJ247" i="32"/>
  <c r="S258" i="50"/>
  <c r="V257" i="50"/>
  <c r="A249" i="32"/>
  <c r="B249" i="32"/>
  <c r="R249" i="32" s="1"/>
  <c r="A248" i="32"/>
  <c r="B248" i="32"/>
  <c r="R248" i="32" s="1"/>
  <c r="K248" i="32"/>
  <c r="M248" i="32"/>
  <c r="F248" i="32"/>
  <c r="AM248" i="32" s="1"/>
  <c r="N248" i="32"/>
  <c r="H248" i="32"/>
  <c r="I248" i="32"/>
  <c r="J248" i="32"/>
  <c r="L248" i="32"/>
  <c r="G248" i="32"/>
  <c r="O248" i="32"/>
  <c r="I249" i="32"/>
  <c r="K249" i="32"/>
  <c r="L249" i="32"/>
  <c r="J249" i="32"/>
  <c r="M249" i="32"/>
  <c r="N249" i="32"/>
  <c r="O249" i="32"/>
  <c r="F249" i="32"/>
  <c r="AM249" i="32" s="1"/>
  <c r="G249" i="32"/>
  <c r="H249" i="32"/>
  <c r="Z257" i="50"/>
  <c r="W257" i="50"/>
  <c r="X257" i="50" s="1"/>
  <c r="W247" i="32"/>
  <c r="X247" i="32" s="1"/>
  <c r="Z247" i="32"/>
  <c r="AL249" i="11" a="1"/>
  <c r="AL249" i="11" s="1"/>
  <c r="AM149" i="59" a="1"/>
  <c r="AM149" i="59" s="1"/>
  <c r="AM134" i="11" a="1"/>
  <c r="AM134" i="11" s="1"/>
  <c r="AG257" i="50" l="1"/>
  <c r="AH257" i="50" s="1"/>
  <c r="AI257" i="50" s="1"/>
  <c r="AD2" i="50"/>
  <c r="AD258" i="50"/>
  <c r="AG258" i="50" s="1"/>
  <c r="AH258" i="50" s="1"/>
  <c r="AI258" i="50" s="1"/>
  <c r="U248" i="32"/>
  <c r="U249" i="32"/>
  <c r="AG247" i="32"/>
  <c r="AH247" i="32" s="1"/>
  <c r="AL247" i="32"/>
  <c r="AI246" i="32"/>
  <c r="AN246" i="32" s="1"/>
  <c r="AP256" i="50"/>
  <c r="AL257" i="50"/>
  <c r="Q249" i="32"/>
  <c r="P249" i="32" s="1"/>
  <c r="Q248" i="32"/>
  <c r="P248" i="32" s="1"/>
  <c r="AB154" i="22"/>
  <c r="AB148" i="22"/>
  <c r="AA151" i="22"/>
  <c r="AB158" i="22"/>
  <c r="AB149" i="22"/>
  <c r="AB157" i="22"/>
  <c r="AA147" i="22"/>
  <c r="AA152" i="22"/>
  <c r="AA155" i="22"/>
  <c r="AB147" i="22"/>
  <c r="AA158" i="22"/>
  <c r="AB155" i="22"/>
  <c r="AB153" i="22"/>
  <c r="AA157" i="22"/>
  <c r="AC146" i="22"/>
  <c r="AE146" i="22" s="1"/>
  <c r="AA153" i="22"/>
  <c r="AB151" i="22"/>
  <c r="AA150" i="22"/>
  <c r="AB156" i="22"/>
  <c r="AA154" i="22"/>
  <c r="AB152" i="22"/>
  <c r="AB146" i="22"/>
  <c r="AA149" i="22"/>
  <c r="AA148" i="22"/>
  <c r="AA156" i="22"/>
  <c r="AB150" i="22"/>
  <c r="AJ258" i="50"/>
  <c r="C258" i="50"/>
  <c r="V258" i="50"/>
  <c r="S249" i="32"/>
  <c r="S248" i="32"/>
  <c r="V248" i="32" s="1"/>
  <c r="Z258" i="50"/>
  <c r="W258" i="50"/>
  <c r="X258" i="50" s="1"/>
  <c r="E250" i="32"/>
  <c r="Z120" i="22"/>
  <c r="AB120" i="22" s="1"/>
  <c r="Y120" i="22"/>
  <c r="AA120" i="22" s="1"/>
  <c r="Y113" i="22"/>
  <c r="AA113" i="22" s="1"/>
  <c r="Y121" i="22"/>
  <c r="AA121" i="22" s="1"/>
  <c r="Z121" i="22"/>
  <c r="AB121" i="22" s="1"/>
  <c r="Y112" i="22"/>
  <c r="AA112" i="22" s="1"/>
  <c r="BC66" i="22" s="1"/>
  <c r="Z113" i="22"/>
  <c r="AB113" i="22" s="1"/>
  <c r="Z112" i="22"/>
  <c r="AB112" i="22" s="1"/>
  <c r="Z116" i="22"/>
  <c r="AB116" i="22" s="1"/>
  <c r="Y116" i="22"/>
  <c r="AA116" i="22" s="1"/>
  <c r="BC67" i="22" s="1"/>
  <c r="Y136" i="22"/>
  <c r="Y126" i="22"/>
  <c r="AA126" i="22" s="1"/>
  <c r="Y135" i="22"/>
  <c r="Z132" i="22"/>
  <c r="Z135" i="22"/>
  <c r="Y130" i="22"/>
  <c r="AA130" i="22" s="1"/>
  <c r="BC100" i="22" s="1"/>
  <c r="Z136" i="22"/>
  <c r="Y134" i="22"/>
  <c r="Z131" i="22"/>
  <c r="Y132" i="22"/>
  <c r="Z134" i="22"/>
  <c r="Y131" i="22"/>
  <c r="Z129" i="22"/>
  <c r="AB129" i="22" s="1"/>
  <c r="Z130" i="22"/>
  <c r="AB130" i="22" s="1"/>
  <c r="Y133" i="22"/>
  <c r="Z133" i="22"/>
  <c r="Y129" i="22"/>
  <c r="AA129" i="22" s="1"/>
  <c r="Z126" i="22"/>
  <c r="AB126" i="22" s="1"/>
  <c r="Z128" i="22"/>
  <c r="AB128" i="22" s="1"/>
  <c r="Y128" i="22"/>
  <c r="AA128" i="22" s="1"/>
  <c r="AL250" i="11" a="1"/>
  <c r="AL250" i="11" s="1"/>
  <c r="E251" i="32" s="1"/>
  <c r="Y49" i="22"/>
  <c r="Y119" i="22"/>
  <c r="AA119" i="22" s="1"/>
  <c r="Z124" i="22"/>
  <c r="AB124" i="22" s="1"/>
  <c r="Y110" i="22"/>
  <c r="AA110" i="22" s="1"/>
  <c r="BC64" i="22" s="1"/>
  <c r="Y105" i="22"/>
  <c r="AA105" i="22" s="1"/>
  <c r="BC62" i="22" s="1"/>
  <c r="Y104" i="22"/>
  <c r="AA104" i="22" s="1"/>
  <c r="Z127" i="22"/>
  <c r="Y123" i="22"/>
  <c r="AA123" i="22" s="1"/>
  <c r="Z115" i="22"/>
  <c r="AB115" i="22" s="1"/>
  <c r="Y100" i="22"/>
  <c r="AA100" i="22" s="1"/>
  <c r="Z123" i="22"/>
  <c r="AB123" i="22" s="1"/>
  <c r="Y114" i="22"/>
  <c r="AA114" i="22" s="1"/>
  <c r="Y115" i="22"/>
  <c r="AA115" i="22" s="1"/>
  <c r="BC24" i="22" s="1"/>
  <c r="Z117" i="22"/>
  <c r="AB117" i="22" s="1"/>
  <c r="Y103" i="22"/>
  <c r="AA103" i="22" s="1"/>
  <c r="BC61" i="22" s="1"/>
  <c r="Z125" i="22"/>
  <c r="AB125" i="22" s="1"/>
  <c r="Z111" i="22"/>
  <c r="AB111" i="22" s="1"/>
  <c r="Z103" i="22"/>
  <c r="AB103" i="22" s="1"/>
  <c r="Z110" i="22"/>
  <c r="AB110" i="22" s="1"/>
  <c r="Z107" i="22"/>
  <c r="AB107" i="22" s="1"/>
  <c r="Z122" i="22"/>
  <c r="AB122" i="22" s="1"/>
  <c r="Z101" i="22"/>
  <c r="AB101" i="22" s="1"/>
  <c r="Y118" i="22"/>
  <c r="AA118" i="22" s="1"/>
  <c r="BC69" i="22" s="1"/>
  <c r="Z114" i="22"/>
  <c r="AB114" i="22" s="1"/>
  <c r="Z106" i="22"/>
  <c r="AB106" i="22" s="1"/>
  <c r="Y109" i="22"/>
  <c r="AA109" i="22" s="1"/>
  <c r="Y122" i="22"/>
  <c r="AA122" i="22" s="1"/>
  <c r="Y107" i="22"/>
  <c r="AA107" i="22" s="1"/>
  <c r="BC63" i="22" s="1"/>
  <c r="Z119" i="22"/>
  <c r="AB119" i="22" s="1"/>
  <c r="Y108" i="22"/>
  <c r="AA108" i="22" s="1"/>
  <c r="Z109" i="22"/>
  <c r="AB109" i="22" s="1"/>
  <c r="Y127" i="22"/>
  <c r="Y101" i="22"/>
  <c r="AA101" i="22" s="1"/>
  <c r="BC60" i="22" s="1"/>
  <c r="Z105" i="22"/>
  <c r="AB105" i="22" s="1"/>
  <c r="Y124" i="22"/>
  <c r="AA124" i="22" s="1"/>
  <c r="Y111" i="22"/>
  <c r="AA111" i="22" s="1"/>
  <c r="BC65" i="22" s="1"/>
  <c r="Y125" i="22"/>
  <c r="AA125" i="22" s="1"/>
  <c r="Y117" i="22"/>
  <c r="AA117" i="22" s="1"/>
  <c r="BC68" i="22" s="1"/>
  <c r="Z104" i="22"/>
  <c r="AB104" i="22" s="1"/>
  <c r="Z118" i="22"/>
  <c r="AB118" i="22" s="1"/>
  <c r="Z100" i="22"/>
  <c r="AB100" i="22" s="1"/>
  <c r="Z102" i="22"/>
  <c r="AB102" i="22" s="1"/>
  <c r="Y106" i="22"/>
  <c r="AA106" i="22" s="1"/>
  <c r="Y102" i="22"/>
  <c r="AA102" i="22" s="1"/>
  <c r="Z108" i="22"/>
  <c r="AB108" i="22" s="1"/>
  <c r="Z20" i="22"/>
  <c r="Z82" i="22"/>
  <c r="Z29" i="22"/>
  <c r="Z88" i="22"/>
  <c r="Z55" i="22"/>
  <c r="Y50" i="22"/>
  <c r="Y27" i="22"/>
  <c r="Z65" i="22"/>
  <c r="Y58" i="22"/>
  <c r="Y31" i="22"/>
  <c r="Z99" i="22"/>
  <c r="Y80" i="22"/>
  <c r="Z97" i="22"/>
  <c r="Y34" i="22"/>
  <c r="Z85" i="22"/>
  <c r="Y4" i="22"/>
  <c r="Y44" i="22"/>
  <c r="Z72" i="22"/>
  <c r="Z54" i="22"/>
  <c r="Y14" i="22"/>
  <c r="Y17" i="22"/>
  <c r="Y62" i="22"/>
  <c r="Y33" i="22"/>
  <c r="Y19" i="22"/>
  <c r="Y54" i="22"/>
  <c r="Z9" i="22"/>
  <c r="Y21" i="22"/>
  <c r="Z95" i="22"/>
  <c r="Z74" i="22"/>
  <c r="Y71" i="22"/>
  <c r="Z46" i="22"/>
  <c r="Z21" i="22"/>
  <c r="Z33" i="22"/>
  <c r="Y88" i="22"/>
  <c r="Z4" i="22"/>
  <c r="Z92" i="22"/>
  <c r="Z87" i="22"/>
  <c r="Y8" i="22"/>
  <c r="Y13" i="22"/>
  <c r="Y9" i="22"/>
  <c r="Y92" i="22"/>
  <c r="Y84" i="22"/>
  <c r="Z98" i="22"/>
  <c r="Z62" i="22"/>
  <c r="Y91" i="22"/>
  <c r="Z38" i="22"/>
  <c r="Z57" i="22"/>
  <c r="Z77" i="22"/>
  <c r="Y28" i="22"/>
  <c r="Z47" i="22"/>
  <c r="Z69" i="22"/>
  <c r="Y53" i="22"/>
  <c r="Z93" i="22"/>
  <c r="Z50" i="22"/>
  <c r="Y98" i="22"/>
  <c r="Z10" i="22"/>
  <c r="Y22" i="22"/>
  <c r="Z83" i="22"/>
  <c r="Y95" i="22"/>
  <c r="Y68" i="22"/>
  <c r="Y23" i="22"/>
  <c r="Z13" i="22"/>
  <c r="Z39" i="22"/>
  <c r="Z45" i="22"/>
  <c r="Y76" i="22"/>
  <c r="Y69" i="22"/>
  <c r="Z30" i="22"/>
  <c r="Y74" i="22"/>
  <c r="Z36" i="22"/>
  <c r="Y96" i="22"/>
  <c r="Y66" i="22"/>
  <c r="AA66" i="22" s="1"/>
  <c r="Y75" i="22"/>
  <c r="Y46" i="22"/>
  <c r="Y77" i="22"/>
  <c r="Y5" i="22"/>
  <c r="Z80" i="22"/>
  <c r="Z73" i="22"/>
  <c r="Y32" i="22"/>
  <c r="Y52" i="22"/>
  <c r="Z17" i="22"/>
  <c r="Y60" i="22"/>
  <c r="Y67" i="22"/>
  <c r="Y87" i="22"/>
  <c r="Z25" i="22"/>
  <c r="Y59" i="22"/>
  <c r="Z63" i="22"/>
  <c r="Y64" i="22"/>
  <c r="Z68" i="22"/>
  <c r="Z8" i="22"/>
  <c r="Z7" i="22"/>
  <c r="Z43" i="22"/>
  <c r="Y30" i="22"/>
  <c r="Z41" i="22"/>
  <c r="Z96" i="22"/>
  <c r="Z42" i="22"/>
  <c r="Z86" i="22"/>
  <c r="Z16" i="22"/>
  <c r="Y6" i="22"/>
  <c r="Y83" i="22"/>
  <c r="Y79" i="22"/>
  <c r="Z37" i="22"/>
  <c r="Z49" i="22"/>
  <c r="Z52" i="22"/>
  <c r="Y35" i="22"/>
  <c r="Y65" i="22"/>
  <c r="Z60" i="22"/>
  <c r="Z67" i="22"/>
  <c r="Z75" i="22"/>
  <c r="Z22" i="22"/>
  <c r="Z56" i="22"/>
  <c r="Z35" i="22"/>
  <c r="Y70" i="22"/>
  <c r="Y72" i="22"/>
  <c r="Y25" i="22"/>
  <c r="Z61" i="22"/>
  <c r="Z44" i="22"/>
  <c r="Z5" i="22"/>
  <c r="Z28" i="22"/>
  <c r="Y99" i="22"/>
  <c r="Y42" i="22"/>
  <c r="Y10" i="22"/>
  <c r="Y85" i="22"/>
  <c r="Y86" i="22"/>
  <c r="Y39" i="22"/>
  <c r="Z34" i="22"/>
  <c r="Z76" i="22"/>
  <c r="Z58" i="22"/>
  <c r="Y43" i="22"/>
  <c r="Y16" i="22"/>
  <c r="Y55" i="22"/>
  <c r="Y12" i="22"/>
  <c r="Z31" i="22"/>
  <c r="Z81" i="22"/>
  <c r="Z27" i="22"/>
  <c r="Y38" i="22"/>
  <c r="Y93" i="22"/>
  <c r="Y37" i="22"/>
  <c r="Z84" i="22"/>
  <c r="Y40" i="22"/>
  <c r="Z23" i="22"/>
  <c r="Y57" i="22"/>
  <c r="Y81" i="22"/>
  <c r="Z6" i="22"/>
  <c r="Z18" i="22"/>
  <c r="Y82" i="22"/>
  <c r="Z91" i="22"/>
  <c r="Z53" i="22"/>
  <c r="Y47" i="22"/>
  <c r="Y73" i="22"/>
  <c r="Z32" i="22"/>
  <c r="Y56" i="22"/>
  <c r="Y11" i="22"/>
  <c r="Y61" i="22"/>
  <c r="Y63" i="22"/>
  <c r="Z64" i="22"/>
  <c r="Z70" i="22"/>
  <c r="Z26" i="22"/>
  <c r="Y97" i="22"/>
  <c r="Z71" i="22"/>
  <c r="Y20" i="22"/>
  <c r="Z89" i="22"/>
  <c r="Z14" i="22"/>
  <c r="Y7" i="22"/>
  <c r="Z51" i="22"/>
  <c r="Z78" i="22"/>
  <c r="Z66" i="22"/>
  <c r="AB66" i="22" s="1"/>
  <c r="Y18" i="22"/>
  <c r="Z59" i="22"/>
  <c r="Y41" i="22"/>
  <c r="Z48" i="22"/>
  <c r="Y51" i="22"/>
  <c r="Z94" i="22"/>
  <c r="Y90" i="22"/>
  <c r="Y48" i="22"/>
  <c r="Y26" i="22"/>
  <c r="Z11" i="22"/>
  <c r="Y45" i="22"/>
  <c r="Y94" i="22"/>
  <c r="Y89" i="22"/>
  <c r="Y29" i="22"/>
  <c r="Z90" i="22"/>
  <c r="Z12" i="22"/>
  <c r="Z79" i="22"/>
  <c r="Z19" i="22"/>
  <c r="Y78" i="22"/>
  <c r="Z40" i="22"/>
  <c r="Y36" i="22"/>
  <c r="Y24" i="22"/>
  <c r="AM150" i="59" a="1"/>
  <c r="AM150" i="59" s="1"/>
  <c r="AM135" i="11" a="1"/>
  <c r="AM135" i="11" s="1"/>
  <c r="AK251" i="32" l="1"/>
  <c r="T251" i="32"/>
  <c r="AK250" i="32"/>
  <c r="T250" i="32"/>
  <c r="AD249" i="32"/>
  <c r="AD248" i="32"/>
  <c r="AI247" i="32"/>
  <c r="AN247" i="32" s="1"/>
  <c r="AP257" i="50"/>
  <c r="AL258" i="50"/>
  <c r="AC148" i="22"/>
  <c r="AE148" i="22" s="1"/>
  <c r="E121" i="36"/>
  <c r="AC153" i="22"/>
  <c r="AE153" i="22" s="1"/>
  <c r="E126" i="36"/>
  <c r="AC152" i="22"/>
  <c r="AE152" i="22" s="1"/>
  <c r="E125" i="36"/>
  <c r="AC149" i="22"/>
  <c r="AE149" i="22" s="1"/>
  <c r="E122" i="36"/>
  <c r="AC147" i="22"/>
  <c r="AE147" i="22" s="1"/>
  <c r="E120" i="36"/>
  <c r="AD146" i="22"/>
  <c r="AF146" i="22" s="1"/>
  <c r="F119" i="36"/>
  <c r="AC157" i="22"/>
  <c r="AE157" i="22" s="1"/>
  <c r="E130" i="36"/>
  <c r="AD157" i="22"/>
  <c r="AF157" i="22" s="1"/>
  <c r="F130" i="36"/>
  <c r="AD152" i="22"/>
  <c r="AF152" i="22" s="1"/>
  <c r="F125" i="36"/>
  <c r="AD153" i="22"/>
  <c r="AF153" i="22" s="1"/>
  <c r="F126" i="36"/>
  <c r="AD149" i="22"/>
  <c r="AF149" i="22" s="1"/>
  <c r="F122" i="36"/>
  <c r="AC154" i="22"/>
  <c r="AE154" i="22" s="1"/>
  <c r="E127" i="36"/>
  <c r="AD155" i="22"/>
  <c r="AF155" i="22" s="1"/>
  <c r="F128" i="36"/>
  <c r="AD158" i="22"/>
  <c r="AF158" i="22" s="1"/>
  <c r="F131" i="36"/>
  <c r="AD156" i="22"/>
  <c r="AF156" i="22" s="1"/>
  <c r="F129" i="36"/>
  <c r="AC158" i="22"/>
  <c r="AE158" i="22" s="1"/>
  <c r="E131" i="36"/>
  <c r="AC151" i="22"/>
  <c r="AE151" i="22" s="1"/>
  <c r="E124" i="36"/>
  <c r="AD150" i="22"/>
  <c r="AF150" i="22" s="1"/>
  <c r="F123" i="36"/>
  <c r="AC150" i="22"/>
  <c r="AE150" i="22" s="1"/>
  <c r="E123" i="36"/>
  <c r="AD147" i="22"/>
  <c r="AF147" i="22" s="1"/>
  <c r="F120" i="36"/>
  <c r="AD148" i="22"/>
  <c r="AF148" i="22" s="1"/>
  <c r="F121" i="36"/>
  <c r="AC156" i="22"/>
  <c r="AE156" i="22" s="1"/>
  <c r="E129" i="36"/>
  <c r="AD151" i="22"/>
  <c r="AF151" i="22" s="1"/>
  <c r="F124" i="36"/>
  <c r="AC155" i="22"/>
  <c r="AE155" i="22" s="1"/>
  <c r="E128" i="36"/>
  <c r="AD154" i="22"/>
  <c r="AF154" i="22" s="1"/>
  <c r="F127" i="36"/>
  <c r="C249" i="32"/>
  <c r="V249" i="32"/>
  <c r="AJ248" i="32"/>
  <c r="C248" i="32"/>
  <c r="AJ249" i="32"/>
  <c r="A250" i="32"/>
  <c r="B250" i="32"/>
  <c r="R250" i="32" s="1"/>
  <c r="A251" i="32"/>
  <c r="B251" i="32"/>
  <c r="R251" i="32" s="1"/>
  <c r="G250" i="32"/>
  <c r="O250" i="32"/>
  <c r="I250" i="32"/>
  <c r="J250" i="32"/>
  <c r="M250" i="32"/>
  <c r="N250" i="32"/>
  <c r="L250" i="32"/>
  <c r="F250" i="32"/>
  <c r="AM250" i="32" s="1"/>
  <c r="H250" i="32"/>
  <c r="K250" i="32"/>
  <c r="M251" i="32"/>
  <c r="G251" i="32"/>
  <c r="O251" i="32"/>
  <c r="H251" i="32"/>
  <c r="F251" i="32"/>
  <c r="AM251" i="32" s="1"/>
  <c r="I251" i="32"/>
  <c r="L251" i="32"/>
  <c r="J251" i="32"/>
  <c r="K251" i="32"/>
  <c r="N251" i="32"/>
  <c r="W248" i="32"/>
  <c r="X248" i="32" s="1"/>
  <c r="Z248" i="32"/>
  <c r="AB81" i="22"/>
  <c r="AB22" i="22"/>
  <c r="AB16" i="22"/>
  <c r="AB93" i="22"/>
  <c r="AB74" i="22"/>
  <c r="AB55" i="22"/>
  <c r="AB134" i="22"/>
  <c r="AB19" i="22"/>
  <c r="AB48" i="22"/>
  <c r="AB14" i="22"/>
  <c r="AB32" i="22"/>
  <c r="AB91" i="22"/>
  <c r="AB84" i="22"/>
  <c r="AB27" i="22"/>
  <c r="AB76" i="22"/>
  <c r="AB28" i="22"/>
  <c r="AB56" i="22"/>
  <c r="AB60" i="22"/>
  <c r="AB49" i="22"/>
  <c r="AB96" i="22"/>
  <c r="AB7" i="22"/>
  <c r="AB63" i="22"/>
  <c r="AB13" i="22"/>
  <c r="AB83" i="22"/>
  <c r="AB50" i="22"/>
  <c r="AB47" i="22"/>
  <c r="AB38" i="22"/>
  <c r="AB9" i="22"/>
  <c r="AB72" i="22"/>
  <c r="AB82" i="22"/>
  <c r="AB133" i="22"/>
  <c r="AB132" i="22"/>
  <c r="AB26" i="22"/>
  <c r="AB79" i="22"/>
  <c r="AB11" i="22"/>
  <c r="AB78" i="22"/>
  <c r="AB89" i="22"/>
  <c r="AB34" i="22"/>
  <c r="AB5" i="22"/>
  <c r="AB37" i="22"/>
  <c r="AB41" i="22"/>
  <c r="AB8" i="22"/>
  <c r="AB73" i="22"/>
  <c r="AB36" i="22"/>
  <c r="AB87" i="22"/>
  <c r="AB33" i="22"/>
  <c r="AB97" i="22"/>
  <c r="AB136" i="22"/>
  <c r="AB40" i="22"/>
  <c r="AB12" i="22"/>
  <c r="AB94" i="22"/>
  <c r="AB59" i="22"/>
  <c r="AB51" i="22"/>
  <c r="AB70" i="22"/>
  <c r="AB18" i="22"/>
  <c r="AB23" i="22"/>
  <c r="AB31" i="22"/>
  <c r="AB44" i="22"/>
  <c r="AB75" i="22"/>
  <c r="AB86" i="22"/>
  <c r="AB68" i="22"/>
  <c r="AB25" i="22"/>
  <c r="AB17" i="22"/>
  <c r="AB80" i="22"/>
  <c r="AB45" i="22"/>
  <c r="AB10" i="22"/>
  <c r="AB77" i="22"/>
  <c r="AB62" i="22"/>
  <c r="AB92" i="22"/>
  <c r="AB21" i="22"/>
  <c r="AB95" i="22"/>
  <c r="AB65" i="22"/>
  <c r="AB88" i="22"/>
  <c r="AB20" i="22"/>
  <c r="AB90" i="22"/>
  <c r="AB71" i="22"/>
  <c r="AB64" i="22"/>
  <c r="AB53" i="22"/>
  <c r="AB6" i="22"/>
  <c r="AB58" i="22"/>
  <c r="AB61" i="22"/>
  <c r="AB35" i="22"/>
  <c r="AB67" i="22"/>
  <c r="AB52" i="22"/>
  <c r="AB42" i="22"/>
  <c r="AB43" i="22"/>
  <c r="AB30" i="22"/>
  <c r="AB39" i="22"/>
  <c r="AB69" i="22"/>
  <c r="AB57" i="22"/>
  <c r="AB98" i="22"/>
  <c r="AB46" i="22"/>
  <c r="AB54" i="22"/>
  <c r="AB85" i="22"/>
  <c r="AB99" i="22"/>
  <c r="AB29" i="22"/>
  <c r="AB127" i="22"/>
  <c r="AB131" i="22"/>
  <c r="AB135" i="22"/>
  <c r="AB4" i="22"/>
  <c r="AA45" i="22"/>
  <c r="BC42" i="22" s="1"/>
  <c r="AA85" i="22"/>
  <c r="BC50" i="22" s="1"/>
  <c r="AA6" i="22"/>
  <c r="BC79" i="22" s="1"/>
  <c r="AA67" i="22"/>
  <c r="AA69" i="22"/>
  <c r="AA8" i="22"/>
  <c r="AA50" i="22"/>
  <c r="AA134" i="22"/>
  <c r="AC134" i="22" s="1"/>
  <c r="AA90" i="22"/>
  <c r="BC54" i="22" s="1"/>
  <c r="AA73" i="22"/>
  <c r="BC129" i="22" s="1"/>
  <c r="AA10" i="22"/>
  <c r="BC111" i="22" s="1"/>
  <c r="AA72" i="22"/>
  <c r="BC128" i="22" s="1"/>
  <c r="AA65" i="22"/>
  <c r="BC94" i="22" s="1"/>
  <c r="AA59" i="22"/>
  <c r="BC152" i="22" s="1"/>
  <c r="AA60" i="22"/>
  <c r="BC121" i="22" s="1"/>
  <c r="AA46" i="22"/>
  <c r="BC43" i="22" s="1"/>
  <c r="AA76" i="22"/>
  <c r="BC155" i="22" s="1"/>
  <c r="AA23" i="22"/>
  <c r="BC33" i="22" s="1"/>
  <c r="AA22" i="22"/>
  <c r="BC82" i="22" s="1"/>
  <c r="AA28" i="22"/>
  <c r="BC85" i="22" s="1"/>
  <c r="AA91" i="22"/>
  <c r="BC134" i="22" s="1"/>
  <c r="AA92" i="22"/>
  <c r="BC95" i="22" s="1"/>
  <c r="AA54" i="22"/>
  <c r="BC47" i="22" s="1"/>
  <c r="AA17" i="22"/>
  <c r="BC32" i="22" s="1"/>
  <c r="AA44" i="22"/>
  <c r="BC41" i="22" s="1"/>
  <c r="AA58" i="22"/>
  <c r="BC122" i="22" s="1"/>
  <c r="AA49" i="22"/>
  <c r="BC44" i="22" s="1"/>
  <c r="AA133" i="22"/>
  <c r="AC133" i="22" s="1"/>
  <c r="AA135" i="22"/>
  <c r="AC135" i="22" s="1"/>
  <c r="AA63" i="22"/>
  <c r="BC93" i="22" s="1"/>
  <c r="AA77" i="22"/>
  <c r="BC132" i="22" s="1"/>
  <c r="AA84" i="22"/>
  <c r="AA36" i="22"/>
  <c r="BC36" i="22" s="1"/>
  <c r="AA82" i="22"/>
  <c r="AA37" i="22"/>
  <c r="BC145" i="22" s="1"/>
  <c r="AA93" i="22"/>
  <c r="BC96" i="22" s="1"/>
  <c r="AA39" i="22"/>
  <c r="AA79" i="22"/>
  <c r="AA30" i="22"/>
  <c r="BC87" i="22" s="1"/>
  <c r="AA75" i="22"/>
  <c r="BC131" i="22" s="1"/>
  <c r="AA74" i="22"/>
  <c r="BC130" i="22" s="1"/>
  <c r="AA68" i="22"/>
  <c r="BC125" i="22" s="1"/>
  <c r="AA53" i="22"/>
  <c r="BC120" i="22" s="1"/>
  <c r="AA9" i="22"/>
  <c r="BC115" i="22" s="1"/>
  <c r="AA19" i="22"/>
  <c r="AA14" i="22"/>
  <c r="BC30" i="22" s="1"/>
  <c r="AA80" i="22"/>
  <c r="AA127" i="22"/>
  <c r="BC70" i="22" s="1"/>
  <c r="AA132" i="22"/>
  <c r="AC132" i="22" s="1"/>
  <c r="AA24" i="22"/>
  <c r="BC83" i="22" s="1"/>
  <c r="AA29" i="22"/>
  <c r="BC86" i="22" s="1"/>
  <c r="AA48" i="22"/>
  <c r="BC91" i="22" s="1"/>
  <c r="AA97" i="22"/>
  <c r="BC57" i="22" s="1"/>
  <c r="AA81" i="22"/>
  <c r="AA55" i="22"/>
  <c r="AA25" i="22"/>
  <c r="BC34" i="22" s="1"/>
  <c r="AA32" i="22"/>
  <c r="BC35" i="22" s="1"/>
  <c r="AA96" i="22"/>
  <c r="BC56" i="22" s="1"/>
  <c r="AA88" i="22"/>
  <c r="BC52" i="22" s="1"/>
  <c r="AA71" i="22"/>
  <c r="BC49" i="22" s="1"/>
  <c r="AA62" i="22"/>
  <c r="BC153" i="22" s="1"/>
  <c r="AA34" i="22"/>
  <c r="AA31" i="22"/>
  <c r="BC88" i="22" s="1"/>
  <c r="AA131" i="22"/>
  <c r="AC131" i="22" s="1"/>
  <c r="AA89" i="22"/>
  <c r="BC53" i="22" s="1"/>
  <c r="AA41" i="22"/>
  <c r="BC38" i="22" s="1"/>
  <c r="AA61" i="22"/>
  <c r="AA57" i="22"/>
  <c r="BC92" i="22" s="1"/>
  <c r="AA16" i="22"/>
  <c r="BC31" i="22" s="1"/>
  <c r="AA94" i="22"/>
  <c r="BC97" i="22" s="1"/>
  <c r="AA20" i="22"/>
  <c r="BC116" i="22" s="1"/>
  <c r="AA11" i="22"/>
  <c r="BC112" i="22" s="1"/>
  <c r="AA47" i="22"/>
  <c r="BC90" i="22" s="1"/>
  <c r="AA43" i="22"/>
  <c r="BC40" i="22" s="1"/>
  <c r="AA42" i="22"/>
  <c r="BC39" i="22" s="1"/>
  <c r="AA70" i="22"/>
  <c r="BC127" i="22" s="1"/>
  <c r="AA35" i="22"/>
  <c r="BC118" i="22" s="1"/>
  <c r="AA78" i="22"/>
  <c r="BC133" i="22" s="1"/>
  <c r="AA26" i="22"/>
  <c r="AA51" i="22"/>
  <c r="BC45" i="22" s="1"/>
  <c r="AA18" i="22"/>
  <c r="BC5" i="22" s="1"/>
  <c r="AA7" i="22"/>
  <c r="BC80" i="22" s="1"/>
  <c r="AA56" i="22"/>
  <c r="BC48" i="22" s="1"/>
  <c r="AA40" i="22"/>
  <c r="BC119" i="22" s="1"/>
  <c r="AA38" i="22"/>
  <c r="BC37" i="22" s="1"/>
  <c r="AA12" i="22"/>
  <c r="BC113" i="22" s="1"/>
  <c r="AA86" i="22"/>
  <c r="AA99" i="22"/>
  <c r="BC59" i="22" s="1"/>
  <c r="AA83" i="22"/>
  <c r="AA64" i="22"/>
  <c r="BC154" i="22" s="1"/>
  <c r="AA87" i="22"/>
  <c r="BC51" i="22" s="1"/>
  <c r="AA52" i="22"/>
  <c r="BC46" i="22" s="1"/>
  <c r="AA5" i="22"/>
  <c r="BC78" i="22" s="1"/>
  <c r="AA95" i="22"/>
  <c r="BC55" i="22" s="1"/>
  <c r="AA98" i="22"/>
  <c r="BC58" i="22" s="1"/>
  <c r="AA13" i="22"/>
  <c r="BC114" i="22" s="1"/>
  <c r="AA21" i="22"/>
  <c r="BC81" i="22" s="1"/>
  <c r="AA33" i="22"/>
  <c r="BC89" i="22" s="1"/>
  <c r="AA27" i="22"/>
  <c r="BC84" i="22" s="1"/>
  <c r="AA136" i="22"/>
  <c r="AC136" i="22" s="1"/>
  <c r="AA4" i="22"/>
  <c r="BC77" i="22" s="1"/>
  <c r="AC128" i="22"/>
  <c r="BC143" i="22"/>
  <c r="AC119" i="22"/>
  <c r="BC136" i="22"/>
  <c r="AC121" i="22"/>
  <c r="BC138" i="22"/>
  <c r="AC125" i="22"/>
  <c r="BC142" i="22"/>
  <c r="AC113" i="22"/>
  <c r="BC135" i="22"/>
  <c r="AC123" i="22"/>
  <c r="BC140" i="22"/>
  <c r="AC120" i="22"/>
  <c r="BC137" i="22"/>
  <c r="AC124" i="22"/>
  <c r="BC141" i="22"/>
  <c r="AC122" i="22"/>
  <c r="BC139" i="22"/>
  <c r="AC129" i="22"/>
  <c r="BC144" i="22"/>
  <c r="AD119" i="22"/>
  <c r="BD136" i="22" s="1"/>
  <c r="E149" i="72" s="1"/>
  <c r="AD122" i="22"/>
  <c r="BD139" i="22" s="1"/>
  <c r="E152" i="72" s="1"/>
  <c r="AD128" i="22"/>
  <c r="BD143" i="22" s="1"/>
  <c r="E156" i="72" s="1"/>
  <c r="AD113" i="22"/>
  <c r="BD135" i="22" s="1"/>
  <c r="E148" i="72" s="1"/>
  <c r="AD125" i="22"/>
  <c r="BD142" i="22" s="1"/>
  <c r="E155" i="72" s="1"/>
  <c r="AD123" i="22"/>
  <c r="BD140" i="22" s="1"/>
  <c r="E153" i="72" s="1"/>
  <c r="AD124" i="22"/>
  <c r="BD141" i="22" s="1"/>
  <c r="E154" i="72" s="1"/>
  <c r="AD129" i="22"/>
  <c r="BD144" i="22" s="1"/>
  <c r="E157" i="72" s="1"/>
  <c r="AD121" i="22"/>
  <c r="BD138" i="22" s="1"/>
  <c r="E151" i="72" s="1"/>
  <c r="AD120" i="22"/>
  <c r="BD137" i="22" s="1"/>
  <c r="E150" i="72" s="1"/>
  <c r="AD109" i="22"/>
  <c r="BD98" i="22" s="1"/>
  <c r="E111" i="72" s="1"/>
  <c r="AC109" i="22"/>
  <c r="BC98" i="22"/>
  <c r="AC130" i="22"/>
  <c r="AC126" i="22"/>
  <c r="BC99" i="22"/>
  <c r="AC117" i="22"/>
  <c r="AC101" i="22"/>
  <c r="AC105" i="22"/>
  <c r="AC111" i="22"/>
  <c r="AC107" i="22"/>
  <c r="AC110" i="22"/>
  <c r="AC116" i="22"/>
  <c r="AC112" i="22"/>
  <c r="AC118" i="22"/>
  <c r="AC103" i="22"/>
  <c r="AD116" i="22"/>
  <c r="BD67" i="22" s="1"/>
  <c r="AD105" i="22"/>
  <c r="BD62" i="22" s="1"/>
  <c r="AD101" i="22"/>
  <c r="BD60" i="22" s="1"/>
  <c r="AD103" i="22"/>
  <c r="BD61" i="22" s="1"/>
  <c r="AD117" i="22"/>
  <c r="BD68" i="22" s="1"/>
  <c r="AD112" i="22"/>
  <c r="BD66" i="22" s="1"/>
  <c r="AD110" i="22"/>
  <c r="BD64" i="22" s="1"/>
  <c r="AD111" i="22"/>
  <c r="BD65" i="22" s="1"/>
  <c r="AD118" i="22"/>
  <c r="BD69" i="22" s="1"/>
  <c r="AD107" i="22"/>
  <c r="BD63" i="22" s="1"/>
  <c r="AD108" i="22"/>
  <c r="AD106" i="22"/>
  <c r="AD115" i="22"/>
  <c r="AD104" i="22"/>
  <c r="AC115" i="22"/>
  <c r="BC23" i="22"/>
  <c r="AC102" i="22"/>
  <c r="AC108" i="22"/>
  <c r="BC22" i="22"/>
  <c r="AC104" i="22"/>
  <c r="BC20" i="22"/>
  <c r="AC106" i="22"/>
  <c r="BC21" i="22"/>
  <c r="AD126" i="22"/>
  <c r="BD99" i="22" s="1"/>
  <c r="E112" i="72" s="1"/>
  <c r="W249" i="32"/>
  <c r="X249" i="32" s="1"/>
  <c r="Z249" i="32"/>
  <c r="AN31" i="22"/>
  <c r="AM31" i="22"/>
  <c r="AD114" i="22"/>
  <c r="AD100" i="22"/>
  <c r="AC114" i="22"/>
  <c r="AC100" i="22"/>
  <c r="AL251" i="11" a="1"/>
  <c r="AL251" i="11" s="1"/>
  <c r="Z24" i="22"/>
  <c r="V259" i="50"/>
  <c r="V260" i="50" s="1"/>
  <c r="Y15" i="22"/>
  <c r="AM151" i="59" a="1"/>
  <c r="AM151" i="59" s="1"/>
  <c r="AM136" i="11" a="1"/>
  <c r="AM136" i="11" s="1"/>
  <c r="U250" i="32" l="1"/>
  <c r="U251" i="32"/>
  <c r="AG249" i="32"/>
  <c r="AH249" i="32" s="1"/>
  <c r="AL249" i="32"/>
  <c r="AG248" i="32"/>
  <c r="AH248" i="32" s="1"/>
  <c r="AL248" i="32"/>
  <c r="BC146" i="22"/>
  <c r="AP258" i="50"/>
  <c r="AP259" i="50" s="1"/>
  <c r="H24" i="73" s="1"/>
  <c r="Q251" i="32"/>
  <c r="P251" i="32" s="1"/>
  <c r="Q250" i="32"/>
  <c r="P250" i="32" s="1"/>
  <c r="BC12" i="22"/>
  <c r="AD135" i="22"/>
  <c r="AD131" i="22"/>
  <c r="AD136" i="22"/>
  <c r="AD132" i="22"/>
  <c r="AD133" i="22"/>
  <c r="AD134" i="22"/>
  <c r="BC19" i="22"/>
  <c r="BC10" i="22"/>
  <c r="BC9" i="22"/>
  <c r="BC6" i="22"/>
  <c r="BC14" i="22"/>
  <c r="E79" i="72"/>
  <c r="E72" i="72"/>
  <c r="E71" i="72"/>
  <c r="E74" i="72"/>
  <c r="E73" i="72"/>
  <c r="E76" i="72"/>
  <c r="E80" i="72"/>
  <c r="E78" i="72"/>
  <c r="E75" i="72"/>
  <c r="E77" i="72"/>
  <c r="BD23" i="22"/>
  <c r="E31" i="72" s="1"/>
  <c r="BD24" i="22"/>
  <c r="E32" i="72" s="1"/>
  <c r="BD21" i="22"/>
  <c r="E29" i="72" s="1"/>
  <c r="BC15" i="22"/>
  <c r="BC17" i="22"/>
  <c r="BD22" i="22"/>
  <c r="E30" i="72" s="1"/>
  <c r="BC16" i="22"/>
  <c r="BC13" i="22"/>
  <c r="BC7" i="22"/>
  <c r="BC18" i="22"/>
  <c r="BC8" i="22"/>
  <c r="BC11" i="22"/>
  <c r="BC124" i="22"/>
  <c r="BC123" i="22"/>
  <c r="G128" i="36"/>
  <c r="G148" i="36" s="1"/>
  <c r="E148" i="36"/>
  <c r="H120" i="36"/>
  <c r="H140" i="36" s="1"/>
  <c r="F140" i="36"/>
  <c r="G131" i="36"/>
  <c r="G151" i="36" s="1"/>
  <c r="E151" i="36"/>
  <c r="G127" i="36"/>
  <c r="G147" i="36" s="1"/>
  <c r="E147" i="36"/>
  <c r="H130" i="36"/>
  <c r="H150" i="36" s="1"/>
  <c r="F150" i="36"/>
  <c r="G122" i="36"/>
  <c r="G142" i="36" s="1"/>
  <c r="E142" i="36"/>
  <c r="H124" i="36"/>
  <c r="H144" i="36" s="1"/>
  <c r="F144" i="36"/>
  <c r="G123" i="36"/>
  <c r="G143" i="36" s="1"/>
  <c r="E143" i="36"/>
  <c r="H129" i="36"/>
  <c r="H149" i="36" s="1"/>
  <c r="F149" i="36"/>
  <c r="H122" i="36"/>
  <c r="H142" i="36" s="1"/>
  <c r="F142" i="36"/>
  <c r="G130" i="36"/>
  <c r="G150" i="36" s="1"/>
  <c r="E150" i="36"/>
  <c r="G125" i="36"/>
  <c r="G145" i="36" s="1"/>
  <c r="E145" i="36"/>
  <c r="G129" i="36"/>
  <c r="G149" i="36" s="1"/>
  <c r="E149" i="36"/>
  <c r="H123" i="36"/>
  <c r="H143" i="36" s="1"/>
  <c r="F143" i="36"/>
  <c r="H131" i="36"/>
  <c r="H151" i="36" s="1"/>
  <c r="F151" i="36"/>
  <c r="H126" i="36"/>
  <c r="H146" i="36" s="1"/>
  <c r="F146" i="36"/>
  <c r="H119" i="36"/>
  <c r="H139" i="36" s="1"/>
  <c r="F139" i="36"/>
  <c r="G126" i="36"/>
  <c r="G146" i="36" s="1"/>
  <c r="E146" i="36"/>
  <c r="H127" i="36"/>
  <c r="H147" i="36" s="1"/>
  <c r="F147" i="36"/>
  <c r="H121" i="36"/>
  <c r="H141" i="36" s="1"/>
  <c r="F141" i="36"/>
  <c r="G124" i="36"/>
  <c r="G144" i="36" s="1"/>
  <c r="E144" i="36"/>
  <c r="H128" i="36"/>
  <c r="H148" i="36" s="1"/>
  <c r="F148" i="36"/>
  <c r="H125" i="36"/>
  <c r="H145" i="36" s="1"/>
  <c r="F145" i="36"/>
  <c r="G120" i="36"/>
  <c r="G140" i="36" s="1"/>
  <c r="E140" i="36"/>
  <c r="G121" i="36"/>
  <c r="G141" i="36" s="1"/>
  <c r="E141" i="36"/>
  <c r="BC126" i="22"/>
  <c r="S251" i="32"/>
  <c r="S250" i="32"/>
  <c r="V250" i="32" s="1"/>
  <c r="E252" i="32"/>
  <c r="AP29" i="22"/>
  <c r="AB24" i="22"/>
  <c r="AA15" i="22"/>
  <c r="BC117" i="22" s="1"/>
  <c r="AO29" i="22"/>
  <c r="AN32" i="22"/>
  <c r="F70" i="36" s="1"/>
  <c r="H70" i="36" s="1"/>
  <c r="AM32" i="22"/>
  <c r="E70" i="36" s="1"/>
  <c r="G70" i="36" s="1"/>
  <c r="AD130" i="22"/>
  <c r="BD100" i="22" s="1"/>
  <c r="AM29" i="22"/>
  <c r="AN29" i="22"/>
  <c r="AN30" i="22"/>
  <c r="AD102" i="22"/>
  <c r="BD20" i="22" s="1"/>
  <c r="E28" i="72" s="1"/>
  <c r="AM30" i="22"/>
  <c r="AD127" i="22"/>
  <c r="BD70" i="22" s="1"/>
  <c r="E81" i="72" s="1"/>
  <c r="AC127" i="22"/>
  <c r="AO28" i="22" s="1"/>
  <c r="AO31" i="22"/>
  <c r="AO32" i="22"/>
  <c r="AP31" i="22"/>
  <c r="AM28" i="22"/>
  <c r="AN28" i="22"/>
  <c r="AO30" i="22"/>
  <c r="AL252" i="11" a="1"/>
  <c r="AL252" i="11" s="1"/>
  <c r="E253" i="32" s="1"/>
  <c r="Z15" i="22"/>
  <c r="AM152" i="59" a="1"/>
  <c r="AM152" i="59" s="1"/>
  <c r="AM137" i="11" a="1"/>
  <c r="AM137" i="11" s="1"/>
  <c r="AK253" i="32" l="1"/>
  <c r="T253" i="32"/>
  <c r="AK252" i="32"/>
  <c r="T252" i="32"/>
  <c r="AD251" i="32"/>
  <c r="AG251" i="32" s="1"/>
  <c r="AH251" i="32" s="1"/>
  <c r="AD250" i="32"/>
  <c r="AI249" i="32"/>
  <c r="AN249" i="32" s="1"/>
  <c r="AI248" i="32"/>
  <c r="AN248" i="32" s="1"/>
  <c r="AP32" i="22"/>
  <c r="AP28" i="22"/>
  <c r="E113" i="72"/>
  <c r="AP30" i="22"/>
  <c r="C251" i="32"/>
  <c r="V251" i="32"/>
  <c r="AJ250" i="32"/>
  <c r="C250" i="32"/>
  <c r="AJ251" i="32"/>
  <c r="A253" i="32"/>
  <c r="B253" i="32"/>
  <c r="R253" i="32" s="1"/>
  <c r="A252" i="32"/>
  <c r="B252" i="32"/>
  <c r="R252" i="32" s="1"/>
  <c r="I253" i="32"/>
  <c r="K253" i="32"/>
  <c r="L253" i="32"/>
  <c r="H253" i="32"/>
  <c r="J253" i="32"/>
  <c r="M253" i="32"/>
  <c r="G253" i="32"/>
  <c r="N253" i="32"/>
  <c r="O253" i="32"/>
  <c r="F253" i="32"/>
  <c r="AM253" i="32" s="1"/>
  <c r="K252" i="32"/>
  <c r="M252" i="32"/>
  <c r="F252" i="32"/>
  <c r="AM252" i="32" s="1"/>
  <c r="N252" i="32"/>
  <c r="G252" i="32"/>
  <c r="H252" i="32"/>
  <c r="I252" i="32"/>
  <c r="J252" i="32"/>
  <c r="O252" i="32"/>
  <c r="L252" i="32"/>
  <c r="W250" i="32"/>
  <c r="X250" i="32" s="1"/>
  <c r="Z250" i="32"/>
  <c r="AB15" i="22"/>
  <c r="W251" i="32"/>
  <c r="X251" i="32" s="1"/>
  <c r="Z251" i="32"/>
  <c r="AL253" i="11" a="1"/>
  <c r="AL253" i="11" s="1"/>
  <c r="AM153" i="59" a="1"/>
  <c r="AM153" i="59" s="1"/>
  <c r="AM138" i="11" a="1"/>
  <c r="AM138" i="11" s="1"/>
  <c r="AL251" i="32" l="1"/>
  <c r="U253" i="32"/>
  <c r="U252" i="32"/>
  <c r="AG250" i="32"/>
  <c r="AH250" i="32" s="1"/>
  <c r="AL250" i="32"/>
  <c r="Q253" i="32"/>
  <c r="P253" i="32" s="1"/>
  <c r="Q252" i="32"/>
  <c r="P252" i="32" s="1"/>
  <c r="S252" i="32"/>
  <c r="V252" i="32" s="1"/>
  <c r="S253" i="32"/>
  <c r="E254" i="32"/>
  <c r="AL254" i="11" a="1"/>
  <c r="AL254" i="11" s="1"/>
  <c r="AM154" i="59" a="1"/>
  <c r="AM154" i="59" s="1"/>
  <c r="AM139" i="11" a="1"/>
  <c r="AM139" i="11" s="1"/>
  <c r="AK254" i="32" l="1"/>
  <c r="T254" i="32"/>
  <c r="AD252" i="32"/>
  <c r="AD253" i="32"/>
  <c r="AI250" i="32"/>
  <c r="AN250" i="32" s="1"/>
  <c r="AI251" i="32"/>
  <c r="AN251" i="32" s="1"/>
  <c r="C253" i="32"/>
  <c r="V253" i="32"/>
  <c r="AJ252" i="32"/>
  <c r="C252" i="32"/>
  <c r="AJ253" i="32"/>
  <c r="A254" i="32"/>
  <c r="B254" i="32"/>
  <c r="R254" i="32" s="1"/>
  <c r="G254" i="32"/>
  <c r="O254" i="32"/>
  <c r="I254" i="32"/>
  <c r="J254" i="32"/>
  <c r="L254" i="32"/>
  <c r="M254" i="32"/>
  <c r="N254" i="32"/>
  <c r="H254" i="32"/>
  <c r="F254" i="32"/>
  <c r="AM254" i="32" s="1"/>
  <c r="K254" i="32"/>
  <c r="E255" i="32"/>
  <c r="Z252" i="32"/>
  <c r="W252" i="32"/>
  <c r="X252" i="32" s="1"/>
  <c r="W253" i="32"/>
  <c r="X253" i="32" s="1"/>
  <c r="Z253" i="32"/>
  <c r="AL255" i="11" a="1"/>
  <c r="AL255" i="11" s="1"/>
  <c r="E256" i="32" s="1"/>
  <c r="AM155" i="59" a="1"/>
  <c r="AM155" i="59" s="1"/>
  <c r="AM140" i="11" a="1"/>
  <c r="AM140" i="11" s="1"/>
  <c r="AK255" i="32" l="1"/>
  <c r="T255" i="32"/>
  <c r="AK256" i="32"/>
  <c r="T256" i="32"/>
  <c r="U254" i="32"/>
  <c r="AG253" i="32"/>
  <c r="AH253" i="32" s="1"/>
  <c r="AL253" i="32"/>
  <c r="AG252" i="32"/>
  <c r="AH252" i="32" s="1"/>
  <c r="AL252" i="32"/>
  <c r="Q254" i="32"/>
  <c r="P254" i="32" s="1"/>
  <c r="S254" i="32"/>
  <c r="A255" i="32"/>
  <c r="B255" i="32"/>
  <c r="R255" i="32" s="1"/>
  <c r="A256" i="32"/>
  <c r="B256" i="32"/>
  <c r="R256" i="32" s="1"/>
  <c r="K256" i="32"/>
  <c r="F256" i="32"/>
  <c r="AM256" i="32" s="1"/>
  <c r="N256" i="32"/>
  <c r="G256" i="32"/>
  <c r="H256" i="32"/>
  <c r="O256" i="32"/>
  <c r="I256" i="32"/>
  <c r="M256" i="32"/>
  <c r="J256" i="32"/>
  <c r="L256" i="32"/>
  <c r="M255" i="32"/>
  <c r="G255" i="32"/>
  <c r="O255" i="32"/>
  <c r="H255" i="32"/>
  <c r="N255" i="32"/>
  <c r="L255" i="32"/>
  <c r="F255" i="32"/>
  <c r="AM255" i="32" s="1"/>
  <c r="J255" i="32"/>
  <c r="I255" i="32"/>
  <c r="K255" i="32"/>
  <c r="AL256" i="11" a="1"/>
  <c r="AL256" i="11" s="1"/>
  <c r="E257" i="32" s="1"/>
  <c r="AM156" i="59" a="1"/>
  <c r="AM156" i="59" s="1"/>
  <c r="AM141" i="11" a="1"/>
  <c r="AM141" i="11" s="1"/>
  <c r="AK257" i="32" l="1"/>
  <c r="T257" i="32"/>
  <c r="AD254" i="32"/>
  <c r="U256" i="32"/>
  <c r="U255" i="32"/>
  <c r="AI253" i="32"/>
  <c r="AN253" i="32" s="1"/>
  <c r="Q256" i="32"/>
  <c r="P256" i="32" s="1"/>
  <c r="Q255" i="32"/>
  <c r="P255" i="32" s="1"/>
  <c r="AI252" i="32"/>
  <c r="AN252" i="32" s="1"/>
  <c r="C254" i="32"/>
  <c r="V254" i="32"/>
  <c r="AJ254" i="32"/>
  <c r="S255" i="32"/>
  <c r="S256" i="32"/>
  <c r="A257" i="32"/>
  <c r="B257" i="32"/>
  <c r="R257" i="32" s="1"/>
  <c r="I257" i="32"/>
  <c r="L257" i="32"/>
  <c r="F257" i="32"/>
  <c r="AM257" i="32" s="1"/>
  <c r="G257" i="32"/>
  <c r="H257" i="32"/>
  <c r="J257" i="32"/>
  <c r="M257" i="32"/>
  <c r="O257" i="32"/>
  <c r="K257" i="32"/>
  <c r="N257" i="32"/>
  <c r="Z254" i="32"/>
  <c r="W254" i="32"/>
  <c r="X254" i="32" s="1"/>
  <c r="AL257" i="11" a="1"/>
  <c r="AL257" i="11" s="1"/>
  <c r="AL258" i="11" s="1" a="1"/>
  <c r="AL258" i="11" s="1"/>
  <c r="AM157" i="59" a="1"/>
  <c r="AM157" i="59" s="1"/>
  <c r="AM142" i="11" a="1"/>
  <c r="AM142" i="11" s="1"/>
  <c r="AD256" i="32" l="1"/>
  <c r="AD255" i="32"/>
  <c r="U257" i="32"/>
  <c r="AG254" i="32"/>
  <c r="AH254" i="32" s="1"/>
  <c r="AL254" i="32"/>
  <c r="Q257" i="32"/>
  <c r="P257" i="32" s="1"/>
  <c r="C256" i="32"/>
  <c r="V256" i="32"/>
  <c r="C255" i="32"/>
  <c r="V255" i="32"/>
  <c r="AJ255" i="32"/>
  <c r="AJ256" i="32"/>
  <c r="S257" i="32"/>
  <c r="W255" i="32"/>
  <c r="X255" i="32" s="1"/>
  <c r="Z255" i="32"/>
  <c r="W256" i="32"/>
  <c r="X256" i="32" s="1"/>
  <c r="Z256" i="32"/>
  <c r="AM158" i="59" a="1"/>
  <c r="AM158" i="59" s="1"/>
  <c r="AM143" i="11" a="1"/>
  <c r="AM143" i="11" s="1"/>
  <c r="AD257" i="32" l="1"/>
  <c r="AG256" i="32"/>
  <c r="AH256" i="32" s="1"/>
  <c r="AL256" i="32"/>
  <c r="AG255" i="32"/>
  <c r="AH255" i="32" s="1"/>
  <c r="AL255" i="32"/>
  <c r="AI254" i="32"/>
  <c r="AN254" i="32" s="1"/>
  <c r="V257" i="32"/>
  <c r="V258" i="32" s="1"/>
  <c r="V259" i="32" s="1"/>
  <c r="M34" i="22"/>
  <c r="O34" i="22" s="1"/>
  <c r="M4" i="22"/>
  <c r="O4" i="22" s="1"/>
  <c r="AJ257" i="32"/>
  <c r="C257" i="32"/>
  <c r="N44" i="22"/>
  <c r="P44" i="22" s="1"/>
  <c r="W257" i="32"/>
  <c r="X257" i="32" s="1"/>
  <c r="Z257" i="32"/>
  <c r="N120" i="22"/>
  <c r="P120" i="22" s="1"/>
  <c r="N121" i="22"/>
  <c r="P121" i="22" s="1"/>
  <c r="M120" i="22"/>
  <c r="M113" i="22"/>
  <c r="O113" i="22" s="1"/>
  <c r="M112" i="22"/>
  <c r="N112" i="22"/>
  <c r="P112" i="22" s="1"/>
  <c r="N113" i="22"/>
  <c r="M121" i="22"/>
  <c r="N116" i="22"/>
  <c r="P116" i="22" s="1"/>
  <c r="M116" i="22"/>
  <c r="M131" i="22"/>
  <c r="N129" i="22"/>
  <c r="P129" i="22" s="1"/>
  <c r="M134" i="22"/>
  <c r="N134" i="22"/>
  <c r="M132" i="22"/>
  <c r="N135" i="22"/>
  <c r="N126" i="22"/>
  <c r="M135" i="22"/>
  <c r="M136" i="22"/>
  <c r="M130" i="22"/>
  <c r="O130" i="22" s="1"/>
  <c r="AY100" i="22" s="1"/>
  <c r="M133" i="22"/>
  <c r="N133" i="22"/>
  <c r="N136" i="22"/>
  <c r="M126" i="22"/>
  <c r="O126" i="22" s="1"/>
  <c r="N131" i="22"/>
  <c r="N130" i="22"/>
  <c r="M129" i="22"/>
  <c r="N132" i="22"/>
  <c r="N128" i="22"/>
  <c r="P128" i="22" s="1"/>
  <c r="AZ143" i="22" s="1"/>
  <c r="M128" i="22"/>
  <c r="M85" i="22"/>
  <c r="O85" i="22" s="1"/>
  <c r="M94" i="22"/>
  <c r="O94" i="22" s="1"/>
  <c r="N92" i="22"/>
  <c r="P92" i="22" s="1"/>
  <c r="N50" i="22"/>
  <c r="P50" i="22" s="1"/>
  <c r="M70" i="22"/>
  <c r="O70" i="22" s="1"/>
  <c r="M125" i="22"/>
  <c r="O125" i="22" s="1"/>
  <c r="N9" i="22"/>
  <c r="P9" i="22" s="1"/>
  <c r="N21" i="22"/>
  <c r="P21" i="22" s="1"/>
  <c r="N51" i="22"/>
  <c r="P51" i="22" s="1"/>
  <c r="N108" i="22"/>
  <c r="P108" i="22" s="1"/>
  <c r="N14" i="22"/>
  <c r="P14" i="22" s="1"/>
  <c r="N37" i="22"/>
  <c r="P37" i="22" s="1"/>
  <c r="N66" i="22"/>
  <c r="P66" i="22" s="1"/>
  <c r="N104" i="22"/>
  <c r="P104" i="22" s="1"/>
  <c r="N54" i="22"/>
  <c r="P54" i="22" s="1"/>
  <c r="M83" i="22"/>
  <c r="O83" i="22" s="1"/>
  <c r="M69" i="22"/>
  <c r="O69" i="22" s="1"/>
  <c r="N67" i="22"/>
  <c r="P67" i="22" s="1"/>
  <c r="M60" i="22"/>
  <c r="O60" i="22" s="1"/>
  <c r="M31" i="22"/>
  <c r="O31" i="22" s="1"/>
  <c r="M72" i="22"/>
  <c r="O72" i="22" s="1"/>
  <c r="M73" i="22"/>
  <c r="O73" i="22" s="1"/>
  <c r="N30" i="22"/>
  <c r="P30" i="22" s="1"/>
  <c r="N88" i="22"/>
  <c r="P88" i="22" s="1"/>
  <c r="M82" i="22"/>
  <c r="O82" i="22" s="1"/>
  <c r="N57" i="22"/>
  <c r="P57" i="22" s="1"/>
  <c r="M110" i="22"/>
  <c r="M119" i="22"/>
  <c r="N118" i="22"/>
  <c r="P118" i="22" s="1"/>
  <c r="N106" i="22"/>
  <c r="M12" i="22"/>
  <c r="O12" i="22" s="1"/>
  <c r="N34" i="22"/>
  <c r="P34" i="22" s="1"/>
  <c r="M78" i="22"/>
  <c r="O78" i="22" s="1"/>
  <c r="N93" i="22"/>
  <c r="P93" i="22" s="1"/>
  <c r="N25" i="22"/>
  <c r="P25" i="22" s="1"/>
  <c r="M88" i="22"/>
  <c r="O88" i="22" s="1"/>
  <c r="N80" i="22"/>
  <c r="M84" i="22"/>
  <c r="O84" i="22" s="1"/>
  <c r="M46" i="22"/>
  <c r="O46" i="22" s="1"/>
  <c r="N45" i="22"/>
  <c r="P45" i="22" s="1"/>
  <c r="N36" i="22"/>
  <c r="P36" i="22" s="1"/>
  <c r="M101" i="22"/>
  <c r="N103" i="22"/>
  <c r="P103" i="22" s="1"/>
  <c r="M107" i="22"/>
  <c r="N12" i="22"/>
  <c r="P12" i="22" s="1"/>
  <c r="M19" i="22"/>
  <c r="O19" i="22" s="1"/>
  <c r="M10" i="22"/>
  <c r="O10" i="22" s="1"/>
  <c r="N87" i="22"/>
  <c r="P87" i="22" s="1"/>
  <c r="M23" i="22"/>
  <c r="O23" i="22" s="1"/>
  <c r="N78" i="22"/>
  <c r="P78" i="22" s="1"/>
  <c r="N10" i="22"/>
  <c r="P10" i="22" s="1"/>
  <c r="M30" i="22"/>
  <c r="O30" i="22" s="1"/>
  <c r="M89" i="22"/>
  <c r="O89" i="22" s="1"/>
  <c r="M25" i="22"/>
  <c r="O25" i="22" s="1"/>
  <c r="M86" i="22"/>
  <c r="O86" i="22" s="1"/>
  <c r="N100" i="22"/>
  <c r="P100" i="22" s="1"/>
  <c r="M124" i="22"/>
  <c r="O124" i="22" s="1"/>
  <c r="N42" i="22"/>
  <c r="P42" i="22" s="1"/>
  <c r="M77" i="22"/>
  <c r="O77" i="22" s="1"/>
  <c r="M95" i="22"/>
  <c r="O95" i="22" s="1"/>
  <c r="N99" i="22"/>
  <c r="P99" i="22" s="1"/>
  <c r="M64" i="22"/>
  <c r="O64" i="22" s="1"/>
  <c r="M52" i="22"/>
  <c r="O52" i="22" s="1"/>
  <c r="N32" i="22"/>
  <c r="P32" i="22" s="1"/>
  <c r="M92" i="22"/>
  <c r="O92" i="22" s="1"/>
  <c r="M44" i="22"/>
  <c r="O44" i="22" s="1"/>
  <c r="M17" i="22"/>
  <c r="O17" i="22" s="1"/>
  <c r="N98" i="22"/>
  <c r="P98" i="22" s="1"/>
  <c r="N84" i="22"/>
  <c r="P84" i="22" s="1"/>
  <c r="M74" i="22"/>
  <c r="O74" i="22" s="1"/>
  <c r="N56" i="22"/>
  <c r="P56" i="22" s="1"/>
  <c r="N63" i="22"/>
  <c r="P63" i="22" s="1"/>
  <c r="M42" i="22"/>
  <c r="O42" i="22" s="1"/>
  <c r="N60" i="22"/>
  <c r="P60" i="22" s="1"/>
  <c r="N62" i="22"/>
  <c r="P62" i="22" s="1"/>
  <c r="M38" i="22"/>
  <c r="O38" i="22" s="1"/>
  <c r="N83" i="22"/>
  <c r="P83" i="22" s="1"/>
  <c r="M33" i="22"/>
  <c r="O33" i="22" s="1"/>
  <c r="M61" i="22"/>
  <c r="O61" i="22" s="1"/>
  <c r="AY146" i="22" s="1"/>
  <c r="N124" i="22"/>
  <c r="P124" i="22" s="1"/>
  <c r="M118" i="22"/>
  <c r="N122" i="22"/>
  <c r="P122" i="22" s="1"/>
  <c r="AZ139" i="22" s="1"/>
  <c r="M102" i="22"/>
  <c r="N115" i="22"/>
  <c r="N107" i="22"/>
  <c r="P107" i="22" s="1"/>
  <c r="AZ63" i="22" s="1"/>
  <c r="N105" i="22"/>
  <c r="P105" i="22" s="1"/>
  <c r="M32" i="22"/>
  <c r="O32" i="22" s="1"/>
  <c r="M79" i="22"/>
  <c r="O79" i="22" s="1"/>
  <c r="M96" i="22"/>
  <c r="O96" i="22" s="1"/>
  <c r="N77" i="22"/>
  <c r="P77" i="22" s="1"/>
  <c r="N58" i="22"/>
  <c r="P58" i="22" s="1"/>
  <c r="N72" i="22"/>
  <c r="P72" i="22" s="1"/>
  <c r="N39" i="22"/>
  <c r="P39" i="22" s="1"/>
  <c r="N74" i="22"/>
  <c r="P74" i="22" s="1"/>
  <c r="M50" i="22"/>
  <c r="O50" i="22" s="1"/>
  <c r="N52" i="22"/>
  <c r="P52" i="22" s="1"/>
  <c r="M55" i="22"/>
  <c r="O55" i="22" s="1"/>
  <c r="M51" i="22"/>
  <c r="O51" i="22" s="1"/>
  <c r="N96" i="22"/>
  <c r="P96" i="22" s="1"/>
  <c r="N49" i="22"/>
  <c r="P49" i="22" s="1"/>
  <c r="M16" i="22"/>
  <c r="O16" i="22" s="1"/>
  <c r="M9" i="22"/>
  <c r="O9" i="22" s="1"/>
  <c r="N19" i="22"/>
  <c r="P19" i="22" s="1"/>
  <c r="N69" i="22"/>
  <c r="P69" i="22" s="1"/>
  <c r="N55" i="22"/>
  <c r="P55" i="22" s="1"/>
  <c r="M24" i="22"/>
  <c r="O24" i="22" s="1"/>
  <c r="M27" i="22"/>
  <c r="O27" i="22" s="1"/>
  <c r="N22" i="22"/>
  <c r="P22" i="22" s="1"/>
  <c r="M117" i="22"/>
  <c r="O117" i="22" s="1"/>
  <c r="AY68" i="22" s="1"/>
  <c r="M114" i="22"/>
  <c r="M111" i="22"/>
  <c r="N114" i="22"/>
  <c r="N70" i="22"/>
  <c r="P70" i="22" s="1"/>
  <c r="N38" i="22"/>
  <c r="P38" i="22" s="1"/>
  <c r="M18" i="22"/>
  <c r="O18" i="22" s="1"/>
  <c r="M53" i="22"/>
  <c r="O53" i="22" s="1"/>
  <c r="N11" i="22"/>
  <c r="P11" i="22" s="1"/>
  <c r="M39" i="22"/>
  <c r="O39" i="22" s="1"/>
  <c r="M67" i="22"/>
  <c r="O67" i="22" s="1"/>
  <c r="N35" i="22"/>
  <c r="P35" i="22" s="1"/>
  <c r="M56" i="22"/>
  <c r="O56" i="22" s="1"/>
  <c r="M26" i="22"/>
  <c r="O26" i="22" s="1"/>
  <c r="N64" i="22"/>
  <c r="P64" i="22" s="1"/>
  <c r="N59" i="22"/>
  <c r="P59" i="22" s="1"/>
  <c r="M48" i="22"/>
  <c r="O48" i="22" s="1"/>
  <c r="M76" i="22"/>
  <c r="O76" i="22" s="1"/>
  <c r="M7" i="22"/>
  <c r="O7" i="22" s="1"/>
  <c r="M99" i="22"/>
  <c r="O99" i="22" s="1"/>
  <c r="M68" i="22"/>
  <c r="O68" i="22" s="1"/>
  <c r="N31" i="22"/>
  <c r="P31" i="22" s="1"/>
  <c r="N16" i="22"/>
  <c r="P16" i="22" s="1"/>
  <c r="N91" i="22"/>
  <c r="P91" i="22" s="1"/>
  <c r="N47" i="22"/>
  <c r="P47" i="22" s="1"/>
  <c r="M90" i="22"/>
  <c r="O90" i="22" s="1"/>
  <c r="N40" i="22"/>
  <c r="P40" i="22" s="1"/>
  <c r="M91" i="22"/>
  <c r="O91" i="22" s="1"/>
  <c r="N94" i="22"/>
  <c r="P94" i="22" s="1"/>
  <c r="N53" i="22"/>
  <c r="P53" i="22" s="1"/>
  <c r="N97" i="22"/>
  <c r="P97" i="22" s="1"/>
  <c r="N90" i="22"/>
  <c r="P90" i="22" s="1"/>
  <c r="M47" i="22"/>
  <c r="O47" i="22" s="1"/>
  <c r="M65" i="22"/>
  <c r="O65" i="22" s="1"/>
  <c r="N75" i="22"/>
  <c r="P75" i="22" s="1"/>
  <c r="N18" i="22"/>
  <c r="P18" i="22" s="1"/>
  <c r="M87" i="22"/>
  <c r="O87" i="22" s="1"/>
  <c r="N76" i="22"/>
  <c r="P76" i="22" s="1"/>
  <c r="M21" i="22"/>
  <c r="O21" i="22" s="1"/>
  <c r="N89" i="22"/>
  <c r="P89" i="22" s="1"/>
  <c r="N65" i="22"/>
  <c r="P65" i="22" s="1"/>
  <c r="M49" i="22"/>
  <c r="O49" i="22" s="1"/>
  <c r="M71" i="22"/>
  <c r="O71" i="22" s="1"/>
  <c r="N6" i="22"/>
  <c r="P6" i="22" s="1"/>
  <c r="M93" i="22"/>
  <c r="O93" i="22" s="1"/>
  <c r="N4" i="22"/>
  <c r="P4" i="22" s="1"/>
  <c r="N28" i="22"/>
  <c r="P28" i="22" s="1"/>
  <c r="N17" i="22"/>
  <c r="P17" i="22" s="1"/>
  <c r="M5" i="22"/>
  <c r="O5" i="22" s="1"/>
  <c r="N43" i="22"/>
  <c r="P43" i="22" s="1"/>
  <c r="N8" i="22"/>
  <c r="P8" i="22" s="1"/>
  <c r="M80" i="22"/>
  <c r="N20" i="22"/>
  <c r="P20" i="22" s="1"/>
  <c r="N23" i="22"/>
  <c r="P23" i="22" s="1"/>
  <c r="M108" i="22"/>
  <c r="N125" i="22"/>
  <c r="P125" i="22" s="1"/>
  <c r="M106" i="22"/>
  <c r="O106" i="22" s="1"/>
  <c r="M109" i="22"/>
  <c r="M104" i="22"/>
  <c r="N117" i="22"/>
  <c r="M115" i="22"/>
  <c r="N110" i="22"/>
  <c r="P110" i="22" s="1"/>
  <c r="N119" i="22"/>
  <c r="P119" i="22" s="1"/>
  <c r="M127" i="22"/>
  <c r="O127" i="22" s="1"/>
  <c r="AY70" i="22" s="1"/>
  <c r="N102" i="22"/>
  <c r="N7" i="22"/>
  <c r="P7" i="22" s="1"/>
  <c r="M62" i="22"/>
  <c r="O62" i="22" s="1"/>
  <c r="M29" i="22"/>
  <c r="O29" i="22" s="1"/>
  <c r="M58" i="22"/>
  <c r="O58" i="22" s="1"/>
  <c r="M45" i="22"/>
  <c r="O45" i="22" s="1"/>
  <c r="M40" i="22"/>
  <c r="O40" i="22" s="1"/>
  <c r="M8" i="22"/>
  <c r="O8" i="22" s="1"/>
  <c r="N95" i="22"/>
  <c r="P95" i="22" s="1"/>
  <c r="M14" i="22"/>
  <c r="O14" i="22" s="1"/>
  <c r="M6" i="22"/>
  <c r="O6" i="22" s="1"/>
  <c r="N81" i="22"/>
  <c r="P81" i="22" s="1"/>
  <c r="N5" i="22"/>
  <c r="P5" i="22" s="1"/>
  <c r="N29" i="22"/>
  <c r="P29" i="22" s="1"/>
  <c r="M35" i="22"/>
  <c r="O35" i="22" s="1"/>
  <c r="M66" i="22"/>
  <c r="O66" i="22" s="1"/>
  <c r="N48" i="22"/>
  <c r="P48" i="22" s="1"/>
  <c r="M43" i="22"/>
  <c r="O43" i="22" s="1"/>
  <c r="N46" i="22"/>
  <c r="P46" i="22" s="1"/>
  <c r="M13" i="22"/>
  <c r="O13" i="22" s="1"/>
  <c r="M36" i="22"/>
  <c r="O36" i="22" s="1"/>
  <c r="N85" i="22"/>
  <c r="P85" i="22" s="1"/>
  <c r="M41" i="22"/>
  <c r="O41" i="22" s="1"/>
  <c r="M59" i="22"/>
  <c r="O59" i="22" s="1"/>
  <c r="M57" i="22"/>
  <c r="O57" i="22" s="1"/>
  <c r="M81" i="22"/>
  <c r="O81" i="22" s="1"/>
  <c r="M11" i="22"/>
  <c r="O11" i="22" s="1"/>
  <c r="N26" i="22"/>
  <c r="P26" i="22" s="1"/>
  <c r="N41" i="22"/>
  <c r="P41" i="22" s="1"/>
  <c r="M22" i="22"/>
  <c r="O22" i="22" s="1"/>
  <c r="M28" i="22"/>
  <c r="O28" i="22" s="1"/>
  <c r="N13" i="22"/>
  <c r="P13" i="22" s="1"/>
  <c r="M54" i="22"/>
  <c r="O54" i="22" s="1"/>
  <c r="N79" i="22"/>
  <c r="P79" i="22" s="1"/>
  <c r="N82" i="22"/>
  <c r="P82" i="22" s="1"/>
  <c r="N27" i="22"/>
  <c r="P27" i="22" s="1"/>
  <c r="N61" i="22"/>
  <c r="P61" i="22" s="1"/>
  <c r="AZ146" i="22" s="1"/>
  <c r="M98" i="22"/>
  <c r="O98" i="22" s="1"/>
  <c r="M37" i="22"/>
  <c r="O37" i="22" s="1"/>
  <c r="M75" i="22"/>
  <c r="O75" i="22" s="1"/>
  <c r="M15" i="22"/>
  <c r="O15" i="22" s="1"/>
  <c r="N71" i="22"/>
  <c r="P71" i="22" s="1"/>
  <c r="N73" i="22"/>
  <c r="P73" i="22" s="1"/>
  <c r="M20" i="22"/>
  <c r="O20" i="22" s="1"/>
  <c r="N86" i="22"/>
  <c r="P86" i="22" s="1"/>
  <c r="M63" i="22"/>
  <c r="O63" i="22" s="1"/>
  <c r="N33" i="22"/>
  <c r="P33" i="22" s="1"/>
  <c r="M97" i="22"/>
  <c r="O97" i="22" s="1"/>
  <c r="N68" i="22"/>
  <c r="P68" i="22" s="1"/>
  <c r="M123" i="22"/>
  <c r="M100" i="22"/>
  <c r="O100" i="22" s="1"/>
  <c r="N109" i="22"/>
  <c r="N127" i="22"/>
  <c r="M122" i="22"/>
  <c r="N123" i="22"/>
  <c r="P123" i="22" s="1"/>
  <c r="E67" i="36"/>
  <c r="G67" i="36" s="1"/>
  <c r="F67" i="36"/>
  <c r="H67" i="36" s="1"/>
  <c r="M105" i="22"/>
  <c r="N101" i="22"/>
  <c r="P101" i="22" s="1"/>
  <c r="M103" i="22"/>
  <c r="N111" i="22"/>
  <c r="P111" i="22" s="1"/>
  <c r="E68" i="36"/>
  <c r="G68" i="36" s="1"/>
  <c r="E66" i="36"/>
  <c r="G66" i="36" s="1"/>
  <c r="F66" i="36"/>
  <c r="H66" i="36" s="1"/>
  <c r="F68" i="36"/>
  <c r="H68" i="36" s="1"/>
  <c r="N15" i="22"/>
  <c r="P15" i="22" s="1"/>
  <c r="AM159" i="59" a="1"/>
  <c r="AM159" i="59" s="1"/>
  <c r="AM144" i="11" a="1"/>
  <c r="AM144" i="11" s="1"/>
  <c r="AG257" i="32" l="1"/>
  <c r="AH257" i="32" s="1"/>
  <c r="AL257" i="32"/>
  <c r="AM5" i="22"/>
  <c r="AI256" i="32"/>
  <c r="AN256" i="32" s="1"/>
  <c r="AZ142" i="22"/>
  <c r="AZ144" i="22"/>
  <c r="AZ136" i="22"/>
  <c r="AZ69" i="22"/>
  <c r="AZ140" i="22"/>
  <c r="AZ64" i="22"/>
  <c r="AZ138" i="22"/>
  <c r="AZ61" i="22"/>
  <c r="AZ67" i="22"/>
  <c r="AZ137" i="22"/>
  <c r="AZ62" i="22"/>
  <c r="AZ60" i="22"/>
  <c r="AZ141" i="22"/>
  <c r="AZ65" i="22"/>
  <c r="AZ66" i="22"/>
  <c r="AY59" i="22"/>
  <c r="AZ59" i="22"/>
  <c r="AZ123" i="22"/>
  <c r="AY123" i="22"/>
  <c r="AI255" i="32"/>
  <c r="AN255" i="32" s="1"/>
  <c r="AY142" i="22"/>
  <c r="AY141" i="22"/>
  <c r="AY99" i="22"/>
  <c r="AY135" i="22"/>
  <c r="P136" i="22"/>
  <c r="R136" i="22" s="1"/>
  <c r="AF136" i="22" s="1"/>
  <c r="P113" i="22"/>
  <c r="P109" i="22"/>
  <c r="P102" i="22"/>
  <c r="P130" i="22"/>
  <c r="AZ100" i="22" s="1"/>
  <c r="P133" i="22"/>
  <c r="R133" i="22" s="1"/>
  <c r="AF133" i="22" s="1"/>
  <c r="P134" i="22"/>
  <c r="R134" i="22" s="1"/>
  <c r="AF134" i="22" s="1"/>
  <c r="P117" i="22"/>
  <c r="P106" i="22"/>
  <c r="P131" i="22"/>
  <c r="R131" i="22" s="1"/>
  <c r="AF131" i="22" s="1"/>
  <c r="P126" i="22"/>
  <c r="P127" i="22"/>
  <c r="P114" i="22"/>
  <c r="P115" i="22"/>
  <c r="P132" i="22"/>
  <c r="R132" i="22" s="1"/>
  <c r="AF132" i="22" s="1"/>
  <c r="P135" i="22"/>
  <c r="R135" i="22" s="1"/>
  <c r="AF135" i="22" s="1"/>
  <c r="R123" i="22"/>
  <c r="AF123" i="22" s="1"/>
  <c r="R122" i="22"/>
  <c r="R121" i="22"/>
  <c r="AF121" i="22" s="1"/>
  <c r="R125" i="22"/>
  <c r="R128" i="22"/>
  <c r="AF128" i="22" s="1"/>
  <c r="R120" i="22"/>
  <c r="R119" i="22"/>
  <c r="AF119" i="22" s="1"/>
  <c r="R124" i="22"/>
  <c r="R129" i="22"/>
  <c r="AF129" i="22" s="1"/>
  <c r="R110" i="22"/>
  <c r="BB64" i="22" s="1"/>
  <c r="BE64" i="22" s="1"/>
  <c r="BF64" i="22" s="1"/>
  <c r="R101" i="22"/>
  <c r="BB60" i="22" s="1"/>
  <c r="BE60" i="22" s="1"/>
  <c r="BF60" i="22" s="1"/>
  <c r="R105" i="22"/>
  <c r="BB62" i="22" s="1"/>
  <c r="BE62" i="22" s="1"/>
  <c r="BF62" i="22" s="1"/>
  <c r="R112" i="22"/>
  <c r="BB66" i="22" s="1"/>
  <c r="BE66" i="22" s="1"/>
  <c r="BF66" i="22" s="1"/>
  <c r="R107" i="22"/>
  <c r="BB63" i="22" s="1"/>
  <c r="BE63" i="22" s="1"/>
  <c r="BF63" i="22" s="1"/>
  <c r="R116" i="22"/>
  <c r="BB67" i="22" s="1"/>
  <c r="BE67" i="22" s="1"/>
  <c r="BF67" i="22" s="1"/>
  <c r="R111" i="22"/>
  <c r="BB65" i="22" s="1"/>
  <c r="BE65" i="22" s="1"/>
  <c r="BF65" i="22" s="1"/>
  <c r="R118" i="22"/>
  <c r="BB69" i="22" s="1"/>
  <c r="BE69" i="22" s="1"/>
  <c r="BF69" i="22" s="1"/>
  <c r="R104" i="22"/>
  <c r="AF104" i="22" s="1"/>
  <c r="R108" i="22"/>
  <c r="O103" i="22"/>
  <c r="AY61" i="22" s="1"/>
  <c r="O109" i="22"/>
  <c r="O111" i="22"/>
  <c r="AY65" i="22" s="1"/>
  <c r="O102" i="22"/>
  <c r="AY19" i="22" s="1"/>
  <c r="O107" i="22"/>
  <c r="AY63" i="22" s="1"/>
  <c r="O119" i="22"/>
  <c r="AY136" i="22" s="1"/>
  <c r="O129" i="22"/>
  <c r="AY144" i="22" s="1"/>
  <c r="O136" i="22"/>
  <c r="Q136" i="22" s="1"/>
  <c r="AE136" i="22" s="1"/>
  <c r="O132" i="22"/>
  <c r="Q132" i="22" s="1"/>
  <c r="AE132" i="22" s="1"/>
  <c r="O131" i="22"/>
  <c r="Q131" i="22" s="1"/>
  <c r="AE131" i="22" s="1"/>
  <c r="O120" i="22"/>
  <c r="AY137" i="22" s="1"/>
  <c r="O115" i="22"/>
  <c r="AY24" i="22" s="1"/>
  <c r="O114" i="22"/>
  <c r="Q114" i="22" s="1"/>
  <c r="AE114" i="22" s="1"/>
  <c r="O110" i="22"/>
  <c r="AY64" i="22" s="1"/>
  <c r="O128" i="22"/>
  <c r="AY143" i="22" s="1"/>
  <c r="O135" i="22"/>
  <c r="Q135" i="22" s="1"/>
  <c r="AE135" i="22" s="1"/>
  <c r="O116" i="22"/>
  <c r="AY67" i="22" s="1"/>
  <c r="O105" i="22"/>
  <c r="AY62" i="22" s="1"/>
  <c r="O123" i="22"/>
  <c r="AY140" i="22" s="1"/>
  <c r="O118" i="22"/>
  <c r="AY69" i="22" s="1"/>
  <c r="O101" i="22"/>
  <c r="AY60" i="22" s="1"/>
  <c r="O133" i="22"/>
  <c r="Q133" i="22" s="1"/>
  <c r="AE133" i="22" s="1"/>
  <c r="O134" i="22"/>
  <c r="Q134" i="22" s="1"/>
  <c r="AE134" i="22" s="1"/>
  <c r="O112" i="22"/>
  <c r="AY66" i="22" s="1"/>
  <c r="O122" i="22"/>
  <c r="AY139" i="22" s="1"/>
  <c r="O104" i="22"/>
  <c r="O108" i="22"/>
  <c r="AY22" i="22" s="1"/>
  <c r="O121" i="22"/>
  <c r="AY138" i="22" s="1"/>
  <c r="Q113" i="22"/>
  <c r="BA135" i="22" s="1"/>
  <c r="Q127" i="22"/>
  <c r="BA70" i="22" s="1"/>
  <c r="Q126" i="22"/>
  <c r="BA99" i="22" s="1"/>
  <c r="Q130" i="22"/>
  <c r="BA100" i="22" s="1"/>
  <c r="Q117" i="22"/>
  <c r="BA68" i="22" s="1"/>
  <c r="E69" i="36"/>
  <c r="G69" i="36" s="1"/>
  <c r="F69" i="36"/>
  <c r="H69" i="36" s="1"/>
  <c r="Q125" i="22"/>
  <c r="BA142" i="22" s="1"/>
  <c r="Q124" i="22"/>
  <c r="AE124" i="22" s="1"/>
  <c r="Q106" i="22"/>
  <c r="AE106" i="22" s="1"/>
  <c r="AN15" i="22"/>
  <c r="F50" i="36" s="1"/>
  <c r="R103" i="22"/>
  <c r="BB61" i="22" s="1"/>
  <c r="BE61" i="22" s="1"/>
  <c r="BF61" i="22" s="1"/>
  <c r="R100" i="22"/>
  <c r="AM15" i="22"/>
  <c r="E50" i="36" s="1"/>
  <c r="Q100" i="22"/>
  <c r="N24" i="22"/>
  <c r="P24" i="22" s="1"/>
  <c r="AM160" i="59" a="1"/>
  <c r="AM160" i="59" s="1"/>
  <c r="AM145" i="11" a="1"/>
  <c r="AM145" i="11" s="1"/>
  <c r="AI257" i="32" l="1"/>
  <c r="AN257" i="32" s="1"/>
  <c r="AN258" i="32" s="1"/>
  <c r="H12" i="73" s="1"/>
  <c r="AZ24" i="22"/>
  <c r="AZ70" i="22"/>
  <c r="AZ20" i="22"/>
  <c r="AZ98" i="22"/>
  <c r="R106" i="22"/>
  <c r="AF106" i="22" s="1"/>
  <c r="AZ68" i="22"/>
  <c r="AF107" i="22"/>
  <c r="AF101" i="22"/>
  <c r="AF111" i="22"/>
  <c r="AY20" i="22"/>
  <c r="AZ22" i="22"/>
  <c r="AY23" i="22"/>
  <c r="AY21" i="22"/>
  <c r="AD2" i="32"/>
  <c r="R127" i="22"/>
  <c r="BB70" i="22" s="1"/>
  <c r="BB140" i="22"/>
  <c r="D153" i="72" s="1"/>
  <c r="R109" i="22"/>
  <c r="BB98" i="22" s="1"/>
  <c r="BB136" i="22"/>
  <c r="D149" i="72" s="1"/>
  <c r="D74" i="72"/>
  <c r="BB143" i="22"/>
  <c r="D156" i="72" s="1"/>
  <c r="BB144" i="22"/>
  <c r="D157" i="72" s="1"/>
  <c r="BA141" i="22"/>
  <c r="D71" i="72"/>
  <c r="BB138" i="22"/>
  <c r="D151" i="72" s="1"/>
  <c r="AF108" i="22"/>
  <c r="AF105" i="22"/>
  <c r="AF125" i="22"/>
  <c r="BB142" i="22"/>
  <c r="D155" i="72" s="1"/>
  <c r="AZ23" i="22"/>
  <c r="AF112" i="22"/>
  <c r="AF120" i="22"/>
  <c r="BB137" i="22"/>
  <c r="D150" i="72" s="1"/>
  <c r="AY98" i="22"/>
  <c r="AF116" i="22"/>
  <c r="AF124" i="22"/>
  <c r="BB141" i="22"/>
  <c r="D154" i="72" s="1"/>
  <c r="AF118" i="22"/>
  <c r="AF110" i="22"/>
  <c r="AF122" i="22"/>
  <c r="BB139" i="22"/>
  <c r="AZ99" i="22"/>
  <c r="R126" i="22"/>
  <c r="BB99" i="22" s="1"/>
  <c r="R117" i="22"/>
  <c r="BB68" i="22" s="1"/>
  <c r="BE68" i="22" s="1"/>
  <c r="BF68" i="22" s="1"/>
  <c r="AZ19" i="22"/>
  <c r="R102" i="22"/>
  <c r="AF102" i="22" s="1"/>
  <c r="Q101" i="22"/>
  <c r="BA60" i="22" s="1"/>
  <c r="BB21" i="22"/>
  <c r="AZ21" i="22"/>
  <c r="R130" i="22"/>
  <c r="AN13" i="22"/>
  <c r="F48" i="36" s="1"/>
  <c r="AZ135" i="22"/>
  <c r="R113" i="22"/>
  <c r="AF113" i="22" s="1"/>
  <c r="R115" i="22"/>
  <c r="AN12" i="22"/>
  <c r="F47" i="36" s="1"/>
  <c r="AN16" i="22"/>
  <c r="F51" i="36" s="1"/>
  <c r="R114" i="22"/>
  <c r="AF114" i="22" s="1"/>
  <c r="AN14" i="22"/>
  <c r="F49" i="36" s="1"/>
  <c r="Q123" i="22"/>
  <c r="AE123" i="22" s="1"/>
  <c r="Q128" i="22"/>
  <c r="AE128" i="22" s="1"/>
  <c r="Q120" i="22"/>
  <c r="AE120" i="22" s="1"/>
  <c r="Q129" i="22"/>
  <c r="AE129" i="22" s="1"/>
  <c r="Q121" i="22"/>
  <c r="AE121" i="22" s="1"/>
  <c r="Q119" i="22"/>
  <c r="AE119" i="22" s="1"/>
  <c r="Q122" i="22"/>
  <c r="AE122" i="22" s="1"/>
  <c r="Q116" i="22"/>
  <c r="BA67" i="22" s="1"/>
  <c r="Q107" i="22"/>
  <c r="BA63" i="22" s="1"/>
  <c r="Q103" i="22"/>
  <c r="BA61" i="22" s="1"/>
  <c r="Q112" i="22"/>
  <c r="BA66" i="22" s="1"/>
  <c r="Q118" i="22"/>
  <c r="BA69" i="22" s="1"/>
  <c r="Q105" i="22"/>
  <c r="BA62" i="22" s="1"/>
  <c r="Q111" i="22"/>
  <c r="BA65" i="22" s="1"/>
  <c r="Q110" i="22"/>
  <c r="BA64" i="22" s="1"/>
  <c r="Q108" i="22"/>
  <c r="AE108" i="22" s="1"/>
  <c r="Q102" i="22"/>
  <c r="AE102" i="22" s="1"/>
  <c r="Q104" i="22"/>
  <c r="AE104" i="22" s="1"/>
  <c r="Q115" i="22"/>
  <c r="AM16" i="22"/>
  <c r="E51" i="36" s="1"/>
  <c r="Q109" i="22"/>
  <c r="BA98" i="22" s="1"/>
  <c r="AM13" i="22"/>
  <c r="E48" i="36" s="1"/>
  <c r="AM14" i="22"/>
  <c r="E49" i="36" s="1"/>
  <c r="AM12" i="22"/>
  <c r="E47" i="36" s="1"/>
  <c r="AE113" i="22"/>
  <c r="AE126" i="22"/>
  <c r="AE130" i="22"/>
  <c r="AE127" i="22"/>
  <c r="AE117" i="22"/>
  <c r="AE100" i="22"/>
  <c r="AP15" i="22"/>
  <c r="AE125" i="22"/>
  <c r="AF103" i="22"/>
  <c r="AF100" i="22"/>
  <c r="AO15" i="22"/>
  <c r="D72" i="72"/>
  <c r="AM161" i="59" a="1"/>
  <c r="AM161" i="59" s="1"/>
  <c r="AM146" i="11" a="1"/>
  <c r="AM146" i="11" s="1"/>
  <c r="BB22" i="22" l="1"/>
  <c r="BE22" i="22" s="1"/>
  <c r="BE139" i="22"/>
  <c r="F152" i="72" s="1"/>
  <c r="D152" i="72"/>
  <c r="BE141" i="22"/>
  <c r="F154" i="72" s="1"/>
  <c r="BE142" i="22"/>
  <c r="F155" i="72" s="1"/>
  <c r="BE144" i="22"/>
  <c r="F157" i="72" s="1"/>
  <c r="BE137" i="22"/>
  <c r="F150" i="72" s="1"/>
  <c r="BE138" i="22"/>
  <c r="F151" i="72" s="1"/>
  <c r="BE140" i="22"/>
  <c r="F153" i="72" s="1"/>
  <c r="BE70" i="22"/>
  <c r="D81" i="72"/>
  <c r="AE116" i="22"/>
  <c r="AE110" i="22"/>
  <c r="AE105" i="22"/>
  <c r="AE101" i="22"/>
  <c r="AE111" i="22"/>
  <c r="AE118" i="22"/>
  <c r="AE112" i="22"/>
  <c r="D76" i="72"/>
  <c r="AE107" i="22"/>
  <c r="AE103" i="22"/>
  <c r="AE115" i="22"/>
  <c r="BA24" i="22"/>
  <c r="BB23" i="22"/>
  <c r="D31" i="72" s="1"/>
  <c r="BB24" i="22"/>
  <c r="BA21" i="22"/>
  <c r="BB20" i="22"/>
  <c r="BE20" i="22" s="1"/>
  <c r="AF127" i="22"/>
  <c r="AF130" i="22"/>
  <c r="BB100" i="22"/>
  <c r="BE100" i="22" s="1"/>
  <c r="BF100" i="22" s="1"/>
  <c r="BE21" i="22"/>
  <c r="D29" i="72"/>
  <c r="AF109" i="22"/>
  <c r="F78" i="72"/>
  <c r="D78" i="72"/>
  <c r="BE98" i="22"/>
  <c r="D111" i="72"/>
  <c r="BE99" i="22"/>
  <c r="D112" i="72"/>
  <c r="D79" i="72"/>
  <c r="BE136" i="22"/>
  <c r="F149" i="72" s="1"/>
  <c r="F74" i="72"/>
  <c r="D75" i="72"/>
  <c r="AF115" i="22"/>
  <c r="BE143" i="22"/>
  <c r="F156" i="72" s="1"/>
  <c r="D80" i="72"/>
  <c r="F76" i="72"/>
  <c r="BA136" i="22"/>
  <c r="D77" i="72"/>
  <c r="AP13" i="22"/>
  <c r="BA144" i="22"/>
  <c r="BA23" i="22"/>
  <c r="BA143" i="22"/>
  <c r="BA139" i="22"/>
  <c r="BA138" i="22"/>
  <c r="BA137" i="22"/>
  <c r="BA140" i="22"/>
  <c r="BB135" i="22"/>
  <c r="D148" i="72" s="1"/>
  <c r="G71" i="72"/>
  <c r="AP12" i="22"/>
  <c r="AP16" i="22"/>
  <c r="F89" i="36" s="1"/>
  <c r="D73" i="72"/>
  <c r="AP14" i="22"/>
  <c r="AF126" i="22"/>
  <c r="AF117" i="22"/>
  <c r="BA20" i="22"/>
  <c r="BA22" i="22"/>
  <c r="AO16" i="22"/>
  <c r="AO13" i="22"/>
  <c r="AE109" i="22"/>
  <c r="AO14" i="22"/>
  <c r="AO12" i="22"/>
  <c r="G77" i="72"/>
  <c r="F77" i="72"/>
  <c r="G72" i="72"/>
  <c r="F72" i="72"/>
  <c r="G75" i="72"/>
  <c r="F75" i="72"/>
  <c r="G73" i="72"/>
  <c r="F73" i="72"/>
  <c r="G80" i="72"/>
  <c r="F80" i="72"/>
  <c r="AM162" i="59" a="1"/>
  <c r="AM162" i="59" s="1"/>
  <c r="AM147" i="11" a="1"/>
  <c r="AM147" i="11" s="1"/>
  <c r="D30" i="72" l="1"/>
  <c r="BF139" i="22"/>
  <c r="BF144" i="22"/>
  <c r="BF141" i="22"/>
  <c r="BF138" i="22"/>
  <c r="BF137" i="22"/>
  <c r="BF140" i="22"/>
  <c r="BF142" i="22"/>
  <c r="BF136" i="22"/>
  <c r="BF70" i="22"/>
  <c r="G81" i="72" s="1"/>
  <c r="F81" i="72"/>
  <c r="BE24" i="22"/>
  <c r="D32" i="72"/>
  <c r="BE23" i="22"/>
  <c r="BF23" i="22" s="1"/>
  <c r="G31" i="72" s="1"/>
  <c r="D28" i="72"/>
  <c r="D113" i="72"/>
  <c r="BF20" i="22"/>
  <c r="G28" i="72" s="1"/>
  <c r="F28" i="72"/>
  <c r="BF21" i="22"/>
  <c r="G29" i="72" s="1"/>
  <c r="F29" i="72"/>
  <c r="BF22" i="22"/>
  <c r="G30" i="72" s="1"/>
  <c r="F30" i="72"/>
  <c r="G78" i="72"/>
  <c r="BF99" i="22"/>
  <c r="F112" i="72"/>
  <c r="BE135" i="22"/>
  <c r="F148" i="72" s="1"/>
  <c r="G79" i="72"/>
  <c r="F79" i="72"/>
  <c r="BF98" i="22"/>
  <c r="F111" i="72"/>
  <c r="F113" i="72"/>
  <c r="G74" i="72"/>
  <c r="G51" i="36"/>
  <c r="BF143" i="22"/>
  <c r="G76" i="72"/>
  <c r="H51" i="36"/>
  <c r="F71" i="72"/>
  <c r="AM163" i="59" a="1"/>
  <c r="AM163" i="59" s="1"/>
  <c r="AM148" i="11" a="1"/>
  <c r="AM148" i="11" s="1"/>
  <c r="BF24" i="22" l="1"/>
  <c r="G32" i="72" s="1"/>
  <c r="F32" i="72"/>
  <c r="F31" i="72"/>
  <c r="G111" i="72"/>
  <c r="BF135" i="22"/>
  <c r="E89" i="36"/>
  <c r="H89" i="36"/>
  <c r="G89" i="36"/>
  <c r="AM164" i="59" a="1"/>
  <c r="AM164" i="59" s="1"/>
  <c r="AM149" i="11" a="1"/>
  <c r="AM149" i="11" s="1"/>
  <c r="AM165" i="59" l="1" a="1"/>
  <c r="AM165" i="59" s="1"/>
  <c r="AM150" i="11" a="1"/>
  <c r="AM150" i="11" s="1"/>
  <c r="AM166" i="59" l="1" a="1"/>
  <c r="AM166" i="59" s="1"/>
  <c r="AM151" i="11" a="1"/>
  <c r="AM151" i="11" s="1"/>
  <c r="AM167" i="59" l="1" a="1"/>
  <c r="AM167" i="59" s="1"/>
  <c r="AM152" i="11" a="1"/>
  <c r="AM152" i="11" s="1"/>
  <c r="AM168" i="59" l="1" a="1"/>
  <c r="AM168" i="59" s="1"/>
  <c r="AM153" i="11" a="1"/>
  <c r="AM153" i="11" s="1"/>
  <c r="AM169" i="59" l="1" a="1"/>
  <c r="AM169" i="59" s="1"/>
  <c r="AM154" i="11" a="1"/>
  <c r="AM154" i="11" s="1"/>
  <c r="AM170" i="59" l="1" a="1"/>
  <c r="AM170" i="59" s="1"/>
  <c r="AM155" i="11" a="1"/>
  <c r="AM155" i="11" s="1"/>
  <c r="AM171" i="59" l="1" a="1"/>
  <c r="AM171" i="59" s="1"/>
  <c r="AM156" i="11" a="1"/>
  <c r="AM156" i="11" s="1"/>
  <c r="AM172" i="59" l="1" a="1"/>
  <c r="AM172" i="59" s="1"/>
  <c r="AM157" i="11" a="1"/>
  <c r="AM157" i="11" s="1"/>
  <c r="AM173" i="59" l="1" a="1"/>
  <c r="AM173" i="59" s="1"/>
  <c r="AM158" i="11" a="1"/>
  <c r="AM158" i="11" s="1"/>
  <c r="AM174" i="59" l="1" a="1"/>
  <c r="AM174" i="59" s="1"/>
  <c r="AM159" i="11" a="1"/>
  <c r="AM159" i="11" s="1"/>
  <c r="AM175" i="59" l="1" a="1"/>
  <c r="AM175" i="59" s="1"/>
  <c r="AM160" i="11" a="1"/>
  <c r="AM160" i="11" s="1"/>
  <c r="AM176" i="59" l="1" a="1"/>
  <c r="AM176" i="59" s="1"/>
  <c r="AM161" i="11" a="1"/>
  <c r="AM161" i="11" s="1"/>
  <c r="AM177" i="59" l="1" a="1"/>
  <c r="AM177" i="59" s="1"/>
  <c r="AM162" i="11" a="1"/>
  <c r="AM162" i="11" s="1"/>
  <c r="AM178" i="59" l="1" a="1"/>
  <c r="AM178" i="59" s="1"/>
  <c r="AM163" i="11" a="1"/>
  <c r="AM163" i="11" s="1"/>
  <c r="AM179" i="59" l="1" a="1"/>
  <c r="AM179" i="59" s="1"/>
  <c r="AM164" i="11" a="1"/>
  <c r="AM164" i="11" s="1"/>
  <c r="AM180" i="59" l="1" a="1"/>
  <c r="AM180" i="59" s="1"/>
  <c r="AM165" i="11" a="1"/>
  <c r="AM165" i="11" s="1"/>
  <c r="AM181" i="59" l="1" a="1"/>
  <c r="AM181" i="59" s="1"/>
  <c r="AM166" i="11" a="1"/>
  <c r="AM166" i="11" s="1"/>
  <c r="AM182" i="59" l="1" a="1"/>
  <c r="AM182" i="59" s="1"/>
  <c r="AM167" i="11" a="1"/>
  <c r="AM167" i="11" s="1"/>
  <c r="AM183" i="59" l="1" a="1"/>
  <c r="AM183" i="59" s="1"/>
  <c r="AM168" i="11" a="1"/>
  <c r="AM168" i="11" s="1"/>
  <c r="AM184" i="59" l="1" a="1"/>
  <c r="AM184" i="59" s="1"/>
  <c r="AM169" i="11" a="1"/>
  <c r="AM169" i="11" s="1"/>
  <c r="AM185" i="59" l="1" a="1"/>
  <c r="AM185" i="59" s="1"/>
  <c r="AM170" i="11" a="1"/>
  <c r="AM170" i="11" s="1"/>
  <c r="AM186" i="59" l="1" a="1"/>
  <c r="AM186" i="59" s="1"/>
  <c r="AM171" i="11" a="1"/>
  <c r="AM171" i="11" s="1"/>
  <c r="AM187" i="59" l="1" a="1"/>
  <c r="AM187" i="59" s="1"/>
  <c r="AM172" i="11" a="1"/>
  <c r="AM172" i="11" s="1"/>
  <c r="AM188" i="59" l="1" a="1"/>
  <c r="AM188" i="59" s="1"/>
  <c r="AM173" i="11" a="1"/>
  <c r="AM173" i="11" s="1"/>
  <c r="AM189" i="59" l="1" a="1"/>
  <c r="AM189" i="59" s="1"/>
  <c r="AM174" i="11" a="1"/>
  <c r="AM174" i="11" s="1"/>
  <c r="AM190" i="59" l="1" a="1"/>
  <c r="AM190" i="59" s="1"/>
  <c r="AM175" i="11" a="1"/>
  <c r="AM175" i="11" s="1"/>
  <c r="AM191" i="59" l="1" a="1"/>
  <c r="AM191" i="59" s="1"/>
  <c r="AM176" i="11" a="1"/>
  <c r="AM176" i="11" s="1"/>
  <c r="AM192" i="59" l="1" a="1"/>
  <c r="AM192" i="59" s="1"/>
  <c r="AM177" i="11" a="1"/>
  <c r="AM177" i="11" s="1"/>
  <c r="AM193" i="59" l="1" a="1"/>
  <c r="AM193" i="59" s="1"/>
  <c r="AM178" i="11" a="1"/>
  <c r="AM178" i="11" s="1"/>
  <c r="AM194" i="59" l="1" a="1"/>
  <c r="AM194" i="59" s="1"/>
  <c r="AM179" i="11" a="1"/>
  <c r="AM179" i="11" s="1"/>
  <c r="AM195" i="59" l="1" a="1"/>
  <c r="AM195" i="59" s="1"/>
  <c r="AM180" i="11" a="1"/>
  <c r="AM180" i="11" s="1"/>
  <c r="AM196" i="59" l="1" a="1"/>
  <c r="AM196" i="59" s="1"/>
  <c r="AM181" i="11" a="1"/>
  <c r="AM181" i="11" s="1"/>
  <c r="AM197" i="59" l="1" a="1"/>
  <c r="AM197" i="59" s="1"/>
  <c r="AM182" i="11" a="1"/>
  <c r="AM182" i="11" s="1"/>
  <c r="AM198" i="59" l="1" a="1"/>
  <c r="AM198" i="59" s="1"/>
  <c r="AM183" i="11" a="1"/>
  <c r="AM183" i="11" s="1"/>
  <c r="AM199" i="59" l="1" a="1"/>
  <c r="AM199" i="59" s="1"/>
  <c r="AM184" i="11" a="1"/>
  <c r="AM184" i="11" s="1"/>
  <c r="AM200" i="59" l="1" a="1"/>
  <c r="AM200" i="59" s="1"/>
  <c r="AM185" i="11" a="1"/>
  <c r="AM185" i="11" s="1"/>
  <c r="AM201" i="59" l="1" a="1"/>
  <c r="AM201" i="59" s="1"/>
  <c r="AM186" i="11" a="1"/>
  <c r="AM186" i="11" s="1"/>
  <c r="AM202" i="59" l="1" a="1"/>
  <c r="AM202" i="59" s="1"/>
  <c r="AM187" i="11" a="1"/>
  <c r="AM187" i="11" s="1"/>
  <c r="AM203" i="59" l="1" a="1"/>
  <c r="AM203" i="59" s="1"/>
  <c r="AM188" i="11" a="1"/>
  <c r="AM188" i="11" s="1"/>
  <c r="AM204" i="59" l="1" a="1"/>
  <c r="AM204" i="59" s="1"/>
  <c r="AM189" i="11" a="1"/>
  <c r="AM189" i="11" s="1"/>
  <c r="AM205" i="59" l="1" a="1"/>
  <c r="AM205" i="59" s="1"/>
  <c r="AM190" i="11" a="1"/>
  <c r="AM190" i="11" s="1"/>
  <c r="AM206" i="59" l="1" a="1"/>
  <c r="AM206" i="59" s="1"/>
  <c r="AM191" i="11" a="1"/>
  <c r="AM191" i="11" s="1"/>
  <c r="AM207" i="59" l="1" a="1"/>
  <c r="AM207" i="59" s="1"/>
  <c r="AM192" i="11" a="1"/>
  <c r="AM192" i="11" s="1"/>
  <c r="AM208" i="59" l="1" a="1"/>
  <c r="AM208" i="59" s="1"/>
  <c r="AM193" i="11" a="1"/>
  <c r="AM193" i="11" s="1"/>
  <c r="AM209" i="59" l="1" a="1"/>
  <c r="AM209" i="59" s="1"/>
  <c r="AM194" i="11" a="1"/>
  <c r="AM194" i="11" s="1"/>
  <c r="AM210" i="59" l="1" a="1"/>
  <c r="AM210" i="59" s="1"/>
  <c r="AM195" i="11" a="1"/>
  <c r="AM195" i="11" s="1"/>
  <c r="AM211" i="59" l="1" a="1"/>
  <c r="AM211" i="59" s="1"/>
  <c r="AM196" i="11" a="1"/>
  <c r="AM196" i="11" s="1"/>
  <c r="AM212" i="59" l="1" a="1"/>
  <c r="AM212" i="59" s="1"/>
  <c r="AM197" i="11" a="1"/>
  <c r="AM197" i="11" s="1"/>
  <c r="AM213" i="59" l="1" a="1"/>
  <c r="AM213" i="59" s="1"/>
  <c r="AM198" i="11" a="1"/>
  <c r="AM198" i="11" s="1"/>
  <c r="AM214" i="59" l="1" a="1"/>
  <c r="AM214" i="59" s="1"/>
  <c r="AM199" i="11" a="1"/>
  <c r="AM199" i="11" s="1"/>
  <c r="AM215" i="59" l="1" a="1"/>
  <c r="AM215" i="59" s="1"/>
  <c r="AM200" i="11" a="1"/>
  <c r="AM200" i="11" s="1"/>
  <c r="AM216" i="59" l="1" a="1"/>
  <c r="AM216" i="59" s="1"/>
  <c r="AM201" i="11" a="1"/>
  <c r="AM201" i="11" s="1"/>
  <c r="AM217" i="59" l="1" a="1"/>
  <c r="AM217" i="59" s="1"/>
  <c r="AM202" i="11" a="1"/>
  <c r="AM202" i="11" s="1"/>
  <c r="AM218" i="59" l="1" a="1"/>
  <c r="AM218" i="59" s="1"/>
  <c r="AM203" i="11" a="1"/>
  <c r="AM203" i="11" s="1"/>
  <c r="AM219" i="59" l="1" a="1"/>
  <c r="AM219" i="59" s="1"/>
  <c r="AM204" i="11" a="1"/>
  <c r="AM204" i="11" s="1"/>
  <c r="AM220" i="59" l="1" a="1"/>
  <c r="AM220" i="59" s="1"/>
  <c r="AM205" i="11" a="1"/>
  <c r="AM205" i="11" s="1"/>
  <c r="AM221" i="59" l="1" a="1"/>
  <c r="AM221" i="59" s="1"/>
  <c r="AM206" i="11" a="1"/>
  <c r="AM206" i="11" s="1"/>
  <c r="AM222" i="59" l="1" a="1"/>
  <c r="AM222" i="59" s="1"/>
  <c r="AM207" i="11" a="1"/>
  <c r="AM207" i="11" s="1"/>
  <c r="AM223" i="59" l="1" a="1"/>
  <c r="AM223" i="59" s="1"/>
  <c r="AM208" i="11" a="1"/>
  <c r="AM208" i="11" s="1"/>
  <c r="AM224" i="59" l="1" a="1"/>
  <c r="AM224" i="59" s="1"/>
  <c r="AM209" i="11" a="1"/>
  <c r="AM209" i="11" s="1"/>
  <c r="AM225" i="59" l="1" a="1"/>
  <c r="AM225" i="59" s="1"/>
  <c r="AM210" i="11" a="1"/>
  <c r="AM210" i="11" s="1"/>
  <c r="AM226" i="59" l="1" a="1"/>
  <c r="AM226" i="59" s="1"/>
  <c r="AM211" i="11" a="1"/>
  <c r="AM211" i="11" s="1"/>
  <c r="AM227" i="59" l="1" a="1"/>
  <c r="AM227" i="59" s="1"/>
  <c r="AM212" i="11" a="1"/>
  <c r="AM212" i="11" s="1"/>
  <c r="AM228" i="59" l="1" a="1"/>
  <c r="AM228" i="59" s="1"/>
  <c r="AM213" i="11" a="1"/>
  <c r="AM213" i="11" s="1"/>
  <c r="AM229" i="59" l="1" a="1"/>
  <c r="AM229" i="59" s="1"/>
  <c r="AM214" i="11" a="1"/>
  <c r="AM214" i="11" s="1"/>
  <c r="AM230" i="59" l="1" a="1"/>
  <c r="AM230" i="59" s="1"/>
  <c r="AM215" i="11" a="1"/>
  <c r="AM215" i="11" s="1"/>
  <c r="AM231" i="59" l="1" a="1"/>
  <c r="AM231" i="59" s="1"/>
  <c r="AM216" i="11" a="1"/>
  <c r="AM216" i="11" s="1"/>
  <c r="AM232" i="59" l="1" a="1"/>
  <c r="AM232" i="59" s="1"/>
  <c r="AM217" i="11" a="1"/>
  <c r="AM217" i="11" s="1"/>
  <c r="AM233" i="59" l="1" a="1"/>
  <c r="AM233" i="59" s="1"/>
  <c r="AM218" i="11" a="1"/>
  <c r="AM218" i="11" s="1"/>
  <c r="AM234" i="59" l="1" a="1"/>
  <c r="AM234" i="59" s="1"/>
  <c r="AM219" i="11" a="1"/>
  <c r="AM219" i="11" s="1"/>
  <c r="AM235" i="59" l="1" a="1"/>
  <c r="AM235" i="59" s="1"/>
  <c r="AM220" i="11" a="1"/>
  <c r="AM220" i="11" s="1"/>
  <c r="AM236" i="59" l="1" a="1"/>
  <c r="AM236" i="59" s="1"/>
  <c r="AM221" i="11" a="1"/>
  <c r="AM221" i="11" s="1"/>
  <c r="AM237" i="59" l="1" a="1"/>
  <c r="AM237" i="59" s="1"/>
  <c r="AM222" i="11" a="1"/>
  <c r="AM222" i="11" s="1"/>
  <c r="AM238" i="59" l="1" a="1"/>
  <c r="AM238" i="59" s="1"/>
  <c r="AM223" i="11" a="1"/>
  <c r="AM223" i="11" s="1"/>
  <c r="AM239" i="59" l="1" a="1"/>
  <c r="AM239" i="59" s="1"/>
  <c r="AM224" i="11" a="1"/>
  <c r="AM224" i="11" s="1"/>
  <c r="AM240" i="59" l="1" a="1"/>
  <c r="AM240" i="59" s="1"/>
  <c r="AM225" i="11" a="1"/>
  <c r="AM225" i="11" s="1"/>
  <c r="AM241" i="59" l="1" a="1"/>
  <c r="AM241" i="59" s="1"/>
  <c r="AM226" i="11" a="1"/>
  <c r="AM226" i="11" s="1"/>
  <c r="AM242" i="59" l="1" a="1"/>
  <c r="AM242" i="59" s="1"/>
  <c r="AM227" i="11" a="1"/>
  <c r="AM227" i="11" s="1"/>
  <c r="AM243" i="59" l="1" a="1"/>
  <c r="AM243" i="59" s="1"/>
  <c r="AM228" i="11" a="1"/>
  <c r="AM228" i="11" s="1"/>
  <c r="AM244" i="59" l="1" a="1"/>
  <c r="AM244" i="59" s="1"/>
  <c r="AM229" i="11" a="1"/>
  <c r="AM229" i="11" s="1"/>
  <c r="AM245" i="59" l="1" a="1"/>
  <c r="AM245" i="59" s="1"/>
  <c r="AM230" i="11" a="1"/>
  <c r="AM230" i="11" s="1"/>
  <c r="AM246" i="59" l="1" a="1"/>
  <c r="AM246" i="59" s="1"/>
  <c r="AM231" i="11" a="1"/>
  <c r="AM231" i="11" s="1"/>
  <c r="AM247" i="59" l="1" a="1"/>
  <c r="AM247" i="59" s="1"/>
  <c r="AM232" i="11" a="1"/>
  <c r="AM232" i="11" s="1"/>
  <c r="AM248" i="59" l="1" a="1"/>
  <c r="AM248" i="59" s="1"/>
  <c r="AM233" i="11" a="1"/>
  <c r="AM233" i="11" s="1"/>
  <c r="AM249" i="59" l="1" a="1"/>
  <c r="AM249" i="59" s="1"/>
  <c r="AM234" i="11" a="1"/>
  <c r="AM234" i="11" s="1"/>
  <c r="AM250" i="59" l="1" a="1"/>
  <c r="AM250" i="59" s="1"/>
  <c r="AM235" i="11" a="1"/>
  <c r="AM235" i="11" s="1"/>
  <c r="AM251" i="59" l="1" a="1"/>
  <c r="AM251" i="59" s="1"/>
  <c r="AM236" i="11" a="1"/>
  <c r="AM236" i="11" s="1"/>
  <c r="AM252" i="59" l="1" a="1"/>
  <c r="AM252" i="59" s="1"/>
  <c r="AM237" i="11" a="1"/>
  <c r="AM237" i="11" s="1"/>
  <c r="AM253" i="59" l="1" a="1"/>
  <c r="AM253" i="59" s="1"/>
  <c r="AM238" i="11" a="1"/>
  <c r="AM238" i="11" s="1"/>
  <c r="AM254" i="59" l="1" a="1"/>
  <c r="AM254" i="59" s="1"/>
  <c r="AM239" i="11" a="1"/>
  <c r="AM239" i="11" s="1"/>
  <c r="AM255" i="59" l="1" a="1"/>
  <c r="AM255" i="59" s="1"/>
  <c r="AM240" i="11" a="1"/>
  <c r="AM240" i="11" s="1"/>
  <c r="AM256" i="59" l="1" a="1"/>
  <c r="AM256" i="59" s="1"/>
  <c r="AM241" i="11" a="1"/>
  <c r="AM241" i="11" s="1"/>
  <c r="AM257" i="59" l="1" a="1"/>
  <c r="AM257" i="59" s="1"/>
  <c r="AM258" i="59" s="1" a="1"/>
  <c r="AM258" i="59" s="1"/>
  <c r="AM242" i="11" a="1"/>
  <c r="AM242" i="11" s="1"/>
  <c r="AM243" i="11" l="1" a="1"/>
  <c r="AM243" i="11" s="1"/>
  <c r="AM244" i="11" l="1" a="1"/>
  <c r="AM244" i="11" s="1"/>
  <c r="AM245" i="11" l="1" a="1"/>
  <c r="AM245" i="11" s="1"/>
  <c r="AD58" i="22" l="1"/>
  <c r="BD122" i="22" s="1"/>
  <c r="E135" i="72" s="1"/>
  <c r="AD74" i="22"/>
  <c r="BD130" i="22" s="1"/>
  <c r="E107" i="72" s="1"/>
  <c r="AC58" i="22"/>
  <c r="AN22" i="22"/>
  <c r="AM21" i="22"/>
  <c r="AD60" i="22"/>
  <c r="BD121" i="22" s="1"/>
  <c r="E134" i="72" s="1"/>
  <c r="AN20" i="22"/>
  <c r="F58" i="36" s="1"/>
  <c r="H58" i="36" s="1"/>
  <c r="AM20" i="22"/>
  <c r="E58" i="36" s="1"/>
  <c r="G58" i="36" s="1"/>
  <c r="AM22" i="22"/>
  <c r="AC60" i="22"/>
  <c r="AN21" i="22"/>
  <c r="AM24" i="22"/>
  <c r="AN24" i="22"/>
  <c r="AN27" i="22"/>
  <c r="AN23" i="22"/>
  <c r="AN26" i="22"/>
  <c r="AM23" i="22"/>
  <c r="AM26" i="22"/>
  <c r="AC4" i="22"/>
  <c r="AC91" i="22"/>
  <c r="AD73" i="22"/>
  <c r="BD129" i="22" s="1"/>
  <c r="E143" i="72" s="1"/>
  <c r="AC79" i="22"/>
  <c r="AC57" i="22"/>
  <c r="AD33" i="22"/>
  <c r="BD89" i="22" s="1"/>
  <c r="AD79" i="22"/>
  <c r="AC59" i="22"/>
  <c r="AC71" i="22"/>
  <c r="AD25" i="22"/>
  <c r="BD34" i="22" s="1"/>
  <c r="AD36" i="22"/>
  <c r="BD36" i="22" s="1"/>
  <c r="AD98" i="22"/>
  <c r="BD58" i="22" s="1"/>
  <c r="AC12" i="22"/>
  <c r="AD62" i="22"/>
  <c r="BD153" i="22" s="1"/>
  <c r="AD66" i="22"/>
  <c r="AD39" i="22"/>
  <c r="AC77" i="22"/>
  <c r="AD68" i="22"/>
  <c r="BD125" i="22" s="1"/>
  <c r="E138" i="72" s="1"/>
  <c r="AD63" i="22"/>
  <c r="BD93" i="22" s="1"/>
  <c r="AC56" i="22"/>
  <c r="AC29" i="22"/>
  <c r="AC30" i="22"/>
  <c r="AC16" i="22"/>
  <c r="AD29" i="22"/>
  <c r="BD86" i="22" s="1"/>
  <c r="AD21" i="22"/>
  <c r="BD81" i="22" s="1"/>
  <c r="AD57" i="22"/>
  <c r="BD92" i="22" s="1"/>
  <c r="AC78" i="22"/>
  <c r="AC65" i="22"/>
  <c r="AC53" i="22"/>
  <c r="AC6" i="22"/>
  <c r="AC54" i="22"/>
  <c r="AD52" i="22"/>
  <c r="BD46" i="22" s="1"/>
  <c r="AD24" i="22"/>
  <c r="BD83" i="22" s="1"/>
  <c r="AD11" i="22"/>
  <c r="BD112" i="22" s="1"/>
  <c r="E125" i="72" s="1"/>
  <c r="AD76" i="22"/>
  <c r="BD155" i="22" s="1"/>
  <c r="AC31" i="22"/>
  <c r="AC42" i="22"/>
  <c r="AD37" i="22"/>
  <c r="BD145" i="22" s="1"/>
  <c r="E158" i="72" s="1"/>
  <c r="AD90" i="22"/>
  <c r="BD54" i="22" s="1"/>
  <c r="AC33" i="22"/>
  <c r="AC7" i="22"/>
  <c r="AD44" i="22"/>
  <c r="BD41" i="22" s="1"/>
  <c r="AC55" i="22"/>
  <c r="AD12" i="22"/>
  <c r="BD113" i="22" s="1"/>
  <c r="E126" i="72" s="1"/>
  <c r="AC98" i="22"/>
  <c r="AC17" i="22"/>
  <c r="AC13" i="22"/>
  <c r="AC75" i="22"/>
  <c r="AC43" i="22"/>
  <c r="AD42" i="22"/>
  <c r="BD39" i="22" s="1"/>
  <c r="AD88" i="22"/>
  <c r="BD52" i="22" s="1"/>
  <c r="AD45" i="22"/>
  <c r="BD42" i="22" s="1"/>
  <c r="AD59" i="22"/>
  <c r="BD152" i="22" s="1"/>
  <c r="AC44" i="22"/>
  <c r="AC26" i="22"/>
  <c r="AD40" i="22"/>
  <c r="BD119" i="22" s="1"/>
  <c r="E132" i="72" s="1"/>
  <c r="AD18" i="22"/>
  <c r="BD5" i="22" s="1"/>
  <c r="E13" i="72" s="1"/>
  <c r="AD38" i="22"/>
  <c r="BD37" i="22" s="1"/>
  <c r="AC37" i="22"/>
  <c r="AC51" i="22"/>
  <c r="AC95" i="22"/>
  <c r="AD87" i="22"/>
  <c r="BD51" i="22" s="1"/>
  <c r="E62" i="72" s="1"/>
  <c r="AD9" i="22"/>
  <c r="BD115" i="22" s="1"/>
  <c r="E128" i="72" s="1"/>
  <c r="AC88" i="22"/>
  <c r="AD10" i="22"/>
  <c r="BD111" i="22" s="1"/>
  <c r="E124" i="72" s="1"/>
  <c r="AC38" i="22"/>
  <c r="AD70" i="22"/>
  <c r="BD127" i="22" s="1"/>
  <c r="E141" i="72" s="1"/>
  <c r="AD28" i="22"/>
  <c r="BD85" i="22" s="1"/>
  <c r="AC68" i="22"/>
  <c r="AC34" i="22"/>
  <c r="AD97" i="22"/>
  <c r="BD57" i="22" s="1"/>
  <c r="AD93" i="22"/>
  <c r="BD96" i="22" s="1"/>
  <c r="AC66" i="22"/>
  <c r="AD69" i="22"/>
  <c r="AD47" i="22"/>
  <c r="BD90" i="22" s="1"/>
  <c r="E102" i="72" s="1"/>
  <c r="AC39" i="22"/>
  <c r="AD23" i="22"/>
  <c r="BD33" i="22" s="1"/>
  <c r="AD17" i="22"/>
  <c r="BD32" i="22" s="1"/>
  <c r="AD26" i="22"/>
  <c r="AD50" i="22"/>
  <c r="AD53" i="22"/>
  <c r="BD120" i="22" s="1"/>
  <c r="E133" i="72" s="1"/>
  <c r="AC36" i="22"/>
  <c r="AC63" i="22"/>
  <c r="AC19" i="22"/>
  <c r="AD94" i="22"/>
  <c r="BD97" i="22" s="1"/>
  <c r="AD65" i="22"/>
  <c r="AC22" i="22"/>
  <c r="AD80" i="22"/>
  <c r="AD85" i="22"/>
  <c r="BD50" i="22" s="1"/>
  <c r="AD55" i="22"/>
  <c r="AC5" i="22"/>
  <c r="AD41" i="22"/>
  <c r="BD38" i="22" s="1"/>
  <c r="AC86" i="22"/>
  <c r="AC50" i="22"/>
  <c r="AC76" i="22"/>
  <c r="AD31" i="22"/>
  <c r="BD88" i="22" s="1"/>
  <c r="AC74" i="22"/>
  <c r="AC61" i="22"/>
  <c r="AC41" i="22"/>
  <c r="AD84" i="22"/>
  <c r="AD5" i="22"/>
  <c r="BD78" i="22" s="1"/>
  <c r="E90" i="72" s="1"/>
  <c r="AC69" i="22"/>
  <c r="AC67" i="22"/>
  <c r="AC70" i="22"/>
  <c r="AC45" i="22"/>
  <c r="AC90" i="22"/>
  <c r="AD99" i="22"/>
  <c r="BD59" i="22" s="1"/>
  <c r="AD6" i="22"/>
  <c r="BD79" i="22" s="1"/>
  <c r="E91" i="72" s="1"/>
  <c r="AC48" i="22"/>
  <c r="AC47" i="22"/>
  <c r="AD22" i="22"/>
  <c r="BD82" i="22" s="1"/>
  <c r="AC10" i="22"/>
  <c r="AD82" i="22"/>
  <c r="AD61" i="22"/>
  <c r="AC96" i="22"/>
  <c r="AC25" i="22"/>
  <c r="AC81" i="22"/>
  <c r="AD51" i="22"/>
  <c r="BD45" i="22" s="1"/>
  <c r="AD48" i="22"/>
  <c r="BD91" i="22" s="1"/>
  <c r="AC18" i="22"/>
  <c r="AD92" i="22"/>
  <c r="BD95" i="22" s="1"/>
  <c r="AD86" i="22"/>
  <c r="AD83" i="22"/>
  <c r="AD64" i="22"/>
  <c r="BD154" i="22" s="1"/>
  <c r="AD20" i="22"/>
  <c r="BD116" i="22" s="1"/>
  <c r="E129" i="72" s="1"/>
  <c r="AD67" i="22"/>
  <c r="AC94" i="22"/>
  <c r="AC62" i="22"/>
  <c r="AC9" i="22"/>
  <c r="AD30" i="22"/>
  <c r="BD87" i="22" s="1"/>
  <c r="AC52" i="22"/>
  <c r="AD91" i="22"/>
  <c r="BD134" i="22" s="1"/>
  <c r="E147" i="72" s="1"/>
  <c r="AC20" i="22"/>
  <c r="AD27" i="22"/>
  <c r="BD84" i="22" s="1"/>
  <c r="AD71" i="22"/>
  <c r="BD49" i="22" s="1"/>
  <c r="AC83" i="22"/>
  <c r="AD95" i="22"/>
  <c r="BD55" i="22" s="1"/>
  <c r="AC14" i="22"/>
  <c r="AC99" i="22"/>
  <c r="AD14" i="22"/>
  <c r="BD30" i="22" s="1"/>
  <c r="AD16" i="22"/>
  <c r="BD31" i="22" s="1"/>
  <c r="AD46" i="22"/>
  <c r="BD43" i="22" s="1"/>
  <c r="AC46" i="22"/>
  <c r="AD77" i="22"/>
  <c r="BD132" i="22" s="1"/>
  <c r="E145" i="72" s="1"/>
  <c r="AD81" i="22"/>
  <c r="AC64" i="22"/>
  <c r="AD19" i="22"/>
  <c r="AD7" i="22"/>
  <c r="BD80" i="22" s="1"/>
  <c r="AD34" i="22"/>
  <c r="AC11" i="22"/>
  <c r="AD96" i="22"/>
  <c r="BD56" i="22" s="1"/>
  <c r="AC32" i="22"/>
  <c r="AC27" i="22"/>
  <c r="AC49" i="22"/>
  <c r="AC80" i="22"/>
  <c r="AC73" i="22"/>
  <c r="AC82" i="22"/>
  <c r="AC89" i="22"/>
  <c r="AC93" i="22"/>
  <c r="AC24" i="22"/>
  <c r="AD32" i="22"/>
  <c r="BD35" i="22" s="1"/>
  <c r="AD54" i="22"/>
  <c r="BD47" i="22" s="1"/>
  <c r="AC87" i="22"/>
  <c r="AC23" i="22"/>
  <c r="AC92" i="22"/>
  <c r="AD49" i="22"/>
  <c r="BD44" i="22" s="1"/>
  <c r="AC84" i="22"/>
  <c r="AD89" i="22"/>
  <c r="BD53" i="22" s="1"/>
  <c r="AD56" i="22"/>
  <c r="BD48" i="22" s="1"/>
  <c r="AC40" i="22"/>
  <c r="AC85" i="22"/>
  <c r="AD75" i="22"/>
  <c r="BD131" i="22" s="1"/>
  <c r="E144" i="72" s="1"/>
  <c r="AC28" i="22"/>
  <c r="AD13" i="22"/>
  <c r="BD114" i="22" s="1"/>
  <c r="E127" i="72" s="1"/>
  <c r="AD78" i="22"/>
  <c r="BD133" i="22" s="1"/>
  <c r="E146" i="72" s="1"/>
  <c r="AC21" i="22"/>
  <c r="AD43" i="22"/>
  <c r="BD40" i="22" s="1"/>
  <c r="AM246" i="11" a="1"/>
  <c r="AM246" i="11" s="1"/>
  <c r="BD11" i="22" l="1"/>
  <c r="E19" i="72" s="1"/>
  <c r="BD146" i="22"/>
  <c r="E140" i="72" s="1"/>
  <c r="BD9" i="22"/>
  <c r="E17" i="72" s="1"/>
  <c r="BD12" i="22"/>
  <c r="E20" i="72" s="1"/>
  <c r="BD15" i="22"/>
  <c r="E23" i="72" s="1"/>
  <c r="BD13" i="22"/>
  <c r="E21" i="72" s="1"/>
  <c r="BD14" i="22"/>
  <c r="E22" i="72" s="1"/>
  <c r="BD10" i="22"/>
  <c r="E18" i="72" s="1"/>
  <c r="BD7" i="22"/>
  <c r="E15" i="72" s="1"/>
  <c r="BD16" i="22"/>
  <c r="E24" i="72" s="1"/>
  <c r="BD17" i="22"/>
  <c r="E25" i="72" s="1"/>
  <c r="E70" i="72"/>
  <c r="BD19" i="22"/>
  <c r="E27" i="72" s="1"/>
  <c r="BD18" i="22"/>
  <c r="E26" i="72" s="1"/>
  <c r="BD6" i="22"/>
  <c r="E14" i="72" s="1"/>
  <c r="BD8" i="22"/>
  <c r="E16" i="72" s="1"/>
  <c r="BD124" i="22"/>
  <c r="E137" i="72" s="1"/>
  <c r="BD123" i="22"/>
  <c r="E136" i="72" s="1"/>
  <c r="BD94" i="22"/>
  <c r="E106" i="72" s="1"/>
  <c r="BD126" i="22"/>
  <c r="E139" i="72" s="1"/>
  <c r="AD8" i="22"/>
  <c r="AC15" i="22"/>
  <c r="AO21" i="22" s="1"/>
  <c r="AD35" i="22"/>
  <c r="AM25" i="22"/>
  <c r="AD15" i="22"/>
  <c r="AN25" i="22"/>
  <c r="AC8" i="22"/>
  <c r="AO20" i="22" s="1"/>
  <c r="AC35" i="22"/>
  <c r="AO22" i="22" s="1"/>
  <c r="AD72" i="22"/>
  <c r="AC72" i="22"/>
  <c r="AO25" i="22" s="1"/>
  <c r="AO23" i="22"/>
  <c r="AP27" i="22"/>
  <c r="AP26" i="22"/>
  <c r="AP24" i="22"/>
  <c r="AP23" i="22"/>
  <c r="AO26" i="22"/>
  <c r="AO24" i="22"/>
  <c r="AM27" i="22"/>
  <c r="AC97" i="22"/>
  <c r="AO27" i="22" s="1"/>
  <c r="E53" i="72"/>
  <c r="E99" i="72"/>
  <c r="E51" i="72"/>
  <c r="E55" i="72"/>
  <c r="E54" i="72"/>
  <c r="E41" i="72"/>
  <c r="E58" i="72"/>
  <c r="E94" i="72"/>
  <c r="E97" i="72"/>
  <c r="E69" i="72"/>
  <c r="E42" i="72"/>
  <c r="E68" i="72"/>
  <c r="E46" i="72"/>
  <c r="E57" i="72"/>
  <c r="E109" i="72"/>
  <c r="E104" i="72"/>
  <c r="E52" i="72"/>
  <c r="E95" i="72"/>
  <c r="E98" i="72"/>
  <c r="E48" i="72"/>
  <c r="E101" i="72"/>
  <c r="E59" i="72"/>
  <c r="E103" i="72"/>
  <c r="E92" i="72"/>
  <c r="E56" i="72"/>
  <c r="E108" i="72"/>
  <c r="E100" i="72"/>
  <c r="E67" i="72"/>
  <c r="E50" i="72"/>
  <c r="E110" i="72"/>
  <c r="E60" i="72"/>
  <c r="E43" i="72"/>
  <c r="E105" i="72"/>
  <c r="E66" i="72"/>
  <c r="E61" i="72"/>
  <c r="E65" i="72"/>
  <c r="E64" i="72"/>
  <c r="E47" i="72"/>
  <c r="E44" i="72"/>
  <c r="E96" i="72"/>
  <c r="E49" i="72"/>
  <c r="E63" i="72"/>
  <c r="AD4" i="22"/>
  <c r="BD77" i="22" s="1"/>
  <c r="E93" i="72"/>
  <c r="E45" i="72"/>
  <c r="AM247" i="11" a="1"/>
  <c r="AM247" i="11" s="1"/>
  <c r="E33" i="72" l="1"/>
  <c r="E82" i="72"/>
  <c r="AP21" i="22"/>
  <c r="BD117" i="22"/>
  <c r="E130" i="72" s="1"/>
  <c r="AP22" i="22"/>
  <c r="BD118" i="22"/>
  <c r="E131" i="72" s="1"/>
  <c r="AP25" i="22"/>
  <c r="BD128" i="22"/>
  <c r="E142" i="72" s="1"/>
  <c r="AP20" i="22"/>
  <c r="E89" i="72"/>
  <c r="E114" i="72" s="1"/>
  <c r="AM248" i="11" a="1"/>
  <c r="AM248" i="11" s="1"/>
  <c r="AM249" i="11" l="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0" i="22" l="1"/>
  <c r="AY154" i="22"/>
  <c r="AY50" i="22"/>
  <c r="AY49" i="22"/>
  <c r="AY52" i="22"/>
  <c r="AY114" i="22"/>
  <c r="AY96" i="22"/>
  <c r="AY124" i="22"/>
  <c r="AY131" i="22"/>
  <c r="AY121" i="22"/>
  <c r="AY122" i="22"/>
  <c r="AZ121" i="22"/>
  <c r="AY43" i="22"/>
  <c r="AZ122" i="22"/>
  <c r="AY32" i="22"/>
  <c r="AY86" i="22"/>
  <c r="AY84" i="22"/>
  <c r="AY130" i="22"/>
  <c r="AY58" i="22"/>
  <c r="AY54" i="22"/>
  <c r="AY56" i="22"/>
  <c r="AY57" i="22"/>
  <c r="AY48" i="22"/>
  <c r="AY11" i="22"/>
  <c r="AZ51" i="22"/>
  <c r="AY44" i="22"/>
  <c r="AY5" i="22"/>
  <c r="AY125" i="22"/>
  <c r="AY6" i="22"/>
  <c r="AY93" i="22"/>
  <c r="AZ128" i="22"/>
  <c r="AY87" i="22"/>
  <c r="AY42" i="22"/>
  <c r="AY111" i="22"/>
  <c r="AY127" i="22"/>
  <c r="AY46" i="22"/>
  <c r="AZ117" i="22"/>
  <c r="AY91" i="22"/>
  <c r="AY134" i="22"/>
  <c r="AY17" i="22"/>
  <c r="AY118" i="22"/>
  <c r="AY14" i="22"/>
  <c r="AY113" i="22"/>
  <c r="AY80" i="22"/>
  <c r="AY117" i="22"/>
  <c r="AY155" i="22"/>
  <c r="AY89" i="22"/>
  <c r="AY8" i="22"/>
  <c r="AY92" i="22"/>
  <c r="AY115" i="22"/>
  <c r="AY37" i="22"/>
  <c r="AY79" i="22"/>
  <c r="AY97" i="22"/>
  <c r="AY40" i="22"/>
  <c r="AY132" i="22"/>
  <c r="AY85" i="22"/>
  <c r="AY53" i="22"/>
  <c r="AY133" i="22"/>
  <c r="AY152" i="22"/>
  <c r="AY128" i="22"/>
  <c r="AY39" i="22"/>
  <c r="AY82" i="22"/>
  <c r="AZ130" i="22"/>
  <c r="AY45" i="22"/>
  <c r="AY16" i="22"/>
  <c r="AY12" i="22"/>
  <c r="AY120" i="22"/>
  <c r="AY153" i="22"/>
  <c r="AY31" i="22"/>
  <c r="AY35" i="22"/>
  <c r="AY36" i="22"/>
  <c r="AY55" i="22"/>
  <c r="AY47" i="22"/>
  <c r="AY126" i="22"/>
  <c r="AY119" i="22"/>
  <c r="AY83" i="22"/>
  <c r="AY90" i="22"/>
  <c r="AY10" i="22"/>
  <c r="AY95" i="22"/>
  <c r="AY78" i="22"/>
  <c r="AY116" i="22"/>
  <c r="AY33" i="22"/>
  <c r="AY18" i="22"/>
  <c r="AY30" i="22"/>
  <c r="AY15" i="22"/>
  <c r="AY88" i="22"/>
  <c r="AY7" i="22"/>
  <c r="AY145" i="22"/>
  <c r="AY81" i="22"/>
  <c r="AY51" i="22"/>
  <c r="AY38" i="22"/>
  <c r="AZ118" i="22"/>
  <c r="AY112" i="22"/>
  <c r="AY94" i="22"/>
  <c r="AY129" i="22"/>
  <c r="AY34" i="22"/>
  <c r="AY41" i="22"/>
  <c r="AZ95" i="22" l="1"/>
  <c r="AZ78" i="22"/>
  <c r="AZ93" i="22"/>
  <c r="AZ32" i="22"/>
  <c r="AZ11" i="22"/>
  <c r="AZ12" i="22"/>
  <c r="AZ47" i="22"/>
  <c r="AZ119" i="22"/>
  <c r="AZ30" i="22"/>
  <c r="AZ56" i="22"/>
  <c r="AZ116" i="22"/>
  <c r="AZ113" i="22"/>
  <c r="AZ152" i="22"/>
  <c r="AZ18" i="22"/>
  <c r="AZ134" i="22"/>
  <c r="AZ87" i="22"/>
  <c r="AZ86" i="22"/>
  <c r="AZ16" i="22"/>
  <c r="AZ85" i="22"/>
  <c r="AZ10" i="22"/>
  <c r="AZ153" i="22"/>
  <c r="AZ8" i="22"/>
  <c r="AZ44" i="22"/>
  <c r="AZ96" i="22"/>
  <c r="AZ155" i="22"/>
  <c r="AZ49" i="22"/>
  <c r="AZ111" i="22"/>
  <c r="AZ5" i="22"/>
  <c r="AZ90" i="22"/>
  <c r="AZ79" i="22"/>
  <c r="AZ131" i="22"/>
  <c r="AZ42" i="22"/>
  <c r="AZ46" i="22"/>
  <c r="AZ7" i="22"/>
  <c r="AZ94" i="22"/>
  <c r="AZ58" i="22"/>
  <c r="AZ48" i="22"/>
  <c r="AZ112" i="22"/>
  <c r="AZ127" i="22"/>
  <c r="AZ81" i="22"/>
  <c r="AZ124" i="22"/>
  <c r="AZ126" i="22"/>
  <c r="AZ55" i="22"/>
  <c r="AZ83" i="22"/>
  <c r="AZ54" i="22"/>
  <c r="AZ88" i="22"/>
  <c r="AZ97" i="22"/>
  <c r="AZ17" i="22"/>
  <c r="AZ89" i="22"/>
  <c r="AZ92" i="22"/>
  <c r="AZ129" i="22"/>
  <c r="AZ84" i="22"/>
  <c r="AZ15" i="22"/>
  <c r="AZ77" i="22"/>
  <c r="AZ35" i="22"/>
  <c r="AZ50" i="22"/>
  <c r="AZ53" i="22"/>
  <c r="AZ34" i="22"/>
  <c r="AZ82" i="22"/>
  <c r="AZ31" i="22"/>
  <c r="AZ33" i="22"/>
  <c r="Q4" i="22"/>
  <c r="BA77" i="22" s="1"/>
  <c r="AY77" i="22"/>
  <c r="AZ115" i="22"/>
  <c r="AZ145" i="22"/>
  <c r="AZ125" i="22"/>
  <c r="AZ40" i="22"/>
  <c r="AZ41" i="22"/>
  <c r="AZ52" i="22"/>
  <c r="AZ36" i="22"/>
  <c r="AZ45" i="22"/>
  <c r="AZ120" i="22"/>
  <c r="AZ133" i="22"/>
  <c r="AZ14" i="22"/>
  <c r="AZ132" i="22"/>
  <c r="AZ91" i="22"/>
  <c r="AZ6" i="22"/>
  <c r="AZ114" i="22"/>
  <c r="AZ154" i="22"/>
  <c r="AZ37" i="22"/>
  <c r="AZ38" i="22"/>
  <c r="AZ39" i="22"/>
  <c r="AZ43" i="22"/>
  <c r="R7" i="22"/>
  <c r="AF7" i="22" s="1"/>
  <c r="E59" i="36"/>
  <c r="G59" i="36" s="1"/>
  <c r="E65" i="36"/>
  <c r="G65" i="36" s="1"/>
  <c r="E61" i="36"/>
  <c r="G61" i="36" s="1"/>
  <c r="E62" i="36"/>
  <c r="G62" i="36" s="1"/>
  <c r="E63" i="36"/>
  <c r="G63" i="36" s="1"/>
  <c r="F61" i="36"/>
  <c r="H61" i="36" s="1"/>
  <c r="F62" i="36"/>
  <c r="H62" i="36" s="1"/>
  <c r="F60" i="36"/>
  <c r="H60" i="36" s="1"/>
  <c r="F59" i="36"/>
  <c r="H59" i="36" s="1"/>
  <c r="E60" i="36"/>
  <c r="G60" i="36" s="1"/>
  <c r="F63" i="36"/>
  <c r="H63"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R24" i="22"/>
  <c r="R75" i="22"/>
  <c r="BB131" i="22" s="1"/>
  <c r="D144" i="72" s="1"/>
  <c r="R5" i="22"/>
  <c r="BB78" i="22" s="1"/>
  <c r="D90" i="72" s="1"/>
  <c r="R20" i="22"/>
  <c r="BB116" i="22" s="1"/>
  <c r="D129" i="72" s="1"/>
  <c r="R12" i="22"/>
  <c r="BB113" i="22" s="1"/>
  <c r="D126" i="72" s="1"/>
  <c r="Q50" i="22"/>
  <c r="Q5" i="22"/>
  <c r="BA78" i="22" s="1"/>
  <c r="Q24" i="22"/>
  <c r="BA83" i="22" s="1"/>
  <c r="Q69" i="22"/>
  <c r="Q54" i="22"/>
  <c r="BA47" i="22" s="1"/>
  <c r="R45" i="22"/>
  <c r="BB42" i="22" s="1"/>
  <c r="Q32" i="22"/>
  <c r="BA35" i="22" s="1"/>
  <c r="R30" i="22"/>
  <c r="BB87" i="22" s="1"/>
  <c r="Q83" i="22"/>
  <c r="R29" i="22"/>
  <c r="BB86" i="22" s="1"/>
  <c r="Q42" i="22"/>
  <c r="BA39" i="22" s="1"/>
  <c r="Q72" i="22"/>
  <c r="BA128" i="22" s="1"/>
  <c r="Q89" i="22"/>
  <c r="BA53" i="22" s="1"/>
  <c r="Q28" i="22"/>
  <c r="BA85" i="22" s="1"/>
  <c r="Q94" i="22"/>
  <c r="BA97" i="22" s="1"/>
  <c r="R57" i="22"/>
  <c r="BB92" i="22" s="1"/>
  <c r="Q79" i="22"/>
  <c r="R54" i="22"/>
  <c r="BB47" i="22" s="1"/>
  <c r="Q7" i="22"/>
  <c r="BA80" i="22" s="1"/>
  <c r="R65" i="22"/>
  <c r="Q48" i="22"/>
  <c r="BA91" i="22" s="1"/>
  <c r="Q52" i="22"/>
  <c r="BA46" i="22" s="1"/>
  <c r="R99" i="22"/>
  <c r="BB59" i="22" s="1"/>
  <c r="BE59" i="22" s="1"/>
  <c r="BF59" i="22" s="1"/>
  <c r="R66" i="22"/>
  <c r="R13" i="22"/>
  <c r="BB114" i="22" s="1"/>
  <c r="D127" i="72" s="1"/>
  <c r="Q49" i="22"/>
  <c r="BA44" i="22" s="1"/>
  <c r="R85" i="22"/>
  <c r="BB50" i="22" s="1"/>
  <c r="R56" i="22"/>
  <c r="BB48" i="22" s="1"/>
  <c r="Q96" i="22"/>
  <c r="BA56" i="22" s="1"/>
  <c r="R11" i="22"/>
  <c r="BB112" i="22" s="1"/>
  <c r="D125" i="72" s="1"/>
  <c r="R70" i="22"/>
  <c r="BB127" i="22" s="1"/>
  <c r="D141" i="72" s="1"/>
  <c r="R21" i="22"/>
  <c r="R93" i="22"/>
  <c r="BB96" i="22" s="1"/>
  <c r="R61" i="22"/>
  <c r="R41" i="22"/>
  <c r="BB38" i="22" s="1"/>
  <c r="R42" i="22"/>
  <c r="BB39" i="22" s="1"/>
  <c r="Q58" i="22"/>
  <c r="BA122" i="22" s="1"/>
  <c r="Q67" i="22"/>
  <c r="R9" i="22"/>
  <c r="R37" i="22"/>
  <c r="BB145" i="22" s="1"/>
  <c r="D158" i="72" s="1"/>
  <c r="Q44" i="22"/>
  <c r="BA41" i="22" s="1"/>
  <c r="Q73" i="22"/>
  <c r="BA129" i="22" s="1"/>
  <c r="R92" i="22"/>
  <c r="BB95" i="22" s="1"/>
  <c r="Q11" i="22"/>
  <c r="BA112" i="22" s="1"/>
  <c r="Q87" i="22"/>
  <c r="BA51" i="22" s="1"/>
  <c r="R90" i="22"/>
  <c r="BB54" i="22" s="1"/>
  <c r="Q37" i="22"/>
  <c r="BA145" i="22" s="1"/>
  <c r="R63" i="22"/>
  <c r="BB93" i="22" s="1"/>
  <c r="Q19" i="22"/>
  <c r="R44" i="22"/>
  <c r="BB41" i="22" s="1"/>
  <c r="Q92" i="22"/>
  <c r="BA95" i="22" s="1"/>
  <c r="R88" i="22"/>
  <c r="BB52" i="22" s="1"/>
  <c r="R36" i="22"/>
  <c r="BB36" i="22" s="1"/>
  <c r="R94" i="22"/>
  <c r="BB97" i="22" s="1"/>
  <c r="Q36" i="22"/>
  <c r="BA36" i="22" s="1"/>
  <c r="R82" i="22"/>
  <c r="Q62" i="22"/>
  <c r="BA153" i="22" s="1"/>
  <c r="Q26" i="22"/>
  <c r="R78" i="22"/>
  <c r="BB133" i="22" s="1"/>
  <c r="D146" i="72" s="1"/>
  <c r="R8" i="22"/>
  <c r="R86" i="22"/>
  <c r="R77" i="22"/>
  <c r="BB132" i="22" s="1"/>
  <c r="D145" i="72" s="1"/>
  <c r="Q77" i="22"/>
  <c r="BA132" i="22" s="1"/>
  <c r="R48" i="22"/>
  <c r="BB91" i="22" s="1"/>
  <c r="Q9" i="22"/>
  <c r="BA115" i="22" s="1"/>
  <c r="Q33" i="22"/>
  <c r="BA89" i="22" s="1"/>
  <c r="R73" i="22"/>
  <c r="BB129" i="22" s="1"/>
  <c r="D143" i="72" s="1"/>
  <c r="R27" i="22"/>
  <c r="BB84" i="22" s="1"/>
  <c r="Q35" i="22"/>
  <c r="BA118" i="22" s="1"/>
  <c r="R15" i="22"/>
  <c r="BB117" i="22" s="1"/>
  <c r="D130" i="72" s="1"/>
  <c r="Q70" i="22"/>
  <c r="BA127" i="22" s="1"/>
  <c r="Q45" i="22"/>
  <c r="BA42" i="22" s="1"/>
  <c r="R72" i="22"/>
  <c r="BB128" i="22" s="1"/>
  <c r="D142" i="72" s="1"/>
  <c r="Q68" i="22"/>
  <c r="BA125" i="22" s="1"/>
  <c r="R87" i="22"/>
  <c r="BB51" i="22" s="1"/>
  <c r="D62" i="72" s="1"/>
  <c r="Q82" i="22"/>
  <c r="R89" i="22"/>
  <c r="BB53" i="22" s="1"/>
  <c r="Q74" i="22"/>
  <c r="BA130" i="22" s="1"/>
  <c r="Q27" i="22"/>
  <c r="BA84" i="22" s="1"/>
  <c r="Q61" i="22"/>
  <c r="Q17" i="22"/>
  <c r="BA32" i="22" s="1"/>
  <c r="R76" i="22"/>
  <c r="BB155" i="22" s="1"/>
  <c r="R71" i="22"/>
  <c r="BB49" i="22" s="1"/>
  <c r="R10" i="22"/>
  <c r="BB111" i="22" s="1"/>
  <c r="D124" i="72" s="1"/>
  <c r="Q75" i="22"/>
  <c r="BA131" i="22" s="1"/>
  <c r="R46" i="22"/>
  <c r="BB43" i="22" s="1"/>
  <c r="Q88" i="22"/>
  <c r="BA52" i="22" s="1"/>
  <c r="Q64" i="22"/>
  <c r="BA154" i="22" s="1"/>
  <c r="R40" i="22"/>
  <c r="BB119" i="22" s="1"/>
  <c r="D132" i="72" s="1"/>
  <c r="R69" i="22"/>
  <c r="Q84" i="22"/>
  <c r="R95" i="22"/>
  <c r="BB55" i="22" s="1"/>
  <c r="R6" i="22"/>
  <c r="R35" i="22"/>
  <c r="BB118" i="22" s="1"/>
  <c r="Q21" i="22"/>
  <c r="BA81" i="22" s="1"/>
  <c r="R31" i="22"/>
  <c r="BB88" i="22" s="1"/>
  <c r="Q31" i="22"/>
  <c r="BA88" i="22" s="1"/>
  <c r="R59" i="22"/>
  <c r="BB152" i="22" s="1"/>
  <c r="Q23" i="22"/>
  <c r="BA33" i="22" s="1"/>
  <c r="Q81" i="22"/>
  <c r="Q40" i="22"/>
  <c r="BA119" i="22" s="1"/>
  <c r="R50" i="22"/>
  <c r="Q95" i="22"/>
  <c r="BA55" i="22" s="1"/>
  <c r="R51" i="22"/>
  <c r="BB45" i="22" s="1"/>
  <c r="Q16" i="22"/>
  <c r="BA31" i="22" s="1"/>
  <c r="Q53" i="22"/>
  <c r="BA120" i="22" s="1"/>
  <c r="R39" i="22"/>
  <c r="Q51" i="22"/>
  <c r="BA45" i="22" s="1"/>
  <c r="R74" i="22"/>
  <c r="BB130" i="22" s="1"/>
  <c r="D107" i="72" s="1"/>
  <c r="Q66" i="22"/>
  <c r="Q59" i="22"/>
  <c r="BA152" i="22" s="1"/>
  <c r="R26" i="22"/>
  <c r="R28" i="22"/>
  <c r="Q6" i="22"/>
  <c r="BA79" i="22" s="1"/>
  <c r="Q57" i="22"/>
  <c r="BA92" i="22" s="1"/>
  <c r="Q76" i="22"/>
  <c r="BA155" i="22" s="1"/>
  <c r="Q15" i="22"/>
  <c r="BA117" i="22" s="1"/>
  <c r="Q12" i="22"/>
  <c r="BA113" i="22" s="1"/>
  <c r="Q39" i="22"/>
  <c r="R34" i="22"/>
  <c r="R19" i="22"/>
  <c r="R32" i="22"/>
  <c r="BB35" i="22" s="1"/>
  <c r="Q63" i="22"/>
  <c r="BA93" i="22" s="1"/>
  <c r="Q18" i="22"/>
  <c r="BA5" i="22" s="1"/>
  <c r="R62" i="22"/>
  <c r="BB153" i="22" s="1"/>
  <c r="Q56" i="22"/>
  <c r="BA48" i="22" s="1"/>
  <c r="R64" i="22"/>
  <c r="BB154" i="22" s="1"/>
  <c r="Q90" i="22"/>
  <c r="BA54" i="22" s="1"/>
  <c r="Q29" i="22"/>
  <c r="BA86" i="22" s="1"/>
  <c r="R38" i="22"/>
  <c r="BB37" i="22" s="1"/>
  <c r="R22" i="22"/>
  <c r="R84" i="22"/>
  <c r="R58" i="22"/>
  <c r="BB122" i="22" s="1"/>
  <c r="D135" i="72" s="1"/>
  <c r="R60" i="22"/>
  <c r="BB121" i="22" s="1"/>
  <c r="D134" i="72" s="1"/>
  <c r="Q60" i="22"/>
  <c r="BA121" i="22" s="1"/>
  <c r="R18" i="22"/>
  <c r="BB5" i="22" s="1"/>
  <c r="D13" i="72" s="1"/>
  <c r="Q93" i="22"/>
  <c r="BA96" i="22" s="1"/>
  <c r="Q71" i="22"/>
  <c r="BA49" i="22" s="1"/>
  <c r="Q25" i="22"/>
  <c r="BA34" i="22" s="1"/>
  <c r="Q65" i="22"/>
  <c r="R68" i="22"/>
  <c r="BB125" i="22" s="1"/>
  <c r="D138" i="72" s="1"/>
  <c r="Q41" i="22"/>
  <c r="BA38" i="22" s="1"/>
  <c r="R96" i="22"/>
  <c r="BB56" i="22" s="1"/>
  <c r="R43" i="22"/>
  <c r="BB40" i="22" s="1"/>
  <c r="Q55" i="22"/>
  <c r="Q14" i="22"/>
  <c r="BA30" i="22" s="1"/>
  <c r="Q20" i="22"/>
  <c r="BA116" i="22" s="1"/>
  <c r="Q47" i="22"/>
  <c r="BA90" i="22" s="1"/>
  <c r="R17" i="22"/>
  <c r="BB32" i="22" s="1"/>
  <c r="R91" i="22"/>
  <c r="BB134" i="22" s="1"/>
  <c r="D147" i="72" s="1"/>
  <c r="Q8" i="22"/>
  <c r="R53" i="22"/>
  <c r="BB120" i="22" s="1"/>
  <c r="D133" i="72" s="1"/>
  <c r="R33" i="22"/>
  <c r="BB89" i="22" s="1"/>
  <c r="Q22" i="22"/>
  <c r="BA82" i="22" s="1"/>
  <c r="R83" i="22"/>
  <c r="Q78" i="22"/>
  <c r="BA133" i="22" s="1"/>
  <c r="R52" i="22"/>
  <c r="BB46" i="22" s="1"/>
  <c r="Q43" i="22"/>
  <c r="BA40" i="22" s="1"/>
  <c r="Q38" i="22"/>
  <c r="BA37" i="22" s="1"/>
  <c r="R55" i="22"/>
  <c r="R81" i="22"/>
  <c r="Q86" i="22"/>
  <c r="Q91" i="22"/>
  <c r="BA134" i="22" s="1"/>
  <c r="Q10" i="22"/>
  <c r="BA111" i="22" s="1"/>
  <c r="Q99" i="22"/>
  <c r="BA59" i="22" s="1"/>
  <c r="Q30" i="22"/>
  <c r="BA87" i="22" s="1"/>
  <c r="Q34" i="22"/>
  <c r="R98" i="22"/>
  <c r="BB58" i="22" s="1"/>
  <c r="Q97" i="22"/>
  <c r="BA57" i="22" s="1"/>
  <c r="Q98" i="22"/>
  <c r="BA58" i="22" s="1"/>
  <c r="R79" i="22"/>
  <c r="R49" i="22"/>
  <c r="BB44" i="22" s="1"/>
  <c r="R16" i="22"/>
  <c r="BB31" i="22" s="1"/>
  <c r="Q46" i="22"/>
  <c r="BA43" i="22" s="1"/>
  <c r="R23" i="22"/>
  <c r="BB33" i="22" s="1"/>
  <c r="R67" i="22"/>
  <c r="Q13" i="22"/>
  <c r="BA114" i="22" s="1"/>
  <c r="Q85" i="22"/>
  <c r="BA50" i="22" s="1"/>
  <c r="R47" i="22"/>
  <c r="BB90" i="22" s="1"/>
  <c r="D102" i="72" s="1"/>
  <c r="BA6" i="22" l="1"/>
  <c r="BB146" i="22"/>
  <c r="BA146" i="22"/>
  <c r="BA10" i="22"/>
  <c r="D131" i="72"/>
  <c r="BB18" i="22"/>
  <c r="D26" i="72" s="1"/>
  <c r="BA7" i="22"/>
  <c r="BB8" i="22"/>
  <c r="D16" i="72" s="1"/>
  <c r="BB7" i="22"/>
  <c r="D15" i="72" s="1"/>
  <c r="BA16" i="22"/>
  <c r="BA17" i="22"/>
  <c r="BA15" i="22"/>
  <c r="BA14" i="22"/>
  <c r="BA11" i="22"/>
  <c r="BA8" i="22"/>
  <c r="BA12" i="22"/>
  <c r="BA18" i="22"/>
  <c r="BB11" i="22"/>
  <c r="D19" i="72" s="1"/>
  <c r="BA19" i="22"/>
  <c r="BB10" i="22"/>
  <c r="D18" i="72" s="1"/>
  <c r="BB12" i="22"/>
  <c r="D20" i="72" s="1"/>
  <c r="BB6" i="22"/>
  <c r="D14" i="72" s="1"/>
  <c r="BB19" i="22"/>
  <c r="BB14" i="22"/>
  <c r="D22" i="72" s="1"/>
  <c r="BB17" i="22"/>
  <c r="D25" i="72" s="1"/>
  <c r="BA124" i="22"/>
  <c r="BA123" i="22"/>
  <c r="BB124" i="22"/>
  <c r="D137" i="72" s="1"/>
  <c r="BB123" i="22"/>
  <c r="D136" i="72" s="1"/>
  <c r="BB126" i="22"/>
  <c r="D139" i="72" s="1"/>
  <c r="BA94" i="22"/>
  <c r="BB94" i="22"/>
  <c r="BA126" i="22"/>
  <c r="BB83" i="22"/>
  <c r="BE83" i="22" s="1"/>
  <c r="BF83" i="22" s="1"/>
  <c r="BB16" i="22"/>
  <c r="BE78" i="22"/>
  <c r="BE90" i="22"/>
  <c r="BB80" i="22"/>
  <c r="BE80" i="22" s="1"/>
  <c r="BF80" i="22" s="1"/>
  <c r="BB115" i="22"/>
  <c r="BB82" i="22"/>
  <c r="BE82" i="22" s="1"/>
  <c r="BF82" i="22" s="1"/>
  <c r="BB15" i="22"/>
  <c r="D23" i="72" s="1"/>
  <c r="BB81" i="22"/>
  <c r="BE81" i="22" s="1"/>
  <c r="BF81" i="22" s="1"/>
  <c r="BB79" i="22"/>
  <c r="BB85" i="22"/>
  <c r="BE85" i="22" s="1"/>
  <c r="BF85" i="22" s="1"/>
  <c r="BE130" i="22"/>
  <c r="F107" i="72" s="1"/>
  <c r="BE117" i="22"/>
  <c r="F130" i="72" s="1"/>
  <c r="BE51" i="22"/>
  <c r="BE118" i="22"/>
  <c r="BE128" i="22"/>
  <c r="F142" i="72" s="1"/>
  <c r="BE121" i="22"/>
  <c r="F134" i="72" s="1"/>
  <c r="BE122" i="22"/>
  <c r="F135" i="72" s="1"/>
  <c r="E39" i="36"/>
  <c r="AO5" i="22"/>
  <c r="AO11" i="22"/>
  <c r="AO9" i="22"/>
  <c r="AO7" i="22"/>
  <c r="AP7" i="22"/>
  <c r="AO6" i="22"/>
  <c r="AO8" i="22"/>
  <c r="AP8" i="22"/>
  <c r="AP9" i="22"/>
  <c r="AN4" i="22"/>
  <c r="F39" i="36" s="1"/>
  <c r="BE84" i="22"/>
  <c r="BF84" i="22" s="1"/>
  <c r="AP6" i="22"/>
  <c r="BE155" i="22"/>
  <c r="BF155" i="22" s="1"/>
  <c r="BE47" i="22"/>
  <c r="D60" i="72"/>
  <c r="AE30" i="22"/>
  <c r="AE10" i="22"/>
  <c r="AE91" i="22"/>
  <c r="AE38" i="22"/>
  <c r="AF83" i="22"/>
  <c r="AF33" i="22"/>
  <c r="AF17" i="22"/>
  <c r="AF96" i="22"/>
  <c r="AE65" i="22"/>
  <c r="AF58" i="22"/>
  <c r="BE153" i="22"/>
  <c r="BF153" i="22" s="1"/>
  <c r="AF64" i="22"/>
  <c r="BE152" i="22"/>
  <c r="BF152" i="22" s="1"/>
  <c r="AF62" i="22"/>
  <c r="AE12" i="22"/>
  <c r="AE76" i="22"/>
  <c r="AE66" i="22"/>
  <c r="AF51" i="22"/>
  <c r="AF40" i="22"/>
  <c r="AE88" i="22"/>
  <c r="AE75" i="22"/>
  <c r="BE154" i="22"/>
  <c r="BF154" i="22" s="1"/>
  <c r="AF76" i="22"/>
  <c r="AE68" i="22"/>
  <c r="AE70" i="22"/>
  <c r="AF15" i="22"/>
  <c r="AF27" i="22"/>
  <c r="AE62" i="22"/>
  <c r="AE36" i="22"/>
  <c r="AF36" i="22"/>
  <c r="AE92" i="22"/>
  <c r="AE19" i="22"/>
  <c r="AE73" i="22"/>
  <c r="AF93" i="22"/>
  <c r="AF70" i="22"/>
  <c r="AE96" i="22"/>
  <c r="AF66" i="22"/>
  <c r="AE48" i="22"/>
  <c r="AE42" i="22"/>
  <c r="AE83" i="22"/>
  <c r="AE24" i="22"/>
  <c r="AF20" i="22"/>
  <c r="AF75" i="22"/>
  <c r="AF67" i="22"/>
  <c r="AF79" i="22"/>
  <c r="AE97" i="22"/>
  <c r="AE93" i="22"/>
  <c r="AE60" i="22"/>
  <c r="AF22" i="22"/>
  <c r="AE90" i="22"/>
  <c r="AF32" i="22"/>
  <c r="AF19" i="22"/>
  <c r="AE6" i="22"/>
  <c r="AF26" i="22"/>
  <c r="AE51" i="22"/>
  <c r="AE53" i="22"/>
  <c r="AE81" i="22"/>
  <c r="AF59" i="22"/>
  <c r="AF31" i="22"/>
  <c r="AE21" i="22"/>
  <c r="AF6" i="22"/>
  <c r="AE84" i="22"/>
  <c r="AF71" i="22"/>
  <c r="AE61" i="22"/>
  <c r="AE74" i="22"/>
  <c r="AE35" i="22"/>
  <c r="AE33" i="22"/>
  <c r="AF77" i="22"/>
  <c r="AF8" i="22"/>
  <c r="AE37" i="22"/>
  <c r="AF9" i="22"/>
  <c r="AF41" i="22"/>
  <c r="AF85" i="22"/>
  <c r="AF13" i="22"/>
  <c r="AF65" i="22"/>
  <c r="AF54" i="22"/>
  <c r="AE94" i="22"/>
  <c r="AE89" i="22"/>
  <c r="AE32" i="22"/>
  <c r="AE54" i="22"/>
  <c r="AE50" i="22"/>
  <c r="AE85" i="22"/>
  <c r="AE20" i="22"/>
  <c r="AE55" i="22"/>
  <c r="AF98" i="22"/>
  <c r="AE34" i="22"/>
  <c r="AE99" i="22"/>
  <c r="AF55" i="22"/>
  <c r="AE43" i="22"/>
  <c r="AE78" i="22"/>
  <c r="AE47" i="22"/>
  <c r="AE41" i="22"/>
  <c r="AF68" i="22"/>
  <c r="AE25" i="22"/>
  <c r="AE71" i="22"/>
  <c r="BE5" i="22"/>
  <c r="AF18" i="22"/>
  <c r="AF60" i="22"/>
  <c r="AE29" i="22"/>
  <c r="AE56" i="22"/>
  <c r="AE18" i="22"/>
  <c r="AE39" i="22"/>
  <c r="AE15" i="22"/>
  <c r="AE57" i="22"/>
  <c r="AE59" i="22"/>
  <c r="AF39" i="22"/>
  <c r="AE40" i="22"/>
  <c r="AE23" i="22"/>
  <c r="AF35" i="22"/>
  <c r="AE17" i="22"/>
  <c r="AE27" i="22"/>
  <c r="AF89" i="22"/>
  <c r="AF87" i="22"/>
  <c r="AF72" i="22"/>
  <c r="AF73" i="22"/>
  <c r="AE9" i="22"/>
  <c r="AE77" i="22"/>
  <c r="AF86" i="22"/>
  <c r="AE26" i="22"/>
  <c r="AF82" i="22"/>
  <c r="AF63" i="22"/>
  <c r="AF90" i="22"/>
  <c r="AE87" i="22"/>
  <c r="AF92" i="22"/>
  <c r="AE44" i="22"/>
  <c r="AF21" i="22"/>
  <c r="AF11" i="22"/>
  <c r="AE49" i="22"/>
  <c r="AE52" i="22"/>
  <c r="AF29" i="22"/>
  <c r="AF45" i="22"/>
  <c r="AE69" i="22"/>
  <c r="AF5" i="22"/>
  <c r="AF24" i="22"/>
  <c r="AF23" i="22"/>
  <c r="AF16" i="22"/>
  <c r="AE86" i="22"/>
  <c r="AF91" i="22"/>
  <c r="AF47" i="22"/>
  <c r="AE13" i="22"/>
  <c r="AE46" i="22"/>
  <c r="AF49" i="22"/>
  <c r="AE98" i="22"/>
  <c r="AF81" i="22"/>
  <c r="AF52" i="22"/>
  <c r="AE22" i="22"/>
  <c r="AF53" i="22"/>
  <c r="AE8" i="22"/>
  <c r="AE14" i="22"/>
  <c r="AF43" i="22"/>
  <c r="AF84" i="22"/>
  <c r="AF38" i="22"/>
  <c r="AE63" i="22"/>
  <c r="R4" i="22"/>
  <c r="BB77" i="22" s="1"/>
  <c r="AF34" i="22"/>
  <c r="AF28" i="22"/>
  <c r="AF74" i="22"/>
  <c r="AE16" i="22"/>
  <c r="AE95" i="22"/>
  <c r="AE31" i="22"/>
  <c r="AF95" i="22"/>
  <c r="AF69" i="22"/>
  <c r="AE64" i="22"/>
  <c r="AF46" i="22"/>
  <c r="AF10" i="22"/>
  <c r="AE82" i="22"/>
  <c r="AE45" i="22"/>
  <c r="AF78" i="22"/>
  <c r="AF94" i="22"/>
  <c r="AF88" i="22"/>
  <c r="AF44" i="22"/>
  <c r="AE11" i="22"/>
  <c r="AF37" i="22"/>
  <c r="AE67" i="22"/>
  <c r="AE58" i="22"/>
  <c r="AF42" i="22"/>
  <c r="AF61" i="22"/>
  <c r="AF56" i="22"/>
  <c r="AF99" i="22"/>
  <c r="AE7" i="22"/>
  <c r="AE79" i="22"/>
  <c r="AF57" i="22"/>
  <c r="AE28" i="22"/>
  <c r="AE72" i="22"/>
  <c r="AF30" i="22"/>
  <c r="AE5" i="22"/>
  <c r="AF12" i="22"/>
  <c r="AF14" i="22"/>
  <c r="BE115" i="22" l="1"/>
  <c r="D128" i="72"/>
  <c r="BE146" i="22"/>
  <c r="D140" i="72"/>
  <c r="BE18" i="22"/>
  <c r="BF18" i="22" s="1"/>
  <c r="G26" i="72" s="1"/>
  <c r="F131" i="72"/>
  <c r="BE123" i="22"/>
  <c r="F136" i="72" s="1"/>
  <c r="BF128" i="22"/>
  <c r="BF122" i="22"/>
  <c r="BF51" i="22"/>
  <c r="G62" i="72" s="1"/>
  <c r="F62" i="72"/>
  <c r="BE7" i="22"/>
  <c r="F15" i="72" s="1"/>
  <c r="BE8" i="22"/>
  <c r="BF8" i="22" s="1"/>
  <c r="G16" i="72" s="1"/>
  <c r="BE6" i="22"/>
  <c r="F14" i="72" s="1"/>
  <c r="BE17" i="22"/>
  <c r="BF17" i="22" s="1"/>
  <c r="G25" i="72" s="1"/>
  <c r="BE10" i="22"/>
  <c r="BF10" i="22" s="1"/>
  <c r="G18" i="72" s="1"/>
  <c r="BE12" i="22"/>
  <c r="BF12" i="22" s="1"/>
  <c r="G20" i="72" s="1"/>
  <c r="BE11" i="22"/>
  <c r="F19" i="72" s="1"/>
  <c r="BE14" i="22"/>
  <c r="BF14" i="22" s="1"/>
  <c r="G22" i="72" s="1"/>
  <c r="BE19" i="22"/>
  <c r="D27" i="72"/>
  <c r="BE16" i="22"/>
  <c r="D24" i="72"/>
  <c r="BF5" i="22"/>
  <c r="G13" i="72" s="1"/>
  <c r="F13" i="72"/>
  <c r="BE15" i="22"/>
  <c r="F23" i="72" s="1"/>
  <c r="BF118" i="22"/>
  <c r="BF130" i="22"/>
  <c r="BF90" i="22"/>
  <c r="F102" i="72"/>
  <c r="BF121" i="22"/>
  <c r="BF78" i="22"/>
  <c r="F90" i="72"/>
  <c r="BE79" i="22"/>
  <c r="D91" i="72"/>
  <c r="BF117" i="22"/>
  <c r="D92" i="72"/>
  <c r="AZ57" i="22"/>
  <c r="AN11" i="22"/>
  <c r="F46" i="36" s="1"/>
  <c r="F65" i="36"/>
  <c r="H65" i="36" s="1"/>
  <c r="AP4" i="22"/>
  <c r="E77" i="36"/>
  <c r="AO4" i="22"/>
  <c r="R97" i="22"/>
  <c r="BB57" i="22" s="1"/>
  <c r="D58" i="72"/>
  <c r="BE77" i="22"/>
  <c r="BF77" i="22" s="1"/>
  <c r="BE49" i="22"/>
  <c r="BF49" i="22" s="1"/>
  <c r="G60" i="72" s="1"/>
  <c r="F92" i="72"/>
  <c r="BE145" i="22"/>
  <c r="F158" i="72" s="1"/>
  <c r="D99" i="72"/>
  <c r="BE87" i="22"/>
  <c r="D56" i="72"/>
  <c r="BE45" i="22"/>
  <c r="D53" i="72"/>
  <c r="BE42" i="22"/>
  <c r="D50" i="72"/>
  <c r="BE39" i="22"/>
  <c r="BE112" i="22"/>
  <c r="F125" i="72" s="1"/>
  <c r="D70" i="72"/>
  <c r="BE124" i="22"/>
  <c r="F137" i="72" s="1"/>
  <c r="BE127" i="22"/>
  <c r="F141" i="72" s="1"/>
  <c r="D64" i="72"/>
  <c r="BE53" i="22"/>
  <c r="BE114" i="22"/>
  <c r="F127" i="72" s="1"/>
  <c r="D51" i="72"/>
  <c r="BE40" i="22"/>
  <c r="D66" i="72"/>
  <c r="BE55" i="22"/>
  <c r="D100" i="72"/>
  <c r="BE88" i="22"/>
  <c r="D47" i="72"/>
  <c r="BE36" i="22"/>
  <c r="D94" i="72"/>
  <c r="F58" i="72"/>
  <c r="BF47" i="22"/>
  <c r="G58" i="72" s="1"/>
  <c r="D96" i="72"/>
  <c r="D57" i="72"/>
  <c r="BE46" i="22"/>
  <c r="D55" i="72"/>
  <c r="BE44" i="22"/>
  <c r="D105" i="72"/>
  <c r="BE93" i="22"/>
  <c r="D106" i="72"/>
  <c r="BE94" i="22"/>
  <c r="BE116" i="22"/>
  <c r="F129" i="72" s="1"/>
  <c r="D109" i="72"/>
  <c r="BE96" i="22"/>
  <c r="D48" i="72"/>
  <c r="BE37" i="22"/>
  <c r="D104" i="72"/>
  <c r="BE92" i="22"/>
  <c r="D61" i="72"/>
  <c r="BE50" i="22"/>
  <c r="D103" i="72"/>
  <c r="BE91" i="22"/>
  <c r="D41" i="72"/>
  <c r="BE30" i="22"/>
  <c r="D110" i="72"/>
  <c r="BE97" i="22"/>
  <c r="BE120" i="22"/>
  <c r="F133" i="72" s="1"/>
  <c r="D63" i="72"/>
  <c r="BE52" i="22"/>
  <c r="D59" i="72"/>
  <c r="BE48" i="22"/>
  <c r="AE4" i="22"/>
  <c r="D65" i="72"/>
  <c r="BE54" i="22"/>
  <c r="D52" i="72"/>
  <c r="BE41" i="22"/>
  <c r="AF4" i="22"/>
  <c r="D93" i="72"/>
  <c r="D108" i="72"/>
  <c r="BE95" i="22"/>
  <c r="BE129" i="22"/>
  <c r="F143" i="72" s="1"/>
  <c r="D67" i="72"/>
  <c r="BE56" i="22"/>
  <c r="BE133" i="22"/>
  <c r="F146" i="72" s="1"/>
  <c r="D46" i="72"/>
  <c r="BE35" i="22"/>
  <c r="D44" i="72"/>
  <c r="BE33" i="22"/>
  <c r="D54" i="72"/>
  <c r="BE43" i="22"/>
  <c r="BE111" i="22"/>
  <c r="F124" i="72" s="1"/>
  <c r="BE113" i="22"/>
  <c r="F126" i="72" s="1"/>
  <c r="D69" i="72"/>
  <c r="BE58" i="22"/>
  <c r="D97" i="72"/>
  <c r="D49" i="72"/>
  <c r="BE38" i="22"/>
  <c r="BE131" i="22"/>
  <c r="F144" i="72" s="1"/>
  <c r="BE134" i="22"/>
  <c r="F147" i="72" s="1"/>
  <c r="D42" i="72"/>
  <c r="BE31" i="22"/>
  <c r="D95" i="72"/>
  <c r="D98" i="72"/>
  <c r="BE86" i="22"/>
  <c r="BE119" i="22"/>
  <c r="F132" i="72" s="1"/>
  <c r="BE126" i="22"/>
  <c r="F139" i="72" s="1"/>
  <c r="BE132" i="22"/>
  <c r="F145" i="72" s="1"/>
  <c r="BE125" i="22"/>
  <c r="F138" i="72" s="1"/>
  <c r="D43" i="72"/>
  <c r="BE32" i="22"/>
  <c r="D101" i="72"/>
  <c r="BE89" i="22"/>
  <c r="AF50" i="22"/>
  <c r="AF48" i="22"/>
  <c r="BF115" i="22" l="1"/>
  <c r="F128" i="72"/>
  <c r="BF146" i="22"/>
  <c r="F140" i="72"/>
  <c r="BF7" i="22"/>
  <c r="G15" i="72" s="1"/>
  <c r="F26" i="72"/>
  <c r="BF123" i="22"/>
  <c r="F16" i="72"/>
  <c r="F25" i="72"/>
  <c r="BF6" i="22"/>
  <c r="G14" i="72" s="1"/>
  <c r="BF11" i="22"/>
  <c r="G19" i="72" s="1"/>
  <c r="F22" i="72"/>
  <c r="F18" i="72"/>
  <c r="F20" i="72"/>
  <c r="BF19" i="22"/>
  <c r="G27" i="72" s="1"/>
  <c r="F27" i="72"/>
  <c r="BF16" i="22"/>
  <c r="G24" i="72" s="1"/>
  <c r="F24" i="72"/>
  <c r="BF15" i="22"/>
  <c r="G23" i="72" s="1"/>
  <c r="BF79" i="22"/>
  <c r="F91" i="72"/>
  <c r="F77" i="36"/>
  <c r="AP11" i="22"/>
  <c r="AF97" i="22"/>
  <c r="F60" i="72"/>
  <c r="F101" i="72"/>
  <c r="BF89" i="22"/>
  <c r="BF132" i="22"/>
  <c r="BF119" i="22"/>
  <c r="F95" i="72"/>
  <c r="BF134" i="22"/>
  <c r="BF38" i="22"/>
  <c r="G49" i="72" s="1"/>
  <c r="F49" i="72"/>
  <c r="BF113" i="22"/>
  <c r="F46" i="72"/>
  <c r="BF35" i="22"/>
  <c r="G46" i="72" s="1"/>
  <c r="BF133" i="22"/>
  <c r="BF129" i="22"/>
  <c r="F108" i="72"/>
  <c r="BF95" i="22"/>
  <c r="F52" i="72"/>
  <c r="BF41" i="22"/>
  <c r="G52" i="72" s="1"/>
  <c r="BF48" i="22"/>
  <c r="G59" i="72" s="1"/>
  <c r="F59" i="72"/>
  <c r="BF120" i="22"/>
  <c r="BF97" i="22"/>
  <c r="F110" i="72"/>
  <c r="BF91" i="22"/>
  <c r="F103" i="72"/>
  <c r="G102" i="72" s="1"/>
  <c r="BF92" i="22"/>
  <c r="F104" i="72"/>
  <c r="G104" i="72" s="1"/>
  <c r="BF96" i="22"/>
  <c r="F109" i="72"/>
  <c r="F106" i="72"/>
  <c r="BF94" i="22"/>
  <c r="F94" i="72"/>
  <c r="BF88" i="22"/>
  <c r="F100" i="72"/>
  <c r="BF55" i="22"/>
  <c r="G66" i="72" s="1"/>
  <c r="F66" i="72"/>
  <c r="BF114" i="22"/>
  <c r="BF127" i="22"/>
  <c r="G70" i="72"/>
  <c r="F70" i="72"/>
  <c r="BF39" i="22"/>
  <c r="G50" i="72" s="1"/>
  <c r="F50" i="72"/>
  <c r="F53" i="72"/>
  <c r="BF42" i="22"/>
  <c r="G53" i="72" s="1"/>
  <c r="D89" i="72"/>
  <c r="D114" i="72" s="1"/>
  <c r="F43" i="72"/>
  <c r="BF32" i="22"/>
  <c r="G43" i="72" s="1"/>
  <c r="BF125" i="22"/>
  <c r="BF126" i="22"/>
  <c r="F98" i="72"/>
  <c r="BF86" i="22"/>
  <c r="BF31" i="22"/>
  <c r="G42" i="72" s="1"/>
  <c r="F42" i="72"/>
  <c r="BF131" i="22"/>
  <c r="F97" i="72"/>
  <c r="BF58" i="22"/>
  <c r="G69" i="72" s="1"/>
  <c r="F69" i="72"/>
  <c r="BF111" i="22"/>
  <c r="BF43" i="22"/>
  <c r="G54" i="72" s="1"/>
  <c r="F54" i="72"/>
  <c r="BF33" i="22"/>
  <c r="G44" i="72" s="1"/>
  <c r="F44" i="72"/>
  <c r="F67" i="72"/>
  <c r="BF56" i="22"/>
  <c r="G67" i="72" s="1"/>
  <c r="F93" i="72"/>
  <c r="BF54" i="22"/>
  <c r="G65" i="72" s="1"/>
  <c r="F65" i="72"/>
  <c r="F63" i="72"/>
  <c r="BF52" i="22"/>
  <c r="G63" i="72" s="1"/>
  <c r="F41" i="72"/>
  <c r="BF30" i="22"/>
  <c r="G41" i="72" s="1"/>
  <c r="F61" i="72"/>
  <c r="BF50" i="22"/>
  <c r="G61" i="72" s="1"/>
  <c r="BF37" i="22"/>
  <c r="G48" i="72" s="1"/>
  <c r="F48" i="72"/>
  <c r="BF116" i="22"/>
  <c r="F105" i="72"/>
  <c r="BF93" i="22"/>
  <c r="BF44" i="22"/>
  <c r="G55" i="72" s="1"/>
  <c r="F55" i="72"/>
  <c r="F57" i="72"/>
  <c r="BF46" i="22"/>
  <c r="G57" i="72" s="1"/>
  <c r="F96" i="72"/>
  <c r="F47" i="72"/>
  <c r="BF36" i="22"/>
  <c r="G47" i="72" s="1"/>
  <c r="BF40" i="22"/>
  <c r="G51" i="72" s="1"/>
  <c r="F51" i="72"/>
  <c r="BF53" i="22"/>
  <c r="G64" i="72" s="1"/>
  <c r="F64" i="72"/>
  <c r="BF124" i="22"/>
  <c r="BF112" i="22"/>
  <c r="BF45" i="22"/>
  <c r="G56" i="72" s="1"/>
  <c r="F56" i="72"/>
  <c r="BF87" i="22"/>
  <c r="F99" i="72"/>
  <c r="BF145" i="22"/>
  <c r="G105" i="72" l="1"/>
  <c r="G96" i="72"/>
  <c r="G93" i="72"/>
  <c r="G108" i="72"/>
  <c r="D68" i="72"/>
  <c r="BE57" i="22"/>
  <c r="F89" i="72"/>
  <c r="G89" i="72" s="1"/>
  <c r="J88" i="72" l="1"/>
  <c r="J89" i="72"/>
  <c r="BF57" i="22"/>
  <c r="F68" i="72"/>
  <c r="F114" i="72"/>
  <c r="G68" i="72" l="1"/>
  <c r="AF93" i="11" l="1"/>
  <c r="G80" i="22"/>
  <c r="O80" i="22" s="1"/>
  <c r="AY13" i="22" s="1"/>
  <c r="AC93" i="11"/>
  <c r="H80" i="22"/>
  <c r="AD93" i="11" l="1"/>
  <c r="X259" i="11"/>
  <c r="D31" i="36" s="1"/>
  <c r="AY9" i="22"/>
  <c r="P80" i="22"/>
  <c r="F64" i="36"/>
  <c r="AK11" i="11" a="1"/>
  <c r="AK11" i="11" s="1"/>
  <c r="AQ93" i="11" l="1"/>
  <c r="AQ259" i="11" s="1"/>
  <c r="G5" i="72" s="1"/>
  <c r="J25" i="22"/>
  <c r="AX34" i="22" s="1"/>
  <c r="AZ13" i="22"/>
  <c r="N83" i="32"/>
  <c r="Q259" i="11"/>
  <c r="AZ9" i="22"/>
  <c r="AN10" i="22"/>
  <c r="F45" i="36" s="1"/>
  <c r="AM10" i="22"/>
  <c r="E45" i="36" s="1"/>
  <c r="E64" i="36"/>
  <c r="G64" i="36" s="1"/>
  <c r="AK12" i="11" a="1"/>
  <c r="AK12" i="11" s="1"/>
  <c r="AK13" i="11" s="1" a="1"/>
  <c r="AK13" i="11" s="1"/>
  <c r="AK14" i="11" s="1" a="1"/>
  <c r="AK14" i="11" s="1"/>
  <c r="Q80" i="22"/>
  <c r="I80" i="22"/>
  <c r="BG13" i="22" s="1"/>
  <c r="H8" i="73" l="1"/>
  <c r="H28" i="73" s="1"/>
  <c r="H32" i="73" s="1"/>
  <c r="D22" i="36"/>
  <c r="BA9" i="22"/>
  <c r="BA13" i="22"/>
  <c r="AL5" i="22"/>
  <c r="R25" i="22"/>
  <c r="AO10" i="22"/>
  <c r="AK15" i="11" a="1"/>
  <c r="AK15" i="11" s="1"/>
  <c r="AK16" i="11" s="1" a="1"/>
  <c r="AK16" i="11" s="1"/>
  <c r="BG9" i="22"/>
  <c r="J80" i="22"/>
  <c r="AX13" i="22" s="1"/>
  <c r="AE80" i="22"/>
  <c r="H16" i="73" l="1"/>
  <c r="H10" i="36"/>
  <c r="H14" i="36"/>
  <c r="BB34" i="22"/>
  <c r="AP5" i="22"/>
  <c r="AF25" i="22"/>
  <c r="AL10" i="22"/>
  <c r="D64" i="36"/>
  <c r="H64" i="36" s="1"/>
  <c r="AK17" i="11" a="1"/>
  <c r="AK17" i="11" s="1"/>
  <c r="AK18" i="11" s="1" a="1"/>
  <c r="AK18" i="11" s="1"/>
  <c r="R80" i="22"/>
  <c r="BB9" i="22" l="1"/>
  <c r="D17" i="72" s="1"/>
  <c r="BB13" i="22"/>
  <c r="BE34" i="22"/>
  <c r="D45" i="72"/>
  <c r="D82" i="72" s="1"/>
  <c r="AP10" i="22"/>
  <c r="AK19" i="11" a="1"/>
  <c r="AK19" i="11" s="1"/>
  <c r="AK20" i="11" s="1" a="1"/>
  <c r="AK20" i="11" s="1"/>
  <c r="AF80" i="22"/>
  <c r="BE9" i="22" l="1"/>
  <c r="BF9" i="22" s="1"/>
  <c r="G17" i="72" s="1"/>
  <c r="D21" i="72"/>
  <c r="D33" i="72" s="1"/>
  <c r="BE13" i="22"/>
  <c r="BF34" i="22"/>
  <c r="G45" i="72" s="1"/>
  <c r="F45" i="72"/>
  <c r="AK21" i="11" a="1"/>
  <c r="AK21" i="11" s="1"/>
  <c r="F82" i="72" l="1"/>
  <c r="J40" i="72"/>
  <c r="G82" i="72"/>
  <c r="F17" i="72"/>
  <c r="BF13" i="22"/>
  <c r="G21" i="72" s="1"/>
  <c r="F21" i="72"/>
  <c r="AK22" i="11" a="1"/>
  <c r="AK22" i="11" s="1"/>
  <c r="J12" i="72" l="1"/>
  <c r="J90" i="72" s="1"/>
  <c r="J91" i="72" s="1"/>
  <c r="J41" i="72"/>
  <c r="G6" i="72" s="1"/>
  <c r="F33" i="72"/>
  <c r="G33" i="72"/>
  <c r="I13" i="72" s="1"/>
  <c r="AK23" i="11" a="1"/>
  <c r="AK23" i="11" s="1"/>
  <c r="G7" i="72" l="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7" i="36" s="1"/>
  <c r="D48" i="36"/>
  <c r="C41" i="36"/>
  <c r="C79" i="36" s="1"/>
  <c r="D39" i="36"/>
  <c r="C48" i="36"/>
  <c r="C86" i="36" s="1"/>
  <c r="C45" i="36"/>
  <c r="C83" i="36" s="1"/>
  <c r="D46" i="36"/>
  <c r="D84" i="36" s="1"/>
  <c r="D42" i="36"/>
  <c r="D47" i="36"/>
  <c r="C43" i="36"/>
  <c r="C81" i="36" s="1"/>
  <c r="C46" i="36"/>
  <c r="C84" i="36" s="1"/>
  <c r="C50" i="36"/>
  <c r="C88" i="36" s="1"/>
  <c r="C47" i="36"/>
  <c r="C85" i="36" s="1"/>
  <c r="C44" i="36"/>
  <c r="C82" i="36" s="1"/>
  <c r="D49" i="36"/>
  <c r="C42" i="36"/>
  <c r="C80" i="36" s="1"/>
  <c r="C39" i="36"/>
  <c r="D44" i="36"/>
  <c r="D43" i="36"/>
  <c r="D50" i="36"/>
  <c r="D88" i="36" s="1"/>
  <c r="D41" i="36"/>
  <c r="C40" i="36"/>
  <c r="C78" i="36" s="1"/>
  <c r="D40" i="36"/>
  <c r="D45" i="36"/>
  <c r="C77" i="36" l="1"/>
  <c r="G39" i="36"/>
  <c r="F80" i="36"/>
  <c r="H42" i="36"/>
  <c r="F87" i="36"/>
  <c r="H49" i="36"/>
  <c r="G44" i="36"/>
  <c r="E82" i="36"/>
  <c r="D85" i="36"/>
  <c r="F83" i="36"/>
  <c r="H45" i="36"/>
  <c r="E81" i="36"/>
  <c r="G43" i="36"/>
  <c r="H48" i="36"/>
  <c r="F86" i="36"/>
  <c r="D86" i="36"/>
  <c r="D83" i="36"/>
  <c r="E83" i="36"/>
  <c r="G45" i="36"/>
  <c r="D81" i="36"/>
  <c r="E88" i="36"/>
  <c r="G50" i="36"/>
  <c r="H43" i="36"/>
  <c r="F81" i="36"/>
  <c r="E84" i="36"/>
  <c r="G46" i="36"/>
  <c r="F85" i="36"/>
  <c r="H47" i="36"/>
  <c r="D78" i="36"/>
  <c r="D79" i="36"/>
  <c r="F79" i="36"/>
  <c r="H41" i="36"/>
  <c r="D82" i="36"/>
  <c r="D87" i="36"/>
  <c r="H44" i="36"/>
  <c r="F82" i="36"/>
  <c r="F84" i="36"/>
  <c r="H46" i="36"/>
  <c r="E80" i="36"/>
  <c r="G42" i="36"/>
  <c r="E85" i="36"/>
  <c r="G47" i="36"/>
  <c r="F88" i="36"/>
  <c r="H50" i="36"/>
  <c r="H40" i="36"/>
  <c r="F78" i="36"/>
  <c r="G40" i="36"/>
  <c r="E78" i="36"/>
  <c r="D80" i="36"/>
  <c r="D77" i="36"/>
  <c r="H39" i="36"/>
  <c r="E79" i="36"/>
  <c r="G41" i="36"/>
  <c r="E87" i="36"/>
  <c r="G49" i="36"/>
  <c r="G48" i="36"/>
  <c r="E86" i="36"/>
  <c r="H77" i="36" l="1"/>
  <c r="H83" i="36"/>
  <c r="G82" i="36"/>
  <c r="G86" i="36"/>
  <c r="G80" i="36"/>
  <c r="H85" i="36"/>
  <c r="H80" i="36"/>
  <c r="G78" i="36"/>
  <c r="G85" i="36"/>
  <c r="G84" i="36"/>
  <c r="G88" i="36"/>
  <c r="H86" i="36"/>
  <c r="H87" i="36"/>
  <c r="G77" i="36"/>
  <c r="H88" i="36"/>
  <c r="H79" i="36"/>
  <c r="G87" i="36"/>
  <c r="H82" i="36"/>
  <c r="H81" i="36"/>
  <c r="H84" i="36"/>
  <c r="G79" i="36"/>
  <c r="H78" i="36"/>
  <c r="G81" i="36"/>
  <c r="G83" i="36"/>
  <c r="B123" i="72" l="1"/>
  <c r="BA110" i="22"/>
  <c r="BC110" i="22"/>
  <c r="AY110" i="22"/>
  <c r="AW110" i="22"/>
  <c r="AZ110" i="22"/>
  <c r="BD110" i="22"/>
  <c r="E123" i="72" s="1"/>
  <c r="BB110" i="22"/>
  <c r="D123" i="72" s="1"/>
  <c r="D159" i="72" s="1"/>
  <c r="BE110" i="22" l="1"/>
  <c r="BF110" i="22" s="1"/>
  <c r="F123" i="72" l="1"/>
  <c r="F159" i="72" s="1"/>
  <c r="J123" i="72" s="1"/>
  <c r="J124" i="72" s="1"/>
  <c r="G8" i="72" s="1"/>
  <c r="F36" i="73" s="1"/>
  <c r="H170" i="22"/>
  <c r="H168" i="22"/>
  <c r="H169" i="22"/>
  <c r="G170" i="22"/>
  <c r="H172" i="22"/>
  <c r="G172" i="22"/>
  <c r="G169" i="22"/>
  <c r="H171" i="22"/>
  <c r="G168" i="22"/>
  <c r="G171" i="22"/>
  <c r="R14" i="63"/>
  <c r="R258" i="63" s="1"/>
  <c r="H10" i="73" s="1"/>
  <c r="W14" i="63"/>
  <c r="W258" i="63" s="1"/>
  <c r="H28" i="36" s="1"/>
  <c r="F169" i="22"/>
  <c r="D163" i="36" s="1"/>
  <c r="D203" i="36" s="1"/>
  <c r="AI14" i="63"/>
  <c r="AN10" i="63" s="1" a="1"/>
  <c r="AN10" i="63" s="1"/>
  <c r="X14" i="63"/>
  <c r="X258" i="63" s="1"/>
  <c r="H30" i="36" s="1"/>
  <c r="AH14" i="63"/>
  <c r="AM10" i="63" s="1" a="1"/>
  <c r="AM10" i="63" s="1"/>
  <c r="F14" i="63"/>
  <c r="K167" i="36" s="1"/>
  <c r="L167" i="36" s="1"/>
  <c r="K165" i="36"/>
  <c r="L165" i="36" s="1"/>
  <c r="E168" i="22"/>
  <c r="C162" i="36" s="1"/>
  <c r="C202" i="36" s="1"/>
  <c r="E172" i="22"/>
  <c r="C166" i="36" s="1"/>
  <c r="C206" i="36" s="1"/>
  <c r="E169" i="22"/>
  <c r="C163" i="36" s="1"/>
  <c r="C203" i="36" s="1"/>
  <c r="E171" i="22"/>
  <c r="C165" i="36" s="1"/>
  <c r="C205" i="36" s="1"/>
  <c r="E170" i="22"/>
  <c r="C164" i="36" s="1"/>
  <c r="C204" i="36" s="1"/>
  <c r="J171" i="22"/>
  <c r="J170" i="22"/>
  <c r="J168" i="22"/>
  <c r="F170" i="22"/>
  <c r="D164" i="36" s="1"/>
  <c r="D204" i="36" s="1"/>
  <c r="J169" i="22"/>
  <c r="F168" i="22"/>
  <c r="D162" i="36" s="1"/>
  <c r="D202" i="36" s="1"/>
  <c r="F171" i="22"/>
  <c r="D165" i="36" s="1"/>
  <c r="D205" i="36" s="1"/>
  <c r="J172" i="22"/>
  <c r="F172" i="22"/>
  <c r="D166" i="36" s="1"/>
  <c r="D206" i="36" s="1"/>
  <c r="I168" i="22"/>
  <c r="I14" i="63"/>
  <c r="Q14" i="63"/>
  <c r="I171" i="22"/>
  <c r="AP14" i="63"/>
  <c r="I169" i="22"/>
  <c r="I170" i="22"/>
  <c r="I172" i="22"/>
  <c r="AM11" i="63" l="1" a="1"/>
  <c r="AM11" i="63" s="1"/>
  <c r="B12" i="65"/>
  <c r="AN11" i="63" a="1"/>
  <c r="AN11" i="63" s="1"/>
  <c r="B13" i="65" s="1"/>
  <c r="K169" i="36"/>
  <c r="L169" i="36" s="1"/>
  <c r="K163" i="36"/>
  <c r="L163" i="36" s="1"/>
  <c r="H22" i="36"/>
  <c r="G14" i="63"/>
  <c r="V14" i="63" s="1"/>
  <c r="AN12" i="63" l="1" a="1"/>
  <c r="AN12" i="63" s="1"/>
  <c r="B14" i="65" s="1"/>
  <c r="L14" i="65" s="1"/>
  <c r="M14" i="65" s="1"/>
  <c r="C12" i="65"/>
  <c r="L12" i="65"/>
  <c r="M12" i="65" s="1"/>
  <c r="AM12" i="63" a="1"/>
  <c r="AM12" i="63" s="1"/>
  <c r="AM13" i="63" s="1" a="1"/>
  <c r="AM13" i="63" s="1"/>
  <c r="V258" i="63"/>
  <c r="Y14" i="63"/>
  <c r="L13" i="65"/>
  <c r="M13" i="65" s="1"/>
  <c r="C13" i="65"/>
  <c r="C14" i="65" l="1"/>
  <c r="D14" i="65" s="1"/>
  <c r="E14" i="65" s="1"/>
  <c r="F14" i="65" s="1"/>
  <c r="G14" i="65" s="1"/>
  <c r="H14" i="65" s="1"/>
  <c r="I14" i="65" s="1"/>
  <c r="J14" i="65" s="1"/>
  <c r="K14" i="65" s="1"/>
  <c r="AN13" i="63" a="1"/>
  <c r="AN13" i="63" s="1"/>
  <c r="B15" i="65" s="1"/>
  <c r="AM14" i="63" a="1"/>
  <c r="AM14" i="63" s="1"/>
  <c r="D13" i="65"/>
  <c r="E13" i="65" s="1"/>
  <c r="F13" i="65" s="1"/>
  <c r="G13" i="65" s="1"/>
  <c r="H13" i="65" s="1"/>
  <c r="I13" i="65" s="1"/>
  <c r="J13" i="65" s="1"/>
  <c r="K13" i="65" s="1"/>
  <c r="Y258" i="63"/>
  <c r="H31" i="36" s="1"/>
  <c r="H25" i="36"/>
  <c r="D12" i="65"/>
  <c r="E12" i="65" s="1"/>
  <c r="F12" i="65" s="1"/>
  <c r="G12" i="65" s="1"/>
  <c r="H12" i="65" s="1"/>
  <c r="I12" i="65" s="1"/>
  <c r="J12" i="65" s="1"/>
  <c r="K12" i="65" s="1"/>
  <c r="N14" i="65" l="1"/>
  <c r="AE14" i="65" s="1"/>
  <c r="AH14" i="65" s="1"/>
  <c r="AN14" i="63" a="1"/>
  <c r="AN14" i="63" s="1"/>
  <c r="AN15" i="63" s="1" a="1"/>
  <c r="AN15" i="63" s="1"/>
  <c r="U13" i="65"/>
  <c r="Q13" i="65"/>
  <c r="AV13" i="65"/>
  <c r="R13" i="65"/>
  <c r="S13" i="65" s="1"/>
  <c r="O13" i="65" s="1"/>
  <c r="AE13" i="65"/>
  <c r="AH13" i="65" s="1"/>
  <c r="R12" i="65"/>
  <c r="S12" i="65" s="1"/>
  <c r="O12" i="65" s="1"/>
  <c r="Q12" i="65"/>
  <c r="AE12" i="65"/>
  <c r="AH12" i="65" s="1"/>
  <c r="U12" i="65"/>
  <c r="AV12" i="65"/>
  <c r="AM15" i="63" a="1"/>
  <c r="AM15" i="63" s="1"/>
  <c r="AM16" i="63" s="1" a="1"/>
  <c r="AM16" i="63" s="1"/>
  <c r="C15" i="65"/>
  <c r="L15" i="65"/>
  <c r="M15" i="65" s="1"/>
  <c r="AV14" i="65" l="1"/>
  <c r="U14" i="65"/>
  <c r="R14" i="65"/>
  <c r="S14" i="65" s="1"/>
  <c r="O14" i="65" s="1"/>
  <c r="P14" i="65" s="1"/>
  <c r="Y14" i="65" s="1"/>
  <c r="AB14" i="65" s="1"/>
  <c r="AC14" i="65" s="1"/>
  <c r="AD14" i="65" s="1"/>
  <c r="Q14" i="65"/>
  <c r="P13" i="65"/>
  <c r="Y13" i="65" s="1"/>
  <c r="AB13" i="65" s="1"/>
  <c r="AC13" i="65" s="1"/>
  <c r="AD13" i="65" s="1"/>
  <c r="AM13" i="65" s="1"/>
  <c r="P12" i="65"/>
  <c r="Y12" i="65" s="1"/>
  <c r="AB12" i="65" s="1"/>
  <c r="AC12" i="65" s="1"/>
  <c r="B16" i="65"/>
  <c r="L16" i="65" s="1"/>
  <c r="M16" i="65" s="1"/>
  <c r="AF14" i="65"/>
  <c r="AN16" i="63" a="1"/>
  <c r="AN16" i="63" s="1"/>
  <c r="AM17" i="63" a="1"/>
  <c r="AM17" i="63" s="1"/>
  <c r="AM14" i="65"/>
  <c r="D15" i="65"/>
  <c r="E15" i="65" s="1"/>
  <c r="F15" i="65" s="1"/>
  <c r="G15" i="65" s="1"/>
  <c r="H15" i="65" s="1"/>
  <c r="I15" i="65" s="1"/>
  <c r="J15" i="65" s="1"/>
  <c r="K15" i="65" s="1"/>
  <c r="N15" i="65"/>
  <c r="B17" i="65"/>
  <c r="AG14" i="65" l="1"/>
  <c r="AF13" i="65"/>
  <c r="AG13" i="65" s="1"/>
  <c r="C16" i="65"/>
  <c r="AN17" i="63" a="1"/>
  <c r="AN17" i="63" s="1"/>
  <c r="B19" i="65" s="1"/>
  <c r="C19" i="65" s="1"/>
  <c r="AM18" i="63" a="1"/>
  <c r="AM18" i="63" s="1"/>
  <c r="AM19" i="63" s="1" a="1"/>
  <c r="AM19" i="63" s="1"/>
  <c r="AE15" i="65"/>
  <c r="Q15" i="65"/>
  <c r="R15" i="65"/>
  <c r="S15" i="65" s="1"/>
  <c r="O15" i="65" s="1"/>
  <c r="P15" i="65" s="1"/>
  <c r="Y15" i="65" s="1"/>
  <c r="U15" i="65"/>
  <c r="AH15" i="65"/>
  <c r="AV15" i="65"/>
  <c r="B18" i="65"/>
  <c r="C17" i="65"/>
  <c r="L17" i="65"/>
  <c r="M17" i="65" s="1"/>
  <c r="N16" i="65"/>
  <c r="D16" i="65"/>
  <c r="E16" i="65" s="1"/>
  <c r="F16" i="65" s="1"/>
  <c r="G16" i="65" s="1"/>
  <c r="H16" i="65" s="1"/>
  <c r="I16" i="65" s="1"/>
  <c r="J16" i="65" s="1"/>
  <c r="K16" i="65" s="1"/>
  <c r="AD12" i="65"/>
  <c r="AM12" i="65" s="1"/>
  <c r="AF12" i="65"/>
  <c r="AG12" i="65" s="1"/>
  <c r="L19" i="65" l="1"/>
  <c r="M19" i="65" s="1"/>
  <c r="AN18" i="63" a="1"/>
  <c r="AN18" i="63" s="1"/>
  <c r="B20" i="65" s="1"/>
  <c r="AM20" i="63" a="1"/>
  <c r="AM20" i="63" s="1"/>
  <c r="AM21" i="63" s="1" a="1"/>
  <c r="AM21" i="63" s="1"/>
  <c r="N17" i="65"/>
  <c r="D17" i="65"/>
  <c r="E17" i="65" s="1"/>
  <c r="F17" i="65" s="1"/>
  <c r="G17" i="65" s="1"/>
  <c r="H17" i="65" s="1"/>
  <c r="I17" i="65" s="1"/>
  <c r="J17" i="65" s="1"/>
  <c r="K17" i="65" s="1"/>
  <c r="AB15" i="65"/>
  <c r="AC15" i="65" s="1"/>
  <c r="R16" i="65"/>
  <c r="S16" i="65" s="1"/>
  <c r="O16" i="65" s="1"/>
  <c r="Q16" i="65"/>
  <c r="AV16" i="65"/>
  <c r="U16" i="65"/>
  <c r="AE16" i="65"/>
  <c r="AH16" i="65" s="1"/>
  <c r="P16" i="65"/>
  <c r="L18" i="65"/>
  <c r="M18" i="65" s="1"/>
  <c r="C18" i="65"/>
  <c r="N19" i="65"/>
  <c r="D19" i="65"/>
  <c r="E19" i="65" s="1"/>
  <c r="F19" i="65" s="1"/>
  <c r="G19" i="65" s="1"/>
  <c r="H19" i="65" s="1"/>
  <c r="I19" i="65" s="1"/>
  <c r="J19" i="65" s="1"/>
  <c r="K19" i="65" s="1"/>
  <c r="Y16" i="65" l="1"/>
  <c r="AB16" i="65" s="1"/>
  <c r="AC16" i="65" s="1"/>
  <c r="AD16" i="65" s="1"/>
  <c r="L20" i="65"/>
  <c r="M20" i="65" s="1"/>
  <c r="C20" i="65"/>
  <c r="AN19" i="63" a="1"/>
  <c r="AN19" i="63" s="1"/>
  <c r="AM22" i="63" a="1"/>
  <c r="AM22" i="63" s="1"/>
  <c r="AF16" i="65"/>
  <c r="R19" i="65"/>
  <c r="S19" i="65" s="1"/>
  <c r="O19" i="65" s="1"/>
  <c r="P19" i="65" s="1"/>
  <c r="Y19" i="65" s="1"/>
  <c r="AB19" i="65" s="1"/>
  <c r="AC19" i="65" s="1"/>
  <c r="AD19" i="65" s="1"/>
  <c r="Q19" i="65"/>
  <c r="AV19" i="65"/>
  <c r="AE19" i="65"/>
  <c r="AH19" i="65" s="1"/>
  <c r="U19" i="65"/>
  <c r="N18" i="65"/>
  <c r="D18" i="65"/>
  <c r="E18" i="65" s="1"/>
  <c r="F18" i="65" s="1"/>
  <c r="G18" i="65" s="1"/>
  <c r="H18" i="65" s="1"/>
  <c r="I18" i="65" s="1"/>
  <c r="J18" i="65" s="1"/>
  <c r="K18" i="65" s="1"/>
  <c r="AM16" i="65"/>
  <c r="AD15" i="65"/>
  <c r="AM15" i="65" s="1"/>
  <c r="AF15" i="65"/>
  <c r="AG15" i="65" s="1"/>
  <c r="U17" i="65"/>
  <c r="R17" i="65"/>
  <c r="S17" i="65" s="1"/>
  <c r="O17" i="65" s="1"/>
  <c r="P17" i="65" s="1"/>
  <c r="Y17" i="65" s="1"/>
  <c r="AE17" i="65"/>
  <c r="AH17" i="65" s="1"/>
  <c r="Q17" i="65"/>
  <c r="AV17" i="65"/>
  <c r="AG16" i="65" l="1"/>
  <c r="AN20" i="63" a="1"/>
  <c r="AN20" i="63" s="1"/>
  <c r="B22" i="65" s="1"/>
  <c r="B21" i="65"/>
  <c r="D20" i="65"/>
  <c r="E20" i="65" s="1"/>
  <c r="F20" i="65" s="1"/>
  <c r="G20" i="65" s="1"/>
  <c r="H20" i="65" s="1"/>
  <c r="I20" i="65" s="1"/>
  <c r="J20" i="65" s="1"/>
  <c r="K20" i="65" s="1"/>
  <c r="N20" i="65"/>
  <c r="AF20" i="65" s="1"/>
  <c r="AM23" i="63" a="1"/>
  <c r="AM23" i="63" s="1"/>
  <c r="AM24" i="63" s="1" a="1"/>
  <c r="AM24" i="63" s="1"/>
  <c r="AM25" i="63" s="1" a="1"/>
  <c r="AM25" i="63" s="1"/>
  <c r="AM26" i="63" s="1" a="1"/>
  <c r="AM26" i="63" s="1"/>
  <c r="AM27" i="63" s="1" a="1"/>
  <c r="AM27" i="63" s="1"/>
  <c r="AM28" i="63" s="1" a="1"/>
  <c r="AM28" i="63" s="1"/>
  <c r="AM29" i="63" s="1" a="1"/>
  <c r="AM29" i="63" s="1"/>
  <c r="AB17" i="65"/>
  <c r="AC17" i="65" s="1"/>
  <c r="AM19" i="65"/>
  <c r="U18" i="65"/>
  <c r="AV18" i="65"/>
  <c r="R18" i="65"/>
  <c r="S18" i="65" s="1"/>
  <c r="O18" i="65" s="1"/>
  <c r="AE18" i="65"/>
  <c r="AH18" i="65" s="1"/>
  <c r="Q18" i="65"/>
  <c r="AM20" i="65"/>
  <c r="P18" i="65"/>
  <c r="AF19" i="65"/>
  <c r="AG19" i="65" s="1"/>
  <c r="Y18" i="65" l="1"/>
  <c r="AB18" i="65" s="1"/>
  <c r="AC18" i="65" s="1"/>
  <c r="AD18" i="65" s="1"/>
  <c r="Q20" i="65"/>
  <c r="U20" i="65"/>
  <c r="R20" i="65"/>
  <c r="S20" i="65" s="1"/>
  <c r="O20" i="65" s="1"/>
  <c r="P20" i="65" s="1"/>
  <c r="Y20" i="65" s="1"/>
  <c r="AB20" i="65" s="1"/>
  <c r="AC20" i="65" s="1"/>
  <c r="AD20" i="65" s="1"/>
  <c r="AV20" i="65"/>
  <c r="AH20" i="65"/>
  <c r="AE20" i="65"/>
  <c r="AN21" i="63" a="1"/>
  <c r="AN21" i="63" s="1"/>
  <c r="B23" i="65" s="1"/>
  <c r="L21" i="65"/>
  <c r="M21" i="65" s="1"/>
  <c r="C21" i="65"/>
  <c r="P21" i="65" s="1"/>
  <c r="C22" i="65"/>
  <c r="AM22" i="65" s="1"/>
  <c r="L22" i="65"/>
  <c r="M22" i="65" s="1"/>
  <c r="AM30" i="63" a="1"/>
  <c r="AM30" i="63" s="1"/>
  <c r="AM31" i="63" s="1" a="1"/>
  <c r="AM31" i="63" s="1"/>
  <c r="AM32" i="63" s="1" a="1"/>
  <c r="AM32" i="63" s="1"/>
  <c r="AM33" i="63" s="1" a="1"/>
  <c r="AM33" i="63" s="1"/>
  <c r="AM18" i="65"/>
  <c r="AF18" i="65"/>
  <c r="AD17" i="65"/>
  <c r="AM17" i="65" s="1"/>
  <c r="AF17" i="65"/>
  <c r="AG17" i="65" s="1"/>
  <c r="AG18" i="65" l="1"/>
  <c r="AN22" i="63" a="1"/>
  <c r="AN22" i="63" s="1"/>
  <c r="B24" i="65" s="1"/>
  <c r="D21" i="65"/>
  <c r="E21" i="65" s="1"/>
  <c r="F21" i="65" s="1"/>
  <c r="G21" i="65" s="1"/>
  <c r="H21" i="65" s="1"/>
  <c r="I21" i="65" s="1"/>
  <c r="J21" i="65" s="1"/>
  <c r="K21" i="65" s="1"/>
  <c r="N21" i="65"/>
  <c r="AF21" i="65" s="1"/>
  <c r="L23" i="65"/>
  <c r="M23" i="65" s="1"/>
  <c r="C23" i="65"/>
  <c r="AM23" i="65" s="1"/>
  <c r="N22" i="65"/>
  <c r="D22" i="65"/>
  <c r="E22" i="65" s="1"/>
  <c r="F22" i="65" s="1"/>
  <c r="G22" i="65" s="1"/>
  <c r="H22" i="65" s="1"/>
  <c r="I22" i="65" s="1"/>
  <c r="J22" i="65" s="1"/>
  <c r="K22" i="65" s="1"/>
  <c r="P22" i="65"/>
  <c r="AG20" i="65"/>
  <c r="AM34" i="63" a="1"/>
  <c r="AM34" i="63" s="1"/>
  <c r="AM35" i="63" s="1" a="1"/>
  <c r="AM35" i="63" s="1"/>
  <c r="AM36" i="63" s="1" a="1"/>
  <c r="AM36" i="63" s="1"/>
  <c r="AM37" i="63" s="1" a="1"/>
  <c r="AM37" i="63" s="1"/>
  <c r="AM38" i="63" s="1" a="1"/>
  <c r="AM38" i="63" s="1"/>
  <c r="AM39" i="63" s="1" a="1"/>
  <c r="AM39" i="63" s="1"/>
  <c r="AM40" i="63" s="1" a="1"/>
  <c r="AM40" i="63" s="1"/>
  <c r="AM41" i="63" s="1" a="1"/>
  <c r="AM41" i="63" s="1"/>
  <c r="AM42" i="63" s="1" a="1"/>
  <c r="AM42" i="63" s="1"/>
  <c r="AM43" i="63" s="1" a="1"/>
  <c r="AM43" i="63" s="1"/>
  <c r="AM44" i="63" s="1" a="1"/>
  <c r="AM44" i="63" s="1"/>
  <c r="AM45" i="63" s="1" a="1"/>
  <c r="AM45" i="63" s="1"/>
  <c r="AM46" i="63" s="1" a="1"/>
  <c r="AM46" i="63" s="1"/>
  <c r="AM47" i="63" s="1" a="1"/>
  <c r="AM47" i="63" s="1"/>
  <c r="AM48" i="63" s="1" a="1"/>
  <c r="AM48" i="63" s="1"/>
  <c r="AM49" i="63" s="1" a="1"/>
  <c r="AM49" i="63" s="1"/>
  <c r="AM50" i="63" s="1" a="1"/>
  <c r="AM50" i="63" s="1"/>
  <c r="AM51" i="63" s="1" a="1"/>
  <c r="AM51" i="63" s="1"/>
  <c r="AM52" i="63" s="1" a="1"/>
  <c r="AM52" i="63" s="1"/>
  <c r="AM53" i="63" s="1" a="1"/>
  <c r="AM53" i="63" s="1"/>
  <c r="AM54" i="63" s="1" a="1"/>
  <c r="AM54" i="63" s="1"/>
  <c r="AM55" i="63" s="1" a="1"/>
  <c r="AM55" i="63" s="1"/>
  <c r="AM56" i="63" s="1" a="1"/>
  <c r="AM56" i="63" s="1"/>
  <c r="AM57" i="63" s="1" a="1"/>
  <c r="AM57" i="63" s="1"/>
  <c r="AM58" i="63" s="1" a="1"/>
  <c r="AM58" i="63" s="1"/>
  <c r="AM59" i="63" s="1" a="1"/>
  <c r="AM59" i="63" s="1"/>
  <c r="AM60" i="63" s="1" a="1"/>
  <c r="AM60" i="63" s="1"/>
  <c r="AM61" i="63" s="1" a="1"/>
  <c r="AM61" i="63" s="1"/>
  <c r="AM62" i="63" s="1" a="1"/>
  <c r="AM62" i="63" s="1"/>
  <c r="AM63" i="63" s="1" a="1"/>
  <c r="AM63" i="63" s="1"/>
  <c r="AM64" i="63" s="1" a="1"/>
  <c r="AM64" i="63" s="1"/>
  <c r="AM65" i="63" s="1" a="1"/>
  <c r="AM65" i="63" s="1"/>
  <c r="AM66" i="63" s="1" a="1"/>
  <c r="AM66" i="63" s="1"/>
  <c r="AM67" i="63" s="1" a="1"/>
  <c r="AM67" i="63" s="1"/>
  <c r="AM68" i="63" s="1" a="1"/>
  <c r="AM68" i="63" s="1"/>
  <c r="AM69" i="63" s="1" a="1"/>
  <c r="AM69" i="63" s="1"/>
  <c r="AM70" i="63" s="1" a="1"/>
  <c r="AM70" i="63" s="1"/>
  <c r="AM71" i="63" s="1" a="1"/>
  <c r="AM71" i="63" s="1"/>
  <c r="AM72" i="63" s="1" a="1"/>
  <c r="AM72" i="63" s="1"/>
  <c r="AM73" i="63" s="1" a="1"/>
  <c r="AM73" i="63" s="1"/>
  <c r="AM74" i="63" s="1" a="1"/>
  <c r="AM74" i="63" s="1"/>
  <c r="AM75" i="63" s="1" a="1"/>
  <c r="AM75" i="63" s="1"/>
  <c r="AM76" i="63" s="1" a="1"/>
  <c r="AM76" i="63" s="1"/>
  <c r="AM77" i="63" s="1" a="1"/>
  <c r="AM77" i="63" s="1"/>
  <c r="AM78" i="63" s="1" a="1"/>
  <c r="AM78" i="63" s="1"/>
  <c r="AM79" i="63" s="1" a="1"/>
  <c r="AM79" i="63" s="1"/>
  <c r="AM80" i="63" s="1" a="1"/>
  <c r="AM80" i="63" s="1"/>
  <c r="AM81" i="63" s="1" a="1"/>
  <c r="AM81" i="63" s="1"/>
  <c r="AM82" i="63" s="1" a="1"/>
  <c r="AM82" i="63" s="1"/>
  <c r="AM83" i="63" s="1" a="1"/>
  <c r="AM83" i="63" s="1"/>
  <c r="AM84" i="63" s="1" a="1"/>
  <c r="AM84" i="63" s="1"/>
  <c r="AM85" i="63" s="1" a="1"/>
  <c r="AM85" i="63" s="1"/>
  <c r="AM86" i="63" s="1" a="1"/>
  <c r="AM86" i="63" s="1"/>
  <c r="AM87" i="63" s="1" a="1"/>
  <c r="AM87" i="63" s="1"/>
  <c r="AM88" i="63" s="1" a="1"/>
  <c r="AM88" i="63" s="1"/>
  <c r="AM89" i="63" s="1" a="1"/>
  <c r="AM89" i="63" s="1"/>
  <c r="AM90" i="63" s="1" a="1"/>
  <c r="AM90" i="63" s="1"/>
  <c r="AM91" i="63" s="1" a="1"/>
  <c r="AM91" i="63" s="1"/>
  <c r="AM92" i="63" s="1" a="1"/>
  <c r="AM92" i="63" s="1"/>
  <c r="AM93" i="63" s="1" a="1"/>
  <c r="AM93" i="63" s="1"/>
  <c r="AM94" i="63" s="1" a="1"/>
  <c r="AM94" i="63" s="1"/>
  <c r="AM95" i="63" s="1" a="1"/>
  <c r="AM95" i="63" s="1"/>
  <c r="AM96" i="63" s="1" a="1"/>
  <c r="AM96" i="63" s="1"/>
  <c r="AM97" i="63" s="1" a="1"/>
  <c r="AM97" i="63" s="1"/>
  <c r="AM98" i="63" s="1" a="1"/>
  <c r="AM98" i="63" s="1"/>
  <c r="AM99" i="63" s="1" a="1"/>
  <c r="AM99" i="63" s="1"/>
  <c r="AM100" i="63" s="1" a="1"/>
  <c r="AM100" i="63" s="1"/>
  <c r="AM101" i="63" s="1" a="1"/>
  <c r="AM101" i="63" s="1"/>
  <c r="AM102" i="63" s="1" a="1"/>
  <c r="AM102" i="63" s="1"/>
  <c r="AM103" i="63" s="1" a="1"/>
  <c r="AM103" i="63" s="1"/>
  <c r="AM104" i="63" s="1" a="1"/>
  <c r="AM104" i="63" s="1"/>
  <c r="AM105" i="63" s="1" a="1"/>
  <c r="AM105" i="63" s="1"/>
  <c r="AM106" i="63" s="1" a="1"/>
  <c r="AM106" i="63" s="1"/>
  <c r="AM107" i="63" s="1" a="1"/>
  <c r="AM107" i="63" s="1"/>
  <c r="AM108" i="63" s="1" a="1"/>
  <c r="AM108" i="63" s="1"/>
  <c r="AM109" i="63" s="1" a="1"/>
  <c r="AM109" i="63" s="1"/>
  <c r="AM110" i="63" s="1" a="1"/>
  <c r="AM110" i="63" s="1"/>
  <c r="AM111" i="63" s="1" a="1"/>
  <c r="AM111" i="63" s="1"/>
  <c r="AM112" i="63" s="1" a="1"/>
  <c r="AM112" i="63" s="1"/>
  <c r="AM113" i="63" s="1" a="1"/>
  <c r="AM113" i="63" s="1"/>
  <c r="AM114" i="63" s="1" a="1"/>
  <c r="AM114" i="63" s="1"/>
  <c r="AM115" i="63" s="1" a="1"/>
  <c r="AM115" i="63" s="1"/>
  <c r="AM116" i="63" s="1" a="1"/>
  <c r="AM116" i="63" s="1"/>
  <c r="AM117" i="63" s="1" a="1"/>
  <c r="AM117" i="63" s="1"/>
  <c r="AM118" i="63" s="1" a="1"/>
  <c r="AM118" i="63" s="1"/>
  <c r="AM119" i="63" s="1" a="1"/>
  <c r="AM119" i="63" s="1"/>
  <c r="AM120" i="63" s="1" a="1"/>
  <c r="AM120" i="63" s="1"/>
  <c r="AM121" i="63" s="1" a="1"/>
  <c r="AM121" i="63" s="1"/>
  <c r="AM122" i="63" s="1" a="1"/>
  <c r="AM122" i="63" s="1"/>
  <c r="AM123" i="63" s="1" a="1"/>
  <c r="AM123" i="63" s="1"/>
  <c r="AM124" i="63" s="1" a="1"/>
  <c r="AM124" i="63" s="1"/>
  <c r="AM125" i="63" s="1" a="1"/>
  <c r="AM125" i="63" s="1"/>
  <c r="AM126" i="63" s="1" a="1"/>
  <c r="AM126" i="63" s="1"/>
  <c r="AM127" i="63" s="1" a="1"/>
  <c r="AM127" i="63" s="1"/>
  <c r="AM128" i="63" s="1" a="1"/>
  <c r="AM128" i="63" s="1"/>
  <c r="AM129" i="63" s="1" a="1"/>
  <c r="AM129" i="63" s="1"/>
  <c r="AM130" i="63" s="1" a="1"/>
  <c r="AM130" i="63" s="1"/>
  <c r="AM131" i="63" s="1" a="1"/>
  <c r="AM131" i="63" s="1"/>
  <c r="AM132" i="63" s="1" a="1"/>
  <c r="AM132" i="63" s="1"/>
  <c r="AM133" i="63" s="1" a="1"/>
  <c r="AM133" i="63" s="1"/>
  <c r="AM134" i="63" s="1" a="1"/>
  <c r="AM134" i="63" s="1"/>
  <c r="AM135" i="63" s="1" a="1"/>
  <c r="AM135" i="63" s="1"/>
  <c r="AM136" i="63" s="1" a="1"/>
  <c r="AM136" i="63" s="1"/>
  <c r="AM137" i="63" s="1" a="1"/>
  <c r="AM137" i="63" s="1"/>
  <c r="AM138" i="63" s="1" a="1"/>
  <c r="AM138" i="63" s="1"/>
  <c r="AM139" i="63" s="1" a="1"/>
  <c r="AM139" i="63" s="1"/>
  <c r="AM140" i="63" s="1" a="1"/>
  <c r="AM140" i="63" s="1"/>
  <c r="AM141" i="63" s="1" a="1"/>
  <c r="AM141" i="63" s="1"/>
  <c r="AM142" i="63" s="1" a="1"/>
  <c r="AM142" i="63" s="1"/>
  <c r="AM143" i="63" s="1" a="1"/>
  <c r="AM143" i="63" s="1"/>
  <c r="AM144" i="63" s="1" a="1"/>
  <c r="AM144" i="63" s="1"/>
  <c r="AM145" i="63" s="1" a="1"/>
  <c r="AM145" i="63" s="1"/>
  <c r="AM146" i="63" s="1" a="1"/>
  <c r="AM146" i="63" s="1"/>
  <c r="AM147" i="63" s="1" a="1"/>
  <c r="AM147" i="63" s="1"/>
  <c r="AM148" i="63" s="1" a="1"/>
  <c r="AM148" i="63" s="1"/>
  <c r="AM149" i="63" s="1" a="1"/>
  <c r="AM149" i="63" s="1"/>
  <c r="AM150" i="63" s="1" a="1"/>
  <c r="AM150" i="63" s="1"/>
  <c r="AM151" i="63" s="1" a="1"/>
  <c r="AM151" i="63" s="1"/>
  <c r="AM152" i="63" s="1" a="1"/>
  <c r="AM152" i="63" s="1"/>
  <c r="AM153" i="63" s="1" a="1"/>
  <c r="AM153" i="63" s="1"/>
  <c r="AM154" i="63" s="1" a="1"/>
  <c r="AM154" i="63" s="1"/>
  <c r="AM155" i="63" s="1" a="1"/>
  <c r="AM155" i="63" s="1"/>
  <c r="AM156" i="63" s="1" a="1"/>
  <c r="AM156" i="63" s="1"/>
  <c r="AM157" i="63" s="1" a="1"/>
  <c r="AM157" i="63" s="1"/>
  <c r="AM158" i="63" s="1" a="1"/>
  <c r="AM158" i="63" s="1"/>
  <c r="AM159" i="63" s="1" a="1"/>
  <c r="AM159" i="63" s="1"/>
  <c r="AM160" i="63" s="1" a="1"/>
  <c r="AM160" i="63" s="1"/>
  <c r="AM161" i="63" s="1" a="1"/>
  <c r="AM161" i="63" s="1"/>
  <c r="AM162" i="63" s="1" a="1"/>
  <c r="AM162" i="63" s="1"/>
  <c r="AM163" i="63" s="1" a="1"/>
  <c r="AM163" i="63" s="1"/>
  <c r="AM164" i="63" s="1" a="1"/>
  <c r="AM164" i="63" s="1"/>
  <c r="AM165" i="63" s="1" a="1"/>
  <c r="AM165" i="63" s="1"/>
  <c r="AM166" i="63" s="1" a="1"/>
  <c r="AM166" i="63" s="1"/>
  <c r="AM167" i="63" s="1" a="1"/>
  <c r="AM167" i="63" s="1"/>
  <c r="AM168" i="63" s="1" a="1"/>
  <c r="AM168" i="63" s="1"/>
  <c r="AM169" i="63" s="1" a="1"/>
  <c r="AM169" i="63" s="1"/>
  <c r="AM170" i="63" s="1" a="1"/>
  <c r="AM170" i="63" s="1"/>
  <c r="AM171" i="63" s="1" a="1"/>
  <c r="AM171" i="63" s="1"/>
  <c r="AM172" i="63" s="1" a="1"/>
  <c r="AM172" i="63" s="1"/>
  <c r="AM173" i="63" s="1" a="1"/>
  <c r="AM173" i="63" s="1"/>
  <c r="AM174" i="63" s="1" a="1"/>
  <c r="AM174" i="63" s="1"/>
  <c r="AM175" i="63" s="1" a="1"/>
  <c r="AM175" i="63" s="1"/>
  <c r="AM176" i="63" s="1" a="1"/>
  <c r="AM176" i="63" s="1"/>
  <c r="AM177" i="63" s="1" a="1"/>
  <c r="AM177" i="63" s="1"/>
  <c r="AM178" i="63" s="1" a="1"/>
  <c r="AM178" i="63" s="1"/>
  <c r="AM179" i="63" s="1" a="1"/>
  <c r="AM179" i="63" s="1"/>
  <c r="AM180" i="63" s="1" a="1"/>
  <c r="AM180" i="63" s="1"/>
  <c r="AM181" i="63" s="1" a="1"/>
  <c r="AM181" i="63" s="1"/>
  <c r="AM182" i="63" s="1" a="1"/>
  <c r="AM182" i="63" s="1"/>
  <c r="AM183" i="63" s="1" a="1"/>
  <c r="AM183" i="63" s="1"/>
  <c r="AM184" i="63" s="1" a="1"/>
  <c r="AM184" i="63" s="1"/>
  <c r="AM185" i="63" s="1" a="1"/>
  <c r="AM185" i="63" s="1"/>
  <c r="AM186" i="63" s="1" a="1"/>
  <c r="AM186" i="63" s="1"/>
  <c r="AM187" i="63" s="1" a="1"/>
  <c r="AM187" i="63" s="1"/>
  <c r="AM188" i="63" s="1" a="1"/>
  <c r="AM188" i="63" s="1"/>
  <c r="AM189" i="63" s="1" a="1"/>
  <c r="AM189" i="63" s="1"/>
  <c r="AM190" i="63" s="1" a="1"/>
  <c r="AM190" i="63" s="1"/>
  <c r="AM191" i="63" s="1" a="1"/>
  <c r="AM191" i="63" s="1"/>
  <c r="AM192" i="63" s="1" a="1"/>
  <c r="AM192" i="63" s="1"/>
  <c r="AM193" i="63" s="1" a="1"/>
  <c r="AM193" i="63" s="1"/>
  <c r="AM194" i="63" s="1" a="1"/>
  <c r="AM194" i="63" s="1"/>
  <c r="AM195" i="63" s="1" a="1"/>
  <c r="AM195" i="63" s="1"/>
  <c r="AM196" i="63" s="1" a="1"/>
  <c r="AM196" i="63" s="1"/>
  <c r="AM197" i="63" s="1" a="1"/>
  <c r="AM197" i="63" s="1"/>
  <c r="AM198" i="63" s="1" a="1"/>
  <c r="AM198" i="63" s="1"/>
  <c r="AM199" i="63" s="1" a="1"/>
  <c r="AM199" i="63" s="1"/>
  <c r="AM200" i="63" s="1" a="1"/>
  <c r="AM200" i="63" s="1"/>
  <c r="AM201" i="63" s="1" a="1"/>
  <c r="AM201" i="63" s="1"/>
  <c r="AM202" i="63" s="1" a="1"/>
  <c r="AM202" i="63" s="1"/>
  <c r="AM203" i="63" s="1" a="1"/>
  <c r="AM203" i="63" s="1"/>
  <c r="AM204" i="63" s="1" a="1"/>
  <c r="AM204" i="63" s="1"/>
  <c r="AM205" i="63" s="1" a="1"/>
  <c r="AM205" i="63" s="1"/>
  <c r="AM206" i="63" s="1" a="1"/>
  <c r="AM206" i="63" s="1"/>
  <c r="AM207" i="63" s="1" a="1"/>
  <c r="AM207" i="63" s="1"/>
  <c r="AM208" i="63" s="1" a="1"/>
  <c r="AM208" i="63" s="1"/>
  <c r="AM209" i="63" s="1" a="1"/>
  <c r="AM209" i="63" s="1"/>
  <c r="AM210" i="63" s="1" a="1"/>
  <c r="AM210" i="63" s="1"/>
  <c r="AM211" i="63" s="1" a="1"/>
  <c r="AM211" i="63" s="1"/>
  <c r="AM212" i="63" s="1" a="1"/>
  <c r="AM212" i="63" s="1"/>
  <c r="AM213" i="63" s="1" a="1"/>
  <c r="AM213" i="63" s="1"/>
  <c r="AM214" i="63" s="1" a="1"/>
  <c r="AM214" i="63" s="1"/>
  <c r="AM215" i="63" s="1" a="1"/>
  <c r="AM215" i="63" s="1"/>
  <c r="AM216" i="63" s="1" a="1"/>
  <c r="AM216" i="63" s="1"/>
  <c r="AM217" i="63" s="1" a="1"/>
  <c r="AM217" i="63" s="1"/>
  <c r="AM218" i="63" s="1" a="1"/>
  <c r="AM218" i="63" s="1"/>
  <c r="AM219" i="63" s="1" a="1"/>
  <c r="AM219" i="63" s="1"/>
  <c r="AM220" i="63" s="1" a="1"/>
  <c r="AM220" i="63" s="1"/>
  <c r="AM221" i="63" s="1" a="1"/>
  <c r="AM221" i="63" s="1"/>
  <c r="AM222" i="63" s="1" a="1"/>
  <c r="AM222" i="63" s="1"/>
  <c r="AM223" i="63" s="1" a="1"/>
  <c r="AM223" i="63" s="1"/>
  <c r="AM224" i="63" s="1" a="1"/>
  <c r="AM224" i="63" s="1"/>
  <c r="AM225" i="63" s="1" a="1"/>
  <c r="AM225" i="63" s="1"/>
  <c r="AM226" i="63" s="1" a="1"/>
  <c r="AM226" i="63" s="1"/>
  <c r="AM227" i="63" s="1" a="1"/>
  <c r="AM227" i="63" s="1"/>
  <c r="AM228" i="63" s="1" a="1"/>
  <c r="AM228" i="63" s="1"/>
  <c r="AM229" i="63" s="1" a="1"/>
  <c r="AM229" i="63" s="1"/>
  <c r="AM230" i="63" s="1" a="1"/>
  <c r="AM230" i="63" s="1"/>
  <c r="AM231" i="63" s="1" a="1"/>
  <c r="AM231" i="63" s="1"/>
  <c r="AM232" i="63" s="1" a="1"/>
  <c r="AM232" i="63" s="1"/>
  <c r="AM233" i="63" s="1" a="1"/>
  <c r="AM233" i="63" s="1"/>
  <c r="AM234" i="63" s="1" a="1"/>
  <c r="AM234" i="63" s="1"/>
  <c r="AM235" i="63" s="1" a="1"/>
  <c r="AM235" i="63" s="1"/>
  <c r="AM236" i="63" s="1" a="1"/>
  <c r="AM236" i="63" s="1"/>
  <c r="AM237" i="63" s="1" a="1"/>
  <c r="AM237" i="63" s="1"/>
  <c r="AM238" i="63" s="1" a="1"/>
  <c r="AM238" i="63" s="1"/>
  <c r="AM239" i="63" s="1" a="1"/>
  <c r="AM239" i="63" s="1"/>
  <c r="AM240" i="63" s="1" a="1"/>
  <c r="AM240" i="63" s="1"/>
  <c r="AM241" i="63" s="1" a="1"/>
  <c r="AM241" i="63" s="1"/>
  <c r="AM242" i="63" s="1" a="1"/>
  <c r="AM242" i="63" s="1"/>
  <c r="AM243" i="63" s="1" a="1"/>
  <c r="AM243" i="63" s="1"/>
  <c r="AM244" i="63" s="1" a="1"/>
  <c r="AM244" i="63" s="1"/>
  <c r="AM245" i="63" s="1" a="1"/>
  <c r="AM245" i="63" s="1"/>
  <c r="AM246" i="63" s="1" a="1"/>
  <c r="AM246" i="63" s="1"/>
  <c r="AM247" i="63" s="1" a="1"/>
  <c r="AM247" i="63" s="1"/>
  <c r="AM248" i="63" s="1" a="1"/>
  <c r="AM248" i="63" s="1"/>
  <c r="AM249" i="63" s="1" a="1"/>
  <c r="AM249" i="63" s="1"/>
  <c r="AM250" i="63" s="1" a="1"/>
  <c r="AM250" i="63" s="1"/>
  <c r="AM251" i="63" s="1" a="1"/>
  <c r="AM251" i="63" s="1"/>
  <c r="AM252" i="63" s="1" a="1"/>
  <c r="AM252" i="63" s="1"/>
  <c r="AM253" i="63" s="1" a="1"/>
  <c r="AM253" i="63" s="1"/>
  <c r="AM254" i="63" s="1" a="1"/>
  <c r="AM254" i="63" s="1"/>
  <c r="AM255" i="63" s="1" a="1"/>
  <c r="AM255" i="63" s="1"/>
  <c r="AM256" i="63" s="1" a="1"/>
  <c r="AM256" i="63" s="1"/>
  <c r="AM257" i="63" s="1" a="1"/>
  <c r="AM257" i="63" s="1"/>
  <c r="AM21" i="65"/>
  <c r="R22" i="65" l="1"/>
  <c r="S22" i="65" s="1"/>
  <c r="O22" i="65" s="1"/>
  <c r="Y22" i="65" s="1"/>
  <c r="AB22" i="65" s="1"/>
  <c r="AC22" i="65" s="1"/>
  <c r="AD22" i="65" s="1"/>
  <c r="U22" i="65"/>
  <c r="Q22" i="65"/>
  <c r="AV22" i="65"/>
  <c r="AE22" i="65"/>
  <c r="AH22" i="65" s="1"/>
  <c r="AF22" i="65"/>
  <c r="D23" i="65"/>
  <c r="E23" i="65" s="1"/>
  <c r="F23" i="65" s="1"/>
  <c r="G23" i="65" s="1"/>
  <c r="H23" i="65" s="1"/>
  <c r="I23" i="65" s="1"/>
  <c r="J23" i="65" s="1"/>
  <c r="K23" i="65" s="1"/>
  <c r="N23" i="65"/>
  <c r="P23" i="65"/>
  <c r="AV21" i="65"/>
  <c r="R21" i="65"/>
  <c r="S21" i="65" s="1"/>
  <c r="O21" i="65" s="1"/>
  <c r="Y21" i="65" s="1"/>
  <c r="AB21" i="65" s="1"/>
  <c r="AC21" i="65" s="1"/>
  <c r="AD21" i="65" s="1"/>
  <c r="AE21" i="65"/>
  <c r="AH21" i="65" s="1"/>
  <c r="U21" i="65"/>
  <c r="Q21" i="65"/>
  <c r="AN23" i="63" a="1"/>
  <c r="AN23" i="63" s="1"/>
  <c r="B25" i="65" s="1"/>
  <c r="L24" i="65"/>
  <c r="M24" i="65" s="1"/>
  <c r="C24" i="65"/>
  <c r="AG21" i="65" l="1"/>
  <c r="AN24" i="63" a="1"/>
  <c r="AN24" i="63" s="1"/>
  <c r="B26" i="65" s="1"/>
  <c r="C25" i="65"/>
  <c r="P25" i="65" s="1"/>
  <c r="L25" i="65"/>
  <c r="M25" i="65" s="1"/>
  <c r="AG22" i="65"/>
  <c r="N24" i="65"/>
  <c r="AF24" i="65" s="1"/>
  <c r="D24" i="65"/>
  <c r="E24" i="65" s="1"/>
  <c r="F24" i="65" s="1"/>
  <c r="G24" i="65" s="1"/>
  <c r="H24" i="65" s="1"/>
  <c r="I24" i="65" s="1"/>
  <c r="J24" i="65" s="1"/>
  <c r="K24" i="65" s="1"/>
  <c r="Q23" i="65"/>
  <c r="U23" i="65"/>
  <c r="AE23" i="65"/>
  <c r="AH23" i="65" s="1"/>
  <c r="R23" i="65"/>
  <c r="S23" i="65" s="1"/>
  <c r="O23" i="65" s="1"/>
  <c r="Y23" i="65" s="1"/>
  <c r="AB23" i="65" s="1"/>
  <c r="AC23" i="65" s="1"/>
  <c r="AD23" i="65" s="1"/>
  <c r="AV23" i="65"/>
  <c r="AF23" i="65"/>
  <c r="AM24" i="65"/>
  <c r="AG23" i="65" l="1"/>
  <c r="AH24" i="65"/>
  <c r="R24" i="65"/>
  <c r="S24" i="65" s="1"/>
  <c r="O24" i="65" s="1"/>
  <c r="P24" i="65" s="1"/>
  <c r="Y24" i="65" s="1"/>
  <c r="AB24" i="65" s="1"/>
  <c r="AC24" i="65" s="1"/>
  <c r="AD24" i="65" s="1"/>
  <c r="AE24" i="65"/>
  <c r="AV24" i="65"/>
  <c r="Q24" i="65"/>
  <c r="U24" i="65"/>
  <c r="N25" i="65"/>
  <c r="D25" i="65"/>
  <c r="E25" i="65" s="1"/>
  <c r="F25" i="65" s="1"/>
  <c r="G25" i="65" s="1"/>
  <c r="H25" i="65" s="1"/>
  <c r="I25" i="65" s="1"/>
  <c r="J25" i="65" s="1"/>
  <c r="K25" i="65" s="1"/>
  <c r="AN25" i="63" a="1"/>
  <c r="AN25" i="63" s="1"/>
  <c r="B27" i="65" s="1"/>
  <c r="C26" i="65"/>
  <c r="L26" i="65"/>
  <c r="M26" i="65" s="1"/>
  <c r="AM25" i="65"/>
  <c r="L27" i="65" l="1"/>
  <c r="M27" i="65" s="1"/>
  <c r="C27" i="65"/>
  <c r="U25" i="65"/>
  <c r="AV25" i="65"/>
  <c r="R25" i="65"/>
  <c r="S25" i="65" s="1"/>
  <c r="O25" i="65" s="1"/>
  <c r="Y25" i="65" s="1"/>
  <c r="AB25" i="65" s="1"/>
  <c r="AC25" i="65" s="1"/>
  <c r="AD25" i="65" s="1"/>
  <c r="AH25" i="65"/>
  <c r="AE25" i="65"/>
  <c r="Q25" i="65"/>
  <c r="AN26" i="63" a="1"/>
  <c r="AN26" i="63" s="1"/>
  <c r="B28" i="65" s="1"/>
  <c r="AG24" i="65"/>
  <c r="N26" i="65"/>
  <c r="D26" i="65"/>
  <c r="E26" i="65" s="1"/>
  <c r="F26" i="65" s="1"/>
  <c r="G26" i="65" s="1"/>
  <c r="H26" i="65" s="1"/>
  <c r="I26" i="65" s="1"/>
  <c r="J26" i="65" s="1"/>
  <c r="K26" i="65" s="1"/>
  <c r="AF25" i="65"/>
  <c r="P26" i="65"/>
  <c r="AG25" i="65" l="1"/>
  <c r="Q26" i="65"/>
  <c r="AH26" i="65"/>
  <c r="U26" i="65"/>
  <c r="R26" i="65"/>
  <c r="S26" i="65" s="1"/>
  <c r="O26" i="65" s="1"/>
  <c r="Y26" i="65" s="1"/>
  <c r="AB26" i="65" s="1"/>
  <c r="AC26" i="65" s="1"/>
  <c r="AD26" i="65" s="1"/>
  <c r="AM26" i="65" s="1"/>
  <c r="AE26" i="65"/>
  <c r="AV26" i="65"/>
  <c r="L28" i="65"/>
  <c r="M28" i="65" s="1"/>
  <c r="C28" i="65"/>
  <c r="D27" i="65"/>
  <c r="E27" i="65" s="1"/>
  <c r="F27" i="65" s="1"/>
  <c r="G27" i="65" s="1"/>
  <c r="H27" i="65" s="1"/>
  <c r="I27" i="65" s="1"/>
  <c r="J27" i="65" s="1"/>
  <c r="K27" i="65" s="1"/>
  <c r="N27" i="65"/>
  <c r="AF27" i="65" s="1"/>
  <c r="AN27" i="63" a="1"/>
  <c r="AN27" i="63" s="1"/>
  <c r="B29" i="65" s="1"/>
  <c r="AF26" i="65"/>
  <c r="AM27" i="65"/>
  <c r="AN28" i="63" l="1" a="1"/>
  <c r="AN28" i="63" s="1"/>
  <c r="B30" i="65" s="1"/>
  <c r="AV27" i="65"/>
  <c r="Q27" i="65"/>
  <c r="R27" i="65"/>
  <c r="S27" i="65" s="1"/>
  <c r="O27" i="65" s="1"/>
  <c r="P27" i="65" s="1"/>
  <c r="Y27" i="65" s="1"/>
  <c r="AB27" i="65" s="1"/>
  <c r="AC27" i="65" s="1"/>
  <c r="AD27" i="65" s="1"/>
  <c r="AE27" i="65"/>
  <c r="AH27" i="65" s="1"/>
  <c r="U27" i="65"/>
  <c r="AG26" i="65"/>
  <c r="D28" i="65"/>
  <c r="E28" i="65" s="1"/>
  <c r="F28" i="65" s="1"/>
  <c r="G28" i="65" s="1"/>
  <c r="H28" i="65" s="1"/>
  <c r="I28" i="65" s="1"/>
  <c r="J28" i="65" s="1"/>
  <c r="K28" i="65" s="1"/>
  <c r="N28" i="65"/>
  <c r="AF28" i="65" s="1"/>
  <c r="C29" i="65"/>
  <c r="L29" i="65"/>
  <c r="M29" i="65" s="1"/>
  <c r="AM28" i="65"/>
  <c r="AN29" i="63" l="1" a="1"/>
  <c r="AN29" i="63" s="1"/>
  <c r="B31" i="65" s="1"/>
  <c r="D29" i="65"/>
  <c r="E29" i="65" s="1"/>
  <c r="F29" i="65" s="1"/>
  <c r="G29" i="65" s="1"/>
  <c r="H29" i="65" s="1"/>
  <c r="I29" i="65" s="1"/>
  <c r="J29" i="65" s="1"/>
  <c r="K29" i="65" s="1"/>
  <c r="N29" i="65"/>
  <c r="AF29" i="65" s="1"/>
  <c r="AV28" i="65"/>
  <c r="AH28" i="65"/>
  <c r="U28" i="65"/>
  <c r="Q28" i="65"/>
  <c r="AE28" i="65"/>
  <c r="R28" i="65"/>
  <c r="S28" i="65" s="1"/>
  <c r="O28" i="65" s="1"/>
  <c r="P28" i="65" s="1"/>
  <c r="Y28" i="65" s="1"/>
  <c r="AB28" i="65" s="1"/>
  <c r="AC28" i="65" s="1"/>
  <c r="AD28" i="65" s="1"/>
  <c r="AG27" i="65"/>
  <c r="L30" i="65"/>
  <c r="M30" i="65" s="1"/>
  <c r="C30" i="65"/>
  <c r="AM29" i="65"/>
  <c r="AE29" i="65" l="1"/>
  <c r="AH29" i="65" s="1"/>
  <c r="Q29" i="65"/>
  <c r="AV29" i="65"/>
  <c r="R29" i="65"/>
  <c r="S29" i="65" s="1"/>
  <c r="O29" i="65" s="1"/>
  <c r="U29" i="65"/>
  <c r="P29" i="65" s="1"/>
  <c r="AN30" i="63" a="1"/>
  <c r="AN30" i="63" s="1"/>
  <c r="B32" i="65" s="1"/>
  <c r="D30" i="65"/>
  <c r="E30" i="65" s="1"/>
  <c r="F30" i="65" s="1"/>
  <c r="G30" i="65" s="1"/>
  <c r="H30" i="65" s="1"/>
  <c r="I30" i="65" s="1"/>
  <c r="J30" i="65" s="1"/>
  <c r="K30" i="65" s="1"/>
  <c r="N30" i="65"/>
  <c r="AF30" i="65" s="1"/>
  <c r="AG28" i="65"/>
  <c r="L31" i="65"/>
  <c r="M31" i="65" s="1"/>
  <c r="O31" i="65"/>
  <c r="C31" i="65"/>
  <c r="AM30" i="65"/>
  <c r="C32" i="65" l="1"/>
  <c r="L32" i="65"/>
  <c r="M32" i="65" s="1"/>
  <c r="O32" i="65"/>
  <c r="D31" i="65"/>
  <c r="E31" i="65" s="1"/>
  <c r="F31" i="65" s="1"/>
  <c r="G31" i="65" s="1"/>
  <c r="H31" i="65" s="1"/>
  <c r="I31" i="65" s="1"/>
  <c r="J31" i="65" s="1"/>
  <c r="K31" i="65" s="1"/>
  <c r="P31" i="65"/>
  <c r="AM31" i="65"/>
  <c r="N31" i="65"/>
  <c r="Q30" i="65"/>
  <c r="AV30" i="65"/>
  <c r="AE30" i="65"/>
  <c r="AH30" i="65" s="1"/>
  <c r="U30" i="65"/>
  <c r="R30" i="65"/>
  <c r="S30" i="65" s="1"/>
  <c r="O30" i="65" s="1"/>
  <c r="P30" i="65" s="1"/>
  <c r="Y30" i="65" s="1"/>
  <c r="AB30" i="65" s="1"/>
  <c r="AC30" i="65" s="1"/>
  <c r="AD30" i="65" s="1"/>
  <c r="Y29" i="65"/>
  <c r="AN31" i="63" a="1"/>
  <c r="AN31" i="63" s="1"/>
  <c r="B33" i="65" s="1"/>
  <c r="AB29" i="65" l="1"/>
  <c r="AC29" i="65" s="1"/>
  <c r="AD29" i="65" s="1"/>
  <c r="AG29" i="65"/>
  <c r="L33" i="65"/>
  <c r="M33" i="65" s="1"/>
  <c r="O33" i="65"/>
  <c r="C33" i="65"/>
  <c r="AE31" i="65"/>
  <c r="AH31" i="65"/>
  <c r="R31" i="65"/>
  <c r="S31" i="65" s="1"/>
  <c r="Y31" i="65" s="1"/>
  <c r="AB31" i="65" s="1"/>
  <c r="AC31" i="65" s="1"/>
  <c r="AD31" i="65" s="1"/>
  <c r="AF31" i="65"/>
  <c r="U31" i="65"/>
  <c r="AV31" i="65"/>
  <c r="Q31" i="65"/>
  <c r="AG30" i="65"/>
  <c r="P32" i="65"/>
  <c r="N32" i="65"/>
  <c r="AM32" i="65"/>
  <c r="D32" i="65"/>
  <c r="E32" i="65" s="1"/>
  <c r="F32" i="65" s="1"/>
  <c r="G32" i="65" s="1"/>
  <c r="H32" i="65" s="1"/>
  <c r="I32" i="65" s="1"/>
  <c r="J32" i="65" s="1"/>
  <c r="K32" i="65" s="1"/>
  <c r="AN32" i="63" a="1"/>
  <c r="AN32" i="63" s="1"/>
  <c r="B34" i="65" s="1"/>
  <c r="C34" i="65" l="1"/>
  <c r="O34" i="65"/>
  <c r="L34" i="65"/>
  <c r="M34" i="65" s="1"/>
  <c r="R32" i="65"/>
  <c r="S32" i="65" s="1"/>
  <c r="Y32" i="65" s="1"/>
  <c r="AB32" i="65" s="1"/>
  <c r="AC32" i="65" s="1"/>
  <c r="AD32" i="65" s="1"/>
  <c r="AV32" i="65"/>
  <c r="AH32" i="65"/>
  <c r="Q32" i="65"/>
  <c r="AF32" i="65"/>
  <c r="U32" i="65"/>
  <c r="AE32" i="65"/>
  <c r="AG31" i="65"/>
  <c r="D33" i="65"/>
  <c r="E33" i="65" s="1"/>
  <c r="F33" i="65" s="1"/>
  <c r="G33" i="65" s="1"/>
  <c r="H33" i="65" s="1"/>
  <c r="I33" i="65" s="1"/>
  <c r="J33" i="65" s="1"/>
  <c r="K33" i="65" s="1"/>
  <c r="P33" i="65"/>
  <c r="AM33" i="65"/>
  <c r="N33" i="65"/>
  <c r="AN33" i="63" a="1"/>
  <c r="AN33" i="63" s="1"/>
  <c r="B35" i="65" s="1"/>
  <c r="AN34" i="63" l="1" a="1"/>
  <c r="AN34" i="63" s="1"/>
  <c r="B36" i="65" s="1"/>
  <c r="C35" i="65"/>
  <c r="L35" i="65"/>
  <c r="M35" i="65" s="1"/>
  <c r="O35" i="65"/>
  <c r="AF33" i="65"/>
  <c r="AE33" i="65"/>
  <c r="Q33" i="65"/>
  <c r="AH33" i="65"/>
  <c r="AV33" i="65"/>
  <c r="R33" i="65"/>
  <c r="S33" i="65" s="1"/>
  <c r="Y33" i="65" s="1"/>
  <c r="AB33" i="65" s="1"/>
  <c r="AC33" i="65" s="1"/>
  <c r="AD33" i="65" s="1"/>
  <c r="U33" i="65"/>
  <c r="AG32" i="65"/>
  <c r="P34" i="65"/>
  <c r="AM34" i="65"/>
  <c r="N34" i="65"/>
  <c r="D34" i="65"/>
  <c r="E34" i="65" s="1"/>
  <c r="F34" i="65" s="1"/>
  <c r="G34" i="65" s="1"/>
  <c r="H34" i="65" s="1"/>
  <c r="I34" i="65" s="1"/>
  <c r="J34" i="65" s="1"/>
  <c r="K34" i="65" s="1"/>
  <c r="AG33" i="65" l="1"/>
  <c r="AN35" i="63" a="1"/>
  <c r="AN35" i="63" s="1"/>
  <c r="B37" i="65" s="1"/>
  <c r="AF34" i="65"/>
  <c r="AV34" i="65"/>
  <c r="U34" i="65"/>
  <c r="R34" i="65"/>
  <c r="S34" i="65" s="1"/>
  <c r="Y34" i="65" s="1"/>
  <c r="AB34" i="65" s="1"/>
  <c r="AC34" i="65" s="1"/>
  <c r="AD34" i="65" s="1"/>
  <c r="AH34" i="65"/>
  <c r="AE34" i="65"/>
  <c r="Q34" i="65"/>
  <c r="D35" i="65"/>
  <c r="E35" i="65" s="1"/>
  <c r="F35" i="65" s="1"/>
  <c r="G35" i="65" s="1"/>
  <c r="H35" i="65" s="1"/>
  <c r="I35" i="65" s="1"/>
  <c r="J35" i="65" s="1"/>
  <c r="K35" i="65" s="1"/>
  <c r="AM35" i="65"/>
  <c r="N35" i="65"/>
  <c r="P35" i="65"/>
  <c r="L36" i="65"/>
  <c r="M36" i="65" s="1"/>
  <c r="C36" i="65"/>
  <c r="O36" i="65"/>
  <c r="AN36" i="63" l="1" a="1"/>
  <c r="AN36" i="63" s="1"/>
  <c r="D36" i="65"/>
  <c r="E36" i="65" s="1"/>
  <c r="F36" i="65" s="1"/>
  <c r="G36" i="65" s="1"/>
  <c r="H36" i="65" s="1"/>
  <c r="I36" i="65" s="1"/>
  <c r="J36" i="65" s="1"/>
  <c r="K36" i="65" s="1"/>
  <c r="AM36" i="65"/>
  <c r="P36" i="65"/>
  <c r="N36" i="65"/>
  <c r="AE35" i="65"/>
  <c r="AH35" i="65"/>
  <c r="R35" i="65"/>
  <c r="S35" i="65" s="1"/>
  <c r="Y35" i="65" s="1"/>
  <c r="AB35" i="65" s="1"/>
  <c r="AC35" i="65" s="1"/>
  <c r="AD35" i="65" s="1"/>
  <c r="AV35" i="65"/>
  <c r="Q35" i="65"/>
  <c r="U35" i="65"/>
  <c r="AF35" i="65"/>
  <c r="AG34" i="65"/>
  <c r="O37" i="65"/>
  <c r="C37" i="65"/>
  <c r="L37" i="65"/>
  <c r="M37" i="65" s="1"/>
  <c r="AN37" i="63" l="1" a="1"/>
  <c r="AN37" i="63" s="1"/>
  <c r="B39" i="65" s="1"/>
  <c r="U36" i="65"/>
  <c r="AE36" i="65"/>
  <c r="AF36" i="65"/>
  <c r="Q36" i="65"/>
  <c r="R36" i="65"/>
  <c r="S36" i="65" s="1"/>
  <c r="Y36" i="65" s="1"/>
  <c r="AB36" i="65" s="1"/>
  <c r="AC36" i="65" s="1"/>
  <c r="AD36" i="65" s="1"/>
  <c r="AH36" i="65"/>
  <c r="AV36" i="65"/>
  <c r="AG35" i="65"/>
  <c r="AM37" i="65"/>
  <c r="N37" i="65"/>
  <c r="D37" i="65"/>
  <c r="E37" i="65" s="1"/>
  <c r="F37" i="65" s="1"/>
  <c r="G37" i="65" s="1"/>
  <c r="H37" i="65" s="1"/>
  <c r="I37" i="65" s="1"/>
  <c r="J37" i="65" s="1"/>
  <c r="K37" i="65" s="1"/>
  <c r="P37" i="65"/>
  <c r="B38" i="65"/>
  <c r="AG36" i="65" l="1"/>
  <c r="AN38" i="63" a="1"/>
  <c r="AN38" i="63" s="1"/>
  <c r="B40" i="65" s="1"/>
  <c r="AV37" i="65"/>
  <c r="U37" i="65"/>
  <c r="AF37" i="65"/>
  <c r="AE37" i="65"/>
  <c r="R37" i="65"/>
  <c r="S37" i="65" s="1"/>
  <c r="Y37" i="65" s="1"/>
  <c r="AB37" i="65" s="1"/>
  <c r="AC37" i="65" s="1"/>
  <c r="AD37" i="65" s="1"/>
  <c r="Q37" i="65"/>
  <c r="AH37" i="65"/>
  <c r="O38" i="65"/>
  <c r="C38" i="65"/>
  <c r="L38" i="65"/>
  <c r="M38" i="65" s="1"/>
  <c r="L39" i="65"/>
  <c r="M39" i="65" s="1"/>
  <c r="C39" i="65"/>
  <c r="O39" i="65"/>
  <c r="D38" i="65" l="1"/>
  <c r="E38" i="65" s="1"/>
  <c r="F38" i="65" s="1"/>
  <c r="G38" i="65" s="1"/>
  <c r="H38" i="65" s="1"/>
  <c r="I38" i="65" s="1"/>
  <c r="J38" i="65" s="1"/>
  <c r="K38" i="65" s="1"/>
  <c r="P38" i="65"/>
  <c r="N38" i="65"/>
  <c r="AM38" i="65"/>
  <c r="AG37" i="65"/>
  <c r="AN39" i="63" a="1"/>
  <c r="AN39" i="63" s="1"/>
  <c r="B41" i="65" s="1"/>
  <c r="P39" i="65"/>
  <c r="D39" i="65"/>
  <c r="E39" i="65" s="1"/>
  <c r="F39" i="65" s="1"/>
  <c r="G39" i="65" s="1"/>
  <c r="H39" i="65" s="1"/>
  <c r="I39" i="65" s="1"/>
  <c r="J39" i="65" s="1"/>
  <c r="K39" i="65" s="1"/>
  <c r="N39" i="65"/>
  <c r="AM39" i="65"/>
  <c r="L40" i="65"/>
  <c r="M40" i="65" s="1"/>
  <c r="O40" i="65"/>
  <c r="C40" i="65"/>
  <c r="AH38" i="65" l="1"/>
  <c r="AE38" i="65"/>
  <c r="R38" i="65"/>
  <c r="S38" i="65" s="1"/>
  <c r="Y38" i="65" s="1"/>
  <c r="AB38" i="65" s="1"/>
  <c r="AC38" i="65" s="1"/>
  <c r="AD38" i="65" s="1"/>
  <c r="Q38" i="65"/>
  <c r="U38" i="65"/>
  <c r="AF38" i="65"/>
  <c r="AV38" i="65"/>
  <c r="O41" i="65"/>
  <c r="C41" i="65"/>
  <c r="L41" i="65"/>
  <c r="M41" i="65" s="1"/>
  <c r="P40" i="65"/>
  <c r="D40" i="65"/>
  <c r="E40" i="65" s="1"/>
  <c r="F40" i="65" s="1"/>
  <c r="G40" i="65" s="1"/>
  <c r="H40" i="65" s="1"/>
  <c r="I40" i="65" s="1"/>
  <c r="J40" i="65" s="1"/>
  <c r="K40" i="65" s="1"/>
  <c r="AM40" i="65"/>
  <c r="AF39" i="65"/>
  <c r="AE39" i="65"/>
  <c r="AH39" i="65"/>
  <c r="U39" i="65"/>
  <c r="AV39" i="65"/>
  <c r="Q39" i="65"/>
  <c r="R39" i="65"/>
  <c r="S39" i="65" s="1"/>
  <c r="Y39" i="65" s="1"/>
  <c r="AB39" i="65" s="1"/>
  <c r="AC39" i="65" s="1"/>
  <c r="AD39" i="65" s="1"/>
  <c r="AN40" i="63" a="1"/>
  <c r="AN40" i="63" s="1"/>
  <c r="B42" i="65" s="1"/>
  <c r="L42" i="65" l="1"/>
  <c r="M42" i="65" s="1"/>
  <c r="C42" i="65"/>
  <c r="O42" i="65"/>
  <c r="AG38" i="65"/>
  <c r="AG39" i="65"/>
  <c r="P41" i="65"/>
  <c r="D41" i="65"/>
  <c r="E41" i="65" s="1"/>
  <c r="F41" i="65" s="1"/>
  <c r="G41" i="65" s="1"/>
  <c r="H41" i="65" s="1"/>
  <c r="I41" i="65" s="1"/>
  <c r="J41" i="65" s="1"/>
  <c r="K41" i="65" s="1"/>
  <c r="N41" i="65"/>
  <c r="AM41" i="65"/>
  <c r="Y40" i="65"/>
  <c r="AN41" i="63" a="1"/>
  <c r="AN41" i="63" s="1"/>
  <c r="B43" i="65" s="1"/>
  <c r="L43" i="65" l="1"/>
  <c r="M43" i="65" s="1"/>
  <c r="C43" i="65"/>
  <c r="O43" i="65"/>
  <c r="AG40" i="65"/>
  <c r="AB40" i="65"/>
  <c r="AC40" i="65" s="1"/>
  <c r="AD40" i="65" s="1"/>
  <c r="U41" i="65"/>
  <c r="Q41" i="65"/>
  <c r="R41" i="65"/>
  <c r="S41" i="65" s="1"/>
  <c r="Y41" i="65" s="1"/>
  <c r="AB41" i="65" s="1"/>
  <c r="AC41" i="65" s="1"/>
  <c r="AD41" i="65" s="1"/>
  <c r="AH41" i="65"/>
  <c r="AE41" i="65"/>
  <c r="AF41" i="65"/>
  <c r="AV41" i="65"/>
  <c r="D42" i="65"/>
  <c r="E42" i="65" s="1"/>
  <c r="F42" i="65" s="1"/>
  <c r="G42" i="65" s="1"/>
  <c r="H42" i="65" s="1"/>
  <c r="I42" i="65" s="1"/>
  <c r="J42" i="65" s="1"/>
  <c r="K42" i="65" s="1"/>
  <c r="N42" i="65"/>
  <c r="AM42" i="65"/>
  <c r="P42" i="65"/>
  <c r="AN42" i="63" a="1"/>
  <c r="AN42" i="63" s="1"/>
  <c r="B44" i="65" s="1"/>
  <c r="L44" i="65" l="1"/>
  <c r="M44" i="65" s="1"/>
  <c r="O44" i="65"/>
  <c r="C44" i="65"/>
  <c r="AE42" i="65"/>
  <c r="U42" i="65"/>
  <c r="Q42" i="65"/>
  <c r="AH42" i="65"/>
  <c r="AF42" i="65"/>
  <c r="AV42" i="65"/>
  <c r="R42" i="65"/>
  <c r="S42" i="65" s="1"/>
  <c r="Y42" i="65" s="1"/>
  <c r="AB42" i="65" s="1"/>
  <c r="AC42" i="65" s="1"/>
  <c r="AD42" i="65" s="1"/>
  <c r="AN43" i="63" a="1"/>
  <c r="AN43" i="63" s="1"/>
  <c r="B45" i="65" s="1"/>
  <c r="AM43" i="65"/>
  <c r="P43" i="65"/>
  <c r="N43" i="65"/>
  <c r="D43" i="65"/>
  <c r="E43" i="65" s="1"/>
  <c r="F43" i="65" s="1"/>
  <c r="G43" i="65" s="1"/>
  <c r="H43" i="65" s="1"/>
  <c r="I43" i="65" s="1"/>
  <c r="J43" i="65" s="1"/>
  <c r="K43" i="65" s="1"/>
  <c r="AG41" i="65"/>
  <c r="C45" i="65" l="1"/>
  <c r="O45" i="65"/>
  <c r="L45" i="65"/>
  <c r="M45" i="65" s="1"/>
  <c r="AG42" i="65"/>
  <c r="AN44" i="63" a="1"/>
  <c r="AN44" i="63" s="1"/>
  <c r="B46" i="65" s="1"/>
  <c r="N44" i="65"/>
  <c r="P44" i="65"/>
  <c r="AM44" i="65"/>
  <c r="D44" i="65"/>
  <c r="E44" i="65" s="1"/>
  <c r="F44" i="65" s="1"/>
  <c r="G44" i="65" s="1"/>
  <c r="H44" i="65" s="1"/>
  <c r="I44" i="65" s="1"/>
  <c r="J44" i="65" s="1"/>
  <c r="K44" i="65" s="1"/>
  <c r="U43" i="65"/>
  <c r="AV43" i="65"/>
  <c r="AF43" i="65"/>
  <c r="Q43" i="65"/>
  <c r="R43" i="65"/>
  <c r="S43" i="65" s="1"/>
  <c r="Y43" i="65" s="1"/>
  <c r="AB43" i="65" s="1"/>
  <c r="AC43" i="65" s="1"/>
  <c r="AD43" i="65" s="1"/>
  <c r="AE43" i="65"/>
  <c r="AH43" i="65"/>
  <c r="AG43" i="65" l="1"/>
  <c r="AN45" i="63" a="1"/>
  <c r="AN45" i="63" s="1"/>
  <c r="B47" i="65" s="1"/>
  <c r="AH44" i="65"/>
  <c r="AF44" i="65"/>
  <c r="R44" i="65"/>
  <c r="S44" i="65" s="1"/>
  <c r="Y44" i="65" s="1"/>
  <c r="AB44" i="65" s="1"/>
  <c r="AC44" i="65" s="1"/>
  <c r="AD44" i="65" s="1"/>
  <c r="AV44" i="65"/>
  <c r="U44" i="65"/>
  <c r="Q44" i="65"/>
  <c r="AE44" i="65"/>
  <c r="O46" i="65"/>
  <c r="C46" i="65"/>
  <c r="L46" i="65"/>
  <c r="M46" i="65" s="1"/>
  <c r="AM45" i="65"/>
  <c r="D45" i="65"/>
  <c r="E45" i="65" s="1"/>
  <c r="F45" i="65" s="1"/>
  <c r="G45" i="65" s="1"/>
  <c r="H45" i="65" s="1"/>
  <c r="I45" i="65" s="1"/>
  <c r="J45" i="65" s="1"/>
  <c r="K45" i="65" s="1"/>
  <c r="N45" i="65"/>
  <c r="P45" i="65"/>
  <c r="AN46" i="63" l="1" a="1"/>
  <c r="AN46" i="63" s="1"/>
  <c r="B48" i="65" s="1"/>
  <c r="L47" i="65"/>
  <c r="M47" i="65" s="1"/>
  <c r="C47" i="65"/>
  <c r="O47" i="65"/>
  <c r="AG44" i="65"/>
  <c r="R45" i="65"/>
  <c r="S45" i="65" s="1"/>
  <c r="Y45" i="65" s="1"/>
  <c r="AB45" i="65" s="1"/>
  <c r="AC45" i="65" s="1"/>
  <c r="AD45" i="65" s="1"/>
  <c r="AV45" i="65"/>
  <c r="Q45" i="65"/>
  <c r="AH45" i="65"/>
  <c r="AE45" i="65"/>
  <c r="AF45" i="65"/>
  <c r="U45" i="65"/>
  <c r="P46" i="65"/>
  <c r="AM46" i="65"/>
  <c r="D46" i="65"/>
  <c r="E46" i="65" s="1"/>
  <c r="F46" i="65" s="1"/>
  <c r="G46" i="65" s="1"/>
  <c r="H46" i="65" s="1"/>
  <c r="I46" i="65" s="1"/>
  <c r="J46" i="65" s="1"/>
  <c r="K46" i="65" s="1"/>
  <c r="N46" i="65"/>
  <c r="Q46" i="65" l="1"/>
  <c r="R46" i="65"/>
  <c r="S46" i="65" s="1"/>
  <c r="Y46" i="65" s="1"/>
  <c r="AB46" i="65" s="1"/>
  <c r="AC46" i="65" s="1"/>
  <c r="AD46" i="65" s="1"/>
  <c r="AF46" i="65"/>
  <c r="AH46" i="65"/>
  <c r="U46" i="65"/>
  <c r="AE46" i="65"/>
  <c r="AV46" i="65"/>
  <c r="AG45" i="65"/>
  <c r="D47" i="65"/>
  <c r="E47" i="65" s="1"/>
  <c r="F47" i="65" s="1"/>
  <c r="G47" i="65" s="1"/>
  <c r="H47" i="65" s="1"/>
  <c r="I47" i="65" s="1"/>
  <c r="J47" i="65" s="1"/>
  <c r="K47" i="65" s="1"/>
  <c r="N47" i="65"/>
  <c r="AM47" i="65"/>
  <c r="P47" i="65"/>
  <c r="AN47" i="63" a="1"/>
  <c r="AN47" i="63" s="1"/>
  <c r="B49" i="65" s="1"/>
  <c r="L48" i="65"/>
  <c r="M48" i="65" s="1"/>
  <c r="O48" i="65"/>
  <c r="C48" i="65"/>
  <c r="AN48" i="63" l="1" a="1"/>
  <c r="AN48" i="63" s="1"/>
  <c r="B50" i="65" s="1"/>
  <c r="O49" i="65"/>
  <c r="L49" i="65"/>
  <c r="M49" i="65" s="1"/>
  <c r="C49" i="65"/>
  <c r="AG46" i="65"/>
  <c r="AH47" i="65"/>
  <c r="AV47" i="65"/>
  <c r="Q47" i="65"/>
  <c r="U47" i="65"/>
  <c r="R47" i="65"/>
  <c r="S47" i="65" s="1"/>
  <c r="Y47" i="65" s="1"/>
  <c r="AB47" i="65" s="1"/>
  <c r="AC47" i="65" s="1"/>
  <c r="AD47" i="65" s="1"/>
  <c r="AE47" i="65"/>
  <c r="AF47" i="65"/>
  <c r="AM48" i="65"/>
  <c r="D48" i="65"/>
  <c r="E48" i="65" s="1"/>
  <c r="F48" i="65" s="1"/>
  <c r="G48" i="65" s="1"/>
  <c r="H48" i="65" s="1"/>
  <c r="I48" i="65" s="1"/>
  <c r="J48" i="65" s="1"/>
  <c r="K48" i="65" s="1"/>
  <c r="N48" i="65"/>
  <c r="P48" i="65"/>
  <c r="AG47" i="65" l="1"/>
  <c r="AV48" i="65"/>
  <c r="AH48" i="65"/>
  <c r="AE48" i="65"/>
  <c r="Q48" i="65"/>
  <c r="AF48" i="65"/>
  <c r="R48" i="65"/>
  <c r="S48" i="65" s="1"/>
  <c r="Y48" i="65" s="1"/>
  <c r="AB48" i="65" s="1"/>
  <c r="AC48" i="65" s="1"/>
  <c r="AD48" i="65" s="1"/>
  <c r="U48" i="65"/>
  <c r="N49" i="65"/>
  <c r="D49" i="65"/>
  <c r="E49" i="65" s="1"/>
  <c r="F49" i="65" s="1"/>
  <c r="G49" i="65" s="1"/>
  <c r="H49" i="65" s="1"/>
  <c r="I49" i="65" s="1"/>
  <c r="J49" i="65" s="1"/>
  <c r="K49" i="65" s="1"/>
  <c r="P49" i="65"/>
  <c r="AM49" i="65"/>
  <c r="AN49" i="63" a="1"/>
  <c r="AN49" i="63" s="1"/>
  <c r="B51" i="65" s="1"/>
  <c r="L50" i="65"/>
  <c r="M50" i="65" s="1"/>
  <c r="C50" i="65"/>
  <c r="O50" i="65"/>
  <c r="AM50" i="65" l="1"/>
  <c r="D50" i="65"/>
  <c r="E50" i="65" s="1"/>
  <c r="F50" i="65" s="1"/>
  <c r="G50" i="65" s="1"/>
  <c r="H50" i="65" s="1"/>
  <c r="I50" i="65" s="1"/>
  <c r="J50" i="65" s="1"/>
  <c r="K50" i="65" s="1"/>
  <c r="N50" i="65"/>
  <c r="P50" i="65"/>
  <c r="L51" i="65"/>
  <c r="M51" i="65" s="1"/>
  <c r="O51" i="65"/>
  <c r="C51" i="65"/>
  <c r="Q51" i="65"/>
  <c r="AN50" i="63" a="1"/>
  <c r="AN50" i="63" s="1"/>
  <c r="B52" i="65" s="1"/>
  <c r="Q49" i="65"/>
  <c r="U49" i="65"/>
  <c r="AH49" i="65"/>
  <c r="AF49" i="65"/>
  <c r="R49" i="65"/>
  <c r="S49" i="65" s="1"/>
  <c r="Y49" i="65" s="1"/>
  <c r="AB49" i="65" s="1"/>
  <c r="AC49" i="65" s="1"/>
  <c r="AD49" i="65" s="1"/>
  <c r="AV49" i="65"/>
  <c r="AE49" i="65"/>
  <c r="AG48" i="65"/>
  <c r="AG49" i="65" l="1"/>
  <c r="D51" i="65"/>
  <c r="E51" i="65" s="1"/>
  <c r="F51" i="65" s="1"/>
  <c r="G51" i="65" s="1"/>
  <c r="H51" i="65" s="1"/>
  <c r="I51" i="65" s="1"/>
  <c r="J51" i="65" s="1"/>
  <c r="K51" i="65" s="1"/>
  <c r="AM51" i="65"/>
  <c r="P51" i="65"/>
  <c r="AN51" i="63" a="1"/>
  <c r="AN51" i="63" s="1"/>
  <c r="B53" i="65" s="1"/>
  <c r="U50" i="65"/>
  <c r="AF50" i="65"/>
  <c r="Q50" i="65"/>
  <c r="AE50" i="65"/>
  <c r="R50" i="65"/>
  <c r="S50" i="65" s="1"/>
  <c r="Y50" i="65" s="1"/>
  <c r="AB50" i="65" s="1"/>
  <c r="AC50" i="65" s="1"/>
  <c r="AD50" i="65" s="1"/>
  <c r="AV50" i="65"/>
  <c r="AH50" i="65"/>
  <c r="L52" i="65"/>
  <c r="M52" i="65" s="1"/>
  <c r="C52" i="65"/>
  <c r="O52" i="65"/>
  <c r="Y51" i="65" l="1"/>
  <c r="AB51" i="65" s="1"/>
  <c r="AC51" i="65" s="1"/>
  <c r="AD51" i="65" s="1"/>
  <c r="L53" i="65"/>
  <c r="M53" i="65" s="1"/>
  <c r="C53" i="65"/>
  <c r="O53" i="65"/>
  <c r="AN52" i="63" a="1"/>
  <c r="AN52" i="63" s="1"/>
  <c r="B54" i="65" s="1"/>
  <c r="AG50" i="65"/>
  <c r="N52" i="65"/>
  <c r="AM52" i="65"/>
  <c r="P52" i="65"/>
  <c r="D52" i="65"/>
  <c r="E52" i="65" s="1"/>
  <c r="F52" i="65" s="1"/>
  <c r="G52" i="65" s="1"/>
  <c r="H52" i="65" s="1"/>
  <c r="I52" i="65" s="1"/>
  <c r="J52" i="65" s="1"/>
  <c r="K52" i="65" s="1"/>
  <c r="AF51" i="65" l="1"/>
  <c r="AG51" i="65" s="1"/>
  <c r="C54" i="65"/>
  <c r="L54" i="65"/>
  <c r="M54" i="65" s="1"/>
  <c r="O54" i="65"/>
  <c r="N53" i="65"/>
  <c r="D53" i="65"/>
  <c r="E53" i="65" s="1"/>
  <c r="F53" i="65" s="1"/>
  <c r="G53" i="65" s="1"/>
  <c r="H53" i="65" s="1"/>
  <c r="I53" i="65" s="1"/>
  <c r="J53" i="65" s="1"/>
  <c r="K53" i="65" s="1"/>
  <c r="AM53" i="65"/>
  <c r="P53" i="65"/>
  <c r="AN53" i="63" a="1"/>
  <c r="AN53" i="63" s="1"/>
  <c r="B55" i="65" s="1"/>
  <c r="AF52" i="65"/>
  <c r="Q52" i="65"/>
  <c r="AV52" i="65"/>
  <c r="U52" i="65"/>
  <c r="AH52" i="65"/>
  <c r="AE52" i="65"/>
  <c r="R52" i="65"/>
  <c r="S52" i="65" s="1"/>
  <c r="Y52" i="65" s="1"/>
  <c r="AB52" i="65" s="1"/>
  <c r="AC52" i="65" s="1"/>
  <c r="AD52" i="65" s="1"/>
  <c r="L55" i="65" l="1"/>
  <c r="M55" i="65" s="1"/>
  <c r="O55" i="65"/>
  <c r="C55" i="65"/>
  <c r="AE53" i="65"/>
  <c r="AV53" i="65"/>
  <c r="AH53" i="65"/>
  <c r="Q53" i="65"/>
  <c r="AF53" i="65"/>
  <c r="U53" i="65"/>
  <c r="R53" i="65"/>
  <c r="S53" i="65" s="1"/>
  <c r="Y53" i="65" s="1"/>
  <c r="AB53" i="65" s="1"/>
  <c r="AC53" i="65" s="1"/>
  <c r="AD53" i="65" s="1"/>
  <c r="AG52" i="65"/>
  <c r="D54" i="65"/>
  <c r="E54" i="65" s="1"/>
  <c r="F54" i="65" s="1"/>
  <c r="G54" i="65" s="1"/>
  <c r="H54" i="65" s="1"/>
  <c r="I54" i="65" s="1"/>
  <c r="J54" i="65" s="1"/>
  <c r="K54" i="65" s="1"/>
  <c r="AM54" i="65"/>
  <c r="N54" i="65"/>
  <c r="P54" i="65"/>
  <c r="AN54" i="63" a="1"/>
  <c r="AN54" i="63" s="1"/>
  <c r="B56" i="65" s="1"/>
  <c r="AG53" i="65" l="1"/>
  <c r="D55" i="65"/>
  <c r="E55" i="65" s="1"/>
  <c r="F55" i="65" s="1"/>
  <c r="G55" i="65" s="1"/>
  <c r="H55" i="65" s="1"/>
  <c r="I55" i="65" s="1"/>
  <c r="J55" i="65" s="1"/>
  <c r="K55" i="65" s="1"/>
  <c r="N55" i="65"/>
  <c r="AM55" i="65"/>
  <c r="P55" i="65"/>
  <c r="C56" i="65"/>
  <c r="O56" i="65"/>
  <c r="L56" i="65"/>
  <c r="M56" i="65" s="1"/>
  <c r="Q54" i="65"/>
  <c r="R54" i="65"/>
  <c r="S54" i="65" s="1"/>
  <c r="Y54" i="65" s="1"/>
  <c r="AB54" i="65" s="1"/>
  <c r="AC54" i="65" s="1"/>
  <c r="AD54" i="65" s="1"/>
  <c r="AV54" i="65"/>
  <c r="U54" i="65"/>
  <c r="AF54" i="65"/>
  <c r="AH54" i="65"/>
  <c r="AE54" i="65"/>
  <c r="AN55" i="63" a="1"/>
  <c r="AN55" i="63" s="1"/>
  <c r="B57" i="65" s="1"/>
  <c r="AG54" i="65" l="1"/>
  <c r="L57" i="65"/>
  <c r="M57" i="65" s="1"/>
  <c r="C57" i="65"/>
  <c r="O57" i="65"/>
  <c r="AF55" i="65"/>
  <c r="AV55" i="65"/>
  <c r="AH55" i="65"/>
  <c r="U55" i="65"/>
  <c r="R55" i="65"/>
  <c r="S55" i="65" s="1"/>
  <c r="Y55" i="65" s="1"/>
  <c r="AB55" i="65" s="1"/>
  <c r="AC55" i="65" s="1"/>
  <c r="AD55" i="65" s="1"/>
  <c r="Q55" i="65"/>
  <c r="AE55" i="65"/>
  <c r="AM56" i="65"/>
  <c r="P56" i="65"/>
  <c r="D56" i="65"/>
  <c r="E56" i="65" s="1"/>
  <c r="F56" i="65" s="1"/>
  <c r="G56" i="65" s="1"/>
  <c r="H56" i="65" s="1"/>
  <c r="I56" i="65" s="1"/>
  <c r="J56" i="65" s="1"/>
  <c r="K56" i="65" s="1"/>
  <c r="N56" i="65"/>
  <c r="AN56" i="63" a="1"/>
  <c r="AN56" i="63" s="1"/>
  <c r="B58" i="65" s="1"/>
  <c r="L58" i="65" l="1"/>
  <c r="M58" i="65" s="1"/>
  <c r="C58" i="65"/>
  <c r="O58" i="65"/>
  <c r="AG55" i="65"/>
  <c r="D57" i="65"/>
  <c r="E57" i="65" s="1"/>
  <c r="F57" i="65" s="1"/>
  <c r="G57" i="65" s="1"/>
  <c r="H57" i="65" s="1"/>
  <c r="I57" i="65" s="1"/>
  <c r="J57" i="65" s="1"/>
  <c r="K57" i="65" s="1"/>
  <c r="P57" i="65"/>
  <c r="AM57" i="65"/>
  <c r="N57" i="65"/>
  <c r="R56" i="65"/>
  <c r="S56" i="65" s="1"/>
  <c r="Y56" i="65" s="1"/>
  <c r="AB56" i="65" s="1"/>
  <c r="AC56" i="65" s="1"/>
  <c r="AD56" i="65" s="1"/>
  <c r="Q56" i="65"/>
  <c r="AF56" i="65"/>
  <c r="U56" i="65"/>
  <c r="AH56" i="65"/>
  <c r="AE56" i="65"/>
  <c r="AV56" i="65"/>
  <c r="AN57" i="63" a="1"/>
  <c r="AN57" i="63" s="1"/>
  <c r="B59" i="65" s="1"/>
  <c r="AG56" i="65" l="1"/>
  <c r="C59" i="65"/>
  <c r="O59" i="65"/>
  <c r="L59" i="65"/>
  <c r="M59" i="65" s="1"/>
  <c r="AH57" i="65"/>
  <c r="R57" i="65"/>
  <c r="S57" i="65" s="1"/>
  <c r="Y57" i="65" s="1"/>
  <c r="AB57" i="65" s="1"/>
  <c r="AC57" i="65" s="1"/>
  <c r="AD57" i="65" s="1"/>
  <c r="AF57" i="65"/>
  <c r="Q57" i="65"/>
  <c r="AV57" i="65"/>
  <c r="AE57" i="65"/>
  <c r="U57" i="65"/>
  <c r="N58" i="65"/>
  <c r="P58" i="65"/>
  <c r="D58" i="65"/>
  <c r="E58" i="65" s="1"/>
  <c r="F58" i="65" s="1"/>
  <c r="G58" i="65" s="1"/>
  <c r="H58" i="65" s="1"/>
  <c r="I58" i="65" s="1"/>
  <c r="J58" i="65" s="1"/>
  <c r="K58" i="65" s="1"/>
  <c r="AM58" i="65"/>
  <c r="AN58" i="63" a="1"/>
  <c r="AN58" i="63" s="1"/>
  <c r="B60" i="65" s="1"/>
  <c r="AN59" i="63" l="1" a="1"/>
  <c r="AN59" i="63" s="1"/>
  <c r="B61" i="65" s="1"/>
  <c r="AG57" i="65"/>
  <c r="AM59" i="65"/>
  <c r="D59" i="65"/>
  <c r="E59" i="65" s="1"/>
  <c r="F59" i="65" s="1"/>
  <c r="G59" i="65" s="1"/>
  <c r="H59" i="65" s="1"/>
  <c r="I59" i="65" s="1"/>
  <c r="J59" i="65" s="1"/>
  <c r="K59" i="65" s="1"/>
  <c r="P59" i="65"/>
  <c r="N59" i="65"/>
  <c r="L60" i="65"/>
  <c r="M60" i="65" s="1"/>
  <c r="C60" i="65"/>
  <c r="O60" i="65"/>
  <c r="AV58" i="65"/>
  <c r="U58" i="65"/>
  <c r="AE58" i="65"/>
  <c r="AF58" i="65"/>
  <c r="R58" i="65"/>
  <c r="S58" i="65" s="1"/>
  <c r="Y58" i="65" s="1"/>
  <c r="AB58" i="65" s="1"/>
  <c r="AC58" i="65" s="1"/>
  <c r="AD58" i="65" s="1"/>
  <c r="AH58" i="65"/>
  <c r="Q58" i="65"/>
  <c r="R59" i="65" l="1"/>
  <c r="S59" i="65" s="1"/>
  <c r="Y59" i="65" s="1"/>
  <c r="AB59" i="65" s="1"/>
  <c r="AC59" i="65" s="1"/>
  <c r="AD59" i="65" s="1"/>
  <c r="AV59" i="65"/>
  <c r="Q59" i="65"/>
  <c r="U59" i="65"/>
  <c r="AE59" i="65"/>
  <c r="AF59" i="65"/>
  <c r="AH59" i="65"/>
  <c r="P60" i="65"/>
  <c r="D60" i="65"/>
  <c r="E60" i="65" s="1"/>
  <c r="F60" i="65" s="1"/>
  <c r="G60" i="65" s="1"/>
  <c r="H60" i="65" s="1"/>
  <c r="I60" i="65" s="1"/>
  <c r="J60" i="65" s="1"/>
  <c r="K60" i="65" s="1"/>
  <c r="N60" i="65"/>
  <c r="AM60" i="65"/>
  <c r="AN60" i="63" a="1"/>
  <c r="AN60" i="63" s="1"/>
  <c r="B62" i="65" s="1"/>
  <c r="AG58" i="65"/>
  <c r="O61" i="65"/>
  <c r="L61" i="65"/>
  <c r="M61" i="65" s="1"/>
  <c r="C61" i="65"/>
  <c r="N61" i="65" l="1"/>
  <c r="AM61" i="65"/>
  <c r="D61" i="65"/>
  <c r="E61" i="65" s="1"/>
  <c r="F61" i="65" s="1"/>
  <c r="G61" i="65" s="1"/>
  <c r="H61" i="65" s="1"/>
  <c r="I61" i="65" s="1"/>
  <c r="J61" i="65" s="1"/>
  <c r="K61" i="65" s="1"/>
  <c r="P61" i="65"/>
  <c r="L62" i="65"/>
  <c r="M62" i="65" s="1"/>
  <c r="O62" i="65"/>
  <c r="C62" i="65"/>
  <c r="AV60" i="65"/>
  <c r="AE60" i="65"/>
  <c r="AF60" i="65"/>
  <c r="U60" i="65"/>
  <c r="AH60" i="65"/>
  <c r="R60" i="65"/>
  <c r="S60" i="65" s="1"/>
  <c r="Y60" i="65" s="1"/>
  <c r="AB60" i="65" s="1"/>
  <c r="AC60" i="65" s="1"/>
  <c r="AD60" i="65" s="1"/>
  <c r="Q60" i="65"/>
  <c r="AG59" i="65"/>
  <c r="AN61" i="63" a="1"/>
  <c r="AN61" i="63" s="1"/>
  <c r="B63" i="65" s="1"/>
  <c r="O63" i="65" l="1"/>
  <c r="L63" i="65"/>
  <c r="M63" i="65" s="1"/>
  <c r="C63" i="65"/>
  <c r="AM62" i="65"/>
  <c r="P62" i="65"/>
  <c r="D62" i="65"/>
  <c r="E62" i="65" s="1"/>
  <c r="F62" i="65" s="1"/>
  <c r="G62" i="65" s="1"/>
  <c r="H62" i="65" s="1"/>
  <c r="I62" i="65" s="1"/>
  <c r="J62" i="65" s="1"/>
  <c r="K62" i="65" s="1"/>
  <c r="N62" i="65"/>
  <c r="AG60" i="65"/>
  <c r="AN62" i="63" a="1"/>
  <c r="AN62" i="63" s="1"/>
  <c r="B64" i="65" s="1"/>
  <c r="AH61" i="65"/>
  <c r="U61" i="65"/>
  <c r="Q61" i="65"/>
  <c r="AF61" i="65"/>
  <c r="R61" i="65"/>
  <c r="S61" i="65" s="1"/>
  <c r="Y61" i="65" s="1"/>
  <c r="AB61" i="65" s="1"/>
  <c r="AC61" i="65" s="1"/>
  <c r="AD61" i="65" s="1"/>
  <c r="AE61" i="65"/>
  <c r="AV61" i="65"/>
  <c r="AG61" i="65" l="1"/>
  <c r="AN63" i="63" a="1"/>
  <c r="AN63" i="63" s="1"/>
  <c r="B65" i="65" s="1"/>
  <c r="AH62" i="65"/>
  <c r="U62" i="65"/>
  <c r="AF62" i="65"/>
  <c r="R62" i="65"/>
  <c r="S62" i="65" s="1"/>
  <c r="Y62" i="65" s="1"/>
  <c r="AB62" i="65" s="1"/>
  <c r="AC62" i="65" s="1"/>
  <c r="AD62" i="65" s="1"/>
  <c r="AV62" i="65"/>
  <c r="Q62" i="65"/>
  <c r="AE62" i="65"/>
  <c r="AM63" i="65"/>
  <c r="D63" i="65"/>
  <c r="E63" i="65" s="1"/>
  <c r="F63" i="65" s="1"/>
  <c r="G63" i="65" s="1"/>
  <c r="H63" i="65" s="1"/>
  <c r="I63" i="65" s="1"/>
  <c r="J63" i="65" s="1"/>
  <c r="K63" i="65" s="1"/>
  <c r="N63" i="65"/>
  <c r="P63" i="65"/>
  <c r="C64" i="65"/>
  <c r="O64" i="65"/>
  <c r="L64" i="65"/>
  <c r="M64" i="65" s="1"/>
  <c r="D64" i="65" l="1"/>
  <c r="E64" i="65" s="1"/>
  <c r="F64" i="65" s="1"/>
  <c r="G64" i="65" s="1"/>
  <c r="H64" i="65" s="1"/>
  <c r="I64" i="65" s="1"/>
  <c r="J64" i="65" s="1"/>
  <c r="K64" i="65" s="1"/>
  <c r="N64" i="65"/>
  <c r="P64" i="65"/>
  <c r="AM64" i="65"/>
  <c r="AF63" i="65"/>
  <c r="R63" i="65"/>
  <c r="S63" i="65" s="1"/>
  <c r="Y63" i="65" s="1"/>
  <c r="AB63" i="65" s="1"/>
  <c r="AC63" i="65" s="1"/>
  <c r="AD63" i="65" s="1"/>
  <c r="AH63" i="65"/>
  <c r="U63" i="65"/>
  <c r="AE63" i="65"/>
  <c r="AV63" i="65"/>
  <c r="Q63" i="65"/>
  <c r="AN64" i="63" a="1"/>
  <c r="AN64" i="63" s="1"/>
  <c r="B66" i="65" s="1"/>
  <c r="AG62" i="65"/>
  <c r="O65" i="65"/>
  <c r="L65" i="65"/>
  <c r="M65" i="65" s="1"/>
  <c r="C65" i="65"/>
  <c r="C66" i="65" l="1"/>
  <c r="O66" i="65"/>
  <c r="L66" i="65"/>
  <c r="M66" i="65" s="1"/>
  <c r="AV64" i="65"/>
  <c r="Q64" i="65"/>
  <c r="AF64" i="65"/>
  <c r="U64" i="65"/>
  <c r="AE64" i="65"/>
  <c r="AH64" i="65"/>
  <c r="R64" i="65"/>
  <c r="S64" i="65" s="1"/>
  <c r="Y64" i="65" s="1"/>
  <c r="AB64" i="65" s="1"/>
  <c r="AC64" i="65" s="1"/>
  <c r="AD64" i="65" s="1"/>
  <c r="AN65" i="63" a="1"/>
  <c r="AN65" i="63" s="1"/>
  <c r="B67" i="65" s="1"/>
  <c r="AG63" i="65"/>
  <c r="N65" i="65"/>
  <c r="AM65" i="65"/>
  <c r="P65" i="65"/>
  <c r="D65" i="65"/>
  <c r="E65" i="65" s="1"/>
  <c r="F65" i="65" s="1"/>
  <c r="G65" i="65" s="1"/>
  <c r="H65" i="65" s="1"/>
  <c r="I65" i="65" s="1"/>
  <c r="J65" i="65" s="1"/>
  <c r="K65" i="65" s="1"/>
  <c r="O67" i="65" l="1"/>
  <c r="L67" i="65"/>
  <c r="M67" i="65" s="1"/>
  <c r="C67" i="65"/>
  <c r="AG64" i="65"/>
  <c r="AN66" i="63" a="1"/>
  <c r="AN66" i="63" s="1"/>
  <c r="B68" i="65" s="1"/>
  <c r="R65" i="65"/>
  <c r="S65" i="65" s="1"/>
  <c r="Y65" i="65" s="1"/>
  <c r="AB65" i="65" s="1"/>
  <c r="AC65" i="65" s="1"/>
  <c r="AD65" i="65" s="1"/>
  <c r="AE65" i="65"/>
  <c r="AV65" i="65"/>
  <c r="U65" i="65"/>
  <c r="AH65" i="65"/>
  <c r="Q65" i="65"/>
  <c r="AF65" i="65"/>
  <c r="P66" i="65"/>
  <c r="N66" i="65"/>
  <c r="AM66" i="65"/>
  <c r="D66" i="65"/>
  <c r="E66" i="65" s="1"/>
  <c r="F66" i="65" s="1"/>
  <c r="G66" i="65" s="1"/>
  <c r="H66" i="65" s="1"/>
  <c r="I66" i="65" s="1"/>
  <c r="J66" i="65" s="1"/>
  <c r="K66" i="65" s="1"/>
  <c r="AG65" i="65" l="1"/>
  <c r="AF66" i="65"/>
  <c r="AH66" i="65"/>
  <c r="R66" i="65"/>
  <c r="S66" i="65" s="1"/>
  <c r="Y66" i="65" s="1"/>
  <c r="AB66" i="65" s="1"/>
  <c r="AC66" i="65" s="1"/>
  <c r="AD66" i="65" s="1"/>
  <c r="AV66" i="65"/>
  <c r="Q66" i="65"/>
  <c r="AE66" i="65"/>
  <c r="U66" i="65"/>
  <c r="D67" i="65"/>
  <c r="E67" i="65" s="1"/>
  <c r="F67" i="65" s="1"/>
  <c r="G67" i="65" s="1"/>
  <c r="H67" i="65" s="1"/>
  <c r="I67" i="65" s="1"/>
  <c r="J67" i="65" s="1"/>
  <c r="K67" i="65" s="1"/>
  <c r="N67" i="65"/>
  <c r="AM67" i="65"/>
  <c r="P67" i="65"/>
  <c r="O68" i="65"/>
  <c r="L68" i="65"/>
  <c r="M68" i="65" s="1"/>
  <c r="C68" i="65"/>
  <c r="AN67" i="63" a="1"/>
  <c r="AN67" i="63" s="1"/>
  <c r="B69" i="65" s="1"/>
  <c r="AN68" i="63" l="1" a="1"/>
  <c r="AN68" i="63" s="1"/>
  <c r="B70" i="65" s="1"/>
  <c r="L69" i="65"/>
  <c r="M69" i="65" s="1"/>
  <c r="C69" i="65"/>
  <c r="O69" i="65"/>
  <c r="P68" i="65"/>
  <c r="N68" i="65"/>
  <c r="D68" i="65"/>
  <c r="E68" i="65" s="1"/>
  <c r="F68" i="65" s="1"/>
  <c r="G68" i="65" s="1"/>
  <c r="H68" i="65" s="1"/>
  <c r="I68" i="65" s="1"/>
  <c r="J68" i="65" s="1"/>
  <c r="K68" i="65" s="1"/>
  <c r="AM68" i="65"/>
  <c r="AF67" i="65"/>
  <c r="Q67" i="65"/>
  <c r="U67" i="65"/>
  <c r="AH67" i="65"/>
  <c r="AE67" i="65"/>
  <c r="AV67" i="65"/>
  <c r="R67" i="65"/>
  <c r="S67" i="65" s="1"/>
  <c r="Y67" i="65" s="1"/>
  <c r="AB67" i="65" s="1"/>
  <c r="AC67" i="65" s="1"/>
  <c r="AD67" i="65" s="1"/>
  <c r="AG66" i="65"/>
  <c r="AN69" i="63" l="1" a="1"/>
  <c r="AN69" i="63" s="1"/>
  <c r="B71" i="65" s="1"/>
  <c r="AG67" i="65"/>
  <c r="N69" i="65"/>
  <c r="P69" i="65"/>
  <c r="D69" i="65"/>
  <c r="E69" i="65" s="1"/>
  <c r="F69" i="65" s="1"/>
  <c r="G69" i="65" s="1"/>
  <c r="H69" i="65" s="1"/>
  <c r="I69" i="65" s="1"/>
  <c r="J69" i="65" s="1"/>
  <c r="K69" i="65" s="1"/>
  <c r="AM69" i="65"/>
  <c r="U68" i="65"/>
  <c r="Q68" i="65"/>
  <c r="AF68" i="65"/>
  <c r="AV68" i="65"/>
  <c r="AE68" i="65"/>
  <c r="AH68" i="65"/>
  <c r="R68" i="65"/>
  <c r="S68" i="65" s="1"/>
  <c r="Y68" i="65" s="1"/>
  <c r="AB68" i="65" s="1"/>
  <c r="AC68" i="65" s="1"/>
  <c r="AD68" i="65" s="1"/>
  <c r="O70" i="65"/>
  <c r="C70" i="65"/>
  <c r="L70" i="65"/>
  <c r="M70" i="65" s="1"/>
  <c r="AH69" i="65" l="1"/>
  <c r="AE69" i="65"/>
  <c r="R69" i="65"/>
  <c r="S69" i="65" s="1"/>
  <c r="Y69" i="65" s="1"/>
  <c r="AB69" i="65" s="1"/>
  <c r="AC69" i="65" s="1"/>
  <c r="AD69" i="65" s="1"/>
  <c r="AV69" i="65"/>
  <c r="AF69" i="65"/>
  <c r="Q69" i="65"/>
  <c r="U69" i="65"/>
  <c r="AG68" i="65"/>
  <c r="AN70" i="63" a="1"/>
  <c r="AN70" i="63" s="1"/>
  <c r="B72" i="65" s="1"/>
  <c r="P70" i="65"/>
  <c r="N70" i="65"/>
  <c r="AM70" i="65"/>
  <c r="D70" i="65"/>
  <c r="E70" i="65" s="1"/>
  <c r="F70" i="65" s="1"/>
  <c r="G70" i="65" s="1"/>
  <c r="H70" i="65" s="1"/>
  <c r="I70" i="65" s="1"/>
  <c r="J70" i="65" s="1"/>
  <c r="K70" i="65" s="1"/>
  <c r="C71" i="65"/>
  <c r="O71" i="65"/>
  <c r="L71" i="65"/>
  <c r="M71" i="65" s="1"/>
  <c r="O72" i="65" l="1"/>
  <c r="L72" i="65"/>
  <c r="M72" i="65" s="1"/>
  <c r="C72" i="65"/>
  <c r="AM71" i="65"/>
  <c r="N71" i="65"/>
  <c r="D71" i="65"/>
  <c r="E71" i="65" s="1"/>
  <c r="F71" i="65" s="1"/>
  <c r="G71" i="65" s="1"/>
  <c r="H71" i="65" s="1"/>
  <c r="I71" i="65" s="1"/>
  <c r="J71" i="65" s="1"/>
  <c r="K71" i="65" s="1"/>
  <c r="P71" i="65"/>
  <c r="R70" i="65"/>
  <c r="S70" i="65" s="1"/>
  <c r="Y70" i="65" s="1"/>
  <c r="AB70" i="65" s="1"/>
  <c r="AC70" i="65" s="1"/>
  <c r="AD70" i="65" s="1"/>
  <c r="AE70" i="65"/>
  <c r="AV70" i="65"/>
  <c r="AF70" i="65"/>
  <c r="AH70" i="65"/>
  <c r="U70" i="65"/>
  <c r="Q70" i="65"/>
  <c r="AG69" i="65"/>
  <c r="AN71" i="63" a="1"/>
  <c r="AN71" i="63" s="1"/>
  <c r="B73" i="65" s="1"/>
  <c r="P72" i="65" l="1"/>
  <c r="D72" i="65"/>
  <c r="E72" i="65" s="1"/>
  <c r="F72" i="65" s="1"/>
  <c r="G72" i="65" s="1"/>
  <c r="H72" i="65" s="1"/>
  <c r="I72" i="65" s="1"/>
  <c r="J72" i="65" s="1"/>
  <c r="K72" i="65" s="1"/>
  <c r="N72" i="65"/>
  <c r="AM72" i="65"/>
  <c r="L73" i="65"/>
  <c r="M73" i="65" s="1"/>
  <c r="C73" i="65"/>
  <c r="O73" i="65"/>
  <c r="U71" i="65"/>
  <c r="AE71" i="65"/>
  <c r="Q71" i="65"/>
  <c r="R71" i="65"/>
  <c r="S71" i="65" s="1"/>
  <c r="Y71" i="65" s="1"/>
  <c r="AB71" i="65" s="1"/>
  <c r="AC71" i="65" s="1"/>
  <c r="AD71" i="65" s="1"/>
  <c r="AH71" i="65"/>
  <c r="AF71" i="65"/>
  <c r="AV71" i="65"/>
  <c r="AG70" i="65"/>
  <c r="AN72" i="63" a="1"/>
  <c r="AN72" i="63" s="1"/>
  <c r="B74" i="65" s="1"/>
  <c r="AN73" i="63" l="1" a="1"/>
  <c r="AN73" i="63" s="1"/>
  <c r="B75" i="65" s="1"/>
  <c r="Q72" i="65"/>
  <c r="AH72" i="65"/>
  <c r="R72" i="65"/>
  <c r="S72" i="65" s="1"/>
  <c r="Y72" i="65" s="1"/>
  <c r="AB72" i="65" s="1"/>
  <c r="AC72" i="65" s="1"/>
  <c r="AD72" i="65" s="1"/>
  <c r="AE72" i="65"/>
  <c r="U72" i="65"/>
  <c r="AF72" i="65"/>
  <c r="AV72" i="65"/>
  <c r="L74" i="65"/>
  <c r="M74" i="65" s="1"/>
  <c r="C74" i="65"/>
  <c r="O74" i="65"/>
  <c r="AG71" i="65"/>
  <c r="N73" i="65"/>
  <c r="D73" i="65"/>
  <c r="E73" i="65" s="1"/>
  <c r="F73" i="65" s="1"/>
  <c r="G73" i="65" s="1"/>
  <c r="H73" i="65" s="1"/>
  <c r="I73" i="65" s="1"/>
  <c r="J73" i="65" s="1"/>
  <c r="K73" i="65" s="1"/>
  <c r="AM73" i="65"/>
  <c r="P73" i="65"/>
  <c r="AG72" i="65" l="1"/>
  <c r="AN74" i="63" a="1"/>
  <c r="AN74" i="63" s="1"/>
  <c r="B76" i="65" s="1"/>
  <c r="U73" i="65"/>
  <c r="AF73" i="65"/>
  <c r="R73" i="65"/>
  <c r="S73" i="65" s="1"/>
  <c r="Y73" i="65" s="1"/>
  <c r="AB73" i="65" s="1"/>
  <c r="AC73" i="65" s="1"/>
  <c r="AD73" i="65" s="1"/>
  <c r="AV73" i="65"/>
  <c r="AE73" i="65"/>
  <c r="Q73" i="65"/>
  <c r="AH73" i="65"/>
  <c r="P74" i="65"/>
  <c r="D74" i="65"/>
  <c r="E74" i="65" s="1"/>
  <c r="F74" i="65" s="1"/>
  <c r="G74" i="65" s="1"/>
  <c r="H74" i="65" s="1"/>
  <c r="I74" i="65" s="1"/>
  <c r="J74" i="65" s="1"/>
  <c r="K74" i="65" s="1"/>
  <c r="N74" i="65"/>
  <c r="AM74" i="65"/>
  <c r="C75" i="65"/>
  <c r="L75" i="65"/>
  <c r="M75" i="65" s="1"/>
  <c r="O75" i="65"/>
  <c r="AG73" i="65" l="1"/>
  <c r="L76" i="65"/>
  <c r="M76" i="65" s="1"/>
  <c r="O76" i="65"/>
  <c r="C76" i="65"/>
  <c r="AM75" i="65"/>
  <c r="D75" i="65"/>
  <c r="E75" i="65" s="1"/>
  <c r="F75" i="65" s="1"/>
  <c r="G75" i="65" s="1"/>
  <c r="H75" i="65" s="1"/>
  <c r="I75" i="65" s="1"/>
  <c r="J75" i="65" s="1"/>
  <c r="K75" i="65" s="1"/>
  <c r="P75" i="65"/>
  <c r="N75" i="65"/>
  <c r="AN75" i="63" a="1"/>
  <c r="AN75" i="63" s="1"/>
  <c r="B77" i="65" s="1"/>
  <c r="AV74" i="65"/>
  <c r="Q74" i="65"/>
  <c r="U74" i="65"/>
  <c r="AH74" i="65"/>
  <c r="R74" i="65"/>
  <c r="S74" i="65" s="1"/>
  <c r="Y74" i="65" s="1"/>
  <c r="AB74" i="65" s="1"/>
  <c r="AC74" i="65" s="1"/>
  <c r="AD74" i="65" s="1"/>
  <c r="AF74" i="65"/>
  <c r="AE74" i="65"/>
  <c r="AN76" i="63" l="1" a="1"/>
  <c r="AN76" i="63" s="1"/>
  <c r="B78" i="65" s="1"/>
  <c r="AG74" i="65"/>
  <c r="Q75" i="65"/>
  <c r="AE75" i="65"/>
  <c r="R75" i="65"/>
  <c r="S75" i="65" s="1"/>
  <c r="Y75" i="65" s="1"/>
  <c r="AB75" i="65" s="1"/>
  <c r="AC75" i="65" s="1"/>
  <c r="AD75" i="65" s="1"/>
  <c r="AF75" i="65"/>
  <c r="AH75" i="65"/>
  <c r="U75" i="65"/>
  <c r="AV75" i="65"/>
  <c r="D76" i="65"/>
  <c r="E76" i="65" s="1"/>
  <c r="F76" i="65" s="1"/>
  <c r="G76" i="65" s="1"/>
  <c r="H76" i="65" s="1"/>
  <c r="I76" i="65" s="1"/>
  <c r="J76" i="65" s="1"/>
  <c r="K76" i="65" s="1"/>
  <c r="P76" i="65"/>
  <c r="N76" i="65"/>
  <c r="AM76" i="65"/>
  <c r="C77" i="65"/>
  <c r="O77" i="65"/>
  <c r="L77" i="65"/>
  <c r="M77" i="65" s="1"/>
  <c r="AH76" i="65" l="1"/>
  <c r="R76" i="65"/>
  <c r="S76" i="65" s="1"/>
  <c r="Y76" i="65" s="1"/>
  <c r="AB76" i="65" s="1"/>
  <c r="AC76" i="65" s="1"/>
  <c r="AD76" i="65" s="1"/>
  <c r="AE76" i="65"/>
  <c r="Q76" i="65"/>
  <c r="AF76" i="65"/>
  <c r="AV76" i="65"/>
  <c r="U76" i="65"/>
  <c r="D77" i="65"/>
  <c r="E77" i="65" s="1"/>
  <c r="F77" i="65" s="1"/>
  <c r="G77" i="65" s="1"/>
  <c r="H77" i="65" s="1"/>
  <c r="I77" i="65" s="1"/>
  <c r="J77" i="65" s="1"/>
  <c r="K77" i="65" s="1"/>
  <c r="N77" i="65"/>
  <c r="AM77" i="65"/>
  <c r="P77" i="65"/>
  <c r="AG75" i="65"/>
  <c r="O78" i="65"/>
  <c r="C78" i="65"/>
  <c r="L78" i="65"/>
  <c r="M78" i="65" s="1"/>
  <c r="AN77" i="63" a="1"/>
  <c r="AN77" i="63" s="1"/>
  <c r="B79" i="65" s="1"/>
  <c r="D78" i="65" l="1"/>
  <c r="E78" i="65" s="1"/>
  <c r="F78" i="65" s="1"/>
  <c r="G78" i="65" s="1"/>
  <c r="H78" i="65" s="1"/>
  <c r="I78" i="65" s="1"/>
  <c r="J78" i="65" s="1"/>
  <c r="K78" i="65" s="1"/>
  <c r="P78" i="65"/>
  <c r="N78" i="65"/>
  <c r="AM78" i="65"/>
  <c r="AN78" i="63" a="1"/>
  <c r="AN78" i="63" s="1"/>
  <c r="B80" i="65" s="1"/>
  <c r="R77" i="65"/>
  <c r="S77" i="65" s="1"/>
  <c r="Y77" i="65" s="1"/>
  <c r="AB77" i="65" s="1"/>
  <c r="AC77" i="65" s="1"/>
  <c r="AD77" i="65" s="1"/>
  <c r="Q77" i="65"/>
  <c r="AH77" i="65"/>
  <c r="AE77" i="65"/>
  <c r="AF77" i="65"/>
  <c r="AV77" i="65"/>
  <c r="U77" i="65"/>
  <c r="L79" i="65"/>
  <c r="M79" i="65" s="1"/>
  <c r="O79" i="65"/>
  <c r="C79" i="65"/>
  <c r="AG76" i="65"/>
  <c r="AM79" i="65" l="1"/>
  <c r="D79" i="65"/>
  <c r="E79" i="65" s="1"/>
  <c r="F79" i="65" s="1"/>
  <c r="G79" i="65" s="1"/>
  <c r="H79" i="65" s="1"/>
  <c r="I79" i="65" s="1"/>
  <c r="J79" i="65" s="1"/>
  <c r="K79" i="65" s="1"/>
  <c r="P79" i="65"/>
  <c r="N79" i="65"/>
  <c r="R78" i="65"/>
  <c r="S78" i="65" s="1"/>
  <c r="Y78" i="65" s="1"/>
  <c r="AB78" i="65" s="1"/>
  <c r="AC78" i="65" s="1"/>
  <c r="AD78" i="65" s="1"/>
  <c r="AF78" i="65"/>
  <c r="AH78" i="65"/>
  <c r="AE78" i="65"/>
  <c r="U78" i="65"/>
  <c r="AV78" i="65"/>
  <c r="Q78" i="65"/>
  <c r="AN79" i="63" a="1"/>
  <c r="AN79" i="63" s="1"/>
  <c r="B81" i="65" s="1"/>
  <c r="AG77" i="65"/>
  <c r="L80" i="65"/>
  <c r="M80" i="65" s="1"/>
  <c r="C80" i="65"/>
  <c r="O80" i="65"/>
  <c r="L81" i="65" l="1"/>
  <c r="M81" i="65" s="1"/>
  <c r="C81" i="65"/>
  <c r="O81" i="65"/>
  <c r="AF79" i="65"/>
  <c r="AH79" i="65"/>
  <c r="AV79" i="65"/>
  <c r="R79" i="65"/>
  <c r="S79" i="65" s="1"/>
  <c r="Y79" i="65" s="1"/>
  <c r="AB79" i="65" s="1"/>
  <c r="AC79" i="65" s="1"/>
  <c r="AD79" i="65" s="1"/>
  <c r="Q79" i="65"/>
  <c r="AE79" i="65"/>
  <c r="U79" i="65"/>
  <c r="P80" i="65"/>
  <c r="AM80" i="65"/>
  <c r="D80" i="65"/>
  <c r="E80" i="65" s="1"/>
  <c r="F80" i="65" s="1"/>
  <c r="G80" i="65" s="1"/>
  <c r="H80" i="65" s="1"/>
  <c r="I80" i="65" s="1"/>
  <c r="J80" i="65" s="1"/>
  <c r="K80" i="65" s="1"/>
  <c r="N80" i="65"/>
  <c r="AG78" i="65"/>
  <c r="AN80" i="63" a="1"/>
  <c r="AN80" i="63" s="1"/>
  <c r="B82" i="65" s="1"/>
  <c r="AG79" i="65" l="1"/>
  <c r="AN81" i="63" a="1"/>
  <c r="AN81" i="63" s="1"/>
  <c r="B83" i="65" s="1"/>
  <c r="AF80" i="65"/>
  <c r="AV80" i="65"/>
  <c r="R80" i="65"/>
  <c r="S80" i="65" s="1"/>
  <c r="Y80" i="65" s="1"/>
  <c r="AB80" i="65" s="1"/>
  <c r="AC80" i="65" s="1"/>
  <c r="AD80" i="65" s="1"/>
  <c r="U80" i="65"/>
  <c r="AH80" i="65"/>
  <c r="Q80" i="65"/>
  <c r="AE80" i="65"/>
  <c r="P81" i="65"/>
  <c r="D81" i="65"/>
  <c r="E81" i="65" s="1"/>
  <c r="F81" i="65" s="1"/>
  <c r="G81" i="65" s="1"/>
  <c r="H81" i="65" s="1"/>
  <c r="I81" i="65" s="1"/>
  <c r="J81" i="65" s="1"/>
  <c r="K81" i="65" s="1"/>
  <c r="AM81" i="65"/>
  <c r="N81" i="65"/>
  <c r="C82" i="65"/>
  <c r="O82" i="65"/>
  <c r="L82" i="65"/>
  <c r="M82" i="65" s="1"/>
  <c r="AG80" i="65" l="1"/>
  <c r="O83" i="65"/>
  <c r="L83" i="65"/>
  <c r="M83" i="65" s="1"/>
  <c r="C83" i="65"/>
  <c r="AN82" i="63" a="1"/>
  <c r="AN82" i="63" s="1"/>
  <c r="B84" i="65" s="1"/>
  <c r="P82" i="65"/>
  <c r="AM82" i="65"/>
  <c r="D82" i="65"/>
  <c r="E82" i="65" s="1"/>
  <c r="F82" i="65" s="1"/>
  <c r="G82" i="65" s="1"/>
  <c r="H82" i="65" s="1"/>
  <c r="I82" i="65" s="1"/>
  <c r="J82" i="65" s="1"/>
  <c r="K82" i="65" s="1"/>
  <c r="N82" i="65"/>
  <c r="AE81" i="65"/>
  <c r="AF81" i="65"/>
  <c r="R81" i="65"/>
  <c r="S81" i="65" s="1"/>
  <c r="Y81" i="65" s="1"/>
  <c r="AB81" i="65" s="1"/>
  <c r="AC81" i="65" s="1"/>
  <c r="AD81" i="65" s="1"/>
  <c r="U81" i="65"/>
  <c r="AH81" i="65"/>
  <c r="Q81" i="65"/>
  <c r="AV81" i="65"/>
  <c r="C84" i="65" l="1"/>
  <c r="L84" i="65"/>
  <c r="M84" i="65" s="1"/>
  <c r="O84" i="65"/>
  <c r="AG81" i="65"/>
  <c r="D83" i="65"/>
  <c r="E83" i="65" s="1"/>
  <c r="F83" i="65" s="1"/>
  <c r="G83" i="65" s="1"/>
  <c r="H83" i="65" s="1"/>
  <c r="I83" i="65" s="1"/>
  <c r="J83" i="65" s="1"/>
  <c r="K83" i="65" s="1"/>
  <c r="P83" i="65"/>
  <c r="N83" i="65"/>
  <c r="AM83" i="65"/>
  <c r="AN83" i="63" a="1"/>
  <c r="AN83" i="63" s="1"/>
  <c r="B85" i="65" s="1"/>
  <c r="Q82" i="65"/>
  <c r="U82" i="65"/>
  <c r="AE82" i="65"/>
  <c r="AF82" i="65"/>
  <c r="AV82" i="65"/>
  <c r="R82" i="65"/>
  <c r="S82" i="65" s="1"/>
  <c r="Y82" i="65" s="1"/>
  <c r="AB82" i="65" s="1"/>
  <c r="AC82" i="65" s="1"/>
  <c r="AD82" i="65" s="1"/>
  <c r="AH82" i="65"/>
  <c r="AH83" i="65" l="1"/>
  <c r="AE83" i="65"/>
  <c r="R83" i="65"/>
  <c r="S83" i="65" s="1"/>
  <c r="Y83" i="65" s="1"/>
  <c r="AB83" i="65" s="1"/>
  <c r="AC83" i="65" s="1"/>
  <c r="AD83" i="65" s="1"/>
  <c r="AV83" i="65"/>
  <c r="Q83" i="65"/>
  <c r="AF83" i="65"/>
  <c r="U83" i="65"/>
  <c r="C85" i="65"/>
  <c r="L85" i="65"/>
  <c r="M85" i="65" s="1"/>
  <c r="O85" i="65"/>
  <c r="AN84" i="63" a="1"/>
  <c r="AN84" i="63" s="1"/>
  <c r="B86" i="65" s="1"/>
  <c r="AG82" i="65"/>
  <c r="P84" i="65"/>
  <c r="N84" i="65"/>
  <c r="AM84" i="65"/>
  <c r="D84" i="65"/>
  <c r="E84" i="65" s="1"/>
  <c r="F84" i="65" s="1"/>
  <c r="G84" i="65" s="1"/>
  <c r="H84" i="65" s="1"/>
  <c r="I84" i="65" s="1"/>
  <c r="J84" i="65" s="1"/>
  <c r="K84" i="65" s="1"/>
  <c r="Q84" i="65" l="1"/>
  <c r="U84" i="65"/>
  <c r="AH84" i="65"/>
  <c r="AE84" i="65"/>
  <c r="AF84" i="65"/>
  <c r="R84" i="65"/>
  <c r="S84" i="65" s="1"/>
  <c r="Y84" i="65" s="1"/>
  <c r="AB84" i="65" s="1"/>
  <c r="AC84" i="65" s="1"/>
  <c r="AD84" i="65" s="1"/>
  <c r="AV84" i="65"/>
  <c r="AG83" i="65"/>
  <c r="C86" i="65"/>
  <c r="L86" i="65"/>
  <c r="M86" i="65" s="1"/>
  <c r="O86" i="65"/>
  <c r="P85" i="65"/>
  <c r="AM85" i="65"/>
  <c r="D85" i="65"/>
  <c r="E85" i="65" s="1"/>
  <c r="F85" i="65" s="1"/>
  <c r="G85" i="65" s="1"/>
  <c r="H85" i="65" s="1"/>
  <c r="I85" i="65" s="1"/>
  <c r="J85" i="65" s="1"/>
  <c r="K85" i="65" s="1"/>
  <c r="N85" i="65"/>
  <c r="AN85" i="63" a="1"/>
  <c r="AN85" i="63" s="1"/>
  <c r="B87" i="65" s="1"/>
  <c r="AH85" i="65" l="1"/>
  <c r="AV85" i="65"/>
  <c r="AF85" i="65"/>
  <c r="R85" i="65"/>
  <c r="S85" i="65" s="1"/>
  <c r="Y85" i="65" s="1"/>
  <c r="AB85" i="65" s="1"/>
  <c r="AC85" i="65" s="1"/>
  <c r="AD85" i="65" s="1"/>
  <c r="AE85" i="65"/>
  <c r="Q85" i="65"/>
  <c r="U85" i="65"/>
  <c r="L87" i="65"/>
  <c r="M87" i="65" s="1"/>
  <c r="C87" i="65"/>
  <c r="O87" i="65"/>
  <c r="N86" i="65"/>
  <c r="P86" i="65"/>
  <c r="D86" i="65"/>
  <c r="E86" i="65" s="1"/>
  <c r="F86" i="65" s="1"/>
  <c r="G86" i="65" s="1"/>
  <c r="H86" i="65" s="1"/>
  <c r="I86" i="65" s="1"/>
  <c r="J86" i="65" s="1"/>
  <c r="K86" i="65" s="1"/>
  <c r="AM86" i="65"/>
  <c r="AN86" i="63" a="1"/>
  <c r="AN86" i="63" s="1"/>
  <c r="B88" i="65" s="1"/>
  <c r="AG84" i="65"/>
  <c r="C88" i="65" l="1"/>
  <c r="L88" i="65"/>
  <c r="M88" i="65" s="1"/>
  <c r="O88" i="65"/>
  <c r="AV86" i="65"/>
  <c r="Q86" i="65"/>
  <c r="AH86" i="65"/>
  <c r="AF86" i="65"/>
  <c r="AE86" i="65"/>
  <c r="R86" i="65"/>
  <c r="S86" i="65" s="1"/>
  <c r="Y86" i="65" s="1"/>
  <c r="AB86" i="65" s="1"/>
  <c r="AC86" i="65" s="1"/>
  <c r="AD86" i="65" s="1"/>
  <c r="U86" i="65"/>
  <c r="AG85" i="65"/>
  <c r="AN87" i="63" a="1"/>
  <c r="AN87" i="63" s="1"/>
  <c r="B89" i="65" s="1"/>
  <c r="AM87" i="65"/>
  <c r="D87" i="65"/>
  <c r="E87" i="65" s="1"/>
  <c r="F87" i="65" s="1"/>
  <c r="G87" i="65" s="1"/>
  <c r="H87" i="65" s="1"/>
  <c r="I87" i="65" s="1"/>
  <c r="J87" i="65" s="1"/>
  <c r="K87" i="65" s="1"/>
  <c r="P87" i="65"/>
  <c r="N87" i="65"/>
  <c r="O89" i="65" l="1"/>
  <c r="L89" i="65"/>
  <c r="M89" i="65" s="1"/>
  <c r="C89" i="65"/>
  <c r="AG86" i="65"/>
  <c r="AN88" i="63" a="1"/>
  <c r="AN88" i="63" s="1"/>
  <c r="B90" i="65" s="1"/>
  <c r="AF87" i="65"/>
  <c r="AV87" i="65"/>
  <c r="Q87" i="65"/>
  <c r="U87" i="65"/>
  <c r="AE87" i="65"/>
  <c r="AH87" i="65"/>
  <c r="R87" i="65"/>
  <c r="S87" i="65" s="1"/>
  <c r="Y87" i="65" s="1"/>
  <c r="AB87" i="65" s="1"/>
  <c r="AC87" i="65" s="1"/>
  <c r="AD87" i="65" s="1"/>
  <c r="P88" i="65"/>
  <c r="AM88" i="65"/>
  <c r="D88" i="65"/>
  <c r="E88" i="65" s="1"/>
  <c r="F88" i="65" s="1"/>
  <c r="G88" i="65" s="1"/>
  <c r="H88" i="65" s="1"/>
  <c r="I88" i="65" s="1"/>
  <c r="J88" i="65" s="1"/>
  <c r="K88" i="65" s="1"/>
  <c r="N88" i="65"/>
  <c r="Q88" i="65" l="1"/>
  <c r="U88" i="65"/>
  <c r="AV88" i="65"/>
  <c r="AE88" i="65"/>
  <c r="R88" i="65"/>
  <c r="S88" i="65" s="1"/>
  <c r="Y88" i="65" s="1"/>
  <c r="AB88" i="65" s="1"/>
  <c r="AC88" i="65" s="1"/>
  <c r="AD88" i="65" s="1"/>
  <c r="AH88" i="65"/>
  <c r="AF88" i="65"/>
  <c r="AG87" i="65"/>
  <c r="AM89" i="65"/>
  <c r="D89" i="65"/>
  <c r="E89" i="65" s="1"/>
  <c r="F89" i="65" s="1"/>
  <c r="G89" i="65" s="1"/>
  <c r="H89" i="65" s="1"/>
  <c r="I89" i="65" s="1"/>
  <c r="J89" i="65" s="1"/>
  <c r="K89" i="65" s="1"/>
  <c r="P89" i="65"/>
  <c r="N89" i="65"/>
  <c r="L90" i="65"/>
  <c r="M90" i="65" s="1"/>
  <c r="O90" i="65"/>
  <c r="C90" i="65"/>
  <c r="AN89" i="63" a="1"/>
  <c r="AN89" i="63" s="1"/>
  <c r="B91" i="65" s="1"/>
  <c r="AN90" i="63" l="1" a="1"/>
  <c r="AN90" i="63" s="1"/>
  <c r="B92" i="65" s="1"/>
  <c r="D90" i="65"/>
  <c r="E90" i="65" s="1"/>
  <c r="F90" i="65" s="1"/>
  <c r="G90" i="65" s="1"/>
  <c r="H90" i="65" s="1"/>
  <c r="I90" i="65" s="1"/>
  <c r="J90" i="65" s="1"/>
  <c r="K90" i="65" s="1"/>
  <c r="AM90" i="65"/>
  <c r="N90" i="65"/>
  <c r="P90" i="65"/>
  <c r="AG88" i="65"/>
  <c r="C91" i="65"/>
  <c r="O91" i="65"/>
  <c r="L91" i="65"/>
  <c r="M91" i="65" s="1"/>
  <c r="U89" i="65"/>
  <c r="Q89" i="65"/>
  <c r="AH89" i="65"/>
  <c r="AV89" i="65"/>
  <c r="AF89" i="65"/>
  <c r="AE89" i="65"/>
  <c r="R89" i="65"/>
  <c r="S89" i="65" s="1"/>
  <c r="Y89" i="65" s="1"/>
  <c r="AB89" i="65" s="1"/>
  <c r="AC89" i="65" s="1"/>
  <c r="AD89" i="65" s="1"/>
  <c r="AN91" i="63" l="1" a="1"/>
  <c r="AN91" i="63" s="1"/>
  <c r="B93" i="65" s="1"/>
  <c r="N91" i="65"/>
  <c r="AM91" i="65"/>
  <c r="P91" i="65"/>
  <c r="D91" i="65"/>
  <c r="E91" i="65" s="1"/>
  <c r="F91" i="65" s="1"/>
  <c r="G91" i="65" s="1"/>
  <c r="H91" i="65" s="1"/>
  <c r="I91" i="65" s="1"/>
  <c r="J91" i="65" s="1"/>
  <c r="K91" i="65" s="1"/>
  <c r="Q90" i="65"/>
  <c r="AV90" i="65"/>
  <c r="R90" i="65"/>
  <c r="S90" i="65" s="1"/>
  <c r="Y90" i="65" s="1"/>
  <c r="AB90" i="65" s="1"/>
  <c r="AC90" i="65" s="1"/>
  <c r="AD90" i="65" s="1"/>
  <c r="AH90" i="65"/>
  <c r="AF90" i="65"/>
  <c r="U90" i="65"/>
  <c r="AE90" i="65"/>
  <c r="AG89" i="65"/>
  <c r="O92" i="65"/>
  <c r="L92" i="65"/>
  <c r="M92" i="65" s="1"/>
  <c r="C92" i="65"/>
  <c r="AN92" i="63" l="1" a="1"/>
  <c r="AN92" i="63" s="1"/>
  <c r="B94" i="65" s="1"/>
  <c r="D92" i="65"/>
  <c r="E92" i="65" s="1"/>
  <c r="F92" i="65" s="1"/>
  <c r="G92" i="65" s="1"/>
  <c r="H92" i="65" s="1"/>
  <c r="I92" i="65" s="1"/>
  <c r="J92" i="65" s="1"/>
  <c r="K92" i="65" s="1"/>
  <c r="AM92" i="65"/>
  <c r="P92" i="65"/>
  <c r="N92" i="65"/>
  <c r="AG90" i="65"/>
  <c r="Q91" i="65"/>
  <c r="R91" i="65"/>
  <c r="S91" i="65" s="1"/>
  <c r="Y91" i="65" s="1"/>
  <c r="AB91" i="65" s="1"/>
  <c r="AC91" i="65" s="1"/>
  <c r="AD91" i="65" s="1"/>
  <c r="AH91" i="65"/>
  <c r="AF91" i="65"/>
  <c r="AE91" i="65"/>
  <c r="AV91" i="65"/>
  <c r="U91" i="65"/>
  <c r="O93" i="65"/>
  <c r="C93" i="65"/>
  <c r="L93" i="65"/>
  <c r="M93" i="65" s="1"/>
  <c r="Q92" i="65" l="1"/>
  <c r="AF92" i="65"/>
  <c r="AE92" i="65"/>
  <c r="AV92" i="65"/>
  <c r="R92" i="65"/>
  <c r="S92" i="65" s="1"/>
  <c r="Y92" i="65" s="1"/>
  <c r="AB92" i="65" s="1"/>
  <c r="AC92" i="65" s="1"/>
  <c r="AD92" i="65" s="1"/>
  <c r="AH92" i="65"/>
  <c r="U92" i="65"/>
  <c r="AG91" i="65"/>
  <c r="C94" i="65"/>
  <c r="O94" i="65"/>
  <c r="L94" i="65"/>
  <c r="M94" i="65" s="1"/>
  <c r="D93" i="65"/>
  <c r="E93" i="65" s="1"/>
  <c r="F93" i="65" s="1"/>
  <c r="G93" i="65" s="1"/>
  <c r="H93" i="65" s="1"/>
  <c r="I93" i="65" s="1"/>
  <c r="J93" i="65" s="1"/>
  <c r="K93" i="65" s="1"/>
  <c r="P93" i="65"/>
  <c r="N93" i="65"/>
  <c r="AM93" i="65"/>
  <c r="AN93" i="63" a="1"/>
  <c r="AN93" i="63" s="1"/>
  <c r="B95" i="65" s="1"/>
  <c r="AN94" i="63" l="1" a="1"/>
  <c r="AN94" i="63" s="1"/>
  <c r="B96" i="65" s="1"/>
  <c r="U93" i="65"/>
  <c r="AF93" i="65"/>
  <c r="Q93" i="65"/>
  <c r="R93" i="65"/>
  <c r="S93" i="65" s="1"/>
  <c r="Y93" i="65" s="1"/>
  <c r="AB93" i="65" s="1"/>
  <c r="AC93" i="65" s="1"/>
  <c r="AD93" i="65" s="1"/>
  <c r="AE93" i="65"/>
  <c r="AH93" i="65"/>
  <c r="AV93" i="65"/>
  <c r="L95" i="65"/>
  <c r="M95" i="65" s="1"/>
  <c r="O95" i="65"/>
  <c r="C95" i="65"/>
  <c r="AM94" i="65"/>
  <c r="N94" i="65"/>
  <c r="P94" i="65"/>
  <c r="D94" i="65"/>
  <c r="E94" i="65" s="1"/>
  <c r="F94" i="65" s="1"/>
  <c r="G94" i="65" s="1"/>
  <c r="H94" i="65" s="1"/>
  <c r="I94" i="65" s="1"/>
  <c r="J94" i="65" s="1"/>
  <c r="K94" i="65" s="1"/>
  <c r="AG92" i="65"/>
  <c r="AV94" i="65" l="1"/>
  <c r="U94" i="65"/>
  <c r="AE94" i="65"/>
  <c r="Q94" i="65"/>
  <c r="AH94" i="65"/>
  <c r="AF94" i="65"/>
  <c r="R94" i="65"/>
  <c r="S94" i="65" s="1"/>
  <c r="Y94" i="65" s="1"/>
  <c r="AB94" i="65" s="1"/>
  <c r="AC94" i="65" s="1"/>
  <c r="AD94" i="65" s="1"/>
  <c r="AM95" i="65"/>
  <c r="D95" i="65"/>
  <c r="E95" i="65" s="1"/>
  <c r="F95" i="65" s="1"/>
  <c r="G95" i="65" s="1"/>
  <c r="H95" i="65" s="1"/>
  <c r="I95" i="65" s="1"/>
  <c r="J95" i="65" s="1"/>
  <c r="K95" i="65" s="1"/>
  <c r="P95" i="65"/>
  <c r="N95" i="65"/>
  <c r="AG93" i="65"/>
  <c r="L96" i="65"/>
  <c r="M96" i="65" s="1"/>
  <c r="O96" i="65"/>
  <c r="C96" i="65"/>
  <c r="AN95" i="63" a="1"/>
  <c r="AN95" i="63" s="1"/>
  <c r="B97" i="65" s="1"/>
  <c r="Q95" i="65" l="1"/>
  <c r="AF95" i="65"/>
  <c r="R95" i="65"/>
  <c r="S95" i="65" s="1"/>
  <c r="Y95" i="65" s="1"/>
  <c r="AB95" i="65" s="1"/>
  <c r="AC95" i="65" s="1"/>
  <c r="AD95" i="65" s="1"/>
  <c r="AE95" i="65"/>
  <c r="U95" i="65"/>
  <c r="AH95" i="65"/>
  <c r="AV95" i="65"/>
  <c r="L97" i="65"/>
  <c r="M97" i="65" s="1"/>
  <c r="O97" i="65"/>
  <c r="C97" i="65"/>
  <c r="AG94" i="65"/>
  <c r="P96" i="65"/>
  <c r="N96" i="65"/>
  <c r="AM96" i="65"/>
  <c r="D96" i="65"/>
  <c r="E96" i="65" s="1"/>
  <c r="F96" i="65" s="1"/>
  <c r="G96" i="65" s="1"/>
  <c r="H96" i="65" s="1"/>
  <c r="I96" i="65" s="1"/>
  <c r="J96" i="65" s="1"/>
  <c r="K96" i="65" s="1"/>
  <c r="AN96" i="63" a="1"/>
  <c r="AN96" i="63" s="1"/>
  <c r="B98" i="65" s="1"/>
  <c r="AN97" i="63" l="1" a="1"/>
  <c r="AN97" i="63" s="1"/>
  <c r="B99" i="65" s="1"/>
  <c r="AE96" i="65"/>
  <c r="U96" i="65"/>
  <c r="AH96" i="65"/>
  <c r="AV96" i="65"/>
  <c r="Q96" i="65"/>
  <c r="AF96" i="65"/>
  <c r="R96" i="65"/>
  <c r="S96" i="65" s="1"/>
  <c r="Y96" i="65" s="1"/>
  <c r="AB96" i="65" s="1"/>
  <c r="AC96" i="65" s="1"/>
  <c r="AD96" i="65" s="1"/>
  <c r="AM97" i="65"/>
  <c r="D97" i="65"/>
  <c r="E97" i="65" s="1"/>
  <c r="F97" i="65" s="1"/>
  <c r="G97" i="65" s="1"/>
  <c r="H97" i="65" s="1"/>
  <c r="I97" i="65" s="1"/>
  <c r="J97" i="65" s="1"/>
  <c r="K97" i="65" s="1"/>
  <c r="P97" i="65"/>
  <c r="N97" i="65"/>
  <c r="AG95" i="65"/>
  <c r="L98" i="65"/>
  <c r="M98" i="65" s="1"/>
  <c r="O98" i="65"/>
  <c r="C98" i="65"/>
  <c r="N98" i="65" l="1"/>
  <c r="AM98" i="65"/>
  <c r="D98" i="65"/>
  <c r="E98" i="65" s="1"/>
  <c r="F98" i="65" s="1"/>
  <c r="G98" i="65" s="1"/>
  <c r="H98" i="65" s="1"/>
  <c r="I98" i="65" s="1"/>
  <c r="J98" i="65" s="1"/>
  <c r="K98" i="65" s="1"/>
  <c r="P98" i="65"/>
  <c r="AH97" i="65"/>
  <c r="AE97" i="65"/>
  <c r="AV97" i="65"/>
  <c r="Q97" i="65"/>
  <c r="AF97" i="65"/>
  <c r="R97" i="65"/>
  <c r="S97" i="65" s="1"/>
  <c r="Y97" i="65" s="1"/>
  <c r="AB97" i="65" s="1"/>
  <c r="AC97" i="65" s="1"/>
  <c r="AD97" i="65" s="1"/>
  <c r="U97" i="65"/>
  <c r="AN98" i="63" a="1"/>
  <c r="AN98" i="63" s="1"/>
  <c r="B100" i="65" s="1"/>
  <c r="AG96" i="65"/>
  <c r="C99" i="65"/>
  <c r="L99" i="65"/>
  <c r="M99" i="65" s="1"/>
  <c r="O99" i="65"/>
  <c r="N99" i="65" l="1"/>
  <c r="AM99" i="65"/>
  <c r="D99" i="65"/>
  <c r="E99" i="65" s="1"/>
  <c r="F99" i="65" s="1"/>
  <c r="G99" i="65" s="1"/>
  <c r="H99" i="65" s="1"/>
  <c r="I99" i="65" s="1"/>
  <c r="J99" i="65" s="1"/>
  <c r="K99" i="65" s="1"/>
  <c r="P99" i="65"/>
  <c r="AN99" i="63" a="1"/>
  <c r="AN99" i="63" s="1"/>
  <c r="B101" i="65" s="1"/>
  <c r="C100" i="65"/>
  <c r="O100" i="65"/>
  <c r="L100" i="65"/>
  <c r="M100" i="65" s="1"/>
  <c r="AG97" i="65"/>
  <c r="Q98" i="65"/>
  <c r="AF98" i="65"/>
  <c r="AH98" i="65"/>
  <c r="AE98" i="65"/>
  <c r="R98" i="65"/>
  <c r="S98" i="65" s="1"/>
  <c r="Y98" i="65" s="1"/>
  <c r="AB98" i="65" s="1"/>
  <c r="AC98" i="65" s="1"/>
  <c r="AD98" i="65" s="1"/>
  <c r="AV98" i="65"/>
  <c r="U98" i="65"/>
  <c r="AG98" i="65" l="1"/>
  <c r="AN100" i="63" a="1"/>
  <c r="AN100" i="63" s="1"/>
  <c r="B102" i="65" s="1"/>
  <c r="P100" i="65"/>
  <c r="N100" i="65"/>
  <c r="D100" i="65"/>
  <c r="E100" i="65" s="1"/>
  <c r="F100" i="65" s="1"/>
  <c r="G100" i="65" s="1"/>
  <c r="H100" i="65" s="1"/>
  <c r="I100" i="65" s="1"/>
  <c r="J100" i="65" s="1"/>
  <c r="K100" i="65" s="1"/>
  <c r="AM100" i="65"/>
  <c r="O101" i="65"/>
  <c r="C101" i="65"/>
  <c r="L101" i="65"/>
  <c r="M101" i="65" s="1"/>
  <c r="AH99" i="65"/>
  <c r="AE99" i="65"/>
  <c r="AF99" i="65"/>
  <c r="U99" i="65"/>
  <c r="Q99" i="65"/>
  <c r="AV99" i="65"/>
  <c r="R99" i="65"/>
  <c r="S99" i="65" s="1"/>
  <c r="Y99" i="65" s="1"/>
  <c r="AB99" i="65" s="1"/>
  <c r="AC99" i="65" s="1"/>
  <c r="AD99" i="65" s="1"/>
  <c r="AG99" i="65" l="1"/>
  <c r="AM101" i="65"/>
  <c r="D101" i="65"/>
  <c r="E101" i="65" s="1"/>
  <c r="F101" i="65" s="1"/>
  <c r="G101" i="65" s="1"/>
  <c r="H101" i="65" s="1"/>
  <c r="I101" i="65" s="1"/>
  <c r="J101" i="65" s="1"/>
  <c r="K101" i="65" s="1"/>
  <c r="P101" i="65"/>
  <c r="N101" i="65"/>
  <c r="AV100" i="65"/>
  <c r="R100" i="65"/>
  <c r="S100" i="65" s="1"/>
  <c r="Y100" i="65" s="1"/>
  <c r="AB100" i="65" s="1"/>
  <c r="AC100" i="65" s="1"/>
  <c r="AD100" i="65" s="1"/>
  <c r="AF100" i="65"/>
  <c r="AE100" i="65"/>
  <c r="AH100" i="65"/>
  <c r="Q100" i="65"/>
  <c r="U100" i="65"/>
  <c r="C102" i="65"/>
  <c r="L102" i="65"/>
  <c r="M102" i="65" s="1"/>
  <c r="O102" i="65"/>
  <c r="AN101" i="63" a="1"/>
  <c r="AN101" i="63" s="1"/>
  <c r="B103" i="65" s="1"/>
  <c r="AG100" i="65" l="1"/>
  <c r="L103" i="65"/>
  <c r="M103" i="65" s="1"/>
  <c r="C103" i="65"/>
  <c r="O103" i="65"/>
  <c r="AN102" i="63" a="1"/>
  <c r="AN102" i="63" s="1"/>
  <c r="B104" i="65" s="1"/>
  <c r="N102" i="65"/>
  <c r="AM102" i="65"/>
  <c r="D102" i="65"/>
  <c r="E102" i="65" s="1"/>
  <c r="F102" i="65" s="1"/>
  <c r="G102" i="65" s="1"/>
  <c r="H102" i="65" s="1"/>
  <c r="I102" i="65" s="1"/>
  <c r="J102" i="65" s="1"/>
  <c r="K102" i="65" s="1"/>
  <c r="P102" i="65"/>
  <c r="AV101" i="65"/>
  <c r="R101" i="65"/>
  <c r="S101" i="65" s="1"/>
  <c r="Y101" i="65" s="1"/>
  <c r="AB101" i="65" s="1"/>
  <c r="AC101" i="65" s="1"/>
  <c r="AD101" i="65" s="1"/>
  <c r="U101" i="65"/>
  <c r="AE101" i="65"/>
  <c r="AF101" i="65"/>
  <c r="AH101" i="65"/>
  <c r="Q101" i="65"/>
  <c r="AG101" i="65" l="1"/>
  <c r="D103" i="65"/>
  <c r="E103" i="65" s="1"/>
  <c r="F103" i="65" s="1"/>
  <c r="G103" i="65" s="1"/>
  <c r="H103" i="65" s="1"/>
  <c r="I103" i="65" s="1"/>
  <c r="J103" i="65" s="1"/>
  <c r="K103" i="65" s="1"/>
  <c r="AM103" i="65"/>
  <c r="P103" i="65"/>
  <c r="N103" i="65"/>
  <c r="AN103" i="63" a="1"/>
  <c r="AN103" i="63" s="1"/>
  <c r="B105" i="65" s="1"/>
  <c r="Q102" i="65"/>
  <c r="AV102" i="65"/>
  <c r="AF102" i="65"/>
  <c r="AH102" i="65"/>
  <c r="U102" i="65"/>
  <c r="AE102" i="65"/>
  <c r="R102" i="65"/>
  <c r="S102" i="65" s="1"/>
  <c r="Y102" i="65" s="1"/>
  <c r="AB102" i="65" s="1"/>
  <c r="AC102" i="65" s="1"/>
  <c r="AD102" i="65" s="1"/>
  <c r="O104" i="65"/>
  <c r="L104" i="65"/>
  <c r="M104" i="65" s="1"/>
  <c r="C104" i="65"/>
  <c r="C105" i="65" l="1"/>
  <c r="L105" i="65"/>
  <c r="M105" i="65" s="1"/>
  <c r="O105" i="65"/>
  <c r="AN104" i="63" a="1"/>
  <c r="AN104" i="63" s="1"/>
  <c r="B106" i="65" s="1"/>
  <c r="AG102" i="65"/>
  <c r="U103" i="65"/>
  <c r="AV103" i="65"/>
  <c r="R103" i="65"/>
  <c r="S103" i="65" s="1"/>
  <c r="Y103" i="65" s="1"/>
  <c r="AB103" i="65" s="1"/>
  <c r="AC103" i="65" s="1"/>
  <c r="AD103" i="65" s="1"/>
  <c r="Q103" i="65"/>
  <c r="AE103" i="65"/>
  <c r="AF103" i="65"/>
  <c r="AH103" i="65"/>
  <c r="N104" i="65"/>
  <c r="P104" i="65"/>
  <c r="AM104" i="65"/>
  <c r="D104" i="65"/>
  <c r="E104" i="65" s="1"/>
  <c r="F104" i="65" s="1"/>
  <c r="G104" i="65" s="1"/>
  <c r="H104" i="65" s="1"/>
  <c r="I104" i="65" s="1"/>
  <c r="J104" i="65" s="1"/>
  <c r="K104" i="65" s="1"/>
  <c r="C106" i="65" l="1"/>
  <c r="O106" i="65"/>
  <c r="L106" i="65"/>
  <c r="M106" i="65" s="1"/>
  <c r="AG103" i="65"/>
  <c r="AN105" i="63" a="1"/>
  <c r="AN105" i="63" s="1"/>
  <c r="B107" i="65" s="1"/>
  <c r="U104" i="65"/>
  <c r="AH104" i="65"/>
  <c r="AF104" i="65"/>
  <c r="AE104" i="65"/>
  <c r="R104" i="65"/>
  <c r="S104" i="65" s="1"/>
  <c r="Y104" i="65" s="1"/>
  <c r="AB104" i="65" s="1"/>
  <c r="AC104" i="65" s="1"/>
  <c r="AD104" i="65" s="1"/>
  <c r="Q104" i="65"/>
  <c r="AV104" i="65"/>
  <c r="P105" i="65"/>
  <c r="N105" i="65"/>
  <c r="AM105" i="65"/>
  <c r="D105" i="65"/>
  <c r="E105" i="65" s="1"/>
  <c r="F105" i="65" s="1"/>
  <c r="G105" i="65" s="1"/>
  <c r="H105" i="65" s="1"/>
  <c r="I105" i="65" s="1"/>
  <c r="J105" i="65" s="1"/>
  <c r="K105" i="65" s="1"/>
  <c r="R105" i="65" l="1"/>
  <c r="S105" i="65" s="1"/>
  <c r="Y105" i="65" s="1"/>
  <c r="AB105" i="65" s="1"/>
  <c r="AC105" i="65" s="1"/>
  <c r="AD105" i="65" s="1"/>
  <c r="AV105" i="65"/>
  <c r="Q105" i="65"/>
  <c r="U105" i="65"/>
  <c r="AE105" i="65"/>
  <c r="AH105" i="65"/>
  <c r="AF105" i="65"/>
  <c r="O107" i="65"/>
  <c r="L107" i="65"/>
  <c r="M107" i="65" s="1"/>
  <c r="C107" i="65"/>
  <c r="AN106" i="63" a="1"/>
  <c r="AN106" i="63" s="1"/>
  <c r="B108" i="65" s="1"/>
  <c r="AG104" i="65"/>
  <c r="D106" i="65"/>
  <c r="E106" i="65" s="1"/>
  <c r="F106" i="65" s="1"/>
  <c r="G106" i="65" s="1"/>
  <c r="H106" i="65" s="1"/>
  <c r="I106" i="65" s="1"/>
  <c r="J106" i="65" s="1"/>
  <c r="K106" i="65" s="1"/>
  <c r="P106" i="65"/>
  <c r="N106" i="65"/>
  <c r="AM106" i="65"/>
  <c r="AG105" i="65" l="1"/>
  <c r="AV106" i="65"/>
  <c r="AH106" i="65"/>
  <c r="Q106" i="65"/>
  <c r="R106" i="65"/>
  <c r="S106" i="65" s="1"/>
  <c r="Y106" i="65" s="1"/>
  <c r="AB106" i="65" s="1"/>
  <c r="AC106" i="65" s="1"/>
  <c r="AD106" i="65" s="1"/>
  <c r="AF106" i="65"/>
  <c r="AE106" i="65"/>
  <c r="U106" i="65"/>
  <c r="D107" i="65"/>
  <c r="E107" i="65" s="1"/>
  <c r="F107" i="65" s="1"/>
  <c r="G107" i="65" s="1"/>
  <c r="H107" i="65" s="1"/>
  <c r="I107" i="65" s="1"/>
  <c r="J107" i="65" s="1"/>
  <c r="K107" i="65" s="1"/>
  <c r="AM107" i="65"/>
  <c r="N107" i="65"/>
  <c r="P107" i="65"/>
  <c r="L108" i="65"/>
  <c r="M108" i="65" s="1"/>
  <c r="C108" i="65"/>
  <c r="O108" i="65"/>
  <c r="AN107" i="63" a="1"/>
  <c r="AN107" i="63" s="1"/>
  <c r="B109" i="65" s="1"/>
  <c r="AN108" i="63" l="1" a="1"/>
  <c r="AN108" i="63" s="1"/>
  <c r="B110" i="65" s="1"/>
  <c r="AE107" i="65"/>
  <c r="R107" i="65"/>
  <c r="S107" i="65" s="1"/>
  <c r="Y107" i="65" s="1"/>
  <c r="AB107" i="65" s="1"/>
  <c r="AC107" i="65" s="1"/>
  <c r="AD107" i="65" s="1"/>
  <c r="Q107" i="65"/>
  <c r="AF107" i="65"/>
  <c r="U107" i="65"/>
  <c r="AH107" i="65"/>
  <c r="AV107" i="65"/>
  <c r="D108" i="65"/>
  <c r="E108" i="65" s="1"/>
  <c r="F108" i="65" s="1"/>
  <c r="G108" i="65" s="1"/>
  <c r="H108" i="65" s="1"/>
  <c r="I108" i="65" s="1"/>
  <c r="J108" i="65" s="1"/>
  <c r="K108" i="65" s="1"/>
  <c r="N108" i="65"/>
  <c r="AM108" i="65"/>
  <c r="P108" i="65"/>
  <c r="L109" i="65"/>
  <c r="M109" i="65" s="1"/>
  <c r="O109" i="65"/>
  <c r="C109" i="65"/>
  <c r="AG106" i="65"/>
  <c r="AG107" i="65" l="1"/>
  <c r="P109" i="65"/>
  <c r="N109" i="65"/>
  <c r="D109" i="65"/>
  <c r="E109" i="65" s="1"/>
  <c r="F109" i="65" s="1"/>
  <c r="G109" i="65" s="1"/>
  <c r="H109" i="65" s="1"/>
  <c r="I109" i="65" s="1"/>
  <c r="J109" i="65" s="1"/>
  <c r="K109" i="65" s="1"/>
  <c r="AM109" i="65"/>
  <c r="AE108" i="65"/>
  <c r="Q108" i="65"/>
  <c r="R108" i="65"/>
  <c r="S108" i="65" s="1"/>
  <c r="Y108" i="65" s="1"/>
  <c r="AB108" i="65" s="1"/>
  <c r="AC108" i="65" s="1"/>
  <c r="AD108" i="65" s="1"/>
  <c r="AH108" i="65"/>
  <c r="U108" i="65"/>
  <c r="AF108" i="65"/>
  <c r="AV108" i="65"/>
  <c r="AN109" i="63" a="1"/>
  <c r="AN109" i="63" s="1"/>
  <c r="B111" i="65" s="1"/>
  <c r="O110" i="65"/>
  <c r="C110" i="65"/>
  <c r="L110" i="65"/>
  <c r="M110" i="65" s="1"/>
  <c r="N110" i="65" l="1"/>
  <c r="AM110" i="65"/>
  <c r="D110" i="65"/>
  <c r="E110" i="65" s="1"/>
  <c r="F110" i="65" s="1"/>
  <c r="G110" i="65" s="1"/>
  <c r="H110" i="65" s="1"/>
  <c r="I110" i="65" s="1"/>
  <c r="J110" i="65" s="1"/>
  <c r="K110" i="65" s="1"/>
  <c r="P110" i="65"/>
  <c r="AG108" i="65"/>
  <c r="AN110" i="63" a="1"/>
  <c r="AN110" i="63" s="1"/>
  <c r="B112" i="65" s="1"/>
  <c r="AE109" i="65"/>
  <c r="AV109" i="65"/>
  <c r="Q109" i="65"/>
  <c r="AF109" i="65"/>
  <c r="U109" i="65"/>
  <c r="R109" i="65"/>
  <c r="S109" i="65" s="1"/>
  <c r="Y109" i="65" s="1"/>
  <c r="AB109" i="65" s="1"/>
  <c r="AC109" i="65" s="1"/>
  <c r="AD109" i="65" s="1"/>
  <c r="AH109" i="65"/>
  <c r="O111" i="65"/>
  <c r="L111" i="65"/>
  <c r="M111" i="65" s="1"/>
  <c r="C111" i="65"/>
  <c r="C112" i="65" l="1"/>
  <c r="L112" i="65"/>
  <c r="M112" i="65" s="1"/>
  <c r="O112" i="65"/>
  <c r="AN111" i="63" a="1"/>
  <c r="AN111" i="63" s="1"/>
  <c r="B113" i="65" s="1"/>
  <c r="AG109" i="65"/>
  <c r="AM111" i="65"/>
  <c r="P111" i="65"/>
  <c r="N111" i="65"/>
  <c r="D111" i="65"/>
  <c r="E111" i="65" s="1"/>
  <c r="F111" i="65" s="1"/>
  <c r="G111" i="65" s="1"/>
  <c r="H111" i="65" s="1"/>
  <c r="I111" i="65" s="1"/>
  <c r="J111" i="65" s="1"/>
  <c r="K111" i="65" s="1"/>
  <c r="AE110" i="65"/>
  <c r="AF110" i="65"/>
  <c r="U110" i="65"/>
  <c r="AV110" i="65"/>
  <c r="R110" i="65"/>
  <c r="S110" i="65" s="1"/>
  <c r="Y110" i="65" s="1"/>
  <c r="AB110" i="65" s="1"/>
  <c r="AC110" i="65" s="1"/>
  <c r="AD110" i="65" s="1"/>
  <c r="AH110" i="65"/>
  <c r="Q110" i="65"/>
  <c r="AN112" i="63" l="1" a="1"/>
  <c r="AN112" i="63" s="1"/>
  <c r="B114" i="65" s="1"/>
  <c r="D112" i="65"/>
  <c r="E112" i="65" s="1"/>
  <c r="F112" i="65" s="1"/>
  <c r="G112" i="65" s="1"/>
  <c r="H112" i="65" s="1"/>
  <c r="I112" i="65" s="1"/>
  <c r="J112" i="65" s="1"/>
  <c r="K112" i="65" s="1"/>
  <c r="P112" i="65"/>
  <c r="N112" i="65"/>
  <c r="AM112" i="65"/>
  <c r="O113" i="65"/>
  <c r="L113" i="65"/>
  <c r="M113" i="65" s="1"/>
  <c r="C113" i="65"/>
  <c r="AF111" i="65"/>
  <c r="Q111" i="65"/>
  <c r="AV111" i="65"/>
  <c r="AE111" i="65"/>
  <c r="AH111" i="65"/>
  <c r="U111" i="65"/>
  <c r="R111" i="65"/>
  <c r="S111" i="65" s="1"/>
  <c r="Y111" i="65" s="1"/>
  <c r="AB111" i="65" s="1"/>
  <c r="AC111" i="65" s="1"/>
  <c r="AD111" i="65" s="1"/>
  <c r="AG110" i="65"/>
  <c r="AG111" i="65" l="1"/>
  <c r="AN113" i="63" a="1"/>
  <c r="AN113" i="63" s="1"/>
  <c r="B115" i="65" s="1"/>
  <c r="N113" i="65"/>
  <c r="P113" i="65"/>
  <c r="D113" i="65"/>
  <c r="E113" i="65" s="1"/>
  <c r="F113" i="65" s="1"/>
  <c r="G113" i="65" s="1"/>
  <c r="H113" i="65" s="1"/>
  <c r="I113" i="65" s="1"/>
  <c r="J113" i="65" s="1"/>
  <c r="K113" i="65" s="1"/>
  <c r="AM113" i="65"/>
  <c r="AE112" i="65"/>
  <c r="AF112" i="65"/>
  <c r="Q112" i="65"/>
  <c r="AH112" i="65"/>
  <c r="AV112" i="65"/>
  <c r="R112" i="65"/>
  <c r="S112" i="65" s="1"/>
  <c r="Y112" i="65" s="1"/>
  <c r="AB112" i="65" s="1"/>
  <c r="AC112" i="65" s="1"/>
  <c r="AD112" i="65" s="1"/>
  <c r="U112" i="65"/>
  <c r="O114" i="65"/>
  <c r="C114" i="65"/>
  <c r="L114" i="65"/>
  <c r="M114" i="65" s="1"/>
  <c r="AN114" i="63" l="1" a="1"/>
  <c r="AN114" i="63" s="1"/>
  <c r="B116" i="65" s="1"/>
  <c r="AM114" i="65"/>
  <c r="P114" i="65"/>
  <c r="D114" i="65"/>
  <c r="E114" i="65" s="1"/>
  <c r="F114" i="65" s="1"/>
  <c r="G114" i="65" s="1"/>
  <c r="H114" i="65" s="1"/>
  <c r="I114" i="65" s="1"/>
  <c r="J114" i="65" s="1"/>
  <c r="K114" i="65" s="1"/>
  <c r="N114" i="65"/>
  <c r="AG112" i="65"/>
  <c r="U113" i="65"/>
  <c r="AV113" i="65"/>
  <c r="AH113" i="65"/>
  <c r="AF113" i="65"/>
  <c r="AE113" i="65"/>
  <c r="R113" i="65"/>
  <c r="S113" i="65" s="1"/>
  <c r="Y113" i="65" s="1"/>
  <c r="AB113" i="65" s="1"/>
  <c r="AC113" i="65" s="1"/>
  <c r="AD113" i="65" s="1"/>
  <c r="Q113" i="65"/>
  <c r="L115" i="65"/>
  <c r="M115" i="65" s="1"/>
  <c r="C115" i="65"/>
  <c r="O115" i="65"/>
  <c r="AH114" i="65" l="1"/>
  <c r="AF114" i="65"/>
  <c r="Q114" i="65"/>
  <c r="AV114" i="65"/>
  <c r="U114" i="65"/>
  <c r="R114" i="65"/>
  <c r="S114" i="65" s="1"/>
  <c r="Y114" i="65" s="1"/>
  <c r="AB114" i="65" s="1"/>
  <c r="AC114" i="65" s="1"/>
  <c r="AD114" i="65" s="1"/>
  <c r="AE114" i="65"/>
  <c r="N115" i="65"/>
  <c r="P115" i="65"/>
  <c r="D115" i="65"/>
  <c r="E115" i="65" s="1"/>
  <c r="F115" i="65" s="1"/>
  <c r="G115" i="65" s="1"/>
  <c r="H115" i="65" s="1"/>
  <c r="I115" i="65" s="1"/>
  <c r="J115" i="65" s="1"/>
  <c r="K115" i="65" s="1"/>
  <c r="AM115" i="65"/>
  <c r="AG113" i="65"/>
  <c r="L116" i="65"/>
  <c r="M116" i="65" s="1"/>
  <c r="C116" i="65"/>
  <c r="O116" i="65"/>
  <c r="AN115" i="63" a="1"/>
  <c r="AN115" i="63" s="1"/>
  <c r="B117" i="65" s="1"/>
  <c r="L117" i="65" l="1"/>
  <c r="M117" i="65" s="1"/>
  <c r="O117" i="65"/>
  <c r="C117" i="65"/>
  <c r="AH115" i="65"/>
  <c r="AV115" i="65"/>
  <c r="R115" i="65"/>
  <c r="S115" i="65" s="1"/>
  <c r="Y115" i="65" s="1"/>
  <c r="AB115" i="65" s="1"/>
  <c r="AC115" i="65" s="1"/>
  <c r="AD115" i="65" s="1"/>
  <c r="AF115" i="65"/>
  <c r="U115" i="65"/>
  <c r="AE115" i="65"/>
  <c r="Q115" i="65"/>
  <c r="D116" i="65"/>
  <c r="E116" i="65" s="1"/>
  <c r="F116" i="65" s="1"/>
  <c r="G116" i="65" s="1"/>
  <c r="H116" i="65" s="1"/>
  <c r="I116" i="65" s="1"/>
  <c r="J116" i="65" s="1"/>
  <c r="K116" i="65" s="1"/>
  <c r="P116" i="65"/>
  <c r="AM116" i="65"/>
  <c r="N116" i="65"/>
  <c r="AG114" i="65"/>
  <c r="AN116" i="63" a="1"/>
  <c r="AN116" i="63" s="1"/>
  <c r="B118" i="65" s="1"/>
  <c r="AN117" i="63" l="1" a="1"/>
  <c r="AN117" i="63" s="1"/>
  <c r="B119" i="65" s="1"/>
  <c r="AG115" i="65"/>
  <c r="P117" i="65"/>
  <c r="D117" i="65"/>
  <c r="E117" i="65" s="1"/>
  <c r="F117" i="65" s="1"/>
  <c r="G117" i="65" s="1"/>
  <c r="H117" i="65" s="1"/>
  <c r="I117" i="65" s="1"/>
  <c r="J117" i="65" s="1"/>
  <c r="K117" i="65" s="1"/>
  <c r="N117" i="65"/>
  <c r="AM117" i="65"/>
  <c r="AH116" i="65"/>
  <c r="AE116" i="65"/>
  <c r="AF116" i="65"/>
  <c r="R116" i="65"/>
  <c r="S116" i="65" s="1"/>
  <c r="Y116" i="65" s="1"/>
  <c r="AB116" i="65" s="1"/>
  <c r="AC116" i="65" s="1"/>
  <c r="AD116" i="65" s="1"/>
  <c r="Q116" i="65"/>
  <c r="U116" i="65"/>
  <c r="AV116" i="65"/>
  <c r="L118" i="65"/>
  <c r="M118" i="65" s="1"/>
  <c r="C118" i="65"/>
  <c r="O118" i="65"/>
  <c r="U117" i="65" l="1"/>
  <c r="AV117" i="65"/>
  <c r="AH117" i="65"/>
  <c r="AF117" i="65"/>
  <c r="R117" i="65"/>
  <c r="S117" i="65" s="1"/>
  <c r="Y117" i="65" s="1"/>
  <c r="AB117" i="65" s="1"/>
  <c r="AC117" i="65" s="1"/>
  <c r="AD117" i="65" s="1"/>
  <c r="AE117" i="65"/>
  <c r="Q117" i="65"/>
  <c r="AM118" i="65"/>
  <c r="P118" i="65"/>
  <c r="D118" i="65"/>
  <c r="E118" i="65" s="1"/>
  <c r="F118" i="65" s="1"/>
  <c r="G118" i="65" s="1"/>
  <c r="H118" i="65" s="1"/>
  <c r="I118" i="65" s="1"/>
  <c r="J118" i="65" s="1"/>
  <c r="K118" i="65" s="1"/>
  <c r="N118" i="65"/>
  <c r="AG116" i="65"/>
  <c r="AN118" i="63" a="1"/>
  <c r="AN118" i="63" s="1"/>
  <c r="B120" i="65" s="1"/>
  <c r="O119" i="65"/>
  <c r="L119" i="65"/>
  <c r="M119" i="65" s="1"/>
  <c r="C119" i="65"/>
  <c r="AV118" i="65" l="1"/>
  <c r="U118" i="65"/>
  <c r="R118" i="65"/>
  <c r="S118" i="65" s="1"/>
  <c r="Y118" i="65" s="1"/>
  <c r="AB118" i="65" s="1"/>
  <c r="AC118" i="65" s="1"/>
  <c r="AD118" i="65" s="1"/>
  <c r="AE118" i="65"/>
  <c r="AF118" i="65"/>
  <c r="AH118" i="65"/>
  <c r="Q118" i="65"/>
  <c r="AN119" i="63" a="1"/>
  <c r="AN119" i="63" s="1"/>
  <c r="B121" i="65" s="1"/>
  <c r="AG117" i="65"/>
  <c r="C120" i="65"/>
  <c r="O120" i="65"/>
  <c r="L120" i="65"/>
  <c r="M120" i="65" s="1"/>
  <c r="D119" i="65"/>
  <c r="E119" i="65" s="1"/>
  <c r="F119" i="65" s="1"/>
  <c r="G119" i="65" s="1"/>
  <c r="H119" i="65" s="1"/>
  <c r="I119" i="65" s="1"/>
  <c r="J119" i="65" s="1"/>
  <c r="K119" i="65" s="1"/>
  <c r="P119" i="65"/>
  <c r="N119" i="65"/>
  <c r="AM119" i="65"/>
  <c r="L121" i="65" l="1"/>
  <c r="M121" i="65" s="1"/>
  <c r="C121" i="65"/>
  <c r="O121" i="65"/>
  <c r="R119" i="65"/>
  <c r="S119" i="65" s="1"/>
  <c r="Y119" i="65" s="1"/>
  <c r="AB119" i="65" s="1"/>
  <c r="AC119" i="65" s="1"/>
  <c r="AD119" i="65" s="1"/>
  <c r="U119" i="65"/>
  <c r="AF119" i="65"/>
  <c r="AH119" i="65"/>
  <c r="AV119" i="65"/>
  <c r="AE119" i="65"/>
  <c r="Q119" i="65"/>
  <c r="AN120" i="63" a="1"/>
  <c r="AN120" i="63" s="1"/>
  <c r="B122" i="65" s="1"/>
  <c r="N120" i="65"/>
  <c r="D120" i="65"/>
  <c r="E120" i="65" s="1"/>
  <c r="F120" i="65" s="1"/>
  <c r="G120" i="65" s="1"/>
  <c r="H120" i="65" s="1"/>
  <c r="I120" i="65" s="1"/>
  <c r="J120" i="65" s="1"/>
  <c r="K120" i="65" s="1"/>
  <c r="AM120" i="65"/>
  <c r="P120" i="65"/>
  <c r="AG118" i="65"/>
  <c r="C122" i="65" l="1"/>
  <c r="L122" i="65"/>
  <c r="M122" i="65" s="1"/>
  <c r="O122" i="65"/>
  <c r="AG119" i="65"/>
  <c r="D121" i="65"/>
  <c r="E121" i="65" s="1"/>
  <c r="F121" i="65" s="1"/>
  <c r="G121" i="65" s="1"/>
  <c r="H121" i="65" s="1"/>
  <c r="I121" i="65" s="1"/>
  <c r="J121" i="65" s="1"/>
  <c r="K121" i="65" s="1"/>
  <c r="N121" i="65"/>
  <c r="AM121" i="65"/>
  <c r="P121" i="65"/>
  <c r="AN121" i="63" a="1"/>
  <c r="AN121" i="63" s="1"/>
  <c r="B123" i="65" s="1"/>
  <c r="Q120" i="65"/>
  <c r="AE120" i="65"/>
  <c r="R120" i="65"/>
  <c r="S120" i="65" s="1"/>
  <c r="Y120" i="65" s="1"/>
  <c r="AB120" i="65" s="1"/>
  <c r="AC120" i="65" s="1"/>
  <c r="AD120" i="65" s="1"/>
  <c r="U120" i="65"/>
  <c r="AH120" i="65"/>
  <c r="AV120" i="65"/>
  <c r="AF120" i="65"/>
  <c r="L123" i="65" l="1"/>
  <c r="M123" i="65" s="1"/>
  <c r="C123" i="65"/>
  <c r="O123" i="65"/>
  <c r="AH121" i="65"/>
  <c r="Q121" i="65"/>
  <c r="U121" i="65"/>
  <c r="AE121" i="65"/>
  <c r="AV121" i="65"/>
  <c r="AF121" i="65"/>
  <c r="R121" i="65"/>
  <c r="S121" i="65" s="1"/>
  <c r="Y121" i="65" s="1"/>
  <c r="AB121" i="65" s="1"/>
  <c r="AC121" i="65" s="1"/>
  <c r="AD121" i="65" s="1"/>
  <c r="AG120" i="65"/>
  <c r="AM122" i="65"/>
  <c r="D122" i="65"/>
  <c r="E122" i="65" s="1"/>
  <c r="F122" i="65" s="1"/>
  <c r="G122" i="65" s="1"/>
  <c r="H122" i="65" s="1"/>
  <c r="I122" i="65" s="1"/>
  <c r="J122" i="65" s="1"/>
  <c r="K122" i="65" s="1"/>
  <c r="P122" i="65"/>
  <c r="N122" i="65"/>
  <c r="AN122" i="63" a="1"/>
  <c r="AN122" i="63" s="1"/>
  <c r="B124" i="65" s="1"/>
  <c r="L124" i="65" l="1"/>
  <c r="M124" i="65" s="1"/>
  <c r="O124" i="65"/>
  <c r="C124" i="65"/>
  <c r="AG121" i="65"/>
  <c r="AM123" i="65"/>
  <c r="D123" i="65"/>
  <c r="E123" i="65" s="1"/>
  <c r="F123" i="65" s="1"/>
  <c r="G123" i="65" s="1"/>
  <c r="H123" i="65" s="1"/>
  <c r="I123" i="65" s="1"/>
  <c r="J123" i="65" s="1"/>
  <c r="K123" i="65" s="1"/>
  <c r="N123" i="65"/>
  <c r="P123" i="65"/>
  <c r="AE122" i="65"/>
  <c r="AF122" i="65"/>
  <c r="AH122" i="65"/>
  <c r="AV122" i="65"/>
  <c r="Q122" i="65"/>
  <c r="R122" i="65"/>
  <c r="S122" i="65" s="1"/>
  <c r="Y122" i="65" s="1"/>
  <c r="AB122" i="65" s="1"/>
  <c r="AC122" i="65" s="1"/>
  <c r="AD122" i="65" s="1"/>
  <c r="U122" i="65"/>
  <c r="AN123" i="63" a="1"/>
  <c r="AN123" i="63" s="1"/>
  <c r="B125" i="65" s="1"/>
  <c r="AG122" i="65" l="1"/>
  <c r="L125" i="65"/>
  <c r="M125" i="65" s="1"/>
  <c r="O125" i="65"/>
  <c r="C125" i="65"/>
  <c r="Q123" i="65"/>
  <c r="AE123" i="65"/>
  <c r="U123" i="65"/>
  <c r="AH123" i="65"/>
  <c r="AF123" i="65"/>
  <c r="R123" i="65"/>
  <c r="S123" i="65" s="1"/>
  <c r="Y123" i="65" s="1"/>
  <c r="AB123" i="65" s="1"/>
  <c r="AC123" i="65" s="1"/>
  <c r="AD123" i="65" s="1"/>
  <c r="AV123" i="65"/>
  <c r="P124" i="65"/>
  <c r="AM124" i="65"/>
  <c r="D124" i="65"/>
  <c r="E124" i="65" s="1"/>
  <c r="F124" i="65" s="1"/>
  <c r="G124" i="65" s="1"/>
  <c r="H124" i="65" s="1"/>
  <c r="I124" i="65" s="1"/>
  <c r="J124" i="65" s="1"/>
  <c r="K124" i="65" s="1"/>
  <c r="N124" i="65"/>
  <c r="AN124" i="63" a="1"/>
  <c r="AN124" i="63" s="1"/>
  <c r="B126" i="65" s="1"/>
  <c r="AG123" i="65" l="1"/>
  <c r="AE124" i="65"/>
  <c r="AH124" i="65"/>
  <c r="U124" i="65"/>
  <c r="AV124" i="65"/>
  <c r="Q124" i="65"/>
  <c r="R124" i="65"/>
  <c r="S124" i="65" s="1"/>
  <c r="Y124" i="65" s="1"/>
  <c r="AB124" i="65" s="1"/>
  <c r="AC124" i="65" s="1"/>
  <c r="AD124" i="65" s="1"/>
  <c r="AF124" i="65"/>
  <c r="C126" i="65"/>
  <c r="O126" i="65"/>
  <c r="L126" i="65"/>
  <c r="M126" i="65" s="1"/>
  <c r="AN125" i="63" a="1"/>
  <c r="AN125" i="63" s="1"/>
  <c r="B127" i="65" s="1"/>
  <c r="D125" i="65"/>
  <c r="E125" i="65" s="1"/>
  <c r="F125" i="65" s="1"/>
  <c r="G125" i="65" s="1"/>
  <c r="H125" i="65" s="1"/>
  <c r="I125" i="65" s="1"/>
  <c r="J125" i="65" s="1"/>
  <c r="K125" i="65" s="1"/>
  <c r="AM125" i="65"/>
  <c r="N125" i="65"/>
  <c r="P125" i="65"/>
  <c r="AN126" i="63" l="1" a="1"/>
  <c r="AN126" i="63" s="1"/>
  <c r="B128" i="65" s="1"/>
  <c r="AG124" i="65"/>
  <c r="C127" i="65"/>
  <c r="O127" i="65"/>
  <c r="L127" i="65"/>
  <c r="M127" i="65" s="1"/>
  <c r="N126" i="65"/>
  <c r="AM126" i="65"/>
  <c r="D126" i="65"/>
  <c r="E126" i="65" s="1"/>
  <c r="F126" i="65" s="1"/>
  <c r="G126" i="65" s="1"/>
  <c r="H126" i="65" s="1"/>
  <c r="I126" i="65" s="1"/>
  <c r="J126" i="65" s="1"/>
  <c r="K126" i="65" s="1"/>
  <c r="P126" i="65"/>
  <c r="AF125" i="65"/>
  <c r="AE125" i="65"/>
  <c r="AH125" i="65"/>
  <c r="U125" i="65"/>
  <c r="AV125" i="65"/>
  <c r="R125" i="65"/>
  <c r="S125" i="65" s="1"/>
  <c r="Y125" i="65" s="1"/>
  <c r="AB125" i="65" s="1"/>
  <c r="AC125" i="65" s="1"/>
  <c r="AD125" i="65" s="1"/>
  <c r="Q125" i="65"/>
  <c r="AN127" i="63" l="1" a="1"/>
  <c r="AN127" i="63" s="1"/>
  <c r="B129" i="65" s="1"/>
  <c r="AG125" i="65"/>
  <c r="P127" i="65"/>
  <c r="D127" i="65"/>
  <c r="E127" i="65" s="1"/>
  <c r="F127" i="65" s="1"/>
  <c r="G127" i="65" s="1"/>
  <c r="H127" i="65" s="1"/>
  <c r="I127" i="65" s="1"/>
  <c r="J127" i="65" s="1"/>
  <c r="K127" i="65" s="1"/>
  <c r="N127" i="65"/>
  <c r="AM127" i="65"/>
  <c r="AV126" i="65"/>
  <c r="AF126" i="65"/>
  <c r="R126" i="65"/>
  <c r="S126" i="65" s="1"/>
  <c r="Y126" i="65" s="1"/>
  <c r="AB126" i="65" s="1"/>
  <c r="AC126" i="65" s="1"/>
  <c r="AD126" i="65" s="1"/>
  <c r="Q126" i="65"/>
  <c r="U126" i="65"/>
  <c r="AH126" i="65"/>
  <c r="AE126" i="65"/>
  <c r="L128" i="65"/>
  <c r="M128" i="65" s="1"/>
  <c r="O128" i="65"/>
  <c r="C128" i="65"/>
  <c r="AG126" i="65" l="1"/>
  <c r="AN128" i="63" a="1"/>
  <c r="AN128" i="63" s="1"/>
  <c r="B130" i="65" s="1"/>
  <c r="AM128" i="65"/>
  <c r="D128" i="65"/>
  <c r="E128" i="65" s="1"/>
  <c r="F128" i="65" s="1"/>
  <c r="G128" i="65" s="1"/>
  <c r="H128" i="65" s="1"/>
  <c r="I128" i="65" s="1"/>
  <c r="J128" i="65" s="1"/>
  <c r="K128" i="65" s="1"/>
  <c r="P128" i="65"/>
  <c r="N128" i="65"/>
  <c r="Q127" i="65"/>
  <c r="U127" i="65"/>
  <c r="AH127" i="65"/>
  <c r="AF127" i="65"/>
  <c r="AV127" i="65"/>
  <c r="AE127" i="65"/>
  <c r="R127" i="65"/>
  <c r="S127" i="65" s="1"/>
  <c r="Y127" i="65" s="1"/>
  <c r="AB127" i="65" s="1"/>
  <c r="AC127" i="65" s="1"/>
  <c r="AD127" i="65" s="1"/>
  <c r="O129" i="65"/>
  <c r="L129" i="65"/>
  <c r="M129" i="65" s="1"/>
  <c r="C129" i="65"/>
  <c r="D129" i="65" l="1"/>
  <c r="E129" i="65" s="1"/>
  <c r="F129" i="65" s="1"/>
  <c r="G129" i="65" s="1"/>
  <c r="H129" i="65" s="1"/>
  <c r="I129" i="65" s="1"/>
  <c r="J129" i="65" s="1"/>
  <c r="K129" i="65" s="1"/>
  <c r="AM129" i="65"/>
  <c r="P129" i="65"/>
  <c r="N129" i="65"/>
  <c r="AN129" i="63" a="1"/>
  <c r="AN129" i="63" s="1"/>
  <c r="B131" i="65" s="1"/>
  <c r="AG127" i="65"/>
  <c r="AV128" i="65"/>
  <c r="AF128" i="65"/>
  <c r="AH128" i="65"/>
  <c r="R128" i="65"/>
  <c r="S128" i="65" s="1"/>
  <c r="Y128" i="65" s="1"/>
  <c r="AB128" i="65" s="1"/>
  <c r="AC128" i="65" s="1"/>
  <c r="AD128" i="65" s="1"/>
  <c r="Q128" i="65"/>
  <c r="AE128" i="65"/>
  <c r="U128" i="65"/>
  <c r="O130" i="65"/>
  <c r="C130" i="65"/>
  <c r="L130" i="65"/>
  <c r="M130" i="65" s="1"/>
  <c r="AN130" i="63" l="1" a="1"/>
  <c r="AN130" i="63" s="1"/>
  <c r="B132" i="65" s="1"/>
  <c r="L131" i="65"/>
  <c r="M131" i="65" s="1"/>
  <c r="O131" i="65"/>
  <c r="C131" i="65"/>
  <c r="AV129" i="65"/>
  <c r="R129" i="65"/>
  <c r="S129" i="65" s="1"/>
  <c r="Y129" i="65" s="1"/>
  <c r="AB129" i="65" s="1"/>
  <c r="AC129" i="65" s="1"/>
  <c r="AD129" i="65" s="1"/>
  <c r="Q129" i="65"/>
  <c r="AH129" i="65"/>
  <c r="AF129" i="65"/>
  <c r="U129" i="65"/>
  <c r="AE129" i="65"/>
  <c r="AG128" i="65"/>
  <c r="N130" i="65"/>
  <c r="AM130" i="65"/>
  <c r="P130" i="65"/>
  <c r="D130" i="65"/>
  <c r="E130" i="65" s="1"/>
  <c r="F130" i="65" s="1"/>
  <c r="G130" i="65" s="1"/>
  <c r="H130" i="65" s="1"/>
  <c r="I130" i="65" s="1"/>
  <c r="J130" i="65" s="1"/>
  <c r="K130" i="65" s="1"/>
  <c r="AG129" i="65" l="1"/>
  <c r="C132" i="65"/>
  <c r="L132" i="65"/>
  <c r="M132" i="65" s="1"/>
  <c r="O132" i="65"/>
  <c r="N131" i="65"/>
  <c r="AM131" i="65"/>
  <c r="D131" i="65"/>
  <c r="E131" i="65" s="1"/>
  <c r="F131" i="65" s="1"/>
  <c r="G131" i="65" s="1"/>
  <c r="H131" i="65" s="1"/>
  <c r="I131" i="65" s="1"/>
  <c r="J131" i="65" s="1"/>
  <c r="K131" i="65" s="1"/>
  <c r="P131" i="65"/>
  <c r="AN131" i="63" a="1"/>
  <c r="AN131" i="63" s="1"/>
  <c r="B133" i="65" s="1"/>
  <c r="Q130" i="65"/>
  <c r="R130" i="65"/>
  <c r="S130" i="65" s="1"/>
  <c r="Y130" i="65" s="1"/>
  <c r="AB130" i="65" s="1"/>
  <c r="AC130" i="65" s="1"/>
  <c r="AD130" i="65" s="1"/>
  <c r="AV130" i="65"/>
  <c r="AF130" i="65"/>
  <c r="AH130" i="65"/>
  <c r="AE130" i="65"/>
  <c r="U130" i="65"/>
  <c r="AG130" i="65" l="1"/>
  <c r="AF131" i="65"/>
  <c r="R131" i="65"/>
  <c r="S131" i="65" s="1"/>
  <c r="Y131" i="65" s="1"/>
  <c r="AB131" i="65" s="1"/>
  <c r="AC131" i="65" s="1"/>
  <c r="AD131" i="65" s="1"/>
  <c r="U131" i="65"/>
  <c r="AH131" i="65"/>
  <c r="Q131" i="65"/>
  <c r="AE131" i="65"/>
  <c r="AV131" i="65"/>
  <c r="AN132" i="63" a="1"/>
  <c r="AN132" i="63" s="1"/>
  <c r="B134" i="65" s="1"/>
  <c r="O133" i="65"/>
  <c r="C133" i="65"/>
  <c r="L133" i="65"/>
  <c r="M133" i="65" s="1"/>
  <c r="N132" i="65"/>
  <c r="P132" i="65"/>
  <c r="AM132" i="65"/>
  <c r="D132" i="65"/>
  <c r="E132" i="65" s="1"/>
  <c r="F132" i="65" s="1"/>
  <c r="G132" i="65" s="1"/>
  <c r="H132" i="65" s="1"/>
  <c r="I132" i="65" s="1"/>
  <c r="J132" i="65" s="1"/>
  <c r="K132" i="65" s="1"/>
  <c r="AM133" i="65" l="1"/>
  <c r="D133" i="65"/>
  <c r="E133" i="65" s="1"/>
  <c r="F133" i="65" s="1"/>
  <c r="G133" i="65" s="1"/>
  <c r="H133" i="65" s="1"/>
  <c r="I133" i="65" s="1"/>
  <c r="J133" i="65" s="1"/>
  <c r="K133" i="65" s="1"/>
  <c r="P133" i="65"/>
  <c r="N133" i="65"/>
  <c r="C134" i="65"/>
  <c r="L134" i="65"/>
  <c r="M134" i="65" s="1"/>
  <c r="O134" i="65"/>
  <c r="AG131" i="65"/>
  <c r="Q132" i="65"/>
  <c r="AE132" i="65"/>
  <c r="AV132" i="65"/>
  <c r="AF132" i="65"/>
  <c r="AH132" i="65"/>
  <c r="R132" i="65"/>
  <c r="S132" i="65" s="1"/>
  <c r="Y132" i="65" s="1"/>
  <c r="AB132" i="65" s="1"/>
  <c r="AC132" i="65" s="1"/>
  <c r="AD132" i="65" s="1"/>
  <c r="U132" i="65"/>
  <c r="AN133" i="63" a="1"/>
  <c r="AN133" i="63" s="1"/>
  <c r="B135" i="65" s="1"/>
  <c r="AG132" i="65" l="1"/>
  <c r="L135" i="65"/>
  <c r="M135" i="65" s="1"/>
  <c r="O135" i="65"/>
  <c r="C135" i="65"/>
  <c r="Q133" i="65"/>
  <c r="U133" i="65"/>
  <c r="AH133" i="65"/>
  <c r="R133" i="65"/>
  <c r="S133" i="65" s="1"/>
  <c r="Y133" i="65" s="1"/>
  <c r="AB133" i="65" s="1"/>
  <c r="AC133" i="65" s="1"/>
  <c r="AD133" i="65" s="1"/>
  <c r="AF133" i="65"/>
  <c r="AV133" i="65"/>
  <c r="AE133" i="65"/>
  <c r="D134" i="65"/>
  <c r="E134" i="65" s="1"/>
  <c r="F134" i="65" s="1"/>
  <c r="G134" i="65" s="1"/>
  <c r="H134" i="65" s="1"/>
  <c r="I134" i="65" s="1"/>
  <c r="J134" i="65" s="1"/>
  <c r="K134" i="65" s="1"/>
  <c r="P134" i="65"/>
  <c r="N134" i="65"/>
  <c r="AM134" i="65"/>
  <c r="AN134" i="63" a="1"/>
  <c r="AN134" i="63" s="1"/>
  <c r="B136" i="65" s="1"/>
  <c r="L136" i="65" l="1"/>
  <c r="M136" i="65" s="1"/>
  <c r="O136" i="65"/>
  <c r="C136" i="65"/>
  <c r="AG133" i="65"/>
  <c r="N135" i="65"/>
  <c r="AM135" i="65"/>
  <c r="D135" i="65"/>
  <c r="E135" i="65" s="1"/>
  <c r="F135" i="65" s="1"/>
  <c r="G135" i="65" s="1"/>
  <c r="H135" i="65" s="1"/>
  <c r="I135" i="65" s="1"/>
  <c r="J135" i="65" s="1"/>
  <c r="K135" i="65" s="1"/>
  <c r="P135" i="65"/>
  <c r="U134" i="65"/>
  <c r="R134" i="65"/>
  <c r="S134" i="65" s="1"/>
  <c r="Y134" i="65" s="1"/>
  <c r="AB134" i="65" s="1"/>
  <c r="AC134" i="65" s="1"/>
  <c r="AD134" i="65" s="1"/>
  <c r="AV134" i="65"/>
  <c r="AF134" i="65"/>
  <c r="Q134" i="65"/>
  <c r="AE134" i="65"/>
  <c r="AH134" i="65"/>
  <c r="AN135" i="63" a="1"/>
  <c r="AN135" i="63" s="1"/>
  <c r="B137" i="65" s="1"/>
  <c r="AG134" i="65" l="1"/>
  <c r="O137" i="65"/>
  <c r="C137" i="65"/>
  <c r="L137" i="65"/>
  <c r="M137" i="65" s="1"/>
  <c r="P136" i="65"/>
  <c r="AM136" i="65"/>
  <c r="D136" i="65"/>
  <c r="E136" i="65" s="1"/>
  <c r="F136" i="65" s="1"/>
  <c r="G136" i="65" s="1"/>
  <c r="H136" i="65" s="1"/>
  <c r="I136" i="65" s="1"/>
  <c r="J136" i="65" s="1"/>
  <c r="K136" i="65" s="1"/>
  <c r="N136" i="65"/>
  <c r="AV135" i="65"/>
  <c r="AH135" i="65"/>
  <c r="R135" i="65"/>
  <c r="S135" i="65" s="1"/>
  <c r="Y135" i="65" s="1"/>
  <c r="AB135" i="65" s="1"/>
  <c r="AC135" i="65" s="1"/>
  <c r="AD135" i="65" s="1"/>
  <c r="U135" i="65"/>
  <c r="Q135" i="65"/>
  <c r="AF135" i="65"/>
  <c r="AE135" i="65"/>
  <c r="AN136" i="63" a="1"/>
  <c r="AN136" i="63" s="1"/>
  <c r="B138" i="65" s="1"/>
  <c r="C138" i="65" l="1"/>
  <c r="O138" i="65"/>
  <c r="L138" i="65"/>
  <c r="M138" i="65" s="1"/>
  <c r="AH136" i="65"/>
  <c r="AV136" i="65"/>
  <c r="R136" i="65"/>
  <c r="S136" i="65" s="1"/>
  <c r="Y136" i="65" s="1"/>
  <c r="AB136" i="65" s="1"/>
  <c r="AC136" i="65" s="1"/>
  <c r="AD136" i="65" s="1"/>
  <c r="Q136" i="65"/>
  <c r="AF136" i="65"/>
  <c r="U136" i="65"/>
  <c r="AE136" i="65"/>
  <c r="AG135" i="65"/>
  <c r="P137" i="65"/>
  <c r="N137" i="65"/>
  <c r="D137" i="65"/>
  <c r="E137" i="65" s="1"/>
  <c r="F137" i="65" s="1"/>
  <c r="G137" i="65" s="1"/>
  <c r="H137" i="65" s="1"/>
  <c r="I137" i="65" s="1"/>
  <c r="J137" i="65" s="1"/>
  <c r="K137" i="65" s="1"/>
  <c r="AM137" i="65"/>
  <c r="AN137" i="63" a="1"/>
  <c r="AN137" i="63" s="1"/>
  <c r="B139" i="65" s="1"/>
  <c r="AG136" i="65" l="1"/>
  <c r="AE137" i="65"/>
  <c r="AH137" i="65"/>
  <c r="Q137" i="65"/>
  <c r="U137" i="65"/>
  <c r="AV137" i="65"/>
  <c r="R137" i="65"/>
  <c r="S137" i="65" s="1"/>
  <c r="Y137" i="65" s="1"/>
  <c r="AB137" i="65" s="1"/>
  <c r="AC137" i="65" s="1"/>
  <c r="AD137" i="65" s="1"/>
  <c r="AF137" i="65"/>
  <c r="O139" i="65"/>
  <c r="C139" i="65"/>
  <c r="L139" i="65"/>
  <c r="M139" i="65" s="1"/>
  <c r="P138" i="65"/>
  <c r="AM138" i="65"/>
  <c r="N138" i="65"/>
  <c r="D138" i="65"/>
  <c r="E138" i="65" s="1"/>
  <c r="F138" i="65" s="1"/>
  <c r="G138" i="65" s="1"/>
  <c r="H138" i="65" s="1"/>
  <c r="I138" i="65" s="1"/>
  <c r="J138" i="65" s="1"/>
  <c r="K138" i="65" s="1"/>
  <c r="AN138" i="63" a="1"/>
  <c r="AN138" i="63" s="1"/>
  <c r="B140" i="65" s="1"/>
  <c r="O140" i="65" l="1"/>
  <c r="C140" i="65"/>
  <c r="L140" i="65"/>
  <c r="M140" i="65" s="1"/>
  <c r="AG137" i="65"/>
  <c r="AV138" i="65"/>
  <c r="Q138" i="65"/>
  <c r="R138" i="65"/>
  <c r="S138" i="65" s="1"/>
  <c r="Y138" i="65" s="1"/>
  <c r="AB138" i="65" s="1"/>
  <c r="AC138" i="65" s="1"/>
  <c r="AD138" i="65" s="1"/>
  <c r="AE138" i="65"/>
  <c r="U138" i="65"/>
  <c r="AH138" i="65"/>
  <c r="AF138" i="65"/>
  <c r="N139" i="65"/>
  <c r="D139" i="65"/>
  <c r="E139" i="65" s="1"/>
  <c r="F139" i="65" s="1"/>
  <c r="G139" i="65" s="1"/>
  <c r="H139" i="65" s="1"/>
  <c r="I139" i="65" s="1"/>
  <c r="J139" i="65" s="1"/>
  <c r="K139" i="65" s="1"/>
  <c r="P139" i="65"/>
  <c r="AM139" i="65"/>
  <c r="AN139" i="63" a="1"/>
  <c r="AN139" i="63" s="1"/>
  <c r="B141" i="65" s="1"/>
  <c r="L141" i="65" l="1"/>
  <c r="M141" i="65" s="1"/>
  <c r="C141" i="65"/>
  <c r="O141" i="65"/>
  <c r="AV139" i="65"/>
  <c r="AH139" i="65"/>
  <c r="AF139" i="65"/>
  <c r="U139" i="65"/>
  <c r="Q139" i="65"/>
  <c r="R139" i="65"/>
  <c r="S139" i="65" s="1"/>
  <c r="Y139" i="65" s="1"/>
  <c r="AB139" i="65" s="1"/>
  <c r="AC139" i="65" s="1"/>
  <c r="AD139" i="65" s="1"/>
  <c r="AE139" i="65"/>
  <c r="AG138" i="65"/>
  <c r="AN140" i="63" a="1"/>
  <c r="AN140" i="63" s="1"/>
  <c r="B142" i="65" s="1"/>
  <c r="N140" i="65"/>
  <c r="P140" i="65"/>
  <c r="AM140" i="65"/>
  <c r="D140" i="65"/>
  <c r="E140" i="65" s="1"/>
  <c r="F140" i="65" s="1"/>
  <c r="G140" i="65" s="1"/>
  <c r="H140" i="65" s="1"/>
  <c r="I140" i="65" s="1"/>
  <c r="J140" i="65" s="1"/>
  <c r="K140" i="65" s="1"/>
  <c r="AN141" i="63" l="1" a="1"/>
  <c r="AN141" i="63" s="1"/>
  <c r="B143" i="65" s="1"/>
  <c r="AF140" i="65"/>
  <c r="Q140" i="65"/>
  <c r="AH140" i="65"/>
  <c r="U140" i="65"/>
  <c r="AE140" i="65"/>
  <c r="AV140" i="65"/>
  <c r="R140" i="65"/>
  <c r="S140" i="65" s="1"/>
  <c r="Y140" i="65" s="1"/>
  <c r="AB140" i="65" s="1"/>
  <c r="AC140" i="65" s="1"/>
  <c r="AD140" i="65" s="1"/>
  <c r="AG139" i="65"/>
  <c r="P141" i="65"/>
  <c r="D141" i="65"/>
  <c r="E141" i="65" s="1"/>
  <c r="F141" i="65" s="1"/>
  <c r="G141" i="65" s="1"/>
  <c r="H141" i="65" s="1"/>
  <c r="I141" i="65" s="1"/>
  <c r="J141" i="65" s="1"/>
  <c r="K141" i="65" s="1"/>
  <c r="AM141" i="65"/>
  <c r="N141" i="65"/>
  <c r="L142" i="65"/>
  <c r="M142" i="65" s="1"/>
  <c r="C142" i="65"/>
  <c r="O142" i="65"/>
  <c r="D142" i="65" l="1"/>
  <c r="E142" i="65" s="1"/>
  <c r="F142" i="65" s="1"/>
  <c r="G142" i="65" s="1"/>
  <c r="H142" i="65" s="1"/>
  <c r="I142" i="65" s="1"/>
  <c r="J142" i="65" s="1"/>
  <c r="K142" i="65" s="1"/>
  <c r="AM142" i="65"/>
  <c r="P142" i="65"/>
  <c r="N142" i="65"/>
  <c r="AG140" i="65"/>
  <c r="L143" i="65"/>
  <c r="M143" i="65" s="1"/>
  <c r="O143" i="65"/>
  <c r="C143" i="65"/>
  <c r="AF141" i="65"/>
  <c r="U141" i="65"/>
  <c r="AE141" i="65"/>
  <c r="AH141" i="65"/>
  <c r="Q141" i="65"/>
  <c r="AV141" i="65"/>
  <c r="R141" i="65"/>
  <c r="S141" i="65" s="1"/>
  <c r="Y141" i="65" s="1"/>
  <c r="AB141" i="65" s="1"/>
  <c r="AC141" i="65" s="1"/>
  <c r="AD141" i="65" s="1"/>
  <c r="AN142" i="63" a="1"/>
  <c r="AN142" i="63" s="1"/>
  <c r="B144" i="65" s="1"/>
  <c r="AM143" i="65" l="1"/>
  <c r="D143" i="65"/>
  <c r="E143" i="65" s="1"/>
  <c r="F143" i="65" s="1"/>
  <c r="G143" i="65" s="1"/>
  <c r="H143" i="65" s="1"/>
  <c r="I143" i="65" s="1"/>
  <c r="J143" i="65" s="1"/>
  <c r="K143" i="65" s="1"/>
  <c r="N143" i="65"/>
  <c r="P143" i="65"/>
  <c r="AE142" i="65"/>
  <c r="AF142" i="65"/>
  <c r="AH142" i="65"/>
  <c r="U142" i="65"/>
  <c r="AV142" i="65"/>
  <c r="R142" i="65"/>
  <c r="S142" i="65" s="1"/>
  <c r="Y142" i="65" s="1"/>
  <c r="AB142" i="65" s="1"/>
  <c r="AC142" i="65" s="1"/>
  <c r="AD142" i="65" s="1"/>
  <c r="Q142" i="65"/>
  <c r="C144" i="65"/>
  <c r="O144" i="65"/>
  <c r="L144" i="65"/>
  <c r="M144" i="65" s="1"/>
  <c r="AG141" i="65"/>
  <c r="AN143" i="63" a="1"/>
  <c r="AN143" i="63" s="1"/>
  <c r="B145" i="65" s="1"/>
  <c r="L145" i="65" l="1"/>
  <c r="M145" i="65" s="1"/>
  <c r="C145" i="65"/>
  <c r="O145" i="65"/>
  <c r="P144" i="65"/>
  <c r="D144" i="65"/>
  <c r="E144" i="65" s="1"/>
  <c r="F144" i="65" s="1"/>
  <c r="G144" i="65" s="1"/>
  <c r="H144" i="65" s="1"/>
  <c r="I144" i="65" s="1"/>
  <c r="J144" i="65" s="1"/>
  <c r="K144" i="65" s="1"/>
  <c r="AM144" i="65"/>
  <c r="N144" i="65"/>
  <c r="AH143" i="65"/>
  <c r="R143" i="65"/>
  <c r="S143" i="65" s="1"/>
  <c r="Y143" i="65" s="1"/>
  <c r="AB143" i="65" s="1"/>
  <c r="AC143" i="65" s="1"/>
  <c r="AD143" i="65" s="1"/>
  <c r="AV143" i="65"/>
  <c r="AE143" i="65"/>
  <c r="Q143" i="65"/>
  <c r="AF143" i="65"/>
  <c r="U143" i="65"/>
  <c r="AG142" i="65"/>
  <c r="AN144" i="63" a="1"/>
  <c r="AN144" i="63" s="1"/>
  <c r="B146" i="65" s="1"/>
  <c r="AG143" i="65" l="1"/>
  <c r="AF144" i="65"/>
  <c r="AE144" i="65"/>
  <c r="R144" i="65"/>
  <c r="S144" i="65" s="1"/>
  <c r="Y144" i="65" s="1"/>
  <c r="AB144" i="65" s="1"/>
  <c r="AC144" i="65" s="1"/>
  <c r="AD144" i="65" s="1"/>
  <c r="Q144" i="65"/>
  <c r="AV144" i="65"/>
  <c r="AH144" i="65"/>
  <c r="U144" i="65"/>
  <c r="AN145" i="63" a="1"/>
  <c r="AN145" i="63" s="1"/>
  <c r="B147" i="65" s="1"/>
  <c r="AM145" i="65"/>
  <c r="D145" i="65"/>
  <c r="E145" i="65" s="1"/>
  <c r="F145" i="65" s="1"/>
  <c r="G145" i="65" s="1"/>
  <c r="H145" i="65" s="1"/>
  <c r="I145" i="65" s="1"/>
  <c r="J145" i="65" s="1"/>
  <c r="K145" i="65" s="1"/>
  <c r="P145" i="65"/>
  <c r="N145" i="65"/>
  <c r="L146" i="65"/>
  <c r="M146" i="65" s="1"/>
  <c r="O146" i="65"/>
  <c r="C146" i="65"/>
  <c r="O147" i="65" l="1"/>
  <c r="C147" i="65"/>
  <c r="L147" i="65"/>
  <c r="M147" i="65" s="1"/>
  <c r="P146" i="65"/>
  <c r="N146" i="65"/>
  <c r="AM146" i="65"/>
  <c r="D146" i="65"/>
  <c r="E146" i="65" s="1"/>
  <c r="F146" i="65" s="1"/>
  <c r="G146" i="65" s="1"/>
  <c r="H146" i="65" s="1"/>
  <c r="I146" i="65" s="1"/>
  <c r="J146" i="65" s="1"/>
  <c r="K146" i="65" s="1"/>
  <c r="AG144" i="65"/>
  <c r="R145" i="65"/>
  <c r="S145" i="65" s="1"/>
  <c r="Y145" i="65" s="1"/>
  <c r="AB145" i="65" s="1"/>
  <c r="AC145" i="65" s="1"/>
  <c r="AD145" i="65" s="1"/>
  <c r="AH145" i="65"/>
  <c r="AF145" i="65"/>
  <c r="Q145" i="65"/>
  <c r="AE145" i="65"/>
  <c r="U145" i="65"/>
  <c r="AV145" i="65"/>
  <c r="AN146" i="63" a="1"/>
  <c r="AN146" i="63" s="1"/>
  <c r="B148" i="65" s="1"/>
  <c r="AG145" i="65" l="1"/>
  <c r="O148" i="65"/>
  <c r="L148" i="65"/>
  <c r="M148" i="65" s="1"/>
  <c r="C148" i="65"/>
  <c r="N147" i="65"/>
  <c r="D147" i="65"/>
  <c r="E147" i="65" s="1"/>
  <c r="F147" i="65" s="1"/>
  <c r="G147" i="65" s="1"/>
  <c r="H147" i="65" s="1"/>
  <c r="I147" i="65" s="1"/>
  <c r="J147" i="65" s="1"/>
  <c r="K147" i="65" s="1"/>
  <c r="P147" i="65"/>
  <c r="AM147" i="65"/>
  <c r="AN147" i="63" a="1"/>
  <c r="AN147" i="63" s="1"/>
  <c r="B149" i="65" s="1"/>
  <c r="AH146" i="65"/>
  <c r="AV146" i="65"/>
  <c r="Q146" i="65"/>
  <c r="AE146" i="65"/>
  <c r="R146" i="65"/>
  <c r="S146" i="65" s="1"/>
  <c r="Y146" i="65" s="1"/>
  <c r="AB146" i="65" s="1"/>
  <c r="AC146" i="65" s="1"/>
  <c r="AD146" i="65" s="1"/>
  <c r="AF146" i="65"/>
  <c r="U146" i="65"/>
  <c r="AG146" i="65" l="1"/>
  <c r="L149" i="65"/>
  <c r="M149" i="65" s="1"/>
  <c r="O149" i="65"/>
  <c r="Q149" i="65"/>
  <c r="C149" i="65"/>
  <c r="U147" i="65"/>
  <c r="AF147" i="65"/>
  <c r="AE147" i="65"/>
  <c r="AV147" i="65"/>
  <c r="R147" i="65"/>
  <c r="S147" i="65" s="1"/>
  <c r="Y147" i="65" s="1"/>
  <c r="AB147" i="65" s="1"/>
  <c r="AC147" i="65" s="1"/>
  <c r="AD147" i="65" s="1"/>
  <c r="AH147" i="65"/>
  <c r="Q147" i="65"/>
  <c r="D148" i="65"/>
  <c r="E148" i="65" s="1"/>
  <c r="F148" i="65" s="1"/>
  <c r="G148" i="65" s="1"/>
  <c r="H148" i="65" s="1"/>
  <c r="I148" i="65" s="1"/>
  <c r="J148" i="65" s="1"/>
  <c r="K148" i="65" s="1"/>
  <c r="N148" i="65"/>
  <c r="AM148" i="65"/>
  <c r="P148" i="65"/>
  <c r="AN148" i="63" a="1"/>
  <c r="AN148" i="63" s="1"/>
  <c r="B150" i="65" s="1"/>
  <c r="AN149" i="63" l="1" a="1"/>
  <c r="AN149" i="63" s="1"/>
  <c r="B151" i="65" s="1"/>
  <c r="P149" i="65"/>
  <c r="D149" i="65"/>
  <c r="E149" i="65" s="1"/>
  <c r="F149" i="65" s="1"/>
  <c r="G149" i="65" s="1"/>
  <c r="H149" i="65" s="1"/>
  <c r="I149" i="65" s="1"/>
  <c r="J149" i="65" s="1"/>
  <c r="K149" i="65" s="1"/>
  <c r="AM149" i="65"/>
  <c r="AG147" i="65"/>
  <c r="O150" i="65"/>
  <c r="C150" i="65"/>
  <c r="L150" i="65"/>
  <c r="M150" i="65" s="1"/>
  <c r="R148" i="65"/>
  <c r="S148" i="65" s="1"/>
  <c r="Y148" i="65" s="1"/>
  <c r="AB148" i="65" s="1"/>
  <c r="AC148" i="65" s="1"/>
  <c r="AD148" i="65" s="1"/>
  <c r="AF148" i="65"/>
  <c r="AE148" i="65"/>
  <c r="Q148" i="65"/>
  <c r="AH148" i="65"/>
  <c r="AV148" i="65"/>
  <c r="U148" i="65"/>
  <c r="Y149" i="65" l="1"/>
  <c r="AB149" i="65" s="1"/>
  <c r="AC149" i="65" s="1"/>
  <c r="AF149" i="65" s="1"/>
  <c r="AG149" i="65" s="1"/>
  <c r="AN150" i="63" a="1"/>
  <c r="AN150" i="63" s="1"/>
  <c r="B152" i="65" s="1"/>
  <c r="D150" i="65"/>
  <c r="E150" i="65" s="1"/>
  <c r="F150" i="65" s="1"/>
  <c r="G150" i="65" s="1"/>
  <c r="H150" i="65" s="1"/>
  <c r="I150" i="65" s="1"/>
  <c r="J150" i="65" s="1"/>
  <c r="K150" i="65" s="1"/>
  <c r="AM150" i="65"/>
  <c r="N150" i="65"/>
  <c r="P150" i="65"/>
  <c r="AG148" i="65"/>
  <c r="L151" i="65"/>
  <c r="M151" i="65" s="1"/>
  <c r="O151" i="65"/>
  <c r="C151" i="65"/>
  <c r="AD149" i="65" l="1"/>
  <c r="AE150" i="65"/>
  <c r="AF150" i="65"/>
  <c r="R150" i="65"/>
  <c r="S150" i="65" s="1"/>
  <c r="Y150" i="65" s="1"/>
  <c r="AB150" i="65" s="1"/>
  <c r="AC150" i="65" s="1"/>
  <c r="AD150" i="65" s="1"/>
  <c r="U150" i="65"/>
  <c r="Q150" i="65"/>
  <c r="AV150" i="65"/>
  <c r="AH150" i="65"/>
  <c r="D151" i="65"/>
  <c r="E151" i="65" s="1"/>
  <c r="F151" i="65" s="1"/>
  <c r="G151" i="65" s="1"/>
  <c r="H151" i="65" s="1"/>
  <c r="I151" i="65" s="1"/>
  <c r="J151" i="65" s="1"/>
  <c r="K151" i="65" s="1"/>
  <c r="P151" i="65"/>
  <c r="N151" i="65"/>
  <c r="AM151" i="65"/>
  <c r="AN151" i="63" a="1"/>
  <c r="AN151" i="63" s="1"/>
  <c r="B153" i="65" s="1"/>
  <c r="O152" i="65"/>
  <c r="C152" i="65"/>
  <c r="L152" i="65"/>
  <c r="M152" i="65" s="1"/>
  <c r="D152" i="65" l="1"/>
  <c r="E152" i="65" s="1"/>
  <c r="F152" i="65" s="1"/>
  <c r="G152" i="65" s="1"/>
  <c r="H152" i="65" s="1"/>
  <c r="I152" i="65" s="1"/>
  <c r="J152" i="65" s="1"/>
  <c r="K152" i="65" s="1"/>
  <c r="N152" i="65"/>
  <c r="AM152" i="65"/>
  <c r="P152" i="65"/>
  <c r="AE151" i="65"/>
  <c r="R151" i="65"/>
  <c r="S151" i="65" s="1"/>
  <c r="Y151" i="65" s="1"/>
  <c r="AB151" i="65" s="1"/>
  <c r="AC151" i="65" s="1"/>
  <c r="AD151" i="65" s="1"/>
  <c r="Q151" i="65"/>
  <c r="AF151" i="65"/>
  <c r="U151" i="65"/>
  <c r="AH151" i="65"/>
  <c r="AV151" i="65"/>
  <c r="AG150" i="65"/>
  <c r="C153" i="65"/>
  <c r="L153" i="65"/>
  <c r="M153" i="65" s="1"/>
  <c r="O153" i="65"/>
  <c r="AN152" i="63" a="1"/>
  <c r="AN152" i="63" s="1"/>
  <c r="B154" i="65" s="1"/>
  <c r="AG151" i="65" l="1"/>
  <c r="AH152" i="65"/>
  <c r="Q152" i="65"/>
  <c r="R152" i="65"/>
  <c r="S152" i="65" s="1"/>
  <c r="Y152" i="65" s="1"/>
  <c r="AB152" i="65" s="1"/>
  <c r="AC152" i="65" s="1"/>
  <c r="AD152" i="65" s="1"/>
  <c r="AV152" i="65"/>
  <c r="U152" i="65"/>
  <c r="AF152" i="65"/>
  <c r="AE152" i="65"/>
  <c r="C154" i="65"/>
  <c r="O154" i="65"/>
  <c r="L154" i="65"/>
  <c r="M154" i="65" s="1"/>
  <c r="D153" i="65"/>
  <c r="E153" i="65" s="1"/>
  <c r="F153" i="65" s="1"/>
  <c r="G153" i="65" s="1"/>
  <c r="H153" i="65" s="1"/>
  <c r="I153" i="65" s="1"/>
  <c r="J153" i="65" s="1"/>
  <c r="K153" i="65" s="1"/>
  <c r="P153" i="65"/>
  <c r="N153" i="65"/>
  <c r="AM153" i="65"/>
  <c r="AN153" i="63" a="1"/>
  <c r="AN153" i="63" s="1"/>
  <c r="B155" i="65" s="1"/>
  <c r="AN154" i="63" l="1" a="1"/>
  <c r="AN154" i="63" s="1"/>
  <c r="B156" i="65" s="1"/>
  <c r="AM154" i="65"/>
  <c r="D154" i="65"/>
  <c r="E154" i="65" s="1"/>
  <c r="F154" i="65" s="1"/>
  <c r="G154" i="65" s="1"/>
  <c r="H154" i="65" s="1"/>
  <c r="I154" i="65" s="1"/>
  <c r="J154" i="65" s="1"/>
  <c r="K154" i="65" s="1"/>
  <c r="P154" i="65"/>
  <c r="N154" i="65"/>
  <c r="AG152" i="65"/>
  <c r="L155" i="65"/>
  <c r="M155" i="65" s="1"/>
  <c r="O155" i="65"/>
  <c r="C155" i="65"/>
  <c r="R153" i="65"/>
  <c r="S153" i="65" s="1"/>
  <c r="Y153" i="65" s="1"/>
  <c r="AB153" i="65" s="1"/>
  <c r="AC153" i="65" s="1"/>
  <c r="AD153" i="65" s="1"/>
  <c r="U153" i="65"/>
  <c r="AE153" i="65"/>
  <c r="AV153" i="65"/>
  <c r="Q153" i="65"/>
  <c r="AF153" i="65"/>
  <c r="AH153" i="65"/>
  <c r="AN155" i="63" l="1" a="1"/>
  <c r="AN155" i="63" s="1"/>
  <c r="B157" i="65" s="1"/>
  <c r="AM155" i="65"/>
  <c r="D155" i="65"/>
  <c r="E155" i="65" s="1"/>
  <c r="F155" i="65" s="1"/>
  <c r="G155" i="65" s="1"/>
  <c r="H155" i="65" s="1"/>
  <c r="I155" i="65" s="1"/>
  <c r="J155" i="65" s="1"/>
  <c r="K155" i="65" s="1"/>
  <c r="P155" i="65"/>
  <c r="N155" i="65"/>
  <c r="U154" i="65"/>
  <c r="AE154" i="65"/>
  <c r="AV154" i="65"/>
  <c r="AH154" i="65"/>
  <c r="Q154" i="65"/>
  <c r="R154" i="65"/>
  <c r="S154" i="65" s="1"/>
  <c r="Y154" i="65" s="1"/>
  <c r="AB154" i="65" s="1"/>
  <c r="AC154" i="65" s="1"/>
  <c r="AD154" i="65" s="1"/>
  <c r="AF154" i="65"/>
  <c r="AG153" i="65"/>
  <c r="L156" i="65"/>
  <c r="M156" i="65" s="1"/>
  <c r="O156" i="65"/>
  <c r="C156" i="65"/>
  <c r="AG154" i="65" l="1"/>
  <c r="AN156" i="63" a="1"/>
  <c r="AN156" i="63" s="1"/>
  <c r="B158" i="65" s="1"/>
  <c r="R155" i="65"/>
  <c r="S155" i="65" s="1"/>
  <c r="Y155" i="65" s="1"/>
  <c r="AB155" i="65" s="1"/>
  <c r="AC155" i="65" s="1"/>
  <c r="AD155" i="65" s="1"/>
  <c r="U155" i="65"/>
  <c r="Q155" i="65"/>
  <c r="AE155" i="65"/>
  <c r="AF155" i="65"/>
  <c r="AV155" i="65"/>
  <c r="AH155" i="65"/>
  <c r="D156" i="65"/>
  <c r="E156" i="65" s="1"/>
  <c r="F156" i="65" s="1"/>
  <c r="G156" i="65" s="1"/>
  <c r="H156" i="65" s="1"/>
  <c r="I156" i="65" s="1"/>
  <c r="J156" i="65" s="1"/>
  <c r="K156" i="65" s="1"/>
  <c r="N156" i="65"/>
  <c r="AM156" i="65"/>
  <c r="P156" i="65"/>
  <c r="L157" i="65"/>
  <c r="M157" i="65" s="1"/>
  <c r="O157" i="65"/>
  <c r="C157" i="65"/>
  <c r="AV156" i="65" l="1"/>
  <c r="Q156" i="65"/>
  <c r="AF156" i="65"/>
  <c r="U156" i="65"/>
  <c r="AH156" i="65"/>
  <c r="AE156" i="65"/>
  <c r="R156" i="65"/>
  <c r="S156" i="65" s="1"/>
  <c r="Y156" i="65" s="1"/>
  <c r="AB156" i="65" s="1"/>
  <c r="AC156" i="65" s="1"/>
  <c r="AD156" i="65" s="1"/>
  <c r="AG155" i="65"/>
  <c r="AN157" i="63" a="1"/>
  <c r="AN157" i="63" s="1"/>
  <c r="B159" i="65" s="1"/>
  <c r="D157" i="65"/>
  <c r="E157" i="65" s="1"/>
  <c r="F157" i="65" s="1"/>
  <c r="G157" i="65" s="1"/>
  <c r="H157" i="65" s="1"/>
  <c r="I157" i="65" s="1"/>
  <c r="J157" i="65" s="1"/>
  <c r="K157" i="65" s="1"/>
  <c r="N157" i="65"/>
  <c r="AM157" i="65"/>
  <c r="P157" i="65"/>
  <c r="L158" i="65"/>
  <c r="M158" i="65" s="1"/>
  <c r="O158" i="65"/>
  <c r="C158" i="65"/>
  <c r="N158" i="65" l="1"/>
  <c r="AM158" i="65"/>
  <c r="P158" i="65"/>
  <c r="D158" i="65"/>
  <c r="E158" i="65" s="1"/>
  <c r="F158" i="65" s="1"/>
  <c r="G158" i="65" s="1"/>
  <c r="H158" i="65" s="1"/>
  <c r="I158" i="65" s="1"/>
  <c r="J158" i="65" s="1"/>
  <c r="K158" i="65" s="1"/>
  <c r="AH157" i="65"/>
  <c r="AE157" i="65"/>
  <c r="R157" i="65"/>
  <c r="S157" i="65" s="1"/>
  <c r="Y157" i="65" s="1"/>
  <c r="AB157" i="65" s="1"/>
  <c r="AC157" i="65" s="1"/>
  <c r="AD157" i="65" s="1"/>
  <c r="Q157" i="65"/>
  <c r="AV157" i="65"/>
  <c r="AF157" i="65"/>
  <c r="U157" i="65"/>
  <c r="AG156" i="65"/>
  <c r="C159" i="65"/>
  <c r="O159" i="65"/>
  <c r="L159" i="65"/>
  <c r="M159" i="65" s="1"/>
  <c r="AN158" i="63" a="1"/>
  <c r="AN158" i="63" s="1"/>
  <c r="B160" i="65" s="1"/>
  <c r="AG157" i="65" l="1"/>
  <c r="AN159" i="63" a="1"/>
  <c r="AN159" i="63" s="1"/>
  <c r="B161" i="65" s="1"/>
  <c r="P159" i="65"/>
  <c r="N159" i="65"/>
  <c r="D159" i="65"/>
  <c r="E159" i="65" s="1"/>
  <c r="F159" i="65" s="1"/>
  <c r="G159" i="65" s="1"/>
  <c r="H159" i="65" s="1"/>
  <c r="I159" i="65" s="1"/>
  <c r="J159" i="65" s="1"/>
  <c r="K159" i="65" s="1"/>
  <c r="AM159" i="65"/>
  <c r="R158" i="65"/>
  <c r="S158" i="65" s="1"/>
  <c r="Y158" i="65" s="1"/>
  <c r="AB158" i="65" s="1"/>
  <c r="AC158" i="65" s="1"/>
  <c r="AD158" i="65" s="1"/>
  <c r="Q158" i="65"/>
  <c r="AH158" i="65"/>
  <c r="AE158" i="65"/>
  <c r="AF158" i="65"/>
  <c r="AV158" i="65"/>
  <c r="U158" i="65"/>
  <c r="O160" i="65"/>
  <c r="L160" i="65"/>
  <c r="M160" i="65" s="1"/>
  <c r="C160" i="65"/>
  <c r="AG158" i="65" l="1"/>
  <c r="L161" i="65"/>
  <c r="M161" i="65" s="1"/>
  <c r="C161" i="65"/>
  <c r="O161" i="65"/>
  <c r="AN160" i="63" a="1"/>
  <c r="AN160" i="63" s="1"/>
  <c r="B162" i="65" s="1"/>
  <c r="AM160" i="65"/>
  <c r="P160" i="65"/>
  <c r="N160" i="65"/>
  <c r="D160" i="65"/>
  <c r="E160" i="65" s="1"/>
  <c r="F160" i="65" s="1"/>
  <c r="G160" i="65" s="1"/>
  <c r="H160" i="65" s="1"/>
  <c r="I160" i="65" s="1"/>
  <c r="J160" i="65" s="1"/>
  <c r="K160" i="65" s="1"/>
  <c r="R159" i="65"/>
  <c r="S159" i="65" s="1"/>
  <c r="Y159" i="65" s="1"/>
  <c r="AB159" i="65" s="1"/>
  <c r="AC159" i="65" s="1"/>
  <c r="AD159" i="65" s="1"/>
  <c r="AV159" i="65"/>
  <c r="AF159" i="65"/>
  <c r="AH159" i="65"/>
  <c r="AE159" i="65"/>
  <c r="U159" i="65"/>
  <c r="Q159" i="65"/>
  <c r="AM161" i="65" l="1"/>
  <c r="D161" i="65"/>
  <c r="E161" i="65" s="1"/>
  <c r="F161" i="65" s="1"/>
  <c r="G161" i="65" s="1"/>
  <c r="H161" i="65" s="1"/>
  <c r="I161" i="65" s="1"/>
  <c r="J161" i="65" s="1"/>
  <c r="K161" i="65" s="1"/>
  <c r="P161" i="65"/>
  <c r="N161" i="65"/>
  <c r="L162" i="65"/>
  <c r="M162" i="65" s="1"/>
  <c r="O162" i="65"/>
  <c r="C162" i="65"/>
  <c r="AN161" i="63" a="1"/>
  <c r="AN161" i="63" s="1"/>
  <c r="B163" i="65" s="1"/>
  <c r="AG159" i="65"/>
  <c r="AH160" i="65"/>
  <c r="R160" i="65"/>
  <c r="S160" i="65" s="1"/>
  <c r="Y160" i="65" s="1"/>
  <c r="AB160" i="65" s="1"/>
  <c r="AC160" i="65" s="1"/>
  <c r="AD160" i="65" s="1"/>
  <c r="U160" i="65"/>
  <c r="Q160" i="65"/>
  <c r="AV160" i="65"/>
  <c r="AF160" i="65"/>
  <c r="AE160" i="65"/>
  <c r="L163" i="65" l="1"/>
  <c r="M163" i="65" s="1"/>
  <c r="O163" i="65"/>
  <c r="C163" i="65"/>
  <c r="AH161" i="65"/>
  <c r="U161" i="65"/>
  <c r="Q161" i="65"/>
  <c r="AE161" i="65"/>
  <c r="AV161" i="65"/>
  <c r="AF161" i="65"/>
  <c r="R161" i="65"/>
  <c r="S161" i="65" s="1"/>
  <c r="Y161" i="65" s="1"/>
  <c r="AB161" i="65" s="1"/>
  <c r="AC161" i="65" s="1"/>
  <c r="AD161" i="65" s="1"/>
  <c r="P162" i="65"/>
  <c r="N162" i="65"/>
  <c r="AM162" i="65"/>
  <c r="D162" i="65"/>
  <c r="E162" i="65" s="1"/>
  <c r="F162" i="65" s="1"/>
  <c r="G162" i="65" s="1"/>
  <c r="H162" i="65" s="1"/>
  <c r="I162" i="65" s="1"/>
  <c r="J162" i="65" s="1"/>
  <c r="K162" i="65" s="1"/>
  <c r="AG160" i="65"/>
  <c r="AN162" i="63" a="1"/>
  <c r="AN162" i="63" s="1"/>
  <c r="B164" i="65" s="1"/>
  <c r="R162" i="65" l="1"/>
  <c r="S162" i="65" s="1"/>
  <c r="Y162" i="65" s="1"/>
  <c r="AB162" i="65" s="1"/>
  <c r="AC162" i="65" s="1"/>
  <c r="AD162" i="65" s="1"/>
  <c r="U162" i="65"/>
  <c r="AV162" i="65"/>
  <c r="AF162" i="65"/>
  <c r="AE162" i="65"/>
  <c r="Q162" i="65"/>
  <c r="AH162" i="65"/>
  <c r="AM163" i="65"/>
  <c r="P163" i="65"/>
  <c r="D163" i="65"/>
  <c r="E163" i="65" s="1"/>
  <c r="F163" i="65" s="1"/>
  <c r="G163" i="65" s="1"/>
  <c r="H163" i="65" s="1"/>
  <c r="I163" i="65" s="1"/>
  <c r="J163" i="65" s="1"/>
  <c r="K163" i="65" s="1"/>
  <c r="N163" i="65"/>
  <c r="AN163" i="63" a="1"/>
  <c r="AN163" i="63" s="1"/>
  <c r="B165" i="65" s="1"/>
  <c r="O164" i="65"/>
  <c r="L164" i="65"/>
  <c r="M164" i="65" s="1"/>
  <c r="C164" i="65"/>
  <c r="AG161" i="65"/>
  <c r="AG162" i="65" l="1"/>
  <c r="AN164" i="63" a="1"/>
  <c r="AN164" i="63" s="1"/>
  <c r="B166" i="65" s="1"/>
  <c r="D164" i="65"/>
  <c r="E164" i="65" s="1"/>
  <c r="F164" i="65" s="1"/>
  <c r="G164" i="65" s="1"/>
  <c r="H164" i="65" s="1"/>
  <c r="I164" i="65" s="1"/>
  <c r="J164" i="65" s="1"/>
  <c r="K164" i="65" s="1"/>
  <c r="N164" i="65"/>
  <c r="AM164" i="65"/>
  <c r="P164" i="65"/>
  <c r="Q163" i="65"/>
  <c r="R163" i="65"/>
  <c r="S163" i="65" s="1"/>
  <c r="Y163" i="65" s="1"/>
  <c r="AB163" i="65" s="1"/>
  <c r="AC163" i="65" s="1"/>
  <c r="AD163" i="65" s="1"/>
  <c r="AF163" i="65"/>
  <c r="AV163" i="65"/>
  <c r="AE163" i="65"/>
  <c r="U163" i="65"/>
  <c r="AH163" i="65"/>
  <c r="C165" i="65"/>
  <c r="L165" i="65"/>
  <c r="M165" i="65" s="1"/>
  <c r="O165" i="65"/>
  <c r="AG163" i="65" l="1"/>
  <c r="AN165" i="63" a="1"/>
  <c r="AN165" i="63" s="1"/>
  <c r="B167" i="65" s="1"/>
  <c r="AF164" i="65"/>
  <c r="AV164" i="65"/>
  <c r="Q164" i="65"/>
  <c r="R164" i="65"/>
  <c r="S164" i="65" s="1"/>
  <c r="Y164" i="65" s="1"/>
  <c r="AB164" i="65" s="1"/>
  <c r="AC164" i="65" s="1"/>
  <c r="AD164" i="65" s="1"/>
  <c r="AE164" i="65"/>
  <c r="AH164" i="65"/>
  <c r="U164" i="65"/>
  <c r="N165" i="65"/>
  <c r="D165" i="65"/>
  <c r="E165" i="65" s="1"/>
  <c r="F165" i="65" s="1"/>
  <c r="G165" i="65" s="1"/>
  <c r="H165" i="65" s="1"/>
  <c r="I165" i="65" s="1"/>
  <c r="J165" i="65" s="1"/>
  <c r="K165" i="65" s="1"/>
  <c r="P165" i="65"/>
  <c r="AM165" i="65"/>
  <c r="O166" i="65"/>
  <c r="C166" i="65"/>
  <c r="L166" i="65"/>
  <c r="M166" i="65" s="1"/>
  <c r="L167" i="65" l="1"/>
  <c r="M167" i="65" s="1"/>
  <c r="O167" i="65"/>
  <c r="C167" i="65"/>
  <c r="AH165" i="65"/>
  <c r="AF165" i="65"/>
  <c r="R165" i="65"/>
  <c r="S165" i="65" s="1"/>
  <c r="Y165" i="65" s="1"/>
  <c r="AB165" i="65" s="1"/>
  <c r="AC165" i="65" s="1"/>
  <c r="AD165" i="65" s="1"/>
  <c r="U165" i="65"/>
  <c r="AV165" i="65"/>
  <c r="Q165" i="65"/>
  <c r="AE165" i="65"/>
  <c r="AG164" i="65"/>
  <c r="AM166" i="65"/>
  <c r="D166" i="65"/>
  <c r="E166" i="65" s="1"/>
  <c r="F166" i="65" s="1"/>
  <c r="G166" i="65" s="1"/>
  <c r="H166" i="65" s="1"/>
  <c r="I166" i="65" s="1"/>
  <c r="J166" i="65" s="1"/>
  <c r="K166" i="65" s="1"/>
  <c r="P166" i="65"/>
  <c r="N166" i="65"/>
  <c r="AN166" i="63" a="1"/>
  <c r="AN166" i="63" s="1"/>
  <c r="B168" i="65" s="1"/>
  <c r="AN167" i="63" l="1" a="1"/>
  <c r="AN167" i="63" s="1"/>
  <c r="B169" i="65" s="1"/>
  <c r="N167" i="65"/>
  <c r="AM167" i="65"/>
  <c r="D167" i="65"/>
  <c r="E167" i="65" s="1"/>
  <c r="F167" i="65" s="1"/>
  <c r="G167" i="65" s="1"/>
  <c r="H167" i="65" s="1"/>
  <c r="I167" i="65" s="1"/>
  <c r="J167" i="65" s="1"/>
  <c r="K167" i="65" s="1"/>
  <c r="P167" i="65"/>
  <c r="C168" i="65"/>
  <c r="L168" i="65"/>
  <c r="M168" i="65" s="1"/>
  <c r="O168" i="65"/>
  <c r="AH166" i="65"/>
  <c r="AV166" i="65"/>
  <c r="AE166" i="65"/>
  <c r="Q166" i="65"/>
  <c r="R166" i="65"/>
  <c r="S166" i="65" s="1"/>
  <c r="Y166" i="65" s="1"/>
  <c r="AB166" i="65" s="1"/>
  <c r="AC166" i="65" s="1"/>
  <c r="AD166" i="65" s="1"/>
  <c r="AF166" i="65"/>
  <c r="U166" i="65"/>
  <c r="AG165" i="65"/>
  <c r="AN168" i="63" l="1" a="1"/>
  <c r="AN168" i="63" s="1"/>
  <c r="B170" i="65" s="1"/>
  <c r="AG166" i="65"/>
  <c r="D168" i="65"/>
  <c r="E168" i="65" s="1"/>
  <c r="F168" i="65" s="1"/>
  <c r="G168" i="65" s="1"/>
  <c r="H168" i="65" s="1"/>
  <c r="I168" i="65" s="1"/>
  <c r="J168" i="65" s="1"/>
  <c r="K168" i="65" s="1"/>
  <c r="P168" i="65"/>
  <c r="N168" i="65"/>
  <c r="AM168" i="65"/>
  <c r="AF167" i="65"/>
  <c r="AH167" i="65"/>
  <c r="U167" i="65"/>
  <c r="R167" i="65"/>
  <c r="S167" i="65" s="1"/>
  <c r="Y167" i="65" s="1"/>
  <c r="AB167" i="65" s="1"/>
  <c r="AC167" i="65" s="1"/>
  <c r="AD167" i="65" s="1"/>
  <c r="AV167" i="65"/>
  <c r="AE167" i="65"/>
  <c r="Q167" i="65"/>
  <c r="C169" i="65"/>
  <c r="O169" i="65"/>
  <c r="L169" i="65"/>
  <c r="M169" i="65" s="1"/>
  <c r="AN169" i="63" l="1" a="1"/>
  <c r="AN169" i="63" s="1"/>
  <c r="B171" i="65" s="1"/>
  <c r="AF168" i="65"/>
  <c r="Q168" i="65"/>
  <c r="R168" i="65"/>
  <c r="S168" i="65" s="1"/>
  <c r="Y168" i="65" s="1"/>
  <c r="AB168" i="65" s="1"/>
  <c r="AC168" i="65" s="1"/>
  <c r="AD168" i="65" s="1"/>
  <c r="U168" i="65"/>
  <c r="AH168" i="65"/>
  <c r="AE168" i="65"/>
  <c r="AV168" i="65"/>
  <c r="N169" i="65"/>
  <c r="AM169" i="65"/>
  <c r="P169" i="65"/>
  <c r="D169" i="65"/>
  <c r="E169" i="65" s="1"/>
  <c r="F169" i="65" s="1"/>
  <c r="G169" i="65" s="1"/>
  <c r="H169" i="65" s="1"/>
  <c r="I169" i="65" s="1"/>
  <c r="J169" i="65" s="1"/>
  <c r="K169" i="65" s="1"/>
  <c r="AG167" i="65"/>
  <c r="L170" i="65"/>
  <c r="M170" i="65" s="1"/>
  <c r="C170" i="65"/>
  <c r="O170" i="65"/>
  <c r="D170" i="65" l="1"/>
  <c r="E170" i="65" s="1"/>
  <c r="F170" i="65" s="1"/>
  <c r="G170" i="65" s="1"/>
  <c r="H170" i="65" s="1"/>
  <c r="I170" i="65" s="1"/>
  <c r="J170" i="65" s="1"/>
  <c r="K170" i="65" s="1"/>
  <c r="AM170" i="65"/>
  <c r="P170" i="65"/>
  <c r="N170" i="65"/>
  <c r="AE169" i="65"/>
  <c r="AV169" i="65"/>
  <c r="U169" i="65"/>
  <c r="AF169" i="65"/>
  <c r="R169" i="65"/>
  <c r="S169" i="65" s="1"/>
  <c r="Y169" i="65" s="1"/>
  <c r="AB169" i="65" s="1"/>
  <c r="AC169" i="65" s="1"/>
  <c r="AD169" i="65" s="1"/>
  <c r="Q169" i="65"/>
  <c r="AH169" i="65"/>
  <c r="AN170" i="63" a="1"/>
  <c r="AN170" i="63" s="1"/>
  <c r="B172" i="65" s="1"/>
  <c r="AG168" i="65"/>
  <c r="L171" i="65"/>
  <c r="M171" i="65" s="1"/>
  <c r="C171" i="65"/>
  <c r="O171" i="65"/>
  <c r="AG169" i="65" l="1"/>
  <c r="AN171" i="63" a="1"/>
  <c r="AN171" i="63" s="1"/>
  <c r="B173" i="65" s="1"/>
  <c r="C172" i="65"/>
  <c r="L172" i="65"/>
  <c r="M172" i="65" s="1"/>
  <c r="O172" i="65"/>
  <c r="AE170" i="65"/>
  <c r="AV170" i="65"/>
  <c r="Q170" i="65"/>
  <c r="R170" i="65"/>
  <c r="S170" i="65" s="1"/>
  <c r="Y170" i="65" s="1"/>
  <c r="AB170" i="65" s="1"/>
  <c r="AC170" i="65" s="1"/>
  <c r="AD170" i="65" s="1"/>
  <c r="U170" i="65"/>
  <c r="AH170" i="65"/>
  <c r="AF170" i="65"/>
  <c r="P171" i="65"/>
  <c r="N171" i="65"/>
  <c r="D171" i="65"/>
  <c r="E171" i="65" s="1"/>
  <c r="F171" i="65" s="1"/>
  <c r="G171" i="65" s="1"/>
  <c r="H171" i="65" s="1"/>
  <c r="I171" i="65" s="1"/>
  <c r="J171" i="65" s="1"/>
  <c r="K171" i="65" s="1"/>
  <c r="AM171" i="65"/>
  <c r="AN172" i="63" l="1" a="1"/>
  <c r="AN172" i="63" s="1"/>
  <c r="B174" i="65" s="1"/>
  <c r="AG170" i="65"/>
  <c r="AM172" i="65"/>
  <c r="D172" i="65"/>
  <c r="E172" i="65" s="1"/>
  <c r="F172" i="65" s="1"/>
  <c r="G172" i="65" s="1"/>
  <c r="H172" i="65" s="1"/>
  <c r="I172" i="65" s="1"/>
  <c r="J172" i="65" s="1"/>
  <c r="K172" i="65" s="1"/>
  <c r="N172" i="65"/>
  <c r="P172" i="65"/>
  <c r="O173" i="65"/>
  <c r="L173" i="65"/>
  <c r="M173" i="65" s="1"/>
  <c r="C173" i="65"/>
  <c r="AF171" i="65"/>
  <c r="AH171" i="65"/>
  <c r="U171" i="65"/>
  <c r="AE171" i="65"/>
  <c r="AV171" i="65"/>
  <c r="Q171" i="65"/>
  <c r="R171" i="65"/>
  <c r="S171" i="65" s="1"/>
  <c r="Y171" i="65" s="1"/>
  <c r="AB171" i="65" s="1"/>
  <c r="AC171" i="65" s="1"/>
  <c r="AD171" i="65" s="1"/>
  <c r="AG171" i="65" l="1"/>
  <c r="AN173" i="63" a="1"/>
  <c r="AN173" i="63" s="1"/>
  <c r="B175" i="65" s="1"/>
  <c r="N173" i="65"/>
  <c r="D173" i="65"/>
  <c r="E173" i="65" s="1"/>
  <c r="F173" i="65" s="1"/>
  <c r="G173" i="65" s="1"/>
  <c r="H173" i="65" s="1"/>
  <c r="I173" i="65" s="1"/>
  <c r="J173" i="65" s="1"/>
  <c r="K173" i="65" s="1"/>
  <c r="AM173" i="65"/>
  <c r="P173" i="65"/>
  <c r="Q172" i="65"/>
  <c r="U172" i="65"/>
  <c r="R172" i="65"/>
  <c r="S172" i="65" s="1"/>
  <c r="Y172" i="65" s="1"/>
  <c r="AB172" i="65" s="1"/>
  <c r="AC172" i="65" s="1"/>
  <c r="AD172" i="65" s="1"/>
  <c r="AV172" i="65"/>
  <c r="AE172" i="65"/>
  <c r="AF172" i="65"/>
  <c r="AH172" i="65"/>
  <c r="L174" i="65"/>
  <c r="M174" i="65" s="1"/>
  <c r="O174" i="65"/>
  <c r="C174" i="65"/>
  <c r="N174" i="65" l="1"/>
  <c r="P174" i="65"/>
  <c r="AM174" i="65"/>
  <c r="D174" i="65"/>
  <c r="E174" i="65" s="1"/>
  <c r="F174" i="65" s="1"/>
  <c r="G174" i="65" s="1"/>
  <c r="H174" i="65" s="1"/>
  <c r="I174" i="65" s="1"/>
  <c r="J174" i="65" s="1"/>
  <c r="K174" i="65" s="1"/>
  <c r="AG172" i="65"/>
  <c r="AH173" i="65"/>
  <c r="AV173" i="65"/>
  <c r="R173" i="65"/>
  <c r="S173" i="65" s="1"/>
  <c r="Y173" i="65" s="1"/>
  <c r="AB173" i="65" s="1"/>
  <c r="AC173" i="65" s="1"/>
  <c r="AD173" i="65" s="1"/>
  <c r="U173" i="65"/>
  <c r="AE173" i="65"/>
  <c r="Q173" i="65"/>
  <c r="AF173" i="65"/>
  <c r="L175" i="65"/>
  <c r="M175" i="65" s="1"/>
  <c r="C175" i="65"/>
  <c r="O175" i="65"/>
  <c r="AN174" i="63" a="1"/>
  <c r="AN174" i="63" s="1"/>
  <c r="B176" i="65" s="1"/>
  <c r="D175" i="65" l="1"/>
  <c r="E175" i="65" s="1"/>
  <c r="F175" i="65" s="1"/>
  <c r="G175" i="65" s="1"/>
  <c r="H175" i="65" s="1"/>
  <c r="I175" i="65" s="1"/>
  <c r="J175" i="65" s="1"/>
  <c r="K175" i="65" s="1"/>
  <c r="N175" i="65"/>
  <c r="AM175" i="65"/>
  <c r="P175" i="65"/>
  <c r="AN175" i="63" a="1"/>
  <c r="AN175" i="63" s="1"/>
  <c r="B177" i="65" s="1"/>
  <c r="Q174" i="65"/>
  <c r="AF174" i="65"/>
  <c r="R174" i="65"/>
  <c r="S174" i="65" s="1"/>
  <c r="Y174" i="65" s="1"/>
  <c r="AB174" i="65" s="1"/>
  <c r="AC174" i="65" s="1"/>
  <c r="AD174" i="65" s="1"/>
  <c r="AE174" i="65"/>
  <c r="U174" i="65"/>
  <c r="AH174" i="65"/>
  <c r="AV174" i="65"/>
  <c r="C176" i="65"/>
  <c r="L176" i="65"/>
  <c r="M176" i="65" s="1"/>
  <c r="O176" i="65"/>
  <c r="AG173" i="65"/>
  <c r="AN176" i="63" l="1" a="1"/>
  <c r="AN176" i="63" s="1"/>
  <c r="B178" i="65" s="1"/>
  <c r="AM176" i="65"/>
  <c r="D176" i="65"/>
  <c r="E176" i="65" s="1"/>
  <c r="F176" i="65" s="1"/>
  <c r="G176" i="65" s="1"/>
  <c r="H176" i="65" s="1"/>
  <c r="I176" i="65" s="1"/>
  <c r="J176" i="65" s="1"/>
  <c r="K176" i="65" s="1"/>
  <c r="P176" i="65"/>
  <c r="N176" i="65"/>
  <c r="AG174" i="65"/>
  <c r="R175" i="65"/>
  <c r="S175" i="65" s="1"/>
  <c r="Y175" i="65" s="1"/>
  <c r="AB175" i="65" s="1"/>
  <c r="AC175" i="65" s="1"/>
  <c r="AD175" i="65" s="1"/>
  <c r="AH175" i="65"/>
  <c r="AF175" i="65"/>
  <c r="Q175" i="65"/>
  <c r="AV175" i="65"/>
  <c r="U175" i="65"/>
  <c r="AE175" i="65"/>
  <c r="L177" i="65"/>
  <c r="M177" i="65" s="1"/>
  <c r="C177" i="65"/>
  <c r="O177" i="65"/>
  <c r="AN177" i="63" l="1" a="1"/>
  <c r="AN177" i="63" s="1"/>
  <c r="B179" i="65" s="1"/>
  <c r="AG175" i="65"/>
  <c r="AM177" i="65"/>
  <c r="N177" i="65"/>
  <c r="D177" i="65"/>
  <c r="E177" i="65" s="1"/>
  <c r="F177" i="65" s="1"/>
  <c r="G177" i="65" s="1"/>
  <c r="H177" i="65" s="1"/>
  <c r="I177" i="65" s="1"/>
  <c r="J177" i="65" s="1"/>
  <c r="K177" i="65" s="1"/>
  <c r="P177" i="65"/>
  <c r="AV176" i="65"/>
  <c r="AE176" i="65"/>
  <c r="U176" i="65"/>
  <c r="AH176" i="65"/>
  <c r="R176" i="65"/>
  <c r="S176" i="65" s="1"/>
  <c r="Y176" i="65" s="1"/>
  <c r="AB176" i="65" s="1"/>
  <c r="AC176" i="65" s="1"/>
  <c r="AD176" i="65" s="1"/>
  <c r="Q176" i="65"/>
  <c r="AF176" i="65"/>
  <c r="C178" i="65"/>
  <c r="O178" i="65"/>
  <c r="L178" i="65"/>
  <c r="M178" i="65" s="1"/>
  <c r="AM178" i="65" l="1"/>
  <c r="D178" i="65"/>
  <c r="E178" i="65" s="1"/>
  <c r="F178" i="65" s="1"/>
  <c r="G178" i="65" s="1"/>
  <c r="H178" i="65" s="1"/>
  <c r="I178" i="65" s="1"/>
  <c r="J178" i="65" s="1"/>
  <c r="K178" i="65" s="1"/>
  <c r="P178" i="65"/>
  <c r="N178" i="65"/>
  <c r="AG176" i="65"/>
  <c r="C179" i="65"/>
  <c r="L179" i="65"/>
  <c r="M179" i="65" s="1"/>
  <c r="O179" i="65"/>
  <c r="U177" i="65"/>
  <c r="AE177" i="65"/>
  <c r="R177" i="65"/>
  <c r="S177" i="65" s="1"/>
  <c r="Y177" i="65" s="1"/>
  <c r="AB177" i="65" s="1"/>
  <c r="AC177" i="65" s="1"/>
  <c r="AD177" i="65" s="1"/>
  <c r="AF177" i="65"/>
  <c r="Q177" i="65"/>
  <c r="AH177" i="65"/>
  <c r="AV177" i="65"/>
  <c r="AN178" i="63" a="1"/>
  <c r="AN178" i="63" s="1"/>
  <c r="B180" i="65" s="1"/>
  <c r="P179" i="65" l="1"/>
  <c r="N179" i="65"/>
  <c r="AM179" i="65"/>
  <c r="D179" i="65"/>
  <c r="E179" i="65" s="1"/>
  <c r="F179" i="65" s="1"/>
  <c r="G179" i="65" s="1"/>
  <c r="H179" i="65" s="1"/>
  <c r="I179" i="65" s="1"/>
  <c r="J179" i="65" s="1"/>
  <c r="K179" i="65" s="1"/>
  <c r="O180" i="65"/>
  <c r="L180" i="65"/>
  <c r="M180" i="65" s="1"/>
  <c r="C180" i="65"/>
  <c r="AG177" i="65"/>
  <c r="R178" i="65"/>
  <c r="S178" i="65" s="1"/>
  <c r="Y178" i="65" s="1"/>
  <c r="AB178" i="65" s="1"/>
  <c r="AC178" i="65" s="1"/>
  <c r="AD178" i="65" s="1"/>
  <c r="AV178" i="65"/>
  <c r="AF178" i="65"/>
  <c r="AE178" i="65"/>
  <c r="U178" i="65"/>
  <c r="Q178" i="65"/>
  <c r="AH178" i="65"/>
  <c r="AN179" i="63" a="1"/>
  <c r="AN179" i="63" s="1"/>
  <c r="B181" i="65" s="1"/>
  <c r="AN180" i="63" l="1" a="1"/>
  <c r="AN180" i="63" s="1"/>
  <c r="B182" i="65" s="1"/>
  <c r="AG178" i="65"/>
  <c r="D180" i="65"/>
  <c r="E180" i="65" s="1"/>
  <c r="F180" i="65" s="1"/>
  <c r="G180" i="65" s="1"/>
  <c r="H180" i="65" s="1"/>
  <c r="I180" i="65" s="1"/>
  <c r="J180" i="65" s="1"/>
  <c r="K180" i="65" s="1"/>
  <c r="P180" i="65"/>
  <c r="AM180" i="65"/>
  <c r="N180" i="65"/>
  <c r="AV179" i="65"/>
  <c r="R179" i="65"/>
  <c r="S179" i="65" s="1"/>
  <c r="Y179" i="65" s="1"/>
  <c r="AB179" i="65" s="1"/>
  <c r="AC179" i="65" s="1"/>
  <c r="AD179" i="65" s="1"/>
  <c r="AH179" i="65"/>
  <c r="AE179" i="65"/>
  <c r="Q179" i="65"/>
  <c r="AF179" i="65"/>
  <c r="U179" i="65"/>
  <c r="L181" i="65"/>
  <c r="M181" i="65" s="1"/>
  <c r="O181" i="65"/>
  <c r="C181" i="65"/>
  <c r="AG179" i="65" l="1"/>
  <c r="D181" i="65"/>
  <c r="E181" i="65" s="1"/>
  <c r="F181" i="65" s="1"/>
  <c r="G181" i="65" s="1"/>
  <c r="H181" i="65" s="1"/>
  <c r="I181" i="65" s="1"/>
  <c r="J181" i="65" s="1"/>
  <c r="K181" i="65" s="1"/>
  <c r="AM181" i="65"/>
  <c r="P181" i="65"/>
  <c r="N181" i="65"/>
  <c r="AN181" i="63" a="1"/>
  <c r="AN181" i="63" s="1"/>
  <c r="B183" i="65" s="1"/>
  <c r="Q180" i="65"/>
  <c r="AH180" i="65"/>
  <c r="U180" i="65"/>
  <c r="R180" i="65"/>
  <c r="S180" i="65" s="1"/>
  <c r="Y180" i="65" s="1"/>
  <c r="AB180" i="65" s="1"/>
  <c r="AC180" i="65" s="1"/>
  <c r="AD180" i="65" s="1"/>
  <c r="AF180" i="65"/>
  <c r="AE180" i="65"/>
  <c r="AV180" i="65"/>
  <c r="O182" i="65"/>
  <c r="L182" i="65"/>
  <c r="M182" i="65" s="1"/>
  <c r="C182" i="65"/>
  <c r="P182" i="65" l="1"/>
  <c r="N182" i="65"/>
  <c r="D182" i="65"/>
  <c r="E182" i="65" s="1"/>
  <c r="F182" i="65" s="1"/>
  <c r="G182" i="65" s="1"/>
  <c r="H182" i="65" s="1"/>
  <c r="I182" i="65" s="1"/>
  <c r="J182" i="65" s="1"/>
  <c r="K182" i="65" s="1"/>
  <c r="AM182" i="65"/>
  <c r="AG180" i="65"/>
  <c r="AH181" i="65"/>
  <c r="Q181" i="65"/>
  <c r="U181" i="65"/>
  <c r="AE181" i="65"/>
  <c r="R181" i="65"/>
  <c r="S181" i="65" s="1"/>
  <c r="Y181" i="65" s="1"/>
  <c r="AB181" i="65" s="1"/>
  <c r="AC181" i="65" s="1"/>
  <c r="AD181" i="65" s="1"/>
  <c r="AV181" i="65"/>
  <c r="AF181" i="65"/>
  <c r="O183" i="65"/>
  <c r="C183" i="65"/>
  <c r="L183" i="65"/>
  <c r="M183" i="65" s="1"/>
  <c r="AN182" i="63" a="1"/>
  <c r="AN182" i="63" s="1"/>
  <c r="B184" i="65" s="1"/>
  <c r="AG181" i="65" l="1"/>
  <c r="C184" i="65"/>
  <c r="L184" i="65"/>
  <c r="M184" i="65" s="1"/>
  <c r="O184" i="65"/>
  <c r="AM183" i="65"/>
  <c r="P183" i="65"/>
  <c r="N183" i="65"/>
  <c r="D183" i="65"/>
  <c r="E183" i="65" s="1"/>
  <c r="F183" i="65" s="1"/>
  <c r="G183" i="65" s="1"/>
  <c r="H183" i="65" s="1"/>
  <c r="I183" i="65" s="1"/>
  <c r="J183" i="65" s="1"/>
  <c r="K183" i="65" s="1"/>
  <c r="AN183" i="63" a="1"/>
  <c r="AN183" i="63" s="1"/>
  <c r="B185" i="65" s="1"/>
  <c r="R182" i="65"/>
  <c r="S182" i="65" s="1"/>
  <c r="Y182" i="65" s="1"/>
  <c r="AB182" i="65" s="1"/>
  <c r="AC182" i="65" s="1"/>
  <c r="AD182" i="65" s="1"/>
  <c r="AF182" i="65"/>
  <c r="AH182" i="65"/>
  <c r="U182" i="65"/>
  <c r="AV182" i="65"/>
  <c r="Q182" i="65"/>
  <c r="AE182" i="65"/>
  <c r="O185" i="65" l="1"/>
  <c r="C185" i="65"/>
  <c r="L185" i="65"/>
  <c r="M185" i="65" s="1"/>
  <c r="AG182" i="65"/>
  <c r="Q183" i="65"/>
  <c r="AV183" i="65"/>
  <c r="AF183" i="65"/>
  <c r="U183" i="65"/>
  <c r="AH183" i="65"/>
  <c r="R183" i="65"/>
  <c r="S183" i="65" s="1"/>
  <c r="Y183" i="65" s="1"/>
  <c r="AB183" i="65" s="1"/>
  <c r="AC183" i="65" s="1"/>
  <c r="AD183" i="65" s="1"/>
  <c r="AE183" i="65"/>
  <c r="AN184" i="63" a="1"/>
  <c r="AN184" i="63" s="1"/>
  <c r="B186" i="65" s="1"/>
  <c r="D184" i="65"/>
  <c r="E184" i="65" s="1"/>
  <c r="F184" i="65" s="1"/>
  <c r="G184" i="65" s="1"/>
  <c r="H184" i="65" s="1"/>
  <c r="I184" i="65" s="1"/>
  <c r="J184" i="65" s="1"/>
  <c r="K184" i="65" s="1"/>
  <c r="N184" i="65"/>
  <c r="AM184" i="65"/>
  <c r="P184" i="65"/>
  <c r="AG183" i="65" l="1"/>
  <c r="Q184" i="65"/>
  <c r="AE184" i="65"/>
  <c r="AH184" i="65"/>
  <c r="U184" i="65"/>
  <c r="R184" i="65"/>
  <c r="S184" i="65" s="1"/>
  <c r="Y184" i="65" s="1"/>
  <c r="AB184" i="65" s="1"/>
  <c r="AC184" i="65" s="1"/>
  <c r="AD184" i="65" s="1"/>
  <c r="AF184" i="65"/>
  <c r="AV184" i="65"/>
  <c r="AN185" i="63" a="1"/>
  <c r="AN185" i="63" s="1"/>
  <c r="B187" i="65" s="1"/>
  <c r="N185" i="65"/>
  <c r="P185" i="65"/>
  <c r="AM185" i="65"/>
  <c r="D185" i="65"/>
  <c r="E185" i="65" s="1"/>
  <c r="F185" i="65" s="1"/>
  <c r="G185" i="65" s="1"/>
  <c r="H185" i="65" s="1"/>
  <c r="I185" i="65" s="1"/>
  <c r="J185" i="65" s="1"/>
  <c r="K185" i="65" s="1"/>
  <c r="O186" i="65"/>
  <c r="C186" i="65"/>
  <c r="L186" i="65"/>
  <c r="M186" i="65" s="1"/>
  <c r="L187" i="65" l="1"/>
  <c r="M187" i="65" s="1"/>
  <c r="O187" i="65"/>
  <c r="C187" i="65"/>
  <c r="AM186" i="65"/>
  <c r="D186" i="65"/>
  <c r="E186" i="65" s="1"/>
  <c r="F186" i="65" s="1"/>
  <c r="G186" i="65" s="1"/>
  <c r="H186" i="65" s="1"/>
  <c r="I186" i="65" s="1"/>
  <c r="J186" i="65" s="1"/>
  <c r="K186" i="65" s="1"/>
  <c r="P186" i="65"/>
  <c r="N186" i="65"/>
  <c r="AG184" i="65"/>
  <c r="U185" i="65"/>
  <c r="AE185" i="65"/>
  <c r="AV185" i="65"/>
  <c r="AF185" i="65"/>
  <c r="R185" i="65"/>
  <c r="S185" i="65" s="1"/>
  <c r="Y185" i="65" s="1"/>
  <c r="AB185" i="65" s="1"/>
  <c r="AC185" i="65" s="1"/>
  <c r="AD185" i="65" s="1"/>
  <c r="Q185" i="65"/>
  <c r="AH185" i="65"/>
  <c r="AN186" i="63" a="1"/>
  <c r="AN186" i="63" s="1"/>
  <c r="B188" i="65" s="1"/>
  <c r="AG185" i="65" l="1"/>
  <c r="AN187" i="63" a="1"/>
  <c r="AN187" i="63" s="1"/>
  <c r="B189" i="65" s="1"/>
  <c r="AF186" i="65"/>
  <c r="Q186" i="65"/>
  <c r="R186" i="65"/>
  <c r="S186" i="65" s="1"/>
  <c r="Y186" i="65" s="1"/>
  <c r="AB186" i="65" s="1"/>
  <c r="AC186" i="65" s="1"/>
  <c r="AD186" i="65" s="1"/>
  <c r="U186" i="65"/>
  <c r="AV186" i="65"/>
  <c r="AH186" i="65"/>
  <c r="AE186" i="65"/>
  <c r="P187" i="65"/>
  <c r="N187" i="65"/>
  <c r="AM187" i="65"/>
  <c r="D187" i="65"/>
  <c r="E187" i="65" s="1"/>
  <c r="F187" i="65" s="1"/>
  <c r="G187" i="65" s="1"/>
  <c r="H187" i="65" s="1"/>
  <c r="I187" i="65" s="1"/>
  <c r="J187" i="65" s="1"/>
  <c r="K187" i="65" s="1"/>
  <c r="C188" i="65"/>
  <c r="L188" i="65"/>
  <c r="M188" i="65" s="1"/>
  <c r="O188" i="65"/>
  <c r="AN188" i="63" l="1" a="1"/>
  <c r="AN188" i="63" s="1"/>
  <c r="B190" i="65" s="1"/>
  <c r="N188" i="65"/>
  <c r="AM188" i="65"/>
  <c r="D188" i="65"/>
  <c r="E188" i="65" s="1"/>
  <c r="F188" i="65" s="1"/>
  <c r="G188" i="65" s="1"/>
  <c r="H188" i="65" s="1"/>
  <c r="I188" i="65" s="1"/>
  <c r="J188" i="65" s="1"/>
  <c r="K188" i="65" s="1"/>
  <c r="P188" i="65"/>
  <c r="R187" i="65"/>
  <c r="S187" i="65" s="1"/>
  <c r="Y187" i="65" s="1"/>
  <c r="AB187" i="65" s="1"/>
  <c r="AC187" i="65" s="1"/>
  <c r="AD187" i="65" s="1"/>
  <c r="AH187" i="65"/>
  <c r="Q187" i="65"/>
  <c r="AF187" i="65"/>
  <c r="U187" i="65"/>
  <c r="AE187" i="65"/>
  <c r="AV187" i="65"/>
  <c r="AG186" i="65"/>
  <c r="O189" i="65"/>
  <c r="C189" i="65"/>
  <c r="L189" i="65"/>
  <c r="M189" i="65" s="1"/>
  <c r="AG187" i="65" l="1"/>
  <c r="N189" i="65"/>
  <c r="P189" i="65"/>
  <c r="AM189" i="65"/>
  <c r="D189" i="65"/>
  <c r="E189" i="65" s="1"/>
  <c r="F189" i="65" s="1"/>
  <c r="G189" i="65" s="1"/>
  <c r="H189" i="65" s="1"/>
  <c r="I189" i="65" s="1"/>
  <c r="J189" i="65" s="1"/>
  <c r="K189" i="65" s="1"/>
  <c r="AN189" i="63" a="1"/>
  <c r="AN189" i="63" s="1"/>
  <c r="B191" i="65" s="1"/>
  <c r="AF188" i="65"/>
  <c r="Q188" i="65"/>
  <c r="R188" i="65"/>
  <c r="S188" i="65" s="1"/>
  <c r="Y188" i="65" s="1"/>
  <c r="AB188" i="65" s="1"/>
  <c r="AC188" i="65" s="1"/>
  <c r="AD188" i="65" s="1"/>
  <c r="U188" i="65"/>
  <c r="AE188" i="65"/>
  <c r="AV188" i="65"/>
  <c r="AH188" i="65"/>
  <c r="C190" i="65"/>
  <c r="O190" i="65"/>
  <c r="L190" i="65"/>
  <c r="M190" i="65" s="1"/>
  <c r="AG188" i="65" l="1"/>
  <c r="AN190" i="63" a="1"/>
  <c r="AN190" i="63" s="1"/>
  <c r="B192" i="65" s="1"/>
  <c r="L191" i="65"/>
  <c r="M191" i="65" s="1"/>
  <c r="O191" i="65"/>
  <c r="C191" i="65"/>
  <c r="P190" i="65"/>
  <c r="D190" i="65"/>
  <c r="E190" i="65" s="1"/>
  <c r="F190" i="65" s="1"/>
  <c r="G190" i="65" s="1"/>
  <c r="H190" i="65" s="1"/>
  <c r="I190" i="65" s="1"/>
  <c r="J190" i="65" s="1"/>
  <c r="K190" i="65" s="1"/>
  <c r="N190" i="65"/>
  <c r="AM190" i="65"/>
  <c r="AE189" i="65"/>
  <c r="R189" i="65"/>
  <c r="S189" i="65" s="1"/>
  <c r="Y189" i="65" s="1"/>
  <c r="AB189" i="65" s="1"/>
  <c r="AC189" i="65" s="1"/>
  <c r="AD189" i="65" s="1"/>
  <c r="U189" i="65"/>
  <c r="AF189" i="65"/>
  <c r="AH189" i="65"/>
  <c r="AV189" i="65"/>
  <c r="Q189" i="65"/>
  <c r="AG189" i="65" l="1"/>
  <c r="AF190" i="65"/>
  <c r="AE190" i="65"/>
  <c r="R190" i="65"/>
  <c r="S190" i="65" s="1"/>
  <c r="Y190" i="65" s="1"/>
  <c r="AB190" i="65" s="1"/>
  <c r="AC190" i="65" s="1"/>
  <c r="AD190" i="65" s="1"/>
  <c r="Q190" i="65"/>
  <c r="AV190" i="65"/>
  <c r="AH190" i="65"/>
  <c r="U190" i="65"/>
  <c r="O192" i="65"/>
  <c r="L192" i="65"/>
  <c r="M192" i="65" s="1"/>
  <c r="C192" i="65"/>
  <c r="AN191" i="63" a="1"/>
  <c r="AN191" i="63" s="1"/>
  <c r="B193" i="65" s="1"/>
  <c r="AM191" i="65"/>
  <c r="D191" i="65"/>
  <c r="E191" i="65" s="1"/>
  <c r="F191" i="65" s="1"/>
  <c r="G191" i="65" s="1"/>
  <c r="H191" i="65" s="1"/>
  <c r="I191" i="65" s="1"/>
  <c r="J191" i="65" s="1"/>
  <c r="K191" i="65" s="1"/>
  <c r="P191" i="65"/>
  <c r="N191" i="65"/>
  <c r="O193" i="65" l="1"/>
  <c r="C193" i="65"/>
  <c r="L193" i="65"/>
  <c r="M193" i="65" s="1"/>
  <c r="AM192" i="65"/>
  <c r="D192" i="65"/>
  <c r="E192" i="65" s="1"/>
  <c r="F192" i="65" s="1"/>
  <c r="G192" i="65" s="1"/>
  <c r="H192" i="65" s="1"/>
  <c r="I192" i="65" s="1"/>
  <c r="J192" i="65" s="1"/>
  <c r="K192" i="65" s="1"/>
  <c r="N192" i="65"/>
  <c r="P192" i="65"/>
  <c r="AN192" i="63" a="1"/>
  <c r="AN192" i="63" s="1"/>
  <c r="B194" i="65" s="1"/>
  <c r="Q191" i="65"/>
  <c r="AV191" i="65"/>
  <c r="AE191" i="65"/>
  <c r="U191" i="65"/>
  <c r="AF191" i="65"/>
  <c r="R191" i="65"/>
  <c r="S191" i="65" s="1"/>
  <c r="Y191" i="65" s="1"/>
  <c r="AB191" i="65" s="1"/>
  <c r="AC191" i="65" s="1"/>
  <c r="AD191" i="65" s="1"/>
  <c r="AH191" i="65"/>
  <c r="AG190" i="65"/>
  <c r="C194" i="65" l="1"/>
  <c r="O194" i="65"/>
  <c r="L194" i="65"/>
  <c r="M194" i="65" s="1"/>
  <c r="AV192" i="65"/>
  <c r="AF192" i="65"/>
  <c r="AE192" i="65"/>
  <c r="R192" i="65"/>
  <c r="S192" i="65" s="1"/>
  <c r="Y192" i="65" s="1"/>
  <c r="AB192" i="65" s="1"/>
  <c r="AC192" i="65" s="1"/>
  <c r="AD192" i="65" s="1"/>
  <c r="AH192" i="65"/>
  <c r="U192" i="65"/>
  <c r="Q192" i="65"/>
  <c r="AM193" i="65"/>
  <c r="P193" i="65"/>
  <c r="D193" i="65"/>
  <c r="E193" i="65" s="1"/>
  <c r="F193" i="65" s="1"/>
  <c r="G193" i="65" s="1"/>
  <c r="H193" i="65" s="1"/>
  <c r="I193" i="65" s="1"/>
  <c r="J193" i="65" s="1"/>
  <c r="K193" i="65" s="1"/>
  <c r="N193" i="65"/>
  <c r="AN193" i="63" a="1"/>
  <c r="AN193" i="63" s="1"/>
  <c r="B195" i="65" s="1"/>
  <c r="AG191" i="65"/>
  <c r="L195" i="65" l="1"/>
  <c r="M195" i="65" s="1"/>
  <c r="O195" i="65"/>
  <c r="C195" i="65"/>
  <c r="U193" i="65"/>
  <c r="R193" i="65"/>
  <c r="S193" i="65" s="1"/>
  <c r="Y193" i="65" s="1"/>
  <c r="AB193" i="65" s="1"/>
  <c r="AC193" i="65" s="1"/>
  <c r="AD193" i="65" s="1"/>
  <c r="AH193" i="65"/>
  <c r="AE193" i="65"/>
  <c r="AV193" i="65"/>
  <c r="Q193" i="65"/>
  <c r="AF193" i="65"/>
  <c r="AN194" i="63" a="1"/>
  <c r="AN194" i="63" s="1"/>
  <c r="B196" i="65" s="1"/>
  <c r="AG192" i="65"/>
  <c r="D194" i="65"/>
  <c r="E194" i="65" s="1"/>
  <c r="F194" i="65" s="1"/>
  <c r="G194" i="65" s="1"/>
  <c r="H194" i="65" s="1"/>
  <c r="I194" i="65" s="1"/>
  <c r="J194" i="65" s="1"/>
  <c r="K194" i="65" s="1"/>
  <c r="P194" i="65"/>
  <c r="N194" i="65"/>
  <c r="AM194" i="65"/>
  <c r="C196" i="65" l="1"/>
  <c r="L196" i="65"/>
  <c r="M196" i="65" s="1"/>
  <c r="O196" i="65"/>
  <c r="AM195" i="65"/>
  <c r="D195" i="65"/>
  <c r="E195" i="65" s="1"/>
  <c r="F195" i="65" s="1"/>
  <c r="G195" i="65" s="1"/>
  <c r="H195" i="65" s="1"/>
  <c r="I195" i="65" s="1"/>
  <c r="J195" i="65" s="1"/>
  <c r="K195" i="65" s="1"/>
  <c r="P195" i="65"/>
  <c r="N195" i="65"/>
  <c r="U194" i="65"/>
  <c r="AV194" i="65"/>
  <c r="AF194" i="65"/>
  <c r="R194" i="65"/>
  <c r="S194" i="65" s="1"/>
  <c r="Y194" i="65" s="1"/>
  <c r="AB194" i="65" s="1"/>
  <c r="AC194" i="65" s="1"/>
  <c r="AD194" i="65" s="1"/>
  <c r="Q194" i="65"/>
  <c r="AH194" i="65"/>
  <c r="AE194" i="65"/>
  <c r="AG193" i="65"/>
  <c r="AN195" i="63" a="1"/>
  <c r="AN195" i="63" s="1"/>
  <c r="B197" i="65" s="1"/>
  <c r="AG194" i="65" l="1"/>
  <c r="R195" i="65"/>
  <c r="S195" i="65" s="1"/>
  <c r="Y195" i="65" s="1"/>
  <c r="AB195" i="65" s="1"/>
  <c r="AC195" i="65" s="1"/>
  <c r="AD195" i="65" s="1"/>
  <c r="U195" i="65"/>
  <c r="AH195" i="65"/>
  <c r="Q195" i="65"/>
  <c r="AF195" i="65"/>
  <c r="AV195" i="65"/>
  <c r="AE195" i="65"/>
  <c r="AN196" i="63" a="1"/>
  <c r="AN196" i="63" s="1"/>
  <c r="B198" i="65" s="1"/>
  <c r="O197" i="65"/>
  <c r="L197" i="65"/>
  <c r="M197" i="65" s="1"/>
  <c r="C197" i="65"/>
  <c r="N196" i="65"/>
  <c r="P196" i="65"/>
  <c r="AM196" i="65"/>
  <c r="D196" i="65"/>
  <c r="E196" i="65" s="1"/>
  <c r="F196" i="65" s="1"/>
  <c r="G196" i="65" s="1"/>
  <c r="H196" i="65" s="1"/>
  <c r="I196" i="65" s="1"/>
  <c r="J196" i="65" s="1"/>
  <c r="K196" i="65" s="1"/>
  <c r="AE196" i="65" l="1"/>
  <c r="AV196" i="65"/>
  <c r="Q196" i="65"/>
  <c r="AH196" i="65"/>
  <c r="U196" i="65"/>
  <c r="AF196" i="65"/>
  <c r="R196" i="65"/>
  <c r="S196" i="65" s="1"/>
  <c r="Y196" i="65" s="1"/>
  <c r="AB196" i="65" s="1"/>
  <c r="AC196" i="65" s="1"/>
  <c r="AD196" i="65" s="1"/>
  <c r="D197" i="65"/>
  <c r="E197" i="65" s="1"/>
  <c r="F197" i="65" s="1"/>
  <c r="G197" i="65" s="1"/>
  <c r="H197" i="65" s="1"/>
  <c r="I197" i="65" s="1"/>
  <c r="J197" i="65" s="1"/>
  <c r="K197" i="65" s="1"/>
  <c r="AM197" i="65"/>
  <c r="N197" i="65"/>
  <c r="P197" i="65"/>
  <c r="AG195" i="65"/>
  <c r="C198" i="65"/>
  <c r="O198" i="65"/>
  <c r="L198" i="65"/>
  <c r="M198" i="65" s="1"/>
  <c r="AN197" i="63" a="1"/>
  <c r="AN197" i="63" s="1"/>
  <c r="B199" i="65" s="1"/>
  <c r="AN198" i="63" l="1" a="1"/>
  <c r="AN198" i="63" s="1"/>
  <c r="B200" i="65" s="1"/>
  <c r="R197" i="65"/>
  <c r="S197" i="65" s="1"/>
  <c r="Y197" i="65" s="1"/>
  <c r="AB197" i="65" s="1"/>
  <c r="AC197" i="65" s="1"/>
  <c r="AD197" i="65" s="1"/>
  <c r="AF197" i="65"/>
  <c r="AH197" i="65"/>
  <c r="U197" i="65"/>
  <c r="Q197" i="65"/>
  <c r="AV197" i="65"/>
  <c r="AE197" i="65"/>
  <c r="AG196" i="65"/>
  <c r="L199" i="65"/>
  <c r="M199" i="65" s="1"/>
  <c r="C199" i="65"/>
  <c r="O199" i="65"/>
  <c r="AM198" i="65"/>
  <c r="P198" i="65"/>
  <c r="N198" i="65"/>
  <c r="D198" i="65"/>
  <c r="E198" i="65" s="1"/>
  <c r="F198" i="65" s="1"/>
  <c r="G198" i="65" s="1"/>
  <c r="H198" i="65" s="1"/>
  <c r="I198" i="65" s="1"/>
  <c r="J198" i="65" s="1"/>
  <c r="K198" i="65" s="1"/>
  <c r="AH198" i="65" l="1"/>
  <c r="U198" i="65"/>
  <c r="AF198" i="65"/>
  <c r="AV198" i="65"/>
  <c r="R198" i="65"/>
  <c r="S198" i="65" s="1"/>
  <c r="Y198" i="65" s="1"/>
  <c r="AB198" i="65" s="1"/>
  <c r="AC198" i="65" s="1"/>
  <c r="AD198" i="65" s="1"/>
  <c r="AE198" i="65"/>
  <c r="Q198" i="65"/>
  <c r="N199" i="65"/>
  <c r="P199" i="65"/>
  <c r="AM199" i="65"/>
  <c r="D199" i="65"/>
  <c r="E199" i="65" s="1"/>
  <c r="F199" i="65" s="1"/>
  <c r="G199" i="65" s="1"/>
  <c r="H199" i="65" s="1"/>
  <c r="I199" i="65" s="1"/>
  <c r="J199" i="65" s="1"/>
  <c r="K199" i="65" s="1"/>
  <c r="AG197" i="65"/>
  <c r="AN199" i="63" a="1"/>
  <c r="AN199" i="63" s="1"/>
  <c r="B201" i="65" s="1"/>
  <c r="L200" i="65"/>
  <c r="M200" i="65" s="1"/>
  <c r="C200" i="65"/>
  <c r="O200" i="65"/>
  <c r="AE199" i="65" l="1"/>
  <c r="AV199" i="65"/>
  <c r="R199" i="65"/>
  <c r="S199" i="65" s="1"/>
  <c r="Y199" i="65" s="1"/>
  <c r="AB199" i="65" s="1"/>
  <c r="AC199" i="65" s="1"/>
  <c r="AD199" i="65" s="1"/>
  <c r="AF199" i="65"/>
  <c r="Q199" i="65"/>
  <c r="U199" i="65"/>
  <c r="AH199" i="65"/>
  <c r="AN200" i="63" a="1"/>
  <c r="AN200" i="63" s="1"/>
  <c r="B202" i="65" s="1"/>
  <c r="AG198" i="65"/>
  <c r="C201" i="65"/>
  <c r="O201" i="65"/>
  <c r="L201" i="65"/>
  <c r="M201" i="65" s="1"/>
  <c r="D200" i="65"/>
  <c r="E200" i="65" s="1"/>
  <c r="F200" i="65" s="1"/>
  <c r="G200" i="65" s="1"/>
  <c r="H200" i="65" s="1"/>
  <c r="I200" i="65" s="1"/>
  <c r="J200" i="65" s="1"/>
  <c r="K200" i="65" s="1"/>
  <c r="AM200" i="65"/>
  <c r="P200" i="65"/>
  <c r="N200" i="65"/>
  <c r="AG199" i="65" l="1"/>
  <c r="C202" i="65"/>
  <c r="O202" i="65"/>
  <c r="L202" i="65"/>
  <c r="M202" i="65" s="1"/>
  <c r="N201" i="65"/>
  <c r="AM201" i="65"/>
  <c r="D201" i="65"/>
  <c r="E201" i="65" s="1"/>
  <c r="F201" i="65" s="1"/>
  <c r="G201" i="65" s="1"/>
  <c r="H201" i="65" s="1"/>
  <c r="I201" i="65" s="1"/>
  <c r="J201" i="65" s="1"/>
  <c r="K201" i="65" s="1"/>
  <c r="P201" i="65"/>
  <c r="AN201" i="63" a="1"/>
  <c r="AN201" i="63" s="1"/>
  <c r="B203" i="65" s="1"/>
  <c r="Q200" i="65"/>
  <c r="AF200" i="65"/>
  <c r="U200" i="65"/>
  <c r="AV200" i="65"/>
  <c r="R200" i="65"/>
  <c r="S200" i="65" s="1"/>
  <c r="Y200" i="65" s="1"/>
  <c r="AB200" i="65" s="1"/>
  <c r="AC200" i="65" s="1"/>
  <c r="AD200" i="65" s="1"/>
  <c r="AH200" i="65"/>
  <c r="AE200" i="65"/>
  <c r="AN202" i="63" l="1" a="1"/>
  <c r="AN202" i="63" s="1"/>
  <c r="B204" i="65" s="1"/>
  <c r="AG200" i="65"/>
  <c r="O203" i="65"/>
  <c r="L203" i="65"/>
  <c r="M203" i="65" s="1"/>
  <c r="C203" i="65"/>
  <c r="R201" i="65"/>
  <c r="S201" i="65" s="1"/>
  <c r="Y201" i="65" s="1"/>
  <c r="AB201" i="65" s="1"/>
  <c r="AC201" i="65" s="1"/>
  <c r="AD201" i="65" s="1"/>
  <c r="AV201" i="65"/>
  <c r="Q201" i="65"/>
  <c r="U201" i="65"/>
  <c r="AF201" i="65"/>
  <c r="AH201" i="65"/>
  <c r="AE201" i="65"/>
  <c r="AM202" i="65"/>
  <c r="N202" i="65"/>
  <c r="D202" i="65"/>
  <c r="E202" i="65" s="1"/>
  <c r="F202" i="65" s="1"/>
  <c r="G202" i="65" s="1"/>
  <c r="H202" i="65" s="1"/>
  <c r="I202" i="65" s="1"/>
  <c r="J202" i="65" s="1"/>
  <c r="K202" i="65" s="1"/>
  <c r="P202" i="65"/>
  <c r="AH202" i="65" l="1"/>
  <c r="R202" i="65"/>
  <c r="S202" i="65" s="1"/>
  <c r="Y202" i="65" s="1"/>
  <c r="AB202" i="65" s="1"/>
  <c r="AC202" i="65" s="1"/>
  <c r="AD202" i="65" s="1"/>
  <c r="U202" i="65"/>
  <c r="AE202" i="65"/>
  <c r="AV202" i="65"/>
  <c r="Q202" i="65"/>
  <c r="AF202" i="65"/>
  <c r="AG201" i="65"/>
  <c r="P203" i="65"/>
  <c r="AM203" i="65"/>
  <c r="N203" i="65"/>
  <c r="D203" i="65"/>
  <c r="E203" i="65" s="1"/>
  <c r="F203" i="65" s="1"/>
  <c r="G203" i="65" s="1"/>
  <c r="H203" i="65" s="1"/>
  <c r="I203" i="65" s="1"/>
  <c r="J203" i="65" s="1"/>
  <c r="K203" i="65" s="1"/>
  <c r="O204" i="65"/>
  <c r="L204" i="65"/>
  <c r="M204" i="65" s="1"/>
  <c r="C204" i="65"/>
  <c r="AN203" i="63" a="1"/>
  <c r="AN203" i="63" s="1"/>
  <c r="B205" i="65" s="1"/>
  <c r="U203" i="65" l="1"/>
  <c r="R203" i="65"/>
  <c r="S203" i="65" s="1"/>
  <c r="Y203" i="65" s="1"/>
  <c r="AB203" i="65" s="1"/>
  <c r="AC203" i="65" s="1"/>
  <c r="AD203" i="65" s="1"/>
  <c r="AE203" i="65"/>
  <c r="AV203" i="65"/>
  <c r="Q203" i="65"/>
  <c r="AH203" i="65"/>
  <c r="AF203" i="65"/>
  <c r="C205" i="65"/>
  <c r="L205" i="65"/>
  <c r="M205" i="65" s="1"/>
  <c r="O205" i="65"/>
  <c r="AG202" i="65"/>
  <c r="P204" i="65"/>
  <c r="D204" i="65"/>
  <c r="E204" i="65" s="1"/>
  <c r="F204" i="65" s="1"/>
  <c r="G204" i="65" s="1"/>
  <c r="H204" i="65" s="1"/>
  <c r="I204" i="65" s="1"/>
  <c r="J204" i="65" s="1"/>
  <c r="K204" i="65" s="1"/>
  <c r="N204" i="65"/>
  <c r="AM204" i="65"/>
  <c r="AN204" i="63" a="1"/>
  <c r="AN204" i="63" s="1"/>
  <c r="B206" i="65" s="1"/>
  <c r="AG203" i="65" l="1"/>
  <c r="AN205" i="63" a="1"/>
  <c r="AN205" i="63" s="1"/>
  <c r="B207" i="65" s="1"/>
  <c r="D205" i="65"/>
  <c r="E205" i="65" s="1"/>
  <c r="F205" i="65" s="1"/>
  <c r="G205" i="65" s="1"/>
  <c r="H205" i="65" s="1"/>
  <c r="I205" i="65" s="1"/>
  <c r="J205" i="65" s="1"/>
  <c r="K205" i="65" s="1"/>
  <c r="P205" i="65"/>
  <c r="AM205" i="65"/>
  <c r="N205" i="65"/>
  <c r="AF204" i="65"/>
  <c r="R204" i="65"/>
  <c r="S204" i="65" s="1"/>
  <c r="Y204" i="65" s="1"/>
  <c r="AB204" i="65" s="1"/>
  <c r="AC204" i="65" s="1"/>
  <c r="AD204" i="65" s="1"/>
  <c r="U204" i="65"/>
  <c r="AE204" i="65"/>
  <c r="AV204" i="65"/>
  <c r="AH204" i="65"/>
  <c r="Q204" i="65"/>
  <c r="L206" i="65"/>
  <c r="M206" i="65" s="1"/>
  <c r="O206" i="65"/>
  <c r="C206" i="65"/>
  <c r="AG204" i="65" l="1"/>
  <c r="C207" i="65"/>
  <c r="O207" i="65"/>
  <c r="L207" i="65"/>
  <c r="M207" i="65" s="1"/>
  <c r="AN206" i="63" a="1"/>
  <c r="AN206" i="63" s="1"/>
  <c r="B208" i="65" s="1"/>
  <c r="U205" i="65"/>
  <c r="Q205" i="65"/>
  <c r="AV205" i="65"/>
  <c r="AF205" i="65"/>
  <c r="AH205" i="65"/>
  <c r="AE205" i="65"/>
  <c r="R205" i="65"/>
  <c r="S205" i="65" s="1"/>
  <c r="Y205" i="65" s="1"/>
  <c r="AB205" i="65" s="1"/>
  <c r="AC205" i="65" s="1"/>
  <c r="AD205" i="65" s="1"/>
  <c r="D206" i="65"/>
  <c r="E206" i="65" s="1"/>
  <c r="F206" i="65" s="1"/>
  <c r="G206" i="65" s="1"/>
  <c r="H206" i="65" s="1"/>
  <c r="I206" i="65" s="1"/>
  <c r="J206" i="65" s="1"/>
  <c r="K206" i="65" s="1"/>
  <c r="P206" i="65"/>
  <c r="N206" i="65"/>
  <c r="AM206" i="65"/>
  <c r="AG205" i="65" l="1"/>
  <c r="AN207" i="63" a="1"/>
  <c r="AN207" i="63" s="1"/>
  <c r="B209" i="65" s="1"/>
  <c r="AV206" i="65"/>
  <c r="U206" i="65"/>
  <c r="AF206" i="65"/>
  <c r="Q206" i="65"/>
  <c r="R206" i="65"/>
  <c r="S206" i="65" s="1"/>
  <c r="Y206" i="65" s="1"/>
  <c r="AB206" i="65" s="1"/>
  <c r="AC206" i="65" s="1"/>
  <c r="AD206" i="65" s="1"/>
  <c r="AH206" i="65"/>
  <c r="AE206" i="65"/>
  <c r="N207" i="65"/>
  <c r="AM207" i="65"/>
  <c r="P207" i="65"/>
  <c r="D207" i="65"/>
  <c r="E207" i="65" s="1"/>
  <c r="F207" i="65" s="1"/>
  <c r="G207" i="65" s="1"/>
  <c r="H207" i="65" s="1"/>
  <c r="I207" i="65" s="1"/>
  <c r="J207" i="65" s="1"/>
  <c r="K207" i="65" s="1"/>
  <c r="L208" i="65"/>
  <c r="M208" i="65" s="1"/>
  <c r="O208" i="65"/>
  <c r="C208" i="65"/>
  <c r="P208" i="65" l="1"/>
  <c r="N208" i="65"/>
  <c r="AM208" i="65"/>
  <c r="D208" i="65"/>
  <c r="E208" i="65" s="1"/>
  <c r="F208" i="65" s="1"/>
  <c r="G208" i="65" s="1"/>
  <c r="H208" i="65" s="1"/>
  <c r="I208" i="65" s="1"/>
  <c r="J208" i="65" s="1"/>
  <c r="K208" i="65" s="1"/>
  <c r="AG206" i="65"/>
  <c r="AN208" i="63" a="1"/>
  <c r="AN208" i="63" s="1"/>
  <c r="B210" i="65" s="1"/>
  <c r="U207" i="65"/>
  <c r="R207" i="65"/>
  <c r="S207" i="65" s="1"/>
  <c r="Y207" i="65" s="1"/>
  <c r="AB207" i="65" s="1"/>
  <c r="AC207" i="65" s="1"/>
  <c r="AD207" i="65" s="1"/>
  <c r="AV207" i="65"/>
  <c r="AF207" i="65"/>
  <c r="AH207" i="65"/>
  <c r="Q207" i="65"/>
  <c r="AE207" i="65"/>
  <c r="O209" i="65"/>
  <c r="C209" i="65"/>
  <c r="L209" i="65"/>
  <c r="M209" i="65" s="1"/>
  <c r="AG207" i="65" l="1"/>
  <c r="N209" i="65"/>
  <c r="AM209" i="65"/>
  <c r="D209" i="65"/>
  <c r="E209" i="65" s="1"/>
  <c r="F209" i="65" s="1"/>
  <c r="G209" i="65" s="1"/>
  <c r="H209" i="65" s="1"/>
  <c r="I209" i="65" s="1"/>
  <c r="J209" i="65" s="1"/>
  <c r="K209" i="65" s="1"/>
  <c r="P209" i="65"/>
  <c r="O210" i="65"/>
  <c r="C210" i="65"/>
  <c r="L210" i="65"/>
  <c r="M210" i="65" s="1"/>
  <c r="AN209" i="63" a="1"/>
  <c r="AN209" i="63" s="1"/>
  <c r="B211" i="65" s="1"/>
  <c r="AF208" i="65"/>
  <c r="R208" i="65"/>
  <c r="S208" i="65" s="1"/>
  <c r="Y208" i="65" s="1"/>
  <c r="AB208" i="65" s="1"/>
  <c r="AC208" i="65" s="1"/>
  <c r="AD208" i="65" s="1"/>
  <c r="U208" i="65"/>
  <c r="AV208" i="65"/>
  <c r="AE208" i="65"/>
  <c r="AH208" i="65"/>
  <c r="Q208" i="65"/>
  <c r="AN210" i="63" l="1" a="1"/>
  <c r="AN210" i="63" s="1"/>
  <c r="B212" i="65" s="1"/>
  <c r="AG208" i="65"/>
  <c r="N210" i="65"/>
  <c r="D210" i="65"/>
  <c r="E210" i="65" s="1"/>
  <c r="F210" i="65" s="1"/>
  <c r="G210" i="65" s="1"/>
  <c r="H210" i="65" s="1"/>
  <c r="I210" i="65" s="1"/>
  <c r="J210" i="65" s="1"/>
  <c r="K210" i="65" s="1"/>
  <c r="AM210" i="65"/>
  <c r="P210" i="65"/>
  <c r="O211" i="65"/>
  <c r="L211" i="65"/>
  <c r="M211" i="65" s="1"/>
  <c r="C211" i="65"/>
  <c r="AE209" i="65"/>
  <c r="AH209" i="65"/>
  <c r="Q209" i="65"/>
  <c r="AF209" i="65"/>
  <c r="AV209" i="65"/>
  <c r="R209" i="65"/>
  <c r="S209" i="65" s="1"/>
  <c r="Y209" i="65" s="1"/>
  <c r="AB209" i="65" s="1"/>
  <c r="AC209" i="65" s="1"/>
  <c r="AD209" i="65" s="1"/>
  <c r="U209" i="65"/>
  <c r="AG209" i="65" l="1"/>
  <c r="AE210" i="65"/>
  <c r="R210" i="65"/>
  <c r="S210" i="65" s="1"/>
  <c r="Y210" i="65" s="1"/>
  <c r="AB210" i="65" s="1"/>
  <c r="AC210" i="65" s="1"/>
  <c r="AD210" i="65" s="1"/>
  <c r="Q210" i="65"/>
  <c r="AF210" i="65"/>
  <c r="U210" i="65"/>
  <c r="AV210" i="65"/>
  <c r="AH210" i="65"/>
  <c r="AM211" i="65"/>
  <c r="P211" i="65"/>
  <c r="N211" i="65"/>
  <c r="D211" i="65"/>
  <c r="E211" i="65" s="1"/>
  <c r="F211" i="65" s="1"/>
  <c r="G211" i="65" s="1"/>
  <c r="H211" i="65" s="1"/>
  <c r="I211" i="65" s="1"/>
  <c r="J211" i="65" s="1"/>
  <c r="K211" i="65" s="1"/>
  <c r="C212" i="65"/>
  <c r="O212" i="65"/>
  <c r="L212" i="65"/>
  <c r="M212" i="65" s="1"/>
  <c r="AN211" i="63" a="1"/>
  <c r="AN211" i="63" s="1"/>
  <c r="B213" i="65" s="1"/>
  <c r="AG210" i="65" l="1"/>
  <c r="AN212" i="63" a="1"/>
  <c r="AN212" i="63" s="1"/>
  <c r="B214" i="65" s="1"/>
  <c r="C213" i="65"/>
  <c r="O213" i="65"/>
  <c r="L213" i="65"/>
  <c r="M213" i="65" s="1"/>
  <c r="AM212" i="65"/>
  <c r="N212" i="65"/>
  <c r="P212" i="65"/>
  <c r="D212" i="65"/>
  <c r="E212" i="65" s="1"/>
  <c r="F212" i="65" s="1"/>
  <c r="G212" i="65" s="1"/>
  <c r="H212" i="65" s="1"/>
  <c r="I212" i="65" s="1"/>
  <c r="J212" i="65" s="1"/>
  <c r="K212" i="65" s="1"/>
  <c r="AV211" i="65"/>
  <c r="AF211" i="65"/>
  <c r="AE211" i="65"/>
  <c r="Q211" i="65"/>
  <c r="R211" i="65"/>
  <c r="S211" i="65" s="1"/>
  <c r="Y211" i="65" s="1"/>
  <c r="AB211" i="65" s="1"/>
  <c r="AC211" i="65" s="1"/>
  <c r="AD211" i="65" s="1"/>
  <c r="U211" i="65"/>
  <c r="AH211" i="65"/>
  <c r="AG211" i="65" l="1"/>
  <c r="AN213" i="63" a="1"/>
  <c r="AN213" i="63" s="1"/>
  <c r="B215" i="65" s="1"/>
  <c r="R212" i="65"/>
  <c r="S212" i="65" s="1"/>
  <c r="Y212" i="65" s="1"/>
  <c r="AB212" i="65" s="1"/>
  <c r="AC212" i="65" s="1"/>
  <c r="AD212" i="65" s="1"/>
  <c r="AE212" i="65"/>
  <c r="Q212" i="65"/>
  <c r="AF212" i="65"/>
  <c r="U212" i="65"/>
  <c r="AH212" i="65"/>
  <c r="AV212" i="65"/>
  <c r="D213" i="65"/>
  <c r="E213" i="65" s="1"/>
  <c r="F213" i="65" s="1"/>
  <c r="G213" i="65" s="1"/>
  <c r="H213" i="65" s="1"/>
  <c r="I213" i="65" s="1"/>
  <c r="J213" i="65" s="1"/>
  <c r="K213" i="65" s="1"/>
  <c r="N213" i="65"/>
  <c r="AM213" i="65"/>
  <c r="P213" i="65"/>
  <c r="O214" i="65"/>
  <c r="L214" i="65"/>
  <c r="M214" i="65" s="1"/>
  <c r="C214" i="65"/>
  <c r="AG212" i="65" l="1"/>
  <c r="C215" i="65"/>
  <c r="O215" i="65"/>
  <c r="L215" i="65"/>
  <c r="M215" i="65" s="1"/>
  <c r="P214" i="65"/>
  <c r="D214" i="65"/>
  <c r="E214" i="65" s="1"/>
  <c r="F214" i="65" s="1"/>
  <c r="G214" i="65" s="1"/>
  <c r="H214" i="65" s="1"/>
  <c r="I214" i="65" s="1"/>
  <c r="J214" i="65" s="1"/>
  <c r="K214" i="65" s="1"/>
  <c r="N214" i="65"/>
  <c r="AM214" i="65"/>
  <c r="AF213" i="65"/>
  <c r="AE213" i="65"/>
  <c r="U213" i="65"/>
  <c r="Q213" i="65"/>
  <c r="AH213" i="65"/>
  <c r="AV213" i="65"/>
  <c r="R213" i="65"/>
  <c r="S213" i="65" s="1"/>
  <c r="Y213" i="65" s="1"/>
  <c r="AB213" i="65" s="1"/>
  <c r="AC213" i="65" s="1"/>
  <c r="AD213" i="65" s="1"/>
  <c r="AN214" i="63" a="1"/>
  <c r="AN214" i="63" s="1"/>
  <c r="B216" i="65" s="1"/>
  <c r="O216" i="65" l="1"/>
  <c r="L216" i="65"/>
  <c r="M216" i="65" s="1"/>
  <c r="C216" i="65"/>
  <c r="AV214" i="65"/>
  <c r="AF214" i="65"/>
  <c r="Q214" i="65"/>
  <c r="AH214" i="65"/>
  <c r="AE214" i="65"/>
  <c r="R214" i="65"/>
  <c r="S214" i="65" s="1"/>
  <c r="Y214" i="65" s="1"/>
  <c r="AB214" i="65" s="1"/>
  <c r="AC214" i="65" s="1"/>
  <c r="AD214" i="65" s="1"/>
  <c r="U214" i="65"/>
  <c r="D215" i="65"/>
  <c r="E215" i="65" s="1"/>
  <c r="F215" i="65" s="1"/>
  <c r="G215" i="65" s="1"/>
  <c r="H215" i="65" s="1"/>
  <c r="I215" i="65" s="1"/>
  <c r="J215" i="65" s="1"/>
  <c r="K215" i="65" s="1"/>
  <c r="AM215" i="65"/>
  <c r="P215" i="65"/>
  <c r="N215" i="65"/>
  <c r="AN215" i="63" a="1"/>
  <c r="AN215" i="63" s="1"/>
  <c r="B217" i="65" s="1"/>
  <c r="AG213" i="65"/>
  <c r="D216" i="65" l="1"/>
  <c r="E216" i="65" s="1"/>
  <c r="F216" i="65" s="1"/>
  <c r="G216" i="65" s="1"/>
  <c r="H216" i="65" s="1"/>
  <c r="I216" i="65" s="1"/>
  <c r="J216" i="65" s="1"/>
  <c r="K216" i="65" s="1"/>
  <c r="P216" i="65"/>
  <c r="AM216" i="65"/>
  <c r="N216" i="65"/>
  <c r="AN216" i="63" a="1"/>
  <c r="AN216" i="63" s="1"/>
  <c r="B218" i="65" s="1"/>
  <c r="O217" i="65"/>
  <c r="C217" i="65"/>
  <c r="L217" i="65"/>
  <c r="M217" i="65" s="1"/>
  <c r="AV215" i="65"/>
  <c r="R215" i="65"/>
  <c r="S215" i="65" s="1"/>
  <c r="Y215" i="65" s="1"/>
  <c r="AB215" i="65" s="1"/>
  <c r="AC215" i="65" s="1"/>
  <c r="AD215" i="65" s="1"/>
  <c r="AF215" i="65"/>
  <c r="AE215" i="65"/>
  <c r="Q215" i="65"/>
  <c r="AH215" i="65"/>
  <c r="U215" i="65"/>
  <c r="AG214" i="65"/>
  <c r="O218" i="65" l="1"/>
  <c r="C218" i="65"/>
  <c r="L218" i="65"/>
  <c r="M218" i="65" s="1"/>
  <c r="AG215" i="65"/>
  <c r="D217" i="65"/>
  <c r="E217" i="65" s="1"/>
  <c r="F217" i="65" s="1"/>
  <c r="G217" i="65" s="1"/>
  <c r="H217" i="65" s="1"/>
  <c r="I217" i="65" s="1"/>
  <c r="J217" i="65" s="1"/>
  <c r="K217" i="65" s="1"/>
  <c r="AM217" i="65"/>
  <c r="P217" i="65"/>
  <c r="N217" i="65"/>
  <c r="R216" i="65"/>
  <c r="S216" i="65" s="1"/>
  <c r="Y216" i="65" s="1"/>
  <c r="AB216" i="65" s="1"/>
  <c r="AC216" i="65" s="1"/>
  <c r="AD216" i="65" s="1"/>
  <c r="AH216" i="65"/>
  <c r="U216" i="65"/>
  <c r="AF216" i="65"/>
  <c r="Q216" i="65"/>
  <c r="AE216" i="65"/>
  <c r="AV216" i="65"/>
  <c r="AN217" i="63" a="1"/>
  <c r="AN217" i="63" s="1"/>
  <c r="B219" i="65" s="1"/>
  <c r="AN218" i="63" l="1" a="1"/>
  <c r="AN218" i="63" s="1"/>
  <c r="B220" i="65" s="1"/>
  <c r="AM218" i="65"/>
  <c r="D218" i="65"/>
  <c r="E218" i="65" s="1"/>
  <c r="F218" i="65" s="1"/>
  <c r="G218" i="65" s="1"/>
  <c r="H218" i="65" s="1"/>
  <c r="I218" i="65" s="1"/>
  <c r="J218" i="65" s="1"/>
  <c r="K218" i="65" s="1"/>
  <c r="P218" i="65"/>
  <c r="N218" i="65"/>
  <c r="O219" i="65"/>
  <c r="L219" i="65"/>
  <c r="M219" i="65" s="1"/>
  <c r="C219" i="65"/>
  <c r="AG216" i="65"/>
  <c r="AV217" i="65"/>
  <c r="Q217" i="65"/>
  <c r="AE217" i="65"/>
  <c r="U217" i="65"/>
  <c r="AH217" i="65"/>
  <c r="R217" i="65"/>
  <c r="S217" i="65" s="1"/>
  <c r="Y217" i="65" s="1"/>
  <c r="AB217" i="65" s="1"/>
  <c r="AC217" i="65" s="1"/>
  <c r="AD217" i="65" s="1"/>
  <c r="AF217" i="65"/>
  <c r="U218" i="65" l="1"/>
  <c r="R218" i="65"/>
  <c r="S218" i="65" s="1"/>
  <c r="Y218" i="65" s="1"/>
  <c r="AB218" i="65" s="1"/>
  <c r="AC218" i="65" s="1"/>
  <c r="AD218" i="65" s="1"/>
  <c r="AV218" i="65"/>
  <c r="AE218" i="65"/>
  <c r="AH218" i="65"/>
  <c r="AF218" i="65"/>
  <c r="Q218" i="65"/>
  <c r="AG217" i="65"/>
  <c r="N219" i="65"/>
  <c r="AM219" i="65"/>
  <c r="D219" i="65"/>
  <c r="E219" i="65" s="1"/>
  <c r="F219" i="65" s="1"/>
  <c r="G219" i="65" s="1"/>
  <c r="H219" i="65" s="1"/>
  <c r="I219" i="65" s="1"/>
  <c r="J219" i="65" s="1"/>
  <c r="K219" i="65" s="1"/>
  <c r="P219" i="65"/>
  <c r="AN219" i="63" a="1"/>
  <c r="AN219" i="63" s="1"/>
  <c r="B221" i="65" s="1"/>
  <c r="L220" i="65"/>
  <c r="M220" i="65" s="1"/>
  <c r="O220" i="65"/>
  <c r="C220" i="65"/>
  <c r="AG218" i="65" l="1"/>
  <c r="P220" i="65"/>
  <c r="AM220" i="65"/>
  <c r="N220" i="65"/>
  <c r="D220" i="65"/>
  <c r="E220" i="65" s="1"/>
  <c r="F220" i="65" s="1"/>
  <c r="G220" i="65" s="1"/>
  <c r="H220" i="65" s="1"/>
  <c r="I220" i="65" s="1"/>
  <c r="J220" i="65" s="1"/>
  <c r="K220" i="65" s="1"/>
  <c r="AN220" i="63" a="1"/>
  <c r="AN220" i="63" s="1"/>
  <c r="B222" i="65" s="1"/>
  <c r="O221" i="65"/>
  <c r="C221" i="65"/>
  <c r="L221" i="65"/>
  <c r="M221" i="65" s="1"/>
  <c r="U219" i="65"/>
  <c r="R219" i="65"/>
  <c r="S219" i="65" s="1"/>
  <c r="Y219" i="65" s="1"/>
  <c r="AB219" i="65" s="1"/>
  <c r="AC219" i="65" s="1"/>
  <c r="AD219" i="65" s="1"/>
  <c r="Q219" i="65"/>
  <c r="AH219" i="65"/>
  <c r="AV219" i="65"/>
  <c r="AE219" i="65"/>
  <c r="AF219" i="65"/>
  <c r="AN221" i="63" l="1" a="1"/>
  <c r="AN221" i="63" s="1"/>
  <c r="B223" i="65" s="1"/>
  <c r="AG219" i="65"/>
  <c r="N221" i="65"/>
  <c r="AM221" i="65"/>
  <c r="D221" i="65"/>
  <c r="E221" i="65" s="1"/>
  <c r="F221" i="65" s="1"/>
  <c r="G221" i="65" s="1"/>
  <c r="H221" i="65" s="1"/>
  <c r="I221" i="65" s="1"/>
  <c r="J221" i="65" s="1"/>
  <c r="K221" i="65" s="1"/>
  <c r="P221" i="65"/>
  <c r="U220" i="65"/>
  <c r="Q220" i="65"/>
  <c r="R220" i="65"/>
  <c r="S220" i="65" s="1"/>
  <c r="Y220" i="65" s="1"/>
  <c r="AB220" i="65" s="1"/>
  <c r="AC220" i="65" s="1"/>
  <c r="AD220" i="65" s="1"/>
  <c r="AF220" i="65"/>
  <c r="AH220" i="65"/>
  <c r="AE220" i="65"/>
  <c r="AV220" i="65"/>
  <c r="L222" i="65"/>
  <c r="M222" i="65" s="1"/>
  <c r="O222" i="65"/>
  <c r="C222" i="65"/>
  <c r="AN222" i="63" l="1" a="1"/>
  <c r="AN222" i="63" s="1"/>
  <c r="B224" i="65" s="1"/>
  <c r="AM222" i="65"/>
  <c r="P222" i="65"/>
  <c r="N222" i="65"/>
  <c r="D222" i="65"/>
  <c r="E222" i="65" s="1"/>
  <c r="F222" i="65" s="1"/>
  <c r="G222" i="65" s="1"/>
  <c r="H222" i="65" s="1"/>
  <c r="I222" i="65" s="1"/>
  <c r="J222" i="65" s="1"/>
  <c r="K222" i="65" s="1"/>
  <c r="AH221" i="65"/>
  <c r="U221" i="65"/>
  <c r="Q221" i="65"/>
  <c r="R221" i="65"/>
  <c r="S221" i="65" s="1"/>
  <c r="Y221" i="65" s="1"/>
  <c r="AB221" i="65" s="1"/>
  <c r="AC221" i="65" s="1"/>
  <c r="AD221" i="65" s="1"/>
  <c r="AV221" i="65"/>
  <c r="AF221" i="65"/>
  <c r="AE221" i="65"/>
  <c r="AG220" i="65"/>
  <c r="O223" i="65"/>
  <c r="L223" i="65"/>
  <c r="M223" i="65" s="1"/>
  <c r="C223" i="65"/>
  <c r="AN223" i="63" l="1" a="1"/>
  <c r="AN223" i="63" s="1"/>
  <c r="B225" i="65" s="1"/>
  <c r="AG221" i="65"/>
  <c r="AE222" i="65"/>
  <c r="AH222" i="65"/>
  <c r="AF222" i="65"/>
  <c r="AV222" i="65"/>
  <c r="U222" i="65"/>
  <c r="R222" i="65"/>
  <c r="S222" i="65" s="1"/>
  <c r="Y222" i="65" s="1"/>
  <c r="AB222" i="65" s="1"/>
  <c r="AC222" i="65" s="1"/>
  <c r="AD222" i="65" s="1"/>
  <c r="Q222" i="65"/>
  <c r="N223" i="65"/>
  <c r="D223" i="65"/>
  <c r="E223" i="65" s="1"/>
  <c r="F223" i="65" s="1"/>
  <c r="G223" i="65" s="1"/>
  <c r="H223" i="65" s="1"/>
  <c r="I223" i="65" s="1"/>
  <c r="J223" i="65" s="1"/>
  <c r="K223" i="65" s="1"/>
  <c r="P223" i="65"/>
  <c r="AM223" i="65"/>
  <c r="C224" i="65"/>
  <c r="L224" i="65"/>
  <c r="M224" i="65" s="1"/>
  <c r="O224" i="65"/>
  <c r="AG222" i="65" l="1"/>
  <c r="AM224" i="65"/>
  <c r="D224" i="65"/>
  <c r="E224" i="65" s="1"/>
  <c r="F224" i="65" s="1"/>
  <c r="G224" i="65" s="1"/>
  <c r="H224" i="65" s="1"/>
  <c r="I224" i="65" s="1"/>
  <c r="J224" i="65" s="1"/>
  <c r="K224" i="65" s="1"/>
  <c r="P224" i="65"/>
  <c r="N224" i="65"/>
  <c r="AN224" i="63" a="1"/>
  <c r="AN224" i="63" s="1"/>
  <c r="B226" i="65" s="1"/>
  <c r="U223" i="65"/>
  <c r="Q223" i="65"/>
  <c r="AH223" i="65"/>
  <c r="AE223" i="65"/>
  <c r="AF223" i="65"/>
  <c r="R223" i="65"/>
  <c r="S223" i="65" s="1"/>
  <c r="Y223" i="65" s="1"/>
  <c r="AB223" i="65" s="1"/>
  <c r="AC223" i="65" s="1"/>
  <c r="AD223" i="65" s="1"/>
  <c r="AV223" i="65"/>
  <c r="L225" i="65"/>
  <c r="M225" i="65" s="1"/>
  <c r="O225" i="65"/>
  <c r="C225" i="65"/>
  <c r="D225" i="65" l="1"/>
  <c r="E225" i="65" s="1"/>
  <c r="F225" i="65" s="1"/>
  <c r="G225" i="65" s="1"/>
  <c r="H225" i="65" s="1"/>
  <c r="I225" i="65" s="1"/>
  <c r="J225" i="65" s="1"/>
  <c r="K225" i="65" s="1"/>
  <c r="AM225" i="65"/>
  <c r="P225" i="65"/>
  <c r="N225" i="65"/>
  <c r="AV224" i="65"/>
  <c r="AE224" i="65"/>
  <c r="AH224" i="65"/>
  <c r="U224" i="65"/>
  <c r="R224" i="65"/>
  <c r="S224" i="65" s="1"/>
  <c r="Y224" i="65" s="1"/>
  <c r="AB224" i="65" s="1"/>
  <c r="AC224" i="65" s="1"/>
  <c r="AD224" i="65" s="1"/>
  <c r="AF224" i="65"/>
  <c r="Q224" i="65"/>
  <c r="AG223" i="65"/>
  <c r="AN225" i="63" a="1"/>
  <c r="AN225" i="63" s="1"/>
  <c r="B227" i="65" s="1"/>
  <c r="L226" i="65"/>
  <c r="M226" i="65" s="1"/>
  <c r="C226" i="65"/>
  <c r="O226" i="65"/>
  <c r="AG224" i="65" l="1"/>
  <c r="AN226" i="63" a="1"/>
  <c r="AN226" i="63" s="1"/>
  <c r="B228" i="65" s="1"/>
  <c r="AV225" i="65"/>
  <c r="AH225" i="65"/>
  <c r="AE225" i="65"/>
  <c r="AF225" i="65"/>
  <c r="R225" i="65"/>
  <c r="S225" i="65" s="1"/>
  <c r="Y225" i="65" s="1"/>
  <c r="AB225" i="65" s="1"/>
  <c r="AC225" i="65" s="1"/>
  <c r="AD225" i="65" s="1"/>
  <c r="Q225" i="65"/>
  <c r="U225" i="65"/>
  <c r="P226" i="65"/>
  <c r="N226" i="65"/>
  <c r="D226" i="65"/>
  <c r="E226" i="65" s="1"/>
  <c r="F226" i="65" s="1"/>
  <c r="G226" i="65" s="1"/>
  <c r="H226" i="65" s="1"/>
  <c r="I226" i="65" s="1"/>
  <c r="J226" i="65" s="1"/>
  <c r="K226" i="65" s="1"/>
  <c r="AM226" i="65"/>
  <c r="L227" i="65"/>
  <c r="M227" i="65" s="1"/>
  <c r="C227" i="65"/>
  <c r="O227" i="65"/>
  <c r="AG225" i="65" l="1"/>
  <c r="AN227" i="63" a="1"/>
  <c r="AN227" i="63" s="1"/>
  <c r="B229" i="65" s="1"/>
  <c r="P227" i="65"/>
  <c r="AM227" i="65"/>
  <c r="N227" i="65"/>
  <c r="D227" i="65"/>
  <c r="E227" i="65" s="1"/>
  <c r="F227" i="65" s="1"/>
  <c r="G227" i="65" s="1"/>
  <c r="H227" i="65" s="1"/>
  <c r="I227" i="65" s="1"/>
  <c r="J227" i="65" s="1"/>
  <c r="K227" i="65" s="1"/>
  <c r="R226" i="65"/>
  <c r="S226" i="65" s="1"/>
  <c r="Y226" i="65" s="1"/>
  <c r="AB226" i="65" s="1"/>
  <c r="AC226" i="65" s="1"/>
  <c r="AD226" i="65" s="1"/>
  <c r="Q226" i="65"/>
  <c r="U226" i="65"/>
  <c r="AV226" i="65"/>
  <c r="AH226" i="65"/>
  <c r="AF226" i="65"/>
  <c r="AE226" i="65"/>
  <c r="C228" i="65"/>
  <c r="O228" i="65"/>
  <c r="L228" i="65"/>
  <c r="M228" i="65" s="1"/>
  <c r="U227" i="65" l="1"/>
  <c r="AH227" i="65"/>
  <c r="Q227" i="65"/>
  <c r="AV227" i="65"/>
  <c r="AE227" i="65"/>
  <c r="AF227" i="65"/>
  <c r="R227" i="65"/>
  <c r="S227" i="65" s="1"/>
  <c r="Y227" i="65" s="1"/>
  <c r="AB227" i="65" s="1"/>
  <c r="AC227" i="65" s="1"/>
  <c r="AD227" i="65" s="1"/>
  <c r="AG226" i="65"/>
  <c r="AN228" i="63" a="1"/>
  <c r="AN228" i="63" s="1"/>
  <c r="B230" i="65" s="1"/>
  <c r="N228" i="65"/>
  <c r="AM228" i="65"/>
  <c r="D228" i="65"/>
  <c r="E228" i="65" s="1"/>
  <c r="F228" i="65" s="1"/>
  <c r="G228" i="65" s="1"/>
  <c r="H228" i="65" s="1"/>
  <c r="I228" i="65" s="1"/>
  <c r="J228" i="65" s="1"/>
  <c r="K228" i="65" s="1"/>
  <c r="P228" i="65"/>
  <c r="O229" i="65"/>
  <c r="L229" i="65"/>
  <c r="M229" i="65" s="1"/>
  <c r="C229" i="65"/>
  <c r="AN229" i="63" l="1" a="1"/>
  <c r="AN229" i="63" s="1"/>
  <c r="B231" i="65" s="1"/>
  <c r="AV228" i="65"/>
  <c r="U228" i="65"/>
  <c r="R228" i="65"/>
  <c r="S228" i="65" s="1"/>
  <c r="Y228" i="65" s="1"/>
  <c r="AB228" i="65" s="1"/>
  <c r="AC228" i="65" s="1"/>
  <c r="AD228" i="65" s="1"/>
  <c r="AH228" i="65"/>
  <c r="Q228" i="65"/>
  <c r="AF228" i="65"/>
  <c r="AE228" i="65"/>
  <c r="AG227" i="65"/>
  <c r="C230" i="65"/>
  <c r="L230" i="65"/>
  <c r="M230" i="65" s="1"/>
  <c r="O230" i="65"/>
  <c r="N229" i="65"/>
  <c r="D229" i="65"/>
  <c r="E229" i="65" s="1"/>
  <c r="F229" i="65" s="1"/>
  <c r="G229" i="65" s="1"/>
  <c r="H229" i="65" s="1"/>
  <c r="I229" i="65" s="1"/>
  <c r="J229" i="65" s="1"/>
  <c r="K229" i="65" s="1"/>
  <c r="AM229" i="65"/>
  <c r="P229" i="65"/>
  <c r="AG228" i="65" l="1"/>
  <c r="AN230" i="63" a="1"/>
  <c r="AN230" i="63" s="1"/>
  <c r="B232" i="65" s="1"/>
  <c r="U229" i="65"/>
  <c r="R229" i="65"/>
  <c r="S229" i="65" s="1"/>
  <c r="Y229" i="65" s="1"/>
  <c r="AB229" i="65" s="1"/>
  <c r="AC229" i="65" s="1"/>
  <c r="AD229" i="65" s="1"/>
  <c r="AE229" i="65"/>
  <c r="AF229" i="65"/>
  <c r="Q229" i="65"/>
  <c r="AV229" i="65"/>
  <c r="AH229" i="65"/>
  <c r="D230" i="65"/>
  <c r="E230" i="65" s="1"/>
  <c r="F230" i="65" s="1"/>
  <c r="G230" i="65" s="1"/>
  <c r="H230" i="65" s="1"/>
  <c r="I230" i="65" s="1"/>
  <c r="J230" i="65" s="1"/>
  <c r="K230" i="65" s="1"/>
  <c r="N230" i="65"/>
  <c r="P230" i="65"/>
  <c r="AM230" i="65"/>
  <c r="O231" i="65"/>
  <c r="C231" i="65"/>
  <c r="L231" i="65"/>
  <c r="M231" i="65" s="1"/>
  <c r="AG229" i="65" l="1"/>
  <c r="D231" i="65"/>
  <c r="E231" i="65" s="1"/>
  <c r="F231" i="65" s="1"/>
  <c r="G231" i="65" s="1"/>
  <c r="H231" i="65" s="1"/>
  <c r="I231" i="65" s="1"/>
  <c r="J231" i="65" s="1"/>
  <c r="K231" i="65" s="1"/>
  <c r="P231" i="65"/>
  <c r="N231" i="65"/>
  <c r="AM231" i="65"/>
  <c r="R230" i="65"/>
  <c r="S230" i="65" s="1"/>
  <c r="Y230" i="65" s="1"/>
  <c r="AB230" i="65" s="1"/>
  <c r="AC230" i="65" s="1"/>
  <c r="AD230" i="65" s="1"/>
  <c r="AE230" i="65"/>
  <c r="AV230" i="65"/>
  <c r="AF230" i="65"/>
  <c r="Q230" i="65"/>
  <c r="U230" i="65"/>
  <c r="AH230" i="65"/>
  <c r="L232" i="65"/>
  <c r="M232" i="65" s="1"/>
  <c r="O232" i="65"/>
  <c r="C232" i="65"/>
  <c r="AN231" i="63" a="1"/>
  <c r="AN231" i="63" s="1"/>
  <c r="B233" i="65" s="1"/>
  <c r="AG230" i="65" l="1"/>
  <c r="L233" i="65"/>
  <c r="M233" i="65" s="1"/>
  <c r="O233" i="65"/>
  <c r="C233" i="65"/>
  <c r="U231" i="65"/>
  <c r="AH231" i="65"/>
  <c r="Q231" i="65"/>
  <c r="AV231" i="65"/>
  <c r="AE231" i="65"/>
  <c r="AF231" i="65"/>
  <c r="R231" i="65"/>
  <c r="S231" i="65" s="1"/>
  <c r="Y231" i="65" s="1"/>
  <c r="AB231" i="65" s="1"/>
  <c r="AC231" i="65" s="1"/>
  <c r="AD231" i="65" s="1"/>
  <c r="D232" i="65"/>
  <c r="E232" i="65" s="1"/>
  <c r="F232" i="65" s="1"/>
  <c r="G232" i="65" s="1"/>
  <c r="H232" i="65" s="1"/>
  <c r="I232" i="65" s="1"/>
  <c r="J232" i="65" s="1"/>
  <c r="K232" i="65" s="1"/>
  <c r="P232" i="65"/>
  <c r="AM232" i="65"/>
  <c r="N232" i="65"/>
  <c r="AN232" i="63" a="1"/>
  <c r="AN232" i="63" s="1"/>
  <c r="B234" i="65" s="1"/>
  <c r="R232" i="65" l="1"/>
  <c r="S232" i="65" s="1"/>
  <c r="Y232" i="65" s="1"/>
  <c r="AB232" i="65" s="1"/>
  <c r="AC232" i="65" s="1"/>
  <c r="AD232" i="65" s="1"/>
  <c r="Q232" i="65"/>
  <c r="AE232" i="65"/>
  <c r="AV232" i="65"/>
  <c r="U232" i="65"/>
  <c r="AF232" i="65"/>
  <c r="AH232" i="65"/>
  <c r="D233" i="65"/>
  <c r="E233" i="65" s="1"/>
  <c r="F233" i="65" s="1"/>
  <c r="G233" i="65" s="1"/>
  <c r="H233" i="65" s="1"/>
  <c r="I233" i="65" s="1"/>
  <c r="J233" i="65" s="1"/>
  <c r="K233" i="65" s="1"/>
  <c r="N233" i="65"/>
  <c r="P233" i="65"/>
  <c r="AM233" i="65"/>
  <c r="AN233" i="63" a="1"/>
  <c r="AN233" i="63" s="1"/>
  <c r="B235" i="65" s="1"/>
  <c r="O234" i="65"/>
  <c r="C234" i="65"/>
  <c r="L234" i="65"/>
  <c r="M234" i="65" s="1"/>
  <c r="AG231" i="65"/>
  <c r="P234" i="65" l="1"/>
  <c r="N234" i="65"/>
  <c r="D234" i="65"/>
  <c r="E234" i="65" s="1"/>
  <c r="F234" i="65" s="1"/>
  <c r="G234" i="65" s="1"/>
  <c r="H234" i="65" s="1"/>
  <c r="I234" i="65" s="1"/>
  <c r="J234" i="65" s="1"/>
  <c r="K234" i="65" s="1"/>
  <c r="AM234" i="65"/>
  <c r="AV233" i="65"/>
  <c r="R233" i="65"/>
  <c r="S233" i="65" s="1"/>
  <c r="Y233" i="65" s="1"/>
  <c r="AB233" i="65" s="1"/>
  <c r="AC233" i="65" s="1"/>
  <c r="AD233" i="65" s="1"/>
  <c r="Q233" i="65"/>
  <c r="AH233" i="65"/>
  <c r="AE233" i="65"/>
  <c r="AF233" i="65"/>
  <c r="U233" i="65"/>
  <c r="L235" i="65"/>
  <c r="M235" i="65" s="1"/>
  <c r="O235" i="65"/>
  <c r="C235" i="65"/>
  <c r="AG232" i="65"/>
  <c r="AN234" i="63" a="1"/>
  <c r="AN234" i="63" s="1"/>
  <c r="B236" i="65" s="1"/>
  <c r="L236" i="65" l="1"/>
  <c r="M236" i="65" s="1"/>
  <c r="C236" i="65"/>
  <c r="O236" i="65"/>
  <c r="AM235" i="65"/>
  <c r="P235" i="65"/>
  <c r="D235" i="65"/>
  <c r="E235" i="65" s="1"/>
  <c r="F235" i="65" s="1"/>
  <c r="G235" i="65" s="1"/>
  <c r="H235" i="65" s="1"/>
  <c r="I235" i="65" s="1"/>
  <c r="J235" i="65" s="1"/>
  <c r="K235" i="65" s="1"/>
  <c r="N235" i="65"/>
  <c r="AG233" i="65"/>
  <c r="AN235" i="63" a="1"/>
  <c r="AN235" i="63" s="1"/>
  <c r="B237" i="65" s="1"/>
  <c r="U234" i="65"/>
  <c r="AF234" i="65"/>
  <c r="Q234" i="65"/>
  <c r="AV234" i="65"/>
  <c r="AE234" i="65"/>
  <c r="R234" i="65"/>
  <c r="S234" i="65" s="1"/>
  <c r="Y234" i="65" s="1"/>
  <c r="AB234" i="65" s="1"/>
  <c r="AC234" i="65" s="1"/>
  <c r="AD234" i="65" s="1"/>
  <c r="AH234" i="65"/>
  <c r="AG234" i="65" l="1"/>
  <c r="U235" i="65"/>
  <c r="Q235" i="65"/>
  <c r="AH235" i="65"/>
  <c r="R235" i="65"/>
  <c r="S235" i="65" s="1"/>
  <c r="Y235" i="65" s="1"/>
  <c r="AB235" i="65" s="1"/>
  <c r="AC235" i="65" s="1"/>
  <c r="AD235" i="65" s="1"/>
  <c r="AV235" i="65"/>
  <c r="AE235" i="65"/>
  <c r="AF235" i="65"/>
  <c r="AN236" i="63" a="1"/>
  <c r="AN236" i="63" s="1"/>
  <c r="B238" i="65" s="1"/>
  <c r="P236" i="65"/>
  <c r="N236" i="65"/>
  <c r="AM236" i="65"/>
  <c r="D236" i="65"/>
  <c r="E236" i="65" s="1"/>
  <c r="F236" i="65" s="1"/>
  <c r="G236" i="65" s="1"/>
  <c r="H236" i="65" s="1"/>
  <c r="I236" i="65" s="1"/>
  <c r="J236" i="65" s="1"/>
  <c r="K236" i="65" s="1"/>
  <c r="C237" i="65"/>
  <c r="O237" i="65"/>
  <c r="L237" i="65"/>
  <c r="M237" i="65" s="1"/>
  <c r="AG235" i="65" l="1"/>
  <c r="R236" i="65"/>
  <c r="S236" i="65" s="1"/>
  <c r="Y236" i="65" s="1"/>
  <c r="AB236" i="65" s="1"/>
  <c r="AC236" i="65" s="1"/>
  <c r="AD236" i="65" s="1"/>
  <c r="U236" i="65"/>
  <c r="AF236" i="65"/>
  <c r="AV236" i="65"/>
  <c r="Q236" i="65"/>
  <c r="AH236" i="65"/>
  <c r="AE236" i="65"/>
  <c r="N237" i="65"/>
  <c r="D237" i="65"/>
  <c r="E237" i="65" s="1"/>
  <c r="F237" i="65" s="1"/>
  <c r="G237" i="65" s="1"/>
  <c r="H237" i="65" s="1"/>
  <c r="I237" i="65" s="1"/>
  <c r="J237" i="65" s="1"/>
  <c r="K237" i="65" s="1"/>
  <c r="P237" i="65"/>
  <c r="AM237" i="65"/>
  <c r="L238" i="65"/>
  <c r="M238" i="65" s="1"/>
  <c r="C238" i="65"/>
  <c r="O238" i="65"/>
  <c r="Q238" i="65"/>
  <c r="AN237" i="63" a="1"/>
  <c r="AN237" i="63" s="1"/>
  <c r="B239" i="65" s="1"/>
  <c r="AN238" i="63" l="1" a="1"/>
  <c r="AN238" i="63" s="1"/>
  <c r="B240" i="65" s="1"/>
  <c r="AV237" i="65"/>
  <c r="R237" i="65"/>
  <c r="S237" i="65" s="1"/>
  <c r="Y237" i="65" s="1"/>
  <c r="AB237" i="65" s="1"/>
  <c r="AC237" i="65" s="1"/>
  <c r="AD237" i="65" s="1"/>
  <c r="U237" i="65"/>
  <c r="AH237" i="65"/>
  <c r="AE237" i="65"/>
  <c r="Q237" i="65"/>
  <c r="AF237" i="65"/>
  <c r="AG236" i="65"/>
  <c r="L239" i="65"/>
  <c r="M239" i="65" s="1"/>
  <c r="C239" i="65"/>
  <c r="O239" i="65"/>
  <c r="AM238" i="65"/>
  <c r="D238" i="65"/>
  <c r="E238" i="65" s="1"/>
  <c r="F238" i="65" s="1"/>
  <c r="G238" i="65" s="1"/>
  <c r="H238" i="65" s="1"/>
  <c r="I238" i="65" s="1"/>
  <c r="J238" i="65" s="1"/>
  <c r="K238" i="65" s="1"/>
  <c r="P238" i="65"/>
  <c r="Y238" i="65" l="1"/>
  <c r="AB238" i="65" s="1"/>
  <c r="AC238" i="65" s="1"/>
  <c r="P239" i="65"/>
  <c r="N239" i="65"/>
  <c r="D239" i="65"/>
  <c r="E239" i="65" s="1"/>
  <c r="F239" i="65" s="1"/>
  <c r="G239" i="65" s="1"/>
  <c r="H239" i="65" s="1"/>
  <c r="I239" i="65" s="1"/>
  <c r="J239" i="65" s="1"/>
  <c r="K239" i="65" s="1"/>
  <c r="AM239" i="65"/>
  <c r="AG237" i="65"/>
  <c r="AN239" i="63" a="1"/>
  <c r="AN239" i="63" s="1"/>
  <c r="B241" i="65" s="1"/>
  <c r="L240" i="65"/>
  <c r="M240" i="65" s="1"/>
  <c r="C240" i="65"/>
  <c r="O240" i="65"/>
  <c r="L241" i="65" l="1"/>
  <c r="M241" i="65" s="1"/>
  <c r="O241" i="65"/>
  <c r="C241" i="65"/>
  <c r="AF239" i="65"/>
  <c r="AE239" i="65"/>
  <c r="Q239" i="65"/>
  <c r="R239" i="65"/>
  <c r="S239" i="65" s="1"/>
  <c r="Y239" i="65" s="1"/>
  <c r="AB239" i="65" s="1"/>
  <c r="AC239" i="65" s="1"/>
  <c r="AD239" i="65" s="1"/>
  <c r="AH239" i="65"/>
  <c r="U239" i="65"/>
  <c r="AV239" i="65"/>
  <c r="AN240" i="63" a="1"/>
  <c r="AN240" i="63" s="1"/>
  <c r="B242" i="65" s="1"/>
  <c r="N240" i="65"/>
  <c r="AM240" i="65"/>
  <c r="P240" i="65"/>
  <c r="D240" i="65"/>
  <c r="E240" i="65" s="1"/>
  <c r="F240" i="65" s="1"/>
  <c r="G240" i="65" s="1"/>
  <c r="H240" i="65" s="1"/>
  <c r="I240" i="65" s="1"/>
  <c r="J240" i="65" s="1"/>
  <c r="K240" i="65" s="1"/>
  <c r="AF238" i="65"/>
  <c r="AG238" i="65" s="1"/>
  <c r="AD238" i="65"/>
  <c r="R240" i="65" l="1"/>
  <c r="S240" i="65" s="1"/>
  <c r="Y240" i="65" s="1"/>
  <c r="AB240" i="65" s="1"/>
  <c r="AC240" i="65" s="1"/>
  <c r="AD240" i="65" s="1"/>
  <c r="AF240" i="65"/>
  <c r="AE240" i="65"/>
  <c r="U240" i="65"/>
  <c r="AH240" i="65"/>
  <c r="Q240" i="65"/>
  <c r="AV240" i="65"/>
  <c r="AG239" i="65"/>
  <c r="AN241" i="63" a="1"/>
  <c r="AN241" i="63" s="1"/>
  <c r="B243" i="65" s="1"/>
  <c r="AM241" i="65"/>
  <c r="P241" i="65"/>
  <c r="D241" i="65"/>
  <c r="E241" i="65" s="1"/>
  <c r="F241" i="65" s="1"/>
  <c r="G241" i="65" s="1"/>
  <c r="H241" i="65" s="1"/>
  <c r="I241" i="65" s="1"/>
  <c r="J241" i="65" s="1"/>
  <c r="K241" i="65" s="1"/>
  <c r="N241" i="65"/>
  <c r="O242" i="65"/>
  <c r="L242" i="65"/>
  <c r="M242" i="65" s="1"/>
  <c r="C242" i="65"/>
  <c r="AE241" i="65" l="1"/>
  <c r="AV241" i="65"/>
  <c r="R241" i="65"/>
  <c r="S241" i="65" s="1"/>
  <c r="Y241" i="65" s="1"/>
  <c r="AB241" i="65" s="1"/>
  <c r="AC241" i="65" s="1"/>
  <c r="AD241" i="65" s="1"/>
  <c r="U241" i="65"/>
  <c r="AH241" i="65"/>
  <c r="Q241" i="65"/>
  <c r="AF241" i="65"/>
  <c r="P242" i="65"/>
  <c r="AM242" i="65"/>
  <c r="D242" i="65"/>
  <c r="E242" i="65" s="1"/>
  <c r="F242" i="65" s="1"/>
  <c r="G242" i="65" s="1"/>
  <c r="H242" i="65" s="1"/>
  <c r="I242" i="65" s="1"/>
  <c r="J242" i="65" s="1"/>
  <c r="K242" i="65" s="1"/>
  <c r="N242" i="65"/>
  <c r="AG240" i="65"/>
  <c r="O243" i="65"/>
  <c r="C243" i="65"/>
  <c r="L243" i="65"/>
  <c r="M243" i="65" s="1"/>
  <c r="AN242" i="63" a="1"/>
  <c r="AN242" i="63" s="1"/>
  <c r="B244" i="65" s="1"/>
  <c r="AG241" i="65" l="1"/>
  <c r="N243" i="65"/>
  <c r="AM243" i="65"/>
  <c r="D243" i="65"/>
  <c r="E243" i="65" s="1"/>
  <c r="F243" i="65" s="1"/>
  <c r="G243" i="65" s="1"/>
  <c r="H243" i="65" s="1"/>
  <c r="I243" i="65" s="1"/>
  <c r="J243" i="65" s="1"/>
  <c r="K243" i="65" s="1"/>
  <c r="P243" i="65"/>
  <c r="C244" i="65"/>
  <c r="L244" i="65"/>
  <c r="M244" i="65" s="1"/>
  <c r="O244" i="65"/>
  <c r="R242" i="65"/>
  <c r="S242" i="65" s="1"/>
  <c r="Y242" i="65" s="1"/>
  <c r="AB242" i="65" s="1"/>
  <c r="AC242" i="65" s="1"/>
  <c r="AD242" i="65" s="1"/>
  <c r="AF242" i="65"/>
  <c r="U242" i="65"/>
  <c r="AH242" i="65"/>
  <c r="AE242" i="65"/>
  <c r="AV242" i="65"/>
  <c r="Q242" i="65"/>
  <c r="AN243" i="63" a="1"/>
  <c r="AN243" i="63" s="1"/>
  <c r="B245" i="65" s="1"/>
  <c r="C245" i="65" l="1"/>
  <c r="L245" i="65"/>
  <c r="M245" i="65" s="1"/>
  <c r="O245" i="65"/>
  <c r="AN244" i="63" a="1"/>
  <c r="AN244" i="63" s="1"/>
  <c r="B246" i="65" s="1"/>
  <c r="AG242" i="65"/>
  <c r="AM244" i="65"/>
  <c r="N244" i="65"/>
  <c r="P244" i="65"/>
  <c r="D244" i="65"/>
  <c r="E244" i="65" s="1"/>
  <c r="F244" i="65" s="1"/>
  <c r="G244" i="65" s="1"/>
  <c r="H244" i="65" s="1"/>
  <c r="I244" i="65" s="1"/>
  <c r="J244" i="65" s="1"/>
  <c r="K244" i="65" s="1"/>
  <c r="AF243" i="65"/>
  <c r="U243" i="65"/>
  <c r="AV243" i="65"/>
  <c r="R243" i="65"/>
  <c r="S243" i="65" s="1"/>
  <c r="Y243" i="65" s="1"/>
  <c r="AB243" i="65" s="1"/>
  <c r="AC243" i="65" s="1"/>
  <c r="AD243" i="65" s="1"/>
  <c r="AE243" i="65"/>
  <c r="AH243" i="65"/>
  <c r="Q243" i="65"/>
  <c r="AV244" i="65" l="1"/>
  <c r="AF244" i="65"/>
  <c r="U244" i="65"/>
  <c r="AH244" i="65"/>
  <c r="Q244" i="65"/>
  <c r="AE244" i="65"/>
  <c r="R244" i="65"/>
  <c r="S244" i="65" s="1"/>
  <c r="Y244" i="65" s="1"/>
  <c r="AB244" i="65" s="1"/>
  <c r="AC244" i="65" s="1"/>
  <c r="AD244" i="65" s="1"/>
  <c r="L246" i="65"/>
  <c r="M246" i="65" s="1"/>
  <c r="O246" i="65"/>
  <c r="C246" i="65"/>
  <c r="AG243" i="65"/>
  <c r="AN245" i="63" a="1"/>
  <c r="AN245" i="63" s="1"/>
  <c r="B247" i="65" s="1"/>
  <c r="N245" i="65"/>
  <c r="AM245" i="65"/>
  <c r="D245" i="65"/>
  <c r="E245" i="65" s="1"/>
  <c r="F245" i="65" s="1"/>
  <c r="G245" i="65" s="1"/>
  <c r="H245" i="65" s="1"/>
  <c r="I245" i="65" s="1"/>
  <c r="J245" i="65" s="1"/>
  <c r="K245" i="65" s="1"/>
  <c r="P245" i="65"/>
  <c r="C247" i="65" l="1"/>
  <c r="L247" i="65"/>
  <c r="M247" i="65" s="1"/>
  <c r="O247" i="65"/>
  <c r="U245" i="65"/>
  <c r="AV245" i="65"/>
  <c r="AH245" i="65"/>
  <c r="AF245" i="65"/>
  <c r="Q245" i="65"/>
  <c r="R245" i="65"/>
  <c r="S245" i="65" s="1"/>
  <c r="Y245" i="65" s="1"/>
  <c r="AB245" i="65" s="1"/>
  <c r="AC245" i="65" s="1"/>
  <c r="AD245" i="65" s="1"/>
  <c r="AE245" i="65"/>
  <c r="N246" i="65"/>
  <c r="P246" i="65"/>
  <c r="D246" i="65"/>
  <c r="E246" i="65" s="1"/>
  <c r="F246" i="65" s="1"/>
  <c r="G246" i="65" s="1"/>
  <c r="H246" i="65" s="1"/>
  <c r="I246" i="65" s="1"/>
  <c r="J246" i="65" s="1"/>
  <c r="K246" i="65" s="1"/>
  <c r="AM246" i="65"/>
  <c r="AG244" i="65"/>
  <c r="AN246" i="63" a="1"/>
  <c r="AN246" i="63" s="1"/>
  <c r="B248" i="65" s="1"/>
  <c r="U246" i="65" l="1"/>
  <c r="R246" i="65"/>
  <c r="S246" i="65" s="1"/>
  <c r="Y246" i="65" s="1"/>
  <c r="AB246" i="65" s="1"/>
  <c r="AC246" i="65" s="1"/>
  <c r="AD246" i="65" s="1"/>
  <c r="AF246" i="65"/>
  <c r="AH246" i="65"/>
  <c r="AV246" i="65"/>
  <c r="Q246" i="65"/>
  <c r="AE246" i="65"/>
  <c r="AG245" i="65"/>
  <c r="AN247" i="63" a="1"/>
  <c r="AN247" i="63" s="1"/>
  <c r="B249" i="65" s="1"/>
  <c r="C248" i="65"/>
  <c r="L248" i="65"/>
  <c r="M248" i="65" s="1"/>
  <c r="O248" i="65"/>
  <c r="AM247" i="65"/>
  <c r="D247" i="65"/>
  <c r="E247" i="65" s="1"/>
  <c r="F247" i="65" s="1"/>
  <c r="G247" i="65" s="1"/>
  <c r="H247" i="65" s="1"/>
  <c r="I247" i="65" s="1"/>
  <c r="J247" i="65" s="1"/>
  <c r="K247" i="65" s="1"/>
  <c r="P247" i="65"/>
  <c r="AG246" i="65" l="1"/>
  <c r="U247" i="65"/>
  <c r="AE247" i="65"/>
  <c r="AH247" i="65" s="1"/>
  <c r="Q247" i="65"/>
  <c r="AV247" i="65"/>
  <c r="R247" i="65"/>
  <c r="S247" i="65" s="1"/>
  <c r="Y247" i="65" s="1"/>
  <c r="AB247" i="65" s="1"/>
  <c r="AC247" i="65" s="1"/>
  <c r="AD247" i="65" s="1"/>
  <c r="D248" i="65"/>
  <c r="E248" i="65" s="1"/>
  <c r="F248" i="65" s="1"/>
  <c r="G248" i="65" s="1"/>
  <c r="H248" i="65" s="1"/>
  <c r="I248" i="65" s="1"/>
  <c r="J248" i="65" s="1"/>
  <c r="K248" i="65" s="1"/>
  <c r="P248" i="65"/>
  <c r="AM248" i="65"/>
  <c r="N248" i="65"/>
  <c r="L249" i="65"/>
  <c r="M249" i="65" s="1"/>
  <c r="O249" i="65"/>
  <c r="C249" i="65"/>
  <c r="AN248" i="63" a="1"/>
  <c r="AN248" i="63" s="1"/>
  <c r="B250" i="65" s="1"/>
  <c r="AF247" i="65" l="1"/>
  <c r="AG247" i="65" s="1"/>
  <c r="O250" i="65"/>
  <c r="L250" i="65"/>
  <c r="M250" i="65" s="1"/>
  <c r="C250" i="65"/>
  <c r="N249" i="65"/>
  <c r="D249" i="65"/>
  <c r="E249" i="65" s="1"/>
  <c r="F249" i="65" s="1"/>
  <c r="G249" i="65" s="1"/>
  <c r="H249" i="65" s="1"/>
  <c r="I249" i="65" s="1"/>
  <c r="J249" i="65" s="1"/>
  <c r="K249" i="65" s="1"/>
  <c r="AM249" i="65"/>
  <c r="P249" i="65"/>
  <c r="AN249" i="63" a="1"/>
  <c r="AN249" i="63" s="1"/>
  <c r="B251" i="65" s="1"/>
  <c r="R248" i="65"/>
  <c r="S248" i="65" s="1"/>
  <c r="Y248" i="65" s="1"/>
  <c r="AB248" i="65" s="1"/>
  <c r="AC248" i="65" s="1"/>
  <c r="AD248" i="65" s="1"/>
  <c r="AE248" i="65"/>
  <c r="U248" i="65"/>
  <c r="AF248" i="65"/>
  <c r="AH248" i="65"/>
  <c r="Q248" i="65"/>
  <c r="AV248" i="65"/>
  <c r="AG248" i="65" l="1"/>
  <c r="AM250" i="65"/>
  <c r="P250" i="65"/>
  <c r="N250" i="65"/>
  <c r="D250" i="65"/>
  <c r="E250" i="65" s="1"/>
  <c r="F250" i="65" s="1"/>
  <c r="G250" i="65" s="1"/>
  <c r="H250" i="65" s="1"/>
  <c r="I250" i="65" s="1"/>
  <c r="J250" i="65" s="1"/>
  <c r="K250" i="65" s="1"/>
  <c r="O251" i="65"/>
  <c r="L251" i="65"/>
  <c r="M251" i="65" s="1"/>
  <c r="C251" i="65"/>
  <c r="AN250" i="63" a="1"/>
  <c r="AN250" i="63" s="1"/>
  <c r="B252" i="65" s="1"/>
  <c r="AV249" i="65"/>
  <c r="U249" i="65"/>
  <c r="Q249" i="65"/>
  <c r="R249" i="65"/>
  <c r="S249" i="65" s="1"/>
  <c r="Y249" i="65" s="1"/>
  <c r="AB249" i="65" s="1"/>
  <c r="AC249" i="65" s="1"/>
  <c r="AD249" i="65" s="1"/>
  <c r="AE249" i="65"/>
  <c r="AF249" i="65"/>
  <c r="AH249" i="65"/>
  <c r="C252" i="65" l="1"/>
  <c r="O252" i="65"/>
  <c r="L252" i="65"/>
  <c r="M252" i="65" s="1"/>
  <c r="N251" i="65"/>
  <c r="D251" i="65"/>
  <c r="E251" i="65" s="1"/>
  <c r="F251" i="65" s="1"/>
  <c r="G251" i="65" s="1"/>
  <c r="H251" i="65" s="1"/>
  <c r="I251" i="65" s="1"/>
  <c r="J251" i="65" s="1"/>
  <c r="K251" i="65" s="1"/>
  <c r="AM251" i="65"/>
  <c r="P251" i="65"/>
  <c r="U250" i="65"/>
  <c r="AH250" i="65"/>
  <c r="R250" i="65"/>
  <c r="S250" i="65" s="1"/>
  <c r="Y250" i="65" s="1"/>
  <c r="AB250" i="65" s="1"/>
  <c r="AC250" i="65" s="1"/>
  <c r="AD250" i="65" s="1"/>
  <c r="AV250" i="65"/>
  <c r="Q250" i="65"/>
  <c r="AE250" i="65"/>
  <c r="AF250" i="65"/>
  <c r="AG249" i="65"/>
  <c r="AN251" i="63" a="1"/>
  <c r="AN251" i="63" s="1"/>
  <c r="B253" i="65" s="1"/>
  <c r="AG250" i="65" l="1"/>
  <c r="AE251" i="65"/>
  <c r="AF251" i="65"/>
  <c r="Q251" i="65"/>
  <c r="AH251" i="65"/>
  <c r="U251" i="65"/>
  <c r="R251" i="65"/>
  <c r="S251" i="65" s="1"/>
  <c r="Y251" i="65" s="1"/>
  <c r="AB251" i="65" s="1"/>
  <c r="AC251" i="65" s="1"/>
  <c r="AD251" i="65" s="1"/>
  <c r="AV251" i="65"/>
  <c r="AN252" i="63" a="1"/>
  <c r="AN252" i="63" s="1"/>
  <c r="B254" i="65" s="1"/>
  <c r="L253" i="65"/>
  <c r="M253" i="65" s="1"/>
  <c r="O253" i="65"/>
  <c r="C253" i="65"/>
  <c r="N252" i="65"/>
  <c r="AM252" i="65"/>
  <c r="D252" i="65"/>
  <c r="E252" i="65" s="1"/>
  <c r="F252" i="65" s="1"/>
  <c r="G252" i="65" s="1"/>
  <c r="H252" i="65" s="1"/>
  <c r="I252" i="65" s="1"/>
  <c r="J252" i="65" s="1"/>
  <c r="K252" i="65" s="1"/>
  <c r="P252" i="65"/>
  <c r="AE252" i="65" l="1"/>
  <c r="Q252" i="65"/>
  <c r="AV252" i="65"/>
  <c r="AH252" i="65"/>
  <c r="AF252" i="65"/>
  <c r="U252" i="65"/>
  <c r="R252" i="65"/>
  <c r="S252" i="65" s="1"/>
  <c r="Y252" i="65" s="1"/>
  <c r="AB252" i="65" s="1"/>
  <c r="AC252" i="65" s="1"/>
  <c r="AD252" i="65" s="1"/>
  <c r="D253" i="65"/>
  <c r="E253" i="65" s="1"/>
  <c r="F253" i="65" s="1"/>
  <c r="G253" i="65" s="1"/>
  <c r="H253" i="65" s="1"/>
  <c r="I253" i="65" s="1"/>
  <c r="J253" i="65" s="1"/>
  <c r="K253" i="65" s="1"/>
  <c r="N253" i="65"/>
  <c r="AM253" i="65"/>
  <c r="P253" i="65"/>
  <c r="AG251" i="65"/>
  <c r="C254" i="65"/>
  <c r="L254" i="65"/>
  <c r="M254" i="65" s="1"/>
  <c r="O254" i="65"/>
  <c r="AN253" i="63" a="1"/>
  <c r="AN253" i="63" s="1"/>
  <c r="B255" i="65" s="1"/>
  <c r="O255" i="65" l="1"/>
  <c r="L255" i="65"/>
  <c r="M255" i="65" s="1"/>
  <c r="C255" i="65"/>
  <c r="D254" i="65"/>
  <c r="E254" i="65" s="1"/>
  <c r="F254" i="65" s="1"/>
  <c r="G254" i="65" s="1"/>
  <c r="H254" i="65" s="1"/>
  <c r="I254" i="65" s="1"/>
  <c r="J254" i="65" s="1"/>
  <c r="K254" i="65" s="1"/>
  <c r="AM254" i="65"/>
  <c r="P254" i="65"/>
  <c r="N254" i="65"/>
  <c r="R253" i="65"/>
  <c r="S253" i="65" s="1"/>
  <c r="Y253" i="65" s="1"/>
  <c r="AB253" i="65" s="1"/>
  <c r="AC253" i="65" s="1"/>
  <c r="AD253" i="65" s="1"/>
  <c r="U253" i="65"/>
  <c r="AV253" i="65"/>
  <c r="AF253" i="65"/>
  <c r="AH253" i="65"/>
  <c r="AE253" i="65"/>
  <c r="Q253" i="65"/>
  <c r="AG252" i="65"/>
  <c r="AN254" i="63" a="1"/>
  <c r="AN254" i="63" s="1"/>
  <c r="B256" i="65" s="1"/>
  <c r="AN255" i="63" l="1" a="1"/>
  <c r="AN255" i="63" s="1"/>
  <c r="B257" i="65" s="1"/>
  <c r="AG253" i="65"/>
  <c r="R254" i="65"/>
  <c r="S254" i="65" s="1"/>
  <c r="Y254" i="65" s="1"/>
  <c r="AB254" i="65" s="1"/>
  <c r="AC254" i="65" s="1"/>
  <c r="AD254" i="65" s="1"/>
  <c r="AF254" i="65"/>
  <c r="AH254" i="65"/>
  <c r="U254" i="65"/>
  <c r="Q254" i="65"/>
  <c r="AV254" i="65"/>
  <c r="AE254" i="65"/>
  <c r="AM255" i="65"/>
  <c r="P255" i="65"/>
  <c r="N255" i="65"/>
  <c r="D255" i="65"/>
  <c r="E255" i="65" s="1"/>
  <c r="F255" i="65" s="1"/>
  <c r="G255" i="65" s="1"/>
  <c r="H255" i="65" s="1"/>
  <c r="I255" i="65" s="1"/>
  <c r="J255" i="65" s="1"/>
  <c r="K255" i="65" s="1"/>
  <c r="L256" i="65"/>
  <c r="M256" i="65" s="1"/>
  <c r="C256" i="65"/>
  <c r="O256" i="65"/>
  <c r="AH255" i="65" l="1"/>
  <c r="Q255" i="65"/>
  <c r="AV255" i="65"/>
  <c r="AE255" i="65"/>
  <c r="U255" i="65"/>
  <c r="R255" i="65"/>
  <c r="S255" i="65" s="1"/>
  <c r="Y255" i="65" s="1"/>
  <c r="AB255" i="65" s="1"/>
  <c r="AC255" i="65" s="1"/>
  <c r="AD255" i="65" s="1"/>
  <c r="AF255" i="65"/>
  <c r="AG254" i="65"/>
  <c r="P256" i="65"/>
  <c r="AM256" i="65"/>
  <c r="D256" i="65"/>
  <c r="E256" i="65" s="1"/>
  <c r="F256" i="65" s="1"/>
  <c r="G256" i="65" s="1"/>
  <c r="H256" i="65" s="1"/>
  <c r="I256" i="65" s="1"/>
  <c r="J256" i="65" s="1"/>
  <c r="K256" i="65" s="1"/>
  <c r="N256" i="65"/>
  <c r="C257" i="65"/>
  <c r="L257" i="65"/>
  <c r="M257" i="65" s="1"/>
  <c r="O257" i="65"/>
  <c r="AN256" i="63" a="1"/>
  <c r="AN256" i="63" s="1"/>
  <c r="AN257" i="63" s="1" a="1"/>
  <c r="AN257" i="63" s="1"/>
  <c r="Q256" i="65" l="1"/>
  <c r="AF256" i="65"/>
  <c r="AE256" i="65"/>
  <c r="AH256" i="65"/>
  <c r="U256" i="65"/>
  <c r="R256" i="65"/>
  <c r="S256" i="65" s="1"/>
  <c r="Y256" i="65" s="1"/>
  <c r="AB256" i="65" s="1"/>
  <c r="AC256" i="65" s="1"/>
  <c r="AD256" i="65" s="1"/>
  <c r="AV256" i="65"/>
  <c r="AG255" i="65"/>
  <c r="N257" i="65"/>
  <c r="M172" i="22" s="1"/>
  <c r="O172" i="22" s="1"/>
  <c r="E166" i="36" s="1"/>
  <c r="AM257" i="65"/>
  <c r="AM258" i="65" s="1"/>
  <c r="H14" i="73" s="1"/>
  <c r="H30" i="73" s="1"/>
  <c r="D257" i="65"/>
  <c r="E257" i="65" s="1"/>
  <c r="F257" i="65" s="1"/>
  <c r="G257" i="65" s="1"/>
  <c r="H257" i="65" s="1"/>
  <c r="I257" i="65" s="1"/>
  <c r="J257" i="65" s="1"/>
  <c r="K257" i="65" s="1"/>
  <c r="P257" i="65"/>
  <c r="M170" i="22"/>
  <c r="O170" i="22" s="1"/>
  <c r="Q172" i="22" l="1"/>
  <c r="AE172" i="22" s="1"/>
  <c r="M169" i="22"/>
  <c r="O169" i="22" s="1"/>
  <c r="M171" i="22"/>
  <c r="O171" i="22" s="1"/>
  <c r="H18" i="73"/>
  <c r="AG256" i="65"/>
  <c r="N170" i="22"/>
  <c r="P170" i="22" s="1"/>
  <c r="AH257" i="65"/>
  <c r="AF257" i="65"/>
  <c r="N168" i="22"/>
  <c r="P168" i="22" s="1"/>
  <c r="AE257" i="65"/>
  <c r="R257" i="65"/>
  <c r="S257" i="65" s="1"/>
  <c r="Y257" i="65" s="1"/>
  <c r="M168" i="22"/>
  <c r="O168" i="22" s="1"/>
  <c r="Q257" i="65"/>
  <c r="Q258" i="65" s="1"/>
  <c r="U257" i="65"/>
  <c r="N171" i="22"/>
  <c r="P171" i="22" s="1"/>
  <c r="AV257" i="65"/>
  <c r="N169" i="22"/>
  <c r="P169" i="22" s="1"/>
  <c r="N172" i="22"/>
  <c r="P172" i="22" s="1"/>
  <c r="E164" i="36"/>
  <c r="Q170" i="22"/>
  <c r="AE170" i="22" s="1"/>
  <c r="H12" i="36"/>
  <c r="H34" i="73"/>
  <c r="H16" i="36" s="1"/>
  <c r="G166" i="36"/>
  <c r="G206" i="36" s="1"/>
  <c r="E206" i="36"/>
  <c r="E165" i="36" l="1"/>
  <c r="Q171" i="22"/>
  <c r="AE171" i="22" s="1"/>
  <c r="E163" i="36"/>
  <c r="Q169" i="22"/>
  <c r="AE169" i="22" s="1"/>
  <c r="AB257" i="65"/>
  <c r="AC257" i="65" s="1"/>
  <c r="AD257" i="65" s="1"/>
  <c r="Y2" i="65"/>
  <c r="F166" i="36"/>
  <c r="R172" i="22"/>
  <c r="AF172" i="22" s="1"/>
  <c r="F164" i="36"/>
  <c r="R170" i="22"/>
  <c r="AF170" i="22" s="1"/>
  <c r="F163" i="36"/>
  <c r="R169" i="22"/>
  <c r="AF169" i="22" s="1"/>
  <c r="R168" i="22"/>
  <c r="AF168" i="22" s="1"/>
  <c r="F162" i="36"/>
  <c r="E162" i="36"/>
  <c r="Q168" i="22"/>
  <c r="AE168" i="22" s="1"/>
  <c r="AG257" i="65"/>
  <c r="F165" i="36"/>
  <c r="R171" i="22"/>
  <c r="AF171" i="22" s="1"/>
  <c r="G164" i="36"/>
  <c r="G204" i="36" s="1"/>
  <c r="E204" i="36"/>
  <c r="G165" i="36" l="1"/>
  <c r="G205" i="36" s="1"/>
  <c r="E205" i="36"/>
  <c r="E203" i="36"/>
  <c r="G163" i="36"/>
  <c r="G203" i="36" s="1"/>
  <c r="H165" i="36"/>
  <c r="H205" i="36" s="1"/>
  <c r="F205" i="36"/>
  <c r="H162" i="36"/>
  <c r="H202" i="36" s="1"/>
  <c r="F202" i="36"/>
  <c r="F204" i="36"/>
  <c r="H164" i="36"/>
  <c r="H204" i="36" s="1"/>
  <c r="G162" i="36"/>
  <c r="G202" i="36" s="1"/>
  <c r="E202" i="36"/>
  <c r="H163" i="36"/>
  <c r="H203" i="36" s="1"/>
  <c r="F203" i="36"/>
  <c r="H166" i="36"/>
  <c r="H206" i="36" s="1"/>
  <c r="F206" i="36"/>
</calcChain>
</file>

<file path=xl/sharedStrings.xml><?xml version="1.0" encoding="utf-8"?>
<sst xmlns="http://schemas.openxmlformats.org/spreadsheetml/2006/main" count="6944" uniqueCount="1579">
  <si>
    <t>Project details</t>
  </si>
  <si>
    <t>Planning authority:</t>
  </si>
  <si>
    <t>Project name:</t>
  </si>
  <si>
    <t>Applicant:</t>
  </si>
  <si>
    <t>Application type:</t>
  </si>
  <si>
    <t>Planning application reference:</t>
  </si>
  <si>
    <t>Assessor:</t>
  </si>
  <si>
    <t>Reviewer:</t>
  </si>
  <si>
    <t>Metric version:</t>
  </si>
  <si>
    <t>Assessment date:</t>
  </si>
  <si>
    <t>Planning authority reviewer:</t>
  </si>
  <si>
    <t>Cell style conventions</t>
  </si>
  <si>
    <t>Enter data</t>
  </si>
  <si>
    <t>Automatic lookup</t>
  </si>
  <si>
    <t>Result</t>
  </si>
  <si>
    <t>Urban tree helper</t>
  </si>
  <si>
    <t>Tree size</t>
  </si>
  <si>
    <t>Number of trees and area (ha) for each condition state</t>
  </si>
  <si>
    <t xml:space="preserve">Poor </t>
  </si>
  <si>
    <t>Area</t>
  </si>
  <si>
    <t>Moderate</t>
  </si>
  <si>
    <t>Good</t>
  </si>
  <si>
    <t>Small</t>
  </si>
  <si>
    <t>Medium</t>
  </si>
  <si>
    <t>Large</t>
  </si>
  <si>
    <t>Total</t>
  </si>
  <si>
    <t>On-site baseline</t>
  </si>
  <si>
    <t>Habitat units</t>
  </si>
  <si>
    <t>Hedgerow units</t>
  </si>
  <si>
    <t>River units</t>
  </si>
  <si>
    <r>
      <t xml:space="preserve">On-site post-intervention
</t>
    </r>
    <r>
      <rPr>
        <sz val="12"/>
        <color theme="4"/>
        <rFont val="Rockwell Light"/>
        <family val="1"/>
      </rPr>
      <t>(Including habitat retention, creation &amp; enhancement)</t>
    </r>
  </si>
  <si>
    <r>
      <t xml:space="preserve">On-site net % change
</t>
    </r>
    <r>
      <rPr>
        <sz val="12"/>
        <color theme="4"/>
        <rFont val="Rockwell Light"/>
        <family val="1"/>
      </rPr>
      <t>(Including habitat retention, creation &amp; enhancement)</t>
    </r>
  </si>
  <si>
    <t>Off-site baseline</t>
  </si>
  <si>
    <r>
      <t xml:space="preserve">Off-site post-intervention
</t>
    </r>
    <r>
      <rPr>
        <sz val="12"/>
        <color theme="4"/>
        <rFont val="Rockwell Light"/>
        <family val="1"/>
      </rPr>
      <t>(Including habitat retention, creation &amp; enhancement)</t>
    </r>
  </si>
  <si>
    <r>
      <t xml:space="preserve">Total net unit change
</t>
    </r>
    <r>
      <rPr>
        <sz val="12"/>
        <color theme="4"/>
        <rFont val="Rockwell Light"/>
        <family val="1"/>
      </rPr>
      <t>(including all on-site &amp; off-site habitat retention, creation &amp; enhancement)</t>
    </r>
  </si>
  <si>
    <r>
      <t xml:space="preserve">Total on-site net % change plus off-site surplus
</t>
    </r>
    <r>
      <rPr>
        <sz val="12"/>
        <color theme="4"/>
        <rFont val="Rockwell Light"/>
        <family val="1"/>
      </rPr>
      <t>(including all on-site &amp; off-site habitat retention, creation &amp; enhancement)</t>
    </r>
  </si>
  <si>
    <t>Trading rules Satisfied?</t>
  </si>
  <si>
    <t>Summary Figures</t>
  </si>
  <si>
    <r>
      <t xml:space="preserve">Net project biodiversity units
</t>
    </r>
    <r>
      <rPr>
        <sz val="14"/>
        <color theme="4"/>
        <rFont val="Rockwell Light"/>
        <family val="1"/>
      </rPr>
      <t>(including all on-site &amp; off-site habitat retention/creation)</t>
    </r>
  </si>
  <si>
    <r>
      <t xml:space="preserve">Total project biodiversity % change
</t>
    </r>
    <r>
      <rPr>
        <sz val="12"/>
        <color theme="4"/>
        <rFont val="Rockwell Light"/>
        <family val="1"/>
      </rPr>
      <t>(including all On-site &amp; Off-site Habitat Creation + Retained Habitats)</t>
    </r>
  </si>
  <si>
    <t>Combined habitat retention and enhancement</t>
  </si>
  <si>
    <t>Habitats</t>
  </si>
  <si>
    <t>Hedgerows</t>
  </si>
  <si>
    <t>Rivers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</si>
  <si>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</si>
  <si>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</si>
  <si>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</si>
  <si>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</si>
  <si>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</si>
  <si>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</si>
  <si>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</si>
  <si>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</si>
  <si>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</si>
  <si>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Area habitats</t>
  </si>
  <si>
    <t>On site change by broad habitat type</t>
  </si>
  <si>
    <t>Combined area lost by distinctiveness band</t>
  </si>
  <si>
    <t>Baseline</t>
  </si>
  <si>
    <t>Post development on site</t>
  </si>
  <si>
    <t>Onsite Change</t>
  </si>
  <si>
    <t>Habitat group</t>
  </si>
  <si>
    <t>Existing area</t>
  </si>
  <si>
    <t>Existing value</t>
  </si>
  <si>
    <t>Proposed area</t>
  </si>
  <si>
    <t>Proposed value</t>
  </si>
  <si>
    <t>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</si>
  <si>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</si>
  <si>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</si>
  <si>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</si>
  <si>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</si>
  <si>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</si>
  <si>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</si>
  <si>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</si>
  <si>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</si>
  <si>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</si>
  <si>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</si>
  <si>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</si>
  <si>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</si>
  <si>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</si>
  <si>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</si>
  <si>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</si>
  <si>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</si>
  <si>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</si>
  <si>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Off site change by broad habitat type</t>
  </si>
  <si>
    <t>Post development Off-site</t>
  </si>
  <si>
    <t>Off-site Change</t>
  </si>
  <si>
    <t>Off-site Existing value</t>
  </si>
  <si>
    <t>Off-site proposed area</t>
  </si>
  <si>
    <t>Off site Proposed value</t>
  </si>
  <si>
    <t>Off-site area change</t>
  </si>
  <si>
    <t>Off-site unit change</t>
  </si>
  <si>
    <t>Combined on site and off site change by broad habitat type</t>
  </si>
  <si>
    <t>On-site and Off-site post development</t>
  </si>
  <si>
    <t>Combined change</t>
  </si>
  <si>
    <t>Combined proposed area</t>
  </si>
  <si>
    <t>Combined proposed value</t>
  </si>
  <si>
    <t>Hedgerows and Lines of Trees                                                                                Hedgerows and Lines of Trees                                                                                 Hedgerows and Lines of Trees</t>
  </si>
  <si>
    <t>Hedgerows and lines of trees</t>
  </si>
  <si>
    <t>On site change by hedgerow type</t>
  </si>
  <si>
    <t>Combined length lost by distinctiveness band</t>
  </si>
  <si>
    <t>Hedgerow type</t>
  </si>
  <si>
    <t>Existing length on-site</t>
  </si>
  <si>
    <t>Proposed length on-site</t>
  </si>
  <si>
    <t>Proposed value on-site</t>
  </si>
  <si>
    <t>On-site length change</t>
  </si>
  <si>
    <t>On-site Unit change</t>
  </si>
  <si>
    <t>Length lost (KM)</t>
  </si>
  <si>
    <t>Length lost (%)</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</si>
  <si>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</si>
  <si>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</si>
  <si>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</si>
  <si>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</si>
  <si>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</si>
  <si>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</si>
  <si>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</si>
  <si>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</si>
  <si>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</si>
  <si>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</si>
  <si>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</si>
  <si>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</si>
  <si>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</si>
  <si>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Off site change by hedgerow type</t>
  </si>
  <si>
    <t>Off site baseline</t>
  </si>
  <si>
    <t>Post development off site</t>
  </si>
  <si>
    <t>Off site Change</t>
  </si>
  <si>
    <t>Existing length off-site</t>
  </si>
  <si>
    <t>Existing value off-site</t>
  </si>
  <si>
    <t>Proposed length off-site</t>
  </si>
  <si>
    <t>Proposed value off-site</t>
  </si>
  <si>
    <t>Off-site length change</t>
  </si>
  <si>
    <t>Off site Unit change</t>
  </si>
  <si>
    <t>Line of Trees  - Associated with bank or ditch</t>
  </si>
  <si>
    <t>Combined on and off site change by hedgerow type</t>
  </si>
  <si>
    <t>Existing length</t>
  </si>
  <si>
    <t>Proposed length</t>
  </si>
  <si>
    <t>length change</t>
  </si>
  <si>
    <t>Rivers and Streams                                                                         Rivers and Streams                                                                                        Rivers and Streams</t>
  </si>
  <si>
    <t>Rivers and Streams</t>
  </si>
  <si>
    <t>On site change by river type</t>
  </si>
  <si>
    <t>River type</t>
  </si>
  <si>
    <t>Priority Habitat</t>
  </si>
  <si>
    <t>Other Rivers and Streams</t>
  </si>
  <si>
    <t>Ditches</t>
  </si>
  <si>
    <t>Canals</t>
  </si>
  <si>
    <t>Culvert</t>
  </si>
  <si>
    <t>Off site change by river type</t>
  </si>
  <si>
    <t>Post development off-site</t>
  </si>
  <si>
    <t>Combined on and off site change by river type</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</si>
  <si>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</si>
  <si>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</si>
  <si>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</si>
  <si>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</si>
  <si>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</si>
  <si>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</si>
  <si>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</si>
  <si>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</si>
  <si>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</si>
  <si>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</si>
  <si>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</si>
  <si>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</si>
  <si>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</si>
  <si>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</si>
  <si>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 Site  Unit Change</t>
  </si>
  <si>
    <t>Off Site Unit Change</t>
  </si>
  <si>
    <t xml:space="preserve">Project wide Unit Change </t>
  </si>
  <si>
    <t>Unit Losses</t>
  </si>
  <si>
    <t>Very High Distinctiveness Units available to offset lower distinctiveness defecit</t>
  </si>
  <si>
    <t>High Distinctiveness</t>
  </si>
  <si>
    <t>High Distinctiveness Summary</t>
  </si>
  <si>
    <t xml:space="preserve">Losses not yet accounted for </t>
  </si>
  <si>
    <t>High Distinctiveness Units available to offset lower distinctiveness defecit</t>
  </si>
  <si>
    <t>Unit Defecit; Like for like not satisfied</t>
  </si>
  <si>
    <t>Medium Distinctiveness</t>
  </si>
  <si>
    <t>Medium Distinctiveness Summary</t>
  </si>
  <si>
    <t>Habitat Group</t>
  </si>
  <si>
    <t>On site unit change</t>
  </si>
  <si>
    <t>Off Site unit Change</t>
  </si>
  <si>
    <t xml:space="preserve">Project wide unit change </t>
  </si>
  <si>
    <t>Cumulative Broad Habitat Change</t>
  </si>
  <si>
    <t>Medium Distinctiveness Units available to offset lower distinctiveness defecit</t>
  </si>
  <si>
    <t>Medium Distinctiveness Broad Habitat Deficit to be offset by trading up</t>
  </si>
  <si>
    <t>Higher distinctiveness surplus units minus Medium Distinctivenss Broad Habitat Defecit</t>
  </si>
  <si>
    <t>Cumulative surplus of units</t>
  </si>
  <si>
    <t>Low Distinctiveness</t>
  </si>
  <si>
    <t>On site  unit change</t>
  </si>
  <si>
    <t>Low Distinctiveness Summary</t>
  </si>
  <si>
    <t>Low Distinctiveness Net Change in Units</t>
  </si>
  <si>
    <t>HIDDEN - NOT SHOWN BY BUTTON</t>
  </si>
  <si>
    <t>Hide</t>
  </si>
  <si>
    <t>Habitats and areas</t>
  </si>
  <si>
    <t>Distinctiveness</t>
  </si>
  <si>
    <t xml:space="preserve">Condition </t>
  </si>
  <si>
    <t>Strategic significance</t>
  </si>
  <si>
    <t>Suggested action to address habitat losses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</si>
  <si>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</si>
  <si>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</si>
  <si>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</si>
  <si>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</si>
  <si>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</si>
  <si>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</si>
  <si>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</si>
  <si>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</si>
  <si>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</si>
  <si>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</si>
  <si>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</si>
  <si>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</si>
  <si>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</si>
  <si>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</si>
  <si>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</si>
  <si>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</si>
  <si>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</si>
  <si>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</si>
  <si>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</si>
  <si>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</si>
  <si>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</si>
  <si>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</si>
  <si>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Assessor comments</t>
  </si>
  <si>
    <t>Reviewer comments</t>
  </si>
  <si>
    <t>Area of Unacceptable Losses</t>
  </si>
  <si>
    <t>Units Unacceptable Losses</t>
  </si>
  <si>
    <t>Retained</t>
  </si>
  <si>
    <t>Enhanced</t>
  </si>
  <si>
    <t>Succession</t>
  </si>
  <si>
    <t>line number</t>
  </si>
  <si>
    <t xml:space="preserve">Total habitat area </t>
  </si>
  <si>
    <t>Total area lost (excluding area of Urban trees and Green walls)</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</si>
  <si>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</si>
  <si>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</si>
  <si>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</si>
  <si>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</si>
  <si>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</si>
  <si>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</si>
  <si>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</si>
  <si>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condition/years</t>
  </si>
  <si>
    <t xml:space="preserve">Habitat created in advance/years </t>
  </si>
  <si>
    <t>Delay in starting habitat creation/years</t>
  </si>
  <si>
    <t>Standard or adjusted time to target condition</t>
  </si>
  <si>
    <t>Final time to target condition/years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</si>
  <si>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</si>
  <si>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</si>
  <si>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</si>
  <si>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</si>
  <si>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</si>
  <si>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</si>
  <si>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</si>
  <si>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</si>
  <si>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</si>
  <si>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Site Area (Excluding area of Urban trees and Green walls)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</si>
  <si>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</si>
  <si>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</si>
  <si>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</si>
  <si>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</si>
  <si>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</si>
  <si>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</si>
  <si>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</si>
  <si>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</si>
  <si>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</si>
  <si>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</si>
  <si>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</si>
  <si>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</si>
  <si>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</si>
  <si>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</si>
  <si>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</si>
  <si>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</si>
  <si>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</si>
  <si>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</si>
  <si>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</si>
  <si>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</si>
  <si>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</si>
  <si>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advance/years </t>
  </si>
  <si>
    <t>Delay in starting habitat enhancement/years</t>
  </si>
  <si>
    <t>Standard difficulty of enhancement</t>
  </si>
  <si>
    <t>Final difficulty of enhancement</t>
  </si>
  <si>
    <t>Habitat distinctiveness</t>
  </si>
  <si>
    <t>Habitat condition</t>
  </si>
  <si>
    <t>Broad habitat</t>
  </si>
  <si>
    <t>Habitat type</t>
  </si>
  <si>
    <t>Area lost</t>
  </si>
  <si>
    <t>Units unacceptable Losses</t>
  </si>
  <si>
    <t>Total site area ha</t>
  </si>
  <si>
    <t>Total Site baseline</t>
  </si>
  <si>
    <t>Spatial risk multiplier</t>
  </si>
  <si>
    <t>Conditional Data Validation</t>
  </si>
  <si>
    <t>Applied difficullty multiplier</t>
  </si>
  <si>
    <t>Spatial risk category</t>
  </si>
  <si>
    <t>Total Length</t>
  </si>
  <si>
    <t>take account of trading</t>
  </si>
  <si>
    <t>Proposed Habitat (Pre-Populated but can be overridden)</t>
  </si>
  <si>
    <t>Area ha</t>
  </si>
  <si>
    <t>Proposed Habitat</t>
  </si>
  <si>
    <t>Proposed habitat    (Pre-Populated but can be overridden)</t>
  </si>
  <si>
    <t>Difficulty of enhancement category</t>
  </si>
  <si>
    <t>Difficulty</t>
  </si>
  <si>
    <t>UK Habitats - existing habitats</t>
  </si>
  <si>
    <t>Hedge number</t>
  </si>
  <si>
    <t>Length (km)</t>
  </si>
  <si>
    <t>Total hedgerow units</t>
  </si>
  <si>
    <t>Length retained</t>
  </si>
  <si>
    <t>Length enhanced</t>
  </si>
  <si>
    <t>Units retained</t>
  </si>
  <si>
    <t>Units enhanced</t>
  </si>
  <si>
    <t>Length lost</t>
  </si>
  <si>
    <t>Proposed habitats</t>
  </si>
  <si>
    <t>Hedge units delivered</t>
  </si>
  <si>
    <t>New hedge number</t>
  </si>
  <si>
    <t>Standard Time to target condition/years</t>
  </si>
  <si>
    <t>Applied  difficullty multiplier</t>
  </si>
  <si>
    <t>Baseline Habitats</t>
  </si>
  <si>
    <t>Proposed (Pre-populated but can be overridden)</t>
  </si>
  <si>
    <t>Change in distincitiveness and condition</t>
  </si>
  <si>
    <t>Suggested action</t>
  </si>
  <si>
    <t xml:space="preserve"> Distinctiveness movement</t>
  </si>
  <si>
    <t>Condition movement</t>
  </si>
  <si>
    <t>Final Time to target multiplier</t>
  </si>
  <si>
    <t xml:space="preserve">Standard difficulty of enhancement </t>
  </si>
  <si>
    <t xml:space="preserve">Final difficulty of enhancement </t>
  </si>
  <si>
    <t>Existing hedgerow habitats</t>
  </si>
  <si>
    <t>Length KM</t>
  </si>
  <si>
    <t>Post development/ post intervention habitats</t>
  </si>
  <si>
    <t>Existing river type</t>
  </si>
  <si>
    <t>Watercourse encroachment</t>
  </si>
  <si>
    <t>Riparian encroachment</t>
  </si>
  <si>
    <t>Strategic significance multiplier</t>
  </si>
  <si>
    <t>Extent of encroachment</t>
  </si>
  <si>
    <t>Multiplier</t>
  </si>
  <si>
    <t>Total river units</t>
  </si>
  <si>
    <t>Length Lost</t>
  </si>
  <si>
    <t>Units Lost</t>
  </si>
  <si>
    <t>Assessor Comments</t>
  </si>
  <si>
    <t>Length match</t>
  </si>
  <si>
    <t>River units delivered</t>
  </si>
  <si>
    <t xml:space="preserve">Applied difficullty multiplier </t>
  </si>
  <si>
    <t>Proposed River Type
(Pre-populated can be overridden)</t>
  </si>
  <si>
    <t>Baseline strategic significance Score</t>
  </si>
  <si>
    <t>Total units</t>
  </si>
  <si>
    <t>length (km)</t>
  </si>
  <si>
    <t>Length Match</t>
  </si>
  <si>
    <t xml:space="preserve">Habitat condition </t>
  </si>
  <si>
    <t>Length km</t>
  </si>
  <si>
    <t>Final time to target Multiplier</t>
  </si>
  <si>
    <t>Offset location</t>
  </si>
  <si>
    <t>`</t>
  </si>
  <si>
    <t>Proposed  habitat                                                                                             (Pre-Populated but can be overridden)</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</si>
  <si>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</si>
  <si>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</si>
  <si>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</si>
  <si>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</si>
  <si>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</si>
  <si>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</si>
  <si>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</si>
  <si>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</si>
  <si>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</si>
  <si>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</si>
  <si>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</si>
  <si>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</si>
  <si>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</si>
  <si>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</si>
  <si>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</si>
  <si>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</si>
  <si>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</si>
  <si>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</si>
  <si>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</si>
  <si>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</si>
  <si>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</si>
  <si>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</si>
  <si>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</si>
  <si>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</si>
  <si>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</si>
  <si>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</si>
  <si>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</si>
  <si>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</si>
  <si>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</si>
  <si>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</si>
  <si>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</si>
  <si>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</si>
  <si>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</si>
  <si>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</si>
  <si>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</si>
  <si>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Yes</t>
  </si>
  <si>
    <t>Arable field margins game bird mix</t>
  </si>
  <si>
    <t>Cropland - Arable field margins game bird mix</t>
  </si>
  <si>
    <t>c1a8</t>
  </si>
  <si>
    <t>Same habitat required =</t>
  </si>
  <si>
    <t>Fairly Good</t>
  </si>
  <si>
    <t>No</t>
  </si>
  <si>
    <t>Arable field margins pollen &amp; nectar</t>
  </si>
  <si>
    <t>Cropland - Arable field margins pollen &amp;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</si>
  <si>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</si>
  <si>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</si>
  <si>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</si>
  <si>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</si>
  <si>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</si>
  <si>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</si>
  <si>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</si>
  <si>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</si>
  <si>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</si>
  <si>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</si>
  <si>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</si>
  <si>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</si>
  <si>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</si>
  <si>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</si>
  <si>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Cereal crops winter stubble</t>
  </si>
  <si>
    <t>Cropland - Cereal crops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</si>
  <si>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</si>
  <si>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</si>
  <si>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</si>
  <si>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</si>
  <si>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</si>
  <si>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</si>
  <si>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</si>
  <si>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</si>
  <si>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</si>
  <si>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</si>
  <si>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</si>
  <si>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</si>
  <si>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</si>
  <si>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</si>
  <si>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</si>
  <si>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</si>
  <si>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</si>
  <si>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</si>
  <si>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</si>
  <si>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</si>
  <si>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</si>
  <si>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</si>
  <si>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</si>
  <si>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</si>
  <si>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</si>
  <si>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</si>
  <si>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(CFGM)</t>
  </si>
  <si>
    <t>Grassland - Floodplain Wetland Mosaic (CFGM)</t>
  </si>
  <si>
    <t>NE0011</t>
  </si>
  <si>
    <t>Floodplain Wetland Mosaic</t>
  </si>
  <si>
    <t>Intertidal_hard_structures</t>
  </si>
  <si>
    <t>Lowland calcareous grassland</t>
  </si>
  <si>
    <t>Grassland - Lowland calcareous grassland</t>
  </si>
  <si>
    <t>g2a</t>
  </si>
  <si>
    <t>g2</t>
  </si>
  <si>
    <t>Calcareous grassland</t>
  </si>
  <si>
    <t>Lowland dry acid grassland</t>
  </si>
  <si>
    <t>Grassland - Lowland dry acid grassland</t>
  </si>
  <si>
    <t>g1a</t>
  </si>
  <si>
    <t>g</t>
  </si>
  <si>
    <t>g1</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</si>
  <si>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</si>
  <si>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</si>
  <si>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</si>
  <si>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</si>
  <si>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</si>
  <si>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</si>
  <si>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</si>
  <si>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</si>
  <si>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</si>
  <si>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</si>
  <si>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</si>
  <si>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</si>
  <si>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</si>
  <si>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</si>
  <si>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</si>
  <si>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t>
  </si>
  <si>
    <t>Grassland - Tall herb communities (H6430)</t>
  </si>
  <si>
    <t>s1a9</t>
  </si>
  <si>
    <t>g5</t>
  </si>
  <si>
    <t>Other grassland</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</si>
  <si>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</si>
  <si>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</si>
  <si>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</si>
  <si>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</si>
  <si>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</si>
  <si>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</si>
  <si>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</si>
  <si>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</si>
  <si>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</si>
  <si>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</si>
  <si>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</si>
  <si>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</si>
  <si>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</si>
  <si>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</si>
  <si>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</si>
  <si>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</si>
  <si>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</si>
  <si>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</si>
  <si>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</si>
  <si>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</si>
  <si>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</si>
  <si>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</si>
  <si>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</si>
  <si>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</si>
  <si>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</si>
  <si>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</si>
  <si>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</si>
  <si>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</si>
  <si>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</si>
  <si>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</si>
  <si>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</si>
  <si>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</si>
  <si>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</si>
  <si>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</si>
  <si>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</si>
  <si>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</si>
  <si>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</si>
  <si>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</si>
  <si>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</si>
  <si>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</si>
  <si>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</si>
  <si>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</si>
  <si>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Sea buckthorn scrub (Annex 1)</t>
  </si>
  <si>
    <t>Heathland and shrub - Sea buckthorn scrub (Annex 1)</t>
  </si>
  <si>
    <t>h3c5</t>
  </si>
  <si>
    <t>h3c</t>
  </si>
  <si>
    <t>Sea buckthorn scrub</t>
  </si>
  <si>
    <t>Sea buckthorn scrub (other)</t>
  </si>
  <si>
    <t>Heathland and shrub - Sea buckthorn scrub (other)</t>
  </si>
  <si>
    <t>h3c6</t>
  </si>
  <si>
    <t>Other Sea buckthorn scrub</t>
  </si>
  <si>
    <t>Upland Heathland</t>
  </si>
  <si>
    <t>Heathland and shrub - Upland Heathland</t>
  </si>
  <si>
    <t>h1b</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</si>
  <si>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</si>
  <si>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</si>
  <si>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</si>
  <si>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</si>
  <si>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</si>
  <si>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</si>
  <si>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</si>
  <si>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</si>
  <si>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</si>
  <si>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</si>
  <si>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</si>
  <si>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</si>
  <si>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</si>
  <si>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</si>
  <si>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</si>
  <si>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</si>
  <si>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</si>
  <si>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</si>
  <si>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</si>
  <si>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</si>
  <si>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</si>
  <si>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</si>
  <si>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</si>
  <si>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</si>
  <si>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</si>
  <si>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</si>
  <si>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 Priority Habitat)</t>
  </si>
  <si>
    <t>Lakes - Ponds (Non- Priority Habitat)</t>
  </si>
  <si>
    <t>NE0012</t>
  </si>
  <si>
    <t>r1b</t>
  </si>
  <si>
    <t>Reservoirs</t>
  </si>
  <si>
    <t>Lakes - Reservoirs</t>
  </si>
  <si>
    <t>Temporary lakes, ponds and pools</t>
  </si>
  <si>
    <t>Lakes - Temporary lakes, ponds and pools</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</si>
  <si>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</si>
  <si>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</si>
  <si>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</si>
  <si>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</si>
  <si>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</si>
  <si>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</si>
  <si>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</si>
  <si>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</si>
  <si>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</si>
  <si>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</si>
  <si>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</si>
  <si>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</si>
  <si>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</si>
  <si>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</si>
  <si>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</si>
  <si>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</si>
  <si>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</si>
  <si>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</si>
  <si>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</si>
  <si>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</si>
  <si>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</si>
  <si>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</si>
  <si>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</si>
  <si>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</si>
  <si>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</si>
  <si>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</si>
  <si>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</si>
  <si>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</si>
  <si>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</si>
  <si>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</si>
  <si>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</si>
  <si>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</si>
  <si>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</si>
  <si>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</si>
  <si>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</si>
  <si>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</si>
  <si>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</si>
  <si>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</si>
  <si>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</si>
  <si>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</si>
  <si>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</si>
  <si>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</si>
  <si>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</si>
  <si>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</si>
  <si>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</si>
  <si>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</si>
  <si>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</si>
  <si>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</si>
  <si>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</si>
  <si>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</si>
  <si>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</si>
  <si>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</si>
  <si>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</si>
  <si>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</si>
  <si>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</si>
  <si>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</si>
  <si>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</si>
  <si>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</si>
  <si>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</si>
  <si>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</si>
  <si>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</si>
  <si>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</si>
  <si>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</si>
  <si>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</si>
  <si>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</si>
  <si>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</si>
  <si>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</si>
  <si>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</si>
  <si>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</si>
  <si>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</si>
  <si>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</si>
  <si>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Rain garden</t>
  </si>
  <si>
    <t>Urban - Rain garden</t>
  </si>
  <si>
    <t>Actively worked sand pit quarry or open cast mine</t>
  </si>
  <si>
    <t>Urban - Actively worked sand pit quarry or open cast mine</t>
  </si>
  <si>
    <t>Sand pit quarry or open cast mine</t>
  </si>
  <si>
    <t>Urban Tree</t>
  </si>
  <si>
    <t>Urban - Urban Tree</t>
  </si>
  <si>
    <t>NE0014</t>
  </si>
  <si>
    <t>Street Tree</t>
  </si>
  <si>
    <t>Sustainable urban drainage feature</t>
  </si>
  <si>
    <t>Urban - Sustainable urban drainage feature</t>
  </si>
  <si>
    <t>Un-vegetated garden</t>
  </si>
  <si>
    <t>Urban - Un-vegetated garden</t>
  </si>
  <si>
    <t>Vacant/derelict land/ bareground</t>
  </si>
  <si>
    <t>Urban - Vacant/derelict land/ bareground</t>
  </si>
  <si>
    <t>justify why not omh</t>
  </si>
  <si>
    <t>Vegetated garden</t>
  </si>
  <si>
    <t>Urban - Vegetated garden</t>
  </si>
  <si>
    <t>Blanket bog</t>
  </si>
  <si>
    <t>Wetland - Blanket bog</t>
  </si>
  <si>
    <t>f1a</t>
  </si>
  <si>
    <t>Bog</t>
  </si>
  <si>
    <t>Depressions on Peat substrates (H7150)</t>
  </si>
  <si>
    <t>Wetland - Depressions on Peat substrates (H7150)</t>
  </si>
  <si>
    <t>f</t>
  </si>
  <si>
    <t>f1</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</si>
  <si>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</si>
  <si>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</si>
  <si>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</si>
  <si>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</si>
  <si>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</si>
  <si>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</si>
  <si>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</si>
  <si>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</si>
  <si>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</si>
  <si>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</si>
  <si>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</si>
  <si>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</si>
  <si>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</si>
  <si>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</si>
  <si>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</si>
  <si>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</si>
  <si>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</si>
  <si>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</si>
  <si>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</si>
  <si>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</si>
  <si>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</si>
  <si>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</si>
  <si>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</si>
  <si>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</si>
  <si>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</si>
  <si>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</si>
  <si>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</si>
  <si>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</si>
  <si>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</si>
  <si>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</si>
  <si>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</si>
  <si>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</si>
  <si>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</si>
  <si>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</si>
  <si>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</si>
  <si>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</si>
  <si>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</si>
  <si>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</si>
  <si>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</si>
  <si>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</si>
  <si>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</si>
  <si>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</si>
  <si>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</si>
  <si>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</si>
  <si>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</si>
  <si>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</si>
  <si>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</si>
  <si>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</si>
  <si>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</si>
  <si>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</si>
  <si>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</si>
  <si>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</si>
  <si>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</si>
  <si>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</si>
  <si>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</si>
  <si>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</si>
  <si>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</si>
  <si>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</si>
  <si>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</si>
  <si>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</si>
  <si>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</si>
  <si>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</si>
  <si>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</si>
  <si>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</si>
  <si>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</si>
  <si>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</si>
  <si>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</si>
  <si>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</si>
  <si>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</si>
  <si>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</si>
  <si>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</si>
  <si>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</si>
  <si>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</si>
  <si>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</si>
  <si>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</si>
  <si>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</si>
  <si>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</si>
  <si>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</si>
  <si>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</si>
  <si>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</si>
  <si>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</si>
  <si>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</si>
  <si>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</si>
  <si>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</si>
  <si>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</si>
  <si>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</si>
  <si>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</si>
  <si>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</si>
  <si>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</si>
  <si>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</si>
  <si>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</si>
  <si>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</si>
  <si>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</si>
  <si>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</si>
  <si>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</si>
  <si>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</si>
  <si>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</si>
  <si>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</si>
  <si>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</si>
  <si>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</si>
  <si>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</si>
  <si>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</si>
  <si>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</si>
  <si>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</si>
  <si>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</si>
  <si>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</si>
  <si>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</si>
  <si>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</si>
  <si>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</si>
  <si>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</si>
  <si>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</si>
  <si>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</si>
  <si>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</si>
  <si>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</si>
  <si>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</si>
  <si>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</si>
  <si>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Intertidal sediment - 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</si>
  <si>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</si>
  <si>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</si>
  <si>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</si>
  <si>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</si>
  <si>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</si>
  <si>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</si>
  <si>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</si>
  <si>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</si>
  <si>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</si>
  <si>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</si>
  <si>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</si>
  <si>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</si>
  <si>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</si>
  <si>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</si>
  <si>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</si>
  <si>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</si>
  <si>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</si>
  <si>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</si>
  <si>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</si>
  <si>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</si>
  <si>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</si>
  <si>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</si>
  <si>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</si>
  <si>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</si>
  <si>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</si>
  <si>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</si>
  <si>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</si>
  <si>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</si>
  <si>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</si>
  <si>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</si>
  <si>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</si>
  <si>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</si>
  <si>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</si>
  <si>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</si>
  <si>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</si>
  <si>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</si>
  <si>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</si>
  <si>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</si>
  <si>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</si>
  <si>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</si>
  <si>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</si>
  <si>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</si>
  <si>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</si>
  <si>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</si>
  <si>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</si>
  <si>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</si>
  <si>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</si>
  <si>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</si>
  <si>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</si>
  <si>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</si>
  <si>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</si>
  <si>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</si>
  <si>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All Habitats</t>
  </si>
  <si>
    <t>Group Sub-totals</t>
  </si>
  <si>
    <t>Distcinctivness Band Sub-totals</t>
  </si>
  <si>
    <t>Habitat Description</t>
  </si>
  <si>
    <t>Trading Notes</t>
  </si>
  <si>
    <t>Existing area baseline on site</t>
  </si>
  <si>
    <t>Existing units baseline on site</t>
  </si>
  <si>
    <t>Existing area retained on site</t>
  </si>
  <si>
    <t>Existing units retained on site</t>
  </si>
  <si>
    <t>Existing area Lost  on site</t>
  </si>
  <si>
    <t>Existing units lost  baseline on site</t>
  </si>
  <si>
    <t>Proposed area creation on site post development</t>
  </si>
  <si>
    <t>Proposed units creation onsite post development</t>
  </si>
  <si>
    <t>Proposed area enhancement on site post development</t>
  </si>
  <si>
    <t>Proposed units enhancement onsite post development</t>
  </si>
  <si>
    <t>Total proposed area on site post development</t>
  </si>
  <si>
    <t>Total proposed units on site post development</t>
  </si>
  <si>
    <t>Net area change</t>
  </si>
  <si>
    <t>Net unit change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</si>
  <si>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</si>
  <si>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</si>
  <si>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</si>
  <si>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</si>
  <si>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</si>
  <si>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</si>
  <si>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</si>
  <si>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</si>
  <si>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</si>
  <si>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</si>
  <si>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</si>
  <si>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</si>
  <si>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</si>
  <si>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</si>
  <si>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 Site Habitat Group</t>
  </si>
  <si>
    <t>Existing Area</t>
  </si>
  <si>
    <t>Existing Value</t>
  </si>
  <si>
    <t>Proposed Area On Site</t>
  </si>
  <si>
    <t>Proposed Value On Site</t>
  </si>
  <si>
    <t>On Site Area Change</t>
  </si>
  <si>
    <t>Existing Value Lost</t>
  </si>
  <si>
    <t>Proposed Area Off Site</t>
  </si>
  <si>
    <t>Offsite Unit Change</t>
  </si>
  <si>
    <t>unit change including offsite</t>
  </si>
  <si>
    <t>units required offsite</t>
  </si>
  <si>
    <t>area lost</t>
  </si>
  <si>
    <t>Off Site Habitat Group</t>
  </si>
  <si>
    <t>Proposed Value Off Site</t>
  </si>
  <si>
    <t>Off Site Area Change</t>
  </si>
  <si>
    <t>Off Site  Unit Change</t>
  </si>
  <si>
    <t>Rocky shore</t>
  </si>
  <si>
    <t>Coastal Saltmarsh</t>
  </si>
  <si>
    <t>units required offsite Or trading up</t>
  </si>
  <si>
    <t xml:space="preserve">Intertidal </t>
  </si>
  <si>
    <t xml:space="preserve">Hedgerow type </t>
  </si>
  <si>
    <t>Distinctivness</t>
  </si>
  <si>
    <t>Existing length baseline on site</t>
  </si>
  <si>
    <t>Existing length retained on site</t>
  </si>
  <si>
    <t>Existing Units retained on site</t>
  </si>
  <si>
    <t>Existing length lost  on site</t>
  </si>
  <si>
    <t>Proposed length creation on site post development</t>
  </si>
  <si>
    <t>Proposed length enhancement on site post development</t>
  </si>
  <si>
    <t>Total proposed length on site post development</t>
  </si>
  <si>
    <t>Total proposed units onsite post development</t>
  </si>
  <si>
    <t>Net length change</t>
  </si>
  <si>
    <t>Existing length off site</t>
  </si>
  <si>
    <t>Existing units offsite</t>
  </si>
  <si>
    <t>Retained length offsite</t>
  </si>
  <si>
    <t>Retained units offsite</t>
  </si>
  <si>
    <t xml:space="preserve">Proposed length creation off site </t>
  </si>
  <si>
    <t xml:space="preserve">Proposed units creation off site </t>
  </si>
  <si>
    <t xml:space="preserve">Proposed length enhancement off site </t>
  </si>
  <si>
    <t xml:space="preserve">Proposed units Enhancement offsite </t>
  </si>
  <si>
    <t xml:space="preserve">Total proposed length off site </t>
  </si>
  <si>
    <t xml:space="preserve">Total proposed units offsite </t>
  </si>
  <si>
    <t>Off Site net length change</t>
  </si>
  <si>
    <t>Off Site net unit change</t>
  </si>
  <si>
    <t>Overall length change</t>
  </si>
  <si>
    <t>Hedgerow</t>
  </si>
  <si>
    <t>Very Low</t>
  </si>
  <si>
    <t xml:space="preserve">River type </t>
  </si>
  <si>
    <t>Rivers &amp; streams</t>
  </si>
  <si>
    <t>Risk</t>
  </si>
  <si>
    <t>Spatial multipliers</t>
  </si>
  <si>
    <t>connectivity</t>
  </si>
  <si>
    <t>Strategic Significance</t>
  </si>
  <si>
    <t>category</t>
  </si>
  <si>
    <t>value</t>
  </si>
  <si>
    <t>Spatial risk</t>
  </si>
  <si>
    <t>Urban trees</t>
  </si>
  <si>
    <t>Description</t>
  </si>
  <si>
    <t>score</t>
  </si>
  <si>
    <t>strategic significance</t>
  </si>
  <si>
    <t>Diameter M</t>
  </si>
  <si>
    <t>RPA Radius M</t>
  </si>
  <si>
    <t>RPA ha</t>
  </si>
  <si>
    <t>Highly connected habitat</t>
  </si>
  <si>
    <t>Formally identified in local strategy</t>
  </si>
  <si>
    <t xml:space="preserve">High strategic significance </t>
  </si>
  <si>
    <t>Compensation inside LPA or NCA, or deemed to be sufficiently local, to site of biodiversity loss</t>
  </si>
  <si>
    <t>Moderately connected habitat</t>
  </si>
  <si>
    <t>Location ecologically desirable but not in local strategy</t>
  </si>
  <si>
    <t xml:space="preserve">Medium strategic significance </t>
  </si>
  <si>
    <r>
      <t xml:space="preserve">Compensation </t>
    </r>
    <r>
      <rPr>
        <u/>
        <sz val="11"/>
        <color theme="4"/>
        <rFont val="Rockwell Light"/>
        <family val="1"/>
      </rPr>
      <t>outside</t>
    </r>
    <r>
      <rPr>
        <sz val="11"/>
        <color theme="4"/>
        <rFont val="Rockwell Light"/>
        <family val="1"/>
      </rPr>
      <t xml:space="preserve"> LPA or NCA of impact site but in neighbouring LPA or NCA</t>
    </r>
  </si>
  <si>
    <t>Unconnected habitat</t>
  </si>
  <si>
    <t>Area/compensation not in local strategy/ no local strategy</t>
  </si>
  <si>
    <t>Low Strategic Significance</t>
  </si>
  <si>
    <r>
      <t xml:space="preserve">Compensation </t>
    </r>
    <r>
      <rPr>
        <u/>
        <sz val="11"/>
        <color theme="4"/>
        <rFont val="Rockwell Light"/>
        <family val="1"/>
      </rPr>
      <t>outside</t>
    </r>
    <r>
      <rPr>
        <sz val="11"/>
        <color theme="4"/>
        <rFont val="Rockwell Light"/>
        <family val="1"/>
      </rPr>
      <t xml:space="preserve"> LPA or NCA of impact site and beyond neighbouring LPA or NCA </t>
    </r>
  </si>
  <si>
    <t>N/A</t>
  </si>
  <si>
    <t>Assessment not required</t>
  </si>
  <si>
    <t xml:space="preserve"> Intertidal habitats - Compensation inside same Marine Plan Area, or deemed to be sufficiently local, to site of biodiversity loss</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</si>
  <si>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</si>
  <si>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</si>
  <si>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</si>
  <si>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</si>
  <si>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</si>
  <si>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</si>
  <si>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</si>
  <si>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</si>
  <si>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</si>
  <si>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</si>
  <si>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</si>
  <si>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</si>
  <si>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</si>
  <si>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</si>
  <si>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</si>
  <si>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</si>
  <si>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</si>
  <si>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</si>
  <si>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</si>
  <si>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</si>
  <si>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</si>
  <si>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</si>
  <si>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</si>
  <si>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</si>
  <si>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</si>
  <si>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</si>
  <si>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</si>
  <si>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</si>
  <si>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</si>
  <si>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</si>
  <si>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</si>
  <si>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</si>
  <si>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</si>
  <si>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</si>
  <si>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</si>
  <si>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</si>
  <si>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</si>
  <si>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</si>
  <si>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</si>
  <si>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Condition</t>
  </si>
  <si>
    <t>Enhancement through Distinctiveness</t>
  </si>
  <si>
    <t>Post Development Hedge Type</t>
  </si>
  <si>
    <t>Condition Groups</t>
  </si>
  <si>
    <t xml:space="preserve">Distinctivness Category </t>
  </si>
  <si>
    <t>Distinctivness Score</t>
  </si>
  <si>
    <t>Native Species Rich Hedgerow - associated with bank or ditch</t>
  </si>
  <si>
    <t>Native Hedgerow with trees - associated with bank or ditch</t>
  </si>
  <si>
    <t>Native Hedgerow - associated with bank or ditch</t>
  </si>
  <si>
    <t>Line of Trees (ecologically valuable)</t>
  </si>
  <si>
    <t>Line of Trees (ecologically valuable) - with bank or ditch</t>
  </si>
  <si>
    <t>Line of Trees - associated with bank or ditch</t>
  </si>
  <si>
    <t>Condition Category</t>
  </si>
  <si>
    <t>Condition Score</t>
  </si>
  <si>
    <t>Baseline Hedge Type</t>
  </si>
  <si>
    <t>Hedgecond1</t>
  </si>
  <si>
    <t>Hedgecond2</t>
  </si>
  <si>
    <t>Error</t>
  </si>
  <si>
    <t>Like for like</t>
  </si>
  <si>
    <t>V.High -  V.High</t>
  </si>
  <si>
    <t>Error Trading Down</t>
  </si>
  <si>
    <t>Like for like or better</t>
  </si>
  <si>
    <t>High - V.High</t>
  </si>
  <si>
    <t>High - High</t>
  </si>
  <si>
    <t>Medium - V.High</t>
  </si>
  <si>
    <t>Medium - High</t>
  </si>
  <si>
    <t>Medium - Medium</t>
  </si>
  <si>
    <t>Error - Enhancement not possible</t>
  </si>
  <si>
    <t>Same distinctiveness band or better</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</si>
  <si>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</si>
  <si>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</si>
  <si>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</si>
  <si>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</si>
  <si>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</si>
  <si>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</si>
  <si>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</si>
  <si>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</si>
  <si>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</si>
  <si>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</si>
  <si>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</si>
  <si>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</si>
  <si>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</si>
  <si>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</si>
  <si>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</si>
  <si>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</si>
  <si>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Encroachment into riparian zone</t>
  </si>
  <si>
    <t>Description of multiplier</t>
  </si>
  <si>
    <t>Strategic multiplier</t>
  </si>
  <si>
    <t>Distinctiveness Category</t>
  </si>
  <si>
    <t>Sugested Action</t>
  </si>
  <si>
    <t>Restore</t>
  </si>
  <si>
    <t>Baseline Condition</t>
  </si>
  <si>
    <t>No Encroachment</t>
  </si>
  <si>
    <t>Low potential/action not identified in any plan</t>
  </si>
  <si>
    <t xml:space="preserve">Within the same waterbody       </t>
  </si>
  <si>
    <t>Loss Unacceptable</t>
  </si>
  <si>
    <t>Minor</t>
  </si>
  <si>
    <t>Delivery within Local Plans</t>
  </si>
  <si>
    <t>Within Local Plans</t>
  </si>
  <si>
    <t>Outside waterbody but within catchment</t>
  </si>
  <si>
    <t>Avoid</t>
  </si>
  <si>
    <t>Major</t>
  </si>
  <si>
    <t>Delivery within River Basin Management Plan</t>
  </si>
  <si>
    <t>Within River Basin Management Plan</t>
  </si>
  <si>
    <t>Outside catchment</t>
  </si>
  <si>
    <t>Avoid, Mitigate or Compensate</t>
  </si>
  <si>
    <t>N/A - Culvert</t>
  </si>
  <si>
    <t>Delivery within Catchment Plans</t>
  </si>
  <si>
    <t>Within Catchment Plans</t>
  </si>
  <si>
    <t>Mitigate or Compensate</t>
  </si>
  <si>
    <t>Delivery within Catchment Planning System</t>
  </si>
  <si>
    <t>Within Catchment Planning System</t>
  </si>
  <si>
    <t>Delivery within Priority Habitats for Restoration</t>
  </si>
  <si>
    <t>Within Priority Habitats for Restoration</t>
  </si>
  <si>
    <t>Condition groups</t>
  </si>
  <si>
    <t>Cond1</t>
  </si>
  <si>
    <t>Cond2</t>
  </si>
  <si>
    <t>Cond3</t>
  </si>
  <si>
    <t>Cond4</t>
  </si>
  <si>
    <t>Cond5</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</si>
  <si>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</si>
  <si>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</si>
  <si>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</si>
  <si>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</si>
  <si>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</si>
  <si>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</si>
  <si>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</si>
  <si>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</si>
  <si>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</si>
  <si>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</si>
  <si>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</si>
  <si>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</si>
  <si>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</si>
  <si>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</si>
  <si>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</si>
  <si>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</si>
  <si>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</si>
  <si>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</si>
  <si>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</si>
  <si>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</si>
  <si>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</si>
  <si>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</si>
  <si>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</si>
  <si>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</si>
  <si>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</si>
  <si>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</si>
  <si>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</si>
  <si>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</si>
  <si>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</si>
  <si>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</si>
  <si>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</si>
  <si>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</si>
  <si>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</si>
  <si>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</si>
  <si>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</si>
  <si>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</si>
  <si>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</si>
  <si>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</si>
  <si>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</si>
  <si>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</si>
  <si>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</si>
  <si>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</si>
  <si>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</si>
  <si>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</si>
  <si>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</si>
  <si>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</si>
  <si>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</si>
  <si>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</si>
  <si>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</si>
  <si>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</si>
  <si>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</si>
  <si>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</si>
  <si>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 xml:space="preserve"> Lakes - Ponds (Priority Habitat)</t>
  </si>
  <si>
    <t xml:space="preserve"> Lakes - Ponds (Non- Priority Habitat)</t>
  </si>
  <si>
    <t xml:space="preserve"> Lakes - Reservoirs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</si>
  <si>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</si>
  <si>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</si>
  <si>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</si>
  <si>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</si>
  <si>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</si>
  <si>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</si>
  <si>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</si>
  <si>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</si>
  <si>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</si>
  <si>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</si>
  <si>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</si>
  <si>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</si>
  <si>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</si>
  <si>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</si>
  <si>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</si>
  <si>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</si>
  <si>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</si>
  <si>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</si>
  <si>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</si>
  <si>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</si>
  <si>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</si>
  <si>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</si>
  <si>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</si>
  <si>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</si>
  <si>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</si>
  <si>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</si>
  <si>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</si>
  <si>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</si>
  <si>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</si>
  <si>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</si>
  <si>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</si>
  <si>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</si>
  <si>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</si>
  <si>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</si>
  <si>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</si>
  <si>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</si>
  <si>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</si>
  <si>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</si>
  <si>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</si>
  <si>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</si>
  <si>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</si>
  <si>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</si>
  <si>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</si>
  <si>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</si>
  <si>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</si>
  <si>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</si>
  <si>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</si>
  <si>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</si>
  <si>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</si>
  <si>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</si>
  <si>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</si>
  <si>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</si>
  <si>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</si>
  <si>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Amenity grassland</t>
  </si>
  <si>
    <t>Ephemeral / short perennial</t>
  </si>
  <si>
    <t>Fence</t>
  </si>
  <si>
    <t>Wall</t>
  </si>
  <si>
    <t>Built-up areas</t>
  </si>
  <si>
    <t>Caravans</t>
  </si>
  <si>
    <t>Sea wall (artificial materials)</t>
  </si>
  <si>
    <t>Buildings</t>
  </si>
  <si>
    <t>Bare ground</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</si>
  <si>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</si>
  <si>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</si>
  <si>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</si>
  <si>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</si>
  <si>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</si>
  <si>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</si>
  <si>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</si>
  <si>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</si>
  <si>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</si>
  <si>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</si>
  <si>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</si>
  <si>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</si>
  <si>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</si>
  <si>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</si>
  <si>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</si>
  <si>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</si>
  <si>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</si>
  <si>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</si>
  <si>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</si>
  <si>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</si>
  <si>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</si>
  <si>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</si>
  <si>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</si>
  <si>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</si>
  <si>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</si>
  <si>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</si>
  <si>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</si>
  <si>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</si>
  <si>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</si>
  <si>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</si>
  <si>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</si>
  <si>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</si>
  <si>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</si>
  <si>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</si>
  <si>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</si>
  <si>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</si>
  <si>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</si>
  <si>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</si>
  <si>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</si>
  <si>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</si>
  <si>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</si>
  <si>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</si>
  <si>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</si>
  <si>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</si>
  <si>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</si>
  <si>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</si>
  <si>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</si>
  <si>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</si>
  <si>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</si>
  <si>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</si>
  <si>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</si>
  <si>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</si>
  <si>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</si>
  <si>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</si>
  <si>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</si>
  <si>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</si>
  <si>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</si>
  <si>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</si>
  <si>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</si>
  <si>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</si>
  <si>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</si>
  <si>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</si>
  <si>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</si>
  <si>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</si>
  <si>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</si>
  <si>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</si>
  <si>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</si>
  <si>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</si>
  <si>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</si>
  <si>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</si>
  <si>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</si>
  <si>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</si>
  <si>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</si>
  <si>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</si>
  <si>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</si>
  <si>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</si>
  <si>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</si>
  <si>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</si>
  <si>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</si>
  <si>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</si>
  <si>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</si>
  <si>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</si>
  <si>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</si>
  <si>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</si>
  <si>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</si>
  <si>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</si>
  <si>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</si>
  <si>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</si>
  <si>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</si>
  <si>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</si>
  <si>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</si>
  <si>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</si>
  <si>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</si>
  <si>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</si>
  <si>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</si>
  <si>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</si>
  <si>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</si>
  <si>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</si>
  <si>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</si>
  <si>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</si>
  <si>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</si>
  <si>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</si>
  <si>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</si>
  <si>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</si>
  <si>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</si>
  <si>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</si>
  <si>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</si>
  <si>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</si>
  <si>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</si>
  <si>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</si>
  <si>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</si>
  <si>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</si>
  <si>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</si>
  <si>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</si>
  <si>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</si>
  <si>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</si>
  <si>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</si>
  <si>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</si>
  <si>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</si>
  <si>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</si>
  <si>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</si>
  <si>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</si>
  <si>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</si>
  <si>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</si>
  <si>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</si>
  <si>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</si>
  <si>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</si>
  <si>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</si>
  <si>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</si>
  <si>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</si>
  <si>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</si>
  <si>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</si>
  <si>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</si>
  <si>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</si>
  <si>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</si>
  <si>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</si>
  <si>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</si>
  <si>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</si>
  <si>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</si>
  <si>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</si>
  <si>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</si>
  <si>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</si>
  <si>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</si>
  <si>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</si>
  <si>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</si>
  <si>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</si>
  <si>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</si>
  <si>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</si>
  <si>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</si>
  <si>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</si>
  <si>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</si>
  <si>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</si>
  <si>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</si>
  <si>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</si>
  <si>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</si>
  <si>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</si>
  <si>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</si>
  <si>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</si>
  <si>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</si>
  <si>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</si>
  <si>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</si>
  <si>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</si>
  <si>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</si>
  <si>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</si>
  <si>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</si>
  <si>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</si>
  <si>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</si>
  <si>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</si>
  <si>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</si>
  <si>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</si>
  <si>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</si>
  <si>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</si>
  <si>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</si>
  <si>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</si>
  <si>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</si>
  <si>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</si>
  <si>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</si>
  <si>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</si>
  <si>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</si>
  <si>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</si>
  <si>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</si>
  <si>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</si>
  <si>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</si>
  <si>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</si>
  <si>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</si>
  <si>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</si>
  <si>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</si>
  <si>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</si>
  <si>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</si>
  <si>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</si>
  <si>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</si>
  <si>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</si>
  <si>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</si>
  <si>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</si>
  <si>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</si>
  <si>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</si>
  <si>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</si>
  <si>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</si>
  <si>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</si>
  <si>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</si>
  <si>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</si>
  <si>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</si>
  <si>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</si>
  <si>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</si>
  <si>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</si>
  <si>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</si>
  <si>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</si>
  <si>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</si>
  <si>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</si>
  <si>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</si>
  <si>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</si>
  <si>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</si>
  <si>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</si>
  <si>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</si>
  <si>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</si>
  <si>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</si>
  <si>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</si>
  <si>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</si>
  <si>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</si>
  <si>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</si>
  <si>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</si>
  <si>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</si>
  <si>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</si>
  <si>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</si>
  <si>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</si>
  <si>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</si>
  <si>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</si>
  <si>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</si>
  <si>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</si>
  <si>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</si>
  <si>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</si>
  <si>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</si>
  <si>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</si>
  <si>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</si>
  <si>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</si>
  <si>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</si>
  <si>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</si>
  <si>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</si>
  <si>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</si>
  <si>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</si>
  <si>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</si>
  <si>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</si>
  <si>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</si>
  <si>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</si>
  <si>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</si>
  <si>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</si>
  <si>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</si>
  <si>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</si>
  <si>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</si>
  <si>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</si>
  <si>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</si>
  <si>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</si>
  <si>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</si>
  <si>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</si>
  <si>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</si>
  <si>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</si>
  <si>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</si>
  <si>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</si>
  <si>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</si>
  <si>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</si>
  <si>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</si>
  <si>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</si>
  <si>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</si>
  <si>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</si>
  <si>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</si>
  <si>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</si>
  <si>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</si>
  <si>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</si>
  <si>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</si>
  <si>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</si>
  <si>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</si>
  <si>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</si>
  <si>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</si>
  <si>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</si>
  <si>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</si>
  <si>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</si>
  <si>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</si>
  <si>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</si>
  <si>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</si>
  <si>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</si>
  <si>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</si>
  <si>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</si>
  <si>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</si>
  <si>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</si>
  <si>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</si>
  <si>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</si>
  <si>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</si>
  <si>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</si>
  <si>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</si>
  <si>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</si>
  <si>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</si>
  <si>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</si>
  <si>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</si>
  <si>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</si>
  <si>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</si>
  <si>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</si>
  <si>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</si>
  <si>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</si>
  <si>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</si>
  <si>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</si>
  <si>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</si>
  <si>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</si>
  <si>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</si>
  <si>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</si>
  <si>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</si>
  <si>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</si>
  <si>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</si>
  <si>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</si>
  <si>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</si>
  <si>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</si>
  <si>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</si>
  <si>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</si>
  <si>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</si>
  <si>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</si>
  <si>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</si>
  <si>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</si>
  <si>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</si>
  <si>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</si>
  <si>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</si>
  <si>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</si>
  <si>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</si>
  <si>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</si>
  <si>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</si>
  <si>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</si>
  <si>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</si>
  <si>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</si>
  <si>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</si>
  <si>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</si>
  <si>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</si>
  <si>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</si>
  <si>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</si>
  <si>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</si>
  <si>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</si>
  <si>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</si>
  <si>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</si>
  <si>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</si>
  <si>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</si>
  <si>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</si>
  <si>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</si>
  <si>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</si>
  <si>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</si>
  <si>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</si>
  <si>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</si>
  <si>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</si>
  <si>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</si>
  <si>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</si>
  <si>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</si>
  <si>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</si>
  <si>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</si>
  <si>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</si>
  <si>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</si>
  <si>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</si>
  <si>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</si>
  <si>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</si>
  <si>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</si>
  <si>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</si>
  <si>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</si>
  <si>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</si>
  <si>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</si>
  <si>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</si>
  <si>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</si>
  <si>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</si>
  <si>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</si>
  <si>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</si>
  <si>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</si>
  <si>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</si>
  <si>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</si>
  <si>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</si>
  <si>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</si>
  <si>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</si>
  <si>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</si>
  <si>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</si>
  <si>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</si>
  <si>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</si>
  <si>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</si>
  <si>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</si>
  <si>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</si>
  <si>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</si>
  <si>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</si>
  <si>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</si>
  <si>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</si>
  <si>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</si>
  <si>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</si>
  <si>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</si>
  <si>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</si>
  <si>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</si>
  <si>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</si>
  <si>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</si>
  <si>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</si>
  <si>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</si>
  <si>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</si>
  <si>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</si>
  <si>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</si>
  <si>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</si>
  <si>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</si>
  <si>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Proposed (Pre-Populated but can be overridden)</t>
  </si>
  <si>
    <t>Land at Doncaster Road, Goldthorpe, Rotherham</t>
  </si>
  <si>
    <t>Wrightson Associates</t>
  </si>
  <si>
    <t>Full Planning Consent</t>
  </si>
  <si>
    <t>Unknonwn by PENNINE Ecological</t>
  </si>
  <si>
    <t>Stuart Macpherson</t>
  </si>
  <si>
    <t>04.05.2022</t>
  </si>
  <si>
    <t>TBC</t>
  </si>
  <si>
    <t>Cotoneaster, privet, laurel dominated hedge with holly, elder and a rose species.</t>
  </si>
  <si>
    <t>Area of derelict ground which were formely the areas used as car parking and the hard standing playground.</t>
  </si>
  <si>
    <t>Short, ephemeral habitat has appeared in areas of what was suspected to be formally hard standing.</t>
  </si>
  <si>
    <t>Proposed shrub mix to include laurel and pyracantha.</t>
  </si>
  <si>
    <t>Combination of buildings, hard standing i.e., car parking, walkways etc.</t>
  </si>
  <si>
    <t>Species to include dogwood, hazel, hawthorn, holly, blackthorn, dog rose and guelder rose.</t>
  </si>
  <si>
    <t>Species to include red robin.</t>
  </si>
  <si>
    <t xml:space="preserve">Proposed species to include dogwood, hazel, hawthorn, holly, cherry laurel, blackthorn, dog rose, goat willow and guelder rose.
Reviewing the Condition Assessment Criteria the mixed scrub is likely to achieve three of the five (1, 2 and 3) required to reach 'moderate' condition. </t>
  </si>
  <si>
    <t>Grass mix to comprise Emorsgate EL1 Flowering Lawn Mixture' sown with 'Fine Lawn Grass Mixture'.
The EL1 mix does comprise 10 wildflower species, five grass species and two 'forb' species. If managed favourably (i.e., not mown regulalry and during flowering periods) then 3 of the 6 criteria will be met thus achieving 'moderate' condition.</t>
  </si>
  <si>
    <t>Species to be planted alder, silver birch, cherry and rowan.</t>
  </si>
  <si>
    <t>Improved grassland area which was formerly the primary school's playing field.
Passes 3 (2, 6 and 7) of the criteria which equates to poor.</t>
  </si>
  <si>
    <t>Areas of bramble, buddelia and willow dominated scrub, predominantly on the margins of the site.
Only 2 (2 and 3) of the criteria are passed which equates to poor.</t>
  </si>
  <si>
    <t>Existing tree species to be retained include; ash, cherry, rowan.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</si>
</sst>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0"/>
    <numFmt numFmtId="166" formatCode="0.0000"/>
  </numFmts>
  <fonts count="55"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0"/>
      <color theme="4"/>
      <name val="Rockwell Light"/>
      <family val="1"/>
    </font>
    <font>
      <sz val="22"/>
      <color theme="4"/>
      <name val="Rockwell Light"/>
      <family val="1"/>
    </font>
    <font>
      <sz val="16"/>
      <color rgb="FFFF0000"/>
      <name val="Rockwell Light"/>
      <family val="1"/>
    </font>
    <font>
      <b/>
      <sz val="11"/>
      <name val="Calibri"/>
      <family val="2"/>
      <scheme val="minor"/>
    </font>
    <font>
      <b/>
      <sz val="11"/>
      <color theme="0"/>
      <name val="Rockwell Light"/>
      <family val="1"/>
    </font>
    <font>
      <sz val="11"/>
      <color theme="4"/>
      <name val="Amasis MT Pro"/>
      <family val="1"/>
    </font>
    <font>
      <b/>
      <sz val="11"/>
      <name val="Rockwell Light"/>
      <family val="1"/>
    </font>
  </fonts>
  <fills count="2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0" tint="-0.14999847407452621"/>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s>
  <borders count="82">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right style="medium">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s>
  <cellStyleXfs count="32">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086">
    <xf numFmtId="0" fontId="0" fillId="0" borderId="0" xfId="0"/>
    <xf numFmtId="0" fontId="0" fillId="10" borderId="0" xfId="0" applyFill="1"/>
    <xf numFmtId="0" fontId="0" fillId="10" borderId="0" xfId="0" applyFill="1" applyAlignment="1">
      <alignment horizontal="center" vertical="center"/>
    </xf>
    <xf numFmtId="0" fontId="0" fillId="10" borderId="0" xfId="0" applyFill="1" applyAlignment="1">
      <alignment horizontal="justify"/>
    </xf>
    <xf numFmtId="0" fontId="6" fillId="10" borderId="0" xfId="0" applyFont="1" applyFill="1" applyAlignment="1">
      <alignment horizontal="left" vertical="top" wrapText="1"/>
    </xf>
    <xf numFmtId="0" fontId="1" fillId="10" borderId="0" xfId="0" applyFont="1" applyFill="1"/>
    <xf numFmtId="0" fontId="5" fillId="10" borderId="0" xfId="0" applyFont="1" applyFill="1"/>
    <xf numFmtId="0" fontId="5" fillId="10" borderId="0" xfId="0" applyFont="1" applyFill="1" applyAlignment="1">
      <alignment horizontal="center"/>
    </xf>
    <xf numFmtId="0" fontId="1" fillId="12" borderId="0" xfId="0" applyFont="1" applyFill="1"/>
    <xf numFmtId="0" fontId="0" fillId="12" borderId="0" xfId="0" applyFill="1"/>
    <xf numFmtId="0" fontId="8" fillId="12" borderId="0" xfId="0" applyFont="1" applyFill="1" applyAlignment="1">
      <alignment horizontal="left" vertical="center" indent="8"/>
    </xf>
    <xf numFmtId="0" fontId="10" fillId="10" borderId="0" xfId="0" applyFont="1" applyFill="1"/>
    <xf numFmtId="0" fontId="10" fillId="10" borderId="0" xfId="0" applyFont="1" applyFill="1" applyAlignment="1">
      <alignment horizontal="center" vertical="center"/>
    </xf>
    <xf numFmtId="0" fontId="11" fillId="10" borderId="0" xfId="0" applyFont="1" applyFill="1"/>
    <xf numFmtId="0" fontId="13" fillId="10" borderId="0" xfId="0" applyFont="1" applyFill="1" applyAlignment="1">
      <alignment vertical="top" wrapText="1"/>
    </xf>
    <xf numFmtId="0" fontId="18" fillId="10" borderId="0" xfId="0" applyFont="1" applyFill="1"/>
    <xf numFmtId="0" fontId="0" fillId="12" borderId="0" xfId="0" applyFill="1" applyAlignment="1">
      <alignment horizontal="center" vertical="center"/>
    </xf>
    <xf numFmtId="0" fontId="5" fillId="12" borderId="0" xfId="0" applyFont="1" applyFill="1"/>
    <xf numFmtId="0" fontId="5" fillId="12" borderId="0" xfId="0" applyFont="1" applyFill="1" applyAlignment="1">
      <alignment horizontal="center"/>
    </xf>
    <xf numFmtId="0" fontId="6" fillId="12" borderId="0" xfId="0" applyFont="1" applyFill="1" applyAlignment="1">
      <alignment horizontal="left" vertical="top" wrapText="1"/>
    </xf>
    <xf numFmtId="0" fontId="0" fillId="12"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6" fillId="12" borderId="0" xfId="0" applyFont="1" applyFill="1"/>
    <xf numFmtId="0" fontId="28" fillId="12" borderId="0" xfId="0" applyFont="1" applyFill="1" applyAlignment="1">
      <alignment horizontal="center"/>
    </xf>
    <xf numFmtId="0" fontId="28" fillId="12" borderId="0" xfId="0" applyFont="1" applyFill="1" applyAlignment="1">
      <alignment horizontal="left"/>
    </xf>
    <xf numFmtId="0" fontId="29" fillId="12" borderId="0" xfId="0" applyFont="1" applyFill="1"/>
    <xf numFmtId="2" fontId="26" fillId="12" borderId="0" xfId="0" applyNumberFormat="1" applyFont="1" applyFill="1"/>
    <xf numFmtId="0" fontId="26" fillId="12" borderId="0" xfId="0" applyFont="1" applyFill="1" applyAlignment="1">
      <alignment horizontal="center" vertical="center" wrapText="1"/>
    </xf>
    <xf numFmtId="0" fontId="30" fillId="12" borderId="0" xfId="0" applyFont="1" applyFill="1"/>
    <xf numFmtId="0" fontId="26" fillId="12" borderId="0" xfId="0" applyFont="1" applyFill="1" applyAlignment="1">
      <alignment wrapText="1"/>
    </xf>
    <xf numFmtId="0" fontId="31" fillId="12" borderId="0" xfId="0" applyFont="1" applyFill="1" applyAlignment="1">
      <alignment horizontal="center" vertical="center" wrapText="1"/>
    </xf>
    <xf numFmtId="0" fontId="32" fillId="12" borderId="0" xfId="0" applyFont="1" applyFill="1"/>
    <xf numFmtId="0" fontId="33" fillId="12" borderId="0" xfId="0" applyFont="1" applyFill="1" applyAlignment="1">
      <alignment horizontal="left"/>
    </xf>
    <xf numFmtId="0" fontId="15" fillId="12" borderId="0" xfId="0" applyFont="1" applyFill="1"/>
    <xf numFmtId="2" fontId="32" fillId="12" borderId="0" xfId="0" applyNumberFormat="1" applyFont="1" applyFill="1"/>
    <xf numFmtId="0" fontId="20" fillId="5" borderId="54"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20" fillId="5" borderId="36" xfId="0" applyFont="1" applyFill="1" applyBorder="1" applyAlignment="1">
      <alignment horizontal="center" vertical="center" wrapText="1"/>
    </xf>
    <xf numFmtId="0" fontId="20" fillId="5" borderId="70" xfId="0" applyFont="1" applyFill="1" applyBorder="1" applyAlignment="1">
      <alignment horizontal="center" vertical="center" wrapText="1"/>
    </xf>
    <xf numFmtId="0" fontId="20" fillId="5" borderId="16" xfId="0" applyFont="1" applyFill="1" applyBorder="1" applyAlignment="1">
      <alignment horizontal="center" vertical="center"/>
    </xf>
    <xf numFmtId="0" fontId="32" fillId="12" borderId="0" xfId="0" applyFont="1" applyFill="1" applyAlignment="1">
      <alignment horizontal="center" vertical="center" wrapText="1"/>
    </xf>
    <xf numFmtId="0" fontId="35" fillId="12" borderId="0" xfId="0" applyFont="1" applyFill="1"/>
    <xf numFmtId="0" fontId="32" fillId="12" borderId="0" xfId="0" applyFont="1" applyFill="1" applyAlignment="1">
      <alignment wrapText="1"/>
    </xf>
    <xf numFmtId="0" fontId="20" fillId="5" borderId="44" xfId="0" applyFont="1" applyFill="1" applyBorder="1" applyAlignment="1">
      <alignment horizontal="center" vertical="center" wrapText="1"/>
    </xf>
    <xf numFmtId="0" fontId="20" fillId="5" borderId="36" xfId="0" applyFont="1" applyFill="1" applyBorder="1" applyAlignment="1">
      <alignment horizontal="center" vertical="center"/>
    </xf>
    <xf numFmtId="0" fontId="20" fillId="5" borderId="45" xfId="0" applyFont="1" applyFill="1" applyBorder="1" applyAlignment="1">
      <alignment horizontal="center" vertical="center"/>
    </xf>
    <xf numFmtId="0" fontId="32" fillId="12" borderId="27" xfId="0" applyFont="1" applyFill="1" applyBorder="1"/>
    <xf numFmtId="0" fontId="32" fillId="10" borderId="0" xfId="0" applyFont="1" applyFill="1"/>
    <xf numFmtId="0" fontId="32" fillId="10" borderId="0" xfId="0" applyFont="1" applyFill="1" applyAlignment="1">
      <alignment horizontal="center" vertical="center"/>
    </xf>
    <xf numFmtId="0" fontId="32" fillId="10" borderId="0" xfId="0" applyFont="1" applyFill="1" applyAlignment="1">
      <alignment wrapText="1"/>
    </xf>
    <xf numFmtId="0" fontId="32" fillId="10" borderId="0" xfId="0" applyFont="1" applyFill="1" applyAlignment="1">
      <alignment horizontal="center" vertical="center" wrapText="1"/>
    </xf>
    <xf numFmtId="0" fontId="36" fillId="11" borderId="28" xfId="0" applyFont="1" applyFill="1" applyBorder="1" applyAlignment="1">
      <alignment horizontal="center" vertical="center" wrapText="1"/>
    </xf>
    <xf numFmtId="0" fontId="36" fillId="10" borderId="0" xfId="0" applyFont="1" applyFill="1" applyAlignment="1">
      <alignment vertical="center" wrapText="1"/>
    </xf>
    <xf numFmtId="0" fontId="32" fillId="10" borderId="5" xfId="0" applyFont="1" applyFill="1" applyBorder="1" applyAlignment="1">
      <alignment wrapText="1"/>
    </xf>
    <xf numFmtId="0" fontId="32" fillId="10" borderId="5" xfId="0" applyFont="1" applyFill="1" applyBorder="1"/>
    <xf numFmtId="0" fontId="36" fillId="10" borderId="0" xfId="0" applyFont="1" applyFill="1"/>
    <xf numFmtId="0" fontId="36" fillId="11" borderId="54" xfId="0" applyFont="1" applyFill="1" applyBorder="1" applyAlignment="1">
      <alignment horizontal="center" vertical="center" wrapText="1"/>
    </xf>
    <xf numFmtId="0" fontId="36" fillId="11" borderId="11" xfId="0" applyFont="1" applyFill="1" applyBorder="1" applyAlignment="1">
      <alignment horizontal="center" vertical="center" wrapText="1"/>
    </xf>
    <xf numFmtId="0" fontId="36" fillId="11" borderId="9" xfId="0" applyFont="1" applyFill="1" applyBorder="1" applyAlignment="1">
      <alignment horizontal="center" vertical="center" wrapText="1"/>
    </xf>
    <xf numFmtId="0" fontId="36" fillId="11" borderId="9" xfId="0" applyFont="1" applyFill="1" applyBorder="1" applyAlignment="1">
      <alignment vertical="center" wrapText="1"/>
    </xf>
    <xf numFmtId="0" fontId="36" fillId="11" borderId="13" xfId="0" applyFont="1" applyFill="1" applyBorder="1" applyAlignment="1">
      <alignment horizontal="center" vertical="center" wrapText="1"/>
    </xf>
    <xf numFmtId="0" fontId="36" fillId="11" borderId="58" xfId="0" applyFont="1" applyFill="1" applyBorder="1" applyAlignment="1">
      <alignment horizontal="center" vertical="center" wrapText="1"/>
    </xf>
    <xf numFmtId="0" fontId="36" fillId="11" borderId="18" xfId="0" applyFont="1" applyFill="1" applyBorder="1" applyAlignment="1">
      <alignment horizontal="center" vertical="center" wrapText="1"/>
    </xf>
    <xf numFmtId="0" fontId="36" fillId="11" borderId="22" xfId="0" applyFont="1" applyFill="1" applyBorder="1" applyAlignment="1">
      <alignment horizontal="center" vertical="center" wrapText="1"/>
    </xf>
    <xf numFmtId="0" fontId="36" fillId="11" borderId="41" xfId="0" applyFont="1" applyFill="1" applyBorder="1" applyAlignment="1">
      <alignment horizontal="center" vertical="center" wrapText="1"/>
    </xf>
    <xf numFmtId="0" fontId="36" fillId="11" borderId="43" xfId="0" applyFont="1" applyFill="1" applyBorder="1" applyAlignment="1">
      <alignment horizontal="center" vertical="center" wrapText="1"/>
    </xf>
    <xf numFmtId="0" fontId="36" fillId="10" borderId="58" xfId="0" applyFont="1" applyFill="1" applyBorder="1" applyAlignment="1">
      <alignment horizontal="center" vertical="center" wrapText="1"/>
    </xf>
    <xf numFmtId="0" fontId="36" fillId="11" borderId="74" xfId="0" applyFont="1" applyFill="1" applyBorder="1" applyAlignment="1">
      <alignment horizontal="center" vertical="center" wrapText="1"/>
    </xf>
    <xf numFmtId="0" fontId="32" fillId="0" borderId="73" xfId="0" applyFont="1" applyBorder="1" applyAlignment="1" applyProtection="1">
      <alignment horizontal="center" vertical="center" wrapText="1"/>
      <protection locked="0"/>
    </xf>
    <xf numFmtId="0" fontId="32" fillId="9" borderId="5" xfId="0" applyFont="1" applyFill="1" applyBorder="1" applyAlignment="1">
      <alignment horizontal="center" vertical="top"/>
    </xf>
    <xf numFmtId="0" fontId="32" fillId="0" borderId="26" xfId="0" applyFont="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3" borderId="14" xfId="0" applyFont="1" applyFill="1" applyBorder="1" applyAlignment="1" applyProtection="1">
      <alignment horizontal="left" vertical="top" wrapText="1"/>
      <protection locked="0"/>
    </xf>
    <xf numFmtId="0" fontId="32" fillId="3" borderId="19" xfId="0" applyFont="1" applyFill="1" applyBorder="1" applyAlignment="1" applyProtection="1">
      <alignment horizontal="left" vertical="top" wrapText="1"/>
      <protection locked="0"/>
    </xf>
    <xf numFmtId="2" fontId="32" fillId="10" borderId="2" xfId="0" applyNumberFormat="1" applyFont="1" applyFill="1" applyBorder="1" applyAlignment="1">
      <alignment horizontal="center" vertical="center" wrapText="1"/>
    </xf>
    <xf numFmtId="2" fontId="32" fillId="10" borderId="42" xfId="0" applyNumberFormat="1"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2" fillId="0" borderId="4"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3" borderId="12" xfId="0" applyFont="1" applyFill="1" applyBorder="1" applyAlignment="1" applyProtection="1">
      <alignment horizontal="left" vertical="top" wrapText="1"/>
      <protection locked="0"/>
    </xf>
    <xf numFmtId="0" fontId="32" fillId="3" borderId="21" xfId="0" applyFont="1" applyFill="1" applyBorder="1" applyAlignment="1" applyProtection="1">
      <alignment horizontal="left" vertical="top" wrapText="1"/>
      <protection locked="0"/>
    </xf>
    <xf numFmtId="0" fontId="32" fillId="0" borderId="42" xfId="0" applyFont="1" applyBorder="1" applyAlignment="1" applyProtection="1">
      <alignment horizontal="center" vertical="center" wrapText="1"/>
      <protection locked="0"/>
    </xf>
    <xf numFmtId="0" fontId="32" fillId="3" borderId="13" xfId="0" applyFont="1" applyFill="1" applyBorder="1" applyAlignment="1" applyProtection="1">
      <alignment horizontal="left" vertical="top" wrapText="1"/>
      <protection locked="0"/>
    </xf>
    <xf numFmtId="0" fontId="32" fillId="3" borderId="22" xfId="0" applyFont="1" applyFill="1" applyBorder="1" applyAlignment="1" applyProtection="1">
      <alignment horizontal="left" vertical="top" wrapText="1"/>
      <protection locked="0"/>
    </xf>
    <xf numFmtId="2" fontId="36" fillId="10" borderId="0" xfId="0" applyNumberFormat="1" applyFont="1" applyFill="1" applyAlignment="1">
      <alignment horizontal="center" vertical="center" wrapText="1"/>
    </xf>
    <xf numFmtId="0" fontId="36" fillId="10" borderId="0" xfId="0" applyFont="1" applyFill="1" applyAlignment="1">
      <alignment horizontal="center" vertical="center" wrapText="1"/>
    </xf>
    <xf numFmtId="0" fontId="32" fillId="5" borderId="12" xfId="0" applyFont="1" applyFill="1" applyBorder="1"/>
    <xf numFmtId="0" fontId="32" fillId="5" borderId="5" xfId="0" applyFont="1" applyFill="1" applyBorder="1"/>
    <xf numFmtId="0" fontId="32" fillId="5" borderId="13" xfId="0" applyFont="1" applyFill="1" applyBorder="1"/>
    <xf numFmtId="0" fontId="32" fillId="5" borderId="18" xfId="0" applyFont="1" applyFill="1" applyBorder="1"/>
    <xf numFmtId="0" fontId="32" fillId="5" borderId="41" xfId="0" applyFont="1" applyFill="1" applyBorder="1"/>
    <xf numFmtId="0" fontId="32" fillId="5" borderId="66"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2" fillId="5" borderId="14"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32" fillId="12" borderId="4" xfId="0" applyFont="1" applyFill="1" applyBorder="1"/>
    <xf numFmtId="0" fontId="39" fillId="12" borderId="4" xfId="0" applyFont="1" applyFill="1" applyBorder="1" applyAlignment="1">
      <alignment horizontal="center"/>
    </xf>
    <xf numFmtId="164" fontId="32" fillId="13" borderId="5" xfId="0" applyNumberFormat="1" applyFont="1" applyFill="1" applyBorder="1"/>
    <xf numFmtId="0" fontId="38" fillId="5" borderId="5" xfId="0" applyFont="1" applyFill="1" applyBorder="1" applyAlignment="1">
      <alignment horizontal="center"/>
    </xf>
    <xf numFmtId="0" fontId="38" fillId="5" borderId="16" xfId="0" applyFont="1" applyFill="1" applyBorder="1" applyAlignment="1">
      <alignment horizontal="center"/>
    </xf>
    <xf numFmtId="0" fontId="36" fillId="5" borderId="5" xfId="0" applyFont="1" applyFill="1" applyBorder="1" applyAlignment="1">
      <alignment horizontal="center" vertical="center" wrapText="1"/>
    </xf>
    <xf numFmtId="0" fontId="32" fillId="5" borderId="5" xfId="0" applyFont="1" applyFill="1" applyBorder="1" applyAlignment="1">
      <alignment horizontal="center" vertical="center"/>
    </xf>
    <xf numFmtId="0" fontId="32" fillId="5" borderId="5" xfId="0" applyFont="1" applyFill="1" applyBorder="1" applyAlignment="1">
      <alignment wrapText="1"/>
    </xf>
    <xf numFmtId="0" fontId="40" fillId="5" borderId="5" xfId="0" applyFont="1" applyFill="1" applyBorder="1" applyAlignment="1">
      <alignment wrapText="1"/>
    </xf>
    <xf numFmtId="0" fontId="40" fillId="5" borderId="5" xfId="0" applyFont="1" applyFill="1" applyBorder="1" applyAlignment="1">
      <alignment horizontal="left" wrapText="1"/>
    </xf>
    <xf numFmtId="0" fontId="40" fillId="5" borderId="5" xfId="0" applyFont="1" applyFill="1" applyBorder="1" applyAlignment="1">
      <alignment horizontal="left"/>
    </xf>
    <xf numFmtId="0" fontId="40" fillId="5" borderId="5" xfId="0" applyFont="1" applyFill="1" applyBorder="1" applyAlignment="1">
      <alignment horizontal="left" vertical="center"/>
    </xf>
    <xf numFmtId="0" fontId="32" fillId="5" borderId="5" xfId="0" applyFont="1" applyFill="1" applyBorder="1" applyAlignment="1">
      <alignment horizontal="left" vertical="center"/>
    </xf>
    <xf numFmtId="164" fontId="32" fillId="13" borderId="5" xfId="0" applyNumberFormat="1" applyFont="1" applyFill="1" applyBorder="1" applyAlignment="1">
      <alignment horizontal="center" vertical="center"/>
    </xf>
    <xf numFmtId="164" fontId="32" fillId="13" borderId="5" xfId="0" applyNumberFormat="1" applyFont="1" applyFill="1" applyBorder="1" applyAlignment="1">
      <alignment vertical="center"/>
    </xf>
    <xf numFmtId="0" fontId="32" fillId="5" borderId="5" xfId="0" applyFont="1" applyFill="1" applyBorder="1" applyAlignment="1">
      <alignment vertical="center"/>
    </xf>
    <xf numFmtId="0" fontId="39" fillId="5" borderId="16" xfId="0" applyFont="1" applyFill="1" applyBorder="1"/>
    <xf numFmtId="0" fontId="39" fillId="12" borderId="60" xfId="0" applyFont="1" applyFill="1" applyBorder="1"/>
    <xf numFmtId="0" fontId="39" fillId="12" borderId="4" xfId="0" applyFont="1" applyFill="1" applyBorder="1"/>
    <xf numFmtId="0" fontId="32" fillId="5" borderId="0" xfId="0" applyFont="1" applyFill="1"/>
    <xf numFmtId="0" fontId="32" fillId="5" borderId="16" xfId="0" applyFont="1" applyFill="1" applyBorder="1"/>
    <xf numFmtId="0" fontId="32" fillId="5" borderId="5" xfId="0" applyFont="1" applyFill="1" applyBorder="1" applyAlignment="1">
      <alignment horizontal="left" vertical="top"/>
    </xf>
    <xf numFmtId="2" fontId="32" fillId="5" borderId="5" xfId="0" applyNumberFormat="1" applyFont="1" applyFill="1" applyBorder="1"/>
    <xf numFmtId="0" fontId="39" fillId="12" borderId="0" xfId="0" applyFont="1" applyFill="1" applyAlignment="1">
      <alignment horizontal="center"/>
    </xf>
    <xf numFmtId="0" fontId="32" fillId="12" borderId="71" xfId="0" applyFont="1" applyFill="1" applyBorder="1"/>
    <xf numFmtId="0" fontId="15" fillId="5" borderId="5" xfId="0" applyFont="1" applyFill="1" applyBorder="1"/>
    <xf numFmtId="0" fontId="32" fillId="5" borderId="5" xfId="0" applyFont="1" applyFill="1" applyBorder="1" applyAlignment="1">
      <alignment horizontal="center"/>
    </xf>
    <xf numFmtId="0" fontId="36" fillId="5" borderId="5" xfId="0" applyFont="1" applyFill="1" applyBorder="1" applyAlignment="1">
      <alignment wrapText="1"/>
    </xf>
    <xf numFmtId="0" fontId="33" fillId="12"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2" fillId="5" borderId="12"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6" fillId="12" borderId="0" xfId="0" applyFont="1" applyFill="1"/>
    <xf numFmtId="0" fontId="32" fillId="12" borderId="0" xfId="0" applyFont="1" applyFill="1" applyAlignment="1">
      <alignment horizontal="center" vertical="center"/>
    </xf>
    <xf numFmtId="0" fontId="36" fillId="5" borderId="54" xfId="0" applyFont="1" applyFill="1" applyBorder="1" applyAlignment="1">
      <alignment horizontal="center" vertical="center" wrapText="1"/>
    </xf>
    <xf numFmtId="0" fontId="36" fillId="12" borderId="0" xfId="0" applyFont="1" applyFill="1" applyAlignment="1">
      <alignment vertical="center"/>
    </xf>
    <xf numFmtId="0" fontId="36" fillId="5" borderId="14"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12" borderId="0" xfId="0" applyFont="1" applyFill="1" applyAlignment="1">
      <alignment vertical="center" wrapText="1"/>
    </xf>
    <xf numFmtId="0" fontId="32" fillId="6" borderId="5" xfId="0" applyFont="1" applyFill="1" applyBorder="1"/>
    <xf numFmtId="0" fontId="32" fillId="2" borderId="0" xfId="0" applyFont="1" applyFill="1"/>
    <xf numFmtId="0" fontId="36" fillId="5" borderId="12" xfId="0" applyFont="1" applyFill="1" applyBorder="1" applyAlignment="1">
      <alignment horizontal="center" vertical="center" wrapText="1"/>
    </xf>
    <xf numFmtId="0" fontId="32" fillId="0" borderId="21" xfId="0" applyFont="1" applyBorder="1" applyAlignment="1" applyProtection="1">
      <alignment horizontal="center" vertical="center" wrapText="1"/>
      <protection locked="0"/>
    </xf>
    <xf numFmtId="0" fontId="32" fillId="13" borderId="25" xfId="0" applyFont="1" applyFill="1" applyBorder="1" applyAlignment="1">
      <alignment horizontal="center" vertical="center" wrapText="1"/>
    </xf>
    <xf numFmtId="0" fontId="32" fillId="13" borderId="26" xfId="0" applyFont="1" applyFill="1" applyBorder="1" applyAlignment="1">
      <alignment horizontal="center" vertical="center" wrapText="1"/>
    </xf>
    <xf numFmtId="0" fontId="32" fillId="3" borderId="25" xfId="0" applyFont="1" applyFill="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0" fontId="32" fillId="13" borderId="5" xfId="0" applyFont="1" applyFill="1" applyBorder="1" applyAlignment="1">
      <alignment horizontal="center" vertical="center" wrapText="1"/>
    </xf>
    <xf numFmtId="0" fontId="32" fillId="13" borderId="21" xfId="0" applyFont="1" applyFill="1" applyBorder="1" applyAlignment="1">
      <alignment horizontal="center" vertical="center" wrapText="1"/>
    </xf>
    <xf numFmtId="0" fontId="32" fillId="3" borderId="25" xfId="0" applyFont="1" applyFill="1" applyBorder="1" applyAlignment="1" applyProtection="1">
      <alignment wrapText="1"/>
      <protection locked="0"/>
    </xf>
    <xf numFmtId="0" fontId="32" fillId="3" borderId="26" xfId="0" applyFont="1" applyFill="1" applyBorder="1" applyAlignment="1" applyProtection="1">
      <alignment wrapText="1"/>
      <protection locked="0"/>
    </xf>
    <xf numFmtId="0" fontId="32" fillId="3" borderId="12" xfId="0" applyFont="1" applyFill="1" applyBorder="1" applyAlignment="1" applyProtection="1">
      <alignment wrapText="1"/>
      <protection locked="0"/>
    </xf>
    <xf numFmtId="0" fontId="32" fillId="3" borderId="21" xfId="0" applyFont="1" applyFill="1" applyBorder="1" applyAlignment="1" applyProtection="1">
      <alignment wrapText="1"/>
      <protection locked="0"/>
    </xf>
    <xf numFmtId="0" fontId="32" fillId="3" borderId="21" xfId="0" applyFont="1" applyFill="1" applyBorder="1" applyAlignment="1" applyProtection="1">
      <alignment horizontal="center" vertical="center" wrapText="1"/>
      <protection locked="0"/>
    </xf>
    <xf numFmtId="0" fontId="32" fillId="3" borderId="12"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12" borderId="5" xfId="0" applyFont="1" applyFill="1" applyBorder="1"/>
    <xf numFmtId="0" fontId="32" fillId="3" borderId="2" xfId="0" applyFont="1" applyFill="1" applyBorder="1" applyAlignment="1" applyProtection="1">
      <alignment horizontal="center" vertical="center" wrapText="1"/>
      <protection locked="0"/>
    </xf>
    <xf numFmtId="0" fontId="36" fillId="5" borderId="13" xfId="0" applyFont="1" applyFill="1" applyBorder="1" applyAlignment="1">
      <alignment horizontal="center" vertical="center" wrapText="1"/>
    </xf>
    <xf numFmtId="0" fontId="40" fillId="3" borderId="18" xfId="0" applyFont="1" applyFill="1" applyBorder="1" applyProtection="1">
      <protection locked="0"/>
    </xf>
    <xf numFmtId="0" fontId="32" fillId="3" borderId="22" xfId="0" applyFont="1" applyFill="1" applyBorder="1" applyAlignment="1" applyProtection="1">
      <alignment horizontal="center" vertical="center" wrapText="1"/>
      <protection locked="0"/>
    </xf>
    <xf numFmtId="0" fontId="32" fillId="3" borderId="13" xfId="0" applyFont="1" applyFill="1" applyBorder="1" applyAlignment="1" applyProtection="1">
      <alignment horizontal="center" vertical="center" wrapText="1"/>
      <protection locked="0"/>
    </xf>
    <xf numFmtId="0" fontId="32" fillId="13" borderId="22" xfId="0" applyFont="1" applyFill="1" applyBorder="1" applyAlignment="1">
      <alignment horizontal="center" vertical="center" wrapText="1"/>
    </xf>
    <xf numFmtId="0" fontId="32" fillId="3" borderId="13" xfId="0" applyFont="1" applyFill="1" applyBorder="1" applyAlignment="1" applyProtection="1">
      <alignment wrapText="1"/>
      <protection locked="0"/>
    </xf>
    <xf numFmtId="0" fontId="32" fillId="3" borderId="22" xfId="0" applyFont="1" applyFill="1" applyBorder="1" applyAlignment="1" applyProtection="1">
      <alignment wrapText="1"/>
      <protection locked="0"/>
    </xf>
    <xf numFmtId="0" fontId="36" fillId="5" borderId="8" xfId="0" applyFont="1" applyFill="1" applyBorder="1" applyAlignment="1">
      <alignment horizontal="center" vertical="center" wrapText="1"/>
    </xf>
    <xf numFmtId="0" fontId="36" fillId="12" borderId="0" xfId="0" applyFont="1" applyFill="1" applyAlignment="1">
      <alignment horizontal="center" vertical="center" wrapText="1"/>
    </xf>
    <xf numFmtId="0" fontId="36" fillId="5" borderId="29" xfId="0" applyFont="1" applyFill="1" applyBorder="1" applyAlignment="1">
      <alignment horizontal="center" vertical="center" wrapText="1"/>
    </xf>
    <xf numFmtId="0" fontId="40" fillId="0" borderId="42" xfId="0" applyFont="1" applyBorder="1" applyProtection="1">
      <protection locked="0"/>
    </xf>
    <xf numFmtId="0" fontId="32" fillId="3" borderId="14" xfId="0" applyFont="1" applyFill="1" applyBorder="1" applyAlignment="1" applyProtection="1">
      <alignment wrapText="1"/>
      <protection locked="0"/>
    </xf>
    <xf numFmtId="0" fontId="32" fillId="3" borderId="19" xfId="0" applyFont="1" applyFill="1" applyBorder="1" applyAlignment="1" applyProtection="1">
      <alignment wrapText="1"/>
      <protection locked="0"/>
    </xf>
    <xf numFmtId="0" fontId="40" fillId="3" borderId="42" xfId="0" applyFont="1" applyFill="1" applyBorder="1" applyProtection="1">
      <protection locked="0"/>
    </xf>
    <xf numFmtId="0" fontId="32" fillId="3" borderId="26" xfId="0" applyFont="1" applyFill="1" applyBorder="1" applyAlignment="1" applyProtection="1">
      <alignment horizontal="center" vertical="center" wrapText="1"/>
      <protection locked="0"/>
    </xf>
    <xf numFmtId="0" fontId="36"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2" fillId="3" borderId="0" xfId="0" applyFont="1" applyFill="1"/>
    <xf numFmtId="0" fontId="36" fillId="5" borderId="54" xfId="0" applyFont="1" applyFill="1" applyBorder="1"/>
    <xf numFmtId="0" fontId="36" fillId="5" borderId="11" xfId="0" applyFont="1" applyFill="1" applyBorder="1" applyAlignment="1">
      <alignment horizontal="center" vertical="center" wrapText="1"/>
    </xf>
    <xf numFmtId="0" fontId="36" fillId="5" borderId="10"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2" fillId="5" borderId="5" xfId="0" applyFont="1" applyFill="1" applyBorder="1" applyAlignment="1">
      <alignment horizontal="left" textRotation="90" wrapText="1"/>
    </xf>
    <xf numFmtId="0" fontId="40"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2" fillId="12" borderId="0" xfId="0" applyFont="1" applyFill="1" applyAlignment="1">
      <alignment horizontal="left" vertical="top" wrapText="1"/>
    </xf>
    <xf numFmtId="0" fontId="32" fillId="5" borderId="54" xfId="0" applyFont="1" applyFill="1" applyBorder="1" applyAlignment="1">
      <alignment horizontal="left" vertical="top" wrapText="1"/>
    </xf>
    <xf numFmtId="0" fontId="32" fillId="5" borderId="25" xfId="0" applyFont="1" applyFill="1" applyBorder="1" applyAlignment="1">
      <alignment vertical="center"/>
    </xf>
    <xf numFmtId="0" fontId="32" fillId="13" borderId="13" xfId="0" applyFont="1" applyFill="1" applyBorder="1"/>
    <xf numFmtId="0" fontId="32" fillId="13" borderId="12" xfId="0" applyFont="1" applyFill="1" applyBorder="1" applyAlignment="1">
      <alignment horizontal="center" vertical="center" wrapText="1"/>
    </xf>
    <xf numFmtId="0" fontId="32" fillId="13" borderId="5" xfId="0" applyFont="1" applyFill="1" applyBorder="1" applyAlignment="1">
      <alignment horizontal="center" vertical="center"/>
    </xf>
    <xf numFmtId="0" fontId="32" fillId="13" borderId="13" xfId="0" applyFont="1" applyFill="1" applyBorder="1" applyAlignment="1">
      <alignment horizontal="center" vertical="center" wrapText="1"/>
    </xf>
    <xf numFmtId="0" fontId="32" fillId="12" borderId="50" xfId="0" applyFont="1" applyFill="1" applyBorder="1"/>
    <xf numFmtId="0" fontId="14" fillId="5" borderId="16" xfId="0" applyFont="1" applyFill="1" applyBorder="1" applyAlignment="1">
      <alignment horizontal="left" vertical="center"/>
    </xf>
    <xf numFmtId="0" fontId="14" fillId="5" borderId="6" xfId="0" applyFont="1" applyFill="1" applyBorder="1" applyAlignment="1">
      <alignment horizontal="left" vertical="center"/>
    </xf>
    <xf numFmtId="0" fontId="20" fillId="12" borderId="0" xfId="0" applyFont="1" applyFill="1"/>
    <xf numFmtId="0" fontId="36" fillId="5" borderId="18" xfId="0" applyFont="1" applyFill="1" applyBorder="1" applyAlignment="1">
      <alignment horizontal="center" vertical="center" wrapText="1"/>
    </xf>
    <xf numFmtId="0" fontId="32" fillId="3" borderId="42" xfId="0" applyFont="1" applyFill="1" applyBorder="1" applyAlignment="1" applyProtection="1">
      <alignment horizontal="center" vertical="center" wrapText="1"/>
      <protection locked="0"/>
    </xf>
    <xf numFmtId="2" fontId="32" fillId="0" borderId="4" xfId="0" applyNumberFormat="1" applyFont="1" applyBorder="1" applyAlignment="1" applyProtection="1">
      <alignment horizontal="center" vertical="center" wrapText="1"/>
      <protection locked="0"/>
    </xf>
    <xf numFmtId="2" fontId="32" fillId="3" borderId="4" xfId="0" applyNumberFormat="1" applyFont="1" applyFill="1" applyBorder="1" applyAlignment="1" applyProtection="1">
      <alignment horizontal="center" vertical="center" wrapText="1"/>
      <protection locked="0"/>
    </xf>
    <xf numFmtId="0" fontId="32" fillId="12" borderId="59" xfId="0" applyFont="1" applyFill="1" applyBorder="1"/>
    <xf numFmtId="0" fontId="32" fillId="3" borderId="6" xfId="0" applyFont="1" applyFill="1" applyBorder="1" applyAlignment="1" applyProtection="1">
      <alignment horizontal="center" vertical="center" wrapText="1"/>
      <protection locked="0"/>
    </xf>
    <xf numFmtId="0" fontId="36" fillId="12" borderId="34" xfId="0" applyFont="1" applyFill="1" applyBorder="1"/>
    <xf numFmtId="0" fontId="36" fillId="5" borderId="42"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2" fillId="3" borderId="5" xfId="0" applyFont="1" applyFill="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6" fillId="3" borderId="4" xfId="0" applyFont="1" applyFill="1" applyBorder="1" applyAlignment="1" applyProtection="1">
      <alignment horizontal="center" vertical="center" wrapText="1"/>
      <protection locked="0"/>
    </xf>
    <xf numFmtId="0" fontId="32" fillId="3" borderId="18" xfId="0" applyFont="1" applyFill="1" applyBorder="1" applyAlignment="1" applyProtection="1">
      <alignment horizontal="center" vertical="center" wrapText="1"/>
      <protection locked="0"/>
    </xf>
    <xf numFmtId="0" fontId="36" fillId="5" borderId="40" xfId="0" applyFont="1" applyFill="1" applyBorder="1" applyAlignment="1">
      <alignment horizontal="center" vertical="center" wrapText="1"/>
    </xf>
    <xf numFmtId="0" fontId="36" fillId="5" borderId="41" xfId="0" applyFont="1" applyFill="1" applyBorder="1" applyAlignment="1">
      <alignment horizontal="center" vertical="center" wrapText="1"/>
    </xf>
    <xf numFmtId="0" fontId="36" fillId="5" borderId="43" xfId="0" applyFont="1" applyFill="1" applyBorder="1" applyAlignment="1">
      <alignment horizontal="center" vertical="center" wrapText="1"/>
    </xf>
    <xf numFmtId="0" fontId="32" fillId="3" borderId="41" xfId="0" applyFont="1" applyFill="1" applyBorder="1" applyAlignment="1" applyProtection="1">
      <alignment horizontal="center" vertical="center" wrapText="1"/>
      <protection locked="0"/>
    </xf>
    <xf numFmtId="0" fontId="32" fillId="3" borderId="66" xfId="0" applyFont="1" applyFill="1" applyBorder="1" applyAlignment="1" applyProtection="1">
      <alignment horizontal="center" vertical="center" wrapText="1"/>
      <protection locked="0"/>
    </xf>
    <xf numFmtId="0" fontId="27" fillId="12" borderId="0" xfId="0" applyFont="1" applyFill="1"/>
    <xf numFmtId="0" fontId="36" fillId="5" borderId="66" xfId="0" applyFont="1" applyFill="1" applyBorder="1" applyAlignment="1">
      <alignment horizontal="center" vertical="center" wrapText="1"/>
    </xf>
    <xf numFmtId="0" fontId="36" fillId="5" borderId="0" xfId="0" applyFont="1" applyFill="1" applyAlignment="1">
      <alignment horizontal="center" vertical="center" wrapText="1"/>
    </xf>
    <xf numFmtId="0" fontId="32" fillId="13" borderId="5" xfId="0" applyFont="1" applyFill="1" applyBorder="1" applyAlignment="1">
      <alignment horizontal="center" vertical="top"/>
    </xf>
    <xf numFmtId="0" fontId="32" fillId="12" borderId="5" xfId="0" applyFont="1" applyFill="1" applyBorder="1" applyAlignment="1">
      <alignment horizontal="left" vertical="top"/>
    </xf>
    <xf numFmtId="0" fontId="32" fillId="12" borderId="5" xfId="0" applyFont="1" applyFill="1" applyBorder="1" applyAlignment="1">
      <alignment horizontal="center" vertical="center"/>
    </xf>
    <xf numFmtId="0" fontId="32" fillId="5" borderId="18" xfId="0" applyFont="1" applyFill="1" applyBorder="1" applyAlignment="1">
      <alignment horizontal="left" vertical="top"/>
    </xf>
    <xf numFmtId="0" fontId="32" fillId="5" borderId="42" xfId="0" applyFont="1" applyFill="1" applyBorder="1" applyAlignment="1">
      <alignment horizontal="left" vertical="top"/>
    </xf>
    <xf numFmtId="0" fontId="32" fillId="5" borderId="10" xfId="0" applyFont="1" applyFill="1" applyBorder="1" applyAlignment="1">
      <alignment horizontal="left" vertical="top"/>
    </xf>
    <xf numFmtId="0" fontId="36" fillId="12" borderId="5" xfId="0" applyFont="1" applyFill="1" applyBorder="1" applyAlignment="1">
      <alignment horizontal="left" vertical="top"/>
    </xf>
    <xf numFmtId="0" fontId="32" fillId="5" borderId="18" xfId="0" applyFont="1" applyFill="1" applyBorder="1" applyAlignment="1">
      <alignment wrapText="1"/>
    </xf>
    <xf numFmtId="0" fontId="32" fillId="5" borderId="42" xfId="0" applyFont="1" applyFill="1" applyBorder="1" applyAlignment="1">
      <alignment wrapText="1"/>
    </xf>
    <xf numFmtId="0" fontId="36" fillId="12" borderId="27" xfId="0" applyFont="1" applyFill="1" applyBorder="1" applyAlignment="1">
      <alignment horizontal="center" vertical="center"/>
    </xf>
    <xf numFmtId="0" fontId="36" fillId="12" borderId="28" xfId="0" applyFont="1" applyFill="1" applyBorder="1" applyAlignment="1">
      <alignment horizontal="center" vertical="center" wrapText="1"/>
    </xf>
    <xf numFmtId="0" fontId="36" fillId="5" borderId="50" xfId="0" applyFont="1" applyFill="1" applyBorder="1" applyAlignment="1">
      <alignment horizontal="center" vertical="center" wrapText="1"/>
    </xf>
    <xf numFmtId="0" fontId="32" fillId="12" borderId="49" xfId="0" applyFont="1" applyFill="1" applyBorder="1" applyAlignment="1">
      <alignment horizontal="center" vertical="center" wrapText="1"/>
    </xf>
    <xf numFmtId="0" fontId="36" fillId="3" borderId="12" xfId="0" applyFont="1" applyFill="1" applyBorder="1" applyAlignment="1" applyProtection="1">
      <alignment horizontal="center" vertical="center" wrapText="1"/>
      <protection locked="0"/>
    </xf>
    <xf numFmtId="0" fontId="36" fillId="3" borderId="21" xfId="0" applyFont="1" applyFill="1" applyBorder="1" applyAlignment="1" applyProtection="1">
      <alignment horizontal="center" vertical="center" wrapText="1"/>
      <protection locked="0"/>
    </xf>
    <xf numFmtId="0" fontId="32" fillId="12" borderId="25" xfId="0" applyFont="1" applyFill="1" applyBorder="1" applyAlignment="1">
      <alignment horizontal="center" vertical="center" wrapText="1"/>
    </xf>
    <xf numFmtId="0" fontId="32" fillId="3" borderId="2" xfId="0" applyFont="1" applyFill="1" applyBorder="1" applyAlignment="1" applyProtection="1">
      <alignment wrapText="1"/>
      <protection locked="0"/>
    </xf>
    <xf numFmtId="0" fontId="32" fillId="12" borderId="55" xfId="0" applyFont="1" applyFill="1" applyBorder="1" applyAlignment="1">
      <alignment horizontal="center" vertical="center" wrapText="1"/>
    </xf>
    <xf numFmtId="0" fontId="32" fillId="12" borderId="12" xfId="0" applyFont="1" applyFill="1" applyBorder="1" applyAlignment="1">
      <alignment horizontal="center" vertical="center" wrapText="1"/>
    </xf>
    <xf numFmtId="0" fontId="32" fillId="10" borderId="57" xfId="0" applyFont="1" applyFill="1" applyBorder="1" applyAlignment="1">
      <alignment horizontal="center" vertical="center" wrapText="1"/>
    </xf>
    <xf numFmtId="0" fontId="20" fillId="10" borderId="0" xfId="0" applyFont="1" applyFill="1"/>
    <xf numFmtId="0" fontId="36" fillId="11" borderId="0" xfId="0" applyFont="1" applyFill="1" applyAlignment="1">
      <alignment horizontal="center" vertical="center"/>
    </xf>
    <xf numFmtId="0" fontId="32" fillId="0" borderId="44" xfId="0" applyFont="1" applyBorder="1" applyAlignment="1">
      <alignment horizontal="center" vertical="center" wrapText="1"/>
    </xf>
    <xf numFmtId="0" fontId="36" fillId="0" borderId="12" xfId="0" applyFont="1" applyBorder="1" applyAlignment="1" applyProtection="1">
      <alignment horizontal="center" vertical="center" wrapText="1"/>
      <protection locked="0"/>
    </xf>
    <xf numFmtId="0" fontId="32" fillId="0" borderId="25" xfId="0" applyFont="1" applyBorder="1" applyAlignment="1" applyProtection="1">
      <alignment wrapText="1"/>
      <protection locked="0"/>
    </xf>
    <xf numFmtId="0" fontId="32" fillId="0" borderId="26" xfId="0" applyFont="1" applyBorder="1" applyAlignment="1" applyProtection="1">
      <alignment wrapText="1"/>
      <protection locked="0"/>
    </xf>
    <xf numFmtId="0" fontId="32" fillId="0" borderId="18" xfId="0" applyFont="1" applyBorder="1" applyAlignment="1" applyProtection="1">
      <alignment horizontal="center" vertical="center" wrapText="1"/>
      <protection locked="0"/>
    </xf>
    <xf numFmtId="0" fontId="32" fillId="12" borderId="57" xfId="0" applyFont="1" applyFill="1" applyBorder="1"/>
    <xf numFmtId="0" fontId="32" fillId="3" borderId="5" xfId="0" applyFont="1" applyFill="1" applyBorder="1" applyAlignment="1">
      <alignment horizontal="center" vertical="top" wrapText="1"/>
    </xf>
    <xf numFmtId="0" fontId="32" fillId="12" borderId="31" xfId="0" applyFont="1" applyFill="1" applyBorder="1"/>
    <xf numFmtId="0" fontId="15" fillId="10" borderId="0" xfId="0" applyFont="1" applyFill="1"/>
    <xf numFmtId="0" fontId="32" fillId="9" borderId="5" xfId="0" applyFont="1" applyFill="1" applyBorder="1" applyAlignment="1">
      <alignment horizontal="center" vertical="top" wrapText="1"/>
    </xf>
    <xf numFmtId="0" fontId="32" fillId="12" borderId="59" xfId="0" applyFont="1" applyFill="1" applyBorder="1" applyAlignment="1">
      <alignment horizontal="center" vertical="center" wrapText="1"/>
    </xf>
    <xf numFmtId="0" fontId="32" fillId="12" borderId="5" xfId="0" applyFont="1" applyFill="1" applyBorder="1" applyAlignment="1">
      <alignment wrapText="1"/>
    </xf>
    <xf numFmtId="0" fontId="36" fillId="12" borderId="58" xfId="0" applyFont="1" applyFill="1" applyBorder="1" applyAlignment="1">
      <alignment horizontal="center" vertical="center" wrapText="1"/>
    </xf>
    <xf numFmtId="0" fontId="32" fillId="3" borderId="5" xfId="0" applyFont="1" applyFill="1" applyBorder="1" applyAlignment="1">
      <alignment horizontal="center" vertical="top"/>
    </xf>
    <xf numFmtId="2" fontId="32" fillId="12" borderId="2" xfId="0" applyNumberFormat="1" applyFont="1" applyFill="1" applyBorder="1" applyAlignment="1">
      <alignment horizontal="center" vertical="center" wrapText="1"/>
    </xf>
    <xf numFmtId="2" fontId="32" fillId="12" borderId="42" xfId="0" applyNumberFormat="1" applyFont="1" applyFill="1" applyBorder="1" applyAlignment="1">
      <alignment horizontal="center" vertical="center" wrapText="1"/>
    </xf>
    <xf numFmtId="2" fontId="36" fillId="12" borderId="0" xfId="0" applyNumberFormat="1" applyFont="1" applyFill="1" applyAlignment="1">
      <alignment horizontal="center" vertical="center"/>
    </xf>
    <xf numFmtId="0" fontId="26" fillId="10" borderId="0" xfId="0" applyFont="1" applyFill="1"/>
    <xf numFmtId="0" fontId="26" fillId="10" borderId="0" xfId="0" applyFont="1" applyFill="1" applyAlignment="1">
      <alignment horizontal="center" vertical="center"/>
    </xf>
    <xf numFmtId="0" fontId="28" fillId="10" borderId="0" xfId="0" applyFont="1" applyFill="1"/>
    <xf numFmtId="0" fontId="28" fillId="10" borderId="0" xfId="0" applyFont="1" applyFill="1" applyAlignment="1">
      <alignment horizontal="center"/>
    </xf>
    <xf numFmtId="0" fontId="31" fillId="10" borderId="0" xfId="0" applyFont="1" applyFill="1" applyAlignment="1">
      <alignment horizontal="left" vertical="top" wrapText="1"/>
    </xf>
    <xf numFmtId="0" fontId="26" fillId="10" borderId="0" xfId="0" applyFont="1" applyFill="1" applyAlignment="1">
      <alignment horizontal="justify"/>
    </xf>
    <xf numFmtId="0" fontId="40" fillId="0" borderId="42" xfId="0" applyFont="1" applyBorder="1" applyAlignment="1" applyProtection="1">
      <alignment vertical="center"/>
      <protection locked="0"/>
    </xf>
    <xf numFmtId="0" fontId="36" fillId="12" borderId="0" xfId="0" applyFont="1" applyFill="1" applyAlignment="1">
      <alignment wrapText="1"/>
    </xf>
    <xf numFmtId="0" fontId="32" fillId="5" borderId="13" xfId="0" applyFont="1" applyFill="1" applyBorder="1" applyAlignment="1">
      <alignment horizontal="center" vertical="center"/>
    </xf>
    <xf numFmtId="2" fontId="32" fillId="13" borderId="21" xfId="0" applyNumberFormat="1" applyFont="1" applyFill="1" applyBorder="1" applyAlignment="1">
      <alignment horizontal="center" vertical="center" wrapText="1"/>
    </xf>
    <xf numFmtId="0" fontId="36" fillId="5" borderId="27" xfId="0" applyFont="1" applyFill="1" applyBorder="1" applyAlignment="1">
      <alignment horizontal="center" vertical="center" wrapText="1"/>
    </xf>
    <xf numFmtId="0" fontId="36" fillId="5" borderId="37"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2" fillId="5" borderId="12" xfId="0" applyFont="1" applyFill="1" applyBorder="1" applyAlignment="1">
      <alignment horizontal="center" vertical="center"/>
    </xf>
    <xf numFmtId="0" fontId="36" fillId="3" borderId="42" xfId="0" applyFont="1" applyFill="1" applyBorder="1" applyAlignment="1" applyProtection="1">
      <alignment horizontal="center" vertical="center" wrapText="1"/>
      <protection locked="0"/>
    </xf>
    <xf numFmtId="0" fontId="36" fillId="3" borderId="18" xfId="0" applyFont="1" applyFill="1" applyBorder="1" applyAlignment="1" applyProtection="1">
      <alignment horizontal="center" vertical="center" wrapText="1"/>
      <protection locked="0"/>
    </xf>
    <xf numFmtId="0" fontId="32" fillId="3" borderId="58" xfId="0" applyFont="1" applyFill="1" applyBorder="1" applyAlignment="1" applyProtection="1">
      <alignment horizontal="center" vertical="center" wrapText="1"/>
      <protection locked="0"/>
    </xf>
    <xf numFmtId="2" fontId="32" fillId="3" borderId="32" xfId="0" applyNumberFormat="1" applyFont="1" applyFill="1" applyBorder="1" applyAlignment="1" applyProtection="1">
      <alignment horizontal="center" vertical="center" wrapText="1"/>
      <protection locked="0"/>
    </xf>
    <xf numFmtId="0" fontId="17" fillId="12" borderId="0" xfId="0" applyFont="1" applyFill="1" applyAlignment="1">
      <alignment vertical="center" wrapText="1"/>
    </xf>
    <xf numFmtId="0" fontId="32" fillId="3" borderId="32" xfId="0" applyFont="1" applyFill="1" applyBorder="1" applyAlignment="1" applyProtection="1">
      <alignment horizontal="center" vertical="center" wrapText="1"/>
      <protection locked="0"/>
    </xf>
    <xf numFmtId="0" fontId="22" fillId="12" borderId="0" xfId="0" applyFont="1" applyFill="1"/>
    <xf numFmtId="0" fontId="21" fillId="12" borderId="0" xfId="0" applyFont="1" applyFill="1"/>
    <xf numFmtId="0" fontId="32" fillId="12" borderId="5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2" fillId="12" borderId="5" xfId="0" applyFont="1" applyFill="1" applyBorder="1" applyAlignment="1">
      <alignment horizontal="center" vertical="center" wrapText="1"/>
    </xf>
    <xf numFmtId="0" fontId="21" fillId="5" borderId="5" xfId="0" applyFont="1" applyFill="1" applyBorder="1"/>
    <xf numFmtId="0" fontId="36" fillId="5" borderId="5" xfId="0" applyFont="1" applyFill="1" applyBorder="1" applyAlignment="1">
      <alignment horizontal="center" vertical="center"/>
    </xf>
    <xf numFmtId="0" fontId="33" fillId="12" borderId="3" xfId="0" applyFont="1" applyFill="1" applyBorder="1"/>
    <xf numFmtId="0" fontId="33" fillId="5" borderId="16" xfId="0" applyFont="1" applyFill="1" applyBorder="1"/>
    <xf numFmtId="0" fontId="36" fillId="5" borderId="5" xfId="0" applyFont="1" applyFill="1" applyBorder="1"/>
    <xf numFmtId="0" fontId="32" fillId="5" borderId="0" xfId="0" applyFont="1" applyFill="1" applyAlignment="1">
      <alignment wrapText="1"/>
    </xf>
    <xf numFmtId="0" fontId="36" fillId="5" borderId="0" xfId="0" applyFont="1" applyFill="1" applyAlignment="1">
      <alignment wrapText="1"/>
    </xf>
    <xf numFmtId="0" fontId="17" fillId="5" borderId="4" xfId="0" applyFont="1" applyFill="1" applyBorder="1"/>
    <xf numFmtId="0" fontId="36" fillId="5" borderId="42" xfId="0" applyFont="1" applyFill="1" applyBorder="1" applyAlignment="1">
      <alignment horizontal="center" vertical="center"/>
    </xf>
    <xf numFmtId="17" fontId="32" fillId="5" borderId="5" xfId="0" applyNumberFormat="1" applyFont="1" applyFill="1" applyBorder="1" applyAlignment="1">
      <alignment horizontal="center" vertical="center" wrapText="1"/>
    </xf>
    <xf numFmtId="0" fontId="14" fillId="12" borderId="71" xfId="0" applyFont="1" applyFill="1" applyBorder="1" applyAlignment="1">
      <alignment vertical="center"/>
    </xf>
    <xf numFmtId="0" fontId="32" fillId="5" borderId="9" xfId="0" applyFont="1" applyFill="1" applyBorder="1"/>
    <xf numFmtId="0" fontId="32" fillId="5" borderId="11" xfId="0" applyFont="1" applyFill="1" applyBorder="1"/>
    <xf numFmtId="0" fontId="36" fillId="5" borderId="28" xfId="0" applyFont="1" applyFill="1" applyBorder="1"/>
    <xf numFmtId="0" fontId="36" fillId="5" borderId="73" xfId="0" applyFont="1" applyFill="1" applyBorder="1" applyAlignment="1">
      <alignment vertical="center" wrapText="1"/>
    </xf>
    <xf numFmtId="0" fontId="36" fillId="5" borderId="37" xfId="0" applyFont="1" applyFill="1" applyBorder="1" applyAlignment="1">
      <alignment vertical="center" wrapText="1"/>
    </xf>
    <xf numFmtId="0" fontId="36" fillId="5" borderId="62" xfId="0" applyFont="1" applyFill="1" applyBorder="1" applyAlignment="1">
      <alignment vertical="center" wrapText="1"/>
    </xf>
    <xf numFmtId="0" fontId="32" fillId="5" borderId="10" xfId="0" applyFont="1" applyFill="1" applyBorder="1"/>
    <xf numFmtId="0" fontId="32" fillId="5" borderId="25" xfId="0" applyFont="1" applyFill="1" applyBorder="1"/>
    <xf numFmtId="0" fontId="32" fillId="13" borderId="26" xfId="0" applyFont="1" applyFill="1" applyBorder="1"/>
    <xf numFmtId="0" fontId="32" fillId="5" borderId="10"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0" borderId="21" xfId="0" applyFont="1" applyBorder="1"/>
    <xf numFmtId="0" fontId="32" fillId="12" borderId="3" xfId="0" applyFont="1" applyFill="1" applyBorder="1"/>
    <xf numFmtId="0" fontId="32" fillId="0" borderId="22" xfId="0" applyFont="1" applyBorder="1"/>
    <xf numFmtId="0" fontId="36" fillId="5" borderId="2" xfId="0" applyFont="1" applyFill="1" applyBorder="1" applyAlignment="1">
      <alignment horizontal="center" vertical="center" wrapText="1"/>
    </xf>
    <xf numFmtId="0" fontId="36" fillId="12" borderId="5" xfId="0" applyFont="1" applyFill="1" applyBorder="1" applyAlignment="1">
      <alignment horizontal="center" vertical="center"/>
    </xf>
    <xf numFmtId="0" fontId="33" fillId="12" borderId="65" xfId="0" applyFont="1" applyFill="1" applyBorder="1"/>
    <xf numFmtId="0" fontId="37" fillId="12" borderId="0" xfId="10" applyFont="1" applyFill="1" applyAlignment="1">
      <alignment vertical="center" wrapText="1"/>
    </xf>
    <xf numFmtId="0" fontId="37" fillId="12" borderId="68" xfId="10" applyFont="1" applyFill="1" applyBorder="1" applyAlignment="1">
      <alignment vertical="center" wrapText="1"/>
    </xf>
    <xf numFmtId="0" fontId="41" fillId="5" borderId="5" xfId="0" applyFont="1" applyFill="1" applyBorder="1" applyAlignment="1">
      <alignment vertical="center" wrapText="1"/>
    </xf>
    <xf numFmtId="0" fontId="21" fillId="5" borderId="6" xfId="0" applyFont="1" applyFill="1" applyBorder="1"/>
    <xf numFmtId="0" fontId="36" fillId="3" borderId="32" xfId="0" applyFont="1" applyFill="1" applyBorder="1" applyAlignment="1" applyProtection="1">
      <alignment horizontal="center" vertical="center" wrapText="1"/>
      <protection locked="0"/>
    </xf>
    <xf numFmtId="2" fontId="32" fillId="12" borderId="0" xfId="0" applyNumberFormat="1" applyFont="1" applyFill="1" applyAlignment="1">
      <alignment vertical="center"/>
    </xf>
    <xf numFmtId="0" fontId="32" fillId="12" borderId="0" xfId="0" applyFont="1" applyFill="1" applyAlignment="1">
      <alignment vertical="center"/>
    </xf>
    <xf numFmtId="0" fontId="32" fillId="0" borderId="13" xfId="0" applyFont="1" applyBorder="1" applyAlignment="1" applyProtection="1">
      <alignment horizontal="center" vertical="center" wrapText="1"/>
      <protection locked="0"/>
    </xf>
    <xf numFmtId="0" fontId="32" fillId="0" borderId="58" xfId="0" applyFont="1" applyBorder="1" applyAlignment="1" applyProtection="1">
      <alignment horizontal="center" vertical="center" wrapText="1"/>
      <protection locked="0"/>
    </xf>
    <xf numFmtId="0" fontId="32" fillId="0" borderId="32" xfId="0" applyFont="1" applyBorder="1" applyAlignment="1" applyProtection="1">
      <alignment horizontal="center" vertical="center" wrapText="1"/>
      <protection locked="0"/>
    </xf>
    <xf numFmtId="0" fontId="32" fillId="9" borderId="18" xfId="0" applyFont="1" applyFill="1" applyBorder="1" applyAlignment="1">
      <alignment horizontal="center" vertical="top"/>
    </xf>
    <xf numFmtId="0" fontId="32" fillId="0" borderId="22" xfId="0" applyFont="1" applyBorder="1" applyAlignment="1" applyProtection="1">
      <alignment horizontal="center" vertical="center" wrapText="1"/>
      <protection locked="0"/>
    </xf>
    <xf numFmtId="0" fontId="32" fillId="9" borderId="18" xfId="0" applyFont="1" applyFill="1" applyBorder="1" applyAlignment="1">
      <alignment horizontal="center" vertical="top" wrapText="1"/>
    </xf>
    <xf numFmtId="0" fontId="32" fillId="0" borderId="13" xfId="0" applyFont="1" applyBorder="1" applyAlignment="1" applyProtection="1">
      <alignment wrapText="1"/>
      <protection locked="0"/>
    </xf>
    <xf numFmtId="0" fontId="32" fillId="0" borderId="22" xfId="0" applyFont="1" applyBorder="1" applyAlignment="1" applyProtection="1">
      <alignment wrapText="1"/>
      <protection locked="0"/>
    </xf>
    <xf numFmtId="0" fontId="36" fillId="12" borderId="33" xfId="0" applyFont="1" applyFill="1" applyBorder="1" applyAlignment="1">
      <alignment horizontal="center" vertical="center" wrapText="1"/>
    </xf>
    <xf numFmtId="0" fontId="32" fillId="3" borderId="18" xfId="0" applyFont="1" applyFill="1" applyBorder="1" applyAlignment="1">
      <alignment horizontal="center" vertical="top" wrapText="1"/>
    </xf>
    <xf numFmtId="0" fontId="15" fillId="5" borderId="54" xfId="0" applyFont="1" applyFill="1" applyBorder="1" applyAlignment="1">
      <alignment horizontal="center" vertical="center" wrapText="1"/>
    </xf>
    <xf numFmtId="0" fontId="20" fillId="5" borderId="29" xfId="0" applyFont="1" applyFill="1" applyBorder="1" applyAlignment="1">
      <alignment horizontal="center" vertical="center" wrapText="1"/>
    </xf>
    <xf numFmtId="0" fontId="49" fillId="5" borderId="0" xfId="0" applyFont="1" applyFill="1"/>
    <xf numFmtId="0" fontId="32" fillId="5" borderId="5" xfId="0" applyFont="1" applyFill="1" applyBorder="1" applyAlignment="1">
      <alignment horizontal="center" vertical="top"/>
    </xf>
    <xf numFmtId="0" fontId="32" fillId="5" borderId="5" xfId="0" applyFont="1" applyFill="1" applyBorder="1" applyAlignment="1">
      <alignment vertical="top"/>
    </xf>
    <xf numFmtId="0" fontId="20" fillId="5" borderId="44" xfId="0" applyFont="1" applyFill="1" applyBorder="1" applyAlignment="1">
      <alignment horizontal="center" vertical="top" wrapText="1"/>
    </xf>
    <xf numFmtId="0" fontId="20" fillId="5" borderId="36" xfId="0" applyFont="1" applyFill="1" applyBorder="1" applyAlignment="1">
      <alignment horizontal="center" vertical="top" wrapText="1"/>
    </xf>
    <xf numFmtId="0" fontId="20" fillId="5" borderId="70" xfId="0" applyFont="1" applyFill="1" applyBorder="1" applyAlignment="1">
      <alignment horizontal="center" vertical="top" wrapText="1"/>
    </xf>
    <xf numFmtId="0" fontId="20" fillId="5" borderId="16" xfId="0" applyFont="1" applyFill="1" applyBorder="1" applyAlignment="1">
      <alignment horizontal="center" vertical="top"/>
    </xf>
    <xf numFmtId="0" fontId="32" fillId="12" borderId="76" xfId="0" applyFont="1" applyFill="1" applyBorder="1"/>
    <xf numFmtId="0" fontId="32" fillId="12" borderId="77" xfId="0" applyFont="1" applyFill="1" applyBorder="1"/>
    <xf numFmtId="2" fontId="32" fillId="12" borderId="77" xfId="0" applyNumberFormat="1" applyFont="1" applyFill="1" applyBorder="1"/>
    <xf numFmtId="0" fontId="20" fillId="5" borderId="17" xfId="0" applyFont="1" applyFill="1" applyBorder="1" applyAlignment="1">
      <alignment horizontal="center" vertical="top" wrapText="1"/>
    </xf>
    <xf numFmtId="0" fontId="20" fillId="5" borderId="5" xfId="0" applyFont="1" applyFill="1" applyBorder="1" applyAlignment="1">
      <alignment horizontal="center" vertical="top" wrapText="1"/>
    </xf>
    <xf numFmtId="0" fontId="32" fillId="11" borderId="5" xfId="0" applyFont="1" applyFill="1" applyBorder="1" applyAlignment="1">
      <alignment horizontal="center" vertical="center" wrapText="1"/>
    </xf>
    <xf numFmtId="0" fontId="32" fillId="11" borderId="5" xfId="0" applyFont="1" applyFill="1" applyBorder="1" applyAlignment="1">
      <alignment vertical="top" wrapText="1"/>
    </xf>
    <xf numFmtId="0" fontId="36" fillId="10" borderId="34" xfId="0" applyFont="1" applyFill="1" applyBorder="1" applyAlignment="1">
      <alignment horizontal="center" vertical="center" wrapText="1"/>
    </xf>
    <xf numFmtId="0" fontId="32" fillId="0" borderId="66" xfId="0" applyFont="1" applyBorder="1" applyAlignment="1" applyProtection="1">
      <alignment horizontal="center" vertical="center" wrapText="1"/>
      <protection locked="0"/>
    </xf>
    <xf numFmtId="0" fontId="32" fillId="0" borderId="51" xfId="0" applyFont="1" applyBorder="1" applyAlignment="1" applyProtection="1">
      <alignment horizontal="center" vertical="center" wrapText="1"/>
      <protection locked="0"/>
    </xf>
    <xf numFmtId="0" fontId="32" fillId="5" borderId="51" xfId="0" applyFont="1" applyFill="1" applyBorder="1" applyAlignment="1">
      <alignment horizontal="center"/>
    </xf>
    <xf numFmtId="0" fontId="32" fillId="5" borderId="13" xfId="0" applyFont="1" applyFill="1" applyBorder="1" applyAlignment="1">
      <alignment vertical="center" wrapText="1"/>
    </xf>
    <xf numFmtId="0" fontId="32" fillId="11" borderId="25" xfId="0" applyFont="1" applyFill="1" applyBorder="1" applyAlignment="1">
      <alignment horizontal="center" vertical="center"/>
    </xf>
    <xf numFmtId="0" fontId="32" fillId="11" borderId="42" xfId="0" applyFont="1" applyFill="1" applyBorder="1" applyAlignment="1">
      <alignment horizontal="center" vertical="center"/>
    </xf>
    <xf numFmtId="0" fontId="32" fillId="11" borderId="12" xfId="0" applyFont="1" applyFill="1" applyBorder="1" applyAlignment="1">
      <alignment horizontal="center" vertical="center"/>
    </xf>
    <xf numFmtId="0" fontId="32" fillId="11" borderId="5" xfId="0" applyFont="1" applyFill="1" applyBorder="1" applyAlignment="1">
      <alignment horizontal="center" vertical="center"/>
    </xf>
    <xf numFmtId="0" fontId="32" fillId="11" borderId="13" xfId="0" applyFont="1" applyFill="1" applyBorder="1" applyAlignment="1">
      <alignment horizontal="center" vertical="center"/>
    </xf>
    <xf numFmtId="0" fontId="32" fillId="11"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2" fillId="11" borderId="14" xfId="0" applyFont="1" applyFill="1" applyBorder="1" applyAlignment="1">
      <alignment horizontal="center" vertical="center"/>
    </xf>
    <xf numFmtId="0" fontId="32" fillId="11" borderId="17" xfId="0" applyFont="1" applyFill="1" applyBorder="1" applyAlignment="1">
      <alignment horizontal="center" vertical="center"/>
    </xf>
    <xf numFmtId="0" fontId="32" fillId="11" borderId="9" xfId="0" applyFont="1" applyFill="1" applyBorder="1" applyAlignment="1">
      <alignment horizontal="center" vertical="center"/>
    </xf>
    <xf numFmtId="0" fontId="32" fillId="11" borderId="10" xfId="0" applyFont="1" applyFill="1" applyBorder="1" applyAlignment="1">
      <alignment horizontal="center" vertical="center"/>
    </xf>
    <xf numFmtId="0" fontId="32" fillId="5" borderId="7"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9" fillId="5" borderId="5" xfId="0" applyFont="1" applyFill="1" applyBorder="1" applyAlignment="1">
      <alignment horizontal="center"/>
    </xf>
    <xf numFmtId="0" fontId="36" fillId="11" borderId="23" xfId="0" applyFont="1" applyFill="1" applyBorder="1" applyAlignment="1">
      <alignment horizontal="center" vertical="center" wrapText="1"/>
    </xf>
    <xf numFmtId="0" fontId="36" fillId="11" borderId="34" xfId="0" applyFont="1" applyFill="1" applyBorder="1" applyAlignment="1">
      <alignment horizontal="center" vertical="center" wrapText="1"/>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11" borderId="48" xfId="0" applyFont="1" applyFill="1" applyBorder="1" applyAlignment="1">
      <alignment horizontal="center" vertical="center" wrapText="1"/>
    </xf>
    <xf numFmtId="0" fontId="32" fillId="0" borderId="72" xfId="0" applyFont="1" applyBorder="1" applyAlignment="1" applyProtection="1">
      <alignment horizontal="center" vertical="center" wrapText="1"/>
      <protection locked="0"/>
    </xf>
    <xf numFmtId="0" fontId="32" fillId="0" borderId="69" xfId="0" applyFont="1" applyBorder="1" applyAlignment="1" applyProtection="1">
      <alignment horizontal="center" vertical="center" wrapText="1"/>
      <protection locked="0"/>
    </xf>
    <xf numFmtId="0" fontId="32" fillId="0" borderId="40" xfId="0" applyFont="1" applyBorder="1" applyAlignment="1" applyProtection="1">
      <alignment horizontal="center" vertical="center" wrapText="1"/>
      <protection locked="0"/>
    </xf>
    <xf numFmtId="0" fontId="32" fillId="3" borderId="18" xfId="0" applyFont="1" applyFill="1" applyBorder="1" applyAlignment="1">
      <alignment horizontal="center" vertical="top"/>
    </xf>
    <xf numFmtId="0" fontId="32" fillId="3" borderId="51" xfId="0" applyFont="1" applyFill="1" applyBorder="1" applyAlignment="1" applyProtection="1">
      <alignment horizontal="center" vertical="center" wrapText="1"/>
      <protection locked="0"/>
    </xf>
    <xf numFmtId="0" fontId="32" fillId="3" borderId="42" xfId="0" applyFont="1" applyFill="1" applyBorder="1" applyAlignment="1">
      <alignment horizontal="center" vertical="top"/>
    </xf>
    <xf numFmtId="0" fontId="32" fillId="9" borderId="42" xfId="0" applyFont="1" applyFill="1" applyBorder="1" applyAlignment="1">
      <alignment horizontal="center" vertical="top" wrapText="1"/>
    </xf>
    <xf numFmtId="0" fontId="36" fillId="11" borderId="25"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26" xfId="0" applyFont="1" applyFill="1" applyBorder="1" applyAlignment="1">
      <alignment vertical="center"/>
    </xf>
    <xf numFmtId="0" fontId="32" fillId="10" borderId="4" xfId="0" applyFont="1" applyFill="1" applyBorder="1"/>
    <xf numFmtId="0" fontId="32" fillId="10" borderId="31" xfId="0" applyFont="1" applyFill="1" applyBorder="1"/>
    <xf numFmtId="0" fontId="32" fillId="10" borderId="3" xfId="0" applyFont="1" applyFill="1" applyBorder="1"/>
    <xf numFmtId="0" fontId="32" fillId="3" borderId="16" xfId="0" applyFont="1" applyFill="1" applyBorder="1" applyAlignment="1" applyProtection="1">
      <alignment horizontal="center" vertical="center" wrapText="1"/>
      <protection locked="0"/>
    </xf>
    <xf numFmtId="0" fontId="32" fillId="3" borderId="63" xfId="0" applyFont="1" applyFill="1" applyBorder="1" applyAlignment="1" applyProtection="1">
      <alignment horizontal="center" vertical="center" wrapText="1"/>
      <protection locked="0"/>
    </xf>
    <xf numFmtId="0" fontId="36" fillId="10" borderId="0" xfId="0" applyFont="1" applyFill="1" applyAlignment="1">
      <alignment wrapText="1"/>
    </xf>
    <xf numFmtId="0" fontId="36" fillId="11" borderId="69" xfId="0" applyFont="1" applyFill="1" applyBorder="1" applyAlignment="1">
      <alignment horizontal="center" vertical="center" wrapText="1"/>
    </xf>
    <xf numFmtId="0" fontId="36" fillId="11" borderId="75"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2" fillId="9" borderId="31" xfId="0" applyFont="1" applyFill="1" applyBorder="1" applyAlignment="1">
      <alignment horizontal="center" vertical="top" wrapText="1"/>
    </xf>
    <xf numFmtId="0" fontId="36" fillId="11" borderId="60"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11" borderId="47" xfId="0" applyFont="1" applyFill="1" applyBorder="1"/>
    <xf numFmtId="2" fontId="32" fillId="3" borderId="3" xfId="0" applyNumberFormat="1" applyFont="1" applyFill="1" applyBorder="1" applyAlignment="1" applyProtection="1">
      <alignment horizontal="center" vertical="center" wrapText="1"/>
      <protection locked="0"/>
    </xf>
    <xf numFmtId="0" fontId="14" fillId="10" borderId="0" xfId="0" applyFont="1" applyFill="1"/>
    <xf numFmtId="0" fontId="43" fillId="12" borderId="0" xfId="0" applyFont="1" applyFill="1" applyAlignment="1">
      <alignment vertical="center" wrapText="1"/>
    </xf>
    <xf numFmtId="0" fontId="14" fillId="12" borderId="0" xfId="0" applyFont="1" applyFill="1"/>
    <xf numFmtId="0" fontId="34" fillId="10" borderId="0" xfId="0" applyFont="1" applyFill="1" applyAlignment="1">
      <alignment vertical="center" wrapText="1"/>
    </xf>
    <xf numFmtId="0" fontId="14" fillId="12" borderId="34" xfId="0" applyFont="1" applyFill="1" applyBorder="1"/>
    <xf numFmtId="0" fontId="14" fillId="12" borderId="0" xfId="0" applyFont="1" applyFill="1" applyAlignment="1">
      <alignment vertical="center" wrapText="1"/>
    </xf>
    <xf numFmtId="0" fontId="36" fillId="5" borderId="25" xfId="0" applyFont="1" applyFill="1" applyBorder="1" applyAlignment="1" applyProtection="1">
      <alignment horizontal="center" vertical="center" wrapText="1"/>
      <protection locked="0"/>
    </xf>
    <xf numFmtId="0" fontId="36" fillId="5" borderId="26" xfId="0" applyFont="1" applyFill="1" applyBorder="1" applyAlignment="1" applyProtection="1">
      <alignment horizontal="center" vertical="center" wrapText="1"/>
      <protection locked="0"/>
    </xf>
    <xf numFmtId="0" fontId="36" fillId="7" borderId="25"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7" borderId="42" xfId="0" applyFont="1" applyFill="1" applyBorder="1" applyAlignment="1">
      <alignment horizontal="center" vertical="center" wrapText="1"/>
    </xf>
    <xf numFmtId="0" fontId="36" fillId="7" borderId="26" xfId="0" applyFont="1" applyFill="1" applyBorder="1" applyAlignment="1">
      <alignment horizontal="center" vertical="center" wrapText="1"/>
    </xf>
    <xf numFmtId="0" fontId="32" fillId="3" borderId="72" xfId="0" applyFont="1" applyFill="1" applyBorder="1" applyAlignment="1" applyProtection="1">
      <alignment horizontal="center" vertical="center" wrapText="1"/>
      <protection locked="0"/>
    </xf>
    <xf numFmtId="0" fontId="32" fillId="3" borderId="69" xfId="0" applyFont="1" applyFill="1" applyBorder="1" applyAlignment="1" applyProtection="1">
      <alignment horizontal="center" vertical="center" wrapText="1"/>
      <protection locked="0"/>
    </xf>
    <xf numFmtId="0" fontId="36" fillId="5" borderId="72" xfId="0" applyFont="1" applyFill="1" applyBorder="1" applyAlignment="1">
      <alignment vertical="center" wrapText="1"/>
    </xf>
    <xf numFmtId="0" fontId="36" fillId="5" borderId="75" xfId="0" applyFont="1" applyFill="1" applyBorder="1" applyAlignment="1">
      <alignment vertical="center" wrapText="1"/>
    </xf>
    <xf numFmtId="0" fontId="36" fillId="5" borderId="69" xfId="0" applyFont="1" applyFill="1" applyBorder="1" applyAlignment="1">
      <alignment vertical="center" wrapText="1"/>
    </xf>
    <xf numFmtId="0" fontId="32" fillId="0" borderId="55" xfId="0" applyFont="1" applyBorder="1" applyAlignment="1" applyProtection="1">
      <alignment horizontal="center" vertical="center" wrapText="1"/>
      <protection locked="0"/>
    </xf>
    <xf numFmtId="0" fontId="32" fillId="3" borderId="55" xfId="0" applyFont="1" applyFill="1" applyBorder="1" applyAlignment="1" applyProtection="1">
      <alignment horizontal="center" vertical="center" wrapText="1"/>
      <protection locked="0"/>
    </xf>
    <xf numFmtId="0" fontId="32" fillId="3" borderId="40" xfId="0" applyFont="1" applyFill="1" applyBorder="1" applyAlignment="1" applyProtection="1">
      <alignment horizontal="center" vertical="center" wrapText="1"/>
      <protection locked="0"/>
    </xf>
    <xf numFmtId="0" fontId="32" fillId="3" borderId="44" xfId="0" applyFont="1" applyFill="1" applyBorder="1" applyAlignment="1" applyProtection="1">
      <alignment horizontal="center" vertical="center" wrapText="1"/>
      <protection locked="0"/>
    </xf>
    <xf numFmtId="0" fontId="32" fillId="0" borderId="2" xfId="0" applyFont="1" applyBorder="1" applyAlignment="1" applyProtection="1">
      <alignment wrapText="1"/>
      <protection locked="0"/>
    </xf>
    <xf numFmtId="0" fontId="32" fillId="3" borderId="45" xfId="0" applyFont="1" applyFill="1" applyBorder="1" applyAlignment="1" applyProtection="1">
      <alignment horizontal="center" vertical="center" wrapText="1"/>
      <protection locked="0"/>
    </xf>
    <xf numFmtId="0" fontId="36" fillId="5" borderId="49" xfId="0" applyFont="1" applyFill="1" applyBorder="1" applyAlignment="1">
      <alignment horizontal="center" vertical="center" wrapText="1"/>
    </xf>
    <xf numFmtId="0" fontId="32" fillId="3" borderId="3" xfId="0" applyFont="1" applyFill="1" applyBorder="1" applyAlignment="1" applyProtection="1">
      <alignment horizontal="center" vertical="center" wrapText="1"/>
      <protection locked="0"/>
    </xf>
    <xf numFmtId="0" fontId="32" fillId="0" borderId="72" xfId="0" applyFont="1" applyBorder="1" applyAlignment="1" applyProtection="1">
      <alignment wrapText="1"/>
      <protection locked="0"/>
    </xf>
    <xf numFmtId="0" fontId="32" fillId="0" borderId="75" xfId="0" applyFont="1" applyBorder="1" applyAlignment="1" applyProtection="1">
      <alignment wrapText="1"/>
      <protection locked="0"/>
    </xf>
    <xf numFmtId="0" fontId="32" fillId="3" borderId="57" xfId="0" applyFont="1" applyFill="1" applyBorder="1" applyAlignment="1" applyProtection="1">
      <alignment horizontal="center" vertical="center" wrapText="1"/>
      <protection locked="0"/>
    </xf>
    <xf numFmtId="0" fontId="32" fillId="0" borderId="44" xfId="0" applyFont="1" applyBorder="1" applyAlignment="1" applyProtection="1">
      <alignment horizontal="center" vertical="center" wrapText="1"/>
      <protection locked="0"/>
    </xf>
    <xf numFmtId="0" fontId="36" fillId="12" borderId="27" xfId="0" applyFont="1" applyFill="1" applyBorder="1"/>
    <xf numFmtId="0" fontId="36" fillId="12" borderId="27" xfId="0" applyFont="1" applyFill="1" applyBorder="1" applyAlignment="1">
      <alignment horizontal="center" wrapText="1"/>
    </xf>
    <xf numFmtId="0" fontId="32" fillId="0" borderId="41" xfId="0" applyFont="1" applyBorder="1" applyAlignment="1" applyProtection="1">
      <alignment wrapText="1"/>
      <protection locked="0"/>
    </xf>
    <xf numFmtId="0" fontId="32" fillId="10" borderId="27" xfId="0" applyFont="1" applyFill="1" applyBorder="1"/>
    <xf numFmtId="0" fontId="32" fillId="0" borderId="57" xfId="0" applyFont="1" applyBorder="1" applyAlignment="1">
      <alignment horizontal="center" vertical="center" wrapText="1"/>
    </xf>
    <xf numFmtId="0" fontId="36" fillId="0" borderId="41" xfId="0" applyFont="1" applyBorder="1" applyAlignment="1" applyProtection="1">
      <alignment horizontal="center" vertical="center" wrapText="1"/>
      <protection locked="0"/>
    </xf>
    <xf numFmtId="0" fontId="32" fillId="9" borderId="3" xfId="0" applyFont="1" applyFill="1" applyBorder="1" applyAlignment="1">
      <alignment horizontal="center" vertical="top" wrapText="1"/>
    </xf>
    <xf numFmtId="0" fontId="32" fillId="0" borderId="41" xfId="0" applyFont="1" applyBorder="1" applyAlignment="1" applyProtection="1">
      <alignment horizontal="center" vertical="center" wrapText="1"/>
      <protection locked="0"/>
    </xf>
    <xf numFmtId="0" fontId="32" fillId="0" borderId="43" xfId="0" applyFont="1" applyBorder="1" applyAlignment="1" applyProtection="1">
      <alignment wrapText="1"/>
      <protection locked="0"/>
    </xf>
    <xf numFmtId="0" fontId="36" fillId="12" borderId="27" xfId="0" applyFont="1" applyFill="1" applyBorder="1" applyAlignment="1">
      <alignment wrapText="1"/>
    </xf>
    <xf numFmtId="0" fontId="32" fillId="12" borderId="81" xfId="0" applyFont="1" applyFill="1" applyBorder="1" applyAlignment="1">
      <alignment horizontal="center" vertical="center" wrapText="1"/>
    </xf>
    <xf numFmtId="0" fontId="36" fillId="3" borderId="41" xfId="0" applyFont="1" applyFill="1" applyBorder="1" applyAlignment="1" applyProtection="1">
      <alignment horizontal="center" vertical="center" wrapText="1"/>
      <protection locked="0"/>
    </xf>
    <xf numFmtId="0" fontId="36" fillId="3" borderId="43" xfId="0" applyFont="1" applyFill="1" applyBorder="1" applyAlignment="1" applyProtection="1">
      <alignment horizontal="center" vertical="center" wrapText="1"/>
      <protection locked="0"/>
    </xf>
    <xf numFmtId="0" fontId="32" fillId="12" borderId="41" xfId="0" applyFont="1" applyFill="1" applyBorder="1" applyAlignment="1">
      <alignment horizontal="center" vertical="center" wrapText="1"/>
    </xf>
    <xf numFmtId="0" fontId="32" fillId="3" borderId="65" xfId="0" applyFont="1" applyFill="1" applyBorder="1" applyAlignment="1" applyProtection="1">
      <alignment wrapText="1"/>
      <protection locked="0"/>
    </xf>
    <xf numFmtId="0" fontId="32" fillId="3" borderId="43" xfId="0" applyFont="1" applyFill="1" applyBorder="1" applyAlignment="1" applyProtection="1">
      <alignment wrapText="1"/>
      <protection locked="0"/>
    </xf>
    <xf numFmtId="0" fontId="36" fillId="12" borderId="56" xfId="0" applyFont="1" applyFill="1" applyBorder="1" applyAlignment="1">
      <alignment horizontal="center" vertical="center" wrapText="1"/>
    </xf>
    <xf numFmtId="0" fontId="36" fillId="12" borderId="56" xfId="0" applyFont="1" applyFill="1" applyBorder="1" applyAlignment="1">
      <alignment vertical="center" wrapText="1"/>
    </xf>
    <xf numFmtId="0" fontId="36" fillId="10" borderId="56" xfId="0" applyFont="1" applyFill="1" applyBorder="1" applyAlignment="1">
      <alignment horizontal="center" vertical="center" wrapText="1"/>
    </xf>
    <xf numFmtId="0" fontId="27" fillId="12" borderId="0" xfId="0" applyFont="1" applyFill="1" applyAlignment="1">
      <alignment vertical="center"/>
    </xf>
    <xf numFmtId="0" fontId="14" fillId="10" borderId="0" xfId="0" applyFont="1" applyFill="1" applyAlignment="1">
      <alignment vertical="center" wrapText="1"/>
    </xf>
    <xf numFmtId="0" fontId="14" fillId="12" borderId="0" xfId="0" applyFont="1" applyFill="1" applyAlignment="1">
      <alignment wrapText="1"/>
    </xf>
    <xf numFmtId="0" fontId="32" fillId="3" borderId="8" xfId="0" applyFont="1" applyFill="1" applyBorder="1" applyAlignment="1" applyProtection="1">
      <alignment horizontal="center" vertical="center" wrapText="1"/>
      <protection locked="0"/>
    </xf>
    <xf numFmtId="0" fontId="32" fillId="12" borderId="33" xfId="0" applyFont="1" applyFill="1" applyBorder="1"/>
    <xf numFmtId="0" fontId="36" fillId="5" borderId="60" xfId="0" applyFont="1" applyFill="1" applyBorder="1" applyAlignment="1">
      <alignment horizontal="center" vertical="center" wrapText="1"/>
    </xf>
    <xf numFmtId="0" fontId="32" fillId="0" borderId="8" xfId="0" applyFont="1" applyBorder="1" applyAlignment="1" applyProtection="1">
      <alignment horizontal="center" vertical="center" wrapText="1"/>
      <protection locked="0"/>
    </xf>
    <xf numFmtId="0" fontId="0" fillId="12" borderId="0" xfId="0" applyFill="1" applyAlignment="1">
      <alignment vertical="center"/>
    </xf>
    <xf numFmtId="0" fontId="23" fillId="12" borderId="0" xfId="0" applyFont="1" applyFill="1" applyAlignment="1">
      <alignment horizontal="center" vertical="center" wrapText="1"/>
    </xf>
    <xf numFmtId="0" fontId="24" fillId="12" borderId="0" xfId="0" applyFont="1" applyFill="1" applyAlignment="1">
      <alignment horizontal="center" vertical="center" wrapText="1"/>
    </xf>
    <xf numFmtId="2" fontId="14" fillId="12" borderId="0" xfId="0" applyNumberFormat="1" applyFont="1" applyFill="1" applyAlignment="1">
      <alignment horizontal="center" vertical="center" wrapText="1"/>
    </xf>
    <xf numFmtId="10" fontId="10" fillId="12" borderId="0" xfId="0" applyNumberFormat="1" applyFont="1" applyFill="1"/>
    <xf numFmtId="0" fontId="36" fillId="10" borderId="0" xfId="0" applyFont="1" applyFill="1" applyAlignment="1">
      <alignment horizontal="right"/>
    </xf>
    <xf numFmtId="0" fontId="32" fillId="0" borderId="42" xfId="0" applyFont="1" applyBorder="1" applyAlignment="1" applyProtection="1">
      <alignment horizontal="center" vertical="center"/>
      <protection locked="0"/>
    </xf>
    <xf numFmtId="0" fontId="32" fillId="3" borderId="42" xfId="0" applyFont="1" applyFill="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3" borderId="5" xfId="0" applyFont="1" applyFill="1" applyBorder="1" applyAlignment="1" applyProtection="1">
      <alignment horizontal="center" vertical="center"/>
      <protection locked="0"/>
    </xf>
    <xf numFmtId="0" fontId="32" fillId="3" borderId="18" xfId="0" applyFont="1" applyFill="1" applyBorder="1" applyAlignment="1" applyProtection="1">
      <alignment horizontal="center" vertical="center"/>
      <protection locked="0"/>
    </xf>
    <xf numFmtId="0" fontId="34" fillId="5" borderId="54" xfId="0" applyFont="1" applyFill="1" applyBorder="1"/>
    <xf numFmtId="2" fontId="20" fillId="22" borderId="42" xfId="0" applyNumberFormat="1" applyFont="1" applyFill="1" applyBorder="1" applyAlignment="1">
      <alignment horizontal="center" vertical="center"/>
    </xf>
    <xf numFmtId="2" fontId="20" fillId="22" borderId="26" xfId="0" applyNumberFormat="1" applyFont="1" applyFill="1" applyBorder="1" applyAlignment="1">
      <alignment horizontal="center" vertical="center"/>
    </xf>
    <xf numFmtId="2" fontId="20" fillId="22" borderId="5" xfId="0" applyNumberFormat="1" applyFont="1" applyFill="1" applyBorder="1" applyAlignment="1">
      <alignment horizontal="center" vertical="center"/>
    </xf>
    <xf numFmtId="2" fontId="20" fillId="22" borderId="21" xfId="0" applyNumberFormat="1" applyFont="1" applyFill="1" applyBorder="1" applyAlignment="1">
      <alignment horizontal="center" vertical="center"/>
    </xf>
    <xf numFmtId="2" fontId="20" fillId="22" borderId="52" xfId="0" applyNumberFormat="1" applyFont="1" applyFill="1" applyBorder="1" applyAlignment="1">
      <alignment horizontal="center" vertical="center"/>
    </xf>
    <xf numFmtId="2" fontId="20" fillId="22" borderId="18" xfId="0" applyNumberFormat="1" applyFont="1" applyFill="1" applyBorder="1" applyAlignment="1">
      <alignment horizontal="center" vertical="center"/>
    </xf>
    <xf numFmtId="2" fontId="20" fillId="22" borderId="22" xfId="0" applyNumberFormat="1" applyFont="1" applyFill="1" applyBorder="1" applyAlignment="1">
      <alignment horizontal="center" vertical="center"/>
    </xf>
    <xf numFmtId="164" fontId="20" fillId="22" borderId="42" xfId="0" applyNumberFormat="1" applyFont="1" applyFill="1" applyBorder="1" applyAlignment="1">
      <alignment horizontal="center" vertical="center"/>
    </xf>
    <xf numFmtId="2" fontId="36" fillId="22" borderId="13" xfId="0" applyNumberFormat="1" applyFont="1" applyFill="1" applyBorder="1"/>
    <xf numFmtId="2" fontId="36" fillId="22" borderId="18" xfId="0" applyNumberFormat="1" applyFont="1" applyFill="1" applyBorder="1"/>
    <xf numFmtId="2" fontId="36" fillId="22" borderId="22" xfId="0" applyNumberFormat="1" applyFont="1" applyFill="1" applyBorder="1"/>
    <xf numFmtId="2" fontId="36" fillId="22" borderId="64" xfId="0" applyNumberFormat="1" applyFont="1" applyFill="1" applyBorder="1"/>
    <xf numFmtId="2" fontId="36" fillId="22" borderId="8" xfId="0" applyNumberFormat="1" applyFont="1" applyFill="1" applyBorder="1"/>
    <xf numFmtId="2" fontId="36" fillId="22" borderId="52"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xf>
    <xf numFmtId="2" fontId="32" fillId="22" borderId="30" xfId="0" applyNumberFormat="1" applyFont="1" applyFill="1" applyBorder="1" applyAlignment="1">
      <alignment horizontal="center" vertical="center" wrapText="1"/>
    </xf>
    <xf numFmtId="2" fontId="32" fillId="23" borderId="5"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xf>
    <xf numFmtId="2" fontId="32" fillId="23" borderId="37" xfId="0" applyNumberFormat="1" applyFont="1" applyFill="1" applyBorder="1" applyAlignment="1">
      <alignment horizontal="center" vertical="center" wrapText="1"/>
    </xf>
    <xf numFmtId="2" fontId="32" fillId="23" borderId="42" xfId="0" applyNumberFormat="1" applyFont="1" applyFill="1" applyBorder="1" applyAlignment="1">
      <alignment horizontal="center" vertical="center"/>
    </xf>
    <xf numFmtId="2" fontId="32" fillId="23" borderId="26" xfId="0" applyNumberFormat="1" applyFont="1" applyFill="1" applyBorder="1" applyAlignment="1">
      <alignment horizontal="center" vertical="center"/>
    </xf>
    <xf numFmtId="2" fontId="32" fillId="23" borderId="19" xfId="0" applyNumberFormat="1" applyFont="1" applyFill="1" applyBorder="1" applyAlignment="1">
      <alignment horizontal="center" vertical="center" wrapText="1"/>
    </xf>
    <xf numFmtId="2" fontId="32" fillId="23" borderId="22" xfId="0" applyNumberFormat="1" applyFont="1" applyFill="1" applyBorder="1" applyAlignment="1">
      <alignment horizontal="center" vertical="center" wrapText="1"/>
    </xf>
    <xf numFmtId="2" fontId="32" fillId="23" borderId="19"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wrapText="1"/>
    </xf>
    <xf numFmtId="2" fontId="32" fillId="23" borderId="17" xfId="0" applyNumberFormat="1" applyFont="1" applyFill="1" applyBorder="1" applyAlignment="1">
      <alignment horizontal="center" vertical="center"/>
    </xf>
    <xf numFmtId="2" fontId="32" fillId="23" borderId="18" xfId="0" applyNumberFormat="1" applyFont="1" applyFill="1" applyBorder="1" applyAlignment="1">
      <alignment horizontal="center" vertical="center"/>
    </xf>
    <xf numFmtId="2" fontId="32" fillId="23" borderId="10" xfId="0" applyNumberFormat="1" applyFont="1" applyFill="1" applyBorder="1" applyAlignment="1">
      <alignment horizontal="center" vertical="center"/>
    </xf>
    <xf numFmtId="2" fontId="32" fillId="23" borderId="11" xfId="0" applyNumberFormat="1" applyFont="1" applyFill="1" applyBorder="1" applyAlignment="1">
      <alignment horizontal="center" vertical="center"/>
    </xf>
    <xf numFmtId="2" fontId="32" fillId="23" borderId="5" xfId="0" applyNumberFormat="1" applyFont="1" applyFill="1" applyBorder="1"/>
    <xf numFmtId="2" fontId="32" fillId="23" borderId="66" xfId="0" applyNumberFormat="1" applyFont="1" applyFill="1" applyBorder="1"/>
    <xf numFmtId="2" fontId="32" fillId="23" borderId="66" xfId="0" applyNumberFormat="1" applyFont="1" applyFill="1" applyBorder="1" applyAlignment="1">
      <alignment horizontal="center" vertical="center"/>
    </xf>
    <xf numFmtId="2" fontId="32" fillId="23" borderId="18" xfId="0" applyNumberFormat="1" applyFont="1" applyFill="1" applyBorder="1"/>
    <xf numFmtId="0" fontId="32" fillId="23" borderId="25" xfId="0" applyFont="1" applyFill="1" applyBorder="1" applyAlignment="1">
      <alignment horizontal="center" vertical="center" wrapText="1"/>
    </xf>
    <xf numFmtId="0" fontId="32" fillId="23" borderId="26" xfId="0" applyFont="1" applyFill="1" applyBorder="1" applyAlignment="1">
      <alignment horizontal="center" vertical="center" wrapText="1"/>
    </xf>
    <xf numFmtId="0" fontId="32" fillId="23" borderId="13" xfId="0" applyFont="1" applyFill="1" applyBorder="1" applyAlignment="1">
      <alignment horizontal="center" vertical="center" wrapText="1"/>
    </xf>
    <xf numFmtId="0" fontId="32" fillId="23" borderId="22" xfId="0" applyFont="1" applyFill="1" applyBorder="1" applyAlignment="1">
      <alignment horizontal="center" vertical="center" wrapText="1"/>
    </xf>
    <xf numFmtId="0" fontId="36" fillId="23" borderId="54" xfId="0" applyFont="1" applyFill="1" applyBorder="1" applyAlignment="1">
      <alignment horizontal="right"/>
    </xf>
    <xf numFmtId="2" fontId="36" fillId="22" borderId="54" xfId="0" applyNumberFormat="1" applyFont="1" applyFill="1" applyBorder="1" applyAlignment="1">
      <alignment horizontal="center" vertical="center" wrapText="1"/>
    </xf>
    <xf numFmtId="0" fontId="32" fillId="23" borderId="17" xfId="0" applyFont="1" applyFill="1" applyBorder="1" applyAlignment="1">
      <alignment horizontal="center" vertical="center" wrapText="1"/>
    </xf>
    <xf numFmtId="0" fontId="32" fillId="23" borderId="67" xfId="0" applyFont="1" applyFill="1" applyBorder="1" applyAlignment="1">
      <alignment horizontal="center" vertical="center" wrapText="1"/>
    </xf>
    <xf numFmtId="0" fontId="32" fillId="23" borderId="44" xfId="0" applyFont="1" applyFill="1" applyBorder="1" applyAlignment="1">
      <alignment horizontal="center" vertical="center" wrapText="1"/>
    </xf>
    <xf numFmtId="0" fontId="32" fillId="23" borderId="42" xfId="0" applyFont="1" applyFill="1" applyBorder="1" applyAlignment="1">
      <alignment horizontal="center" vertical="center" wrapText="1"/>
    </xf>
    <xf numFmtId="0" fontId="32" fillId="23" borderId="18" xfId="0" applyFont="1" applyFill="1" applyBorder="1" applyAlignment="1">
      <alignment horizontal="center" vertical="center" wrapText="1"/>
    </xf>
    <xf numFmtId="0" fontId="32" fillId="23" borderId="64" xfId="0" applyFont="1" applyFill="1" applyBorder="1" applyAlignment="1">
      <alignment horizontal="center" vertical="center" wrapText="1"/>
    </xf>
    <xf numFmtId="0" fontId="32" fillId="23" borderId="45" xfId="0" applyFont="1" applyFill="1" applyBorder="1" applyAlignment="1">
      <alignment horizontal="center" vertical="center" wrapText="1"/>
    </xf>
    <xf numFmtId="2" fontId="32" fillId="23" borderId="42" xfId="0" applyNumberFormat="1" applyFont="1" applyFill="1" applyBorder="1" applyAlignment="1">
      <alignment horizontal="center" vertical="center" wrapText="1"/>
    </xf>
    <xf numFmtId="2" fontId="32" fillId="23" borderId="18" xfId="0" applyNumberFormat="1" applyFont="1" applyFill="1" applyBorder="1" applyAlignment="1">
      <alignment horizontal="center" vertical="center" wrapText="1"/>
    </xf>
    <xf numFmtId="2" fontId="32" fillId="22" borderId="49" xfId="0" applyNumberFormat="1" applyFont="1" applyFill="1" applyBorder="1" applyAlignment="1">
      <alignment horizontal="center" vertical="center" wrapText="1"/>
    </xf>
    <xf numFmtId="2" fontId="36" fillId="22" borderId="11" xfId="0" applyNumberFormat="1" applyFont="1" applyFill="1" applyBorder="1" applyAlignment="1">
      <alignment horizontal="center" vertical="center"/>
    </xf>
    <xf numFmtId="2" fontId="32" fillId="22" borderId="42" xfId="0" applyNumberFormat="1" applyFont="1" applyFill="1" applyBorder="1" applyAlignment="1">
      <alignment horizontal="center" vertical="center" wrapText="1"/>
    </xf>
    <xf numFmtId="2" fontId="32" fillId="22" borderId="51" xfId="0" applyNumberFormat="1" applyFont="1" applyFill="1" applyBorder="1" applyAlignment="1">
      <alignment horizontal="center" vertical="center" wrapText="1"/>
    </xf>
    <xf numFmtId="2" fontId="36" fillId="22" borderId="9" xfId="0" applyNumberFormat="1" applyFont="1" applyFill="1" applyBorder="1" applyAlignment="1">
      <alignment horizontal="center" vertical="center"/>
    </xf>
    <xf numFmtId="2" fontId="36" fillId="22" borderId="10" xfId="0" applyNumberFormat="1" applyFont="1" applyFill="1" applyBorder="1" applyAlignment="1">
      <alignment horizontal="center" vertical="center"/>
    </xf>
    <xf numFmtId="2" fontId="36" fillId="22" borderId="11" xfId="0" applyNumberFormat="1" applyFont="1" applyFill="1" applyBorder="1" applyAlignment="1">
      <alignment horizontal="center" vertical="center" wrapText="1"/>
    </xf>
    <xf numFmtId="0" fontId="32" fillId="23" borderId="5" xfId="0" applyFont="1" applyFill="1" applyBorder="1" applyAlignment="1">
      <alignment horizontal="center" vertical="center" wrapText="1"/>
    </xf>
    <xf numFmtId="0" fontId="32" fillId="23" borderId="42" xfId="0" applyFont="1" applyFill="1" applyBorder="1" applyAlignment="1">
      <alignment horizontal="center" vertical="center"/>
    </xf>
    <xf numFmtId="165" fontId="32" fillId="23" borderId="26" xfId="0" applyNumberFormat="1" applyFont="1" applyFill="1" applyBorder="1" applyAlignment="1">
      <alignment horizontal="center" vertical="center" wrapText="1"/>
    </xf>
    <xf numFmtId="0" fontId="32" fillId="23" borderId="6" xfId="0" applyFont="1" applyFill="1" applyBorder="1" applyAlignment="1">
      <alignment horizontal="center" vertical="center" wrapText="1"/>
    </xf>
    <xf numFmtId="0" fontId="32" fillId="23" borderId="21" xfId="0" applyFont="1" applyFill="1" applyBorder="1" applyAlignment="1">
      <alignment horizontal="center" vertical="center" wrapText="1"/>
    </xf>
    <xf numFmtId="165" fontId="32" fillId="23" borderId="21" xfId="0" applyNumberFormat="1" applyFont="1" applyFill="1" applyBorder="1" applyAlignment="1">
      <alignment horizontal="center" vertical="center" wrapText="1"/>
    </xf>
    <xf numFmtId="0" fontId="32" fillId="23" borderId="18" xfId="0" applyFont="1" applyFill="1" applyBorder="1" applyAlignment="1">
      <alignment horizontal="center" vertical="center"/>
    </xf>
    <xf numFmtId="165" fontId="32" fillId="23" borderId="22" xfId="0" applyNumberFormat="1" applyFont="1" applyFill="1" applyBorder="1" applyAlignment="1">
      <alignment horizontal="center" vertical="center" wrapText="1"/>
    </xf>
    <xf numFmtId="0" fontId="32" fillId="23" borderId="58" xfId="0" applyFont="1" applyFill="1" applyBorder="1" applyAlignment="1">
      <alignment horizontal="center" vertical="center" wrapText="1"/>
    </xf>
    <xf numFmtId="2" fontId="32" fillId="22" borderId="67" xfId="0" applyNumberFormat="1" applyFont="1" applyFill="1" applyBorder="1" applyAlignment="1">
      <alignment horizontal="center" vertical="center" wrapText="1"/>
    </xf>
    <xf numFmtId="2" fontId="32" fillId="22" borderId="64" xfId="0" applyNumberFormat="1" applyFont="1" applyFill="1" applyBorder="1" applyAlignment="1">
      <alignment horizontal="center" vertical="center" wrapText="1"/>
    </xf>
    <xf numFmtId="0" fontId="40" fillId="23" borderId="12" xfId="9" applyFont="1" applyFill="1" applyBorder="1" applyAlignment="1">
      <alignment horizontal="center" vertical="center"/>
    </xf>
    <xf numFmtId="2" fontId="32" fillId="23" borderId="5" xfId="0" applyNumberFormat="1" applyFont="1" applyFill="1" applyBorder="1" applyAlignment="1">
      <alignment horizontal="center" vertical="center" wrapText="1"/>
    </xf>
    <xf numFmtId="0" fontId="40" fillId="23" borderId="41" xfId="9" applyFont="1" applyFill="1" applyBorder="1" applyAlignment="1">
      <alignment horizontal="center" vertical="center"/>
    </xf>
    <xf numFmtId="0" fontId="32" fillId="23" borderId="66" xfId="0" applyFont="1" applyFill="1" applyBorder="1" applyAlignment="1">
      <alignment horizontal="center" vertical="center" wrapText="1"/>
    </xf>
    <xf numFmtId="2" fontId="32" fillId="23" borderId="66" xfId="0" applyNumberFormat="1" applyFont="1" applyFill="1" applyBorder="1" applyAlignment="1">
      <alignment horizontal="center" vertical="center" wrapText="1"/>
    </xf>
    <xf numFmtId="0" fontId="32" fillId="23" borderId="43" xfId="0" applyFont="1" applyFill="1" applyBorder="1" applyAlignment="1">
      <alignment horizontal="center" vertical="center" wrapText="1"/>
    </xf>
    <xf numFmtId="0" fontId="32" fillId="23" borderId="12" xfId="0" applyFont="1" applyFill="1" applyBorder="1" applyAlignment="1">
      <alignment horizontal="center" vertical="center" wrapText="1"/>
    </xf>
    <xf numFmtId="0" fontId="32" fillId="23" borderId="41" xfId="0" applyFont="1" applyFill="1" applyBorder="1" applyAlignment="1">
      <alignment horizontal="center" vertical="center" wrapText="1"/>
    </xf>
    <xf numFmtId="0" fontId="32" fillId="23" borderId="2" xfId="0" applyFont="1" applyFill="1" applyBorder="1" applyAlignment="1">
      <alignment horizontal="center" vertical="center"/>
    </xf>
    <xf numFmtId="0" fontId="32" fillId="23" borderId="60" xfId="0" applyFont="1" applyFill="1" applyBorder="1" applyAlignment="1">
      <alignment horizontal="center" vertical="center" wrapText="1"/>
    </xf>
    <xf numFmtId="165" fontId="32" fillId="23" borderId="43" xfId="0" applyNumberFormat="1" applyFont="1" applyFill="1" applyBorder="1" applyAlignment="1">
      <alignment horizontal="center" vertical="center" wrapText="1"/>
    </xf>
    <xf numFmtId="2" fontId="32" fillId="22" borderId="81"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wrapText="1"/>
    </xf>
    <xf numFmtId="0" fontId="32" fillId="23" borderId="5" xfId="0" applyFont="1" applyFill="1" applyBorder="1" applyAlignment="1">
      <alignment horizontal="center" vertical="center"/>
    </xf>
    <xf numFmtId="2" fontId="32" fillId="22" borderId="26" xfId="0" applyNumberFormat="1" applyFont="1" applyFill="1" applyBorder="1" applyAlignment="1">
      <alignment horizontal="center" vertical="center" wrapText="1"/>
    </xf>
    <xf numFmtId="2" fontId="32" fillId="22" borderId="22" xfId="0" applyNumberFormat="1" applyFont="1" applyFill="1" applyBorder="1" applyAlignment="1">
      <alignment horizontal="center" vertical="center" wrapText="1"/>
    </xf>
    <xf numFmtId="0" fontId="40" fillId="23" borderId="12" xfId="9" applyFont="1" applyFill="1" applyBorder="1" applyAlignment="1">
      <alignment horizontal="center" vertical="center" wrapText="1"/>
    </xf>
    <xf numFmtId="0" fontId="40" fillId="23" borderId="41" xfId="9" applyFont="1" applyFill="1" applyBorder="1" applyAlignment="1">
      <alignment horizontal="center" vertical="center" wrapText="1"/>
    </xf>
    <xf numFmtId="0" fontId="32" fillId="23" borderId="65" xfId="0" applyFont="1" applyFill="1" applyBorder="1" applyAlignment="1">
      <alignment horizontal="center" vertical="center" wrapText="1"/>
    </xf>
    <xf numFmtId="2" fontId="36" fillId="22" borderId="54" xfId="0" applyNumberFormat="1" applyFont="1" applyFill="1" applyBorder="1"/>
    <xf numFmtId="2" fontId="32" fillId="22" borderId="53" xfId="0" applyNumberFormat="1" applyFont="1" applyFill="1" applyBorder="1" applyAlignment="1">
      <alignment horizontal="center" vertical="center" wrapText="1"/>
    </xf>
    <xf numFmtId="2" fontId="36" fillId="22" borderId="54" xfId="0" applyNumberFormat="1" applyFont="1" applyFill="1" applyBorder="1" applyAlignment="1">
      <alignment horizontal="center" vertical="center"/>
    </xf>
    <xf numFmtId="0" fontId="32" fillId="23" borderId="2" xfId="0" applyFont="1" applyFill="1" applyBorder="1" applyAlignment="1">
      <alignment horizontal="center" vertical="center" wrapText="1"/>
    </xf>
    <xf numFmtId="2" fontId="36" fillId="22" borderId="59" xfId="0" applyNumberFormat="1" applyFont="1" applyFill="1" applyBorder="1" applyAlignment="1">
      <alignment horizontal="center" vertical="center" wrapText="1"/>
    </xf>
    <xf numFmtId="2" fontId="32" fillId="22" borderId="40" xfId="0" applyNumberFormat="1" applyFont="1" applyFill="1" applyBorder="1" applyAlignment="1">
      <alignment horizontal="center" vertical="center" wrapText="1"/>
    </xf>
    <xf numFmtId="2" fontId="36" fillId="22" borderId="30" xfId="0" applyNumberFormat="1" applyFont="1" applyFill="1" applyBorder="1" applyAlignment="1">
      <alignment horizontal="center" vertical="center" wrapText="1"/>
    </xf>
    <xf numFmtId="2" fontId="32" fillId="22" borderId="21" xfId="0" applyNumberFormat="1" applyFont="1" applyFill="1" applyBorder="1" applyAlignment="1">
      <alignment horizontal="center" vertical="center" wrapText="1"/>
    </xf>
    <xf numFmtId="0" fontId="40" fillId="23" borderId="13" xfId="9" applyFont="1" applyFill="1" applyBorder="1" applyAlignment="1">
      <alignment horizontal="center" vertical="center"/>
    </xf>
    <xf numFmtId="0" fontId="32" fillId="23" borderId="4" xfId="0" applyFont="1" applyFill="1" applyBorder="1" applyAlignment="1">
      <alignment horizontal="center" vertical="center" wrapText="1"/>
    </xf>
    <xf numFmtId="0" fontId="32" fillId="23" borderId="32" xfId="0" applyFont="1" applyFill="1" applyBorder="1" applyAlignment="1">
      <alignment horizontal="center" vertical="center" wrapText="1"/>
    </xf>
    <xf numFmtId="166" fontId="21" fillId="22" borderId="5" xfId="0" applyNumberFormat="1" applyFont="1" applyFill="1" applyBorder="1" applyAlignment="1">
      <alignment horizontal="center" vertical="center" wrapText="1"/>
    </xf>
    <xf numFmtId="166" fontId="22" fillId="23" borderId="5" xfId="0" applyNumberFormat="1" applyFont="1" applyFill="1" applyBorder="1" applyAlignment="1">
      <alignment horizontal="center" vertical="center" wrapText="1"/>
    </xf>
    <xf numFmtId="2" fontId="36" fillId="22" borderId="24" xfId="0" applyNumberFormat="1" applyFont="1" applyFill="1" applyBorder="1" applyAlignment="1">
      <alignment horizontal="center" vertical="center" wrapText="1"/>
    </xf>
    <xf numFmtId="165" fontId="32" fillId="23" borderId="42" xfId="0" applyNumberFormat="1" applyFont="1" applyFill="1" applyBorder="1" applyAlignment="1">
      <alignment horizontal="center" vertical="center" wrapText="1"/>
    </xf>
    <xf numFmtId="2" fontId="32" fillId="23" borderId="26" xfId="0" applyNumberFormat="1" applyFont="1" applyFill="1" applyBorder="1" applyAlignment="1">
      <alignment horizontal="center" vertical="center" wrapText="1"/>
    </xf>
    <xf numFmtId="2" fontId="36" fillId="22" borderId="80" xfId="0" applyNumberFormat="1" applyFont="1" applyFill="1" applyBorder="1" applyAlignment="1">
      <alignment horizontal="center" vertical="center" wrapText="1"/>
    </xf>
    <xf numFmtId="0" fontId="32" fillId="23" borderId="49" xfId="0" applyFont="1" applyFill="1" applyBorder="1" applyAlignment="1">
      <alignment horizontal="center" vertical="center" wrapText="1"/>
    </xf>
    <xf numFmtId="0" fontId="32" fillId="23" borderId="40" xfId="0" applyFont="1" applyFill="1" applyBorder="1" applyAlignment="1">
      <alignment horizontal="center" vertical="center" wrapText="1"/>
    </xf>
    <xf numFmtId="2" fontId="32" fillId="22" borderId="54" xfId="0" applyNumberFormat="1" applyFont="1" applyFill="1" applyBorder="1" applyAlignment="1">
      <alignment horizontal="center" vertical="center" wrapText="1"/>
    </xf>
    <xf numFmtId="0" fontId="32" fillId="23" borderId="57" xfId="0" applyFont="1" applyFill="1" applyBorder="1" applyAlignment="1">
      <alignment horizontal="center" vertical="center" wrapText="1"/>
    </xf>
    <xf numFmtId="0" fontId="32" fillId="23" borderId="5" xfId="0" applyFont="1" applyFill="1" applyBorder="1" applyAlignment="1">
      <alignment horizontal="center"/>
    </xf>
    <xf numFmtId="0" fontId="36" fillId="23" borderId="5" xfId="0" applyFont="1" applyFill="1" applyBorder="1" applyAlignment="1">
      <alignment horizontal="center" vertical="center"/>
    </xf>
    <xf numFmtId="0" fontId="32" fillId="23" borderId="5" xfId="0" applyFont="1" applyFill="1" applyBorder="1" applyAlignment="1">
      <alignment horizontal="center" vertical="top" wrapText="1"/>
    </xf>
    <xf numFmtId="0" fontId="32" fillId="23" borderId="5" xfId="0" applyFont="1" applyFill="1" applyBorder="1" applyAlignment="1">
      <alignment horizontal="center" vertical="top"/>
    </xf>
    <xf numFmtId="0" fontId="36" fillId="23" borderId="18" xfId="0" applyFont="1" applyFill="1" applyBorder="1" applyAlignment="1">
      <alignment horizontal="center" vertical="center"/>
    </xf>
    <xf numFmtId="0" fontId="36" fillId="23" borderId="42" xfId="0" applyFont="1" applyFill="1" applyBorder="1" applyAlignment="1">
      <alignment horizontal="center" vertical="center"/>
    </xf>
    <xf numFmtId="0" fontId="42" fillId="23" borderId="5" xfId="0" applyFont="1" applyFill="1" applyBorder="1" applyAlignment="1">
      <alignment horizontal="center" vertical="center"/>
    </xf>
    <xf numFmtId="0" fontId="32" fillId="23" borderId="18" xfId="0" applyFont="1" applyFill="1" applyBorder="1" applyAlignment="1">
      <alignment horizontal="center"/>
    </xf>
    <xf numFmtId="0" fontId="40" fillId="23" borderId="18" xfId="0" applyFont="1" applyFill="1" applyBorder="1" applyAlignment="1">
      <alignment horizontal="center" vertical="center"/>
    </xf>
    <xf numFmtId="0" fontId="32" fillId="23" borderId="10" xfId="0" applyFont="1" applyFill="1" applyBorder="1" applyAlignment="1">
      <alignment horizontal="center"/>
    </xf>
    <xf numFmtId="0" fontId="32" fillId="23" borderId="10" xfId="0" applyFont="1" applyFill="1" applyBorder="1"/>
    <xf numFmtId="0" fontId="32" fillId="23" borderId="10" xfId="0" applyFont="1" applyFill="1" applyBorder="1" applyAlignment="1">
      <alignment horizontal="center" vertical="center"/>
    </xf>
    <xf numFmtId="0" fontId="32" fillId="23" borderId="10" xfId="0" applyFont="1" applyFill="1" applyBorder="1" applyAlignment="1">
      <alignment horizontal="center" vertical="center" wrapText="1"/>
    </xf>
    <xf numFmtId="0" fontId="32" fillId="23" borderId="42" xfId="0" applyFont="1" applyFill="1" applyBorder="1" applyAlignment="1">
      <alignment horizontal="center"/>
    </xf>
    <xf numFmtId="0" fontId="32" fillId="23" borderId="42" xfId="0" applyFont="1" applyFill="1" applyBorder="1"/>
    <xf numFmtId="0" fontId="32" fillId="23" borderId="5" xfId="0" applyFont="1" applyFill="1" applyBorder="1"/>
    <xf numFmtId="0" fontId="32" fillId="23" borderId="18" xfId="0" applyFont="1" applyFill="1" applyBorder="1"/>
    <xf numFmtId="0" fontId="32" fillId="23" borderId="5" xfId="0" applyFont="1" applyFill="1" applyBorder="1" applyAlignment="1">
      <alignment horizontal="center" wrapText="1"/>
    </xf>
    <xf numFmtId="0" fontId="32" fillId="23" borderId="18" xfId="0" applyFont="1" applyFill="1" applyBorder="1" applyAlignment="1">
      <alignment horizontal="center" wrapText="1"/>
    </xf>
    <xf numFmtId="0" fontId="32" fillId="23" borderId="42" xfId="0" applyFont="1" applyFill="1" applyBorder="1" applyAlignment="1">
      <alignment horizontal="center" wrapText="1"/>
    </xf>
    <xf numFmtId="2" fontId="32" fillId="23" borderId="5" xfId="0" applyNumberFormat="1" applyFont="1" applyFill="1" applyBorder="1" applyAlignment="1">
      <alignment vertical="center"/>
    </xf>
    <xf numFmtId="2" fontId="32" fillId="23" borderId="5" xfId="0" applyNumberFormat="1" applyFont="1" applyFill="1" applyBorder="1" applyAlignment="1">
      <alignment vertical="top"/>
    </xf>
    <xf numFmtId="0" fontId="32" fillId="23" borderId="0" xfId="0" applyFont="1" applyFill="1" applyAlignment="1">
      <alignment horizontal="center" vertical="center"/>
    </xf>
    <xf numFmtId="0" fontId="32" fillId="23" borderId="5" xfId="0" applyFont="1" applyFill="1" applyBorder="1" applyAlignment="1">
      <alignment wrapText="1"/>
    </xf>
    <xf numFmtId="0" fontId="32" fillId="23" borderId="22" xfId="0" applyFont="1" applyFill="1" applyBorder="1" applyAlignment="1">
      <alignment horizontal="center" vertical="center"/>
    </xf>
    <xf numFmtId="0" fontId="32" fillId="23" borderId="14" xfId="0" applyFont="1" applyFill="1" applyBorder="1" applyAlignment="1">
      <alignment horizontal="center" vertical="center" wrapText="1"/>
    </xf>
    <xf numFmtId="0" fontId="32" fillId="23" borderId="19" xfId="0" applyFont="1" applyFill="1" applyBorder="1" applyAlignment="1">
      <alignment horizontal="center" vertical="center"/>
    </xf>
    <xf numFmtId="0" fontId="32" fillId="23" borderId="14" xfId="0" applyFont="1" applyFill="1" applyBorder="1" applyAlignment="1">
      <alignment horizontal="center" vertical="center"/>
    </xf>
    <xf numFmtId="0" fontId="32" fillId="23" borderId="17" xfId="0" applyFont="1" applyFill="1" applyBorder="1" applyAlignment="1">
      <alignment horizontal="center" vertical="center"/>
    </xf>
    <xf numFmtId="0" fontId="32" fillId="23" borderId="15" xfId="0" applyFont="1" applyFill="1" applyBorder="1" applyAlignment="1">
      <alignment horizontal="center" vertical="center"/>
    </xf>
    <xf numFmtId="0" fontId="40" fillId="23" borderId="12" xfId="0" applyFont="1" applyFill="1" applyBorder="1" applyAlignment="1">
      <alignment vertical="center" wrapText="1"/>
    </xf>
    <xf numFmtId="0" fontId="40" fillId="23" borderId="5" xfId="0" applyFont="1" applyFill="1" applyBorder="1" applyAlignment="1">
      <alignment vertical="center" wrapText="1"/>
    </xf>
    <xf numFmtId="0" fontId="40" fillId="23" borderId="21" xfId="0" applyFont="1" applyFill="1" applyBorder="1" applyAlignment="1">
      <alignment vertical="center" wrapText="1"/>
    </xf>
    <xf numFmtId="0" fontId="32" fillId="23" borderId="12" xfId="0" applyFont="1" applyFill="1" applyBorder="1" applyAlignment="1">
      <alignment horizontal="center" vertical="center"/>
    </xf>
    <xf numFmtId="0" fontId="32" fillId="23" borderId="21" xfId="0" applyFont="1" applyFill="1" applyBorder="1" applyAlignment="1">
      <alignment horizontal="center" vertical="center"/>
    </xf>
    <xf numFmtId="0" fontId="32" fillId="23" borderId="29" xfId="0" applyFont="1" applyFill="1" applyBorder="1" applyAlignment="1">
      <alignment horizontal="center" vertical="center" wrapText="1"/>
    </xf>
    <xf numFmtId="0" fontId="32" fillId="23" borderId="39" xfId="0" applyFont="1" applyFill="1" applyBorder="1" applyAlignment="1">
      <alignment horizontal="center" vertical="center"/>
    </xf>
    <xf numFmtId="0" fontId="32" fillId="23" borderId="55" xfId="0" applyFont="1" applyFill="1" applyBorder="1" applyAlignment="1">
      <alignment horizontal="center" vertical="center" wrapText="1"/>
    </xf>
    <xf numFmtId="0" fontId="32" fillId="23" borderId="13" xfId="0" applyFont="1" applyFill="1" applyBorder="1" applyAlignment="1">
      <alignment horizontal="center" vertical="center"/>
    </xf>
    <xf numFmtId="0" fontId="32" fillId="23" borderId="64" xfId="0" applyFont="1" applyFill="1" applyBorder="1" applyAlignment="1">
      <alignment horizontal="center" vertical="center"/>
    </xf>
    <xf numFmtId="0" fontId="40" fillId="23" borderId="13" xfId="0" applyFont="1" applyFill="1" applyBorder="1" applyAlignment="1">
      <alignment vertical="center" wrapText="1"/>
    </xf>
    <xf numFmtId="0" fontId="40" fillId="23" borderId="18" xfId="0" applyFont="1" applyFill="1" applyBorder="1" applyAlignment="1">
      <alignment vertical="center" wrapText="1"/>
    </xf>
    <xf numFmtId="0" fontId="40" fillId="23" borderId="22" xfId="0" applyFont="1" applyFill="1" applyBorder="1" applyAlignment="1">
      <alignment vertical="center" wrapText="1"/>
    </xf>
    <xf numFmtId="0" fontId="32" fillId="23" borderId="26" xfId="0" applyFont="1" applyFill="1" applyBorder="1" applyAlignment="1">
      <alignment vertical="center"/>
    </xf>
    <xf numFmtId="0" fontId="32" fillId="23" borderId="21" xfId="0" applyFont="1" applyFill="1" applyBorder="1"/>
    <xf numFmtId="0" fontId="32" fillId="23" borderId="22" xfId="0" applyFont="1" applyFill="1" applyBorder="1"/>
    <xf numFmtId="0" fontId="40" fillId="23" borderId="5" xfId="0" applyFont="1" applyFill="1" applyBorder="1" applyAlignment="1">
      <alignment horizontal="center" vertical="center" wrapText="1"/>
    </xf>
    <xf numFmtId="2" fontId="36" fillId="22" borderId="24" xfId="0" applyNumberFormat="1" applyFont="1" applyFill="1" applyBorder="1" applyAlignment="1">
      <alignment horizontal="center" vertical="center"/>
    </xf>
    <xf numFmtId="2" fontId="32" fillId="23" borderId="51" xfId="0" applyNumberFormat="1" applyFont="1" applyFill="1" applyBorder="1" applyAlignment="1">
      <alignment horizontal="center" vertical="center" wrapText="1"/>
    </xf>
    <xf numFmtId="0" fontId="36" fillId="22" borderId="59" xfId="0" applyFont="1" applyFill="1" applyBorder="1" applyAlignment="1">
      <alignment horizontal="center" vertical="center" wrapText="1"/>
    </xf>
    <xf numFmtId="0" fontId="32" fillId="23" borderId="51" xfId="0" applyFont="1" applyFill="1" applyBorder="1" applyAlignment="1">
      <alignment horizontal="center" vertical="center" wrapText="1"/>
    </xf>
    <xf numFmtId="0" fontId="36" fillId="14" borderId="5" xfId="0" applyFont="1" applyFill="1" applyBorder="1" applyAlignment="1">
      <alignment horizontal="center" vertical="top" wrapText="1"/>
    </xf>
    <xf numFmtId="0" fontId="36" fillId="24" borderId="5" xfId="0" applyFont="1" applyFill="1" applyBorder="1" applyAlignment="1">
      <alignment horizontal="center" vertical="top" wrapText="1"/>
    </xf>
    <xf numFmtId="0" fontId="36" fillId="17" borderId="5" xfId="0" applyFont="1" applyFill="1" applyBorder="1" applyAlignment="1">
      <alignment horizontal="center" vertical="top" wrapText="1"/>
    </xf>
    <xf numFmtId="0" fontId="36" fillId="16" borderId="5" xfId="0" applyFont="1" applyFill="1" applyBorder="1" applyAlignment="1">
      <alignment horizontal="center" vertical="top" wrapText="1"/>
    </xf>
    <xf numFmtId="0" fontId="36" fillId="23" borderId="5" xfId="0" applyFont="1" applyFill="1" applyBorder="1" applyAlignment="1">
      <alignment horizontal="center" vertical="top" wrapText="1"/>
    </xf>
    <xf numFmtId="0" fontId="36" fillId="11" borderId="5" xfId="0" applyFont="1" applyFill="1" applyBorder="1" applyAlignment="1">
      <alignment horizontal="center" vertical="center"/>
    </xf>
    <xf numFmtId="0" fontId="36" fillId="11" borderId="4" xfId="0" applyFont="1" applyFill="1" applyBorder="1" applyAlignment="1">
      <alignment horizontal="center" vertical="center" wrapText="1"/>
    </xf>
    <xf numFmtId="0" fontId="36" fillId="11" borderId="42" xfId="0" applyFont="1" applyFill="1" applyBorder="1" applyAlignment="1">
      <alignment horizontal="center" vertical="center"/>
    </xf>
    <xf numFmtId="0" fontId="36" fillId="11" borderId="4" xfId="0" applyFont="1" applyFill="1" applyBorder="1" applyAlignment="1">
      <alignment horizontal="center" vertical="center"/>
    </xf>
    <xf numFmtId="0" fontId="14" fillId="11" borderId="46" xfId="0" applyFont="1" applyFill="1" applyBorder="1" applyAlignment="1">
      <alignment horizontal="center" vertical="center" wrapText="1"/>
    </xf>
    <xf numFmtId="0" fontId="14" fillId="11" borderId="10" xfId="0" applyFont="1" applyFill="1" applyBorder="1" applyAlignment="1">
      <alignment horizontal="center" vertical="center" wrapText="1"/>
    </xf>
    <xf numFmtId="0" fontId="36" fillId="11" borderId="25" xfId="0" applyFont="1" applyFill="1" applyBorder="1" applyAlignment="1">
      <alignment horizontal="center" vertical="center"/>
    </xf>
    <xf numFmtId="0" fontId="32" fillId="23" borderId="8" xfId="0" applyFont="1" applyFill="1" applyBorder="1" applyAlignment="1">
      <alignment horizontal="center" vertical="center" wrapText="1"/>
    </xf>
    <xf numFmtId="1" fontId="32" fillId="23" borderId="25" xfId="0" applyNumberFormat="1" applyFont="1" applyFill="1" applyBorder="1" applyAlignment="1">
      <alignment horizontal="center" vertical="center" wrapText="1"/>
    </xf>
    <xf numFmtId="1" fontId="32" fillId="23" borderId="13" xfId="0" applyNumberFormat="1" applyFont="1" applyFill="1" applyBorder="1" applyAlignment="1">
      <alignment horizontal="center" vertical="center" wrapText="1"/>
    </xf>
    <xf numFmtId="0" fontId="32" fillId="23" borderId="79" xfId="0" applyFont="1" applyFill="1" applyBorder="1" applyAlignment="1">
      <alignment horizontal="center" vertical="center" wrapText="1"/>
    </xf>
    <xf numFmtId="0" fontId="32" fillId="5" borderId="29" xfId="0" applyFont="1" applyFill="1" applyBorder="1" applyAlignment="1">
      <alignment horizontal="left" vertical="top" wrapText="1"/>
    </xf>
    <xf numFmtId="0" fontId="32" fillId="5" borderId="55" xfId="0" applyFont="1" applyFill="1" applyBorder="1" applyAlignment="1">
      <alignment horizontal="left" vertical="top" wrapText="1"/>
    </xf>
    <xf numFmtId="0" fontId="32" fillId="5" borderId="40" xfId="0" applyFont="1" applyFill="1" applyBorder="1" applyAlignment="1">
      <alignment horizontal="left" vertical="top" wrapText="1"/>
    </xf>
    <xf numFmtId="0" fontId="36" fillId="5" borderId="78" xfId="0" applyFont="1" applyFill="1" applyBorder="1" applyAlignment="1">
      <alignment horizontal="center" vertical="center" wrapText="1"/>
    </xf>
    <xf numFmtId="0" fontId="36" fillId="5" borderId="78" xfId="0" applyFont="1" applyFill="1" applyBorder="1" applyAlignment="1">
      <alignment vertical="center" wrapText="1"/>
    </xf>
    <xf numFmtId="0" fontId="36" fillId="5" borderId="61" xfId="0" applyFont="1" applyFill="1" applyBorder="1" applyAlignment="1">
      <alignment vertical="center" wrapText="1"/>
    </xf>
    <xf numFmtId="0" fontId="32" fillId="5" borderId="17" xfId="0" applyFont="1" applyFill="1" applyBorder="1" applyAlignment="1">
      <alignment horizontal="center" vertical="center" wrapText="1"/>
    </xf>
    <xf numFmtId="0" fontId="32" fillId="5" borderId="48" xfId="0" applyFont="1" applyFill="1" applyBorder="1" applyAlignment="1">
      <alignment horizontal="center" vertical="center" wrapText="1"/>
    </xf>
    <xf numFmtId="0" fontId="32" fillId="23" borderId="2" xfId="0" applyFont="1" applyFill="1" applyBorder="1"/>
    <xf numFmtId="0" fontId="32" fillId="23" borderId="6" xfId="0" applyFont="1" applyFill="1" applyBorder="1"/>
    <xf numFmtId="0" fontId="32" fillId="23" borderId="26" xfId="0" applyFont="1" applyFill="1" applyBorder="1" applyAlignment="1">
      <alignment horizontal="center" vertical="center"/>
    </xf>
    <xf numFmtId="0" fontId="40" fillId="5" borderId="5" xfId="10" applyFont="1" applyFill="1" applyBorder="1" applyAlignment="1">
      <alignment vertical="center" wrapText="1"/>
    </xf>
    <xf numFmtId="0" fontId="40" fillId="5" borderId="5" xfId="10" applyFont="1" applyFill="1" applyBorder="1" applyAlignment="1">
      <alignment wrapText="1"/>
    </xf>
    <xf numFmtId="0" fontId="32" fillId="23" borderId="6" xfId="0" applyFont="1" applyFill="1" applyBorder="1" applyAlignment="1">
      <alignment horizontal="center" vertical="top"/>
    </xf>
    <xf numFmtId="2" fontId="32" fillId="23" borderId="5" xfId="0" applyNumberFormat="1" applyFont="1" applyFill="1" applyBorder="1" applyAlignment="1">
      <alignment horizontal="right"/>
    </xf>
    <xf numFmtId="1" fontId="21" fillId="22" borderId="5" xfId="0" applyNumberFormat="1" applyFont="1" applyFill="1" applyBorder="1" applyAlignment="1">
      <alignment horizontal="center" vertical="center" wrapText="1"/>
    </xf>
    <xf numFmtId="0" fontId="32" fillId="12" borderId="0" xfId="0" applyFont="1" applyFill="1" applyAlignment="1">
      <alignment horizontal="center"/>
    </xf>
    <xf numFmtId="165" fontId="32" fillId="23" borderId="5" xfId="0" applyNumberFormat="1" applyFont="1" applyFill="1" applyBorder="1" applyAlignment="1">
      <alignment horizontal="center" vertical="center"/>
    </xf>
    <xf numFmtId="0" fontId="32" fillId="23" borderId="0" xfId="0" applyFont="1" applyFill="1" applyAlignment="1">
      <alignment wrapText="1"/>
    </xf>
    <xf numFmtId="0" fontId="32" fillId="23" borderId="5" xfId="0" applyFont="1" applyFill="1" applyBorder="1" applyAlignment="1">
      <alignment vertical="top"/>
    </xf>
    <xf numFmtId="166" fontId="32" fillId="23" borderId="5" xfId="0" applyNumberFormat="1" applyFont="1" applyFill="1" applyBorder="1" applyAlignment="1">
      <alignment horizontal="center" vertical="center"/>
    </xf>
    <xf numFmtId="0" fontId="22" fillId="23" borderId="5" xfId="0" applyFont="1" applyFill="1" applyBorder="1"/>
    <xf numFmtId="0" fontId="22" fillId="23" borderId="6" xfId="0" applyFont="1" applyFill="1" applyBorder="1"/>
    <xf numFmtId="0" fontId="32" fillId="11" borderId="41" xfId="0" applyFont="1" applyFill="1" applyBorder="1" applyAlignment="1">
      <alignment horizontal="center" vertical="center"/>
    </xf>
    <xf numFmtId="0" fontId="32" fillId="11" borderId="66" xfId="0" applyFont="1" applyFill="1" applyBorder="1" applyAlignment="1">
      <alignment horizontal="center" vertical="center"/>
    </xf>
    <xf numFmtId="0" fontId="32" fillId="5" borderId="12" xfId="0" applyFont="1" applyFill="1" applyBorder="1" applyAlignment="1">
      <alignment horizontal="center"/>
    </xf>
    <xf numFmtId="2" fontId="32" fillId="23" borderId="5" xfId="0" applyNumberFormat="1" applyFont="1" applyFill="1" applyBorder="1" applyAlignment="1">
      <alignment horizontal="center"/>
    </xf>
    <xf numFmtId="0" fontId="40" fillId="0" borderId="5" xfId="0" applyFont="1" applyBorder="1" applyAlignment="1" applyProtection="1">
      <alignment vertical="center"/>
      <protection locked="0"/>
    </xf>
    <xf numFmtId="0" fontId="40" fillId="3" borderId="5" xfId="0" applyFont="1" applyFill="1" applyBorder="1" applyAlignment="1" applyProtection="1">
      <alignment vertical="center"/>
      <protection locked="0"/>
    </xf>
    <xf numFmtId="0" fontId="40" fillId="3" borderId="18" xfId="0" applyFont="1" applyFill="1" applyBorder="1" applyAlignment="1" applyProtection="1">
      <alignment vertical="center"/>
      <protection locked="0"/>
    </xf>
    <xf numFmtId="0" fontId="15" fillId="11" borderId="12" xfId="9" applyFont="1" applyFill="1" applyBorder="1" applyAlignment="1">
      <alignment horizontal="center" vertical="center"/>
    </xf>
    <xf numFmtId="0" fontId="15" fillId="11" borderId="21" xfId="9" applyFont="1" applyFill="1" applyBorder="1" applyAlignment="1">
      <alignment horizontal="center" vertical="center"/>
    </xf>
    <xf numFmtId="0" fontId="10" fillId="10" borderId="0" xfId="0" applyFont="1" applyFill="1" applyAlignment="1">
      <alignment horizontal="right" vertical="top"/>
    </xf>
    <xf numFmtId="0" fontId="12" fillId="10" borderId="0" xfId="21" applyFont="1" applyFill="1" applyAlignment="1" applyProtection="1">
      <alignment horizontal="left" vertical="top"/>
      <protection locked="0"/>
    </xf>
    <xf numFmtId="0" fontId="11" fillId="10" borderId="0" xfId="0" applyFont="1" applyFill="1" applyAlignment="1">
      <alignment horizontal="center"/>
    </xf>
    <xf numFmtId="0" fontId="15" fillId="11" borderId="14" xfId="9" applyFont="1" applyFill="1" applyBorder="1" applyAlignment="1">
      <alignment horizontal="center" vertical="center"/>
    </xf>
    <xf numFmtId="0" fontId="15" fillId="11" borderId="19" xfId="9" applyFont="1" applyFill="1" applyBorder="1" applyAlignment="1">
      <alignment horizontal="center" vertical="center"/>
    </xf>
    <xf numFmtId="0" fontId="16" fillId="3" borderId="35" xfId="9" applyFont="1" applyFill="1" applyBorder="1" applyAlignment="1" applyProtection="1">
      <alignment horizontal="center" vertical="center"/>
      <protection locked="0"/>
    </xf>
    <xf numFmtId="0" fontId="16" fillId="3" borderId="47" xfId="9" applyFont="1" applyFill="1" applyBorder="1" applyAlignment="1" applyProtection="1">
      <alignment horizontal="center" vertical="center"/>
      <protection locked="0"/>
    </xf>
    <xf numFmtId="0" fontId="16" fillId="3" borderId="15" xfId="9" applyFont="1" applyFill="1" applyBorder="1" applyAlignment="1" applyProtection="1">
      <alignment horizontal="center" vertical="center"/>
      <protection locked="0"/>
    </xf>
    <xf numFmtId="0" fontId="50" fillId="10" borderId="34" xfId="0" applyFont="1" applyFill="1" applyBorder="1" applyAlignment="1">
      <alignment horizontal="center" vertical="top" wrapText="1"/>
    </xf>
    <xf numFmtId="0" fontId="13" fillId="22" borderId="45" xfId="9" applyFont="1" applyFill="1" applyBorder="1" applyAlignment="1">
      <alignment horizontal="center"/>
    </xf>
    <xf numFmtId="0" fontId="13" fillId="22" borderId="58" xfId="9" applyFont="1" applyFill="1" applyBorder="1" applyAlignment="1">
      <alignment horizontal="center"/>
    </xf>
    <xf numFmtId="0" fontId="20" fillId="11" borderId="16" xfId="9" applyFont="1" applyFill="1" applyBorder="1" applyAlignment="1">
      <alignment horizontal="center"/>
    </xf>
    <xf numFmtId="0" fontId="20" fillId="11" borderId="31" xfId="9" applyFont="1" applyFill="1" applyBorder="1" applyAlignment="1">
      <alignment horizontal="center"/>
    </xf>
    <xf numFmtId="0" fontId="20" fillId="11" borderId="6" xfId="9" applyFont="1" applyFill="1" applyBorder="1" applyAlignment="1">
      <alignment horizontal="center"/>
    </xf>
    <xf numFmtId="0" fontId="20" fillId="11" borderId="63" xfId="9" applyFont="1" applyFill="1" applyBorder="1" applyAlignment="1">
      <alignment horizontal="center"/>
    </xf>
    <xf numFmtId="0" fontId="20" fillId="11" borderId="32" xfId="9" applyFont="1" applyFill="1" applyBorder="1" applyAlignment="1">
      <alignment horizontal="center"/>
    </xf>
    <xf numFmtId="0" fontId="20" fillId="11" borderId="58" xfId="9" applyFont="1" applyFill="1" applyBorder="1" applyAlignment="1">
      <alignment horizontal="center"/>
    </xf>
    <xf numFmtId="0" fontId="17" fillId="11" borderId="20" xfId="0" applyFont="1" applyFill="1" applyBorder="1" applyAlignment="1">
      <alignment horizontal="center" vertical="center"/>
    </xf>
    <xf numFmtId="0" fontId="14" fillId="11" borderId="27" xfId="0" applyFont="1" applyFill="1" applyBorder="1" applyAlignment="1">
      <alignment horizontal="center" vertical="center"/>
    </xf>
    <xf numFmtId="0" fontId="14" fillId="11" borderId="56" xfId="0" applyFont="1" applyFill="1" applyBorder="1" applyAlignment="1">
      <alignment horizontal="center" vertical="center"/>
    </xf>
    <xf numFmtId="0" fontId="14" fillId="11" borderId="57" xfId="0" applyFont="1" applyFill="1" applyBorder="1" applyAlignment="1">
      <alignment horizontal="center" vertical="center"/>
    </xf>
    <xf numFmtId="0" fontId="14" fillId="11" borderId="0" xfId="0" applyFont="1" applyFill="1" applyAlignment="1">
      <alignment horizontal="center" vertical="center"/>
    </xf>
    <xf numFmtId="0" fontId="14" fillId="11" borderId="50" xfId="0" applyFont="1" applyFill="1" applyBorder="1" applyAlignment="1">
      <alignment horizontal="center" vertical="center"/>
    </xf>
    <xf numFmtId="0" fontId="16" fillId="3" borderId="36" xfId="9" applyFont="1" applyFill="1" applyBorder="1" applyAlignment="1" applyProtection="1">
      <alignment horizontal="center" vertical="center"/>
      <protection locked="0"/>
    </xf>
    <xf numFmtId="0" fontId="16" fillId="3" borderId="31" xfId="9" applyFont="1" applyFill="1" applyBorder="1" applyAlignment="1" applyProtection="1">
      <alignment horizontal="center" vertical="center"/>
      <protection locked="0"/>
    </xf>
    <xf numFmtId="0" fontId="16" fillId="3" borderId="39" xfId="9" applyFont="1" applyFill="1" applyBorder="1" applyAlignment="1" applyProtection="1">
      <alignment horizontal="center" vertical="center"/>
      <protection locked="0"/>
    </xf>
    <xf numFmtId="14" fontId="16" fillId="3" borderId="36" xfId="9" applyNumberFormat="1" applyFont="1" applyFill="1" applyBorder="1" applyAlignment="1" applyProtection="1">
      <alignment horizontal="center" vertical="center"/>
      <protection locked="0"/>
    </xf>
    <xf numFmtId="14" fontId="16" fillId="3" borderId="31" xfId="9" applyNumberFormat="1" applyFont="1" applyFill="1" applyBorder="1" applyAlignment="1" applyProtection="1">
      <alignment horizontal="center" vertical="center"/>
      <protection locked="0"/>
    </xf>
    <xf numFmtId="14" fontId="16" fillId="3" borderId="39" xfId="9" applyNumberFormat="1" applyFont="1" applyFill="1" applyBorder="1" applyAlignment="1" applyProtection="1">
      <alignment horizontal="center" vertical="center"/>
      <protection locked="0"/>
    </xf>
    <xf numFmtId="0" fontId="15" fillId="11" borderId="36" xfId="9" applyFont="1" applyFill="1" applyBorder="1" applyAlignment="1">
      <alignment horizontal="center" vertical="center"/>
    </xf>
    <xf numFmtId="0" fontId="15" fillId="11" borderId="39" xfId="9" applyFont="1" applyFill="1" applyBorder="1" applyAlignment="1">
      <alignment horizontal="center" vertical="center"/>
    </xf>
    <xf numFmtId="0" fontId="15" fillId="11" borderId="45" xfId="9" applyFont="1" applyFill="1" applyBorder="1" applyAlignment="1">
      <alignment horizontal="center" vertical="center"/>
    </xf>
    <xf numFmtId="0" fontId="15" fillId="11" borderId="64" xfId="9" applyFont="1" applyFill="1" applyBorder="1" applyAlignment="1">
      <alignment horizontal="center" vertical="center"/>
    </xf>
    <xf numFmtId="14" fontId="16" fillId="3" borderId="45" xfId="9" applyNumberFormat="1" applyFont="1" applyFill="1" applyBorder="1" applyAlignment="1" applyProtection="1">
      <alignment horizontal="center" vertical="center"/>
      <protection locked="0"/>
    </xf>
    <xf numFmtId="14" fontId="16" fillId="3" borderId="32" xfId="9" applyNumberFormat="1" applyFont="1" applyFill="1" applyBorder="1" applyAlignment="1" applyProtection="1">
      <alignment horizontal="center" vertical="center"/>
      <protection locked="0"/>
    </xf>
    <xf numFmtId="14" fontId="16" fillId="3" borderId="64" xfId="9" applyNumberFormat="1" applyFont="1" applyFill="1" applyBorder="1" applyAlignment="1" applyProtection="1">
      <alignment horizontal="center" vertical="center"/>
      <protection locked="0"/>
    </xf>
    <xf numFmtId="0" fontId="19" fillId="3" borderId="36" xfId="0" applyFont="1" applyFill="1" applyBorder="1" applyAlignment="1" applyProtection="1">
      <alignment horizontal="center" vertical="center" wrapText="1"/>
      <protection locked="0"/>
    </xf>
    <xf numFmtId="0" fontId="19" fillId="3" borderId="6" xfId="0" applyFont="1" applyFill="1" applyBorder="1" applyAlignment="1" applyProtection="1">
      <alignment horizontal="center" vertical="center" wrapText="1"/>
      <protection locked="0"/>
    </xf>
    <xf numFmtId="0" fontId="17" fillId="11" borderId="23" xfId="0" applyFont="1" applyFill="1" applyBorder="1" applyAlignment="1">
      <alignment horizontal="center"/>
    </xf>
    <xf numFmtId="0" fontId="17" fillId="11" borderId="46" xfId="0" applyFont="1" applyFill="1" applyBorder="1" applyAlignment="1">
      <alignment horizontal="center"/>
    </xf>
    <xf numFmtId="0" fontId="17" fillId="11" borderId="24" xfId="0" applyFont="1" applyFill="1" applyBorder="1" applyAlignment="1">
      <alignment horizontal="center"/>
    </xf>
    <xf numFmtId="0" fontId="13" fillId="23" borderId="36" xfId="9" applyFont="1" applyFill="1" applyBorder="1" applyAlignment="1">
      <alignment horizontal="center"/>
    </xf>
    <xf numFmtId="0" fontId="13" fillId="23" borderId="6" xfId="9" applyFont="1" applyFill="1" applyBorder="1" applyAlignment="1">
      <alignment horizontal="center"/>
    </xf>
    <xf numFmtId="0" fontId="0" fillId="12" borderId="0" xfId="0" applyFill="1" applyAlignment="1">
      <alignment horizontal="right" vertical="top"/>
    </xf>
    <xf numFmtId="0" fontId="7" fillId="12" borderId="0" xfId="21" applyFill="1" applyAlignment="1" applyProtection="1">
      <alignment horizontal="left" vertical="top"/>
      <protection locked="0"/>
    </xf>
    <xf numFmtId="0" fontId="1" fillId="12" borderId="0" xfId="0" applyFont="1" applyFill="1" applyAlignment="1">
      <alignment horizontal="center" vertical="center" wrapText="1"/>
    </xf>
    <xf numFmtId="0" fontId="50" fillId="10" borderId="0" xfId="0" applyFont="1" applyFill="1" applyAlignment="1">
      <alignment horizontal="center" vertical="top" wrapText="1"/>
    </xf>
    <xf numFmtId="0" fontId="36" fillId="11" borderId="66" xfId="0" applyFont="1" applyFill="1" applyBorder="1" applyAlignment="1">
      <alignment horizontal="center" vertical="center"/>
    </xf>
    <xf numFmtId="0" fontId="36" fillId="11" borderId="42" xfId="0" applyFont="1" applyFill="1" applyBorder="1" applyAlignment="1">
      <alignment horizontal="center" vertical="center"/>
    </xf>
    <xf numFmtId="0" fontId="51" fillId="10" borderId="0" xfId="0" applyFont="1" applyFill="1" applyAlignment="1">
      <alignment horizontal="center" vertical="center"/>
    </xf>
    <xf numFmtId="0" fontId="36" fillId="11" borderId="31"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14" fillId="11" borderId="5" xfId="0" applyFont="1" applyFill="1" applyBorder="1" applyAlignment="1">
      <alignment horizontal="center" vertical="center"/>
    </xf>
    <xf numFmtId="0" fontId="14" fillId="11" borderId="66" xfId="0" applyFont="1" applyFill="1" applyBorder="1" applyAlignment="1">
      <alignment horizontal="center" vertical="center"/>
    </xf>
    <xf numFmtId="0" fontId="0" fillId="10" borderId="0" xfId="0" applyFill="1" applyAlignment="1">
      <alignment horizontal="right" vertical="top"/>
    </xf>
    <xf numFmtId="0" fontId="7" fillId="10" borderId="0" xfId="21" applyFill="1" applyBorder="1" applyAlignment="1" applyProtection="1">
      <alignment horizontal="left" vertical="top"/>
    </xf>
    <xf numFmtId="0" fontId="26" fillId="10" borderId="0" xfId="0" applyFont="1" applyFill="1" applyAlignment="1">
      <alignment horizontal="right" vertical="top"/>
    </xf>
    <xf numFmtId="0" fontId="44" fillId="10" borderId="0" xfId="21" applyFont="1" applyFill="1" applyAlignment="1" applyProtection="1">
      <alignment horizontal="left" vertical="top"/>
      <protection locked="0"/>
    </xf>
    <xf numFmtId="0" fontId="45" fillId="10" borderId="0" xfId="0" applyFont="1" applyFill="1" applyAlignment="1">
      <alignment horizontal="center"/>
    </xf>
    <xf numFmtId="0" fontId="27" fillId="5" borderId="20" xfId="0" applyFont="1" applyFill="1" applyBorder="1" applyAlignment="1">
      <alignment horizontal="left" vertical="center"/>
    </xf>
    <xf numFmtId="0" fontId="27" fillId="5" borderId="27" xfId="0" applyFont="1" applyFill="1" applyBorder="1" applyAlignment="1">
      <alignment horizontal="left" vertical="center"/>
    </xf>
    <xf numFmtId="0" fontId="27" fillId="5" borderId="56" xfId="0" applyFont="1" applyFill="1" applyBorder="1" applyAlignment="1">
      <alignment horizontal="left" vertical="center"/>
    </xf>
    <xf numFmtId="0" fontId="27" fillId="5" borderId="33" xfId="0" applyFont="1" applyFill="1" applyBorder="1" applyAlignment="1">
      <alignment horizontal="left" vertical="center"/>
    </xf>
    <xf numFmtId="0" fontId="27" fillId="5" borderId="34" xfId="0" applyFont="1" applyFill="1" applyBorder="1" applyAlignment="1">
      <alignment horizontal="left" vertical="center"/>
    </xf>
    <xf numFmtId="0" fontId="27" fillId="5" borderId="59" xfId="0" applyFont="1" applyFill="1" applyBorder="1" applyAlignment="1">
      <alignment horizontal="left" vertical="center"/>
    </xf>
    <xf numFmtId="0" fontId="28" fillId="12" borderId="0" xfId="0" applyFont="1" applyFill="1" applyAlignment="1">
      <alignment horizontal="left"/>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2" fontId="14" fillId="22" borderId="17" xfId="0" applyNumberFormat="1" applyFont="1" applyFill="1" applyBorder="1" applyAlignment="1">
      <alignment horizontal="center" vertical="center" wrapText="1"/>
    </xf>
    <xf numFmtId="2" fontId="14" fillId="22" borderId="19"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0" fontId="23" fillId="5" borderId="56" xfId="0" applyFont="1" applyFill="1" applyBorder="1" applyAlignment="1">
      <alignment horizontal="center" vertical="center" wrapText="1"/>
    </xf>
    <xf numFmtId="0" fontId="23" fillId="5" borderId="50" xfId="0" applyFont="1" applyFill="1" applyBorder="1" applyAlignment="1">
      <alignment horizontal="center" vertical="center" wrapText="1"/>
    </xf>
    <xf numFmtId="0" fontId="23" fillId="5" borderId="59"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2" fontId="14" fillId="4" borderId="16" xfId="0" quotePrefix="1"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4" borderId="16" xfId="0" applyNumberFormat="1"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4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47" fillId="8" borderId="23" xfId="0" applyFont="1" applyFill="1" applyBorder="1" applyAlignment="1">
      <alignment horizontal="center" vertical="center" wrapText="1"/>
    </xf>
    <xf numFmtId="0" fontId="47" fillId="8" borderId="46" xfId="0" applyFont="1" applyFill="1" applyBorder="1" applyAlignment="1">
      <alignment horizontal="center" vertical="center" wrapText="1"/>
    </xf>
    <xf numFmtId="0" fontId="47" fillId="8" borderId="24" xfId="0" applyFont="1" applyFill="1" applyBorder="1" applyAlignment="1">
      <alignment horizontal="center" vertical="center" wrapText="1"/>
    </xf>
    <xf numFmtId="0" fontId="26" fillId="12" borderId="57" xfId="0" applyFont="1" applyFill="1" applyBorder="1" applyAlignment="1">
      <alignment horizontal="center"/>
    </xf>
    <xf numFmtId="0" fontId="26" fillId="12" borderId="0" xfId="0" applyFont="1" applyFill="1" applyAlignment="1">
      <alignment horizontal="center"/>
    </xf>
    <xf numFmtId="0" fontId="26" fillId="12" borderId="57" xfId="0" applyFont="1" applyFill="1" applyBorder="1" applyAlignment="1">
      <alignment horizontal="center" vertical="center" wrapText="1"/>
    </xf>
    <xf numFmtId="0" fontId="26" fillId="12" borderId="0" xfId="0" applyFont="1" applyFill="1" applyAlignment="1">
      <alignment horizontal="center" vertical="center" wrapText="1"/>
    </xf>
    <xf numFmtId="0" fontId="28" fillId="12" borderId="0" xfId="0" applyFont="1" applyFill="1" applyAlignment="1">
      <alignment horizontal="center"/>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15" fillId="5" borderId="54" xfId="0" applyFont="1" applyFill="1" applyBorder="1" applyAlignment="1">
      <alignment horizontal="center" vertical="center" wrapText="1"/>
    </xf>
    <xf numFmtId="0" fontId="25" fillId="5" borderId="14"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18" xfId="0" applyFont="1" applyFill="1" applyBorder="1" applyAlignment="1">
      <alignment horizontal="center" vertical="center" wrapText="1"/>
    </xf>
    <xf numFmtId="0" fontId="52" fillId="19" borderId="77" xfId="0" applyFont="1" applyFill="1" applyBorder="1" applyAlignment="1">
      <alignment horizontal="center" vertical="center" textRotation="90"/>
    </xf>
    <xf numFmtId="0" fontId="52" fillId="19" borderId="0" xfId="0" applyFont="1" applyFill="1" applyAlignment="1">
      <alignment horizontal="center" vertical="center" textRotation="90"/>
    </xf>
    <xf numFmtId="0" fontId="52" fillId="19" borderId="76" xfId="0" applyFont="1" applyFill="1" applyBorder="1" applyAlignment="1">
      <alignment horizontal="center" vertical="center" textRotation="90"/>
    </xf>
    <xf numFmtId="0" fontId="52" fillId="20" borderId="77" xfId="0" applyFont="1" applyFill="1" applyBorder="1" applyAlignment="1">
      <alignment horizontal="center" vertical="center" textRotation="90"/>
    </xf>
    <xf numFmtId="0" fontId="52" fillId="20" borderId="0" xfId="0" applyFont="1" applyFill="1" applyAlignment="1">
      <alignment horizontal="center" vertical="center" textRotation="90"/>
    </xf>
    <xf numFmtId="0" fontId="52" fillId="20" borderId="76" xfId="0" applyFont="1" applyFill="1" applyBorder="1" applyAlignment="1">
      <alignment horizontal="center" vertical="center" textRotation="90"/>
    </xf>
    <xf numFmtId="0" fontId="52" fillId="21" borderId="77" xfId="0" applyFont="1" applyFill="1" applyBorder="1" applyAlignment="1">
      <alignment textRotation="90"/>
    </xf>
    <xf numFmtId="0" fontId="52" fillId="21" borderId="0" xfId="0" applyFont="1" applyFill="1" applyAlignment="1">
      <alignment textRotation="90"/>
    </xf>
    <xf numFmtId="0" fontId="32" fillId="5" borderId="41"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22" borderId="66" xfId="0" applyFont="1" applyFill="1" applyBorder="1" applyAlignment="1">
      <alignment horizontal="center" vertical="center"/>
    </xf>
    <xf numFmtId="0" fontId="32" fillId="22" borderId="42" xfId="0" applyFont="1" applyFill="1" applyBorder="1" applyAlignment="1">
      <alignment horizontal="center" vertical="center"/>
    </xf>
    <xf numFmtId="0" fontId="47" fillId="5" borderId="54" xfId="0" applyFont="1" applyFill="1" applyBorder="1" applyAlignment="1">
      <alignment horizontal="center"/>
    </xf>
    <xf numFmtId="0" fontId="32" fillId="5" borderId="8" xfId="0" applyFont="1" applyFill="1" applyBorder="1" applyAlignment="1">
      <alignment horizontal="center" vertical="center" wrapText="1"/>
    </xf>
    <xf numFmtId="1" fontId="32" fillId="22" borderId="43" xfId="0" applyNumberFormat="1" applyFont="1" applyFill="1" applyBorder="1" applyAlignment="1">
      <alignment horizontal="center" vertical="center"/>
    </xf>
    <xf numFmtId="1" fontId="32" fillId="22" borderId="26" xfId="0" applyNumberFormat="1" applyFont="1" applyFill="1" applyBorder="1" applyAlignment="1">
      <alignment horizontal="center" vertical="center"/>
    </xf>
    <xf numFmtId="0" fontId="17" fillId="5" borderId="2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5" borderId="56" xfId="0"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67" xfId="0" applyFont="1" applyFill="1" applyBorder="1" applyAlignment="1">
      <alignment horizontal="center" vertical="center" wrapText="1"/>
    </xf>
    <xf numFmtId="0" fontId="15" fillId="5" borderId="41"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15" fillId="5" borderId="66"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5" fillId="5" borderId="43" xfId="0" applyFont="1" applyFill="1" applyBorder="1" applyAlignment="1">
      <alignment horizontal="center" vertical="center" wrapText="1"/>
    </xf>
    <xf numFmtId="0" fontId="15" fillId="5" borderId="26" xfId="0" applyFont="1" applyFill="1" applyBorder="1" applyAlignment="1">
      <alignment horizontal="center" vertical="center" wrapText="1"/>
    </xf>
    <xf numFmtId="2" fontId="32" fillId="22" borderId="17" xfId="0" applyNumberFormat="1" applyFont="1" applyFill="1" applyBorder="1" applyAlignment="1">
      <alignment horizontal="center"/>
    </xf>
    <xf numFmtId="2" fontId="32" fillId="22" borderId="19" xfId="0" applyNumberFormat="1" applyFont="1" applyFill="1" applyBorder="1" applyAlignment="1">
      <alignment horizontal="center"/>
    </xf>
    <xf numFmtId="2" fontId="32" fillId="22" borderId="18" xfId="0" applyNumberFormat="1" applyFont="1" applyFill="1" applyBorder="1" applyAlignment="1">
      <alignment horizontal="center"/>
    </xf>
    <xf numFmtId="2" fontId="32" fillId="22" borderId="22" xfId="0" applyNumberFormat="1" applyFont="1" applyFill="1" applyBorder="1" applyAlignment="1">
      <alignment horizontal="center"/>
    </xf>
    <xf numFmtId="0" fontId="34" fillId="5" borderId="23" xfId="0" applyFont="1" applyFill="1" applyBorder="1" applyAlignment="1">
      <alignment horizontal="center"/>
    </xf>
    <xf numFmtId="0" fontId="34" fillId="5" borderId="46" xfId="0" applyFont="1" applyFill="1" applyBorder="1" applyAlignment="1">
      <alignment horizontal="center"/>
    </xf>
    <xf numFmtId="0" fontId="34" fillId="5" borderId="24" xfId="0" applyFont="1" applyFill="1" applyBorder="1" applyAlignment="1">
      <alignment horizontal="center"/>
    </xf>
    <xf numFmtId="0" fontId="33" fillId="5" borderId="30" xfId="0" applyFont="1" applyFill="1" applyBorder="1" applyAlignment="1">
      <alignment horizontal="center"/>
    </xf>
    <xf numFmtId="2" fontId="32" fillId="22" borderId="17" xfId="0" applyNumberFormat="1" applyFont="1" applyFill="1" applyBorder="1" applyAlignment="1">
      <alignment horizontal="center" vertical="center"/>
    </xf>
    <xf numFmtId="2" fontId="32" fillId="22" borderId="18" xfId="0" applyNumberFormat="1" applyFont="1" applyFill="1" applyBorder="1" applyAlignment="1">
      <alignment horizontal="center" vertical="center"/>
    </xf>
    <xf numFmtId="0" fontId="25" fillId="5" borderId="54" xfId="0" applyFont="1" applyFill="1" applyBorder="1" applyAlignment="1">
      <alignment horizontal="center" vertical="center" wrapText="1"/>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4" fillId="5" borderId="45" xfId="0" applyFont="1" applyFill="1" applyBorder="1" applyAlignment="1">
      <alignment horizontal="center" vertical="center" wrapText="1"/>
    </xf>
    <xf numFmtId="0" fontId="24" fillId="5" borderId="58" xfId="0" applyFont="1" applyFill="1" applyBorder="1" applyAlignment="1">
      <alignment horizontal="center" vertical="center" wrapText="1"/>
    </xf>
    <xf numFmtId="2" fontId="14" fillId="22" borderId="63" xfId="0" applyNumberFormat="1" applyFont="1" applyFill="1" applyBorder="1" applyAlignment="1">
      <alignment horizontal="center" wrapText="1"/>
    </xf>
    <xf numFmtId="2" fontId="14" fillId="22" borderId="64" xfId="0" applyNumberFormat="1" applyFont="1" applyFill="1" applyBorder="1" applyAlignment="1">
      <alignment horizontal="center" wrapText="1"/>
    </xf>
    <xf numFmtId="0" fontId="34" fillId="5" borderId="20" xfId="0" applyFont="1" applyFill="1" applyBorder="1" applyAlignment="1">
      <alignment horizontal="center" vertical="center"/>
    </xf>
    <xf numFmtId="0" fontId="34" fillId="5" borderId="56" xfId="0" applyFont="1" applyFill="1" applyBorder="1" applyAlignment="1">
      <alignment horizontal="center" vertical="center"/>
    </xf>
    <xf numFmtId="0" fontId="34" fillId="5" borderId="33" xfId="0" applyFont="1" applyFill="1" applyBorder="1" applyAlignment="1">
      <alignment horizontal="center" vertical="center"/>
    </xf>
    <xf numFmtId="0" fontId="34" fillId="5" borderId="59" xfId="0" applyFont="1" applyFill="1" applyBorder="1" applyAlignment="1">
      <alignment horizontal="center" vertical="center"/>
    </xf>
    <xf numFmtId="2" fontId="14" fillId="22" borderId="62" xfId="0" applyNumberFormat="1" applyFont="1" applyFill="1" applyBorder="1" applyAlignment="1">
      <alignment horizontal="center" wrapText="1"/>
    </xf>
    <xf numFmtId="2" fontId="14" fillId="22" borderId="15" xfId="0" applyNumberFormat="1" applyFont="1" applyFill="1" applyBorder="1" applyAlignment="1">
      <alignment horizontal="center" wrapText="1"/>
    </xf>
    <xf numFmtId="0" fontId="24" fillId="5" borderId="35" xfId="0" applyFont="1" applyFill="1" applyBorder="1" applyAlignment="1">
      <alignment horizontal="center" vertical="center" wrapText="1"/>
    </xf>
    <xf numFmtId="0" fontId="24" fillId="5" borderId="61" xfId="0" applyFont="1" applyFill="1" applyBorder="1" applyAlignment="1">
      <alignment horizontal="center" vertical="center" wrapText="1"/>
    </xf>
    <xf numFmtId="10" fontId="14" fillId="22" borderId="5" xfId="0" applyNumberFormat="1" applyFont="1" applyFill="1" applyBorder="1" applyAlignment="1">
      <alignment horizontal="center" vertical="center" wrapText="1"/>
    </xf>
    <xf numFmtId="10" fontId="14" fillId="22" borderId="21" xfId="0" applyNumberFormat="1"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31" xfId="0" applyFont="1" applyFill="1" applyBorder="1" applyAlignment="1">
      <alignment horizontal="center" vertical="center" wrapText="1"/>
    </xf>
    <xf numFmtId="10" fontId="14" fillId="22" borderId="17" xfId="0" applyNumberFormat="1" applyFont="1" applyFill="1" applyBorder="1" applyAlignment="1">
      <alignment horizontal="center" vertical="center" wrapText="1"/>
    </xf>
    <xf numFmtId="10" fontId="14" fillId="22" borderId="19" xfId="0" applyNumberFormat="1" applyFont="1" applyFill="1" applyBorder="1" applyAlignment="1">
      <alignment horizontal="center" vertical="center" wrapText="1"/>
    </xf>
    <xf numFmtId="0" fontId="24" fillId="5" borderId="47" xfId="0" applyFont="1" applyFill="1" applyBorder="1" applyAlignment="1">
      <alignment horizontal="center" vertical="center" wrapText="1"/>
    </xf>
    <xf numFmtId="2" fontId="14" fillId="22" borderId="16" xfId="0" applyNumberFormat="1" applyFont="1" applyFill="1" applyBorder="1" applyAlignment="1">
      <alignment horizontal="center" wrapText="1"/>
    </xf>
    <xf numFmtId="2" fontId="14" fillId="22" borderId="39" xfId="0" applyNumberFormat="1" applyFont="1" applyFill="1" applyBorder="1" applyAlignment="1">
      <alignment horizontal="center" wrapText="1"/>
    </xf>
    <xf numFmtId="0" fontId="24" fillId="5" borderId="6" xfId="0" applyFont="1" applyFill="1" applyBorder="1" applyAlignment="1">
      <alignment horizontal="center" vertical="center" wrapText="1"/>
    </xf>
    <xf numFmtId="10" fontId="14" fillId="22" borderId="18" xfId="0" applyNumberFormat="1" applyFont="1" applyFill="1" applyBorder="1" applyAlignment="1">
      <alignment horizontal="center" vertical="center" wrapText="1"/>
    </xf>
    <xf numFmtId="10" fontId="14" fillId="22" borderId="22" xfId="0" applyNumberFormat="1" applyFont="1" applyFill="1" applyBorder="1" applyAlignment="1">
      <alignment horizontal="center" vertical="center" wrapText="1"/>
    </xf>
    <xf numFmtId="0" fontId="24" fillId="5" borderId="32" xfId="0" applyFont="1" applyFill="1" applyBorder="1" applyAlignment="1">
      <alignment horizontal="center" vertical="center" wrapText="1"/>
    </xf>
    <xf numFmtId="0" fontId="48" fillId="5" borderId="28" xfId="0" applyFont="1" applyFill="1" applyBorder="1" applyAlignment="1">
      <alignment horizontal="center" wrapText="1"/>
    </xf>
    <xf numFmtId="0" fontId="48" fillId="5" borderId="53" xfId="0" applyFont="1" applyFill="1" applyBorder="1" applyAlignment="1">
      <alignment horizontal="center" wrapText="1"/>
    </xf>
    <xf numFmtId="0" fontId="33" fillId="12" borderId="0" xfId="0" applyFont="1" applyFill="1" applyAlignment="1">
      <alignment horizontal="left"/>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27" fillId="5" borderId="23" xfId="0" applyFont="1" applyFill="1" applyBorder="1" applyAlignment="1">
      <alignment horizontal="center"/>
    </xf>
    <xf numFmtId="0" fontId="27" fillId="5" borderId="24" xfId="0" applyFont="1" applyFill="1" applyBorder="1" applyAlignment="1">
      <alignment horizontal="center"/>
    </xf>
    <xf numFmtId="0" fontId="27" fillId="5" borderId="23" xfId="0" applyFont="1" applyFill="1" applyBorder="1" applyAlignment="1">
      <alignment horizontal="center" vertical="center" wrapText="1"/>
    </xf>
    <xf numFmtId="0" fontId="27" fillId="5" borderId="24" xfId="0" applyFont="1" applyFill="1" applyBorder="1" applyAlignment="1">
      <alignment horizontal="center" vertical="center" wrapText="1"/>
    </xf>
    <xf numFmtId="2" fontId="32" fillId="23" borderId="37" xfId="0" applyNumberFormat="1" applyFont="1" applyFill="1" applyBorder="1" applyAlignment="1">
      <alignment horizontal="center" vertical="center"/>
    </xf>
    <xf numFmtId="2" fontId="32" fillId="23" borderId="75" xfId="0" applyNumberFormat="1" applyFont="1" applyFill="1" applyBorder="1" applyAlignment="1">
      <alignment horizontal="center" vertical="center"/>
    </xf>
    <xf numFmtId="2" fontId="32" fillId="23" borderId="38"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2" fillId="12" borderId="27"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6" fillId="5" borderId="14" xfId="0" applyFont="1" applyFill="1" applyBorder="1" applyAlignment="1">
      <alignment horizontal="center" vertical="center" wrapText="1"/>
    </xf>
    <xf numFmtId="0" fontId="36" fillId="5" borderId="12"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5" xfId="0" applyFont="1" applyFill="1" applyBorder="1" applyAlignment="1">
      <alignment horizontal="center" vertical="center" wrapText="1"/>
    </xf>
    <xf numFmtId="0" fontId="32" fillId="18" borderId="5" xfId="0" applyFont="1" applyFill="1" applyBorder="1" applyAlignment="1">
      <alignment horizontal="center" vertical="top"/>
    </xf>
    <xf numFmtId="0" fontId="32" fillId="15" borderId="5" xfId="0" applyFont="1" applyFill="1" applyBorder="1" applyAlignment="1">
      <alignment horizontal="center" vertical="top"/>
    </xf>
    <xf numFmtId="0" fontId="32" fillId="17" borderId="5" xfId="0" applyFont="1" applyFill="1" applyBorder="1" applyAlignment="1">
      <alignment horizontal="center" vertical="center"/>
    </xf>
    <xf numFmtId="0" fontId="32" fillId="16" borderId="18" xfId="0" applyFont="1" applyFill="1" applyBorder="1" applyAlignment="1">
      <alignment horizontal="center" vertical="top"/>
    </xf>
    <xf numFmtId="0" fontId="36" fillId="23" borderId="23" xfId="0" applyFont="1" applyFill="1" applyBorder="1" applyAlignment="1">
      <alignment horizontal="center" vertical="center" wrapText="1"/>
    </xf>
    <xf numFmtId="0" fontId="36" fillId="23" borderId="46" xfId="0" applyFont="1" applyFill="1" applyBorder="1" applyAlignment="1">
      <alignment horizontal="center" vertical="center" wrapText="1"/>
    </xf>
    <xf numFmtId="0" fontId="36" fillId="23" borderId="24" xfId="0" applyFont="1" applyFill="1" applyBorder="1" applyAlignment="1">
      <alignment horizontal="center" vertical="center" wrapText="1"/>
    </xf>
    <xf numFmtId="0" fontId="27" fillId="11" borderId="20" xfId="0" applyFont="1" applyFill="1" applyBorder="1" applyAlignment="1">
      <alignment horizontal="center" vertical="center"/>
    </xf>
    <xf numFmtId="0" fontId="27" fillId="11" borderId="27" xfId="0" applyFont="1" applyFill="1" applyBorder="1" applyAlignment="1">
      <alignment horizontal="center" vertical="center"/>
    </xf>
    <xf numFmtId="0" fontId="27" fillId="11" borderId="56" xfId="0" applyFont="1" applyFill="1" applyBorder="1" applyAlignment="1">
      <alignment horizontal="center" vertical="center"/>
    </xf>
    <xf numFmtId="0" fontId="27" fillId="11" borderId="33" xfId="0" applyFont="1" applyFill="1" applyBorder="1" applyAlignment="1">
      <alignment horizontal="center" vertical="center"/>
    </xf>
    <xf numFmtId="0" fontId="27" fillId="11" borderId="34" xfId="0" applyFont="1" applyFill="1" applyBorder="1" applyAlignment="1">
      <alignment horizontal="center" vertical="center"/>
    </xf>
    <xf numFmtId="0" fontId="27" fillId="11" borderId="59" xfId="0" applyFont="1" applyFill="1" applyBorder="1" applyAlignment="1">
      <alignment horizontal="center" vertical="center"/>
    </xf>
    <xf numFmtId="0" fontId="14" fillId="11" borderId="23" xfId="0" applyFont="1" applyFill="1" applyBorder="1" applyAlignment="1">
      <alignment horizontal="center" vertical="top"/>
    </xf>
    <xf numFmtId="0" fontId="14" fillId="11" borderId="46" xfId="0" applyFont="1" applyFill="1" applyBorder="1" applyAlignment="1">
      <alignment horizontal="center" vertical="top"/>
    </xf>
    <xf numFmtId="0" fontId="14" fillId="11" borderId="24" xfId="0" applyFont="1" applyFill="1" applyBorder="1" applyAlignment="1">
      <alignment horizontal="center" vertical="top"/>
    </xf>
    <xf numFmtId="0" fontId="36" fillId="11" borderId="23" xfId="0" applyFont="1" applyFill="1" applyBorder="1" applyAlignment="1">
      <alignment horizontal="center" vertical="center" wrapText="1"/>
    </xf>
    <xf numFmtId="0" fontId="36" fillId="11" borderId="46" xfId="0" applyFont="1" applyFill="1" applyBorder="1" applyAlignment="1">
      <alignment horizontal="center" vertical="center" wrapText="1"/>
    </xf>
    <xf numFmtId="0" fontId="36" fillId="11" borderId="24" xfId="0" applyFont="1" applyFill="1" applyBorder="1" applyAlignment="1">
      <alignment horizontal="center" vertical="center" wrapText="1"/>
    </xf>
    <xf numFmtId="0" fontId="36" fillId="11" borderId="35" xfId="0" applyFont="1" applyFill="1" applyBorder="1" applyAlignment="1">
      <alignment horizontal="center" vertical="center" wrapText="1"/>
    </xf>
    <xf numFmtId="0" fontId="36" fillId="11" borderId="15" xfId="0" applyFont="1" applyFill="1" applyBorder="1" applyAlignment="1">
      <alignment horizontal="center" vertical="center" wrapText="1"/>
    </xf>
    <xf numFmtId="0" fontId="36" fillId="11" borderId="47" xfId="0" applyFont="1" applyFill="1" applyBorder="1" applyAlignment="1">
      <alignment horizontal="center" vertical="center" wrapText="1"/>
    </xf>
    <xf numFmtId="0" fontId="36" fillId="11" borderId="28" xfId="0" applyFont="1" applyFill="1" applyBorder="1" applyAlignment="1">
      <alignment horizontal="center" vertical="center" wrapText="1"/>
    </xf>
    <xf numFmtId="0" fontId="36" fillId="11" borderId="30" xfId="0" applyFont="1" applyFill="1" applyBorder="1" applyAlignment="1">
      <alignment horizontal="center" vertical="center" wrapText="1"/>
    </xf>
    <xf numFmtId="0" fontId="36" fillId="11" borderId="73"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6" fillId="11" borderId="37"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6" fillId="11" borderId="25" xfId="0" applyFont="1" applyFill="1" applyBorder="1" applyAlignment="1">
      <alignment horizontal="center" vertical="center" wrapText="1"/>
    </xf>
    <xf numFmtId="0" fontId="36" fillId="11" borderId="23" xfId="0" applyFont="1" applyFill="1" applyBorder="1" applyAlignment="1">
      <alignment horizontal="center" vertical="center"/>
    </xf>
    <xf numFmtId="0" fontId="36" fillId="11" borderId="46" xfId="0" applyFont="1" applyFill="1" applyBorder="1" applyAlignment="1">
      <alignment horizontal="center" vertical="center"/>
    </xf>
    <xf numFmtId="0" fontId="36" fillId="11" borderId="24" xfId="0" applyFont="1" applyFill="1" applyBorder="1" applyAlignment="1">
      <alignment horizontal="center" vertical="center"/>
    </xf>
    <xf numFmtId="0" fontId="36" fillId="11" borderId="49" xfId="0" applyFont="1" applyFill="1" applyBorder="1" applyAlignment="1">
      <alignment horizontal="center" vertical="center" wrapText="1"/>
    </xf>
    <xf numFmtId="0" fontId="32" fillId="10" borderId="0" xfId="0" applyFont="1" applyFill="1" applyAlignment="1">
      <alignment horizontal="center"/>
    </xf>
    <xf numFmtId="0" fontId="14" fillId="12" borderId="0" xfId="0" applyFont="1" applyFill="1" applyAlignment="1">
      <alignment horizontal="center" vertical="center" wrapText="1"/>
    </xf>
    <xf numFmtId="0" fontId="14" fillId="12" borderId="0" xfId="0" applyFont="1" applyFill="1" applyAlignment="1">
      <alignment horizontal="center" wrapText="1"/>
    </xf>
    <xf numFmtId="0" fontId="32" fillId="10" borderId="0" xfId="0" applyFont="1" applyFill="1" applyAlignment="1">
      <alignment horizontal="center" wrapText="1"/>
    </xf>
    <xf numFmtId="0" fontId="14" fillId="10" borderId="0" xfId="0" applyFont="1" applyFill="1" applyAlignment="1">
      <alignment horizontal="center"/>
    </xf>
    <xf numFmtId="0" fontId="14" fillId="11" borderId="23" xfId="0" applyFont="1" applyFill="1" applyBorder="1" applyAlignment="1">
      <alignment horizontal="left" vertical="top"/>
    </xf>
    <xf numFmtId="0" fontId="14" fillId="11" borderId="46" xfId="0" applyFont="1" applyFill="1" applyBorder="1" applyAlignment="1">
      <alignment horizontal="left" vertical="top"/>
    </xf>
    <xf numFmtId="0" fontId="14" fillId="11" borderId="24" xfId="0" applyFont="1" applyFill="1" applyBorder="1" applyAlignment="1">
      <alignment horizontal="left" vertical="top"/>
    </xf>
    <xf numFmtId="0" fontId="36" fillId="11" borderId="35" xfId="0" applyFont="1" applyFill="1" applyBorder="1" applyAlignment="1">
      <alignment horizontal="center"/>
    </xf>
    <xf numFmtId="0" fontId="36" fillId="11" borderId="15" xfId="0" applyFont="1" applyFill="1" applyBorder="1" applyAlignment="1">
      <alignment horizontal="center"/>
    </xf>
    <xf numFmtId="0" fontId="36" fillId="11" borderId="47" xfId="0" applyFont="1" applyFill="1" applyBorder="1" applyAlignment="1">
      <alignment horizontal="center" vertical="center"/>
    </xf>
    <xf numFmtId="0" fontId="36"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36" fillId="11" borderId="35" xfId="0" applyFont="1" applyFill="1" applyBorder="1" applyAlignment="1">
      <alignment horizontal="center" vertical="center"/>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53"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6" fillId="5" borderId="54" xfId="0" applyFont="1" applyFill="1" applyBorder="1" applyAlignment="1">
      <alignment horizontal="center" vertical="center" wrapText="1"/>
    </xf>
    <xf numFmtId="0" fontId="36" fillId="5" borderId="29" xfId="0" applyFont="1" applyFill="1" applyBorder="1" applyAlignment="1">
      <alignment horizontal="center" vertical="center" wrapText="1"/>
    </xf>
    <xf numFmtId="0" fontId="27" fillId="5" borderId="20" xfId="0" applyFont="1" applyFill="1" applyBorder="1" applyAlignment="1">
      <alignment horizontal="center" vertical="top"/>
    </xf>
    <xf numFmtId="0" fontId="27" fillId="5" borderId="27" xfId="0" applyFont="1" applyFill="1" applyBorder="1" applyAlignment="1">
      <alignment horizontal="center" vertical="top"/>
    </xf>
    <xf numFmtId="0" fontId="27" fillId="5" borderId="56" xfId="0" applyFont="1" applyFill="1" applyBorder="1" applyAlignment="1">
      <alignment horizontal="center" vertical="top"/>
    </xf>
    <xf numFmtId="0" fontId="27" fillId="5" borderId="33" xfId="0" applyFont="1" applyFill="1" applyBorder="1" applyAlignment="1">
      <alignment horizontal="center" vertical="top"/>
    </xf>
    <xf numFmtId="0" fontId="27" fillId="5" borderId="34" xfId="0" applyFont="1" applyFill="1" applyBorder="1" applyAlignment="1">
      <alignment horizontal="center" vertical="top"/>
    </xf>
    <xf numFmtId="0" fontId="27" fillId="5" borderId="59" xfId="0" applyFont="1" applyFill="1" applyBorder="1" applyAlignment="1">
      <alignment horizontal="center" vertical="top"/>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6" fillId="5" borderId="29" xfId="0" applyFont="1" applyFill="1" applyBorder="1" applyAlignment="1">
      <alignment horizontal="center" vertical="center"/>
    </xf>
    <xf numFmtId="0" fontId="36" fillId="5" borderId="23" xfId="0" applyFont="1" applyFill="1" applyBorder="1" applyAlignment="1">
      <alignment horizontal="center" vertical="center"/>
    </xf>
    <xf numFmtId="0" fontId="36" fillId="5" borderId="46" xfId="0" applyFont="1" applyFill="1" applyBorder="1" applyAlignment="1">
      <alignment horizontal="center" vertical="center"/>
    </xf>
    <xf numFmtId="0" fontId="36" fillId="5" borderId="24" xfId="0" applyFont="1" applyFill="1" applyBorder="1" applyAlignment="1">
      <alignment horizontal="center" vertical="center"/>
    </xf>
    <xf numFmtId="0" fontId="36" fillId="5" borderId="62" xfId="0" applyFont="1" applyFill="1" applyBorder="1" applyAlignment="1">
      <alignment horizontal="center" vertical="center" wrapText="1"/>
    </xf>
    <xf numFmtId="0" fontId="36" fillId="5" borderId="16" xfId="0" applyFont="1" applyFill="1" applyBorder="1" applyAlignment="1">
      <alignment horizontal="center" vertical="center" wrapText="1"/>
    </xf>
    <xf numFmtId="0" fontId="36" fillId="5" borderId="61"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35" xfId="0" applyFont="1" applyFill="1" applyBorder="1" applyAlignment="1">
      <alignment horizontal="center" vertical="center"/>
    </xf>
    <xf numFmtId="0" fontId="36" fillId="5" borderId="15" xfId="0" applyFont="1" applyFill="1" applyBorder="1" applyAlignment="1">
      <alignment horizontal="center" vertical="center"/>
    </xf>
    <xf numFmtId="0" fontId="36" fillId="5" borderId="47" xfId="0" applyFont="1" applyFill="1" applyBorder="1" applyAlignment="1">
      <alignment horizontal="center" vertical="center"/>
    </xf>
    <xf numFmtId="0" fontId="36" fillId="5" borderId="37"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6" fillId="5" borderId="73" xfId="0" applyFont="1" applyFill="1" applyBorder="1" applyAlignment="1">
      <alignment horizontal="center" vertical="center" wrapText="1"/>
    </xf>
    <xf numFmtId="0" fontId="36" fillId="5" borderId="42"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5" borderId="47"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28" xfId="0" applyFont="1" applyFill="1" applyBorder="1" applyAlignment="1">
      <alignment horizontal="center" vertical="center" wrapText="1"/>
    </xf>
    <xf numFmtId="0" fontId="36" fillId="5" borderId="53" xfId="0" applyFont="1" applyFill="1" applyBorder="1" applyAlignment="1">
      <alignment horizontal="center" vertical="center" wrapText="1"/>
    </xf>
    <xf numFmtId="0" fontId="27" fillId="5" borderId="23" xfId="0" applyFont="1" applyFill="1" applyBorder="1" applyAlignment="1">
      <alignment horizontal="center" vertical="center"/>
    </xf>
    <xf numFmtId="0" fontId="27" fillId="5" borderId="46" xfId="0" applyFont="1" applyFill="1" applyBorder="1" applyAlignment="1">
      <alignment horizontal="center" vertical="center"/>
    </xf>
    <xf numFmtId="0" fontId="27" fillId="5" borderId="24" xfId="0" applyFont="1" applyFill="1" applyBorder="1" applyAlignment="1">
      <alignment horizontal="center" vertical="center"/>
    </xf>
    <xf numFmtId="0" fontId="27" fillId="5" borderId="20" xfId="0" applyFont="1" applyFill="1" applyBorder="1" applyAlignment="1">
      <alignment horizontal="center" vertical="center"/>
    </xf>
    <xf numFmtId="0" fontId="27" fillId="5" borderId="27" xfId="0" applyFont="1" applyFill="1" applyBorder="1" applyAlignment="1">
      <alignment horizontal="center" vertical="center"/>
    </xf>
    <xf numFmtId="0" fontId="27" fillId="5" borderId="56" xfId="0" applyFont="1" applyFill="1" applyBorder="1" applyAlignment="1">
      <alignment horizontal="center" vertical="center"/>
    </xf>
    <xf numFmtId="0" fontId="27" fillId="5" borderId="33" xfId="0" applyFont="1" applyFill="1" applyBorder="1" applyAlignment="1">
      <alignment horizontal="center" vertical="center"/>
    </xf>
    <xf numFmtId="0" fontId="27" fillId="5" borderId="34" xfId="0" applyFont="1" applyFill="1" applyBorder="1" applyAlignment="1">
      <alignment horizontal="center" vertical="center"/>
    </xf>
    <xf numFmtId="0" fontId="27" fillId="5" borderId="59" xfId="0" applyFont="1" applyFill="1" applyBorder="1" applyAlignment="1">
      <alignment horizontal="center" vertical="center"/>
    </xf>
    <xf numFmtId="0" fontId="36" fillId="12" borderId="0" xfId="0" applyFont="1" applyFill="1" applyAlignment="1">
      <alignment horizontal="center"/>
    </xf>
    <xf numFmtId="0" fontId="36" fillId="5" borderId="49" xfId="0" applyFont="1" applyFill="1" applyBorder="1" applyAlignment="1">
      <alignment horizontal="center" vertical="center" wrapText="1"/>
    </xf>
    <xf numFmtId="0" fontId="36" fillId="12" borderId="27" xfId="0" applyFont="1" applyFill="1" applyBorder="1" applyAlignment="1">
      <alignment horizontal="center" wrapText="1"/>
    </xf>
    <xf numFmtId="0" fontId="36" fillId="12" borderId="56" xfId="0" applyFont="1" applyFill="1" applyBorder="1" applyAlignment="1">
      <alignment horizontal="center" wrapText="1"/>
    </xf>
    <xf numFmtId="0" fontId="36" fillId="5" borderId="55" xfId="0" applyFont="1" applyFill="1" applyBorder="1" applyAlignment="1">
      <alignment horizontal="center" vertical="center" wrapText="1"/>
    </xf>
    <xf numFmtId="0" fontId="36" fillId="5" borderId="54" xfId="0" applyFont="1" applyFill="1" applyBorder="1" applyAlignment="1">
      <alignment horizontal="center" vertical="center"/>
    </xf>
    <xf numFmtId="0" fontId="14" fillId="5" borderId="23" xfId="0" applyFont="1" applyFill="1" applyBorder="1" applyAlignment="1">
      <alignment horizontal="left" vertical="top"/>
    </xf>
    <xf numFmtId="0" fontId="14" fillId="5" borderId="46" xfId="0" applyFont="1" applyFill="1" applyBorder="1" applyAlignment="1">
      <alignment horizontal="left" vertical="top"/>
    </xf>
    <xf numFmtId="0" fontId="14" fillId="5" borderId="24" xfId="0" applyFont="1" applyFill="1" applyBorder="1" applyAlignment="1">
      <alignment horizontal="left" vertical="top"/>
    </xf>
    <xf numFmtId="0" fontId="36" fillId="5" borderId="20" xfId="0" applyFont="1" applyFill="1" applyBorder="1" applyAlignment="1">
      <alignment horizontal="center" vertical="center"/>
    </xf>
    <xf numFmtId="0" fontId="36" fillId="5" borderId="27" xfId="0" applyFont="1" applyFill="1" applyBorder="1" applyAlignment="1">
      <alignment horizontal="center" vertical="center"/>
    </xf>
    <xf numFmtId="0" fontId="36" fillId="5" borderId="56" xfId="0" applyFont="1" applyFill="1" applyBorder="1" applyAlignment="1">
      <alignment horizontal="center" vertical="center"/>
    </xf>
    <xf numFmtId="0" fontId="36" fillId="5" borderId="29" xfId="0" applyFont="1" applyFill="1" applyBorder="1" applyAlignment="1">
      <alignment horizontal="center"/>
    </xf>
    <xf numFmtId="0" fontId="36" fillId="7" borderId="35" xfId="0" applyFont="1" applyFill="1" applyBorder="1" applyAlignment="1">
      <alignment horizontal="center" vertical="center" wrapText="1"/>
    </xf>
    <xf numFmtId="0" fontId="36" fillId="7" borderId="15" xfId="0" applyFont="1" applyFill="1" applyBorder="1" applyAlignment="1">
      <alignment horizontal="center" vertical="center" wrapText="1"/>
    </xf>
    <xf numFmtId="0" fontId="36" fillId="7" borderId="47"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12" borderId="27" xfId="0" applyFont="1" applyFill="1" applyBorder="1" applyAlignment="1">
      <alignment horizontal="center" vertical="center"/>
    </xf>
    <xf numFmtId="0" fontId="36" fillId="5" borderId="50" xfId="0" applyFont="1" applyFill="1" applyBorder="1" applyAlignment="1">
      <alignment horizontal="center" vertical="center" wrapText="1"/>
    </xf>
    <xf numFmtId="0" fontId="27" fillId="5" borderId="23" xfId="0" applyFont="1" applyFill="1" applyBorder="1" applyAlignment="1">
      <alignment horizontal="left" vertical="center"/>
    </xf>
    <xf numFmtId="0" fontId="27" fillId="5" borderId="46" xfId="0" applyFont="1" applyFill="1" applyBorder="1" applyAlignment="1">
      <alignment horizontal="left" vertical="center"/>
    </xf>
    <xf numFmtId="0" fontId="27" fillId="5" borderId="24" xfId="0" applyFont="1" applyFill="1" applyBorder="1" applyAlignment="1">
      <alignment horizontal="left" vertical="center"/>
    </xf>
    <xf numFmtId="0" fontId="36" fillId="5" borderId="23" xfId="0" applyFont="1" applyFill="1" applyBorder="1" applyAlignment="1">
      <alignment horizontal="center"/>
    </xf>
    <xf numFmtId="0" fontId="36" fillId="5" borderId="46" xfId="0" applyFont="1" applyFill="1" applyBorder="1" applyAlignment="1">
      <alignment horizontal="center"/>
    </xf>
    <xf numFmtId="0" fontId="36" fillId="5" borderId="24" xfId="0" applyFont="1" applyFill="1" applyBorder="1" applyAlignment="1">
      <alignment horizontal="center"/>
    </xf>
    <xf numFmtId="0" fontId="36" fillId="5" borderId="23" xfId="0" applyFont="1" applyFill="1" applyBorder="1" applyAlignment="1">
      <alignment horizontal="center" vertical="center" wrapText="1"/>
    </xf>
    <xf numFmtId="0" fontId="27" fillId="5" borderId="1" xfId="0" applyFont="1" applyFill="1" applyBorder="1" applyAlignment="1">
      <alignment horizontal="center" vertical="center"/>
    </xf>
    <xf numFmtId="0" fontId="27" fillId="5" borderId="65" xfId="0" applyFont="1" applyFill="1" applyBorder="1" applyAlignment="1">
      <alignment horizontal="center" vertical="center"/>
    </xf>
    <xf numFmtId="0" fontId="27" fillId="5" borderId="60" xfId="0" applyFont="1" applyFill="1" applyBorder="1" applyAlignment="1">
      <alignment horizontal="center" vertical="center"/>
    </xf>
    <xf numFmtId="0" fontId="27" fillId="5" borderId="2" xfId="0" applyFont="1" applyFill="1" applyBorder="1" applyAlignment="1">
      <alignment horizontal="center" vertical="center"/>
    </xf>
    <xf numFmtId="0" fontId="36" fillId="5" borderId="67" xfId="0" applyFont="1" applyFill="1" applyBorder="1" applyAlignment="1">
      <alignment horizontal="center" vertical="center" wrapText="1"/>
    </xf>
    <xf numFmtId="0" fontId="36" fillId="5" borderId="46"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6" fillId="12" borderId="56" xfId="0" applyFont="1" applyFill="1" applyBorder="1" applyAlignment="1">
      <alignment horizontal="center" vertical="center" wrapText="1"/>
    </xf>
    <xf numFmtId="0" fontId="27" fillId="5" borderId="57" xfId="0" applyFont="1" applyFill="1" applyBorder="1" applyAlignment="1">
      <alignment horizontal="center" vertical="top"/>
    </xf>
    <xf numFmtId="0" fontId="27" fillId="5" borderId="0" xfId="0" applyFont="1" applyFill="1" applyAlignment="1">
      <alignment horizontal="center" vertical="top"/>
    </xf>
    <xf numFmtId="0" fontId="27" fillId="5" borderId="50" xfId="0" applyFont="1" applyFill="1" applyBorder="1" applyAlignment="1">
      <alignment horizontal="center" vertical="top"/>
    </xf>
    <xf numFmtId="0" fontId="27" fillId="12" borderId="0" xfId="0" applyFont="1" applyFill="1" applyAlignment="1">
      <alignment horizontal="center" vertical="center"/>
    </xf>
    <xf numFmtId="0" fontId="27" fillId="5" borderId="23" xfId="0" applyFont="1" applyFill="1" applyBorder="1" applyAlignment="1">
      <alignment horizontal="center" vertical="top"/>
    </xf>
    <xf numFmtId="0" fontId="27" fillId="5" borderId="46" xfId="0" applyFont="1" applyFill="1" applyBorder="1" applyAlignment="1">
      <alignment horizontal="center" vertical="top"/>
    </xf>
    <xf numFmtId="0" fontId="27" fillId="5" borderId="24" xfId="0" applyFont="1" applyFill="1" applyBorder="1" applyAlignment="1">
      <alignment horizontal="center" vertical="top"/>
    </xf>
    <xf numFmtId="0" fontId="36" fillId="5" borderId="36" xfId="0" applyFont="1" applyFill="1" applyBorder="1" applyAlignment="1">
      <alignment horizontal="center" vertical="center" wrapText="1"/>
    </xf>
    <xf numFmtId="0" fontId="36" fillId="12" borderId="78" xfId="0" applyFont="1" applyFill="1" applyBorder="1" applyAlignment="1">
      <alignment horizontal="center" vertical="center" wrapText="1"/>
    </xf>
    <xf numFmtId="0" fontId="36" fillId="12" borderId="37" xfId="0" applyFont="1" applyFill="1" applyBorder="1" applyAlignment="1">
      <alignment horizontal="center" vertical="center" wrapText="1"/>
    </xf>
    <xf numFmtId="0" fontId="36" fillId="12" borderId="74"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27" fillId="5" borderId="25" xfId="0" applyFont="1" applyFill="1" applyBorder="1" applyAlignment="1">
      <alignment horizontal="center" vertical="center"/>
    </xf>
    <xf numFmtId="0" fontId="27" fillId="5" borderId="21" xfId="0" applyFont="1" applyFill="1" applyBorder="1" applyAlignment="1">
      <alignment horizontal="center" vertical="center"/>
    </xf>
    <xf numFmtId="0" fontId="27" fillId="5" borderId="13" xfId="0" applyFont="1" applyFill="1" applyBorder="1" applyAlignment="1">
      <alignment horizontal="center" vertical="center"/>
    </xf>
    <xf numFmtId="0" fontId="27" fillId="5" borderId="22" xfId="0" applyFont="1" applyFill="1" applyBorder="1" applyAlignment="1">
      <alignment horizontal="center" vertical="center"/>
    </xf>
    <xf numFmtId="0" fontId="36" fillId="5" borderId="14" xfId="0" applyFont="1" applyFill="1" applyBorder="1" applyAlignment="1">
      <alignment horizontal="center"/>
    </xf>
    <xf numFmtId="0" fontId="36" fillId="5" borderId="19" xfId="0" applyFont="1" applyFill="1" applyBorder="1" applyAlignment="1">
      <alignment horizontal="center"/>
    </xf>
    <xf numFmtId="0" fontId="36" fillId="5" borderId="20" xfId="0" applyFont="1" applyFill="1" applyBorder="1" applyAlignment="1">
      <alignment horizontal="center" vertical="center" wrapText="1"/>
    </xf>
    <xf numFmtId="0" fontId="36" fillId="5" borderId="44" xfId="0" applyFont="1" applyFill="1" applyBorder="1" applyAlignment="1">
      <alignment horizontal="center" vertical="center" wrapText="1"/>
    </xf>
    <xf numFmtId="0" fontId="36" fillId="5" borderId="39" xfId="0" applyFont="1" applyFill="1" applyBorder="1" applyAlignment="1">
      <alignment horizontal="center" vertical="center" wrapText="1"/>
    </xf>
    <xf numFmtId="0" fontId="36" fillId="5" borderId="31" xfId="0" applyFont="1" applyFill="1" applyBorder="1" applyAlignment="1">
      <alignment horizontal="center" vertical="center" wrapText="1"/>
    </xf>
    <xf numFmtId="0" fontId="36" fillId="12" borderId="66" xfId="0" applyFont="1" applyFill="1" applyBorder="1" applyAlignment="1">
      <alignment horizontal="center" vertical="center" wrapText="1"/>
    </xf>
    <xf numFmtId="0" fontId="36" fillId="12" borderId="42" xfId="0" applyFont="1" applyFill="1" applyBorder="1" applyAlignment="1">
      <alignment horizontal="center" vertical="center" wrapText="1"/>
    </xf>
    <xf numFmtId="0" fontId="27" fillId="5" borderId="5" xfId="0" applyFont="1" applyFill="1" applyBorder="1" applyAlignment="1">
      <alignment horizontal="center"/>
    </xf>
    <xf numFmtId="0" fontId="39" fillId="5" borderId="5" xfId="0" applyFont="1" applyFill="1" applyBorder="1" applyAlignment="1">
      <alignment horizontal="center"/>
    </xf>
    <xf numFmtId="0" fontId="39" fillId="5" borderId="16" xfId="0" applyFont="1" applyFill="1" applyBorder="1" applyAlignment="1">
      <alignment horizontal="center"/>
    </xf>
    <xf numFmtId="0" fontId="39" fillId="5" borderId="31" xfId="0" applyFont="1" applyFill="1" applyBorder="1" applyAlignment="1">
      <alignment horizontal="center"/>
    </xf>
    <xf numFmtId="0" fontId="39" fillId="5" borderId="6" xfId="0" applyFont="1" applyFill="1" applyBorder="1" applyAlignment="1">
      <alignment horizontal="center"/>
    </xf>
    <xf numFmtId="0" fontId="39" fillId="5" borderId="4" xfId="0" applyFont="1" applyFill="1" applyBorder="1" applyAlignment="1">
      <alignment horizontal="center"/>
    </xf>
    <xf numFmtId="0" fontId="36" fillId="5" borderId="60" xfId="0" applyFont="1" applyFill="1" applyBorder="1" applyAlignment="1">
      <alignment horizontal="center"/>
    </xf>
    <xf numFmtId="0" fontId="36" fillId="5" borderId="4" xfId="0" applyFont="1" applyFill="1" applyBorder="1" applyAlignment="1">
      <alignment horizontal="center"/>
    </xf>
    <xf numFmtId="0" fontId="36" fillId="5" borderId="2" xfId="0" applyFont="1" applyFill="1" applyBorder="1" applyAlignment="1">
      <alignment horizontal="center"/>
    </xf>
    <xf numFmtId="0" fontId="36" fillId="5" borderId="16" xfId="0" applyFont="1" applyFill="1" applyBorder="1" applyAlignment="1">
      <alignment horizontal="center"/>
    </xf>
    <xf numFmtId="0" fontId="36" fillId="5" borderId="31" xfId="0" applyFont="1" applyFill="1" applyBorder="1" applyAlignment="1">
      <alignment horizontal="center"/>
    </xf>
    <xf numFmtId="0" fontId="36" fillId="5" borderId="6" xfId="0" applyFont="1" applyFill="1" applyBorder="1" applyAlignment="1">
      <alignment horizontal="center"/>
    </xf>
    <xf numFmtId="0" fontId="35" fillId="5" borderId="4" xfId="0" applyFont="1" applyFill="1" applyBorder="1" applyAlignment="1">
      <alignment horizontal="center" wrapText="1"/>
    </xf>
    <xf numFmtId="0" fontId="32" fillId="12" borderId="0" xfId="0" applyFont="1" applyFill="1" applyAlignment="1">
      <alignment horizontal="center"/>
    </xf>
    <xf numFmtId="0" fontId="34" fillId="5" borderId="31" xfId="0" applyFont="1" applyFill="1" applyBorder="1" applyAlignment="1">
      <alignment horizontal="center"/>
    </xf>
    <xf numFmtId="0" fontId="34" fillId="5" borderId="6" xfId="0" applyFont="1" applyFill="1" applyBorder="1" applyAlignment="1">
      <alignment horizontal="center"/>
    </xf>
    <xf numFmtId="0" fontId="32" fillId="12"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5" xfId="0" applyFont="1" applyFill="1" applyBorder="1" applyAlignment="1">
      <alignment horizontal="center" vertical="center" wrapText="1"/>
    </xf>
    <xf numFmtId="0" fontId="36" fillId="5" borderId="14" xfId="0" applyFont="1" applyFill="1" applyBorder="1" applyAlignment="1">
      <alignment horizontal="center" wrapText="1"/>
    </xf>
    <xf numFmtId="0" fontId="36"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6" fillId="5" borderId="23" xfId="0" applyFont="1" applyFill="1" applyBorder="1" applyAlignment="1">
      <alignment horizontal="center" wrapText="1"/>
    </xf>
    <xf numFmtId="0" fontId="36" fillId="5" borderId="24" xfId="0" applyFont="1" applyFill="1" applyBorder="1" applyAlignment="1">
      <alignment horizontal="center" wrapText="1"/>
    </xf>
    <xf numFmtId="0" fontId="14" fillId="5" borderId="48" xfId="0" applyFont="1" applyFill="1" applyBorder="1" applyAlignment="1">
      <alignment horizontal="center" vertical="center"/>
    </xf>
    <xf numFmtId="0" fontId="36" fillId="5" borderId="27" xfId="0" applyFont="1" applyFill="1" applyBorder="1" applyAlignment="1">
      <alignment horizontal="center" vertical="center" wrapText="1"/>
    </xf>
    <xf numFmtId="0" fontId="36" fillId="5" borderId="56" xfId="0" applyFont="1" applyFill="1" applyBorder="1" applyAlignment="1">
      <alignment horizontal="center" vertical="center" wrapText="1"/>
    </xf>
    <xf numFmtId="0" fontId="36"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3" fillId="5" borderId="4" xfId="0" applyFont="1" applyFill="1" applyBorder="1" applyAlignment="1">
      <alignment horizontal="center"/>
    </xf>
    <xf numFmtId="0" fontId="33" fillId="5" borderId="2" xfId="0" applyFont="1" applyFill="1" applyBorder="1" applyAlignment="1">
      <alignment horizontal="center"/>
    </xf>
    <xf numFmtId="0" fontId="33" fillId="12" borderId="1" xfId="0" applyFont="1" applyFill="1" applyBorder="1" applyAlignment="1">
      <alignment horizontal="center"/>
    </xf>
    <xf numFmtId="0" fontId="33" fillId="12" borderId="60" xfId="0" applyFont="1" applyFill="1" applyBorder="1" applyAlignment="1">
      <alignment horizontal="center"/>
    </xf>
    <xf numFmtId="0" fontId="27" fillId="12" borderId="16" xfId="0" applyFont="1" applyFill="1" applyBorder="1" applyAlignment="1">
      <alignment horizontal="center"/>
    </xf>
    <xf numFmtId="0" fontId="27" fillId="12" borderId="31" xfId="0" applyFont="1" applyFill="1" applyBorder="1" applyAlignment="1">
      <alignment horizontal="center"/>
    </xf>
    <xf numFmtId="0" fontId="27" fillId="12" borderId="6" xfId="0" applyFont="1" applyFill="1" applyBorder="1" applyAlignment="1">
      <alignment horizontal="center"/>
    </xf>
    <xf numFmtId="0" fontId="1" fillId="12" borderId="0" xfId="0" applyFont="1" applyFill="1" applyAlignment="1">
      <alignment horizontal="center"/>
    </xf>
  </cellXfs>
  <cellStyles count="32">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s>
  <dxfs count="39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5" tint="0.79998168889431442"/>
        </patternFill>
      </fill>
    </dxf>
    <dxf>
      <fill>
        <patternFill>
          <bgColor theme="5" tint="0.79998168889431442"/>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fgColor auto="1"/>
          <bgColor theme="8" tint="0.59996337778862885"/>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92D050"/>
        </patternFill>
      </fill>
    </dxf>
    <dxf>
      <fill>
        <patternFill>
          <bgColor rgb="FFFFC000"/>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D5D3DC"/>
      <color rgb="FF663300"/>
      <color rgb="FFFFFF99"/>
      <color rgb="FF0033CC"/>
      <color rgb="FFF4D4D4"/>
      <color rgb="FF006600"/>
      <color rgb="FFE0DCD3"/>
      <color rgb="FFABC3C9"/>
      <color rgb="FFFFA3A3"/>
      <color rgb="FFF97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48" Type="http://schemas.openxmlformats.org/officeDocument/2006/relationships/customXml" Target="../customXml/item4.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20" Type="http://schemas.openxmlformats.org/officeDocument/2006/relationships/worksheet" Target="worksheets/sheet20.xml"/><Relationship Id="rId41"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sz="1400" b="0" i="0" u="none" strike="noStrike" kern="1200" spc="0" baseline="0">
                <a:solidFill>
                  <a:schemeClr val="accent1"/>
                </a:solidFill>
                <a:latin typeface="+mn-lt"/>
                <a:ea typeface="+mn-ea"/>
                <a:cs typeface="+mn-cs"/>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933242983931666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5.7599999999999998E-2</c:v>
                </c:pt>
                <c:pt idx="1">
                  <c:v>0</c:v>
                </c:pt>
                <c:pt idx="2">
                  <c:v>1.0329000000000002</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habitat retention category </a:t>
            </a:r>
          </a:p>
          <a:p>
            <a:pPr>
              <a:defRPr lang="en-GB" sz="1200" b="0" i="0" u="none" strike="noStrike" kern="1200" spc="0" baseline="0">
                <a:solidFill>
                  <a:schemeClr val="accent1"/>
                </a:solidFill>
                <a:latin typeface="+mn-lt"/>
                <a:ea typeface="+mn-ea"/>
                <a:cs typeface="+mn-cs"/>
              </a:defRPr>
            </a:pPr>
            <a:r>
              <a:rPr lang="en-GB"/>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0.52991999999999995</c:v>
                </c:pt>
                <c:pt idx="1">
                  <c:v>0</c:v>
                </c:pt>
                <c:pt idx="2">
                  <c:v>2.0147999999999997</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area change by habitat group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7.3499999999999996E-2</c:v>
                </c:pt>
                <c:pt idx="2">
                  <c:v>0.2011</c:v>
                </c:pt>
                <c:pt idx="3">
                  <c:v>0</c:v>
                </c:pt>
                <c:pt idx="4">
                  <c:v>0</c:v>
                </c:pt>
                <c:pt idx="5">
                  <c:v>0.81590000000000007</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9.7100000000000006E-2</c:v>
                </c:pt>
                <c:pt idx="2">
                  <c:v>9.4899999999999998E-2</c:v>
                </c:pt>
                <c:pt idx="3">
                  <c:v>0</c:v>
                </c:pt>
                <c:pt idx="4">
                  <c:v>0</c:v>
                </c:pt>
                <c:pt idx="5">
                  <c:v>1.0186999999999999</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2"/>
          <c:order val="2"/>
          <c:tx>
            <c:strRef>
              <c:f>'Detailed Results'!$E$57</c:f>
              <c:strCache>
                <c:ptCount val="1"/>
                <c:pt idx="0">
                  <c:v>Off-site proposed area</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14646899989275436"/>
          <c:y val="0.91406332334653195"/>
          <c:w val="0.72927967790088977"/>
          <c:h val="5.634345652806591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habitat group</a:t>
            </a:r>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71165057112170882"/>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0.16904999999999998</c:v>
                </c:pt>
                <c:pt idx="2">
                  <c:v>1.3875899999999999</c:v>
                </c:pt>
                <c:pt idx="3">
                  <c:v>0</c:v>
                </c:pt>
                <c:pt idx="4">
                  <c:v>0</c:v>
                </c:pt>
                <c:pt idx="5">
                  <c:v>0.98807999999999996</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0.747555814819992</c:v>
                </c:pt>
                <c:pt idx="2">
                  <c:v>0.73061840191984795</c:v>
                </c:pt>
                <c:pt idx="3">
                  <c:v>0</c:v>
                </c:pt>
                <c:pt idx="4">
                  <c:v>0</c:v>
                </c:pt>
                <c:pt idx="5">
                  <c:v>1.1944144994343999</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2"/>
          <c:order val="2"/>
          <c:tx>
            <c:strRef>
              <c:f>'Detailed Results'!$F$57</c:f>
              <c:strCache>
                <c:ptCount val="1"/>
                <c:pt idx="0">
                  <c:v>Off site Proposed value</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Results'!$K$50:$K$51</c:f>
              <c:numCache>
                <c:formatCode>General</c:formatCode>
                <c:ptCount val="2"/>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30831466745800268"/>
          <c:y val="0.94809910803109032"/>
          <c:w val="0.32961958485190246"/>
          <c:h val="4.967825982142029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2"/>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0.25090000000000001</c:v>
                </c:pt>
                <c:pt idx="3">
                  <c:v>7.3499999999999996E-2</c:v>
                </c:pt>
                <c:pt idx="4">
                  <c:v>0.70850000000000002</c:v>
                </c:pt>
              </c:numCache>
            </c:numRef>
          </c:val>
          <c:extLst>
            <c:ext xmlns:c15="http://schemas.microsoft.com/office/drawing/2012/chart" uri="{02D57815-91ED-43cb-92C2-25804820EDAC}">
              <c15:categoryFilterExceptions>
                <c15:categoryFilterException>
                  <c15:sqref>'Detailed Results'!$K$41</c15:sqref>
                  <c15:spPr xmlns:c15="http://schemas.microsoft.com/office/drawing/2012/chart">
                    <a:solidFill>
                      <a:schemeClr val="accent4"/>
                    </a:solidFill>
                    <a:ln w="19050">
                      <a:solidFill>
                        <a:schemeClr val="lt1"/>
                      </a:solidFill>
                    </a:ln>
                    <a:effectLst/>
                  </c15:spPr>
                  <c15:bubble3D val="0"/>
                </c15:categoryFilterException>
                <c15:categoryFilterException>
                  <c15:sqref>'Detailed Results'!$K$43</c15:sqref>
                  <c15:spPr xmlns:c15="http://schemas.microsoft.com/office/drawing/2012/chart">
                    <a:solidFill>
                      <a:schemeClr val="accent2">
                        <a:lumMod val="60000"/>
                      </a:schemeClr>
                    </a:solidFill>
                    <a:ln w="19050">
                      <a:solidFill>
                        <a:schemeClr val="lt1"/>
                      </a:solidFill>
                    </a:ln>
                    <a:effectLst/>
                  </c15:spPr>
                  <c15:bubble3D val="0"/>
                </c15:categoryFilterException>
                <c15:categoryFilterException>
                  <c15:sqref>'Detailed Results'!$K$49</c15:sqref>
                  <c15:spPr xmlns:c15="http://schemas.microsoft.com/office/drawing/2012/chart">
                    <a:solidFill>
                      <a:schemeClr val="accent2">
                        <a:lumMod val="80000"/>
                      </a:schemeClr>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7842739961764108E-2"/>
          <c:y val="0.13328622175997623"/>
          <c:w val="0.9616458125661338"/>
          <c:h val="0.69406522988302455"/>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0.16904999999999998</c:v>
                </c:pt>
                <c:pt idx="2">
                  <c:v>1.3875899999999999</c:v>
                </c:pt>
                <c:pt idx="3">
                  <c:v>0</c:v>
                </c:pt>
                <c:pt idx="4">
                  <c:v>0</c:v>
                </c:pt>
                <c:pt idx="5">
                  <c:v>0.98807999999999996</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0.747555814819992</c:v>
                </c:pt>
                <c:pt idx="2">
                  <c:v>0.73061840191984795</c:v>
                </c:pt>
                <c:pt idx="3">
                  <c:v>0</c:v>
                </c:pt>
                <c:pt idx="4">
                  <c:v>0</c:v>
                </c:pt>
                <c:pt idx="5">
                  <c:v>1.1944144994343999</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Results'!$H$38</c:f>
              <c:strCache>
                <c:ptCount val="1"/>
                <c:pt idx="0">
                  <c:v>Onsite Unit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Results'!$H$39:$H$51</c:f>
              <c:numCache>
                <c:formatCode>0.00</c:formatCode>
                <c:ptCount val="13"/>
                <c:pt idx="0">
                  <c:v>0</c:v>
                </c:pt>
                <c:pt idx="1">
                  <c:v>0.57850581481999197</c:v>
                </c:pt>
                <c:pt idx="2">
                  <c:v>-0.65697159808015193</c:v>
                </c:pt>
                <c:pt idx="3">
                  <c:v>0</c:v>
                </c:pt>
                <c:pt idx="4">
                  <c:v>0</c:v>
                </c:pt>
                <c:pt idx="5">
                  <c:v>0.20633449943439996</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Results'!$H$57</c:f>
              <c:strCache>
                <c:ptCount val="1"/>
                <c:pt idx="0">
                  <c:v>Off-site unit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Results'!$H$58:$H$70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Results'!$F$57</c:f>
              <c:strCache>
                <c:ptCount val="1"/>
                <c:pt idx="0">
                  <c:v>Off site Proposed value</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Results'!$F$58:$F$70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Results'!$D$57</c:f>
              <c:strCache>
                <c:ptCount val="1"/>
                <c:pt idx="0">
                  <c:v>Off-site Existing value</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Results'!$D$58:$D$70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4712"/>
        <c:axId val="362075104"/>
      </c:barChart>
      <c:catAx>
        <c:axId val="36207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104"/>
        <c:crosses val="autoZero"/>
        <c:auto val="1"/>
        <c:lblAlgn val="ctr"/>
        <c:lblOffset val="100"/>
        <c:noMultiLvlLbl val="0"/>
      </c:catAx>
      <c:valAx>
        <c:axId val="3620751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4712"/>
        <c:crosses val="autoZero"/>
        <c:crossBetween val="between"/>
      </c:valAx>
      <c:spPr>
        <a:noFill/>
        <a:ln>
          <a:noFill/>
        </a:ln>
        <a:effectLst/>
      </c:spPr>
    </c:plotArea>
    <c:legend>
      <c:legendPos val="b"/>
      <c:layout>
        <c:manualLayout>
          <c:xMode val="edge"/>
          <c:yMode val="edge"/>
          <c:x val="4.2427991241750188E-2"/>
          <c:y val="0.92387829393930099"/>
          <c:w val="0.93290252561764098"/>
          <c:h val="7.279399838750290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habiat</a:t>
            </a:r>
            <a:r>
              <a:rPr lang="en-GB" baseline="0"/>
              <a:t> area</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7.3499999999999996E-2</c:v>
                </c:pt>
                <c:pt idx="2">
                  <c:v>0.2011</c:v>
                </c:pt>
                <c:pt idx="3">
                  <c:v>0</c:v>
                </c:pt>
                <c:pt idx="4">
                  <c:v>0</c:v>
                </c:pt>
                <c:pt idx="5">
                  <c:v>0.81590000000000007</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9.7100000000000006E-2</c:v>
                </c:pt>
                <c:pt idx="2">
                  <c:v>9.4899999999999998E-2</c:v>
                </c:pt>
                <c:pt idx="3">
                  <c:v>0</c:v>
                </c:pt>
                <c:pt idx="4">
                  <c:v>0</c:v>
                </c:pt>
                <c:pt idx="5">
                  <c:v>1.0186999999999999</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Results'!$G$38</c:f>
              <c:strCache>
                <c:ptCount val="1"/>
                <c:pt idx="0">
                  <c:v>Area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Results'!$G$39:$G$51</c:f>
              <c:numCache>
                <c:formatCode>0.00</c:formatCode>
                <c:ptCount val="13"/>
                <c:pt idx="0">
                  <c:v>0</c:v>
                </c:pt>
                <c:pt idx="1">
                  <c:v>2.360000000000001E-2</c:v>
                </c:pt>
                <c:pt idx="2">
                  <c:v>-0.1062</c:v>
                </c:pt>
                <c:pt idx="3">
                  <c:v>0</c:v>
                </c:pt>
                <c:pt idx="4">
                  <c:v>0</c:v>
                </c:pt>
                <c:pt idx="5">
                  <c:v>0.20279999999999987</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Results'!$G$57</c:f>
              <c:strCache>
                <c:ptCount val="1"/>
                <c:pt idx="0">
                  <c:v>Off-site area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Results'!$G$58:$G$70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Results'!$E$57</c:f>
              <c:strCache>
                <c:ptCount val="1"/>
                <c:pt idx="0">
                  <c:v>Off-site proposed area</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Results'!$C$57</c:f>
              <c:strCache>
                <c:ptCount val="1"/>
                <c:pt idx="0">
                  <c:v>Existing area</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Results'!$C$58:$C$70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5888"/>
        <c:axId val="362076280"/>
      </c:barChart>
      <c:catAx>
        <c:axId val="362075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6280"/>
        <c:crosses val="autoZero"/>
        <c:auto val="1"/>
        <c:lblAlgn val="ctr"/>
        <c:lblOffset val="100"/>
        <c:noMultiLvlLbl val="0"/>
      </c:catAx>
      <c:valAx>
        <c:axId val="3620762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Results'!$K$98</c:f>
              <c:strCache>
                <c:ptCount val="1"/>
                <c:pt idx="0">
                  <c:v>Length lost (KM)</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2"/>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Results'!$J$100:$J$109</c15:sqref>
                  </c15:fullRef>
                </c:ext>
              </c:extLst>
              <c:f>('Detailed Results'!$J$100,'Detailed Results'!$J$102,'Detailed Results'!$J$104,'Detailed Results'!$J$106,'Detailed Results'!$J$108)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Results'!$K$100:$K$109</c15:sqref>
                  </c15:fullRef>
                </c:ext>
              </c:extLst>
              <c:f>('Detailed Results'!$K$100,'Detailed Results'!$K$102,'Detailed Results'!$K$104,'Detailed Results'!$K$106,'Detailed Results'!$K$108)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sz="1400" b="0" i="0" u="none" strike="noStrike" kern="1200" spc="0" baseline="0">
                <a:solidFill>
                  <a:schemeClr val="accent1"/>
                </a:solidFill>
                <a:latin typeface="+mn-lt"/>
                <a:ea typeface="+mn-ea"/>
                <a:cs typeface="+mn-cs"/>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6105772862516013"/>
          <c:w val="0.8527092972931527"/>
          <c:h val="0.604558249001392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3.7999999999999999E-2</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hadge retention category </a:t>
            </a:r>
          </a:p>
          <a:p>
            <a:pPr>
              <a:defRPr lang="en-GB" sz="1200" b="0" i="0" u="none" strike="noStrike" kern="1200" spc="0" baseline="0">
                <a:solidFill>
                  <a:schemeClr val="accent1"/>
                </a:solidFill>
                <a:latin typeface="+mn-lt"/>
                <a:ea typeface="+mn-ea"/>
                <a:cs typeface="+mn-cs"/>
              </a:defRPr>
            </a:pPr>
            <a:r>
              <a:rPr lang="en-GB"/>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4.3699999999999996E-2</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Change by hedgerow</a:t>
            </a:r>
            <a:r>
              <a:rPr lang="en-GB" baseline="0"/>
              <a:t> type </a:t>
            </a:r>
          </a:p>
          <a:p>
            <a:pPr>
              <a:defRPr sz="1400" b="0" i="0" u="none" strike="noStrike" kern="1200" spc="0" baseline="0">
                <a:solidFill>
                  <a:schemeClr val="accent1"/>
                </a:solidFill>
                <a:latin typeface="+mn-lt"/>
                <a:ea typeface="+mn-ea"/>
                <a:cs typeface="+mn-cs"/>
              </a:defRPr>
            </a:pPr>
            <a:r>
              <a:rPr lang="en-GB" baseline="0"/>
              <a:t>(Hedgerow units)</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0097692924570232E-2"/>
          <c:y val="0.13266613123677354"/>
          <c:w val="0.92793004685077718"/>
          <c:h val="0.71165057112170882"/>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4.3699999999999996E-2</c:v>
                </c:pt>
              </c:numCache>
            </c:numRef>
          </c:val>
          <c:extLst>
            <c:ext xmlns:c16="http://schemas.microsoft.com/office/drawing/2014/chart" uri="{C3380CC4-5D6E-409C-BE32-E72D297353CC}">
              <c16:uniqueId val="{00000000-D589-4FE9-B92C-F17DFFA9D670}"/>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0.91616006141687989</c:v>
                </c:pt>
                <c:pt idx="5">
                  <c:v>0</c:v>
                </c:pt>
                <c:pt idx="6">
                  <c:v>0</c:v>
                </c:pt>
                <c:pt idx="7">
                  <c:v>0</c:v>
                </c:pt>
                <c:pt idx="8">
                  <c:v>0</c:v>
                </c:pt>
                <c:pt idx="9">
                  <c:v>0</c:v>
                </c:pt>
                <c:pt idx="10">
                  <c:v>0</c:v>
                </c:pt>
                <c:pt idx="11">
                  <c:v>0</c:v>
                </c:pt>
                <c:pt idx="12">
                  <c:v>7.144375E-2</c:v>
                </c:pt>
              </c:numCache>
            </c:numRef>
          </c:val>
          <c:extLst>
            <c:ext xmlns:c16="http://schemas.microsoft.com/office/drawing/2014/chart" uri="{C3380CC4-5D6E-409C-BE32-E72D297353CC}">
              <c16:uniqueId val="{00000001-D589-4FE9-B92C-F17DFFA9D670}"/>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14E-4172-98DE-518F48542226}"/>
            </c:ext>
          </c:extLst>
        </c:ser>
        <c:ser>
          <c:idx val="2"/>
          <c:order val="3"/>
          <c:tx>
            <c:strRef>
              <c:f>'Detailed Results'!$F$118</c:f>
              <c:strCache>
                <c:ptCount val="1"/>
                <c:pt idx="0">
                  <c:v>Proposed value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Results'!$K$119:$K$131</c:f>
              <c:numCache>
                <c:formatCode>General</c:formatCode>
                <c:ptCount val="13"/>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2006808"/>
        <c:axId val="362007200"/>
      </c:barChart>
      <c:catAx>
        <c:axId val="362006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200"/>
        <c:crosses val="autoZero"/>
        <c:auto val="1"/>
        <c:lblAlgn val="ctr"/>
        <c:lblOffset val="100"/>
        <c:noMultiLvlLbl val="0"/>
      </c:catAx>
      <c:valAx>
        <c:axId val="3620072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6808"/>
        <c:crosses val="autoZero"/>
        <c:crossBetween val="between"/>
      </c:valAx>
      <c:spPr>
        <a:noFill/>
        <a:ln>
          <a:noFill/>
        </a:ln>
        <a:effectLst/>
      </c:spPr>
    </c:plotArea>
    <c:legend>
      <c:legendPos val="b"/>
      <c:layout>
        <c:manualLayout>
          <c:xMode val="edge"/>
          <c:yMode val="edge"/>
          <c:x val="0.17762327345325971"/>
          <c:y val="0.92937496758404192"/>
          <c:w val="0.62477739194196202"/>
          <c:h val="7.062512822188295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57604985133814468"/>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4.3699999999999996E-2</c:v>
                </c:pt>
              </c:numCache>
            </c:numRef>
          </c:val>
          <c:extLst>
            <c:ext xmlns:c16="http://schemas.microsoft.com/office/drawing/2014/chart" uri="{C3380CC4-5D6E-409C-BE32-E72D297353CC}">
              <c16:uniqueId val="{00000000-4C68-4EC5-AB40-157E94620753}"/>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0.91616006141687989</c:v>
                </c:pt>
                <c:pt idx="5">
                  <c:v>0</c:v>
                </c:pt>
                <c:pt idx="6">
                  <c:v>0</c:v>
                </c:pt>
                <c:pt idx="7">
                  <c:v>0</c:v>
                </c:pt>
                <c:pt idx="8">
                  <c:v>0</c:v>
                </c:pt>
                <c:pt idx="9">
                  <c:v>0</c:v>
                </c:pt>
                <c:pt idx="10">
                  <c:v>0</c:v>
                </c:pt>
                <c:pt idx="11">
                  <c:v>0</c:v>
                </c:pt>
                <c:pt idx="12">
                  <c:v>7.144375E-2</c:v>
                </c:pt>
              </c:numCache>
            </c:numRef>
          </c:val>
          <c:extLst>
            <c:ext xmlns:c16="http://schemas.microsoft.com/office/drawing/2014/chart" uri="{C3380CC4-5D6E-409C-BE32-E72D297353CC}">
              <c16:uniqueId val="{00000001-4C68-4EC5-AB40-157E94620753}"/>
            </c:ext>
          </c:extLst>
        </c:ser>
        <c:ser>
          <c:idx val="2"/>
          <c:order val="2"/>
          <c:tx>
            <c:strRef>
              <c:f>'Detailed Results'!$H$98</c:f>
              <c:strCache>
                <c:ptCount val="1"/>
                <c:pt idx="0">
                  <c:v>On-site Unit change</c:v>
                </c:pt>
              </c:strCache>
            </c:strRef>
          </c:tx>
          <c:spPr>
            <a:solidFill>
              <a:schemeClr val="accent3"/>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Results'!$H$99:$H$111</c:f>
              <c:numCache>
                <c:formatCode>0.00</c:formatCode>
                <c:ptCount val="13"/>
                <c:pt idx="0">
                  <c:v>0</c:v>
                </c:pt>
                <c:pt idx="1">
                  <c:v>0</c:v>
                </c:pt>
                <c:pt idx="2">
                  <c:v>0</c:v>
                </c:pt>
                <c:pt idx="3">
                  <c:v>0</c:v>
                </c:pt>
                <c:pt idx="4">
                  <c:v>0.91616006141687989</c:v>
                </c:pt>
                <c:pt idx="5">
                  <c:v>0</c:v>
                </c:pt>
                <c:pt idx="6">
                  <c:v>0</c:v>
                </c:pt>
                <c:pt idx="7">
                  <c:v>0</c:v>
                </c:pt>
                <c:pt idx="8">
                  <c:v>0</c:v>
                </c:pt>
                <c:pt idx="9">
                  <c:v>0</c:v>
                </c:pt>
                <c:pt idx="10">
                  <c:v>0</c:v>
                </c:pt>
                <c:pt idx="11">
                  <c:v>0</c:v>
                </c:pt>
                <c:pt idx="12">
                  <c:v>2.7743750000000005E-2</c:v>
                </c:pt>
              </c:numCache>
            </c:numRef>
          </c:val>
          <c:extLst>
            <c:ext xmlns:c16="http://schemas.microsoft.com/office/drawing/2014/chart" uri="{C3380CC4-5D6E-409C-BE32-E72D297353CC}">
              <c16:uniqueId val="{00000002-4C68-4EC5-AB40-157E94620753}"/>
            </c:ext>
          </c:extLst>
        </c:ser>
        <c:ser>
          <c:idx val="3"/>
          <c:order val="3"/>
          <c:tx>
            <c:strRef>
              <c:f>'Detailed Results'!$H$118</c:f>
              <c:strCache>
                <c:ptCount val="1"/>
                <c:pt idx="0">
                  <c:v>Off site Unit change</c:v>
                </c:pt>
              </c:strCache>
            </c:strRef>
          </c:tx>
          <c:spPr>
            <a:solidFill>
              <a:schemeClr val="accent4"/>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Results'!$H$119:$H$131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Results'!$F$118</c:f>
              <c:strCache>
                <c:ptCount val="1"/>
                <c:pt idx="0">
                  <c:v>Proposed value off-site</c:v>
                </c:pt>
              </c:strCache>
            </c:strRef>
          </c:tx>
          <c:spPr>
            <a:solidFill>
              <a:schemeClr val="accent5"/>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Results'!$F$119:$F$131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Results'!$D$118</c:f>
              <c:strCache>
                <c:ptCount val="1"/>
                <c:pt idx="0">
                  <c:v>Existing value off-site</c:v>
                </c:pt>
              </c:strCache>
            </c:strRef>
          </c:tx>
          <c:spPr>
            <a:solidFill>
              <a:schemeClr val="accent6"/>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Results'!$D$119:$D$131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length change by hedgerow</a:t>
            </a:r>
            <a:r>
              <a:rPr lang="en-GB" baseline="0"/>
              <a:t> length (km)</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6997845615031125E-2"/>
          <c:y val="7.8957983437665843E-2"/>
          <c:w val="0.94371844122572568"/>
          <c:h val="0.56925891188809152"/>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3.7999999999999999E-2</c:v>
                </c:pt>
              </c:numCache>
            </c:numRef>
          </c:val>
          <c:extLst>
            <c:ext xmlns:c16="http://schemas.microsoft.com/office/drawing/2014/chart" uri="{C3380CC4-5D6E-409C-BE32-E72D297353CC}">
              <c16:uniqueId val="{00000000-674F-487F-A4D7-68B96D121954}"/>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0.11899999999999999</c:v>
                </c:pt>
                <c:pt idx="5">
                  <c:v>0</c:v>
                </c:pt>
                <c:pt idx="6">
                  <c:v>0</c:v>
                </c:pt>
                <c:pt idx="7">
                  <c:v>0</c:v>
                </c:pt>
                <c:pt idx="8">
                  <c:v>0</c:v>
                </c:pt>
                <c:pt idx="9">
                  <c:v>0</c:v>
                </c:pt>
                <c:pt idx="10">
                  <c:v>0</c:v>
                </c:pt>
                <c:pt idx="11">
                  <c:v>0</c:v>
                </c:pt>
                <c:pt idx="12">
                  <c:v>6.3E-2</c:v>
                </c:pt>
              </c:numCache>
            </c:numRef>
          </c:val>
          <c:extLst>
            <c:ext xmlns:c16="http://schemas.microsoft.com/office/drawing/2014/chart" uri="{C3380CC4-5D6E-409C-BE32-E72D297353CC}">
              <c16:uniqueId val="{00000001-674F-487F-A4D7-68B96D121954}"/>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708E-48C2-85BF-757D9868713F}"/>
            </c:ext>
          </c:extLst>
        </c:ser>
        <c:ser>
          <c:idx val="2"/>
          <c:order val="3"/>
          <c:tx>
            <c:strRef>
              <c:f>'Detailed Results'!$E$118</c:f>
              <c:strCache>
                <c:ptCount val="1"/>
                <c:pt idx="0">
                  <c:v>Proposed length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3118312"/>
        <c:axId val="363118704"/>
      </c:barChart>
      <c:catAx>
        <c:axId val="363118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704"/>
        <c:crosses val="autoZero"/>
        <c:auto val="1"/>
        <c:lblAlgn val="ctr"/>
        <c:lblOffset val="100"/>
        <c:noMultiLvlLbl val="0"/>
      </c:catAx>
      <c:valAx>
        <c:axId val="3631187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312"/>
        <c:crosses val="autoZero"/>
        <c:crossBetween val="between"/>
      </c:valAx>
      <c:spPr>
        <a:noFill/>
        <a:ln>
          <a:noFill/>
        </a:ln>
        <a:effectLst/>
      </c:spPr>
    </c:plotArea>
    <c:legend>
      <c:legendPos val="b"/>
      <c:layout>
        <c:manualLayout>
          <c:xMode val="edge"/>
          <c:yMode val="edge"/>
          <c:x val="0.18929790475757063"/>
          <c:y val="0.87880529958796882"/>
          <c:w val="0.65419342240213463"/>
          <c:h val="0.1011614724630009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hedgerow</a:t>
            </a:r>
            <a:r>
              <a:rPr lang="en-GB" baseline="0"/>
              <a:t> 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3.7999999999999999E-2</c:v>
                </c:pt>
              </c:numCache>
            </c:numRef>
          </c:val>
          <c:extLst>
            <c:ext xmlns:c16="http://schemas.microsoft.com/office/drawing/2014/chart" uri="{C3380CC4-5D6E-409C-BE32-E72D297353CC}">
              <c16:uniqueId val="{00000000-4C68-4EC5-AB40-157E94620753}"/>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0.11899999999999999</c:v>
                </c:pt>
                <c:pt idx="5">
                  <c:v>0</c:v>
                </c:pt>
                <c:pt idx="6">
                  <c:v>0</c:v>
                </c:pt>
                <c:pt idx="7">
                  <c:v>0</c:v>
                </c:pt>
                <c:pt idx="8">
                  <c:v>0</c:v>
                </c:pt>
                <c:pt idx="9">
                  <c:v>0</c:v>
                </c:pt>
                <c:pt idx="10">
                  <c:v>0</c:v>
                </c:pt>
                <c:pt idx="11">
                  <c:v>0</c:v>
                </c:pt>
                <c:pt idx="12">
                  <c:v>6.3E-2</c:v>
                </c:pt>
              </c:numCache>
            </c:numRef>
          </c:val>
          <c:extLst>
            <c:ext xmlns:c16="http://schemas.microsoft.com/office/drawing/2014/chart" uri="{C3380CC4-5D6E-409C-BE32-E72D297353CC}">
              <c16:uniqueId val="{00000001-4C68-4EC5-AB40-157E94620753}"/>
            </c:ext>
          </c:extLst>
        </c:ser>
        <c:ser>
          <c:idx val="2"/>
          <c:order val="2"/>
          <c:tx>
            <c:strRef>
              <c:f>'Detailed Results'!$G$98</c:f>
              <c:strCache>
                <c:ptCount val="1"/>
                <c:pt idx="0">
                  <c:v>On-site length change</c:v>
                </c:pt>
              </c:strCache>
            </c:strRef>
          </c:tx>
          <c:spPr>
            <a:solidFill>
              <a:schemeClr val="accent3"/>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Results'!$G$99:$G$111</c:f>
              <c:numCache>
                <c:formatCode>0.00</c:formatCode>
                <c:ptCount val="13"/>
                <c:pt idx="0">
                  <c:v>0</c:v>
                </c:pt>
                <c:pt idx="1">
                  <c:v>0</c:v>
                </c:pt>
                <c:pt idx="2">
                  <c:v>0</c:v>
                </c:pt>
                <c:pt idx="3">
                  <c:v>0</c:v>
                </c:pt>
                <c:pt idx="4">
                  <c:v>0.11899999999999999</c:v>
                </c:pt>
                <c:pt idx="5">
                  <c:v>0</c:v>
                </c:pt>
                <c:pt idx="6">
                  <c:v>0</c:v>
                </c:pt>
                <c:pt idx="7">
                  <c:v>0</c:v>
                </c:pt>
                <c:pt idx="8">
                  <c:v>0</c:v>
                </c:pt>
                <c:pt idx="9">
                  <c:v>0</c:v>
                </c:pt>
                <c:pt idx="10">
                  <c:v>0</c:v>
                </c:pt>
                <c:pt idx="11">
                  <c:v>0</c:v>
                </c:pt>
                <c:pt idx="12">
                  <c:v>2.5000000000000001E-2</c:v>
                </c:pt>
              </c:numCache>
            </c:numRef>
          </c:val>
          <c:extLst>
            <c:ext xmlns:c16="http://schemas.microsoft.com/office/drawing/2014/chart" uri="{C3380CC4-5D6E-409C-BE32-E72D297353CC}">
              <c16:uniqueId val="{00000002-4C68-4EC5-AB40-157E94620753}"/>
            </c:ext>
          </c:extLst>
        </c:ser>
        <c:ser>
          <c:idx val="3"/>
          <c:order val="3"/>
          <c:tx>
            <c:strRef>
              <c:f>'Detailed Results'!$G$118</c:f>
              <c:strCache>
                <c:ptCount val="1"/>
                <c:pt idx="0">
                  <c:v>Off-site length change</c:v>
                </c:pt>
              </c:strCache>
            </c:strRef>
          </c:tx>
          <c:spPr>
            <a:solidFill>
              <a:schemeClr val="accent4"/>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Results'!$G$119:$G$131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Results'!$E$118</c:f>
              <c:strCache>
                <c:ptCount val="1"/>
                <c:pt idx="0">
                  <c:v>Proposed length off-site</c:v>
                </c:pt>
              </c:strCache>
            </c:strRef>
          </c:tx>
          <c:spPr>
            <a:solidFill>
              <a:schemeClr val="accent5"/>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Results'!$C$118</c:f>
              <c:strCache>
                <c:ptCount val="1"/>
                <c:pt idx="0">
                  <c:v>Existing length off-site</c:v>
                </c:pt>
              </c:strCache>
            </c:strRef>
          </c:tx>
          <c:spPr>
            <a:solidFill>
              <a:schemeClr val="accent6"/>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2.2210312644041313E-2"/>
          <c:y val="0.91129201659160575"/>
          <c:w val="0.97089359660237717"/>
          <c:h val="6.269948866538681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 d</a:t>
            </a:r>
          </a:p>
          <a:p>
            <a:pPr>
              <a:defRPr sz="1400" b="0" i="0" u="none" strike="noStrike" kern="1200" spc="0" baseline="0">
                <a:solidFill>
                  <a:schemeClr val="accent1"/>
                </a:solidFill>
                <a:latin typeface="+mn-lt"/>
                <a:ea typeface="+mn-ea"/>
                <a:cs typeface="+mn-cs"/>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Results'!$K$161</c:f>
              <c:strCache>
                <c:ptCount val="1"/>
                <c:pt idx="0">
                  <c:v>Length lost (KM)</c:v>
                </c:pt>
              </c:strCache>
            </c:strRef>
          </c:tx>
          <c:dPt>
            <c:idx val="0"/>
            <c:bubble3D val="0"/>
            <c:spPr>
              <a:solidFill>
                <a:srgbClr val="FF0000"/>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4">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Results'!$J$163:$J$170</c15:sqref>
                  </c15:fullRef>
                </c:ext>
              </c:extLst>
              <c:f>('Detailed Results'!$J$163,'Detailed Results'!$J$165,'Detailed Results'!$J$167,'Detailed Results'!$J$169:$J$170)</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Results'!$K$163:$K$169</c15:sqref>
                  </c15:fullRef>
                </c:ext>
              </c:extLst>
              <c:f>('Detailed Results'!$K$163,'Detailed Results'!$K$165,'Detailed Results'!$K$167,'Detailed Results'!$K$169)</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River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4125907696360557E-2"/>
          <c:y val="0.26035358560754041"/>
          <c:w val="0.83053078155359161"/>
          <c:h val="0.57305441002734692"/>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River</a:t>
            </a:r>
            <a:r>
              <a:rPr lang="en-GB" sz="1400" baseline="0"/>
              <a:t> </a:t>
            </a:r>
            <a:r>
              <a:rPr lang="en-GB" sz="1400"/>
              <a:t> retention category </a:t>
            </a:r>
          </a:p>
          <a:p>
            <a:pPr>
              <a:defRPr lang="en-GB" sz="1200" b="0" i="0" u="none" strike="noStrike" kern="1200" spc="0" baseline="0">
                <a:solidFill>
                  <a:schemeClr val="accent1"/>
                </a:solidFill>
                <a:latin typeface="+mn-lt"/>
                <a:ea typeface="+mn-ea"/>
                <a:cs typeface="+mn-cs"/>
              </a:defRPr>
            </a:pPr>
            <a:r>
              <a:rPr lang="en-GB" sz="1400"/>
              <a:t>(Biodiversity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river</a:t>
            </a:r>
            <a:r>
              <a:rPr lang="en-GB" baseline="0"/>
              <a:t> type</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2560555207603441E-2"/>
          <c:y val="0.12524978714806434"/>
          <c:w val="0.92793004685077718"/>
          <c:h val="0.71165057112170882"/>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589-4FE9-B92C-F17DFFA9D670}"/>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D589-4FE9-B92C-F17DFFA9D670}"/>
            </c:ext>
          </c:extLst>
        </c:ser>
        <c:ser>
          <c:idx val="3"/>
          <c:order val="2"/>
          <c:tx>
            <c:strRef>
              <c:f>'Detailed Results'!$D$181</c:f>
              <c:strCache>
                <c:ptCount val="1"/>
                <c:pt idx="0">
                  <c:v>Existing value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46A-4E78-AA54-EF3B9DE367AD}"/>
            </c:ext>
          </c:extLst>
        </c:ser>
        <c:ser>
          <c:idx val="2"/>
          <c:order val="3"/>
          <c:tx>
            <c:strRef>
              <c:f>'Detailed Results'!$F$181</c:f>
              <c:strCache>
                <c:ptCount val="1"/>
                <c:pt idx="0">
                  <c:v>Proposed value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Results'!$K$182:$K$186</c:f>
              <c:numCache>
                <c:formatCode>General</c:formatCode>
                <c:ptCount val="5"/>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3699880"/>
        <c:axId val="363700272"/>
      </c:barChart>
      <c:catAx>
        <c:axId val="363699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0272"/>
        <c:crosses val="autoZero"/>
        <c:auto val="1"/>
        <c:lblAlgn val="ctr"/>
        <c:lblOffset val="100"/>
        <c:noMultiLvlLbl val="0"/>
      </c:catAx>
      <c:valAx>
        <c:axId val="3637002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699880"/>
        <c:crosses val="autoZero"/>
        <c:crossBetween val="between"/>
      </c:valAx>
      <c:spPr>
        <a:noFill/>
        <a:ln>
          <a:noFill/>
        </a:ln>
        <a:effectLst/>
      </c:spPr>
    </c:plotArea>
    <c:legend>
      <c:legendPos val="b"/>
      <c:layout>
        <c:manualLayout>
          <c:xMode val="edge"/>
          <c:yMode val="edge"/>
          <c:x val="0.1184605061845115"/>
          <c:y val="0.92596984220053258"/>
          <c:w val="0.56770339374134104"/>
          <c:h val="7.116614552795025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Length change by river</a:t>
            </a:r>
            <a:r>
              <a:rPr lang="en-GB" baseline="0"/>
              <a:t> type</a:t>
            </a:r>
            <a:endParaRPr lang="en-GB"/>
          </a:p>
        </c:rich>
      </c:tx>
      <c:layout>
        <c:manualLayout>
          <c:xMode val="edge"/>
          <c:yMode val="edge"/>
          <c:x val="0.41412282288195107"/>
          <c:y val="2.19642432496703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674F-487F-A4D7-68B96D121954}"/>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674F-487F-A4D7-68B96D121954}"/>
            </c:ext>
          </c:extLst>
        </c:ser>
        <c:ser>
          <c:idx val="2"/>
          <c:order val="2"/>
          <c:tx>
            <c:strRef>
              <c:f>'Detailed Results'!$E$181</c:f>
              <c:strCache>
                <c:ptCount val="1"/>
                <c:pt idx="0">
                  <c:v>Proposed length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674F-487F-A4D7-68B96D121954}"/>
            </c:ext>
          </c:extLst>
        </c:ser>
        <c:ser>
          <c:idx val="3"/>
          <c:order val="3"/>
          <c:tx>
            <c:strRef>
              <c:f>'Detailed Results'!$C$181</c:f>
              <c:strCache>
                <c:ptCount val="1"/>
                <c:pt idx="0">
                  <c:v>Existing length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36F-4515-9425-E281050C4834}"/>
            </c:ext>
          </c:extLst>
        </c:ser>
        <c:dLbls>
          <c:showLegendKey val="0"/>
          <c:showVal val="0"/>
          <c:showCatName val="0"/>
          <c:showSerName val="0"/>
          <c:showPercent val="0"/>
          <c:showBubbleSize val="0"/>
        </c:dLbls>
        <c:gapWidth val="219"/>
        <c:overlap val="-27"/>
        <c:axId val="363701448"/>
        <c:axId val="363701840"/>
      </c:barChart>
      <c:catAx>
        <c:axId val="363701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840"/>
        <c:crosses val="autoZero"/>
        <c:auto val="1"/>
        <c:lblAlgn val="ctr"/>
        <c:lblOffset val="100"/>
        <c:noMultiLvlLbl val="0"/>
      </c:catAx>
      <c:valAx>
        <c:axId val="3637018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448"/>
        <c:crosses val="autoZero"/>
        <c:crossBetween val="between"/>
      </c:valAx>
      <c:spPr>
        <a:noFill/>
        <a:ln>
          <a:noFill/>
        </a:ln>
        <a:effectLst/>
      </c:spPr>
    </c:plotArea>
    <c:legend>
      <c:legendPos val="b"/>
      <c:layout>
        <c:manualLayout>
          <c:xMode val="edge"/>
          <c:yMode val="edge"/>
          <c:x val="6.847632213171842E-2"/>
          <c:y val="0.90154139510891773"/>
          <c:w val="0.66013542522339319"/>
          <c:h val="8.210573292337650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67986279131769889"/>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Results'!$H$161</c:f>
              <c:strCache>
                <c:ptCount val="1"/>
                <c:pt idx="0">
                  <c:v>Onsite Unit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Results'!$H$162:$H$166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Results'!$D$181</c:f>
              <c:strCache>
                <c:ptCount val="1"/>
                <c:pt idx="0">
                  <c:v>Existing value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Results'!$F$181</c:f>
              <c:strCache>
                <c:ptCount val="1"/>
                <c:pt idx="0">
                  <c:v>Proposed value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Results'!$F$182:$F$186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Results'!$H$181</c:f>
              <c:strCache>
                <c:ptCount val="1"/>
                <c:pt idx="0">
                  <c:v>Off-site unit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Results'!$H$182:$H$186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1.0896850326971229E-2"/>
          <c:y val="0.91698383220169133"/>
          <c:w val="0.96808849967669841"/>
          <c:h val="6.124154768970423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river</a:t>
            </a:r>
            <a:r>
              <a:rPr lang="en-GB" baseline="0"/>
              <a:t> length</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Results'!$G$161</c:f>
              <c:strCache>
                <c:ptCount val="1"/>
                <c:pt idx="0">
                  <c:v>length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Results'!$G$162:$G$166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Results'!$C$181</c:f>
              <c:strCache>
                <c:ptCount val="1"/>
                <c:pt idx="0">
                  <c:v>Existing length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Results'!$E$181</c:f>
              <c:strCache>
                <c:ptCount val="1"/>
                <c:pt idx="0">
                  <c:v>Proposed length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Results'!$G$181</c:f>
              <c:strCache>
                <c:ptCount val="1"/>
                <c:pt idx="0">
                  <c:v>Off-site length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Results'!$G$182:$G$186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0</xdr:col>
      <xdr:colOff>0</xdr:colOff>
      <xdr:row>3</xdr:row>
      <xdr:rowOff>181793</xdr:rowOff>
    </xdr:from>
    <xdr:to>
      <xdr:col>9</xdr:col>
      <xdr:colOff>167640</xdr:colOff>
      <xdr:row>16</xdr:row>
      <xdr:rowOff>136072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971007"/>
          <a:ext cx="5501640" cy="260767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3.1</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978-1-78354-953-5 </a:t>
          </a:r>
          <a:endParaRPr lang="en-GB" sz="1600">
            <a:solidFill>
              <a:sysClr val="windowText" lastClr="000000"/>
            </a:solidFill>
            <a:latin typeface="Rockwell Light" panose="02040303020102020203" pitchFamily="18"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47</xdr:row>
      <xdr:rowOff>95251</xdr:rowOff>
    </xdr:from>
    <xdr:to>
      <xdr:col>6</xdr:col>
      <xdr:colOff>552450</xdr:colOff>
      <xdr:row>56</xdr:row>
      <xdr:rowOff>533401</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485775" y="10820401"/>
          <a:ext cx="449580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47</xdr:row>
      <xdr:rowOff>95250</xdr:rowOff>
    </xdr:from>
    <xdr:to>
      <xdr:col>14</xdr:col>
      <xdr:colOff>371475</xdr:colOff>
      <xdr:row>56</xdr:row>
      <xdr:rowOff>533400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553075" y="10820400"/>
          <a:ext cx="451485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27</xdr:row>
      <xdr:rowOff>161925</xdr:rowOff>
    </xdr:from>
    <xdr:to>
      <xdr:col>14</xdr:col>
      <xdr:colOff>361949</xdr:colOff>
      <xdr:row>45</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a:t>
          </a:r>
          <a:r>
            <a:rPr lang="en-GB" sz="2000" baseline="0">
              <a:solidFill>
                <a:schemeClr val="accent1"/>
              </a:solidFill>
              <a:latin typeface="Rockwell Light" panose="02040303020102020203" pitchFamily="18" charset="0"/>
            </a:rPr>
            <a:t> </a:t>
          </a:r>
          <a:r>
            <a:rPr lang="en-GB" sz="2000">
              <a:solidFill>
                <a:schemeClr val="accent1"/>
              </a:solidFill>
              <a:latin typeface="Rockwell Light" panose="02040303020102020203" pitchFamily="18" charset="0"/>
            </a:rPr>
            <a:t>map</a:t>
          </a:r>
        </a:p>
      </xdr:txBody>
    </xdr:sp>
    <xdr:clientData/>
  </xdr:twoCellAnchor>
  <xdr:twoCellAnchor>
    <xdr:from>
      <xdr:col>2</xdr:col>
      <xdr:colOff>190500</xdr:colOff>
      <xdr:row>27</xdr:row>
      <xdr:rowOff>161925</xdr:rowOff>
    </xdr:from>
    <xdr:to>
      <xdr:col>7</xdr:col>
      <xdr:colOff>9525</xdr:colOff>
      <xdr:row>45</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 baseline</a:t>
          </a:r>
          <a:r>
            <a:rPr lang="en-GB" sz="2000" baseline="0">
              <a:solidFill>
                <a:schemeClr val="accent1"/>
              </a:solidFill>
              <a:latin typeface="Rockwell Light" panose="02040303020102020203" pitchFamily="18" charset="0"/>
            </a:rPr>
            <a:t> map</a:t>
          </a:r>
          <a:endParaRPr lang="en-GB" sz="2000">
            <a:solidFill>
              <a:schemeClr val="accent1"/>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16</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page</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16</xdr:row>
      <xdr:rowOff>222885</xdr:rowOff>
    </xdr:from>
    <xdr:to>
      <xdr:col>16</xdr:col>
      <xdr:colOff>241709</xdr:colOff>
      <xdr:row>20</xdr:row>
      <xdr:rowOff>195150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269729" y="4261485"/>
          <a:ext cx="1801905" cy="103906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25</xdr:row>
      <xdr:rowOff>43816</xdr:rowOff>
    </xdr:from>
    <xdr:to>
      <xdr:col>16</xdr:col>
      <xdr:colOff>200025</xdr:colOff>
      <xdr:row>27</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22</xdr:row>
      <xdr:rowOff>163830</xdr:rowOff>
    </xdr:from>
    <xdr:to>
      <xdr:col>16</xdr:col>
      <xdr:colOff>180974</xdr:colOff>
      <xdr:row>24</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28</xdr:row>
      <xdr:rowOff>57149</xdr:rowOff>
    </xdr:from>
    <xdr:to>
      <xdr:col>6</xdr:col>
      <xdr:colOff>476250</xdr:colOff>
      <xdr:row>29</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28</xdr:row>
      <xdr:rowOff>38100</xdr:rowOff>
    </xdr:from>
    <xdr:to>
      <xdr:col>14</xdr:col>
      <xdr:colOff>238125</xdr:colOff>
      <xdr:row>29</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47</xdr:row>
      <xdr:rowOff>180974</xdr:rowOff>
    </xdr:from>
    <xdr:to>
      <xdr:col>6</xdr:col>
      <xdr:colOff>447675</xdr:colOff>
      <xdr:row>50</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47</xdr:row>
      <xdr:rowOff>180974</xdr:rowOff>
    </xdr:from>
    <xdr:to>
      <xdr:col>14</xdr:col>
      <xdr:colOff>219075</xdr:colOff>
      <xdr:row>50</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594360</xdr:colOff>
          <xdr:row>10</xdr:row>
          <xdr:rowOff>198120</xdr:rowOff>
        </xdr:from>
        <xdr:to>
          <xdr:col>13</xdr:col>
          <xdr:colOff>45720</xdr:colOff>
          <xdr:row>41</xdr:row>
          <xdr:rowOff>121920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3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3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a:t>
          </a:r>
          <a:r>
            <a:rPr lang="en-GB" sz="1400" b="1" baseline="0">
              <a:solidFill>
                <a:schemeClr val="bg1"/>
              </a:solidFill>
              <a:latin typeface="Rockwell Light" panose="02040303020102020203" pitchFamily="18" charset="0"/>
            </a:rPr>
            <a:t>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3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3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3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3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3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3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3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3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C-2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3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3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3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3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3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3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3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3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3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D-1</a:t>
          </a:r>
        </a:p>
        <a:p>
          <a:pPr algn="ct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Off-site</a:t>
          </a:r>
        </a:p>
        <a:p>
          <a:pPr algn="ctr"/>
          <a:r>
            <a:rPr lang="en-GB" sz="1400" b="1">
              <a:solidFill>
                <a:schemeClr val="bg1"/>
              </a:solidFill>
              <a:latin typeface="Rockwell Light" panose="02040303020102020203" pitchFamily="18" charset="0"/>
            </a:rPr>
            <a:t>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3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3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3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3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3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300-000004000000}"/>
            </a:ext>
          </a:extLst>
        </xdr:cNvPr>
        <xdr:cNvGrpSpPr/>
      </xdr:nvGrpSpPr>
      <xdr:grpSpPr>
        <a:xfrm>
          <a:off x="3066868" y="1608456"/>
          <a:ext cx="7108826" cy="457200"/>
          <a:chOff x="2777308" y="1638300"/>
          <a:chExt cx="7073266" cy="373757"/>
        </a:xfrm>
      </xdr:grpSpPr>
      <xdr:sp macro="[0]!Activatestart" textlink="">
        <xdr:nvSpPr>
          <xdr:cNvPr id="32" name="TextBox 31">
            <a:extLst>
              <a:ext uri="{FF2B5EF4-FFF2-40B4-BE49-F238E27FC236}">
                <a16:creationId xmlns:a16="http://schemas.microsoft.com/office/drawing/2014/main" id="{00000000-0008-0000-0300-000020000000}"/>
              </a:ext>
            </a:extLst>
          </xdr:cNvPr>
          <xdr:cNvSpPr txBox="1"/>
        </xdr:nvSpPr>
        <xdr:spPr>
          <a:xfrm>
            <a:off x="2777308" y="1647370"/>
            <a:ext cx="145016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300-000022000000}"/>
              </a:ext>
            </a:extLst>
          </xdr:cNvPr>
          <xdr:cNvSpPr/>
        </xdr:nvSpPr>
        <xdr:spPr>
          <a:xfrm>
            <a:off x="8408034" y="1638934"/>
            <a:ext cx="1442540" cy="3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3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3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3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3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3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1009650</xdr:colOff>
      <xdr:row>24</xdr:row>
      <xdr:rowOff>38100</xdr:rowOff>
    </xdr:to>
    <xdr:pic>
      <xdr:nvPicPr>
        <xdr:cNvPr id="48" name="Graphic 6" descr="Agriculture with solid fill">
          <a:extLst>
            <a:ext uri="{FF2B5EF4-FFF2-40B4-BE49-F238E27FC236}">
              <a16:creationId xmlns:a16="http://schemas.microsoft.com/office/drawing/2014/main" id="{00000000-0008-0000-03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169424</xdr:rowOff>
    </xdr:to>
    <xdr:pic>
      <xdr:nvPicPr>
        <xdr:cNvPr id="59" name="Graphic 6" descr="Agriculture with solid fill">
          <a:extLst>
            <a:ext uri="{FF2B5EF4-FFF2-40B4-BE49-F238E27FC236}">
              <a16:creationId xmlns:a16="http://schemas.microsoft.com/office/drawing/2014/main" id="{00000000-0008-0000-03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604</xdr:rowOff>
    </xdr:from>
    <xdr:to>
      <xdr:col>10</xdr:col>
      <xdr:colOff>436849</xdr:colOff>
      <xdr:row>24</xdr:row>
      <xdr:rowOff>1965</xdr:rowOff>
    </xdr:to>
    <xdr:pic>
      <xdr:nvPicPr>
        <xdr:cNvPr id="62" name="Graphic 6" descr="Agriculture with solid fill">
          <a:extLst>
            <a:ext uri="{FF2B5EF4-FFF2-40B4-BE49-F238E27FC236}">
              <a16:creationId xmlns:a16="http://schemas.microsoft.com/office/drawing/2014/main" id="{00000000-0008-0000-03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46123" y="4756754"/>
          <a:ext cx="465061" cy="420461"/>
        </a:xfrm>
        <a:prstGeom prst="rect">
          <a:avLst/>
        </a:prstGeom>
      </xdr:spPr>
    </xdr:pic>
    <xdr:clientData/>
  </xdr:twoCellAnchor>
  <xdr:twoCellAnchor editAs="oneCell">
    <xdr:from>
      <xdr:col>14</xdr:col>
      <xdr:colOff>294216</xdr:colOff>
      <xdr:row>22</xdr:row>
      <xdr:rowOff>73025</xdr:rowOff>
    </xdr:from>
    <xdr:to>
      <xdr:col>15</xdr:col>
      <xdr:colOff>117927</xdr:colOff>
      <xdr:row>24</xdr:row>
      <xdr:rowOff>74386</xdr:rowOff>
    </xdr:to>
    <xdr:pic>
      <xdr:nvPicPr>
        <xdr:cNvPr id="65" name="Graphic 6" descr="Agriculture with solid fill">
          <a:extLst>
            <a:ext uri="{FF2B5EF4-FFF2-40B4-BE49-F238E27FC236}">
              <a16:creationId xmlns:a16="http://schemas.microsoft.com/office/drawing/2014/main" id="{00000000-0008-0000-03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284753</xdr:colOff>
      <xdr:row>22</xdr:row>
      <xdr:rowOff>74930</xdr:rowOff>
    </xdr:from>
    <xdr:to>
      <xdr:col>16</xdr:col>
      <xdr:colOff>746004</xdr:colOff>
      <xdr:row>24</xdr:row>
      <xdr:rowOff>76291</xdr:rowOff>
    </xdr:to>
    <xdr:pic>
      <xdr:nvPicPr>
        <xdr:cNvPr id="67" name="Graphic 6" descr="Agriculture with solid fill">
          <a:extLst>
            <a:ext uri="{FF2B5EF4-FFF2-40B4-BE49-F238E27FC236}">
              <a16:creationId xmlns:a16="http://schemas.microsoft.com/office/drawing/2014/main" id="{00000000-0008-0000-03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016253" y="4831080"/>
          <a:ext cx="465061" cy="420461"/>
        </a:xfrm>
        <a:prstGeom prst="rect">
          <a:avLst/>
        </a:prstGeom>
      </xdr:spPr>
    </xdr:pic>
    <xdr:clientData/>
  </xdr:twoCellAnchor>
  <xdr:twoCellAnchor editAs="oneCell">
    <xdr:from>
      <xdr:col>19</xdr:col>
      <xdr:colOff>131081</xdr:colOff>
      <xdr:row>22</xdr:row>
      <xdr:rowOff>49530</xdr:rowOff>
    </xdr:from>
    <xdr:to>
      <xdr:col>19</xdr:col>
      <xdr:colOff>592332</xdr:colOff>
      <xdr:row>24</xdr:row>
      <xdr:rowOff>54701</xdr:rowOff>
    </xdr:to>
    <xdr:pic>
      <xdr:nvPicPr>
        <xdr:cNvPr id="68" name="Graphic 6" descr="Agriculture with solid fill">
          <a:extLst>
            <a:ext uri="{FF2B5EF4-FFF2-40B4-BE49-F238E27FC236}">
              <a16:creationId xmlns:a16="http://schemas.microsoft.com/office/drawing/2014/main" id="{00000000-0008-0000-03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73981" y="4805680"/>
          <a:ext cx="465061" cy="42046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3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3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3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3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3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3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537030</xdr:colOff>
      <xdr:row>38</xdr:row>
      <xdr:rowOff>232679</xdr:rowOff>
    </xdr:from>
    <xdr:to>
      <xdr:col>3</xdr:col>
      <xdr:colOff>873125</xdr:colOff>
      <xdr:row>38</xdr:row>
      <xdr:rowOff>554990</xdr:rowOff>
    </xdr:to>
    <xdr:pic>
      <xdr:nvPicPr>
        <xdr:cNvPr id="77" name="Graphic 3" descr="Aquarius with solid fill">
          <a:extLst>
            <a:ext uri="{FF2B5EF4-FFF2-40B4-BE49-F238E27FC236}">
              <a16:creationId xmlns:a16="http://schemas.microsoft.com/office/drawing/2014/main" id="{00000000-0008-0000-03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4230" y="8036829"/>
          <a:ext cx="336095" cy="326121"/>
        </a:xfrm>
        <a:prstGeom prst="rect">
          <a:avLst/>
        </a:prstGeom>
      </xdr:spPr>
    </xdr:pic>
    <xdr:clientData/>
  </xdr:twoCellAnchor>
  <xdr:twoCellAnchor editAs="oneCell">
    <xdr:from>
      <xdr:col>6</xdr:col>
      <xdr:colOff>390040</xdr:colOff>
      <xdr:row>38</xdr:row>
      <xdr:rowOff>262467</xdr:rowOff>
    </xdr:from>
    <xdr:to>
      <xdr:col>7</xdr:col>
      <xdr:colOff>92405</xdr:colOff>
      <xdr:row>38</xdr:row>
      <xdr:rowOff>592398</xdr:rowOff>
    </xdr:to>
    <xdr:pic>
      <xdr:nvPicPr>
        <xdr:cNvPr id="78" name="Graphic 3" descr="Aquarius with solid fill">
          <a:extLst>
            <a:ext uri="{FF2B5EF4-FFF2-40B4-BE49-F238E27FC236}">
              <a16:creationId xmlns:a16="http://schemas.microsoft.com/office/drawing/2014/main" id="{00000000-0008-0000-03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232665</xdr:rowOff>
    </xdr:from>
    <xdr:to>
      <xdr:col>10</xdr:col>
      <xdr:colOff>415920</xdr:colOff>
      <xdr:row>38</xdr:row>
      <xdr:rowOff>554976</xdr:rowOff>
    </xdr:to>
    <xdr:pic>
      <xdr:nvPicPr>
        <xdr:cNvPr id="79" name="Graphic 3" descr="Aquarius with solid fill">
          <a:extLst>
            <a:ext uri="{FF2B5EF4-FFF2-40B4-BE49-F238E27FC236}">
              <a16:creationId xmlns:a16="http://schemas.microsoft.com/office/drawing/2014/main" id="{00000000-0008-0000-03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0825" y="8036815"/>
          <a:ext cx="336095" cy="326121"/>
        </a:xfrm>
        <a:prstGeom prst="rect">
          <a:avLst/>
        </a:prstGeom>
      </xdr:spPr>
    </xdr:pic>
    <xdr:clientData/>
  </xdr:twoCellAnchor>
  <xdr:twoCellAnchor editAs="oneCell">
    <xdr:from>
      <xdr:col>14</xdr:col>
      <xdr:colOff>391005</xdr:colOff>
      <xdr:row>38</xdr:row>
      <xdr:rowOff>347373</xdr:rowOff>
    </xdr:from>
    <xdr:to>
      <xdr:col>15</xdr:col>
      <xdr:colOff>95275</xdr:colOff>
      <xdr:row>38</xdr:row>
      <xdr:rowOff>669684</xdr:rowOff>
    </xdr:to>
    <xdr:pic>
      <xdr:nvPicPr>
        <xdr:cNvPr id="80" name="Graphic 3" descr="Aquarius with solid fill">
          <a:extLst>
            <a:ext uri="{FF2B5EF4-FFF2-40B4-BE49-F238E27FC236}">
              <a16:creationId xmlns:a16="http://schemas.microsoft.com/office/drawing/2014/main" id="{00000000-0008-0000-03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85655" y="8151523"/>
          <a:ext cx="336095" cy="326121"/>
        </a:xfrm>
        <a:prstGeom prst="rect">
          <a:avLst/>
        </a:prstGeom>
      </xdr:spPr>
    </xdr:pic>
    <xdr:clientData/>
  </xdr:twoCellAnchor>
  <xdr:twoCellAnchor editAs="oneCell">
    <xdr:from>
      <xdr:col>16</xdr:col>
      <xdr:colOff>221616</xdr:colOff>
      <xdr:row>38</xdr:row>
      <xdr:rowOff>209096</xdr:rowOff>
    </xdr:from>
    <xdr:to>
      <xdr:col>16</xdr:col>
      <xdr:colOff>553901</xdr:colOff>
      <xdr:row>38</xdr:row>
      <xdr:rowOff>535217</xdr:rowOff>
    </xdr:to>
    <xdr:pic>
      <xdr:nvPicPr>
        <xdr:cNvPr id="81" name="Graphic 3" descr="Aquarius with solid fill">
          <a:extLst>
            <a:ext uri="{FF2B5EF4-FFF2-40B4-BE49-F238E27FC236}">
              <a16:creationId xmlns:a16="http://schemas.microsoft.com/office/drawing/2014/main" id="{00000000-0008-0000-03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116" y="8013246"/>
          <a:ext cx="336095" cy="326121"/>
        </a:xfrm>
        <a:prstGeom prst="rect">
          <a:avLst/>
        </a:prstGeom>
      </xdr:spPr>
    </xdr:pic>
    <xdr:clientData/>
  </xdr:twoCellAnchor>
  <xdr:twoCellAnchor editAs="oneCell">
    <xdr:from>
      <xdr:col>19</xdr:col>
      <xdr:colOff>273050</xdr:colOff>
      <xdr:row>38</xdr:row>
      <xdr:rowOff>222613</xdr:rowOff>
    </xdr:from>
    <xdr:to>
      <xdr:col>19</xdr:col>
      <xdr:colOff>609145</xdr:colOff>
      <xdr:row>38</xdr:row>
      <xdr:rowOff>552544</xdr:rowOff>
    </xdr:to>
    <xdr:pic>
      <xdr:nvPicPr>
        <xdr:cNvPr id="82" name="Graphic 3" descr="Aquarius with solid fill">
          <a:extLst>
            <a:ext uri="{FF2B5EF4-FFF2-40B4-BE49-F238E27FC236}">
              <a16:creationId xmlns:a16="http://schemas.microsoft.com/office/drawing/2014/main" id="{00000000-0008-0000-03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15950" y="8026763"/>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3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3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3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3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478790</xdr:colOff>
      <xdr:row>3</xdr:row>
      <xdr:rowOff>304800</xdr:rowOff>
    </xdr:to>
    <xdr:pic>
      <xdr:nvPicPr>
        <xdr:cNvPr id="84" name="Graphic 6" descr="Agriculture with solid fill">
          <a:extLst>
            <a:ext uri="{FF2B5EF4-FFF2-40B4-BE49-F238E27FC236}">
              <a16:creationId xmlns:a16="http://schemas.microsoft.com/office/drawing/2014/main" id="{00000000-0008-0000-03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3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475160</xdr:colOff>
      <xdr:row>8</xdr:row>
      <xdr:rowOff>18146</xdr:rowOff>
    </xdr:to>
    <xdr:pic>
      <xdr:nvPicPr>
        <xdr:cNvPr id="86" name="Graphic 3" descr="Aquarius with solid fill">
          <a:extLst>
            <a:ext uri="{FF2B5EF4-FFF2-40B4-BE49-F238E27FC236}">
              <a16:creationId xmlns:a16="http://schemas.microsoft.com/office/drawing/2014/main" id="{00000000-0008-0000-03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3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3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Rivers</a:t>
          </a:r>
          <a:r>
            <a:rPr lang="en-GB" sz="1100" b="1" baseline="0">
              <a:solidFill>
                <a:sysClr val="windowText" lastClr="000000"/>
              </a:solidFill>
              <a:latin typeface="Rockwell Light" panose="02040303020102020203" pitchFamily="18" charset="0"/>
            </a:rPr>
            <a:t> and streams</a:t>
          </a:r>
          <a:endParaRPr lang="en-GB" sz="1100" b="1">
            <a:solidFill>
              <a:sysClr val="windowText" lastClr="000000"/>
            </a:solidFill>
            <a:latin typeface="Rockwell Light" panose="02040303020102020203"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HeadlineResults" textlink="">
      <xdr:nvSpPr>
        <xdr:cNvPr id="6" name="TextBox 5">
          <a:extLst>
            <a:ext uri="{FF2B5EF4-FFF2-40B4-BE49-F238E27FC236}">
              <a16:creationId xmlns:a16="http://schemas.microsoft.com/office/drawing/2014/main" id="{00000000-0008-0000-0400-000006000000}"/>
            </a:ext>
          </a:extLst>
        </xdr:cNvPr>
        <xdr:cNvSpPr txBox="1"/>
      </xdr:nvSpPr>
      <xdr:spPr>
        <a:xfrm>
          <a:off x="2163234" y="2038350"/>
          <a:ext cx="1980000" cy="126000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8</xdr:col>
      <xdr:colOff>397933</xdr:colOff>
      <xdr:row>9</xdr:row>
      <xdr:rowOff>223307</xdr:rowOff>
    </xdr:from>
    <xdr:to>
      <xdr:col>12</xdr:col>
      <xdr:colOff>15733</xdr:colOff>
      <xdr:row>15</xdr:row>
      <xdr:rowOff>86307</xdr:rowOff>
    </xdr:to>
    <xdr:sp macro="[0]!ActivateDetailedResults" textlink="">
      <xdr:nvSpPr>
        <xdr:cNvPr id="9" name="Rounded Rectangle 8">
          <a:extLst>
            <a:ext uri="{FF2B5EF4-FFF2-40B4-BE49-F238E27FC236}">
              <a16:creationId xmlns:a16="http://schemas.microsoft.com/office/drawing/2014/main" id="{00000000-0008-0000-0400-000009000000}"/>
            </a:ext>
          </a:extLst>
        </xdr:cNvPr>
        <xdr:cNvSpPr/>
      </xdr:nvSpPr>
      <xdr:spPr>
        <a:xfrm>
          <a:off x="4614333" y="2026707"/>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12</xdr:col>
      <xdr:colOff>516467</xdr:colOff>
      <xdr:row>9</xdr:row>
      <xdr:rowOff>231773</xdr:rowOff>
    </xdr:from>
    <xdr:to>
      <xdr:col>15</xdr:col>
      <xdr:colOff>650734</xdr:colOff>
      <xdr:row>15</xdr:row>
      <xdr:rowOff>94773</xdr:rowOff>
    </xdr:to>
    <xdr:sp macro="[0]!ActivateTradingSummary" textlink="">
      <xdr:nvSpPr>
        <xdr:cNvPr id="17" name="Rounded Rectangle 16">
          <a:extLst>
            <a:ext uri="{FF2B5EF4-FFF2-40B4-BE49-F238E27FC236}">
              <a16:creationId xmlns:a16="http://schemas.microsoft.com/office/drawing/2014/main" id="{00000000-0008-0000-0400-000011000000}"/>
            </a:ext>
          </a:extLst>
        </xdr:cNvPr>
        <xdr:cNvSpPr/>
      </xdr:nvSpPr>
      <xdr:spPr>
        <a:xfrm>
          <a:off x="7095067" y="2035173"/>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summary</a:t>
          </a:r>
          <a:r>
            <a:rPr lang="en-GB" sz="2000" b="1">
              <a:solidFill>
                <a:schemeClr val="accent1"/>
              </a:solidFill>
              <a:latin typeface="Rockwell Light" panose="02040303020102020203" pitchFamily="18" charset="0"/>
            </a:rPr>
            <a:t> </a:t>
          </a: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4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5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289188</xdr:colOff>
      <xdr:row>34</xdr:row>
      <xdr:rowOff>169636</xdr:rowOff>
    </xdr:from>
    <xdr:to>
      <xdr:col>26</xdr:col>
      <xdr:colOff>146049</xdr:colOff>
      <xdr:row>48</xdr:row>
      <xdr:rowOff>87360</xdr:rowOff>
    </xdr:to>
    <xdr:graphicFrame macro="">
      <xdr:nvGraphicFramePr>
        <xdr:cNvPr id="23" name="Chart 22">
          <a:extLst>
            <a:ext uri="{FF2B5EF4-FFF2-40B4-BE49-F238E27FC236}">
              <a16:creationId xmlns:a16="http://schemas.microsoft.com/office/drawing/2014/main" id="{00000000-0008-0000-06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27</xdr:col>
      <xdr:colOff>228601</xdr:colOff>
      <xdr:row>34</xdr:row>
      <xdr:rowOff>167640</xdr:rowOff>
    </xdr:from>
    <xdr:to>
      <xdr:col>35</xdr:col>
      <xdr:colOff>34291</xdr:colOff>
      <xdr:row>48</xdr:row>
      <xdr:rowOff>106680</xdr:rowOff>
    </xdr:to>
    <xdr:graphicFrame macro="">
      <xdr:nvGraphicFramePr>
        <xdr:cNvPr id="25" name="Chart 24">
          <a:extLst>
            <a:ext uri="{FF2B5EF4-FFF2-40B4-BE49-F238E27FC236}">
              <a16:creationId xmlns:a16="http://schemas.microsoft.com/office/drawing/2014/main" id="{00000000-0008-0000-06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203200</xdr:colOff>
      <xdr:row>52</xdr:row>
      <xdr:rowOff>88901</xdr:rowOff>
    </xdr:from>
    <xdr:to>
      <xdr:col>34</xdr:col>
      <xdr:colOff>515621</xdr:colOff>
      <xdr:row>68</xdr:row>
      <xdr:rowOff>114936</xdr:rowOff>
    </xdr:to>
    <xdr:graphicFrame macro="">
      <xdr:nvGraphicFramePr>
        <xdr:cNvPr id="27" name="Chart 26">
          <a:extLst>
            <a:ext uri="{FF2B5EF4-FFF2-40B4-BE49-F238E27FC236}">
              <a16:creationId xmlns:a16="http://schemas.microsoft.com/office/drawing/2014/main" id="{00000000-0008-0000-06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17</xdr:col>
      <xdr:colOff>157866</xdr:colOff>
      <xdr:row>68</xdr:row>
      <xdr:rowOff>165735</xdr:rowOff>
    </xdr:to>
    <xdr:graphicFrame macro="">
      <xdr:nvGraphicFramePr>
        <xdr:cNvPr id="28" name="Chart 27">
          <a:extLst>
            <a:ext uri="{FF2B5EF4-FFF2-40B4-BE49-F238E27FC236}">
              <a16:creationId xmlns:a16="http://schemas.microsoft.com/office/drawing/2014/main" id="{00000000-0008-0000-06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723901</xdr:colOff>
      <xdr:row>34</xdr:row>
      <xdr:rowOff>168050</xdr:rowOff>
    </xdr:from>
    <xdr:to>
      <xdr:col>17</xdr:col>
      <xdr:colOff>50801</xdr:colOff>
      <xdr:row>48</xdr:row>
      <xdr:rowOff>133168</xdr:rowOff>
    </xdr:to>
    <xdr:graphicFrame macro="">
      <xdr:nvGraphicFramePr>
        <xdr:cNvPr id="31" name="Chart 30">
          <a:extLst>
            <a:ext uri="{FF2B5EF4-FFF2-40B4-BE49-F238E27FC236}">
              <a16:creationId xmlns:a16="http://schemas.microsoft.com/office/drawing/2014/main" id="{00000000-0008-0000-06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38099</xdr:colOff>
      <xdr:row>71</xdr:row>
      <xdr:rowOff>172629</xdr:rowOff>
    </xdr:from>
    <xdr:to>
      <xdr:col>17</xdr:col>
      <xdr:colOff>134620</xdr:colOff>
      <xdr:row>87</xdr:row>
      <xdr:rowOff>188595</xdr:rowOff>
    </xdr:to>
    <xdr:graphicFrame macro="">
      <xdr:nvGraphicFramePr>
        <xdr:cNvPr id="34" name="Chart 33">
          <a:extLst>
            <a:ext uri="{FF2B5EF4-FFF2-40B4-BE49-F238E27FC236}">
              <a16:creationId xmlns:a16="http://schemas.microsoft.com/office/drawing/2014/main" id="{00000000-0008-0000-06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6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18</xdr:col>
      <xdr:colOff>221343</xdr:colOff>
      <xdr:row>72</xdr:row>
      <xdr:rowOff>24492</xdr:rowOff>
    </xdr:from>
    <xdr:to>
      <xdr:col>34</xdr:col>
      <xdr:colOff>551543</xdr:colOff>
      <xdr:row>87</xdr:row>
      <xdr:rowOff>184603</xdr:rowOff>
    </xdr:to>
    <xdr:graphicFrame macro="">
      <xdr:nvGraphicFramePr>
        <xdr:cNvPr id="11" name="Chart 10">
          <a:extLst>
            <a:ext uri="{FF2B5EF4-FFF2-40B4-BE49-F238E27FC236}">
              <a16:creationId xmlns:a16="http://schemas.microsoft.com/office/drawing/2014/main" id="{00000000-0008-0000-0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12</xdr:col>
      <xdr:colOff>800100</xdr:colOff>
      <xdr:row>94</xdr:row>
      <xdr:rowOff>62864</xdr:rowOff>
    </xdr:from>
    <xdr:to>
      <xdr:col>17</xdr:col>
      <xdr:colOff>217170</xdr:colOff>
      <xdr:row>108</xdr:row>
      <xdr:rowOff>95250</xdr:rowOff>
    </xdr:to>
    <xdr:graphicFrame macro="">
      <xdr:nvGraphicFramePr>
        <xdr:cNvPr id="15" name="Chart 14">
          <a:extLst>
            <a:ext uri="{FF2B5EF4-FFF2-40B4-BE49-F238E27FC236}">
              <a16:creationId xmlns:a16="http://schemas.microsoft.com/office/drawing/2014/main" id="{00000000-0008-0000-06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18</xdr:col>
      <xdr:colOff>152400</xdr:colOff>
      <xdr:row>94</xdr:row>
      <xdr:rowOff>51707</xdr:rowOff>
    </xdr:from>
    <xdr:to>
      <xdr:col>25</xdr:col>
      <xdr:colOff>330653</xdr:colOff>
      <xdr:row>108</xdr:row>
      <xdr:rowOff>89808</xdr:rowOff>
    </xdr:to>
    <xdr:graphicFrame macro="">
      <xdr:nvGraphicFramePr>
        <xdr:cNvPr id="16" name="Chart 15">
          <a:extLst>
            <a:ext uri="{FF2B5EF4-FFF2-40B4-BE49-F238E27FC236}">
              <a16:creationId xmlns:a16="http://schemas.microsoft.com/office/drawing/2014/main" id="{00000000-0008-0000-06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26</xdr:col>
      <xdr:colOff>326571</xdr:colOff>
      <xdr:row>94</xdr:row>
      <xdr:rowOff>38101</xdr:rowOff>
    </xdr:from>
    <xdr:to>
      <xdr:col>34</xdr:col>
      <xdr:colOff>170090</xdr:colOff>
      <xdr:row>108</xdr:row>
      <xdr:rowOff>146957</xdr:rowOff>
    </xdr:to>
    <xdr:graphicFrame macro="">
      <xdr:nvGraphicFramePr>
        <xdr:cNvPr id="17" name="Chart 16">
          <a:extLst>
            <a:ext uri="{FF2B5EF4-FFF2-40B4-BE49-F238E27FC236}">
              <a16:creationId xmlns:a16="http://schemas.microsoft.com/office/drawing/2014/main" id="{00000000-0008-0000-0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9</xdr:col>
      <xdr:colOff>4084</xdr:colOff>
      <xdr:row>113</xdr:row>
      <xdr:rowOff>57150</xdr:rowOff>
    </xdr:from>
    <xdr:to>
      <xdr:col>17</xdr:col>
      <xdr:colOff>165850</xdr:colOff>
      <xdr:row>128</xdr:row>
      <xdr:rowOff>78921</xdr:rowOff>
    </xdr:to>
    <xdr:graphicFrame macro="">
      <xdr:nvGraphicFramePr>
        <xdr:cNvPr id="18" name="Chart 17">
          <a:extLst>
            <a:ext uri="{FF2B5EF4-FFF2-40B4-BE49-F238E27FC236}">
              <a16:creationId xmlns:a16="http://schemas.microsoft.com/office/drawing/2014/main" id="{00000000-0008-0000-06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9</xdr:col>
      <xdr:colOff>6896</xdr:colOff>
      <xdr:row>131</xdr:row>
      <xdr:rowOff>124549</xdr:rowOff>
    </xdr:from>
    <xdr:to>
      <xdr:col>17</xdr:col>
      <xdr:colOff>266700</xdr:colOff>
      <xdr:row>149</xdr:row>
      <xdr:rowOff>104775</xdr:rowOff>
    </xdr:to>
    <xdr:graphicFrame macro="">
      <xdr:nvGraphicFramePr>
        <xdr:cNvPr id="19" name="Chart 18">
          <a:extLst>
            <a:ext uri="{FF2B5EF4-FFF2-40B4-BE49-F238E27FC236}">
              <a16:creationId xmlns:a16="http://schemas.microsoft.com/office/drawing/2014/main" id="{00000000-0008-0000-06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17</xdr:col>
      <xdr:colOff>723900</xdr:colOff>
      <xdr:row>113</xdr:row>
      <xdr:rowOff>0</xdr:rowOff>
    </xdr:from>
    <xdr:to>
      <xdr:col>34</xdr:col>
      <xdr:colOff>198121</xdr:colOff>
      <xdr:row>128</xdr:row>
      <xdr:rowOff>47625</xdr:rowOff>
    </xdr:to>
    <xdr:graphicFrame macro="">
      <xdr:nvGraphicFramePr>
        <xdr:cNvPr id="20" name="Chart 19">
          <a:extLst>
            <a:ext uri="{FF2B5EF4-FFF2-40B4-BE49-F238E27FC236}">
              <a16:creationId xmlns:a16="http://schemas.microsoft.com/office/drawing/2014/main" id="{00000000-0008-0000-06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17</xdr:col>
      <xdr:colOff>736600</xdr:colOff>
      <xdr:row>131</xdr:row>
      <xdr:rowOff>85725</xdr:rowOff>
    </xdr:from>
    <xdr:to>
      <xdr:col>34</xdr:col>
      <xdr:colOff>274411</xdr:colOff>
      <xdr:row>149</xdr:row>
      <xdr:rowOff>117475</xdr:rowOff>
    </xdr:to>
    <xdr:graphicFrame macro="">
      <xdr:nvGraphicFramePr>
        <xdr:cNvPr id="21" name="Chart 20">
          <a:extLst>
            <a:ext uri="{FF2B5EF4-FFF2-40B4-BE49-F238E27FC236}">
              <a16:creationId xmlns:a16="http://schemas.microsoft.com/office/drawing/2014/main" id="{00000000-0008-0000-06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12</xdr:col>
      <xdr:colOff>844550</xdr:colOff>
      <xdr:row>155</xdr:row>
      <xdr:rowOff>111306</xdr:rowOff>
    </xdr:from>
    <xdr:to>
      <xdr:col>17</xdr:col>
      <xdr:colOff>280308</xdr:colOff>
      <xdr:row>170</xdr:row>
      <xdr:rowOff>44360</xdr:rowOff>
    </xdr:to>
    <xdr:graphicFrame macro="">
      <xdr:nvGraphicFramePr>
        <xdr:cNvPr id="24" name="Chart 23">
          <a:extLst>
            <a:ext uri="{FF2B5EF4-FFF2-40B4-BE49-F238E27FC236}">
              <a16:creationId xmlns:a16="http://schemas.microsoft.com/office/drawing/2014/main" id="{00000000-0008-0000-06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18</xdr:col>
      <xdr:colOff>30018</xdr:colOff>
      <xdr:row>155</xdr:row>
      <xdr:rowOff>73726</xdr:rowOff>
    </xdr:from>
    <xdr:to>
      <xdr:col>25</xdr:col>
      <xdr:colOff>295275</xdr:colOff>
      <xdr:row>169</xdr:row>
      <xdr:rowOff>169429</xdr:rowOff>
    </xdr:to>
    <xdr:graphicFrame macro="">
      <xdr:nvGraphicFramePr>
        <xdr:cNvPr id="26" name="Chart 25">
          <a:extLst>
            <a:ext uri="{FF2B5EF4-FFF2-40B4-BE49-F238E27FC236}">
              <a16:creationId xmlns:a16="http://schemas.microsoft.com/office/drawing/2014/main" id="{00000000-0008-0000-06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26</xdr:col>
      <xdr:colOff>200026</xdr:colOff>
      <xdr:row>155</xdr:row>
      <xdr:rowOff>62592</xdr:rowOff>
    </xdr:from>
    <xdr:to>
      <xdr:col>34</xdr:col>
      <xdr:colOff>152287</xdr:colOff>
      <xdr:row>170</xdr:row>
      <xdr:rowOff>6350</xdr:rowOff>
    </xdr:to>
    <xdr:graphicFrame macro="">
      <xdr:nvGraphicFramePr>
        <xdr:cNvPr id="30" name="Chart 29">
          <a:extLst>
            <a:ext uri="{FF2B5EF4-FFF2-40B4-BE49-F238E27FC236}">
              <a16:creationId xmlns:a16="http://schemas.microsoft.com/office/drawing/2014/main" id="{00000000-0008-0000-06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9</xdr:col>
      <xdr:colOff>161925</xdr:colOff>
      <xdr:row>172</xdr:row>
      <xdr:rowOff>156483</xdr:rowOff>
    </xdr:from>
    <xdr:to>
      <xdr:col>17</xdr:col>
      <xdr:colOff>333216</xdr:colOff>
      <xdr:row>188</xdr:row>
      <xdr:rowOff>163284</xdr:rowOff>
    </xdr:to>
    <xdr:graphicFrame macro="">
      <xdr:nvGraphicFramePr>
        <xdr:cNvPr id="32" name="Chart 31">
          <a:extLst>
            <a:ext uri="{FF2B5EF4-FFF2-40B4-BE49-F238E27FC236}">
              <a16:creationId xmlns:a16="http://schemas.microsoft.com/office/drawing/2014/main" id="{00000000-0008-0000-06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17</xdr:col>
      <xdr:colOff>685800</xdr:colOff>
      <xdr:row>172</xdr:row>
      <xdr:rowOff>146958</xdr:rowOff>
    </xdr:from>
    <xdr:to>
      <xdr:col>34</xdr:col>
      <xdr:colOff>160021</xdr:colOff>
      <xdr:row>189</xdr:row>
      <xdr:rowOff>1813</xdr:rowOff>
    </xdr:to>
    <xdr:graphicFrame macro="">
      <xdr:nvGraphicFramePr>
        <xdr:cNvPr id="33" name="Chart 32">
          <a:extLst>
            <a:ext uri="{FF2B5EF4-FFF2-40B4-BE49-F238E27FC236}">
              <a16:creationId xmlns:a16="http://schemas.microsoft.com/office/drawing/2014/main" id="{00000000-0008-0000-06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9</xdr:col>
      <xdr:colOff>152400</xdr:colOff>
      <xdr:row>190</xdr:row>
      <xdr:rowOff>125185</xdr:rowOff>
    </xdr:from>
    <xdr:to>
      <xdr:col>17</xdr:col>
      <xdr:colOff>265249</xdr:colOff>
      <xdr:row>208</xdr:row>
      <xdr:rowOff>29937</xdr:rowOff>
    </xdr:to>
    <xdr:graphicFrame macro="">
      <xdr:nvGraphicFramePr>
        <xdr:cNvPr id="35" name="Chart 34">
          <a:extLst>
            <a:ext uri="{FF2B5EF4-FFF2-40B4-BE49-F238E27FC236}">
              <a16:creationId xmlns:a16="http://schemas.microsoft.com/office/drawing/2014/main" id="{00000000-0008-0000-06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17</xdr:col>
      <xdr:colOff>685800</xdr:colOff>
      <xdr:row>190</xdr:row>
      <xdr:rowOff>121375</xdr:rowOff>
    </xdr:from>
    <xdr:to>
      <xdr:col>34</xdr:col>
      <xdr:colOff>177800</xdr:colOff>
      <xdr:row>208</xdr:row>
      <xdr:rowOff>19323</xdr:rowOff>
    </xdr:to>
    <xdr:graphicFrame macro="">
      <xdr:nvGraphicFramePr>
        <xdr:cNvPr id="36" name="Chart 35">
          <a:extLst>
            <a:ext uri="{FF2B5EF4-FFF2-40B4-BE49-F238E27FC236}">
              <a16:creationId xmlns:a16="http://schemas.microsoft.com/office/drawing/2014/main" id="{00000000-0008-0000-06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4" name="TextBox 3">
          <a:extLst>
            <a:ext uri="{FF2B5EF4-FFF2-40B4-BE49-F238E27FC236}">
              <a16:creationId xmlns:a16="http://schemas.microsoft.com/office/drawing/2014/main" id="{00000000-0008-0000-0700-000004000000}"/>
            </a:ext>
          </a:extLst>
        </xdr:cNvPr>
        <xdr:cNvSpPr txBox="1"/>
      </xdr:nvSpPr>
      <xdr:spPr>
        <a:xfrm>
          <a:off x="85725" y="72392"/>
          <a:ext cx="971550" cy="813433"/>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Return to results</a:t>
          </a:r>
        </a:p>
        <a:p>
          <a:pPr algn="ctr"/>
          <a:r>
            <a:rPr lang="en-GB" sz="1200">
              <a:solidFill>
                <a:schemeClr val="accent1"/>
              </a:solidFill>
            </a:rPr>
            <a:t>menu</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4</xdr:row>
      <xdr:rowOff>123061</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800-000007000000}"/>
            </a:ext>
          </a:extLst>
        </xdr:cNvPr>
        <xdr:cNvGrpSpPr/>
      </xdr:nvGrpSpPr>
      <xdr:grpSpPr>
        <a:xfrm>
          <a:off x="28575" y="867916"/>
          <a:ext cx="7049135" cy="737999"/>
          <a:chOff x="205740" y="877124"/>
          <a:chExt cx="4701455" cy="771786"/>
        </a:xfrm>
      </xdr:grpSpPr>
      <xdr:sp macro="[0]!ToggleHideRows" textlink="">
        <xdr:nvSpPr>
          <xdr:cNvPr id="17" name="Rectangle: Rounded Corners 19">
            <a:extLst>
              <a:ext uri="{FF2B5EF4-FFF2-40B4-BE49-F238E27FC236}">
                <a16:creationId xmlns:a16="http://schemas.microsoft.com/office/drawing/2014/main" id="{00000000-0008-0000-08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8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8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800-000013000000}"/>
              </a:ext>
            </a:extLst>
          </xdr:cNvPr>
          <xdr:cNvSpPr/>
        </xdr:nvSpPr>
        <xdr:spPr>
          <a:xfrm>
            <a:off x="206819" y="877124"/>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mn-lt"/>
              </a:rPr>
              <a:t>Condense / Show Columns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900-000026000000}"/>
            </a:ext>
          </a:extLst>
        </xdr:cNvPr>
        <xdr:cNvGrpSpPr/>
      </xdr:nvGrpSpPr>
      <xdr:grpSpPr>
        <a:xfrm>
          <a:off x="125730" y="834539"/>
          <a:ext cx="6881949" cy="777091"/>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9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9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9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9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A00-000015000000}"/>
            </a:ext>
          </a:extLst>
        </xdr:cNvPr>
        <xdr:cNvGrpSpPr/>
      </xdr:nvGrpSpPr>
      <xdr:grpSpPr>
        <a:xfrm>
          <a:off x="219076" y="885825"/>
          <a:ext cx="5619750" cy="764166"/>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A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A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A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A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B00-000024000000}"/>
            </a:ext>
          </a:extLst>
        </xdr:cNvPr>
        <xdr:cNvGrpSpPr/>
      </xdr:nvGrpSpPr>
      <xdr:grpSpPr>
        <a:xfrm>
          <a:off x="0" y="931545"/>
          <a:ext cx="6892290" cy="773691"/>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B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B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B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B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0C00-000022000000}"/>
            </a:ext>
          </a:extLst>
        </xdr:cNvPr>
        <xdr:cNvGrpSpPr/>
      </xdr:nvGrpSpPr>
      <xdr:grpSpPr>
        <a:xfrm>
          <a:off x="49530" y="1045845"/>
          <a:ext cx="6206490" cy="773691"/>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0C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0C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0C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0C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1270</xdr:colOff>
      <xdr:row>4</xdr:row>
      <xdr:rowOff>83820</xdr:rowOff>
    </xdr:from>
    <xdr:to>
      <xdr:col>7</xdr:col>
      <xdr:colOff>0</xdr:colOff>
      <xdr:row>8</xdr:row>
      <xdr:rowOff>93606</xdr:rowOff>
    </xdr:to>
    <xdr:grpSp>
      <xdr:nvGrpSpPr>
        <xdr:cNvPr id="31" name="Group 30">
          <a:extLst>
            <a:ext uri="{FF2B5EF4-FFF2-40B4-BE49-F238E27FC236}">
              <a16:creationId xmlns:a16="http://schemas.microsoft.com/office/drawing/2014/main" id="{00000000-0008-0000-0D00-00001F000000}"/>
            </a:ext>
          </a:extLst>
        </xdr:cNvPr>
        <xdr:cNvGrpSpPr/>
      </xdr:nvGrpSpPr>
      <xdr:grpSpPr>
        <a:xfrm>
          <a:off x="134620" y="933450"/>
          <a:ext cx="6542405" cy="754641"/>
          <a:chOff x="205740" y="877124"/>
          <a:chExt cx="4701455" cy="771786"/>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0D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0D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0D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0D00-00002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0E00-00000B000000}"/>
            </a:ext>
          </a:extLst>
        </xdr:cNvPr>
        <xdr:cNvGrpSpPr/>
      </xdr:nvGrpSpPr>
      <xdr:grpSpPr>
        <a:xfrm>
          <a:off x="200025" y="938893"/>
          <a:ext cx="5444218" cy="769609"/>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E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E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E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E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0F00-00000B000000}"/>
            </a:ext>
          </a:extLst>
        </xdr:cNvPr>
        <xdr:cNvGrpSpPr/>
      </xdr:nvGrpSpPr>
      <xdr:grpSpPr>
        <a:xfrm>
          <a:off x="180976" y="962025"/>
          <a:ext cx="5962649" cy="76416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F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F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F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F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000-000007000000}"/>
            </a:ext>
          </a:extLst>
        </xdr:cNvPr>
        <xdr:cNvGrpSpPr/>
      </xdr:nvGrpSpPr>
      <xdr:grpSpPr>
        <a:xfrm>
          <a:off x="211455" y="1007745"/>
          <a:ext cx="4981574" cy="754641"/>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0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0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0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0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100-00001E000000}"/>
            </a:ext>
          </a:extLst>
        </xdr:cNvPr>
        <xdr:cNvGrpSpPr/>
      </xdr:nvGrpSpPr>
      <xdr:grpSpPr>
        <a:xfrm>
          <a:off x="381000" y="895350"/>
          <a:ext cx="5086350" cy="76416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1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1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1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1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200-00002F000000}"/>
            </a:ext>
          </a:extLst>
        </xdr:cNvPr>
        <xdr:cNvGrpSpPr/>
      </xdr:nvGrpSpPr>
      <xdr:grpSpPr>
        <a:xfrm>
          <a:off x="171450" y="923925"/>
          <a:ext cx="6153150" cy="754641"/>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2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Rows</a:t>
            </a:r>
          </a:p>
        </xdr:txBody>
      </xdr:sp>
      <xdr:sp macro="[0]!ActivateSelectWorksheet" textlink="">
        <xdr:nvSpPr>
          <xdr:cNvPr id="49" name="Rounded Rectangle 48">
            <a:extLst>
              <a:ext uri="{FF2B5EF4-FFF2-40B4-BE49-F238E27FC236}">
                <a16:creationId xmlns:a16="http://schemas.microsoft.com/office/drawing/2014/main" id="{00000000-0008-0000-12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2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2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300-00003B000000}"/>
            </a:ext>
          </a:extLst>
        </xdr:cNvPr>
        <xdr:cNvGrpSpPr/>
      </xdr:nvGrpSpPr>
      <xdr:grpSpPr>
        <a:xfrm>
          <a:off x="219075" y="1009650"/>
          <a:ext cx="4286250" cy="764166"/>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3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3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3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3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400-00004F000000}"/>
            </a:ext>
          </a:extLst>
        </xdr:cNvPr>
        <xdr:cNvGrpSpPr/>
      </xdr:nvGrpSpPr>
      <xdr:grpSpPr>
        <a:xfrm>
          <a:off x="190501" y="946092"/>
          <a:ext cx="4896022" cy="785468"/>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4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4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4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4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500-000060000000}"/>
            </a:ext>
          </a:extLst>
        </xdr:cNvPr>
        <xdr:cNvGrpSpPr/>
      </xdr:nvGrpSpPr>
      <xdr:grpSpPr>
        <a:xfrm>
          <a:off x="201706" y="791696"/>
          <a:ext cx="5224743" cy="777052"/>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5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5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5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5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600-000026000000}"/>
            </a:ext>
          </a:extLst>
        </xdr:cNvPr>
        <xdr:cNvGrpSpPr/>
      </xdr:nvGrpSpPr>
      <xdr:grpSpPr>
        <a:xfrm>
          <a:off x="221336" y="1192049"/>
          <a:ext cx="3788689" cy="752380"/>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6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6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6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6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700-000098000000}"/>
            </a:ext>
          </a:extLst>
        </xdr:cNvPr>
        <xdr:cNvGrpSpPr/>
      </xdr:nvGrpSpPr>
      <xdr:grpSpPr>
        <a:xfrm>
          <a:off x="241510" y="888364"/>
          <a:ext cx="5217160" cy="781523"/>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7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7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7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7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800-000040000000}"/>
            </a:ext>
          </a:extLst>
        </xdr:cNvPr>
        <xdr:cNvGrpSpPr/>
      </xdr:nvGrpSpPr>
      <xdr:grpSpPr>
        <a:xfrm>
          <a:off x="152401" y="895350"/>
          <a:ext cx="4752975" cy="754641"/>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8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8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8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8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900-00002A000000}"/>
            </a:ext>
          </a:extLst>
        </xdr:cNvPr>
        <xdr:cNvGrpSpPr/>
      </xdr:nvGrpSpPr>
      <xdr:grpSpPr>
        <a:xfrm>
          <a:off x="182314" y="1208838"/>
          <a:ext cx="4466220" cy="744362"/>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9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9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9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9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A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B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1C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1D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1E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1F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0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2]!returnstartG7" textlink="">
      <xdr:nvSpPr>
        <xdr:cNvPr id="4" name="Rounded Rectangle 2">
          <a:extLst>
            <a:ext uri="{FF2B5EF4-FFF2-40B4-BE49-F238E27FC236}">
              <a16:creationId xmlns:a16="http://schemas.microsoft.com/office/drawing/2014/main" id="{00000000-0008-0000-20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1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2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3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3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3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3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3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3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3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riversdata" textlink="">
      <xdr:nvSpPr>
        <xdr:cNvPr id="16" name="TextBox 15">
          <a:extLst>
            <a:ext uri="{FF2B5EF4-FFF2-40B4-BE49-F238E27FC236}">
              <a16:creationId xmlns:a16="http://schemas.microsoft.com/office/drawing/2014/main" id="{00000000-0008-0000-23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River</a:t>
          </a:r>
          <a:r>
            <a:rPr lang="en-GB" sz="1400" baseline="0">
              <a:solidFill>
                <a:schemeClr val="bg1"/>
              </a:solidFill>
              <a:latin typeface="Rockwell Light" panose="02040303020102020203" pitchFamily="18" charset="0"/>
            </a:rPr>
            <a:t>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3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 textlink="">
      <xdr:nvSpPr>
        <xdr:cNvPr id="18" name="TextBox 17">
          <a:extLst>
            <a:ext uri="{FF2B5EF4-FFF2-40B4-BE49-F238E27FC236}">
              <a16:creationId xmlns:a16="http://schemas.microsoft.com/office/drawing/2014/main" id="{00000000-0008-0000-23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Metric /Phase 1 translation </a:t>
          </a:r>
          <a:endParaRPr lang="en-GB" sz="1400">
            <a:solidFill>
              <a:schemeClr val="bg1"/>
            </a:solidFill>
            <a:latin typeface="Rockwell Light" panose="02040303020102020203" pitchFamily="18" charset="0"/>
          </a:endParaRP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3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definedNames>
      <definedName name="returnstartG7"/>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election activeCell="S28" sqref="S28"/>
    </sheetView>
  </sheetViews>
  <sheetFormatPr defaultColWidth="9.109375" defaultRowHeight="14.4" customHeight="1" zeroHeight="1" x14ac:dyDescent="0.3"/>
  <cols>
    <col min="1" max="2" width="9.109375" style="9" customWidth="1"/>
    <col min="3" max="3" width="7" style="9" customWidth="1"/>
    <col min="4" max="6" width="9.109375" style="9" customWidth="1"/>
    <col min="7" max="7" width="12.109375" style="9" customWidth="1"/>
    <col min="8" max="8" width="5.6640625" style="9" customWidth="1"/>
    <col min="9" max="9" width="9.109375" style="9" customWidth="1"/>
    <col min="10" max="10" width="34.5546875" style="9" customWidth="1"/>
    <col min="11" max="11" width="13.6640625" style="9" bestFit="1" customWidth="1"/>
    <col min="12" max="12" width="19.33203125" style="9" customWidth="1"/>
    <col min="13" max="14" width="9.109375" style="9" customWidth="1"/>
    <col min="15" max="16384" width="9.109375" style="9"/>
  </cols>
  <sheetData>
    <row r="1" spans="1:7" ht="30" customHeight="1" x14ac:dyDescent="0.4">
      <c r="A1" s="8"/>
      <c r="B1" s="8"/>
      <c r="C1" s="8"/>
      <c r="D1" s="8"/>
      <c r="E1" s="8"/>
      <c r="F1" s="8"/>
      <c r="G1" s="8"/>
    </row>
    <row r="2" spans="1:7" ht="16.5" customHeight="1" x14ac:dyDescent="0.3"/>
    <row r="3" spans="1:7" ht="16.5" customHeight="1" x14ac:dyDescent="0.3"/>
    <row r="4" spans="1:7" ht="16.5" customHeight="1" x14ac:dyDescent="0.3"/>
    <row r="5" spans="1:7" ht="16.5" customHeight="1" x14ac:dyDescent="0.3"/>
    <row r="6" spans="1:7" ht="16.5" customHeight="1" x14ac:dyDescent="0.3"/>
    <row r="7" spans="1:7" ht="16.5" customHeight="1" x14ac:dyDescent="0.3"/>
    <row r="8" spans="1:7" ht="16.5" customHeight="1" x14ac:dyDescent="0.3"/>
    <row r="9" spans="1:7" ht="16.5" customHeight="1" x14ac:dyDescent="0.3"/>
    <row r="10" spans="1:7" ht="16.5" customHeight="1" x14ac:dyDescent="0.3"/>
    <row r="11" spans="1:7" ht="16.5" customHeight="1" x14ac:dyDescent="0.3"/>
    <row r="12" spans="1:7" ht="16.5" customHeight="1" x14ac:dyDescent="0.3"/>
    <row r="13" spans="1:7" ht="16.5" customHeight="1" x14ac:dyDescent="0.3"/>
    <row r="14" spans="1:7" ht="16.5" customHeight="1" x14ac:dyDescent="0.3"/>
    <row r="15" spans="1:7" ht="16.5" customHeight="1" x14ac:dyDescent="0.3"/>
    <row r="16" spans="1:7" ht="16.5" customHeight="1" x14ac:dyDescent="0.3"/>
    <row r="17" spans="10:10" ht="16.5" customHeight="1" x14ac:dyDescent="0.3"/>
    <row r="18" spans="10:10" ht="16.5" customHeight="1" x14ac:dyDescent="0.3"/>
    <row r="19" spans="10:10" ht="16.5" customHeight="1" x14ac:dyDescent="0.3"/>
    <row r="20" spans="10:10" ht="16.5" customHeight="1" x14ac:dyDescent="0.3"/>
    <row r="21" spans="10:10" ht="16.5" customHeight="1" x14ac:dyDescent="0.3"/>
    <row r="22" spans="10:10" ht="16.5" customHeight="1" x14ac:dyDescent="0.3"/>
    <row r="23" spans="10:10" ht="16.5" customHeight="1" x14ac:dyDescent="0.3"/>
    <row r="24" spans="10:10" ht="16.5" customHeight="1" x14ac:dyDescent="0.3"/>
    <row r="25" spans="10:10" ht="16.5" customHeight="1" x14ac:dyDescent="0.3">
      <c r="J25" s="10"/>
    </row>
    <row r="26" spans="10:10" ht="16.5" customHeight="1" x14ac:dyDescent="0.3"/>
    <row r="27" spans="10:10" ht="16.5" customHeight="1" x14ac:dyDescent="0.3"/>
    <row r="28" spans="10:10" ht="16.5" customHeight="1" x14ac:dyDescent="0.3"/>
    <row r="29" spans="10:10" ht="16.5" customHeight="1" x14ac:dyDescent="0.3"/>
    <row r="30" spans="10:10" ht="16.5" customHeight="1" x14ac:dyDescent="0.3"/>
    <row r="31" spans="10:10" ht="16.5" customHeight="1" x14ac:dyDescent="0.3"/>
    <row r="32" spans="10:10" ht="16.5" customHeight="1" x14ac:dyDescent="0.3"/>
    <row r="33" ht="16.5" customHeight="1" x14ac:dyDescent="0.3"/>
    <row r="34" ht="16.5" customHeight="1" x14ac:dyDescent="0.3"/>
    <row r="35" ht="16.5" customHeight="1" x14ac:dyDescent="0.3"/>
    <row r="36" ht="16.5" customHeight="1" x14ac:dyDescent="0.3"/>
    <row r="37" ht="16.5" customHeight="1" x14ac:dyDescent="0.3"/>
    <row r="38" ht="16.5" customHeight="1" x14ac:dyDescent="0.3"/>
    <row r="39" ht="16.5" customHeight="1" x14ac:dyDescent="0.3"/>
    <row r="40" ht="16.5" customHeight="1" x14ac:dyDescent="0.3"/>
    <row r="41" ht="16.5" customHeight="1" x14ac:dyDescent="0.3"/>
    <row r="42" ht="16.5" customHeight="1" x14ac:dyDescent="0.3"/>
    <row r="43" ht="16.5" customHeight="1" x14ac:dyDescent="0.3"/>
    <row r="44" ht="16.5" customHeight="1" x14ac:dyDescent="0.3"/>
    <row r="45" ht="16.5" customHeight="1" x14ac:dyDescent="0.3"/>
    <row r="46" ht="16.5" customHeight="1" x14ac:dyDescent="0.3"/>
    <row r="47" ht="16.5" customHeight="1" x14ac:dyDescent="0.3"/>
    <row r="4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row r="103" ht="16.5" customHeight="1" x14ac:dyDescent="0.3"/>
    <row r="104" ht="16.5" customHeight="1" x14ac:dyDescent="0.3"/>
    <row r="105" ht="16.5" customHeight="1" x14ac:dyDescent="0.3"/>
    <row r="106" ht="16.5" customHeight="1" x14ac:dyDescent="0.3"/>
    <row r="107" ht="16.5" customHeight="1" x14ac:dyDescent="0.3"/>
    <row r="108" ht="16.5" customHeight="1" x14ac:dyDescent="0.3"/>
    <row r="109" ht="16.5" customHeight="1" x14ac:dyDescent="0.3"/>
    <row r="110" ht="16.5" customHeight="1" x14ac:dyDescent="0.3"/>
    <row r="111" ht="16.5" customHeight="1" x14ac:dyDescent="0.3"/>
    <row r="112" ht="16.5" customHeight="1" x14ac:dyDescent="0.3"/>
    <row r="113" ht="16.5" customHeight="1" x14ac:dyDescent="0.3"/>
    <row r="114" ht="16.5" customHeight="1" x14ac:dyDescent="0.3"/>
    <row r="115" ht="16.5" customHeight="1" x14ac:dyDescent="0.3"/>
    <row r="116" ht="16.5" customHeight="1" x14ac:dyDescent="0.3"/>
    <row r="117" ht="16.5" customHeight="1" x14ac:dyDescent="0.3"/>
    <row r="118" ht="16.5" customHeight="1" x14ac:dyDescent="0.3"/>
    <row r="119" ht="16.5" customHeight="1" x14ac:dyDescent="0.3"/>
    <row r="120" ht="16.5" customHeight="1" x14ac:dyDescent="0.3"/>
    <row r="121" ht="16.5" customHeight="1" x14ac:dyDescent="0.3"/>
    <row r="122" ht="16.5" customHeight="1" x14ac:dyDescent="0.3"/>
    <row r="123" ht="16.5" customHeight="1" x14ac:dyDescent="0.3"/>
    <row r="124" ht="16.5" customHeight="1" x14ac:dyDescent="0.3"/>
    <row r="125" ht="16.5" customHeight="1" x14ac:dyDescent="0.3"/>
    <row r="126" ht="16.5" customHeight="1" x14ac:dyDescent="0.3"/>
    <row r="127" ht="16.5" customHeight="1" x14ac:dyDescent="0.3"/>
    <row r="128" ht="16.5" customHeight="1" x14ac:dyDescent="0.3"/>
    <row r="129" ht="16.5" customHeight="1" x14ac:dyDescent="0.3"/>
    <row r="130" ht="16.5" customHeight="1" x14ac:dyDescent="0.3"/>
    <row r="131" ht="16.5" customHeight="1" x14ac:dyDescent="0.3"/>
    <row r="132" ht="16.5" customHeight="1" x14ac:dyDescent="0.3"/>
    <row r="133" ht="16.5" customHeight="1" x14ac:dyDescent="0.3"/>
    <row r="134" ht="16.5" customHeight="1" x14ac:dyDescent="0.3"/>
    <row r="135" ht="16.5" customHeight="1" x14ac:dyDescent="0.3"/>
    <row r="136" ht="16.5" customHeight="1" x14ac:dyDescent="0.3"/>
    <row r="137" ht="16.5" customHeight="1" x14ac:dyDescent="0.3"/>
    <row r="138" ht="16.5" customHeight="1" x14ac:dyDescent="0.3"/>
    <row r="139" ht="16.5" customHeight="1" x14ac:dyDescent="0.3"/>
    <row r="140" ht="16.5" customHeight="1" x14ac:dyDescent="0.3"/>
    <row r="141" ht="16.5" customHeight="1" x14ac:dyDescent="0.3"/>
    <row r="142" ht="16.5" customHeight="1" x14ac:dyDescent="0.3"/>
    <row r="143" ht="16.5" customHeight="1" x14ac:dyDescent="0.3"/>
    <row r="144" ht="16.5" customHeight="1" x14ac:dyDescent="0.3"/>
    <row r="145" ht="16.5" customHeight="1" x14ac:dyDescent="0.3"/>
    <row r="146" ht="16.5" customHeight="1" x14ac:dyDescent="0.3"/>
    <row r="147" ht="16.5" customHeight="1" x14ac:dyDescent="0.3"/>
    <row r="148" ht="16.5" customHeight="1" x14ac:dyDescent="0.3"/>
    <row r="149" ht="16.5" customHeight="1" x14ac:dyDescent="0.3"/>
    <row r="150" ht="16.5" customHeight="1" x14ac:dyDescent="0.3"/>
    <row r="151" ht="16.5" customHeight="1" x14ac:dyDescent="0.3"/>
    <row r="152" ht="16.5" customHeight="1" x14ac:dyDescent="0.3"/>
    <row r="153" ht="16.5" customHeight="1" x14ac:dyDescent="0.3"/>
    <row r="154" ht="16.5" customHeight="1" x14ac:dyDescent="0.3"/>
    <row r="155" ht="16.5" customHeight="1" x14ac:dyDescent="0.3"/>
    <row r="156" ht="16.5" customHeight="1" x14ac:dyDescent="0.3"/>
    <row r="157" ht="16.5" customHeight="1" x14ac:dyDescent="0.3"/>
    <row r="158" ht="16.5" customHeight="1" x14ac:dyDescent="0.3"/>
    <row r="159" ht="16.5" customHeight="1" x14ac:dyDescent="0.3"/>
    <row r="160" ht="16.5" customHeight="1" x14ac:dyDescent="0.3"/>
    <row r="161" ht="16.5" customHeight="1" x14ac:dyDescent="0.3"/>
    <row r="162" ht="16.5" customHeight="1" x14ac:dyDescent="0.3"/>
    <row r="163" ht="16.5" customHeight="1" x14ac:dyDescent="0.3"/>
    <row r="164" ht="16.5" customHeight="1" x14ac:dyDescent="0.3"/>
    <row r="165" ht="16.5" customHeight="1" x14ac:dyDescent="0.3"/>
    <row r="166" ht="16.5" customHeight="1" x14ac:dyDescent="0.3"/>
    <row r="167" ht="16.5" customHeight="1" x14ac:dyDescent="0.3"/>
    <row r="168" ht="16.5" customHeight="1" x14ac:dyDescent="0.3"/>
    <row r="169" ht="16.5" customHeight="1" x14ac:dyDescent="0.3"/>
    <row r="170" ht="16.5" customHeight="1" x14ac:dyDescent="0.3"/>
    <row r="171" ht="16.5" customHeight="1" x14ac:dyDescent="0.3"/>
    <row r="172" ht="16.5" customHeight="1" x14ac:dyDescent="0.3"/>
    <row r="173" ht="16.5" customHeight="1" x14ac:dyDescent="0.3"/>
    <row r="174" ht="16.5" customHeight="1" x14ac:dyDescent="0.3"/>
    <row r="175" ht="16.5" customHeight="1" x14ac:dyDescent="0.3"/>
    <row r="176" ht="16.5" customHeight="1" x14ac:dyDescent="0.3"/>
    <row r="177" ht="16.5" customHeight="1" x14ac:dyDescent="0.3"/>
    <row r="178" ht="16.5" customHeight="1" x14ac:dyDescent="0.3"/>
    <row r="179" ht="16.5" customHeight="1" x14ac:dyDescent="0.3"/>
    <row r="180" ht="16.5" customHeight="1" x14ac:dyDescent="0.3"/>
    <row r="181" ht="16.5" customHeight="1" x14ac:dyDescent="0.3"/>
    <row r="182" ht="16.5" customHeight="1" x14ac:dyDescent="0.3"/>
    <row r="183" ht="16.5" customHeight="1" x14ac:dyDescent="0.3"/>
    <row r="184" ht="16.5" customHeight="1" x14ac:dyDescent="0.3"/>
    <row r="185" ht="16.5" customHeight="1" x14ac:dyDescent="0.3"/>
    <row r="186" ht="16.5" customHeight="1" x14ac:dyDescent="0.3"/>
    <row r="187" ht="16.5" customHeight="1" x14ac:dyDescent="0.3"/>
    <row r="188" ht="16.5" customHeight="1" x14ac:dyDescent="0.3"/>
    <row r="189" ht="16.5" customHeight="1" x14ac:dyDescent="0.3"/>
    <row r="190" ht="16.5" customHeight="1" x14ac:dyDescent="0.3"/>
    <row r="191" ht="16.5" customHeight="1" x14ac:dyDescent="0.3"/>
    <row r="192" ht="16.5" customHeight="1" x14ac:dyDescent="0.3"/>
    <row r="193" ht="16.5" customHeight="1" x14ac:dyDescent="0.3"/>
    <row r="194" ht="16.5" customHeight="1" x14ac:dyDescent="0.3"/>
    <row r="195" ht="16.5" customHeight="1" x14ac:dyDescent="0.3"/>
    <row r="196" ht="16.5" customHeight="1" x14ac:dyDescent="0.3"/>
    <row r="197" ht="16.5" customHeight="1" x14ac:dyDescent="0.3"/>
    <row r="198" ht="16.5" customHeight="1" x14ac:dyDescent="0.3"/>
    <row r="199" ht="16.5" customHeight="1" x14ac:dyDescent="0.3"/>
    <row r="200" ht="16.5" customHeight="1" x14ac:dyDescent="0.3"/>
    <row r="201" ht="16.5" customHeight="1" x14ac:dyDescent="0.3"/>
    <row r="202" ht="16.5" customHeight="1" x14ac:dyDescent="0.3"/>
    <row r="203" ht="16.5" customHeight="1" x14ac:dyDescent="0.3"/>
    <row r="204" ht="16.5" customHeight="1" x14ac:dyDescent="0.3"/>
    <row r="205" ht="16.5" customHeight="1" x14ac:dyDescent="0.3"/>
    <row r="206" ht="16.5" customHeight="1" x14ac:dyDescent="0.3"/>
    <row r="207" ht="16.5" customHeight="1" x14ac:dyDescent="0.3"/>
    <row r="208" ht="16.5" customHeight="1" x14ac:dyDescent="0.3"/>
    <row r="209" ht="16.5" customHeight="1" x14ac:dyDescent="0.3"/>
    <row r="210" ht="16.5" customHeight="1" x14ac:dyDescent="0.3"/>
    <row r="211" ht="16.5" customHeight="1" x14ac:dyDescent="0.3"/>
    <row r="212" ht="16.5" customHeight="1" x14ac:dyDescent="0.3"/>
    <row r="213" ht="16.5" customHeight="1" x14ac:dyDescent="0.3"/>
    <row r="214" ht="16.5" customHeight="1" x14ac:dyDescent="0.3"/>
    <row r="215" ht="16.5" customHeight="1" x14ac:dyDescent="0.3"/>
    <row r="216" ht="16.5" customHeight="1" x14ac:dyDescent="0.3"/>
    <row r="217" ht="16.5" customHeight="1" x14ac:dyDescent="0.3"/>
    <row r="218" ht="16.5" customHeight="1" x14ac:dyDescent="0.3"/>
    <row r="219" ht="16.5" customHeight="1" x14ac:dyDescent="0.3"/>
    <row r="220" ht="16.5" customHeight="1" x14ac:dyDescent="0.3"/>
    <row r="221" ht="16.5" customHeight="1" x14ac:dyDescent="0.3"/>
    <row r="222" ht="16.5" customHeight="1" x14ac:dyDescent="0.3"/>
    <row r="223" ht="16.5" customHeight="1" x14ac:dyDescent="0.3"/>
    <row r="224" ht="16.5" customHeight="1" x14ac:dyDescent="0.3"/>
    <row r="225" ht="16.5" customHeight="1" x14ac:dyDescent="0.3"/>
    <row r="226" ht="16.5" customHeight="1" x14ac:dyDescent="0.3"/>
    <row r="227" ht="16.5" customHeight="1" x14ac:dyDescent="0.3"/>
    <row r="228" ht="16.5" customHeight="1" x14ac:dyDescent="0.3"/>
    <row r="229" ht="16.5" customHeight="1" x14ac:dyDescent="0.3"/>
    <row r="230" ht="16.5" customHeight="1" x14ac:dyDescent="0.3"/>
    <row r="231" ht="16.5" customHeight="1" x14ac:dyDescent="0.3"/>
    <row r="232" ht="16.5" customHeight="1" x14ac:dyDescent="0.3"/>
    <row r="233" ht="16.5" customHeight="1" x14ac:dyDescent="0.3"/>
    <row r="234" ht="16.5" customHeight="1" x14ac:dyDescent="0.3"/>
    <row r="235" ht="16.5" customHeight="1" x14ac:dyDescent="0.3"/>
    <row r="236" ht="16.5" customHeight="1" x14ac:dyDescent="0.3"/>
    <row r="237" ht="16.5" customHeight="1" x14ac:dyDescent="0.3"/>
    <row r="238" ht="16.5" customHeight="1" x14ac:dyDescent="0.3"/>
    <row r="239" ht="16.5" customHeight="1" x14ac:dyDescent="0.3"/>
    <row r="240" ht="16.5" customHeight="1" x14ac:dyDescent="0.3"/>
    <row r="241" ht="16.5" customHeight="1" x14ac:dyDescent="0.3"/>
    <row r="242" ht="16.5" customHeight="1" x14ac:dyDescent="0.3"/>
    <row r="243" ht="16.5" customHeight="1" x14ac:dyDescent="0.3"/>
    <row r="244" ht="16.5" customHeight="1" x14ac:dyDescent="0.3"/>
    <row r="245" ht="16.5" customHeight="1" x14ac:dyDescent="0.3"/>
    <row r="246" ht="16.5" customHeight="1" x14ac:dyDescent="0.3"/>
    <row r="247" ht="16.5" customHeight="1" x14ac:dyDescent="0.3"/>
    <row r="248" ht="16.5" customHeight="1" x14ac:dyDescent="0.3"/>
    <row r="249" ht="16.5" customHeight="1" x14ac:dyDescent="0.3"/>
    <row r="250" ht="16.5" customHeight="1" x14ac:dyDescent="0.3"/>
    <row r="251" ht="16.5" customHeight="1" x14ac:dyDescent="0.3"/>
    <row r="252" ht="16.5" customHeight="1" x14ac:dyDescent="0.3"/>
    <row r="253" ht="16.5" customHeight="1" x14ac:dyDescent="0.3"/>
    <row r="254" ht="16.5" customHeight="1" x14ac:dyDescent="0.3"/>
    <row r="255" ht="16.5" customHeight="1" x14ac:dyDescent="0.3"/>
    <row r="256" ht="16.5" customHeight="1" x14ac:dyDescent="0.3"/>
    <row r="257" ht="16.5" customHeight="1" x14ac:dyDescent="0.3"/>
    <row r="258" ht="16.5" customHeight="1" x14ac:dyDescent="0.3"/>
    <row r="259" ht="16.5" customHeight="1" x14ac:dyDescent="0.3"/>
    <row r="260" ht="16.5" customHeight="1" x14ac:dyDescent="0.3"/>
    <row r="261" ht="16.5" customHeight="1" x14ac:dyDescent="0.3"/>
    <row r="262" ht="16.5" customHeight="1" x14ac:dyDescent="0.3"/>
    <row r="263" ht="16.5" customHeight="1" x14ac:dyDescent="0.3"/>
    <row r="264" ht="16.5" customHeight="1" x14ac:dyDescent="0.3"/>
    <row r="265" ht="16.5" customHeight="1" x14ac:dyDescent="0.3"/>
    <row r="266" ht="16.5" customHeight="1" x14ac:dyDescent="0.3"/>
    <row r="267" ht="16.5" customHeight="1" x14ac:dyDescent="0.3"/>
    <row r="268" ht="16.5" customHeight="1" x14ac:dyDescent="0.3"/>
    <row r="269" ht="16.5" customHeight="1" x14ac:dyDescent="0.3"/>
    <row r="270" ht="16.5" customHeight="1" x14ac:dyDescent="0.3"/>
    <row r="271" ht="16.5" customHeight="1" x14ac:dyDescent="0.3"/>
    <row r="272" ht="16.5" customHeight="1" x14ac:dyDescent="0.3"/>
    <row r="273" ht="16.5" customHeight="1" x14ac:dyDescent="0.3"/>
    <row r="274" ht="16.5" customHeight="1" x14ac:dyDescent="0.3"/>
    <row r="275" ht="16.5" customHeight="1" x14ac:dyDescent="0.3"/>
    <row r="276" ht="16.5" customHeight="1" x14ac:dyDescent="0.3"/>
    <row r="277" ht="16.5" customHeight="1" x14ac:dyDescent="0.3"/>
    <row r="278" ht="16.5" customHeight="1" x14ac:dyDescent="0.3"/>
    <row r="279" ht="16.5" customHeight="1" x14ac:dyDescent="0.3"/>
    <row r="280" ht="16.5" customHeight="1" x14ac:dyDescent="0.3"/>
    <row r="281" ht="16.5" customHeight="1" x14ac:dyDescent="0.3"/>
    <row r="282" ht="16.5" customHeight="1" x14ac:dyDescent="0.3"/>
    <row r="283" ht="16.5" customHeight="1" x14ac:dyDescent="0.3"/>
    <row r="284" ht="16.5" customHeight="1" x14ac:dyDescent="0.3"/>
    <row r="285" ht="16.5" customHeight="1" x14ac:dyDescent="0.3"/>
    <row r="286" ht="16.5" customHeight="1" x14ac:dyDescent="0.3"/>
    <row r="287" ht="16.5" customHeight="1" x14ac:dyDescent="0.3"/>
    <row r="288" ht="16.5" customHeight="1" x14ac:dyDescent="0.3"/>
    <row r="289" ht="16.5" customHeight="1" x14ac:dyDescent="0.3"/>
    <row r="290" ht="16.5" customHeight="1" x14ac:dyDescent="0.3"/>
    <row r="291" ht="16.5" customHeight="1" x14ac:dyDescent="0.3"/>
    <row r="292" ht="16.5" customHeight="1" x14ac:dyDescent="0.3"/>
    <row r="293" ht="16.5" customHeight="1" x14ac:dyDescent="0.3"/>
    <row r="294" ht="16.5" customHeight="1" x14ac:dyDescent="0.3"/>
    <row r="295" ht="16.5" customHeight="1" x14ac:dyDescent="0.3"/>
    <row r="296" ht="16.5" customHeight="1" x14ac:dyDescent="0.3"/>
    <row r="297" ht="16.5" customHeight="1" x14ac:dyDescent="0.3"/>
    <row r="298" ht="16.5" customHeight="1" x14ac:dyDescent="0.3"/>
    <row r="299" ht="16.5" customHeight="1" x14ac:dyDescent="0.3"/>
    <row r="300" ht="16.5" customHeight="1" x14ac:dyDescent="0.3"/>
    <row r="301" ht="16.5" customHeight="1" x14ac:dyDescent="0.3"/>
    <row r="302" ht="16.5" customHeight="1" x14ac:dyDescent="0.3"/>
    <row r="303" ht="16.5" customHeight="1" x14ac:dyDescent="0.3"/>
    <row r="304" ht="16.5" customHeight="1" x14ac:dyDescent="0.3"/>
    <row r="305" ht="16.5" customHeight="1" x14ac:dyDescent="0.3"/>
    <row r="306" ht="16.5" customHeight="1" x14ac:dyDescent="0.3"/>
    <row r="307" ht="16.5" customHeight="1" x14ac:dyDescent="0.3"/>
    <row r="308" ht="16.5" customHeight="1" x14ac:dyDescent="0.3"/>
    <row r="309" ht="16.5" customHeight="1" x14ac:dyDescent="0.3"/>
    <row r="310" ht="16.5" customHeight="1" x14ac:dyDescent="0.3"/>
    <row r="311" ht="16.5" customHeight="1" x14ac:dyDescent="0.3"/>
    <row r="312" ht="16.5" customHeight="1" x14ac:dyDescent="0.3"/>
    <row r="313" ht="16.5" customHeight="1" x14ac:dyDescent="0.3"/>
    <row r="314" ht="16.5" customHeight="1" x14ac:dyDescent="0.3"/>
    <row r="315" ht="16.5" customHeight="1" x14ac:dyDescent="0.3"/>
    <row r="316" ht="16.5" customHeight="1" x14ac:dyDescent="0.3"/>
    <row r="317" ht="16.5" customHeight="1" x14ac:dyDescent="0.3"/>
    <row r="318" ht="16.5" customHeight="1" x14ac:dyDescent="0.3"/>
    <row r="319" ht="16.5" customHeight="1" x14ac:dyDescent="0.3"/>
    <row r="320" ht="16.5" customHeight="1" x14ac:dyDescent="0.3"/>
    <row r="321" ht="16.5" customHeight="1" x14ac:dyDescent="0.3"/>
    <row r="322" ht="16.5" customHeight="1" x14ac:dyDescent="0.3"/>
    <row r="323" ht="16.5" customHeight="1" x14ac:dyDescent="0.3"/>
    <row r="324" ht="16.5" customHeight="1" x14ac:dyDescent="0.3"/>
    <row r="325" ht="16.5" customHeight="1" x14ac:dyDescent="0.3"/>
    <row r="326" ht="16.5" customHeight="1" x14ac:dyDescent="0.3"/>
    <row r="327" ht="16.5" customHeight="1" x14ac:dyDescent="0.3"/>
    <row r="328" ht="16.5" customHeight="1" x14ac:dyDescent="0.3"/>
    <row r="329" ht="16.5" customHeight="1" x14ac:dyDescent="0.3"/>
    <row r="330" ht="16.5" customHeight="1" x14ac:dyDescent="0.3"/>
    <row r="331" ht="16.5" customHeight="1" x14ac:dyDescent="0.3"/>
    <row r="332" ht="16.5" customHeight="1" x14ac:dyDescent="0.3"/>
    <row r="333" ht="16.5" customHeight="1" x14ac:dyDescent="0.3"/>
    <row r="334" ht="16.5" customHeight="1" x14ac:dyDescent="0.3"/>
    <row r="335" ht="16.5" customHeight="1" x14ac:dyDescent="0.3"/>
    <row r="336" ht="16.5" customHeight="1" x14ac:dyDescent="0.3"/>
    <row r="337" ht="16.5" customHeight="1" x14ac:dyDescent="0.3"/>
    <row r="338" ht="16.5" customHeight="1" x14ac:dyDescent="0.3"/>
    <row r="339" ht="16.5" customHeight="1" x14ac:dyDescent="0.3"/>
    <row r="340" ht="16.5" customHeight="1" x14ac:dyDescent="0.3"/>
    <row r="341" ht="16.5" customHeight="1" x14ac:dyDescent="0.3"/>
    <row r="342" ht="16.5" customHeight="1" x14ac:dyDescent="0.3"/>
    <row r="343" ht="16.5" customHeight="1" x14ac:dyDescent="0.3"/>
    <row r="344" ht="16.5" customHeight="1" x14ac:dyDescent="0.3"/>
    <row r="345" ht="16.5" customHeight="1" x14ac:dyDescent="0.3"/>
    <row r="346" ht="16.5" customHeight="1" x14ac:dyDescent="0.3"/>
    <row r="347" ht="16.5" customHeight="1" x14ac:dyDescent="0.3"/>
    <row r="348" ht="16.5" customHeight="1" x14ac:dyDescent="0.3"/>
    <row r="349" ht="16.5" customHeight="1" x14ac:dyDescent="0.3"/>
    <row r="350" ht="16.5" customHeight="1" x14ac:dyDescent="0.3"/>
    <row r="351" ht="16.5" customHeight="1" x14ac:dyDescent="0.3"/>
    <row r="352" ht="16.5" customHeight="1" x14ac:dyDescent="0.3"/>
    <row r="353" ht="16.5" customHeight="1" x14ac:dyDescent="0.3"/>
    <row r="354" ht="16.5" customHeight="1" x14ac:dyDescent="0.3"/>
    <row r="355" ht="16.5" customHeight="1" x14ac:dyDescent="0.3"/>
    <row r="356" ht="16.5" customHeight="1" x14ac:dyDescent="0.3"/>
    <row r="357" ht="16.5" customHeight="1" x14ac:dyDescent="0.3"/>
    <row r="358" ht="16.5" customHeight="1" x14ac:dyDescent="0.3"/>
    <row r="359" ht="16.5" customHeight="1" x14ac:dyDescent="0.3"/>
    <row r="360" ht="16.5" customHeight="1" x14ac:dyDescent="0.3"/>
    <row r="361" ht="16.5" customHeight="1" x14ac:dyDescent="0.3"/>
    <row r="362" ht="16.5" customHeight="1" x14ac:dyDescent="0.3"/>
    <row r="363" ht="16.5" customHeight="1" x14ac:dyDescent="0.3"/>
    <row r="364" ht="16.5" customHeight="1" x14ac:dyDescent="0.3"/>
    <row r="365" ht="16.5" customHeight="1" x14ac:dyDescent="0.3"/>
    <row r="366" ht="16.5" customHeight="1" x14ac:dyDescent="0.3"/>
    <row r="367" ht="16.5" customHeight="1" x14ac:dyDescent="0.3"/>
    <row r="368" ht="16.5" customHeight="1" x14ac:dyDescent="0.3"/>
    <row r="369" ht="16.5" customHeight="1" x14ac:dyDescent="0.3"/>
    <row r="370" ht="16.5" customHeight="1" x14ac:dyDescent="0.3"/>
    <row r="371" ht="16.5" customHeight="1" x14ac:dyDescent="0.3"/>
    <row r="372" ht="16.5" customHeight="1" x14ac:dyDescent="0.3"/>
    <row r="373" ht="16.5" customHeight="1" x14ac:dyDescent="0.3"/>
    <row r="374" ht="16.5" customHeight="1" x14ac:dyDescent="0.3"/>
    <row r="375" ht="16.5" customHeight="1" x14ac:dyDescent="0.3"/>
    <row r="376" ht="16.5" customHeight="1" x14ac:dyDescent="0.3"/>
    <row r="377" ht="16.5" customHeight="1" x14ac:dyDescent="0.3"/>
    <row r="378" ht="16.5" customHeight="1" x14ac:dyDescent="0.3"/>
    <row r="379" ht="16.5" customHeight="1" x14ac:dyDescent="0.3"/>
    <row r="380" ht="16.5" customHeight="1" x14ac:dyDescent="0.3"/>
    <row r="381" ht="16.5" customHeight="1" x14ac:dyDescent="0.3"/>
    <row r="382" ht="16.5" customHeight="1" x14ac:dyDescent="0.3"/>
    <row r="383" ht="16.5" customHeight="1" x14ac:dyDescent="0.3"/>
    <row r="384" ht="16.5" customHeight="1" x14ac:dyDescent="0.3"/>
    <row r="385" ht="16.5" customHeight="1" x14ac:dyDescent="0.3"/>
    <row r="386" ht="16.5" customHeight="1" x14ac:dyDescent="0.3"/>
    <row r="387" ht="16.5" customHeight="1" x14ac:dyDescent="0.3"/>
    <row r="388" ht="16.5" customHeight="1" x14ac:dyDescent="0.3"/>
    <row r="389" ht="16.5" customHeight="1" x14ac:dyDescent="0.3"/>
    <row r="390" ht="16.5" customHeight="1" x14ac:dyDescent="0.3"/>
    <row r="391" ht="16.5" customHeight="1" x14ac:dyDescent="0.3"/>
    <row r="392" ht="16.5" customHeight="1" x14ac:dyDescent="0.3"/>
    <row r="393" ht="16.5" customHeight="1" x14ac:dyDescent="0.3"/>
    <row r="394" ht="16.5" customHeight="1" x14ac:dyDescent="0.3"/>
    <row r="395" ht="16.5" customHeight="1" x14ac:dyDescent="0.3"/>
    <row r="396" ht="16.5" customHeight="1" x14ac:dyDescent="0.3"/>
    <row r="397" ht="16.5" customHeight="1" x14ac:dyDescent="0.3"/>
    <row r="398" ht="16.5" customHeight="1" x14ac:dyDescent="0.3"/>
    <row r="399" ht="16.5" customHeight="1" x14ac:dyDescent="0.3"/>
    <row r="400" ht="16.5" customHeight="1" x14ac:dyDescent="0.3"/>
    <row r="401" ht="16.5" customHeight="1" x14ac:dyDescent="0.3"/>
    <row r="402" ht="16.5" customHeight="1" x14ac:dyDescent="0.3"/>
    <row r="403" ht="16.5" customHeight="1" x14ac:dyDescent="0.3"/>
    <row r="404" ht="16.5" customHeight="1" x14ac:dyDescent="0.3"/>
    <row r="405" ht="16.5" customHeight="1" x14ac:dyDescent="0.3"/>
    <row r="406" ht="16.5" customHeight="1" x14ac:dyDescent="0.3"/>
    <row r="407" ht="16.5" customHeight="1" x14ac:dyDescent="0.3"/>
    <row r="408" ht="16.5" customHeight="1" x14ac:dyDescent="0.3"/>
    <row r="409" ht="16.5" customHeight="1" x14ac:dyDescent="0.3"/>
    <row r="410" ht="16.5" customHeight="1" x14ac:dyDescent="0.3"/>
    <row r="411" ht="16.5" customHeight="1" x14ac:dyDescent="0.3"/>
    <row r="412" ht="16.5" customHeight="1" x14ac:dyDescent="0.3"/>
    <row r="413" ht="16.5" customHeight="1" x14ac:dyDescent="0.3"/>
    <row r="414" ht="16.5" customHeight="1" x14ac:dyDescent="0.3"/>
    <row r="415" ht="16.5" customHeight="1" x14ac:dyDescent="0.3"/>
    <row r="416" ht="16.5" customHeight="1" x14ac:dyDescent="0.3"/>
    <row r="417" ht="16.5" customHeight="1" x14ac:dyDescent="0.3"/>
    <row r="418" ht="16.5" customHeight="1" x14ac:dyDescent="0.3"/>
    <row r="419" ht="16.5" customHeight="1" x14ac:dyDescent="0.3"/>
    <row r="420" ht="16.5" customHeight="1" x14ac:dyDescent="0.3"/>
    <row r="421" ht="16.5" customHeight="1" x14ac:dyDescent="0.3"/>
    <row r="422" ht="16.5" customHeight="1" x14ac:dyDescent="0.3"/>
    <row r="423" ht="16.5" customHeight="1" x14ac:dyDescent="0.3"/>
    <row r="424" ht="16.5" customHeight="1" x14ac:dyDescent="0.3"/>
    <row r="425" ht="16.5" customHeight="1" x14ac:dyDescent="0.3"/>
    <row r="426" ht="16.5" customHeight="1" x14ac:dyDescent="0.3"/>
    <row r="427" ht="16.5" customHeight="1" x14ac:dyDescent="0.3"/>
    <row r="428" ht="16.5" customHeight="1" x14ac:dyDescent="0.3"/>
    <row r="429" ht="16.5" customHeight="1" x14ac:dyDescent="0.3"/>
    <row r="430" ht="16.5" customHeight="1" x14ac:dyDescent="0.3"/>
    <row r="431" ht="16.5" customHeight="1" x14ac:dyDescent="0.3"/>
    <row r="432" ht="16.5" customHeight="1" x14ac:dyDescent="0.3"/>
    <row r="433" ht="16.5" customHeight="1" x14ac:dyDescent="0.3"/>
    <row r="434" ht="16.5" customHeight="1" x14ac:dyDescent="0.3"/>
    <row r="435" ht="16.5" customHeight="1" x14ac:dyDescent="0.3"/>
    <row r="436" ht="16.5" customHeight="1" x14ac:dyDescent="0.3"/>
    <row r="437" ht="16.5" customHeight="1" x14ac:dyDescent="0.3"/>
    <row r="438" ht="16.5" customHeight="1" x14ac:dyDescent="0.3"/>
    <row r="439" ht="16.5" customHeight="1" x14ac:dyDescent="0.3"/>
    <row r="440" ht="16.5" customHeight="1" x14ac:dyDescent="0.3"/>
    <row r="441" ht="16.5" customHeight="1" x14ac:dyDescent="0.3"/>
    <row r="442" ht="16.5" customHeight="1" x14ac:dyDescent="0.3"/>
    <row r="443" ht="16.5" customHeight="1" x14ac:dyDescent="0.3"/>
    <row r="444" ht="16.5" customHeight="1" x14ac:dyDescent="0.3"/>
    <row r="445" ht="16.5" customHeight="1" x14ac:dyDescent="0.3"/>
    <row r="446" ht="16.5" customHeight="1" x14ac:dyDescent="0.3"/>
    <row r="447" ht="16.5" customHeight="1" x14ac:dyDescent="0.3"/>
    <row r="448" ht="16.5" customHeight="1" x14ac:dyDescent="0.3"/>
    <row r="449" ht="16.5" customHeight="1" x14ac:dyDescent="0.3"/>
    <row r="450" ht="16.5" customHeight="1" x14ac:dyDescent="0.3"/>
    <row r="451" ht="16.5" customHeight="1" x14ac:dyDescent="0.3"/>
    <row r="452" ht="16.5" customHeight="1" x14ac:dyDescent="0.3"/>
    <row r="453" ht="16.5" customHeight="1" x14ac:dyDescent="0.3"/>
    <row r="454" ht="16.5" customHeight="1" x14ac:dyDescent="0.3"/>
    <row r="455" ht="16.5" customHeight="1" x14ac:dyDescent="0.3"/>
    <row r="456" ht="16.5" customHeight="1" x14ac:dyDescent="0.3"/>
    <row r="457" ht="16.5" customHeight="1" x14ac:dyDescent="0.3"/>
    <row r="458" ht="16.5" customHeight="1" x14ac:dyDescent="0.3"/>
    <row r="459" ht="16.5" customHeight="1" x14ac:dyDescent="0.3"/>
    <row r="460" ht="16.5" customHeight="1" x14ac:dyDescent="0.3"/>
    <row r="461" ht="16.5" customHeight="1" x14ac:dyDescent="0.3"/>
    <row r="462" ht="16.5" customHeight="1" x14ac:dyDescent="0.3"/>
    <row r="463" ht="16.5" customHeight="1" x14ac:dyDescent="0.3"/>
    <row r="464" ht="16.5" customHeight="1" x14ac:dyDescent="0.3"/>
    <row r="465" ht="16.5" customHeight="1" x14ac:dyDescent="0.3"/>
    <row r="466" ht="16.5" customHeight="1" x14ac:dyDescent="0.3"/>
    <row r="467" ht="16.5" customHeight="1" x14ac:dyDescent="0.3"/>
    <row r="468" ht="16.5" customHeight="1" x14ac:dyDescent="0.3"/>
    <row r="469" ht="16.5" customHeight="1" x14ac:dyDescent="0.3"/>
    <row r="470" ht="16.5" customHeight="1" x14ac:dyDescent="0.3"/>
    <row r="471" ht="16.5" customHeight="1" x14ac:dyDescent="0.3"/>
    <row r="472" ht="16.5" customHeight="1" x14ac:dyDescent="0.3"/>
    <row r="473" ht="16.5" customHeight="1" x14ac:dyDescent="0.3"/>
    <row r="474" ht="16.5" customHeight="1" x14ac:dyDescent="0.3"/>
    <row r="475" ht="16.5" customHeight="1" x14ac:dyDescent="0.3"/>
    <row r="476" ht="16.5" customHeight="1" x14ac:dyDescent="0.3"/>
    <row r="477" ht="16.5" customHeight="1" x14ac:dyDescent="0.3"/>
    <row r="478" ht="16.5" customHeight="1" x14ac:dyDescent="0.3"/>
    <row r="479" ht="16.5" customHeight="1" x14ac:dyDescent="0.3"/>
    <row r="480" ht="16.5" customHeight="1" x14ac:dyDescent="0.3"/>
    <row r="481" ht="16.5" customHeight="1" x14ac:dyDescent="0.3"/>
    <row r="482" ht="16.5" customHeight="1" x14ac:dyDescent="0.3"/>
    <row r="483" ht="16.5" customHeight="1" x14ac:dyDescent="0.3"/>
    <row r="484" ht="16.5" customHeight="1" x14ac:dyDescent="0.3"/>
    <row r="485" ht="16.5" customHeight="1" x14ac:dyDescent="0.3"/>
    <row r="486" ht="16.5" customHeight="1" x14ac:dyDescent="0.3"/>
    <row r="487" ht="16.5" customHeight="1" x14ac:dyDescent="0.3"/>
    <row r="488" ht="16.5" customHeight="1" x14ac:dyDescent="0.3"/>
    <row r="489" ht="16.5" customHeight="1" x14ac:dyDescent="0.3"/>
    <row r="490" ht="16.5" customHeight="1" x14ac:dyDescent="0.3"/>
    <row r="491" ht="16.5" customHeight="1" x14ac:dyDescent="0.3"/>
    <row r="492" ht="16.5" customHeight="1" x14ac:dyDescent="0.3"/>
    <row r="493" ht="16.5" customHeight="1" x14ac:dyDescent="0.3"/>
    <row r="494" ht="16.5" customHeight="1" x14ac:dyDescent="0.3"/>
    <row r="495" ht="16.5" customHeight="1" x14ac:dyDescent="0.3"/>
    <row r="496" ht="16.5" customHeight="1" x14ac:dyDescent="0.3"/>
    <row r="497" ht="16.5" customHeight="1" x14ac:dyDescent="0.3"/>
    <row r="498" ht="16.5" customHeight="1" x14ac:dyDescent="0.3"/>
    <row r="499" ht="16.5" customHeight="1" x14ac:dyDescent="0.3"/>
    <row r="500" ht="16.5" customHeight="1" x14ac:dyDescent="0.3"/>
    <row r="501" ht="16.5" customHeight="1" x14ac:dyDescent="0.3"/>
    <row r="502" ht="16.5" customHeight="1" x14ac:dyDescent="0.3"/>
    <row r="503" ht="16.5" customHeight="1" x14ac:dyDescent="0.3"/>
    <row r="504" ht="16.5" customHeight="1" x14ac:dyDescent="0.3"/>
    <row r="505" ht="16.5" customHeight="1" x14ac:dyDescent="0.3"/>
    <row r="506" ht="16.5" customHeight="1" x14ac:dyDescent="0.3"/>
    <row r="507" ht="16.5" customHeight="1" x14ac:dyDescent="0.3"/>
    <row r="508" ht="16.5" customHeight="1" x14ac:dyDescent="0.3"/>
    <row r="509" ht="16.5" customHeight="1" x14ac:dyDescent="0.3"/>
    <row r="510" ht="16.5" customHeight="1" x14ac:dyDescent="0.3"/>
    <row r="511" ht="16.5" customHeight="1" x14ac:dyDescent="0.3"/>
    <row r="512" ht="16.5" customHeight="1" x14ac:dyDescent="0.3"/>
    <row r="513" ht="16.5" customHeight="1" x14ac:dyDescent="0.3"/>
    <row r="514" ht="16.5" customHeight="1" x14ac:dyDescent="0.3"/>
    <row r="515" ht="16.5" customHeight="1" x14ac:dyDescent="0.3"/>
    <row r="516" ht="16.5" customHeight="1" x14ac:dyDescent="0.3"/>
    <row r="517" ht="16.5" customHeight="1" x14ac:dyDescent="0.3"/>
    <row r="518" ht="16.5" customHeight="1" x14ac:dyDescent="0.3"/>
    <row r="519" ht="16.5" customHeight="1" x14ac:dyDescent="0.3"/>
    <row r="520" ht="16.5" customHeight="1" x14ac:dyDescent="0.3"/>
    <row r="521" ht="16.5" customHeight="1" x14ac:dyDescent="0.3"/>
    <row r="522" ht="16.5" customHeight="1" x14ac:dyDescent="0.3"/>
    <row r="523" ht="16.5" customHeight="1" x14ac:dyDescent="0.3"/>
    <row r="524" ht="16.5" customHeight="1" x14ac:dyDescent="0.3"/>
    <row r="525" ht="16.5" customHeight="1" x14ac:dyDescent="0.3"/>
    <row r="526" ht="16.5" customHeight="1" x14ac:dyDescent="0.3"/>
    <row r="527" ht="16.5" customHeight="1" x14ac:dyDescent="0.3"/>
    <row r="528" ht="16.5" customHeight="1" x14ac:dyDescent="0.3"/>
    <row r="529" ht="16.5" customHeight="1" x14ac:dyDescent="0.3"/>
    <row r="530" ht="16.5" customHeight="1" x14ac:dyDescent="0.3"/>
    <row r="531" ht="16.5" customHeight="1" x14ac:dyDescent="0.3"/>
    <row r="532" ht="16.5" customHeight="1" x14ac:dyDescent="0.3"/>
    <row r="533" ht="16.5" customHeight="1" x14ac:dyDescent="0.3"/>
    <row r="534" ht="16.5" customHeight="1" x14ac:dyDescent="0.3"/>
    <row r="535" ht="16.5" customHeight="1" x14ac:dyDescent="0.3"/>
    <row r="536" ht="16.5" customHeight="1" x14ac:dyDescent="0.3"/>
    <row r="537" ht="16.5" customHeight="1" x14ac:dyDescent="0.3"/>
    <row r="538" ht="16.5" customHeight="1" x14ac:dyDescent="0.3"/>
    <row r="539" ht="16.5" customHeight="1" x14ac:dyDescent="0.3"/>
    <row r="540" ht="16.5" customHeight="1" x14ac:dyDescent="0.3"/>
    <row r="541" ht="16.5" customHeight="1" x14ac:dyDescent="0.3"/>
    <row r="542" ht="16.5" customHeight="1" x14ac:dyDescent="0.3"/>
    <row r="543" ht="16.5" customHeight="1" x14ac:dyDescent="0.3"/>
    <row r="544" ht="16.5" customHeight="1" x14ac:dyDescent="0.3"/>
    <row r="545" ht="16.5" customHeight="1" x14ac:dyDescent="0.3"/>
    <row r="546" ht="16.5" customHeight="1" x14ac:dyDescent="0.3"/>
    <row r="547" ht="16.5" customHeight="1" x14ac:dyDescent="0.3"/>
    <row r="548" ht="16.5" customHeight="1" x14ac:dyDescent="0.3"/>
    <row r="549" ht="16.5" customHeight="1" x14ac:dyDescent="0.3"/>
    <row r="550" ht="16.5" customHeight="1" x14ac:dyDescent="0.3"/>
    <row r="551" ht="16.5" customHeight="1" x14ac:dyDescent="0.3"/>
    <row r="552" ht="16.5" customHeight="1" x14ac:dyDescent="0.3"/>
    <row r="553" ht="16.5" customHeight="1" x14ac:dyDescent="0.3"/>
    <row r="554" ht="16.5" customHeight="1" x14ac:dyDescent="0.3"/>
    <row r="555" ht="16.5" customHeight="1" x14ac:dyDescent="0.3"/>
    <row r="556" x14ac:dyDescent="0.3"/>
    <row r="557" x14ac:dyDescent="0.3"/>
    <row r="558" x14ac:dyDescent="0.3"/>
    <row r="559" x14ac:dyDescent="0.3"/>
    <row r="560" x14ac:dyDescent="0.3"/>
    <row r="561" x14ac:dyDescent="0.3"/>
    <row r="562" x14ac:dyDescent="0.3"/>
    <row r="563" x14ac:dyDescent="0.3"/>
    <row r="564" x14ac:dyDescent="0.3"/>
    <row r="565" x14ac:dyDescent="0.3"/>
    <row r="566" x14ac:dyDescent="0.3"/>
    <row r="567" x14ac:dyDescent="0.3"/>
    <row r="568" x14ac:dyDescent="0.3"/>
    <row r="569" x14ac:dyDescent="0.3"/>
    <row r="570" x14ac:dyDescent="0.3"/>
    <row r="571" x14ac:dyDescent="0.3"/>
    <row r="572" x14ac:dyDescent="0.3"/>
    <row r="573" x14ac:dyDescent="0.3"/>
    <row r="574" x14ac:dyDescent="0.3"/>
    <row r="575" x14ac:dyDescent="0.3"/>
    <row r="576" x14ac:dyDescent="0.3"/>
    <row r="577" x14ac:dyDescent="0.3"/>
    <row r="578" x14ac:dyDescent="0.3"/>
    <row r="579" x14ac:dyDescent="0.3"/>
    <row r="580" x14ac:dyDescent="0.3"/>
    <row r="581" x14ac:dyDescent="0.3"/>
    <row r="583" ht="14.4" customHeight="1" x14ac:dyDescent="0.3"/>
    <row r="584" ht="14.4" customHeight="1" x14ac:dyDescent="0.3"/>
    <row r="585" ht="14.4" customHeight="1" x14ac:dyDescent="0.3"/>
    <row r="586" ht="14.4" customHeight="1" x14ac:dyDescent="0.3"/>
    <row r="587" ht="14.4" customHeight="1" x14ac:dyDescent="0.3"/>
    <row r="588" ht="14.4" customHeight="1" x14ac:dyDescent="0.3"/>
    <row r="589" ht="14.4" customHeight="1" x14ac:dyDescent="0.3"/>
    <row r="590" ht="14.4" customHeight="1" x14ac:dyDescent="0.3"/>
    <row r="591" ht="14.4" customHeight="1" x14ac:dyDescent="0.3"/>
  </sheetData>
  <sheetProtection algorithmName="SHA-512" hashValue="NlN6cilPOXUWOVLFo3ITgOc0XLBMnhVlbPBDyyq55wzAExYCaTTDNubnaRM2AF7I2AmBGcbhu0UJcx+uLHcJ8w==" saltValue="cdfAQbiqFl0Tc4iWAwmevg==" spinCount="100000" sheet="1" selectLockedCells="1" selectUnlockedCell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0"/>
  <sheetViews>
    <sheetView showGridLines="0" showRowColHeaders="0" zoomScaleNormal="100" workbookViewId="0">
      <selection activeCell="F20" sqref="F20:J20"/>
    </sheetView>
  </sheetViews>
  <sheetFormatPr defaultColWidth="0" defaultRowHeight="0" customHeight="1" zeroHeight="1" x14ac:dyDescent="0.25"/>
  <cols>
    <col min="1" max="2" width="2.109375" style="11" customWidth="1"/>
    <col min="3" max="3" width="3" style="11" customWidth="1"/>
    <col min="4" max="4" width="10.5546875" style="11" customWidth="1"/>
    <col min="5" max="5" width="33.88671875" style="11" customWidth="1"/>
    <col min="6" max="6" width="14.6640625" style="11" customWidth="1"/>
    <col min="7" max="7" width="9.109375" style="11" customWidth="1"/>
    <col min="8" max="8" width="7.88671875" style="11" customWidth="1"/>
    <col min="9" max="9" width="35.33203125" style="11" customWidth="1"/>
    <col min="10" max="10" width="13.88671875" style="11" customWidth="1"/>
    <col min="11" max="11" width="2.88671875" style="11" customWidth="1"/>
    <col min="12" max="12" width="1.5546875" style="11" customWidth="1"/>
    <col min="13" max="13" width="4.109375" style="11" customWidth="1"/>
    <col min="14" max="14" width="4.33203125" style="11" customWidth="1"/>
    <col min="15" max="15" width="5.6640625" style="11" customWidth="1"/>
    <col min="16" max="16" width="9.109375" style="11" customWidth="1"/>
    <col min="17" max="17" width="34.5546875" style="11" customWidth="1"/>
    <col min="18" max="18" width="13.6640625" style="11" bestFit="1" customWidth="1"/>
    <col min="19" max="19" width="19.33203125" style="11" customWidth="1"/>
    <col min="20" max="28" width="9.109375" style="11" customWidth="1"/>
    <col min="29" max="29" width="0" style="11" hidden="1" customWidth="1"/>
    <col min="30" max="16384" width="9.109375" style="11" hidden="1"/>
  </cols>
  <sheetData>
    <row r="1" spans="1:19" ht="15.6" customHeight="1" x14ac:dyDescent="0.5">
      <c r="B1" s="12"/>
      <c r="C1" s="12"/>
      <c r="E1" s="13"/>
      <c r="F1" s="670"/>
      <c r="G1" s="670"/>
      <c r="H1" s="670"/>
      <c r="I1" s="670"/>
      <c r="J1" s="670"/>
      <c r="K1" s="671"/>
      <c r="L1" s="671"/>
      <c r="M1" s="671"/>
      <c r="N1" s="671"/>
      <c r="O1" s="671"/>
      <c r="P1" s="671"/>
    </row>
    <row r="2" spans="1:19" ht="15.75" customHeight="1" x14ac:dyDescent="0.5">
      <c r="B2" s="12"/>
      <c r="C2" s="12"/>
      <c r="E2" s="13"/>
    </row>
    <row r="3" spans="1:19" ht="15.75" customHeight="1" x14ac:dyDescent="0.5">
      <c r="A3" s="13"/>
      <c r="B3" s="13"/>
      <c r="C3" s="13"/>
      <c r="D3" s="13"/>
      <c r="E3" s="13"/>
      <c r="F3" s="672"/>
      <c r="G3" s="672"/>
      <c r="H3" s="672"/>
      <c r="I3" s="672"/>
      <c r="J3" s="672"/>
      <c r="K3" s="672"/>
      <c r="L3" s="672"/>
      <c r="M3" s="672"/>
      <c r="N3" s="672"/>
      <c r="O3" s="672"/>
      <c r="P3" s="672"/>
      <c r="Q3" s="672"/>
    </row>
    <row r="4" spans="1:19" ht="16.5" customHeight="1" x14ac:dyDescent="0.5">
      <c r="A4" s="13"/>
      <c r="B4" s="13"/>
      <c r="C4" s="13"/>
      <c r="D4" s="13"/>
      <c r="E4" s="13"/>
      <c r="F4" s="672"/>
      <c r="G4" s="672"/>
      <c r="H4" s="672"/>
      <c r="I4" s="672"/>
      <c r="J4" s="672"/>
      <c r="K4" s="672"/>
      <c r="L4" s="672"/>
      <c r="M4" s="672"/>
      <c r="N4" s="672"/>
      <c r="O4" s="672"/>
      <c r="P4" s="672"/>
      <c r="Q4" s="672"/>
    </row>
    <row r="5" spans="1:19" ht="16.5" customHeight="1" x14ac:dyDescent="0.5">
      <c r="A5" s="13"/>
      <c r="B5" s="13"/>
      <c r="C5" s="13"/>
      <c r="D5" s="13"/>
      <c r="E5" s="13"/>
      <c r="F5" s="14"/>
      <c r="G5" s="14"/>
      <c r="H5" s="14"/>
      <c r="I5" s="14"/>
      <c r="J5" s="14"/>
      <c r="K5" s="14"/>
      <c r="L5" s="14"/>
      <c r="M5" s="14"/>
      <c r="N5" s="14"/>
      <c r="O5" s="14"/>
      <c r="P5" s="14"/>
      <c r="Q5" s="14"/>
      <c r="R5" s="14"/>
      <c r="S5" s="14"/>
    </row>
    <row r="6" spans="1:19" ht="16.5" customHeight="1" x14ac:dyDescent="0.5">
      <c r="B6" s="12"/>
      <c r="C6" s="12"/>
      <c r="D6" s="13"/>
      <c r="E6" s="13"/>
      <c r="F6" s="14"/>
      <c r="G6" s="14"/>
      <c r="H6" s="14"/>
      <c r="I6" s="14"/>
      <c r="J6" s="14"/>
      <c r="K6" s="14"/>
      <c r="L6" s="14"/>
      <c r="M6" s="14"/>
      <c r="N6" s="14"/>
      <c r="O6" s="14"/>
      <c r="P6" s="14"/>
      <c r="Q6" s="14"/>
      <c r="R6" s="14"/>
      <c r="S6" s="14"/>
    </row>
    <row r="7" spans="1:19" ht="16.5" customHeight="1" x14ac:dyDescent="0.5">
      <c r="B7" s="12"/>
      <c r="C7" s="13"/>
      <c r="D7" s="13"/>
      <c r="E7" s="13"/>
      <c r="F7" s="14"/>
      <c r="G7" s="14"/>
      <c r="H7" s="14"/>
      <c r="I7" s="14"/>
      <c r="J7" s="14"/>
      <c r="K7" s="14"/>
      <c r="L7" s="14"/>
      <c r="M7" s="14"/>
      <c r="N7" s="14"/>
      <c r="O7" s="14"/>
      <c r="P7" s="14"/>
      <c r="Q7" s="14"/>
      <c r="R7" s="14"/>
      <c r="S7" s="14"/>
    </row>
    <row r="8" spans="1:19" ht="23.4" customHeight="1" thickBot="1" x14ac:dyDescent="0.55000000000000004">
      <c r="B8" s="12"/>
      <c r="C8" s="12"/>
      <c r="D8" s="13"/>
      <c r="E8" s="678"/>
      <c r="F8" s="678"/>
      <c r="G8" s="678"/>
      <c r="H8" s="678"/>
      <c r="I8" s="678"/>
      <c r="J8" s="678"/>
      <c r="K8" s="14"/>
      <c r="L8" s="14"/>
      <c r="M8" s="14"/>
      <c r="N8" s="14"/>
      <c r="O8" s="14"/>
      <c r="P8" s="14"/>
      <c r="Q8" s="14"/>
      <c r="R8" s="14"/>
      <c r="S8" s="14"/>
    </row>
    <row r="9" spans="1:19" ht="23.4" customHeight="1" x14ac:dyDescent="0.25">
      <c r="B9" s="12"/>
      <c r="D9" s="687" t="s">
        <v>0</v>
      </c>
      <c r="E9" s="688"/>
      <c r="F9" s="688"/>
      <c r="G9" s="688"/>
      <c r="H9" s="688"/>
      <c r="I9" s="688"/>
      <c r="J9" s="689"/>
      <c r="K9" s="14"/>
      <c r="L9" s="14"/>
      <c r="M9" s="14"/>
      <c r="N9" s="14"/>
      <c r="O9" s="14"/>
      <c r="P9" s="14"/>
      <c r="Q9" s="14"/>
      <c r="R9" s="14"/>
      <c r="S9" s="14"/>
    </row>
    <row r="10" spans="1:19" ht="21.6" customHeight="1" thickBot="1" x14ac:dyDescent="0.3">
      <c r="B10" s="12"/>
      <c r="D10" s="690"/>
      <c r="E10" s="691"/>
      <c r="F10" s="691"/>
      <c r="G10" s="691"/>
      <c r="H10" s="691"/>
      <c r="I10" s="691"/>
      <c r="J10" s="692"/>
      <c r="K10" s="14"/>
      <c r="L10" s="14"/>
      <c r="M10" s="14"/>
      <c r="N10" s="14"/>
      <c r="P10" s="14"/>
      <c r="Q10" s="14"/>
      <c r="R10" s="14"/>
    </row>
    <row r="11" spans="1:19" ht="25.95" customHeight="1" x14ac:dyDescent="0.25">
      <c r="B11" s="12"/>
      <c r="D11" s="673" t="s">
        <v>1</v>
      </c>
      <c r="E11" s="674"/>
      <c r="F11" s="675" t="s">
        <v>1184</v>
      </c>
      <c r="G11" s="676"/>
      <c r="H11" s="676"/>
      <c r="I11" s="676"/>
      <c r="J11" s="677"/>
      <c r="K11" s="14"/>
      <c r="L11" s="14"/>
      <c r="M11" s="14"/>
      <c r="N11" s="14"/>
      <c r="P11" s="14"/>
      <c r="Q11" s="14"/>
      <c r="R11" s="14"/>
    </row>
    <row r="12" spans="1:19" ht="24" customHeight="1" x14ac:dyDescent="0.25">
      <c r="B12" s="12"/>
      <c r="D12" s="668" t="s">
        <v>2</v>
      </c>
      <c r="E12" s="669"/>
      <c r="F12" s="693" t="s">
        <v>1559</v>
      </c>
      <c r="G12" s="694"/>
      <c r="H12" s="694"/>
      <c r="I12" s="694"/>
      <c r="J12" s="695"/>
      <c r="K12" s="14"/>
      <c r="L12" s="14"/>
      <c r="M12" s="14"/>
      <c r="N12" s="14"/>
      <c r="P12" s="14"/>
      <c r="Q12" s="14"/>
      <c r="R12" s="14"/>
    </row>
    <row r="13" spans="1:19" ht="21.6" customHeight="1" x14ac:dyDescent="0.25">
      <c r="B13" s="12"/>
      <c r="D13" s="699" t="s">
        <v>3</v>
      </c>
      <c r="E13" s="700"/>
      <c r="F13" s="693" t="s">
        <v>1560</v>
      </c>
      <c r="G13" s="694"/>
      <c r="H13" s="694"/>
      <c r="I13" s="694"/>
      <c r="J13" s="695"/>
      <c r="K13" s="14"/>
      <c r="L13" s="14"/>
      <c r="M13" s="14"/>
      <c r="N13" s="14"/>
      <c r="P13" s="14"/>
      <c r="Q13" s="14"/>
      <c r="R13" s="14"/>
    </row>
    <row r="14" spans="1:19" ht="22.2" customHeight="1" x14ac:dyDescent="0.25">
      <c r="B14" s="12"/>
      <c r="D14" s="668" t="s">
        <v>4</v>
      </c>
      <c r="E14" s="669"/>
      <c r="F14" s="693" t="s">
        <v>1561</v>
      </c>
      <c r="G14" s="694"/>
      <c r="H14" s="694"/>
      <c r="I14" s="694"/>
      <c r="J14" s="695"/>
      <c r="K14" s="14"/>
      <c r="L14" s="14"/>
      <c r="M14" s="14"/>
      <c r="N14" s="14"/>
      <c r="P14" s="14"/>
      <c r="Q14" s="14"/>
      <c r="R14" s="14"/>
    </row>
    <row r="15" spans="1:19" ht="21.6" customHeight="1" x14ac:dyDescent="0.25">
      <c r="B15" s="12"/>
      <c r="D15" s="668" t="s">
        <v>5</v>
      </c>
      <c r="E15" s="669"/>
      <c r="F15" s="693" t="s">
        <v>1562</v>
      </c>
      <c r="G15" s="694"/>
      <c r="H15" s="694"/>
      <c r="I15" s="694"/>
      <c r="J15" s="695"/>
      <c r="K15" s="14"/>
      <c r="L15" s="14"/>
      <c r="M15" s="14"/>
      <c r="N15" s="14"/>
      <c r="P15" s="14"/>
      <c r="Q15" s="14"/>
      <c r="R15" s="14"/>
    </row>
    <row r="16" spans="1:19" ht="21" customHeight="1" x14ac:dyDescent="0.25">
      <c r="D16" s="668" t="s">
        <v>6</v>
      </c>
      <c r="E16" s="669"/>
      <c r="F16" s="693" t="s">
        <v>1563</v>
      </c>
      <c r="G16" s="694"/>
      <c r="H16" s="694"/>
      <c r="I16" s="694"/>
      <c r="J16" s="695"/>
      <c r="K16" s="14"/>
      <c r="L16" s="14"/>
      <c r="M16" s="14"/>
      <c r="N16" s="14"/>
      <c r="P16" s="14"/>
      <c r="Q16" s="14"/>
      <c r="R16" s="14"/>
    </row>
    <row r="17" spans="3:18" ht="23.4" customHeight="1" x14ac:dyDescent="0.25">
      <c r="D17" s="668" t="s">
        <v>7</v>
      </c>
      <c r="E17" s="669"/>
      <c r="F17" s="693" t="s">
        <v>1563</v>
      </c>
      <c r="G17" s="694"/>
      <c r="H17" s="694"/>
      <c r="I17" s="694"/>
      <c r="J17" s="695"/>
      <c r="K17" s="14"/>
      <c r="L17" s="14"/>
      <c r="M17" s="14"/>
      <c r="N17" s="14"/>
      <c r="P17" s="14"/>
      <c r="Q17" s="14"/>
      <c r="R17" s="14"/>
    </row>
    <row r="18" spans="3:18" ht="19.95" customHeight="1" x14ac:dyDescent="0.25">
      <c r="D18" s="668" t="s">
        <v>8</v>
      </c>
      <c r="E18" s="669"/>
      <c r="F18" s="693">
        <v>3.1</v>
      </c>
      <c r="G18" s="694"/>
      <c r="H18" s="694"/>
      <c r="I18" s="694"/>
      <c r="J18" s="695"/>
      <c r="K18" s="14"/>
      <c r="L18" s="14"/>
      <c r="M18" s="14"/>
      <c r="N18" s="14"/>
      <c r="P18" s="14"/>
      <c r="Q18" s="14"/>
      <c r="R18" s="14"/>
    </row>
    <row r="19" spans="3:18" ht="19.95" customHeight="1" x14ac:dyDescent="0.25">
      <c r="D19" s="668" t="s">
        <v>9</v>
      </c>
      <c r="E19" s="669"/>
      <c r="F19" s="696" t="s">
        <v>1564</v>
      </c>
      <c r="G19" s="697"/>
      <c r="H19" s="697"/>
      <c r="I19" s="697"/>
      <c r="J19" s="698"/>
      <c r="K19" s="14"/>
      <c r="L19" s="14"/>
      <c r="M19" s="14"/>
      <c r="N19" s="14"/>
      <c r="P19" s="14"/>
      <c r="Q19" s="14"/>
      <c r="R19" s="14"/>
    </row>
    <row r="20" spans="3:18" ht="21.6" customHeight="1" thickBot="1" x14ac:dyDescent="0.3">
      <c r="D20" s="701" t="s">
        <v>10</v>
      </c>
      <c r="E20" s="702"/>
      <c r="F20" s="703" t="s">
        <v>1565</v>
      </c>
      <c r="G20" s="704"/>
      <c r="H20" s="704"/>
      <c r="I20" s="704"/>
      <c r="J20" s="705"/>
      <c r="K20" s="14"/>
      <c r="L20" s="14"/>
      <c r="M20" s="14"/>
      <c r="N20" s="14"/>
      <c r="P20" s="14"/>
      <c r="Q20" s="14"/>
      <c r="R20" s="14"/>
    </row>
    <row r="21" spans="3:18" ht="16.5" customHeight="1" x14ac:dyDescent="0.25">
      <c r="P21" s="14"/>
      <c r="Q21" s="14"/>
      <c r="R21" s="14"/>
    </row>
    <row r="22" spans="3:18" ht="16.5" customHeight="1" thickBot="1" x14ac:dyDescent="0.3">
      <c r="C22" s="14"/>
      <c r="D22" s="14"/>
      <c r="E22" s="14"/>
      <c r="F22" s="14"/>
      <c r="G22" s="14"/>
      <c r="H22" s="14"/>
      <c r="I22" s="14"/>
      <c r="J22" s="14"/>
      <c r="K22" s="14"/>
      <c r="P22" s="14"/>
      <c r="Q22" s="14"/>
      <c r="R22" s="14"/>
    </row>
    <row r="23" spans="3:18" ht="20.25" customHeight="1" thickBot="1" x14ac:dyDescent="0.4">
      <c r="C23" s="14"/>
      <c r="D23" s="708" t="s">
        <v>11</v>
      </c>
      <c r="E23" s="709"/>
      <c r="F23" s="709"/>
      <c r="G23" s="709"/>
      <c r="H23" s="709"/>
      <c r="I23" s="709"/>
      <c r="J23" s="710"/>
      <c r="K23" s="14"/>
      <c r="L23" s="15"/>
      <c r="M23" s="15"/>
      <c r="N23" s="15"/>
      <c r="P23" s="14"/>
      <c r="Q23" s="14"/>
      <c r="R23" s="14"/>
    </row>
    <row r="24" spans="3:18" ht="16.5" customHeight="1" x14ac:dyDescent="0.25">
      <c r="P24" s="14"/>
      <c r="Q24" s="14"/>
      <c r="R24" s="14"/>
    </row>
    <row r="25" spans="3:18" ht="16.5" customHeight="1" x14ac:dyDescent="0.3">
      <c r="D25" s="706"/>
      <c r="E25" s="707"/>
      <c r="F25" s="681" t="s">
        <v>12</v>
      </c>
      <c r="G25" s="682"/>
      <c r="H25" s="682"/>
      <c r="I25" s="682"/>
      <c r="J25" s="683"/>
      <c r="K25" s="14"/>
      <c r="L25" s="14"/>
      <c r="M25" s="14"/>
      <c r="N25" s="14"/>
      <c r="P25" s="14"/>
      <c r="Q25" s="14"/>
      <c r="R25" s="14"/>
    </row>
    <row r="26" spans="3:18" ht="16.5" customHeight="1" x14ac:dyDescent="0.3">
      <c r="D26" s="711"/>
      <c r="E26" s="712"/>
      <c r="F26" s="681" t="s">
        <v>13</v>
      </c>
      <c r="G26" s="682"/>
      <c r="H26" s="682"/>
      <c r="I26" s="682"/>
      <c r="J26" s="683"/>
      <c r="K26" s="14"/>
      <c r="L26" s="14"/>
      <c r="M26" s="14"/>
      <c r="N26" s="14"/>
      <c r="P26" s="14"/>
      <c r="Q26" s="14"/>
      <c r="R26" s="14"/>
    </row>
    <row r="27" spans="3:18" ht="16.5" customHeight="1" thickBot="1" x14ac:dyDescent="0.35">
      <c r="D27" s="679"/>
      <c r="E27" s="680"/>
      <c r="F27" s="684" t="s">
        <v>14</v>
      </c>
      <c r="G27" s="685"/>
      <c r="H27" s="685"/>
      <c r="I27" s="685"/>
      <c r="J27" s="686"/>
      <c r="K27" s="14"/>
      <c r="L27" s="14"/>
      <c r="M27" s="14"/>
      <c r="N27" s="14"/>
      <c r="P27" s="14"/>
      <c r="Q27" s="14"/>
      <c r="R27" s="14"/>
    </row>
    <row r="28" spans="3:18" ht="16.5" customHeight="1" x14ac:dyDescent="0.25">
      <c r="D28" s="14"/>
      <c r="E28" s="14"/>
      <c r="F28" s="14"/>
      <c r="G28" s="14"/>
      <c r="H28" s="14"/>
      <c r="I28" s="14"/>
      <c r="J28" s="14"/>
      <c r="K28" s="14"/>
      <c r="L28" s="14"/>
      <c r="M28" s="14"/>
      <c r="N28" s="14"/>
      <c r="P28" s="14"/>
      <c r="Q28" s="14"/>
      <c r="R28" s="14"/>
    </row>
    <row r="29" spans="3:18" ht="24" customHeight="1" x14ac:dyDescent="0.25">
      <c r="D29" s="14"/>
      <c r="E29" s="14"/>
      <c r="F29" s="14"/>
      <c r="G29" s="14"/>
      <c r="H29" s="14"/>
      <c r="I29" s="14"/>
      <c r="J29" s="14"/>
      <c r="K29" s="14"/>
      <c r="L29" s="14"/>
      <c r="M29" s="14"/>
      <c r="N29" s="14"/>
      <c r="P29" s="14"/>
      <c r="Q29" s="14"/>
      <c r="R29" s="14"/>
    </row>
    <row r="30" spans="3:18" ht="15.6" x14ac:dyDescent="0.25">
      <c r="D30" s="14"/>
      <c r="E30" s="14"/>
      <c r="F30" s="14"/>
      <c r="G30" s="14"/>
      <c r="H30" s="14"/>
      <c r="I30" s="14"/>
      <c r="J30" s="14"/>
      <c r="K30" s="14"/>
      <c r="L30" s="14"/>
      <c r="M30" s="14"/>
      <c r="N30" s="14"/>
      <c r="P30" s="14"/>
      <c r="Q30" s="14"/>
      <c r="R30" s="14"/>
    </row>
    <row r="31" spans="3:18" ht="15.6" x14ac:dyDescent="0.25">
      <c r="D31" s="14"/>
      <c r="E31" s="14"/>
      <c r="F31" s="14"/>
      <c r="G31" s="14"/>
      <c r="H31" s="14"/>
      <c r="I31" s="14"/>
      <c r="J31" s="14"/>
      <c r="K31" s="14"/>
      <c r="L31" s="14"/>
      <c r="M31" s="14"/>
      <c r="N31" s="14"/>
      <c r="O31" s="14"/>
      <c r="P31" s="14"/>
      <c r="Q31" s="14"/>
      <c r="R31" s="14"/>
    </row>
    <row r="32" spans="3:18" ht="15.6" x14ac:dyDescent="0.25">
      <c r="D32" s="14"/>
      <c r="E32" s="14"/>
      <c r="F32" s="14"/>
      <c r="G32" s="14"/>
      <c r="H32" s="14"/>
      <c r="I32" s="14"/>
      <c r="J32" s="14"/>
      <c r="K32" s="14"/>
      <c r="L32" s="14"/>
      <c r="M32" s="14"/>
      <c r="N32" s="14"/>
      <c r="O32" s="14"/>
      <c r="P32" s="14"/>
      <c r="Q32" s="14"/>
      <c r="R32" s="14"/>
    </row>
    <row r="33" spans="4:18" ht="15.6" x14ac:dyDescent="0.25">
      <c r="D33" s="14"/>
      <c r="E33" s="14"/>
      <c r="F33" s="14"/>
      <c r="G33" s="14"/>
      <c r="H33" s="14"/>
      <c r="I33" s="14"/>
      <c r="J33" s="14"/>
      <c r="K33" s="14"/>
      <c r="L33" s="14"/>
      <c r="M33" s="14"/>
      <c r="N33" s="14"/>
      <c r="O33" s="14"/>
      <c r="P33" s="14"/>
      <c r="Q33" s="14"/>
      <c r="R33" s="14"/>
    </row>
    <row r="34" spans="4:18" ht="15.6" x14ac:dyDescent="0.25">
      <c r="D34" s="14"/>
      <c r="E34" s="14"/>
      <c r="F34" s="14"/>
      <c r="G34" s="14"/>
      <c r="H34" s="14"/>
      <c r="I34" s="14"/>
      <c r="J34" s="14"/>
      <c r="K34" s="14"/>
      <c r="L34" s="14"/>
      <c r="M34" s="14"/>
      <c r="N34" s="14"/>
      <c r="O34" s="14"/>
      <c r="P34" s="14"/>
      <c r="Q34" s="14"/>
      <c r="R34" s="14"/>
    </row>
    <row r="35" spans="4:18" ht="15.6" x14ac:dyDescent="0.25">
      <c r="D35" s="14"/>
      <c r="E35" s="14"/>
      <c r="F35" s="14"/>
      <c r="G35" s="14"/>
      <c r="H35" s="14"/>
      <c r="I35" s="14"/>
      <c r="J35" s="14"/>
      <c r="K35" s="14"/>
      <c r="L35" s="14"/>
      <c r="M35" s="14"/>
      <c r="N35" s="14"/>
      <c r="O35" s="14"/>
      <c r="P35" s="14"/>
      <c r="Q35" s="14"/>
      <c r="R35" s="14"/>
    </row>
    <row r="36" spans="4:18" ht="15.6" x14ac:dyDescent="0.25">
      <c r="D36" s="14"/>
      <c r="E36" s="14"/>
      <c r="F36" s="14"/>
      <c r="G36" s="14"/>
      <c r="H36" s="14"/>
      <c r="I36" s="14"/>
      <c r="J36" s="14"/>
      <c r="K36" s="14"/>
      <c r="L36" s="14"/>
      <c r="M36" s="14"/>
      <c r="N36" s="14"/>
      <c r="O36" s="14"/>
      <c r="P36" s="14"/>
      <c r="Q36" s="14"/>
      <c r="R36" s="14"/>
    </row>
    <row r="37" spans="4:18" ht="15.6" x14ac:dyDescent="0.25">
      <c r="D37" s="14"/>
      <c r="E37" s="14"/>
      <c r="F37" s="14"/>
      <c r="G37" s="14"/>
      <c r="H37" s="14"/>
      <c r="I37" s="14"/>
      <c r="J37" s="14"/>
      <c r="K37" s="14"/>
      <c r="L37" s="14"/>
      <c r="M37" s="14"/>
      <c r="N37" s="14"/>
      <c r="O37" s="14"/>
      <c r="P37" s="14"/>
      <c r="Q37" s="14"/>
      <c r="R37" s="14"/>
    </row>
    <row r="38" spans="4:18" ht="15.6" x14ac:dyDescent="0.25">
      <c r="D38" s="14"/>
      <c r="E38" s="14"/>
      <c r="F38" s="14"/>
      <c r="G38" s="14"/>
      <c r="H38" s="14"/>
      <c r="I38" s="14"/>
      <c r="J38" s="14"/>
      <c r="K38" s="14"/>
      <c r="L38" s="14"/>
      <c r="M38" s="14"/>
      <c r="N38" s="14"/>
      <c r="O38" s="14"/>
      <c r="P38" s="14"/>
      <c r="Q38" s="14"/>
      <c r="R38" s="14"/>
    </row>
    <row r="39" spans="4:18" ht="15.6" x14ac:dyDescent="0.25">
      <c r="D39" s="14"/>
      <c r="E39" s="14"/>
      <c r="F39" s="14"/>
      <c r="G39" s="14"/>
      <c r="H39" s="14"/>
      <c r="I39" s="14"/>
      <c r="J39" s="14"/>
      <c r="K39" s="14"/>
      <c r="L39" s="14"/>
      <c r="M39" s="14"/>
      <c r="N39" s="14"/>
      <c r="O39" s="14"/>
      <c r="P39" s="14"/>
      <c r="Q39" s="14"/>
      <c r="R39" s="14"/>
    </row>
    <row r="40" spans="4:18" ht="15.6" x14ac:dyDescent="0.25">
      <c r="D40" s="14"/>
      <c r="E40" s="14"/>
      <c r="F40" s="14"/>
      <c r="G40" s="14"/>
      <c r="H40" s="14"/>
      <c r="I40" s="14"/>
      <c r="J40" s="14"/>
      <c r="K40" s="14"/>
      <c r="L40" s="14"/>
      <c r="M40" s="14"/>
      <c r="N40" s="14"/>
      <c r="O40" s="14"/>
      <c r="P40" s="14"/>
      <c r="Q40" s="14"/>
      <c r="R40" s="14"/>
    </row>
    <row r="41" spans="4:18" ht="15.6" x14ac:dyDescent="0.25">
      <c r="D41" s="14"/>
      <c r="E41" s="14"/>
      <c r="F41" s="14"/>
      <c r="G41" s="14"/>
      <c r="H41" s="14"/>
      <c r="I41" s="14"/>
      <c r="J41" s="14"/>
      <c r="K41" s="14"/>
      <c r="L41" s="14"/>
      <c r="M41" s="14"/>
      <c r="N41" s="14"/>
      <c r="O41" s="14"/>
      <c r="P41" s="14"/>
      <c r="Q41" s="14"/>
      <c r="R41" s="14"/>
    </row>
    <row r="42" spans="4:18" ht="15.6" x14ac:dyDescent="0.25">
      <c r="D42" s="14"/>
      <c r="E42" s="14"/>
      <c r="F42" s="14"/>
      <c r="G42" s="14"/>
      <c r="H42" s="14"/>
      <c r="I42" s="14"/>
      <c r="J42" s="14"/>
      <c r="K42" s="14"/>
      <c r="L42" s="14"/>
      <c r="M42" s="14"/>
      <c r="N42" s="14"/>
      <c r="O42" s="14"/>
      <c r="P42" s="14"/>
      <c r="Q42" s="14"/>
      <c r="R42" s="14"/>
    </row>
    <row r="43" spans="4:18" ht="15.6" x14ac:dyDescent="0.25">
      <c r="D43" s="14"/>
      <c r="E43" s="14"/>
      <c r="F43" s="14"/>
      <c r="G43" s="14"/>
      <c r="H43" s="14"/>
      <c r="I43" s="14"/>
      <c r="J43" s="14"/>
      <c r="K43" s="14"/>
      <c r="L43" s="14"/>
      <c r="M43" s="14"/>
      <c r="N43" s="14"/>
      <c r="O43" s="14"/>
      <c r="P43" s="14"/>
      <c r="Q43" s="14"/>
      <c r="R43" s="14"/>
    </row>
    <row r="44" spans="4:18" ht="15.6" x14ac:dyDescent="0.25">
      <c r="D44" s="14"/>
      <c r="E44" s="14"/>
      <c r="F44" s="14"/>
      <c r="G44" s="14"/>
      <c r="H44" s="14"/>
      <c r="I44" s="14"/>
      <c r="J44" s="14"/>
      <c r="K44" s="14"/>
      <c r="L44" s="14"/>
      <c r="M44" s="14"/>
      <c r="N44" s="14"/>
      <c r="O44" s="14"/>
      <c r="P44" s="14"/>
      <c r="Q44" s="14"/>
      <c r="R44" s="14"/>
    </row>
    <row r="45" spans="4:18" ht="21" customHeight="1" x14ac:dyDescent="0.25">
      <c r="D45" s="14"/>
      <c r="E45" s="14"/>
      <c r="F45" s="14"/>
      <c r="G45" s="14"/>
      <c r="H45" s="14"/>
      <c r="I45" s="14"/>
      <c r="J45" s="14"/>
      <c r="K45" s="14"/>
      <c r="L45" s="14"/>
      <c r="M45" s="14"/>
      <c r="N45" s="14"/>
      <c r="O45" s="14"/>
      <c r="P45" s="14"/>
      <c r="Q45" s="14"/>
      <c r="R45" s="14"/>
    </row>
    <row r="46" spans="4:18" ht="15.6" x14ac:dyDescent="0.25">
      <c r="P46" s="14"/>
      <c r="Q46" s="14"/>
      <c r="R46" s="14"/>
    </row>
    <row r="47" spans="4:18" ht="13.8" x14ac:dyDescent="0.25"/>
    <row r="48" spans="4:18" ht="13.8" x14ac:dyDescent="0.25"/>
    <row r="49" ht="13.8" x14ac:dyDescent="0.25"/>
    <row r="50" ht="13.8" x14ac:dyDescent="0.25"/>
    <row r="51" ht="6" customHeight="1" x14ac:dyDescent="0.25"/>
    <row r="52" ht="13.8" x14ac:dyDescent="0.25"/>
    <row r="53" ht="13.8" x14ac:dyDescent="0.25"/>
    <row r="54" ht="13.8" x14ac:dyDescent="0.25"/>
    <row r="55" ht="63.75" customHeight="1" x14ac:dyDescent="0.25"/>
    <row r="56" ht="105.75" customHeight="1" x14ac:dyDescent="0.25"/>
    <row r="57" ht="48.75" customHeight="1" x14ac:dyDescent="0.25"/>
    <row r="58" ht="105.75" customHeight="1" x14ac:dyDescent="0.25"/>
    <row r="59" ht="105.75" customHeight="1" x14ac:dyDescent="0.25"/>
    <row r="60" ht="105.75" customHeight="1" x14ac:dyDescent="0.25"/>
  </sheetData>
  <sheetProtection algorithmName="SHA-512" hashValue="SYtLDZNRsBgwLg9dSa4Cya4XIyFKFjOrXiYwAeUDxB2c+Dg8N9fZLMBZRtaphZwqFKqlbI+RC8jkiWSsXTDAbA==" saltValue="4omzSt9HldveetrVqxV3nA==" spinCount="100000" sheet="1" objects="1" scenarios="1"/>
  <customSheetViews>
    <customSheetView guid="{8BDA793C-C9C5-4FC6-A0A5-F1109F6D4F22}" scale="90"/>
  </customSheetViews>
  <mergeCells count="32">
    <mergeCell ref="D20:E20"/>
    <mergeCell ref="F20:J20"/>
    <mergeCell ref="D25:E25"/>
    <mergeCell ref="D23:J23"/>
    <mergeCell ref="D26:E26"/>
    <mergeCell ref="D27:E27"/>
    <mergeCell ref="F25:J25"/>
    <mergeCell ref="F26:J26"/>
    <mergeCell ref="F27:J27"/>
    <mergeCell ref="D9:J10"/>
    <mergeCell ref="F17:J17"/>
    <mergeCell ref="F18:J18"/>
    <mergeCell ref="F19:J19"/>
    <mergeCell ref="D12:E12"/>
    <mergeCell ref="F12:J12"/>
    <mergeCell ref="F13:J13"/>
    <mergeCell ref="F14:J14"/>
    <mergeCell ref="F15:J15"/>
    <mergeCell ref="F16:J16"/>
    <mergeCell ref="D13:E13"/>
    <mergeCell ref="D14:E14"/>
    <mergeCell ref="F1:J1"/>
    <mergeCell ref="K1:P1"/>
    <mergeCell ref="F3:Q4"/>
    <mergeCell ref="D11:E11"/>
    <mergeCell ref="F11:J11"/>
    <mergeCell ref="E8:J8"/>
    <mergeCell ref="D15:E15"/>
    <mergeCell ref="D16:E16"/>
    <mergeCell ref="D17:E17"/>
    <mergeCell ref="D18:E18"/>
    <mergeCell ref="D19:E1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topLeftCell="A7" zoomScale="90" zoomScaleNormal="90" workbookViewId="0">
      <selection activeCell="P44" sqref="P44"/>
    </sheetView>
  </sheetViews>
  <sheetFormatPr defaultColWidth="0" defaultRowHeight="14.4" customHeight="1" zeroHeight="1" x14ac:dyDescent="0.3"/>
  <cols>
    <col min="1" max="3" width="2.109375" style="9" customWidth="1"/>
    <col min="4" max="4" width="18.6640625" style="9" customWidth="1"/>
    <col min="5" max="8" width="9.109375" style="9" customWidth="1"/>
    <col min="9" max="9" width="7" style="9" customWidth="1"/>
    <col min="10" max="12" width="9.109375" style="9" customWidth="1"/>
    <col min="13" max="13" width="12.109375" style="9" customWidth="1"/>
    <col min="14" max="14" width="5.6640625" style="9" customWidth="1"/>
    <col min="15" max="15" width="14.5546875" style="9" customWidth="1"/>
    <col min="16" max="16" width="14" style="9" customWidth="1"/>
    <col min="17" max="17" width="13.6640625" style="9" bestFit="1" customWidth="1"/>
    <col min="18" max="18" width="19.33203125" style="9" customWidth="1"/>
    <col min="19" max="26" width="9.109375" style="9" customWidth="1"/>
    <col min="27" max="16384" width="9.109375" style="9" hidden="1"/>
  </cols>
  <sheetData>
    <row r="1" spans="1:18" ht="15.75" customHeight="1" x14ac:dyDescent="0.6">
      <c r="B1" s="16"/>
      <c r="C1" s="16"/>
      <c r="E1" s="17"/>
      <c r="F1" s="713"/>
      <c r="G1" s="713"/>
      <c r="H1" s="713"/>
      <c r="I1" s="713"/>
      <c r="J1" s="713"/>
      <c r="K1" s="714"/>
      <c r="L1" s="714"/>
      <c r="M1" s="714"/>
      <c r="N1" s="714"/>
      <c r="O1" s="714"/>
    </row>
    <row r="2" spans="1:18" ht="15.75" customHeight="1" x14ac:dyDescent="0.6">
      <c r="B2" s="16"/>
      <c r="C2" s="16"/>
      <c r="E2" s="17"/>
    </row>
    <row r="3" spans="1:18" ht="15.75" customHeight="1" x14ac:dyDescent="0.6">
      <c r="A3" s="17"/>
      <c r="B3" s="17"/>
      <c r="C3" s="17"/>
      <c r="D3" s="17"/>
      <c r="E3" s="17"/>
      <c r="F3" s="18"/>
      <c r="G3" s="18"/>
      <c r="H3" s="18"/>
      <c r="I3" s="18"/>
      <c r="J3" s="18"/>
      <c r="K3" s="18"/>
      <c r="L3" s="18"/>
      <c r="M3" s="18"/>
      <c r="N3" s="18"/>
      <c r="O3" s="18"/>
      <c r="P3" s="18"/>
    </row>
    <row r="4" spans="1:18" ht="16.5" customHeight="1" x14ac:dyDescent="0.6">
      <c r="A4" s="17"/>
      <c r="B4" s="17"/>
      <c r="C4" s="17"/>
      <c r="D4" s="17"/>
      <c r="E4" s="17"/>
      <c r="F4" s="18"/>
      <c r="G4" s="18"/>
      <c r="H4" s="18"/>
      <c r="I4" s="18"/>
      <c r="J4" s="18"/>
      <c r="K4" s="18"/>
      <c r="L4" s="18"/>
      <c r="M4" s="18"/>
      <c r="N4" s="18"/>
      <c r="O4" s="18"/>
      <c r="P4" s="18"/>
    </row>
    <row r="5" spans="1:18" ht="16.5" customHeight="1" x14ac:dyDescent="0.6">
      <c r="A5" s="17"/>
      <c r="B5" s="17"/>
      <c r="C5" s="17"/>
      <c r="D5" s="17"/>
      <c r="E5" s="17"/>
      <c r="F5" s="19"/>
      <c r="G5" s="19"/>
      <c r="H5" s="19"/>
      <c r="I5" s="19"/>
      <c r="J5" s="19"/>
      <c r="K5" s="19"/>
      <c r="L5" s="19"/>
      <c r="M5" s="19"/>
      <c r="N5" s="19"/>
      <c r="O5" s="19"/>
      <c r="P5" s="19"/>
      <c r="Q5" s="19"/>
      <c r="R5" s="19"/>
    </row>
    <row r="6" spans="1:18" ht="16.5" customHeight="1" x14ac:dyDescent="0.6">
      <c r="B6" s="16"/>
      <c r="C6" s="16"/>
      <c r="D6" s="17"/>
      <c r="E6" s="17"/>
      <c r="F6" s="19"/>
      <c r="G6" s="19"/>
      <c r="H6" s="19"/>
      <c r="I6" s="19"/>
      <c r="J6" s="19"/>
      <c r="K6" s="19"/>
      <c r="L6" s="19"/>
      <c r="M6" s="19"/>
      <c r="N6" s="19"/>
      <c r="O6" s="19"/>
      <c r="P6" s="19"/>
      <c r="Q6" s="19"/>
      <c r="R6" s="19"/>
    </row>
    <row r="7" spans="1:18" ht="16.5" customHeight="1" x14ac:dyDescent="0.6">
      <c r="B7" s="16"/>
      <c r="C7" s="17"/>
      <c r="D7" s="17"/>
      <c r="E7" s="17"/>
      <c r="F7" s="19"/>
      <c r="G7" s="19"/>
      <c r="H7" s="19"/>
      <c r="I7" s="19"/>
      <c r="J7" s="19"/>
      <c r="K7" s="19"/>
      <c r="L7" s="19"/>
      <c r="M7" s="19"/>
      <c r="N7" s="19"/>
      <c r="O7" s="19"/>
      <c r="P7" s="19"/>
      <c r="Q7" s="19"/>
      <c r="R7" s="19"/>
    </row>
    <row r="8" spans="1:18" ht="16.5" customHeight="1" x14ac:dyDescent="0.6">
      <c r="B8" s="16"/>
      <c r="C8" s="16"/>
      <c r="D8" s="17"/>
      <c r="E8" s="17"/>
      <c r="F8" s="19"/>
      <c r="G8" s="19"/>
      <c r="H8" s="19"/>
      <c r="I8" s="19"/>
      <c r="J8" s="19"/>
      <c r="K8" s="19"/>
      <c r="L8" s="19"/>
      <c r="M8" s="19"/>
      <c r="N8" s="19"/>
      <c r="O8" s="19"/>
      <c r="P8" s="19"/>
      <c r="Q8" s="19"/>
      <c r="R8" s="19"/>
    </row>
    <row r="9" spans="1:18" ht="16.5" customHeight="1" x14ac:dyDescent="0.3">
      <c r="B9" s="16"/>
      <c r="C9" s="16"/>
      <c r="D9" s="20"/>
      <c r="E9" s="20"/>
      <c r="F9" s="19"/>
      <c r="G9" s="19"/>
      <c r="H9" s="19"/>
      <c r="I9" s="19"/>
      <c r="J9" s="19"/>
      <c r="K9" s="19"/>
      <c r="L9" s="19"/>
      <c r="M9" s="19"/>
      <c r="N9" s="19"/>
      <c r="O9" s="19"/>
      <c r="P9" s="19"/>
      <c r="Q9" s="19"/>
      <c r="R9" s="19"/>
    </row>
    <row r="10" spans="1:18" ht="30" customHeight="1" x14ac:dyDescent="0.4">
      <c r="B10" s="16"/>
      <c r="C10" s="16"/>
      <c r="D10" s="8"/>
      <c r="E10" s="8"/>
      <c r="F10" s="8"/>
      <c r="G10" s="715"/>
      <c r="H10" s="715"/>
      <c r="I10" s="715"/>
      <c r="J10" s="715"/>
      <c r="K10" s="715"/>
      <c r="L10" s="715"/>
      <c r="M10" s="715"/>
      <c r="N10" s="715"/>
      <c r="O10" s="715"/>
    </row>
    <row r="11" spans="1:18" ht="16.5" customHeight="1" x14ac:dyDescent="0.3">
      <c r="B11" s="16"/>
      <c r="C11" s="16"/>
    </row>
    <row r="12" spans="1:18" ht="16.5" customHeight="1" x14ac:dyDescent="0.3">
      <c r="B12" s="16"/>
      <c r="C12" s="16"/>
    </row>
    <row r="13" spans="1:18" ht="16.5" customHeight="1" x14ac:dyDescent="0.3">
      <c r="B13" s="16"/>
      <c r="C13" s="16"/>
    </row>
    <row r="14" spans="1:18" ht="16.5" customHeight="1" x14ac:dyDescent="0.3">
      <c r="B14" s="16"/>
      <c r="C14" s="16"/>
    </row>
    <row r="15" spans="1:18" ht="16.5" customHeight="1" x14ac:dyDescent="0.3">
      <c r="B15" s="16"/>
      <c r="C15" s="16"/>
    </row>
    <row r="16" spans="1:18" ht="16.5" customHeight="1" x14ac:dyDescent="0.3">
      <c r="B16" s="16"/>
      <c r="C16" s="16"/>
    </row>
    <row r="17" spans="2:3" ht="16.5" customHeight="1" x14ac:dyDescent="0.3">
      <c r="B17" s="16"/>
      <c r="C17" s="16"/>
    </row>
    <row r="18" spans="2:3" ht="16.5" customHeight="1" x14ac:dyDescent="0.3">
      <c r="B18" s="16"/>
      <c r="C18" s="16"/>
    </row>
    <row r="19" spans="2:3" ht="16.5" customHeight="1" x14ac:dyDescent="0.3">
      <c r="B19" s="16"/>
      <c r="C19" s="16"/>
    </row>
    <row r="20" spans="2:3" ht="16.5" customHeight="1" x14ac:dyDescent="0.3">
      <c r="B20" s="16"/>
      <c r="C20" s="16"/>
    </row>
    <row r="21" spans="2:3" ht="16.5" customHeight="1" x14ac:dyDescent="0.3">
      <c r="B21" s="16"/>
      <c r="C21" s="16"/>
    </row>
    <row r="22" spans="2:3" ht="16.5" customHeight="1" x14ac:dyDescent="0.3">
      <c r="B22" s="16"/>
      <c r="C22" s="16"/>
    </row>
    <row r="23" spans="2:3" ht="16.5" customHeight="1" x14ac:dyDescent="0.3">
      <c r="B23" s="16"/>
      <c r="C23" s="16"/>
    </row>
    <row r="24" spans="2:3" ht="16.5" customHeight="1" x14ac:dyDescent="0.3">
      <c r="B24" s="16"/>
      <c r="C24" s="16"/>
    </row>
    <row r="25" spans="2:3" ht="16.5" customHeight="1" x14ac:dyDescent="0.3">
      <c r="B25" s="16"/>
      <c r="C25" s="16"/>
    </row>
    <row r="26" spans="2:3" ht="16.5" customHeight="1" x14ac:dyDescent="0.3">
      <c r="B26" s="16"/>
      <c r="C26" s="16"/>
    </row>
    <row r="27" spans="2:3" ht="16.5" customHeight="1" x14ac:dyDescent="0.3">
      <c r="B27" s="16"/>
      <c r="C27" s="16"/>
    </row>
    <row r="28" spans="2:3" ht="16.5" customHeight="1" x14ac:dyDescent="0.3">
      <c r="B28" s="16"/>
      <c r="C28" s="16"/>
    </row>
    <row r="29" spans="2:3" ht="16.5" customHeight="1" x14ac:dyDescent="0.3">
      <c r="B29" s="16"/>
      <c r="C29" s="16"/>
    </row>
    <row r="30" spans="2:3" ht="16.5" customHeight="1" x14ac:dyDescent="0.3">
      <c r="B30" s="16"/>
      <c r="C30" s="16"/>
    </row>
    <row r="31" spans="2:3" ht="16.5" customHeight="1" x14ac:dyDescent="0.3">
      <c r="B31" s="16"/>
      <c r="C31" s="16"/>
    </row>
    <row r="32" spans="2:3" ht="16.5" customHeight="1" x14ac:dyDescent="0.3">
      <c r="B32" s="16"/>
      <c r="C32" s="16"/>
    </row>
    <row r="33" spans="2:3" ht="16.5" customHeight="1" x14ac:dyDescent="0.3">
      <c r="B33" s="16"/>
      <c r="C33" s="16"/>
    </row>
    <row r="34" spans="2:3" ht="16.5" customHeight="1" x14ac:dyDescent="0.3">
      <c r="B34" s="16"/>
      <c r="C34" s="16"/>
    </row>
    <row r="35" spans="2:3" ht="16.5" customHeight="1" x14ac:dyDescent="0.3">
      <c r="B35" s="16"/>
      <c r="C35" s="16"/>
    </row>
    <row r="36" spans="2:3" ht="16.5" customHeight="1" x14ac:dyDescent="0.3">
      <c r="B36" s="16"/>
      <c r="C36" s="16"/>
    </row>
    <row r="37" spans="2:3" ht="16.5" customHeight="1" x14ac:dyDescent="0.3">
      <c r="B37" s="16"/>
      <c r="C37" s="16"/>
    </row>
    <row r="38" spans="2:3" ht="16.5" customHeight="1" x14ac:dyDescent="0.3">
      <c r="B38" s="16"/>
      <c r="C38" s="16"/>
    </row>
    <row r="39" spans="2:3" ht="16.5" customHeight="1" x14ac:dyDescent="0.3">
      <c r="B39" s="16"/>
      <c r="C39" s="16"/>
    </row>
    <row r="40" spans="2:3" ht="16.5" customHeight="1" x14ac:dyDescent="0.3">
      <c r="B40" s="16"/>
      <c r="C40" s="16"/>
    </row>
    <row r="41" spans="2:3" ht="16.5" customHeight="1" x14ac:dyDescent="0.3">
      <c r="B41" s="16"/>
      <c r="C41" s="16"/>
    </row>
    <row r="42" spans="2:3" ht="16.5" customHeight="1" x14ac:dyDescent="0.3">
      <c r="B42" s="16"/>
      <c r="C42" s="16"/>
    </row>
    <row r="43" spans="2:3" ht="16.5" customHeight="1" x14ac:dyDescent="0.3">
      <c r="B43" s="16"/>
      <c r="C43" s="16"/>
    </row>
    <row r="44" spans="2:3" ht="16.5" customHeight="1" x14ac:dyDescent="0.3">
      <c r="B44" s="16"/>
      <c r="C44" s="16"/>
    </row>
    <row r="45" spans="2:3" ht="16.5" customHeight="1" x14ac:dyDescent="0.3">
      <c r="B45" s="16"/>
      <c r="C45" s="16"/>
    </row>
    <row r="46" spans="2:3" ht="16.5" customHeight="1" x14ac:dyDescent="0.3">
      <c r="B46" s="16"/>
      <c r="C46" s="16"/>
    </row>
    <row r="47" spans="2:3" ht="16.5" customHeight="1" x14ac:dyDescent="0.3">
      <c r="B47" s="16"/>
      <c r="C47" s="16"/>
    </row>
    <row r="48" spans="2:3" ht="16.5" customHeight="1" x14ac:dyDescent="0.3">
      <c r="B48" s="16"/>
      <c r="C48" s="16"/>
    </row>
    <row r="49" spans="2:3" ht="16.5" customHeight="1" x14ac:dyDescent="0.3">
      <c r="B49" s="16"/>
      <c r="C49" s="16"/>
    </row>
    <row r="50" spans="2:3" ht="16.5" customHeight="1" x14ac:dyDescent="0.3">
      <c r="B50" s="16"/>
      <c r="C50" s="16"/>
    </row>
    <row r="51" spans="2:3" ht="16.5" customHeight="1" x14ac:dyDescent="0.3">
      <c r="B51" s="16"/>
      <c r="C51" s="16"/>
    </row>
    <row r="52" spans="2:3" ht="16.5" customHeight="1" x14ac:dyDescent="0.3">
      <c r="B52" s="16"/>
      <c r="C52" s="16"/>
    </row>
    <row r="53" spans="2:3" ht="16.5" customHeight="1" x14ac:dyDescent="0.3">
      <c r="B53" s="16"/>
      <c r="C53" s="16"/>
    </row>
    <row r="54" spans="2:3" ht="16.5" customHeight="1" x14ac:dyDescent="0.3">
      <c r="B54" s="16"/>
      <c r="C54" s="16"/>
    </row>
    <row r="55" spans="2:3" ht="16.5" customHeight="1" x14ac:dyDescent="0.3">
      <c r="B55" s="16"/>
      <c r="C55" s="16"/>
    </row>
    <row r="56" spans="2:3" ht="16.5" customHeight="1" x14ac:dyDescent="0.3">
      <c r="B56" s="16"/>
      <c r="C56" s="16"/>
    </row>
    <row r="57" spans="2:3" ht="16.5" customHeight="1" x14ac:dyDescent="0.3">
      <c r="B57" s="16"/>
      <c r="C57" s="16"/>
    </row>
    <row r="58" spans="2:3" ht="16.5" customHeight="1" x14ac:dyDescent="0.3">
      <c r="B58" s="16"/>
      <c r="C58" s="16"/>
    </row>
    <row r="59" spans="2:3" ht="16.5" customHeight="1" x14ac:dyDescent="0.3">
      <c r="B59" s="16"/>
      <c r="C59" s="16"/>
    </row>
    <row r="60" spans="2:3" ht="16.5" hidden="1" customHeight="1" x14ac:dyDescent="0.3">
      <c r="B60" s="16"/>
      <c r="C60" s="16"/>
    </row>
    <row r="61" spans="2:3" ht="16.5" hidden="1" customHeight="1" x14ac:dyDescent="0.3">
      <c r="B61" s="16"/>
      <c r="C61" s="16"/>
    </row>
    <row r="62" spans="2:3" ht="16.5" hidden="1" customHeight="1" x14ac:dyDescent="0.3">
      <c r="B62" s="16"/>
      <c r="C62" s="16"/>
    </row>
    <row r="63" spans="2:3" ht="16.5" hidden="1" customHeight="1" x14ac:dyDescent="0.3">
      <c r="B63" s="16"/>
      <c r="C63" s="16"/>
    </row>
    <row r="64" spans="2:3" ht="16.5" hidden="1" customHeight="1" x14ac:dyDescent="0.3">
      <c r="B64" s="16"/>
      <c r="C64" s="16"/>
    </row>
    <row r="65" spans="2:3" ht="16.5" hidden="1" customHeight="1" x14ac:dyDescent="0.3">
      <c r="B65" s="16"/>
      <c r="C65" s="16"/>
    </row>
    <row r="66" spans="2:3" ht="16.5" hidden="1" customHeight="1" x14ac:dyDescent="0.3">
      <c r="B66" s="16"/>
      <c r="C66" s="16"/>
    </row>
    <row r="67" spans="2:3" ht="16.5" hidden="1" customHeight="1" x14ac:dyDescent="0.3">
      <c r="B67" s="16"/>
      <c r="C67" s="16"/>
    </row>
    <row r="68" spans="2:3" ht="16.5" hidden="1" customHeight="1" x14ac:dyDescent="0.3">
      <c r="B68" s="16"/>
      <c r="C68" s="16"/>
    </row>
    <row r="69" spans="2:3" ht="16.5" hidden="1" customHeight="1" x14ac:dyDescent="0.3">
      <c r="B69" s="16"/>
      <c r="C69" s="16"/>
    </row>
    <row r="70" spans="2:3" ht="16.5" hidden="1" customHeight="1" x14ac:dyDescent="0.3">
      <c r="B70" s="16"/>
      <c r="C70" s="16"/>
    </row>
    <row r="71" spans="2:3" ht="16.5" hidden="1" customHeight="1" x14ac:dyDescent="0.3">
      <c r="B71" s="16"/>
      <c r="C71" s="16"/>
    </row>
    <row r="72" spans="2:3" ht="16.5" hidden="1" customHeight="1" x14ac:dyDescent="0.3">
      <c r="B72" s="16"/>
      <c r="C72" s="16"/>
    </row>
    <row r="73" spans="2:3" ht="16.5" hidden="1" customHeight="1" x14ac:dyDescent="0.3">
      <c r="B73" s="16"/>
      <c r="C73" s="16"/>
    </row>
    <row r="74" spans="2:3" ht="16.5" hidden="1" customHeight="1" x14ac:dyDescent="0.3">
      <c r="B74" s="16"/>
      <c r="C74" s="16"/>
    </row>
    <row r="75" spans="2:3" ht="16.5" hidden="1" customHeight="1" x14ac:dyDescent="0.3">
      <c r="B75" s="16"/>
      <c r="C75" s="16"/>
    </row>
    <row r="76" spans="2:3" ht="16.5" hidden="1" customHeight="1" x14ac:dyDescent="0.3">
      <c r="B76" s="16"/>
      <c r="C76" s="16"/>
    </row>
    <row r="77" spans="2:3" ht="16.5" hidden="1" customHeight="1" x14ac:dyDescent="0.3">
      <c r="B77" s="16"/>
      <c r="C77" s="16"/>
    </row>
    <row r="78" spans="2:3" ht="16.5" hidden="1" customHeight="1" x14ac:dyDescent="0.3">
      <c r="B78" s="16"/>
      <c r="C78" s="16"/>
    </row>
    <row r="79" spans="2:3" ht="16.5" hidden="1" customHeight="1" x14ac:dyDescent="0.3">
      <c r="B79" s="16"/>
      <c r="C79" s="16"/>
    </row>
    <row r="80" spans="2:3" ht="16.5" hidden="1" customHeight="1" x14ac:dyDescent="0.3">
      <c r="B80" s="16"/>
      <c r="C80" s="16"/>
    </row>
    <row r="81" spans="2:3" ht="16.5" hidden="1" customHeight="1" x14ac:dyDescent="0.3">
      <c r="B81" s="16"/>
      <c r="C81" s="16"/>
    </row>
    <row r="82" spans="2:3" ht="16.5" hidden="1" customHeight="1" x14ac:dyDescent="0.3">
      <c r="B82" s="16"/>
      <c r="C82" s="16"/>
    </row>
    <row r="83" spans="2:3" ht="16.5" hidden="1" customHeight="1" x14ac:dyDescent="0.3">
      <c r="B83" s="16"/>
      <c r="C83" s="16"/>
    </row>
    <row r="84" spans="2:3" ht="16.5" hidden="1" customHeight="1" x14ac:dyDescent="0.3">
      <c r="B84" s="16"/>
      <c r="C84" s="16"/>
    </row>
    <row r="85" spans="2:3" ht="16.5" hidden="1" customHeight="1" x14ac:dyDescent="0.3">
      <c r="B85" s="16"/>
      <c r="C85" s="16"/>
    </row>
    <row r="86" spans="2:3" ht="16.5" hidden="1" customHeight="1" x14ac:dyDescent="0.3">
      <c r="B86" s="16"/>
      <c r="C86" s="16"/>
    </row>
    <row r="87" spans="2:3" ht="16.5" hidden="1" customHeight="1" x14ac:dyDescent="0.3">
      <c r="B87" s="16"/>
      <c r="C87" s="16"/>
    </row>
    <row r="88" spans="2:3" ht="16.5" hidden="1" customHeight="1" x14ac:dyDescent="0.3">
      <c r="B88" s="16"/>
      <c r="C88" s="16"/>
    </row>
    <row r="89" spans="2:3" ht="16.5" hidden="1" customHeight="1" x14ac:dyDescent="0.3">
      <c r="B89" s="16"/>
      <c r="C89" s="16"/>
    </row>
    <row r="90" spans="2:3" ht="16.5" hidden="1" customHeight="1" x14ac:dyDescent="0.3">
      <c r="B90" s="16"/>
      <c r="C90" s="16"/>
    </row>
    <row r="91" spans="2:3" ht="16.5" hidden="1" customHeight="1" x14ac:dyDescent="0.3">
      <c r="B91" s="16"/>
      <c r="C91" s="16"/>
    </row>
    <row r="92" spans="2:3" ht="16.5" hidden="1" customHeight="1" x14ac:dyDescent="0.3">
      <c r="B92" s="16"/>
      <c r="C92" s="16"/>
    </row>
    <row r="93" spans="2:3" ht="16.5" hidden="1" customHeight="1" x14ac:dyDescent="0.3">
      <c r="B93" s="16"/>
      <c r="C93" s="16"/>
    </row>
    <row r="94" spans="2:3" ht="16.5" hidden="1" customHeight="1" x14ac:dyDescent="0.3">
      <c r="B94" s="16"/>
      <c r="C94" s="16"/>
    </row>
    <row r="95" spans="2:3" ht="16.5" hidden="1" customHeight="1" x14ac:dyDescent="0.3">
      <c r="B95" s="16"/>
      <c r="C95" s="16"/>
    </row>
    <row r="96" spans="2:3" ht="16.5" hidden="1" customHeight="1" x14ac:dyDescent="0.3">
      <c r="B96" s="16"/>
      <c r="C96" s="16"/>
    </row>
    <row r="97" spans="2:3" ht="16.5" hidden="1" customHeight="1" x14ac:dyDescent="0.3">
      <c r="B97" s="16"/>
      <c r="C97" s="16"/>
    </row>
    <row r="98" spans="2:3" ht="16.5" hidden="1" customHeight="1" x14ac:dyDescent="0.3">
      <c r="B98" s="16"/>
      <c r="C98" s="16"/>
    </row>
    <row r="99" spans="2:3" ht="16.5" hidden="1" customHeight="1" x14ac:dyDescent="0.3">
      <c r="B99" s="16"/>
      <c r="C99" s="16"/>
    </row>
    <row r="100" spans="2:3" ht="16.5" hidden="1" customHeight="1" x14ac:dyDescent="0.3">
      <c r="B100" s="16"/>
      <c r="C100" s="16"/>
    </row>
    <row r="101" spans="2:3" ht="16.5" hidden="1" customHeight="1" x14ac:dyDescent="0.3">
      <c r="B101" s="16"/>
      <c r="C101" s="16"/>
    </row>
    <row r="102" spans="2:3" ht="16.5" hidden="1" customHeight="1" x14ac:dyDescent="0.3">
      <c r="B102" s="16"/>
      <c r="C102" s="16"/>
    </row>
    <row r="103" spans="2:3" ht="16.5" hidden="1" customHeight="1" x14ac:dyDescent="0.3">
      <c r="B103" s="16"/>
      <c r="C103" s="16"/>
    </row>
    <row r="104" spans="2:3" ht="16.5" hidden="1" customHeight="1" x14ac:dyDescent="0.3">
      <c r="B104" s="16"/>
      <c r="C104" s="16"/>
    </row>
    <row r="105" spans="2:3" ht="16.5" hidden="1" customHeight="1" x14ac:dyDescent="0.3">
      <c r="B105" s="16"/>
      <c r="C105" s="16"/>
    </row>
    <row r="106" spans="2:3" ht="16.5" hidden="1" customHeight="1" x14ac:dyDescent="0.3">
      <c r="B106" s="16"/>
      <c r="C106" s="16"/>
    </row>
    <row r="107" spans="2:3" ht="16.5" hidden="1" customHeight="1" x14ac:dyDescent="0.3">
      <c r="B107" s="16"/>
      <c r="C107" s="16"/>
    </row>
    <row r="108" spans="2:3" ht="16.5" hidden="1" customHeight="1" x14ac:dyDescent="0.3">
      <c r="B108" s="16"/>
      <c r="C108" s="16"/>
    </row>
    <row r="109" spans="2:3" ht="16.5" hidden="1" customHeight="1" x14ac:dyDescent="0.3">
      <c r="B109" s="16"/>
      <c r="C109" s="16"/>
    </row>
    <row r="110" spans="2:3" ht="16.5" hidden="1" customHeight="1" x14ac:dyDescent="0.3">
      <c r="B110" s="16"/>
      <c r="C110" s="16"/>
    </row>
    <row r="111" spans="2:3" ht="16.5" hidden="1" customHeight="1" x14ac:dyDescent="0.3">
      <c r="B111" s="16"/>
      <c r="C111" s="16"/>
    </row>
    <row r="112" spans="2:3" ht="16.5" hidden="1" customHeight="1" x14ac:dyDescent="0.3">
      <c r="B112" s="16"/>
      <c r="C112" s="16"/>
    </row>
    <row r="113" spans="2:3" ht="16.5" hidden="1" customHeight="1" x14ac:dyDescent="0.3">
      <c r="B113" s="16"/>
      <c r="C113" s="16"/>
    </row>
    <row r="114" spans="2:3" ht="16.5" hidden="1" customHeight="1" x14ac:dyDescent="0.3">
      <c r="B114" s="16"/>
      <c r="C114" s="16"/>
    </row>
    <row r="115" spans="2:3" ht="16.5" hidden="1" customHeight="1" x14ac:dyDescent="0.3">
      <c r="B115" s="16"/>
      <c r="C115" s="16"/>
    </row>
    <row r="116" spans="2:3" ht="16.5" hidden="1" customHeight="1" x14ac:dyDescent="0.3">
      <c r="B116" s="16"/>
      <c r="C116" s="16"/>
    </row>
    <row r="117" spans="2:3" ht="16.5" hidden="1" customHeight="1" x14ac:dyDescent="0.3">
      <c r="B117" s="16"/>
      <c r="C117" s="16"/>
    </row>
    <row r="118" spans="2:3" ht="16.5" hidden="1" customHeight="1" x14ac:dyDescent="0.3">
      <c r="B118" s="16"/>
      <c r="C118" s="16"/>
    </row>
    <row r="119" spans="2:3" ht="16.5" hidden="1" customHeight="1" x14ac:dyDescent="0.3">
      <c r="B119" s="16"/>
      <c r="C119" s="16"/>
    </row>
    <row r="120" spans="2:3" ht="16.5" hidden="1" customHeight="1" x14ac:dyDescent="0.3">
      <c r="B120" s="16"/>
      <c r="C120" s="16"/>
    </row>
    <row r="121" spans="2:3" ht="16.5" hidden="1" customHeight="1" x14ac:dyDescent="0.3">
      <c r="B121" s="16"/>
      <c r="C121" s="16"/>
    </row>
    <row r="122" spans="2:3" ht="16.5" hidden="1" customHeight="1" x14ac:dyDescent="0.3">
      <c r="B122" s="16"/>
      <c r="C122" s="16"/>
    </row>
    <row r="123" spans="2:3" ht="16.5" hidden="1" customHeight="1" x14ac:dyDescent="0.3">
      <c r="B123" s="16"/>
      <c r="C123" s="16"/>
    </row>
    <row r="124" spans="2:3" ht="16.5" hidden="1" customHeight="1" x14ac:dyDescent="0.3">
      <c r="B124" s="16"/>
      <c r="C124" s="16"/>
    </row>
    <row r="125" spans="2:3" ht="16.5" hidden="1" customHeight="1" x14ac:dyDescent="0.3">
      <c r="B125" s="16"/>
      <c r="C125" s="16"/>
    </row>
    <row r="126" spans="2:3" ht="16.5" hidden="1" customHeight="1" x14ac:dyDescent="0.3">
      <c r="B126" s="16"/>
      <c r="C126" s="16"/>
    </row>
    <row r="127" spans="2:3" ht="16.5" hidden="1" customHeight="1" x14ac:dyDescent="0.3">
      <c r="B127" s="16"/>
      <c r="C127" s="16"/>
    </row>
    <row r="128" spans="2:3" ht="16.5" hidden="1" customHeight="1" x14ac:dyDescent="0.3">
      <c r="B128" s="16"/>
      <c r="C128" s="16"/>
    </row>
    <row r="129" spans="2:3" ht="16.5" hidden="1" customHeight="1" x14ac:dyDescent="0.3">
      <c r="B129" s="16"/>
      <c r="C129" s="16"/>
    </row>
    <row r="130" spans="2:3" ht="16.5" hidden="1" customHeight="1" x14ac:dyDescent="0.3">
      <c r="B130" s="16"/>
      <c r="C130" s="16"/>
    </row>
    <row r="131" spans="2:3" ht="16.5" hidden="1" customHeight="1" x14ac:dyDescent="0.3">
      <c r="B131" s="16"/>
      <c r="C131" s="16"/>
    </row>
    <row r="132" spans="2:3" ht="16.5" hidden="1" customHeight="1" x14ac:dyDescent="0.3">
      <c r="B132" s="16"/>
      <c r="C132" s="16"/>
    </row>
    <row r="133" spans="2:3" ht="16.5" hidden="1" customHeight="1" x14ac:dyDescent="0.3">
      <c r="B133" s="16"/>
      <c r="C133" s="16"/>
    </row>
    <row r="134" spans="2:3" ht="16.5" hidden="1" customHeight="1" x14ac:dyDescent="0.3">
      <c r="B134" s="16"/>
      <c r="C134" s="16"/>
    </row>
    <row r="135" spans="2:3" ht="16.5" hidden="1" customHeight="1" x14ac:dyDescent="0.3">
      <c r="B135" s="16"/>
      <c r="C135" s="16"/>
    </row>
    <row r="136" spans="2:3" ht="16.5" hidden="1" customHeight="1" x14ac:dyDescent="0.3">
      <c r="B136" s="16"/>
      <c r="C136" s="16"/>
    </row>
    <row r="137" spans="2:3" ht="16.5" hidden="1" customHeight="1" x14ac:dyDescent="0.3">
      <c r="B137" s="16"/>
      <c r="C137" s="16"/>
    </row>
    <row r="138" spans="2:3" ht="16.5" hidden="1" customHeight="1" x14ac:dyDescent="0.3">
      <c r="B138" s="16"/>
      <c r="C138" s="16"/>
    </row>
    <row r="139" spans="2:3" ht="16.5" hidden="1" customHeight="1" x14ac:dyDescent="0.3">
      <c r="B139" s="16"/>
      <c r="C139" s="16"/>
    </row>
    <row r="140" spans="2:3" ht="16.5" hidden="1" customHeight="1" x14ac:dyDescent="0.3">
      <c r="B140" s="16"/>
      <c r="C140" s="16"/>
    </row>
    <row r="141" spans="2:3" ht="16.5" hidden="1" customHeight="1" x14ac:dyDescent="0.3">
      <c r="B141" s="16"/>
      <c r="C141" s="16"/>
    </row>
    <row r="142" spans="2:3" ht="16.5" hidden="1" customHeight="1" x14ac:dyDescent="0.3">
      <c r="B142" s="16"/>
      <c r="C142" s="16"/>
    </row>
    <row r="143" spans="2:3" ht="16.5" hidden="1" customHeight="1" x14ac:dyDescent="0.3">
      <c r="B143" s="16"/>
      <c r="C143" s="16"/>
    </row>
    <row r="144" spans="2:3" ht="16.5" hidden="1" customHeight="1" x14ac:dyDescent="0.3">
      <c r="B144" s="16"/>
      <c r="C144" s="16"/>
    </row>
    <row r="145" spans="2:3" ht="16.5" hidden="1" customHeight="1" x14ac:dyDescent="0.3">
      <c r="B145" s="16"/>
      <c r="C145" s="16"/>
    </row>
    <row r="146" spans="2:3" ht="16.5" hidden="1" customHeight="1" x14ac:dyDescent="0.3">
      <c r="B146" s="16"/>
      <c r="C146" s="16"/>
    </row>
    <row r="147" spans="2:3" ht="16.5" hidden="1" customHeight="1" x14ac:dyDescent="0.3">
      <c r="B147" s="16"/>
      <c r="C147" s="16"/>
    </row>
    <row r="148" spans="2:3" ht="16.5" hidden="1" customHeight="1" x14ac:dyDescent="0.3">
      <c r="B148" s="16"/>
      <c r="C148" s="16"/>
    </row>
    <row r="149" spans="2:3" ht="16.5" hidden="1" customHeight="1" x14ac:dyDescent="0.3">
      <c r="B149" s="16"/>
      <c r="C149" s="16"/>
    </row>
    <row r="150" spans="2:3" ht="16.5" hidden="1" customHeight="1" x14ac:dyDescent="0.3">
      <c r="B150" s="16"/>
      <c r="C150" s="16"/>
    </row>
    <row r="151" spans="2:3" ht="16.5" hidden="1" customHeight="1" x14ac:dyDescent="0.3">
      <c r="B151" s="16"/>
      <c r="C151" s="16"/>
    </row>
    <row r="152" spans="2:3" ht="16.5" hidden="1" customHeight="1" x14ac:dyDescent="0.3">
      <c r="B152" s="16"/>
      <c r="C152" s="16"/>
    </row>
    <row r="153" spans="2:3" ht="16.5" hidden="1" customHeight="1" x14ac:dyDescent="0.3">
      <c r="B153" s="16"/>
      <c r="C153" s="16"/>
    </row>
    <row r="154" spans="2:3" ht="16.5" hidden="1" customHeight="1" x14ac:dyDescent="0.3">
      <c r="B154" s="16"/>
      <c r="C154" s="16"/>
    </row>
    <row r="155" spans="2:3" ht="16.5" hidden="1" customHeight="1" x14ac:dyDescent="0.3">
      <c r="B155" s="16"/>
      <c r="C155" s="16"/>
    </row>
    <row r="156" spans="2:3" ht="16.5" hidden="1" customHeight="1" x14ac:dyDescent="0.3">
      <c r="B156" s="16"/>
      <c r="C156" s="16"/>
    </row>
    <row r="157" spans="2:3" ht="16.5" hidden="1" customHeight="1" x14ac:dyDescent="0.3">
      <c r="B157" s="16"/>
      <c r="C157" s="16"/>
    </row>
    <row r="158" spans="2:3" ht="16.5" hidden="1" customHeight="1" x14ac:dyDescent="0.3">
      <c r="B158" s="16"/>
      <c r="C158" s="16"/>
    </row>
    <row r="159" spans="2:3" ht="16.5" hidden="1" customHeight="1" x14ac:dyDescent="0.3">
      <c r="B159" s="16"/>
      <c r="C159" s="16"/>
    </row>
    <row r="160" spans="2:3" ht="16.5" hidden="1" customHeight="1" x14ac:dyDescent="0.3">
      <c r="B160" s="16"/>
      <c r="C160" s="16"/>
    </row>
    <row r="161" spans="2:3" ht="16.5" hidden="1" customHeight="1" x14ac:dyDescent="0.3">
      <c r="B161" s="16"/>
      <c r="C161" s="16"/>
    </row>
    <row r="162" spans="2:3" ht="16.5" hidden="1" customHeight="1" x14ac:dyDescent="0.3">
      <c r="B162" s="16"/>
      <c r="C162" s="16"/>
    </row>
    <row r="163" spans="2:3" ht="16.5" hidden="1" customHeight="1" x14ac:dyDescent="0.3">
      <c r="B163" s="16"/>
      <c r="C163" s="16"/>
    </row>
    <row r="164" spans="2:3" ht="16.5" hidden="1" customHeight="1" x14ac:dyDescent="0.3">
      <c r="B164" s="16"/>
      <c r="C164" s="16"/>
    </row>
    <row r="165" spans="2:3" ht="16.5" hidden="1" customHeight="1" x14ac:dyDescent="0.3">
      <c r="B165" s="16"/>
      <c r="C165" s="16"/>
    </row>
    <row r="166" spans="2:3" ht="16.5" hidden="1" customHeight="1" x14ac:dyDescent="0.3">
      <c r="B166" s="16"/>
      <c r="C166" s="16"/>
    </row>
    <row r="167" spans="2:3" ht="16.5" hidden="1" customHeight="1" x14ac:dyDescent="0.3">
      <c r="B167" s="16"/>
      <c r="C167" s="16"/>
    </row>
    <row r="168" spans="2:3" ht="16.5" hidden="1" customHeight="1" x14ac:dyDescent="0.3">
      <c r="B168" s="16"/>
      <c r="C168" s="16"/>
    </row>
    <row r="169" spans="2:3" ht="16.5" hidden="1" customHeight="1" x14ac:dyDescent="0.3">
      <c r="B169" s="16"/>
      <c r="C169" s="16"/>
    </row>
    <row r="170" spans="2:3" ht="16.5" hidden="1" customHeight="1" x14ac:dyDescent="0.3">
      <c r="B170" s="16"/>
      <c r="C170" s="16"/>
    </row>
    <row r="171" spans="2:3" ht="16.5" hidden="1" customHeight="1" x14ac:dyDescent="0.3">
      <c r="B171" s="16"/>
      <c r="C171" s="16"/>
    </row>
    <row r="172" spans="2:3" ht="16.5" hidden="1" customHeight="1" x14ac:dyDescent="0.3">
      <c r="B172" s="16"/>
      <c r="C172" s="16"/>
    </row>
    <row r="173" spans="2:3" ht="16.5" hidden="1" customHeight="1" x14ac:dyDescent="0.3">
      <c r="B173" s="16"/>
      <c r="C173" s="16"/>
    </row>
    <row r="174" spans="2:3" ht="16.5" hidden="1" customHeight="1" x14ac:dyDescent="0.3">
      <c r="B174" s="16"/>
      <c r="C174" s="16"/>
    </row>
    <row r="175" spans="2:3" ht="16.5" hidden="1" customHeight="1" x14ac:dyDescent="0.3">
      <c r="B175" s="16"/>
      <c r="C175" s="16"/>
    </row>
    <row r="176" spans="2:3" ht="16.5" hidden="1" customHeight="1" x14ac:dyDescent="0.3">
      <c r="B176" s="16"/>
      <c r="C176" s="16"/>
    </row>
    <row r="177" spans="2:3" ht="16.5" hidden="1" customHeight="1" x14ac:dyDescent="0.3">
      <c r="B177" s="16"/>
      <c r="C177" s="16"/>
    </row>
    <row r="178" spans="2:3" ht="16.5" hidden="1" customHeight="1" x14ac:dyDescent="0.3">
      <c r="B178" s="16"/>
      <c r="C178" s="16"/>
    </row>
    <row r="179" spans="2:3" ht="16.5" hidden="1" customHeight="1" x14ac:dyDescent="0.3">
      <c r="B179" s="16"/>
      <c r="C179" s="16"/>
    </row>
    <row r="180" spans="2:3" ht="16.5" hidden="1" customHeight="1" x14ac:dyDescent="0.3">
      <c r="B180" s="16"/>
      <c r="C180" s="16"/>
    </row>
    <row r="181" spans="2:3" ht="16.5" hidden="1" customHeight="1" x14ac:dyDescent="0.3">
      <c r="B181" s="16"/>
      <c r="C181" s="16"/>
    </row>
    <row r="182" spans="2:3" ht="16.5" hidden="1" customHeight="1" x14ac:dyDescent="0.3">
      <c r="B182" s="16"/>
      <c r="C182" s="16"/>
    </row>
    <row r="183" spans="2:3" ht="16.5" hidden="1" customHeight="1" x14ac:dyDescent="0.3">
      <c r="B183" s="16"/>
      <c r="C183" s="16"/>
    </row>
    <row r="184" spans="2:3" ht="16.5" hidden="1" customHeight="1" x14ac:dyDescent="0.3">
      <c r="B184" s="16"/>
      <c r="C184" s="16"/>
    </row>
    <row r="185" spans="2:3" ht="16.5" hidden="1" customHeight="1" x14ac:dyDescent="0.3">
      <c r="B185" s="16"/>
      <c r="C185" s="16"/>
    </row>
    <row r="186" spans="2:3" ht="16.5" hidden="1" customHeight="1" x14ac:dyDescent="0.3">
      <c r="B186" s="16"/>
      <c r="C186" s="16"/>
    </row>
    <row r="187" spans="2:3" ht="16.5" hidden="1" customHeight="1" x14ac:dyDescent="0.3">
      <c r="B187" s="16"/>
      <c r="C187" s="16"/>
    </row>
    <row r="188" spans="2:3" ht="16.5" hidden="1" customHeight="1" x14ac:dyDescent="0.3">
      <c r="B188" s="16"/>
      <c r="C188" s="16"/>
    </row>
    <row r="189" spans="2:3" ht="16.5" hidden="1" customHeight="1" x14ac:dyDescent="0.3">
      <c r="B189" s="16"/>
      <c r="C189" s="16"/>
    </row>
    <row r="190" spans="2:3" ht="16.5" hidden="1" customHeight="1" x14ac:dyDescent="0.3">
      <c r="B190" s="16"/>
      <c r="C190" s="16"/>
    </row>
    <row r="191" spans="2:3" ht="16.5" hidden="1" customHeight="1" x14ac:dyDescent="0.3">
      <c r="B191" s="16"/>
      <c r="C191" s="16"/>
    </row>
    <row r="192" spans="2:3" ht="16.5" hidden="1" customHeight="1" x14ac:dyDescent="0.3">
      <c r="B192" s="16"/>
      <c r="C192" s="16"/>
    </row>
    <row r="193" spans="2:3" ht="16.5" hidden="1" customHeight="1" x14ac:dyDescent="0.3">
      <c r="B193" s="16"/>
      <c r="C193" s="16"/>
    </row>
    <row r="194" spans="2:3" ht="16.5" hidden="1" customHeight="1" x14ac:dyDescent="0.3">
      <c r="B194" s="16"/>
      <c r="C194" s="16"/>
    </row>
    <row r="195" spans="2:3" ht="16.5" hidden="1" customHeight="1" x14ac:dyDescent="0.3">
      <c r="B195" s="16"/>
      <c r="C195" s="16"/>
    </row>
    <row r="196" spans="2:3" ht="16.5" hidden="1" customHeight="1" x14ac:dyDescent="0.3">
      <c r="B196" s="16"/>
      <c r="C196" s="16"/>
    </row>
    <row r="197" spans="2:3" ht="16.5" hidden="1" customHeight="1" x14ac:dyDescent="0.3">
      <c r="B197" s="16"/>
      <c r="C197" s="16"/>
    </row>
    <row r="198" spans="2:3" ht="16.5" hidden="1" customHeight="1" x14ac:dyDescent="0.3">
      <c r="B198" s="16"/>
      <c r="C198" s="16"/>
    </row>
    <row r="199" spans="2:3" ht="16.5" hidden="1" customHeight="1" x14ac:dyDescent="0.3">
      <c r="B199" s="16"/>
      <c r="C199" s="16"/>
    </row>
    <row r="200" spans="2:3" ht="16.5" hidden="1" customHeight="1" x14ac:dyDescent="0.3">
      <c r="B200" s="16"/>
      <c r="C200" s="16"/>
    </row>
    <row r="201" spans="2:3" ht="16.5" hidden="1" customHeight="1" x14ac:dyDescent="0.3">
      <c r="B201" s="16"/>
      <c r="C201" s="16"/>
    </row>
    <row r="202" spans="2:3" ht="16.5" hidden="1" customHeight="1" x14ac:dyDescent="0.3">
      <c r="B202" s="16"/>
      <c r="C202" s="16"/>
    </row>
    <row r="203" spans="2:3" ht="16.5" hidden="1" customHeight="1" x14ac:dyDescent="0.3">
      <c r="B203" s="16"/>
      <c r="C203" s="16"/>
    </row>
    <row r="204" spans="2:3" ht="16.5" hidden="1" customHeight="1" x14ac:dyDescent="0.3">
      <c r="B204" s="16"/>
      <c r="C204" s="16"/>
    </row>
    <row r="205" spans="2:3" ht="16.5" hidden="1" customHeight="1" x14ac:dyDescent="0.3">
      <c r="B205" s="16"/>
      <c r="C205" s="16"/>
    </row>
    <row r="206" spans="2:3" ht="16.5" hidden="1" customHeight="1" x14ac:dyDescent="0.3">
      <c r="B206" s="16"/>
      <c r="C206" s="16"/>
    </row>
    <row r="207" spans="2:3" ht="16.5" hidden="1" customHeight="1" x14ac:dyDescent="0.3">
      <c r="B207" s="16"/>
      <c r="C207" s="16"/>
    </row>
    <row r="208" spans="2:3" ht="16.5" hidden="1" customHeight="1" x14ac:dyDescent="0.3">
      <c r="B208" s="16"/>
      <c r="C208" s="16"/>
    </row>
    <row r="209" spans="2:3" ht="16.5" hidden="1" customHeight="1" x14ac:dyDescent="0.3">
      <c r="B209" s="16"/>
      <c r="C209" s="16"/>
    </row>
    <row r="210" spans="2:3" ht="16.5" hidden="1" customHeight="1" x14ac:dyDescent="0.3">
      <c r="B210" s="16"/>
      <c r="C210" s="16"/>
    </row>
    <row r="211" spans="2:3" ht="16.5" hidden="1" customHeight="1" x14ac:dyDescent="0.3">
      <c r="B211" s="16"/>
      <c r="C211" s="16"/>
    </row>
    <row r="212" spans="2:3" ht="16.5" hidden="1" customHeight="1" x14ac:dyDescent="0.3">
      <c r="B212" s="16"/>
      <c r="C212" s="16"/>
    </row>
    <row r="213" spans="2:3" ht="16.5" hidden="1" customHeight="1" x14ac:dyDescent="0.3">
      <c r="B213" s="16"/>
      <c r="C213" s="16"/>
    </row>
    <row r="214" spans="2:3" ht="16.5" hidden="1" customHeight="1" x14ac:dyDescent="0.3">
      <c r="B214" s="16"/>
      <c r="C214" s="16"/>
    </row>
    <row r="215" spans="2:3" ht="16.5" hidden="1" customHeight="1" x14ac:dyDescent="0.3">
      <c r="B215" s="16"/>
      <c r="C215" s="16"/>
    </row>
    <row r="216" spans="2:3" ht="16.5" hidden="1" customHeight="1" x14ac:dyDescent="0.3">
      <c r="B216" s="16"/>
      <c r="C216" s="16"/>
    </row>
    <row r="217" spans="2:3" ht="16.5" hidden="1" customHeight="1" x14ac:dyDescent="0.3">
      <c r="B217" s="16"/>
      <c r="C217" s="16"/>
    </row>
    <row r="218" spans="2:3" ht="16.5" hidden="1" customHeight="1" x14ac:dyDescent="0.3">
      <c r="B218" s="16"/>
      <c r="C218" s="16"/>
    </row>
    <row r="219" spans="2:3" ht="16.5" hidden="1" customHeight="1" x14ac:dyDescent="0.3">
      <c r="B219" s="16"/>
      <c r="C219" s="16"/>
    </row>
    <row r="220" spans="2:3" ht="16.5" hidden="1" customHeight="1" x14ac:dyDescent="0.3">
      <c r="B220" s="16"/>
      <c r="C220" s="16"/>
    </row>
    <row r="221" spans="2:3" ht="16.5" hidden="1" customHeight="1" x14ac:dyDescent="0.3">
      <c r="B221" s="16"/>
      <c r="C221" s="16"/>
    </row>
    <row r="222" spans="2:3" ht="16.5" hidden="1" customHeight="1" x14ac:dyDescent="0.3">
      <c r="B222" s="16"/>
      <c r="C222" s="16"/>
    </row>
    <row r="223" spans="2:3" ht="16.5" hidden="1" customHeight="1" x14ac:dyDescent="0.3">
      <c r="B223" s="16"/>
      <c r="C223" s="16"/>
    </row>
    <row r="224" spans="2:3" ht="16.5" hidden="1" customHeight="1" x14ac:dyDescent="0.3">
      <c r="B224" s="16"/>
      <c r="C224" s="16"/>
    </row>
    <row r="225" spans="2:3" ht="16.5" hidden="1" customHeight="1" x14ac:dyDescent="0.3">
      <c r="B225" s="16"/>
      <c r="C225" s="16"/>
    </row>
    <row r="226" spans="2:3" ht="16.5" hidden="1" customHeight="1" x14ac:dyDescent="0.3">
      <c r="B226" s="16"/>
      <c r="C226" s="16"/>
    </row>
    <row r="227" spans="2:3" ht="16.5" hidden="1" customHeight="1" x14ac:dyDescent="0.3">
      <c r="B227" s="16"/>
      <c r="C227" s="16"/>
    </row>
    <row r="228" spans="2:3" ht="16.5" hidden="1" customHeight="1" x14ac:dyDescent="0.3">
      <c r="B228" s="16"/>
      <c r="C228" s="16"/>
    </row>
    <row r="229" spans="2:3" ht="16.5" hidden="1" customHeight="1" x14ac:dyDescent="0.3">
      <c r="B229" s="16"/>
      <c r="C229" s="16"/>
    </row>
    <row r="230" spans="2:3" ht="16.5" hidden="1" customHeight="1" x14ac:dyDescent="0.3">
      <c r="B230" s="16"/>
      <c r="C230" s="16"/>
    </row>
    <row r="231" spans="2:3" ht="16.5" hidden="1" customHeight="1" x14ac:dyDescent="0.3">
      <c r="B231" s="16"/>
      <c r="C231" s="16"/>
    </row>
    <row r="232" spans="2:3" ht="16.5" hidden="1" customHeight="1" x14ac:dyDescent="0.3">
      <c r="B232" s="16"/>
      <c r="C232" s="16"/>
    </row>
    <row r="233" spans="2:3" ht="16.5" hidden="1" customHeight="1" x14ac:dyDescent="0.3">
      <c r="B233" s="16"/>
      <c r="C233" s="16"/>
    </row>
    <row r="234" spans="2:3" ht="16.5" hidden="1" customHeight="1" x14ac:dyDescent="0.3">
      <c r="B234" s="16"/>
      <c r="C234" s="16"/>
    </row>
    <row r="235" spans="2:3" ht="16.5" hidden="1" customHeight="1" x14ac:dyDescent="0.3">
      <c r="B235" s="16"/>
      <c r="C235" s="16"/>
    </row>
    <row r="236" spans="2:3" ht="16.5" hidden="1" customHeight="1" x14ac:dyDescent="0.3">
      <c r="B236" s="16"/>
      <c r="C236" s="16"/>
    </row>
    <row r="237" spans="2:3" ht="16.5" hidden="1" customHeight="1" x14ac:dyDescent="0.3">
      <c r="B237" s="16"/>
      <c r="C237" s="16"/>
    </row>
    <row r="238" spans="2:3" ht="16.5" hidden="1" customHeight="1" x14ac:dyDescent="0.3">
      <c r="B238" s="16"/>
      <c r="C238" s="16"/>
    </row>
    <row r="239" spans="2:3" ht="16.5" hidden="1" customHeight="1" x14ac:dyDescent="0.3">
      <c r="B239" s="16"/>
      <c r="C239" s="16"/>
    </row>
    <row r="240" spans="2:3" ht="16.5" hidden="1" customHeight="1" x14ac:dyDescent="0.3">
      <c r="B240" s="16"/>
      <c r="C240" s="16"/>
    </row>
    <row r="241" spans="2:3" ht="16.5" hidden="1" customHeight="1" x14ac:dyDescent="0.3">
      <c r="B241" s="16"/>
      <c r="C241" s="16"/>
    </row>
    <row r="242" spans="2:3" ht="16.5" hidden="1" customHeight="1" x14ac:dyDescent="0.3">
      <c r="B242" s="16"/>
      <c r="C242" s="16"/>
    </row>
    <row r="243" spans="2:3" ht="16.5" hidden="1" customHeight="1" x14ac:dyDescent="0.3">
      <c r="B243" s="16"/>
      <c r="C243" s="16"/>
    </row>
    <row r="244" spans="2:3" ht="16.5" hidden="1" customHeight="1" x14ac:dyDescent="0.3">
      <c r="B244" s="16"/>
      <c r="C244" s="16"/>
    </row>
    <row r="245" spans="2:3" ht="16.5" hidden="1" customHeight="1" x14ac:dyDescent="0.3">
      <c r="B245" s="16"/>
      <c r="C245" s="16"/>
    </row>
    <row r="246" spans="2:3" ht="16.5" hidden="1" customHeight="1" x14ac:dyDescent="0.3">
      <c r="B246" s="16"/>
      <c r="C246" s="16"/>
    </row>
    <row r="247" spans="2:3" ht="16.5" hidden="1" customHeight="1" x14ac:dyDescent="0.3">
      <c r="B247" s="16"/>
      <c r="C247" s="16"/>
    </row>
    <row r="248" spans="2:3" ht="16.5" hidden="1" customHeight="1" x14ac:dyDescent="0.3">
      <c r="B248" s="16"/>
      <c r="C248" s="16"/>
    </row>
    <row r="249" spans="2:3" ht="16.5" hidden="1" customHeight="1" x14ac:dyDescent="0.3">
      <c r="B249" s="16"/>
      <c r="C249" s="16"/>
    </row>
    <row r="250" spans="2:3" ht="16.5" hidden="1" customHeight="1" x14ac:dyDescent="0.3">
      <c r="B250" s="16"/>
      <c r="C250" s="16"/>
    </row>
    <row r="251" spans="2:3" ht="16.5" hidden="1" customHeight="1" x14ac:dyDescent="0.3">
      <c r="B251" s="16"/>
      <c r="C251" s="16"/>
    </row>
    <row r="252" spans="2:3" ht="16.5" hidden="1" customHeight="1" x14ac:dyDescent="0.3">
      <c r="B252" s="16"/>
      <c r="C252" s="16"/>
    </row>
    <row r="253" spans="2:3" ht="16.5" hidden="1" customHeight="1" x14ac:dyDescent="0.3">
      <c r="B253" s="16"/>
      <c r="C253" s="16"/>
    </row>
    <row r="254" spans="2:3" ht="16.5" hidden="1" customHeight="1" x14ac:dyDescent="0.3">
      <c r="B254" s="16"/>
      <c r="C254" s="16"/>
    </row>
    <row r="255" spans="2:3" ht="16.5" hidden="1" customHeight="1" x14ac:dyDescent="0.3">
      <c r="B255" s="16"/>
      <c r="C255" s="16"/>
    </row>
    <row r="256" spans="2:3" ht="16.5" hidden="1" customHeight="1" x14ac:dyDescent="0.3">
      <c r="B256" s="16"/>
      <c r="C256" s="16"/>
    </row>
    <row r="257" spans="2:3" ht="16.5" hidden="1" customHeight="1" x14ac:dyDescent="0.3">
      <c r="B257" s="16"/>
      <c r="C257" s="16"/>
    </row>
    <row r="258" spans="2:3" ht="16.5" hidden="1" customHeight="1" x14ac:dyDescent="0.3">
      <c r="B258" s="16"/>
      <c r="C258" s="16"/>
    </row>
    <row r="259" spans="2:3" ht="16.5" hidden="1" customHeight="1" x14ac:dyDescent="0.3">
      <c r="B259" s="16"/>
      <c r="C259" s="16"/>
    </row>
    <row r="260" spans="2:3" ht="16.5" hidden="1" customHeight="1" x14ac:dyDescent="0.3">
      <c r="B260" s="16"/>
      <c r="C260" s="16"/>
    </row>
    <row r="261" spans="2:3" ht="16.5" hidden="1" customHeight="1" x14ac:dyDescent="0.3">
      <c r="B261" s="16"/>
      <c r="C261" s="16"/>
    </row>
    <row r="262" spans="2:3" ht="16.5" hidden="1" customHeight="1" x14ac:dyDescent="0.3">
      <c r="B262" s="16"/>
      <c r="C262" s="16"/>
    </row>
    <row r="263" spans="2:3" ht="16.5" hidden="1" customHeight="1" x14ac:dyDescent="0.3">
      <c r="B263" s="16"/>
      <c r="C263" s="16"/>
    </row>
    <row r="264" spans="2:3" ht="16.5" hidden="1" customHeight="1" x14ac:dyDescent="0.3">
      <c r="B264" s="16"/>
      <c r="C264" s="16"/>
    </row>
    <row r="265" spans="2:3" ht="16.5" hidden="1" customHeight="1" x14ac:dyDescent="0.3">
      <c r="B265" s="16"/>
      <c r="C265" s="16"/>
    </row>
    <row r="266" spans="2:3" ht="16.5" hidden="1" customHeight="1" x14ac:dyDescent="0.3">
      <c r="B266" s="16"/>
      <c r="C266" s="16"/>
    </row>
    <row r="267" spans="2:3" ht="16.5" hidden="1" customHeight="1" x14ac:dyDescent="0.3">
      <c r="B267" s="16"/>
      <c r="C267" s="16"/>
    </row>
    <row r="268" spans="2:3" ht="16.5" hidden="1" customHeight="1" x14ac:dyDescent="0.3">
      <c r="B268" s="16"/>
      <c r="C268" s="16"/>
    </row>
    <row r="269" spans="2:3" ht="16.5" hidden="1" customHeight="1" x14ac:dyDescent="0.3">
      <c r="B269" s="16"/>
      <c r="C269" s="16"/>
    </row>
    <row r="270" spans="2:3" ht="16.5" hidden="1" customHeight="1" x14ac:dyDescent="0.3">
      <c r="B270" s="16"/>
      <c r="C270" s="16"/>
    </row>
    <row r="271" spans="2:3" ht="16.5" hidden="1" customHeight="1" x14ac:dyDescent="0.3">
      <c r="B271" s="16"/>
      <c r="C271" s="16"/>
    </row>
    <row r="272" spans="2:3" ht="16.5" hidden="1" customHeight="1" x14ac:dyDescent="0.3">
      <c r="B272" s="16"/>
      <c r="C272" s="16"/>
    </row>
    <row r="273" spans="2:3" ht="16.5" hidden="1" customHeight="1" x14ac:dyDescent="0.3">
      <c r="B273" s="16"/>
      <c r="C273" s="16"/>
    </row>
    <row r="274" spans="2:3" ht="16.5" hidden="1" customHeight="1" x14ac:dyDescent="0.3">
      <c r="B274" s="16"/>
      <c r="C274" s="16"/>
    </row>
    <row r="275" spans="2:3" ht="16.5" hidden="1" customHeight="1" x14ac:dyDescent="0.3">
      <c r="B275" s="16"/>
      <c r="C275" s="16"/>
    </row>
    <row r="276" spans="2:3" ht="16.5" hidden="1" customHeight="1" x14ac:dyDescent="0.3">
      <c r="B276" s="16"/>
      <c r="C276" s="16"/>
    </row>
    <row r="277" spans="2:3" ht="16.5" hidden="1" customHeight="1" x14ac:dyDescent="0.3">
      <c r="B277" s="16"/>
      <c r="C277" s="16"/>
    </row>
    <row r="278" spans="2:3" ht="16.5" hidden="1" customHeight="1" x14ac:dyDescent="0.3">
      <c r="B278" s="16"/>
      <c r="C278" s="16"/>
    </row>
    <row r="279" spans="2:3" ht="16.5" hidden="1" customHeight="1" x14ac:dyDescent="0.3">
      <c r="B279" s="16"/>
      <c r="C279" s="16"/>
    </row>
    <row r="280" spans="2:3" ht="16.5" hidden="1" customHeight="1" x14ac:dyDescent="0.3">
      <c r="B280" s="16"/>
      <c r="C280" s="16"/>
    </row>
    <row r="281" spans="2:3" ht="16.5" hidden="1" customHeight="1" x14ac:dyDescent="0.3">
      <c r="B281" s="16"/>
      <c r="C281" s="16"/>
    </row>
    <row r="282" spans="2:3" ht="16.5" hidden="1" customHeight="1" x14ac:dyDescent="0.3">
      <c r="B282" s="16"/>
      <c r="C282" s="16"/>
    </row>
    <row r="283" spans="2:3" ht="16.5" hidden="1" customHeight="1" x14ac:dyDescent="0.3">
      <c r="B283" s="16"/>
      <c r="C283" s="16"/>
    </row>
    <row r="284" spans="2:3" ht="16.5" hidden="1" customHeight="1" x14ac:dyDescent="0.3">
      <c r="B284" s="16"/>
      <c r="C284" s="16"/>
    </row>
    <row r="285" spans="2:3" ht="16.5" hidden="1" customHeight="1" x14ac:dyDescent="0.3">
      <c r="B285" s="16"/>
      <c r="C285" s="16"/>
    </row>
    <row r="286" spans="2:3" ht="16.5" hidden="1" customHeight="1" x14ac:dyDescent="0.3">
      <c r="B286" s="16"/>
      <c r="C286" s="16"/>
    </row>
    <row r="287" spans="2:3" ht="16.5" hidden="1" customHeight="1" x14ac:dyDescent="0.3">
      <c r="B287" s="16"/>
      <c r="C287" s="16"/>
    </row>
    <row r="288" spans="2:3" ht="16.5" hidden="1" customHeight="1" x14ac:dyDescent="0.3">
      <c r="B288" s="16"/>
      <c r="C288" s="16"/>
    </row>
    <row r="289" spans="2:3" ht="16.5" hidden="1" customHeight="1" x14ac:dyDescent="0.3">
      <c r="B289" s="16"/>
      <c r="C289" s="16"/>
    </row>
    <row r="290" spans="2:3" ht="16.5" hidden="1" customHeight="1" x14ac:dyDescent="0.3">
      <c r="B290" s="16"/>
      <c r="C290" s="16"/>
    </row>
    <row r="291" spans="2:3" ht="16.5" hidden="1" customHeight="1" x14ac:dyDescent="0.3">
      <c r="B291" s="16"/>
      <c r="C291" s="16"/>
    </row>
    <row r="292" spans="2:3" ht="16.5" hidden="1" customHeight="1" x14ac:dyDescent="0.3">
      <c r="B292" s="16"/>
      <c r="C292" s="16"/>
    </row>
    <row r="293" spans="2:3" ht="16.5" hidden="1" customHeight="1" x14ac:dyDescent="0.3">
      <c r="B293" s="16"/>
      <c r="C293" s="16"/>
    </row>
    <row r="294" spans="2:3" ht="16.5" hidden="1" customHeight="1" x14ac:dyDescent="0.3">
      <c r="B294" s="16"/>
      <c r="C294" s="16"/>
    </row>
    <row r="295" spans="2:3" ht="16.5" hidden="1" customHeight="1" x14ac:dyDescent="0.3">
      <c r="B295" s="16"/>
      <c r="C295" s="16"/>
    </row>
    <row r="296" spans="2:3" ht="16.5" hidden="1" customHeight="1" x14ac:dyDescent="0.3">
      <c r="B296" s="16"/>
      <c r="C296" s="16"/>
    </row>
    <row r="297" spans="2:3" ht="16.5" hidden="1" customHeight="1" x14ac:dyDescent="0.3">
      <c r="B297" s="16"/>
      <c r="C297" s="16"/>
    </row>
    <row r="298" spans="2:3" ht="16.5" hidden="1" customHeight="1" x14ac:dyDescent="0.3">
      <c r="B298" s="16"/>
      <c r="C298" s="16"/>
    </row>
    <row r="299" spans="2:3" ht="16.5" hidden="1" customHeight="1" x14ac:dyDescent="0.3">
      <c r="B299" s="16"/>
      <c r="C299" s="16"/>
    </row>
    <row r="300" spans="2:3" ht="16.5" hidden="1" customHeight="1" x14ac:dyDescent="0.3">
      <c r="B300" s="16"/>
      <c r="C300" s="16"/>
    </row>
    <row r="301" spans="2:3" ht="16.5" hidden="1" customHeight="1" x14ac:dyDescent="0.3">
      <c r="B301" s="16"/>
      <c r="C301" s="16"/>
    </row>
    <row r="302" spans="2:3" ht="16.5" hidden="1" customHeight="1" x14ac:dyDescent="0.3">
      <c r="B302" s="16"/>
      <c r="C302" s="16"/>
    </row>
    <row r="303" spans="2:3" ht="16.5" hidden="1" customHeight="1" x14ac:dyDescent="0.3">
      <c r="B303" s="16"/>
      <c r="C303" s="16"/>
    </row>
    <row r="304" spans="2:3" ht="16.5" hidden="1" customHeight="1" x14ac:dyDescent="0.3">
      <c r="B304" s="16"/>
      <c r="C304" s="16"/>
    </row>
    <row r="305" spans="2:3" ht="16.5" hidden="1" customHeight="1" x14ac:dyDescent="0.3">
      <c r="B305" s="16"/>
      <c r="C305" s="16"/>
    </row>
    <row r="306" spans="2:3" ht="16.5" hidden="1" customHeight="1" x14ac:dyDescent="0.3">
      <c r="B306" s="16"/>
      <c r="C306" s="16"/>
    </row>
    <row r="307" spans="2:3" ht="16.5" hidden="1" customHeight="1" x14ac:dyDescent="0.3">
      <c r="B307" s="16"/>
      <c r="C307" s="16"/>
    </row>
    <row r="308" spans="2:3" ht="16.5" hidden="1" customHeight="1" x14ac:dyDescent="0.3">
      <c r="B308" s="16"/>
      <c r="C308" s="16"/>
    </row>
    <row r="309" spans="2:3" ht="16.5" hidden="1" customHeight="1" x14ac:dyDescent="0.3">
      <c r="B309" s="16"/>
      <c r="C309" s="16"/>
    </row>
    <row r="310" spans="2:3" ht="16.5" hidden="1" customHeight="1" x14ac:dyDescent="0.3">
      <c r="B310" s="16"/>
      <c r="C310" s="16"/>
    </row>
    <row r="311" spans="2:3" ht="16.5" hidden="1" customHeight="1" x14ac:dyDescent="0.3">
      <c r="B311" s="16"/>
      <c r="C311" s="16"/>
    </row>
    <row r="312" spans="2:3" ht="16.5" hidden="1" customHeight="1" x14ac:dyDescent="0.3">
      <c r="B312" s="16"/>
      <c r="C312" s="16"/>
    </row>
    <row r="313" spans="2:3" ht="16.5" hidden="1" customHeight="1" x14ac:dyDescent="0.3">
      <c r="B313" s="16"/>
      <c r="C313" s="16"/>
    </row>
    <row r="314" spans="2:3" ht="16.5" hidden="1" customHeight="1" x14ac:dyDescent="0.3">
      <c r="B314" s="16"/>
      <c r="C314" s="16"/>
    </row>
    <row r="315" spans="2:3" ht="16.5" hidden="1" customHeight="1" x14ac:dyDescent="0.3">
      <c r="B315" s="16"/>
      <c r="C315" s="16"/>
    </row>
    <row r="316" spans="2:3" ht="16.5" hidden="1" customHeight="1" x14ac:dyDescent="0.3">
      <c r="B316" s="16"/>
      <c r="C316" s="16"/>
    </row>
    <row r="317" spans="2:3" ht="16.5" hidden="1" customHeight="1" x14ac:dyDescent="0.3">
      <c r="B317" s="16"/>
      <c r="C317" s="16"/>
    </row>
    <row r="318" spans="2:3" ht="16.5" hidden="1" customHeight="1" x14ac:dyDescent="0.3">
      <c r="B318" s="16"/>
      <c r="C318" s="16"/>
    </row>
    <row r="319" spans="2:3" ht="16.5" hidden="1" customHeight="1" x14ac:dyDescent="0.3">
      <c r="B319" s="16"/>
      <c r="C319" s="16"/>
    </row>
    <row r="320" spans="2:3" ht="16.5" hidden="1" customHeight="1" x14ac:dyDescent="0.3">
      <c r="B320" s="16"/>
      <c r="C320" s="16"/>
    </row>
    <row r="321" spans="2:3" ht="16.5" hidden="1" customHeight="1" x14ac:dyDescent="0.3">
      <c r="B321" s="16"/>
      <c r="C321" s="16"/>
    </row>
    <row r="322" spans="2:3" ht="16.5" hidden="1" customHeight="1" x14ac:dyDescent="0.3">
      <c r="B322" s="16"/>
      <c r="C322" s="16"/>
    </row>
    <row r="323" spans="2:3" ht="16.5" hidden="1" customHeight="1" x14ac:dyDescent="0.3">
      <c r="B323" s="16"/>
      <c r="C323" s="16"/>
    </row>
    <row r="324" spans="2:3" ht="16.5" hidden="1" customHeight="1" x14ac:dyDescent="0.3">
      <c r="B324" s="16"/>
      <c r="C324" s="16"/>
    </row>
    <row r="325" spans="2:3" ht="16.5" hidden="1" customHeight="1" x14ac:dyDescent="0.3">
      <c r="B325" s="16"/>
      <c r="C325" s="16"/>
    </row>
    <row r="326" spans="2:3" ht="16.5" hidden="1" customHeight="1" x14ac:dyDescent="0.3">
      <c r="B326" s="16"/>
      <c r="C326" s="16"/>
    </row>
    <row r="327" spans="2:3" ht="16.5" hidden="1" customHeight="1" x14ac:dyDescent="0.3">
      <c r="B327" s="16"/>
      <c r="C327" s="16"/>
    </row>
    <row r="328" spans="2:3" ht="16.5" hidden="1" customHeight="1" x14ac:dyDescent="0.3">
      <c r="B328" s="16"/>
      <c r="C328" s="16"/>
    </row>
    <row r="329" spans="2:3" ht="16.5" hidden="1" customHeight="1" x14ac:dyDescent="0.3">
      <c r="B329" s="16"/>
      <c r="C329" s="16"/>
    </row>
    <row r="330" spans="2:3" ht="16.5" hidden="1" customHeight="1" x14ac:dyDescent="0.3">
      <c r="B330" s="16"/>
      <c r="C330" s="16"/>
    </row>
    <row r="331" spans="2:3" ht="16.5" hidden="1" customHeight="1" x14ac:dyDescent="0.3">
      <c r="B331" s="16"/>
      <c r="C331" s="16"/>
    </row>
    <row r="332" spans="2:3" ht="16.5" hidden="1" customHeight="1" x14ac:dyDescent="0.3">
      <c r="B332" s="16"/>
      <c r="C332" s="16"/>
    </row>
    <row r="333" spans="2:3" ht="16.5" hidden="1" customHeight="1" x14ac:dyDescent="0.3">
      <c r="B333" s="16"/>
      <c r="C333" s="16"/>
    </row>
    <row r="334" spans="2:3" ht="16.5" hidden="1" customHeight="1" x14ac:dyDescent="0.3">
      <c r="B334" s="16"/>
      <c r="C334" s="16"/>
    </row>
    <row r="335" spans="2:3" ht="16.5" hidden="1" customHeight="1" x14ac:dyDescent="0.3">
      <c r="B335" s="16"/>
      <c r="C335" s="16"/>
    </row>
    <row r="336" spans="2:3" ht="16.5" hidden="1" customHeight="1" x14ac:dyDescent="0.3">
      <c r="B336" s="16"/>
      <c r="C336" s="16"/>
    </row>
    <row r="337" spans="2:3" ht="16.5" hidden="1" customHeight="1" x14ac:dyDescent="0.3">
      <c r="B337" s="16"/>
      <c r="C337" s="16"/>
    </row>
    <row r="338" spans="2:3" ht="16.5" hidden="1" customHeight="1" x14ac:dyDescent="0.3">
      <c r="B338" s="16"/>
      <c r="C338" s="16"/>
    </row>
    <row r="339" spans="2:3" ht="16.5" hidden="1" customHeight="1" x14ac:dyDescent="0.3">
      <c r="B339" s="16"/>
      <c r="C339" s="16"/>
    </row>
    <row r="340" spans="2:3" ht="16.5" hidden="1" customHeight="1" x14ac:dyDescent="0.3">
      <c r="B340" s="16"/>
      <c r="C340" s="16"/>
    </row>
    <row r="341" spans="2:3" ht="16.5" hidden="1" customHeight="1" x14ac:dyDescent="0.3">
      <c r="B341" s="16"/>
      <c r="C341" s="16"/>
    </row>
    <row r="342" spans="2:3" ht="16.5" hidden="1" customHeight="1" x14ac:dyDescent="0.3">
      <c r="B342" s="16"/>
      <c r="C342" s="16"/>
    </row>
    <row r="343" spans="2:3" ht="16.5" hidden="1" customHeight="1" x14ac:dyDescent="0.3">
      <c r="B343" s="16"/>
      <c r="C343" s="16"/>
    </row>
    <row r="344" spans="2:3" ht="16.5" hidden="1" customHeight="1" x14ac:dyDescent="0.3">
      <c r="B344" s="16"/>
      <c r="C344" s="16"/>
    </row>
    <row r="345" spans="2:3" ht="16.5" hidden="1" customHeight="1" x14ac:dyDescent="0.3">
      <c r="B345" s="16"/>
      <c r="C345" s="16"/>
    </row>
    <row r="346" spans="2:3" ht="16.5" hidden="1" customHeight="1" x14ac:dyDescent="0.3">
      <c r="B346" s="16"/>
      <c r="C346" s="16"/>
    </row>
    <row r="347" spans="2:3" ht="16.5" hidden="1" customHeight="1" x14ac:dyDescent="0.3">
      <c r="B347" s="16"/>
      <c r="C347" s="16"/>
    </row>
    <row r="348" spans="2:3" ht="16.5" hidden="1" customHeight="1" x14ac:dyDescent="0.3">
      <c r="B348" s="16"/>
      <c r="C348" s="16"/>
    </row>
    <row r="349" spans="2:3" ht="16.5" hidden="1" customHeight="1" x14ac:dyDescent="0.3">
      <c r="B349" s="16"/>
      <c r="C349" s="16"/>
    </row>
    <row r="350" spans="2:3" ht="16.5" hidden="1" customHeight="1" x14ac:dyDescent="0.3">
      <c r="B350" s="16"/>
      <c r="C350" s="16"/>
    </row>
    <row r="351" spans="2:3" ht="16.5" hidden="1" customHeight="1" x14ac:dyDescent="0.3">
      <c r="B351" s="16"/>
      <c r="C351" s="16"/>
    </row>
    <row r="352" spans="2:3" ht="16.5" hidden="1" customHeight="1" x14ac:dyDescent="0.3">
      <c r="B352" s="16"/>
      <c r="C352" s="16"/>
    </row>
    <row r="353" spans="2:3" ht="16.5" hidden="1" customHeight="1" x14ac:dyDescent="0.3">
      <c r="B353" s="16"/>
      <c r="C353" s="16"/>
    </row>
    <row r="354" spans="2:3" ht="16.5" hidden="1" customHeight="1" x14ac:dyDescent="0.3">
      <c r="B354" s="16"/>
      <c r="C354" s="16"/>
    </row>
    <row r="355" spans="2:3" ht="16.5" hidden="1" customHeight="1" x14ac:dyDescent="0.3">
      <c r="B355" s="16"/>
      <c r="C355" s="16"/>
    </row>
    <row r="356" spans="2:3" ht="16.5" hidden="1" customHeight="1" x14ac:dyDescent="0.3">
      <c r="B356" s="16"/>
      <c r="C356" s="16"/>
    </row>
    <row r="357" spans="2:3" ht="16.5" hidden="1" customHeight="1" x14ac:dyDescent="0.3">
      <c r="B357" s="16"/>
      <c r="C357" s="16"/>
    </row>
    <row r="358" spans="2:3" ht="16.5" hidden="1" customHeight="1" x14ac:dyDescent="0.3">
      <c r="B358" s="16"/>
      <c r="C358" s="16"/>
    </row>
    <row r="359" spans="2:3" ht="16.5" hidden="1" customHeight="1" x14ac:dyDescent="0.3">
      <c r="B359" s="16"/>
      <c r="C359" s="16"/>
    </row>
    <row r="360" spans="2:3" ht="16.5" hidden="1" customHeight="1" x14ac:dyDescent="0.3">
      <c r="B360" s="16"/>
      <c r="C360" s="16"/>
    </row>
    <row r="361" spans="2:3" ht="16.5" hidden="1" customHeight="1" x14ac:dyDescent="0.3">
      <c r="B361" s="16"/>
      <c r="C361" s="16"/>
    </row>
    <row r="362" spans="2:3" ht="16.5" hidden="1" customHeight="1" x14ac:dyDescent="0.3">
      <c r="B362" s="16"/>
      <c r="C362" s="16"/>
    </row>
    <row r="363" spans="2:3" ht="16.5" hidden="1" customHeight="1" x14ac:dyDescent="0.3">
      <c r="B363" s="16"/>
      <c r="C363" s="16"/>
    </row>
    <row r="364" spans="2:3" ht="16.5" hidden="1" customHeight="1" x14ac:dyDescent="0.3">
      <c r="B364" s="16"/>
      <c r="C364" s="16"/>
    </row>
    <row r="365" spans="2:3" ht="16.5" hidden="1" customHeight="1" x14ac:dyDescent="0.3">
      <c r="B365" s="16"/>
      <c r="C365" s="16"/>
    </row>
    <row r="366" spans="2:3" ht="16.5" hidden="1" customHeight="1" x14ac:dyDescent="0.3">
      <c r="B366" s="16"/>
      <c r="C366" s="16"/>
    </row>
    <row r="367" spans="2:3" ht="16.5" hidden="1" customHeight="1" x14ac:dyDescent="0.3">
      <c r="B367" s="16"/>
      <c r="C367" s="16"/>
    </row>
    <row r="368" spans="2:3" ht="16.5" hidden="1" customHeight="1" x14ac:dyDescent="0.3">
      <c r="B368" s="16"/>
      <c r="C368" s="16"/>
    </row>
    <row r="369" spans="2:3" ht="16.5" hidden="1" customHeight="1" x14ac:dyDescent="0.3">
      <c r="B369" s="16"/>
      <c r="C369" s="16"/>
    </row>
    <row r="370" spans="2:3" ht="16.5" hidden="1" customHeight="1" x14ac:dyDescent="0.3">
      <c r="B370" s="16"/>
      <c r="C370" s="16"/>
    </row>
    <row r="371" spans="2:3" ht="16.5" hidden="1" customHeight="1" x14ac:dyDescent="0.3">
      <c r="B371" s="16"/>
      <c r="C371" s="16"/>
    </row>
    <row r="372" spans="2:3" ht="16.5" hidden="1" customHeight="1" x14ac:dyDescent="0.3">
      <c r="B372" s="16"/>
      <c r="C372" s="16"/>
    </row>
    <row r="373" spans="2:3" ht="16.5" hidden="1" customHeight="1" x14ac:dyDescent="0.3">
      <c r="B373" s="16"/>
      <c r="C373" s="16"/>
    </row>
    <row r="374" spans="2:3" ht="16.5" hidden="1" customHeight="1" x14ac:dyDescent="0.3">
      <c r="B374" s="16"/>
      <c r="C374" s="16"/>
    </row>
    <row r="375" spans="2:3" ht="16.5" hidden="1" customHeight="1" x14ac:dyDescent="0.3">
      <c r="B375" s="16"/>
      <c r="C375" s="16"/>
    </row>
    <row r="376" spans="2:3" ht="16.5" hidden="1" customHeight="1" x14ac:dyDescent="0.3">
      <c r="B376" s="16"/>
      <c r="C376" s="16"/>
    </row>
    <row r="377" spans="2:3" ht="16.5" hidden="1" customHeight="1" x14ac:dyDescent="0.3">
      <c r="B377" s="16"/>
      <c r="C377" s="16"/>
    </row>
    <row r="378" spans="2:3" ht="16.5" hidden="1" customHeight="1" x14ac:dyDescent="0.3">
      <c r="B378" s="16"/>
      <c r="C378" s="16"/>
    </row>
    <row r="379" spans="2:3" ht="16.5" hidden="1" customHeight="1" x14ac:dyDescent="0.3">
      <c r="B379" s="16"/>
      <c r="C379" s="16"/>
    </row>
    <row r="380" spans="2:3" ht="16.5" hidden="1" customHeight="1" x14ac:dyDescent="0.3">
      <c r="B380" s="16"/>
      <c r="C380" s="16"/>
    </row>
    <row r="381" spans="2:3" ht="16.5" hidden="1" customHeight="1" x14ac:dyDescent="0.3">
      <c r="B381" s="16"/>
      <c r="C381" s="16"/>
    </row>
    <row r="382" spans="2:3" ht="16.5" hidden="1" customHeight="1" x14ac:dyDescent="0.3">
      <c r="B382" s="16"/>
      <c r="C382" s="16"/>
    </row>
    <row r="383" spans="2:3" ht="16.5" hidden="1" customHeight="1" x14ac:dyDescent="0.3">
      <c r="B383" s="16"/>
      <c r="C383" s="16"/>
    </row>
    <row r="384" spans="2:3" ht="16.5" hidden="1" customHeight="1" x14ac:dyDescent="0.3">
      <c r="B384" s="16"/>
      <c r="C384" s="16"/>
    </row>
    <row r="385" spans="2:3" ht="16.5" hidden="1" customHeight="1" x14ac:dyDescent="0.3">
      <c r="B385" s="16"/>
      <c r="C385" s="16"/>
    </row>
    <row r="386" spans="2:3" ht="16.5" hidden="1" customHeight="1" x14ac:dyDescent="0.3">
      <c r="B386" s="16"/>
      <c r="C386" s="16"/>
    </row>
    <row r="387" spans="2:3" ht="16.5" hidden="1" customHeight="1" x14ac:dyDescent="0.3">
      <c r="B387" s="16"/>
      <c r="C387" s="16"/>
    </row>
    <row r="388" spans="2:3" ht="16.5" hidden="1" customHeight="1" x14ac:dyDescent="0.3">
      <c r="B388" s="16"/>
      <c r="C388" s="16"/>
    </row>
    <row r="389" spans="2:3" ht="16.5" hidden="1" customHeight="1" x14ac:dyDescent="0.3">
      <c r="B389" s="16"/>
      <c r="C389" s="16"/>
    </row>
    <row r="390" spans="2:3" ht="16.5" hidden="1" customHeight="1" x14ac:dyDescent="0.3">
      <c r="B390" s="16"/>
      <c r="C390" s="16"/>
    </row>
    <row r="391" spans="2:3" ht="16.5" hidden="1" customHeight="1" x14ac:dyDescent="0.3">
      <c r="B391" s="16"/>
      <c r="C391" s="16"/>
    </row>
    <row r="392" spans="2:3" ht="16.5" hidden="1" customHeight="1" x14ac:dyDescent="0.3">
      <c r="B392" s="16"/>
      <c r="C392" s="16"/>
    </row>
    <row r="393" spans="2:3" ht="16.5" hidden="1" customHeight="1" x14ac:dyDescent="0.3">
      <c r="B393" s="16"/>
      <c r="C393" s="16"/>
    </row>
    <row r="394" spans="2:3" ht="16.5" hidden="1" customHeight="1" x14ac:dyDescent="0.3">
      <c r="B394" s="16"/>
      <c r="C394" s="16"/>
    </row>
    <row r="395" spans="2:3" ht="16.5" hidden="1" customHeight="1" x14ac:dyDescent="0.3">
      <c r="B395" s="16"/>
      <c r="C395" s="16"/>
    </row>
    <row r="396" spans="2:3" ht="16.5" hidden="1" customHeight="1" x14ac:dyDescent="0.3">
      <c r="B396" s="16"/>
      <c r="C396" s="16"/>
    </row>
    <row r="397" spans="2:3" ht="16.5" hidden="1" customHeight="1" x14ac:dyDescent="0.3">
      <c r="B397" s="16"/>
      <c r="C397" s="16"/>
    </row>
    <row r="398" spans="2:3" ht="16.5" hidden="1" customHeight="1" x14ac:dyDescent="0.3">
      <c r="B398" s="16"/>
      <c r="C398" s="16"/>
    </row>
    <row r="399" spans="2:3" ht="16.5" hidden="1" customHeight="1" x14ac:dyDescent="0.3">
      <c r="B399" s="16"/>
      <c r="C399" s="16"/>
    </row>
    <row r="400" spans="2:3" ht="16.5" hidden="1" customHeight="1" x14ac:dyDescent="0.3">
      <c r="B400" s="16"/>
      <c r="C400" s="16"/>
    </row>
    <row r="401" spans="2:3" ht="16.5" hidden="1" customHeight="1" x14ac:dyDescent="0.3">
      <c r="B401" s="16"/>
      <c r="C401" s="16"/>
    </row>
    <row r="402" spans="2:3" ht="16.5" hidden="1" customHeight="1" x14ac:dyDescent="0.3">
      <c r="B402" s="16"/>
      <c r="C402" s="16"/>
    </row>
    <row r="403" spans="2:3" ht="16.5" hidden="1" customHeight="1" x14ac:dyDescent="0.3">
      <c r="B403" s="16"/>
      <c r="C403" s="16"/>
    </row>
    <row r="404" spans="2:3" ht="16.5" hidden="1" customHeight="1" x14ac:dyDescent="0.3">
      <c r="B404" s="16"/>
      <c r="C404" s="16"/>
    </row>
    <row r="405" spans="2:3" ht="16.5" hidden="1" customHeight="1" x14ac:dyDescent="0.3">
      <c r="B405" s="16"/>
      <c r="C405" s="16"/>
    </row>
    <row r="406" spans="2:3" ht="16.5" hidden="1" customHeight="1" x14ac:dyDescent="0.3">
      <c r="B406" s="16"/>
      <c r="C406" s="16"/>
    </row>
    <row r="407" spans="2:3" ht="16.5" hidden="1" customHeight="1" x14ac:dyDescent="0.3">
      <c r="B407" s="16"/>
      <c r="C407" s="16"/>
    </row>
    <row r="408" spans="2:3" ht="16.5" hidden="1" customHeight="1" x14ac:dyDescent="0.3">
      <c r="B408" s="16"/>
      <c r="C408" s="16"/>
    </row>
    <row r="409" spans="2:3" ht="16.5" hidden="1" customHeight="1" x14ac:dyDescent="0.3">
      <c r="B409" s="16"/>
      <c r="C409" s="16"/>
    </row>
    <row r="410" spans="2:3" ht="16.5" hidden="1" customHeight="1" x14ac:dyDescent="0.3">
      <c r="B410" s="16"/>
      <c r="C410" s="16"/>
    </row>
    <row r="411" spans="2:3" ht="16.5" hidden="1" customHeight="1" x14ac:dyDescent="0.3">
      <c r="B411" s="16"/>
      <c r="C411" s="16"/>
    </row>
    <row r="412" spans="2:3" ht="16.5" hidden="1" customHeight="1" x14ac:dyDescent="0.3">
      <c r="B412" s="16"/>
      <c r="C412" s="16"/>
    </row>
    <row r="413" spans="2:3" ht="16.5" hidden="1" customHeight="1" x14ac:dyDescent="0.3">
      <c r="B413" s="16"/>
      <c r="C413" s="16"/>
    </row>
    <row r="414" spans="2:3" ht="16.5" hidden="1" customHeight="1" x14ac:dyDescent="0.3">
      <c r="B414" s="16"/>
      <c r="C414" s="16"/>
    </row>
    <row r="415" spans="2:3" ht="16.5" hidden="1" customHeight="1" x14ac:dyDescent="0.3">
      <c r="B415" s="16"/>
      <c r="C415" s="16"/>
    </row>
    <row r="416" spans="2:3" ht="16.5" hidden="1" customHeight="1" x14ac:dyDescent="0.3">
      <c r="B416" s="16"/>
      <c r="C416" s="16"/>
    </row>
    <row r="417" spans="2:3" ht="16.5" hidden="1" customHeight="1" x14ac:dyDescent="0.3">
      <c r="B417" s="16"/>
      <c r="C417" s="16"/>
    </row>
    <row r="418" spans="2:3" ht="16.5" hidden="1" customHeight="1" x14ac:dyDescent="0.3">
      <c r="B418" s="16"/>
      <c r="C418" s="16"/>
    </row>
    <row r="419" spans="2:3" ht="16.5" hidden="1" customHeight="1" x14ac:dyDescent="0.3">
      <c r="B419" s="16"/>
      <c r="C419" s="16"/>
    </row>
    <row r="420" spans="2:3" ht="16.5" hidden="1" customHeight="1" x14ac:dyDescent="0.3">
      <c r="B420" s="16"/>
      <c r="C420" s="16"/>
    </row>
    <row r="421" spans="2:3" ht="16.5" hidden="1" customHeight="1" x14ac:dyDescent="0.3">
      <c r="B421" s="16"/>
      <c r="C421" s="16"/>
    </row>
    <row r="422" spans="2:3" ht="16.5" hidden="1" customHeight="1" x14ac:dyDescent="0.3">
      <c r="B422" s="16"/>
      <c r="C422" s="16"/>
    </row>
    <row r="423" spans="2:3" ht="16.5" hidden="1" customHeight="1" x14ac:dyDescent="0.3">
      <c r="B423" s="16"/>
      <c r="C423" s="16"/>
    </row>
    <row r="424" spans="2:3" ht="16.5" hidden="1" customHeight="1" x14ac:dyDescent="0.3">
      <c r="B424" s="16"/>
      <c r="C424" s="16"/>
    </row>
    <row r="425" spans="2:3" ht="16.5" hidden="1" customHeight="1" x14ac:dyDescent="0.3">
      <c r="B425" s="16"/>
      <c r="C425" s="16"/>
    </row>
    <row r="426" spans="2:3" ht="16.5" hidden="1" customHeight="1" x14ac:dyDescent="0.3">
      <c r="B426" s="16"/>
      <c r="C426" s="16"/>
    </row>
    <row r="427" spans="2:3" ht="16.5" hidden="1" customHeight="1" x14ac:dyDescent="0.3">
      <c r="B427" s="16"/>
      <c r="C427" s="16"/>
    </row>
    <row r="428" spans="2:3" ht="16.5" hidden="1" customHeight="1" x14ac:dyDescent="0.3">
      <c r="B428" s="16"/>
      <c r="C428" s="16"/>
    </row>
    <row r="429" spans="2:3" ht="16.5" hidden="1" customHeight="1" x14ac:dyDescent="0.3">
      <c r="B429" s="16"/>
      <c r="C429" s="16"/>
    </row>
    <row r="430" spans="2:3" ht="16.5" hidden="1" customHeight="1" x14ac:dyDescent="0.3">
      <c r="B430" s="16"/>
      <c r="C430" s="16"/>
    </row>
    <row r="431" spans="2:3" ht="16.5" hidden="1" customHeight="1" x14ac:dyDescent="0.3">
      <c r="B431" s="16"/>
      <c r="C431" s="16"/>
    </row>
    <row r="432" spans="2:3" ht="16.5" hidden="1" customHeight="1" x14ac:dyDescent="0.3">
      <c r="B432" s="16"/>
      <c r="C432" s="16"/>
    </row>
    <row r="433" spans="2:3" ht="16.5" hidden="1" customHeight="1" x14ac:dyDescent="0.3">
      <c r="B433" s="16"/>
      <c r="C433" s="16"/>
    </row>
    <row r="434" spans="2:3" ht="16.5" hidden="1" customHeight="1" x14ac:dyDescent="0.3">
      <c r="B434" s="16"/>
      <c r="C434" s="16"/>
    </row>
    <row r="435" spans="2:3" ht="16.5" hidden="1" customHeight="1" x14ac:dyDescent="0.3">
      <c r="B435" s="16"/>
      <c r="C435" s="16"/>
    </row>
    <row r="436" spans="2:3" ht="16.5" hidden="1" customHeight="1" x14ac:dyDescent="0.3">
      <c r="B436" s="16"/>
      <c r="C436" s="16"/>
    </row>
    <row r="437" spans="2:3" ht="16.5" hidden="1" customHeight="1" x14ac:dyDescent="0.3">
      <c r="B437" s="16"/>
      <c r="C437" s="16"/>
    </row>
    <row r="438" spans="2:3" ht="16.5" hidden="1" customHeight="1" x14ac:dyDescent="0.3">
      <c r="B438" s="16"/>
      <c r="C438" s="16"/>
    </row>
    <row r="439" spans="2:3" ht="16.5" hidden="1" customHeight="1" x14ac:dyDescent="0.3">
      <c r="B439" s="16"/>
      <c r="C439" s="16"/>
    </row>
    <row r="440" spans="2:3" ht="16.5" hidden="1" customHeight="1" x14ac:dyDescent="0.3">
      <c r="B440" s="16"/>
      <c r="C440" s="16"/>
    </row>
    <row r="441" spans="2:3" ht="16.5" hidden="1" customHeight="1" x14ac:dyDescent="0.3">
      <c r="B441" s="16"/>
      <c r="C441" s="16"/>
    </row>
    <row r="442" spans="2:3" ht="16.5" hidden="1" customHeight="1" x14ac:dyDescent="0.3">
      <c r="B442" s="16"/>
      <c r="C442" s="16"/>
    </row>
    <row r="443" spans="2:3" ht="16.5" hidden="1" customHeight="1" x14ac:dyDescent="0.3">
      <c r="B443" s="16"/>
      <c r="C443" s="16"/>
    </row>
    <row r="444" spans="2:3" ht="16.5" hidden="1" customHeight="1" x14ac:dyDescent="0.3">
      <c r="B444" s="16"/>
      <c r="C444" s="16"/>
    </row>
    <row r="445" spans="2:3" ht="16.5" hidden="1" customHeight="1" x14ac:dyDescent="0.3">
      <c r="B445" s="16"/>
      <c r="C445" s="16"/>
    </row>
    <row r="446" spans="2:3" ht="16.5" hidden="1" customHeight="1" x14ac:dyDescent="0.3">
      <c r="B446" s="16"/>
      <c r="C446" s="16"/>
    </row>
    <row r="447" spans="2:3" ht="16.5" hidden="1" customHeight="1" x14ac:dyDescent="0.3">
      <c r="B447" s="16"/>
      <c r="C447" s="16"/>
    </row>
    <row r="448" spans="2:3" ht="16.5" hidden="1" customHeight="1" x14ac:dyDescent="0.3">
      <c r="B448" s="16"/>
      <c r="C448" s="16"/>
    </row>
    <row r="449" spans="2:3" ht="16.5" hidden="1" customHeight="1" x14ac:dyDescent="0.3">
      <c r="B449" s="16"/>
      <c r="C449" s="16"/>
    </row>
    <row r="450" spans="2:3" ht="16.5" hidden="1" customHeight="1" x14ac:dyDescent="0.3">
      <c r="B450" s="16"/>
      <c r="C450" s="16"/>
    </row>
    <row r="451" spans="2:3" ht="16.5" hidden="1" customHeight="1" x14ac:dyDescent="0.3">
      <c r="B451" s="16"/>
      <c r="C451" s="16"/>
    </row>
    <row r="452" spans="2:3" ht="16.5" hidden="1" customHeight="1" x14ac:dyDescent="0.3">
      <c r="B452" s="16"/>
      <c r="C452" s="16"/>
    </row>
    <row r="453" spans="2:3" ht="16.5" hidden="1" customHeight="1" x14ac:dyDescent="0.3">
      <c r="B453" s="16"/>
      <c r="C453" s="16"/>
    </row>
    <row r="454" spans="2:3" ht="16.5" hidden="1" customHeight="1" x14ac:dyDescent="0.3">
      <c r="B454" s="16"/>
      <c r="C454" s="16"/>
    </row>
    <row r="455" spans="2:3" ht="16.5" hidden="1" customHeight="1" x14ac:dyDescent="0.3">
      <c r="B455" s="16"/>
      <c r="C455" s="16"/>
    </row>
    <row r="456" spans="2:3" ht="16.5" hidden="1" customHeight="1" x14ac:dyDescent="0.3">
      <c r="B456" s="16"/>
      <c r="C456" s="16"/>
    </row>
    <row r="457" spans="2:3" ht="16.5" hidden="1" customHeight="1" x14ac:dyDescent="0.3">
      <c r="B457" s="16"/>
      <c r="C457" s="16"/>
    </row>
    <row r="458" spans="2:3" ht="16.5" hidden="1" customHeight="1" x14ac:dyDescent="0.3">
      <c r="B458" s="16"/>
      <c r="C458" s="16"/>
    </row>
    <row r="459" spans="2:3" ht="16.5" hidden="1" customHeight="1" x14ac:dyDescent="0.3">
      <c r="B459" s="16"/>
      <c r="C459" s="16"/>
    </row>
    <row r="460" spans="2:3" ht="16.5" hidden="1" customHeight="1" x14ac:dyDescent="0.3">
      <c r="B460" s="16"/>
      <c r="C460" s="16"/>
    </row>
    <row r="461" spans="2:3" ht="16.5" hidden="1" customHeight="1" x14ac:dyDescent="0.3">
      <c r="B461" s="16"/>
      <c r="C461" s="16"/>
    </row>
    <row r="462" spans="2:3" ht="16.5" hidden="1" customHeight="1" x14ac:dyDescent="0.3">
      <c r="B462" s="16"/>
      <c r="C462" s="16"/>
    </row>
    <row r="463" spans="2:3" ht="16.5" hidden="1" customHeight="1" x14ac:dyDescent="0.3">
      <c r="B463" s="16"/>
      <c r="C463" s="16"/>
    </row>
    <row r="464" spans="2:3" ht="16.5" hidden="1" customHeight="1" x14ac:dyDescent="0.3">
      <c r="B464" s="16"/>
      <c r="C464" s="16"/>
    </row>
    <row r="465" spans="2:3" ht="16.5" hidden="1" customHeight="1" x14ac:dyDescent="0.3">
      <c r="B465" s="16"/>
      <c r="C465" s="16"/>
    </row>
    <row r="466" spans="2:3" ht="16.5" hidden="1" customHeight="1" x14ac:dyDescent="0.3">
      <c r="B466" s="16"/>
      <c r="C466" s="16"/>
    </row>
    <row r="467" spans="2:3" ht="16.5" hidden="1" customHeight="1" x14ac:dyDescent="0.3">
      <c r="B467" s="16"/>
      <c r="C467" s="16"/>
    </row>
    <row r="468" spans="2:3" ht="16.5" hidden="1" customHeight="1" x14ac:dyDescent="0.3">
      <c r="B468" s="16"/>
      <c r="C468" s="16"/>
    </row>
    <row r="469" spans="2:3" ht="16.5" hidden="1" customHeight="1" x14ac:dyDescent="0.3">
      <c r="B469" s="16"/>
      <c r="C469" s="16"/>
    </row>
    <row r="470" spans="2:3" ht="16.5" hidden="1" customHeight="1" x14ac:dyDescent="0.3">
      <c r="B470" s="16"/>
      <c r="C470" s="16"/>
    </row>
    <row r="471" spans="2:3" ht="16.5" hidden="1" customHeight="1" x14ac:dyDescent="0.3">
      <c r="B471" s="16"/>
      <c r="C471" s="16"/>
    </row>
    <row r="472" spans="2:3" ht="16.5" hidden="1" customHeight="1" x14ac:dyDescent="0.3">
      <c r="B472" s="16"/>
      <c r="C472" s="16"/>
    </row>
    <row r="473" spans="2:3" ht="16.5" hidden="1" customHeight="1" x14ac:dyDescent="0.3">
      <c r="B473" s="16"/>
      <c r="C473" s="16"/>
    </row>
    <row r="474" spans="2:3" ht="16.5" hidden="1" customHeight="1" x14ac:dyDescent="0.3">
      <c r="B474" s="16"/>
      <c r="C474" s="16"/>
    </row>
    <row r="475" spans="2:3" ht="16.5" hidden="1" customHeight="1" x14ac:dyDescent="0.3">
      <c r="B475" s="16"/>
      <c r="C475" s="16"/>
    </row>
    <row r="476" spans="2:3" ht="16.5" hidden="1" customHeight="1" x14ac:dyDescent="0.3">
      <c r="B476" s="16"/>
      <c r="C476" s="16"/>
    </row>
    <row r="477" spans="2:3" ht="16.5" hidden="1" customHeight="1" x14ac:dyDescent="0.3">
      <c r="B477" s="16"/>
      <c r="C477" s="16"/>
    </row>
    <row r="478" spans="2:3" ht="16.5" hidden="1" customHeight="1" x14ac:dyDescent="0.3">
      <c r="B478" s="16"/>
      <c r="C478" s="16"/>
    </row>
    <row r="479" spans="2:3" ht="16.5" hidden="1" customHeight="1" x14ac:dyDescent="0.3">
      <c r="B479" s="16"/>
      <c r="C479" s="16"/>
    </row>
    <row r="480" spans="2:3" ht="16.5" hidden="1" customHeight="1" x14ac:dyDescent="0.3">
      <c r="B480" s="16"/>
      <c r="C480" s="16"/>
    </row>
    <row r="481" spans="2:3" ht="16.5" hidden="1" customHeight="1" x14ac:dyDescent="0.3">
      <c r="B481" s="16"/>
      <c r="C481" s="16"/>
    </row>
    <row r="482" spans="2:3" ht="16.5" hidden="1" customHeight="1" x14ac:dyDescent="0.3">
      <c r="B482" s="16"/>
      <c r="C482" s="16"/>
    </row>
    <row r="483" spans="2:3" ht="16.5" hidden="1" customHeight="1" x14ac:dyDescent="0.3">
      <c r="B483" s="16"/>
      <c r="C483" s="16"/>
    </row>
    <row r="484" spans="2:3" ht="16.5" hidden="1" customHeight="1" x14ac:dyDescent="0.3">
      <c r="B484" s="16"/>
      <c r="C484" s="16"/>
    </row>
    <row r="485" spans="2:3" ht="16.5" hidden="1" customHeight="1" x14ac:dyDescent="0.3">
      <c r="B485" s="16"/>
      <c r="C485" s="16"/>
    </row>
    <row r="486" spans="2:3" ht="16.5" hidden="1" customHeight="1" x14ac:dyDescent="0.3">
      <c r="B486" s="16"/>
      <c r="C486" s="16"/>
    </row>
    <row r="487" spans="2:3" ht="16.5" hidden="1" customHeight="1" x14ac:dyDescent="0.3">
      <c r="B487" s="16"/>
      <c r="C487" s="16"/>
    </row>
    <row r="488" spans="2:3" ht="16.5" hidden="1" customHeight="1" x14ac:dyDescent="0.3">
      <c r="B488" s="16"/>
      <c r="C488" s="16"/>
    </row>
    <row r="489" spans="2:3" ht="16.5" hidden="1" customHeight="1" x14ac:dyDescent="0.3">
      <c r="B489" s="16"/>
      <c r="C489" s="16"/>
    </row>
    <row r="490" spans="2:3" ht="16.5" hidden="1" customHeight="1" x14ac:dyDescent="0.3">
      <c r="B490" s="16"/>
      <c r="C490" s="16"/>
    </row>
    <row r="491" spans="2:3" ht="16.5" hidden="1" customHeight="1" x14ac:dyDescent="0.3">
      <c r="B491" s="16"/>
      <c r="C491" s="16"/>
    </row>
    <row r="492" spans="2:3" ht="16.5" hidden="1" customHeight="1" x14ac:dyDescent="0.3">
      <c r="B492" s="16"/>
      <c r="C492" s="16"/>
    </row>
    <row r="493" spans="2:3" ht="16.5" hidden="1" customHeight="1" x14ac:dyDescent="0.3">
      <c r="B493" s="16"/>
      <c r="C493" s="16"/>
    </row>
    <row r="494" spans="2:3" ht="16.5" hidden="1" customHeight="1" x14ac:dyDescent="0.3">
      <c r="B494" s="16"/>
      <c r="C494" s="16"/>
    </row>
    <row r="495" spans="2:3" ht="16.5" hidden="1" customHeight="1" x14ac:dyDescent="0.3">
      <c r="B495" s="16"/>
      <c r="C495" s="16"/>
    </row>
    <row r="496" spans="2:3" ht="16.5" hidden="1" customHeight="1" x14ac:dyDescent="0.3">
      <c r="B496" s="16"/>
      <c r="C496" s="16"/>
    </row>
    <row r="497" spans="2:3" ht="16.5" hidden="1" customHeight="1" x14ac:dyDescent="0.3">
      <c r="B497" s="16"/>
      <c r="C497" s="16"/>
    </row>
    <row r="498" spans="2:3" ht="16.5" hidden="1" customHeight="1" x14ac:dyDescent="0.3">
      <c r="B498" s="16"/>
      <c r="C498" s="16"/>
    </row>
    <row r="499" spans="2:3" ht="16.5" hidden="1" customHeight="1" x14ac:dyDescent="0.3">
      <c r="B499" s="16"/>
      <c r="C499" s="16"/>
    </row>
    <row r="500" spans="2:3" ht="16.5" hidden="1" customHeight="1" x14ac:dyDescent="0.3">
      <c r="B500" s="16"/>
      <c r="C500" s="16"/>
    </row>
    <row r="501" spans="2:3" ht="16.5" hidden="1" customHeight="1" x14ac:dyDescent="0.3">
      <c r="B501" s="16"/>
      <c r="C501" s="16"/>
    </row>
    <row r="502" spans="2:3" ht="16.5" hidden="1" customHeight="1" x14ac:dyDescent="0.3">
      <c r="B502" s="16"/>
      <c r="C502" s="16"/>
    </row>
    <row r="503" spans="2:3" ht="16.5" hidden="1" customHeight="1" x14ac:dyDescent="0.3">
      <c r="B503" s="16"/>
      <c r="C503" s="16"/>
    </row>
    <row r="504" spans="2:3" ht="16.5" hidden="1" customHeight="1" x14ac:dyDescent="0.3">
      <c r="B504" s="16"/>
      <c r="C504" s="16"/>
    </row>
    <row r="505" spans="2:3" ht="16.5" hidden="1" customHeight="1" x14ac:dyDescent="0.3">
      <c r="B505" s="16"/>
      <c r="C505" s="16"/>
    </row>
    <row r="506" spans="2:3" ht="16.5" hidden="1" customHeight="1" x14ac:dyDescent="0.3">
      <c r="B506" s="16"/>
      <c r="C506" s="16"/>
    </row>
    <row r="507" spans="2:3" ht="16.5" hidden="1" customHeight="1" x14ac:dyDescent="0.3">
      <c r="B507" s="16"/>
      <c r="C507" s="16"/>
    </row>
    <row r="508" spans="2:3" ht="16.5" hidden="1" customHeight="1" x14ac:dyDescent="0.3">
      <c r="B508" s="16"/>
      <c r="C508" s="16"/>
    </row>
    <row r="509" spans="2:3" ht="16.5" hidden="1" customHeight="1" x14ac:dyDescent="0.3">
      <c r="B509" s="16"/>
      <c r="C509" s="16"/>
    </row>
    <row r="510" spans="2:3" ht="16.5" hidden="1" customHeight="1" x14ac:dyDescent="0.3">
      <c r="B510" s="16"/>
      <c r="C510" s="16"/>
    </row>
    <row r="511" spans="2:3" ht="16.5" hidden="1" customHeight="1" x14ac:dyDescent="0.3">
      <c r="B511" s="16"/>
      <c r="C511" s="16"/>
    </row>
    <row r="512" spans="2:3" ht="16.5" hidden="1" customHeight="1" x14ac:dyDescent="0.3">
      <c r="B512" s="16"/>
      <c r="C512" s="16"/>
    </row>
    <row r="513" spans="2:3" ht="16.5" hidden="1" customHeight="1" x14ac:dyDescent="0.3">
      <c r="B513" s="16"/>
      <c r="C513" s="16"/>
    </row>
    <row r="514" spans="2:3" ht="16.5" hidden="1" customHeight="1" x14ac:dyDescent="0.3">
      <c r="B514" s="16"/>
      <c r="C514" s="16"/>
    </row>
    <row r="515" spans="2:3" ht="16.5" hidden="1" customHeight="1" x14ac:dyDescent="0.3">
      <c r="B515" s="16"/>
      <c r="C515" s="16"/>
    </row>
    <row r="516" spans="2:3" ht="16.5" hidden="1" customHeight="1" x14ac:dyDescent="0.3">
      <c r="B516" s="16"/>
      <c r="C516" s="16"/>
    </row>
    <row r="517" spans="2:3" ht="16.5" hidden="1" customHeight="1" x14ac:dyDescent="0.3">
      <c r="B517" s="16"/>
      <c r="C517" s="16"/>
    </row>
    <row r="518" spans="2:3" ht="16.5" hidden="1" customHeight="1" x14ac:dyDescent="0.3">
      <c r="B518" s="16"/>
      <c r="C518" s="16"/>
    </row>
    <row r="519" spans="2:3" ht="16.5" hidden="1" customHeight="1" x14ac:dyDescent="0.3">
      <c r="B519" s="16"/>
      <c r="C519" s="16"/>
    </row>
    <row r="520" spans="2:3" ht="16.5" hidden="1" customHeight="1" x14ac:dyDescent="0.3">
      <c r="B520" s="16"/>
      <c r="C520" s="16"/>
    </row>
    <row r="521" spans="2:3" ht="16.5" hidden="1" customHeight="1" x14ac:dyDescent="0.3">
      <c r="B521" s="16"/>
      <c r="C521" s="16"/>
    </row>
    <row r="522" spans="2:3" ht="16.5" hidden="1" customHeight="1" x14ac:dyDescent="0.3">
      <c r="B522" s="16"/>
      <c r="C522" s="16"/>
    </row>
    <row r="523" spans="2:3" ht="16.5" hidden="1" customHeight="1" x14ac:dyDescent="0.3">
      <c r="B523" s="16"/>
      <c r="C523" s="16"/>
    </row>
    <row r="524" spans="2:3" ht="16.5" hidden="1" customHeight="1" x14ac:dyDescent="0.3">
      <c r="B524" s="16"/>
      <c r="C524" s="16"/>
    </row>
    <row r="525" spans="2:3" ht="16.5" hidden="1" customHeight="1" x14ac:dyDescent="0.3">
      <c r="B525" s="16"/>
      <c r="C525" s="16"/>
    </row>
    <row r="526" spans="2:3" ht="16.5" hidden="1" customHeight="1" x14ac:dyDescent="0.3">
      <c r="B526" s="16"/>
      <c r="C526" s="16"/>
    </row>
    <row r="527" spans="2:3" ht="16.5" hidden="1" customHeight="1" x14ac:dyDescent="0.3">
      <c r="B527" s="16"/>
      <c r="C527" s="16"/>
    </row>
    <row r="528" spans="2:3" ht="16.5" hidden="1" customHeight="1" x14ac:dyDescent="0.3">
      <c r="B528" s="16"/>
      <c r="C528" s="16"/>
    </row>
    <row r="529" spans="2:3" ht="16.5" hidden="1" customHeight="1" x14ac:dyDescent="0.3">
      <c r="B529" s="16"/>
      <c r="C529" s="16"/>
    </row>
    <row r="530" spans="2:3" ht="16.5" hidden="1" customHeight="1" x14ac:dyDescent="0.3">
      <c r="B530" s="16"/>
      <c r="C530" s="16"/>
    </row>
    <row r="531" spans="2:3" ht="16.5" hidden="1" customHeight="1" x14ac:dyDescent="0.3">
      <c r="B531" s="16"/>
      <c r="C531" s="16"/>
    </row>
    <row r="532" spans="2:3" ht="16.5" hidden="1" customHeight="1" x14ac:dyDescent="0.3">
      <c r="B532" s="16"/>
      <c r="C532" s="16"/>
    </row>
    <row r="533" spans="2:3" ht="16.5" hidden="1" customHeight="1" x14ac:dyDescent="0.3">
      <c r="B533" s="16"/>
      <c r="C533" s="16"/>
    </row>
    <row r="534" spans="2:3" ht="16.5" hidden="1" customHeight="1" x14ac:dyDescent="0.3">
      <c r="B534" s="16"/>
      <c r="C534" s="16"/>
    </row>
    <row r="535" spans="2:3" ht="16.5" hidden="1" customHeight="1" x14ac:dyDescent="0.3">
      <c r="B535" s="16"/>
      <c r="C535" s="16"/>
    </row>
    <row r="536" spans="2:3" ht="16.5" hidden="1" customHeight="1" x14ac:dyDescent="0.3">
      <c r="B536" s="16"/>
      <c r="C536" s="16"/>
    </row>
    <row r="537" spans="2:3" ht="16.5" hidden="1" customHeight="1" x14ac:dyDescent="0.3">
      <c r="B537" s="16"/>
      <c r="C537" s="16"/>
    </row>
    <row r="538" spans="2:3" ht="16.5" hidden="1" customHeight="1" x14ac:dyDescent="0.3">
      <c r="B538" s="16"/>
      <c r="C538" s="16"/>
    </row>
    <row r="539" spans="2:3" ht="16.5" hidden="1" customHeight="1" x14ac:dyDescent="0.3">
      <c r="B539" s="16"/>
      <c r="C539" s="16"/>
    </row>
    <row r="540" spans="2:3" ht="16.5" hidden="1" customHeight="1" x14ac:dyDescent="0.3">
      <c r="B540" s="16"/>
      <c r="C540" s="16"/>
    </row>
    <row r="541" spans="2:3" ht="16.5" hidden="1" customHeight="1" x14ac:dyDescent="0.3">
      <c r="B541" s="16"/>
      <c r="C541" s="16"/>
    </row>
    <row r="542" spans="2:3" ht="16.5" hidden="1" customHeight="1" x14ac:dyDescent="0.3">
      <c r="B542" s="16"/>
      <c r="C542" s="16"/>
    </row>
    <row r="543" spans="2:3" ht="16.5" hidden="1" customHeight="1" x14ac:dyDescent="0.3">
      <c r="B543" s="16"/>
      <c r="C543" s="16"/>
    </row>
    <row r="544" spans="2:3" ht="16.5" hidden="1" customHeight="1" x14ac:dyDescent="0.3">
      <c r="B544" s="16"/>
      <c r="C544" s="16"/>
    </row>
    <row r="545" spans="2:3" ht="16.5" hidden="1" customHeight="1" x14ac:dyDescent="0.3">
      <c r="B545" s="16"/>
      <c r="C545" s="16"/>
    </row>
    <row r="546" spans="2:3" ht="16.5" hidden="1" customHeight="1" x14ac:dyDescent="0.3">
      <c r="B546" s="16"/>
      <c r="C546" s="16"/>
    </row>
    <row r="547" spans="2:3" ht="16.5" hidden="1" customHeight="1" x14ac:dyDescent="0.3">
      <c r="B547" s="16"/>
      <c r="C547" s="16"/>
    </row>
    <row r="548" spans="2:3" ht="16.5" hidden="1" customHeight="1" x14ac:dyDescent="0.3">
      <c r="B548" s="16"/>
      <c r="C548" s="16"/>
    </row>
    <row r="549" spans="2:3" ht="16.5" hidden="1" customHeight="1" x14ac:dyDescent="0.3">
      <c r="B549" s="16"/>
      <c r="C549" s="16"/>
    </row>
    <row r="550" spans="2:3" ht="16.5" hidden="1" customHeight="1" x14ac:dyDescent="0.3">
      <c r="B550" s="16"/>
      <c r="C550" s="16"/>
    </row>
    <row r="551" spans="2:3" ht="16.5" hidden="1" customHeight="1" x14ac:dyDescent="0.3">
      <c r="B551" s="16"/>
      <c r="C551" s="16"/>
    </row>
    <row r="552" spans="2:3" ht="16.5" hidden="1" customHeight="1" x14ac:dyDescent="0.3">
      <c r="B552" s="16"/>
      <c r="C552" s="16"/>
    </row>
    <row r="553" spans="2:3" ht="16.5" hidden="1" customHeight="1" x14ac:dyDescent="0.3">
      <c r="B553" s="16"/>
      <c r="C553" s="16"/>
    </row>
    <row r="554" spans="2:3" ht="16.5" hidden="1" customHeight="1" x14ac:dyDescent="0.3"/>
    <row r="555" spans="2:3" ht="16.5" hidden="1" customHeight="1" x14ac:dyDescent="0.3"/>
    <row r="556" spans="2:3" ht="16.5" hidden="1" customHeight="1" x14ac:dyDescent="0.3"/>
    <row r="557" spans="2:3" ht="16.5" hidden="1" customHeight="1" x14ac:dyDescent="0.3"/>
    <row r="558" spans="2:3" ht="16.5" hidden="1" customHeight="1" x14ac:dyDescent="0.3"/>
    <row r="559" spans="2:3" ht="16.5" hidden="1" customHeight="1" x14ac:dyDescent="0.3"/>
    <row r="560" spans="2:3" ht="16.5" hidden="1" customHeight="1" x14ac:dyDescent="0.3"/>
    <row r="561" ht="16.5" hidden="1" customHeight="1" x14ac:dyDescent="0.3"/>
    <row r="562" ht="16.5" hidden="1" customHeight="1" x14ac:dyDescent="0.3"/>
    <row r="563" ht="16.5" hidden="1" customHeight="1" x14ac:dyDescent="0.3"/>
    <row r="564" ht="16.5" hidden="1" customHeight="1" x14ac:dyDescent="0.3"/>
  </sheetData>
  <sheetProtection algorithmName="SHA-512" hashValue="5UDCROxgyJIM+BZeNzJ/RtSIzeoJdTyB49YInyniBMn9Ge3ANzkFpaCoZ9iCzd/mtU26DwKbKvmph0wGdgpuFw==" saltValue="aZoDl+zfrdQUbq6Hl8BoTA=="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Exch.Document.DC" shapeId="3077" r:id="rId4">
          <objectPr locked="0" defaultSize="0" r:id="rId5">
            <anchor moveWithCells="1">
              <from>
                <xdr:col>5</xdr:col>
                <xdr:colOff>594360</xdr:colOff>
                <xdr:row>10</xdr:row>
                <xdr:rowOff>198120</xdr:rowOff>
              </from>
              <to>
                <xdr:col>13</xdr:col>
                <xdr:colOff>45720</xdr:colOff>
                <xdr:row>41</xdr:row>
                <xdr:rowOff>121920</xdr:rowOff>
              </to>
            </anchor>
          </objectPr>
        </oleObject>
      </mc:Choice>
      <mc:Fallback>
        <oleObject progId="AcroExch.Document.DC" shapeId="3077"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topLeftCell="A4" zoomScaleNormal="100" workbookViewId="0">
      <selection activeCell="W12" sqref="W12"/>
    </sheetView>
  </sheetViews>
  <sheetFormatPr defaultColWidth="0" defaultRowHeight="0" customHeight="1" zeroHeight="1" x14ac:dyDescent="0.3"/>
  <cols>
    <col min="1" max="3" width="2.109375" style="1" customWidth="1"/>
    <col min="4" max="4" width="18.6640625" style="1" customWidth="1"/>
    <col min="5" max="8" width="9.109375" style="1" customWidth="1"/>
    <col min="9" max="9" width="7" style="1" customWidth="1"/>
    <col min="10" max="12" width="9.109375" style="1" customWidth="1"/>
    <col min="13" max="13" width="12.109375" style="1" customWidth="1"/>
    <col min="14" max="14" width="5.6640625" style="1" customWidth="1"/>
    <col min="15" max="15" width="9.109375" style="1" customWidth="1"/>
    <col min="16" max="16" width="30" style="1" customWidth="1"/>
    <col min="17" max="17" width="13.6640625" style="1" bestFit="1" customWidth="1"/>
    <col min="18" max="18" width="12.88671875" style="1" bestFit="1" customWidth="1"/>
    <col min="19" max="19" width="6.5546875" style="1" bestFit="1" customWidth="1"/>
    <col min="20" max="20" width="12.88671875" style="1" bestFit="1" customWidth="1"/>
    <col min="21" max="21" width="6.5546875" style="1" bestFit="1" customWidth="1"/>
    <col min="22" max="22" width="12.88671875" style="1" bestFit="1" customWidth="1"/>
    <col min="23" max="23" width="6.5546875" style="1" bestFit="1" customWidth="1"/>
    <col min="24" max="31" width="9.109375" style="1" customWidth="1"/>
    <col min="32" max="16384" width="9.109375" style="1" hidden="1"/>
  </cols>
  <sheetData>
    <row r="1" spans="1:23" ht="15.75" customHeight="1" x14ac:dyDescent="0.6">
      <c r="B1" s="2"/>
      <c r="C1" s="2"/>
      <c r="E1" s="6"/>
      <c r="F1" s="724"/>
      <c r="G1" s="724"/>
      <c r="H1" s="724"/>
      <c r="I1" s="724"/>
      <c r="J1" s="724"/>
      <c r="K1" s="725"/>
      <c r="L1" s="725"/>
      <c r="M1" s="725"/>
      <c r="N1" s="725"/>
      <c r="O1" s="725"/>
    </row>
    <row r="2" spans="1:23" ht="15.75" customHeight="1" x14ac:dyDescent="0.3">
      <c r="B2" s="2"/>
      <c r="C2" s="2"/>
      <c r="D2" s="719"/>
      <c r="E2" s="719"/>
    </row>
    <row r="3" spans="1:23" ht="15.75" customHeight="1" x14ac:dyDescent="0.6">
      <c r="A3" s="6"/>
      <c r="B3" s="6"/>
      <c r="C3" s="6"/>
      <c r="D3" s="6"/>
      <c r="E3" s="6"/>
      <c r="F3" s="7"/>
      <c r="G3" s="7"/>
      <c r="H3" s="7"/>
      <c r="I3" s="7"/>
      <c r="J3" s="7"/>
      <c r="K3" s="7"/>
      <c r="L3" s="7"/>
      <c r="M3" s="7"/>
      <c r="N3" s="7"/>
      <c r="O3" s="7"/>
      <c r="P3" s="7"/>
      <c r="Q3" s="722" t="s">
        <v>15</v>
      </c>
      <c r="R3" s="723"/>
      <c r="S3" s="723"/>
    </row>
    <row r="4" spans="1:23" ht="35.25" customHeight="1" x14ac:dyDescent="0.6">
      <c r="A4" s="6"/>
      <c r="B4" s="6"/>
      <c r="C4" s="6"/>
      <c r="D4" s="6"/>
      <c r="E4" s="6"/>
      <c r="F4" s="7"/>
      <c r="G4" s="7"/>
      <c r="H4" s="7"/>
      <c r="I4" s="7"/>
      <c r="J4" s="7"/>
      <c r="K4" s="7"/>
      <c r="L4" s="7"/>
      <c r="M4" s="7"/>
      <c r="N4" s="7"/>
      <c r="O4" s="7"/>
      <c r="P4" s="7"/>
      <c r="Q4" s="717" t="s">
        <v>16</v>
      </c>
      <c r="R4" s="720" t="s">
        <v>17</v>
      </c>
      <c r="S4" s="720"/>
      <c r="T4" s="720"/>
      <c r="U4" s="720"/>
      <c r="V4" s="720"/>
      <c r="W4" s="721"/>
    </row>
    <row r="5" spans="1:23" ht="16.5" customHeight="1" x14ac:dyDescent="0.6">
      <c r="A5" s="6"/>
      <c r="B5" s="6"/>
      <c r="C5" s="6"/>
      <c r="D5" s="6"/>
      <c r="E5" s="6"/>
      <c r="F5" s="4"/>
      <c r="G5" s="4"/>
      <c r="H5" s="4"/>
      <c r="I5" s="4"/>
      <c r="J5" s="4"/>
      <c r="K5" s="4"/>
      <c r="L5" s="4"/>
      <c r="M5" s="4"/>
      <c r="N5" s="4"/>
      <c r="O5" s="4"/>
      <c r="P5" s="4"/>
      <c r="Q5" s="718"/>
      <c r="R5" s="628" t="s">
        <v>18</v>
      </c>
      <c r="S5" s="629" t="s">
        <v>19</v>
      </c>
      <c r="T5" s="630" t="s">
        <v>20</v>
      </c>
      <c r="U5" s="629" t="s">
        <v>19</v>
      </c>
      <c r="V5" s="629" t="s">
        <v>21</v>
      </c>
      <c r="W5" s="629" t="s">
        <v>19</v>
      </c>
    </row>
    <row r="6" spans="1:23" ht="16.5" customHeight="1" x14ac:dyDescent="0.6">
      <c r="B6" s="2"/>
      <c r="C6" s="2"/>
      <c r="D6" s="6"/>
      <c r="E6" s="6"/>
      <c r="F6" s="4"/>
      <c r="G6" s="4"/>
      <c r="H6" s="4"/>
      <c r="I6" s="4"/>
      <c r="J6" s="4"/>
      <c r="K6" s="4"/>
      <c r="L6" s="4"/>
      <c r="M6" s="4"/>
      <c r="N6" s="4"/>
      <c r="O6" s="4"/>
      <c r="P6" s="4"/>
      <c r="Q6" s="627" t="s">
        <v>22</v>
      </c>
      <c r="R6" s="21"/>
      <c r="S6" s="562">
        <f>R6*'G-3 Multipliers'!$Z$4</f>
        <v>0</v>
      </c>
      <c r="T6" s="21"/>
      <c r="U6" s="562">
        <f>T6*'G-3 Multipliers'!$Z$4</f>
        <v>0</v>
      </c>
      <c r="V6" s="21"/>
      <c r="W6" s="562">
        <f>V6*'G-3 Multipliers'!$Z$4</f>
        <v>0</v>
      </c>
    </row>
    <row r="7" spans="1:23" ht="16.5" customHeight="1" x14ac:dyDescent="0.6">
      <c r="B7" s="2"/>
      <c r="C7" s="6"/>
      <c r="D7" s="6"/>
      <c r="E7" s="6"/>
      <c r="F7" s="4"/>
      <c r="G7" s="4"/>
      <c r="H7" s="4"/>
      <c r="I7" s="4"/>
      <c r="J7" s="4"/>
      <c r="K7" s="4"/>
      <c r="L7" s="4"/>
      <c r="M7" s="4"/>
      <c r="N7" s="4"/>
      <c r="O7" s="4"/>
      <c r="P7" s="4"/>
      <c r="Q7" s="627" t="s">
        <v>23</v>
      </c>
      <c r="R7" s="21"/>
      <c r="S7" s="562">
        <f>R7*'G-3 Multipliers'!$Z$5</f>
        <v>0</v>
      </c>
      <c r="T7" s="21"/>
      <c r="U7" s="562">
        <f>T7*'G-3 Multipliers'!$Z$5</f>
        <v>0</v>
      </c>
      <c r="V7" s="21"/>
      <c r="W7" s="562">
        <f>V7*'G-3 Multipliers'!$Z$5</f>
        <v>0</v>
      </c>
    </row>
    <row r="8" spans="1:23" ht="18" customHeight="1" x14ac:dyDescent="0.6">
      <c r="B8" s="2"/>
      <c r="C8" s="2"/>
      <c r="D8" s="6"/>
      <c r="E8" s="6"/>
      <c r="F8" s="4"/>
      <c r="G8" s="4"/>
      <c r="H8" s="4"/>
      <c r="I8" s="4"/>
      <c r="J8" s="4"/>
      <c r="K8" s="4"/>
      <c r="L8" s="4"/>
      <c r="M8" s="4"/>
      <c r="N8" s="4"/>
      <c r="O8" s="4"/>
      <c r="P8" s="4"/>
      <c r="Q8" s="627" t="s">
        <v>24</v>
      </c>
      <c r="R8" s="21"/>
      <c r="S8" s="562">
        <f>R8*'G-3 Multipliers'!$Z$6</f>
        <v>0</v>
      </c>
      <c r="T8" s="21">
        <v>13</v>
      </c>
      <c r="U8" s="562">
        <f>T8*'G-3 Multipliers'!$Z$6</f>
        <v>0.9933955200000002</v>
      </c>
      <c r="V8" s="21"/>
      <c r="W8" s="562">
        <f>V8*'G-3 Multipliers'!$Z$6</f>
        <v>0</v>
      </c>
    </row>
    <row r="9" spans="1:23" ht="16.5" customHeight="1" x14ac:dyDescent="0.3">
      <c r="B9" s="2"/>
      <c r="C9" s="2"/>
      <c r="D9" s="3"/>
      <c r="E9" s="3"/>
      <c r="F9" s="4"/>
      <c r="G9" s="4"/>
      <c r="H9" s="4"/>
      <c r="I9" s="4"/>
      <c r="J9" s="4"/>
      <c r="K9" s="4"/>
      <c r="L9" s="4"/>
      <c r="M9" s="4"/>
      <c r="N9" s="4"/>
      <c r="O9" s="4"/>
      <c r="P9" s="4"/>
      <c r="Q9" s="627" t="s">
        <v>25</v>
      </c>
      <c r="R9" s="653">
        <f t="shared" ref="R9:W9" si="0">SUM(R6:R8)</f>
        <v>0</v>
      </c>
      <c r="S9" s="561">
        <f t="shared" si="0"/>
        <v>0</v>
      </c>
      <c r="T9" s="653">
        <f t="shared" si="0"/>
        <v>13</v>
      </c>
      <c r="U9" s="561">
        <f t="shared" si="0"/>
        <v>0.9933955200000002</v>
      </c>
      <c r="V9" s="653">
        <f t="shared" si="0"/>
        <v>0</v>
      </c>
      <c r="W9" s="561">
        <f t="shared" si="0"/>
        <v>0</v>
      </c>
    </row>
    <row r="10" spans="1:23" ht="30" customHeight="1" x14ac:dyDescent="0.4">
      <c r="B10" s="2"/>
      <c r="C10" s="2"/>
      <c r="D10" s="5"/>
      <c r="E10" s="5"/>
      <c r="F10" s="716"/>
      <c r="G10" s="716"/>
      <c r="H10" s="716"/>
      <c r="I10" s="716"/>
      <c r="J10" s="716"/>
      <c r="K10" s="716"/>
      <c r="L10" s="716"/>
      <c r="M10" s="716"/>
      <c r="N10" s="716"/>
      <c r="O10" s="716"/>
      <c r="P10" s="716"/>
    </row>
    <row r="11" spans="1:23" ht="16.5" customHeight="1" x14ac:dyDescent="0.3">
      <c r="B11" s="2"/>
      <c r="C11" s="2"/>
    </row>
    <row r="12" spans="1:23" ht="16.5" customHeight="1" x14ac:dyDescent="0.3">
      <c r="B12" s="2"/>
      <c r="C12" s="2"/>
    </row>
    <row r="13" spans="1:23" ht="16.5" customHeight="1" x14ac:dyDescent="0.3">
      <c r="B13" s="2"/>
      <c r="C13" s="2"/>
    </row>
    <row r="14" spans="1:23" ht="16.5" customHeight="1" x14ac:dyDescent="0.3">
      <c r="B14" s="2"/>
      <c r="C14" s="2"/>
    </row>
    <row r="15" spans="1:23" ht="16.5" customHeight="1" x14ac:dyDescent="0.3">
      <c r="B15" s="2"/>
      <c r="C15" s="2"/>
    </row>
    <row r="16" spans="1:23"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4.4" x14ac:dyDescent="0.3"/>
    <row r="28" ht="14.4" x14ac:dyDescent="0.3"/>
    <row r="29" ht="14.4" x14ac:dyDescent="0.3"/>
    <row r="30" ht="14.4" x14ac:dyDescent="0.3"/>
    <row r="31" ht="14.4" x14ac:dyDescent="0.3"/>
    <row r="32" ht="14.4" x14ac:dyDescent="0.3"/>
    <row r="33" ht="14.4" x14ac:dyDescent="0.3"/>
    <row r="34" ht="14.4" x14ac:dyDescent="0.3"/>
    <row r="35" ht="14.4" x14ac:dyDescent="0.3"/>
    <row r="36" ht="14.4" x14ac:dyDescent="0.3"/>
    <row r="37" ht="14.4" x14ac:dyDescent="0.3"/>
    <row r="38" ht="14.4" x14ac:dyDescent="0.3"/>
    <row r="39" ht="89.4" customHeight="1" x14ac:dyDescent="0.3"/>
    <row r="40" ht="14.4" x14ac:dyDescent="0.3"/>
    <row r="41" ht="14.4" x14ac:dyDescent="0.3"/>
    <row r="42" ht="14.4" x14ac:dyDescent="0.3"/>
    <row r="43" ht="14.4" x14ac:dyDescent="0.3"/>
    <row r="44" ht="14.4" x14ac:dyDescent="0.3"/>
    <row r="45" ht="14.4" x14ac:dyDescent="0.3"/>
    <row r="46" ht="14.4" x14ac:dyDescent="0.3"/>
    <row r="47" ht="14.4" x14ac:dyDescent="0.3"/>
    <row r="48" ht="14.4" x14ac:dyDescent="0.3"/>
    <row r="49" ht="14.4" x14ac:dyDescent="0.3"/>
    <row r="50" ht="14.4" x14ac:dyDescent="0.3"/>
    <row r="51" ht="14.4" x14ac:dyDescent="0.3"/>
    <row r="52" ht="18.600000000000001" customHeight="1" x14ac:dyDescent="0.3"/>
    <row r="53" ht="14.4" hidden="1" x14ac:dyDescent="0.3"/>
  </sheetData>
  <sheetProtection algorithmName="SHA-512" hashValue="KsIiue+T1lIunTSW7EjHhfhSF9IuOH4TH++Tz16v9e5fQI+i+Skp5F/RVsgKg3iPT9/2Oo/N0+rzouNsgwlk+A==" saltValue="b/bofErw0QyyjGc7T9Aegg==" spinCount="100000" sheet="1" objects="1" scenarios="1"/>
  <customSheetViews>
    <customSheetView guid="{8BDA793C-C9C5-4FC6-A0A5-F1109F6D4F22}" scale="70">
      <selection sqref="A1:XFD1048576"/>
    </customSheetView>
  </customSheetViews>
  <mergeCells count="7">
    <mergeCell ref="F1:J1"/>
    <mergeCell ref="K1:O1"/>
    <mergeCell ref="F10:P10"/>
    <mergeCell ref="Q4:Q5"/>
    <mergeCell ref="D2:E2"/>
    <mergeCell ref="R4:W4"/>
    <mergeCell ref="Q3:S3"/>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Normal="100" workbookViewId="0"/>
  </sheetViews>
  <sheetFormatPr defaultColWidth="0" defaultRowHeight="0" customHeight="1" zeroHeight="1" x14ac:dyDescent="0.25"/>
  <cols>
    <col min="1" max="3" width="2.109375" style="254" customWidth="1"/>
    <col min="4" max="4" width="18.6640625" style="254" customWidth="1"/>
    <col min="5" max="8" width="9.109375" style="254" customWidth="1"/>
    <col min="9" max="9" width="7" style="254" customWidth="1"/>
    <col min="10" max="12" width="9.109375" style="254" customWidth="1"/>
    <col min="13" max="13" width="12.109375" style="254" customWidth="1"/>
    <col min="14" max="14" width="5.6640625" style="254" customWidth="1"/>
    <col min="15" max="15" width="9.109375" style="254" customWidth="1"/>
    <col min="16" max="16" width="34.5546875" style="254" customWidth="1"/>
    <col min="17" max="17" width="13.6640625" style="254" bestFit="1" customWidth="1"/>
    <col min="18" max="18" width="19.33203125" style="254" customWidth="1"/>
    <col min="19" max="31" width="9.109375" style="254" customWidth="1"/>
    <col min="32" max="16384" width="9.109375" style="254" hidden="1"/>
  </cols>
  <sheetData>
    <row r="1" spans="1:18" ht="15.75" customHeight="1" x14ac:dyDescent="0.5">
      <c r="B1" s="255"/>
      <c r="C1" s="255"/>
      <c r="E1" s="256"/>
      <c r="F1" s="726"/>
      <c r="G1" s="726"/>
      <c r="H1" s="726"/>
      <c r="I1" s="726"/>
      <c r="J1" s="726"/>
      <c r="K1" s="727"/>
      <c r="L1" s="727"/>
      <c r="M1" s="727"/>
      <c r="N1" s="727"/>
      <c r="O1" s="727"/>
    </row>
    <row r="2" spans="1:18" ht="15.75" customHeight="1" x14ac:dyDescent="0.5">
      <c r="B2" s="255"/>
      <c r="C2" s="255"/>
      <c r="E2" s="256"/>
    </row>
    <row r="3" spans="1:18" ht="15.75" customHeight="1" x14ac:dyDescent="0.5">
      <c r="A3" s="256"/>
      <c r="B3" s="256"/>
      <c r="C3" s="256"/>
      <c r="D3" s="256"/>
      <c r="E3" s="256"/>
      <c r="F3" s="257"/>
      <c r="G3" s="257"/>
      <c r="H3" s="257"/>
      <c r="I3" s="257"/>
      <c r="J3" s="257"/>
      <c r="K3" s="257"/>
      <c r="L3" s="257"/>
      <c r="M3" s="257"/>
      <c r="N3" s="257"/>
      <c r="O3" s="257"/>
      <c r="P3" s="257"/>
    </row>
    <row r="4" spans="1:18" ht="16.5" customHeight="1" x14ac:dyDescent="0.5">
      <c r="A4" s="256"/>
      <c r="B4" s="256"/>
      <c r="C4" s="256"/>
      <c r="D4" s="256"/>
      <c r="E4" s="256"/>
      <c r="F4" s="257"/>
      <c r="G4" s="257"/>
      <c r="H4" s="257"/>
      <c r="I4" s="257"/>
      <c r="J4" s="257"/>
      <c r="K4" s="257"/>
      <c r="L4" s="257"/>
      <c r="M4" s="257"/>
      <c r="N4" s="257"/>
      <c r="O4" s="257"/>
      <c r="P4" s="257"/>
    </row>
    <row r="5" spans="1:18" ht="16.5" customHeight="1" x14ac:dyDescent="0.5">
      <c r="A5" s="256"/>
      <c r="B5" s="256"/>
      <c r="C5" s="256"/>
      <c r="D5" s="256"/>
      <c r="E5" s="256"/>
      <c r="F5" s="258"/>
      <c r="G5" s="258"/>
      <c r="H5" s="258"/>
      <c r="I5" s="258"/>
      <c r="J5" s="258"/>
      <c r="K5" s="258"/>
      <c r="L5" s="258"/>
      <c r="M5" s="258"/>
      <c r="N5" s="258"/>
      <c r="O5" s="258"/>
      <c r="P5" s="258"/>
      <c r="Q5" s="258"/>
      <c r="R5" s="258"/>
    </row>
    <row r="6" spans="1:18" ht="16.5" customHeight="1" x14ac:dyDescent="0.5">
      <c r="B6" s="255"/>
      <c r="C6" s="255"/>
      <c r="D6" s="256"/>
      <c r="E6" s="256"/>
      <c r="F6" s="258"/>
      <c r="G6" s="258"/>
      <c r="H6" s="258"/>
      <c r="I6" s="258"/>
      <c r="J6" s="258"/>
      <c r="K6" s="258"/>
      <c r="L6" s="258"/>
      <c r="M6" s="258"/>
      <c r="N6" s="258"/>
      <c r="O6" s="258"/>
      <c r="P6" s="258"/>
      <c r="Q6" s="258"/>
      <c r="R6" s="258"/>
    </row>
    <row r="7" spans="1:18" ht="16.5" customHeight="1" x14ac:dyDescent="0.5">
      <c r="B7" s="255"/>
      <c r="C7" s="256"/>
      <c r="D7" s="256"/>
      <c r="E7" s="256"/>
      <c r="F7" s="258"/>
      <c r="G7" s="258"/>
      <c r="H7" s="258"/>
      <c r="I7" s="258"/>
      <c r="J7" s="258"/>
      <c r="K7" s="258"/>
      <c r="L7" s="258"/>
      <c r="M7" s="258"/>
      <c r="N7" s="258"/>
      <c r="O7" s="258"/>
      <c r="P7" s="258"/>
      <c r="Q7" s="258"/>
      <c r="R7" s="258"/>
    </row>
    <row r="8" spans="1:18" ht="16.5" customHeight="1" x14ac:dyDescent="0.5">
      <c r="B8" s="255"/>
      <c r="C8" s="255"/>
      <c r="D8" s="256"/>
      <c r="E8" s="256"/>
      <c r="F8" s="258"/>
      <c r="G8" s="258"/>
      <c r="H8" s="258"/>
      <c r="I8" s="258"/>
      <c r="J8" s="258"/>
      <c r="K8" s="258"/>
      <c r="L8" s="258"/>
      <c r="M8" s="258"/>
      <c r="N8" s="258"/>
      <c r="O8" s="258"/>
      <c r="P8" s="258"/>
      <c r="Q8" s="258"/>
      <c r="R8" s="258"/>
    </row>
    <row r="9" spans="1:18" ht="16.5" customHeight="1" x14ac:dyDescent="0.25">
      <c r="B9" s="255"/>
      <c r="C9" s="255"/>
      <c r="D9" s="259"/>
      <c r="E9" s="259"/>
      <c r="F9" s="258"/>
      <c r="G9" s="258"/>
      <c r="H9" s="258"/>
      <c r="I9" s="258"/>
      <c r="J9" s="258"/>
      <c r="K9" s="258"/>
      <c r="L9" s="258"/>
      <c r="M9" s="258"/>
      <c r="N9" s="258"/>
      <c r="O9" s="258"/>
      <c r="P9" s="258"/>
      <c r="Q9" s="258"/>
      <c r="R9" s="258"/>
    </row>
    <row r="10" spans="1:18" ht="30" customHeight="1" x14ac:dyDescent="0.35">
      <c r="B10" s="255"/>
      <c r="C10" s="255"/>
      <c r="D10" s="728"/>
      <c r="E10" s="728"/>
      <c r="F10" s="728"/>
      <c r="G10" s="728"/>
      <c r="H10" s="728"/>
      <c r="I10" s="728"/>
      <c r="J10" s="728"/>
      <c r="K10" s="728"/>
      <c r="L10" s="728"/>
      <c r="M10" s="728"/>
    </row>
    <row r="11" spans="1:18" ht="16.5" customHeight="1" x14ac:dyDescent="0.25">
      <c r="B11" s="255"/>
      <c r="C11" s="255"/>
    </row>
    <row r="12" spans="1:18" ht="16.5" customHeight="1" x14ac:dyDescent="0.25">
      <c r="B12" s="255"/>
      <c r="C12" s="255"/>
    </row>
    <row r="13" spans="1:18" ht="16.5" customHeight="1" x14ac:dyDescent="0.25">
      <c r="B13" s="255"/>
      <c r="C13" s="255"/>
    </row>
    <row r="14" spans="1:18" ht="16.5" customHeight="1" x14ac:dyDescent="0.25">
      <c r="B14" s="255"/>
      <c r="C14" s="255"/>
    </row>
    <row r="15" spans="1:18" ht="16.5" customHeight="1" x14ac:dyDescent="0.25">
      <c r="B15" s="255"/>
      <c r="C15" s="255"/>
    </row>
    <row r="16" spans="1:18"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3.8" x14ac:dyDescent="0.25"/>
    <row r="28" ht="13.8" x14ac:dyDescent="0.25"/>
    <row r="29" ht="13.8" x14ac:dyDescent="0.25"/>
    <row r="30" ht="13.8" x14ac:dyDescent="0.25"/>
    <row r="31" ht="13.8" x14ac:dyDescent="0.25"/>
    <row r="32" ht="13.8" x14ac:dyDescent="0.25"/>
    <row r="33" ht="13.8" x14ac:dyDescent="0.25"/>
    <row r="34" ht="13.8" x14ac:dyDescent="0.25"/>
    <row r="35" ht="13.8" x14ac:dyDescent="0.25"/>
    <row r="36" ht="13.8" x14ac:dyDescent="0.25"/>
    <row r="37" ht="13.8" x14ac:dyDescent="0.25"/>
    <row r="38" ht="13.8" x14ac:dyDescent="0.25"/>
    <row r="39" ht="13.8" x14ac:dyDescent="0.25"/>
    <row r="40" ht="13.8" x14ac:dyDescent="0.25"/>
    <row r="41" ht="13.8" x14ac:dyDescent="0.25"/>
    <row r="42" ht="13.8" x14ac:dyDescent="0.25"/>
    <row r="43" ht="13.8" x14ac:dyDescent="0.25"/>
    <row r="44" ht="13.8" x14ac:dyDescent="0.25"/>
    <row r="45" ht="13.8" x14ac:dyDescent="0.25"/>
    <row r="46" ht="13.8" x14ac:dyDescent="0.25"/>
    <row r="47" ht="13.8" x14ac:dyDescent="0.25"/>
    <row r="48" ht="13.8" x14ac:dyDescent="0.25"/>
    <row r="49" ht="13.8" x14ac:dyDescent="0.25"/>
    <row r="50" ht="13.8" x14ac:dyDescent="0.25"/>
    <row r="51" ht="13.8" x14ac:dyDescent="0.25"/>
    <row r="52" ht="13.8" x14ac:dyDescent="0.25"/>
    <row r="53" ht="13.8" hidden="1" x14ac:dyDescent="0.25"/>
  </sheetData>
  <sheetProtection algorithmName="SHA-512" hashValue="u3UYGN768vt0nRyPAko51SKC5EHdgTBrtS6h8UsMdz/CgmJgo3bU2f7Ew7XfRh6Qx1kZrMFT30ir0pv+ovBT3Q==" saltValue="fSSLIT+SnIlu5OTfzMi9nA=="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AY109"/>
  <sheetViews>
    <sheetView showGridLines="0" showRowColHeaders="0" topLeftCell="A7" zoomScaleNormal="100" workbookViewId="0">
      <selection activeCell="F24" sqref="F24:G24"/>
    </sheetView>
  </sheetViews>
  <sheetFormatPr defaultColWidth="0" defaultRowHeight="13.8" zeroHeight="1" x14ac:dyDescent="0.25"/>
  <cols>
    <col min="1" max="1" width="4.33203125" style="22" customWidth="1"/>
    <col min="2" max="2" width="31.44140625" style="22" customWidth="1"/>
    <col min="3" max="3" width="13.88671875" style="22" customWidth="1"/>
    <col min="4" max="4" width="13.44140625" style="22" customWidth="1"/>
    <col min="5" max="5" width="36.5546875" style="22" customWidth="1"/>
    <col min="6" max="7" width="11.6640625" style="22" customWidth="1"/>
    <col min="8" max="8" width="13.33203125" style="22" customWidth="1"/>
    <col min="9" max="9" width="11.6640625" style="22" customWidth="1"/>
    <col min="10" max="10" width="12.5546875" style="22" customWidth="1"/>
    <col min="11" max="11" width="33.109375" style="22" bestFit="1" customWidth="1"/>
    <col min="12" max="14" width="15" style="22" customWidth="1"/>
    <col min="15" max="15" width="8.88671875" style="22" customWidth="1"/>
    <col min="16" max="16" width="14.5546875" style="22" bestFit="1" customWidth="1"/>
    <col min="17" max="17" width="14" style="22" customWidth="1"/>
    <col min="18" max="18" width="12.33203125" style="22" customWidth="1"/>
    <col min="19" max="19" width="13.44140625" style="22" hidden="1" customWidth="1"/>
    <col min="20" max="20" width="10.5546875" style="22" hidden="1" customWidth="1"/>
    <col min="21" max="30" width="8.88671875" style="22" hidden="1" customWidth="1"/>
    <col min="31" max="31" width="12.109375" style="22" hidden="1" customWidth="1"/>
    <col min="32" max="51" width="0" style="22" hidden="1" customWidth="1"/>
    <col min="52" max="16384" width="8.88671875" style="22" hidden="1"/>
  </cols>
  <sheetData>
    <row r="1" spans="2:22" ht="15.75" customHeight="1" thickBot="1" x14ac:dyDescent="0.3"/>
    <row r="2" spans="2:22" ht="19.2" customHeight="1" thickBot="1" x14ac:dyDescent="0.3">
      <c r="B2" s="744" t="str">
        <f>IF(Start!$F$12="","",Start!$F$12)</f>
        <v>Land at Doncaster Road, Goldthorpe, Rotherham</v>
      </c>
      <c r="C2" s="745"/>
      <c r="D2" s="746"/>
    </row>
    <row r="3" spans="2:22" ht="15.75" customHeight="1" x14ac:dyDescent="0.25">
      <c r="B3" s="729" t="str">
        <f ca="1">MID(CELL("filename",A1),FIND("]",CELL("filename",A1))+1,256)</f>
        <v>Headline Results</v>
      </c>
      <c r="C3" s="730"/>
      <c r="D3" s="731"/>
    </row>
    <row r="4" spans="2:22" ht="15.75" customHeight="1" thickBot="1" x14ac:dyDescent="0.3">
      <c r="B4" s="732"/>
      <c r="C4" s="733"/>
      <c r="D4" s="734"/>
    </row>
    <row r="5" spans="2:22" ht="9.9" customHeight="1" x14ac:dyDescent="0.25"/>
    <row r="6" spans="2:22" ht="9.9" customHeight="1" x14ac:dyDescent="0.5">
      <c r="B6" s="735"/>
      <c r="C6" s="735"/>
      <c r="K6" s="23"/>
      <c r="L6" s="23"/>
      <c r="M6" s="23"/>
      <c r="N6" s="23"/>
    </row>
    <row r="7" spans="2:22" ht="9.9" customHeight="1" thickBot="1" x14ac:dyDescent="0.55000000000000004">
      <c r="B7" s="24"/>
      <c r="C7" s="24"/>
      <c r="K7" s="23"/>
      <c r="L7" s="23"/>
      <c r="M7" s="23"/>
      <c r="N7" s="23"/>
      <c r="O7" s="25"/>
      <c r="Q7" s="25"/>
      <c r="R7" s="25"/>
    </row>
    <row r="8" spans="2:22" ht="21.9" customHeight="1" x14ac:dyDescent="0.5">
      <c r="B8" s="736" t="s">
        <v>26</v>
      </c>
      <c r="C8" s="737"/>
      <c r="D8" s="737"/>
      <c r="E8" s="737"/>
      <c r="F8" s="742" t="s">
        <v>27</v>
      </c>
      <c r="G8" s="743"/>
      <c r="H8" s="747">
        <f>IFERROR('A-1 Site Habitat Baseline'!Q259,"Check Data ⚠")</f>
        <v>2.5447199999999999</v>
      </c>
      <c r="I8" s="748"/>
      <c r="J8" s="26"/>
      <c r="K8" s="23"/>
      <c r="L8" s="23"/>
      <c r="M8" s="23"/>
      <c r="N8" s="23"/>
      <c r="O8" s="25"/>
      <c r="P8" s="25"/>
      <c r="Q8" s="25"/>
      <c r="R8" s="25"/>
      <c r="S8" s="25"/>
    </row>
    <row r="9" spans="2:22" ht="21.9" customHeight="1" x14ac:dyDescent="0.5">
      <c r="B9" s="738"/>
      <c r="C9" s="739"/>
      <c r="D9" s="739"/>
      <c r="E9" s="739"/>
      <c r="F9" s="749" t="s">
        <v>28</v>
      </c>
      <c r="G9" s="750"/>
      <c r="H9" s="751">
        <f>IFERROR('B-1 Site Hedge Baseline'!N258,"Check Data ⚠")</f>
        <v>4.3699999999999996E-2</v>
      </c>
      <c r="I9" s="752"/>
      <c r="K9" s="23"/>
      <c r="L9" s="23"/>
      <c r="M9" s="23"/>
      <c r="N9" s="23"/>
    </row>
    <row r="10" spans="2:22" ht="21.9" customHeight="1" thickBot="1" x14ac:dyDescent="0.55000000000000004">
      <c r="B10" s="740"/>
      <c r="C10" s="741"/>
      <c r="D10" s="741"/>
      <c r="E10" s="741"/>
      <c r="F10" s="753" t="s">
        <v>29</v>
      </c>
      <c r="G10" s="754"/>
      <c r="H10" s="755">
        <f>'C-1 Site River Baseline'!R258</f>
        <v>0</v>
      </c>
      <c r="I10" s="756"/>
      <c r="K10" s="23"/>
      <c r="L10" s="23"/>
      <c r="M10" s="23"/>
      <c r="N10" s="23"/>
    </row>
    <row r="11" spans="2:22" ht="4.5" customHeight="1" thickBot="1" x14ac:dyDescent="0.55000000000000004">
      <c r="H11" s="312"/>
      <c r="I11" s="312"/>
      <c r="K11" s="23"/>
      <c r="L11" s="23"/>
      <c r="M11" s="23"/>
      <c r="N11" s="23"/>
    </row>
    <row r="12" spans="2:22" ht="21.9" customHeight="1" x14ac:dyDescent="0.5">
      <c r="B12" s="736" t="s">
        <v>30</v>
      </c>
      <c r="C12" s="737"/>
      <c r="D12" s="737"/>
      <c r="E12" s="759"/>
      <c r="F12" s="742" t="s">
        <v>27</v>
      </c>
      <c r="G12" s="743"/>
      <c r="H12" s="762">
        <f>IFERROR('A-2 Site Habitat Creation'!Y257+'A-3 Site Habitat Enhancement'!AN258+'A-1 Site Habitat Baseline'!U259,"Check Data ⚠")</f>
        <v>2.6725887161742401</v>
      </c>
      <c r="I12" s="763"/>
      <c r="K12" s="23"/>
      <c r="L12" s="23"/>
      <c r="M12" s="23"/>
      <c r="N12" s="23"/>
      <c r="U12" s="735"/>
      <c r="V12" s="735"/>
    </row>
    <row r="13" spans="2:22" ht="21.9" customHeight="1" x14ac:dyDescent="0.5">
      <c r="B13" s="738"/>
      <c r="C13" s="739"/>
      <c r="D13" s="739"/>
      <c r="E13" s="760"/>
      <c r="F13" s="749" t="s">
        <v>28</v>
      </c>
      <c r="G13" s="750"/>
      <c r="H13" s="764">
        <f>IFERROR('B-2 Site Hedge Creation'!W260+'B-3 Site Hedge Enhancement'!AH258+'B-1 Site Hedge Baseline'!R258,"Check Data⚠")</f>
        <v>0.98760381141687981</v>
      </c>
      <c r="I13" s="765"/>
      <c r="K13" s="23"/>
      <c r="L13" s="23"/>
      <c r="M13" s="23"/>
      <c r="N13" s="23"/>
      <c r="U13" s="735"/>
      <c r="V13" s="735"/>
    </row>
    <row r="14" spans="2:22" ht="21.9" customHeight="1" thickBot="1" x14ac:dyDescent="0.55000000000000004">
      <c r="B14" s="740"/>
      <c r="C14" s="741"/>
      <c r="D14" s="741"/>
      <c r="E14" s="761"/>
      <c r="F14" s="753" t="s">
        <v>29</v>
      </c>
      <c r="G14" s="754"/>
      <c r="H14" s="755">
        <f>IFERROR('C-2 Site River Creation'!Z260 + 'C-3 Site River Enhancement'!AM258+'C-1 Site River Baseline'!V258,"Check Data ⚠")</f>
        <v>0</v>
      </c>
      <c r="I14" s="756"/>
      <c r="K14" s="23"/>
      <c r="L14" s="23"/>
      <c r="M14" s="23"/>
      <c r="N14" s="23"/>
    </row>
    <row r="15" spans="2:22" ht="4.5" customHeight="1" thickBot="1" x14ac:dyDescent="0.55000000000000004">
      <c r="B15" s="454"/>
      <c r="C15" s="454"/>
      <c r="D15" s="454"/>
      <c r="E15" s="454"/>
      <c r="F15" s="455"/>
      <c r="G15" s="455"/>
      <c r="H15" s="456"/>
      <c r="I15" s="456"/>
      <c r="K15" s="23"/>
      <c r="L15" s="23"/>
      <c r="M15" s="23"/>
      <c r="N15" s="23"/>
    </row>
    <row r="16" spans="2:22" ht="21.9" customHeight="1" x14ac:dyDescent="0.5">
      <c r="B16" s="736" t="s">
        <v>31</v>
      </c>
      <c r="C16" s="737"/>
      <c r="D16" s="737"/>
      <c r="E16" s="759"/>
      <c r="F16" s="742" t="s">
        <v>27</v>
      </c>
      <c r="G16" s="743"/>
      <c r="H16" s="782">
        <f>IF(H12=0,0,IF(AND(H8=0,H12&gt;0),1,IFERROR((H12/H8)-1,"Check Data ⚠")))</f>
        <v>5.0248638818510605E-2</v>
      </c>
      <c r="I16" s="783"/>
      <c r="J16" s="457"/>
      <c r="K16" s="23"/>
      <c r="L16" s="23"/>
      <c r="M16" s="23"/>
      <c r="N16" s="23"/>
    </row>
    <row r="17" spans="2:14" ht="21.9" customHeight="1" x14ac:dyDescent="0.5">
      <c r="B17" s="738"/>
      <c r="C17" s="739"/>
      <c r="D17" s="739"/>
      <c r="E17" s="760"/>
      <c r="F17" s="749" t="s">
        <v>28</v>
      </c>
      <c r="G17" s="750"/>
      <c r="H17" s="784">
        <f>IF(H13=0,0,IF(AND(H9=0,H13&gt;0),1,IFERROR((H13/H9)-1,"Check Data ⚠")))</f>
        <v>21.599629551873683</v>
      </c>
      <c r="I17" s="785"/>
      <c r="K17" s="23"/>
      <c r="L17" s="23"/>
      <c r="M17" s="23"/>
      <c r="N17" s="23"/>
    </row>
    <row r="18" spans="2:14" ht="21.9" customHeight="1" thickBot="1" x14ac:dyDescent="0.55000000000000004">
      <c r="B18" s="740"/>
      <c r="C18" s="741"/>
      <c r="D18" s="741"/>
      <c r="E18" s="761"/>
      <c r="F18" s="753" t="s">
        <v>29</v>
      </c>
      <c r="G18" s="786"/>
      <c r="H18" s="787">
        <f>IF(H14=0,0,IF(AND(H10=0,H14&gt;0),1,IFERROR((H14/H10)-1,"Check Data ⚠")))</f>
        <v>0</v>
      </c>
      <c r="I18" s="788"/>
      <c r="K18" s="23"/>
      <c r="L18" s="23"/>
      <c r="M18" s="23"/>
      <c r="N18" s="23"/>
    </row>
    <row r="19" spans="2:14" ht="24.9" customHeight="1" thickBot="1" x14ac:dyDescent="0.55000000000000004">
      <c r="H19" s="312"/>
      <c r="I19" s="312"/>
      <c r="K19" s="23"/>
      <c r="L19" s="23"/>
      <c r="M19" s="23"/>
      <c r="N19" s="23"/>
    </row>
    <row r="20" spans="2:14" ht="21.9" customHeight="1" x14ac:dyDescent="0.5">
      <c r="B20" s="736" t="s">
        <v>32</v>
      </c>
      <c r="C20" s="737"/>
      <c r="D20" s="737"/>
      <c r="E20" s="737"/>
      <c r="F20" s="742" t="s">
        <v>27</v>
      </c>
      <c r="G20" s="743"/>
      <c r="H20" s="766">
        <f>IFERROR('D-1 Off Site Habitat Baseline'!Q259,"Check Data ⚠")</f>
        <v>0</v>
      </c>
      <c r="I20" s="767"/>
      <c r="K20" s="23"/>
      <c r="L20" s="23"/>
      <c r="M20" s="23"/>
      <c r="N20" s="23"/>
    </row>
    <row r="21" spans="2:14" ht="21.9" customHeight="1" x14ac:dyDescent="0.5">
      <c r="B21" s="738"/>
      <c r="C21" s="739"/>
      <c r="D21" s="739"/>
      <c r="E21" s="739"/>
      <c r="F21" s="749" t="s">
        <v>28</v>
      </c>
      <c r="G21" s="750"/>
      <c r="H21" s="768">
        <f>IFERROR('E-1 Off Site Hedge Baseline'!N258,"Check Data ⚠")</f>
        <v>0</v>
      </c>
      <c r="I21" s="769"/>
      <c r="K21" s="23"/>
      <c r="L21" s="23"/>
      <c r="M21" s="23"/>
      <c r="N21" s="23"/>
    </row>
    <row r="22" spans="2:14" ht="21.9" customHeight="1" thickBot="1" x14ac:dyDescent="0.55000000000000004">
      <c r="B22" s="740"/>
      <c r="C22" s="741"/>
      <c r="D22" s="741"/>
      <c r="E22" s="741"/>
      <c r="F22" s="753" t="s">
        <v>29</v>
      </c>
      <c r="G22" s="754"/>
      <c r="H22" s="757">
        <f>IFERROR('F-1 Off Site River Baseline'!R258,"Check Data ⚠")</f>
        <v>0</v>
      </c>
      <c r="I22" s="758"/>
      <c r="K22" s="23"/>
      <c r="L22" s="23"/>
      <c r="M22" s="23"/>
      <c r="N22" s="23"/>
    </row>
    <row r="23" spans="2:14" ht="4.5" customHeight="1" thickBot="1" x14ac:dyDescent="0.55000000000000004">
      <c r="H23" s="312"/>
      <c r="I23" s="312"/>
      <c r="K23" s="23"/>
      <c r="L23" s="23"/>
      <c r="M23" s="23"/>
      <c r="N23" s="23"/>
    </row>
    <row r="24" spans="2:14" ht="21.9" customHeight="1" x14ac:dyDescent="0.5">
      <c r="B24" s="736" t="s">
        <v>33</v>
      </c>
      <c r="C24" s="737"/>
      <c r="D24" s="737"/>
      <c r="E24" s="759"/>
      <c r="F24" s="742" t="s">
        <v>27</v>
      </c>
      <c r="G24" s="743"/>
      <c r="H24" s="762">
        <f>IFERROR('D-1 Off Site Habitat Baseline'!$U$259+'D-2 Off Site Habitat Creation'!AA257+'D-3 Off Site Habitat Enhancment'!AP259,"Check Data ⚠")</f>
        <v>0</v>
      </c>
      <c r="I24" s="763"/>
      <c r="K24" s="23"/>
      <c r="L24" s="23"/>
      <c r="M24" s="23"/>
      <c r="N24" s="23"/>
    </row>
    <row r="25" spans="2:14" ht="21.9" customHeight="1" x14ac:dyDescent="0.5">
      <c r="B25" s="738"/>
      <c r="C25" s="739"/>
      <c r="D25" s="739"/>
      <c r="E25" s="760"/>
      <c r="F25" s="749" t="s">
        <v>28</v>
      </c>
      <c r="G25" s="750"/>
      <c r="H25" s="770">
        <f>IFERROR('E-1 Off Site Hedge Baseline'!R258+'E-2 Off Site Hedge Creation'!Y260+'E-3 Off Site Hedge Enhancement'!AJ258,"Check Data ⚠")</f>
        <v>0</v>
      </c>
      <c r="I25" s="765"/>
      <c r="K25" s="23"/>
      <c r="L25" s="23"/>
      <c r="M25" s="23"/>
      <c r="N25" s="23"/>
    </row>
    <row r="26" spans="2:14" ht="21.9" customHeight="1" thickBot="1" x14ac:dyDescent="0.55000000000000004">
      <c r="B26" s="740"/>
      <c r="C26" s="741"/>
      <c r="D26" s="741"/>
      <c r="E26" s="761"/>
      <c r="F26" s="753" t="s">
        <v>29</v>
      </c>
      <c r="G26" s="754"/>
      <c r="H26" s="755">
        <f>IFERROR('F-1 Off Site River Baseline'!V258+'F-2 Off Site River Creation'!AB260+'F-3 Off Site River Enhancement'!AO258,"Check Data ⚠")</f>
        <v>0</v>
      </c>
      <c r="I26" s="756"/>
      <c r="K26" s="23"/>
      <c r="L26" s="23"/>
      <c r="M26" s="23"/>
      <c r="N26" s="23"/>
    </row>
    <row r="27" spans="2:14" ht="24.9" customHeight="1" thickBot="1" x14ac:dyDescent="0.55000000000000004">
      <c r="H27" s="312"/>
      <c r="I27" s="312"/>
      <c r="K27" s="23"/>
      <c r="L27" s="23"/>
      <c r="M27" s="23"/>
      <c r="N27" s="23"/>
    </row>
    <row r="28" spans="2:14" ht="21.9" customHeight="1" x14ac:dyDescent="0.5">
      <c r="B28" s="736" t="s">
        <v>34</v>
      </c>
      <c r="C28" s="737"/>
      <c r="D28" s="737"/>
      <c r="E28" s="759"/>
      <c r="F28" s="742" t="s">
        <v>27</v>
      </c>
      <c r="G28" s="743"/>
      <c r="H28" s="762">
        <f>IFERROR((H12-H8)+((H24-H20)),"Check Data ⚠")</f>
        <v>0.12786871617424023</v>
      </c>
      <c r="I28" s="763"/>
      <c r="J28" s="777"/>
      <c r="K28" s="778"/>
      <c r="L28" s="23"/>
      <c r="M28" s="23"/>
      <c r="N28" s="23"/>
    </row>
    <row r="29" spans="2:14" ht="21.9" customHeight="1" x14ac:dyDescent="0.5">
      <c r="B29" s="738"/>
      <c r="C29" s="739"/>
      <c r="D29" s="739"/>
      <c r="E29" s="760"/>
      <c r="F29" s="749" t="s">
        <v>28</v>
      </c>
      <c r="G29" s="750"/>
      <c r="H29" s="770">
        <f>IFERROR((H13-H9)+((H25-H21)),"Check Data ⚠")</f>
        <v>0.94390381141687985</v>
      </c>
      <c r="I29" s="765"/>
      <c r="J29" s="777"/>
      <c r="K29" s="778"/>
      <c r="L29" s="23"/>
      <c r="M29" s="23"/>
      <c r="N29" s="23"/>
    </row>
    <row r="30" spans="2:14" ht="21.9" customHeight="1" thickBot="1" x14ac:dyDescent="0.55000000000000004">
      <c r="B30" s="740"/>
      <c r="C30" s="741"/>
      <c r="D30" s="741"/>
      <c r="E30" s="761"/>
      <c r="F30" s="753" t="s">
        <v>29</v>
      </c>
      <c r="G30" s="754"/>
      <c r="H30" s="755">
        <f>IFERROR((H14-H10)+((H26-H22)),"Check Data ⚠")</f>
        <v>0</v>
      </c>
      <c r="I30" s="756"/>
      <c r="J30" s="777"/>
      <c r="K30" s="778"/>
      <c r="L30" s="23"/>
      <c r="M30" s="23"/>
      <c r="N30" s="23"/>
    </row>
    <row r="31" spans="2:14" ht="4.5" customHeight="1" thickBot="1" x14ac:dyDescent="0.55000000000000004">
      <c r="H31" s="313"/>
      <c r="I31" s="313"/>
      <c r="K31" s="23"/>
      <c r="L31" s="23"/>
      <c r="M31" s="23"/>
      <c r="N31" s="23"/>
    </row>
    <row r="32" spans="2:14" ht="21.9" customHeight="1" x14ac:dyDescent="0.5">
      <c r="B32" s="736" t="s">
        <v>35</v>
      </c>
      <c r="C32" s="737"/>
      <c r="D32" s="737"/>
      <c r="E32" s="759"/>
      <c r="F32" s="742" t="s">
        <v>27</v>
      </c>
      <c r="G32" s="743"/>
      <c r="H32" s="782">
        <f>IF(H28=0,0,IF(AND(H8=0,H20=0,H28&gt;0),1,IFERROR((H28/H8),"Check Data ⚠")))</f>
        <v>5.0248638818510577E-2</v>
      </c>
      <c r="I32" s="783"/>
      <c r="J32" s="777"/>
      <c r="K32" s="778"/>
      <c r="L32" s="23"/>
      <c r="M32" s="23"/>
      <c r="N32" s="23"/>
    </row>
    <row r="33" spans="1:33" ht="21.9" customHeight="1" x14ac:dyDescent="0.5">
      <c r="A33" s="27"/>
      <c r="B33" s="738"/>
      <c r="C33" s="739"/>
      <c r="D33" s="739"/>
      <c r="E33" s="760"/>
      <c r="F33" s="749" t="s">
        <v>28</v>
      </c>
      <c r="G33" s="750"/>
      <c r="H33" s="784">
        <f>IF(H29=0,0,IF(AND(H9=0,H21=0,H29&gt;0),1,IFERROR((H29/H9),"Check Data ⚠")))</f>
        <v>21.599629551873683</v>
      </c>
      <c r="I33" s="785"/>
      <c r="J33" s="777"/>
      <c r="K33" s="778"/>
      <c r="L33" s="23"/>
      <c r="M33" s="23"/>
      <c r="N33" s="23"/>
    </row>
    <row r="34" spans="1:33" ht="21.9" customHeight="1" thickBot="1" x14ac:dyDescent="0.55000000000000004">
      <c r="A34" s="27"/>
      <c r="B34" s="740"/>
      <c r="C34" s="741"/>
      <c r="D34" s="741"/>
      <c r="E34" s="761"/>
      <c r="F34" s="753" t="s">
        <v>29</v>
      </c>
      <c r="G34" s="786"/>
      <c r="H34" s="787">
        <f>IF(H30=0,0,IF(AND(H10=0,H22=0,H30&gt;0),1,IFERROR((H30/H10),"Check Data ⚠")))</f>
        <v>0</v>
      </c>
      <c r="I34" s="788"/>
      <c r="J34" s="779"/>
      <c r="K34" s="780"/>
      <c r="L34" s="23"/>
      <c r="M34" s="23"/>
      <c r="N34" s="23"/>
    </row>
    <row r="35" spans="1:33" ht="24.9" customHeight="1" thickBot="1" x14ac:dyDescent="0.55000000000000004">
      <c r="B35" s="781"/>
      <c r="C35" s="781"/>
      <c r="D35" s="781"/>
      <c r="F35" s="28"/>
      <c r="G35" s="28"/>
      <c r="H35" s="28"/>
      <c r="I35" s="28"/>
      <c r="J35" s="28"/>
      <c r="K35" s="28"/>
      <c r="L35" s="28"/>
      <c r="M35" s="28"/>
    </row>
    <row r="36" spans="1:33" s="29" customFormat="1" ht="38.25" customHeight="1" thickBot="1" x14ac:dyDescent="0.3">
      <c r="B36" s="771" t="s">
        <v>36</v>
      </c>
      <c r="C36" s="772"/>
      <c r="D36" s="772"/>
      <c r="E36" s="773"/>
      <c r="F36" s="774" t="str">
        <f>IF(OR('Trading Summary'!G5="No ▲",'Trading Summary'!G6="No ▲",'Trading Summary'!G7="No ▲",'Trading Summary'!G8="No ▲"),"No - Check Trading Summary ▲","Yes ✓")</f>
        <v>No - Check Trading Summary ▲</v>
      </c>
      <c r="G36" s="775"/>
      <c r="H36" s="775"/>
      <c r="I36" s="776"/>
      <c r="J36" s="30"/>
      <c r="K36" s="30"/>
      <c r="L36" s="30"/>
      <c r="M36" s="30"/>
      <c r="N36" s="22"/>
      <c r="O36" s="22"/>
      <c r="P36" s="22"/>
      <c r="Q36" s="22"/>
      <c r="X36" s="22"/>
      <c r="Y36" s="22"/>
      <c r="Z36" s="22"/>
      <c r="AA36" s="22"/>
      <c r="AB36" s="22"/>
      <c r="AC36" s="22"/>
      <c r="AD36" s="22"/>
      <c r="AE36" s="22"/>
      <c r="AF36" s="22"/>
      <c r="AG36" s="22"/>
    </row>
    <row r="37" spans="1:33" ht="15.6" x14ac:dyDescent="0.25">
      <c r="B37" s="30"/>
      <c r="C37" s="30"/>
      <c r="D37" s="30"/>
      <c r="E37" s="30"/>
      <c r="F37" s="30"/>
      <c r="G37" s="30"/>
      <c r="H37" s="30"/>
      <c r="I37" s="30"/>
      <c r="J37" s="30"/>
      <c r="K37" s="30"/>
      <c r="L37" s="30"/>
      <c r="M37" s="30"/>
      <c r="X37" s="29"/>
      <c r="Y37" s="29"/>
      <c r="Z37" s="29"/>
      <c r="AA37" s="29"/>
      <c r="AB37" s="29"/>
    </row>
    <row r="38" spans="1:33" ht="15.6" x14ac:dyDescent="0.25">
      <c r="B38" s="30"/>
      <c r="C38" s="30"/>
      <c r="D38" s="30"/>
      <c r="E38" s="30"/>
      <c r="F38" s="30"/>
      <c r="G38" s="30"/>
      <c r="H38" s="30"/>
      <c r="I38" s="30"/>
      <c r="J38" s="30"/>
      <c r="K38" s="30"/>
      <c r="L38" s="30"/>
      <c r="M38" s="30"/>
      <c r="X38" s="29"/>
      <c r="Y38" s="29"/>
      <c r="Z38" s="29"/>
      <c r="AA38" s="29"/>
      <c r="AB38" s="29"/>
    </row>
    <row r="39" spans="1:33" ht="15.6" hidden="1" x14ac:dyDescent="0.25">
      <c r="B39" s="30"/>
      <c r="C39" s="30"/>
      <c r="D39" s="30"/>
      <c r="E39" s="30"/>
      <c r="F39" s="30"/>
      <c r="G39" s="30"/>
      <c r="H39" s="30"/>
      <c r="I39" s="30"/>
      <c r="J39" s="30"/>
      <c r="K39" s="30"/>
      <c r="L39" s="30"/>
      <c r="M39" s="30"/>
      <c r="X39" s="29"/>
      <c r="Y39" s="29"/>
      <c r="Z39" s="29"/>
      <c r="AA39" s="29"/>
      <c r="AB39" s="29"/>
    </row>
    <row r="40" spans="1:33" ht="15.75" hidden="1" customHeight="1" x14ac:dyDescent="0.25"/>
    <row r="46" spans="1:33" ht="15.75" hidden="1" customHeight="1" x14ac:dyDescent="0.25"/>
    <row r="47" spans="1:33" ht="15.75" hidden="1" customHeight="1" x14ac:dyDescent="0.25"/>
    <row r="48" spans="1:33" ht="15.75" hidden="1" customHeight="1" x14ac:dyDescent="0.25"/>
    <row r="49" ht="15.75" hidden="1" customHeight="1" x14ac:dyDescent="0.25"/>
    <row r="50" ht="15.75" hidden="1" customHeight="1" x14ac:dyDescent="0.25"/>
    <row r="51" ht="15.75" hidden="1" customHeight="1" x14ac:dyDescent="0.25"/>
    <row r="52" ht="15.75" hidden="1" customHeight="1" x14ac:dyDescent="0.25"/>
    <row r="53" ht="15.75" hidden="1" customHeight="1" x14ac:dyDescent="0.25"/>
    <row r="54" ht="15.75" hidden="1" customHeight="1" x14ac:dyDescent="0.25"/>
    <row r="55" ht="15.75" hidden="1" customHeight="1" x14ac:dyDescent="0.25"/>
    <row r="56" ht="15.75" hidden="1" customHeight="1" x14ac:dyDescent="0.25"/>
    <row r="57" ht="15.75" hidden="1" customHeight="1" x14ac:dyDescent="0.25"/>
    <row r="58" ht="15.75" hidden="1" customHeight="1" x14ac:dyDescent="0.25"/>
    <row r="59" ht="15.75" hidden="1" customHeight="1" x14ac:dyDescent="0.25"/>
    <row r="60" ht="15.75" hidden="1" customHeight="1" x14ac:dyDescent="0.25"/>
    <row r="61" ht="15.75" hidden="1" customHeight="1" x14ac:dyDescent="0.25"/>
    <row r="62" ht="15.75" hidden="1" customHeight="1" x14ac:dyDescent="0.25"/>
    <row r="63" ht="15.75" hidden="1" customHeight="1" x14ac:dyDescent="0.25"/>
    <row r="90" ht="21.6" hidden="1" customHeight="1" x14ac:dyDescent="0.25"/>
    <row r="103" ht="64.95" hidden="1" customHeight="1" x14ac:dyDescent="0.25"/>
    <row r="106" ht="29.4" hidden="1" customHeight="1" x14ac:dyDescent="0.25"/>
    <row r="109" x14ac:dyDescent="0.25"/>
  </sheetData>
  <sheetProtection algorithmName="SHA-512" hashValue="drXQeXeTieQq3KvcFwj/cxLIN2H5Q6qsF5ZKEqe2bGeexloOmzzQGfoU1dPsgoavfKuDdvZIbMRP+CkX8YKQaQ==" saltValue="zxTLo31H9YhZEGTrp4NnzA==" spinCount="100000" sheet="1" objects="1" scenarios="1"/>
  <customSheetViews>
    <customSheetView guid="{8BDA793C-C9C5-4FC6-A0A5-F1109F6D4F22}" state="hidden" topLeftCell="A23">
      <selection activeCell="D14" sqref="D14"/>
    </customSheetView>
  </customSheetViews>
  <mergeCells count="62">
    <mergeCell ref="F16:G16"/>
    <mergeCell ref="H16:I16"/>
    <mergeCell ref="F17:G17"/>
    <mergeCell ref="H17:I17"/>
    <mergeCell ref="F18:G18"/>
    <mergeCell ref="H18:I18"/>
    <mergeCell ref="B36:E36"/>
    <mergeCell ref="F36:I36"/>
    <mergeCell ref="J28:K28"/>
    <mergeCell ref="J29:K29"/>
    <mergeCell ref="J30:K30"/>
    <mergeCell ref="J32:K32"/>
    <mergeCell ref="J33:K33"/>
    <mergeCell ref="J34:K34"/>
    <mergeCell ref="B35:D35"/>
    <mergeCell ref="B32:E34"/>
    <mergeCell ref="F32:G32"/>
    <mergeCell ref="H32:I32"/>
    <mergeCell ref="F33:G33"/>
    <mergeCell ref="H33:I33"/>
    <mergeCell ref="F34:G34"/>
    <mergeCell ref="H34:I34"/>
    <mergeCell ref="B28:E30"/>
    <mergeCell ref="F28:G28"/>
    <mergeCell ref="H28:I28"/>
    <mergeCell ref="F29:G29"/>
    <mergeCell ref="H29:I29"/>
    <mergeCell ref="F30:G30"/>
    <mergeCell ref="H30:I30"/>
    <mergeCell ref="B24:E26"/>
    <mergeCell ref="F24:G24"/>
    <mergeCell ref="H24:I24"/>
    <mergeCell ref="F25:G25"/>
    <mergeCell ref="H25:I25"/>
    <mergeCell ref="F26:G26"/>
    <mergeCell ref="H26:I26"/>
    <mergeCell ref="H22:I22"/>
    <mergeCell ref="B12:E14"/>
    <mergeCell ref="F12:G12"/>
    <mergeCell ref="H12:I12"/>
    <mergeCell ref="U12:V13"/>
    <mergeCell ref="F13:G13"/>
    <mergeCell ref="H13:I13"/>
    <mergeCell ref="F14:G14"/>
    <mergeCell ref="H14:I14"/>
    <mergeCell ref="B20:E22"/>
    <mergeCell ref="F20:G20"/>
    <mergeCell ref="H20:I20"/>
    <mergeCell ref="F21:G21"/>
    <mergeCell ref="H21:I21"/>
    <mergeCell ref="F22:G22"/>
    <mergeCell ref="B16:E18"/>
    <mergeCell ref="H8:I8"/>
    <mergeCell ref="F9:G9"/>
    <mergeCell ref="H9:I9"/>
    <mergeCell ref="F10:G10"/>
    <mergeCell ref="H10:I10"/>
    <mergeCell ref="B3:D4"/>
    <mergeCell ref="B6:C6"/>
    <mergeCell ref="B8:E10"/>
    <mergeCell ref="F8:G8"/>
    <mergeCell ref="B2:D2"/>
  </mergeCells>
  <conditionalFormatting sqref="K38:L39">
    <cfRule type="cellIs" dxfId="393" priority="50" operator="lessThan">
      <formula>0</formula>
    </cfRule>
    <cfRule type="cellIs" dxfId="392" priority="51" operator="greaterThan">
      <formula>0</formula>
    </cfRule>
  </conditionalFormatting>
  <conditionalFormatting sqref="L20:L21">
    <cfRule type="cellIs" dxfId="391" priority="45" operator="equal">
      <formula>"Error"</formula>
    </cfRule>
  </conditionalFormatting>
  <conditionalFormatting sqref="H28:I28">
    <cfRule type="cellIs" dxfId="390" priority="43" operator="equal">
      <formula>"Error"</formula>
    </cfRule>
  </conditionalFormatting>
  <conditionalFormatting sqref="H32:I32">
    <cfRule type="expression" dxfId="389" priority="24">
      <formula>AND(OR($H$8&gt;0,$H$20&gt;0),$H$32&lt;0.1)</formula>
    </cfRule>
    <cfRule type="expression" dxfId="388" priority="29">
      <formula>AND(OR($H$8&gt;0,$H$20&gt;0),$H$32&gt;=0.1)</formula>
    </cfRule>
  </conditionalFormatting>
  <conditionalFormatting sqref="L25:L26">
    <cfRule type="cellIs" dxfId="387" priority="41" operator="greaterThan">
      <formula>0</formula>
    </cfRule>
  </conditionalFormatting>
  <conditionalFormatting sqref="L8:L9">
    <cfRule type="cellIs" dxfId="386" priority="40" operator="equal">
      <formula>"Error"</formula>
    </cfRule>
  </conditionalFormatting>
  <conditionalFormatting sqref="L11">
    <cfRule type="cellIs" dxfId="385" priority="39" operator="equal">
      <formula>"Error"</formula>
    </cfRule>
  </conditionalFormatting>
  <conditionalFormatting sqref="L13:L18">
    <cfRule type="cellIs" dxfId="384" priority="37" operator="equal">
      <formula>"Error"</formula>
    </cfRule>
  </conditionalFormatting>
  <conditionalFormatting sqref="H33:I34">
    <cfRule type="cellIs" dxfId="383" priority="31" operator="equal">
      <formula>"Error"</formula>
    </cfRule>
  </conditionalFormatting>
  <conditionalFormatting sqref="H33:I34">
    <cfRule type="cellIs" dxfId="382" priority="30" operator="equal">
      <formula>"Error"</formula>
    </cfRule>
  </conditionalFormatting>
  <conditionalFormatting sqref="H33:I33">
    <cfRule type="expression" dxfId="381" priority="25">
      <formula>AND(OR($H$9&gt;0,$H$21&gt;0),$H$33&lt;0.1)</formula>
    </cfRule>
    <cfRule type="expression" dxfId="380" priority="28">
      <formula>$H$33&gt;=0.1</formula>
    </cfRule>
  </conditionalFormatting>
  <conditionalFormatting sqref="H34:I34">
    <cfRule type="expression" dxfId="379" priority="26">
      <formula>AND(OR($H$10&gt;0,$H$22&gt;0),$H$34&lt;0.1)</formula>
    </cfRule>
    <cfRule type="expression" dxfId="378" priority="27">
      <formula>$H$34&gt;=0.1</formula>
    </cfRule>
  </conditionalFormatting>
  <conditionalFormatting sqref="H8:I15 H19:I34">
    <cfRule type="containsText" dxfId="377" priority="18" operator="containsText" text="Check">
      <formula>NOT(ISERROR(SEARCH("Check",H8)))</formula>
    </cfRule>
    <cfRule type="containsText" dxfId="376" priority="42" operator="containsText" text="Error">
      <formula>NOT(ISERROR(SEARCH("Error",H8)))</formula>
    </cfRule>
  </conditionalFormatting>
  <conditionalFormatting sqref="F36:I36">
    <cfRule type="containsText" dxfId="375" priority="16" operator="containsText" text="No">
      <formula>NOT(ISERROR(SEARCH("No",F36)))</formula>
    </cfRule>
    <cfRule type="containsText" dxfId="374" priority="17" operator="containsText" text="Yes">
      <formula>NOT(ISERROR(SEARCH("Yes",F36)))</formula>
    </cfRule>
  </conditionalFormatting>
  <conditionalFormatting sqref="H17:I18">
    <cfRule type="cellIs" dxfId="373" priority="14" operator="equal">
      <formula>"Error"</formula>
    </cfRule>
  </conditionalFormatting>
  <conditionalFormatting sqref="H17:I18">
    <cfRule type="cellIs" dxfId="372" priority="13" operator="equal">
      <formula>"Error"</formula>
    </cfRule>
  </conditionalFormatting>
  <conditionalFormatting sqref="H16:I18">
    <cfRule type="containsText" dxfId="371" priority="6" operator="containsText" text="Check">
      <formula>NOT(ISERROR(SEARCH("Check",H16)))</formula>
    </cfRule>
    <cfRule type="containsText" dxfId="370" priority="15" operator="containsText" text="Error">
      <formula>NOT(ISERROR(SEARCH("Error",H16)))</formula>
    </cfRule>
  </conditionalFormatting>
  <conditionalFormatting sqref="H16:I16">
    <cfRule type="expression" dxfId="369" priority="7">
      <formula>AND($H$8&gt;0,$H$16&lt;0.1)</formula>
    </cfRule>
    <cfRule type="expression" dxfId="368" priority="12">
      <formula>AND($H$8&gt;0,$H$16&gt;=0.1)</formula>
    </cfRule>
  </conditionalFormatting>
  <conditionalFormatting sqref="H17:I17">
    <cfRule type="expression" dxfId="367" priority="2">
      <formula>$H$17&gt;=0.1</formula>
    </cfRule>
    <cfRule type="expression" dxfId="366" priority="4">
      <formula>AND($H$9&gt;0,$H$17&lt;0.1)</formula>
    </cfRule>
  </conditionalFormatting>
  <conditionalFormatting sqref="H18:I18">
    <cfRule type="expression" dxfId="365" priority="1">
      <formula>$H$18&gt;=0.1</formula>
    </cfRule>
    <cfRule type="expression" dxfId="364" priority="3">
      <formula>AND($H$10&gt;0,$H$18&lt;0.1)</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32" operator="equal" id="{6EEE2BFC-026C-4DBA-865F-850D56F4BDD9}">
            <xm:f>'G-1 All Habitats'!$X$6</xm:f>
            <x14:dxf>
              <fill>
                <patternFill>
                  <bgColor theme="7" tint="0.79998168889431442"/>
                </patternFill>
              </fill>
            </x14:dxf>
          </x14:cfRule>
          <x14:cfRule type="cellIs" priority="33" operator="equal" id="{B56D98BB-0AE5-4874-9D4E-3C4485D04071}">
            <xm:f>'G-1 All Habitats'!$X$7</xm:f>
            <x14:dxf>
              <fill>
                <patternFill>
                  <bgColor theme="4" tint="0.59996337778862885"/>
                </patternFill>
              </fill>
            </x14:dxf>
          </x14:cfRule>
          <x14:cfRule type="cellIs" priority="34" operator="equal" id="{E7D480FC-A0C4-44B1-A2E7-E2F87CB95EC5}">
            <xm:f>'G-1 All Habitats'!$X$5</xm:f>
            <x14:dxf>
              <fill>
                <patternFill>
                  <bgColor theme="7" tint="0.39994506668294322"/>
                </patternFill>
              </fill>
            </x14:dxf>
          </x14:cfRule>
          <x14:cfRule type="cellIs" priority="35" operator="equal" id="{90383316-2A46-4A3A-98B3-02D63A8114CA}">
            <xm:f>'G-1 All Habitats'!$X$4</xm:f>
            <x14:dxf>
              <fill>
                <patternFill>
                  <bgColor theme="5"/>
                </patternFill>
              </fill>
            </x14:dxf>
          </x14:cfRule>
          <x14:cfRule type="cellIs" priority="36" operator="equal" id="{0F6CE493-8FC3-4B19-8BC0-600EB317F0F4}">
            <xm:f>'G-1 All Habitats'!$X$3</xm:f>
            <x14:dxf>
              <fill>
                <patternFill>
                  <bgColor rgb="FFFF0000"/>
                </patternFill>
              </fill>
            </x14:dxf>
          </x14:cfRule>
          <xm:sqref>K25:K27 K31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4"/>
  <sheetViews>
    <sheetView showRowColHeaders="0" tabSelected="1" zoomScale="70" zoomScaleNormal="70" workbookViewId="0">
      <selection activeCell="H14" sqref="H14:I14"/>
    </sheetView>
  </sheetViews>
  <sheetFormatPr defaultColWidth="8.88671875" defaultRowHeight="13.8" x14ac:dyDescent="0.25"/>
  <cols>
    <col min="1" max="1" width="4.33203125" style="31" customWidth="1"/>
    <col min="2" max="2" width="72.88671875" style="31" customWidth="1"/>
    <col min="3" max="3" width="13.88671875" style="31" customWidth="1"/>
    <col min="4" max="4" width="18.33203125" style="31" customWidth="1"/>
    <col min="5" max="5" width="16" style="31" customWidth="1"/>
    <col min="6" max="6" width="14.5546875" style="31" customWidth="1"/>
    <col min="7" max="7" width="12.44140625" style="31" customWidth="1"/>
    <col min="8" max="8" width="15.5546875" style="31" customWidth="1"/>
    <col min="9" max="9" width="16.109375" style="31" customWidth="1"/>
    <col min="10" max="10" width="20.33203125" style="31" customWidth="1"/>
    <col min="11" max="11" width="23.33203125" style="31" customWidth="1"/>
    <col min="12" max="12" width="28.33203125" style="31" customWidth="1"/>
    <col min="13" max="13" width="15" style="31" customWidth="1"/>
    <col min="14" max="14" width="16.33203125" style="31" customWidth="1"/>
    <col min="15" max="15" width="11.109375" style="31" customWidth="1"/>
    <col min="16" max="16" width="16.33203125" style="31" customWidth="1"/>
    <col min="17" max="17" width="14" style="31" customWidth="1"/>
    <col min="18" max="18" width="12.33203125" style="31" customWidth="1"/>
    <col min="19" max="19" width="13.44140625" style="31" customWidth="1"/>
    <col min="20" max="20" width="10.5546875" style="31" customWidth="1"/>
    <col min="21" max="30" width="8.88671875" style="31"/>
    <col min="31" max="31" width="12.109375" style="31" customWidth="1"/>
    <col min="32" max="16384" width="8.88671875" style="31"/>
  </cols>
  <sheetData>
    <row r="1" spans="2:19" ht="15.75" customHeight="1" thickBot="1" x14ac:dyDescent="0.3"/>
    <row r="2" spans="2:19" ht="22.2" customHeight="1" thickBot="1" x14ac:dyDescent="0.3">
      <c r="B2" s="833" t="str">
        <f>IF(Start!$F$12="","",Start!$F$12)</f>
        <v>Land at Doncaster Road, Goldthorpe, Rotherham</v>
      </c>
      <c r="C2" s="834"/>
      <c r="D2" s="835"/>
    </row>
    <row r="3" spans="2:19" ht="19.95" customHeight="1" x14ac:dyDescent="0.25">
      <c r="B3" s="729" t="str">
        <f ca="1">MID(CELL("filename",A1),FIND("]",CELL("filename",A1))+1,256)</f>
        <v>Detailed Results</v>
      </c>
      <c r="C3" s="730"/>
      <c r="D3" s="731"/>
    </row>
    <row r="4" spans="2:19" ht="21.6" customHeight="1" thickBot="1" x14ac:dyDescent="0.3">
      <c r="B4" s="732"/>
      <c r="C4" s="733"/>
      <c r="D4" s="734"/>
    </row>
    <row r="5" spans="2:19" ht="15.75" customHeight="1" x14ac:dyDescent="0.25"/>
    <row r="6" spans="2:19" ht="25.5" customHeight="1" thickBot="1" x14ac:dyDescent="0.3"/>
    <row r="7" spans="2:19" ht="18.75" customHeight="1" x14ac:dyDescent="0.25">
      <c r="B7" s="840" t="s">
        <v>37</v>
      </c>
      <c r="C7" s="841"/>
    </row>
    <row r="8" spans="2:19" ht="20.25" customHeight="1" thickBot="1" x14ac:dyDescent="0.3">
      <c r="B8" s="842"/>
      <c r="C8" s="843"/>
    </row>
    <row r="9" spans="2:19" ht="15.75" customHeight="1" thickBot="1" x14ac:dyDescent="0.55000000000000004">
      <c r="B9" s="32"/>
      <c r="C9" s="32"/>
      <c r="O9" s="33"/>
      <c r="Q9" s="33"/>
      <c r="R9" s="33"/>
    </row>
    <row r="10" spans="2:19" ht="18" customHeight="1" x14ac:dyDescent="0.3">
      <c r="B10" s="736" t="s">
        <v>38</v>
      </c>
      <c r="C10" s="737"/>
      <c r="D10" s="737"/>
      <c r="E10" s="759"/>
      <c r="F10" s="846" t="s">
        <v>27</v>
      </c>
      <c r="G10" s="847"/>
      <c r="H10" s="844">
        <f>IFERROR('Headline Results'!$H$28:$I$28,"Check Data ⚠")</f>
        <v>0.12786871617424023</v>
      </c>
      <c r="I10" s="845"/>
      <c r="J10" s="34"/>
      <c r="O10" s="33"/>
      <c r="P10" s="33"/>
      <c r="Q10" s="33"/>
      <c r="R10" s="33"/>
      <c r="S10" s="33"/>
    </row>
    <row r="11" spans="2:19" ht="15.75" customHeight="1" x14ac:dyDescent="0.3">
      <c r="B11" s="738"/>
      <c r="C11" s="739"/>
      <c r="D11" s="739"/>
      <c r="E11" s="760"/>
      <c r="F11" s="850" t="s">
        <v>28</v>
      </c>
      <c r="G11" s="857"/>
      <c r="H11" s="855">
        <f>IFERROR('Headline Results'!$H$29:$I$29,"Check Data ⚠")</f>
        <v>0.94390381141687985</v>
      </c>
      <c r="I11" s="856"/>
    </row>
    <row r="12" spans="2:19" ht="18.600000000000001" customHeight="1" thickBot="1" x14ac:dyDescent="0.35">
      <c r="B12" s="740"/>
      <c r="C12" s="741"/>
      <c r="D12" s="741"/>
      <c r="E12" s="761"/>
      <c r="F12" s="836" t="s">
        <v>29</v>
      </c>
      <c r="G12" s="837"/>
      <c r="H12" s="838">
        <f>IFERROR('Headline Results'!$H$30:$I$30,"Check Data ⚠")</f>
        <v>0</v>
      </c>
      <c r="I12" s="839"/>
    </row>
    <row r="13" spans="2:19" ht="15.75" customHeight="1" thickBot="1" x14ac:dyDescent="0.3"/>
    <row r="14" spans="2:19" ht="18.75" customHeight="1" x14ac:dyDescent="0.25">
      <c r="B14" s="736" t="s">
        <v>39</v>
      </c>
      <c r="C14" s="737"/>
      <c r="D14" s="737"/>
      <c r="E14" s="759"/>
      <c r="F14" s="846" t="s">
        <v>27</v>
      </c>
      <c r="G14" s="854"/>
      <c r="H14" s="852">
        <f>IFERROR('Headline Results'!$H$32:$I$32,"Check Data ⚠")</f>
        <v>5.0248638818510577E-2</v>
      </c>
      <c r="I14" s="853"/>
    </row>
    <row r="15" spans="2:19" ht="18.75" customHeight="1" x14ac:dyDescent="0.25">
      <c r="B15" s="738"/>
      <c r="C15" s="739"/>
      <c r="D15" s="739"/>
      <c r="E15" s="760"/>
      <c r="F15" s="850" t="s">
        <v>28</v>
      </c>
      <c r="G15" s="851"/>
      <c r="H15" s="848">
        <f>IFERROR('Headline Results'!$H$33:$I$33,"Check Data ⚠")</f>
        <v>21.599629551873683</v>
      </c>
      <c r="I15" s="849"/>
    </row>
    <row r="16" spans="2:19" ht="18.75" customHeight="1" thickBot="1" x14ac:dyDescent="0.3">
      <c r="B16" s="740"/>
      <c r="C16" s="741"/>
      <c r="D16" s="741"/>
      <c r="E16" s="761"/>
      <c r="F16" s="836" t="s">
        <v>29</v>
      </c>
      <c r="G16" s="860"/>
      <c r="H16" s="858">
        <f>IFERROR('Headline Results'!$H$34:$I$34,"Check Data ⚠")</f>
        <v>0</v>
      </c>
      <c r="I16" s="859"/>
    </row>
    <row r="17" spans="2:9" ht="18.75" customHeight="1" thickBot="1" x14ac:dyDescent="0.3"/>
    <row r="18" spans="2:9" ht="25.5" customHeight="1" x14ac:dyDescent="0.25">
      <c r="B18" s="861" t="s">
        <v>40</v>
      </c>
      <c r="C18" s="861"/>
      <c r="D18" s="861"/>
      <c r="E18" s="861"/>
      <c r="F18" s="861"/>
      <c r="G18" s="861"/>
      <c r="H18" s="861"/>
      <c r="I18" s="861"/>
    </row>
    <row r="19" spans="2:9" ht="22.5" customHeight="1" thickBot="1" x14ac:dyDescent="0.3">
      <c r="B19" s="862"/>
      <c r="C19" s="862"/>
      <c r="D19" s="862"/>
      <c r="E19" s="862"/>
      <c r="F19" s="862"/>
      <c r="G19" s="862"/>
      <c r="H19" s="862"/>
      <c r="I19" s="862"/>
    </row>
    <row r="20" spans="2:9" ht="18.75" customHeight="1" thickBot="1" x14ac:dyDescent="0.55000000000000004">
      <c r="B20" s="829"/>
      <c r="C20" s="829"/>
      <c r="D20" s="832" t="s">
        <v>41</v>
      </c>
      <c r="E20" s="832"/>
      <c r="F20" s="832" t="s">
        <v>42</v>
      </c>
      <c r="G20" s="832"/>
      <c r="H20" s="832" t="s">
        <v>43</v>
      </c>
      <c r="I20" s="832"/>
    </row>
    <row r="21" spans="2:9" ht="18.75" customHeight="1" x14ac:dyDescent="0.25">
      <c r="B21" s="790" t="s">
        <v>44</v>
      </c>
      <c r="C21" s="791"/>
      <c r="D21" s="830">
        <f>IF(AND($K$40=0,'A-1 Site Habitat Baseline'!Y11:Y258&lt;&gt;"No",'D-1 Off Site Habitat Baseline'!Y11:Y258&lt;&gt;"No"),'A-1 Site Habitat Baseline'!$H259+'D-1 Off Site Habitat Baseline'!H259,"Error ▲")</f>
        <v>1.0905</v>
      </c>
      <c r="E21" s="830"/>
      <c r="F21" s="822">
        <f>'B-1 Site Hedge Baseline'!$E$258+'E-1 Off Site Hedge Baseline'!$E$258</f>
        <v>3.7999999999999999E-2</v>
      </c>
      <c r="G21" s="822"/>
      <c r="H21" s="822">
        <f>'C-1 Site River Baseline'!$E$258+'F-1 Off Site River Baseline'!$E$258</f>
        <v>0</v>
      </c>
      <c r="I21" s="823"/>
    </row>
    <row r="22" spans="2:9" ht="18.75" customHeight="1" thickBot="1" x14ac:dyDescent="0.3">
      <c r="B22" s="792" t="s">
        <v>45</v>
      </c>
      <c r="C22" s="793"/>
      <c r="D22" s="831">
        <f>IF(AND($K$40=0,'A-1 Site Habitat Baseline'!Y11:Y258&lt;&gt;"No",'D-1 Off Site Habitat Baseline'!Y11:Y258&lt;&gt;"No"),'A-1 Site Habitat Baseline'!$Q259+'D-1 Off Site Habitat Baseline'!Q259,"Error ▲")</f>
        <v>2.5447199999999999</v>
      </c>
      <c r="E22" s="831"/>
      <c r="F22" s="824">
        <f>'B-1 Site Hedge Baseline'!$N$258+'E-1 Off Site Hedge Baseline'!$N$258</f>
        <v>4.3699999999999996E-2</v>
      </c>
      <c r="G22" s="824"/>
      <c r="H22" s="824">
        <f>'C-1 Site River Baseline'!$R$258+'F-1 Off Site River Baseline'!$R$258</f>
        <v>0</v>
      </c>
      <c r="I22" s="825"/>
    </row>
    <row r="23" spans="2:9" ht="18.75" customHeight="1" thickBot="1" x14ac:dyDescent="0.3">
      <c r="D23" s="34"/>
      <c r="F23" s="34"/>
      <c r="H23" s="34"/>
    </row>
    <row r="24" spans="2:9" ht="18.75" customHeight="1" x14ac:dyDescent="0.25">
      <c r="B24" s="790" t="s">
        <v>46</v>
      </c>
      <c r="C24" s="791"/>
      <c r="D24" s="830">
        <f>IF(AND($K$40=0,'A-1 Site Habitat Baseline'!Y11:Y258&lt;&gt;"No",'D-1 Off Site Habitat Baseline'!Y11:Y258&lt;&gt;"No"),'A-1 Site Habitat Baseline'!$S259+'D-1 Off Site Habitat Baseline'!S259,"Error ▲")</f>
        <v>5.7599999999999998E-2</v>
      </c>
      <c r="E24" s="830"/>
      <c r="F24" s="822">
        <f>'B-1 Site Hedge Baseline'!$P$258+'E-1 Off Site Hedge Baseline'!$P$258</f>
        <v>3.7999999999999999E-2</v>
      </c>
      <c r="G24" s="822"/>
      <c r="H24" s="822">
        <f>'C-1 Site River Baseline'!T258+'F-1 Off Site River Baseline'!T258</f>
        <v>0</v>
      </c>
      <c r="I24" s="823"/>
    </row>
    <row r="25" spans="2:9" ht="18.75" customHeight="1" thickBot="1" x14ac:dyDescent="0.3">
      <c r="B25" s="792" t="s">
        <v>47</v>
      </c>
      <c r="C25" s="793"/>
      <c r="D25" s="831">
        <f>IF(AND($K$40=0,'A-1 Site Habitat Baseline'!Y11:Y258&lt;&gt;"No",'D-1 Off Site Habitat Baseline'!Y11:Y258&lt;&gt;"No"),'A-1 Site Habitat Baseline'!$U259+'D-1 Off Site Habitat Baseline'!U259,"Error ▲")</f>
        <v>0.52991999999999995</v>
      </c>
      <c r="E25" s="831"/>
      <c r="F25" s="824">
        <f>'B-1 Site Hedge Baseline'!R258+'E-1 Off Site Hedge Baseline'!R258</f>
        <v>4.3699999999999996E-2</v>
      </c>
      <c r="G25" s="824"/>
      <c r="H25" s="824">
        <f>'C-1 Site River Baseline'!V258+'F-1 Off Site River Baseline'!V258</f>
        <v>0</v>
      </c>
      <c r="I25" s="825"/>
    </row>
    <row r="26" spans="2:9" ht="18.75" customHeight="1" thickBot="1" x14ac:dyDescent="0.3">
      <c r="D26" s="34"/>
      <c r="F26" s="34"/>
      <c r="H26" s="34"/>
    </row>
    <row r="27" spans="2:9" ht="18.75" customHeight="1" x14ac:dyDescent="0.25">
      <c r="B27" s="790" t="s">
        <v>48</v>
      </c>
      <c r="C27" s="791"/>
      <c r="D27" s="830">
        <f>IF(AND($K$40=0,'A-1 Site Habitat Baseline'!Y11:Y258&lt;&gt;"No",'D-1 Off Site Habitat Baseline'!Y11:Y258&lt;&gt;"No"),'A-1 Site Habitat Baseline'!$T259+'D-1 Off Site Habitat Baseline'!T259,"Error ▲")</f>
        <v>0</v>
      </c>
      <c r="E27" s="830"/>
      <c r="F27" s="822">
        <f>'B-1 Site Hedge Baseline'!$Q$258+'E-1 Off Site Hedge Baseline'!$Q$258</f>
        <v>0</v>
      </c>
      <c r="G27" s="822"/>
      <c r="H27" s="822">
        <f>'C-1 Site River Baseline'!U258+'F-1 Off Site River Baseline'!U258</f>
        <v>0</v>
      </c>
      <c r="I27" s="823"/>
    </row>
    <row r="28" spans="2:9" ht="18.75" customHeight="1" thickBot="1" x14ac:dyDescent="0.3">
      <c r="B28" s="792" t="s">
        <v>49</v>
      </c>
      <c r="C28" s="793"/>
      <c r="D28" s="831">
        <f>IF(AND($K$40=0,'A-1 Site Habitat Baseline'!Y11:Y258&lt;&gt;"No",'D-1 Off Site Habitat Baseline'!Y11:Y258&lt;&gt;"No"),'A-1 Site Habitat Baseline'!$V259+'D-1 Off Site Habitat Baseline'!V259,"Error ▲")</f>
        <v>0</v>
      </c>
      <c r="E28" s="831"/>
      <c r="F28" s="824">
        <f>'B-1 Site Hedge Baseline'!$S$258+'E-1 Off Site Hedge Baseline'!$S$258</f>
        <v>0</v>
      </c>
      <c r="G28" s="824"/>
      <c r="H28" s="824">
        <f>'C-1 Site River Baseline'!W258+'F-1 Off Site River Baseline'!W258</f>
        <v>0</v>
      </c>
      <c r="I28" s="825"/>
    </row>
    <row r="29" spans="2:9" ht="18.75" customHeight="1" thickBot="1" x14ac:dyDescent="0.3">
      <c r="D29" s="34"/>
      <c r="F29" s="34"/>
      <c r="H29" s="34"/>
    </row>
    <row r="30" spans="2:9" ht="18.75" customHeight="1" x14ac:dyDescent="0.25">
      <c r="B30" s="790" t="s">
        <v>50</v>
      </c>
      <c r="C30" s="791"/>
      <c r="D30" s="830">
        <f>IF(AND($K$40=0,'A-1 Site Habitat Baseline'!Y11:Y258&lt;&gt;"No",'D-1 Off Site Habitat Baseline'!Y11:Y258&lt;&gt;"No"),'A-1 Site Habitat Baseline'!$W259+'D-1 Off Site Habitat Baseline'!W259,"Error ▲")</f>
        <v>1.0329000000000002</v>
      </c>
      <c r="E30" s="830"/>
      <c r="F30" s="822">
        <f>'B-1 Site Hedge Baseline'!$T$258+'E-1 Off Site Hedge Baseline'!$T$258</f>
        <v>0</v>
      </c>
      <c r="G30" s="822"/>
      <c r="H30" s="822">
        <f>'C-1 Site River Baseline'!X258+'F-1 Off Site River Baseline'!X258</f>
        <v>0</v>
      </c>
      <c r="I30" s="823"/>
    </row>
    <row r="31" spans="2:9" ht="18.75" customHeight="1" thickBot="1" x14ac:dyDescent="0.3">
      <c r="B31" s="792" t="s">
        <v>51</v>
      </c>
      <c r="C31" s="793"/>
      <c r="D31" s="831">
        <f>IF(AND($K$40=0,'A-1 Site Habitat Baseline'!Y11:Y258&lt;&gt;"No",'D-1 Off Site Habitat Baseline'!Y11:Y258&lt;&gt;"No"),'A-1 Site Habitat Baseline'!$X259+'D-1 Off Site Habitat Baseline'!X259,"Error ▲")</f>
        <v>2.0147999999999997</v>
      </c>
      <c r="E31" s="831"/>
      <c r="F31" s="824">
        <f>'B-1 Site Hedge Baseline'!$U$258+'E-1 Off Site Hedge Baseline'!$U$258</f>
        <v>0</v>
      </c>
      <c r="G31" s="824"/>
      <c r="H31" s="824">
        <f>'C-1 Site River Baseline'!Y258+'F-1 Off Site River Baseline'!Y258</f>
        <v>0</v>
      </c>
      <c r="I31" s="825"/>
    </row>
    <row r="32" spans="2:9" ht="25.95" customHeight="1" thickBot="1" x14ac:dyDescent="0.3">
      <c r="C32" s="34"/>
      <c r="D32" s="34"/>
      <c r="E32" s="34"/>
    </row>
    <row r="33" spans="1:22" s="334" customFormat="1" ht="43.95" customHeight="1" thickTop="1" thickBot="1" x14ac:dyDescent="0.3">
      <c r="A33" s="794" t="s">
        <v>52</v>
      </c>
      <c r="C33" s="335"/>
      <c r="D33" s="335"/>
      <c r="E33" s="335"/>
    </row>
    <row r="34" spans="1:22" ht="25.2" thickBot="1" x14ac:dyDescent="0.45">
      <c r="A34" s="795"/>
      <c r="B34" s="464" t="s">
        <v>53</v>
      </c>
    </row>
    <row r="35" spans="1:22" ht="18.75" customHeight="1" thickBot="1" x14ac:dyDescent="0.3">
      <c r="A35" s="795"/>
    </row>
    <row r="36" spans="1:22" ht="22.2" customHeight="1" thickBot="1" x14ac:dyDescent="0.35">
      <c r="A36" s="795"/>
      <c r="B36" s="806" t="s">
        <v>54</v>
      </c>
      <c r="C36" s="806"/>
      <c r="D36" s="806"/>
      <c r="E36" s="806"/>
      <c r="F36" s="806"/>
      <c r="G36" s="806"/>
      <c r="H36" s="806"/>
      <c r="J36" s="810" t="s">
        <v>55</v>
      </c>
      <c r="K36" s="811"/>
      <c r="L36" s="812"/>
    </row>
    <row r="37" spans="1:22" ht="34.200000000000003" customHeight="1" thickBot="1" x14ac:dyDescent="0.3">
      <c r="A37" s="795"/>
      <c r="B37" s="35"/>
      <c r="C37" s="789" t="s">
        <v>56</v>
      </c>
      <c r="D37" s="789"/>
      <c r="E37" s="789" t="s">
        <v>57</v>
      </c>
      <c r="F37" s="789"/>
      <c r="G37" s="789" t="s">
        <v>58</v>
      </c>
      <c r="H37" s="789"/>
      <c r="J37" s="813"/>
      <c r="K37" s="814"/>
      <c r="L37" s="815"/>
      <c r="U37" s="863"/>
      <c r="V37" s="863"/>
    </row>
    <row r="38" spans="1:22" ht="52.95" customHeight="1" thickBot="1" x14ac:dyDescent="0.3">
      <c r="A38" s="795"/>
      <c r="B38" s="324" t="s">
        <v>59</v>
      </c>
      <c r="C38" s="35" t="s">
        <v>60</v>
      </c>
      <c r="D38" s="35" t="s">
        <v>61</v>
      </c>
      <c r="E38" s="35" t="s">
        <v>62</v>
      </c>
      <c r="F38" s="35" t="s">
        <v>63</v>
      </c>
      <c r="G38" s="35" t="s">
        <v>64</v>
      </c>
      <c r="H38" s="35" t="s">
        <v>65</v>
      </c>
      <c r="J38" s="816" t="s">
        <v>66</v>
      </c>
      <c r="K38" s="818" t="s">
        <v>67</v>
      </c>
      <c r="L38" s="820" t="s">
        <v>68</v>
      </c>
      <c r="U38" s="863"/>
      <c r="V38" s="863"/>
    </row>
    <row r="39" spans="1:22" ht="15.6" x14ac:dyDescent="0.25">
      <c r="A39" s="795"/>
      <c r="B39" s="43" t="s">
        <v>69</v>
      </c>
      <c r="C39" s="465">
        <f>'G-2 Habitat groups'!$AK$4</f>
        <v>0</v>
      </c>
      <c r="D39" s="465">
        <f>'G-2 Habitat groups'!$AL$4</f>
        <v>0</v>
      </c>
      <c r="E39" s="465">
        <f>'G-2 Habitat groups'!$AM$4</f>
        <v>0</v>
      </c>
      <c r="F39" s="465">
        <f>'G-2 Habitat groups'!$AN$4</f>
        <v>0</v>
      </c>
      <c r="G39" s="465">
        <f>E39-C39</f>
        <v>0</v>
      </c>
      <c r="H39" s="465">
        <f>F39-D39</f>
        <v>0</v>
      </c>
      <c r="J39" s="817"/>
      <c r="K39" s="819"/>
      <c r="L39" s="821"/>
    </row>
    <row r="40" spans="1:22" ht="15.6" x14ac:dyDescent="0.25">
      <c r="A40" s="795"/>
      <c r="B40" s="37" t="s">
        <v>70</v>
      </c>
      <c r="C40" s="467">
        <f>'G-2 Habitat groups'!$AK$5</f>
        <v>7.3499999999999996E-2</v>
      </c>
      <c r="D40" s="467">
        <f>'G-2 Habitat groups'!$AL$5</f>
        <v>0.16904999999999998</v>
      </c>
      <c r="E40" s="467">
        <f>'G-2 Habitat groups'!$AM$5</f>
        <v>9.7100000000000006E-2</v>
      </c>
      <c r="F40" s="467">
        <f>'G-2 Habitat groups'!$AN$5</f>
        <v>0.747555814819992</v>
      </c>
      <c r="G40" s="467">
        <f t="shared" ref="G40:G50" si="0">E40-C40</f>
        <v>2.360000000000001E-2</v>
      </c>
      <c r="H40" s="467">
        <f t="shared" ref="H40:H50" si="1">F40-D40</f>
        <v>0.57850581481999197</v>
      </c>
      <c r="J40" s="802" t="str">
        <f>'G-1 All Habitats'!$V$3</f>
        <v>V.High</v>
      </c>
      <c r="K40" s="804">
        <f>SUMIF('A-1 Site Habitat Baseline'!$I$11:$I$258,'Detailed Results'!J40,'A-1 Site Habitat Baseline'!$W$11:$W$258)+SUMIF('D-1 Off Site Habitat Baseline'!$I$11:$I$258,'Detailed Results'!J40,'D-1 Off Site Habitat Baseline'!$W$11:$W$258)</f>
        <v>0</v>
      </c>
      <c r="L40" s="808" t="str">
        <f>IF(K40=0,"",(K40/(SUM($K$40:$K$49)))*100)</f>
        <v/>
      </c>
    </row>
    <row r="41" spans="1:22" ht="15.6" x14ac:dyDescent="0.25">
      <c r="A41" s="795"/>
      <c r="B41" s="37" t="s">
        <v>71</v>
      </c>
      <c r="C41" s="467">
        <f>'G-2 Habitat groups'!$AK$6</f>
        <v>0.2011</v>
      </c>
      <c r="D41" s="467">
        <f>'G-2 Habitat groups'!$AL$6</f>
        <v>1.3875899999999999</v>
      </c>
      <c r="E41" s="467">
        <f>'G-2 Habitat groups'!$AM$6</f>
        <v>9.4899999999999998E-2</v>
      </c>
      <c r="F41" s="467">
        <f>'G-2 Habitat groups'!$AN$6</f>
        <v>0.73061840191984795</v>
      </c>
      <c r="G41" s="467">
        <f t="shared" si="0"/>
        <v>-0.1062</v>
      </c>
      <c r="H41" s="467">
        <f t="shared" si="1"/>
        <v>-0.65697159808015193</v>
      </c>
      <c r="J41" s="803"/>
      <c r="K41" s="805"/>
      <c r="L41" s="809"/>
    </row>
    <row r="42" spans="1:22" ht="15.6" x14ac:dyDescent="0.25">
      <c r="A42" s="795"/>
      <c r="B42" s="37" t="s">
        <v>72</v>
      </c>
      <c r="C42" s="467">
        <f>'G-2 Habitat groups'!$AK$7</f>
        <v>0</v>
      </c>
      <c r="D42" s="467">
        <f>'G-2 Habitat groups'!$AL$7</f>
        <v>0</v>
      </c>
      <c r="E42" s="467">
        <f>'G-2 Habitat groups'!$AM$7</f>
        <v>0</v>
      </c>
      <c r="F42" s="467">
        <f>'G-2 Habitat groups'!$AN$7</f>
        <v>0</v>
      </c>
      <c r="G42" s="467">
        <f t="shared" si="0"/>
        <v>0</v>
      </c>
      <c r="H42" s="467">
        <f t="shared" si="1"/>
        <v>0</v>
      </c>
      <c r="J42" s="802" t="str">
        <f>'G-1 All Habitats'!$V$4</f>
        <v>High</v>
      </c>
      <c r="K42" s="804">
        <f>SUMIF('A-1 Site Habitat Baseline'!$I$11:$I$258,'Detailed Results'!J42,'A-1 Site Habitat Baseline'!$W$11:$W$258)+SUMIF('D-1 Off Site Habitat Baseline'!$I$11:$I$258,'Detailed Results'!J42,'D-1 Off Site Habitat Baseline'!$W$11:$W$258)</f>
        <v>0</v>
      </c>
      <c r="L42" s="808" t="str">
        <f>IF(K42=0,"",(K42/(SUM($K$40:$K$49)))*100)</f>
        <v/>
      </c>
    </row>
    <row r="43" spans="1:22" ht="15.6" x14ac:dyDescent="0.25">
      <c r="A43" s="795"/>
      <c r="B43" s="37" t="s">
        <v>73</v>
      </c>
      <c r="C43" s="467">
        <f>'G-2 Habitat groups'!$AK$8</f>
        <v>0</v>
      </c>
      <c r="D43" s="467">
        <f>'G-2 Habitat groups'!$AL$8</f>
        <v>0</v>
      </c>
      <c r="E43" s="467">
        <f>'G-2 Habitat groups'!$AM$8</f>
        <v>0</v>
      </c>
      <c r="F43" s="467">
        <f>'G-2 Habitat groups'!$AN$8</f>
        <v>0</v>
      </c>
      <c r="G43" s="467">
        <f t="shared" si="0"/>
        <v>0</v>
      </c>
      <c r="H43" s="467">
        <f t="shared" si="1"/>
        <v>0</v>
      </c>
      <c r="J43" s="803"/>
      <c r="K43" s="805"/>
      <c r="L43" s="809"/>
    </row>
    <row r="44" spans="1:22" ht="15.6" x14ac:dyDescent="0.25">
      <c r="A44" s="795"/>
      <c r="B44" s="37" t="s">
        <v>74</v>
      </c>
      <c r="C44" s="467">
        <f>'G-2 Habitat groups'!$AK$9</f>
        <v>0.81590000000000007</v>
      </c>
      <c r="D44" s="467">
        <f>'G-2 Habitat groups'!$AL$9</f>
        <v>0.98807999999999996</v>
      </c>
      <c r="E44" s="467">
        <f>'G-2 Habitat groups'!$AM$9</f>
        <v>1.0186999999999999</v>
      </c>
      <c r="F44" s="467">
        <f>'G-2 Habitat groups'!$AN$9</f>
        <v>1.1944144994343999</v>
      </c>
      <c r="G44" s="467">
        <f t="shared" si="0"/>
        <v>0.20279999999999987</v>
      </c>
      <c r="H44" s="467">
        <f t="shared" si="1"/>
        <v>0.20633449943439996</v>
      </c>
      <c r="J44" s="802" t="str">
        <f>'G-1 All Habitats'!$V5</f>
        <v>Medium</v>
      </c>
      <c r="K44" s="804">
        <f>SUMIF('A-1 Site Habitat Baseline'!$I$11:$I$258,'Detailed Results'!J44,'A-1 Site Habitat Baseline'!$W$11:$W$258)+SUMIF('D-1 Off Site Habitat Baseline'!$I$11:$I$258,'Detailed Results'!J44,'D-1 Off Site Habitat Baseline'!$W$11:$W$258)</f>
        <v>0.25090000000000001</v>
      </c>
      <c r="L44" s="808">
        <f>IF(K44=0,"",(K44/(SUM($K$40:$K$49)))*100)</f>
        <v>24.290831639074447</v>
      </c>
    </row>
    <row r="45" spans="1:22" ht="15.6" x14ac:dyDescent="0.25">
      <c r="A45" s="795"/>
      <c r="B45" s="37" t="s">
        <v>75</v>
      </c>
      <c r="C45" s="467">
        <f>'G-2 Habitat groups'!$AK$10</f>
        <v>0</v>
      </c>
      <c r="D45" s="467">
        <f>'G-2 Habitat groups'!$AL$10</f>
        <v>0</v>
      </c>
      <c r="E45" s="467">
        <f>'G-2 Habitat groups'!$AM$10</f>
        <v>0</v>
      </c>
      <c r="F45" s="467">
        <f>'G-2 Habitat groups'!$AN$10</f>
        <v>0</v>
      </c>
      <c r="G45" s="467">
        <f t="shared" si="0"/>
        <v>0</v>
      </c>
      <c r="H45" s="467">
        <f t="shared" si="1"/>
        <v>0</v>
      </c>
      <c r="J45" s="803"/>
      <c r="K45" s="805"/>
      <c r="L45" s="809"/>
    </row>
    <row r="46" spans="1:22" ht="15.6" x14ac:dyDescent="0.25">
      <c r="A46" s="795"/>
      <c r="B46" s="38" t="s">
        <v>76</v>
      </c>
      <c r="C46" s="467">
        <f>'G-2 Habitat groups'!$AK$11</f>
        <v>0</v>
      </c>
      <c r="D46" s="467">
        <f>'G-2 Habitat groups'!$AL$11</f>
        <v>0</v>
      </c>
      <c r="E46" s="467">
        <f>'G-2 Habitat groups'!$AM$11</f>
        <v>0</v>
      </c>
      <c r="F46" s="467">
        <f>'G-2 Habitat groups'!$AN$11</f>
        <v>0</v>
      </c>
      <c r="G46" s="467">
        <f t="shared" si="0"/>
        <v>0</v>
      </c>
      <c r="H46" s="467">
        <f t="shared" si="1"/>
        <v>0</v>
      </c>
      <c r="J46" s="802" t="str">
        <f>'G-1 All Habitats'!$V$6</f>
        <v>Low</v>
      </c>
      <c r="K46" s="804">
        <f>SUMIF('A-1 Site Habitat Baseline'!$I$11:$I$258,'Detailed Results'!J46,'A-1 Site Habitat Baseline'!$W$11:$W$258)+SUMIF('D-1 Off Site Habitat Baseline'!$I$11:$I$258,'Detailed Results'!J46,'D-1 Off Site Habitat Baseline'!$W$11:$W$258)</f>
        <v>7.3499999999999996E-2</v>
      </c>
      <c r="L46" s="808">
        <f>IF(K46=0,"",(K46/(SUM($K$40:$K$49)))*100)</f>
        <v>7.1158873075805973</v>
      </c>
    </row>
    <row r="47" spans="1:22" ht="15.6" x14ac:dyDescent="0.25">
      <c r="A47" s="795"/>
      <c r="B47" s="39" t="s">
        <v>77</v>
      </c>
      <c r="C47" s="467">
        <f>'G-2 Habitat groups'!$AK$12</f>
        <v>0</v>
      </c>
      <c r="D47" s="467">
        <f>'G-2 Habitat groups'!$AL$12</f>
        <v>0</v>
      </c>
      <c r="E47" s="467">
        <f>'G-2 Habitat groups'!$AM$12</f>
        <v>0</v>
      </c>
      <c r="F47" s="467">
        <f>'G-2 Habitat groups'!$AN$12</f>
        <v>0</v>
      </c>
      <c r="G47" s="467">
        <f t="shared" si="0"/>
        <v>0</v>
      </c>
      <c r="H47" s="467">
        <f t="shared" si="1"/>
        <v>0</v>
      </c>
      <c r="J47" s="803"/>
      <c r="K47" s="805"/>
      <c r="L47" s="809"/>
    </row>
    <row r="48" spans="1:22" ht="15.6" x14ac:dyDescent="0.25">
      <c r="A48" s="795"/>
      <c r="B48" s="39" t="s">
        <v>78</v>
      </c>
      <c r="C48" s="467">
        <f>'G-2 Habitat groups'!$AK$13</f>
        <v>0</v>
      </c>
      <c r="D48" s="467">
        <f>'G-2 Habitat groups'!$AL$13</f>
        <v>0</v>
      </c>
      <c r="E48" s="467">
        <f>'G-2 Habitat groups'!$AM$13</f>
        <v>0</v>
      </c>
      <c r="F48" s="467">
        <f>'G-2 Habitat groups'!$AN$13</f>
        <v>0</v>
      </c>
      <c r="G48" s="467">
        <f t="shared" si="0"/>
        <v>0</v>
      </c>
      <c r="H48" s="467">
        <f t="shared" si="1"/>
        <v>0</v>
      </c>
      <c r="J48" s="802" t="str">
        <f>'G-1 All Habitats'!$V$7</f>
        <v>V.Low</v>
      </c>
      <c r="K48" s="804">
        <f>SUMIF('A-1 Site Habitat Baseline'!$I$11:$I$258,'Detailed Results'!J48,'A-1 Site Habitat Baseline'!$W$11:$W$258)+SUMIF('D-1 Off Site Habitat Baseline'!$I$11:$I$258,'Detailed Results'!J48,'D-1 Off Site Habitat Baseline'!$W$11:$W$258)</f>
        <v>0.70850000000000002</v>
      </c>
      <c r="L48" s="808">
        <f>IF(K48=0,"",(K48/(SUM($K$40:$K$49)))*100)</f>
        <v>68.593281053344953</v>
      </c>
    </row>
    <row r="49" spans="1:33" ht="16.2" thickBot="1" x14ac:dyDescent="0.3">
      <c r="A49" s="795"/>
      <c r="B49" s="39" t="s">
        <v>79</v>
      </c>
      <c r="C49" s="467">
        <f>'G-2 Habitat groups'!$AK$14</f>
        <v>0</v>
      </c>
      <c r="D49" s="467">
        <f>'G-2 Habitat groups'!$AL$14</f>
        <v>0</v>
      </c>
      <c r="E49" s="467">
        <f>'G-2 Habitat groups'!$AM$14</f>
        <v>0</v>
      </c>
      <c r="F49" s="467">
        <f>'G-2 Habitat groups'!$AN$14</f>
        <v>0</v>
      </c>
      <c r="G49" s="467">
        <f t="shared" si="0"/>
        <v>0</v>
      </c>
      <c r="H49" s="467">
        <f t="shared" si="1"/>
        <v>0</v>
      </c>
      <c r="J49" s="807"/>
      <c r="K49" s="805"/>
      <c r="L49" s="809"/>
    </row>
    <row r="50" spans="1:33" ht="15.6" x14ac:dyDescent="0.25">
      <c r="A50" s="795"/>
      <c r="B50" s="39" t="s">
        <v>80</v>
      </c>
      <c r="C50" s="467">
        <f>'G-2 Habitat groups'!$AK$15</f>
        <v>0</v>
      </c>
      <c r="D50" s="467">
        <f>'G-2 Habitat groups'!$AL$15</f>
        <v>0</v>
      </c>
      <c r="E50" s="467">
        <f>'G-2 Habitat groups'!$AM$15</f>
        <v>0</v>
      </c>
      <c r="F50" s="467">
        <f>'G-2 Habitat groups'!$AN$15</f>
        <v>0</v>
      </c>
      <c r="G50" s="467">
        <f t="shared" si="0"/>
        <v>0</v>
      </c>
      <c r="H50" s="467">
        <f t="shared" si="1"/>
        <v>0</v>
      </c>
    </row>
    <row r="51" spans="1:33" ht="15.6" x14ac:dyDescent="0.25">
      <c r="A51" s="795"/>
      <c r="B51" s="39" t="s">
        <v>81</v>
      </c>
      <c r="C51" s="467">
        <f>'G-2 Habitat groups'!$AK$16</f>
        <v>0</v>
      </c>
      <c r="D51" s="467">
        <f>'G-2 Habitat groups'!$AL$16</f>
        <v>0</v>
      </c>
      <c r="E51" s="467">
        <f>'G-2 Habitat groups'!$AM$16</f>
        <v>0</v>
      </c>
      <c r="F51" s="467">
        <f>'G-2 Habitat groups'!$AN$16</f>
        <v>0</v>
      </c>
      <c r="G51" s="467">
        <f t="shared" ref="G51" si="2">E51-C51</f>
        <v>0</v>
      </c>
      <c r="H51" s="467">
        <f t="shared" ref="H51" si="3">F51-D51</f>
        <v>0</v>
      </c>
    </row>
    <row r="52" spans="1:33" ht="15.75" customHeight="1" x14ac:dyDescent="0.25">
      <c r="A52" s="795"/>
    </row>
    <row r="53" spans="1:33" ht="15.75" customHeight="1" x14ac:dyDescent="0.25">
      <c r="A53" s="795"/>
    </row>
    <row r="54" spans="1:33" ht="10.199999999999999" customHeight="1" thickBot="1" x14ac:dyDescent="0.3">
      <c r="A54" s="795"/>
    </row>
    <row r="55" spans="1:33" ht="22.95" customHeight="1" thickBot="1" x14ac:dyDescent="0.5">
      <c r="A55" s="795"/>
      <c r="B55" s="806" t="s">
        <v>82</v>
      </c>
      <c r="C55" s="806"/>
      <c r="D55" s="806"/>
      <c r="E55" s="806"/>
      <c r="F55" s="806"/>
      <c r="G55" s="806"/>
      <c r="H55" s="806"/>
      <c r="I55" s="41"/>
      <c r="J55" s="41"/>
      <c r="K55" s="41"/>
      <c r="L55" s="41"/>
      <c r="M55" s="41"/>
    </row>
    <row r="56" spans="1:33" s="42" customFormat="1" ht="38.25" customHeight="1" thickBot="1" x14ac:dyDescent="0.3">
      <c r="A56" s="795"/>
      <c r="B56" s="35"/>
      <c r="C56" s="789" t="s">
        <v>56</v>
      </c>
      <c r="D56" s="789"/>
      <c r="E56" s="789" t="s">
        <v>83</v>
      </c>
      <c r="F56" s="789"/>
      <c r="G56" s="789" t="s">
        <v>84</v>
      </c>
      <c r="H56" s="789"/>
      <c r="I56" s="40"/>
      <c r="J56" s="40"/>
      <c r="K56" s="31"/>
      <c r="L56" s="31"/>
      <c r="M56" s="31"/>
      <c r="N56" s="31"/>
      <c r="O56" s="31"/>
      <c r="P56" s="31"/>
      <c r="Q56" s="31"/>
      <c r="R56" s="31"/>
      <c r="S56" s="31"/>
      <c r="T56" s="31"/>
      <c r="U56" s="31"/>
      <c r="V56" s="31"/>
      <c r="W56" s="31"/>
      <c r="X56" s="31"/>
      <c r="Y56" s="31"/>
      <c r="Z56" s="31"/>
      <c r="AA56" s="31"/>
      <c r="AB56" s="31"/>
      <c r="AC56" s="31"/>
      <c r="AD56" s="31"/>
      <c r="AE56" s="31"/>
      <c r="AF56" s="31"/>
      <c r="AG56" s="31"/>
    </row>
    <row r="57" spans="1:33" ht="48" customHeight="1" thickBot="1" x14ac:dyDescent="0.3">
      <c r="A57" s="795"/>
      <c r="B57" s="324" t="s">
        <v>59</v>
      </c>
      <c r="C57" s="35" t="s">
        <v>60</v>
      </c>
      <c r="D57" s="35" t="s">
        <v>85</v>
      </c>
      <c r="E57" s="35" t="s">
        <v>86</v>
      </c>
      <c r="F57" s="35" t="s">
        <v>87</v>
      </c>
      <c r="G57" s="35" t="s">
        <v>88</v>
      </c>
      <c r="H57" s="35" t="s">
        <v>89</v>
      </c>
      <c r="I57" s="40"/>
      <c r="J57" s="40"/>
    </row>
    <row r="58" spans="1:33" ht="15.6" x14ac:dyDescent="0.25">
      <c r="A58" s="795"/>
      <c r="B58" s="43" t="s">
        <v>69</v>
      </c>
      <c r="C58" s="465">
        <f>'G-2 Habitat groups'!$AK$20</f>
        <v>0</v>
      </c>
      <c r="D58" s="465">
        <f>'G-2 Habitat groups'!$AL$20</f>
        <v>0</v>
      </c>
      <c r="E58" s="465">
        <f>'G-2 Habitat groups'!$AM$20</f>
        <v>0</v>
      </c>
      <c r="F58" s="465">
        <f>'G-2 Habitat groups'!$AN$20</f>
        <v>0</v>
      </c>
      <c r="G58" s="465">
        <f t="shared" ref="G58:G69" si="4">E58-C58</f>
        <v>0</v>
      </c>
      <c r="H58" s="466">
        <f t="shared" ref="H58:H69" si="5">F58-D58</f>
        <v>0</v>
      </c>
      <c r="I58" s="40"/>
      <c r="J58" s="40"/>
    </row>
    <row r="59" spans="1:33" ht="15.6" x14ac:dyDescent="0.25">
      <c r="A59" s="795"/>
      <c r="B59" s="37" t="s">
        <v>70</v>
      </c>
      <c r="C59" s="465">
        <f>'G-2 Habitat groups'!$AK$21</f>
        <v>0</v>
      </c>
      <c r="D59" s="465">
        <f>'G-2 Habitat groups'!$AL$21</f>
        <v>0</v>
      </c>
      <c r="E59" s="465">
        <f>'G-2 Habitat groups'!$AM$21</f>
        <v>0</v>
      </c>
      <c r="F59" s="465">
        <f>'G-2 Habitat groups'!$AN$21</f>
        <v>0</v>
      </c>
      <c r="G59" s="467">
        <f t="shared" si="4"/>
        <v>0</v>
      </c>
      <c r="H59" s="468">
        <f t="shared" si="5"/>
        <v>0</v>
      </c>
      <c r="I59" s="40"/>
      <c r="J59" s="40"/>
    </row>
    <row r="60" spans="1:33" ht="15.75" customHeight="1" x14ac:dyDescent="0.25">
      <c r="A60" s="795"/>
      <c r="B60" s="37" t="s">
        <v>71</v>
      </c>
      <c r="C60" s="465">
        <f>'G-2 Habitat groups'!$AK$22</f>
        <v>0</v>
      </c>
      <c r="D60" s="465">
        <f>'G-2 Habitat groups'!$AL$22</f>
        <v>0</v>
      </c>
      <c r="E60" s="465">
        <f>'G-2 Habitat groups'!$AM$22</f>
        <v>0</v>
      </c>
      <c r="F60" s="465">
        <f>'G-2 Habitat groups'!$AN$22</f>
        <v>0</v>
      </c>
      <c r="G60" s="467">
        <f t="shared" si="4"/>
        <v>0</v>
      </c>
      <c r="H60" s="468">
        <f t="shared" si="5"/>
        <v>0</v>
      </c>
      <c r="I60" s="40"/>
      <c r="J60" s="40"/>
    </row>
    <row r="61" spans="1:33" ht="15.6" x14ac:dyDescent="0.25">
      <c r="A61" s="795"/>
      <c r="B61" s="37" t="s">
        <v>72</v>
      </c>
      <c r="C61" s="465">
        <f>'G-2 Habitat groups'!$AK$23</f>
        <v>0</v>
      </c>
      <c r="D61" s="465">
        <f>'G-2 Habitat groups'!$AL$23</f>
        <v>0</v>
      </c>
      <c r="E61" s="465">
        <f>'G-2 Habitat groups'!$AM$23</f>
        <v>0</v>
      </c>
      <c r="F61" s="465">
        <f>'G-2 Habitat groups'!$AN$23</f>
        <v>0</v>
      </c>
      <c r="G61" s="467">
        <f t="shared" si="4"/>
        <v>0</v>
      </c>
      <c r="H61" s="468">
        <f t="shared" si="5"/>
        <v>0</v>
      </c>
      <c r="I61" s="40"/>
      <c r="J61" s="40"/>
    </row>
    <row r="62" spans="1:33" ht="15.6" x14ac:dyDescent="0.25">
      <c r="A62" s="795"/>
      <c r="B62" s="37" t="s">
        <v>73</v>
      </c>
      <c r="C62" s="465">
        <f>'G-2 Habitat groups'!$AK$24</f>
        <v>0</v>
      </c>
      <c r="D62" s="465">
        <f>'G-2 Habitat groups'!$AL$24</f>
        <v>0</v>
      </c>
      <c r="E62" s="465">
        <f>'G-2 Habitat groups'!$AM$24</f>
        <v>0</v>
      </c>
      <c r="F62" s="465">
        <f>'G-2 Habitat groups'!$AN$24</f>
        <v>0</v>
      </c>
      <c r="G62" s="467">
        <f t="shared" si="4"/>
        <v>0</v>
      </c>
      <c r="H62" s="468">
        <f t="shared" si="5"/>
        <v>0</v>
      </c>
      <c r="I62" s="40"/>
      <c r="J62" s="40"/>
    </row>
    <row r="63" spans="1:33" ht="15.6" x14ac:dyDescent="0.25">
      <c r="A63" s="795"/>
      <c r="B63" s="37" t="s">
        <v>74</v>
      </c>
      <c r="C63" s="465">
        <f>'G-2 Habitat groups'!$AK$25</f>
        <v>0</v>
      </c>
      <c r="D63" s="465">
        <f>'G-2 Habitat groups'!$AL$25</f>
        <v>0</v>
      </c>
      <c r="E63" s="465">
        <f>'G-2 Habitat groups'!$AM$25</f>
        <v>0</v>
      </c>
      <c r="F63" s="465">
        <f>'G-2 Habitat groups'!$AN$25</f>
        <v>0</v>
      </c>
      <c r="G63" s="467">
        <f t="shared" si="4"/>
        <v>0</v>
      </c>
      <c r="H63" s="468">
        <f t="shared" si="5"/>
        <v>0</v>
      </c>
      <c r="I63" s="40"/>
      <c r="J63" s="40"/>
    </row>
    <row r="64" spans="1:33" ht="15.6" x14ac:dyDescent="0.25">
      <c r="A64" s="795"/>
      <c r="B64" s="37" t="s">
        <v>75</v>
      </c>
      <c r="C64" s="465">
        <f>'G-2 Habitat groups'!$AK$26</f>
        <v>0</v>
      </c>
      <c r="D64" s="465">
        <f>'G-2 Habitat groups'!$AL$26</f>
        <v>0</v>
      </c>
      <c r="E64" s="465">
        <f>'G-2 Habitat groups'!$AM$26</f>
        <v>0</v>
      </c>
      <c r="F64" s="465">
        <f>'G-2 Habitat groups'!$AN$26</f>
        <v>0</v>
      </c>
      <c r="G64" s="467">
        <f t="shared" si="4"/>
        <v>0</v>
      </c>
      <c r="H64" s="468">
        <f t="shared" si="5"/>
        <v>0</v>
      </c>
      <c r="I64" s="40"/>
      <c r="J64" s="40"/>
    </row>
    <row r="65" spans="1:10" ht="15.6" x14ac:dyDescent="0.25">
      <c r="A65" s="795"/>
      <c r="B65" s="38" t="s">
        <v>76</v>
      </c>
      <c r="C65" s="465">
        <f>'G-2 Habitat groups'!$AK$27</f>
        <v>0</v>
      </c>
      <c r="D65" s="465">
        <f>'G-2 Habitat groups'!$AL$27</f>
        <v>0</v>
      </c>
      <c r="E65" s="465">
        <f>'G-2 Habitat groups'!$AM$27</f>
        <v>0</v>
      </c>
      <c r="F65" s="465">
        <f>'G-2 Habitat groups'!$AN$27</f>
        <v>0</v>
      </c>
      <c r="G65" s="467">
        <f t="shared" si="4"/>
        <v>0</v>
      </c>
      <c r="H65" s="468">
        <f t="shared" si="5"/>
        <v>0</v>
      </c>
      <c r="I65" s="40"/>
      <c r="J65" s="40"/>
    </row>
    <row r="66" spans="1:10" ht="15.75" customHeight="1" x14ac:dyDescent="0.25">
      <c r="A66" s="795"/>
      <c r="B66" s="44" t="s">
        <v>77</v>
      </c>
      <c r="C66" s="465">
        <f>'G-2 Habitat groups'!$AK$28</f>
        <v>0</v>
      </c>
      <c r="D66" s="465">
        <f>'G-2 Habitat groups'!$AL$28</f>
        <v>0</v>
      </c>
      <c r="E66" s="465">
        <f>'G-2 Habitat groups'!$AM$28</f>
        <v>0</v>
      </c>
      <c r="F66" s="465">
        <f>'G-2 Habitat groups'!$AN$28</f>
        <v>0</v>
      </c>
      <c r="G66" s="467">
        <f t="shared" si="4"/>
        <v>0</v>
      </c>
      <c r="H66" s="468">
        <f t="shared" si="5"/>
        <v>0</v>
      </c>
      <c r="I66" s="40"/>
      <c r="J66" s="40"/>
    </row>
    <row r="67" spans="1:10" ht="15.75" customHeight="1" x14ac:dyDescent="0.25">
      <c r="A67" s="795"/>
      <c r="B67" s="44" t="s">
        <v>78</v>
      </c>
      <c r="C67" s="465">
        <f>'G-2 Habitat groups'!$AK$29</f>
        <v>0</v>
      </c>
      <c r="D67" s="465">
        <f>'G-2 Habitat groups'!$AL$29</f>
        <v>0</v>
      </c>
      <c r="E67" s="465">
        <f>'G-2 Habitat groups'!$AM$29</f>
        <v>0</v>
      </c>
      <c r="F67" s="465">
        <f>'G-2 Habitat groups'!$AN$29</f>
        <v>0</v>
      </c>
      <c r="G67" s="467">
        <f t="shared" si="4"/>
        <v>0</v>
      </c>
      <c r="H67" s="468">
        <f t="shared" si="5"/>
        <v>0</v>
      </c>
      <c r="I67" s="40"/>
      <c r="J67" s="40"/>
    </row>
    <row r="68" spans="1:10" ht="15.75" customHeight="1" x14ac:dyDescent="0.25">
      <c r="A68" s="795"/>
      <c r="B68" s="44" t="s">
        <v>79</v>
      </c>
      <c r="C68" s="465">
        <f>'G-2 Habitat groups'!$AK$30</f>
        <v>0</v>
      </c>
      <c r="D68" s="465">
        <f>'G-2 Habitat groups'!$AL$30</f>
        <v>0</v>
      </c>
      <c r="E68" s="465">
        <f>'G-2 Habitat groups'!$AM$30</f>
        <v>0</v>
      </c>
      <c r="F68" s="465">
        <f>'G-2 Habitat groups'!$AN$30</f>
        <v>0</v>
      </c>
      <c r="G68" s="467">
        <f t="shared" si="4"/>
        <v>0</v>
      </c>
      <c r="H68" s="468">
        <f t="shared" si="5"/>
        <v>0</v>
      </c>
      <c r="I68" s="40"/>
      <c r="J68" s="40"/>
    </row>
    <row r="69" spans="1:10" ht="15.75" customHeight="1" x14ac:dyDescent="0.25">
      <c r="A69" s="795"/>
      <c r="B69" s="44" t="s">
        <v>80</v>
      </c>
      <c r="C69" s="465">
        <f>'G-2 Habitat groups'!$AK$31</f>
        <v>0</v>
      </c>
      <c r="D69" s="465">
        <f>'G-2 Habitat groups'!$AL$31</f>
        <v>0</v>
      </c>
      <c r="E69" s="465">
        <f>'G-2 Habitat groups'!$AM$31</f>
        <v>0</v>
      </c>
      <c r="F69" s="465">
        <f>'G-2 Habitat groups'!$AN$31</f>
        <v>0</v>
      </c>
      <c r="G69" s="467">
        <f t="shared" si="4"/>
        <v>0</v>
      </c>
      <c r="H69" s="468">
        <f t="shared" si="5"/>
        <v>0</v>
      </c>
      <c r="I69" s="40"/>
      <c r="J69" s="40"/>
    </row>
    <row r="70" spans="1:10" ht="15.75" customHeight="1" thickBot="1" x14ac:dyDescent="0.3">
      <c r="A70" s="795"/>
      <c r="B70" s="45" t="s">
        <v>81</v>
      </c>
      <c r="C70" s="469">
        <f>'G-2 Habitat groups'!$AK$32</f>
        <v>0</v>
      </c>
      <c r="D70" s="469">
        <f>'G-2 Habitat groups'!$AL$32</f>
        <v>0</v>
      </c>
      <c r="E70" s="469">
        <f>'G-2 Habitat groups'!$AM$32</f>
        <v>0</v>
      </c>
      <c r="F70" s="469">
        <f>'G-2 Habitat groups'!$AN$32</f>
        <v>0</v>
      </c>
      <c r="G70" s="470">
        <f t="shared" ref="G70" si="6">E70-C70</f>
        <v>0</v>
      </c>
      <c r="H70" s="471">
        <f t="shared" ref="H70" si="7">F70-D70</f>
        <v>0</v>
      </c>
      <c r="I70" s="40"/>
      <c r="J70" s="40"/>
    </row>
    <row r="71" spans="1:10" ht="15.75" customHeight="1" x14ac:dyDescent="0.25">
      <c r="A71" s="795"/>
      <c r="B71" s="40"/>
      <c r="C71" s="40"/>
      <c r="D71" s="40"/>
      <c r="E71" s="40"/>
      <c r="F71" s="40"/>
      <c r="G71" s="40"/>
      <c r="H71" s="40"/>
      <c r="I71" s="40"/>
      <c r="J71" s="40"/>
    </row>
    <row r="72" spans="1:10" ht="15.75" customHeight="1" x14ac:dyDescent="0.25">
      <c r="A72" s="795"/>
      <c r="B72" s="40"/>
      <c r="C72" s="40"/>
      <c r="D72" s="40"/>
      <c r="E72" s="40"/>
      <c r="F72" s="40"/>
      <c r="G72" s="40"/>
      <c r="H72" s="40"/>
      <c r="I72" s="40"/>
      <c r="J72" s="40"/>
    </row>
    <row r="73" spans="1:10" ht="10.95" customHeight="1" thickBot="1" x14ac:dyDescent="0.3">
      <c r="A73" s="795"/>
      <c r="B73" s="40"/>
      <c r="C73" s="40"/>
      <c r="D73" s="40"/>
      <c r="E73" s="40"/>
      <c r="F73" s="40"/>
      <c r="G73" s="40"/>
      <c r="H73" s="40"/>
      <c r="I73" s="40"/>
      <c r="J73" s="40"/>
    </row>
    <row r="74" spans="1:10" ht="18" thickBot="1" x14ac:dyDescent="0.35">
      <c r="A74" s="795"/>
      <c r="B74" s="806" t="s">
        <v>90</v>
      </c>
      <c r="C74" s="806"/>
      <c r="D74" s="806"/>
      <c r="E74" s="806"/>
      <c r="F74" s="806"/>
      <c r="G74" s="806"/>
      <c r="H74" s="806"/>
      <c r="I74" s="40"/>
      <c r="J74" s="40"/>
    </row>
    <row r="75" spans="1:10" ht="33.6" customHeight="1" thickBot="1" x14ac:dyDescent="0.3">
      <c r="A75" s="795"/>
      <c r="B75" s="35"/>
      <c r="C75" s="789" t="s">
        <v>56</v>
      </c>
      <c r="D75" s="789"/>
      <c r="E75" s="789" t="s">
        <v>91</v>
      </c>
      <c r="F75" s="789"/>
      <c r="G75" s="789" t="s">
        <v>92</v>
      </c>
      <c r="H75" s="789"/>
      <c r="I75" s="40"/>
      <c r="J75" s="40"/>
    </row>
    <row r="76" spans="1:10" ht="45.6" customHeight="1" x14ac:dyDescent="0.25">
      <c r="A76" s="795"/>
      <c r="B76" s="36" t="s">
        <v>59</v>
      </c>
      <c r="C76" s="325" t="s">
        <v>60</v>
      </c>
      <c r="D76" s="325" t="s">
        <v>61</v>
      </c>
      <c r="E76" s="325" t="s">
        <v>93</v>
      </c>
      <c r="F76" s="325" t="s">
        <v>94</v>
      </c>
      <c r="G76" s="325" t="s">
        <v>62</v>
      </c>
      <c r="H76" s="325" t="s">
        <v>63</v>
      </c>
      <c r="I76" s="40"/>
      <c r="J76" s="40"/>
    </row>
    <row r="77" spans="1:10" ht="15.75" customHeight="1" x14ac:dyDescent="0.25">
      <c r="A77" s="795"/>
      <c r="B77" s="37" t="s">
        <v>69</v>
      </c>
      <c r="C77" s="467">
        <f t="shared" ref="C77:H89" si="8">C39+C58</f>
        <v>0</v>
      </c>
      <c r="D77" s="467">
        <f t="shared" si="8"/>
        <v>0</v>
      </c>
      <c r="E77" s="467">
        <f t="shared" si="8"/>
        <v>0</v>
      </c>
      <c r="F77" s="467">
        <f t="shared" si="8"/>
        <v>0</v>
      </c>
      <c r="G77" s="467">
        <f t="shared" si="8"/>
        <v>0</v>
      </c>
      <c r="H77" s="468">
        <f t="shared" si="8"/>
        <v>0</v>
      </c>
      <c r="I77" s="40"/>
      <c r="J77" s="40"/>
    </row>
    <row r="78" spans="1:10" ht="15.75" customHeight="1" x14ac:dyDescent="0.25">
      <c r="A78" s="795"/>
      <c r="B78" s="37" t="s">
        <v>70</v>
      </c>
      <c r="C78" s="467">
        <f t="shared" si="8"/>
        <v>7.3499999999999996E-2</v>
      </c>
      <c r="D78" s="467">
        <f t="shared" si="8"/>
        <v>0.16904999999999998</v>
      </c>
      <c r="E78" s="467">
        <f t="shared" si="8"/>
        <v>9.7100000000000006E-2</v>
      </c>
      <c r="F78" s="467">
        <f t="shared" si="8"/>
        <v>0.747555814819992</v>
      </c>
      <c r="G78" s="467">
        <f t="shared" si="8"/>
        <v>2.360000000000001E-2</v>
      </c>
      <c r="H78" s="468">
        <f t="shared" si="8"/>
        <v>0.57850581481999197</v>
      </c>
      <c r="I78" s="40"/>
      <c r="J78" s="40"/>
    </row>
    <row r="79" spans="1:10" ht="15.75" customHeight="1" x14ac:dyDescent="0.25">
      <c r="A79" s="795"/>
      <c r="B79" s="37" t="s">
        <v>71</v>
      </c>
      <c r="C79" s="467">
        <f t="shared" si="8"/>
        <v>0.2011</v>
      </c>
      <c r="D79" s="467">
        <f t="shared" si="8"/>
        <v>1.3875899999999999</v>
      </c>
      <c r="E79" s="467">
        <f t="shared" si="8"/>
        <v>9.4899999999999998E-2</v>
      </c>
      <c r="F79" s="467">
        <f t="shared" si="8"/>
        <v>0.73061840191984795</v>
      </c>
      <c r="G79" s="467">
        <f t="shared" si="8"/>
        <v>-0.1062</v>
      </c>
      <c r="H79" s="468">
        <f t="shared" si="8"/>
        <v>-0.65697159808015193</v>
      </c>
      <c r="I79" s="40"/>
      <c r="J79" s="40"/>
    </row>
    <row r="80" spans="1:10" ht="15.75" customHeight="1" x14ac:dyDescent="0.25">
      <c r="A80" s="795"/>
      <c r="B80" s="37" t="s">
        <v>72</v>
      </c>
      <c r="C80" s="467">
        <f t="shared" si="8"/>
        <v>0</v>
      </c>
      <c r="D80" s="467">
        <f t="shared" si="8"/>
        <v>0</v>
      </c>
      <c r="E80" s="467">
        <f t="shared" si="8"/>
        <v>0</v>
      </c>
      <c r="F80" s="467">
        <f t="shared" si="8"/>
        <v>0</v>
      </c>
      <c r="G80" s="467">
        <f t="shared" si="8"/>
        <v>0</v>
      </c>
      <c r="H80" s="468">
        <f t="shared" si="8"/>
        <v>0</v>
      </c>
      <c r="I80" s="40"/>
      <c r="J80" s="40"/>
    </row>
    <row r="81" spans="1:12" ht="15.75" customHeight="1" x14ac:dyDescent="0.25">
      <c r="A81" s="795"/>
      <c r="B81" s="37" t="s">
        <v>73</v>
      </c>
      <c r="C81" s="467">
        <f t="shared" si="8"/>
        <v>0</v>
      </c>
      <c r="D81" s="467">
        <f t="shared" si="8"/>
        <v>0</v>
      </c>
      <c r="E81" s="467">
        <f t="shared" si="8"/>
        <v>0</v>
      </c>
      <c r="F81" s="467">
        <f t="shared" si="8"/>
        <v>0</v>
      </c>
      <c r="G81" s="467">
        <f t="shared" si="8"/>
        <v>0</v>
      </c>
      <c r="H81" s="468">
        <f t="shared" si="8"/>
        <v>0</v>
      </c>
      <c r="I81" s="40"/>
      <c r="J81" s="40"/>
    </row>
    <row r="82" spans="1:12" ht="15.75" customHeight="1" x14ac:dyDescent="0.25">
      <c r="A82" s="795"/>
      <c r="B82" s="37" t="s">
        <v>74</v>
      </c>
      <c r="C82" s="467">
        <f t="shared" si="8"/>
        <v>0.81590000000000007</v>
      </c>
      <c r="D82" s="467">
        <f t="shared" si="8"/>
        <v>0.98807999999999996</v>
      </c>
      <c r="E82" s="467">
        <f t="shared" si="8"/>
        <v>1.0186999999999999</v>
      </c>
      <c r="F82" s="467">
        <f t="shared" si="8"/>
        <v>1.1944144994343999</v>
      </c>
      <c r="G82" s="467">
        <f t="shared" si="8"/>
        <v>0.20279999999999987</v>
      </c>
      <c r="H82" s="468">
        <f t="shared" si="8"/>
        <v>0.20633449943439996</v>
      </c>
      <c r="I82" s="40"/>
      <c r="J82" s="40"/>
    </row>
    <row r="83" spans="1:12" ht="15.75" customHeight="1" x14ac:dyDescent="0.25">
      <c r="A83" s="795"/>
      <c r="B83" s="37" t="s">
        <v>75</v>
      </c>
      <c r="C83" s="467">
        <f t="shared" si="8"/>
        <v>0</v>
      </c>
      <c r="D83" s="467">
        <f t="shared" si="8"/>
        <v>0</v>
      </c>
      <c r="E83" s="467">
        <f t="shared" si="8"/>
        <v>0</v>
      </c>
      <c r="F83" s="467">
        <f t="shared" si="8"/>
        <v>0</v>
      </c>
      <c r="G83" s="467">
        <f t="shared" si="8"/>
        <v>0</v>
      </c>
      <c r="H83" s="468">
        <f t="shared" si="8"/>
        <v>0</v>
      </c>
      <c r="I83" s="40"/>
      <c r="J83" s="40"/>
    </row>
    <row r="84" spans="1:12" ht="18" customHeight="1" x14ac:dyDescent="0.25">
      <c r="A84" s="795"/>
      <c r="B84" s="38" t="s">
        <v>76</v>
      </c>
      <c r="C84" s="467">
        <f t="shared" si="8"/>
        <v>0</v>
      </c>
      <c r="D84" s="467">
        <f t="shared" si="8"/>
        <v>0</v>
      </c>
      <c r="E84" s="467">
        <f t="shared" si="8"/>
        <v>0</v>
      </c>
      <c r="F84" s="467">
        <f t="shared" si="8"/>
        <v>0</v>
      </c>
      <c r="G84" s="467">
        <f t="shared" si="8"/>
        <v>0</v>
      </c>
      <c r="H84" s="468">
        <f t="shared" si="8"/>
        <v>0</v>
      </c>
      <c r="I84" s="40"/>
      <c r="J84" s="40"/>
    </row>
    <row r="85" spans="1:12" ht="15.6" x14ac:dyDescent="0.25">
      <c r="A85" s="795"/>
      <c r="B85" s="44" t="s">
        <v>77</v>
      </c>
      <c r="C85" s="467">
        <f t="shared" si="8"/>
        <v>0</v>
      </c>
      <c r="D85" s="467">
        <f t="shared" si="8"/>
        <v>0</v>
      </c>
      <c r="E85" s="467">
        <f t="shared" si="8"/>
        <v>0</v>
      </c>
      <c r="F85" s="467">
        <f t="shared" si="8"/>
        <v>0</v>
      </c>
      <c r="G85" s="467">
        <f t="shared" si="8"/>
        <v>0</v>
      </c>
      <c r="H85" s="468">
        <f t="shared" si="8"/>
        <v>0</v>
      </c>
      <c r="I85" s="40"/>
      <c r="J85" s="40"/>
    </row>
    <row r="86" spans="1:12" ht="15.6" x14ac:dyDescent="0.25">
      <c r="A86" s="795"/>
      <c r="B86" s="44" t="s">
        <v>78</v>
      </c>
      <c r="C86" s="467">
        <f t="shared" si="8"/>
        <v>0</v>
      </c>
      <c r="D86" s="467">
        <f t="shared" si="8"/>
        <v>0</v>
      </c>
      <c r="E86" s="467">
        <f t="shared" si="8"/>
        <v>0</v>
      </c>
      <c r="F86" s="467">
        <f t="shared" si="8"/>
        <v>0</v>
      </c>
      <c r="G86" s="467">
        <f t="shared" si="8"/>
        <v>0</v>
      </c>
      <c r="H86" s="468">
        <f t="shared" si="8"/>
        <v>0</v>
      </c>
      <c r="I86" s="40"/>
      <c r="J86" s="40"/>
    </row>
    <row r="87" spans="1:12" ht="15.6" x14ac:dyDescent="0.25">
      <c r="A87" s="795"/>
      <c r="B87" s="44" t="s">
        <v>79</v>
      </c>
      <c r="C87" s="467">
        <f t="shared" si="8"/>
        <v>0</v>
      </c>
      <c r="D87" s="467">
        <f t="shared" si="8"/>
        <v>0</v>
      </c>
      <c r="E87" s="467">
        <f t="shared" si="8"/>
        <v>0</v>
      </c>
      <c r="F87" s="467">
        <f t="shared" si="8"/>
        <v>0</v>
      </c>
      <c r="G87" s="467">
        <f t="shared" si="8"/>
        <v>0</v>
      </c>
      <c r="H87" s="468">
        <f t="shared" si="8"/>
        <v>0</v>
      </c>
      <c r="I87" s="40"/>
      <c r="J87" s="40"/>
    </row>
    <row r="88" spans="1:12" ht="15.6" x14ac:dyDescent="0.25">
      <c r="A88" s="795"/>
      <c r="B88" s="44" t="s">
        <v>80</v>
      </c>
      <c r="C88" s="467">
        <f t="shared" si="8"/>
        <v>0</v>
      </c>
      <c r="D88" s="467">
        <f t="shared" si="8"/>
        <v>0</v>
      </c>
      <c r="E88" s="467">
        <f t="shared" si="8"/>
        <v>0</v>
      </c>
      <c r="F88" s="467">
        <f t="shared" si="8"/>
        <v>0</v>
      </c>
      <c r="G88" s="467">
        <f t="shared" si="8"/>
        <v>0</v>
      </c>
      <c r="H88" s="468">
        <f t="shared" si="8"/>
        <v>0</v>
      </c>
      <c r="I88" s="40"/>
      <c r="J88" s="40"/>
    </row>
    <row r="89" spans="1:12" ht="16.2" thickBot="1" x14ac:dyDescent="0.3">
      <c r="A89" s="795"/>
      <c r="B89" s="45" t="s">
        <v>81</v>
      </c>
      <c r="C89" s="470">
        <f t="shared" si="8"/>
        <v>0</v>
      </c>
      <c r="D89" s="470">
        <f t="shared" si="8"/>
        <v>0</v>
      </c>
      <c r="E89" s="470">
        <f t="shared" si="8"/>
        <v>0</v>
      </c>
      <c r="F89" s="470">
        <f t="shared" si="8"/>
        <v>0</v>
      </c>
      <c r="G89" s="470">
        <f t="shared" si="8"/>
        <v>0</v>
      </c>
      <c r="H89" s="471">
        <f t="shared" si="8"/>
        <v>0</v>
      </c>
      <c r="I89" s="40"/>
      <c r="J89" s="40"/>
    </row>
    <row r="90" spans="1:12" ht="15" customHeight="1" x14ac:dyDescent="0.25">
      <c r="A90" s="795"/>
      <c r="B90" s="40"/>
      <c r="C90" s="40"/>
      <c r="D90" s="40"/>
      <c r="E90" s="40"/>
      <c r="F90" s="40"/>
      <c r="G90" s="40"/>
      <c r="H90" s="40"/>
      <c r="I90" s="40"/>
      <c r="J90" s="40"/>
    </row>
    <row r="91" spans="1:12" s="333" customFormat="1" ht="66" customHeight="1" thickBot="1" x14ac:dyDescent="0.3">
      <c r="A91" s="796"/>
    </row>
    <row r="92" spans="1:12" ht="37.950000000000003" customHeight="1" thickTop="1" thickBot="1" x14ac:dyDescent="0.3">
      <c r="A92" s="797" t="s">
        <v>95</v>
      </c>
    </row>
    <row r="93" spans="1:12" ht="25.2" thickBot="1" x14ac:dyDescent="0.45">
      <c r="A93" s="798"/>
      <c r="B93" s="826" t="s">
        <v>96</v>
      </c>
      <c r="C93" s="827"/>
      <c r="D93" s="828"/>
    </row>
    <row r="94" spans="1:12" x14ac:dyDescent="0.25">
      <c r="A94" s="798"/>
    </row>
    <row r="95" spans="1:12" ht="15" customHeight="1" thickBot="1" x14ac:dyDescent="0.3">
      <c r="A95" s="798"/>
    </row>
    <row r="96" spans="1:12" ht="18" customHeight="1" thickBot="1" x14ac:dyDescent="0.35">
      <c r="A96" s="798"/>
      <c r="B96" s="806" t="s">
        <v>97</v>
      </c>
      <c r="C96" s="806"/>
      <c r="D96" s="806"/>
      <c r="E96" s="806"/>
      <c r="F96" s="806"/>
      <c r="G96" s="806"/>
      <c r="H96" s="806"/>
      <c r="J96" s="810" t="s">
        <v>98</v>
      </c>
      <c r="K96" s="811"/>
      <c r="L96" s="812"/>
    </row>
    <row r="97" spans="1:12" ht="16.2" customHeight="1" thickBot="1" x14ac:dyDescent="0.3">
      <c r="A97" s="798"/>
      <c r="B97" s="35"/>
      <c r="C97" s="789" t="s">
        <v>56</v>
      </c>
      <c r="D97" s="789"/>
      <c r="E97" s="789" t="s">
        <v>57</v>
      </c>
      <c r="F97" s="789"/>
      <c r="G97" s="789" t="s">
        <v>58</v>
      </c>
      <c r="H97" s="789"/>
      <c r="J97" s="813"/>
      <c r="K97" s="814"/>
      <c r="L97" s="815"/>
    </row>
    <row r="98" spans="1:12" ht="47.4" thickBot="1" x14ac:dyDescent="0.3">
      <c r="A98" s="798"/>
      <c r="B98" s="324" t="s">
        <v>99</v>
      </c>
      <c r="C98" s="35" t="s">
        <v>100</v>
      </c>
      <c r="D98" s="35" t="s">
        <v>61</v>
      </c>
      <c r="E98" s="35" t="s">
        <v>101</v>
      </c>
      <c r="F98" s="35" t="s">
        <v>102</v>
      </c>
      <c r="G98" s="35" t="s">
        <v>103</v>
      </c>
      <c r="H98" s="35" t="s">
        <v>104</v>
      </c>
      <c r="J98" s="816" t="s">
        <v>66</v>
      </c>
      <c r="K98" s="818" t="s">
        <v>105</v>
      </c>
      <c r="L98" s="820" t="s">
        <v>106</v>
      </c>
    </row>
    <row r="99" spans="1:12" ht="15.6" x14ac:dyDescent="0.25">
      <c r="A99" s="798"/>
      <c r="B99" s="329" t="s">
        <v>107</v>
      </c>
      <c r="C99" s="465">
        <f>'G-2 Habitat groups'!E146</f>
        <v>0</v>
      </c>
      <c r="D99" s="465">
        <f>'G-2 Habitat groups'!F146</f>
        <v>0</v>
      </c>
      <c r="E99" s="465">
        <f>'G-2 Habitat groups'!O146</f>
        <v>0</v>
      </c>
      <c r="F99" s="465">
        <f>'G-2 Habitat groups'!P146</f>
        <v>0</v>
      </c>
      <c r="G99" s="465">
        <f>E99-C99</f>
        <v>0</v>
      </c>
      <c r="H99" s="465">
        <f t="shared" ref="H99:H111" si="9">F99-D99</f>
        <v>0</v>
      </c>
      <c r="J99" s="817"/>
      <c r="K99" s="819"/>
      <c r="L99" s="821"/>
    </row>
    <row r="100" spans="1:12" ht="15.6" x14ac:dyDescent="0.25">
      <c r="A100" s="798"/>
      <c r="B100" s="330" t="s">
        <v>108</v>
      </c>
      <c r="C100" s="465">
        <f>'G-2 Habitat groups'!E147</f>
        <v>0</v>
      </c>
      <c r="D100" s="465">
        <f>'G-2 Habitat groups'!F147</f>
        <v>0</v>
      </c>
      <c r="E100" s="465">
        <f>'G-2 Habitat groups'!O147</f>
        <v>0</v>
      </c>
      <c r="F100" s="465">
        <f>'G-2 Habitat groups'!P147</f>
        <v>0</v>
      </c>
      <c r="G100" s="465">
        <f t="shared" ref="G100:G111" si="10">E100-C100</f>
        <v>0</v>
      </c>
      <c r="H100" s="465">
        <f t="shared" si="9"/>
        <v>0</v>
      </c>
      <c r="J100" s="802" t="str">
        <f>'G-1 All Habitats'!$V$3</f>
        <v>V.High</v>
      </c>
      <c r="K100" s="804">
        <f>SUMIF('B-1 Site Hedge Baseline'!$F$10:$F$257,'Detailed Results'!J100,'B-1 Site Hedge Baseline'!$T$10:$T$257)+SUMIF('E-1 Off Site Hedge Baseline'!$F$10:$F$257,'Detailed Results'!J100,'E-1 Off Site Hedge Baseline'!$T$10:$T$257)</f>
        <v>0</v>
      </c>
      <c r="L100" s="808" t="str">
        <f>IF(K100=0,"",(K100/(SUM($K$100:$K$109)))*100)</f>
        <v/>
      </c>
    </row>
    <row r="101" spans="1:12" ht="15.6" x14ac:dyDescent="0.25">
      <c r="A101" s="798"/>
      <c r="B101" s="330" t="s">
        <v>109</v>
      </c>
      <c r="C101" s="465">
        <f>'G-2 Habitat groups'!E148</f>
        <v>0</v>
      </c>
      <c r="D101" s="465">
        <f>'G-2 Habitat groups'!F148</f>
        <v>0</v>
      </c>
      <c r="E101" s="465">
        <f>'G-2 Habitat groups'!O148</f>
        <v>0</v>
      </c>
      <c r="F101" s="465">
        <f>'G-2 Habitat groups'!P148</f>
        <v>0</v>
      </c>
      <c r="G101" s="465">
        <f t="shared" si="10"/>
        <v>0</v>
      </c>
      <c r="H101" s="465">
        <f t="shared" si="9"/>
        <v>0</v>
      </c>
      <c r="J101" s="803"/>
      <c r="K101" s="805"/>
      <c r="L101" s="809"/>
    </row>
    <row r="102" spans="1:12" ht="15.6" x14ac:dyDescent="0.25">
      <c r="A102" s="798"/>
      <c r="B102" s="330" t="s">
        <v>110</v>
      </c>
      <c r="C102" s="465">
        <f>'G-2 Habitat groups'!E149</f>
        <v>0</v>
      </c>
      <c r="D102" s="465">
        <f>'G-2 Habitat groups'!F149</f>
        <v>0</v>
      </c>
      <c r="E102" s="465">
        <f>'G-2 Habitat groups'!O149</f>
        <v>0</v>
      </c>
      <c r="F102" s="465">
        <f>'G-2 Habitat groups'!P149</f>
        <v>0</v>
      </c>
      <c r="G102" s="465">
        <f t="shared" si="10"/>
        <v>0</v>
      </c>
      <c r="H102" s="465">
        <f t="shared" si="9"/>
        <v>0</v>
      </c>
      <c r="J102" s="802" t="str">
        <f>'G-1 All Habitats'!$V$4</f>
        <v>High</v>
      </c>
      <c r="K102" s="804">
        <f>SUMIF('B-1 Site Hedge Baseline'!$F$10:$F$257,'Detailed Results'!J102,'B-1 Site Hedge Baseline'!$T$10:$T$257)+SUMIF('E-1 Off Site Hedge Baseline'!$F$10:$F$257,'Detailed Results'!J102,'E-1 Off Site Hedge Baseline'!$T$10:$T$257)</f>
        <v>0</v>
      </c>
      <c r="L102" s="808" t="str">
        <f t="shared" ref="L102" si="11">IF(K102=0,"",(K102/(SUM($K$100:$K$109)))*100)</f>
        <v/>
      </c>
    </row>
    <row r="103" spans="1:12" ht="15.6" x14ac:dyDescent="0.25">
      <c r="A103" s="798"/>
      <c r="B103" s="330" t="s">
        <v>111</v>
      </c>
      <c r="C103" s="465">
        <f>'G-2 Habitat groups'!E150</f>
        <v>0</v>
      </c>
      <c r="D103" s="465">
        <f>'G-2 Habitat groups'!F150</f>
        <v>0</v>
      </c>
      <c r="E103" s="465">
        <f>'G-2 Habitat groups'!O150</f>
        <v>0.11899999999999999</v>
      </c>
      <c r="F103" s="465">
        <f>'G-2 Habitat groups'!P150</f>
        <v>0.91616006141687989</v>
      </c>
      <c r="G103" s="465">
        <f t="shared" si="10"/>
        <v>0.11899999999999999</v>
      </c>
      <c r="H103" s="465">
        <f t="shared" si="9"/>
        <v>0.91616006141687989</v>
      </c>
      <c r="J103" s="803"/>
      <c r="K103" s="805"/>
      <c r="L103" s="809"/>
    </row>
    <row r="104" spans="1:12" ht="15.6" x14ac:dyDescent="0.25">
      <c r="A104" s="798"/>
      <c r="B104" s="330" t="s">
        <v>112</v>
      </c>
      <c r="C104" s="465">
        <f>'G-2 Habitat groups'!E151</f>
        <v>0</v>
      </c>
      <c r="D104" s="465">
        <f>'G-2 Habitat groups'!F151</f>
        <v>0</v>
      </c>
      <c r="E104" s="465">
        <f>'G-2 Habitat groups'!O151</f>
        <v>0</v>
      </c>
      <c r="F104" s="465">
        <f>'G-2 Habitat groups'!P151</f>
        <v>0</v>
      </c>
      <c r="G104" s="465">
        <f t="shared" si="10"/>
        <v>0</v>
      </c>
      <c r="H104" s="465">
        <f t="shared" si="9"/>
        <v>0</v>
      </c>
      <c r="J104" s="802" t="str">
        <f>'G-1 All Habitats'!$V$5</f>
        <v>Medium</v>
      </c>
      <c r="K104" s="804">
        <f>SUMIF('B-1 Site Hedge Baseline'!$F$10:$F$257,'Detailed Results'!J104,'B-1 Site Hedge Baseline'!$T$10:$T$257)+SUMIF('E-1 Off Site Hedge Baseline'!$F$10:$F$257,'Detailed Results'!J104,'E-1 Off Site Hedge Baseline'!$T$10:$T$257)</f>
        <v>0</v>
      </c>
      <c r="L104" s="808" t="str">
        <f t="shared" ref="L104" si="12">IF(K104=0,"",(K104/(SUM($K$100:$K$109)))*100)</f>
        <v/>
      </c>
    </row>
    <row r="105" spans="1:12" ht="15.6" x14ac:dyDescent="0.25">
      <c r="A105" s="798"/>
      <c r="B105" s="330" t="s">
        <v>113</v>
      </c>
      <c r="C105" s="465">
        <f>'G-2 Habitat groups'!E152</f>
        <v>0</v>
      </c>
      <c r="D105" s="465">
        <f>'G-2 Habitat groups'!F152</f>
        <v>0</v>
      </c>
      <c r="E105" s="465">
        <f>'G-2 Habitat groups'!O152</f>
        <v>0</v>
      </c>
      <c r="F105" s="465">
        <f>'G-2 Habitat groups'!P152</f>
        <v>0</v>
      </c>
      <c r="G105" s="465">
        <f t="shared" si="10"/>
        <v>0</v>
      </c>
      <c r="H105" s="465">
        <f t="shared" si="9"/>
        <v>0</v>
      </c>
      <c r="J105" s="803"/>
      <c r="K105" s="805"/>
      <c r="L105" s="809"/>
    </row>
    <row r="106" spans="1:12" ht="15.6" x14ac:dyDescent="0.25">
      <c r="A106" s="798"/>
      <c r="B106" s="331" t="s">
        <v>114</v>
      </c>
      <c r="C106" s="465">
        <f>'G-2 Habitat groups'!E153</f>
        <v>0</v>
      </c>
      <c r="D106" s="465">
        <f>'G-2 Habitat groups'!F153</f>
        <v>0</v>
      </c>
      <c r="E106" s="465">
        <f>'G-2 Habitat groups'!O153</f>
        <v>0</v>
      </c>
      <c r="F106" s="465">
        <f>'G-2 Habitat groups'!P153</f>
        <v>0</v>
      </c>
      <c r="G106" s="465">
        <f t="shared" si="10"/>
        <v>0</v>
      </c>
      <c r="H106" s="465">
        <f t="shared" si="9"/>
        <v>0</v>
      </c>
      <c r="J106" s="802" t="str">
        <f>'G-1 All Habitats'!$V$6</f>
        <v>Low</v>
      </c>
      <c r="K106" s="804">
        <f>SUMIF('B-1 Site Hedge Baseline'!$F$10:$F$257,'Detailed Results'!J106,'B-1 Site Hedge Baseline'!$T$10:$T$257)+SUMIF('E-1 Off Site Hedge Baseline'!$F$10:$F$257,'Detailed Results'!J106,'E-1 Off Site Hedge Baseline'!$T$10:$T$257)</f>
        <v>0</v>
      </c>
      <c r="L106" s="808" t="str">
        <f t="shared" ref="L106" si="13">IF(K106=0,"",(K106/(SUM($K$100:$K$109)))*100)</f>
        <v/>
      </c>
    </row>
    <row r="107" spans="1:12" ht="15.6" x14ac:dyDescent="0.25">
      <c r="A107" s="798"/>
      <c r="B107" s="332" t="s">
        <v>115</v>
      </c>
      <c r="C107" s="465">
        <f>'G-2 Habitat groups'!E154</f>
        <v>0</v>
      </c>
      <c r="D107" s="465">
        <f>'G-2 Habitat groups'!F154</f>
        <v>0</v>
      </c>
      <c r="E107" s="465">
        <f>'G-2 Habitat groups'!O154</f>
        <v>0</v>
      </c>
      <c r="F107" s="465">
        <f>'G-2 Habitat groups'!P154</f>
        <v>0</v>
      </c>
      <c r="G107" s="465">
        <f t="shared" si="10"/>
        <v>0</v>
      </c>
      <c r="H107" s="465">
        <f t="shared" si="9"/>
        <v>0</v>
      </c>
      <c r="J107" s="803"/>
      <c r="K107" s="805"/>
      <c r="L107" s="809"/>
    </row>
    <row r="108" spans="1:12" ht="15.6" x14ac:dyDescent="0.25">
      <c r="A108" s="798"/>
      <c r="B108" s="332" t="s">
        <v>116</v>
      </c>
      <c r="C108" s="465">
        <f>'G-2 Habitat groups'!E155</f>
        <v>0</v>
      </c>
      <c r="D108" s="465">
        <f>'G-2 Habitat groups'!F155</f>
        <v>0</v>
      </c>
      <c r="E108" s="465">
        <f>'G-2 Habitat groups'!O155</f>
        <v>0</v>
      </c>
      <c r="F108" s="465">
        <f>'G-2 Habitat groups'!P155</f>
        <v>0</v>
      </c>
      <c r="G108" s="465">
        <f t="shared" si="10"/>
        <v>0</v>
      </c>
      <c r="H108" s="465">
        <f t="shared" si="9"/>
        <v>0</v>
      </c>
      <c r="J108" s="802" t="str">
        <f>'G-1 All Habitats'!$V$7</f>
        <v>V.Low</v>
      </c>
      <c r="K108" s="804">
        <f>SUMIF('B-1 Site Hedge Baseline'!$F$10:$F$257,'Detailed Results'!J108,'B-1 Site Hedge Baseline'!$T$10:$T$257)+SUMIF('E-1 Off Site Hedge Baseline'!$F$10:$F$257,'Detailed Results'!J108,'E-1 Off Site Hedge Baseline'!$T$10:$T$257)</f>
        <v>0</v>
      </c>
      <c r="L108" s="808" t="str">
        <f t="shared" ref="L108" si="14">IF(K108=0,"",(K108/(SUM($K$100:$K$109)))*100)</f>
        <v/>
      </c>
    </row>
    <row r="109" spans="1:12" ht="16.2" thickBot="1" x14ac:dyDescent="0.3">
      <c r="A109" s="798"/>
      <c r="B109" s="332" t="s">
        <v>117</v>
      </c>
      <c r="C109" s="465">
        <f>'G-2 Habitat groups'!E156</f>
        <v>0</v>
      </c>
      <c r="D109" s="465">
        <f>'G-2 Habitat groups'!F156</f>
        <v>0</v>
      </c>
      <c r="E109" s="465">
        <f>'G-2 Habitat groups'!O156</f>
        <v>0</v>
      </c>
      <c r="F109" s="465">
        <f>'G-2 Habitat groups'!P156</f>
        <v>0</v>
      </c>
      <c r="G109" s="465">
        <f t="shared" si="10"/>
        <v>0</v>
      </c>
      <c r="H109" s="465">
        <f t="shared" si="9"/>
        <v>0</v>
      </c>
      <c r="J109" s="807"/>
      <c r="K109" s="805"/>
      <c r="L109" s="809"/>
    </row>
    <row r="110" spans="1:12" ht="15.6" x14ac:dyDescent="0.25">
      <c r="A110" s="798"/>
      <c r="B110" s="332" t="s">
        <v>118</v>
      </c>
      <c r="C110" s="465">
        <f>'G-2 Habitat groups'!E157</f>
        <v>0</v>
      </c>
      <c r="D110" s="465">
        <f>'G-2 Habitat groups'!F157</f>
        <v>0</v>
      </c>
      <c r="E110" s="465">
        <f>'G-2 Habitat groups'!O157</f>
        <v>0</v>
      </c>
      <c r="F110" s="465">
        <f>'G-2 Habitat groups'!P157</f>
        <v>0</v>
      </c>
      <c r="G110" s="465">
        <f t="shared" si="10"/>
        <v>0</v>
      </c>
      <c r="H110" s="465">
        <f t="shared" si="9"/>
        <v>0</v>
      </c>
    </row>
    <row r="111" spans="1:12" ht="15.6" x14ac:dyDescent="0.25">
      <c r="A111" s="798"/>
      <c r="B111" s="332" t="s">
        <v>119</v>
      </c>
      <c r="C111" s="465">
        <f>'G-2 Habitat groups'!E158</f>
        <v>3.7999999999999999E-2</v>
      </c>
      <c r="D111" s="465">
        <f>'G-2 Habitat groups'!F158</f>
        <v>4.3699999999999996E-2</v>
      </c>
      <c r="E111" s="465">
        <f>'G-2 Habitat groups'!O158</f>
        <v>6.3E-2</v>
      </c>
      <c r="F111" s="465">
        <f>'G-2 Habitat groups'!P158</f>
        <v>7.144375E-2</v>
      </c>
      <c r="G111" s="465">
        <f t="shared" si="10"/>
        <v>2.5000000000000001E-2</v>
      </c>
      <c r="H111" s="465">
        <f t="shared" si="9"/>
        <v>2.7743750000000005E-2</v>
      </c>
    </row>
    <row r="112" spans="1:12" x14ac:dyDescent="0.25">
      <c r="A112" s="798"/>
    </row>
    <row r="113" spans="1:8" x14ac:dyDescent="0.25">
      <c r="A113" s="798"/>
    </row>
    <row r="114" spans="1:8" x14ac:dyDescent="0.25">
      <c r="A114" s="798"/>
    </row>
    <row r="115" spans="1:8" ht="14.4" thickBot="1" x14ac:dyDescent="0.3">
      <c r="A115" s="798"/>
    </row>
    <row r="116" spans="1:8" ht="18" thickBot="1" x14ac:dyDescent="0.35">
      <c r="A116" s="798"/>
      <c r="B116" s="806" t="s">
        <v>120</v>
      </c>
      <c r="C116" s="806"/>
      <c r="D116" s="806"/>
      <c r="E116" s="806"/>
      <c r="F116" s="806"/>
      <c r="G116" s="806"/>
      <c r="H116" s="806"/>
    </row>
    <row r="117" spans="1:8" ht="16.2" thickBot="1" x14ac:dyDescent="0.3">
      <c r="A117" s="798"/>
      <c r="B117" s="35"/>
      <c r="C117" s="789" t="s">
        <v>121</v>
      </c>
      <c r="D117" s="789"/>
      <c r="E117" s="789" t="s">
        <v>122</v>
      </c>
      <c r="F117" s="789"/>
      <c r="G117" s="789" t="s">
        <v>123</v>
      </c>
      <c r="H117" s="789"/>
    </row>
    <row r="118" spans="1:8" ht="47.4" thickBot="1" x14ac:dyDescent="0.3">
      <c r="A118" s="798"/>
      <c r="B118" s="324" t="s">
        <v>99</v>
      </c>
      <c r="C118" s="35" t="s">
        <v>124</v>
      </c>
      <c r="D118" s="35" t="s">
        <v>125</v>
      </c>
      <c r="E118" s="35" t="s">
        <v>126</v>
      </c>
      <c r="F118" s="35" t="s">
        <v>127</v>
      </c>
      <c r="G118" s="35" t="s">
        <v>128</v>
      </c>
      <c r="H118" s="35" t="s">
        <v>129</v>
      </c>
    </row>
    <row r="119" spans="1:8" ht="15.6" x14ac:dyDescent="0.25">
      <c r="A119" s="798"/>
      <c r="B119" s="329" t="s">
        <v>107</v>
      </c>
      <c r="C119" s="465">
        <f>'G-2 Habitat groups'!S146</f>
        <v>0</v>
      </c>
      <c r="D119" s="465">
        <f>'G-2 Habitat groups'!T146</f>
        <v>0</v>
      </c>
      <c r="E119" s="465">
        <f>'G-2 Habitat groups'!AA146</f>
        <v>0</v>
      </c>
      <c r="F119" s="465">
        <f>'G-2 Habitat groups'!AB146</f>
        <v>0</v>
      </c>
      <c r="G119" s="465">
        <f t="shared" ref="G119:G131" si="15">E119-C119</f>
        <v>0</v>
      </c>
      <c r="H119" s="465">
        <f t="shared" ref="H119:H131" si="16">F119-D119</f>
        <v>0</v>
      </c>
    </row>
    <row r="120" spans="1:8" ht="15.6" x14ac:dyDescent="0.25">
      <c r="A120" s="798"/>
      <c r="B120" s="330" t="s">
        <v>108</v>
      </c>
      <c r="C120" s="465">
        <f>'G-2 Habitat groups'!S147</f>
        <v>0</v>
      </c>
      <c r="D120" s="465">
        <f>'G-2 Habitat groups'!T147</f>
        <v>0</v>
      </c>
      <c r="E120" s="465">
        <f>'G-2 Habitat groups'!AA147</f>
        <v>0</v>
      </c>
      <c r="F120" s="465">
        <f>'G-2 Habitat groups'!AB147</f>
        <v>0</v>
      </c>
      <c r="G120" s="465">
        <f t="shared" si="15"/>
        <v>0</v>
      </c>
      <c r="H120" s="465">
        <f t="shared" si="16"/>
        <v>0</v>
      </c>
    </row>
    <row r="121" spans="1:8" ht="15.6" x14ac:dyDescent="0.25">
      <c r="A121" s="798"/>
      <c r="B121" s="330" t="s">
        <v>109</v>
      </c>
      <c r="C121" s="465">
        <f>'G-2 Habitat groups'!S148</f>
        <v>0</v>
      </c>
      <c r="D121" s="465">
        <f>'G-2 Habitat groups'!T148</f>
        <v>0</v>
      </c>
      <c r="E121" s="465">
        <f>'G-2 Habitat groups'!AA148</f>
        <v>0</v>
      </c>
      <c r="F121" s="465">
        <f>'G-2 Habitat groups'!AB148</f>
        <v>0</v>
      </c>
      <c r="G121" s="465">
        <f t="shared" si="15"/>
        <v>0</v>
      </c>
      <c r="H121" s="465">
        <f t="shared" si="16"/>
        <v>0</v>
      </c>
    </row>
    <row r="122" spans="1:8" ht="15.6" x14ac:dyDescent="0.25">
      <c r="A122" s="798"/>
      <c r="B122" s="330" t="s">
        <v>110</v>
      </c>
      <c r="C122" s="465">
        <f>'G-2 Habitat groups'!S149</f>
        <v>0</v>
      </c>
      <c r="D122" s="465">
        <f>'G-2 Habitat groups'!T149</f>
        <v>0</v>
      </c>
      <c r="E122" s="465">
        <f>'G-2 Habitat groups'!AA149</f>
        <v>0</v>
      </c>
      <c r="F122" s="465">
        <f>'G-2 Habitat groups'!AB149</f>
        <v>0</v>
      </c>
      <c r="G122" s="465">
        <f t="shared" si="15"/>
        <v>0</v>
      </c>
      <c r="H122" s="465">
        <f t="shared" si="16"/>
        <v>0</v>
      </c>
    </row>
    <row r="123" spans="1:8" ht="15.6" x14ac:dyDescent="0.25">
      <c r="A123" s="798"/>
      <c r="B123" s="330" t="s">
        <v>111</v>
      </c>
      <c r="C123" s="465">
        <f>'G-2 Habitat groups'!S150</f>
        <v>0</v>
      </c>
      <c r="D123" s="465">
        <f>'G-2 Habitat groups'!T150</f>
        <v>0</v>
      </c>
      <c r="E123" s="465">
        <f>'G-2 Habitat groups'!AA150</f>
        <v>0</v>
      </c>
      <c r="F123" s="465">
        <f>'G-2 Habitat groups'!AB150</f>
        <v>0</v>
      </c>
      <c r="G123" s="465">
        <f t="shared" si="15"/>
        <v>0</v>
      </c>
      <c r="H123" s="465">
        <f t="shared" si="16"/>
        <v>0</v>
      </c>
    </row>
    <row r="124" spans="1:8" ht="15.6" x14ac:dyDescent="0.25">
      <c r="A124" s="798"/>
      <c r="B124" s="330" t="s">
        <v>112</v>
      </c>
      <c r="C124" s="465">
        <f>'G-2 Habitat groups'!S151</f>
        <v>0</v>
      </c>
      <c r="D124" s="465">
        <f>'G-2 Habitat groups'!T151</f>
        <v>0</v>
      </c>
      <c r="E124" s="465">
        <f>'G-2 Habitat groups'!AA151</f>
        <v>0</v>
      </c>
      <c r="F124" s="465">
        <f>'G-2 Habitat groups'!AB151</f>
        <v>0</v>
      </c>
      <c r="G124" s="465">
        <f t="shared" si="15"/>
        <v>0</v>
      </c>
      <c r="H124" s="465">
        <f t="shared" si="16"/>
        <v>0</v>
      </c>
    </row>
    <row r="125" spans="1:8" ht="15.6" x14ac:dyDescent="0.25">
      <c r="A125" s="798"/>
      <c r="B125" s="330" t="s">
        <v>113</v>
      </c>
      <c r="C125" s="465">
        <f>'G-2 Habitat groups'!S152</f>
        <v>0</v>
      </c>
      <c r="D125" s="465">
        <f>'G-2 Habitat groups'!T152</f>
        <v>0</v>
      </c>
      <c r="E125" s="465">
        <f>'G-2 Habitat groups'!AA152</f>
        <v>0</v>
      </c>
      <c r="F125" s="465">
        <f>'G-2 Habitat groups'!AB152</f>
        <v>0</v>
      </c>
      <c r="G125" s="465">
        <f t="shared" si="15"/>
        <v>0</v>
      </c>
      <c r="H125" s="465">
        <f t="shared" si="16"/>
        <v>0</v>
      </c>
    </row>
    <row r="126" spans="1:8" ht="15.6" x14ac:dyDescent="0.25">
      <c r="A126" s="798"/>
      <c r="B126" s="331" t="s">
        <v>114</v>
      </c>
      <c r="C126" s="465">
        <f>'G-2 Habitat groups'!S153</f>
        <v>0</v>
      </c>
      <c r="D126" s="465">
        <f>'G-2 Habitat groups'!T153</f>
        <v>0</v>
      </c>
      <c r="E126" s="465">
        <f>'G-2 Habitat groups'!AA153</f>
        <v>0</v>
      </c>
      <c r="F126" s="465">
        <f>'G-2 Habitat groups'!AB153</f>
        <v>0</v>
      </c>
      <c r="G126" s="465">
        <f t="shared" si="15"/>
        <v>0</v>
      </c>
      <c r="H126" s="465">
        <f t="shared" si="16"/>
        <v>0</v>
      </c>
    </row>
    <row r="127" spans="1:8" ht="15.6" x14ac:dyDescent="0.25">
      <c r="A127" s="798"/>
      <c r="B127" s="332" t="s">
        <v>115</v>
      </c>
      <c r="C127" s="465">
        <f>'G-2 Habitat groups'!S154</f>
        <v>0</v>
      </c>
      <c r="D127" s="465">
        <f>'G-2 Habitat groups'!T154</f>
        <v>0</v>
      </c>
      <c r="E127" s="465">
        <f>'G-2 Habitat groups'!AA154</f>
        <v>0</v>
      </c>
      <c r="F127" s="465">
        <f>'G-2 Habitat groups'!AB154</f>
        <v>0</v>
      </c>
      <c r="G127" s="465">
        <f t="shared" si="15"/>
        <v>0</v>
      </c>
      <c r="H127" s="465">
        <f t="shared" si="16"/>
        <v>0</v>
      </c>
    </row>
    <row r="128" spans="1:8" ht="15.6" x14ac:dyDescent="0.25">
      <c r="A128" s="798"/>
      <c r="B128" s="332" t="s">
        <v>116</v>
      </c>
      <c r="C128" s="465">
        <f>'G-2 Habitat groups'!S155</f>
        <v>0</v>
      </c>
      <c r="D128" s="465">
        <f>'G-2 Habitat groups'!T155</f>
        <v>0</v>
      </c>
      <c r="E128" s="465">
        <f>'G-2 Habitat groups'!AA155</f>
        <v>0</v>
      </c>
      <c r="F128" s="465">
        <f>'G-2 Habitat groups'!AB155</f>
        <v>0</v>
      </c>
      <c r="G128" s="465">
        <f t="shared" si="15"/>
        <v>0</v>
      </c>
      <c r="H128" s="465">
        <f t="shared" si="16"/>
        <v>0</v>
      </c>
    </row>
    <row r="129" spans="1:8" ht="15.6" x14ac:dyDescent="0.25">
      <c r="A129" s="798"/>
      <c r="B129" s="332" t="s">
        <v>117</v>
      </c>
      <c r="C129" s="465">
        <f>'G-2 Habitat groups'!S156</f>
        <v>0</v>
      </c>
      <c r="D129" s="465">
        <f>'G-2 Habitat groups'!T156</f>
        <v>0</v>
      </c>
      <c r="E129" s="465">
        <f>'G-2 Habitat groups'!AA156</f>
        <v>0</v>
      </c>
      <c r="F129" s="465">
        <f>'G-2 Habitat groups'!AB156</f>
        <v>0</v>
      </c>
      <c r="G129" s="465">
        <f t="shared" si="15"/>
        <v>0</v>
      </c>
      <c r="H129" s="465">
        <f t="shared" si="16"/>
        <v>0</v>
      </c>
    </row>
    <row r="130" spans="1:8" ht="15.6" x14ac:dyDescent="0.25">
      <c r="A130" s="798"/>
      <c r="B130" s="332" t="s">
        <v>130</v>
      </c>
      <c r="C130" s="465">
        <f>'G-2 Habitat groups'!S157</f>
        <v>0</v>
      </c>
      <c r="D130" s="465">
        <f>'G-2 Habitat groups'!T157</f>
        <v>0</v>
      </c>
      <c r="E130" s="465">
        <f>'G-2 Habitat groups'!AA157</f>
        <v>0</v>
      </c>
      <c r="F130" s="465">
        <f>'G-2 Habitat groups'!AB157</f>
        <v>0</v>
      </c>
      <c r="G130" s="465">
        <f t="shared" si="15"/>
        <v>0</v>
      </c>
      <c r="H130" s="465">
        <f t="shared" si="16"/>
        <v>0</v>
      </c>
    </row>
    <row r="131" spans="1:8" ht="15.6" x14ac:dyDescent="0.25">
      <c r="A131" s="798"/>
      <c r="B131" s="332" t="s">
        <v>119</v>
      </c>
      <c r="C131" s="465">
        <f>'G-2 Habitat groups'!S158</f>
        <v>0</v>
      </c>
      <c r="D131" s="465">
        <f>'G-2 Habitat groups'!T158</f>
        <v>0</v>
      </c>
      <c r="E131" s="465">
        <f>'G-2 Habitat groups'!AA158</f>
        <v>0</v>
      </c>
      <c r="F131" s="465">
        <f>'G-2 Habitat groups'!AB158</f>
        <v>0</v>
      </c>
      <c r="G131" s="465">
        <f t="shared" si="15"/>
        <v>0</v>
      </c>
      <c r="H131" s="465">
        <f t="shared" si="16"/>
        <v>0</v>
      </c>
    </row>
    <row r="132" spans="1:8" x14ac:dyDescent="0.25">
      <c r="A132" s="798"/>
      <c r="B132" s="40"/>
      <c r="C132" s="40"/>
    </row>
    <row r="133" spans="1:8" x14ac:dyDescent="0.25">
      <c r="A133" s="798"/>
      <c r="B133" s="40"/>
      <c r="C133" s="40"/>
    </row>
    <row r="134" spans="1:8" x14ac:dyDescent="0.25">
      <c r="A134" s="798"/>
      <c r="B134" s="40"/>
      <c r="C134" s="40"/>
    </row>
    <row r="135" spans="1:8" ht="14.4" thickBot="1" x14ac:dyDescent="0.3">
      <c r="A135" s="798"/>
      <c r="B135" s="40"/>
      <c r="C135" s="40"/>
    </row>
    <row r="136" spans="1:8" ht="18" thickBot="1" x14ac:dyDescent="0.35">
      <c r="A136" s="798"/>
      <c r="B136" s="806" t="s">
        <v>131</v>
      </c>
      <c r="C136" s="806"/>
      <c r="D136" s="806"/>
      <c r="E136" s="806"/>
      <c r="F136" s="806"/>
      <c r="G136" s="806"/>
      <c r="H136" s="806"/>
    </row>
    <row r="137" spans="1:8" ht="16.2" thickBot="1" x14ac:dyDescent="0.3">
      <c r="A137" s="798"/>
      <c r="B137" s="35"/>
      <c r="C137" s="789" t="s">
        <v>56</v>
      </c>
      <c r="D137" s="789"/>
      <c r="E137" s="789" t="s">
        <v>57</v>
      </c>
      <c r="F137" s="789"/>
      <c r="G137" s="789" t="s">
        <v>58</v>
      </c>
      <c r="H137" s="789"/>
    </row>
    <row r="138" spans="1:8" ht="31.8" thickBot="1" x14ac:dyDescent="0.3">
      <c r="A138" s="798"/>
      <c r="B138" s="324" t="s">
        <v>99</v>
      </c>
      <c r="C138" s="35" t="s">
        <v>132</v>
      </c>
      <c r="D138" s="35" t="s">
        <v>61</v>
      </c>
      <c r="E138" s="35" t="s">
        <v>133</v>
      </c>
      <c r="F138" s="35" t="s">
        <v>63</v>
      </c>
      <c r="G138" s="35" t="s">
        <v>134</v>
      </c>
      <c r="H138" s="35" t="s">
        <v>65</v>
      </c>
    </row>
    <row r="139" spans="1:8" ht="15.6" x14ac:dyDescent="0.25">
      <c r="A139" s="798"/>
      <c r="B139" s="336" t="s">
        <v>107</v>
      </c>
      <c r="C139" s="467">
        <f>C99+C119</f>
        <v>0</v>
      </c>
      <c r="D139" s="467">
        <f t="shared" ref="D139:H139" si="17">D99+D119</f>
        <v>0</v>
      </c>
      <c r="E139" s="467">
        <f t="shared" si="17"/>
        <v>0</v>
      </c>
      <c r="F139" s="467">
        <f t="shared" si="17"/>
        <v>0</v>
      </c>
      <c r="G139" s="467">
        <f>G99+G119</f>
        <v>0</v>
      </c>
      <c r="H139" s="467">
        <f t="shared" si="17"/>
        <v>0</v>
      </c>
    </row>
    <row r="140" spans="1:8" ht="15.6" x14ac:dyDescent="0.25">
      <c r="A140" s="798"/>
      <c r="B140" s="337" t="s">
        <v>108</v>
      </c>
      <c r="C140" s="467">
        <f t="shared" ref="C140:H140" si="18">C100+C120</f>
        <v>0</v>
      </c>
      <c r="D140" s="467">
        <f t="shared" si="18"/>
        <v>0</v>
      </c>
      <c r="E140" s="467">
        <f t="shared" si="18"/>
        <v>0</v>
      </c>
      <c r="F140" s="467">
        <f t="shared" si="18"/>
        <v>0</v>
      </c>
      <c r="G140" s="467">
        <f t="shared" si="18"/>
        <v>0</v>
      </c>
      <c r="H140" s="467">
        <f t="shared" si="18"/>
        <v>0</v>
      </c>
    </row>
    <row r="141" spans="1:8" ht="15.6" x14ac:dyDescent="0.25">
      <c r="A141" s="798"/>
      <c r="B141" s="337" t="s">
        <v>109</v>
      </c>
      <c r="C141" s="467">
        <f>C101+C121</f>
        <v>0</v>
      </c>
      <c r="D141" s="467">
        <f t="shared" ref="D141:H141" si="19">D101+D121</f>
        <v>0</v>
      </c>
      <c r="E141" s="467">
        <f t="shared" si="19"/>
        <v>0</v>
      </c>
      <c r="F141" s="467">
        <f t="shared" si="19"/>
        <v>0</v>
      </c>
      <c r="G141" s="467">
        <f t="shared" si="19"/>
        <v>0</v>
      </c>
      <c r="H141" s="467">
        <f t="shared" si="19"/>
        <v>0</v>
      </c>
    </row>
    <row r="142" spans="1:8" ht="15.6" x14ac:dyDescent="0.25">
      <c r="A142" s="798"/>
      <c r="B142" s="337" t="s">
        <v>110</v>
      </c>
      <c r="C142" s="467">
        <f t="shared" ref="C142:H142" si="20">C102+C122</f>
        <v>0</v>
      </c>
      <c r="D142" s="467">
        <f t="shared" si="20"/>
        <v>0</v>
      </c>
      <c r="E142" s="467">
        <f t="shared" si="20"/>
        <v>0</v>
      </c>
      <c r="F142" s="467">
        <f t="shared" si="20"/>
        <v>0</v>
      </c>
      <c r="G142" s="467">
        <f t="shared" si="20"/>
        <v>0</v>
      </c>
      <c r="H142" s="467">
        <f t="shared" si="20"/>
        <v>0</v>
      </c>
    </row>
    <row r="143" spans="1:8" ht="15.6" x14ac:dyDescent="0.25">
      <c r="A143" s="798"/>
      <c r="B143" s="337" t="s">
        <v>111</v>
      </c>
      <c r="C143" s="467">
        <f t="shared" ref="C143:H143" si="21">C103+C123</f>
        <v>0</v>
      </c>
      <c r="D143" s="467">
        <f t="shared" si="21"/>
        <v>0</v>
      </c>
      <c r="E143" s="467">
        <f t="shared" si="21"/>
        <v>0.11899999999999999</v>
      </c>
      <c r="F143" s="467">
        <f t="shared" si="21"/>
        <v>0.91616006141687989</v>
      </c>
      <c r="G143" s="467">
        <f t="shared" si="21"/>
        <v>0.11899999999999999</v>
      </c>
      <c r="H143" s="467">
        <f t="shared" si="21"/>
        <v>0.91616006141687989</v>
      </c>
    </row>
    <row r="144" spans="1:8" ht="15.6" x14ac:dyDescent="0.25">
      <c r="A144" s="798"/>
      <c r="B144" s="337" t="s">
        <v>112</v>
      </c>
      <c r="C144" s="467">
        <f t="shared" ref="C144:H144" si="22">C104+C124</f>
        <v>0</v>
      </c>
      <c r="D144" s="467">
        <f t="shared" si="22"/>
        <v>0</v>
      </c>
      <c r="E144" s="467">
        <f t="shared" si="22"/>
        <v>0</v>
      </c>
      <c r="F144" s="467">
        <f t="shared" si="22"/>
        <v>0</v>
      </c>
      <c r="G144" s="467">
        <f t="shared" si="22"/>
        <v>0</v>
      </c>
      <c r="H144" s="467">
        <f t="shared" si="22"/>
        <v>0</v>
      </c>
    </row>
    <row r="145" spans="1:12" ht="15.6" x14ac:dyDescent="0.25">
      <c r="A145" s="798"/>
      <c r="B145" s="337" t="s">
        <v>113</v>
      </c>
      <c r="C145" s="467">
        <f t="shared" ref="C145:H145" si="23">C105+C125</f>
        <v>0</v>
      </c>
      <c r="D145" s="467">
        <f t="shared" si="23"/>
        <v>0</v>
      </c>
      <c r="E145" s="467">
        <f t="shared" si="23"/>
        <v>0</v>
      </c>
      <c r="F145" s="467">
        <f t="shared" si="23"/>
        <v>0</v>
      </c>
      <c r="G145" s="467">
        <f t="shared" si="23"/>
        <v>0</v>
      </c>
      <c r="H145" s="467">
        <f t="shared" si="23"/>
        <v>0</v>
      </c>
    </row>
    <row r="146" spans="1:12" ht="15.6" x14ac:dyDescent="0.25">
      <c r="A146" s="798"/>
      <c r="B146" s="337" t="s">
        <v>114</v>
      </c>
      <c r="C146" s="467">
        <f t="shared" ref="C146:H146" si="24">C106+C126</f>
        <v>0</v>
      </c>
      <c r="D146" s="467">
        <f t="shared" si="24"/>
        <v>0</v>
      </c>
      <c r="E146" s="467">
        <f t="shared" si="24"/>
        <v>0</v>
      </c>
      <c r="F146" s="467">
        <f t="shared" si="24"/>
        <v>0</v>
      </c>
      <c r="G146" s="467">
        <f t="shared" si="24"/>
        <v>0</v>
      </c>
      <c r="H146" s="467">
        <f t="shared" si="24"/>
        <v>0</v>
      </c>
    </row>
    <row r="147" spans="1:12" ht="15.6" x14ac:dyDescent="0.25">
      <c r="A147" s="798"/>
      <c r="B147" s="332" t="s">
        <v>115</v>
      </c>
      <c r="C147" s="467">
        <f t="shared" ref="C147:H147" si="25">C107+C127</f>
        <v>0</v>
      </c>
      <c r="D147" s="467">
        <f t="shared" si="25"/>
        <v>0</v>
      </c>
      <c r="E147" s="467">
        <f t="shared" si="25"/>
        <v>0</v>
      </c>
      <c r="F147" s="467">
        <f t="shared" si="25"/>
        <v>0</v>
      </c>
      <c r="G147" s="467">
        <f t="shared" si="25"/>
        <v>0</v>
      </c>
      <c r="H147" s="467">
        <f t="shared" si="25"/>
        <v>0</v>
      </c>
    </row>
    <row r="148" spans="1:12" ht="15.6" x14ac:dyDescent="0.25">
      <c r="A148" s="798"/>
      <c r="B148" s="332" t="s">
        <v>116</v>
      </c>
      <c r="C148" s="467">
        <f t="shared" ref="C148:H148" si="26">C108+C128</f>
        <v>0</v>
      </c>
      <c r="D148" s="467">
        <f t="shared" si="26"/>
        <v>0</v>
      </c>
      <c r="E148" s="467">
        <f t="shared" si="26"/>
        <v>0</v>
      </c>
      <c r="F148" s="467">
        <f t="shared" si="26"/>
        <v>0</v>
      </c>
      <c r="G148" s="467">
        <f t="shared" si="26"/>
        <v>0</v>
      </c>
      <c r="H148" s="467">
        <f t="shared" si="26"/>
        <v>0</v>
      </c>
    </row>
    <row r="149" spans="1:12" ht="15.6" x14ac:dyDescent="0.25">
      <c r="A149" s="798"/>
      <c r="B149" s="332" t="s">
        <v>117</v>
      </c>
      <c r="C149" s="467">
        <f t="shared" ref="C149:H149" si="27">C109+C129</f>
        <v>0</v>
      </c>
      <c r="D149" s="467">
        <f t="shared" si="27"/>
        <v>0</v>
      </c>
      <c r="E149" s="467">
        <f t="shared" si="27"/>
        <v>0</v>
      </c>
      <c r="F149" s="467">
        <f t="shared" si="27"/>
        <v>0</v>
      </c>
      <c r="G149" s="467">
        <f t="shared" si="27"/>
        <v>0</v>
      </c>
      <c r="H149" s="467">
        <f t="shared" si="27"/>
        <v>0</v>
      </c>
    </row>
    <row r="150" spans="1:12" ht="15.6" x14ac:dyDescent="0.25">
      <c r="A150" s="798"/>
      <c r="B150" s="332" t="s">
        <v>130</v>
      </c>
      <c r="C150" s="467">
        <f t="shared" ref="C150:H150" si="28">C110+C130</f>
        <v>0</v>
      </c>
      <c r="D150" s="467">
        <f t="shared" si="28"/>
        <v>0</v>
      </c>
      <c r="E150" s="467">
        <f t="shared" si="28"/>
        <v>0</v>
      </c>
      <c r="F150" s="467">
        <f t="shared" si="28"/>
        <v>0</v>
      </c>
      <c r="G150" s="467">
        <f t="shared" si="28"/>
        <v>0</v>
      </c>
      <c r="H150" s="467">
        <f t="shared" si="28"/>
        <v>0</v>
      </c>
    </row>
    <row r="151" spans="1:12" ht="15.6" x14ac:dyDescent="0.25">
      <c r="A151" s="798"/>
      <c r="B151" s="332" t="s">
        <v>119</v>
      </c>
      <c r="C151" s="467">
        <f t="shared" ref="C151:H151" si="29">C111+C131</f>
        <v>3.7999999999999999E-2</v>
      </c>
      <c r="D151" s="467">
        <f t="shared" si="29"/>
        <v>4.3699999999999996E-2</v>
      </c>
      <c r="E151" s="467">
        <f t="shared" si="29"/>
        <v>6.3E-2</v>
      </c>
      <c r="F151" s="467">
        <f t="shared" si="29"/>
        <v>7.144375E-2</v>
      </c>
      <c r="G151" s="467">
        <f t="shared" si="29"/>
        <v>2.5000000000000001E-2</v>
      </c>
      <c r="H151" s="467">
        <f t="shared" si="29"/>
        <v>2.7743750000000005E-2</v>
      </c>
    </row>
    <row r="152" spans="1:12" x14ac:dyDescent="0.25">
      <c r="A152" s="798"/>
    </row>
    <row r="153" spans="1:12" ht="14.4" thickBot="1" x14ac:dyDescent="0.3">
      <c r="A153" s="799"/>
    </row>
    <row r="154" spans="1:12" s="334" customFormat="1" ht="31.95" customHeight="1" thickTop="1" x14ac:dyDescent="0.25">
      <c r="A154" s="800" t="s">
        <v>135</v>
      </c>
    </row>
    <row r="155" spans="1:12" ht="14.4" thickBot="1" x14ac:dyDescent="0.3">
      <c r="A155" s="801"/>
    </row>
    <row r="156" spans="1:12" ht="25.2" thickBot="1" x14ac:dyDescent="0.45">
      <c r="A156" s="801"/>
      <c r="B156" s="826" t="s">
        <v>136</v>
      </c>
      <c r="C156" s="827"/>
      <c r="D156" s="828"/>
    </row>
    <row r="157" spans="1:12" x14ac:dyDescent="0.25">
      <c r="A157" s="801"/>
    </row>
    <row r="158" spans="1:12" ht="14.4" thickBot="1" x14ac:dyDescent="0.3">
      <c r="A158" s="801"/>
    </row>
    <row r="159" spans="1:12" ht="18" thickBot="1" x14ac:dyDescent="0.35">
      <c r="A159" s="801"/>
      <c r="B159" s="806" t="s">
        <v>137</v>
      </c>
      <c r="C159" s="806"/>
      <c r="D159" s="806"/>
      <c r="E159" s="806"/>
      <c r="F159" s="806"/>
      <c r="G159" s="806"/>
      <c r="H159" s="806"/>
      <c r="J159" s="810" t="s">
        <v>98</v>
      </c>
      <c r="K159" s="811"/>
      <c r="L159" s="812"/>
    </row>
    <row r="160" spans="1:12" ht="16.2" thickBot="1" x14ac:dyDescent="0.3">
      <c r="A160" s="801"/>
      <c r="B160" s="35"/>
      <c r="C160" s="789" t="s">
        <v>56</v>
      </c>
      <c r="D160" s="789"/>
      <c r="E160" s="789" t="s">
        <v>57</v>
      </c>
      <c r="F160" s="789"/>
      <c r="G160" s="789" t="s">
        <v>58</v>
      </c>
      <c r="H160" s="789"/>
      <c r="J160" s="813"/>
      <c r="K160" s="814"/>
      <c r="L160" s="815"/>
    </row>
    <row r="161" spans="1:12" ht="31.8" thickBot="1" x14ac:dyDescent="0.3">
      <c r="A161" s="801"/>
      <c r="B161" s="324" t="s">
        <v>138</v>
      </c>
      <c r="C161" s="35" t="s">
        <v>132</v>
      </c>
      <c r="D161" s="35" t="s">
        <v>61</v>
      </c>
      <c r="E161" s="35" t="s">
        <v>133</v>
      </c>
      <c r="F161" s="35" t="s">
        <v>63</v>
      </c>
      <c r="G161" s="35" t="s">
        <v>134</v>
      </c>
      <c r="H161" s="35" t="s">
        <v>65</v>
      </c>
      <c r="J161" s="816" t="s">
        <v>66</v>
      </c>
      <c r="K161" s="818" t="s">
        <v>105</v>
      </c>
      <c r="L161" s="820" t="s">
        <v>106</v>
      </c>
    </row>
    <row r="162" spans="1:12" ht="15.6" x14ac:dyDescent="0.25">
      <c r="A162" s="801"/>
      <c r="B162" s="329" t="s">
        <v>139</v>
      </c>
      <c r="C162" s="472">
        <f>'G-2 Habitat groups'!E168</f>
        <v>0</v>
      </c>
      <c r="D162" s="472">
        <f>'G-2 Habitat groups'!F168</f>
        <v>0</v>
      </c>
      <c r="E162" s="472">
        <f>'G-2 Habitat groups'!O168</f>
        <v>0</v>
      </c>
      <c r="F162" s="472">
        <f>'G-2 Habitat groups'!P168</f>
        <v>0</v>
      </c>
      <c r="G162" s="472">
        <f>E162-C162</f>
        <v>0</v>
      </c>
      <c r="H162" s="472">
        <f t="shared" ref="H162" si="30">F162-D162</f>
        <v>0</v>
      </c>
      <c r="J162" s="817"/>
      <c r="K162" s="819"/>
      <c r="L162" s="821"/>
    </row>
    <row r="163" spans="1:12" ht="15.6" x14ac:dyDescent="0.25">
      <c r="A163" s="801"/>
      <c r="B163" s="330" t="s">
        <v>140</v>
      </c>
      <c r="C163" s="472">
        <f>'G-2 Habitat groups'!E169</f>
        <v>0</v>
      </c>
      <c r="D163" s="472">
        <f>'G-2 Habitat groups'!F169</f>
        <v>0</v>
      </c>
      <c r="E163" s="472">
        <f>'G-2 Habitat groups'!O169</f>
        <v>0</v>
      </c>
      <c r="F163" s="472">
        <f>'G-2 Habitat groups'!P169</f>
        <v>0</v>
      </c>
      <c r="G163" s="472">
        <f t="shared" ref="G163:G166" si="31">E163-C163</f>
        <v>0</v>
      </c>
      <c r="H163" s="472">
        <f t="shared" ref="H163:H166" si="32">F163-D163</f>
        <v>0</v>
      </c>
      <c r="J163" s="802" t="str">
        <f>'G-1 All Habitats'!$V$3</f>
        <v>V.High</v>
      </c>
      <c r="K163" s="804">
        <f>SUMIF('C-1 Site River Baseline'!$F$10:$F$257,'Detailed Results'!J163,'C-1 Site River Baseline'!$X$10:$X$257)+SUMIF('F-1 Off Site River Baseline'!$F$10:$F$257,'Detailed Results'!J163,'F-1 Off Site River Baseline'!$X$10:$X$257)</f>
        <v>0</v>
      </c>
      <c r="L163" s="808" t="str">
        <f>IF(K163=0,"",(K163/(SUM($K$100:$K$109)))*100)</f>
        <v/>
      </c>
    </row>
    <row r="164" spans="1:12" ht="15.6" x14ac:dyDescent="0.25">
      <c r="A164" s="801"/>
      <c r="B164" s="330" t="s">
        <v>141</v>
      </c>
      <c r="C164" s="472">
        <f>'G-2 Habitat groups'!E170</f>
        <v>0</v>
      </c>
      <c r="D164" s="472">
        <f>'G-2 Habitat groups'!F170</f>
        <v>0</v>
      </c>
      <c r="E164" s="472">
        <f>'G-2 Habitat groups'!O170</f>
        <v>0</v>
      </c>
      <c r="F164" s="472">
        <f>'G-2 Habitat groups'!P170</f>
        <v>0</v>
      </c>
      <c r="G164" s="472">
        <f t="shared" si="31"/>
        <v>0</v>
      </c>
      <c r="H164" s="472">
        <f t="shared" si="32"/>
        <v>0</v>
      </c>
      <c r="J164" s="803"/>
      <c r="K164" s="805"/>
      <c r="L164" s="809"/>
    </row>
    <row r="165" spans="1:12" ht="15.6" x14ac:dyDescent="0.25">
      <c r="A165" s="801"/>
      <c r="B165" s="330" t="s">
        <v>142</v>
      </c>
      <c r="C165" s="472">
        <f>'G-2 Habitat groups'!E171</f>
        <v>0</v>
      </c>
      <c r="D165" s="472">
        <f>'G-2 Habitat groups'!F171</f>
        <v>0</v>
      </c>
      <c r="E165" s="472">
        <f>'G-2 Habitat groups'!O171</f>
        <v>0</v>
      </c>
      <c r="F165" s="472">
        <f>'G-2 Habitat groups'!P171</f>
        <v>0</v>
      </c>
      <c r="G165" s="472">
        <f t="shared" si="31"/>
        <v>0</v>
      </c>
      <c r="H165" s="472">
        <f t="shared" si="32"/>
        <v>0</v>
      </c>
      <c r="J165" s="802" t="str">
        <f>'G-1 All Habitats'!$V$4</f>
        <v>High</v>
      </c>
      <c r="K165" s="804">
        <f>SUMIF('C-1 Site River Baseline'!$F$10:$F$257,'Detailed Results'!J165,'C-1 Site River Baseline'!$X$10:$X$257)+SUMIF('F-1 Off Site River Baseline'!$F$10:$F$257,'Detailed Results'!J165,'F-1 Off Site River Baseline'!$X$10:$X$257)</f>
        <v>0</v>
      </c>
      <c r="L165" s="808" t="str">
        <f t="shared" ref="L165" si="33">IF(K165=0,"",(K165/(SUM($K$100:$K$109)))*100)</f>
        <v/>
      </c>
    </row>
    <row r="166" spans="1:12" ht="15.6" x14ac:dyDescent="0.25">
      <c r="A166" s="801"/>
      <c r="B166" s="330" t="s">
        <v>143</v>
      </c>
      <c r="C166" s="472">
        <f>'G-2 Habitat groups'!E172</f>
        <v>0</v>
      </c>
      <c r="D166" s="472">
        <f>'G-2 Habitat groups'!F172</f>
        <v>0</v>
      </c>
      <c r="E166" s="472">
        <f>'G-2 Habitat groups'!O172</f>
        <v>0</v>
      </c>
      <c r="F166" s="472">
        <f>'G-2 Habitat groups'!P172</f>
        <v>0</v>
      </c>
      <c r="G166" s="472">
        <f t="shared" si="31"/>
        <v>0</v>
      </c>
      <c r="H166" s="472">
        <f t="shared" si="32"/>
        <v>0</v>
      </c>
      <c r="J166" s="803"/>
      <c r="K166" s="805"/>
      <c r="L166" s="809"/>
    </row>
    <row r="167" spans="1:12" x14ac:dyDescent="0.25">
      <c r="A167" s="801"/>
      <c r="J167" s="802" t="str">
        <f>'G-1 All Habitats'!$V$5</f>
        <v>Medium</v>
      </c>
      <c r="K167" s="804">
        <f>SUMIF('C-1 Site River Baseline'!$F$10:$F$257,'Detailed Results'!J167,'C-1 Site River Baseline'!$X$10:$X$257)+SUMIF('F-1 Off Site River Baseline'!$F$10:$F$257,'Detailed Results'!J167,'F-1 Off Site River Baseline'!$X$10:$X$257)</f>
        <v>0</v>
      </c>
      <c r="L167" s="808" t="str">
        <f t="shared" ref="L167" si="34">IF(K167=0,"",(K167/(SUM($K$100:$K$109)))*100)</f>
        <v/>
      </c>
    </row>
    <row r="168" spans="1:12" x14ac:dyDescent="0.25">
      <c r="A168" s="801"/>
      <c r="J168" s="803"/>
      <c r="K168" s="805"/>
      <c r="L168" s="809"/>
    </row>
    <row r="169" spans="1:12" x14ac:dyDescent="0.25">
      <c r="A169" s="801"/>
      <c r="J169" s="802" t="str">
        <f>'G-1 All Habitats'!$V$6</f>
        <v>Low</v>
      </c>
      <c r="K169" s="804">
        <f>SUMIF('C-1 Site River Baseline'!$F$10:$F$257,'Detailed Results'!J169,'C-1 Site River Baseline'!$X$10:$X$257)+SUMIF('F-1 Off Site River Baseline'!$F$10:$F$257,'Detailed Results'!J169,'F-1 Off Site River Baseline'!$X$10:$X$257)</f>
        <v>0</v>
      </c>
      <c r="L169" s="808" t="str">
        <f t="shared" ref="L169" si="35">IF(K169=0,"",(K169/(SUM($K$100:$K$109)))*100)</f>
        <v/>
      </c>
    </row>
    <row r="170" spans="1:12" x14ac:dyDescent="0.25">
      <c r="A170" s="801"/>
      <c r="J170" s="803"/>
      <c r="K170" s="805"/>
      <c r="L170" s="809"/>
    </row>
    <row r="171" spans="1:12" x14ac:dyDescent="0.25">
      <c r="A171" s="801"/>
    </row>
    <row r="172" spans="1:12" x14ac:dyDescent="0.25">
      <c r="A172" s="801"/>
    </row>
    <row r="173" spans="1:12" x14ac:dyDescent="0.25">
      <c r="A173" s="801"/>
    </row>
    <row r="174" spans="1:12" x14ac:dyDescent="0.25">
      <c r="A174" s="801"/>
    </row>
    <row r="175" spans="1:12" x14ac:dyDescent="0.25">
      <c r="A175" s="801"/>
    </row>
    <row r="176" spans="1:12" x14ac:dyDescent="0.25">
      <c r="A176" s="801"/>
    </row>
    <row r="177" spans="1:8" x14ac:dyDescent="0.25">
      <c r="A177" s="801"/>
    </row>
    <row r="178" spans="1:8" ht="14.4" thickBot="1" x14ac:dyDescent="0.3">
      <c r="A178" s="801"/>
    </row>
    <row r="179" spans="1:8" ht="18" thickBot="1" x14ac:dyDescent="0.35">
      <c r="A179" s="801"/>
      <c r="B179" s="806" t="s">
        <v>144</v>
      </c>
      <c r="C179" s="806"/>
      <c r="D179" s="806"/>
      <c r="E179" s="806"/>
      <c r="F179" s="806"/>
      <c r="G179" s="806"/>
      <c r="H179" s="806"/>
    </row>
    <row r="180" spans="1:8" ht="16.2" thickBot="1" x14ac:dyDescent="0.3">
      <c r="A180" s="801"/>
      <c r="B180" s="35"/>
      <c r="C180" s="789" t="s">
        <v>56</v>
      </c>
      <c r="D180" s="789"/>
      <c r="E180" s="789" t="s">
        <v>145</v>
      </c>
      <c r="F180" s="789"/>
      <c r="G180" s="789" t="s">
        <v>84</v>
      </c>
      <c r="H180" s="789"/>
    </row>
    <row r="181" spans="1:8" ht="47.4" thickBot="1" x14ac:dyDescent="0.3">
      <c r="A181" s="801"/>
      <c r="B181" s="324" t="s">
        <v>138</v>
      </c>
      <c r="C181" s="35" t="s">
        <v>124</v>
      </c>
      <c r="D181" s="35" t="s">
        <v>125</v>
      </c>
      <c r="E181" s="35" t="s">
        <v>126</v>
      </c>
      <c r="F181" s="35" t="s">
        <v>127</v>
      </c>
      <c r="G181" s="35" t="s">
        <v>128</v>
      </c>
      <c r="H181" s="35" t="s">
        <v>89</v>
      </c>
    </row>
    <row r="182" spans="1:8" ht="15.6" x14ac:dyDescent="0.25">
      <c r="A182" s="801"/>
      <c r="B182" s="329" t="s">
        <v>139</v>
      </c>
      <c r="C182" s="472">
        <f>'G-2 Habitat groups'!S168</f>
        <v>0</v>
      </c>
      <c r="D182" s="472">
        <f>'G-2 Habitat groups'!T168</f>
        <v>0</v>
      </c>
      <c r="E182" s="472">
        <f>'G-2 Habitat groups'!AA168</f>
        <v>0</v>
      </c>
      <c r="F182" s="472">
        <f>'G-2 Habitat groups'!AB209</f>
        <v>0</v>
      </c>
      <c r="G182" s="472">
        <f t="shared" ref="G182:G186" si="36">E182-C182</f>
        <v>0</v>
      </c>
      <c r="H182" s="472">
        <f t="shared" ref="H182:H186" si="37">F182-D182</f>
        <v>0</v>
      </c>
    </row>
    <row r="183" spans="1:8" ht="15.6" x14ac:dyDescent="0.25">
      <c r="A183" s="801"/>
      <c r="B183" s="330" t="s">
        <v>140</v>
      </c>
      <c r="C183" s="472">
        <f>'G-2 Habitat groups'!S169</f>
        <v>0</v>
      </c>
      <c r="D183" s="472">
        <f>'G-2 Habitat groups'!T169</f>
        <v>0</v>
      </c>
      <c r="E183" s="472">
        <f>'G-2 Habitat groups'!AA169</f>
        <v>0</v>
      </c>
      <c r="F183" s="472">
        <f>'G-2 Habitat groups'!AB210</f>
        <v>0</v>
      </c>
      <c r="G183" s="472">
        <f t="shared" si="36"/>
        <v>0</v>
      </c>
      <c r="H183" s="472">
        <f t="shared" si="37"/>
        <v>0</v>
      </c>
    </row>
    <row r="184" spans="1:8" ht="15.6" x14ac:dyDescent="0.25">
      <c r="A184" s="801"/>
      <c r="B184" s="330" t="s">
        <v>141</v>
      </c>
      <c r="C184" s="472">
        <f>'G-2 Habitat groups'!S170</f>
        <v>0</v>
      </c>
      <c r="D184" s="472">
        <f>'G-2 Habitat groups'!T170</f>
        <v>0</v>
      </c>
      <c r="E184" s="472">
        <f>'G-2 Habitat groups'!AA170</f>
        <v>0</v>
      </c>
      <c r="F184" s="472">
        <f>'G-2 Habitat groups'!AB211</f>
        <v>0</v>
      </c>
      <c r="G184" s="472">
        <f t="shared" si="36"/>
        <v>0</v>
      </c>
      <c r="H184" s="472">
        <f t="shared" si="37"/>
        <v>0</v>
      </c>
    </row>
    <row r="185" spans="1:8" ht="15.6" x14ac:dyDescent="0.25">
      <c r="A185" s="801"/>
      <c r="B185" s="330" t="s">
        <v>142</v>
      </c>
      <c r="C185" s="472">
        <f>'G-2 Habitat groups'!S171</f>
        <v>0</v>
      </c>
      <c r="D185" s="472">
        <f>'G-2 Habitat groups'!T171</f>
        <v>0</v>
      </c>
      <c r="E185" s="472">
        <f>'G-2 Habitat groups'!AA171</f>
        <v>0</v>
      </c>
      <c r="F185" s="472">
        <f>'G-2 Habitat groups'!AB212</f>
        <v>0</v>
      </c>
      <c r="G185" s="472">
        <f t="shared" si="36"/>
        <v>0</v>
      </c>
      <c r="H185" s="472">
        <f t="shared" si="37"/>
        <v>0</v>
      </c>
    </row>
    <row r="186" spans="1:8" ht="15.6" x14ac:dyDescent="0.25">
      <c r="A186" s="801"/>
      <c r="B186" s="330" t="s">
        <v>143</v>
      </c>
      <c r="C186" s="472">
        <f>'G-2 Habitat groups'!S172</f>
        <v>0</v>
      </c>
      <c r="D186" s="472">
        <f>'G-2 Habitat groups'!T172</f>
        <v>0</v>
      </c>
      <c r="E186" s="472">
        <f>'G-2 Habitat groups'!AA172</f>
        <v>0</v>
      </c>
      <c r="F186" s="472">
        <f>'G-2 Habitat groups'!AB213</f>
        <v>0</v>
      </c>
      <c r="G186" s="472">
        <f t="shared" si="36"/>
        <v>0</v>
      </c>
      <c r="H186" s="472">
        <f t="shared" si="37"/>
        <v>0</v>
      </c>
    </row>
    <row r="187" spans="1:8" x14ac:dyDescent="0.25">
      <c r="A187" s="801"/>
      <c r="B187" s="40"/>
      <c r="C187" s="40"/>
      <c r="D187" s="40"/>
      <c r="E187" s="40"/>
      <c r="F187" s="40"/>
      <c r="G187" s="40"/>
      <c r="H187" s="40"/>
    </row>
    <row r="188" spans="1:8" x14ac:dyDescent="0.25">
      <c r="A188" s="801"/>
      <c r="B188" s="40"/>
      <c r="C188" s="40"/>
      <c r="D188" s="40"/>
      <c r="E188" s="40"/>
      <c r="F188" s="40"/>
      <c r="G188" s="40"/>
      <c r="H188" s="40"/>
    </row>
    <row r="189" spans="1:8" x14ac:dyDescent="0.25">
      <c r="A189" s="801"/>
      <c r="B189" s="40"/>
      <c r="C189" s="40"/>
      <c r="D189" s="40"/>
      <c r="E189" s="40"/>
      <c r="F189" s="40"/>
      <c r="G189" s="40"/>
      <c r="H189" s="40"/>
    </row>
    <row r="190" spans="1:8" x14ac:dyDescent="0.25">
      <c r="A190" s="801"/>
      <c r="B190" s="40"/>
      <c r="C190" s="40"/>
      <c r="D190" s="40"/>
      <c r="E190" s="40"/>
      <c r="F190" s="40"/>
      <c r="G190" s="40"/>
      <c r="H190" s="40"/>
    </row>
    <row r="191" spans="1:8" x14ac:dyDescent="0.25">
      <c r="A191" s="801"/>
      <c r="B191" s="40"/>
      <c r="C191" s="40"/>
      <c r="D191" s="40"/>
      <c r="E191" s="40"/>
      <c r="F191" s="40"/>
      <c r="G191" s="40"/>
      <c r="H191" s="40"/>
    </row>
    <row r="192" spans="1:8" x14ac:dyDescent="0.25">
      <c r="A192" s="801"/>
      <c r="B192" s="40"/>
      <c r="C192" s="40"/>
      <c r="D192" s="40"/>
      <c r="E192" s="40"/>
      <c r="F192" s="40"/>
      <c r="G192" s="40"/>
      <c r="H192" s="40"/>
    </row>
    <row r="193" spans="1:8" x14ac:dyDescent="0.25">
      <c r="A193" s="801"/>
      <c r="B193" s="40"/>
      <c r="C193" s="40"/>
      <c r="D193" s="40"/>
      <c r="E193" s="40"/>
      <c r="F193" s="40"/>
      <c r="G193" s="40"/>
      <c r="H193" s="40"/>
    </row>
    <row r="194" spans="1:8" x14ac:dyDescent="0.25">
      <c r="A194" s="801"/>
      <c r="B194" s="40"/>
      <c r="C194" s="40"/>
      <c r="D194" s="40"/>
      <c r="E194" s="40"/>
      <c r="F194" s="40"/>
      <c r="G194" s="40"/>
      <c r="H194" s="40"/>
    </row>
    <row r="195" spans="1:8" x14ac:dyDescent="0.25">
      <c r="A195" s="801"/>
      <c r="B195" s="40"/>
      <c r="C195" s="40"/>
    </row>
    <row r="196" spans="1:8" x14ac:dyDescent="0.25">
      <c r="A196" s="801"/>
      <c r="B196" s="40"/>
      <c r="C196" s="40"/>
    </row>
    <row r="197" spans="1:8" x14ac:dyDescent="0.25">
      <c r="A197" s="801"/>
      <c r="B197" s="40"/>
      <c r="C197" s="40"/>
    </row>
    <row r="198" spans="1:8" ht="14.4" thickBot="1" x14ac:dyDescent="0.3">
      <c r="A198" s="801"/>
      <c r="B198" s="40"/>
      <c r="C198" s="40"/>
    </row>
    <row r="199" spans="1:8" ht="18" thickBot="1" x14ac:dyDescent="0.35">
      <c r="A199" s="801"/>
      <c r="B199" s="806" t="s">
        <v>146</v>
      </c>
      <c r="C199" s="806"/>
      <c r="D199" s="806"/>
      <c r="E199" s="806"/>
      <c r="F199" s="806"/>
      <c r="G199" s="806"/>
      <c r="H199" s="806"/>
    </row>
    <row r="200" spans="1:8" ht="16.2" thickBot="1" x14ac:dyDescent="0.3">
      <c r="A200" s="801"/>
      <c r="B200" s="35"/>
      <c r="C200" s="789" t="s">
        <v>56</v>
      </c>
      <c r="D200" s="789"/>
      <c r="E200" s="789" t="s">
        <v>57</v>
      </c>
      <c r="F200" s="789"/>
      <c r="G200" s="789" t="s">
        <v>58</v>
      </c>
      <c r="H200" s="789"/>
    </row>
    <row r="201" spans="1:8" ht="31.8" thickBot="1" x14ac:dyDescent="0.3">
      <c r="A201" s="801"/>
      <c r="B201" s="324" t="s">
        <v>138</v>
      </c>
      <c r="C201" s="35" t="s">
        <v>132</v>
      </c>
      <c r="D201" s="35" t="s">
        <v>61</v>
      </c>
      <c r="E201" s="35" t="s">
        <v>133</v>
      </c>
      <c r="F201" s="35" t="s">
        <v>63</v>
      </c>
      <c r="G201" s="35" t="s">
        <v>134</v>
      </c>
      <c r="H201" s="35" t="s">
        <v>65</v>
      </c>
    </row>
    <row r="202" spans="1:8" ht="15.6" x14ac:dyDescent="0.25">
      <c r="A202" s="801"/>
      <c r="B202" s="329" t="s">
        <v>139</v>
      </c>
      <c r="C202" s="472">
        <f>C162+C182</f>
        <v>0</v>
      </c>
      <c r="D202" s="472">
        <f t="shared" ref="D202:H202" si="38">D162+D182</f>
        <v>0</v>
      </c>
      <c r="E202" s="472">
        <f t="shared" si="38"/>
        <v>0</v>
      </c>
      <c r="F202" s="472">
        <f t="shared" si="38"/>
        <v>0</v>
      </c>
      <c r="G202" s="472">
        <f t="shared" si="38"/>
        <v>0</v>
      </c>
      <c r="H202" s="472">
        <f t="shared" si="38"/>
        <v>0</v>
      </c>
    </row>
    <row r="203" spans="1:8" ht="15.6" x14ac:dyDescent="0.25">
      <c r="A203" s="801"/>
      <c r="B203" s="330" t="s">
        <v>140</v>
      </c>
      <c r="C203" s="472">
        <f>C163+C183</f>
        <v>0</v>
      </c>
      <c r="D203" s="472">
        <f t="shared" ref="D203:H203" si="39">D163+D183</f>
        <v>0</v>
      </c>
      <c r="E203" s="472">
        <f t="shared" si="39"/>
        <v>0</v>
      </c>
      <c r="F203" s="472">
        <f t="shared" si="39"/>
        <v>0</v>
      </c>
      <c r="G203" s="472">
        <f t="shared" si="39"/>
        <v>0</v>
      </c>
      <c r="H203" s="472">
        <f t="shared" si="39"/>
        <v>0</v>
      </c>
    </row>
    <row r="204" spans="1:8" ht="15.6" x14ac:dyDescent="0.25">
      <c r="A204" s="801"/>
      <c r="B204" s="330" t="s">
        <v>141</v>
      </c>
      <c r="C204" s="472">
        <f t="shared" ref="C204:H204" si="40">C164+C184</f>
        <v>0</v>
      </c>
      <c r="D204" s="472">
        <f t="shared" si="40"/>
        <v>0</v>
      </c>
      <c r="E204" s="472">
        <f t="shared" si="40"/>
        <v>0</v>
      </c>
      <c r="F204" s="472">
        <f t="shared" si="40"/>
        <v>0</v>
      </c>
      <c r="G204" s="472">
        <f t="shared" si="40"/>
        <v>0</v>
      </c>
      <c r="H204" s="472">
        <f t="shared" si="40"/>
        <v>0</v>
      </c>
    </row>
    <row r="205" spans="1:8" ht="15.6" x14ac:dyDescent="0.25">
      <c r="A205" s="801"/>
      <c r="B205" s="330" t="s">
        <v>142</v>
      </c>
      <c r="C205" s="472">
        <f t="shared" ref="C205:H205" si="41">C165+C185</f>
        <v>0</v>
      </c>
      <c r="D205" s="472">
        <f t="shared" si="41"/>
        <v>0</v>
      </c>
      <c r="E205" s="472">
        <f t="shared" si="41"/>
        <v>0</v>
      </c>
      <c r="F205" s="472">
        <f t="shared" si="41"/>
        <v>0</v>
      </c>
      <c r="G205" s="472">
        <f t="shared" si="41"/>
        <v>0</v>
      </c>
      <c r="H205" s="472">
        <f t="shared" si="41"/>
        <v>0</v>
      </c>
    </row>
    <row r="206" spans="1:8" ht="15.6" x14ac:dyDescent="0.25">
      <c r="A206" s="801"/>
      <c r="B206" s="330" t="s">
        <v>143</v>
      </c>
      <c r="C206" s="472">
        <f t="shared" ref="C206:H206" si="42">C166+C186</f>
        <v>0</v>
      </c>
      <c r="D206" s="472">
        <f t="shared" si="42"/>
        <v>0</v>
      </c>
      <c r="E206" s="472">
        <f t="shared" si="42"/>
        <v>0</v>
      </c>
      <c r="F206" s="472">
        <f t="shared" si="42"/>
        <v>0</v>
      </c>
      <c r="G206" s="472">
        <f t="shared" si="42"/>
        <v>0</v>
      </c>
      <c r="H206" s="472">
        <f t="shared" si="42"/>
        <v>0</v>
      </c>
    </row>
    <row r="207" spans="1:8" x14ac:dyDescent="0.25">
      <c r="A207" s="801"/>
      <c r="B207" s="40"/>
      <c r="C207" s="40"/>
      <c r="D207" s="40"/>
      <c r="E207" s="40"/>
      <c r="F207" s="40"/>
      <c r="G207" s="40"/>
      <c r="H207" s="40"/>
    </row>
    <row r="208" spans="1:8" x14ac:dyDescent="0.25">
      <c r="A208" s="801"/>
      <c r="B208" s="40"/>
      <c r="C208" s="40"/>
      <c r="D208" s="40"/>
      <c r="E208" s="40"/>
      <c r="F208" s="40"/>
      <c r="G208" s="40"/>
      <c r="H208" s="40"/>
    </row>
    <row r="209" spans="1:8" x14ac:dyDescent="0.25">
      <c r="A209" s="801"/>
      <c r="B209" s="40"/>
      <c r="C209" s="40"/>
      <c r="D209" s="40"/>
      <c r="E209" s="40"/>
      <c r="F209" s="40"/>
      <c r="G209" s="40"/>
      <c r="H209" s="40"/>
    </row>
    <row r="210" spans="1:8" x14ac:dyDescent="0.25">
      <c r="A210" s="801"/>
      <c r="B210" s="40"/>
      <c r="C210" s="40"/>
      <c r="D210" s="40"/>
      <c r="E210" s="40"/>
      <c r="F210" s="40"/>
      <c r="G210" s="40"/>
      <c r="H210" s="40"/>
    </row>
    <row r="211" spans="1:8" x14ac:dyDescent="0.25">
      <c r="B211" s="40"/>
      <c r="C211" s="40"/>
      <c r="D211" s="40"/>
      <c r="E211" s="40"/>
      <c r="F211" s="40"/>
      <c r="G211" s="40"/>
      <c r="H211" s="40"/>
    </row>
    <row r="212" spans="1:8" x14ac:dyDescent="0.25">
      <c r="B212" s="40"/>
      <c r="C212" s="40"/>
      <c r="D212" s="40"/>
      <c r="E212" s="40"/>
      <c r="F212" s="40"/>
      <c r="G212" s="40"/>
      <c r="H212" s="40"/>
    </row>
    <row r="213" spans="1:8" x14ac:dyDescent="0.25">
      <c r="B213" s="40"/>
      <c r="C213" s="40"/>
      <c r="D213" s="40"/>
      <c r="E213" s="40"/>
      <c r="F213" s="40"/>
      <c r="G213" s="40"/>
      <c r="H213" s="40"/>
    </row>
    <row r="214" spans="1:8" x14ac:dyDescent="0.25">
      <c r="B214" s="40"/>
      <c r="C214" s="40"/>
      <c r="D214" s="40"/>
      <c r="E214" s="40"/>
      <c r="F214" s="40"/>
      <c r="G214" s="40"/>
      <c r="H214" s="40"/>
    </row>
  </sheetData>
  <sheetProtection algorithmName="SHA-512" hashValue="1Ebyjkch07OnlCT/uFg87NNSCD0s3qZaIW7W5aZ63VuS6lhw4pIdfLC/jbM2s69NCkkVSoskFnZPcssf6CI1IQ==" saltValue="DY6eJWmjDHq37iMa0BcZ0Q==" spinCount="100000" sheet="1" objects="1" scenarios="1"/>
  <customSheetViews>
    <customSheetView guid="{8BDA793C-C9C5-4FC6-A0A5-F1109F6D4F22}" scale="80" state="hidden">
      <selection activeCell="D14" sqref="D14"/>
    </customSheetView>
  </customSheetViews>
  <mergeCells count="150">
    <mergeCell ref="U37:V38"/>
    <mergeCell ref="G37:H37"/>
    <mergeCell ref="L46:L47"/>
    <mergeCell ref="J46:J47"/>
    <mergeCell ref="B36:H36"/>
    <mergeCell ref="B55:H55"/>
    <mergeCell ref="B74:H74"/>
    <mergeCell ref="B93:D93"/>
    <mergeCell ref="C75:D75"/>
    <mergeCell ref="E75:F75"/>
    <mergeCell ref="G75:H75"/>
    <mergeCell ref="C56:D56"/>
    <mergeCell ref="E56:F56"/>
    <mergeCell ref="G56:H56"/>
    <mergeCell ref="E37:F37"/>
    <mergeCell ref="C37:D37"/>
    <mergeCell ref="J44:J45"/>
    <mergeCell ref="J42:J43"/>
    <mergeCell ref="J40:J41"/>
    <mergeCell ref="J38:J39"/>
    <mergeCell ref="L40:L41"/>
    <mergeCell ref="L44:L45"/>
    <mergeCell ref="L48:L49"/>
    <mergeCell ref="K48:K49"/>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F20:G20"/>
    <mergeCell ref="F27:G27"/>
    <mergeCell ref="F28:G28"/>
    <mergeCell ref="F30:G30"/>
    <mergeCell ref="F31:G31"/>
    <mergeCell ref="D20:E20"/>
    <mergeCell ref="D21:E21"/>
    <mergeCell ref="D22:E22"/>
    <mergeCell ref="D31:E31"/>
    <mergeCell ref="D30:E30"/>
    <mergeCell ref="B20:C20"/>
    <mergeCell ref="B21:C21"/>
    <mergeCell ref="B22:C22"/>
    <mergeCell ref="B24:C24"/>
    <mergeCell ref="B25:C25"/>
    <mergeCell ref="B27:C27"/>
    <mergeCell ref="B28:C28"/>
    <mergeCell ref="D27:E27"/>
    <mergeCell ref="D28:E28"/>
    <mergeCell ref="L106:L107"/>
    <mergeCell ref="K46:K47"/>
    <mergeCell ref="K44:K45"/>
    <mergeCell ref="K40:K41"/>
    <mergeCell ref="K42:K43"/>
    <mergeCell ref="J96:L97"/>
    <mergeCell ref="J98:J99"/>
    <mergeCell ref="K98:K99"/>
    <mergeCell ref="L98:L99"/>
    <mergeCell ref="J100:J101"/>
    <mergeCell ref="L42:L43"/>
    <mergeCell ref="K100:K101"/>
    <mergeCell ref="L100:L101"/>
    <mergeCell ref="J102:J103"/>
    <mergeCell ref="K102:K103"/>
    <mergeCell ref="L102:L103"/>
    <mergeCell ref="J104:J105"/>
    <mergeCell ref="K104:K105"/>
    <mergeCell ref="L104:L105"/>
    <mergeCell ref="J106:J107"/>
    <mergeCell ref="K106:K107"/>
    <mergeCell ref="L108:L109"/>
    <mergeCell ref="C200:D200"/>
    <mergeCell ref="E200:F200"/>
    <mergeCell ref="G200:H200"/>
    <mergeCell ref="H21:I21"/>
    <mergeCell ref="H22:I22"/>
    <mergeCell ref="H24:I24"/>
    <mergeCell ref="H25:I25"/>
    <mergeCell ref="H27:I27"/>
    <mergeCell ref="H28:I28"/>
    <mergeCell ref="H30:I30"/>
    <mergeCell ref="H31:I31"/>
    <mergeCell ref="F21:G21"/>
    <mergeCell ref="F22:G22"/>
    <mergeCell ref="F24:G24"/>
    <mergeCell ref="F25:G25"/>
    <mergeCell ref="B179:H179"/>
    <mergeCell ref="C180:D180"/>
    <mergeCell ref="E180:F180"/>
    <mergeCell ref="G180:H180"/>
    <mergeCell ref="B199:H199"/>
    <mergeCell ref="B156:D156"/>
    <mergeCell ref="E117:F117"/>
    <mergeCell ref="G117:H117"/>
    <mergeCell ref="L167:L168"/>
    <mergeCell ref="J169:J170"/>
    <mergeCell ref="K169:K170"/>
    <mergeCell ref="L169:L170"/>
    <mergeCell ref="J159:L160"/>
    <mergeCell ref="J161:J162"/>
    <mergeCell ref="K161:K162"/>
    <mergeCell ref="L161:L162"/>
    <mergeCell ref="J163:J164"/>
    <mergeCell ref="K163:K164"/>
    <mergeCell ref="L163:L164"/>
    <mergeCell ref="J165:J166"/>
    <mergeCell ref="K165:K166"/>
    <mergeCell ref="L165:L166"/>
    <mergeCell ref="G160:H160"/>
    <mergeCell ref="C117:D117"/>
    <mergeCell ref="B30:C30"/>
    <mergeCell ref="B31:C31"/>
    <mergeCell ref="A33:A91"/>
    <mergeCell ref="A92:A153"/>
    <mergeCell ref="A154:A210"/>
    <mergeCell ref="J167:J168"/>
    <mergeCell ref="K167:K168"/>
    <mergeCell ref="B159:H159"/>
    <mergeCell ref="C160:D160"/>
    <mergeCell ref="E160:F160"/>
    <mergeCell ref="J108:J109"/>
    <mergeCell ref="K108:K109"/>
    <mergeCell ref="B136:H136"/>
    <mergeCell ref="C137:D137"/>
    <mergeCell ref="E137:F137"/>
    <mergeCell ref="G137:H137"/>
    <mergeCell ref="B96:H96"/>
    <mergeCell ref="C97:D97"/>
    <mergeCell ref="E97:F97"/>
    <mergeCell ref="G97:H97"/>
    <mergeCell ref="B116:H116"/>
    <mergeCell ref="J48:J49"/>
  </mergeCells>
  <conditionalFormatting sqref="K40 K42 K44 K46 K48">
    <cfRule type="cellIs" dxfId="358" priority="90" operator="greaterThan">
      <formula>0</formula>
    </cfRule>
  </conditionalFormatting>
  <conditionalFormatting sqref="H14:I16">
    <cfRule type="cellIs" dxfId="357" priority="62" operator="equal">
      <formula>"Error"</formula>
    </cfRule>
  </conditionalFormatting>
  <conditionalFormatting sqref="D21:D22">
    <cfRule type="cellIs" dxfId="356" priority="44" operator="equal">
      <formula>"Error ▲"</formula>
    </cfRule>
  </conditionalFormatting>
  <conditionalFormatting sqref="D24:D25">
    <cfRule type="cellIs" dxfId="355" priority="43" operator="equal">
      <formula>"Error ▲"</formula>
    </cfRule>
  </conditionalFormatting>
  <conditionalFormatting sqref="D27:D28">
    <cfRule type="cellIs" dxfId="354" priority="42" operator="equal">
      <formula>"Error ▲"</formula>
    </cfRule>
  </conditionalFormatting>
  <conditionalFormatting sqref="D30:D31">
    <cfRule type="cellIs" dxfId="353" priority="21" operator="equal">
      <formula>"Error ▲"</formula>
    </cfRule>
  </conditionalFormatting>
  <conditionalFormatting sqref="H10:I12 H14:I16">
    <cfRule type="containsText" dxfId="352" priority="9" operator="containsText" text="Check">
      <formula>NOT(ISERROR(SEARCH("Check",H10)))</formula>
    </cfRule>
  </conditionalFormatting>
  <conditionalFormatting sqref="I16">
    <cfRule type="expression" dxfId="351" priority="335">
      <formula>AND($H$21&gt;0,$H$16&lt;0.1)</formula>
    </cfRule>
  </conditionalFormatting>
  <conditionalFormatting sqref="H16">
    <cfRule type="expression" dxfId="350" priority="340">
      <formula>$H$16&gt;=0.1</formula>
    </cfRule>
  </conditionalFormatting>
  <conditionalFormatting sqref="H15">
    <cfRule type="expression" dxfId="349" priority="346">
      <formula>$H$15&gt;=0.1</formula>
    </cfRule>
    <cfRule type="expression" dxfId="348" priority="347">
      <formula>AND($F$21&gt;0,$H$15&lt;0.1)</formula>
    </cfRule>
  </conditionalFormatting>
  <conditionalFormatting sqref="H10:I10">
    <cfRule type="cellIs" dxfId="347" priority="352" operator="equal">
      <formula>"Error"</formula>
    </cfRule>
  </conditionalFormatting>
  <conditionalFormatting sqref="H14">
    <cfRule type="expression" dxfId="346" priority="353">
      <formula>$H$14&gt;=0.1</formula>
    </cfRule>
    <cfRule type="expression" dxfId="345" priority="354">
      <formula>AND($D$21&gt;0,$H$14&lt;0.1)</formula>
    </cfRule>
  </conditionalFormatting>
  <conditionalFormatting sqref="K102 K104 K106 K108">
    <cfRule type="cellIs" dxfId="344" priority="6" operator="greaterThan">
      <formula>0</formula>
    </cfRule>
  </conditionalFormatting>
  <conditionalFormatting sqref="K163">
    <cfRule type="cellIs" dxfId="343" priority="5" operator="greaterThan">
      <formula>0</formula>
    </cfRule>
  </conditionalFormatting>
  <conditionalFormatting sqref="K165 K167 K169">
    <cfRule type="cellIs" dxfId="342" priority="4" operator="greaterThan">
      <formula>0</formula>
    </cfRule>
  </conditionalFormatting>
  <conditionalFormatting sqref="K100">
    <cfRule type="cellIs" dxfId="341" priority="3" operator="greaterThan">
      <formula>0</formula>
    </cfRule>
  </conditionalFormatting>
  <conditionalFormatting sqref="H15:I15">
    <cfRule type="expression" dxfId="340" priority="2">
      <formula>AND($F$21&gt;0,$H$16&lt;0.1)</formula>
    </cfRule>
  </conditionalFormatting>
  <conditionalFormatting sqref="H16:I16">
    <cfRule type="expression" dxfId="339" priority="1">
      <formula>AND($H$21&gt;0,$H$16&lt;0.1)</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06"/>
  <sheetViews>
    <sheetView showGridLines="0" showRowColHeaders="0" topLeftCell="A67" zoomScale="70" zoomScaleNormal="70" workbookViewId="0">
      <selection activeCell="N107" sqref="N107"/>
    </sheetView>
  </sheetViews>
  <sheetFormatPr defaultColWidth="0" defaultRowHeight="13.8" zeroHeight="1" x14ac:dyDescent="0.25"/>
  <cols>
    <col min="1" max="1" width="17" style="31" customWidth="1"/>
    <col min="2" max="2" width="104.88671875" style="31" bestFit="1" customWidth="1"/>
    <col min="3" max="3" width="24.44140625" style="31" bestFit="1" customWidth="1"/>
    <col min="4" max="4" width="10.5546875" style="31" bestFit="1" customWidth="1"/>
    <col min="5" max="5" width="10.33203125" style="31" bestFit="1" customWidth="1"/>
    <col min="6" max="6" width="18.109375" style="31" customWidth="1"/>
    <col min="7" max="7" width="31" style="31" customWidth="1"/>
    <col min="8" max="8" width="5" style="31" customWidth="1"/>
    <col min="9" max="9" width="49.44140625" style="31" customWidth="1"/>
    <col min="10" max="10" width="10.88671875" style="31" customWidth="1"/>
    <col min="11" max="11" width="2" style="31" customWidth="1"/>
    <col min="12" max="12" width="2.5546875" style="31" customWidth="1"/>
    <col min="13" max="13" width="4.109375" style="31" customWidth="1"/>
    <col min="14" max="16" width="9.109375" style="31" customWidth="1"/>
    <col min="17" max="17" width="10.5546875" style="31" customWidth="1"/>
    <col min="18" max="20" width="9.109375" style="31" customWidth="1"/>
    <col min="21" max="22" width="0" style="31" hidden="1" customWidth="1"/>
    <col min="23" max="16384" width="9.109375" style="31" hidden="1"/>
  </cols>
  <sheetData>
    <row r="1" spans="1:17" ht="15" thickBot="1" x14ac:dyDescent="0.3">
      <c r="A1" s="453"/>
      <c r="B1" s="40"/>
      <c r="C1" s="40"/>
      <c r="D1" s="40"/>
      <c r="E1" s="40"/>
      <c r="G1" s="40"/>
      <c r="H1" s="40"/>
      <c r="I1" s="40"/>
      <c r="J1" s="40"/>
      <c r="K1" s="40"/>
      <c r="L1" s="40"/>
      <c r="M1" s="40"/>
      <c r="N1" s="40"/>
      <c r="O1" s="40"/>
      <c r="P1" s="40"/>
      <c r="Q1" s="40"/>
    </row>
    <row r="2" spans="1:17" ht="25.2" thickBot="1" x14ac:dyDescent="0.3">
      <c r="A2" s="40"/>
      <c r="B2" s="864" t="s">
        <v>147</v>
      </c>
      <c r="C2" s="865"/>
      <c r="D2" s="865"/>
      <c r="E2" s="865"/>
      <c r="F2" s="865"/>
      <c r="G2" s="877"/>
      <c r="H2" s="40"/>
      <c r="I2" s="40"/>
      <c r="J2" s="40"/>
      <c r="K2" s="40"/>
      <c r="L2" s="40"/>
      <c r="M2" s="40"/>
      <c r="N2" s="40"/>
      <c r="O2" s="40"/>
      <c r="P2" s="40"/>
      <c r="Q2" s="40"/>
    </row>
    <row r="3" spans="1:17" ht="15" customHeight="1" x14ac:dyDescent="0.25">
      <c r="A3" s="40"/>
      <c r="B3" s="880" t="s">
        <v>148</v>
      </c>
      <c r="C3" s="882" t="s">
        <v>149</v>
      </c>
      <c r="D3" s="882"/>
      <c r="E3" s="882"/>
      <c r="F3" s="882"/>
      <c r="G3" s="878" t="s">
        <v>150</v>
      </c>
      <c r="H3" s="272"/>
      <c r="I3" s="272"/>
      <c r="J3" s="272"/>
      <c r="K3" s="272"/>
      <c r="L3" s="40"/>
      <c r="M3" s="40"/>
      <c r="N3" s="40"/>
      <c r="O3" s="40"/>
      <c r="P3" s="40"/>
      <c r="Q3" s="40"/>
    </row>
    <row r="4" spans="1:17" ht="14.25" customHeight="1" x14ac:dyDescent="0.25">
      <c r="A4" s="40"/>
      <c r="B4" s="881"/>
      <c r="C4" s="883"/>
      <c r="D4" s="883"/>
      <c r="E4" s="883"/>
      <c r="F4" s="883"/>
      <c r="G4" s="879"/>
      <c r="H4" s="272"/>
      <c r="I4" s="272"/>
      <c r="J4" s="272"/>
      <c r="K4" s="272"/>
      <c r="L4" s="40"/>
      <c r="M4" s="40"/>
      <c r="N4" s="40"/>
      <c r="O4" s="40"/>
      <c r="P4" s="40"/>
      <c r="Q4" s="40"/>
    </row>
    <row r="5" spans="1:17" ht="20.399999999999999" x14ac:dyDescent="0.25">
      <c r="A5" s="40"/>
      <c r="B5" s="129" t="s">
        <v>151</v>
      </c>
      <c r="C5" s="884" t="s">
        <v>152</v>
      </c>
      <c r="D5" s="884"/>
      <c r="E5" s="884"/>
      <c r="F5" s="884"/>
      <c r="G5" s="263" t="str">
        <f>IF(('A-1 Site Habitat Baseline'!AQ259+'D-1 Off Site Habitat Baseline'!AQ259)&gt;0,"No ▲","Yes ✓")</f>
        <v>Yes ✓</v>
      </c>
      <c r="H5" s="272"/>
      <c r="I5" s="272"/>
      <c r="J5" s="272"/>
      <c r="K5" s="272"/>
      <c r="L5" s="40"/>
      <c r="M5" s="40"/>
      <c r="N5" s="40"/>
      <c r="O5" s="40"/>
      <c r="P5" s="40"/>
      <c r="Q5" s="40"/>
    </row>
    <row r="6" spans="1:17" ht="22.5" customHeight="1" x14ac:dyDescent="0.25">
      <c r="A6" s="40"/>
      <c r="B6" s="129" t="s">
        <v>153</v>
      </c>
      <c r="C6" s="885" t="s">
        <v>154</v>
      </c>
      <c r="D6" s="885"/>
      <c r="E6" s="885"/>
      <c r="F6" s="885"/>
      <c r="G6" s="263" t="str">
        <f>IFERROR(IF(J41&lt;0,"No ▲","Yes ✓"),"")</f>
        <v>Yes ✓</v>
      </c>
      <c r="H6" s="40"/>
      <c r="I6" s="40"/>
      <c r="J6" s="40"/>
      <c r="K6" s="40"/>
      <c r="L6" s="40"/>
      <c r="M6" s="40"/>
      <c r="N6" s="40"/>
      <c r="O6" s="40"/>
      <c r="P6" s="40"/>
      <c r="Q6" s="40"/>
    </row>
    <row r="7" spans="1:17" ht="19.5" customHeight="1" x14ac:dyDescent="0.25">
      <c r="A7" s="40"/>
      <c r="B7" s="129" t="s">
        <v>23</v>
      </c>
      <c r="C7" s="886" t="s">
        <v>155</v>
      </c>
      <c r="D7" s="886"/>
      <c r="E7" s="886"/>
      <c r="F7" s="886"/>
      <c r="G7" s="148" t="str">
        <f>IF(J40+J12+J89&lt;0,"No ▲","Yes ✓")</f>
        <v>No ▲</v>
      </c>
      <c r="H7" s="40"/>
      <c r="I7" s="40"/>
      <c r="J7" s="40"/>
      <c r="K7" s="40"/>
      <c r="L7" s="40"/>
      <c r="M7" s="40"/>
      <c r="N7" s="40"/>
      <c r="O7" s="40"/>
      <c r="P7" s="40"/>
      <c r="Q7" s="40"/>
    </row>
    <row r="8" spans="1:17" ht="18.75" customHeight="1" thickBot="1" x14ac:dyDescent="0.3">
      <c r="A8" s="40"/>
      <c r="B8" s="97" t="s">
        <v>156</v>
      </c>
      <c r="C8" s="887" t="s">
        <v>157</v>
      </c>
      <c r="D8" s="887"/>
      <c r="E8" s="887"/>
      <c r="F8" s="887"/>
      <c r="G8" s="162" t="str">
        <f>IF(J124&lt;0,"No ▲","Yes ✓")</f>
        <v>Yes ✓</v>
      </c>
      <c r="H8" s="40"/>
      <c r="I8" s="40"/>
      <c r="J8" s="40"/>
      <c r="K8" s="40"/>
      <c r="L8" s="40"/>
      <c r="M8" s="40"/>
      <c r="N8" s="40"/>
      <c r="O8" s="40"/>
      <c r="P8" s="40"/>
      <c r="Q8" s="40"/>
    </row>
    <row r="9" spans="1:17" ht="14.25" customHeight="1" x14ac:dyDescent="0.25">
      <c r="A9" s="40"/>
      <c r="B9" s="40"/>
      <c r="C9" s="40"/>
      <c r="D9" s="40"/>
      <c r="E9" s="40"/>
      <c r="F9" s="40"/>
      <c r="G9" s="40"/>
      <c r="H9" s="40"/>
      <c r="I9" s="40"/>
      <c r="J9" s="40"/>
      <c r="K9" s="40"/>
      <c r="L9" s="40"/>
      <c r="M9" s="40"/>
      <c r="N9" s="40"/>
      <c r="O9" s="40"/>
      <c r="P9" s="40"/>
      <c r="Q9" s="40"/>
    </row>
    <row r="10" spans="1:17" ht="14.4" thickBot="1" x14ac:dyDescent="0.3">
      <c r="A10" s="40"/>
      <c r="B10" s="40"/>
      <c r="C10" s="40"/>
      <c r="D10" s="40"/>
      <c r="E10" s="40"/>
      <c r="F10" s="40"/>
      <c r="G10" s="40"/>
      <c r="H10" s="40"/>
      <c r="I10" s="40"/>
      <c r="J10" s="40"/>
      <c r="K10" s="40"/>
      <c r="L10" s="40"/>
      <c r="M10" s="40"/>
      <c r="N10" s="40"/>
      <c r="O10" s="40"/>
      <c r="P10" s="40"/>
      <c r="Q10" s="40"/>
    </row>
    <row r="11" spans="1:17" ht="25.2" thickBot="1" x14ac:dyDescent="0.3">
      <c r="A11" s="40"/>
      <c r="B11" s="864" t="s">
        <v>158</v>
      </c>
      <c r="C11" s="865"/>
      <c r="D11" s="865"/>
      <c r="E11" s="865"/>
      <c r="F11" s="865"/>
      <c r="G11" s="877"/>
      <c r="H11" s="40"/>
      <c r="I11" s="868" t="s">
        <v>159</v>
      </c>
      <c r="J11" s="869"/>
      <c r="K11" s="40"/>
      <c r="L11" s="40"/>
      <c r="M11" s="40"/>
      <c r="N11" s="40"/>
      <c r="O11" s="40"/>
      <c r="P11" s="40"/>
      <c r="Q11" s="40"/>
    </row>
    <row r="12" spans="1:17" s="42" customFormat="1" ht="47.4" thickBot="1" x14ac:dyDescent="0.3">
      <c r="A12" s="40"/>
      <c r="B12" s="93" t="s">
        <v>59</v>
      </c>
      <c r="C12" s="94" t="s">
        <v>160</v>
      </c>
      <c r="D12" s="94" t="s">
        <v>161</v>
      </c>
      <c r="E12" s="94" t="s">
        <v>162</v>
      </c>
      <c r="F12" s="94" t="s">
        <v>163</v>
      </c>
      <c r="G12" s="95" t="s">
        <v>164</v>
      </c>
      <c r="H12" s="40"/>
      <c r="I12" s="358" t="s">
        <v>165</v>
      </c>
      <c r="J12" s="483">
        <f>SUMIF($F$13:$F$32,"&gt;0")</f>
        <v>0</v>
      </c>
      <c r="K12" s="40"/>
      <c r="L12" s="40"/>
      <c r="M12" s="40"/>
      <c r="N12" s="40"/>
      <c r="O12" s="40"/>
      <c r="P12" s="40"/>
      <c r="Q12" s="40"/>
    </row>
    <row r="13" spans="1:17" ht="15.75" customHeight="1" x14ac:dyDescent="0.25">
      <c r="A13" s="40"/>
      <c r="B13" s="347" t="str">
        <f>'G-2 Habitat groups'!AU5</f>
        <v>Grassland - Lowland dry acid grassland</v>
      </c>
      <c r="C13" s="348" t="str">
        <f>'G-2 Habitat groups'!AV5</f>
        <v>Grassland</v>
      </c>
      <c r="D13" s="481">
        <f>'G-2 Habitat groups'!BB5</f>
        <v>0</v>
      </c>
      <c r="E13" s="481">
        <f>'G-2 Habitat groups'!BD5</f>
        <v>0</v>
      </c>
      <c r="F13" s="481">
        <f>'G-2 Habitat groups'!BE5</f>
        <v>0</v>
      </c>
      <c r="G13" s="482" t="str">
        <f>'G-2 Habitat groups'!BF5</f>
        <v/>
      </c>
      <c r="H13" s="40"/>
      <c r="I13" s="876" t="str">
        <f>IF($G$33&lt;0,"Very high distinctiveness unit defecit - CHECK DATA","")</f>
        <v/>
      </c>
      <c r="J13" s="876"/>
      <c r="K13" s="40"/>
      <c r="L13" s="40"/>
      <c r="M13" s="40"/>
      <c r="N13" s="40"/>
      <c r="O13" s="40"/>
      <c r="P13" s="40"/>
      <c r="Q13" s="40"/>
    </row>
    <row r="14" spans="1:17" x14ac:dyDescent="0.25">
      <c r="A14" s="40"/>
      <c r="B14" s="347" t="str">
        <f>'G-2 Habitat groups'!AU6</f>
        <v>Grassland - Lowland meadows</v>
      </c>
      <c r="C14" s="348" t="str">
        <f>'G-2 Habitat groups'!AV6</f>
        <v>Grassland</v>
      </c>
      <c r="D14" s="481">
        <f>'G-2 Habitat groups'!BB6</f>
        <v>0</v>
      </c>
      <c r="E14" s="481">
        <f>'G-2 Habitat groups'!BD6</f>
        <v>0</v>
      </c>
      <c r="F14" s="481">
        <f>'G-2 Habitat groups'!BE6</f>
        <v>0</v>
      </c>
      <c r="G14" s="482" t="str">
        <f>'G-2 Habitat groups'!BF6</f>
        <v/>
      </c>
      <c r="H14" s="40"/>
      <c r="K14" s="40"/>
      <c r="L14" s="40"/>
      <c r="M14" s="40"/>
      <c r="N14" s="40"/>
      <c r="O14" s="40"/>
      <c r="P14" s="40"/>
      <c r="Q14" s="40"/>
    </row>
    <row r="15" spans="1:17" x14ac:dyDescent="0.25">
      <c r="A15" s="40"/>
      <c r="B15" s="347" t="str">
        <f>'G-2 Habitat groups'!AU7</f>
        <v>Grassland - Upland hay meadows</v>
      </c>
      <c r="C15" s="348" t="str">
        <f>'G-2 Habitat groups'!AV7</f>
        <v>Grassland</v>
      </c>
      <c r="D15" s="481">
        <f>'G-2 Habitat groups'!BB7</f>
        <v>0</v>
      </c>
      <c r="E15" s="481">
        <f>'G-2 Habitat groups'!BD7</f>
        <v>0</v>
      </c>
      <c r="F15" s="481">
        <f>'G-2 Habitat groups'!BE7</f>
        <v>0</v>
      </c>
      <c r="G15" s="482" t="str">
        <f>'G-2 Habitat groups'!BF7</f>
        <v/>
      </c>
      <c r="H15" s="40"/>
      <c r="K15" s="40"/>
      <c r="L15" s="40"/>
      <c r="M15" s="40"/>
      <c r="N15" s="40"/>
      <c r="O15" s="40"/>
      <c r="P15" s="40"/>
      <c r="Q15" s="40"/>
    </row>
    <row r="16" spans="1:17" x14ac:dyDescent="0.25">
      <c r="A16" s="40"/>
      <c r="B16" s="347" t="str">
        <f>'G-2 Habitat groups'!AU8</f>
        <v>Heathland and shrub - Mountain heaths and willow scrub</v>
      </c>
      <c r="C16" s="348" t="str">
        <f>'G-2 Habitat groups'!AV8</f>
        <v>Heathland and shrub</v>
      </c>
      <c r="D16" s="481">
        <f>'G-2 Habitat groups'!BB8</f>
        <v>0</v>
      </c>
      <c r="E16" s="481">
        <f>'G-2 Habitat groups'!BD8</f>
        <v>0</v>
      </c>
      <c r="F16" s="481">
        <f>'G-2 Habitat groups'!BE8</f>
        <v>0</v>
      </c>
      <c r="G16" s="482" t="str">
        <f>'G-2 Habitat groups'!BF8</f>
        <v/>
      </c>
      <c r="H16" s="40"/>
      <c r="K16" s="40"/>
      <c r="L16" s="40"/>
      <c r="M16" s="40"/>
      <c r="N16" s="40"/>
      <c r="O16" s="40"/>
      <c r="P16" s="40"/>
      <c r="Q16" s="40"/>
    </row>
    <row r="17" spans="1:17" x14ac:dyDescent="0.25">
      <c r="A17" s="40"/>
      <c r="B17" s="347" t="str">
        <f>'G-2 Habitat groups'!AU9</f>
        <v>Lakes - Aquifer fed naturally fluctuating water bodies</v>
      </c>
      <c r="C17" s="348" t="str">
        <f>'G-2 Habitat groups'!AV9</f>
        <v>Lakes</v>
      </c>
      <c r="D17" s="481">
        <f>'G-2 Habitat groups'!BB9</f>
        <v>0</v>
      </c>
      <c r="E17" s="481">
        <f>'G-2 Habitat groups'!BD9</f>
        <v>0</v>
      </c>
      <c r="F17" s="481">
        <f>'G-2 Habitat groups'!BE9</f>
        <v>0</v>
      </c>
      <c r="G17" s="482" t="str">
        <f>'G-2 Habitat groups'!BF9</f>
        <v/>
      </c>
      <c r="H17" s="40"/>
      <c r="K17" s="40"/>
      <c r="L17" s="40"/>
      <c r="M17" s="40"/>
      <c r="N17" s="40"/>
      <c r="O17" s="40"/>
      <c r="P17" s="40"/>
      <c r="Q17" s="40"/>
    </row>
    <row r="18" spans="1:17" x14ac:dyDescent="0.25">
      <c r="A18" s="40"/>
      <c r="B18" s="347" t="str">
        <f>'G-2 Habitat groups'!AU10</f>
        <v>Sparsely vegetated land - Calaminarian grasslands</v>
      </c>
      <c r="C18" s="348" t="str">
        <f>'G-2 Habitat groups'!AV10</f>
        <v>Sparsely vegetated land</v>
      </c>
      <c r="D18" s="481">
        <f>'G-2 Habitat groups'!BB10</f>
        <v>0</v>
      </c>
      <c r="E18" s="481">
        <f>'G-2 Habitat groups'!BD10</f>
        <v>0</v>
      </c>
      <c r="F18" s="481">
        <f>'G-2 Habitat groups'!BE10</f>
        <v>0</v>
      </c>
      <c r="G18" s="482" t="str">
        <f>'G-2 Habitat groups'!BF10</f>
        <v/>
      </c>
      <c r="H18" s="40"/>
      <c r="K18" s="40"/>
      <c r="L18" s="40"/>
      <c r="M18" s="40"/>
      <c r="N18" s="40"/>
      <c r="O18" s="40"/>
      <c r="P18" s="40"/>
      <c r="Q18" s="40"/>
    </row>
    <row r="19" spans="1:17" x14ac:dyDescent="0.25">
      <c r="A19" s="40"/>
      <c r="B19" s="347" t="str">
        <f>'G-2 Habitat groups'!AU11</f>
        <v>Sparsely vegetated land - Limestone pavement</v>
      </c>
      <c r="C19" s="348" t="str">
        <f>'G-2 Habitat groups'!AV11</f>
        <v>Sparsely vegetated land</v>
      </c>
      <c r="D19" s="481">
        <f>'G-2 Habitat groups'!BB11</f>
        <v>0</v>
      </c>
      <c r="E19" s="481">
        <f>'G-2 Habitat groups'!BD11</f>
        <v>0</v>
      </c>
      <c r="F19" s="481">
        <f>'G-2 Habitat groups'!BE11</f>
        <v>0</v>
      </c>
      <c r="G19" s="482" t="str">
        <f>'G-2 Habitat groups'!BF11</f>
        <v/>
      </c>
      <c r="H19" s="40"/>
      <c r="I19" s="40"/>
      <c r="J19" s="40"/>
      <c r="K19" s="40"/>
      <c r="L19" s="40"/>
      <c r="M19" s="40"/>
      <c r="N19" s="40"/>
      <c r="O19" s="40"/>
      <c r="P19" s="40"/>
      <c r="Q19" s="40"/>
    </row>
    <row r="20" spans="1:17" x14ac:dyDescent="0.25">
      <c r="A20" s="40"/>
      <c r="B20" s="347" t="str">
        <f>'G-2 Habitat groups'!AU12</f>
        <v>Wetland - Blanket bog</v>
      </c>
      <c r="C20" s="348" t="str">
        <f>'G-2 Habitat groups'!AV12</f>
        <v>Wetland</v>
      </c>
      <c r="D20" s="481">
        <f>'G-2 Habitat groups'!BB12</f>
        <v>0</v>
      </c>
      <c r="E20" s="481">
        <f>'G-2 Habitat groups'!BD12</f>
        <v>0</v>
      </c>
      <c r="F20" s="481">
        <f>'G-2 Habitat groups'!BE12</f>
        <v>0</v>
      </c>
      <c r="G20" s="482" t="str">
        <f>'G-2 Habitat groups'!BF12</f>
        <v/>
      </c>
      <c r="H20" s="40"/>
      <c r="I20" s="40"/>
      <c r="J20" s="40"/>
      <c r="K20" s="40"/>
      <c r="L20" s="40"/>
      <c r="M20" s="40"/>
      <c r="N20" s="40"/>
      <c r="O20" s="40"/>
      <c r="P20" s="40"/>
      <c r="Q20" s="40"/>
    </row>
    <row r="21" spans="1:17" x14ac:dyDescent="0.25">
      <c r="A21" s="40"/>
      <c r="B21" s="347" t="str">
        <f>'G-2 Habitat groups'!AU13</f>
        <v>Wetland - Depressions on Peat substrates (H7150)</v>
      </c>
      <c r="C21" s="348" t="str">
        <f>'G-2 Habitat groups'!AV13</f>
        <v>Wetland</v>
      </c>
      <c r="D21" s="481">
        <f>'G-2 Habitat groups'!BB13</f>
        <v>0</v>
      </c>
      <c r="E21" s="481">
        <f>'G-2 Habitat groups'!BD13</f>
        <v>0</v>
      </c>
      <c r="F21" s="481">
        <f>'G-2 Habitat groups'!BE13</f>
        <v>0</v>
      </c>
      <c r="G21" s="482" t="str">
        <f>'G-2 Habitat groups'!BF13</f>
        <v/>
      </c>
      <c r="H21" s="40"/>
      <c r="I21" s="40"/>
      <c r="J21" s="40"/>
      <c r="K21" s="40"/>
      <c r="L21" s="40"/>
      <c r="M21" s="40"/>
      <c r="N21" s="40"/>
      <c r="O21" s="40"/>
      <c r="P21" s="40"/>
      <c r="Q21" s="40"/>
    </row>
    <row r="22" spans="1:17" x14ac:dyDescent="0.25">
      <c r="A22" s="40"/>
      <c r="B22" s="347" t="str">
        <f>'G-2 Habitat groups'!AU14</f>
        <v>Wetland - Fens (upland and lowland)</v>
      </c>
      <c r="C22" s="348" t="str">
        <f>'G-2 Habitat groups'!AV14</f>
        <v>Wetland</v>
      </c>
      <c r="D22" s="481">
        <f>'G-2 Habitat groups'!BB14</f>
        <v>0</v>
      </c>
      <c r="E22" s="481">
        <f>'G-2 Habitat groups'!BD14</f>
        <v>0</v>
      </c>
      <c r="F22" s="481">
        <f>'G-2 Habitat groups'!BE14</f>
        <v>0</v>
      </c>
      <c r="G22" s="482" t="str">
        <f>'G-2 Habitat groups'!BF14</f>
        <v/>
      </c>
      <c r="H22" s="40"/>
      <c r="I22" s="40"/>
      <c r="J22" s="40"/>
      <c r="K22" s="40"/>
      <c r="L22" s="40"/>
      <c r="M22" s="40"/>
      <c r="N22" s="40"/>
      <c r="O22" s="40"/>
      <c r="P22" s="40"/>
      <c r="Q22" s="40"/>
    </row>
    <row r="23" spans="1:17" x14ac:dyDescent="0.25">
      <c r="A23" s="40"/>
      <c r="B23" s="347" t="str">
        <f>'G-2 Habitat groups'!AU15</f>
        <v>Wetland - Lowland raised bog</v>
      </c>
      <c r="C23" s="348" t="str">
        <f>'G-2 Habitat groups'!AV15</f>
        <v>Wetland</v>
      </c>
      <c r="D23" s="481">
        <f>'G-2 Habitat groups'!BB15</f>
        <v>0</v>
      </c>
      <c r="E23" s="481">
        <f>'G-2 Habitat groups'!BD15</f>
        <v>0</v>
      </c>
      <c r="F23" s="481">
        <f>'G-2 Habitat groups'!BE15</f>
        <v>0</v>
      </c>
      <c r="G23" s="482" t="str">
        <f>'G-2 Habitat groups'!BF15</f>
        <v/>
      </c>
      <c r="H23" s="40"/>
      <c r="I23" s="40"/>
      <c r="J23" s="40"/>
      <c r="K23" s="40"/>
      <c r="L23" s="40"/>
      <c r="M23" s="40"/>
      <c r="N23" s="40"/>
      <c r="O23" s="40"/>
      <c r="P23" s="40"/>
      <c r="Q23" s="40"/>
    </row>
    <row r="24" spans="1:17" x14ac:dyDescent="0.25">
      <c r="A24" s="40"/>
      <c r="B24" s="347" t="str">
        <f>'G-2 Habitat groups'!AU16</f>
        <v>Wetland - Oceanic Valley Mire[1] (D2.1)</v>
      </c>
      <c r="C24" s="348" t="str">
        <f>'G-2 Habitat groups'!AV16</f>
        <v>Wetland</v>
      </c>
      <c r="D24" s="481">
        <f>'G-2 Habitat groups'!BB16</f>
        <v>0</v>
      </c>
      <c r="E24" s="481">
        <f>'G-2 Habitat groups'!BD16</f>
        <v>0</v>
      </c>
      <c r="F24" s="481">
        <f>'G-2 Habitat groups'!BE16</f>
        <v>0</v>
      </c>
      <c r="G24" s="482" t="str">
        <f>'G-2 Habitat groups'!BF16</f>
        <v/>
      </c>
      <c r="H24" s="40"/>
      <c r="I24" s="40"/>
      <c r="J24" s="40"/>
      <c r="K24" s="40"/>
      <c r="L24" s="40"/>
      <c r="M24" s="40"/>
      <c r="N24" s="40"/>
      <c r="O24" s="40"/>
      <c r="P24" s="40"/>
      <c r="Q24" s="40"/>
    </row>
    <row r="25" spans="1:17" x14ac:dyDescent="0.25">
      <c r="A25" s="40"/>
      <c r="B25" s="347" t="str">
        <f>'G-2 Habitat groups'!AU17</f>
        <v>Wetland - Purple moor grass and rush pastures</v>
      </c>
      <c r="C25" s="348" t="str">
        <f>'G-2 Habitat groups'!AV17</f>
        <v>Wetland</v>
      </c>
      <c r="D25" s="481">
        <f>'G-2 Habitat groups'!BB17</f>
        <v>0</v>
      </c>
      <c r="E25" s="481">
        <f>'G-2 Habitat groups'!BD17</f>
        <v>0</v>
      </c>
      <c r="F25" s="481">
        <f>'G-2 Habitat groups'!BE17</f>
        <v>0</v>
      </c>
      <c r="G25" s="482" t="str">
        <f>'G-2 Habitat groups'!BF17</f>
        <v/>
      </c>
      <c r="H25" s="40"/>
      <c r="I25" s="40"/>
      <c r="J25" s="40"/>
      <c r="K25" s="40"/>
      <c r="L25" s="40"/>
      <c r="M25" s="40"/>
      <c r="N25" s="40"/>
      <c r="O25" s="40"/>
      <c r="P25" s="40"/>
      <c r="Q25" s="40"/>
    </row>
    <row r="26" spans="1:17" x14ac:dyDescent="0.25">
      <c r="A26" s="40"/>
      <c r="B26" s="347" t="str">
        <f>'G-2 Habitat groups'!AU18</f>
        <v>Wetland - Transition mires and quaking bogs (H7140)</v>
      </c>
      <c r="C26" s="348" t="str">
        <f>'G-2 Habitat groups'!AV18</f>
        <v>Wetland</v>
      </c>
      <c r="D26" s="481">
        <f>'G-2 Habitat groups'!BB18</f>
        <v>0</v>
      </c>
      <c r="E26" s="481">
        <f>'G-2 Habitat groups'!BD18</f>
        <v>0</v>
      </c>
      <c r="F26" s="481">
        <f>'G-2 Habitat groups'!BE18</f>
        <v>0</v>
      </c>
      <c r="G26" s="482" t="str">
        <f>'G-2 Habitat groups'!BF18</f>
        <v/>
      </c>
      <c r="H26" s="40"/>
      <c r="I26" s="40"/>
      <c r="J26" s="40"/>
      <c r="K26" s="40"/>
      <c r="L26" s="40"/>
      <c r="M26" s="40"/>
      <c r="N26" s="40"/>
      <c r="O26" s="40"/>
      <c r="P26" s="40"/>
      <c r="Q26" s="40"/>
    </row>
    <row r="27" spans="1:17" x14ac:dyDescent="0.25">
      <c r="A27" s="40"/>
      <c r="B27" s="347" t="str">
        <f>'G-2 Habitat groups'!AU19</f>
        <v>Woodland and forest - Wood-pasture and parkland</v>
      </c>
      <c r="C27" s="348" t="str">
        <f>'G-2 Habitat groups'!AV19</f>
        <v>Woodland and forest</v>
      </c>
      <c r="D27" s="481">
        <f>'G-2 Habitat groups'!BB19</f>
        <v>0</v>
      </c>
      <c r="E27" s="481">
        <f>'G-2 Habitat groups'!BD19</f>
        <v>0</v>
      </c>
      <c r="F27" s="481">
        <f>'G-2 Habitat groups'!BE19</f>
        <v>0</v>
      </c>
      <c r="G27" s="482" t="str">
        <f>'G-2 Habitat groups'!BF19</f>
        <v/>
      </c>
      <c r="H27" s="40"/>
      <c r="I27" s="40"/>
      <c r="J27" s="40"/>
      <c r="K27" s="40"/>
      <c r="L27" s="40"/>
      <c r="M27" s="40"/>
      <c r="N27" s="40"/>
      <c r="O27" s="40"/>
      <c r="P27" s="40"/>
      <c r="Q27" s="40"/>
    </row>
    <row r="28" spans="1:17" x14ac:dyDescent="0.25">
      <c r="A28" s="40"/>
      <c r="B28" s="347" t="str">
        <f>'G-2 Habitat groups'!AU20</f>
        <v>Rocky shore - High energy littoral rock - on peat, clay or chalk</v>
      </c>
      <c r="C28" s="348" t="str">
        <f>'G-2 Habitat groups'!AV20</f>
        <v>Rocky shore</v>
      </c>
      <c r="D28" s="481">
        <f>'G-2 Habitat groups'!BB20</f>
        <v>0</v>
      </c>
      <c r="E28" s="481">
        <f>'G-2 Habitat groups'!BD20</f>
        <v>0</v>
      </c>
      <c r="F28" s="481">
        <f>'G-2 Habitat groups'!BE20</f>
        <v>0</v>
      </c>
      <c r="G28" s="482" t="str">
        <f>'G-2 Habitat groups'!BF20</f>
        <v/>
      </c>
      <c r="H28" s="40"/>
      <c r="I28" s="40"/>
      <c r="J28" s="40"/>
      <c r="K28" s="40"/>
      <c r="L28" s="40"/>
      <c r="M28" s="40"/>
      <c r="N28" s="40"/>
      <c r="O28" s="40"/>
      <c r="P28" s="40"/>
      <c r="Q28" s="40"/>
    </row>
    <row r="29" spans="1:17" ht="14.25" customHeight="1" x14ac:dyDescent="0.25">
      <c r="A29" s="40"/>
      <c r="B29" s="347" t="str">
        <f>'G-2 Habitat groups'!AU21</f>
        <v>Rocky shore - Moderate energy littoral rock - on peat, clay or chalk</v>
      </c>
      <c r="C29" s="348" t="str">
        <f>'G-2 Habitat groups'!AV21</f>
        <v>Rocky shore</v>
      </c>
      <c r="D29" s="481">
        <f>'G-2 Habitat groups'!BB21</f>
        <v>0</v>
      </c>
      <c r="E29" s="481">
        <f>'G-2 Habitat groups'!BD21</f>
        <v>0</v>
      </c>
      <c r="F29" s="481">
        <f>'G-2 Habitat groups'!BE21</f>
        <v>0</v>
      </c>
      <c r="G29" s="482" t="str">
        <f>'G-2 Habitat groups'!BF21</f>
        <v/>
      </c>
      <c r="H29" s="40"/>
      <c r="I29" s="40"/>
      <c r="J29" s="40"/>
      <c r="K29" s="40"/>
      <c r="L29" s="40"/>
      <c r="M29" s="40"/>
      <c r="N29" s="40"/>
      <c r="O29" s="40"/>
      <c r="P29" s="40"/>
      <c r="Q29" s="40"/>
    </row>
    <row r="30" spans="1:17" s="42" customFormat="1" ht="18.600000000000001" customHeight="1" x14ac:dyDescent="0.25">
      <c r="A30" s="40"/>
      <c r="B30" s="347" t="str">
        <f>'G-2 Habitat groups'!AU22</f>
        <v>Rocky shore - Low energy littoral rock - on peat, clay or chalk</v>
      </c>
      <c r="C30" s="348" t="str">
        <f>'G-2 Habitat groups'!AV22</f>
        <v>Rocky shore</v>
      </c>
      <c r="D30" s="481">
        <f>'G-2 Habitat groups'!BB22</f>
        <v>0</v>
      </c>
      <c r="E30" s="481">
        <f>'G-2 Habitat groups'!BD22</f>
        <v>0</v>
      </c>
      <c r="F30" s="481">
        <f>'G-2 Habitat groups'!BE22</f>
        <v>0</v>
      </c>
      <c r="G30" s="482" t="str">
        <f>'G-2 Habitat groups'!BF22</f>
        <v/>
      </c>
      <c r="H30" s="40"/>
      <c r="I30" s="40"/>
      <c r="J30" s="40"/>
      <c r="K30" s="40"/>
      <c r="L30" s="40"/>
      <c r="M30" s="40"/>
      <c r="N30" s="40"/>
      <c r="O30" s="40"/>
      <c r="P30" s="40"/>
      <c r="Q30" s="40"/>
    </row>
    <row r="31" spans="1:17" x14ac:dyDescent="0.25">
      <c r="A31" s="40"/>
      <c r="B31" s="347" t="str">
        <f>'G-2 Habitat groups'!AU23</f>
        <v>Rocky shore - Features of littoral rock - on peat, clay or chalk</v>
      </c>
      <c r="C31" s="348" t="str">
        <f>'G-2 Habitat groups'!AV23</f>
        <v>Rocky shore</v>
      </c>
      <c r="D31" s="481">
        <f>'G-2 Habitat groups'!BB23</f>
        <v>0</v>
      </c>
      <c r="E31" s="481">
        <f>'G-2 Habitat groups'!BD23</f>
        <v>0</v>
      </c>
      <c r="F31" s="481">
        <f>'G-2 Habitat groups'!BE23</f>
        <v>0</v>
      </c>
      <c r="G31" s="482" t="str">
        <f>'G-2 Habitat groups'!BF23</f>
        <v/>
      </c>
      <c r="H31" s="40"/>
      <c r="I31" s="40"/>
      <c r="J31" s="40"/>
      <c r="K31" s="40"/>
      <c r="L31" s="40"/>
      <c r="M31" s="40"/>
      <c r="N31" s="40"/>
      <c r="O31" s="40"/>
      <c r="P31" s="40"/>
      <c r="Q31" s="40"/>
    </row>
    <row r="32" spans="1:17" ht="14.4" thickBot="1" x14ac:dyDescent="0.3">
      <c r="A32" s="40"/>
      <c r="B32" s="349" t="str">
        <f>'G-2 Habitat groups'!AU24</f>
        <v>Intertidal sediment - Littoral seagrass on peat, clay or chalk</v>
      </c>
      <c r="C32" s="350" t="str">
        <f>'G-2 Habitat groups'!AV24</f>
        <v>Intertidal sediment</v>
      </c>
      <c r="D32" s="481">
        <f>'G-2 Habitat groups'!BB24</f>
        <v>0</v>
      </c>
      <c r="E32" s="481">
        <f>'G-2 Habitat groups'!BD24</f>
        <v>0</v>
      </c>
      <c r="F32" s="481">
        <f>'G-2 Habitat groups'!BE24</f>
        <v>0</v>
      </c>
      <c r="G32" s="482" t="str">
        <f>'G-2 Habitat groups'!BF24</f>
        <v/>
      </c>
      <c r="H32" s="40"/>
      <c r="I32" s="40"/>
      <c r="J32" s="40"/>
      <c r="K32" s="40"/>
      <c r="L32" s="40"/>
      <c r="M32" s="40"/>
      <c r="N32" s="40"/>
      <c r="O32" s="40"/>
      <c r="P32" s="40"/>
      <c r="Q32" s="40"/>
    </row>
    <row r="33" spans="1:17" ht="14.4" thickBot="1" x14ac:dyDescent="0.3">
      <c r="A33" s="40"/>
      <c r="B33" s="40"/>
      <c r="C33" s="40"/>
      <c r="D33" s="473">
        <f>SUM(D13:D32)</f>
        <v>0</v>
      </c>
      <c r="E33" s="474">
        <f>SUM(E13:E32)</f>
        <v>0</v>
      </c>
      <c r="F33" s="475">
        <f>SUM(F13:F32)</f>
        <v>0</v>
      </c>
      <c r="G33" s="476">
        <f>SUM(G13:G32)</f>
        <v>0</v>
      </c>
      <c r="H33" s="40"/>
      <c r="I33" s="40"/>
      <c r="J33" s="40"/>
      <c r="K33" s="40"/>
      <c r="L33" s="40"/>
      <c r="M33" s="40"/>
      <c r="N33" s="40"/>
      <c r="O33" s="40"/>
      <c r="P33" s="40"/>
      <c r="Q33" s="40"/>
    </row>
    <row r="34" spans="1:17" x14ac:dyDescent="0.25">
      <c r="A34" s="40"/>
      <c r="B34" s="40"/>
      <c r="C34" s="40"/>
      <c r="D34" s="40"/>
      <c r="E34" s="40"/>
      <c r="F34" s="40"/>
      <c r="G34" s="40"/>
      <c r="H34" s="40"/>
      <c r="I34" s="40"/>
      <c r="J34" s="40"/>
      <c r="K34" s="40"/>
      <c r="L34" s="40"/>
      <c r="M34" s="40"/>
      <c r="N34" s="40"/>
      <c r="O34" s="40"/>
      <c r="P34" s="40"/>
      <c r="Q34" s="40"/>
    </row>
    <row r="35" spans="1:17" x14ac:dyDescent="0.25">
      <c r="A35" s="40"/>
      <c r="B35" s="40"/>
      <c r="C35" s="40"/>
      <c r="D35" s="40"/>
      <c r="E35" s="40"/>
      <c r="F35" s="40"/>
      <c r="G35" s="40"/>
      <c r="H35" s="40"/>
      <c r="I35" s="40"/>
      <c r="J35" s="40"/>
      <c r="K35" s="40"/>
      <c r="L35" s="40"/>
      <c r="M35" s="40"/>
      <c r="N35" s="40"/>
      <c r="O35" s="40"/>
      <c r="P35" s="40"/>
      <c r="Q35" s="40"/>
    </row>
    <row r="36" spans="1:17" x14ac:dyDescent="0.25">
      <c r="A36" s="40"/>
      <c r="B36" s="40"/>
      <c r="C36" s="40"/>
      <c r="D36" s="40"/>
      <c r="E36" s="40"/>
      <c r="F36" s="40"/>
      <c r="G36" s="40"/>
      <c r="H36" s="40"/>
      <c r="I36" s="40"/>
      <c r="J36" s="40"/>
      <c r="K36" s="40"/>
      <c r="L36" s="40"/>
      <c r="M36" s="40"/>
      <c r="N36" s="40"/>
      <c r="O36" s="40"/>
      <c r="P36" s="40"/>
      <c r="Q36" s="40"/>
    </row>
    <row r="37" spans="1:17" x14ac:dyDescent="0.25">
      <c r="A37" s="40"/>
      <c r="B37" s="40"/>
      <c r="C37" s="40"/>
      <c r="D37" s="40"/>
      <c r="E37" s="40"/>
      <c r="F37" s="40"/>
      <c r="G37" s="40"/>
      <c r="H37" s="40"/>
      <c r="I37" s="40"/>
      <c r="J37" s="40"/>
      <c r="K37" s="40"/>
      <c r="L37" s="40"/>
      <c r="M37" s="40"/>
      <c r="N37" s="40"/>
      <c r="O37" s="40"/>
      <c r="P37" s="40"/>
      <c r="Q37" s="40"/>
    </row>
    <row r="38" spans="1:17" ht="14.4" thickBot="1" x14ac:dyDescent="0.3">
      <c r="A38" s="40"/>
      <c r="B38" s="40"/>
      <c r="C38" s="40"/>
      <c r="D38" s="40"/>
      <c r="E38" s="40"/>
      <c r="F38" s="40"/>
      <c r="G38" s="40"/>
      <c r="H38" s="40"/>
      <c r="I38" s="40"/>
      <c r="J38" s="40"/>
      <c r="K38" s="40"/>
      <c r="L38" s="40"/>
      <c r="M38" s="40"/>
      <c r="N38" s="40"/>
      <c r="O38" s="40"/>
      <c r="P38" s="40"/>
      <c r="Q38" s="40"/>
    </row>
    <row r="39" spans="1:17" ht="25.2" thickBot="1" x14ac:dyDescent="0.3">
      <c r="A39" s="40"/>
      <c r="B39" s="864" t="s">
        <v>166</v>
      </c>
      <c r="C39" s="865"/>
      <c r="D39" s="865"/>
      <c r="E39" s="865"/>
      <c r="F39" s="865"/>
      <c r="G39" s="877"/>
      <c r="H39" s="40"/>
      <c r="I39" s="868" t="s">
        <v>167</v>
      </c>
      <c r="J39" s="869"/>
      <c r="K39" s="40"/>
      <c r="L39" s="40"/>
      <c r="M39" s="40"/>
    </row>
    <row r="40" spans="1:17" ht="46.8" x14ac:dyDescent="0.25">
      <c r="A40" s="40"/>
      <c r="B40" s="93" t="s">
        <v>59</v>
      </c>
      <c r="C40" s="94" t="s">
        <v>160</v>
      </c>
      <c r="D40" s="94" t="s">
        <v>161</v>
      </c>
      <c r="E40" s="94" t="s">
        <v>162</v>
      </c>
      <c r="F40" s="94" t="s">
        <v>163</v>
      </c>
      <c r="G40" s="95" t="s">
        <v>168</v>
      </c>
      <c r="H40" s="40"/>
      <c r="I40" s="96" t="s">
        <v>169</v>
      </c>
      <c r="J40" s="486">
        <f>SUMIF($F$41:$F$81,"&gt;0")</f>
        <v>0</v>
      </c>
      <c r="K40" s="40"/>
      <c r="L40" s="40"/>
      <c r="M40" s="40"/>
      <c r="N40" s="40"/>
      <c r="O40" s="40"/>
    </row>
    <row r="41" spans="1:17" ht="14.4" thickBot="1" x14ac:dyDescent="0.3">
      <c r="A41" s="40"/>
      <c r="B41" s="345" t="str">
        <f>'G-2 Habitat groups'!AU30</f>
        <v>Grassland - Traditional orchards</v>
      </c>
      <c r="C41" s="346" t="str">
        <f>'G-2 Habitat groups'!AV30</f>
        <v>Grassland</v>
      </c>
      <c r="D41" s="484">
        <f>'G-2 Habitat groups'!BB30</f>
        <v>0</v>
      </c>
      <c r="E41" s="484">
        <f>'G-2 Habitat groups'!BD30</f>
        <v>0</v>
      </c>
      <c r="F41" s="484">
        <f>'G-2 Habitat groups'!BE30</f>
        <v>0</v>
      </c>
      <c r="G41" s="485" t="str">
        <f>'G-2 Habitat groups'!BF30</f>
        <v/>
      </c>
      <c r="H41" s="40"/>
      <c r="I41" s="97" t="s">
        <v>170</v>
      </c>
      <c r="J41" s="487">
        <f>G82</f>
        <v>0</v>
      </c>
      <c r="K41" s="40"/>
      <c r="L41" s="40"/>
      <c r="M41" s="40"/>
      <c r="N41" s="40"/>
      <c r="O41" s="40"/>
    </row>
    <row r="42" spans="1:17" x14ac:dyDescent="0.25">
      <c r="A42" s="40"/>
      <c r="B42" s="345" t="str">
        <f>'G-2 Habitat groups'!AU31</f>
        <v>Grassland - Floodplain Wetland Mosaic (CFGM)</v>
      </c>
      <c r="C42" s="346" t="str">
        <f>'G-2 Habitat groups'!AV31</f>
        <v>Grassland</v>
      </c>
      <c r="D42" s="484">
        <f>'G-2 Habitat groups'!BB31</f>
        <v>0</v>
      </c>
      <c r="E42" s="484">
        <f>'G-2 Habitat groups'!BD31</f>
        <v>0</v>
      </c>
      <c r="F42" s="484">
        <f>'G-2 Habitat groups'!BE31</f>
        <v>0</v>
      </c>
      <c r="G42" s="485" t="str">
        <f>'G-2 Habitat groups'!BF31</f>
        <v/>
      </c>
      <c r="H42" s="40"/>
      <c r="I42" s="40"/>
      <c r="J42" s="40"/>
      <c r="K42" s="40"/>
      <c r="L42" s="40"/>
      <c r="M42" s="40"/>
      <c r="N42" s="40"/>
      <c r="O42" s="40"/>
    </row>
    <row r="43" spans="1:17" ht="14.25" customHeight="1" x14ac:dyDescent="0.25">
      <c r="A43" s="40"/>
      <c r="B43" s="345" t="str">
        <f>'G-2 Habitat groups'!AU32</f>
        <v>Grassland - Lowland calcareous grassland</v>
      </c>
      <c r="C43" s="346" t="str">
        <f>'G-2 Habitat groups'!AV32</f>
        <v>Grassland</v>
      </c>
      <c r="D43" s="484">
        <f>'G-2 Habitat groups'!BB32</f>
        <v>0</v>
      </c>
      <c r="E43" s="484">
        <f>'G-2 Habitat groups'!BD32</f>
        <v>0</v>
      </c>
      <c r="F43" s="484">
        <f>'G-2 Habitat groups'!BE32</f>
        <v>0</v>
      </c>
      <c r="G43" s="485" t="str">
        <f>'G-2 Habitat groups'!BF32</f>
        <v/>
      </c>
      <c r="H43" s="40"/>
      <c r="K43" s="40"/>
      <c r="L43" s="40"/>
      <c r="M43" s="40"/>
      <c r="N43" s="40"/>
    </row>
    <row r="44" spans="1:17" ht="15" customHeight="1" x14ac:dyDescent="0.25">
      <c r="A44" s="40"/>
      <c r="B44" s="345" t="str">
        <f>'G-2 Habitat groups'!AU33</f>
        <v>Grassland - Tall herb communities (H6430)</v>
      </c>
      <c r="C44" s="346" t="str">
        <f>'G-2 Habitat groups'!AV33</f>
        <v>Grassland</v>
      </c>
      <c r="D44" s="484">
        <f>'G-2 Habitat groups'!BB33</f>
        <v>0</v>
      </c>
      <c r="E44" s="484">
        <f>'G-2 Habitat groups'!BD33</f>
        <v>0</v>
      </c>
      <c r="F44" s="484">
        <f>'G-2 Habitat groups'!BE33</f>
        <v>0</v>
      </c>
      <c r="G44" s="485" t="str">
        <f>'G-2 Habitat groups'!BF33</f>
        <v/>
      </c>
      <c r="H44" s="40"/>
      <c r="K44" s="40"/>
      <c r="L44" s="40"/>
      <c r="M44" s="40"/>
      <c r="N44" s="40"/>
    </row>
    <row r="45" spans="1:17" ht="15" customHeight="1" x14ac:dyDescent="0.25">
      <c r="A45" s="40"/>
      <c r="B45" s="345" t="str">
        <f>'G-2 Habitat groups'!AU34</f>
        <v>Grassland - Upland calcareous grassland</v>
      </c>
      <c r="C45" s="346" t="str">
        <f>'G-2 Habitat groups'!AV34</f>
        <v>Grassland</v>
      </c>
      <c r="D45" s="484">
        <f>'G-2 Habitat groups'!BB34</f>
        <v>0</v>
      </c>
      <c r="E45" s="484">
        <f>'G-2 Habitat groups'!BD34</f>
        <v>0</v>
      </c>
      <c r="F45" s="484">
        <f>'G-2 Habitat groups'!BE34</f>
        <v>0</v>
      </c>
      <c r="G45" s="485" t="str">
        <f>'G-2 Habitat groups'!BF34</f>
        <v/>
      </c>
      <c r="H45" s="40"/>
      <c r="K45" s="40"/>
      <c r="L45" s="40"/>
      <c r="M45" s="40"/>
      <c r="N45" s="40"/>
    </row>
    <row r="46" spans="1:17" ht="15" customHeight="1" x14ac:dyDescent="0.25">
      <c r="A46" s="40"/>
      <c r="B46" s="345" t="str">
        <f>'G-2 Habitat groups'!AU35</f>
        <v>Heathland and shrub - Lowland Heathland</v>
      </c>
      <c r="C46" s="346" t="str">
        <f>'G-2 Habitat groups'!AV35</f>
        <v>Heathland and shrub</v>
      </c>
      <c r="D46" s="484">
        <f>'G-2 Habitat groups'!BB35</f>
        <v>0</v>
      </c>
      <c r="E46" s="484">
        <f>'G-2 Habitat groups'!BD35</f>
        <v>0</v>
      </c>
      <c r="F46" s="484">
        <f>'G-2 Habitat groups'!BE35</f>
        <v>0</v>
      </c>
      <c r="G46" s="485" t="str">
        <f>'G-2 Habitat groups'!BF35</f>
        <v/>
      </c>
      <c r="H46" s="40"/>
      <c r="K46" s="40"/>
      <c r="L46" s="40"/>
      <c r="M46" s="40"/>
      <c r="N46" s="40"/>
    </row>
    <row r="47" spans="1:17" ht="15" customHeight="1" x14ac:dyDescent="0.25">
      <c r="A47" s="40"/>
      <c r="B47" s="345" t="str">
        <f>'G-2 Habitat groups'!AU36</f>
        <v>Heathland and shrub - Sea buckthorn scrub (Annex 1)</v>
      </c>
      <c r="C47" s="346" t="str">
        <f>'G-2 Habitat groups'!AV36</f>
        <v>Heathland and shrub</v>
      </c>
      <c r="D47" s="484">
        <f>'G-2 Habitat groups'!BB36</f>
        <v>0</v>
      </c>
      <c r="E47" s="484">
        <f>'G-2 Habitat groups'!BD36</f>
        <v>0</v>
      </c>
      <c r="F47" s="484">
        <f>'G-2 Habitat groups'!BE36</f>
        <v>0</v>
      </c>
      <c r="G47" s="485" t="str">
        <f>'G-2 Habitat groups'!BF36</f>
        <v/>
      </c>
      <c r="H47" s="40"/>
      <c r="I47" s="40"/>
      <c r="J47" s="40"/>
      <c r="K47" s="40"/>
      <c r="L47" s="40"/>
    </row>
    <row r="48" spans="1:17" ht="15" customHeight="1" x14ac:dyDescent="0.25">
      <c r="A48" s="40"/>
      <c r="B48" s="345" t="str">
        <f>'G-2 Habitat groups'!AU37</f>
        <v>Heathland and shrub - Upland Heathland</v>
      </c>
      <c r="C48" s="346" t="str">
        <f>'G-2 Habitat groups'!AV37</f>
        <v>Heathland and shrub</v>
      </c>
      <c r="D48" s="484">
        <f>'G-2 Habitat groups'!BB37</f>
        <v>0</v>
      </c>
      <c r="E48" s="484">
        <f>'G-2 Habitat groups'!BD37</f>
        <v>0</v>
      </c>
      <c r="F48" s="484">
        <f>'G-2 Habitat groups'!BE37</f>
        <v>0</v>
      </c>
      <c r="G48" s="485" t="str">
        <f>'G-2 Habitat groups'!BF37</f>
        <v/>
      </c>
      <c r="H48" s="40"/>
      <c r="I48" s="40"/>
      <c r="J48" s="40"/>
      <c r="K48" s="40"/>
      <c r="L48" s="40"/>
    </row>
    <row r="49" spans="1:15" ht="15" customHeight="1" x14ac:dyDescent="0.25">
      <c r="A49" s="40"/>
      <c r="B49" s="345" t="str">
        <f>'G-2 Habitat groups'!AU38</f>
        <v>Lakes - High alkalinity lakes</v>
      </c>
      <c r="C49" s="346" t="str">
        <f>'G-2 Habitat groups'!AV38</f>
        <v>Lakes</v>
      </c>
      <c r="D49" s="484">
        <f>'G-2 Habitat groups'!BB38</f>
        <v>0</v>
      </c>
      <c r="E49" s="484">
        <f>'G-2 Habitat groups'!BD38</f>
        <v>0</v>
      </c>
      <c r="F49" s="484">
        <f>'G-2 Habitat groups'!BE38</f>
        <v>0</v>
      </c>
      <c r="G49" s="485" t="str">
        <f>'G-2 Habitat groups'!BF38</f>
        <v/>
      </c>
      <c r="H49" s="40"/>
      <c r="I49" s="40"/>
      <c r="J49" s="40"/>
      <c r="K49" s="40"/>
      <c r="L49" s="40"/>
    </row>
    <row r="50" spans="1:15" ht="15.75" customHeight="1" x14ac:dyDescent="0.25">
      <c r="A50" s="40"/>
      <c r="B50" s="345" t="str">
        <f>'G-2 Habitat groups'!AU39</f>
        <v>Lakes - Low alkalinity lakes</v>
      </c>
      <c r="C50" s="346" t="str">
        <f>'G-2 Habitat groups'!AV39</f>
        <v>Lakes</v>
      </c>
      <c r="D50" s="484">
        <f>'G-2 Habitat groups'!BB39</f>
        <v>0</v>
      </c>
      <c r="E50" s="484">
        <f>'G-2 Habitat groups'!BD39</f>
        <v>0</v>
      </c>
      <c r="F50" s="484">
        <f>'G-2 Habitat groups'!BE39</f>
        <v>0</v>
      </c>
      <c r="G50" s="485" t="str">
        <f>'G-2 Habitat groups'!BF39</f>
        <v/>
      </c>
      <c r="H50" s="40"/>
      <c r="I50" s="40"/>
      <c r="J50" s="40"/>
      <c r="K50" s="40"/>
      <c r="L50" s="40"/>
    </row>
    <row r="51" spans="1:15" x14ac:dyDescent="0.25">
      <c r="A51" s="40"/>
      <c r="B51" s="345" t="str">
        <f>'G-2 Habitat groups'!AU40</f>
        <v>Lakes - Marl Lakes</v>
      </c>
      <c r="C51" s="346" t="str">
        <f>'G-2 Habitat groups'!AV40</f>
        <v>Lakes</v>
      </c>
      <c r="D51" s="484">
        <f>'G-2 Habitat groups'!BB40</f>
        <v>0</v>
      </c>
      <c r="E51" s="484">
        <f>'G-2 Habitat groups'!BD40</f>
        <v>0</v>
      </c>
      <c r="F51" s="484">
        <f>'G-2 Habitat groups'!BE40</f>
        <v>0</v>
      </c>
      <c r="G51" s="485" t="str">
        <f>'G-2 Habitat groups'!BF40</f>
        <v/>
      </c>
      <c r="H51" s="40"/>
      <c r="I51" s="40"/>
      <c r="J51" s="40"/>
      <c r="K51" s="40"/>
      <c r="L51" s="40"/>
      <c r="M51" s="40"/>
    </row>
    <row r="52" spans="1:15" x14ac:dyDescent="0.25">
      <c r="A52" s="40"/>
      <c r="B52" s="345" t="str">
        <f>'G-2 Habitat groups'!AU41</f>
        <v>Lakes - Moderate alkalinity lakes</v>
      </c>
      <c r="C52" s="346" t="str">
        <f>'G-2 Habitat groups'!AV41</f>
        <v>Lakes</v>
      </c>
      <c r="D52" s="484">
        <f>'G-2 Habitat groups'!BB41</f>
        <v>0</v>
      </c>
      <c r="E52" s="484">
        <f>'G-2 Habitat groups'!BD41</f>
        <v>0</v>
      </c>
      <c r="F52" s="484">
        <f>'G-2 Habitat groups'!BE41</f>
        <v>0</v>
      </c>
      <c r="G52" s="485" t="str">
        <f>'G-2 Habitat groups'!BF41</f>
        <v/>
      </c>
      <c r="H52" s="40"/>
      <c r="I52" s="40"/>
      <c r="J52" s="40"/>
      <c r="K52" s="40"/>
      <c r="L52" s="40"/>
      <c r="M52" s="40"/>
    </row>
    <row r="53" spans="1:15" x14ac:dyDescent="0.25">
      <c r="A53" s="40"/>
      <c r="B53" s="345" t="str">
        <f>'G-2 Habitat groups'!AU42</f>
        <v>Lakes - Peat Lakes</v>
      </c>
      <c r="C53" s="346" t="str">
        <f>'G-2 Habitat groups'!AV42</f>
        <v>Lakes</v>
      </c>
      <c r="D53" s="484">
        <f>'G-2 Habitat groups'!BB42</f>
        <v>0</v>
      </c>
      <c r="E53" s="484">
        <f>'G-2 Habitat groups'!BD42</f>
        <v>0</v>
      </c>
      <c r="F53" s="484">
        <f>'G-2 Habitat groups'!BE42</f>
        <v>0</v>
      </c>
      <c r="G53" s="485" t="str">
        <f>'G-2 Habitat groups'!BF42</f>
        <v/>
      </c>
      <c r="H53" s="40"/>
      <c r="I53" s="40"/>
      <c r="J53" s="40"/>
      <c r="K53" s="40"/>
      <c r="L53" s="40"/>
      <c r="M53" s="40"/>
    </row>
    <row r="54" spans="1:15" x14ac:dyDescent="0.25">
      <c r="A54" s="40"/>
      <c r="B54" s="345" t="str">
        <f>'G-2 Habitat groups'!AU43</f>
        <v>Lakes - Ponds (Priority Habitat)</v>
      </c>
      <c r="C54" s="346" t="str">
        <f>'G-2 Habitat groups'!AV43</f>
        <v>Lakes</v>
      </c>
      <c r="D54" s="484">
        <f>'G-2 Habitat groups'!BB43</f>
        <v>0</v>
      </c>
      <c r="E54" s="484">
        <f>'G-2 Habitat groups'!BD43</f>
        <v>0</v>
      </c>
      <c r="F54" s="484">
        <f>'G-2 Habitat groups'!BE43</f>
        <v>0</v>
      </c>
      <c r="G54" s="485" t="str">
        <f>'G-2 Habitat groups'!BF43</f>
        <v/>
      </c>
      <c r="H54" s="40"/>
      <c r="I54" s="40"/>
      <c r="J54" s="40"/>
      <c r="K54" s="40"/>
      <c r="L54" s="40"/>
      <c r="M54" s="40"/>
    </row>
    <row r="55" spans="1:15" ht="15" customHeight="1" x14ac:dyDescent="0.25">
      <c r="A55" s="40"/>
      <c r="B55" s="345" t="str">
        <f>'G-2 Habitat groups'!AU44</f>
        <v>Lakes - Temporary lakes, ponds and pools</v>
      </c>
      <c r="C55" s="346" t="str">
        <f>'G-2 Habitat groups'!AV44</f>
        <v>Lakes</v>
      </c>
      <c r="D55" s="484">
        <f>'G-2 Habitat groups'!BB44</f>
        <v>0</v>
      </c>
      <c r="E55" s="484">
        <f>'G-2 Habitat groups'!BD44</f>
        <v>0</v>
      </c>
      <c r="F55" s="484">
        <f>'G-2 Habitat groups'!BE44</f>
        <v>0</v>
      </c>
      <c r="G55" s="485" t="str">
        <f>'G-2 Habitat groups'!BF44</f>
        <v/>
      </c>
      <c r="H55" s="40"/>
      <c r="I55" s="40"/>
      <c r="J55" s="40"/>
      <c r="K55" s="40"/>
      <c r="L55" s="40"/>
      <c r="M55" s="40"/>
    </row>
    <row r="56" spans="1:15" ht="15" customHeight="1" x14ac:dyDescent="0.25">
      <c r="A56" s="40"/>
      <c r="B56" s="345" t="str">
        <f>'G-2 Habitat groups'!AU45</f>
        <v>Sparsely vegetated land - Coastal sand dunes</v>
      </c>
      <c r="C56" s="346" t="str">
        <f>'G-2 Habitat groups'!AV45</f>
        <v>Sparsely vegetated land</v>
      </c>
      <c r="D56" s="484">
        <f>'G-2 Habitat groups'!BB45</f>
        <v>0</v>
      </c>
      <c r="E56" s="484">
        <f>'G-2 Habitat groups'!BD45</f>
        <v>0</v>
      </c>
      <c r="F56" s="484">
        <f>'G-2 Habitat groups'!BE45</f>
        <v>0</v>
      </c>
      <c r="G56" s="485" t="str">
        <f>'G-2 Habitat groups'!BF45</f>
        <v/>
      </c>
      <c r="H56" s="40"/>
      <c r="I56" s="40"/>
      <c r="J56" s="40"/>
      <c r="K56" s="40"/>
      <c r="L56" s="40"/>
    </row>
    <row r="57" spans="1:15" x14ac:dyDescent="0.25">
      <c r="A57" s="40"/>
      <c r="B57" s="345" t="str">
        <f>'G-2 Habitat groups'!AU46</f>
        <v>Sparsely vegetated land - Coastal vegetated shingle</v>
      </c>
      <c r="C57" s="346" t="str">
        <f>'G-2 Habitat groups'!AV46</f>
        <v>Sparsely vegetated land</v>
      </c>
      <c r="D57" s="484">
        <f>'G-2 Habitat groups'!BB46</f>
        <v>0</v>
      </c>
      <c r="E57" s="484">
        <f>'G-2 Habitat groups'!BD46</f>
        <v>0</v>
      </c>
      <c r="F57" s="484">
        <f>'G-2 Habitat groups'!BE46</f>
        <v>0</v>
      </c>
      <c r="G57" s="485" t="str">
        <f>'G-2 Habitat groups'!BF46</f>
        <v/>
      </c>
      <c r="H57" s="40"/>
      <c r="I57" s="40"/>
      <c r="J57" s="40"/>
      <c r="K57" s="40"/>
      <c r="L57" s="40"/>
    </row>
    <row r="58" spans="1:15" x14ac:dyDescent="0.25">
      <c r="A58" s="40"/>
      <c r="B58" s="345" t="str">
        <f>'G-2 Habitat groups'!AU47</f>
        <v>Sparsely vegetated land - Inland rock outcrop and scree habitats</v>
      </c>
      <c r="C58" s="346" t="str">
        <f>'G-2 Habitat groups'!AV47</f>
        <v>Sparsely vegetated land</v>
      </c>
      <c r="D58" s="484">
        <f>'G-2 Habitat groups'!BB47</f>
        <v>0</v>
      </c>
      <c r="E58" s="484">
        <f>'G-2 Habitat groups'!BD47</f>
        <v>0</v>
      </c>
      <c r="F58" s="484">
        <f>'G-2 Habitat groups'!BE47</f>
        <v>0</v>
      </c>
      <c r="G58" s="485" t="str">
        <f>'G-2 Habitat groups'!BF47</f>
        <v/>
      </c>
      <c r="H58" s="40"/>
      <c r="I58" s="40"/>
      <c r="J58" s="40"/>
      <c r="K58" s="40"/>
      <c r="L58" s="40"/>
      <c r="M58" s="40"/>
      <c r="N58" s="40"/>
      <c r="O58" s="40"/>
    </row>
    <row r="59" spans="1:15" x14ac:dyDescent="0.25">
      <c r="A59" s="40"/>
      <c r="B59" s="345" t="str">
        <f>'G-2 Habitat groups'!AU48</f>
        <v>Sparsely vegetated land - Maritime cliff and slopes</v>
      </c>
      <c r="C59" s="346" t="str">
        <f>'G-2 Habitat groups'!AV48</f>
        <v>Sparsely vegetated land</v>
      </c>
      <c r="D59" s="484">
        <f>'G-2 Habitat groups'!BB48</f>
        <v>0</v>
      </c>
      <c r="E59" s="484">
        <f>'G-2 Habitat groups'!BD48</f>
        <v>0</v>
      </c>
      <c r="F59" s="484">
        <f>'G-2 Habitat groups'!BE48</f>
        <v>0</v>
      </c>
      <c r="G59" s="485" t="str">
        <f>'G-2 Habitat groups'!BF48</f>
        <v/>
      </c>
      <c r="H59" s="40"/>
      <c r="I59" s="40"/>
      <c r="J59" s="40"/>
      <c r="K59" s="40"/>
      <c r="L59" s="40"/>
      <c r="M59" s="40"/>
      <c r="N59" s="40"/>
      <c r="O59" s="40"/>
    </row>
    <row r="60" spans="1:15" x14ac:dyDescent="0.25">
      <c r="A60" s="40"/>
      <c r="B60" s="345" t="str">
        <f>'G-2 Habitat groups'!AU49</f>
        <v>Urban - Open Mosaic Habitats on Previously Developed Land</v>
      </c>
      <c r="C60" s="346" t="str">
        <f>'G-2 Habitat groups'!AV49</f>
        <v>Urban</v>
      </c>
      <c r="D60" s="484">
        <f>'G-2 Habitat groups'!BB49</f>
        <v>0</v>
      </c>
      <c r="E60" s="484">
        <f>'G-2 Habitat groups'!BD49</f>
        <v>0</v>
      </c>
      <c r="F60" s="484">
        <f>'G-2 Habitat groups'!BE49</f>
        <v>0</v>
      </c>
      <c r="G60" s="485" t="str">
        <f>'G-2 Habitat groups'!BF49</f>
        <v/>
      </c>
      <c r="H60" s="40"/>
      <c r="K60" s="40"/>
      <c r="L60" s="40"/>
      <c r="M60" s="40"/>
      <c r="N60" s="40"/>
      <c r="O60" s="40"/>
    </row>
    <row r="61" spans="1:15" x14ac:dyDescent="0.25">
      <c r="A61" s="40"/>
      <c r="B61" s="345" t="str">
        <f>'G-2 Habitat groups'!AU50</f>
        <v>Wetland - Reedbeds</v>
      </c>
      <c r="C61" s="346" t="str">
        <f>'G-2 Habitat groups'!AV50</f>
        <v>Wetland</v>
      </c>
      <c r="D61" s="484">
        <f>'G-2 Habitat groups'!BB50</f>
        <v>0</v>
      </c>
      <c r="E61" s="484">
        <f>'G-2 Habitat groups'!BD50</f>
        <v>0</v>
      </c>
      <c r="F61" s="484">
        <f>'G-2 Habitat groups'!BE50</f>
        <v>0</v>
      </c>
      <c r="G61" s="485" t="str">
        <f>'G-2 Habitat groups'!BF50</f>
        <v/>
      </c>
      <c r="H61" s="40"/>
      <c r="K61" s="40"/>
      <c r="L61" s="40"/>
      <c r="M61" s="40"/>
      <c r="N61" s="40"/>
      <c r="O61" s="40"/>
    </row>
    <row r="62" spans="1:15" x14ac:dyDescent="0.25">
      <c r="A62" s="40"/>
      <c r="B62" s="345" t="str">
        <f>'G-2 Habitat groups'!AU51</f>
        <v>Woodland and forest - Felled</v>
      </c>
      <c r="C62" s="346" t="str">
        <f>'G-2 Habitat groups'!AV51</f>
        <v>Woodland and forest</v>
      </c>
      <c r="D62" s="484">
        <f>'G-2 Habitat groups'!BB51</f>
        <v>0</v>
      </c>
      <c r="E62" s="484">
        <f>'G-2 Habitat groups'!BD51</f>
        <v>0</v>
      </c>
      <c r="F62" s="484">
        <f>'G-2 Habitat groups'!BE51</f>
        <v>0</v>
      </c>
      <c r="G62" s="485" t="str">
        <f>'G-2 Habitat groups'!BF51</f>
        <v/>
      </c>
      <c r="H62" s="40"/>
      <c r="K62" s="40"/>
      <c r="L62" s="40"/>
      <c r="M62" s="40"/>
      <c r="N62" s="40"/>
      <c r="O62" s="40"/>
    </row>
    <row r="63" spans="1:15" x14ac:dyDescent="0.25">
      <c r="A63" s="40"/>
      <c r="B63" s="345" t="str">
        <f>'G-2 Habitat groups'!AU52</f>
        <v>Woodland and forest - Lowland beech and yew woodland</v>
      </c>
      <c r="C63" s="346" t="str">
        <f>'G-2 Habitat groups'!AV52</f>
        <v>Woodland and forest</v>
      </c>
      <c r="D63" s="484">
        <f>'G-2 Habitat groups'!BB52</f>
        <v>0</v>
      </c>
      <c r="E63" s="484">
        <f>'G-2 Habitat groups'!BD52</f>
        <v>0</v>
      </c>
      <c r="F63" s="484">
        <f>'G-2 Habitat groups'!BE52</f>
        <v>0</v>
      </c>
      <c r="G63" s="485" t="str">
        <f>'G-2 Habitat groups'!BF52</f>
        <v/>
      </c>
      <c r="H63" s="40"/>
      <c r="I63" s="40"/>
      <c r="J63" s="40"/>
      <c r="K63" s="40"/>
      <c r="L63" s="40"/>
      <c r="M63" s="40"/>
      <c r="N63" s="40"/>
      <c r="O63" s="40"/>
    </row>
    <row r="64" spans="1:15" x14ac:dyDescent="0.25">
      <c r="A64" s="40"/>
      <c r="B64" s="345" t="str">
        <f>'G-2 Habitat groups'!AU53</f>
        <v>Woodland and forest - Lowland mixed deciduous woodland</v>
      </c>
      <c r="C64" s="346" t="str">
        <f>'G-2 Habitat groups'!AV53</f>
        <v>Woodland and forest</v>
      </c>
      <c r="D64" s="484">
        <f>'G-2 Habitat groups'!BB53</f>
        <v>0</v>
      </c>
      <c r="E64" s="484">
        <f>'G-2 Habitat groups'!BD53</f>
        <v>0</v>
      </c>
      <c r="F64" s="484">
        <f>'G-2 Habitat groups'!BE53</f>
        <v>0</v>
      </c>
      <c r="G64" s="485" t="str">
        <f>'G-2 Habitat groups'!BF53</f>
        <v/>
      </c>
      <c r="H64" s="40"/>
      <c r="I64" s="40"/>
      <c r="J64" s="40"/>
      <c r="K64" s="40"/>
      <c r="L64" s="40"/>
      <c r="M64" s="40"/>
      <c r="N64" s="40"/>
      <c r="O64" s="40"/>
    </row>
    <row r="65" spans="1:15" x14ac:dyDescent="0.25">
      <c r="A65" s="40"/>
      <c r="B65" s="345" t="str">
        <f>'G-2 Habitat groups'!AU54</f>
        <v>Woodland and forest - Native pine woodlands</v>
      </c>
      <c r="C65" s="346" t="str">
        <f>'G-2 Habitat groups'!AV54</f>
        <v>Woodland and forest</v>
      </c>
      <c r="D65" s="484">
        <f>'G-2 Habitat groups'!BB54</f>
        <v>0</v>
      </c>
      <c r="E65" s="484">
        <f>'G-2 Habitat groups'!BD54</f>
        <v>0</v>
      </c>
      <c r="F65" s="484">
        <f>'G-2 Habitat groups'!BE54</f>
        <v>0</v>
      </c>
      <c r="G65" s="485" t="str">
        <f>'G-2 Habitat groups'!BF54</f>
        <v/>
      </c>
      <c r="H65" s="40"/>
      <c r="I65" s="40"/>
      <c r="J65" s="40"/>
      <c r="K65" s="40"/>
      <c r="L65" s="40"/>
      <c r="M65" s="40"/>
      <c r="N65" s="40"/>
      <c r="O65" s="40"/>
    </row>
    <row r="66" spans="1:15" x14ac:dyDescent="0.25">
      <c r="A66" s="40"/>
      <c r="B66" s="345" t="str">
        <f>'G-2 Habitat groups'!AU55</f>
        <v>Woodland and forest - Upland birchwoods</v>
      </c>
      <c r="C66" s="346" t="str">
        <f>'G-2 Habitat groups'!AV55</f>
        <v>Woodland and forest</v>
      </c>
      <c r="D66" s="484">
        <f>'G-2 Habitat groups'!BB55</f>
        <v>0</v>
      </c>
      <c r="E66" s="484">
        <f>'G-2 Habitat groups'!BD55</f>
        <v>0</v>
      </c>
      <c r="F66" s="484">
        <f>'G-2 Habitat groups'!BE55</f>
        <v>0</v>
      </c>
      <c r="G66" s="485" t="str">
        <f>'G-2 Habitat groups'!BF55</f>
        <v/>
      </c>
      <c r="H66" s="40"/>
      <c r="I66" s="40"/>
      <c r="J66" s="40"/>
      <c r="K66" s="40"/>
      <c r="L66" s="40"/>
      <c r="M66" s="40"/>
      <c r="N66" s="40"/>
      <c r="O66" s="40"/>
    </row>
    <row r="67" spans="1:15" x14ac:dyDescent="0.25">
      <c r="A67" s="40"/>
      <c r="B67" s="345" t="str">
        <f>'G-2 Habitat groups'!AU56</f>
        <v>Woodland and forest - Upland mixed ashwoods</v>
      </c>
      <c r="C67" s="346" t="str">
        <f>'G-2 Habitat groups'!AV56</f>
        <v>Woodland and forest</v>
      </c>
      <c r="D67" s="484">
        <f>'G-2 Habitat groups'!BB56</f>
        <v>0</v>
      </c>
      <c r="E67" s="484">
        <f>'G-2 Habitat groups'!BD56</f>
        <v>0</v>
      </c>
      <c r="F67" s="484">
        <f>'G-2 Habitat groups'!BE56</f>
        <v>0</v>
      </c>
      <c r="G67" s="485" t="str">
        <f>'G-2 Habitat groups'!BF56</f>
        <v/>
      </c>
      <c r="H67" s="40"/>
      <c r="I67" s="40"/>
      <c r="J67" s="40"/>
      <c r="K67" s="40"/>
      <c r="L67" s="40"/>
      <c r="M67" s="40"/>
      <c r="N67" s="40"/>
      <c r="O67" s="40"/>
    </row>
    <row r="68" spans="1:15" x14ac:dyDescent="0.25">
      <c r="A68" s="40"/>
      <c r="B68" s="345" t="str">
        <f>'G-2 Habitat groups'!AU57</f>
        <v>Woodland and forest - Upland oakwood</v>
      </c>
      <c r="C68" s="346" t="str">
        <f>'G-2 Habitat groups'!AV57</f>
        <v>Woodland and forest</v>
      </c>
      <c r="D68" s="484">
        <f>'G-2 Habitat groups'!BB57</f>
        <v>0</v>
      </c>
      <c r="E68" s="484">
        <f>'G-2 Habitat groups'!BD57</f>
        <v>0</v>
      </c>
      <c r="F68" s="484">
        <f>'G-2 Habitat groups'!BE57</f>
        <v>0</v>
      </c>
      <c r="G68" s="485" t="str">
        <f>'G-2 Habitat groups'!BF57</f>
        <v/>
      </c>
      <c r="H68" s="40"/>
      <c r="I68" s="40"/>
      <c r="J68" s="40"/>
      <c r="K68" s="40"/>
      <c r="L68" s="40"/>
      <c r="M68" s="40"/>
      <c r="N68" s="40"/>
      <c r="O68" s="40"/>
    </row>
    <row r="69" spans="1:15" ht="14.4" customHeight="1" x14ac:dyDescent="0.25">
      <c r="A69" s="40"/>
      <c r="B69" s="345" t="str">
        <f>'G-2 Habitat groups'!AU58</f>
        <v>Woodland and forest - Wet woodland</v>
      </c>
      <c r="C69" s="346" t="str">
        <f>'G-2 Habitat groups'!AV58</f>
        <v>Woodland and forest</v>
      </c>
      <c r="D69" s="484">
        <f>'G-2 Habitat groups'!BB58</f>
        <v>0</v>
      </c>
      <c r="E69" s="484">
        <f>'G-2 Habitat groups'!BD58</f>
        <v>0</v>
      </c>
      <c r="F69" s="484">
        <f>'G-2 Habitat groups'!BE58</f>
        <v>0</v>
      </c>
      <c r="G69" s="485" t="str">
        <f>'G-2 Habitat groups'!BF58</f>
        <v/>
      </c>
      <c r="H69" s="40"/>
      <c r="I69" s="40"/>
      <c r="J69" s="40"/>
      <c r="K69" s="40"/>
      <c r="L69" s="40"/>
      <c r="M69" s="40"/>
      <c r="N69" s="40"/>
      <c r="O69" s="40"/>
    </row>
    <row r="70" spans="1:15" x14ac:dyDescent="0.25">
      <c r="A70" s="40"/>
      <c r="B70" s="345" t="str">
        <f>'G-2 Habitat groups'!AU59</f>
        <v>Coastal lagoons - Coastal lagoons</v>
      </c>
      <c r="C70" s="346" t="str">
        <f>'G-2 Habitat groups'!AV59</f>
        <v>Coastal lagoons</v>
      </c>
      <c r="D70" s="484">
        <f>'G-2 Habitat groups'!BB59</f>
        <v>0</v>
      </c>
      <c r="E70" s="484">
        <f>'G-2 Habitat groups'!BD59</f>
        <v>0</v>
      </c>
      <c r="F70" s="484">
        <f>'G-2 Habitat groups'!BE59</f>
        <v>0</v>
      </c>
      <c r="G70" s="485" t="str">
        <f>'G-2 Habitat groups'!BF59</f>
        <v/>
      </c>
      <c r="H70" s="40"/>
      <c r="I70" s="40"/>
      <c r="J70" s="40"/>
      <c r="K70" s="40"/>
      <c r="L70" s="40"/>
      <c r="M70" s="40"/>
      <c r="N70" s="40"/>
      <c r="O70" s="40"/>
    </row>
    <row r="71" spans="1:15" x14ac:dyDescent="0.25">
      <c r="A71" s="40"/>
      <c r="B71" s="345" t="str">
        <f>'G-2 Habitat groups'!AU60</f>
        <v>Rocky shore - High energy littoral rock</v>
      </c>
      <c r="C71" s="346" t="str">
        <f>'G-2 Habitat groups'!AV60</f>
        <v>Rocky shore</v>
      </c>
      <c r="D71" s="484">
        <f>'G-2 Habitat groups'!BB60</f>
        <v>0</v>
      </c>
      <c r="E71" s="484">
        <f>'G-2 Habitat groups'!BD60</f>
        <v>0</v>
      </c>
      <c r="F71" s="484">
        <f>'G-2 Habitat groups'!BE60</f>
        <v>0</v>
      </c>
      <c r="G71" s="485" t="str">
        <f>'G-2 Habitat groups'!BF60</f>
        <v/>
      </c>
      <c r="H71" s="40"/>
      <c r="I71" s="40"/>
      <c r="J71" s="40"/>
      <c r="K71" s="40"/>
      <c r="L71" s="40"/>
      <c r="M71" s="40"/>
      <c r="N71" s="40"/>
      <c r="O71" s="40"/>
    </row>
    <row r="72" spans="1:15" x14ac:dyDescent="0.25">
      <c r="A72" s="40"/>
      <c r="B72" s="345" t="str">
        <f>'G-2 Habitat groups'!AU61</f>
        <v>Rocky shore - Moderate energy littoral rock</v>
      </c>
      <c r="C72" s="346" t="str">
        <f>'G-2 Habitat groups'!AV61</f>
        <v>Rocky shore</v>
      </c>
      <c r="D72" s="484">
        <f>'G-2 Habitat groups'!BB61</f>
        <v>0</v>
      </c>
      <c r="E72" s="484">
        <f>'G-2 Habitat groups'!BD61</f>
        <v>0</v>
      </c>
      <c r="F72" s="484">
        <f>'G-2 Habitat groups'!BE61</f>
        <v>0</v>
      </c>
      <c r="G72" s="485" t="str">
        <f>'G-2 Habitat groups'!BF61</f>
        <v/>
      </c>
      <c r="H72" s="40"/>
      <c r="I72" s="40"/>
      <c r="J72" s="40"/>
      <c r="K72" s="40"/>
      <c r="L72" s="40"/>
      <c r="M72" s="40"/>
      <c r="N72" s="40"/>
      <c r="O72" s="40"/>
    </row>
    <row r="73" spans="1:15" x14ac:dyDescent="0.25">
      <c r="A73" s="40"/>
      <c r="B73" s="345" t="str">
        <f>'G-2 Habitat groups'!AU62</f>
        <v>Rocky shore - Low energy littoral rock</v>
      </c>
      <c r="C73" s="346" t="str">
        <f>'G-2 Habitat groups'!AV62</f>
        <v>Rocky shore</v>
      </c>
      <c r="D73" s="484">
        <f>'G-2 Habitat groups'!BB62</f>
        <v>0</v>
      </c>
      <c r="E73" s="484">
        <f>'G-2 Habitat groups'!BD62</f>
        <v>0</v>
      </c>
      <c r="F73" s="484">
        <f>'G-2 Habitat groups'!BE62</f>
        <v>0</v>
      </c>
      <c r="G73" s="485" t="str">
        <f>'G-2 Habitat groups'!BF62</f>
        <v/>
      </c>
      <c r="H73" s="40"/>
      <c r="I73" s="40"/>
      <c r="J73" s="40"/>
      <c r="K73" s="40"/>
      <c r="L73" s="40"/>
      <c r="M73" s="40"/>
      <c r="N73" s="40"/>
      <c r="O73" s="40"/>
    </row>
    <row r="74" spans="1:15" x14ac:dyDescent="0.25">
      <c r="A74" s="40"/>
      <c r="B74" s="345" t="str">
        <f>'G-2 Habitat groups'!AU63</f>
        <v>Rocky shore - Features of littoral rock</v>
      </c>
      <c r="C74" s="346" t="str">
        <f>'G-2 Habitat groups'!AV63</f>
        <v>Rocky shore</v>
      </c>
      <c r="D74" s="484">
        <f>'G-2 Habitat groups'!BB63</f>
        <v>0</v>
      </c>
      <c r="E74" s="484">
        <f>'G-2 Habitat groups'!BD63</f>
        <v>0</v>
      </c>
      <c r="F74" s="484">
        <f>'G-2 Habitat groups'!BE63</f>
        <v>0</v>
      </c>
      <c r="G74" s="485" t="str">
        <f>'G-2 Habitat groups'!BF63</f>
        <v/>
      </c>
      <c r="H74" s="40"/>
      <c r="I74" s="40"/>
      <c r="J74" s="40"/>
      <c r="K74" s="40"/>
      <c r="L74" s="40"/>
      <c r="M74" s="40"/>
      <c r="N74" s="40"/>
      <c r="O74" s="40"/>
    </row>
    <row r="75" spans="1:15" x14ac:dyDescent="0.25">
      <c r="A75" s="40"/>
      <c r="B75" s="345" t="str">
        <f>'G-2 Habitat groups'!AU64</f>
        <v>Intertidal sediment - Littoral mud</v>
      </c>
      <c r="C75" s="346" t="str">
        <f>'G-2 Habitat groups'!AV64</f>
        <v>Intertidal sediment</v>
      </c>
      <c r="D75" s="484">
        <f>'G-2 Habitat groups'!BB64</f>
        <v>0</v>
      </c>
      <c r="E75" s="484">
        <f>'G-2 Habitat groups'!BD64</f>
        <v>0</v>
      </c>
      <c r="F75" s="484">
        <f>'G-2 Habitat groups'!BE64</f>
        <v>0</v>
      </c>
      <c r="G75" s="485" t="str">
        <f>'G-2 Habitat groups'!BF64</f>
        <v/>
      </c>
      <c r="H75" s="40"/>
      <c r="I75" s="40"/>
      <c r="J75" s="40"/>
      <c r="K75" s="40"/>
      <c r="L75" s="40"/>
      <c r="M75" s="40"/>
      <c r="N75" s="40"/>
      <c r="O75" s="40"/>
    </row>
    <row r="76" spans="1:15" x14ac:dyDescent="0.25">
      <c r="A76" s="40"/>
      <c r="B76" s="345" t="str">
        <f>'G-2 Habitat groups'!AU65</f>
        <v>Intertidal sediment - Littoral mixed sediments</v>
      </c>
      <c r="C76" s="346" t="str">
        <f>'G-2 Habitat groups'!AV65</f>
        <v>Intertidal sediment</v>
      </c>
      <c r="D76" s="484">
        <f>'G-2 Habitat groups'!BB65</f>
        <v>0</v>
      </c>
      <c r="E76" s="484">
        <f>'G-2 Habitat groups'!BD65</f>
        <v>0</v>
      </c>
      <c r="F76" s="484">
        <f>'G-2 Habitat groups'!BE65</f>
        <v>0</v>
      </c>
      <c r="G76" s="485" t="str">
        <f>'G-2 Habitat groups'!BF65</f>
        <v/>
      </c>
      <c r="H76" s="40"/>
      <c r="I76" s="40"/>
      <c r="J76" s="40"/>
      <c r="K76" s="40"/>
      <c r="L76" s="40"/>
      <c r="M76" s="40"/>
      <c r="N76" s="40"/>
      <c r="O76" s="40"/>
    </row>
    <row r="77" spans="1:15" x14ac:dyDescent="0.25">
      <c r="A77" s="40"/>
      <c r="B77" s="345" t="str">
        <f>'G-2 Habitat groups'!AU66</f>
        <v>Coastal saltmarsh - Saltmarshes and saline reedbeds</v>
      </c>
      <c r="C77" s="346" t="str">
        <f>'G-2 Habitat groups'!AV66</f>
        <v>Coastal Saltmarsh</v>
      </c>
      <c r="D77" s="484">
        <f>'G-2 Habitat groups'!BB66</f>
        <v>0</v>
      </c>
      <c r="E77" s="484">
        <f>'G-2 Habitat groups'!BD66</f>
        <v>0</v>
      </c>
      <c r="F77" s="484">
        <f>'G-2 Habitat groups'!BE66</f>
        <v>0</v>
      </c>
      <c r="G77" s="485" t="str">
        <f>'G-2 Habitat groups'!BF66</f>
        <v/>
      </c>
      <c r="H77" s="40"/>
      <c r="I77" s="40"/>
      <c r="J77" s="40"/>
      <c r="K77" s="40"/>
      <c r="L77" s="40"/>
      <c r="M77" s="40"/>
      <c r="N77" s="40"/>
      <c r="O77" s="40"/>
    </row>
    <row r="78" spans="1:15" x14ac:dyDescent="0.25">
      <c r="A78" s="40"/>
      <c r="B78" s="345" t="str">
        <f>'G-2 Habitat groups'!AU67</f>
        <v>Intertidal sediment - Littoral biogenic reefs - Mussels</v>
      </c>
      <c r="C78" s="346" t="str">
        <f>'G-2 Habitat groups'!AV67</f>
        <v>Intertidal sediment</v>
      </c>
      <c r="D78" s="484">
        <f>'G-2 Habitat groups'!BB67</f>
        <v>0</v>
      </c>
      <c r="E78" s="484">
        <f>'G-2 Habitat groups'!BD67</f>
        <v>0</v>
      </c>
      <c r="F78" s="484">
        <f>'G-2 Habitat groups'!BE67</f>
        <v>0</v>
      </c>
      <c r="G78" s="485" t="str">
        <f>'G-2 Habitat groups'!BF67</f>
        <v/>
      </c>
      <c r="H78" s="40"/>
      <c r="I78" s="40"/>
      <c r="J78" s="40"/>
      <c r="K78" s="40"/>
      <c r="L78" s="40"/>
      <c r="M78" s="40"/>
      <c r="N78" s="40"/>
      <c r="O78" s="40"/>
    </row>
    <row r="79" spans="1:15" x14ac:dyDescent="0.25">
      <c r="A79" s="40"/>
      <c r="B79" s="345" t="str">
        <f>'G-2 Habitat groups'!AU68</f>
        <v>Intertidal sediment - Littoral biogenic reefs - Sabellaria</v>
      </c>
      <c r="C79" s="346" t="str">
        <f>'G-2 Habitat groups'!AV68</f>
        <v>Intertidal sediment</v>
      </c>
      <c r="D79" s="484">
        <f>'G-2 Habitat groups'!BB68</f>
        <v>0</v>
      </c>
      <c r="E79" s="484">
        <f>'G-2 Habitat groups'!BD68</f>
        <v>0</v>
      </c>
      <c r="F79" s="484">
        <f>'G-2 Habitat groups'!BE68</f>
        <v>0</v>
      </c>
      <c r="G79" s="485" t="str">
        <f>'G-2 Habitat groups'!BF68</f>
        <v/>
      </c>
      <c r="H79" s="40"/>
      <c r="I79" s="40"/>
      <c r="J79" s="40"/>
      <c r="K79" s="40"/>
      <c r="L79" s="40"/>
      <c r="M79" s="40"/>
      <c r="N79" s="40"/>
      <c r="O79" s="40"/>
    </row>
    <row r="80" spans="1:15" x14ac:dyDescent="0.25">
      <c r="A80" s="40"/>
      <c r="B80" s="347" t="str">
        <f>'G-2 Habitat groups'!AU69</f>
        <v>Intertidal sediment - Features of littoral sediment</v>
      </c>
      <c r="C80" s="348" t="str">
        <f>'G-2 Habitat groups'!AV69</f>
        <v>Intertidal sediment</v>
      </c>
      <c r="D80" s="484">
        <f>'G-2 Habitat groups'!BB69</f>
        <v>0</v>
      </c>
      <c r="E80" s="484">
        <f>'G-2 Habitat groups'!BD69</f>
        <v>0</v>
      </c>
      <c r="F80" s="484">
        <f>'G-2 Habitat groups'!BE69</f>
        <v>0</v>
      </c>
      <c r="G80" s="485" t="str">
        <f>'G-2 Habitat groups'!BF69</f>
        <v/>
      </c>
      <c r="H80" s="40"/>
      <c r="I80" s="40"/>
      <c r="J80" s="40"/>
      <c r="K80" s="40"/>
      <c r="L80" s="40"/>
      <c r="M80" s="40"/>
      <c r="N80" s="40"/>
      <c r="O80" s="40"/>
    </row>
    <row r="81" spans="1:17" ht="14.4" thickBot="1" x14ac:dyDescent="0.3">
      <c r="A81" s="40"/>
      <c r="B81" s="349" t="str">
        <f>'G-2 Habitat groups'!AU70</f>
        <v>Intertidal sediment - Littoral muddy sand</v>
      </c>
      <c r="C81" s="350" t="str">
        <f>'G-2 Habitat groups'!AV70</f>
        <v>Intertidal sediment</v>
      </c>
      <c r="D81" s="484">
        <f>'G-2 Habitat groups'!BB70</f>
        <v>0</v>
      </c>
      <c r="E81" s="484">
        <f>'G-2 Habitat groups'!BD70</f>
        <v>0</v>
      </c>
      <c r="F81" s="484">
        <f>'G-2 Habitat groups'!BE70</f>
        <v>0</v>
      </c>
      <c r="G81" s="485" t="str">
        <f>'G-2 Habitat groups'!BF70</f>
        <v/>
      </c>
      <c r="H81" s="40"/>
      <c r="I81" s="40"/>
      <c r="J81" s="40"/>
      <c r="K81" s="40"/>
      <c r="L81" s="40"/>
      <c r="M81" s="40"/>
      <c r="N81" s="40"/>
      <c r="O81" s="40"/>
      <c r="P81" s="40"/>
      <c r="Q81" s="40"/>
    </row>
    <row r="82" spans="1:17" ht="14.4" thickBot="1" x14ac:dyDescent="0.3">
      <c r="A82" s="40"/>
      <c r="B82" s="46"/>
      <c r="C82" s="46"/>
      <c r="D82" s="473">
        <f>SUM(D41:D81)</f>
        <v>0</v>
      </c>
      <c r="E82" s="474">
        <f>SUM(E41:E81)</f>
        <v>0</v>
      </c>
      <c r="F82" s="475">
        <f>SUM(F41:F81)</f>
        <v>0</v>
      </c>
      <c r="G82" s="476">
        <f>SUM(G41:G81)</f>
        <v>0</v>
      </c>
      <c r="H82" s="40"/>
      <c r="I82" s="40"/>
      <c r="J82" s="40"/>
      <c r="K82" s="40"/>
      <c r="L82" s="40"/>
      <c r="M82" s="40"/>
      <c r="N82" s="40"/>
      <c r="O82" s="40"/>
      <c r="P82" s="40"/>
      <c r="Q82" s="40"/>
    </row>
    <row r="83" spans="1:17" x14ac:dyDescent="0.25">
      <c r="A83" s="40"/>
      <c r="B83" s="40"/>
      <c r="C83" s="40"/>
      <c r="D83" s="40"/>
      <c r="E83" s="40"/>
      <c r="F83" s="40"/>
      <c r="G83" s="40"/>
      <c r="H83" s="40"/>
      <c r="I83" s="40"/>
      <c r="J83" s="40"/>
      <c r="K83" s="40"/>
      <c r="L83" s="40"/>
      <c r="M83" s="40"/>
      <c r="N83" s="40"/>
      <c r="O83" s="40"/>
      <c r="P83" s="40"/>
      <c r="Q83" s="40"/>
    </row>
    <row r="84" spans="1:17" x14ac:dyDescent="0.25">
      <c r="A84" s="40"/>
      <c r="B84" s="40"/>
      <c r="C84" s="40"/>
      <c r="D84" s="40"/>
      <c r="E84" s="40"/>
      <c r="F84" s="40"/>
      <c r="G84" s="40"/>
      <c r="H84" s="40"/>
      <c r="I84" s="40"/>
      <c r="J84" s="40"/>
      <c r="K84" s="40"/>
      <c r="L84" s="40"/>
      <c r="M84" s="40"/>
      <c r="N84" s="40"/>
      <c r="O84" s="40"/>
      <c r="P84" s="40"/>
      <c r="Q84" s="40"/>
    </row>
    <row r="85" spans="1:17" x14ac:dyDescent="0.25">
      <c r="A85" s="40"/>
      <c r="B85" s="40"/>
      <c r="C85" s="40"/>
      <c r="D85" s="40"/>
      <c r="E85" s="40"/>
      <c r="F85" s="40"/>
      <c r="G85" s="40"/>
      <c r="H85" s="40"/>
      <c r="I85" s="40"/>
      <c r="J85" s="40"/>
      <c r="K85" s="40"/>
      <c r="L85" s="40"/>
      <c r="M85" s="40"/>
      <c r="N85" s="40"/>
      <c r="O85" s="40"/>
      <c r="P85" s="40"/>
      <c r="Q85" s="40"/>
    </row>
    <row r="86" spans="1:17" ht="14.4" thickBot="1" x14ac:dyDescent="0.3">
      <c r="A86" s="40"/>
      <c r="B86" s="40"/>
      <c r="C86" s="40"/>
      <c r="D86" s="40"/>
      <c r="E86" s="40"/>
      <c r="F86" s="40"/>
      <c r="G86" s="40"/>
      <c r="H86" s="40"/>
      <c r="I86" s="40"/>
      <c r="J86" s="40"/>
      <c r="K86" s="40"/>
      <c r="L86" s="40"/>
      <c r="M86" s="40"/>
      <c r="N86" s="40"/>
      <c r="O86" s="40"/>
      <c r="P86" s="40"/>
      <c r="Q86" s="40"/>
    </row>
    <row r="87" spans="1:17" ht="28.2" thickBot="1" x14ac:dyDescent="0.45">
      <c r="A87" s="40"/>
      <c r="B87" s="873" t="s">
        <v>171</v>
      </c>
      <c r="C87" s="874"/>
      <c r="D87" s="874"/>
      <c r="E87" s="874"/>
      <c r="F87" s="874"/>
      <c r="G87" s="875"/>
      <c r="H87" s="40"/>
      <c r="I87" s="866" t="s">
        <v>172</v>
      </c>
      <c r="J87" s="867"/>
      <c r="K87" s="40"/>
      <c r="L87" s="40"/>
      <c r="M87" s="40"/>
      <c r="N87" s="40"/>
      <c r="O87" s="40"/>
    </row>
    <row r="88" spans="1:17" ht="47.4" thickBot="1" x14ac:dyDescent="0.3">
      <c r="A88" s="40"/>
      <c r="B88" s="351" t="s">
        <v>173</v>
      </c>
      <c r="C88" s="352" t="s">
        <v>160</v>
      </c>
      <c r="D88" s="352" t="s">
        <v>174</v>
      </c>
      <c r="E88" s="352" t="s">
        <v>175</v>
      </c>
      <c r="F88" s="352" t="s">
        <v>176</v>
      </c>
      <c r="G88" s="353" t="s">
        <v>177</v>
      </c>
      <c r="H88" s="40"/>
      <c r="I88" s="96" t="s">
        <v>178</v>
      </c>
      <c r="J88" s="488">
        <f>SUMIF(G89:G113,"&gt;0")</f>
        <v>0.88708336425439205</v>
      </c>
      <c r="K88" s="40"/>
      <c r="L88" s="40"/>
    </row>
    <row r="89" spans="1:17" ht="27.6" x14ac:dyDescent="0.25">
      <c r="A89" s="40"/>
      <c r="B89" s="354" t="str">
        <f>'G-2 Habitat groups'!AU77</f>
        <v>Cropland - Arable field margins cultivated annually</v>
      </c>
      <c r="C89" s="355" t="str">
        <f>'G-2 Habitat groups'!AV77</f>
        <v>Cropland</v>
      </c>
      <c r="D89" s="490">
        <f>'G-2 Habitat groups'!BB77</f>
        <v>0</v>
      </c>
      <c r="E89" s="490">
        <f>'G-2 Habitat groups'!BD77</f>
        <v>0</v>
      </c>
      <c r="F89" s="490">
        <f>'G-2 Habitat groups'!BE77</f>
        <v>0</v>
      </c>
      <c r="G89" s="870">
        <f>SUM(F89:F92)</f>
        <v>0</v>
      </c>
      <c r="H89" s="40"/>
      <c r="I89" s="129" t="s">
        <v>179</v>
      </c>
      <c r="J89" s="489">
        <f>SUMIF(G89:G113,"&lt;0")</f>
        <v>-0.65697159808015193</v>
      </c>
      <c r="K89" s="40"/>
      <c r="L89" s="40"/>
    </row>
    <row r="90" spans="1:17" ht="27.6" x14ac:dyDescent="0.25">
      <c r="A90" s="40"/>
      <c r="B90" s="347" t="str">
        <f>'G-2 Habitat groups'!AU78</f>
        <v>Cropland - Arable field margins game bird mix</v>
      </c>
      <c r="C90" s="348" t="str">
        <f>'G-2 Habitat groups'!AV78</f>
        <v>Cropland</v>
      </c>
      <c r="D90" s="481">
        <f>'G-2 Habitat groups'!BB78</f>
        <v>0</v>
      </c>
      <c r="E90" s="481">
        <f>'G-2 Habitat groups'!BD78</f>
        <v>0</v>
      </c>
      <c r="F90" s="481">
        <f>'G-2 Habitat groups'!BE78</f>
        <v>0</v>
      </c>
      <c r="G90" s="871"/>
      <c r="H90" s="40"/>
      <c r="I90" s="129" t="s">
        <v>180</v>
      </c>
      <c r="J90" s="489">
        <f>IF(J40+J12+J89&gt;0,J40+J12+J89,0)</f>
        <v>0</v>
      </c>
    </row>
    <row r="91" spans="1:17" ht="14.4" thickBot="1" x14ac:dyDescent="0.3">
      <c r="A91" s="40"/>
      <c r="B91" s="347" t="str">
        <f>'G-2 Habitat groups'!AU79</f>
        <v>Cropland - Arable field margins pollen &amp; nectar</v>
      </c>
      <c r="C91" s="348" t="str">
        <f>'G-2 Habitat groups'!AV79</f>
        <v>Cropland</v>
      </c>
      <c r="D91" s="481">
        <f>'G-2 Habitat groups'!BB79</f>
        <v>0</v>
      </c>
      <c r="E91" s="481">
        <f>'G-2 Habitat groups'!BD79</f>
        <v>0</v>
      </c>
      <c r="F91" s="481">
        <f>'G-2 Habitat groups'!BE79</f>
        <v>0</v>
      </c>
      <c r="G91" s="871"/>
      <c r="H91" s="40"/>
      <c r="I91" s="97" t="s">
        <v>181</v>
      </c>
      <c r="J91" s="487">
        <f>J90+J88</f>
        <v>0.88708336425439205</v>
      </c>
      <c r="K91" s="40"/>
      <c r="L91" s="40"/>
    </row>
    <row r="92" spans="1:17" ht="14.4" thickBot="1" x14ac:dyDescent="0.3">
      <c r="A92" s="40"/>
      <c r="B92" s="347" t="str">
        <f>'G-2 Habitat groups'!AU80</f>
        <v>Cropland - Arable field margins tussocky</v>
      </c>
      <c r="C92" s="348" t="str">
        <f>'G-2 Habitat groups'!AV80</f>
        <v>Cropland</v>
      </c>
      <c r="D92" s="481">
        <f>'G-2 Habitat groups'!BB80</f>
        <v>0</v>
      </c>
      <c r="E92" s="481">
        <f>'G-2 Habitat groups'!BD80</f>
        <v>0</v>
      </c>
      <c r="F92" s="481">
        <f>'G-2 Habitat groups'!BE80</f>
        <v>0</v>
      </c>
      <c r="G92" s="871"/>
      <c r="H92" s="40"/>
      <c r="I92" s="40"/>
      <c r="J92" s="40"/>
      <c r="K92" s="40"/>
      <c r="L92" s="40"/>
    </row>
    <row r="93" spans="1:17" x14ac:dyDescent="0.25">
      <c r="A93" s="40"/>
      <c r="B93" s="354" t="str">
        <f>'G-2 Habitat groups'!AU81</f>
        <v>Grassland - Other lowland acid grassland</v>
      </c>
      <c r="C93" s="355" t="str">
        <f>'G-2 Habitat groups'!AV81</f>
        <v>Grassland</v>
      </c>
      <c r="D93" s="490">
        <f>'G-2 Habitat groups'!BB81</f>
        <v>0</v>
      </c>
      <c r="E93" s="490">
        <f>'G-2 Habitat groups'!BD81</f>
        <v>0</v>
      </c>
      <c r="F93" s="490">
        <f>'G-2 Habitat groups'!BE81</f>
        <v>0</v>
      </c>
      <c r="G93" s="870">
        <f>SUM(F93:F95)</f>
        <v>0.747555814819992</v>
      </c>
      <c r="H93" s="40"/>
      <c r="I93" s="40"/>
      <c r="J93" s="40"/>
      <c r="K93" s="40"/>
      <c r="L93" s="40"/>
    </row>
    <row r="94" spans="1:17" x14ac:dyDescent="0.25">
      <c r="A94" s="40"/>
      <c r="B94" s="347" t="str">
        <f>'G-2 Habitat groups'!AU82</f>
        <v>Grassland - Other neutral grassland</v>
      </c>
      <c r="C94" s="348" t="str">
        <f>'G-2 Habitat groups'!AV82</f>
        <v>Grassland</v>
      </c>
      <c r="D94" s="481">
        <f>'G-2 Habitat groups'!BB82</f>
        <v>0.747555814819992</v>
      </c>
      <c r="E94" s="481">
        <f>'G-2 Habitat groups'!BD82</f>
        <v>0</v>
      </c>
      <c r="F94" s="481">
        <f>'G-2 Habitat groups'!BE82</f>
        <v>0.747555814819992</v>
      </c>
      <c r="G94" s="871"/>
      <c r="H94" s="40"/>
      <c r="I94" s="40"/>
      <c r="J94" s="40"/>
      <c r="K94" s="40"/>
      <c r="L94" s="40"/>
    </row>
    <row r="95" spans="1:17" ht="14.4" thickBot="1" x14ac:dyDescent="0.3">
      <c r="A95" s="40"/>
      <c r="B95" s="349" t="str">
        <f>'G-2 Habitat groups'!AU83</f>
        <v>Grassland - Upland acid grassland</v>
      </c>
      <c r="C95" s="350" t="str">
        <f>'G-2 Habitat groups'!AV83</f>
        <v>Grassland</v>
      </c>
      <c r="D95" s="491">
        <f>'G-2 Habitat groups'!BB83</f>
        <v>0</v>
      </c>
      <c r="E95" s="491">
        <f>'G-2 Habitat groups'!BD83</f>
        <v>0</v>
      </c>
      <c r="F95" s="491">
        <f>'G-2 Habitat groups'!BE83</f>
        <v>0</v>
      </c>
      <c r="G95" s="872"/>
      <c r="H95" s="40"/>
      <c r="I95" s="40"/>
      <c r="J95" s="40"/>
      <c r="K95" s="40"/>
      <c r="L95" s="40"/>
      <c r="M95" s="40"/>
    </row>
    <row r="96" spans="1:17" x14ac:dyDescent="0.25">
      <c r="A96" s="40"/>
      <c r="B96" s="354" t="str">
        <f>'G-2 Habitat groups'!AU84</f>
        <v>Heathland and shrub - Blackthorn scrub</v>
      </c>
      <c r="C96" s="355" t="str">
        <f>'G-2 Habitat groups'!AV84</f>
        <v>Heathland and shrub</v>
      </c>
      <c r="D96" s="490">
        <f>'G-2 Habitat groups'!BB84</f>
        <v>0</v>
      </c>
      <c r="E96" s="490">
        <f>'G-2 Habitat groups'!BD84</f>
        <v>0</v>
      </c>
      <c r="F96" s="490">
        <f>'G-2 Habitat groups'!BE84</f>
        <v>0</v>
      </c>
      <c r="G96" s="870">
        <f>SUM(F96:F101)</f>
        <v>-0.65697159808015193</v>
      </c>
      <c r="H96" s="40"/>
      <c r="I96" s="40"/>
      <c r="J96" s="40"/>
      <c r="K96" s="40"/>
      <c r="L96" s="40"/>
      <c r="M96" s="40"/>
    </row>
    <row r="97" spans="1:15" x14ac:dyDescent="0.25">
      <c r="A97" s="40"/>
      <c r="B97" s="347" t="str">
        <f>'G-2 Habitat groups'!AU85</f>
        <v>Heathland and shrub - Bramble scrub</v>
      </c>
      <c r="C97" s="348" t="str">
        <f>'G-2 Habitat groups'!AV85</f>
        <v>Heathland and shrub</v>
      </c>
      <c r="D97" s="481">
        <f>'G-2 Habitat groups'!BB85</f>
        <v>0</v>
      </c>
      <c r="E97" s="481">
        <f>'G-2 Habitat groups'!BD85</f>
        <v>0</v>
      </c>
      <c r="F97" s="481">
        <f>'G-2 Habitat groups'!BE85</f>
        <v>0</v>
      </c>
      <c r="G97" s="871"/>
      <c r="H97" s="40"/>
      <c r="I97" s="40"/>
      <c r="J97" s="40"/>
      <c r="K97" s="40"/>
      <c r="L97" s="40"/>
      <c r="M97" s="40"/>
    </row>
    <row r="98" spans="1:15" x14ac:dyDescent="0.25">
      <c r="A98" s="40"/>
      <c r="B98" s="347" t="str">
        <f>'G-2 Habitat groups'!AU86</f>
        <v>Heathland and shrub - Gorse scrub</v>
      </c>
      <c r="C98" s="348" t="str">
        <f>'G-2 Habitat groups'!AV86</f>
        <v>Heathland and shrub</v>
      </c>
      <c r="D98" s="481">
        <f>'G-2 Habitat groups'!BB86</f>
        <v>0</v>
      </c>
      <c r="E98" s="481">
        <f>'G-2 Habitat groups'!BD86</f>
        <v>0</v>
      </c>
      <c r="F98" s="481">
        <f>'G-2 Habitat groups'!BE86</f>
        <v>0</v>
      </c>
      <c r="G98" s="871"/>
      <c r="H98" s="40"/>
      <c r="I98" s="40"/>
      <c r="J98" s="40"/>
      <c r="K98" s="40"/>
      <c r="L98" s="40"/>
      <c r="M98" s="40"/>
    </row>
    <row r="99" spans="1:15" x14ac:dyDescent="0.25">
      <c r="A99" s="40"/>
      <c r="B99" s="347" t="str">
        <f>'G-2 Habitat groups'!AU87</f>
        <v>Heathland and shrub - Hawthorn scrub</v>
      </c>
      <c r="C99" s="348" t="str">
        <f>'G-2 Habitat groups'!AV87</f>
        <v>Heathland and shrub</v>
      </c>
      <c r="D99" s="481">
        <f>'G-2 Habitat groups'!BB87</f>
        <v>0</v>
      </c>
      <c r="E99" s="481">
        <f>'G-2 Habitat groups'!BD87</f>
        <v>0</v>
      </c>
      <c r="F99" s="481">
        <f>'G-2 Habitat groups'!BE87</f>
        <v>0</v>
      </c>
      <c r="G99" s="871"/>
      <c r="H99" s="40"/>
      <c r="I99" s="40"/>
      <c r="J99" s="40"/>
      <c r="K99" s="40"/>
      <c r="L99" s="40"/>
      <c r="M99" s="40"/>
    </row>
    <row r="100" spans="1:15" x14ac:dyDescent="0.25">
      <c r="A100" s="40"/>
      <c r="B100" s="347" t="str">
        <f>'G-2 Habitat groups'!AU88</f>
        <v>Heathland and shrub - Hazel scrub</v>
      </c>
      <c r="C100" s="348" t="str">
        <f>'G-2 Habitat groups'!AV88</f>
        <v>Heathland and shrub</v>
      </c>
      <c r="D100" s="481">
        <f>'G-2 Habitat groups'!BB88</f>
        <v>0</v>
      </c>
      <c r="E100" s="481">
        <f>'G-2 Habitat groups'!BD88</f>
        <v>0</v>
      </c>
      <c r="F100" s="481">
        <f>'G-2 Habitat groups'!BE88</f>
        <v>0</v>
      </c>
      <c r="G100" s="871"/>
      <c r="H100" s="40"/>
      <c r="I100" s="40"/>
      <c r="J100" s="40"/>
      <c r="K100" s="40"/>
      <c r="L100" s="40"/>
      <c r="M100" s="40"/>
      <c r="N100" s="40"/>
      <c r="O100" s="40"/>
    </row>
    <row r="101" spans="1:15" ht="14.4" thickBot="1" x14ac:dyDescent="0.3">
      <c r="A101" s="40"/>
      <c r="B101" s="349" t="str">
        <f>'G-2 Habitat groups'!AU89</f>
        <v>Heathland and shrub - Mixed scrub</v>
      </c>
      <c r="C101" s="350" t="str">
        <f>'G-2 Habitat groups'!AV89</f>
        <v>Heathland and shrub</v>
      </c>
      <c r="D101" s="491">
        <f>'G-2 Habitat groups'!BB89</f>
        <v>-0.65697159808015193</v>
      </c>
      <c r="E101" s="491">
        <f>'G-2 Habitat groups'!BD89</f>
        <v>0</v>
      </c>
      <c r="F101" s="491">
        <f>'G-2 Habitat groups'!BE89</f>
        <v>-0.65697159808015193</v>
      </c>
      <c r="G101" s="872"/>
      <c r="H101" s="40"/>
      <c r="I101" s="40"/>
      <c r="J101" s="40"/>
      <c r="K101" s="40"/>
      <c r="L101" s="40"/>
      <c r="M101" s="40"/>
      <c r="N101" s="40"/>
      <c r="O101" s="40"/>
    </row>
    <row r="102" spans="1:15" x14ac:dyDescent="0.25">
      <c r="A102" s="40"/>
      <c r="B102" s="354" t="str">
        <f>'G-2 Habitat groups'!AU90</f>
        <v>Lakes - Ponds (Non- Priority Habitat)</v>
      </c>
      <c r="C102" s="355" t="str">
        <f>'G-2 Habitat groups'!AV90</f>
        <v>Lakes</v>
      </c>
      <c r="D102" s="490">
        <f>'G-2 Habitat groups'!BB90</f>
        <v>0</v>
      </c>
      <c r="E102" s="490">
        <f>'G-2 Habitat groups'!BD90</f>
        <v>0</v>
      </c>
      <c r="F102" s="490">
        <f>'G-2 Habitat groups'!BE90</f>
        <v>0</v>
      </c>
      <c r="G102" s="870">
        <f>SUM(F102:F103)</f>
        <v>0</v>
      </c>
      <c r="H102" s="40"/>
      <c r="K102" s="40"/>
      <c r="L102" s="40"/>
      <c r="M102" s="40"/>
      <c r="N102" s="40"/>
      <c r="O102" s="40"/>
    </row>
    <row r="103" spans="1:15" ht="14.4" thickBot="1" x14ac:dyDescent="0.3">
      <c r="A103" s="40"/>
      <c r="B103" s="349" t="str">
        <f>'G-2 Habitat groups'!AU91</f>
        <v>Lakes - Reservoirs</v>
      </c>
      <c r="C103" s="350" t="str">
        <f>'G-2 Habitat groups'!AV91</f>
        <v>Lakes</v>
      </c>
      <c r="D103" s="491">
        <f>'G-2 Habitat groups'!BB91</f>
        <v>0</v>
      </c>
      <c r="E103" s="491">
        <f>'G-2 Habitat groups'!BD91</f>
        <v>0</v>
      </c>
      <c r="F103" s="491">
        <f>'G-2 Habitat groups'!BE91</f>
        <v>0</v>
      </c>
      <c r="G103" s="872"/>
      <c r="H103" s="40"/>
      <c r="K103" s="40"/>
      <c r="L103" s="40"/>
      <c r="M103" s="40"/>
      <c r="N103" s="40"/>
      <c r="O103" s="40"/>
    </row>
    <row r="104" spans="1:15" ht="14.4" thickBot="1" x14ac:dyDescent="0.3">
      <c r="A104" s="40"/>
      <c r="B104" s="356" t="str">
        <f>'G-2 Habitat groups'!AU92</f>
        <v>Sparsely vegetated land - Other inland rock and scree</v>
      </c>
      <c r="C104" s="357" t="str">
        <f>'G-2 Habitat groups'!AV92</f>
        <v>Sparsely vegetated land</v>
      </c>
      <c r="D104" s="492">
        <f>'G-2 Habitat groups'!BB92</f>
        <v>0</v>
      </c>
      <c r="E104" s="492">
        <f>'G-2 Habitat groups'!BD92</f>
        <v>0</v>
      </c>
      <c r="F104" s="492">
        <f>'G-2 Habitat groups'!BE92</f>
        <v>0</v>
      </c>
      <c r="G104" s="493">
        <f>F104</f>
        <v>0</v>
      </c>
      <c r="H104" s="40"/>
      <c r="K104" s="40"/>
      <c r="L104" s="40"/>
      <c r="M104" s="40"/>
      <c r="N104" s="40"/>
      <c r="O104" s="40"/>
    </row>
    <row r="105" spans="1:15" x14ac:dyDescent="0.25">
      <c r="A105" s="40"/>
      <c r="B105" s="347" t="str">
        <f>'G-2 Habitat groups'!AU93</f>
        <v>Urban - Cemeteries and churchyards</v>
      </c>
      <c r="C105" s="348" t="str">
        <f>'G-2 Habitat groups'!AV93</f>
        <v>Urban</v>
      </c>
      <c r="D105" s="481">
        <f>'G-2 Habitat groups'!BB93</f>
        <v>0</v>
      </c>
      <c r="E105" s="481">
        <f>'G-2 Habitat groups'!BD93</f>
        <v>0</v>
      </c>
      <c r="F105" s="481">
        <f>'G-2 Habitat groups'!BE93</f>
        <v>0</v>
      </c>
      <c r="G105" s="870">
        <f>SUM(F105:F107)</f>
        <v>0.13952754943440004</v>
      </c>
      <c r="H105" s="40"/>
      <c r="I105" s="40"/>
      <c r="J105" s="40"/>
      <c r="K105" s="40"/>
      <c r="L105" s="40"/>
      <c r="M105" s="40"/>
      <c r="N105" s="40"/>
      <c r="O105" s="40"/>
    </row>
    <row r="106" spans="1:15" ht="15" customHeight="1" x14ac:dyDescent="0.25">
      <c r="A106" s="40"/>
      <c r="B106" s="661" t="str">
        <f>'G-2 Habitat groups'!AU94</f>
        <v>Urban - Biodiverse green roof</v>
      </c>
      <c r="C106" s="662" t="str">
        <f>'G-2 Habitat groups'!AV94</f>
        <v>Urban</v>
      </c>
      <c r="D106" s="496">
        <f>'G-2 Habitat groups'!BB94</f>
        <v>0</v>
      </c>
      <c r="E106" s="496">
        <f>'G-2 Habitat groups'!BD94</f>
        <v>0</v>
      </c>
      <c r="F106" s="496">
        <f>'G-2 Habitat groups'!BE94</f>
        <v>0</v>
      </c>
      <c r="G106" s="871"/>
      <c r="H106" s="40"/>
      <c r="I106" s="40"/>
      <c r="J106" s="40"/>
      <c r="K106" s="40"/>
      <c r="L106" s="40"/>
      <c r="M106" s="40"/>
      <c r="N106" s="40"/>
      <c r="O106" s="40"/>
    </row>
    <row r="107" spans="1:15" ht="15.75" customHeight="1" thickBot="1" x14ac:dyDescent="0.3">
      <c r="A107" s="40"/>
      <c r="B107" s="663" t="str">
        <f>'G-2 Habitat groups'!AU130</f>
        <v>Urban - Urban Tree</v>
      </c>
      <c r="C107" s="124" t="str">
        <f>'G-2 Habitat groups'!AV130</f>
        <v>Urban</v>
      </c>
      <c r="D107" s="664">
        <f>'G-2 Habitat groups'!BB130</f>
        <v>0.13952754943440004</v>
      </c>
      <c r="E107" s="664">
        <f>'G-2 Habitat groups'!BD130</f>
        <v>0</v>
      </c>
      <c r="F107" s="481">
        <f>'G-2 Habitat groups'!BE130</f>
        <v>0.13952754943440004</v>
      </c>
      <c r="G107" s="872"/>
      <c r="H107" s="40"/>
      <c r="I107" s="40"/>
      <c r="J107" s="40"/>
      <c r="K107" s="40"/>
      <c r="L107" s="40"/>
      <c r="M107" s="40"/>
      <c r="N107" s="40"/>
      <c r="O107" s="40"/>
    </row>
    <row r="108" spans="1:15" x14ac:dyDescent="0.25">
      <c r="A108" s="40"/>
      <c r="B108" s="354" t="str">
        <f>'G-2 Habitat groups'!AU95</f>
        <v>Woodland and forest - Other Scot's Pine woodland</v>
      </c>
      <c r="C108" s="355" t="str">
        <f>'G-2 Habitat groups'!AV95</f>
        <v>Woodland and forest</v>
      </c>
      <c r="D108" s="490">
        <f>'G-2 Habitat groups'!BB95</f>
        <v>0</v>
      </c>
      <c r="E108" s="490">
        <f>'G-2 Habitat groups'!BD95</f>
        <v>0</v>
      </c>
      <c r="F108" s="490">
        <f>'G-2 Habitat groups'!BE95</f>
        <v>0</v>
      </c>
      <c r="G108" s="870">
        <f>SUM(F108:F110)</f>
        <v>0</v>
      </c>
      <c r="H108" s="40"/>
      <c r="I108" s="40"/>
      <c r="J108" s="40"/>
      <c r="K108" s="40"/>
      <c r="L108" s="40"/>
      <c r="M108" s="40"/>
      <c r="N108" s="40"/>
      <c r="O108" s="40"/>
    </row>
    <row r="109" spans="1:15" x14ac:dyDescent="0.25">
      <c r="A109" s="40"/>
      <c r="B109" s="347" t="str">
        <f>'G-2 Habitat groups'!AU96</f>
        <v>Woodland and forest - Other woodland; broadleaved</v>
      </c>
      <c r="C109" s="348" t="str">
        <f>'G-2 Habitat groups'!AV96</f>
        <v>Woodland and forest</v>
      </c>
      <c r="D109" s="481">
        <f>'G-2 Habitat groups'!BB96</f>
        <v>0</v>
      </c>
      <c r="E109" s="481">
        <f>'G-2 Habitat groups'!BD96</f>
        <v>0</v>
      </c>
      <c r="F109" s="481">
        <f>'G-2 Habitat groups'!BE96</f>
        <v>0</v>
      </c>
      <c r="G109" s="871"/>
      <c r="H109" s="40"/>
      <c r="I109" s="40"/>
      <c r="J109" s="40"/>
      <c r="K109" s="40"/>
      <c r="L109" s="40"/>
      <c r="M109" s="40"/>
      <c r="N109" s="40"/>
      <c r="O109" s="40"/>
    </row>
    <row r="110" spans="1:15" ht="14.4" thickBot="1" x14ac:dyDescent="0.3">
      <c r="A110" s="40"/>
      <c r="B110" s="349" t="str">
        <f>'G-2 Habitat groups'!AU97</f>
        <v>Woodland and forest - Other woodland; mixed</v>
      </c>
      <c r="C110" s="350" t="str">
        <f>'G-2 Habitat groups'!AV97</f>
        <v>Woodland and forest</v>
      </c>
      <c r="D110" s="491">
        <f>'G-2 Habitat groups'!BB97</f>
        <v>0</v>
      </c>
      <c r="E110" s="491">
        <f>'G-2 Habitat groups'!BD97</f>
        <v>0</v>
      </c>
      <c r="F110" s="491">
        <f>'G-2 Habitat groups'!BE97</f>
        <v>0</v>
      </c>
      <c r="G110" s="872"/>
      <c r="H110" s="40"/>
      <c r="I110" s="40"/>
      <c r="J110" s="40"/>
      <c r="K110" s="40"/>
      <c r="L110" s="40"/>
      <c r="M110" s="40"/>
      <c r="N110" s="40"/>
      <c r="O110" s="40"/>
    </row>
    <row r="111" spans="1:15" x14ac:dyDescent="0.25">
      <c r="A111" s="40"/>
      <c r="B111" s="354" t="str">
        <f>'G-2 Habitat groups'!AU98</f>
        <v>Intertidal sediment - Littoral coarse sediment</v>
      </c>
      <c r="C111" s="355" t="str">
        <f>'G-2 Habitat groups'!AV98</f>
        <v>Intertidal sediment</v>
      </c>
      <c r="D111" s="490">
        <f>'G-2 Habitat groups'!BB98</f>
        <v>0</v>
      </c>
      <c r="E111" s="490">
        <f>'G-2 Habitat groups'!BD98</f>
        <v>0</v>
      </c>
      <c r="F111" s="490">
        <f>'G-2 Habitat groups'!BE98</f>
        <v>0</v>
      </c>
      <c r="G111" s="870">
        <f>SUM(F111:F113)</f>
        <v>0</v>
      </c>
      <c r="H111" s="40"/>
      <c r="I111" s="40"/>
      <c r="J111" s="40"/>
      <c r="K111" s="40"/>
      <c r="L111" s="40"/>
      <c r="M111" s="40"/>
      <c r="N111" s="40"/>
      <c r="O111" s="40"/>
    </row>
    <row r="112" spans="1:15" x14ac:dyDescent="0.25">
      <c r="A112" s="40"/>
      <c r="B112" s="347" t="str">
        <f>'G-2 Habitat groups'!AU99</f>
        <v>Intertidal sediment - Littoral sand</v>
      </c>
      <c r="C112" s="348" t="str">
        <f>'G-2 Habitat groups'!AV99</f>
        <v>Intertidal sediment</v>
      </c>
      <c r="D112" s="481">
        <f>'G-2 Habitat groups'!BB99</f>
        <v>0</v>
      </c>
      <c r="E112" s="481">
        <f>'G-2 Habitat groups'!BD99</f>
        <v>0</v>
      </c>
      <c r="F112" s="481">
        <f>'G-2 Habitat groups'!BE99</f>
        <v>0</v>
      </c>
      <c r="G112" s="871"/>
      <c r="H112" s="40"/>
      <c r="I112" s="40"/>
      <c r="J112" s="40"/>
      <c r="K112" s="40"/>
      <c r="L112" s="40"/>
      <c r="M112" s="40"/>
      <c r="N112" s="40"/>
      <c r="O112" s="40"/>
    </row>
    <row r="113" spans="1:17" ht="21" customHeight="1" thickBot="1" x14ac:dyDescent="0.3">
      <c r="A113" s="40"/>
      <c r="B113" s="349" t="str">
        <f>'G-2 Habitat groups'!AU100</f>
        <v>Intertidal Hard Structures - Artificial hard structures with Integrated Greening of Grey Infrastructure (IGGI)</v>
      </c>
      <c r="C113" s="350" t="str">
        <f>'G-2 Habitat groups'!AV100</f>
        <v xml:space="preserve">Intertidal </v>
      </c>
      <c r="D113" s="491">
        <f>'G-2 Habitat groups'!BB100</f>
        <v>0</v>
      </c>
      <c r="E113" s="491">
        <f>'G-2 Habitat groups'!BD100</f>
        <v>0</v>
      </c>
      <c r="F113" s="491">
        <f>'G-2 Habitat groups'!BE100</f>
        <v>0</v>
      </c>
      <c r="G113" s="872"/>
      <c r="H113" s="40"/>
      <c r="I113" s="40"/>
      <c r="J113" s="40"/>
      <c r="K113" s="40"/>
      <c r="L113" s="40"/>
      <c r="M113" s="40"/>
      <c r="N113" s="40"/>
      <c r="O113" s="40"/>
    </row>
    <row r="114" spans="1:17" ht="14.4" customHeight="1" thickBot="1" x14ac:dyDescent="0.3">
      <c r="A114" s="40"/>
      <c r="B114" s="40"/>
      <c r="C114" s="40"/>
      <c r="D114" s="477">
        <f>SUM(D89:D113)</f>
        <v>0.23011176617424012</v>
      </c>
      <c r="E114" s="478">
        <f>SUM(E89:E113)</f>
        <v>0</v>
      </c>
      <c r="F114" s="479">
        <f>SUM(F89:F113)</f>
        <v>0.23011176617424012</v>
      </c>
      <c r="H114" s="40"/>
      <c r="I114" s="40"/>
      <c r="J114" s="40"/>
      <c r="K114" s="40"/>
      <c r="L114" s="40"/>
      <c r="M114" s="40"/>
      <c r="N114" s="40"/>
      <c r="O114" s="40"/>
    </row>
    <row r="115" spans="1:17" x14ac:dyDescent="0.25">
      <c r="A115" s="40"/>
      <c r="B115" s="40"/>
      <c r="C115" s="40"/>
      <c r="D115" s="40"/>
      <c r="E115" s="40"/>
      <c r="F115" s="40"/>
      <c r="G115" s="40"/>
      <c r="H115" s="40"/>
      <c r="I115" s="40"/>
      <c r="J115" s="40"/>
      <c r="K115" s="40"/>
      <c r="L115" s="40"/>
      <c r="M115" s="40"/>
      <c r="N115" s="40"/>
      <c r="O115" s="40"/>
      <c r="P115" s="40"/>
      <c r="Q115" s="40"/>
    </row>
    <row r="116" spans="1:17" x14ac:dyDescent="0.25">
      <c r="A116" s="40"/>
      <c r="B116" s="40"/>
      <c r="C116" s="40"/>
      <c r="D116" s="40"/>
      <c r="E116" s="40"/>
      <c r="F116" s="40"/>
      <c r="G116" s="40"/>
      <c r="H116" s="40"/>
      <c r="I116" s="40"/>
      <c r="J116" s="40"/>
      <c r="K116" s="40"/>
      <c r="L116" s="40"/>
      <c r="M116" s="40"/>
      <c r="N116" s="40"/>
      <c r="O116" s="40"/>
      <c r="P116" s="40"/>
      <c r="Q116" s="40"/>
    </row>
    <row r="117" spans="1:17" x14ac:dyDescent="0.25">
      <c r="A117" s="40"/>
      <c r="B117" s="40"/>
      <c r="C117" s="40"/>
      <c r="D117" s="40"/>
      <c r="E117" s="40"/>
      <c r="F117" s="40"/>
      <c r="G117" s="40"/>
      <c r="H117" s="40"/>
      <c r="I117" s="40"/>
      <c r="J117" s="40"/>
      <c r="K117" s="40"/>
      <c r="L117" s="40"/>
      <c r="M117" s="40"/>
      <c r="N117" s="40"/>
      <c r="O117" s="40"/>
      <c r="P117" s="40"/>
      <c r="Q117" s="40"/>
    </row>
    <row r="118" spans="1:17" x14ac:dyDescent="0.25">
      <c r="A118" s="40"/>
      <c r="B118" s="40"/>
      <c r="C118" s="40"/>
      <c r="D118" s="40"/>
      <c r="E118" s="40"/>
      <c r="F118" s="40"/>
      <c r="G118" s="40"/>
      <c r="H118" s="40"/>
      <c r="I118" s="40"/>
      <c r="J118" s="40"/>
      <c r="K118" s="40"/>
      <c r="L118" s="40"/>
      <c r="M118" s="40"/>
      <c r="N118" s="40"/>
      <c r="O118" s="40"/>
      <c r="P118" s="40"/>
      <c r="Q118" s="40"/>
    </row>
    <row r="119" spans="1:17" x14ac:dyDescent="0.25">
      <c r="A119" s="40"/>
      <c r="B119" s="40"/>
      <c r="C119" s="40"/>
      <c r="D119" s="40"/>
      <c r="E119" s="40"/>
      <c r="F119" s="40"/>
      <c r="G119" s="40"/>
      <c r="H119" s="40"/>
      <c r="I119" s="40"/>
      <c r="J119" s="40"/>
      <c r="K119" s="40"/>
      <c r="L119" s="40"/>
      <c r="M119" s="40"/>
      <c r="N119" s="40"/>
      <c r="O119" s="40"/>
      <c r="P119" s="40"/>
      <c r="Q119" s="40"/>
    </row>
    <row r="120" spans="1:17" ht="14.4" thickBot="1" x14ac:dyDescent="0.3">
      <c r="A120" s="40"/>
      <c r="B120" s="40"/>
      <c r="C120" s="40"/>
      <c r="D120" s="40"/>
      <c r="E120" s="40"/>
      <c r="F120" s="40"/>
      <c r="G120" s="40"/>
      <c r="H120" s="40"/>
      <c r="I120" s="40"/>
      <c r="J120" s="40"/>
      <c r="K120" s="40"/>
      <c r="L120" s="40"/>
      <c r="M120" s="40"/>
      <c r="N120" s="40"/>
      <c r="O120" s="40"/>
      <c r="P120" s="40"/>
      <c r="Q120" s="40"/>
    </row>
    <row r="121" spans="1:17" ht="25.2" thickBot="1" x14ac:dyDescent="0.3">
      <c r="A121" s="40"/>
      <c r="B121" s="864" t="s">
        <v>182</v>
      </c>
      <c r="C121" s="865"/>
      <c r="D121" s="865"/>
      <c r="E121" s="865"/>
      <c r="F121" s="865"/>
      <c r="G121" s="40"/>
      <c r="H121" s="40"/>
      <c r="I121" s="40"/>
      <c r="J121" s="40"/>
      <c r="K121" s="40"/>
      <c r="L121" s="40"/>
      <c r="M121" s="40"/>
      <c r="N121" s="40"/>
      <c r="O121" s="40"/>
    </row>
    <row r="122" spans="1:17" ht="47.4" thickBot="1" x14ac:dyDescent="0.45">
      <c r="A122" s="40"/>
      <c r="B122" s="93" t="s">
        <v>59</v>
      </c>
      <c r="C122" s="94" t="s">
        <v>160</v>
      </c>
      <c r="D122" s="94" t="s">
        <v>183</v>
      </c>
      <c r="E122" s="94" t="s">
        <v>162</v>
      </c>
      <c r="F122" s="94" t="s">
        <v>176</v>
      </c>
      <c r="G122" s="40"/>
      <c r="H122" s="40"/>
      <c r="I122" s="866" t="s">
        <v>184</v>
      </c>
      <c r="J122" s="867"/>
      <c r="K122" s="40"/>
      <c r="L122" s="40"/>
      <c r="M122" s="40"/>
      <c r="N122" s="40"/>
    </row>
    <row r="123" spans="1:17" x14ac:dyDescent="0.25">
      <c r="A123" s="40"/>
      <c r="B123" s="87" t="str">
        <f>'G-2 Habitat groups'!AU110</f>
        <v>Cropland - Cereal crops</v>
      </c>
      <c r="C123" s="88" t="str">
        <f>'G-2 Habitat groups'!AV110</f>
        <v>Cropland</v>
      </c>
      <c r="D123" s="494">
        <f>'G-2 Habitat groups'!BB110</f>
        <v>0</v>
      </c>
      <c r="E123" s="494">
        <f>'G-2 Habitat groups'!BD110</f>
        <v>0</v>
      </c>
      <c r="F123" s="481">
        <f>'G-2 Habitat groups'!BE110</f>
        <v>0</v>
      </c>
      <c r="G123" s="40"/>
      <c r="H123" s="40"/>
      <c r="I123" s="96" t="s">
        <v>185</v>
      </c>
      <c r="J123" s="488">
        <f>F159</f>
        <v>-0.10224304999999999</v>
      </c>
      <c r="K123" s="40"/>
      <c r="L123" s="40"/>
      <c r="M123" s="40"/>
      <c r="N123" s="40"/>
    </row>
    <row r="124" spans="1:17" ht="14.4" thickBot="1" x14ac:dyDescent="0.3">
      <c r="A124" s="40"/>
      <c r="B124" s="87" t="str">
        <f>'G-2 Habitat groups'!AU111</f>
        <v>Cropland - Horticulture</v>
      </c>
      <c r="C124" s="88" t="str">
        <f>'G-2 Habitat groups'!AV111</f>
        <v>Cropland</v>
      </c>
      <c r="D124" s="494">
        <f>'G-2 Habitat groups'!BB111</f>
        <v>0</v>
      </c>
      <c r="E124" s="494">
        <f>'G-2 Habitat groups'!BD111</f>
        <v>0</v>
      </c>
      <c r="F124" s="481">
        <f>'G-2 Habitat groups'!BE111</f>
        <v>0</v>
      </c>
      <c r="G124" s="40"/>
      <c r="H124" s="40"/>
      <c r="I124" s="97" t="s">
        <v>181</v>
      </c>
      <c r="J124" s="487">
        <f>J123+J91</f>
        <v>0.78484031425439205</v>
      </c>
      <c r="K124" s="40"/>
      <c r="L124" s="40"/>
      <c r="M124" s="40"/>
      <c r="N124" s="40"/>
    </row>
    <row r="125" spans="1:17" x14ac:dyDescent="0.25">
      <c r="A125" s="40"/>
      <c r="B125" s="87" t="str">
        <f>'G-2 Habitat groups'!AU112</f>
        <v>Cropland - Intensive orchards</v>
      </c>
      <c r="C125" s="88" t="str">
        <f>'G-2 Habitat groups'!AV112</f>
        <v>Cropland</v>
      </c>
      <c r="D125" s="494">
        <f>'G-2 Habitat groups'!BB112</f>
        <v>0</v>
      </c>
      <c r="E125" s="494">
        <f>'G-2 Habitat groups'!BD112</f>
        <v>0</v>
      </c>
      <c r="F125" s="481">
        <f>'G-2 Habitat groups'!BE112</f>
        <v>0</v>
      </c>
      <c r="G125" s="40"/>
      <c r="H125" s="40"/>
      <c r="I125" s="40"/>
      <c r="J125" s="40"/>
      <c r="K125" s="40"/>
      <c r="L125" s="40"/>
      <c r="M125" s="40"/>
      <c r="N125" s="40"/>
    </row>
    <row r="126" spans="1:17" x14ac:dyDescent="0.25">
      <c r="A126" s="40"/>
      <c r="B126" s="87" t="str">
        <f>'G-2 Habitat groups'!AU113</f>
        <v>Cropland - Non-cereal crops</v>
      </c>
      <c r="C126" s="88" t="str">
        <f>'G-2 Habitat groups'!AV113</f>
        <v>Cropland</v>
      </c>
      <c r="D126" s="494">
        <f>'G-2 Habitat groups'!BB113</f>
        <v>0</v>
      </c>
      <c r="E126" s="494">
        <f>'G-2 Habitat groups'!BD113</f>
        <v>0</v>
      </c>
      <c r="F126" s="481">
        <f>'G-2 Habitat groups'!BE113</f>
        <v>0</v>
      </c>
      <c r="G126" s="40"/>
      <c r="H126" s="40"/>
      <c r="I126" s="40"/>
      <c r="J126" s="40"/>
      <c r="K126" s="40"/>
      <c r="L126" s="40"/>
      <c r="M126" s="40"/>
      <c r="N126" s="40"/>
    </row>
    <row r="127" spans="1:17" x14ac:dyDescent="0.25">
      <c r="A127" s="40"/>
      <c r="B127" s="87" t="str">
        <f>'G-2 Habitat groups'!AU114</f>
        <v>Cropland - Temporary grass and clover leys</v>
      </c>
      <c r="C127" s="88" t="str">
        <f>'G-2 Habitat groups'!AV114</f>
        <v>Cropland</v>
      </c>
      <c r="D127" s="494">
        <f>'G-2 Habitat groups'!BB114</f>
        <v>0</v>
      </c>
      <c r="E127" s="494">
        <f>'G-2 Habitat groups'!BD114</f>
        <v>0</v>
      </c>
      <c r="F127" s="481">
        <f>'G-2 Habitat groups'!BE114</f>
        <v>0</v>
      </c>
      <c r="G127" s="40"/>
      <c r="H127" s="40"/>
      <c r="I127" s="40"/>
      <c r="J127" s="40"/>
      <c r="K127" s="40"/>
      <c r="L127" s="40"/>
      <c r="M127" s="40"/>
      <c r="N127" s="40"/>
    </row>
    <row r="128" spans="1:17" x14ac:dyDescent="0.25">
      <c r="A128" s="40"/>
      <c r="B128" s="87" t="str">
        <f>'G-2 Habitat groups'!AU115</f>
        <v>Cropland - Cereal crops winter stubble</v>
      </c>
      <c r="C128" s="88" t="str">
        <f>'G-2 Habitat groups'!AV115</f>
        <v>Cropland</v>
      </c>
      <c r="D128" s="494">
        <f>'G-2 Habitat groups'!BB115</f>
        <v>0</v>
      </c>
      <c r="E128" s="494">
        <f>'G-2 Habitat groups'!BD115</f>
        <v>0</v>
      </c>
      <c r="F128" s="481">
        <f>'G-2 Habitat groups'!BE115</f>
        <v>0</v>
      </c>
      <c r="G128" s="40"/>
      <c r="H128" s="40"/>
      <c r="I128" s="40"/>
      <c r="J128" s="40"/>
      <c r="K128" s="40"/>
      <c r="L128" s="40"/>
      <c r="M128" s="40"/>
      <c r="N128" s="40"/>
    </row>
    <row r="129" spans="1:15" x14ac:dyDescent="0.25">
      <c r="A129" s="40"/>
      <c r="B129" s="87" t="str">
        <f>'G-2 Habitat groups'!AU116</f>
        <v>Grassland - Modified grassland</v>
      </c>
      <c r="C129" s="88" t="str">
        <f>'G-2 Habitat groups'!AV116</f>
        <v>Grassland</v>
      </c>
      <c r="D129" s="494">
        <f>'G-2 Habitat groups'!BB116</f>
        <v>-0.16904999999999998</v>
      </c>
      <c r="E129" s="494">
        <f>'G-2 Habitat groups'!BD116</f>
        <v>0</v>
      </c>
      <c r="F129" s="481">
        <f>'G-2 Habitat groups'!BE116</f>
        <v>-0.16904999999999998</v>
      </c>
      <c r="G129" s="40"/>
      <c r="H129" s="40"/>
      <c r="I129" s="40"/>
      <c r="J129" s="40"/>
      <c r="K129" s="40"/>
      <c r="L129" s="40"/>
      <c r="M129" s="40"/>
      <c r="N129" s="40"/>
    </row>
    <row r="130" spans="1:15" x14ac:dyDescent="0.25">
      <c r="A130" s="40"/>
      <c r="B130" s="87" t="str">
        <f>'G-2 Habitat groups'!AU117</f>
        <v>Grassland - Bracken</v>
      </c>
      <c r="C130" s="88" t="str">
        <f>'G-2 Habitat groups'!AV117</f>
        <v>Grassland</v>
      </c>
      <c r="D130" s="494">
        <f>'G-2 Habitat groups'!BB117</f>
        <v>0</v>
      </c>
      <c r="E130" s="494">
        <f>'G-2 Habitat groups'!BD117</f>
        <v>0</v>
      </c>
      <c r="F130" s="481">
        <f>'G-2 Habitat groups'!BE117</f>
        <v>0</v>
      </c>
      <c r="G130" s="40"/>
      <c r="H130" s="40"/>
      <c r="I130" s="40"/>
      <c r="J130" s="40"/>
      <c r="K130" s="40"/>
      <c r="L130" s="40"/>
      <c r="M130" s="40"/>
      <c r="N130" s="40"/>
    </row>
    <row r="131" spans="1:15" x14ac:dyDescent="0.25">
      <c r="A131" s="40"/>
      <c r="B131" s="87" t="str">
        <f>'G-2 Habitat groups'!AU118</f>
        <v>Heathland and shrub - Rhododendron scrub</v>
      </c>
      <c r="C131" s="88" t="str">
        <f>'G-2 Habitat groups'!AV118</f>
        <v>Heathland and shrub</v>
      </c>
      <c r="D131" s="494">
        <f>'G-2 Habitat groups'!BB118</f>
        <v>0</v>
      </c>
      <c r="E131" s="494">
        <f>'G-2 Habitat groups'!BD118</f>
        <v>0</v>
      </c>
      <c r="F131" s="481">
        <f>'G-2 Habitat groups'!BE118</f>
        <v>0</v>
      </c>
      <c r="G131" s="40"/>
      <c r="H131" s="40"/>
      <c r="I131" s="40"/>
      <c r="J131" s="40"/>
      <c r="K131" s="40"/>
      <c r="L131" s="40"/>
      <c r="M131" s="40"/>
      <c r="N131" s="40"/>
    </row>
    <row r="132" spans="1:15" x14ac:dyDescent="0.25">
      <c r="A132" s="40"/>
      <c r="B132" s="87" t="str">
        <f>'G-2 Habitat groups'!AU119</f>
        <v>Lakes - Ornamental lake or pond</v>
      </c>
      <c r="C132" s="88" t="str">
        <f>'G-2 Habitat groups'!AV119</f>
        <v>Lakes</v>
      </c>
      <c r="D132" s="494">
        <f>'G-2 Habitat groups'!BB119</f>
        <v>0</v>
      </c>
      <c r="E132" s="494">
        <f>'G-2 Habitat groups'!BD119</f>
        <v>0</v>
      </c>
      <c r="F132" s="481">
        <f>'G-2 Habitat groups'!BE119</f>
        <v>0</v>
      </c>
      <c r="G132" s="40"/>
      <c r="H132" s="40"/>
      <c r="I132" s="40"/>
      <c r="J132" s="40"/>
      <c r="K132" s="40"/>
      <c r="L132" s="40"/>
      <c r="M132" s="40"/>
      <c r="N132" s="40"/>
    </row>
    <row r="133" spans="1:15" x14ac:dyDescent="0.25">
      <c r="A133" s="40"/>
      <c r="B133" s="87" t="str">
        <f>'G-2 Habitat groups'!AU120</f>
        <v>Sparsely vegetated land - Ruderal/Ephemeral</v>
      </c>
      <c r="C133" s="88" t="str">
        <f>'G-2 Habitat groups'!AV120</f>
        <v>Sparsely vegetated land</v>
      </c>
      <c r="D133" s="494">
        <f>'G-2 Habitat groups'!BB120</f>
        <v>0</v>
      </c>
      <c r="E133" s="494">
        <f>'G-2 Habitat groups'!BD120</f>
        <v>0</v>
      </c>
      <c r="F133" s="481">
        <f>'G-2 Habitat groups'!BE120</f>
        <v>0</v>
      </c>
      <c r="G133" s="40"/>
      <c r="H133" s="40"/>
      <c r="I133" s="40"/>
      <c r="J133" s="40"/>
      <c r="K133" s="40"/>
      <c r="L133" s="40"/>
      <c r="M133" s="40"/>
      <c r="N133" s="40"/>
    </row>
    <row r="134" spans="1:15" x14ac:dyDescent="0.25">
      <c r="A134" s="40"/>
      <c r="B134" s="87" t="str">
        <f>'G-2 Habitat groups'!AU121</f>
        <v>Urban - Bioswale</v>
      </c>
      <c r="C134" s="88" t="str">
        <f>'G-2 Habitat groups'!AV120</f>
        <v>Sparsely vegetated land</v>
      </c>
      <c r="D134" s="494">
        <f>'G-2 Habitat groups'!BB121</f>
        <v>0</v>
      </c>
      <c r="E134" s="494">
        <f>'G-2 Habitat groups'!BD121</f>
        <v>0</v>
      </c>
      <c r="F134" s="481">
        <f>'G-2 Habitat groups'!BE121</f>
        <v>0</v>
      </c>
      <c r="G134" s="40"/>
      <c r="H134" s="40"/>
      <c r="I134" s="40"/>
      <c r="J134" s="40"/>
      <c r="K134" s="40"/>
      <c r="L134" s="40"/>
      <c r="M134" s="40"/>
      <c r="N134" s="40"/>
    </row>
    <row r="135" spans="1:15" x14ac:dyDescent="0.25">
      <c r="A135" s="40"/>
      <c r="B135" s="87" t="str">
        <f>'G-2 Habitat groups'!AU122</f>
        <v>Urban - Allotments</v>
      </c>
      <c r="C135" s="88" t="str">
        <f>'G-2 Habitat groups'!AV121</f>
        <v>Urban</v>
      </c>
      <c r="D135" s="494">
        <f>'G-2 Habitat groups'!BB122</f>
        <v>0</v>
      </c>
      <c r="E135" s="494">
        <f>'G-2 Habitat groups'!BD122</f>
        <v>0</v>
      </c>
      <c r="F135" s="481">
        <f>'G-2 Habitat groups'!BE122</f>
        <v>0</v>
      </c>
      <c r="G135" s="40"/>
      <c r="H135" s="40"/>
      <c r="I135" s="40"/>
      <c r="J135" s="40"/>
      <c r="K135" s="40"/>
      <c r="L135" s="40"/>
      <c r="M135" s="40"/>
      <c r="N135" s="40"/>
    </row>
    <row r="136" spans="1:15" x14ac:dyDescent="0.25">
      <c r="A136" s="40"/>
      <c r="B136" s="87" t="str">
        <f>'G-2 Habitat groups'!AU123</f>
        <v>Urban - Facade-bound green wall</v>
      </c>
      <c r="C136" s="88" t="str">
        <f>'G-2 Habitat groups'!AV123</f>
        <v>Urban</v>
      </c>
      <c r="D136" s="494">
        <f>'G-2 Habitat groups'!BB123</f>
        <v>0</v>
      </c>
      <c r="E136" s="494">
        <f>'G-2 Habitat groups'!BD123</f>
        <v>0</v>
      </c>
      <c r="F136" s="481">
        <f>'G-2 Habitat groups'!BE123</f>
        <v>0</v>
      </c>
      <c r="G136" s="40"/>
      <c r="H136" s="40"/>
      <c r="I136" s="40"/>
      <c r="J136" s="40"/>
      <c r="K136" s="40"/>
      <c r="L136" s="40"/>
      <c r="M136" s="40"/>
      <c r="N136" s="40"/>
    </row>
    <row r="137" spans="1:15" x14ac:dyDescent="0.25">
      <c r="A137" s="40"/>
      <c r="B137" s="87" t="str">
        <f>'G-2 Habitat groups'!AU124</f>
        <v>Urban - Ground based green wall</v>
      </c>
      <c r="C137" s="88" t="str">
        <f>'G-2 Habitat groups'!AV124</f>
        <v>Urban</v>
      </c>
      <c r="D137" s="494">
        <f>'G-2 Habitat groups'!BB124</f>
        <v>0</v>
      </c>
      <c r="E137" s="494">
        <f>'G-2 Habitat groups'!BD124</f>
        <v>0</v>
      </c>
      <c r="F137" s="481">
        <f>'G-2 Habitat groups'!BE124</f>
        <v>0</v>
      </c>
      <c r="G137" s="40"/>
      <c r="H137" s="40"/>
      <c r="I137" s="40"/>
      <c r="J137" s="40"/>
      <c r="K137" s="40"/>
      <c r="L137" s="40"/>
      <c r="M137" s="40"/>
      <c r="N137" s="40"/>
    </row>
    <row r="138" spans="1:15" x14ac:dyDescent="0.25">
      <c r="A138" s="40"/>
      <c r="B138" s="87" t="str">
        <f>'G-2 Habitat groups'!AU125</f>
        <v>Urban - Ground level planters</v>
      </c>
      <c r="C138" s="88" t="str">
        <f>'G-2 Habitat groups'!AV125</f>
        <v>Urban</v>
      </c>
      <c r="D138" s="494">
        <f>'G-2 Habitat groups'!BB125</f>
        <v>0</v>
      </c>
      <c r="E138" s="494">
        <f>'G-2 Habitat groups'!BD125</f>
        <v>0</v>
      </c>
      <c r="F138" s="481">
        <f>'G-2 Habitat groups'!BE125</f>
        <v>0</v>
      </c>
      <c r="G138" s="40"/>
      <c r="H138" s="40"/>
      <c r="I138" s="40"/>
      <c r="J138" s="40"/>
      <c r="K138" s="40"/>
      <c r="L138" s="40"/>
      <c r="M138" s="40"/>
      <c r="N138" s="40"/>
    </row>
    <row r="139" spans="1:15" x14ac:dyDescent="0.25">
      <c r="A139" s="40"/>
      <c r="B139" s="87" t="str">
        <f>'G-2 Habitat groups'!AU126</f>
        <v>Urban - Other green roof</v>
      </c>
      <c r="C139" s="88" t="str">
        <f>'G-2 Habitat groups'!AV126</f>
        <v>Urban</v>
      </c>
      <c r="D139" s="494">
        <f>'G-2 Habitat groups'!BB126</f>
        <v>0</v>
      </c>
      <c r="E139" s="494">
        <f>'G-2 Habitat groups'!BD126</f>
        <v>0</v>
      </c>
      <c r="F139" s="481">
        <f>'G-2 Habitat groups'!BE126</f>
        <v>0</v>
      </c>
      <c r="G139" s="40"/>
      <c r="H139" s="40"/>
      <c r="I139" s="40"/>
      <c r="J139" s="40"/>
      <c r="K139" s="40"/>
      <c r="L139" s="40"/>
      <c r="M139" s="40"/>
      <c r="N139" s="40"/>
    </row>
    <row r="140" spans="1:15" x14ac:dyDescent="0.25">
      <c r="A140" s="40"/>
      <c r="B140" s="87" t="str">
        <f>'G-2 Habitat groups'!AU146</f>
        <v>Urban - Intensive green roof</v>
      </c>
      <c r="C140" s="88" t="str">
        <f>'G-2 Habitat groups'!AV146</f>
        <v>Urban</v>
      </c>
      <c r="D140" s="494">
        <f>'G-2 Habitat groups'!BB146</f>
        <v>0</v>
      </c>
      <c r="E140" s="494">
        <f>'G-2 Habitat groups'!BD146</f>
        <v>0</v>
      </c>
      <c r="F140" s="481">
        <f>'G-2 Habitat groups'!BE146</f>
        <v>0</v>
      </c>
      <c r="G140" s="40"/>
      <c r="H140" s="40"/>
      <c r="I140" s="40"/>
      <c r="J140" s="40"/>
      <c r="K140" s="40"/>
      <c r="L140" s="40"/>
      <c r="M140" s="40"/>
      <c r="N140" s="40"/>
    </row>
    <row r="141" spans="1:15" x14ac:dyDescent="0.25">
      <c r="A141" s="40"/>
      <c r="B141" s="87" t="str">
        <f>'G-2 Habitat groups'!AU127</f>
        <v>Urban - Introduced shrub</v>
      </c>
      <c r="C141" s="88" t="str">
        <f>'G-2 Habitat groups'!AV127</f>
        <v>Urban</v>
      </c>
      <c r="D141" s="494">
        <f>'G-2 Habitat groups'!BB127</f>
        <v>6.680694999999999E-2</v>
      </c>
      <c r="E141" s="494">
        <f>'G-2 Habitat groups'!BD127</f>
        <v>0</v>
      </c>
      <c r="F141" s="481">
        <f>'G-2 Habitat groups'!BE127</f>
        <v>6.680694999999999E-2</v>
      </c>
      <c r="G141" s="40"/>
      <c r="H141" s="40"/>
      <c r="I141" s="40"/>
      <c r="J141" s="40"/>
      <c r="K141" s="40"/>
      <c r="L141" s="40"/>
      <c r="M141" s="40"/>
      <c r="N141" s="40"/>
    </row>
    <row r="142" spans="1:15" x14ac:dyDescent="0.25">
      <c r="A142" s="40"/>
      <c r="B142" s="87" t="str">
        <f>'G-2 Habitat groups'!AU128</f>
        <v>Urban - Rain garden</v>
      </c>
      <c r="C142" s="88" t="str">
        <f>'G-2 Habitat groups'!AV128</f>
        <v>Urban</v>
      </c>
      <c r="D142" s="494">
        <f>'G-2 Habitat groups'!BB128</f>
        <v>0</v>
      </c>
      <c r="E142" s="494">
        <f>'G-2 Habitat groups'!BD128</f>
        <v>0</v>
      </c>
      <c r="F142" s="481">
        <f>'G-2 Habitat groups'!BE128</f>
        <v>0</v>
      </c>
      <c r="G142" s="40"/>
      <c r="H142" s="40"/>
      <c r="I142" s="40"/>
      <c r="J142" s="40"/>
      <c r="K142" s="40"/>
      <c r="L142" s="40"/>
      <c r="M142" s="40"/>
      <c r="N142" s="40"/>
    </row>
    <row r="143" spans="1:15" x14ac:dyDescent="0.25">
      <c r="A143" s="40"/>
      <c r="B143" s="87" t="str">
        <f>'G-2 Habitat groups'!AU129</f>
        <v>Urban - Actively worked sand pit quarry or open cast mine</v>
      </c>
      <c r="C143" s="88" t="str">
        <f>'G-2 Habitat groups'!AV129</f>
        <v>Urban</v>
      </c>
      <c r="D143" s="494">
        <f>'G-2 Habitat groups'!BB129</f>
        <v>0</v>
      </c>
      <c r="E143" s="494">
        <f>'G-2 Habitat groups'!BD129</f>
        <v>0</v>
      </c>
      <c r="F143" s="481">
        <f>'G-2 Habitat groups'!BE129</f>
        <v>0</v>
      </c>
      <c r="G143" s="40"/>
      <c r="H143" s="40"/>
      <c r="I143" s="40"/>
      <c r="J143" s="40"/>
      <c r="K143" s="40"/>
      <c r="L143" s="40"/>
      <c r="M143" s="40"/>
      <c r="N143" s="40"/>
    </row>
    <row r="144" spans="1:15" x14ac:dyDescent="0.25">
      <c r="A144" s="40"/>
      <c r="B144" s="87" t="str">
        <f>'G-2 Habitat groups'!AU131</f>
        <v>Urban - Sustainable urban drainage feature</v>
      </c>
      <c r="C144" s="88" t="str">
        <f>'G-2 Habitat groups'!AV131</f>
        <v>Urban</v>
      </c>
      <c r="D144" s="494">
        <f>'G-2 Habitat groups'!BB131</f>
        <v>0</v>
      </c>
      <c r="E144" s="494">
        <f>'G-2 Habitat groups'!BD131</f>
        <v>0</v>
      </c>
      <c r="F144" s="481">
        <f>'G-2 Habitat groups'!BE131</f>
        <v>0</v>
      </c>
      <c r="G144" s="40"/>
      <c r="H144" s="40"/>
      <c r="I144" s="40"/>
      <c r="J144" s="40"/>
      <c r="K144" s="40"/>
      <c r="L144" s="40"/>
      <c r="M144" s="40"/>
      <c r="N144" s="40"/>
      <c r="O144" s="40"/>
    </row>
    <row r="145" spans="1:17" x14ac:dyDescent="0.25">
      <c r="A145" s="40"/>
      <c r="B145" s="87" t="str">
        <f>'G-2 Habitat groups'!AU132</f>
        <v>Urban - Vacant/derelict land/ bareground</v>
      </c>
      <c r="C145" s="88" t="str">
        <f>'G-2 Habitat groups'!AV132</f>
        <v>Urban</v>
      </c>
      <c r="D145" s="494">
        <f>'G-2 Habitat groups'!BB132</f>
        <v>0</v>
      </c>
      <c r="E145" s="494">
        <f>'G-2 Habitat groups'!BD132</f>
        <v>0</v>
      </c>
      <c r="F145" s="481">
        <f>'G-2 Habitat groups'!BE132</f>
        <v>0</v>
      </c>
      <c r="G145" s="40"/>
      <c r="H145" s="40"/>
      <c r="I145" s="40"/>
      <c r="J145" s="40"/>
      <c r="K145" s="40"/>
      <c r="L145" s="40"/>
      <c r="M145" s="40"/>
      <c r="N145" s="40"/>
      <c r="O145" s="40"/>
    </row>
    <row r="146" spans="1:17" x14ac:dyDescent="0.25">
      <c r="A146" s="40"/>
      <c r="B146" s="87" t="str">
        <f>'G-2 Habitat groups'!AU133</f>
        <v>Urban - Vegetated garden</v>
      </c>
      <c r="C146" s="88" t="str">
        <f>'G-2 Habitat groups'!AV133</f>
        <v>Urban</v>
      </c>
      <c r="D146" s="494">
        <f>'G-2 Habitat groups'!BB133</f>
        <v>0</v>
      </c>
      <c r="E146" s="494">
        <f>'G-2 Habitat groups'!BD133</f>
        <v>0</v>
      </c>
      <c r="F146" s="481">
        <f>'G-2 Habitat groups'!BE133</f>
        <v>0</v>
      </c>
      <c r="G146" s="40"/>
      <c r="H146" s="40"/>
      <c r="I146" s="40"/>
      <c r="J146" s="40"/>
      <c r="K146" s="40"/>
      <c r="L146" s="40"/>
      <c r="M146" s="40"/>
      <c r="N146" s="40"/>
      <c r="O146" s="40"/>
    </row>
    <row r="147" spans="1:17" x14ac:dyDescent="0.25">
      <c r="A147" s="40"/>
      <c r="B147" s="91" t="str">
        <f>'G-2 Habitat groups'!AU134</f>
        <v>Woodland and forest - Other coniferous woodland</v>
      </c>
      <c r="C147" s="92" t="str">
        <f>'G-2 Habitat groups'!AV134</f>
        <v>Woodland and forest</v>
      </c>
      <c r="D147" s="495">
        <f>'G-2 Habitat groups'!BB134</f>
        <v>0</v>
      </c>
      <c r="E147" s="495">
        <f>'G-2 Habitat groups'!BD134</f>
        <v>0</v>
      </c>
      <c r="F147" s="496">
        <f>'G-2 Habitat groups'!BE134</f>
        <v>0</v>
      </c>
      <c r="G147" s="40"/>
      <c r="H147" s="40"/>
      <c r="I147" s="40"/>
      <c r="J147" s="40"/>
      <c r="K147" s="40"/>
      <c r="L147" s="40"/>
      <c r="M147" s="40"/>
      <c r="N147" s="40"/>
      <c r="O147" s="40"/>
    </row>
    <row r="148" spans="1:17" x14ac:dyDescent="0.25">
      <c r="A148" s="40"/>
      <c r="B148" s="87" t="str">
        <f>'G-2 Habitat groups'!AU135</f>
        <v>Coastal saltmarsh - Artificial saltmarshes and saline reedbeds</v>
      </c>
      <c r="C148" s="88" t="str">
        <f>'G-2 Habitat groups'!AV135</f>
        <v xml:space="preserve">Coastal saltmarsh </v>
      </c>
      <c r="D148" s="494">
        <f>'G-2 Habitat groups'!BB135</f>
        <v>0</v>
      </c>
      <c r="E148" s="494">
        <f>'G-2 Habitat groups'!BD135</f>
        <v>0</v>
      </c>
      <c r="F148" s="481">
        <f>'G-2 Habitat groups'!BE135</f>
        <v>0</v>
      </c>
      <c r="G148" s="40"/>
      <c r="H148" s="40"/>
      <c r="I148" s="40"/>
      <c r="J148" s="40"/>
      <c r="K148" s="40"/>
      <c r="L148" s="40"/>
      <c r="M148" s="40"/>
      <c r="N148" s="40"/>
      <c r="O148" s="40"/>
    </row>
    <row r="149" spans="1:17" x14ac:dyDescent="0.25">
      <c r="A149" s="40"/>
      <c r="B149" s="87" t="str">
        <f>'G-2 Habitat groups'!AU136</f>
        <v>Intertidal sediment - Artificial littoral coarse sediment</v>
      </c>
      <c r="C149" s="88" t="str">
        <f>'G-2 Habitat groups'!AV136</f>
        <v>Intertidal sediment</v>
      </c>
      <c r="D149" s="494">
        <f>'G-2 Habitat groups'!BB136</f>
        <v>0</v>
      </c>
      <c r="E149" s="494">
        <f>'G-2 Habitat groups'!BD136</f>
        <v>0</v>
      </c>
      <c r="F149" s="481">
        <f>'G-2 Habitat groups'!BE136</f>
        <v>0</v>
      </c>
      <c r="G149" s="40"/>
      <c r="H149" s="40"/>
      <c r="I149" s="40"/>
      <c r="J149" s="40"/>
      <c r="K149" s="40"/>
      <c r="L149" s="40"/>
      <c r="M149" s="40"/>
      <c r="N149" s="40"/>
      <c r="O149" s="40"/>
    </row>
    <row r="150" spans="1:17" x14ac:dyDescent="0.25">
      <c r="A150" s="40"/>
      <c r="B150" s="87" t="str">
        <f>'G-2 Habitat groups'!AU137</f>
        <v>Intertidal sediment - Artificial littoral mud</v>
      </c>
      <c r="C150" s="88" t="str">
        <f>'G-2 Habitat groups'!AV137</f>
        <v>Intertidal sediment</v>
      </c>
      <c r="D150" s="494">
        <f>'G-2 Habitat groups'!BB137</f>
        <v>0</v>
      </c>
      <c r="E150" s="494">
        <f>'G-2 Habitat groups'!BD137</f>
        <v>0</v>
      </c>
      <c r="F150" s="481">
        <f>'G-2 Habitat groups'!BE137</f>
        <v>0</v>
      </c>
      <c r="G150" s="40"/>
      <c r="H150" s="40"/>
      <c r="I150" s="40"/>
      <c r="J150" s="40"/>
      <c r="K150" s="40"/>
      <c r="L150" s="40"/>
      <c r="M150" s="40"/>
      <c r="N150" s="40"/>
      <c r="O150" s="40"/>
    </row>
    <row r="151" spans="1:17" x14ac:dyDescent="0.25">
      <c r="A151" s="40"/>
      <c r="B151" s="87" t="str">
        <f>'G-2 Habitat groups'!AU138</f>
        <v>Intertidal sediment - Artificial littoral sand</v>
      </c>
      <c r="C151" s="88" t="str">
        <f>'G-2 Habitat groups'!AV138</f>
        <v>Intertidal sediment</v>
      </c>
      <c r="D151" s="494">
        <f>'G-2 Habitat groups'!BB138</f>
        <v>0</v>
      </c>
      <c r="E151" s="494">
        <f>'G-2 Habitat groups'!BD138</f>
        <v>0</v>
      </c>
      <c r="F151" s="481">
        <f>'G-2 Habitat groups'!BE138</f>
        <v>0</v>
      </c>
      <c r="G151" s="40"/>
      <c r="H151" s="40"/>
      <c r="I151" s="40"/>
      <c r="J151" s="40"/>
      <c r="K151" s="40"/>
      <c r="L151" s="40"/>
      <c r="M151" s="40"/>
      <c r="N151" s="40"/>
      <c r="O151" s="40"/>
    </row>
    <row r="152" spans="1:17" x14ac:dyDescent="0.25">
      <c r="A152" s="40"/>
      <c r="B152" s="87" t="str">
        <f>'G-2 Habitat groups'!AU139</f>
        <v>Intertidal sediment - Artificial littoral muddy sand</v>
      </c>
      <c r="C152" s="88" t="str">
        <f>'G-2 Habitat groups'!AV139</f>
        <v>Intertidal sediment</v>
      </c>
      <c r="D152" s="494">
        <f>'G-2 Habitat groups'!BB139</f>
        <v>0</v>
      </c>
      <c r="E152" s="494">
        <f>'G-2 Habitat groups'!BD139</f>
        <v>0</v>
      </c>
      <c r="F152" s="481">
        <f>'G-2 Habitat groups'!BE139</f>
        <v>0</v>
      </c>
      <c r="G152" s="40"/>
      <c r="H152" s="40"/>
      <c r="I152" s="40"/>
      <c r="J152" s="40"/>
      <c r="K152" s="40"/>
      <c r="L152" s="40"/>
      <c r="M152" s="40"/>
      <c r="N152" s="40"/>
      <c r="O152" s="40"/>
    </row>
    <row r="153" spans="1:17" x14ac:dyDescent="0.25">
      <c r="A153" s="40"/>
      <c r="B153" s="87" t="str">
        <f>'G-2 Habitat groups'!AU140</f>
        <v>Intertidal sediment - Artificial littoral mixed sediments</v>
      </c>
      <c r="C153" s="88" t="str">
        <f>'G-2 Habitat groups'!AV140</f>
        <v>Intertidal sediment</v>
      </c>
      <c r="D153" s="494">
        <f>'G-2 Habitat groups'!BB140</f>
        <v>0</v>
      </c>
      <c r="E153" s="494">
        <f>'G-2 Habitat groups'!BD140</f>
        <v>0</v>
      </c>
      <c r="F153" s="481">
        <f>'G-2 Habitat groups'!BE140</f>
        <v>0</v>
      </c>
      <c r="G153" s="40"/>
      <c r="H153" s="40"/>
      <c r="I153" s="40"/>
      <c r="J153" s="40"/>
      <c r="K153" s="40"/>
      <c r="L153" s="40"/>
      <c r="M153" s="40"/>
      <c r="N153" s="40"/>
      <c r="O153" s="40"/>
    </row>
    <row r="154" spans="1:17" x14ac:dyDescent="0.25">
      <c r="A154" s="40"/>
      <c r="B154" s="87" t="str">
        <f>'G-2 Habitat groups'!AU141</f>
        <v>Intertidal sediment - Artificial littoral seagrass</v>
      </c>
      <c r="C154" s="88" t="str">
        <f>'G-2 Habitat groups'!AV141</f>
        <v>Intertidal sediment</v>
      </c>
      <c r="D154" s="494">
        <f>'G-2 Habitat groups'!BB141</f>
        <v>0</v>
      </c>
      <c r="E154" s="494">
        <f>'G-2 Habitat groups'!BD141</f>
        <v>0</v>
      </c>
      <c r="F154" s="481">
        <f>'G-2 Habitat groups'!BE141</f>
        <v>0</v>
      </c>
      <c r="G154" s="40"/>
      <c r="H154" s="40"/>
      <c r="I154" s="40"/>
      <c r="J154" s="40"/>
      <c r="K154" s="40"/>
      <c r="L154" s="40"/>
      <c r="M154" s="40"/>
      <c r="N154" s="40"/>
      <c r="O154" s="40"/>
    </row>
    <row r="155" spans="1:17" x14ac:dyDescent="0.25">
      <c r="A155" s="40"/>
      <c r="B155" s="87" t="str">
        <f>'G-2 Habitat groups'!AU142</f>
        <v>Intertidal sediment - Artificial littoral biogenic reefs</v>
      </c>
      <c r="C155" s="88" t="str">
        <f>'G-2 Habitat groups'!AV142</f>
        <v>Intertidal sediment</v>
      </c>
      <c r="D155" s="494">
        <f>'G-2 Habitat groups'!BB142</f>
        <v>0</v>
      </c>
      <c r="E155" s="494">
        <f>'G-2 Habitat groups'!BD142</f>
        <v>0</v>
      </c>
      <c r="F155" s="481">
        <f>'G-2 Habitat groups'!BE142</f>
        <v>0</v>
      </c>
      <c r="G155" s="40"/>
      <c r="H155" s="40"/>
      <c r="I155" s="40"/>
      <c r="J155" s="40"/>
      <c r="K155" s="40"/>
      <c r="L155" s="40"/>
      <c r="M155" s="40"/>
      <c r="N155" s="40"/>
      <c r="O155" s="40"/>
    </row>
    <row r="156" spans="1:17" x14ac:dyDescent="0.25">
      <c r="A156" s="40"/>
      <c r="B156" s="87" t="str">
        <f>'G-2 Habitat groups'!AU143</f>
        <v>Intertidal Hard Structures - Artificial hard structures</v>
      </c>
      <c r="C156" s="88" t="str">
        <f>'G-2 Habitat groups'!AV143</f>
        <v xml:space="preserve">Intertidal </v>
      </c>
      <c r="D156" s="494">
        <f>'G-2 Habitat groups'!BB143</f>
        <v>0</v>
      </c>
      <c r="E156" s="494">
        <f>'G-2 Habitat groups'!BD143</f>
        <v>0</v>
      </c>
      <c r="F156" s="481">
        <f>'G-2 Habitat groups'!BE143</f>
        <v>0</v>
      </c>
      <c r="G156" s="40"/>
      <c r="H156" s="40"/>
      <c r="I156" s="40"/>
      <c r="J156" s="40"/>
      <c r="K156" s="40"/>
      <c r="L156" s="40"/>
      <c r="M156" s="40"/>
      <c r="N156" s="40"/>
      <c r="O156" s="40"/>
    </row>
    <row r="157" spans="1:17" x14ac:dyDescent="0.25">
      <c r="A157" s="40"/>
      <c r="B157" s="91" t="str">
        <f>'G-2 Habitat groups'!AU144</f>
        <v>Intertidal Hard Structures - Artificial features of hard structures</v>
      </c>
      <c r="C157" s="92" t="str">
        <f>'G-2 Habitat groups'!AV144</f>
        <v xml:space="preserve">Intertidal </v>
      </c>
      <c r="D157" s="495">
        <f>'G-2 Habitat groups'!BB144</f>
        <v>0</v>
      </c>
      <c r="E157" s="495">
        <f>'G-2 Habitat groups'!BD144</f>
        <v>0</v>
      </c>
      <c r="F157" s="496">
        <f>'G-2 Habitat groups'!BE144</f>
        <v>0</v>
      </c>
      <c r="G157" s="40"/>
      <c r="H157" s="40"/>
      <c r="I157" s="40"/>
      <c r="J157" s="40"/>
      <c r="K157" s="40"/>
      <c r="L157" s="40"/>
      <c r="M157" s="40"/>
      <c r="N157" s="40"/>
      <c r="O157" s="40"/>
    </row>
    <row r="158" spans="1:17" ht="14.4" thickBot="1" x14ac:dyDescent="0.3">
      <c r="A158" s="40"/>
      <c r="B158" s="89" t="str">
        <f>'G-2 Habitat groups'!AU145</f>
        <v>Heathland and shrub - Sea buckthorn scrub (other)</v>
      </c>
      <c r="C158" s="90" t="str">
        <f>'G-2 Habitat groups'!AV145</f>
        <v>Heathland and shrub</v>
      </c>
      <c r="D158" s="497">
        <f>'G-2 Habitat groups'!BB145</f>
        <v>0</v>
      </c>
      <c r="E158" s="497">
        <f>'G-2 Habitat groups'!BD145</f>
        <v>0</v>
      </c>
      <c r="F158" s="491">
        <f>'G-2 Habitat groups'!BE145</f>
        <v>0</v>
      </c>
      <c r="G158" s="40"/>
      <c r="H158" s="40"/>
      <c r="I158" s="40"/>
      <c r="J158" s="40"/>
      <c r="K158" s="40"/>
      <c r="L158" s="40"/>
      <c r="M158" s="40"/>
      <c r="N158" s="40"/>
      <c r="O158" s="40"/>
    </row>
    <row r="159" spans="1:17" ht="14.4" thickBot="1" x14ac:dyDescent="0.3">
      <c r="A159" s="40"/>
      <c r="B159" s="40"/>
      <c r="C159" s="40"/>
      <c r="D159" s="480">
        <f>SUM(D123:D158)</f>
        <v>-0.10224304999999999</v>
      </c>
      <c r="E159" s="40"/>
      <c r="F159" s="480">
        <f>SUM(F123:F158)</f>
        <v>-0.10224304999999999</v>
      </c>
      <c r="G159" s="40"/>
      <c r="H159" s="40"/>
      <c r="I159" s="40"/>
      <c r="J159" s="40"/>
      <c r="K159" s="40"/>
      <c r="L159" s="40"/>
      <c r="M159" s="40"/>
      <c r="N159" s="40"/>
      <c r="O159" s="40"/>
      <c r="P159" s="40"/>
      <c r="Q159" s="40"/>
    </row>
    <row r="160" spans="1:17" x14ac:dyDescent="0.25">
      <c r="A160" s="40"/>
      <c r="G160" s="40"/>
      <c r="H160" s="40"/>
      <c r="I160" s="40"/>
      <c r="J160" s="40"/>
      <c r="K160" s="40"/>
      <c r="L160" s="40"/>
      <c r="M160" s="40"/>
      <c r="N160" s="40"/>
      <c r="O160" s="40"/>
      <c r="P160" s="40"/>
      <c r="Q160" s="40"/>
    </row>
    <row r="161" spans="1:17" hidden="1" x14ac:dyDescent="0.25">
      <c r="A161" s="40"/>
      <c r="B161" s="40"/>
      <c r="C161" s="40"/>
      <c r="D161" s="40"/>
      <c r="E161" s="40"/>
      <c r="F161" s="40"/>
      <c r="G161" s="40"/>
      <c r="H161" s="40"/>
      <c r="I161" s="40"/>
      <c r="J161" s="40"/>
      <c r="K161" s="40"/>
      <c r="L161" s="40"/>
      <c r="M161" s="40"/>
      <c r="N161" s="40"/>
      <c r="O161" s="40"/>
      <c r="P161" s="40"/>
      <c r="Q161" s="40"/>
    </row>
    <row r="162" spans="1:17" hidden="1" x14ac:dyDescent="0.25">
      <c r="A162" s="40"/>
      <c r="B162" s="40"/>
      <c r="C162" s="40"/>
      <c r="D162" s="40"/>
      <c r="E162" s="40"/>
      <c r="F162" s="40"/>
      <c r="G162" s="40"/>
      <c r="H162" s="40"/>
      <c r="I162" s="40"/>
      <c r="J162" s="40"/>
      <c r="K162" s="40"/>
      <c r="L162" s="40"/>
      <c r="M162" s="40"/>
      <c r="N162" s="40"/>
      <c r="O162" s="40"/>
      <c r="P162" s="40"/>
      <c r="Q162" s="40"/>
    </row>
    <row r="163" spans="1:17" hidden="1" x14ac:dyDescent="0.25">
      <c r="A163" s="40"/>
      <c r="B163" s="40"/>
      <c r="C163" s="40"/>
      <c r="D163" s="40"/>
      <c r="E163" s="40"/>
      <c r="F163" s="40"/>
      <c r="G163" s="40"/>
      <c r="H163" s="40"/>
      <c r="I163" s="40"/>
      <c r="J163" s="40"/>
      <c r="K163" s="40"/>
      <c r="L163" s="40"/>
      <c r="M163" s="40"/>
      <c r="N163" s="40"/>
      <c r="O163" s="40"/>
      <c r="P163" s="40"/>
      <c r="Q163" s="40"/>
    </row>
    <row r="164" spans="1:17" hidden="1" x14ac:dyDescent="0.25">
      <c r="A164" s="40"/>
      <c r="B164" s="40"/>
      <c r="C164" s="40"/>
      <c r="D164" s="40"/>
      <c r="E164" s="40"/>
      <c r="F164" s="40"/>
      <c r="G164" s="40"/>
      <c r="H164" s="40"/>
      <c r="I164" s="40"/>
      <c r="J164" s="40"/>
      <c r="K164" s="40"/>
      <c r="L164" s="40"/>
      <c r="M164" s="40"/>
      <c r="N164" s="40"/>
      <c r="O164" s="40"/>
      <c r="P164" s="40"/>
      <c r="Q164" s="40"/>
    </row>
    <row r="165" spans="1:17" hidden="1" x14ac:dyDescent="0.25">
      <c r="A165" s="40"/>
      <c r="B165" s="40"/>
      <c r="C165" s="40"/>
      <c r="D165" s="40"/>
      <c r="E165" s="40"/>
      <c r="F165" s="40"/>
      <c r="G165" s="40"/>
      <c r="H165" s="40"/>
      <c r="I165" s="40"/>
      <c r="J165" s="40"/>
      <c r="K165" s="40"/>
      <c r="L165" s="40"/>
      <c r="M165" s="40"/>
      <c r="N165" s="40"/>
      <c r="O165" s="40"/>
      <c r="P165" s="40"/>
      <c r="Q165" s="40"/>
    </row>
    <row r="166" spans="1:17" hidden="1" x14ac:dyDescent="0.25">
      <c r="A166" s="40"/>
      <c r="B166" s="40"/>
      <c r="C166" s="40"/>
      <c r="D166" s="40"/>
      <c r="E166" s="40"/>
      <c r="F166" s="40"/>
      <c r="G166" s="40"/>
      <c r="H166" s="40"/>
      <c r="I166" s="40"/>
      <c r="J166" s="40"/>
      <c r="K166" s="40"/>
      <c r="L166" s="40"/>
      <c r="M166" s="40"/>
      <c r="N166" s="40"/>
      <c r="O166" s="40"/>
      <c r="P166" s="40"/>
      <c r="Q166" s="40"/>
    </row>
    <row r="167" spans="1:17" hidden="1" x14ac:dyDescent="0.25">
      <c r="A167" s="40"/>
      <c r="B167" s="40"/>
      <c r="C167" s="40"/>
      <c r="D167" s="40"/>
      <c r="E167" s="40"/>
      <c r="F167" s="40"/>
      <c r="G167" s="40"/>
      <c r="H167" s="40"/>
      <c r="I167" s="40"/>
      <c r="J167" s="40"/>
      <c r="K167" s="40"/>
      <c r="L167" s="40"/>
      <c r="M167" s="40"/>
      <c r="N167" s="40"/>
      <c r="O167" s="40"/>
      <c r="P167" s="40"/>
      <c r="Q167" s="40"/>
    </row>
    <row r="168" spans="1:17" hidden="1" x14ac:dyDescent="0.25">
      <c r="A168" s="40"/>
      <c r="B168" s="40"/>
      <c r="C168" s="40"/>
      <c r="D168" s="40"/>
      <c r="E168" s="40"/>
      <c r="F168" s="40"/>
      <c r="G168" s="40"/>
      <c r="H168" s="40"/>
      <c r="I168" s="40"/>
      <c r="J168" s="40"/>
      <c r="K168" s="40"/>
      <c r="L168" s="40"/>
      <c r="M168" s="40"/>
      <c r="N168" s="40"/>
      <c r="O168" s="40"/>
      <c r="P168" s="40"/>
      <c r="Q168" s="40"/>
    </row>
    <row r="169" spans="1:17" hidden="1" x14ac:dyDescent="0.25">
      <c r="A169" s="40"/>
      <c r="B169" s="40"/>
      <c r="C169" s="40"/>
      <c r="D169" s="40"/>
      <c r="E169" s="40"/>
      <c r="F169" s="40"/>
      <c r="G169" s="40"/>
      <c r="H169" s="40"/>
      <c r="I169" s="40"/>
      <c r="J169" s="40"/>
      <c r="K169" s="40"/>
      <c r="L169" s="40"/>
      <c r="M169" s="40"/>
      <c r="N169" s="40"/>
      <c r="O169" s="40"/>
      <c r="P169" s="40"/>
      <c r="Q169" s="40"/>
    </row>
    <row r="170" spans="1:17" hidden="1" x14ac:dyDescent="0.25">
      <c r="A170" s="40"/>
      <c r="B170" s="40"/>
      <c r="C170" s="40"/>
      <c r="D170" s="40"/>
      <c r="E170" s="40"/>
      <c r="F170" s="40"/>
      <c r="G170" s="40"/>
      <c r="H170" s="40"/>
      <c r="I170" s="40"/>
      <c r="J170" s="40"/>
      <c r="K170" s="40"/>
      <c r="L170" s="40"/>
      <c r="M170" s="40"/>
      <c r="N170" s="40"/>
      <c r="O170" s="40"/>
      <c r="P170" s="40"/>
      <c r="Q170" s="40"/>
    </row>
    <row r="171" spans="1:17" hidden="1" x14ac:dyDescent="0.25">
      <c r="A171" s="40"/>
      <c r="B171" s="40"/>
      <c r="C171" s="40"/>
      <c r="D171" s="40"/>
      <c r="E171" s="40"/>
      <c r="F171" s="40"/>
      <c r="G171" s="40"/>
      <c r="H171" s="40"/>
      <c r="I171" s="40"/>
      <c r="J171" s="40"/>
      <c r="K171" s="40"/>
      <c r="L171" s="40"/>
      <c r="M171" s="40"/>
      <c r="N171" s="40"/>
      <c r="O171" s="40"/>
      <c r="P171" s="40"/>
      <c r="Q171" s="40"/>
    </row>
    <row r="172" spans="1:17" hidden="1" x14ac:dyDescent="0.25">
      <c r="A172" s="40"/>
      <c r="B172" s="40"/>
      <c r="C172" s="40"/>
      <c r="D172" s="40"/>
      <c r="E172" s="40"/>
      <c r="F172" s="40"/>
      <c r="G172" s="40"/>
      <c r="H172" s="40"/>
      <c r="I172" s="40"/>
      <c r="J172" s="40"/>
      <c r="K172" s="40"/>
      <c r="L172" s="40"/>
      <c r="M172" s="40"/>
      <c r="N172" s="40"/>
      <c r="O172" s="40"/>
      <c r="P172" s="40"/>
      <c r="Q172" s="40"/>
    </row>
    <row r="173" spans="1:17" hidden="1" x14ac:dyDescent="0.25">
      <c r="A173" s="40"/>
      <c r="B173" s="40"/>
      <c r="C173" s="40"/>
      <c r="D173" s="40"/>
      <c r="E173" s="40"/>
      <c r="F173" s="40"/>
      <c r="G173" s="40"/>
      <c r="H173" s="40"/>
      <c r="I173" s="40"/>
      <c r="J173" s="40"/>
      <c r="K173" s="40"/>
      <c r="L173" s="40"/>
      <c r="M173" s="40"/>
      <c r="N173" s="40"/>
      <c r="O173" s="40"/>
      <c r="P173" s="40"/>
      <c r="Q173" s="40"/>
    </row>
    <row r="174" spans="1:17" hidden="1" x14ac:dyDescent="0.25">
      <c r="A174" s="40"/>
      <c r="B174" s="40"/>
      <c r="C174" s="40"/>
      <c r="D174" s="40"/>
      <c r="E174" s="40"/>
      <c r="F174" s="40"/>
      <c r="G174" s="40"/>
      <c r="H174" s="40"/>
      <c r="I174" s="40"/>
      <c r="J174" s="40"/>
      <c r="K174" s="40"/>
      <c r="L174" s="40"/>
      <c r="M174" s="40"/>
      <c r="N174" s="40"/>
      <c r="O174" s="40"/>
      <c r="P174" s="40"/>
      <c r="Q174" s="40"/>
    </row>
    <row r="175" spans="1:17" hidden="1" x14ac:dyDescent="0.25">
      <c r="A175" s="40"/>
      <c r="B175" s="40"/>
      <c r="C175" s="40"/>
      <c r="D175" s="40"/>
      <c r="E175" s="40"/>
      <c r="F175" s="40"/>
      <c r="G175" s="40"/>
      <c r="H175" s="40"/>
      <c r="I175" s="40"/>
      <c r="J175" s="40"/>
      <c r="K175" s="40"/>
      <c r="L175" s="40"/>
      <c r="M175" s="40"/>
      <c r="N175" s="40"/>
      <c r="O175" s="40"/>
      <c r="P175" s="40"/>
      <c r="Q175" s="40"/>
    </row>
    <row r="176" spans="1:17" hidden="1" x14ac:dyDescent="0.25">
      <c r="A176" s="40"/>
      <c r="B176" s="40"/>
      <c r="C176" s="40"/>
      <c r="D176" s="40"/>
      <c r="E176" s="40"/>
      <c r="F176" s="40"/>
      <c r="G176" s="40"/>
      <c r="H176" s="40"/>
      <c r="I176" s="40"/>
      <c r="J176" s="40"/>
      <c r="K176" s="40"/>
      <c r="L176" s="40"/>
      <c r="M176" s="40"/>
      <c r="N176" s="40"/>
      <c r="O176" s="40"/>
      <c r="P176" s="40"/>
      <c r="Q176" s="40"/>
    </row>
    <row r="177" spans="1:17" hidden="1" x14ac:dyDescent="0.25">
      <c r="A177" s="40"/>
      <c r="B177" s="40"/>
      <c r="C177" s="40"/>
      <c r="D177" s="40"/>
      <c r="E177" s="40"/>
      <c r="F177" s="40"/>
      <c r="G177" s="40"/>
      <c r="H177" s="40"/>
      <c r="I177" s="40"/>
      <c r="J177" s="40"/>
      <c r="K177" s="40"/>
      <c r="L177" s="40"/>
      <c r="M177" s="40"/>
      <c r="N177" s="40"/>
      <c r="O177" s="40"/>
      <c r="P177" s="40"/>
      <c r="Q177" s="40"/>
    </row>
    <row r="178" spans="1:17" hidden="1" x14ac:dyDescent="0.25">
      <c r="A178" s="40"/>
      <c r="B178" s="40"/>
      <c r="C178" s="40"/>
      <c r="D178" s="40"/>
      <c r="E178" s="40"/>
      <c r="F178" s="40"/>
      <c r="G178" s="40"/>
      <c r="H178" s="40"/>
      <c r="I178" s="40"/>
      <c r="J178" s="40"/>
      <c r="K178" s="40"/>
      <c r="L178" s="40"/>
      <c r="M178" s="40"/>
      <c r="N178" s="40"/>
      <c r="O178" s="40"/>
      <c r="P178" s="40"/>
      <c r="Q178" s="40"/>
    </row>
    <row r="179" spans="1:17" hidden="1" x14ac:dyDescent="0.25">
      <c r="A179" s="40"/>
      <c r="B179" s="40"/>
      <c r="C179" s="40"/>
      <c r="D179" s="40"/>
      <c r="E179" s="40"/>
      <c r="F179" s="40"/>
      <c r="G179" s="40"/>
      <c r="H179" s="40"/>
      <c r="I179" s="40"/>
      <c r="J179" s="40"/>
      <c r="K179" s="40"/>
      <c r="L179" s="40"/>
      <c r="M179" s="40"/>
      <c r="N179" s="40"/>
      <c r="O179" s="40"/>
      <c r="P179" s="40"/>
      <c r="Q179" s="40"/>
    </row>
    <row r="180" spans="1:17" hidden="1" x14ac:dyDescent="0.25">
      <c r="A180" s="40"/>
      <c r="B180" s="40"/>
      <c r="C180" s="40"/>
      <c r="D180" s="40"/>
      <c r="E180" s="40"/>
      <c r="F180" s="40"/>
      <c r="G180" s="40"/>
      <c r="H180" s="40"/>
      <c r="I180" s="40"/>
      <c r="J180" s="40"/>
      <c r="K180" s="40"/>
      <c r="L180" s="40"/>
      <c r="M180" s="40"/>
      <c r="N180" s="40"/>
      <c r="O180" s="40"/>
      <c r="P180" s="40"/>
      <c r="Q180" s="40"/>
    </row>
    <row r="181" spans="1:17" hidden="1" x14ac:dyDescent="0.25">
      <c r="A181" s="40"/>
      <c r="B181" s="40"/>
      <c r="C181" s="40"/>
      <c r="D181" s="40"/>
      <c r="E181" s="40"/>
      <c r="F181" s="40"/>
      <c r="G181" s="40"/>
      <c r="H181" s="40"/>
      <c r="I181" s="40"/>
      <c r="J181" s="40"/>
      <c r="K181" s="40"/>
      <c r="L181" s="40"/>
      <c r="M181" s="40"/>
      <c r="N181" s="40"/>
      <c r="O181" s="40"/>
      <c r="P181" s="40"/>
      <c r="Q181" s="40"/>
    </row>
    <row r="182" spans="1:17" hidden="1" x14ac:dyDescent="0.25">
      <c r="A182" s="40"/>
      <c r="B182" s="40"/>
      <c r="C182" s="40"/>
      <c r="D182" s="40"/>
      <c r="E182" s="40"/>
      <c r="F182" s="40"/>
      <c r="G182" s="40"/>
      <c r="H182" s="40"/>
      <c r="I182" s="40"/>
      <c r="J182" s="40"/>
      <c r="K182" s="40"/>
      <c r="L182" s="40"/>
      <c r="M182" s="40"/>
      <c r="N182" s="40"/>
      <c r="O182" s="40"/>
      <c r="P182" s="40"/>
      <c r="Q182" s="40"/>
    </row>
    <row r="183" spans="1:17" hidden="1" x14ac:dyDescent="0.25">
      <c r="A183" s="40"/>
      <c r="B183" s="40"/>
      <c r="C183" s="40"/>
      <c r="D183" s="40"/>
      <c r="E183" s="40"/>
      <c r="F183" s="40"/>
      <c r="G183" s="40"/>
      <c r="H183" s="40"/>
      <c r="I183" s="40"/>
      <c r="J183" s="40"/>
      <c r="K183" s="40"/>
      <c r="L183" s="40"/>
      <c r="M183" s="40"/>
      <c r="N183" s="40"/>
      <c r="O183" s="40"/>
      <c r="P183" s="40"/>
      <c r="Q183" s="40"/>
    </row>
    <row r="184" spans="1:17" hidden="1" x14ac:dyDescent="0.25">
      <c r="A184" s="40"/>
      <c r="B184" s="40"/>
      <c r="C184" s="40"/>
      <c r="D184" s="40"/>
      <c r="E184" s="40"/>
      <c r="F184" s="40"/>
      <c r="G184" s="40"/>
      <c r="H184" s="40"/>
      <c r="I184" s="40"/>
      <c r="J184" s="40"/>
      <c r="K184" s="40"/>
      <c r="L184" s="40"/>
      <c r="M184" s="40"/>
      <c r="N184" s="40"/>
      <c r="O184" s="40"/>
      <c r="P184" s="40"/>
      <c r="Q184" s="40"/>
    </row>
    <row r="185" spans="1:17" hidden="1" x14ac:dyDescent="0.25">
      <c r="A185" s="40"/>
      <c r="B185" s="40"/>
      <c r="C185" s="40"/>
      <c r="D185" s="40"/>
      <c r="E185" s="40"/>
      <c r="F185" s="40"/>
      <c r="G185" s="40"/>
      <c r="H185" s="40"/>
      <c r="I185" s="40"/>
      <c r="J185" s="40"/>
      <c r="K185" s="40"/>
      <c r="L185" s="40"/>
      <c r="M185" s="40"/>
      <c r="N185" s="40"/>
      <c r="O185" s="40"/>
      <c r="P185" s="40"/>
      <c r="Q185" s="40"/>
    </row>
    <row r="186" spans="1:17" hidden="1" x14ac:dyDescent="0.25">
      <c r="A186" s="40"/>
      <c r="B186" s="40"/>
      <c r="C186" s="40"/>
      <c r="D186" s="40"/>
      <c r="E186" s="40"/>
      <c r="F186" s="40"/>
      <c r="G186" s="40"/>
      <c r="H186" s="40"/>
      <c r="I186" s="40"/>
      <c r="J186" s="40"/>
      <c r="K186" s="40"/>
      <c r="L186" s="40"/>
      <c r="M186" s="40"/>
      <c r="N186" s="40"/>
      <c r="O186" s="40"/>
      <c r="P186" s="40"/>
      <c r="Q186" s="40"/>
    </row>
    <row r="187" spans="1:17" hidden="1" x14ac:dyDescent="0.25">
      <c r="A187" s="40"/>
      <c r="B187" s="40"/>
      <c r="C187" s="40"/>
      <c r="D187" s="40"/>
      <c r="E187" s="40"/>
      <c r="F187" s="40"/>
      <c r="G187" s="40"/>
      <c r="H187" s="40"/>
      <c r="I187" s="40"/>
      <c r="J187" s="40"/>
      <c r="K187" s="40"/>
      <c r="L187" s="40"/>
      <c r="M187" s="40"/>
      <c r="N187" s="40"/>
      <c r="O187" s="40"/>
      <c r="P187" s="40"/>
      <c r="Q187" s="40"/>
    </row>
    <row r="188" spans="1:17" hidden="1" x14ac:dyDescent="0.25">
      <c r="A188" s="40"/>
      <c r="B188" s="40"/>
      <c r="C188" s="40"/>
      <c r="D188" s="40"/>
      <c r="E188" s="40"/>
      <c r="F188" s="40"/>
      <c r="G188" s="40"/>
      <c r="H188" s="40"/>
      <c r="I188" s="40"/>
      <c r="J188" s="40"/>
      <c r="K188" s="40"/>
      <c r="L188" s="40"/>
      <c r="M188" s="40"/>
      <c r="N188" s="40"/>
      <c r="O188" s="40"/>
      <c r="P188" s="40"/>
      <c r="Q188" s="40"/>
    </row>
    <row r="189" spans="1:17" hidden="1" x14ac:dyDescent="0.25">
      <c r="A189" s="40"/>
      <c r="B189" s="40"/>
      <c r="C189" s="40"/>
      <c r="D189" s="40"/>
      <c r="E189" s="40"/>
      <c r="F189" s="40"/>
      <c r="G189" s="40"/>
      <c r="H189" s="40"/>
      <c r="I189" s="40"/>
      <c r="J189" s="40"/>
      <c r="K189" s="40"/>
      <c r="L189" s="40"/>
      <c r="M189" s="40"/>
      <c r="N189" s="40"/>
      <c r="O189" s="40"/>
      <c r="P189" s="40"/>
      <c r="Q189" s="40"/>
    </row>
    <row r="190" spans="1:17" hidden="1" x14ac:dyDescent="0.25">
      <c r="A190" s="40"/>
      <c r="B190" s="40"/>
      <c r="C190" s="40"/>
      <c r="D190" s="40"/>
      <c r="E190" s="40"/>
      <c r="F190" s="40"/>
      <c r="G190" s="40"/>
      <c r="H190" s="40"/>
      <c r="I190" s="40"/>
      <c r="J190" s="40"/>
      <c r="K190" s="40"/>
      <c r="L190" s="40"/>
      <c r="M190" s="40"/>
      <c r="N190" s="40"/>
      <c r="O190" s="40"/>
      <c r="P190" s="40"/>
      <c r="Q190" s="40"/>
    </row>
    <row r="191" spans="1:17" hidden="1" x14ac:dyDescent="0.25">
      <c r="A191" s="40"/>
      <c r="B191" s="40"/>
      <c r="C191" s="40"/>
      <c r="D191" s="40"/>
      <c r="E191" s="40"/>
      <c r="F191" s="40"/>
      <c r="G191" s="40"/>
      <c r="H191" s="40"/>
      <c r="I191" s="40"/>
      <c r="J191" s="40"/>
      <c r="K191" s="40"/>
      <c r="L191" s="40"/>
      <c r="M191" s="40"/>
      <c r="N191" s="40"/>
      <c r="O191" s="40"/>
      <c r="P191" s="40"/>
      <c r="Q191" s="40"/>
    </row>
    <row r="192" spans="1:17" hidden="1" x14ac:dyDescent="0.25">
      <c r="A192" s="40"/>
      <c r="B192" s="40"/>
      <c r="C192" s="40"/>
      <c r="D192" s="40"/>
      <c r="E192" s="40"/>
      <c r="F192" s="40"/>
      <c r="G192" s="40"/>
      <c r="H192" s="40"/>
      <c r="I192" s="40"/>
      <c r="J192" s="40"/>
      <c r="K192" s="40"/>
      <c r="L192" s="40"/>
      <c r="M192" s="40"/>
      <c r="N192" s="40"/>
      <c r="O192" s="40"/>
      <c r="P192" s="40"/>
      <c r="Q192" s="40"/>
    </row>
    <row r="193" spans="1:17" hidden="1" x14ac:dyDescent="0.25">
      <c r="A193" s="40"/>
      <c r="B193" s="40"/>
      <c r="C193" s="40"/>
      <c r="D193" s="40"/>
      <c r="E193" s="40"/>
      <c r="F193" s="40"/>
      <c r="G193" s="40"/>
      <c r="H193" s="40"/>
      <c r="I193" s="40"/>
      <c r="J193" s="40"/>
      <c r="K193" s="40"/>
      <c r="L193" s="40"/>
      <c r="M193" s="40"/>
      <c r="N193" s="40"/>
      <c r="O193" s="40"/>
      <c r="P193" s="40"/>
      <c r="Q193" s="40"/>
    </row>
    <row r="194" spans="1:17" hidden="1" x14ac:dyDescent="0.25">
      <c r="A194" s="40"/>
      <c r="B194" s="40"/>
      <c r="C194" s="40"/>
      <c r="D194" s="40"/>
      <c r="E194" s="40"/>
      <c r="F194" s="40"/>
      <c r="G194" s="40"/>
      <c r="H194" s="40"/>
      <c r="I194" s="40"/>
      <c r="J194" s="40"/>
      <c r="K194" s="40"/>
      <c r="L194" s="40"/>
      <c r="M194" s="40"/>
      <c r="N194" s="40"/>
      <c r="O194" s="40"/>
      <c r="P194" s="40"/>
      <c r="Q194" s="40"/>
    </row>
    <row r="195" spans="1:17" hidden="1" x14ac:dyDescent="0.25">
      <c r="A195" s="40"/>
      <c r="B195" s="40"/>
      <c r="C195" s="40"/>
      <c r="D195" s="40"/>
      <c r="E195" s="40"/>
      <c r="F195" s="40"/>
      <c r="G195" s="40"/>
      <c r="H195" s="40"/>
      <c r="I195" s="40"/>
      <c r="J195" s="40"/>
      <c r="K195" s="40"/>
      <c r="L195" s="40"/>
      <c r="M195" s="40"/>
      <c r="N195" s="40"/>
      <c r="O195" s="40"/>
      <c r="P195" s="40"/>
      <c r="Q195" s="40"/>
    </row>
    <row r="196" spans="1:17" hidden="1" x14ac:dyDescent="0.25">
      <c r="A196" s="40"/>
      <c r="B196" s="40"/>
      <c r="C196" s="40"/>
      <c r="D196" s="40"/>
      <c r="E196" s="40"/>
      <c r="F196" s="40"/>
      <c r="G196" s="40"/>
      <c r="H196" s="40"/>
      <c r="I196" s="40"/>
      <c r="J196" s="40"/>
      <c r="K196" s="40"/>
      <c r="L196" s="40"/>
      <c r="M196" s="40"/>
      <c r="N196" s="40"/>
      <c r="O196" s="40"/>
      <c r="P196" s="40"/>
      <c r="Q196" s="40"/>
    </row>
    <row r="197" spans="1:17" hidden="1" x14ac:dyDescent="0.25">
      <c r="A197" s="40"/>
      <c r="B197" s="40"/>
      <c r="C197" s="40"/>
      <c r="D197" s="40"/>
      <c r="E197" s="40"/>
      <c r="F197" s="40"/>
      <c r="G197" s="40"/>
      <c r="H197" s="40"/>
      <c r="I197" s="40"/>
      <c r="J197" s="40"/>
      <c r="K197" s="40"/>
      <c r="L197" s="40"/>
      <c r="M197" s="40"/>
      <c r="N197" s="40"/>
      <c r="O197" s="40"/>
      <c r="P197" s="40"/>
      <c r="Q197" s="40"/>
    </row>
    <row r="198" spans="1:17" hidden="1" x14ac:dyDescent="0.25">
      <c r="A198" s="40"/>
      <c r="B198" s="40"/>
      <c r="C198" s="40"/>
      <c r="D198" s="40"/>
      <c r="E198" s="40"/>
      <c r="F198" s="40"/>
      <c r="G198" s="40"/>
      <c r="H198" s="40"/>
      <c r="I198" s="40"/>
      <c r="J198" s="40"/>
      <c r="K198" s="40"/>
      <c r="L198" s="40"/>
      <c r="M198" s="40"/>
      <c r="N198" s="40"/>
      <c r="O198" s="40"/>
      <c r="P198" s="40"/>
      <c r="Q198" s="40"/>
    </row>
    <row r="199" spans="1:17" hidden="1" x14ac:dyDescent="0.25">
      <c r="A199" s="40"/>
      <c r="B199" s="40"/>
      <c r="C199" s="40"/>
      <c r="D199" s="40"/>
      <c r="E199" s="40"/>
      <c r="F199" s="40"/>
      <c r="G199" s="40"/>
      <c r="H199" s="40"/>
      <c r="I199" s="40"/>
      <c r="J199" s="40"/>
      <c r="K199" s="40"/>
      <c r="L199" s="40"/>
      <c r="M199" s="40"/>
      <c r="N199" s="40"/>
      <c r="O199" s="40"/>
      <c r="P199" s="40"/>
      <c r="Q199" s="40"/>
    </row>
    <row r="200" spans="1:17" hidden="1" x14ac:dyDescent="0.25">
      <c r="A200" s="40"/>
      <c r="B200" s="40"/>
      <c r="C200" s="40"/>
      <c r="D200" s="40"/>
      <c r="E200" s="40"/>
      <c r="F200" s="40"/>
      <c r="G200" s="40"/>
      <c r="H200" s="40"/>
      <c r="I200" s="40"/>
      <c r="J200" s="40"/>
      <c r="K200" s="40"/>
      <c r="L200" s="40"/>
      <c r="M200" s="40"/>
      <c r="N200" s="40"/>
      <c r="O200" s="40"/>
      <c r="P200" s="40"/>
      <c r="Q200" s="40"/>
    </row>
    <row r="201" spans="1:17" hidden="1" x14ac:dyDescent="0.25">
      <c r="A201" s="40"/>
      <c r="B201" s="40"/>
      <c r="C201" s="40"/>
      <c r="D201" s="40"/>
      <c r="E201" s="40"/>
      <c r="F201" s="40"/>
      <c r="G201" s="40"/>
      <c r="H201" s="40"/>
      <c r="I201" s="40"/>
      <c r="J201" s="40"/>
      <c r="K201" s="40"/>
      <c r="L201" s="40"/>
      <c r="M201" s="40"/>
      <c r="N201" s="40"/>
      <c r="O201" s="40"/>
      <c r="P201" s="40"/>
      <c r="Q201" s="40"/>
    </row>
    <row r="202" spans="1:17" hidden="1" x14ac:dyDescent="0.25">
      <c r="A202" s="40"/>
      <c r="B202" s="40"/>
      <c r="C202" s="40"/>
      <c r="D202" s="40"/>
      <c r="E202" s="40"/>
      <c r="F202" s="40"/>
      <c r="G202" s="40"/>
      <c r="H202" s="40"/>
      <c r="I202" s="40"/>
      <c r="J202" s="40"/>
      <c r="K202" s="40"/>
      <c r="L202" s="40"/>
      <c r="M202" s="40"/>
      <c r="N202" s="40"/>
      <c r="O202" s="40"/>
      <c r="P202" s="40"/>
      <c r="Q202" s="40"/>
    </row>
    <row r="203" spans="1:17" hidden="1" x14ac:dyDescent="0.25">
      <c r="A203" s="40"/>
      <c r="B203" s="40"/>
      <c r="C203" s="40"/>
      <c r="D203" s="40"/>
      <c r="E203" s="40"/>
      <c r="F203" s="40"/>
      <c r="G203" s="40"/>
      <c r="H203" s="40"/>
      <c r="I203" s="40"/>
      <c r="J203" s="40"/>
      <c r="K203" s="40"/>
      <c r="L203" s="40"/>
      <c r="M203" s="40"/>
      <c r="N203" s="40"/>
      <c r="O203" s="40"/>
      <c r="P203" s="40"/>
      <c r="Q203" s="40"/>
    </row>
    <row r="204" spans="1:17" hidden="1" x14ac:dyDescent="0.25">
      <c r="A204" s="40"/>
      <c r="B204" s="40"/>
      <c r="C204" s="40"/>
      <c r="D204" s="40"/>
      <c r="E204" s="40"/>
      <c r="F204" s="40"/>
      <c r="G204" s="40"/>
      <c r="H204" s="40"/>
      <c r="I204" s="40"/>
      <c r="J204" s="40"/>
      <c r="K204" s="40"/>
      <c r="L204" s="40"/>
      <c r="M204" s="40"/>
      <c r="N204" s="40"/>
      <c r="O204" s="40"/>
      <c r="P204" s="40"/>
      <c r="Q204" s="40"/>
    </row>
    <row r="205" spans="1:17" hidden="1" x14ac:dyDescent="0.25">
      <c r="A205" s="40"/>
      <c r="B205" s="40"/>
      <c r="C205" s="40"/>
      <c r="D205" s="40"/>
      <c r="E205" s="40"/>
      <c r="F205" s="40"/>
      <c r="G205" s="40"/>
      <c r="H205" s="40"/>
      <c r="I205" s="40"/>
      <c r="J205" s="40"/>
      <c r="K205" s="40"/>
      <c r="L205" s="40"/>
      <c r="M205" s="40"/>
      <c r="N205" s="40"/>
      <c r="O205" s="40"/>
      <c r="P205" s="40"/>
      <c r="Q205" s="40"/>
    </row>
    <row r="206" spans="1:17" hidden="1" x14ac:dyDescent="0.25">
      <c r="A206" s="40"/>
      <c r="B206" s="40"/>
      <c r="C206" s="40"/>
      <c r="D206" s="40"/>
      <c r="E206" s="40"/>
      <c r="F206" s="40"/>
      <c r="G206" s="40"/>
      <c r="H206" s="40"/>
      <c r="I206" s="40"/>
      <c r="J206" s="40"/>
      <c r="K206" s="40"/>
      <c r="L206" s="40"/>
      <c r="M206" s="40"/>
      <c r="N206" s="40"/>
      <c r="O206" s="40"/>
      <c r="P206" s="40"/>
      <c r="Q206" s="40"/>
    </row>
    <row r="207" spans="1:17" hidden="1" x14ac:dyDescent="0.25">
      <c r="A207" s="40"/>
      <c r="B207" s="40"/>
      <c r="C207" s="40"/>
      <c r="D207" s="40"/>
      <c r="E207" s="40"/>
      <c r="F207" s="40"/>
      <c r="G207" s="40"/>
      <c r="H207" s="40"/>
      <c r="I207" s="40"/>
      <c r="J207" s="40"/>
      <c r="K207" s="40"/>
      <c r="L207" s="40"/>
      <c r="M207" s="40"/>
      <c r="N207" s="40"/>
      <c r="O207" s="40"/>
      <c r="P207" s="40"/>
      <c r="Q207" s="40"/>
    </row>
    <row r="208" spans="1:17" hidden="1" x14ac:dyDescent="0.25">
      <c r="A208" s="40"/>
      <c r="B208" s="40"/>
      <c r="C208" s="40"/>
      <c r="D208" s="40"/>
      <c r="E208" s="40"/>
      <c r="F208" s="40"/>
      <c r="G208" s="40"/>
      <c r="H208" s="40"/>
      <c r="I208" s="40"/>
      <c r="J208" s="40"/>
      <c r="K208" s="40"/>
      <c r="L208" s="40"/>
      <c r="M208" s="40"/>
      <c r="N208" s="40"/>
      <c r="O208" s="40"/>
      <c r="P208" s="40"/>
      <c r="Q208" s="40"/>
    </row>
    <row r="209" spans="1:17" hidden="1" x14ac:dyDescent="0.25">
      <c r="A209" s="40"/>
      <c r="B209" s="40"/>
      <c r="C209" s="40"/>
      <c r="D209" s="40"/>
      <c r="E209" s="40"/>
      <c r="F209" s="40"/>
      <c r="G209" s="40"/>
      <c r="H209" s="40"/>
      <c r="I209" s="40"/>
      <c r="J209" s="40"/>
      <c r="K209" s="40"/>
      <c r="L209" s="40"/>
      <c r="M209" s="40"/>
      <c r="N209" s="40"/>
      <c r="O209" s="40"/>
      <c r="P209" s="40"/>
      <c r="Q209" s="40"/>
    </row>
    <row r="210" spans="1:17" hidden="1" x14ac:dyDescent="0.25">
      <c r="A210" s="40"/>
      <c r="B210" s="40"/>
      <c r="C210" s="40"/>
      <c r="D210" s="40"/>
      <c r="E210" s="40"/>
      <c r="F210" s="40"/>
      <c r="G210" s="40"/>
      <c r="H210" s="40"/>
      <c r="I210" s="40"/>
      <c r="J210" s="40"/>
      <c r="K210" s="40"/>
      <c r="L210" s="40"/>
      <c r="M210" s="40"/>
      <c r="N210" s="40"/>
      <c r="O210" s="40"/>
      <c r="P210" s="40"/>
      <c r="Q210" s="40"/>
    </row>
    <row r="211" spans="1:17" hidden="1" x14ac:dyDescent="0.25">
      <c r="A211" s="40"/>
      <c r="B211" s="40"/>
      <c r="C211" s="40"/>
      <c r="D211" s="40"/>
      <c r="E211" s="40"/>
      <c r="F211" s="40"/>
      <c r="G211" s="40"/>
      <c r="H211" s="40"/>
      <c r="I211" s="40"/>
      <c r="J211" s="40"/>
      <c r="K211" s="40"/>
      <c r="L211" s="40"/>
      <c r="M211" s="40"/>
      <c r="N211" s="40"/>
      <c r="O211" s="40"/>
      <c r="P211" s="40"/>
      <c r="Q211" s="40"/>
    </row>
    <row r="212" spans="1:17" hidden="1" x14ac:dyDescent="0.25">
      <c r="A212" s="40"/>
      <c r="B212" s="40"/>
      <c r="C212" s="40"/>
      <c r="D212" s="40"/>
      <c r="E212" s="40"/>
      <c r="F212" s="40"/>
      <c r="G212" s="40"/>
      <c r="H212" s="40"/>
      <c r="I212" s="40"/>
      <c r="J212" s="40"/>
      <c r="K212" s="40"/>
      <c r="L212" s="40"/>
      <c r="M212" s="40"/>
      <c r="N212" s="40"/>
      <c r="O212" s="40"/>
      <c r="P212" s="40"/>
      <c r="Q212" s="40"/>
    </row>
    <row r="213" spans="1:17" hidden="1" x14ac:dyDescent="0.25">
      <c r="A213" s="40"/>
      <c r="B213" s="40"/>
      <c r="C213" s="40"/>
      <c r="D213" s="40"/>
      <c r="E213" s="40"/>
      <c r="F213" s="40"/>
      <c r="G213" s="40"/>
      <c r="H213" s="40"/>
      <c r="I213" s="40"/>
      <c r="J213" s="40"/>
      <c r="K213" s="40"/>
      <c r="L213" s="40"/>
      <c r="M213" s="40"/>
      <c r="N213" s="40"/>
      <c r="O213" s="40"/>
      <c r="P213" s="40"/>
      <c r="Q213" s="40"/>
    </row>
    <row r="214" spans="1:17" hidden="1" x14ac:dyDescent="0.25">
      <c r="A214" s="40"/>
      <c r="B214" s="40"/>
      <c r="C214" s="40"/>
      <c r="D214" s="40"/>
      <c r="E214" s="40"/>
      <c r="F214" s="40"/>
      <c r="G214" s="40"/>
      <c r="H214" s="40"/>
      <c r="I214" s="40"/>
      <c r="J214" s="40"/>
      <c r="K214" s="40"/>
      <c r="L214" s="40"/>
      <c r="M214" s="40"/>
      <c r="N214" s="40"/>
      <c r="O214" s="40"/>
      <c r="P214" s="40"/>
      <c r="Q214" s="40"/>
    </row>
    <row r="215" spans="1:17" hidden="1" x14ac:dyDescent="0.25">
      <c r="A215" s="40"/>
      <c r="B215" s="40"/>
      <c r="C215" s="40"/>
      <c r="D215" s="40"/>
      <c r="E215" s="40"/>
      <c r="F215" s="40"/>
      <c r="G215" s="40"/>
      <c r="H215" s="40"/>
      <c r="I215" s="40"/>
      <c r="J215" s="40"/>
      <c r="K215" s="40"/>
      <c r="L215" s="40"/>
      <c r="M215" s="40"/>
      <c r="N215" s="40"/>
      <c r="O215" s="40"/>
      <c r="P215" s="40"/>
      <c r="Q215" s="40"/>
    </row>
    <row r="216" spans="1:17" hidden="1" x14ac:dyDescent="0.25">
      <c r="A216" s="40"/>
      <c r="B216" s="40"/>
      <c r="C216" s="40"/>
      <c r="D216" s="40"/>
      <c r="E216" s="40"/>
      <c r="F216" s="40"/>
      <c r="G216" s="40"/>
      <c r="H216" s="40"/>
      <c r="I216" s="40"/>
      <c r="J216" s="40"/>
      <c r="K216" s="40"/>
      <c r="L216" s="40"/>
      <c r="M216" s="40"/>
      <c r="N216" s="40"/>
      <c r="O216" s="40"/>
      <c r="P216" s="40"/>
      <c r="Q216" s="40"/>
    </row>
    <row r="217" spans="1:17" hidden="1" x14ac:dyDescent="0.25">
      <c r="A217" s="40"/>
      <c r="B217" s="40"/>
      <c r="C217" s="40"/>
      <c r="D217" s="40"/>
      <c r="E217" s="40"/>
      <c r="F217" s="40"/>
      <c r="G217" s="40"/>
      <c r="H217" s="40"/>
      <c r="I217" s="40"/>
      <c r="J217" s="40"/>
      <c r="K217" s="40"/>
      <c r="L217" s="40"/>
      <c r="M217" s="40"/>
      <c r="N217" s="40"/>
      <c r="O217" s="40"/>
      <c r="P217" s="40"/>
      <c r="Q217" s="40"/>
    </row>
    <row r="218" spans="1:17" hidden="1" x14ac:dyDescent="0.25">
      <c r="A218" s="40"/>
      <c r="B218" s="40"/>
      <c r="C218" s="40"/>
      <c r="D218" s="40"/>
      <c r="E218" s="40"/>
      <c r="F218" s="40"/>
      <c r="G218" s="40"/>
      <c r="H218" s="40"/>
      <c r="I218" s="40"/>
      <c r="J218" s="40"/>
      <c r="K218" s="40"/>
      <c r="L218" s="40"/>
      <c r="M218" s="40"/>
      <c r="N218" s="40"/>
      <c r="O218" s="40"/>
      <c r="P218" s="40"/>
      <c r="Q218" s="40"/>
    </row>
    <row r="219" spans="1:17" hidden="1" x14ac:dyDescent="0.25">
      <c r="A219" s="40"/>
      <c r="B219" s="40"/>
      <c r="C219" s="40"/>
      <c r="D219" s="40"/>
      <c r="E219" s="40"/>
      <c r="F219" s="40"/>
      <c r="G219" s="40"/>
      <c r="H219" s="40"/>
      <c r="I219" s="40"/>
      <c r="J219" s="40"/>
      <c r="K219" s="40"/>
      <c r="L219" s="40"/>
      <c r="M219" s="40"/>
      <c r="N219" s="40"/>
      <c r="O219" s="40"/>
      <c r="P219" s="40"/>
      <c r="Q219" s="40"/>
    </row>
    <row r="220" spans="1:17" hidden="1" x14ac:dyDescent="0.25">
      <c r="A220" s="40"/>
      <c r="B220" s="40"/>
      <c r="C220" s="40"/>
      <c r="D220" s="40"/>
      <c r="E220" s="40"/>
      <c r="F220" s="40"/>
      <c r="G220" s="40"/>
      <c r="H220" s="40"/>
      <c r="I220" s="40"/>
      <c r="J220" s="40"/>
      <c r="K220" s="40"/>
      <c r="L220" s="40"/>
      <c r="M220" s="40"/>
      <c r="N220" s="40"/>
      <c r="O220" s="40"/>
      <c r="P220" s="40"/>
      <c r="Q220" s="40"/>
    </row>
    <row r="221" spans="1:17" hidden="1" x14ac:dyDescent="0.25">
      <c r="A221" s="40"/>
      <c r="B221" s="40"/>
      <c r="C221" s="40"/>
      <c r="D221" s="40"/>
      <c r="E221" s="40"/>
      <c r="F221" s="40"/>
      <c r="G221" s="40"/>
      <c r="H221" s="40"/>
      <c r="I221" s="40"/>
      <c r="J221" s="40"/>
      <c r="K221" s="40"/>
      <c r="L221" s="40"/>
      <c r="M221" s="40"/>
      <c r="N221" s="40"/>
      <c r="O221" s="40"/>
      <c r="P221" s="40"/>
      <c r="Q221" s="40"/>
    </row>
    <row r="222" spans="1:17" hidden="1" x14ac:dyDescent="0.25">
      <c r="A222" s="40"/>
      <c r="B222" s="40"/>
      <c r="C222" s="40"/>
      <c r="D222" s="40"/>
      <c r="E222" s="40"/>
      <c r="F222" s="40"/>
      <c r="H222" s="40"/>
      <c r="I222" s="40"/>
      <c r="J222" s="40"/>
      <c r="K222" s="40"/>
      <c r="L222" s="40"/>
      <c r="M222" s="40"/>
      <c r="N222" s="40"/>
      <c r="O222" s="40"/>
      <c r="P222" s="40"/>
      <c r="Q222" s="40"/>
    </row>
    <row r="223" spans="1:17" hidden="1" x14ac:dyDescent="0.25">
      <c r="A223" s="40"/>
      <c r="B223" s="40"/>
      <c r="C223" s="40"/>
      <c r="D223" s="40"/>
      <c r="E223" s="40"/>
      <c r="F223" s="40"/>
      <c r="H223" s="40"/>
      <c r="I223" s="40"/>
      <c r="J223" s="40"/>
      <c r="K223" s="40"/>
      <c r="L223" s="40"/>
      <c r="M223" s="40"/>
      <c r="N223" s="40"/>
      <c r="O223" s="40"/>
      <c r="P223" s="40"/>
      <c r="Q223" s="40"/>
    </row>
    <row r="224" spans="1:17" hidden="1" x14ac:dyDescent="0.25">
      <c r="A224" s="40"/>
      <c r="B224" s="40"/>
      <c r="C224" s="40"/>
      <c r="D224" s="40"/>
      <c r="E224" s="40"/>
      <c r="F224" s="40"/>
      <c r="H224" s="40"/>
      <c r="I224" s="40"/>
      <c r="J224" s="40"/>
      <c r="K224" s="40"/>
      <c r="L224" s="40"/>
      <c r="M224" s="40"/>
      <c r="N224" s="40"/>
      <c r="O224" s="40"/>
      <c r="P224" s="40"/>
      <c r="Q224" s="40"/>
    </row>
    <row r="225" spans="1:17" hidden="1" x14ac:dyDescent="0.25">
      <c r="A225" s="40"/>
      <c r="B225" s="40"/>
      <c r="C225" s="40"/>
      <c r="D225" s="40"/>
      <c r="E225" s="40"/>
      <c r="F225" s="40"/>
      <c r="H225" s="40"/>
      <c r="I225" s="40"/>
      <c r="J225" s="40"/>
      <c r="K225" s="40"/>
      <c r="L225" s="40"/>
      <c r="M225" s="40"/>
      <c r="N225" s="40"/>
      <c r="O225" s="40"/>
      <c r="P225" s="40"/>
      <c r="Q225" s="40"/>
    </row>
    <row r="226" spans="1:17" hidden="1" x14ac:dyDescent="0.25">
      <c r="A226" s="40"/>
      <c r="B226" s="40"/>
      <c r="C226" s="40"/>
      <c r="D226" s="40"/>
      <c r="E226" s="40"/>
      <c r="F226" s="40"/>
      <c r="H226" s="40"/>
      <c r="I226" s="40"/>
      <c r="J226" s="40"/>
      <c r="K226" s="40"/>
      <c r="L226" s="40"/>
      <c r="M226" s="40"/>
      <c r="N226" s="40"/>
      <c r="O226" s="40"/>
      <c r="P226" s="40"/>
      <c r="Q226" s="40"/>
    </row>
    <row r="227" spans="1:17" hidden="1" x14ac:dyDescent="0.25">
      <c r="A227" s="40"/>
      <c r="B227" s="40"/>
      <c r="C227" s="40"/>
      <c r="D227" s="40"/>
      <c r="E227" s="40"/>
      <c r="F227" s="40"/>
      <c r="H227" s="40"/>
      <c r="I227" s="40"/>
      <c r="J227" s="40"/>
      <c r="K227" s="40"/>
      <c r="L227" s="40"/>
      <c r="M227" s="40"/>
      <c r="N227" s="40"/>
      <c r="O227" s="40"/>
      <c r="P227" s="40"/>
      <c r="Q227" s="40"/>
    </row>
    <row r="228" spans="1:17" hidden="1" x14ac:dyDescent="0.25">
      <c r="A228" s="40"/>
      <c r="B228" s="40"/>
      <c r="C228" s="40"/>
      <c r="D228" s="40"/>
      <c r="E228" s="40"/>
      <c r="F228" s="40"/>
      <c r="H228" s="40"/>
      <c r="I228" s="40"/>
      <c r="J228" s="40"/>
      <c r="K228" s="40"/>
      <c r="L228" s="40"/>
      <c r="M228" s="40"/>
      <c r="N228" s="40"/>
      <c r="O228" s="40"/>
      <c r="P228" s="40"/>
      <c r="Q228" s="40"/>
    </row>
    <row r="229" spans="1:17" hidden="1" x14ac:dyDescent="0.25">
      <c r="A229" s="40"/>
      <c r="B229" s="40"/>
      <c r="C229" s="40"/>
      <c r="D229" s="40"/>
      <c r="E229" s="40"/>
      <c r="F229" s="40"/>
      <c r="H229" s="40"/>
      <c r="I229" s="40"/>
      <c r="J229" s="40"/>
      <c r="K229" s="40"/>
      <c r="L229" s="40"/>
      <c r="M229" s="40"/>
      <c r="N229" s="40"/>
      <c r="O229" s="40"/>
      <c r="P229" s="40"/>
      <c r="Q229" s="40"/>
    </row>
    <row r="230" spans="1:17" hidden="1" x14ac:dyDescent="0.25">
      <c r="A230" s="40"/>
      <c r="B230" s="40"/>
      <c r="C230" s="40"/>
      <c r="D230" s="40"/>
      <c r="E230" s="40"/>
      <c r="F230" s="40"/>
      <c r="H230" s="40"/>
      <c r="I230" s="40"/>
      <c r="J230" s="40"/>
      <c r="K230" s="40"/>
      <c r="L230" s="40"/>
      <c r="M230" s="40"/>
      <c r="N230" s="40"/>
      <c r="O230" s="40"/>
      <c r="P230" s="40"/>
      <c r="Q230" s="40"/>
    </row>
    <row r="231" spans="1:17" hidden="1" x14ac:dyDescent="0.25">
      <c r="A231" s="40"/>
      <c r="B231" s="40"/>
      <c r="C231" s="40"/>
      <c r="D231" s="40"/>
      <c r="E231" s="40"/>
      <c r="F231" s="40"/>
      <c r="H231" s="40"/>
      <c r="I231" s="40"/>
      <c r="J231" s="40"/>
      <c r="K231" s="40"/>
      <c r="L231" s="40"/>
      <c r="M231" s="40"/>
      <c r="N231" s="40"/>
      <c r="O231" s="40"/>
      <c r="P231" s="40"/>
      <c r="Q231" s="40"/>
    </row>
    <row r="232" spans="1:17" hidden="1" x14ac:dyDescent="0.25">
      <c r="A232" s="40"/>
      <c r="B232" s="40"/>
      <c r="C232" s="40"/>
      <c r="D232" s="40"/>
      <c r="E232" s="40"/>
      <c r="F232" s="40"/>
      <c r="H232" s="40"/>
      <c r="I232" s="40"/>
      <c r="J232" s="40"/>
      <c r="K232" s="40"/>
      <c r="L232" s="40"/>
      <c r="M232" s="40"/>
      <c r="N232" s="40"/>
      <c r="O232" s="40"/>
      <c r="P232" s="40"/>
      <c r="Q232" s="40"/>
    </row>
    <row r="233" spans="1:17" hidden="1" x14ac:dyDescent="0.25">
      <c r="A233" s="40"/>
      <c r="B233" s="40"/>
      <c r="C233" s="40"/>
      <c r="D233" s="40"/>
      <c r="E233" s="40"/>
      <c r="F233" s="40"/>
      <c r="H233" s="40"/>
      <c r="I233" s="40"/>
      <c r="J233" s="40"/>
      <c r="K233" s="40"/>
      <c r="L233" s="40"/>
      <c r="M233" s="40"/>
      <c r="N233" s="40"/>
      <c r="O233" s="40"/>
      <c r="P233" s="40"/>
      <c r="Q233" s="40"/>
    </row>
    <row r="234" spans="1:17" hidden="1" x14ac:dyDescent="0.25">
      <c r="A234" s="40"/>
      <c r="B234" s="40"/>
      <c r="C234" s="40"/>
      <c r="D234" s="40"/>
      <c r="E234" s="40"/>
      <c r="F234" s="40"/>
      <c r="H234" s="40"/>
      <c r="I234" s="40"/>
      <c r="J234" s="40"/>
      <c r="K234" s="40"/>
      <c r="L234" s="40"/>
      <c r="M234" s="40"/>
      <c r="N234" s="40"/>
      <c r="O234" s="40"/>
      <c r="P234" s="40"/>
      <c r="Q234" s="40"/>
    </row>
    <row r="235" spans="1:17" hidden="1" x14ac:dyDescent="0.25">
      <c r="A235" s="40"/>
      <c r="B235" s="40"/>
      <c r="C235" s="40"/>
      <c r="D235" s="40"/>
      <c r="E235" s="40"/>
      <c r="F235" s="40"/>
      <c r="H235" s="40"/>
      <c r="I235" s="40"/>
      <c r="J235" s="40"/>
      <c r="K235" s="40"/>
      <c r="L235" s="40"/>
      <c r="M235" s="40"/>
      <c r="N235" s="40"/>
      <c r="O235" s="40"/>
      <c r="P235" s="40"/>
      <c r="Q235" s="40"/>
    </row>
    <row r="236" spans="1:17" hidden="1" x14ac:dyDescent="0.25">
      <c r="A236" s="40"/>
      <c r="B236" s="40"/>
      <c r="C236" s="40"/>
      <c r="D236" s="40"/>
      <c r="E236" s="40"/>
      <c r="F236" s="40"/>
      <c r="H236" s="40"/>
      <c r="I236" s="40"/>
      <c r="J236" s="40"/>
      <c r="K236" s="40"/>
      <c r="L236" s="40"/>
      <c r="M236" s="40"/>
      <c r="N236" s="40"/>
      <c r="O236" s="40"/>
      <c r="P236" s="40"/>
      <c r="Q236" s="40"/>
    </row>
    <row r="237" spans="1:17" hidden="1" x14ac:dyDescent="0.25">
      <c r="A237" s="40"/>
      <c r="B237" s="40"/>
      <c r="C237" s="40"/>
      <c r="D237" s="40"/>
      <c r="E237" s="40"/>
      <c r="F237" s="40"/>
      <c r="H237" s="40"/>
      <c r="I237" s="40"/>
      <c r="J237" s="40"/>
      <c r="K237" s="40"/>
      <c r="L237" s="40"/>
      <c r="M237" s="40"/>
      <c r="N237" s="40"/>
      <c r="O237" s="40"/>
      <c r="P237" s="40"/>
      <c r="Q237" s="40"/>
    </row>
    <row r="238" spans="1:17" hidden="1" x14ac:dyDescent="0.25">
      <c r="A238" s="40"/>
      <c r="B238" s="40"/>
      <c r="C238" s="40"/>
      <c r="D238" s="40"/>
      <c r="E238" s="40"/>
      <c r="F238" s="40"/>
      <c r="H238" s="40"/>
      <c r="I238" s="40"/>
      <c r="J238" s="40"/>
      <c r="K238" s="40"/>
      <c r="L238" s="40"/>
      <c r="M238" s="40"/>
      <c r="N238" s="40"/>
      <c r="O238" s="40"/>
      <c r="P238" s="40"/>
      <c r="Q238" s="40"/>
    </row>
    <row r="239" spans="1:17" hidden="1" x14ac:dyDescent="0.25">
      <c r="A239" s="40"/>
      <c r="B239" s="40"/>
      <c r="C239" s="40"/>
      <c r="D239" s="40"/>
      <c r="E239" s="40"/>
      <c r="F239" s="40"/>
      <c r="H239" s="40"/>
      <c r="I239" s="40"/>
      <c r="J239" s="40"/>
      <c r="K239" s="40"/>
      <c r="L239" s="40"/>
      <c r="M239" s="40"/>
      <c r="N239" s="40"/>
      <c r="O239" s="40"/>
      <c r="P239" s="40"/>
      <c r="Q239" s="40"/>
    </row>
    <row r="240" spans="1:17" hidden="1" x14ac:dyDescent="0.25">
      <c r="A240" s="40"/>
      <c r="B240" s="40"/>
      <c r="C240" s="40"/>
      <c r="D240" s="40"/>
      <c r="E240" s="40"/>
      <c r="F240" s="40"/>
      <c r="H240" s="40"/>
      <c r="I240" s="40"/>
      <c r="J240" s="40"/>
      <c r="K240" s="40"/>
      <c r="L240" s="40"/>
      <c r="M240" s="40"/>
      <c r="N240" s="40"/>
      <c r="O240" s="40"/>
      <c r="P240" s="40"/>
      <c r="Q240" s="40"/>
    </row>
    <row r="241" spans="1:17" hidden="1" x14ac:dyDescent="0.25">
      <c r="A241" s="40"/>
      <c r="B241" s="40"/>
      <c r="C241" s="40"/>
      <c r="D241" s="40"/>
      <c r="E241" s="40"/>
      <c r="F241" s="40"/>
      <c r="H241" s="40"/>
      <c r="I241" s="40"/>
      <c r="J241" s="40"/>
      <c r="K241" s="40"/>
      <c r="L241" s="40"/>
      <c r="M241" s="40"/>
      <c r="N241" s="40"/>
      <c r="O241" s="40"/>
      <c r="P241" s="40"/>
      <c r="Q241" s="40"/>
    </row>
    <row r="242" spans="1:17" hidden="1" x14ac:dyDescent="0.25">
      <c r="A242" s="40"/>
      <c r="B242" s="40"/>
      <c r="C242" s="40"/>
      <c r="D242" s="40"/>
      <c r="E242" s="40"/>
      <c r="F242" s="40"/>
      <c r="H242" s="40"/>
      <c r="I242" s="40"/>
      <c r="J242" s="40"/>
      <c r="K242" s="40"/>
      <c r="L242" s="40"/>
      <c r="M242" s="40"/>
      <c r="N242" s="40"/>
      <c r="O242" s="40"/>
      <c r="P242" s="40"/>
      <c r="Q242" s="40"/>
    </row>
    <row r="243" spans="1:17" hidden="1" x14ac:dyDescent="0.25">
      <c r="A243" s="40"/>
      <c r="B243" s="40"/>
      <c r="C243" s="40"/>
      <c r="D243" s="40"/>
      <c r="E243" s="40"/>
      <c r="F243" s="40"/>
      <c r="H243" s="40"/>
      <c r="I243" s="40"/>
      <c r="J243" s="40"/>
      <c r="K243" s="40"/>
      <c r="L243" s="40"/>
      <c r="M243" s="40"/>
      <c r="N243" s="40"/>
      <c r="O243" s="40"/>
      <c r="P243" s="40"/>
      <c r="Q243" s="40"/>
    </row>
    <row r="244" spans="1:17" hidden="1" x14ac:dyDescent="0.25">
      <c r="A244" s="40"/>
      <c r="B244" s="40"/>
      <c r="C244" s="40"/>
      <c r="D244" s="40"/>
      <c r="E244" s="40"/>
      <c r="F244" s="40"/>
      <c r="H244" s="40"/>
      <c r="I244" s="40"/>
      <c r="J244" s="40"/>
      <c r="K244" s="40"/>
      <c r="L244" s="40"/>
      <c r="M244" s="40"/>
      <c r="N244" s="40"/>
      <c r="O244" s="40"/>
      <c r="P244" s="40"/>
      <c r="Q244" s="40"/>
    </row>
    <row r="245" spans="1:17" hidden="1" x14ac:dyDescent="0.25">
      <c r="A245" s="40"/>
      <c r="B245" s="40"/>
      <c r="C245" s="40"/>
      <c r="D245" s="40"/>
      <c r="E245" s="40"/>
      <c r="F245" s="40"/>
      <c r="H245" s="40"/>
      <c r="I245" s="40"/>
      <c r="J245" s="40"/>
      <c r="K245" s="40"/>
      <c r="L245" s="40"/>
      <c r="M245" s="40"/>
      <c r="N245" s="40"/>
      <c r="O245" s="40"/>
      <c r="P245" s="40"/>
      <c r="Q245" s="40"/>
    </row>
    <row r="246" spans="1:17" hidden="1" x14ac:dyDescent="0.25">
      <c r="A246" s="40"/>
      <c r="B246" s="40"/>
      <c r="C246" s="40"/>
      <c r="D246" s="40"/>
      <c r="E246" s="40"/>
      <c r="F246" s="40"/>
      <c r="H246" s="40"/>
      <c r="K246" s="40"/>
      <c r="L246" s="40"/>
      <c r="M246" s="40"/>
      <c r="N246" s="40"/>
      <c r="O246" s="40"/>
      <c r="P246" s="40"/>
      <c r="Q246" s="40"/>
    </row>
    <row r="247" spans="1:17" hidden="1" x14ac:dyDescent="0.25">
      <c r="A247" s="40"/>
      <c r="B247" s="40"/>
      <c r="C247" s="40"/>
      <c r="D247" s="40"/>
      <c r="E247" s="40"/>
      <c r="F247" s="40"/>
      <c r="H247" s="40"/>
      <c r="K247" s="40"/>
      <c r="L247" s="40"/>
      <c r="M247" s="40"/>
      <c r="N247" s="40"/>
      <c r="O247" s="40"/>
      <c r="P247" s="40"/>
      <c r="Q247" s="40"/>
    </row>
    <row r="248" spans="1:17" hidden="1" x14ac:dyDescent="0.25">
      <c r="A248" s="40"/>
      <c r="B248" s="40"/>
      <c r="C248" s="40"/>
      <c r="D248" s="40"/>
      <c r="E248" s="40"/>
      <c r="F248" s="40"/>
      <c r="H248" s="40"/>
      <c r="K248" s="40"/>
      <c r="L248" s="40"/>
      <c r="M248" s="40"/>
      <c r="N248" s="40"/>
      <c r="O248" s="40"/>
      <c r="P248" s="40"/>
      <c r="Q248" s="40"/>
    </row>
    <row r="249" spans="1:17" hidden="1" x14ac:dyDescent="0.25">
      <c r="A249" s="40"/>
      <c r="B249" s="40"/>
      <c r="C249" s="40"/>
      <c r="D249" s="40"/>
      <c r="E249" s="40"/>
      <c r="F249" s="40"/>
      <c r="H249" s="40"/>
      <c r="K249" s="40"/>
      <c r="L249" s="40"/>
      <c r="M249" s="40"/>
      <c r="N249" s="40"/>
      <c r="O249" s="40"/>
      <c r="P249" s="40"/>
      <c r="Q249" s="40"/>
    </row>
    <row r="250" spans="1:17" hidden="1" x14ac:dyDescent="0.25">
      <c r="A250" s="40"/>
      <c r="B250" s="40"/>
      <c r="C250" s="40"/>
      <c r="D250" s="40"/>
      <c r="E250" s="40"/>
      <c r="F250" s="40"/>
      <c r="H250" s="40"/>
      <c r="K250" s="40"/>
      <c r="L250" s="40"/>
      <c r="M250" s="40"/>
      <c r="N250" s="40"/>
      <c r="O250" s="40"/>
      <c r="P250" s="40"/>
      <c r="Q250" s="40"/>
    </row>
    <row r="251" spans="1:17" hidden="1" x14ac:dyDescent="0.25">
      <c r="A251" s="40"/>
      <c r="B251" s="40"/>
      <c r="C251" s="40"/>
      <c r="D251" s="40"/>
      <c r="E251" s="40"/>
      <c r="F251" s="40"/>
      <c r="H251" s="40"/>
      <c r="K251" s="40"/>
      <c r="L251" s="40"/>
      <c r="M251" s="40"/>
      <c r="N251" s="40"/>
      <c r="O251" s="40"/>
      <c r="P251" s="40"/>
      <c r="Q251" s="40"/>
    </row>
    <row r="252" spans="1:17" hidden="1" x14ac:dyDescent="0.25">
      <c r="A252" s="40"/>
      <c r="B252" s="40"/>
      <c r="C252" s="40"/>
      <c r="D252" s="40"/>
      <c r="E252" s="40"/>
      <c r="F252" s="40"/>
      <c r="H252" s="40"/>
      <c r="K252" s="40"/>
      <c r="L252" s="40"/>
      <c r="M252" s="40"/>
      <c r="N252" s="40"/>
      <c r="O252" s="40"/>
      <c r="P252" s="40"/>
      <c r="Q252" s="40"/>
    </row>
    <row r="253" spans="1:17" hidden="1" x14ac:dyDescent="0.25">
      <c r="A253" s="40"/>
      <c r="B253" s="40"/>
      <c r="C253" s="40"/>
      <c r="D253" s="40"/>
      <c r="E253" s="40"/>
      <c r="F253" s="40"/>
      <c r="H253" s="40"/>
      <c r="K253" s="40"/>
      <c r="L253" s="40"/>
      <c r="M253" s="40"/>
      <c r="N253" s="40"/>
      <c r="O253" s="40"/>
      <c r="P253" s="40"/>
      <c r="Q253" s="40"/>
    </row>
    <row r="254" spans="1:17" hidden="1" x14ac:dyDescent="0.25">
      <c r="A254" s="40"/>
      <c r="B254" s="40"/>
      <c r="C254" s="40"/>
      <c r="D254" s="40"/>
      <c r="E254" s="40"/>
      <c r="F254" s="40"/>
      <c r="H254" s="40"/>
      <c r="K254" s="40"/>
      <c r="L254" s="40"/>
      <c r="M254" s="40"/>
      <c r="N254" s="40"/>
      <c r="O254" s="40"/>
      <c r="P254" s="40"/>
      <c r="Q254" s="40"/>
    </row>
    <row r="255" spans="1:17" hidden="1" x14ac:dyDescent="0.25">
      <c r="A255" s="40"/>
      <c r="B255" s="40"/>
      <c r="C255" s="40"/>
      <c r="D255" s="40"/>
      <c r="E255" s="40"/>
      <c r="F255" s="40"/>
      <c r="H255" s="40"/>
      <c r="K255" s="40"/>
      <c r="L255" s="40"/>
      <c r="M255" s="40"/>
      <c r="N255" s="40"/>
      <c r="O255" s="40"/>
      <c r="P255" s="40"/>
      <c r="Q255" s="40"/>
    </row>
    <row r="256" spans="1:17" hidden="1" x14ac:dyDescent="0.25">
      <c r="A256" s="40"/>
      <c r="B256" s="40"/>
      <c r="C256" s="40"/>
      <c r="D256" s="40"/>
      <c r="E256" s="40"/>
      <c r="F256" s="40"/>
      <c r="H256" s="40"/>
      <c r="K256" s="40"/>
      <c r="L256" s="40"/>
      <c r="M256" s="40"/>
      <c r="N256" s="40"/>
      <c r="O256" s="40"/>
      <c r="P256" s="40"/>
      <c r="Q256" s="40"/>
    </row>
    <row r="257" spans="1:17" hidden="1" x14ac:dyDescent="0.25">
      <c r="A257" s="40"/>
      <c r="B257" s="40"/>
      <c r="C257" s="40"/>
      <c r="D257" s="40"/>
      <c r="E257" s="40"/>
      <c r="F257" s="40"/>
      <c r="H257" s="40"/>
      <c r="K257" s="40"/>
      <c r="L257" s="40"/>
      <c r="M257" s="40"/>
      <c r="N257" s="40"/>
      <c r="O257" s="40"/>
      <c r="P257" s="40"/>
      <c r="Q257" s="40"/>
    </row>
    <row r="258" spans="1:17" hidden="1" x14ac:dyDescent="0.25">
      <c r="A258" s="40"/>
      <c r="B258" s="40"/>
      <c r="C258" s="40"/>
      <c r="D258" s="40"/>
      <c r="E258" s="40"/>
      <c r="F258" s="40"/>
      <c r="H258" s="40"/>
      <c r="K258" s="40"/>
      <c r="L258" s="40"/>
      <c r="M258" s="40"/>
      <c r="N258" s="40"/>
      <c r="O258" s="40"/>
      <c r="P258" s="40"/>
      <c r="Q258" s="40"/>
    </row>
    <row r="259" spans="1:17" hidden="1" x14ac:dyDescent="0.25">
      <c r="A259" s="40"/>
    </row>
    <row r="260" spans="1:17" hidden="1" x14ac:dyDescent="0.25">
      <c r="A260" s="40"/>
    </row>
    <row r="261" spans="1:17" hidden="1" x14ac:dyDescent="0.25">
      <c r="A261" s="40"/>
    </row>
    <row r="262" spans="1:17" hidden="1" x14ac:dyDescent="0.25">
      <c r="A262" s="40"/>
    </row>
    <row r="263" spans="1:17" hidden="1" x14ac:dyDescent="0.25">
      <c r="A263" s="40"/>
    </row>
    <row r="264" spans="1:17" hidden="1" x14ac:dyDescent="0.25">
      <c r="A264" s="40"/>
    </row>
    <row r="265" spans="1:17" hidden="1" x14ac:dyDescent="0.25">
      <c r="A265" s="40"/>
    </row>
    <row r="266" spans="1:17" hidden="1" x14ac:dyDescent="0.25">
      <c r="A266" s="40"/>
    </row>
    <row r="267" spans="1:17" hidden="1" x14ac:dyDescent="0.25">
      <c r="A267" s="40"/>
    </row>
    <row r="268" spans="1:17" hidden="1" x14ac:dyDescent="0.25">
      <c r="A268" s="40"/>
    </row>
    <row r="269" spans="1:17" hidden="1" x14ac:dyDescent="0.25">
      <c r="A269" s="40"/>
    </row>
    <row r="270" spans="1:17" hidden="1" x14ac:dyDescent="0.25">
      <c r="A270" s="40"/>
    </row>
    <row r="271" spans="1:17" hidden="1" x14ac:dyDescent="0.25">
      <c r="A271" s="40"/>
    </row>
    <row r="272" spans="1:17" hidden="1" x14ac:dyDescent="0.25">
      <c r="A272" s="40"/>
    </row>
    <row r="273" spans="1:1" hidden="1" x14ac:dyDescent="0.25">
      <c r="A273" s="40"/>
    </row>
    <row r="274" spans="1:1" hidden="1" x14ac:dyDescent="0.25">
      <c r="A274" s="40"/>
    </row>
    <row r="275" spans="1:1" hidden="1" x14ac:dyDescent="0.25">
      <c r="A275" s="40"/>
    </row>
    <row r="276" spans="1:1" hidden="1" x14ac:dyDescent="0.25">
      <c r="A276" s="40"/>
    </row>
    <row r="277" spans="1:1" hidden="1" x14ac:dyDescent="0.25">
      <c r="A277" s="40"/>
    </row>
    <row r="278" spans="1:1" hidden="1" x14ac:dyDescent="0.25">
      <c r="A278" s="40"/>
    </row>
    <row r="279" spans="1:1" hidden="1" x14ac:dyDescent="0.25">
      <c r="A279" s="40"/>
    </row>
    <row r="280" spans="1:1" hidden="1" x14ac:dyDescent="0.25">
      <c r="A280" s="40"/>
    </row>
    <row r="281" spans="1:1" hidden="1" x14ac:dyDescent="0.25">
      <c r="A281" s="40"/>
    </row>
    <row r="282" spans="1:1" hidden="1" x14ac:dyDescent="0.25">
      <c r="A282" s="40"/>
    </row>
    <row r="283" spans="1:1" hidden="1" x14ac:dyDescent="0.25">
      <c r="A283" s="40"/>
    </row>
    <row r="284" spans="1:1" hidden="1" x14ac:dyDescent="0.25">
      <c r="A284" s="40"/>
    </row>
    <row r="285" spans="1:1" hidden="1" x14ac:dyDescent="0.25">
      <c r="A285" s="40"/>
    </row>
    <row r="286" spans="1:1" hidden="1" x14ac:dyDescent="0.25">
      <c r="A286" s="40"/>
    </row>
    <row r="287" spans="1:1" hidden="1" x14ac:dyDescent="0.25">
      <c r="A287" s="40"/>
    </row>
    <row r="288" spans="1:1" hidden="1" x14ac:dyDescent="0.25">
      <c r="A288" s="40"/>
    </row>
    <row r="289" spans="1:1" hidden="1" x14ac:dyDescent="0.25">
      <c r="A289" s="40"/>
    </row>
    <row r="290" spans="1:1" hidden="1" x14ac:dyDescent="0.25">
      <c r="A290" s="40"/>
    </row>
    <row r="291" spans="1:1" hidden="1" x14ac:dyDescent="0.25">
      <c r="A291" s="40"/>
    </row>
    <row r="292" spans="1:1" hidden="1" x14ac:dyDescent="0.25">
      <c r="A292" s="40"/>
    </row>
    <row r="293" spans="1:1" hidden="1" x14ac:dyDescent="0.25">
      <c r="A293" s="40"/>
    </row>
    <row r="294" spans="1:1" hidden="1" x14ac:dyDescent="0.25">
      <c r="A294" s="40"/>
    </row>
    <row r="295" spans="1:1" hidden="1" x14ac:dyDescent="0.25">
      <c r="A295" s="40"/>
    </row>
    <row r="296" spans="1:1" hidden="1" x14ac:dyDescent="0.25">
      <c r="A296" s="40"/>
    </row>
    <row r="297" spans="1:1" hidden="1" x14ac:dyDescent="0.25">
      <c r="A297" s="40"/>
    </row>
    <row r="298" spans="1:1" hidden="1" x14ac:dyDescent="0.25">
      <c r="A298" s="40"/>
    </row>
    <row r="299" spans="1:1" x14ac:dyDescent="0.25"/>
    <row r="300" spans="1:1" x14ac:dyDescent="0.25"/>
    <row r="301" spans="1:1" x14ac:dyDescent="0.25"/>
    <row r="302" spans="1:1" x14ac:dyDescent="0.25"/>
    <row r="303" spans="1:1" x14ac:dyDescent="0.25"/>
    <row r="304" spans="1:1" x14ac:dyDescent="0.25"/>
    <row r="305" x14ac:dyDescent="0.25"/>
    <row r="306" x14ac:dyDescent="0.25"/>
  </sheetData>
  <sheetProtection algorithmName="SHA-512" hashValue="ByklNbcU9bdSHD/BfqtWCOfazfyBibUfzCeNaXWLw6D4A9sO4gtTzR9BzdeI5x3Dw/juMmJ8fZMHdg6+D6k9yw==" saltValue="P1DlIkFQY/AlSsaP9sP4JA==" spinCount="100000" sheet="1" objects="1" scenarios="1"/>
  <customSheetViews>
    <customSheetView guid="{8BDA793C-C9C5-4FC6-A0A5-F1109F6D4F22}" state="hidden" topLeftCell="A81">
      <selection activeCell="D14" sqref="D14"/>
    </customSheetView>
  </customSheetViews>
  <mergeCells count="24">
    <mergeCell ref="C6:F6"/>
    <mergeCell ref="C7:F7"/>
    <mergeCell ref="C8:F8"/>
    <mergeCell ref="B39:G39"/>
    <mergeCell ref="B11:G11"/>
    <mergeCell ref="B2:G2"/>
    <mergeCell ref="G3:G4"/>
    <mergeCell ref="B3:B4"/>
    <mergeCell ref="C3:F4"/>
    <mergeCell ref="C5:F5"/>
    <mergeCell ref="B121:F121"/>
    <mergeCell ref="I122:J122"/>
    <mergeCell ref="I11:J11"/>
    <mergeCell ref="G108:G110"/>
    <mergeCell ref="G111:G113"/>
    <mergeCell ref="I87:J87"/>
    <mergeCell ref="I39:J39"/>
    <mergeCell ref="B87:G87"/>
    <mergeCell ref="G89:G92"/>
    <mergeCell ref="G93:G95"/>
    <mergeCell ref="G96:G101"/>
    <mergeCell ref="G102:G103"/>
    <mergeCell ref="I13:J13"/>
    <mergeCell ref="G105:G107"/>
  </mergeCells>
  <conditionalFormatting sqref="H3">
    <cfRule type="cellIs" dxfId="338" priority="92" operator="equal">
      <formula>"Check Proposed Habitat Trading"</formula>
    </cfRule>
    <cfRule type="cellIs" dxfId="337" priority="93" operator="equal">
      <formula>"Overall Trading Acceptable"</formula>
    </cfRule>
  </conditionalFormatting>
  <conditionalFormatting sqref="J12">
    <cfRule type="cellIs" dxfId="336" priority="65" operator="greaterThan">
      <formula>0</formula>
    </cfRule>
    <cfRule type="cellIs" dxfId="335" priority="66" operator="lessThan">
      <formula>0</formula>
    </cfRule>
  </conditionalFormatting>
  <conditionalFormatting sqref="J41">
    <cfRule type="cellIs" dxfId="334" priority="58" operator="greaterThanOrEqual">
      <formula>0</formula>
    </cfRule>
    <cfRule type="cellIs" dxfId="333" priority="61" operator="lessThan">
      <formula>0</formula>
    </cfRule>
  </conditionalFormatting>
  <conditionalFormatting sqref="J40">
    <cfRule type="cellIs" dxfId="332" priority="59" operator="greaterThan">
      <formula>0</formula>
    </cfRule>
    <cfRule type="cellIs" dxfId="331" priority="60" operator="lessThan">
      <formula>0</formula>
    </cfRule>
  </conditionalFormatting>
  <conditionalFormatting sqref="J88 J90:J91 J123:J124">
    <cfRule type="cellIs" dxfId="330" priority="32" operator="lessThan">
      <formula>0</formula>
    </cfRule>
    <cfRule type="cellIs" dxfId="329" priority="33" operator="greaterThan">
      <formula>0</formula>
    </cfRule>
  </conditionalFormatting>
  <conditionalFormatting sqref="G5:G8">
    <cfRule type="containsText" dxfId="328" priority="62" operator="containsText" text="Yes">
      <formula>NOT(ISERROR(SEARCH("Yes",G5)))</formula>
    </cfRule>
    <cfRule type="containsText" dxfId="327" priority="63" operator="containsText" text="No">
      <formula>NOT(ISERROR(SEARCH("No",G5)))</formula>
    </cfRule>
  </conditionalFormatting>
  <conditionalFormatting sqref="J89">
    <cfRule type="cellIs" dxfId="326" priority="29" operator="lessThan">
      <formula>0</formula>
    </cfRule>
  </conditionalFormatting>
  <conditionalFormatting sqref="B41:G81 B89:F113 B123:F158">
    <cfRule type="expression" dxfId="325" priority="13">
      <formula>$F41&gt;0</formula>
    </cfRule>
    <cfRule type="expression" dxfId="324" priority="14">
      <formula>$F41&lt;0</formula>
    </cfRule>
  </conditionalFormatting>
  <conditionalFormatting sqref="G89:G104 G108:G113">
    <cfRule type="expression" dxfId="323" priority="11">
      <formula>$G89&gt;0</formula>
    </cfRule>
    <cfRule type="expression" dxfId="322" priority="12">
      <formula>$G89&lt;0</formula>
    </cfRule>
  </conditionalFormatting>
  <conditionalFormatting sqref="B13:G32">
    <cfRule type="expression" dxfId="321" priority="5">
      <formula>$F13&gt;0</formula>
    </cfRule>
    <cfRule type="expression" dxfId="320" priority="6">
      <formula>$F13&lt;0</formula>
    </cfRule>
  </conditionalFormatting>
  <conditionalFormatting sqref="I13:J13">
    <cfRule type="containsText" dxfId="319" priority="4" operator="containsText" text="Very high distinctiveness unit defecit - CHECK DATA">
      <formula>NOT(ISERROR(SEARCH("Very high distinctiveness unit defecit - CHECK DATA",I13)))</formula>
    </cfRule>
  </conditionalFormatting>
  <conditionalFormatting sqref="G105:G107">
    <cfRule type="expression" dxfId="318" priority="1">
      <formula>$G105&gt;0</formula>
    </cfRule>
    <cfRule type="expression" dxfId="317" priority="2">
      <formula>$G105&lt;0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3" id="{EC65C34F-F904-4B52-8C7C-CD31C515082B}">
            <x14:iconSet iconSet="3Symbols" custom="1">
              <x14:cfvo type="percent">
                <xm:f>0</xm:f>
              </x14:cfvo>
              <x14:cfvo type="num">
                <xm:f>0</xm:f>
              </x14:cfvo>
              <x14:cfvo type="num" gte="0">
                <xm:f>0</xm:f>
              </x14:cfvo>
              <x14:cfIcon iconSet="3Symbols" iconId="0"/>
              <x14:cfIcon iconSet="3Symbols" iconId="2"/>
              <x14:cfIcon iconSet="3Symbols" iconId="2"/>
            </x14:iconSet>
          </x14:cfRule>
          <xm:sqref>J41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Q275"/>
  <sheetViews>
    <sheetView showGridLines="0" showRowColHeaders="0" topLeftCell="P1" zoomScaleNormal="100" workbookViewId="0">
      <pane ySplit="10" topLeftCell="A14" activePane="bottomLeft" state="frozen"/>
      <selection activeCell="S28" sqref="S28"/>
      <selection pane="bottomLeft" activeCell="W23" sqref="W23"/>
    </sheetView>
  </sheetViews>
  <sheetFormatPr defaultColWidth="0" defaultRowHeight="13.8" zeroHeight="1" x14ac:dyDescent="0.25"/>
  <cols>
    <col min="1" max="1" width="11.44140625" style="47" hidden="1" customWidth="1"/>
    <col min="2" max="2" width="9.109375" style="47" hidden="1" customWidth="1"/>
    <col min="3" max="3" width="0.44140625" style="47" customWidth="1"/>
    <col min="4" max="4" width="5.33203125" style="47" customWidth="1"/>
    <col min="5" max="5" width="24.33203125" style="47" customWidth="1"/>
    <col min="6" max="6" width="72.88671875" style="47" customWidth="1"/>
    <col min="7" max="7" width="30.33203125" style="47" hidden="1" customWidth="1"/>
    <col min="8" max="8" width="14.109375" style="47" customWidth="1"/>
    <col min="9" max="9" width="17.6640625" style="47" customWidth="1"/>
    <col min="10" max="10" width="7.44140625" style="47" customWidth="1"/>
    <col min="11" max="11" width="17.109375" style="47" customWidth="1"/>
    <col min="12" max="12" width="9.5546875" style="47" customWidth="1"/>
    <col min="13" max="13" width="41.6640625" style="47" customWidth="1"/>
    <col min="14" max="14" width="17.44140625" style="47" customWidth="1"/>
    <col min="15" max="15" width="17.109375" style="47" customWidth="1"/>
    <col min="16" max="16" width="30.6640625" style="47" customWidth="1"/>
    <col min="17" max="17" width="18" style="47" bestFit="1" customWidth="1"/>
    <col min="18" max="18" width="6" style="47" customWidth="1"/>
    <col min="19" max="19" width="10.109375" style="47" customWidth="1"/>
    <col min="20" max="20" width="11.44140625" style="47" customWidth="1"/>
    <col min="21" max="21" width="10.33203125" style="47" bestFit="1" customWidth="1"/>
    <col min="22" max="22" width="11.6640625" style="47" bestFit="1" customWidth="1"/>
    <col min="23" max="23" width="14.44140625" style="47" customWidth="1"/>
    <col min="24" max="24" width="17" style="47" customWidth="1"/>
    <col min="25" max="25" width="19" style="47" customWidth="1"/>
    <col min="26" max="27" width="50.109375" style="47" customWidth="1"/>
    <col min="28" max="28" width="12.6640625" style="47" customWidth="1"/>
    <col min="29" max="16384" width="12.6640625" style="47" hidden="1"/>
  </cols>
  <sheetData>
    <row r="1" spans="1:43" ht="14.4" thickBot="1" x14ac:dyDescent="0.3"/>
    <row r="2" spans="1:43" ht="18" thickBot="1" x14ac:dyDescent="0.3">
      <c r="D2" s="897" t="str">
        <f>IF(Start!$F$12="","",Start!$F$12)</f>
        <v>Land at Doncaster Road, Goldthorpe, Rotherham</v>
      </c>
      <c r="E2" s="898"/>
      <c r="F2" s="899"/>
    </row>
    <row r="3" spans="1:43" ht="15.6" customHeight="1" x14ac:dyDescent="0.25">
      <c r="D3" s="891" t="str">
        <f ca="1">MID(CELL("filename",C1),FIND("]",CELL("filename",C1))+1,256)</f>
        <v>A-1 Site Habitat Baseline</v>
      </c>
      <c r="E3" s="892"/>
      <c r="F3" s="893"/>
      <c r="AC3" s="47" t="s">
        <v>186</v>
      </c>
      <c r="AD3" s="47" t="s">
        <v>186</v>
      </c>
      <c r="AE3" s="47" t="s">
        <v>186</v>
      </c>
      <c r="AF3" s="47" t="s">
        <v>186</v>
      </c>
      <c r="AG3" s="47" t="s">
        <v>186</v>
      </c>
      <c r="AH3" s="47" t="s">
        <v>186</v>
      </c>
      <c r="AI3" s="47" t="s">
        <v>186</v>
      </c>
      <c r="AJ3" s="47" t="s">
        <v>186</v>
      </c>
      <c r="AK3" s="47" t="s">
        <v>186</v>
      </c>
      <c r="AL3" s="47" t="s">
        <v>186</v>
      </c>
      <c r="AM3" s="47" t="s">
        <v>186</v>
      </c>
      <c r="AN3" s="47" t="s">
        <v>186</v>
      </c>
    </row>
    <row r="4" spans="1:43" ht="10.95" customHeight="1" thickBot="1" x14ac:dyDescent="0.3">
      <c r="D4" s="894"/>
      <c r="E4" s="895"/>
      <c r="F4" s="896"/>
      <c r="AF4" s="47" t="s">
        <v>187</v>
      </c>
      <c r="AG4" s="47" t="s">
        <v>187</v>
      </c>
      <c r="AH4" s="47" t="s">
        <v>187</v>
      </c>
      <c r="AI4" s="47" t="s">
        <v>187</v>
      </c>
      <c r="AJ4" s="47" t="s">
        <v>187</v>
      </c>
      <c r="AK4" s="47" t="s">
        <v>187</v>
      </c>
      <c r="AL4" s="47" t="s">
        <v>187</v>
      </c>
      <c r="AM4" s="47" t="s">
        <v>187</v>
      </c>
      <c r="AN4" s="47" t="s">
        <v>187</v>
      </c>
    </row>
    <row r="5" spans="1:43" ht="15.6" customHeight="1" x14ac:dyDescent="0.25"/>
    <row r="6" spans="1:43" ht="16.2" customHeight="1" x14ac:dyDescent="0.25"/>
    <row r="7" spans="1:43" x14ac:dyDescent="0.25"/>
    <row r="8" spans="1:43" ht="31.2" customHeight="1" thickBot="1" x14ac:dyDescent="0.3">
      <c r="D8" s="48"/>
      <c r="E8" s="48"/>
      <c r="F8" s="48"/>
    </row>
    <row r="9" spans="1:43" ht="29.4" customHeight="1" thickBot="1" x14ac:dyDescent="0.3">
      <c r="C9" s="49"/>
      <c r="D9" s="50"/>
      <c r="E9" s="900" t="s">
        <v>188</v>
      </c>
      <c r="F9" s="901"/>
      <c r="G9" s="901"/>
      <c r="H9" s="902"/>
      <c r="I9" s="900" t="s">
        <v>189</v>
      </c>
      <c r="J9" s="902"/>
      <c r="K9" s="900" t="s">
        <v>190</v>
      </c>
      <c r="L9" s="902"/>
      <c r="M9" s="900" t="s">
        <v>191</v>
      </c>
      <c r="N9" s="901"/>
      <c r="O9" s="902"/>
      <c r="P9" s="906" t="s">
        <v>192</v>
      </c>
      <c r="Q9" s="51" t="s">
        <v>193</v>
      </c>
      <c r="R9" s="52"/>
      <c r="S9" s="903" t="s">
        <v>194</v>
      </c>
      <c r="T9" s="905"/>
      <c r="U9" s="905"/>
      <c r="V9" s="905"/>
      <c r="W9" s="905"/>
      <c r="X9" s="904"/>
      <c r="Y9" s="906" t="s">
        <v>195</v>
      </c>
      <c r="Z9" s="903" t="s">
        <v>196</v>
      </c>
      <c r="AA9" s="904"/>
      <c r="AB9" s="49"/>
      <c r="AC9" s="49" t="s">
        <v>187</v>
      </c>
      <c r="AD9" s="49" t="s">
        <v>187</v>
      </c>
      <c r="AE9" s="49"/>
      <c r="AF9" s="53" t="s">
        <v>197</v>
      </c>
      <c r="AG9" s="53"/>
      <c r="AH9" s="53"/>
      <c r="AI9" s="53"/>
      <c r="AJ9" s="53"/>
      <c r="AK9" s="53" t="s">
        <v>198</v>
      </c>
      <c r="AL9" s="54"/>
      <c r="AM9" s="54"/>
      <c r="AN9" s="54"/>
      <c r="AQ9" s="47" t="s">
        <v>199</v>
      </c>
    </row>
    <row r="10" spans="1:43" ht="44.25" customHeight="1" thickBot="1" x14ac:dyDescent="0.3">
      <c r="B10" s="55" t="s">
        <v>200</v>
      </c>
      <c r="C10" s="49"/>
      <c r="D10" s="58" t="s">
        <v>201</v>
      </c>
      <c r="E10" s="631" t="s">
        <v>202</v>
      </c>
      <c r="F10" s="632" t="s">
        <v>203</v>
      </c>
      <c r="G10" s="372" t="s">
        <v>204</v>
      </c>
      <c r="H10" s="57" t="s">
        <v>205</v>
      </c>
      <c r="I10" s="59" t="s">
        <v>189</v>
      </c>
      <c r="J10" s="57" t="s">
        <v>206</v>
      </c>
      <c r="K10" s="58" t="s">
        <v>190</v>
      </c>
      <c r="L10" s="57" t="s">
        <v>206</v>
      </c>
      <c r="M10" s="58" t="s">
        <v>191</v>
      </c>
      <c r="N10" s="372" t="s">
        <v>191</v>
      </c>
      <c r="O10" s="57" t="s">
        <v>207</v>
      </c>
      <c r="P10" s="907"/>
      <c r="Q10" s="56" t="s">
        <v>208</v>
      </c>
      <c r="R10" s="52"/>
      <c r="S10" s="60" t="s">
        <v>209</v>
      </c>
      <c r="T10" s="61" t="s">
        <v>210</v>
      </c>
      <c r="U10" s="62" t="s">
        <v>211</v>
      </c>
      <c r="V10" s="62" t="s">
        <v>212</v>
      </c>
      <c r="W10" s="62" t="s">
        <v>213</v>
      </c>
      <c r="X10" s="63" t="s">
        <v>214</v>
      </c>
      <c r="Y10" s="907"/>
      <c r="Z10" s="64" t="s">
        <v>215</v>
      </c>
      <c r="AA10" s="65" t="s">
        <v>216</v>
      </c>
      <c r="AB10" s="49"/>
      <c r="AC10" s="66" t="s">
        <v>217</v>
      </c>
      <c r="AD10" s="66" t="s">
        <v>218</v>
      </c>
      <c r="AE10" s="49"/>
      <c r="AF10" s="54" t="s">
        <v>219</v>
      </c>
      <c r="AG10" s="54" t="s">
        <v>220</v>
      </c>
      <c r="AH10" s="54" t="s">
        <v>221</v>
      </c>
      <c r="AI10" s="54" t="s">
        <v>222</v>
      </c>
      <c r="AJ10" s="54"/>
      <c r="AK10" s="54" t="s">
        <v>219</v>
      </c>
      <c r="AL10" s="54" t="s">
        <v>220</v>
      </c>
      <c r="AM10" s="54" t="s">
        <v>221</v>
      </c>
      <c r="AN10" s="54"/>
    </row>
    <row r="11" spans="1:43" ht="69" x14ac:dyDescent="0.25">
      <c r="A11" s="47" t="str">
        <f>IFERROR(INDEX('G-1 All Habitats'!$AG$3:$AG$15,MATCH(E11,'G-1 All Habitats'!$AF$3:$AF$15,0)),"")</f>
        <v>Grassland</v>
      </c>
      <c r="B11" s="47" t="str">
        <f>IFERROR(INDEX('G-8 Condition Look up'!$I$4:$I$130,MATCH(G11,'G-8 Condition Look up'!$A$4:$A$130,0)),"")</f>
        <v>Cond4</v>
      </c>
      <c r="D11" s="67">
        <v>1</v>
      </c>
      <c r="E11" s="68" t="s">
        <v>70</v>
      </c>
      <c r="F11" s="68" t="s">
        <v>448</v>
      </c>
      <c r="G11" s="69" t="str">
        <f>IFERROR(INDEX('G-1 All Habitats'!$B$3:$B$129,MATCH(F11,'G-1 All Habitats'!$A$3:$A$129,0)),"")</f>
        <v>Grassland - Modified grassland</v>
      </c>
      <c r="H11" s="70">
        <v>7.3499999999999996E-2</v>
      </c>
      <c r="I11" s="498" t="str">
        <f>IF(G11="","",VLOOKUP(G11,'G-1 All Habitats'!$B$2:$M$129,10,FALSE))</f>
        <v>Low</v>
      </c>
      <c r="J11" s="499">
        <f>IFERROR(VLOOKUP(I11,'G-1 All Habitats'!$V$3:$W$7,2,FALSE),"")</f>
        <v>2</v>
      </c>
      <c r="K11" s="71" t="s">
        <v>242</v>
      </c>
      <c r="L11" s="499">
        <f>IFERROR(INDEX('G-8 Condition Look up'!$A$3:$H$130,MATCH(G11,'G-8 Condition Look up'!$A$3:$A$130,0),MATCH(K11,'G-8 Condition Look up'!$A$3:$H$3,0)),"")</f>
        <v>1</v>
      </c>
      <c r="M11" s="71" t="s">
        <v>913</v>
      </c>
      <c r="N11" s="504" t="str">
        <f>IF(M11="","",IF(VLOOKUP(M11,'G-3 Multipliers'!$L$3:$N$6,2,FALSE)=0,"Spatial Data Missing",VLOOKUP(M11,'G-3 Multipliers'!$L$3:$N$6,2,FALSE)))</f>
        <v xml:space="preserve">High strategic significance </v>
      </c>
      <c r="O11" s="505">
        <f>IF(M11="","",IF(VLOOKUP(M11,'G-3 Multipliers'!$L$3:$N$6,3,FALSE)=0,"Spatial Data Missing ▲",VLOOKUP(M11,'G-3 Multipliers'!$L$3:$N$6,3,FALSE)))</f>
        <v>1.1499999999999999</v>
      </c>
      <c r="P11" s="506" t="str">
        <f>IFERROR(VLOOKUP(G11,'G-1 All Habitats'!$B$2:$M$129,12,FALSE),"")</f>
        <v>Same distinctiveness or better habitat required ≥</v>
      </c>
      <c r="Q11" s="513">
        <f>IFERROR(IF(P11="","",IF(AND(P11='G-1 All Habitats'!$X$3,T11&gt;0),U11+V11,IF(AND(P11='G-1 All Habitats'!$X$3,S11&gt;0),U11+V11,IF(AND(P11='G-1 All Habitats'!$X$3,AC11&gt;0),"Any Loss Unacceptable ▲",IF(AND(P11='G-1 All Habitats'!$X$3,W11&gt;0),"Any Loss Unacceptable ▲",H11*J11*L11*O11))))),"Check Data ▲")</f>
        <v>0.16904999999999998</v>
      </c>
      <c r="R11" s="50"/>
      <c r="S11" s="71"/>
      <c r="T11" s="72"/>
      <c r="U11" s="511">
        <f>IFERROR(S11*J11*L11*O11,"")</f>
        <v>0</v>
      </c>
      <c r="V11" s="511">
        <f>IFERROR(T11*J11*L11*O11,"")</f>
        <v>0</v>
      </c>
      <c r="W11" s="511">
        <f>IF(E11="","",IF(H11&lt;S11+T11,"Error in Areas ▲",IF(P11&lt;&gt;'G-1 All Habitats'!$X$3,H11-S11-T11,IF(AND(P11='G-1 All Habitats'!$X$3,Y11="Yes"),"Unacceptable Loss",IF(AND(P11='G-1 All Habitats'!$X$3,Y11="No"),AC11,IF(AND(P11='G-1 All Habitats'!$X$3,Y11=""),AC11,IF(AND(P11='G-1 All Habitats'!$X$3,AC11="None",AC11),IF(AND(P11='G-1 All Habitats'!$X$3,AC11&gt;0),H11-S11-T11))))))))</f>
        <v>7.3499999999999996E-2</v>
      </c>
      <c r="X11" s="515">
        <f>IFERROR(IF(H11="","",IF(H11-S11-T11=0&lt;0,"Error in Areas ▲",IF(S11+T11&gt;H11,"Error in Areas ▲",IF(AND(P11='G-1 All Habitats'!$X$3,Y11="Yes"),"Alternative Compensation ✓",IF(W11=0,0,IF(P11='G-1 All Habitats'!$X$3,"Unacceptable Loss ▲",Q11-U11-V11)))))),"Check Data ▲")</f>
        <v>0.16904999999999998</v>
      </c>
      <c r="Y11" s="72"/>
      <c r="Z11" s="73" t="s">
        <v>1576</v>
      </c>
      <c r="AA11" s="74"/>
      <c r="AC11" s="75" t="str">
        <f>IF(P11="","",IF(P11='G-1 All Habitats'!$X$3,H11-S11-T11,"None"))</f>
        <v>None</v>
      </c>
      <c r="AD11" s="76" t="str">
        <f>IFERROR(AC11*J11*L11*#REF!*O11,IF(P11="","","None"))</f>
        <v>None</v>
      </c>
      <c r="AF11" s="54" t="b">
        <f t="shared" ref="AF11:AF74" si="0">IF(G11="","",IF(S11&gt;0,TRUE,FALSE))</f>
        <v>0</v>
      </c>
      <c r="AG11" s="54" t="b">
        <f t="shared" ref="AG11:AG74" si="1">IF(H11="","",IF(T11&gt;0,TRUE,FALSE))</f>
        <v>0</v>
      </c>
      <c r="AH11" s="54" t="e">
        <f>IF(I11="","",IF(#REF!&gt;0,TRUE,FALSE))</f>
        <v>#REF!</v>
      </c>
      <c r="AI11" s="54">
        <v>1</v>
      </c>
      <c r="AJ11" s="54"/>
      <c r="AK11" s="54">
        <f t="array" ref="AK11">IFERROR(INDEX($AI$11:$AI$259, MATCH(0, IF(TRUE=$AF$11:$AF$259, COUNTIF($AK$10:$AK10, $AI$11:$AI$259), ""), 0)),"")</f>
        <v>5</v>
      </c>
      <c r="AL11" s="54" t="str">
        <f t="array" ref="AL11">IFERROR(INDEX($AI$11:$AI$259, MATCH(0, IF(TRUE=$AG$11:$AG$259, COUNTIF($AL$10:$AL10, $AI$11:$AI$259), ""), 0)),"")</f>
        <v/>
      </c>
      <c r="AM11" s="54" t="str">
        <f t="array" ref="AM11">IFERROR(INDEX($AI$11:$AI$259, MATCH(0, IF(TRUE=$AH$11:$AH$259, COUNTIF($AM$10:$AM10, $AI$11:$AI$259), ""), 0)),"")</f>
        <v/>
      </c>
      <c r="AN11" s="54"/>
      <c r="AQ11" s="47">
        <f>IF(X11="Unacceptable Loss",1,0)</f>
        <v>0</v>
      </c>
    </row>
    <row r="12" spans="1:43" ht="69" x14ac:dyDescent="0.25">
      <c r="A12" s="47" t="str">
        <f>IFERROR(INDEX('G-1 All Habitats'!$AG$3:$AG$15,MATCH(E12,'G-1 All Habitats'!$AF$3:$AF$15,0)),"")</f>
        <v>Heathland_and_shrub</v>
      </c>
      <c r="B12" s="47" t="str">
        <f>IFERROR(INDEX('G-8 Condition Look up'!$I$4:$I$130,MATCH(G12,'G-8 Condition Look up'!$A$4:$A$130,0)),"")</f>
        <v>Cond4</v>
      </c>
      <c r="D12" s="77">
        <v>2</v>
      </c>
      <c r="E12" s="341" t="s">
        <v>71</v>
      </c>
      <c r="F12" s="79" t="s">
        <v>495</v>
      </c>
      <c r="G12" s="69" t="str">
        <f>IFERROR(INDEX('G-1 All Habitats'!$B$3:$B$129,MATCH(F12,'G-1 All Habitats'!$A$3:$A$129,0)),"")</f>
        <v>Heathland and shrub - Mixed scrub</v>
      </c>
      <c r="H12" s="70">
        <v>0.2011</v>
      </c>
      <c r="I12" s="498" t="str">
        <f>IF(G12="","",VLOOKUP(G12,'G-1 All Habitats'!$B$2:$M$129,10,FALSE))</f>
        <v>Medium</v>
      </c>
      <c r="J12" s="499">
        <f>IFERROR(VLOOKUP(I12,'G-1 All Habitats'!$V$3:$W$7,2,FALSE),"")</f>
        <v>4</v>
      </c>
      <c r="K12" s="71" t="s">
        <v>393</v>
      </c>
      <c r="L12" s="499">
        <f>IFERROR(INDEX('G-8 Condition Look up'!$A$3:$H$130,MATCH(G12,'G-8 Condition Look up'!$A$3:$A$130,0),MATCH(K12,'G-8 Condition Look up'!$A$3:$H$3,0)),"")</f>
        <v>1.5</v>
      </c>
      <c r="M12" s="71" t="s">
        <v>913</v>
      </c>
      <c r="N12" s="520" t="str">
        <f>IF(M12="","",IF(VLOOKUP(M12,'G-3 Multipliers'!$L$3:$N$6,2,FALSE)=0,"Spatial Data Missing",VLOOKUP(M12,'G-3 Multipliers'!$L$3:$N$6,2,FALSE)))</f>
        <v xml:space="preserve">High strategic significance </v>
      </c>
      <c r="O12" s="505">
        <f>IF(M12="","",IF(VLOOKUP(M12,'G-3 Multipliers'!$L$3:$N$6,3,FALSE)=0,"Spatial Data Missing ▲",VLOOKUP(M12,'G-3 Multipliers'!$L$3:$N$6,3,FALSE)))</f>
        <v>1.1499999999999999</v>
      </c>
      <c r="P12" s="506" t="str">
        <f>IFERROR(VLOOKUP(G12,'G-1 All Habitats'!$B$2:$M$129,12,FALSE),"")</f>
        <v>Same broad habitat or a higher distinctiveness habitat required (≥)</v>
      </c>
      <c r="Q12" s="513">
        <f>IFERROR(IF(P12="","",IF(AND(P12='G-1 All Habitats'!$X$3,T12&gt;0),U12+V12,IF(AND(P12='G-1 All Habitats'!$X$3,S12&gt;0),U12+V12,IF(AND(P12='G-1 All Habitats'!$X$3,AC12&gt;0),"Any Loss Unacceptable ▲",IF(AND(P12='G-1 All Habitats'!$X$3,W12&gt;0),"Any Loss Unacceptable ▲",H12*J12*L12*O12))))),"Check Data ▲")</f>
        <v>1.3875899999999999</v>
      </c>
      <c r="R12" s="50"/>
      <c r="S12" s="71"/>
      <c r="T12" s="72"/>
      <c r="U12" s="511">
        <f>IFERROR(S12*J12*L12*O12,"")</f>
        <v>0</v>
      </c>
      <c r="V12" s="511">
        <f>IFERROR(T12*J12*L12*O12,"")</f>
        <v>0</v>
      </c>
      <c r="W12" s="511">
        <f>IF(E12="","",IF(H12&lt;S12+T12,"Error in Areas ▲",IF(P12&lt;&gt;'G-1 All Habitats'!$X$3,H12-S12-T12,IF(AND(P12='G-1 All Habitats'!$X$3,Y12="Yes"),"Unacceptable Loss",IF(AND(P12='G-1 All Habitats'!$X$3,Y12="No"),AC12,IF(AND(P12='G-1 All Habitats'!$X$3,Y12=""),AC12,IF(AND(P12='G-1 All Habitats'!$X$3,AC12="None",AC12),IF(AND(P12='G-1 All Habitats'!$X$3,AC12&gt;0),H12-S12-T12))))))))</f>
        <v>0.2011</v>
      </c>
      <c r="X12" s="515">
        <f>IFERROR(IF(H12="","",IF(H12-S12-T12=0&lt;0,"Error in Areas ▲",IF(S12+T12&gt;H12,"Error in Areas ▲",IF(AND(P12='G-1 All Habitats'!$X$3,Y12="Yes"),"Alternative Compensation ✓",IF(W12=0,0,IF(P12='G-1 All Habitats'!$X$3,"Unacceptable Loss ▲",Q12-U12-V12)))))),"Check Data ▲")</f>
        <v>1.3875899999999999</v>
      </c>
      <c r="Y12" s="72"/>
      <c r="Z12" s="80" t="s">
        <v>1577</v>
      </c>
      <c r="AA12" s="81"/>
      <c r="AC12" s="75" t="str">
        <f>IF(P12="","",IF(P12='G-1 All Habitats'!$X$3,H12-S12-T12,"None"))</f>
        <v>None</v>
      </c>
      <c r="AD12" s="76" t="str">
        <f>IFERROR(AC12*J12*L12*#REF!*O12,IF(P12="","","None"))</f>
        <v>None</v>
      </c>
      <c r="AF12" s="54" t="b">
        <f t="shared" si="0"/>
        <v>0</v>
      </c>
      <c r="AG12" s="54" t="b">
        <f t="shared" si="1"/>
        <v>0</v>
      </c>
      <c r="AH12" s="54" t="e">
        <f>IF(I12="","",IF(#REF!&gt;0,TRUE,FALSE))</f>
        <v>#REF!</v>
      </c>
      <c r="AI12" s="54">
        <v>2</v>
      </c>
      <c r="AJ12" s="54"/>
      <c r="AK12" s="54">
        <f t="array" ref="AK12">IFERROR(INDEX($AI$11:$AI$259, MATCH(0, IF(TRUE=$AF$11:$AF$259, COUNTIF($AK$10:$AK11, $AI$11:$AI$259), ""), 0)),"")</f>
        <v>6</v>
      </c>
      <c r="AL12" s="54" t="str">
        <f t="array" ref="AL12">IFERROR(INDEX($AI$11:$AI$259, MATCH(0, IF(TRUE=$AG$11:$AG$259, COUNTIF($AL$10:$AL11, $AI$11:$AI$259), ""), 0)),"")</f>
        <v/>
      </c>
      <c r="AM12" s="54" t="str">
        <f t="array" ref="AM12">IFERROR(INDEX($AI$11:$AI$259, MATCH(0, IF(TRUE=$AH$11:$AH$259, COUNTIF($AM$10:$AM11, $AI$11:$AI$259), ""), 0)),"")</f>
        <v/>
      </c>
      <c r="AN12" s="54"/>
      <c r="AQ12" s="47">
        <f t="shared" ref="AQ12:AQ75" si="2">IF(X12="Unacceptable Loss",1,0)</f>
        <v>0</v>
      </c>
    </row>
    <row r="13" spans="1:43" ht="27.6" x14ac:dyDescent="0.25">
      <c r="A13" s="47" t="str">
        <f>IFERROR(INDEX('G-1 All Habitats'!$AG$3:$AG$15,MATCH(E13,'G-1 All Habitats'!$AF$3:$AF$15,0)),"")</f>
        <v>Urban</v>
      </c>
      <c r="B13" s="47" t="str">
        <f>IFERROR(INDEX('G-8 Condition Look up'!$I$4:$I$130,MATCH(G13,'G-8 Condition Look up'!$A$4:$A$130,0)),"")</f>
        <v>Cond2</v>
      </c>
      <c r="D13" s="77">
        <v>3</v>
      </c>
      <c r="E13" s="341" t="s">
        <v>74</v>
      </c>
      <c r="F13" s="79" t="s">
        <v>599</v>
      </c>
      <c r="G13" s="69" t="str">
        <f>IFERROR(INDEX('G-1 All Habitats'!$B$3:$B$129,MATCH(F13,'G-1 All Habitats'!$A$3:$A$129,0)),"")</f>
        <v>Urban - Developed land; sealed surface</v>
      </c>
      <c r="H13" s="70">
        <v>0.34710000000000002</v>
      </c>
      <c r="I13" s="498" t="str">
        <f>IF(G13="","",VLOOKUP(G13,'G-1 All Habitats'!$B$2:$M$129,10,FALSE))</f>
        <v>V.Low</v>
      </c>
      <c r="J13" s="499">
        <f>IFERROR(VLOOKUP(I13,'G-1 All Habitats'!$V$3:$W$7,2,FALSE),"")</f>
        <v>0</v>
      </c>
      <c r="K13" s="71" t="s">
        <v>407</v>
      </c>
      <c r="L13" s="499">
        <f>IFERROR(INDEX('G-8 Condition Look up'!$A$3:$H$130,MATCH(G13,'G-8 Condition Look up'!$A$3:$A$130,0),MATCH(K13,'G-8 Condition Look up'!$A$3:$H$3,0)),"")</f>
        <v>0</v>
      </c>
      <c r="M13" s="71" t="s">
        <v>921</v>
      </c>
      <c r="N13" s="520" t="str">
        <f>IF(M13="","",IF(VLOOKUP(M13,'G-3 Multipliers'!$L$3:$N$6,2,FALSE)=0,"Spatial Data Missing",VLOOKUP(M13,'G-3 Multipliers'!$L$3:$N$6,2,FALSE)))</f>
        <v>Low Strategic Significance</v>
      </c>
      <c r="O13" s="505">
        <f>IF(M13="","",IF(VLOOKUP(M13,'G-3 Multipliers'!$L$3:$N$6,3,FALSE)=0,"Spatial Data Missing ▲",VLOOKUP(M13,'G-3 Multipliers'!$L$3:$N$6,3,FALSE)))</f>
        <v>1</v>
      </c>
      <c r="P13" s="506" t="str">
        <f>IFERROR(VLOOKUP(G13,'G-1 All Habitats'!$B$2:$M$129,12,FALSE),"")</f>
        <v>Compensation Not Required</v>
      </c>
      <c r="Q13" s="513">
        <f>IFERROR(IF(P13="","",IF(AND(P13='G-1 All Habitats'!$X$3,T13&gt;0),U13+V13,IF(AND(P13='G-1 All Habitats'!$X$3,S13&gt;0),U13+V13,IF(AND(P13='G-1 All Habitats'!$X$3,AC13&gt;0),"Any Loss Unacceptable ▲",IF(AND(P13='G-1 All Habitats'!$X$3,W13&gt;0),"Any Loss Unacceptable ▲",H13*J13*L13*O13))))),"Check Data ▲")</f>
        <v>0</v>
      </c>
      <c r="R13" s="50"/>
      <c r="S13" s="71"/>
      <c r="T13" s="72"/>
      <c r="U13" s="511">
        <f t="shared" ref="U13:U76" si="3">IFERROR(S13*J13*L13*O13,"")</f>
        <v>0</v>
      </c>
      <c r="V13" s="511">
        <f t="shared" ref="V13:V76" si="4">IFERROR(T13*J13*L13*O13,"")</f>
        <v>0</v>
      </c>
      <c r="W13" s="511">
        <f>IF(E13="","",IF(H13&lt;S13+T13,"Error in Areas ▲",IF(P13&lt;&gt;'G-1 All Habitats'!$X$3,H13-S13-T13,IF(AND(P13='G-1 All Habitats'!$X$3,Y13="Yes"),"Unacceptable Loss",IF(AND(P13='G-1 All Habitats'!$X$3,Y13="No"),AC13,IF(AND(P13='G-1 All Habitats'!$X$3,Y13=""),AC13,IF(AND(P13='G-1 All Habitats'!$X$3,AC13="None",AC13),IF(AND(P13='G-1 All Habitats'!$X$3,AC13&gt;0),H13-S13-T13))))))))</f>
        <v>0.34710000000000002</v>
      </c>
      <c r="X13" s="515">
        <f>IFERROR(IF(H13="","",IF(H13-S13-T13=0&lt;0,"Error in Areas ▲",IF(S13+T13&gt;H13,"Error in Areas ▲",IF(AND(P13='G-1 All Habitats'!$X$3,Y13="Yes"),"Alternative Compensation ✓",IF(W13=0,0,IF(P13='G-1 All Habitats'!$X$3,"Unacceptable Loss ▲",Q13-U13-V13)))))),"Check Data ▲")</f>
        <v>0</v>
      </c>
      <c r="Y13" s="72"/>
      <c r="Z13" s="80" t="s">
        <v>1567</v>
      </c>
      <c r="AA13" s="81"/>
      <c r="AC13" s="75" t="str">
        <f>IF(P13="","",IF(P13='G-1 All Habitats'!$X$3,H13-S13-T13,"None"))</f>
        <v>None</v>
      </c>
      <c r="AD13" s="76" t="str">
        <f>IFERROR(AC13*J13*L13*#REF!*O13,IF(P13="","","None"))</f>
        <v>None</v>
      </c>
      <c r="AF13" s="54" t="b">
        <f t="shared" si="0"/>
        <v>0</v>
      </c>
      <c r="AG13" s="54" t="b">
        <f t="shared" si="1"/>
        <v>0</v>
      </c>
      <c r="AH13" s="54" t="e">
        <f>IF(I13="","",IF(#REF!&gt;0,TRUE,FALSE))</f>
        <v>#REF!</v>
      </c>
      <c r="AI13" s="54">
        <v>3</v>
      </c>
      <c r="AJ13" s="54"/>
      <c r="AK13" s="54" t="str">
        <f t="array" ref="AK13">IFERROR(INDEX($AI$11:$AI$259, MATCH(0, IF(TRUE=$AF$11:$AF$259, COUNTIF($AK$10:$AK12, $AI$11:$AI$259), ""), 0)),"")</f>
        <v/>
      </c>
      <c r="AL13" s="54" t="str">
        <f t="array" ref="AL13">IFERROR(INDEX($AI$11:$AI$259, MATCH(0, IF(TRUE=$AG$11:$AG$259, COUNTIF($AL$10:$AL12, $AI$11:$AI$259), ""), 0)),"")</f>
        <v/>
      </c>
      <c r="AM13" s="54" t="str">
        <f t="array" ref="AM13">IFERROR(INDEX($AI$11:$AI$259, MATCH(0, IF(TRUE=$AH$11:$AH$259, COUNTIF($AM$10:$AM12, $AI$11:$AI$259), ""), 0)),"")</f>
        <v/>
      </c>
      <c r="AN13" s="54"/>
      <c r="AQ13" s="47">
        <f t="shared" si="2"/>
        <v>0</v>
      </c>
    </row>
    <row r="14" spans="1:43" ht="27.6" x14ac:dyDescent="0.25">
      <c r="A14" s="47" t="str">
        <f>IFERROR(INDEX('G-1 All Habitats'!$AG$3:$AG$15,MATCH(E14,'G-1 All Habitats'!$AF$3:$AF$15,0)),"")</f>
        <v>Urban</v>
      </c>
      <c r="B14" s="47" t="str">
        <f>IFERROR(INDEX('G-8 Condition Look up'!$I$4:$I$130,MATCH(G14,'G-8 Condition Look up'!$A$4:$A$130,0)),"")</f>
        <v>Cond2</v>
      </c>
      <c r="D14" s="77">
        <v>4</v>
      </c>
      <c r="E14" s="79" t="s">
        <v>74</v>
      </c>
      <c r="F14" s="79" t="s">
        <v>599</v>
      </c>
      <c r="G14" s="69" t="str">
        <f>IFERROR(INDEX('G-1 All Habitats'!$B$3:$B$129,MATCH(F14,'G-1 All Habitats'!$A$3:$A$129,0)),"")</f>
        <v>Urban - Developed land; sealed surface</v>
      </c>
      <c r="H14" s="70">
        <v>0.3614</v>
      </c>
      <c r="I14" s="498" t="str">
        <f>IF(G14="","",VLOOKUP(G14,'G-1 All Habitats'!$B$2:$M$129,10,FALSE))</f>
        <v>V.Low</v>
      </c>
      <c r="J14" s="499">
        <f>IFERROR(VLOOKUP(I14,'G-1 All Habitats'!$V$3:$W$7,2,FALSE),"")</f>
        <v>0</v>
      </c>
      <c r="K14" s="71" t="s">
        <v>407</v>
      </c>
      <c r="L14" s="499">
        <f>IFERROR(INDEX('G-8 Condition Look up'!$A$3:$H$130,MATCH(G14,'G-8 Condition Look up'!$A$3:$A$130,0),MATCH(K14,'G-8 Condition Look up'!$A$3:$H$3,0)),"")</f>
        <v>0</v>
      </c>
      <c r="M14" s="71" t="s">
        <v>921</v>
      </c>
      <c r="N14" s="520" t="str">
        <f>IF(M14="","",IF(VLOOKUP(M14,'G-3 Multipliers'!$L$3:$N$6,2,FALSE)=0,"Spatial Data Missing",VLOOKUP(M14,'G-3 Multipliers'!$L$3:$N$6,2,FALSE)))</f>
        <v>Low Strategic Significance</v>
      </c>
      <c r="O14" s="505">
        <f>IF(M14="","",IF(VLOOKUP(M14,'G-3 Multipliers'!$L$3:$N$6,3,FALSE)=0,"Spatial Data Missing ▲",VLOOKUP(M14,'G-3 Multipliers'!$L$3:$N$6,3,FALSE)))</f>
        <v>1</v>
      </c>
      <c r="P14" s="506" t="str">
        <f>IFERROR(VLOOKUP(G14,'G-1 All Habitats'!$B$2:$M$129,12,FALSE),"")</f>
        <v>Compensation Not Required</v>
      </c>
      <c r="Q14" s="513">
        <f>IFERROR(IF(P14="","",IF(AND(P14='G-1 All Habitats'!$X$3,T14&gt;0),U14+V14,IF(AND(P14='G-1 All Habitats'!$X$3,S14&gt;0),U14+V14,IF(AND(P14='G-1 All Habitats'!$X$3,AC14&gt;0),"Any Loss Unacceptable ▲",IF(AND(P14='G-1 All Habitats'!$X$3,W14&gt;0),"Any Loss Unacceptable ▲",H14*J14*L14*O14))))),"Check Data ▲")</f>
        <v>0</v>
      </c>
      <c r="R14" s="50"/>
      <c r="S14" s="71"/>
      <c r="T14" s="72"/>
      <c r="U14" s="511">
        <f t="shared" si="3"/>
        <v>0</v>
      </c>
      <c r="V14" s="511">
        <f t="shared" si="4"/>
        <v>0</v>
      </c>
      <c r="W14" s="511">
        <f>IF(E14="","",IF(H14&lt;S14+T14,"Error in Areas ▲",IF(P14&lt;&gt;'G-1 All Habitats'!$X$3,H14-S14-T14,IF(AND(P14='G-1 All Habitats'!$X$3,Y14="Yes"),"Unacceptable Loss",IF(AND(P14='G-1 All Habitats'!$X$3,Y14="No"),AC14,IF(AND(P14='G-1 All Habitats'!$X$3,Y14=""),AC14,IF(AND(P14='G-1 All Habitats'!$X$3,AC14="None",AC14),IF(AND(P14='G-1 All Habitats'!$X$3,AC14&gt;0),H14-S14-T14))))))))</f>
        <v>0.3614</v>
      </c>
      <c r="X14" s="515">
        <f>IFERROR(IF(H14="","",IF(H14-S14-T14=0&lt;0,"Error in Areas ▲",IF(S14+T14&gt;H14,"Error in Areas ▲",IF(AND(P14='G-1 All Habitats'!$X$3,Y14="Yes"),"Alternative Compensation ✓",IF(W14=0,0,IF(P14='G-1 All Habitats'!$X$3,"Unacceptable Loss ▲",Q14-U14-V14)))))),"Check Data ▲")</f>
        <v>0</v>
      </c>
      <c r="Y14" s="72"/>
      <c r="Z14" s="80" t="s">
        <v>1568</v>
      </c>
      <c r="AA14" s="81"/>
      <c r="AC14" s="75" t="str">
        <f>IF(P14="","",IF(P14='G-1 All Habitats'!$X$3,H14-S14-T14,"None"))</f>
        <v>None</v>
      </c>
      <c r="AD14" s="76" t="str">
        <f>IFERROR(AC14*J14*L14*#REF!*O14,IF(P14="","","None"))</f>
        <v>None</v>
      </c>
      <c r="AF14" s="54" t="b">
        <f t="shared" si="0"/>
        <v>0</v>
      </c>
      <c r="AG14" s="54" t="b">
        <f t="shared" si="1"/>
        <v>0</v>
      </c>
      <c r="AH14" s="54" t="e">
        <f>IF(I14="","",IF(#REF!&gt;0,TRUE,FALSE))</f>
        <v>#REF!</v>
      </c>
      <c r="AI14" s="54">
        <v>4</v>
      </c>
      <c r="AJ14" s="54"/>
      <c r="AK14" s="54" t="str">
        <f t="array" ref="AK14">IFERROR(INDEX($AI$11:$AI$259, MATCH(0, IF(TRUE=$AF$11:$AF$259, COUNTIF($AK$10:$AK13, $AI$11:$AI$259), ""), 0)),"")</f>
        <v/>
      </c>
      <c r="AL14" s="54" t="str">
        <f t="array" ref="AL14">IFERROR(INDEX($AI$11:$AI$259, MATCH(0, IF(TRUE=$AG$11:$AG$259, COUNTIF($AL$10:$AL13, $AI$11:$AI$259), ""), 0)),"")</f>
        <v/>
      </c>
      <c r="AM14" s="54" t="str">
        <f t="array" ref="AM14">IFERROR(INDEX($AI$11:$AI$259, MATCH(0, IF(TRUE=$AH$11:$AH$259, COUNTIF($AM$10:$AM13, $AI$11:$AI$259), ""), 0)),"")</f>
        <v/>
      </c>
      <c r="AN14" s="54"/>
      <c r="AQ14" s="47">
        <f t="shared" si="2"/>
        <v>0</v>
      </c>
    </row>
    <row r="15" spans="1:43" ht="41.4" x14ac:dyDescent="0.25">
      <c r="A15" s="47" t="str">
        <f>IFERROR(INDEX('G-1 All Habitats'!$AG$3:$AG$15,MATCH(E15,'G-1 All Habitats'!$AF$3:$AF$15,0)),"")</f>
        <v>Urban</v>
      </c>
      <c r="B15" s="47" t="str">
        <f>IFERROR(INDEX('G-8 Condition Look up'!$I$4:$I$130,MATCH(G15,'G-8 Condition Look up'!$A$4:$A$130,0)),"")</f>
        <v>Cond4</v>
      </c>
      <c r="D15" s="77">
        <v>5</v>
      </c>
      <c r="E15" s="341" t="s">
        <v>74</v>
      </c>
      <c r="F15" s="79" t="s">
        <v>627</v>
      </c>
      <c r="G15" s="69" t="str">
        <f>IFERROR(INDEX('G-1 All Habitats'!$B$3:$B$129,MATCH(F15,'G-1 All Habitats'!$A$3:$A$129,0)),"")</f>
        <v>Urban - Urban Tree</v>
      </c>
      <c r="H15" s="70">
        <v>1.04E-2</v>
      </c>
      <c r="I15" s="498" t="str">
        <f>IF(G15="","",VLOOKUP(G15,'G-1 All Habitats'!$B$2:$M$129,10,FALSE))</f>
        <v>Medium</v>
      </c>
      <c r="J15" s="499">
        <f>IFERROR(VLOOKUP(I15,'G-1 All Habitats'!$V$3:$W$7,2,FALSE),"")</f>
        <v>4</v>
      </c>
      <c r="K15" s="71" t="s">
        <v>20</v>
      </c>
      <c r="L15" s="499">
        <f>IFERROR(INDEX('G-8 Condition Look up'!$A$3:$H$130,MATCH(G15,'G-8 Condition Look up'!$A$3:$A$130,0),MATCH(K15,'G-8 Condition Look up'!$A$3:$H$3,0)),"")</f>
        <v>2</v>
      </c>
      <c r="M15" s="71" t="s">
        <v>913</v>
      </c>
      <c r="N15" s="520" t="str">
        <f>IF(M15="","",IF(VLOOKUP(M15,'G-3 Multipliers'!$L$3:$N$6,2,FALSE)=0,"Spatial Data Missing",VLOOKUP(M15,'G-3 Multipliers'!$L$3:$N$6,2,FALSE)))</f>
        <v xml:space="preserve">High strategic significance </v>
      </c>
      <c r="O15" s="505">
        <f>IF(M15="","",IF(VLOOKUP(M15,'G-3 Multipliers'!$L$3:$N$6,3,FALSE)=0,"Spatial Data Missing ▲",VLOOKUP(M15,'G-3 Multipliers'!$L$3:$N$6,3,FALSE)))</f>
        <v>1.1499999999999999</v>
      </c>
      <c r="P15" s="506" t="str">
        <f>IFERROR(VLOOKUP(G15,'G-1 All Habitats'!$B$2:$M$129,12,FALSE),"")</f>
        <v>Same broad habitat or a higher distinctiveness habitat required (≥)</v>
      </c>
      <c r="Q15" s="513">
        <f>IFERROR(IF(P15="","",IF(AND(P15='G-1 All Habitats'!$X$3,T15&gt;0),U15+V15,IF(AND(P15='G-1 All Habitats'!$X$3,S15&gt;0),U15+V15,IF(AND(P15='G-1 All Habitats'!$X$3,AC15&gt;0),"Any Loss Unacceptable ▲",IF(AND(P15='G-1 All Habitats'!$X$3,W15&gt;0),"Any Loss Unacceptable ▲",H15*J15*L15*O15))))),"Check Data ▲")</f>
        <v>9.5679999999999987E-2</v>
      </c>
      <c r="R15" s="50"/>
      <c r="S15" s="71">
        <v>9.1000000000000004E-3</v>
      </c>
      <c r="T15" s="72"/>
      <c r="U15" s="511">
        <f t="shared" si="3"/>
        <v>8.3720000000000003E-2</v>
      </c>
      <c r="V15" s="511">
        <f t="shared" si="4"/>
        <v>0</v>
      </c>
      <c r="W15" s="511">
        <f>IF(E15="","",IF(H15&lt;S15+T15,"Error in Areas ▲",IF(P15&lt;&gt;'G-1 All Habitats'!$X$3,H15-S15-T15,IF(AND(P15='G-1 All Habitats'!$X$3,Y15="Yes"),"Unacceptable Loss",IF(AND(P15='G-1 All Habitats'!$X$3,Y15="No"),AC15,IF(AND(P15='G-1 All Habitats'!$X$3,Y15=""),AC15,IF(AND(P15='G-1 All Habitats'!$X$3,AC15="None",AC15),IF(AND(P15='G-1 All Habitats'!$X$3,AC15&gt;0),H15-S15-T15))))))))</f>
        <v>1.2999999999999991E-3</v>
      </c>
      <c r="X15" s="515">
        <f>IFERROR(IF(H15="","",IF(H15-S15-T15=0&lt;0,"Error in Areas ▲",IF(S15+T15&gt;H15,"Error in Areas ▲",IF(AND(P15='G-1 All Habitats'!$X$3,Y15="Yes"),"Alternative Compensation ✓",IF(W15=0,0,IF(P15='G-1 All Habitats'!$X$3,"Unacceptable Loss ▲",Q15-U15-V15)))))),"Check Data ▲")</f>
        <v>1.1959999999999985E-2</v>
      </c>
      <c r="Y15" s="72"/>
      <c r="Z15" s="80" t="s">
        <v>1578</v>
      </c>
      <c r="AA15" s="81"/>
      <c r="AC15" s="75" t="str">
        <f>IF(P15="","",IF(P15='G-1 All Habitats'!$X$3,H15-S15-T15,"None"))</f>
        <v>None</v>
      </c>
      <c r="AD15" s="76" t="str">
        <f>IFERROR(AC15*J15*L15*#REF!*O15,IF(P15="","","None"))</f>
        <v>None</v>
      </c>
      <c r="AF15" s="54" t="b">
        <f t="shared" si="0"/>
        <v>1</v>
      </c>
      <c r="AG15" s="54" t="b">
        <f t="shared" si="1"/>
        <v>0</v>
      </c>
      <c r="AH15" s="54" t="e">
        <f>IF(I15="","",IF(#REF!&gt;0,TRUE,FALSE))</f>
        <v>#REF!</v>
      </c>
      <c r="AI15" s="54">
        <v>5</v>
      </c>
      <c r="AJ15" s="54"/>
      <c r="AK15" s="54" t="str">
        <f t="array" ref="AK15">IFERROR(INDEX($AI$11:$AI$259, MATCH(0, IF(TRUE=$AF$11:$AF$259, COUNTIF($AK$10:$AK14, $AI$11:$AI$259), ""), 0)),"")</f>
        <v/>
      </c>
      <c r="AL15" s="54" t="str">
        <f t="array" ref="AL15">IFERROR(INDEX($AI$11:$AI$259, MATCH(0, IF(TRUE=$AG$11:$AG$259, COUNTIF($AL$10:$AL14, $AI$11:$AI$259), ""), 0)),"")</f>
        <v/>
      </c>
      <c r="AM15" s="54" t="str">
        <f t="array" ref="AM15">IFERROR(INDEX($AI$11:$AI$259, MATCH(0, IF(TRUE=$AH$11:$AH$259, COUNTIF($AM$10:$AM14, $AI$11:$AI$259), ""), 0)),"")</f>
        <v/>
      </c>
      <c r="AN15" s="54"/>
      <c r="AQ15" s="47">
        <f t="shared" si="2"/>
        <v>0</v>
      </c>
    </row>
    <row r="16" spans="1:43" ht="41.4" x14ac:dyDescent="0.25">
      <c r="A16" s="47" t="str">
        <f>IFERROR(INDEX('G-1 All Habitats'!$AG$3:$AG$15,MATCH(E16,'G-1 All Habitats'!$AF$3:$AF$15,0)),"")</f>
        <v>Urban</v>
      </c>
      <c r="B16" s="47" t="str">
        <f>IFERROR(INDEX('G-8 Condition Look up'!$I$4:$I$130,MATCH(G16,'G-8 Condition Look up'!$A$4:$A$130,0)),"")</f>
        <v>Cond4</v>
      </c>
      <c r="D16" s="77">
        <v>6</v>
      </c>
      <c r="E16" s="79" t="s">
        <v>74</v>
      </c>
      <c r="F16" s="79" t="s">
        <v>627</v>
      </c>
      <c r="G16" s="69" t="str">
        <f>IFERROR(INDEX('G-1 All Habitats'!$B$3:$B$129,MATCH(F16,'G-1 All Habitats'!$A$3:$A$129,0)),"")</f>
        <v>Urban - Urban Tree</v>
      </c>
      <c r="H16" s="70">
        <v>9.7000000000000003E-2</v>
      </c>
      <c r="I16" s="498" t="str">
        <f>IF(G16="","",VLOOKUP(G16,'G-1 All Habitats'!$B$2:$M$129,10,FALSE))</f>
        <v>Medium</v>
      </c>
      <c r="J16" s="499">
        <f>IFERROR(VLOOKUP(I16,'G-1 All Habitats'!$V$3:$W$7,2,FALSE),"")</f>
        <v>4</v>
      </c>
      <c r="K16" s="71" t="s">
        <v>20</v>
      </c>
      <c r="L16" s="499">
        <f>IFERROR(INDEX('G-8 Condition Look up'!$A$3:$H$130,MATCH(G16,'G-8 Condition Look up'!$A$3:$A$130,0),MATCH(K16,'G-8 Condition Look up'!$A$3:$H$3,0)),"")</f>
        <v>2</v>
      </c>
      <c r="M16" s="71" t="s">
        <v>913</v>
      </c>
      <c r="N16" s="520" t="str">
        <f>IF(M16="","",IF(VLOOKUP(M16,'G-3 Multipliers'!$L$3:$N$6,2,FALSE)=0,"Spatial Data Missing",VLOOKUP(M16,'G-3 Multipliers'!$L$3:$N$6,2,FALSE)))</f>
        <v xml:space="preserve">High strategic significance </v>
      </c>
      <c r="O16" s="505">
        <f>IF(M16="","",IF(VLOOKUP(M16,'G-3 Multipliers'!$L$3:$N$6,3,FALSE)=0,"Spatial Data Missing ▲",VLOOKUP(M16,'G-3 Multipliers'!$L$3:$N$6,3,FALSE)))</f>
        <v>1.1499999999999999</v>
      </c>
      <c r="P16" s="506" t="str">
        <f>IFERROR(VLOOKUP(G16,'G-1 All Habitats'!$B$2:$M$129,12,FALSE),"")</f>
        <v>Same broad habitat or a higher distinctiveness habitat required (≥)</v>
      </c>
      <c r="Q16" s="513">
        <f>IFERROR(IF(P16="","",IF(AND(P16='G-1 All Habitats'!$X$3,T16&gt;0),U16+V16,IF(AND(P16='G-1 All Habitats'!$X$3,S16&gt;0),U16+V16,IF(AND(P16='G-1 All Habitats'!$X$3,AC16&gt;0),"Any Loss Unacceptable ▲",IF(AND(P16='G-1 All Habitats'!$X$3,W16&gt;0),"Any Loss Unacceptable ▲",H16*J16*L16*O16))))),"Check Data ▲")</f>
        <v>0.89239999999999997</v>
      </c>
      <c r="R16" s="50"/>
      <c r="S16" s="71">
        <v>4.8500000000000001E-2</v>
      </c>
      <c r="T16" s="72"/>
      <c r="U16" s="511">
        <f t="shared" si="3"/>
        <v>0.44619999999999999</v>
      </c>
      <c r="V16" s="511">
        <f t="shared" si="4"/>
        <v>0</v>
      </c>
      <c r="W16" s="511">
        <f>IF(E16="","",IF(H16&lt;S16+T16,"Error in Areas ▲",IF(P16&lt;&gt;'G-1 All Habitats'!$X$3,H16-S16-T16,IF(AND(P16='G-1 All Habitats'!$X$3,Y16="Yes"),"Unacceptable Loss",IF(AND(P16='G-1 All Habitats'!$X$3,Y16="No"),AC16,IF(AND(P16='G-1 All Habitats'!$X$3,Y16=""),AC16,IF(AND(P16='G-1 All Habitats'!$X$3,AC16="None",AC16),IF(AND(P16='G-1 All Habitats'!$X$3,AC16&gt;0),H16-S16-T16))))))))</f>
        <v>4.8500000000000001E-2</v>
      </c>
      <c r="X16" s="515">
        <f>IFERROR(IF(H16="","",IF(H16-S16-T16=0&lt;0,"Error in Areas ▲",IF(S16+T16&gt;H16,"Error in Areas ▲",IF(AND(P16='G-1 All Habitats'!$X$3,Y16="Yes"),"Alternative Compensation ✓",IF(W16=0,0,IF(P16='G-1 All Habitats'!$X$3,"Unacceptable Loss ▲",Q16-U16-V16)))))),"Check Data ▲")</f>
        <v>0.44619999999999999</v>
      </c>
      <c r="Y16" s="72"/>
      <c r="Z16" s="80" t="s">
        <v>1578</v>
      </c>
      <c r="AA16" s="81"/>
      <c r="AC16" s="75" t="str">
        <f>IF(P16="","",IF(P16='G-1 All Habitats'!$X$3,H16-S16-T16,"None"))</f>
        <v>None</v>
      </c>
      <c r="AD16" s="76" t="str">
        <f>IFERROR(AC16*J16*L16*#REF!*O16,IF(P16="","","None"))</f>
        <v>None</v>
      </c>
      <c r="AF16" s="54" t="b">
        <f t="shared" si="0"/>
        <v>1</v>
      </c>
      <c r="AG16" s="54" t="b">
        <f t="shared" si="1"/>
        <v>0</v>
      </c>
      <c r="AH16" s="54" t="e">
        <f>IF(I16="","",IF(#REF!&gt;0,TRUE,FALSE))</f>
        <v>#REF!</v>
      </c>
      <c r="AI16" s="54">
        <v>6</v>
      </c>
      <c r="AJ16" s="54"/>
      <c r="AK16" s="54" t="str">
        <f t="array" ref="AK16">IFERROR(INDEX($AI$11:$AI$259, MATCH(0, IF(TRUE=$AF$11:$AF$259, COUNTIF($AK$10:$AK15, $AI$11:$AI$259), ""), 0)),"")</f>
        <v/>
      </c>
      <c r="AL16" s="54" t="str">
        <f t="array" ref="AL16">IFERROR(INDEX($AI$11:$AI$259, MATCH(0, IF(TRUE=$AG$11:$AG$259, COUNTIF($AL$10:$AL15, $AI$11:$AI$259), ""), 0)),"")</f>
        <v/>
      </c>
      <c r="AM16" s="54" t="str">
        <f t="array" ref="AM16">IFERROR(INDEX($AI$11:$AI$259, MATCH(0, IF(TRUE=$AH$11:$AH$259, COUNTIF($AM$10:$AM15, $AI$11:$AI$259), ""), 0)),"")</f>
        <v/>
      </c>
      <c r="AN16" s="54"/>
      <c r="AQ16" s="47">
        <f t="shared" si="2"/>
        <v>0</v>
      </c>
    </row>
    <row r="17" spans="1:43" x14ac:dyDescent="0.25">
      <c r="A17" s="47" t="str">
        <f>IFERROR(INDEX('G-1 All Habitats'!$AG$3:$AG$15,MATCH(E17,'G-1 All Habitats'!$AF$3:$AF$15,0)),"")</f>
        <v/>
      </c>
      <c r="B17" s="47" t="str">
        <f>IFERROR(INDEX('G-8 Condition Look up'!$I$4:$I$130,MATCH(G17,'G-8 Condition Look up'!$A$4:$A$130,0)),"")</f>
        <v/>
      </c>
      <c r="D17" s="77">
        <v>7</v>
      </c>
      <c r="E17" s="342"/>
      <c r="F17" s="79"/>
      <c r="G17" s="69" t="str">
        <f>IFERROR(INDEX('G-1 All Habitats'!$B$3:$B$129,MATCH(F17,'G-1 All Habitats'!$A$3:$A$129,0)),"")</f>
        <v/>
      </c>
      <c r="H17" s="70"/>
      <c r="I17" s="498" t="str">
        <f>IF(G17="","",VLOOKUP(G17,'G-1 All Habitats'!$B$2:$M$129,10,FALSE))</f>
        <v/>
      </c>
      <c r="J17" s="499" t="str">
        <f>IFERROR(VLOOKUP(I17,'G-1 All Habitats'!$V$3:$W$7,2,FALSE),"")</f>
        <v/>
      </c>
      <c r="K17" s="71"/>
      <c r="L17" s="499" t="str">
        <f>IFERROR(INDEX('G-8 Condition Look up'!$A$3:$H$130,MATCH(G17,'G-8 Condition Look up'!$A$3:$A$130,0),MATCH(K17,'G-8 Condition Look up'!$A$3:$H$3,0)),"")</f>
        <v/>
      </c>
      <c r="M17" s="71"/>
      <c r="N17" s="520" t="str">
        <f>IF(M17="","",IF(VLOOKUP(M17,'G-3 Multipliers'!$L$3:$N$6,2,FALSE)=0,"Spatial Data Missing",VLOOKUP(M17,'G-3 Multipliers'!$L$3:$N$6,2,FALSE)))</f>
        <v/>
      </c>
      <c r="O17" s="505" t="str">
        <f>IF(M17="","",IF(VLOOKUP(M17,'G-3 Multipliers'!$L$3:$N$6,3,FALSE)=0,"Spatial Data Missing ▲",VLOOKUP(M17,'G-3 Multipliers'!$L$3:$N$6,3,FALSE)))</f>
        <v/>
      </c>
      <c r="P17" s="506" t="str">
        <f>IFERROR(VLOOKUP(G17,'G-1 All Habitats'!$B$2:$M$129,12,FALSE),"")</f>
        <v/>
      </c>
      <c r="Q17" s="513" t="str">
        <f>IFERROR(IF(P17="","",IF(AND(P17='G-1 All Habitats'!$X$3,T17&gt;0),U17+V17,IF(AND(P17='G-1 All Habitats'!$X$3,S17&gt;0),U17+V17,IF(AND(P17='G-1 All Habitats'!$X$3,AC17&gt;0),"Any Loss Unacceptable ▲",IF(AND(P17='G-1 All Habitats'!$X$3,W17&gt;0),"Any Loss Unacceptable ▲",H17*J17*L17*O17))))),"Check Data ▲")</f>
        <v/>
      </c>
      <c r="R17" s="50"/>
      <c r="S17" s="71"/>
      <c r="T17" s="72"/>
      <c r="U17" s="511" t="str">
        <f t="shared" si="3"/>
        <v/>
      </c>
      <c r="V17" s="511" t="str">
        <f t="shared" si="4"/>
        <v/>
      </c>
      <c r="W17" s="511" t="str">
        <f>IF(E17="","",IF(H17&lt;S17+T17,"Error in Areas ▲",IF(P17&lt;&gt;'G-1 All Habitats'!$X$3,H17-S17-T17,IF(AND(P17='G-1 All Habitats'!$X$3,Y17="Yes"),"Unacceptable Loss",IF(AND(P17='G-1 All Habitats'!$X$3,Y17="No"),AC17,IF(AND(P17='G-1 All Habitats'!$X$3,Y17=""),AC17,IF(AND(P17='G-1 All Habitats'!$X$3,AC17="None",AC17),IF(AND(P17='G-1 All Habitats'!$X$3,AC17&gt;0),H17-S17-T17))))))))</f>
        <v/>
      </c>
      <c r="X17" s="515" t="str">
        <f>IFERROR(IF(H17="","",IF(H17-S17-T17=0&lt;0,"Error in Areas ▲",IF(S17+T17&gt;H17,"Error in Areas ▲",IF(AND(P17='G-1 All Habitats'!$X$3,Y17="Yes"),"Alternative Compensation ✓",IF(W17=0,0,IF(P17='G-1 All Habitats'!$X$3,"Unacceptable Loss ▲",Q17-U17-V17)))))),"Check Data ▲")</f>
        <v/>
      </c>
      <c r="Y17" s="72"/>
      <c r="Z17" s="80"/>
      <c r="AA17" s="81"/>
      <c r="AC17" s="75" t="str">
        <f>IF(P17="","",IF(P17='G-1 All Habitats'!$X$3,H17-S17-T17,"None"))</f>
        <v/>
      </c>
      <c r="AD17" s="76" t="str">
        <f>IFERROR(AC17*J17*L17*#REF!*O17,IF(P17="","","None"))</f>
        <v/>
      </c>
      <c r="AF17" s="54" t="str">
        <f t="shared" si="0"/>
        <v/>
      </c>
      <c r="AG17" s="54" t="str">
        <f t="shared" si="1"/>
        <v/>
      </c>
      <c r="AH17" s="54" t="str">
        <f>IF(I17="","",IF(#REF!&gt;0,TRUE,FALSE))</f>
        <v/>
      </c>
      <c r="AI17" s="54">
        <v>7</v>
      </c>
      <c r="AJ17" s="54"/>
      <c r="AK17" s="54" t="str">
        <f t="array" ref="AK17">IFERROR(INDEX($AI$11:$AI$259, MATCH(0, IF(TRUE=$AF$11:$AF$259, COUNTIF($AK$10:$AK16, $AI$11:$AI$259), ""), 0)),"")</f>
        <v/>
      </c>
      <c r="AL17" s="54" t="str">
        <f t="array" ref="AL17">IFERROR(INDEX($AI$11:$AI$259, MATCH(0, IF(TRUE=$AG$11:$AG$259, COUNTIF($AL$10:$AL16, $AI$11:$AI$259), ""), 0)),"")</f>
        <v/>
      </c>
      <c r="AM17" s="54" t="str">
        <f t="array" ref="AM17">IFERROR(INDEX($AI$11:$AI$259, MATCH(0, IF(TRUE=$AH$11:$AH$259, COUNTIF($AM$10:$AM16, $AI$11:$AI$259), ""), 0)),"")</f>
        <v/>
      </c>
      <c r="AN17" s="54"/>
      <c r="AQ17" s="47">
        <f t="shared" si="2"/>
        <v>0</v>
      </c>
    </row>
    <row r="18" spans="1:43" x14ac:dyDescent="0.25">
      <c r="A18" s="47" t="str">
        <f>IFERROR(INDEX('G-1 All Habitats'!$AG$3:$AG$15,MATCH(E18,'G-1 All Habitats'!$AF$3:$AF$15,0)),"")</f>
        <v/>
      </c>
      <c r="B18" s="47" t="str">
        <f>IFERROR(INDEX('G-8 Condition Look up'!$I$4:$I$130,MATCH(G18,'G-8 Condition Look up'!$A$4:$A$130,0)),"")</f>
        <v/>
      </c>
      <c r="D18" s="77">
        <v>8</v>
      </c>
      <c r="E18" s="79"/>
      <c r="F18" s="79"/>
      <c r="G18" s="69" t="str">
        <f>IFERROR(INDEX('G-1 All Habitats'!$B$3:$B$129,MATCH(F18,'G-1 All Habitats'!$A$3:$A$129,0)),"")</f>
        <v/>
      </c>
      <c r="H18" s="70"/>
      <c r="I18" s="498" t="str">
        <f>IF(G18="","",VLOOKUP(G18,'G-1 All Habitats'!$B$2:$M$129,10,FALSE))</f>
        <v/>
      </c>
      <c r="J18" s="499" t="str">
        <f>IFERROR(VLOOKUP(I18,'G-1 All Habitats'!$V$3:$W$7,2,FALSE),"")</f>
        <v/>
      </c>
      <c r="K18" s="71"/>
      <c r="L18" s="499" t="str">
        <f>IFERROR(INDEX('G-8 Condition Look up'!$A$3:$H$130,MATCH(G18,'G-8 Condition Look up'!$A$3:$A$130,0),MATCH(K18,'G-8 Condition Look up'!$A$3:$H$3,0)),"")</f>
        <v/>
      </c>
      <c r="M18" s="71"/>
      <c r="N18" s="520" t="str">
        <f>IF(M18="","",IF(VLOOKUP(M18,'G-3 Multipliers'!$L$3:$N$6,2,FALSE)=0,"Spatial Data Missing",VLOOKUP(M18,'G-3 Multipliers'!$L$3:$N$6,2,FALSE)))</f>
        <v/>
      </c>
      <c r="O18" s="505" t="str">
        <f>IF(M18="","",IF(VLOOKUP(M18,'G-3 Multipliers'!$L$3:$N$6,3,FALSE)=0,"Spatial Data Missing ▲",VLOOKUP(M18,'G-3 Multipliers'!$L$3:$N$6,3,FALSE)))</f>
        <v/>
      </c>
      <c r="P18" s="506" t="str">
        <f>IFERROR(VLOOKUP(G18,'G-1 All Habitats'!$B$2:$M$129,12,FALSE),"")</f>
        <v/>
      </c>
      <c r="Q18" s="513" t="str">
        <f>IFERROR(IF(P18="","",IF(AND(P18='G-1 All Habitats'!$X$3,T18&gt;0),U18+V18,IF(AND(P18='G-1 All Habitats'!$X$3,S18&gt;0),U18+V18,IF(AND(P18='G-1 All Habitats'!$X$3,AC18&gt;0),"Any Loss Unacceptable ▲",IF(AND(P18='G-1 All Habitats'!$X$3,W18&gt;0),"Any Loss Unacceptable ▲",H18*J18*L18*O18))))),"Check Data ▲")</f>
        <v/>
      </c>
      <c r="R18" s="50"/>
      <c r="S18" s="71"/>
      <c r="T18" s="72"/>
      <c r="U18" s="511" t="str">
        <f t="shared" si="3"/>
        <v/>
      </c>
      <c r="V18" s="511" t="str">
        <f t="shared" si="4"/>
        <v/>
      </c>
      <c r="W18" s="511" t="str">
        <f>IF(E18="","",IF(H18&lt;S18+T18,"Error in Areas ▲",IF(P18&lt;&gt;'G-1 All Habitats'!$X$3,H18-S18-T18,IF(AND(P18='G-1 All Habitats'!$X$3,Y18="Yes"),"Unacceptable Loss",IF(AND(P18='G-1 All Habitats'!$X$3,Y18="No"),AC18,IF(AND(P18='G-1 All Habitats'!$X$3,Y18=""),AC18,IF(AND(P18='G-1 All Habitats'!$X$3,AC18="None",AC18),IF(AND(P18='G-1 All Habitats'!$X$3,AC18&gt;0),H18-S18-T18))))))))</f>
        <v/>
      </c>
      <c r="X18" s="515" t="str">
        <f>IFERROR(IF(H18="","",IF(H18-S18-T18=0&lt;0,"Error in Areas ▲",IF(S18+T18&gt;H18,"Error in Areas ▲",IF(AND(P18='G-1 All Habitats'!$X$3,Y18="Yes"),"Alternative Compensation ✓",IF(W18=0,0,IF(P18='G-1 All Habitats'!$X$3,"Unacceptable Loss ▲",Q18-U18-V18)))))),"Check Data ▲")</f>
        <v/>
      </c>
      <c r="Y18" s="72"/>
      <c r="Z18" s="80"/>
      <c r="AA18" s="81"/>
      <c r="AC18" s="75" t="str">
        <f>IF(P18="","",IF(P18='G-1 All Habitats'!$X$3,H18-S18-T18,"None"))</f>
        <v/>
      </c>
      <c r="AD18" s="76" t="str">
        <f>IFERROR(AC18*J18*L18*#REF!*O18,IF(P18="","","None"))</f>
        <v/>
      </c>
      <c r="AF18" s="54" t="str">
        <f t="shared" si="0"/>
        <v/>
      </c>
      <c r="AG18" s="54" t="str">
        <f t="shared" si="1"/>
        <v/>
      </c>
      <c r="AH18" s="54" t="str">
        <f>IF(I18="","",IF(#REF!&gt;0,TRUE,FALSE))</f>
        <v/>
      </c>
      <c r="AI18" s="54">
        <v>8</v>
      </c>
      <c r="AJ18" s="54"/>
      <c r="AK18" s="54" t="str">
        <f t="array" ref="AK18">IFERROR(INDEX($AI$11:$AI$259, MATCH(0, IF(TRUE=$AF$11:$AF$259, COUNTIF($AK$10:$AK17, $AI$11:$AI$259), ""), 0)),"")</f>
        <v/>
      </c>
      <c r="AL18" s="54" t="str">
        <f t="array" ref="AL18">IFERROR(INDEX($AI$11:$AI$259, MATCH(0, IF(TRUE=$AG$11:$AG$259, COUNTIF($AL$10:$AL17, $AI$11:$AI$259), ""), 0)),"")</f>
        <v/>
      </c>
      <c r="AM18" s="54" t="str">
        <f t="array" ref="AM18">IFERROR(INDEX($AI$11:$AI$259, MATCH(0, IF(TRUE=$AH$11:$AH$259, COUNTIF($AM$10:$AM17, $AI$11:$AI$259), ""), 0)),"")</f>
        <v/>
      </c>
      <c r="AN18" s="54"/>
      <c r="AQ18" s="47">
        <f t="shared" si="2"/>
        <v>0</v>
      </c>
    </row>
    <row r="19" spans="1:43" x14ac:dyDescent="0.25">
      <c r="A19" s="47" t="str">
        <f>IFERROR(INDEX('G-1 All Habitats'!$AG$3:$AG$15,MATCH(E19,'G-1 All Habitats'!$AF$3:$AF$15,0)),"")</f>
        <v/>
      </c>
      <c r="B19" s="47" t="str">
        <f>IFERROR(INDEX('G-8 Condition Look up'!$I$4:$I$130,MATCH(G19,'G-8 Condition Look up'!$A$4:$A$130,0)),"")</f>
        <v/>
      </c>
      <c r="D19" s="77">
        <v>9</v>
      </c>
      <c r="E19" s="82"/>
      <c r="F19" s="79"/>
      <c r="G19" s="69" t="str">
        <f>IFERROR(INDEX('G-1 All Habitats'!$B$3:$B$129,MATCH(F19,'G-1 All Habitats'!$A$3:$A$129,0)),"")</f>
        <v/>
      </c>
      <c r="H19" s="70"/>
      <c r="I19" s="498" t="str">
        <f>IF(G19="","",VLOOKUP(G19,'G-1 All Habitats'!$B$2:$M$129,10,FALSE))</f>
        <v/>
      </c>
      <c r="J19" s="499" t="str">
        <f>IFERROR(VLOOKUP(I19,'G-1 All Habitats'!$V$3:$W$7,2,FALSE),"")</f>
        <v/>
      </c>
      <c r="K19" s="71"/>
      <c r="L19" s="499" t="str">
        <f>IFERROR(INDEX('G-8 Condition Look up'!$A$3:$H$130,MATCH(G19,'G-8 Condition Look up'!$A$3:$A$130,0),MATCH(K19,'G-8 Condition Look up'!$A$3:$H$3,0)),"")</f>
        <v/>
      </c>
      <c r="M19" s="71"/>
      <c r="N19" s="520" t="str">
        <f>IF(M19="","",IF(VLOOKUP(M19,'G-3 Multipliers'!$L$3:$N$6,2,FALSE)=0,"Spatial Data Missing",VLOOKUP(M19,'G-3 Multipliers'!$L$3:$N$6,2,FALSE)))</f>
        <v/>
      </c>
      <c r="O19" s="505" t="str">
        <f>IF(M19="","",IF(VLOOKUP(M19,'G-3 Multipliers'!$L$3:$N$6,3,FALSE)=0,"Spatial Data Missing ▲",VLOOKUP(M19,'G-3 Multipliers'!$L$3:$N$6,3,FALSE)))</f>
        <v/>
      </c>
      <c r="P19" s="506" t="str">
        <f>IFERROR(VLOOKUP(G19,'G-1 All Habitats'!$B$2:$M$129,12,FALSE),"")</f>
        <v/>
      </c>
      <c r="Q19" s="513" t="str">
        <f>IFERROR(IF(P19="","",IF(AND(P19='G-1 All Habitats'!$X$3,T19&gt;0),U19+V19,IF(AND(P19='G-1 All Habitats'!$X$3,S19&gt;0),U19+V19,IF(AND(P19='G-1 All Habitats'!$X$3,AC19&gt;0),"Any Loss Unacceptable ▲",IF(AND(P19='G-1 All Habitats'!$X$3,W19&gt;0),"Any Loss Unacceptable ▲",H19*J19*L19*O19))))),"Check Data ▲")</f>
        <v/>
      </c>
      <c r="R19" s="50"/>
      <c r="S19" s="71"/>
      <c r="T19" s="72"/>
      <c r="U19" s="511" t="str">
        <f t="shared" si="3"/>
        <v/>
      </c>
      <c r="V19" s="511" t="str">
        <f t="shared" si="4"/>
        <v/>
      </c>
      <c r="W19" s="511" t="str">
        <f>IF(E19="","",IF(H19&lt;S19+T19,"Error in Areas ▲",IF(P19&lt;&gt;'G-1 All Habitats'!$X$3,H19-S19-T19,IF(AND(P19='G-1 All Habitats'!$X$3,Y19="Yes"),"Unacceptable Loss",IF(AND(P19='G-1 All Habitats'!$X$3,Y19="No"),AC19,IF(AND(P19='G-1 All Habitats'!$X$3,Y19=""),AC19,IF(AND(P19='G-1 All Habitats'!$X$3,AC19="None",AC19),IF(AND(P19='G-1 All Habitats'!$X$3,AC19&gt;0),H19-S19-T19))))))))</f>
        <v/>
      </c>
      <c r="X19" s="515" t="str">
        <f>IFERROR(IF(H19="","",IF(H19-S19-T19=0&lt;0,"Error in Areas ▲",IF(S19+T19&gt;H19,"Error in Areas ▲",IF(AND(P19='G-1 All Habitats'!$X$3,Y19="Yes"),"Alternative Compensation ✓",IF(W19=0,0,IF(P19='G-1 All Habitats'!$X$3,"Unacceptable Loss ▲",Q19-U19-V19)))))),"Check Data ▲")</f>
        <v/>
      </c>
      <c r="Y19" s="72"/>
      <c r="Z19" s="80"/>
      <c r="AA19" s="81"/>
      <c r="AC19" s="75" t="str">
        <f>IF(P19="","",IF(P19='G-1 All Habitats'!$X$3,H19-S19-T19,"None"))</f>
        <v/>
      </c>
      <c r="AD19" s="76" t="str">
        <f>IFERROR(AC19*J19*L19*#REF!*O19,IF(P19="","","None"))</f>
        <v/>
      </c>
      <c r="AF19" s="54" t="str">
        <f t="shared" si="0"/>
        <v/>
      </c>
      <c r="AG19" s="54" t="str">
        <f t="shared" si="1"/>
        <v/>
      </c>
      <c r="AH19" s="54" t="str">
        <f>IF(I19="","",IF(#REF!&gt;0,TRUE,FALSE))</f>
        <v/>
      </c>
      <c r="AI19" s="54">
        <v>9</v>
      </c>
      <c r="AJ19" s="54"/>
      <c r="AK19" s="54" t="str">
        <f t="array" ref="AK19">IFERROR(INDEX($AI$11:$AI$259, MATCH(0, IF(TRUE=$AF$11:$AF$259, COUNTIF($AK$10:$AK18, $AI$11:$AI$259), ""), 0)),"")</f>
        <v/>
      </c>
      <c r="AL19" s="54" t="str">
        <f t="array" ref="AL19">IFERROR(INDEX($AI$11:$AI$259, MATCH(0, IF(TRUE=$AG$11:$AG$259, COUNTIF($AL$10:$AL18, $AI$11:$AI$259), ""), 0)),"")</f>
        <v/>
      </c>
      <c r="AM19" s="54" t="str">
        <f t="array" ref="AM19">IFERROR(INDEX($AI$11:$AI$259, MATCH(0, IF(TRUE=$AH$11:$AH$259, COUNTIF($AM$10:$AM18, $AI$11:$AI$259), ""), 0)),"")</f>
        <v/>
      </c>
      <c r="AN19" s="54"/>
      <c r="AQ19" s="47">
        <f t="shared" si="2"/>
        <v>0</v>
      </c>
    </row>
    <row r="20" spans="1:43" x14ac:dyDescent="0.25">
      <c r="A20" s="47" t="str">
        <f>IFERROR(INDEX('G-1 All Habitats'!$AG$3:$AG$15,MATCH(E20,'G-1 All Habitats'!$AF$3:$AF$15,0)),"")</f>
        <v/>
      </c>
      <c r="B20" s="47" t="str">
        <f>IFERROR(INDEX('G-8 Condition Look up'!$I$4:$I$130,MATCH(G20,'G-8 Condition Look up'!$A$4:$A$130,0)),"")</f>
        <v/>
      </c>
      <c r="D20" s="77">
        <v>10</v>
      </c>
      <c r="E20" s="78"/>
      <c r="F20" s="79"/>
      <c r="G20" s="69" t="str">
        <f>IFERROR(INDEX('G-1 All Habitats'!$B$3:$B$129,MATCH(F20,'G-1 All Habitats'!$A$3:$A$129,0)),"")</f>
        <v/>
      </c>
      <c r="H20" s="70"/>
      <c r="I20" s="498" t="str">
        <f>IF(G20="","",VLOOKUP(G20,'G-1 All Habitats'!$B$2:$M$129,10,FALSE))</f>
        <v/>
      </c>
      <c r="J20" s="499" t="str">
        <f>IFERROR(VLOOKUP(I20,'G-1 All Habitats'!$V$3:$W$7,2,FALSE),"")</f>
        <v/>
      </c>
      <c r="K20" s="71"/>
      <c r="L20" s="499" t="str">
        <f>IFERROR(INDEX('G-8 Condition Look up'!$A$3:$H$130,MATCH(G20,'G-8 Condition Look up'!$A$3:$A$130,0),MATCH(K20,'G-8 Condition Look up'!$A$3:$H$3,0)),"")</f>
        <v/>
      </c>
      <c r="M20" s="71"/>
      <c r="N20" s="520" t="str">
        <f>IF(M20="","",IF(VLOOKUP(M20,'G-3 Multipliers'!$L$3:$N$6,2,FALSE)=0,"Spatial Data Missing",VLOOKUP(M20,'G-3 Multipliers'!$L$3:$N$6,2,FALSE)))</f>
        <v/>
      </c>
      <c r="O20" s="505" t="str">
        <f>IF(M20="","",IF(VLOOKUP(M20,'G-3 Multipliers'!$L$3:$N$6,3,FALSE)=0,"Spatial Data Missing ▲",VLOOKUP(M20,'G-3 Multipliers'!$L$3:$N$6,3,FALSE)))</f>
        <v/>
      </c>
      <c r="P20" s="506" t="str">
        <f>IFERROR(VLOOKUP(G20,'G-1 All Habitats'!$B$2:$M$129,12,FALSE),"")</f>
        <v/>
      </c>
      <c r="Q20" s="513" t="str">
        <f>IFERROR(IF(P20="","",IF(AND(P20='G-1 All Habitats'!$X$3,T20&gt;0),U20+V20,IF(AND(P20='G-1 All Habitats'!$X$3,S20&gt;0),U20+V20,IF(AND(P20='G-1 All Habitats'!$X$3,AC20&gt;0),"Any Loss Unacceptable ▲",IF(AND(P20='G-1 All Habitats'!$X$3,W20&gt;0),"Any Loss Unacceptable ▲",H20*J20*L20*O20))))),"Check Data ▲")</f>
        <v/>
      </c>
      <c r="R20" s="50"/>
      <c r="S20" s="71"/>
      <c r="T20" s="72"/>
      <c r="U20" s="511" t="str">
        <f t="shared" si="3"/>
        <v/>
      </c>
      <c r="V20" s="511" t="str">
        <f t="shared" si="4"/>
        <v/>
      </c>
      <c r="W20" s="511" t="str">
        <f>IF(E20="","",IF(H20&lt;S20+T20,"Error in Areas ▲",IF(P20&lt;&gt;'G-1 All Habitats'!$X$3,H20-S20-T20,IF(AND(P20='G-1 All Habitats'!$X$3,Y20="Yes"),"Unacceptable Loss",IF(AND(P20='G-1 All Habitats'!$X$3,Y20="No"),AC20,IF(AND(P20='G-1 All Habitats'!$X$3,Y20=""),AC20,IF(AND(P20='G-1 All Habitats'!$X$3,AC20="None",AC20),IF(AND(P20='G-1 All Habitats'!$X$3,AC20&gt;0),H20-S20-T20))))))))</f>
        <v/>
      </c>
      <c r="X20" s="515" t="str">
        <f>IFERROR(IF(H20="","",IF(H20-S20-T20=0&lt;0,"Error in Areas ▲",IF(S20+T20&gt;H20,"Error in Areas ▲",IF(AND(P20='G-1 All Habitats'!$X$3,Y20="Yes"),"Alternative Compensation ✓",IF(W20=0,0,IF(P20='G-1 All Habitats'!$X$3,"Unacceptable Loss ▲",Q20-U20-V20)))))),"Check Data ▲")</f>
        <v/>
      </c>
      <c r="Y20" s="72"/>
      <c r="Z20" s="80"/>
      <c r="AA20" s="81"/>
      <c r="AC20" s="75" t="str">
        <f>IF(P20="","",IF(P20='G-1 All Habitats'!$X$3,H20-S20-T20,"None"))</f>
        <v/>
      </c>
      <c r="AD20" s="76" t="str">
        <f>IFERROR(AC20*J20*L20*#REF!*O20,IF(P20="","","None"))</f>
        <v/>
      </c>
      <c r="AF20" s="54" t="str">
        <f t="shared" si="0"/>
        <v/>
      </c>
      <c r="AG20" s="54" t="str">
        <f t="shared" si="1"/>
        <v/>
      </c>
      <c r="AH20" s="54" t="str">
        <f>IF(I20="","",IF(#REF!&gt;0,TRUE,FALSE))</f>
        <v/>
      </c>
      <c r="AI20" s="54">
        <v>10</v>
      </c>
      <c r="AJ20" s="54"/>
      <c r="AK20" s="54" t="str">
        <f t="array" ref="AK20">IFERROR(INDEX($AI$11:$AI$259, MATCH(0, IF(TRUE=$AF$11:$AF$259, COUNTIF($AK$10:$AK19, $AI$11:$AI$259), ""), 0)),"")</f>
        <v/>
      </c>
      <c r="AL20" s="54" t="str">
        <f t="array" ref="AL20">IFERROR(INDEX($AI$11:$AI$259, MATCH(0, IF(TRUE=$AG$11:$AG$259, COUNTIF($AL$10:$AL19, $AI$11:$AI$259), ""), 0)),"")</f>
        <v/>
      </c>
      <c r="AM20" s="54" t="str">
        <f t="array" ref="AM20">IFERROR(INDEX($AI$11:$AI$259, MATCH(0, IF(TRUE=$AH$11:$AH$259, COUNTIF($AM$10:$AM19, $AI$11:$AI$259), ""), 0)),"")</f>
        <v/>
      </c>
      <c r="AN20" s="54"/>
      <c r="AQ20" s="47">
        <f t="shared" si="2"/>
        <v>0</v>
      </c>
    </row>
    <row r="21" spans="1:43" x14ac:dyDescent="0.25">
      <c r="A21" s="47" t="str">
        <f>IFERROR(INDEX('G-1 All Habitats'!$AG$3:$AG$15,MATCH(E21,'G-1 All Habitats'!$AF$3:$AF$15,0)),"")</f>
        <v/>
      </c>
      <c r="B21" s="47" t="str">
        <f>IFERROR(INDEX('G-8 Condition Look up'!$I$4:$I$130,MATCH(G21,'G-8 Condition Look up'!$A$4:$A$130,0)),"")</f>
        <v/>
      </c>
      <c r="D21" s="77">
        <v>11</v>
      </c>
      <c r="E21" s="78"/>
      <c r="F21" s="79"/>
      <c r="G21" s="69" t="str">
        <f>IFERROR(INDEX('G-1 All Habitats'!$B$3:$B$129,MATCH(F21,'G-1 All Habitats'!$A$3:$A$129,0)),"")</f>
        <v/>
      </c>
      <c r="H21" s="70"/>
      <c r="I21" s="498" t="str">
        <f>IF(G21="","",VLOOKUP(G21,'G-1 All Habitats'!$B$2:$M$129,10,FALSE))</f>
        <v/>
      </c>
      <c r="J21" s="499" t="str">
        <f>IFERROR(VLOOKUP(I21,'G-1 All Habitats'!$V$3:$W$7,2,FALSE),"")</f>
        <v/>
      </c>
      <c r="K21" s="71"/>
      <c r="L21" s="499" t="str">
        <f>IFERROR(INDEX('G-8 Condition Look up'!$A$3:$H$130,MATCH(G21,'G-8 Condition Look up'!$A$3:$A$130,0),MATCH(K21,'G-8 Condition Look up'!$A$3:$H$3,0)),"")</f>
        <v/>
      </c>
      <c r="M21" s="71"/>
      <c r="N21" s="520" t="str">
        <f>IF(M21="","",IF(VLOOKUP(M21,'G-3 Multipliers'!$L$3:$N$6,2,FALSE)=0,"Spatial Data Missing",VLOOKUP(M21,'G-3 Multipliers'!$L$3:$N$6,2,FALSE)))</f>
        <v/>
      </c>
      <c r="O21" s="505" t="str">
        <f>IF(M21="","",IF(VLOOKUP(M21,'G-3 Multipliers'!$L$3:$N$6,3,FALSE)=0,"Spatial Data Missing ▲",VLOOKUP(M21,'G-3 Multipliers'!$L$3:$N$6,3,FALSE)))</f>
        <v/>
      </c>
      <c r="P21" s="506" t="str">
        <f>IFERROR(VLOOKUP(G21,'G-1 All Habitats'!$B$2:$M$129,12,FALSE),"")</f>
        <v/>
      </c>
      <c r="Q21" s="513" t="str">
        <f>IFERROR(IF(P21="","",IF(AND(P21='G-1 All Habitats'!$X$3,T21&gt;0),U21+V21,IF(AND(P21='G-1 All Habitats'!$X$3,S21&gt;0),U21+V21,IF(AND(P21='G-1 All Habitats'!$X$3,AC21&gt;0),"Any Loss Unacceptable ▲",IF(AND(P21='G-1 All Habitats'!$X$3,W21&gt;0),"Any Loss Unacceptable ▲",H21*J21*L21*O21))))),"Check Data ▲")</f>
        <v/>
      </c>
      <c r="R21" s="50"/>
      <c r="S21" s="71"/>
      <c r="T21" s="72"/>
      <c r="U21" s="511" t="str">
        <f t="shared" si="3"/>
        <v/>
      </c>
      <c r="V21" s="511" t="str">
        <f t="shared" si="4"/>
        <v/>
      </c>
      <c r="W21" s="511" t="str">
        <f>IF(E21="","",IF(H21&lt;S21+T21,"Error in Areas ▲",IF(P21&lt;&gt;'G-1 All Habitats'!$X$3,H21-S21-T21,IF(AND(P21='G-1 All Habitats'!$X$3,Y21="Yes"),"Unacceptable Loss",IF(AND(P21='G-1 All Habitats'!$X$3,Y21="No"),AC21,IF(AND(P21='G-1 All Habitats'!$X$3,Y21=""),AC21,IF(AND(P21='G-1 All Habitats'!$X$3,AC21="None",AC21),IF(AND(P21='G-1 All Habitats'!$X$3,AC21&gt;0),H21-S21-T21))))))))</f>
        <v/>
      </c>
      <c r="X21" s="515" t="str">
        <f>IFERROR(IF(H21="","",IF(H21-S21-T21=0&lt;0,"Error in Areas ▲",IF(S21+T21&gt;H21,"Error in Areas ▲",IF(AND(P21='G-1 All Habitats'!$X$3,Y21="Yes"),"Alternative Compensation ✓",IF(W21=0,0,IF(P21='G-1 All Habitats'!$X$3,"Unacceptable Loss ▲",Q21-U21-V21)))))),"Check Data ▲")</f>
        <v/>
      </c>
      <c r="Y21" s="72"/>
      <c r="Z21" s="80"/>
      <c r="AA21" s="81"/>
      <c r="AC21" s="75" t="str">
        <f>IF(P21="","",IF(P21='G-1 All Habitats'!$X$3,H21-S21-T21,"None"))</f>
        <v/>
      </c>
      <c r="AD21" s="76" t="str">
        <f>IFERROR(AC21*J21*L21*#REF!*O21,IF(P21="","","None"))</f>
        <v/>
      </c>
      <c r="AF21" s="54" t="str">
        <f t="shared" si="0"/>
        <v/>
      </c>
      <c r="AG21" s="54" t="str">
        <f t="shared" si="1"/>
        <v/>
      </c>
      <c r="AH21" s="54" t="str">
        <f>IF(I21="","",IF(#REF!&gt;0,TRUE,FALSE))</f>
        <v/>
      </c>
      <c r="AI21" s="54">
        <v>11</v>
      </c>
      <c r="AJ21" s="54"/>
      <c r="AK21" s="54" t="str">
        <f t="array" ref="AK21">IFERROR(INDEX($AI$11:$AI$259, MATCH(0, IF(TRUE=$AF$11:$AF$259, COUNTIF($AK$10:$AK20, $AI$11:$AI$259), ""), 0)),"")</f>
        <v/>
      </c>
      <c r="AL21" s="54" t="str">
        <f t="array" ref="AL21">IFERROR(INDEX($AI$11:$AI$259, MATCH(0, IF(TRUE=$AG$11:$AG$259, COUNTIF($AL$10:$AL20, $AI$11:$AI$259), ""), 0)),"")</f>
        <v/>
      </c>
      <c r="AM21" s="54" t="str">
        <f t="array" ref="AM21">IFERROR(INDEX($AI$11:$AI$259, MATCH(0, IF(TRUE=$AH$11:$AH$259, COUNTIF($AM$10:$AM20, $AI$11:$AI$259), ""), 0)),"")</f>
        <v/>
      </c>
      <c r="AN21" s="54"/>
      <c r="AQ21" s="47">
        <f t="shared" si="2"/>
        <v>0</v>
      </c>
    </row>
    <row r="22" spans="1:43" x14ac:dyDescent="0.25">
      <c r="A22" s="47" t="str">
        <f>IFERROR(INDEX('G-1 All Habitats'!$AG$3:$AG$15,MATCH(E22,'G-1 All Habitats'!$AF$3:$AF$15,0)),"")</f>
        <v/>
      </c>
      <c r="B22" s="47" t="str">
        <f>IFERROR(INDEX('G-8 Condition Look up'!$I$4:$I$130,MATCH(G22,'G-8 Condition Look up'!$A$4:$A$130,0)),"")</f>
        <v/>
      </c>
      <c r="D22" s="77">
        <v>12</v>
      </c>
      <c r="E22" s="78"/>
      <c r="F22" s="79"/>
      <c r="G22" s="69" t="str">
        <f>IFERROR(INDEX('G-1 All Habitats'!$B$3:$B$129,MATCH(F22,'G-1 All Habitats'!$A$3:$A$129,0)),"")</f>
        <v/>
      </c>
      <c r="H22" s="70"/>
      <c r="I22" s="498" t="str">
        <f>IF(G22="","",VLOOKUP(G22,'G-1 All Habitats'!$B$2:$M$129,10,FALSE))</f>
        <v/>
      </c>
      <c r="J22" s="499" t="str">
        <f>IFERROR(VLOOKUP(I22,'G-1 All Habitats'!$V$3:$W$7,2,FALSE),"")</f>
        <v/>
      </c>
      <c r="K22" s="71"/>
      <c r="L22" s="499" t="str">
        <f>IFERROR(INDEX('G-8 Condition Look up'!$A$3:$H$130,MATCH(G22,'G-8 Condition Look up'!$A$3:$A$130,0),MATCH(K22,'G-8 Condition Look up'!$A$3:$H$3,0)),"")</f>
        <v/>
      </c>
      <c r="M22" s="71"/>
      <c r="N22" s="520" t="str">
        <f>IF(M22="","",IF(VLOOKUP(M22,'G-3 Multipliers'!$L$3:$N$6,2,FALSE)=0,"Spatial Data Missing",VLOOKUP(M22,'G-3 Multipliers'!$L$3:$N$6,2,FALSE)))</f>
        <v/>
      </c>
      <c r="O22" s="505" t="str">
        <f>IF(M22="","",IF(VLOOKUP(M22,'G-3 Multipliers'!$L$3:$N$6,3,FALSE)=0,"Spatial Data Missing ▲",VLOOKUP(M22,'G-3 Multipliers'!$L$3:$N$6,3,FALSE)))</f>
        <v/>
      </c>
      <c r="P22" s="506" t="str">
        <f>IFERROR(VLOOKUP(G22,'G-1 All Habitats'!$B$2:$M$129,12,FALSE),"")</f>
        <v/>
      </c>
      <c r="Q22" s="513" t="str">
        <f>IFERROR(IF(P22="","",IF(AND(P22='G-1 All Habitats'!$X$3,T22&gt;0),U22+V22,IF(AND(P22='G-1 All Habitats'!$X$3,S22&gt;0),U22+V22,IF(AND(P22='G-1 All Habitats'!$X$3,AC22&gt;0),"Any Loss Unacceptable ▲",IF(AND(P22='G-1 All Habitats'!$X$3,W22&gt;0),"Any Loss Unacceptable ▲",H22*J22*L22*O22))))),"Check Data ▲")</f>
        <v/>
      </c>
      <c r="R22" s="50"/>
      <c r="S22" s="71"/>
      <c r="T22" s="72"/>
      <c r="U22" s="511" t="str">
        <f t="shared" si="3"/>
        <v/>
      </c>
      <c r="V22" s="511" t="str">
        <f t="shared" si="4"/>
        <v/>
      </c>
      <c r="W22" s="511" t="str">
        <f>IF(E22="","",IF(H22&lt;S22+T22,"Error in Areas ▲",IF(P22&lt;&gt;'G-1 All Habitats'!$X$3,H22-S22-T22,IF(AND(P22='G-1 All Habitats'!$X$3,Y22="Yes"),"Unacceptable Loss",IF(AND(P22='G-1 All Habitats'!$X$3,Y22="No"),AC22,IF(AND(P22='G-1 All Habitats'!$X$3,Y22=""),AC22,IF(AND(P22='G-1 All Habitats'!$X$3,AC22="None",AC22),IF(AND(P22='G-1 All Habitats'!$X$3,AC22&gt;0),H22-S22-T22))))))))</f>
        <v/>
      </c>
      <c r="X22" s="515" t="str">
        <f>IFERROR(IF(H22="","",IF(H22-S22-T22=0&lt;0,"Error in Areas ▲",IF(S22+T22&gt;H22,"Error in Areas ▲",IF(AND(P22='G-1 All Habitats'!$X$3,Y22="Yes"),"Alternative Compensation ✓",IF(W22=0,0,IF(P22='G-1 All Habitats'!$X$3,"Unacceptable Loss ▲",Q22-U22-V22)))))),"Check Data ▲")</f>
        <v/>
      </c>
      <c r="Y22" s="72"/>
      <c r="Z22" s="80"/>
      <c r="AA22" s="81"/>
      <c r="AC22" s="75" t="str">
        <f>IF(P22="","",IF(P22='G-1 All Habitats'!$X$3,H22-S22-T22,"None"))</f>
        <v/>
      </c>
      <c r="AD22" s="76" t="str">
        <f>IFERROR(AC22*J22*L22*#REF!*O22,IF(P22="","","None"))</f>
        <v/>
      </c>
      <c r="AF22" s="54" t="str">
        <f t="shared" si="0"/>
        <v/>
      </c>
      <c r="AG22" s="54" t="str">
        <f t="shared" si="1"/>
        <v/>
      </c>
      <c r="AH22" s="54" t="str">
        <f>IF(I22="","",IF(#REF!&gt;0,TRUE,FALSE))</f>
        <v/>
      </c>
      <c r="AI22" s="54">
        <v>12</v>
      </c>
      <c r="AJ22" s="54"/>
      <c r="AK22" s="54" t="str">
        <f t="array" ref="AK22">IFERROR(INDEX($AI$11:$AI$259, MATCH(0, IF(TRUE=$AF$11:$AF$259, COUNTIF($AK$10:$AK21, $AI$11:$AI$259), ""), 0)),"")</f>
        <v/>
      </c>
      <c r="AL22" s="54" t="str">
        <f t="array" ref="AL22">IFERROR(INDEX($AI$11:$AI$259, MATCH(0, IF(TRUE=$AG$11:$AG$259, COUNTIF($AL$10:$AL21, $AI$11:$AI$259), ""), 0)),"")</f>
        <v/>
      </c>
      <c r="AM22" s="54" t="str">
        <f t="array" ref="AM22">IFERROR(INDEX($AI$11:$AI$259, MATCH(0, IF(TRUE=$AH$11:$AH$259, COUNTIF($AM$10:$AM21, $AI$11:$AI$259), ""), 0)),"")</f>
        <v/>
      </c>
      <c r="AN22" s="54"/>
      <c r="AQ22" s="47">
        <f t="shared" si="2"/>
        <v>0</v>
      </c>
    </row>
    <row r="23" spans="1:43" x14ac:dyDescent="0.25">
      <c r="A23" s="47" t="str">
        <f>IFERROR(INDEX('G-1 All Habitats'!$AG$3:$AG$15,MATCH(E23,'G-1 All Habitats'!$AF$3:$AF$15,0)),"")</f>
        <v/>
      </c>
      <c r="B23" s="47" t="str">
        <f>IFERROR(INDEX('G-8 Condition Look up'!$I$4:$I$130,MATCH(G23,'G-8 Condition Look up'!$A$4:$A$130,0)),"")</f>
        <v/>
      </c>
      <c r="D23" s="77">
        <v>13</v>
      </c>
      <c r="E23" s="78"/>
      <c r="F23" s="79"/>
      <c r="G23" s="69" t="str">
        <f>IFERROR(INDEX('G-1 All Habitats'!$B$3:$B$129,MATCH(F23,'G-1 All Habitats'!$A$3:$A$129,0)),"")</f>
        <v/>
      </c>
      <c r="H23" s="70"/>
      <c r="I23" s="498" t="str">
        <f>IF(G23="","",VLOOKUP(G23,'G-1 All Habitats'!$B$2:$M$129,10,FALSE))</f>
        <v/>
      </c>
      <c r="J23" s="499" t="str">
        <f>IFERROR(VLOOKUP(I23,'G-1 All Habitats'!$V$3:$W$7,2,FALSE),"")</f>
        <v/>
      </c>
      <c r="K23" s="71"/>
      <c r="L23" s="499" t="str">
        <f>IFERROR(INDEX('G-8 Condition Look up'!$A$3:$H$130,MATCH(G23,'G-8 Condition Look up'!$A$3:$A$130,0),MATCH(K23,'G-8 Condition Look up'!$A$3:$H$3,0)),"")</f>
        <v/>
      </c>
      <c r="M23" s="71"/>
      <c r="N23" s="520" t="str">
        <f>IF(M23="","",IF(VLOOKUP(M23,'G-3 Multipliers'!$L$3:$N$6,2,FALSE)=0,"Spatial Data Missing",VLOOKUP(M23,'G-3 Multipliers'!$L$3:$N$6,2,FALSE)))</f>
        <v/>
      </c>
      <c r="O23" s="505" t="str">
        <f>IF(M23="","",IF(VLOOKUP(M23,'G-3 Multipliers'!$L$3:$N$6,3,FALSE)=0,"Spatial Data Missing ▲",VLOOKUP(M23,'G-3 Multipliers'!$L$3:$N$6,3,FALSE)))</f>
        <v/>
      </c>
      <c r="P23" s="506" t="str">
        <f>IFERROR(VLOOKUP(G23,'G-1 All Habitats'!$B$2:$M$129,12,FALSE),"")</f>
        <v/>
      </c>
      <c r="Q23" s="513" t="str">
        <f>IFERROR(IF(P23="","",IF(AND(P23='G-1 All Habitats'!$X$3,T23&gt;0),U23+V23,IF(AND(P23='G-1 All Habitats'!$X$3,S23&gt;0),U23+V23,IF(AND(P23='G-1 All Habitats'!$X$3,AC23&gt;0),"Any Loss Unacceptable ▲",IF(AND(P23='G-1 All Habitats'!$X$3,W23&gt;0),"Any Loss Unacceptable ▲",H23*J23*L23*O23))))),"Check Data ▲")</f>
        <v/>
      </c>
      <c r="R23" s="50"/>
      <c r="S23" s="71"/>
      <c r="T23" s="72"/>
      <c r="U23" s="511" t="str">
        <f t="shared" si="3"/>
        <v/>
      </c>
      <c r="V23" s="511" t="str">
        <f t="shared" si="4"/>
        <v/>
      </c>
      <c r="W23" s="511" t="str">
        <f>IF(E23="","",IF(H23&lt;S23+T23,"Error in Areas ▲",IF(P23&lt;&gt;'G-1 All Habitats'!$X$3,H23-S23-T23,IF(AND(P23='G-1 All Habitats'!$X$3,Y23="Yes"),"Unacceptable Loss",IF(AND(P23='G-1 All Habitats'!$X$3,Y23="No"),AC23,IF(AND(P23='G-1 All Habitats'!$X$3,Y23=""),AC23,IF(AND(P23='G-1 All Habitats'!$X$3,AC23="None",AC23),IF(AND(P23='G-1 All Habitats'!$X$3,AC23&gt;0),H23-S23-T23))))))))</f>
        <v/>
      </c>
      <c r="X23" s="515" t="str">
        <f>IFERROR(IF(H23="","",IF(H23-S23-T23=0&lt;0,"Error in Areas ▲",IF(S23+T23&gt;H23,"Error in Areas ▲",IF(AND(P23='G-1 All Habitats'!$X$3,Y23="Yes"),"Alternative Compensation ✓",IF(W23=0,0,IF(P23='G-1 All Habitats'!$X$3,"Unacceptable Loss ▲",Q23-U23-V23)))))),"Check Data ▲")</f>
        <v/>
      </c>
      <c r="Y23" s="72"/>
      <c r="Z23" s="80"/>
      <c r="AA23" s="81"/>
      <c r="AC23" s="75" t="str">
        <f>IF(P23="","",IF(P23='G-1 All Habitats'!$X$3,H23-S23-T23,"None"))</f>
        <v/>
      </c>
      <c r="AD23" s="76" t="str">
        <f>IFERROR(AC23*J23*L23*#REF!*O23,IF(P23="","","None"))</f>
        <v/>
      </c>
      <c r="AF23" s="54" t="str">
        <f t="shared" si="0"/>
        <v/>
      </c>
      <c r="AG23" s="54" t="str">
        <f t="shared" si="1"/>
        <v/>
      </c>
      <c r="AH23" s="54" t="str">
        <f>IF(I23="","",IF(#REF!&gt;0,TRUE,FALSE))</f>
        <v/>
      </c>
      <c r="AI23" s="54">
        <v>13</v>
      </c>
      <c r="AJ23" s="54"/>
      <c r="AK23" s="54" t="str">
        <f t="array" ref="AK23">IFERROR(INDEX($AI$11:$AI$259, MATCH(0, IF(TRUE=$AF$11:$AF$259, COUNTIF($AK$10:$AK22, $AI$11:$AI$259), ""), 0)),"")</f>
        <v/>
      </c>
      <c r="AL23" s="54" t="str">
        <f t="array" ref="AL23">IFERROR(INDEX($AI$11:$AI$259, MATCH(0, IF(TRUE=$AG$11:$AG$259, COUNTIF($AL$10:$AL22, $AI$11:$AI$259), ""), 0)),"")</f>
        <v/>
      </c>
      <c r="AM23" s="54" t="str">
        <f t="array" ref="AM23">IFERROR(INDEX($AI$11:$AI$259, MATCH(0, IF(TRUE=$AH$11:$AH$259, COUNTIF($AM$10:$AM22, $AI$11:$AI$259), ""), 0)),"")</f>
        <v/>
      </c>
      <c r="AN23" s="54"/>
      <c r="AQ23" s="47">
        <f t="shared" si="2"/>
        <v>0</v>
      </c>
    </row>
    <row r="24" spans="1:43" x14ac:dyDescent="0.25">
      <c r="A24" s="47" t="str">
        <f>IFERROR(INDEX('G-1 All Habitats'!$AG$3:$AG$15,MATCH(E24,'G-1 All Habitats'!$AF$3:$AF$15,0)),"")</f>
        <v/>
      </c>
      <c r="B24" s="47" t="str">
        <f>IFERROR(INDEX('G-8 Condition Look up'!$I$4:$I$130,MATCH(G24,'G-8 Condition Look up'!$A$4:$A$130,0)),"")</f>
        <v/>
      </c>
      <c r="D24" s="77">
        <v>14</v>
      </c>
      <c r="E24" s="78"/>
      <c r="F24" s="79"/>
      <c r="G24" s="69" t="str">
        <f>IFERROR(INDEX('G-1 All Habitats'!$B$3:$B$129,MATCH(F24,'G-1 All Habitats'!$A$3:$A$129,0)),"")</f>
        <v/>
      </c>
      <c r="H24" s="70"/>
      <c r="I24" s="498" t="str">
        <f>IF(G24="","",VLOOKUP(G24,'G-1 All Habitats'!$B$2:$M$129,10,FALSE))</f>
        <v/>
      </c>
      <c r="J24" s="499" t="str">
        <f>IFERROR(VLOOKUP(I24,'G-1 All Habitats'!$V$3:$W$7,2,FALSE),"")</f>
        <v/>
      </c>
      <c r="K24" s="71"/>
      <c r="L24" s="499" t="str">
        <f>IFERROR(INDEX('G-8 Condition Look up'!$A$3:$H$130,MATCH(G24,'G-8 Condition Look up'!$A$3:$A$130,0),MATCH(K24,'G-8 Condition Look up'!$A$3:$H$3,0)),"")</f>
        <v/>
      </c>
      <c r="M24" s="71"/>
      <c r="N24" s="520" t="str">
        <f>IF(M24="","",IF(VLOOKUP(M24,'G-3 Multipliers'!$L$3:$N$6,2,FALSE)=0,"Spatial Data Missing",VLOOKUP(M24,'G-3 Multipliers'!$L$3:$N$6,2,FALSE)))</f>
        <v/>
      </c>
      <c r="O24" s="505" t="str">
        <f>IF(M24="","",IF(VLOOKUP(M24,'G-3 Multipliers'!$L$3:$N$6,3,FALSE)=0,"Spatial Data Missing ▲",VLOOKUP(M24,'G-3 Multipliers'!$L$3:$N$6,3,FALSE)))</f>
        <v/>
      </c>
      <c r="P24" s="506" t="str">
        <f>IFERROR(VLOOKUP(G24,'G-1 All Habitats'!$B$2:$M$129,12,FALSE),"")</f>
        <v/>
      </c>
      <c r="Q24" s="513" t="str">
        <f>IFERROR(IF(P24="","",IF(AND(P24='G-1 All Habitats'!$X$3,T24&gt;0),U24+V24,IF(AND(P24='G-1 All Habitats'!$X$3,S24&gt;0),U24+V24,IF(AND(P24='G-1 All Habitats'!$X$3,AC24&gt;0),"Any Loss Unacceptable ▲",IF(AND(P24='G-1 All Habitats'!$X$3,W24&gt;0),"Any Loss Unacceptable ▲",H24*J24*L24*O24))))),"Check Data ▲")</f>
        <v/>
      </c>
      <c r="R24" s="50"/>
      <c r="S24" s="71"/>
      <c r="T24" s="72"/>
      <c r="U24" s="511" t="str">
        <f t="shared" si="3"/>
        <v/>
      </c>
      <c r="V24" s="511" t="str">
        <f t="shared" si="4"/>
        <v/>
      </c>
      <c r="W24" s="511" t="str">
        <f>IF(E24="","",IF(H24&lt;S24+T24,"Error in Areas ▲",IF(P24&lt;&gt;'G-1 All Habitats'!$X$3,H24-S24-T24,IF(AND(P24='G-1 All Habitats'!$X$3,Y24="Yes"),"Unacceptable Loss",IF(AND(P24='G-1 All Habitats'!$X$3,Y24="No"),AC24,IF(AND(P24='G-1 All Habitats'!$X$3,Y24=""),AC24,IF(AND(P24='G-1 All Habitats'!$X$3,AC24="None",AC24),IF(AND(P24='G-1 All Habitats'!$X$3,AC24&gt;0),H24-S24-T24))))))))</f>
        <v/>
      </c>
      <c r="X24" s="515" t="str">
        <f>IFERROR(IF(H24="","",IF(H24-S24-T24=0&lt;0,"Error in Areas ▲",IF(S24+T24&gt;H24,"Error in Areas ▲",IF(AND(P24='G-1 All Habitats'!$X$3,Y24="Yes"),"Alternative Compensation ✓",IF(W24=0,0,IF(P24='G-1 All Habitats'!$X$3,"Unacceptable Loss ▲",Q24-U24-V24)))))),"Check Data ▲")</f>
        <v/>
      </c>
      <c r="Y24" s="72"/>
      <c r="Z24" s="80"/>
      <c r="AA24" s="81"/>
      <c r="AC24" s="75" t="str">
        <f>IF(P24="","",IF(P24='G-1 All Habitats'!$X$3,H24-S24-T24,"None"))</f>
        <v/>
      </c>
      <c r="AD24" s="76" t="str">
        <f>IFERROR(AC24*J24*L24*#REF!*O24,IF(P24="","","None"))</f>
        <v/>
      </c>
      <c r="AF24" s="54" t="str">
        <f t="shared" si="0"/>
        <v/>
      </c>
      <c r="AG24" s="54" t="str">
        <f t="shared" si="1"/>
        <v/>
      </c>
      <c r="AH24" s="54" t="str">
        <f>IF(I24="","",IF(#REF!&gt;0,TRUE,FALSE))</f>
        <v/>
      </c>
      <c r="AI24" s="54">
        <v>14</v>
      </c>
      <c r="AJ24" s="54"/>
      <c r="AK24" s="54" t="str">
        <f t="array" ref="AK24">IFERROR(INDEX($AI$11:$AI$259, MATCH(0, IF(TRUE=$AF$11:$AF$259, COUNTIF($AK$10:$AK23, $AI$11:$AI$259), ""), 0)),"")</f>
        <v/>
      </c>
      <c r="AL24" s="54" t="str">
        <f t="array" ref="AL24">IFERROR(INDEX($AI$11:$AI$259, MATCH(0, IF(TRUE=$AG$11:$AG$259, COUNTIF($AL$10:$AL23, $AI$11:$AI$259), ""), 0)),"")</f>
        <v/>
      </c>
      <c r="AM24" s="54" t="str">
        <f t="array" ref="AM24">IFERROR(INDEX($AI$11:$AI$259, MATCH(0, IF(TRUE=$AH$11:$AH$259, COUNTIF($AM$10:$AM23, $AI$11:$AI$259), ""), 0)),"")</f>
        <v/>
      </c>
      <c r="AN24" s="54"/>
      <c r="AQ24" s="47">
        <f t="shared" si="2"/>
        <v>0</v>
      </c>
    </row>
    <row r="25" spans="1:43" x14ac:dyDescent="0.25">
      <c r="A25" s="47" t="str">
        <f>IFERROR(INDEX('G-1 All Habitats'!$AG$3:$AG$15,MATCH(E25,'G-1 All Habitats'!$AF$3:$AF$15,0)),"")</f>
        <v/>
      </c>
      <c r="B25" s="47" t="str">
        <f>IFERROR(INDEX('G-8 Condition Look up'!$I$4:$I$130,MATCH(G25,'G-8 Condition Look up'!$A$4:$A$130,0)),"")</f>
        <v/>
      </c>
      <c r="D25" s="77">
        <v>15</v>
      </c>
      <c r="E25" s="78"/>
      <c r="F25" s="79"/>
      <c r="G25" s="69" t="str">
        <f>IFERROR(INDEX('G-1 All Habitats'!$B$3:$B$129,MATCH(F25,'G-1 All Habitats'!$A$3:$A$129,0)),"")</f>
        <v/>
      </c>
      <c r="H25" s="70"/>
      <c r="I25" s="498" t="str">
        <f>IF(G25="","",VLOOKUP(G25,'G-1 All Habitats'!$B$2:$M$129,10,FALSE))</f>
        <v/>
      </c>
      <c r="J25" s="499" t="str">
        <f>IFERROR(VLOOKUP(I25,'G-1 All Habitats'!$V$3:$W$7,2,FALSE),"")</f>
        <v/>
      </c>
      <c r="K25" s="71"/>
      <c r="L25" s="499" t="str">
        <f>IFERROR(INDEX('G-8 Condition Look up'!$A$3:$H$130,MATCH(G25,'G-8 Condition Look up'!$A$3:$A$130,0),MATCH(K25,'G-8 Condition Look up'!$A$3:$H$3,0)),"")</f>
        <v/>
      </c>
      <c r="M25" s="71"/>
      <c r="N25" s="520" t="str">
        <f>IF(M25="","",IF(VLOOKUP(M25,'G-3 Multipliers'!$L$3:$N$6,2,FALSE)=0,"Spatial Data Missing",VLOOKUP(M25,'G-3 Multipliers'!$L$3:$N$6,2,FALSE)))</f>
        <v/>
      </c>
      <c r="O25" s="505" t="str">
        <f>IF(M25="","",IF(VLOOKUP(M25,'G-3 Multipliers'!$L$3:$N$6,3,FALSE)=0,"Spatial Data Missing ▲",VLOOKUP(M25,'G-3 Multipliers'!$L$3:$N$6,3,FALSE)))</f>
        <v/>
      </c>
      <c r="P25" s="506" t="str">
        <f>IFERROR(VLOOKUP(G25,'G-1 All Habitats'!$B$2:$M$129,12,FALSE),"")</f>
        <v/>
      </c>
      <c r="Q25" s="513" t="str">
        <f>IFERROR(IF(P25="","",IF(AND(P25='G-1 All Habitats'!$X$3,T25&gt;0),U25+V25,IF(AND(P25='G-1 All Habitats'!$X$3,S25&gt;0),U25+V25,IF(AND(P25='G-1 All Habitats'!$X$3,AC25&gt;0),"Any Loss Unacceptable ▲",IF(AND(P25='G-1 All Habitats'!$X$3,W25&gt;0),"Any Loss Unacceptable ▲",H25*J25*L25*O25))))),"Check Data ▲")</f>
        <v/>
      </c>
      <c r="R25" s="50"/>
      <c r="S25" s="71"/>
      <c r="T25" s="72"/>
      <c r="U25" s="511" t="str">
        <f t="shared" si="3"/>
        <v/>
      </c>
      <c r="V25" s="511" t="str">
        <f t="shared" si="4"/>
        <v/>
      </c>
      <c r="W25" s="511" t="str">
        <f>IF(E25="","",IF(H25&lt;S25+T25,"Error in Areas ▲",IF(P25&lt;&gt;'G-1 All Habitats'!$X$3,H25-S25-T25,IF(AND(P25='G-1 All Habitats'!$X$3,Y25="Yes"),"Unacceptable Loss",IF(AND(P25='G-1 All Habitats'!$X$3,Y25="No"),AC25,IF(AND(P25='G-1 All Habitats'!$X$3,Y25=""),AC25,IF(AND(P25='G-1 All Habitats'!$X$3,AC25="None",AC25),IF(AND(P25='G-1 All Habitats'!$X$3,AC25&gt;0),H25-S25-T25))))))))</f>
        <v/>
      </c>
      <c r="X25" s="515" t="str">
        <f>IFERROR(IF(H25="","",IF(H25-S25-T25=0&lt;0,"Error in Areas ▲",IF(S25+T25&gt;H25,"Error in Areas ▲",IF(AND(P25='G-1 All Habitats'!$X$3,Y25="Yes"),"Alternative Compensation ✓",IF(W25=0,0,IF(P25='G-1 All Habitats'!$X$3,"Unacceptable Loss ▲",Q25-U25-V25)))))),"Check Data ▲")</f>
        <v/>
      </c>
      <c r="Y25" s="72"/>
      <c r="Z25" s="80"/>
      <c r="AA25" s="81"/>
      <c r="AC25" s="75" t="str">
        <f>IF(P25="","",IF(P25='G-1 All Habitats'!$X$3,H25-S25-T25,"None"))</f>
        <v/>
      </c>
      <c r="AD25" s="76" t="str">
        <f>IFERROR(AC25*J25*L25*#REF!*O25,IF(P25="","","None"))</f>
        <v/>
      </c>
      <c r="AF25" s="54" t="str">
        <f t="shared" si="0"/>
        <v/>
      </c>
      <c r="AG25" s="54" t="str">
        <f t="shared" si="1"/>
        <v/>
      </c>
      <c r="AH25" s="54" t="str">
        <f>IF(I25="","",IF(#REF!&gt;0,TRUE,FALSE))</f>
        <v/>
      </c>
      <c r="AI25" s="54">
        <v>15</v>
      </c>
      <c r="AJ25" s="54"/>
      <c r="AK25" s="54" t="str">
        <f t="array" ref="AK25">IFERROR(INDEX($AI$11:$AI$259, MATCH(0, IF(TRUE=$AF$11:$AF$259, COUNTIF($AK$10:$AK24, $AI$11:$AI$259), ""), 0)),"")</f>
        <v/>
      </c>
      <c r="AL25" s="54" t="str">
        <f t="array" ref="AL25">IFERROR(INDEX($AI$11:$AI$259, MATCH(0, IF(TRUE=$AG$11:$AG$259, COUNTIF($AL$10:$AL24, $AI$11:$AI$259), ""), 0)),"")</f>
        <v/>
      </c>
      <c r="AM25" s="54" t="str">
        <f t="array" ref="AM25">IFERROR(INDEX($AI$11:$AI$259, MATCH(0, IF(TRUE=$AH$11:$AH$259, COUNTIF($AM$10:$AM24, $AI$11:$AI$259), ""), 0)),"")</f>
        <v/>
      </c>
      <c r="AN25" s="54"/>
      <c r="AQ25" s="47">
        <f t="shared" si="2"/>
        <v>0</v>
      </c>
    </row>
    <row r="26" spans="1:43" x14ac:dyDescent="0.25">
      <c r="A26" s="47" t="str">
        <f>IFERROR(INDEX('G-1 All Habitats'!$AG$3:$AG$15,MATCH(E26,'G-1 All Habitats'!$AF$3:$AF$15,0)),"")</f>
        <v/>
      </c>
      <c r="B26" s="47" t="str">
        <f>IFERROR(INDEX('G-8 Condition Look up'!$I$4:$I$130,MATCH(G26,'G-8 Condition Look up'!$A$4:$A$130,0)),"")</f>
        <v/>
      </c>
      <c r="D26" s="77">
        <v>16</v>
      </c>
      <c r="E26" s="78"/>
      <c r="F26" s="79"/>
      <c r="G26" s="69" t="str">
        <f>IFERROR(INDEX('G-1 All Habitats'!$B$3:$B$129,MATCH(F26,'G-1 All Habitats'!$A$3:$A$129,0)),"")</f>
        <v/>
      </c>
      <c r="H26" s="70"/>
      <c r="I26" s="498" t="str">
        <f>IF(G26="","",VLOOKUP(G26,'G-1 All Habitats'!$B$2:$M$129,10,FALSE))</f>
        <v/>
      </c>
      <c r="J26" s="499" t="str">
        <f>IFERROR(VLOOKUP(I26,'G-1 All Habitats'!$V$3:$W$7,2,FALSE),"")</f>
        <v/>
      </c>
      <c r="K26" s="71"/>
      <c r="L26" s="499" t="str">
        <f>IFERROR(INDEX('G-8 Condition Look up'!$A$3:$H$130,MATCH(G26,'G-8 Condition Look up'!$A$3:$A$130,0),MATCH(K26,'G-8 Condition Look up'!$A$3:$H$3,0)),"")</f>
        <v/>
      </c>
      <c r="M26" s="71"/>
      <c r="N26" s="520" t="str">
        <f>IF(M26="","",IF(VLOOKUP(M26,'G-3 Multipliers'!$L$3:$N$6,2,FALSE)=0,"Spatial Data Missing",VLOOKUP(M26,'G-3 Multipliers'!$L$3:$N$6,2,FALSE)))</f>
        <v/>
      </c>
      <c r="O26" s="505" t="str">
        <f>IF(M26="","",IF(VLOOKUP(M26,'G-3 Multipliers'!$L$3:$N$6,3,FALSE)=0,"Spatial Data Missing ▲",VLOOKUP(M26,'G-3 Multipliers'!$L$3:$N$6,3,FALSE)))</f>
        <v/>
      </c>
      <c r="P26" s="506" t="str">
        <f>IFERROR(VLOOKUP(G26,'G-1 All Habitats'!$B$2:$M$129,12,FALSE),"")</f>
        <v/>
      </c>
      <c r="Q26" s="513" t="str">
        <f>IFERROR(IF(P26="","",IF(AND(P26='G-1 All Habitats'!$X$3,T26&gt;0),U26+V26,IF(AND(P26='G-1 All Habitats'!$X$3,S26&gt;0),U26+V26,IF(AND(P26='G-1 All Habitats'!$X$3,AC26&gt;0),"Any Loss Unacceptable ▲",IF(AND(P26='G-1 All Habitats'!$X$3,W26&gt;0),"Any Loss Unacceptable ▲",H26*J26*L26*O26))))),"Check Data ▲")</f>
        <v/>
      </c>
      <c r="R26" s="50"/>
      <c r="S26" s="71"/>
      <c r="T26" s="72"/>
      <c r="U26" s="511" t="str">
        <f t="shared" si="3"/>
        <v/>
      </c>
      <c r="V26" s="511" t="str">
        <f t="shared" si="4"/>
        <v/>
      </c>
      <c r="W26" s="511" t="str">
        <f>IF(E26="","",IF(H26&lt;S26+T26,"Error in Areas ▲",IF(P26&lt;&gt;'G-1 All Habitats'!$X$3,H26-S26-T26,IF(AND(P26='G-1 All Habitats'!$X$3,Y26="Yes"),"Unacceptable Loss",IF(AND(P26='G-1 All Habitats'!$X$3,Y26="No"),AC26,IF(AND(P26='G-1 All Habitats'!$X$3,Y26=""),AC26,IF(AND(P26='G-1 All Habitats'!$X$3,AC26="None",AC26),IF(AND(P26='G-1 All Habitats'!$X$3,AC26&gt;0),H26-S26-T26))))))))</f>
        <v/>
      </c>
      <c r="X26" s="515" t="str">
        <f>IFERROR(IF(H26="","",IF(H26-S26-T26=0&lt;0,"Error in Areas ▲",IF(S26+T26&gt;H26,"Error in Areas ▲",IF(AND(P26='G-1 All Habitats'!$X$3,Y26="Yes"),"Alternative Compensation ✓",IF(W26=0,0,IF(P26='G-1 All Habitats'!$X$3,"Unacceptable Loss ▲",Q26-U26-V26)))))),"Check Data ▲")</f>
        <v/>
      </c>
      <c r="Y26" s="72"/>
      <c r="Z26" s="80"/>
      <c r="AA26" s="81"/>
      <c r="AC26" s="75" t="str">
        <f>IF(P26="","",IF(P26='G-1 All Habitats'!$X$3,H26-S26-T26,"None"))</f>
        <v/>
      </c>
      <c r="AD26" s="76" t="str">
        <f>IFERROR(AC26*J26*L26*#REF!*O26,IF(P26="","","None"))</f>
        <v/>
      </c>
      <c r="AF26" s="54" t="str">
        <f t="shared" si="0"/>
        <v/>
      </c>
      <c r="AG26" s="54" t="str">
        <f t="shared" si="1"/>
        <v/>
      </c>
      <c r="AH26" s="54" t="str">
        <f>IF(I26="","",IF(#REF!&gt;0,TRUE,FALSE))</f>
        <v/>
      </c>
      <c r="AI26" s="54">
        <v>16</v>
      </c>
      <c r="AJ26" s="54"/>
      <c r="AK26" s="54" t="str">
        <f t="array" ref="AK26">IFERROR(INDEX($AI$11:$AI$259, MATCH(0, IF(TRUE=$AF$11:$AF$259, COUNTIF($AK$10:$AK25, $AI$11:$AI$259), ""), 0)),"")</f>
        <v/>
      </c>
      <c r="AL26" s="54" t="str">
        <f t="array" ref="AL26">IFERROR(INDEX($AI$11:$AI$259, MATCH(0, IF(TRUE=$AG$11:$AG$259, COUNTIF($AL$10:$AL25, $AI$11:$AI$259), ""), 0)),"")</f>
        <v/>
      </c>
      <c r="AM26" s="54" t="str">
        <f t="array" ref="AM26">IFERROR(INDEX($AI$11:$AI$259, MATCH(0, IF(TRUE=$AH$11:$AH$259, COUNTIF($AM$10:$AM25, $AI$11:$AI$259), ""), 0)),"")</f>
        <v/>
      </c>
      <c r="AN26" s="54"/>
      <c r="AQ26" s="47">
        <f t="shared" si="2"/>
        <v>0</v>
      </c>
    </row>
    <row r="27" spans="1:43" x14ac:dyDescent="0.25">
      <c r="A27" s="47" t="str">
        <f>IFERROR(INDEX('G-1 All Habitats'!$AG$3:$AG$15,MATCH(E27,'G-1 All Habitats'!$AF$3:$AF$15,0)),"")</f>
        <v/>
      </c>
      <c r="B27" s="47" t="str">
        <f>IFERROR(INDEX('G-8 Condition Look up'!$I$4:$I$130,MATCH(G27,'G-8 Condition Look up'!$A$4:$A$130,0)),"")</f>
        <v/>
      </c>
      <c r="D27" s="77">
        <v>17</v>
      </c>
      <c r="E27" s="78"/>
      <c r="F27" s="79"/>
      <c r="G27" s="69" t="str">
        <f>IFERROR(INDEX('G-1 All Habitats'!$B$3:$B$129,MATCH(F27,'G-1 All Habitats'!$A$3:$A$129,0)),"")</f>
        <v/>
      </c>
      <c r="H27" s="70"/>
      <c r="I27" s="498" t="str">
        <f>IF(G27="","",VLOOKUP(G27,'G-1 All Habitats'!$B$2:$M$129,10,FALSE))</f>
        <v/>
      </c>
      <c r="J27" s="499" t="str">
        <f>IFERROR(VLOOKUP(I27,'G-1 All Habitats'!$V$3:$W$7,2,FALSE),"")</f>
        <v/>
      </c>
      <c r="K27" s="71"/>
      <c r="L27" s="499" t="str">
        <f>IFERROR(INDEX('G-8 Condition Look up'!$A$3:$H$130,MATCH(G27,'G-8 Condition Look up'!$A$3:$A$130,0),MATCH(K27,'G-8 Condition Look up'!$A$3:$H$3,0)),"")</f>
        <v/>
      </c>
      <c r="M27" s="71"/>
      <c r="N27" s="520" t="str">
        <f>IF(M27="","",IF(VLOOKUP(M27,'G-3 Multipliers'!$L$3:$N$6,2,FALSE)=0,"Spatial Data Missing",VLOOKUP(M27,'G-3 Multipliers'!$L$3:$N$6,2,FALSE)))</f>
        <v/>
      </c>
      <c r="O27" s="505" t="str">
        <f>IF(M27="","",IF(VLOOKUP(M27,'G-3 Multipliers'!$L$3:$N$6,3,FALSE)=0,"Spatial Data Missing ▲",VLOOKUP(M27,'G-3 Multipliers'!$L$3:$N$6,3,FALSE)))</f>
        <v/>
      </c>
      <c r="P27" s="506" t="str">
        <f>IFERROR(VLOOKUP(G27,'G-1 All Habitats'!$B$2:$M$129,12,FALSE),"")</f>
        <v/>
      </c>
      <c r="Q27" s="513" t="str">
        <f>IFERROR(IF(P27="","",IF(AND(P27='G-1 All Habitats'!$X$3,T27&gt;0),U27+V27,IF(AND(P27='G-1 All Habitats'!$X$3,S27&gt;0),U27+V27,IF(AND(P27='G-1 All Habitats'!$X$3,AC27&gt;0),"Any Loss Unacceptable ▲",IF(AND(P27='G-1 All Habitats'!$X$3,W27&gt;0),"Any Loss Unacceptable ▲",H27*J27*L27*O27))))),"Check Data ▲")</f>
        <v/>
      </c>
      <c r="R27" s="50"/>
      <c r="S27" s="71"/>
      <c r="T27" s="72"/>
      <c r="U27" s="511" t="str">
        <f t="shared" si="3"/>
        <v/>
      </c>
      <c r="V27" s="511" t="str">
        <f t="shared" si="4"/>
        <v/>
      </c>
      <c r="W27" s="511" t="str">
        <f>IF(E27="","",IF(H27&lt;S27+T27,"Error in Areas ▲",IF(P27&lt;&gt;'G-1 All Habitats'!$X$3,H27-S27-T27,IF(AND(P27='G-1 All Habitats'!$X$3,Y27="Yes"),"Unacceptable Loss",IF(AND(P27='G-1 All Habitats'!$X$3,Y27="No"),AC27,IF(AND(P27='G-1 All Habitats'!$X$3,Y27=""),AC27,IF(AND(P27='G-1 All Habitats'!$X$3,AC27="None",AC27),IF(AND(P27='G-1 All Habitats'!$X$3,AC27&gt;0),H27-S27-T27))))))))</f>
        <v/>
      </c>
      <c r="X27" s="515" t="str">
        <f>IFERROR(IF(H27="","",IF(H27-S27-T27=0&lt;0,"Error in Areas ▲",IF(S27+T27&gt;H27,"Error in Areas ▲",IF(AND(P27='G-1 All Habitats'!$X$3,Y27="Yes"),"Alternative Compensation ✓",IF(W27=0,0,IF(P27='G-1 All Habitats'!$X$3,"Unacceptable Loss ▲",Q27-U27-V27)))))),"Check Data ▲")</f>
        <v/>
      </c>
      <c r="Y27" s="72"/>
      <c r="Z27" s="80"/>
      <c r="AA27" s="81"/>
      <c r="AC27" s="75" t="str">
        <f>IF(P27="","",IF(P27='G-1 All Habitats'!$X$3,H27-S27-T27,"None"))</f>
        <v/>
      </c>
      <c r="AD27" s="76" t="str">
        <f>IFERROR(AC27*J27*L27*#REF!*O27,IF(P27="","","None"))</f>
        <v/>
      </c>
      <c r="AF27" s="54" t="str">
        <f t="shared" si="0"/>
        <v/>
      </c>
      <c r="AG27" s="54" t="str">
        <f t="shared" si="1"/>
        <v/>
      </c>
      <c r="AH27" s="54" t="str">
        <f>IF(I27="","",IF(#REF!&gt;0,TRUE,FALSE))</f>
        <v/>
      </c>
      <c r="AI27" s="54">
        <v>17</v>
      </c>
      <c r="AJ27" s="54"/>
      <c r="AK27" s="54" t="str">
        <f t="array" ref="AK27">IFERROR(INDEX($AI$11:$AI$259, MATCH(0, IF(TRUE=$AF$11:$AF$259, COUNTIF($AK$10:$AK26, $AI$11:$AI$259), ""), 0)),"")</f>
        <v/>
      </c>
      <c r="AL27" s="54" t="str">
        <f t="array" ref="AL27">IFERROR(INDEX($AI$11:$AI$259, MATCH(0, IF(TRUE=$AG$11:$AG$259, COUNTIF($AL$10:$AL26, $AI$11:$AI$259), ""), 0)),"")</f>
        <v/>
      </c>
      <c r="AM27" s="54" t="str">
        <f t="array" ref="AM27">IFERROR(INDEX($AI$11:$AI$259, MATCH(0, IF(TRUE=$AH$11:$AH$259, COUNTIF($AM$10:$AM26, $AI$11:$AI$259), ""), 0)),"")</f>
        <v/>
      </c>
      <c r="AN27" s="54"/>
      <c r="AQ27" s="47">
        <f t="shared" si="2"/>
        <v>0</v>
      </c>
    </row>
    <row r="28" spans="1:43" x14ac:dyDescent="0.25">
      <c r="A28" s="47" t="str">
        <f>IFERROR(INDEX('G-1 All Habitats'!$AG$3:$AG$15,MATCH(E28,'G-1 All Habitats'!$AF$3:$AF$15,0)),"")</f>
        <v/>
      </c>
      <c r="B28" s="47" t="str">
        <f>IFERROR(INDEX('G-8 Condition Look up'!$I$4:$I$130,MATCH(G28,'G-8 Condition Look up'!$A$4:$A$130,0)),"")</f>
        <v/>
      </c>
      <c r="D28" s="77">
        <v>18</v>
      </c>
      <c r="E28" s="78"/>
      <c r="F28" s="79"/>
      <c r="G28" s="69" t="str">
        <f>IFERROR(INDEX('G-1 All Habitats'!$B$3:$B$129,MATCH(F28,'G-1 All Habitats'!$A$3:$A$129,0)),"")</f>
        <v/>
      </c>
      <c r="H28" s="70"/>
      <c r="I28" s="498" t="str">
        <f>IF(G28="","",VLOOKUP(G28,'G-1 All Habitats'!$B$2:$M$129,10,FALSE))</f>
        <v/>
      </c>
      <c r="J28" s="499" t="str">
        <f>IFERROR(VLOOKUP(I28,'G-1 All Habitats'!$V$3:$W$7,2,FALSE),"")</f>
        <v/>
      </c>
      <c r="K28" s="71"/>
      <c r="L28" s="499" t="str">
        <f>IFERROR(INDEX('G-8 Condition Look up'!$A$3:$H$130,MATCH(G28,'G-8 Condition Look up'!$A$3:$A$130,0),MATCH(K28,'G-8 Condition Look up'!$A$3:$H$3,0)),"")</f>
        <v/>
      </c>
      <c r="M28" s="71"/>
      <c r="N28" s="520" t="str">
        <f>IF(M28="","",IF(VLOOKUP(M28,'G-3 Multipliers'!$L$3:$N$6,2,FALSE)=0,"Spatial Data Missing",VLOOKUP(M28,'G-3 Multipliers'!$L$3:$N$6,2,FALSE)))</f>
        <v/>
      </c>
      <c r="O28" s="505" t="str">
        <f>IF(M28="","",IF(VLOOKUP(M28,'G-3 Multipliers'!$L$3:$N$6,3,FALSE)=0,"Spatial Data Missing ▲",VLOOKUP(M28,'G-3 Multipliers'!$L$3:$N$6,3,FALSE)))</f>
        <v/>
      </c>
      <c r="P28" s="506" t="str">
        <f>IFERROR(VLOOKUP(G28,'G-1 All Habitats'!$B$2:$M$129,12,FALSE),"")</f>
        <v/>
      </c>
      <c r="Q28" s="513" t="str">
        <f>IFERROR(IF(P28="","",IF(AND(P28='G-1 All Habitats'!$X$3,T28&gt;0),U28+V28,IF(AND(P28='G-1 All Habitats'!$X$3,S28&gt;0),U28+V28,IF(AND(P28='G-1 All Habitats'!$X$3,AC28&gt;0),"Any Loss Unacceptable ▲",IF(AND(P28='G-1 All Habitats'!$X$3,W28&gt;0),"Any Loss Unacceptable ▲",H28*J28*L28*O28))))),"Check Data ▲")</f>
        <v/>
      </c>
      <c r="R28" s="50"/>
      <c r="S28" s="71"/>
      <c r="T28" s="72"/>
      <c r="U28" s="511" t="str">
        <f t="shared" si="3"/>
        <v/>
      </c>
      <c r="V28" s="511" t="str">
        <f t="shared" si="4"/>
        <v/>
      </c>
      <c r="W28" s="511" t="str">
        <f>IF(E28="","",IF(H28&lt;S28+T28,"Error in Areas ▲",IF(P28&lt;&gt;'G-1 All Habitats'!$X$3,H28-S28-T28,IF(AND(P28='G-1 All Habitats'!$X$3,Y28="Yes"),"Unacceptable Loss",IF(AND(P28='G-1 All Habitats'!$X$3,Y28="No"),AC28,IF(AND(P28='G-1 All Habitats'!$X$3,Y28=""),AC28,IF(AND(P28='G-1 All Habitats'!$X$3,AC28="None",AC28),IF(AND(P28='G-1 All Habitats'!$X$3,AC28&gt;0),H28-S28-T28))))))))</f>
        <v/>
      </c>
      <c r="X28" s="515" t="str">
        <f>IFERROR(IF(H28="","",IF(H28-S28-T28=0&lt;0,"Error in Areas ▲",IF(S28+T28&gt;H28,"Error in Areas ▲",IF(AND(P28='G-1 All Habitats'!$X$3,Y28="Yes"),"Alternative Compensation ✓",IF(W28=0,0,IF(P28='G-1 All Habitats'!$X$3,"Unacceptable Loss ▲",Q28-U28-V28)))))),"Check Data ▲")</f>
        <v/>
      </c>
      <c r="Y28" s="72"/>
      <c r="Z28" s="80"/>
      <c r="AA28" s="81"/>
      <c r="AC28" s="75" t="str">
        <f>IF(P28="","",IF(P28='G-1 All Habitats'!$X$3,H28-S28-T28,"None"))</f>
        <v/>
      </c>
      <c r="AD28" s="76" t="str">
        <f>IFERROR(AC28*J28*L28*#REF!*O28,IF(P28="","","None"))</f>
        <v/>
      </c>
      <c r="AF28" s="54" t="str">
        <f t="shared" si="0"/>
        <v/>
      </c>
      <c r="AG28" s="54" t="str">
        <f t="shared" si="1"/>
        <v/>
      </c>
      <c r="AH28" s="54" t="str">
        <f>IF(I28="","",IF(#REF!&gt;0,TRUE,FALSE))</f>
        <v/>
      </c>
      <c r="AI28" s="54">
        <v>18</v>
      </c>
      <c r="AJ28" s="54"/>
      <c r="AK28" s="54" t="str">
        <f t="array" ref="AK28">IFERROR(INDEX($AI$11:$AI$259, MATCH(0, IF(TRUE=$AF$11:$AF$259, COUNTIF($AK$10:$AK27, $AI$11:$AI$259), ""), 0)),"")</f>
        <v/>
      </c>
      <c r="AL28" s="54" t="str">
        <f t="array" ref="AL28">IFERROR(INDEX($AI$11:$AI$259, MATCH(0, IF(TRUE=$AG$11:$AG$259, COUNTIF($AL$10:$AL27, $AI$11:$AI$259), ""), 0)),"")</f>
        <v/>
      </c>
      <c r="AM28" s="54" t="str">
        <f t="array" ref="AM28">IFERROR(INDEX($AI$11:$AI$259, MATCH(0, IF(TRUE=$AH$11:$AH$259, COUNTIF($AM$10:$AM27, $AI$11:$AI$259), ""), 0)),"")</f>
        <v/>
      </c>
      <c r="AN28" s="54"/>
      <c r="AQ28" s="47">
        <f t="shared" si="2"/>
        <v>0</v>
      </c>
    </row>
    <row r="29" spans="1:43" x14ac:dyDescent="0.25">
      <c r="A29" s="47" t="str">
        <f>IFERROR(INDEX('G-1 All Habitats'!$AG$3:$AG$15,MATCH(E29,'G-1 All Habitats'!$AF$3:$AF$15,0)),"")</f>
        <v/>
      </c>
      <c r="B29" s="47" t="str">
        <f>IFERROR(INDEX('G-8 Condition Look up'!$I$4:$I$130,MATCH(G29,'G-8 Condition Look up'!$A$4:$A$130,0)),"")</f>
        <v/>
      </c>
      <c r="D29" s="77">
        <v>19</v>
      </c>
      <c r="E29" s="78"/>
      <c r="F29" s="79"/>
      <c r="G29" s="69" t="str">
        <f>IFERROR(INDEX('G-1 All Habitats'!$B$3:$B$129,MATCH(F29,'G-1 All Habitats'!$A$3:$A$129,0)),"")</f>
        <v/>
      </c>
      <c r="H29" s="70"/>
      <c r="I29" s="498" t="str">
        <f>IF(G29="","",VLOOKUP(G29,'G-1 All Habitats'!$B$2:$M$129,10,FALSE))</f>
        <v/>
      </c>
      <c r="J29" s="499" t="str">
        <f>IFERROR(VLOOKUP(I29,'G-1 All Habitats'!$V$3:$W$7,2,FALSE),"")</f>
        <v/>
      </c>
      <c r="K29" s="71"/>
      <c r="L29" s="499" t="str">
        <f>IFERROR(INDEX('G-8 Condition Look up'!$A$3:$H$130,MATCH(G29,'G-8 Condition Look up'!$A$3:$A$130,0),MATCH(K29,'G-8 Condition Look up'!$A$3:$H$3,0)),"")</f>
        <v/>
      </c>
      <c r="M29" s="71"/>
      <c r="N29" s="520" t="str">
        <f>IF(M29="","",IF(VLOOKUP(M29,'G-3 Multipliers'!$L$3:$N$6,2,FALSE)=0,"Spatial Data Missing",VLOOKUP(M29,'G-3 Multipliers'!$L$3:$N$6,2,FALSE)))</f>
        <v/>
      </c>
      <c r="O29" s="505" t="str">
        <f>IF(M29="","",IF(VLOOKUP(M29,'G-3 Multipliers'!$L$3:$N$6,3,FALSE)=0,"Spatial Data Missing ▲",VLOOKUP(M29,'G-3 Multipliers'!$L$3:$N$6,3,FALSE)))</f>
        <v/>
      </c>
      <c r="P29" s="506" t="str">
        <f>IFERROR(VLOOKUP(G29,'G-1 All Habitats'!$B$2:$M$129,12,FALSE),"")</f>
        <v/>
      </c>
      <c r="Q29" s="513" t="str">
        <f>IFERROR(IF(P29="","",IF(AND(P29='G-1 All Habitats'!$X$3,T29&gt;0),U29+V29,IF(AND(P29='G-1 All Habitats'!$X$3,S29&gt;0),U29+V29,IF(AND(P29='G-1 All Habitats'!$X$3,AC29&gt;0),"Any Loss Unacceptable ▲",IF(AND(P29='G-1 All Habitats'!$X$3,W29&gt;0),"Any Loss Unacceptable ▲",H29*J29*L29*O29))))),"Check Data ▲")</f>
        <v/>
      </c>
      <c r="R29" s="50"/>
      <c r="S29" s="71"/>
      <c r="T29" s="72"/>
      <c r="U29" s="511" t="str">
        <f t="shared" si="3"/>
        <v/>
      </c>
      <c r="V29" s="511" t="str">
        <f t="shared" si="4"/>
        <v/>
      </c>
      <c r="W29" s="511" t="str">
        <f>IF(E29="","",IF(H29&lt;S29+T29,"Error in Areas ▲",IF(P29&lt;&gt;'G-1 All Habitats'!$X$3,H29-S29-T29,IF(AND(P29='G-1 All Habitats'!$X$3,Y29="Yes"),"Unacceptable Loss",IF(AND(P29='G-1 All Habitats'!$X$3,Y29="No"),AC29,IF(AND(P29='G-1 All Habitats'!$X$3,Y29=""),AC29,IF(AND(P29='G-1 All Habitats'!$X$3,AC29="None",AC29),IF(AND(P29='G-1 All Habitats'!$X$3,AC29&gt;0),H29-S29-T29))))))))</f>
        <v/>
      </c>
      <c r="X29" s="515" t="str">
        <f>IFERROR(IF(H29="","",IF(H29-S29-T29=0&lt;0,"Error in Areas ▲",IF(S29+T29&gt;H29,"Error in Areas ▲",IF(AND(P29='G-1 All Habitats'!$X$3,Y29="Yes"),"Alternative Compensation ✓",IF(W29=0,0,IF(P29='G-1 All Habitats'!$X$3,"Unacceptable Loss ▲",Q29-U29-V29)))))),"Check Data ▲")</f>
        <v/>
      </c>
      <c r="Y29" s="72"/>
      <c r="Z29" s="80"/>
      <c r="AA29" s="81"/>
      <c r="AC29" s="75" t="str">
        <f>IF(P29="","",IF(P29='G-1 All Habitats'!$X$3,H29-S29-T29,"None"))</f>
        <v/>
      </c>
      <c r="AD29" s="76" t="str">
        <f>IFERROR(AC29*J29*L29*#REF!*O29,IF(P29="","","None"))</f>
        <v/>
      </c>
      <c r="AF29" s="54" t="str">
        <f t="shared" si="0"/>
        <v/>
      </c>
      <c r="AG29" s="54" t="str">
        <f t="shared" si="1"/>
        <v/>
      </c>
      <c r="AH29" s="54" t="str">
        <f>IF(I29="","",IF(#REF!&gt;0,TRUE,FALSE))</f>
        <v/>
      </c>
      <c r="AI29" s="54">
        <v>19</v>
      </c>
      <c r="AJ29" s="54"/>
      <c r="AK29" s="54" t="str">
        <f t="array" ref="AK29">IFERROR(INDEX($AI$11:$AI$259, MATCH(0, IF(TRUE=$AF$11:$AF$259, COUNTIF($AK$10:$AK28, $AI$11:$AI$259), ""), 0)),"")</f>
        <v/>
      </c>
      <c r="AL29" s="54" t="str">
        <f t="array" ref="AL29">IFERROR(INDEX($AI$11:$AI$259, MATCH(0, IF(TRUE=$AG$11:$AG$259, COUNTIF($AL$10:$AL28, $AI$11:$AI$259), ""), 0)),"")</f>
        <v/>
      </c>
      <c r="AM29" s="54" t="str">
        <f t="array" ref="AM29">IFERROR(INDEX($AI$11:$AI$259, MATCH(0, IF(TRUE=$AH$11:$AH$259, COUNTIF($AM$10:$AM28, $AI$11:$AI$259), ""), 0)),"")</f>
        <v/>
      </c>
      <c r="AN29" s="54"/>
      <c r="AQ29" s="47">
        <f t="shared" si="2"/>
        <v>0</v>
      </c>
    </row>
    <row r="30" spans="1:43" x14ac:dyDescent="0.25">
      <c r="A30" s="47" t="str">
        <f>IFERROR(INDEX('G-1 All Habitats'!$AG$3:$AG$15,MATCH(E30,'G-1 All Habitats'!$AF$3:$AF$15,0)),"")</f>
        <v/>
      </c>
      <c r="B30" s="47" t="str">
        <f>IFERROR(INDEX('G-8 Condition Look up'!$I$4:$I$130,MATCH(G30,'G-8 Condition Look up'!$A$4:$A$130,0)),"")</f>
        <v/>
      </c>
      <c r="D30" s="77">
        <v>20</v>
      </c>
      <c r="E30" s="78"/>
      <c r="F30" s="79"/>
      <c r="G30" s="69" t="str">
        <f>IFERROR(INDEX('G-1 All Habitats'!$B$3:$B$129,MATCH(F30,'G-1 All Habitats'!$A$3:$A$129,0)),"")</f>
        <v/>
      </c>
      <c r="H30" s="70"/>
      <c r="I30" s="498" t="str">
        <f>IF(G30="","",VLOOKUP(G30,'G-1 All Habitats'!$B$2:$M$129,10,FALSE))</f>
        <v/>
      </c>
      <c r="J30" s="499" t="str">
        <f>IFERROR(VLOOKUP(I30,'G-1 All Habitats'!$V$3:$W$7,2,FALSE),"")</f>
        <v/>
      </c>
      <c r="K30" s="71"/>
      <c r="L30" s="499" t="str">
        <f>IFERROR(INDEX('G-8 Condition Look up'!$A$3:$H$130,MATCH(G30,'G-8 Condition Look up'!$A$3:$A$130,0),MATCH(K30,'G-8 Condition Look up'!$A$3:$H$3,0)),"")</f>
        <v/>
      </c>
      <c r="M30" s="71"/>
      <c r="N30" s="520" t="str">
        <f>IF(M30="","",IF(VLOOKUP(M30,'G-3 Multipliers'!$L$3:$N$6,2,FALSE)=0,"Spatial Data Missing",VLOOKUP(M30,'G-3 Multipliers'!$L$3:$N$6,2,FALSE)))</f>
        <v/>
      </c>
      <c r="O30" s="505" t="str">
        <f>IF(M30="","",IF(VLOOKUP(M30,'G-3 Multipliers'!$L$3:$N$6,3,FALSE)=0,"Spatial Data Missing ▲",VLOOKUP(M30,'G-3 Multipliers'!$L$3:$N$6,3,FALSE)))</f>
        <v/>
      </c>
      <c r="P30" s="506" t="str">
        <f>IFERROR(VLOOKUP(G30,'G-1 All Habitats'!$B$2:$M$129,12,FALSE),"")</f>
        <v/>
      </c>
      <c r="Q30" s="513" t="str">
        <f>IFERROR(IF(P30="","",IF(AND(P30='G-1 All Habitats'!$X$3,T30&gt;0),U30+V30,IF(AND(P30='G-1 All Habitats'!$X$3,S30&gt;0),U30+V30,IF(AND(P30='G-1 All Habitats'!$X$3,AC30&gt;0),"Any Loss Unacceptable ▲",IF(AND(P30='G-1 All Habitats'!$X$3,W30&gt;0),"Any Loss Unacceptable ▲",H30*J30*L30*O30))))),"Check Data ▲")</f>
        <v/>
      </c>
      <c r="R30" s="50"/>
      <c r="S30" s="71"/>
      <c r="T30" s="72"/>
      <c r="U30" s="511" t="str">
        <f t="shared" si="3"/>
        <v/>
      </c>
      <c r="V30" s="511" t="str">
        <f t="shared" si="4"/>
        <v/>
      </c>
      <c r="W30" s="511" t="str">
        <f>IF(E30="","",IF(H30&lt;S30+T30,"Error in Areas ▲",IF(P30&lt;&gt;'G-1 All Habitats'!$X$3,H30-S30-T30,IF(AND(P30='G-1 All Habitats'!$X$3,Y30="Yes"),"Unacceptable Loss",IF(AND(P30='G-1 All Habitats'!$X$3,Y30="No"),AC30,IF(AND(P30='G-1 All Habitats'!$X$3,Y30=""),AC30,IF(AND(P30='G-1 All Habitats'!$X$3,AC30="None",AC30),IF(AND(P30='G-1 All Habitats'!$X$3,AC30&gt;0),H30-S30-T30))))))))</f>
        <v/>
      </c>
      <c r="X30" s="515" t="str">
        <f>IFERROR(IF(H30="","",IF(H30-S30-T30=0&lt;0,"Error in Areas ▲",IF(S30+T30&gt;H30,"Error in Areas ▲",IF(AND(P30='G-1 All Habitats'!$X$3,Y30="Yes"),"Alternative Compensation ✓",IF(W30=0,0,IF(P30='G-1 All Habitats'!$X$3,"Unacceptable Loss ▲",Q30-U30-V30)))))),"Check Data ▲")</f>
        <v/>
      </c>
      <c r="Y30" s="72"/>
      <c r="Z30" s="80"/>
      <c r="AA30" s="81"/>
      <c r="AC30" s="75" t="str">
        <f>IF(P30="","",IF(P30='G-1 All Habitats'!$X$3,H30-S30-T30,"None"))</f>
        <v/>
      </c>
      <c r="AD30" s="76" t="str">
        <f>IFERROR(AC30*J30*L30*#REF!*O30,IF(P30="","","None"))</f>
        <v/>
      </c>
      <c r="AF30" s="54" t="str">
        <f t="shared" si="0"/>
        <v/>
      </c>
      <c r="AG30" s="54" t="str">
        <f t="shared" si="1"/>
        <v/>
      </c>
      <c r="AH30" s="54" t="str">
        <f>IF(I30="","",IF(#REF!&gt;0,TRUE,FALSE))</f>
        <v/>
      </c>
      <c r="AI30" s="54">
        <v>20</v>
      </c>
      <c r="AJ30" s="54"/>
      <c r="AK30" s="54" t="str">
        <f t="array" ref="AK30">IFERROR(INDEX($AI$11:$AI$259, MATCH(0, IF(TRUE=$AF$11:$AF$259, COUNTIF($AK$10:$AK29, $AI$11:$AI$259), ""), 0)),"")</f>
        <v/>
      </c>
      <c r="AL30" s="54" t="str">
        <f t="array" ref="AL30">IFERROR(INDEX($AI$11:$AI$259, MATCH(0, IF(TRUE=$AG$11:$AG$259, COUNTIF($AL$10:$AL29, $AI$11:$AI$259), ""), 0)),"")</f>
        <v/>
      </c>
      <c r="AM30" s="54" t="str">
        <f t="array" ref="AM30">IFERROR(INDEX($AI$11:$AI$259, MATCH(0, IF(TRUE=$AH$11:$AH$259, COUNTIF($AM$10:$AM29, $AI$11:$AI$259), ""), 0)),"")</f>
        <v/>
      </c>
      <c r="AN30" s="54"/>
      <c r="AQ30" s="47">
        <f t="shared" si="2"/>
        <v>0</v>
      </c>
    </row>
    <row r="31" spans="1:43" x14ac:dyDescent="0.25">
      <c r="A31" s="47" t="str">
        <f>IFERROR(INDEX('G-1 All Habitats'!$AG$3:$AG$15,MATCH(E31,'G-1 All Habitats'!$AF$3:$AF$15,0)),"")</f>
        <v/>
      </c>
      <c r="B31" s="47" t="str">
        <f>IFERROR(INDEX('G-8 Condition Look up'!$I$4:$I$130,MATCH(G31,'G-8 Condition Look up'!$A$4:$A$130,0)),"")</f>
        <v/>
      </c>
      <c r="D31" s="77">
        <v>21</v>
      </c>
      <c r="E31" s="78"/>
      <c r="F31" s="79"/>
      <c r="G31" s="69" t="str">
        <f>IFERROR(INDEX('G-1 All Habitats'!$B$3:$B$129,MATCH(F31,'G-1 All Habitats'!$A$3:$A$129,0)),"")</f>
        <v/>
      </c>
      <c r="H31" s="70"/>
      <c r="I31" s="498" t="str">
        <f>IF(G31="","",VLOOKUP(G31,'G-1 All Habitats'!$B$2:$M$129,10,FALSE))</f>
        <v/>
      </c>
      <c r="J31" s="499" t="str">
        <f>IFERROR(VLOOKUP(I31,'G-1 All Habitats'!$V$3:$W$7,2,FALSE),"")</f>
        <v/>
      </c>
      <c r="K31" s="71"/>
      <c r="L31" s="499" t="str">
        <f>IFERROR(INDEX('G-8 Condition Look up'!$A$3:$H$130,MATCH(G31,'G-8 Condition Look up'!$A$3:$A$130,0),MATCH(K31,'G-8 Condition Look up'!$A$3:$H$3,0)),"")</f>
        <v/>
      </c>
      <c r="M31" s="71"/>
      <c r="N31" s="520" t="str">
        <f>IF(M31="","",IF(VLOOKUP(M31,'G-3 Multipliers'!$L$3:$N$6,2,FALSE)=0,"Spatial Data Missing",VLOOKUP(M31,'G-3 Multipliers'!$L$3:$N$6,2,FALSE)))</f>
        <v/>
      </c>
      <c r="O31" s="505" t="str">
        <f>IF(M31="","",IF(VLOOKUP(M31,'G-3 Multipliers'!$L$3:$N$6,3,FALSE)=0,"Spatial Data Missing ▲",VLOOKUP(M31,'G-3 Multipliers'!$L$3:$N$6,3,FALSE)))</f>
        <v/>
      </c>
      <c r="P31" s="506" t="str">
        <f>IFERROR(VLOOKUP(G31,'G-1 All Habitats'!$B$2:$M$129,12,FALSE),"")</f>
        <v/>
      </c>
      <c r="Q31" s="513" t="str">
        <f>IFERROR(IF(P31="","",IF(AND(P31='G-1 All Habitats'!$X$3,T31&gt;0),U31+V31,IF(AND(P31='G-1 All Habitats'!$X$3,S31&gt;0),U31+V31,IF(AND(P31='G-1 All Habitats'!$X$3,AC31&gt;0),"Any Loss Unacceptable ▲",IF(AND(P31='G-1 All Habitats'!$X$3,W31&gt;0),"Any Loss Unacceptable ▲",H31*J31*L31*O31))))),"Check Data ▲")</f>
        <v/>
      </c>
      <c r="R31" s="50"/>
      <c r="S31" s="71"/>
      <c r="T31" s="72"/>
      <c r="U31" s="511" t="str">
        <f t="shared" si="3"/>
        <v/>
      </c>
      <c r="V31" s="511" t="str">
        <f t="shared" si="4"/>
        <v/>
      </c>
      <c r="W31" s="511" t="str">
        <f>IF(E31="","",IF(H31&lt;S31+T31,"Error in Areas ▲",IF(P31&lt;&gt;'G-1 All Habitats'!$X$3,H31-S31-T31,IF(AND(P31='G-1 All Habitats'!$X$3,Y31="Yes"),"Unacceptable Loss",IF(AND(P31='G-1 All Habitats'!$X$3,Y31="No"),AC31,IF(AND(P31='G-1 All Habitats'!$X$3,Y31=""),AC31,IF(AND(P31='G-1 All Habitats'!$X$3,AC31="None",AC31),IF(AND(P31='G-1 All Habitats'!$X$3,AC31&gt;0),H31-S31-T31))))))))</f>
        <v/>
      </c>
      <c r="X31" s="515" t="str">
        <f>IFERROR(IF(H31="","",IF(H31-S31-T31=0&lt;0,"Error in Areas ▲",IF(S31+T31&gt;H31,"Error in Areas ▲",IF(AND(P31='G-1 All Habitats'!$X$3,Y31="Yes"),"Alternative Compensation ✓",IF(W31=0,0,IF(P31='G-1 All Habitats'!$X$3,"Unacceptable Loss ▲",Q31-U31-V31)))))),"Check Data ▲")</f>
        <v/>
      </c>
      <c r="Y31" s="72"/>
      <c r="Z31" s="80"/>
      <c r="AA31" s="81"/>
      <c r="AC31" s="75" t="str">
        <f>IF(P31="","",IF(P31='G-1 All Habitats'!$X$3,H31-S31-T31,"None"))</f>
        <v/>
      </c>
      <c r="AD31" s="76" t="str">
        <f>IFERROR(AC31*J31*L31*#REF!*O31,IF(P31="","","None"))</f>
        <v/>
      </c>
      <c r="AF31" s="54" t="str">
        <f t="shared" si="0"/>
        <v/>
      </c>
      <c r="AG31" s="54" t="str">
        <f t="shared" si="1"/>
        <v/>
      </c>
      <c r="AH31" s="54" t="str">
        <f>IF(I31="","",IF(#REF!&gt;0,TRUE,FALSE))</f>
        <v/>
      </c>
      <c r="AI31" s="54">
        <v>21</v>
      </c>
      <c r="AJ31" s="54"/>
      <c r="AK31" s="54" t="str">
        <f t="array" ref="AK31">IFERROR(INDEX($AI$11:$AI$259, MATCH(0, IF(TRUE=$AF$11:$AF$259, COUNTIF($AK$10:$AK30, $AI$11:$AI$259), ""), 0)),"")</f>
        <v/>
      </c>
      <c r="AL31" s="54" t="str">
        <f t="array" ref="AL31">IFERROR(INDEX($AI$11:$AI$259, MATCH(0, IF(TRUE=$AG$11:$AG$259, COUNTIF($AL$10:$AL30, $AI$11:$AI$259), ""), 0)),"")</f>
        <v/>
      </c>
      <c r="AM31" s="54" t="str">
        <f t="array" ref="AM31">IFERROR(INDEX($AI$11:$AI$259, MATCH(0, IF(TRUE=$AH$11:$AH$259, COUNTIF($AM$10:$AM30, $AI$11:$AI$259), ""), 0)),"")</f>
        <v/>
      </c>
      <c r="AN31" s="54"/>
      <c r="AQ31" s="47">
        <f t="shared" si="2"/>
        <v>0</v>
      </c>
    </row>
    <row r="32" spans="1:43" x14ac:dyDescent="0.25">
      <c r="A32" s="47" t="str">
        <f>IFERROR(INDEX('G-1 All Habitats'!$AG$3:$AG$15,MATCH(E32,'G-1 All Habitats'!$AF$3:$AF$15,0)),"")</f>
        <v/>
      </c>
      <c r="B32" s="47" t="str">
        <f>IFERROR(INDEX('G-8 Condition Look up'!$I$4:$I$130,MATCH(G32,'G-8 Condition Look up'!$A$4:$A$130,0)),"")</f>
        <v/>
      </c>
      <c r="D32" s="77">
        <v>22</v>
      </c>
      <c r="E32" s="78"/>
      <c r="F32" s="79"/>
      <c r="G32" s="69" t="str">
        <f>IFERROR(INDEX('G-1 All Habitats'!$B$3:$B$129,MATCH(F32,'G-1 All Habitats'!$A$3:$A$129,0)),"")</f>
        <v/>
      </c>
      <c r="H32" s="70"/>
      <c r="I32" s="498" t="str">
        <f>IF(G32="","",VLOOKUP(G32,'G-1 All Habitats'!$B$2:$M$129,10,FALSE))</f>
        <v/>
      </c>
      <c r="J32" s="499" t="str">
        <f>IFERROR(VLOOKUP(I32,'G-1 All Habitats'!$V$3:$W$7,2,FALSE),"")</f>
        <v/>
      </c>
      <c r="K32" s="71"/>
      <c r="L32" s="499" t="str">
        <f>IFERROR(INDEX('G-8 Condition Look up'!$A$3:$H$130,MATCH(G32,'G-8 Condition Look up'!$A$3:$A$130,0),MATCH(K32,'G-8 Condition Look up'!$A$3:$H$3,0)),"")</f>
        <v/>
      </c>
      <c r="M32" s="71"/>
      <c r="N32" s="520" t="str">
        <f>IF(M32="","",IF(VLOOKUP(M32,'G-3 Multipliers'!$L$3:$N$6,2,FALSE)=0,"Spatial Data Missing",VLOOKUP(M32,'G-3 Multipliers'!$L$3:$N$6,2,FALSE)))</f>
        <v/>
      </c>
      <c r="O32" s="505" t="str">
        <f>IF(M32="","",IF(VLOOKUP(M32,'G-3 Multipliers'!$L$3:$N$6,3,FALSE)=0,"Spatial Data Missing ▲",VLOOKUP(M32,'G-3 Multipliers'!$L$3:$N$6,3,FALSE)))</f>
        <v/>
      </c>
      <c r="P32" s="506" t="str">
        <f>IFERROR(VLOOKUP(G32,'G-1 All Habitats'!$B$2:$M$129,12,FALSE),"")</f>
        <v/>
      </c>
      <c r="Q32" s="513" t="str">
        <f>IFERROR(IF(P32="","",IF(AND(P32='G-1 All Habitats'!$X$3,T32&gt;0),U32+V32,IF(AND(P32='G-1 All Habitats'!$X$3,S32&gt;0),U32+V32,IF(AND(P32='G-1 All Habitats'!$X$3,AC32&gt;0),"Any Loss Unacceptable ▲",IF(AND(P32='G-1 All Habitats'!$X$3,W32&gt;0),"Any Loss Unacceptable ▲",H32*J32*L32*O32))))),"Check Data ▲")</f>
        <v/>
      </c>
      <c r="R32" s="50"/>
      <c r="S32" s="71"/>
      <c r="T32" s="72"/>
      <c r="U32" s="511" t="str">
        <f t="shared" si="3"/>
        <v/>
      </c>
      <c r="V32" s="511" t="str">
        <f t="shared" si="4"/>
        <v/>
      </c>
      <c r="W32" s="511" t="str">
        <f>IF(E32="","",IF(H32&lt;S32+T32,"Error in Areas ▲",IF(P32&lt;&gt;'G-1 All Habitats'!$X$3,H32-S32-T32,IF(AND(P32='G-1 All Habitats'!$X$3,Y32="Yes"),"Unacceptable Loss",IF(AND(P32='G-1 All Habitats'!$X$3,Y32="No"),AC32,IF(AND(P32='G-1 All Habitats'!$X$3,Y32=""),AC32,IF(AND(P32='G-1 All Habitats'!$X$3,AC32="None",AC32),IF(AND(P32='G-1 All Habitats'!$X$3,AC32&gt;0),H32-S32-T32))))))))</f>
        <v/>
      </c>
      <c r="X32" s="515" t="str">
        <f>IFERROR(IF(H32="","",IF(H32-S32-T32=0&lt;0,"Error in Areas ▲",IF(S32+T32&gt;H32,"Error in Areas ▲",IF(AND(P32='G-1 All Habitats'!$X$3,Y32="Yes"),"Alternative Compensation ✓",IF(W32=0,0,IF(P32='G-1 All Habitats'!$X$3,"Unacceptable Loss ▲",Q32-U32-V32)))))),"Check Data ▲")</f>
        <v/>
      </c>
      <c r="Y32" s="72"/>
      <c r="Z32" s="80"/>
      <c r="AA32" s="81"/>
      <c r="AC32" s="75" t="str">
        <f>IF(P32="","",IF(P32='G-1 All Habitats'!$X$3,H32-S32-T32,"None"))</f>
        <v/>
      </c>
      <c r="AD32" s="76" t="str">
        <f>IFERROR(AC32*J32*L32*#REF!*O32,IF(P32="","","None"))</f>
        <v/>
      </c>
      <c r="AF32" s="54" t="str">
        <f t="shared" si="0"/>
        <v/>
      </c>
      <c r="AG32" s="54" t="str">
        <f t="shared" si="1"/>
        <v/>
      </c>
      <c r="AH32" s="54" t="str">
        <f>IF(I32="","",IF(#REF!&gt;0,TRUE,FALSE))</f>
        <v/>
      </c>
      <c r="AI32" s="54">
        <v>22</v>
      </c>
      <c r="AJ32" s="54"/>
      <c r="AK32" s="54" t="str">
        <f t="array" ref="AK32">IFERROR(INDEX($AI$11:$AI$259, MATCH(0, IF(TRUE=$AF$11:$AF$259, COUNTIF($AK$10:$AK31, $AI$11:$AI$259), ""), 0)),"")</f>
        <v/>
      </c>
      <c r="AL32" s="54" t="str">
        <f t="array" ref="AL32">IFERROR(INDEX($AI$11:$AI$259, MATCH(0, IF(TRUE=$AG$11:$AG$259, COUNTIF($AL$10:$AL31, $AI$11:$AI$259), ""), 0)),"")</f>
        <v/>
      </c>
      <c r="AM32" s="54" t="str">
        <f t="array" ref="AM32">IFERROR(INDEX($AI$11:$AI$259, MATCH(0, IF(TRUE=$AH$11:$AH$259, COUNTIF($AM$10:$AM31, $AI$11:$AI$259), ""), 0)),"")</f>
        <v/>
      </c>
      <c r="AN32" s="54"/>
      <c r="AQ32" s="47">
        <f t="shared" si="2"/>
        <v>0</v>
      </c>
    </row>
    <row r="33" spans="1:43" x14ac:dyDescent="0.25">
      <c r="A33" s="47" t="str">
        <f>IFERROR(INDEX('G-1 All Habitats'!$AG$3:$AG$15,MATCH(E33,'G-1 All Habitats'!$AF$3:$AF$15,0)),"")</f>
        <v/>
      </c>
      <c r="B33" s="47" t="str">
        <f>IFERROR(INDEX('G-8 Condition Look up'!$I$4:$I$130,MATCH(G33,'G-8 Condition Look up'!$A$4:$A$130,0)),"")</f>
        <v/>
      </c>
      <c r="D33" s="77">
        <v>23</v>
      </c>
      <c r="E33" s="78"/>
      <c r="F33" s="79"/>
      <c r="G33" s="69" t="str">
        <f>IFERROR(INDEX('G-1 All Habitats'!$B$3:$B$129,MATCH(F33,'G-1 All Habitats'!$A$3:$A$129,0)),"")</f>
        <v/>
      </c>
      <c r="H33" s="70"/>
      <c r="I33" s="498" t="str">
        <f>IF(G33="","",VLOOKUP(G33,'G-1 All Habitats'!$B$2:$M$129,10,FALSE))</f>
        <v/>
      </c>
      <c r="J33" s="499" t="str">
        <f>IFERROR(VLOOKUP(I33,'G-1 All Habitats'!$V$3:$W$7,2,FALSE),"")</f>
        <v/>
      </c>
      <c r="K33" s="71"/>
      <c r="L33" s="499" t="str">
        <f>IFERROR(INDEX('G-8 Condition Look up'!$A$3:$H$130,MATCH(G33,'G-8 Condition Look up'!$A$3:$A$130,0),MATCH(K33,'G-8 Condition Look up'!$A$3:$H$3,0)),"")</f>
        <v/>
      </c>
      <c r="M33" s="71"/>
      <c r="N33" s="520" t="str">
        <f>IF(M33="","",IF(VLOOKUP(M33,'G-3 Multipliers'!$L$3:$N$6,2,FALSE)=0,"Spatial Data Missing",VLOOKUP(M33,'G-3 Multipliers'!$L$3:$N$6,2,FALSE)))</f>
        <v/>
      </c>
      <c r="O33" s="505" t="str">
        <f>IF(M33="","",IF(VLOOKUP(M33,'G-3 Multipliers'!$L$3:$N$6,3,FALSE)=0,"Spatial Data Missing ▲",VLOOKUP(M33,'G-3 Multipliers'!$L$3:$N$6,3,FALSE)))</f>
        <v/>
      </c>
      <c r="P33" s="506" t="str">
        <f>IFERROR(VLOOKUP(G33,'G-1 All Habitats'!$B$2:$M$129,12,FALSE),"")</f>
        <v/>
      </c>
      <c r="Q33" s="513" t="str">
        <f>IFERROR(IF(P33="","",IF(AND(P33='G-1 All Habitats'!$X$3,T33&gt;0),U33+V33,IF(AND(P33='G-1 All Habitats'!$X$3,S33&gt;0),U33+V33,IF(AND(P33='G-1 All Habitats'!$X$3,AC33&gt;0),"Any Loss Unacceptable ▲",IF(AND(P33='G-1 All Habitats'!$X$3,W33&gt;0),"Any Loss Unacceptable ▲",H33*J33*L33*O33))))),"Check Data ▲")</f>
        <v/>
      </c>
      <c r="R33" s="50"/>
      <c r="S33" s="71"/>
      <c r="T33" s="72"/>
      <c r="U33" s="511" t="str">
        <f t="shared" si="3"/>
        <v/>
      </c>
      <c r="V33" s="511" t="str">
        <f t="shared" si="4"/>
        <v/>
      </c>
      <c r="W33" s="511" t="str">
        <f>IF(E33="","",IF(H33&lt;S33+T33,"Error in Areas ▲",IF(P33&lt;&gt;'G-1 All Habitats'!$X$3,H33-S33-T33,IF(AND(P33='G-1 All Habitats'!$X$3,Y33="Yes"),"Unacceptable Loss",IF(AND(P33='G-1 All Habitats'!$X$3,Y33="No"),AC33,IF(AND(P33='G-1 All Habitats'!$X$3,Y33=""),AC33,IF(AND(P33='G-1 All Habitats'!$X$3,AC33="None",AC33),IF(AND(P33='G-1 All Habitats'!$X$3,AC33&gt;0),H33-S33-T33))))))))</f>
        <v/>
      </c>
      <c r="X33" s="515" t="str">
        <f>IFERROR(IF(H33="","",IF(H33-S33-T33=0&lt;0,"Error in Areas ▲",IF(S33+T33&gt;H33,"Error in Areas ▲",IF(AND(P33='G-1 All Habitats'!$X$3,Y33="Yes"),"Alternative Compensation ✓",IF(W33=0,0,IF(P33='G-1 All Habitats'!$X$3,"Unacceptable Loss ▲",Q33-U33-V33)))))),"Check Data ▲")</f>
        <v/>
      </c>
      <c r="Y33" s="72"/>
      <c r="Z33" s="80"/>
      <c r="AA33" s="81"/>
      <c r="AC33" s="75" t="str">
        <f>IF(P33="","",IF(P33='G-1 All Habitats'!$X$3,H33-S33-T33,"None"))</f>
        <v/>
      </c>
      <c r="AD33" s="76" t="str">
        <f>IFERROR(AC33*J33*L33*#REF!*O33,IF(P33="","","None"))</f>
        <v/>
      </c>
      <c r="AF33" s="54" t="str">
        <f t="shared" si="0"/>
        <v/>
      </c>
      <c r="AG33" s="54" t="str">
        <f t="shared" si="1"/>
        <v/>
      </c>
      <c r="AH33" s="54" t="str">
        <f>IF(I33="","",IF(#REF!&gt;0,TRUE,FALSE))</f>
        <v/>
      </c>
      <c r="AI33" s="54">
        <v>23</v>
      </c>
      <c r="AJ33" s="54"/>
      <c r="AK33" s="54" t="str">
        <f t="array" ref="AK33">IFERROR(INDEX($AI$11:$AI$259, MATCH(0, IF(TRUE=$AF$11:$AF$259, COUNTIF($AK$10:$AK32, $AI$11:$AI$259), ""), 0)),"")</f>
        <v/>
      </c>
      <c r="AL33" s="54" t="str">
        <f t="array" ref="AL33">IFERROR(INDEX($AI$11:$AI$259, MATCH(0, IF(TRUE=$AG$11:$AG$259, COUNTIF($AL$10:$AL32, $AI$11:$AI$259), ""), 0)),"")</f>
        <v/>
      </c>
      <c r="AM33" s="54" t="str">
        <f t="array" ref="AM33">IFERROR(INDEX($AI$11:$AI$259, MATCH(0, IF(TRUE=$AH$11:$AH$259, COUNTIF($AM$10:$AM32, $AI$11:$AI$259), ""), 0)),"")</f>
        <v/>
      </c>
      <c r="AN33" s="54"/>
      <c r="AQ33" s="47">
        <f t="shared" si="2"/>
        <v>0</v>
      </c>
    </row>
    <row r="34" spans="1:43" x14ac:dyDescent="0.25">
      <c r="A34" s="47" t="str">
        <f>IFERROR(INDEX('G-1 All Habitats'!$AG$3:$AG$15,MATCH(E34,'G-1 All Habitats'!$AF$3:$AF$15,0)),"")</f>
        <v/>
      </c>
      <c r="B34" s="47" t="str">
        <f>IFERROR(INDEX('G-8 Condition Look up'!$I$4:$I$130,MATCH(G34,'G-8 Condition Look up'!$A$4:$A$130,0)),"")</f>
        <v/>
      </c>
      <c r="D34" s="77">
        <v>24</v>
      </c>
      <c r="E34" s="78"/>
      <c r="F34" s="79"/>
      <c r="G34" s="69" t="str">
        <f>IFERROR(INDEX('G-1 All Habitats'!$B$3:$B$129,MATCH(F34,'G-1 All Habitats'!$A$3:$A$129,0)),"")</f>
        <v/>
      </c>
      <c r="H34" s="70"/>
      <c r="I34" s="498" t="str">
        <f>IF(G34="","",VLOOKUP(G34,'G-1 All Habitats'!$B$2:$M$129,10,FALSE))</f>
        <v/>
      </c>
      <c r="J34" s="499" t="str">
        <f>IFERROR(VLOOKUP(I34,'G-1 All Habitats'!$V$3:$W$7,2,FALSE),"")</f>
        <v/>
      </c>
      <c r="K34" s="71"/>
      <c r="L34" s="499" t="str">
        <f>IFERROR(INDEX('G-8 Condition Look up'!$A$3:$H$130,MATCH(G34,'G-8 Condition Look up'!$A$3:$A$130,0),MATCH(K34,'G-8 Condition Look up'!$A$3:$H$3,0)),"")</f>
        <v/>
      </c>
      <c r="M34" s="71"/>
      <c r="N34" s="520" t="str">
        <f>IF(M34="","",IF(VLOOKUP(M34,'G-3 Multipliers'!$L$3:$N$6,2,FALSE)=0,"Spatial Data Missing",VLOOKUP(M34,'G-3 Multipliers'!$L$3:$N$6,2,FALSE)))</f>
        <v/>
      </c>
      <c r="O34" s="505" t="str">
        <f>IF(M34="","",IF(VLOOKUP(M34,'G-3 Multipliers'!$L$3:$N$6,3,FALSE)=0,"Spatial Data Missing ▲",VLOOKUP(M34,'G-3 Multipliers'!$L$3:$N$6,3,FALSE)))</f>
        <v/>
      </c>
      <c r="P34" s="506" t="str">
        <f>IFERROR(VLOOKUP(G34,'G-1 All Habitats'!$B$2:$M$129,12,FALSE),"")</f>
        <v/>
      </c>
      <c r="Q34" s="513" t="str">
        <f>IFERROR(IF(P34="","",IF(AND(P34='G-1 All Habitats'!$X$3,T34&gt;0),U34+V34,IF(AND(P34='G-1 All Habitats'!$X$3,S34&gt;0),U34+V34,IF(AND(P34='G-1 All Habitats'!$X$3,AC34&gt;0),"Any Loss Unacceptable ▲",IF(AND(P34='G-1 All Habitats'!$X$3,W34&gt;0),"Any Loss Unacceptable ▲",H34*J34*L34*O34))))),"Check Data ▲")</f>
        <v/>
      </c>
      <c r="R34" s="50"/>
      <c r="S34" s="71"/>
      <c r="T34" s="72"/>
      <c r="U34" s="511" t="str">
        <f t="shared" si="3"/>
        <v/>
      </c>
      <c r="V34" s="511" t="str">
        <f t="shared" si="4"/>
        <v/>
      </c>
      <c r="W34" s="511" t="str">
        <f>IF(E34="","",IF(H34&lt;S34+T34,"Error in Areas ▲",IF(P34&lt;&gt;'G-1 All Habitats'!$X$3,H34-S34-T34,IF(AND(P34='G-1 All Habitats'!$X$3,Y34="Yes"),"Unacceptable Loss",IF(AND(P34='G-1 All Habitats'!$X$3,Y34="No"),AC34,IF(AND(P34='G-1 All Habitats'!$X$3,Y34=""),AC34,IF(AND(P34='G-1 All Habitats'!$X$3,AC34="None",AC34),IF(AND(P34='G-1 All Habitats'!$X$3,AC34&gt;0),H34-S34-T34))))))))</f>
        <v/>
      </c>
      <c r="X34" s="515" t="str">
        <f>IFERROR(IF(H34="","",IF(H34-S34-T34=0&lt;0,"Error in Areas ▲",IF(S34+T34&gt;H34,"Error in Areas ▲",IF(AND(P34='G-1 All Habitats'!$X$3,Y34="Yes"),"Alternative Compensation ✓",IF(W34=0,0,IF(P34='G-1 All Habitats'!$X$3,"Unacceptable Loss ▲",Q34-U34-V34)))))),"Check Data ▲")</f>
        <v/>
      </c>
      <c r="Y34" s="72"/>
      <c r="Z34" s="80"/>
      <c r="AA34" s="81"/>
      <c r="AC34" s="75" t="str">
        <f>IF(P34="","",IF(P34='G-1 All Habitats'!$X$3,H34-S34-T34,"None"))</f>
        <v/>
      </c>
      <c r="AD34" s="76" t="str">
        <f>IFERROR(AC34*J34*L34*#REF!*O34,IF(P34="","","None"))</f>
        <v/>
      </c>
      <c r="AF34" s="54" t="str">
        <f t="shared" si="0"/>
        <v/>
      </c>
      <c r="AG34" s="54" t="str">
        <f t="shared" si="1"/>
        <v/>
      </c>
      <c r="AH34" s="54" t="str">
        <f>IF(I34="","",IF(#REF!&gt;0,TRUE,FALSE))</f>
        <v/>
      </c>
      <c r="AI34" s="54">
        <v>24</v>
      </c>
      <c r="AJ34" s="54"/>
      <c r="AK34" s="54" t="str">
        <f t="array" ref="AK34">IFERROR(INDEX($AI$11:$AI$259, MATCH(0, IF(TRUE=$AF$11:$AF$259, COUNTIF($AK$10:$AK33, $AI$11:$AI$259), ""), 0)),"")</f>
        <v/>
      </c>
      <c r="AL34" s="54" t="str">
        <f t="array" ref="AL34">IFERROR(INDEX($AI$11:$AI$259, MATCH(0, IF(TRUE=$AG$11:$AG$259, COUNTIF($AL$10:$AL33, $AI$11:$AI$259), ""), 0)),"")</f>
        <v/>
      </c>
      <c r="AM34" s="54" t="str">
        <f t="array" ref="AM34">IFERROR(INDEX($AI$11:$AI$259, MATCH(0, IF(TRUE=$AH$11:$AH$259, COUNTIF($AM$10:$AM33, $AI$11:$AI$259), ""), 0)),"")</f>
        <v/>
      </c>
      <c r="AN34" s="54"/>
      <c r="AQ34" s="47">
        <f t="shared" si="2"/>
        <v>0</v>
      </c>
    </row>
    <row r="35" spans="1:43" x14ac:dyDescent="0.25">
      <c r="A35" s="47" t="str">
        <f>IFERROR(INDEX('G-1 All Habitats'!$AG$3:$AG$15,MATCH(E35,'G-1 All Habitats'!$AF$3:$AF$15,0)),"")</f>
        <v/>
      </c>
      <c r="B35" s="47" t="str">
        <f>IFERROR(INDEX('G-8 Condition Look up'!$I$4:$I$130,MATCH(G35,'G-8 Condition Look up'!$A$4:$A$130,0)),"")</f>
        <v/>
      </c>
      <c r="D35" s="77">
        <v>25</v>
      </c>
      <c r="E35" s="78"/>
      <c r="F35" s="79"/>
      <c r="G35" s="69" t="str">
        <f>IFERROR(INDEX('G-1 All Habitats'!$B$3:$B$129,MATCH(F35,'G-1 All Habitats'!$A$3:$A$129,0)),"")</f>
        <v/>
      </c>
      <c r="H35" s="70"/>
      <c r="I35" s="498" t="str">
        <f>IF(G35="","",VLOOKUP(G35,'G-1 All Habitats'!$B$2:$M$129,10,FALSE))</f>
        <v/>
      </c>
      <c r="J35" s="499" t="str">
        <f>IFERROR(VLOOKUP(I35,'G-1 All Habitats'!$V$3:$W$7,2,FALSE),"")</f>
        <v/>
      </c>
      <c r="K35" s="71"/>
      <c r="L35" s="499" t="str">
        <f>IFERROR(INDEX('G-8 Condition Look up'!$A$3:$H$130,MATCH(G35,'G-8 Condition Look up'!$A$3:$A$130,0),MATCH(K35,'G-8 Condition Look up'!$A$3:$H$3,0)),"")</f>
        <v/>
      </c>
      <c r="M35" s="71"/>
      <c r="N35" s="520" t="str">
        <f>IF(M35="","",IF(VLOOKUP(M35,'G-3 Multipliers'!$L$3:$N$6,2,FALSE)=0,"Spatial Data Missing",VLOOKUP(M35,'G-3 Multipliers'!$L$3:$N$6,2,FALSE)))</f>
        <v/>
      </c>
      <c r="O35" s="505" t="str">
        <f>IF(M35="","",IF(VLOOKUP(M35,'G-3 Multipliers'!$L$3:$N$6,3,FALSE)=0,"Spatial Data Missing ▲",VLOOKUP(M35,'G-3 Multipliers'!$L$3:$N$6,3,FALSE)))</f>
        <v/>
      </c>
      <c r="P35" s="506" t="str">
        <f>IFERROR(VLOOKUP(G35,'G-1 All Habitats'!$B$2:$M$129,12,FALSE),"")</f>
        <v/>
      </c>
      <c r="Q35" s="513" t="str">
        <f>IFERROR(IF(P35="","",IF(AND(P35='G-1 All Habitats'!$X$3,T35&gt;0),U35+V35,IF(AND(P35='G-1 All Habitats'!$X$3,S35&gt;0),U35+V35,IF(AND(P35='G-1 All Habitats'!$X$3,AC35&gt;0),"Any Loss Unacceptable ▲",IF(AND(P35='G-1 All Habitats'!$X$3,W35&gt;0),"Any Loss Unacceptable ▲",H35*J35*L35*O35))))),"Check Data ▲")</f>
        <v/>
      </c>
      <c r="R35" s="50"/>
      <c r="S35" s="71"/>
      <c r="T35" s="72"/>
      <c r="U35" s="511" t="str">
        <f t="shared" si="3"/>
        <v/>
      </c>
      <c r="V35" s="511" t="str">
        <f t="shared" si="4"/>
        <v/>
      </c>
      <c r="W35" s="511" t="str">
        <f>IF(E35="","",IF(H35&lt;S35+T35,"Error in Areas ▲",IF(P35&lt;&gt;'G-1 All Habitats'!$X$3,H35-S35-T35,IF(AND(P35='G-1 All Habitats'!$X$3,Y35="Yes"),"Unacceptable Loss",IF(AND(P35='G-1 All Habitats'!$X$3,Y35="No"),AC35,IF(AND(P35='G-1 All Habitats'!$X$3,Y35=""),AC35,IF(AND(P35='G-1 All Habitats'!$X$3,AC35="None",AC35),IF(AND(P35='G-1 All Habitats'!$X$3,AC35&gt;0),H35-S35-T35))))))))</f>
        <v/>
      </c>
      <c r="X35" s="515" t="str">
        <f>IFERROR(IF(H35="","",IF(H35-S35-T35=0&lt;0,"Error in Areas ▲",IF(S35+T35&gt;H35,"Error in Areas ▲",IF(AND(P35='G-1 All Habitats'!$X$3,Y35="Yes"),"Alternative Compensation ✓",IF(W35=0,0,IF(P35='G-1 All Habitats'!$X$3,"Unacceptable Loss ▲",Q35-U35-V35)))))),"Check Data ▲")</f>
        <v/>
      </c>
      <c r="Y35" s="72"/>
      <c r="Z35" s="80"/>
      <c r="AA35" s="81"/>
      <c r="AC35" s="75" t="str">
        <f>IF(P35="","",IF(P35='G-1 All Habitats'!$X$3,H35-S35-T35,"None"))</f>
        <v/>
      </c>
      <c r="AD35" s="76" t="str">
        <f>IFERROR(AC35*J35*L35*#REF!*O35,IF(P35="","","None"))</f>
        <v/>
      </c>
      <c r="AF35" s="54" t="str">
        <f t="shared" si="0"/>
        <v/>
      </c>
      <c r="AG35" s="54" t="str">
        <f t="shared" si="1"/>
        <v/>
      </c>
      <c r="AH35" s="54" t="str">
        <f>IF(I35="","",IF(#REF!&gt;0,TRUE,FALSE))</f>
        <v/>
      </c>
      <c r="AI35" s="54">
        <v>25</v>
      </c>
      <c r="AJ35" s="54"/>
      <c r="AK35" s="54" t="str">
        <f t="array" ref="AK35">IFERROR(INDEX($AI$11:$AI$259, MATCH(0, IF(TRUE=$AF$11:$AF$259, COUNTIF($AK$10:$AK34, $AI$11:$AI$259), ""), 0)),"")</f>
        <v/>
      </c>
      <c r="AL35" s="54" t="str">
        <f t="array" ref="AL35">IFERROR(INDEX($AI$11:$AI$259, MATCH(0, IF(TRUE=$AG$11:$AG$259, COUNTIF($AL$10:$AL34, $AI$11:$AI$259), ""), 0)),"")</f>
        <v/>
      </c>
      <c r="AM35" s="54" t="str">
        <f t="array" ref="AM35">IFERROR(INDEX($AI$11:$AI$259, MATCH(0, IF(TRUE=$AH$11:$AH$259, COUNTIF($AM$10:$AM34, $AI$11:$AI$259), ""), 0)),"")</f>
        <v/>
      </c>
      <c r="AN35" s="54"/>
      <c r="AQ35" s="47">
        <f t="shared" si="2"/>
        <v>0</v>
      </c>
    </row>
    <row r="36" spans="1:43" x14ac:dyDescent="0.25">
      <c r="A36" s="47" t="str">
        <f>IFERROR(INDEX('G-1 All Habitats'!$AG$3:$AG$15,MATCH(E36,'G-1 All Habitats'!$AF$3:$AF$15,0)),"")</f>
        <v/>
      </c>
      <c r="B36" s="47" t="str">
        <f>IFERROR(INDEX('G-8 Condition Look up'!$I$4:$I$130,MATCH(G36,'G-8 Condition Look up'!$A$4:$A$130,0)),"")</f>
        <v/>
      </c>
      <c r="D36" s="77">
        <v>26</v>
      </c>
      <c r="E36" s="78"/>
      <c r="F36" s="79"/>
      <c r="G36" s="69" t="str">
        <f>IFERROR(INDEX('G-1 All Habitats'!$B$3:$B$129,MATCH(F36,'G-1 All Habitats'!$A$3:$A$129,0)),"")</f>
        <v/>
      </c>
      <c r="H36" s="70"/>
      <c r="I36" s="498" t="str">
        <f>IF(G36="","",VLOOKUP(G36,'G-1 All Habitats'!$B$2:$M$129,10,FALSE))</f>
        <v/>
      </c>
      <c r="J36" s="499" t="str">
        <f>IFERROR(VLOOKUP(I36,'G-1 All Habitats'!$V$3:$W$7,2,FALSE),"")</f>
        <v/>
      </c>
      <c r="K36" s="71"/>
      <c r="L36" s="499" t="str">
        <f>IFERROR(INDEX('G-8 Condition Look up'!$A$3:$H$130,MATCH(G36,'G-8 Condition Look up'!$A$3:$A$130,0),MATCH(K36,'G-8 Condition Look up'!$A$3:$H$3,0)),"")</f>
        <v/>
      </c>
      <c r="M36" s="71"/>
      <c r="N36" s="520" t="str">
        <f>IF(M36="","",IF(VLOOKUP(M36,'G-3 Multipliers'!$L$3:$N$6,2,FALSE)=0,"Spatial Data Missing",VLOOKUP(M36,'G-3 Multipliers'!$L$3:$N$6,2,FALSE)))</f>
        <v/>
      </c>
      <c r="O36" s="505" t="str">
        <f>IF(M36="","",IF(VLOOKUP(M36,'G-3 Multipliers'!$L$3:$N$6,3,FALSE)=0,"Spatial Data Missing ▲",VLOOKUP(M36,'G-3 Multipliers'!$L$3:$N$6,3,FALSE)))</f>
        <v/>
      </c>
      <c r="P36" s="506" t="str">
        <f>IFERROR(VLOOKUP(G36,'G-1 All Habitats'!$B$2:$M$129,12,FALSE),"")</f>
        <v/>
      </c>
      <c r="Q36" s="513" t="str">
        <f>IFERROR(IF(P36="","",IF(AND(P36='G-1 All Habitats'!$X$3,T36&gt;0),U36+V36,IF(AND(P36='G-1 All Habitats'!$X$3,S36&gt;0),U36+V36,IF(AND(P36='G-1 All Habitats'!$X$3,AC36&gt;0),"Any Loss Unacceptable ▲",IF(AND(P36='G-1 All Habitats'!$X$3,W36&gt;0),"Any Loss Unacceptable ▲",H36*J36*L36*O36))))),"Check Data ▲")</f>
        <v/>
      </c>
      <c r="R36" s="50"/>
      <c r="S36" s="71"/>
      <c r="T36" s="72"/>
      <c r="U36" s="511" t="str">
        <f t="shared" si="3"/>
        <v/>
      </c>
      <c r="V36" s="511" t="str">
        <f t="shared" si="4"/>
        <v/>
      </c>
      <c r="W36" s="511" t="str">
        <f>IF(E36="","",IF(H36&lt;S36+T36,"Error in Areas ▲",IF(P36&lt;&gt;'G-1 All Habitats'!$X$3,H36-S36-T36,IF(AND(P36='G-1 All Habitats'!$X$3,Y36="Yes"),"Unacceptable Loss",IF(AND(P36='G-1 All Habitats'!$X$3,Y36="No"),AC36,IF(AND(P36='G-1 All Habitats'!$X$3,Y36=""),AC36,IF(AND(P36='G-1 All Habitats'!$X$3,AC36="None",AC36),IF(AND(P36='G-1 All Habitats'!$X$3,AC36&gt;0),H36-S36-T36))))))))</f>
        <v/>
      </c>
      <c r="X36" s="515" t="str">
        <f>IFERROR(IF(H36="","",IF(H36-S36-T36=0&lt;0,"Error in Areas ▲",IF(S36+T36&gt;H36,"Error in Areas ▲",IF(AND(P36='G-1 All Habitats'!$X$3,Y36="Yes"),"Alternative Compensation ✓",IF(W36=0,0,IF(P36='G-1 All Habitats'!$X$3,"Unacceptable Loss ▲",Q36-U36-V36)))))),"Check Data ▲")</f>
        <v/>
      </c>
      <c r="Y36" s="72"/>
      <c r="Z36" s="80"/>
      <c r="AA36" s="81"/>
      <c r="AC36" s="75" t="str">
        <f>IF(P36="","",IF(P36='G-1 All Habitats'!$X$3,H36-S36-T36,"None"))</f>
        <v/>
      </c>
      <c r="AD36" s="76" t="str">
        <f>IFERROR(AC36*J36*L36*#REF!*O36,IF(P36="","","None"))</f>
        <v/>
      </c>
      <c r="AF36" s="54" t="str">
        <f t="shared" si="0"/>
        <v/>
      </c>
      <c r="AG36" s="54" t="str">
        <f t="shared" si="1"/>
        <v/>
      </c>
      <c r="AH36" s="54" t="str">
        <f>IF(I36="","",IF(#REF!&gt;0,TRUE,FALSE))</f>
        <v/>
      </c>
      <c r="AI36" s="54">
        <v>26</v>
      </c>
      <c r="AJ36" s="54"/>
      <c r="AK36" s="54" t="str">
        <f t="array" ref="AK36">IFERROR(INDEX($AI$11:$AI$259, MATCH(0, IF(TRUE=$AF$11:$AF$259, COUNTIF($AK$10:$AK35, $AI$11:$AI$259), ""), 0)),"")</f>
        <v/>
      </c>
      <c r="AL36" s="54" t="str">
        <f t="array" ref="AL36">IFERROR(INDEX($AI$11:$AI$259, MATCH(0, IF(TRUE=$AG$11:$AG$259, COUNTIF($AL$10:$AL35, $AI$11:$AI$259), ""), 0)),"")</f>
        <v/>
      </c>
      <c r="AM36" s="54" t="str">
        <f t="array" ref="AM36">IFERROR(INDEX($AI$11:$AI$259, MATCH(0, IF(TRUE=$AH$11:$AH$259, COUNTIF($AM$10:$AM35, $AI$11:$AI$259), ""), 0)),"")</f>
        <v/>
      </c>
      <c r="AN36" s="54"/>
      <c r="AQ36" s="47">
        <f t="shared" si="2"/>
        <v>0</v>
      </c>
    </row>
    <row r="37" spans="1:43" x14ac:dyDescent="0.25">
      <c r="A37" s="47" t="str">
        <f>IFERROR(INDEX('G-1 All Habitats'!$AG$3:$AG$15,MATCH(E37,'G-1 All Habitats'!$AF$3:$AF$15,0)),"")</f>
        <v/>
      </c>
      <c r="B37" s="47" t="str">
        <f>IFERROR(INDEX('G-8 Condition Look up'!$I$4:$I$130,MATCH(G37,'G-8 Condition Look up'!$A$4:$A$130,0)),"")</f>
        <v/>
      </c>
      <c r="D37" s="77">
        <v>27</v>
      </c>
      <c r="E37" s="78"/>
      <c r="F37" s="79"/>
      <c r="G37" s="69" t="str">
        <f>IFERROR(INDEX('G-1 All Habitats'!$B$3:$B$129,MATCH(F37,'G-1 All Habitats'!$A$3:$A$129,0)),"")</f>
        <v/>
      </c>
      <c r="H37" s="70"/>
      <c r="I37" s="498" t="str">
        <f>IF(G37="","",VLOOKUP(G37,'G-1 All Habitats'!$B$2:$M$129,10,FALSE))</f>
        <v/>
      </c>
      <c r="J37" s="499" t="str">
        <f>IFERROR(VLOOKUP(I37,'G-1 All Habitats'!$V$3:$W$7,2,FALSE),"")</f>
        <v/>
      </c>
      <c r="K37" s="71"/>
      <c r="L37" s="499" t="str">
        <f>IFERROR(INDEX('G-8 Condition Look up'!$A$3:$H$130,MATCH(G37,'G-8 Condition Look up'!$A$3:$A$130,0),MATCH(K37,'G-8 Condition Look up'!$A$3:$H$3,0)),"")</f>
        <v/>
      </c>
      <c r="M37" s="71"/>
      <c r="N37" s="520" t="str">
        <f>IF(M37="","",IF(VLOOKUP(M37,'G-3 Multipliers'!$L$3:$N$6,2,FALSE)=0,"Spatial Data Missing",VLOOKUP(M37,'G-3 Multipliers'!$L$3:$N$6,2,FALSE)))</f>
        <v/>
      </c>
      <c r="O37" s="505" t="str">
        <f>IF(M37="","",IF(VLOOKUP(M37,'G-3 Multipliers'!$L$3:$N$6,3,FALSE)=0,"Spatial Data Missing ▲",VLOOKUP(M37,'G-3 Multipliers'!$L$3:$N$6,3,FALSE)))</f>
        <v/>
      </c>
      <c r="P37" s="506" t="str">
        <f>IFERROR(VLOOKUP(G37,'G-1 All Habitats'!$B$2:$M$129,12,FALSE),"")</f>
        <v/>
      </c>
      <c r="Q37" s="513" t="str">
        <f>IFERROR(IF(P37="","",IF(AND(P37='G-1 All Habitats'!$X$3,T37&gt;0),U37+V37,IF(AND(P37='G-1 All Habitats'!$X$3,S37&gt;0),U37+V37,IF(AND(P37='G-1 All Habitats'!$X$3,AC37&gt;0),"Any Loss Unacceptable ▲",IF(AND(P37='G-1 All Habitats'!$X$3,W37&gt;0),"Any Loss Unacceptable ▲",H37*J37*L37*O37))))),"Check Data ▲")</f>
        <v/>
      </c>
      <c r="R37" s="50"/>
      <c r="S37" s="71"/>
      <c r="T37" s="72"/>
      <c r="U37" s="511" t="str">
        <f t="shared" si="3"/>
        <v/>
      </c>
      <c r="V37" s="511" t="str">
        <f t="shared" si="4"/>
        <v/>
      </c>
      <c r="W37" s="511" t="str">
        <f>IF(E37="","",IF(H37&lt;S37+T37,"Error in Areas ▲",IF(P37&lt;&gt;'G-1 All Habitats'!$X$3,H37-S37-T37,IF(AND(P37='G-1 All Habitats'!$X$3,Y37="Yes"),"Unacceptable Loss",IF(AND(P37='G-1 All Habitats'!$X$3,Y37="No"),AC37,IF(AND(P37='G-1 All Habitats'!$X$3,Y37=""),AC37,IF(AND(P37='G-1 All Habitats'!$X$3,AC37="None",AC37),IF(AND(P37='G-1 All Habitats'!$X$3,AC37&gt;0),H37-S37-T37))))))))</f>
        <v/>
      </c>
      <c r="X37" s="515" t="str">
        <f>IFERROR(IF(H37="","",IF(H37-S37-T37=0&lt;0,"Error in Areas ▲",IF(S37+T37&gt;H37,"Error in Areas ▲",IF(AND(P37='G-1 All Habitats'!$X$3,Y37="Yes"),"Alternative Compensation ✓",IF(W37=0,0,IF(P37='G-1 All Habitats'!$X$3,"Unacceptable Loss ▲",Q37-U37-V37)))))),"Check Data ▲")</f>
        <v/>
      </c>
      <c r="Y37" s="72"/>
      <c r="Z37" s="80"/>
      <c r="AA37" s="81"/>
      <c r="AC37" s="75" t="str">
        <f>IF(P37="","",IF(P37='G-1 All Habitats'!$X$3,H37-S37-T37,"None"))</f>
        <v/>
      </c>
      <c r="AD37" s="76" t="str">
        <f>IFERROR(AC37*J37*L37*#REF!*O37,IF(P37="","","None"))</f>
        <v/>
      </c>
      <c r="AF37" s="54" t="str">
        <f t="shared" si="0"/>
        <v/>
      </c>
      <c r="AG37" s="54" t="str">
        <f t="shared" si="1"/>
        <v/>
      </c>
      <c r="AH37" s="54" t="str">
        <f>IF(I37="","",IF(#REF!&gt;0,TRUE,FALSE))</f>
        <v/>
      </c>
      <c r="AI37" s="54">
        <v>27</v>
      </c>
      <c r="AJ37" s="54"/>
      <c r="AK37" s="54" t="str">
        <f t="array" ref="AK37">IFERROR(INDEX($AI$11:$AI$259, MATCH(0, IF(TRUE=$AF$11:$AF$259, COUNTIF($AK$10:$AK36, $AI$11:$AI$259), ""), 0)),"")</f>
        <v/>
      </c>
      <c r="AL37" s="54" t="str">
        <f t="array" ref="AL37">IFERROR(INDEX($AI$11:$AI$259, MATCH(0, IF(TRUE=$AG$11:$AG$259, COUNTIF($AL$10:$AL36, $AI$11:$AI$259), ""), 0)),"")</f>
        <v/>
      </c>
      <c r="AM37" s="54" t="str">
        <f t="array" ref="AM37">IFERROR(INDEX($AI$11:$AI$259, MATCH(0, IF(TRUE=$AH$11:$AH$259, COUNTIF($AM$10:$AM36, $AI$11:$AI$259), ""), 0)),"")</f>
        <v/>
      </c>
      <c r="AN37" s="54"/>
      <c r="AQ37" s="47">
        <f t="shared" si="2"/>
        <v>0</v>
      </c>
    </row>
    <row r="38" spans="1:43" x14ac:dyDescent="0.25">
      <c r="A38" s="47" t="str">
        <f>IFERROR(INDEX('G-1 All Habitats'!$AG$3:$AG$15,MATCH(E38,'G-1 All Habitats'!$AF$3:$AF$15,0)),"")</f>
        <v/>
      </c>
      <c r="B38" s="47" t="str">
        <f>IFERROR(INDEX('G-8 Condition Look up'!$I$4:$I$130,MATCH(G38,'G-8 Condition Look up'!$A$4:$A$130,0)),"")</f>
        <v/>
      </c>
      <c r="D38" s="77">
        <v>28</v>
      </c>
      <c r="E38" s="78"/>
      <c r="F38" s="79"/>
      <c r="G38" s="69" t="str">
        <f>IFERROR(INDEX('G-1 All Habitats'!$B$3:$B$129,MATCH(F38,'G-1 All Habitats'!$A$3:$A$129,0)),"")</f>
        <v/>
      </c>
      <c r="H38" s="70"/>
      <c r="I38" s="498" t="str">
        <f>IF(G38="","",VLOOKUP(G38,'G-1 All Habitats'!$B$2:$M$129,10,FALSE))</f>
        <v/>
      </c>
      <c r="J38" s="499" t="str">
        <f>IFERROR(VLOOKUP(I38,'G-1 All Habitats'!$V$3:$W$7,2,FALSE),"")</f>
        <v/>
      </c>
      <c r="K38" s="71"/>
      <c r="L38" s="499" t="str">
        <f>IFERROR(INDEX('G-8 Condition Look up'!$A$3:$H$130,MATCH(G38,'G-8 Condition Look up'!$A$3:$A$130,0),MATCH(K38,'G-8 Condition Look up'!$A$3:$H$3,0)),"")</f>
        <v/>
      </c>
      <c r="M38" s="71"/>
      <c r="N38" s="520" t="str">
        <f>IF(M38="","",IF(VLOOKUP(M38,'G-3 Multipliers'!$L$3:$N$6,2,FALSE)=0,"Spatial Data Missing",VLOOKUP(M38,'G-3 Multipliers'!$L$3:$N$6,2,FALSE)))</f>
        <v/>
      </c>
      <c r="O38" s="505" t="str">
        <f>IF(M38="","",IF(VLOOKUP(M38,'G-3 Multipliers'!$L$3:$N$6,3,FALSE)=0,"Spatial Data Missing ▲",VLOOKUP(M38,'G-3 Multipliers'!$L$3:$N$6,3,FALSE)))</f>
        <v/>
      </c>
      <c r="P38" s="506" t="str">
        <f>IFERROR(VLOOKUP(G38,'G-1 All Habitats'!$B$2:$M$129,12,FALSE),"")</f>
        <v/>
      </c>
      <c r="Q38" s="513" t="str">
        <f>IFERROR(IF(P38="","",IF(AND(P38='G-1 All Habitats'!$X$3,T38&gt;0),U38+V38,IF(AND(P38='G-1 All Habitats'!$X$3,S38&gt;0),U38+V38,IF(AND(P38='G-1 All Habitats'!$X$3,AC38&gt;0),"Any Loss Unacceptable ▲",IF(AND(P38='G-1 All Habitats'!$X$3,W38&gt;0),"Any Loss Unacceptable ▲",H38*J38*L38*O38))))),"Check Data ▲")</f>
        <v/>
      </c>
      <c r="R38" s="50"/>
      <c r="S38" s="71"/>
      <c r="T38" s="72"/>
      <c r="U38" s="511" t="str">
        <f t="shared" si="3"/>
        <v/>
      </c>
      <c r="V38" s="511" t="str">
        <f t="shared" si="4"/>
        <v/>
      </c>
      <c r="W38" s="511" t="str">
        <f>IF(E38="","",IF(H38&lt;S38+T38,"Error in Areas ▲",IF(P38&lt;&gt;'G-1 All Habitats'!$X$3,H38-S38-T38,IF(AND(P38='G-1 All Habitats'!$X$3,Y38="Yes"),"Unacceptable Loss",IF(AND(P38='G-1 All Habitats'!$X$3,Y38="No"),AC38,IF(AND(P38='G-1 All Habitats'!$X$3,Y38=""),AC38,IF(AND(P38='G-1 All Habitats'!$X$3,AC38="None",AC38),IF(AND(P38='G-1 All Habitats'!$X$3,AC38&gt;0),H38-S38-T38))))))))</f>
        <v/>
      </c>
      <c r="X38" s="515" t="str">
        <f>IFERROR(IF(H38="","",IF(H38-S38-T38=0&lt;0,"Error in Areas ▲",IF(S38+T38&gt;H38,"Error in Areas ▲",IF(AND(P38='G-1 All Habitats'!$X$3,Y38="Yes"),"Alternative Compensation ✓",IF(W38=0,0,IF(P38='G-1 All Habitats'!$X$3,"Unacceptable Loss ▲",Q38-U38-V38)))))),"Check Data ▲")</f>
        <v/>
      </c>
      <c r="Y38" s="72"/>
      <c r="Z38" s="80"/>
      <c r="AA38" s="81"/>
      <c r="AC38" s="75" t="str">
        <f>IF(P38="","",IF(P38='G-1 All Habitats'!$X$3,H38-S38-T38,"None"))</f>
        <v/>
      </c>
      <c r="AD38" s="76" t="str">
        <f>IFERROR(AC38*J38*L38*#REF!*O38,IF(P38="","","None"))</f>
        <v/>
      </c>
      <c r="AF38" s="54" t="str">
        <f t="shared" si="0"/>
        <v/>
      </c>
      <c r="AG38" s="54" t="str">
        <f t="shared" si="1"/>
        <v/>
      </c>
      <c r="AH38" s="54" t="str">
        <f>IF(I38="","",IF(#REF!&gt;0,TRUE,FALSE))</f>
        <v/>
      </c>
      <c r="AI38" s="54">
        <v>28</v>
      </c>
      <c r="AJ38" s="54"/>
      <c r="AK38" s="54" t="str">
        <f t="array" ref="AK38">IFERROR(INDEX($AI$11:$AI$259, MATCH(0, IF(TRUE=$AF$11:$AF$259, COUNTIF($AK$10:$AK37, $AI$11:$AI$259), ""), 0)),"")</f>
        <v/>
      </c>
      <c r="AL38" s="54" t="str">
        <f t="array" ref="AL38">IFERROR(INDEX($AI$11:$AI$259, MATCH(0, IF(TRUE=$AG$11:$AG$259, COUNTIF($AL$10:$AL37, $AI$11:$AI$259), ""), 0)),"")</f>
        <v/>
      </c>
      <c r="AM38" s="54" t="str">
        <f t="array" ref="AM38">IFERROR(INDEX($AI$11:$AI$259, MATCH(0, IF(TRUE=$AH$11:$AH$259, COUNTIF($AM$10:$AM37, $AI$11:$AI$259), ""), 0)),"")</f>
        <v/>
      </c>
      <c r="AN38" s="54"/>
      <c r="AQ38" s="47">
        <f t="shared" si="2"/>
        <v>0</v>
      </c>
    </row>
    <row r="39" spans="1:43" x14ac:dyDescent="0.25">
      <c r="A39" s="47" t="str">
        <f>IFERROR(INDEX('G-1 All Habitats'!$AG$3:$AG$15,MATCH(E39,'G-1 All Habitats'!$AF$3:$AF$15,0)),"")</f>
        <v/>
      </c>
      <c r="B39" s="47" t="str">
        <f>IFERROR(INDEX('G-8 Condition Look up'!$I$4:$I$130,MATCH(G39,'G-8 Condition Look up'!$A$4:$A$130,0)),"")</f>
        <v/>
      </c>
      <c r="D39" s="77">
        <v>29</v>
      </c>
      <c r="E39" s="78"/>
      <c r="F39" s="79"/>
      <c r="G39" s="69" t="str">
        <f>IFERROR(INDEX('G-1 All Habitats'!$B$3:$B$129,MATCH(F39,'G-1 All Habitats'!$A$3:$A$129,0)),"")</f>
        <v/>
      </c>
      <c r="H39" s="70"/>
      <c r="I39" s="498" t="str">
        <f>IF(G39="","",VLOOKUP(G39,'G-1 All Habitats'!$B$2:$M$129,10,FALSE))</f>
        <v/>
      </c>
      <c r="J39" s="499" t="str">
        <f>IFERROR(VLOOKUP(I39,'G-1 All Habitats'!$V$3:$W$7,2,FALSE),"")</f>
        <v/>
      </c>
      <c r="K39" s="71"/>
      <c r="L39" s="499" t="str">
        <f>IFERROR(INDEX('G-8 Condition Look up'!$A$3:$H$130,MATCH(G39,'G-8 Condition Look up'!$A$3:$A$130,0),MATCH(K39,'G-8 Condition Look up'!$A$3:$H$3,0)),"")</f>
        <v/>
      </c>
      <c r="M39" s="71"/>
      <c r="N39" s="520" t="str">
        <f>IF(M39="","",IF(VLOOKUP(M39,'G-3 Multipliers'!$L$3:$N$6,2,FALSE)=0,"Spatial Data Missing",VLOOKUP(M39,'G-3 Multipliers'!$L$3:$N$6,2,FALSE)))</f>
        <v/>
      </c>
      <c r="O39" s="505" t="str">
        <f>IF(M39="","",IF(VLOOKUP(M39,'G-3 Multipliers'!$L$3:$N$6,3,FALSE)=0,"Spatial Data Missing ▲",VLOOKUP(M39,'G-3 Multipliers'!$L$3:$N$6,3,FALSE)))</f>
        <v/>
      </c>
      <c r="P39" s="506" t="str">
        <f>IFERROR(VLOOKUP(G39,'G-1 All Habitats'!$B$2:$M$129,12,FALSE),"")</f>
        <v/>
      </c>
      <c r="Q39" s="513" t="str">
        <f>IFERROR(IF(P39="","",IF(AND(P39='G-1 All Habitats'!$X$3,T39&gt;0),U39+V39,IF(AND(P39='G-1 All Habitats'!$X$3,S39&gt;0),U39+V39,IF(AND(P39='G-1 All Habitats'!$X$3,AC39&gt;0),"Any Loss Unacceptable ▲",IF(AND(P39='G-1 All Habitats'!$X$3,W39&gt;0),"Any Loss Unacceptable ▲",H39*J39*L39*O39))))),"Check Data ▲")</f>
        <v/>
      </c>
      <c r="R39" s="50"/>
      <c r="S39" s="71"/>
      <c r="T39" s="72"/>
      <c r="U39" s="511" t="str">
        <f t="shared" si="3"/>
        <v/>
      </c>
      <c r="V39" s="511" t="str">
        <f t="shared" si="4"/>
        <v/>
      </c>
      <c r="W39" s="511" t="str">
        <f>IF(E39="","",IF(H39&lt;S39+T39,"Error in Areas ▲",IF(P39&lt;&gt;'G-1 All Habitats'!$X$3,H39-S39-T39,IF(AND(P39='G-1 All Habitats'!$X$3,Y39="Yes"),"Unacceptable Loss",IF(AND(P39='G-1 All Habitats'!$X$3,Y39="No"),AC39,IF(AND(P39='G-1 All Habitats'!$X$3,Y39=""),AC39,IF(AND(P39='G-1 All Habitats'!$X$3,AC39="None",AC39),IF(AND(P39='G-1 All Habitats'!$X$3,AC39&gt;0),H39-S39-T39))))))))</f>
        <v/>
      </c>
      <c r="X39" s="515" t="str">
        <f>IFERROR(IF(H39="","",IF(H39-S39-T39=0&lt;0,"Error in Areas ▲",IF(S39+T39&gt;H39,"Error in Areas ▲",IF(AND(P39='G-1 All Habitats'!$X$3,Y39="Yes"),"Alternative Compensation ✓",IF(W39=0,0,IF(P39='G-1 All Habitats'!$X$3,"Unacceptable Loss ▲",Q39-U39-V39)))))),"Check Data ▲")</f>
        <v/>
      </c>
      <c r="Y39" s="72"/>
      <c r="Z39" s="80"/>
      <c r="AA39" s="81"/>
      <c r="AC39" s="75" t="str">
        <f>IF(P39="","",IF(P39='G-1 All Habitats'!$X$3,H39-S39-T39,"None"))</f>
        <v/>
      </c>
      <c r="AD39" s="76" t="str">
        <f>IFERROR(AC39*J39*L39*#REF!*O39,IF(P39="","","None"))</f>
        <v/>
      </c>
      <c r="AF39" s="54" t="str">
        <f t="shared" si="0"/>
        <v/>
      </c>
      <c r="AG39" s="54" t="str">
        <f t="shared" si="1"/>
        <v/>
      </c>
      <c r="AH39" s="54" t="str">
        <f>IF(I39="","",IF(#REF!&gt;0,TRUE,FALSE))</f>
        <v/>
      </c>
      <c r="AI39" s="54">
        <v>29</v>
      </c>
      <c r="AJ39" s="54"/>
      <c r="AK39" s="54" t="str">
        <f t="array" ref="AK39">IFERROR(INDEX($AI$11:$AI$259, MATCH(0, IF(TRUE=$AF$11:$AF$259, COUNTIF($AK$10:$AK38, $AI$11:$AI$259), ""), 0)),"")</f>
        <v/>
      </c>
      <c r="AL39" s="54" t="str">
        <f t="array" ref="AL39">IFERROR(INDEX($AI$11:$AI$259, MATCH(0, IF(TRUE=$AG$11:$AG$259, COUNTIF($AL$10:$AL38, $AI$11:$AI$259), ""), 0)),"")</f>
        <v/>
      </c>
      <c r="AM39" s="54" t="str">
        <f t="array" ref="AM39">IFERROR(INDEX($AI$11:$AI$259, MATCH(0, IF(TRUE=$AH$11:$AH$259, COUNTIF($AM$10:$AM38, $AI$11:$AI$259), ""), 0)),"")</f>
        <v/>
      </c>
      <c r="AN39" s="54"/>
      <c r="AQ39" s="47">
        <f t="shared" si="2"/>
        <v>0</v>
      </c>
    </row>
    <row r="40" spans="1:43" x14ac:dyDescent="0.25">
      <c r="A40" s="47" t="str">
        <f>IFERROR(INDEX('G-1 All Habitats'!$AG$3:$AG$15,MATCH(E40,'G-1 All Habitats'!$AF$3:$AF$15,0)),"")</f>
        <v/>
      </c>
      <c r="B40" s="47" t="str">
        <f>IFERROR(INDEX('G-8 Condition Look up'!$I$4:$I$130,MATCH(G40,'G-8 Condition Look up'!$A$4:$A$130,0)),"")</f>
        <v/>
      </c>
      <c r="D40" s="77">
        <v>30</v>
      </c>
      <c r="E40" s="78"/>
      <c r="F40" s="79"/>
      <c r="G40" s="69" t="str">
        <f>IFERROR(INDEX('G-1 All Habitats'!$B$3:$B$129,MATCH(F40,'G-1 All Habitats'!$A$3:$A$129,0)),"")</f>
        <v/>
      </c>
      <c r="H40" s="70"/>
      <c r="I40" s="498" t="str">
        <f>IF(G40="","",VLOOKUP(G40,'G-1 All Habitats'!$B$2:$M$129,10,FALSE))</f>
        <v/>
      </c>
      <c r="J40" s="499" t="str">
        <f>IFERROR(VLOOKUP(I40,'G-1 All Habitats'!$V$3:$W$7,2,FALSE),"")</f>
        <v/>
      </c>
      <c r="K40" s="71"/>
      <c r="L40" s="499" t="str">
        <f>IFERROR(INDEX('G-8 Condition Look up'!$A$3:$H$130,MATCH(G40,'G-8 Condition Look up'!$A$3:$A$130,0),MATCH(K40,'G-8 Condition Look up'!$A$3:$H$3,0)),"")</f>
        <v/>
      </c>
      <c r="M40" s="71"/>
      <c r="N40" s="520" t="str">
        <f>IF(M40="","",IF(VLOOKUP(M40,'G-3 Multipliers'!$L$3:$N$6,2,FALSE)=0,"Spatial Data Missing",VLOOKUP(M40,'G-3 Multipliers'!$L$3:$N$6,2,FALSE)))</f>
        <v/>
      </c>
      <c r="O40" s="505" t="str">
        <f>IF(M40="","",IF(VLOOKUP(M40,'G-3 Multipliers'!$L$3:$N$6,3,FALSE)=0,"Spatial Data Missing ▲",VLOOKUP(M40,'G-3 Multipliers'!$L$3:$N$6,3,FALSE)))</f>
        <v/>
      </c>
      <c r="P40" s="506" t="str">
        <f>IFERROR(VLOOKUP(G40,'G-1 All Habitats'!$B$2:$M$129,12,FALSE),"")</f>
        <v/>
      </c>
      <c r="Q40" s="513" t="str">
        <f>IFERROR(IF(P40="","",IF(AND(P40='G-1 All Habitats'!$X$3,T40&gt;0),U40+V40,IF(AND(P40='G-1 All Habitats'!$X$3,S40&gt;0),U40+V40,IF(AND(P40='G-1 All Habitats'!$X$3,AC40&gt;0),"Any Loss Unacceptable ▲",IF(AND(P40='G-1 All Habitats'!$X$3,W40&gt;0),"Any Loss Unacceptable ▲",H40*J40*L40*O40))))),"Check Data ▲")</f>
        <v/>
      </c>
      <c r="R40" s="50"/>
      <c r="S40" s="71"/>
      <c r="T40" s="72"/>
      <c r="U40" s="511" t="str">
        <f t="shared" si="3"/>
        <v/>
      </c>
      <c r="V40" s="511" t="str">
        <f t="shared" si="4"/>
        <v/>
      </c>
      <c r="W40" s="511" t="str">
        <f>IF(E40="","",IF(H40&lt;S40+T40,"Error in Areas ▲",IF(P40&lt;&gt;'G-1 All Habitats'!$X$3,H40-S40-T40,IF(AND(P40='G-1 All Habitats'!$X$3,Y40="Yes"),"Unacceptable Loss",IF(AND(P40='G-1 All Habitats'!$X$3,Y40="No"),AC40,IF(AND(P40='G-1 All Habitats'!$X$3,Y40=""),AC40,IF(AND(P40='G-1 All Habitats'!$X$3,AC40="None",AC40),IF(AND(P40='G-1 All Habitats'!$X$3,AC40&gt;0),H40-S40-T40))))))))</f>
        <v/>
      </c>
      <c r="X40" s="515" t="str">
        <f>IFERROR(IF(H40="","",IF(H40-S40-T40=0&lt;0,"Error in Areas ▲",IF(S40+T40&gt;H40,"Error in Areas ▲",IF(AND(P40='G-1 All Habitats'!$X$3,Y40="Yes"),"Alternative Compensation ✓",IF(W40=0,0,IF(P40='G-1 All Habitats'!$X$3,"Unacceptable Loss ▲",Q40-U40-V40)))))),"Check Data ▲")</f>
        <v/>
      </c>
      <c r="Y40" s="72"/>
      <c r="Z40" s="80"/>
      <c r="AA40" s="81"/>
      <c r="AC40" s="75" t="str">
        <f>IF(P40="","",IF(P40='G-1 All Habitats'!$X$3,H40-S40-T40,"None"))</f>
        <v/>
      </c>
      <c r="AD40" s="76" t="str">
        <f>IFERROR(AC40*J40*L40*#REF!*O40,IF(P40="","","None"))</f>
        <v/>
      </c>
      <c r="AF40" s="54" t="str">
        <f t="shared" si="0"/>
        <v/>
      </c>
      <c r="AG40" s="54" t="str">
        <f t="shared" si="1"/>
        <v/>
      </c>
      <c r="AH40" s="54" t="str">
        <f>IF(I40="","",IF(#REF!&gt;0,TRUE,FALSE))</f>
        <v/>
      </c>
      <c r="AI40" s="54">
        <v>30</v>
      </c>
      <c r="AJ40" s="54"/>
      <c r="AK40" s="54" t="str">
        <f t="array" ref="AK40">IFERROR(INDEX($AI$11:$AI$259, MATCH(0, IF(TRUE=$AF$11:$AF$259, COUNTIF($AK$10:$AK39, $AI$11:$AI$259), ""), 0)),"")</f>
        <v/>
      </c>
      <c r="AL40" s="54" t="str">
        <f t="array" ref="AL40">IFERROR(INDEX($AI$11:$AI$259, MATCH(0, IF(TRUE=$AG$11:$AG$259, COUNTIF($AL$10:$AL39, $AI$11:$AI$259), ""), 0)),"")</f>
        <v/>
      </c>
      <c r="AM40" s="54" t="str">
        <f t="array" ref="AM40">IFERROR(INDEX($AI$11:$AI$259, MATCH(0, IF(TRUE=$AH$11:$AH$259, COUNTIF($AM$10:$AM39, $AI$11:$AI$259), ""), 0)),"")</f>
        <v/>
      </c>
      <c r="AN40" s="54"/>
      <c r="AQ40" s="47">
        <f t="shared" si="2"/>
        <v>0</v>
      </c>
    </row>
    <row r="41" spans="1:43" x14ac:dyDescent="0.25">
      <c r="A41" s="47" t="str">
        <f>IFERROR(INDEX('G-1 All Habitats'!$AG$3:$AG$15,MATCH(E41,'G-1 All Habitats'!$AF$3:$AF$15,0)),"")</f>
        <v/>
      </c>
      <c r="B41" s="47" t="str">
        <f>IFERROR(INDEX('G-8 Condition Look up'!$I$4:$I$130,MATCH(G41,'G-8 Condition Look up'!$A$4:$A$130,0)),"")</f>
        <v/>
      </c>
      <c r="D41" s="77">
        <v>31</v>
      </c>
      <c r="E41" s="78"/>
      <c r="F41" s="79"/>
      <c r="G41" s="69" t="str">
        <f>IFERROR(INDEX('G-1 All Habitats'!$B$3:$B$129,MATCH(F41,'G-1 All Habitats'!$A$3:$A$129,0)),"")</f>
        <v/>
      </c>
      <c r="H41" s="70"/>
      <c r="I41" s="498" t="str">
        <f>IF(G41="","",VLOOKUP(G41,'G-1 All Habitats'!$B$2:$M$129,10,FALSE))</f>
        <v/>
      </c>
      <c r="J41" s="499" t="str">
        <f>IFERROR(VLOOKUP(I41,'G-1 All Habitats'!$V$3:$W$7,2,FALSE),"")</f>
        <v/>
      </c>
      <c r="K41" s="71"/>
      <c r="L41" s="499" t="str">
        <f>IFERROR(INDEX('G-8 Condition Look up'!$A$3:$H$130,MATCH(G41,'G-8 Condition Look up'!$A$3:$A$130,0),MATCH(K41,'G-8 Condition Look up'!$A$3:$H$3,0)),"")</f>
        <v/>
      </c>
      <c r="M41" s="71"/>
      <c r="N41" s="520" t="str">
        <f>IF(M41="","",IF(VLOOKUP(M41,'G-3 Multipliers'!$L$3:$N$6,2,FALSE)=0,"Spatial Data Missing",VLOOKUP(M41,'G-3 Multipliers'!$L$3:$N$6,2,FALSE)))</f>
        <v/>
      </c>
      <c r="O41" s="505" t="str">
        <f>IF(M41="","",IF(VLOOKUP(M41,'G-3 Multipliers'!$L$3:$N$6,3,FALSE)=0,"Spatial Data Missing ▲",VLOOKUP(M41,'G-3 Multipliers'!$L$3:$N$6,3,FALSE)))</f>
        <v/>
      </c>
      <c r="P41" s="506" t="str">
        <f>IFERROR(VLOOKUP(G41,'G-1 All Habitats'!$B$2:$M$129,12,FALSE),"")</f>
        <v/>
      </c>
      <c r="Q41" s="513" t="str">
        <f>IFERROR(IF(P41="","",IF(AND(P41='G-1 All Habitats'!$X$3,T41&gt;0),U41+V41,IF(AND(P41='G-1 All Habitats'!$X$3,S41&gt;0),U41+V41,IF(AND(P41='G-1 All Habitats'!$X$3,AC41&gt;0),"Any Loss Unacceptable ▲",IF(AND(P41='G-1 All Habitats'!$X$3,W41&gt;0),"Any Loss Unacceptable ▲",H41*J41*L41*O41))))),"Check Data ▲")</f>
        <v/>
      </c>
      <c r="R41" s="50"/>
      <c r="S41" s="71"/>
      <c r="T41" s="72"/>
      <c r="U41" s="511" t="str">
        <f t="shared" si="3"/>
        <v/>
      </c>
      <c r="V41" s="511" t="str">
        <f t="shared" si="4"/>
        <v/>
      </c>
      <c r="W41" s="511" t="str">
        <f>IF(E41="","",IF(H41&lt;S41+T41,"Error in Areas ▲",IF(P41&lt;&gt;'G-1 All Habitats'!$X$3,H41-S41-T41,IF(AND(P41='G-1 All Habitats'!$X$3,Y41="Yes"),"Unacceptable Loss",IF(AND(P41='G-1 All Habitats'!$X$3,Y41="No"),AC41,IF(AND(P41='G-1 All Habitats'!$X$3,Y41=""),AC41,IF(AND(P41='G-1 All Habitats'!$X$3,AC41="None",AC41),IF(AND(P41='G-1 All Habitats'!$X$3,AC41&gt;0),H41-S41-T41))))))))</f>
        <v/>
      </c>
      <c r="X41" s="515" t="str">
        <f>IFERROR(IF(H41="","",IF(H41-S41-T41=0&lt;0,"Error in Areas ▲",IF(S41+T41&gt;H41,"Error in Areas ▲",IF(AND(P41='G-1 All Habitats'!$X$3,Y41="Yes"),"Alternative Compensation ✓",IF(W41=0,0,IF(P41='G-1 All Habitats'!$X$3,"Unacceptable Loss ▲",Q41-U41-V41)))))),"Check Data ▲")</f>
        <v/>
      </c>
      <c r="Y41" s="72"/>
      <c r="Z41" s="80"/>
      <c r="AA41" s="81"/>
      <c r="AC41" s="75" t="str">
        <f>IF(P41="","",IF(P41='G-1 All Habitats'!$X$3,H41-S41-T41,"None"))</f>
        <v/>
      </c>
      <c r="AD41" s="76" t="str">
        <f>IFERROR(AC41*J41*L41*#REF!*O41,IF(P41="","","None"))</f>
        <v/>
      </c>
      <c r="AF41" s="54" t="str">
        <f t="shared" si="0"/>
        <v/>
      </c>
      <c r="AG41" s="54" t="str">
        <f t="shared" si="1"/>
        <v/>
      </c>
      <c r="AH41" s="54" t="str">
        <f>IF(I41="","",IF(#REF!&gt;0,TRUE,FALSE))</f>
        <v/>
      </c>
      <c r="AI41" s="54">
        <v>31</v>
      </c>
      <c r="AJ41" s="54"/>
      <c r="AK41" s="54" t="str">
        <f t="array" ref="AK41">IFERROR(INDEX($AI$11:$AI$259, MATCH(0, IF(TRUE=$AF$11:$AF$259, COUNTIF($AK$10:$AK40, $AI$11:$AI$259), ""), 0)),"")</f>
        <v/>
      </c>
      <c r="AL41" s="54" t="str">
        <f t="array" ref="AL41">IFERROR(INDEX($AI$11:$AI$259, MATCH(0, IF(TRUE=$AG$11:$AG$259, COUNTIF($AL$10:$AL40, $AI$11:$AI$259), ""), 0)),"")</f>
        <v/>
      </c>
      <c r="AM41" s="54" t="str">
        <f t="array" ref="AM41">IFERROR(INDEX($AI$11:$AI$259, MATCH(0, IF(TRUE=$AH$11:$AH$259, COUNTIF($AM$10:$AM40, $AI$11:$AI$259), ""), 0)),"")</f>
        <v/>
      </c>
      <c r="AN41" s="54"/>
      <c r="AQ41" s="47">
        <f t="shared" si="2"/>
        <v>0</v>
      </c>
    </row>
    <row r="42" spans="1:43" x14ac:dyDescent="0.25">
      <c r="A42" s="47" t="str">
        <f>IFERROR(INDEX('G-1 All Habitats'!$AG$3:$AG$15,MATCH(E42,'G-1 All Habitats'!$AF$3:$AF$15,0)),"")</f>
        <v/>
      </c>
      <c r="B42" s="47" t="str">
        <f>IFERROR(INDEX('G-8 Condition Look up'!$I$4:$I$130,MATCH(G42,'G-8 Condition Look up'!$A$4:$A$130,0)),"")</f>
        <v/>
      </c>
      <c r="D42" s="77">
        <v>32</v>
      </c>
      <c r="E42" s="78"/>
      <c r="F42" s="79"/>
      <c r="G42" s="69" t="str">
        <f>IFERROR(INDEX('G-1 All Habitats'!$B$3:$B$129,MATCH(F42,'G-1 All Habitats'!$A$3:$A$129,0)),"")</f>
        <v/>
      </c>
      <c r="H42" s="70"/>
      <c r="I42" s="498" t="str">
        <f>IF(G42="","",VLOOKUP(G42,'G-1 All Habitats'!$B$2:$M$129,10,FALSE))</f>
        <v/>
      </c>
      <c r="J42" s="499" t="str">
        <f>IFERROR(VLOOKUP(I42,'G-1 All Habitats'!$V$3:$W$7,2,FALSE),"")</f>
        <v/>
      </c>
      <c r="K42" s="71"/>
      <c r="L42" s="499" t="str">
        <f>IFERROR(INDEX('G-8 Condition Look up'!$A$3:$H$130,MATCH(G42,'G-8 Condition Look up'!$A$3:$A$130,0),MATCH(K42,'G-8 Condition Look up'!$A$3:$H$3,0)),"")</f>
        <v/>
      </c>
      <c r="M42" s="71"/>
      <c r="N42" s="520" t="str">
        <f>IF(M42="","",IF(VLOOKUP(M42,'G-3 Multipliers'!$L$3:$N$6,2,FALSE)=0,"Spatial Data Missing",VLOOKUP(M42,'G-3 Multipliers'!$L$3:$N$6,2,FALSE)))</f>
        <v/>
      </c>
      <c r="O42" s="505" t="str">
        <f>IF(M42="","",IF(VLOOKUP(M42,'G-3 Multipliers'!$L$3:$N$6,3,FALSE)=0,"Spatial Data Missing ▲",VLOOKUP(M42,'G-3 Multipliers'!$L$3:$N$6,3,FALSE)))</f>
        <v/>
      </c>
      <c r="P42" s="506" t="str">
        <f>IFERROR(VLOOKUP(G42,'G-1 All Habitats'!$B$2:$M$129,12,FALSE),"")</f>
        <v/>
      </c>
      <c r="Q42" s="513" t="str">
        <f>IFERROR(IF(P42="","",IF(AND(P42='G-1 All Habitats'!$X$3,T42&gt;0),U42+V42,IF(AND(P42='G-1 All Habitats'!$X$3,S42&gt;0),U42+V42,IF(AND(P42='G-1 All Habitats'!$X$3,AC42&gt;0),"Any Loss Unacceptable ▲",IF(AND(P42='G-1 All Habitats'!$X$3,W42&gt;0),"Any Loss Unacceptable ▲",H42*J42*L42*O42))))),"Check Data ▲")</f>
        <v/>
      </c>
      <c r="R42" s="50"/>
      <c r="S42" s="71"/>
      <c r="T42" s="72"/>
      <c r="U42" s="511" t="str">
        <f t="shared" si="3"/>
        <v/>
      </c>
      <c r="V42" s="511" t="str">
        <f t="shared" si="4"/>
        <v/>
      </c>
      <c r="W42" s="511" t="str">
        <f>IF(E42="","",IF(H42&lt;S42+T42,"Error in Areas ▲",IF(P42&lt;&gt;'G-1 All Habitats'!$X$3,H42-S42-T42,IF(AND(P42='G-1 All Habitats'!$X$3,Y42="Yes"),"Unacceptable Loss",IF(AND(P42='G-1 All Habitats'!$X$3,Y42="No"),AC42,IF(AND(P42='G-1 All Habitats'!$X$3,Y42=""),AC42,IF(AND(P42='G-1 All Habitats'!$X$3,AC42="None",AC42),IF(AND(P42='G-1 All Habitats'!$X$3,AC42&gt;0),H42-S42-T42))))))))</f>
        <v/>
      </c>
      <c r="X42" s="515" t="str">
        <f>IFERROR(IF(H42="","",IF(H42-S42-T42=0&lt;0,"Error in Areas ▲",IF(S42+T42&gt;H42,"Error in Areas ▲",IF(AND(P42='G-1 All Habitats'!$X$3,Y42="Yes"),"Alternative Compensation ✓",IF(W42=0,0,IF(P42='G-1 All Habitats'!$X$3,"Unacceptable Loss ▲",Q42-U42-V42)))))),"Check Data ▲")</f>
        <v/>
      </c>
      <c r="Y42" s="72"/>
      <c r="Z42" s="80"/>
      <c r="AA42" s="81"/>
      <c r="AC42" s="75" t="str">
        <f>IF(P42="","",IF(P42='G-1 All Habitats'!$X$3,H42-S42-T42,"None"))</f>
        <v/>
      </c>
      <c r="AD42" s="76" t="str">
        <f>IFERROR(AC42*J42*L42*#REF!*O42,IF(P42="","","None"))</f>
        <v/>
      </c>
      <c r="AF42" s="54" t="str">
        <f t="shared" si="0"/>
        <v/>
      </c>
      <c r="AG42" s="54" t="str">
        <f t="shared" si="1"/>
        <v/>
      </c>
      <c r="AH42" s="54" t="str">
        <f>IF(I42="","",IF(#REF!&gt;0,TRUE,FALSE))</f>
        <v/>
      </c>
      <c r="AI42" s="54">
        <v>32</v>
      </c>
      <c r="AJ42" s="54"/>
      <c r="AK42" s="54" t="str">
        <f t="array" ref="AK42">IFERROR(INDEX($AI$11:$AI$259, MATCH(0, IF(TRUE=$AF$11:$AF$259, COUNTIF($AK$10:$AK41, $AI$11:$AI$259), ""), 0)),"")</f>
        <v/>
      </c>
      <c r="AL42" s="54" t="str">
        <f t="array" ref="AL42">IFERROR(INDEX($AI$11:$AI$259, MATCH(0, IF(TRUE=$AG$11:$AG$259, COUNTIF($AL$10:$AL41, $AI$11:$AI$259), ""), 0)),"")</f>
        <v/>
      </c>
      <c r="AM42" s="54" t="str">
        <f t="array" ref="AM42">IFERROR(INDEX($AI$11:$AI$259, MATCH(0, IF(TRUE=$AH$11:$AH$259, COUNTIF($AM$10:$AM41, $AI$11:$AI$259), ""), 0)),"")</f>
        <v/>
      </c>
      <c r="AN42" s="54"/>
      <c r="AQ42" s="47">
        <f t="shared" si="2"/>
        <v>0</v>
      </c>
    </row>
    <row r="43" spans="1:43" x14ac:dyDescent="0.25">
      <c r="A43" s="47" t="str">
        <f>IFERROR(INDEX('G-1 All Habitats'!$AG$3:$AG$15,MATCH(E43,'G-1 All Habitats'!$AF$3:$AF$15,0)),"")</f>
        <v/>
      </c>
      <c r="B43" s="47" t="str">
        <f>IFERROR(INDEX('G-8 Condition Look up'!$I$4:$I$130,MATCH(G43,'G-8 Condition Look up'!$A$4:$A$130,0)),"")</f>
        <v/>
      </c>
      <c r="D43" s="77">
        <v>33</v>
      </c>
      <c r="E43" s="78"/>
      <c r="F43" s="79"/>
      <c r="G43" s="69" t="str">
        <f>IFERROR(INDEX('G-1 All Habitats'!$B$3:$B$129,MATCH(F43,'G-1 All Habitats'!$A$3:$A$129,0)),"")</f>
        <v/>
      </c>
      <c r="H43" s="70"/>
      <c r="I43" s="498" t="str">
        <f>IF(G43="","",VLOOKUP(G43,'G-1 All Habitats'!$B$2:$M$129,10,FALSE))</f>
        <v/>
      </c>
      <c r="J43" s="499" t="str">
        <f>IFERROR(VLOOKUP(I43,'G-1 All Habitats'!$V$3:$W$7,2,FALSE),"")</f>
        <v/>
      </c>
      <c r="K43" s="71"/>
      <c r="L43" s="499" t="str">
        <f>IFERROR(INDEX('G-8 Condition Look up'!$A$3:$H$130,MATCH(G43,'G-8 Condition Look up'!$A$3:$A$130,0),MATCH(K43,'G-8 Condition Look up'!$A$3:$H$3,0)),"")</f>
        <v/>
      </c>
      <c r="M43" s="71"/>
      <c r="N43" s="520" t="str">
        <f>IF(M43="","",IF(VLOOKUP(M43,'G-3 Multipliers'!$L$3:$N$6,2,FALSE)=0,"Spatial Data Missing",VLOOKUP(M43,'G-3 Multipliers'!$L$3:$N$6,2,FALSE)))</f>
        <v/>
      </c>
      <c r="O43" s="505" t="str">
        <f>IF(M43="","",IF(VLOOKUP(M43,'G-3 Multipliers'!$L$3:$N$6,3,FALSE)=0,"Spatial Data Missing ▲",VLOOKUP(M43,'G-3 Multipliers'!$L$3:$N$6,3,FALSE)))</f>
        <v/>
      </c>
      <c r="P43" s="506" t="str">
        <f>IFERROR(VLOOKUP(G43,'G-1 All Habitats'!$B$2:$M$129,12,FALSE),"")</f>
        <v/>
      </c>
      <c r="Q43" s="513" t="str">
        <f>IFERROR(IF(P43="","",IF(AND(P43='G-1 All Habitats'!$X$3,T43&gt;0),U43+V43,IF(AND(P43='G-1 All Habitats'!$X$3,S43&gt;0),U43+V43,IF(AND(P43='G-1 All Habitats'!$X$3,AC43&gt;0),"Any Loss Unacceptable ▲",IF(AND(P43='G-1 All Habitats'!$X$3,W43&gt;0),"Any Loss Unacceptable ▲",H43*J43*L43*O43))))),"Check Data ▲")</f>
        <v/>
      </c>
      <c r="R43" s="50"/>
      <c r="S43" s="71"/>
      <c r="T43" s="72"/>
      <c r="U43" s="511" t="str">
        <f t="shared" si="3"/>
        <v/>
      </c>
      <c r="V43" s="511" t="str">
        <f t="shared" si="4"/>
        <v/>
      </c>
      <c r="W43" s="511" t="str">
        <f>IF(E43="","",IF(H43&lt;S43+T43,"Error in Areas ▲",IF(P43&lt;&gt;'G-1 All Habitats'!$X$3,H43-S43-T43,IF(AND(P43='G-1 All Habitats'!$X$3,Y43="Yes"),"Unacceptable Loss",IF(AND(P43='G-1 All Habitats'!$X$3,Y43="No"),AC43,IF(AND(P43='G-1 All Habitats'!$X$3,Y43=""),AC43,IF(AND(P43='G-1 All Habitats'!$X$3,AC43="None",AC43),IF(AND(P43='G-1 All Habitats'!$X$3,AC43&gt;0),H43-S43-T43))))))))</f>
        <v/>
      </c>
      <c r="X43" s="515" t="str">
        <f>IFERROR(IF(H43="","",IF(H43-S43-T43=0&lt;0,"Error in Areas ▲",IF(S43+T43&gt;H43,"Error in Areas ▲",IF(AND(P43='G-1 All Habitats'!$X$3,Y43="Yes"),"Alternative Compensation ✓",IF(W43=0,0,IF(P43='G-1 All Habitats'!$X$3,"Unacceptable Loss ▲",Q43-U43-V43)))))),"Check Data ▲")</f>
        <v/>
      </c>
      <c r="Y43" s="72"/>
      <c r="Z43" s="80"/>
      <c r="AA43" s="81"/>
      <c r="AC43" s="75" t="str">
        <f>IF(P43="","",IF(P43='G-1 All Habitats'!$X$3,H43-S43-T43,"None"))</f>
        <v/>
      </c>
      <c r="AD43" s="76" t="str">
        <f>IFERROR(AC43*J43*L43*#REF!*O43,IF(P43="","","None"))</f>
        <v/>
      </c>
      <c r="AF43" s="54" t="str">
        <f t="shared" si="0"/>
        <v/>
      </c>
      <c r="AG43" s="54" t="str">
        <f t="shared" si="1"/>
        <v/>
      </c>
      <c r="AH43" s="54" t="str">
        <f>IF(I43="","",IF(#REF!&gt;0,TRUE,FALSE))</f>
        <v/>
      </c>
      <c r="AI43" s="54">
        <v>33</v>
      </c>
      <c r="AJ43" s="54"/>
      <c r="AK43" s="54" t="str">
        <f t="array" ref="AK43">IFERROR(INDEX($AI$11:$AI$259, MATCH(0, IF(TRUE=$AF$11:$AF$259, COUNTIF($AK$10:$AK42, $AI$11:$AI$259), ""), 0)),"")</f>
        <v/>
      </c>
      <c r="AL43" s="54" t="str">
        <f t="array" ref="AL43">IFERROR(INDEX($AI$11:$AI$259, MATCH(0, IF(TRUE=$AG$11:$AG$259, COUNTIF($AL$10:$AL42, $AI$11:$AI$259), ""), 0)),"")</f>
        <v/>
      </c>
      <c r="AM43" s="54" t="str">
        <f t="array" ref="AM43">IFERROR(INDEX($AI$11:$AI$259, MATCH(0, IF(TRUE=$AH$11:$AH$259, COUNTIF($AM$10:$AM42, $AI$11:$AI$259), ""), 0)),"")</f>
        <v/>
      </c>
      <c r="AN43" s="54"/>
      <c r="AQ43" s="47">
        <f t="shared" si="2"/>
        <v>0</v>
      </c>
    </row>
    <row r="44" spans="1:43" x14ac:dyDescent="0.25">
      <c r="A44" s="47" t="str">
        <f>IFERROR(INDEX('G-1 All Habitats'!$AG$3:$AG$15,MATCH(E44,'G-1 All Habitats'!$AF$3:$AF$15,0)),"")</f>
        <v/>
      </c>
      <c r="B44" s="47" t="str">
        <f>IFERROR(INDEX('G-8 Condition Look up'!$I$4:$I$130,MATCH(G44,'G-8 Condition Look up'!$A$4:$A$130,0)),"")</f>
        <v/>
      </c>
      <c r="D44" s="77">
        <v>34</v>
      </c>
      <c r="E44" s="78"/>
      <c r="F44" s="79"/>
      <c r="G44" s="69" t="str">
        <f>IFERROR(INDEX('G-1 All Habitats'!$B$3:$B$129,MATCH(F44,'G-1 All Habitats'!$A$3:$A$129,0)),"")</f>
        <v/>
      </c>
      <c r="H44" s="70"/>
      <c r="I44" s="498" t="str">
        <f>IF(G44="","",VLOOKUP(G44,'G-1 All Habitats'!$B$2:$M$129,10,FALSE))</f>
        <v/>
      </c>
      <c r="J44" s="499" t="str">
        <f>IFERROR(VLOOKUP(I44,'G-1 All Habitats'!$V$3:$W$7,2,FALSE),"")</f>
        <v/>
      </c>
      <c r="K44" s="71"/>
      <c r="L44" s="499" t="str">
        <f>IFERROR(INDEX('G-8 Condition Look up'!$A$3:$H$130,MATCH(G44,'G-8 Condition Look up'!$A$3:$A$130,0),MATCH(K44,'G-8 Condition Look up'!$A$3:$H$3,0)),"")</f>
        <v/>
      </c>
      <c r="M44" s="71"/>
      <c r="N44" s="520" t="str">
        <f>IF(M44="","",IF(VLOOKUP(M44,'G-3 Multipliers'!$L$3:$N$6,2,FALSE)=0,"Spatial Data Missing",VLOOKUP(M44,'G-3 Multipliers'!$L$3:$N$6,2,FALSE)))</f>
        <v/>
      </c>
      <c r="O44" s="505" t="str">
        <f>IF(M44="","",IF(VLOOKUP(M44,'G-3 Multipliers'!$L$3:$N$6,3,FALSE)=0,"Spatial Data Missing ▲",VLOOKUP(M44,'G-3 Multipliers'!$L$3:$N$6,3,FALSE)))</f>
        <v/>
      </c>
      <c r="P44" s="506" t="str">
        <f>IFERROR(VLOOKUP(G44,'G-1 All Habitats'!$B$2:$M$129,12,FALSE),"")</f>
        <v/>
      </c>
      <c r="Q44" s="513" t="str">
        <f>IFERROR(IF(P44="","",IF(AND(P44='G-1 All Habitats'!$X$3,T44&gt;0),U44+V44,IF(AND(P44='G-1 All Habitats'!$X$3,S44&gt;0),U44+V44,IF(AND(P44='G-1 All Habitats'!$X$3,AC44&gt;0),"Any Loss Unacceptable ▲",IF(AND(P44='G-1 All Habitats'!$X$3,W44&gt;0),"Any Loss Unacceptable ▲",H44*J44*L44*O44))))),"Check Data ▲")</f>
        <v/>
      </c>
      <c r="R44" s="50"/>
      <c r="S44" s="71"/>
      <c r="T44" s="72"/>
      <c r="U44" s="511" t="str">
        <f t="shared" si="3"/>
        <v/>
      </c>
      <c r="V44" s="511" t="str">
        <f t="shared" si="4"/>
        <v/>
      </c>
      <c r="W44" s="511" t="str">
        <f>IF(E44="","",IF(H44&lt;S44+T44,"Error in Areas ▲",IF(P44&lt;&gt;'G-1 All Habitats'!$X$3,H44-S44-T44,IF(AND(P44='G-1 All Habitats'!$X$3,Y44="Yes"),"Unacceptable Loss",IF(AND(P44='G-1 All Habitats'!$X$3,Y44="No"),AC44,IF(AND(P44='G-1 All Habitats'!$X$3,Y44=""),AC44,IF(AND(P44='G-1 All Habitats'!$X$3,AC44="None",AC44),IF(AND(P44='G-1 All Habitats'!$X$3,AC44&gt;0),H44-S44-T44))))))))</f>
        <v/>
      </c>
      <c r="X44" s="515" t="str">
        <f>IFERROR(IF(H44="","",IF(H44-S44-T44=0&lt;0,"Error in Areas ▲",IF(S44+T44&gt;H44,"Error in Areas ▲",IF(AND(P44='G-1 All Habitats'!$X$3,Y44="Yes"),"Alternative Compensation ✓",IF(W44=0,0,IF(P44='G-1 All Habitats'!$X$3,"Unacceptable Loss ▲",Q44-U44-V44)))))),"Check Data ▲")</f>
        <v/>
      </c>
      <c r="Y44" s="72"/>
      <c r="Z44" s="80"/>
      <c r="AA44" s="81"/>
      <c r="AC44" s="75" t="str">
        <f>IF(P44="","",IF(P44='G-1 All Habitats'!$X$3,H44-S44-T44,"None"))</f>
        <v/>
      </c>
      <c r="AD44" s="76" t="str">
        <f>IFERROR(AC44*J44*L44*#REF!*O44,IF(P44="","","None"))</f>
        <v/>
      </c>
      <c r="AF44" s="54" t="str">
        <f t="shared" si="0"/>
        <v/>
      </c>
      <c r="AG44" s="54" t="str">
        <f t="shared" si="1"/>
        <v/>
      </c>
      <c r="AH44" s="54" t="str">
        <f>IF(I44="","",IF(#REF!&gt;0,TRUE,FALSE))</f>
        <v/>
      </c>
      <c r="AI44" s="54">
        <v>34</v>
      </c>
      <c r="AJ44" s="54"/>
      <c r="AK44" s="54" t="str">
        <f t="array" ref="AK44">IFERROR(INDEX($AI$11:$AI$259, MATCH(0, IF(TRUE=$AF$11:$AF$259, COUNTIF($AK$10:$AK43, $AI$11:$AI$259), ""), 0)),"")</f>
        <v/>
      </c>
      <c r="AL44" s="54" t="str">
        <f t="array" ref="AL44">IFERROR(INDEX($AI$11:$AI$259, MATCH(0, IF(TRUE=$AG$11:$AG$259, COUNTIF($AL$10:$AL43, $AI$11:$AI$259), ""), 0)),"")</f>
        <v/>
      </c>
      <c r="AM44" s="54" t="str">
        <f t="array" ref="AM44">IFERROR(INDEX($AI$11:$AI$259, MATCH(0, IF(TRUE=$AH$11:$AH$259, COUNTIF($AM$10:$AM43, $AI$11:$AI$259), ""), 0)),"")</f>
        <v/>
      </c>
      <c r="AN44" s="54"/>
      <c r="AQ44" s="47">
        <f t="shared" si="2"/>
        <v>0</v>
      </c>
    </row>
    <row r="45" spans="1:43" x14ac:dyDescent="0.25">
      <c r="A45" s="47" t="str">
        <f>IFERROR(INDEX('G-1 All Habitats'!$AG$3:$AG$15,MATCH(E45,'G-1 All Habitats'!$AF$3:$AF$15,0)),"")</f>
        <v/>
      </c>
      <c r="B45" s="47" t="str">
        <f>IFERROR(INDEX('G-8 Condition Look up'!$I$4:$I$130,MATCH(G45,'G-8 Condition Look up'!$A$4:$A$130,0)),"")</f>
        <v/>
      </c>
      <c r="D45" s="77">
        <v>35</v>
      </c>
      <c r="E45" s="78"/>
      <c r="F45" s="79"/>
      <c r="G45" s="69" t="str">
        <f>IFERROR(INDEX('G-1 All Habitats'!$B$3:$B$129,MATCH(F45,'G-1 All Habitats'!$A$3:$A$129,0)),"")</f>
        <v/>
      </c>
      <c r="H45" s="70"/>
      <c r="I45" s="498" t="str">
        <f>IF(G45="","",VLOOKUP(G45,'G-1 All Habitats'!$B$2:$M$129,10,FALSE))</f>
        <v/>
      </c>
      <c r="J45" s="499" t="str">
        <f>IFERROR(VLOOKUP(I45,'G-1 All Habitats'!$V$3:$W$7,2,FALSE),"")</f>
        <v/>
      </c>
      <c r="K45" s="71"/>
      <c r="L45" s="499" t="str">
        <f>IFERROR(INDEX('G-8 Condition Look up'!$A$3:$H$130,MATCH(G45,'G-8 Condition Look up'!$A$3:$A$130,0),MATCH(K45,'G-8 Condition Look up'!$A$3:$H$3,0)),"")</f>
        <v/>
      </c>
      <c r="M45" s="71"/>
      <c r="N45" s="520" t="str">
        <f>IF(M45="","",IF(VLOOKUP(M45,'G-3 Multipliers'!$L$3:$N$6,2,FALSE)=0,"Spatial Data Missing",VLOOKUP(M45,'G-3 Multipliers'!$L$3:$N$6,2,FALSE)))</f>
        <v/>
      </c>
      <c r="O45" s="505" t="str">
        <f>IF(M45="","",IF(VLOOKUP(M45,'G-3 Multipliers'!$L$3:$N$6,3,FALSE)=0,"Spatial Data Missing ▲",VLOOKUP(M45,'G-3 Multipliers'!$L$3:$N$6,3,FALSE)))</f>
        <v/>
      </c>
      <c r="P45" s="506" t="str">
        <f>IFERROR(VLOOKUP(G45,'G-1 All Habitats'!$B$2:$M$129,12,FALSE),"")</f>
        <v/>
      </c>
      <c r="Q45" s="513" t="str">
        <f>IFERROR(IF(P45="","",IF(AND(P45='G-1 All Habitats'!$X$3,T45&gt;0),U45+V45,IF(AND(P45='G-1 All Habitats'!$X$3,S45&gt;0),U45+V45,IF(AND(P45='G-1 All Habitats'!$X$3,AC45&gt;0),"Any Loss Unacceptable ▲",IF(AND(P45='G-1 All Habitats'!$X$3,W45&gt;0),"Any Loss Unacceptable ▲",H45*J45*L45*O45))))),"Check Data ▲")</f>
        <v/>
      </c>
      <c r="R45" s="50"/>
      <c r="S45" s="71"/>
      <c r="T45" s="72"/>
      <c r="U45" s="511" t="str">
        <f t="shared" si="3"/>
        <v/>
      </c>
      <c r="V45" s="511" t="str">
        <f t="shared" si="4"/>
        <v/>
      </c>
      <c r="W45" s="511" t="str">
        <f>IF(E45="","",IF(H45&lt;S45+T45,"Error in Areas ▲",IF(P45&lt;&gt;'G-1 All Habitats'!$X$3,H45-S45-T45,IF(AND(P45='G-1 All Habitats'!$X$3,Y45="Yes"),"Unacceptable Loss",IF(AND(P45='G-1 All Habitats'!$X$3,Y45="No"),AC45,IF(AND(P45='G-1 All Habitats'!$X$3,Y45=""),AC45,IF(AND(P45='G-1 All Habitats'!$X$3,AC45="None",AC45),IF(AND(P45='G-1 All Habitats'!$X$3,AC45&gt;0),H45-S45-T45))))))))</f>
        <v/>
      </c>
      <c r="X45" s="515" t="str">
        <f>IFERROR(IF(H45="","",IF(H45-S45-T45=0&lt;0,"Error in Areas ▲",IF(S45+T45&gt;H45,"Error in Areas ▲",IF(AND(P45='G-1 All Habitats'!$X$3,Y45="Yes"),"Alternative Compensation ✓",IF(W45=0,0,IF(P45='G-1 All Habitats'!$X$3,"Unacceptable Loss ▲",Q45-U45-V45)))))),"Check Data ▲")</f>
        <v/>
      </c>
      <c r="Y45" s="72"/>
      <c r="Z45" s="80"/>
      <c r="AA45" s="81"/>
      <c r="AC45" s="75" t="str">
        <f>IF(P45="","",IF(P45='G-1 All Habitats'!$X$3,H45-S45-T45,"None"))</f>
        <v/>
      </c>
      <c r="AD45" s="76" t="str">
        <f>IFERROR(AC45*J45*L45*#REF!*O45,IF(P45="","","None"))</f>
        <v/>
      </c>
      <c r="AF45" s="54" t="str">
        <f t="shared" si="0"/>
        <v/>
      </c>
      <c r="AG45" s="54" t="str">
        <f t="shared" si="1"/>
        <v/>
      </c>
      <c r="AH45" s="54" t="str">
        <f>IF(I45="","",IF(#REF!&gt;0,TRUE,FALSE))</f>
        <v/>
      </c>
      <c r="AI45" s="54">
        <v>35</v>
      </c>
      <c r="AJ45" s="54"/>
      <c r="AK45" s="54" t="str">
        <f t="array" ref="AK45">IFERROR(INDEX($AI$11:$AI$259, MATCH(0, IF(TRUE=$AF$11:$AF$259, COUNTIF($AK$10:$AK44, $AI$11:$AI$259), ""), 0)),"")</f>
        <v/>
      </c>
      <c r="AL45" s="54" t="str">
        <f t="array" ref="AL45">IFERROR(INDEX($AI$11:$AI$259, MATCH(0, IF(TRUE=$AG$11:$AG$259, COUNTIF($AL$10:$AL44, $AI$11:$AI$259), ""), 0)),"")</f>
        <v/>
      </c>
      <c r="AM45" s="54" t="str">
        <f t="array" ref="AM45">IFERROR(INDEX($AI$11:$AI$259, MATCH(0, IF(TRUE=$AH$11:$AH$259, COUNTIF($AM$10:$AM44, $AI$11:$AI$259), ""), 0)),"")</f>
        <v/>
      </c>
      <c r="AN45" s="54"/>
      <c r="AQ45" s="47">
        <f t="shared" si="2"/>
        <v>0</v>
      </c>
    </row>
    <row r="46" spans="1:43" x14ac:dyDescent="0.25">
      <c r="A46" s="47" t="str">
        <f>IFERROR(INDEX('G-1 All Habitats'!$AG$3:$AG$15,MATCH(E46,'G-1 All Habitats'!$AF$3:$AF$15,0)),"")</f>
        <v/>
      </c>
      <c r="B46" s="47" t="str">
        <f>IFERROR(INDEX('G-8 Condition Look up'!$I$4:$I$130,MATCH(G46,'G-8 Condition Look up'!$A$4:$A$130,0)),"")</f>
        <v/>
      </c>
      <c r="D46" s="77">
        <v>36</v>
      </c>
      <c r="E46" s="78"/>
      <c r="F46" s="79"/>
      <c r="G46" s="69" t="str">
        <f>IFERROR(INDEX('G-1 All Habitats'!$B$3:$B$129,MATCH(F46,'G-1 All Habitats'!$A$3:$A$129,0)),"")</f>
        <v/>
      </c>
      <c r="H46" s="70"/>
      <c r="I46" s="498" t="str">
        <f>IF(G46="","",VLOOKUP(G46,'G-1 All Habitats'!$B$2:$M$129,10,FALSE))</f>
        <v/>
      </c>
      <c r="J46" s="499" t="str">
        <f>IFERROR(VLOOKUP(I46,'G-1 All Habitats'!$V$3:$W$7,2,FALSE),"")</f>
        <v/>
      </c>
      <c r="K46" s="71"/>
      <c r="L46" s="499" t="str">
        <f>IFERROR(INDEX('G-8 Condition Look up'!$A$3:$H$130,MATCH(G46,'G-8 Condition Look up'!$A$3:$A$130,0),MATCH(K46,'G-8 Condition Look up'!$A$3:$H$3,0)),"")</f>
        <v/>
      </c>
      <c r="M46" s="71"/>
      <c r="N46" s="520" t="str">
        <f>IF(M46="","",IF(VLOOKUP(M46,'G-3 Multipliers'!$L$3:$N$6,2,FALSE)=0,"Spatial Data Missing",VLOOKUP(M46,'G-3 Multipliers'!$L$3:$N$6,2,FALSE)))</f>
        <v/>
      </c>
      <c r="O46" s="505" t="str">
        <f>IF(M46="","",IF(VLOOKUP(M46,'G-3 Multipliers'!$L$3:$N$6,3,FALSE)=0,"Spatial Data Missing ▲",VLOOKUP(M46,'G-3 Multipliers'!$L$3:$N$6,3,FALSE)))</f>
        <v/>
      </c>
      <c r="P46" s="506" t="str">
        <f>IFERROR(VLOOKUP(G46,'G-1 All Habitats'!$B$2:$M$129,12,FALSE),"")</f>
        <v/>
      </c>
      <c r="Q46" s="513" t="str">
        <f>IFERROR(IF(P46="","",IF(AND(P46='G-1 All Habitats'!$X$3,T46&gt;0),U46+V46,IF(AND(P46='G-1 All Habitats'!$X$3,S46&gt;0),U46+V46,IF(AND(P46='G-1 All Habitats'!$X$3,AC46&gt;0),"Any Loss Unacceptable ▲",IF(AND(P46='G-1 All Habitats'!$X$3,W46&gt;0),"Any Loss Unacceptable ▲",H46*J46*L46*O46))))),"Check Data ▲")</f>
        <v/>
      </c>
      <c r="R46" s="50"/>
      <c r="S46" s="71"/>
      <c r="T46" s="72"/>
      <c r="U46" s="511" t="str">
        <f t="shared" si="3"/>
        <v/>
      </c>
      <c r="V46" s="511" t="str">
        <f t="shared" si="4"/>
        <v/>
      </c>
      <c r="W46" s="511" t="str">
        <f>IF(E46="","",IF(H46&lt;S46+T46,"Error in Areas ▲",IF(P46&lt;&gt;'G-1 All Habitats'!$X$3,H46-S46-T46,IF(AND(P46='G-1 All Habitats'!$X$3,Y46="Yes"),"Unacceptable Loss",IF(AND(P46='G-1 All Habitats'!$X$3,Y46="No"),AC46,IF(AND(P46='G-1 All Habitats'!$X$3,Y46=""),AC46,IF(AND(P46='G-1 All Habitats'!$X$3,AC46="None",AC46),IF(AND(P46='G-1 All Habitats'!$X$3,AC46&gt;0),H46-S46-T46))))))))</f>
        <v/>
      </c>
      <c r="X46" s="515" t="str">
        <f>IFERROR(IF(H46="","",IF(H46-S46-T46=0&lt;0,"Error in Areas ▲",IF(S46+T46&gt;H46,"Error in Areas ▲",IF(AND(P46='G-1 All Habitats'!$X$3,Y46="Yes"),"Alternative Compensation ✓",IF(W46=0,0,IF(P46='G-1 All Habitats'!$X$3,"Unacceptable Loss ▲",Q46-U46-V46)))))),"Check Data ▲")</f>
        <v/>
      </c>
      <c r="Y46" s="72"/>
      <c r="Z46" s="80"/>
      <c r="AA46" s="81"/>
      <c r="AC46" s="75" t="str">
        <f>IF(P46="","",IF(P46='G-1 All Habitats'!$X$3,H46-S46-T46,"None"))</f>
        <v/>
      </c>
      <c r="AD46" s="76" t="str">
        <f>IFERROR(AC46*J46*L46*#REF!*O46,IF(P46="","","None"))</f>
        <v/>
      </c>
      <c r="AF46" s="54" t="str">
        <f t="shared" si="0"/>
        <v/>
      </c>
      <c r="AG46" s="54" t="str">
        <f t="shared" si="1"/>
        <v/>
      </c>
      <c r="AH46" s="54" t="str">
        <f>IF(I46="","",IF(#REF!&gt;0,TRUE,FALSE))</f>
        <v/>
      </c>
      <c r="AI46" s="54">
        <v>36</v>
      </c>
      <c r="AJ46" s="54"/>
      <c r="AK46" s="54" t="str">
        <f t="array" ref="AK46">IFERROR(INDEX($AI$11:$AI$259, MATCH(0, IF(TRUE=$AF$11:$AF$259, COUNTIF($AK$10:$AK45, $AI$11:$AI$259), ""), 0)),"")</f>
        <v/>
      </c>
      <c r="AL46" s="54" t="str">
        <f t="array" ref="AL46">IFERROR(INDEX($AI$11:$AI$259, MATCH(0, IF(TRUE=$AG$11:$AG$259, COUNTIF($AL$10:$AL45, $AI$11:$AI$259), ""), 0)),"")</f>
        <v/>
      </c>
      <c r="AM46" s="54" t="str">
        <f t="array" ref="AM46">IFERROR(INDEX($AI$11:$AI$259, MATCH(0, IF(TRUE=$AH$11:$AH$259, COUNTIF($AM$10:$AM45, $AI$11:$AI$259), ""), 0)),"")</f>
        <v/>
      </c>
      <c r="AN46" s="54"/>
      <c r="AQ46" s="47">
        <f t="shared" si="2"/>
        <v>0</v>
      </c>
    </row>
    <row r="47" spans="1:43" x14ac:dyDescent="0.25">
      <c r="A47" s="47" t="str">
        <f>IFERROR(INDEX('G-1 All Habitats'!$AG$3:$AG$15,MATCH(E47,'G-1 All Habitats'!$AF$3:$AF$15,0)),"")</f>
        <v/>
      </c>
      <c r="B47" s="47" t="str">
        <f>IFERROR(INDEX('G-8 Condition Look up'!$I$4:$I$130,MATCH(G47,'G-8 Condition Look up'!$A$4:$A$130,0)),"")</f>
        <v/>
      </c>
      <c r="D47" s="77">
        <v>37</v>
      </c>
      <c r="E47" s="78"/>
      <c r="F47" s="79"/>
      <c r="G47" s="69" t="str">
        <f>IFERROR(INDEX('G-1 All Habitats'!$B$3:$B$129,MATCH(F47,'G-1 All Habitats'!$A$3:$A$129,0)),"")</f>
        <v/>
      </c>
      <c r="H47" s="70"/>
      <c r="I47" s="498" t="str">
        <f>IF(G47="","",VLOOKUP(G47,'G-1 All Habitats'!$B$2:$M$129,10,FALSE))</f>
        <v/>
      </c>
      <c r="J47" s="499" t="str">
        <f>IFERROR(VLOOKUP(I47,'G-1 All Habitats'!$V$3:$W$7,2,FALSE),"")</f>
        <v/>
      </c>
      <c r="K47" s="71"/>
      <c r="L47" s="499" t="str">
        <f>IFERROR(INDEX('G-8 Condition Look up'!$A$3:$H$130,MATCH(G47,'G-8 Condition Look up'!$A$3:$A$130,0),MATCH(K47,'G-8 Condition Look up'!$A$3:$H$3,0)),"")</f>
        <v/>
      </c>
      <c r="M47" s="71"/>
      <c r="N47" s="520" t="str">
        <f>IF(M47="","",IF(VLOOKUP(M47,'G-3 Multipliers'!$L$3:$N$6,2,FALSE)=0,"Spatial Data Missing",VLOOKUP(M47,'G-3 Multipliers'!$L$3:$N$6,2,FALSE)))</f>
        <v/>
      </c>
      <c r="O47" s="505" t="str">
        <f>IF(M47="","",IF(VLOOKUP(M47,'G-3 Multipliers'!$L$3:$N$6,3,FALSE)=0,"Spatial Data Missing ▲",VLOOKUP(M47,'G-3 Multipliers'!$L$3:$N$6,3,FALSE)))</f>
        <v/>
      </c>
      <c r="P47" s="506" t="str">
        <f>IFERROR(VLOOKUP(G47,'G-1 All Habitats'!$B$2:$M$129,12,FALSE),"")</f>
        <v/>
      </c>
      <c r="Q47" s="513" t="str">
        <f>IFERROR(IF(P47="","",IF(AND(P47='G-1 All Habitats'!$X$3,T47&gt;0),U47+V47,IF(AND(P47='G-1 All Habitats'!$X$3,S47&gt;0),U47+V47,IF(AND(P47='G-1 All Habitats'!$X$3,AC47&gt;0),"Any Loss Unacceptable ▲",IF(AND(P47='G-1 All Habitats'!$X$3,W47&gt;0),"Any Loss Unacceptable ▲",H47*J47*L47*O47))))),"Check Data ▲")</f>
        <v/>
      </c>
      <c r="R47" s="50"/>
      <c r="S47" s="71"/>
      <c r="T47" s="72"/>
      <c r="U47" s="511" t="str">
        <f t="shared" si="3"/>
        <v/>
      </c>
      <c r="V47" s="511" t="str">
        <f t="shared" si="4"/>
        <v/>
      </c>
      <c r="W47" s="511" t="str">
        <f>IF(E47="","",IF(H47&lt;S47+T47,"Error in Areas ▲",IF(P47&lt;&gt;'G-1 All Habitats'!$X$3,H47-S47-T47,IF(AND(P47='G-1 All Habitats'!$X$3,Y47="Yes"),"Unacceptable Loss",IF(AND(P47='G-1 All Habitats'!$X$3,Y47="No"),AC47,IF(AND(P47='G-1 All Habitats'!$X$3,Y47=""),AC47,IF(AND(P47='G-1 All Habitats'!$X$3,AC47="None",AC47),IF(AND(P47='G-1 All Habitats'!$X$3,AC47&gt;0),H47-S47-T47))))))))</f>
        <v/>
      </c>
      <c r="X47" s="515" t="str">
        <f>IFERROR(IF(H47="","",IF(H47-S47-T47=0&lt;0,"Error in Areas ▲",IF(S47+T47&gt;H47,"Error in Areas ▲",IF(AND(P47='G-1 All Habitats'!$X$3,Y47="Yes"),"Alternative Compensation ✓",IF(W47=0,0,IF(P47='G-1 All Habitats'!$X$3,"Unacceptable Loss ▲",Q47-U47-V47)))))),"Check Data ▲")</f>
        <v/>
      </c>
      <c r="Y47" s="72"/>
      <c r="Z47" s="80"/>
      <c r="AA47" s="81"/>
      <c r="AC47" s="75" t="str">
        <f>IF(P47="","",IF(P47='G-1 All Habitats'!$X$3,H47-S47-T47,"None"))</f>
        <v/>
      </c>
      <c r="AD47" s="76" t="str">
        <f>IFERROR(AC47*J47*L47*#REF!*O47,IF(P47="","","None"))</f>
        <v/>
      </c>
      <c r="AF47" s="54" t="str">
        <f t="shared" si="0"/>
        <v/>
      </c>
      <c r="AG47" s="54" t="str">
        <f t="shared" si="1"/>
        <v/>
      </c>
      <c r="AH47" s="54" t="str">
        <f>IF(I47="","",IF(#REF!&gt;0,TRUE,FALSE))</f>
        <v/>
      </c>
      <c r="AI47" s="54">
        <v>37</v>
      </c>
      <c r="AJ47" s="54"/>
      <c r="AK47" s="54" t="str">
        <f t="array" ref="AK47">IFERROR(INDEX($AI$11:$AI$259, MATCH(0, IF(TRUE=$AF$11:$AF$259, COUNTIF($AK$10:$AK46, $AI$11:$AI$259), ""), 0)),"")</f>
        <v/>
      </c>
      <c r="AL47" s="54" t="str">
        <f t="array" ref="AL47">IFERROR(INDEX($AI$11:$AI$259, MATCH(0, IF(TRUE=$AG$11:$AG$259, COUNTIF($AL$10:$AL46, $AI$11:$AI$259), ""), 0)),"")</f>
        <v/>
      </c>
      <c r="AM47" s="54" t="str">
        <f t="array" ref="AM47">IFERROR(INDEX($AI$11:$AI$259, MATCH(0, IF(TRUE=$AH$11:$AH$259, COUNTIF($AM$10:$AM46, $AI$11:$AI$259), ""), 0)),"")</f>
        <v/>
      </c>
      <c r="AN47" s="54"/>
      <c r="AQ47" s="47">
        <f t="shared" si="2"/>
        <v>0</v>
      </c>
    </row>
    <row r="48" spans="1:43" x14ac:dyDescent="0.25">
      <c r="A48" s="47" t="str">
        <f>IFERROR(INDEX('G-1 All Habitats'!$AG$3:$AG$15,MATCH(E48,'G-1 All Habitats'!$AF$3:$AF$15,0)),"")</f>
        <v/>
      </c>
      <c r="B48" s="47" t="str">
        <f>IFERROR(INDEX('G-8 Condition Look up'!$I$4:$I$130,MATCH(G48,'G-8 Condition Look up'!$A$4:$A$130,0)),"")</f>
        <v/>
      </c>
      <c r="D48" s="77">
        <v>38</v>
      </c>
      <c r="E48" s="78"/>
      <c r="F48" s="79"/>
      <c r="G48" s="69" t="str">
        <f>IFERROR(INDEX('G-1 All Habitats'!$B$3:$B$129,MATCH(F48,'G-1 All Habitats'!$A$3:$A$129,0)),"")</f>
        <v/>
      </c>
      <c r="H48" s="70"/>
      <c r="I48" s="498" t="str">
        <f>IF(G48="","",VLOOKUP(G48,'G-1 All Habitats'!$B$2:$M$129,10,FALSE))</f>
        <v/>
      </c>
      <c r="J48" s="499" t="str">
        <f>IFERROR(VLOOKUP(I48,'G-1 All Habitats'!$V$3:$W$7,2,FALSE),"")</f>
        <v/>
      </c>
      <c r="K48" s="71"/>
      <c r="L48" s="499" t="str">
        <f>IFERROR(INDEX('G-8 Condition Look up'!$A$3:$H$130,MATCH(G48,'G-8 Condition Look up'!$A$3:$A$130,0),MATCH(K48,'G-8 Condition Look up'!$A$3:$H$3,0)),"")</f>
        <v/>
      </c>
      <c r="M48" s="71"/>
      <c r="N48" s="520" t="str">
        <f>IF(M48="","",IF(VLOOKUP(M48,'G-3 Multipliers'!$L$3:$N$6,2,FALSE)=0,"Spatial Data Missing",VLOOKUP(M48,'G-3 Multipliers'!$L$3:$N$6,2,FALSE)))</f>
        <v/>
      </c>
      <c r="O48" s="505" t="str">
        <f>IF(M48="","",IF(VLOOKUP(M48,'G-3 Multipliers'!$L$3:$N$6,3,FALSE)=0,"Spatial Data Missing ▲",VLOOKUP(M48,'G-3 Multipliers'!$L$3:$N$6,3,FALSE)))</f>
        <v/>
      </c>
      <c r="P48" s="506" t="str">
        <f>IFERROR(VLOOKUP(G48,'G-1 All Habitats'!$B$2:$M$129,12,FALSE),"")</f>
        <v/>
      </c>
      <c r="Q48" s="513" t="str">
        <f>IFERROR(IF(P48="","",IF(AND(P48='G-1 All Habitats'!$X$3,T48&gt;0),U48+V48,IF(AND(P48='G-1 All Habitats'!$X$3,S48&gt;0),U48+V48,IF(AND(P48='G-1 All Habitats'!$X$3,AC48&gt;0),"Any Loss Unacceptable ▲",IF(AND(P48='G-1 All Habitats'!$X$3,W48&gt;0),"Any Loss Unacceptable ▲",H48*J48*L48*O48))))),"Check Data ▲")</f>
        <v/>
      </c>
      <c r="R48" s="50"/>
      <c r="S48" s="71"/>
      <c r="T48" s="72"/>
      <c r="U48" s="511" t="str">
        <f t="shared" si="3"/>
        <v/>
      </c>
      <c r="V48" s="511" t="str">
        <f t="shared" si="4"/>
        <v/>
      </c>
      <c r="W48" s="511" t="str">
        <f>IF(E48="","",IF(H48&lt;S48+T48,"Error in Areas ▲",IF(P48&lt;&gt;'G-1 All Habitats'!$X$3,H48-S48-T48,IF(AND(P48='G-1 All Habitats'!$X$3,Y48="Yes"),"Unacceptable Loss",IF(AND(P48='G-1 All Habitats'!$X$3,Y48="No"),AC48,IF(AND(P48='G-1 All Habitats'!$X$3,Y48=""),AC48,IF(AND(P48='G-1 All Habitats'!$X$3,AC48="None",AC48),IF(AND(P48='G-1 All Habitats'!$X$3,AC48&gt;0),H48-S48-T48))))))))</f>
        <v/>
      </c>
      <c r="X48" s="515" t="str">
        <f>IFERROR(IF(H48="","",IF(H48-S48-T48=0&lt;0,"Error in Areas ▲",IF(S48+T48&gt;H48,"Error in Areas ▲",IF(AND(P48='G-1 All Habitats'!$X$3,Y48="Yes"),"Alternative Compensation ✓",IF(W48=0,0,IF(P48='G-1 All Habitats'!$X$3,"Unacceptable Loss ▲",Q48-U48-V48)))))),"Check Data ▲")</f>
        <v/>
      </c>
      <c r="Y48" s="72"/>
      <c r="Z48" s="80"/>
      <c r="AA48" s="81"/>
      <c r="AC48" s="75" t="str">
        <f>IF(P48="","",IF(P48='G-1 All Habitats'!$X$3,H48-S48-T48,"None"))</f>
        <v/>
      </c>
      <c r="AD48" s="76" t="str">
        <f>IFERROR(AC48*J48*L48*#REF!*O48,IF(P48="","","None"))</f>
        <v/>
      </c>
      <c r="AF48" s="54" t="str">
        <f t="shared" si="0"/>
        <v/>
      </c>
      <c r="AG48" s="54" t="str">
        <f t="shared" si="1"/>
        <v/>
      </c>
      <c r="AH48" s="54" t="str">
        <f>IF(I48="","",IF(#REF!&gt;0,TRUE,FALSE))</f>
        <v/>
      </c>
      <c r="AI48" s="54">
        <v>38</v>
      </c>
      <c r="AJ48" s="54"/>
      <c r="AK48" s="54" t="str">
        <f t="array" ref="AK48">IFERROR(INDEX($AI$11:$AI$259, MATCH(0, IF(TRUE=$AF$11:$AF$259, COUNTIF($AK$10:$AK47, $AI$11:$AI$259), ""), 0)),"")</f>
        <v/>
      </c>
      <c r="AL48" s="54" t="str">
        <f t="array" ref="AL48">IFERROR(INDEX($AI$11:$AI$259, MATCH(0, IF(TRUE=$AG$11:$AG$259, COUNTIF($AL$10:$AL47, $AI$11:$AI$259), ""), 0)),"")</f>
        <v/>
      </c>
      <c r="AM48" s="54" t="str">
        <f t="array" ref="AM48">IFERROR(INDEX($AI$11:$AI$259, MATCH(0, IF(TRUE=$AH$11:$AH$259, COUNTIF($AM$10:$AM47, $AI$11:$AI$259), ""), 0)),"")</f>
        <v/>
      </c>
      <c r="AN48" s="54"/>
      <c r="AQ48" s="47">
        <f t="shared" si="2"/>
        <v>0</v>
      </c>
    </row>
    <row r="49" spans="1:43" x14ac:dyDescent="0.25">
      <c r="A49" s="47" t="str">
        <f>IFERROR(INDEX('G-1 All Habitats'!$AG$3:$AG$15,MATCH(E49,'G-1 All Habitats'!$AF$3:$AF$15,0)),"")</f>
        <v/>
      </c>
      <c r="B49" s="47" t="str">
        <f>IFERROR(INDEX('G-8 Condition Look up'!$I$4:$I$130,MATCH(G49,'G-8 Condition Look up'!$A$4:$A$130,0)),"")</f>
        <v/>
      </c>
      <c r="D49" s="77">
        <v>39</v>
      </c>
      <c r="E49" s="78"/>
      <c r="F49" s="79"/>
      <c r="G49" s="69" t="str">
        <f>IFERROR(INDEX('G-1 All Habitats'!$B$3:$B$129,MATCH(F49,'G-1 All Habitats'!$A$3:$A$129,0)),"")</f>
        <v/>
      </c>
      <c r="H49" s="70"/>
      <c r="I49" s="498" t="str">
        <f>IF(G49="","",VLOOKUP(G49,'G-1 All Habitats'!$B$2:$M$129,10,FALSE))</f>
        <v/>
      </c>
      <c r="J49" s="499" t="str">
        <f>IFERROR(VLOOKUP(I49,'G-1 All Habitats'!$V$3:$W$7,2,FALSE),"")</f>
        <v/>
      </c>
      <c r="K49" s="71"/>
      <c r="L49" s="499" t="str">
        <f>IFERROR(INDEX('G-8 Condition Look up'!$A$3:$H$130,MATCH(G49,'G-8 Condition Look up'!$A$3:$A$130,0),MATCH(K49,'G-8 Condition Look up'!$A$3:$H$3,0)),"")</f>
        <v/>
      </c>
      <c r="M49" s="71"/>
      <c r="N49" s="520" t="str">
        <f>IF(M49="","",IF(VLOOKUP(M49,'G-3 Multipliers'!$L$3:$N$6,2,FALSE)=0,"Spatial Data Missing",VLOOKUP(M49,'G-3 Multipliers'!$L$3:$N$6,2,FALSE)))</f>
        <v/>
      </c>
      <c r="O49" s="505" t="str">
        <f>IF(M49="","",IF(VLOOKUP(M49,'G-3 Multipliers'!$L$3:$N$6,3,FALSE)=0,"Spatial Data Missing ▲",VLOOKUP(M49,'G-3 Multipliers'!$L$3:$N$6,3,FALSE)))</f>
        <v/>
      </c>
      <c r="P49" s="506" t="str">
        <f>IFERROR(VLOOKUP(G49,'G-1 All Habitats'!$B$2:$M$129,12,FALSE),"")</f>
        <v/>
      </c>
      <c r="Q49" s="513" t="str">
        <f>IFERROR(IF(P49="","",IF(AND(P49='G-1 All Habitats'!$X$3,T49&gt;0),U49+V49,IF(AND(P49='G-1 All Habitats'!$X$3,S49&gt;0),U49+V49,IF(AND(P49='G-1 All Habitats'!$X$3,AC49&gt;0),"Any Loss Unacceptable ▲",IF(AND(P49='G-1 All Habitats'!$X$3,W49&gt;0),"Any Loss Unacceptable ▲",H49*J49*L49*O49))))),"Check Data ▲")</f>
        <v/>
      </c>
      <c r="R49" s="50"/>
      <c r="S49" s="71"/>
      <c r="T49" s="72"/>
      <c r="U49" s="511" t="str">
        <f t="shared" si="3"/>
        <v/>
      </c>
      <c r="V49" s="511" t="str">
        <f t="shared" si="4"/>
        <v/>
      </c>
      <c r="W49" s="511" t="str">
        <f>IF(E49="","",IF(H49&lt;S49+T49,"Error in Areas ▲",IF(P49&lt;&gt;'G-1 All Habitats'!$X$3,H49-S49-T49,IF(AND(P49='G-1 All Habitats'!$X$3,Y49="Yes"),"Unacceptable Loss",IF(AND(P49='G-1 All Habitats'!$X$3,Y49="No"),AC49,IF(AND(P49='G-1 All Habitats'!$X$3,Y49=""),AC49,IF(AND(P49='G-1 All Habitats'!$X$3,AC49="None",AC49),IF(AND(P49='G-1 All Habitats'!$X$3,AC49&gt;0),H49-S49-T49))))))))</f>
        <v/>
      </c>
      <c r="X49" s="515" t="str">
        <f>IFERROR(IF(H49="","",IF(H49-S49-T49=0&lt;0,"Error in Areas ▲",IF(S49+T49&gt;H49,"Error in Areas ▲",IF(AND(P49='G-1 All Habitats'!$X$3,Y49="Yes"),"Alternative Compensation ✓",IF(W49=0,0,IF(P49='G-1 All Habitats'!$X$3,"Unacceptable Loss ▲",Q49-U49-V49)))))),"Check Data ▲")</f>
        <v/>
      </c>
      <c r="Y49" s="72"/>
      <c r="Z49" s="80"/>
      <c r="AA49" s="81"/>
      <c r="AC49" s="75" t="str">
        <f>IF(P49="","",IF(P49='G-1 All Habitats'!$X$3,H49-S49-T49,"None"))</f>
        <v/>
      </c>
      <c r="AD49" s="76" t="str">
        <f>IFERROR(AC49*J49*L49*#REF!*O49,IF(P49="","","None"))</f>
        <v/>
      </c>
      <c r="AF49" s="54" t="str">
        <f t="shared" si="0"/>
        <v/>
      </c>
      <c r="AG49" s="54" t="str">
        <f t="shared" si="1"/>
        <v/>
      </c>
      <c r="AH49" s="54" t="str">
        <f>IF(I49="","",IF(#REF!&gt;0,TRUE,FALSE))</f>
        <v/>
      </c>
      <c r="AI49" s="54">
        <v>39</v>
      </c>
      <c r="AJ49" s="54"/>
      <c r="AK49" s="54" t="str">
        <f t="array" ref="AK49">IFERROR(INDEX($AI$11:$AI$259, MATCH(0, IF(TRUE=$AF$11:$AF$259, COUNTIF($AK$10:$AK48, $AI$11:$AI$259), ""), 0)),"")</f>
        <v/>
      </c>
      <c r="AL49" s="54" t="str">
        <f t="array" ref="AL49">IFERROR(INDEX($AI$11:$AI$259, MATCH(0, IF(TRUE=$AG$11:$AG$259, COUNTIF($AL$10:$AL48, $AI$11:$AI$259), ""), 0)),"")</f>
        <v/>
      </c>
      <c r="AM49" s="54" t="str">
        <f t="array" ref="AM49">IFERROR(INDEX($AI$11:$AI$259, MATCH(0, IF(TRUE=$AH$11:$AH$259, COUNTIF($AM$10:$AM48, $AI$11:$AI$259), ""), 0)),"")</f>
        <v/>
      </c>
      <c r="AN49" s="54"/>
      <c r="AQ49" s="47">
        <f t="shared" si="2"/>
        <v>0</v>
      </c>
    </row>
    <row r="50" spans="1:43" x14ac:dyDescent="0.25">
      <c r="A50" s="47" t="str">
        <f>IFERROR(INDEX('G-1 All Habitats'!$AG$3:$AG$15,MATCH(E50,'G-1 All Habitats'!$AF$3:$AF$15,0)),"")</f>
        <v/>
      </c>
      <c r="B50" s="47" t="str">
        <f>IFERROR(INDEX('G-8 Condition Look up'!$I$4:$I$130,MATCH(G50,'G-8 Condition Look up'!$A$4:$A$130,0)),"")</f>
        <v/>
      </c>
      <c r="D50" s="77">
        <v>40</v>
      </c>
      <c r="E50" s="78"/>
      <c r="F50" s="79"/>
      <c r="G50" s="69" t="str">
        <f>IFERROR(INDEX('G-1 All Habitats'!$B$3:$B$129,MATCH(F50,'G-1 All Habitats'!$A$3:$A$129,0)),"")</f>
        <v/>
      </c>
      <c r="H50" s="70"/>
      <c r="I50" s="498" t="str">
        <f>IF(G50="","",VLOOKUP(G50,'G-1 All Habitats'!$B$2:$M$129,10,FALSE))</f>
        <v/>
      </c>
      <c r="J50" s="499" t="str">
        <f>IFERROR(VLOOKUP(I50,'G-1 All Habitats'!$V$3:$W$7,2,FALSE),"")</f>
        <v/>
      </c>
      <c r="K50" s="71"/>
      <c r="L50" s="499" t="str">
        <f>IFERROR(INDEX('G-8 Condition Look up'!$A$3:$H$130,MATCH(G50,'G-8 Condition Look up'!$A$3:$A$130,0),MATCH(K50,'G-8 Condition Look up'!$A$3:$H$3,0)),"")</f>
        <v/>
      </c>
      <c r="M50" s="71"/>
      <c r="N50" s="520" t="str">
        <f>IF(M50="","",IF(VLOOKUP(M50,'G-3 Multipliers'!$L$3:$N$6,2,FALSE)=0,"Spatial Data Missing",VLOOKUP(M50,'G-3 Multipliers'!$L$3:$N$6,2,FALSE)))</f>
        <v/>
      </c>
      <c r="O50" s="505" t="str">
        <f>IF(M50="","",IF(VLOOKUP(M50,'G-3 Multipliers'!$L$3:$N$6,3,FALSE)=0,"Spatial Data Missing ▲",VLOOKUP(M50,'G-3 Multipliers'!$L$3:$N$6,3,FALSE)))</f>
        <v/>
      </c>
      <c r="P50" s="506" t="str">
        <f>IFERROR(VLOOKUP(G50,'G-1 All Habitats'!$B$2:$M$129,12,FALSE),"")</f>
        <v/>
      </c>
      <c r="Q50" s="513" t="str">
        <f>IFERROR(IF(P50="","",IF(AND(P50='G-1 All Habitats'!$X$3,T50&gt;0),U50+V50,IF(AND(P50='G-1 All Habitats'!$X$3,S50&gt;0),U50+V50,IF(AND(P50='G-1 All Habitats'!$X$3,AC50&gt;0),"Any Loss Unacceptable ▲",IF(AND(P50='G-1 All Habitats'!$X$3,W50&gt;0),"Any Loss Unacceptable ▲",H50*J50*L50*O50))))),"Check Data ▲")</f>
        <v/>
      </c>
      <c r="R50" s="50"/>
      <c r="S50" s="71"/>
      <c r="T50" s="72"/>
      <c r="U50" s="511" t="str">
        <f t="shared" si="3"/>
        <v/>
      </c>
      <c r="V50" s="511" t="str">
        <f t="shared" si="4"/>
        <v/>
      </c>
      <c r="W50" s="511" t="str">
        <f>IF(E50="","",IF(H50&lt;S50+T50,"Error in Areas ▲",IF(P50&lt;&gt;'G-1 All Habitats'!$X$3,H50-S50-T50,IF(AND(P50='G-1 All Habitats'!$X$3,Y50="Yes"),"Unacceptable Loss",IF(AND(P50='G-1 All Habitats'!$X$3,Y50="No"),AC50,IF(AND(P50='G-1 All Habitats'!$X$3,Y50=""),AC50,IF(AND(P50='G-1 All Habitats'!$X$3,AC50="None",AC50),IF(AND(P50='G-1 All Habitats'!$X$3,AC50&gt;0),H50-S50-T50))))))))</f>
        <v/>
      </c>
      <c r="X50" s="515" t="str">
        <f>IFERROR(IF(H50="","",IF(H50-S50-T50=0&lt;0,"Error in Areas ▲",IF(S50+T50&gt;H50,"Error in Areas ▲",IF(AND(P50='G-1 All Habitats'!$X$3,Y50="Yes"),"Alternative Compensation ✓",IF(W50=0,0,IF(P50='G-1 All Habitats'!$X$3,"Unacceptable Loss ▲",Q50-U50-V50)))))),"Check Data ▲")</f>
        <v/>
      </c>
      <c r="Y50" s="72"/>
      <c r="Z50" s="80"/>
      <c r="AA50" s="81"/>
      <c r="AC50" s="75" t="str">
        <f>IF(P50="","",IF(P50='G-1 All Habitats'!$X$3,H50-S50-T50,"None"))</f>
        <v/>
      </c>
      <c r="AD50" s="76" t="str">
        <f>IFERROR(AC50*J50*L50*#REF!*O50,IF(P50="","","None"))</f>
        <v/>
      </c>
      <c r="AF50" s="54" t="str">
        <f t="shared" si="0"/>
        <v/>
      </c>
      <c r="AG50" s="54" t="str">
        <f t="shared" si="1"/>
        <v/>
      </c>
      <c r="AH50" s="54" t="str">
        <f>IF(I50="","",IF(#REF!&gt;0,TRUE,FALSE))</f>
        <v/>
      </c>
      <c r="AI50" s="54">
        <v>40</v>
      </c>
      <c r="AJ50" s="54"/>
      <c r="AK50" s="54" t="str">
        <f t="array" ref="AK50">IFERROR(INDEX($AI$11:$AI$259, MATCH(0, IF(TRUE=$AF$11:$AF$259, COUNTIF($AK$10:$AK49, $AI$11:$AI$259), ""), 0)),"")</f>
        <v/>
      </c>
      <c r="AL50" s="54" t="str">
        <f t="array" ref="AL50">IFERROR(INDEX($AI$11:$AI$259, MATCH(0, IF(TRUE=$AG$11:$AG$259, COUNTIF($AL$10:$AL49, $AI$11:$AI$259), ""), 0)),"")</f>
        <v/>
      </c>
      <c r="AM50" s="54" t="str">
        <f t="array" ref="AM50">IFERROR(INDEX($AI$11:$AI$259, MATCH(0, IF(TRUE=$AH$11:$AH$259, COUNTIF($AM$10:$AM49, $AI$11:$AI$259), ""), 0)),"")</f>
        <v/>
      </c>
      <c r="AN50" s="54"/>
      <c r="AQ50" s="47">
        <f t="shared" si="2"/>
        <v>0</v>
      </c>
    </row>
    <row r="51" spans="1:43" x14ac:dyDescent="0.25">
      <c r="A51" s="47" t="str">
        <f>IFERROR(INDEX('G-1 All Habitats'!$AG$3:$AG$15,MATCH(E51,'G-1 All Habitats'!$AF$3:$AF$15,0)),"")</f>
        <v/>
      </c>
      <c r="B51" s="47" t="str">
        <f>IFERROR(INDEX('G-8 Condition Look up'!$I$4:$I$130,MATCH(G51,'G-8 Condition Look up'!$A$4:$A$130,0)),"")</f>
        <v/>
      </c>
      <c r="D51" s="77">
        <v>41</v>
      </c>
      <c r="E51" s="78"/>
      <c r="F51" s="79"/>
      <c r="G51" s="69" t="str">
        <f>IFERROR(INDEX('G-1 All Habitats'!$B$3:$B$129,MATCH(F51,'G-1 All Habitats'!$A$3:$A$129,0)),"")</f>
        <v/>
      </c>
      <c r="H51" s="70"/>
      <c r="I51" s="498" t="str">
        <f>IF(G51="","",VLOOKUP(G51,'G-1 All Habitats'!$B$2:$M$129,10,FALSE))</f>
        <v/>
      </c>
      <c r="J51" s="499" t="str">
        <f>IFERROR(VLOOKUP(I51,'G-1 All Habitats'!$V$3:$W$7,2,FALSE),"")</f>
        <v/>
      </c>
      <c r="K51" s="71"/>
      <c r="L51" s="499" t="str">
        <f>IFERROR(INDEX('G-8 Condition Look up'!$A$3:$H$130,MATCH(G51,'G-8 Condition Look up'!$A$3:$A$130,0),MATCH(K51,'G-8 Condition Look up'!$A$3:$H$3,0)),"")</f>
        <v/>
      </c>
      <c r="M51" s="71"/>
      <c r="N51" s="520" t="str">
        <f>IF(M51="","",IF(VLOOKUP(M51,'G-3 Multipliers'!$L$3:$N$6,2,FALSE)=0,"Spatial Data Missing",VLOOKUP(M51,'G-3 Multipliers'!$L$3:$N$6,2,FALSE)))</f>
        <v/>
      </c>
      <c r="O51" s="505" t="str">
        <f>IF(M51="","",IF(VLOOKUP(M51,'G-3 Multipliers'!$L$3:$N$6,3,FALSE)=0,"Spatial Data Missing ▲",VLOOKUP(M51,'G-3 Multipliers'!$L$3:$N$6,3,FALSE)))</f>
        <v/>
      </c>
      <c r="P51" s="506" t="str">
        <f>IFERROR(VLOOKUP(G51,'G-1 All Habitats'!$B$2:$M$129,12,FALSE),"")</f>
        <v/>
      </c>
      <c r="Q51" s="513" t="str">
        <f>IFERROR(IF(P51="","",IF(AND(P51='G-1 All Habitats'!$X$3,T51&gt;0),U51+V51,IF(AND(P51='G-1 All Habitats'!$X$3,S51&gt;0),U51+V51,IF(AND(P51='G-1 All Habitats'!$X$3,AC51&gt;0),"Any Loss Unacceptable ▲",IF(AND(P51='G-1 All Habitats'!$X$3,W51&gt;0),"Any Loss Unacceptable ▲",H51*J51*L51*O51))))),"Check Data ▲")</f>
        <v/>
      </c>
      <c r="R51" s="50"/>
      <c r="S51" s="71"/>
      <c r="T51" s="72"/>
      <c r="U51" s="511" t="str">
        <f t="shared" si="3"/>
        <v/>
      </c>
      <c r="V51" s="511" t="str">
        <f t="shared" si="4"/>
        <v/>
      </c>
      <c r="W51" s="511" t="str">
        <f>IF(E51="","",IF(H51&lt;S51+T51,"Error in Areas ▲",IF(P51&lt;&gt;'G-1 All Habitats'!$X$3,H51-S51-T51,IF(AND(P51='G-1 All Habitats'!$X$3,Y51="Yes"),"Unacceptable Loss",IF(AND(P51='G-1 All Habitats'!$X$3,Y51="No"),AC51,IF(AND(P51='G-1 All Habitats'!$X$3,Y51=""),AC51,IF(AND(P51='G-1 All Habitats'!$X$3,AC51="None",AC51),IF(AND(P51='G-1 All Habitats'!$X$3,AC51&gt;0),H51-S51-T51))))))))</f>
        <v/>
      </c>
      <c r="X51" s="515" t="str">
        <f>IFERROR(IF(H51="","",IF(H51-S51-T51=0&lt;0,"Error in Areas ▲",IF(S51+T51&gt;H51,"Error in Areas ▲",IF(AND(P51='G-1 All Habitats'!$X$3,Y51="Yes"),"Alternative Compensation ✓",IF(W51=0,0,IF(P51='G-1 All Habitats'!$X$3,"Unacceptable Loss ▲",Q51-U51-V51)))))),"Check Data ▲")</f>
        <v/>
      </c>
      <c r="Y51" s="72"/>
      <c r="Z51" s="80"/>
      <c r="AA51" s="81"/>
      <c r="AC51" s="75" t="str">
        <f>IF(P51="","",IF(P51='G-1 All Habitats'!$X$3,H51-S51-T51,"None"))</f>
        <v/>
      </c>
      <c r="AD51" s="76" t="str">
        <f>IFERROR(AC51*J51*L51*#REF!*O51,IF(P51="","","None"))</f>
        <v/>
      </c>
      <c r="AF51" s="54" t="str">
        <f t="shared" si="0"/>
        <v/>
      </c>
      <c r="AG51" s="54" t="str">
        <f t="shared" si="1"/>
        <v/>
      </c>
      <c r="AH51" s="54" t="str">
        <f>IF(I51="","",IF(#REF!&gt;0,TRUE,FALSE))</f>
        <v/>
      </c>
      <c r="AI51" s="54">
        <v>41</v>
      </c>
      <c r="AJ51" s="54"/>
      <c r="AK51" s="54" t="str">
        <f t="array" ref="AK51">IFERROR(INDEX($AI$11:$AI$259, MATCH(0, IF(TRUE=$AF$11:$AF$259, COUNTIF($AK$10:$AK50, $AI$11:$AI$259), ""), 0)),"")</f>
        <v/>
      </c>
      <c r="AL51" s="54" t="str">
        <f t="array" ref="AL51">IFERROR(INDEX($AI$11:$AI$259, MATCH(0, IF(TRUE=$AG$11:$AG$259, COUNTIF($AL$10:$AL50, $AI$11:$AI$259), ""), 0)),"")</f>
        <v/>
      </c>
      <c r="AM51" s="54" t="str">
        <f t="array" ref="AM51">IFERROR(INDEX($AI$11:$AI$259, MATCH(0, IF(TRUE=$AH$11:$AH$259, COUNTIF($AM$10:$AM50, $AI$11:$AI$259), ""), 0)),"")</f>
        <v/>
      </c>
      <c r="AN51" s="54"/>
      <c r="AQ51" s="47">
        <f t="shared" si="2"/>
        <v>0</v>
      </c>
    </row>
    <row r="52" spans="1:43" x14ac:dyDescent="0.25">
      <c r="A52" s="47" t="str">
        <f>IFERROR(INDEX('G-1 All Habitats'!$AG$3:$AG$15,MATCH(E52,'G-1 All Habitats'!$AF$3:$AF$15,0)),"")</f>
        <v/>
      </c>
      <c r="B52" s="47" t="str">
        <f>IFERROR(INDEX('G-8 Condition Look up'!$I$4:$I$130,MATCH(G52,'G-8 Condition Look up'!$A$4:$A$130,0)),"")</f>
        <v/>
      </c>
      <c r="D52" s="77">
        <v>42</v>
      </c>
      <c r="E52" s="78"/>
      <c r="F52" s="79"/>
      <c r="G52" s="69" t="str">
        <f>IFERROR(INDEX('G-1 All Habitats'!$B$3:$B$129,MATCH(F52,'G-1 All Habitats'!$A$3:$A$129,0)),"")</f>
        <v/>
      </c>
      <c r="H52" s="70"/>
      <c r="I52" s="498" t="str">
        <f>IF(G52="","",VLOOKUP(G52,'G-1 All Habitats'!$B$2:$M$129,10,FALSE))</f>
        <v/>
      </c>
      <c r="J52" s="499" t="str">
        <f>IFERROR(VLOOKUP(I52,'G-1 All Habitats'!$V$3:$W$7,2,FALSE),"")</f>
        <v/>
      </c>
      <c r="K52" s="71"/>
      <c r="L52" s="499" t="str">
        <f>IFERROR(INDEX('G-8 Condition Look up'!$A$3:$H$130,MATCH(G52,'G-8 Condition Look up'!$A$3:$A$130,0),MATCH(K52,'G-8 Condition Look up'!$A$3:$H$3,0)),"")</f>
        <v/>
      </c>
      <c r="M52" s="71"/>
      <c r="N52" s="520" t="str">
        <f>IF(M52="","",IF(VLOOKUP(M52,'G-3 Multipliers'!$L$3:$N$6,2,FALSE)=0,"Spatial Data Missing",VLOOKUP(M52,'G-3 Multipliers'!$L$3:$N$6,2,FALSE)))</f>
        <v/>
      </c>
      <c r="O52" s="505" t="str">
        <f>IF(M52="","",IF(VLOOKUP(M52,'G-3 Multipliers'!$L$3:$N$6,3,FALSE)=0,"Spatial Data Missing ▲",VLOOKUP(M52,'G-3 Multipliers'!$L$3:$N$6,3,FALSE)))</f>
        <v/>
      </c>
      <c r="P52" s="506" t="str">
        <f>IFERROR(VLOOKUP(G52,'G-1 All Habitats'!$B$2:$M$129,12,FALSE),"")</f>
        <v/>
      </c>
      <c r="Q52" s="513" t="str">
        <f>IFERROR(IF(P52="","",IF(AND(P52='G-1 All Habitats'!$X$3,T52&gt;0),U52+V52,IF(AND(P52='G-1 All Habitats'!$X$3,S52&gt;0),U52+V52,IF(AND(P52='G-1 All Habitats'!$X$3,AC52&gt;0),"Any Loss Unacceptable ▲",IF(AND(P52='G-1 All Habitats'!$X$3,W52&gt;0),"Any Loss Unacceptable ▲",H52*J52*L52*O52))))),"Check Data ▲")</f>
        <v/>
      </c>
      <c r="R52" s="50"/>
      <c r="S52" s="71"/>
      <c r="T52" s="72"/>
      <c r="U52" s="511" t="str">
        <f t="shared" si="3"/>
        <v/>
      </c>
      <c r="V52" s="511" t="str">
        <f t="shared" si="4"/>
        <v/>
      </c>
      <c r="W52" s="511" t="str">
        <f>IF(E52="","",IF(H52&lt;S52+T52,"Error in Areas ▲",IF(P52&lt;&gt;'G-1 All Habitats'!$X$3,H52-S52-T52,IF(AND(P52='G-1 All Habitats'!$X$3,Y52="Yes"),"Unacceptable Loss",IF(AND(P52='G-1 All Habitats'!$X$3,Y52="No"),AC52,IF(AND(P52='G-1 All Habitats'!$X$3,Y52=""),AC52,IF(AND(P52='G-1 All Habitats'!$X$3,AC52="None",AC52),IF(AND(P52='G-1 All Habitats'!$X$3,AC52&gt;0),H52-S52-T52))))))))</f>
        <v/>
      </c>
      <c r="X52" s="515" t="str">
        <f>IFERROR(IF(H52="","",IF(H52-S52-T52=0&lt;0,"Error in Areas ▲",IF(S52+T52&gt;H52,"Error in Areas ▲",IF(AND(P52='G-1 All Habitats'!$X$3,Y52="Yes"),"Alternative Compensation ✓",IF(W52=0,0,IF(P52='G-1 All Habitats'!$X$3,"Unacceptable Loss ▲",Q52-U52-V52)))))),"Check Data ▲")</f>
        <v/>
      </c>
      <c r="Y52" s="72"/>
      <c r="Z52" s="80"/>
      <c r="AA52" s="81"/>
      <c r="AC52" s="75" t="str">
        <f>IF(P52="","",IF(P52='G-1 All Habitats'!$X$3,H52-S52-T52,"None"))</f>
        <v/>
      </c>
      <c r="AD52" s="76" t="str">
        <f>IFERROR(AC52*J52*L52*#REF!*O52,IF(P52="","","None"))</f>
        <v/>
      </c>
      <c r="AF52" s="54" t="str">
        <f t="shared" si="0"/>
        <v/>
      </c>
      <c r="AG52" s="54" t="str">
        <f t="shared" si="1"/>
        <v/>
      </c>
      <c r="AH52" s="54" t="str">
        <f>IF(I52="","",IF(#REF!&gt;0,TRUE,FALSE))</f>
        <v/>
      </c>
      <c r="AI52" s="54">
        <v>42</v>
      </c>
      <c r="AJ52" s="54"/>
      <c r="AK52" s="54" t="str">
        <f t="array" ref="AK52">IFERROR(INDEX($AI$11:$AI$259, MATCH(0, IF(TRUE=$AF$11:$AF$259, COUNTIF($AK$10:$AK51, $AI$11:$AI$259), ""), 0)),"")</f>
        <v/>
      </c>
      <c r="AL52" s="54" t="str">
        <f t="array" ref="AL52">IFERROR(INDEX($AI$11:$AI$259, MATCH(0, IF(TRUE=$AG$11:$AG$259, COUNTIF($AL$10:$AL51, $AI$11:$AI$259), ""), 0)),"")</f>
        <v/>
      </c>
      <c r="AM52" s="54" t="str">
        <f t="array" ref="AM52">IFERROR(INDEX($AI$11:$AI$259, MATCH(0, IF(TRUE=$AH$11:$AH$259, COUNTIF($AM$10:$AM51, $AI$11:$AI$259), ""), 0)),"")</f>
        <v/>
      </c>
      <c r="AN52" s="54"/>
      <c r="AQ52" s="47">
        <f t="shared" si="2"/>
        <v>0</v>
      </c>
    </row>
    <row r="53" spans="1:43" x14ac:dyDescent="0.25">
      <c r="A53" s="47" t="str">
        <f>IFERROR(INDEX('G-1 All Habitats'!$AG$3:$AG$15,MATCH(E53,'G-1 All Habitats'!$AF$3:$AF$15,0)),"")</f>
        <v/>
      </c>
      <c r="B53" s="47" t="str">
        <f>IFERROR(INDEX('G-8 Condition Look up'!$I$4:$I$130,MATCH(G53,'G-8 Condition Look up'!$A$4:$A$130,0)),"")</f>
        <v/>
      </c>
      <c r="D53" s="77">
        <v>43</v>
      </c>
      <c r="E53" s="78"/>
      <c r="F53" s="79"/>
      <c r="G53" s="69" t="str">
        <f>IFERROR(INDEX('G-1 All Habitats'!$B$3:$B$129,MATCH(F53,'G-1 All Habitats'!$A$3:$A$129,0)),"")</f>
        <v/>
      </c>
      <c r="H53" s="70"/>
      <c r="I53" s="498" t="str">
        <f>IF(G53="","",VLOOKUP(G53,'G-1 All Habitats'!$B$2:$M$129,10,FALSE))</f>
        <v/>
      </c>
      <c r="J53" s="499" t="str">
        <f>IFERROR(VLOOKUP(I53,'G-1 All Habitats'!$V$3:$W$7,2,FALSE),"")</f>
        <v/>
      </c>
      <c r="K53" s="71"/>
      <c r="L53" s="499" t="str">
        <f>IFERROR(INDEX('G-8 Condition Look up'!$A$3:$H$130,MATCH(G53,'G-8 Condition Look up'!$A$3:$A$130,0),MATCH(K53,'G-8 Condition Look up'!$A$3:$H$3,0)),"")</f>
        <v/>
      </c>
      <c r="M53" s="71"/>
      <c r="N53" s="520" t="str">
        <f>IF(M53="","",IF(VLOOKUP(M53,'G-3 Multipliers'!$L$3:$N$6,2,FALSE)=0,"Spatial Data Missing",VLOOKUP(M53,'G-3 Multipliers'!$L$3:$N$6,2,FALSE)))</f>
        <v/>
      </c>
      <c r="O53" s="505" t="str">
        <f>IF(M53="","",IF(VLOOKUP(M53,'G-3 Multipliers'!$L$3:$N$6,3,FALSE)=0,"Spatial Data Missing ▲",VLOOKUP(M53,'G-3 Multipliers'!$L$3:$N$6,3,FALSE)))</f>
        <v/>
      </c>
      <c r="P53" s="506" t="str">
        <f>IFERROR(VLOOKUP(G53,'G-1 All Habitats'!$B$2:$M$129,12,FALSE),"")</f>
        <v/>
      </c>
      <c r="Q53" s="513" t="str">
        <f>IFERROR(IF(P53="","",IF(AND(P53='G-1 All Habitats'!$X$3,T53&gt;0),U53+V53,IF(AND(P53='G-1 All Habitats'!$X$3,S53&gt;0),U53+V53,IF(AND(P53='G-1 All Habitats'!$X$3,AC53&gt;0),"Any Loss Unacceptable ▲",IF(AND(P53='G-1 All Habitats'!$X$3,W53&gt;0),"Any Loss Unacceptable ▲",H53*J53*L53*O53))))),"Check Data ▲")</f>
        <v/>
      </c>
      <c r="R53" s="50"/>
      <c r="S53" s="71"/>
      <c r="T53" s="72"/>
      <c r="U53" s="511" t="str">
        <f t="shared" si="3"/>
        <v/>
      </c>
      <c r="V53" s="511" t="str">
        <f t="shared" si="4"/>
        <v/>
      </c>
      <c r="W53" s="511" t="str">
        <f>IF(E53="","",IF(H53&lt;S53+T53,"Error in Areas ▲",IF(P53&lt;&gt;'G-1 All Habitats'!$X$3,H53-S53-T53,IF(AND(P53='G-1 All Habitats'!$X$3,Y53="Yes"),"Unacceptable Loss",IF(AND(P53='G-1 All Habitats'!$X$3,Y53="No"),AC53,IF(AND(P53='G-1 All Habitats'!$X$3,Y53=""),AC53,IF(AND(P53='G-1 All Habitats'!$X$3,AC53="None",AC53),IF(AND(P53='G-1 All Habitats'!$X$3,AC53&gt;0),H53-S53-T53))))))))</f>
        <v/>
      </c>
      <c r="X53" s="515" t="str">
        <f>IFERROR(IF(H53="","",IF(H53-S53-T53=0&lt;0,"Error in Areas ▲",IF(S53+T53&gt;H53,"Error in Areas ▲",IF(AND(P53='G-1 All Habitats'!$X$3,Y53="Yes"),"Alternative Compensation ✓",IF(W53=0,0,IF(P53='G-1 All Habitats'!$X$3,"Unacceptable Loss ▲",Q53-U53-V53)))))),"Check Data ▲")</f>
        <v/>
      </c>
      <c r="Y53" s="72"/>
      <c r="Z53" s="80"/>
      <c r="AA53" s="81"/>
      <c r="AC53" s="75" t="str">
        <f>IF(P53="","",IF(P53='G-1 All Habitats'!$X$3,H53-S53-T53,"None"))</f>
        <v/>
      </c>
      <c r="AD53" s="76" t="str">
        <f>IFERROR(AC53*J53*L53*#REF!*O53,IF(P53="","","None"))</f>
        <v/>
      </c>
      <c r="AF53" s="54" t="str">
        <f t="shared" si="0"/>
        <v/>
      </c>
      <c r="AG53" s="54" t="str">
        <f t="shared" si="1"/>
        <v/>
      </c>
      <c r="AH53" s="54" t="str">
        <f>IF(I53="","",IF(#REF!&gt;0,TRUE,FALSE))</f>
        <v/>
      </c>
      <c r="AI53" s="54">
        <v>43</v>
      </c>
      <c r="AJ53" s="54"/>
      <c r="AK53" s="54" t="str">
        <f t="array" ref="AK53">IFERROR(INDEX($AI$11:$AI$259, MATCH(0, IF(TRUE=$AF$11:$AF$259, COUNTIF($AK$10:$AK52, $AI$11:$AI$259), ""), 0)),"")</f>
        <v/>
      </c>
      <c r="AL53" s="54" t="str">
        <f t="array" ref="AL53">IFERROR(INDEX($AI$11:$AI$259, MATCH(0, IF(TRUE=$AG$11:$AG$259, COUNTIF($AL$10:$AL52, $AI$11:$AI$259), ""), 0)),"")</f>
        <v/>
      </c>
      <c r="AM53" s="54" t="str">
        <f t="array" ref="AM53">IFERROR(INDEX($AI$11:$AI$259, MATCH(0, IF(TRUE=$AH$11:$AH$259, COUNTIF($AM$10:$AM52, $AI$11:$AI$259), ""), 0)),"")</f>
        <v/>
      </c>
      <c r="AN53" s="54"/>
      <c r="AQ53" s="47">
        <f t="shared" si="2"/>
        <v>0</v>
      </c>
    </row>
    <row r="54" spans="1:43" x14ac:dyDescent="0.25">
      <c r="A54" s="47" t="str">
        <f>IFERROR(INDEX('G-1 All Habitats'!$AG$3:$AG$15,MATCH(E54,'G-1 All Habitats'!$AF$3:$AF$15,0)),"")</f>
        <v/>
      </c>
      <c r="B54" s="47" t="str">
        <f>IFERROR(INDEX('G-8 Condition Look up'!$I$4:$I$130,MATCH(G54,'G-8 Condition Look up'!$A$4:$A$130,0)),"")</f>
        <v/>
      </c>
      <c r="D54" s="77">
        <v>44</v>
      </c>
      <c r="E54" s="78"/>
      <c r="F54" s="79"/>
      <c r="G54" s="69" t="str">
        <f>IFERROR(INDEX('G-1 All Habitats'!$B$3:$B$129,MATCH(F54,'G-1 All Habitats'!$A$3:$A$129,0)),"")</f>
        <v/>
      </c>
      <c r="H54" s="70"/>
      <c r="I54" s="498" t="str">
        <f>IF(G54="","",VLOOKUP(G54,'G-1 All Habitats'!$B$2:$M$129,10,FALSE))</f>
        <v/>
      </c>
      <c r="J54" s="499" t="str">
        <f>IFERROR(VLOOKUP(I54,'G-1 All Habitats'!$V$3:$W$7,2,FALSE),"")</f>
        <v/>
      </c>
      <c r="K54" s="71"/>
      <c r="L54" s="499" t="str">
        <f>IFERROR(INDEX('G-8 Condition Look up'!$A$3:$H$130,MATCH(G54,'G-8 Condition Look up'!$A$3:$A$130,0),MATCH(K54,'G-8 Condition Look up'!$A$3:$H$3,0)),"")</f>
        <v/>
      </c>
      <c r="M54" s="71"/>
      <c r="N54" s="520" t="str">
        <f>IF(M54="","",IF(VLOOKUP(M54,'G-3 Multipliers'!$L$3:$N$6,2,FALSE)=0,"Spatial Data Missing",VLOOKUP(M54,'G-3 Multipliers'!$L$3:$N$6,2,FALSE)))</f>
        <v/>
      </c>
      <c r="O54" s="505" t="str">
        <f>IF(M54="","",IF(VLOOKUP(M54,'G-3 Multipliers'!$L$3:$N$6,3,FALSE)=0,"Spatial Data Missing ▲",VLOOKUP(M54,'G-3 Multipliers'!$L$3:$N$6,3,FALSE)))</f>
        <v/>
      </c>
      <c r="P54" s="506" t="str">
        <f>IFERROR(VLOOKUP(G54,'G-1 All Habitats'!$B$2:$M$129,12,FALSE),"")</f>
        <v/>
      </c>
      <c r="Q54" s="513" t="str">
        <f>IFERROR(IF(P54="","",IF(AND(P54='G-1 All Habitats'!$X$3,T54&gt;0),U54+V54,IF(AND(P54='G-1 All Habitats'!$X$3,S54&gt;0),U54+V54,IF(AND(P54='G-1 All Habitats'!$X$3,AC54&gt;0),"Any Loss Unacceptable ▲",IF(AND(P54='G-1 All Habitats'!$X$3,W54&gt;0),"Any Loss Unacceptable ▲",H54*J54*L54*O54))))),"Check Data ▲")</f>
        <v/>
      </c>
      <c r="R54" s="50"/>
      <c r="S54" s="71"/>
      <c r="T54" s="72"/>
      <c r="U54" s="511" t="str">
        <f t="shared" si="3"/>
        <v/>
      </c>
      <c r="V54" s="511" t="str">
        <f t="shared" si="4"/>
        <v/>
      </c>
      <c r="W54" s="511" t="str">
        <f>IF(E54="","",IF(H54&lt;S54+T54,"Error in Areas ▲",IF(P54&lt;&gt;'G-1 All Habitats'!$X$3,H54-S54-T54,IF(AND(P54='G-1 All Habitats'!$X$3,Y54="Yes"),"Unacceptable Loss",IF(AND(P54='G-1 All Habitats'!$X$3,Y54="No"),AC54,IF(AND(P54='G-1 All Habitats'!$X$3,Y54=""),AC54,IF(AND(P54='G-1 All Habitats'!$X$3,AC54="None",AC54),IF(AND(P54='G-1 All Habitats'!$X$3,AC54&gt;0),H54-S54-T54))))))))</f>
        <v/>
      </c>
      <c r="X54" s="515" t="str">
        <f>IFERROR(IF(H54="","",IF(H54-S54-T54=0&lt;0,"Error in Areas ▲",IF(S54+T54&gt;H54,"Error in Areas ▲",IF(AND(P54='G-1 All Habitats'!$X$3,Y54="Yes"),"Alternative Compensation ✓",IF(W54=0,0,IF(P54='G-1 All Habitats'!$X$3,"Unacceptable Loss ▲",Q54-U54-V54)))))),"Check Data ▲")</f>
        <v/>
      </c>
      <c r="Y54" s="72"/>
      <c r="Z54" s="80"/>
      <c r="AA54" s="81"/>
      <c r="AC54" s="75" t="str">
        <f>IF(P54="","",IF(P54='G-1 All Habitats'!$X$3,H54-S54-T54,"None"))</f>
        <v/>
      </c>
      <c r="AD54" s="76" t="str">
        <f>IFERROR(AC54*J54*L54*#REF!*O54,IF(P54="","","None"))</f>
        <v/>
      </c>
      <c r="AF54" s="54" t="str">
        <f t="shared" si="0"/>
        <v/>
      </c>
      <c r="AG54" s="54" t="str">
        <f t="shared" si="1"/>
        <v/>
      </c>
      <c r="AH54" s="54" t="str">
        <f>IF(I54="","",IF(#REF!&gt;0,TRUE,FALSE))</f>
        <v/>
      </c>
      <c r="AI54" s="54">
        <v>44</v>
      </c>
      <c r="AJ54" s="54"/>
      <c r="AK54" s="54" t="str">
        <f t="array" ref="AK54">IFERROR(INDEX($AI$11:$AI$259, MATCH(0, IF(TRUE=$AF$11:$AF$259, COUNTIF($AK$10:$AK53, $AI$11:$AI$259), ""), 0)),"")</f>
        <v/>
      </c>
      <c r="AL54" s="54" t="str">
        <f t="array" ref="AL54">IFERROR(INDEX($AI$11:$AI$259, MATCH(0, IF(TRUE=$AG$11:$AG$259, COUNTIF($AL$10:$AL53, $AI$11:$AI$259), ""), 0)),"")</f>
        <v/>
      </c>
      <c r="AM54" s="54" t="str">
        <f t="array" ref="AM54">IFERROR(INDEX($AI$11:$AI$259, MATCH(0, IF(TRUE=$AH$11:$AH$259, COUNTIF($AM$10:$AM53, $AI$11:$AI$259), ""), 0)),"")</f>
        <v/>
      </c>
      <c r="AN54" s="54"/>
      <c r="AQ54" s="47">
        <f t="shared" si="2"/>
        <v>0</v>
      </c>
    </row>
    <row r="55" spans="1:43" x14ac:dyDescent="0.25">
      <c r="A55" s="47" t="str">
        <f>IFERROR(INDEX('G-1 All Habitats'!$AG$3:$AG$15,MATCH(E55,'G-1 All Habitats'!$AF$3:$AF$15,0)),"")</f>
        <v/>
      </c>
      <c r="B55" s="47" t="str">
        <f>IFERROR(INDEX('G-8 Condition Look up'!$I$4:$I$130,MATCH(G55,'G-8 Condition Look up'!$A$4:$A$130,0)),"")</f>
        <v/>
      </c>
      <c r="D55" s="77">
        <v>45</v>
      </c>
      <c r="E55" s="78"/>
      <c r="F55" s="79"/>
      <c r="G55" s="69" t="str">
        <f>IFERROR(INDEX('G-1 All Habitats'!$B$3:$B$129,MATCH(F55,'G-1 All Habitats'!$A$3:$A$129,0)),"")</f>
        <v/>
      </c>
      <c r="H55" s="70"/>
      <c r="I55" s="498" t="str">
        <f>IF(G55="","",VLOOKUP(G55,'G-1 All Habitats'!$B$2:$M$129,10,FALSE))</f>
        <v/>
      </c>
      <c r="J55" s="499" t="str">
        <f>IFERROR(VLOOKUP(I55,'G-1 All Habitats'!$V$3:$W$7,2,FALSE),"")</f>
        <v/>
      </c>
      <c r="K55" s="71"/>
      <c r="L55" s="499" t="str">
        <f>IFERROR(INDEX('G-8 Condition Look up'!$A$3:$H$130,MATCH(G55,'G-8 Condition Look up'!$A$3:$A$130,0),MATCH(K55,'G-8 Condition Look up'!$A$3:$H$3,0)),"")</f>
        <v/>
      </c>
      <c r="M55" s="71"/>
      <c r="N55" s="520" t="str">
        <f>IF(M55="","",IF(VLOOKUP(M55,'G-3 Multipliers'!$L$3:$N$6,2,FALSE)=0,"Spatial Data Missing",VLOOKUP(M55,'G-3 Multipliers'!$L$3:$N$6,2,FALSE)))</f>
        <v/>
      </c>
      <c r="O55" s="505" t="str">
        <f>IF(M55="","",IF(VLOOKUP(M55,'G-3 Multipliers'!$L$3:$N$6,3,FALSE)=0,"Spatial Data Missing ▲",VLOOKUP(M55,'G-3 Multipliers'!$L$3:$N$6,3,FALSE)))</f>
        <v/>
      </c>
      <c r="P55" s="506" t="str">
        <f>IFERROR(VLOOKUP(G55,'G-1 All Habitats'!$B$2:$M$129,12,FALSE),"")</f>
        <v/>
      </c>
      <c r="Q55" s="513" t="str">
        <f>IFERROR(IF(P55="","",IF(AND(P55='G-1 All Habitats'!$X$3,T55&gt;0),U55+V55,IF(AND(P55='G-1 All Habitats'!$X$3,S55&gt;0),U55+V55,IF(AND(P55='G-1 All Habitats'!$X$3,AC55&gt;0),"Any Loss Unacceptable ▲",IF(AND(P55='G-1 All Habitats'!$X$3,W55&gt;0),"Any Loss Unacceptable ▲",H55*J55*L55*O55))))),"Check Data ▲")</f>
        <v/>
      </c>
      <c r="R55" s="50"/>
      <c r="S55" s="71"/>
      <c r="T55" s="72"/>
      <c r="U55" s="511" t="str">
        <f t="shared" si="3"/>
        <v/>
      </c>
      <c r="V55" s="511" t="str">
        <f t="shared" si="4"/>
        <v/>
      </c>
      <c r="W55" s="511" t="str">
        <f>IF(E55="","",IF(H55&lt;S55+T55,"Error in Areas ▲",IF(P55&lt;&gt;'G-1 All Habitats'!$X$3,H55-S55-T55,IF(AND(P55='G-1 All Habitats'!$X$3,Y55="Yes"),"Unacceptable Loss",IF(AND(P55='G-1 All Habitats'!$X$3,Y55="No"),AC55,IF(AND(P55='G-1 All Habitats'!$X$3,Y55=""),AC55,IF(AND(P55='G-1 All Habitats'!$X$3,AC55="None",AC55),IF(AND(P55='G-1 All Habitats'!$X$3,AC55&gt;0),H55-S55-T55))))))))</f>
        <v/>
      </c>
      <c r="X55" s="515" t="str">
        <f>IFERROR(IF(H55="","",IF(H55-S55-T55=0&lt;0,"Error in Areas ▲",IF(S55+T55&gt;H55,"Error in Areas ▲",IF(AND(P55='G-1 All Habitats'!$X$3,Y55="Yes"),"Alternative Compensation ✓",IF(W55=0,0,IF(P55='G-1 All Habitats'!$X$3,"Unacceptable Loss ▲",Q55-U55-V55)))))),"Check Data ▲")</f>
        <v/>
      </c>
      <c r="Y55" s="72"/>
      <c r="Z55" s="80"/>
      <c r="AA55" s="81"/>
      <c r="AC55" s="75" t="str">
        <f>IF(P55="","",IF(P55='G-1 All Habitats'!$X$3,H55-S55-T55,"None"))</f>
        <v/>
      </c>
      <c r="AD55" s="76" t="str">
        <f>IFERROR(AC55*J55*L55*#REF!*O55,IF(P55="","","None"))</f>
        <v/>
      </c>
      <c r="AF55" s="54" t="str">
        <f t="shared" si="0"/>
        <v/>
      </c>
      <c r="AG55" s="54" t="str">
        <f t="shared" si="1"/>
        <v/>
      </c>
      <c r="AH55" s="54" t="str">
        <f>IF(I55="","",IF(#REF!&gt;0,TRUE,FALSE))</f>
        <v/>
      </c>
      <c r="AI55" s="54">
        <v>45</v>
      </c>
      <c r="AJ55" s="54"/>
      <c r="AK55" s="54" t="str">
        <f t="array" ref="AK55">IFERROR(INDEX($AI$11:$AI$259, MATCH(0, IF(TRUE=$AF$11:$AF$259, COUNTIF($AK$10:$AK54, $AI$11:$AI$259), ""), 0)),"")</f>
        <v/>
      </c>
      <c r="AL55" s="54" t="str">
        <f t="array" ref="AL55">IFERROR(INDEX($AI$11:$AI$259, MATCH(0, IF(TRUE=$AG$11:$AG$259, COUNTIF($AL$10:$AL54, $AI$11:$AI$259), ""), 0)),"")</f>
        <v/>
      </c>
      <c r="AM55" s="54" t="str">
        <f t="array" ref="AM55">IFERROR(INDEX($AI$11:$AI$259, MATCH(0, IF(TRUE=$AH$11:$AH$259, COUNTIF($AM$10:$AM54, $AI$11:$AI$259), ""), 0)),"")</f>
        <v/>
      </c>
      <c r="AN55" s="54"/>
      <c r="AQ55" s="47">
        <f t="shared" si="2"/>
        <v>0</v>
      </c>
    </row>
    <row r="56" spans="1:43" x14ac:dyDescent="0.25">
      <c r="A56" s="47" t="str">
        <f>IFERROR(INDEX('G-1 All Habitats'!$AG$3:$AG$15,MATCH(E56,'G-1 All Habitats'!$AF$3:$AF$15,0)),"")</f>
        <v/>
      </c>
      <c r="B56" s="47" t="str">
        <f>IFERROR(INDEX('G-8 Condition Look up'!$I$4:$I$130,MATCH(G56,'G-8 Condition Look up'!$A$4:$A$130,0)),"")</f>
        <v/>
      </c>
      <c r="D56" s="77">
        <v>46</v>
      </c>
      <c r="E56" s="78"/>
      <c r="F56" s="79"/>
      <c r="G56" s="69" t="str">
        <f>IFERROR(INDEX('G-1 All Habitats'!$B$3:$B$129,MATCH(F56,'G-1 All Habitats'!$A$3:$A$129,0)),"")</f>
        <v/>
      </c>
      <c r="H56" s="70"/>
      <c r="I56" s="498" t="str">
        <f>IF(G56="","",VLOOKUP(G56,'G-1 All Habitats'!$B$2:$M$129,10,FALSE))</f>
        <v/>
      </c>
      <c r="J56" s="499" t="str">
        <f>IFERROR(VLOOKUP(I56,'G-1 All Habitats'!$V$3:$W$7,2,FALSE),"")</f>
        <v/>
      </c>
      <c r="K56" s="71"/>
      <c r="L56" s="499" t="str">
        <f>IFERROR(INDEX('G-8 Condition Look up'!$A$3:$H$130,MATCH(G56,'G-8 Condition Look up'!$A$3:$A$130,0),MATCH(K56,'G-8 Condition Look up'!$A$3:$H$3,0)),"")</f>
        <v/>
      </c>
      <c r="M56" s="71"/>
      <c r="N56" s="520" t="str">
        <f>IF(M56="","",IF(VLOOKUP(M56,'G-3 Multipliers'!$L$3:$N$6,2,FALSE)=0,"Spatial Data Missing",VLOOKUP(M56,'G-3 Multipliers'!$L$3:$N$6,2,FALSE)))</f>
        <v/>
      </c>
      <c r="O56" s="505" t="str">
        <f>IF(M56="","",IF(VLOOKUP(M56,'G-3 Multipliers'!$L$3:$N$6,3,FALSE)=0,"Spatial Data Missing ▲",VLOOKUP(M56,'G-3 Multipliers'!$L$3:$N$6,3,FALSE)))</f>
        <v/>
      </c>
      <c r="P56" s="506" t="str">
        <f>IFERROR(VLOOKUP(G56,'G-1 All Habitats'!$B$2:$M$129,12,FALSE),"")</f>
        <v/>
      </c>
      <c r="Q56" s="513" t="str">
        <f>IFERROR(IF(P56="","",IF(AND(P56='G-1 All Habitats'!$X$3,T56&gt;0),U56+V56,IF(AND(P56='G-1 All Habitats'!$X$3,S56&gt;0),U56+V56,IF(AND(P56='G-1 All Habitats'!$X$3,AC56&gt;0),"Any Loss Unacceptable ▲",IF(AND(P56='G-1 All Habitats'!$X$3,W56&gt;0),"Any Loss Unacceptable ▲",H56*J56*L56*O56))))),"Check Data ▲")</f>
        <v/>
      </c>
      <c r="R56" s="50"/>
      <c r="S56" s="71"/>
      <c r="T56" s="72"/>
      <c r="U56" s="511" t="str">
        <f t="shared" si="3"/>
        <v/>
      </c>
      <c r="V56" s="511" t="str">
        <f t="shared" si="4"/>
        <v/>
      </c>
      <c r="W56" s="511" t="str">
        <f>IF(E56="","",IF(H56&lt;S56+T56,"Error in Areas ▲",IF(P56&lt;&gt;'G-1 All Habitats'!$X$3,H56-S56-T56,IF(AND(P56='G-1 All Habitats'!$X$3,Y56="Yes"),"Unacceptable Loss",IF(AND(P56='G-1 All Habitats'!$X$3,Y56="No"),AC56,IF(AND(P56='G-1 All Habitats'!$X$3,Y56=""),AC56,IF(AND(P56='G-1 All Habitats'!$X$3,AC56="None",AC56),IF(AND(P56='G-1 All Habitats'!$X$3,AC56&gt;0),H56-S56-T56))))))))</f>
        <v/>
      </c>
      <c r="X56" s="515" t="str">
        <f>IFERROR(IF(H56="","",IF(H56-S56-T56=0&lt;0,"Error in Areas ▲",IF(S56+T56&gt;H56,"Error in Areas ▲",IF(AND(P56='G-1 All Habitats'!$X$3,Y56="Yes"),"Alternative Compensation ✓",IF(W56=0,0,IF(P56='G-1 All Habitats'!$X$3,"Unacceptable Loss ▲",Q56-U56-V56)))))),"Check Data ▲")</f>
        <v/>
      </c>
      <c r="Y56" s="72"/>
      <c r="Z56" s="80"/>
      <c r="AA56" s="81"/>
      <c r="AC56" s="75" t="str">
        <f>IF(P56="","",IF(P56='G-1 All Habitats'!$X$3,H56-S56-T56,"None"))</f>
        <v/>
      </c>
      <c r="AD56" s="76" t="str">
        <f>IFERROR(AC56*J56*L56*#REF!*O56,IF(P56="","","None"))</f>
        <v/>
      </c>
      <c r="AF56" s="54" t="str">
        <f t="shared" si="0"/>
        <v/>
      </c>
      <c r="AG56" s="54" t="str">
        <f t="shared" si="1"/>
        <v/>
      </c>
      <c r="AH56" s="54" t="str">
        <f>IF(I56="","",IF(#REF!&gt;0,TRUE,FALSE))</f>
        <v/>
      </c>
      <c r="AI56" s="54">
        <v>46</v>
      </c>
      <c r="AJ56" s="54"/>
      <c r="AK56" s="54" t="str">
        <f t="array" ref="AK56">IFERROR(INDEX($AI$11:$AI$259, MATCH(0, IF(TRUE=$AF$11:$AF$259, COUNTIF($AK$10:$AK55, $AI$11:$AI$259), ""), 0)),"")</f>
        <v/>
      </c>
      <c r="AL56" s="54" t="str">
        <f t="array" ref="AL56">IFERROR(INDEX($AI$11:$AI$259, MATCH(0, IF(TRUE=$AG$11:$AG$259, COUNTIF($AL$10:$AL55, $AI$11:$AI$259), ""), 0)),"")</f>
        <v/>
      </c>
      <c r="AM56" s="54" t="str">
        <f t="array" ref="AM56">IFERROR(INDEX($AI$11:$AI$259, MATCH(0, IF(TRUE=$AH$11:$AH$259, COUNTIF($AM$10:$AM55, $AI$11:$AI$259), ""), 0)),"")</f>
        <v/>
      </c>
      <c r="AN56" s="54"/>
      <c r="AQ56" s="47">
        <f t="shared" si="2"/>
        <v>0</v>
      </c>
    </row>
    <row r="57" spans="1:43" x14ac:dyDescent="0.25">
      <c r="A57" s="47" t="str">
        <f>IFERROR(INDEX('G-1 All Habitats'!$AG$3:$AG$15,MATCH(E57,'G-1 All Habitats'!$AF$3:$AF$15,0)),"")</f>
        <v/>
      </c>
      <c r="B57" s="47" t="str">
        <f>IFERROR(INDEX('G-8 Condition Look up'!$I$4:$I$130,MATCH(G57,'G-8 Condition Look up'!$A$4:$A$130,0)),"")</f>
        <v/>
      </c>
      <c r="D57" s="77">
        <v>47</v>
      </c>
      <c r="E57" s="78"/>
      <c r="F57" s="79"/>
      <c r="G57" s="69" t="str">
        <f>IFERROR(INDEX('G-1 All Habitats'!$B$3:$B$129,MATCH(F57,'G-1 All Habitats'!$A$3:$A$129,0)),"")</f>
        <v/>
      </c>
      <c r="H57" s="70"/>
      <c r="I57" s="498" t="str">
        <f>IF(G57="","",VLOOKUP(G57,'G-1 All Habitats'!$B$2:$M$129,10,FALSE))</f>
        <v/>
      </c>
      <c r="J57" s="499" t="str">
        <f>IFERROR(VLOOKUP(I57,'G-1 All Habitats'!$V$3:$W$7,2,FALSE),"")</f>
        <v/>
      </c>
      <c r="K57" s="71"/>
      <c r="L57" s="499" t="str">
        <f>IFERROR(INDEX('G-8 Condition Look up'!$A$3:$H$130,MATCH(G57,'G-8 Condition Look up'!$A$3:$A$130,0),MATCH(K57,'G-8 Condition Look up'!$A$3:$H$3,0)),"")</f>
        <v/>
      </c>
      <c r="M57" s="71"/>
      <c r="N57" s="520" t="str">
        <f>IF(M57="","",IF(VLOOKUP(M57,'G-3 Multipliers'!$L$3:$N$6,2,FALSE)=0,"Spatial Data Missing",VLOOKUP(M57,'G-3 Multipliers'!$L$3:$N$6,2,FALSE)))</f>
        <v/>
      </c>
      <c r="O57" s="505" t="str">
        <f>IF(M57="","",IF(VLOOKUP(M57,'G-3 Multipliers'!$L$3:$N$6,3,FALSE)=0,"Spatial Data Missing ▲",VLOOKUP(M57,'G-3 Multipliers'!$L$3:$N$6,3,FALSE)))</f>
        <v/>
      </c>
      <c r="P57" s="506" t="str">
        <f>IFERROR(VLOOKUP(G57,'G-1 All Habitats'!$B$2:$M$129,12,FALSE),"")</f>
        <v/>
      </c>
      <c r="Q57" s="513" t="str">
        <f>IFERROR(IF(P57="","",IF(AND(P57='G-1 All Habitats'!$X$3,T57&gt;0),U57+V57,IF(AND(P57='G-1 All Habitats'!$X$3,S57&gt;0),U57+V57,IF(AND(P57='G-1 All Habitats'!$X$3,AC57&gt;0),"Any Loss Unacceptable ▲",IF(AND(P57='G-1 All Habitats'!$X$3,W57&gt;0),"Any Loss Unacceptable ▲",H57*J57*L57*O57))))),"Check Data ▲")</f>
        <v/>
      </c>
      <c r="R57" s="50"/>
      <c r="S57" s="71"/>
      <c r="T57" s="72"/>
      <c r="U57" s="511" t="str">
        <f t="shared" si="3"/>
        <v/>
      </c>
      <c r="V57" s="511" t="str">
        <f t="shared" si="4"/>
        <v/>
      </c>
      <c r="W57" s="511" t="str">
        <f>IF(E57="","",IF(H57&lt;S57+T57,"Error in Areas ▲",IF(P57&lt;&gt;'G-1 All Habitats'!$X$3,H57-S57-T57,IF(AND(P57='G-1 All Habitats'!$X$3,Y57="Yes"),"Unacceptable Loss",IF(AND(P57='G-1 All Habitats'!$X$3,Y57="No"),AC57,IF(AND(P57='G-1 All Habitats'!$X$3,Y57=""),AC57,IF(AND(P57='G-1 All Habitats'!$X$3,AC57="None",AC57),IF(AND(P57='G-1 All Habitats'!$X$3,AC57&gt;0),H57-S57-T57))))))))</f>
        <v/>
      </c>
      <c r="X57" s="515" t="str">
        <f>IFERROR(IF(H57="","",IF(H57-S57-T57=0&lt;0,"Error in Areas ▲",IF(S57+T57&gt;H57,"Error in Areas ▲",IF(AND(P57='G-1 All Habitats'!$X$3,Y57="Yes"),"Alternative Compensation ✓",IF(W57=0,0,IF(P57='G-1 All Habitats'!$X$3,"Unacceptable Loss ▲",Q57-U57-V57)))))),"Check Data ▲")</f>
        <v/>
      </c>
      <c r="Y57" s="72"/>
      <c r="Z57" s="80"/>
      <c r="AA57" s="81"/>
      <c r="AC57" s="75" t="str">
        <f>IF(P57="","",IF(P57='G-1 All Habitats'!$X$3,H57-S57-T57,"None"))</f>
        <v/>
      </c>
      <c r="AD57" s="76" t="str">
        <f>IFERROR(AC57*J57*L57*#REF!*O57,IF(P57="","","None"))</f>
        <v/>
      </c>
      <c r="AF57" s="54" t="str">
        <f t="shared" si="0"/>
        <v/>
      </c>
      <c r="AG57" s="54" t="str">
        <f t="shared" si="1"/>
        <v/>
      </c>
      <c r="AH57" s="54" t="str">
        <f>IF(I57="","",IF(#REF!&gt;0,TRUE,FALSE))</f>
        <v/>
      </c>
      <c r="AI57" s="54">
        <v>47</v>
      </c>
      <c r="AJ57" s="54"/>
      <c r="AK57" s="54" t="str">
        <f t="array" ref="AK57">IFERROR(INDEX($AI$11:$AI$259, MATCH(0, IF(TRUE=$AF$11:$AF$259, COUNTIF($AK$10:$AK56, $AI$11:$AI$259), ""), 0)),"")</f>
        <v/>
      </c>
      <c r="AL57" s="54" t="str">
        <f t="array" ref="AL57">IFERROR(INDEX($AI$11:$AI$259, MATCH(0, IF(TRUE=$AG$11:$AG$259, COUNTIF($AL$10:$AL56, $AI$11:$AI$259), ""), 0)),"")</f>
        <v/>
      </c>
      <c r="AM57" s="54" t="str">
        <f t="array" ref="AM57">IFERROR(INDEX($AI$11:$AI$259, MATCH(0, IF(TRUE=$AH$11:$AH$259, COUNTIF($AM$10:$AM56, $AI$11:$AI$259), ""), 0)),"")</f>
        <v/>
      </c>
      <c r="AN57" s="54"/>
      <c r="AQ57" s="47">
        <f t="shared" si="2"/>
        <v>0</v>
      </c>
    </row>
    <row r="58" spans="1:43" x14ac:dyDescent="0.25">
      <c r="A58" s="47" t="str">
        <f>IFERROR(INDEX('G-1 All Habitats'!$AG$3:$AG$15,MATCH(E58,'G-1 All Habitats'!$AF$3:$AF$15,0)),"")</f>
        <v/>
      </c>
      <c r="B58" s="47" t="str">
        <f>IFERROR(INDEX('G-8 Condition Look up'!$I$4:$I$130,MATCH(G58,'G-8 Condition Look up'!$A$4:$A$130,0)),"")</f>
        <v/>
      </c>
      <c r="D58" s="77">
        <v>48</v>
      </c>
      <c r="E58" s="78"/>
      <c r="F58" s="79"/>
      <c r="G58" s="69" t="str">
        <f>IFERROR(INDEX('G-1 All Habitats'!$B$3:$B$129,MATCH(F58,'G-1 All Habitats'!$A$3:$A$129,0)),"")</f>
        <v/>
      </c>
      <c r="H58" s="70"/>
      <c r="I58" s="498" t="str">
        <f>IF(G58="","",VLOOKUP(G58,'G-1 All Habitats'!$B$2:$M$129,10,FALSE))</f>
        <v/>
      </c>
      <c r="J58" s="499" t="str">
        <f>IFERROR(VLOOKUP(I58,'G-1 All Habitats'!$V$3:$W$7,2,FALSE),"")</f>
        <v/>
      </c>
      <c r="K58" s="71"/>
      <c r="L58" s="499" t="str">
        <f>IFERROR(INDEX('G-8 Condition Look up'!$A$3:$H$130,MATCH(G58,'G-8 Condition Look up'!$A$3:$A$130,0),MATCH(K58,'G-8 Condition Look up'!$A$3:$H$3,0)),"")</f>
        <v/>
      </c>
      <c r="M58" s="71"/>
      <c r="N58" s="520" t="str">
        <f>IF(M58="","",IF(VLOOKUP(M58,'G-3 Multipliers'!$L$3:$N$6,2,FALSE)=0,"Spatial Data Missing",VLOOKUP(M58,'G-3 Multipliers'!$L$3:$N$6,2,FALSE)))</f>
        <v/>
      </c>
      <c r="O58" s="505" t="str">
        <f>IF(M58="","",IF(VLOOKUP(M58,'G-3 Multipliers'!$L$3:$N$6,3,FALSE)=0,"Spatial Data Missing ▲",VLOOKUP(M58,'G-3 Multipliers'!$L$3:$N$6,3,FALSE)))</f>
        <v/>
      </c>
      <c r="P58" s="506" t="str">
        <f>IFERROR(VLOOKUP(G58,'G-1 All Habitats'!$B$2:$M$129,12,FALSE),"")</f>
        <v/>
      </c>
      <c r="Q58" s="513" t="str">
        <f>IFERROR(IF(P58="","",IF(AND(P58='G-1 All Habitats'!$X$3,T58&gt;0),U58+V58,IF(AND(P58='G-1 All Habitats'!$X$3,S58&gt;0),U58+V58,IF(AND(P58='G-1 All Habitats'!$X$3,AC58&gt;0),"Any Loss Unacceptable ▲",IF(AND(P58='G-1 All Habitats'!$X$3,W58&gt;0),"Any Loss Unacceptable ▲",H58*J58*L58*O58))))),"Check Data ▲")</f>
        <v/>
      </c>
      <c r="R58" s="50"/>
      <c r="S58" s="71"/>
      <c r="T58" s="72"/>
      <c r="U58" s="511" t="str">
        <f t="shared" si="3"/>
        <v/>
      </c>
      <c r="V58" s="511" t="str">
        <f t="shared" si="4"/>
        <v/>
      </c>
      <c r="W58" s="511" t="str">
        <f>IF(E58="","",IF(H58&lt;S58+T58,"Error in Areas ▲",IF(P58&lt;&gt;'G-1 All Habitats'!$X$3,H58-S58-T58,IF(AND(P58='G-1 All Habitats'!$X$3,Y58="Yes"),"Unacceptable Loss",IF(AND(P58='G-1 All Habitats'!$X$3,Y58="No"),AC58,IF(AND(P58='G-1 All Habitats'!$X$3,Y58=""),AC58,IF(AND(P58='G-1 All Habitats'!$X$3,AC58="None",AC58),IF(AND(P58='G-1 All Habitats'!$X$3,AC58&gt;0),H58-S58-T58))))))))</f>
        <v/>
      </c>
      <c r="X58" s="515" t="str">
        <f>IFERROR(IF(H58="","",IF(H58-S58-T58=0&lt;0,"Error in Areas ▲",IF(S58+T58&gt;H58,"Error in Areas ▲",IF(AND(P58='G-1 All Habitats'!$X$3,Y58="Yes"),"Alternative Compensation ✓",IF(W58=0,0,IF(P58='G-1 All Habitats'!$X$3,"Unacceptable Loss ▲",Q58-U58-V58)))))),"Check Data ▲")</f>
        <v/>
      </c>
      <c r="Y58" s="72"/>
      <c r="Z58" s="80"/>
      <c r="AA58" s="81"/>
      <c r="AC58" s="75" t="str">
        <f>IF(P58="","",IF(P58='G-1 All Habitats'!$X$3,H58-S58-T58,"None"))</f>
        <v/>
      </c>
      <c r="AD58" s="76" t="str">
        <f>IFERROR(AC58*J58*L58*#REF!*O58,IF(P58="","","None"))</f>
        <v/>
      </c>
      <c r="AF58" s="54" t="str">
        <f t="shared" si="0"/>
        <v/>
      </c>
      <c r="AG58" s="54" t="str">
        <f t="shared" si="1"/>
        <v/>
      </c>
      <c r="AH58" s="54" t="str">
        <f>IF(I58="","",IF(#REF!&gt;0,TRUE,FALSE))</f>
        <v/>
      </c>
      <c r="AI58" s="54">
        <v>48</v>
      </c>
      <c r="AJ58" s="54"/>
      <c r="AK58" s="54" t="str">
        <f t="array" ref="AK58">IFERROR(INDEX($AI$11:$AI$259, MATCH(0, IF(TRUE=$AF$11:$AF$259, COUNTIF($AK$10:$AK57, $AI$11:$AI$259), ""), 0)),"")</f>
        <v/>
      </c>
      <c r="AL58" s="54" t="str">
        <f t="array" ref="AL58">IFERROR(INDEX($AI$11:$AI$259, MATCH(0, IF(TRUE=$AG$11:$AG$259, COUNTIF($AL$10:$AL57, $AI$11:$AI$259), ""), 0)),"")</f>
        <v/>
      </c>
      <c r="AM58" s="54" t="str">
        <f t="array" ref="AM58">IFERROR(INDEX($AI$11:$AI$259, MATCH(0, IF(TRUE=$AH$11:$AH$259, COUNTIF($AM$10:$AM57, $AI$11:$AI$259), ""), 0)),"")</f>
        <v/>
      </c>
      <c r="AN58" s="54"/>
      <c r="AQ58" s="47">
        <f t="shared" si="2"/>
        <v>0</v>
      </c>
    </row>
    <row r="59" spans="1:43" x14ac:dyDescent="0.25">
      <c r="A59" s="47" t="str">
        <f>IFERROR(INDEX('G-1 All Habitats'!$AG$3:$AG$15,MATCH(E59,'G-1 All Habitats'!$AF$3:$AF$15,0)),"")</f>
        <v/>
      </c>
      <c r="B59" s="47" t="str">
        <f>IFERROR(INDEX('G-8 Condition Look up'!$I$4:$I$130,MATCH(G59,'G-8 Condition Look up'!$A$4:$A$130,0)),"")</f>
        <v/>
      </c>
      <c r="D59" s="77">
        <v>49</v>
      </c>
      <c r="E59" s="78"/>
      <c r="F59" s="79"/>
      <c r="G59" s="69" t="str">
        <f>IFERROR(INDEX('G-1 All Habitats'!$B$3:$B$129,MATCH(F59,'G-1 All Habitats'!$A$3:$A$129,0)),"")</f>
        <v/>
      </c>
      <c r="H59" s="70"/>
      <c r="I59" s="498" t="str">
        <f>IF(G59="","",VLOOKUP(G59,'G-1 All Habitats'!$B$2:$M$129,10,FALSE))</f>
        <v/>
      </c>
      <c r="J59" s="499" t="str">
        <f>IFERROR(VLOOKUP(I59,'G-1 All Habitats'!$V$3:$W$7,2,FALSE),"")</f>
        <v/>
      </c>
      <c r="K59" s="71"/>
      <c r="L59" s="499" t="str">
        <f>IFERROR(INDEX('G-8 Condition Look up'!$A$3:$H$130,MATCH(G59,'G-8 Condition Look up'!$A$3:$A$130,0),MATCH(K59,'G-8 Condition Look up'!$A$3:$H$3,0)),"")</f>
        <v/>
      </c>
      <c r="M59" s="71"/>
      <c r="N59" s="520" t="str">
        <f>IF(M59="","",IF(VLOOKUP(M59,'G-3 Multipliers'!$L$3:$N$6,2,FALSE)=0,"Spatial Data Missing",VLOOKUP(M59,'G-3 Multipliers'!$L$3:$N$6,2,FALSE)))</f>
        <v/>
      </c>
      <c r="O59" s="505" t="str">
        <f>IF(M59="","",IF(VLOOKUP(M59,'G-3 Multipliers'!$L$3:$N$6,3,FALSE)=0,"Spatial Data Missing ▲",VLOOKUP(M59,'G-3 Multipliers'!$L$3:$N$6,3,FALSE)))</f>
        <v/>
      </c>
      <c r="P59" s="506" t="str">
        <f>IFERROR(VLOOKUP(G59,'G-1 All Habitats'!$B$2:$M$129,12,FALSE),"")</f>
        <v/>
      </c>
      <c r="Q59" s="513" t="str">
        <f>IFERROR(IF(P59="","",IF(AND(P59='G-1 All Habitats'!$X$3,T59&gt;0),U59+V59,IF(AND(P59='G-1 All Habitats'!$X$3,S59&gt;0),U59+V59,IF(AND(P59='G-1 All Habitats'!$X$3,AC59&gt;0),"Any Loss Unacceptable ▲",IF(AND(P59='G-1 All Habitats'!$X$3,W59&gt;0),"Any Loss Unacceptable ▲",H59*J59*L59*O59))))),"Check Data ▲")</f>
        <v/>
      </c>
      <c r="R59" s="50"/>
      <c r="S59" s="71"/>
      <c r="T59" s="72"/>
      <c r="U59" s="511" t="str">
        <f t="shared" si="3"/>
        <v/>
      </c>
      <c r="V59" s="511" t="str">
        <f t="shared" si="4"/>
        <v/>
      </c>
      <c r="W59" s="511" t="str">
        <f>IF(E59="","",IF(H59&lt;S59+T59,"Error in Areas ▲",IF(P59&lt;&gt;'G-1 All Habitats'!$X$3,H59-S59-T59,IF(AND(P59='G-1 All Habitats'!$X$3,Y59="Yes"),"Unacceptable Loss",IF(AND(P59='G-1 All Habitats'!$X$3,Y59="No"),AC59,IF(AND(P59='G-1 All Habitats'!$X$3,Y59=""),AC59,IF(AND(P59='G-1 All Habitats'!$X$3,AC59="None",AC59),IF(AND(P59='G-1 All Habitats'!$X$3,AC59&gt;0),H59-S59-T59))))))))</f>
        <v/>
      </c>
      <c r="X59" s="515" t="str">
        <f>IFERROR(IF(H59="","",IF(H59-S59-T59=0&lt;0,"Error in Areas ▲",IF(S59+T59&gt;H59,"Error in Areas ▲",IF(AND(P59='G-1 All Habitats'!$X$3,Y59="Yes"),"Alternative Compensation ✓",IF(W59=0,0,IF(P59='G-1 All Habitats'!$X$3,"Unacceptable Loss ▲",Q59-U59-V59)))))),"Check Data ▲")</f>
        <v/>
      </c>
      <c r="Y59" s="72"/>
      <c r="Z59" s="80"/>
      <c r="AA59" s="81"/>
      <c r="AC59" s="75" t="str">
        <f>IF(P59="","",IF(P59='G-1 All Habitats'!$X$3,H59-S59-T59,"None"))</f>
        <v/>
      </c>
      <c r="AD59" s="76" t="str">
        <f>IFERROR(AC59*J59*L59*#REF!*O59,IF(P59="","","None"))</f>
        <v/>
      </c>
      <c r="AF59" s="54" t="str">
        <f t="shared" si="0"/>
        <v/>
      </c>
      <c r="AG59" s="54" t="str">
        <f t="shared" si="1"/>
        <v/>
      </c>
      <c r="AH59" s="54" t="str">
        <f>IF(I59="","",IF(#REF!&gt;0,TRUE,FALSE))</f>
        <v/>
      </c>
      <c r="AI59" s="54">
        <v>49</v>
      </c>
      <c r="AJ59" s="54"/>
      <c r="AK59" s="54" t="str">
        <f t="array" ref="AK59">IFERROR(INDEX($AI$11:$AI$259, MATCH(0, IF(TRUE=$AF$11:$AF$259, COUNTIF($AK$10:$AK58, $AI$11:$AI$259), ""), 0)),"")</f>
        <v/>
      </c>
      <c r="AL59" s="54" t="str">
        <f t="array" ref="AL59">IFERROR(INDEX($AI$11:$AI$259, MATCH(0, IF(TRUE=$AG$11:$AG$259, COUNTIF($AL$10:$AL58, $AI$11:$AI$259), ""), 0)),"")</f>
        <v/>
      </c>
      <c r="AM59" s="54" t="str">
        <f t="array" ref="AM59">IFERROR(INDEX($AI$11:$AI$259, MATCH(0, IF(TRUE=$AH$11:$AH$259, COUNTIF($AM$10:$AM58, $AI$11:$AI$259), ""), 0)),"")</f>
        <v/>
      </c>
      <c r="AN59" s="54"/>
      <c r="AQ59" s="47">
        <f t="shared" si="2"/>
        <v>0</v>
      </c>
    </row>
    <row r="60" spans="1:43" x14ac:dyDescent="0.25">
      <c r="A60" s="47" t="str">
        <f>IFERROR(INDEX('G-1 All Habitats'!$AG$3:$AG$15,MATCH(E60,'G-1 All Habitats'!$AF$3:$AF$15,0)),"")</f>
        <v/>
      </c>
      <c r="B60" s="47" t="str">
        <f>IFERROR(INDEX('G-8 Condition Look up'!$I$4:$I$130,MATCH(G60,'G-8 Condition Look up'!$A$4:$A$130,0)),"")</f>
        <v/>
      </c>
      <c r="D60" s="77">
        <v>50</v>
      </c>
      <c r="E60" s="78"/>
      <c r="F60" s="79"/>
      <c r="G60" s="69" t="str">
        <f>IFERROR(INDEX('G-1 All Habitats'!$B$3:$B$129,MATCH(F60,'G-1 All Habitats'!$A$3:$A$129,0)),"")</f>
        <v/>
      </c>
      <c r="H60" s="70"/>
      <c r="I60" s="498" t="str">
        <f>IF(G60="","",VLOOKUP(G60,'G-1 All Habitats'!$B$2:$M$129,10,FALSE))</f>
        <v/>
      </c>
      <c r="J60" s="499" t="str">
        <f>IFERROR(VLOOKUP(I60,'G-1 All Habitats'!$V$3:$W$7,2,FALSE),"")</f>
        <v/>
      </c>
      <c r="K60" s="71"/>
      <c r="L60" s="499" t="str">
        <f>IFERROR(INDEX('G-8 Condition Look up'!$A$3:$H$130,MATCH(G60,'G-8 Condition Look up'!$A$3:$A$130,0),MATCH(K60,'G-8 Condition Look up'!$A$3:$H$3,0)),"")</f>
        <v/>
      </c>
      <c r="M60" s="71"/>
      <c r="N60" s="520" t="str">
        <f>IF(M60="","",IF(VLOOKUP(M60,'G-3 Multipliers'!$L$3:$N$6,2,FALSE)=0,"Spatial Data Missing",VLOOKUP(M60,'G-3 Multipliers'!$L$3:$N$6,2,FALSE)))</f>
        <v/>
      </c>
      <c r="O60" s="505" t="str">
        <f>IF(M60="","",IF(VLOOKUP(M60,'G-3 Multipliers'!$L$3:$N$6,3,FALSE)=0,"Spatial Data Missing ▲",VLOOKUP(M60,'G-3 Multipliers'!$L$3:$N$6,3,FALSE)))</f>
        <v/>
      </c>
      <c r="P60" s="506" t="str">
        <f>IFERROR(VLOOKUP(G60,'G-1 All Habitats'!$B$2:$M$129,12,FALSE),"")</f>
        <v/>
      </c>
      <c r="Q60" s="513" t="str">
        <f>IFERROR(IF(P60="","",IF(AND(P60='G-1 All Habitats'!$X$3,T60&gt;0),U60+V60,IF(AND(P60='G-1 All Habitats'!$X$3,S60&gt;0),U60+V60,IF(AND(P60='G-1 All Habitats'!$X$3,AC60&gt;0),"Any Loss Unacceptable ▲",IF(AND(P60='G-1 All Habitats'!$X$3,W60&gt;0),"Any Loss Unacceptable ▲",H60*J60*L60*O60))))),"Check Data ▲")</f>
        <v/>
      </c>
      <c r="R60" s="50"/>
      <c r="S60" s="71"/>
      <c r="T60" s="72"/>
      <c r="U60" s="511" t="str">
        <f t="shared" si="3"/>
        <v/>
      </c>
      <c r="V60" s="511" t="str">
        <f t="shared" si="4"/>
        <v/>
      </c>
      <c r="W60" s="511" t="str">
        <f>IF(E60="","",IF(H60&lt;S60+T60,"Error in Areas ▲",IF(P60&lt;&gt;'G-1 All Habitats'!$X$3,H60-S60-T60,IF(AND(P60='G-1 All Habitats'!$X$3,Y60="Yes"),"Unacceptable Loss",IF(AND(P60='G-1 All Habitats'!$X$3,Y60="No"),AC60,IF(AND(P60='G-1 All Habitats'!$X$3,Y60=""),AC60,IF(AND(P60='G-1 All Habitats'!$X$3,AC60="None",AC60),IF(AND(P60='G-1 All Habitats'!$X$3,AC60&gt;0),H60-S60-T60))))))))</f>
        <v/>
      </c>
      <c r="X60" s="515" t="str">
        <f>IFERROR(IF(H60="","",IF(H60-S60-T60=0&lt;0,"Error in Areas ▲",IF(S60+T60&gt;H60,"Error in Areas ▲",IF(AND(P60='G-1 All Habitats'!$X$3,Y60="Yes"),"Alternative Compensation ✓",IF(W60=0,0,IF(P60='G-1 All Habitats'!$X$3,"Unacceptable Loss ▲",Q60-U60-V60)))))),"Check Data ▲")</f>
        <v/>
      </c>
      <c r="Y60" s="72"/>
      <c r="Z60" s="80"/>
      <c r="AA60" s="81"/>
      <c r="AC60" s="75" t="str">
        <f>IF(P60="","",IF(P60='G-1 All Habitats'!$X$3,H60-S60-T60,"None"))</f>
        <v/>
      </c>
      <c r="AD60" s="76" t="str">
        <f>IFERROR(AC60*J60*L60*#REF!*O60,IF(P60="","","None"))</f>
        <v/>
      </c>
      <c r="AF60" s="54" t="str">
        <f t="shared" si="0"/>
        <v/>
      </c>
      <c r="AG60" s="54" t="str">
        <f t="shared" si="1"/>
        <v/>
      </c>
      <c r="AH60" s="54" t="str">
        <f>IF(I60="","",IF(#REF!&gt;0,TRUE,FALSE))</f>
        <v/>
      </c>
      <c r="AI60" s="54">
        <v>50</v>
      </c>
      <c r="AJ60" s="54"/>
      <c r="AK60" s="54" t="str">
        <f t="array" ref="AK60">IFERROR(INDEX($AI$11:$AI$259, MATCH(0, IF(TRUE=$AF$11:$AF$259, COUNTIF($AK$10:$AK59, $AI$11:$AI$259), ""), 0)),"")</f>
        <v/>
      </c>
      <c r="AL60" s="54" t="str">
        <f t="array" ref="AL60">IFERROR(INDEX($AI$11:$AI$259, MATCH(0, IF(TRUE=$AG$11:$AG$259, COUNTIF($AL$10:$AL59, $AI$11:$AI$259), ""), 0)),"")</f>
        <v/>
      </c>
      <c r="AM60" s="54" t="str">
        <f t="array" ref="AM60">IFERROR(INDEX($AI$11:$AI$259, MATCH(0, IF(TRUE=$AH$11:$AH$259, COUNTIF($AM$10:$AM59, $AI$11:$AI$259), ""), 0)),"")</f>
        <v/>
      </c>
      <c r="AN60" s="54"/>
      <c r="AQ60" s="47">
        <f t="shared" si="2"/>
        <v>0</v>
      </c>
    </row>
    <row r="61" spans="1:43" x14ac:dyDescent="0.25">
      <c r="A61" s="47" t="str">
        <f>IFERROR(INDEX('G-1 All Habitats'!$AG$3:$AG$15,MATCH(E61,'G-1 All Habitats'!$AF$3:$AF$15,0)),"")</f>
        <v/>
      </c>
      <c r="B61" s="47" t="str">
        <f>IFERROR(INDEX('G-8 Condition Look up'!$I$4:$I$130,MATCH(G61,'G-8 Condition Look up'!$A$4:$A$130,0)),"")</f>
        <v/>
      </c>
      <c r="D61" s="77">
        <v>51</v>
      </c>
      <c r="E61" s="78"/>
      <c r="F61" s="79"/>
      <c r="G61" s="69" t="str">
        <f>IFERROR(INDEX('G-1 All Habitats'!$B$3:$B$129,MATCH(F61,'G-1 All Habitats'!$A$3:$A$129,0)),"")</f>
        <v/>
      </c>
      <c r="H61" s="70"/>
      <c r="I61" s="498" t="str">
        <f>IF(G61="","",VLOOKUP(G61,'G-1 All Habitats'!$B$2:$M$129,10,FALSE))</f>
        <v/>
      </c>
      <c r="J61" s="499" t="str">
        <f>IFERROR(VLOOKUP(I61,'G-1 All Habitats'!$V$3:$W$7,2,FALSE),"")</f>
        <v/>
      </c>
      <c r="K61" s="71"/>
      <c r="L61" s="499" t="str">
        <f>IFERROR(INDEX('G-8 Condition Look up'!$A$3:$H$130,MATCH(G61,'G-8 Condition Look up'!$A$3:$A$130,0),MATCH(K61,'G-8 Condition Look up'!$A$3:$H$3,0)),"")</f>
        <v/>
      </c>
      <c r="M61" s="71"/>
      <c r="N61" s="520" t="str">
        <f>IF(M61="","",IF(VLOOKUP(M61,'G-3 Multipliers'!$L$3:$N$6,2,FALSE)=0,"Spatial Data Missing",VLOOKUP(M61,'G-3 Multipliers'!$L$3:$N$6,2,FALSE)))</f>
        <v/>
      </c>
      <c r="O61" s="505" t="str">
        <f>IF(M61="","",IF(VLOOKUP(M61,'G-3 Multipliers'!$L$3:$N$6,3,FALSE)=0,"Spatial Data Missing ▲",VLOOKUP(M61,'G-3 Multipliers'!$L$3:$N$6,3,FALSE)))</f>
        <v/>
      </c>
      <c r="P61" s="506" t="str">
        <f>IFERROR(VLOOKUP(G61,'G-1 All Habitats'!$B$2:$M$129,12,FALSE),"")</f>
        <v/>
      </c>
      <c r="Q61" s="513" t="str">
        <f>IFERROR(IF(P61="","",IF(AND(P61='G-1 All Habitats'!$X$3,T61&gt;0),U61+V61,IF(AND(P61='G-1 All Habitats'!$X$3,S61&gt;0),U61+V61,IF(AND(P61='G-1 All Habitats'!$X$3,AC61&gt;0),"Any Loss Unacceptable ▲",IF(AND(P61='G-1 All Habitats'!$X$3,W61&gt;0),"Any Loss Unacceptable ▲",H61*J61*L61*O61))))),"Check Data ▲")</f>
        <v/>
      </c>
      <c r="R61" s="50"/>
      <c r="S61" s="71"/>
      <c r="T61" s="72"/>
      <c r="U61" s="511" t="str">
        <f t="shared" si="3"/>
        <v/>
      </c>
      <c r="V61" s="511" t="str">
        <f t="shared" si="4"/>
        <v/>
      </c>
      <c r="W61" s="511" t="str">
        <f>IF(E61="","",IF(H61&lt;S61+T61,"Error in Areas ▲",IF(P61&lt;&gt;'G-1 All Habitats'!$X$3,H61-S61-T61,IF(AND(P61='G-1 All Habitats'!$X$3,Y61="Yes"),"Unacceptable Loss",IF(AND(P61='G-1 All Habitats'!$X$3,Y61="No"),AC61,IF(AND(P61='G-1 All Habitats'!$X$3,Y61=""),AC61,IF(AND(P61='G-1 All Habitats'!$X$3,AC61="None",AC61),IF(AND(P61='G-1 All Habitats'!$X$3,AC61&gt;0),H61-S61-T61))))))))</f>
        <v/>
      </c>
      <c r="X61" s="515" t="str">
        <f>IFERROR(IF(H61="","",IF(H61-S61-T61=0&lt;0,"Error in Areas ▲",IF(S61+T61&gt;H61,"Error in Areas ▲",IF(AND(P61='G-1 All Habitats'!$X$3,Y61="Yes"),"Alternative Compensation ✓",IF(W61=0,0,IF(P61='G-1 All Habitats'!$X$3,"Unacceptable Loss ▲",Q61-U61-V61)))))),"Check Data ▲")</f>
        <v/>
      </c>
      <c r="Y61" s="72"/>
      <c r="Z61" s="80"/>
      <c r="AA61" s="81"/>
      <c r="AC61" s="75" t="str">
        <f>IF(P61="","",IF(P61='G-1 All Habitats'!$X$3,H61-S61-T61,"None"))</f>
        <v/>
      </c>
      <c r="AD61" s="76" t="str">
        <f>IFERROR(AC61*J61*L61*#REF!*O61,IF(P61="","","None"))</f>
        <v/>
      </c>
      <c r="AF61" s="54" t="str">
        <f t="shared" si="0"/>
        <v/>
      </c>
      <c r="AG61" s="54" t="str">
        <f t="shared" si="1"/>
        <v/>
      </c>
      <c r="AH61" s="54" t="str">
        <f>IF(I61="","",IF(#REF!&gt;0,TRUE,FALSE))</f>
        <v/>
      </c>
      <c r="AI61" s="54">
        <v>51</v>
      </c>
      <c r="AJ61" s="54"/>
      <c r="AK61" s="54" t="str">
        <f t="array" ref="AK61">IFERROR(INDEX($AI$11:$AI$259, MATCH(0, IF(TRUE=$AF$11:$AF$259, COUNTIF($AK$10:$AK60, $AI$11:$AI$259), ""), 0)),"")</f>
        <v/>
      </c>
      <c r="AL61" s="54" t="str">
        <f t="array" ref="AL61">IFERROR(INDEX($AI$11:$AI$259, MATCH(0, IF(TRUE=$AG$11:$AG$259, COUNTIF($AL$10:$AL60, $AI$11:$AI$259), ""), 0)),"")</f>
        <v/>
      </c>
      <c r="AM61" s="54" t="str">
        <f t="array" ref="AM61">IFERROR(INDEX($AI$11:$AI$259, MATCH(0, IF(TRUE=$AH$11:$AH$259, COUNTIF($AM$10:$AM60, $AI$11:$AI$259), ""), 0)),"")</f>
        <v/>
      </c>
      <c r="AN61" s="54"/>
      <c r="AQ61" s="47">
        <f t="shared" si="2"/>
        <v>0</v>
      </c>
    </row>
    <row r="62" spans="1:43" x14ac:dyDescent="0.25">
      <c r="A62" s="47" t="str">
        <f>IFERROR(INDEX('G-1 All Habitats'!$AG$3:$AG$15,MATCH(E62,'G-1 All Habitats'!$AF$3:$AF$15,0)),"")</f>
        <v/>
      </c>
      <c r="B62" s="47" t="str">
        <f>IFERROR(INDEX('G-8 Condition Look up'!$I$4:$I$130,MATCH(G62,'G-8 Condition Look up'!$A$4:$A$130,0)),"")</f>
        <v/>
      </c>
      <c r="D62" s="77">
        <v>52</v>
      </c>
      <c r="E62" s="78"/>
      <c r="F62" s="79"/>
      <c r="G62" s="69" t="str">
        <f>IFERROR(INDEX('G-1 All Habitats'!$B$3:$B$129,MATCH(F62,'G-1 All Habitats'!$A$3:$A$129,0)),"")</f>
        <v/>
      </c>
      <c r="H62" s="70"/>
      <c r="I62" s="498" t="str">
        <f>IF(G62="","",VLOOKUP(G62,'G-1 All Habitats'!$B$2:$M$129,10,FALSE))</f>
        <v/>
      </c>
      <c r="J62" s="499" t="str">
        <f>IFERROR(VLOOKUP(I62,'G-1 All Habitats'!$V$3:$W$7,2,FALSE),"")</f>
        <v/>
      </c>
      <c r="K62" s="71"/>
      <c r="L62" s="499" t="str">
        <f>IFERROR(INDEX('G-8 Condition Look up'!$A$3:$H$130,MATCH(G62,'G-8 Condition Look up'!$A$3:$A$130,0),MATCH(K62,'G-8 Condition Look up'!$A$3:$H$3,0)),"")</f>
        <v/>
      </c>
      <c r="M62" s="71"/>
      <c r="N62" s="520" t="str">
        <f>IF(M62="","",IF(VLOOKUP(M62,'G-3 Multipliers'!$L$3:$N$6,2,FALSE)=0,"Spatial Data Missing",VLOOKUP(M62,'G-3 Multipliers'!$L$3:$N$6,2,FALSE)))</f>
        <v/>
      </c>
      <c r="O62" s="505" t="str">
        <f>IF(M62="","",IF(VLOOKUP(M62,'G-3 Multipliers'!$L$3:$N$6,3,FALSE)=0,"Spatial Data Missing ▲",VLOOKUP(M62,'G-3 Multipliers'!$L$3:$N$6,3,FALSE)))</f>
        <v/>
      </c>
      <c r="P62" s="506" t="str">
        <f>IFERROR(VLOOKUP(G62,'G-1 All Habitats'!$B$2:$M$129,12,FALSE),"")</f>
        <v/>
      </c>
      <c r="Q62" s="513" t="str">
        <f>IFERROR(IF(P62="","",IF(AND(P62='G-1 All Habitats'!$X$3,T62&gt;0),U62+V62,IF(AND(P62='G-1 All Habitats'!$X$3,S62&gt;0),U62+V62,IF(AND(P62='G-1 All Habitats'!$X$3,AC62&gt;0),"Any Loss Unacceptable ▲",IF(AND(P62='G-1 All Habitats'!$X$3,W62&gt;0),"Any Loss Unacceptable ▲",H62*J62*L62*O62))))),"Check Data ▲")</f>
        <v/>
      </c>
      <c r="R62" s="50"/>
      <c r="S62" s="71"/>
      <c r="T62" s="72"/>
      <c r="U62" s="511" t="str">
        <f t="shared" si="3"/>
        <v/>
      </c>
      <c r="V62" s="511" t="str">
        <f t="shared" si="4"/>
        <v/>
      </c>
      <c r="W62" s="511" t="str">
        <f>IF(E62="","",IF(H62&lt;S62+T62,"Error in Areas ▲",IF(P62&lt;&gt;'G-1 All Habitats'!$X$3,H62-S62-T62,IF(AND(P62='G-1 All Habitats'!$X$3,Y62="Yes"),"Unacceptable Loss",IF(AND(P62='G-1 All Habitats'!$X$3,Y62="No"),AC62,IF(AND(P62='G-1 All Habitats'!$X$3,Y62=""),AC62,IF(AND(P62='G-1 All Habitats'!$X$3,AC62="None",AC62),IF(AND(P62='G-1 All Habitats'!$X$3,AC62&gt;0),H62-S62-T62))))))))</f>
        <v/>
      </c>
      <c r="X62" s="515" t="str">
        <f>IFERROR(IF(H62="","",IF(H62-S62-T62=0&lt;0,"Error in Areas ▲",IF(S62+T62&gt;H62,"Error in Areas ▲",IF(AND(P62='G-1 All Habitats'!$X$3,Y62="Yes"),"Alternative Compensation ✓",IF(W62=0,0,IF(P62='G-1 All Habitats'!$X$3,"Unacceptable Loss ▲",Q62-U62-V62)))))),"Check Data ▲")</f>
        <v/>
      </c>
      <c r="Y62" s="72"/>
      <c r="Z62" s="80"/>
      <c r="AA62" s="81"/>
      <c r="AC62" s="75" t="str">
        <f>IF(P62="","",IF(P62='G-1 All Habitats'!$X$3,H62-S62-T62,"None"))</f>
        <v/>
      </c>
      <c r="AD62" s="76" t="str">
        <f>IFERROR(AC62*J62*L62*#REF!*O62,IF(P62="","","None"))</f>
        <v/>
      </c>
      <c r="AF62" s="54" t="str">
        <f t="shared" si="0"/>
        <v/>
      </c>
      <c r="AG62" s="54" t="str">
        <f t="shared" si="1"/>
        <v/>
      </c>
      <c r="AH62" s="54" t="str">
        <f>IF(I62="","",IF(#REF!&gt;0,TRUE,FALSE))</f>
        <v/>
      </c>
      <c r="AI62" s="54">
        <v>52</v>
      </c>
      <c r="AJ62" s="54"/>
      <c r="AK62" s="54" t="str">
        <f t="array" ref="AK62">IFERROR(INDEX($AI$11:$AI$259, MATCH(0, IF(TRUE=$AF$11:$AF$259, COUNTIF($AK$10:$AK61, $AI$11:$AI$259), ""), 0)),"")</f>
        <v/>
      </c>
      <c r="AL62" s="54" t="str">
        <f t="array" ref="AL62">IFERROR(INDEX($AI$11:$AI$259, MATCH(0, IF(TRUE=$AG$11:$AG$259, COUNTIF($AL$10:$AL61, $AI$11:$AI$259), ""), 0)),"")</f>
        <v/>
      </c>
      <c r="AM62" s="54" t="str">
        <f t="array" ref="AM62">IFERROR(INDEX($AI$11:$AI$259, MATCH(0, IF(TRUE=$AH$11:$AH$259, COUNTIF($AM$10:$AM61, $AI$11:$AI$259), ""), 0)),"")</f>
        <v/>
      </c>
      <c r="AN62" s="54"/>
      <c r="AQ62" s="47">
        <f t="shared" si="2"/>
        <v>0</v>
      </c>
    </row>
    <row r="63" spans="1:43" x14ac:dyDescent="0.25">
      <c r="A63" s="47" t="str">
        <f>IFERROR(INDEX('G-1 All Habitats'!$AG$3:$AG$15,MATCH(E63,'G-1 All Habitats'!$AF$3:$AF$15,0)),"")</f>
        <v/>
      </c>
      <c r="B63" s="47" t="str">
        <f>IFERROR(INDEX('G-8 Condition Look up'!$I$4:$I$130,MATCH(G63,'G-8 Condition Look up'!$A$4:$A$130,0)),"")</f>
        <v/>
      </c>
      <c r="D63" s="77">
        <v>53</v>
      </c>
      <c r="E63" s="78"/>
      <c r="F63" s="79"/>
      <c r="G63" s="69" t="str">
        <f>IFERROR(INDEX('G-1 All Habitats'!$B$3:$B$129,MATCH(F63,'G-1 All Habitats'!$A$3:$A$129,0)),"")</f>
        <v/>
      </c>
      <c r="H63" s="70"/>
      <c r="I63" s="498" t="str">
        <f>IF(G63="","",VLOOKUP(G63,'G-1 All Habitats'!$B$2:$M$129,10,FALSE))</f>
        <v/>
      </c>
      <c r="J63" s="499" t="str">
        <f>IFERROR(VLOOKUP(I63,'G-1 All Habitats'!$V$3:$W$7,2,FALSE),"")</f>
        <v/>
      </c>
      <c r="K63" s="71"/>
      <c r="L63" s="499" t="str">
        <f>IFERROR(INDEX('G-8 Condition Look up'!$A$3:$H$130,MATCH(G63,'G-8 Condition Look up'!$A$3:$A$130,0),MATCH(K63,'G-8 Condition Look up'!$A$3:$H$3,0)),"")</f>
        <v/>
      </c>
      <c r="M63" s="71"/>
      <c r="N63" s="520" t="str">
        <f>IF(M63="","",IF(VLOOKUP(M63,'G-3 Multipliers'!$L$3:$N$6,2,FALSE)=0,"Spatial Data Missing",VLOOKUP(M63,'G-3 Multipliers'!$L$3:$N$6,2,FALSE)))</f>
        <v/>
      </c>
      <c r="O63" s="505" t="str">
        <f>IF(M63="","",IF(VLOOKUP(M63,'G-3 Multipliers'!$L$3:$N$6,3,FALSE)=0,"Spatial Data Missing ▲",VLOOKUP(M63,'G-3 Multipliers'!$L$3:$N$6,3,FALSE)))</f>
        <v/>
      </c>
      <c r="P63" s="506" t="str">
        <f>IFERROR(VLOOKUP(G63,'G-1 All Habitats'!$B$2:$M$129,12,FALSE),"")</f>
        <v/>
      </c>
      <c r="Q63" s="513" t="str">
        <f>IFERROR(IF(P63="","",IF(AND(P63='G-1 All Habitats'!$X$3,T63&gt;0),U63+V63,IF(AND(P63='G-1 All Habitats'!$X$3,S63&gt;0),U63+V63,IF(AND(P63='G-1 All Habitats'!$X$3,AC63&gt;0),"Any Loss Unacceptable ▲",IF(AND(P63='G-1 All Habitats'!$X$3,W63&gt;0),"Any Loss Unacceptable ▲",H63*J63*L63*O63))))),"Check Data ▲")</f>
        <v/>
      </c>
      <c r="R63" s="50"/>
      <c r="S63" s="71"/>
      <c r="T63" s="72"/>
      <c r="U63" s="511" t="str">
        <f t="shared" si="3"/>
        <v/>
      </c>
      <c r="V63" s="511" t="str">
        <f t="shared" si="4"/>
        <v/>
      </c>
      <c r="W63" s="511" t="str">
        <f>IF(E63="","",IF(H63&lt;S63+T63,"Error in Areas ▲",IF(P63&lt;&gt;'G-1 All Habitats'!$X$3,H63-S63-T63,IF(AND(P63='G-1 All Habitats'!$X$3,Y63="Yes"),"Unacceptable Loss",IF(AND(P63='G-1 All Habitats'!$X$3,Y63="No"),AC63,IF(AND(P63='G-1 All Habitats'!$X$3,Y63=""),AC63,IF(AND(P63='G-1 All Habitats'!$X$3,AC63="None",AC63),IF(AND(P63='G-1 All Habitats'!$X$3,AC63&gt;0),H63-S63-T63))))))))</f>
        <v/>
      </c>
      <c r="X63" s="515" t="str">
        <f>IFERROR(IF(H63="","",IF(H63-S63-T63=0&lt;0,"Error in Areas ▲",IF(S63+T63&gt;H63,"Error in Areas ▲",IF(AND(P63='G-1 All Habitats'!$X$3,Y63="Yes"),"Alternative Compensation ✓",IF(W63=0,0,IF(P63='G-1 All Habitats'!$X$3,"Unacceptable Loss ▲",Q63-U63-V63)))))),"Check Data ▲")</f>
        <v/>
      </c>
      <c r="Y63" s="72"/>
      <c r="Z63" s="80"/>
      <c r="AA63" s="81"/>
      <c r="AC63" s="75" t="str">
        <f>IF(P63="","",IF(P63='G-1 All Habitats'!$X$3,H63-S63-T63,"None"))</f>
        <v/>
      </c>
      <c r="AD63" s="76" t="str">
        <f>IFERROR(AC63*J63*L63*#REF!*O63,IF(P63="","","None"))</f>
        <v/>
      </c>
      <c r="AF63" s="54" t="str">
        <f t="shared" si="0"/>
        <v/>
      </c>
      <c r="AG63" s="54" t="str">
        <f t="shared" si="1"/>
        <v/>
      </c>
      <c r="AH63" s="54" t="str">
        <f>IF(I63="","",IF(#REF!&gt;0,TRUE,FALSE))</f>
        <v/>
      </c>
      <c r="AI63" s="54">
        <v>53</v>
      </c>
      <c r="AJ63" s="54"/>
      <c r="AK63" s="54" t="str">
        <f t="array" ref="AK63">IFERROR(INDEX($AI$11:$AI$259, MATCH(0, IF(TRUE=$AF$11:$AF$259, COUNTIF($AK$10:$AK62, $AI$11:$AI$259), ""), 0)),"")</f>
        <v/>
      </c>
      <c r="AL63" s="54" t="str">
        <f t="array" ref="AL63">IFERROR(INDEX($AI$11:$AI$259, MATCH(0, IF(TRUE=$AG$11:$AG$259, COUNTIF($AL$10:$AL62, $AI$11:$AI$259), ""), 0)),"")</f>
        <v/>
      </c>
      <c r="AM63" s="54" t="str">
        <f t="array" ref="AM63">IFERROR(INDEX($AI$11:$AI$259, MATCH(0, IF(TRUE=$AH$11:$AH$259, COUNTIF($AM$10:$AM62, $AI$11:$AI$259), ""), 0)),"")</f>
        <v/>
      </c>
      <c r="AN63" s="54"/>
      <c r="AQ63" s="47">
        <f t="shared" si="2"/>
        <v>0</v>
      </c>
    </row>
    <row r="64" spans="1:43" x14ac:dyDescent="0.25">
      <c r="A64" s="47" t="str">
        <f>IFERROR(INDEX('G-1 All Habitats'!$AG$3:$AG$15,MATCH(E64,'G-1 All Habitats'!$AF$3:$AF$15,0)),"")</f>
        <v/>
      </c>
      <c r="B64" s="47" t="str">
        <f>IFERROR(INDEX('G-8 Condition Look up'!$I$4:$I$130,MATCH(G64,'G-8 Condition Look up'!$A$4:$A$130,0)),"")</f>
        <v/>
      </c>
      <c r="D64" s="77">
        <v>54</v>
      </c>
      <c r="E64" s="78"/>
      <c r="F64" s="79"/>
      <c r="G64" s="69" t="str">
        <f>IFERROR(INDEX('G-1 All Habitats'!$B$3:$B$129,MATCH(F64,'G-1 All Habitats'!$A$3:$A$129,0)),"")</f>
        <v/>
      </c>
      <c r="H64" s="70"/>
      <c r="I64" s="498" t="str">
        <f>IF(G64="","",VLOOKUP(G64,'G-1 All Habitats'!$B$2:$M$129,10,FALSE))</f>
        <v/>
      </c>
      <c r="J64" s="499" t="str">
        <f>IFERROR(VLOOKUP(I64,'G-1 All Habitats'!$V$3:$W$7,2,FALSE),"")</f>
        <v/>
      </c>
      <c r="K64" s="71"/>
      <c r="L64" s="499" t="str">
        <f>IFERROR(INDEX('G-8 Condition Look up'!$A$3:$H$130,MATCH(G64,'G-8 Condition Look up'!$A$3:$A$130,0),MATCH(K64,'G-8 Condition Look up'!$A$3:$H$3,0)),"")</f>
        <v/>
      </c>
      <c r="M64" s="71"/>
      <c r="N64" s="520" t="str">
        <f>IF(M64="","",IF(VLOOKUP(M64,'G-3 Multipliers'!$L$3:$N$6,2,FALSE)=0,"Spatial Data Missing",VLOOKUP(M64,'G-3 Multipliers'!$L$3:$N$6,2,FALSE)))</f>
        <v/>
      </c>
      <c r="O64" s="505" t="str">
        <f>IF(M64="","",IF(VLOOKUP(M64,'G-3 Multipliers'!$L$3:$N$6,3,FALSE)=0,"Spatial Data Missing ▲",VLOOKUP(M64,'G-3 Multipliers'!$L$3:$N$6,3,FALSE)))</f>
        <v/>
      </c>
      <c r="P64" s="506" t="str">
        <f>IFERROR(VLOOKUP(G64,'G-1 All Habitats'!$B$2:$M$129,12,FALSE),"")</f>
        <v/>
      </c>
      <c r="Q64" s="513" t="str">
        <f>IFERROR(IF(P64="","",IF(AND(P64='G-1 All Habitats'!$X$3,T64&gt;0),U64+V64,IF(AND(P64='G-1 All Habitats'!$X$3,S64&gt;0),U64+V64,IF(AND(P64='G-1 All Habitats'!$X$3,AC64&gt;0),"Any Loss Unacceptable ▲",IF(AND(P64='G-1 All Habitats'!$X$3,W64&gt;0),"Any Loss Unacceptable ▲",H64*J64*L64*O64))))),"Check Data ▲")</f>
        <v/>
      </c>
      <c r="R64" s="50"/>
      <c r="S64" s="71"/>
      <c r="T64" s="72"/>
      <c r="U64" s="511" t="str">
        <f t="shared" si="3"/>
        <v/>
      </c>
      <c r="V64" s="511" t="str">
        <f t="shared" si="4"/>
        <v/>
      </c>
      <c r="W64" s="511" t="str">
        <f>IF(E64="","",IF(H64&lt;S64+T64,"Error in Areas ▲",IF(P64&lt;&gt;'G-1 All Habitats'!$X$3,H64-S64-T64,IF(AND(P64='G-1 All Habitats'!$X$3,Y64="Yes"),"Unacceptable Loss",IF(AND(P64='G-1 All Habitats'!$X$3,Y64="No"),AC64,IF(AND(P64='G-1 All Habitats'!$X$3,Y64=""),AC64,IF(AND(P64='G-1 All Habitats'!$X$3,AC64="None",AC64),IF(AND(P64='G-1 All Habitats'!$X$3,AC64&gt;0),H64-S64-T64))))))))</f>
        <v/>
      </c>
      <c r="X64" s="515" t="str">
        <f>IFERROR(IF(H64="","",IF(H64-S64-T64=0&lt;0,"Error in Areas ▲",IF(S64+T64&gt;H64,"Error in Areas ▲",IF(AND(P64='G-1 All Habitats'!$X$3,Y64="Yes"),"Alternative Compensation ✓",IF(W64=0,0,IF(P64='G-1 All Habitats'!$X$3,"Unacceptable Loss ▲",Q64-U64-V64)))))),"Check Data ▲")</f>
        <v/>
      </c>
      <c r="Y64" s="72"/>
      <c r="Z64" s="80"/>
      <c r="AA64" s="81"/>
      <c r="AC64" s="75" t="str">
        <f>IF(P64="","",IF(P64='G-1 All Habitats'!$X$3,H64-S64-T64,"None"))</f>
        <v/>
      </c>
      <c r="AD64" s="76" t="str">
        <f>IFERROR(AC64*J64*L64*#REF!*O64,IF(P64="","","None"))</f>
        <v/>
      </c>
      <c r="AF64" s="54" t="str">
        <f t="shared" si="0"/>
        <v/>
      </c>
      <c r="AG64" s="54" t="str">
        <f t="shared" si="1"/>
        <v/>
      </c>
      <c r="AH64" s="54" t="str">
        <f>IF(I64="","",IF(#REF!&gt;0,TRUE,FALSE))</f>
        <v/>
      </c>
      <c r="AI64" s="54">
        <v>54</v>
      </c>
      <c r="AJ64" s="54"/>
      <c r="AK64" s="54" t="str">
        <f t="array" ref="AK64">IFERROR(INDEX($AI$11:$AI$259, MATCH(0, IF(TRUE=$AF$11:$AF$259, COUNTIF($AK$10:$AK63, $AI$11:$AI$259), ""), 0)),"")</f>
        <v/>
      </c>
      <c r="AL64" s="54" t="str">
        <f t="array" ref="AL64">IFERROR(INDEX($AI$11:$AI$259, MATCH(0, IF(TRUE=$AG$11:$AG$259, COUNTIF($AL$10:$AL63, $AI$11:$AI$259), ""), 0)),"")</f>
        <v/>
      </c>
      <c r="AM64" s="54" t="str">
        <f t="array" ref="AM64">IFERROR(INDEX($AI$11:$AI$259, MATCH(0, IF(TRUE=$AH$11:$AH$259, COUNTIF($AM$10:$AM63, $AI$11:$AI$259), ""), 0)),"")</f>
        <v/>
      </c>
      <c r="AN64" s="54"/>
      <c r="AQ64" s="47">
        <f t="shared" si="2"/>
        <v>0</v>
      </c>
    </row>
    <row r="65" spans="1:43" x14ac:dyDescent="0.25">
      <c r="A65" s="47" t="str">
        <f>IFERROR(INDEX('G-1 All Habitats'!$AG$3:$AG$15,MATCH(E65,'G-1 All Habitats'!$AF$3:$AF$15,0)),"")</f>
        <v/>
      </c>
      <c r="B65" s="47" t="str">
        <f>IFERROR(INDEX('G-8 Condition Look up'!$I$4:$I$130,MATCH(G65,'G-8 Condition Look up'!$A$4:$A$130,0)),"")</f>
        <v/>
      </c>
      <c r="D65" s="77">
        <v>55</v>
      </c>
      <c r="E65" s="78"/>
      <c r="F65" s="79"/>
      <c r="G65" s="69" t="str">
        <f>IFERROR(INDEX('G-1 All Habitats'!$B$3:$B$129,MATCH(F65,'G-1 All Habitats'!$A$3:$A$129,0)),"")</f>
        <v/>
      </c>
      <c r="H65" s="70"/>
      <c r="I65" s="498" t="str">
        <f>IF(G65="","",VLOOKUP(G65,'G-1 All Habitats'!$B$2:$M$129,10,FALSE))</f>
        <v/>
      </c>
      <c r="J65" s="499" t="str">
        <f>IFERROR(VLOOKUP(I65,'G-1 All Habitats'!$V$3:$W$7,2,FALSE),"")</f>
        <v/>
      </c>
      <c r="K65" s="71"/>
      <c r="L65" s="499" t="str">
        <f>IFERROR(INDEX('G-8 Condition Look up'!$A$3:$H$130,MATCH(G65,'G-8 Condition Look up'!$A$3:$A$130,0),MATCH(K65,'G-8 Condition Look up'!$A$3:$H$3,0)),"")</f>
        <v/>
      </c>
      <c r="M65" s="71"/>
      <c r="N65" s="520" t="str">
        <f>IF(M65="","",IF(VLOOKUP(M65,'G-3 Multipliers'!$L$3:$N$6,2,FALSE)=0,"Spatial Data Missing",VLOOKUP(M65,'G-3 Multipliers'!$L$3:$N$6,2,FALSE)))</f>
        <v/>
      </c>
      <c r="O65" s="505" t="str">
        <f>IF(M65="","",IF(VLOOKUP(M65,'G-3 Multipliers'!$L$3:$N$6,3,FALSE)=0,"Spatial Data Missing ▲",VLOOKUP(M65,'G-3 Multipliers'!$L$3:$N$6,3,FALSE)))</f>
        <v/>
      </c>
      <c r="P65" s="506" t="str">
        <f>IFERROR(VLOOKUP(G65,'G-1 All Habitats'!$B$2:$M$129,12,FALSE),"")</f>
        <v/>
      </c>
      <c r="Q65" s="513" t="str">
        <f>IFERROR(IF(P65="","",IF(AND(P65='G-1 All Habitats'!$X$3,T65&gt;0),U65+V65,IF(AND(P65='G-1 All Habitats'!$X$3,S65&gt;0),U65+V65,IF(AND(P65='G-1 All Habitats'!$X$3,AC65&gt;0),"Any Loss Unacceptable ▲",IF(AND(P65='G-1 All Habitats'!$X$3,W65&gt;0),"Any Loss Unacceptable ▲",H65*J65*L65*O65))))),"Check Data ▲")</f>
        <v/>
      </c>
      <c r="R65" s="50"/>
      <c r="S65" s="71"/>
      <c r="T65" s="72"/>
      <c r="U65" s="511" t="str">
        <f t="shared" si="3"/>
        <v/>
      </c>
      <c r="V65" s="511" t="str">
        <f t="shared" si="4"/>
        <v/>
      </c>
      <c r="W65" s="511" t="str">
        <f>IF(E65="","",IF(H65&lt;S65+T65,"Error in Areas ▲",IF(P65&lt;&gt;'G-1 All Habitats'!$X$3,H65-S65-T65,IF(AND(P65='G-1 All Habitats'!$X$3,Y65="Yes"),"Unacceptable Loss",IF(AND(P65='G-1 All Habitats'!$X$3,Y65="No"),AC65,IF(AND(P65='G-1 All Habitats'!$X$3,Y65=""),AC65,IF(AND(P65='G-1 All Habitats'!$X$3,AC65="None",AC65),IF(AND(P65='G-1 All Habitats'!$X$3,AC65&gt;0),H65-S65-T65))))))))</f>
        <v/>
      </c>
      <c r="X65" s="515" t="str">
        <f>IFERROR(IF(H65="","",IF(H65-S65-T65=0&lt;0,"Error in Areas ▲",IF(S65+T65&gt;H65,"Error in Areas ▲",IF(AND(P65='G-1 All Habitats'!$X$3,Y65="Yes"),"Alternative Compensation ✓",IF(W65=0,0,IF(P65='G-1 All Habitats'!$X$3,"Unacceptable Loss ▲",Q65-U65-V65)))))),"Check Data ▲")</f>
        <v/>
      </c>
      <c r="Y65" s="72"/>
      <c r="Z65" s="80"/>
      <c r="AA65" s="81"/>
      <c r="AC65" s="75" t="str">
        <f>IF(P65="","",IF(P65='G-1 All Habitats'!$X$3,H65-S65-T65,"None"))</f>
        <v/>
      </c>
      <c r="AD65" s="76" t="str">
        <f>IFERROR(AC65*J65*L65*#REF!*O65,IF(P65="","","None"))</f>
        <v/>
      </c>
      <c r="AF65" s="54" t="str">
        <f t="shared" si="0"/>
        <v/>
      </c>
      <c r="AG65" s="54" t="str">
        <f t="shared" si="1"/>
        <v/>
      </c>
      <c r="AH65" s="54" t="str">
        <f>IF(I65="","",IF(#REF!&gt;0,TRUE,FALSE))</f>
        <v/>
      </c>
      <c r="AI65" s="54">
        <v>55</v>
      </c>
      <c r="AJ65" s="54"/>
      <c r="AK65" s="54" t="str">
        <f t="array" ref="AK65">IFERROR(INDEX($AI$11:$AI$259, MATCH(0, IF(TRUE=$AF$11:$AF$259, COUNTIF($AK$10:$AK64, $AI$11:$AI$259), ""), 0)),"")</f>
        <v/>
      </c>
      <c r="AL65" s="54" t="str">
        <f t="array" ref="AL65">IFERROR(INDEX($AI$11:$AI$259, MATCH(0, IF(TRUE=$AG$11:$AG$259, COUNTIF($AL$10:$AL64, $AI$11:$AI$259), ""), 0)),"")</f>
        <v/>
      </c>
      <c r="AM65" s="54" t="str">
        <f t="array" ref="AM65">IFERROR(INDEX($AI$11:$AI$259, MATCH(0, IF(TRUE=$AH$11:$AH$259, COUNTIF($AM$10:$AM64, $AI$11:$AI$259), ""), 0)),"")</f>
        <v/>
      </c>
      <c r="AN65" s="54"/>
      <c r="AQ65" s="47">
        <f t="shared" si="2"/>
        <v>0</v>
      </c>
    </row>
    <row r="66" spans="1:43" x14ac:dyDescent="0.25">
      <c r="A66" s="47" t="str">
        <f>IFERROR(INDEX('G-1 All Habitats'!$AG$3:$AG$15,MATCH(E66,'G-1 All Habitats'!$AF$3:$AF$15,0)),"")</f>
        <v/>
      </c>
      <c r="B66" s="47" t="str">
        <f>IFERROR(INDEX('G-8 Condition Look up'!$I$4:$I$130,MATCH(G66,'G-8 Condition Look up'!$A$4:$A$130,0)),"")</f>
        <v/>
      </c>
      <c r="D66" s="77">
        <v>56</v>
      </c>
      <c r="E66" s="78"/>
      <c r="F66" s="79"/>
      <c r="G66" s="69" t="str">
        <f>IFERROR(INDEX('G-1 All Habitats'!$B$3:$B$129,MATCH(F66,'G-1 All Habitats'!$A$3:$A$129,0)),"")</f>
        <v/>
      </c>
      <c r="H66" s="70"/>
      <c r="I66" s="498" t="str">
        <f>IF(G66="","",VLOOKUP(G66,'G-1 All Habitats'!$B$2:$M$129,10,FALSE))</f>
        <v/>
      </c>
      <c r="J66" s="499" t="str">
        <f>IFERROR(VLOOKUP(I66,'G-1 All Habitats'!$V$3:$W$7,2,FALSE),"")</f>
        <v/>
      </c>
      <c r="K66" s="71"/>
      <c r="L66" s="499" t="str">
        <f>IFERROR(INDEX('G-8 Condition Look up'!$A$3:$H$130,MATCH(G66,'G-8 Condition Look up'!$A$3:$A$130,0),MATCH(K66,'G-8 Condition Look up'!$A$3:$H$3,0)),"")</f>
        <v/>
      </c>
      <c r="M66" s="71"/>
      <c r="N66" s="520" t="str">
        <f>IF(M66="","",IF(VLOOKUP(M66,'G-3 Multipliers'!$L$3:$N$6,2,FALSE)=0,"Spatial Data Missing",VLOOKUP(M66,'G-3 Multipliers'!$L$3:$N$6,2,FALSE)))</f>
        <v/>
      </c>
      <c r="O66" s="505" t="str">
        <f>IF(M66="","",IF(VLOOKUP(M66,'G-3 Multipliers'!$L$3:$N$6,3,FALSE)=0,"Spatial Data Missing ▲",VLOOKUP(M66,'G-3 Multipliers'!$L$3:$N$6,3,FALSE)))</f>
        <v/>
      </c>
      <c r="P66" s="506" t="str">
        <f>IFERROR(VLOOKUP(G66,'G-1 All Habitats'!$B$2:$M$129,12,FALSE),"")</f>
        <v/>
      </c>
      <c r="Q66" s="513" t="str">
        <f>IFERROR(IF(P66="","",IF(AND(P66='G-1 All Habitats'!$X$3,T66&gt;0),U66+V66,IF(AND(P66='G-1 All Habitats'!$X$3,S66&gt;0),U66+V66,IF(AND(P66='G-1 All Habitats'!$X$3,AC66&gt;0),"Any Loss Unacceptable ▲",IF(AND(P66='G-1 All Habitats'!$X$3,W66&gt;0),"Any Loss Unacceptable ▲",H66*J66*L66*O66))))),"Check Data ▲")</f>
        <v/>
      </c>
      <c r="R66" s="50"/>
      <c r="S66" s="71"/>
      <c r="T66" s="72"/>
      <c r="U66" s="511" t="str">
        <f t="shared" si="3"/>
        <v/>
      </c>
      <c r="V66" s="511" t="str">
        <f t="shared" si="4"/>
        <v/>
      </c>
      <c r="W66" s="511" t="str">
        <f>IF(E66="","",IF(H66&lt;S66+T66,"Error in Areas ▲",IF(P66&lt;&gt;'G-1 All Habitats'!$X$3,H66-S66-T66,IF(AND(P66='G-1 All Habitats'!$X$3,Y66="Yes"),"Unacceptable Loss",IF(AND(P66='G-1 All Habitats'!$X$3,Y66="No"),AC66,IF(AND(P66='G-1 All Habitats'!$X$3,Y66=""),AC66,IF(AND(P66='G-1 All Habitats'!$X$3,AC66="None",AC66),IF(AND(P66='G-1 All Habitats'!$X$3,AC66&gt;0),H66-S66-T66))))))))</f>
        <v/>
      </c>
      <c r="X66" s="515" t="str">
        <f>IFERROR(IF(H66="","",IF(H66-S66-T66=0&lt;0,"Error in Areas ▲",IF(S66+T66&gt;H66,"Error in Areas ▲",IF(AND(P66='G-1 All Habitats'!$X$3,Y66="Yes"),"Alternative Compensation ✓",IF(W66=0,0,IF(P66='G-1 All Habitats'!$X$3,"Unacceptable Loss ▲",Q66-U66-V66)))))),"Check Data ▲")</f>
        <v/>
      </c>
      <c r="Y66" s="72"/>
      <c r="Z66" s="80"/>
      <c r="AA66" s="81"/>
      <c r="AC66" s="75" t="str">
        <f>IF(P66="","",IF(P66='G-1 All Habitats'!$X$3,H66-S66-T66,"None"))</f>
        <v/>
      </c>
      <c r="AD66" s="76" t="str">
        <f>IFERROR(AC66*J66*L66*#REF!*O66,IF(P66="","","None"))</f>
        <v/>
      </c>
      <c r="AF66" s="54" t="str">
        <f t="shared" si="0"/>
        <v/>
      </c>
      <c r="AG66" s="54" t="str">
        <f t="shared" si="1"/>
        <v/>
      </c>
      <c r="AH66" s="54" t="str">
        <f>IF(I66="","",IF(#REF!&gt;0,TRUE,FALSE))</f>
        <v/>
      </c>
      <c r="AI66" s="54">
        <v>56</v>
      </c>
      <c r="AJ66" s="54"/>
      <c r="AK66" s="54" t="str">
        <f t="array" ref="AK66">IFERROR(INDEX($AI$11:$AI$259, MATCH(0, IF(TRUE=$AF$11:$AF$259, COUNTIF($AK$10:$AK65, $AI$11:$AI$259), ""), 0)),"")</f>
        <v/>
      </c>
      <c r="AL66" s="54" t="str">
        <f t="array" ref="AL66">IFERROR(INDEX($AI$11:$AI$259, MATCH(0, IF(TRUE=$AG$11:$AG$259, COUNTIF($AL$10:$AL65, $AI$11:$AI$259), ""), 0)),"")</f>
        <v/>
      </c>
      <c r="AM66" s="54" t="str">
        <f t="array" ref="AM66">IFERROR(INDEX($AI$11:$AI$259, MATCH(0, IF(TRUE=$AH$11:$AH$259, COUNTIF($AM$10:$AM65, $AI$11:$AI$259), ""), 0)),"")</f>
        <v/>
      </c>
      <c r="AN66" s="54"/>
      <c r="AQ66" s="47">
        <f t="shared" si="2"/>
        <v>0</v>
      </c>
    </row>
    <row r="67" spans="1:43" x14ac:dyDescent="0.25">
      <c r="A67" s="47" t="str">
        <f>IFERROR(INDEX('G-1 All Habitats'!$AG$3:$AG$15,MATCH(E67,'G-1 All Habitats'!$AF$3:$AF$15,0)),"")</f>
        <v/>
      </c>
      <c r="B67" s="47" t="str">
        <f>IFERROR(INDEX('G-8 Condition Look up'!$I$4:$I$130,MATCH(G67,'G-8 Condition Look up'!$A$4:$A$130,0)),"")</f>
        <v/>
      </c>
      <c r="D67" s="77">
        <v>57</v>
      </c>
      <c r="E67" s="78"/>
      <c r="F67" s="79"/>
      <c r="G67" s="69" t="str">
        <f>IFERROR(INDEX('G-1 All Habitats'!$B$3:$B$129,MATCH(F67,'G-1 All Habitats'!$A$3:$A$129,0)),"")</f>
        <v/>
      </c>
      <c r="H67" s="70"/>
      <c r="I67" s="498" t="str">
        <f>IF(G67="","",VLOOKUP(G67,'G-1 All Habitats'!$B$2:$M$129,10,FALSE))</f>
        <v/>
      </c>
      <c r="J67" s="499" t="str">
        <f>IFERROR(VLOOKUP(I67,'G-1 All Habitats'!$V$3:$W$7,2,FALSE),"")</f>
        <v/>
      </c>
      <c r="K67" s="71"/>
      <c r="L67" s="499" t="str">
        <f>IFERROR(INDEX('G-8 Condition Look up'!$A$3:$H$130,MATCH(G67,'G-8 Condition Look up'!$A$3:$A$130,0),MATCH(K67,'G-8 Condition Look up'!$A$3:$H$3,0)),"")</f>
        <v/>
      </c>
      <c r="M67" s="71"/>
      <c r="N67" s="520" t="str">
        <f>IF(M67="","",IF(VLOOKUP(M67,'G-3 Multipliers'!$L$3:$N$6,2,FALSE)=0,"Spatial Data Missing",VLOOKUP(M67,'G-3 Multipliers'!$L$3:$N$6,2,FALSE)))</f>
        <v/>
      </c>
      <c r="O67" s="505" t="str">
        <f>IF(M67="","",IF(VLOOKUP(M67,'G-3 Multipliers'!$L$3:$N$6,3,FALSE)=0,"Spatial Data Missing ▲",VLOOKUP(M67,'G-3 Multipliers'!$L$3:$N$6,3,FALSE)))</f>
        <v/>
      </c>
      <c r="P67" s="506" t="str">
        <f>IFERROR(VLOOKUP(G67,'G-1 All Habitats'!$B$2:$M$129,12,FALSE),"")</f>
        <v/>
      </c>
      <c r="Q67" s="513" t="str">
        <f>IFERROR(IF(P67="","",IF(AND(P67='G-1 All Habitats'!$X$3,T67&gt;0),U67+V67,IF(AND(P67='G-1 All Habitats'!$X$3,S67&gt;0),U67+V67,IF(AND(P67='G-1 All Habitats'!$X$3,AC67&gt;0),"Any Loss Unacceptable ▲",IF(AND(P67='G-1 All Habitats'!$X$3,W67&gt;0),"Any Loss Unacceptable ▲",H67*J67*L67*O67))))),"Check Data ▲")</f>
        <v/>
      </c>
      <c r="R67" s="50"/>
      <c r="S67" s="71"/>
      <c r="T67" s="72"/>
      <c r="U67" s="511" t="str">
        <f t="shared" si="3"/>
        <v/>
      </c>
      <c r="V67" s="511" t="str">
        <f t="shared" si="4"/>
        <v/>
      </c>
      <c r="W67" s="511" t="str">
        <f>IF(E67="","",IF(H67&lt;S67+T67,"Error in Areas ▲",IF(P67&lt;&gt;'G-1 All Habitats'!$X$3,H67-S67-T67,IF(AND(P67='G-1 All Habitats'!$X$3,Y67="Yes"),"Unacceptable Loss",IF(AND(P67='G-1 All Habitats'!$X$3,Y67="No"),AC67,IF(AND(P67='G-1 All Habitats'!$X$3,Y67=""),AC67,IF(AND(P67='G-1 All Habitats'!$X$3,AC67="None",AC67),IF(AND(P67='G-1 All Habitats'!$X$3,AC67&gt;0),H67-S67-T67))))))))</f>
        <v/>
      </c>
      <c r="X67" s="515" t="str">
        <f>IFERROR(IF(H67="","",IF(H67-S67-T67=0&lt;0,"Error in Areas ▲",IF(S67+T67&gt;H67,"Error in Areas ▲",IF(AND(P67='G-1 All Habitats'!$X$3,Y67="Yes"),"Alternative Compensation ✓",IF(W67=0,0,IF(P67='G-1 All Habitats'!$X$3,"Unacceptable Loss ▲",Q67-U67-V67)))))),"Check Data ▲")</f>
        <v/>
      </c>
      <c r="Y67" s="72"/>
      <c r="Z67" s="80"/>
      <c r="AA67" s="81"/>
      <c r="AC67" s="75" t="str">
        <f>IF(P67="","",IF(P67='G-1 All Habitats'!$X$3,H67-S67-T67,"None"))</f>
        <v/>
      </c>
      <c r="AD67" s="76" t="str">
        <f>IFERROR(AC67*J67*L67*#REF!*O67,IF(P67="","","None"))</f>
        <v/>
      </c>
      <c r="AF67" s="54" t="str">
        <f t="shared" si="0"/>
        <v/>
      </c>
      <c r="AG67" s="54" t="str">
        <f t="shared" si="1"/>
        <v/>
      </c>
      <c r="AH67" s="54" t="str">
        <f>IF(I67="","",IF(#REF!&gt;0,TRUE,FALSE))</f>
        <v/>
      </c>
      <c r="AI67" s="54">
        <v>57</v>
      </c>
      <c r="AJ67" s="54"/>
      <c r="AK67" s="54" t="str">
        <f t="array" ref="AK67">IFERROR(INDEX($AI$11:$AI$259, MATCH(0, IF(TRUE=$AF$11:$AF$259, COUNTIF($AK$10:$AK66, $AI$11:$AI$259), ""), 0)),"")</f>
        <v/>
      </c>
      <c r="AL67" s="54" t="str">
        <f t="array" ref="AL67">IFERROR(INDEX($AI$11:$AI$259, MATCH(0, IF(TRUE=$AG$11:$AG$259, COUNTIF($AL$10:$AL66, $AI$11:$AI$259), ""), 0)),"")</f>
        <v/>
      </c>
      <c r="AM67" s="54" t="str">
        <f t="array" ref="AM67">IFERROR(INDEX($AI$11:$AI$259, MATCH(0, IF(TRUE=$AH$11:$AH$259, COUNTIF($AM$10:$AM66, $AI$11:$AI$259), ""), 0)),"")</f>
        <v/>
      </c>
      <c r="AN67" s="54"/>
      <c r="AQ67" s="47">
        <f t="shared" si="2"/>
        <v>0</v>
      </c>
    </row>
    <row r="68" spans="1:43" x14ac:dyDescent="0.25">
      <c r="A68" s="47" t="str">
        <f>IFERROR(INDEX('G-1 All Habitats'!$AG$3:$AG$15,MATCH(E68,'G-1 All Habitats'!$AF$3:$AF$15,0)),"")</f>
        <v/>
      </c>
      <c r="B68" s="47" t="str">
        <f>IFERROR(INDEX('G-8 Condition Look up'!$I$4:$I$130,MATCH(G68,'G-8 Condition Look up'!$A$4:$A$130,0)),"")</f>
        <v/>
      </c>
      <c r="D68" s="77">
        <v>58</v>
      </c>
      <c r="E68" s="78"/>
      <c r="F68" s="79"/>
      <c r="G68" s="69" t="str">
        <f>IFERROR(INDEX('G-1 All Habitats'!$B$3:$B$129,MATCH(F68,'G-1 All Habitats'!$A$3:$A$129,0)),"")</f>
        <v/>
      </c>
      <c r="H68" s="70"/>
      <c r="I68" s="498" t="str">
        <f>IF(G68="","",VLOOKUP(G68,'G-1 All Habitats'!$B$2:$M$129,10,FALSE))</f>
        <v/>
      </c>
      <c r="J68" s="499" t="str">
        <f>IFERROR(VLOOKUP(I68,'G-1 All Habitats'!$V$3:$W$7,2,FALSE),"")</f>
        <v/>
      </c>
      <c r="K68" s="71"/>
      <c r="L68" s="499" t="str">
        <f>IFERROR(INDEX('G-8 Condition Look up'!$A$3:$H$130,MATCH(G68,'G-8 Condition Look up'!$A$3:$A$130,0),MATCH(K68,'G-8 Condition Look up'!$A$3:$H$3,0)),"")</f>
        <v/>
      </c>
      <c r="M68" s="71"/>
      <c r="N68" s="520" t="str">
        <f>IF(M68="","",IF(VLOOKUP(M68,'G-3 Multipliers'!$L$3:$N$6,2,FALSE)=0,"Spatial Data Missing",VLOOKUP(M68,'G-3 Multipliers'!$L$3:$N$6,2,FALSE)))</f>
        <v/>
      </c>
      <c r="O68" s="505" t="str">
        <f>IF(M68="","",IF(VLOOKUP(M68,'G-3 Multipliers'!$L$3:$N$6,3,FALSE)=0,"Spatial Data Missing ▲",VLOOKUP(M68,'G-3 Multipliers'!$L$3:$N$6,3,FALSE)))</f>
        <v/>
      </c>
      <c r="P68" s="506" t="str">
        <f>IFERROR(VLOOKUP(G68,'G-1 All Habitats'!$B$2:$M$129,12,FALSE),"")</f>
        <v/>
      </c>
      <c r="Q68" s="513" t="str">
        <f>IFERROR(IF(P68="","",IF(AND(P68='G-1 All Habitats'!$X$3,T68&gt;0),U68+V68,IF(AND(P68='G-1 All Habitats'!$X$3,S68&gt;0),U68+V68,IF(AND(P68='G-1 All Habitats'!$X$3,AC68&gt;0),"Any Loss Unacceptable ▲",IF(AND(P68='G-1 All Habitats'!$X$3,W68&gt;0),"Any Loss Unacceptable ▲",H68*J68*L68*O68))))),"Check Data ▲")</f>
        <v/>
      </c>
      <c r="R68" s="50"/>
      <c r="S68" s="71"/>
      <c r="T68" s="72"/>
      <c r="U68" s="511" t="str">
        <f t="shared" si="3"/>
        <v/>
      </c>
      <c r="V68" s="511" t="str">
        <f t="shared" si="4"/>
        <v/>
      </c>
      <c r="W68" s="511" t="str">
        <f>IF(E68="","",IF(H68&lt;S68+T68,"Error in Areas ▲",IF(P68&lt;&gt;'G-1 All Habitats'!$X$3,H68-S68-T68,IF(AND(P68='G-1 All Habitats'!$X$3,Y68="Yes"),"Unacceptable Loss",IF(AND(P68='G-1 All Habitats'!$X$3,Y68="No"),AC68,IF(AND(P68='G-1 All Habitats'!$X$3,Y68=""),AC68,IF(AND(P68='G-1 All Habitats'!$X$3,AC68="None",AC68),IF(AND(P68='G-1 All Habitats'!$X$3,AC68&gt;0),H68-S68-T68))))))))</f>
        <v/>
      </c>
      <c r="X68" s="515" t="str">
        <f>IFERROR(IF(H68="","",IF(H68-S68-T68=0&lt;0,"Error in Areas ▲",IF(S68+T68&gt;H68,"Error in Areas ▲",IF(AND(P68='G-1 All Habitats'!$X$3,Y68="Yes"),"Alternative Compensation ✓",IF(W68=0,0,IF(P68='G-1 All Habitats'!$X$3,"Unacceptable Loss ▲",Q68-U68-V68)))))),"Check Data ▲")</f>
        <v/>
      </c>
      <c r="Y68" s="72"/>
      <c r="Z68" s="80"/>
      <c r="AA68" s="81"/>
      <c r="AC68" s="75" t="str">
        <f>IF(P68="","",IF(P68='G-1 All Habitats'!$X$3,H68-S68-T68,"None"))</f>
        <v/>
      </c>
      <c r="AD68" s="76" t="str">
        <f>IFERROR(AC68*J68*L68*#REF!*O68,IF(P68="","","None"))</f>
        <v/>
      </c>
      <c r="AF68" s="54" t="str">
        <f t="shared" si="0"/>
        <v/>
      </c>
      <c r="AG68" s="54" t="str">
        <f t="shared" si="1"/>
        <v/>
      </c>
      <c r="AH68" s="54" t="str">
        <f>IF(I68="","",IF(#REF!&gt;0,TRUE,FALSE))</f>
        <v/>
      </c>
      <c r="AI68" s="54">
        <v>58</v>
      </c>
      <c r="AJ68" s="54"/>
      <c r="AK68" s="54" t="str">
        <f t="array" ref="AK68">IFERROR(INDEX($AI$11:$AI$259, MATCH(0, IF(TRUE=$AF$11:$AF$259, COUNTIF($AK$10:$AK67, $AI$11:$AI$259), ""), 0)),"")</f>
        <v/>
      </c>
      <c r="AL68" s="54" t="str">
        <f t="array" ref="AL68">IFERROR(INDEX($AI$11:$AI$259, MATCH(0, IF(TRUE=$AG$11:$AG$259, COUNTIF($AL$10:$AL67, $AI$11:$AI$259), ""), 0)),"")</f>
        <v/>
      </c>
      <c r="AM68" s="54" t="str">
        <f t="array" ref="AM68">IFERROR(INDEX($AI$11:$AI$259, MATCH(0, IF(TRUE=$AH$11:$AH$259, COUNTIF($AM$10:$AM67, $AI$11:$AI$259), ""), 0)),"")</f>
        <v/>
      </c>
      <c r="AN68" s="54"/>
      <c r="AQ68" s="47">
        <f t="shared" si="2"/>
        <v>0</v>
      </c>
    </row>
    <row r="69" spans="1:43" x14ac:dyDescent="0.25">
      <c r="A69" s="47" t="str">
        <f>IFERROR(INDEX('G-1 All Habitats'!$AG$3:$AG$15,MATCH(E69,'G-1 All Habitats'!$AF$3:$AF$15,0)),"")</f>
        <v/>
      </c>
      <c r="B69" s="47" t="str">
        <f>IFERROR(INDEX('G-8 Condition Look up'!$I$4:$I$130,MATCH(G69,'G-8 Condition Look up'!$A$4:$A$130,0)),"")</f>
        <v/>
      </c>
      <c r="D69" s="77">
        <v>59</v>
      </c>
      <c r="E69" s="78"/>
      <c r="F69" s="79"/>
      <c r="G69" s="69" t="str">
        <f>IFERROR(INDEX('G-1 All Habitats'!$B$3:$B$129,MATCH(F69,'G-1 All Habitats'!$A$3:$A$129,0)),"")</f>
        <v/>
      </c>
      <c r="H69" s="70"/>
      <c r="I69" s="498" t="str">
        <f>IF(G69="","",VLOOKUP(G69,'G-1 All Habitats'!$B$2:$M$129,10,FALSE))</f>
        <v/>
      </c>
      <c r="J69" s="499" t="str">
        <f>IFERROR(VLOOKUP(I69,'G-1 All Habitats'!$V$3:$W$7,2,FALSE),"")</f>
        <v/>
      </c>
      <c r="K69" s="71"/>
      <c r="L69" s="499" t="str">
        <f>IFERROR(INDEX('G-8 Condition Look up'!$A$3:$H$130,MATCH(G69,'G-8 Condition Look up'!$A$3:$A$130,0),MATCH(K69,'G-8 Condition Look up'!$A$3:$H$3,0)),"")</f>
        <v/>
      </c>
      <c r="M69" s="71"/>
      <c r="N69" s="520" t="str">
        <f>IF(M69="","",IF(VLOOKUP(M69,'G-3 Multipliers'!$L$3:$N$6,2,FALSE)=0,"Spatial Data Missing",VLOOKUP(M69,'G-3 Multipliers'!$L$3:$N$6,2,FALSE)))</f>
        <v/>
      </c>
      <c r="O69" s="505" t="str">
        <f>IF(M69="","",IF(VLOOKUP(M69,'G-3 Multipliers'!$L$3:$N$6,3,FALSE)=0,"Spatial Data Missing ▲",VLOOKUP(M69,'G-3 Multipliers'!$L$3:$N$6,3,FALSE)))</f>
        <v/>
      </c>
      <c r="P69" s="506" t="str">
        <f>IFERROR(VLOOKUP(G69,'G-1 All Habitats'!$B$2:$M$129,12,FALSE),"")</f>
        <v/>
      </c>
      <c r="Q69" s="513" t="str">
        <f>IFERROR(IF(P69="","",IF(AND(P69='G-1 All Habitats'!$X$3,T69&gt;0),U69+V69,IF(AND(P69='G-1 All Habitats'!$X$3,S69&gt;0),U69+V69,IF(AND(P69='G-1 All Habitats'!$X$3,AC69&gt;0),"Any Loss Unacceptable ▲",IF(AND(P69='G-1 All Habitats'!$X$3,W69&gt;0),"Any Loss Unacceptable ▲",H69*J69*L69*O69))))),"Check Data ▲")</f>
        <v/>
      </c>
      <c r="R69" s="50"/>
      <c r="S69" s="71"/>
      <c r="T69" s="72"/>
      <c r="U69" s="511" t="str">
        <f t="shared" si="3"/>
        <v/>
      </c>
      <c r="V69" s="511" t="str">
        <f t="shared" si="4"/>
        <v/>
      </c>
      <c r="W69" s="511" t="str">
        <f>IF(E69="","",IF(H69&lt;S69+T69,"Error in Areas ▲",IF(P69&lt;&gt;'G-1 All Habitats'!$X$3,H69-S69-T69,IF(AND(P69='G-1 All Habitats'!$X$3,Y69="Yes"),"Unacceptable Loss",IF(AND(P69='G-1 All Habitats'!$X$3,Y69="No"),AC69,IF(AND(P69='G-1 All Habitats'!$X$3,Y69=""),AC69,IF(AND(P69='G-1 All Habitats'!$X$3,AC69="None",AC69),IF(AND(P69='G-1 All Habitats'!$X$3,AC69&gt;0),H69-S69-T69))))))))</f>
        <v/>
      </c>
      <c r="X69" s="515" t="str">
        <f>IFERROR(IF(H69="","",IF(H69-S69-T69=0&lt;0,"Error in Areas ▲",IF(S69+T69&gt;H69,"Error in Areas ▲",IF(AND(P69='G-1 All Habitats'!$X$3,Y69="Yes"),"Alternative Compensation ✓",IF(W69=0,0,IF(P69='G-1 All Habitats'!$X$3,"Unacceptable Loss ▲",Q69-U69-V69)))))),"Check Data ▲")</f>
        <v/>
      </c>
      <c r="Y69" s="72"/>
      <c r="Z69" s="80"/>
      <c r="AA69" s="81"/>
      <c r="AC69" s="75" t="str">
        <f>IF(P69="","",IF(P69='G-1 All Habitats'!$X$3,H69-S69-T69,"None"))</f>
        <v/>
      </c>
      <c r="AD69" s="76" t="str">
        <f>IFERROR(AC69*J69*L69*#REF!*O69,IF(P69="","","None"))</f>
        <v/>
      </c>
      <c r="AF69" s="54" t="str">
        <f t="shared" si="0"/>
        <v/>
      </c>
      <c r="AG69" s="54" t="str">
        <f t="shared" si="1"/>
        <v/>
      </c>
      <c r="AH69" s="54" t="str">
        <f>IF(I69="","",IF(#REF!&gt;0,TRUE,FALSE))</f>
        <v/>
      </c>
      <c r="AI69" s="54">
        <v>59</v>
      </c>
      <c r="AJ69" s="54"/>
      <c r="AK69" s="54" t="str">
        <f t="array" ref="AK69">IFERROR(INDEX($AI$11:$AI$259, MATCH(0, IF(TRUE=$AF$11:$AF$259, COUNTIF($AK$10:$AK68, $AI$11:$AI$259), ""), 0)),"")</f>
        <v/>
      </c>
      <c r="AL69" s="54" t="str">
        <f t="array" ref="AL69">IFERROR(INDEX($AI$11:$AI$259, MATCH(0, IF(TRUE=$AG$11:$AG$259, COUNTIF($AL$10:$AL68, $AI$11:$AI$259), ""), 0)),"")</f>
        <v/>
      </c>
      <c r="AM69" s="54" t="str">
        <f t="array" ref="AM69">IFERROR(INDEX($AI$11:$AI$259, MATCH(0, IF(TRUE=$AH$11:$AH$259, COUNTIF($AM$10:$AM68, $AI$11:$AI$259), ""), 0)),"")</f>
        <v/>
      </c>
      <c r="AN69" s="54"/>
      <c r="AQ69" s="47">
        <f t="shared" si="2"/>
        <v>0</v>
      </c>
    </row>
    <row r="70" spans="1:43" x14ac:dyDescent="0.25">
      <c r="A70" s="47" t="str">
        <f>IFERROR(INDEX('G-1 All Habitats'!$AG$3:$AG$15,MATCH(E70,'G-1 All Habitats'!$AF$3:$AF$15,0)),"")</f>
        <v/>
      </c>
      <c r="B70" s="47" t="str">
        <f>IFERROR(INDEX('G-8 Condition Look up'!$I$4:$I$130,MATCH(G70,'G-8 Condition Look up'!$A$4:$A$130,0)),"")</f>
        <v/>
      </c>
      <c r="D70" s="77">
        <v>60</v>
      </c>
      <c r="E70" s="78"/>
      <c r="F70" s="79"/>
      <c r="G70" s="69" t="str">
        <f>IFERROR(INDEX('G-1 All Habitats'!$B$3:$B$129,MATCH(F70,'G-1 All Habitats'!$A$3:$A$129,0)),"")</f>
        <v/>
      </c>
      <c r="H70" s="70"/>
      <c r="I70" s="498" t="str">
        <f>IF(G70="","",VLOOKUP(G70,'G-1 All Habitats'!$B$2:$M$129,10,FALSE))</f>
        <v/>
      </c>
      <c r="J70" s="499" t="str">
        <f>IFERROR(VLOOKUP(I70,'G-1 All Habitats'!$V$3:$W$7,2,FALSE),"")</f>
        <v/>
      </c>
      <c r="K70" s="71"/>
      <c r="L70" s="499" t="str">
        <f>IFERROR(INDEX('G-8 Condition Look up'!$A$3:$H$130,MATCH(G70,'G-8 Condition Look up'!$A$3:$A$130,0),MATCH(K70,'G-8 Condition Look up'!$A$3:$H$3,0)),"")</f>
        <v/>
      </c>
      <c r="M70" s="71"/>
      <c r="N70" s="520" t="str">
        <f>IF(M70="","",IF(VLOOKUP(M70,'G-3 Multipliers'!$L$3:$N$6,2,FALSE)=0,"Spatial Data Missing",VLOOKUP(M70,'G-3 Multipliers'!$L$3:$N$6,2,FALSE)))</f>
        <v/>
      </c>
      <c r="O70" s="505" t="str">
        <f>IF(M70="","",IF(VLOOKUP(M70,'G-3 Multipliers'!$L$3:$N$6,3,FALSE)=0,"Spatial Data Missing ▲",VLOOKUP(M70,'G-3 Multipliers'!$L$3:$N$6,3,FALSE)))</f>
        <v/>
      </c>
      <c r="P70" s="506" t="str">
        <f>IFERROR(VLOOKUP(G70,'G-1 All Habitats'!$B$2:$M$129,12,FALSE),"")</f>
        <v/>
      </c>
      <c r="Q70" s="513" t="str">
        <f>IFERROR(IF(P70="","",IF(AND(P70='G-1 All Habitats'!$X$3,T70&gt;0),U70+V70,IF(AND(P70='G-1 All Habitats'!$X$3,S70&gt;0),U70+V70,IF(AND(P70='G-1 All Habitats'!$X$3,AC70&gt;0),"Any Loss Unacceptable ▲",IF(AND(P70='G-1 All Habitats'!$X$3,W70&gt;0),"Any Loss Unacceptable ▲",H70*J70*L70*O70))))),"Check Data ▲")</f>
        <v/>
      </c>
      <c r="R70" s="50"/>
      <c r="S70" s="71"/>
      <c r="T70" s="72"/>
      <c r="U70" s="511" t="str">
        <f t="shared" si="3"/>
        <v/>
      </c>
      <c r="V70" s="511" t="str">
        <f t="shared" si="4"/>
        <v/>
      </c>
      <c r="W70" s="511" t="str">
        <f>IF(E70="","",IF(H70&lt;S70+T70,"Error in Areas ▲",IF(P70&lt;&gt;'G-1 All Habitats'!$X$3,H70-S70-T70,IF(AND(P70='G-1 All Habitats'!$X$3,Y70="Yes"),"Unacceptable Loss",IF(AND(P70='G-1 All Habitats'!$X$3,Y70="No"),AC70,IF(AND(P70='G-1 All Habitats'!$X$3,Y70=""),AC70,IF(AND(P70='G-1 All Habitats'!$X$3,AC70="None",AC70),IF(AND(P70='G-1 All Habitats'!$X$3,AC70&gt;0),H70-S70-T70))))))))</f>
        <v/>
      </c>
      <c r="X70" s="515" t="str">
        <f>IFERROR(IF(H70="","",IF(H70-S70-T70=0&lt;0,"Error in Areas ▲",IF(S70+T70&gt;H70,"Error in Areas ▲",IF(AND(P70='G-1 All Habitats'!$X$3,Y70="Yes"),"Alternative Compensation ✓",IF(W70=0,0,IF(P70='G-1 All Habitats'!$X$3,"Unacceptable Loss ▲",Q70-U70-V70)))))),"Check Data ▲")</f>
        <v/>
      </c>
      <c r="Y70" s="72"/>
      <c r="Z70" s="80"/>
      <c r="AA70" s="81"/>
      <c r="AC70" s="75" t="str">
        <f>IF(P70="","",IF(P70='G-1 All Habitats'!$X$3,H70-S70-T70,"None"))</f>
        <v/>
      </c>
      <c r="AD70" s="76" t="str">
        <f>IFERROR(AC70*J70*L70*#REF!*O70,IF(P70="","","None"))</f>
        <v/>
      </c>
      <c r="AF70" s="54" t="str">
        <f t="shared" si="0"/>
        <v/>
      </c>
      <c r="AG70" s="54" t="str">
        <f t="shared" si="1"/>
        <v/>
      </c>
      <c r="AH70" s="54" t="str">
        <f>IF(I70="","",IF(#REF!&gt;0,TRUE,FALSE))</f>
        <v/>
      </c>
      <c r="AI70" s="54">
        <v>60</v>
      </c>
      <c r="AJ70" s="54"/>
      <c r="AK70" s="54" t="str">
        <f t="array" ref="AK70">IFERROR(INDEX($AI$11:$AI$259, MATCH(0, IF(TRUE=$AF$11:$AF$259, COUNTIF($AK$10:$AK69, $AI$11:$AI$259), ""), 0)),"")</f>
        <v/>
      </c>
      <c r="AL70" s="54" t="str">
        <f t="array" ref="AL70">IFERROR(INDEX($AI$11:$AI$259, MATCH(0, IF(TRUE=$AG$11:$AG$259, COUNTIF($AL$10:$AL69, $AI$11:$AI$259), ""), 0)),"")</f>
        <v/>
      </c>
      <c r="AM70" s="54" t="str">
        <f t="array" ref="AM70">IFERROR(INDEX($AI$11:$AI$259, MATCH(0, IF(TRUE=$AH$11:$AH$259, COUNTIF($AM$10:$AM69, $AI$11:$AI$259), ""), 0)),"")</f>
        <v/>
      </c>
      <c r="AN70" s="54"/>
      <c r="AQ70" s="47">
        <f t="shared" si="2"/>
        <v>0</v>
      </c>
    </row>
    <row r="71" spans="1:43" x14ac:dyDescent="0.25">
      <c r="A71" s="47" t="str">
        <f>IFERROR(INDEX('G-1 All Habitats'!$AG$3:$AG$15,MATCH(E71,'G-1 All Habitats'!$AF$3:$AF$15,0)),"")</f>
        <v/>
      </c>
      <c r="B71" s="47" t="str">
        <f>IFERROR(INDEX('G-8 Condition Look up'!$I$4:$I$130,MATCH(G71,'G-8 Condition Look up'!$A$4:$A$130,0)),"")</f>
        <v/>
      </c>
      <c r="D71" s="77">
        <v>61</v>
      </c>
      <c r="E71" s="78"/>
      <c r="F71" s="79"/>
      <c r="G71" s="69" t="str">
        <f>IFERROR(INDEX('G-1 All Habitats'!$B$3:$B$129,MATCH(F71,'G-1 All Habitats'!$A$3:$A$129,0)),"")</f>
        <v/>
      </c>
      <c r="H71" s="70"/>
      <c r="I71" s="498" t="str">
        <f>IF(G71="","",VLOOKUP(G71,'G-1 All Habitats'!$B$2:$M$129,10,FALSE))</f>
        <v/>
      </c>
      <c r="J71" s="499" t="str">
        <f>IFERROR(VLOOKUP(I71,'G-1 All Habitats'!$V$3:$W$7,2,FALSE),"")</f>
        <v/>
      </c>
      <c r="K71" s="71"/>
      <c r="L71" s="499" t="str">
        <f>IFERROR(INDEX('G-8 Condition Look up'!$A$3:$H$130,MATCH(G71,'G-8 Condition Look up'!$A$3:$A$130,0),MATCH(K71,'G-8 Condition Look up'!$A$3:$H$3,0)),"")</f>
        <v/>
      </c>
      <c r="M71" s="71"/>
      <c r="N71" s="520" t="str">
        <f>IF(M71="","",IF(VLOOKUP(M71,'G-3 Multipliers'!$L$3:$N$6,2,FALSE)=0,"Spatial Data Missing",VLOOKUP(M71,'G-3 Multipliers'!$L$3:$N$6,2,FALSE)))</f>
        <v/>
      </c>
      <c r="O71" s="505" t="str">
        <f>IF(M71="","",IF(VLOOKUP(M71,'G-3 Multipliers'!$L$3:$N$6,3,FALSE)=0,"Spatial Data Missing ▲",VLOOKUP(M71,'G-3 Multipliers'!$L$3:$N$6,3,FALSE)))</f>
        <v/>
      </c>
      <c r="P71" s="506" t="str">
        <f>IFERROR(VLOOKUP(G71,'G-1 All Habitats'!$B$2:$M$129,12,FALSE),"")</f>
        <v/>
      </c>
      <c r="Q71" s="513" t="str">
        <f>IFERROR(IF(P71="","",IF(AND(P71='G-1 All Habitats'!$X$3,T71&gt;0),U71+V71,IF(AND(P71='G-1 All Habitats'!$X$3,S71&gt;0),U71+V71,IF(AND(P71='G-1 All Habitats'!$X$3,AC71&gt;0),"Any Loss Unacceptable ▲",IF(AND(P71='G-1 All Habitats'!$X$3,W71&gt;0),"Any Loss Unacceptable ▲",H71*J71*L71*O71))))),"Check Data ▲")</f>
        <v/>
      </c>
      <c r="R71" s="50"/>
      <c r="S71" s="71"/>
      <c r="T71" s="72"/>
      <c r="U71" s="511" t="str">
        <f t="shared" si="3"/>
        <v/>
      </c>
      <c r="V71" s="511" t="str">
        <f t="shared" si="4"/>
        <v/>
      </c>
      <c r="W71" s="511" t="str">
        <f>IF(E71="","",IF(H71&lt;S71+T71,"Error in Areas ▲",IF(P71&lt;&gt;'G-1 All Habitats'!$X$3,H71-S71-T71,IF(AND(P71='G-1 All Habitats'!$X$3,Y71="Yes"),"Unacceptable Loss",IF(AND(P71='G-1 All Habitats'!$X$3,Y71="No"),AC71,IF(AND(P71='G-1 All Habitats'!$X$3,Y71=""),AC71,IF(AND(P71='G-1 All Habitats'!$X$3,AC71="None",AC71),IF(AND(P71='G-1 All Habitats'!$X$3,AC71&gt;0),H71-S71-T71))))))))</f>
        <v/>
      </c>
      <c r="X71" s="515" t="str">
        <f>IFERROR(IF(H71="","",IF(H71-S71-T71=0&lt;0,"Error in Areas ▲",IF(S71+T71&gt;H71,"Error in Areas ▲",IF(AND(P71='G-1 All Habitats'!$X$3,Y71="Yes"),"Alternative Compensation ✓",IF(W71=0,0,IF(P71='G-1 All Habitats'!$X$3,"Unacceptable Loss ▲",Q71-U71-V71)))))),"Check Data ▲")</f>
        <v/>
      </c>
      <c r="Y71" s="72"/>
      <c r="Z71" s="80"/>
      <c r="AA71" s="81"/>
      <c r="AC71" s="75" t="str">
        <f>IF(P71="","",IF(P71='G-1 All Habitats'!$X$3,H71-S71-T71,"None"))</f>
        <v/>
      </c>
      <c r="AD71" s="76" t="str">
        <f>IFERROR(AC71*J71*L71*#REF!*O71,IF(P71="","","None"))</f>
        <v/>
      </c>
      <c r="AF71" s="54" t="str">
        <f t="shared" si="0"/>
        <v/>
      </c>
      <c r="AG71" s="54" t="str">
        <f t="shared" si="1"/>
        <v/>
      </c>
      <c r="AH71" s="54" t="str">
        <f>IF(I71="","",IF(#REF!&gt;0,TRUE,FALSE))</f>
        <v/>
      </c>
      <c r="AI71" s="54">
        <v>61</v>
      </c>
      <c r="AJ71" s="54"/>
      <c r="AK71" s="54" t="str">
        <f t="array" ref="AK71">IFERROR(INDEX($AI$11:$AI$259, MATCH(0, IF(TRUE=$AF$11:$AF$259, COUNTIF($AK$10:$AK70, $AI$11:$AI$259), ""), 0)),"")</f>
        <v/>
      </c>
      <c r="AL71" s="54" t="str">
        <f t="array" ref="AL71">IFERROR(INDEX($AI$11:$AI$259, MATCH(0, IF(TRUE=$AG$11:$AG$259, COUNTIF($AL$10:$AL70, $AI$11:$AI$259), ""), 0)),"")</f>
        <v/>
      </c>
      <c r="AM71" s="54" t="str">
        <f t="array" ref="AM71">IFERROR(INDEX($AI$11:$AI$259, MATCH(0, IF(TRUE=$AH$11:$AH$259, COUNTIF($AM$10:$AM70, $AI$11:$AI$259), ""), 0)),"")</f>
        <v/>
      </c>
      <c r="AN71" s="54"/>
      <c r="AQ71" s="47">
        <f t="shared" si="2"/>
        <v>0</v>
      </c>
    </row>
    <row r="72" spans="1:43" x14ac:dyDescent="0.25">
      <c r="A72" s="47" t="str">
        <f>IFERROR(INDEX('G-1 All Habitats'!$AG$3:$AG$15,MATCH(E72,'G-1 All Habitats'!$AF$3:$AF$15,0)),"")</f>
        <v/>
      </c>
      <c r="B72" s="47" t="str">
        <f>IFERROR(INDEX('G-8 Condition Look up'!$I$4:$I$130,MATCH(G72,'G-8 Condition Look up'!$A$4:$A$130,0)),"")</f>
        <v/>
      </c>
      <c r="D72" s="77">
        <v>62</v>
      </c>
      <c r="E72" s="78"/>
      <c r="F72" s="79"/>
      <c r="G72" s="69" t="str">
        <f>IFERROR(INDEX('G-1 All Habitats'!$B$3:$B$129,MATCH(F72,'G-1 All Habitats'!$A$3:$A$129,0)),"")</f>
        <v/>
      </c>
      <c r="H72" s="70"/>
      <c r="I72" s="498" t="str">
        <f>IF(G72="","",VLOOKUP(G72,'G-1 All Habitats'!$B$2:$M$129,10,FALSE))</f>
        <v/>
      </c>
      <c r="J72" s="499" t="str">
        <f>IFERROR(VLOOKUP(I72,'G-1 All Habitats'!$V$3:$W$7,2,FALSE),"")</f>
        <v/>
      </c>
      <c r="K72" s="71"/>
      <c r="L72" s="499" t="str">
        <f>IFERROR(INDEX('G-8 Condition Look up'!$A$3:$H$130,MATCH(G72,'G-8 Condition Look up'!$A$3:$A$130,0),MATCH(K72,'G-8 Condition Look up'!$A$3:$H$3,0)),"")</f>
        <v/>
      </c>
      <c r="M72" s="71"/>
      <c r="N72" s="520" t="str">
        <f>IF(M72="","",IF(VLOOKUP(M72,'G-3 Multipliers'!$L$3:$N$6,2,FALSE)=0,"Spatial Data Missing",VLOOKUP(M72,'G-3 Multipliers'!$L$3:$N$6,2,FALSE)))</f>
        <v/>
      </c>
      <c r="O72" s="505" t="str">
        <f>IF(M72="","",IF(VLOOKUP(M72,'G-3 Multipliers'!$L$3:$N$6,3,FALSE)=0,"Spatial Data Missing ▲",VLOOKUP(M72,'G-3 Multipliers'!$L$3:$N$6,3,FALSE)))</f>
        <v/>
      </c>
      <c r="P72" s="506" t="str">
        <f>IFERROR(VLOOKUP(G72,'G-1 All Habitats'!$B$2:$M$129,12,FALSE),"")</f>
        <v/>
      </c>
      <c r="Q72" s="513" t="str">
        <f>IFERROR(IF(P72="","",IF(AND(P72='G-1 All Habitats'!$X$3,T72&gt;0),U72+V72,IF(AND(P72='G-1 All Habitats'!$X$3,S72&gt;0),U72+V72,IF(AND(P72='G-1 All Habitats'!$X$3,AC72&gt;0),"Any Loss Unacceptable ▲",IF(AND(P72='G-1 All Habitats'!$X$3,W72&gt;0),"Any Loss Unacceptable ▲",H72*J72*L72*O72))))),"Check Data ▲")</f>
        <v/>
      </c>
      <c r="R72" s="50"/>
      <c r="S72" s="71"/>
      <c r="T72" s="72"/>
      <c r="U72" s="511" t="str">
        <f t="shared" si="3"/>
        <v/>
      </c>
      <c r="V72" s="511" t="str">
        <f t="shared" si="4"/>
        <v/>
      </c>
      <c r="W72" s="511" t="str">
        <f>IF(E72="","",IF(H72&lt;S72+T72,"Error in Areas ▲",IF(P72&lt;&gt;'G-1 All Habitats'!$X$3,H72-S72-T72,IF(AND(P72='G-1 All Habitats'!$X$3,Y72="Yes"),"Unacceptable Loss",IF(AND(P72='G-1 All Habitats'!$X$3,Y72="No"),AC72,IF(AND(P72='G-1 All Habitats'!$X$3,Y72=""),AC72,IF(AND(P72='G-1 All Habitats'!$X$3,AC72="None",AC72),IF(AND(P72='G-1 All Habitats'!$X$3,AC72&gt;0),H72-S72-T72))))))))</f>
        <v/>
      </c>
      <c r="X72" s="515" t="str">
        <f>IFERROR(IF(H72="","",IF(H72-S72-T72=0&lt;0,"Error in Areas ▲",IF(S72+T72&gt;H72,"Error in Areas ▲",IF(AND(P72='G-1 All Habitats'!$X$3,Y72="Yes"),"Alternative Compensation ✓",IF(W72=0,0,IF(P72='G-1 All Habitats'!$X$3,"Unacceptable Loss ▲",Q72-U72-V72)))))),"Check Data ▲")</f>
        <v/>
      </c>
      <c r="Y72" s="72"/>
      <c r="Z72" s="80"/>
      <c r="AA72" s="81"/>
      <c r="AC72" s="75" t="str">
        <f>IF(P72="","",IF(P72='G-1 All Habitats'!$X$3,H72-S72-T72,"None"))</f>
        <v/>
      </c>
      <c r="AD72" s="76" t="str">
        <f>IFERROR(AC72*J72*L72*#REF!*O72,IF(P72="","","None"))</f>
        <v/>
      </c>
      <c r="AF72" s="54" t="str">
        <f t="shared" si="0"/>
        <v/>
      </c>
      <c r="AG72" s="54" t="str">
        <f t="shared" si="1"/>
        <v/>
      </c>
      <c r="AH72" s="54" t="str">
        <f>IF(I72="","",IF(#REF!&gt;0,TRUE,FALSE))</f>
        <v/>
      </c>
      <c r="AI72" s="54">
        <v>62</v>
      </c>
      <c r="AJ72" s="54"/>
      <c r="AK72" s="54" t="str">
        <f t="array" ref="AK72">IFERROR(INDEX($AI$11:$AI$259, MATCH(0, IF(TRUE=$AF$11:$AF$259, COUNTIF($AK$10:$AK71, $AI$11:$AI$259), ""), 0)),"")</f>
        <v/>
      </c>
      <c r="AL72" s="54" t="str">
        <f t="array" ref="AL72">IFERROR(INDEX($AI$11:$AI$259, MATCH(0, IF(TRUE=$AG$11:$AG$259, COUNTIF($AL$10:$AL71, $AI$11:$AI$259), ""), 0)),"")</f>
        <v/>
      </c>
      <c r="AM72" s="54" t="str">
        <f t="array" ref="AM72">IFERROR(INDEX($AI$11:$AI$259, MATCH(0, IF(TRUE=$AH$11:$AH$259, COUNTIF($AM$10:$AM71, $AI$11:$AI$259), ""), 0)),"")</f>
        <v/>
      </c>
      <c r="AN72" s="54"/>
      <c r="AQ72" s="47">
        <f t="shared" si="2"/>
        <v>0</v>
      </c>
    </row>
    <row r="73" spans="1:43" x14ac:dyDescent="0.25">
      <c r="A73" s="47" t="str">
        <f>IFERROR(INDEX('G-1 All Habitats'!$AG$3:$AG$15,MATCH(E73,'G-1 All Habitats'!$AF$3:$AF$15,0)),"")</f>
        <v/>
      </c>
      <c r="B73" s="47" t="str">
        <f>IFERROR(INDEX('G-8 Condition Look up'!$I$4:$I$130,MATCH(G73,'G-8 Condition Look up'!$A$4:$A$130,0)),"")</f>
        <v/>
      </c>
      <c r="D73" s="77">
        <v>63</v>
      </c>
      <c r="E73" s="78"/>
      <c r="F73" s="79"/>
      <c r="G73" s="69" t="str">
        <f>IFERROR(INDEX('G-1 All Habitats'!$B$3:$B$129,MATCH(F73,'G-1 All Habitats'!$A$3:$A$129,0)),"")</f>
        <v/>
      </c>
      <c r="H73" s="70"/>
      <c r="I73" s="498" t="str">
        <f>IF(G73="","",VLOOKUP(G73,'G-1 All Habitats'!$B$2:$M$129,10,FALSE))</f>
        <v/>
      </c>
      <c r="J73" s="499" t="str">
        <f>IFERROR(VLOOKUP(I73,'G-1 All Habitats'!$V$3:$W$7,2,FALSE),"")</f>
        <v/>
      </c>
      <c r="K73" s="71"/>
      <c r="L73" s="499" t="str">
        <f>IFERROR(INDEX('G-8 Condition Look up'!$A$3:$H$130,MATCH(G73,'G-8 Condition Look up'!$A$3:$A$130,0),MATCH(K73,'G-8 Condition Look up'!$A$3:$H$3,0)),"")</f>
        <v/>
      </c>
      <c r="M73" s="71"/>
      <c r="N73" s="520" t="str">
        <f>IF(M73="","",IF(VLOOKUP(M73,'G-3 Multipliers'!$L$3:$N$6,2,FALSE)=0,"Spatial Data Missing",VLOOKUP(M73,'G-3 Multipliers'!$L$3:$N$6,2,FALSE)))</f>
        <v/>
      </c>
      <c r="O73" s="505" t="str">
        <f>IF(M73="","",IF(VLOOKUP(M73,'G-3 Multipliers'!$L$3:$N$6,3,FALSE)=0,"Spatial Data Missing ▲",VLOOKUP(M73,'G-3 Multipliers'!$L$3:$N$6,3,FALSE)))</f>
        <v/>
      </c>
      <c r="P73" s="506" t="str">
        <f>IFERROR(VLOOKUP(G73,'G-1 All Habitats'!$B$2:$M$129,12,FALSE),"")</f>
        <v/>
      </c>
      <c r="Q73" s="513" t="str">
        <f>IFERROR(IF(P73="","",IF(AND(P73='G-1 All Habitats'!$X$3,T73&gt;0),U73+V73,IF(AND(P73='G-1 All Habitats'!$X$3,S73&gt;0),U73+V73,IF(AND(P73='G-1 All Habitats'!$X$3,AC73&gt;0),"Any Loss Unacceptable ▲",IF(AND(P73='G-1 All Habitats'!$X$3,W73&gt;0),"Any Loss Unacceptable ▲",H73*J73*L73*O73))))),"Check Data ▲")</f>
        <v/>
      </c>
      <c r="R73" s="50"/>
      <c r="S73" s="71"/>
      <c r="T73" s="72"/>
      <c r="U73" s="511" t="str">
        <f t="shared" si="3"/>
        <v/>
      </c>
      <c r="V73" s="511" t="str">
        <f t="shared" si="4"/>
        <v/>
      </c>
      <c r="W73" s="511" t="str">
        <f>IF(E73="","",IF(H73&lt;S73+T73,"Error in Areas ▲",IF(P73&lt;&gt;'G-1 All Habitats'!$X$3,H73-S73-T73,IF(AND(P73='G-1 All Habitats'!$X$3,Y73="Yes"),"Unacceptable Loss",IF(AND(P73='G-1 All Habitats'!$X$3,Y73="No"),AC73,IF(AND(P73='G-1 All Habitats'!$X$3,Y73=""),AC73,IF(AND(P73='G-1 All Habitats'!$X$3,AC73="None",AC73),IF(AND(P73='G-1 All Habitats'!$X$3,AC73&gt;0),H73-S73-T73))))))))</f>
        <v/>
      </c>
      <c r="X73" s="515" t="str">
        <f>IFERROR(IF(H73="","",IF(H73-S73-T73=0&lt;0,"Error in Areas ▲",IF(S73+T73&gt;H73,"Error in Areas ▲",IF(AND(P73='G-1 All Habitats'!$X$3,Y73="Yes"),"Alternative Compensation ✓",IF(W73=0,0,IF(P73='G-1 All Habitats'!$X$3,"Unacceptable Loss ▲",Q73-U73-V73)))))),"Check Data ▲")</f>
        <v/>
      </c>
      <c r="Y73" s="72"/>
      <c r="Z73" s="80"/>
      <c r="AA73" s="81"/>
      <c r="AC73" s="75" t="str">
        <f>IF(P73="","",IF(P73='G-1 All Habitats'!$X$3,H73-S73-T73,"None"))</f>
        <v/>
      </c>
      <c r="AD73" s="76" t="str">
        <f>IFERROR(AC73*J73*L73*#REF!*O73,IF(P73="","","None"))</f>
        <v/>
      </c>
      <c r="AF73" s="54" t="str">
        <f t="shared" si="0"/>
        <v/>
      </c>
      <c r="AG73" s="54" t="str">
        <f t="shared" si="1"/>
        <v/>
      </c>
      <c r="AH73" s="54" t="str">
        <f>IF(I73="","",IF(#REF!&gt;0,TRUE,FALSE))</f>
        <v/>
      </c>
      <c r="AI73" s="54">
        <v>63</v>
      </c>
      <c r="AJ73" s="54"/>
      <c r="AK73" s="54" t="str">
        <f t="array" ref="AK73">IFERROR(INDEX($AI$11:$AI$259, MATCH(0, IF(TRUE=$AF$11:$AF$259, COUNTIF($AK$10:$AK72, $AI$11:$AI$259), ""), 0)),"")</f>
        <v/>
      </c>
      <c r="AL73" s="54" t="str">
        <f t="array" ref="AL73">IFERROR(INDEX($AI$11:$AI$259, MATCH(0, IF(TRUE=$AG$11:$AG$259, COUNTIF($AL$10:$AL72, $AI$11:$AI$259), ""), 0)),"")</f>
        <v/>
      </c>
      <c r="AM73" s="54" t="str">
        <f t="array" ref="AM73">IFERROR(INDEX($AI$11:$AI$259, MATCH(0, IF(TRUE=$AH$11:$AH$259, COUNTIF($AM$10:$AM72, $AI$11:$AI$259), ""), 0)),"")</f>
        <v/>
      </c>
      <c r="AN73" s="54"/>
      <c r="AQ73" s="47">
        <f t="shared" si="2"/>
        <v>0</v>
      </c>
    </row>
    <row r="74" spans="1:43" x14ac:dyDescent="0.25">
      <c r="A74" s="47" t="str">
        <f>IFERROR(INDEX('G-1 All Habitats'!$AG$3:$AG$15,MATCH(E74,'G-1 All Habitats'!$AF$3:$AF$15,0)),"")</f>
        <v/>
      </c>
      <c r="B74" s="47" t="str">
        <f>IFERROR(INDEX('G-8 Condition Look up'!$I$4:$I$130,MATCH(G74,'G-8 Condition Look up'!$A$4:$A$130,0)),"")</f>
        <v/>
      </c>
      <c r="D74" s="77">
        <v>64</v>
      </c>
      <c r="E74" s="78"/>
      <c r="F74" s="79"/>
      <c r="G74" s="69" t="str">
        <f>IFERROR(INDEX('G-1 All Habitats'!$B$3:$B$129,MATCH(F74,'G-1 All Habitats'!$A$3:$A$129,0)),"")</f>
        <v/>
      </c>
      <c r="H74" s="70"/>
      <c r="I74" s="498" t="str">
        <f>IF(G74="","",VLOOKUP(G74,'G-1 All Habitats'!$B$2:$M$129,10,FALSE))</f>
        <v/>
      </c>
      <c r="J74" s="499" t="str">
        <f>IFERROR(VLOOKUP(I74,'G-1 All Habitats'!$V$3:$W$7,2,FALSE),"")</f>
        <v/>
      </c>
      <c r="K74" s="71"/>
      <c r="L74" s="499" t="str">
        <f>IFERROR(INDEX('G-8 Condition Look up'!$A$3:$H$130,MATCH(G74,'G-8 Condition Look up'!$A$3:$A$130,0),MATCH(K74,'G-8 Condition Look up'!$A$3:$H$3,0)),"")</f>
        <v/>
      </c>
      <c r="M74" s="71"/>
      <c r="N74" s="520" t="str">
        <f>IF(M74="","",IF(VLOOKUP(M74,'G-3 Multipliers'!$L$3:$N$6,2,FALSE)=0,"Spatial Data Missing",VLOOKUP(M74,'G-3 Multipliers'!$L$3:$N$6,2,FALSE)))</f>
        <v/>
      </c>
      <c r="O74" s="505" t="str">
        <f>IF(M74="","",IF(VLOOKUP(M74,'G-3 Multipliers'!$L$3:$N$6,3,FALSE)=0,"Spatial Data Missing ▲",VLOOKUP(M74,'G-3 Multipliers'!$L$3:$N$6,3,FALSE)))</f>
        <v/>
      </c>
      <c r="P74" s="506" t="str">
        <f>IFERROR(VLOOKUP(G74,'G-1 All Habitats'!$B$2:$M$129,12,FALSE),"")</f>
        <v/>
      </c>
      <c r="Q74" s="513" t="str">
        <f>IFERROR(IF(P74="","",IF(AND(P74='G-1 All Habitats'!$X$3,T74&gt;0),U74+V74,IF(AND(P74='G-1 All Habitats'!$X$3,S74&gt;0),U74+V74,IF(AND(P74='G-1 All Habitats'!$X$3,AC74&gt;0),"Any Loss Unacceptable ▲",IF(AND(P74='G-1 All Habitats'!$X$3,W74&gt;0),"Any Loss Unacceptable ▲",H74*J74*L74*O74))))),"Check Data ▲")</f>
        <v/>
      </c>
      <c r="R74" s="50"/>
      <c r="S74" s="71"/>
      <c r="T74" s="72"/>
      <c r="U74" s="511" t="str">
        <f t="shared" si="3"/>
        <v/>
      </c>
      <c r="V74" s="511" t="str">
        <f t="shared" si="4"/>
        <v/>
      </c>
      <c r="W74" s="511" t="str">
        <f>IF(E74="","",IF(H74&lt;S74+T74,"Error in Areas ▲",IF(P74&lt;&gt;'G-1 All Habitats'!$X$3,H74-S74-T74,IF(AND(P74='G-1 All Habitats'!$X$3,Y74="Yes"),"Unacceptable Loss",IF(AND(P74='G-1 All Habitats'!$X$3,Y74="No"),AC74,IF(AND(P74='G-1 All Habitats'!$X$3,Y74=""),AC74,IF(AND(P74='G-1 All Habitats'!$X$3,AC74="None",AC74),IF(AND(P74='G-1 All Habitats'!$X$3,AC74&gt;0),H74-S74-T74))))))))</f>
        <v/>
      </c>
      <c r="X74" s="515" t="str">
        <f>IFERROR(IF(H74="","",IF(H74-S74-T74=0&lt;0,"Error in Areas ▲",IF(S74+T74&gt;H74,"Error in Areas ▲",IF(AND(P74='G-1 All Habitats'!$X$3,Y74="Yes"),"Alternative Compensation ✓",IF(W74=0,0,IF(P74='G-1 All Habitats'!$X$3,"Unacceptable Loss ▲",Q74-U74-V74)))))),"Check Data ▲")</f>
        <v/>
      </c>
      <c r="Y74" s="72"/>
      <c r="Z74" s="80"/>
      <c r="AA74" s="81"/>
      <c r="AC74" s="75" t="str">
        <f>IF(P74="","",IF(P74='G-1 All Habitats'!$X$3,H74-S74-T74,"None"))</f>
        <v/>
      </c>
      <c r="AD74" s="76" t="str">
        <f>IFERROR(AC74*J74*L74*#REF!*O74,IF(P74="","","None"))</f>
        <v/>
      </c>
      <c r="AF74" s="54" t="str">
        <f t="shared" si="0"/>
        <v/>
      </c>
      <c r="AG74" s="54" t="str">
        <f t="shared" si="1"/>
        <v/>
      </c>
      <c r="AH74" s="54" t="str">
        <f>IF(I74="","",IF(#REF!&gt;0,TRUE,FALSE))</f>
        <v/>
      </c>
      <c r="AI74" s="54">
        <v>64</v>
      </c>
      <c r="AJ74" s="54"/>
      <c r="AK74" s="54" t="str">
        <f t="array" ref="AK74">IFERROR(INDEX($AI$11:$AI$259, MATCH(0, IF(TRUE=$AF$11:$AF$259, COUNTIF($AK$10:$AK73, $AI$11:$AI$259), ""), 0)),"")</f>
        <v/>
      </c>
      <c r="AL74" s="54" t="str">
        <f t="array" ref="AL74">IFERROR(INDEX($AI$11:$AI$259, MATCH(0, IF(TRUE=$AG$11:$AG$259, COUNTIF($AL$10:$AL73, $AI$11:$AI$259), ""), 0)),"")</f>
        <v/>
      </c>
      <c r="AM74" s="54" t="str">
        <f t="array" ref="AM74">IFERROR(INDEX($AI$11:$AI$259, MATCH(0, IF(TRUE=$AH$11:$AH$259, COUNTIF($AM$10:$AM73, $AI$11:$AI$259), ""), 0)),"")</f>
        <v/>
      </c>
      <c r="AN74" s="54"/>
      <c r="AQ74" s="47">
        <f t="shared" si="2"/>
        <v>0</v>
      </c>
    </row>
    <row r="75" spans="1:43" x14ac:dyDescent="0.25">
      <c r="A75" s="47" t="str">
        <f>IFERROR(INDEX('G-1 All Habitats'!$AG$3:$AG$15,MATCH(E75,'G-1 All Habitats'!$AF$3:$AF$15,0)),"")</f>
        <v/>
      </c>
      <c r="B75" s="47" t="str">
        <f>IFERROR(INDEX('G-8 Condition Look up'!$I$4:$I$130,MATCH(G75,'G-8 Condition Look up'!$A$4:$A$130,0)),"")</f>
        <v/>
      </c>
      <c r="D75" s="77">
        <v>65</v>
      </c>
      <c r="E75" s="78"/>
      <c r="F75" s="79"/>
      <c r="G75" s="69" t="str">
        <f>IFERROR(INDEX('G-1 All Habitats'!$B$3:$B$129,MATCH(F75,'G-1 All Habitats'!$A$3:$A$129,0)),"")</f>
        <v/>
      </c>
      <c r="H75" s="70"/>
      <c r="I75" s="498" t="str">
        <f>IF(G75="","",VLOOKUP(G75,'G-1 All Habitats'!$B$2:$M$129,10,FALSE))</f>
        <v/>
      </c>
      <c r="J75" s="499" t="str">
        <f>IFERROR(VLOOKUP(I75,'G-1 All Habitats'!$V$3:$W$7,2,FALSE),"")</f>
        <v/>
      </c>
      <c r="K75" s="71"/>
      <c r="L75" s="499" t="str">
        <f>IFERROR(INDEX('G-8 Condition Look up'!$A$3:$H$130,MATCH(G75,'G-8 Condition Look up'!$A$3:$A$130,0),MATCH(K75,'G-8 Condition Look up'!$A$3:$H$3,0)),"")</f>
        <v/>
      </c>
      <c r="M75" s="71"/>
      <c r="N75" s="520" t="str">
        <f>IF(M75="","",IF(VLOOKUP(M75,'G-3 Multipliers'!$L$3:$N$6,2,FALSE)=0,"Spatial Data Missing",VLOOKUP(M75,'G-3 Multipliers'!$L$3:$N$6,2,FALSE)))</f>
        <v/>
      </c>
      <c r="O75" s="505" t="str">
        <f>IF(M75="","",IF(VLOOKUP(M75,'G-3 Multipliers'!$L$3:$N$6,3,FALSE)=0,"Spatial Data Missing ▲",VLOOKUP(M75,'G-3 Multipliers'!$L$3:$N$6,3,FALSE)))</f>
        <v/>
      </c>
      <c r="P75" s="506" t="str">
        <f>IFERROR(VLOOKUP(G75,'G-1 All Habitats'!$B$2:$M$129,12,FALSE),"")</f>
        <v/>
      </c>
      <c r="Q75" s="513" t="str">
        <f>IFERROR(IF(P75="","",IF(AND(P75='G-1 All Habitats'!$X$3,T75&gt;0),U75+V75,IF(AND(P75='G-1 All Habitats'!$X$3,S75&gt;0),U75+V75,IF(AND(P75='G-1 All Habitats'!$X$3,AC75&gt;0),"Any Loss Unacceptable ▲",IF(AND(P75='G-1 All Habitats'!$X$3,W75&gt;0),"Any Loss Unacceptable ▲",H75*J75*L75*O75))))),"Check Data ▲")</f>
        <v/>
      </c>
      <c r="R75" s="50"/>
      <c r="S75" s="71"/>
      <c r="T75" s="72"/>
      <c r="U75" s="511" t="str">
        <f t="shared" si="3"/>
        <v/>
      </c>
      <c r="V75" s="511" t="str">
        <f t="shared" si="4"/>
        <v/>
      </c>
      <c r="W75" s="511" t="str">
        <f>IF(E75="","",IF(H75&lt;S75+T75,"Error in Areas ▲",IF(P75&lt;&gt;'G-1 All Habitats'!$X$3,H75-S75-T75,IF(AND(P75='G-1 All Habitats'!$X$3,Y75="Yes"),"Unacceptable Loss",IF(AND(P75='G-1 All Habitats'!$X$3,Y75="No"),AC75,IF(AND(P75='G-1 All Habitats'!$X$3,Y75=""),AC75,IF(AND(P75='G-1 All Habitats'!$X$3,AC75="None",AC75),IF(AND(P75='G-1 All Habitats'!$X$3,AC75&gt;0),H75-S75-T75))))))))</f>
        <v/>
      </c>
      <c r="X75" s="515" t="str">
        <f>IFERROR(IF(H75="","",IF(H75-S75-T75=0&lt;0,"Error in Areas ▲",IF(S75+T75&gt;H75,"Error in Areas ▲",IF(AND(P75='G-1 All Habitats'!$X$3,Y75="Yes"),"Alternative Compensation ✓",IF(W75=0,0,IF(P75='G-1 All Habitats'!$X$3,"Unacceptable Loss ▲",Q75-U75-V75)))))),"Check Data ▲")</f>
        <v/>
      </c>
      <c r="Y75" s="72"/>
      <c r="Z75" s="80"/>
      <c r="AA75" s="81"/>
      <c r="AC75" s="75" t="str">
        <f>IF(P75="","",IF(P75='G-1 All Habitats'!$X$3,H75-S75-T75,"None"))</f>
        <v/>
      </c>
      <c r="AD75" s="76" t="str">
        <f>IFERROR(AC75*J75*L75*#REF!*O75,IF(P75="","","None"))</f>
        <v/>
      </c>
      <c r="AF75" s="54" t="str">
        <f t="shared" ref="AF75:AF138" si="5">IF(G75="","",IF(S75&gt;0,TRUE,FALSE))</f>
        <v/>
      </c>
      <c r="AG75" s="54" t="str">
        <f t="shared" ref="AG75:AG138" si="6">IF(H75="","",IF(T75&gt;0,TRUE,FALSE))</f>
        <v/>
      </c>
      <c r="AH75" s="54" t="str">
        <f>IF(I75="","",IF(#REF!&gt;0,TRUE,FALSE))</f>
        <v/>
      </c>
      <c r="AI75" s="54">
        <v>65</v>
      </c>
      <c r="AJ75" s="54"/>
      <c r="AK75" s="54" t="str">
        <f t="array" ref="AK75">IFERROR(INDEX($AI$11:$AI$259, MATCH(0, IF(TRUE=$AF$11:$AF$259, COUNTIF($AK$10:$AK74, $AI$11:$AI$259), ""), 0)),"")</f>
        <v/>
      </c>
      <c r="AL75" s="54" t="str">
        <f t="array" ref="AL75">IFERROR(INDEX($AI$11:$AI$259, MATCH(0, IF(TRUE=$AG$11:$AG$259, COUNTIF($AL$10:$AL74, $AI$11:$AI$259), ""), 0)),"")</f>
        <v/>
      </c>
      <c r="AM75" s="54" t="str">
        <f t="array" ref="AM75">IFERROR(INDEX($AI$11:$AI$259, MATCH(0, IF(TRUE=$AH$11:$AH$259, COUNTIF($AM$10:$AM74, $AI$11:$AI$259), ""), 0)),"")</f>
        <v/>
      </c>
      <c r="AN75" s="54"/>
      <c r="AQ75" s="47">
        <f t="shared" si="2"/>
        <v>0</v>
      </c>
    </row>
    <row r="76" spans="1:43" x14ac:dyDescent="0.25">
      <c r="A76" s="47" t="str">
        <f>IFERROR(INDEX('G-1 All Habitats'!$AG$3:$AG$15,MATCH(E76,'G-1 All Habitats'!$AF$3:$AF$15,0)),"")</f>
        <v/>
      </c>
      <c r="B76" s="47" t="str">
        <f>IFERROR(INDEX('G-8 Condition Look up'!$I$4:$I$130,MATCH(G76,'G-8 Condition Look up'!$A$4:$A$130,0)),"")</f>
        <v/>
      </c>
      <c r="D76" s="77">
        <v>66</v>
      </c>
      <c r="E76" s="78"/>
      <c r="F76" s="79"/>
      <c r="G76" s="69" t="str">
        <f>IFERROR(INDEX('G-1 All Habitats'!$B$3:$B$129,MATCH(F76,'G-1 All Habitats'!$A$3:$A$129,0)),"")</f>
        <v/>
      </c>
      <c r="H76" s="70"/>
      <c r="I76" s="498" t="str">
        <f>IF(G76="","",VLOOKUP(G76,'G-1 All Habitats'!$B$2:$M$129,10,FALSE))</f>
        <v/>
      </c>
      <c r="J76" s="499" t="str">
        <f>IFERROR(VLOOKUP(I76,'G-1 All Habitats'!$V$3:$W$7,2,FALSE),"")</f>
        <v/>
      </c>
      <c r="K76" s="71"/>
      <c r="L76" s="499" t="str">
        <f>IFERROR(INDEX('G-8 Condition Look up'!$A$3:$H$130,MATCH(G76,'G-8 Condition Look up'!$A$3:$A$130,0),MATCH(K76,'G-8 Condition Look up'!$A$3:$H$3,0)),"")</f>
        <v/>
      </c>
      <c r="M76" s="71"/>
      <c r="N76" s="520" t="str">
        <f>IF(M76="","",IF(VLOOKUP(M76,'G-3 Multipliers'!$L$3:$N$6,2,FALSE)=0,"Spatial Data Missing",VLOOKUP(M76,'G-3 Multipliers'!$L$3:$N$6,2,FALSE)))</f>
        <v/>
      </c>
      <c r="O76" s="505" t="str">
        <f>IF(M76="","",IF(VLOOKUP(M76,'G-3 Multipliers'!$L$3:$N$6,3,FALSE)=0,"Spatial Data Missing ▲",VLOOKUP(M76,'G-3 Multipliers'!$L$3:$N$6,3,FALSE)))</f>
        <v/>
      </c>
      <c r="P76" s="506" t="str">
        <f>IFERROR(VLOOKUP(G76,'G-1 All Habitats'!$B$2:$M$129,12,FALSE),"")</f>
        <v/>
      </c>
      <c r="Q76" s="513" t="str">
        <f>IFERROR(IF(P76="","",IF(AND(P76='G-1 All Habitats'!$X$3,T76&gt;0),U76+V76,IF(AND(P76='G-1 All Habitats'!$X$3,S76&gt;0),U76+V76,IF(AND(P76='G-1 All Habitats'!$X$3,AC76&gt;0),"Any Loss Unacceptable ▲",IF(AND(P76='G-1 All Habitats'!$X$3,W76&gt;0),"Any Loss Unacceptable ▲",H76*J76*L76*O76))))),"Check Data ▲")</f>
        <v/>
      </c>
      <c r="R76" s="50"/>
      <c r="S76" s="71"/>
      <c r="T76" s="72"/>
      <c r="U76" s="511" t="str">
        <f t="shared" si="3"/>
        <v/>
      </c>
      <c r="V76" s="511" t="str">
        <f t="shared" si="4"/>
        <v/>
      </c>
      <c r="W76" s="511" t="str">
        <f>IF(E76="","",IF(H76&lt;S76+T76,"Error in Areas ▲",IF(P76&lt;&gt;'G-1 All Habitats'!$X$3,H76-S76-T76,IF(AND(P76='G-1 All Habitats'!$X$3,Y76="Yes"),"Unacceptable Loss",IF(AND(P76='G-1 All Habitats'!$X$3,Y76="No"),AC76,IF(AND(P76='G-1 All Habitats'!$X$3,Y76=""),AC76,IF(AND(P76='G-1 All Habitats'!$X$3,AC76="None",AC76),IF(AND(P76='G-1 All Habitats'!$X$3,AC76&gt;0),H76-S76-T76))))))))</f>
        <v/>
      </c>
      <c r="X76" s="515" t="str">
        <f>IFERROR(IF(H76="","",IF(H76-S76-T76=0&lt;0,"Error in Areas ▲",IF(S76+T76&gt;H76,"Error in Areas ▲",IF(AND(P76='G-1 All Habitats'!$X$3,Y76="Yes"),"Alternative Compensation ✓",IF(W76=0,0,IF(P76='G-1 All Habitats'!$X$3,"Unacceptable Loss ▲",Q76-U76-V76)))))),"Check Data ▲")</f>
        <v/>
      </c>
      <c r="Y76" s="72"/>
      <c r="Z76" s="80"/>
      <c r="AA76" s="81"/>
      <c r="AC76" s="75" t="str">
        <f>IF(P76="","",IF(P76='G-1 All Habitats'!$X$3,H76-S76-T76,"None"))</f>
        <v/>
      </c>
      <c r="AD76" s="76" t="str">
        <f>IFERROR(AC76*J76*L76*#REF!*O76,IF(P76="","","None"))</f>
        <v/>
      </c>
      <c r="AF76" s="54" t="str">
        <f t="shared" si="5"/>
        <v/>
      </c>
      <c r="AG76" s="54" t="str">
        <f t="shared" si="6"/>
        <v/>
      </c>
      <c r="AH76" s="54" t="str">
        <f>IF(I76="","",IF(#REF!&gt;0,TRUE,FALSE))</f>
        <v/>
      </c>
      <c r="AI76" s="54">
        <v>66</v>
      </c>
      <c r="AJ76" s="54"/>
      <c r="AK76" s="54" t="str">
        <f t="array" ref="AK76">IFERROR(INDEX($AI$11:$AI$259, MATCH(0, IF(TRUE=$AF$11:$AF$259, COUNTIF($AK$10:$AK75, $AI$11:$AI$259), ""), 0)),"")</f>
        <v/>
      </c>
      <c r="AL76" s="54" t="str">
        <f t="array" ref="AL76">IFERROR(INDEX($AI$11:$AI$259, MATCH(0, IF(TRUE=$AG$11:$AG$259, COUNTIF($AL$10:$AL75, $AI$11:$AI$259), ""), 0)),"")</f>
        <v/>
      </c>
      <c r="AM76" s="54" t="str">
        <f t="array" ref="AM76">IFERROR(INDEX($AI$11:$AI$259, MATCH(0, IF(TRUE=$AH$11:$AH$259, COUNTIF($AM$10:$AM75, $AI$11:$AI$259), ""), 0)),"")</f>
        <v/>
      </c>
      <c r="AN76" s="54"/>
      <c r="AQ76" s="47">
        <f t="shared" ref="AQ76:AQ139" si="7">IF(X76="Unacceptable Loss",1,0)</f>
        <v>0</v>
      </c>
    </row>
    <row r="77" spans="1:43" x14ac:dyDescent="0.25">
      <c r="A77" s="47" t="str">
        <f>IFERROR(INDEX('G-1 All Habitats'!$AG$3:$AG$15,MATCH(E77,'G-1 All Habitats'!$AF$3:$AF$15,0)),"")</f>
        <v/>
      </c>
      <c r="B77" s="47" t="str">
        <f>IFERROR(INDEX('G-8 Condition Look up'!$I$4:$I$130,MATCH(G77,'G-8 Condition Look up'!$A$4:$A$130,0)),"")</f>
        <v/>
      </c>
      <c r="D77" s="77">
        <v>67</v>
      </c>
      <c r="E77" s="78"/>
      <c r="F77" s="79"/>
      <c r="G77" s="69" t="str">
        <f>IFERROR(INDEX('G-1 All Habitats'!$B$3:$B$129,MATCH(F77,'G-1 All Habitats'!$A$3:$A$129,0)),"")</f>
        <v/>
      </c>
      <c r="H77" s="70"/>
      <c r="I77" s="498" t="str">
        <f>IF(G77="","",VLOOKUP(G77,'G-1 All Habitats'!$B$2:$M$129,10,FALSE))</f>
        <v/>
      </c>
      <c r="J77" s="499" t="str">
        <f>IFERROR(VLOOKUP(I77,'G-1 All Habitats'!$V$3:$W$7,2,FALSE),"")</f>
        <v/>
      </c>
      <c r="K77" s="71"/>
      <c r="L77" s="499" t="str">
        <f>IFERROR(INDEX('G-8 Condition Look up'!$A$3:$H$130,MATCH(G77,'G-8 Condition Look up'!$A$3:$A$130,0),MATCH(K77,'G-8 Condition Look up'!$A$3:$H$3,0)),"")</f>
        <v/>
      </c>
      <c r="M77" s="71"/>
      <c r="N77" s="520" t="str">
        <f>IF(M77="","",IF(VLOOKUP(M77,'G-3 Multipliers'!$L$3:$N$6,2,FALSE)=0,"Spatial Data Missing",VLOOKUP(M77,'G-3 Multipliers'!$L$3:$N$6,2,FALSE)))</f>
        <v/>
      </c>
      <c r="O77" s="505" t="str">
        <f>IF(M77="","",IF(VLOOKUP(M77,'G-3 Multipliers'!$L$3:$N$6,3,FALSE)=0,"Spatial Data Missing ▲",VLOOKUP(M77,'G-3 Multipliers'!$L$3:$N$6,3,FALSE)))</f>
        <v/>
      </c>
      <c r="P77" s="506" t="str">
        <f>IFERROR(VLOOKUP(G77,'G-1 All Habitats'!$B$2:$M$129,12,FALSE),"")</f>
        <v/>
      </c>
      <c r="Q77" s="513" t="str">
        <f>IFERROR(IF(P77="","",IF(AND(P77='G-1 All Habitats'!$X$3,T77&gt;0),U77+V77,IF(AND(P77='G-1 All Habitats'!$X$3,S77&gt;0),U77+V77,IF(AND(P77='G-1 All Habitats'!$X$3,AC77&gt;0),"Any Loss Unacceptable ▲",IF(AND(P77='G-1 All Habitats'!$X$3,W77&gt;0),"Any Loss Unacceptable ▲",H77*J77*L77*O77))))),"Check Data ▲")</f>
        <v/>
      </c>
      <c r="R77" s="50"/>
      <c r="S77" s="71"/>
      <c r="T77" s="72"/>
      <c r="U77" s="511" t="str">
        <f t="shared" ref="U77:U140" si="8">IFERROR(S77*J77*L77*O77,"")</f>
        <v/>
      </c>
      <c r="V77" s="511" t="str">
        <f t="shared" ref="V77:V140" si="9">IFERROR(T77*J77*L77*O77,"")</f>
        <v/>
      </c>
      <c r="W77" s="511" t="str">
        <f>IF(E77="","",IF(H77&lt;S77+T77,"Error in Areas ▲",IF(P77&lt;&gt;'G-1 All Habitats'!$X$3,H77-S77-T77,IF(AND(P77='G-1 All Habitats'!$X$3,Y77="Yes"),"Unacceptable Loss",IF(AND(P77='G-1 All Habitats'!$X$3,Y77="No"),AC77,IF(AND(P77='G-1 All Habitats'!$X$3,Y77=""),AC77,IF(AND(P77='G-1 All Habitats'!$X$3,AC77="None",AC77),IF(AND(P77='G-1 All Habitats'!$X$3,AC77&gt;0),H77-S77-T77))))))))</f>
        <v/>
      </c>
      <c r="X77" s="515" t="str">
        <f>IFERROR(IF(H77="","",IF(H77-S77-T77=0&lt;0,"Error in Areas ▲",IF(S77+T77&gt;H77,"Error in Areas ▲",IF(AND(P77='G-1 All Habitats'!$X$3,Y77="Yes"),"Alternative Compensation ✓",IF(W77=0,0,IF(P77='G-1 All Habitats'!$X$3,"Unacceptable Loss ▲",Q77-U77-V77)))))),"Check Data ▲")</f>
        <v/>
      </c>
      <c r="Y77" s="72"/>
      <c r="Z77" s="80"/>
      <c r="AA77" s="81"/>
      <c r="AC77" s="75" t="str">
        <f>IF(P77="","",IF(P77='G-1 All Habitats'!$X$3,H77-S77-T77,"None"))</f>
        <v/>
      </c>
      <c r="AD77" s="76" t="str">
        <f>IFERROR(AC77*J77*L77*#REF!*O77,IF(P77="","","None"))</f>
        <v/>
      </c>
      <c r="AF77" s="54" t="str">
        <f t="shared" si="5"/>
        <v/>
      </c>
      <c r="AG77" s="54" t="str">
        <f t="shared" si="6"/>
        <v/>
      </c>
      <c r="AH77" s="54" t="str">
        <f>IF(I77="","",IF(#REF!&gt;0,TRUE,FALSE))</f>
        <v/>
      </c>
      <c r="AI77" s="54">
        <v>67</v>
      </c>
      <c r="AJ77" s="54"/>
      <c r="AK77" s="54" t="str">
        <f t="array" ref="AK77">IFERROR(INDEX($AI$11:$AI$259, MATCH(0, IF(TRUE=$AF$11:$AF$259, COUNTIF($AK$10:$AK76, $AI$11:$AI$259), ""), 0)),"")</f>
        <v/>
      </c>
      <c r="AL77" s="54" t="str">
        <f t="array" ref="AL77">IFERROR(INDEX($AI$11:$AI$259, MATCH(0, IF(TRUE=$AG$11:$AG$259, COUNTIF($AL$10:$AL76, $AI$11:$AI$259), ""), 0)),"")</f>
        <v/>
      </c>
      <c r="AM77" s="54" t="str">
        <f t="array" ref="AM77">IFERROR(INDEX($AI$11:$AI$259, MATCH(0, IF(TRUE=$AH$11:$AH$259, COUNTIF($AM$10:$AM76, $AI$11:$AI$259), ""), 0)),"")</f>
        <v/>
      </c>
      <c r="AN77" s="54"/>
      <c r="AQ77" s="47">
        <f t="shared" si="7"/>
        <v>0</v>
      </c>
    </row>
    <row r="78" spans="1:43" x14ac:dyDescent="0.25">
      <c r="A78" s="47" t="str">
        <f>IFERROR(INDEX('G-1 All Habitats'!$AG$3:$AG$15,MATCH(E78,'G-1 All Habitats'!$AF$3:$AF$15,0)),"")</f>
        <v/>
      </c>
      <c r="B78" s="47" t="str">
        <f>IFERROR(INDEX('G-8 Condition Look up'!$I$4:$I$130,MATCH(G78,'G-8 Condition Look up'!$A$4:$A$130,0)),"")</f>
        <v/>
      </c>
      <c r="D78" s="77">
        <v>68</v>
      </c>
      <c r="E78" s="78"/>
      <c r="F78" s="79"/>
      <c r="G78" s="69" t="str">
        <f>IFERROR(INDEX('G-1 All Habitats'!$B$3:$B$129,MATCH(F78,'G-1 All Habitats'!$A$3:$A$129,0)),"")</f>
        <v/>
      </c>
      <c r="H78" s="70"/>
      <c r="I78" s="498" t="str">
        <f>IF(G78="","",VLOOKUP(G78,'G-1 All Habitats'!$B$2:$M$129,10,FALSE))</f>
        <v/>
      </c>
      <c r="J78" s="499" t="str">
        <f>IFERROR(VLOOKUP(I78,'G-1 All Habitats'!$V$3:$W$7,2,FALSE),"")</f>
        <v/>
      </c>
      <c r="K78" s="71"/>
      <c r="L78" s="499" t="str">
        <f>IFERROR(INDEX('G-8 Condition Look up'!$A$3:$H$130,MATCH(G78,'G-8 Condition Look up'!$A$3:$A$130,0),MATCH(K78,'G-8 Condition Look up'!$A$3:$H$3,0)),"")</f>
        <v/>
      </c>
      <c r="M78" s="71"/>
      <c r="N78" s="520" t="str">
        <f>IF(M78="","",IF(VLOOKUP(M78,'G-3 Multipliers'!$L$3:$N$6,2,FALSE)=0,"Spatial Data Missing",VLOOKUP(M78,'G-3 Multipliers'!$L$3:$N$6,2,FALSE)))</f>
        <v/>
      </c>
      <c r="O78" s="505" t="str">
        <f>IF(M78="","",IF(VLOOKUP(M78,'G-3 Multipliers'!$L$3:$N$6,3,FALSE)=0,"Spatial Data Missing ▲",VLOOKUP(M78,'G-3 Multipliers'!$L$3:$N$6,3,FALSE)))</f>
        <v/>
      </c>
      <c r="P78" s="506" t="str">
        <f>IFERROR(VLOOKUP(G78,'G-1 All Habitats'!$B$2:$M$129,12,FALSE),"")</f>
        <v/>
      </c>
      <c r="Q78" s="513" t="str">
        <f>IFERROR(IF(P78="","",IF(AND(P78='G-1 All Habitats'!$X$3,T78&gt;0),U78+V78,IF(AND(P78='G-1 All Habitats'!$X$3,S78&gt;0),U78+V78,IF(AND(P78='G-1 All Habitats'!$X$3,AC78&gt;0),"Any Loss Unacceptable ▲",IF(AND(P78='G-1 All Habitats'!$X$3,W78&gt;0),"Any Loss Unacceptable ▲",H78*J78*L78*O78))))),"Check Data ▲")</f>
        <v/>
      </c>
      <c r="R78" s="50"/>
      <c r="S78" s="71"/>
      <c r="T78" s="72"/>
      <c r="U78" s="511" t="str">
        <f t="shared" si="8"/>
        <v/>
      </c>
      <c r="V78" s="511" t="str">
        <f t="shared" si="9"/>
        <v/>
      </c>
      <c r="W78" s="511" t="str">
        <f>IF(E78="","",IF(H78&lt;S78+T78,"Error in Areas ▲",IF(P78&lt;&gt;'G-1 All Habitats'!$X$3,H78-S78-T78,IF(AND(P78='G-1 All Habitats'!$X$3,Y78="Yes"),"Unacceptable Loss",IF(AND(P78='G-1 All Habitats'!$X$3,Y78="No"),AC78,IF(AND(P78='G-1 All Habitats'!$X$3,Y78=""),AC78,IF(AND(P78='G-1 All Habitats'!$X$3,AC78="None",AC78),IF(AND(P78='G-1 All Habitats'!$X$3,AC78&gt;0),H78-S78-T78))))))))</f>
        <v/>
      </c>
      <c r="X78" s="515" t="str">
        <f>IFERROR(IF(H78="","",IF(H78-S78-T78=0&lt;0,"Error in Areas ▲",IF(S78+T78&gt;H78,"Error in Areas ▲",IF(AND(P78='G-1 All Habitats'!$X$3,Y78="Yes"),"Alternative Compensation ✓",IF(W78=0,0,IF(P78='G-1 All Habitats'!$X$3,"Unacceptable Loss ▲",Q78-U78-V78)))))),"Check Data ▲")</f>
        <v/>
      </c>
      <c r="Y78" s="72"/>
      <c r="Z78" s="80"/>
      <c r="AA78" s="81"/>
      <c r="AC78" s="75" t="str">
        <f>IF(P78="","",IF(P78='G-1 All Habitats'!$X$3,H78-S78-T78,"None"))</f>
        <v/>
      </c>
      <c r="AD78" s="76" t="str">
        <f>IFERROR(AC78*J78*L78*#REF!*O78,IF(P78="","","None"))</f>
        <v/>
      </c>
      <c r="AF78" s="54" t="str">
        <f t="shared" si="5"/>
        <v/>
      </c>
      <c r="AG78" s="54" t="str">
        <f t="shared" si="6"/>
        <v/>
      </c>
      <c r="AH78" s="54" t="str">
        <f>IF(I78="","",IF(#REF!&gt;0,TRUE,FALSE))</f>
        <v/>
      </c>
      <c r="AI78" s="54">
        <v>68</v>
      </c>
      <c r="AJ78" s="54"/>
      <c r="AK78" s="54" t="str">
        <f t="array" ref="AK78">IFERROR(INDEX($AI$11:$AI$259, MATCH(0, IF(TRUE=$AF$11:$AF$259, COUNTIF($AK$10:$AK77, $AI$11:$AI$259), ""), 0)),"")</f>
        <v/>
      </c>
      <c r="AL78" s="54" t="str">
        <f t="array" ref="AL78">IFERROR(INDEX($AI$11:$AI$259, MATCH(0, IF(TRUE=$AG$11:$AG$259, COUNTIF($AL$10:$AL77, $AI$11:$AI$259), ""), 0)),"")</f>
        <v/>
      </c>
      <c r="AM78" s="54" t="str">
        <f t="array" ref="AM78">IFERROR(INDEX($AI$11:$AI$259, MATCH(0, IF(TRUE=$AH$11:$AH$259, COUNTIF($AM$10:$AM77, $AI$11:$AI$259), ""), 0)),"")</f>
        <v/>
      </c>
      <c r="AN78" s="54"/>
      <c r="AQ78" s="47">
        <f t="shared" si="7"/>
        <v>0</v>
      </c>
    </row>
    <row r="79" spans="1:43" x14ac:dyDescent="0.25">
      <c r="A79" s="47" t="str">
        <f>IFERROR(INDEX('G-1 All Habitats'!$AG$3:$AG$15,MATCH(E79,'G-1 All Habitats'!$AF$3:$AF$15,0)),"")</f>
        <v/>
      </c>
      <c r="B79" s="47" t="str">
        <f>IFERROR(INDEX('G-8 Condition Look up'!$I$4:$I$130,MATCH(G79,'G-8 Condition Look up'!$A$4:$A$130,0)),"")</f>
        <v/>
      </c>
      <c r="D79" s="77">
        <v>69</v>
      </c>
      <c r="E79" s="78"/>
      <c r="F79" s="79"/>
      <c r="G79" s="69" t="str">
        <f>IFERROR(INDEX('G-1 All Habitats'!$B$3:$B$129,MATCH(F79,'G-1 All Habitats'!$A$3:$A$129,0)),"")</f>
        <v/>
      </c>
      <c r="H79" s="70"/>
      <c r="I79" s="498" t="str">
        <f>IF(G79="","",VLOOKUP(G79,'G-1 All Habitats'!$B$2:$M$129,10,FALSE))</f>
        <v/>
      </c>
      <c r="J79" s="499" t="str">
        <f>IFERROR(VLOOKUP(I79,'G-1 All Habitats'!$V$3:$W$7,2,FALSE),"")</f>
        <v/>
      </c>
      <c r="K79" s="71"/>
      <c r="L79" s="499" t="str">
        <f>IFERROR(INDEX('G-8 Condition Look up'!$A$3:$H$130,MATCH(G79,'G-8 Condition Look up'!$A$3:$A$130,0),MATCH(K79,'G-8 Condition Look up'!$A$3:$H$3,0)),"")</f>
        <v/>
      </c>
      <c r="M79" s="71"/>
      <c r="N79" s="520" t="str">
        <f>IF(M79="","",IF(VLOOKUP(M79,'G-3 Multipliers'!$L$3:$N$6,2,FALSE)=0,"Spatial Data Missing",VLOOKUP(M79,'G-3 Multipliers'!$L$3:$N$6,2,FALSE)))</f>
        <v/>
      </c>
      <c r="O79" s="505" t="str">
        <f>IF(M79="","",IF(VLOOKUP(M79,'G-3 Multipliers'!$L$3:$N$6,3,FALSE)=0,"Spatial Data Missing ▲",VLOOKUP(M79,'G-3 Multipliers'!$L$3:$N$6,3,FALSE)))</f>
        <v/>
      </c>
      <c r="P79" s="506" t="str">
        <f>IFERROR(VLOOKUP(G79,'G-1 All Habitats'!$B$2:$M$129,12,FALSE),"")</f>
        <v/>
      </c>
      <c r="Q79" s="513" t="str">
        <f>IFERROR(IF(P79="","",IF(AND(P79='G-1 All Habitats'!$X$3,T79&gt;0),U79+V79,IF(AND(P79='G-1 All Habitats'!$X$3,S79&gt;0),U79+V79,IF(AND(P79='G-1 All Habitats'!$X$3,AC79&gt;0),"Any Loss Unacceptable ▲",IF(AND(P79='G-1 All Habitats'!$X$3,W79&gt;0),"Any Loss Unacceptable ▲",H79*J79*L79*O79))))),"Check Data ▲")</f>
        <v/>
      </c>
      <c r="R79" s="50"/>
      <c r="S79" s="71"/>
      <c r="T79" s="72"/>
      <c r="U79" s="511" t="str">
        <f t="shared" si="8"/>
        <v/>
      </c>
      <c r="V79" s="511" t="str">
        <f t="shared" si="9"/>
        <v/>
      </c>
      <c r="W79" s="511" t="str">
        <f>IF(E79="","",IF(H79&lt;S79+T79,"Error in Areas ▲",IF(P79&lt;&gt;'G-1 All Habitats'!$X$3,H79-S79-T79,IF(AND(P79='G-1 All Habitats'!$X$3,Y79="Yes"),"Unacceptable Loss",IF(AND(P79='G-1 All Habitats'!$X$3,Y79="No"),AC79,IF(AND(P79='G-1 All Habitats'!$X$3,Y79=""),AC79,IF(AND(P79='G-1 All Habitats'!$X$3,AC79="None",AC79),IF(AND(P79='G-1 All Habitats'!$X$3,AC79&gt;0),H79-S79-T79))))))))</f>
        <v/>
      </c>
      <c r="X79" s="515" t="str">
        <f>IFERROR(IF(H79="","",IF(H79-S79-T79=0&lt;0,"Error in Areas ▲",IF(S79+T79&gt;H79,"Error in Areas ▲",IF(AND(P79='G-1 All Habitats'!$X$3,Y79="Yes"),"Alternative Compensation ✓",IF(W79=0,0,IF(P79='G-1 All Habitats'!$X$3,"Unacceptable Loss ▲",Q79-U79-V79)))))),"Check Data ▲")</f>
        <v/>
      </c>
      <c r="Y79" s="72"/>
      <c r="Z79" s="80"/>
      <c r="AA79" s="81"/>
      <c r="AC79" s="75" t="str">
        <f>IF(P79="","",IF(P79='G-1 All Habitats'!$X$3,H79-S79-T79,"None"))</f>
        <v/>
      </c>
      <c r="AD79" s="76" t="str">
        <f>IFERROR(AC79*J79*L79*#REF!*O79,IF(P79="","","None"))</f>
        <v/>
      </c>
      <c r="AF79" s="54" t="str">
        <f t="shared" si="5"/>
        <v/>
      </c>
      <c r="AG79" s="54" t="str">
        <f t="shared" si="6"/>
        <v/>
      </c>
      <c r="AH79" s="54" t="str">
        <f>IF(I79="","",IF(#REF!&gt;0,TRUE,FALSE))</f>
        <v/>
      </c>
      <c r="AI79" s="54">
        <v>69</v>
      </c>
      <c r="AJ79" s="54"/>
      <c r="AK79" s="54" t="str">
        <f t="array" ref="AK79">IFERROR(INDEX($AI$11:$AI$259, MATCH(0, IF(TRUE=$AF$11:$AF$259, COUNTIF($AK$10:$AK78, $AI$11:$AI$259), ""), 0)),"")</f>
        <v/>
      </c>
      <c r="AL79" s="54" t="str">
        <f t="array" ref="AL79">IFERROR(INDEX($AI$11:$AI$259, MATCH(0, IF(TRUE=$AG$11:$AG$259, COUNTIF($AL$10:$AL78, $AI$11:$AI$259), ""), 0)),"")</f>
        <v/>
      </c>
      <c r="AM79" s="54" t="str">
        <f t="array" ref="AM79">IFERROR(INDEX($AI$11:$AI$259, MATCH(0, IF(TRUE=$AH$11:$AH$259, COUNTIF($AM$10:$AM78, $AI$11:$AI$259), ""), 0)),"")</f>
        <v/>
      </c>
      <c r="AN79" s="54"/>
      <c r="AQ79" s="47">
        <f t="shared" si="7"/>
        <v>0</v>
      </c>
    </row>
    <row r="80" spans="1:43" x14ac:dyDescent="0.25">
      <c r="A80" s="47" t="str">
        <f>IFERROR(INDEX('G-1 All Habitats'!$AG$3:$AG$15,MATCH(E80,'G-1 All Habitats'!$AF$3:$AF$15,0)),"")</f>
        <v/>
      </c>
      <c r="B80" s="47" t="str">
        <f>IFERROR(INDEX('G-8 Condition Look up'!$I$4:$I$130,MATCH(G80,'G-8 Condition Look up'!$A$4:$A$130,0)),"")</f>
        <v/>
      </c>
      <c r="D80" s="77">
        <v>70</v>
      </c>
      <c r="E80" s="78"/>
      <c r="F80" s="79"/>
      <c r="G80" s="69" t="str">
        <f>IFERROR(INDEX('G-1 All Habitats'!$B$3:$B$129,MATCH(F80,'G-1 All Habitats'!$A$3:$A$129,0)),"")</f>
        <v/>
      </c>
      <c r="H80" s="70"/>
      <c r="I80" s="498" t="str">
        <f>IF(G80="","",VLOOKUP(G80,'G-1 All Habitats'!$B$2:$M$129,10,FALSE))</f>
        <v/>
      </c>
      <c r="J80" s="499" t="str">
        <f>IFERROR(VLOOKUP(I80,'G-1 All Habitats'!$V$3:$W$7,2,FALSE),"")</f>
        <v/>
      </c>
      <c r="K80" s="71"/>
      <c r="L80" s="499" t="str">
        <f>IFERROR(INDEX('G-8 Condition Look up'!$A$3:$H$130,MATCH(G80,'G-8 Condition Look up'!$A$3:$A$130,0),MATCH(K80,'G-8 Condition Look up'!$A$3:$H$3,0)),"")</f>
        <v/>
      </c>
      <c r="M80" s="71"/>
      <c r="N80" s="520" t="str">
        <f>IF(M80="","",IF(VLOOKUP(M80,'G-3 Multipliers'!$L$3:$N$6,2,FALSE)=0,"Spatial Data Missing",VLOOKUP(M80,'G-3 Multipliers'!$L$3:$N$6,2,FALSE)))</f>
        <v/>
      </c>
      <c r="O80" s="505" t="str">
        <f>IF(M80="","",IF(VLOOKUP(M80,'G-3 Multipliers'!$L$3:$N$6,3,FALSE)=0,"Spatial Data Missing ▲",VLOOKUP(M80,'G-3 Multipliers'!$L$3:$N$6,3,FALSE)))</f>
        <v/>
      </c>
      <c r="P80" s="506" t="str">
        <f>IFERROR(VLOOKUP(G80,'G-1 All Habitats'!$B$2:$M$129,12,FALSE),"")</f>
        <v/>
      </c>
      <c r="Q80" s="513" t="str">
        <f>IFERROR(IF(P80="","",IF(AND(P80='G-1 All Habitats'!$X$3,T80&gt;0),U80+V80,IF(AND(P80='G-1 All Habitats'!$X$3,S80&gt;0),U80+V80,IF(AND(P80='G-1 All Habitats'!$X$3,AC80&gt;0),"Any Loss Unacceptable ▲",IF(AND(P80='G-1 All Habitats'!$X$3,W80&gt;0),"Any Loss Unacceptable ▲",H80*J80*L80*O80))))),"Check Data ▲")</f>
        <v/>
      </c>
      <c r="R80" s="50"/>
      <c r="S80" s="71"/>
      <c r="T80" s="72"/>
      <c r="U80" s="511" t="str">
        <f t="shared" si="8"/>
        <v/>
      </c>
      <c r="V80" s="511" t="str">
        <f t="shared" si="9"/>
        <v/>
      </c>
      <c r="W80" s="511" t="str">
        <f>IF(E80="","",IF(H80&lt;S80+T80,"Error in Areas ▲",IF(P80&lt;&gt;'G-1 All Habitats'!$X$3,H80-S80-T80,IF(AND(P80='G-1 All Habitats'!$X$3,Y80="Yes"),"Unacceptable Loss",IF(AND(P80='G-1 All Habitats'!$X$3,Y80="No"),AC80,IF(AND(P80='G-1 All Habitats'!$X$3,Y80=""),AC80,IF(AND(P80='G-1 All Habitats'!$X$3,AC80="None",AC80),IF(AND(P80='G-1 All Habitats'!$X$3,AC80&gt;0),H80-S80-T80))))))))</f>
        <v/>
      </c>
      <c r="X80" s="515" t="str">
        <f>IFERROR(IF(H80="","",IF(H80-S80-T80=0&lt;0,"Error in Areas ▲",IF(S80+T80&gt;H80,"Error in Areas ▲",IF(AND(P80='G-1 All Habitats'!$X$3,Y80="Yes"),"Alternative Compensation ✓",IF(W80=0,0,IF(P80='G-1 All Habitats'!$X$3,"Unacceptable Loss ▲",Q80-U80-V80)))))),"Check Data ▲")</f>
        <v/>
      </c>
      <c r="Y80" s="72"/>
      <c r="Z80" s="80"/>
      <c r="AA80" s="81"/>
      <c r="AC80" s="75" t="str">
        <f>IF(P80="","",IF(P80='G-1 All Habitats'!$X$3,H80-S80-T80,"None"))</f>
        <v/>
      </c>
      <c r="AD80" s="76" t="str">
        <f>IFERROR(AC80*J80*L80*#REF!*O80,IF(P80="","","None"))</f>
        <v/>
      </c>
      <c r="AF80" s="54" t="str">
        <f t="shared" si="5"/>
        <v/>
      </c>
      <c r="AG80" s="54" t="str">
        <f t="shared" si="6"/>
        <v/>
      </c>
      <c r="AH80" s="54" t="str">
        <f>IF(I80="","",IF(#REF!&gt;0,TRUE,FALSE))</f>
        <v/>
      </c>
      <c r="AI80" s="54">
        <v>70</v>
      </c>
      <c r="AJ80" s="54"/>
      <c r="AK80" s="54" t="str">
        <f t="array" ref="AK80">IFERROR(INDEX($AI$11:$AI$259, MATCH(0, IF(TRUE=$AF$11:$AF$259, COUNTIF($AK$10:$AK79, $AI$11:$AI$259), ""), 0)),"")</f>
        <v/>
      </c>
      <c r="AL80" s="54" t="str">
        <f t="array" ref="AL80">IFERROR(INDEX($AI$11:$AI$259, MATCH(0, IF(TRUE=$AG$11:$AG$259, COUNTIF($AL$10:$AL79, $AI$11:$AI$259), ""), 0)),"")</f>
        <v/>
      </c>
      <c r="AM80" s="54" t="str">
        <f t="array" ref="AM80">IFERROR(INDEX($AI$11:$AI$259, MATCH(0, IF(TRUE=$AH$11:$AH$259, COUNTIF($AM$10:$AM79, $AI$11:$AI$259), ""), 0)),"")</f>
        <v/>
      </c>
      <c r="AN80" s="54"/>
      <c r="AQ80" s="47">
        <f t="shared" si="7"/>
        <v>0</v>
      </c>
    </row>
    <row r="81" spans="1:43" x14ac:dyDescent="0.25">
      <c r="A81" s="47" t="str">
        <f>IFERROR(INDEX('G-1 All Habitats'!$AG$3:$AG$15,MATCH(E81,'G-1 All Habitats'!$AF$3:$AF$15,0)),"")</f>
        <v/>
      </c>
      <c r="B81" s="47" t="str">
        <f>IFERROR(INDEX('G-8 Condition Look up'!$I$4:$I$130,MATCH(G81,'G-8 Condition Look up'!$A$4:$A$130,0)),"")</f>
        <v/>
      </c>
      <c r="D81" s="77">
        <v>71</v>
      </c>
      <c r="E81" s="78"/>
      <c r="F81" s="79"/>
      <c r="G81" s="69" t="str">
        <f>IFERROR(INDEX('G-1 All Habitats'!$B$3:$B$129,MATCH(F81,'G-1 All Habitats'!$A$3:$A$129,0)),"")</f>
        <v/>
      </c>
      <c r="H81" s="70"/>
      <c r="I81" s="498" t="str">
        <f>IF(G81="","",VLOOKUP(G81,'G-1 All Habitats'!$B$2:$M$129,10,FALSE))</f>
        <v/>
      </c>
      <c r="J81" s="499" t="str">
        <f>IFERROR(VLOOKUP(I81,'G-1 All Habitats'!$V$3:$W$7,2,FALSE),"")</f>
        <v/>
      </c>
      <c r="K81" s="71"/>
      <c r="L81" s="499" t="str">
        <f>IFERROR(INDEX('G-8 Condition Look up'!$A$3:$H$130,MATCH(G81,'G-8 Condition Look up'!$A$3:$A$130,0),MATCH(K81,'G-8 Condition Look up'!$A$3:$H$3,0)),"")</f>
        <v/>
      </c>
      <c r="M81" s="71"/>
      <c r="N81" s="520" t="str">
        <f>IF(M81="","",IF(VLOOKUP(M81,'G-3 Multipliers'!$L$3:$N$6,2,FALSE)=0,"Spatial Data Missing",VLOOKUP(M81,'G-3 Multipliers'!$L$3:$N$6,2,FALSE)))</f>
        <v/>
      </c>
      <c r="O81" s="505" t="str">
        <f>IF(M81="","",IF(VLOOKUP(M81,'G-3 Multipliers'!$L$3:$N$6,3,FALSE)=0,"Spatial Data Missing ▲",VLOOKUP(M81,'G-3 Multipliers'!$L$3:$N$6,3,FALSE)))</f>
        <v/>
      </c>
      <c r="P81" s="506" t="str">
        <f>IFERROR(VLOOKUP(G81,'G-1 All Habitats'!$B$2:$M$129,12,FALSE),"")</f>
        <v/>
      </c>
      <c r="Q81" s="513" t="str">
        <f>IFERROR(IF(P81="","",IF(AND(P81='G-1 All Habitats'!$X$3,T81&gt;0),U81+V81,IF(AND(P81='G-1 All Habitats'!$X$3,S81&gt;0),U81+V81,IF(AND(P81='G-1 All Habitats'!$X$3,AC81&gt;0),"Any Loss Unacceptable ▲",IF(AND(P81='G-1 All Habitats'!$X$3,W81&gt;0),"Any Loss Unacceptable ▲",H81*J81*L81*O81))))),"Check Data ▲")</f>
        <v/>
      </c>
      <c r="R81" s="50"/>
      <c r="S81" s="71"/>
      <c r="T81" s="72"/>
      <c r="U81" s="511" t="str">
        <f t="shared" si="8"/>
        <v/>
      </c>
      <c r="V81" s="511" t="str">
        <f t="shared" si="9"/>
        <v/>
      </c>
      <c r="W81" s="511" t="str">
        <f>IF(E81="","",IF(H81&lt;S81+T81,"Error in Areas ▲",IF(P81&lt;&gt;'G-1 All Habitats'!$X$3,H81-S81-T81,IF(AND(P81='G-1 All Habitats'!$X$3,Y81="Yes"),"Unacceptable Loss",IF(AND(P81='G-1 All Habitats'!$X$3,Y81="No"),AC81,IF(AND(P81='G-1 All Habitats'!$X$3,Y81=""),AC81,IF(AND(P81='G-1 All Habitats'!$X$3,AC81="None",AC81),IF(AND(P81='G-1 All Habitats'!$X$3,AC81&gt;0),H81-S81-T81))))))))</f>
        <v/>
      </c>
      <c r="X81" s="515" t="str">
        <f>IFERROR(IF(H81="","",IF(H81-S81-T81=0&lt;0,"Error in Areas ▲",IF(S81+T81&gt;H81,"Error in Areas ▲",IF(AND(P81='G-1 All Habitats'!$X$3,Y81="Yes"),"Alternative Compensation ✓",IF(W81=0,0,IF(P81='G-1 All Habitats'!$X$3,"Unacceptable Loss ▲",Q81-U81-V81)))))),"Check Data ▲")</f>
        <v/>
      </c>
      <c r="Y81" s="72"/>
      <c r="Z81" s="80"/>
      <c r="AA81" s="81"/>
      <c r="AC81" s="75" t="str">
        <f>IF(P81="","",IF(P81='G-1 All Habitats'!$X$3,H81-S81-T81,"None"))</f>
        <v/>
      </c>
      <c r="AD81" s="76" t="str">
        <f>IFERROR(AC81*J81*L81*#REF!*O81,IF(P81="","","None"))</f>
        <v/>
      </c>
      <c r="AF81" s="54" t="str">
        <f t="shared" si="5"/>
        <v/>
      </c>
      <c r="AG81" s="54" t="str">
        <f t="shared" si="6"/>
        <v/>
      </c>
      <c r="AH81" s="54" t="str">
        <f>IF(I81="","",IF(#REF!&gt;0,TRUE,FALSE))</f>
        <v/>
      </c>
      <c r="AI81" s="54">
        <v>71</v>
      </c>
      <c r="AJ81" s="54"/>
      <c r="AK81" s="54" t="str">
        <f t="array" ref="AK81">IFERROR(INDEX($AI$11:$AI$259, MATCH(0, IF(TRUE=$AF$11:$AF$259, COUNTIF($AK$10:$AK80, $AI$11:$AI$259), ""), 0)),"")</f>
        <v/>
      </c>
      <c r="AL81" s="54" t="str">
        <f t="array" ref="AL81">IFERROR(INDEX($AI$11:$AI$259, MATCH(0, IF(TRUE=$AG$11:$AG$259, COUNTIF($AL$10:$AL80, $AI$11:$AI$259), ""), 0)),"")</f>
        <v/>
      </c>
      <c r="AM81" s="54" t="str">
        <f t="array" ref="AM81">IFERROR(INDEX($AI$11:$AI$259, MATCH(0, IF(TRUE=$AH$11:$AH$259, COUNTIF($AM$10:$AM80, $AI$11:$AI$259), ""), 0)),"")</f>
        <v/>
      </c>
      <c r="AN81" s="54"/>
      <c r="AQ81" s="47">
        <f t="shared" si="7"/>
        <v>0</v>
      </c>
    </row>
    <row r="82" spans="1:43" x14ac:dyDescent="0.25">
      <c r="A82" s="47" t="str">
        <f>IFERROR(INDEX('G-1 All Habitats'!$AG$3:$AG$15,MATCH(E82,'G-1 All Habitats'!$AF$3:$AF$15,0)),"")</f>
        <v/>
      </c>
      <c r="B82" s="47" t="str">
        <f>IFERROR(INDEX('G-8 Condition Look up'!$I$4:$I$130,MATCH(G82,'G-8 Condition Look up'!$A$4:$A$130,0)),"")</f>
        <v/>
      </c>
      <c r="D82" s="77">
        <v>72</v>
      </c>
      <c r="E82" s="78"/>
      <c r="F82" s="79"/>
      <c r="G82" s="69" t="str">
        <f>IFERROR(INDEX('G-1 All Habitats'!$B$3:$B$129,MATCH(F82,'G-1 All Habitats'!$A$3:$A$129,0)),"")</f>
        <v/>
      </c>
      <c r="H82" s="70"/>
      <c r="I82" s="498" t="str">
        <f>IF(G82="","",VLOOKUP(G82,'G-1 All Habitats'!$B$2:$M$129,10,FALSE))</f>
        <v/>
      </c>
      <c r="J82" s="499" t="str">
        <f>IFERROR(VLOOKUP(I82,'G-1 All Habitats'!$V$3:$W$7,2,FALSE),"")</f>
        <v/>
      </c>
      <c r="K82" s="71"/>
      <c r="L82" s="499" t="str">
        <f>IFERROR(INDEX('G-8 Condition Look up'!$A$3:$H$130,MATCH(G82,'G-8 Condition Look up'!$A$3:$A$130,0),MATCH(K82,'G-8 Condition Look up'!$A$3:$H$3,0)),"")</f>
        <v/>
      </c>
      <c r="M82" s="71"/>
      <c r="N82" s="520" t="str">
        <f>IF(M82="","",IF(VLOOKUP(M82,'G-3 Multipliers'!$L$3:$N$6,2,FALSE)=0,"Spatial Data Missing",VLOOKUP(M82,'G-3 Multipliers'!$L$3:$N$6,2,FALSE)))</f>
        <v/>
      </c>
      <c r="O82" s="505" t="str">
        <f>IF(M82="","",IF(VLOOKUP(M82,'G-3 Multipliers'!$L$3:$N$6,3,FALSE)=0,"Spatial Data Missing ▲",VLOOKUP(M82,'G-3 Multipliers'!$L$3:$N$6,3,FALSE)))</f>
        <v/>
      </c>
      <c r="P82" s="506" t="str">
        <f>IFERROR(VLOOKUP(G82,'G-1 All Habitats'!$B$2:$M$129,12,FALSE),"")</f>
        <v/>
      </c>
      <c r="Q82" s="513" t="str">
        <f>IFERROR(IF(P82="","",IF(AND(P82='G-1 All Habitats'!$X$3,T82&gt;0),U82+V82,IF(AND(P82='G-1 All Habitats'!$X$3,S82&gt;0),U82+V82,IF(AND(P82='G-1 All Habitats'!$X$3,AC82&gt;0),"Any Loss Unacceptable ▲",IF(AND(P82='G-1 All Habitats'!$X$3,W82&gt;0),"Any Loss Unacceptable ▲",H82*J82*L82*O82))))),"Check Data ▲")</f>
        <v/>
      </c>
      <c r="R82" s="50"/>
      <c r="S82" s="71"/>
      <c r="T82" s="72"/>
      <c r="U82" s="511" t="str">
        <f t="shared" si="8"/>
        <v/>
      </c>
      <c r="V82" s="511" t="str">
        <f t="shared" si="9"/>
        <v/>
      </c>
      <c r="W82" s="511" t="str">
        <f>IF(E82="","",IF(H82&lt;S82+T82,"Error in Areas ▲",IF(P82&lt;&gt;'G-1 All Habitats'!$X$3,H82-S82-T82,IF(AND(P82='G-1 All Habitats'!$X$3,Y82="Yes"),"Unacceptable Loss",IF(AND(P82='G-1 All Habitats'!$X$3,Y82="No"),AC82,IF(AND(P82='G-1 All Habitats'!$X$3,Y82=""),AC82,IF(AND(P82='G-1 All Habitats'!$X$3,AC82="None",AC82),IF(AND(P82='G-1 All Habitats'!$X$3,AC82&gt;0),H82-S82-T82))))))))</f>
        <v/>
      </c>
      <c r="X82" s="515" t="str">
        <f>IFERROR(IF(H82="","",IF(H82-S82-T82=0&lt;0,"Error in Areas ▲",IF(S82+T82&gt;H82,"Error in Areas ▲",IF(AND(P82='G-1 All Habitats'!$X$3,Y82="Yes"),"Alternative Compensation ✓",IF(W82=0,0,IF(P82='G-1 All Habitats'!$X$3,"Unacceptable Loss ▲",Q82-U82-V82)))))),"Check Data ▲")</f>
        <v/>
      </c>
      <c r="Y82" s="72"/>
      <c r="Z82" s="80"/>
      <c r="AA82" s="81"/>
      <c r="AC82" s="75" t="str">
        <f>IF(P82="","",IF(P82='G-1 All Habitats'!$X$3,H82-S82-T82,"None"))</f>
        <v/>
      </c>
      <c r="AD82" s="76" t="str">
        <f>IFERROR(AC82*J82*L82*#REF!*O82,IF(P82="","","None"))</f>
        <v/>
      </c>
      <c r="AF82" s="54" t="str">
        <f t="shared" si="5"/>
        <v/>
      </c>
      <c r="AG82" s="54" t="str">
        <f t="shared" si="6"/>
        <v/>
      </c>
      <c r="AH82" s="54" t="str">
        <f>IF(I82="","",IF(#REF!&gt;0,TRUE,FALSE))</f>
        <v/>
      </c>
      <c r="AI82" s="54">
        <v>72</v>
      </c>
      <c r="AJ82" s="54"/>
      <c r="AK82" s="54" t="str">
        <f t="array" ref="AK82">IFERROR(INDEX($AI$11:$AI$259, MATCH(0, IF(TRUE=$AF$11:$AF$259, COUNTIF($AK$10:$AK81, $AI$11:$AI$259), ""), 0)),"")</f>
        <v/>
      </c>
      <c r="AL82" s="54" t="str">
        <f t="array" ref="AL82">IFERROR(INDEX($AI$11:$AI$259, MATCH(0, IF(TRUE=$AG$11:$AG$259, COUNTIF($AL$10:$AL81, $AI$11:$AI$259), ""), 0)),"")</f>
        <v/>
      </c>
      <c r="AM82" s="54" t="str">
        <f t="array" ref="AM82">IFERROR(INDEX($AI$11:$AI$259, MATCH(0, IF(TRUE=$AH$11:$AH$259, COUNTIF($AM$10:$AM81, $AI$11:$AI$259), ""), 0)),"")</f>
        <v/>
      </c>
      <c r="AN82" s="54"/>
      <c r="AQ82" s="47">
        <f t="shared" si="7"/>
        <v>0</v>
      </c>
    </row>
    <row r="83" spans="1:43" x14ac:dyDescent="0.25">
      <c r="A83" s="47" t="str">
        <f>IFERROR(INDEX('G-1 All Habitats'!$AG$3:$AG$15,MATCH(E83,'G-1 All Habitats'!$AF$3:$AF$15,0)),"")</f>
        <v/>
      </c>
      <c r="B83" s="47" t="str">
        <f>IFERROR(INDEX('G-8 Condition Look up'!$I$4:$I$130,MATCH(G83,'G-8 Condition Look up'!$A$4:$A$130,0)),"")</f>
        <v/>
      </c>
      <c r="D83" s="77">
        <v>73</v>
      </c>
      <c r="E83" s="78"/>
      <c r="F83" s="79"/>
      <c r="G83" s="69" t="str">
        <f>IFERROR(INDEX('G-1 All Habitats'!$B$3:$B$129,MATCH(F83,'G-1 All Habitats'!$A$3:$A$129,0)),"")</f>
        <v/>
      </c>
      <c r="H83" s="70"/>
      <c r="I83" s="498" t="str">
        <f>IF(G83="","",VLOOKUP(G83,'G-1 All Habitats'!$B$2:$M$129,10,FALSE))</f>
        <v/>
      </c>
      <c r="J83" s="499" t="str">
        <f>IFERROR(VLOOKUP(I83,'G-1 All Habitats'!$V$3:$W$7,2,FALSE),"")</f>
        <v/>
      </c>
      <c r="K83" s="71"/>
      <c r="L83" s="499" t="str">
        <f>IFERROR(INDEX('G-8 Condition Look up'!$A$3:$H$130,MATCH(G83,'G-8 Condition Look up'!$A$3:$A$130,0),MATCH(K83,'G-8 Condition Look up'!$A$3:$H$3,0)),"")</f>
        <v/>
      </c>
      <c r="M83" s="71"/>
      <c r="N83" s="520" t="str">
        <f>IF(M83="","",IF(VLOOKUP(M83,'G-3 Multipliers'!$L$3:$N$6,2,FALSE)=0,"Spatial Data Missing",VLOOKUP(M83,'G-3 Multipliers'!$L$3:$N$6,2,FALSE)))</f>
        <v/>
      </c>
      <c r="O83" s="505" t="str">
        <f>IF(M83="","",IF(VLOOKUP(M83,'G-3 Multipliers'!$L$3:$N$6,3,FALSE)=0,"Spatial Data Missing ▲",VLOOKUP(M83,'G-3 Multipliers'!$L$3:$N$6,3,FALSE)))</f>
        <v/>
      </c>
      <c r="P83" s="506" t="str">
        <f>IFERROR(VLOOKUP(G83,'G-1 All Habitats'!$B$2:$M$129,12,FALSE),"")</f>
        <v/>
      </c>
      <c r="Q83" s="513" t="str">
        <f>IFERROR(IF(P83="","",IF(AND(P83='G-1 All Habitats'!$X$3,T83&gt;0),U83+V83,IF(AND(P83='G-1 All Habitats'!$X$3,S83&gt;0),U83+V83,IF(AND(P83='G-1 All Habitats'!$X$3,AC83&gt;0),"Any Loss Unacceptable ▲",IF(AND(P83='G-1 All Habitats'!$X$3,W83&gt;0),"Any Loss Unacceptable ▲",H83*J83*L83*O83))))),"Check Data ▲")</f>
        <v/>
      </c>
      <c r="R83" s="50"/>
      <c r="S83" s="71"/>
      <c r="T83" s="72"/>
      <c r="U83" s="511" t="str">
        <f t="shared" si="8"/>
        <v/>
      </c>
      <c r="V83" s="511" t="str">
        <f t="shared" si="9"/>
        <v/>
      </c>
      <c r="W83" s="511" t="str">
        <f>IF(E83="","",IF(H83&lt;S83+T83,"Error in Areas ▲",IF(P83&lt;&gt;'G-1 All Habitats'!$X$3,H83-S83-T83,IF(AND(P83='G-1 All Habitats'!$X$3,Y83="Yes"),"Unacceptable Loss",IF(AND(P83='G-1 All Habitats'!$X$3,Y83="No"),AC83,IF(AND(P83='G-1 All Habitats'!$X$3,Y83=""),AC83,IF(AND(P83='G-1 All Habitats'!$X$3,AC83="None",AC83),IF(AND(P83='G-1 All Habitats'!$X$3,AC83&gt;0),H83-S83-T83))))))))</f>
        <v/>
      </c>
      <c r="X83" s="515" t="str">
        <f>IFERROR(IF(H83="","",IF(H83-S83-T83=0&lt;0,"Error in Areas ▲",IF(S83+T83&gt;H83,"Error in Areas ▲",IF(AND(P83='G-1 All Habitats'!$X$3,Y83="Yes"),"Alternative Compensation ✓",IF(W83=0,0,IF(P83='G-1 All Habitats'!$X$3,"Unacceptable Loss ▲",Q83-U83-V83)))))),"Check Data ▲")</f>
        <v/>
      </c>
      <c r="Y83" s="72"/>
      <c r="Z83" s="80"/>
      <c r="AA83" s="81"/>
      <c r="AC83" s="75" t="str">
        <f>IF(P83="","",IF(P83='G-1 All Habitats'!$X$3,H83-S83-T83,"None"))</f>
        <v/>
      </c>
      <c r="AD83" s="76" t="str">
        <f>IFERROR(AC83*J83*L83*#REF!*O83,IF(P83="","","None"))</f>
        <v/>
      </c>
      <c r="AF83" s="54" t="str">
        <f t="shared" si="5"/>
        <v/>
      </c>
      <c r="AG83" s="54" t="str">
        <f t="shared" si="6"/>
        <v/>
      </c>
      <c r="AH83" s="54" t="str">
        <f>IF(I83="","",IF(#REF!&gt;0,TRUE,FALSE))</f>
        <v/>
      </c>
      <c r="AI83" s="54">
        <v>73</v>
      </c>
      <c r="AJ83" s="54"/>
      <c r="AK83" s="54" t="str">
        <f t="array" ref="AK83">IFERROR(INDEX($AI$11:$AI$259, MATCH(0, IF(TRUE=$AF$11:$AF$259, COUNTIF($AK$10:$AK82, $AI$11:$AI$259), ""), 0)),"")</f>
        <v/>
      </c>
      <c r="AL83" s="54" t="str">
        <f t="array" ref="AL83">IFERROR(INDEX($AI$11:$AI$259, MATCH(0, IF(TRUE=$AG$11:$AG$259, COUNTIF($AL$10:$AL82, $AI$11:$AI$259), ""), 0)),"")</f>
        <v/>
      </c>
      <c r="AM83" s="54" t="str">
        <f t="array" ref="AM83">IFERROR(INDEX($AI$11:$AI$259, MATCH(0, IF(TRUE=$AH$11:$AH$259, COUNTIF($AM$10:$AM82, $AI$11:$AI$259), ""), 0)),"")</f>
        <v/>
      </c>
      <c r="AN83" s="54"/>
      <c r="AQ83" s="47">
        <f t="shared" si="7"/>
        <v>0</v>
      </c>
    </row>
    <row r="84" spans="1:43" x14ac:dyDescent="0.25">
      <c r="A84" s="47" t="str">
        <f>IFERROR(INDEX('G-1 All Habitats'!$AG$3:$AG$15,MATCH(E84,'G-1 All Habitats'!$AF$3:$AF$15,0)),"")</f>
        <v/>
      </c>
      <c r="B84" s="47" t="str">
        <f>IFERROR(INDEX('G-8 Condition Look up'!$I$4:$I$130,MATCH(G84,'G-8 Condition Look up'!$A$4:$A$130,0)),"")</f>
        <v/>
      </c>
      <c r="D84" s="77">
        <v>74</v>
      </c>
      <c r="E84" s="78"/>
      <c r="F84" s="79"/>
      <c r="G84" s="69" t="str">
        <f>IFERROR(INDEX('G-1 All Habitats'!$B$3:$B$129,MATCH(F84,'G-1 All Habitats'!$A$3:$A$129,0)),"")</f>
        <v/>
      </c>
      <c r="H84" s="70"/>
      <c r="I84" s="498" t="str">
        <f>IF(G84="","",VLOOKUP(G84,'G-1 All Habitats'!$B$2:$M$129,10,FALSE))</f>
        <v/>
      </c>
      <c r="J84" s="499" t="str">
        <f>IFERROR(VLOOKUP(I84,'G-1 All Habitats'!$V$3:$W$7,2,FALSE),"")</f>
        <v/>
      </c>
      <c r="K84" s="71"/>
      <c r="L84" s="499" t="str">
        <f>IFERROR(INDEX('G-8 Condition Look up'!$A$3:$H$130,MATCH(G84,'G-8 Condition Look up'!$A$3:$A$130,0),MATCH(K84,'G-8 Condition Look up'!$A$3:$H$3,0)),"")</f>
        <v/>
      </c>
      <c r="M84" s="71"/>
      <c r="N84" s="520" t="str">
        <f>IF(M84="","",IF(VLOOKUP(M84,'G-3 Multipliers'!$L$3:$N$6,2,FALSE)=0,"Spatial Data Missing",VLOOKUP(M84,'G-3 Multipliers'!$L$3:$N$6,2,FALSE)))</f>
        <v/>
      </c>
      <c r="O84" s="505" t="str">
        <f>IF(M84="","",IF(VLOOKUP(M84,'G-3 Multipliers'!$L$3:$N$6,3,FALSE)=0,"Spatial Data Missing ▲",VLOOKUP(M84,'G-3 Multipliers'!$L$3:$N$6,3,FALSE)))</f>
        <v/>
      </c>
      <c r="P84" s="506" t="str">
        <f>IFERROR(VLOOKUP(G84,'G-1 All Habitats'!$B$2:$M$129,12,FALSE),"")</f>
        <v/>
      </c>
      <c r="Q84" s="513" t="str">
        <f>IFERROR(IF(P84="","",IF(AND(P84='G-1 All Habitats'!$X$3,T84&gt;0),U84+V84,IF(AND(P84='G-1 All Habitats'!$X$3,S84&gt;0),U84+V84,IF(AND(P84='G-1 All Habitats'!$X$3,AC84&gt;0),"Any Loss Unacceptable ▲",IF(AND(P84='G-1 All Habitats'!$X$3,W84&gt;0),"Any Loss Unacceptable ▲",H84*J84*L84*O84))))),"Check Data ▲")</f>
        <v/>
      </c>
      <c r="R84" s="50"/>
      <c r="S84" s="71"/>
      <c r="T84" s="72"/>
      <c r="U84" s="511" t="str">
        <f t="shared" si="8"/>
        <v/>
      </c>
      <c r="V84" s="511" t="str">
        <f t="shared" si="9"/>
        <v/>
      </c>
      <c r="W84" s="511" t="str">
        <f>IF(E84="","",IF(H84&lt;S84+T84,"Error in Areas ▲",IF(P84&lt;&gt;'G-1 All Habitats'!$X$3,H84-S84-T84,IF(AND(P84='G-1 All Habitats'!$X$3,Y84="Yes"),"Unacceptable Loss",IF(AND(P84='G-1 All Habitats'!$X$3,Y84="No"),AC84,IF(AND(P84='G-1 All Habitats'!$X$3,Y84=""),AC84,IF(AND(P84='G-1 All Habitats'!$X$3,AC84="None",AC84),IF(AND(P84='G-1 All Habitats'!$X$3,AC84&gt;0),H84-S84-T84))))))))</f>
        <v/>
      </c>
      <c r="X84" s="515" t="str">
        <f>IFERROR(IF(H84="","",IF(H84-S84-T84=0&lt;0,"Error in Areas ▲",IF(S84+T84&gt;H84,"Error in Areas ▲",IF(AND(P84='G-1 All Habitats'!$X$3,Y84="Yes"),"Alternative Compensation ✓",IF(W84=0,0,IF(P84='G-1 All Habitats'!$X$3,"Unacceptable Loss ▲",Q84-U84-V84)))))),"Check Data ▲")</f>
        <v/>
      </c>
      <c r="Y84" s="72"/>
      <c r="Z84" s="80"/>
      <c r="AA84" s="81"/>
      <c r="AC84" s="75" t="str">
        <f>IF(P84="","",IF(P84='G-1 All Habitats'!$X$3,H84-S84-T84,"None"))</f>
        <v/>
      </c>
      <c r="AD84" s="76" t="str">
        <f>IFERROR(AC84*J84*L84*#REF!*O84,IF(P84="","","None"))</f>
        <v/>
      </c>
      <c r="AF84" s="54" t="str">
        <f t="shared" si="5"/>
        <v/>
      </c>
      <c r="AG84" s="54" t="str">
        <f t="shared" si="6"/>
        <v/>
      </c>
      <c r="AH84" s="54" t="str">
        <f>IF(I84="","",IF(#REF!&gt;0,TRUE,FALSE))</f>
        <v/>
      </c>
      <c r="AI84" s="54">
        <v>74</v>
      </c>
      <c r="AJ84" s="54"/>
      <c r="AK84" s="54" t="str">
        <f t="array" ref="AK84">IFERROR(INDEX($AI$11:$AI$259, MATCH(0, IF(TRUE=$AF$11:$AF$259, COUNTIF($AK$10:$AK83, $AI$11:$AI$259), ""), 0)),"")</f>
        <v/>
      </c>
      <c r="AL84" s="54" t="str">
        <f t="array" ref="AL84">IFERROR(INDEX($AI$11:$AI$259, MATCH(0, IF(TRUE=$AG$11:$AG$259, COUNTIF($AL$10:$AL83, $AI$11:$AI$259), ""), 0)),"")</f>
        <v/>
      </c>
      <c r="AM84" s="54" t="str">
        <f t="array" ref="AM84">IFERROR(INDEX($AI$11:$AI$259, MATCH(0, IF(TRUE=$AH$11:$AH$259, COUNTIF($AM$10:$AM83, $AI$11:$AI$259), ""), 0)),"")</f>
        <v/>
      </c>
      <c r="AN84" s="54"/>
      <c r="AQ84" s="47">
        <f t="shared" si="7"/>
        <v>0</v>
      </c>
    </row>
    <row r="85" spans="1:43" x14ac:dyDescent="0.25">
      <c r="A85" s="47" t="str">
        <f>IFERROR(INDEX('G-1 All Habitats'!$AG$3:$AG$15,MATCH(E85,'G-1 All Habitats'!$AF$3:$AF$15,0)),"")</f>
        <v/>
      </c>
      <c r="B85" s="47" t="str">
        <f>IFERROR(INDEX('G-8 Condition Look up'!$I$4:$I$130,MATCH(G85,'G-8 Condition Look up'!$A$4:$A$130,0)),"")</f>
        <v/>
      </c>
      <c r="D85" s="77">
        <v>75</v>
      </c>
      <c r="E85" s="78"/>
      <c r="F85" s="79"/>
      <c r="G85" s="69" t="str">
        <f>IFERROR(INDEX('G-1 All Habitats'!$B$3:$B$129,MATCH(F85,'G-1 All Habitats'!$A$3:$A$129,0)),"")</f>
        <v/>
      </c>
      <c r="H85" s="70"/>
      <c r="I85" s="498" t="str">
        <f>IF(G85="","",VLOOKUP(G85,'G-1 All Habitats'!$B$2:$M$129,10,FALSE))</f>
        <v/>
      </c>
      <c r="J85" s="499" t="str">
        <f>IFERROR(VLOOKUP(I85,'G-1 All Habitats'!$V$3:$W$7,2,FALSE),"")</f>
        <v/>
      </c>
      <c r="K85" s="71"/>
      <c r="L85" s="499" t="str">
        <f>IFERROR(INDEX('G-8 Condition Look up'!$A$3:$H$130,MATCH(G85,'G-8 Condition Look up'!$A$3:$A$130,0),MATCH(K85,'G-8 Condition Look up'!$A$3:$H$3,0)),"")</f>
        <v/>
      </c>
      <c r="M85" s="71"/>
      <c r="N85" s="520" t="str">
        <f>IF(M85="","",IF(VLOOKUP(M85,'G-3 Multipliers'!$L$3:$N$6,2,FALSE)=0,"Spatial Data Missing",VLOOKUP(M85,'G-3 Multipliers'!$L$3:$N$6,2,FALSE)))</f>
        <v/>
      </c>
      <c r="O85" s="505" t="str">
        <f>IF(M85="","",IF(VLOOKUP(M85,'G-3 Multipliers'!$L$3:$N$6,3,FALSE)=0,"Spatial Data Missing ▲",VLOOKUP(M85,'G-3 Multipliers'!$L$3:$N$6,3,FALSE)))</f>
        <v/>
      </c>
      <c r="P85" s="506" t="str">
        <f>IFERROR(VLOOKUP(G85,'G-1 All Habitats'!$B$2:$M$129,12,FALSE),"")</f>
        <v/>
      </c>
      <c r="Q85" s="513" t="str">
        <f>IFERROR(IF(P85="","",IF(AND(P85='G-1 All Habitats'!$X$3,T85&gt;0),U85+V85,IF(AND(P85='G-1 All Habitats'!$X$3,S85&gt;0),U85+V85,IF(AND(P85='G-1 All Habitats'!$X$3,AC85&gt;0),"Any Loss Unacceptable ▲",IF(AND(P85='G-1 All Habitats'!$X$3,W85&gt;0),"Any Loss Unacceptable ▲",H85*J85*L85*O85))))),"Check Data ▲")</f>
        <v/>
      </c>
      <c r="R85" s="50"/>
      <c r="S85" s="71"/>
      <c r="T85" s="72"/>
      <c r="U85" s="511" t="str">
        <f t="shared" si="8"/>
        <v/>
      </c>
      <c r="V85" s="511" t="str">
        <f t="shared" si="9"/>
        <v/>
      </c>
      <c r="W85" s="511" t="str">
        <f>IF(E85="","",IF(H85&lt;S85+T85,"Error in Areas ▲",IF(P85&lt;&gt;'G-1 All Habitats'!$X$3,H85-S85-T85,IF(AND(P85='G-1 All Habitats'!$X$3,Y85="Yes"),"Unacceptable Loss",IF(AND(P85='G-1 All Habitats'!$X$3,Y85="No"),AC85,IF(AND(P85='G-1 All Habitats'!$X$3,Y85=""),AC85,IF(AND(P85='G-1 All Habitats'!$X$3,AC85="None",AC85),IF(AND(P85='G-1 All Habitats'!$X$3,AC85&gt;0),H85-S85-T85))))))))</f>
        <v/>
      </c>
      <c r="X85" s="515" t="str">
        <f>IFERROR(IF(H85="","",IF(H85-S85-T85=0&lt;0,"Error in Areas ▲",IF(S85+T85&gt;H85,"Error in Areas ▲",IF(AND(P85='G-1 All Habitats'!$X$3,Y85="Yes"),"Alternative Compensation ✓",IF(W85=0,0,IF(P85='G-1 All Habitats'!$X$3,"Unacceptable Loss ▲",Q85-U85-V85)))))),"Check Data ▲")</f>
        <v/>
      </c>
      <c r="Y85" s="72"/>
      <c r="Z85" s="80"/>
      <c r="AA85" s="81"/>
      <c r="AC85" s="75" t="str">
        <f>IF(P85="","",IF(P85='G-1 All Habitats'!$X$3,H85-S85-T85,"None"))</f>
        <v/>
      </c>
      <c r="AD85" s="76" t="str">
        <f>IFERROR(AC85*J85*L85*#REF!*O85,IF(P85="","","None"))</f>
        <v/>
      </c>
      <c r="AF85" s="54" t="str">
        <f t="shared" si="5"/>
        <v/>
      </c>
      <c r="AG85" s="54" t="str">
        <f t="shared" si="6"/>
        <v/>
      </c>
      <c r="AH85" s="54" t="str">
        <f>IF(I85="","",IF(#REF!&gt;0,TRUE,FALSE))</f>
        <v/>
      </c>
      <c r="AI85" s="54">
        <v>75</v>
      </c>
      <c r="AJ85" s="54"/>
      <c r="AK85" s="54" t="str">
        <f t="array" ref="AK85">IFERROR(INDEX($AI$11:$AI$259, MATCH(0, IF(TRUE=$AF$11:$AF$259, COUNTIF($AK$10:$AK84, $AI$11:$AI$259), ""), 0)),"")</f>
        <v/>
      </c>
      <c r="AL85" s="54" t="str">
        <f t="array" ref="AL85">IFERROR(INDEX($AI$11:$AI$259, MATCH(0, IF(TRUE=$AG$11:$AG$259, COUNTIF($AL$10:$AL84, $AI$11:$AI$259), ""), 0)),"")</f>
        <v/>
      </c>
      <c r="AM85" s="54" t="str">
        <f t="array" ref="AM85">IFERROR(INDEX($AI$11:$AI$259, MATCH(0, IF(TRUE=$AH$11:$AH$259, COUNTIF($AM$10:$AM84, $AI$11:$AI$259), ""), 0)),"")</f>
        <v/>
      </c>
      <c r="AN85" s="54"/>
      <c r="AQ85" s="47">
        <f t="shared" si="7"/>
        <v>0</v>
      </c>
    </row>
    <row r="86" spans="1:43" x14ac:dyDescent="0.25">
      <c r="A86" s="47" t="str">
        <f>IFERROR(INDEX('G-1 All Habitats'!$AG$3:$AG$15,MATCH(E86,'G-1 All Habitats'!$AF$3:$AF$15,0)),"")</f>
        <v/>
      </c>
      <c r="B86" s="47" t="str">
        <f>IFERROR(INDEX('G-8 Condition Look up'!$I$4:$I$130,MATCH(G86,'G-8 Condition Look up'!$A$4:$A$130,0)),"")</f>
        <v/>
      </c>
      <c r="D86" s="77">
        <v>76</v>
      </c>
      <c r="E86" s="78"/>
      <c r="F86" s="79"/>
      <c r="G86" s="69" t="str">
        <f>IFERROR(INDEX('G-1 All Habitats'!$B$3:$B$129,MATCH(F86,'G-1 All Habitats'!$A$3:$A$129,0)),"")</f>
        <v/>
      </c>
      <c r="H86" s="70"/>
      <c r="I86" s="498" t="str">
        <f>IF(G86="","",VLOOKUP(G86,'G-1 All Habitats'!$B$2:$M$129,10,FALSE))</f>
        <v/>
      </c>
      <c r="J86" s="499" t="str">
        <f>IFERROR(VLOOKUP(I86,'G-1 All Habitats'!$V$3:$W$7,2,FALSE),"")</f>
        <v/>
      </c>
      <c r="K86" s="71"/>
      <c r="L86" s="499" t="str">
        <f>IFERROR(INDEX('G-8 Condition Look up'!$A$3:$H$130,MATCH(G86,'G-8 Condition Look up'!$A$3:$A$130,0),MATCH(K86,'G-8 Condition Look up'!$A$3:$H$3,0)),"")</f>
        <v/>
      </c>
      <c r="M86" s="71"/>
      <c r="N86" s="520" t="str">
        <f>IF(M86="","",IF(VLOOKUP(M86,'G-3 Multipliers'!$L$3:$N$6,2,FALSE)=0,"Spatial Data Missing",VLOOKUP(M86,'G-3 Multipliers'!$L$3:$N$6,2,FALSE)))</f>
        <v/>
      </c>
      <c r="O86" s="505" t="str">
        <f>IF(M86="","",IF(VLOOKUP(M86,'G-3 Multipliers'!$L$3:$N$6,3,FALSE)=0,"Spatial Data Missing ▲",VLOOKUP(M86,'G-3 Multipliers'!$L$3:$N$6,3,FALSE)))</f>
        <v/>
      </c>
      <c r="P86" s="506" t="str">
        <f>IFERROR(VLOOKUP(G86,'G-1 All Habitats'!$B$2:$M$129,12,FALSE),"")</f>
        <v/>
      </c>
      <c r="Q86" s="513" t="str">
        <f>IFERROR(IF(P86="","",IF(AND(P86='G-1 All Habitats'!$X$3,T86&gt;0),U86+V86,IF(AND(P86='G-1 All Habitats'!$X$3,S86&gt;0),U86+V86,IF(AND(P86='G-1 All Habitats'!$X$3,AC86&gt;0),"Any Loss Unacceptable ▲",IF(AND(P86='G-1 All Habitats'!$X$3,W86&gt;0),"Any Loss Unacceptable ▲",H86*J86*L86*O86))))),"Check Data ▲")</f>
        <v/>
      </c>
      <c r="R86" s="50"/>
      <c r="S86" s="71"/>
      <c r="T86" s="72"/>
      <c r="U86" s="511" t="str">
        <f t="shared" si="8"/>
        <v/>
      </c>
      <c r="V86" s="511" t="str">
        <f t="shared" si="9"/>
        <v/>
      </c>
      <c r="W86" s="511" t="str">
        <f>IF(E86="","",IF(H86&lt;S86+T86,"Error in Areas ▲",IF(P86&lt;&gt;'G-1 All Habitats'!$X$3,H86-S86-T86,IF(AND(P86='G-1 All Habitats'!$X$3,Y86="Yes"),"Unacceptable Loss",IF(AND(P86='G-1 All Habitats'!$X$3,Y86="No"),AC86,IF(AND(P86='G-1 All Habitats'!$X$3,Y86=""),AC86,IF(AND(P86='G-1 All Habitats'!$X$3,AC86="None",AC86),IF(AND(P86='G-1 All Habitats'!$X$3,AC86&gt;0),H86-S86-T86))))))))</f>
        <v/>
      </c>
      <c r="X86" s="515" t="str">
        <f>IFERROR(IF(H86="","",IF(H86-S86-T86=0&lt;0,"Error in Areas ▲",IF(S86+T86&gt;H86,"Error in Areas ▲",IF(AND(P86='G-1 All Habitats'!$X$3,Y86="Yes"),"Alternative Compensation ✓",IF(W86=0,0,IF(P86='G-1 All Habitats'!$X$3,"Unacceptable Loss ▲",Q86-U86-V86)))))),"Check Data ▲")</f>
        <v/>
      </c>
      <c r="Y86" s="72"/>
      <c r="Z86" s="80"/>
      <c r="AA86" s="81"/>
      <c r="AC86" s="75" t="str">
        <f>IF(P86="","",IF(P86='G-1 All Habitats'!$X$3,H86-S86-T86,"None"))</f>
        <v/>
      </c>
      <c r="AD86" s="76" t="str">
        <f>IFERROR(AC86*J86*L86*#REF!*O86,IF(P86="","","None"))</f>
        <v/>
      </c>
      <c r="AF86" s="54" t="str">
        <f t="shared" si="5"/>
        <v/>
      </c>
      <c r="AG86" s="54" t="str">
        <f t="shared" si="6"/>
        <v/>
      </c>
      <c r="AH86" s="54" t="str">
        <f>IF(I86="","",IF(#REF!&gt;0,TRUE,FALSE))</f>
        <v/>
      </c>
      <c r="AI86" s="54">
        <v>76</v>
      </c>
      <c r="AJ86" s="54"/>
      <c r="AK86" s="54" t="str">
        <f t="array" ref="AK86">IFERROR(INDEX($AI$11:$AI$259, MATCH(0, IF(TRUE=$AF$11:$AF$259, COUNTIF($AK$10:$AK85, $AI$11:$AI$259), ""), 0)),"")</f>
        <v/>
      </c>
      <c r="AL86" s="54" t="str">
        <f t="array" ref="AL86">IFERROR(INDEX($AI$11:$AI$259, MATCH(0, IF(TRUE=$AG$11:$AG$259, COUNTIF($AL$10:$AL85, $AI$11:$AI$259), ""), 0)),"")</f>
        <v/>
      </c>
      <c r="AM86" s="54" t="str">
        <f t="array" ref="AM86">IFERROR(INDEX($AI$11:$AI$259, MATCH(0, IF(TRUE=$AH$11:$AH$259, COUNTIF($AM$10:$AM85, $AI$11:$AI$259), ""), 0)),"")</f>
        <v/>
      </c>
      <c r="AN86" s="54"/>
      <c r="AQ86" s="47">
        <f t="shared" si="7"/>
        <v>0</v>
      </c>
    </row>
    <row r="87" spans="1:43" x14ac:dyDescent="0.25">
      <c r="A87" s="47" t="str">
        <f>IFERROR(INDEX('G-1 All Habitats'!$AG$3:$AG$15,MATCH(E87,'G-1 All Habitats'!$AF$3:$AF$15,0)),"")</f>
        <v/>
      </c>
      <c r="B87" s="47" t="str">
        <f>IFERROR(INDEX('G-8 Condition Look up'!$I$4:$I$130,MATCH(G87,'G-8 Condition Look up'!$A$4:$A$130,0)),"")</f>
        <v/>
      </c>
      <c r="D87" s="77">
        <v>77</v>
      </c>
      <c r="E87" s="78"/>
      <c r="F87" s="79"/>
      <c r="G87" s="69" t="str">
        <f>IFERROR(INDEX('G-1 All Habitats'!$B$3:$B$129,MATCH(F87,'G-1 All Habitats'!$A$3:$A$129,0)),"")</f>
        <v/>
      </c>
      <c r="H87" s="70"/>
      <c r="I87" s="498" t="str">
        <f>IF(G87="","",VLOOKUP(G87,'G-1 All Habitats'!$B$2:$M$129,10,FALSE))</f>
        <v/>
      </c>
      <c r="J87" s="499" t="str">
        <f>IFERROR(VLOOKUP(I87,'G-1 All Habitats'!$V$3:$W$7,2,FALSE),"")</f>
        <v/>
      </c>
      <c r="K87" s="71"/>
      <c r="L87" s="499" t="str">
        <f>IFERROR(INDEX('G-8 Condition Look up'!$A$3:$H$130,MATCH(G87,'G-8 Condition Look up'!$A$3:$A$130,0),MATCH(K87,'G-8 Condition Look up'!$A$3:$H$3,0)),"")</f>
        <v/>
      </c>
      <c r="M87" s="71"/>
      <c r="N87" s="520" t="str">
        <f>IF(M87="","",IF(VLOOKUP(M87,'G-3 Multipliers'!$L$3:$N$6,2,FALSE)=0,"Spatial Data Missing",VLOOKUP(M87,'G-3 Multipliers'!$L$3:$N$6,2,FALSE)))</f>
        <v/>
      </c>
      <c r="O87" s="505" t="str">
        <f>IF(M87="","",IF(VLOOKUP(M87,'G-3 Multipliers'!$L$3:$N$6,3,FALSE)=0,"Spatial Data Missing ▲",VLOOKUP(M87,'G-3 Multipliers'!$L$3:$N$6,3,FALSE)))</f>
        <v/>
      </c>
      <c r="P87" s="506" t="str">
        <f>IFERROR(VLOOKUP(G87,'G-1 All Habitats'!$B$2:$M$129,12,FALSE),"")</f>
        <v/>
      </c>
      <c r="Q87" s="513" t="str">
        <f>IFERROR(IF(P87="","",IF(AND(P87='G-1 All Habitats'!$X$3,T87&gt;0),U87+V87,IF(AND(P87='G-1 All Habitats'!$X$3,S87&gt;0),U87+V87,IF(AND(P87='G-1 All Habitats'!$X$3,AC87&gt;0),"Any Loss Unacceptable ▲",IF(AND(P87='G-1 All Habitats'!$X$3,W87&gt;0),"Any Loss Unacceptable ▲",H87*J87*L87*O87))))),"Check Data ▲")</f>
        <v/>
      </c>
      <c r="R87" s="50"/>
      <c r="S87" s="71"/>
      <c r="T87" s="72"/>
      <c r="U87" s="511" t="str">
        <f t="shared" si="8"/>
        <v/>
      </c>
      <c r="V87" s="511" t="str">
        <f t="shared" si="9"/>
        <v/>
      </c>
      <c r="W87" s="511" t="str">
        <f>IF(E87="","",IF(H87&lt;S87+T87,"Error in Areas ▲",IF(P87&lt;&gt;'G-1 All Habitats'!$X$3,H87-S87-T87,IF(AND(P87='G-1 All Habitats'!$X$3,Y87="Yes"),"Unacceptable Loss",IF(AND(P87='G-1 All Habitats'!$X$3,Y87="No"),AC87,IF(AND(P87='G-1 All Habitats'!$X$3,Y87=""),AC87,IF(AND(P87='G-1 All Habitats'!$X$3,AC87="None",AC87),IF(AND(P87='G-1 All Habitats'!$X$3,AC87&gt;0),H87-S87-T87))))))))</f>
        <v/>
      </c>
      <c r="X87" s="515" t="str">
        <f>IFERROR(IF(H87="","",IF(H87-S87-T87=0&lt;0,"Error in Areas ▲",IF(S87+T87&gt;H87,"Error in Areas ▲",IF(AND(P87='G-1 All Habitats'!$X$3,Y87="Yes"),"Alternative Compensation ✓",IF(W87=0,0,IF(P87='G-1 All Habitats'!$X$3,"Unacceptable Loss ▲",Q87-U87-V87)))))),"Check Data ▲")</f>
        <v/>
      </c>
      <c r="Y87" s="72"/>
      <c r="Z87" s="80"/>
      <c r="AA87" s="81"/>
      <c r="AC87" s="75" t="str">
        <f>IF(P87="","",IF(P87='G-1 All Habitats'!$X$3,H87-S87-T87,"None"))</f>
        <v/>
      </c>
      <c r="AD87" s="76" t="str">
        <f>IFERROR(AC87*J87*L87*#REF!*O87,IF(P87="","","None"))</f>
        <v/>
      </c>
      <c r="AF87" s="54" t="str">
        <f t="shared" si="5"/>
        <v/>
      </c>
      <c r="AG87" s="54" t="str">
        <f t="shared" si="6"/>
        <v/>
      </c>
      <c r="AH87" s="54" t="str">
        <f>IF(I87="","",IF(#REF!&gt;0,TRUE,FALSE))</f>
        <v/>
      </c>
      <c r="AI87" s="54">
        <v>77</v>
      </c>
      <c r="AJ87" s="54"/>
      <c r="AK87" s="54" t="str">
        <f t="array" ref="AK87">IFERROR(INDEX($AI$11:$AI$259, MATCH(0, IF(TRUE=$AF$11:$AF$259, COUNTIF($AK$10:$AK86, $AI$11:$AI$259), ""), 0)),"")</f>
        <v/>
      </c>
      <c r="AL87" s="54" t="str">
        <f t="array" ref="AL87">IFERROR(INDEX($AI$11:$AI$259, MATCH(0, IF(TRUE=$AG$11:$AG$259, COUNTIF($AL$10:$AL86, $AI$11:$AI$259), ""), 0)),"")</f>
        <v/>
      </c>
      <c r="AM87" s="54" t="str">
        <f t="array" ref="AM87">IFERROR(INDEX($AI$11:$AI$259, MATCH(0, IF(TRUE=$AH$11:$AH$259, COUNTIF($AM$10:$AM86, $AI$11:$AI$259), ""), 0)),"")</f>
        <v/>
      </c>
      <c r="AN87" s="54"/>
      <c r="AQ87" s="47">
        <f t="shared" si="7"/>
        <v>0</v>
      </c>
    </row>
    <row r="88" spans="1:43" x14ac:dyDescent="0.25">
      <c r="A88" s="47" t="str">
        <f>IFERROR(INDEX('G-1 All Habitats'!$AG$3:$AG$15,MATCH(E88,'G-1 All Habitats'!$AF$3:$AF$15,0)),"")</f>
        <v/>
      </c>
      <c r="B88" s="47" t="str">
        <f>IFERROR(INDEX('G-8 Condition Look up'!$I$4:$I$130,MATCH(G88,'G-8 Condition Look up'!$A$4:$A$130,0)),"")</f>
        <v/>
      </c>
      <c r="D88" s="77">
        <v>78</v>
      </c>
      <c r="E88" s="78"/>
      <c r="F88" s="79"/>
      <c r="G88" s="69" t="str">
        <f>IFERROR(INDEX('G-1 All Habitats'!$B$3:$B$129,MATCH(F88,'G-1 All Habitats'!$A$3:$A$129,0)),"")</f>
        <v/>
      </c>
      <c r="H88" s="70"/>
      <c r="I88" s="498" t="str">
        <f>IF(G88="","",VLOOKUP(G88,'G-1 All Habitats'!$B$2:$M$129,10,FALSE))</f>
        <v/>
      </c>
      <c r="J88" s="499" t="str">
        <f>IFERROR(VLOOKUP(I88,'G-1 All Habitats'!$V$3:$W$7,2,FALSE),"")</f>
        <v/>
      </c>
      <c r="K88" s="71"/>
      <c r="L88" s="499" t="str">
        <f>IFERROR(INDEX('G-8 Condition Look up'!$A$3:$H$130,MATCH(G88,'G-8 Condition Look up'!$A$3:$A$130,0),MATCH(K88,'G-8 Condition Look up'!$A$3:$H$3,0)),"")</f>
        <v/>
      </c>
      <c r="M88" s="71"/>
      <c r="N88" s="520" t="str">
        <f>IF(M88="","",IF(VLOOKUP(M88,'G-3 Multipliers'!$L$3:$N$6,2,FALSE)=0,"Spatial Data Missing",VLOOKUP(M88,'G-3 Multipliers'!$L$3:$N$6,2,FALSE)))</f>
        <v/>
      </c>
      <c r="O88" s="505" t="str">
        <f>IF(M88="","",IF(VLOOKUP(M88,'G-3 Multipliers'!$L$3:$N$6,3,FALSE)=0,"Spatial Data Missing ▲",VLOOKUP(M88,'G-3 Multipliers'!$L$3:$N$6,3,FALSE)))</f>
        <v/>
      </c>
      <c r="P88" s="506" t="str">
        <f>IFERROR(VLOOKUP(G88,'G-1 All Habitats'!$B$2:$M$129,12,FALSE),"")</f>
        <v/>
      </c>
      <c r="Q88" s="513" t="str">
        <f>IFERROR(IF(P88="","",IF(AND(P88='G-1 All Habitats'!$X$3,T88&gt;0),U88+V88,IF(AND(P88='G-1 All Habitats'!$X$3,S88&gt;0),U88+V88,IF(AND(P88='G-1 All Habitats'!$X$3,AC88&gt;0),"Any Loss Unacceptable ▲",IF(AND(P88='G-1 All Habitats'!$X$3,W88&gt;0),"Any Loss Unacceptable ▲",H88*J88*L88*O88))))),"Check Data ▲")</f>
        <v/>
      </c>
      <c r="R88" s="50"/>
      <c r="S88" s="71"/>
      <c r="T88" s="72"/>
      <c r="U88" s="511" t="str">
        <f t="shared" si="8"/>
        <v/>
      </c>
      <c r="V88" s="511" t="str">
        <f t="shared" si="9"/>
        <v/>
      </c>
      <c r="W88" s="511" t="str">
        <f>IF(E88="","",IF(H88&lt;S88+T88,"Error in Areas ▲",IF(P88&lt;&gt;'G-1 All Habitats'!$X$3,H88-S88-T88,IF(AND(P88='G-1 All Habitats'!$X$3,Y88="Yes"),"Unacceptable Loss",IF(AND(P88='G-1 All Habitats'!$X$3,Y88="No"),AC88,IF(AND(P88='G-1 All Habitats'!$X$3,Y88=""),AC88,IF(AND(P88='G-1 All Habitats'!$X$3,AC88="None",AC88),IF(AND(P88='G-1 All Habitats'!$X$3,AC88&gt;0),H88-S88-T88))))))))</f>
        <v/>
      </c>
      <c r="X88" s="515" t="str">
        <f>IFERROR(IF(H88="","",IF(H88-S88-T88=0&lt;0,"Error in Areas ▲",IF(S88+T88&gt;H88,"Error in Areas ▲",IF(AND(P88='G-1 All Habitats'!$X$3,Y88="Yes"),"Alternative Compensation ✓",IF(W88=0,0,IF(P88='G-1 All Habitats'!$X$3,"Unacceptable Loss ▲",Q88-U88-V88)))))),"Check Data ▲")</f>
        <v/>
      </c>
      <c r="Y88" s="72"/>
      <c r="Z88" s="80"/>
      <c r="AA88" s="81"/>
      <c r="AC88" s="75" t="str">
        <f>IF(P88="","",IF(P88='G-1 All Habitats'!$X$3,H88-S88-T88,"None"))</f>
        <v/>
      </c>
      <c r="AD88" s="76" t="str">
        <f>IFERROR(AC88*J88*L88*#REF!*O88,IF(P88="","","None"))</f>
        <v/>
      </c>
      <c r="AF88" s="54" t="str">
        <f t="shared" si="5"/>
        <v/>
      </c>
      <c r="AG88" s="54" t="str">
        <f t="shared" si="6"/>
        <v/>
      </c>
      <c r="AH88" s="54" t="str">
        <f>IF(I88="","",IF(#REF!&gt;0,TRUE,FALSE))</f>
        <v/>
      </c>
      <c r="AI88" s="54">
        <v>78</v>
      </c>
      <c r="AJ88" s="54"/>
      <c r="AK88" s="54" t="str">
        <f t="array" ref="AK88">IFERROR(INDEX($AI$11:$AI$259, MATCH(0, IF(TRUE=$AF$11:$AF$259, COUNTIF($AK$10:$AK87, $AI$11:$AI$259), ""), 0)),"")</f>
        <v/>
      </c>
      <c r="AL88" s="54" t="str">
        <f t="array" ref="AL88">IFERROR(INDEX($AI$11:$AI$259, MATCH(0, IF(TRUE=$AG$11:$AG$259, COUNTIF($AL$10:$AL87, $AI$11:$AI$259), ""), 0)),"")</f>
        <v/>
      </c>
      <c r="AM88" s="54" t="str">
        <f t="array" ref="AM88">IFERROR(INDEX($AI$11:$AI$259, MATCH(0, IF(TRUE=$AH$11:$AH$259, COUNTIF($AM$10:$AM87, $AI$11:$AI$259), ""), 0)),"")</f>
        <v/>
      </c>
      <c r="AN88" s="54"/>
      <c r="AQ88" s="47">
        <f t="shared" si="7"/>
        <v>0</v>
      </c>
    </row>
    <row r="89" spans="1:43" x14ac:dyDescent="0.25">
      <c r="A89" s="47" t="str">
        <f>IFERROR(INDEX('G-1 All Habitats'!$AG$3:$AG$15,MATCH(E89,'G-1 All Habitats'!$AF$3:$AF$15,0)),"")</f>
        <v/>
      </c>
      <c r="B89" s="47" t="str">
        <f>IFERROR(INDEX('G-8 Condition Look up'!$I$4:$I$130,MATCH(G89,'G-8 Condition Look up'!$A$4:$A$130,0)),"")</f>
        <v/>
      </c>
      <c r="D89" s="77">
        <v>79</v>
      </c>
      <c r="E89" s="78"/>
      <c r="F89" s="79"/>
      <c r="G89" s="69" t="str">
        <f>IFERROR(INDEX('G-1 All Habitats'!$B$3:$B$129,MATCH(F89,'G-1 All Habitats'!$A$3:$A$129,0)),"")</f>
        <v/>
      </c>
      <c r="H89" s="70"/>
      <c r="I89" s="498" t="str">
        <f>IF(G89="","",VLOOKUP(G89,'G-1 All Habitats'!$B$2:$M$129,10,FALSE))</f>
        <v/>
      </c>
      <c r="J89" s="499" t="str">
        <f>IFERROR(VLOOKUP(I89,'G-1 All Habitats'!$V$3:$W$7,2,FALSE),"")</f>
        <v/>
      </c>
      <c r="K89" s="71"/>
      <c r="L89" s="499" t="str">
        <f>IFERROR(INDEX('G-8 Condition Look up'!$A$3:$H$130,MATCH(G89,'G-8 Condition Look up'!$A$3:$A$130,0),MATCH(K89,'G-8 Condition Look up'!$A$3:$H$3,0)),"")</f>
        <v/>
      </c>
      <c r="M89" s="71"/>
      <c r="N89" s="520" t="str">
        <f>IF(M89="","",IF(VLOOKUP(M89,'G-3 Multipliers'!$L$3:$N$6,2,FALSE)=0,"Spatial Data Missing",VLOOKUP(M89,'G-3 Multipliers'!$L$3:$N$6,2,FALSE)))</f>
        <v/>
      </c>
      <c r="O89" s="505" t="str">
        <f>IF(M89="","",IF(VLOOKUP(M89,'G-3 Multipliers'!$L$3:$N$6,3,FALSE)=0,"Spatial Data Missing ▲",VLOOKUP(M89,'G-3 Multipliers'!$L$3:$N$6,3,FALSE)))</f>
        <v/>
      </c>
      <c r="P89" s="506" t="str">
        <f>IFERROR(VLOOKUP(G89,'G-1 All Habitats'!$B$2:$M$129,12,FALSE),"")</f>
        <v/>
      </c>
      <c r="Q89" s="513" t="str">
        <f>IFERROR(IF(P89="","",IF(AND(P89='G-1 All Habitats'!$X$3,T89&gt;0),U89+V89,IF(AND(P89='G-1 All Habitats'!$X$3,S89&gt;0),U89+V89,IF(AND(P89='G-1 All Habitats'!$X$3,AC89&gt;0),"Any Loss Unacceptable ▲",IF(AND(P89='G-1 All Habitats'!$X$3,W89&gt;0),"Any Loss Unacceptable ▲",H89*J89*L89*O89))))),"Check Data ▲")</f>
        <v/>
      </c>
      <c r="R89" s="50"/>
      <c r="S89" s="71"/>
      <c r="T89" s="72"/>
      <c r="U89" s="511" t="str">
        <f t="shared" si="8"/>
        <v/>
      </c>
      <c r="V89" s="511" t="str">
        <f t="shared" si="9"/>
        <v/>
      </c>
      <c r="W89" s="511" t="str">
        <f>IF(E89="","",IF(H89&lt;S89+T89,"Error in Areas ▲",IF(P89&lt;&gt;'G-1 All Habitats'!$X$3,H89-S89-T89,IF(AND(P89='G-1 All Habitats'!$X$3,Y89="Yes"),"Unacceptable Loss",IF(AND(P89='G-1 All Habitats'!$X$3,Y89="No"),AC89,IF(AND(P89='G-1 All Habitats'!$X$3,Y89=""),AC89,IF(AND(P89='G-1 All Habitats'!$X$3,AC89="None",AC89),IF(AND(P89='G-1 All Habitats'!$X$3,AC89&gt;0),H89-S89-T89))))))))</f>
        <v/>
      </c>
      <c r="X89" s="515" t="str">
        <f>IFERROR(IF(H89="","",IF(H89-S89-T89=0&lt;0,"Error in Areas ▲",IF(S89+T89&gt;H89,"Error in Areas ▲",IF(AND(P89='G-1 All Habitats'!$X$3,Y89="Yes"),"Alternative Compensation ✓",IF(W89=0,0,IF(P89='G-1 All Habitats'!$X$3,"Unacceptable Loss ▲",Q89-U89-V89)))))),"Check Data ▲")</f>
        <v/>
      </c>
      <c r="Y89" s="72"/>
      <c r="Z89" s="80"/>
      <c r="AA89" s="81"/>
      <c r="AC89" s="75" t="str">
        <f>IF(P89="","",IF(P89='G-1 All Habitats'!$X$3,H89-S89-T89,"None"))</f>
        <v/>
      </c>
      <c r="AD89" s="76" t="str">
        <f>IFERROR(AC89*J89*L89*#REF!*O89,IF(P89="","","None"))</f>
        <v/>
      </c>
      <c r="AF89" s="54" t="str">
        <f t="shared" si="5"/>
        <v/>
      </c>
      <c r="AG89" s="54" t="str">
        <f t="shared" si="6"/>
        <v/>
      </c>
      <c r="AH89" s="54" t="str">
        <f>IF(I89="","",IF(#REF!&gt;0,TRUE,FALSE))</f>
        <v/>
      </c>
      <c r="AI89" s="54">
        <v>79</v>
      </c>
      <c r="AJ89" s="54"/>
      <c r="AK89" s="54" t="str">
        <f t="array" ref="AK89">IFERROR(INDEX($AI$11:$AI$259, MATCH(0, IF(TRUE=$AF$11:$AF$259, COUNTIF($AK$10:$AK88, $AI$11:$AI$259), ""), 0)),"")</f>
        <v/>
      </c>
      <c r="AL89" s="54" t="str">
        <f t="array" ref="AL89">IFERROR(INDEX($AI$11:$AI$259, MATCH(0, IF(TRUE=$AG$11:$AG$259, COUNTIF($AL$10:$AL88, $AI$11:$AI$259), ""), 0)),"")</f>
        <v/>
      </c>
      <c r="AM89" s="54" t="str">
        <f t="array" ref="AM89">IFERROR(INDEX($AI$11:$AI$259, MATCH(0, IF(TRUE=$AH$11:$AH$259, COUNTIF($AM$10:$AM88, $AI$11:$AI$259), ""), 0)),"")</f>
        <v/>
      </c>
      <c r="AN89" s="54"/>
      <c r="AQ89" s="47">
        <f t="shared" si="7"/>
        <v>0</v>
      </c>
    </row>
    <row r="90" spans="1:43" x14ac:dyDescent="0.25">
      <c r="A90" s="47" t="str">
        <f>IFERROR(INDEX('G-1 All Habitats'!$AG$3:$AG$15,MATCH(E90,'G-1 All Habitats'!$AF$3:$AF$15,0)),"")</f>
        <v/>
      </c>
      <c r="B90" s="47" t="str">
        <f>IFERROR(INDEX('G-8 Condition Look up'!$I$4:$I$130,MATCH(G90,'G-8 Condition Look up'!$A$4:$A$130,0)),"")</f>
        <v/>
      </c>
      <c r="D90" s="77">
        <v>80</v>
      </c>
      <c r="E90" s="78"/>
      <c r="F90" s="79"/>
      <c r="G90" s="69" t="str">
        <f>IFERROR(INDEX('G-1 All Habitats'!$B$3:$B$129,MATCH(F90,'G-1 All Habitats'!$A$3:$A$129,0)),"")</f>
        <v/>
      </c>
      <c r="H90" s="70"/>
      <c r="I90" s="498" t="str">
        <f>IF(G90="","",VLOOKUP(G90,'G-1 All Habitats'!$B$2:$M$129,10,FALSE))</f>
        <v/>
      </c>
      <c r="J90" s="499" t="str">
        <f>IFERROR(VLOOKUP(I90,'G-1 All Habitats'!$V$3:$W$7,2,FALSE),"")</f>
        <v/>
      </c>
      <c r="K90" s="71"/>
      <c r="L90" s="499" t="str">
        <f>IFERROR(INDEX('G-8 Condition Look up'!$A$3:$H$130,MATCH(G90,'G-8 Condition Look up'!$A$3:$A$130,0),MATCH(K90,'G-8 Condition Look up'!$A$3:$H$3,0)),"")</f>
        <v/>
      </c>
      <c r="M90" s="71"/>
      <c r="N90" s="520" t="str">
        <f>IF(M90="","",IF(VLOOKUP(M90,'G-3 Multipliers'!$L$3:$N$6,2,FALSE)=0,"Spatial Data Missing",VLOOKUP(M90,'G-3 Multipliers'!$L$3:$N$6,2,FALSE)))</f>
        <v/>
      </c>
      <c r="O90" s="505" t="str">
        <f>IF(M90="","",IF(VLOOKUP(M90,'G-3 Multipliers'!$L$3:$N$6,3,FALSE)=0,"Spatial Data Missing ▲",VLOOKUP(M90,'G-3 Multipliers'!$L$3:$N$6,3,FALSE)))</f>
        <v/>
      </c>
      <c r="P90" s="506" t="str">
        <f>IFERROR(VLOOKUP(G90,'G-1 All Habitats'!$B$2:$M$129,12,FALSE),"")</f>
        <v/>
      </c>
      <c r="Q90" s="513" t="str">
        <f>IFERROR(IF(P90="","",IF(AND(P90='G-1 All Habitats'!$X$3,T90&gt;0),U90+V90,IF(AND(P90='G-1 All Habitats'!$X$3,S90&gt;0),U90+V90,IF(AND(P90='G-1 All Habitats'!$X$3,AC90&gt;0),"Any Loss Unacceptable ▲",IF(AND(P90='G-1 All Habitats'!$X$3,W90&gt;0),"Any Loss Unacceptable ▲",H90*J90*L90*O90))))),"Check Data ▲")</f>
        <v/>
      </c>
      <c r="R90" s="50"/>
      <c r="S90" s="71"/>
      <c r="T90" s="72"/>
      <c r="U90" s="511" t="str">
        <f t="shared" si="8"/>
        <v/>
      </c>
      <c r="V90" s="511" t="str">
        <f t="shared" si="9"/>
        <v/>
      </c>
      <c r="W90" s="511" t="str">
        <f>IF(E90="","",IF(H90&lt;S90+T90,"Error in Areas ▲",IF(P90&lt;&gt;'G-1 All Habitats'!$X$3,H90-S90-T90,IF(AND(P90='G-1 All Habitats'!$X$3,Y90="Yes"),"Unacceptable Loss",IF(AND(P90='G-1 All Habitats'!$X$3,Y90="No"),AC90,IF(AND(P90='G-1 All Habitats'!$X$3,Y90=""),AC90,IF(AND(P90='G-1 All Habitats'!$X$3,AC90="None",AC90),IF(AND(P90='G-1 All Habitats'!$X$3,AC90&gt;0),H90-S90-T90))))))))</f>
        <v/>
      </c>
      <c r="X90" s="515" t="str">
        <f>IFERROR(IF(H90="","",IF(H90-S90-T90=0&lt;0,"Error in Areas ▲",IF(S90+T90&gt;H90,"Error in Areas ▲",IF(AND(P90='G-1 All Habitats'!$X$3,Y90="Yes"),"Alternative Compensation ✓",IF(W90=0,0,IF(P90='G-1 All Habitats'!$X$3,"Unacceptable Loss ▲",Q90-U90-V90)))))),"Check Data ▲")</f>
        <v/>
      </c>
      <c r="Y90" s="72"/>
      <c r="Z90" s="80"/>
      <c r="AA90" s="81"/>
      <c r="AC90" s="75" t="str">
        <f>IF(P90="","",IF(P90='G-1 All Habitats'!$X$3,H90-S90-T90,"None"))</f>
        <v/>
      </c>
      <c r="AD90" s="76" t="str">
        <f>IFERROR(AC90*J90*L90*#REF!*O90,IF(P90="","","None"))</f>
        <v/>
      </c>
      <c r="AF90" s="54" t="str">
        <f t="shared" si="5"/>
        <v/>
      </c>
      <c r="AG90" s="54" t="str">
        <f t="shared" si="6"/>
        <v/>
      </c>
      <c r="AH90" s="54" t="str">
        <f>IF(I90="","",IF(#REF!&gt;0,TRUE,FALSE))</f>
        <v/>
      </c>
      <c r="AI90" s="54">
        <v>80</v>
      </c>
      <c r="AJ90" s="54"/>
      <c r="AK90" s="54" t="str">
        <f t="array" ref="AK90">IFERROR(INDEX($AI$11:$AI$259, MATCH(0, IF(TRUE=$AF$11:$AF$259, COUNTIF($AK$10:$AK89, $AI$11:$AI$259), ""), 0)),"")</f>
        <v/>
      </c>
      <c r="AL90" s="54" t="str">
        <f t="array" ref="AL90">IFERROR(INDEX($AI$11:$AI$259, MATCH(0, IF(TRUE=$AG$11:$AG$259, COUNTIF($AL$10:$AL89, $AI$11:$AI$259), ""), 0)),"")</f>
        <v/>
      </c>
      <c r="AM90" s="54" t="str">
        <f t="array" ref="AM90">IFERROR(INDEX($AI$11:$AI$259, MATCH(0, IF(TRUE=$AH$11:$AH$259, COUNTIF($AM$10:$AM89, $AI$11:$AI$259), ""), 0)),"")</f>
        <v/>
      </c>
      <c r="AN90" s="54"/>
      <c r="AQ90" s="47">
        <f t="shared" si="7"/>
        <v>0</v>
      </c>
    </row>
    <row r="91" spans="1:43" x14ac:dyDescent="0.25">
      <c r="A91" s="47" t="str">
        <f>IFERROR(INDEX('G-1 All Habitats'!$AG$3:$AG$15,MATCH(E91,'G-1 All Habitats'!$AF$3:$AF$15,0)),"")</f>
        <v/>
      </c>
      <c r="B91" s="47" t="str">
        <f>IFERROR(INDEX('G-8 Condition Look up'!$I$4:$I$130,MATCH(G91,'G-8 Condition Look up'!$A$4:$A$130,0)),"")</f>
        <v/>
      </c>
      <c r="D91" s="77">
        <v>81</v>
      </c>
      <c r="E91" s="78"/>
      <c r="F91" s="79"/>
      <c r="G91" s="69" t="str">
        <f>IFERROR(INDEX('G-1 All Habitats'!$B$3:$B$129,MATCH(F91,'G-1 All Habitats'!$A$3:$A$129,0)),"")</f>
        <v/>
      </c>
      <c r="H91" s="70"/>
      <c r="I91" s="498" t="str">
        <f>IF(G91="","",VLOOKUP(G91,'G-1 All Habitats'!$B$2:$M$129,10,FALSE))</f>
        <v/>
      </c>
      <c r="J91" s="499" t="str">
        <f>IFERROR(VLOOKUP(I91,'G-1 All Habitats'!$V$3:$W$7,2,FALSE),"")</f>
        <v/>
      </c>
      <c r="K91" s="71"/>
      <c r="L91" s="499" t="str">
        <f>IFERROR(INDEX('G-8 Condition Look up'!$A$3:$H$130,MATCH(G91,'G-8 Condition Look up'!$A$3:$A$130,0),MATCH(K91,'G-8 Condition Look up'!$A$3:$H$3,0)),"")</f>
        <v/>
      </c>
      <c r="M91" s="71"/>
      <c r="N91" s="520" t="str">
        <f>IF(M91="","",IF(VLOOKUP(M91,'G-3 Multipliers'!$L$3:$N$6,2,FALSE)=0,"Spatial Data Missing",VLOOKUP(M91,'G-3 Multipliers'!$L$3:$N$6,2,FALSE)))</f>
        <v/>
      </c>
      <c r="O91" s="505" t="str">
        <f>IF(M91="","",IF(VLOOKUP(M91,'G-3 Multipliers'!$L$3:$N$6,3,FALSE)=0,"Spatial Data Missing ▲",VLOOKUP(M91,'G-3 Multipliers'!$L$3:$N$6,3,FALSE)))</f>
        <v/>
      </c>
      <c r="P91" s="506" t="str">
        <f>IFERROR(VLOOKUP(G91,'G-1 All Habitats'!$B$2:$M$129,12,FALSE),"")</f>
        <v/>
      </c>
      <c r="Q91" s="513" t="str">
        <f>IFERROR(IF(P91="","",IF(AND(P91='G-1 All Habitats'!$X$3,T91&gt;0),U91+V91,IF(AND(P91='G-1 All Habitats'!$X$3,S91&gt;0),U91+V91,IF(AND(P91='G-1 All Habitats'!$X$3,AC91&gt;0),"Any Loss Unacceptable ▲",IF(AND(P91='G-1 All Habitats'!$X$3,W91&gt;0),"Any Loss Unacceptable ▲",H91*J91*L91*O91))))),"Check Data ▲")</f>
        <v/>
      </c>
      <c r="R91" s="50"/>
      <c r="S91" s="71"/>
      <c r="T91" s="72"/>
      <c r="U91" s="511" t="str">
        <f t="shared" si="8"/>
        <v/>
      </c>
      <c r="V91" s="511" t="str">
        <f t="shared" si="9"/>
        <v/>
      </c>
      <c r="W91" s="511" t="str">
        <f>IF(E91="","",IF(H91&lt;S91+T91,"Error in Areas ▲",IF(P91&lt;&gt;'G-1 All Habitats'!$X$3,H91-S91-T91,IF(AND(P91='G-1 All Habitats'!$X$3,Y91="Yes"),"Unacceptable Loss",IF(AND(P91='G-1 All Habitats'!$X$3,Y91="No"),AC91,IF(AND(P91='G-1 All Habitats'!$X$3,Y91=""),AC91,IF(AND(P91='G-1 All Habitats'!$X$3,AC91="None",AC91),IF(AND(P91='G-1 All Habitats'!$X$3,AC91&gt;0),H91-S91-T91))))))))</f>
        <v/>
      </c>
      <c r="X91" s="515" t="str">
        <f>IFERROR(IF(H91="","",IF(H91-S91-T91=0&lt;0,"Error in Areas ▲",IF(S91+T91&gt;H91,"Error in Areas ▲",IF(AND(P91='G-1 All Habitats'!$X$3,Y91="Yes"),"Alternative Compensation ✓",IF(W91=0,0,IF(P91='G-1 All Habitats'!$X$3,"Unacceptable Loss ▲",Q91-U91-V91)))))),"Check Data ▲")</f>
        <v/>
      </c>
      <c r="Y91" s="72"/>
      <c r="Z91" s="80"/>
      <c r="AA91" s="81"/>
      <c r="AC91" s="75" t="str">
        <f>IF(P91="","",IF(P91='G-1 All Habitats'!$X$3,H91-S91-T91,"None"))</f>
        <v/>
      </c>
      <c r="AD91" s="76" t="str">
        <f>IFERROR(AC91*J91*L91*#REF!*O91,IF(P91="","","None"))</f>
        <v/>
      </c>
      <c r="AF91" s="54" t="str">
        <f t="shared" si="5"/>
        <v/>
      </c>
      <c r="AG91" s="54" t="str">
        <f t="shared" si="6"/>
        <v/>
      </c>
      <c r="AH91" s="54" t="str">
        <f>IF(I91="","",IF(#REF!&gt;0,TRUE,FALSE))</f>
        <v/>
      </c>
      <c r="AI91" s="54">
        <v>81</v>
      </c>
      <c r="AJ91" s="54"/>
      <c r="AK91" s="54" t="str">
        <f t="array" ref="AK91">IFERROR(INDEX($AI$11:$AI$259, MATCH(0, IF(TRUE=$AF$11:$AF$259, COUNTIF($AK$10:$AK90, $AI$11:$AI$259), ""), 0)),"")</f>
        <v/>
      </c>
      <c r="AL91" s="54" t="str">
        <f t="array" ref="AL91">IFERROR(INDEX($AI$11:$AI$259, MATCH(0, IF(TRUE=$AG$11:$AG$259, COUNTIF($AL$10:$AL90, $AI$11:$AI$259), ""), 0)),"")</f>
        <v/>
      </c>
      <c r="AM91" s="54" t="str">
        <f t="array" ref="AM91">IFERROR(INDEX($AI$11:$AI$259, MATCH(0, IF(TRUE=$AH$11:$AH$259, COUNTIF($AM$10:$AM90, $AI$11:$AI$259), ""), 0)),"")</f>
        <v/>
      </c>
      <c r="AN91" s="54"/>
      <c r="AQ91" s="47">
        <f t="shared" si="7"/>
        <v>0</v>
      </c>
    </row>
    <row r="92" spans="1:43" x14ac:dyDescent="0.25">
      <c r="A92" s="47" t="str">
        <f>IFERROR(INDEX('G-1 All Habitats'!$AG$3:$AG$15,MATCH(E92,'G-1 All Habitats'!$AF$3:$AF$15,0)),"")</f>
        <v/>
      </c>
      <c r="B92" s="47" t="str">
        <f>IFERROR(INDEX('G-8 Condition Look up'!$I$4:$I$130,MATCH(G92,'G-8 Condition Look up'!$A$4:$A$130,0)),"")</f>
        <v/>
      </c>
      <c r="D92" s="77">
        <v>82</v>
      </c>
      <c r="E92" s="78"/>
      <c r="F92" s="79"/>
      <c r="G92" s="69" t="str">
        <f>IFERROR(INDEX('G-1 All Habitats'!$B$3:$B$129,MATCH(F92,'G-1 All Habitats'!$A$3:$A$129,0)),"")</f>
        <v/>
      </c>
      <c r="H92" s="70"/>
      <c r="I92" s="498" t="str">
        <f>IF(G92="","",VLOOKUP(G92,'G-1 All Habitats'!$B$2:$M$129,10,FALSE))</f>
        <v/>
      </c>
      <c r="J92" s="499" t="str">
        <f>IFERROR(VLOOKUP(I92,'G-1 All Habitats'!$V$3:$W$7,2,FALSE),"")</f>
        <v/>
      </c>
      <c r="K92" s="71"/>
      <c r="L92" s="499" t="str">
        <f>IFERROR(INDEX('G-8 Condition Look up'!$A$3:$H$130,MATCH(G92,'G-8 Condition Look up'!$A$3:$A$130,0),MATCH(K92,'G-8 Condition Look up'!$A$3:$H$3,0)),"")</f>
        <v/>
      </c>
      <c r="M92" s="71"/>
      <c r="N92" s="520" t="str">
        <f>IF(M92="","",IF(VLOOKUP(M92,'G-3 Multipliers'!$L$3:$N$6,2,FALSE)=0,"Spatial Data Missing",VLOOKUP(M92,'G-3 Multipliers'!$L$3:$N$6,2,FALSE)))</f>
        <v/>
      </c>
      <c r="O92" s="505" t="str">
        <f>IF(M92="","",IF(VLOOKUP(M92,'G-3 Multipliers'!$L$3:$N$6,3,FALSE)=0,"Spatial Data Missing ▲",VLOOKUP(M92,'G-3 Multipliers'!$L$3:$N$6,3,FALSE)))</f>
        <v/>
      </c>
      <c r="P92" s="506" t="str">
        <f>IFERROR(VLOOKUP(G92,'G-1 All Habitats'!$B$2:$M$129,12,FALSE),"")</f>
        <v/>
      </c>
      <c r="Q92" s="513" t="str">
        <f>IFERROR(IF(P92="","",IF(AND(P92='G-1 All Habitats'!$X$3,T92&gt;0),U92+V92,IF(AND(P92='G-1 All Habitats'!$X$3,S92&gt;0),U92+V92,IF(AND(P92='G-1 All Habitats'!$X$3,AC92&gt;0),"Any Loss Unacceptable ▲",IF(AND(P92='G-1 All Habitats'!$X$3,W92&gt;0),"Any Loss Unacceptable ▲",H92*J92*L92*O92))))),"Check Data ▲")</f>
        <v/>
      </c>
      <c r="R92" s="50"/>
      <c r="S92" s="71"/>
      <c r="T92" s="72"/>
      <c r="U92" s="511" t="str">
        <f t="shared" si="8"/>
        <v/>
      </c>
      <c r="V92" s="511" t="str">
        <f t="shared" si="9"/>
        <v/>
      </c>
      <c r="W92" s="511" t="str">
        <f>IF(E92="","",IF(H92&lt;S92+T92,"Error in Areas ▲",IF(P92&lt;&gt;'G-1 All Habitats'!$X$3,H92-S92-T92,IF(AND(P92='G-1 All Habitats'!$X$3,Y92="Yes"),"Unacceptable Loss",IF(AND(P92='G-1 All Habitats'!$X$3,Y92="No"),AC92,IF(AND(P92='G-1 All Habitats'!$X$3,Y92=""),AC92,IF(AND(P92='G-1 All Habitats'!$X$3,AC92="None",AC92),IF(AND(P92='G-1 All Habitats'!$X$3,AC92&gt;0),H92-S92-T92))))))))</f>
        <v/>
      </c>
      <c r="X92" s="515" t="str">
        <f>IFERROR(IF(H92="","",IF(H92-S92-T92=0&lt;0,"Error in Areas ▲",IF(S92+T92&gt;H92,"Error in Areas ▲",IF(AND(P92='G-1 All Habitats'!$X$3,Y92="Yes"),"Alternative Compensation ✓",IF(W92=0,0,IF(P92='G-1 All Habitats'!$X$3,"Unacceptable Loss ▲",Q92-U92-V92)))))),"Check Data ▲")</f>
        <v/>
      </c>
      <c r="Y92" s="72"/>
      <c r="Z92" s="80"/>
      <c r="AA92" s="81"/>
      <c r="AC92" s="75" t="str">
        <f>IF(P92="","",IF(P92='G-1 All Habitats'!$X$3,H92-S92-T92,"None"))</f>
        <v/>
      </c>
      <c r="AD92" s="76" t="str">
        <f>IFERROR(AC92*J92*L92*#REF!*O92,IF(P92="","","None"))</f>
        <v/>
      </c>
      <c r="AF92" s="54" t="str">
        <f t="shared" si="5"/>
        <v/>
      </c>
      <c r="AG92" s="54" t="str">
        <f t="shared" si="6"/>
        <v/>
      </c>
      <c r="AH92" s="54" t="str">
        <f>IF(I92="","",IF(#REF!&gt;0,TRUE,FALSE))</f>
        <v/>
      </c>
      <c r="AI92" s="54">
        <v>82</v>
      </c>
      <c r="AJ92" s="54"/>
      <c r="AK92" s="54" t="str">
        <f t="array" ref="AK92">IFERROR(INDEX($AI$11:$AI$259, MATCH(0, IF(TRUE=$AF$11:$AF$259, COUNTIF($AK$10:$AK91, $AI$11:$AI$259), ""), 0)),"")</f>
        <v/>
      </c>
      <c r="AL92" s="54" t="str">
        <f t="array" ref="AL92">IFERROR(INDEX($AI$11:$AI$259, MATCH(0, IF(TRUE=$AG$11:$AG$259, COUNTIF($AL$10:$AL91, $AI$11:$AI$259), ""), 0)),"")</f>
        <v/>
      </c>
      <c r="AM92" s="54" t="str">
        <f t="array" ref="AM92">IFERROR(INDEX($AI$11:$AI$259, MATCH(0, IF(TRUE=$AH$11:$AH$259, COUNTIF($AM$10:$AM91, $AI$11:$AI$259), ""), 0)),"")</f>
        <v/>
      </c>
      <c r="AN92" s="54"/>
      <c r="AQ92" s="47">
        <f t="shared" si="7"/>
        <v>0</v>
      </c>
    </row>
    <row r="93" spans="1:43" x14ac:dyDescent="0.25">
      <c r="A93" s="47" t="str">
        <f>IFERROR(INDEX('G-1 All Habitats'!$AG$3:$AG$15,MATCH(E93,'G-1 All Habitats'!$AF$3:$AF$15,0)),"")</f>
        <v/>
      </c>
      <c r="B93" s="47" t="str">
        <f>IFERROR(INDEX('G-8 Condition Look up'!$I$4:$I$130,MATCH(G93,'G-8 Condition Look up'!$A$4:$A$130,0)),"")</f>
        <v/>
      </c>
      <c r="D93" s="77">
        <v>83</v>
      </c>
      <c r="E93" s="78"/>
      <c r="F93" s="79"/>
      <c r="G93" s="69" t="str">
        <f>IFERROR(INDEX('G-1 All Habitats'!$B$3:$B$129,MATCH(F93,'G-1 All Habitats'!$A$3:$A$129,0)),"")</f>
        <v/>
      </c>
      <c r="H93" s="70"/>
      <c r="I93" s="498" t="str">
        <f>IF(G93="","",VLOOKUP(G93,'G-1 All Habitats'!$B$2:$M$129,10,FALSE))</f>
        <v/>
      </c>
      <c r="J93" s="499" t="str">
        <f>IFERROR(VLOOKUP(I93,'G-1 All Habitats'!$V$3:$W$7,2,FALSE),"")</f>
        <v/>
      </c>
      <c r="K93" s="71"/>
      <c r="L93" s="499" t="str">
        <f>IFERROR(INDEX('G-8 Condition Look up'!$A$3:$H$130,MATCH(G93,'G-8 Condition Look up'!$A$3:$A$130,0),MATCH(K93,'G-8 Condition Look up'!$A$3:$H$3,0)),"")</f>
        <v/>
      </c>
      <c r="M93" s="71"/>
      <c r="N93" s="520" t="str">
        <f>IF(M93="","",IF(VLOOKUP(M93,'G-3 Multipliers'!$L$3:$N$6,2,FALSE)=0,"Spatial Data Missing",VLOOKUP(M93,'G-3 Multipliers'!$L$3:$N$6,2,FALSE)))</f>
        <v/>
      </c>
      <c r="O93" s="505" t="str">
        <f>IF(M93="","",IF(VLOOKUP(M93,'G-3 Multipliers'!$L$3:$N$6,3,FALSE)=0,"Spatial Data Missing ▲",VLOOKUP(M93,'G-3 Multipliers'!$L$3:$N$6,3,FALSE)))</f>
        <v/>
      </c>
      <c r="P93" s="506" t="str">
        <f>IFERROR(VLOOKUP(G93,'G-1 All Habitats'!$B$2:$M$129,12,FALSE),"")</f>
        <v/>
      </c>
      <c r="Q93" s="513" t="str">
        <f>IFERROR(IF(P93="","",IF(AND(P93='G-1 All Habitats'!$X$3,T93&gt;0),U93+V93,IF(AND(P93='G-1 All Habitats'!$X$3,S93&gt;0),U93+V93,IF(AND(P93='G-1 All Habitats'!$X$3,AC93&gt;0),"Any Loss Unacceptable ▲",IF(AND(P93='G-1 All Habitats'!$X$3,W93&gt;0),"Any Loss Unacceptable ▲",H93*J93*L93*O93))))),"Check Data ▲")</f>
        <v/>
      </c>
      <c r="R93" s="50"/>
      <c r="S93" s="71"/>
      <c r="T93" s="72"/>
      <c r="U93" s="511" t="str">
        <f t="shared" si="8"/>
        <v/>
      </c>
      <c r="V93" s="511" t="str">
        <f t="shared" si="9"/>
        <v/>
      </c>
      <c r="W93" s="511" t="str">
        <f>IF(E93="","",IF(H93&lt;S93+T93,"Error in Areas ▲",IF(P93&lt;&gt;'G-1 All Habitats'!$X$3,H93-S93-T93,IF(AND(P93='G-1 All Habitats'!$X$3,Y93="Yes"),"Unacceptable Loss",IF(AND(P93='G-1 All Habitats'!$X$3,Y93="No"),AC93,IF(AND(P93='G-1 All Habitats'!$X$3,Y93=""),AC93,IF(AND(P93='G-1 All Habitats'!$X$3,AC93="None",AC93),IF(AND(P93='G-1 All Habitats'!$X$3,AC93&gt;0),H93-S93-T93))))))))</f>
        <v/>
      </c>
      <c r="X93" s="515" t="str">
        <f>IFERROR(IF(H93="","",IF(H93-S93-T93=0&lt;0,"Error in Areas ▲",IF(S93+T93&gt;H93,"Error in Areas ▲",IF(AND(P93='G-1 All Habitats'!$X$3,Y93="Yes"),"Alternative Compensation ✓",IF(W93=0,0,IF(P93='G-1 All Habitats'!$X$3,"Unacceptable Loss ▲",Q93-U93-V93)))))),"Check Data ▲")</f>
        <v/>
      </c>
      <c r="Y93" s="72"/>
      <c r="Z93" s="80"/>
      <c r="AA93" s="81"/>
      <c r="AC93" s="75" t="str">
        <f>IF(P93="","",IF(P93='G-1 All Habitats'!$X$3,H93-S93-T93,"None"))</f>
        <v/>
      </c>
      <c r="AD93" s="76" t="str">
        <f>IFERROR(AC93*J93*L93*#REF!*O93,IF(P93="","","None"))</f>
        <v/>
      </c>
      <c r="AF93" s="54" t="str">
        <f t="shared" si="5"/>
        <v/>
      </c>
      <c r="AG93" s="54" t="str">
        <f t="shared" si="6"/>
        <v/>
      </c>
      <c r="AH93" s="54" t="str">
        <f>IF(I93="","",IF(#REF!&gt;0,TRUE,FALSE))</f>
        <v/>
      </c>
      <c r="AI93" s="54">
        <v>83</v>
      </c>
      <c r="AJ93" s="54"/>
      <c r="AK93" s="54" t="str">
        <f t="array" ref="AK93">IFERROR(INDEX($AI$11:$AI$259, MATCH(0, IF(TRUE=$AF$11:$AF$259, COUNTIF($AK$10:$AK92, $AI$11:$AI$259), ""), 0)),"")</f>
        <v/>
      </c>
      <c r="AL93" s="54" t="str">
        <f t="array" ref="AL93">IFERROR(INDEX($AI$11:$AI$259, MATCH(0, IF(TRUE=$AG$11:$AG$259, COUNTIF($AL$10:$AL92, $AI$11:$AI$259), ""), 0)),"")</f>
        <v/>
      </c>
      <c r="AM93" s="54" t="str">
        <f t="array" ref="AM93">IFERROR(INDEX($AI$11:$AI$259, MATCH(0, IF(TRUE=$AH$11:$AH$259, COUNTIF($AM$10:$AM92, $AI$11:$AI$259), ""), 0)),"")</f>
        <v/>
      </c>
      <c r="AN93" s="54"/>
      <c r="AQ93" s="47">
        <f t="shared" si="7"/>
        <v>0</v>
      </c>
    </row>
    <row r="94" spans="1:43" x14ac:dyDescent="0.25">
      <c r="A94" s="47" t="str">
        <f>IFERROR(INDEX('G-1 All Habitats'!$AG$3:$AG$15,MATCH(E94,'G-1 All Habitats'!$AF$3:$AF$15,0)),"")</f>
        <v/>
      </c>
      <c r="B94" s="47" t="str">
        <f>IFERROR(INDEX('G-8 Condition Look up'!$I$4:$I$130,MATCH(G94,'G-8 Condition Look up'!$A$4:$A$130,0)),"")</f>
        <v/>
      </c>
      <c r="D94" s="77">
        <v>84</v>
      </c>
      <c r="E94" s="78"/>
      <c r="F94" s="79"/>
      <c r="G94" s="69" t="str">
        <f>IFERROR(INDEX('G-1 All Habitats'!$B$3:$B$129,MATCH(F94,'G-1 All Habitats'!$A$3:$A$129,0)),"")</f>
        <v/>
      </c>
      <c r="H94" s="70"/>
      <c r="I94" s="498" t="str">
        <f>IF(G94="","",VLOOKUP(G94,'G-1 All Habitats'!$B$2:$M$129,10,FALSE))</f>
        <v/>
      </c>
      <c r="J94" s="499" t="str">
        <f>IFERROR(VLOOKUP(I94,'G-1 All Habitats'!$V$3:$W$7,2,FALSE),"")</f>
        <v/>
      </c>
      <c r="K94" s="71"/>
      <c r="L94" s="499" t="str">
        <f>IFERROR(INDEX('G-8 Condition Look up'!$A$3:$H$130,MATCH(G94,'G-8 Condition Look up'!$A$3:$A$130,0),MATCH(K94,'G-8 Condition Look up'!$A$3:$H$3,0)),"")</f>
        <v/>
      </c>
      <c r="M94" s="71"/>
      <c r="N94" s="520" t="str">
        <f>IF(M94="","",IF(VLOOKUP(M94,'G-3 Multipliers'!$L$3:$N$6,2,FALSE)=0,"Spatial Data Missing",VLOOKUP(M94,'G-3 Multipliers'!$L$3:$N$6,2,FALSE)))</f>
        <v/>
      </c>
      <c r="O94" s="505" t="str">
        <f>IF(M94="","",IF(VLOOKUP(M94,'G-3 Multipliers'!$L$3:$N$6,3,FALSE)=0,"Spatial Data Missing ▲",VLOOKUP(M94,'G-3 Multipliers'!$L$3:$N$6,3,FALSE)))</f>
        <v/>
      </c>
      <c r="P94" s="506" t="str">
        <f>IFERROR(VLOOKUP(G94,'G-1 All Habitats'!$B$2:$M$129,12,FALSE),"")</f>
        <v/>
      </c>
      <c r="Q94" s="513" t="str">
        <f>IFERROR(IF(P94="","",IF(AND(P94='G-1 All Habitats'!$X$3,T94&gt;0),U94+V94,IF(AND(P94='G-1 All Habitats'!$X$3,S94&gt;0),U94+V94,IF(AND(P94='G-1 All Habitats'!$X$3,AC94&gt;0),"Any Loss Unacceptable ▲",IF(AND(P94='G-1 All Habitats'!$X$3,W94&gt;0),"Any Loss Unacceptable ▲",H94*J94*L94*O94))))),"Check Data ▲")</f>
        <v/>
      </c>
      <c r="R94" s="50"/>
      <c r="S94" s="71"/>
      <c r="T94" s="72"/>
      <c r="U94" s="511" t="str">
        <f t="shared" si="8"/>
        <v/>
      </c>
      <c r="V94" s="511" t="str">
        <f t="shared" si="9"/>
        <v/>
      </c>
      <c r="W94" s="511" t="str">
        <f>IF(E94="","",IF(H94&lt;S94+T94,"Error in Areas ▲",IF(P94&lt;&gt;'G-1 All Habitats'!$X$3,H94-S94-T94,IF(AND(P94='G-1 All Habitats'!$X$3,Y94="Yes"),"Unacceptable Loss",IF(AND(P94='G-1 All Habitats'!$X$3,Y94="No"),AC94,IF(AND(P94='G-1 All Habitats'!$X$3,Y94=""),AC94,IF(AND(P94='G-1 All Habitats'!$X$3,AC94="None",AC94),IF(AND(P94='G-1 All Habitats'!$X$3,AC94&gt;0),H94-S94-T94))))))))</f>
        <v/>
      </c>
      <c r="X94" s="515" t="str">
        <f>IFERROR(IF(H94="","",IF(H94-S94-T94=0&lt;0,"Error in Areas ▲",IF(S94+T94&gt;H94,"Error in Areas ▲",IF(AND(P94='G-1 All Habitats'!$X$3,Y94="Yes"),"Alternative Compensation ✓",IF(W94=0,0,IF(P94='G-1 All Habitats'!$X$3,"Unacceptable Loss ▲",Q94-U94-V94)))))),"Check Data ▲")</f>
        <v/>
      </c>
      <c r="Y94" s="72"/>
      <c r="Z94" s="80"/>
      <c r="AA94" s="81"/>
      <c r="AC94" s="75" t="str">
        <f>IF(P94="","",IF(P94='G-1 All Habitats'!$X$3,H94-S94-T94,"None"))</f>
        <v/>
      </c>
      <c r="AD94" s="76" t="str">
        <f>IFERROR(AC94*J94*L94*#REF!*O94,IF(P94="","","None"))</f>
        <v/>
      </c>
      <c r="AF94" s="54" t="str">
        <f t="shared" si="5"/>
        <v/>
      </c>
      <c r="AG94" s="54" t="str">
        <f t="shared" si="6"/>
        <v/>
      </c>
      <c r="AH94" s="54" t="str">
        <f>IF(I94="","",IF(#REF!&gt;0,TRUE,FALSE))</f>
        <v/>
      </c>
      <c r="AI94" s="54">
        <v>84</v>
      </c>
      <c r="AJ94" s="54"/>
      <c r="AK94" s="54" t="str">
        <f t="array" ref="AK94">IFERROR(INDEX($AI$11:$AI$259, MATCH(0, IF(TRUE=$AF$11:$AF$259, COUNTIF($AK$10:$AK93, $AI$11:$AI$259), ""), 0)),"")</f>
        <v/>
      </c>
      <c r="AL94" s="54" t="str">
        <f t="array" ref="AL94">IFERROR(INDEX($AI$11:$AI$259, MATCH(0, IF(TRUE=$AG$11:$AG$259, COUNTIF($AL$10:$AL93, $AI$11:$AI$259), ""), 0)),"")</f>
        <v/>
      </c>
      <c r="AM94" s="54" t="str">
        <f t="array" ref="AM94">IFERROR(INDEX($AI$11:$AI$259, MATCH(0, IF(TRUE=$AH$11:$AH$259, COUNTIF($AM$10:$AM93, $AI$11:$AI$259), ""), 0)),"")</f>
        <v/>
      </c>
      <c r="AN94" s="54"/>
      <c r="AQ94" s="47">
        <f t="shared" si="7"/>
        <v>0</v>
      </c>
    </row>
    <row r="95" spans="1:43" x14ac:dyDescent="0.25">
      <c r="A95" s="47" t="str">
        <f>IFERROR(INDEX('G-1 All Habitats'!$AG$3:$AG$15,MATCH(E95,'G-1 All Habitats'!$AF$3:$AF$15,0)),"")</f>
        <v/>
      </c>
      <c r="B95" s="47" t="str">
        <f>IFERROR(INDEX('G-8 Condition Look up'!$I$4:$I$130,MATCH(G95,'G-8 Condition Look up'!$A$4:$A$130,0)),"")</f>
        <v/>
      </c>
      <c r="D95" s="77">
        <v>85</v>
      </c>
      <c r="E95" s="78"/>
      <c r="F95" s="79"/>
      <c r="G95" s="69" t="str">
        <f>IFERROR(INDEX('G-1 All Habitats'!$B$3:$B$129,MATCH(F95,'G-1 All Habitats'!$A$3:$A$129,0)),"")</f>
        <v/>
      </c>
      <c r="H95" s="70"/>
      <c r="I95" s="498" t="str">
        <f>IF(G95="","",VLOOKUP(G95,'G-1 All Habitats'!$B$2:$M$129,10,FALSE))</f>
        <v/>
      </c>
      <c r="J95" s="499" t="str">
        <f>IFERROR(VLOOKUP(I95,'G-1 All Habitats'!$V$3:$W$7,2,FALSE),"")</f>
        <v/>
      </c>
      <c r="K95" s="71"/>
      <c r="L95" s="499" t="str">
        <f>IFERROR(INDEX('G-8 Condition Look up'!$A$3:$H$130,MATCH(G95,'G-8 Condition Look up'!$A$3:$A$130,0),MATCH(K95,'G-8 Condition Look up'!$A$3:$H$3,0)),"")</f>
        <v/>
      </c>
      <c r="M95" s="71"/>
      <c r="N95" s="520" t="str">
        <f>IF(M95="","",IF(VLOOKUP(M95,'G-3 Multipliers'!$L$3:$N$6,2,FALSE)=0,"Spatial Data Missing",VLOOKUP(M95,'G-3 Multipliers'!$L$3:$N$6,2,FALSE)))</f>
        <v/>
      </c>
      <c r="O95" s="505" t="str">
        <f>IF(M95="","",IF(VLOOKUP(M95,'G-3 Multipliers'!$L$3:$N$6,3,FALSE)=0,"Spatial Data Missing ▲",VLOOKUP(M95,'G-3 Multipliers'!$L$3:$N$6,3,FALSE)))</f>
        <v/>
      </c>
      <c r="P95" s="506" t="str">
        <f>IFERROR(VLOOKUP(G95,'G-1 All Habitats'!$B$2:$M$129,12,FALSE),"")</f>
        <v/>
      </c>
      <c r="Q95" s="513" t="str">
        <f>IFERROR(IF(P95="","",IF(AND(P95='G-1 All Habitats'!$X$3,T95&gt;0),U95+V95,IF(AND(P95='G-1 All Habitats'!$X$3,S95&gt;0),U95+V95,IF(AND(P95='G-1 All Habitats'!$X$3,AC95&gt;0),"Any Loss Unacceptable ▲",IF(AND(P95='G-1 All Habitats'!$X$3,W95&gt;0),"Any Loss Unacceptable ▲",H95*J95*L95*O95))))),"Check Data ▲")</f>
        <v/>
      </c>
      <c r="R95" s="50"/>
      <c r="S95" s="71"/>
      <c r="T95" s="72"/>
      <c r="U95" s="511" t="str">
        <f t="shared" si="8"/>
        <v/>
      </c>
      <c r="V95" s="511" t="str">
        <f t="shared" si="9"/>
        <v/>
      </c>
      <c r="W95" s="511" t="str">
        <f>IF(E95="","",IF(H95&lt;S95+T95,"Error in Areas ▲",IF(P95&lt;&gt;'G-1 All Habitats'!$X$3,H95-S95-T95,IF(AND(P95='G-1 All Habitats'!$X$3,Y95="Yes"),"Unacceptable Loss",IF(AND(P95='G-1 All Habitats'!$X$3,Y95="No"),AC95,IF(AND(P95='G-1 All Habitats'!$X$3,Y95=""),AC95,IF(AND(P95='G-1 All Habitats'!$X$3,AC95="None",AC95),IF(AND(P95='G-1 All Habitats'!$X$3,AC95&gt;0),H95-S95-T95))))))))</f>
        <v/>
      </c>
      <c r="X95" s="515" t="str">
        <f>IFERROR(IF(H95="","",IF(H95-S95-T95=0&lt;0,"Error in Areas ▲",IF(S95+T95&gt;H95,"Error in Areas ▲",IF(AND(P95='G-1 All Habitats'!$X$3,Y95="Yes"),"Alternative Compensation ✓",IF(W95=0,0,IF(P95='G-1 All Habitats'!$X$3,"Unacceptable Loss ▲",Q95-U95-V95)))))),"Check Data ▲")</f>
        <v/>
      </c>
      <c r="Y95" s="72"/>
      <c r="Z95" s="80"/>
      <c r="AA95" s="81"/>
      <c r="AC95" s="75" t="str">
        <f>IF(P95="","",IF(P95='G-1 All Habitats'!$X$3,H95-S95-T95,"None"))</f>
        <v/>
      </c>
      <c r="AD95" s="76" t="str">
        <f>IFERROR(AC95*J95*L95*#REF!*O95,IF(P95="","","None"))</f>
        <v/>
      </c>
      <c r="AF95" s="54" t="str">
        <f t="shared" si="5"/>
        <v/>
      </c>
      <c r="AG95" s="54" t="str">
        <f t="shared" si="6"/>
        <v/>
      </c>
      <c r="AH95" s="54" t="str">
        <f>IF(I95="","",IF(#REF!&gt;0,TRUE,FALSE))</f>
        <v/>
      </c>
      <c r="AI95" s="54">
        <v>85</v>
      </c>
      <c r="AJ95" s="54"/>
      <c r="AK95" s="54" t="str">
        <f t="array" ref="AK95">IFERROR(INDEX($AI$11:$AI$259, MATCH(0, IF(TRUE=$AF$11:$AF$259, COUNTIF($AK$10:$AK94, $AI$11:$AI$259), ""), 0)),"")</f>
        <v/>
      </c>
      <c r="AL95" s="54" t="str">
        <f t="array" ref="AL95">IFERROR(INDEX($AI$11:$AI$259, MATCH(0, IF(TRUE=$AG$11:$AG$259, COUNTIF($AL$10:$AL94, $AI$11:$AI$259), ""), 0)),"")</f>
        <v/>
      </c>
      <c r="AM95" s="54" t="str">
        <f t="array" ref="AM95">IFERROR(INDEX($AI$11:$AI$259, MATCH(0, IF(TRUE=$AH$11:$AH$259, COUNTIF($AM$10:$AM94, $AI$11:$AI$259), ""), 0)),"")</f>
        <v/>
      </c>
      <c r="AN95" s="54"/>
      <c r="AQ95" s="47">
        <f t="shared" si="7"/>
        <v>0</v>
      </c>
    </row>
    <row r="96" spans="1:43" x14ac:dyDescent="0.25">
      <c r="A96" s="47" t="str">
        <f>IFERROR(INDEX('G-1 All Habitats'!$AG$3:$AG$15,MATCH(E96,'G-1 All Habitats'!$AF$3:$AF$15,0)),"")</f>
        <v/>
      </c>
      <c r="B96" s="47" t="str">
        <f>IFERROR(INDEX('G-8 Condition Look up'!$I$4:$I$130,MATCH(G96,'G-8 Condition Look up'!$A$4:$A$130,0)),"")</f>
        <v/>
      </c>
      <c r="D96" s="77">
        <v>86</v>
      </c>
      <c r="E96" s="78"/>
      <c r="F96" s="79"/>
      <c r="G96" s="69" t="str">
        <f>IFERROR(INDEX('G-1 All Habitats'!$B$3:$B$129,MATCH(F96,'G-1 All Habitats'!$A$3:$A$129,0)),"")</f>
        <v/>
      </c>
      <c r="H96" s="70"/>
      <c r="I96" s="498" t="str">
        <f>IF(G96="","",VLOOKUP(G96,'G-1 All Habitats'!$B$2:$M$129,10,FALSE))</f>
        <v/>
      </c>
      <c r="J96" s="499" t="str">
        <f>IFERROR(VLOOKUP(I96,'G-1 All Habitats'!$V$3:$W$7,2,FALSE),"")</f>
        <v/>
      </c>
      <c r="K96" s="71"/>
      <c r="L96" s="499" t="str">
        <f>IFERROR(INDEX('G-8 Condition Look up'!$A$3:$H$130,MATCH(G96,'G-8 Condition Look up'!$A$3:$A$130,0),MATCH(K96,'G-8 Condition Look up'!$A$3:$H$3,0)),"")</f>
        <v/>
      </c>
      <c r="M96" s="71"/>
      <c r="N96" s="520" t="str">
        <f>IF(M96="","",IF(VLOOKUP(M96,'G-3 Multipliers'!$L$3:$N$6,2,FALSE)=0,"Spatial Data Missing",VLOOKUP(M96,'G-3 Multipliers'!$L$3:$N$6,2,FALSE)))</f>
        <v/>
      </c>
      <c r="O96" s="505" t="str">
        <f>IF(M96="","",IF(VLOOKUP(M96,'G-3 Multipliers'!$L$3:$N$6,3,FALSE)=0,"Spatial Data Missing ▲",VLOOKUP(M96,'G-3 Multipliers'!$L$3:$N$6,3,FALSE)))</f>
        <v/>
      </c>
      <c r="P96" s="506" t="str">
        <f>IFERROR(VLOOKUP(G96,'G-1 All Habitats'!$B$2:$M$129,12,FALSE),"")</f>
        <v/>
      </c>
      <c r="Q96" s="513" t="str">
        <f>IFERROR(IF(P96="","",IF(AND(P96='G-1 All Habitats'!$X$3,T96&gt;0),U96+V96,IF(AND(P96='G-1 All Habitats'!$X$3,S96&gt;0),U96+V96,IF(AND(P96='G-1 All Habitats'!$X$3,AC96&gt;0),"Any Loss Unacceptable ▲",IF(AND(P96='G-1 All Habitats'!$X$3,W96&gt;0),"Any Loss Unacceptable ▲",H96*J96*L96*O96))))),"Check Data ▲")</f>
        <v/>
      </c>
      <c r="R96" s="50"/>
      <c r="S96" s="71"/>
      <c r="T96" s="72"/>
      <c r="U96" s="511" t="str">
        <f t="shared" si="8"/>
        <v/>
      </c>
      <c r="V96" s="511" t="str">
        <f t="shared" si="9"/>
        <v/>
      </c>
      <c r="W96" s="511" t="str">
        <f>IF(E96="","",IF(H96&lt;S96+T96,"Error in Areas ▲",IF(P96&lt;&gt;'G-1 All Habitats'!$X$3,H96-S96-T96,IF(AND(P96='G-1 All Habitats'!$X$3,Y96="Yes"),"Unacceptable Loss",IF(AND(P96='G-1 All Habitats'!$X$3,Y96="No"),AC96,IF(AND(P96='G-1 All Habitats'!$X$3,Y96=""),AC96,IF(AND(P96='G-1 All Habitats'!$X$3,AC96="None",AC96),IF(AND(P96='G-1 All Habitats'!$X$3,AC96&gt;0),H96-S96-T96))))))))</f>
        <v/>
      </c>
      <c r="X96" s="515" t="str">
        <f>IFERROR(IF(H96="","",IF(H96-S96-T96=0&lt;0,"Error in Areas ▲",IF(S96+T96&gt;H96,"Error in Areas ▲",IF(AND(P96='G-1 All Habitats'!$X$3,Y96="Yes"),"Alternative Compensation ✓",IF(W96=0,0,IF(P96='G-1 All Habitats'!$X$3,"Unacceptable Loss ▲",Q96-U96-V96)))))),"Check Data ▲")</f>
        <v/>
      </c>
      <c r="Y96" s="72"/>
      <c r="Z96" s="80"/>
      <c r="AA96" s="81"/>
      <c r="AC96" s="75" t="str">
        <f>IF(P96="","",IF(P96='G-1 All Habitats'!$X$3,H96-S96-T96,"None"))</f>
        <v/>
      </c>
      <c r="AD96" s="76" t="str">
        <f>IFERROR(AC96*J96*L96*#REF!*O96,IF(P96="","","None"))</f>
        <v/>
      </c>
      <c r="AF96" s="54" t="str">
        <f t="shared" si="5"/>
        <v/>
      </c>
      <c r="AG96" s="54" t="str">
        <f t="shared" si="6"/>
        <v/>
      </c>
      <c r="AH96" s="54" t="str">
        <f>IF(I96="","",IF(#REF!&gt;0,TRUE,FALSE))</f>
        <v/>
      </c>
      <c r="AI96" s="54">
        <v>86</v>
      </c>
      <c r="AJ96" s="54"/>
      <c r="AK96" s="54" t="str">
        <f t="array" ref="AK96">IFERROR(INDEX($AI$11:$AI$259, MATCH(0, IF(TRUE=$AF$11:$AF$259, COUNTIF($AK$10:$AK95, $AI$11:$AI$259), ""), 0)),"")</f>
        <v/>
      </c>
      <c r="AL96" s="54" t="str">
        <f t="array" ref="AL96">IFERROR(INDEX($AI$11:$AI$259, MATCH(0, IF(TRUE=$AG$11:$AG$259, COUNTIF($AL$10:$AL95, $AI$11:$AI$259), ""), 0)),"")</f>
        <v/>
      </c>
      <c r="AM96" s="54" t="str">
        <f t="array" ref="AM96">IFERROR(INDEX($AI$11:$AI$259, MATCH(0, IF(TRUE=$AH$11:$AH$259, COUNTIF($AM$10:$AM95, $AI$11:$AI$259), ""), 0)),"")</f>
        <v/>
      </c>
      <c r="AN96" s="54"/>
      <c r="AQ96" s="47">
        <f t="shared" si="7"/>
        <v>0</v>
      </c>
    </row>
    <row r="97" spans="1:43" x14ac:dyDescent="0.25">
      <c r="A97" s="47" t="str">
        <f>IFERROR(INDEX('G-1 All Habitats'!$AG$3:$AG$15,MATCH(E97,'G-1 All Habitats'!$AF$3:$AF$15,0)),"")</f>
        <v/>
      </c>
      <c r="B97" s="47" t="str">
        <f>IFERROR(INDEX('G-8 Condition Look up'!$I$4:$I$130,MATCH(G97,'G-8 Condition Look up'!$A$4:$A$130,0)),"")</f>
        <v/>
      </c>
      <c r="D97" s="77">
        <v>87</v>
      </c>
      <c r="E97" s="78"/>
      <c r="F97" s="79"/>
      <c r="G97" s="69" t="str">
        <f>IFERROR(INDEX('G-1 All Habitats'!$B$3:$B$129,MATCH(F97,'G-1 All Habitats'!$A$3:$A$129,0)),"")</f>
        <v/>
      </c>
      <c r="H97" s="70"/>
      <c r="I97" s="498" t="str">
        <f>IF(G97="","",VLOOKUP(G97,'G-1 All Habitats'!$B$2:$M$129,10,FALSE))</f>
        <v/>
      </c>
      <c r="J97" s="499" t="str">
        <f>IFERROR(VLOOKUP(I97,'G-1 All Habitats'!$V$3:$W$7,2,FALSE),"")</f>
        <v/>
      </c>
      <c r="K97" s="71"/>
      <c r="L97" s="499" t="str">
        <f>IFERROR(INDEX('G-8 Condition Look up'!$A$3:$H$130,MATCH(G97,'G-8 Condition Look up'!$A$3:$A$130,0),MATCH(K97,'G-8 Condition Look up'!$A$3:$H$3,0)),"")</f>
        <v/>
      </c>
      <c r="M97" s="71"/>
      <c r="N97" s="520" t="str">
        <f>IF(M97="","",IF(VLOOKUP(M97,'G-3 Multipliers'!$L$3:$N$6,2,FALSE)=0,"Spatial Data Missing",VLOOKUP(M97,'G-3 Multipliers'!$L$3:$N$6,2,FALSE)))</f>
        <v/>
      </c>
      <c r="O97" s="505" t="str">
        <f>IF(M97="","",IF(VLOOKUP(M97,'G-3 Multipliers'!$L$3:$N$6,3,FALSE)=0,"Spatial Data Missing ▲",VLOOKUP(M97,'G-3 Multipliers'!$L$3:$N$6,3,FALSE)))</f>
        <v/>
      </c>
      <c r="P97" s="506" t="str">
        <f>IFERROR(VLOOKUP(G97,'G-1 All Habitats'!$B$2:$M$129,12,FALSE),"")</f>
        <v/>
      </c>
      <c r="Q97" s="513" t="str">
        <f>IFERROR(IF(P97="","",IF(AND(P97='G-1 All Habitats'!$X$3,T97&gt;0),U97+V97,IF(AND(P97='G-1 All Habitats'!$X$3,S97&gt;0),U97+V97,IF(AND(P97='G-1 All Habitats'!$X$3,AC97&gt;0),"Any Loss Unacceptable ▲",IF(AND(P97='G-1 All Habitats'!$X$3,W97&gt;0),"Any Loss Unacceptable ▲",H97*J97*L97*O97))))),"Check Data ▲")</f>
        <v/>
      </c>
      <c r="R97" s="50"/>
      <c r="S97" s="71"/>
      <c r="T97" s="72"/>
      <c r="U97" s="511" t="str">
        <f t="shared" si="8"/>
        <v/>
      </c>
      <c r="V97" s="511" t="str">
        <f t="shared" si="9"/>
        <v/>
      </c>
      <c r="W97" s="511" t="str">
        <f>IF(E97="","",IF(H97&lt;S97+T97,"Error in Areas ▲",IF(P97&lt;&gt;'G-1 All Habitats'!$X$3,H97-S97-T97,IF(AND(P97='G-1 All Habitats'!$X$3,Y97="Yes"),"Unacceptable Loss",IF(AND(P97='G-1 All Habitats'!$X$3,Y97="No"),AC97,IF(AND(P97='G-1 All Habitats'!$X$3,Y97=""),AC97,IF(AND(P97='G-1 All Habitats'!$X$3,AC97="None",AC97),IF(AND(P97='G-1 All Habitats'!$X$3,AC97&gt;0),H97-S97-T97))))))))</f>
        <v/>
      </c>
      <c r="X97" s="515" t="str">
        <f>IFERROR(IF(H97="","",IF(H97-S97-T97=0&lt;0,"Error in Areas ▲",IF(S97+T97&gt;H97,"Error in Areas ▲",IF(AND(P97='G-1 All Habitats'!$X$3,Y97="Yes"),"Alternative Compensation ✓",IF(W97=0,0,IF(P97='G-1 All Habitats'!$X$3,"Unacceptable Loss ▲",Q97-U97-V97)))))),"Check Data ▲")</f>
        <v/>
      </c>
      <c r="Y97" s="72"/>
      <c r="Z97" s="80"/>
      <c r="AA97" s="81"/>
      <c r="AC97" s="75" t="str">
        <f>IF(P97="","",IF(P97='G-1 All Habitats'!$X$3,H97-S97-T97,"None"))</f>
        <v/>
      </c>
      <c r="AD97" s="76" t="str">
        <f>IFERROR(AC97*J97*L97*#REF!*O97,IF(P97="","","None"))</f>
        <v/>
      </c>
      <c r="AF97" s="54" t="str">
        <f t="shared" si="5"/>
        <v/>
      </c>
      <c r="AG97" s="54" t="str">
        <f t="shared" si="6"/>
        <v/>
      </c>
      <c r="AH97" s="54" t="str">
        <f>IF(I97="","",IF(#REF!&gt;0,TRUE,FALSE))</f>
        <v/>
      </c>
      <c r="AI97" s="54">
        <v>87</v>
      </c>
      <c r="AJ97" s="54"/>
      <c r="AK97" s="54" t="str">
        <f t="array" ref="AK97">IFERROR(INDEX($AI$11:$AI$259, MATCH(0, IF(TRUE=$AF$11:$AF$259, COUNTIF($AK$10:$AK96, $AI$11:$AI$259), ""), 0)),"")</f>
        <v/>
      </c>
      <c r="AL97" s="54" t="str">
        <f t="array" ref="AL97">IFERROR(INDEX($AI$11:$AI$259, MATCH(0, IF(TRUE=$AG$11:$AG$259, COUNTIF($AL$10:$AL96, $AI$11:$AI$259), ""), 0)),"")</f>
        <v/>
      </c>
      <c r="AM97" s="54" t="str">
        <f t="array" ref="AM97">IFERROR(INDEX($AI$11:$AI$259, MATCH(0, IF(TRUE=$AH$11:$AH$259, COUNTIF($AM$10:$AM96, $AI$11:$AI$259), ""), 0)),"")</f>
        <v/>
      </c>
      <c r="AN97" s="54"/>
      <c r="AQ97" s="47">
        <f t="shared" si="7"/>
        <v>0</v>
      </c>
    </row>
    <row r="98" spans="1:43" x14ac:dyDescent="0.25">
      <c r="A98" s="47" t="str">
        <f>IFERROR(INDEX('G-1 All Habitats'!$AG$3:$AG$15,MATCH(E98,'G-1 All Habitats'!$AF$3:$AF$15,0)),"")</f>
        <v/>
      </c>
      <c r="B98" s="47" t="str">
        <f>IFERROR(INDEX('G-8 Condition Look up'!$I$4:$I$130,MATCH(G98,'G-8 Condition Look up'!$A$4:$A$130,0)),"")</f>
        <v/>
      </c>
      <c r="D98" s="77">
        <v>88</v>
      </c>
      <c r="E98" s="78"/>
      <c r="F98" s="79"/>
      <c r="G98" s="69" t="str">
        <f>IFERROR(INDEX('G-1 All Habitats'!$B$3:$B$129,MATCH(F98,'G-1 All Habitats'!$A$3:$A$129,0)),"")</f>
        <v/>
      </c>
      <c r="H98" s="70"/>
      <c r="I98" s="498" t="str">
        <f>IF(G98="","",VLOOKUP(G98,'G-1 All Habitats'!$B$2:$M$129,10,FALSE))</f>
        <v/>
      </c>
      <c r="J98" s="499" t="str">
        <f>IFERROR(VLOOKUP(I98,'G-1 All Habitats'!$V$3:$W$7,2,FALSE),"")</f>
        <v/>
      </c>
      <c r="K98" s="71"/>
      <c r="L98" s="499" t="str">
        <f>IFERROR(INDEX('G-8 Condition Look up'!$A$3:$H$130,MATCH(G98,'G-8 Condition Look up'!$A$3:$A$130,0),MATCH(K98,'G-8 Condition Look up'!$A$3:$H$3,0)),"")</f>
        <v/>
      </c>
      <c r="M98" s="71"/>
      <c r="N98" s="520" t="str">
        <f>IF(M98="","",IF(VLOOKUP(M98,'G-3 Multipliers'!$L$3:$N$6,2,FALSE)=0,"Spatial Data Missing",VLOOKUP(M98,'G-3 Multipliers'!$L$3:$N$6,2,FALSE)))</f>
        <v/>
      </c>
      <c r="O98" s="505" t="str">
        <f>IF(M98="","",IF(VLOOKUP(M98,'G-3 Multipliers'!$L$3:$N$6,3,FALSE)=0,"Spatial Data Missing ▲",VLOOKUP(M98,'G-3 Multipliers'!$L$3:$N$6,3,FALSE)))</f>
        <v/>
      </c>
      <c r="P98" s="506" t="str">
        <f>IFERROR(VLOOKUP(G98,'G-1 All Habitats'!$B$2:$M$129,12,FALSE),"")</f>
        <v/>
      </c>
      <c r="Q98" s="513" t="str">
        <f>IFERROR(IF(P98="","",IF(AND(P98='G-1 All Habitats'!$X$3,T98&gt;0),U98+V98,IF(AND(P98='G-1 All Habitats'!$X$3,S98&gt;0),U98+V98,IF(AND(P98='G-1 All Habitats'!$X$3,AC98&gt;0),"Any Loss Unacceptable ▲",IF(AND(P98='G-1 All Habitats'!$X$3,W98&gt;0),"Any Loss Unacceptable ▲",H98*J98*L98*O98))))),"Check Data ▲")</f>
        <v/>
      </c>
      <c r="R98" s="50"/>
      <c r="S98" s="71"/>
      <c r="T98" s="72"/>
      <c r="U98" s="511" t="str">
        <f t="shared" si="8"/>
        <v/>
      </c>
      <c r="V98" s="511" t="str">
        <f t="shared" si="9"/>
        <v/>
      </c>
      <c r="W98" s="511" t="str">
        <f>IF(E98="","",IF(H98&lt;S98+T98,"Error in Areas ▲",IF(P98&lt;&gt;'G-1 All Habitats'!$X$3,H98-S98-T98,IF(AND(P98='G-1 All Habitats'!$X$3,Y98="Yes"),"Unacceptable Loss",IF(AND(P98='G-1 All Habitats'!$X$3,Y98="No"),AC98,IF(AND(P98='G-1 All Habitats'!$X$3,Y98=""),AC98,IF(AND(P98='G-1 All Habitats'!$X$3,AC98="None",AC98),IF(AND(P98='G-1 All Habitats'!$X$3,AC98&gt;0),H98-S98-T98))))))))</f>
        <v/>
      </c>
      <c r="X98" s="515" t="str">
        <f>IFERROR(IF(H98="","",IF(H98-S98-T98=0&lt;0,"Error in Areas ▲",IF(S98+T98&gt;H98,"Error in Areas ▲",IF(AND(P98='G-1 All Habitats'!$X$3,Y98="Yes"),"Alternative Compensation ✓",IF(W98=0,0,IF(P98='G-1 All Habitats'!$X$3,"Unacceptable Loss ▲",Q98-U98-V98)))))),"Check Data ▲")</f>
        <v/>
      </c>
      <c r="Y98" s="72"/>
      <c r="Z98" s="80"/>
      <c r="AA98" s="81"/>
      <c r="AC98" s="75" t="str">
        <f>IF(P98="","",IF(P98='G-1 All Habitats'!$X$3,H98-S98-T98,"None"))</f>
        <v/>
      </c>
      <c r="AD98" s="76" t="str">
        <f>IFERROR(AC98*J98*L98*#REF!*O98,IF(P98="","","None"))</f>
        <v/>
      </c>
      <c r="AF98" s="54" t="str">
        <f t="shared" si="5"/>
        <v/>
      </c>
      <c r="AG98" s="54" t="str">
        <f t="shared" si="6"/>
        <v/>
      </c>
      <c r="AH98" s="54" t="str">
        <f>IF(I98="","",IF(#REF!&gt;0,TRUE,FALSE))</f>
        <v/>
      </c>
      <c r="AI98" s="54">
        <v>88</v>
      </c>
      <c r="AJ98" s="54"/>
      <c r="AK98" s="54" t="str">
        <f t="array" ref="AK98">IFERROR(INDEX($AI$11:$AI$259, MATCH(0, IF(TRUE=$AF$11:$AF$259, COUNTIF($AK$10:$AK97, $AI$11:$AI$259), ""), 0)),"")</f>
        <v/>
      </c>
      <c r="AL98" s="54" t="str">
        <f t="array" ref="AL98">IFERROR(INDEX($AI$11:$AI$259, MATCH(0, IF(TRUE=$AG$11:$AG$259, COUNTIF($AL$10:$AL97, $AI$11:$AI$259), ""), 0)),"")</f>
        <v/>
      </c>
      <c r="AM98" s="54" t="str">
        <f t="array" ref="AM98">IFERROR(INDEX($AI$11:$AI$259, MATCH(0, IF(TRUE=$AH$11:$AH$259, COUNTIF($AM$10:$AM97, $AI$11:$AI$259), ""), 0)),"")</f>
        <v/>
      </c>
      <c r="AN98" s="54"/>
      <c r="AQ98" s="47">
        <f t="shared" si="7"/>
        <v>0</v>
      </c>
    </row>
    <row r="99" spans="1:43" x14ac:dyDescent="0.25">
      <c r="A99" s="47" t="str">
        <f>IFERROR(INDEX('G-1 All Habitats'!$AG$3:$AG$15,MATCH(E99,'G-1 All Habitats'!$AF$3:$AF$15,0)),"")</f>
        <v/>
      </c>
      <c r="B99" s="47" t="str">
        <f>IFERROR(INDEX('G-8 Condition Look up'!$I$4:$I$130,MATCH(G99,'G-8 Condition Look up'!$A$4:$A$130,0)),"")</f>
        <v/>
      </c>
      <c r="D99" s="77">
        <v>89</v>
      </c>
      <c r="E99" s="78"/>
      <c r="F99" s="79"/>
      <c r="G99" s="69" t="str">
        <f>IFERROR(INDEX('G-1 All Habitats'!$B$3:$B$129,MATCH(F99,'G-1 All Habitats'!$A$3:$A$129,0)),"")</f>
        <v/>
      </c>
      <c r="H99" s="70"/>
      <c r="I99" s="498" t="str">
        <f>IF(G99="","",VLOOKUP(G99,'G-1 All Habitats'!$B$2:$M$129,10,FALSE))</f>
        <v/>
      </c>
      <c r="J99" s="499" t="str">
        <f>IFERROR(VLOOKUP(I99,'G-1 All Habitats'!$V$3:$W$7,2,FALSE),"")</f>
        <v/>
      </c>
      <c r="K99" s="71"/>
      <c r="L99" s="499" t="str">
        <f>IFERROR(INDEX('G-8 Condition Look up'!$A$3:$H$130,MATCH(G99,'G-8 Condition Look up'!$A$3:$A$130,0),MATCH(K99,'G-8 Condition Look up'!$A$3:$H$3,0)),"")</f>
        <v/>
      </c>
      <c r="M99" s="71"/>
      <c r="N99" s="520" t="str">
        <f>IF(M99="","",IF(VLOOKUP(M99,'G-3 Multipliers'!$L$3:$N$6,2,FALSE)=0,"Spatial Data Missing",VLOOKUP(M99,'G-3 Multipliers'!$L$3:$N$6,2,FALSE)))</f>
        <v/>
      </c>
      <c r="O99" s="505" t="str">
        <f>IF(M99="","",IF(VLOOKUP(M99,'G-3 Multipliers'!$L$3:$N$6,3,FALSE)=0,"Spatial Data Missing ▲",VLOOKUP(M99,'G-3 Multipliers'!$L$3:$N$6,3,FALSE)))</f>
        <v/>
      </c>
      <c r="P99" s="506" t="str">
        <f>IFERROR(VLOOKUP(G99,'G-1 All Habitats'!$B$2:$M$129,12,FALSE),"")</f>
        <v/>
      </c>
      <c r="Q99" s="513" t="str">
        <f>IFERROR(IF(P99="","",IF(AND(P99='G-1 All Habitats'!$X$3,T99&gt;0),U99+V99,IF(AND(P99='G-1 All Habitats'!$X$3,S99&gt;0),U99+V99,IF(AND(P99='G-1 All Habitats'!$X$3,AC99&gt;0),"Any Loss Unacceptable ▲",IF(AND(P99='G-1 All Habitats'!$X$3,W99&gt;0),"Any Loss Unacceptable ▲",H99*J99*L99*O99))))),"Check Data ▲")</f>
        <v/>
      </c>
      <c r="R99" s="50"/>
      <c r="S99" s="71"/>
      <c r="T99" s="72"/>
      <c r="U99" s="511" t="str">
        <f t="shared" si="8"/>
        <v/>
      </c>
      <c r="V99" s="511" t="str">
        <f t="shared" si="9"/>
        <v/>
      </c>
      <c r="W99" s="511" t="str">
        <f>IF(E99="","",IF(H99&lt;S99+T99,"Error in Areas ▲",IF(P99&lt;&gt;'G-1 All Habitats'!$X$3,H99-S99-T99,IF(AND(P99='G-1 All Habitats'!$X$3,Y99="Yes"),"Unacceptable Loss",IF(AND(P99='G-1 All Habitats'!$X$3,Y99="No"),AC99,IF(AND(P99='G-1 All Habitats'!$X$3,Y99=""),AC99,IF(AND(P99='G-1 All Habitats'!$X$3,AC99="None",AC99),IF(AND(P99='G-1 All Habitats'!$X$3,AC99&gt;0),H99-S99-T99))))))))</f>
        <v/>
      </c>
      <c r="X99" s="515" t="str">
        <f>IFERROR(IF(H99="","",IF(H99-S99-T99=0&lt;0,"Error in Areas ▲",IF(S99+T99&gt;H99,"Error in Areas ▲",IF(AND(P99='G-1 All Habitats'!$X$3,Y99="Yes"),"Alternative Compensation ✓",IF(W99=0,0,IF(P99='G-1 All Habitats'!$X$3,"Unacceptable Loss ▲",Q99-U99-V99)))))),"Check Data ▲")</f>
        <v/>
      </c>
      <c r="Y99" s="72"/>
      <c r="Z99" s="80"/>
      <c r="AA99" s="81"/>
      <c r="AC99" s="75" t="str">
        <f>IF(P99="","",IF(P99='G-1 All Habitats'!$X$3,H99-S99-T99,"None"))</f>
        <v/>
      </c>
      <c r="AD99" s="76" t="str">
        <f>IFERROR(AC99*J99*L99*#REF!*O99,IF(P99="","","None"))</f>
        <v/>
      </c>
      <c r="AF99" s="54" t="str">
        <f t="shared" si="5"/>
        <v/>
      </c>
      <c r="AG99" s="54" t="str">
        <f t="shared" si="6"/>
        <v/>
      </c>
      <c r="AH99" s="54" t="str">
        <f>IF(I99="","",IF(#REF!&gt;0,TRUE,FALSE))</f>
        <v/>
      </c>
      <c r="AI99" s="54">
        <v>89</v>
      </c>
      <c r="AJ99" s="54"/>
      <c r="AK99" s="54" t="str">
        <f t="array" ref="AK99">IFERROR(INDEX($AI$11:$AI$259, MATCH(0, IF(TRUE=$AF$11:$AF$259, COUNTIF($AK$10:$AK98, $AI$11:$AI$259), ""), 0)),"")</f>
        <v/>
      </c>
      <c r="AL99" s="54" t="str">
        <f t="array" ref="AL99">IFERROR(INDEX($AI$11:$AI$259, MATCH(0, IF(TRUE=$AG$11:$AG$259, COUNTIF($AL$10:$AL98, $AI$11:$AI$259), ""), 0)),"")</f>
        <v/>
      </c>
      <c r="AM99" s="54" t="str">
        <f t="array" ref="AM99">IFERROR(INDEX($AI$11:$AI$259, MATCH(0, IF(TRUE=$AH$11:$AH$259, COUNTIF($AM$10:$AM98, $AI$11:$AI$259), ""), 0)),"")</f>
        <v/>
      </c>
      <c r="AN99" s="54"/>
      <c r="AQ99" s="47">
        <f t="shared" si="7"/>
        <v>0</v>
      </c>
    </row>
    <row r="100" spans="1:43" x14ac:dyDescent="0.25">
      <c r="A100" s="47" t="str">
        <f>IFERROR(INDEX('G-1 All Habitats'!$AG$3:$AG$15,MATCH(E100,'G-1 All Habitats'!$AF$3:$AF$15,0)),"")</f>
        <v/>
      </c>
      <c r="B100" s="47" t="str">
        <f>IFERROR(INDEX('G-8 Condition Look up'!$I$4:$I$130,MATCH(G100,'G-8 Condition Look up'!$A$4:$A$130,0)),"")</f>
        <v/>
      </c>
      <c r="D100" s="77">
        <v>90</v>
      </c>
      <c r="E100" s="78"/>
      <c r="F100" s="79"/>
      <c r="G100" s="69" t="str">
        <f>IFERROR(INDEX('G-1 All Habitats'!$B$3:$B$129,MATCH(F100,'G-1 All Habitats'!$A$3:$A$129,0)),"")</f>
        <v/>
      </c>
      <c r="H100" s="70"/>
      <c r="I100" s="498" t="str">
        <f>IF(G100="","",VLOOKUP(G100,'G-1 All Habitats'!$B$2:$M$129,10,FALSE))</f>
        <v/>
      </c>
      <c r="J100" s="499" t="str">
        <f>IFERROR(VLOOKUP(I100,'G-1 All Habitats'!$V$3:$W$7,2,FALSE),"")</f>
        <v/>
      </c>
      <c r="K100" s="71"/>
      <c r="L100" s="499" t="str">
        <f>IFERROR(INDEX('G-8 Condition Look up'!$A$3:$H$130,MATCH(G100,'G-8 Condition Look up'!$A$3:$A$130,0),MATCH(K100,'G-8 Condition Look up'!$A$3:$H$3,0)),"")</f>
        <v/>
      </c>
      <c r="M100" s="71"/>
      <c r="N100" s="520" t="str">
        <f>IF(M100="","",IF(VLOOKUP(M100,'G-3 Multipliers'!$L$3:$N$6,2,FALSE)=0,"Spatial Data Missing",VLOOKUP(M100,'G-3 Multipliers'!$L$3:$N$6,2,FALSE)))</f>
        <v/>
      </c>
      <c r="O100" s="505" t="str">
        <f>IF(M100="","",IF(VLOOKUP(M100,'G-3 Multipliers'!$L$3:$N$6,3,FALSE)=0,"Spatial Data Missing ▲",VLOOKUP(M100,'G-3 Multipliers'!$L$3:$N$6,3,FALSE)))</f>
        <v/>
      </c>
      <c r="P100" s="506" t="str">
        <f>IFERROR(VLOOKUP(G100,'G-1 All Habitats'!$B$2:$M$129,12,FALSE),"")</f>
        <v/>
      </c>
      <c r="Q100" s="513" t="str">
        <f>IFERROR(IF(P100="","",IF(AND(P100='G-1 All Habitats'!$X$3,T100&gt;0),U100+V100,IF(AND(P100='G-1 All Habitats'!$X$3,S100&gt;0),U100+V100,IF(AND(P100='G-1 All Habitats'!$X$3,AC100&gt;0),"Any Loss Unacceptable ▲",IF(AND(P100='G-1 All Habitats'!$X$3,W100&gt;0),"Any Loss Unacceptable ▲",H100*J100*L100*O100))))),"Check Data ▲")</f>
        <v/>
      </c>
      <c r="R100" s="50"/>
      <c r="S100" s="71"/>
      <c r="T100" s="72"/>
      <c r="U100" s="511" t="str">
        <f t="shared" si="8"/>
        <v/>
      </c>
      <c r="V100" s="511" t="str">
        <f t="shared" si="9"/>
        <v/>
      </c>
      <c r="W100" s="511" t="str">
        <f>IF(E100="","",IF(H100&lt;S100+T100,"Error in Areas ▲",IF(P100&lt;&gt;'G-1 All Habitats'!$X$3,H100-S100-T100,IF(AND(P100='G-1 All Habitats'!$X$3,Y100="Yes"),"Unacceptable Loss",IF(AND(P100='G-1 All Habitats'!$X$3,Y100="No"),AC100,IF(AND(P100='G-1 All Habitats'!$X$3,Y100=""),AC100,IF(AND(P100='G-1 All Habitats'!$X$3,AC100="None",AC100),IF(AND(P100='G-1 All Habitats'!$X$3,AC100&gt;0),H100-S100-T100))))))))</f>
        <v/>
      </c>
      <c r="X100" s="515" t="str">
        <f>IFERROR(IF(H100="","",IF(H100-S100-T100=0&lt;0,"Error in Areas ▲",IF(S100+T100&gt;H100,"Error in Areas ▲",IF(AND(P100='G-1 All Habitats'!$X$3,Y100="Yes"),"Alternative Compensation ✓",IF(W100=0,0,IF(P100='G-1 All Habitats'!$X$3,"Unacceptable Loss ▲",Q100-U100-V100)))))),"Check Data ▲")</f>
        <v/>
      </c>
      <c r="Y100" s="72"/>
      <c r="Z100" s="80"/>
      <c r="AA100" s="81"/>
      <c r="AC100" s="75" t="str">
        <f>IF(P100="","",IF(P100='G-1 All Habitats'!$X$3,H100-S100-T100,"None"))</f>
        <v/>
      </c>
      <c r="AD100" s="76" t="str">
        <f>IFERROR(AC100*J100*L100*#REF!*O100,IF(P100="","","None"))</f>
        <v/>
      </c>
      <c r="AF100" s="54" t="str">
        <f t="shared" si="5"/>
        <v/>
      </c>
      <c r="AG100" s="54" t="str">
        <f t="shared" si="6"/>
        <v/>
      </c>
      <c r="AH100" s="54" t="str">
        <f>IF(I100="","",IF(#REF!&gt;0,TRUE,FALSE))</f>
        <v/>
      </c>
      <c r="AI100" s="54">
        <v>90</v>
      </c>
      <c r="AJ100" s="54"/>
      <c r="AK100" s="54" t="str">
        <f t="array" ref="AK100">IFERROR(INDEX($AI$11:$AI$259, MATCH(0, IF(TRUE=$AF$11:$AF$259, COUNTIF($AK$10:$AK99, $AI$11:$AI$259), ""), 0)),"")</f>
        <v/>
      </c>
      <c r="AL100" s="54" t="str">
        <f t="array" ref="AL100">IFERROR(INDEX($AI$11:$AI$259, MATCH(0, IF(TRUE=$AG$11:$AG$259, COUNTIF($AL$10:$AL99, $AI$11:$AI$259), ""), 0)),"")</f>
        <v/>
      </c>
      <c r="AM100" s="54" t="str">
        <f t="array" ref="AM100">IFERROR(INDEX($AI$11:$AI$259, MATCH(0, IF(TRUE=$AH$11:$AH$259, COUNTIF($AM$10:$AM99, $AI$11:$AI$259), ""), 0)),"")</f>
        <v/>
      </c>
      <c r="AN100" s="54"/>
      <c r="AQ100" s="47">
        <f t="shared" si="7"/>
        <v>0</v>
      </c>
    </row>
    <row r="101" spans="1:43" x14ac:dyDescent="0.25">
      <c r="A101" s="47" t="str">
        <f>IFERROR(INDEX('G-1 All Habitats'!$AG$3:$AG$15,MATCH(E101,'G-1 All Habitats'!$AF$3:$AF$15,0)),"")</f>
        <v/>
      </c>
      <c r="B101" s="47" t="str">
        <f>IFERROR(INDEX('G-8 Condition Look up'!$I$4:$I$130,MATCH(G101,'G-8 Condition Look up'!$A$4:$A$130,0)),"")</f>
        <v/>
      </c>
      <c r="D101" s="77">
        <v>91</v>
      </c>
      <c r="E101" s="78"/>
      <c r="F101" s="79"/>
      <c r="G101" s="69" t="str">
        <f>IFERROR(INDEX('G-1 All Habitats'!$B$3:$B$129,MATCH(F101,'G-1 All Habitats'!$A$3:$A$129,0)),"")</f>
        <v/>
      </c>
      <c r="H101" s="70"/>
      <c r="I101" s="498" t="str">
        <f>IF(G101="","",VLOOKUP(G101,'G-1 All Habitats'!$B$2:$M$129,10,FALSE))</f>
        <v/>
      </c>
      <c r="J101" s="499" t="str">
        <f>IFERROR(VLOOKUP(I101,'G-1 All Habitats'!$V$3:$W$7,2,FALSE),"")</f>
        <v/>
      </c>
      <c r="K101" s="71"/>
      <c r="L101" s="499" t="str">
        <f>IFERROR(INDEX('G-8 Condition Look up'!$A$3:$H$130,MATCH(G101,'G-8 Condition Look up'!$A$3:$A$130,0),MATCH(K101,'G-8 Condition Look up'!$A$3:$H$3,0)),"")</f>
        <v/>
      </c>
      <c r="M101" s="71"/>
      <c r="N101" s="520" t="str">
        <f>IF(M101="","",IF(VLOOKUP(M101,'G-3 Multipliers'!$L$3:$N$6,2,FALSE)=0,"Spatial Data Missing",VLOOKUP(M101,'G-3 Multipliers'!$L$3:$N$6,2,FALSE)))</f>
        <v/>
      </c>
      <c r="O101" s="505" t="str">
        <f>IF(M101="","",IF(VLOOKUP(M101,'G-3 Multipliers'!$L$3:$N$6,3,FALSE)=0,"Spatial Data Missing",VLOOKUP(M101,'G-3 Multipliers'!$L$3:$N$6,3,FALSE)))</f>
        <v/>
      </c>
      <c r="P101" s="506" t="str">
        <f>IFERROR(VLOOKUP(G101,'G-1 All Habitats'!$B$2:$M$129,12,FALSE),"")</f>
        <v/>
      </c>
      <c r="Q101" s="513" t="str">
        <f>IFERROR(IF(P101="","",IF(AND(P101='G-1 All Habitats'!$X$3,T101&gt;0),U101+V101,IF(AND(P101='G-1 All Habitats'!$X$3,S101&gt;0),U101+V101,IF(AND(P101='G-1 All Habitats'!$X$3,AC101&gt;0),"Any Loss Unacceptable ▲",IF(AND(P101='G-1 All Habitats'!$X$3,W101&gt;0),"Any Loss Unacceptable ▲",H101*J101*L101*O101))))),"Check Data ▲")</f>
        <v/>
      </c>
      <c r="R101" s="50"/>
      <c r="S101" s="71"/>
      <c r="T101" s="72"/>
      <c r="U101" s="511" t="str">
        <f t="shared" si="8"/>
        <v/>
      </c>
      <c r="V101" s="511" t="str">
        <f t="shared" si="9"/>
        <v/>
      </c>
      <c r="W101" s="511" t="str">
        <f>IF(E101="","",IF(H101&lt;S101+T101,"Error in Areas ▲",IF(P101&lt;&gt;'G-1 All Habitats'!$X$3,H101-S101-T101,IF(AND(P101='G-1 All Habitats'!$X$3,Y101="Yes"),"Unacceptable Loss",IF(AND(P101='G-1 All Habitats'!$X$3,Y101="No"),AC101,IF(AND(P101='G-1 All Habitats'!$X$3,Y101=""),AC101,IF(AND(P101='G-1 All Habitats'!$X$3,AC101="None",AC101),IF(AND(P101='G-1 All Habitats'!$X$3,AC101&gt;0),H101-S101-T101))))))))</f>
        <v/>
      </c>
      <c r="X101" s="515" t="str">
        <f>IFERROR(IF(H101="","",IF(H101-S101-T101=0&lt;0,"Error in Areas ▲",IF(S101+T101&gt;H101,"Error in Areas ▲",IF(AND(P101='G-1 All Habitats'!$X$3,Y101="Yes"),"Alternative Compensation ✓",IF(W101=0,0,IF(P101='G-1 All Habitats'!$X$3,"Unacceptable Loss ▲",Q101-U101-V101)))))),"Check Data ▲")</f>
        <v/>
      </c>
      <c r="Y101" s="72"/>
      <c r="Z101" s="80"/>
      <c r="AA101" s="81"/>
      <c r="AC101" s="75" t="str">
        <f>IF(P101="","",IF(P101='G-1 All Habitats'!$X$3,H101-S101-T101,"None"))</f>
        <v/>
      </c>
      <c r="AD101" s="76" t="str">
        <f>IFERROR(AC101*J101*L101*#REF!*O101,IF(P101="","","None"))</f>
        <v/>
      </c>
      <c r="AF101" s="54" t="str">
        <f t="shared" si="5"/>
        <v/>
      </c>
      <c r="AG101" s="54" t="str">
        <f t="shared" si="6"/>
        <v/>
      </c>
      <c r="AH101" s="54" t="str">
        <f>IF(I101="","",IF(#REF!&gt;0,TRUE,FALSE))</f>
        <v/>
      </c>
      <c r="AI101" s="54">
        <v>91</v>
      </c>
      <c r="AJ101" s="54"/>
      <c r="AK101" s="54" t="str">
        <f t="array" ref="AK101">IFERROR(INDEX($AI$11:$AI$259, MATCH(0, IF(TRUE=$AF$11:$AF$259, COUNTIF($AK$10:$AK100, $AI$11:$AI$259), ""), 0)),"")</f>
        <v/>
      </c>
      <c r="AL101" s="54" t="str">
        <f t="array" ref="AL101">IFERROR(INDEX($AI$11:$AI$259, MATCH(0, IF(TRUE=$AG$11:$AG$259, COUNTIF($AL$10:$AL100, $AI$11:$AI$259), ""), 0)),"")</f>
        <v/>
      </c>
      <c r="AM101" s="54" t="str">
        <f t="array" ref="AM101">IFERROR(INDEX($AI$11:$AI$259, MATCH(0, IF(TRUE=$AH$11:$AH$259, COUNTIF($AM$10:$AM100, $AI$11:$AI$259), ""), 0)),"")</f>
        <v/>
      </c>
      <c r="AN101" s="54"/>
      <c r="AQ101" s="47">
        <f t="shared" si="7"/>
        <v>0</v>
      </c>
    </row>
    <row r="102" spans="1:43" x14ac:dyDescent="0.25">
      <c r="A102" s="47" t="str">
        <f>IFERROR(INDEX('G-1 All Habitats'!$AG$3:$AG$15,MATCH(E102,'G-1 All Habitats'!$AF$3:$AF$15,0)),"")</f>
        <v/>
      </c>
      <c r="B102" s="47" t="str">
        <f>IFERROR(INDEX('G-8 Condition Look up'!$I$4:$I$130,MATCH(G102,'G-8 Condition Look up'!$A$4:$A$130,0)),"")</f>
        <v/>
      </c>
      <c r="D102" s="77">
        <v>92</v>
      </c>
      <c r="E102" s="78"/>
      <c r="F102" s="79"/>
      <c r="G102" s="69" t="str">
        <f>IFERROR(INDEX('G-1 All Habitats'!$B$3:$B$129,MATCH(F102,'G-1 All Habitats'!$A$3:$A$129,0)),"")</f>
        <v/>
      </c>
      <c r="H102" s="70"/>
      <c r="I102" s="498" t="str">
        <f>IF(G102="","",VLOOKUP(G102,'G-1 All Habitats'!$B$2:$M$129,10,FALSE))</f>
        <v/>
      </c>
      <c r="J102" s="499" t="str">
        <f>IFERROR(VLOOKUP(I102,'G-1 All Habitats'!$V$3:$W$7,2,FALSE),"")</f>
        <v/>
      </c>
      <c r="K102" s="71"/>
      <c r="L102" s="499" t="str">
        <f>IFERROR(INDEX('G-8 Condition Look up'!$A$3:$H$130,MATCH(G102,'G-8 Condition Look up'!$A$3:$A$130,0),MATCH(K102,'G-8 Condition Look up'!$A$3:$H$3,0)),"")</f>
        <v/>
      </c>
      <c r="M102" s="71"/>
      <c r="N102" s="520" t="str">
        <f>IF(M102="","",IF(VLOOKUP(M102,'G-3 Multipliers'!$L$3:$N$6,2,FALSE)=0,"Spatial Data Missing",VLOOKUP(M102,'G-3 Multipliers'!$L$3:$N$6,2,FALSE)))</f>
        <v/>
      </c>
      <c r="O102" s="505" t="str">
        <f>IF(M102="","",IF(VLOOKUP(M102,'G-3 Multipliers'!$L$3:$N$6,3,FALSE)=0,"Spatial Data Missing",VLOOKUP(M102,'G-3 Multipliers'!$L$3:$N$6,3,FALSE)))</f>
        <v/>
      </c>
      <c r="P102" s="506" t="str">
        <f>IFERROR(VLOOKUP(G102,'G-1 All Habitats'!$B$2:$M$129,12,FALSE),"")</f>
        <v/>
      </c>
      <c r="Q102" s="513" t="str">
        <f>IFERROR(IF(P102="","",IF(AND(P102='G-1 All Habitats'!$X$3,T102&gt;0),U102+V102,IF(AND(P102='G-1 All Habitats'!$X$3,S102&gt;0),U102+V102,IF(AND(P102='G-1 All Habitats'!$X$3,AC102&gt;0),"Any Loss Unacceptable ▲",IF(AND(P102='G-1 All Habitats'!$X$3,W102&gt;0),"Any Loss Unacceptable ▲",H102*J102*L102*O102))))),"Check Data ▲")</f>
        <v/>
      </c>
      <c r="R102" s="50"/>
      <c r="S102" s="71"/>
      <c r="T102" s="72"/>
      <c r="U102" s="511" t="str">
        <f t="shared" si="8"/>
        <v/>
      </c>
      <c r="V102" s="511" t="str">
        <f t="shared" si="9"/>
        <v/>
      </c>
      <c r="W102" s="511" t="str">
        <f>IF(E102="","",IF(H102&lt;S102+T102,"Error in Areas ▲",IF(P102&lt;&gt;'G-1 All Habitats'!$X$3,H102-S102-T102,IF(AND(P102='G-1 All Habitats'!$X$3,Y102="Yes"),"Unacceptable Loss",IF(AND(P102='G-1 All Habitats'!$X$3,Y102="No"),AC102,IF(AND(P102='G-1 All Habitats'!$X$3,Y102=""),AC102,IF(AND(P102='G-1 All Habitats'!$X$3,AC102="None",AC102),IF(AND(P102='G-1 All Habitats'!$X$3,AC102&gt;0),H102-S102-T102))))))))</f>
        <v/>
      </c>
      <c r="X102" s="515" t="str">
        <f>IFERROR(IF(H102="","",IF(H102-S102-T102=0&lt;0,"Error in Areas ▲",IF(S102+T102&gt;H102,"Error in Areas ▲",IF(AND(P102='G-1 All Habitats'!$X$3,Y102="Yes"),"Alternative Compensation ✓",IF(W102=0,0,IF(P102='G-1 All Habitats'!$X$3,"Unacceptable Loss ▲",Q102-U102-V102)))))),"Check Data ▲")</f>
        <v/>
      </c>
      <c r="Y102" s="72"/>
      <c r="Z102" s="80"/>
      <c r="AA102" s="81"/>
      <c r="AC102" s="75" t="str">
        <f>IF(P102="","",IF(P102='G-1 All Habitats'!$X$3,H102-S102-T102,"None"))</f>
        <v/>
      </c>
      <c r="AD102" s="76" t="str">
        <f>IFERROR(AC102*J102*L102*#REF!*O102,IF(P102="","","None"))</f>
        <v/>
      </c>
      <c r="AF102" s="54" t="str">
        <f t="shared" si="5"/>
        <v/>
      </c>
      <c r="AG102" s="54" t="str">
        <f t="shared" si="6"/>
        <v/>
      </c>
      <c r="AH102" s="54" t="str">
        <f>IF(I102="","",IF(#REF!&gt;0,TRUE,FALSE))</f>
        <v/>
      </c>
      <c r="AI102" s="54">
        <v>92</v>
      </c>
      <c r="AJ102" s="54"/>
      <c r="AK102" s="54" t="str">
        <f t="array" ref="AK102">IFERROR(INDEX($AI$11:$AI$259, MATCH(0, IF(TRUE=$AF$11:$AF$259, COUNTIF($AK$10:$AK101, $AI$11:$AI$259), ""), 0)),"")</f>
        <v/>
      </c>
      <c r="AL102" s="54" t="str">
        <f t="array" ref="AL102">IFERROR(INDEX($AI$11:$AI$259, MATCH(0, IF(TRUE=$AG$11:$AG$259, COUNTIF($AL$10:$AL101, $AI$11:$AI$259), ""), 0)),"")</f>
        <v/>
      </c>
      <c r="AM102" s="54" t="str">
        <f t="array" ref="AM102">IFERROR(INDEX($AI$11:$AI$259, MATCH(0, IF(TRUE=$AH$11:$AH$259, COUNTIF($AM$10:$AM101, $AI$11:$AI$259), ""), 0)),"")</f>
        <v/>
      </c>
      <c r="AN102" s="54"/>
      <c r="AQ102" s="47">
        <f t="shared" si="7"/>
        <v>0</v>
      </c>
    </row>
    <row r="103" spans="1:43" x14ac:dyDescent="0.25">
      <c r="A103" s="47" t="str">
        <f>IFERROR(INDEX('G-1 All Habitats'!$AG$3:$AG$15,MATCH(E103,'G-1 All Habitats'!$AF$3:$AF$15,0)),"")</f>
        <v/>
      </c>
      <c r="B103" s="47" t="str">
        <f>IFERROR(INDEX('G-8 Condition Look up'!$I$4:$I$130,MATCH(G103,'G-8 Condition Look up'!$A$4:$A$130,0)),"")</f>
        <v/>
      </c>
      <c r="D103" s="77">
        <v>93</v>
      </c>
      <c r="E103" s="78"/>
      <c r="F103" s="79"/>
      <c r="G103" s="69" t="str">
        <f>IFERROR(INDEX('G-1 All Habitats'!$B$3:$B$129,MATCH(F103,'G-1 All Habitats'!$A$3:$A$129,0)),"")</f>
        <v/>
      </c>
      <c r="H103" s="70"/>
      <c r="I103" s="498" t="str">
        <f>IF(G103="","",VLOOKUP(G103,'G-1 All Habitats'!$B$2:$M$129,10,FALSE))</f>
        <v/>
      </c>
      <c r="J103" s="499" t="str">
        <f>IFERROR(VLOOKUP(I103,'G-1 All Habitats'!$V$3:$W$7,2,FALSE),"")</f>
        <v/>
      </c>
      <c r="K103" s="71"/>
      <c r="L103" s="499" t="str">
        <f>IFERROR(INDEX('G-8 Condition Look up'!$A$3:$H$130,MATCH(G103,'G-8 Condition Look up'!$A$3:$A$130,0),MATCH(K103,'G-8 Condition Look up'!$A$3:$H$3,0)),"")</f>
        <v/>
      </c>
      <c r="M103" s="71"/>
      <c r="N103" s="520" t="str">
        <f>IF(M103="","",IF(VLOOKUP(M103,'G-3 Multipliers'!$L$3:$N$6,2,FALSE)=0,"Spatial Data Missing",VLOOKUP(M103,'G-3 Multipliers'!$L$3:$N$6,2,FALSE)))</f>
        <v/>
      </c>
      <c r="O103" s="505" t="str">
        <f>IF(M103="","",IF(VLOOKUP(M103,'G-3 Multipliers'!$L$3:$N$6,3,FALSE)=0,"Spatial Data Missing",VLOOKUP(M103,'G-3 Multipliers'!$L$3:$N$6,3,FALSE)))</f>
        <v/>
      </c>
      <c r="P103" s="506" t="str">
        <f>IFERROR(VLOOKUP(G103,'G-1 All Habitats'!$B$2:$M$129,12,FALSE),"")</f>
        <v/>
      </c>
      <c r="Q103" s="513" t="str">
        <f>IFERROR(IF(P103="","",IF(AND(P103='G-1 All Habitats'!$X$3,T103&gt;0),U103+V103,IF(AND(P103='G-1 All Habitats'!$X$3,S103&gt;0),U103+V103,IF(AND(P103='G-1 All Habitats'!$X$3,AC103&gt;0),"Any Loss Unacceptable ▲",IF(AND(P103='G-1 All Habitats'!$X$3,W103&gt;0),"Any Loss Unacceptable ▲",H103*J103*L103*O103))))),"Check Data ▲")</f>
        <v/>
      </c>
      <c r="R103" s="50"/>
      <c r="S103" s="71"/>
      <c r="T103" s="72"/>
      <c r="U103" s="511" t="str">
        <f t="shared" si="8"/>
        <v/>
      </c>
      <c r="V103" s="511" t="str">
        <f t="shared" si="9"/>
        <v/>
      </c>
      <c r="W103" s="511" t="str">
        <f>IF(E103="","",IF(H103&lt;S103+T103,"Error in Areas ▲",IF(P103&lt;&gt;'G-1 All Habitats'!$X$3,H103-S103-T103,IF(AND(P103='G-1 All Habitats'!$X$3,Y103="Yes"),"Unacceptable Loss",IF(AND(P103='G-1 All Habitats'!$X$3,Y103="No"),AC103,IF(AND(P103='G-1 All Habitats'!$X$3,Y103=""),AC103,IF(AND(P103='G-1 All Habitats'!$X$3,AC103="None",AC103),IF(AND(P103='G-1 All Habitats'!$X$3,AC103&gt;0),H103-S103-T103))))))))</f>
        <v/>
      </c>
      <c r="X103" s="515" t="str">
        <f>IFERROR(IF(H103="","",IF(H103-S103-T103=0&lt;0,"Error in Areas ▲",IF(S103+T103&gt;H103,"Error in Areas ▲",IF(AND(P103='G-1 All Habitats'!$X$3,Y103="Yes"),"Alternative Compensation ✓",IF(W103=0,0,IF(P103='G-1 All Habitats'!$X$3,"Unacceptable Loss ▲",Q103-U103-V103)))))),"Check Data ▲")</f>
        <v/>
      </c>
      <c r="Y103" s="72"/>
      <c r="Z103" s="80"/>
      <c r="AA103" s="81"/>
      <c r="AC103" s="75" t="str">
        <f>IF(P103="","",IF(P103='G-1 All Habitats'!$X$3,H103-S103-T103,"None"))</f>
        <v/>
      </c>
      <c r="AD103" s="76" t="str">
        <f>IFERROR(AC103*J103*L103*#REF!*O103,IF(P103="","","None"))</f>
        <v/>
      </c>
      <c r="AF103" s="54" t="str">
        <f t="shared" si="5"/>
        <v/>
      </c>
      <c r="AG103" s="54" t="str">
        <f t="shared" si="6"/>
        <v/>
      </c>
      <c r="AH103" s="54" t="str">
        <f>IF(I103="","",IF(#REF!&gt;0,TRUE,FALSE))</f>
        <v/>
      </c>
      <c r="AI103" s="54">
        <v>93</v>
      </c>
      <c r="AJ103" s="54"/>
      <c r="AK103" s="54" t="str">
        <f t="array" ref="AK103">IFERROR(INDEX($AI$11:$AI$259, MATCH(0, IF(TRUE=$AF$11:$AF$259, COUNTIF($AK$10:$AK102, $AI$11:$AI$259), ""), 0)),"")</f>
        <v/>
      </c>
      <c r="AL103" s="54" t="str">
        <f t="array" ref="AL103">IFERROR(INDEX($AI$11:$AI$259, MATCH(0, IF(TRUE=$AG$11:$AG$259, COUNTIF($AL$10:$AL102, $AI$11:$AI$259), ""), 0)),"")</f>
        <v/>
      </c>
      <c r="AM103" s="54" t="str">
        <f t="array" ref="AM103">IFERROR(INDEX($AI$11:$AI$259, MATCH(0, IF(TRUE=$AH$11:$AH$259, COUNTIF($AM$10:$AM102, $AI$11:$AI$259), ""), 0)),"")</f>
        <v/>
      </c>
      <c r="AN103" s="54"/>
      <c r="AQ103" s="47">
        <f t="shared" si="7"/>
        <v>0</v>
      </c>
    </row>
    <row r="104" spans="1:43" x14ac:dyDescent="0.25">
      <c r="A104" s="47" t="str">
        <f>IFERROR(INDEX('G-1 All Habitats'!$AG$3:$AG$15,MATCH(E104,'G-1 All Habitats'!$AF$3:$AF$15,0)),"")</f>
        <v/>
      </c>
      <c r="B104" s="47" t="str">
        <f>IFERROR(INDEX('G-8 Condition Look up'!$I$4:$I$130,MATCH(G104,'G-8 Condition Look up'!$A$4:$A$130,0)),"")</f>
        <v/>
      </c>
      <c r="D104" s="77">
        <v>94</v>
      </c>
      <c r="E104" s="78"/>
      <c r="F104" s="79"/>
      <c r="G104" s="69" t="str">
        <f>IFERROR(INDEX('G-1 All Habitats'!$B$3:$B$129,MATCH(F104,'G-1 All Habitats'!$A$3:$A$129,0)),"")</f>
        <v/>
      </c>
      <c r="H104" s="70"/>
      <c r="I104" s="498" t="str">
        <f>IF(G104="","",VLOOKUP(G104,'G-1 All Habitats'!$B$2:$M$129,10,FALSE))</f>
        <v/>
      </c>
      <c r="J104" s="499" t="str">
        <f>IFERROR(VLOOKUP(I104,'G-1 All Habitats'!$V$3:$W$7,2,FALSE),"")</f>
        <v/>
      </c>
      <c r="K104" s="71"/>
      <c r="L104" s="499" t="str">
        <f>IFERROR(INDEX('G-8 Condition Look up'!$A$3:$H$130,MATCH(G104,'G-8 Condition Look up'!$A$3:$A$130,0),MATCH(K104,'G-8 Condition Look up'!$A$3:$H$3,0)),"")</f>
        <v/>
      </c>
      <c r="M104" s="71"/>
      <c r="N104" s="520" t="str">
        <f>IF(M104="","",IF(VLOOKUP(M104,'G-3 Multipliers'!$L$3:$N$6,2,FALSE)=0,"Spatial Data Missing",VLOOKUP(M104,'G-3 Multipliers'!$L$3:$N$6,2,FALSE)))</f>
        <v/>
      </c>
      <c r="O104" s="505" t="str">
        <f>IF(M104="","",IF(VLOOKUP(M104,'G-3 Multipliers'!$L$3:$N$6,3,FALSE)=0,"Spatial Data Missing",VLOOKUP(M104,'G-3 Multipliers'!$L$3:$N$6,3,FALSE)))</f>
        <v/>
      </c>
      <c r="P104" s="506" t="str">
        <f>IFERROR(VLOOKUP(G104,'G-1 All Habitats'!$B$2:$M$129,12,FALSE),"")</f>
        <v/>
      </c>
      <c r="Q104" s="513" t="str">
        <f>IFERROR(IF(P104="","",IF(AND(P104='G-1 All Habitats'!$X$3,T104&gt;0),U104+V104,IF(AND(P104='G-1 All Habitats'!$X$3,S104&gt;0),U104+V104,IF(AND(P104='G-1 All Habitats'!$X$3,AC104&gt;0),"Any Loss Unacceptable ▲",IF(AND(P104='G-1 All Habitats'!$X$3,W104&gt;0),"Any Loss Unacceptable ▲",H104*J104*L104*O104))))),"Check Data ▲")</f>
        <v/>
      </c>
      <c r="R104" s="50"/>
      <c r="S104" s="71"/>
      <c r="T104" s="72"/>
      <c r="U104" s="511" t="str">
        <f t="shared" si="8"/>
        <v/>
      </c>
      <c r="V104" s="511" t="str">
        <f t="shared" si="9"/>
        <v/>
      </c>
      <c r="W104" s="511" t="str">
        <f>IF(E104="","",IF(H104&lt;S104+T104,"Error in Areas ▲",IF(P104&lt;&gt;'G-1 All Habitats'!$X$3,H104-S104-T104,IF(AND(P104='G-1 All Habitats'!$X$3,Y104="Yes"),"Unacceptable Loss",IF(AND(P104='G-1 All Habitats'!$X$3,Y104="No"),AC104,IF(AND(P104='G-1 All Habitats'!$X$3,Y104=""),AC104,IF(AND(P104='G-1 All Habitats'!$X$3,AC104="None",AC104),IF(AND(P104='G-1 All Habitats'!$X$3,AC104&gt;0),H104-S104-T104))))))))</f>
        <v/>
      </c>
      <c r="X104" s="515" t="str">
        <f>IFERROR(IF(H104="","",IF(H104-S104-T104=0&lt;0,"Error in Areas ▲",IF(S104+T104&gt;H104,"Error in Areas ▲",IF(AND(P104='G-1 All Habitats'!$X$3,Y104="Yes"),"Alternative Compensation ✓",IF(W104=0,0,IF(P104='G-1 All Habitats'!$X$3,"Unacceptable Loss ▲",Q104-U104-V104)))))),"Check Data ▲")</f>
        <v/>
      </c>
      <c r="Y104" s="72"/>
      <c r="Z104" s="80"/>
      <c r="AA104" s="81"/>
      <c r="AC104" s="75" t="str">
        <f>IF(P104="","",IF(P104='G-1 All Habitats'!$X$3,H104-S104-T104,"None"))</f>
        <v/>
      </c>
      <c r="AD104" s="76" t="str">
        <f>IFERROR(AC104*J104*L104*#REF!*O104,IF(P104="","","None"))</f>
        <v/>
      </c>
      <c r="AF104" s="54" t="str">
        <f t="shared" si="5"/>
        <v/>
      </c>
      <c r="AG104" s="54" t="str">
        <f t="shared" si="6"/>
        <v/>
      </c>
      <c r="AH104" s="54" t="str">
        <f>IF(I104="","",IF(#REF!&gt;0,TRUE,FALSE))</f>
        <v/>
      </c>
      <c r="AI104" s="54">
        <v>94</v>
      </c>
      <c r="AJ104" s="54"/>
      <c r="AK104" s="54" t="str">
        <f t="array" ref="AK104">IFERROR(INDEX($AI$11:$AI$259, MATCH(0, IF(TRUE=$AF$11:$AF$259, COUNTIF($AK$10:$AK103, $AI$11:$AI$259), ""), 0)),"")</f>
        <v/>
      </c>
      <c r="AL104" s="54" t="str">
        <f t="array" ref="AL104">IFERROR(INDEX($AI$11:$AI$259, MATCH(0, IF(TRUE=$AG$11:$AG$259, COUNTIF($AL$10:$AL103, $AI$11:$AI$259), ""), 0)),"")</f>
        <v/>
      </c>
      <c r="AM104" s="54" t="str">
        <f t="array" ref="AM104">IFERROR(INDEX($AI$11:$AI$259, MATCH(0, IF(TRUE=$AH$11:$AH$259, COUNTIF($AM$10:$AM103, $AI$11:$AI$259), ""), 0)),"")</f>
        <v/>
      </c>
      <c r="AN104" s="54"/>
      <c r="AQ104" s="47">
        <f t="shared" si="7"/>
        <v>0</v>
      </c>
    </row>
    <row r="105" spans="1:43" x14ac:dyDescent="0.25">
      <c r="A105" s="47" t="str">
        <f>IFERROR(INDEX('G-1 All Habitats'!$AG$3:$AG$15,MATCH(E105,'G-1 All Habitats'!$AF$3:$AF$15,0)),"")</f>
        <v/>
      </c>
      <c r="B105" s="47" t="str">
        <f>IFERROR(INDEX('G-8 Condition Look up'!$I$4:$I$130,MATCH(G105,'G-8 Condition Look up'!$A$4:$A$130,0)),"")</f>
        <v/>
      </c>
      <c r="D105" s="77">
        <v>95</v>
      </c>
      <c r="E105" s="78"/>
      <c r="F105" s="79"/>
      <c r="G105" s="69" t="str">
        <f>IFERROR(INDEX('G-1 All Habitats'!$B$3:$B$129,MATCH(F105,'G-1 All Habitats'!$A$3:$A$129,0)),"")</f>
        <v/>
      </c>
      <c r="H105" s="70"/>
      <c r="I105" s="498" t="str">
        <f>IF(G105="","",VLOOKUP(G105,'G-1 All Habitats'!$B$2:$M$129,10,FALSE))</f>
        <v/>
      </c>
      <c r="J105" s="499" t="str">
        <f>IFERROR(VLOOKUP(I105,'G-1 All Habitats'!$V$3:$W$7,2,FALSE),"")</f>
        <v/>
      </c>
      <c r="K105" s="71"/>
      <c r="L105" s="499" t="str">
        <f>IFERROR(INDEX('G-8 Condition Look up'!$A$3:$H$130,MATCH(G105,'G-8 Condition Look up'!$A$3:$A$130,0),MATCH(K105,'G-8 Condition Look up'!$A$3:$H$3,0)),"")</f>
        <v/>
      </c>
      <c r="M105" s="71"/>
      <c r="N105" s="520" t="str">
        <f>IF(M105="","",IF(VLOOKUP(M105,'G-3 Multipliers'!$L$3:$N$6,2,FALSE)=0,"Spatial Data Missing",VLOOKUP(M105,'G-3 Multipliers'!$L$3:$N$6,2,FALSE)))</f>
        <v/>
      </c>
      <c r="O105" s="505" t="str">
        <f>IF(M105="","",IF(VLOOKUP(M105,'G-3 Multipliers'!$L$3:$N$6,3,FALSE)=0,"Spatial Data Missing",VLOOKUP(M105,'G-3 Multipliers'!$L$3:$N$6,3,FALSE)))</f>
        <v/>
      </c>
      <c r="P105" s="506" t="str">
        <f>IFERROR(VLOOKUP(G105,'G-1 All Habitats'!$B$2:$M$129,12,FALSE),"")</f>
        <v/>
      </c>
      <c r="Q105" s="513" t="str">
        <f>IFERROR(IF(P105="","",IF(AND(P105='G-1 All Habitats'!$X$3,T105&gt;0),U105+V105,IF(AND(P105='G-1 All Habitats'!$X$3,S105&gt;0),U105+V105,IF(AND(P105='G-1 All Habitats'!$X$3,AC105&gt;0),"Any Loss Unacceptable ▲",IF(AND(P105='G-1 All Habitats'!$X$3,W105&gt;0),"Any Loss Unacceptable ▲",H105*J105*L105*O105))))),"Check Data ▲")</f>
        <v/>
      </c>
      <c r="R105" s="50"/>
      <c r="S105" s="71"/>
      <c r="T105" s="72"/>
      <c r="U105" s="511" t="str">
        <f t="shared" si="8"/>
        <v/>
      </c>
      <c r="V105" s="511" t="str">
        <f t="shared" si="9"/>
        <v/>
      </c>
      <c r="W105" s="511" t="str">
        <f>IF(E105="","",IF(H105&lt;S105+T105,"Error in Areas ▲",IF(P105&lt;&gt;'G-1 All Habitats'!$X$3,H105-S105-T105,IF(AND(P105='G-1 All Habitats'!$X$3,Y105="Yes"),"Unacceptable Loss",IF(AND(P105='G-1 All Habitats'!$X$3,Y105="No"),AC105,IF(AND(P105='G-1 All Habitats'!$X$3,Y105=""),AC105,IF(AND(P105='G-1 All Habitats'!$X$3,AC105="None",AC105),IF(AND(P105='G-1 All Habitats'!$X$3,AC105&gt;0),H105-S105-T105))))))))</f>
        <v/>
      </c>
      <c r="X105" s="515" t="str">
        <f>IFERROR(IF(H105="","",IF(H105-S105-T105=0&lt;0,"Error in Areas ▲",IF(S105+T105&gt;H105,"Error in Areas ▲",IF(AND(P105='G-1 All Habitats'!$X$3,Y105="Yes"),"Alternative Compensation ✓",IF(W105=0,0,IF(P105='G-1 All Habitats'!$X$3,"Unacceptable Loss ▲",Q105-U105-V105)))))),"Check Data ▲")</f>
        <v/>
      </c>
      <c r="Y105" s="72"/>
      <c r="Z105" s="80"/>
      <c r="AA105" s="81"/>
      <c r="AC105" s="75" t="str">
        <f>IF(P105="","",IF(P105='G-1 All Habitats'!$X$3,H105-S105-T105,"None"))</f>
        <v/>
      </c>
      <c r="AD105" s="76" t="str">
        <f>IFERROR(AC105*J105*L105*#REF!*O105,IF(P105="","","None"))</f>
        <v/>
      </c>
      <c r="AF105" s="54" t="str">
        <f t="shared" si="5"/>
        <v/>
      </c>
      <c r="AG105" s="54" t="str">
        <f t="shared" si="6"/>
        <v/>
      </c>
      <c r="AH105" s="54" t="str">
        <f>IF(I105="","",IF(#REF!&gt;0,TRUE,FALSE))</f>
        <v/>
      </c>
      <c r="AI105" s="54">
        <v>95</v>
      </c>
      <c r="AJ105" s="54"/>
      <c r="AK105" s="54" t="str">
        <f t="array" ref="AK105">IFERROR(INDEX($AI$11:$AI$259, MATCH(0, IF(TRUE=$AF$11:$AF$259, COUNTIF($AK$10:$AK104, $AI$11:$AI$259), ""), 0)),"")</f>
        <v/>
      </c>
      <c r="AL105" s="54" t="str">
        <f t="array" ref="AL105">IFERROR(INDEX($AI$11:$AI$259, MATCH(0, IF(TRUE=$AG$11:$AG$259, COUNTIF($AL$10:$AL104, $AI$11:$AI$259), ""), 0)),"")</f>
        <v/>
      </c>
      <c r="AM105" s="54" t="str">
        <f t="array" ref="AM105">IFERROR(INDEX($AI$11:$AI$259, MATCH(0, IF(TRUE=$AH$11:$AH$259, COUNTIF($AM$10:$AM104, $AI$11:$AI$259), ""), 0)),"")</f>
        <v/>
      </c>
      <c r="AN105" s="54"/>
      <c r="AQ105" s="47">
        <f t="shared" si="7"/>
        <v>0</v>
      </c>
    </row>
    <row r="106" spans="1:43" x14ac:dyDescent="0.25">
      <c r="A106" s="47" t="str">
        <f>IFERROR(INDEX('G-1 All Habitats'!$AG$3:$AG$15,MATCH(E106,'G-1 All Habitats'!$AF$3:$AF$15,0)),"")</f>
        <v/>
      </c>
      <c r="B106" s="47" t="str">
        <f>IFERROR(INDEX('G-8 Condition Look up'!$I$4:$I$130,MATCH(G106,'G-8 Condition Look up'!$A$4:$A$130,0)),"")</f>
        <v/>
      </c>
      <c r="D106" s="77">
        <v>96</v>
      </c>
      <c r="E106" s="78"/>
      <c r="F106" s="79"/>
      <c r="G106" s="69" t="str">
        <f>IFERROR(INDEX('G-1 All Habitats'!$B$3:$B$129,MATCH(F106,'G-1 All Habitats'!$A$3:$A$129,0)),"")</f>
        <v/>
      </c>
      <c r="H106" s="70"/>
      <c r="I106" s="498" t="str">
        <f>IF(G106="","",VLOOKUP(G106,'G-1 All Habitats'!$B$2:$M$129,10,FALSE))</f>
        <v/>
      </c>
      <c r="J106" s="499" t="str">
        <f>IFERROR(VLOOKUP(I106,'G-1 All Habitats'!$V$3:$W$7,2,FALSE),"")</f>
        <v/>
      </c>
      <c r="K106" s="71"/>
      <c r="L106" s="499" t="str">
        <f>IFERROR(INDEX('G-8 Condition Look up'!$A$3:$H$130,MATCH(G106,'G-8 Condition Look up'!$A$3:$A$130,0),MATCH(K106,'G-8 Condition Look up'!$A$3:$H$3,0)),"")</f>
        <v/>
      </c>
      <c r="M106" s="71"/>
      <c r="N106" s="520" t="str">
        <f>IF(M106="","",IF(VLOOKUP(M106,'G-3 Multipliers'!$L$3:$N$6,2,FALSE)=0,"Spatial Data Missing",VLOOKUP(M106,'G-3 Multipliers'!$L$3:$N$6,2,FALSE)))</f>
        <v/>
      </c>
      <c r="O106" s="505" t="str">
        <f>IF(M106="","",IF(VLOOKUP(M106,'G-3 Multipliers'!$L$3:$N$6,3,FALSE)=0,"Spatial Data Missing",VLOOKUP(M106,'G-3 Multipliers'!$L$3:$N$6,3,FALSE)))</f>
        <v/>
      </c>
      <c r="P106" s="506" t="str">
        <f>IFERROR(VLOOKUP(G106,'G-1 All Habitats'!$B$2:$M$129,12,FALSE),"")</f>
        <v/>
      </c>
      <c r="Q106" s="513" t="str">
        <f>IFERROR(IF(P106="","",IF(AND(P106='G-1 All Habitats'!$X$3,T106&gt;0),U106+V106,IF(AND(P106='G-1 All Habitats'!$X$3,S106&gt;0),U106+V106,IF(AND(P106='G-1 All Habitats'!$X$3,AC106&gt;0),"Any Loss Unacceptable ▲",IF(AND(P106='G-1 All Habitats'!$X$3,W106&gt;0),"Any Loss Unacceptable ▲",H106*J106*L106*O106))))),"Check Data ▲")</f>
        <v/>
      </c>
      <c r="R106" s="50"/>
      <c r="S106" s="71"/>
      <c r="T106" s="72"/>
      <c r="U106" s="511" t="str">
        <f t="shared" si="8"/>
        <v/>
      </c>
      <c r="V106" s="511" t="str">
        <f t="shared" si="9"/>
        <v/>
      </c>
      <c r="W106" s="511" t="str">
        <f>IF(E106="","",IF(H106&lt;S106+T106,"Error in Areas ▲",IF(P106&lt;&gt;'G-1 All Habitats'!$X$3,H106-S106-T106,IF(AND(P106='G-1 All Habitats'!$X$3,Y106="Yes"),"Unacceptable Loss",IF(AND(P106='G-1 All Habitats'!$X$3,Y106="No"),AC106,IF(AND(P106='G-1 All Habitats'!$X$3,Y106=""),AC106,IF(AND(P106='G-1 All Habitats'!$X$3,AC106="None",AC106),IF(AND(P106='G-1 All Habitats'!$X$3,AC106&gt;0),H106-S106-T106))))))))</f>
        <v/>
      </c>
      <c r="X106" s="515" t="str">
        <f>IFERROR(IF(H106="","",IF(H106-S106-T106=0&lt;0,"Error in Areas ▲",IF(S106+T106&gt;H106,"Error in Areas ▲",IF(AND(P106='G-1 All Habitats'!$X$3,Y106="Yes"),"Alternative Compensation ✓",IF(W106=0,0,IF(P106='G-1 All Habitats'!$X$3,"Unacceptable Loss ▲",Q106-U106-V106)))))),"Check Data ▲")</f>
        <v/>
      </c>
      <c r="Y106" s="72"/>
      <c r="Z106" s="80"/>
      <c r="AA106" s="81"/>
      <c r="AC106" s="75" t="str">
        <f>IF(P106="","",IF(P106='G-1 All Habitats'!$X$3,H106-S106-T106,"None"))</f>
        <v/>
      </c>
      <c r="AD106" s="76" t="str">
        <f>IFERROR(AC106*J106*L106*#REF!*O106,IF(P106="","","None"))</f>
        <v/>
      </c>
      <c r="AF106" s="54" t="str">
        <f t="shared" si="5"/>
        <v/>
      </c>
      <c r="AG106" s="54" t="str">
        <f t="shared" si="6"/>
        <v/>
      </c>
      <c r="AH106" s="54" t="str">
        <f>IF(I106="","",IF(#REF!&gt;0,TRUE,FALSE))</f>
        <v/>
      </c>
      <c r="AI106" s="54">
        <v>96</v>
      </c>
      <c r="AJ106" s="54"/>
      <c r="AK106" s="54" t="str">
        <f t="array" ref="AK106">IFERROR(INDEX($AI$11:$AI$259, MATCH(0, IF(TRUE=$AF$11:$AF$259, COUNTIF($AK$10:$AK105, $AI$11:$AI$259), ""), 0)),"")</f>
        <v/>
      </c>
      <c r="AL106" s="54" t="str">
        <f t="array" ref="AL106">IFERROR(INDEX($AI$11:$AI$259, MATCH(0, IF(TRUE=$AG$11:$AG$259, COUNTIF($AL$10:$AL105, $AI$11:$AI$259), ""), 0)),"")</f>
        <v/>
      </c>
      <c r="AM106" s="54" t="str">
        <f t="array" ref="AM106">IFERROR(INDEX($AI$11:$AI$259, MATCH(0, IF(TRUE=$AH$11:$AH$259, COUNTIF($AM$10:$AM105, $AI$11:$AI$259), ""), 0)),"")</f>
        <v/>
      </c>
      <c r="AN106" s="54"/>
      <c r="AQ106" s="47">
        <f t="shared" si="7"/>
        <v>0</v>
      </c>
    </row>
    <row r="107" spans="1:43" x14ac:dyDescent="0.25">
      <c r="A107" s="47" t="str">
        <f>IFERROR(INDEX('G-1 All Habitats'!$AG$3:$AG$15,MATCH(E107,'G-1 All Habitats'!$AF$3:$AF$15,0)),"")</f>
        <v/>
      </c>
      <c r="B107" s="47" t="str">
        <f>IFERROR(INDEX('G-8 Condition Look up'!$I$4:$I$130,MATCH(G107,'G-8 Condition Look up'!$A$4:$A$130,0)),"")</f>
        <v/>
      </c>
      <c r="D107" s="77">
        <v>97</v>
      </c>
      <c r="E107" s="78"/>
      <c r="F107" s="79"/>
      <c r="G107" s="69" t="str">
        <f>IFERROR(INDEX('G-1 All Habitats'!$B$3:$B$129,MATCH(F107,'G-1 All Habitats'!$A$3:$A$129,0)),"")</f>
        <v/>
      </c>
      <c r="H107" s="70"/>
      <c r="I107" s="498" t="str">
        <f>IF(G107="","",VLOOKUP(G107,'G-1 All Habitats'!$B$2:$M$129,10,FALSE))</f>
        <v/>
      </c>
      <c r="J107" s="499" t="str">
        <f>IFERROR(VLOOKUP(I107,'G-1 All Habitats'!$V$3:$W$7,2,FALSE),"")</f>
        <v/>
      </c>
      <c r="K107" s="71"/>
      <c r="L107" s="499" t="str">
        <f>IFERROR(INDEX('G-8 Condition Look up'!$A$3:$H$130,MATCH(G107,'G-8 Condition Look up'!$A$3:$A$130,0),MATCH(K107,'G-8 Condition Look up'!$A$3:$H$3,0)),"")</f>
        <v/>
      </c>
      <c r="M107" s="71"/>
      <c r="N107" s="520" t="str">
        <f>IF(M107="","",IF(VLOOKUP(M107,'G-3 Multipliers'!$L$3:$N$6,2,FALSE)=0,"Spatial Data Missing",VLOOKUP(M107,'G-3 Multipliers'!$L$3:$N$6,2,FALSE)))</f>
        <v/>
      </c>
      <c r="O107" s="505" t="str">
        <f>IF(M107="","",IF(VLOOKUP(M107,'G-3 Multipliers'!$L$3:$N$6,3,FALSE)=0,"Spatial Data Missing",VLOOKUP(M107,'G-3 Multipliers'!$L$3:$N$6,3,FALSE)))</f>
        <v/>
      </c>
      <c r="P107" s="506" t="str">
        <f>IFERROR(VLOOKUP(G107,'G-1 All Habitats'!$B$2:$M$129,12,FALSE),"")</f>
        <v/>
      </c>
      <c r="Q107" s="513" t="str">
        <f>IFERROR(IF(P107="","",IF(AND(P107='G-1 All Habitats'!$X$3,T107&gt;0),U107+V107,IF(AND(P107='G-1 All Habitats'!$X$3,S107&gt;0),U107+V107,IF(AND(P107='G-1 All Habitats'!$X$3,AC107&gt;0),"Any Loss Unacceptable ▲",IF(AND(P107='G-1 All Habitats'!$X$3,W107&gt;0),"Any Loss Unacceptable ▲",H107*J107*L107*O107))))),"Check Data ▲")</f>
        <v/>
      </c>
      <c r="R107" s="50"/>
      <c r="S107" s="71"/>
      <c r="T107" s="72"/>
      <c r="U107" s="511" t="str">
        <f t="shared" si="8"/>
        <v/>
      </c>
      <c r="V107" s="511" t="str">
        <f t="shared" si="9"/>
        <v/>
      </c>
      <c r="W107" s="511" t="str">
        <f>IF(E107="","",IF(H107&lt;S107+T107,"Error in Areas ▲",IF(P107&lt;&gt;'G-1 All Habitats'!$X$3,H107-S107-T107,IF(AND(P107='G-1 All Habitats'!$X$3,Y107="Yes"),"Unacceptable Loss",IF(AND(P107='G-1 All Habitats'!$X$3,Y107="No"),AC107,IF(AND(P107='G-1 All Habitats'!$X$3,Y107=""),AC107,IF(AND(P107='G-1 All Habitats'!$X$3,AC107="None",AC107),IF(AND(P107='G-1 All Habitats'!$X$3,AC107&gt;0),H107-S107-T107))))))))</f>
        <v/>
      </c>
      <c r="X107" s="515" t="str">
        <f>IFERROR(IF(H107="","",IF(H107-S107-T107=0&lt;0,"Error in Areas ▲",IF(S107+T107&gt;H107,"Error in Areas ▲",IF(AND(P107='G-1 All Habitats'!$X$3,Y107="Yes"),"Alternative Compensation ✓",IF(W107=0,0,IF(P107='G-1 All Habitats'!$X$3,"Unacceptable Loss ▲",Q107-U107-V107)))))),"Check Data ▲")</f>
        <v/>
      </c>
      <c r="Y107" s="72"/>
      <c r="Z107" s="80"/>
      <c r="AA107" s="81"/>
      <c r="AC107" s="75" t="str">
        <f>IF(P107="","",IF(P107='G-1 All Habitats'!$X$3,H107-S107-T107,"None"))</f>
        <v/>
      </c>
      <c r="AD107" s="76" t="str">
        <f>IFERROR(AC107*J107*L107*#REF!*O107,IF(P107="","","None"))</f>
        <v/>
      </c>
      <c r="AF107" s="54" t="str">
        <f t="shared" si="5"/>
        <v/>
      </c>
      <c r="AG107" s="54" t="str">
        <f t="shared" si="6"/>
        <v/>
      </c>
      <c r="AH107" s="54" t="str">
        <f>IF(I107="","",IF(#REF!&gt;0,TRUE,FALSE))</f>
        <v/>
      </c>
      <c r="AI107" s="54">
        <v>97</v>
      </c>
      <c r="AJ107" s="54"/>
      <c r="AK107" s="54" t="str">
        <f t="array" ref="AK107">IFERROR(INDEX($AI$11:$AI$259, MATCH(0, IF(TRUE=$AF$11:$AF$259, COUNTIF($AK$10:$AK106, $AI$11:$AI$259), ""), 0)),"")</f>
        <v/>
      </c>
      <c r="AL107" s="54" t="str">
        <f t="array" ref="AL107">IFERROR(INDEX($AI$11:$AI$259, MATCH(0, IF(TRUE=$AG$11:$AG$259, COUNTIF($AL$10:$AL106, $AI$11:$AI$259), ""), 0)),"")</f>
        <v/>
      </c>
      <c r="AM107" s="54" t="str">
        <f t="array" ref="AM107">IFERROR(INDEX($AI$11:$AI$259, MATCH(0, IF(TRUE=$AH$11:$AH$259, COUNTIF($AM$10:$AM106, $AI$11:$AI$259), ""), 0)),"")</f>
        <v/>
      </c>
      <c r="AN107" s="54"/>
      <c r="AQ107" s="47">
        <f t="shared" si="7"/>
        <v>0</v>
      </c>
    </row>
    <row r="108" spans="1:43" x14ac:dyDescent="0.25">
      <c r="A108" s="47" t="str">
        <f>IFERROR(INDEX('G-1 All Habitats'!$AG$3:$AG$15,MATCH(E108,'G-1 All Habitats'!$AF$3:$AF$15,0)),"")</f>
        <v/>
      </c>
      <c r="B108" s="47" t="str">
        <f>IFERROR(INDEX('G-8 Condition Look up'!$I$4:$I$130,MATCH(G108,'G-8 Condition Look up'!$A$4:$A$130,0)),"")</f>
        <v/>
      </c>
      <c r="D108" s="77">
        <v>98</v>
      </c>
      <c r="E108" s="78"/>
      <c r="F108" s="79"/>
      <c r="G108" s="69" t="str">
        <f>IFERROR(INDEX('G-1 All Habitats'!$B$3:$B$129,MATCH(F108,'G-1 All Habitats'!$A$3:$A$129,0)),"")</f>
        <v/>
      </c>
      <c r="H108" s="70"/>
      <c r="I108" s="498" t="str">
        <f>IF(G108="","",VLOOKUP(G108,'G-1 All Habitats'!$B$2:$M$129,10,FALSE))</f>
        <v/>
      </c>
      <c r="J108" s="499" t="str">
        <f>IFERROR(VLOOKUP(I108,'G-1 All Habitats'!$V$3:$W$7,2,FALSE),"")</f>
        <v/>
      </c>
      <c r="K108" s="71"/>
      <c r="L108" s="499" t="str">
        <f>IFERROR(INDEX('G-8 Condition Look up'!$A$3:$H$130,MATCH(G108,'G-8 Condition Look up'!$A$3:$A$130,0),MATCH(K108,'G-8 Condition Look up'!$A$3:$H$3,0)),"")</f>
        <v/>
      </c>
      <c r="M108" s="71"/>
      <c r="N108" s="520" t="str">
        <f>IF(M108="","",IF(VLOOKUP(M108,'G-3 Multipliers'!$L$3:$N$6,2,FALSE)=0,"Spatial Data Missing",VLOOKUP(M108,'G-3 Multipliers'!$L$3:$N$6,2,FALSE)))</f>
        <v/>
      </c>
      <c r="O108" s="505" t="str">
        <f>IF(M108="","",IF(VLOOKUP(M108,'G-3 Multipliers'!$L$3:$N$6,3,FALSE)=0,"Spatial Data Missing",VLOOKUP(M108,'G-3 Multipliers'!$L$3:$N$6,3,FALSE)))</f>
        <v/>
      </c>
      <c r="P108" s="506" t="str">
        <f>IFERROR(VLOOKUP(G108,'G-1 All Habitats'!$B$2:$M$129,12,FALSE),"")</f>
        <v/>
      </c>
      <c r="Q108" s="513" t="str">
        <f>IFERROR(IF(P108="","",IF(AND(P108='G-1 All Habitats'!$X$3,T108&gt;0),U108+V108,IF(AND(P108='G-1 All Habitats'!$X$3,S108&gt;0),U108+V108,IF(AND(P108='G-1 All Habitats'!$X$3,AC108&gt;0),"Any Loss Unacceptable ▲",IF(AND(P108='G-1 All Habitats'!$X$3,W108&gt;0),"Any Loss Unacceptable ▲",H108*J108*L108*O108))))),"Check Data ▲")</f>
        <v/>
      </c>
      <c r="R108" s="50"/>
      <c r="S108" s="71"/>
      <c r="T108" s="72"/>
      <c r="U108" s="511" t="str">
        <f t="shared" si="8"/>
        <v/>
      </c>
      <c r="V108" s="511" t="str">
        <f t="shared" si="9"/>
        <v/>
      </c>
      <c r="W108" s="511" t="str">
        <f>IF(E108="","",IF(H108&lt;S108+T108,"Error in Areas ▲",IF(P108&lt;&gt;'G-1 All Habitats'!$X$3,H108-S108-T108,IF(AND(P108='G-1 All Habitats'!$X$3,Y108="Yes"),"Unacceptable Loss",IF(AND(P108='G-1 All Habitats'!$X$3,Y108="No"),AC108,IF(AND(P108='G-1 All Habitats'!$X$3,Y108=""),AC108,IF(AND(P108='G-1 All Habitats'!$X$3,AC108="None",AC108),IF(AND(P108='G-1 All Habitats'!$X$3,AC108&gt;0),H108-S108-T108))))))))</f>
        <v/>
      </c>
      <c r="X108" s="515" t="str">
        <f>IFERROR(IF(H108="","",IF(H108-S108-T108=0&lt;0,"Error in Areas ▲",IF(S108+T108&gt;H108,"Error in Areas ▲",IF(AND(P108='G-1 All Habitats'!$X$3,Y108="Yes"),"Alternative Compensation ✓",IF(W108=0,0,IF(P108='G-1 All Habitats'!$X$3,"Unacceptable Loss ▲",Q108-U108-V108)))))),"Check Data ▲")</f>
        <v/>
      </c>
      <c r="Y108" s="72"/>
      <c r="Z108" s="80"/>
      <c r="AA108" s="81"/>
      <c r="AC108" s="75" t="str">
        <f>IF(P108="","",IF(P108='G-1 All Habitats'!$X$3,H108-S108-T108,"None"))</f>
        <v/>
      </c>
      <c r="AD108" s="76" t="str">
        <f>IFERROR(AC108*J108*L108*#REF!*O108,IF(P108="","","None"))</f>
        <v/>
      </c>
      <c r="AF108" s="54" t="str">
        <f t="shared" si="5"/>
        <v/>
      </c>
      <c r="AG108" s="54" t="str">
        <f t="shared" si="6"/>
        <v/>
      </c>
      <c r="AH108" s="54" t="str">
        <f>IF(I108="","",IF(#REF!&gt;0,TRUE,FALSE))</f>
        <v/>
      </c>
      <c r="AI108" s="54">
        <v>98</v>
      </c>
      <c r="AJ108" s="54"/>
      <c r="AK108" s="54" t="str">
        <f t="array" ref="AK108">IFERROR(INDEX($AI$11:$AI$259, MATCH(0, IF(TRUE=$AF$11:$AF$259, COUNTIF($AK$10:$AK107, $AI$11:$AI$259), ""), 0)),"")</f>
        <v/>
      </c>
      <c r="AL108" s="54" t="str">
        <f t="array" ref="AL108">IFERROR(INDEX($AI$11:$AI$259, MATCH(0, IF(TRUE=$AG$11:$AG$259, COUNTIF($AL$10:$AL107, $AI$11:$AI$259), ""), 0)),"")</f>
        <v/>
      </c>
      <c r="AM108" s="54" t="str">
        <f t="array" ref="AM108">IFERROR(INDEX($AI$11:$AI$259, MATCH(0, IF(TRUE=$AH$11:$AH$259, COUNTIF($AM$10:$AM107, $AI$11:$AI$259), ""), 0)),"")</f>
        <v/>
      </c>
      <c r="AN108" s="54"/>
      <c r="AQ108" s="47">
        <f t="shared" si="7"/>
        <v>0</v>
      </c>
    </row>
    <row r="109" spans="1:43" x14ac:dyDescent="0.25">
      <c r="A109" s="47" t="str">
        <f>IFERROR(INDEX('G-1 All Habitats'!$AG$3:$AG$15,MATCH(E109,'G-1 All Habitats'!$AF$3:$AF$15,0)),"")</f>
        <v/>
      </c>
      <c r="B109" s="47" t="str">
        <f>IFERROR(INDEX('G-8 Condition Look up'!$I$4:$I$130,MATCH(G109,'G-8 Condition Look up'!$A$4:$A$130,0)),"")</f>
        <v/>
      </c>
      <c r="D109" s="77">
        <v>99</v>
      </c>
      <c r="E109" s="78"/>
      <c r="F109" s="79"/>
      <c r="G109" s="69" t="str">
        <f>IFERROR(INDEX('G-1 All Habitats'!$B$3:$B$129,MATCH(F109,'G-1 All Habitats'!$A$3:$A$129,0)),"")</f>
        <v/>
      </c>
      <c r="H109" s="70"/>
      <c r="I109" s="498" t="str">
        <f>IF(G109="","",VLOOKUP(G109,'G-1 All Habitats'!$B$2:$M$129,10,FALSE))</f>
        <v/>
      </c>
      <c r="J109" s="499" t="str">
        <f>IFERROR(VLOOKUP(I109,'G-1 All Habitats'!$V$3:$W$7,2,FALSE),"")</f>
        <v/>
      </c>
      <c r="K109" s="71"/>
      <c r="L109" s="499" t="str">
        <f>IFERROR(INDEX('G-8 Condition Look up'!$A$3:$H$130,MATCH(G109,'G-8 Condition Look up'!$A$3:$A$130,0),MATCH(K109,'G-8 Condition Look up'!$A$3:$H$3,0)),"")</f>
        <v/>
      </c>
      <c r="M109" s="71"/>
      <c r="N109" s="520" t="str">
        <f>IF(M109="","",IF(VLOOKUP(M109,'G-3 Multipliers'!$L$3:$N$6,2,FALSE)=0,"Spatial Data Missing",VLOOKUP(M109,'G-3 Multipliers'!$L$3:$N$6,2,FALSE)))</f>
        <v/>
      </c>
      <c r="O109" s="505" t="str">
        <f>IF(M109="","",IF(VLOOKUP(M109,'G-3 Multipliers'!$L$3:$N$6,3,FALSE)=0,"Spatial Data Missing",VLOOKUP(M109,'G-3 Multipliers'!$L$3:$N$6,3,FALSE)))</f>
        <v/>
      </c>
      <c r="P109" s="506" t="str">
        <f>IFERROR(VLOOKUP(G109,'G-1 All Habitats'!$B$2:$M$129,12,FALSE),"")</f>
        <v/>
      </c>
      <c r="Q109" s="513" t="str">
        <f>IFERROR(IF(P109="","",IF(AND(P109='G-1 All Habitats'!$X$3,T109&gt;0),U109+V109,IF(AND(P109='G-1 All Habitats'!$X$3,S109&gt;0),U109+V109,IF(AND(P109='G-1 All Habitats'!$X$3,AC109&gt;0),"Any Loss Unacceptable ▲",IF(AND(P109='G-1 All Habitats'!$X$3,W109&gt;0),"Any Loss Unacceptable ▲",H109*J109*L109*O109))))),"Check Data ▲")</f>
        <v/>
      </c>
      <c r="R109" s="50"/>
      <c r="S109" s="71"/>
      <c r="T109" s="72"/>
      <c r="U109" s="511" t="str">
        <f t="shared" si="8"/>
        <v/>
      </c>
      <c r="V109" s="511" t="str">
        <f t="shared" si="9"/>
        <v/>
      </c>
      <c r="W109" s="511" t="str">
        <f>IF(E109="","",IF(H109&lt;S109+T109,"Error in Areas ▲",IF(P109&lt;&gt;'G-1 All Habitats'!$X$3,H109-S109-T109,IF(AND(P109='G-1 All Habitats'!$X$3,Y109="Yes"),"Unacceptable Loss",IF(AND(P109='G-1 All Habitats'!$X$3,Y109="No"),AC109,IF(AND(P109='G-1 All Habitats'!$X$3,Y109=""),AC109,IF(AND(P109='G-1 All Habitats'!$X$3,AC109="None",AC109),IF(AND(P109='G-1 All Habitats'!$X$3,AC109&gt;0),H109-S109-T109))))))))</f>
        <v/>
      </c>
      <c r="X109" s="515" t="str">
        <f>IFERROR(IF(H109="","",IF(H109-S109-T109=0&lt;0,"Error in Areas ▲",IF(S109+T109&gt;H109,"Error in Areas ▲",IF(AND(P109='G-1 All Habitats'!$X$3,Y109="Yes"),"Alternative Compensation ✓",IF(W109=0,0,IF(P109='G-1 All Habitats'!$X$3,"Unacceptable Loss ▲",Q109-U109-V109)))))),"Check Data ▲")</f>
        <v/>
      </c>
      <c r="Y109" s="72"/>
      <c r="Z109" s="80"/>
      <c r="AA109" s="81"/>
      <c r="AC109" s="75" t="str">
        <f>IF(P109="","",IF(P109='G-1 All Habitats'!$X$3,H109-S109-T109,"None"))</f>
        <v/>
      </c>
      <c r="AD109" s="76" t="str">
        <f>IFERROR(AC109*J109*L109*#REF!*O109,IF(P109="","","None"))</f>
        <v/>
      </c>
      <c r="AF109" s="54" t="str">
        <f t="shared" si="5"/>
        <v/>
      </c>
      <c r="AG109" s="54" t="str">
        <f t="shared" si="6"/>
        <v/>
      </c>
      <c r="AH109" s="54" t="str">
        <f>IF(I109="","",IF(#REF!&gt;0,TRUE,FALSE))</f>
        <v/>
      </c>
      <c r="AI109" s="54">
        <v>99</v>
      </c>
      <c r="AJ109" s="54"/>
      <c r="AK109" s="54" t="str">
        <f t="array" ref="AK109">IFERROR(INDEX($AI$11:$AI$259, MATCH(0, IF(TRUE=$AF$11:$AF$259, COUNTIF($AK$10:$AK108, $AI$11:$AI$259), ""), 0)),"")</f>
        <v/>
      </c>
      <c r="AL109" s="54" t="str">
        <f t="array" ref="AL109">IFERROR(INDEX($AI$11:$AI$259, MATCH(0, IF(TRUE=$AG$11:$AG$259, COUNTIF($AL$10:$AL108, $AI$11:$AI$259), ""), 0)),"")</f>
        <v/>
      </c>
      <c r="AM109" s="54" t="str">
        <f t="array" ref="AM109">IFERROR(INDEX($AI$11:$AI$259, MATCH(0, IF(TRUE=$AH$11:$AH$259, COUNTIF($AM$10:$AM108, $AI$11:$AI$259), ""), 0)),"")</f>
        <v/>
      </c>
      <c r="AN109" s="54"/>
      <c r="AQ109" s="47">
        <f t="shared" si="7"/>
        <v>0</v>
      </c>
    </row>
    <row r="110" spans="1:43" x14ac:dyDescent="0.25">
      <c r="A110" s="47" t="str">
        <f>IFERROR(INDEX('G-1 All Habitats'!$AG$3:$AG$15,MATCH(E110,'G-1 All Habitats'!$AF$3:$AF$15,0)),"")</f>
        <v/>
      </c>
      <c r="B110" s="47" t="str">
        <f>IFERROR(INDEX('G-8 Condition Look up'!$I$4:$I$130,MATCH(G110,'G-8 Condition Look up'!$A$4:$A$130,0)),"")</f>
        <v/>
      </c>
      <c r="D110" s="77">
        <v>100</v>
      </c>
      <c r="E110" s="78"/>
      <c r="F110" s="79"/>
      <c r="G110" s="69" t="str">
        <f>IFERROR(INDEX('G-1 All Habitats'!$B$3:$B$129,MATCH(F110,'G-1 All Habitats'!$A$3:$A$129,0)),"")</f>
        <v/>
      </c>
      <c r="H110" s="70"/>
      <c r="I110" s="498" t="str">
        <f>IF(G110="","",VLOOKUP(G110,'G-1 All Habitats'!$B$2:$M$129,10,FALSE))</f>
        <v/>
      </c>
      <c r="J110" s="499" t="str">
        <f>IFERROR(VLOOKUP(I110,'G-1 All Habitats'!$V$3:$W$7,2,FALSE),"")</f>
        <v/>
      </c>
      <c r="K110" s="71"/>
      <c r="L110" s="499" t="str">
        <f>IFERROR(INDEX('G-8 Condition Look up'!$A$3:$H$130,MATCH(G110,'G-8 Condition Look up'!$A$3:$A$130,0),MATCH(K110,'G-8 Condition Look up'!$A$3:$H$3,0)),"")</f>
        <v/>
      </c>
      <c r="M110" s="71"/>
      <c r="N110" s="520" t="str">
        <f>IF(M110="","",IF(VLOOKUP(M110,'G-3 Multipliers'!$L$3:$N$6,2,FALSE)=0,"Spatial Data Missing",VLOOKUP(M110,'G-3 Multipliers'!$L$3:$N$6,2,FALSE)))</f>
        <v/>
      </c>
      <c r="O110" s="505" t="str">
        <f>IF(M110="","",IF(VLOOKUP(M110,'G-3 Multipliers'!$L$3:$N$6,3,FALSE)=0,"Spatial Data Missing",VLOOKUP(M110,'G-3 Multipliers'!$L$3:$N$6,3,FALSE)))</f>
        <v/>
      </c>
      <c r="P110" s="506" t="str">
        <f>IFERROR(VLOOKUP(G110,'G-1 All Habitats'!$B$2:$M$129,12,FALSE),"")</f>
        <v/>
      </c>
      <c r="Q110" s="513" t="str">
        <f>IFERROR(IF(P110="","",IF(AND(P110='G-1 All Habitats'!$X$3,T110&gt;0),U110+V110,IF(AND(P110='G-1 All Habitats'!$X$3,S110&gt;0),U110+V110,IF(AND(P110='G-1 All Habitats'!$X$3,AC110&gt;0),"Any Loss Unacceptable ▲",IF(AND(P110='G-1 All Habitats'!$X$3,W110&gt;0),"Any Loss Unacceptable ▲",H110*J110*L110*O110))))),"Check Data ▲")</f>
        <v/>
      </c>
      <c r="R110" s="50"/>
      <c r="S110" s="71"/>
      <c r="T110" s="72"/>
      <c r="U110" s="511" t="str">
        <f t="shared" si="8"/>
        <v/>
      </c>
      <c r="V110" s="511" t="str">
        <f t="shared" si="9"/>
        <v/>
      </c>
      <c r="W110" s="511" t="str">
        <f>IF(E110="","",IF(H110&lt;S110+T110,"Error in Areas ▲",IF(P110&lt;&gt;'G-1 All Habitats'!$X$3,H110-S110-T110,IF(AND(P110='G-1 All Habitats'!$X$3,Y110="Yes"),"Unacceptable Loss",IF(AND(P110='G-1 All Habitats'!$X$3,Y110="No"),AC110,IF(AND(P110='G-1 All Habitats'!$X$3,Y110=""),AC110,IF(AND(P110='G-1 All Habitats'!$X$3,AC110="None",AC110),IF(AND(P110='G-1 All Habitats'!$X$3,AC110&gt;0),H110-S110-T110))))))))</f>
        <v/>
      </c>
      <c r="X110" s="515" t="str">
        <f>IFERROR(IF(H110="","",IF(H110-S110-T110=0&lt;0,"Error in Areas ▲",IF(S110+T110&gt;H110,"Error in Areas ▲",IF(AND(P110='G-1 All Habitats'!$X$3,Y110="Yes"),"Alternative Compensation ✓",IF(W110=0,0,IF(P110='G-1 All Habitats'!$X$3,"Unacceptable Loss ▲",Q110-U110-V110)))))),"Check Data ▲")</f>
        <v/>
      </c>
      <c r="Y110" s="72"/>
      <c r="Z110" s="80"/>
      <c r="AA110" s="81"/>
      <c r="AC110" s="75" t="str">
        <f>IF(P110="","",IF(P110='G-1 All Habitats'!$X$3,H110-S110-T110,"None"))</f>
        <v/>
      </c>
      <c r="AD110" s="76" t="str">
        <f>IFERROR(AC110*J110*L110*#REF!*O110,IF(P110="","","None"))</f>
        <v/>
      </c>
      <c r="AF110" s="54" t="str">
        <f t="shared" si="5"/>
        <v/>
      </c>
      <c r="AG110" s="54" t="str">
        <f t="shared" si="6"/>
        <v/>
      </c>
      <c r="AH110" s="54" t="str">
        <f>IF(I110="","",IF(#REF!&gt;0,TRUE,FALSE))</f>
        <v/>
      </c>
      <c r="AI110" s="54">
        <v>100</v>
      </c>
      <c r="AJ110" s="54"/>
      <c r="AK110" s="54" t="str">
        <f t="array" ref="AK110">IFERROR(INDEX($AI$11:$AI$259, MATCH(0, IF(TRUE=$AF$11:$AF$259, COUNTIF($AK$10:$AK109, $AI$11:$AI$259), ""), 0)),"")</f>
        <v/>
      </c>
      <c r="AL110" s="54" t="str">
        <f t="array" ref="AL110">IFERROR(INDEX($AI$11:$AI$259, MATCH(0, IF(TRUE=$AG$11:$AG$259, COUNTIF($AL$10:$AL109, $AI$11:$AI$259), ""), 0)),"")</f>
        <v/>
      </c>
      <c r="AM110" s="54" t="str">
        <f t="array" ref="AM110">IFERROR(INDEX($AI$11:$AI$259, MATCH(0, IF(TRUE=$AH$11:$AH$259, COUNTIF($AM$10:$AM109, $AI$11:$AI$259), ""), 0)),"")</f>
        <v/>
      </c>
      <c r="AN110" s="54"/>
      <c r="AQ110" s="47">
        <f t="shared" si="7"/>
        <v>0</v>
      </c>
    </row>
    <row r="111" spans="1:43" x14ac:dyDescent="0.25">
      <c r="A111" s="47" t="str">
        <f>IFERROR(INDEX('G-1 All Habitats'!$AG$3:$AG$15,MATCH(E111,'G-1 All Habitats'!$AF$3:$AF$15,0)),"")</f>
        <v/>
      </c>
      <c r="B111" s="47" t="str">
        <f>IFERROR(INDEX('G-8 Condition Look up'!$I$4:$I$130,MATCH(G111,'G-8 Condition Look up'!$A$4:$A$130,0)),"")</f>
        <v/>
      </c>
      <c r="D111" s="77">
        <v>101</v>
      </c>
      <c r="E111" s="78"/>
      <c r="F111" s="79"/>
      <c r="G111" s="69" t="str">
        <f>IFERROR(INDEX('G-1 All Habitats'!$B$3:$B$129,MATCH(F111,'G-1 All Habitats'!$A$3:$A$129,0)),"")</f>
        <v/>
      </c>
      <c r="H111" s="70"/>
      <c r="I111" s="498" t="str">
        <f>IF(G111="","",VLOOKUP(G111,'G-1 All Habitats'!$B$2:$M$129,10,FALSE))</f>
        <v/>
      </c>
      <c r="J111" s="499" t="str">
        <f>IFERROR(VLOOKUP(I111,'G-1 All Habitats'!$V$3:$W$7,2,FALSE),"")</f>
        <v/>
      </c>
      <c r="K111" s="71"/>
      <c r="L111" s="499" t="str">
        <f>IFERROR(INDEX('G-8 Condition Look up'!$A$3:$H$130,MATCH(G111,'G-8 Condition Look up'!$A$3:$A$130,0),MATCH(K111,'G-8 Condition Look up'!$A$3:$H$3,0)),"")</f>
        <v/>
      </c>
      <c r="M111" s="71"/>
      <c r="N111" s="520" t="str">
        <f>IF(M111="","",IF(VLOOKUP(M111,'G-3 Multipliers'!$L$3:$N$6,2,FALSE)=0,"Spatial Data Missing",VLOOKUP(M111,'G-3 Multipliers'!$L$3:$N$6,2,FALSE)))</f>
        <v/>
      </c>
      <c r="O111" s="505" t="str">
        <f>IF(M111="","",IF(VLOOKUP(M111,'G-3 Multipliers'!$L$3:$N$6,3,FALSE)=0,"Spatial Data Missing",VLOOKUP(M111,'G-3 Multipliers'!$L$3:$N$6,3,FALSE)))</f>
        <v/>
      </c>
      <c r="P111" s="506" t="str">
        <f>IFERROR(VLOOKUP(G111,'G-1 All Habitats'!$B$2:$M$129,12,FALSE),"")</f>
        <v/>
      </c>
      <c r="Q111" s="513" t="str">
        <f>IFERROR(IF(P111="","",IF(AND(P111='G-1 All Habitats'!$X$3,T111&gt;0),U111+V111,IF(AND(P111='G-1 All Habitats'!$X$3,S111&gt;0),U111+V111,IF(AND(P111='G-1 All Habitats'!$X$3,AC111&gt;0),"Any Loss Unacceptable ▲",IF(AND(P111='G-1 All Habitats'!$X$3,W111&gt;0),"Any Loss Unacceptable ▲",H111*J111*L111*O111))))),"Check Data ▲")</f>
        <v/>
      </c>
      <c r="R111" s="50"/>
      <c r="S111" s="71"/>
      <c r="T111" s="72"/>
      <c r="U111" s="511" t="str">
        <f t="shared" si="8"/>
        <v/>
      </c>
      <c r="V111" s="511" t="str">
        <f t="shared" si="9"/>
        <v/>
      </c>
      <c r="W111" s="511" t="str">
        <f>IF(E111="","",IF(H111&lt;S111+T111,"Error in Areas ▲",IF(P111&lt;&gt;'G-1 All Habitats'!$X$3,H111-S111-T111,IF(AND(P111='G-1 All Habitats'!$X$3,Y111="Yes"),"Unacceptable Loss",IF(AND(P111='G-1 All Habitats'!$X$3,Y111="No"),AC111,IF(AND(P111='G-1 All Habitats'!$X$3,Y111=""),AC111,IF(AND(P111='G-1 All Habitats'!$X$3,AC111="None",AC111),IF(AND(P111='G-1 All Habitats'!$X$3,AC111&gt;0),H111-S111-T111))))))))</f>
        <v/>
      </c>
      <c r="X111" s="515" t="str">
        <f>IFERROR(IF(H111="","",IF(H111-S111-T111=0&lt;0,"Error in Areas ▲",IF(S111+T111&gt;H111,"Error in Areas ▲",IF(AND(P111='G-1 All Habitats'!$X$3,Y111="Yes"),"Alternative Compensation ✓",IF(W111=0,0,IF(P111='G-1 All Habitats'!$X$3,"Unacceptable Loss ▲",Q111-U111-V111)))))),"Check Data ▲")</f>
        <v/>
      </c>
      <c r="Y111" s="72"/>
      <c r="Z111" s="80"/>
      <c r="AA111" s="81"/>
      <c r="AC111" s="75" t="str">
        <f>IF(P111="","",IF(P111='G-1 All Habitats'!$X$3,H111-S111-T111,"None"))</f>
        <v/>
      </c>
      <c r="AD111" s="76" t="str">
        <f>IFERROR(AC111*J111*L111*#REF!*O111,IF(P111="","","None"))</f>
        <v/>
      </c>
      <c r="AF111" s="54" t="str">
        <f t="shared" si="5"/>
        <v/>
      </c>
      <c r="AG111" s="54" t="str">
        <f t="shared" si="6"/>
        <v/>
      </c>
      <c r="AH111" s="54" t="str">
        <f>IF(I111="","",IF(#REF!&gt;0,TRUE,FALSE))</f>
        <v/>
      </c>
      <c r="AI111" s="54">
        <v>101</v>
      </c>
      <c r="AJ111" s="54"/>
      <c r="AK111" s="54" t="str">
        <f t="array" ref="AK111">IFERROR(INDEX($AI$11:$AI$259, MATCH(0, IF(TRUE=$AF$11:$AF$259, COUNTIF($AK$10:$AK110, $AI$11:$AI$259), ""), 0)),"")</f>
        <v/>
      </c>
      <c r="AL111" s="54" t="str">
        <f t="array" ref="AL111">IFERROR(INDEX($AI$11:$AI$259, MATCH(0, IF(TRUE=$AG$11:$AG$259, COUNTIF($AL$10:$AL110, $AI$11:$AI$259), ""), 0)),"")</f>
        <v/>
      </c>
      <c r="AM111" s="54" t="str">
        <f t="array" ref="AM111">IFERROR(INDEX($AI$11:$AI$259, MATCH(0, IF(TRUE=$AH$11:$AH$259, COUNTIF($AM$10:$AM110, $AI$11:$AI$259), ""), 0)),"")</f>
        <v/>
      </c>
      <c r="AN111" s="54"/>
      <c r="AQ111" s="47">
        <f t="shared" si="7"/>
        <v>0</v>
      </c>
    </row>
    <row r="112" spans="1:43" x14ac:dyDescent="0.25">
      <c r="A112" s="47" t="str">
        <f>IFERROR(INDEX('G-1 All Habitats'!$AG$3:$AG$15,MATCH(E112,'G-1 All Habitats'!$AF$3:$AF$15,0)),"")</f>
        <v/>
      </c>
      <c r="B112" s="47" t="str">
        <f>IFERROR(INDEX('G-8 Condition Look up'!$I$4:$I$130,MATCH(G112,'G-8 Condition Look up'!$A$4:$A$130,0)),"")</f>
        <v/>
      </c>
      <c r="D112" s="77">
        <v>102</v>
      </c>
      <c r="E112" s="78"/>
      <c r="F112" s="79"/>
      <c r="G112" s="69" t="str">
        <f>IFERROR(INDEX('G-1 All Habitats'!$B$3:$B$129,MATCH(F112,'G-1 All Habitats'!$A$3:$A$129,0)),"")</f>
        <v/>
      </c>
      <c r="H112" s="70"/>
      <c r="I112" s="498" t="str">
        <f>IF(G112="","",VLOOKUP(G112,'G-1 All Habitats'!$B$2:$M$129,10,FALSE))</f>
        <v/>
      </c>
      <c r="J112" s="499" t="str">
        <f>IFERROR(VLOOKUP(I112,'G-1 All Habitats'!$V$3:$W$7,2,FALSE),"")</f>
        <v/>
      </c>
      <c r="K112" s="71"/>
      <c r="L112" s="499" t="str">
        <f>IFERROR(INDEX('G-8 Condition Look up'!$A$3:$H$130,MATCH(G112,'G-8 Condition Look up'!$A$3:$A$130,0),MATCH(K112,'G-8 Condition Look up'!$A$3:$H$3,0)),"")</f>
        <v/>
      </c>
      <c r="M112" s="71"/>
      <c r="N112" s="520" t="str">
        <f>IF(M112="","",IF(VLOOKUP(M112,'G-3 Multipliers'!$L$3:$N$6,2,FALSE)=0,"Spatial Data Missing",VLOOKUP(M112,'G-3 Multipliers'!$L$3:$N$6,2,FALSE)))</f>
        <v/>
      </c>
      <c r="O112" s="505" t="str">
        <f>IF(M112="","",IF(VLOOKUP(M112,'G-3 Multipliers'!$L$3:$N$6,3,FALSE)=0,"Spatial Data Missing",VLOOKUP(M112,'G-3 Multipliers'!$L$3:$N$6,3,FALSE)))</f>
        <v/>
      </c>
      <c r="P112" s="506" t="str">
        <f>IFERROR(VLOOKUP(G112,'G-1 All Habitats'!$B$2:$M$129,12,FALSE),"")</f>
        <v/>
      </c>
      <c r="Q112" s="513" t="str">
        <f>IFERROR(IF(P112="","",IF(AND(P112='G-1 All Habitats'!$X$3,T112&gt;0),U112+V112,IF(AND(P112='G-1 All Habitats'!$X$3,S112&gt;0),U112+V112,IF(AND(P112='G-1 All Habitats'!$X$3,AC112&gt;0),"Any Loss Unacceptable ▲",IF(AND(P112='G-1 All Habitats'!$X$3,W112&gt;0),"Any Loss Unacceptable ▲",H112*J112*L112*O112))))),"Check Data ▲")</f>
        <v/>
      </c>
      <c r="R112" s="50"/>
      <c r="S112" s="71"/>
      <c r="T112" s="72"/>
      <c r="U112" s="511" t="str">
        <f t="shared" si="8"/>
        <v/>
      </c>
      <c r="V112" s="511" t="str">
        <f t="shared" si="9"/>
        <v/>
      </c>
      <c r="W112" s="511" t="str">
        <f>IF(E112="","",IF(H112&lt;S112+T112,"Error in Areas ▲",IF(P112&lt;&gt;'G-1 All Habitats'!$X$3,H112-S112-T112,IF(AND(P112='G-1 All Habitats'!$X$3,Y112="Yes"),"Unacceptable Loss",IF(AND(P112='G-1 All Habitats'!$X$3,Y112="No"),AC112,IF(AND(P112='G-1 All Habitats'!$X$3,Y112=""),AC112,IF(AND(P112='G-1 All Habitats'!$X$3,AC112="None",AC112),IF(AND(P112='G-1 All Habitats'!$X$3,AC112&gt;0),H112-S112-T112))))))))</f>
        <v/>
      </c>
      <c r="X112" s="515" t="str">
        <f>IFERROR(IF(H112="","",IF(H112-S112-T112=0&lt;0,"Error in Areas ▲",IF(S112+T112&gt;H112,"Error in Areas ▲",IF(AND(P112='G-1 All Habitats'!$X$3,Y112="Yes"),"Alternative Compensation ✓",IF(W112=0,0,IF(P112='G-1 All Habitats'!$X$3,"Unacceptable Loss ▲",Q112-U112-V112)))))),"Check Data ▲")</f>
        <v/>
      </c>
      <c r="Y112" s="72"/>
      <c r="Z112" s="80"/>
      <c r="AA112" s="81"/>
      <c r="AC112" s="75" t="str">
        <f>IF(P112="","",IF(P112='G-1 All Habitats'!$X$3,H112-S112-T112,"None"))</f>
        <v/>
      </c>
      <c r="AD112" s="76" t="str">
        <f>IFERROR(AC112*J112*L112*#REF!*O112,IF(P112="","","None"))</f>
        <v/>
      </c>
      <c r="AF112" s="54" t="str">
        <f t="shared" si="5"/>
        <v/>
      </c>
      <c r="AG112" s="54" t="str">
        <f t="shared" si="6"/>
        <v/>
      </c>
      <c r="AH112" s="54" t="str">
        <f>IF(I112="","",IF(#REF!&gt;0,TRUE,FALSE))</f>
        <v/>
      </c>
      <c r="AI112" s="54">
        <v>102</v>
      </c>
      <c r="AJ112" s="54"/>
      <c r="AK112" s="54" t="str">
        <f t="array" ref="AK112">IFERROR(INDEX($AI$11:$AI$259, MATCH(0, IF(TRUE=$AF$11:$AF$259, COUNTIF($AK$10:$AK111, $AI$11:$AI$259), ""), 0)),"")</f>
        <v/>
      </c>
      <c r="AL112" s="54" t="str">
        <f t="array" ref="AL112">IFERROR(INDEX($AI$11:$AI$259, MATCH(0, IF(TRUE=$AG$11:$AG$259, COUNTIF($AL$10:$AL111, $AI$11:$AI$259), ""), 0)),"")</f>
        <v/>
      </c>
      <c r="AM112" s="54" t="str">
        <f t="array" ref="AM112">IFERROR(INDEX($AI$11:$AI$259, MATCH(0, IF(TRUE=$AH$11:$AH$259, COUNTIF($AM$10:$AM111, $AI$11:$AI$259), ""), 0)),"")</f>
        <v/>
      </c>
      <c r="AN112" s="54"/>
      <c r="AQ112" s="47">
        <f t="shared" si="7"/>
        <v>0</v>
      </c>
    </row>
    <row r="113" spans="1:43" x14ac:dyDescent="0.25">
      <c r="A113" s="47" t="str">
        <f>IFERROR(INDEX('G-1 All Habitats'!$AG$3:$AG$15,MATCH(E113,'G-1 All Habitats'!$AF$3:$AF$15,0)),"")</f>
        <v/>
      </c>
      <c r="B113" s="47" t="str">
        <f>IFERROR(INDEX('G-8 Condition Look up'!$I$4:$I$130,MATCH(G113,'G-8 Condition Look up'!$A$4:$A$130,0)),"")</f>
        <v/>
      </c>
      <c r="D113" s="77">
        <v>103</v>
      </c>
      <c r="E113" s="78"/>
      <c r="F113" s="79"/>
      <c r="G113" s="69" t="str">
        <f>IFERROR(INDEX('G-1 All Habitats'!$B$3:$B$129,MATCH(F113,'G-1 All Habitats'!$A$3:$A$129,0)),"")</f>
        <v/>
      </c>
      <c r="H113" s="70"/>
      <c r="I113" s="498" t="str">
        <f>IF(G113="","",VLOOKUP(G113,'G-1 All Habitats'!$B$2:$M$129,10,FALSE))</f>
        <v/>
      </c>
      <c r="J113" s="499" t="str">
        <f>IFERROR(VLOOKUP(I113,'G-1 All Habitats'!$V$3:$W$7,2,FALSE),"")</f>
        <v/>
      </c>
      <c r="K113" s="71"/>
      <c r="L113" s="499" t="str">
        <f>IFERROR(INDEX('G-8 Condition Look up'!$A$3:$H$130,MATCH(G113,'G-8 Condition Look up'!$A$3:$A$130,0),MATCH(K113,'G-8 Condition Look up'!$A$3:$H$3,0)),"")</f>
        <v/>
      </c>
      <c r="M113" s="71"/>
      <c r="N113" s="520" t="str">
        <f>IF(M113="","",IF(VLOOKUP(M113,'G-3 Multipliers'!$L$3:$N$6,2,FALSE)=0,"Spatial Data Missing",VLOOKUP(M113,'G-3 Multipliers'!$L$3:$N$6,2,FALSE)))</f>
        <v/>
      </c>
      <c r="O113" s="505" t="str">
        <f>IF(M113="","",IF(VLOOKUP(M113,'G-3 Multipliers'!$L$3:$N$6,3,FALSE)=0,"Spatial Data Missing",VLOOKUP(M113,'G-3 Multipliers'!$L$3:$N$6,3,FALSE)))</f>
        <v/>
      </c>
      <c r="P113" s="506" t="str">
        <f>IFERROR(VLOOKUP(G113,'G-1 All Habitats'!$B$2:$M$129,12,FALSE),"")</f>
        <v/>
      </c>
      <c r="Q113" s="513" t="str">
        <f>IFERROR(IF(P113="","",IF(AND(P113='G-1 All Habitats'!$X$3,T113&gt;0),U113+V113,IF(AND(P113='G-1 All Habitats'!$X$3,S113&gt;0),U113+V113,IF(AND(P113='G-1 All Habitats'!$X$3,AC113&gt;0),"Any Loss Unacceptable ▲",IF(AND(P113='G-1 All Habitats'!$X$3,W113&gt;0),"Any Loss Unacceptable ▲",H113*J113*L113*O113))))),"Check Data ▲")</f>
        <v/>
      </c>
      <c r="R113" s="50"/>
      <c r="S113" s="71"/>
      <c r="T113" s="72"/>
      <c r="U113" s="511" t="str">
        <f t="shared" si="8"/>
        <v/>
      </c>
      <c r="V113" s="511" t="str">
        <f t="shared" si="9"/>
        <v/>
      </c>
      <c r="W113" s="511" t="str">
        <f>IF(E113="","",IF(H113&lt;S113+T113,"Error in Areas ▲",IF(P113&lt;&gt;'G-1 All Habitats'!$X$3,H113-S113-T113,IF(AND(P113='G-1 All Habitats'!$X$3,Y113="Yes"),"Unacceptable Loss",IF(AND(P113='G-1 All Habitats'!$X$3,Y113="No"),AC113,IF(AND(P113='G-1 All Habitats'!$X$3,Y113=""),AC113,IF(AND(P113='G-1 All Habitats'!$X$3,AC113="None",AC113),IF(AND(P113='G-1 All Habitats'!$X$3,AC113&gt;0),H113-S113-T113))))))))</f>
        <v/>
      </c>
      <c r="X113" s="515" t="str">
        <f>IFERROR(IF(H113="","",IF(H113-S113-T113=0&lt;0,"Error in Areas ▲",IF(S113+T113&gt;H113,"Error in Areas ▲",IF(AND(P113='G-1 All Habitats'!$X$3,Y113="Yes"),"Alternative Compensation ✓",IF(W113=0,0,IF(P113='G-1 All Habitats'!$X$3,"Unacceptable Loss ▲",Q113-U113-V113)))))),"Check Data ▲")</f>
        <v/>
      </c>
      <c r="Y113" s="72"/>
      <c r="Z113" s="80"/>
      <c r="AA113" s="81"/>
      <c r="AC113" s="75" t="str">
        <f>IF(P113="","",IF(P113='G-1 All Habitats'!$X$3,H113-S113-T113,"None"))</f>
        <v/>
      </c>
      <c r="AD113" s="76" t="str">
        <f>IFERROR(AC113*J113*L113*#REF!*O113,IF(P113="","","None"))</f>
        <v/>
      </c>
      <c r="AF113" s="54" t="str">
        <f t="shared" si="5"/>
        <v/>
      </c>
      <c r="AG113" s="54" t="str">
        <f t="shared" si="6"/>
        <v/>
      </c>
      <c r="AH113" s="54" t="str">
        <f>IF(I113="","",IF(#REF!&gt;0,TRUE,FALSE))</f>
        <v/>
      </c>
      <c r="AI113" s="54">
        <v>103</v>
      </c>
      <c r="AJ113" s="54"/>
      <c r="AK113" s="54" t="str">
        <f t="array" ref="AK113">IFERROR(INDEX($AI$11:$AI$259, MATCH(0, IF(TRUE=$AF$11:$AF$259, COUNTIF($AK$10:$AK112, $AI$11:$AI$259), ""), 0)),"")</f>
        <v/>
      </c>
      <c r="AL113" s="54" t="str">
        <f t="array" ref="AL113">IFERROR(INDEX($AI$11:$AI$259, MATCH(0, IF(TRUE=$AG$11:$AG$259, COUNTIF($AL$10:$AL112, $AI$11:$AI$259), ""), 0)),"")</f>
        <v/>
      </c>
      <c r="AM113" s="54" t="str">
        <f t="array" ref="AM113">IFERROR(INDEX($AI$11:$AI$259, MATCH(0, IF(TRUE=$AH$11:$AH$259, COUNTIF($AM$10:$AM112, $AI$11:$AI$259), ""), 0)),"")</f>
        <v/>
      </c>
      <c r="AN113" s="54"/>
      <c r="AQ113" s="47">
        <f t="shared" si="7"/>
        <v>0</v>
      </c>
    </row>
    <row r="114" spans="1:43" x14ac:dyDescent="0.25">
      <c r="A114" s="47" t="str">
        <f>IFERROR(INDEX('G-1 All Habitats'!$AG$3:$AG$15,MATCH(E114,'G-1 All Habitats'!$AF$3:$AF$15,0)),"")</f>
        <v/>
      </c>
      <c r="B114" s="47" t="str">
        <f>IFERROR(INDEX('G-8 Condition Look up'!$I$4:$I$130,MATCH(G114,'G-8 Condition Look up'!$A$4:$A$130,0)),"")</f>
        <v/>
      </c>
      <c r="D114" s="77">
        <v>104</v>
      </c>
      <c r="E114" s="78"/>
      <c r="F114" s="79"/>
      <c r="G114" s="69" t="str">
        <f>IFERROR(INDEX('G-1 All Habitats'!$B$3:$B$129,MATCH(F114,'G-1 All Habitats'!$A$3:$A$129,0)),"")</f>
        <v/>
      </c>
      <c r="H114" s="70"/>
      <c r="I114" s="498" t="str">
        <f>IF(G114="","",VLOOKUP(G114,'G-1 All Habitats'!$B$2:$M$129,10,FALSE))</f>
        <v/>
      </c>
      <c r="J114" s="499" t="str">
        <f>IFERROR(VLOOKUP(I114,'G-1 All Habitats'!$V$3:$W$7,2,FALSE),"")</f>
        <v/>
      </c>
      <c r="K114" s="71"/>
      <c r="L114" s="499" t="str">
        <f>IFERROR(INDEX('G-8 Condition Look up'!$A$3:$H$130,MATCH(G114,'G-8 Condition Look up'!$A$3:$A$130,0),MATCH(K114,'G-8 Condition Look up'!$A$3:$H$3,0)),"")</f>
        <v/>
      </c>
      <c r="M114" s="71"/>
      <c r="N114" s="520" t="str">
        <f>IF(M114="","",IF(VLOOKUP(M114,'G-3 Multipliers'!$L$3:$N$6,2,FALSE)=0,"Spatial Data Missing",VLOOKUP(M114,'G-3 Multipliers'!$L$3:$N$6,2,FALSE)))</f>
        <v/>
      </c>
      <c r="O114" s="505" t="str">
        <f>IF(M114="","",IF(VLOOKUP(M114,'G-3 Multipliers'!$L$3:$N$6,3,FALSE)=0,"Spatial Data Missing",VLOOKUP(M114,'G-3 Multipliers'!$L$3:$N$6,3,FALSE)))</f>
        <v/>
      </c>
      <c r="P114" s="506" t="str">
        <f>IFERROR(VLOOKUP(G114,'G-1 All Habitats'!$B$2:$M$129,12,FALSE),"")</f>
        <v/>
      </c>
      <c r="Q114" s="513" t="str">
        <f>IFERROR(IF(P114="","",IF(AND(P114='G-1 All Habitats'!$X$3,T114&gt;0),U114+V114,IF(AND(P114='G-1 All Habitats'!$X$3,S114&gt;0),U114+V114,IF(AND(P114='G-1 All Habitats'!$X$3,AC114&gt;0),"Any Loss Unacceptable ▲",IF(AND(P114='G-1 All Habitats'!$X$3,W114&gt;0),"Any Loss Unacceptable ▲",H114*J114*L114*O114))))),"Check Data ▲")</f>
        <v/>
      </c>
      <c r="R114" s="50"/>
      <c r="S114" s="71"/>
      <c r="T114" s="72"/>
      <c r="U114" s="511" t="str">
        <f t="shared" si="8"/>
        <v/>
      </c>
      <c r="V114" s="511" t="str">
        <f t="shared" si="9"/>
        <v/>
      </c>
      <c r="W114" s="511" t="str">
        <f>IF(E114="","",IF(H114&lt;S114+T114,"Error in Areas ▲",IF(P114&lt;&gt;'G-1 All Habitats'!$X$3,H114-S114-T114,IF(AND(P114='G-1 All Habitats'!$X$3,Y114="Yes"),"Unacceptable Loss",IF(AND(P114='G-1 All Habitats'!$X$3,Y114="No"),AC114,IF(AND(P114='G-1 All Habitats'!$X$3,Y114=""),AC114,IF(AND(P114='G-1 All Habitats'!$X$3,AC114="None",AC114),IF(AND(P114='G-1 All Habitats'!$X$3,AC114&gt;0),H114-S114-T114))))))))</f>
        <v/>
      </c>
      <c r="X114" s="515" t="str">
        <f>IFERROR(IF(H114="","",IF(H114-S114-T114=0&lt;0,"Error in Areas ▲",IF(S114+T114&gt;H114,"Error in Areas ▲",IF(AND(P114='G-1 All Habitats'!$X$3,Y114="Yes"),"Alternative Compensation ✓",IF(W114=0,0,IF(P114='G-1 All Habitats'!$X$3,"Unacceptable Loss ▲",Q114-U114-V114)))))),"Check Data ▲")</f>
        <v/>
      </c>
      <c r="Y114" s="72"/>
      <c r="Z114" s="80"/>
      <c r="AA114" s="81"/>
      <c r="AC114" s="75" t="str">
        <f>IF(P114="","",IF(P114='G-1 All Habitats'!$X$3,H114-S114-T114,"None"))</f>
        <v/>
      </c>
      <c r="AD114" s="76" t="str">
        <f>IFERROR(AC114*J114*L114*#REF!*O114,IF(P114="","","None"))</f>
        <v/>
      </c>
      <c r="AF114" s="54" t="str">
        <f t="shared" si="5"/>
        <v/>
      </c>
      <c r="AG114" s="54" t="str">
        <f t="shared" si="6"/>
        <v/>
      </c>
      <c r="AH114" s="54" t="str">
        <f>IF(I114="","",IF(#REF!&gt;0,TRUE,FALSE))</f>
        <v/>
      </c>
      <c r="AI114" s="54">
        <v>104</v>
      </c>
      <c r="AJ114" s="54"/>
      <c r="AK114" s="54" t="str">
        <f t="array" ref="AK114">IFERROR(INDEX($AI$11:$AI$259, MATCH(0, IF(TRUE=$AF$11:$AF$259, COUNTIF($AK$10:$AK113, $AI$11:$AI$259), ""), 0)),"")</f>
        <v/>
      </c>
      <c r="AL114" s="54" t="str">
        <f t="array" ref="AL114">IFERROR(INDEX($AI$11:$AI$259, MATCH(0, IF(TRUE=$AG$11:$AG$259, COUNTIF($AL$10:$AL113, $AI$11:$AI$259), ""), 0)),"")</f>
        <v/>
      </c>
      <c r="AM114" s="54" t="str">
        <f t="array" ref="AM114">IFERROR(INDEX($AI$11:$AI$259, MATCH(0, IF(TRUE=$AH$11:$AH$259, COUNTIF($AM$10:$AM113, $AI$11:$AI$259), ""), 0)),"")</f>
        <v/>
      </c>
      <c r="AN114" s="54"/>
      <c r="AQ114" s="47">
        <f t="shared" si="7"/>
        <v>0</v>
      </c>
    </row>
    <row r="115" spans="1:43" x14ac:dyDescent="0.25">
      <c r="A115" s="47" t="str">
        <f>IFERROR(INDEX('G-1 All Habitats'!$AG$3:$AG$15,MATCH(E115,'G-1 All Habitats'!$AF$3:$AF$15,0)),"")</f>
        <v/>
      </c>
      <c r="B115" s="47" t="str">
        <f>IFERROR(INDEX('G-8 Condition Look up'!$I$4:$I$130,MATCH(G115,'G-8 Condition Look up'!$A$4:$A$130,0)),"")</f>
        <v/>
      </c>
      <c r="D115" s="77">
        <v>105</v>
      </c>
      <c r="E115" s="78"/>
      <c r="F115" s="79"/>
      <c r="G115" s="69" t="str">
        <f>IFERROR(INDEX('G-1 All Habitats'!$B$3:$B$129,MATCH(F115,'G-1 All Habitats'!$A$3:$A$129,0)),"")</f>
        <v/>
      </c>
      <c r="H115" s="70"/>
      <c r="I115" s="498" t="str">
        <f>IF(G115="","",VLOOKUP(G115,'G-1 All Habitats'!$B$2:$M$129,10,FALSE))</f>
        <v/>
      </c>
      <c r="J115" s="499" t="str">
        <f>IFERROR(VLOOKUP(I115,'G-1 All Habitats'!$V$3:$W$7,2,FALSE),"")</f>
        <v/>
      </c>
      <c r="K115" s="71"/>
      <c r="L115" s="499" t="str">
        <f>IFERROR(INDEX('G-8 Condition Look up'!$A$3:$H$130,MATCH(G115,'G-8 Condition Look up'!$A$3:$A$130,0),MATCH(K115,'G-8 Condition Look up'!$A$3:$H$3,0)),"")</f>
        <v/>
      </c>
      <c r="M115" s="71"/>
      <c r="N115" s="520" t="str">
        <f>IF(M115="","",IF(VLOOKUP(M115,'G-3 Multipliers'!$L$3:$N$6,2,FALSE)=0,"Spatial Data Missing",VLOOKUP(M115,'G-3 Multipliers'!$L$3:$N$6,2,FALSE)))</f>
        <v/>
      </c>
      <c r="O115" s="505" t="str">
        <f>IF(M115="","",IF(VLOOKUP(M115,'G-3 Multipliers'!$L$3:$N$6,3,FALSE)=0,"Spatial Data Missing",VLOOKUP(M115,'G-3 Multipliers'!$L$3:$N$6,3,FALSE)))</f>
        <v/>
      </c>
      <c r="P115" s="506" t="str">
        <f>IFERROR(VLOOKUP(G115,'G-1 All Habitats'!$B$2:$M$129,12,FALSE),"")</f>
        <v/>
      </c>
      <c r="Q115" s="513" t="str">
        <f>IFERROR(IF(P115="","",IF(AND(P115='G-1 All Habitats'!$X$3,T115&gt;0),U115+V115,IF(AND(P115='G-1 All Habitats'!$X$3,S115&gt;0),U115+V115,IF(AND(P115='G-1 All Habitats'!$X$3,AC115&gt;0),"Any Loss Unacceptable ▲",IF(AND(P115='G-1 All Habitats'!$X$3,W115&gt;0),"Any Loss Unacceptable ▲",H115*J115*L115*O115))))),"Check Data ▲")</f>
        <v/>
      </c>
      <c r="R115" s="50"/>
      <c r="S115" s="71"/>
      <c r="T115" s="72"/>
      <c r="U115" s="511" t="str">
        <f t="shared" si="8"/>
        <v/>
      </c>
      <c r="V115" s="511" t="str">
        <f t="shared" si="9"/>
        <v/>
      </c>
      <c r="W115" s="511" t="str">
        <f>IF(E115="","",IF(H115&lt;S115+T115,"Error in Areas ▲",IF(P115&lt;&gt;'G-1 All Habitats'!$X$3,H115-S115-T115,IF(AND(P115='G-1 All Habitats'!$X$3,Y115="Yes"),"Unacceptable Loss",IF(AND(P115='G-1 All Habitats'!$X$3,Y115="No"),AC115,IF(AND(P115='G-1 All Habitats'!$X$3,Y115=""),AC115,IF(AND(P115='G-1 All Habitats'!$X$3,AC115="None",AC115),IF(AND(P115='G-1 All Habitats'!$X$3,AC115&gt;0),H115-S115-T115))))))))</f>
        <v/>
      </c>
      <c r="X115" s="515" t="str">
        <f>IFERROR(IF(H115="","",IF(H115-S115-T115=0&lt;0,"Error in Areas ▲",IF(S115+T115&gt;H115,"Error in Areas ▲",IF(AND(P115='G-1 All Habitats'!$X$3,Y115="Yes"),"Alternative Compensation ✓",IF(W115=0,0,IF(P115='G-1 All Habitats'!$X$3,"Unacceptable Loss ▲",Q115-U115-V115)))))),"Check Data ▲")</f>
        <v/>
      </c>
      <c r="Y115" s="72"/>
      <c r="Z115" s="80"/>
      <c r="AA115" s="81"/>
      <c r="AC115" s="75" t="str">
        <f>IF(P115="","",IF(P115='G-1 All Habitats'!$X$3,H115-S115-T115,"None"))</f>
        <v/>
      </c>
      <c r="AD115" s="76" t="str">
        <f>IFERROR(AC115*J115*L115*#REF!*O115,IF(P115="","","None"))</f>
        <v/>
      </c>
      <c r="AF115" s="54" t="str">
        <f t="shared" si="5"/>
        <v/>
      </c>
      <c r="AG115" s="54" t="str">
        <f t="shared" si="6"/>
        <v/>
      </c>
      <c r="AH115" s="54" t="str">
        <f>IF(I115="","",IF(#REF!&gt;0,TRUE,FALSE))</f>
        <v/>
      </c>
      <c r="AI115" s="54">
        <v>105</v>
      </c>
      <c r="AJ115" s="54"/>
      <c r="AK115" s="54" t="str">
        <f t="array" ref="AK115">IFERROR(INDEX($AI$11:$AI$259, MATCH(0, IF(TRUE=$AF$11:$AF$259, COUNTIF($AK$10:$AK114, $AI$11:$AI$259), ""), 0)),"")</f>
        <v/>
      </c>
      <c r="AL115" s="54" t="str">
        <f t="array" ref="AL115">IFERROR(INDEX($AI$11:$AI$259, MATCH(0, IF(TRUE=$AG$11:$AG$259, COUNTIF($AL$10:$AL114, $AI$11:$AI$259), ""), 0)),"")</f>
        <v/>
      </c>
      <c r="AM115" s="54" t="str">
        <f t="array" ref="AM115">IFERROR(INDEX($AI$11:$AI$259, MATCH(0, IF(TRUE=$AH$11:$AH$259, COUNTIF($AM$10:$AM114, $AI$11:$AI$259), ""), 0)),"")</f>
        <v/>
      </c>
      <c r="AN115" s="54"/>
      <c r="AQ115" s="47">
        <f t="shared" si="7"/>
        <v>0</v>
      </c>
    </row>
    <row r="116" spans="1:43" x14ac:dyDescent="0.25">
      <c r="A116" s="47" t="str">
        <f>IFERROR(INDEX('G-1 All Habitats'!$AG$3:$AG$15,MATCH(E116,'G-1 All Habitats'!$AF$3:$AF$15,0)),"")</f>
        <v/>
      </c>
      <c r="B116" s="47" t="str">
        <f>IFERROR(INDEX('G-8 Condition Look up'!$I$4:$I$130,MATCH(G116,'G-8 Condition Look up'!$A$4:$A$130,0)),"")</f>
        <v/>
      </c>
      <c r="D116" s="77">
        <v>106</v>
      </c>
      <c r="E116" s="78"/>
      <c r="F116" s="79"/>
      <c r="G116" s="69" t="str">
        <f>IFERROR(INDEX('G-1 All Habitats'!$B$3:$B$129,MATCH(F116,'G-1 All Habitats'!$A$3:$A$129,0)),"")</f>
        <v/>
      </c>
      <c r="H116" s="70"/>
      <c r="I116" s="498" t="str">
        <f>IF(G116="","",VLOOKUP(G116,'G-1 All Habitats'!$B$2:$M$129,10,FALSE))</f>
        <v/>
      </c>
      <c r="J116" s="499" t="str">
        <f>IFERROR(VLOOKUP(I116,'G-1 All Habitats'!$V$3:$W$7,2,FALSE),"")</f>
        <v/>
      </c>
      <c r="K116" s="71"/>
      <c r="L116" s="499" t="str">
        <f>IFERROR(INDEX('G-8 Condition Look up'!$A$3:$H$130,MATCH(G116,'G-8 Condition Look up'!$A$3:$A$130,0),MATCH(K116,'G-8 Condition Look up'!$A$3:$H$3,0)),"")</f>
        <v/>
      </c>
      <c r="M116" s="71"/>
      <c r="N116" s="520" t="str">
        <f>IF(M116="","",IF(VLOOKUP(M116,'G-3 Multipliers'!$L$3:$N$6,2,FALSE)=0,"Spatial Data Missing",VLOOKUP(M116,'G-3 Multipliers'!$L$3:$N$6,2,FALSE)))</f>
        <v/>
      </c>
      <c r="O116" s="505" t="str">
        <f>IF(M116="","",IF(VLOOKUP(M116,'G-3 Multipliers'!$L$3:$N$6,3,FALSE)=0,"Spatial Data Missing",VLOOKUP(M116,'G-3 Multipliers'!$L$3:$N$6,3,FALSE)))</f>
        <v/>
      </c>
      <c r="P116" s="506" t="str">
        <f>IFERROR(VLOOKUP(G116,'G-1 All Habitats'!$B$2:$M$129,12,FALSE),"")</f>
        <v/>
      </c>
      <c r="Q116" s="513" t="str">
        <f>IFERROR(IF(P116="","",IF(AND(P116='G-1 All Habitats'!$X$3,T116&gt;0),U116+V116,IF(AND(P116='G-1 All Habitats'!$X$3,S116&gt;0),U116+V116,IF(AND(P116='G-1 All Habitats'!$X$3,AC116&gt;0),"Any Loss Unacceptable ▲",IF(AND(P116='G-1 All Habitats'!$X$3,W116&gt;0),"Any Loss Unacceptable ▲",H116*J116*L116*O116))))),"Check Data ▲")</f>
        <v/>
      </c>
      <c r="R116" s="50"/>
      <c r="S116" s="71"/>
      <c r="T116" s="72"/>
      <c r="U116" s="511" t="str">
        <f t="shared" si="8"/>
        <v/>
      </c>
      <c r="V116" s="511" t="str">
        <f t="shared" si="9"/>
        <v/>
      </c>
      <c r="W116" s="511" t="str">
        <f>IF(E116="","",IF(H116&lt;S116+T116,"Error in Areas ▲",IF(P116&lt;&gt;'G-1 All Habitats'!$X$3,H116-S116-T116,IF(AND(P116='G-1 All Habitats'!$X$3,Y116="Yes"),"Unacceptable Loss",IF(AND(P116='G-1 All Habitats'!$X$3,Y116="No"),AC116,IF(AND(P116='G-1 All Habitats'!$X$3,Y116=""),AC116,IF(AND(P116='G-1 All Habitats'!$X$3,AC116="None",AC116),IF(AND(P116='G-1 All Habitats'!$X$3,AC116&gt;0),H116-S116-T116))))))))</f>
        <v/>
      </c>
      <c r="X116" s="515" t="str">
        <f>IFERROR(IF(H116="","",IF(H116-S116-T116=0&lt;0,"Error in Areas ▲",IF(S116+T116&gt;H116,"Error in Areas ▲",IF(AND(P116='G-1 All Habitats'!$X$3,Y116="Yes"),"Alternative Compensation ✓",IF(W116=0,0,IF(P116='G-1 All Habitats'!$X$3,"Unacceptable Loss ▲",Q116-U116-V116)))))),"Check Data ▲")</f>
        <v/>
      </c>
      <c r="Y116" s="72"/>
      <c r="Z116" s="80"/>
      <c r="AA116" s="81"/>
      <c r="AC116" s="75" t="str">
        <f>IF(P116="","",IF(P116='G-1 All Habitats'!$X$3,H116-S116-T116,"None"))</f>
        <v/>
      </c>
      <c r="AD116" s="76" t="str">
        <f>IFERROR(AC116*J116*L116*#REF!*O116,IF(P116="","","None"))</f>
        <v/>
      </c>
      <c r="AF116" s="54" t="str">
        <f t="shared" si="5"/>
        <v/>
      </c>
      <c r="AG116" s="54" t="str">
        <f t="shared" si="6"/>
        <v/>
      </c>
      <c r="AH116" s="54" t="str">
        <f>IF(I116="","",IF(#REF!&gt;0,TRUE,FALSE))</f>
        <v/>
      </c>
      <c r="AI116" s="54">
        <v>106</v>
      </c>
      <c r="AJ116" s="54"/>
      <c r="AK116" s="54" t="str">
        <f t="array" ref="AK116">IFERROR(INDEX($AI$11:$AI$259, MATCH(0, IF(TRUE=$AF$11:$AF$259, COUNTIF($AK$10:$AK115, $AI$11:$AI$259), ""), 0)),"")</f>
        <v/>
      </c>
      <c r="AL116" s="54" t="str">
        <f t="array" ref="AL116">IFERROR(INDEX($AI$11:$AI$259, MATCH(0, IF(TRUE=$AG$11:$AG$259, COUNTIF($AL$10:$AL115, $AI$11:$AI$259), ""), 0)),"")</f>
        <v/>
      </c>
      <c r="AM116" s="54" t="str">
        <f t="array" ref="AM116">IFERROR(INDEX($AI$11:$AI$259, MATCH(0, IF(TRUE=$AH$11:$AH$259, COUNTIF($AM$10:$AM115, $AI$11:$AI$259), ""), 0)),"")</f>
        <v/>
      </c>
      <c r="AN116" s="54"/>
      <c r="AQ116" s="47">
        <f t="shared" si="7"/>
        <v>0</v>
      </c>
    </row>
    <row r="117" spans="1:43" x14ac:dyDescent="0.25">
      <c r="A117" s="47" t="str">
        <f>IFERROR(INDEX('G-1 All Habitats'!$AG$3:$AG$15,MATCH(E117,'G-1 All Habitats'!$AF$3:$AF$15,0)),"")</f>
        <v/>
      </c>
      <c r="B117" s="47" t="str">
        <f>IFERROR(INDEX('G-8 Condition Look up'!$I$4:$I$130,MATCH(G117,'G-8 Condition Look up'!$A$4:$A$130,0)),"")</f>
        <v/>
      </c>
      <c r="D117" s="77">
        <v>107</v>
      </c>
      <c r="E117" s="78"/>
      <c r="F117" s="79"/>
      <c r="G117" s="69" t="str">
        <f>IFERROR(INDEX('G-1 All Habitats'!$B$3:$B$129,MATCH(F117,'G-1 All Habitats'!$A$3:$A$129,0)),"")</f>
        <v/>
      </c>
      <c r="H117" s="70"/>
      <c r="I117" s="498" t="str">
        <f>IF(G117="","",VLOOKUP(G117,'G-1 All Habitats'!$B$2:$M$129,10,FALSE))</f>
        <v/>
      </c>
      <c r="J117" s="499" t="str">
        <f>IFERROR(VLOOKUP(I117,'G-1 All Habitats'!$V$3:$W$7,2,FALSE),"")</f>
        <v/>
      </c>
      <c r="K117" s="71"/>
      <c r="L117" s="499" t="str">
        <f>IFERROR(INDEX('G-8 Condition Look up'!$A$3:$H$130,MATCH(G117,'G-8 Condition Look up'!$A$3:$A$130,0),MATCH(K117,'G-8 Condition Look up'!$A$3:$H$3,0)),"")</f>
        <v/>
      </c>
      <c r="M117" s="71"/>
      <c r="N117" s="520" t="str">
        <f>IF(M117="","",IF(VLOOKUP(M117,'G-3 Multipliers'!$L$3:$N$6,2,FALSE)=0,"Spatial Data Missing",VLOOKUP(M117,'G-3 Multipliers'!$L$3:$N$6,2,FALSE)))</f>
        <v/>
      </c>
      <c r="O117" s="505" t="str">
        <f>IF(M117="","",IF(VLOOKUP(M117,'G-3 Multipliers'!$L$3:$N$6,3,FALSE)=0,"Spatial Data Missing",VLOOKUP(M117,'G-3 Multipliers'!$L$3:$N$6,3,FALSE)))</f>
        <v/>
      </c>
      <c r="P117" s="506" t="str">
        <f>IFERROR(VLOOKUP(G117,'G-1 All Habitats'!$B$2:$M$129,12,FALSE),"")</f>
        <v/>
      </c>
      <c r="Q117" s="513" t="str">
        <f>IFERROR(IF(P117="","",IF(AND(P117='G-1 All Habitats'!$X$3,T117&gt;0),U117+V117,IF(AND(P117='G-1 All Habitats'!$X$3,S117&gt;0),U117+V117,IF(AND(P117='G-1 All Habitats'!$X$3,AC117&gt;0),"Any Loss Unacceptable ▲",IF(AND(P117='G-1 All Habitats'!$X$3,W117&gt;0),"Any Loss Unacceptable ▲",H117*J117*L117*O117))))),"Check Data ▲")</f>
        <v/>
      </c>
      <c r="R117" s="50"/>
      <c r="S117" s="71"/>
      <c r="T117" s="72"/>
      <c r="U117" s="511" t="str">
        <f t="shared" si="8"/>
        <v/>
      </c>
      <c r="V117" s="511" t="str">
        <f t="shared" si="9"/>
        <v/>
      </c>
      <c r="W117" s="511" t="str">
        <f>IF(E117="","",IF(H117&lt;S117+T117,"Error in Areas ▲",IF(P117&lt;&gt;'G-1 All Habitats'!$X$3,H117-S117-T117,IF(AND(P117='G-1 All Habitats'!$X$3,Y117="Yes"),"Unacceptable Loss",IF(AND(P117='G-1 All Habitats'!$X$3,Y117="No"),AC117,IF(AND(P117='G-1 All Habitats'!$X$3,Y117=""),AC117,IF(AND(P117='G-1 All Habitats'!$X$3,AC117="None",AC117),IF(AND(P117='G-1 All Habitats'!$X$3,AC117&gt;0),H117-S117-T117))))))))</f>
        <v/>
      </c>
      <c r="X117" s="515" t="str">
        <f>IFERROR(IF(H117="","",IF(H117-S117-T117=0&lt;0,"Error in Areas ▲",IF(S117+T117&gt;H117,"Error in Areas ▲",IF(AND(P117='G-1 All Habitats'!$X$3,Y117="Yes"),"Alternative Compensation ✓",IF(W117=0,0,IF(P117='G-1 All Habitats'!$X$3,"Unacceptable Loss ▲",Q117-U117-V117)))))),"Check Data ▲")</f>
        <v/>
      </c>
      <c r="Y117" s="72"/>
      <c r="Z117" s="80"/>
      <c r="AA117" s="81"/>
      <c r="AC117" s="75" t="str">
        <f>IF(P117="","",IF(P117='G-1 All Habitats'!$X$3,H117-S117-T117,"None"))</f>
        <v/>
      </c>
      <c r="AD117" s="76" t="str">
        <f>IFERROR(AC117*J117*L117*#REF!*O117,IF(P117="","","None"))</f>
        <v/>
      </c>
      <c r="AF117" s="54" t="str">
        <f t="shared" si="5"/>
        <v/>
      </c>
      <c r="AG117" s="54" t="str">
        <f t="shared" si="6"/>
        <v/>
      </c>
      <c r="AH117" s="54" t="str">
        <f>IF(I117="","",IF(#REF!&gt;0,TRUE,FALSE))</f>
        <v/>
      </c>
      <c r="AI117" s="54">
        <v>107</v>
      </c>
      <c r="AJ117" s="54"/>
      <c r="AK117" s="54" t="str">
        <f t="array" ref="AK117">IFERROR(INDEX($AI$11:$AI$259, MATCH(0, IF(TRUE=$AF$11:$AF$259, COUNTIF($AK$10:$AK116, $AI$11:$AI$259), ""), 0)),"")</f>
        <v/>
      </c>
      <c r="AL117" s="54" t="str">
        <f t="array" ref="AL117">IFERROR(INDEX($AI$11:$AI$259, MATCH(0, IF(TRUE=$AG$11:$AG$259, COUNTIF($AL$10:$AL116, $AI$11:$AI$259), ""), 0)),"")</f>
        <v/>
      </c>
      <c r="AM117" s="54" t="str">
        <f t="array" ref="AM117">IFERROR(INDEX($AI$11:$AI$259, MATCH(0, IF(TRUE=$AH$11:$AH$259, COUNTIF($AM$10:$AM116, $AI$11:$AI$259), ""), 0)),"")</f>
        <v/>
      </c>
      <c r="AN117" s="54"/>
      <c r="AQ117" s="47">
        <f t="shared" si="7"/>
        <v>0</v>
      </c>
    </row>
    <row r="118" spans="1:43" x14ac:dyDescent="0.25">
      <c r="A118" s="47" t="str">
        <f>IFERROR(INDEX('G-1 All Habitats'!$AG$3:$AG$15,MATCH(E118,'G-1 All Habitats'!$AF$3:$AF$15,0)),"")</f>
        <v/>
      </c>
      <c r="B118" s="47" t="str">
        <f>IFERROR(INDEX('G-8 Condition Look up'!$I$4:$I$130,MATCH(G118,'G-8 Condition Look up'!$A$4:$A$130,0)),"")</f>
        <v/>
      </c>
      <c r="D118" s="77">
        <v>108</v>
      </c>
      <c r="E118" s="78"/>
      <c r="F118" s="79"/>
      <c r="G118" s="69" t="str">
        <f>IFERROR(INDEX('G-1 All Habitats'!$B$3:$B$129,MATCH(F118,'G-1 All Habitats'!$A$3:$A$129,0)),"")</f>
        <v/>
      </c>
      <c r="H118" s="70"/>
      <c r="I118" s="498" t="str">
        <f>IF(G118="","",VLOOKUP(G118,'G-1 All Habitats'!$B$2:$M$129,10,FALSE))</f>
        <v/>
      </c>
      <c r="J118" s="499" t="str">
        <f>IFERROR(VLOOKUP(I118,'G-1 All Habitats'!$V$3:$W$7,2,FALSE),"")</f>
        <v/>
      </c>
      <c r="K118" s="71"/>
      <c r="L118" s="499" t="str">
        <f>IFERROR(INDEX('G-8 Condition Look up'!$A$3:$H$130,MATCH(G118,'G-8 Condition Look up'!$A$3:$A$130,0),MATCH(K118,'G-8 Condition Look up'!$A$3:$H$3,0)),"")</f>
        <v/>
      </c>
      <c r="M118" s="71"/>
      <c r="N118" s="520" t="str">
        <f>IF(M118="","",IF(VLOOKUP(M118,'G-3 Multipliers'!$L$3:$N$6,2,FALSE)=0,"Spatial Data Missing",VLOOKUP(M118,'G-3 Multipliers'!$L$3:$N$6,2,FALSE)))</f>
        <v/>
      </c>
      <c r="O118" s="505" t="str">
        <f>IF(M118="","",IF(VLOOKUP(M118,'G-3 Multipliers'!$L$3:$N$6,3,FALSE)=0,"Spatial Data Missing",VLOOKUP(M118,'G-3 Multipliers'!$L$3:$N$6,3,FALSE)))</f>
        <v/>
      </c>
      <c r="P118" s="506" t="str">
        <f>IFERROR(VLOOKUP(G118,'G-1 All Habitats'!$B$2:$M$129,12,FALSE),"")</f>
        <v/>
      </c>
      <c r="Q118" s="513" t="str">
        <f>IFERROR(IF(P118="","",IF(AND(P118='G-1 All Habitats'!$X$3,T118&gt;0),U118+V118,IF(AND(P118='G-1 All Habitats'!$X$3,S118&gt;0),U118+V118,IF(AND(P118='G-1 All Habitats'!$X$3,AC118&gt;0),"Any Loss Unacceptable ▲",IF(AND(P118='G-1 All Habitats'!$X$3,W118&gt;0),"Any Loss Unacceptable ▲",H118*J118*L118*O118))))),"Check Data ▲")</f>
        <v/>
      </c>
      <c r="R118" s="50"/>
      <c r="S118" s="71"/>
      <c r="T118" s="72"/>
      <c r="U118" s="511" t="str">
        <f t="shared" si="8"/>
        <v/>
      </c>
      <c r="V118" s="511" t="str">
        <f t="shared" si="9"/>
        <v/>
      </c>
      <c r="W118" s="511" t="str">
        <f>IF(E118="","",IF(H118&lt;S118+T118,"Error in Areas ▲",IF(P118&lt;&gt;'G-1 All Habitats'!$X$3,H118-S118-T118,IF(AND(P118='G-1 All Habitats'!$X$3,Y118="Yes"),"Unacceptable Loss",IF(AND(P118='G-1 All Habitats'!$X$3,Y118="No"),AC118,IF(AND(P118='G-1 All Habitats'!$X$3,Y118=""),AC118,IF(AND(P118='G-1 All Habitats'!$X$3,AC118="None",AC118),IF(AND(P118='G-1 All Habitats'!$X$3,AC118&gt;0),H118-S118-T118))))))))</f>
        <v/>
      </c>
      <c r="X118" s="515" t="str">
        <f>IFERROR(IF(H118="","",IF(H118-S118-T118=0&lt;0,"Error in Areas ▲",IF(S118+T118&gt;H118,"Error in Areas ▲",IF(AND(P118='G-1 All Habitats'!$X$3,Y118="Yes"),"Alternative Compensation ✓",IF(W118=0,0,IF(P118='G-1 All Habitats'!$X$3,"Unacceptable Loss ▲",Q118-U118-V118)))))),"Check Data ▲")</f>
        <v/>
      </c>
      <c r="Y118" s="72"/>
      <c r="Z118" s="80"/>
      <c r="AA118" s="81"/>
      <c r="AC118" s="75" t="str">
        <f>IF(P118="","",IF(P118='G-1 All Habitats'!$X$3,H118-S118-T118,"None"))</f>
        <v/>
      </c>
      <c r="AD118" s="76" t="str">
        <f>IFERROR(AC118*J118*L118*#REF!*O118,IF(P118="","","None"))</f>
        <v/>
      </c>
      <c r="AF118" s="54" t="str">
        <f t="shared" si="5"/>
        <v/>
      </c>
      <c r="AG118" s="54" t="str">
        <f t="shared" si="6"/>
        <v/>
      </c>
      <c r="AH118" s="54" t="str">
        <f>IF(I118="","",IF(#REF!&gt;0,TRUE,FALSE))</f>
        <v/>
      </c>
      <c r="AI118" s="54">
        <v>108</v>
      </c>
      <c r="AJ118" s="54"/>
      <c r="AK118" s="54" t="str">
        <f t="array" ref="AK118">IFERROR(INDEX($AI$11:$AI$259, MATCH(0, IF(TRUE=$AF$11:$AF$259, COUNTIF($AK$10:$AK117, $AI$11:$AI$259), ""), 0)),"")</f>
        <v/>
      </c>
      <c r="AL118" s="54" t="str">
        <f t="array" ref="AL118">IFERROR(INDEX($AI$11:$AI$259, MATCH(0, IF(TRUE=$AG$11:$AG$259, COUNTIF($AL$10:$AL117, $AI$11:$AI$259), ""), 0)),"")</f>
        <v/>
      </c>
      <c r="AM118" s="54" t="str">
        <f t="array" ref="AM118">IFERROR(INDEX($AI$11:$AI$259, MATCH(0, IF(TRUE=$AH$11:$AH$259, COUNTIF($AM$10:$AM117, $AI$11:$AI$259), ""), 0)),"")</f>
        <v/>
      </c>
      <c r="AN118" s="54"/>
      <c r="AQ118" s="47">
        <f t="shared" si="7"/>
        <v>0</v>
      </c>
    </row>
    <row r="119" spans="1:43" x14ac:dyDescent="0.25">
      <c r="A119" s="47" t="str">
        <f>IFERROR(INDEX('G-1 All Habitats'!$AG$3:$AG$15,MATCH(E119,'G-1 All Habitats'!$AF$3:$AF$15,0)),"")</f>
        <v/>
      </c>
      <c r="B119" s="47" t="str">
        <f>IFERROR(INDEX('G-8 Condition Look up'!$I$4:$I$130,MATCH(G119,'G-8 Condition Look up'!$A$4:$A$130,0)),"")</f>
        <v/>
      </c>
      <c r="D119" s="77">
        <v>109</v>
      </c>
      <c r="E119" s="78"/>
      <c r="F119" s="79"/>
      <c r="G119" s="69" t="str">
        <f>IFERROR(INDEX('G-1 All Habitats'!$B$3:$B$129,MATCH(F119,'G-1 All Habitats'!$A$3:$A$129,0)),"")</f>
        <v/>
      </c>
      <c r="H119" s="70"/>
      <c r="I119" s="498" t="str">
        <f>IF(G119="","",VLOOKUP(G119,'G-1 All Habitats'!$B$2:$M$129,10,FALSE))</f>
        <v/>
      </c>
      <c r="J119" s="499" t="str">
        <f>IFERROR(VLOOKUP(I119,'G-1 All Habitats'!$V$3:$W$7,2,FALSE),"")</f>
        <v/>
      </c>
      <c r="K119" s="71"/>
      <c r="L119" s="499" t="str">
        <f>IFERROR(INDEX('G-8 Condition Look up'!$A$3:$H$130,MATCH(G119,'G-8 Condition Look up'!$A$3:$A$130,0),MATCH(K119,'G-8 Condition Look up'!$A$3:$H$3,0)),"")</f>
        <v/>
      </c>
      <c r="M119" s="71"/>
      <c r="N119" s="520" t="str">
        <f>IF(M119="","",IF(VLOOKUP(M119,'G-3 Multipliers'!$L$3:$N$6,2,FALSE)=0,"Spatial Data Missing",VLOOKUP(M119,'G-3 Multipliers'!$L$3:$N$6,2,FALSE)))</f>
        <v/>
      </c>
      <c r="O119" s="505" t="str">
        <f>IF(M119="","",IF(VLOOKUP(M119,'G-3 Multipliers'!$L$3:$N$6,3,FALSE)=0,"Spatial Data Missing",VLOOKUP(M119,'G-3 Multipliers'!$L$3:$N$6,3,FALSE)))</f>
        <v/>
      </c>
      <c r="P119" s="506" t="str">
        <f>IFERROR(VLOOKUP(G119,'G-1 All Habitats'!$B$2:$M$129,12,FALSE),"")</f>
        <v/>
      </c>
      <c r="Q119" s="513" t="str">
        <f>IFERROR(IF(P119="","",IF(AND(P119='G-1 All Habitats'!$X$3,T119&gt;0),U119+V119,IF(AND(P119='G-1 All Habitats'!$X$3,S119&gt;0),U119+V119,IF(AND(P119='G-1 All Habitats'!$X$3,AC119&gt;0),"Any Loss Unacceptable ▲",IF(AND(P119='G-1 All Habitats'!$X$3,W119&gt;0),"Any Loss Unacceptable ▲",H119*J119*L119*O119))))),"Check Data ▲")</f>
        <v/>
      </c>
      <c r="R119" s="50"/>
      <c r="S119" s="71"/>
      <c r="T119" s="72"/>
      <c r="U119" s="511" t="str">
        <f t="shared" si="8"/>
        <v/>
      </c>
      <c r="V119" s="511" t="str">
        <f t="shared" si="9"/>
        <v/>
      </c>
      <c r="W119" s="511" t="str">
        <f>IF(E119="","",IF(H119&lt;S119+T119,"Error in Areas ▲",IF(P119&lt;&gt;'G-1 All Habitats'!$X$3,H119-S119-T119,IF(AND(P119='G-1 All Habitats'!$X$3,Y119="Yes"),"Unacceptable Loss",IF(AND(P119='G-1 All Habitats'!$X$3,Y119="No"),AC119,IF(AND(P119='G-1 All Habitats'!$X$3,Y119=""),AC119,IF(AND(P119='G-1 All Habitats'!$X$3,AC119="None",AC119),IF(AND(P119='G-1 All Habitats'!$X$3,AC119&gt;0),H119-S119-T119))))))))</f>
        <v/>
      </c>
      <c r="X119" s="515" t="str">
        <f>IFERROR(IF(H119="","",IF(H119-S119-T119=0&lt;0,"Error in Areas ▲",IF(S119+T119&gt;H119,"Error in Areas ▲",IF(AND(P119='G-1 All Habitats'!$X$3,Y119="Yes"),"Alternative Compensation ✓",IF(W119=0,0,IF(P119='G-1 All Habitats'!$X$3,"Unacceptable Loss ▲",Q119-U119-V119)))))),"Check Data ▲")</f>
        <v/>
      </c>
      <c r="Y119" s="72"/>
      <c r="Z119" s="80"/>
      <c r="AA119" s="81"/>
      <c r="AC119" s="75" t="str">
        <f>IF(P119="","",IF(P119='G-1 All Habitats'!$X$3,H119-S119-T119,"None"))</f>
        <v/>
      </c>
      <c r="AD119" s="76" t="str">
        <f>IFERROR(AC119*J119*L119*#REF!*O119,IF(P119="","","None"))</f>
        <v/>
      </c>
      <c r="AF119" s="54" t="str">
        <f t="shared" si="5"/>
        <v/>
      </c>
      <c r="AG119" s="54" t="str">
        <f t="shared" si="6"/>
        <v/>
      </c>
      <c r="AH119" s="54" t="str">
        <f>IF(I119="","",IF(#REF!&gt;0,TRUE,FALSE))</f>
        <v/>
      </c>
      <c r="AI119" s="54">
        <v>109</v>
      </c>
      <c r="AJ119" s="54"/>
      <c r="AK119" s="54" t="str">
        <f t="array" ref="AK119">IFERROR(INDEX($AI$11:$AI$259, MATCH(0, IF(TRUE=$AF$11:$AF$259, COUNTIF($AK$10:$AK118, $AI$11:$AI$259), ""), 0)),"")</f>
        <v/>
      </c>
      <c r="AL119" s="54" t="str">
        <f t="array" ref="AL119">IFERROR(INDEX($AI$11:$AI$259, MATCH(0, IF(TRUE=$AG$11:$AG$259, COUNTIF($AL$10:$AL118, $AI$11:$AI$259), ""), 0)),"")</f>
        <v/>
      </c>
      <c r="AM119" s="54" t="str">
        <f t="array" ref="AM119">IFERROR(INDEX($AI$11:$AI$259, MATCH(0, IF(TRUE=$AH$11:$AH$259, COUNTIF($AM$10:$AM118, $AI$11:$AI$259), ""), 0)),"")</f>
        <v/>
      </c>
      <c r="AN119" s="54"/>
      <c r="AQ119" s="47">
        <f t="shared" si="7"/>
        <v>0</v>
      </c>
    </row>
    <row r="120" spans="1:43" x14ac:dyDescent="0.25">
      <c r="A120" s="47" t="str">
        <f>IFERROR(INDEX('G-1 All Habitats'!$AG$3:$AG$15,MATCH(E120,'G-1 All Habitats'!$AF$3:$AF$15,0)),"")</f>
        <v/>
      </c>
      <c r="B120" s="47" t="str">
        <f>IFERROR(INDEX('G-8 Condition Look up'!$I$4:$I$130,MATCH(G120,'G-8 Condition Look up'!$A$4:$A$130,0)),"")</f>
        <v/>
      </c>
      <c r="D120" s="77">
        <v>110</v>
      </c>
      <c r="E120" s="78"/>
      <c r="F120" s="79"/>
      <c r="G120" s="69" t="str">
        <f>IFERROR(INDEX('G-1 All Habitats'!$B$3:$B$129,MATCH(F120,'G-1 All Habitats'!$A$3:$A$129,0)),"")</f>
        <v/>
      </c>
      <c r="H120" s="70"/>
      <c r="I120" s="498" t="str">
        <f>IF(G120="","",VLOOKUP(G120,'G-1 All Habitats'!$B$2:$M$129,10,FALSE))</f>
        <v/>
      </c>
      <c r="J120" s="499" t="str">
        <f>IFERROR(VLOOKUP(I120,'G-1 All Habitats'!$V$3:$W$7,2,FALSE),"")</f>
        <v/>
      </c>
      <c r="K120" s="71"/>
      <c r="L120" s="499" t="str">
        <f>IFERROR(INDEX('G-8 Condition Look up'!$A$3:$H$130,MATCH(G120,'G-8 Condition Look up'!$A$3:$A$130,0),MATCH(K120,'G-8 Condition Look up'!$A$3:$H$3,0)),"")</f>
        <v/>
      </c>
      <c r="M120" s="71"/>
      <c r="N120" s="520" t="str">
        <f>IF(M120="","",IF(VLOOKUP(M120,'G-3 Multipliers'!$L$3:$N$6,2,FALSE)=0,"Spatial Data Missing",VLOOKUP(M120,'G-3 Multipliers'!$L$3:$N$6,2,FALSE)))</f>
        <v/>
      </c>
      <c r="O120" s="505" t="str">
        <f>IF(M120="","",IF(VLOOKUP(M120,'G-3 Multipliers'!$L$3:$N$6,3,FALSE)=0,"Spatial Data Missing",VLOOKUP(M120,'G-3 Multipliers'!$L$3:$N$6,3,FALSE)))</f>
        <v/>
      </c>
      <c r="P120" s="506" t="str">
        <f>IFERROR(VLOOKUP(G120,'G-1 All Habitats'!$B$2:$M$129,12,FALSE),"")</f>
        <v/>
      </c>
      <c r="Q120" s="513" t="str">
        <f>IFERROR(IF(P120="","",IF(AND(P120='G-1 All Habitats'!$X$3,T120&gt;0),U120+V120,IF(AND(P120='G-1 All Habitats'!$X$3,S120&gt;0),U120+V120,IF(AND(P120='G-1 All Habitats'!$X$3,AC120&gt;0),"Any Loss Unacceptable ▲",IF(AND(P120='G-1 All Habitats'!$X$3,W120&gt;0),"Any Loss Unacceptable ▲",H120*J120*L120*O120))))),"Check Data ▲")</f>
        <v/>
      </c>
      <c r="R120" s="50"/>
      <c r="S120" s="71"/>
      <c r="T120" s="72"/>
      <c r="U120" s="511" t="str">
        <f t="shared" si="8"/>
        <v/>
      </c>
      <c r="V120" s="511" t="str">
        <f t="shared" si="9"/>
        <v/>
      </c>
      <c r="W120" s="511" t="str">
        <f>IF(E120="","",IF(H120&lt;S120+T120,"Error in Areas ▲",IF(P120&lt;&gt;'G-1 All Habitats'!$X$3,H120-S120-T120,IF(AND(P120='G-1 All Habitats'!$X$3,Y120="Yes"),"Unacceptable Loss",IF(AND(P120='G-1 All Habitats'!$X$3,Y120="No"),AC120,IF(AND(P120='G-1 All Habitats'!$X$3,Y120=""),AC120,IF(AND(P120='G-1 All Habitats'!$X$3,AC120="None",AC120),IF(AND(P120='G-1 All Habitats'!$X$3,AC120&gt;0),H120-S120-T120))))))))</f>
        <v/>
      </c>
      <c r="X120" s="515" t="str">
        <f>IFERROR(IF(H120="","",IF(H120-S120-T120=0&lt;0,"Error in Areas ▲",IF(S120+T120&gt;H120,"Error in Areas ▲",IF(AND(P120='G-1 All Habitats'!$X$3,Y120="Yes"),"Alternative Compensation ✓",IF(W120=0,0,IF(P120='G-1 All Habitats'!$X$3,"Unacceptable Loss ▲",Q120-U120-V120)))))),"Check Data ▲")</f>
        <v/>
      </c>
      <c r="Y120" s="72"/>
      <c r="Z120" s="80"/>
      <c r="AA120" s="81"/>
      <c r="AC120" s="75" t="str">
        <f>IF(P120="","",IF(P120='G-1 All Habitats'!$X$3,H120-S120-T120,"None"))</f>
        <v/>
      </c>
      <c r="AD120" s="76" t="str">
        <f>IFERROR(AC120*J120*L120*#REF!*O120,IF(P120="","","None"))</f>
        <v/>
      </c>
      <c r="AF120" s="54" t="str">
        <f t="shared" si="5"/>
        <v/>
      </c>
      <c r="AG120" s="54" t="str">
        <f t="shared" si="6"/>
        <v/>
      </c>
      <c r="AH120" s="54" t="str">
        <f>IF(I120="","",IF(#REF!&gt;0,TRUE,FALSE))</f>
        <v/>
      </c>
      <c r="AI120" s="54">
        <v>110</v>
      </c>
      <c r="AJ120" s="54"/>
      <c r="AK120" s="54" t="str">
        <f t="array" ref="AK120">IFERROR(INDEX($AI$11:$AI$259, MATCH(0, IF(TRUE=$AF$11:$AF$259, COUNTIF($AK$10:$AK119, $AI$11:$AI$259), ""), 0)),"")</f>
        <v/>
      </c>
      <c r="AL120" s="54" t="str">
        <f t="array" ref="AL120">IFERROR(INDEX($AI$11:$AI$259, MATCH(0, IF(TRUE=$AG$11:$AG$259, COUNTIF($AL$10:$AL119, $AI$11:$AI$259), ""), 0)),"")</f>
        <v/>
      </c>
      <c r="AM120" s="54" t="str">
        <f t="array" ref="AM120">IFERROR(INDEX($AI$11:$AI$259, MATCH(0, IF(TRUE=$AH$11:$AH$259, COUNTIF($AM$10:$AM119, $AI$11:$AI$259), ""), 0)),"")</f>
        <v/>
      </c>
      <c r="AN120" s="54"/>
      <c r="AQ120" s="47">
        <f t="shared" si="7"/>
        <v>0</v>
      </c>
    </row>
    <row r="121" spans="1:43" x14ac:dyDescent="0.25">
      <c r="A121" s="47" t="str">
        <f>IFERROR(INDEX('G-1 All Habitats'!$AG$3:$AG$15,MATCH(E121,'G-1 All Habitats'!$AF$3:$AF$15,0)),"")</f>
        <v/>
      </c>
      <c r="B121" s="47" t="str">
        <f>IFERROR(INDEX('G-8 Condition Look up'!$I$4:$I$130,MATCH(G121,'G-8 Condition Look up'!$A$4:$A$130,0)),"")</f>
        <v/>
      </c>
      <c r="D121" s="77">
        <v>111</v>
      </c>
      <c r="E121" s="78"/>
      <c r="F121" s="79"/>
      <c r="G121" s="69" t="str">
        <f>IFERROR(INDEX('G-1 All Habitats'!$B$3:$B$129,MATCH(F121,'G-1 All Habitats'!$A$3:$A$129,0)),"")</f>
        <v/>
      </c>
      <c r="H121" s="70"/>
      <c r="I121" s="498" t="str">
        <f>IF(G121="","",VLOOKUP(G121,'G-1 All Habitats'!$B$2:$M$129,10,FALSE))</f>
        <v/>
      </c>
      <c r="J121" s="499" t="str">
        <f>IFERROR(VLOOKUP(I121,'G-1 All Habitats'!$V$3:$W$7,2,FALSE),"")</f>
        <v/>
      </c>
      <c r="K121" s="71"/>
      <c r="L121" s="499" t="str">
        <f>IFERROR(INDEX('G-8 Condition Look up'!$A$3:$H$130,MATCH(G121,'G-8 Condition Look up'!$A$3:$A$130,0),MATCH(K121,'G-8 Condition Look up'!$A$3:$H$3,0)),"")</f>
        <v/>
      </c>
      <c r="M121" s="71"/>
      <c r="N121" s="520" t="str">
        <f>IF(M121="","",IF(VLOOKUP(M121,'G-3 Multipliers'!$L$3:$N$6,2,FALSE)=0,"Spatial Data Missing",VLOOKUP(M121,'G-3 Multipliers'!$L$3:$N$6,2,FALSE)))</f>
        <v/>
      </c>
      <c r="O121" s="505" t="str">
        <f>IF(M121="","",IF(VLOOKUP(M121,'G-3 Multipliers'!$L$3:$N$6,3,FALSE)=0,"Spatial Data Missing",VLOOKUP(M121,'G-3 Multipliers'!$L$3:$N$6,3,FALSE)))</f>
        <v/>
      </c>
      <c r="P121" s="506" t="str">
        <f>IFERROR(VLOOKUP(G121,'G-1 All Habitats'!$B$2:$M$129,12,FALSE),"")</f>
        <v/>
      </c>
      <c r="Q121" s="513" t="str">
        <f>IFERROR(IF(P121="","",IF(AND(P121='G-1 All Habitats'!$X$3,T121&gt;0),U121+V121,IF(AND(P121='G-1 All Habitats'!$X$3,S121&gt;0),U121+V121,IF(AND(P121='G-1 All Habitats'!$X$3,AC121&gt;0),"Any Loss Unacceptable ▲",IF(AND(P121='G-1 All Habitats'!$X$3,W121&gt;0),"Any Loss Unacceptable ▲",H121*J121*L121*O121))))),"Check Data ▲")</f>
        <v/>
      </c>
      <c r="R121" s="50"/>
      <c r="S121" s="71"/>
      <c r="T121" s="72"/>
      <c r="U121" s="511" t="str">
        <f t="shared" si="8"/>
        <v/>
      </c>
      <c r="V121" s="511" t="str">
        <f t="shared" si="9"/>
        <v/>
      </c>
      <c r="W121" s="511" t="str">
        <f>IF(E121="","",IF(H121&lt;S121+T121,"Error in Areas ▲",IF(P121&lt;&gt;'G-1 All Habitats'!$X$3,H121-S121-T121,IF(AND(P121='G-1 All Habitats'!$X$3,Y121="Yes"),"Unacceptable Loss",IF(AND(P121='G-1 All Habitats'!$X$3,Y121="No"),AC121,IF(AND(P121='G-1 All Habitats'!$X$3,Y121=""),AC121,IF(AND(P121='G-1 All Habitats'!$X$3,AC121="None",AC121),IF(AND(P121='G-1 All Habitats'!$X$3,AC121&gt;0),H121-S121-T121))))))))</f>
        <v/>
      </c>
      <c r="X121" s="515" t="str">
        <f>IFERROR(IF(H121="","",IF(H121-S121-T121=0&lt;0,"Error in Areas ▲",IF(S121+T121&gt;H121,"Error in Areas ▲",IF(AND(P121='G-1 All Habitats'!$X$3,Y121="Yes"),"Alternative Compensation ✓",IF(W121=0,0,IF(P121='G-1 All Habitats'!$X$3,"Unacceptable Loss ▲",Q121-U121-V121)))))),"Check Data ▲")</f>
        <v/>
      </c>
      <c r="Y121" s="72"/>
      <c r="Z121" s="80"/>
      <c r="AA121" s="81"/>
      <c r="AC121" s="75" t="str">
        <f>IF(P121="","",IF(P121='G-1 All Habitats'!$X$3,H121-S121-T121,"None"))</f>
        <v/>
      </c>
      <c r="AD121" s="76" t="str">
        <f>IFERROR(AC121*J121*L121*#REF!*O121,IF(P121="","","None"))</f>
        <v/>
      </c>
      <c r="AF121" s="54" t="str">
        <f t="shared" si="5"/>
        <v/>
      </c>
      <c r="AG121" s="54" t="str">
        <f t="shared" si="6"/>
        <v/>
      </c>
      <c r="AH121" s="54" t="str">
        <f>IF(I121="","",IF(#REF!&gt;0,TRUE,FALSE))</f>
        <v/>
      </c>
      <c r="AI121" s="54">
        <v>111</v>
      </c>
      <c r="AJ121" s="54"/>
      <c r="AK121" s="54" t="str">
        <f t="array" ref="AK121">IFERROR(INDEX($AI$11:$AI$259, MATCH(0, IF(TRUE=$AF$11:$AF$259, COUNTIF($AK$10:$AK120, $AI$11:$AI$259), ""), 0)),"")</f>
        <v/>
      </c>
      <c r="AL121" s="54" t="str">
        <f t="array" ref="AL121">IFERROR(INDEX($AI$11:$AI$259, MATCH(0, IF(TRUE=$AG$11:$AG$259, COUNTIF($AL$10:$AL120, $AI$11:$AI$259), ""), 0)),"")</f>
        <v/>
      </c>
      <c r="AM121" s="54" t="str">
        <f t="array" ref="AM121">IFERROR(INDEX($AI$11:$AI$259, MATCH(0, IF(TRUE=$AH$11:$AH$259, COUNTIF($AM$10:$AM120, $AI$11:$AI$259), ""), 0)),"")</f>
        <v/>
      </c>
      <c r="AN121" s="54"/>
      <c r="AQ121" s="47">
        <f t="shared" si="7"/>
        <v>0</v>
      </c>
    </row>
    <row r="122" spans="1:43" x14ac:dyDescent="0.25">
      <c r="A122" s="47" t="str">
        <f>IFERROR(INDEX('G-1 All Habitats'!$AG$3:$AG$15,MATCH(E122,'G-1 All Habitats'!$AF$3:$AF$15,0)),"")</f>
        <v/>
      </c>
      <c r="B122" s="47" t="str">
        <f>IFERROR(INDEX('G-8 Condition Look up'!$I$4:$I$130,MATCH(G122,'G-8 Condition Look up'!$A$4:$A$130,0)),"")</f>
        <v/>
      </c>
      <c r="D122" s="77">
        <v>112</v>
      </c>
      <c r="E122" s="78"/>
      <c r="F122" s="79"/>
      <c r="G122" s="69" t="str">
        <f>IFERROR(INDEX('G-1 All Habitats'!$B$3:$B$129,MATCH(F122,'G-1 All Habitats'!$A$3:$A$129,0)),"")</f>
        <v/>
      </c>
      <c r="H122" s="70"/>
      <c r="I122" s="498" t="str">
        <f>IF(G122="","",VLOOKUP(G122,'G-1 All Habitats'!$B$2:$M$129,10,FALSE))</f>
        <v/>
      </c>
      <c r="J122" s="499" t="str">
        <f>IFERROR(VLOOKUP(I122,'G-1 All Habitats'!$V$3:$W$7,2,FALSE),"")</f>
        <v/>
      </c>
      <c r="K122" s="71"/>
      <c r="L122" s="499" t="str">
        <f>IFERROR(INDEX('G-8 Condition Look up'!$A$3:$H$130,MATCH(G122,'G-8 Condition Look up'!$A$3:$A$130,0),MATCH(K122,'G-8 Condition Look up'!$A$3:$H$3,0)),"")</f>
        <v/>
      </c>
      <c r="M122" s="71"/>
      <c r="N122" s="520" t="str">
        <f>IF(M122="","",IF(VLOOKUP(M122,'G-3 Multipliers'!$L$3:$N$6,2,FALSE)=0,"Spatial Data Missing",VLOOKUP(M122,'G-3 Multipliers'!$L$3:$N$6,2,FALSE)))</f>
        <v/>
      </c>
      <c r="O122" s="505" t="str">
        <f>IF(M122="","",IF(VLOOKUP(M122,'G-3 Multipliers'!$L$3:$N$6,3,FALSE)=0,"Spatial Data Missing",VLOOKUP(M122,'G-3 Multipliers'!$L$3:$N$6,3,FALSE)))</f>
        <v/>
      </c>
      <c r="P122" s="506" t="str">
        <f>IFERROR(VLOOKUP(G122,'G-1 All Habitats'!$B$2:$M$129,12,FALSE),"")</f>
        <v/>
      </c>
      <c r="Q122" s="513" t="str">
        <f>IFERROR(IF(P122="","",IF(AND(P122='G-1 All Habitats'!$X$3,T122&gt;0),U122+V122,IF(AND(P122='G-1 All Habitats'!$X$3,S122&gt;0),U122+V122,IF(AND(P122='G-1 All Habitats'!$X$3,AC122&gt;0),"Any Loss Unacceptable ▲",IF(AND(P122='G-1 All Habitats'!$X$3,W122&gt;0),"Any Loss Unacceptable ▲",H122*J122*L122*O122))))),"Check Data ▲")</f>
        <v/>
      </c>
      <c r="R122" s="50"/>
      <c r="S122" s="71"/>
      <c r="T122" s="72"/>
      <c r="U122" s="511" t="str">
        <f t="shared" si="8"/>
        <v/>
      </c>
      <c r="V122" s="511" t="str">
        <f t="shared" si="9"/>
        <v/>
      </c>
      <c r="W122" s="511" t="str">
        <f>IF(E122="","",IF(H122&lt;S122+T122,"Error in Areas ▲",IF(P122&lt;&gt;'G-1 All Habitats'!$X$3,H122-S122-T122,IF(AND(P122='G-1 All Habitats'!$X$3,Y122="Yes"),"Unacceptable Loss",IF(AND(P122='G-1 All Habitats'!$X$3,Y122="No"),AC122,IF(AND(P122='G-1 All Habitats'!$X$3,Y122=""),AC122,IF(AND(P122='G-1 All Habitats'!$X$3,AC122="None",AC122),IF(AND(P122='G-1 All Habitats'!$X$3,AC122&gt;0),H122-S122-T122))))))))</f>
        <v/>
      </c>
      <c r="X122" s="515" t="str">
        <f>IFERROR(IF(H122="","",IF(H122-S122-T122=0&lt;0,"Error in Areas ▲",IF(S122+T122&gt;H122,"Error in Areas ▲",IF(AND(P122='G-1 All Habitats'!$X$3,Y122="Yes"),"Alternative Compensation ✓",IF(W122=0,0,IF(P122='G-1 All Habitats'!$X$3,"Unacceptable Loss ▲",Q122-U122-V122)))))),"Check Data ▲")</f>
        <v/>
      </c>
      <c r="Y122" s="72"/>
      <c r="Z122" s="80"/>
      <c r="AA122" s="81"/>
      <c r="AC122" s="75" t="str">
        <f>IF(P122="","",IF(P122='G-1 All Habitats'!$X$3,H122-S122-T122,"None"))</f>
        <v/>
      </c>
      <c r="AD122" s="76" t="str">
        <f>IFERROR(AC122*J122*L122*#REF!*O122,IF(P122="","","None"))</f>
        <v/>
      </c>
      <c r="AF122" s="54" t="str">
        <f t="shared" si="5"/>
        <v/>
      </c>
      <c r="AG122" s="54" t="str">
        <f t="shared" si="6"/>
        <v/>
      </c>
      <c r="AH122" s="54" t="str">
        <f>IF(I122="","",IF(#REF!&gt;0,TRUE,FALSE))</f>
        <v/>
      </c>
      <c r="AI122" s="54">
        <v>112</v>
      </c>
      <c r="AJ122" s="54"/>
      <c r="AK122" s="54" t="str">
        <f t="array" ref="AK122">IFERROR(INDEX($AI$11:$AI$259, MATCH(0, IF(TRUE=$AF$11:$AF$259, COUNTIF($AK$10:$AK121, $AI$11:$AI$259), ""), 0)),"")</f>
        <v/>
      </c>
      <c r="AL122" s="54" t="str">
        <f t="array" ref="AL122">IFERROR(INDEX($AI$11:$AI$259, MATCH(0, IF(TRUE=$AG$11:$AG$259, COUNTIF($AL$10:$AL121, $AI$11:$AI$259), ""), 0)),"")</f>
        <v/>
      </c>
      <c r="AM122" s="54" t="str">
        <f t="array" ref="AM122">IFERROR(INDEX($AI$11:$AI$259, MATCH(0, IF(TRUE=$AH$11:$AH$259, COUNTIF($AM$10:$AM121, $AI$11:$AI$259), ""), 0)),"")</f>
        <v/>
      </c>
      <c r="AN122" s="54"/>
      <c r="AQ122" s="47">
        <f t="shared" si="7"/>
        <v>0</v>
      </c>
    </row>
    <row r="123" spans="1:43" x14ac:dyDescent="0.25">
      <c r="A123" s="47" t="str">
        <f>IFERROR(INDEX('G-1 All Habitats'!$AG$3:$AG$15,MATCH(E123,'G-1 All Habitats'!$AF$3:$AF$15,0)),"")</f>
        <v/>
      </c>
      <c r="B123" s="47" t="str">
        <f>IFERROR(INDEX('G-8 Condition Look up'!$I$4:$I$130,MATCH(G123,'G-8 Condition Look up'!$A$4:$A$130,0)),"")</f>
        <v/>
      </c>
      <c r="D123" s="77">
        <v>113</v>
      </c>
      <c r="E123" s="78"/>
      <c r="F123" s="79"/>
      <c r="G123" s="69" t="str">
        <f>IFERROR(INDEX('G-1 All Habitats'!$B$3:$B$129,MATCH(F123,'G-1 All Habitats'!$A$3:$A$129,0)),"")</f>
        <v/>
      </c>
      <c r="H123" s="70"/>
      <c r="I123" s="498" t="str">
        <f>IF(G123="","",VLOOKUP(G123,'G-1 All Habitats'!$B$2:$M$129,10,FALSE))</f>
        <v/>
      </c>
      <c r="J123" s="499" t="str">
        <f>IFERROR(VLOOKUP(I123,'G-1 All Habitats'!$V$3:$W$7,2,FALSE),"")</f>
        <v/>
      </c>
      <c r="K123" s="71"/>
      <c r="L123" s="499" t="str">
        <f>IFERROR(INDEX('G-8 Condition Look up'!$A$3:$H$130,MATCH(G123,'G-8 Condition Look up'!$A$3:$A$130,0),MATCH(K123,'G-8 Condition Look up'!$A$3:$H$3,0)),"")</f>
        <v/>
      </c>
      <c r="M123" s="71"/>
      <c r="N123" s="520" t="str">
        <f>IF(M123="","",IF(VLOOKUP(M123,'G-3 Multipliers'!$L$3:$N$6,2,FALSE)=0,"Spatial Data Missing",VLOOKUP(M123,'G-3 Multipliers'!$L$3:$N$6,2,FALSE)))</f>
        <v/>
      </c>
      <c r="O123" s="505" t="str">
        <f>IF(M123="","",IF(VLOOKUP(M123,'G-3 Multipliers'!$L$3:$N$6,3,FALSE)=0,"Spatial Data Missing",VLOOKUP(M123,'G-3 Multipliers'!$L$3:$N$6,3,FALSE)))</f>
        <v/>
      </c>
      <c r="P123" s="506" t="str">
        <f>IFERROR(VLOOKUP(G123,'G-1 All Habitats'!$B$2:$M$129,12,FALSE),"")</f>
        <v/>
      </c>
      <c r="Q123" s="513" t="str">
        <f>IFERROR(IF(P123="","",IF(AND(P123='G-1 All Habitats'!$X$3,T123&gt;0),U123+V123,IF(AND(P123='G-1 All Habitats'!$X$3,S123&gt;0),U123+V123,IF(AND(P123='G-1 All Habitats'!$X$3,AC123&gt;0),"Any Loss Unacceptable ▲",IF(AND(P123='G-1 All Habitats'!$X$3,W123&gt;0),"Any Loss Unacceptable ▲",H123*J123*L123*O123))))),"Check Data ▲")</f>
        <v/>
      </c>
      <c r="R123" s="50"/>
      <c r="S123" s="71"/>
      <c r="T123" s="72"/>
      <c r="U123" s="511" t="str">
        <f t="shared" si="8"/>
        <v/>
      </c>
      <c r="V123" s="511" t="str">
        <f t="shared" si="9"/>
        <v/>
      </c>
      <c r="W123" s="511" t="str">
        <f>IF(E123="","",IF(H123&lt;S123+T123,"Error in Areas ▲",IF(P123&lt;&gt;'G-1 All Habitats'!$X$3,H123-S123-T123,IF(AND(P123='G-1 All Habitats'!$X$3,Y123="Yes"),"Unacceptable Loss",IF(AND(P123='G-1 All Habitats'!$X$3,Y123="No"),AC123,IF(AND(P123='G-1 All Habitats'!$X$3,Y123=""),AC123,IF(AND(P123='G-1 All Habitats'!$X$3,AC123="None",AC123),IF(AND(P123='G-1 All Habitats'!$X$3,AC123&gt;0),H123-S123-T123))))))))</f>
        <v/>
      </c>
      <c r="X123" s="515" t="str">
        <f>IFERROR(IF(H123="","",IF(H123-S123-T123=0&lt;0,"Error in Areas ▲",IF(S123+T123&gt;H123,"Error in Areas ▲",IF(AND(P123='G-1 All Habitats'!$X$3,Y123="Yes"),"Alternative Compensation ✓",IF(W123=0,0,IF(P123='G-1 All Habitats'!$X$3,"Unacceptable Loss ▲",Q123-U123-V123)))))),"Check Data ▲")</f>
        <v/>
      </c>
      <c r="Y123" s="72"/>
      <c r="Z123" s="80"/>
      <c r="AA123" s="81"/>
      <c r="AC123" s="75" t="str">
        <f>IF(P123="","",IF(P123='G-1 All Habitats'!$X$3,H123-S123-T123,"None"))</f>
        <v/>
      </c>
      <c r="AD123" s="76" t="str">
        <f>IFERROR(AC123*J123*L123*#REF!*O123,IF(P123="","","None"))</f>
        <v/>
      </c>
      <c r="AF123" s="54" t="str">
        <f t="shared" si="5"/>
        <v/>
      </c>
      <c r="AG123" s="54" t="str">
        <f t="shared" si="6"/>
        <v/>
      </c>
      <c r="AH123" s="54" t="str">
        <f>IF(I123="","",IF(#REF!&gt;0,TRUE,FALSE))</f>
        <v/>
      </c>
      <c r="AI123" s="54">
        <v>113</v>
      </c>
      <c r="AJ123" s="54"/>
      <c r="AK123" s="54" t="str">
        <f t="array" ref="AK123">IFERROR(INDEX($AI$11:$AI$259, MATCH(0, IF(TRUE=$AF$11:$AF$259, COUNTIF($AK$10:$AK122, $AI$11:$AI$259), ""), 0)),"")</f>
        <v/>
      </c>
      <c r="AL123" s="54" t="str">
        <f t="array" ref="AL123">IFERROR(INDEX($AI$11:$AI$259, MATCH(0, IF(TRUE=$AG$11:$AG$259, COUNTIF($AL$10:$AL122, $AI$11:$AI$259), ""), 0)),"")</f>
        <v/>
      </c>
      <c r="AM123" s="54" t="str">
        <f t="array" ref="AM123">IFERROR(INDEX($AI$11:$AI$259, MATCH(0, IF(TRUE=$AH$11:$AH$259, COUNTIF($AM$10:$AM122, $AI$11:$AI$259), ""), 0)),"")</f>
        <v/>
      </c>
      <c r="AN123" s="54"/>
      <c r="AQ123" s="47">
        <f t="shared" si="7"/>
        <v>0</v>
      </c>
    </row>
    <row r="124" spans="1:43" x14ac:dyDescent="0.25">
      <c r="A124" s="47" t="str">
        <f>IFERROR(INDEX('G-1 All Habitats'!$AG$3:$AG$15,MATCH(E124,'G-1 All Habitats'!$AF$3:$AF$15,0)),"")</f>
        <v/>
      </c>
      <c r="B124" s="47" t="str">
        <f>IFERROR(INDEX('G-8 Condition Look up'!$I$4:$I$130,MATCH(G124,'G-8 Condition Look up'!$A$4:$A$130,0)),"")</f>
        <v/>
      </c>
      <c r="D124" s="77">
        <v>114</v>
      </c>
      <c r="E124" s="78"/>
      <c r="F124" s="79"/>
      <c r="G124" s="69" t="str">
        <f>IFERROR(INDEX('G-1 All Habitats'!$B$3:$B$129,MATCH(F124,'G-1 All Habitats'!$A$3:$A$129,0)),"")</f>
        <v/>
      </c>
      <c r="H124" s="70"/>
      <c r="I124" s="498" t="str">
        <f>IF(G124="","",VLOOKUP(G124,'G-1 All Habitats'!$B$2:$M$129,10,FALSE))</f>
        <v/>
      </c>
      <c r="J124" s="499" t="str">
        <f>IFERROR(VLOOKUP(I124,'G-1 All Habitats'!$V$3:$W$7,2,FALSE),"")</f>
        <v/>
      </c>
      <c r="K124" s="71"/>
      <c r="L124" s="499" t="str">
        <f>IFERROR(INDEX('G-8 Condition Look up'!$A$3:$H$130,MATCH(G124,'G-8 Condition Look up'!$A$3:$A$130,0),MATCH(K124,'G-8 Condition Look up'!$A$3:$H$3,0)),"")</f>
        <v/>
      </c>
      <c r="M124" s="71"/>
      <c r="N124" s="520" t="str">
        <f>IF(M124="","",IF(VLOOKUP(M124,'G-3 Multipliers'!$L$3:$N$6,2,FALSE)=0,"Spatial Data Missing",VLOOKUP(M124,'G-3 Multipliers'!$L$3:$N$6,2,FALSE)))</f>
        <v/>
      </c>
      <c r="O124" s="505" t="str">
        <f>IF(M124="","",IF(VLOOKUP(M124,'G-3 Multipliers'!$L$3:$N$6,3,FALSE)=0,"Spatial Data Missing",VLOOKUP(M124,'G-3 Multipliers'!$L$3:$N$6,3,FALSE)))</f>
        <v/>
      </c>
      <c r="P124" s="506" t="str">
        <f>IFERROR(VLOOKUP(G124,'G-1 All Habitats'!$B$2:$M$129,12,FALSE),"")</f>
        <v/>
      </c>
      <c r="Q124" s="513" t="str">
        <f>IFERROR(IF(P124="","",IF(AND(P124='G-1 All Habitats'!$X$3,T124&gt;0),U124+V124,IF(AND(P124='G-1 All Habitats'!$X$3,S124&gt;0),U124+V124,IF(AND(P124='G-1 All Habitats'!$X$3,AC124&gt;0),"Any Loss Unacceptable ▲",IF(AND(P124='G-1 All Habitats'!$X$3,W124&gt;0),"Any Loss Unacceptable ▲",H124*J124*L124*O124))))),"Check Data ▲")</f>
        <v/>
      </c>
      <c r="R124" s="50"/>
      <c r="S124" s="71"/>
      <c r="T124" s="72"/>
      <c r="U124" s="511" t="str">
        <f t="shared" si="8"/>
        <v/>
      </c>
      <c r="V124" s="511" t="str">
        <f t="shared" si="9"/>
        <v/>
      </c>
      <c r="W124" s="511" t="str">
        <f>IF(E124="","",IF(H124&lt;S124+T124,"Error in Areas ▲",IF(P124&lt;&gt;'G-1 All Habitats'!$X$3,H124-S124-T124,IF(AND(P124='G-1 All Habitats'!$X$3,Y124="Yes"),"Unacceptable Loss",IF(AND(P124='G-1 All Habitats'!$X$3,Y124="No"),AC124,IF(AND(P124='G-1 All Habitats'!$X$3,Y124=""),AC124,IF(AND(P124='G-1 All Habitats'!$X$3,AC124="None",AC124),IF(AND(P124='G-1 All Habitats'!$X$3,AC124&gt;0),H124-S124-T124))))))))</f>
        <v/>
      </c>
      <c r="X124" s="515" t="str">
        <f>IFERROR(IF(H124="","",IF(H124-S124-T124=0&lt;0,"Error in Areas ▲",IF(S124+T124&gt;H124,"Error in Areas ▲",IF(AND(P124='G-1 All Habitats'!$X$3,Y124="Yes"),"Alternative Compensation ✓",IF(W124=0,0,IF(P124='G-1 All Habitats'!$X$3,"Unacceptable Loss ▲",Q124-U124-V124)))))),"Check Data ▲")</f>
        <v/>
      </c>
      <c r="Y124" s="72"/>
      <c r="Z124" s="80"/>
      <c r="AA124" s="81"/>
      <c r="AC124" s="75" t="str">
        <f>IF(P124="","",IF(P124='G-1 All Habitats'!$X$3,H124-S124-T124,"None"))</f>
        <v/>
      </c>
      <c r="AD124" s="76" t="str">
        <f>IFERROR(AC124*J124*L124*#REF!*O124,IF(P124="","","None"))</f>
        <v/>
      </c>
      <c r="AF124" s="54" t="str">
        <f t="shared" si="5"/>
        <v/>
      </c>
      <c r="AG124" s="54" t="str">
        <f t="shared" si="6"/>
        <v/>
      </c>
      <c r="AH124" s="54" t="str">
        <f>IF(I124="","",IF(#REF!&gt;0,TRUE,FALSE))</f>
        <v/>
      </c>
      <c r="AI124" s="54">
        <v>114</v>
      </c>
      <c r="AJ124" s="54"/>
      <c r="AK124" s="54" t="str">
        <f t="array" ref="AK124">IFERROR(INDEX($AI$11:$AI$259, MATCH(0, IF(TRUE=$AF$11:$AF$259, COUNTIF($AK$10:$AK123, $AI$11:$AI$259), ""), 0)),"")</f>
        <v/>
      </c>
      <c r="AL124" s="54" t="str">
        <f t="array" ref="AL124">IFERROR(INDEX($AI$11:$AI$259, MATCH(0, IF(TRUE=$AG$11:$AG$259, COUNTIF($AL$10:$AL123, $AI$11:$AI$259), ""), 0)),"")</f>
        <v/>
      </c>
      <c r="AM124" s="54" t="str">
        <f t="array" ref="AM124">IFERROR(INDEX($AI$11:$AI$259, MATCH(0, IF(TRUE=$AH$11:$AH$259, COUNTIF($AM$10:$AM123, $AI$11:$AI$259), ""), 0)),"")</f>
        <v/>
      </c>
      <c r="AN124" s="54"/>
      <c r="AQ124" s="47">
        <f t="shared" si="7"/>
        <v>0</v>
      </c>
    </row>
    <row r="125" spans="1:43" x14ac:dyDescent="0.25">
      <c r="A125" s="47" t="str">
        <f>IFERROR(INDEX('G-1 All Habitats'!$AG$3:$AG$15,MATCH(E125,'G-1 All Habitats'!$AF$3:$AF$15,0)),"")</f>
        <v/>
      </c>
      <c r="B125" s="47" t="str">
        <f>IFERROR(INDEX('G-8 Condition Look up'!$I$4:$I$130,MATCH(G125,'G-8 Condition Look up'!$A$4:$A$130,0)),"")</f>
        <v/>
      </c>
      <c r="D125" s="77">
        <v>115</v>
      </c>
      <c r="E125" s="78"/>
      <c r="F125" s="79"/>
      <c r="G125" s="69" t="str">
        <f>IFERROR(INDEX('G-1 All Habitats'!$B$3:$B$129,MATCH(F125,'G-1 All Habitats'!$A$3:$A$129,0)),"")</f>
        <v/>
      </c>
      <c r="H125" s="70"/>
      <c r="I125" s="498" t="str">
        <f>IF(G125="","",VLOOKUP(G125,'G-1 All Habitats'!$B$2:$M$129,10,FALSE))</f>
        <v/>
      </c>
      <c r="J125" s="499" t="str">
        <f>IFERROR(VLOOKUP(I125,'G-1 All Habitats'!$V$3:$W$7,2,FALSE),"")</f>
        <v/>
      </c>
      <c r="K125" s="71"/>
      <c r="L125" s="499" t="str">
        <f>IFERROR(INDEX('G-8 Condition Look up'!$A$3:$H$130,MATCH(G125,'G-8 Condition Look up'!$A$3:$A$130,0),MATCH(K125,'G-8 Condition Look up'!$A$3:$H$3,0)),"")</f>
        <v/>
      </c>
      <c r="M125" s="71"/>
      <c r="N125" s="520" t="str">
        <f>IF(M125="","",IF(VLOOKUP(M125,'G-3 Multipliers'!$L$3:$N$6,2,FALSE)=0,"Spatial Data Missing",VLOOKUP(M125,'G-3 Multipliers'!$L$3:$N$6,2,FALSE)))</f>
        <v/>
      </c>
      <c r="O125" s="505" t="str">
        <f>IF(M125="","",IF(VLOOKUP(M125,'G-3 Multipliers'!$L$3:$N$6,3,FALSE)=0,"Spatial Data Missing",VLOOKUP(M125,'G-3 Multipliers'!$L$3:$N$6,3,FALSE)))</f>
        <v/>
      </c>
      <c r="P125" s="506" t="str">
        <f>IFERROR(VLOOKUP(G125,'G-1 All Habitats'!$B$2:$M$129,12,FALSE),"")</f>
        <v/>
      </c>
      <c r="Q125" s="513" t="str">
        <f>IFERROR(IF(P125="","",IF(AND(P125='G-1 All Habitats'!$X$3,T125&gt;0),U125+V125,IF(AND(P125='G-1 All Habitats'!$X$3,S125&gt;0),U125+V125,IF(AND(P125='G-1 All Habitats'!$X$3,AC125&gt;0),"Any Loss Unacceptable ▲",IF(AND(P125='G-1 All Habitats'!$X$3,W125&gt;0),"Any Loss Unacceptable ▲",H125*J125*L125*O125))))),"Check Data ▲")</f>
        <v/>
      </c>
      <c r="R125" s="50"/>
      <c r="S125" s="71"/>
      <c r="T125" s="72"/>
      <c r="U125" s="511" t="str">
        <f t="shared" si="8"/>
        <v/>
      </c>
      <c r="V125" s="511" t="str">
        <f t="shared" si="9"/>
        <v/>
      </c>
      <c r="W125" s="511" t="str">
        <f>IF(E125="","",IF(H125&lt;S125+T125,"Error in Areas ▲",IF(P125&lt;&gt;'G-1 All Habitats'!$X$3,H125-S125-T125,IF(AND(P125='G-1 All Habitats'!$X$3,Y125="Yes"),"Unacceptable Loss",IF(AND(P125='G-1 All Habitats'!$X$3,Y125="No"),AC125,IF(AND(P125='G-1 All Habitats'!$X$3,Y125=""),AC125,IF(AND(P125='G-1 All Habitats'!$X$3,AC125="None",AC125),IF(AND(P125='G-1 All Habitats'!$X$3,AC125&gt;0),H125-S125-T125))))))))</f>
        <v/>
      </c>
      <c r="X125" s="515" t="str">
        <f>IFERROR(IF(H125="","",IF(H125-S125-T125=0&lt;0,"Error in Areas ▲",IF(S125+T125&gt;H125,"Error in Areas ▲",IF(AND(P125='G-1 All Habitats'!$X$3,Y125="Yes"),"Alternative Compensation ✓",IF(W125=0,0,IF(P125='G-1 All Habitats'!$X$3,"Unacceptable Loss ▲",Q125-U125-V125)))))),"Check Data ▲")</f>
        <v/>
      </c>
      <c r="Y125" s="72"/>
      <c r="Z125" s="80"/>
      <c r="AA125" s="81"/>
      <c r="AC125" s="75" t="str">
        <f>IF(P125="","",IF(P125='G-1 All Habitats'!$X$3,H125-S125-T125,"None"))</f>
        <v/>
      </c>
      <c r="AD125" s="76" t="str">
        <f>IFERROR(AC125*J125*L125*#REF!*O125,IF(P125="","","None"))</f>
        <v/>
      </c>
      <c r="AF125" s="54" t="str">
        <f t="shared" si="5"/>
        <v/>
      </c>
      <c r="AG125" s="54" t="str">
        <f t="shared" si="6"/>
        <v/>
      </c>
      <c r="AH125" s="54" t="str">
        <f>IF(I125="","",IF(#REF!&gt;0,TRUE,FALSE))</f>
        <v/>
      </c>
      <c r="AI125" s="54">
        <v>115</v>
      </c>
      <c r="AJ125" s="54"/>
      <c r="AK125" s="54" t="str">
        <f t="array" ref="AK125">IFERROR(INDEX($AI$11:$AI$259, MATCH(0, IF(TRUE=$AF$11:$AF$259, COUNTIF($AK$10:$AK124, $AI$11:$AI$259), ""), 0)),"")</f>
        <v/>
      </c>
      <c r="AL125" s="54" t="str">
        <f t="array" ref="AL125">IFERROR(INDEX($AI$11:$AI$259, MATCH(0, IF(TRUE=$AG$11:$AG$259, COUNTIF($AL$10:$AL124, $AI$11:$AI$259), ""), 0)),"")</f>
        <v/>
      </c>
      <c r="AM125" s="54" t="str">
        <f t="array" ref="AM125">IFERROR(INDEX($AI$11:$AI$259, MATCH(0, IF(TRUE=$AH$11:$AH$259, COUNTIF($AM$10:$AM124, $AI$11:$AI$259), ""), 0)),"")</f>
        <v/>
      </c>
      <c r="AN125" s="54"/>
      <c r="AQ125" s="47">
        <f t="shared" si="7"/>
        <v>0</v>
      </c>
    </row>
    <row r="126" spans="1:43" x14ac:dyDescent="0.25">
      <c r="A126" s="47" t="str">
        <f>IFERROR(INDEX('G-1 All Habitats'!$AG$3:$AG$15,MATCH(E126,'G-1 All Habitats'!$AF$3:$AF$15,0)),"")</f>
        <v/>
      </c>
      <c r="B126" s="47" t="str">
        <f>IFERROR(INDEX('G-8 Condition Look up'!$I$4:$I$130,MATCH(G126,'G-8 Condition Look up'!$A$4:$A$130,0)),"")</f>
        <v/>
      </c>
      <c r="D126" s="77">
        <v>116</v>
      </c>
      <c r="E126" s="78"/>
      <c r="F126" s="79"/>
      <c r="G126" s="69" t="str">
        <f>IFERROR(INDEX('G-1 All Habitats'!$B$3:$B$129,MATCH(F126,'G-1 All Habitats'!$A$3:$A$129,0)),"")</f>
        <v/>
      </c>
      <c r="H126" s="70"/>
      <c r="I126" s="498" t="str">
        <f>IF(G126="","",VLOOKUP(G126,'G-1 All Habitats'!$B$2:$M$129,10,FALSE))</f>
        <v/>
      </c>
      <c r="J126" s="499" t="str">
        <f>IFERROR(VLOOKUP(I126,'G-1 All Habitats'!$V$3:$W$7,2,FALSE),"")</f>
        <v/>
      </c>
      <c r="K126" s="71"/>
      <c r="L126" s="499" t="str">
        <f>IFERROR(INDEX('G-8 Condition Look up'!$A$3:$H$130,MATCH(G126,'G-8 Condition Look up'!$A$3:$A$130,0),MATCH(K126,'G-8 Condition Look up'!$A$3:$H$3,0)),"")</f>
        <v/>
      </c>
      <c r="M126" s="71"/>
      <c r="N126" s="520" t="str">
        <f>IF(M126="","",IF(VLOOKUP(M126,'G-3 Multipliers'!$L$3:$N$6,2,FALSE)=0,"Spatial Data Missing",VLOOKUP(M126,'G-3 Multipliers'!$L$3:$N$6,2,FALSE)))</f>
        <v/>
      </c>
      <c r="O126" s="505" t="str">
        <f>IF(M126="","",IF(VLOOKUP(M126,'G-3 Multipliers'!$L$3:$N$6,3,FALSE)=0,"Spatial Data Missing",VLOOKUP(M126,'G-3 Multipliers'!$L$3:$N$6,3,FALSE)))</f>
        <v/>
      </c>
      <c r="P126" s="506" t="str">
        <f>IFERROR(VLOOKUP(G126,'G-1 All Habitats'!$B$2:$M$129,12,FALSE),"")</f>
        <v/>
      </c>
      <c r="Q126" s="513" t="str">
        <f>IFERROR(IF(P126="","",IF(AND(P126='G-1 All Habitats'!$X$3,T126&gt;0),U126+V126,IF(AND(P126='G-1 All Habitats'!$X$3,S126&gt;0),U126+V126,IF(AND(P126='G-1 All Habitats'!$X$3,AC126&gt;0),"Any Loss Unacceptable ▲",IF(AND(P126='G-1 All Habitats'!$X$3,W126&gt;0),"Any Loss Unacceptable ▲",H126*J126*L126*O126))))),"Check Data ▲")</f>
        <v/>
      </c>
      <c r="R126" s="50"/>
      <c r="S126" s="71"/>
      <c r="T126" s="72"/>
      <c r="U126" s="511" t="str">
        <f t="shared" si="8"/>
        <v/>
      </c>
      <c r="V126" s="511" t="str">
        <f t="shared" si="9"/>
        <v/>
      </c>
      <c r="W126" s="511" t="str">
        <f>IF(E126="","",IF(H126&lt;S126+T126,"Error in Areas ▲",IF(P126&lt;&gt;'G-1 All Habitats'!$X$3,H126-S126-T126,IF(AND(P126='G-1 All Habitats'!$X$3,Y126="Yes"),"Unacceptable Loss",IF(AND(P126='G-1 All Habitats'!$X$3,Y126="No"),AC126,IF(AND(P126='G-1 All Habitats'!$X$3,Y126=""),AC126,IF(AND(P126='G-1 All Habitats'!$X$3,AC126="None",AC126),IF(AND(P126='G-1 All Habitats'!$X$3,AC126&gt;0),H126-S126-T126))))))))</f>
        <v/>
      </c>
      <c r="X126" s="515" t="str">
        <f>IFERROR(IF(H126="","",IF(H126-S126-T126=0&lt;0,"Error in Areas ▲",IF(S126+T126&gt;H126,"Error in Areas ▲",IF(AND(P126='G-1 All Habitats'!$X$3,Y126="Yes"),"Alternative Compensation ✓",IF(W126=0,0,IF(P126='G-1 All Habitats'!$X$3,"Unacceptable Loss ▲",Q126-U126-V126)))))),"Check Data ▲")</f>
        <v/>
      </c>
      <c r="Y126" s="72"/>
      <c r="Z126" s="80"/>
      <c r="AA126" s="81"/>
      <c r="AC126" s="75" t="str">
        <f>IF(P126="","",IF(P126='G-1 All Habitats'!$X$3,H126-S126-T126,"None"))</f>
        <v/>
      </c>
      <c r="AD126" s="76" t="str">
        <f>IFERROR(AC126*J126*L126*#REF!*O126,IF(P126="","","None"))</f>
        <v/>
      </c>
      <c r="AF126" s="54" t="str">
        <f t="shared" si="5"/>
        <v/>
      </c>
      <c r="AG126" s="54" t="str">
        <f t="shared" si="6"/>
        <v/>
      </c>
      <c r="AH126" s="54" t="str">
        <f>IF(I126="","",IF(#REF!&gt;0,TRUE,FALSE))</f>
        <v/>
      </c>
      <c r="AI126" s="54">
        <v>116</v>
      </c>
      <c r="AJ126" s="54"/>
      <c r="AK126" s="54" t="str">
        <f t="array" ref="AK126">IFERROR(INDEX($AI$11:$AI$259, MATCH(0, IF(TRUE=$AF$11:$AF$259, COUNTIF($AK$10:$AK125, $AI$11:$AI$259), ""), 0)),"")</f>
        <v/>
      </c>
      <c r="AL126" s="54" t="str">
        <f t="array" ref="AL126">IFERROR(INDEX($AI$11:$AI$259, MATCH(0, IF(TRUE=$AG$11:$AG$259, COUNTIF($AL$10:$AL125, $AI$11:$AI$259), ""), 0)),"")</f>
        <v/>
      </c>
      <c r="AM126" s="54" t="str">
        <f t="array" ref="AM126">IFERROR(INDEX($AI$11:$AI$259, MATCH(0, IF(TRUE=$AH$11:$AH$259, COUNTIF($AM$10:$AM125, $AI$11:$AI$259), ""), 0)),"")</f>
        <v/>
      </c>
      <c r="AN126" s="54"/>
      <c r="AQ126" s="47">
        <f t="shared" si="7"/>
        <v>0</v>
      </c>
    </row>
    <row r="127" spans="1:43" x14ac:dyDescent="0.25">
      <c r="A127" s="47" t="str">
        <f>IFERROR(INDEX('G-1 All Habitats'!$AG$3:$AG$15,MATCH(E127,'G-1 All Habitats'!$AF$3:$AF$15,0)),"")</f>
        <v/>
      </c>
      <c r="B127" s="47" t="str">
        <f>IFERROR(INDEX('G-8 Condition Look up'!$I$4:$I$130,MATCH(G127,'G-8 Condition Look up'!$A$4:$A$130,0)),"")</f>
        <v/>
      </c>
      <c r="D127" s="77">
        <v>117</v>
      </c>
      <c r="E127" s="78"/>
      <c r="F127" s="79"/>
      <c r="G127" s="69" t="str">
        <f>IFERROR(INDEX('G-1 All Habitats'!$B$3:$B$129,MATCH(F127,'G-1 All Habitats'!$A$3:$A$129,0)),"")</f>
        <v/>
      </c>
      <c r="H127" s="70"/>
      <c r="I127" s="498" t="str">
        <f>IF(G127="","",VLOOKUP(G127,'G-1 All Habitats'!$B$2:$M$129,10,FALSE))</f>
        <v/>
      </c>
      <c r="J127" s="499" t="str">
        <f>IFERROR(VLOOKUP(I127,'G-1 All Habitats'!$V$3:$W$7,2,FALSE),"")</f>
        <v/>
      </c>
      <c r="K127" s="71"/>
      <c r="L127" s="499" t="str">
        <f>IFERROR(INDEX('G-8 Condition Look up'!$A$3:$H$130,MATCH(G127,'G-8 Condition Look up'!$A$3:$A$130,0),MATCH(K127,'G-8 Condition Look up'!$A$3:$H$3,0)),"")</f>
        <v/>
      </c>
      <c r="M127" s="71"/>
      <c r="N127" s="520" t="str">
        <f>IF(M127="","",IF(VLOOKUP(M127,'G-3 Multipliers'!$L$3:$N$6,2,FALSE)=0,"Spatial Data Missing",VLOOKUP(M127,'G-3 Multipliers'!$L$3:$N$6,2,FALSE)))</f>
        <v/>
      </c>
      <c r="O127" s="505" t="str">
        <f>IF(M127="","",IF(VLOOKUP(M127,'G-3 Multipliers'!$L$3:$N$6,3,FALSE)=0,"Spatial Data Missing",VLOOKUP(M127,'G-3 Multipliers'!$L$3:$N$6,3,FALSE)))</f>
        <v/>
      </c>
      <c r="P127" s="506" t="str">
        <f>IFERROR(VLOOKUP(G127,'G-1 All Habitats'!$B$2:$M$129,12,FALSE),"")</f>
        <v/>
      </c>
      <c r="Q127" s="513" t="str">
        <f>IFERROR(IF(P127="","",IF(AND(P127='G-1 All Habitats'!$X$3,T127&gt;0),U127+V127,IF(AND(P127='G-1 All Habitats'!$X$3,S127&gt;0),U127+V127,IF(AND(P127='G-1 All Habitats'!$X$3,AC127&gt;0),"Any Loss Unacceptable ▲",IF(AND(P127='G-1 All Habitats'!$X$3,W127&gt;0),"Any Loss Unacceptable ▲",H127*J127*L127*O127))))),"Check Data ▲")</f>
        <v/>
      </c>
      <c r="R127" s="50"/>
      <c r="S127" s="71"/>
      <c r="T127" s="72"/>
      <c r="U127" s="511" t="str">
        <f t="shared" si="8"/>
        <v/>
      </c>
      <c r="V127" s="511" t="str">
        <f t="shared" si="9"/>
        <v/>
      </c>
      <c r="W127" s="511" t="str">
        <f>IF(E127="","",IF(H127&lt;S127+T127,"Error in Areas ▲",IF(P127&lt;&gt;'G-1 All Habitats'!$X$3,H127-S127-T127,IF(AND(P127='G-1 All Habitats'!$X$3,Y127="Yes"),"Unacceptable Loss",IF(AND(P127='G-1 All Habitats'!$X$3,Y127="No"),AC127,IF(AND(P127='G-1 All Habitats'!$X$3,Y127=""),AC127,IF(AND(P127='G-1 All Habitats'!$X$3,AC127="None",AC127),IF(AND(P127='G-1 All Habitats'!$X$3,AC127&gt;0),H127-S127-T127))))))))</f>
        <v/>
      </c>
      <c r="X127" s="515" t="str">
        <f>IFERROR(IF(H127="","",IF(H127-S127-T127=0&lt;0,"Error in Areas ▲",IF(S127+T127&gt;H127,"Error in Areas ▲",IF(AND(P127='G-1 All Habitats'!$X$3,Y127="Yes"),"Alternative Compensation ✓",IF(W127=0,0,IF(P127='G-1 All Habitats'!$X$3,"Unacceptable Loss ▲",Q127-U127-V127)))))),"Check Data ▲")</f>
        <v/>
      </c>
      <c r="Y127" s="72"/>
      <c r="Z127" s="80"/>
      <c r="AA127" s="81"/>
      <c r="AC127" s="75" t="str">
        <f>IF(P127="","",IF(P127='G-1 All Habitats'!$X$3,H127-S127-T127,"None"))</f>
        <v/>
      </c>
      <c r="AD127" s="76" t="str">
        <f>IFERROR(AC127*J127*L127*#REF!*O127,IF(P127="","","None"))</f>
        <v/>
      </c>
      <c r="AF127" s="54" t="str">
        <f t="shared" si="5"/>
        <v/>
      </c>
      <c r="AG127" s="54" t="str">
        <f t="shared" si="6"/>
        <v/>
      </c>
      <c r="AH127" s="54" t="str">
        <f>IF(I127="","",IF(#REF!&gt;0,TRUE,FALSE))</f>
        <v/>
      </c>
      <c r="AI127" s="54">
        <v>117</v>
      </c>
      <c r="AJ127" s="54"/>
      <c r="AK127" s="54" t="str">
        <f t="array" ref="AK127">IFERROR(INDEX($AI$11:$AI$259, MATCH(0, IF(TRUE=$AF$11:$AF$259, COUNTIF($AK$10:$AK126, $AI$11:$AI$259), ""), 0)),"")</f>
        <v/>
      </c>
      <c r="AL127" s="54" t="str">
        <f t="array" ref="AL127">IFERROR(INDEX($AI$11:$AI$259, MATCH(0, IF(TRUE=$AG$11:$AG$259, COUNTIF($AL$10:$AL126, $AI$11:$AI$259), ""), 0)),"")</f>
        <v/>
      </c>
      <c r="AM127" s="54" t="str">
        <f t="array" ref="AM127">IFERROR(INDEX($AI$11:$AI$259, MATCH(0, IF(TRUE=$AH$11:$AH$259, COUNTIF($AM$10:$AM126, $AI$11:$AI$259), ""), 0)),"")</f>
        <v/>
      </c>
      <c r="AN127" s="54"/>
      <c r="AQ127" s="47">
        <f t="shared" si="7"/>
        <v>0</v>
      </c>
    </row>
    <row r="128" spans="1:43" x14ac:dyDescent="0.25">
      <c r="A128" s="47" t="str">
        <f>IFERROR(INDEX('G-1 All Habitats'!$AG$3:$AG$15,MATCH(E128,'G-1 All Habitats'!$AF$3:$AF$15,0)),"")</f>
        <v/>
      </c>
      <c r="B128" s="47" t="str">
        <f>IFERROR(INDEX('G-8 Condition Look up'!$I$4:$I$130,MATCH(G128,'G-8 Condition Look up'!$A$4:$A$130,0)),"")</f>
        <v/>
      </c>
      <c r="D128" s="77">
        <v>118</v>
      </c>
      <c r="E128" s="78"/>
      <c r="F128" s="79"/>
      <c r="G128" s="69" t="str">
        <f>IFERROR(INDEX('G-1 All Habitats'!$B$3:$B$129,MATCH(F128,'G-1 All Habitats'!$A$3:$A$129,0)),"")</f>
        <v/>
      </c>
      <c r="H128" s="70"/>
      <c r="I128" s="498" t="str">
        <f>IF(G128="","",VLOOKUP(G128,'G-1 All Habitats'!$B$2:$M$129,10,FALSE))</f>
        <v/>
      </c>
      <c r="J128" s="499" t="str">
        <f>IFERROR(VLOOKUP(I128,'G-1 All Habitats'!$V$3:$W$7,2,FALSE),"")</f>
        <v/>
      </c>
      <c r="K128" s="71"/>
      <c r="L128" s="499" t="str">
        <f>IFERROR(INDEX('G-8 Condition Look up'!$A$3:$H$130,MATCH(G128,'G-8 Condition Look up'!$A$3:$A$130,0),MATCH(K128,'G-8 Condition Look up'!$A$3:$H$3,0)),"")</f>
        <v/>
      </c>
      <c r="M128" s="71"/>
      <c r="N128" s="520" t="str">
        <f>IF(M128="","",IF(VLOOKUP(M128,'G-3 Multipliers'!$L$3:$N$6,2,FALSE)=0,"Spatial Data Missing",VLOOKUP(M128,'G-3 Multipliers'!$L$3:$N$6,2,FALSE)))</f>
        <v/>
      </c>
      <c r="O128" s="505" t="str">
        <f>IF(M128="","",IF(VLOOKUP(M128,'G-3 Multipliers'!$L$3:$N$6,3,FALSE)=0,"Spatial Data Missing",VLOOKUP(M128,'G-3 Multipliers'!$L$3:$N$6,3,FALSE)))</f>
        <v/>
      </c>
      <c r="P128" s="506" t="str">
        <f>IFERROR(VLOOKUP(G128,'G-1 All Habitats'!$B$2:$M$129,12,FALSE),"")</f>
        <v/>
      </c>
      <c r="Q128" s="513" t="str">
        <f>IFERROR(IF(P128="","",IF(AND(P128='G-1 All Habitats'!$X$3,T128&gt;0),U128+V128,IF(AND(P128='G-1 All Habitats'!$X$3,S128&gt;0),U128+V128,IF(AND(P128='G-1 All Habitats'!$X$3,AC128&gt;0),"Any Loss Unacceptable ▲",IF(AND(P128='G-1 All Habitats'!$X$3,W128&gt;0),"Any Loss Unacceptable ▲",H128*J128*L128*O128))))),"Check Data ▲")</f>
        <v/>
      </c>
      <c r="R128" s="50"/>
      <c r="S128" s="71"/>
      <c r="T128" s="72"/>
      <c r="U128" s="511" t="str">
        <f t="shared" si="8"/>
        <v/>
      </c>
      <c r="V128" s="511" t="str">
        <f t="shared" si="9"/>
        <v/>
      </c>
      <c r="W128" s="511" t="str">
        <f>IF(E128="","",IF(H128&lt;S128+T128,"Error in Areas ▲",IF(P128&lt;&gt;'G-1 All Habitats'!$X$3,H128-S128-T128,IF(AND(P128='G-1 All Habitats'!$X$3,Y128="Yes"),"Unacceptable Loss",IF(AND(P128='G-1 All Habitats'!$X$3,Y128="No"),AC128,IF(AND(P128='G-1 All Habitats'!$X$3,Y128=""),AC128,IF(AND(P128='G-1 All Habitats'!$X$3,AC128="None",AC128),IF(AND(P128='G-1 All Habitats'!$X$3,AC128&gt;0),H128-S128-T128))))))))</f>
        <v/>
      </c>
      <c r="X128" s="515" t="str">
        <f>IFERROR(IF(H128="","",IF(H128-S128-T128=0&lt;0,"Error in Areas ▲",IF(S128+T128&gt;H128,"Error in Areas ▲",IF(AND(P128='G-1 All Habitats'!$X$3,Y128="Yes"),"Alternative Compensation ✓",IF(W128=0,0,IF(P128='G-1 All Habitats'!$X$3,"Unacceptable Loss ▲",Q128-U128-V128)))))),"Check Data ▲")</f>
        <v/>
      </c>
      <c r="Y128" s="72"/>
      <c r="Z128" s="80"/>
      <c r="AA128" s="81"/>
      <c r="AC128" s="75" t="str">
        <f>IF(P128="","",IF(P128='G-1 All Habitats'!$X$3,H128-S128-T128,"None"))</f>
        <v/>
      </c>
      <c r="AD128" s="76" t="str">
        <f>IFERROR(AC128*J128*L128*#REF!*O128,IF(P128="","","None"))</f>
        <v/>
      </c>
      <c r="AF128" s="54" t="str">
        <f t="shared" si="5"/>
        <v/>
      </c>
      <c r="AG128" s="54" t="str">
        <f t="shared" si="6"/>
        <v/>
      </c>
      <c r="AH128" s="54" t="str">
        <f>IF(I128="","",IF(#REF!&gt;0,TRUE,FALSE))</f>
        <v/>
      </c>
      <c r="AI128" s="54">
        <v>118</v>
      </c>
      <c r="AJ128" s="54"/>
      <c r="AK128" s="54" t="str">
        <f t="array" ref="AK128">IFERROR(INDEX($AI$11:$AI$259, MATCH(0, IF(TRUE=$AF$11:$AF$259, COUNTIF($AK$10:$AK127, $AI$11:$AI$259), ""), 0)),"")</f>
        <v/>
      </c>
      <c r="AL128" s="54" t="str">
        <f t="array" ref="AL128">IFERROR(INDEX($AI$11:$AI$259, MATCH(0, IF(TRUE=$AG$11:$AG$259, COUNTIF($AL$10:$AL127, $AI$11:$AI$259), ""), 0)),"")</f>
        <v/>
      </c>
      <c r="AM128" s="54" t="str">
        <f t="array" ref="AM128">IFERROR(INDEX($AI$11:$AI$259, MATCH(0, IF(TRUE=$AH$11:$AH$259, COUNTIF($AM$10:$AM127, $AI$11:$AI$259), ""), 0)),"")</f>
        <v/>
      </c>
      <c r="AN128" s="54"/>
      <c r="AQ128" s="47">
        <f t="shared" si="7"/>
        <v>0</v>
      </c>
    </row>
    <row r="129" spans="1:43" x14ac:dyDescent="0.25">
      <c r="A129" s="47" t="str">
        <f>IFERROR(INDEX('G-1 All Habitats'!$AG$3:$AG$15,MATCH(E129,'G-1 All Habitats'!$AF$3:$AF$15,0)),"")</f>
        <v/>
      </c>
      <c r="B129" s="47" t="str">
        <f>IFERROR(INDEX('G-8 Condition Look up'!$I$4:$I$130,MATCH(G129,'G-8 Condition Look up'!$A$4:$A$130,0)),"")</f>
        <v/>
      </c>
      <c r="D129" s="77">
        <v>119</v>
      </c>
      <c r="E129" s="78"/>
      <c r="F129" s="79"/>
      <c r="G129" s="69" t="str">
        <f>IFERROR(INDEX('G-1 All Habitats'!$B$3:$B$129,MATCH(F129,'G-1 All Habitats'!$A$3:$A$129,0)),"")</f>
        <v/>
      </c>
      <c r="H129" s="70"/>
      <c r="I129" s="498" t="str">
        <f>IF(G129="","",VLOOKUP(G129,'G-1 All Habitats'!$B$2:$M$129,10,FALSE))</f>
        <v/>
      </c>
      <c r="J129" s="499" t="str">
        <f>IFERROR(VLOOKUP(I129,'G-1 All Habitats'!$V$3:$W$7,2,FALSE),"")</f>
        <v/>
      </c>
      <c r="K129" s="71"/>
      <c r="L129" s="499" t="str">
        <f>IFERROR(INDEX('G-8 Condition Look up'!$A$3:$H$130,MATCH(G129,'G-8 Condition Look up'!$A$3:$A$130,0),MATCH(K129,'G-8 Condition Look up'!$A$3:$H$3,0)),"")</f>
        <v/>
      </c>
      <c r="M129" s="71"/>
      <c r="N129" s="520" t="str">
        <f>IF(M129="","",IF(VLOOKUP(M129,'G-3 Multipliers'!$L$3:$N$6,2,FALSE)=0,"Spatial Data Missing",VLOOKUP(M129,'G-3 Multipliers'!$L$3:$N$6,2,FALSE)))</f>
        <v/>
      </c>
      <c r="O129" s="505" t="str">
        <f>IF(M129="","",IF(VLOOKUP(M129,'G-3 Multipliers'!$L$3:$N$6,3,FALSE)=0,"Spatial Data Missing",VLOOKUP(M129,'G-3 Multipliers'!$L$3:$N$6,3,FALSE)))</f>
        <v/>
      </c>
      <c r="P129" s="506" t="str">
        <f>IFERROR(VLOOKUP(G129,'G-1 All Habitats'!$B$2:$M$129,12,FALSE),"")</f>
        <v/>
      </c>
      <c r="Q129" s="513" t="str">
        <f>IFERROR(IF(P129="","",IF(AND(P129='G-1 All Habitats'!$X$3,T129&gt;0),U129+V129,IF(AND(P129='G-1 All Habitats'!$X$3,S129&gt;0),U129+V129,IF(AND(P129='G-1 All Habitats'!$X$3,AC129&gt;0),"Any Loss Unacceptable ▲",IF(AND(P129='G-1 All Habitats'!$X$3,W129&gt;0),"Any Loss Unacceptable ▲",H129*J129*L129*O129))))),"Check Data ▲")</f>
        <v/>
      </c>
      <c r="R129" s="50"/>
      <c r="S129" s="71"/>
      <c r="T129" s="72"/>
      <c r="U129" s="511" t="str">
        <f t="shared" si="8"/>
        <v/>
      </c>
      <c r="V129" s="511" t="str">
        <f t="shared" si="9"/>
        <v/>
      </c>
      <c r="W129" s="511" t="str">
        <f>IF(E129="","",IF(H129&lt;S129+T129,"Error in Areas ▲",IF(P129&lt;&gt;'G-1 All Habitats'!$X$3,H129-S129-T129,IF(AND(P129='G-1 All Habitats'!$X$3,Y129="Yes"),"Unacceptable Loss",IF(AND(P129='G-1 All Habitats'!$X$3,Y129="No"),AC129,IF(AND(P129='G-1 All Habitats'!$X$3,Y129=""),AC129,IF(AND(P129='G-1 All Habitats'!$X$3,AC129="None",AC129),IF(AND(P129='G-1 All Habitats'!$X$3,AC129&gt;0),H129-S129-T129))))))))</f>
        <v/>
      </c>
      <c r="X129" s="515" t="str">
        <f>IFERROR(IF(H129="","",IF(H129-S129-T129=0&lt;0,"Error in Areas ▲",IF(S129+T129&gt;H129,"Error in Areas ▲",IF(AND(P129='G-1 All Habitats'!$X$3,Y129="Yes"),"Alternative Compensation ✓",IF(W129=0,0,IF(P129='G-1 All Habitats'!$X$3,"Unacceptable Loss ▲",Q129-U129-V129)))))),"Check Data ▲")</f>
        <v/>
      </c>
      <c r="Y129" s="72"/>
      <c r="Z129" s="80"/>
      <c r="AA129" s="81"/>
      <c r="AC129" s="75" t="str">
        <f>IF(P129="","",IF(P129='G-1 All Habitats'!$X$3,H129-S129-T129,"None"))</f>
        <v/>
      </c>
      <c r="AD129" s="76" t="str">
        <f>IFERROR(AC129*J129*L129*#REF!*O129,IF(P129="","","None"))</f>
        <v/>
      </c>
      <c r="AF129" s="54" t="str">
        <f t="shared" si="5"/>
        <v/>
      </c>
      <c r="AG129" s="54" t="str">
        <f t="shared" si="6"/>
        <v/>
      </c>
      <c r="AH129" s="54" t="str">
        <f>IF(I129="","",IF(#REF!&gt;0,TRUE,FALSE))</f>
        <v/>
      </c>
      <c r="AI129" s="54">
        <v>119</v>
      </c>
      <c r="AJ129" s="54"/>
      <c r="AK129" s="54" t="str">
        <f t="array" ref="AK129">IFERROR(INDEX($AI$11:$AI$259, MATCH(0, IF(TRUE=$AF$11:$AF$259, COUNTIF($AK$10:$AK128, $AI$11:$AI$259), ""), 0)),"")</f>
        <v/>
      </c>
      <c r="AL129" s="54" t="str">
        <f t="array" ref="AL129">IFERROR(INDEX($AI$11:$AI$259, MATCH(0, IF(TRUE=$AG$11:$AG$259, COUNTIF($AL$10:$AL128, $AI$11:$AI$259), ""), 0)),"")</f>
        <v/>
      </c>
      <c r="AM129" s="54" t="str">
        <f t="array" ref="AM129">IFERROR(INDEX($AI$11:$AI$259, MATCH(0, IF(TRUE=$AH$11:$AH$259, COUNTIF($AM$10:$AM128, $AI$11:$AI$259), ""), 0)),"")</f>
        <v/>
      </c>
      <c r="AN129" s="54"/>
      <c r="AQ129" s="47">
        <f t="shared" si="7"/>
        <v>0</v>
      </c>
    </row>
    <row r="130" spans="1:43" x14ac:dyDescent="0.25">
      <c r="A130" s="47" t="str">
        <f>IFERROR(INDEX('G-1 All Habitats'!$AG$3:$AG$15,MATCH(E130,'G-1 All Habitats'!$AF$3:$AF$15,0)),"")</f>
        <v/>
      </c>
      <c r="B130" s="47" t="str">
        <f>IFERROR(INDEX('G-8 Condition Look up'!$I$4:$I$130,MATCH(G130,'G-8 Condition Look up'!$A$4:$A$130,0)),"")</f>
        <v/>
      </c>
      <c r="D130" s="77">
        <v>120</v>
      </c>
      <c r="E130" s="78"/>
      <c r="F130" s="79"/>
      <c r="G130" s="69" t="str">
        <f>IFERROR(INDEX('G-1 All Habitats'!$B$3:$B$129,MATCH(F130,'G-1 All Habitats'!$A$3:$A$129,0)),"")</f>
        <v/>
      </c>
      <c r="H130" s="70"/>
      <c r="I130" s="498" t="str">
        <f>IF(G130="","",VLOOKUP(G130,'G-1 All Habitats'!$B$2:$M$129,10,FALSE))</f>
        <v/>
      </c>
      <c r="J130" s="499" t="str">
        <f>IFERROR(VLOOKUP(I130,'G-1 All Habitats'!$V$3:$W$7,2,FALSE),"")</f>
        <v/>
      </c>
      <c r="K130" s="71"/>
      <c r="L130" s="499" t="str">
        <f>IFERROR(INDEX('G-8 Condition Look up'!$A$3:$H$130,MATCH(G130,'G-8 Condition Look up'!$A$3:$A$130,0),MATCH(K130,'G-8 Condition Look up'!$A$3:$H$3,0)),"")</f>
        <v/>
      </c>
      <c r="M130" s="71"/>
      <c r="N130" s="520" t="str">
        <f>IF(M130="","",IF(VLOOKUP(M130,'G-3 Multipliers'!$L$3:$N$6,2,FALSE)=0,"Spatial Data Missing",VLOOKUP(M130,'G-3 Multipliers'!$L$3:$N$6,2,FALSE)))</f>
        <v/>
      </c>
      <c r="O130" s="505" t="str">
        <f>IF(M130="","",IF(VLOOKUP(M130,'G-3 Multipliers'!$L$3:$N$6,3,FALSE)=0,"Spatial Data Missing",VLOOKUP(M130,'G-3 Multipliers'!$L$3:$N$6,3,FALSE)))</f>
        <v/>
      </c>
      <c r="P130" s="506" t="str">
        <f>IFERROR(VLOOKUP(G130,'G-1 All Habitats'!$B$2:$M$129,12,FALSE),"")</f>
        <v/>
      </c>
      <c r="Q130" s="513" t="str">
        <f>IFERROR(IF(P130="","",IF(AND(P130='G-1 All Habitats'!$X$3,T130&gt;0),U130+V130,IF(AND(P130='G-1 All Habitats'!$X$3,S130&gt;0),U130+V130,IF(AND(P130='G-1 All Habitats'!$X$3,AC130&gt;0),"Any Loss Unacceptable ▲",IF(AND(P130='G-1 All Habitats'!$X$3,W130&gt;0),"Any Loss Unacceptable ▲",H130*J130*L130*O130))))),"Check Data ▲")</f>
        <v/>
      </c>
      <c r="R130" s="50"/>
      <c r="S130" s="71"/>
      <c r="T130" s="72"/>
      <c r="U130" s="511" t="str">
        <f t="shared" si="8"/>
        <v/>
      </c>
      <c r="V130" s="511" t="str">
        <f t="shared" si="9"/>
        <v/>
      </c>
      <c r="W130" s="511" t="str">
        <f>IF(E130="","",IF(H130&lt;S130+T130,"Error in Areas ▲",IF(P130&lt;&gt;'G-1 All Habitats'!$X$3,H130-S130-T130,IF(AND(P130='G-1 All Habitats'!$X$3,Y130="Yes"),"Unacceptable Loss",IF(AND(P130='G-1 All Habitats'!$X$3,Y130="No"),AC130,IF(AND(P130='G-1 All Habitats'!$X$3,Y130=""),AC130,IF(AND(P130='G-1 All Habitats'!$X$3,AC130="None",AC130),IF(AND(P130='G-1 All Habitats'!$X$3,AC130&gt;0),H130-S130-T130))))))))</f>
        <v/>
      </c>
      <c r="X130" s="515" t="str">
        <f>IFERROR(IF(H130="","",IF(H130-S130-T130=0&lt;0,"Error in Areas ▲",IF(S130+T130&gt;H130,"Error in Areas ▲",IF(AND(P130='G-1 All Habitats'!$X$3,Y130="Yes"),"Alternative Compensation ✓",IF(W130=0,0,IF(P130='G-1 All Habitats'!$X$3,"Unacceptable Loss ▲",Q130-U130-V130)))))),"Check Data ▲")</f>
        <v/>
      </c>
      <c r="Y130" s="72"/>
      <c r="Z130" s="80"/>
      <c r="AA130" s="81"/>
      <c r="AC130" s="75" t="str">
        <f>IF(P130="","",IF(P130='G-1 All Habitats'!$X$3,H130-S130-T130,"None"))</f>
        <v/>
      </c>
      <c r="AD130" s="76" t="str">
        <f>IFERROR(AC130*J130*L130*#REF!*O130,IF(P130="","","None"))</f>
        <v/>
      </c>
      <c r="AF130" s="54" t="str">
        <f t="shared" si="5"/>
        <v/>
      </c>
      <c r="AG130" s="54" t="str">
        <f t="shared" si="6"/>
        <v/>
      </c>
      <c r="AH130" s="54" t="str">
        <f>IF(I130="","",IF(#REF!&gt;0,TRUE,FALSE))</f>
        <v/>
      </c>
      <c r="AI130" s="54">
        <v>120</v>
      </c>
      <c r="AJ130" s="54"/>
      <c r="AK130" s="54" t="str">
        <f t="array" ref="AK130">IFERROR(INDEX($AI$11:$AI$259, MATCH(0, IF(TRUE=$AF$11:$AF$259, COUNTIF($AK$10:$AK129, $AI$11:$AI$259), ""), 0)),"")</f>
        <v/>
      </c>
      <c r="AL130" s="54" t="str">
        <f t="array" ref="AL130">IFERROR(INDEX($AI$11:$AI$259, MATCH(0, IF(TRUE=$AG$11:$AG$259, COUNTIF($AL$10:$AL129, $AI$11:$AI$259), ""), 0)),"")</f>
        <v/>
      </c>
      <c r="AM130" s="54" t="str">
        <f t="array" ref="AM130">IFERROR(INDEX($AI$11:$AI$259, MATCH(0, IF(TRUE=$AH$11:$AH$259, COUNTIF($AM$10:$AM129, $AI$11:$AI$259), ""), 0)),"")</f>
        <v/>
      </c>
      <c r="AN130" s="54"/>
      <c r="AQ130" s="47">
        <f t="shared" si="7"/>
        <v>0</v>
      </c>
    </row>
    <row r="131" spans="1:43" x14ac:dyDescent="0.25">
      <c r="A131" s="47" t="str">
        <f>IFERROR(INDEX('G-1 All Habitats'!$AG$3:$AG$15,MATCH(E131,'G-1 All Habitats'!$AF$3:$AF$15,0)),"")</f>
        <v/>
      </c>
      <c r="B131" s="47" t="str">
        <f>IFERROR(INDEX('G-8 Condition Look up'!$I$4:$I$130,MATCH(G131,'G-8 Condition Look up'!$A$4:$A$130,0)),"")</f>
        <v/>
      </c>
      <c r="D131" s="77">
        <v>121</v>
      </c>
      <c r="E131" s="78"/>
      <c r="F131" s="79"/>
      <c r="G131" s="69" t="str">
        <f>IFERROR(INDEX('G-1 All Habitats'!$B$3:$B$129,MATCH(F131,'G-1 All Habitats'!$A$3:$A$129,0)),"")</f>
        <v/>
      </c>
      <c r="H131" s="70"/>
      <c r="I131" s="498" t="str">
        <f>IF(G131="","",VLOOKUP(G131,'G-1 All Habitats'!$B$2:$M$129,10,FALSE))</f>
        <v/>
      </c>
      <c r="J131" s="499" t="str">
        <f>IFERROR(VLOOKUP(I131,'G-1 All Habitats'!$V$3:$W$7,2,FALSE),"")</f>
        <v/>
      </c>
      <c r="K131" s="71"/>
      <c r="L131" s="499" t="str">
        <f>IFERROR(INDEX('G-8 Condition Look up'!$A$3:$H$130,MATCH(G131,'G-8 Condition Look up'!$A$3:$A$130,0),MATCH(K131,'G-8 Condition Look up'!$A$3:$H$3,0)),"")</f>
        <v/>
      </c>
      <c r="M131" s="71"/>
      <c r="N131" s="520" t="str">
        <f>IF(M131="","",IF(VLOOKUP(M131,'G-3 Multipliers'!$L$3:$N$6,2,FALSE)=0,"Spatial Data Missing",VLOOKUP(M131,'G-3 Multipliers'!$L$3:$N$6,2,FALSE)))</f>
        <v/>
      </c>
      <c r="O131" s="505" t="str">
        <f>IF(M131="","",IF(VLOOKUP(M131,'G-3 Multipliers'!$L$3:$N$6,3,FALSE)=0,"Spatial Data Missing",VLOOKUP(M131,'G-3 Multipliers'!$L$3:$N$6,3,FALSE)))</f>
        <v/>
      </c>
      <c r="P131" s="506" t="str">
        <f>IFERROR(VLOOKUP(G131,'G-1 All Habitats'!$B$2:$M$129,12,FALSE),"")</f>
        <v/>
      </c>
      <c r="Q131" s="513" t="str">
        <f>IFERROR(IF(P131="","",IF(AND(P131='G-1 All Habitats'!$X$3,T131&gt;0),U131+V131,IF(AND(P131='G-1 All Habitats'!$X$3,S131&gt;0),U131+V131,IF(AND(P131='G-1 All Habitats'!$X$3,AC131&gt;0),"Any Loss Unacceptable ▲",IF(AND(P131='G-1 All Habitats'!$X$3,W131&gt;0),"Any Loss Unacceptable ▲",H131*J131*L131*O131))))),"Check Data ▲")</f>
        <v/>
      </c>
      <c r="R131" s="50"/>
      <c r="S131" s="71"/>
      <c r="T131" s="72"/>
      <c r="U131" s="511" t="str">
        <f t="shared" si="8"/>
        <v/>
      </c>
      <c r="V131" s="511" t="str">
        <f t="shared" si="9"/>
        <v/>
      </c>
      <c r="W131" s="511" t="str">
        <f>IF(E131="","",IF(H131&lt;S131+T131,"Error in Areas ▲",IF(P131&lt;&gt;'G-1 All Habitats'!$X$3,H131-S131-T131,IF(AND(P131='G-1 All Habitats'!$X$3,Y131="Yes"),"Unacceptable Loss",IF(AND(P131='G-1 All Habitats'!$X$3,Y131="No"),AC131,IF(AND(P131='G-1 All Habitats'!$X$3,Y131=""),AC131,IF(AND(P131='G-1 All Habitats'!$X$3,AC131="None",AC131),IF(AND(P131='G-1 All Habitats'!$X$3,AC131&gt;0),H131-S131-T131))))))))</f>
        <v/>
      </c>
      <c r="X131" s="515" t="str">
        <f>IFERROR(IF(H131="","",IF(H131-S131-T131=0&lt;0,"Error in Areas ▲",IF(S131+T131&gt;H131,"Error in Areas ▲",IF(AND(P131='G-1 All Habitats'!$X$3,Y131="Yes"),"Alternative Compensation ✓",IF(W131=0,0,IF(P131='G-1 All Habitats'!$X$3,"Unacceptable Loss ▲",Q131-U131-V131)))))),"Check Data ▲")</f>
        <v/>
      </c>
      <c r="Y131" s="72"/>
      <c r="Z131" s="80"/>
      <c r="AA131" s="81"/>
      <c r="AC131" s="75" t="str">
        <f>IF(P131="","",IF(P131='G-1 All Habitats'!$X$3,H131-S131-T131,"None"))</f>
        <v/>
      </c>
      <c r="AD131" s="76" t="str">
        <f>IFERROR(AC131*J131*L131*#REF!*O131,IF(P131="","","None"))</f>
        <v/>
      </c>
      <c r="AF131" s="54" t="str">
        <f t="shared" si="5"/>
        <v/>
      </c>
      <c r="AG131" s="54" t="str">
        <f t="shared" si="6"/>
        <v/>
      </c>
      <c r="AH131" s="54" t="str">
        <f>IF(I131="","",IF(#REF!&gt;0,TRUE,FALSE))</f>
        <v/>
      </c>
      <c r="AI131" s="54">
        <v>121</v>
      </c>
      <c r="AJ131" s="54"/>
      <c r="AK131" s="54" t="str">
        <f t="array" ref="AK131">IFERROR(INDEX($AI$11:$AI$259, MATCH(0, IF(TRUE=$AF$11:$AF$259, COUNTIF($AK$10:$AK130, $AI$11:$AI$259), ""), 0)),"")</f>
        <v/>
      </c>
      <c r="AL131" s="54" t="str">
        <f t="array" ref="AL131">IFERROR(INDEX($AI$11:$AI$259, MATCH(0, IF(TRUE=$AG$11:$AG$259, COUNTIF($AL$10:$AL130, $AI$11:$AI$259), ""), 0)),"")</f>
        <v/>
      </c>
      <c r="AM131" s="54" t="str">
        <f t="array" ref="AM131">IFERROR(INDEX($AI$11:$AI$259, MATCH(0, IF(TRUE=$AH$11:$AH$259, COUNTIF($AM$10:$AM130, $AI$11:$AI$259), ""), 0)),"")</f>
        <v/>
      </c>
      <c r="AN131" s="54"/>
      <c r="AQ131" s="47">
        <f t="shared" si="7"/>
        <v>0</v>
      </c>
    </row>
    <row r="132" spans="1:43" x14ac:dyDescent="0.25">
      <c r="A132" s="47" t="str">
        <f>IFERROR(INDEX('G-1 All Habitats'!$AG$3:$AG$15,MATCH(E132,'G-1 All Habitats'!$AF$3:$AF$15,0)),"")</f>
        <v/>
      </c>
      <c r="B132" s="47" t="str">
        <f>IFERROR(INDEX('G-8 Condition Look up'!$I$4:$I$130,MATCH(G132,'G-8 Condition Look up'!$A$4:$A$130,0)),"")</f>
        <v/>
      </c>
      <c r="D132" s="77">
        <v>122</v>
      </c>
      <c r="E132" s="78"/>
      <c r="F132" s="79"/>
      <c r="G132" s="69" t="str">
        <f>IFERROR(INDEX('G-1 All Habitats'!$B$3:$B$129,MATCH(F132,'G-1 All Habitats'!$A$3:$A$129,0)),"")</f>
        <v/>
      </c>
      <c r="H132" s="70"/>
      <c r="I132" s="498" t="str">
        <f>IF(G132="","",VLOOKUP(G132,'G-1 All Habitats'!$B$2:$M$129,10,FALSE))</f>
        <v/>
      </c>
      <c r="J132" s="499" t="str">
        <f>IFERROR(VLOOKUP(I132,'G-1 All Habitats'!$V$3:$W$7,2,FALSE),"")</f>
        <v/>
      </c>
      <c r="K132" s="71"/>
      <c r="L132" s="499" t="str">
        <f>IFERROR(INDEX('G-8 Condition Look up'!$A$3:$H$130,MATCH(G132,'G-8 Condition Look up'!$A$3:$A$130,0),MATCH(K132,'G-8 Condition Look up'!$A$3:$H$3,0)),"")</f>
        <v/>
      </c>
      <c r="M132" s="71"/>
      <c r="N132" s="520" t="str">
        <f>IF(M132="","",IF(VLOOKUP(M132,'G-3 Multipliers'!$L$3:$N$6,2,FALSE)=0,"Spatial Data Missing",VLOOKUP(M132,'G-3 Multipliers'!$L$3:$N$6,2,FALSE)))</f>
        <v/>
      </c>
      <c r="O132" s="505" t="str">
        <f>IF(M132="","",IF(VLOOKUP(M132,'G-3 Multipliers'!$L$3:$N$6,3,FALSE)=0,"Spatial Data Missing",VLOOKUP(M132,'G-3 Multipliers'!$L$3:$N$6,3,FALSE)))</f>
        <v/>
      </c>
      <c r="P132" s="506" t="str">
        <f>IFERROR(VLOOKUP(G132,'G-1 All Habitats'!$B$2:$M$129,12,FALSE),"")</f>
        <v/>
      </c>
      <c r="Q132" s="513" t="str">
        <f>IFERROR(IF(P132="","",IF(AND(P132='G-1 All Habitats'!$X$3,T132&gt;0),U132+V132,IF(AND(P132='G-1 All Habitats'!$X$3,S132&gt;0),U132+V132,IF(AND(P132='G-1 All Habitats'!$X$3,AC132&gt;0),"Any Loss Unacceptable ▲",IF(AND(P132='G-1 All Habitats'!$X$3,W132&gt;0),"Any Loss Unacceptable ▲",H132*J132*L132*O132))))),"Check Data ▲")</f>
        <v/>
      </c>
      <c r="R132" s="50"/>
      <c r="S132" s="71"/>
      <c r="T132" s="72"/>
      <c r="U132" s="511" t="str">
        <f t="shared" si="8"/>
        <v/>
      </c>
      <c r="V132" s="511" t="str">
        <f t="shared" si="9"/>
        <v/>
      </c>
      <c r="W132" s="511" t="str">
        <f>IF(E132="","",IF(H132&lt;S132+T132,"Error in Areas ▲",IF(P132&lt;&gt;'G-1 All Habitats'!$X$3,H132-S132-T132,IF(AND(P132='G-1 All Habitats'!$X$3,Y132="Yes"),"Unacceptable Loss",IF(AND(P132='G-1 All Habitats'!$X$3,Y132="No"),AC132,IF(AND(P132='G-1 All Habitats'!$X$3,Y132=""),AC132,IF(AND(P132='G-1 All Habitats'!$X$3,AC132="None",AC132),IF(AND(P132='G-1 All Habitats'!$X$3,AC132&gt;0),H132-S132-T132))))))))</f>
        <v/>
      </c>
      <c r="X132" s="515" t="str">
        <f>IFERROR(IF(H132="","",IF(H132-S132-T132=0&lt;0,"Error in Areas ▲",IF(S132+T132&gt;H132,"Error in Areas ▲",IF(AND(P132='G-1 All Habitats'!$X$3,Y132="Yes"),"Alternative Compensation ✓",IF(W132=0,0,IF(P132='G-1 All Habitats'!$X$3,"Unacceptable Loss ▲",Q132-U132-V132)))))),"Check Data ▲")</f>
        <v/>
      </c>
      <c r="Y132" s="72"/>
      <c r="Z132" s="80"/>
      <c r="AA132" s="81"/>
      <c r="AC132" s="75" t="str">
        <f>IF(P132="","",IF(P132='G-1 All Habitats'!$X$3,H132-S132-T132,"None"))</f>
        <v/>
      </c>
      <c r="AD132" s="76" t="str">
        <f>IFERROR(AC132*J132*L132*#REF!*O132,IF(P132="","","None"))</f>
        <v/>
      </c>
      <c r="AF132" s="54" t="str">
        <f t="shared" si="5"/>
        <v/>
      </c>
      <c r="AG132" s="54" t="str">
        <f t="shared" si="6"/>
        <v/>
      </c>
      <c r="AH132" s="54" t="str">
        <f>IF(I132="","",IF(#REF!&gt;0,TRUE,FALSE))</f>
        <v/>
      </c>
      <c r="AI132" s="54">
        <v>122</v>
      </c>
      <c r="AJ132" s="54"/>
      <c r="AK132" s="54" t="str">
        <f t="array" ref="AK132">IFERROR(INDEX($AI$11:$AI$259, MATCH(0, IF(TRUE=$AF$11:$AF$259, COUNTIF($AK$10:$AK131, $AI$11:$AI$259), ""), 0)),"")</f>
        <v/>
      </c>
      <c r="AL132" s="54" t="str">
        <f t="array" ref="AL132">IFERROR(INDEX($AI$11:$AI$259, MATCH(0, IF(TRUE=$AG$11:$AG$259, COUNTIF($AL$10:$AL131, $AI$11:$AI$259), ""), 0)),"")</f>
        <v/>
      </c>
      <c r="AM132" s="54" t="str">
        <f t="array" ref="AM132">IFERROR(INDEX($AI$11:$AI$259, MATCH(0, IF(TRUE=$AH$11:$AH$259, COUNTIF($AM$10:$AM131, $AI$11:$AI$259), ""), 0)),"")</f>
        <v/>
      </c>
      <c r="AN132" s="54"/>
      <c r="AQ132" s="47">
        <f t="shared" si="7"/>
        <v>0</v>
      </c>
    </row>
    <row r="133" spans="1:43" x14ac:dyDescent="0.25">
      <c r="A133" s="47" t="str">
        <f>IFERROR(INDEX('G-1 All Habitats'!$AG$3:$AG$15,MATCH(E133,'G-1 All Habitats'!$AF$3:$AF$15,0)),"")</f>
        <v/>
      </c>
      <c r="B133" s="47" t="str">
        <f>IFERROR(INDEX('G-8 Condition Look up'!$I$4:$I$130,MATCH(G133,'G-8 Condition Look up'!$A$4:$A$130,0)),"")</f>
        <v/>
      </c>
      <c r="D133" s="77">
        <v>123</v>
      </c>
      <c r="E133" s="78"/>
      <c r="F133" s="79"/>
      <c r="G133" s="69" t="str">
        <f>IFERROR(INDEX('G-1 All Habitats'!$B$3:$B$129,MATCH(F133,'G-1 All Habitats'!$A$3:$A$129,0)),"")</f>
        <v/>
      </c>
      <c r="H133" s="70"/>
      <c r="I133" s="498" t="str">
        <f>IF(G133="","",VLOOKUP(G133,'G-1 All Habitats'!$B$2:$M$129,10,FALSE))</f>
        <v/>
      </c>
      <c r="J133" s="499" t="str">
        <f>IFERROR(VLOOKUP(I133,'G-1 All Habitats'!$V$3:$W$7,2,FALSE),"")</f>
        <v/>
      </c>
      <c r="K133" s="71"/>
      <c r="L133" s="499" t="str">
        <f>IFERROR(INDEX('G-8 Condition Look up'!$A$3:$H$130,MATCH(G133,'G-8 Condition Look up'!$A$3:$A$130,0),MATCH(K133,'G-8 Condition Look up'!$A$3:$H$3,0)),"")</f>
        <v/>
      </c>
      <c r="M133" s="71"/>
      <c r="N133" s="520" t="str">
        <f>IF(M133="","",IF(VLOOKUP(M133,'G-3 Multipliers'!$L$3:$N$6,2,FALSE)=0,"Spatial Data Missing",VLOOKUP(M133,'G-3 Multipliers'!$L$3:$N$6,2,FALSE)))</f>
        <v/>
      </c>
      <c r="O133" s="505" t="str">
        <f>IF(M133="","",IF(VLOOKUP(M133,'G-3 Multipliers'!$L$3:$N$6,3,FALSE)=0,"Spatial Data Missing",VLOOKUP(M133,'G-3 Multipliers'!$L$3:$N$6,3,FALSE)))</f>
        <v/>
      </c>
      <c r="P133" s="506" t="str">
        <f>IFERROR(VLOOKUP(G133,'G-1 All Habitats'!$B$2:$M$129,12,FALSE),"")</f>
        <v/>
      </c>
      <c r="Q133" s="513" t="str">
        <f>IFERROR(IF(P133="","",IF(AND(P133='G-1 All Habitats'!$X$3,T133&gt;0),U133+V133,IF(AND(P133='G-1 All Habitats'!$X$3,S133&gt;0),U133+V133,IF(AND(P133='G-1 All Habitats'!$X$3,AC133&gt;0),"Any Loss Unacceptable ▲",IF(AND(P133='G-1 All Habitats'!$X$3,W133&gt;0),"Any Loss Unacceptable ▲",H133*J133*L133*O133))))),"Check Data ▲")</f>
        <v/>
      </c>
      <c r="R133" s="50"/>
      <c r="S133" s="71"/>
      <c r="T133" s="72"/>
      <c r="U133" s="511" t="str">
        <f t="shared" si="8"/>
        <v/>
      </c>
      <c r="V133" s="511" t="str">
        <f t="shared" si="9"/>
        <v/>
      </c>
      <c r="W133" s="511" t="str">
        <f>IF(E133="","",IF(H133&lt;S133+T133,"Error in Areas ▲",IF(P133&lt;&gt;'G-1 All Habitats'!$X$3,H133-S133-T133,IF(AND(P133='G-1 All Habitats'!$X$3,Y133="Yes"),"Unacceptable Loss",IF(AND(P133='G-1 All Habitats'!$X$3,Y133="No"),AC133,IF(AND(P133='G-1 All Habitats'!$X$3,Y133=""),AC133,IF(AND(P133='G-1 All Habitats'!$X$3,AC133="None",AC133),IF(AND(P133='G-1 All Habitats'!$X$3,AC133&gt;0),H133-S133-T133))))))))</f>
        <v/>
      </c>
      <c r="X133" s="515" t="str">
        <f>IFERROR(IF(H133="","",IF(H133-S133-T133=0&lt;0,"Error in Areas ▲",IF(S133+T133&gt;H133,"Error in Areas ▲",IF(AND(P133='G-1 All Habitats'!$X$3,Y133="Yes"),"Alternative Compensation ✓",IF(W133=0,0,IF(P133='G-1 All Habitats'!$X$3,"Unacceptable Loss ▲",Q133-U133-V133)))))),"Check Data ▲")</f>
        <v/>
      </c>
      <c r="Y133" s="72"/>
      <c r="Z133" s="80"/>
      <c r="AA133" s="81"/>
      <c r="AC133" s="75" t="str">
        <f>IF(P133="","",IF(P133='G-1 All Habitats'!$X$3,H133-S133-T133,"None"))</f>
        <v/>
      </c>
      <c r="AD133" s="76" t="str">
        <f>IFERROR(AC133*J133*L133*#REF!*O133,IF(P133="","","None"))</f>
        <v/>
      </c>
      <c r="AF133" s="54" t="str">
        <f t="shared" si="5"/>
        <v/>
      </c>
      <c r="AG133" s="54" t="str">
        <f t="shared" si="6"/>
        <v/>
      </c>
      <c r="AH133" s="54" t="str">
        <f>IF(I133="","",IF(#REF!&gt;0,TRUE,FALSE))</f>
        <v/>
      </c>
      <c r="AI133" s="54">
        <v>123</v>
      </c>
      <c r="AJ133" s="54"/>
      <c r="AK133" s="54" t="str">
        <f t="array" ref="AK133">IFERROR(INDEX($AI$11:$AI$259, MATCH(0, IF(TRUE=$AF$11:$AF$259, COUNTIF($AK$10:$AK132, $AI$11:$AI$259), ""), 0)),"")</f>
        <v/>
      </c>
      <c r="AL133" s="54" t="str">
        <f t="array" ref="AL133">IFERROR(INDEX($AI$11:$AI$259, MATCH(0, IF(TRUE=$AG$11:$AG$259, COUNTIF($AL$10:$AL132, $AI$11:$AI$259), ""), 0)),"")</f>
        <v/>
      </c>
      <c r="AM133" s="54" t="str">
        <f t="array" ref="AM133">IFERROR(INDEX($AI$11:$AI$259, MATCH(0, IF(TRUE=$AH$11:$AH$259, COUNTIF($AM$10:$AM132, $AI$11:$AI$259), ""), 0)),"")</f>
        <v/>
      </c>
      <c r="AN133" s="54"/>
      <c r="AQ133" s="47">
        <f t="shared" si="7"/>
        <v>0</v>
      </c>
    </row>
    <row r="134" spans="1:43" x14ac:dyDescent="0.25">
      <c r="A134" s="47" t="str">
        <f>IFERROR(INDEX('G-1 All Habitats'!$AG$3:$AG$15,MATCH(E134,'G-1 All Habitats'!$AF$3:$AF$15,0)),"")</f>
        <v/>
      </c>
      <c r="B134" s="47" t="str">
        <f>IFERROR(INDEX('G-8 Condition Look up'!$I$4:$I$130,MATCH(G134,'G-8 Condition Look up'!$A$4:$A$130,0)),"")</f>
        <v/>
      </c>
      <c r="D134" s="77">
        <v>124</v>
      </c>
      <c r="E134" s="78"/>
      <c r="F134" s="79"/>
      <c r="G134" s="69" t="str">
        <f>IFERROR(INDEX('G-1 All Habitats'!$B$3:$B$129,MATCH(F134,'G-1 All Habitats'!$A$3:$A$129,0)),"")</f>
        <v/>
      </c>
      <c r="H134" s="70"/>
      <c r="I134" s="498" t="str">
        <f>IF(G134="","",VLOOKUP(G134,'G-1 All Habitats'!$B$2:$M$129,10,FALSE))</f>
        <v/>
      </c>
      <c r="J134" s="499" t="str">
        <f>IFERROR(VLOOKUP(I134,'G-1 All Habitats'!$V$3:$W$7,2,FALSE),"")</f>
        <v/>
      </c>
      <c r="K134" s="71"/>
      <c r="L134" s="499" t="str">
        <f>IFERROR(INDEX('G-8 Condition Look up'!$A$3:$H$130,MATCH(G134,'G-8 Condition Look up'!$A$3:$A$130,0),MATCH(K134,'G-8 Condition Look up'!$A$3:$H$3,0)),"")</f>
        <v/>
      </c>
      <c r="M134" s="71"/>
      <c r="N134" s="520" t="str">
        <f>IF(M134="","",IF(VLOOKUP(M134,'G-3 Multipliers'!$L$3:$N$6,2,FALSE)=0,"Spatial Data Missing",VLOOKUP(M134,'G-3 Multipliers'!$L$3:$N$6,2,FALSE)))</f>
        <v/>
      </c>
      <c r="O134" s="505" t="str">
        <f>IF(M134="","",IF(VLOOKUP(M134,'G-3 Multipliers'!$L$3:$N$6,3,FALSE)=0,"Spatial Data Missing",VLOOKUP(M134,'G-3 Multipliers'!$L$3:$N$6,3,FALSE)))</f>
        <v/>
      </c>
      <c r="P134" s="506" t="str">
        <f>IFERROR(VLOOKUP(G134,'G-1 All Habitats'!$B$2:$M$129,12,FALSE),"")</f>
        <v/>
      </c>
      <c r="Q134" s="513" t="str">
        <f>IFERROR(IF(P134="","",IF(AND(P134='G-1 All Habitats'!$X$3,T134&gt;0),U134+V134,IF(AND(P134='G-1 All Habitats'!$X$3,S134&gt;0),U134+V134,IF(AND(P134='G-1 All Habitats'!$X$3,AC134&gt;0),"Any Loss Unacceptable ▲",IF(AND(P134='G-1 All Habitats'!$X$3,W134&gt;0),"Any Loss Unacceptable ▲",H134*J134*L134*O134))))),"Check Data ▲")</f>
        <v/>
      </c>
      <c r="R134" s="50"/>
      <c r="S134" s="71"/>
      <c r="T134" s="72"/>
      <c r="U134" s="511" t="str">
        <f t="shared" si="8"/>
        <v/>
      </c>
      <c r="V134" s="511" t="str">
        <f t="shared" si="9"/>
        <v/>
      </c>
      <c r="W134" s="511" t="str">
        <f>IF(E134="","",IF(H134&lt;S134+T134,"Error in Areas ▲",IF(P134&lt;&gt;'G-1 All Habitats'!$X$3,H134-S134-T134,IF(AND(P134='G-1 All Habitats'!$X$3,Y134="Yes"),"Unacceptable Loss",IF(AND(P134='G-1 All Habitats'!$X$3,Y134="No"),AC134,IF(AND(P134='G-1 All Habitats'!$X$3,Y134=""),AC134,IF(AND(P134='G-1 All Habitats'!$X$3,AC134="None",AC134),IF(AND(P134='G-1 All Habitats'!$X$3,AC134&gt;0),H134-S134-T134))))))))</f>
        <v/>
      </c>
      <c r="X134" s="515" t="str">
        <f>IFERROR(IF(H134="","",IF(H134-S134-T134=0&lt;0,"Error in Areas ▲",IF(S134+T134&gt;H134,"Error in Areas ▲",IF(AND(P134='G-1 All Habitats'!$X$3,Y134="Yes"),"Alternative Compensation ✓",IF(W134=0,0,IF(P134='G-1 All Habitats'!$X$3,"Unacceptable Loss ▲",Q134-U134-V134)))))),"Check Data ▲")</f>
        <v/>
      </c>
      <c r="Y134" s="72"/>
      <c r="Z134" s="80"/>
      <c r="AA134" s="81"/>
      <c r="AC134" s="75" t="str">
        <f>IF(P134="","",IF(P134='G-1 All Habitats'!$X$3,H134-S134-T134,"None"))</f>
        <v/>
      </c>
      <c r="AD134" s="76" t="str">
        <f>IFERROR(AC134*J134*L134*#REF!*O134,IF(P134="","","None"))</f>
        <v/>
      </c>
      <c r="AF134" s="54" t="str">
        <f t="shared" si="5"/>
        <v/>
      </c>
      <c r="AG134" s="54" t="str">
        <f t="shared" si="6"/>
        <v/>
      </c>
      <c r="AH134" s="54" t="str">
        <f>IF(I134="","",IF(#REF!&gt;0,TRUE,FALSE))</f>
        <v/>
      </c>
      <c r="AI134" s="54">
        <v>124</v>
      </c>
      <c r="AJ134" s="54"/>
      <c r="AK134" s="54" t="str">
        <f t="array" ref="AK134">IFERROR(INDEX($AI$11:$AI$259, MATCH(0, IF(TRUE=$AF$11:$AF$259, COUNTIF($AK$10:$AK133, $AI$11:$AI$259), ""), 0)),"")</f>
        <v/>
      </c>
      <c r="AL134" s="54" t="str">
        <f t="array" ref="AL134">IFERROR(INDEX($AI$11:$AI$259, MATCH(0, IF(TRUE=$AG$11:$AG$259, COUNTIF($AL$10:$AL133, $AI$11:$AI$259), ""), 0)),"")</f>
        <v/>
      </c>
      <c r="AM134" s="54" t="str">
        <f t="array" ref="AM134">IFERROR(INDEX($AI$11:$AI$259, MATCH(0, IF(TRUE=$AH$11:$AH$259, COUNTIF($AM$10:$AM133, $AI$11:$AI$259), ""), 0)),"")</f>
        <v/>
      </c>
      <c r="AN134" s="54"/>
      <c r="AQ134" s="47">
        <f t="shared" si="7"/>
        <v>0</v>
      </c>
    </row>
    <row r="135" spans="1:43" x14ac:dyDescent="0.25">
      <c r="A135" s="47" t="str">
        <f>IFERROR(INDEX('G-1 All Habitats'!$AG$3:$AG$15,MATCH(E135,'G-1 All Habitats'!$AF$3:$AF$15,0)),"")</f>
        <v/>
      </c>
      <c r="B135" s="47" t="str">
        <f>IFERROR(INDEX('G-8 Condition Look up'!$I$4:$I$130,MATCH(G135,'G-8 Condition Look up'!$A$4:$A$130,0)),"")</f>
        <v/>
      </c>
      <c r="D135" s="77">
        <v>125</v>
      </c>
      <c r="E135" s="78"/>
      <c r="F135" s="79"/>
      <c r="G135" s="69" t="str">
        <f>IFERROR(INDEX('G-1 All Habitats'!$B$3:$B$129,MATCH(F135,'G-1 All Habitats'!$A$3:$A$129,0)),"")</f>
        <v/>
      </c>
      <c r="H135" s="70"/>
      <c r="I135" s="498" t="str">
        <f>IF(G135="","",VLOOKUP(G135,'G-1 All Habitats'!$B$2:$M$129,10,FALSE))</f>
        <v/>
      </c>
      <c r="J135" s="499" t="str">
        <f>IFERROR(VLOOKUP(I135,'G-1 All Habitats'!$V$3:$W$7,2,FALSE),"")</f>
        <v/>
      </c>
      <c r="K135" s="71"/>
      <c r="L135" s="499" t="str">
        <f>IFERROR(INDEX('G-8 Condition Look up'!$A$3:$H$130,MATCH(G135,'G-8 Condition Look up'!$A$3:$A$130,0),MATCH(K135,'G-8 Condition Look up'!$A$3:$H$3,0)),"")</f>
        <v/>
      </c>
      <c r="M135" s="71"/>
      <c r="N135" s="520" t="str">
        <f>IF(M135="","",IF(VLOOKUP(M135,'G-3 Multipliers'!$L$3:$N$6,2,FALSE)=0,"Spatial Data Missing",VLOOKUP(M135,'G-3 Multipliers'!$L$3:$N$6,2,FALSE)))</f>
        <v/>
      </c>
      <c r="O135" s="505" t="str">
        <f>IF(M135="","",IF(VLOOKUP(M135,'G-3 Multipliers'!$L$3:$N$6,3,FALSE)=0,"Spatial Data Missing",VLOOKUP(M135,'G-3 Multipliers'!$L$3:$N$6,3,FALSE)))</f>
        <v/>
      </c>
      <c r="P135" s="506" t="str">
        <f>IFERROR(VLOOKUP(G135,'G-1 All Habitats'!$B$2:$M$129,12,FALSE),"")</f>
        <v/>
      </c>
      <c r="Q135" s="513" t="str">
        <f>IFERROR(IF(P135="","",IF(AND(P135='G-1 All Habitats'!$X$3,T135&gt;0),U135+V135,IF(AND(P135='G-1 All Habitats'!$X$3,S135&gt;0),U135+V135,IF(AND(P135='G-1 All Habitats'!$X$3,AC135&gt;0),"Any Loss Unacceptable ▲",IF(AND(P135='G-1 All Habitats'!$X$3,W135&gt;0),"Any Loss Unacceptable ▲",H135*J135*L135*O135))))),"Check Data ▲")</f>
        <v/>
      </c>
      <c r="R135" s="50"/>
      <c r="S135" s="71"/>
      <c r="T135" s="72"/>
      <c r="U135" s="511" t="str">
        <f t="shared" si="8"/>
        <v/>
      </c>
      <c r="V135" s="511" t="str">
        <f t="shared" si="9"/>
        <v/>
      </c>
      <c r="W135" s="511" t="str">
        <f>IF(E135="","",IF(H135&lt;S135+T135,"Error in Areas ▲",IF(P135&lt;&gt;'G-1 All Habitats'!$X$3,H135-S135-T135,IF(AND(P135='G-1 All Habitats'!$X$3,Y135="Yes"),"Unacceptable Loss",IF(AND(P135='G-1 All Habitats'!$X$3,Y135="No"),AC135,IF(AND(P135='G-1 All Habitats'!$X$3,Y135=""),AC135,IF(AND(P135='G-1 All Habitats'!$X$3,AC135="None",AC135),IF(AND(P135='G-1 All Habitats'!$X$3,AC135&gt;0),H135-S135-T135))))))))</f>
        <v/>
      </c>
      <c r="X135" s="515" t="str">
        <f>IFERROR(IF(H135="","",IF(H135-S135-T135=0&lt;0,"Error in Areas ▲",IF(S135+T135&gt;H135,"Error in Areas ▲",IF(AND(P135='G-1 All Habitats'!$X$3,Y135="Yes"),"Alternative Compensation ✓",IF(W135=0,0,IF(P135='G-1 All Habitats'!$X$3,"Unacceptable Loss ▲",Q135-U135-V135)))))),"Check Data ▲")</f>
        <v/>
      </c>
      <c r="Y135" s="72"/>
      <c r="Z135" s="80"/>
      <c r="AA135" s="81"/>
      <c r="AC135" s="75" t="str">
        <f>IF(P135="","",IF(P135='G-1 All Habitats'!$X$3,H135-S135-T135,"None"))</f>
        <v/>
      </c>
      <c r="AD135" s="76" t="str">
        <f>IFERROR(AC135*J135*L135*#REF!*O135,IF(P135="","","None"))</f>
        <v/>
      </c>
      <c r="AF135" s="54" t="str">
        <f t="shared" si="5"/>
        <v/>
      </c>
      <c r="AG135" s="54" t="str">
        <f t="shared" si="6"/>
        <v/>
      </c>
      <c r="AH135" s="54" t="str">
        <f>IF(I135="","",IF(#REF!&gt;0,TRUE,FALSE))</f>
        <v/>
      </c>
      <c r="AI135" s="54">
        <v>125</v>
      </c>
      <c r="AJ135" s="54"/>
      <c r="AK135" s="54" t="str">
        <f t="array" ref="AK135">IFERROR(INDEX($AI$11:$AI$259, MATCH(0, IF(TRUE=$AF$11:$AF$259, COUNTIF($AK$10:$AK134, $AI$11:$AI$259), ""), 0)),"")</f>
        <v/>
      </c>
      <c r="AL135" s="54" t="str">
        <f t="array" ref="AL135">IFERROR(INDEX($AI$11:$AI$259, MATCH(0, IF(TRUE=$AG$11:$AG$259, COUNTIF($AL$10:$AL134, $AI$11:$AI$259), ""), 0)),"")</f>
        <v/>
      </c>
      <c r="AM135" s="54" t="str">
        <f t="array" ref="AM135">IFERROR(INDEX($AI$11:$AI$259, MATCH(0, IF(TRUE=$AH$11:$AH$259, COUNTIF($AM$10:$AM134, $AI$11:$AI$259), ""), 0)),"")</f>
        <v/>
      </c>
      <c r="AN135" s="54"/>
      <c r="AQ135" s="47">
        <f t="shared" si="7"/>
        <v>0</v>
      </c>
    </row>
    <row r="136" spans="1:43" x14ac:dyDescent="0.25">
      <c r="A136" s="47" t="str">
        <f>IFERROR(INDEX('G-1 All Habitats'!$AG$3:$AG$15,MATCH(E136,'G-1 All Habitats'!$AF$3:$AF$15,0)),"")</f>
        <v/>
      </c>
      <c r="B136" s="47" t="str">
        <f>IFERROR(INDEX('G-8 Condition Look up'!$I$4:$I$130,MATCH(G136,'G-8 Condition Look up'!$A$4:$A$130,0)),"")</f>
        <v/>
      </c>
      <c r="D136" s="77">
        <v>126</v>
      </c>
      <c r="E136" s="78"/>
      <c r="F136" s="79"/>
      <c r="G136" s="69" t="str">
        <f>IFERROR(INDEX('G-1 All Habitats'!$B$3:$B$129,MATCH(F136,'G-1 All Habitats'!$A$3:$A$129,0)),"")</f>
        <v/>
      </c>
      <c r="H136" s="70"/>
      <c r="I136" s="498" t="str">
        <f>IF(G136="","",VLOOKUP(G136,'G-1 All Habitats'!$B$2:$M$129,10,FALSE))</f>
        <v/>
      </c>
      <c r="J136" s="499" t="str">
        <f>IFERROR(VLOOKUP(I136,'G-1 All Habitats'!$V$3:$W$7,2,FALSE),"")</f>
        <v/>
      </c>
      <c r="K136" s="71"/>
      <c r="L136" s="499" t="str">
        <f>IFERROR(INDEX('G-8 Condition Look up'!$A$3:$H$130,MATCH(G136,'G-8 Condition Look up'!$A$3:$A$130,0),MATCH(K136,'G-8 Condition Look up'!$A$3:$H$3,0)),"")</f>
        <v/>
      </c>
      <c r="M136" s="71"/>
      <c r="N136" s="520" t="str">
        <f>IF(M136="","",IF(VLOOKUP(M136,'G-3 Multipliers'!$L$3:$N$6,2,FALSE)=0,"Spatial Data Missing",VLOOKUP(M136,'G-3 Multipliers'!$L$3:$N$6,2,FALSE)))</f>
        <v/>
      </c>
      <c r="O136" s="505" t="str">
        <f>IF(M136="","",IF(VLOOKUP(M136,'G-3 Multipliers'!$L$3:$N$6,3,FALSE)=0,"Spatial Data Missing",VLOOKUP(M136,'G-3 Multipliers'!$L$3:$N$6,3,FALSE)))</f>
        <v/>
      </c>
      <c r="P136" s="506" t="str">
        <f>IFERROR(VLOOKUP(G136,'G-1 All Habitats'!$B$2:$M$129,12,FALSE),"")</f>
        <v/>
      </c>
      <c r="Q136" s="513" t="str">
        <f>IFERROR(IF(P136="","",IF(AND(P136='G-1 All Habitats'!$X$3,T136&gt;0),U136+V136,IF(AND(P136='G-1 All Habitats'!$X$3,S136&gt;0),U136+V136,IF(AND(P136='G-1 All Habitats'!$X$3,AC136&gt;0),"Any Loss Unacceptable ▲",IF(AND(P136='G-1 All Habitats'!$X$3,W136&gt;0),"Any Loss Unacceptable ▲",H136*J136*L136*O136))))),"Check Data ▲")</f>
        <v/>
      </c>
      <c r="R136" s="50"/>
      <c r="S136" s="71"/>
      <c r="T136" s="72"/>
      <c r="U136" s="511" t="str">
        <f t="shared" si="8"/>
        <v/>
      </c>
      <c r="V136" s="511" t="str">
        <f t="shared" si="9"/>
        <v/>
      </c>
      <c r="W136" s="511" t="str">
        <f>IF(E136="","",IF(H136&lt;S136+T136,"Error in Areas ▲",IF(P136&lt;&gt;'G-1 All Habitats'!$X$3,H136-S136-T136,IF(AND(P136='G-1 All Habitats'!$X$3,Y136="Yes"),"Unacceptable Loss",IF(AND(P136='G-1 All Habitats'!$X$3,Y136="No"),AC136,IF(AND(P136='G-1 All Habitats'!$X$3,Y136=""),AC136,IF(AND(P136='G-1 All Habitats'!$X$3,AC136="None",AC136),IF(AND(P136='G-1 All Habitats'!$X$3,AC136&gt;0),H136-S136-T136))))))))</f>
        <v/>
      </c>
      <c r="X136" s="515" t="str">
        <f>IFERROR(IF(H136="","",IF(H136-S136-T136=0&lt;0,"Error in Areas ▲",IF(S136+T136&gt;H136,"Error in Areas ▲",IF(AND(P136='G-1 All Habitats'!$X$3,Y136="Yes"),"Alternative Compensation ✓",IF(W136=0,0,IF(P136='G-1 All Habitats'!$X$3,"Unacceptable Loss ▲",Q136-U136-V136)))))),"Check Data ▲")</f>
        <v/>
      </c>
      <c r="Y136" s="72"/>
      <c r="Z136" s="80"/>
      <c r="AA136" s="81"/>
      <c r="AC136" s="75" t="str">
        <f>IF(P136="","",IF(P136='G-1 All Habitats'!$X$3,H136-S136-T136,"None"))</f>
        <v/>
      </c>
      <c r="AD136" s="76" t="str">
        <f>IFERROR(AC136*J136*L136*#REF!*O136,IF(P136="","","None"))</f>
        <v/>
      </c>
      <c r="AF136" s="54" t="str">
        <f t="shared" si="5"/>
        <v/>
      </c>
      <c r="AG136" s="54" t="str">
        <f t="shared" si="6"/>
        <v/>
      </c>
      <c r="AH136" s="54" t="str">
        <f>IF(I136="","",IF(#REF!&gt;0,TRUE,FALSE))</f>
        <v/>
      </c>
      <c r="AI136" s="54">
        <v>126</v>
      </c>
      <c r="AJ136" s="54"/>
      <c r="AK136" s="54" t="str">
        <f t="array" ref="AK136">IFERROR(INDEX($AI$11:$AI$259, MATCH(0, IF(TRUE=$AF$11:$AF$259, COUNTIF($AK$10:$AK135, $AI$11:$AI$259), ""), 0)),"")</f>
        <v/>
      </c>
      <c r="AL136" s="54" t="str">
        <f t="array" ref="AL136">IFERROR(INDEX($AI$11:$AI$259, MATCH(0, IF(TRUE=$AG$11:$AG$259, COUNTIF($AL$10:$AL135, $AI$11:$AI$259), ""), 0)),"")</f>
        <v/>
      </c>
      <c r="AM136" s="54" t="str">
        <f t="array" ref="AM136">IFERROR(INDEX($AI$11:$AI$259, MATCH(0, IF(TRUE=$AH$11:$AH$259, COUNTIF($AM$10:$AM135, $AI$11:$AI$259), ""), 0)),"")</f>
        <v/>
      </c>
      <c r="AN136" s="54"/>
      <c r="AQ136" s="47">
        <f t="shared" si="7"/>
        <v>0</v>
      </c>
    </row>
    <row r="137" spans="1:43" x14ac:dyDescent="0.25">
      <c r="A137" s="47" t="str">
        <f>IFERROR(INDEX('G-1 All Habitats'!$AG$3:$AG$15,MATCH(E137,'G-1 All Habitats'!$AF$3:$AF$15,0)),"")</f>
        <v/>
      </c>
      <c r="B137" s="47" t="str">
        <f>IFERROR(INDEX('G-8 Condition Look up'!$I$4:$I$130,MATCH(G137,'G-8 Condition Look up'!$A$4:$A$130,0)),"")</f>
        <v/>
      </c>
      <c r="D137" s="77">
        <v>127</v>
      </c>
      <c r="E137" s="78"/>
      <c r="F137" s="79"/>
      <c r="G137" s="69" t="str">
        <f>IFERROR(INDEX('G-1 All Habitats'!$B$3:$B$129,MATCH(F137,'G-1 All Habitats'!$A$3:$A$129,0)),"")</f>
        <v/>
      </c>
      <c r="H137" s="70"/>
      <c r="I137" s="498" t="str">
        <f>IF(G137="","",VLOOKUP(G137,'G-1 All Habitats'!$B$2:$M$129,10,FALSE))</f>
        <v/>
      </c>
      <c r="J137" s="499" t="str">
        <f>IFERROR(VLOOKUP(I137,'G-1 All Habitats'!$V$3:$W$7,2,FALSE),"")</f>
        <v/>
      </c>
      <c r="K137" s="71"/>
      <c r="L137" s="499" t="str">
        <f>IFERROR(INDEX('G-8 Condition Look up'!$A$3:$H$130,MATCH(G137,'G-8 Condition Look up'!$A$3:$A$130,0),MATCH(K137,'G-8 Condition Look up'!$A$3:$H$3,0)),"")</f>
        <v/>
      </c>
      <c r="M137" s="71"/>
      <c r="N137" s="520" t="str">
        <f>IF(M137="","",IF(VLOOKUP(M137,'G-3 Multipliers'!$L$3:$N$6,2,FALSE)=0,"Spatial Data Missing",VLOOKUP(M137,'G-3 Multipliers'!$L$3:$N$6,2,FALSE)))</f>
        <v/>
      </c>
      <c r="O137" s="505" t="str">
        <f>IF(M137="","",IF(VLOOKUP(M137,'G-3 Multipliers'!$L$3:$N$6,3,FALSE)=0,"Spatial Data Missing",VLOOKUP(M137,'G-3 Multipliers'!$L$3:$N$6,3,FALSE)))</f>
        <v/>
      </c>
      <c r="P137" s="506" t="str">
        <f>IFERROR(VLOOKUP(G137,'G-1 All Habitats'!$B$2:$M$129,12,FALSE),"")</f>
        <v/>
      </c>
      <c r="Q137" s="513" t="str">
        <f>IFERROR(IF(P137="","",IF(AND(P137='G-1 All Habitats'!$X$3,T137&gt;0),U137+V137,IF(AND(P137='G-1 All Habitats'!$X$3,S137&gt;0),U137+V137,IF(AND(P137='G-1 All Habitats'!$X$3,AC137&gt;0),"Any Loss Unacceptable ▲",IF(AND(P137='G-1 All Habitats'!$X$3,W137&gt;0),"Any Loss Unacceptable ▲",H137*J137*L137*O137))))),"Check Data ▲")</f>
        <v/>
      </c>
      <c r="R137" s="50"/>
      <c r="S137" s="71"/>
      <c r="T137" s="72"/>
      <c r="U137" s="511" t="str">
        <f t="shared" si="8"/>
        <v/>
      </c>
      <c r="V137" s="511" t="str">
        <f t="shared" si="9"/>
        <v/>
      </c>
      <c r="W137" s="511" t="str">
        <f>IF(E137="","",IF(H137&lt;S137+T137,"Error in Areas ▲",IF(P137&lt;&gt;'G-1 All Habitats'!$X$3,H137-S137-T137,IF(AND(P137='G-1 All Habitats'!$X$3,Y137="Yes"),"Unacceptable Loss",IF(AND(P137='G-1 All Habitats'!$X$3,Y137="No"),AC137,IF(AND(P137='G-1 All Habitats'!$X$3,Y137=""),AC137,IF(AND(P137='G-1 All Habitats'!$X$3,AC137="None",AC137),IF(AND(P137='G-1 All Habitats'!$X$3,AC137&gt;0),H137-S137-T137))))))))</f>
        <v/>
      </c>
      <c r="X137" s="515" t="str">
        <f>IFERROR(IF(H137="","",IF(H137-S137-T137=0&lt;0,"Error in Areas ▲",IF(S137+T137&gt;H137,"Error in Areas ▲",IF(AND(P137='G-1 All Habitats'!$X$3,Y137="Yes"),"Alternative Compensation ✓",IF(W137=0,0,IF(P137='G-1 All Habitats'!$X$3,"Unacceptable Loss ▲",Q137-U137-V137)))))),"Check Data ▲")</f>
        <v/>
      </c>
      <c r="Y137" s="72"/>
      <c r="Z137" s="80"/>
      <c r="AA137" s="81"/>
      <c r="AC137" s="75" t="str">
        <f>IF(P137="","",IF(P137='G-1 All Habitats'!$X$3,H137-S137-T137,"None"))</f>
        <v/>
      </c>
      <c r="AD137" s="76" t="str">
        <f>IFERROR(AC137*J137*L137*#REF!*O137,IF(P137="","","None"))</f>
        <v/>
      </c>
      <c r="AF137" s="54" t="str">
        <f t="shared" si="5"/>
        <v/>
      </c>
      <c r="AG137" s="54" t="str">
        <f t="shared" si="6"/>
        <v/>
      </c>
      <c r="AH137" s="54" t="str">
        <f>IF(I137="","",IF(#REF!&gt;0,TRUE,FALSE))</f>
        <v/>
      </c>
      <c r="AI137" s="54">
        <v>127</v>
      </c>
      <c r="AJ137" s="54"/>
      <c r="AK137" s="54" t="str">
        <f t="array" ref="AK137">IFERROR(INDEX($AI$11:$AI$259, MATCH(0, IF(TRUE=$AF$11:$AF$259, COUNTIF($AK$10:$AK136, $AI$11:$AI$259), ""), 0)),"")</f>
        <v/>
      </c>
      <c r="AL137" s="54" t="str">
        <f t="array" ref="AL137">IFERROR(INDEX($AI$11:$AI$259, MATCH(0, IF(TRUE=$AG$11:$AG$259, COUNTIF($AL$10:$AL136, $AI$11:$AI$259), ""), 0)),"")</f>
        <v/>
      </c>
      <c r="AM137" s="54" t="str">
        <f t="array" ref="AM137">IFERROR(INDEX($AI$11:$AI$259, MATCH(0, IF(TRUE=$AH$11:$AH$259, COUNTIF($AM$10:$AM136, $AI$11:$AI$259), ""), 0)),"")</f>
        <v/>
      </c>
      <c r="AN137" s="54"/>
      <c r="AQ137" s="47">
        <f t="shared" si="7"/>
        <v>0</v>
      </c>
    </row>
    <row r="138" spans="1:43" x14ac:dyDescent="0.25">
      <c r="A138" s="47" t="str">
        <f>IFERROR(INDEX('G-1 All Habitats'!$AG$3:$AG$15,MATCH(E138,'G-1 All Habitats'!$AF$3:$AF$15,0)),"")</f>
        <v/>
      </c>
      <c r="B138" s="47" t="str">
        <f>IFERROR(INDEX('G-8 Condition Look up'!$I$4:$I$130,MATCH(G138,'G-8 Condition Look up'!$A$4:$A$130,0)),"")</f>
        <v/>
      </c>
      <c r="D138" s="77">
        <v>128</v>
      </c>
      <c r="E138" s="78"/>
      <c r="F138" s="79"/>
      <c r="G138" s="69" t="str">
        <f>IFERROR(INDEX('G-1 All Habitats'!$B$3:$B$129,MATCH(F138,'G-1 All Habitats'!$A$3:$A$129,0)),"")</f>
        <v/>
      </c>
      <c r="H138" s="70"/>
      <c r="I138" s="498" t="str">
        <f>IF(G138="","",VLOOKUP(G138,'G-1 All Habitats'!$B$2:$M$129,10,FALSE))</f>
        <v/>
      </c>
      <c r="J138" s="499" t="str">
        <f>IFERROR(VLOOKUP(I138,'G-1 All Habitats'!$V$3:$W$7,2,FALSE),"")</f>
        <v/>
      </c>
      <c r="K138" s="71"/>
      <c r="L138" s="499" t="str">
        <f>IFERROR(INDEX('G-8 Condition Look up'!$A$3:$H$130,MATCH(G138,'G-8 Condition Look up'!$A$3:$A$130,0),MATCH(K138,'G-8 Condition Look up'!$A$3:$H$3,0)),"")</f>
        <v/>
      </c>
      <c r="M138" s="71"/>
      <c r="N138" s="520" t="str">
        <f>IF(M138="","",IF(VLOOKUP(M138,'G-3 Multipliers'!$L$3:$N$6,2,FALSE)=0,"Spatial Data Missing",VLOOKUP(M138,'G-3 Multipliers'!$L$3:$N$6,2,FALSE)))</f>
        <v/>
      </c>
      <c r="O138" s="505" t="str">
        <f>IF(M138="","",IF(VLOOKUP(M138,'G-3 Multipliers'!$L$3:$N$6,3,FALSE)=0,"Spatial Data Missing",VLOOKUP(M138,'G-3 Multipliers'!$L$3:$N$6,3,FALSE)))</f>
        <v/>
      </c>
      <c r="P138" s="506" t="str">
        <f>IFERROR(VLOOKUP(G138,'G-1 All Habitats'!$B$2:$M$129,12,FALSE),"")</f>
        <v/>
      </c>
      <c r="Q138" s="513" t="str">
        <f>IFERROR(IF(P138="","",IF(AND(P138='G-1 All Habitats'!$X$3,T138&gt;0),U138+V138,IF(AND(P138='G-1 All Habitats'!$X$3,S138&gt;0),U138+V138,IF(AND(P138='G-1 All Habitats'!$X$3,AC138&gt;0),"Any Loss Unacceptable ▲",IF(AND(P138='G-1 All Habitats'!$X$3,W138&gt;0),"Any Loss Unacceptable ▲",H138*J138*L138*O138))))),"Check Data ▲")</f>
        <v/>
      </c>
      <c r="R138" s="50"/>
      <c r="S138" s="71"/>
      <c r="T138" s="72"/>
      <c r="U138" s="511" t="str">
        <f t="shared" si="8"/>
        <v/>
      </c>
      <c r="V138" s="511" t="str">
        <f t="shared" si="9"/>
        <v/>
      </c>
      <c r="W138" s="511" t="str">
        <f>IF(E138="","",IF(H138&lt;S138+T138,"Error in Areas ▲",IF(P138&lt;&gt;'G-1 All Habitats'!$X$3,H138-S138-T138,IF(AND(P138='G-1 All Habitats'!$X$3,Y138="Yes"),"Unacceptable Loss",IF(AND(P138='G-1 All Habitats'!$X$3,Y138="No"),AC138,IF(AND(P138='G-1 All Habitats'!$X$3,Y138=""),AC138,IF(AND(P138='G-1 All Habitats'!$X$3,AC138="None",AC138),IF(AND(P138='G-1 All Habitats'!$X$3,AC138&gt;0),H138-S138-T138))))))))</f>
        <v/>
      </c>
      <c r="X138" s="515" t="str">
        <f>IFERROR(IF(H138="","",IF(H138-S138-T138=0&lt;0,"Error in Areas ▲",IF(S138+T138&gt;H138,"Error in Areas ▲",IF(AND(P138='G-1 All Habitats'!$X$3,Y138="Yes"),"Alternative Compensation ✓",IF(W138=0,0,IF(P138='G-1 All Habitats'!$X$3,"Unacceptable Loss ▲",Q138-U138-V138)))))),"Check Data ▲")</f>
        <v/>
      </c>
      <c r="Y138" s="72"/>
      <c r="Z138" s="80"/>
      <c r="AA138" s="81"/>
      <c r="AC138" s="75" t="str">
        <f>IF(P138="","",IF(P138='G-1 All Habitats'!$X$3,H138-S138-T138,"None"))</f>
        <v/>
      </c>
      <c r="AD138" s="76" t="str">
        <f>IFERROR(AC138*J138*L138*#REF!*O138,IF(P138="","","None"))</f>
        <v/>
      </c>
      <c r="AF138" s="54" t="str">
        <f t="shared" si="5"/>
        <v/>
      </c>
      <c r="AG138" s="54" t="str">
        <f t="shared" si="6"/>
        <v/>
      </c>
      <c r="AH138" s="54" t="str">
        <f>IF(I138="","",IF(#REF!&gt;0,TRUE,FALSE))</f>
        <v/>
      </c>
      <c r="AI138" s="54">
        <v>128</v>
      </c>
      <c r="AJ138" s="54"/>
      <c r="AK138" s="54" t="str">
        <f t="array" ref="AK138">IFERROR(INDEX($AI$11:$AI$259, MATCH(0, IF(TRUE=$AF$11:$AF$259, COUNTIF($AK$10:$AK137, $AI$11:$AI$259), ""), 0)),"")</f>
        <v/>
      </c>
      <c r="AL138" s="54" t="str">
        <f t="array" ref="AL138">IFERROR(INDEX($AI$11:$AI$259, MATCH(0, IF(TRUE=$AG$11:$AG$259, COUNTIF($AL$10:$AL137, $AI$11:$AI$259), ""), 0)),"")</f>
        <v/>
      </c>
      <c r="AM138" s="54" t="str">
        <f t="array" ref="AM138">IFERROR(INDEX($AI$11:$AI$259, MATCH(0, IF(TRUE=$AH$11:$AH$259, COUNTIF($AM$10:$AM137, $AI$11:$AI$259), ""), 0)),"")</f>
        <v/>
      </c>
      <c r="AN138" s="54"/>
      <c r="AQ138" s="47">
        <f t="shared" si="7"/>
        <v>0</v>
      </c>
    </row>
    <row r="139" spans="1:43" x14ac:dyDescent="0.25">
      <c r="A139" s="47" t="str">
        <f>IFERROR(INDEX('G-1 All Habitats'!$AG$3:$AG$15,MATCH(E139,'G-1 All Habitats'!$AF$3:$AF$15,0)),"")</f>
        <v/>
      </c>
      <c r="B139" s="47" t="str">
        <f>IFERROR(INDEX('G-8 Condition Look up'!$I$4:$I$130,MATCH(G139,'G-8 Condition Look up'!$A$4:$A$130,0)),"")</f>
        <v/>
      </c>
      <c r="D139" s="77">
        <v>129</v>
      </c>
      <c r="E139" s="78"/>
      <c r="F139" s="79"/>
      <c r="G139" s="69" t="str">
        <f>IFERROR(INDEX('G-1 All Habitats'!$B$3:$B$129,MATCH(F139,'G-1 All Habitats'!$A$3:$A$129,0)),"")</f>
        <v/>
      </c>
      <c r="H139" s="70"/>
      <c r="I139" s="498" t="str">
        <f>IF(G139="","",VLOOKUP(G139,'G-1 All Habitats'!$B$2:$M$129,10,FALSE))</f>
        <v/>
      </c>
      <c r="J139" s="499" t="str">
        <f>IFERROR(VLOOKUP(I139,'G-1 All Habitats'!$V$3:$W$7,2,FALSE),"")</f>
        <v/>
      </c>
      <c r="K139" s="71"/>
      <c r="L139" s="499" t="str">
        <f>IFERROR(INDEX('G-8 Condition Look up'!$A$3:$H$130,MATCH(G139,'G-8 Condition Look up'!$A$3:$A$130,0),MATCH(K139,'G-8 Condition Look up'!$A$3:$H$3,0)),"")</f>
        <v/>
      </c>
      <c r="M139" s="71"/>
      <c r="N139" s="520" t="str">
        <f>IF(M139="","",IF(VLOOKUP(M139,'G-3 Multipliers'!$L$3:$N$6,2,FALSE)=0,"Spatial Data Missing",VLOOKUP(M139,'G-3 Multipliers'!$L$3:$N$6,2,FALSE)))</f>
        <v/>
      </c>
      <c r="O139" s="505" t="str">
        <f>IF(M139="","",IF(VLOOKUP(M139,'G-3 Multipliers'!$L$3:$N$6,3,FALSE)=0,"Spatial Data Missing",VLOOKUP(M139,'G-3 Multipliers'!$L$3:$N$6,3,FALSE)))</f>
        <v/>
      </c>
      <c r="P139" s="506" t="str">
        <f>IFERROR(VLOOKUP(G139,'G-1 All Habitats'!$B$2:$M$129,12,FALSE),"")</f>
        <v/>
      </c>
      <c r="Q139" s="513" t="str">
        <f>IFERROR(IF(P139="","",IF(AND(P139='G-1 All Habitats'!$X$3,T139&gt;0),U139+V139,IF(AND(P139='G-1 All Habitats'!$X$3,S139&gt;0),U139+V139,IF(AND(P139='G-1 All Habitats'!$X$3,AC139&gt;0),"Any Loss Unacceptable ▲",IF(AND(P139='G-1 All Habitats'!$X$3,W139&gt;0),"Any Loss Unacceptable ▲",H139*J139*L139*O139))))),"Check Data ▲")</f>
        <v/>
      </c>
      <c r="R139" s="50"/>
      <c r="S139" s="71"/>
      <c r="T139" s="72"/>
      <c r="U139" s="511" t="str">
        <f t="shared" si="8"/>
        <v/>
      </c>
      <c r="V139" s="511" t="str">
        <f t="shared" si="9"/>
        <v/>
      </c>
      <c r="W139" s="511" t="str">
        <f>IF(E139="","",IF(H139&lt;S139+T139,"Error in Areas ▲",IF(P139&lt;&gt;'G-1 All Habitats'!$X$3,H139-S139-T139,IF(AND(P139='G-1 All Habitats'!$X$3,Y139="Yes"),"Unacceptable Loss",IF(AND(P139='G-1 All Habitats'!$X$3,Y139="No"),AC139,IF(AND(P139='G-1 All Habitats'!$X$3,Y139=""),AC139,IF(AND(P139='G-1 All Habitats'!$X$3,AC139="None",AC139),IF(AND(P139='G-1 All Habitats'!$X$3,AC139&gt;0),H139-S139-T139))))))))</f>
        <v/>
      </c>
      <c r="X139" s="515" t="str">
        <f>IFERROR(IF(H139="","",IF(H139-S139-T139=0&lt;0,"Error in Areas ▲",IF(S139+T139&gt;H139,"Error in Areas ▲",IF(AND(P139='G-1 All Habitats'!$X$3,Y139="Yes"),"Alternative Compensation ✓",IF(W139=0,0,IF(P139='G-1 All Habitats'!$X$3,"Unacceptable Loss ▲",Q139-U139-V139)))))),"Check Data ▲")</f>
        <v/>
      </c>
      <c r="Y139" s="72"/>
      <c r="Z139" s="80"/>
      <c r="AA139" s="81"/>
      <c r="AC139" s="75" t="str">
        <f>IF(P139="","",IF(P139='G-1 All Habitats'!$X$3,H139-S139-T139,"None"))</f>
        <v/>
      </c>
      <c r="AD139" s="76" t="str">
        <f>IFERROR(AC139*J139*L139*#REF!*O139,IF(P139="","","None"))</f>
        <v/>
      </c>
      <c r="AF139" s="54" t="str">
        <f t="shared" ref="AF139:AF202" si="10">IF(G139="","",IF(S139&gt;0,TRUE,FALSE))</f>
        <v/>
      </c>
      <c r="AG139" s="54" t="str">
        <f t="shared" ref="AG139:AG202" si="11">IF(H139="","",IF(T139&gt;0,TRUE,FALSE))</f>
        <v/>
      </c>
      <c r="AH139" s="54" t="str">
        <f>IF(I139="","",IF(#REF!&gt;0,TRUE,FALSE))</f>
        <v/>
      </c>
      <c r="AI139" s="54">
        <v>129</v>
      </c>
      <c r="AJ139" s="54"/>
      <c r="AK139" s="54" t="str">
        <f t="array" ref="AK139">IFERROR(INDEX($AI$11:$AI$259, MATCH(0, IF(TRUE=$AF$11:$AF$259, COUNTIF($AK$10:$AK138, $AI$11:$AI$259), ""), 0)),"")</f>
        <v/>
      </c>
      <c r="AL139" s="54" t="str">
        <f t="array" ref="AL139">IFERROR(INDEX($AI$11:$AI$259, MATCH(0, IF(TRUE=$AG$11:$AG$259, COUNTIF($AL$10:$AL138, $AI$11:$AI$259), ""), 0)),"")</f>
        <v/>
      </c>
      <c r="AM139" s="54" t="str">
        <f t="array" ref="AM139">IFERROR(INDEX($AI$11:$AI$259, MATCH(0, IF(TRUE=$AH$11:$AH$259, COUNTIF($AM$10:$AM138, $AI$11:$AI$259), ""), 0)),"")</f>
        <v/>
      </c>
      <c r="AN139" s="54"/>
      <c r="AQ139" s="47">
        <f t="shared" si="7"/>
        <v>0</v>
      </c>
    </row>
    <row r="140" spans="1:43" x14ac:dyDescent="0.25">
      <c r="A140" s="47" t="str">
        <f>IFERROR(INDEX('G-1 All Habitats'!$AG$3:$AG$15,MATCH(E140,'G-1 All Habitats'!$AF$3:$AF$15,0)),"")</f>
        <v/>
      </c>
      <c r="B140" s="47" t="str">
        <f>IFERROR(INDEX('G-8 Condition Look up'!$I$4:$I$130,MATCH(G140,'G-8 Condition Look up'!$A$4:$A$130,0)),"")</f>
        <v/>
      </c>
      <c r="D140" s="77">
        <v>130</v>
      </c>
      <c r="E140" s="78"/>
      <c r="F140" s="79"/>
      <c r="G140" s="69" t="str">
        <f>IFERROR(INDEX('G-1 All Habitats'!$B$3:$B$129,MATCH(F140,'G-1 All Habitats'!$A$3:$A$129,0)),"")</f>
        <v/>
      </c>
      <c r="H140" s="70"/>
      <c r="I140" s="498" t="str">
        <f>IF(G140="","",VLOOKUP(G140,'G-1 All Habitats'!$B$2:$M$129,10,FALSE))</f>
        <v/>
      </c>
      <c r="J140" s="499" t="str">
        <f>IFERROR(VLOOKUP(I140,'G-1 All Habitats'!$V$3:$W$7,2,FALSE),"")</f>
        <v/>
      </c>
      <c r="K140" s="71"/>
      <c r="L140" s="499" t="str">
        <f>IFERROR(INDEX('G-8 Condition Look up'!$A$3:$H$130,MATCH(G140,'G-8 Condition Look up'!$A$3:$A$130,0),MATCH(K140,'G-8 Condition Look up'!$A$3:$H$3,0)),"")</f>
        <v/>
      </c>
      <c r="M140" s="71"/>
      <c r="N140" s="520" t="str">
        <f>IF(M140="","",IF(VLOOKUP(M140,'G-3 Multipliers'!$L$3:$N$6,2,FALSE)=0,"Spatial Data Missing",VLOOKUP(M140,'G-3 Multipliers'!$L$3:$N$6,2,FALSE)))</f>
        <v/>
      </c>
      <c r="O140" s="505" t="str">
        <f>IF(M140="","",IF(VLOOKUP(M140,'G-3 Multipliers'!$L$3:$N$6,3,FALSE)=0,"Spatial Data Missing",VLOOKUP(M140,'G-3 Multipliers'!$L$3:$N$6,3,FALSE)))</f>
        <v/>
      </c>
      <c r="P140" s="506" t="str">
        <f>IFERROR(VLOOKUP(G140,'G-1 All Habitats'!$B$2:$M$129,12,FALSE),"")</f>
        <v/>
      </c>
      <c r="Q140" s="513" t="str">
        <f>IFERROR(IF(P140="","",IF(AND(P140='G-1 All Habitats'!$X$3,T140&gt;0),U140+V140,IF(AND(P140='G-1 All Habitats'!$X$3,S140&gt;0),U140+V140,IF(AND(P140='G-1 All Habitats'!$X$3,AC140&gt;0),"Any Loss Unacceptable ▲",IF(AND(P140='G-1 All Habitats'!$X$3,W140&gt;0),"Any Loss Unacceptable ▲",H140*J140*L140*O140))))),"Check Data ▲")</f>
        <v/>
      </c>
      <c r="R140" s="50"/>
      <c r="S140" s="71"/>
      <c r="T140" s="72"/>
      <c r="U140" s="511" t="str">
        <f t="shared" si="8"/>
        <v/>
      </c>
      <c r="V140" s="511" t="str">
        <f t="shared" si="9"/>
        <v/>
      </c>
      <c r="W140" s="511" t="str">
        <f>IF(E140="","",IF(H140&lt;S140+T140,"Error in Areas ▲",IF(P140&lt;&gt;'G-1 All Habitats'!$X$3,H140-S140-T140,IF(AND(P140='G-1 All Habitats'!$X$3,Y140="Yes"),"Unacceptable Loss",IF(AND(P140='G-1 All Habitats'!$X$3,Y140="No"),AC140,IF(AND(P140='G-1 All Habitats'!$X$3,Y140=""),AC140,IF(AND(P140='G-1 All Habitats'!$X$3,AC140="None",AC140),IF(AND(P140='G-1 All Habitats'!$X$3,AC140&gt;0),H140-S140-T140))))))))</f>
        <v/>
      </c>
      <c r="X140" s="515" t="str">
        <f>IFERROR(IF(H140="","",IF(H140-S140-T140=0&lt;0,"Error in Areas ▲",IF(S140+T140&gt;H140,"Error in Areas ▲",IF(AND(P140='G-1 All Habitats'!$X$3,Y140="Yes"),"Alternative Compensation ✓",IF(W140=0,0,IF(P140='G-1 All Habitats'!$X$3,"Unacceptable Loss ▲",Q140-U140-V140)))))),"Check Data ▲")</f>
        <v/>
      </c>
      <c r="Y140" s="72"/>
      <c r="Z140" s="80"/>
      <c r="AA140" s="81"/>
      <c r="AC140" s="75" t="str">
        <f>IF(P140="","",IF(P140='G-1 All Habitats'!$X$3,H140-S140-T140,"None"))</f>
        <v/>
      </c>
      <c r="AD140" s="76" t="str">
        <f>IFERROR(AC140*J140*L140*#REF!*O140,IF(P140="","","None"))</f>
        <v/>
      </c>
      <c r="AF140" s="54" t="str">
        <f t="shared" si="10"/>
        <v/>
      </c>
      <c r="AG140" s="54" t="str">
        <f t="shared" si="11"/>
        <v/>
      </c>
      <c r="AH140" s="54" t="str">
        <f>IF(I140="","",IF(#REF!&gt;0,TRUE,FALSE))</f>
        <v/>
      </c>
      <c r="AI140" s="54">
        <v>130</v>
      </c>
      <c r="AJ140" s="54"/>
      <c r="AK140" s="54" t="str">
        <f t="array" ref="AK140">IFERROR(INDEX($AI$11:$AI$259, MATCH(0, IF(TRUE=$AF$11:$AF$259, COUNTIF($AK$10:$AK139, $AI$11:$AI$259), ""), 0)),"")</f>
        <v/>
      </c>
      <c r="AL140" s="54" t="str">
        <f t="array" ref="AL140">IFERROR(INDEX($AI$11:$AI$259, MATCH(0, IF(TRUE=$AG$11:$AG$259, COUNTIF($AL$10:$AL139, $AI$11:$AI$259), ""), 0)),"")</f>
        <v/>
      </c>
      <c r="AM140" s="54" t="str">
        <f t="array" ref="AM140">IFERROR(INDEX($AI$11:$AI$259, MATCH(0, IF(TRUE=$AH$11:$AH$259, COUNTIF($AM$10:$AM139, $AI$11:$AI$259), ""), 0)),"")</f>
        <v/>
      </c>
      <c r="AN140" s="54"/>
      <c r="AQ140" s="47">
        <f t="shared" ref="AQ140:AQ203" si="12">IF(X140="Unacceptable Loss",1,0)</f>
        <v>0</v>
      </c>
    </row>
    <row r="141" spans="1:43" x14ac:dyDescent="0.25">
      <c r="A141" s="47" t="str">
        <f>IFERROR(INDEX('G-1 All Habitats'!$AG$3:$AG$15,MATCH(E141,'G-1 All Habitats'!$AF$3:$AF$15,0)),"")</f>
        <v/>
      </c>
      <c r="B141" s="47" t="str">
        <f>IFERROR(INDEX('G-8 Condition Look up'!$I$4:$I$130,MATCH(G141,'G-8 Condition Look up'!$A$4:$A$130,0)),"")</f>
        <v/>
      </c>
      <c r="D141" s="77">
        <v>131</v>
      </c>
      <c r="E141" s="78"/>
      <c r="F141" s="79"/>
      <c r="G141" s="69" t="str">
        <f>IFERROR(INDEX('G-1 All Habitats'!$B$3:$B$129,MATCH(F141,'G-1 All Habitats'!$A$3:$A$129,0)),"")</f>
        <v/>
      </c>
      <c r="H141" s="70"/>
      <c r="I141" s="498" t="str">
        <f>IF(G141="","",VLOOKUP(G141,'G-1 All Habitats'!$B$2:$M$129,10,FALSE))</f>
        <v/>
      </c>
      <c r="J141" s="499" t="str">
        <f>IFERROR(VLOOKUP(I141,'G-1 All Habitats'!$V$3:$W$7,2,FALSE),"")</f>
        <v/>
      </c>
      <c r="K141" s="71"/>
      <c r="L141" s="499" t="str">
        <f>IFERROR(INDEX('G-8 Condition Look up'!$A$3:$H$130,MATCH(G141,'G-8 Condition Look up'!$A$3:$A$130,0),MATCH(K141,'G-8 Condition Look up'!$A$3:$H$3,0)),"")</f>
        <v/>
      </c>
      <c r="M141" s="71"/>
      <c r="N141" s="520" t="str">
        <f>IF(M141="","",IF(VLOOKUP(M141,'G-3 Multipliers'!$L$3:$N$6,2,FALSE)=0,"Spatial Data Missing",VLOOKUP(M141,'G-3 Multipliers'!$L$3:$N$6,2,FALSE)))</f>
        <v/>
      </c>
      <c r="O141" s="505" t="str">
        <f>IF(M141="","",IF(VLOOKUP(M141,'G-3 Multipliers'!$L$3:$N$6,3,FALSE)=0,"Spatial Data Missing",VLOOKUP(M141,'G-3 Multipliers'!$L$3:$N$6,3,FALSE)))</f>
        <v/>
      </c>
      <c r="P141" s="506" t="str">
        <f>IFERROR(VLOOKUP(G141,'G-1 All Habitats'!$B$2:$M$129,12,FALSE),"")</f>
        <v/>
      </c>
      <c r="Q141" s="513" t="str">
        <f>IFERROR(IF(P141="","",IF(AND(P141='G-1 All Habitats'!$X$3,T141&gt;0),U141+V141,IF(AND(P141='G-1 All Habitats'!$X$3,S141&gt;0),U141+V141,IF(AND(P141='G-1 All Habitats'!$X$3,AC141&gt;0),"Any Loss Unacceptable ▲",IF(AND(P141='G-1 All Habitats'!$X$3,W141&gt;0),"Any Loss Unacceptable ▲",H141*J141*L141*O141))))),"Check Data ▲")</f>
        <v/>
      </c>
      <c r="R141" s="50"/>
      <c r="S141" s="71"/>
      <c r="T141" s="72"/>
      <c r="U141" s="511" t="str">
        <f t="shared" ref="U141:U204" si="13">IFERROR(S141*J141*L141*O141,"")</f>
        <v/>
      </c>
      <c r="V141" s="511" t="str">
        <f t="shared" ref="V141:V204" si="14">IFERROR(T141*J141*L141*O141,"")</f>
        <v/>
      </c>
      <c r="W141" s="511" t="str">
        <f>IF(E141="","",IF(H141&lt;S141+T141,"Error in Areas ▲",IF(P141&lt;&gt;'G-1 All Habitats'!$X$3,H141-S141-T141,IF(AND(P141='G-1 All Habitats'!$X$3,Y141="Yes"),"Unacceptable Loss",IF(AND(P141='G-1 All Habitats'!$X$3,Y141="No"),AC141,IF(AND(P141='G-1 All Habitats'!$X$3,Y141=""),AC141,IF(AND(P141='G-1 All Habitats'!$X$3,AC141="None",AC141),IF(AND(P141='G-1 All Habitats'!$X$3,AC141&gt;0),H141-S141-T141))))))))</f>
        <v/>
      </c>
      <c r="X141" s="515" t="str">
        <f>IFERROR(IF(H141="","",IF(H141-S141-T141=0&lt;0,"Error in Areas ▲",IF(S141+T141&gt;H141,"Error in Areas ▲",IF(AND(P141='G-1 All Habitats'!$X$3,Y141="Yes"),"Alternative Compensation ✓",IF(W141=0,0,IF(P141='G-1 All Habitats'!$X$3,"Unacceptable Loss ▲",Q141-U141-V141)))))),"Check Data ▲")</f>
        <v/>
      </c>
      <c r="Y141" s="72"/>
      <c r="Z141" s="80"/>
      <c r="AA141" s="81"/>
      <c r="AC141" s="75" t="str">
        <f>IF(P141="","",IF(P141='G-1 All Habitats'!$X$3,H141-S141-T141,"None"))</f>
        <v/>
      </c>
      <c r="AD141" s="76" t="str">
        <f>IFERROR(AC141*J141*L141*#REF!*O141,IF(P141="","","None"))</f>
        <v/>
      </c>
      <c r="AF141" s="54" t="str">
        <f t="shared" si="10"/>
        <v/>
      </c>
      <c r="AG141" s="54" t="str">
        <f t="shared" si="11"/>
        <v/>
      </c>
      <c r="AH141" s="54" t="str">
        <f>IF(I141="","",IF(#REF!&gt;0,TRUE,FALSE))</f>
        <v/>
      </c>
      <c r="AI141" s="54">
        <v>131</v>
      </c>
      <c r="AJ141" s="54"/>
      <c r="AK141" s="54" t="str">
        <f t="array" ref="AK141">IFERROR(INDEX($AI$11:$AI$259, MATCH(0, IF(TRUE=$AF$11:$AF$259, COUNTIF($AK$10:$AK140, $AI$11:$AI$259), ""), 0)),"")</f>
        <v/>
      </c>
      <c r="AL141" s="54" t="str">
        <f t="array" ref="AL141">IFERROR(INDEX($AI$11:$AI$259, MATCH(0, IF(TRUE=$AG$11:$AG$259, COUNTIF($AL$10:$AL140, $AI$11:$AI$259), ""), 0)),"")</f>
        <v/>
      </c>
      <c r="AM141" s="54" t="str">
        <f t="array" ref="AM141">IFERROR(INDEX($AI$11:$AI$259, MATCH(0, IF(TRUE=$AH$11:$AH$259, COUNTIF($AM$10:$AM140, $AI$11:$AI$259), ""), 0)),"")</f>
        <v/>
      </c>
      <c r="AN141" s="54"/>
      <c r="AQ141" s="47">
        <f t="shared" si="12"/>
        <v>0</v>
      </c>
    </row>
    <row r="142" spans="1:43" x14ac:dyDescent="0.25">
      <c r="A142" s="47" t="str">
        <f>IFERROR(INDEX('G-1 All Habitats'!$AG$3:$AG$15,MATCH(E142,'G-1 All Habitats'!$AF$3:$AF$15,0)),"")</f>
        <v/>
      </c>
      <c r="B142" s="47" t="str">
        <f>IFERROR(INDEX('G-8 Condition Look up'!$I$4:$I$130,MATCH(G142,'G-8 Condition Look up'!$A$4:$A$130,0)),"")</f>
        <v/>
      </c>
      <c r="D142" s="77">
        <v>132</v>
      </c>
      <c r="E142" s="78"/>
      <c r="F142" s="79"/>
      <c r="G142" s="69" t="str">
        <f>IFERROR(INDEX('G-1 All Habitats'!$B$3:$B$129,MATCH(F142,'G-1 All Habitats'!$A$3:$A$129,0)),"")</f>
        <v/>
      </c>
      <c r="H142" s="70"/>
      <c r="I142" s="498" t="str">
        <f>IF(G142="","",VLOOKUP(G142,'G-1 All Habitats'!$B$2:$M$129,10,FALSE))</f>
        <v/>
      </c>
      <c r="J142" s="499" t="str">
        <f>IFERROR(VLOOKUP(I142,'G-1 All Habitats'!$V$3:$W$7,2,FALSE),"")</f>
        <v/>
      </c>
      <c r="K142" s="71"/>
      <c r="L142" s="499" t="str">
        <f>IFERROR(INDEX('G-8 Condition Look up'!$A$3:$H$130,MATCH(G142,'G-8 Condition Look up'!$A$3:$A$130,0),MATCH(K142,'G-8 Condition Look up'!$A$3:$H$3,0)),"")</f>
        <v/>
      </c>
      <c r="M142" s="71"/>
      <c r="N142" s="520" t="str">
        <f>IF(M142="","",IF(VLOOKUP(M142,'G-3 Multipliers'!$L$3:$N$6,2,FALSE)=0,"Spatial Data Missing",VLOOKUP(M142,'G-3 Multipliers'!$L$3:$N$6,2,FALSE)))</f>
        <v/>
      </c>
      <c r="O142" s="505" t="str">
        <f>IF(M142="","",IF(VLOOKUP(M142,'G-3 Multipliers'!$L$3:$N$6,3,FALSE)=0,"Spatial Data Missing",VLOOKUP(M142,'G-3 Multipliers'!$L$3:$N$6,3,FALSE)))</f>
        <v/>
      </c>
      <c r="P142" s="506" t="str">
        <f>IFERROR(VLOOKUP(G142,'G-1 All Habitats'!$B$2:$M$129,12,FALSE),"")</f>
        <v/>
      </c>
      <c r="Q142" s="513" t="str">
        <f>IFERROR(IF(P142="","",IF(AND(P142='G-1 All Habitats'!$X$3,T142&gt;0),U142+V142,IF(AND(P142='G-1 All Habitats'!$X$3,S142&gt;0),U142+V142,IF(AND(P142='G-1 All Habitats'!$X$3,AC142&gt;0),"Any Loss Unacceptable ▲",IF(AND(P142='G-1 All Habitats'!$X$3,W142&gt;0),"Any Loss Unacceptable ▲",H142*J142*L142*O142))))),"Check Data ▲")</f>
        <v/>
      </c>
      <c r="R142" s="50"/>
      <c r="S142" s="71"/>
      <c r="T142" s="72"/>
      <c r="U142" s="511" t="str">
        <f t="shared" si="13"/>
        <v/>
      </c>
      <c r="V142" s="511" t="str">
        <f t="shared" si="14"/>
        <v/>
      </c>
      <c r="W142" s="511" t="str">
        <f>IF(E142="","",IF(H142&lt;S142+T142,"Error in Areas ▲",IF(P142&lt;&gt;'G-1 All Habitats'!$X$3,H142-S142-T142,IF(AND(P142='G-1 All Habitats'!$X$3,Y142="Yes"),"Unacceptable Loss",IF(AND(P142='G-1 All Habitats'!$X$3,Y142="No"),AC142,IF(AND(P142='G-1 All Habitats'!$X$3,Y142=""),AC142,IF(AND(P142='G-1 All Habitats'!$X$3,AC142="None",AC142),IF(AND(P142='G-1 All Habitats'!$X$3,AC142&gt;0),H142-S142-T142))))))))</f>
        <v/>
      </c>
      <c r="X142" s="515" t="str">
        <f>IFERROR(IF(H142="","",IF(H142-S142-T142=0&lt;0,"Error in Areas ▲",IF(S142+T142&gt;H142,"Error in Areas ▲",IF(AND(P142='G-1 All Habitats'!$X$3,Y142="Yes"),"Alternative Compensation ✓",IF(W142=0,0,IF(P142='G-1 All Habitats'!$X$3,"Unacceptable Loss ▲",Q142-U142-V142)))))),"Check Data ▲")</f>
        <v/>
      </c>
      <c r="Y142" s="72"/>
      <c r="Z142" s="80"/>
      <c r="AA142" s="81"/>
      <c r="AC142" s="75" t="str">
        <f>IF(P142="","",IF(P142='G-1 All Habitats'!$X$3,H142-S142-T142,"None"))</f>
        <v/>
      </c>
      <c r="AD142" s="76" t="str">
        <f>IFERROR(AC142*J142*L142*#REF!*O142,IF(P142="","","None"))</f>
        <v/>
      </c>
      <c r="AF142" s="54" t="str">
        <f t="shared" si="10"/>
        <v/>
      </c>
      <c r="AG142" s="54" t="str">
        <f t="shared" si="11"/>
        <v/>
      </c>
      <c r="AH142" s="54" t="str">
        <f>IF(I142="","",IF(#REF!&gt;0,TRUE,FALSE))</f>
        <v/>
      </c>
      <c r="AI142" s="54">
        <v>132</v>
      </c>
      <c r="AJ142" s="54"/>
      <c r="AK142" s="54" t="str">
        <f t="array" ref="AK142">IFERROR(INDEX($AI$11:$AI$259, MATCH(0, IF(TRUE=$AF$11:$AF$259, COUNTIF($AK$10:$AK141, $AI$11:$AI$259), ""), 0)),"")</f>
        <v/>
      </c>
      <c r="AL142" s="54" t="str">
        <f t="array" ref="AL142">IFERROR(INDEX($AI$11:$AI$259, MATCH(0, IF(TRUE=$AG$11:$AG$259, COUNTIF($AL$10:$AL141, $AI$11:$AI$259), ""), 0)),"")</f>
        <v/>
      </c>
      <c r="AM142" s="54" t="str">
        <f t="array" ref="AM142">IFERROR(INDEX($AI$11:$AI$259, MATCH(0, IF(TRUE=$AH$11:$AH$259, COUNTIF($AM$10:$AM141, $AI$11:$AI$259), ""), 0)),"")</f>
        <v/>
      </c>
      <c r="AN142" s="54"/>
      <c r="AQ142" s="47">
        <f t="shared" si="12"/>
        <v>0</v>
      </c>
    </row>
    <row r="143" spans="1:43" x14ac:dyDescent="0.25">
      <c r="A143" s="47" t="str">
        <f>IFERROR(INDEX('G-1 All Habitats'!$AG$3:$AG$15,MATCH(E143,'G-1 All Habitats'!$AF$3:$AF$15,0)),"")</f>
        <v/>
      </c>
      <c r="B143" s="47" t="str">
        <f>IFERROR(INDEX('G-8 Condition Look up'!$I$4:$I$130,MATCH(G143,'G-8 Condition Look up'!$A$4:$A$130,0)),"")</f>
        <v/>
      </c>
      <c r="D143" s="77">
        <v>133</v>
      </c>
      <c r="E143" s="78"/>
      <c r="F143" s="79"/>
      <c r="G143" s="69" t="str">
        <f>IFERROR(INDEX('G-1 All Habitats'!$B$3:$B$129,MATCH(F143,'G-1 All Habitats'!$A$3:$A$129,0)),"")</f>
        <v/>
      </c>
      <c r="H143" s="70"/>
      <c r="I143" s="498" t="str">
        <f>IF(G143="","",VLOOKUP(G143,'G-1 All Habitats'!$B$2:$M$129,10,FALSE))</f>
        <v/>
      </c>
      <c r="J143" s="499" t="str">
        <f>IFERROR(VLOOKUP(I143,'G-1 All Habitats'!$V$3:$W$7,2,FALSE),"")</f>
        <v/>
      </c>
      <c r="K143" s="71"/>
      <c r="L143" s="499" t="str">
        <f>IFERROR(INDEX('G-8 Condition Look up'!$A$3:$H$130,MATCH(G143,'G-8 Condition Look up'!$A$3:$A$130,0),MATCH(K143,'G-8 Condition Look up'!$A$3:$H$3,0)),"")</f>
        <v/>
      </c>
      <c r="M143" s="71"/>
      <c r="N143" s="520" t="str">
        <f>IF(M143="","",IF(VLOOKUP(M143,'G-3 Multipliers'!$L$3:$N$6,2,FALSE)=0,"Spatial Data Missing",VLOOKUP(M143,'G-3 Multipliers'!$L$3:$N$6,2,FALSE)))</f>
        <v/>
      </c>
      <c r="O143" s="505" t="str">
        <f>IF(M143="","",IF(VLOOKUP(M143,'G-3 Multipliers'!$L$3:$N$6,3,FALSE)=0,"Spatial Data Missing",VLOOKUP(M143,'G-3 Multipliers'!$L$3:$N$6,3,FALSE)))</f>
        <v/>
      </c>
      <c r="P143" s="506" t="str">
        <f>IFERROR(VLOOKUP(G143,'G-1 All Habitats'!$B$2:$M$129,12,FALSE),"")</f>
        <v/>
      </c>
      <c r="Q143" s="513" t="str">
        <f>IFERROR(IF(P143="","",IF(AND(P143='G-1 All Habitats'!$X$3,T143&gt;0),U143+V143,IF(AND(P143='G-1 All Habitats'!$X$3,S143&gt;0),U143+V143,IF(AND(P143='G-1 All Habitats'!$X$3,AC143&gt;0),"Any Loss Unacceptable ▲",IF(AND(P143='G-1 All Habitats'!$X$3,W143&gt;0),"Any Loss Unacceptable ▲",H143*J143*L143*O143))))),"Check Data ▲")</f>
        <v/>
      </c>
      <c r="R143" s="50"/>
      <c r="S143" s="71"/>
      <c r="T143" s="72"/>
      <c r="U143" s="511" t="str">
        <f t="shared" si="13"/>
        <v/>
      </c>
      <c r="V143" s="511" t="str">
        <f t="shared" si="14"/>
        <v/>
      </c>
      <c r="W143" s="511" t="str">
        <f>IF(E143="","",IF(H143&lt;S143+T143,"Error in Areas ▲",IF(P143&lt;&gt;'G-1 All Habitats'!$X$3,H143-S143-T143,IF(AND(P143='G-1 All Habitats'!$X$3,Y143="Yes"),"Unacceptable Loss",IF(AND(P143='G-1 All Habitats'!$X$3,Y143="No"),AC143,IF(AND(P143='G-1 All Habitats'!$X$3,Y143=""),AC143,IF(AND(P143='G-1 All Habitats'!$X$3,AC143="None",AC143),IF(AND(P143='G-1 All Habitats'!$X$3,AC143&gt;0),H143-S143-T143))))))))</f>
        <v/>
      </c>
      <c r="X143" s="515" t="str">
        <f>IFERROR(IF(H143="","",IF(H143-S143-T143=0&lt;0,"Error in Areas ▲",IF(S143+T143&gt;H143,"Error in Areas ▲",IF(AND(P143='G-1 All Habitats'!$X$3,Y143="Yes"),"Alternative Compensation ✓",IF(W143=0,0,IF(P143='G-1 All Habitats'!$X$3,"Unacceptable Loss ▲",Q143-U143-V143)))))),"Check Data ▲")</f>
        <v/>
      </c>
      <c r="Y143" s="72"/>
      <c r="Z143" s="80"/>
      <c r="AA143" s="81"/>
      <c r="AC143" s="75" t="str">
        <f>IF(P143="","",IF(P143='G-1 All Habitats'!$X$3,H143-S143-T143,"None"))</f>
        <v/>
      </c>
      <c r="AD143" s="76" t="str">
        <f>IFERROR(AC143*J143*L143*#REF!*O143,IF(P143="","","None"))</f>
        <v/>
      </c>
      <c r="AF143" s="54" t="str">
        <f t="shared" si="10"/>
        <v/>
      </c>
      <c r="AG143" s="54" t="str">
        <f t="shared" si="11"/>
        <v/>
      </c>
      <c r="AH143" s="54" t="str">
        <f>IF(I143="","",IF(#REF!&gt;0,TRUE,FALSE))</f>
        <v/>
      </c>
      <c r="AI143" s="54">
        <v>133</v>
      </c>
      <c r="AJ143" s="54"/>
      <c r="AK143" s="54" t="str">
        <f t="array" ref="AK143">IFERROR(INDEX($AI$11:$AI$259, MATCH(0, IF(TRUE=$AF$11:$AF$259, COUNTIF($AK$10:$AK142, $AI$11:$AI$259), ""), 0)),"")</f>
        <v/>
      </c>
      <c r="AL143" s="54" t="str">
        <f t="array" ref="AL143">IFERROR(INDEX($AI$11:$AI$259, MATCH(0, IF(TRUE=$AG$11:$AG$259, COUNTIF($AL$10:$AL142, $AI$11:$AI$259), ""), 0)),"")</f>
        <v/>
      </c>
      <c r="AM143" s="54" t="str">
        <f t="array" ref="AM143">IFERROR(INDEX($AI$11:$AI$259, MATCH(0, IF(TRUE=$AH$11:$AH$259, COUNTIF($AM$10:$AM142, $AI$11:$AI$259), ""), 0)),"")</f>
        <v/>
      </c>
      <c r="AN143" s="54"/>
      <c r="AQ143" s="47">
        <f t="shared" si="12"/>
        <v>0</v>
      </c>
    </row>
    <row r="144" spans="1:43" x14ac:dyDescent="0.25">
      <c r="A144" s="47" t="str">
        <f>IFERROR(INDEX('G-1 All Habitats'!$AG$3:$AG$15,MATCH(E144,'G-1 All Habitats'!$AF$3:$AF$15,0)),"")</f>
        <v/>
      </c>
      <c r="B144" s="47" t="str">
        <f>IFERROR(INDEX('G-8 Condition Look up'!$I$4:$I$130,MATCH(G144,'G-8 Condition Look up'!$A$4:$A$130,0)),"")</f>
        <v/>
      </c>
      <c r="D144" s="77">
        <v>134</v>
      </c>
      <c r="E144" s="78"/>
      <c r="F144" s="79"/>
      <c r="G144" s="69" t="str">
        <f>IFERROR(INDEX('G-1 All Habitats'!$B$3:$B$129,MATCH(F144,'G-1 All Habitats'!$A$3:$A$129,0)),"")</f>
        <v/>
      </c>
      <c r="H144" s="70"/>
      <c r="I144" s="498" t="str">
        <f>IF(G144="","",VLOOKUP(G144,'G-1 All Habitats'!$B$2:$M$129,10,FALSE))</f>
        <v/>
      </c>
      <c r="J144" s="499" t="str">
        <f>IFERROR(VLOOKUP(I144,'G-1 All Habitats'!$V$3:$W$7,2,FALSE),"")</f>
        <v/>
      </c>
      <c r="K144" s="71"/>
      <c r="L144" s="499" t="str">
        <f>IFERROR(INDEX('G-8 Condition Look up'!$A$3:$H$130,MATCH(G144,'G-8 Condition Look up'!$A$3:$A$130,0),MATCH(K144,'G-8 Condition Look up'!$A$3:$H$3,0)),"")</f>
        <v/>
      </c>
      <c r="M144" s="71"/>
      <c r="N144" s="520" t="str">
        <f>IF(M144="","",IF(VLOOKUP(M144,'G-3 Multipliers'!$L$3:$N$6,2,FALSE)=0,"Spatial Data Missing",VLOOKUP(M144,'G-3 Multipliers'!$L$3:$N$6,2,FALSE)))</f>
        <v/>
      </c>
      <c r="O144" s="505" t="str">
        <f>IF(M144="","",IF(VLOOKUP(M144,'G-3 Multipliers'!$L$3:$N$6,3,FALSE)=0,"Spatial Data Missing",VLOOKUP(M144,'G-3 Multipliers'!$L$3:$N$6,3,FALSE)))</f>
        <v/>
      </c>
      <c r="P144" s="506" t="str">
        <f>IFERROR(VLOOKUP(G144,'G-1 All Habitats'!$B$2:$M$129,12,FALSE),"")</f>
        <v/>
      </c>
      <c r="Q144" s="513" t="str">
        <f>IFERROR(IF(P144="","",IF(AND(P144='G-1 All Habitats'!$X$3,T144&gt;0),U144+V144,IF(AND(P144='G-1 All Habitats'!$X$3,S144&gt;0),U144+V144,IF(AND(P144='G-1 All Habitats'!$X$3,AC144&gt;0),"Any Loss Unacceptable ▲",IF(AND(P144='G-1 All Habitats'!$X$3,W144&gt;0),"Any Loss Unacceptable ▲",H144*J144*L144*O144))))),"Check Data ▲")</f>
        <v/>
      </c>
      <c r="R144" s="50"/>
      <c r="S144" s="71"/>
      <c r="T144" s="72"/>
      <c r="U144" s="511" t="str">
        <f t="shared" si="13"/>
        <v/>
      </c>
      <c r="V144" s="511" t="str">
        <f t="shared" si="14"/>
        <v/>
      </c>
      <c r="W144" s="511" t="str">
        <f>IF(E144="","",IF(H144&lt;S144+T144,"Error in Areas ▲",IF(P144&lt;&gt;'G-1 All Habitats'!$X$3,H144-S144-T144,IF(AND(P144='G-1 All Habitats'!$X$3,Y144="Yes"),"Unacceptable Loss",IF(AND(P144='G-1 All Habitats'!$X$3,Y144="No"),AC144,IF(AND(P144='G-1 All Habitats'!$X$3,Y144=""),AC144,IF(AND(P144='G-1 All Habitats'!$X$3,AC144="None",AC144),IF(AND(P144='G-1 All Habitats'!$X$3,AC144&gt;0),H144-S144-T144))))))))</f>
        <v/>
      </c>
      <c r="X144" s="515" t="str">
        <f>IFERROR(IF(H144="","",IF(H144-S144-T144=0&lt;0,"Error in Areas ▲",IF(S144+T144&gt;H144,"Error in Areas ▲",IF(AND(P144='G-1 All Habitats'!$X$3,Y144="Yes"),"Alternative Compensation ✓",IF(W144=0,0,IF(P144='G-1 All Habitats'!$X$3,"Unacceptable Loss ▲",Q144-U144-V144)))))),"Check Data ▲")</f>
        <v/>
      </c>
      <c r="Y144" s="72"/>
      <c r="Z144" s="80"/>
      <c r="AA144" s="81"/>
      <c r="AC144" s="75" t="str">
        <f>IF(P144="","",IF(P144='G-1 All Habitats'!$X$3,H144-S144-T144,"None"))</f>
        <v/>
      </c>
      <c r="AD144" s="76" t="str">
        <f>IFERROR(AC144*J144*L144*#REF!*O144,IF(P144="","","None"))</f>
        <v/>
      </c>
      <c r="AF144" s="54" t="str">
        <f t="shared" si="10"/>
        <v/>
      </c>
      <c r="AG144" s="54" t="str">
        <f t="shared" si="11"/>
        <v/>
      </c>
      <c r="AH144" s="54" t="str">
        <f>IF(I144="","",IF(#REF!&gt;0,TRUE,FALSE))</f>
        <v/>
      </c>
      <c r="AI144" s="54">
        <v>134</v>
      </c>
      <c r="AJ144" s="54"/>
      <c r="AK144" s="54" t="str">
        <f t="array" ref="AK144">IFERROR(INDEX($AI$11:$AI$259, MATCH(0, IF(TRUE=$AF$11:$AF$259, COUNTIF($AK$10:$AK143, $AI$11:$AI$259), ""), 0)),"")</f>
        <v/>
      </c>
      <c r="AL144" s="54" t="str">
        <f t="array" ref="AL144">IFERROR(INDEX($AI$11:$AI$259, MATCH(0, IF(TRUE=$AG$11:$AG$259, COUNTIF($AL$10:$AL143, $AI$11:$AI$259), ""), 0)),"")</f>
        <v/>
      </c>
      <c r="AM144" s="54" t="str">
        <f t="array" ref="AM144">IFERROR(INDEX($AI$11:$AI$259, MATCH(0, IF(TRUE=$AH$11:$AH$259, COUNTIF($AM$10:$AM143, $AI$11:$AI$259), ""), 0)),"")</f>
        <v/>
      </c>
      <c r="AN144" s="54"/>
      <c r="AQ144" s="47">
        <f t="shared" si="12"/>
        <v>0</v>
      </c>
    </row>
    <row r="145" spans="1:43" x14ac:dyDescent="0.25">
      <c r="A145" s="47" t="str">
        <f>IFERROR(INDEX('G-1 All Habitats'!$AG$3:$AG$15,MATCH(E145,'G-1 All Habitats'!$AF$3:$AF$15,0)),"")</f>
        <v/>
      </c>
      <c r="B145" s="47" t="str">
        <f>IFERROR(INDEX('G-8 Condition Look up'!$I$4:$I$130,MATCH(G145,'G-8 Condition Look up'!$A$4:$A$130,0)),"")</f>
        <v/>
      </c>
      <c r="D145" s="77">
        <v>135</v>
      </c>
      <c r="E145" s="78"/>
      <c r="F145" s="79"/>
      <c r="G145" s="69" t="str">
        <f>IFERROR(INDEX('G-1 All Habitats'!$B$3:$B$129,MATCH(F145,'G-1 All Habitats'!$A$3:$A$129,0)),"")</f>
        <v/>
      </c>
      <c r="H145" s="70"/>
      <c r="I145" s="498" t="str">
        <f>IF(G145="","",VLOOKUP(G145,'G-1 All Habitats'!$B$2:$M$129,10,FALSE))</f>
        <v/>
      </c>
      <c r="J145" s="499" t="str">
        <f>IFERROR(VLOOKUP(I145,'G-1 All Habitats'!$V$3:$W$7,2,FALSE),"")</f>
        <v/>
      </c>
      <c r="K145" s="71"/>
      <c r="L145" s="499" t="str">
        <f>IFERROR(INDEX('G-8 Condition Look up'!$A$3:$H$130,MATCH(G145,'G-8 Condition Look up'!$A$3:$A$130,0),MATCH(K145,'G-8 Condition Look up'!$A$3:$H$3,0)),"")</f>
        <v/>
      </c>
      <c r="M145" s="71"/>
      <c r="N145" s="520" t="str">
        <f>IF(M145="","",IF(VLOOKUP(M145,'G-3 Multipliers'!$L$3:$N$6,2,FALSE)=0,"Spatial Data Missing",VLOOKUP(M145,'G-3 Multipliers'!$L$3:$N$6,2,FALSE)))</f>
        <v/>
      </c>
      <c r="O145" s="505" t="str">
        <f>IF(M145="","",IF(VLOOKUP(M145,'G-3 Multipliers'!$L$3:$N$6,3,FALSE)=0,"Spatial Data Missing",VLOOKUP(M145,'G-3 Multipliers'!$L$3:$N$6,3,FALSE)))</f>
        <v/>
      </c>
      <c r="P145" s="506" t="str">
        <f>IFERROR(VLOOKUP(G145,'G-1 All Habitats'!$B$2:$M$129,12,FALSE),"")</f>
        <v/>
      </c>
      <c r="Q145" s="513" t="str">
        <f>IFERROR(IF(P145="","",IF(AND(P145='G-1 All Habitats'!$X$3,T145&gt;0),U145+V145,IF(AND(P145='G-1 All Habitats'!$X$3,S145&gt;0),U145+V145,IF(AND(P145='G-1 All Habitats'!$X$3,AC145&gt;0),"Any Loss Unacceptable ▲",IF(AND(P145='G-1 All Habitats'!$X$3,W145&gt;0),"Any Loss Unacceptable ▲",H145*J145*L145*O145))))),"Check Data ▲")</f>
        <v/>
      </c>
      <c r="R145" s="50"/>
      <c r="S145" s="71"/>
      <c r="T145" s="72"/>
      <c r="U145" s="511" t="str">
        <f t="shared" si="13"/>
        <v/>
      </c>
      <c r="V145" s="511" t="str">
        <f t="shared" si="14"/>
        <v/>
      </c>
      <c r="W145" s="511" t="str">
        <f>IF(E145="","",IF(H145&lt;S145+T145,"Error in Areas ▲",IF(P145&lt;&gt;'G-1 All Habitats'!$X$3,H145-S145-T145,IF(AND(P145='G-1 All Habitats'!$X$3,Y145="Yes"),"Unacceptable Loss",IF(AND(P145='G-1 All Habitats'!$X$3,Y145="No"),AC145,IF(AND(P145='G-1 All Habitats'!$X$3,Y145=""),AC145,IF(AND(P145='G-1 All Habitats'!$X$3,AC145="None",AC145),IF(AND(P145='G-1 All Habitats'!$X$3,AC145&gt;0),H145-S145-T145))))))))</f>
        <v/>
      </c>
      <c r="X145" s="515" t="str">
        <f>IFERROR(IF(H145="","",IF(H145-S145-T145=0&lt;0,"Error in Areas ▲",IF(S145+T145&gt;H145,"Error in Areas ▲",IF(AND(P145='G-1 All Habitats'!$X$3,Y145="Yes"),"Alternative Compensation ✓",IF(W145=0,0,IF(P145='G-1 All Habitats'!$X$3,"Unacceptable Loss ▲",Q145-U145-V145)))))),"Check Data ▲")</f>
        <v/>
      </c>
      <c r="Y145" s="72"/>
      <c r="Z145" s="80"/>
      <c r="AA145" s="81"/>
      <c r="AC145" s="75" t="str">
        <f>IF(P145="","",IF(P145='G-1 All Habitats'!$X$3,H145-S145-T145,"None"))</f>
        <v/>
      </c>
      <c r="AD145" s="76" t="str">
        <f>IFERROR(AC145*J145*L145*#REF!*O145,IF(P145="","","None"))</f>
        <v/>
      </c>
      <c r="AF145" s="54" t="str">
        <f t="shared" si="10"/>
        <v/>
      </c>
      <c r="AG145" s="54" t="str">
        <f t="shared" si="11"/>
        <v/>
      </c>
      <c r="AH145" s="54" t="str">
        <f>IF(I145="","",IF(#REF!&gt;0,TRUE,FALSE))</f>
        <v/>
      </c>
      <c r="AI145" s="54">
        <v>135</v>
      </c>
      <c r="AJ145" s="54"/>
      <c r="AK145" s="54" t="str">
        <f t="array" ref="AK145">IFERROR(INDEX($AI$11:$AI$259, MATCH(0, IF(TRUE=$AF$11:$AF$259, COUNTIF($AK$10:$AK144, $AI$11:$AI$259), ""), 0)),"")</f>
        <v/>
      </c>
      <c r="AL145" s="54" t="str">
        <f t="array" ref="AL145">IFERROR(INDEX($AI$11:$AI$259, MATCH(0, IF(TRUE=$AG$11:$AG$259, COUNTIF($AL$10:$AL144, $AI$11:$AI$259), ""), 0)),"")</f>
        <v/>
      </c>
      <c r="AM145" s="54" t="str">
        <f t="array" ref="AM145">IFERROR(INDEX($AI$11:$AI$259, MATCH(0, IF(TRUE=$AH$11:$AH$259, COUNTIF($AM$10:$AM144, $AI$11:$AI$259), ""), 0)),"")</f>
        <v/>
      </c>
      <c r="AN145" s="54"/>
      <c r="AQ145" s="47">
        <f t="shared" si="12"/>
        <v>0</v>
      </c>
    </row>
    <row r="146" spans="1:43" x14ac:dyDescent="0.25">
      <c r="A146" s="47" t="str">
        <f>IFERROR(INDEX('G-1 All Habitats'!$AG$3:$AG$15,MATCH(E146,'G-1 All Habitats'!$AF$3:$AF$15,0)),"")</f>
        <v/>
      </c>
      <c r="B146" s="47" t="str">
        <f>IFERROR(INDEX('G-8 Condition Look up'!$I$4:$I$130,MATCH(G146,'G-8 Condition Look up'!$A$4:$A$130,0)),"")</f>
        <v/>
      </c>
      <c r="D146" s="77">
        <v>136</v>
      </c>
      <c r="E146" s="78"/>
      <c r="F146" s="79"/>
      <c r="G146" s="69" t="str">
        <f>IFERROR(INDEX('G-1 All Habitats'!$B$3:$B$129,MATCH(F146,'G-1 All Habitats'!$A$3:$A$129,0)),"")</f>
        <v/>
      </c>
      <c r="H146" s="70"/>
      <c r="I146" s="498" t="str">
        <f>IF(G146="","",VLOOKUP(G146,'G-1 All Habitats'!$B$2:$M$129,10,FALSE))</f>
        <v/>
      </c>
      <c r="J146" s="499" t="str">
        <f>IFERROR(VLOOKUP(I146,'G-1 All Habitats'!$V$3:$W$7,2,FALSE),"")</f>
        <v/>
      </c>
      <c r="K146" s="71"/>
      <c r="L146" s="499" t="str">
        <f>IFERROR(INDEX('G-8 Condition Look up'!$A$3:$H$130,MATCH(G146,'G-8 Condition Look up'!$A$3:$A$130,0),MATCH(K146,'G-8 Condition Look up'!$A$3:$H$3,0)),"")</f>
        <v/>
      </c>
      <c r="M146" s="71"/>
      <c r="N146" s="520" t="str">
        <f>IF(M146="","",IF(VLOOKUP(M146,'G-3 Multipliers'!$L$3:$N$6,2,FALSE)=0,"Spatial Data Missing",VLOOKUP(M146,'G-3 Multipliers'!$L$3:$N$6,2,FALSE)))</f>
        <v/>
      </c>
      <c r="O146" s="505" t="str">
        <f>IF(M146="","",IF(VLOOKUP(M146,'G-3 Multipliers'!$L$3:$N$6,3,FALSE)=0,"Spatial Data Missing",VLOOKUP(M146,'G-3 Multipliers'!$L$3:$N$6,3,FALSE)))</f>
        <v/>
      </c>
      <c r="P146" s="506" t="str">
        <f>IFERROR(VLOOKUP(G146,'G-1 All Habitats'!$B$2:$M$129,12,FALSE),"")</f>
        <v/>
      </c>
      <c r="Q146" s="513" t="str">
        <f>IFERROR(IF(P146="","",IF(AND(P146='G-1 All Habitats'!$X$3,T146&gt;0),U146+V146,IF(AND(P146='G-1 All Habitats'!$X$3,S146&gt;0),U146+V146,IF(AND(P146='G-1 All Habitats'!$X$3,AC146&gt;0),"Any Loss Unacceptable ▲",IF(AND(P146='G-1 All Habitats'!$X$3,W146&gt;0),"Any Loss Unacceptable ▲",H146*J146*L146*O146))))),"Check Data ▲")</f>
        <v/>
      </c>
      <c r="R146" s="50"/>
      <c r="S146" s="71"/>
      <c r="T146" s="72"/>
      <c r="U146" s="511" t="str">
        <f t="shared" si="13"/>
        <v/>
      </c>
      <c r="V146" s="511" t="str">
        <f t="shared" si="14"/>
        <v/>
      </c>
      <c r="W146" s="511" t="str">
        <f>IF(E146="","",IF(H146&lt;S146+T146,"Error in Areas ▲",IF(P146&lt;&gt;'G-1 All Habitats'!$X$3,H146-S146-T146,IF(AND(P146='G-1 All Habitats'!$X$3,Y146="Yes"),"Unacceptable Loss",IF(AND(P146='G-1 All Habitats'!$X$3,Y146="No"),AC146,IF(AND(P146='G-1 All Habitats'!$X$3,Y146=""),AC146,IF(AND(P146='G-1 All Habitats'!$X$3,AC146="None",AC146),IF(AND(P146='G-1 All Habitats'!$X$3,AC146&gt;0),H146-S146-T146))))))))</f>
        <v/>
      </c>
      <c r="X146" s="515" t="str">
        <f>IFERROR(IF(H146="","",IF(H146-S146-T146=0&lt;0,"Error in Areas ▲",IF(S146+T146&gt;H146,"Error in Areas ▲",IF(AND(P146='G-1 All Habitats'!$X$3,Y146="Yes"),"Alternative Compensation ✓",IF(W146=0,0,IF(P146='G-1 All Habitats'!$X$3,"Unacceptable Loss ▲",Q146-U146-V146)))))),"Check Data ▲")</f>
        <v/>
      </c>
      <c r="Y146" s="72"/>
      <c r="Z146" s="80"/>
      <c r="AA146" s="81"/>
      <c r="AC146" s="75" t="str">
        <f>IF(P146="","",IF(P146='G-1 All Habitats'!$X$3,H146-S146-T146,"None"))</f>
        <v/>
      </c>
      <c r="AD146" s="76" t="str">
        <f>IFERROR(AC146*J146*L146*#REF!*O146,IF(P146="","","None"))</f>
        <v/>
      </c>
      <c r="AF146" s="54" t="str">
        <f t="shared" si="10"/>
        <v/>
      </c>
      <c r="AG146" s="54" t="str">
        <f t="shared" si="11"/>
        <v/>
      </c>
      <c r="AH146" s="54" t="str">
        <f>IF(I146="","",IF(#REF!&gt;0,TRUE,FALSE))</f>
        <v/>
      </c>
      <c r="AI146" s="54">
        <v>136</v>
      </c>
      <c r="AJ146" s="54"/>
      <c r="AK146" s="54" t="str">
        <f t="array" ref="AK146">IFERROR(INDEX($AI$11:$AI$259, MATCH(0, IF(TRUE=$AF$11:$AF$259, COUNTIF($AK$10:$AK145, $AI$11:$AI$259), ""), 0)),"")</f>
        <v/>
      </c>
      <c r="AL146" s="54" t="str">
        <f t="array" ref="AL146">IFERROR(INDEX($AI$11:$AI$259, MATCH(0, IF(TRUE=$AG$11:$AG$259, COUNTIF($AL$10:$AL145, $AI$11:$AI$259), ""), 0)),"")</f>
        <v/>
      </c>
      <c r="AM146" s="54" t="str">
        <f t="array" ref="AM146">IFERROR(INDEX($AI$11:$AI$259, MATCH(0, IF(TRUE=$AH$11:$AH$259, COUNTIF($AM$10:$AM145, $AI$11:$AI$259), ""), 0)),"")</f>
        <v/>
      </c>
      <c r="AN146" s="54"/>
      <c r="AQ146" s="47">
        <f t="shared" si="12"/>
        <v>0</v>
      </c>
    </row>
    <row r="147" spans="1:43" x14ac:dyDescent="0.25">
      <c r="A147" s="47" t="str">
        <f>IFERROR(INDEX('G-1 All Habitats'!$AG$3:$AG$15,MATCH(E147,'G-1 All Habitats'!$AF$3:$AF$15,0)),"")</f>
        <v/>
      </c>
      <c r="B147" s="47" t="str">
        <f>IFERROR(INDEX('G-8 Condition Look up'!$I$4:$I$130,MATCH(G147,'G-8 Condition Look up'!$A$4:$A$130,0)),"")</f>
        <v/>
      </c>
      <c r="D147" s="77">
        <v>137</v>
      </c>
      <c r="E147" s="78"/>
      <c r="F147" s="79"/>
      <c r="G147" s="69" t="str">
        <f>IFERROR(INDEX('G-1 All Habitats'!$B$3:$B$129,MATCH(F147,'G-1 All Habitats'!$A$3:$A$129,0)),"")</f>
        <v/>
      </c>
      <c r="H147" s="70"/>
      <c r="I147" s="498" t="str">
        <f>IF(G147="","",VLOOKUP(G147,'G-1 All Habitats'!$B$2:$M$129,10,FALSE))</f>
        <v/>
      </c>
      <c r="J147" s="499" t="str">
        <f>IFERROR(VLOOKUP(I147,'G-1 All Habitats'!$V$3:$W$7,2,FALSE),"")</f>
        <v/>
      </c>
      <c r="K147" s="71"/>
      <c r="L147" s="499" t="str">
        <f>IFERROR(INDEX('G-8 Condition Look up'!$A$3:$H$130,MATCH(G147,'G-8 Condition Look up'!$A$3:$A$130,0),MATCH(K147,'G-8 Condition Look up'!$A$3:$H$3,0)),"")</f>
        <v/>
      </c>
      <c r="M147" s="71"/>
      <c r="N147" s="520" t="str">
        <f>IF(M147="","",IF(VLOOKUP(M147,'G-3 Multipliers'!$L$3:$N$6,2,FALSE)=0,"Spatial Data Missing",VLOOKUP(M147,'G-3 Multipliers'!$L$3:$N$6,2,FALSE)))</f>
        <v/>
      </c>
      <c r="O147" s="505" t="str">
        <f>IF(M147="","",IF(VLOOKUP(M147,'G-3 Multipliers'!$L$3:$N$6,3,FALSE)=0,"Spatial Data Missing",VLOOKUP(M147,'G-3 Multipliers'!$L$3:$N$6,3,FALSE)))</f>
        <v/>
      </c>
      <c r="P147" s="506" t="str">
        <f>IFERROR(VLOOKUP(G147,'G-1 All Habitats'!$B$2:$M$129,12,FALSE),"")</f>
        <v/>
      </c>
      <c r="Q147" s="513" t="str">
        <f>IFERROR(IF(P147="","",IF(AND(P147='G-1 All Habitats'!$X$3,T147&gt;0),U147+V147,IF(AND(P147='G-1 All Habitats'!$X$3,S147&gt;0),U147+V147,IF(AND(P147='G-1 All Habitats'!$X$3,AC147&gt;0),"Any Loss Unacceptable ▲",IF(AND(P147='G-1 All Habitats'!$X$3,W147&gt;0),"Any Loss Unacceptable ▲",H147*J147*L147*O147))))),"Check Data ▲")</f>
        <v/>
      </c>
      <c r="R147" s="50"/>
      <c r="S147" s="71"/>
      <c r="T147" s="72"/>
      <c r="U147" s="511" t="str">
        <f t="shared" si="13"/>
        <v/>
      </c>
      <c r="V147" s="511" t="str">
        <f t="shared" si="14"/>
        <v/>
      </c>
      <c r="W147" s="511" t="str">
        <f>IF(E147="","",IF(H147&lt;S147+T147,"Error in Areas ▲",IF(P147&lt;&gt;'G-1 All Habitats'!$X$3,H147-S147-T147,IF(AND(P147='G-1 All Habitats'!$X$3,Y147="Yes"),"Unacceptable Loss",IF(AND(P147='G-1 All Habitats'!$X$3,Y147="No"),AC147,IF(AND(P147='G-1 All Habitats'!$X$3,Y147=""),AC147,IF(AND(P147='G-1 All Habitats'!$X$3,AC147="None",AC147),IF(AND(P147='G-1 All Habitats'!$X$3,AC147&gt;0),H147-S147-T147))))))))</f>
        <v/>
      </c>
      <c r="X147" s="515" t="str">
        <f>IFERROR(IF(H147="","",IF(H147-S147-T147=0&lt;0,"Error in Areas ▲",IF(S147+T147&gt;H147,"Error in Areas ▲",IF(AND(P147='G-1 All Habitats'!$X$3,Y147="Yes"),"Alternative Compensation ✓",IF(W147=0,0,IF(P147='G-1 All Habitats'!$X$3,"Unacceptable Loss ▲",Q147-U147-V147)))))),"Check Data ▲")</f>
        <v/>
      </c>
      <c r="Y147" s="72"/>
      <c r="Z147" s="80"/>
      <c r="AA147" s="81"/>
      <c r="AC147" s="75" t="str">
        <f>IF(P147="","",IF(P147='G-1 All Habitats'!$X$3,H147-S147-T147,"None"))</f>
        <v/>
      </c>
      <c r="AD147" s="76" t="str">
        <f>IFERROR(AC147*J147*L147*#REF!*O147,IF(P147="","","None"))</f>
        <v/>
      </c>
      <c r="AF147" s="54" t="str">
        <f t="shared" si="10"/>
        <v/>
      </c>
      <c r="AG147" s="54" t="str">
        <f t="shared" si="11"/>
        <v/>
      </c>
      <c r="AH147" s="54" t="str">
        <f>IF(I147="","",IF(#REF!&gt;0,TRUE,FALSE))</f>
        <v/>
      </c>
      <c r="AI147" s="54">
        <v>137</v>
      </c>
      <c r="AJ147" s="54"/>
      <c r="AK147" s="54" t="str">
        <f t="array" ref="AK147">IFERROR(INDEX($AI$11:$AI$259, MATCH(0, IF(TRUE=$AF$11:$AF$259, COUNTIF($AK$10:$AK146, $AI$11:$AI$259), ""), 0)),"")</f>
        <v/>
      </c>
      <c r="AL147" s="54" t="str">
        <f t="array" ref="AL147">IFERROR(INDEX($AI$11:$AI$259, MATCH(0, IF(TRUE=$AG$11:$AG$259, COUNTIF($AL$10:$AL146, $AI$11:$AI$259), ""), 0)),"")</f>
        <v/>
      </c>
      <c r="AM147" s="54" t="str">
        <f t="array" ref="AM147">IFERROR(INDEX($AI$11:$AI$259, MATCH(0, IF(TRUE=$AH$11:$AH$259, COUNTIF($AM$10:$AM146, $AI$11:$AI$259), ""), 0)),"")</f>
        <v/>
      </c>
      <c r="AN147" s="54"/>
      <c r="AQ147" s="47">
        <f t="shared" si="12"/>
        <v>0</v>
      </c>
    </row>
    <row r="148" spans="1:43" x14ac:dyDescent="0.25">
      <c r="A148" s="47" t="str">
        <f>IFERROR(INDEX('G-1 All Habitats'!$AG$3:$AG$15,MATCH(E148,'G-1 All Habitats'!$AF$3:$AF$15,0)),"")</f>
        <v/>
      </c>
      <c r="B148" s="47" t="str">
        <f>IFERROR(INDEX('G-8 Condition Look up'!$I$4:$I$130,MATCH(G148,'G-8 Condition Look up'!$A$4:$A$130,0)),"")</f>
        <v/>
      </c>
      <c r="D148" s="77">
        <v>138</v>
      </c>
      <c r="E148" s="78"/>
      <c r="F148" s="79"/>
      <c r="G148" s="69" t="str">
        <f>IFERROR(INDEX('G-1 All Habitats'!$B$3:$B$129,MATCH(F148,'G-1 All Habitats'!$A$3:$A$129,0)),"")</f>
        <v/>
      </c>
      <c r="H148" s="70"/>
      <c r="I148" s="498" t="str">
        <f>IF(G148="","",VLOOKUP(G148,'G-1 All Habitats'!$B$2:$M$129,10,FALSE))</f>
        <v/>
      </c>
      <c r="J148" s="499" t="str">
        <f>IFERROR(VLOOKUP(I148,'G-1 All Habitats'!$V$3:$W$7,2,FALSE),"")</f>
        <v/>
      </c>
      <c r="K148" s="71"/>
      <c r="L148" s="499" t="str">
        <f>IFERROR(INDEX('G-8 Condition Look up'!$A$3:$H$130,MATCH(G148,'G-8 Condition Look up'!$A$3:$A$130,0),MATCH(K148,'G-8 Condition Look up'!$A$3:$H$3,0)),"")</f>
        <v/>
      </c>
      <c r="M148" s="71"/>
      <c r="N148" s="520" t="str">
        <f>IF(M148="","",IF(VLOOKUP(M148,'G-3 Multipliers'!$L$3:$N$6,2,FALSE)=0,"Spatial Data Missing",VLOOKUP(M148,'G-3 Multipliers'!$L$3:$N$6,2,FALSE)))</f>
        <v/>
      </c>
      <c r="O148" s="505" t="str">
        <f>IF(M148="","",IF(VLOOKUP(M148,'G-3 Multipliers'!$L$3:$N$6,3,FALSE)=0,"Spatial Data Missing",VLOOKUP(M148,'G-3 Multipliers'!$L$3:$N$6,3,FALSE)))</f>
        <v/>
      </c>
      <c r="P148" s="506" t="str">
        <f>IFERROR(VLOOKUP(G148,'G-1 All Habitats'!$B$2:$M$129,12,FALSE),"")</f>
        <v/>
      </c>
      <c r="Q148" s="513" t="str">
        <f>IFERROR(IF(P148="","",IF(AND(P148='G-1 All Habitats'!$X$3,T148&gt;0),U148+V148,IF(AND(P148='G-1 All Habitats'!$X$3,S148&gt;0),U148+V148,IF(AND(P148='G-1 All Habitats'!$X$3,AC148&gt;0),"Any Loss Unacceptable ▲",IF(AND(P148='G-1 All Habitats'!$X$3,W148&gt;0),"Any Loss Unacceptable ▲",H148*J148*L148*O148))))),"Check Data ▲")</f>
        <v/>
      </c>
      <c r="R148" s="50"/>
      <c r="S148" s="71"/>
      <c r="T148" s="72"/>
      <c r="U148" s="511" t="str">
        <f t="shared" si="13"/>
        <v/>
      </c>
      <c r="V148" s="511" t="str">
        <f t="shared" si="14"/>
        <v/>
      </c>
      <c r="W148" s="511" t="str">
        <f>IF(E148="","",IF(H148&lt;S148+T148,"Error in Areas ▲",IF(P148&lt;&gt;'G-1 All Habitats'!$X$3,H148-S148-T148,IF(AND(P148='G-1 All Habitats'!$X$3,Y148="Yes"),"Unacceptable Loss",IF(AND(P148='G-1 All Habitats'!$X$3,Y148="No"),AC148,IF(AND(P148='G-1 All Habitats'!$X$3,Y148=""),AC148,IF(AND(P148='G-1 All Habitats'!$X$3,AC148="None",AC148),IF(AND(P148='G-1 All Habitats'!$X$3,AC148&gt;0),H148-S148-T148))))))))</f>
        <v/>
      </c>
      <c r="X148" s="515" t="str">
        <f>IFERROR(IF(H148="","",IF(H148-S148-T148=0&lt;0,"Error in Areas ▲",IF(S148+T148&gt;H148,"Error in Areas ▲",IF(AND(P148='G-1 All Habitats'!$X$3,Y148="Yes"),"Alternative Compensation ✓",IF(W148=0,0,IF(P148='G-1 All Habitats'!$X$3,"Unacceptable Loss ▲",Q148-U148-V148)))))),"Check Data ▲")</f>
        <v/>
      </c>
      <c r="Y148" s="72"/>
      <c r="Z148" s="80"/>
      <c r="AA148" s="81"/>
      <c r="AC148" s="75" t="str">
        <f>IF(P148="","",IF(P148='G-1 All Habitats'!$X$3,H148-S148-T148,"None"))</f>
        <v/>
      </c>
      <c r="AD148" s="76" t="str">
        <f>IFERROR(AC148*J148*L148*#REF!*O148,IF(P148="","","None"))</f>
        <v/>
      </c>
      <c r="AF148" s="54" t="str">
        <f t="shared" si="10"/>
        <v/>
      </c>
      <c r="AG148" s="54" t="str">
        <f t="shared" si="11"/>
        <v/>
      </c>
      <c r="AH148" s="54" t="str">
        <f>IF(I148="","",IF(#REF!&gt;0,TRUE,FALSE))</f>
        <v/>
      </c>
      <c r="AI148" s="54">
        <v>138</v>
      </c>
      <c r="AJ148" s="54"/>
      <c r="AK148" s="54" t="str">
        <f t="array" ref="AK148">IFERROR(INDEX($AI$11:$AI$259, MATCH(0, IF(TRUE=$AF$11:$AF$259, COUNTIF($AK$10:$AK147, $AI$11:$AI$259), ""), 0)),"")</f>
        <v/>
      </c>
      <c r="AL148" s="54" t="str">
        <f t="array" ref="AL148">IFERROR(INDEX($AI$11:$AI$259, MATCH(0, IF(TRUE=$AG$11:$AG$259, COUNTIF($AL$10:$AL147, $AI$11:$AI$259), ""), 0)),"")</f>
        <v/>
      </c>
      <c r="AM148" s="54" t="str">
        <f t="array" ref="AM148">IFERROR(INDEX($AI$11:$AI$259, MATCH(0, IF(TRUE=$AH$11:$AH$259, COUNTIF($AM$10:$AM147, $AI$11:$AI$259), ""), 0)),"")</f>
        <v/>
      </c>
      <c r="AN148" s="54"/>
      <c r="AQ148" s="47">
        <f t="shared" si="12"/>
        <v>0</v>
      </c>
    </row>
    <row r="149" spans="1:43" x14ac:dyDescent="0.25">
      <c r="A149" s="47" t="str">
        <f>IFERROR(INDEX('G-1 All Habitats'!$AG$3:$AG$15,MATCH(E149,'G-1 All Habitats'!$AF$3:$AF$15,0)),"")</f>
        <v/>
      </c>
      <c r="B149" s="47" t="str">
        <f>IFERROR(INDEX('G-8 Condition Look up'!$I$4:$I$130,MATCH(G149,'G-8 Condition Look up'!$A$4:$A$130,0)),"")</f>
        <v/>
      </c>
      <c r="D149" s="77">
        <v>139</v>
      </c>
      <c r="E149" s="78"/>
      <c r="F149" s="79"/>
      <c r="G149" s="69" t="str">
        <f>IFERROR(INDEX('G-1 All Habitats'!$B$3:$B$129,MATCH(F149,'G-1 All Habitats'!$A$3:$A$129,0)),"")</f>
        <v/>
      </c>
      <c r="H149" s="70"/>
      <c r="I149" s="498" t="str">
        <f>IF(G149="","",VLOOKUP(G149,'G-1 All Habitats'!$B$2:$M$129,10,FALSE))</f>
        <v/>
      </c>
      <c r="J149" s="499" t="str">
        <f>IFERROR(VLOOKUP(I149,'G-1 All Habitats'!$V$3:$W$7,2,FALSE),"")</f>
        <v/>
      </c>
      <c r="K149" s="71"/>
      <c r="L149" s="499" t="str">
        <f>IFERROR(INDEX('G-8 Condition Look up'!$A$3:$H$130,MATCH(G149,'G-8 Condition Look up'!$A$3:$A$130,0),MATCH(K149,'G-8 Condition Look up'!$A$3:$H$3,0)),"")</f>
        <v/>
      </c>
      <c r="M149" s="71"/>
      <c r="N149" s="520" t="str">
        <f>IF(M149="","",IF(VLOOKUP(M149,'G-3 Multipliers'!$L$3:$N$6,2,FALSE)=0,"Spatial Data Missing",VLOOKUP(M149,'G-3 Multipliers'!$L$3:$N$6,2,FALSE)))</f>
        <v/>
      </c>
      <c r="O149" s="505" t="str">
        <f>IF(M149="","",IF(VLOOKUP(M149,'G-3 Multipliers'!$L$3:$N$6,3,FALSE)=0,"Spatial Data Missing",VLOOKUP(M149,'G-3 Multipliers'!$L$3:$N$6,3,FALSE)))</f>
        <v/>
      </c>
      <c r="P149" s="506" t="str">
        <f>IFERROR(VLOOKUP(G149,'G-1 All Habitats'!$B$2:$M$129,12,FALSE),"")</f>
        <v/>
      </c>
      <c r="Q149" s="513" t="str">
        <f>IFERROR(IF(P149="","",IF(AND(P149='G-1 All Habitats'!$X$3,T149&gt;0),U149+V149,IF(AND(P149='G-1 All Habitats'!$X$3,S149&gt;0),U149+V149,IF(AND(P149='G-1 All Habitats'!$X$3,AC149&gt;0),"Any Loss Unacceptable ▲",IF(AND(P149='G-1 All Habitats'!$X$3,W149&gt;0),"Any Loss Unacceptable ▲",H149*J149*L149*O149))))),"Check Data ▲")</f>
        <v/>
      </c>
      <c r="R149" s="50"/>
      <c r="S149" s="71"/>
      <c r="T149" s="72"/>
      <c r="U149" s="511" t="str">
        <f t="shared" si="13"/>
        <v/>
      </c>
      <c r="V149" s="511" t="str">
        <f t="shared" si="14"/>
        <v/>
      </c>
      <c r="W149" s="511" t="str">
        <f>IF(E149="","",IF(H149&lt;S149+T149,"Error in Areas ▲",IF(P149&lt;&gt;'G-1 All Habitats'!$X$3,H149-S149-T149,IF(AND(P149='G-1 All Habitats'!$X$3,Y149="Yes"),"Unacceptable Loss",IF(AND(P149='G-1 All Habitats'!$X$3,Y149="No"),AC149,IF(AND(P149='G-1 All Habitats'!$X$3,Y149=""),AC149,IF(AND(P149='G-1 All Habitats'!$X$3,AC149="None",AC149),IF(AND(P149='G-1 All Habitats'!$X$3,AC149&gt;0),H149-S149-T149))))))))</f>
        <v/>
      </c>
      <c r="X149" s="515" t="str">
        <f>IFERROR(IF(H149="","",IF(H149-S149-T149=0&lt;0,"Error in Areas ▲",IF(S149+T149&gt;H149,"Error in Areas ▲",IF(AND(P149='G-1 All Habitats'!$X$3,Y149="Yes"),"Alternative Compensation ✓",IF(W149=0,0,IF(P149='G-1 All Habitats'!$X$3,"Unacceptable Loss ▲",Q149-U149-V149)))))),"Check Data ▲")</f>
        <v/>
      </c>
      <c r="Y149" s="72"/>
      <c r="Z149" s="80"/>
      <c r="AA149" s="81"/>
      <c r="AC149" s="75" t="str">
        <f>IF(P149="","",IF(P149='G-1 All Habitats'!$X$3,H149-S149-T149,"None"))</f>
        <v/>
      </c>
      <c r="AD149" s="76" t="str">
        <f>IFERROR(AC149*J149*L149*#REF!*O149,IF(P149="","","None"))</f>
        <v/>
      </c>
      <c r="AF149" s="54" t="str">
        <f t="shared" si="10"/>
        <v/>
      </c>
      <c r="AG149" s="54" t="str">
        <f t="shared" si="11"/>
        <v/>
      </c>
      <c r="AH149" s="54" t="str">
        <f>IF(I149="","",IF(#REF!&gt;0,TRUE,FALSE))</f>
        <v/>
      </c>
      <c r="AI149" s="54">
        <v>139</v>
      </c>
      <c r="AJ149" s="54"/>
      <c r="AK149" s="54" t="str">
        <f t="array" ref="AK149">IFERROR(INDEX($AI$11:$AI$259, MATCH(0, IF(TRUE=$AF$11:$AF$259, COUNTIF($AK$10:$AK148, $AI$11:$AI$259), ""), 0)),"")</f>
        <v/>
      </c>
      <c r="AL149" s="54" t="str">
        <f t="array" ref="AL149">IFERROR(INDEX($AI$11:$AI$259, MATCH(0, IF(TRUE=$AG$11:$AG$259, COUNTIF($AL$10:$AL148, $AI$11:$AI$259), ""), 0)),"")</f>
        <v/>
      </c>
      <c r="AM149" s="54" t="str">
        <f t="array" ref="AM149">IFERROR(INDEX($AI$11:$AI$259, MATCH(0, IF(TRUE=$AH$11:$AH$259, COUNTIF($AM$10:$AM148, $AI$11:$AI$259), ""), 0)),"")</f>
        <v/>
      </c>
      <c r="AN149" s="54"/>
      <c r="AQ149" s="47">
        <f t="shared" si="12"/>
        <v>0</v>
      </c>
    </row>
    <row r="150" spans="1:43" x14ac:dyDescent="0.25">
      <c r="A150" s="47" t="str">
        <f>IFERROR(INDEX('G-1 All Habitats'!$AG$3:$AG$15,MATCH(E150,'G-1 All Habitats'!$AF$3:$AF$15,0)),"")</f>
        <v/>
      </c>
      <c r="B150" s="47" t="str">
        <f>IFERROR(INDEX('G-8 Condition Look up'!$I$4:$I$130,MATCH(G150,'G-8 Condition Look up'!$A$4:$A$130,0)),"")</f>
        <v/>
      </c>
      <c r="D150" s="77">
        <v>140</v>
      </c>
      <c r="E150" s="78"/>
      <c r="F150" s="79"/>
      <c r="G150" s="69" t="str">
        <f>IFERROR(INDEX('G-1 All Habitats'!$B$3:$B$129,MATCH(F150,'G-1 All Habitats'!$A$3:$A$129,0)),"")</f>
        <v/>
      </c>
      <c r="H150" s="70"/>
      <c r="I150" s="498" t="str">
        <f>IF(G150="","",VLOOKUP(G150,'G-1 All Habitats'!$B$2:$M$129,10,FALSE))</f>
        <v/>
      </c>
      <c r="J150" s="499" t="str">
        <f>IFERROR(VLOOKUP(I150,'G-1 All Habitats'!$V$3:$W$7,2,FALSE),"")</f>
        <v/>
      </c>
      <c r="K150" s="71"/>
      <c r="L150" s="499" t="str">
        <f>IFERROR(INDEX('G-8 Condition Look up'!$A$3:$H$130,MATCH(G150,'G-8 Condition Look up'!$A$3:$A$130,0),MATCH(K150,'G-8 Condition Look up'!$A$3:$H$3,0)),"")</f>
        <v/>
      </c>
      <c r="M150" s="71"/>
      <c r="N150" s="520" t="str">
        <f>IF(M150="","",IF(VLOOKUP(M150,'G-3 Multipliers'!$L$3:$N$6,2,FALSE)=0,"Spatial Data Missing",VLOOKUP(M150,'G-3 Multipliers'!$L$3:$N$6,2,FALSE)))</f>
        <v/>
      </c>
      <c r="O150" s="505" t="str">
        <f>IF(M150="","",IF(VLOOKUP(M150,'G-3 Multipliers'!$L$3:$N$6,3,FALSE)=0,"Spatial Data Missing",VLOOKUP(M150,'G-3 Multipliers'!$L$3:$N$6,3,FALSE)))</f>
        <v/>
      </c>
      <c r="P150" s="506" t="str">
        <f>IFERROR(VLOOKUP(G150,'G-1 All Habitats'!$B$2:$M$129,12,FALSE),"")</f>
        <v/>
      </c>
      <c r="Q150" s="513" t="str">
        <f>IFERROR(IF(P150="","",IF(AND(P150='G-1 All Habitats'!$X$3,T150&gt;0),U150+V150,IF(AND(P150='G-1 All Habitats'!$X$3,S150&gt;0),U150+V150,IF(AND(P150='G-1 All Habitats'!$X$3,AC150&gt;0),"Any Loss Unacceptable ▲",IF(AND(P150='G-1 All Habitats'!$X$3,W150&gt;0),"Any Loss Unacceptable ▲",H150*J150*L150*O150))))),"Check Data ▲")</f>
        <v/>
      </c>
      <c r="R150" s="50"/>
      <c r="S150" s="71"/>
      <c r="T150" s="72"/>
      <c r="U150" s="511" t="str">
        <f t="shared" si="13"/>
        <v/>
      </c>
      <c r="V150" s="511" t="str">
        <f t="shared" si="14"/>
        <v/>
      </c>
      <c r="W150" s="511" t="str">
        <f>IF(E150="","",IF(H150&lt;S150+T150,"Error in Areas ▲",IF(P150&lt;&gt;'G-1 All Habitats'!$X$3,H150-S150-T150,IF(AND(P150='G-1 All Habitats'!$X$3,Y150="Yes"),"Unacceptable Loss",IF(AND(P150='G-1 All Habitats'!$X$3,Y150="No"),AC150,IF(AND(P150='G-1 All Habitats'!$X$3,Y150=""),AC150,IF(AND(P150='G-1 All Habitats'!$X$3,AC150="None",AC150),IF(AND(P150='G-1 All Habitats'!$X$3,AC150&gt;0),H150-S150-T150))))))))</f>
        <v/>
      </c>
      <c r="X150" s="515" t="str">
        <f>IFERROR(IF(H150="","",IF(H150-S150-T150=0&lt;0,"Error in Areas ▲",IF(S150+T150&gt;H150,"Error in Areas ▲",IF(AND(P150='G-1 All Habitats'!$X$3,Y150="Yes"),"Alternative Compensation ✓",IF(W150=0,0,IF(P150='G-1 All Habitats'!$X$3,"Unacceptable Loss ▲",Q150-U150-V150)))))),"Check Data ▲")</f>
        <v/>
      </c>
      <c r="Y150" s="72"/>
      <c r="Z150" s="80"/>
      <c r="AA150" s="81"/>
      <c r="AC150" s="75" t="str">
        <f>IF(P150="","",IF(P150='G-1 All Habitats'!$X$3,H150-S150-T150,"None"))</f>
        <v/>
      </c>
      <c r="AD150" s="76" t="str">
        <f>IFERROR(AC150*J150*L150*#REF!*O150,IF(P150="","","None"))</f>
        <v/>
      </c>
      <c r="AF150" s="54" t="str">
        <f t="shared" si="10"/>
        <v/>
      </c>
      <c r="AG150" s="54" t="str">
        <f t="shared" si="11"/>
        <v/>
      </c>
      <c r="AH150" s="54" t="str">
        <f>IF(I150="","",IF(#REF!&gt;0,TRUE,FALSE))</f>
        <v/>
      </c>
      <c r="AI150" s="54">
        <v>140</v>
      </c>
      <c r="AJ150" s="54"/>
      <c r="AK150" s="54" t="str">
        <f t="array" ref="AK150">IFERROR(INDEX($AI$11:$AI$259, MATCH(0, IF(TRUE=$AF$11:$AF$259, COUNTIF($AK$10:$AK149, $AI$11:$AI$259), ""), 0)),"")</f>
        <v/>
      </c>
      <c r="AL150" s="54" t="str">
        <f t="array" ref="AL150">IFERROR(INDEX($AI$11:$AI$259, MATCH(0, IF(TRUE=$AG$11:$AG$259, COUNTIF($AL$10:$AL149, $AI$11:$AI$259), ""), 0)),"")</f>
        <v/>
      </c>
      <c r="AM150" s="54" t="str">
        <f t="array" ref="AM150">IFERROR(INDEX($AI$11:$AI$259, MATCH(0, IF(TRUE=$AH$11:$AH$259, COUNTIF($AM$10:$AM149, $AI$11:$AI$259), ""), 0)),"")</f>
        <v/>
      </c>
      <c r="AN150" s="54"/>
      <c r="AQ150" s="47">
        <f t="shared" si="12"/>
        <v>0</v>
      </c>
    </row>
    <row r="151" spans="1:43" x14ac:dyDescent="0.25">
      <c r="A151" s="47" t="str">
        <f>IFERROR(INDEX('G-1 All Habitats'!$AG$3:$AG$15,MATCH(E151,'G-1 All Habitats'!$AF$3:$AF$15,0)),"")</f>
        <v/>
      </c>
      <c r="B151" s="47" t="str">
        <f>IFERROR(INDEX('G-8 Condition Look up'!$I$4:$I$130,MATCH(G151,'G-8 Condition Look up'!$A$4:$A$130,0)),"")</f>
        <v/>
      </c>
      <c r="D151" s="77">
        <v>141</v>
      </c>
      <c r="E151" s="78"/>
      <c r="F151" s="79"/>
      <c r="G151" s="69" t="str">
        <f>IFERROR(INDEX('G-1 All Habitats'!$B$3:$B$129,MATCH(F151,'G-1 All Habitats'!$A$3:$A$129,0)),"")</f>
        <v/>
      </c>
      <c r="H151" s="70"/>
      <c r="I151" s="498" t="str">
        <f>IF(G151="","",VLOOKUP(G151,'G-1 All Habitats'!$B$2:$M$129,10,FALSE))</f>
        <v/>
      </c>
      <c r="J151" s="499" t="str">
        <f>IFERROR(VLOOKUP(I151,'G-1 All Habitats'!$V$3:$W$7,2,FALSE),"")</f>
        <v/>
      </c>
      <c r="K151" s="71"/>
      <c r="L151" s="499" t="str">
        <f>IFERROR(INDEX('G-8 Condition Look up'!$A$3:$H$130,MATCH(G151,'G-8 Condition Look up'!$A$3:$A$130,0),MATCH(K151,'G-8 Condition Look up'!$A$3:$H$3,0)),"")</f>
        <v/>
      </c>
      <c r="M151" s="71"/>
      <c r="N151" s="520" t="str">
        <f>IF(M151="","",IF(VLOOKUP(M151,'G-3 Multipliers'!$L$3:$N$6,2,FALSE)=0,"Spatial Data Missing",VLOOKUP(M151,'G-3 Multipliers'!$L$3:$N$6,2,FALSE)))</f>
        <v/>
      </c>
      <c r="O151" s="505" t="str">
        <f>IF(M151="","",IF(VLOOKUP(M151,'G-3 Multipliers'!$L$3:$N$6,3,FALSE)=0,"Spatial Data Missing",VLOOKUP(M151,'G-3 Multipliers'!$L$3:$N$6,3,FALSE)))</f>
        <v/>
      </c>
      <c r="P151" s="506" t="str">
        <f>IFERROR(VLOOKUP(G151,'G-1 All Habitats'!$B$2:$M$129,12,FALSE),"")</f>
        <v/>
      </c>
      <c r="Q151" s="513" t="str">
        <f>IFERROR(IF(P151="","",IF(AND(P151='G-1 All Habitats'!$X$3,T151&gt;0),U151+V151,IF(AND(P151='G-1 All Habitats'!$X$3,S151&gt;0),U151+V151,IF(AND(P151='G-1 All Habitats'!$X$3,AC151&gt;0),"Any Loss Unacceptable ▲",IF(AND(P151='G-1 All Habitats'!$X$3,W151&gt;0),"Any Loss Unacceptable ▲",H151*J151*L151*O151))))),"Check Data ▲")</f>
        <v/>
      </c>
      <c r="R151" s="50"/>
      <c r="S151" s="71"/>
      <c r="T151" s="72"/>
      <c r="U151" s="511" t="str">
        <f t="shared" si="13"/>
        <v/>
      </c>
      <c r="V151" s="511" t="str">
        <f t="shared" si="14"/>
        <v/>
      </c>
      <c r="W151" s="511" t="str">
        <f>IF(E151="","",IF(H151&lt;S151+T151,"Error in Areas ▲",IF(P151&lt;&gt;'G-1 All Habitats'!$X$3,H151-S151-T151,IF(AND(P151='G-1 All Habitats'!$X$3,Y151="Yes"),"Unacceptable Loss",IF(AND(P151='G-1 All Habitats'!$X$3,Y151="No"),AC151,IF(AND(P151='G-1 All Habitats'!$X$3,Y151=""),AC151,IF(AND(P151='G-1 All Habitats'!$X$3,AC151="None",AC151),IF(AND(P151='G-1 All Habitats'!$X$3,AC151&gt;0),H151-S151-T151))))))))</f>
        <v/>
      </c>
      <c r="X151" s="515" t="str">
        <f>IFERROR(IF(H151="","",IF(H151-S151-T151=0&lt;0,"Error in Areas ▲",IF(S151+T151&gt;H151,"Error in Areas ▲",IF(AND(P151='G-1 All Habitats'!$X$3,Y151="Yes"),"Alternative Compensation ✓",IF(W151=0,0,IF(P151='G-1 All Habitats'!$X$3,"Unacceptable Loss ▲",Q151-U151-V151)))))),"Check Data ▲")</f>
        <v/>
      </c>
      <c r="Y151" s="72"/>
      <c r="Z151" s="80"/>
      <c r="AA151" s="81"/>
      <c r="AC151" s="75" t="str">
        <f>IF(P151="","",IF(P151='G-1 All Habitats'!$X$3,H151-S151-T151,"None"))</f>
        <v/>
      </c>
      <c r="AD151" s="76" t="str">
        <f>IFERROR(AC151*J151*L151*#REF!*O151,IF(P151="","","None"))</f>
        <v/>
      </c>
      <c r="AF151" s="54" t="str">
        <f t="shared" si="10"/>
        <v/>
      </c>
      <c r="AG151" s="54" t="str">
        <f t="shared" si="11"/>
        <v/>
      </c>
      <c r="AH151" s="54" t="str">
        <f>IF(I151="","",IF(#REF!&gt;0,TRUE,FALSE))</f>
        <v/>
      </c>
      <c r="AI151" s="54">
        <v>141</v>
      </c>
      <c r="AJ151" s="54"/>
      <c r="AK151" s="54" t="str">
        <f t="array" ref="AK151">IFERROR(INDEX($AI$11:$AI$259, MATCH(0, IF(TRUE=$AF$11:$AF$259, COUNTIF($AK$10:$AK150, $AI$11:$AI$259), ""), 0)),"")</f>
        <v/>
      </c>
      <c r="AL151" s="54" t="str">
        <f t="array" ref="AL151">IFERROR(INDEX($AI$11:$AI$259, MATCH(0, IF(TRUE=$AG$11:$AG$259, COUNTIF($AL$10:$AL150, $AI$11:$AI$259), ""), 0)),"")</f>
        <v/>
      </c>
      <c r="AM151" s="54" t="str">
        <f t="array" ref="AM151">IFERROR(INDEX($AI$11:$AI$259, MATCH(0, IF(TRUE=$AH$11:$AH$259, COUNTIF($AM$10:$AM150, $AI$11:$AI$259), ""), 0)),"")</f>
        <v/>
      </c>
      <c r="AN151" s="54"/>
      <c r="AQ151" s="47">
        <f t="shared" si="12"/>
        <v>0</v>
      </c>
    </row>
    <row r="152" spans="1:43" x14ac:dyDescent="0.25">
      <c r="A152" s="47" t="str">
        <f>IFERROR(INDEX('G-1 All Habitats'!$AG$3:$AG$15,MATCH(E152,'G-1 All Habitats'!$AF$3:$AF$15,0)),"")</f>
        <v/>
      </c>
      <c r="B152" s="47" t="str">
        <f>IFERROR(INDEX('G-8 Condition Look up'!$I$4:$I$130,MATCH(G152,'G-8 Condition Look up'!$A$4:$A$130,0)),"")</f>
        <v/>
      </c>
      <c r="D152" s="77">
        <v>142</v>
      </c>
      <c r="E152" s="78"/>
      <c r="F152" s="79"/>
      <c r="G152" s="69" t="str">
        <f>IFERROR(INDEX('G-1 All Habitats'!$B$3:$B$129,MATCH(F152,'G-1 All Habitats'!$A$3:$A$129,0)),"")</f>
        <v/>
      </c>
      <c r="H152" s="70"/>
      <c r="I152" s="498" t="str">
        <f>IF(G152="","",VLOOKUP(G152,'G-1 All Habitats'!$B$2:$M$129,10,FALSE))</f>
        <v/>
      </c>
      <c r="J152" s="499" t="str">
        <f>IFERROR(VLOOKUP(I152,'G-1 All Habitats'!$V$3:$W$7,2,FALSE),"")</f>
        <v/>
      </c>
      <c r="K152" s="71"/>
      <c r="L152" s="499" t="str">
        <f>IFERROR(INDEX('G-8 Condition Look up'!$A$3:$H$130,MATCH(G152,'G-8 Condition Look up'!$A$3:$A$130,0),MATCH(K152,'G-8 Condition Look up'!$A$3:$H$3,0)),"")</f>
        <v/>
      </c>
      <c r="M152" s="71"/>
      <c r="N152" s="520" t="str">
        <f>IF(M152="","",IF(VLOOKUP(M152,'G-3 Multipliers'!$L$3:$N$6,2,FALSE)=0,"Spatial Data Missing",VLOOKUP(M152,'G-3 Multipliers'!$L$3:$N$6,2,FALSE)))</f>
        <v/>
      </c>
      <c r="O152" s="505" t="str">
        <f>IF(M152="","",IF(VLOOKUP(M152,'G-3 Multipliers'!$L$3:$N$6,3,FALSE)=0,"Spatial Data Missing",VLOOKUP(M152,'G-3 Multipliers'!$L$3:$N$6,3,FALSE)))</f>
        <v/>
      </c>
      <c r="P152" s="506" t="str">
        <f>IFERROR(VLOOKUP(G152,'G-1 All Habitats'!$B$2:$M$129,12,FALSE),"")</f>
        <v/>
      </c>
      <c r="Q152" s="513" t="str">
        <f>IFERROR(IF(P152="","",IF(AND(P152='G-1 All Habitats'!$X$3,T152&gt;0),U152+V152,IF(AND(P152='G-1 All Habitats'!$X$3,S152&gt;0),U152+V152,IF(AND(P152='G-1 All Habitats'!$X$3,AC152&gt;0),"Any Loss Unacceptable ▲",IF(AND(P152='G-1 All Habitats'!$X$3,W152&gt;0),"Any Loss Unacceptable ▲",H152*J152*L152*O152))))),"Check Data ▲")</f>
        <v/>
      </c>
      <c r="R152" s="50"/>
      <c r="S152" s="71"/>
      <c r="T152" s="72"/>
      <c r="U152" s="511" t="str">
        <f t="shared" si="13"/>
        <v/>
      </c>
      <c r="V152" s="511" t="str">
        <f t="shared" si="14"/>
        <v/>
      </c>
      <c r="W152" s="511" t="str">
        <f>IF(E152="","",IF(H152&lt;S152+T152,"Error in Areas ▲",IF(P152&lt;&gt;'G-1 All Habitats'!$X$3,H152-S152-T152,IF(AND(P152='G-1 All Habitats'!$X$3,Y152="Yes"),"Unacceptable Loss",IF(AND(P152='G-1 All Habitats'!$X$3,Y152="No"),AC152,IF(AND(P152='G-1 All Habitats'!$X$3,Y152=""),AC152,IF(AND(P152='G-1 All Habitats'!$X$3,AC152="None",AC152),IF(AND(P152='G-1 All Habitats'!$X$3,AC152&gt;0),H152-S152-T152))))))))</f>
        <v/>
      </c>
      <c r="X152" s="515" t="str">
        <f>IFERROR(IF(H152="","",IF(H152-S152-T152=0&lt;0,"Error in Areas ▲",IF(S152+T152&gt;H152,"Error in Areas ▲",IF(AND(P152='G-1 All Habitats'!$X$3,Y152="Yes"),"Alternative Compensation ✓",IF(W152=0,0,IF(P152='G-1 All Habitats'!$X$3,"Unacceptable Loss ▲",Q152-U152-V152)))))),"Check Data ▲")</f>
        <v/>
      </c>
      <c r="Y152" s="72"/>
      <c r="Z152" s="80"/>
      <c r="AA152" s="81"/>
      <c r="AC152" s="75" t="str">
        <f>IF(P152="","",IF(P152='G-1 All Habitats'!$X$3,H152-S152-T152,"None"))</f>
        <v/>
      </c>
      <c r="AD152" s="76" t="str">
        <f>IFERROR(AC152*J152*L152*#REF!*O152,IF(P152="","","None"))</f>
        <v/>
      </c>
      <c r="AF152" s="54" t="str">
        <f t="shared" si="10"/>
        <v/>
      </c>
      <c r="AG152" s="54" t="str">
        <f t="shared" si="11"/>
        <v/>
      </c>
      <c r="AH152" s="54" t="str">
        <f>IF(I152="","",IF(#REF!&gt;0,TRUE,FALSE))</f>
        <v/>
      </c>
      <c r="AI152" s="54">
        <v>142</v>
      </c>
      <c r="AJ152" s="54"/>
      <c r="AK152" s="54" t="str">
        <f t="array" ref="AK152">IFERROR(INDEX($AI$11:$AI$259, MATCH(0, IF(TRUE=$AF$11:$AF$259, COUNTIF($AK$10:$AK151, $AI$11:$AI$259), ""), 0)),"")</f>
        <v/>
      </c>
      <c r="AL152" s="54" t="str">
        <f t="array" ref="AL152">IFERROR(INDEX($AI$11:$AI$259, MATCH(0, IF(TRUE=$AG$11:$AG$259, COUNTIF($AL$10:$AL151, $AI$11:$AI$259), ""), 0)),"")</f>
        <v/>
      </c>
      <c r="AM152" s="54" t="str">
        <f t="array" ref="AM152">IFERROR(INDEX($AI$11:$AI$259, MATCH(0, IF(TRUE=$AH$11:$AH$259, COUNTIF($AM$10:$AM151, $AI$11:$AI$259), ""), 0)),"")</f>
        <v/>
      </c>
      <c r="AN152" s="54"/>
      <c r="AQ152" s="47">
        <f t="shared" si="12"/>
        <v>0</v>
      </c>
    </row>
    <row r="153" spans="1:43" x14ac:dyDescent="0.25">
      <c r="A153" s="47" t="str">
        <f>IFERROR(INDEX('G-1 All Habitats'!$AG$3:$AG$15,MATCH(E153,'G-1 All Habitats'!$AF$3:$AF$15,0)),"")</f>
        <v/>
      </c>
      <c r="B153" s="47" t="str">
        <f>IFERROR(INDEX('G-8 Condition Look up'!$I$4:$I$130,MATCH(G153,'G-8 Condition Look up'!$A$4:$A$130,0)),"")</f>
        <v/>
      </c>
      <c r="D153" s="77">
        <v>143</v>
      </c>
      <c r="E153" s="78"/>
      <c r="F153" s="79"/>
      <c r="G153" s="69" t="str">
        <f>IFERROR(INDEX('G-1 All Habitats'!$B$3:$B$129,MATCH(F153,'G-1 All Habitats'!$A$3:$A$129,0)),"")</f>
        <v/>
      </c>
      <c r="H153" s="70"/>
      <c r="I153" s="498" t="str">
        <f>IF(G153="","",VLOOKUP(G153,'G-1 All Habitats'!$B$2:$M$129,10,FALSE))</f>
        <v/>
      </c>
      <c r="J153" s="499" t="str">
        <f>IFERROR(VLOOKUP(I153,'G-1 All Habitats'!$V$3:$W$7,2,FALSE),"")</f>
        <v/>
      </c>
      <c r="K153" s="71"/>
      <c r="L153" s="499" t="str">
        <f>IFERROR(INDEX('G-8 Condition Look up'!$A$3:$H$130,MATCH(G153,'G-8 Condition Look up'!$A$3:$A$130,0),MATCH(K153,'G-8 Condition Look up'!$A$3:$H$3,0)),"")</f>
        <v/>
      </c>
      <c r="M153" s="71"/>
      <c r="N153" s="520" t="str">
        <f>IF(M153="","",IF(VLOOKUP(M153,'G-3 Multipliers'!$L$3:$N$6,2,FALSE)=0,"Spatial Data Missing",VLOOKUP(M153,'G-3 Multipliers'!$L$3:$N$6,2,FALSE)))</f>
        <v/>
      </c>
      <c r="O153" s="505" t="str">
        <f>IF(M153="","",IF(VLOOKUP(M153,'G-3 Multipliers'!$L$3:$N$6,3,FALSE)=0,"Spatial Data Missing",VLOOKUP(M153,'G-3 Multipliers'!$L$3:$N$6,3,FALSE)))</f>
        <v/>
      </c>
      <c r="P153" s="506" t="str">
        <f>IFERROR(VLOOKUP(G153,'G-1 All Habitats'!$B$2:$M$129,12,FALSE),"")</f>
        <v/>
      </c>
      <c r="Q153" s="513" t="str">
        <f>IFERROR(IF(P153="","",IF(AND(P153='G-1 All Habitats'!$X$3,T153&gt;0),U153+V153,IF(AND(P153='G-1 All Habitats'!$X$3,S153&gt;0),U153+V153,IF(AND(P153='G-1 All Habitats'!$X$3,AC153&gt;0),"Any Loss Unacceptable ▲",IF(AND(P153='G-1 All Habitats'!$X$3,W153&gt;0),"Any Loss Unacceptable ▲",H153*J153*L153*O153))))),"Check Data ▲")</f>
        <v/>
      </c>
      <c r="R153" s="50"/>
      <c r="S153" s="71"/>
      <c r="T153" s="72"/>
      <c r="U153" s="511" t="str">
        <f t="shared" si="13"/>
        <v/>
      </c>
      <c r="V153" s="511" t="str">
        <f t="shared" si="14"/>
        <v/>
      </c>
      <c r="W153" s="511" t="str">
        <f>IF(E153="","",IF(H153&lt;S153+T153,"Error in Areas ▲",IF(P153&lt;&gt;'G-1 All Habitats'!$X$3,H153-S153-T153,IF(AND(P153='G-1 All Habitats'!$X$3,Y153="Yes"),"Unacceptable Loss",IF(AND(P153='G-1 All Habitats'!$X$3,Y153="No"),AC153,IF(AND(P153='G-1 All Habitats'!$X$3,Y153=""),AC153,IF(AND(P153='G-1 All Habitats'!$X$3,AC153="None",AC153),IF(AND(P153='G-1 All Habitats'!$X$3,AC153&gt;0),H153-S153-T153))))))))</f>
        <v/>
      </c>
      <c r="X153" s="515" t="str">
        <f>IFERROR(IF(H153="","",IF(H153-S153-T153=0&lt;0,"Error in Areas ▲",IF(S153+T153&gt;H153,"Error in Areas ▲",IF(AND(P153='G-1 All Habitats'!$X$3,Y153="Yes"),"Alternative Compensation ✓",IF(W153=0,0,IF(P153='G-1 All Habitats'!$X$3,"Unacceptable Loss ▲",Q153-U153-V153)))))),"Check Data ▲")</f>
        <v/>
      </c>
      <c r="Y153" s="72"/>
      <c r="Z153" s="80"/>
      <c r="AA153" s="81"/>
      <c r="AC153" s="75" t="str">
        <f>IF(P153="","",IF(P153='G-1 All Habitats'!$X$3,H153-S153-T153,"None"))</f>
        <v/>
      </c>
      <c r="AD153" s="76" t="str">
        <f>IFERROR(AC153*J153*L153*#REF!*O153,IF(P153="","","None"))</f>
        <v/>
      </c>
      <c r="AF153" s="54" t="str">
        <f t="shared" si="10"/>
        <v/>
      </c>
      <c r="AG153" s="54" t="str">
        <f t="shared" si="11"/>
        <v/>
      </c>
      <c r="AH153" s="54" t="str">
        <f>IF(I153="","",IF(#REF!&gt;0,TRUE,FALSE))</f>
        <v/>
      </c>
      <c r="AI153" s="54">
        <v>143</v>
      </c>
      <c r="AJ153" s="54"/>
      <c r="AK153" s="54" t="str">
        <f t="array" ref="AK153">IFERROR(INDEX($AI$11:$AI$259, MATCH(0, IF(TRUE=$AF$11:$AF$259, COUNTIF($AK$10:$AK152, $AI$11:$AI$259), ""), 0)),"")</f>
        <v/>
      </c>
      <c r="AL153" s="54" t="str">
        <f t="array" ref="AL153">IFERROR(INDEX($AI$11:$AI$259, MATCH(0, IF(TRUE=$AG$11:$AG$259, COUNTIF($AL$10:$AL152, $AI$11:$AI$259), ""), 0)),"")</f>
        <v/>
      </c>
      <c r="AM153" s="54" t="str">
        <f t="array" ref="AM153">IFERROR(INDEX($AI$11:$AI$259, MATCH(0, IF(TRUE=$AH$11:$AH$259, COUNTIF($AM$10:$AM152, $AI$11:$AI$259), ""), 0)),"")</f>
        <v/>
      </c>
      <c r="AN153" s="54"/>
      <c r="AQ153" s="47">
        <f t="shared" si="12"/>
        <v>0</v>
      </c>
    </row>
    <row r="154" spans="1:43" x14ac:dyDescent="0.25">
      <c r="A154" s="47" t="str">
        <f>IFERROR(INDEX('G-1 All Habitats'!$AG$3:$AG$15,MATCH(E154,'G-1 All Habitats'!$AF$3:$AF$15,0)),"")</f>
        <v/>
      </c>
      <c r="B154" s="47" t="str">
        <f>IFERROR(INDEX('G-8 Condition Look up'!$I$4:$I$130,MATCH(G154,'G-8 Condition Look up'!$A$4:$A$130,0)),"")</f>
        <v/>
      </c>
      <c r="D154" s="77">
        <v>144</v>
      </c>
      <c r="E154" s="78"/>
      <c r="F154" s="79"/>
      <c r="G154" s="69" t="str">
        <f>IFERROR(INDEX('G-1 All Habitats'!$B$3:$B$129,MATCH(F154,'G-1 All Habitats'!$A$3:$A$129,0)),"")</f>
        <v/>
      </c>
      <c r="H154" s="70"/>
      <c r="I154" s="498" t="str">
        <f>IF(G154="","",VLOOKUP(G154,'G-1 All Habitats'!$B$2:$M$129,10,FALSE))</f>
        <v/>
      </c>
      <c r="J154" s="499" t="str">
        <f>IFERROR(VLOOKUP(I154,'G-1 All Habitats'!$V$3:$W$7,2,FALSE),"")</f>
        <v/>
      </c>
      <c r="K154" s="71"/>
      <c r="L154" s="499" t="str">
        <f>IFERROR(INDEX('G-8 Condition Look up'!$A$3:$H$130,MATCH(G154,'G-8 Condition Look up'!$A$3:$A$130,0),MATCH(K154,'G-8 Condition Look up'!$A$3:$H$3,0)),"")</f>
        <v/>
      </c>
      <c r="M154" s="71"/>
      <c r="N154" s="520" t="str">
        <f>IF(M154="","",IF(VLOOKUP(M154,'G-3 Multipliers'!$L$3:$N$6,2,FALSE)=0,"Spatial Data Missing",VLOOKUP(M154,'G-3 Multipliers'!$L$3:$N$6,2,FALSE)))</f>
        <v/>
      </c>
      <c r="O154" s="505" t="str">
        <f>IF(M154="","",IF(VLOOKUP(M154,'G-3 Multipliers'!$L$3:$N$6,3,FALSE)=0,"Spatial Data Missing",VLOOKUP(M154,'G-3 Multipliers'!$L$3:$N$6,3,FALSE)))</f>
        <v/>
      </c>
      <c r="P154" s="506" t="str">
        <f>IFERROR(VLOOKUP(G154,'G-1 All Habitats'!$B$2:$M$129,12,FALSE),"")</f>
        <v/>
      </c>
      <c r="Q154" s="513" t="str">
        <f>IFERROR(IF(P154="","",IF(AND(P154='G-1 All Habitats'!$X$3,T154&gt;0),U154+V154,IF(AND(P154='G-1 All Habitats'!$X$3,S154&gt;0),U154+V154,IF(AND(P154='G-1 All Habitats'!$X$3,AC154&gt;0),"Any Loss Unacceptable ▲",IF(AND(P154='G-1 All Habitats'!$X$3,W154&gt;0),"Any Loss Unacceptable ▲",H154*J154*L154*O154))))),"Check Data ▲")</f>
        <v/>
      </c>
      <c r="R154" s="50"/>
      <c r="S154" s="71"/>
      <c r="T154" s="72"/>
      <c r="U154" s="511" t="str">
        <f t="shared" si="13"/>
        <v/>
      </c>
      <c r="V154" s="511" t="str">
        <f t="shared" si="14"/>
        <v/>
      </c>
      <c r="W154" s="511" t="str">
        <f>IF(E154="","",IF(H154&lt;S154+T154,"Error in Areas ▲",IF(P154&lt;&gt;'G-1 All Habitats'!$X$3,H154-S154-T154,IF(AND(P154='G-1 All Habitats'!$X$3,Y154="Yes"),"Unacceptable Loss",IF(AND(P154='G-1 All Habitats'!$X$3,Y154="No"),AC154,IF(AND(P154='G-1 All Habitats'!$X$3,Y154=""),AC154,IF(AND(P154='G-1 All Habitats'!$X$3,AC154="None",AC154),IF(AND(P154='G-1 All Habitats'!$X$3,AC154&gt;0),H154-S154-T154))))))))</f>
        <v/>
      </c>
      <c r="X154" s="515" t="str">
        <f>IFERROR(IF(H154="","",IF(H154-S154-T154=0&lt;0,"Error in Areas ▲",IF(S154+T154&gt;H154,"Error in Areas ▲",IF(AND(P154='G-1 All Habitats'!$X$3,Y154="Yes"),"Alternative Compensation ✓",IF(W154=0,0,IF(P154='G-1 All Habitats'!$X$3,"Unacceptable Loss ▲",Q154-U154-V154)))))),"Check Data ▲")</f>
        <v/>
      </c>
      <c r="Y154" s="72"/>
      <c r="Z154" s="80"/>
      <c r="AA154" s="81"/>
      <c r="AC154" s="75" t="str">
        <f>IF(P154="","",IF(P154='G-1 All Habitats'!$X$3,H154-S154-T154,"None"))</f>
        <v/>
      </c>
      <c r="AD154" s="76" t="str">
        <f>IFERROR(AC154*J154*L154*#REF!*O154,IF(P154="","","None"))</f>
        <v/>
      </c>
      <c r="AF154" s="54" t="str">
        <f t="shared" si="10"/>
        <v/>
      </c>
      <c r="AG154" s="54" t="str">
        <f t="shared" si="11"/>
        <v/>
      </c>
      <c r="AH154" s="54" t="str">
        <f>IF(I154="","",IF(#REF!&gt;0,TRUE,FALSE))</f>
        <v/>
      </c>
      <c r="AI154" s="54">
        <v>144</v>
      </c>
      <c r="AJ154" s="54"/>
      <c r="AK154" s="54" t="str">
        <f t="array" ref="AK154">IFERROR(INDEX($AI$11:$AI$259, MATCH(0, IF(TRUE=$AF$11:$AF$259, COUNTIF($AK$10:$AK153, $AI$11:$AI$259), ""), 0)),"")</f>
        <v/>
      </c>
      <c r="AL154" s="54" t="str">
        <f t="array" ref="AL154">IFERROR(INDEX($AI$11:$AI$259, MATCH(0, IF(TRUE=$AG$11:$AG$259, COUNTIF($AL$10:$AL153, $AI$11:$AI$259), ""), 0)),"")</f>
        <v/>
      </c>
      <c r="AM154" s="54" t="str">
        <f t="array" ref="AM154">IFERROR(INDEX($AI$11:$AI$259, MATCH(0, IF(TRUE=$AH$11:$AH$259, COUNTIF($AM$10:$AM153, $AI$11:$AI$259), ""), 0)),"")</f>
        <v/>
      </c>
      <c r="AN154" s="54"/>
      <c r="AQ154" s="47">
        <f t="shared" si="12"/>
        <v>0</v>
      </c>
    </row>
    <row r="155" spans="1:43" x14ac:dyDescent="0.25">
      <c r="A155" s="47" t="str">
        <f>IFERROR(INDEX('G-1 All Habitats'!$AG$3:$AG$15,MATCH(E155,'G-1 All Habitats'!$AF$3:$AF$15,0)),"")</f>
        <v/>
      </c>
      <c r="B155" s="47" t="str">
        <f>IFERROR(INDEX('G-8 Condition Look up'!$I$4:$I$130,MATCH(G155,'G-8 Condition Look up'!$A$4:$A$130,0)),"")</f>
        <v/>
      </c>
      <c r="D155" s="77">
        <v>145</v>
      </c>
      <c r="E155" s="78"/>
      <c r="F155" s="79"/>
      <c r="G155" s="69" t="str">
        <f>IFERROR(INDEX('G-1 All Habitats'!$B$3:$B$129,MATCH(F155,'G-1 All Habitats'!$A$3:$A$129,0)),"")</f>
        <v/>
      </c>
      <c r="H155" s="70"/>
      <c r="I155" s="498" t="str">
        <f>IF(G155="","",VLOOKUP(G155,'G-1 All Habitats'!$B$2:$M$129,10,FALSE))</f>
        <v/>
      </c>
      <c r="J155" s="499" t="str">
        <f>IFERROR(VLOOKUP(I155,'G-1 All Habitats'!$V$3:$W$7,2,FALSE),"")</f>
        <v/>
      </c>
      <c r="K155" s="71"/>
      <c r="L155" s="499" t="str">
        <f>IFERROR(INDEX('G-8 Condition Look up'!$A$3:$H$130,MATCH(G155,'G-8 Condition Look up'!$A$3:$A$130,0),MATCH(K155,'G-8 Condition Look up'!$A$3:$H$3,0)),"")</f>
        <v/>
      </c>
      <c r="M155" s="71"/>
      <c r="N155" s="520" t="str">
        <f>IF(M155="","",IF(VLOOKUP(M155,'G-3 Multipliers'!$L$3:$N$6,2,FALSE)=0,"Spatial Data Missing",VLOOKUP(M155,'G-3 Multipliers'!$L$3:$N$6,2,FALSE)))</f>
        <v/>
      </c>
      <c r="O155" s="505" t="str">
        <f>IF(M155="","",IF(VLOOKUP(M155,'G-3 Multipliers'!$L$3:$N$6,3,FALSE)=0,"Spatial Data Missing",VLOOKUP(M155,'G-3 Multipliers'!$L$3:$N$6,3,FALSE)))</f>
        <v/>
      </c>
      <c r="P155" s="506" t="str">
        <f>IFERROR(VLOOKUP(G155,'G-1 All Habitats'!$B$2:$M$129,12,FALSE),"")</f>
        <v/>
      </c>
      <c r="Q155" s="513" t="str">
        <f>IFERROR(IF(P155="","",IF(AND(P155='G-1 All Habitats'!$X$3,T155&gt;0),U155+V155,IF(AND(P155='G-1 All Habitats'!$X$3,S155&gt;0),U155+V155,IF(AND(P155='G-1 All Habitats'!$X$3,AC155&gt;0),"Any Loss Unacceptable ▲",IF(AND(P155='G-1 All Habitats'!$X$3,W155&gt;0),"Any Loss Unacceptable ▲",H155*J155*L155*O155))))),"Check Data ▲")</f>
        <v/>
      </c>
      <c r="R155" s="50"/>
      <c r="S155" s="71"/>
      <c r="T155" s="72"/>
      <c r="U155" s="511" t="str">
        <f t="shared" si="13"/>
        <v/>
      </c>
      <c r="V155" s="511" t="str">
        <f t="shared" si="14"/>
        <v/>
      </c>
      <c r="W155" s="511" t="str">
        <f>IF(E155="","",IF(H155&lt;S155+T155,"Error in Areas ▲",IF(P155&lt;&gt;'G-1 All Habitats'!$X$3,H155-S155-T155,IF(AND(P155='G-1 All Habitats'!$X$3,Y155="Yes"),"Unacceptable Loss",IF(AND(P155='G-1 All Habitats'!$X$3,Y155="No"),AC155,IF(AND(P155='G-1 All Habitats'!$X$3,Y155=""),AC155,IF(AND(P155='G-1 All Habitats'!$X$3,AC155="None",AC155),IF(AND(P155='G-1 All Habitats'!$X$3,AC155&gt;0),H155-S155-T155))))))))</f>
        <v/>
      </c>
      <c r="X155" s="515" t="str">
        <f>IFERROR(IF(H155="","",IF(H155-S155-T155=0&lt;0,"Error in Areas ▲",IF(S155+T155&gt;H155,"Error in Areas ▲",IF(AND(P155='G-1 All Habitats'!$X$3,Y155="Yes"),"Alternative Compensation ✓",IF(W155=0,0,IF(P155='G-1 All Habitats'!$X$3,"Unacceptable Loss ▲",Q155-U155-V155)))))),"Check Data ▲")</f>
        <v/>
      </c>
      <c r="Y155" s="72"/>
      <c r="Z155" s="80"/>
      <c r="AA155" s="81"/>
      <c r="AC155" s="75" t="str">
        <f>IF(P155="","",IF(P155='G-1 All Habitats'!$X$3,H155-S155-T155,"None"))</f>
        <v/>
      </c>
      <c r="AD155" s="76" t="str">
        <f>IFERROR(AC155*J155*L155*#REF!*O155,IF(P155="","","None"))</f>
        <v/>
      </c>
      <c r="AF155" s="54" t="str">
        <f t="shared" si="10"/>
        <v/>
      </c>
      <c r="AG155" s="54" t="str">
        <f t="shared" si="11"/>
        <v/>
      </c>
      <c r="AH155" s="54" t="str">
        <f>IF(I155="","",IF(#REF!&gt;0,TRUE,FALSE))</f>
        <v/>
      </c>
      <c r="AI155" s="54">
        <v>145</v>
      </c>
      <c r="AJ155" s="54"/>
      <c r="AK155" s="54" t="str">
        <f t="array" ref="AK155">IFERROR(INDEX($AI$11:$AI$259, MATCH(0, IF(TRUE=$AF$11:$AF$259, COUNTIF($AK$10:$AK154, $AI$11:$AI$259), ""), 0)),"")</f>
        <v/>
      </c>
      <c r="AL155" s="54" t="str">
        <f t="array" ref="AL155">IFERROR(INDEX($AI$11:$AI$259, MATCH(0, IF(TRUE=$AG$11:$AG$259, COUNTIF($AL$10:$AL154, $AI$11:$AI$259), ""), 0)),"")</f>
        <v/>
      </c>
      <c r="AM155" s="54" t="str">
        <f t="array" ref="AM155">IFERROR(INDEX($AI$11:$AI$259, MATCH(0, IF(TRUE=$AH$11:$AH$259, COUNTIF($AM$10:$AM154, $AI$11:$AI$259), ""), 0)),"")</f>
        <v/>
      </c>
      <c r="AN155" s="54"/>
      <c r="AQ155" s="47">
        <f t="shared" si="12"/>
        <v>0</v>
      </c>
    </row>
    <row r="156" spans="1:43" x14ac:dyDescent="0.25">
      <c r="A156" s="47" t="str">
        <f>IFERROR(INDEX('G-1 All Habitats'!$AG$3:$AG$15,MATCH(E156,'G-1 All Habitats'!$AF$3:$AF$15,0)),"")</f>
        <v/>
      </c>
      <c r="B156" s="47" t="str">
        <f>IFERROR(INDEX('G-8 Condition Look up'!$I$4:$I$130,MATCH(G156,'G-8 Condition Look up'!$A$4:$A$130,0)),"")</f>
        <v/>
      </c>
      <c r="D156" s="77">
        <v>146</v>
      </c>
      <c r="E156" s="78"/>
      <c r="F156" s="79"/>
      <c r="G156" s="69" t="str">
        <f>IFERROR(INDEX('G-1 All Habitats'!$B$3:$B$129,MATCH(F156,'G-1 All Habitats'!$A$3:$A$129,0)),"")</f>
        <v/>
      </c>
      <c r="H156" s="70"/>
      <c r="I156" s="498" t="str">
        <f>IF(G156="","",VLOOKUP(G156,'G-1 All Habitats'!$B$2:$M$129,10,FALSE))</f>
        <v/>
      </c>
      <c r="J156" s="499" t="str">
        <f>IFERROR(VLOOKUP(I156,'G-1 All Habitats'!$V$3:$W$7,2,FALSE),"")</f>
        <v/>
      </c>
      <c r="K156" s="71"/>
      <c r="L156" s="499" t="str">
        <f>IFERROR(INDEX('G-8 Condition Look up'!$A$3:$H$130,MATCH(G156,'G-8 Condition Look up'!$A$3:$A$130,0),MATCH(K156,'G-8 Condition Look up'!$A$3:$H$3,0)),"")</f>
        <v/>
      </c>
      <c r="M156" s="71"/>
      <c r="N156" s="520" t="str">
        <f>IF(M156="","",IF(VLOOKUP(M156,'G-3 Multipliers'!$L$3:$N$6,2,FALSE)=0,"Spatial Data Missing",VLOOKUP(M156,'G-3 Multipliers'!$L$3:$N$6,2,FALSE)))</f>
        <v/>
      </c>
      <c r="O156" s="505" t="str">
        <f>IF(M156="","",IF(VLOOKUP(M156,'G-3 Multipliers'!$L$3:$N$6,3,FALSE)=0,"Spatial Data Missing",VLOOKUP(M156,'G-3 Multipliers'!$L$3:$N$6,3,FALSE)))</f>
        <v/>
      </c>
      <c r="P156" s="506" t="str">
        <f>IFERROR(VLOOKUP(G156,'G-1 All Habitats'!$B$2:$M$129,12,FALSE),"")</f>
        <v/>
      </c>
      <c r="Q156" s="513" t="str">
        <f>IFERROR(IF(P156="","",IF(AND(P156='G-1 All Habitats'!$X$3,T156&gt;0),U156+V156,IF(AND(P156='G-1 All Habitats'!$X$3,S156&gt;0),U156+V156,IF(AND(P156='G-1 All Habitats'!$X$3,AC156&gt;0),"Any Loss Unacceptable ▲",IF(AND(P156='G-1 All Habitats'!$X$3,W156&gt;0),"Any Loss Unacceptable ▲",H156*J156*L156*O156))))),"Check Data ▲")</f>
        <v/>
      </c>
      <c r="R156" s="50"/>
      <c r="S156" s="71"/>
      <c r="T156" s="72"/>
      <c r="U156" s="511" t="str">
        <f t="shared" si="13"/>
        <v/>
      </c>
      <c r="V156" s="511" t="str">
        <f t="shared" si="14"/>
        <v/>
      </c>
      <c r="W156" s="511" t="str">
        <f>IF(E156="","",IF(H156&lt;S156+T156,"Error in Areas ▲",IF(P156&lt;&gt;'G-1 All Habitats'!$X$3,H156-S156-T156,IF(AND(P156='G-1 All Habitats'!$X$3,Y156="Yes"),"Unacceptable Loss",IF(AND(P156='G-1 All Habitats'!$X$3,Y156="No"),AC156,IF(AND(P156='G-1 All Habitats'!$X$3,Y156=""),AC156,IF(AND(P156='G-1 All Habitats'!$X$3,AC156="None",AC156),IF(AND(P156='G-1 All Habitats'!$X$3,AC156&gt;0),H156-S156-T156))))))))</f>
        <v/>
      </c>
      <c r="X156" s="515" t="str">
        <f>IFERROR(IF(H156="","",IF(H156-S156-T156=0&lt;0,"Error in Areas ▲",IF(S156+T156&gt;H156,"Error in Areas ▲",IF(AND(P156='G-1 All Habitats'!$X$3,Y156="Yes"),"Alternative Compensation ✓",IF(W156=0,0,IF(P156='G-1 All Habitats'!$X$3,"Unacceptable Loss ▲",Q156-U156-V156)))))),"Check Data ▲")</f>
        <v/>
      </c>
      <c r="Y156" s="72"/>
      <c r="Z156" s="80"/>
      <c r="AA156" s="81"/>
      <c r="AC156" s="75" t="str">
        <f>IF(P156="","",IF(P156='G-1 All Habitats'!$X$3,H156-S156-T156,"None"))</f>
        <v/>
      </c>
      <c r="AD156" s="76" t="str">
        <f>IFERROR(AC156*J156*L156*#REF!*O156,IF(P156="","","None"))</f>
        <v/>
      </c>
      <c r="AF156" s="54" t="str">
        <f t="shared" si="10"/>
        <v/>
      </c>
      <c r="AG156" s="54" t="str">
        <f t="shared" si="11"/>
        <v/>
      </c>
      <c r="AH156" s="54" t="str">
        <f>IF(I156="","",IF(#REF!&gt;0,TRUE,FALSE))</f>
        <v/>
      </c>
      <c r="AI156" s="54">
        <v>146</v>
      </c>
      <c r="AJ156" s="54"/>
      <c r="AK156" s="54" t="str">
        <f t="array" ref="AK156">IFERROR(INDEX($AI$11:$AI$259, MATCH(0, IF(TRUE=$AF$11:$AF$259, COUNTIF($AK$10:$AK155, $AI$11:$AI$259), ""), 0)),"")</f>
        <v/>
      </c>
      <c r="AL156" s="54" t="str">
        <f t="array" ref="AL156">IFERROR(INDEX($AI$11:$AI$259, MATCH(0, IF(TRUE=$AG$11:$AG$259, COUNTIF($AL$10:$AL155, $AI$11:$AI$259), ""), 0)),"")</f>
        <v/>
      </c>
      <c r="AM156" s="54" t="str">
        <f t="array" ref="AM156">IFERROR(INDEX($AI$11:$AI$259, MATCH(0, IF(TRUE=$AH$11:$AH$259, COUNTIF($AM$10:$AM155, $AI$11:$AI$259), ""), 0)),"")</f>
        <v/>
      </c>
      <c r="AN156" s="54"/>
      <c r="AQ156" s="47">
        <f t="shared" si="12"/>
        <v>0</v>
      </c>
    </row>
    <row r="157" spans="1:43" x14ac:dyDescent="0.25">
      <c r="A157" s="47" t="str">
        <f>IFERROR(INDEX('G-1 All Habitats'!$AG$3:$AG$15,MATCH(E157,'G-1 All Habitats'!$AF$3:$AF$15,0)),"")</f>
        <v/>
      </c>
      <c r="B157" s="47" t="str">
        <f>IFERROR(INDEX('G-8 Condition Look up'!$I$4:$I$130,MATCH(G157,'G-8 Condition Look up'!$A$4:$A$130,0)),"")</f>
        <v/>
      </c>
      <c r="D157" s="77">
        <v>147</v>
      </c>
      <c r="E157" s="78"/>
      <c r="F157" s="79"/>
      <c r="G157" s="69" t="str">
        <f>IFERROR(INDEX('G-1 All Habitats'!$B$3:$B$129,MATCH(F157,'G-1 All Habitats'!$A$3:$A$129,0)),"")</f>
        <v/>
      </c>
      <c r="H157" s="70"/>
      <c r="I157" s="498" t="str">
        <f>IF(G157="","",VLOOKUP(G157,'G-1 All Habitats'!$B$2:$M$129,10,FALSE))</f>
        <v/>
      </c>
      <c r="J157" s="499" t="str">
        <f>IFERROR(VLOOKUP(I157,'G-1 All Habitats'!$V$3:$W$7,2,FALSE),"")</f>
        <v/>
      </c>
      <c r="K157" s="71"/>
      <c r="L157" s="499" t="str">
        <f>IFERROR(INDEX('G-8 Condition Look up'!$A$3:$H$130,MATCH(G157,'G-8 Condition Look up'!$A$3:$A$130,0),MATCH(K157,'G-8 Condition Look up'!$A$3:$H$3,0)),"")</f>
        <v/>
      </c>
      <c r="M157" s="71"/>
      <c r="N157" s="520" t="str">
        <f>IF(M157="","",IF(VLOOKUP(M157,'G-3 Multipliers'!$L$3:$N$6,2,FALSE)=0,"Spatial Data Missing",VLOOKUP(M157,'G-3 Multipliers'!$L$3:$N$6,2,FALSE)))</f>
        <v/>
      </c>
      <c r="O157" s="505" t="str">
        <f>IF(M157="","",IF(VLOOKUP(M157,'G-3 Multipliers'!$L$3:$N$6,3,FALSE)=0,"Spatial Data Missing",VLOOKUP(M157,'G-3 Multipliers'!$L$3:$N$6,3,FALSE)))</f>
        <v/>
      </c>
      <c r="P157" s="506" t="str">
        <f>IFERROR(VLOOKUP(G157,'G-1 All Habitats'!$B$2:$M$129,12,FALSE),"")</f>
        <v/>
      </c>
      <c r="Q157" s="513" t="str">
        <f>IFERROR(IF(P157="","",IF(AND(P157='G-1 All Habitats'!$X$3,T157&gt;0),U157+V157,IF(AND(P157='G-1 All Habitats'!$X$3,S157&gt;0),U157+V157,IF(AND(P157='G-1 All Habitats'!$X$3,AC157&gt;0),"Any Loss Unacceptable ▲",IF(AND(P157='G-1 All Habitats'!$X$3,W157&gt;0),"Any Loss Unacceptable ▲",H157*J157*L157*O157))))),"Check Data ▲")</f>
        <v/>
      </c>
      <c r="R157" s="50"/>
      <c r="S157" s="71"/>
      <c r="T157" s="72"/>
      <c r="U157" s="511" t="str">
        <f t="shared" si="13"/>
        <v/>
      </c>
      <c r="V157" s="511" t="str">
        <f t="shared" si="14"/>
        <v/>
      </c>
      <c r="W157" s="511" t="str">
        <f>IF(E157="","",IF(H157&lt;S157+T157,"Error in Areas ▲",IF(P157&lt;&gt;'G-1 All Habitats'!$X$3,H157-S157-T157,IF(AND(P157='G-1 All Habitats'!$X$3,Y157="Yes"),"Unacceptable Loss",IF(AND(P157='G-1 All Habitats'!$X$3,Y157="No"),AC157,IF(AND(P157='G-1 All Habitats'!$X$3,Y157=""),AC157,IF(AND(P157='G-1 All Habitats'!$X$3,AC157="None",AC157),IF(AND(P157='G-1 All Habitats'!$X$3,AC157&gt;0),H157-S157-T157))))))))</f>
        <v/>
      </c>
      <c r="X157" s="515" t="str">
        <f>IFERROR(IF(H157="","",IF(H157-S157-T157=0&lt;0,"Error in Areas ▲",IF(S157+T157&gt;H157,"Error in Areas ▲",IF(AND(P157='G-1 All Habitats'!$X$3,Y157="Yes"),"Alternative Compensation ✓",IF(W157=0,0,IF(P157='G-1 All Habitats'!$X$3,"Unacceptable Loss ▲",Q157-U157-V157)))))),"Check Data ▲")</f>
        <v/>
      </c>
      <c r="Y157" s="72"/>
      <c r="Z157" s="80"/>
      <c r="AA157" s="81"/>
      <c r="AC157" s="75" t="str">
        <f>IF(P157="","",IF(P157='G-1 All Habitats'!$X$3,H157-S157-T157,"None"))</f>
        <v/>
      </c>
      <c r="AD157" s="76" t="str">
        <f>IFERROR(AC157*J157*L157*#REF!*O157,IF(P157="","","None"))</f>
        <v/>
      </c>
      <c r="AF157" s="54" t="str">
        <f t="shared" si="10"/>
        <v/>
      </c>
      <c r="AG157" s="54" t="str">
        <f t="shared" si="11"/>
        <v/>
      </c>
      <c r="AH157" s="54" t="str">
        <f>IF(I157="","",IF(#REF!&gt;0,TRUE,FALSE))</f>
        <v/>
      </c>
      <c r="AI157" s="54">
        <v>147</v>
      </c>
      <c r="AJ157" s="54"/>
      <c r="AK157" s="54" t="str">
        <f t="array" ref="AK157">IFERROR(INDEX($AI$11:$AI$259, MATCH(0, IF(TRUE=$AF$11:$AF$259, COUNTIF($AK$10:$AK156, $AI$11:$AI$259), ""), 0)),"")</f>
        <v/>
      </c>
      <c r="AL157" s="54" t="str">
        <f t="array" ref="AL157">IFERROR(INDEX($AI$11:$AI$259, MATCH(0, IF(TRUE=$AG$11:$AG$259, COUNTIF($AL$10:$AL156, $AI$11:$AI$259), ""), 0)),"")</f>
        <v/>
      </c>
      <c r="AM157" s="54" t="str">
        <f t="array" ref="AM157">IFERROR(INDEX($AI$11:$AI$259, MATCH(0, IF(TRUE=$AH$11:$AH$259, COUNTIF($AM$10:$AM156, $AI$11:$AI$259), ""), 0)),"")</f>
        <v/>
      </c>
      <c r="AN157" s="54"/>
      <c r="AQ157" s="47">
        <f t="shared" si="12"/>
        <v>0</v>
      </c>
    </row>
    <row r="158" spans="1:43" x14ac:dyDescent="0.25">
      <c r="A158" s="47" t="str">
        <f>IFERROR(INDEX('G-1 All Habitats'!$AG$3:$AG$15,MATCH(E158,'G-1 All Habitats'!$AF$3:$AF$15,0)),"")</f>
        <v/>
      </c>
      <c r="B158" s="47" t="str">
        <f>IFERROR(INDEX('G-8 Condition Look up'!$I$4:$I$130,MATCH(G158,'G-8 Condition Look up'!$A$4:$A$130,0)),"")</f>
        <v/>
      </c>
      <c r="D158" s="77">
        <v>148</v>
      </c>
      <c r="E158" s="78"/>
      <c r="F158" s="79"/>
      <c r="G158" s="69" t="str">
        <f>IFERROR(INDEX('G-1 All Habitats'!$B$3:$B$129,MATCH(F158,'G-1 All Habitats'!$A$3:$A$129,0)),"")</f>
        <v/>
      </c>
      <c r="H158" s="70"/>
      <c r="I158" s="498" t="str">
        <f>IF(G158="","",VLOOKUP(G158,'G-1 All Habitats'!$B$2:$M$129,10,FALSE))</f>
        <v/>
      </c>
      <c r="J158" s="499" t="str">
        <f>IFERROR(VLOOKUP(I158,'G-1 All Habitats'!$V$3:$W$7,2,FALSE),"")</f>
        <v/>
      </c>
      <c r="K158" s="71"/>
      <c r="L158" s="499" t="str">
        <f>IFERROR(INDEX('G-8 Condition Look up'!$A$3:$H$130,MATCH(G158,'G-8 Condition Look up'!$A$3:$A$130,0),MATCH(K158,'G-8 Condition Look up'!$A$3:$H$3,0)),"")</f>
        <v/>
      </c>
      <c r="M158" s="71"/>
      <c r="N158" s="520" t="str">
        <f>IF(M158="","",IF(VLOOKUP(M158,'G-3 Multipliers'!$L$3:$N$6,2,FALSE)=0,"Spatial Data Missing",VLOOKUP(M158,'G-3 Multipliers'!$L$3:$N$6,2,FALSE)))</f>
        <v/>
      </c>
      <c r="O158" s="505" t="str">
        <f>IF(M158="","",IF(VLOOKUP(M158,'G-3 Multipliers'!$L$3:$N$6,3,FALSE)=0,"Spatial Data Missing",VLOOKUP(M158,'G-3 Multipliers'!$L$3:$N$6,3,FALSE)))</f>
        <v/>
      </c>
      <c r="P158" s="506" t="str">
        <f>IFERROR(VLOOKUP(G158,'G-1 All Habitats'!$B$2:$M$129,12,FALSE),"")</f>
        <v/>
      </c>
      <c r="Q158" s="513" t="str">
        <f>IFERROR(IF(P158="","",IF(AND(P158='G-1 All Habitats'!$X$3,T158&gt;0),U158+V158,IF(AND(P158='G-1 All Habitats'!$X$3,S158&gt;0),U158+V158,IF(AND(P158='G-1 All Habitats'!$X$3,AC158&gt;0),"Any Loss Unacceptable ▲",IF(AND(P158='G-1 All Habitats'!$X$3,W158&gt;0),"Any Loss Unacceptable ▲",H158*J158*L158*O158))))),"Check Data ▲")</f>
        <v/>
      </c>
      <c r="R158" s="50"/>
      <c r="S158" s="71"/>
      <c r="T158" s="72"/>
      <c r="U158" s="511" t="str">
        <f t="shared" si="13"/>
        <v/>
      </c>
      <c r="V158" s="511" t="str">
        <f t="shared" si="14"/>
        <v/>
      </c>
      <c r="W158" s="511" t="str">
        <f>IF(E158="","",IF(H158&lt;S158+T158,"Error in Areas ▲",IF(P158&lt;&gt;'G-1 All Habitats'!$X$3,H158-S158-T158,IF(AND(P158='G-1 All Habitats'!$X$3,Y158="Yes"),"Unacceptable Loss",IF(AND(P158='G-1 All Habitats'!$X$3,Y158="No"),AC158,IF(AND(P158='G-1 All Habitats'!$X$3,Y158=""),AC158,IF(AND(P158='G-1 All Habitats'!$X$3,AC158="None",AC158),IF(AND(P158='G-1 All Habitats'!$X$3,AC158&gt;0),H158-S158-T158))))))))</f>
        <v/>
      </c>
      <c r="X158" s="515" t="str">
        <f>IFERROR(IF(H158="","",IF(H158-S158-T158=0&lt;0,"Error in Areas ▲",IF(S158+T158&gt;H158,"Error in Areas ▲",IF(AND(P158='G-1 All Habitats'!$X$3,Y158="Yes"),"Alternative Compensation ✓",IF(W158=0,0,IF(P158='G-1 All Habitats'!$X$3,"Unacceptable Loss ▲",Q158-U158-V158)))))),"Check Data ▲")</f>
        <v/>
      </c>
      <c r="Y158" s="72"/>
      <c r="Z158" s="80"/>
      <c r="AA158" s="81"/>
      <c r="AC158" s="75" t="str">
        <f>IF(P158="","",IF(P158='G-1 All Habitats'!$X$3,H158-S158-T158,"None"))</f>
        <v/>
      </c>
      <c r="AD158" s="76" t="str">
        <f>IFERROR(AC158*J158*L158*#REF!*O158,IF(P158="","","None"))</f>
        <v/>
      </c>
      <c r="AF158" s="54" t="str">
        <f t="shared" si="10"/>
        <v/>
      </c>
      <c r="AG158" s="54" t="str">
        <f t="shared" si="11"/>
        <v/>
      </c>
      <c r="AH158" s="54" t="str">
        <f>IF(I158="","",IF(#REF!&gt;0,TRUE,FALSE))</f>
        <v/>
      </c>
      <c r="AI158" s="54">
        <v>148</v>
      </c>
      <c r="AJ158" s="54"/>
      <c r="AK158" s="54" t="str">
        <f t="array" ref="AK158">IFERROR(INDEX($AI$11:$AI$259, MATCH(0, IF(TRUE=$AF$11:$AF$259, COUNTIF($AK$10:$AK157, $AI$11:$AI$259), ""), 0)),"")</f>
        <v/>
      </c>
      <c r="AL158" s="54" t="str">
        <f t="array" ref="AL158">IFERROR(INDEX($AI$11:$AI$259, MATCH(0, IF(TRUE=$AG$11:$AG$259, COUNTIF($AL$10:$AL157, $AI$11:$AI$259), ""), 0)),"")</f>
        <v/>
      </c>
      <c r="AM158" s="54" t="str">
        <f t="array" ref="AM158">IFERROR(INDEX($AI$11:$AI$259, MATCH(0, IF(TRUE=$AH$11:$AH$259, COUNTIF($AM$10:$AM157, $AI$11:$AI$259), ""), 0)),"")</f>
        <v/>
      </c>
      <c r="AN158" s="54"/>
      <c r="AQ158" s="47">
        <f t="shared" si="12"/>
        <v>0</v>
      </c>
    </row>
    <row r="159" spans="1:43" x14ac:dyDescent="0.25">
      <c r="A159" s="47" t="str">
        <f>IFERROR(INDEX('G-1 All Habitats'!$AG$3:$AG$15,MATCH(E159,'G-1 All Habitats'!$AF$3:$AF$15,0)),"")</f>
        <v/>
      </c>
      <c r="B159" s="47" t="str">
        <f>IFERROR(INDEX('G-8 Condition Look up'!$I$4:$I$130,MATCH(G159,'G-8 Condition Look up'!$A$4:$A$130,0)),"")</f>
        <v/>
      </c>
      <c r="D159" s="77">
        <v>149</v>
      </c>
      <c r="E159" s="78"/>
      <c r="F159" s="79"/>
      <c r="G159" s="69" t="str">
        <f>IFERROR(INDEX('G-1 All Habitats'!$B$3:$B$129,MATCH(F159,'G-1 All Habitats'!$A$3:$A$129,0)),"")</f>
        <v/>
      </c>
      <c r="H159" s="70"/>
      <c r="I159" s="498" t="str">
        <f>IF(G159="","",VLOOKUP(G159,'G-1 All Habitats'!$B$2:$M$129,10,FALSE))</f>
        <v/>
      </c>
      <c r="J159" s="499" t="str">
        <f>IFERROR(VLOOKUP(I159,'G-1 All Habitats'!$V$3:$W$7,2,FALSE),"")</f>
        <v/>
      </c>
      <c r="K159" s="71"/>
      <c r="L159" s="499" t="str">
        <f>IFERROR(INDEX('G-8 Condition Look up'!$A$3:$H$130,MATCH(G159,'G-8 Condition Look up'!$A$3:$A$130,0),MATCH(K159,'G-8 Condition Look up'!$A$3:$H$3,0)),"")</f>
        <v/>
      </c>
      <c r="M159" s="71"/>
      <c r="N159" s="520" t="str">
        <f>IF(M159="","",IF(VLOOKUP(M159,'G-3 Multipliers'!$L$3:$N$6,2,FALSE)=0,"Spatial Data Missing",VLOOKUP(M159,'G-3 Multipliers'!$L$3:$N$6,2,FALSE)))</f>
        <v/>
      </c>
      <c r="O159" s="505" t="str">
        <f>IF(M159="","",IF(VLOOKUP(M159,'G-3 Multipliers'!$L$3:$N$6,3,FALSE)=0,"Spatial Data Missing",VLOOKUP(M159,'G-3 Multipliers'!$L$3:$N$6,3,FALSE)))</f>
        <v/>
      </c>
      <c r="P159" s="506" t="str">
        <f>IFERROR(VLOOKUP(G159,'G-1 All Habitats'!$B$2:$M$129,12,FALSE),"")</f>
        <v/>
      </c>
      <c r="Q159" s="513" t="str">
        <f>IFERROR(IF(P159="","",IF(AND(P159='G-1 All Habitats'!$X$3,T159&gt;0),U159+V159,IF(AND(P159='G-1 All Habitats'!$X$3,S159&gt;0),U159+V159,IF(AND(P159='G-1 All Habitats'!$X$3,AC159&gt;0),"Any Loss Unacceptable ▲",IF(AND(P159='G-1 All Habitats'!$X$3,W159&gt;0),"Any Loss Unacceptable ▲",H159*J159*L159*O159))))),"Check Data ▲")</f>
        <v/>
      </c>
      <c r="R159" s="50"/>
      <c r="S159" s="71"/>
      <c r="T159" s="72"/>
      <c r="U159" s="511" t="str">
        <f t="shared" si="13"/>
        <v/>
      </c>
      <c r="V159" s="511" t="str">
        <f t="shared" si="14"/>
        <v/>
      </c>
      <c r="W159" s="511" t="str">
        <f>IF(E159="","",IF(H159&lt;S159+T159,"Error in Areas ▲",IF(P159&lt;&gt;'G-1 All Habitats'!$X$3,H159-S159-T159,IF(AND(P159='G-1 All Habitats'!$X$3,Y159="Yes"),"Unacceptable Loss",IF(AND(P159='G-1 All Habitats'!$X$3,Y159="No"),AC159,IF(AND(P159='G-1 All Habitats'!$X$3,Y159=""),AC159,IF(AND(P159='G-1 All Habitats'!$X$3,AC159="None",AC159),IF(AND(P159='G-1 All Habitats'!$X$3,AC159&gt;0),H159-S159-T159))))))))</f>
        <v/>
      </c>
      <c r="X159" s="515" t="str">
        <f>IFERROR(IF(H159="","",IF(H159-S159-T159=0&lt;0,"Error in Areas ▲",IF(S159+T159&gt;H159,"Error in Areas ▲",IF(AND(P159='G-1 All Habitats'!$X$3,Y159="Yes"),"Alternative Compensation ✓",IF(W159=0,0,IF(P159='G-1 All Habitats'!$X$3,"Unacceptable Loss ▲",Q159-U159-V159)))))),"Check Data ▲")</f>
        <v/>
      </c>
      <c r="Y159" s="72"/>
      <c r="Z159" s="80"/>
      <c r="AA159" s="81"/>
      <c r="AC159" s="75" t="str">
        <f>IF(P159="","",IF(P159='G-1 All Habitats'!$X$3,H159-S159-T159,"None"))</f>
        <v/>
      </c>
      <c r="AD159" s="76" t="str">
        <f>IFERROR(AC159*J159*L159*#REF!*O159,IF(P159="","","None"))</f>
        <v/>
      </c>
      <c r="AF159" s="54" t="str">
        <f t="shared" si="10"/>
        <v/>
      </c>
      <c r="AG159" s="54" t="str">
        <f t="shared" si="11"/>
        <v/>
      </c>
      <c r="AH159" s="54" t="str">
        <f>IF(I159="","",IF(#REF!&gt;0,TRUE,FALSE))</f>
        <v/>
      </c>
      <c r="AI159" s="54">
        <v>149</v>
      </c>
      <c r="AJ159" s="54"/>
      <c r="AK159" s="54" t="str">
        <f t="array" ref="AK159">IFERROR(INDEX($AI$11:$AI$259, MATCH(0, IF(TRUE=$AF$11:$AF$259, COUNTIF($AK$10:$AK158, $AI$11:$AI$259), ""), 0)),"")</f>
        <v/>
      </c>
      <c r="AL159" s="54" t="str">
        <f t="array" ref="AL159">IFERROR(INDEX($AI$11:$AI$259, MATCH(0, IF(TRUE=$AG$11:$AG$259, COUNTIF($AL$10:$AL158, $AI$11:$AI$259), ""), 0)),"")</f>
        <v/>
      </c>
      <c r="AM159" s="54" t="str">
        <f t="array" ref="AM159">IFERROR(INDEX($AI$11:$AI$259, MATCH(0, IF(TRUE=$AH$11:$AH$259, COUNTIF($AM$10:$AM158, $AI$11:$AI$259), ""), 0)),"")</f>
        <v/>
      </c>
      <c r="AN159" s="54"/>
      <c r="AQ159" s="47">
        <f t="shared" si="12"/>
        <v>0</v>
      </c>
    </row>
    <row r="160" spans="1:43" x14ac:dyDescent="0.25">
      <c r="A160" s="47" t="str">
        <f>IFERROR(INDEX('G-1 All Habitats'!$AG$3:$AG$15,MATCH(E160,'G-1 All Habitats'!$AF$3:$AF$15,0)),"")</f>
        <v/>
      </c>
      <c r="B160" s="47" t="str">
        <f>IFERROR(INDEX('G-8 Condition Look up'!$I$4:$I$130,MATCH(G160,'G-8 Condition Look up'!$A$4:$A$130,0)),"")</f>
        <v/>
      </c>
      <c r="D160" s="77">
        <v>150</v>
      </c>
      <c r="E160" s="78"/>
      <c r="F160" s="79"/>
      <c r="G160" s="69" t="str">
        <f>IFERROR(INDEX('G-1 All Habitats'!$B$3:$B$129,MATCH(F160,'G-1 All Habitats'!$A$3:$A$129,0)),"")</f>
        <v/>
      </c>
      <c r="H160" s="70"/>
      <c r="I160" s="498" t="str">
        <f>IF(G160="","",VLOOKUP(G160,'G-1 All Habitats'!$B$2:$M$129,10,FALSE))</f>
        <v/>
      </c>
      <c r="J160" s="499" t="str">
        <f>IFERROR(VLOOKUP(I160,'G-1 All Habitats'!$V$3:$W$7,2,FALSE),"")</f>
        <v/>
      </c>
      <c r="K160" s="71"/>
      <c r="L160" s="499" t="str">
        <f>IFERROR(INDEX('G-8 Condition Look up'!$A$3:$H$130,MATCH(G160,'G-8 Condition Look up'!$A$3:$A$130,0),MATCH(K160,'G-8 Condition Look up'!$A$3:$H$3,0)),"")</f>
        <v/>
      </c>
      <c r="M160" s="71"/>
      <c r="N160" s="520" t="str">
        <f>IF(M160="","",IF(VLOOKUP(M160,'G-3 Multipliers'!$L$3:$N$6,2,FALSE)=0,"Spatial Data Missing",VLOOKUP(M160,'G-3 Multipliers'!$L$3:$N$6,2,FALSE)))</f>
        <v/>
      </c>
      <c r="O160" s="505" t="str">
        <f>IF(M160="","",IF(VLOOKUP(M160,'G-3 Multipliers'!$L$3:$N$6,3,FALSE)=0,"Spatial Data Missing",VLOOKUP(M160,'G-3 Multipliers'!$L$3:$N$6,3,FALSE)))</f>
        <v/>
      </c>
      <c r="P160" s="506" t="str">
        <f>IFERROR(VLOOKUP(G160,'G-1 All Habitats'!$B$2:$M$129,12,FALSE),"")</f>
        <v/>
      </c>
      <c r="Q160" s="513" t="str">
        <f>IFERROR(IF(P160="","",IF(AND(P160='G-1 All Habitats'!$X$3,T160&gt;0),U160+V160,IF(AND(P160='G-1 All Habitats'!$X$3,S160&gt;0),U160+V160,IF(AND(P160='G-1 All Habitats'!$X$3,AC160&gt;0),"Any Loss Unacceptable ▲",IF(AND(P160='G-1 All Habitats'!$X$3,W160&gt;0),"Any Loss Unacceptable ▲",H160*J160*L160*O160))))),"Check Data ▲")</f>
        <v/>
      </c>
      <c r="R160" s="50"/>
      <c r="S160" s="71"/>
      <c r="T160" s="72"/>
      <c r="U160" s="511" t="str">
        <f t="shared" si="13"/>
        <v/>
      </c>
      <c r="V160" s="511" t="str">
        <f t="shared" si="14"/>
        <v/>
      </c>
      <c r="W160" s="511" t="str">
        <f>IF(E160="","",IF(H160&lt;S160+T160,"Error in Areas ▲",IF(P160&lt;&gt;'G-1 All Habitats'!$X$3,H160-S160-T160,IF(AND(P160='G-1 All Habitats'!$X$3,Y160="Yes"),"Unacceptable Loss",IF(AND(P160='G-1 All Habitats'!$X$3,Y160="No"),AC160,IF(AND(P160='G-1 All Habitats'!$X$3,Y160=""),AC160,IF(AND(P160='G-1 All Habitats'!$X$3,AC160="None",AC160),IF(AND(P160='G-1 All Habitats'!$X$3,AC160&gt;0),H160-S160-T160))))))))</f>
        <v/>
      </c>
      <c r="X160" s="515" t="str">
        <f>IFERROR(IF(H160="","",IF(H160-S160-T160=0&lt;0,"Error in Areas ▲",IF(S160+T160&gt;H160,"Error in Areas ▲",IF(AND(P160='G-1 All Habitats'!$X$3,Y160="Yes"),"Alternative Compensation ✓",IF(W160=0,0,IF(P160='G-1 All Habitats'!$X$3,"Unacceptable Loss ▲",Q160-U160-V160)))))),"Check Data ▲")</f>
        <v/>
      </c>
      <c r="Y160" s="72"/>
      <c r="Z160" s="80"/>
      <c r="AA160" s="81"/>
      <c r="AC160" s="75" t="str">
        <f>IF(P160="","",IF(P160='G-1 All Habitats'!$X$3,H160-S160-T160,"None"))</f>
        <v/>
      </c>
      <c r="AD160" s="76" t="str">
        <f>IFERROR(AC160*J160*L160*#REF!*O160,IF(P160="","","None"))</f>
        <v/>
      </c>
      <c r="AF160" s="54" t="str">
        <f t="shared" si="10"/>
        <v/>
      </c>
      <c r="AG160" s="54" t="str">
        <f t="shared" si="11"/>
        <v/>
      </c>
      <c r="AH160" s="54" t="str">
        <f>IF(I160="","",IF(#REF!&gt;0,TRUE,FALSE))</f>
        <v/>
      </c>
      <c r="AI160" s="54">
        <v>150</v>
      </c>
      <c r="AJ160" s="54"/>
      <c r="AK160" s="54" t="str">
        <f t="array" ref="AK160">IFERROR(INDEX($AI$11:$AI$259, MATCH(0, IF(TRUE=$AF$11:$AF$259, COUNTIF($AK$10:$AK159, $AI$11:$AI$259), ""), 0)),"")</f>
        <v/>
      </c>
      <c r="AL160" s="54" t="str">
        <f t="array" ref="AL160">IFERROR(INDEX($AI$11:$AI$259, MATCH(0, IF(TRUE=$AG$11:$AG$259, COUNTIF($AL$10:$AL159, $AI$11:$AI$259), ""), 0)),"")</f>
        <v/>
      </c>
      <c r="AM160" s="54" t="str">
        <f t="array" ref="AM160">IFERROR(INDEX($AI$11:$AI$259, MATCH(0, IF(TRUE=$AH$11:$AH$259, COUNTIF($AM$10:$AM159, $AI$11:$AI$259), ""), 0)),"")</f>
        <v/>
      </c>
      <c r="AN160" s="54"/>
      <c r="AQ160" s="47">
        <f t="shared" si="12"/>
        <v>0</v>
      </c>
    </row>
    <row r="161" spans="1:43" x14ac:dyDescent="0.25">
      <c r="A161" s="47" t="str">
        <f>IFERROR(INDEX('G-1 All Habitats'!$AG$3:$AG$15,MATCH(E161,'G-1 All Habitats'!$AF$3:$AF$15,0)),"")</f>
        <v/>
      </c>
      <c r="B161" s="47" t="str">
        <f>IFERROR(INDEX('G-8 Condition Look up'!$I$4:$I$130,MATCH(G161,'G-8 Condition Look up'!$A$4:$A$130,0)),"")</f>
        <v/>
      </c>
      <c r="D161" s="77">
        <v>151</v>
      </c>
      <c r="E161" s="78"/>
      <c r="F161" s="79"/>
      <c r="G161" s="69" t="str">
        <f>IFERROR(INDEX('G-1 All Habitats'!$B$3:$B$129,MATCH(F161,'G-1 All Habitats'!$A$3:$A$129,0)),"")</f>
        <v/>
      </c>
      <c r="H161" s="70"/>
      <c r="I161" s="498" t="str">
        <f>IF(G161="","",VLOOKUP(G161,'G-1 All Habitats'!$B$2:$M$129,10,FALSE))</f>
        <v/>
      </c>
      <c r="J161" s="499" t="str">
        <f>IFERROR(VLOOKUP(I161,'G-1 All Habitats'!$V$3:$W$7,2,FALSE),"")</f>
        <v/>
      </c>
      <c r="K161" s="71"/>
      <c r="L161" s="499" t="str">
        <f>IFERROR(INDEX('G-8 Condition Look up'!$A$3:$H$130,MATCH(G161,'G-8 Condition Look up'!$A$3:$A$130,0),MATCH(K161,'G-8 Condition Look up'!$A$3:$H$3,0)),"")</f>
        <v/>
      </c>
      <c r="M161" s="71"/>
      <c r="N161" s="520" t="str">
        <f>IF(M161="","",IF(VLOOKUP(M161,'G-3 Multipliers'!$L$3:$N$6,2,FALSE)=0,"Spatial Data Missing",VLOOKUP(M161,'G-3 Multipliers'!$L$3:$N$6,2,FALSE)))</f>
        <v/>
      </c>
      <c r="O161" s="505" t="str">
        <f>IF(M161="","",IF(VLOOKUP(M161,'G-3 Multipliers'!$L$3:$N$6,3,FALSE)=0,"Spatial Data Missing",VLOOKUP(M161,'G-3 Multipliers'!$L$3:$N$6,3,FALSE)))</f>
        <v/>
      </c>
      <c r="P161" s="506" t="str">
        <f>IFERROR(VLOOKUP(G161,'G-1 All Habitats'!$B$2:$M$129,12,FALSE),"")</f>
        <v/>
      </c>
      <c r="Q161" s="513" t="str">
        <f>IFERROR(IF(P161="","",IF(AND(P161='G-1 All Habitats'!$X$3,T161&gt;0),U161+V161,IF(AND(P161='G-1 All Habitats'!$X$3,S161&gt;0),U161+V161,IF(AND(P161='G-1 All Habitats'!$X$3,AC161&gt;0),"Any Loss Unacceptable ▲",IF(AND(P161='G-1 All Habitats'!$X$3,W161&gt;0),"Any Loss Unacceptable ▲",H161*J161*L161*O161))))),"Check Data ▲")</f>
        <v/>
      </c>
      <c r="R161" s="50"/>
      <c r="S161" s="71"/>
      <c r="T161" s="72"/>
      <c r="U161" s="511" t="str">
        <f t="shared" si="13"/>
        <v/>
      </c>
      <c r="V161" s="511" t="str">
        <f t="shared" si="14"/>
        <v/>
      </c>
      <c r="W161" s="511" t="str">
        <f>IF(E161="","",IF(H161&lt;S161+T161,"Error in Areas ▲",IF(P161&lt;&gt;'G-1 All Habitats'!$X$3,H161-S161-T161,IF(AND(P161='G-1 All Habitats'!$X$3,Y161="Yes"),"Unacceptable Loss",IF(AND(P161='G-1 All Habitats'!$X$3,Y161="No"),AC161,IF(AND(P161='G-1 All Habitats'!$X$3,Y161=""),AC161,IF(AND(P161='G-1 All Habitats'!$X$3,AC161="None",AC161),IF(AND(P161='G-1 All Habitats'!$X$3,AC161&gt;0),H161-S161-T161))))))))</f>
        <v/>
      </c>
      <c r="X161" s="515" t="str">
        <f>IFERROR(IF(H161="","",IF(H161-S161-T161=0&lt;0,"Error in Areas ▲",IF(S161+T161&gt;H161,"Error in Areas ▲",IF(AND(P161='G-1 All Habitats'!$X$3,Y161="Yes"),"Alternative Compensation ✓",IF(W161=0,0,IF(P161='G-1 All Habitats'!$X$3,"Unacceptable Loss ▲",Q161-U161-V161)))))),"Check Data ▲")</f>
        <v/>
      </c>
      <c r="Y161" s="72"/>
      <c r="Z161" s="80"/>
      <c r="AA161" s="81"/>
      <c r="AC161" s="75" t="str">
        <f>IF(P161="","",IF(P161='G-1 All Habitats'!$X$3,H161-S161-T161,"None"))</f>
        <v/>
      </c>
      <c r="AD161" s="76" t="str">
        <f>IFERROR(AC161*J161*L161*#REF!*O161,IF(P161="","","None"))</f>
        <v/>
      </c>
      <c r="AF161" s="54" t="str">
        <f t="shared" si="10"/>
        <v/>
      </c>
      <c r="AG161" s="54" t="str">
        <f t="shared" si="11"/>
        <v/>
      </c>
      <c r="AH161" s="54" t="str">
        <f>IF(I161="","",IF(#REF!&gt;0,TRUE,FALSE))</f>
        <v/>
      </c>
      <c r="AI161" s="54">
        <v>151</v>
      </c>
      <c r="AJ161" s="54"/>
      <c r="AK161" s="54" t="str">
        <f t="array" ref="AK161">IFERROR(INDEX($AI$11:$AI$259, MATCH(0, IF(TRUE=$AF$11:$AF$259, COUNTIF($AK$10:$AK160, $AI$11:$AI$259), ""), 0)),"")</f>
        <v/>
      </c>
      <c r="AL161" s="54" t="str">
        <f t="array" ref="AL161">IFERROR(INDEX($AI$11:$AI$259, MATCH(0, IF(TRUE=$AG$11:$AG$259, COUNTIF($AL$10:$AL160, $AI$11:$AI$259), ""), 0)),"")</f>
        <v/>
      </c>
      <c r="AM161" s="54" t="str">
        <f t="array" ref="AM161">IFERROR(INDEX($AI$11:$AI$259, MATCH(0, IF(TRUE=$AH$11:$AH$259, COUNTIF($AM$10:$AM160, $AI$11:$AI$259), ""), 0)),"")</f>
        <v/>
      </c>
      <c r="AN161" s="54"/>
      <c r="AQ161" s="47">
        <f t="shared" si="12"/>
        <v>0</v>
      </c>
    </row>
    <row r="162" spans="1:43" x14ac:dyDescent="0.25">
      <c r="A162" s="47" t="str">
        <f>IFERROR(INDEX('G-1 All Habitats'!$AG$3:$AG$15,MATCH(E162,'G-1 All Habitats'!$AF$3:$AF$15,0)),"")</f>
        <v/>
      </c>
      <c r="B162" s="47" t="str">
        <f>IFERROR(INDEX('G-8 Condition Look up'!$I$4:$I$130,MATCH(G162,'G-8 Condition Look up'!$A$4:$A$130,0)),"")</f>
        <v/>
      </c>
      <c r="D162" s="77">
        <v>152</v>
      </c>
      <c r="E162" s="78"/>
      <c r="F162" s="79"/>
      <c r="G162" s="69" t="str">
        <f>IFERROR(INDEX('G-1 All Habitats'!$B$3:$B$129,MATCH(F162,'G-1 All Habitats'!$A$3:$A$129,0)),"")</f>
        <v/>
      </c>
      <c r="H162" s="70"/>
      <c r="I162" s="498" t="str">
        <f>IF(G162="","",VLOOKUP(G162,'G-1 All Habitats'!$B$2:$M$129,10,FALSE))</f>
        <v/>
      </c>
      <c r="J162" s="499" t="str">
        <f>IFERROR(VLOOKUP(I162,'G-1 All Habitats'!$V$3:$W$7,2,FALSE),"")</f>
        <v/>
      </c>
      <c r="K162" s="71"/>
      <c r="L162" s="499" t="str">
        <f>IFERROR(INDEX('G-8 Condition Look up'!$A$3:$H$130,MATCH(G162,'G-8 Condition Look up'!$A$3:$A$130,0),MATCH(K162,'G-8 Condition Look up'!$A$3:$H$3,0)),"")</f>
        <v/>
      </c>
      <c r="M162" s="71"/>
      <c r="N162" s="520" t="str">
        <f>IF(M162="","",IF(VLOOKUP(M162,'G-3 Multipliers'!$L$3:$N$6,2,FALSE)=0,"Spatial Data Missing",VLOOKUP(M162,'G-3 Multipliers'!$L$3:$N$6,2,FALSE)))</f>
        <v/>
      </c>
      <c r="O162" s="505" t="str">
        <f>IF(M162="","",IF(VLOOKUP(M162,'G-3 Multipliers'!$L$3:$N$6,3,FALSE)=0,"Spatial Data Missing",VLOOKUP(M162,'G-3 Multipliers'!$L$3:$N$6,3,FALSE)))</f>
        <v/>
      </c>
      <c r="P162" s="506" t="str">
        <f>IFERROR(VLOOKUP(G162,'G-1 All Habitats'!$B$2:$M$129,12,FALSE),"")</f>
        <v/>
      </c>
      <c r="Q162" s="513" t="str">
        <f>IFERROR(IF(P162="","",IF(AND(P162='G-1 All Habitats'!$X$3,T162&gt;0),U162+V162,IF(AND(P162='G-1 All Habitats'!$X$3,S162&gt;0),U162+V162,IF(AND(P162='G-1 All Habitats'!$X$3,AC162&gt;0),"Any Loss Unacceptable ▲",IF(AND(P162='G-1 All Habitats'!$X$3,W162&gt;0),"Any Loss Unacceptable ▲",H162*J162*L162*O162))))),"Check Data ▲")</f>
        <v/>
      </c>
      <c r="R162" s="50"/>
      <c r="S162" s="71"/>
      <c r="T162" s="72"/>
      <c r="U162" s="511" t="str">
        <f t="shared" si="13"/>
        <v/>
      </c>
      <c r="V162" s="511" t="str">
        <f t="shared" si="14"/>
        <v/>
      </c>
      <c r="W162" s="511" t="str">
        <f>IF(E162="","",IF(H162&lt;S162+T162,"Error in Areas ▲",IF(P162&lt;&gt;'G-1 All Habitats'!$X$3,H162-S162-T162,IF(AND(P162='G-1 All Habitats'!$X$3,Y162="Yes"),"Unacceptable Loss",IF(AND(P162='G-1 All Habitats'!$X$3,Y162="No"),AC162,IF(AND(P162='G-1 All Habitats'!$X$3,Y162=""),AC162,IF(AND(P162='G-1 All Habitats'!$X$3,AC162="None",AC162),IF(AND(P162='G-1 All Habitats'!$X$3,AC162&gt;0),H162-S162-T162))))))))</f>
        <v/>
      </c>
      <c r="X162" s="515" t="str">
        <f>IFERROR(IF(H162="","",IF(H162-S162-T162=0&lt;0,"Error in Areas ▲",IF(S162+T162&gt;H162,"Error in Areas ▲",IF(AND(P162='G-1 All Habitats'!$X$3,Y162="Yes"),"Alternative Compensation ✓",IF(W162=0,0,IF(P162='G-1 All Habitats'!$X$3,"Unacceptable Loss ▲",Q162-U162-V162)))))),"Check Data ▲")</f>
        <v/>
      </c>
      <c r="Y162" s="72"/>
      <c r="Z162" s="80"/>
      <c r="AA162" s="81"/>
      <c r="AC162" s="75" t="str">
        <f>IF(P162="","",IF(P162='G-1 All Habitats'!$X$3,H162-S162-T162,"None"))</f>
        <v/>
      </c>
      <c r="AD162" s="76" t="str">
        <f>IFERROR(AC162*J162*L162*#REF!*O162,IF(P162="","","None"))</f>
        <v/>
      </c>
      <c r="AF162" s="54" t="str">
        <f t="shared" si="10"/>
        <v/>
      </c>
      <c r="AG162" s="54" t="str">
        <f t="shared" si="11"/>
        <v/>
      </c>
      <c r="AH162" s="54" t="str">
        <f>IF(I162="","",IF(#REF!&gt;0,TRUE,FALSE))</f>
        <v/>
      </c>
      <c r="AI162" s="54">
        <v>152</v>
      </c>
      <c r="AJ162" s="54"/>
      <c r="AK162" s="54" t="str">
        <f t="array" ref="AK162">IFERROR(INDEX($AI$11:$AI$259, MATCH(0, IF(TRUE=$AF$11:$AF$259, COUNTIF($AK$10:$AK161, $AI$11:$AI$259), ""), 0)),"")</f>
        <v/>
      </c>
      <c r="AL162" s="54" t="str">
        <f t="array" ref="AL162">IFERROR(INDEX($AI$11:$AI$259, MATCH(0, IF(TRUE=$AG$11:$AG$259, COUNTIF($AL$10:$AL161, $AI$11:$AI$259), ""), 0)),"")</f>
        <v/>
      </c>
      <c r="AM162" s="54" t="str">
        <f t="array" ref="AM162">IFERROR(INDEX($AI$11:$AI$259, MATCH(0, IF(TRUE=$AH$11:$AH$259, COUNTIF($AM$10:$AM161, $AI$11:$AI$259), ""), 0)),"")</f>
        <v/>
      </c>
      <c r="AN162" s="54"/>
      <c r="AQ162" s="47">
        <f t="shared" si="12"/>
        <v>0</v>
      </c>
    </row>
    <row r="163" spans="1:43" x14ac:dyDescent="0.25">
      <c r="A163" s="47" t="str">
        <f>IFERROR(INDEX('G-1 All Habitats'!$AG$3:$AG$15,MATCH(E163,'G-1 All Habitats'!$AF$3:$AF$15,0)),"")</f>
        <v/>
      </c>
      <c r="B163" s="47" t="str">
        <f>IFERROR(INDEX('G-8 Condition Look up'!$I$4:$I$130,MATCH(G163,'G-8 Condition Look up'!$A$4:$A$130,0)),"")</f>
        <v/>
      </c>
      <c r="D163" s="77">
        <v>153</v>
      </c>
      <c r="E163" s="78"/>
      <c r="F163" s="79"/>
      <c r="G163" s="69" t="str">
        <f>IFERROR(INDEX('G-1 All Habitats'!$B$3:$B$129,MATCH(F163,'G-1 All Habitats'!$A$3:$A$129,0)),"")</f>
        <v/>
      </c>
      <c r="H163" s="70"/>
      <c r="I163" s="498" t="str">
        <f>IF(G163="","",VLOOKUP(G163,'G-1 All Habitats'!$B$2:$M$129,10,FALSE))</f>
        <v/>
      </c>
      <c r="J163" s="499" t="str">
        <f>IFERROR(VLOOKUP(I163,'G-1 All Habitats'!$V$3:$W$7,2,FALSE),"")</f>
        <v/>
      </c>
      <c r="K163" s="71"/>
      <c r="L163" s="499" t="str">
        <f>IFERROR(INDEX('G-8 Condition Look up'!$A$3:$H$130,MATCH(G163,'G-8 Condition Look up'!$A$3:$A$130,0),MATCH(K163,'G-8 Condition Look up'!$A$3:$H$3,0)),"")</f>
        <v/>
      </c>
      <c r="M163" s="71"/>
      <c r="N163" s="520" t="str">
        <f>IF(M163="","",IF(VLOOKUP(M163,'G-3 Multipliers'!$L$3:$N$6,2,FALSE)=0,"Spatial Data Missing",VLOOKUP(M163,'G-3 Multipliers'!$L$3:$N$6,2,FALSE)))</f>
        <v/>
      </c>
      <c r="O163" s="505" t="str">
        <f>IF(M163="","",IF(VLOOKUP(M163,'G-3 Multipliers'!$L$3:$N$6,3,FALSE)=0,"Spatial Data Missing",VLOOKUP(M163,'G-3 Multipliers'!$L$3:$N$6,3,FALSE)))</f>
        <v/>
      </c>
      <c r="P163" s="506" t="str">
        <f>IFERROR(VLOOKUP(G163,'G-1 All Habitats'!$B$2:$M$129,12,FALSE),"")</f>
        <v/>
      </c>
      <c r="Q163" s="513" t="str">
        <f>IFERROR(IF(P163="","",IF(AND(P163='G-1 All Habitats'!$X$3,T163&gt;0),U163+V163,IF(AND(P163='G-1 All Habitats'!$X$3,S163&gt;0),U163+V163,IF(AND(P163='G-1 All Habitats'!$X$3,AC163&gt;0),"Any Loss Unacceptable ▲",IF(AND(P163='G-1 All Habitats'!$X$3,W163&gt;0),"Any Loss Unacceptable ▲",H163*J163*L163*O163))))),"Check Data ▲")</f>
        <v/>
      </c>
      <c r="R163" s="50"/>
      <c r="S163" s="71"/>
      <c r="T163" s="72"/>
      <c r="U163" s="511" t="str">
        <f t="shared" si="13"/>
        <v/>
      </c>
      <c r="V163" s="511" t="str">
        <f t="shared" si="14"/>
        <v/>
      </c>
      <c r="W163" s="511" t="str">
        <f>IF(E163="","",IF(H163&lt;S163+T163,"Error in Areas ▲",IF(P163&lt;&gt;'G-1 All Habitats'!$X$3,H163-S163-T163,IF(AND(P163='G-1 All Habitats'!$X$3,Y163="Yes"),"Unacceptable Loss",IF(AND(P163='G-1 All Habitats'!$X$3,Y163="No"),AC163,IF(AND(P163='G-1 All Habitats'!$X$3,Y163=""),AC163,IF(AND(P163='G-1 All Habitats'!$X$3,AC163="None",AC163),IF(AND(P163='G-1 All Habitats'!$X$3,AC163&gt;0),H163-S163-T163))))))))</f>
        <v/>
      </c>
      <c r="X163" s="515" t="str">
        <f>IFERROR(IF(H163="","",IF(H163-S163-T163=0&lt;0,"Error in Areas ▲",IF(S163+T163&gt;H163,"Error in Areas ▲",IF(AND(P163='G-1 All Habitats'!$X$3,Y163="Yes"),"Alternative Compensation ✓",IF(W163=0,0,IF(P163='G-1 All Habitats'!$X$3,"Unacceptable Loss ▲",Q163-U163-V163)))))),"Check Data ▲")</f>
        <v/>
      </c>
      <c r="Y163" s="72"/>
      <c r="Z163" s="80"/>
      <c r="AA163" s="81"/>
      <c r="AC163" s="75" t="str">
        <f>IF(P163="","",IF(P163='G-1 All Habitats'!$X$3,H163-S163-T163,"None"))</f>
        <v/>
      </c>
      <c r="AD163" s="76" t="str">
        <f>IFERROR(AC163*J163*L163*#REF!*O163,IF(P163="","","None"))</f>
        <v/>
      </c>
      <c r="AF163" s="54" t="str">
        <f t="shared" si="10"/>
        <v/>
      </c>
      <c r="AG163" s="54" t="str">
        <f t="shared" si="11"/>
        <v/>
      </c>
      <c r="AH163" s="54" t="str">
        <f>IF(I163="","",IF(#REF!&gt;0,TRUE,FALSE))</f>
        <v/>
      </c>
      <c r="AI163" s="54">
        <v>153</v>
      </c>
      <c r="AJ163" s="54"/>
      <c r="AK163" s="54" t="str">
        <f t="array" ref="AK163">IFERROR(INDEX($AI$11:$AI$259, MATCH(0, IF(TRUE=$AF$11:$AF$259, COUNTIF($AK$10:$AK162, $AI$11:$AI$259), ""), 0)),"")</f>
        <v/>
      </c>
      <c r="AL163" s="54" t="str">
        <f t="array" ref="AL163">IFERROR(INDEX($AI$11:$AI$259, MATCH(0, IF(TRUE=$AG$11:$AG$259, COUNTIF($AL$10:$AL162, $AI$11:$AI$259), ""), 0)),"")</f>
        <v/>
      </c>
      <c r="AM163" s="54" t="str">
        <f t="array" ref="AM163">IFERROR(INDEX($AI$11:$AI$259, MATCH(0, IF(TRUE=$AH$11:$AH$259, COUNTIF($AM$10:$AM162, $AI$11:$AI$259), ""), 0)),"")</f>
        <v/>
      </c>
      <c r="AN163" s="54"/>
      <c r="AQ163" s="47">
        <f t="shared" si="12"/>
        <v>0</v>
      </c>
    </row>
    <row r="164" spans="1:43" x14ac:dyDescent="0.25">
      <c r="A164" s="47" t="str">
        <f>IFERROR(INDEX('G-1 All Habitats'!$AG$3:$AG$15,MATCH(E164,'G-1 All Habitats'!$AF$3:$AF$15,0)),"")</f>
        <v/>
      </c>
      <c r="B164" s="47" t="str">
        <f>IFERROR(INDEX('G-8 Condition Look up'!$I$4:$I$130,MATCH(G164,'G-8 Condition Look up'!$A$4:$A$130,0)),"")</f>
        <v/>
      </c>
      <c r="D164" s="77">
        <v>154</v>
      </c>
      <c r="E164" s="78"/>
      <c r="F164" s="79"/>
      <c r="G164" s="69" t="str">
        <f>IFERROR(INDEX('G-1 All Habitats'!$B$3:$B$129,MATCH(F164,'G-1 All Habitats'!$A$3:$A$129,0)),"")</f>
        <v/>
      </c>
      <c r="H164" s="70"/>
      <c r="I164" s="498" t="str">
        <f>IF(G164="","",VLOOKUP(G164,'G-1 All Habitats'!$B$2:$M$129,10,FALSE))</f>
        <v/>
      </c>
      <c r="J164" s="499" t="str">
        <f>IFERROR(VLOOKUP(I164,'G-1 All Habitats'!$V$3:$W$7,2,FALSE),"")</f>
        <v/>
      </c>
      <c r="K164" s="71"/>
      <c r="L164" s="499" t="str">
        <f>IFERROR(INDEX('G-8 Condition Look up'!$A$3:$H$130,MATCH(G164,'G-8 Condition Look up'!$A$3:$A$130,0),MATCH(K164,'G-8 Condition Look up'!$A$3:$H$3,0)),"")</f>
        <v/>
      </c>
      <c r="M164" s="71"/>
      <c r="N164" s="520" t="str">
        <f>IF(M164="","",IF(VLOOKUP(M164,'G-3 Multipliers'!$L$3:$N$6,2,FALSE)=0,"Spatial Data Missing",VLOOKUP(M164,'G-3 Multipliers'!$L$3:$N$6,2,FALSE)))</f>
        <v/>
      </c>
      <c r="O164" s="505" t="str">
        <f>IF(M164="","",IF(VLOOKUP(M164,'G-3 Multipliers'!$L$3:$N$6,3,FALSE)=0,"Spatial Data Missing",VLOOKUP(M164,'G-3 Multipliers'!$L$3:$N$6,3,FALSE)))</f>
        <v/>
      </c>
      <c r="P164" s="506" t="str">
        <f>IFERROR(VLOOKUP(G164,'G-1 All Habitats'!$B$2:$M$129,12,FALSE),"")</f>
        <v/>
      </c>
      <c r="Q164" s="513" t="str">
        <f>IFERROR(IF(P164="","",IF(AND(P164='G-1 All Habitats'!$X$3,T164&gt;0),U164+V164,IF(AND(P164='G-1 All Habitats'!$X$3,S164&gt;0),U164+V164,IF(AND(P164='G-1 All Habitats'!$X$3,AC164&gt;0),"Any Loss Unacceptable ▲",IF(AND(P164='G-1 All Habitats'!$X$3,W164&gt;0),"Any Loss Unacceptable ▲",H164*J164*L164*O164))))),"Check Data ▲")</f>
        <v/>
      </c>
      <c r="R164" s="50"/>
      <c r="S164" s="71"/>
      <c r="T164" s="72"/>
      <c r="U164" s="511" t="str">
        <f t="shared" si="13"/>
        <v/>
      </c>
      <c r="V164" s="511" t="str">
        <f t="shared" si="14"/>
        <v/>
      </c>
      <c r="W164" s="511" t="str">
        <f>IF(E164="","",IF(H164&lt;S164+T164,"Error in Areas ▲",IF(P164&lt;&gt;'G-1 All Habitats'!$X$3,H164-S164-T164,IF(AND(P164='G-1 All Habitats'!$X$3,Y164="Yes"),"Unacceptable Loss",IF(AND(P164='G-1 All Habitats'!$X$3,Y164="No"),AC164,IF(AND(P164='G-1 All Habitats'!$X$3,Y164=""),AC164,IF(AND(P164='G-1 All Habitats'!$X$3,AC164="None",AC164),IF(AND(P164='G-1 All Habitats'!$X$3,AC164&gt;0),H164-S164-T164))))))))</f>
        <v/>
      </c>
      <c r="X164" s="515" t="str">
        <f>IFERROR(IF(H164="","",IF(H164-S164-T164=0&lt;0,"Error in Areas ▲",IF(S164+T164&gt;H164,"Error in Areas ▲",IF(AND(P164='G-1 All Habitats'!$X$3,Y164="Yes"),"Alternative Compensation ✓",IF(W164=0,0,IF(P164='G-1 All Habitats'!$X$3,"Unacceptable Loss ▲",Q164-U164-V164)))))),"Check Data ▲")</f>
        <v/>
      </c>
      <c r="Y164" s="72"/>
      <c r="Z164" s="80"/>
      <c r="AA164" s="81"/>
      <c r="AC164" s="75" t="str">
        <f>IF(P164="","",IF(P164='G-1 All Habitats'!$X$3,H164-S164-T164,"None"))</f>
        <v/>
      </c>
      <c r="AD164" s="76" t="str">
        <f>IFERROR(AC164*J164*L164*#REF!*O164,IF(P164="","","None"))</f>
        <v/>
      </c>
      <c r="AF164" s="54" t="str">
        <f t="shared" si="10"/>
        <v/>
      </c>
      <c r="AG164" s="54" t="str">
        <f t="shared" si="11"/>
        <v/>
      </c>
      <c r="AH164" s="54" t="str">
        <f>IF(I164="","",IF(#REF!&gt;0,TRUE,FALSE))</f>
        <v/>
      </c>
      <c r="AI164" s="54">
        <v>154</v>
      </c>
      <c r="AJ164" s="54"/>
      <c r="AK164" s="54" t="str">
        <f t="array" ref="AK164">IFERROR(INDEX($AI$11:$AI$259, MATCH(0, IF(TRUE=$AF$11:$AF$259, COUNTIF($AK$10:$AK163, $AI$11:$AI$259), ""), 0)),"")</f>
        <v/>
      </c>
      <c r="AL164" s="54" t="str">
        <f t="array" ref="AL164">IFERROR(INDEX($AI$11:$AI$259, MATCH(0, IF(TRUE=$AG$11:$AG$259, COUNTIF($AL$10:$AL163, $AI$11:$AI$259), ""), 0)),"")</f>
        <v/>
      </c>
      <c r="AM164" s="54" t="str">
        <f t="array" ref="AM164">IFERROR(INDEX($AI$11:$AI$259, MATCH(0, IF(TRUE=$AH$11:$AH$259, COUNTIF($AM$10:$AM163, $AI$11:$AI$259), ""), 0)),"")</f>
        <v/>
      </c>
      <c r="AN164" s="54"/>
      <c r="AQ164" s="47">
        <f t="shared" si="12"/>
        <v>0</v>
      </c>
    </row>
    <row r="165" spans="1:43" x14ac:dyDescent="0.25">
      <c r="A165" s="47" t="str">
        <f>IFERROR(INDEX('G-1 All Habitats'!$AG$3:$AG$15,MATCH(E165,'G-1 All Habitats'!$AF$3:$AF$15,0)),"")</f>
        <v/>
      </c>
      <c r="B165" s="47" t="str">
        <f>IFERROR(INDEX('G-8 Condition Look up'!$I$4:$I$130,MATCH(G165,'G-8 Condition Look up'!$A$4:$A$130,0)),"")</f>
        <v/>
      </c>
      <c r="D165" s="77">
        <v>155</v>
      </c>
      <c r="E165" s="78"/>
      <c r="F165" s="79"/>
      <c r="G165" s="69" t="str">
        <f>IFERROR(INDEX('G-1 All Habitats'!$B$3:$B$129,MATCH(F165,'G-1 All Habitats'!$A$3:$A$129,0)),"")</f>
        <v/>
      </c>
      <c r="H165" s="70"/>
      <c r="I165" s="498" t="str">
        <f>IF(G165="","",VLOOKUP(G165,'G-1 All Habitats'!$B$2:$M$129,10,FALSE))</f>
        <v/>
      </c>
      <c r="J165" s="499" t="str">
        <f>IFERROR(VLOOKUP(I165,'G-1 All Habitats'!$V$3:$W$7,2,FALSE),"")</f>
        <v/>
      </c>
      <c r="K165" s="71"/>
      <c r="L165" s="499" t="str">
        <f>IFERROR(INDEX('G-8 Condition Look up'!$A$3:$H$130,MATCH(G165,'G-8 Condition Look up'!$A$3:$A$130,0),MATCH(K165,'G-8 Condition Look up'!$A$3:$H$3,0)),"")</f>
        <v/>
      </c>
      <c r="M165" s="71"/>
      <c r="N165" s="520" t="str">
        <f>IF(M165="","",IF(VLOOKUP(M165,'G-3 Multipliers'!$L$3:$N$6,2,FALSE)=0,"Spatial Data Missing",VLOOKUP(M165,'G-3 Multipliers'!$L$3:$N$6,2,FALSE)))</f>
        <v/>
      </c>
      <c r="O165" s="505" t="str">
        <f>IF(M165="","",IF(VLOOKUP(M165,'G-3 Multipliers'!$L$3:$N$6,3,FALSE)=0,"Spatial Data Missing",VLOOKUP(M165,'G-3 Multipliers'!$L$3:$N$6,3,FALSE)))</f>
        <v/>
      </c>
      <c r="P165" s="506" t="str">
        <f>IFERROR(VLOOKUP(G165,'G-1 All Habitats'!$B$2:$M$129,12,FALSE),"")</f>
        <v/>
      </c>
      <c r="Q165" s="513" t="str">
        <f>IFERROR(IF(P165="","",IF(AND(P165='G-1 All Habitats'!$X$3,T165&gt;0),U165+V165,IF(AND(P165='G-1 All Habitats'!$X$3,S165&gt;0),U165+V165,IF(AND(P165='G-1 All Habitats'!$X$3,AC165&gt;0),"Any Loss Unacceptable ▲",IF(AND(P165='G-1 All Habitats'!$X$3,W165&gt;0),"Any Loss Unacceptable ▲",H165*J165*L165*O165))))),"Check Data ▲")</f>
        <v/>
      </c>
      <c r="R165" s="50"/>
      <c r="S165" s="71"/>
      <c r="T165" s="72"/>
      <c r="U165" s="511" t="str">
        <f t="shared" si="13"/>
        <v/>
      </c>
      <c r="V165" s="511" t="str">
        <f t="shared" si="14"/>
        <v/>
      </c>
      <c r="W165" s="511" t="str">
        <f>IF(E165="","",IF(H165&lt;S165+T165,"Error in Areas ▲",IF(P165&lt;&gt;'G-1 All Habitats'!$X$3,H165-S165-T165,IF(AND(P165='G-1 All Habitats'!$X$3,Y165="Yes"),"Unacceptable Loss",IF(AND(P165='G-1 All Habitats'!$X$3,Y165="No"),AC165,IF(AND(P165='G-1 All Habitats'!$X$3,Y165=""),AC165,IF(AND(P165='G-1 All Habitats'!$X$3,AC165="None",AC165),IF(AND(P165='G-1 All Habitats'!$X$3,AC165&gt;0),H165-S165-T165))))))))</f>
        <v/>
      </c>
      <c r="X165" s="515" t="str">
        <f>IFERROR(IF(H165="","",IF(H165-S165-T165=0&lt;0,"Error in Areas ▲",IF(S165+T165&gt;H165,"Error in Areas ▲",IF(AND(P165='G-1 All Habitats'!$X$3,Y165="Yes"),"Alternative Compensation ✓",IF(W165=0,0,IF(P165='G-1 All Habitats'!$X$3,"Unacceptable Loss ▲",Q165-U165-V165)))))),"Check Data ▲")</f>
        <v/>
      </c>
      <c r="Y165" s="72"/>
      <c r="Z165" s="80"/>
      <c r="AA165" s="81"/>
      <c r="AC165" s="75" t="str">
        <f>IF(P165="","",IF(P165='G-1 All Habitats'!$X$3,H165-S165-T165,"None"))</f>
        <v/>
      </c>
      <c r="AD165" s="76" t="str">
        <f>IFERROR(AC165*J165*L165*#REF!*O165,IF(P165="","","None"))</f>
        <v/>
      </c>
      <c r="AF165" s="54" t="str">
        <f t="shared" si="10"/>
        <v/>
      </c>
      <c r="AG165" s="54" t="str">
        <f t="shared" si="11"/>
        <v/>
      </c>
      <c r="AH165" s="54" t="str">
        <f>IF(I165="","",IF(#REF!&gt;0,TRUE,FALSE))</f>
        <v/>
      </c>
      <c r="AI165" s="54">
        <v>155</v>
      </c>
      <c r="AJ165" s="54"/>
      <c r="AK165" s="54" t="str">
        <f t="array" ref="AK165">IFERROR(INDEX($AI$11:$AI$259, MATCH(0, IF(TRUE=$AF$11:$AF$259, COUNTIF($AK$10:$AK164, $AI$11:$AI$259), ""), 0)),"")</f>
        <v/>
      </c>
      <c r="AL165" s="54" t="str">
        <f t="array" ref="AL165">IFERROR(INDEX($AI$11:$AI$259, MATCH(0, IF(TRUE=$AG$11:$AG$259, COUNTIF($AL$10:$AL164, $AI$11:$AI$259), ""), 0)),"")</f>
        <v/>
      </c>
      <c r="AM165" s="54" t="str">
        <f t="array" ref="AM165">IFERROR(INDEX($AI$11:$AI$259, MATCH(0, IF(TRUE=$AH$11:$AH$259, COUNTIF($AM$10:$AM164, $AI$11:$AI$259), ""), 0)),"")</f>
        <v/>
      </c>
      <c r="AN165" s="54"/>
      <c r="AQ165" s="47">
        <f t="shared" si="12"/>
        <v>0</v>
      </c>
    </row>
    <row r="166" spans="1:43" x14ac:dyDescent="0.25">
      <c r="A166" s="47" t="str">
        <f>IFERROR(INDEX('G-1 All Habitats'!$AG$3:$AG$15,MATCH(E166,'G-1 All Habitats'!$AF$3:$AF$15,0)),"")</f>
        <v/>
      </c>
      <c r="B166" s="47" t="str">
        <f>IFERROR(INDEX('G-8 Condition Look up'!$I$4:$I$130,MATCH(G166,'G-8 Condition Look up'!$A$4:$A$130,0)),"")</f>
        <v/>
      </c>
      <c r="D166" s="77">
        <v>156</v>
      </c>
      <c r="E166" s="78"/>
      <c r="F166" s="79"/>
      <c r="G166" s="69" t="str">
        <f>IFERROR(INDEX('G-1 All Habitats'!$B$3:$B$129,MATCH(F166,'G-1 All Habitats'!$A$3:$A$129,0)),"")</f>
        <v/>
      </c>
      <c r="H166" s="70"/>
      <c r="I166" s="498" t="str">
        <f>IF(G166="","",VLOOKUP(G166,'G-1 All Habitats'!$B$2:$M$129,10,FALSE))</f>
        <v/>
      </c>
      <c r="J166" s="499" t="str">
        <f>IFERROR(VLOOKUP(I166,'G-1 All Habitats'!$V$3:$W$7,2,FALSE),"")</f>
        <v/>
      </c>
      <c r="K166" s="71"/>
      <c r="L166" s="499" t="str">
        <f>IFERROR(INDEX('G-8 Condition Look up'!$A$3:$H$130,MATCH(G166,'G-8 Condition Look up'!$A$3:$A$130,0),MATCH(K166,'G-8 Condition Look up'!$A$3:$H$3,0)),"")</f>
        <v/>
      </c>
      <c r="M166" s="71"/>
      <c r="N166" s="520" t="str">
        <f>IF(M166="","",IF(VLOOKUP(M166,'G-3 Multipliers'!$L$3:$N$6,2,FALSE)=0,"Spatial Data Missing",VLOOKUP(M166,'G-3 Multipliers'!$L$3:$N$6,2,FALSE)))</f>
        <v/>
      </c>
      <c r="O166" s="505" t="str">
        <f>IF(M166="","",IF(VLOOKUP(M166,'G-3 Multipliers'!$L$3:$N$6,3,FALSE)=0,"Spatial Data Missing",VLOOKUP(M166,'G-3 Multipliers'!$L$3:$N$6,3,FALSE)))</f>
        <v/>
      </c>
      <c r="P166" s="506" t="str">
        <f>IFERROR(VLOOKUP(G166,'G-1 All Habitats'!$B$2:$M$129,12,FALSE),"")</f>
        <v/>
      </c>
      <c r="Q166" s="513" t="str">
        <f>IFERROR(IF(P166="","",IF(AND(P166='G-1 All Habitats'!$X$3,T166&gt;0),U166+V166,IF(AND(P166='G-1 All Habitats'!$X$3,S166&gt;0),U166+V166,IF(AND(P166='G-1 All Habitats'!$X$3,AC166&gt;0),"Any Loss Unacceptable ▲",IF(AND(P166='G-1 All Habitats'!$X$3,W166&gt;0),"Any Loss Unacceptable ▲",H166*J166*L166*O166))))),"Check Data ▲")</f>
        <v/>
      </c>
      <c r="R166" s="50"/>
      <c r="S166" s="71"/>
      <c r="T166" s="72"/>
      <c r="U166" s="511" t="str">
        <f t="shared" si="13"/>
        <v/>
      </c>
      <c r="V166" s="511" t="str">
        <f t="shared" si="14"/>
        <v/>
      </c>
      <c r="W166" s="511" t="str">
        <f>IF(E166="","",IF(H166&lt;S166+T166,"Error in Areas ▲",IF(P166&lt;&gt;'G-1 All Habitats'!$X$3,H166-S166-T166,IF(AND(P166='G-1 All Habitats'!$X$3,Y166="Yes"),"Unacceptable Loss",IF(AND(P166='G-1 All Habitats'!$X$3,Y166="No"),AC166,IF(AND(P166='G-1 All Habitats'!$X$3,Y166=""),AC166,IF(AND(P166='G-1 All Habitats'!$X$3,AC166="None",AC166),IF(AND(P166='G-1 All Habitats'!$X$3,AC166&gt;0),H166-S166-T166))))))))</f>
        <v/>
      </c>
      <c r="X166" s="515" t="str">
        <f>IFERROR(IF(H166="","",IF(H166-S166-T166=0&lt;0,"Error in Areas ▲",IF(S166+T166&gt;H166,"Error in Areas ▲",IF(AND(P166='G-1 All Habitats'!$X$3,Y166="Yes"),"Alternative Compensation ✓",IF(W166=0,0,IF(P166='G-1 All Habitats'!$X$3,"Unacceptable Loss ▲",Q166-U166-V166)))))),"Check Data ▲")</f>
        <v/>
      </c>
      <c r="Y166" s="72"/>
      <c r="Z166" s="80"/>
      <c r="AA166" s="81"/>
      <c r="AC166" s="75" t="str">
        <f>IF(P166="","",IF(P166='G-1 All Habitats'!$X$3,H166-S166-T166,"None"))</f>
        <v/>
      </c>
      <c r="AD166" s="76" t="str">
        <f>IFERROR(AC166*J166*L166*#REF!*O166,IF(P166="","","None"))</f>
        <v/>
      </c>
      <c r="AF166" s="54" t="str">
        <f t="shared" si="10"/>
        <v/>
      </c>
      <c r="AG166" s="54" t="str">
        <f t="shared" si="11"/>
        <v/>
      </c>
      <c r="AH166" s="54" t="str">
        <f>IF(I166="","",IF(#REF!&gt;0,TRUE,FALSE))</f>
        <v/>
      </c>
      <c r="AI166" s="54">
        <v>156</v>
      </c>
      <c r="AJ166" s="54"/>
      <c r="AK166" s="54" t="str">
        <f t="array" ref="AK166">IFERROR(INDEX($AI$11:$AI$259, MATCH(0, IF(TRUE=$AF$11:$AF$259, COUNTIF($AK$10:$AK165, $AI$11:$AI$259), ""), 0)),"")</f>
        <v/>
      </c>
      <c r="AL166" s="54" t="str">
        <f t="array" ref="AL166">IFERROR(INDEX($AI$11:$AI$259, MATCH(0, IF(TRUE=$AG$11:$AG$259, COUNTIF($AL$10:$AL165, $AI$11:$AI$259), ""), 0)),"")</f>
        <v/>
      </c>
      <c r="AM166" s="54" t="str">
        <f t="array" ref="AM166">IFERROR(INDEX($AI$11:$AI$259, MATCH(0, IF(TRUE=$AH$11:$AH$259, COUNTIF($AM$10:$AM165, $AI$11:$AI$259), ""), 0)),"")</f>
        <v/>
      </c>
      <c r="AN166" s="54"/>
      <c r="AQ166" s="47">
        <f t="shared" si="12"/>
        <v>0</v>
      </c>
    </row>
    <row r="167" spans="1:43" x14ac:dyDescent="0.25">
      <c r="A167" s="47" t="str">
        <f>IFERROR(INDEX('G-1 All Habitats'!$AG$3:$AG$15,MATCH(E167,'G-1 All Habitats'!$AF$3:$AF$15,0)),"")</f>
        <v/>
      </c>
      <c r="B167" s="47" t="str">
        <f>IFERROR(INDEX('G-8 Condition Look up'!$I$4:$I$130,MATCH(G167,'G-8 Condition Look up'!$A$4:$A$130,0)),"")</f>
        <v/>
      </c>
      <c r="D167" s="77">
        <v>157</v>
      </c>
      <c r="E167" s="78"/>
      <c r="F167" s="79"/>
      <c r="G167" s="69" t="str">
        <f>IFERROR(INDEX('G-1 All Habitats'!$B$3:$B$129,MATCH(F167,'G-1 All Habitats'!$A$3:$A$129,0)),"")</f>
        <v/>
      </c>
      <c r="H167" s="70"/>
      <c r="I167" s="498" t="str">
        <f>IF(G167="","",VLOOKUP(G167,'G-1 All Habitats'!$B$2:$M$129,10,FALSE))</f>
        <v/>
      </c>
      <c r="J167" s="499" t="str">
        <f>IFERROR(VLOOKUP(I167,'G-1 All Habitats'!$V$3:$W$7,2,FALSE),"")</f>
        <v/>
      </c>
      <c r="K167" s="71"/>
      <c r="L167" s="499" t="str">
        <f>IFERROR(INDEX('G-8 Condition Look up'!$A$3:$H$130,MATCH(G167,'G-8 Condition Look up'!$A$3:$A$130,0),MATCH(K167,'G-8 Condition Look up'!$A$3:$H$3,0)),"")</f>
        <v/>
      </c>
      <c r="M167" s="71"/>
      <c r="N167" s="520" t="str">
        <f>IF(M167="","",IF(VLOOKUP(M167,'G-3 Multipliers'!$L$3:$N$6,2,FALSE)=0,"Spatial Data Missing",VLOOKUP(M167,'G-3 Multipliers'!$L$3:$N$6,2,FALSE)))</f>
        <v/>
      </c>
      <c r="O167" s="505" t="str">
        <f>IF(M167="","",IF(VLOOKUP(M167,'G-3 Multipliers'!$L$3:$N$6,3,FALSE)=0,"Spatial Data Missing",VLOOKUP(M167,'G-3 Multipliers'!$L$3:$N$6,3,FALSE)))</f>
        <v/>
      </c>
      <c r="P167" s="506" t="str">
        <f>IFERROR(VLOOKUP(G167,'G-1 All Habitats'!$B$2:$M$129,12,FALSE),"")</f>
        <v/>
      </c>
      <c r="Q167" s="513" t="str">
        <f>IFERROR(IF(P167="","",IF(AND(P167='G-1 All Habitats'!$X$3,T167&gt;0),U167+V167,IF(AND(P167='G-1 All Habitats'!$X$3,S167&gt;0),U167+V167,IF(AND(P167='G-1 All Habitats'!$X$3,AC167&gt;0),"Any Loss Unacceptable ▲",IF(AND(P167='G-1 All Habitats'!$X$3,W167&gt;0),"Any Loss Unacceptable ▲",H167*J167*L167*O167))))),"Check Data ▲")</f>
        <v/>
      </c>
      <c r="R167" s="50"/>
      <c r="S167" s="71"/>
      <c r="T167" s="72"/>
      <c r="U167" s="511" t="str">
        <f t="shared" si="13"/>
        <v/>
      </c>
      <c r="V167" s="511" t="str">
        <f t="shared" si="14"/>
        <v/>
      </c>
      <c r="W167" s="511" t="str">
        <f>IF(E167="","",IF(H167&lt;S167+T167,"Error in Areas ▲",IF(P167&lt;&gt;'G-1 All Habitats'!$X$3,H167-S167-T167,IF(AND(P167='G-1 All Habitats'!$X$3,Y167="Yes"),"Unacceptable Loss",IF(AND(P167='G-1 All Habitats'!$X$3,Y167="No"),AC167,IF(AND(P167='G-1 All Habitats'!$X$3,Y167=""),AC167,IF(AND(P167='G-1 All Habitats'!$X$3,AC167="None",AC167),IF(AND(P167='G-1 All Habitats'!$X$3,AC167&gt;0),H167-S167-T167))))))))</f>
        <v/>
      </c>
      <c r="X167" s="515" t="str">
        <f>IFERROR(IF(H167="","",IF(H167-S167-T167=0&lt;0,"Error in Areas ▲",IF(S167+T167&gt;H167,"Error in Areas ▲",IF(AND(P167='G-1 All Habitats'!$X$3,Y167="Yes"),"Alternative Compensation ✓",IF(W167=0,0,IF(P167='G-1 All Habitats'!$X$3,"Unacceptable Loss ▲",Q167-U167-V167)))))),"Check Data ▲")</f>
        <v/>
      </c>
      <c r="Y167" s="72"/>
      <c r="Z167" s="80"/>
      <c r="AA167" s="81"/>
      <c r="AC167" s="75" t="str">
        <f>IF(P167="","",IF(P167='G-1 All Habitats'!$X$3,H167-S167-T167,"None"))</f>
        <v/>
      </c>
      <c r="AD167" s="76" t="str">
        <f>IFERROR(AC167*J167*L167*#REF!*O167,IF(P167="","","None"))</f>
        <v/>
      </c>
      <c r="AF167" s="54" t="str">
        <f t="shared" si="10"/>
        <v/>
      </c>
      <c r="AG167" s="54" t="str">
        <f t="shared" si="11"/>
        <v/>
      </c>
      <c r="AH167" s="54" t="str">
        <f>IF(I167="","",IF(#REF!&gt;0,TRUE,FALSE))</f>
        <v/>
      </c>
      <c r="AI167" s="54">
        <v>157</v>
      </c>
      <c r="AJ167" s="54"/>
      <c r="AK167" s="54" t="str">
        <f t="array" ref="AK167">IFERROR(INDEX($AI$11:$AI$259, MATCH(0, IF(TRUE=$AF$11:$AF$259, COUNTIF($AK$10:$AK166, $AI$11:$AI$259), ""), 0)),"")</f>
        <v/>
      </c>
      <c r="AL167" s="54" t="str">
        <f t="array" ref="AL167">IFERROR(INDEX($AI$11:$AI$259, MATCH(0, IF(TRUE=$AG$11:$AG$259, COUNTIF($AL$10:$AL166, $AI$11:$AI$259), ""), 0)),"")</f>
        <v/>
      </c>
      <c r="AM167" s="54" t="str">
        <f t="array" ref="AM167">IFERROR(INDEX($AI$11:$AI$259, MATCH(0, IF(TRUE=$AH$11:$AH$259, COUNTIF($AM$10:$AM166, $AI$11:$AI$259), ""), 0)),"")</f>
        <v/>
      </c>
      <c r="AN167" s="54"/>
      <c r="AQ167" s="47">
        <f t="shared" si="12"/>
        <v>0</v>
      </c>
    </row>
    <row r="168" spans="1:43" x14ac:dyDescent="0.25">
      <c r="A168" s="47" t="str">
        <f>IFERROR(INDEX('G-1 All Habitats'!$AG$3:$AG$15,MATCH(E168,'G-1 All Habitats'!$AF$3:$AF$15,0)),"")</f>
        <v/>
      </c>
      <c r="B168" s="47" t="str">
        <f>IFERROR(INDEX('G-8 Condition Look up'!$I$4:$I$130,MATCH(G168,'G-8 Condition Look up'!$A$4:$A$130,0)),"")</f>
        <v/>
      </c>
      <c r="D168" s="77">
        <v>158</v>
      </c>
      <c r="E168" s="78"/>
      <c r="F168" s="79"/>
      <c r="G168" s="69" t="str">
        <f>IFERROR(INDEX('G-1 All Habitats'!$B$3:$B$129,MATCH(F168,'G-1 All Habitats'!$A$3:$A$129,0)),"")</f>
        <v/>
      </c>
      <c r="H168" s="70"/>
      <c r="I168" s="498" t="str">
        <f>IF(G168="","",VLOOKUP(G168,'G-1 All Habitats'!$B$2:$M$129,10,FALSE))</f>
        <v/>
      </c>
      <c r="J168" s="499" t="str">
        <f>IFERROR(VLOOKUP(I168,'G-1 All Habitats'!$V$3:$W$7,2,FALSE),"")</f>
        <v/>
      </c>
      <c r="K168" s="71"/>
      <c r="L168" s="499" t="str">
        <f>IFERROR(INDEX('G-8 Condition Look up'!$A$3:$H$130,MATCH(G168,'G-8 Condition Look up'!$A$3:$A$130,0),MATCH(K168,'G-8 Condition Look up'!$A$3:$H$3,0)),"")</f>
        <v/>
      </c>
      <c r="M168" s="71"/>
      <c r="N168" s="520" t="str">
        <f>IF(M168="","",IF(VLOOKUP(M168,'G-3 Multipliers'!$L$3:$N$6,2,FALSE)=0,"Spatial Data Missing",VLOOKUP(M168,'G-3 Multipliers'!$L$3:$N$6,2,FALSE)))</f>
        <v/>
      </c>
      <c r="O168" s="505" t="str">
        <f>IF(M168="","",IF(VLOOKUP(M168,'G-3 Multipliers'!$L$3:$N$6,3,FALSE)=0,"Spatial Data Missing",VLOOKUP(M168,'G-3 Multipliers'!$L$3:$N$6,3,FALSE)))</f>
        <v/>
      </c>
      <c r="P168" s="506" t="str">
        <f>IFERROR(VLOOKUP(G168,'G-1 All Habitats'!$B$2:$M$129,12,FALSE),"")</f>
        <v/>
      </c>
      <c r="Q168" s="513" t="str">
        <f>IFERROR(IF(P168="","",IF(AND(P168='G-1 All Habitats'!$X$3,T168&gt;0),U168+V168,IF(AND(P168='G-1 All Habitats'!$X$3,S168&gt;0),U168+V168,IF(AND(P168='G-1 All Habitats'!$X$3,AC168&gt;0),"Any Loss Unacceptable ▲",IF(AND(P168='G-1 All Habitats'!$X$3,W168&gt;0),"Any Loss Unacceptable ▲",H168*J168*L168*O168))))),"Check Data ▲")</f>
        <v/>
      </c>
      <c r="R168" s="50"/>
      <c r="S168" s="71"/>
      <c r="T168" s="72"/>
      <c r="U168" s="511" t="str">
        <f t="shared" si="13"/>
        <v/>
      </c>
      <c r="V168" s="511" t="str">
        <f t="shared" si="14"/>
        <v/>
      </c>
      <c r="W168" s="511" t="str">
        <f>IF(E168="","",IF(H168&lt;S168+T168,"Error in Areas ▲",IF(P168&lt;&gt;'G-1 All Habitats'!$X$3,H168-S168-T168,IF(AND(P168='G-1 All Habitats'!$X$3,Y168="Yes"),"Unacceptable Loss",IF(AND(P168='G-1 All Habitats'!$X$3,Y168="No"),AC168,IF(AND(P168='G-1 All Habitats'!$X$3,Y168=""),AC168,IF(AND(P168='G-1 All Habitats'!$X$3,AC168="None",AC168),IF(AND(P168='G-1 All Habitats'!$X$3,AC168&gt;0),H168-S168-T168))))))))</f>
        <v/>
      </c>
      <c r="X168" s="515" t="str">
        <f>IFERROR(IF(H168="","",IF(H168-S168-T168=0&lt;0,"Error in Areas ▲",IF(S168+T168&gt;H168,"Error in Areas ▲",IF(AND(P168='G-1 All Habitats'!$X$3,Y168="Yes"),"Alternative Compensation ✓",IF(W168=0,0,IF(P168='G-1 All Habitats'!$X$3,"Unacceptable Loss ▲",Q168-U168-V168)))))),"Check Data ▲")</f>
        <v/>
      </c>
      <c r="Y168" s="72"/>
      <c r="Z168" s="80"/>
      <c r="AA168" s="81"/>
      <c r="AC168" s="75" t="str">
        <f>IF(P168="","",IF(P168='G-1 All Habitats'!$X$3,H168-S168-T168,"None"))</f>
        <v/>
      </c>
      <c r="AD168" s="76" t="str">
        <f>IFERROR(AC168*J168*L168*#REF!*O168,IF(P168="","","None"))</f>
        <v/>
      </c>
      <c r="AF168" s="54" t="str">
        <f t="shared" si="10"/>
        <v/>
      </c>
      <c r="AG168" s="54" t="str">
        <f t="shared" si="11"/>
        <v/>
      </c>
      <c r="AH168" s="54" t="str">
        <f>IF(I168="","",IF(#REF!&gt;0,TRUE,FALSE))</f>
        <v/>
      </c>
      <c r="AI168" s="54">
        <v>158</v>
      </c>
      <c r="AJ168" s="54"/>
      <c r="AK168" s="54" t="str">
        <f t="array" ref="AK168">IFERROR(INDEX($AI$11:$AI$259, MATCH(0, IF(TRUE=$AF$11:$AF$259, COUNTIF($AK$10:$AK167, $AI$11:$AI$259), ""), 0)),"")</f>
        <v/>
      </c>
      <c r="AL168" s="54" t="str">
        <f t="array" ref="AL168">IFERROR(INDEX($AI$11:$AI$259, MATCH(0, IF(TRUE=$AG$11:$AG$259, COUNTIF($AL$10:$AL167, $AI$11:$AI$259), ""), 0)),"")</f>
        <v/>
      </c>
      <c r="AM168" s="54" t="str">
        <f t="array" ref="AM168">IFERROR(INDEX($AI$11:$AI$259, MATCH(0, IF(TRUE=$AH$11:$AH$259, COUNTIF($AM$10:$AM167, $AI$11:$AI$259), ""), 0)),"")</f>
        <v/>
      </c>
      <c r="AN168" s="54"/>
      <c r="AQ168" s="47">
        <f t="shared" si="12"/>
        <v>0</v>
      </c>
    </row>
    <row r="169" spans="1:43" x14ac:dyDescent="0.25">
      <c r="A169" s="47" t="str">
        <f>IFERROR(INDEX('G-1 All Habitats'!$AG$3:$AG$15,MATCH(E169,'G-1 All Habitats'!$AF$3:$AF$15,0)),"")</f>
        <v/>
      </c>
      <c r="B169" s="47" t="str">
        <f>IFERROR(INDEX('G-8 Condition Look up'!$I$4:$I$130,MATCH(G169,'G-8 Condition Look up'!$A$4:$A$130,0)),"")</f>
        <v/>
      </c>
      <c r="D169" s="77">
        <v>159</v>
      </c>
      <c r="E169" s="78"/>
      <c r="F169" s="79"/>
      <c r="G169" s="69" t="str">
        <f>IFERROR(INDEX('G-1 All Habitats'!$B$3:$B$129,MATCH(F169,'G-1 All Habitats'!$A$3:$A$129,0)),"")</f>
        <v/>
      </c>
      <c r="H169" s="70"/>
      <c r="I169" s="498" t="str">
        <f>IF(G169="","",VLOOKUP(G169,'G-1 All Habitats'!$B$2:$M$129,10,FALSE))</f>
        <v/>
      </c>
      <c r="J169" s="499" t="str">
        <f>IFERROR(VLOOKUP(I169,'G-1 All Habitats'!$V$3:$W$7,2,FALSE),"")</f>
        <v/>
      </c>
      <c r="K169" s="71"/>
      <c r="L169" s="499" t="str">
        <f>IFERROR(INDEX('G-8 Condition Look up'!$A$3:$H$130,MATCH(G169,'G-8 Condition Look up'!$A$3:$A$130,0),MATCH(K169,'G-8 Condition Look up'!$A$3:$H$3,0)),"")</f>
        <v/>
      </c>
      <c r="M169" s="71"/>
      <c r="N169" s="520" t="str">
        <f>IF(M169="","",IF(VLOOKUP(M169,'G-3 Multipliers'!$L$3:$N$6,2,FALSE)=0,"Spatial Data Missing",VLOOKUP(M169,'G-3 Multipliers'!$L$3:$N$6,2,FALSE)))</f>
        <v/>
      </c>
      <c r="O169" s="505" t="str">
        <f>IF(M169="","",IF(VLOOKUP(M169,'G-3 Multipliers'!$L$3:$N$6,3,FALSE)=0,"Spatial Data Missing",VLOOKUP(M169,'G-3 Multipliers'!$L$3:$N$6,3,FALSE)))</f>
        <v/>
      </c>
      <c r="P169" s="506" t="str">
        <f>IFERROR(VLOOKUP(G169,'G-1 All Habitats'!$B$2:$M$129,12,FALSE),"")</f>
        <v/>
      </c>
      <c r="Q169" s="513" t="str">
        <f>IFERROR(IF(P169="","",IF(AND(P169='G-1 All Habitats'!$X$3,T169&gt;0),U169+V169,IF(AND(P169='G-1 All Habitats'!$X$3,S169&gt;0),U169+V169,IF(AND(P169='G-1 All Habitats'!$X$3,AC169&gt;0),"Any Loss Unacceptable ▲",IF(AND(P169='G-1 All Habitats'!$X$3,W169&gt;0),"Any Loss Unacceptable ▲",H169*J169*L169*O169))))),"Check Data ▲")</f>
        <v/>
      </c>
      <c r="R169" s="50"/>
      <c r="S169" s="71"/>
      <c r="T169" s="72"/>
      <c r="U169" s="511" t="str">
        <f t="shared" si="13"/>
        <v/>
      </c>
      <c r="V169" s="511" t="str">
        <f t="shared" si="14"/>
        <v/>
      </c>
      <c r="W169" s="511" t="str">
        <f>IF(E169="","",IF(H169&lt;S169+T169,"Error in Areas ▲",IF(P169&lt;&gt;'G-1 All Habitats'!$X$3,H169-S169-T169,IF(AND(P169='G-1 All Habitats'!$X$3,Y169="Yes"),"Unacceptable Loss",IF(AND(P169='G-1 All Habitats'!$X$3,Y169="No"),AC169,IF(AND(P169='G-1 All Habitats'!$X$3,Y169=""),AC169,IF(AND(P169='G-1 All Habitats'!$X$3,AC169="None",AC169),IF(AND(P169='G-1 All Habitats'!$X$3,AC169&gt;0),H169-S169-T169))))))))</f>
        <v/>
      </c>
      <c r="X169" s="515" t="str">
        <f>IFERROR(IF(H169="","",IF(H169-S169-T169=0&lt;0,"Error in Areas ▲",IF(S169+T169&gt;H169,"Error in Areas ▲",IF(AND(P169='G-1 All Habitats'!$X$3,Y169="Yes"),"Alternative Compensation ✓",IF(W169=0,0,IF(P169='G-1 All Habitats'!$X$3,"Unacceptable Loss ▲",Q169-U169-V169)))))),"Check Data ▲")</f>
        <v/>
      </c>
      <c r="Y169" s="72"/>
      <c r="Z169" s="80"/>
      <c r="AA169" s="81"/>
      <c r="AC169" s="75" t="str">
        <f>IF(P169="","",IF(P169='G-1 All Habitats'!$X$3,H169-S169-T169,"None"))</f>
        <v/>
      </c>
      <c r="AD169" s="76" t="str">
        <f>IFERROR(AC169*J169*L169*#REF!*O169,IF(P169="","","None"))</f>
        <v/>
      </c>
      <c r="AF169" s="54" t="str">
        <f t="shared" si="10"/>
        <v/>
      </c>
      <c r="AG169" s="54" t="str">
        <f t="shared" si="11"/>
        <v/>
      </c>
      <c r="AH169" s="54" t="str">
        <f>IF(I169="","",IF(#REF!&gt;0,TRUE,FALSE))</f>
        <v/>
      </c>
      <c r="AI169" s="54">
        <v>159</v>
      </c>
      <c r="AJ169" s="54"/>
      <c r="AK169" s="54" t="str">
        <f t="array" ref="AK169">IFERROR(INDEX($AI$11:$AI$259, MATCH(0, IF(TRUE=$AF$11:$AF$259, COUNTIF($AK$10:$AK168, $AI$11:$AI$259), ""), 0)),"")</f>
        <v/>
      </c>
      <c r="AL169" s="54" t="str">
        <f t="array" ref="AL169">IFERROR(INDEX($AI$11:$AI$259, MATCH(0, IF(TRUE=$AG$11:$AG$259, COUNTIF($AL$10:$AL168, $AI$11:$AI$259), ""), 0)),"")</f>
        <v/>
      </c>
      <c r="AM169" s="54" t="str">
        <f t="array" ref="AM169">IFERROR(INDEX($AI$11:$AI$259, MATCH(0, IF(TRUE=$AH$11:$AH$259, COUNTIF($AM$10:$AM168, $AI$11:$AI$259), ""), 0)),"")</f>
        <v/>
      </c>
      <c r="AN169" s="54"/>
      <c r="AQ169" s="47">
        <f t="shared" si="12"/>
        <v>0</v>
      </c>
    </row>
    <row r="170" spans="1:43" x14ac:dyDescent="0.25">
      <c r="A170" s="47" t="str">
        <f>IFERROR(INDEX('G-1 All Habitats'!$AG$3:$AG$15,MATCH(E170,'G-1 All Habitats'!$AF$3:$AF$15,0)),"")</f>
        <v/>
      </c>
      <c r="B170" s="47" t="str">
        <f>IFERROR(INDEX('G-8 Condition Look up'!$I$4:$I$130,MATCH(G170,'G-8 Condition Look up'!$A$4:$A$130,0)),"")</f>
        <v/>
      </c>
      <c r="D170" s="77">
        <v>160</v>
      </c>
      <c r="E170" s="78"/>
      <c r="F170" s="79"/>
      <c r="G170" s="69" t="str">
        <f>IFERROR(INDEX('G-1 All Habitats'!$B$3:$B$129,MATCH(F170,'G-1 All Habitats'!$A$3:$A$129,0)),"")</f>
        <v/>
      </c>
      <c r="H170" s="70"/>
      <c r="I170" s="498" t="str">
        <f>IF(G170="","",VLOOKUP(G170,'G-1 All Habitats'!$B$2:$M$129,10,FALSE))</f>
        <v/>
      </c>
      <c r="J170" s="499" t="str">
        <f>IFERROR(VLOOKUP(I170,'G-1 All Habitats'!$V$3:$W$7,2,FALSE),"")</f>
        <v/>
      </c>
      <c r="K170" s="71"/>
      <c r="L170" s="499" t="str">
        <f>IFERROR(INDEX('G-8 Condition Look up'!$A$3:$H$130,MATCH(G170,'G-8 Condition Look up'!$A$3:$A$130,0),MATCH(K170,'G-8 Condition Look up'!$A$3:$H$3,0)),"")</f>
        <v/>
      </c>
      <c r="M170" s="71"/>
      <c r="N170" s="520" t="str">
        <f>IF(M170="","",IF(VLOOKUP(M170,'G-3 Multipliers'!$L$3:$N$6,2,FALSE)=0,"Spatial Data Missing",VLOOKUP(M170,'G-3 Multipliers'!$L$3:$N$6,2,FALSE)))</f>
        <v/>
      </c>
      <c r="O170" s="505" t="str">
        <f>IF(M170="","",IF(VLOOKUP(M170,'G-3 Multipliers'!$L$3:$N$6,3,FALSE)=0,"Spatial Data Missing",VLOOKUP(M170,'G-3 Multipliers'!$L$3:$N$6,3,FALSE)))</f>
        <v/>
      </c>
      <c r="P170" s="506" t="str">
        <f>IFERROR(VLOOKUP(G170,'G-1 All Habitats'!$B$2:$M$129,12,FALSE),"")</f>
        <v/>
      </c>
      <c r="Q170" s="513" t="str">
        <f>IFERROR(IF(P170="","",IF(AND(P170='G-1 All Habitats'!$X$3,T170&gt;0),U170+V170,IF(AND(P170='G-1 All Habitats'!$X$3,S170&gt;0),U170+V170,IF(AND(P170='G-1 All Habitats'!$X$3,AC170&gt;0),"Any Loss Unacceptable ▲",IF(AND(P170='G-1 All Habitats'!$X$3,W170&gt;0),"Any Loss Unacceptable ▲",H170*J170*L170*O170))))),"Check Data ▲")</f>
        <v/>
      </c>
      <c r="R170" s="50"/>
      <c r="S170" s="71"/>
      <c r="T170" s="72"/>
      <c r="U170" s="511" t="str">
        <f t="shared" si="13"/>
        <v/>
      </c>
      <c r="V170" s="511" t="str">
        <f t="shared" si="14"/>
        <v/>
      </c>
      <c r="W170" s="511" t="str">
        <f>IF(E170="","",IF(H170&lt;S170+T170,"Error in Areas ▲",IF(P170&lt;&gt;'G-1 All Habitats'!$X$3,H170-S170-T170,IF(AND(P170='G-1 All Habitats'!$X$3,Y170="Yes"),"Unacceptable Loss",IF(AND(P170='G-1 All Habitats'!$X$3,Y170="No"),AC170,IF(AND(P170='G-1 All Habitats'!$X$3,Y170=""),AC170,IF(AND(P170='G-1 All Habitats'!$X$3,AC170="None",AC170),IF(AND(P170='G-1 All Habitats'!$X$3,AC170&gt;0),H170-S170-T170))))))))</f>
        <v/>
      </c>
      <c r="X170" s="515" t="str">
        <f>IFERROR(IF(H170="","",IF(H170-S170-T170=0&lt;0,"Error in Areas ▲",IF(S170+T170&gt;H170,"Error in Areas ▲",IF(AND(P170='G-1 All Habitats'!$X$3,Y170="Yes"),"Alternative Compensation ✓",IF(W170=0,0,IF(P170='G-1 All Habitats'!$X$3,"Unacceptable Loss ▲",Q170-U170-V170)))))),"Check Data ▲")</f>
        <v/>
      </c>
      <c r="Y170" s="72"/>
      <c r="Z170" s="80"/>
      <c r="AA170" s="81"/>
      <c r="AC170" s="75" t="str">
        <f>IF(P170="","",IF(P170='G-1 All Habitats'!$X$3,H170-S170-T170,"None"))</f>
        <v/>
      </c>
      <c r="AD170" s="76" t="str">
        <f>IFERROR(AC170*J170*L170*#REF!*O170,IF(P170="","","None"))</f>
        <v/>
      </c>
      <c r="AF170" s="54" t="str">
        <f t="shared" si="10"/>
        <v/>
      </c>
      <c r="AG170" s="54" t="str">
        <f t="shared" si="11"/>
        <v/>
      </c>
      <c r="AH170" s="54" t="str">
        <f>IF(I170="","",IF(#REF!&gt;0,TRUE,FALSE))</f>
        <v/>
      </c>
      <c r="AI170" s="54">
        <v>160</v>
      </c>
      <c r="AJ170" s="54"/>
      <c r="AK170" s="54" t="str">
        <f t="array" ref="AK170">IFERROR(INDEX($AI$11:$AI$259, MATCH(0, IF(TRUE=$AF$11:$AF$259, COUNTIF($AK$10:$AK169, $AI$11:$AI$259), ""), 0)),"")</f>
        <v/>
      </c>
      <c r="AL170" s="54" t="str">
        <f t="array" ref="AL170">IFERROR(INDEX($AI$11:$AI$259, MATCH(0, IF(TRUE=$AG$11:$AG$259, COUNTIF($AL$10:$AL169, $AI$11:$AI$259), ""), 0)),"")</f>
        <v/>
      </c>
      <c r="AM170" s="54" t="str">
        <f t="array" ref="AM170">IFERROR(INDEX($AI$11:$AI$259, MATCH(0, IF(TRUE=$AH$11:$AH$259, COUNTIF($AM$10:$AM169, $AI$11:$AI$259), ""), 0)),"")</f>
        <v/>
      </c>
      <c r="AN170" s="54"/>
      <c r="AQ170" s="47">
        <f t="shared" si="12"/>
        <v>0</v>
      </c>
    </row>
    <row r="171" spans="1:43" x14ac:dyDescent="0.25">
      <c r="A171" s="47" t="str">
        <f>IFERROR(INDEX('G-1 All Habitats'!$AG$3:$AG$15,MATCH(E171,'G-1 All Habitats'!$AF$3:$AF$15,0)),"")</f>
        <v/>
      </c>
      <c r="B171" s="47" t="str">
        <f>IFERROR(INDEX('G-8 Condition Look up'!$I$4:$I$130,MATCH(G171,'G-8 Condition Look up'!$A$4:$A$130,0)),"")</f>
        <v/>
      </c>
      <c r="D171" s="77">
        <v>161</v>
      </c>
      <c r="E171" s="78"/>
      <c r="F171" s="79"/>
      <c r="G171" s="69" t="str">
        <f>IFERROR(INDEX('G-1 All Habitats'!$B$3:$B$129,MATCH(F171,'G-1 All Habitats'!$A$3:$A$129,0)),"")</f>
        <v/>
      </c>
      <c r="H171" s="70"/>
      <c r="I171" s="498" t="str">
        <f>IF(G171="","",VLOOKUP(G171,'G-1 All Habitats'!$B$2:$M$129,10,FALSE))</f>
        <v/>
      </c>
      <c r="J171" s="499" t="str">
        <f>IFERROR(VLOOKUP(I171,'G-1 All Habitats'!$V$3:$W$7,2,FALSE),"")</f>
        <v/>
      </c>
      <c r="K171" s="71"/>
      <c r="L171" s="499" t="str">
        <f>IFERROR(INDEX('G-8 Condition Look up'!$A$3:$H$130,MATCH(G171,'G-8 Condition Look up'!$A$3:$A$130,0),MATCH(K171,'G-8 Condition Look up'!$A$3:$H$3,0)),"")</f>
        <v/>
      </c>
      <c r="M171" s="71"/>
      <c r="N171" s="520" t="str">
        <f>IF(M171="","",IF(VLOOKUP(M171,'G-3 Multipliers'!$L$3:$N$6,2,FALSE)=0,"Spatial Data Missing",VLOOKUP(M171,'G-3 Multipliers'!$L$3:$N$6,2,FALSE)))</f>
        <v/>
      </c>
      <c r="O171" s="505" t="str">
        <f>IF(M171="","",IF(VLOOKUP(M171,'G-3 Multipliers'!$L$3:$N$6,3,FALSE)=0,"Spatial Data Missing",VLOOKUP(M171,'G-3 Multipliers'!$L$3:$N$6,3,FALSE)))</f>
        <v/>
      </c>
      <c r="P171" s="506" t="str">
        <f>IFERROR(VLOOKUP(G171,'G-1 All Habitats'!$B$2:$M$129,12,FALSE),"")</f>
        <v/>
      </c>
      <c r="Q171" s="513" t="str">
        <f>IFERROR(IF(P171="","",IF(AND(P171='G-1 All Habitats'!$X$3,T171&gt;0),U171+V171,IF(AND(P171='G-1 All Habitats'!$X$3,S171&gt;0),U171+V171,IF(AND(P171='G-1 All Habitats'!$X$3,AC171&gt;0),"Any Loss Unacceptable ▲",IF(AND(P171='G-1 All Habitats'!$X$3,W171&gt;0),"Any Loss Unacceptable ▲",H171*J171*L171*O171))))),"Check Data ▲")</f>
        <v/>
      </c>
      <c r="R171" s="50"/>
      <c r="S171" s="71"/>
      <c r="T171" s="72"/>
      <c r="U171" s="511" t="str">
        <f t="shared" si="13"/>
        <v/>
      </c>
      <c r="V171" s="511" t="str">
        <f t="shared" si="14"/>
        <v/>
      </c>
      <c r="W171" s="511" t="str">
        <f>IF(E171="","",IF(H171&lt;S171+T171,"Error in Areas ▲",IF(P171&lt;&gt;'G-1 All Habitats'!$X$3,H171-S171-T171,IF(AND(P171='G-1 All Habitats'!$X$3,Y171="Yes"),"Unacceptable Loss",IF(AND(P171='G-1 All Habitats'!$X$3,Y171="No"),AC171,IF(AND(P171='G-1 All Habitats'!$X$3,Y171=""),AC171,IF(AND(P171='G-1 All Habitats'!$X$3,AC171="None",AC171),IF(AND(P171='G-1 All Habitats'!$X$3,AC171&gt;0),H171-S171-T171))))))))</f>
        <v/>
      </c>
      <c r="X171" s="515" t="str">
        <f>IFERROR(IF(H171="","",IF(H171-S171-T171=0&lt;0,"Error in Areas ▲",IF(S171+T171&gt;H171,"Error in Areas ▲",IF(AND(P171='G-1 All Habitats'!$X$3,Y171="Yes"),"Alternative Compensation ✓",IF(W171=0,0,IF(P171='G-1 All Habitats'!$X$3,"Unacceptable Loss ▲",Q171-U171-V171)))))),"Check Data ▲")</f>
        <v/>
      </c>
      <c r="Y171" s="72"/>
      <c r="Z171" s="80"/>
      <c r="AA171" s="81"/>
      <c r="AC171" s="75" t="str">
        <f>IF(P171="","",IF(P171='G-1 All Habitats'!$X$3,H171-S171-T171,"None"))</f>
        <v/>
      </c>
      <c r="AD171" s="76" t="str">
        <f>IFERROR(AC171*J171*L171*#REF!*O171,IF(P171="","","None"))</f>
        <v/>
      </c>
      <c r="AF171" s="54" t="str">
        <f t="shared" si="10"/>
        <v/>
      </c>
      <c r="AG171" s="54" t="str">
        <f t="shared" si="11"/>
        <v/>
      </c>
      <c r="AH171" s="54" t="str">
        <f>IF(I171="","",IF(#REF!&gt;0,TRUE,FALSE))</f>
        <v/>
      </c>
      <c r="AI171" s="54">
        <v>161</v>
      </c>
      <c r="AJ171" s="54"/>
      <c r="AK171" s="54" t="str">
        <f t="array" ref="AK171">IFERROR(INDEX($AI$11:$AI$259, MATCH(0, IF(TRUE=$AF$11:$AF$259, COUNTIF($AK$10:$AK170, $AI$11:$AI$259), ""), 0)),"")</f>
        <v/>
      </c>
      <c r="AL171" s="54" t="str">
        <f t="array" ref="AL171">IFERROR(INDEX($AI$11:$AI$259, MATCH(0, IF(TRUE=$AG$11:$AG$259, COUNTIF($AL$10:$AL170, $AI$11:$AI$259), ""), 0)),"")</f>
        <v/>
      </c>
      <c r="AM171" s="54" t="str">
        <f t="array" ref="AM171">IFERROR(INDEX($AI$11:$AI$259, MATCH(0, IF(TRUE=$AH$11:$AH$259, COUNTIF($AM$10:$AM170, $AI$11:$AI$259), ""), 0)),"")</f>
        <v/>
      </c>
      <c r="AN171" s="54"/>
      <c r="AQ171" s="47">
        <f t="shared" si="12"/>
        <v>0</v>
      </c>
    </row>
    <row r="172" spans="1:43" x14ac:dyDescent="0.25">
      <c r="A172" s="47" t="str">
        <f>IFERROR(INDEX('G-1 All Habitats'!$AG$3:$AG$15,MATCH(E172,'G-1 All Habitats'!$AF$3:$AF$15,0)),"")</f>
        <v/>
      </c>
      <c r="B172" s="47" t="str">
        <f>IFERROR(INDEX('G-8 Condition Look up'!$I$4:$I$130,MATCH(G172,'G-8 Condition Look up'!$A$4:$A$130,0)),"")</f>
        <v/>
      </c>
      <c r="D172" s="77">
        <v>162</v>
      </c>
      <c r="E172" s="78"/>
      <c r="F172" s="79"/>
      <c r="G172" s="69" t="str">
        <f>IFERROR(INDEX('G-1 All Habitats'!$B$3:$B$129,MATCH(F172,'G-1 All Habitats'!$A$3:$A$129,0)),"")</f>
        <v/>
      </c>
      <c r="H172" s="70"/>
      <c r="I172" s="498" t="str">
        <f>IF(G172="","",VLOOKUP(G172,'G-1 All Habitats'!$B$2:$M$129,10,FALSE))</f>
        <v/>
      </c>
      <c r="J172" s="499" t="str">
        <f>IFERROR(VLOOKUP(I172,'G-1 All Habitats'!$V$3:$W$7,2,FALSE),"")</f>
        <v/>
      </c>
      <c r="K172" s="71"/>
      <c r="L172" s="499" t="str">
        <f>IFERROR(INDEX('G-8 Condition Look up'!$A$3:$H$130,MATCH(G172,'G-8 Condition Look up'!$A$3:$A$130,0),MATCH(K172,'G-8 Condition Look up'!$A$3:$H$3,0)),"")</f>
        <v/>
      </c>
      <c r="M172" s="71"/>
      <c r="N172" s="520" t="str">
        <f>IF(M172="","",IF(VLOOKUP(M172,'G-3 Multipliers'!$L$3:$N$6,2,FALSE)=0,"Spatial Data Missing",VLOOKUP(M172,'G-3 Multipliers'!$L$3:$N$6,2,FALSE)))</f>
        <v/>
      </c>
      <c r="O172" s="505" t="str">
        <f>IF(M172="","",IF(VLOOKUP(M172,'G-3 Multipliers'!$L$3:$N$6,3,FALSE)=0,"Spatial Data Missing",VLOOKUP(M172,'G-3 Multipliers'!$L$3:$N$6,3,FALSE)))</f>
        <v/>
      </c>
      <c r="P172" s="506" t="str">
        <f>IFERROR(VLOOKUP(G172,'G-1 All Habitats'!$B$2:$M$129,12,FALSE),"")</f>
        <v/>
      </c>
      <c r="Q172" s="513" t="str">
        <f>IFERROR(IF(P172="","",IF(AND(P172='G-1 All Habitats'!$X$3,T172&gt;0),U172+V172,IF(AND(P172='G-1 All Habitats'!$X$3,S172&gt;0),U172+V172,IF(AND(P172='G-1 All Habitats'!$X$3,AC172&gt;0),"Any Loss Unacceptable ▲",IF(AND(P172='G-1 All Habitats'!$X$3,W172&gt;0),"Any Loss Unacceptable ▲",H172*J172*L172*O172))))),"Check Data ▲")</f>
        <v/>
      </c>
      <c r="R172" s="50"/>
      <c r="S172" s="71"/>
      <c r="T172" s="72"/>
      <c r="U172" s="511" t="str">
        <f t="shared" si="13"/>
        <v/>
      </c>
      <c r="V172" s="511" t="str">
        <f t="shared" si="14"/>
        <v/>
      </c>
      <c r="W172" s="511" t="str">
        <f>IF(E172="","",IF(H172&lt;S172+T172,"Error in Areas ▲",IF(P172&lt;&gt;'G-1 All Habitats'!$X$3,H172-S172-T172,IF(AND(P172='G-1 All Habitats'!$X$3,Y172="Yes"),"Unacceptable Loss",IF(AND(P172='G-1 All Habitats'!$X$3,Y172="No"),AC172,IF(AND(P172='G-1 All Habitats'!$X$3,Y172=""),AC172,IF(AND(P172='G-1 All Habitats'!$X$3,AC172="None",AC172),IF(AND(P172='G-1 All Habitats'!$X$3,AC172&gt;0),H172-S172-T172))))))))</f>
        <v/>
      </c>
      <c r="X172" s="515" t="str">
        <f>IFERROR(IF(H172="","",IF(H172-S172-T172=0&lt;0,"Error in Areas ▲",IF(S172+T172&gt;H172,"Error in Areas ▲",IF(AND(P172='G-1 All Habitats'!$X$3,Y172="Yes"),"Alternative Compensation ✓",IF(W172=0,0,IF(P172='G-1 All Habitats'!$X$3,"Unacceptable Loss ▲",Q172-U172-V172)))))),"Check Data ▲")</f>
        <v/>
      </c>
      <c r="Y172" s="72"/>
      <c r="Z172" s="80"/>
      <c r="AA172" s="81"/>
      <c r="AC172" s="75" t="str">
        <f>IF(P172="","",IF(P172='G-1 All Habitats'!$X$3,H172-S172-T172,"None"))</f>
        <v/>
      </c>
      <c r="AD172" s="76" t="str">
        <f>IFERROR(AC172*J172*L172*#REF!*O172,IF(P172="","","None"))</f>
        <v/>
      </c>
      <c r="AF172" s="54" t="str">
        <f t="shared" si="10"/>
        <v/>
      </c>
      <c r="AG172" s="54" t="str">
        <f t="shared" si="11"/>
        <v/>
      </c>
      <c r="AH172" s="54" t="str">
        <f>IF(I172="","",IF(#REF!&gt;0,TRUE,FALSE))</f>
        <v/>
      </c>
      <c r="AI172" s="54">
        <v>162</v>
      </c>
      <c r="AJ172" s="54"/>
      <c r="AK172" s="54" t="str">
        <f t="array" ref="AK172">IFERROR(INDEX($AI$11:$AI$259, MATCH(0, IF(TRUE=$AF$11:$AF$259, COUNTIF($AK$10:$AK171, $AI$11:$AI$259), ""), 0)),"")</f>
        <v/>
      </c>
      <c r="AL172" s="54" t="str">
        <f t="array" ref="AL172">IFERROR(INDEX($AI$11:$AI$259, MATCH(0, IF(TRUE=$AG$11:$AG$259, COUNTIF($AL$10:$AL171, $AI$11:$AI$259), ""), 0)),"")</f>
        <v/>
      </c>
      <c r="AM172" s="54" t="str">
        <f t="array" ref="AM172">IFERROR(INDEX($AI$11:$AI$259, MATCH(0, IF(TRUE=$AH$11:$AH$259, COUNTIF($AM$10:$AM171, $AI$11:$AI$259), ""), 0)),"")</f>
        <v/>
      </c>
      <c r="AN172" s="54"/>
      <c r="AQ172" s="47">
        <f t="shared" si="12"/>
        <v>0</v>
      </c>
    </row>
    <row r="173" spans="1:43" x14ac:dyDescent="0.25">
      <c r="A173" s="47" t="str">
        <f>IFERROR(INDEX('G-1 All Habitats'!$AG$3:$AG$15,MATCH(E173,'G-1 All Habitats'!$AF$3:$AF$15,0)),"")</f>
        <v/>
      </c>
      <c r="B173" s="47" t="str">
        <f>IFERROR(INDEX('G-8 Condition Look up'!$I$4:$I$130,MATCH(G173,'G-8 Condition Look up'!$A$4:$A$130,0)),"")</f>
        <v/>
      </c>
      <c r="D173" s="77">
        <v>163</v>
      </c>
      <c r="E173" s="78"/>
      <c r="F173" s="79"/>
      <c r="G173" s="69" t="str">
        <f>IFERROR(INDEX('G-1 All Habitats'!$B$3:$B$129,MATCH(F173,'G-1 All Habitats'!$A$3:$A$129,0)),"")</f>
        <v/>
      </c>
      <c r="H173" s="70"/>
      <c r="I173" s="498" t="str">
        <f>IF(G173="","",VLOOKUP(G173,'G-1 All Habitats'!$B$2:$M$129,10,FALSE))</f>
        <v/>
      </c>
      <c r="J173" s="499" t="str">
        <f>IFERROR(VLOOKUP(I173,'G-1 All Habitats'!$V$3:$W$7,2,FALSE),"")</f>
        <v/>
      </c>
      <c r="K173" s="71"/>
      <c r="L173" s="499" t="str">
        <f>IFERROR(INDEX('G-8 Condition Look up'!$A$3:$H$130,MATCH(G173,'G-8 Condition Look up'!$A$3:$A$130,0),MATCH(K173,'G-8 Condition Look up'!$A$3:$H$3,0)),"")</f>
        <v/>
      </c>
      <c r="M173" s="71"/>
      <c r="N173" s="520" t="str">
        <f>IF(M173="","",IF(VLOOKUP(M173,'G-3 Multipliers'!$L$3:$N$6,2,FALSE)=0,"Spatial Data Missing",VLOOKUP(M173,'G-3 Multipliers'!$L$3:$N$6,2,FALSE)))</f>
        <v/>
      </c>
      <c r="O173" s="505" t="str">
        <f>IF(M173="","",IF(VLOOKUP(M173,'G-3 Multipliers'!$L$3:$N$6,3,FALSE)=0,"Spatial Data Missing",VLOOKUP(M173,'G-3 Multipliers'!$L$3:$N$6,3,FALSE)))</f>
        <v/>
      </c>
      <c r="P173" s="506" t="str">
        <f>IFERROR(VLOOKUP(G173,'G-1 All Habitats'!$B$2:$M$129,12,FALSE),"")</f>
        <v/>
      </c>
      <c r="Q173" s="513" t="str">
        <f>IFERROR(IF(P173="","",IF(AND(P173='G-1 All Habitats'!$X$3,T173&gt;0),U173+V173,IF(AND(P173='G-1 All Habitats'!$X$3,S173&gt;0),U173+V173,IF(AND(P173='G-1 All Habitats'!$X$3,AC173&gt;0),"Any Loss Unacceptable ▲",IF(AND(P173='G-1 All Habitats'!$X$3,W173&gt;0),"Any Loss Unacceptable ▲",H173*J173*L173*O173))))),"Check Data ▲")</f>
        <v/>
      </c>
      <c r="R173" s="50"/>
      <c r="S173" s="71"/>
      <c r="T173" s="72"/>
      <c r="U173" s="511" t="str">
        <f t="shared" si="13"/>
        <v/>
      </c>
      <c r="V173" s="511" t="str">
        <f t="shared" si="14"/>
        <v/>
      </c>
      <c r="W173" s="511" t="str">
        <f>IF(E173="","",IF(H173&lt;S173+T173,"Error in Areas ▲",IF(P173&lt;&gt;'G-1 All Habitats'!$X$3,H173-S173-T173,IF(AND(P173='G-1 All Habitats'!$X$3,Y173="Yes"),"Unacceptable Loss",IF(AND(P173='G-1 All Habitats'!$X$3,Y173="No"),AC173,IF(AND(P173='G-1 All Habitats'!$X$3,Y173=""),AC173,IF(AND(P173='G-1 All Habitats'!$X$3,AC173="None",AC173),IF(AND(P173='G-1 All Habitats'!$X$3,AC173&gt;0),H173-S173-T173))))))))</f>
        <v/>
      </c>
      <c r="X173" s="515" t="str">
        <f>IFERROR(IF(H173="","",IF(H173-S173-T173=0&lt;0,"Error in Areas ▲",IF(S173+T173&gt;H173,"Error in Areas ▲",IF(AND(P173='G-1 All Habitats'!$X$3,Y173="Yes"),"Alternative Compensation ✓",IF(W173=0,0,IF(P173='G-1 All Habitats'!$X$3,"Unacceptable Loss ▲",Q173-U173-V173)))))),"Check Data ▲")</f>
        <v/>
      </c>
      <c r="Y173" s="72"/>
      <c r="Z173" s="80"/>
      <c r="AA173" s="81"/>
      <c r="AC173" s="75" t="str">
        <f>IF(P173="","",IF(P173='G-1 All Habitats'!$X$3,H173-S173-T173,"None"))</f>
        <v/>
      </c>
      <c r="AD173" s="76" t="str">
        <f>IFERROR(AC173*J173*L173*#REF!*O173,IF(P173="","","None"))</f>
        <v/>
      </c>
      <c r="AF173" s="54" t="str">
        <f t="shared" si="10"/>
        <v/>
      </c>
      <c r="AG173" s="54" t="str">
        <f t="shared" si="11"/>
        <v/>
      </c>
      <c r="AH173" s="54" t="str">
        <f>IF(I173="","",IF(#REF!&gt;0,TRUE,FALSE))</f>
        <v/>
      </c>
      <c r="AI173" s="54">
        <v>163</v>
      </c>
      <c r="AJ173" s="54"/>
      <c r="AK173" s="54" t="str">
        <f t="array" ref="AK173">IFERROR(INDEX($AI$11:$AI$259, MATCH(0, IF(TRUE=$AF$11:$AF$259, COUNTIF($AK$10:$AK172, $AI$11:$AI$259), ""), 0)),"")</f>
        <v/>
      </c>
      <c r="AL173" s="54" t="str">
        <f t="array" ref="AL173">IFERROR(INDEX($AI$11:$AI$259, MATCH(0, IF(TRUE=$AG$11:$AG$259, COUNTIF($AL$10:$AL172, $AI$11:$AI$259), ""), 0)),"")</f>
        <v/>
      </c>
      <c r="AM173" s="54" t="str">
        <f t="array" ref="AM173">IFERROR(INDEX($AI$11:$AI$259, MATCH(0, IF(TRUE=$AH$11:$AH$259, COUNTIF($AM$10:$AM172, $AI$11:$AI$259), ""), 0)),"")</f>
        <v/>
      </c>
      <c r="AN173" s="54"/>
      <c r="AQ173" s="47">
        <f t="shared" si="12"/>
        <v>0</v>
      </c>
    </row>
    <row r="174" spans="1:43" x14ac:dyDescent="0.25">
      <c r="A174" s="47" t="str">
        <f>IFERROR(INDEX('G-1 All Habitats'!$AG$3:$AG$15,MATCH(E174,'G-1 All Habitats'!$AF$3:$AF$15,0)),"")</f>
        <v/>
      </c>
      <c r="B174" s="47" t="str">
        <f>IFERROR(INDEX('G-8 Condition Look up'!$I$4:$I$130,MATCH(G174,'G-8 Condition Look up'!$A$4:$A$130,0)),"")</f>
        <v/>
      </c>
      <c r="D174" s="77">
        <v>164</v>
      </c>
      <c r="E174" s="78"/>
      <c r="F174" s="79"/>
      <c r="G174" s="69" t="str">
        <f>IFERROR(INDEX('G-1 All Habitats'!$B$3:$B$129,MATCH(F174,'G-1 All Habitats'!$A$3:$A$129,0)),"")</f>
        <v/>
      </c>
      <c r="H174" s="70"/>
      <c r="I174" s="498" t="str">
        <f>IF(G174="","",VLOOKUP(G174,'G-1 All Habitats'!$B$2:$M$129,10,FALSE))</f>
        <v/>
      </c>
      <c r="J174" s="499" t="str">
        <f>IFERROR(VLOOKUP(I174,'G-1 All Habitats'!$V$3:$W$7,2,FALSE),"")</f>
        <v/>
      </c>
      <c r="K174" s="71"/>
      <c r="L174" s="499" t="str">
        <f>IFERROR(INDEX('G-8 Condition Look up'!$A$3:$H$130,MATCH(G174,'G-8 Condition Look up'!$A$3:$A$130,0),MATCH(K174,'G-8 Condition Look up'!$A$3:$H$3,0)),"")</f>
        <v/>
      </c>
      <c r="M174" s="71"/>
      <c r="N174" s="520" t="str">
        <f>IF(M174="","",IF(VLOOKUP(M174,'G-3 Multipliers'!$L$3:$N$6,2,FALSE)=0,"Spatial Data Missing",VLOOKUP(M174,'G-3 Multipliers'!$L$3:$N$6,2,FALSE)))</f>
        <v/>
      </c>
      <c r="O174" s="505" t="str">
        <f>IF(M174="","",IF(VLOOKUP(M174,'G-3 Multipliers'!$L$3:$N$6,3,FALSE)=0,"Spatial Data Missing",VLOOKUP(M174,'G-3 Multipliers'!$L$3:$N$6,3,FALSE)))</f>
        <v/>
      </c>
      <c r="P174" s="506" t="str">
        <f>IFERROR(VLOOKUP(G174,'G-1 All Habitats'!$B$2:$M$129,12,FALSE),"")</f>
        <v/>
      </c>
      <c r="Q174" s="513" t="str">
        <f>IFERROR(IF(P174="","",IF(AND(P174='G-1 All Habitats'!$X$3,T174&gt;0),U174+V174,IF(AND(P174='G-1 All Habitats'!$X$3,S174&gt;0),U174+V174,IF(AND(P174='G-1 All Habitats'!$X$3,AC174&gt;0),"Any Loss Unacceptable ▲",IF(AND(P174='G-1 All Habitats'!$X$3,W174&gt;0),"Any Loss Unacceptable ▲",H174*J174*L174*O174))))),"Check Data ▲")</f>
        <v/>
      </c>
      <c r="R174" s="50"/>
      <c r="S174" s="71"/>
      <c r="T174" s="72"/>
      <c r="U174" s="511" t="str">
        <f t="shared" si="13"/>
        <v/>
      </c>
      <c r="V174" s="511" t="str">
        <f t="shared" si="14"/>
        <v/>
      </c>
      <c r="W174" s="511" t="str">
        <f>IF(E174="","",IF(H174&lt;S174+T174,"Error in Areas ▲",IF(P174&lt;&gt;'G-1 All Habitats'!$X$3,H174-S174-T174,IF(AND(P174='G-1 All Habitats'!$X$3,Y174="Yes"),"Unacceptable Loss",IF(AND(P174='G-1 All Habitats'!$X$3,Y174="No"),AC174,IF(AND(P174='G-1 All Habitats'!$X$3,Y174=""),AC174,IF(AND(P174='G-1 All Habitats'!$X$3,AC174="None",AC174),IF(AND(P174='G-1 All Habitats'!$X$3,AC174&gt;0),H174-S174-T174))))))))</f>
        <v/>
      </c>
      <c r="X174" s="515" t="str">
        <f>IFERROR(IF(H174="","",IF(H174-S174-T174=0&lt;0,"Error in Areas ▲",IF(S174+T174&gt;H174,"Error in Areas ▲",IF(AND(P174='G-1 All Habitats'!$X$3,Y174="Yes"),"Alternative Compensation ✓",IF(W174=0,0,IF(P174='G-1 All Habitats'!$X$3,"Unacceptable Loss ▲",Q174-U174-V174)))))),"Check Data ▲")</f>
        <v/>
      </c>
      <c r="Y174" s="72"/>
      <c r="Z174" s="80"/>
      <c r="AA174" s="81"/>
      <c r="AC174" s="75" t="str">
        <f>IF(P174="","",IF(P174='G-1 All Habitats'!$X$3,H174-S174-T174,"None"))</f>
        <v/>
      </c>
      <c r="AD174" s="76" t="str">
        <f>IFERROR(AC174*J174*L174*#REF!*O174,IF(P174="","","None"))</f>
        <v/>
      </c>
      <c r="AF174" s="54" t="str">
        <f t="shared" si="10"/>
        <v/>
      </c>
      <c r="AG174" s="54" t="str">
        <f t="shared" si="11"/>
        <v/>
      </c>
      <c r="AH174" s="54" t="str">
        <f>IF(I174="","",IF(#REF!&gt;0,TRUE,FALSE))</f>
        <v/>
      </c>
      <c r="AI174" s="54">
        <v>164</v>
      </c>
      <c r="AJ174" s="54"/>
      <c r="AK174" s="54" t="str">
        <f t="array" ref="AK174">IFERROR(INDEX($AI$11:$AI$259, MATCH(0, IF(TRUE=$AF$11:$AF$259, COUNTIF($AK$10:$AK173, $AI$11:$AI$259), ""), 0)),"")</f>
        <v/>
      </c>
      <c r="AL174" s="54" t="str">
        <f t="array" ref="AL174">IFERROR(INDEX($AI$11:$AI$259, MATCH(0, IF(TRUE=$AG$11:$AG$259, COUNTIF($AL$10:$AL173, $AI$11:$AI$259), ""), 0)),"")</f>
        <v/>
      </c>
      <c r="AM174" s="54" t="str">
        <f t="array" ref="AM174">IFERROR(INDEX($AI$11:$AI$259, MATCH(0, IF(TRUE=$AH$11:$AH$259, COUNTIF($AM$10:$AM173, $AI$11:$AI$259), ""), 0)),"")</f>
        <v/>
      </c>
      <c r="AN174" s="54"/>
      <c r="AQ174" s="47">
        <f t="shared" si="12"/>
        <v>0</v>
      </c>
    </row>
    <row r="175" spans="1:43" x14ac:dyDescent="0.25">
      <c r="A175" s="47" t="str">
        <f>IFERROR(INDEX('G-1 All Habitats'!$AG$3:$AG$15,MATCH(E175,'G-1 All Habitats'!$AF$3:$AF$15,0)),"")</f>
        <v/>
      </c>
      <c r="B175" s="47" t="str">
        <f>IFERROR(INDEX('G-8 Condition Look up'!$I$4:$I$130,MATCH(G175,'G-8 Condition Look up'!$A$4:$A$130,0)),"")</f>
        <v/>
      </c>
      <c r="D175" s="77">
        <v>165</v>
      </c>
      <c r="E175" s="78"/>
      <c r="F175" s="79"/>
      <c r="G175" s="69" t="str">
        <f>IFERROR(INDEX('G-1 All Habitats'!$B$3:$B$129,MATCH(F175,'G-1 All Habitats'!$A$3:$A$129,0)),"")</f>
        <v/>
      </c>
      <c r="H175" s="70"/>
      <c r="I175" s="498" t="str">
        <f>IF(G175="","",VLOOKUP(G175,'G-1 All Habitats'!$B$2:$M$129,10,FALSE))</f>
        <v/>
      </c>
      <c r="J175" s="499" t="str">
        <f>IFERROR(VLOOKUP(I175,'G-1 All Habitats'!$V$3:$W$7,2,FALSE),"")</f>
        <v/>
      </c>
      <c r="K175" s="71"/>
      <c r="L175" s="499" t="str">
        <f>IFERROR(INDEX('G-8 Condition Look up'!$A$3:$H$130,MATCH(G175,'G-8 Condition Look up'!$A$3:$A$130,0),MATCH(K175,'G-8 Condition Look up'!$A$3:$H$3,0)),"")</f>
        <v/>
      </c>
      <c r="M175" s="71"/>
      <c r="N175" s="520" t="str">
        <f>IF(M175="","",IF(VLOOKUP(M175,'G-3 Multipliers'!$L$3:$N$6,2,FALSE)=0,"Spatial Data Missing",VLOOKUP(M175,'G-3 Multipliers'!$L$3:$N$6,2,FALSE)))</f>
        <v/>
      </c>
      <c r="O175" s="505" t="str">
        <f>IF(M175="","",IF(VLOOKUP(M175,'G-3 Multipliers'!$L$3:$N$6,3,FALSE)=0,"Spatial Data Missing",VLOOKUP(M175,'G-3 Multipliers'!$L$3:$N$6,3,FALSE)))</f>
        <v/>
      </c>
      <c r="P175" s="506" t="str">
        <f>IFERROR(VLOOKUP(G175,'G-1 All Habitats'!$B$2:$M$129,12,FALSE),"")</f>
        <v/>
      </c>
      <c r="Q175" s="513" t="str">
        <f>IFERROR(IF(P175="","",IF(AND(P175='G-1 All Habitats'!$X$3,T175&gt;0),U175+V175,IF(AND(P175='G-1 All Habitats'!$X$3,S175&gt;0),U175+V175,IF(AND(P175='G-1 All Habitats'!$X$3,AC175&gt;0),"Any Loss Unacceptable ▲",IF(AND(P175='G-1 All Habitats'!$X$3,W175&gt;0),"Any Loss Unacceptable ▲",H175*J175*L175*O175))))),"Check Data ▲")</f>
        <v/>
      </c>
      <c r="R175" s="50"/>
      <c r="S175" s="71"/>
      <c r="T175" s="72"/>
      <c r="U175" s="511" t="str">
        <f t="shared" si="13"/>
        <v/>
      </c>
      <c r="V175" s="511" t="str">
        <f t="shared" si="14"/>
        <v/>
      </c>
      <c r="W175" s="511" t="str">
        <f>IF(E175="","",IF(H175&lt;S175+T175,"Error in Areas ▲",IF(P175&lt;&gt;'G-1 All Habitats'!$X$3,H175-S175-T175,IF(AND(P175='G-1 All Habitats'!$X$3,Y175="Yes"),"Unacceptable Loss",IF(AND(P175='G-1 All Habitats'!$X$3,Y175="No"),AC175,IF(AND(P175='G-1 All Habitats'!$X$3,Y175=""),AC175,IF(AND(P175='G-1 All Habitats'!$X$3,AC175="None",AC175),IF(AND(P175='G-1 All Habitats'!$X$3,AC175&gt;0),H175-S175-T175))))))))</f>
        <v/>
      </c>
      <c r="X175" s="515" t="str">
        <f>IFERROR(IF(H175="","",IF(H175-S175-T175=0&lt;0,"Error in Areas ▲",IF(S175+T175&gt;H175,"Error in Areas ▲",IF(AND(P175='G-1 All Habitats'!$X$3,Y175="Yes"),"Alternative Compensation ✓",IF(W175=0,0,IF(P175='G-1 All Habitats'!$X$3,"Unacceptable Loss ▲",Q175-U175-V175)))))),"Check Data ▲")</f>
        <v/>
      </c>
      <c r="Y175" s="72"/>
      <c r="Z175" s="80"/>
      <c r="AA175" s="81"/>
      <c r="AC175" s="75" t="str">
        <f>IF(P175="","",IF(P175='G-1 All Habitats'!$X$3,H175-S175-T175,"None"))</f>
        <v/>
      </c>
      <c r="AD175" s="76" t="str">
        <f>IFERROR(AC175*J175*L175*#REF!*O175,IF(P175="","","None"))</f>
        <v/>
      </c>
      <c r="AF175" s="54" t="str">
        <f t="shared" si="10"/>
        <v/>
      </c>
      <c r="AG175" s="54" t="str">
        <f t="shared" si="11"/>
        <v/>
      </c>
      <c r="AH175" s="54" t="str">
        <f>IF(I175="","",IF(#REF!&gt;0,TRUE,FALSE))</f>
        <v/>
      </c>
      <c r="AI175" s="54">
        <v>165</v>
      </c>
      <c r="AJ175" s="54"/>
      <c r="AK175" s="54" t="str">
        <f t="array" ref="AK175">IFERROR(INDEX($AI$11:$AI$259, MATCH(0, IF(TRUE=$AF$11:$AF$259, COUNTIF($AK$10:$AK174, $AI$11:$AI$259), ""), 0)),"")</f>
        <v/>
      </c>
      <c r="AL175" s="54" t="str">
        <f t="array" ref="AL175">IFERROR(INDEX($AI$11:$AI$259, MATCH(0, IF(TRUE=$AG$11:$AG$259, COUNTIF($AL$10:$AL174, $AI$11:$AI$259), ""), 0)),"")</f>
        <v/>
      </c>
      <c r="AM175" s="54" t="str">
        <f t="array" ref="AM175">IFERROR(INDEX($AI$11:$AI$259, MATCH(0, IF(TRUE=$AH$11:$AH$259, COUNTIF($AM$10:$AM174, $AI$11:$AI$259), ""), 0)),"")</f>
        <v/>
      </c>
      <c r="AN175" s="54"/>
      <c r="AQ175" s="47">
        <f t="shared" si="12"/>
        <v>0</v>
      </c>
    </row>
    <row r="176" spans="1:43" x14ac:dyDescent="0.25">
      <c r="A176" s="47" t="str">
        <f>IFERROR(INDEX('G-1 All Habitats'!$AG$3:$AG$15,MATCH(E176,'G-1 All Habitats'!$AF$3:$AF$15,0)),"")</f>
        <v/>
      </c>
      <c r="B176" s="47" t="str">
        <f>IFERROR(INDEX('G-8 Condition Look up'!$I$4:$I$130,MATCH(G176,'G-8 Condition Look up'!$A$4:$A$130,0)),"")</f>
        <v/>
      </c>
      <c r="D176" s="77">
        <v>166</v>
      </c>
      <c r="E176" s="78"/>
      <c r="F176" s="79"/>
      <c r="G176" s="69" t="str">
        <f>IFERROR(INDEX('G-1 All Habitats'!$B$3:$B$129,MATCH(F176,'G-1 All Habitats'!$A$3:$A$129,0)),"")</f>
        <v/>
      </c>
      <c r="H176" s="70"/>
      <c r="I176" s="498" t="str">
        <f>IF(G176="","",VLOOKUP(G176,'G-1 All Habitats'!$B$2:$M$129,10,FALSE))</f>
        <v/>
      </c>
      <c r="J176" s="499" t="str">
        <f>IFERROR(VLOOKUP(I176,'G-1 All Habitats'!$V$3:$W$7,2,FALSE),"")</f>
        <v/>
      </c>
      <c r="K176" s="71"/>
      <c r="L176" s="499" t="str">
        <f>IFERROR(INDEX('G-8 Condition Look up'!$A$3:$H$130,MATCH(G176,'G-8 Condition Look up'!$A$3:$A$130,0),MATCH(K176,'G-8 Condition Look up'!$A$3:$H$3,0)),"")</f>
        <v/>
      </c>
      <c r="M176" s="71"/>
      <c r="N176" s="520" t="str">
        <f>IF(M176="","",IF(VLOOKUP(M176,'G-3 Multipliers'!$L$3:$N$6,2,FALSE)=0,"Spatial Data Missing",VLOOKUP(M176,'G-3 Multipliers'!$L$3:$N$6,2,FALSE)))</f>
        <v/>
      </c>
      <c r="O176" s="505" t="str">
        <f>IF(M176="","",IF(VLOOKUP(M176,'G-3 Multipliers'!$L$3:$N$6,3,FALSE)=0,"Spatial Data Missing",VLOOKUP(M176,'G-3 Multipliers'!$L$3:$N$6,3,FALSE)))</f>
        <v/>
      </c>
      <c r="P176" s="506" t="str">
        <f>IFERROR(VLOOKUP(G176,'G-1 All Habitats'!$B$2:$M$129,12,FALSE),"")</f>
        <v/>
      </c>
      <c r="Q176" s="513" t="str">
        <f>IFERROR(IF(P176="","",IF(AND(P176='G-1 All Habitats'!$X$3,T176&gt;0),U176+V176,IF(AND(P176='G-1 All Habitats'!$X$3,S176&gt;0),U176+V176,IF(AND(P176='G-1 All Habitats'!$X$3,AC176&gt;0),"Any Loss Unacceptable ▲",IF(AND(P176='G-1 All Habitats'!$X$3,W176&gt;0),"Any Loss Unacceptable ▲",H176*J176*L176*O176))))),"Check Data ▲")</f>
        <v/>
      </c>
      <c r="R176" s="50"/>
      <c r="S176" s="71"/>
      <c r="T176" s="72"/>
      <c r="U176" s="511" t="str">
        <f t="shared" si="13"/>
        <v/>
      </c>
      <c r="V176" s="511" t="str">
        <f t="shared" si="14"/>
        <v/>
      </c>
      <c r="W176" s="511" t="str">
        <f>IF(E176="","",IF(H176&lt;S176+T176,"Error in Areas ▲",IF(P176&lt;&gt;'G-1 All Habitats'!$X$3,H176-S176-T176,IF(AND(P176='G-1 All Habitats'!$X$3,Y176="Yes"),"Unacceptable Loss",IF(AND(P176='G-1 All Habitats'!$X$3,Y176="No"),AC176,IF(AND(P176='G-1 All Habitats'!$X$3,Y176=""),AC176,IF(AND(P176='G-1 All Habitats'!$X$3,AC176="None",AC176),IF(AND(P176='G-1 All Habitats'!$X$3,AC176&gt;0),H176-S176-T176))))))))</f>
        <v/>
      </c>
      <c r="X176" s="515" t="str">
        <f>IFERROR(IF(H176="","",IF(H176-S176-T176=0&lt;0,"Error in Areas ▲",IF(S176+T176&gt;H176,"Error in Areas ▲",IF(AND(P176='G-1 All Habitats'!$X$3,Y176="Yes"),"Alternative Compensation ✓",IF(W176=0,0,IF(P176='G-1 All Habitats'!$X$3,"Unacceptable Loss ▲",Q176-U176-V176)))))),"Check Data ▲")</f>
        <v/>
      </c>
      <c r="Y176" s="72"/>
      <c r="Z176" s="80"/>
      <c r="AA176" s="81"/>
      <c r="AC176" s="75" t="str">
        <f>IF(P176="","",IF(P176='G-1 All Habitats'!$X$3,H176-S176-T176,"None"))</f>
        <v/>
      </c>
      <c r="AD176" s="76" t="str">
        <f>IFERROR(AC176*J176*L176*#REF!*O176,IF(P176="","","None"))</f>
        <v/>
      </c>
      <c r="AF176" s="54" t="str">
        <f t="shared" si="10"/>
        <v/>
      </c>
      <c r="AG176" s="54" t="str">
        <f t="shared" si="11"/>
        <v/>
      </c>
      <c r="AH176" s="54" t="str">
        <f>IF(I176="","",IF(#REF!&gt;0,TRUE,FALSE))</f>
        <v/>
      </c>
      <c r="AI176" s="54">
        <v>166</v>
      </c>
      <c r="AJ176" s="54"/>
      <c r="AK176" s="54" t="str">
        <f t="array" ref="AK176">IFERROR(INDEX($AI$11:$AI$259, MATCH(0, IF(TRUE=$AF$11:$AF$259, COUNTIF($AK$10:$AK175, $AI$11:$AI$259), ""), 0)),"")</f>
        <v/>
      </c>
      <c r="AL176" s="54" t="str">
        <f t="array" ref="AL176">IFERROR(INDEX($AI$11:$AI$259, MATCH(0, IF(TRUE=$AG$11:$AG$259, COUNTIF($AL$10:$AL175, $AI$11:$AI$259), ""), 0)),"")</f>
        <v/>
      </c>
      <c r="AM176" s="54" t="str">
        <f t="array" ref="AM176">IFERROR(INDEX($AI$11:$AI$259, MATCH(0, IF(TRUE=$AH$11:$AH$259, COUNTIF($AM$10:$AM175, $AI$11:$AI$259), ""), 0)),"")</f>
        <v/>
      </c>
      <c r="AN176" s="54"/>
      <c r="AQ176" s="47">
        <f t="shared" si="12"/>
        <v>0</v>
      </c>
    </row>
    <row r="177" spans="1:43" x14ac:dyDescent="0.25">
      <c r="A177" s="47" t="str">
        <f>IFERROR(INDEX('G-1 All Habitats'!$AG$3:$AG$15,MATCH(E177,'G-1 All Habitats'!$AF$3:$AF$15,0)),"")</f>
        <v/>
      </c>
      <c r="B177" s="47" t="str">
        <f>IFERROR(INDEX('G-8 Condition Look up'!$I$4:$I$130,MATCH(G177,'G-8 Condition Look up'!$A$4:$A$130,0)),"")</f>
        <v/>
      </c>
      <c r="D177" s="77">
        <v>167</v>
      </c>
      <c r="E177" s="78"/>
      <c r="F177" s="79"/>
      <c r="G177" s="69" t="str">
        <f>IFERROR(INDEX('G-1 All Habitats'!$B$3:$B$129,MATCH(F177,'G-1 All Habitats'!$A$3:$A$129,0)),"")</f>
        <v/>
      </c>
      <c r="H177" s="70"/>
      <c r="I177" s="498" t="str">
        <f>IF(G177="","",VLOOKUP(G177,'G-1 All Habitats'!$B$2:$M$129,10,FALSE))</f>
        <v/>
      </c>
      <c r="J177" s="499" t="str">
        <f>IFERROR(VLOOKUP(I177,'G-1 All Habitats'!$V$3:$W$7,2,FALSE),"")</f>
        <v/>
      </c>
      <c r="K177" s="71"/>
      <c r="L177" s="499" t="str">
        <f>IFERROR(INDEX('G-8 Condition Look up'!$A$3:$H$130,MATCH(G177,'G-8 Condition Look up'!$A$3:$A$130,0),MATCH(K177,'G-8 Condition Look up'!$A$3:$H$3,0)),"")</f>
        <v/>
      </c>
      <c r="M177" s="71"/>
      <c r="N177" s="520" t="str">
        <f>IF(M177="","",IF(VLOOKUP(M177,'G-3 Multipliers'!$L$3:$N$6,2,FALSE)=0,"Spatial Data Missing",VLOOKUP(M177,'G-3 Multipliers'!$L$3:$N$6,2,FALSE)))</f>
        <v/>
      </c>
      <c r="O177" s="505" t="str">
        <f>IF(M177="","",IF(VLOOKUP(M177,'G-3 Multipliers'!$L$3:$N$6,3,FALSE)=0,"Spatial Data Missing",VLOOKUP(M177,'G-3 Multipliers'!$L$3:$N$6,3,FALSE)))</f>
        <v/>
      </c>
      <c r="P177" s="506" t="str">
        <f>IFERROR(VLOOKUP(G177,'G-1 All Habitats'!$B$2:$M$129,12,FALSE),"")</f>
        <v/>
      </c>
      <c r="Q177" s="513" t="str">
        <f>IFERROR(IF(P177="","",IF(AND(P177='G-1 All Habitats'!$X$3,T177&gt;0),U177+V177,IF(AND(P177='G-1 All Habitats'!$X$3,S177&gt;0),U177+V177,IF(AND(P177='G-1 All Habitats'!$X$3,AC177&gt;0),"Any Loss Unacceptable ▲",IF(AND(P177='G-1 All Habitats'!$X$3,W177&gt;0),"Any Loss Unacceptable ▲",H177*J177*L177*O177))))),"Check Data ▲")</f>
        <v/>
      </c>
      <c r="R177" s="50"/>
      <c r="S177" s="71"/>
      <c r="T177" s="72"/>
      <c r="U177" s="511" t="str">
        <f t="shared" si="13"/>
        <v/>
      </c>
      <c r="V177" s="511" t="str">
        <f t="shared" si="14"/>
        <v/>
      </c>
      <c r="W177" s="511" t="str">
        <f>IF(E177="","",IF(H177&lt;S177+T177,"Error in Areas ▲",IF(P177&lt;&gt;'G-1 All Habitats'!$X$3,H177-S177-T177,IF(AND(P177='G-1 All Habitats'!$X$3,Y177="Yes"),"Unacceptable Loss",IF(AND(P177='G-1 All Habitats'!$X$3,Y177="No"),AC177,IF(AND(P177='G-1 All Habitats'!$X$3,Y177=""),AC177,IF(AND(P177='G-1 All Habitats'!$X$3,AC177="None",AC177),IF(AND(P177='G-1 All Habitats'!$X$3,AC177&gt;0),H177-S177-T177))))))))</f>
        <v/>
      </c>
      <c r="X177" s="515" t="str">
        <f>IFERROR(IF(H177="","",IF(H177-S177-T177=0&lt;0,"Error in Areas ▲",IF(S177+T177&gt;H177,"Error in Areas ▲",IF(AND(P177='G-1 All Habitats'!$X$3,Y177="Yes"),"Alternative Compensation ✓",IF(W177=0,0,IF(P177='G-1 All Habitats'!$X$3,"Unacceptable Loss ▲",Q177-U177-V177)))))),"Check Data ▲")</f>
        <v/>
      </c>
      <c r="Y177" s="72"/>
      <c r="Z177" s="80"/>
      <c r="AA177" s="81"/>
      <c r="AC177" s="75" t="str">
        <f>IF(P177="","",IF(P177='G-1 All Habitats'!$X$3,H177-S177-T177,"None"))</f>
        <v/>
      </c>
      <c r="AD177" s="76" t="str">
        <f>IFERROR(AC177*J177*L177*#REF!*O177,IF(P177="","","None"))</f>
        <v/>
      </c>
      <c r="AF177" s="54" t="str">
        <f t="shared" si="10"/>
        <v/>
      </c>
      <c r="AG177" s="54" t="str">
        <f t="shared" si="11"/>
        <v/>
      </c>
      <c r="AH177" s="54" t="str">
        <f>IF(I177="","",IF(#REF!&gt;0,TRUE,FALSE))</f>
        <v/>
      </c>
      <c r="AI177" s="54">
        <v>167</v>
      </c>
      <c r="AJ177" s="54"/>
      <c r="AK177" s="54" t="str">
        <f t="array" ref="AK177">IFERROR(INDEX($AI$11:$AI$259, MATCH(0, IF(TRUE=$AF$11:$AF$259, COUNTIF($AK$10:$AK176, $AI$11:$AI$259), ""), 0)),"")</f>
        <v/>
      </c>
      <c r="AL177" s="54" t="str">
        <f t="array" ref="AL177">IFERROR(INDEX($AI$11:$AI$259, MATCH(0, IF(TRUE=$AG$11:$AG$259, COUNTIF($AL$10:$AL176, $AI$11:$AI$259), ""), 0)),"")</f>
        <v/>
      </c>
      <c r="AM177" s="54" t="str">
        <f t="array" ref="AM177">IFERROR(INDEX($AI$11:$AI$259, MATCH(0, IF(TRUE=$AH$11:$AH$259, COUNTIF($AM$10:$AM176, $AI$11:$AI$259), ""), 0)),"")</f>
        <v/>
      </c>
      <c r="AN177" s="54"/>
      <c r="AQ177" s="47">
        <f t="shared" si="12"/>
        <v>0</v>
      </c>
    </row>
    <row r="178" spans="1:43" x14ac:dyDescent="0.25">
      <c r="A178" s="47" t="str">
        <f>IFERROR(INDEX('G-1 All Habitats'!$AG$3:$AG$15,MATCH(E178,'G-1 All Habitats'!$AF$3:$AF$15,0)),"")</f>
        <v/>
      </c>
      <c r="B178" s="47" t="str">
        <f>IFERROR(INDEX('G-8 Condition Look up'!$I$4:$I$130,MATCH(G178,'G-8 Condition Look up'!$A$4:$A$130,0)),"")</f>
        <v/>
      </c>
      <c r="D178" s="77">
        <v>168</v>
      </c>
      <c r="E178" s="78"/>
      <c r="F178" s="79"/>
      <c r="G178" s="69" t="str">
        <f>IFERROR(INDEX('G-1 All Habitats'!$B$3:$B$129,MATCH(F178,'G-1 All Habitats'!$A$3:$A$129,0)),"")</f>
        <v/>
      </c>
      <c r="H178" s="70"/>
      <c r="I178" s="498" t="str">
        <f>IF(G178="","",VLOOKUP(G178,'G-1 All Habitats'!$B$2:$M$129,10,FALSE))</f>
        <v/>
      </c>
      <c r="J178" s="499" t="str">
        <f>IFERROR(VLOOKUP(I178,'G-1 All Habitats'!$V$3:$W$7,2,FALSE),"")</f>
        <v/>
      </c>
      <c r="K178" s="71"/>
      <c r="L178" s="499" t="str">
        <f>IFERROR(INDEX('G-8 Condition Look up'!$A$3:$H$130,MATCH(G178,'G-8 Condition Look up'!$A$3:$A$130,0),MATCH(K178,'G-8 Condition Look up'!$A$3:$H$3,0)),"")</f>
        <v/>
      </c>
      <c r="M178" s="71"/>
      <c r="N178" s="520" t="str">
        <f>IF(M178="","",IF(VLOOKUP(M178,'G-3 Multipliers'!$L$3:$N$6,2,FALSE)=0,"Spatial Data Missing",VLOOKUP(M178,'G-3 Multipliers'!$L$3:$N$6,2,FALSE)))</f>
        <v/>
      </c>
      <c r="O178" s="505" t="str">
        <f>IF(M178="","",IF(VLOOKUP(M178,'G-3 Multipliers'!$L$3:$N$6,3,FALSE)=0,"Spatial Data Missing",VLOOKUP(M178,'G-3 Multipliers'!$L$3:$N$6,3,FALSE)))</f>
        <v/>
      </c>
      <c r="P178" s="506" t="str">
        <f>IFERROR(VLOOKUP(G178,'G-1 All Habitats'!$B$2:$M$129,12,FALSE),"")</f>
        <v/>
      </c>
      <c r="Q178" s="513" t="str">
        <f>IFERROR(IF(P178="","",IF(AND(P178='G-1 All Habitats'!$X$3,T178&gt;0),U178+V178,IF(AND(P178='G-1 All Habitats'!$X$3,S178&gt;0),U178+V178,IF(AND(P178='G-1 All Habitats'!$X$3,AC178&gt;0),"Any Loss Unacceptable ▲",IF(AND(P178='G-1 All Habitats'!$X$3,W178&gt;0),"Any Loss Unacceptable ▲",H178*J178*L178*O178))))),"Check Data ▲")</f>
        <v/>
      </c>
      <c r="R178" s="50"/>
      <c r="S178" s="71"/>
      <c r="T178" s="72"/>
      <c r="U178" s="511" t="str">
        <f t="shared" si="13"/>
        <v/>
      </c>
      <c r="V178" s="511" t="str">
        <f t="shared" si="14"/>
        <v/>
      </c>
      <c r="W178" s="511" t="str">
        <f>IF(E178="","",IF(H178&lt;S178+T178,"Error in Areas ▲",IF(P178&lt;&gt;'G-1 All Habitats'!$X$3,H178-S178-T178,IF(AND(P178='G-1 All Habitats'!$X$3,Y178="Yes"),"Unacceptable Loss",IF(AND(P178='G-1 All Habitats'!$X$3,Y178="No"),AC178,IF(AND(P178='G-1 All Habitats'!$X$3,Y178=""),AC178,IF(AND(P178='G-1 All Habitats'!$X$3,AC178="None",AC178),IF(AND(P178='G-1 All Habitats'!$X$3,AC178&gt;0),H178-S178-T178))))))))</f>
        <v/>
      </c>
      <c r="X178" s="515" t="str">
        <f>IFERROR(IF(H178="","",IF(H178-S178-T178=0&lt;0,"Error in Areas ▲",IF(S178+T178&gt;H178,"Error in Areas ▲",IF(AND(P178='G-1 All Habitats'!$X$3,Y178="Yes"),"Alternative Compensation ✓",IF(W178=0,0,IF(P178='G-1 All Habitats'!$X$3,"Unacceptable Loss ▲",Q178-U178-V178)))))),"Check Data ▲")</f>
        <v/>
      </c>
      <c r="Y178" s="72"/>
      <c r="Z178" s="80"/>
      <c r="AA178" s="81"/>
      <c r="AC178" s="75" t="str">
        <f>IF(P178="","",IF(P178='G-1 All Habitats'!$X$3,H178-S178-T178,"None"))</f>
        <v/>
      </c>
      <c r="AD178" s="76" t="str">
        <f>IFERROR(AC178*J178*L178*#REF!*O178,IF(P178="","","None"))</f>
        <v/>
      </c>
      <c r="AF178" s="54" t="str">
        <f t="shared" si="10"/>
        <v/>
      </c>
      <c r="AG178" s="54" t="str">
        <f t="shared" si="11"/>
        <v/>
      </c>
      <c r="AH178" s="54" t="str">
        <f>IF(I178="","",IF(#REF!&gt;0,TRUE,FALSE))</f>
        <v/>
      </c>
      <c r="AI178" s="54">
        <v>168</v>
      </c>
      <c r="AJ178" s="54"/>
      <c r="AK178" s="54" t="str">
        <f t="array" ref="AK178">IFERROR(INDEX($AI$11:$AI$259, MATCH(0, IF(TRUE=$AF$11:$AF$259, COUNTIF($AK$10:$AK177, $AI$11:$AI$259), ""), 0)),"")</f>
        <v/>
      </c>
      <c r="AL178" s="54" t="str">
        <f t="array" ref="AL178">IFERROR(INDEX($AI$11:$AI$259, MATCH(0, IF(TRUE=$AG$11:$AG$259, COUNTIF($AL$10:$AL177, $AI$11:$AI$259), ""), 0)),"")</f>
        <v/>
      </c>
      <c r="AM178" s="54" t="str">
        <f t="array" ref="AM178">IFERROR(INDEX($AI$11:$AI$259, MATCH(0, IF(TRUE=$AH$11:$AH$259, COUNTIF($AM$10:$AM177, $AI$11:$AI$259), ""), 0)),"")</f>
        <v/>
      </c>
      <c r="AN178" s="54"/>
      <c r="AQ178" s="47">
        <f t="shared" si="12"/>
        <v>0</v>
      </c>
    </row>
    <row r="179" spans="1:43" x14ac:dyDescent="0.25">
      <c r="A179" s="47" t="str">
        <f>IFERROR(INDEX('G-1 All Habitats'!$AG$3:$AG$15,MATCH(E179,'G-1 All Habitats'!$AF$3:$AF$15,0)),"")</f>
        <v/>
      </c>
      <c r="B179" s="47" t="str">
        <f>IFERROR(INDEX('G-8 Condition Look up'!$I$4:$I$130,MATCH(G179,'G-8 Condition Look up'!$A$4:$A$130,0)),"")</f>
        <v/>
      </c>
      <c r="D179" s="77">
        <v>169</v>
      </c>
      <c r="E179" s="78"/>
      <c r="F179" s="79"/>
      <c r="G179" s="69" t="str">
        <f>IFERROR(INDEX('G-1 All Habitats'!$B$3:$B$129,MATCH(F179,'G-1 All Habitats'!$A$3:$A$129,0)),"")</f>
        <v/>
      </c>
      <c r="H179" s="70"/>
      <c r="I179" s="498" t="str">
        <f>IF(G179="","",VLOOKUP(G179,'G-1 All Habitats'!$B$2:$M$129,10,FALSE))</f>
        <v/>
      </c>
      <c r="J179" s="499" t="str">
        <f>IFERROR(VLOOKUP(I179,'G-1 All Habitats'!$V$3:$W$7,2,FALSE),"")</f>
        <v/>
      </c>
      <c r="K179" s="71"/>
      <c r="L179" s="499" t="str">
        <f>IFERROR(INDEX('G-8 Condition Look up'!$A$3:$H$130,MATCH(G179,'G-8 Condition Look up'!$A$3:$A$130,0),MATCH(K179,'G-8 Condition Look up'!$A$3:$H$3,0)),"")</f>
        <v/>
      </c>
      <c r="M179" s="71"/>
      <c r="N179" s="520" t="str">
        <f>IF(M179="","",IF(VLOOKUP(M179,'G-3 Multipliers'!$L$3:$N$6,2,FALSE)=0,"Spatial Data Missing",VLOOKUP(M179,'G-3 Multipliers'!$L$3:$N$6,2,FALSE)))</f>
        <v/>
      </c>
      <c r="O179" s="505" t="str">
        <f>IF(M179="","",IF(VLOOKUP(M179,'G-3 Multipliers'!$L$3:$N$6,3,FALSE)=0,"Spatial Data Missing",VLOOKUP(M179,'G-3 Multipliers'!$L$3:$N$6,3,FALSE)))</f>
        <v/>
      </c>
      <c r="P179" s="506" t="str">
        <f>IFERROR(VLOOKUP(G179,'G-1 All Habitats'!$B$2:$M$129,12,FALSE),"")</f>
        <v/>
      </c>
      <c r="Q179" s="513" t="str">
        <f>IFERROR(IF(P179="","",IF(AND(P179='G-1 All Habitats'!$X$3,T179&gt;0),U179+V179,IF(AND(P179='G-1 All Habitats'!$X$3,S179&gt;0),U179+V179,IF(AND(P179='G-1 All Habitats'!$X$3,AC179&gt;0),"Any Loss Unacceptable ▲",IF(AND(P179='G-1 All Habitats'!$X$3,W179&gt;0),"Any Loss Unacceptable ▲",H179*J179*L179*O179))))),"Check Data ▲")</f>
        <v/>
      </c>
      <c r="R179" s="50"/>
      <c r="S179" s="71"/>
      <c r="T179" s="72"/>
      <c r="U179" s="511" t="str">
        <f t="shared" si="13"/>
        <v/>
      </c>
      <c r="V179" s="511" t="str">
        <f t="shared" si="14"/>
        <v/>
      </c>
      <c r="W179" s="511" t="str">
        <f>IF(E179="","",IF(H179&lt;S179+T179,"Error in Areas ▲",IF(P179&lt;&gt;'G-1 All Habitats'!$X$3,H179-S179-T179,IF(AND(P179='G-1 All Habitats'!$X$3,Y179="Yes"),"Unacceptable Loss",IF(AND(P179='G-1 All Habitats'!$X$3,Y179="No"),AC179,IF(AND(P179='G-1 All Habitats'!$X$3,Y179=""),AC179,IF(AND(P179='G-1 All Habitats'!$X$3,AC179="None",AC179),IF(AND(P179='G-1 All Habitats'!$X$3,AC179&gt;0),H179-S179-T179))))))))</f>
        <v/>
      </c>
      <c r="X179" s="515" t="str">
        <f>IFERROR(IF(H179="","",IF(H179-S179-T179=0&lt;0,"Error in Areas ▲",IF(S179+T179&gt;H179,"Error in Areas ▲",IF(AND(P179='G-1 All Habitats'!$X$3,Y179="Yes"),"Alternative Compensation ✓",IF(W179=0,0,IF(P179='G-1 All Habitats'!$X$3,"Unacceptable Loss ▲",Q179-U179-V179)))))),"Check Data ▲")</f>
        <v/>
      </c>
      <c r="Y179" s="72"/>
      <c r="Z179" s="80"/>
      <c r="AA179" s="81"/>
      <c r="AC179" s="75" t="str">
        <f>IF(P179="","",IF(P179='G-1 All Habitats'!$X$3,H179-S179-T179,"None"))</f>
        <v/>
      </c>
      <c r="AD179" s="76" t="str">
        <f>IFERROR(AC179*J179*L179*#REF!*O179,IF(P179="","","None"))</f>
        <v/>
      </c>
      <c r="AF179" s="54" t="str">
        <f t="shared" si="10"/>
        <v/>
      </c>
      <c r="AG179" s="54" t="str">
        <f t="shared" si="11"/>
        <v/>
      </c>
      <c r="AH179" s="54" t="str">
        <f>IF(I179="","",IF(#REF!&gt;0,TRUE,FALSE))</f>
        <v/>
      </c>
      <c r="AI179" s="54">
        <v>169</v>
      </c>
      <c r="AJ179" s="54"/>
      <c r="AK179" s="54" t="str">
        <f t="array" ref="AK179">IFERROR(INDEX($AI$11:$AI$259, MATCH(0, IF(TRUE=$AF$11:$AF$259, COUNTIF($AK$10:$AK178, $AI$11:$AI$259), ""), 0)),"")</f>
        <v/>
      </c>
      <c r="AL179" s="54" t="str">
        <f t="array" ref="AL179">IFERROR(INDEX($AI$11:$AI$259, MATCH(0, IF(TRUE=$AG$11:$AG$259, COUNTIF($AL$10:$AL178, $AI$11:$AI$259), ""), 0)),"")</f>
        <v/>
      </c>
      <c r="AM179" s="54" t="str">
        <f t="array" ref="AM179">IFERROR(INDEX($AI$11:$AI$259, MATCH(0, IF(TRUE=$AH$11:$AH$259, COUNTIF($AM$10:$AM178, $AI$11:$AI$259), ""), 0)),"")</f>
        <v/>
      </c>
      <c r="AN179" s="54"/>
      <c r="AQ179" s="47">
        <f t="shared" si="12"/>
        <v>0</v>
      </c>
    </row>
    <row r="180" spans="1:43" x14ac:dyDescent="0.25">
      <c r="A180" s="47" t="str">
        <f>IFERROR(INDEX('G-1 All Habitats'!$AG$3:$AG$15,MATCH(E180,'G-1 All Habitats'!$AF$3:$AF$15,0)),"")</f>
        <v/>
      </c>
      <c r="B180" s="47" t="str">
        <f>IFERROR(INDEX('G-8 Condition Look up'!$I$4:$I$130,MATCH(G180,'G-8 Condition Look up'!$A$4:$A$130,0)),"")</f>
        <v/>
      </c>
      <c r="D180" s="77">
        <v>170</v>
      </c>
      <c r="E180" s="78"/>
      <c r="F180" s="79"/>
      <c r="G180" s="69" t="str">
        <f>IFERROR(INDEX('G-1 All Habitats'!$B$3:$B$129,MATCH(F180,'G-1 All Habitats'!$A$3:$A$129,0)),"")</f>
        <v/>
      </c>
      <c r="H180" s="70"/>
      <c r="I180" s="498" t="str">
        <f>IF(G180="","",VLOOKUP(G180,'G-1 All Habitats'!$B$2:$M$129,10,FALSE))</f>
        <v/>
      </c>
      <c r="J180" s="499" t="str">
        <f>IFERROR(VLOOKUP(I180,'G-1 All Habitats'!$V$3:$W$7,2,FALSE),"")</f>
        <v/>
      </c>
      <c r="K180" s="71"/>
      <c r="L180" s="499" t="str">
        <f>IFERROR(INDEX('G-8 Condition Look up'!$A$3:$H$130,MATCH(G180,'G-8 Condition Look up'!$A$3:$A$130,0),MATCH(K180,'G-8 Condition Look up'!$A$3:$H$3,0)),"")</f>
        <v/>
      </c>
      <c r="M180" s="71"/>
      <c r="N180" s="520" t="str">
        <f>IF(M180="","",IF(VLOOKUP(M180,'G-3 Multipliers'!$L$3:$N$6,2,FALSE)=0,"Spatial Data Missing",VLOOKUP(M180,'G-3 Multipliers'!$L$3:$N$6,2,FALSE)))</f>
        <v/>
      </c>
      <c r="O180" s="505" t="str">
        <f>IF(M180="","",IF(VLOOKUP(M180,'G-3 Multipliers'!$L$3:$N$6,3,FALSE)=0,"Spatial Data Missing",VLOOKUP(M180,'G-3 Multipliers'!$L$3:$N$6,3,FALSE)))</f>
        <v/>
      </c>
      <c r="P180" s="506" t="str">
        <f>IFERROR(VLOOKUP(G180,'G-1 All Habitats'!$B$2:$M$129,12,FALSE),"")</f>
        <v/>
      </c>
      <c r="Q180" s="513" t="str">
        <f>IFERROR(IF(P180="","",IF(AND(P180='G-1 All Habitats'!$X$3,T180&gt;0),U180+V180,IF(AND(P180='G-1 All Habitats'!$X$3,S180&gt;0),U180+V180,IF(AND(P180='G-1 All Habitats'!$X$3,AC180&gt;0),"Any Loss Unacceptable ▲",IF(AND(P180='G-1 All Habitats'!$X$3,W180&gt;0),"Any Loss Unacceptable ▲",H180*J180*L180*O180))))),"Check Data ▲")</f>
        <v/>
      </c>
      <c r="R180" s="50"/>
      <c r="S180" s="71"/>
      <c r="T180" s="72"/>
      <c r="U180" s="511" t="str">
        <f t="shared" si="13"/>
        <v/>
      </c>
      <c r="V180" s="511" t="str">
        <f t="shared" si="14"/>
        <v/>
      </c>
      <c r="W180" s="511" t="str">
        <f>IF(E180="","",IF(H180&lt;S180+T180,"Error in Areas ▲",IF(P180&lt;&gt;'G-1 All Habitats'!$X$3,H180-S180-T180,IF(AND(P180='G-1 All Habitats'!$X$3,Y180="Yes"),"Unacceptable Loss",IF(AND(P180='G-1 All Habitats'!$X$3,Y180="No"),AC180,IF(AND(P180='G-1 All Habitats'!$X$3,Y180=""),AC180,IF(AND(P180='G-1 All Habitats'!$X$3,AC180="None",AC180),IF(AND(P180='G-1 All Habitats'!$X$3,AC180&gt;0),H180-S180-T180))))))))</f>
        <v/>
      </c>
      <c r="X180" s="515" t="str">
        <f>IFERROR(IF(H180="","",IF(H180-S180-T180=0&lt;0,"Error in Areas ▲",IF(S180+T180&gt;H180,"Error in Areas ▲",IF(AND(P180='G-1 All Habitats'!$X$3,Y180="Yes"),"Alternative Compensation ✓",IF(W180=0,0,IF(P180='G-1 All Habitats'!$X$3,"Unacceptable Loss ▲",Q180-U180-V180)))))),"Check Data ▲")</f>
        <v/>
      </c>
      <c r="Y180" s="72"/>
      <c r="Z180" s="80"/>
      <c r="AA180" s="81"/>
      <c r="AC180" s="75" t="str">
        <f>IF(P180="","",IF(P180='G-1 All Habitats'!$X$3,H180-S180-T180,"None"))</f>
        <v/>
      </c>
      <c r="AD180" s="76" t="str">
        <f>IFERROR(AC180*J180*L180*#REF!*O180,IF(P180="","","None"))</f>
        <v/>
      </c>
      <c r="AF180" s="54" t="str">
        <f t="shared" si="10"/>
        <v/>
      </c>
      <c r="AG180" s="54" t="str">
        <f t="shared" si="11"/>
        <v/>
      </c>
      <c r="AH180" s="54" t="str">
        <f>IF(I180="","",IF(#REF!&gt;0,TRUE,FALSE))</f>
        <v/>
      </c>
      <c r="AI180" s="54">
        <v>170</v>
      </c>
      <c r="AJ180" s="54"/>
      <c r="AK180" s="54" t="str">
        <f t="array" ref="AK180">IFERROR(INDEX($AI$11:$AI$259, MATCH(0, IF(TRUE=$AF$11:$AF$259, COUNTIF($AK$10:$AK179, $AI$11:$AI$259), ""), 0)),"")</f>
        <v/>
      </c>
      <c r="AL180" s="54" t="str">
        <f t="array" ref="AL180">IFERROR(INDEX($AI$11:$AI$259, MATCH(0, IF(TRUE=$AG$11:$AG$259, COUNTIF($AL$10:$AL179, $AI$11:$AI$259), ""), 0)),"")</f>
        <v/>
      </c>
      <c r="AM180" s="54" t="str">
        <f t="array" ref="AM180">IFERROR(INDEX($AI$11:$AI$259, MATCH(0, IF(TRUE=$AH$11:$AH$259, COUNTIF($AM$10:$AM179, $AI$11:$AI$259), ""), 0)),"")</f>
        <v/>
      </c>
      <c r="AN180" s="54"/>
      <c r="AQ180" s="47">
        <f t="shared" si="12"/>
        <v>0</v>
      </c>
    </row>
    <row r="181" spans="1:43" x14ac:dyDescent="0.25">
      <c r="A181" s="47" t="str">
        <f>IFERROR(INDEX('G-1 All Habitats'!$AG$3:$AG$15,MATCH(E181,'G-1 All Habitats'!$AF$3:$AF$15,0)),"")</f>
        <v/>
      </c>
      <c r="B181" s="47" t="str">
        <f>IFERROR(INDEX('G-8 Condition Look up'!$I$4:$I$130,MATCH(G181,'G-8 Condition Look up'!$A$4:$A$130,0)),"")</f>
        <v/>
      </c>
      <c r="D181" s="77">
        <v>171</v>
      </c>
      <c r="E181" s="78"/>
      <c r="F181" s="79"/>
      <c r="G181" s="69" t="str">
        <f>IFERROR(INDEX('G-1 All Habitats'!$B$3:$B$129,MATCH(F181,'G-1 All Habitats'!$A$3:$A$129,0)),"")</f>
        <v/>
      </c>
      <c r="H181" s="70"/>
      <c r="I181" s="498" t="str">
        <f>IF(G181="","",VLOOKUP(G181,'G-1 All Habitats'!$B$2:$M$129,10,FALSE))</f>
        <v/>
      </c>
      <c r="J181" s="499" t="str">
        <f>IFERROR(VLOOKUP(I181,'G-1 All Habitats'!$V$3:$W$7,2,FALSE),"")</f>
        <v/>
      </c>
      <c r="K181" s="71"/>
      <c r="L181" s="499" t="str">
        <f>IFERROR(INDEX('G-8 Condition Look up'!$A$3:$H$130,MATCH(G181,'G-8 Condition Look up'!$A$3:$A$130,0),MATCH(K181,'G-8 Condition Look up'!$A$3:$H$3,0)),"")</f>
        <v/>
      </c>
      <c r="M181" s="71"/>
      <c r="N181" s="520" t="str">
        <f>IF(M181="","",IF(VLOOKUP(M181,'G-3 Multipliers'!$L$3:$N$6,2,FALSE)=0,"Spatial Data Missing",VLOOKUP(M181,'G-3 Multipliers'!$L$3:$N$6,2,FALSE)))</f>
        <v/>
      </c>
      <c r="O181" s="505" t="str">
        <f>IF(M181="","",IF(VLOOKUP(M181,'G-3 Multipliers'!$L$3:$N$6,3,FALSE)=0,"Spatial Data Missing",VLOOKUP(M181,'G-3 Multipliers'!$L$3:$N$6,3,FALSE)))</f>
        <v/>
      </c>
      <c r="P181" s="506" t="str">
        <f>IFERROR(VLOOKUP(G181,'G-1 All Habitats'!$B$2:$M$129,12,FALSE),"")</f>
        <v/>
      </c>
      <c r="Q181" s="513" t="str">
        <f>IFERROR(IF(P181="","",IF(AND(P181='G-1 All Habitats'!$X$3,T181&gt;0),U181+V181,IF(AND(P181='G-1 All Habitats'!$X$3,S181&gt;0),U181+V181,IF(AND(P181='G-1 All Habitats'!$X$3,AC181&gt;0),"Any Loss Unacceptable ▲",IF(AND(P181='G-1 All Habitats'!$X$3,W181&gt;0),"Any Loss Unacceptable ▲",H181*J181*L181*O181))))),"Check Data ▲")</f>
        <v/>
      </c>
      <c r="R181" s="50"/>
      <c r="S181" s="71"/>
      <c r="T181" s="72"/>
      <c r="U181" s="511" t="str">
        <f t="shared" si="13"/>
        <v/>
      </c>
      <c r="V181" s="511" t="str">
        <f t="shared" si="14"/>
        <v/>
      </c>
      <c r="W181" s="511" t="str">
        <f>IF(E181="","",IF(H181&lt;S181+T181,"Error in Areas ▲",IF(P181&lt;&gt;'G-1 All Habitats'!$X$3,H181-S181-T181,IF(AND(P181='G-1 All Habitats'!$X$3,Y181="Yes"),"Unacceptable Loss",IF(AND(P181='G-1 All Habitats'!$X$3,Y181="No"),AC181,IF(AND(P181='G-1 All Habitats'!$X$3,Y181=""),AC181,IF(AND(P181='G-1 All Habitats'!$X$3,AC181="None",AC181),IF(AND(P181='G-1 All Habitats'!$X$3,AC181&gt;0),H181-S181-T181))))))))</f>
        <v/>
      </c>
      <c r="X181" s="515" t="str">
        <f>IFERROR(IF(H181="","",IF(H181-S181-T181=0&lt;0,"Error in Areas ▲",IF(S181+T181&gt;H181,"Error in Areas ▲",IF(AND(P181='G-1 All Habitats'!$X$3,Y181="Yes"),"Alternative Compensation ✓",IF(W181=0,0,IF(P181='G-1 All Habitats'!$X$3,"Unacceptable Loss ▲",Q181-U181-V181)))))),"Check Data ▲")</f>
        <v/>
      </c>
      <c r="Y181" s="72"/>
      <c r="Z181" s="80"/>
      <c r="AA181" s="81"/>
      <c r="AC181" s="75" t="str">
        <f>IF(P181="","",IF(P181='G-1 All Habitats'!$X$3,H181-S181-T181,"None"))</f>
        <v/>
      </c>
      <c r="AD181" s="76" t="str">
        <f>IFERROR(AC181*J181*L181*#REF!*O181,IF(P181="","","None"))</f>
        <v/>
      </c>
      <c r="AF181" s="54" t="str">
        <f t="shared" si="10"/>
        <v/>
      </c>
      <c r="AG181" s="54" t="str">
        <f t="shared" si="11"/>
        <v/>
      </c>
      <c r="AH181" s="54" t="str">
        <f>IF(I181="","",IF(#REF!&gt;0,TRUE,FALSE))</f>
        <v/>
      </c>
      <c r="AI181" s="54">
        <v>171</v>
      </c>
      <c r="AJ181" s="54"/>
      <c r="AK181" s="54" t="str">
        <f t="array" ref="AK181">IFERROR(INDEX($AI$11:$AI$259, MATCH(0, IF(TRUE=$AF$11:$AF$259, COUNTIF($AK$10:$AK180, $AI$11:$AI$259), ""), 0)),"")</f>
        <v/>
      </c>
      <c r="AL181" s="54" t="str">
        <f t="array" ref="AL181">IFERROR(INDEX($AI$11:$AI$259, MATCH(0, IF(TRUE=$AG$11:$AG$259, COUNTIF($AL$10:$AL180, $AI$11:$AI$259), ""), 0)),"")</f>
        <v/>
      </c>
      <c r="AM181" s="54" t="str">
        <f t="array" ref="AM181">IFERROR(INDEX($AI$11:$AI$259, MATCH(0, IF(TRUE=$AH$11:$AH$259, COUNTIF($AM$10:$AM180, $AI$11:$AI$259), ""), 0)),"")</f>
        <v/>
      </c>
      <c r="AN181" s="54"/>
      <c r="AQ181" s="47">
        <f t="shared" si="12"/>
        <v>0</v>
      </c>
    </row>
    <row r="182" spans="1:43" x14ac:dyDescent="0.25">
      <c r="A182" s="47" t="str">
        <f>IFERROR(INDEX('G-1 All Habitats'!$AG$3:$AG$15,MATCH(E182,'G-1 All Habitats'!$AF$3:$AF$15,0)),"")</f>
        <v/>
      </c>
      <c r="B182" s="47" t="str">
        <f>IFERROR(INDEX('G-8 Condition Look up'!$I$4:$I$130,MATCH(G182,'G-8 Condition Look up'!$A$4:$A$130,0)),"")</f>
        <v/>
      </c>
      <c r="D182" s="77">
        <v>172</v>
      </c>
      <c r="E182" s="78"/>
      <c r="F182" s="79"/>
      <c r="G182" s="69" t="str">
        <f>IFERROR(INDEX('G-1 All Habitats'!$B$3:$B$129,MATCH(F182,'G-1 All Habitats'!$A$3:$A$129,0)),"")</f>
        <v/>
      </c>
      <c r="H182" s="70"/>
      <c r="I182" s="498" t="str">
        <f>IF(G182="","",VLOOKUP(G182,'G-1 All Habitats'!$B$2:$M$129,10,FALSE))</f>
        <v/>
      </c>
      <c r="J182" s="499" t="str">
        <f>IFERROR(VLOOKUP(I182,'G-1 All Habitats'!$V$3:$W$7,2,FALSE),"")</f>
        <v/>
      </c>
      <c r="K182" s="71"/>
      <c r="L182" s="499" t="str">
        <f>IFERROR(INDEX('G-8 Condition Look up'!$A$3:$H$130,MATCH(G182,'G-8 Condition Look up'!$A$3:$A$130,0),MATCH(K182,'G-8 Condition Look up'!$A$3:$H$3,0)),"")</f>
        <v/>
      </c>
      <c r="M182" s="71"/>
      <c r="N182" s="520" t="str">
        <f>IF(M182="","",IF(VLOOKUP(M182,'G-3 Multipliers'!$L$3:$N$6,2,FALSE)=0,"Spatial Data Missing",VLOOKUP(M182,'G-3 Multipliers'!$L$3:$N$6,2,FALSE)))</f>
        <v/>
      </c>
      <c r="O182" s="505" t="str">
        <f>IF(M182="","",IF(VLOOKUP(M182,'G-3 Multipliers'!$L$3:$N$6,3,FALSE)=0,"Spatial Data Missing",VLOOKUP(M182,'G-3 Multipliers'!$L$3:$N$6,3,FALSE)))</f>
        <v/>
      </c>
      <c r="P182" s="506" t="str">
        <f>IFERROR(VLOOKUP(G182,'G-1 All Habitats'!$B$2:$M$129,12,FALSE),"")</f>
        <v/>
      </c>
      <c r="Q182" s="513" t="str">
        <f>IFERROR(IF(P182="","",IF(AND(P182='G-1 All Habitats'!$X$3,T182&gt;0),U182+V182,IF(AND(P182='G-1 All Habitats'!$X$3,S182&gt;0),U182+V182,IF(AND(P182='G-1 All Habitats'!$X$3,AC182&gt;0),"Any Loss Unacceptable ▲",IF(AND(P182='G-1 All Habitats'!$X$3,W182&gt;0),"Any Loss Unacceptable ▲",H182*J182*L182*O182))))),"Check Data ▲")</f>
        <v/>
      </c>
      <c r="R182" s="50"/>
      <c r="S182" s="71"/>
      <c r="T182" s="72"/>
      <c r="U182" s="511" t="str">
        <f t="shared" si="13"/>
        <v/>
      </c>
      <c r="V182" s="511" t="str">
        <f t="shared" si="14"/>
        <v/>
      </c>
      <c r="W182" s="511" t="str">
        <f>IF(E182="","",IF(H182&lt;S182+T182,"Error in Areas ▲",IF(P182&lt;&gt;'G-1 All Habitats'!$X$3,H182-S182-T182,IF(AND(P182='G-1 All Habitats'!$X$3,Y182="Yes"),"Unacceptable Loss",IF(AND(P182='G-1 All Habitats'!$X$3,Y182="No"),AC182,IF(AND(P182='G-1 All Habitats'!$X$3,Y182=""),AC182,IF(AND(P182='G-1 All Habitats'!$X$3,AC182="None",AC182),IF(AND(P182='G-1 All Habitats'!$X$3,AC182&gt;0),H182-S182-T182))))))))</f>
        <v/>
      </c>
      <c r="X182" s="515" t="str">
        <f>IFERROR(IF(H182="","",IF(H182-S182-T182=0&lt;0,"Error in Areas ▲",IF(S182+T182&gt;H182,"Error in Areas ▲",IF(AND(P182='G-1 All Habitats'!$X$3,Y182="Yes"),"Alternative Compensation ✓",IF(W182=0,0,IF(P182='G-1 All Habitats'!$X$3,"Unacceptable Loss ▲",Q182-U182-V182)))))),"Check Data ▲")</f>
        <v/>
      </c>
      <c r="Y182" s="72"/>
      <c r="Z182" s="80"/>
      <c r="AA182" s="81"/>
      <c r="AC182" s="75" t="str">
        <f>IF(P182="","",IF(P182='G-1 All Habitats'!$X$3,H182-S182-T182,"None"))</f>
        <v/>
      </c>
      <c r="AD182" s="76" t="str">
        <f>IFERROR(AC182*J182*L182*#REF!*O182,IF(P182="","","None"))</f>
        <v/>
      </c>
      <c r="AF182" s="54" t="str">
        <f t="shared" si="10"/>
        <v/>
      </c>
      <c r="AG182" s="54" t="str">
        <f t="shared" si="11"/>
        <v/>
      </c>
      <c r="AH182" s="54" t="str">
        <f>IF(I182="","",IF(#REF!&gt;0,TRUE,FALSE))</f>
        <v/>
      </c>
      <c r="AI182" s="54">
        <v>172</v>
      </c>
      <c r="AJ182" s="54"/>
      <c r="AK182" s="54" t="str">
        <f t="array" ref="AK182">IFERROR(INDEX($AI$11:$AI$259, MATCH(0, IF(TRUE=$AF$11:$AF$259, COUNTIF($AK$10:$AK181, $AI$11:$AI$259), ""), 0)),"")</f>
        <v/>
      </c>
      <c r="AL182" s="54" t="str">
        <f t="array" ref="AL182">IFERROR(INDEX($AI$11:$AI$259, MATCH(0, IF(TRUE=$AG$11:$AG$259, COUNTIF($AL$10:$AL181, $AI$11:$AI$259), ""), 0)),"")</f>
        <v/>
      </c>
      <c r="AM182" s="54" t="str">
        <f t="array" ref="AM182">IFERROR(INDEX($AI$11:$AI$259, MATCH(0, IF(TRUE=$AH$11:$AH$259, COUNTIF($AM$10:$AM181, $AI$11:$AI$259), ""), 0)),"")</f>
        <v/>
      </c>
      <c r="AN182" s="54"/>
      <c r="AQ182" s="47">
        <f t="shared" si="12"/>
        <v>0</v>
      </c>
    </row>
    <row r="183" spans="1:43" x14ac:dyDescent="0.25">
      <c r="A183" s="47" t="str">
        <f>IFERROR(INDEX('G-1 All Habitats'!$AG$3:$AG$15,MATCH(E183,'G-1 All Habitats'!$AF$3:$AF$15,0)),"")</f>
        <v/>
      </c>
      <c r="B183" s="47" t="str">
        <f>IFERROR(INDEX('G-8 Condition Look up'!$I$4:$I$130,MATCH(G183,'G-8 Condition Look up'!$A$4:$A$130,0)),"")</f>
        <v/>
      </c>
      <c r="D183" s="77">
        <v>173</v>
      </c>
      <c r="E183" s="78"/>
      <c r="F183" s="79"/>
      <c r="G183" s="69" t="str">
        <f>IFERROR(INDEX('G-1 All Habitats'!$B$3:$B$129,MATCH(F183,'G-1 All Habitats'!$A$3:$A$129,0)),"")</f>
        <v/>
      </c>
      <c r="H183" s="70"/>
      <c r="I183" s="498" t="str">
        <f>IF(G183="","",VLOOKUP(G183,'G-1 All Habitats'!$B$2:$M$129,10,FALSE))</f>
        <v/>
      </c>
      <c r="J183" s="499" t="str">
        <f>IFERROR(VLOOKUP(I183,'G-1 All Habitats'!$V$3:$W$7,2,FALSE),"")</f>
        <v/>
      </c>
      <c r="K183" s="71"/>
      <c r="L183" s="499" t="str">
        <f>IFERROR(INDEX('G-8 Condition Look up'!$A$3:$H$130,MATCH(G183,'G-8 Condition Look up'!$A$3:$A$130,0),MATCH(K183,'G-8 Condition Look up'!$A$3:$H$3,0)),"")</f>
        <v/>
      </c>
      <c r="M183" s="71"/>
      <c r="N183" s="520" t="str">
        <f>IF(M183="","",IF(VLOOKUP(M183,'G-3 Multipliers'!$L$3:$N$6,2,FALSE)=0,"Spatial Data Missing",VLOOKUP(M183,'G-3 Multipliers'!$L$3:$N$6,2,FALSE)))</f>
        <v/>
      </c>
      <c r="O183" s="505" t="str">
        <f>IF(M183="","",IF(VLOOKUP(M183,'G-3 Multipliers'!$L$3:$N$6,3,FALSE)=0,"Spatial Data Missing",VLOOKUP(M183,'G-3 Multipliers'!$L$3:$N$6,3,FALSE)))</f>
        <v/>
      </c>
      <c r="P183" s="506" t="str">
        <f>IFERROR(VLOOKUP(G183,'G-1 All Habitats'!$B$2:$M$129,12,FALSE),"")</f>
        <v/>
      </c>
      <c r="Q183" s="513" t="str">
        <f>IFERROR(IF(P183="","",IF(AND(P183='G-1 All Habitats'!$X$3,T183&gt;0),U183+V183,IF(AND(P183='G-1 All Habitats'!$X$3,S183&gt;0),U183+V183,IF(AND(P183='G-1 All Habitats'!$X$3,AC183&gt;0),"Any Loss Unacceptable ▲",IF(AND(P183='G-1 All Habitats'!$X$3,W183&gt;0),"Any Loss Unacceptable ▲",H183*J183*L183*O183))))),"Check Data ▲")</f>
        <v/>
      </c>
      <c r="R183" s="50"/>
      <c r="S183" s="71"/>
      <c r="T183" s="72"/>
      <c r="U183" s="511" t="str">
        <f t="shared" si="13"/>
        <v/>
      </c>
      <c r="V183" s="511" t="str">
        <f t="shared" si="14"/>
        <v/>
      </c>
      <c r="W183" s="511" t="str">
        <f>IF(E183="","",IF(H183&lt;S183+T183,"Error in Areas ▲",IF(P183&lt;&gt;'G-1 All Habitats'!$X$3,H183-S183-T183,IF(AND(P183='G-1 All Habitats'!$X$3,Y183="Yes"),"Unacceptable Loss",IF(AND(P183='G-1 All Habitats'!$X$3,Y183="No"),AC183,IF(AND(P183='G-1 All Habitats'!$X$3,Y183=""),AC183,IF(AND(P183='G-1 All Habitats'!$X$3,AC183="None",AC183),IF(AND(P183='G-1 All Habitats'!$X$3,AC183&gt;0),H183-S183-T183))))))))</f>
        <v/>
      </c>
      <c r="X183" s="515" t="str">
        <f>IFERROR(IF(H183="","",IF(H183-S183-T183=0&lt;0,"Error in Areas ▲",IF(S183+T183&gt;H183,"Error in Areas ▲",IF(AND(P183='G-1 All Habitats'!$X$3,Y183="Yes"),"Alternative Compensation ✓",IF(W183=0,0,IF(P183='G-1 All Habitats'!$X$3,"Unacceptable Loss ▲",Q183-U183-V183)))))),"Check Data ▲")</f>
        <v/>
      </c>
      <c r="Y183" s="72"/>
      <c r="Z183" s="80"/>
      <c r="AA183" s="81"/>
      <c r="AC183" s="75" t="str">
        <f>IF(P183="","",IF(P183='G-1 All Habitats'!$X$3,H183-S183-T183,"None"))</f>
        <v/>
      </c>
      <c r="AD183" s="76" t="str">
        <f>IFERROR(AC183*J183*L183*#REF!*O183,IF(P183="","","None"))</f>
        <v/>
      </c>
      <c r="AF183" s="54" t="str">
        <f t="shared" si="10"/>
        <v/>
      </c>
      <c r="AG183" s="54" t="str">
        <f t="shared" si="11"/>
        <v/>
      </c>
      <c r="AH183" s="54" t="str">
        <f>IF(I183="","",IF(#REF!&gt;0,TRUE,FALSE))</f>
        <v/>
      </c>
      <c r="AI183" s="54">
        <v>173</v>
      </c>
      <c r="AJ183" s="54"/>
      <c r="AK183" s="54" t="str">
        <f t="array" ref="AK183">IFERROR(INDEX($AI$11:$AI$259, MATCH(0, IF(TRUE=$AF$11:$AF$259, COUNTIF($AK$10:$AK182, $AI$11:$AI$259), ""), 0)),"")</f>
        <v/>
      </c>
      <c r="AL183" s="54" t="str">
        <f t="array" ref="AL183">IFERROR(INDEX($AI$11:$AI$259, MATCH(0, IF(TRUE=$AG$11:$AG$259, COUNTIF($AL$10:$AL182, $AI$11:$AI$259), ""), 0)),"")</f>
        <v/>
      </c>
      <c r="AM183" s="54" t="str">
        <f t="array" ref="AM183">IFERROR(INDEX($AI$11:$AI$259, MATCH(0, IF(TRUE=$AH$11:$AH$259, COUNTIF($AM$10:$AM182, $AI$11:$AI$259), ""), 0)),"")</f>
        <v/>
      </c>
      <c r="AN183" s="54"/>
      <c r="AQ183" s="47">
        <f t="shared" si="12"/>
        <v>0</v>
      </c>
    </row>
    <row r="184" spans="1:43" x14ac:dyDescent="0.25">
      <c r="A184" s="47" t="str">
        <f>IFERROR(INDEX('G-1 All Habitats'!$AG$3:$AG$15,MATCH(E184,'G-1 All Habitats'!$AF$3:$AF$15,0)),"")</f>
        <v/>
      </c>
      <c r="B184" s="47" t="str">
        <f>IFERROR(INDEX('G-8 Condition Look up'!$I$4:$I$130,MATCH(G184,'G-8 Condition Look up'!$A$4:$A$130,0)),"")</f>
        <v/>
      </c>
      <c r="D184" s="77">
        <v>174</v>
      </c>
      <c r="E184" s="78"/>
      <c r="F184" s="79"/>
      <c r="G184" s="69" t="str">
        <f>IFERROR(INDEX('G-1 All Habitats'!$B$3:$B$129,MATCH(F184,'G-1 All Habitats'!$A$3:$A$129,0)),"")</f>
        <v/>
      </c>
      <c r="H184" s="70"/>
      <c r="I184" s="498" t="str">
        <f>IF(G184="","",VLOOKUP(G184,'G-1 All Habitats'!$B$2:$M$129,10,FALSE))</f>
        <v/>
      </c>
      <c r="J184" s="499" t="str">
        <f>IFERROR(VLOOKUP(I184,'G-1 All Habitats'!$V$3:$W$7,2,FALSE),"")</f>
        <v/>
      </c>
      <c r="K184" s="71"/>
      <c r="L184" s="499" t="str">
        <f>IFERROR(INDEX('G-8 Condition Look up'!$A$3:$H$130,MATCH(G184,'G-8 Condition Look up'!$A$3:$A$130,0),MATCH(K184,'G-8 Condition Look up'!$A$3:$H$3,0)),"")</f>
        <v/>
      </c>
      <c r="M184" s="71"/>
      <c r="N184" s="520" t="str">
        <f>IF(M184="","",IF(VLOOKUP(M184,'G-3 Multipliers'!$L$3:$N$6,2,FALSE)=0,"Spatial Data Missing",VLOOKUP(M184,'G-3 Multipliers'!$L$3:$N$6,2,FALSE)))</f>
        <v/>
      </c>
      <c r="O184" s="505" t="str">
        <f>IF(M184="","",IF(VLOOKUP(M184,'G-3 Multipliers'!$L$3:$N$6,3,FALSE)=0,"Spatial Data Missing",VLOOKUP(M184,'G-3 Multipliers'!$L$3:$N$6,3,FALSE)))</f>
        <v/>
      </c>
      <c r="P184" s="506" t="str">
        <f>IFERROR(VLOOKUP(G184,'G-1 All Habitats'!$B$2:$M$129,12,FALSE),"")</f>
        <v/>
      </c>
      <c r="Q184" s="513" t="str">
        <f>IFERROR(IF(P184="","",IF(AND(P184='G-1 All Habitats'!$X$3,T184&gt;0),U184+V184,IF(AND(P184='G-1 All Habitats'!$X$3,S184&gt;0),U184+V184,IF(AND(P184='G-1 All Habitats'!$X$3,AC184&gt;0),"Any Loss Unacceptable ▲",IF(AND(P184='G-1 All Habitats'!$X$3,W184&gt;0),"Any Loss Unacceptable ▲",H184*J184*L184*O184))))),"Check Data ▲")</f>
        <v/>
      </c>
      <c r="R184" s="50"/>
      <c r="S184" s="71"/>
      <c r="T184" s="72"/>
      <c r="U184" s="511" t="str">
        <f t="shared" si="13"/>
        <v/>
      </c>
      <c r="V184" s="511" t="str">
        <f t="shared" si="14"/>
        <v/>
      </c>
      <c r="W184" s="511" t="str">
        <f>IF(E184="","",IF(H184&lt;S184+T184,"Error in Areas ▲",IF(P184&lt;&gt;'G-1 All Habitats'!$X$3,H184-S184-T184,IF(AND(P184='G-1 All Habitats'!$X$3,Y184="Yes"),"Unacceptable Loss",IF(AND(P184='G-1 All Habitats'!$X$3,Y184="No"),AC184,IF(AND(P184='G-1 All Habitats'!$X$3,Y184=""),AC184,IF(AND(P184='G-1 All Habitats'!$X$3,AC184="None",AC184),IF(AND(P184='G-1 All Habitats'!$X$3,AC184&gt;0),H184-S184-T184))))))))</f>
        <v/>
      </c>
      <c r="X184" s="515" t="str">
        <f>IFERROR(IF(H184="","",IF(H184-S184-T184=0&lt;0,"Error in Areas ▲",IF(S184+T184&gt;H184,"Error in Areas ▲",IF(AND(P184='G-1 All Habitats'!$X$3,Y184="Yes"),"Alternative Compensation ✓",IF(W184=0,0,IF(P184='G-1 All Habitats'!$X$3,"Unacceptable Loss ▲",Q184-U184-V184)))))),"Check Data ▲")</f>
        <v/>
      </c>
      <c r="Y184" s="72"/>
      <c r="Z184" s="80"/>
      <c r="AA184" s="81"/>
      <c r="AC184" s="75" t="str">
        <f>IF(P184="","",IF(P184='G-1 All Habitats'!$X$3,H184-S184-T184,"None"))</f>
        <v/>
      </c>
      <c r="AD184" s="76" t="str">
        <f>IFERROR(AC184*J184*L184*#REF!*O184,IF(P184="","","None"))</f>
        <v/>
      </c>
      <c r="AF184" s="54" t="str">
        <f t="shared" si="10"/>
        <v/>
      </c>
      <c r="AG184" s="54" t="str">
        <f t="shared" si="11"/>
        <v/>
      </c>
      <c r="AH184" s="54" t="str">
        <f>IF(I184="","",IF(#REF!&gt;0,TRUE,FALSE))</f>
        <v/>
      </c>
      <c r="AI184" s="54">
        <v>174</v>
      </c>
      <c r="AJ184" s="54"/>
      <c r="AK184" s="54" t="str">
        <f t="array" ref="AK184">IFERROR(INDEX($AI$11:$AI$259, MATCH(0, IF(TRUE=$AF$11:$AF$259, COUNTIF($AK$10:$AK183, $AI$11:$AI$259), ""), 0)),"")</f>
        <v/>
      </c>
      <c r="AL184" s="54" t="str">
        <f t="array" ref="AL184">IFERROR(INDEX($AI$11:$AI$259, MATCH(0, IF(TRUE=$AG$11:$AG$259, COUNTIF($AL$10:$AL183, $AI$11:$AI$259), ""), 0)),"")</f>
        <v/>
      </c>
      <c r="AM184" s="54" t="str">
        <f t="array" ref="AM184">IFERROR(INDEX($AI$11:$AI$259, MATCH(0, IF(TRUE=$AH$11:$AH$259, COUNTIF($AM$10:$AM183, $AI$11:$AI$259), ""), 0)),"")</f>
        <v/>
      </c>
      <c r="AN184" s="54"/>
      <c r="AQ184" s="47">
        <f t="shared" si="12"/>
        <v>0</v>
      </c>
    </row>
    <row r="185" spans="1:43" x14ac:dyDescent="0.25">
      <c r="A185" s="47" t="str">
        <f>IFERROR(INDEX('G-1 All Habitats'!$AG$3:$AG$15,MATCH(E185,'G-1 All Habitats'!$AF$3:$AF$15,0)),"")</f>
        <v/>
      </c>
      <c r="B185" s="47" t="str">
        <f>IFERROR(INDEX('G-8 Condition Look up'!$I$4:$I$130,MATCH(G185,'G-8 Condition Look up'!$A$4:$A$130,0)),"")</f>
        <v/>
      </c>
      <c r="D185" s="77">
        <v>175</v>
      </c>
      <c r="E185" s="78"/>
      <c r="F185" s="79"/>
      <c r="G185" s="69" t="str">
        <f>IFERROR(INDEX('G-1 All Habitats'!$B$3:$B$129,MATCH(F185,'G-1 All Habitats'!$A$3:$A$129,0)),"")</f>
        <v/>
      </c>
      <c r="H185" s="70"/>
      <c r="I185" s="498" t="str">
        <f>IF(G185="","",VLOOKUP(G185,'G-1 All Habitats'!$B$2:$M$129,10,FALSE))</f>
        <v/>
      </c>
      <c r="J185" s="499" t="str">
        <f>IFERROR(VLOOKUP(I185,'G-1 All Habitats'!$V$3:$W$7,2,FALSE),"")</f>
        <v/>
      </c>
      <c r="K185" s="71"/>
      <c r="L185" s="499" t="str">
        <f>IFERROR(INDEX('G-8 Condition Look up'!$A$3:$H$130,MATCH(G185,'G-8 Condition Look up'!$A$3:$A$130,0),MATCH(K185,'G-8 Condition Look up'!$A$3:$H$3,0)),"")</f>
        <v/>
      </c>
      <c r="M185" s="71"/>
      <c r="N185" s="520" t="str">
        <f>IF(M185="","",IF(VLOOKUP(M185,'G-3 Multipliers'!$L$3:$N$6,2,FALSE)=0,"Spatial Data Missing",VLOOKUP(M185,'G-3 Multipliers'!$L$3:$N$6,2,FALSE)))</f>
        <v/>
      </c>
      <c r="O185" s="505" t="str">
        <f>IF(M185="","",IF(VLOOKUP(M185,'G-3 Multipliers'!$L$3:$N$6,3,FALSE)=0,"Spatial Data Missing",VLOOKUP(M185,'G-3 Multipliers'!$L$3:$N$6,3,FALSE)))</f>
        <v/>
      </c>
      <c r="P185" s="506" t="str">
        <f>IFERROR(VLOOKUP(G185,'G-1 All Habitats'!$B$2:$M$129,12,FALSE),"")</f>
        <v/>
      </c>
      <c r="Q185" s="513" t="str">
        <f>IFERROR(IF(P185="","",IF(AND(P185='G-1 All Habitats'!$X$3,T185&gt;0),U185+V185,IF(AND(P185='G-1 All Habitats'!$X$3,S185&gt;0),U185+V185,IF(AND(P185='G-1 All Habitats'!$X$3,AC185&gt;0),"Any Loss Unacceptable ▲",IF(AND(P185='G-1 All Habitats'!$X$3,W185&gt;0),"Any Loss Unacceptable ▲",H185*J185*L185*O185))))),"Check Data ▲")</f>
        <v/>
      </c>
      <c r="R185" s="50"/>
      <c r="S185" s="71"/>
      <c r="T185" s="72"/>
      <c r="U185" s="511" t="str">
        <f t="shared" si="13"/>
        <v/>
      </c>
      <c r="V185" s="511" t="str">
        <f t="shared" si="14"/>
        <v/>
      </c>
      <c r="W185" s="511" t="str">
        <f>IF(E185="","",IF(H185&lt;S185+T185,"Error in Areas ▲",IF(P185&lt;&gt;'G-1 All Habitats'!$X$3,H185-S185-T185,IF(AND(P185='G-1 All Habitats'!$X$3,Y185="Yes"),"Unacceptable Loss",IF(AND(P185='G-1 All Habitats'!$X$3,Y185="No"),AC185,IF(AND(P185='G-1 All Habitats'!$X$3,Y185=""),AC185,IF(AND(P185='G-1 All Habitats'!$X$3,AC185="None",AC185),IF(AND(P185='G-1 All Habitats'!$X$3,AC185&gt;0),H185-S185-T185))))))))</f>
        <v/>
      </c>
      <c r="X185" s="515" t="str">
        <f>IFERROR(IF(H185="","",IF(H185-S185-T185=0&lt;0,"Error in Areas ▲",IF(S185+T185&gt;H185,"Error in Areas ▲",IF(AND(P185='G-1 All Habitats'!$X$3,Y185="Yes"),"Alternative Compensation ✓",IF(W185=0,0,IF(P185='G-1 All Habitats'!$X$3,"Unacceptable Loss ▲",Q185-U185-V185)))))),"Check Data ▲")</f>
        <v/>
      </c>
      <c r="Y185" s="72"/>
      <c r="Z185" s="80"/>
      <c r="AA185" s="81"/>
      <c r="AC185" s="75" t="str">
        <f>IF(P185="","",IF(P185='G-1 All Habitats'!$X$3,H185-S185-T185,"None"))</f>
        <v/>
      </c>
      <c r="AD185" s="76" t="str">
        <f>IFERROR(AC185*J185*L185*#REF!*O185,IF(P185="","","None"))</f>
        <v/>
      </c>
      <c r="AF185" s="54" t="str">
        <f t="shared" si="10"/>
        <v/>
      </c>
      <c r="AG185" s="54" t="str">
        <f t="shared" si="11"/>
        <v/>
      </c>
      <c r="AH185" s="54" t="str">
        <f>IF(I185="","",IF(#REF!&gt;0,TRUE,FALSE))</f>
        <v/>
      </c>
      <c r="AI185" s="54">
        <v>175</v>
      </c>
      <c r="AJ185" s="54"/>
      <c r="AK185" s="54" t="str">
        <f t="array" ref="AK185">IFERROR(INDEX($AI$11:$AI$259, MATCH(0, IF(TRUE=$AF$11:$AF$259, COUNTIF($AK$10:$AK184, $AI$11:$AI$259), ""), 0)),"")</f>
        <v/>
      </c>
      <c r="AL185" s="54" t="str">
        <f t="array" ref="AL185">IFERROR(INDEX($AI$11:$AI$259, MATCH(0, IF(TRUE=$AG$11:$AG$259, COUNTIF($AL$10:$AL184, $AI$11:$AI$259), ""), 0)),"")</f>
        <v/>
      </c>
      <c r="AM185" s="54" t="str">
        <f t="array" ref="AM185">IFERROR(INDEX($AI$11:$AI$259, MATCH(0, IF(TRUE=$AH$11:$AH$259, COUNTIF($AM$10:$AM184, $AI$11:$AI$259), ""), 0)),"")</f>
        <v/>
      </c>
      <c r="AN185" s="54"/>
      <c r="AQ185" s="47">
        <f t="shared" si="12"/>
        <v>0</v>
      </c>
    </row>
    <row r="186" spans="1:43" x14ac:dyDescent="0.25">
      <c r="A186" s="47" t="str">
        <f>IFERROR(INDEX('G-1 All Habitats'!$AG$3:$AG$15,MATCH(E186,'G-1 All Habitats'!$AF$3:$AF$15,0)),"")</f>
        <v/>
      </c>
      <c r="B186" s="47" t="str">
        <f>IFERROR(INDEX('G-8 Condition Look up'!$I$4:$I$130,MATCH(G186,'G-8 Condition Look up'!$A$4:$A$130,0)),"")</f>
        <v/>
      </c>
      <c r="D186" s="77">
        <v>176</v>
      </c>
      <c r="E186" s="78"/>
      <c r="F186" s="79"/>
      <c r="G186" s="69" t="str">
        <f>IFERROR(INDEX('G-1 All Habitats'!$B$3:$B$129,MATCH(F186,'G-1 All Habitats'!$A$3:$A$129,0)),"")</f>
        <v/>
      </c>
      <c r="H186" s="70"/>
      <c r="I186" s="498" t="str">
        <f>IF(G186="","",VLOOKUP(G186,'G-1 All Habitats'!$B$2:$M$129,10,FALSE))</f>
        <v/>
      </c>
      <c r="J186" s="499" t="str">
        <f>IFERROR(VLOOKUP(I186,'G-1 All Habitats'!$V$3:$W$7,2,FALSE),"")</f>
        <v/>
      </c>
      <c r="K186" s="71"/>
      <c r="L186" s="499" t="str">
        <f>IFERROR(INDEX('G-8 Condition Look up'!$A$3:$H$130,MATCH(G186,'G-8 Condition Look up'!$A$3:$A$130,0),MATCH(K186,'G-8 Condition Look up'!$A$3:$H$3,0)),"")</f>
        <v/>
      </c>
      <c r="M186" s="71"/>
      <c r="N186" s="520" t="str">
        <f>IF(M186="","",IF(VLOOKUP(M186,'G-3 Multipliers'!$L$3:$N$6,2,FALSE)=0,"Spatial Data Missing",VLOOKUP(M186,'G-3 Multipliers'!$L$3:$N$6,2,FALSE)))</f>
        <v/>
      </c>
      <c r="O186" s="505" t="str">
        <f>IF(M186="","",IF(VLOOKUP(M186,'G-3 Multipliers'!$L$3:$N$6,3,FALSE)=0,"Spatial Data Missing",VLOOKUP(M186,'G-3 Multipliers'!$L$3:$N$6,3,FALSE)))</f>
        <v/>
      </c>
      <c r="P186" s="506" t="str">
        <f>IFERROR(VLOOKUP(G186,'G-1 All Habitats'!$B$2:$M$129,12,FALSE),"")</f>
        <v/>
      </c>
      <c r="Q186" s="513" t="str">
        <f>IFERROR(IF(P186="","",IF(AND(P186='G-1 All Habitats'!$X$3,T186&gt;0),U186+V186,IF(AND(P186='G-1 All Habitats'!$X$3,S186&gt;0),U186+V186,IF(AND(P186='G-1 All Habitats'!$X$3,AC186&gt;0),"Any Loss Unacceptable ▲",IF(AND(P186='G-1 All Habitats'!$X$3,W186&gt;0),"Any Loss Unacceptable ▲",H186*J186*L186*O186))))),"Check Data ▲")</f>
        <v/>
      </c>
      <c r="R186" s="50"/>
      <c r="S186" s="71"/>
      <c r="T186" s="72"/>
      <c r="U186" s="511" t="str">
        <f t="shared" si="13"/>
        <v/>
      </c>
      <c r="V186" s="511" t="str">
        <f t="shared" si="14"/>
        <v/>
      </c>
      <c r="W186" s="511" t="str">
        <f>IF(E186="","",IF(H186&lt;S186+T186,"Error in Areas ▲",IF(P186&lt;&gt;'G-1 All Habitats'!$X$3,H186-S186-T186,IF(AND(P186='G-1 All Habitats'!$X$3,Y186="Yes"),"Unacceptable Loss",IF(AND(P186='G-1 All Habitats'!$X$3,Y186="No"),AC186,IF(AND(P186='G-1 All Habitats'!$X$3,Y186=""),AC186,IF(AND(P186='G-1 All Habitats'!$X$3,AC186="None",AC186),IF(AND(P186='G-1 All Habitats'!$X$3,AC186&gt;0),H186-S186-T186))))))))</f>
        <v/>
      </c>
      <c r="X186" s="515" t="str">
        <f>IFERROR(IF(H186="","",IF(H186-S186-T186=0&lt;0,"Error in Areas ▲",IF(S186+T186&gt;H186,"Error in Areas ▲",IF(AND(P186='G-1 All Habitats'!$X$3,Y186="Yes"),"Alternative Compensation ✓",IF(W186=0,0,IF(P186='G-1 All Habitats'!$X$3,"Unacceptable Loss ▲",Q186-U186-V186)))))),"Check Data ▲")</f>
        <v/>
      </c>
      <c r="Y186" s="72"/>
      <c r="Z186" s="80"/>
      <c r="AA186" s="81"/>
      <c r="AC186" s="75" t="str">
        <f>IF(P186="","",IF(P186='G-1 All Habitats'!$X$3,H186-S186-T186,"None"))</f>
        <v/>
      </c>
      <c r="AD186" s="76" t="str">
        <f>IFERROR(AC186*J186*L186*#REF!*O186,IF(P186="","","None"))</f>
        <v/>
      </c>
      <c r="AF186" s="54" t="str">
        <f t="shared" si="10"/>
        <v/>
      </c>
      <c r="AG186" s="54" t="str">
        <f t="shared" si="11"/>
        <v/>
      </c>
      <c r="AH186" s="54" t="str">
        <f>IF(I186="","",IF(#REF!&gt;0,TRUE,FALSE))</f>
        <v/>
      </c>
      <c r="AI186" s="54">
        <v>176</v>
      </c>
      <c r="AJ186" s="54"/>
      <c r="AK186" s="54" t="str">
        <f t="array" ref="AK186">IFERROR(INDEX($AI$11:$AI$259, MATCH(0, IF(TRUE=$AF$11:$AF$259, COUNTIF($AK$10:$AK185, $AI$11:$AI$259), ""), 0)),"")</f>
        <v/>
      </c>
      <c r="AL186" s="54" t="str">
        <f t="array" ref="AL186">IFERROR(INDEX($AI$11:$AI$259, MATCH(0, IF(TRUE=$AG$11:$AG$259, COUNTIF($AL$10:$AL185, $AI$11:$AI$259), ""), 0)),"")</f>
        <v/>
      </c>
      <c r="AM186" s="54" t="str">
        <f t="array" ref="AM186">IFERROR(INDEX($AI$11:$AI$259, MATCH(0, IF(TRUE=$AH$11:$AH$259, COUNTIF($AM$10:$AM185, $AI$11:$AI$259), ""), 0)),"")</f>
        <v/>
      </c>
      <c r="AN186" s="54"/>
      <c r="AQ186" s="47">
        <f t="shared" si="12"/>
        <v>0</v>
      </c>
    </row>
    <row r="187" spans="1:43" x14ac:dyDescent="0.25">
      <c r="A187" s="47" t="str">
        <f>IFERROR(INDEX('G-1 All Habitats'!$AG$3:$AG$15,MATCH(E187,'G-1 All Habitats'!$AF$3:$AF$15,0)),"")</f>
        <v/>
      </c>
      <c r="B187" s="47" t="str">
        <f>IFERROR(INDEX('G-8 Condition Look up'!$I$4:$I$130,MATCH(G187,'G-8 Condition Look up'!$A$4:$A$130,0)),"")</f>
        <v/>
      </c>
      <c r="D187" s="77">
        <v>177</v>
      </c>
      <c r="E187" s="78"/>
      <c r="F187" s="79"/>
      <c r="G187" s="69" t="str">
        <f>IFERROR(INDEX('G-1 All Habitats'!$B$3:$B$129,MATCH(F187,'G-1 All Habitats'!$A$3:$A$129,0)),"")</f>
        <v/>
      </c>
      <c r="H187" s="70"/>
      <c r="I187" s="498" t="str">
        <f>IF(G187="","",VLOOKUP(G187,'G-1 All Habitats'!$B$2:$M$129,10,FALSE))</f>
        <v/>
      </c>
      <c r="J187" s="499" t="str">
        <f>IFERROR(VLOOKUP(I187,'G-1 All Habitats'!$V$3:$W$7,2,FALSE),"")</f>
        <v/>
      </c>
      <c r="K187" s="71"/>
      <c r="L187" s="499" t="str">
        <f>IFERROR(INDEX('G-8 Condition Look up'!$A$3:$H$130,MATCH(G187,'G-8 Condition Look up'!$A$3:$A$130,0),MATCH(K187,'G-8 Condition Look up'!$A$3:$H$3,0)),"")</f>
        <v/>
      </c>
      <c r="M187" s="71"/>
      <c r="N187" s="520" t="str">
        <f>IF(M187="","",IF(VLOOKUP(M187,'G-3 Multipliers'!$L$3:$N$6,2,FALSE)=0,"Spatial Data Missing",VLOOKUP(M187,'G-3 Multipliers'!$L$3:$N$6,2,FALSE)))</f>
        <v/>
      </c>
      <c r="O187" s="505" t="str">
        <f>IF(M187="","",IF(VLOOKUP(M187,'G-3 Multipliers'!$L$3:$N$6,3,FALSE)=0,"Spatial Data Missing",VLOOKUP(M187,'G-3 Multipliers'!$L$3:$N$6,3,FALSE)))</f>
        <v/>
      </c>
      <c r="P187" s="506" t="str">
        <f>IFERROR(VLOOKUP(G187,'G-1 All Habitats'!$B$2:$M$129,12,FALSE),"")</f>
        <v/>
      </c>
      <c r="Q187" s="513" t="str">
        <f>IFERROR(IF(P187="","",IF(AND(P187='G-1 All Habitats'!$X$3,T187&gt;0),U187+V187,IF(AND(P187='G-1 All Habitats'!$X$3,S187&gt;0),U187+V187,IF(AND(P187='G-1 All Habitats'!$X$3,AC187&gt;0),"Any Loss Unacceptable ▲",IF(AND(P187='G-1 All Habitats'!$X$3,W187&gt;0),"Any Loss Unacceptable ▲",H187*J187*L187*O187))))),"Check Data ▲")</f>
        <v/>
      </c>
      <c r="R187" s="50"/>
      <c r="S187" s="71"/>
      <c r="T187" s="72"/>
      <c r="U187" s="511" t="str">
        <f t="shared" si="13"/>
        <v/>
      </c>
      <c r="V187" s="511" t="str">
        <f t="shared" si="14"/>
        <v/>
      </c>
      <c r="W187" s="511" t="str">
        <f>IF(E187="","",IF(H187&lt;S187+T187,"Error in Areas ▲",IF(P187&lt;&gt;'G-1 All Habitats'!$X$3,H187-S187-T187,IF(AND(P187='G-1 All Habitats'!$X$3,Y187="Yes"),"Unacceptable Loss",IF(AND(P187='G-1 All Habitats'!$X$3,Y187="No"),AC187,IF(AND(P187='G-1 All Habitats'!$X$3,Y187=""),AC187,IF(AND(P187='G-1 All Habitats'!$X$3,AC187="None",AC187),IF(AND(P187='G-1 All Habitats'!$X$3,AC187&gt;0),H187-S187-T187))))))))</f>
        <v/>
      </c>
      <c r="X187" s="515" t="str">
        <f>IFERROR(IF(H187="","",IF(H187-S187-T187=0&lt;0,"Error in Areas ▲",IF(S187+T187&gt;H187,"Error in Areas ▲",IF(AND(P187='G-1 All Habitats'!$X$3,Y187="Yes"),"Alternative Compensation ✓",IF(W187=0,0,IF(P187='G-1 All Habitats'!$X$3,"Unacceptable Loss ▲",Q187-U187-V187)))))),"Check Data ▲")</f>
        <v/>
      </c>
      <c r="Y187" s="72"/>
      <c r="Z187" s="80"/>
      <c r="AA187" s="81"/>
      <c r="AC187" s="75" t="str">
        <f>IF(P187="","",IF(P187='G-1 All Habitats'!$X$3,H187-S187-T187,"None"))</f>
        <v/>
      </c>
      <c r="AD187" s="76" t="str">
        <f>IFERROR(AC187*J187*L187*#REF!*O187,IF(P187="","","None"))</f>
        <v/>
      </c>
      <c r="AF187" s="54" t="str">
        <f t="shared" si="10"/>
        <v/>
      </c>
      <c r="AG187" s="54" t="str">
        <f t="shared" si="11"/>
        <v/>
      </c>
      <c r="AH187" s="54" t="str">
        <f>IF(I187="","",IF(#REF!&gt;0,TRUE,FALSE))</f>
        <v/>
      </c>
      <c r="AI187" s="54">
        <v>177</v>
      </c>
      <c r="AJ187" s="54"/>
      <c r="AK187" s="54" t="str">
        <f t="array" ref="AK187">IFERROR(INDEX($AI$11:$AI$259, MATCH(0, IF(TRUE=$AF$11:$AF$259, COUNTIF($AK$10:$AK186, $AI$11:$AI$259), ""), 0)),"")</f>
        <v/>
      </c>
      <c r="AL187" s="54" t="str">
        <f t="array" ref="AL187">IFERROR(INDEX($AI$11:$AI$259, MATCH(0, IF(TRUE=$AG$11:$AG$259, COUNTIF($AL$10:$AL186, $AI$11:$AI$259), ""), 0)),"")</f>
        <v/>
      </c>
      <c r="AM187" s="54" t="str">
        <f t="array" ref="AM187">IFERROR(INDEX($AI$11:$AI$259, MATCH(0, IF(TRUE=$AH$11:$AH$259, COUNTIF($AM$10:$AM186, $AI$11:$AI$259), ""), 0)),"")</f>
        <v/>
      </c>
      <c r="AN187" s="54"/>
      <c r="AQ187" s="47">
        <f t="shared" si="12"/>
        <v>0</v>
      </c>
    </row>
    <row r="188" spans="1:43" x14ac:dyDescent="0.25">
      <c r="A188" s="47" t="str">
        <f>IFERROR(INDEX('G-1 All Habitats'!$AG$3:$AG$15,MATCH(E188,'G-1 All Habitats'!$AF$3:$AF$15,0)),"")</f>
        <v/>
      </c>
      <c r="B188" s="47" t="str">
        <f>IFERROR(INDEX('G-8 Condition Look up'!$I$4:$I$130,MATCH(G188,'G-8 Condition Look up'!$A$4:$A$130,0)),"")</f>
        <v/>
      </c>
      <c r="D188" s="77">
        <v>178</v>
      </c>
      <c r="E188" s="78"/>
      <c r="F188" s="79"/>
      <c r="G188" s="69" t="str">
        <f>IFERROR(INDEX('G-1 All Habitats'!$B$3:$B$129,MATCH(F188,'G-1 All Habitats'!$A$3:$A$129,0)),"")</f>
        <v/>
      </c>
      <c r="H188" s="70"/>
      <c r="I188" s="498" t="str">
        <f>IF(G188="","",VLOOKUP(G188,'G-1 All Habitats'!$B$2:$M$129,10,FALSE))</f>
        <v/>
      </c>
      <c r="J188" s="499" t="str">
        <f>IFERROR(VLOOKUP(I188,'G-1 All Habitats'!$V$3:$W$7,2,FALSE),"")</f>
        <v/>
      </c>
      <c r="K188" s="71"/>
      <c r="L188" s="499" t="str">
        <f>IFERROR(INDEX('G-8 Condition Look up'!$A$3:$H$130,MATCH(G188,'G-8 Condition Look up'!$A$3:$A$130,0),MATCH(K188,'G-8 Condition Look up'!$A$3:$H$3,0)),"")</f>
        <v/>
      </c>
      <c r="M188" s="71"/>
      <c r="N188" s="520" t="str">
        <f>IF(M188="","",IF(VLOOKUP(M188,'G-3 Multipliers'!$L$3:$N$6,2,FALSE)=0,"Spatial Data Missing",VLOOKUP(M188,'G-3 Multipliers'!$L$3:$N$6,2,FALSE)))</f>
        <v/>
      </c>
      <c r="O188" s="505" t="str">
        <f>IF(M188="","",IF(VLOOKUP(M188,'G-3 Multipliers'!$L$3:$N$6,3,FALSE)=0,"Spatial Data Missing",VLOOKUP(M188,'G-3 Multipliers'!$L$3:$N$6,3,FALSE)))</f>
        <v/>
      </c>
      <c r="P188" s="506" t="str">
        <f>IFERROR(VLOOKUP(G188,'G-1 All Habitats'!$B$2:$M$129,12,FALSE),"")</f>
        <v/>
      </c>
      <c r="Q188" s="513" t="str">
        <f>IFERROR(IF(P188="","",IF(AND(P188='G-1 All Habitats'!$X$3,T188&gt;0),U188+V188,IF(AND(P188='G-1 All Habitats'!$X$3,S188&gt;0),U188+V188,IF(AND(P188='G-1 All Habitats'!$X$3,AC188&gt;0),"Any Loss Unacceptable ▲",IF(AND(P188='G-1 All Habitats'!$X$3,W188&gt;0),"Any Loss Unacceptable ▲",H188*J188*L188*O188))))),"Check Data ▲")</f>
        <v/>
      </c>
      <c r="R188" s="50"/>
      <c r="S188" s="71"/>
      <c r="T188" s="72"/>
      <c r="U188" s="511" t="str">
        <f t="shared" si="13"/>
        <v/>
      </c>
      <c r="V188" s="511" t="str">
        <f t="shared" si="14"/>
        <v/>
      </c>
      <c r="W188" s="511" t="str">
        <f>IF(E188="","",IF(H188&lt;S188+T188,"Error in Areas ▲",IF(P188&lt;&gt;'G-1 All Habitats'!$X$3,H188-S188-T188,IF(AND(P188='G-1 All Habitats'!$X$3,Y188="Yes"),"Unacceptable Loss",IF(AND(P188='G-1 All Habitats'!$X$3,Y188="No"),AC188,IF(AND(P188='G-1 All Habitats'!$X$3,Y188=""),AC188,IF(AND(P188='G-1 All Habitats'!$X$3,AC188="None",AC188),IF(AND(P188='G-1 All Habitats'!$X$3,AC188&gt;0),H188-S188-T188))))))))</f>
        <v/>
      </c>
      <c r="X188" s="515" t="str">
        <f>IFERROR(IF(H188="","",IF(H188-S188-T188=0&lt;0,"Error in Areas ▲",IF(S188+T188&gt;H188,"Error in Areas ▲",IF(AND(P188='G-1 All Habitats'!$X$3,Y188="Yes"),"Alternative Compensation ✓",IF(W188=0,0,IF(P188='G-1 All Habitats'!$X$3,"Unacceptable Loss ▲",Q188-U188-V188)))))),"Check Data ▲")</f>
        <v/>
      </c>
      <c r="Y188" s="72"/>
      <c r="Z188" s="80"/>
      <c r="AA188" s="81"/>
      <c r="AC188" s="75" t="str">
        <f>IF(P188="","",IF(P188='G-1 All Habitats'!$X$3,H188-S188-T188,"None"))</f>
        <v/>
      </c>
      <c r="AD188" s="76" t="str">
        <f>IFERROR(AC188*J188*L188*#REF!*O188,IF(P188="","","None"))</f>
        <v/>
      </c>
      <c r="AF188" s="54" t="str">
        <f t="shared" si="10"/>
        <v/>
      </c>
      <c r="AG188" s="54" t="str">
        <f t="shared" si="11"/>
        <v/>
      </c>
      <c r="AH188" s="54" t="str">
        <f>IF(I188="","",IF(#REF!&gt;0,TRUE,FALSE))</f>
        <v/>
      </c>
      <c r="AI188" s="54">
        <v>178</v>
      </c>
      <c r="AJ188" s="54"/>
      <c r="AK188" s="54" t="str">
        <f t="array" ref="AK188">IFERROR(INDEX($AI$11:$AI$259, MATCH(0, IF(TRUE=$AF$11:$AF$259, COUNTIF($AK$10:$AK187, $AI$11:$AI$259), ""), 0)),"")</f>
        <v/>
      </c>
      <c r="AL188" s="54" t="str">
        <f t="array" ref="AL188">IFERROR(INDEX($AI$11:$AI$259, MATCH(0, IF(TRUE=$AG$11:$AG$259, COUNTIF($AL$10:$AL187, $AI$11:$AI$259), ""), 0)),"")</f>
        <v/>
      </c>
      <c r="AM188" s="54" t="str">
        <f t="array" ref="AM188">IFERROR(INDEX($AI$11:$AI$259, MATCH(0, IF(TRUE=$AH$11:$AH$259, COUNTIF($AM$10:$AM187, $AI$11:$AI$259), ""), 0)),"")</f>
        <v/>
      </c>
      <c r="AN188" s="54"/>
      <c r="AQ188" s="47">
        <f t="shared" si="12"/>
        <v>0</v>
      </c>
    </row>
    <row r="189" spans="1:43" x14ac:dyDescent="0.25">
      <c r="A189" s="47" t="str">
        <f>IFERROR(INDEX('G-1 All Habitats'!$AG$3:$AG$15,MATCH(E189,'G-1 All Habitats'!$AF$3:$AF$15,0)),"")</f>
        <v/>
      </c>
      <c r="B189" s="47" t="str">
        <f>IFERROR(INDEX('G-8 Condition Look up'!$I$4:$I$130,MATCH(G189,'G-8 Condition Look up'!$A$4:$A$130,0)),"")</f>
        <v/>
      </c>
      <c r="D189" s="77">
        <v>179</v>
      </c>
      <c r="E189" s="78"/>
      <c r="F189" s="79"/>
      <c r="G189" s="69" t="str">
        <f>IFERROR(INDEX('G-1 All Habitats'!$B$3:$B$129,MATCH(F189,'G-1 All Habitats'!$A$3:$A$129,0)),"")</f>
        <v/>
      </c>
      <c r="H189" s="70"/>
      <c r="I189" s="498" t="str">
        <f>IF(G189="","",VLOOKUP(G189,'G-1 All Habitats'!$B$2:$M$129,10,FALSE))</f>
        <v/>
      </c>
      <c r="J189" s="499" t="str">
        <f>IFERROR(VLOOKUP(I189,'G-1 All Habitats'!$V$3:$W$7,2,FALSE),"")</f>
        <v/>
      </c>
      <c r="K189" s="71"/>
      <c r="L189" s="499" t="str">
        <f>IFERROR(INDEX('G-8 Condition Look up'!$A$3:$H$130,MATCH(G189,'G-8 Condition Look up'!$A$3:$A$130,0),MATCH(K189,'G-8 Condition Look up'!$A$3:$H$3,0)),"")</f>
        <v/>
      </c>
      <c r="M189" s="71"/>
      <c r="N189" s="520" t="str">
        <f>IF(M189="","",IF(VLOOKUP(M189,'G-3 Multipliers'!$L$3:$N$6,2,FALSE)=0,"Spatial Data Missing",VLOOKUP(M189,'G-3 Multipliers'!$L$3:$N$6,2,FALSE)))</f>
        <v/>
      </c>
      <c r="O189" s="505" t="str">
        <f>IF(M189="","",IF(VLOOKUP(M189,'G-3 Multipliers'!$L$3:$N$6,3,FALSE)=0,"Spatial Data Missing",VLOOKUP(M189,'G-3 Multipliers'!$L$3:$N$6,3,FALSE)))</f>
        <v/>
      </c>
      <c r="P189" s="506" t="str">
        <f>IFERROR(VLOOKUP(G189,'G-1 All Habitats'!$B$2:$M$129,12,FALSE),"")</f>
        <v/>
      </c>
      <c r="Q189" s="513" t="str">
        <f>IFERROR(IF(P189="","",IF(AND(P189='G-1 All Habitats'!$X$3,T189&gt;0),U189+V189,IF(AND(P189='G-1 All Habitats'!$X$3,S189&gt;0),U189+V189,IF(AND(P189='G-1 All Habitats'!$X$3,AC189&gt;0),"Any Loss Unacceptable ▲",IF(AND(P189='G-1 All Habitats'!$X$3,W189&gt;0),"Any Loss Unacceptable ▲",H189*J189*L189*O189))))),"Check Data ▲")</f>
        <v/>
      </c>
      <c r="R189" s="50"/>
      <c r="S189" s="71"/>
      <c r="T189" s="72"/>
      <c r="U189" s="511" t="str">
        <f t="shared" si="13"/>
        <v/>
      </c>
      <c r="V189" s="511" t="str">
        <f t="shared" si="14"/>
        <v/>
      </c>
      <c r="W189" s="511" t="str">
        <f>IF(E189="","",IF(H189&lt;S189+T189,"Error in Areas ▲",IF(P189&lt;&gt;'G-1 All Habitats'!$X$3,H189-S189-T189,IF(AND(P189='G-1 All Habitats'!$X$3,Y189="Yes"),"Unacceptable Loss",IF(AND(P189='G-1 All Habitats'!$X$3,Y189="No"),AC189,IF(AND(P189='G-1 All Habitats'!$X$3,Y189=""),AC189,IF(AND(P189='G-1 All Habitats'!$X$3,AC189="None",AC189),IF(AND(P189='G-1 All Habitats'!$X$3,AC189&gt;0),H189-S189-T189))))))))</f>
        <v/>
      </c>
      <c r="X189" s="515" t="str">
        <f>IFERROR(IF(H189="","",IF(H189-S189-T189=0&lt;0,"Error in Areas ▲",IF(S189+T189&gt;H189,"Error in Areas ▲",IF(AND(P189='G-1 All Habitats'!$X$3,Y189="Yes"),"Alternative Compensation ✓",IF(W189=0,0,IF(P189='G-1 All Habitats'!$X$3,"Unacceptable Loss ▲",Q189-U189-V189)))))),"Check Data ▲")</f>
        <v/>
      </c>
      <c r="Y189" s="72"/>
      <c r="Z189" s="80"/>
      <c r="AA189" s="81"/>
      <c r="AC189" s="75" t="str">
        <f>IF(P189="","",IF(P189='G-1 All Habitats'!$X$3,H189-S189-T189,"None"))</f>
        <v/>
      </c>
      <c r="AD189" s="76" t="str">
        <f>IFERROR(AC189*J189*L189*#REF!*O189,IF(P189="","","None"))</f>
        <v/>
      </c>
      <c r="AF189" s="54" t="str">
        <f t="shared" si="10"/>
        <v/>
      </c>
      <c r="AG189" s="54" t="str">
        <f t="shared" si="11"/>
        <v/>
      </c>
      <c r="AH189" s="54" t="str">
        <f>IF(I189="","",IF(#REF!&gt;0,TRUE,FALSE))</f>
        <v/>
      </c>
      <c r="AI189" s="54">
        <v>179</v>
      </c>
      <c r="AJ189" s="54"/>
      <c r="AK189" s="54" t="str">
        <f t="array" ref="AK189">IFERROR(INDEX($AI$11:$AI$259, MATCH(0, IF(TRUE=$AF$11:$AF$259, COUNTIF($AK$10:$AK188, $AI$11:$AI$259), ""), 0)),"")</f>
        <v/>
      </c>
      <c r="AL189" s="54" t="str">
        <f t="array" ref="AL189">IFERROR(INDEX($AI$11:$AI$259, MATCH(0, IF(TRUE=$AG$11:$AG$259, COUNTIF($AL$10:$AL188, $AI$11:$AI$259), ""), 0)),"")</f>
        <v/>
      </c>
      <c r="AM189" s="54" t="str">
        <f t="array" ref="AM189">IFERROR(INDEX($AI$11:$AI$259, MATCH(0, IF(TRUE=$AH$11:$AH$259, COUNTIF($AM$10:$AM188, $AI$11:$AI$259), ""), 0)),"")</f>
        <v/>
      </c>
      <c r="AN189" s="54"/>
      <c r="AQ189" s="47">
        <f t="shared" si="12"/>
        <v>0</v>
      </c>
    </row>
    <row r="190" spans="1:43" x14ac:dyDescent="0.25">
      <c r="A190" s="47" t="str">
        <f>IFERROR(INDEX('G-1 All Habitats'!$AG$3:$AG$15,MATCH(E190,'G-1 All Habitats'!$AF$3:$AF$15,0)),"")</f>
        <v/>
      </c>
      <c r="B190" s="47" t="str">
        <f>IFERROR(INDEX('G-8 Condition Look up'!$I$4:$I$130,MATCH(G190,'G-8 Condition Look up'!$A$4:$A$130,0)),"")</f>
        <v/>
      </c>
      <c r="D190" s="77">
        <v>180</v>
      </c>
      <c r="E190" s="78"/>
      <c r="F190" s="79"/>
      <c r="G190" s="69" t="str">
        <f>IFERROR(INDEX('G-1 All Habitats'!$B$3:$B$129,MATCH(F190,'G-1 All Habitats'!$A$3:$A$129,0)),"")</f>
        <v/>
      </c>
      <c r="H190" s="70"/>
      <c r="I190" s="498" t="str">
        <f>IF(G190="","",VLOOKUP(G190,'G-1 All Habitats'!$B$2:$M$129,10,FALSE))</f>
        <v/>
      </c>
      <c r="J190" s="499" t="str">
        <f>IFERROR(VLOOKUP(I190,'G-1 All Habitats'!$V$3:$W$7,2,FALSE),"")</f>
        <v/>
      </c>
      <c r="K190" s="71"/>
      <c r="L190" s="499" t="str">
        <f>IFERROR(INDEX('G-8 Condition Look up'!$A$3:$H$130,MATCH(G190,'G-8 Condition Look up'!$A$3:$A$130,0),MATCH(K190,'G-8 Condition Look up'!$A$3:$H$3,0)),"")</f>
        <v/>
      </c>
      <c r="M190" s="71"/>
      <c r="N190" s="520" t="str">
        <f>IF(M190="","",IF(VLOOKUP(M190,'G-3 Multipliers'!$L$3:$N$6,2,FALSE)=0,"Spatial Data Missing",VLOOKUP(M190,'G-3 Multipliers'!$L$3:$N$6,2,FALSE)))</f>
        <v/>
      </c>
      <c r="O190" s="505" t="str">
        <f>IF(M190="","",IF(VLOOKUP(M190,'G-3 Multipliers'!$L$3:$N$6,3,FALSE)=0,"Spatial Data Missing",VLOOKUP(M190,'G-3 Multipliers'!$L$3:$N$6,3,FALSE)))</f>
        <v/>
      </c>
      <c r="P190" s="506" t="str">
        <f>IFERROR(VLOOKUP(G190,'G-1 All Habitats'!$B$2:$M$129,12,FALSE),"")</f>
        <v/>
      </c>
      <c r="Q190" s="513" t="str">
        <f>IFERROR(IF(P190="","",IF(AND(P190='G-1 All Habitats'!$X$3,T190&gt;0),U190+V190,IF(AND(P190='G-1 All Habitats'!$X$3,S190&gt;0),U190+V190,IF(AND(P190='G-1 All Habitats'!$X$3,AC190&gt;0),"Any Loss Unacceptable ▲",IF(AND(P190='G-1 All Habitats'!$X$3,W190&gt;0),"Any Loss Unacceptable ▲",H190*J190*L190*O190))))),"Check Data ▲")</f>
        <v/>
      </c>
      <c r="R190" s="50"/>
      <c r="S190" s="71"/>
      <c r="T190" s="72"/>
      <c r="U190" s="511" t="str">
        <f t="shared" si="13"/>
        <v/>
      </c>
      <c r="V190" s="511" t="str">
        <f t="shared" si="14"/>
        <v/>
      </c>
      <c r="W190" s="511" t="str">
        <f>IF(E190="","",IF(H190&lt;S190+T190,"Error in Areas ▲",IF(P190&lt;&gt;'G-1 All Habitats'!$X$3,H190-S190-T190,IF(AND(P190='G-1 All Habitats'!$X$3,Y190="Yes"),"Unacceptable Loss",IF(AND(P190='G-1 All Habitats'!$X$3,Y190="No"),AC190,IF(AND(P190='G-1 All Habitats'!$X$3,Y190=""),AC190,IF(AND(P190='G-1 All Habitats'!$X$3,AC190="None",AC190),IF(AND(P190='G-1 All Habitats'!$X$3,AC190&gt;0),H190-S190-T190))))))))</f>
        <v/>
      </c>
      <c r="X190" s="515" t="str">
        <f>IFERROR(IF(H190="","",IF(H190-S190-T190=0&lt;0,"Error in Areas ▲",IF(S190+T190&gt;H190,"Error in Areas ▲",IF(AND(P190='G-1 All Habitats'!$X$3,Y190="Yes"),"Alternative Compensation ✓",IF(W190=0,0,IF(P190='G-1 All Habitats'!$X$3,"Unacceptable Loss ▲",Q190-U190-V190)))))),"Check Data ▲")</f>
        <v/>
      </c>
      <c r="Y190" s="72"/>
      <c r="Z190" s="80"/>
      <c r="AA190" s="81"/>
      <c r="AC190" s="75" t="str">
        <f>IF(P190="","",IF(P190='G-1 All Habitats'!$X$3,H190-S190-T190,"None"))</f>
        <v/>
      </c>
      <c r="AD190" s="76" t="str">
        <f>IFERROR(AC190*J190*L190*#REF!*O190,IF(P190="","","None"))</f>
        <v/>
      </c>
      <c r="AF190" s="54" t="str">
        <f t="shared" si="10"/>
        <v/>
      </c>
      <c r="AG190" s="54" t="str">
        <f t="shared" si="11"/>
        <v/>
      </c>
      <c r="AH190" s="54" t="str">
        <f>IF(I190="","",IF(#REF!&gt;0,TRUE,FALSE))</f>
        <v/>
      </c>
      <c r="AI190" s="54">
        <v>180</v>
      </c>
      <c r="AJ190" s="54"/>
      <c r="AK190" s="54" t="str">
        <f t="array" ref="AK190">IFERROR(INDEX($AI$11:$AI$259, MATCH(0, IF(TRUE=$AF$11:$AF$259, COUNTIF($AK$10:$AK189, $AI$11:$AI$259), ""), 0)),"")</f>
        <v/>
      </c>
      <c r="AL190" s="54" t="str">
        <f t="array" ref="AL190">IFERROR(INDEX($AI$11:$AI$259, MATCH(0, IF(TRUE=$AG$11:$AG$259, COUNTIF($AL$10:$AL189, $AI$11:$AI$259), ""), 0)),"")</f>
        <v/>
      </c>
      <c r="AM190" s="54" t="str">
        <f t="array" ref="AM190">IFERROR(INDEX($AI$11:$AI$259, MATCH(0, IF(TRUE=$AH$11:$AH$259, COUNTIF($AM$10:$AM189, $AI$11:$AI$259), ""), 0)),"")</f>
        <v/>
      </c>
      <c r="AN190" s="54"/>
      <c r="AQ190" s="47">
        <f t="shared" si="12"/>
        <v>0</v>
      </c>
    </row>
    <row r="191" spans="1:43" x14ac:dyDescent="0.25">
      <c r="A191" s="47" t="str">
        <f>IFERROR(INDEX('G-1 All Habitats'!$AG$3:$AG$15,MATCH(E191,'G-1 All Habitats'!$AF$3:$AF$15,0)),"")</f>
        <v/>
      </c>
      <c r="B191" s="47" t="str">
        <f>IFERROR(INDEX('G-8 Condition Look up'!$I$4:$I$130,MATCH(G191,'G-8 Condition Look up'!$A$4:$A$130,0)),"")</f>
        <v/>
      </c>
      <c r="D191" s="77">
        <v>181</v>
      </c>
      <c r="E191" s="78"/>
      <c r="F191" s="79"/>
      <c r="G191" s="69" t="str">
        <f>IFERROR(INDEX('G-1 All Habitats'!$B$3:$B$129,MATCH(F191,'G-1 All Habitats'!$A$3:$A$129,0)),"")</f>
        <v/>
      </c>
      <c r="H191" s="70"/>
      <c r="I191" s="498" t="str">
        <f>IF(G191="","",VLOOKUP(G191,'G-1 All Habitats'!$B$2:$M$129,10,FALSE))</f>
        <v/>
      </c>
      <c r="J191" s="499" t="str">
        <f>IFERROR(VLOOKUP(I191,'G-1 All Habitats'!$V$3:$W$7,2,FALSE),"")</f>
        <v/>
      </c>
      <c r="K191" s="71"/>
      <c r="L191" s="499" t="str">
        <f>IFERROR(INDEX('G-8 Condition Look up'!$A$3:$H$130,MATCH(G191,'G-8 Condition Look up'!$A$3:$A$130,0),MATCH(K191,'G-8 Condition Look up'!$A$3:$H$3,0)),"")</f>
        <v/>
      </c>
      <c r="M191" s="71"/>
      <c r="N191" s="520" t="str">
        <f>IF(M191="","",IF(VLOOKUP(M191,'G-3 Multipliers'!$L$3:$N$6,2,FALSE)=0,"Spatial Data Missing",VLOOKUP(M191,'G-3 Multipliers'!$L$3:$N$6,2,FALSE)))</f>
        <v/>
      </c>
      <c r="O191" s="505" t="str">
        <f>IF(M191="","",IF(VLOOKUP(M191,'G-3 Multipliers'!$L$3:$N$6,3,FALSE)=0,"Spatial Data Missing",VLOOKUP(M191,'G-3 Multipliers'!$L$3:$N$6,3,FALSE)))</f>
        <v/>
      </c>
      <c r="P191" s="506" t="str">
        <f>IFERROR(VLOOKUP(G191,'G-1 All Habitats'!$B$2:$M$129,12,FALSE),"")</f>
        <v/>
      </c>
      <c r="Q191" s="513" t="str">
        <f>IFERROR(IF(P191="","",IF(AND(P191='G-1 All Habitats'!$X$3,T191&gt;0),U191+V191,IF(AND(P191='G-1 All Habitats'!$X$3,S191&gt;0),U191+V191,IF(AND(P191='G-1 All Habitats'!$X$3,AC191&gt;0),"Any Loss Unacceptable ▲",IF(AND(P191='G-1 All Habitats'!$X$3,W191&gt;0),"Any Loss Unacceptable ▲",H191*J191*L191*O191))))),"Check Data ▲")</f>
        <v/>
      </c>
      <c r="R191" s="50"/>
      <c r="S191" s="71"/>
      <c r="T191" s="72"/>
      <c r="U191" s="511" t="str">
        <f t="shared" si="13"/>
        <v/>
      </c>
      <c r="V191" s="511" t="str">
        <f t="shared" si="14"/>
        <v/>
      </c>
      <c r="W191" s="511" t="str">
        <f>IF(E191="","",IF(H191&lt;S191+T191,"Error in Areas ▲",IF(P191&lt;&gt;'G-1 All Habitats'!$X$3,H191-S191-T191,IF(AND(P191='G-1 All Habitats'!$X$3,Y191="Yes"),"Unacceptable Loss",IF(AND(P191='G-1 All Habitats'!$X$3,Y191="No"),AC191,IF(AND(P191='G-1 All Habitats'!$X$3,Y191=""),AC191,IF(AND(P191='G-1 All Habitats'!$X$3,AC191="None",AC191),IF(AND(P191='G-1 All Habitats'!$X$3,AC191&gt;0),H191-S191-T191))))))))</f>
        <v/>
      </c>
      <c r="X191" s="515" t="str">
        <f>IFERROR(IF(H191="","",IF(H191-S191-T191=0&lt;0,"Error in Areas ▲",IF(S191+T191&gt;H191,"Error in Areas ▲",IF(AND(P191='G-1 All Habitats'!$X$3,Y191="Yes"),"Alternative Compensation ✓",IF(W191=0,0,IF(P191='G-1 All Habitats'!$X$3,"Unacceptable Loss ▲",Q191-U191-V191)))))),"Check Data ▲")</f>
        <v/>
      </c>
      <c r="Y191" s="72"/>
      <c r="Z191" s="80"/>
      <c r="AA191" s="81"/>
      <c r="AC191" s="75" t="str">
        <f>IF(P191="","",IF(P191='G-1 All Habitats'!$X$3,H191-S191-T191,"None"))</f>
        <v/>
      </c>
      <c r="AD191" s="76" t="str">
        <f>IFERROR(AC191*J191*L191*#REF!*O191,IF(P191="","","None"))</f>
        <v/>
      </c>
      <c r="AF191" s="54" t="str">
        <f t="shared" si="10"/>
        <v/>
      </c>
      <c r="AG191" s="54" t="str">
        <f t="shared" si="11"/>
        <v/>
      </c>
      <c r="AH191" s="54" t="str">
        <f>IF(I191="","",IF(#REF!&gt;0,TRUE,FALSE))</f>
        <v/>
      </c>
      <c r="AI191" s="54">
        <v>181</v>
      </c>
      <c r="AJ191" s="54"/>
      <c r="AK191" s="54" t="str">
        <f t="array" ref="AK191">IFERROR(INDEX($AI$11:$AI$259, MATCH(0, IF(TRUE=$AF$11:$AF$259, COUNTIF($AK$10:$AK190, $AI$11:$AI$259), ""), 0)),"")</f>
        <v/>
      </c>
      <c r="AL191" s="54" t="str">
        <f t="array" ref="AL191">IFERROR(INDEX($AI$11:$AI$259, MATCH(0, IF(TRUE=$AG$11:$AG$259, COUNTIF($AL$10:$AL190, $AI$11:$AI$259), ""), 0)),"")</f>
        <v/>
      </c>
      <c r="AM191" s="54" t="str">
        <f t="array" ref="AM191">IFERROR(INDEX($AI$11:$AI$259, MATCH(0, IF(TRUE=$AH$11:$AH$259, COUNTIF($AM$10:$AM190, $AI$11:$AI$259), ""), 0)),"")</f>
        <v/>
      </c>
      <c r="AN191" s="54"/>
      <c r="AQ191" s="47">
        <f t="shared" si="12"/>
        <v>0</v>
      </c>
    </row>
    <row r="192" spans="1:43" x14ac:dyDescent="0.25">
      <c r="A192" s="47" t="str">
        <f>IFERROR(INDEX('G-1 All Habitats'!$AG$3:$AG$15,MATCH(E192,'G-1 All Habitats'!$AF$3:$AF$15,0)),"")</f>
        <v/>
      </c>
      <c r="B192" s="47" t="str">
        <f>IFERROR(INDEX('G-8 Condition Look up'!$I$4:$I$130,MATCH(G192,'G-8 Condition Look up'!$A$4:$A$130,0)),"")</f>
        <v/>
      </c>
      <c r="D192" s="77">
        <v>182</v>
      </c>
      <c r="E192" s="78"/>
      <c r="F192" s="79"/>
      <c r="G192" s="69" t="str">
        <f>IFERROR(INDEX('G-1 All Habitats'!$B$3:$B$129,MATCH(F192,'G-1 All Habitats'!$A$3:$A$129,0)),"")</f>
        <v/>
      </c>
      <c r="H192" s="70"/>
      <c r="I192" s="498" t="str">
        <f>IF(G192="","",VLOOKUP(G192,'G-1 All Habitats'!$B$2:$M$129,10,FALSE))</f>
        <v/>
      </c>
      <c r="J192" s="499" t="str">
        <f>IFERROR(VLOOKUP(I192,'G-1 All Habitats'!$V$3:$W$7,2,FALSE),"")</f>
        <v/>
      </c>
      <c r="K192" s="71"/>
      <c r="L192" s="499" t="str">
        <f>IFERROR(INDEX('G-8 Condition Look up'!$A$3:$H$130,MATCH(G192,'G-8 Condition Look up'!$A$3:$A$130,0),MATCH(K192,'G-8 Condition Look up'!$A$3:$H$3,0)),"")</f>
        <v/>
      </c>
      <c r="M192" s="71"/>
      <c r="N192" s="520" t="str">
        <f>IF(M192="","",IF(VLOOKUP(M192,'G-3 Multipliers'!$L$3:$N$6,2,FALSE)=0,"Spatial Data Missing",VLOOKUP(M192,'G-3 Multipliers'!$L$3:$N$6,2,FALSE)))</f>
        <v/>
      </c>
      <c r="O192" s="505" t="str">
        <f>IF(M192="","",IF(VLOOKUP(M192,'G-3 Multipliers'!$L$3:$N$6,3,FALSE)=0,"Spatial Data Missing",VLOOKUP(M192,'G-3 Multipliers'!$L$3:$N$6,3,FALSE)))</f>
        <v/>
      </c>
      <c r="P192" s="506" t="str">
        <f>IFERROR(VLOOKUP(G192,'G-1 All Habitats'!$B$2:$M$129,12,FALSE),"")</f>
        <v/>
      </c>
      <c r="Q192" s="513" t="str">
        <f>IFERROR(IF(P192="","",IF(AND(P192='G-1 All Habitats'!$X$3,T192&gt;0),U192+V192,IF(AND(P192='G-1 All Habitats'!$X$3,S192&gt;0),U192+V192,IF(AND(P192='G-1 All Habitats'!$X$3,AC192&gt;0),"Any Loss Unacceptable ▲",IF(AND(P192='G-1 All Habitats'!$X$3,W192&gt;0),"Any Loss Unacceptable ▲",H192*J192*L192*O192))))),"Check Data ▲")</f>
        <v/>
      </c>
      <c r="R192" s="50"/>
      <c r="S192" s="71"/>
      <c r="T192" s="72"/>
      <c r="U192" s="511" t="str">
        <f t="shared" si="13"/>
        <v/>
      </c>
      <c r="V192" s="511" t="str">
        <f t="shared" si="14"/>
        <v/>
      </c>
      <c r="W192" s="511" t="str">
        <f>IF(E192="","",IF(H192&lt;S192+T192,"Error in Areas ▲",IF(P192&lt;&gt;'G-1 All Habitats'!$X$3,H192-S192-T192,IF(AND(P192='G-1 All Habitats'!$X$3,Y192="Yes"),"Unacceptable Loss",IF(AND(P192='G-1 All Habitats'!$X$3,Y192="No"),AC192,IF(AND(P192='G-1 All Habitats'!$X$3,Y192=""),AC192,IF(AND(P192='G-1 All Habitats'!$X$3,AC192="None",AC192),IF(AND(P192='G-1 All Habitats'!$X$3,AC192&gt;0),H192-S192-T192))))))))</f>
        <v/>
      </c>
      <c r="X192" s="515" t="str">
        <f>IFERROR(IF(H192="","",IF(H192-S192-T192=0&lt;0,"Error in Areas ▲",IF(S192+T192&gt;H192,"Error in Areas ▲",IF(AND(P192='G-1 All Habitats'!$X$3,Y192="Yes"),"Alternative Compensation ✓",IF(W192=0,0,IF(P192='G-1 All Habitats'!$X$3,"Unacceptable Loss ▲",Q192-U192-V192)))))),"Check Data ▲")</f>
        <v/>
      </c>
      <c r="Y192" s="72"/>
      <c r="Z192" s="80"/>
      <c r="AA192" s="81"/>
      <c r="AC192" s="75" t="str">
        <f>IF(P192="","",IF(P192='G-1 All Habitats'!$X$3,H192-S192-T192,"None"))</f>
        <v/>
      </c>
      <c r="AD192" s="76" t="str">
        <f>IFERROR(AC192*J192*L192*#REF!*O192,IF(P192="","","None"))</f>
        <v/>
      </c>
      <c r="AF192" s="54" t="str">
        <f t="shared" si="10"/>
        <v/>
      </c>
      <c r="AG192" s="54" t="str">
        <f t="shared" si="11"/>
        <v/>
      </c>
      <c r="AH192" s="54" t="str">
        <f>IF(I192="","",IF(#REF!&gt;0,TRUE,FALSE))</f>
        <v/>
      </c>
      <c r="AI192" s="54">
        <v>182</v>
      </c>
      <c r="AJ192" s="54"/>
      <c r="AK192" s="54" t="str">
        <f t="array" ref="AK192">IFERROR(INDEX($AI$11:$AI$259, MATCH(0, IF(TRUE=$AF$11:$AF$259, COUNTIF($AK$10:$AK191, $AI$11:$AI$259), ""), 0)),"")</f>
        <v/>
      </c>
      <c r="AL192" s="54" t="str">
        <f t="array" ref="AL192">IFERROR(INDEX($AI$11:$AI$259, MATCH(0, IF(TRUE=$AG$11:$AG$259, COUNTIF($AL$10:$AL191, $AI$11:$AI$259), ""), 0)),"")</f>
        <v/>
      </c>
      <c r="AM192" s="54" t="str">
        <f t="array" ref="AM192">IFERROR(INDEX($AI$11:$AI$259, MATCH(0, IF(TRUE=$AH$11:$AH$259, COUNTIF($AM$10:$AM191, $AI$11:$AI$259), ""), 0)),"")</f>
        <v/>
      </c>
      <c r="AN192" s="54"/>
      <c r="AQ192" s="47">
        <f t="shared" si="12"/>
        <v>0</v>
      </c>
    </row>
    <row r="193" spans="1:43" x14ac:dyDescent="0.25">
      <c r="A193" s="47" t="str">
        <f>IFERROR(INDEX('G-1 All Habitats'!$AG$3:$AG$15,MATCH(E193,'G-1 All Habitats'!$AF$3:$AF$15,0)),"")</f>
        <v/>
      </c>
      <c r="B193" s="47" t="str">
        <f>IFERROR(INDEX('G-8 Condition Look up'!$I$4:$I$130,MATCH(G193,'G-8 Condition Look up'!$A$4:$A$130,0)),"")</f>
        <v/>
      </c>
      <c r="D193" s="77">
        <v>183</v>
      </c>
      <c r="E193" s="78"/>
      <c r="F193" s="79"/>
      <c r="G193" s="69" t="str">
        <f>IFERROR(INDEX('G-1 All Habitats'!$B$3:$B$129,MATCH(F193,'G-1 All Habitats'!$A$3:$A$129,0)),"")</f>
        <v/>
      </c>
      <c r="H193" s="70"/>
      <c r="I193" s="498" t="str">
        <f>IF(G193="","",VLOOKUP(G193,'G-1 All Habitats'!$B$2:$M$129,10,FALSE))</f>
        <v/>
      </c>
      <c r="J193" s="499" t="str">
        <f>IFERROR(VLOOKUP(I193,'G-1 All Habitats'!$V$3:$W$7,2,FALSE),"")</f>
        <v/>
      </c>
      <c r="K193" s="71"/>
      <c r="L193" s="499" t="str">
        <f>IFERROR(INDEX('G-8 Condition Look up'!$A$3:$H$130,MATCH(G193,'G-8 Condition Look up'!$A$3:$A$130,0),MATCH(K193,'G-8 Condition Look up'!$A$3:$H$3,0)),"")</f>
        <v/>
      </c>
      <c r="M193" s="71"/>
      <c r="N193" s="520" t="str">
        <f>IF(M193="","",IF(VLOOKUP(M193,'G-3 Multipliers'!$L$3:$N$6,2,FALSE)=0,"Spatial Data Missing",VLOOKUP(M193,'G-3 Multipliers'!$L$3:$N$6,2,FALSE)))</f>
        <v/>
      </c>
      <c r="O193" s="505" t="str">
        <f>IF(M193="","",IF(VLOOKUP(M193,'G-3 Multipliers'!$L$3:$N$6,3,FALSE)=0,"Spatial Data Missing",VLOOKUP(M193,'G-3 Multipliers'!$L$3:$N$6,3,FALSE)))</f>
        <v/>
      </c>
      <c r="P193" s="506" t="str">
        <f>IFERROR(VLOOKUP(G193,'G-1 All Habitats'!$B$2:$M$129,12,FALSE),"")</f>
        <v/>
      </c>
      <c r="Q193" s="513" t="str">
        <f>IFERROR(IF(P193="","",IF(AND(P193='G-1 All Habitats'!$X$3,T193&gt;0),U193+V193,IF(AND(P193='G-1 All Habitats'!$X$3,S193&gt;0),U193+V193,IF(AND(P193='G-1 All Habitats'!$X$3,AC193&gt;0),"Any Loss Unacceptable ▲",IF(AND(P193='G-1 All Habitats'!$X$3,W193&gt;0),"Any Loss Unacceptable ▲",H193*J193*L193*O193))))),"Check Data ▲")</f>
        <v/>
      </c>
      <c r="R193" s="50"/>
      <c r="S193" s="71"/>
      <c r="T193" s="72"/>
      <c r="U193" s="511" t="str">
        <f t="shared" si="13"/>
        <v/>
      </c>
      <c r="V193" s="511" t="str">
        <f t="shared" si="14"/>
        <v/>
      </c>
      <c r="W193" s="511" t="str">
        <f>IF(E193="","",IF(H193&lt;S193+T193,"Error in Areas ▲",IF(P193&lt;&gt;'G-1 All Habitats'!$X$3,H193-S193-T193,IF(AND(P193='G-1 All Habitats'!$X$3,Y193="Yes"),"Unacceptable Loss",IF(AND(P193='G-1 All Habitats'!$X$3,Y193="No"),AC193,IF(AND(P193='G-1 All Habitats'!$X$3,Y193=""),AC193,IF(AND(P193='G-1 All Habitats'!$X$3,AC193="None",AC193),IF(AND(P193='G-1 All Habitats'!$X$3,AC193&gt;0),H193-S193-T193))))))))</f>
        <v/>
      </c>
      <c r="X193" s="515" t="str">
        <f>IFERROR(IF(H193="","",IF(H193-S193-T193=0&lt;0,"Error in Areas ▲",IF(S193+T193&gt;H193,"Error in Areas ▲",IF(AND(P193='G-1 All Habitats'!$X$3,Y193="Yes"),"Alternative Compensation ✓",IF(W193=0,0,IF(P193='G-1 All Habitats'!$X$3,"Unacceptable Loss ▲",Q193-U193-V193)))))),"Check Data ▲")</f>
        <v/>
      </c>
      <c r="Y193" s="72"/>
      <c r="Z193" s="80"/>
      <c r="AA193" s="81"/>
      <c r="AC193" s="75" t="str">
        <f>IF(P193="","",IF(P193='G-1 All Habitats'!$X$3,H193-S193-T193,"None"))</f>
        <v/>
      </c>
      <c r="AD193" s="76" t="str">
        <f>IFERROR(AC193*J193*L193*#REF!*O193,IF(P193="","","None"))</f>
        <v/>
      </c>
      <c r="AF193" s="54" t="str">
        <f t="shared" si="10"/>
        <v/>
      </c>
      <c r="AG193" s="54" t="str">
        <f t="shared" si="11"/>
        <v/>
      </c>
      <c r="AH193" s="54" t="str">
        <f>IF(I193="","",IF(#REF!&gt;0,TRUE,FALSE))</f>
        <v/>
      </c>
      <c r="AI193" s="54">
        <v>183</v>
      </c>
      <c r="AJ193" s="54"/>
      <c r="AK193" s="54" t="str">
        <f t="array" ref="AK193">IFERROR(INDEX($AI$11:$AI$259, MATCH(0, IF(TRUE=$AF$11:$AF$259, COUNTIF($AK$10:$AK192, $AI$11:$AI$259), ""), 0)),"")</f>
        <v/>
      </c>
      <c r="AL193" s="54" t="str">
        <f t="array" ref="AL193">IFERROR(INDEX($AI$11:$AI$259, MATCH(0, IF(TRUE=$AG$11:$AG$259, COUNTIF($AL$10:$AL192, $AI$11:$AI$259), ""), 0)),"")</f>
        <v/>
      </c>
      <c r="AM193" s="54" t="str">
        <f t="array" ref="AM193">IFERROR(INDEX($AI$11:$AI$259, MATCH(0, IF(TRUE=$AH$11:$AH$259, COUNTIF($AM$10:$AM192, $AI$11:$AI$259), ""), 0)),"")</f>
        <v/>
      </c>
      <c r="AN193" s="54"/>
      <c r="AQ193" s="47">
        <f t="shared" si="12"/>
        <v>0</v>
      </c>
    </row>
    <row r="194" spans="1:43" x14ac:dyDescent="0.25">
      <c r="A194" s="47" t="str">
        <f>IFERROR(INDEX('G-1 All Habitats'!$AG$3:$AG$15,MATCH(E194,'G-1 All Habitats'!$AF$3:$AF$15,0)),"")</f>
        <v/>
      </c>
      <c r="B194" s="47" t="str">
        <f>IFERROR(INDEX('G-8 Condition Look up'!$I$4:$I$130,MATCH(G194,'G-8 Condition Look up'!$A$4:$A$130,0)),"")</f>
        <v/>
      </c>
      <c r="D194" s="77">
        <v>184</v>
      </c>
      <c r="E194" s="78"/>
      <c r="F194" s="79"/>
      <c r="G194" s="69" t="str">
        <f>IFERROR(INDEX('G-1 All Habitats'!$B$3:$B$129,MATCH(F194,'G-1 All Habitats'!$A$3:$A$129,0)),"")</f>
        <v/>
      </c>
      <c r="H194" s="70"/>
      <c r="I194" s="498" t="str">
        <f>IF(G194="","",VLOOKUP(G194,'G-1 All Habitats'!$B$2:$M$129,10,FALSE))</f>
        <v/>
      </c>
      <c r="J194" s="499" t="str">
        <f>IFERROR(VLOOKUP(I194,'G-1 All Habitats'!$V$3:$W$7,2,FALSE),"")</f>
        <v/>
      </c>
      <c r="K194" s="71"/>
      <c r="L194" s="499" t="str">
        <f>IFERROR(INDEX('G-8 Condition Look up'!$A$3:$H$130,MATCH(G194,'G-8 Condition Look up'!$A$3:$A$130,0),MATCH(K194,'G-8 Condition Look up'!$A$3:$H$3,0)),"")</f>
        <v/>
      </c>
      <c r="M194" s="71"/>
      <c r="N194" s="520" t="str">
        <f>IF(M194="","",IF(VLOOKUP(M194,'G-3 Multipliers'!$L$3:$N$6,2,FALSE)=0,"Spatial Data Missing",VLOOKUP(M194,'G-3 Multipliers'!$L$3:$N$6,2,FALSE)))</f>
        <v/>
      </c>
      <c r="O194" s="505" t="str">
        <f>IF(M194="","",IF(VLOOKUP(M194,'G-3 Multipliers'!$L$3:$N$6,3,FALSE)=0,"Spatial Data Missing",VLOOKUP(M194,'G-3 Multipliers'!$L$3:$N$6,3,FALSE)))</f>
        <v/>
      </c>
      <c r="P194" s="506" t="str">
        <f>IFERROR(VLOOKUP(G194,'G-1 All Habitats'!$B$2:$M$129,12,FALSE),"")</f>
        <v/>
      </c>
      <c r="Q194" s="513" t="str">
        <f>IFERROR(IF(P194="","",IF(AND(P194='G-1 All Habitats'!$X$3,T194&gt;0),U194+V194,IF(AND(P194='G-1 All Habitats'!$X$3,S194&gt;0),U194+V194,IF(AND(P194='G-1 All Habitats'!$X$3,AC194&gt;0),"Any Loss Unacceptable ▲",IF(AND(P194='G-1 All Habitats'!$X$3,W194&gt;0),"Any Loss Unacceptable ▲",H194*J194*L194*O194))))),"Check Data ▲")</f>
        <v/>
      </c>
      <c r="R194" s="50"/>
      <c r="S194" s="71"/>
      <c r="T194" s="72"/>
      <c r="U194" s="511" t="str">
        <f t="shared" si="13"/>
        <v/>
      </c>
      <c r="V194" s="511" t="str">
        <f t="shared" si="14"/>
        <v/>
      </c>
      <c r="W194" s="511" t="str">
        <f>IF(E194="","",IF(H194&lt;S194+T194,"Error in Areas ▲",IF(P194&lt;&gt;'G-1 All Habitats'!$X$3,H194-S194-T194,IF(AND(P194='G-1 All Habitats'!$X$3,Y194="Yes"),"Unacceptable Loss",IF(AND(P194='G-1 All Habitats'!$X$3,Y194="No"),AC194,IF(AND(P194='G-1 All Habitats'!$X$3,Y194=""),AC194,IF(AND(P194='G-1 All Habitats'!$X$3,AC194="None",AC194),IF(AND(P194='G-1 All Habitats'!$X$3,AC194&gt;0),H194-S194-T194))))))))</f>
        <v/>
      </c>
      <c r="X194" s="515" t="str">
        <f>IFERROR(IF(H194="","",IF(H194-S194-T194=0&lt;0,"Error in Areas ▲",IF(S194+T194&gt;H194,"Error in Areas ▲",IF(AND(P194='G-1 All Habitats'!$X$3,Y194="Yes"),"Alternative Compensation ✓",IF(W194=0,0,IF(P194='G-1 All Habitats'!$X$3,"Unacceptable Loss ▲",Q194-U194-V194)))))),"Check Data ▲")</f>
        <v/>
      </c>
      <c r="Y194" s="72"/>
      <c r="Z194" s="80"/>
      <c r="AA194" s="81"/>
      <c r="AC194" s="75" t="str">
        <f>IF(P194="","",IF(P194='G-1 All Habitats'!$X$3,H194-S194-T194,"None"))</f>
        <v/>
      </c>
      <c r="AD194" s="76" t="str">
        <f>IFERROR(AC194*J194*L194*#REF!*O194,IF(P194="","","None"))</f>
        <v/>
      </c>
      <c r="AF194" s="54" t="str">
        <f t="shared" si="10"/>
        <v/>
      </c>
      <c r="AG194" s="54" t="str">
        <f t="shared" si="11"/>
        <v/>
      </c>
      <c r="AH194" s="54" t="str">
        <f>IF(I194="","",IF(#REF!&gt;0,TRUE,FALSE))</f>
        <v/>
      </c>
      <c r="AI194" s="54">
        <v>184</v>
      </c>
      <c r="AJ194" s="54"/>
      <c r="AK194" s="54" t="str">
        <f t="array" ref="AK194">IFERROR(INDEX($AI$11:$AI$259, MATCH(0, IF(TRUE=$AF$11:$AF$259, COUNTIF($AK$10:$AK193, $AI$11:$AI$259), ""), 0)),"")</f>
        <v/>
      </c>
      <c r="AL194" s="54" t="str">
        <f t="array" ref="AL194">IFERROR(INDEX($AI$11:$AI$259, MATCH(0, IF(TRUE=$AG$11:$AG$259, COUNTIF($AL$10:$AL193, $AI$11:$AI$259), ""), 0)),"")</f>
        <v/>
      </c>
      <c r="AM194" s="54" t="str">
        <f t="array" ref="AM194">IFERROR(INDEX($AI$11:$AI$259, MATCH(0, IF(TRUE=$AH$11:$AH$259, COUNTIF($AM$10:$AM193, $AI$11:$AI$259), ""), 0)),"")</f>
        <v/>
      </c>
      <c r="AN194" s="54"/>
      <c r="AQ194" s="47">
        <f t="shared" si="12"/>
        <v>0</v>
      </c>
    </row>
    <row r="195" spans="1:43" x14ac:dyDescent="0.25">
      <c r="A195" s="47" t="str">
        <f>IFERROR(INDEX('G-1 All Habitats'!$AG$3:$AG$15,MATCH(E195,'G-1 All Habitats'!$AF$3:$AF$15,0)),"")</f>
        <v/>
      </c>
      <c r="B195" s="47" t="str">
        <f>IFERROR(INDEX('G-8 Condition Look up'!$I$4:$I$130,MATCH(G195,'G-8 Condition Look up'!$A$4:$A$130,0)),"")</f>
        <v/>
      </c>
      <c r="D195" s="77">
        <v>185</v>
      </c>
      <c r="E195" s="78"/>
      <c r="F195" s="79"/>
      <c r="G195" s="69" t="str">
        <f>IFERROR(INDEX('G-1 All Habitats'!$B$3:$B$129,MATCH(F195,'G-1 All Habitats'!$A$3:$A$129,0)),"")</f>
        <v/>
      </c>
      <c r="H195" s="70"/>
      <c r="I195" s="498" t="str">
        <f>IF(G195="","",VLOOKUP(G195,'G-1 All Habitats'!$B$2:$M$129,10,FALSE))</f>
        <v/>
      </c>
      <c r="J195" s="499" t="str">
        <f>IFERROR(VLOOKUP(I195,'G-1 All Habitats'!$V$3:$W$7,2,FALSE),"")</f>
        <v/>
      </c>
      <c r="K195" s="71"/>
      <c r="L195" s="499" t="str">
        <f>IFERROR(INDEX('G-8 Condition Look up'!$A$3:$H$130,MATCH(G195,'G-8 Condition Look up'!$A$3:$A$130,0),MATCH(K195,'G-8 Condition Look up'!$A$3:$H$3,0)),"")</f>
        <v/>
      </c>
      <c r="M195" s="71"/>
      <c r="N195" s="520" t="str">
        <f>IF(M195="","",IF(VLOOKUP(M195,'G-3 Multipliers'!$L$3:$N$6,2,FALSE)=0,"Spatial Data Missing",VLOOKUP(M195,'G-3 Multipliers'!$L$3:$N$6,2,FALSE)))</f>
        <v/>
      </c>
      <c r="O195" s="505" t="str">
        <f>IF(M195="","",IF(VLOOKUP(M195,'G-3 Multipliers'!$L$3:$N$6,3,FALSE)=0,"Spatial Data Missing",VLOOKUP(M195,'G-3 Multipliers'!$L$3:$N$6,3,FALSE)))</f>
        <v/>
      </c>
      <c r="P195" s="506" t="str">
        <f>IFERROR(VLOOKUP(G195,'G-1 All Habitats'!$B$2:$M$129,12,FALSE),"")</f>
        <v/>
      </c>
      <c r="Q195" s="513" t="str">
        <f>IFERROR(IF(P195="","",IF(AND(P195='G-1 All Habitats'!$X$3,T195&gt;0),U195+V195,IF(AND(P195='G-1 All Habitats'!$X$3,S195&gt;0),U195+V195,IF(AND(P195='G-1 All Habitats'!$X$3,AC195&gt;0),"Any Loss Unacceptable ▲",IF(AND(P195='G-1 All Habitats'!$X$3,W195&gt;0),"Any Loss Unacceptable ▲",H195*J195*L195*O195))))),"Check Data ▲")</f>
        <v/>
      </c>
      <c r="R195" s="50"/>
      <c r="S195" s="71"/>
      <c r="T195" s="72"/>
      <c r="U195" s="511" t="str">
        <f t="shared" si="13"/>
        <v/>
      </c>
      <c r="V195" s="511" t="str">
        <f t="shared" si="14"/>
        <v/>
      </c>
      <c r="W195" s="511" t="str">
        <f>IF(E195="","",IF(H195&lt;S195+T195,"Error in Areas ▲",IF(P195&lt;&gt;'G-1 All Habitats'!$X$3,H195-S195-T195,IF(AND(P195='G-1 All Habitats'!$X$3,Y195="Yes"),"Unacceptable Loss",IF(AND(P195='G-1 All Habitats'!$X$3,Y195="No"),AC195,IF(AND(P195='G-1 All Habitats'!$X$3,Y195=""),AC195,IF(AND(P195='G-1 All Habitats'!$X$3,AC195="None",AC195),IF(AND(P195='G-1 All Habitats'!$X$3,AC195&gt;0),H195-S195-T195))))))))</f>
        <v/>
      </c>
      <c r="X195" s="515" t="str">
        <f>IFERROR(IF(H195="","",IF(H195-S195-T195=0&lt;0,"Error in Areas ▲",IF(S195+T195&gt;H195,"Error in Areas ▲",IF(AND(P195='G-1 All Habitats'!$X$3,Y195="Yes"),"Alternative Compensation ✓",IF(W195=0,0,IF(P195='G-1 All Habitats'!$X$3,"Unacceptable Loss ▲",Q195-U195-V195)))))),"Check Data ▲")</f>
        <v/>
      </c>
      <c r="Y195" s="72"/>
      <c r="Z195" s="80"/>
      <c r="AA195" s="81"/>
      <c r="AC195" s="75" t="str">
        <f>IF(P195="","",IF(P195='G-1 All Habitats'!$X$3,H195-S195-T195,"None"))</f>
        <v/>
      </c>
      <c r="AD195" s="76" t="str">
        <f>IFERROR(AC195*J195*L195*#REF!*O195,IF(P195="","","None"))</f>
        <v/>
      </c>
      <c r="AF195" s="54" t="str">
        <f t="shared" si="10"/>
        <v/>
      </c>
      <c r="AG195" s="54" t="str">
        <f t="shared" si="11"/>
        <v/>
      </c>
      <c r="AH195" s="54" t="str">
        <f>IF(I195="","",IF(#REF!&gt;0,TRUE,FALSE))</f>
        <v/>
      </c>
      <c r="AI195" s="54">
        <v>185</v>
      </c>
      <c r="AJ195" s="54"/>
      <c r="AK195" s="54" t="str">
        <f t="array" ref="AK195">IFERROR(INDEX($AI$11:$AI$259, MATCH(0, IF(TRUE=$AF$11:$AF$259, COUNTIF($AK$10:$AK194, $AI$11:$AI$259), ""), 0)),"")</f>
        <v/>
      </c>
      <c r="AL195" s="54" t="str">
        <f t="array" ref="AL195">IFERROR(INDEX($AI$11:$AI$259, MATCH(0, IF(TRUE=$AG$11:$AG$259, COUNTIF($AL$10:$AL194, $AI$11:$AI$259), ""), 0)),"")</f>
        <v/>
      </c>
      <c r="AM195" s="54" t="str">
        <f t="array" ref="AM195">IFERROR(INDEX($AI$11:$AI$259, MATCH(0, IF(TRUE=$AH$11:$AH$259, COUNTIF($AM$10:$AM194, $AI$11:$AI$259), ""), 0)),"")</f>
        <v/>
      </c>
      <c r="AN195" s="54"/>
      <c r="AQ195" s="47">
        <f t="shared" si="12"/>
        <v>0</v>
      </c>
    </row>
    <row r="196" spans="1:43" x14ac:dyDescent="0.25">
      <c r="A196" s="47" t="str">
        <f>IFERROR(INDEX('G-1 All Habitats'!$AG$3:$AG$15,MATCH(E196,'G-1 All Habitats'!$AF$3:$AF$15,0)),"")</f>
        <v/>
      </c>
      <c r="B196" s="47" t="str">
        <f>IFERROR(INDEX('G-8 Condition Look up'!$I$4:$I$130,MATCH(G196,'G-8 Condition Look up'!$A$4:$A$130,0)),"")</f>
        <v/>
      </c>
      <c r="D196" s="77">
        <v>186</v>
      </c>
      <c r="E196" s="78"/>
      <c r="F196" s="79"/>
      <c r="G196" s="69" t="str">
        <f>IFERROR(INDEX('G-1 All Habitats'!$B$3:$B$129,MATCH(F196,'G-1 All Habitats'!$A$3:$A$129,0)),"")</f>
        <v/>
      </c>
      <c r="H196" s="70"/>
      <c r="I196" s="498" t="str">
        <f>IF(G196="","",VLOOKUP(G196,'G-1 All Habitats'!$B$2:$M$129,10,FALSE))</f>
        <v/>
      </c>
      <c r="J196" s="499" t="str">
        <f>IFERROR(VLOOKUP(I196,'G-1 All Habitats'!$V$3:$W$7,2,FALSE),"")</f>
        <v/>
      </c>
      <c r="K196" s="71"/>
      <c r="L196" s="499" t="str">
        <f>IFERROR(INDEX('G-8 Condition Look up'!$A$3:$H$130,MATCH(G196,'G-8 Condition Look up'!$A$3:$A$130,0),MATCH(K196,'G-8 Condition Look up'!$A$3:$H$3,0)),"")</f>
        <v/>
      </c>
      <c r="M196" s="71"/>
      <c r="N196" s="520" t="str">
        <f>IF(M196="","",IF(VLOOKUP(M196,'G-3 Multipliers'!$L$3:$N$6,2,FALSE)=0,"Spatial Data Missing",VLOOKUP(M196,'G-3 Multipliers'!$L$3:$N$6,2,FALSE)))</f>
        <v/>
      </c>
      <c r="O196" s="505" t="str">
        <f>IF(M196="","",IF(VLOOKUP(M196,'G-3 Multipliers'!$L$3:$N$6,3,FALSE)=0,"Spatial Data Missing",VLOOKUP(M196,'G-3 Multipliers'!$L$3:$N$6,3,FALSE)))</f>
        <v/>
      </c>
      <c r="P196" s="506" t="str">
        <f>IFERROR(VLOOKUP(G196,'G-1 All Habitats'!$B$2:$M$129,12,FALSE),"")</f>
        <v/>
      </c>
      <c r="Q196" s="513" t="str">
        <f>IFERROR(IF(P196="","",IF(AND(P196='G-1 All Habitats'!$X$3,T196&gt;0),U196+V196,IF(AND(P196='G-1 All Habitats'!$X$3,S196&gt;0),U196+V196,IF(AND(P196='G-1 All Habitats'!$X$3,AC196&gt;0),"Any Loss Unacceptable ▲",IF(AND(P196='G-1 All Habitats'!$X$3,W196&gt;0),"Any Loss Unacceptable ▲",H196*J196*L196*O196))))),"Check Data ▲")</f>
        <v/>
      </c>
      <c r="R196" s="50"/>
      <c r="S196" s="71"/>
      <c r="T196" s="72"/>
      <c r="U196" s="511" t="str">
        <f t="shared" si="13"/>
        <v/>
      </c>
      <c r="V196" s="511" t="str">
        <f t="shared" si="14"/>
        <v/>
      </c>
      <c r="W196" s="511" t="str">
        <f>IF(E196="","",IF(H196&lt;S196+T196,"Error in Areas ▲",IF(P196&lt;&gt;'G-1 All Habitats'!$X$3,H196-S196-T196,IF(AND(P196='G-1 All Habitats'!$X$3,Y196="Yes"),"Unacceptable Loss",IF(AND(P196='G-1 All Habitats'!$X$3,Y196="No"),AC196,IF(AND(P196='G-1 All Habitats'!$X$3,Y196=""),AC196,IF(AND(P196='G-1 All Habitats'!$X$3,AC196="None",AC196),IF(AND(P196='G-1 All Habitats'!$X$3,AC196&gt;0),H196-S196-T196))))))))</f>
        <v/>
      </c>
      <c r="X196" s="515" t="str">
        <f>IFERROR(IF(H196="","",IF(H196-S196-T196=0&lt;0,"Error in Areas ▲",IF(S196+T196&gt;H196,"Error in Areas ▲",IF(AND(P196='G-1 All Habitats'!$X$3,Y196="Yes"),"Alternative Compensation ✓",IF(W196=0,0,IF(P196='G-1 All Habitats'!$X$3,"Unacceptable Loss ▲",Q196-U196-V196)))))),"Check Data ▲")</f>
        <v/>
      </c>
      <c r="Y196" s="72"/>
      <c r="Z196" s="80"/>
      <c r="AA196" s="81"/>
      <c r="AC196" s="75" t="str">
        <f>IF(P196="","",IF(P196='G-1 All Habitats'!$X$3,H196-S196-T196,"None"))</f>
        <v/>
      </c>
      <c r="AD196" s="76" t="str">
        <f>IFERROR(AC196*J196*L196*#REF!*O196,IF(P196="","","None"))</f>
        <v/>
      </c>
      <c r="AF196" s="54" t="str">
        <f t="shared" si="10"/>
        <v/>
      </c>
      <c r="AG196" s="54" t="str">
        <f t="shared" si="11"/>
        <v/>
      </c>
      <c r="AH196" s="54" t="str">
        <f>IF(I196="","",IF(#REF!&gt;0,TRUE,FALSE))</f>
        <v/>
      </c>
      <c r="AI196" s="54">
        <v>186</v>
      </c>
      <c r="AJ196" s="54"/>
      <c r="AK196" s="54" t="str">
        <f t="array" ref="AK196">IFERROR(INDEX($AI$11:$AI$259, MATCH(0, IF(TRUE=$AF$11:$AF$259, COUNTIF($AK$10:$AK195, $AI$11:$AI$259), ""), 0)),"")</f>
        <v/>
      </c>
      <c r="AL196" s="54" t="str">
        <f t="array" ref="AL196">IFERROR(INDEX($AI$11:$AI$259, MATCH(0, IF(TRUE=$AG$11:$AG$259, COUNTIF($AL$10:$AL195, $AI$11:$AI$259), ""), 0)),"")</f>
        <v/>
      </c>
      <c r="AM196" s="54" t="str">
        <f t="array" ref="AM196">IFERROR(INDEX($AI$11:$AI$259, MATCH(0, IF(TRUE=$AH$11:$AH$259, COUNTIF($AM$10:$AM195, $AI$11:$AI$259), ""), 0)),"")</f>
        <v/>
      </c>
      <c r="AN196" s="54"/>
      <c r="AQ196" s="47">
        <f t="shared" si="12"/>
        <v>0</v>
      </c>
    </row>
    <row r="197" spans="1:43" x14ac:dyDescent="0.25">
      <c r="A197" s="47" t="str">
        <f>IFERROR(INDEX('G-1 All Habitats'!$AG$3:$AG$15,MATCH(E197,'G-1 All Habitats'!$AF$3:$AF$15,0)),"")</f>
        <v/>
      </c>
      <c r="B197" s="47" t="str">
        <f>IFERROR(INDEX('G-8 Condition Look up'!$I$4:$I$130,MATCH(G197,'G-8 Condition Look up'!$A$4:$A$130,0)),"")</f>
        <v/>
      </c>
      <c r="D197" s="77">
        <v>187</v>
      </c>
      <c r="E197" s="78"/>
      <c r="F197" s="79"/>
      <c r="G197" s="69" t="str">
        <f>IFERROR(INDEX('G-1 All Habitats'!$B$3:$B$129,MATCH(F197,'G-1 All Habitats'!$A$3:$A$129,0)),"")</f>
        <v/>
      </c>
      <c r="H197" s="70"/>
      <c r="I197" s="498" t="str">
        <f>IF(G197="","",VLOOKUP(G197,'G-1 All Habitats'!$B$2:$M$129,10,FALSE))</f>
        <v/>
      </c>
      <c r="J197" s="499" t="str">
        <f>IFERROR(VLOOKUP(I197,'G-1 All Habitats'!$V$3:$W$7,2,FALSE),"")</f>
        <v/>
      </c>
      <c r="K197" s="71"/>
      <c r="L197" s="499" t="str">
        <f>IFERROR(INDEX('G-8 Condition Look up'!$A$3:$H$130,MATCH(G197,'G-8 Condition Look up'!$A$3:$A$130,0),MATCH(K197,'G-8 Condition Look up'!$A$3:$H$3,0)),"")</f>
        <v/>
      </c>
      <c r="M197" s="71"/>
      <c r="N197" s="520" t="str">
        <f>IF(M197="","",IF(VLOOKUP(M197,'G-3 Multipliers'!$L$3:$N$6,2,FALSE)=0,"Spatial Data Missing",VLOOKUP(M197,'G-3 Multipliers'!$L$3:$N$6,2,FALSE)))</f>
        <v/>
      </c>
      <c r="O197" s="505" t="str">
        <f>IF(M197="","",IF(VLOOKUP(M197,'G-3 Multipliers'!$L$3:$N$6,3,FALSE)=0,"Spatial Data Missing",VLOOKUP(M197,'G-3 Multipliers'!$L$3:$N$6,3,FALSE)))</f>
        <v/>
      </c>
      <c r="P197" s="506" t="str">
        <f>IFERROR(VLOOKUP(G197,'G-1 All Habitats'!$B$2:$M$129,12,FALSE),"")</f>
        <v/>
      </c>
      <c r="Q197" s="513" t="str">
        <f>IFERROR(IF(P197="","",IF(AND(P197='G-1 All Habitats'!$X$3,T197&gt;0),U197+V197,IF(AND(P197='G-1 All Habitats'!$X$3,S197&gt;0),U197+V197,IF(AND(P197='G-1 All Habitats'!$X$3,AC197&gt;0),"Any Loss Unacceptable ▲",IF(AND(P197='G-1 All Habitats'!$X$3,W197&gt;0),"Any Loss Unacceptable ▲",H197*J197*L197*O197))))),"Check Data ▲")</f>
        <v/>
      </c>
      <c r="R197" s="50"/>
      <c r="S197" s="71"/>
      <c r="T197" s="72"/>
      <c r="U197" s="511" t="str">
        <f t="shared" si="13"/>
        <v/>
      </c>
      <c r="V197" s="511" t="str">
        <f t="shared" si="14"/>
        <v/>
      </c>
      <c r="W197" s="511" t="str">
        <f>IF(E197="","",IF(H197&lt;S197+T197,"Error in Areas ▲",IF(P197&lt;&gt;'G-1 All Habitats'!$X$3,H197-S197-T197,IF(AND(P197='G-1 All Habitats'!$X$3,Y197="Yes"),"Unacceptable Loss",IF(AND(P197='G-1 All Habitats'!$X$3,Y197="No"),AC197,IF(AND(P197='G-1 All Habitats'!$X$3,Y197=""),AC197,IF(AND(P197='G-1 All Habitats'!$X$3,AC197="None",AC197),IF(AND(P197='G-1 All Habitats'!$X$3,AC197&gt;0),H197-S197-T197))))))))</f>
        <v/>
      </c>
      <c r="X197" s="515" t="str">
        <f>IFERROR(IF(H197="","",IF(H197-S197-T197=0&lt;0,"Error in Areas ▲",IF(S197+T197&gt;H197,"Error in Areas ▲",IF(AND(P197='G-1 All Habitats'!$X$3,Y197="Yes"),"Alternative Compensation ✓",IF(W197=0,0,IF(P197='G-1 All Habitats'!$X$3,"Unacceptable Loss ▲",Q197-U197-V197)))))),"Check Data ▲")</f>
        <v/>
      </c>
      <c r="Y197" s="72"/>
      <c r="Z197" s="80"/>
      <c r="AA197" s="81"/>
      <c r="AC197" s="75" t="str">
        <f>IF(P197="","",IF(P197='G-1 All Habitats'!$X$3,H197-S197-T197,"None"))</f>
        <v/>
      </c>
      <c r="AD197" s="76" t="str">
        <f>IFERROR(AC197*J197*L197*#REF!*O197,IF(P197="","","None"))</f>
        <v/>
      </c>
      <c r="AF197" s="54" t="str">
        <f t="shared" si="10"/>
        <v/>
      </c>
      <c r="AG197" s="54" t="str">
        <f t="shared" si="11"/>
        <v/>
      </c>
      <c r="AH197" s="54" t="str">
        <f>IF(I197="","",IF(#REF!&gt;0,TRUE,FALSE))</f>
        <v/>
      </c>
      <c r="AI197" s="54">
        <v>187</v>
      </c>
      <c r="AJ197" s="54"/>
      <c r="AK197" s="54" t="str">
        <f t="array" ref="AK197">IFERROR(INDEX($AI$11:$AI$259, MATCH(0, IF(TRUE=$AF$11:$AF$259, COUNTIF($AK$10:$AK196, $AI$11:$AI$259), ""), 0)),"")</f>
        <v/>
      </c>
      <c r="AL197" s="54" t="str">
        <f t="array" ref="AL197">IFERROR(INDEX($AI$11:$AI$259, MATCH(0, IF(TRUE=$AG$11:$AG$259, COUNTIF($AL$10:$AL196, $AI$11:$AI$259), ""), 0)),"")</f>
        <v/>
      </c>
      <c r="AM197" s="54" t="str">
        <f t="array" ref="AM197">IFERROR(INDEX($AI$11:$AI$259, MATCH(0, IF(TRUE=$AH$11:$AH$259, COUNTIF($AM$10:$AM196, $AI$11:$AI$259), ""), 0)),"")</f>
        <v/>
      </c>
      <c r="AN197" s="54"/>
      <c r="AQ197" s="47">
        <f t="shared" si="12"/>
        <v>0</v>
      </c>
    </row>
    <row r="198" spans="1:43" x14ac:dyDescent="0.25">
      <c r="A198" s="47" t="str">
        <f>IFERROR(INDEX('G-1 All Habitats'!$AG$3:$AG$15,MATCH(E198,'G-1 All Habitats'!$AF$3:$AF$15,0)),"")</f>
        <v/>
      </c>
      <c r="B198" s="47" t="str">
        <f>IFERROR(INDEX('G-8 Condition Look up'!$I$4:$I$130,MATCH(G198,'G-8 Condition Look up'!$A$4:$A$130,0)),"")</f>
        <v/>
      </c>
      <c r="D198" s="77">
        <v>188</v>
      </c>
      <c r="E198" s="78"/>
      <c r="F198" s="79"/>
      <c r="G198" s="69" t="str">
        <f>IFERROR(INDEX('G-1 All Habitats'!$B$3:$B$129,MATCH(F198,'G-1 All Habitats'!$A$3:$A$129,0)),"")</f>
        <v/>
      </c>
      <c r="H198" s="70"/>
      <c r="I198" s="498" t="str">
        <f>IF(G198="","",VLOOKUP(G198,'G-1 All Habitats'!$B$2:$M$129,10,FALSE))</f>
        <v/>
      </c>
      <c r="J198" s="499" t="str">
        <f>IFERROR(VLOOKUP(I198,'G-1 All Habitats'!$V$3:$W$7,2,FALSE),"")</f>
        <v/>
      </c>
      <c r="K198" s="71"/>
      <c r="L198" s="499" t="str">
        <f>IFERROR(INDEX('G-8 Condition Look up'!$A$3:$H$130,MATCH(G198,'G-8 Condition Look up'!$A$3:$A$130,0),MATCH(K198,'G-8 Condition Look up'!$A$3:$H$3,0)),"")</f>
        <v/>
      </c>
      <c r="M198" s="71"/>
      <c r="N198" s="520" t="str">
        <f>IF(M198="","",IF(VLOOKUP(M198,'G-3 Multipliers'!$L$3:$N$6,2,FALSE)=0,"Spatial Data Missing",VLOOKUP(M198,'G-3 Multipliers'!$L$3:$N$6,2,FALSE)))</f>
        <v/>
      </c>
      <c r="O198" s="505" t="str">
        <f>IF(M198="","",IF(VLOOKUP(M198,'G-3 Multipliers'!$L$3:$N$6,3,FALSE)=0,"Spatial Data Missing",VLOOKUP(M198,'G-3 Multipliers'!$L$3:$N$6,3,FALSE)))</f>
        <v/>
      </c>
      <c r="P198" s="506" t="str">
        <f>IFERROR(VLOOKUP(G198,'G-1 All Habitats'!$B$2:$M$129,12,FALSE),"")</f>
        <v/>
      </c>
      <c r="Q198" s="513" t="str">
        <f>IFERROR(IF(P198="","",IF(AND(P198='G-1 All Habitats'!$X$3,T198&gt;0),U198+V198,IF(AND(P198='G-1 All Habitats'!$X$3,S198&gt;0),U198+V198,IF(AND(P198='G-1 All Habitats'!$X$3,AC198&gt;0),"Any Loss Unacceptable ▲",IF(AND(P198='G-1 All Habitats'!$X$3,W198&gt;0),"Any Loss Unacceptable ▲",H198*J198*L198*O198))))),"Check Data ▲")</f>
        <v/>
      </c>
      <c r="R198" s="50"/>
      <c r="S198" s="71"/>
      <c r="T198" s="72"/>
      <c r="U198" s="511" t="str">
        <f t="shared" si="13"/>
        <v/>
      </c>
      <c r="V198" s="511" t="str">
        <f t="shared" si="14"/>
        <v/>
      </c>
      <c r="W198" s="511" t="str">
        <f>IF(E198="","",IF(H198&lt;S198+T198,"Error in Areas ▲",IF(P198&lt;&gt;'G-1 All Habitats'!$X$3,H198-S198-T198,IF(AND(P198='G-1 All Habitats'!$X$3,Y198="Yes"),"Unacceptable Loss",IF(AND(P198='G-1 All Habitats'!$X$3,Y198="No"),AC198,IF(AND(P198='G-1 All Habitats'!$X$3,Y198=""),AC198,IF(AND(P198='G-1 All Habitats'!$X$3,AC198="None",AC198),IF(AND(P198='G-1 All Habitats'!$X$3,AC198&gt;0),H198-S198-T198))))))))</f>
        <v/>
      </c>
      <c r="X198" s="515" t="str">
        <f>IFERROR(IF(H198="","",IF(H198-S198-T198=0&lt;0,"Error in Areas ▲",IF(S198+T198&gt;H198,"Error in Areas ▲",IF(AND(P198='G-1 All Habitats'!$X$3,Y198="Yes"),"Alternative Compensation ✓",IF(W198=0,0,IF(P198='G-1 All Habitats'!$X$3,"Unacceptable Loss ▲",Q198-U198-V198)))))),"Check Data ▲")</f>
        <v/>
      </c>
      <c r="Y198" s="72"/>
      <c r="Z198" s="80"/>
      <c r="AA198" s="81"/>
      <c r="AC198" s="75" t="str">
        <f>IF(P198="","",IF(P198='G-1 All Habitats'!$X$3,H198-S198-T198,"None"))</f>
        <v/>
      </c>
      <c r="AD198" s="76" t="str">
        <f>IFERROR(AC198*J198*L198*#REF!*O198,IF(P198="","","None"))</f>
        <v/>
      </c>
      <c r="AF198" s="54" t="str">
        <f t="shared" si="10"/>
        <v/>
      </c>
      <c r="AG198" s="54" t="str">
        <f t="shared" si="11"/>
        <v/>
      </c>
      <c r="AH198" s="54" t="str">
        <f>IF(I198="","",IF(#REF!&gt;0,TRUE,FALSE))</f>
        <v/>
      </c>
      <c r="AI198" s="54">
        <v>188</v>
      </c>
      <c r="AJ198" s="54"/>
      <c r="AK198" s="54" t="str">
        <f t="array" ref="AK198">IFERROR(INDEX($AI$11:$AI$259, MATCH(0, IF(TRUE=$AF$11:$AF$259, COUNTIF($AK$10:$AK197, $AI$11:$AI$259), ""), 0)),"")</f>
        <v/>
      </c>
      <c r="AL198" s="54" t="str">
        <f t="array" ref="AL198">IFERROR(INDEX($AI$11:$AI$259, MATCH(0, IF(TRUE=$AG$11:$AG$259, COUNTIF($AL$10:$AL197, $AI$11:$AI$259), ""), 0)),"")</f>
        <v/>
      </c>
      <c r="AM198" s="54" t="str">
        <f t="array" ref="AM198">IFERROR(INDEX($AI$11:$AI$259, MATCH(0, IF(TRUE=$AH$11:$AH$259, COUNTIF($AM$10:$AM197, $AI$11:$AI$259), ""), 0)),"")</f>
        <v/>
      </c>
      <c r="AN198" s="54"/>
      <c r="AQ198" s="47">
        <f t="shared" si="12"/>
        <v>0</v>
      </c>
    </row>
    <row r="199" spans="1:43" x14ac:dyDescent="0.25">
      <c r="A199" s="47" t="str">
        <f>IFERROR(INDEX('G-1 All Habitats'!$AG$3:$AG$15,MATCH(E199,'G-1 All Habitats'!$AF$3:$AF$15,0)),"")</f>
        <v/>
      </c>
      <c r="B199" s="47" t="str">
        <f>IFERROR(INDEX('G-8 Condition Look up'!$I$4:$I$130,MATCH(G199,'G-8 Condition Look up'!$A$4:$A$130,0)),"")</f>
        <v/>
      </c>
      <c r="D199" s="77">
        <v>189</v>
      </c>
      <c r="E199" s="78"/>
      <c r="F199" s="79"/>
      <c r="G199" s="69" t="str">
        <f>IFERROR(INDEX('G-1 All Habitats'!$B$3:$B$129,MATCH(F199,'G-1 All Habitats'!$A$3:$A$129,0)),"")</f>
        <v/>
      </c>
      <c r="H199" s="70"/>
      <c r="I199" s="498" t="str">
        <f>IF(G199="","",VLOOKUP(G199,'G-1 All Habitats'!$B$2:$M$129,10,FALSE))</f>
        <v/>
      </c>
      <c r="J199" s="499" t="str">
        <f>IFERROR(VLOOKUP(I199,'G-1 All Habitats'!$V$3:$W$7,2,FALSE),"")</f>
        <v/>
      </c>
      <c r="K199" s="71"/>
      <c r="L199" s="499" t="str">
        <f>IFERROR(INDEX('G-8 Condition Look up'!$A$3:$H$130,MATCH(G199,'G-8 Condition Look up'!$A$3:$A$130,0),MATCH(K199,'G-8 Condition Look up'!$A$3:$H$3,0)),"")</f>
        <v/>
      </c>
      <c r="M199" s="71"/>
      <c r="N199" s="520" t="str">
        <f>IF(M199="","",IF(VLOOKUP(M199,'G-3 Multipliers'!$L$3:$N$6,2,FALSE)=0,"Spatial Data Missing",VLOOKUP(M199,'G-3 Multipliers'!$L$3:$N$6,2,FALSE)))</f>
        <v/>
      </c>
      <c r="O199" s="505" t="str">
        <f>IF(M199="","",IF(VLOOKUP(M199,'G-3 Multipliers'!$L$3:$N$6,3,FALSE)=0,"Spatial Data Missing",VLOOKUP(M199,'G-3 Multipliers'!$L$3:$N$6,3,FALSE)))</f>
        <v/>
      </c>
      <c r="P199" s="506" t="str">
        <f>IFERROR(VLOOKUP(G199,'G-1 All Habitats'!$B$2:$M$129,12,FALSE),"")</f>
        <v/>
      </c>
      <c r="Q199" s="513" t="str">
        <f>IFERROR(IF(P199="","",IF(AND(P199='G-1 All Habitats'!$X$3,T199&gt;0),U199+V199,IF(AND(P199='G-1 All Habitats'!$X$3,S199&gt;0),U199+V199,IF(AND(P199='G-1 All Habitats'!$X$3,AC199&gt;0),"Any Loss Unacceptable ▲",IF(AND(P199='G-1 All Habitats'!$X$3,W199&gt;0),"Any Loss Unacceptable ▲",H199*J199*L199*O199))))),"Check Data ▲")</f>
        <v/>
      </c>
      <c r="R199" s="50"/>
      <c r="S199" s="71"/>
      <c r="T199" s="72"/>
      <c r="U199" s="511" t="str">
        <f t="shared" si="13"/>
        <v/>
      </c>
      <c r="V199" s="511" t="str">
        <f t="shared" si="14"/>
        <v/>
      </c>
      <c r="W199" s="511" t="str">
        <f>IF(E199="","",IF(H199&lt;S199+T199,"Error in Areas ▲",IF(P199&lt;&gt;'G-1 All Habitats'!$X$3,H199-S199-T199,IF(AND(P199='G-1 All Habitats'!$X$3,Y199="Yes"),"Unacceptable Loss",IF(AND(P199='G-1 All Habitats'!$X$3,Y199="No"),AC199,IF(AND(P199='G-1 All Habitats'!$X$3,Y199=""),AC199,IF(AND(P199='G-1 All Habitats'!$X$3,AC199="None",AC199),IF(AND(P199='G-1 All Habitats'!$X$3,AC199&gt;0),H199-S199-T199))))))))</f>
        <v/>
      </c>
      <c r="X199" s="515" t="str">
        <f>IFERROR(IF(H199="","",IF(H199-S199-T199=0&lt;0,"Error in Areas ▲",IF(S199+T199&gt;H199,"Error in Areas ▲",IF(AND(P199='G-1 All Habitats'!$X$3,Y199="Yes"),"Alternative Compensation ✓",IF(W199=0,0,IF(P199='G-1 All Habitats'!$X$3,"Unacceptable Loss ▲",Q199-U199-V199)))))),"Check Data ▲")</f>
        <v/>
      </c>
      <c r="Y199" s="72"/>
      <c r="Z199" s="80"/>
      <c r="AA199" s="81"/>
      <c r="AC199" s="75" t="str">
        <f>IF(P199="","",IF(P199='G-1 All Habitats'!$X$3,H199-S199-T199,"None"))</f>
        <v/>
      </c>
      <c r="AD199" s="76" t="str">
        <f>IFERROR(AC199*J199*L199*#REF!*O199,IF(P199="","","None"))</f>
        <v/>
      </c>
      <c r="AF199" s="54" t="str">
        <f t="shared" si="10"/>
        <v/>
      </c>
      <c r="AG199" s="54" t="str">
        <f t="shared" si="11"/>
        <v/>
      </c>
      <c r="AH199" s="54" t="str">
        <f>IF(I199="","",IF(#REF!&gt;0,TRUE,FALSE))</f>
        <v/>
      </c>
      <c r="AI199" s="54">
        <v>189</v>
      </c>
      <c r="AJ199" s="54"/>
      <c r="AK199" s="54" t="str">
        <f t="array" ref="AK199">IFERROR(INDEX($AI$11:$AI$259, MATCH(0, IF(TRUE=$AF$11:$AF$259, COUNTIF($AK$10:$AK198, $AI$11:$AI$259), ""), 0)),"")</f>
        <v/>
      </c>
      <c r="AL199" s="54" t="str">
        <f t="array" ref="AL199">IFERROR(INDEX($AI$11:$AI$259, MATCH(0, IF(TRUE=$AG$11:$AG$259, COUNTIF($AL$10:$AL198, $AI$11:$AI$259), ""), 0)),"")</f>
        <v/>
      </c>
      <c r="AM199" s="54" t="str">
        <f t="array" ref="AM199">IFERROR(INDEX($AI$11:$AI$259, MATCH(0, IF(TRUE=$AH$11:$AH$259, COUNTIF($AM$10:$AM198, $AI$11:$AI$259), ""), 0)),"")</f>
        <v/>
      </c>
      <c r="AN199" s="54"/>
      <c r="AQ199" s="47">
        <f t="shared" si="12"/>
        <v>0</v>
      </c>
    </row>
    <row r="200" spans="1:43" x14ac:dyDescent="0.25">
      <c r="A200" s="47" t="str">
        <f>IFERROR(INDEX('G-1 All Habitats'!$AG$3:$AG$15,MATCH(E200,'G-1 All Habitats'!$AF$3:$AF$15,0)),"")</f>
        <v/>
      </c>
      <c r="B200" s="47" t="str">
        <f>IFERROR(INDEX('G-8 Condition Look up'!$I$4:$I$130,MATCH(G200,'G-8 Condition Look up'!$A$4:$A$130,0)),"")</f>
        <v/>
      </c>
      <c r="D200" s="77">
        <v>190</v>
      </c>
      <c r="E200" s="78"/>
      <c r="F200" s="79"/>
      <c r="G200" s="69" t="str">
        <f>IFERROR(INDEX('G-1 All Habitats'!$B$3:$B$129,MATCH(F200,'G-1 All Habitats'!$A$3:$A$129,0)),"")</f>
        <v/>
      </c>
      <c r="H200" s="70"/>
      <c r="I200" s="498" t="str">
        <f>IF(G200="","",VLOOKUP(G200,'G-1 All Habitats'!$B$2:$M$129,10,FALSE))</f>
        <v/>
      </c>
      <c r="J200" s="499" t="str">
        <f>IFERROR(VLOOKUP(I200,'G-1 All Habitats'!$V$3:$W$7,2,FALSE),"")</f>
        <v/>
      </c>
      <c r="K200" s="71"/>
      <c r="L200" s="499" t="str">
        <f>IFERROR(INDEX('G-8 Condition Look up'!$A$3:$H$130,MATCH(G200,'G-8 Condition Look up'!$A$3:$A$130,0),MATCH(K200,'G-8 Condition Look up'!$A$3:$H$3,0)),"")</f>
        <v/>
      </c>
      <c r="M200" s="71"/>
      <c r="N200" s="520" t="str">
        <f>IF(M200="","",IF(VLOOKUP(M200,'G-3 Multipliers'!$L$3:$N$6,2,FALSE)=0,"Spatial Data Missing",VLOOKUP(M200,'G-3 Multipliers'!$L$3:$N$6,2,FALSE)))</f>
        <v/>
      </c>
      <c r="O200" s="505" t="str">
        <f>IF(M200="","",IF(VLOOKUP(M200,'G-3 Multipliers'!$L$3:$N$6,3,FALSE)=0,"Spatial Data Missing",VLOOKUP(M200,'G-3 Multipliers'!$L$3:$N$6,3,FALSE)))</f>
        <v/>
      </c>
      <c r="P200" s="506" t="str">
        <f>IFERROR(VLOOKUP(G200,'G-1 All Habitats'!$B$2:$M$129,12,FALSE),"")</f>
        <v/>
      </c>
      <c r="Q200" s="513" t="str">
        <f>IFERROR(IF(P200="","",IF(AND(P200='G-1 All Habitats'!$X$3,T200&gt;0),U200+V200,IF(AND(P200='G-1 All Habitats'!$X$3,S200&gt;0),U200+V200,IF(AND(P200='G-1 All Habitats'!$X$3,AC200&gt;0),"Any Loss Unacceptable ▲",IF(AND(P200='G-1 All Habitats'!$X$3,W200&gt;0),"Any Loss Unacceptable ▲",H200*J200*L200*O200))))),"Check Data ▲")</f>
        <v/>
      </c>
      <c r="R200" s="50"/>
      <c r="S200" s="71"/>
      <c r="T200" s="72"/>
      <c r="U200" s="511" t="str">
        <f t="shared" si="13"/>
        <v/>
      </c>
      <c r="V200" s="511" t="str">
        <f t="shared" si="14"/>
        <v/>
      </c>
      <c r="W200" s="511" t="str">
        <f>IF(E200="","",IF(H200&lt;S200+T200,"Error in Areas ▲",IF(P200&lt;&gt;'G-1 All Habitats'!$X$3,H200-S200-T200,IF(AND(P200='G-1 All Habitats'!$X$3,Y200="Yes"),"Unacceptable Loss",IF(AND(P200='G-1 All Habitats'!$X$3,Y200="No"),AC200,IF(AND(P200='G-1 All Habitats'!$X$3,Y200=""),AC200,IF(AND(P200='G-1 All Habitats'!$X$3,AC200="None",AC200),IF(AND(P200='G-1 All Habitats'!$X$3,AC200&gt;0),H200-S200-T200))))))))</f>
        <v/>
      </c>
      <c r="X200" s="515" t="str">
        <f>IFERROR(IF(H200="","",IF(H200-S200-T200=0&lt;0,"Error in Areas ▲",IF(S200+T200&gt;H200,"Error in Areas ▲",IF(AND(P200='G-1 All Habitats'!$X$3,Y200="Yes"),"Alternative Compensation ✓",IF(W200=0,0,IF(P200='G-1 All Habitats'!$X$3,"Unacceptable Loss ▲",Q200-U200-V200)))))),"Check Data ▲")</f>
        <v/>
      </c>
      <c r="Y200" s="72"/>
      <c r="Z200" s="80"/>
      <c r="AA200" s="81"/>
      <c r="AC200" s="75" t="str">
        <f>IF(P200="","",IF(P200='G-1 All Habitats'!$X$3,H200-S200-T200,"None"))</f>
        <v/>
      </c>
      <c r="AD200" s="76" t="str">
        <f>IFERROR(AC200*J200*L200*#REF!*O200,IF(P200="","","None"))</f>
        <v/>
      </c>
      <c r="AF200" s="54" t="str">
        <f t="shared" si="10"/>
        <v/>
      </c>
      <c r="AG200" s="54" t="str">
        <f t="shared" si="11"/>
        <v/>
      </c>
      <c r="AH200" s="54" t="str">
        <f>IF(I200="","",IF(#REF!&gt;0,TRUE,FALSE))</f>
        <v/>
      </c>
      <c r="AI200" s="54">
        <v>190</v>
      </c>
      <c r="AJ200" s="54"/>
      <c r="AK200" s="54" t="str">
        <f t="array" ref="AK200">IFERROR(INDEX($AI$11:$AI$259, MATCH(0, IF(TRUE=$AF$11:$AF$259, COUNTIF($AK$10:$AK199, $AI$11:$AI$259), ""), 0)),"")</f>
        <v/>
      </c>
      <c r="AL200" s="54" t="str">
        <f t="array" ref="AL200">IFERROR(INDEX($AI$11:$AI$259, MATCH(0, IF(TRUE=$AG$11:$AG$259, COUNTIF($AL$10:$AL199, $AI$11:$AI$259), ""), 0)),"")</f>
        <v/>
      </c>
      <c r="AM200" s="54" t="str">
        <f t="array" ref="AM200">IFERROR(INDEX($AI$11:$AI$259, MATCH(0, IF(TRUE=$AH$11:$AH$259, COUNTIF($AM$10:$AM199, $AI$11:$AI$259), ""), 0)),"")</f>
        <v/>
      </c>
      <c r="AN200" s="54"/>
      <c r="AQ200" s="47">
        <f t="shared" si="12"/>
        <v>0</v>
      </c>
    </row>
    <row r="201" spans="1:43" x14ac:dyDescent="0.25">
      <c r="A201" s="47" t="str">
        <f>IFERROR(INDEX('G-1 All Habitats'!$AG$3:$AG$15,MATCH(E201,'G-1 All Habitats'!$AF$3:$AF$15,0)),"")</f>
        <v/>
      </c>
      <c r="B201" s="47" t="str">
        <f>IFERROR(INDEX('G-8 Condition Look up'!$I$4:$I$130,MATCH(G201,'G-8 Condition Look up'!$A$4:$A$130,0)),"")</f>
        <v/>
      </c>
      <c r="D201" s="77">
        <v>191</v>
      </c>
      <c r="E201" s="78"/>
      <c r="F201" s="79"/>
      <c r="G201" s="69" t="str">
        <f>IFERROR(INDEX('G-1 All Habitats'!$B$3:$B$129,MATCH(F201,'G-1 All Habitats'!$A$3:$A$129,0)),"")</f>
        <v/>
      </c>
      <c r="H201" s="70"/>
      <c r="I201" s="498" t="str">
        <f>IF(G201="","",VLOOKUP(G201,'G-1 All Habitats'!$B$2:$M$129,10,FALSE))</f>
        <v/>
      </c>
      <c r="J201" s="499" t="str">
        <f>IFERROR(VLOOKUP(I201,'G-1 All Habitats'!$V$3:$W$7,2,FALSE),"")</f>
        <v/>
      </c>
      <c r="K201" s="71"/>
      <c r="L201" s="499" t="str">
        <f>IFERROR(INDEX('G-8 Condition Look up'!$A$3:$H$130,MATCH(G201,'G-8 Condition Look up'!$A$3:$A$130,0),MATCH(K201,'G-8 Condition Look up'!$A$3:$H$3,0)),"")</f>
        <v/>
      </c>
      <c r="M201" s="71"/>
      <c r="N201" s="520" t="str">
        <f>IF(M201="","",IF(VLOOKUP(M201,'G-3 Multipliers'!$L$3:$N$6,2,FALSE)=0,"Spatial Data Missing",VLOOKUP(M201,'G-3 Multipliers'!$L$3:$N$6,2,FALSE)))</f>
        <v/>
      </c>
      <c r="O201" s="505" t="str">
        <f>IF(M201="","",IF(VLOOKUP(M201,'G-3 Multipliers'!$L$3:$N$6,3,FALSE)=0,"Spatial Data Missing",VLOOKUP(M201,'G-3 Multipliers'!$L$3:$N$6,3,FALSE)))</f>
        <v/>
      </c>
      <c r="P201" s="506" t="str">
        <f>IFERROR(VLOOKUP(G201,'G-1 All Habitats'!$B$2:$M$129,12,FALSE),"")</f>
        <v/>
      </c>
      <c r="Q201" s="513" t="str">
        <f>IFERROR(IF(P201="","",IF(AND(P201='G-1 All Habitats'!$X$3,T201&gt;0),U201+V201,IF(AND(P201='G-1 All Habitats'!$X$3,S201&gt;0),U201+V201,IF(AND(P201='G-1 All Habitats'!$X$3,AC201&gt;0),"Any Loss Unacceptable ▲",IF(AND(P201='G-1 All Habitats'!$X$3,W201&gt;0),"Any Loss Unacceptable ▲",H201*J201*L201*O201))))),"Check Data ▲")</f>
        <v/>
      </c>
      <c r="R201" s="50"/>
      <c r="S201" s="71"/>
      <c r="T201" s="72"/>
      <c r="U201" s="511" t="str">
        <f t="shared" si="13"/>
        <v/>
      </c>
      <c r="V201" s="511" t="str">
        <f t="shared" si="14"/>
        <v/>
      </c>
      <c r="W201" s="511" t="str">
        <f>IF(E201="","",IF(H201&lt;S201+T201,"Error in Areas ▲",IF(P201&lt;&gt;'G-1 All Habitats'!$X$3,H201-S201-T201,IF(AND(P201='G-1 All Habitats'!$X$3,Y201="Yes"),"Unacceptable Loss",IF(AND(P201='G-1 All Habitats'!$X$3,Y201="No"),AC201,IF(AND(P201='G-1 All Habitats'!$X$3,Y201=""),AC201,IF(AND(P201='G-1 All Habitats'!$X$3,AC201="None",AC201),IF(AND(P201='G-1 All Habitats'!$X$3,AC201&gt;0),H201-S201-T201))))))))</f>
        <v/>
      </c>
      <c r="X201" s="515" t="str">
        <f>IFERROR(IF(H201="","",IF(H201-S201-T201=0&lt;0,"Error in Areas ▲",IF(S201+T201&gt;H201,"Error in Areas ▲",IF(AND(P201='G-1 All Habitats'!$X$3,Y201="Yes"),"Alternative Compensation ✓",IF(W201=0,0,IF(P201='G-1 All Habitats'!$X$3,"Unacceptable Loss ▲",Q201-U201-V201)))))),"Check Data ▲")</f>
        <v/>
      </c>
      <c r="Y201" s="72"/>
      <c r="Z201" s="80"/>
      <c r="AA201" s="81"/>
      <c r="AC201" s="75" t="str">
        <f>IF(P201="","",IF(P201='G-1 All Habitats'!$X$3,H201-S201-T201,"None"))</f>
        <v/>
      </c>
      <c r="AD201" s="76" t="str">
        <f>IFERROR(AC201*J201*L201*#REF!*O201,IF(P201="","","None"))</f>
        <v/>
      </c>
      <c r="AF201" s="54" t="str">
        <f t="shared" si="10"/>
        <v/>
      </c>
      <c r="AG201" s="54" t="str">
        <f t="shared" si="11"/>
        <v/>
      </c>
      <c r="AH201" s="54" t="str">
        <f>IF(I201="","",IF(#REF!&gt;0,TRUE,FALSE))</f>
        <v/>
      </c>
      <c r="AI201" s="54">
        <v>191</v>
      </c>
      <c r="AJ201" s="54"/>
      <c r="AK201" s="54" t="str">
        <f t="array" ref="AK201">IFERROR(INDEX($AI$11:$AI$259, MATCH(0, IF(TRUE=$AF$11:$AF$259, COUNTIF($AK$10:$AK200, $AI$11:$AI$259), ""), 0)),"")</f>
        <v/>
      </c>
      <c r="AL201" s="54" t="str">
        <f t="array" ref="AL201">IFERROR(INDEX($AI$11:$AI$259, MATCH(0, IF(TRUE=$AG$11:$AG$259, COUNTIF($AL$10:$AL200, $AI$11:$AI$259), ""), 0)),"")</f>
        <v/>
      </c>
      <c r="AM201" s="54" t="str">
        <f t="array" ref="AM201">IFERROR(INDEX($AI$11:$AI$259, MATCH(0, IF(TRUE=$AH$11:$AH$259, COUNTIF($AM$10:$AM200, $AI$11:$AI$259), ""), 0)),"")</f>
        <v/>
      </c>
      <c r="AN201" s="54"/>
      <c r="AQ201" s="47">
        <f t="shared" si="12"/>
        <v>0</v>
      </c>
    </row>
    <row r="202" spans="1:43" x14ac:dyDescent="0.25">
      <c r="A202" s="47" t="str">
        <f>IFERROR(INDEX('G-1 All Habitats'!$AG$3:$AG$15,MATCH(E202,'G-1 All Habitats'!$AF$3:$AF$15,0)),"")</f>
        <v/>
      </c>
      <c r="B202" s="47" t="str">
        <f>IFERROR(INDEX('G-8 Condition Look up'!$I$4:$I$130,MATCH(G202,'G-8 Condition Look up'!$A$4:$A$130,0)),"")</f>
        <v/>
      </c>
      <c r="D202" s="77">
        <v>192</v>
      </c>
      <c r="E202" s="78"/>
      <c r="F202" s="79"/>
      <c r="G202" s="69" t="str">
        <f>IFERROR(INDEX('G-1 All Habitats'!$B$3:$B$129,MATCH(F202,'G-1 All Habitats'!$A$3:$A$129,0)),"")</f>
        <v/>
      </c>
      <c r="H202" s="70"/>
      <c r="I202" s="498" t="str">
        <f>IF(G202="","",VLOOKUP(G202,'G-1 All Habitats'!$B$2:$M$129,10,FALSE))</f>
        <v/>
      </c>
      <c r="J202" s="499" t="str">
        <f>IFERROR(VLOOKUP(I202,'G-1 All Habitats'!$V$3:$W$7,2,FALSE),"")</f>
        <v/>
      </c>
      <c r="K202" s="71"/>
      <c r="L202" s="499" t="str">
        <f>IFERROR(INDEX('G-8 Condition Look up'!$A$3:$H$130,MATCH(G202,'G-8 Condition Look up'!$A$3:$A$130,0),MATCH(K202,'G-8 Condition Look up'!$A$3:$H$3,0)),"")</f>
        <v/>
      </c>
      <c r="M202" s="71"/>
      <c r="N202" s="520" t="str">
        <f>IF(M202="","",IF(VLOOKUP(M202,'G-3 Multipliers'!$L$3:$N$6,2,FALSE)=0,"Spatial Data Missing",VLOOKUP(M202,'G-3 Multipliers'!$L$3:$N$6,2,FALSE)))</f>
        <v/>
      </c>
      <c r="O202" s="505" t="str">
        <f>IF(M202="","",IF(VLOOKUP(M202,'G-3 Multipliers'!$L$3:$N$6,3,FALSE)=0,"Spatial Data Missing",VLOOKUP(M202,'G-3 Multipliers'!$L$3:$N$6,3,FALSE)))</f>
        <v/>
      </c>
      <c r="P202" s="506" t="str">
        <f>IFERROR(VLOOKUP(G202,'G-1 All Habitats'!$B$2:$M$129,12,FALSE),"")</f>
        <v/>
      </c>
      <c r="Q202" s="513" t="str">
        <f>IFERROR(IF(P202="","",IF(AND(P202='G-1 All Habitats'!$X$3,T202&gt;0),U202+V202,IF(AND(P202='G-1 All Habitats'!$X$3,S202&gt;0),U202+V202,IF(AND(P202='G-1 All Habitats'!$X$3,AC202&gt;0),"Any Loss Unacceptable ▲",IF(AND(P202='G-1 All Habitats'!$X$3,W202&gt;0),"Any Loss Unacceptable ▲",H202*J202*L202*O202))))),"Check Data ▲")</f>
        <v/>
      </c>
      <c r="R202" s="50"/>
      <c r="S202" s="71"/>
      <c r="T202" s="72"/>
      <c r="U202" s="511" t="str">
        <f t="shared" si="13"/>
        <v/>
      </c>
      <c r="V202" s="511" t="str">
        <f t="shared" si="14"/>
        <v/>
      </c>
      <c r="W202" s="511" t="str">
        <f>IF(E202="","",IF(H202&lt;S202+T202,"Error in Areas ▲",IF(P202&lt;&gt;'G-1 All Habitats'!$X$3,H202-S202-T202,IF(AND(P202='G-1 All Habitats'!$X$3,Y202="Yes"),"Unacceptable Loss",IF(AND(P202='G-1 All Habitats'!$X$3,Y202="No"),AC202,IF(AND(P202='G-1 All Habitats'!$X$3,Y202=""),AC202,IF(AND(P202='G-1 All Habitats'!$X$3,AC202="None",AC202),IF(AND(P202='G-1 All Habitats'!$X$3,AC202&gt;0),H202-S202-T202))))))))</f>
        <v/>
      </c>
      <c r="X202" s="515" t="str">
        <f>IFERROR(IF(H202="","",IF(H202-S202-T202=0&lt;0,"Error in Areas ▲",IF(S202+T202&gt;H202,"Error in Areas ▲",IF(AND(P202='G-1 All Habitats'!$X$3,Y202="Yes"),"Alternative Compensation ✓",IF(W202=0,0,IF(P202='G-1 All Habitats'!$X$3,"Unacceptable Loss ▲",Q202-U202-V202)))))),"Check Data ▲")</f>
        <v/>
      </c>
      <c r="Y202" s="72"/>
      <c r="Z202" s="80"/>
      <c r="AA202" s="81"/>
      <c r="AC202" s="75" t="str">
        <f>IF(P202="","",IF(P202='G-1 All Habitats'!$X$3,H202-S202-T202,"None"))</f>
        <v/>
      </c>
      <c r="AD202" s="76" t="str">
        <f>IFERROR(AC202*J202*L202*#REF!*O202,IF(P202="","","None"))</f>
        <v/>
      </c>
      <c r="AF202" s="54" t="str">
        <f t="shared" si="10"/>
        <v/>
      </c>
      <c r="AG202" s="54" t="str">
        <f t="shared" si="11"/>
        <v/>
      </c>
      <c r="AH202" s="54" t="str">
        <f>IF(I202="","",IF(#REF!&gt;0,TRUE,FALSE))</f>
        <v/>
      </c>
      <c r="AI202" s="54">
        <v>192</v>
      </c>
      <c r="AJ202" s="54"/>
      <c r="AK202" s="54" t="str">
        <f t="array" ref="AK202">IFERROR(INDEX($AI$11:$AI$259, MATCH(0, IF(TRUE=$AF$11:$AF$259, COUNTIF($AK$10:$AK201, $AI$11:$AI$259), ""), 0)),"")</f>
        <v/>
      </c>
      <c r="AL202" s="54" t="str">
        <f t="array" ref="AL202">IFERROR(INDEX($AI$11:$AI$259, MATCH(0, IF(TRUE=$AG$11:$AG$259, COUNTIF($AL$10:$AL201, $AI$11:$AI$259), ""), 0)),"")</f>
        <v/>
      </c>
      <c r="AM202" s="54" t="str">
        <f t="array" ref="AM202">IFERROR(INDEX($AI$11:$AI$259, MATCH(0, IF(TRUE=$AH$11:$AH$259, COUNTIF($AM$10:$AM201, $AI$11:$AI$259), ""), 0)),"")</f>
        <v/>
      </c>
      <c r="AN202" s="54"/>
      <c r="AQ202" s="47">
        <f t="shared" si="12"/>
        <v>0</v>
      </c>
    </row>
    <row r="203" spans="1:43" x14ac:dyDescent="0.25">
      <c r="A203" s="47" t="str">
        <f>IFERROR(INDEX('G-1 All Habitats'!$AG$3:$AG$15,MATCH(E203,'G-1 All Habitats'!$AF$3:$AF$15,0)),"")</f>
        <v/>
      </c>
      <c r="B203" s="47" t="str">
        <f>IFERROR(INDEX('G-8 Condition Look up'!$I$4:$I$130,MATCH(G203,'G-8 Condition Look up'!$A$4:$A$130,0)),"")</f>
        <v/>
      </c>
      <c r="D203" s="77">
        <v>193</v>
      </c>
      <c r="E203" s="78"/>
      <c r="F203" s="79"/>
      <c r="G203" s="69" t="str">
        <f>IFERROR(INDEX('G-1 All Habitats'!$B$3:$B$129,MATCH(F203,'G-1 All Habitats'!$A$3:$A$129,0)),"")</f>
        <v/>
      </c>
      <c r="H203" s="70"/>
      <c r="I203" s="498" t="str">
        <f>IF(G203="","",VLOOKUP(G203,'G-1 All Habitats'!$B$2:$M$129,10,FALSE))</f>
        <v/>
      </c>
      <c r="J203" s="499" t="str">
        <f>IFERROR(VLOOKUP(I203,'G-1 All Habitats'!$V$3:$W$7,2,FALSE),"")</f>
        <v/>
      </c>
      <c r="K203" s="71"/>
      <c r="L203" s="499" t="str">
        <f>IFERROR(INDEX('G-8 Condition Look up'!$A$3:$H$130,MATCH(G203,'G-8 Condition Look up'!$A$3:$A$130,0),MATCH(K203,'G-8 Condition Look up'!$A$3:$H$3,0)),"")</f>
        <v/>
      </c>
      <c r="M203" s="71"/>
      <c r="N203" s="520" t="str">
        <f>IF(M203="","",IF(VLOOKUP(M203,'G-3 Multipliers'!$L$3:$N$6,2,FALSE)=0,"Spatial Data Missing",VLOOKUP(M203,'G-3 Multipliers'!$L$3:$N$6,2,FALSE)))</f>
        <v/>
      </c>
      <c r="O203" s="505" t="str">
        <f>IF(M203="","",IF(VLOOKUP(M203,'G-3 Multipliers'!$L$3:$N$6,3,FALSE)=0,"Spatial Data Missing",VLOOKUP(M203,'G-3 Multipliers'!$L$3:$N$6,3,FALSE)))</f>
        <v/>
      </c>
      <c r="P203" s="506" t="str">
        <f>IFERROR(VLOOKUP(G203,'G-1 All Habitats'!$B$2:$M$129,12,FALSE),"")</f>
        <v/>
      </c>
      <c r="Q203" s="513" t="str">
        <f>IFERROR(IF(P203="","",IF(AND(P203='G-1 All Habitats'!$X$3,T203&gt;0),U203+V203,IF(AND(P203='G-1 All Habitats'!$X$3,S203&gt;0),U203+V203,IF(AND(P203='G-1 All Habitats'!$X$3,AC203&gt;0),"Any Loss Unacceptable ▲",IF(AND(P203='G-1 All Habitats'!$X$3,W203&gt;0),"Any Loss Unacceptable ▲",H203*J203*L203*O203))))),"Check Data ▲")</f>
        <v/>
      </c>
      <c r="R203" s="50"/>
      <c r="S203" s="71"/>
      <c r="T203" s="72"/>
      <c r="U203" s="511" t="str">
        <f t="shared" si="13"/>
        <v/>
      </c>
      <c r="V203" s="511" t="str">
        <f t="shared" si="14"/>
        <v/>
      </c>
      <c r="W203" s="511" t="str">
        <f>IF(E203="","",IF(H203&lt;S203+T203,"Error in Areas ▲",IF(P203&lt;&gt;'G-1 All Habitats'!$X$3,H203-S203-T203,IF(AND(P203='G-1 All Habitats'!$X$3,Y203="Yes"),"Unacceptable Loss",IF(AND(P203='G-1 All Habitats'!$X$3,Y203="No"),AC203,IF(AND(P203='G-1 All Habitats'!$X$3,Y203=""),AC203,IF(AND(P203='G-1 All Habitats'!$X$3,AC203="None",AC203),IF(AND(P203='G-1 All Habitats'!$X$3,AC203&gt;0),H203-S203-T203))))))))</f>
        <v/>
      </c>
      <c r="X203" s="515" t="str">
        <f>IFERROR(IF(H203="","",IF(H203-S203-T203=0&lt;0,"Error in Areas ▲",IF(S203+T203&gt;H203,"Error in Areas ▲",IF(AND(P203='G-1 All Habitats'!$X$3,Y203="Yes"),"Alternative Compensation ✓",IF(W203=0,0,IF(P203='G-1 All Habitats'!$X$3,"Unacceptable Loss ▲",Q203-U203-V203)))))),"Check Data ▲")</f>
        <v/>
      </c>
      <c r="Y203" s="72"/>
      <c r="Z203" s="80"/>
      <c r="AA203" s="81"/>
      <c r="AC203" s="75" t="str">
        <f>IF(P203="","",IF(P203='G-1 All Habitats'!$X$3,H203-S203-T203,"None"))</f>
        <v/>
      </c>
      <c r="AD203" s="76" t="str">
        <f>IFERROR(AC203*J203*L203*#REF!*O203,IF(P203="","","None"))</f>
        <v/>
      </c>
      <c r="AF203" s="54" t="str">
        <f t="shared" ref="AF203:AF258" si="15">IF(G203="","",IF(S203&gt;0,TRUE,FALSE))</f>
        <v/>
      </c>
      <c r="AG203" s="54" t="str">
        <f t="shared" ref="AG203:AG258" si="16">IF(H203="","",IF(T203&gt;0,TRUE,FALSE))</f>
        <v/>
      </c>
      <c r="AH203" s="54" t="str">
        <f>IF(I203="","",IF(#REF!&gt;0,TRUE,FALSE))</f>
        <v/>
      </c>
      <c r="AI203" s="54">
        <v>193</v>
      </c>
      <c r="AJ203" s="54"/>
      <c r="AK203" s="54" t="str">
        <f t="array" ref="AK203">IFERROR(INDEX($AI$11:$AI$259, MATCH(0, IF(TRUE=$AF$11:$AF$259, COUNTIF($AK$10:$AK202, $AI$11:$AI$259), ""), 0)),"")</f>
        <v/>
      </c>
      <c r="AL203" s="54" t="str">
        <f t="array" ref="AL203">IFERROR(INDEX($AI$11:$AI$259, MATCH(0, IF(TRUE=$AG$11:$AG$259, COUNTIF($AL$10:$AL202, $AI$11:$AI$259), ""), 0)),"")</f>
        <v/>
      </c>
      <c r="AM203" s="54" t="str">
        <f t="array" ref="AM203">IFERROR(INDEX($AI$11:$AI$259, MATCH(0, IF(TRUE=$AH$11:$AH$259, COUNTIF($AM$10:$AM202, $AI$11:$AI$259), ""), 0)),"")</f>
        <v/>
      </c>
      <c r="AN203" s="54"/>
      <c r="AQ203" s="47">
        <f t="shared" si="12"/>
        <v>0</v>
      </c>
    </row>
    <row r="204" spans="1:43" x14ac:dyDescent="0.25">
      <c r="A204" s="47" t="str">
        <f>IFERROR(INDEX('G-1 All Habitats'!$AG$3:$AG$15,MATCH(E204,'G-1 All Habitats'!$AF$3:$AF$15,0)),"")</f>
        <v/>
      </c>
      <c r="B204" s="47" t="str">
        <f>IFERROR(INDEX('G-8 Condition Look up'!$I$4:$I$130,MATCH(G204,'G-8 Condition Look up'!$A$4:$A$130,0)),"")</f>
        <v/>
      </c>
      <c r="D204" s="77">
        <v>194</v>
      </c>
      <c r="E204" s="78"/>
      <c r="F204" s="79"/>
      <c r="G204" s="69" t="str">
        <f>IFERROR(INDEX('G-1 All Habitats'!$B$3:$B$129,MATCH(F204,'G-1 All Habitats'!$A$3:$A$129,0)),"")</f>
        <v/>
      </c>
      <c r="H204" s="70"/>
      <c r="I204" s="498" t="str">
        <f>IF(G204="","",VLOOKUP(G204,'G-1 All Habitats'!$B$2:$M$129,10,FALSE))</f>
        <v/>
      </c>
      <c r="J204" s="499" t="str">
        <f>IFERROR(VLOOKUP(I204,'G-1 All Habitats'!$V$3:$W$7,2,FALSE),"")</f>
        <v/>
      </c>
      <c r="K204" s="71"/>
      <c r="L204" s="499" t="str">
        <f>IFERROR(INDEX('G-8 Condition Look up'!$A$3:$H$130,MATCH(G204,'G-8 Condition Look up'!$A$3:$A$130,0),MATCH(K204,'G-8 Condition Look up'!$A$3:$H$3,0)),"")</f>
        <v/>
      </c>
      <c r="M204" s="71"/>
      <c r="N204" s="520" t="str">
        <f>IF(M204="","",IF(VLOOKUP(M204,'G-3 Multipliers'!$L$3:$N$6,2,FALSE)=0,"Spatial Data Missing",VLOOKUP(M204,'G-3 Multipliers'!$L$3:$N$6,2,FALSE)))</f>
        <v/>
      </c>
      <c r="O204" s="505" t="str">
        <f>IF(M204="","",IF(VLOOKUP(M204,'G-3 Multipliers'!$L$3:$N$6,3,FALSE)=0,"Spatial Data Missing",VLOOKUP(M204,'G-3 Multipliers'!$L$3:$N$6,3,FALSE)))</f>
        <v/>
      </c>
      <c r="P204" s="506" t="str">
        <f>IFERROR(VLOOKUP(G204,'G-1 All Habitats'!$B$2:$M$129,12,FALSE),"")</f>
        <v/>
      </c>
      <c r="Q204" s="513" t="str">
        <f>IFERROR(IF(P204="","",IF(AND(P204='G-1 All Habitats'!$X$3,T204&gt;0),U204+V204,IF(AND(P204='G-1 All Habitats'!$X$3,S204&gt;0),U204+V204,IF(AND(P204='G-1 All Habitats'!$X$3,AC204&gt;0),"Any Loss Unacceptable ▲",IF(AND(P204='G-1 All Habitats'!$X$3,W204&gt;0),"Any Loss Unacceptable ▲",H204*J204*L204*O204))))),"Check Data ▲")</f>
        <v/>
      </c>
      <c r="R204" s="50"/>
      <c r="S204" s="71"/>
      <c r="T204" s="72"/>
      <c r="U204" s="511" t="str">
        <f t="shared" si="13"/>
        <v/>
      </c>
      <c r="V204" s="511" t="str">
        <f t="shared" si="14"/>
        <v/>
      </c>
      <c r="W204" s="511" t="str">
        <f>IF(E204="","",IF(H204&lt;S204+T204,"Error in Areas ▲",IF(P204&lt;&gt;'G-1 All Habitats'!$X$3,H204-S204-T204,IF(AND(P204='G-1 All Habitats'!$X$3,Y204="Yes"),"Unacceptable Loss",IF(AND(P204='G-1 All Habitats'!$X$3,Y204="No"),AC204,IF(AND(P204='G-1 All Habitats'!$X$3,Y204=""),AC204,IF(AND(P204='G-1 All Habitats'!$X$3,AC204="None",AC204),IF(AND(P204='G-1 All Habitats'!$X$3,AC204&gt;0),H204-S204-T204))))))))</f>
        <v/>
      </c>
      <c r="X204" s="515" t="str">
        <f>IFERROR(IF(H204="","",IF(H204-S204-T204=0&lt;0,"Error in Areas ▲",IF(S204+T204&gt;H204,"Error in Areas ▲",IF(AND(P204='G-1 All Habitats'!$X$3,Y204="Yes"),"Alternative Compensation ✓",IF(W204=0,0,IF(P204='G-1 All Habitats'!$X$3,"Unacceptable Loss ▲",Q204-U204-V204)))))),"Check Data ▲")</f>
        <v/>
      </c>
      <c r="Y204" s="72"/>
      <c r="Z204" s="80"/>
      <c r="AA204" s="81"/>
      <c r="AC204" s="75" t="str">
        <f>IF(P204="","",IF(P204='G-1 All Habitats'!$X$3,H204-S204-T204,"None"))</f>
        <v/>
      </c>
      <c r="AD204" s="76" t="str">
        <f>IFERROR(AC204*J204*L204*#REF!*O204,IF(P204="","","None"))</f>
        <v/>
      </c>
      <c r="AF204" s="54" t="str">
        <f t="shared" si="15"/>
        <v/>
      </c>
      <c r="AG204" s="54" t="str">
        <f t="shared" si="16"/>
        <v/>
      </c>
      <c r="AH204" s="54" t="str">
        <f>IF(I204="","",IF(#REF!&gt;0,TRUE,FALSE))</f>
        <v/>
      </c>
      <c r="AI204" s="54">
        <v>194</v>
      </c>
      <c r="AJ204" s="54"/>
      <c r="AK204" s="54" t="str">
        <f t="array" ref="AK204">IFERROR(INDEX($AI$11:$AI$259, MATCH(0, IF(TRUE=$AF$11:$AF$259, COUNTIF($AK$10:$AK203, $AI$11:$AI$259), ""), 0)),"")</f>
        <v/>
      </c>
      <c r="AL204" s="54" t="str">
        <f t="array" ref="AL204">IFERROR(INDEX($AI$11:$AI$259, MATCH(0, IF(TRUE=$AG$11:$AG$259, COUNTIF($AL$10:$AL203, $AI$11:$AI$259), ""), 0)),"")</f>
        <v/>
      </c>
      <c r="AM204" s="54" t="str">
        <f t="array" ref="AM204">IFERROR(INDEX($AI$11:$AI$259, MATCH(0, IF(TRUE=$AH$11:$AH$259, COUNTIF($AM$10:$AM203, $AI$11:$AI$259), ""), 0)),"")</f>
        <v/>
      </c>
      <c r="AN204" s="54"/>
      <c r="AQ204" s="47">
        <f t="shared" ref="AQ204:AQ258" si="17">IF(X204="Unacceptable Loss",1,0)</f>
        <v>0</v>
      </c>
    </row>
    <row r="205" spans="1:43" x14ac:dyDescent="0.25">
      <c r="A205" s="47" t="str">
        <f>IFERROR(INDEX('G-1 All Habitats'!$AG$3:$AG$15,MATCH(E205,'G-1 All Habitats'!$AF$3:$AF$15,0)),"")</f>
        <v/>
      </c>
      <c r="B205" s="47" t="str">
        <f>IFERROR(INDEX('G-8 Condition Look up'!$I$4:$I$130,MATCH(G205,'G-8 Condition Look up'!$A$4:$A$130,0)),"")</f>
        <v/>
      </c>
      <c r="D205" s="77">
        <v>195</v>
      </c>
      <c r="E205" s="78"/>
      <c r="F205" s="79"/>
      <c r="G205" s="69" t="str">
        <f>IFERROR(INDEX('G-1 All Habitats'!$B$3:$B$129,MATCH(F205,'G-1 All Habitats'!$A$3:$A$129,0)),"")</f>
        <v/>
      </c>
      <c r="H205" s="70"/>
      <c r="I205" s="498" t="str">
        <f>IF(G205="","",VLOOKUP(G205,'G-1 All Habitats'!$B$2:$M$129,10,FALSE))</f>
        <v/>
      </c>
      <c r="J205" s="499" t="str">
        <f>IFERROR(VLOOKUP(I205,'G-1 All Habitats'!$V$3:$W$7,2,FALSE),"")</f>
        <v/>
      </c>
      <c r="K205" s="71"/>
      <c r="L205" s="499" t="str">
        <f>IFERROR(INDEX('G-8 Condition Look up'!$A$3:$H$130,MATCH(G205,'G-8 Condition Look up'!$A$3:$A$130,0),MATCH(K205,'G-8 Condition Look up'!$A$3:$H$3,0)),"")</f>
        <v/>
      </c>
      <c r="M205" s="71"/>
      <c r="N205" s="520" t="str">
        <f>IF(M205="","",IF(VLOOKUP(M205,'G-3 Multipliers'!$L$3:$N$6,2,FALSE)=0,"Spatial Data Missing",VLOOKUP(M205,'G-3 Multipliers'!$L$3:$N$6,2,FALSE)))</f>
        <v/>
      </c>
      <c r="O205" s="505" t="str">
        <f>IF(M205="","",IF(VLOOKUP(M205,'G-3 Multipliers'!$L$3:$N$6,3,FALSE)=0,"Spatial Data Missing",VLOOKUP(M205,'G-3 Multipliers'!$L$3:$N$6,3,FALSE)))</f>
        <v/>
      </c>
      <c r="P205" s="506" t="str">
        <f>IFERROR(VLOOKUP(G205,'G-1 All Habitats'!$B$2:$M$129,12,FALSE),"")</f>
        <v/>
      </c>
      <c r="Q205" s="513" t="str">
        <f>IFERROR(IF(P205="","",IF(AND(P205='G-1 All Habitats'!$X$3,T205&gt;0),U205+V205,IF(AND(P205='G-1 All Habitats'!$X$3,S205&gt;0),U205+V205,IF(AND(P205='G-1 All Habitats'!$X$3,AC205&gt;0),"Any Loss Unacceptable ▲",IF(AND(P205='G-1 All Habitats'!$X$3,W205&gt;0),"Any Loss Unacceptable ▲",H205*J205*L205*O205))))),"Check Data ▲")</f>
        <v/>
      </c>
      <c r="R205" s="50"/>
      <c r="S205" s="71"/>
      <c r="T205" s="72"/>
      <c r="U205" s="511" t="str">
        <f t="shared" ref="U205:U258" si="18">IFERROR(S205*J205*L205*O205,"")</f>
        <v/>
      </c>
      <c r="V205" s="511" t="str">
        <f t="shared" ref="V205:V258" si="19">IFERROR(T205*J205*L205*O205,"")</f>
        <v/>
      </c>
      <c r="W205" s="511" t="str">
        <f>IF(E205="","",IF(H205&lt;S205+T205,"Error in Areas ▲",IF(P205&lt;&gt;'G-1 All Habitats'!$X$3,H205-S205-T205,IF(AND(P205='G-1 All Habitats'!$X$3,Y205="Yes"),"Unacceptable Loss",IF(AND(P205='G-1 All Habitats'!$X$3,Y205="No"),AC205,IF(AND(P205='G-1 All Habitats'!$X$3,Y205=""),AC205,IF(AND(P205='G-1 All Habitats'!$X$3,AC205="None",AC205),IF(AND(P205='G-1 All Habitats'!$X$3,AC205&gt;0),H205-S205-T205))))))))</f>
        <v/>
      </c>
      <c r="X205" s="515" t="str">
        <f>IFERROR(IF(H205="","",IF(H205-S205-T205=0&lt;0,"Error in Areas ▲",IF(S205+T205&gt;H205,"Error in Areas ▲",IF(AND(P205='G-1 All Habitats'!$X$3,Y205="Yes"),"Alternative Compensation ✓",IF(W205=0,0,IF(P205='G-1 All Habitats'!$X$3,"Unacceptable Loss ▲",Q205-U205-V205)))))),"Check Data ▲")</f>
        <v/>
      </c>
      <c r="Y205" s="72"/>
      <c r="Z205" s="80"/>
      <c r="AA205" s="81"/>
      <c r="AC205" s="75" t="str">
        <f>IF(P205="","",IF(P205='G-1 All Habitats'!$X$3,H205-S205-T205,"None"))</f>
        <v/>
      </c>
      <c r="AD205" s="76" t="str">
        <f>IFERROR(AC205*J205*L205*#REF!*O205,IF(P205="","","None"))</f>
        <v/>
      </c>
      <c r="AF205" s="54" t="str">
        <f t="shared" si="15"/>
        <v/>
      </c>
      <c r="AG205" s="54" t="str">
        <f t="shared" si="16"/>
        <v/>
      </c>
      <c r="AH205" s="54" t="str">
        <f>IF(I205="","",IF(#REF!&gt;0,TRUE,FALSE))</f>
        <v/>
      </c>
      <c r="AI205" s="54">
        <v>195</v>
      </c>
      <c r="AJ205" s="54"/>
      <c r="AK205" s="54" t="str">
        <f t="array" ref="AK205">IFERROR(INDEX($AI$11:$AI$259, MATCH(0, IF(TRUE=$AF$11:$AF$259, COUNTIF($AK$10:$AK204, $AI$11:$AI$259), ""), 0)),"")</f>
        <v/>
      </c>
      <c r="AL205" s="54" t="str">
        <f t="array" ref="AL205">IFERROR(INDEX($AI$11:$AI$259, MATCH(0, IF(TRUE=$AG$11:$AG$259, COUNTIF($AL$10:$AL204, $AI$11:$AI$259), ""), 0)),"")</f>
        <v/>
      </c>
      <c r="AM205" s="54" t="str">
        <f t="array" ref="AM205">IFERROR(INDEX($AI$11:$AI$259, MATCH(0, IF(TRUE=$AH$11:$AH$259, COUNTIF($AM$10:$AM204, $AI$11:$AI$259), ""), 0)),"")</f>
        <v/>
      </c>
      <c r="AN205" s="54"/>
      <c r="AQ205" s="47">
        <f t="shared" si="17"/>
        <v>0</v>
      </c>
    </row>
    <row r="206" spans="1:43" x14ac:dyDescent="0.25">
      <c r="A206" s="47" t="str">
        <f>IFERROR(INDEX('G-1 All Habitats'!$AG$3:$AG$15,MATCH(E206,'G-1 All Habitats'!$AF$3:$AF$15,0)),"")</f>
        <v/>
      </c>
      <c r="B206" s="47" t="str">
        <f>IFERROR(INDEX('G-8 Condition Look up'!$I$4:$I$130,MATCH(G206,'G-8 Condition Look up'!$A$4:$A$130,0)),"")</f>
        <v/>
      </c>
      <c r="D206" s="77">
        <v>196</v>
      </c>
      <c r="E206" s="78"/>
      <c r="F206" s="79"/>
      <c r="G206" s="69" t="str">
        <f>IFERROR(INDEX('G-1 All Habitats'!$B$3:$B$129,MATCH(F206,'G-1 All Habitats'!$A$3:$A$129,0)),"")</f>
        <v/>
      </c>
      <c r="H206" s="70"/>
      <c r="I206" s="498" t="str">
        <f>IF(G206="","",VLOOKUP(G206,'G-1 All Habitats'!$B$2:$M$129,10,FALSE))</f>
        <v/>
      </c>
      <c r="J206" s="499" t="str">
        <f>IFERROR(VLOOKUP(I206,'G-1 All Habitats'!$V$3:$W$7,2,FALSE),"")</f>
        <v/>
      </c>
      <c r="K206" s="71"/>
      <c r="L206" s="499" t="str">
        <f>IFERROR(INDEX('G-8 Condition Look up'!$A$3:$H$130,MATCH(G206,'G-8 Condition Look up'!$A$3:$A$130,0),MATCH(K206,'G-8 Condition Look up'!$A$3:$H$3,0)),"")</f>
        <v/>
      </c>
      <c r="M206" s="71"/>
      <c r="N206" s="520" t="str">
        <f>IF(M206="","",IF(VLOOKUP(M206,'G-3 Multipliers'!$L$3:$N$6,2,FALSE)=0,"Spatial Data Missing",VLOOKUP(M206,'G-3 Multipliers'!$L$3:$N$6,2,FALSE)))</f>
        <v/>
      </c>
      <c r="O206" s="505" t="str">
        <f>IF(M206="","",IF(VLOOKUP(M206,'G-3 Multipliers'!$L$3:$N$6,3,FALSE)=0,"Spatial Data Missing",VLOOKUP(M206,'G-3 Multipliers'!$L$3:$N$6,3,FALSE)))</f>
        <v/>
      </c>
      <c r="P206" s="506" t="str">
        <f>IFERROR(VLOOKUP(G206,'G-1 All Habitats'!$B$2:$M$129,12,FALSE),"")</f>
        <v/>
      </c>
      <c r="Q206" s="513" t="str">
        <f>IFERROR(IF(P206="","",IF(AND(P206='G-1 All Habitats'!$X$3,T206&gt;0),U206+V206,IF(AND(P206='G-1 All Habitats'!$X$3,S206&gt;0),U206+V206,IF(AND(P206='G-1 All Habitats'!$X$3,AC206&gt;0),"Any Loss Unacceptable ▲",IF(AND(P206='G-1 All Habitats'!$X$3,W206&gt;0),"Any Loss Unacceptable ▲",H206*J206*L206*O206))))),"Check Data ▲")</f>
        <v/>
      </c>
      <c r="R206" s="50"/>
      <c r="S206" s="71"/>
      <c r="T206" s="72"/>
      <c r="U206" s="511" t="str">
        <f t="shared" si="18"/>
        <v/>
      </c>
      <c r="V206" s="511" t="str">
        <f t="shared" si="19"/>
        <v/>
      </c>
      <c r="W206" s="511" t="str">
        <f>IF(E206="","",IF(H206&lt;S206+T206,"Error in Areas ▲",IF(P206&lt;&gt;'G-1 All Habitats'!$X$3,H206-S206-T206,IF(AND(P206='G-1 All Habitats'!$X$3,Y206="Yes"),"Unacceptable Loss",IF(AND(P206='G-1 All Habitats'!$X$3,Y206="No"),AC206,IF(AND(P206='G-1 All Habitats'!$X$3,Y206=""),AC206,IF(AND(P206='G-1 All Habitats'!$X$3,AC206="None",AC206),IF(AND(P206='G-1 All Habitats'!$X$3,AC206&gt;0),H206-S206-T206))))))))</f>
        <v/>
      </c>
      <c r="X206" s="515" t="str">
        <f>IFERROR(IF(H206="","",IF(H206-S206-T206=0&lt;0,"Error in Areas ▲",IF(S206+T206&gt;H206,"Error in Areas ▲",IF(AND(P206='G-1 All Habitats'!$X$3,Y206="Yes"),"Alternative Compensation ✓",IF(W206=0,0,IF(P206='G-1 All Habitats'!$X$3,"Unacceptable Loss ▲",Q206-U206-V206)))))),"Check Data ▲")</f>
        <v/>
      </c>
      <c r="Y206" s="72"/>
      <c r="Z206" s="80"/>
      <c r="AA206" s="81"/>
      <c r="AC206" s="75" t="str">
        <f>IF(P206="","",IF(P206='G-1 All Habitats'!$X$3,H206-S206-T206,"None"))</f>
        <v/>
      </c>
      <c r="AD206" s="76" t="str">
        <f>IFERROR(AC206*J206*L206*#REF!*O206,IF(P206="","","None"))</f>
        <v/>
      </c>
      <c r="AF206" s="54" t="str">
        <f t="shared" si="15"/>
        <v/>
      </c>
      <c r="AG206" s="54" t="str">
        <f t="shared" si="16"/>
        <v/>
      </c>
      <c r="AH206" s="54" t="str">
        <f>IF(I206="","",IF(#REF!&gt;0,TRUE,FALSE))</f>
        <v/>
      </c>
      <c r="AI206" s="54">
        <v>196</v>
      </c>
      <c r="AJ206" s="54"/>
      <c r="AK206" s="54" t="str">
        <f t="array" ref="AK206">IFERROR(INDEX($AI$11:$AI$259, MATCH(0, IF(TRUE=$AF$11:$AF$259, COUNTIF($AK$10:$AK205, $AI$11:$AI$259), ""), 0)),"")</f>
        <v/>
      </c>
      <c r="AL206" s="54" t="str">
        <f t="array" ref="AL206">IFERROR(INDEX($AI$11:$AI$259, MATCH(0, IF(TRUE=$AG$11:$AG$259, COUNTIF($AL$10:$AL205, $AI$11:$AI$259), ""), 0)),"")</f>
        <v/>
      </c>
      <c r="AM206" s="54" t="str">
        <f t="array" ref="AM206">IFERROR(INDEX($AI$11:$AI$259, MATCH(0, IF(TRUE=$AH$11:$AH$259, COUNTIF($AM$10:$AM205, $AI$11:$AI$259), ""), 0)),"")</f>
        <v/>
      </c>
      <c r="AN206" s="54"/>
      <c r="AQ206" s="47">
        <f t="shared" si="17"/>
        <v>0</v>
      </c>
    </row>
    <row r="207" spans="1:43" x14ac:dyDescent="0.25">
      <c r="A207" s="47" t="str">
        <f>IFERROR(INDEX('G-1 All Habitats'!$AG$3:$AG$15,MATCH(E207,'G-1 All Habitats'!$AF$3:$AF$15,0)),"")</f>
        <v/>
      </c>
      <c r="B207" s="47" t="str">
        <f>IFERROR(INDEX('G-8 Condition Look up'!$I$4:$I$130,MATCH(G207,'G-8 Condition Look up'!$A$4:$A$130,0)),"")</f>
        <v/>
      </c>
      <c r="D207" s="77">
        <v>197</v>
      </c>
      <c r="E207" s="78"/>
      <c r="F207" s="79"/>
      <c r="G207" s="69" t="str">
        <f>IFERROR(INDEX('G-1 All Habitats'!$B$3:$B$129,MATCH(F207,'G-1 All Habitats'!$A$3:$A$129,0)),"")</f>
        <v/>
      </c>
      <c r="H207" s="70"/>
      <c r="I207" s="498" t="str">
        <f>IF(G207="","",VLOOKUP(G207,'G-1 All Habitats'!$B$2:$M$129,10,FALSE))</f>
        <v/>
      </c>
      <c r="J207" s="499" t="str">
        <f>IFERROR(VLOOKUP(I207,'G-1 All Habitats'!$V$3:$W$7,2,FALSE),"")</f>
        <v/>
      </c>
      <c r="K207" s="71"/>
      <c r="L207" s="499" t="str">
        <f>IFERROR(INDEX('G-8 Condition Look up'!$A$3:$H$130,MATCH(G207,'G-8 Condition Look up'!$A$3:$A$130,0),MATCH(K207,'G-8 Condition Look up'!$A$3:$H$3,0)),"")</f>
        <v/>
      </c>
      <c r="M207" s="71"/>
      <c r="N207" s="520" t="str">
        <f>IF(M207="","",IF(VLOOKUP(M207,'G-3 Multipliers'!$L$3:$N$6,2,FALSE)=0,"Spatial Data Missing",VLOOKUP(M207,'G-3 Multipliers'!$L$3:$N$6,2,FALSE)))</f>
        <v/>
      </c>
      <c r="O207" s="505" t="str">
        <f>IF(M207="","",IF(VLOOKUP(M207,'G-3 Multipliers'!$L$3:$N$6,3,FALSE)=0,"Spatial Data Missing",VLOOKUP(M207,'G-3 Multipliers'!$L$3:$N$6,3,FALSE)))</f>
        <v/>
      </c>
      <c r="P207" s="506" t="str">
        <f>IFERROR(VLOOKUP(G207,'G-1 All Habitats'!$B$2:$M$129,12,FALSE),"")</f>
        <v/>
      </c>
      <c r="Q207" s="513" t="str">
        <f>IFERROR(IF(P207="","",IF(AND(P207='G-1 All Habitats'!$X$3,T207&gt;0),U207+V207,IF(AND(P207='G-1 All Habitats'!$X$3,S207&gt;0),U207+V207,IF(AND(P207='G-1 All Habitats'!$X$3,AC207&gt;0),"Any Loss Unacceptable ▲",IF(AND(P207='G-1 All Habitats'!$X$3,W207&gt;0),"Any Loss Unacceptable ▲",H207*J207*L207*O207))))),"Check Data ▲")</f>
        <v/>
      </c>
      <c r="R207" s="50"/>
      <c r="S207" s="71"/>
      <c r="T207" s="72"/>
      <c r="U207" s="511" t="str">
        <f t="shared" si="18"/>
        <v/>
      </c>
      <c r="V207" s="511" t="str">
        <f t="shared" si="19"/>
        <v/>
      </c>
      <c r="W207" s="511" t="str">
        <f>IF(E207="","",IF(H207&lt;S207+T207,"Error in Areas ▲",IF(P207&lt;&gt;'G-1 All Habitats'!$X$3,H207-S207-T207,IF(AND(P207='G-1 All Habitats'!$X$3,Y207="Yes"),"Unacceptable Loss",IF(AND(P207='G-1 All Habitats'!$X$3,Y207="No"),AC207,IF(AND(P207='G-1 All Habitats'!$X$3,Y207=""),AC207,IF(AND(P207='G-1 All Habitats'!$X$3,AC207="None",AC207),IF(AND(P207='G-1 All Habitats'!$X$3,AC207&gt;0),H207-S207-T207))))))))</f>
        <v/>
      </c>
      <c r="X207" s="515" t="str">
        <f>IFERROR(IF(H207="","",IF(H207-S207-T207=0&lt;0,"Error in Areas ▲",IF(S207+T207&gt;H207,"Error in Areas ▲",IF(AND(P207='G-1 All Habitats'!$X$3,Y207="Yes"),"Alternative Compensation ✓",IF(W207=0,0,IF(P207='G-1 All Habitats'!$X$3,"Unacceptable Loss ▲",Q207-U207-V207)))))),"Check Data ▲")</f>
        <v/>
      </c>
      <c r="Y207" s="72"/>
      <c r="Z207" s="80"/>
      <c r="AA207" s="81"/>
      <c r="AC207" s="75" t="str">
        <f>IF(P207="","",IF(P207='G-1 All Habitats'!$X$3,H207-S207-T207,"None"))</f>
        <v/>
      </c>
      <c r="AD207" s="76" t="str">
        <f>IFERROR(AC207*J207*L207*#REF!*O207,IF(P207="","","None"))</f>
        <v/>
      </c>
      <c r="AF207" s="54" t="str">
        <f t="shared" si="15"/>
        <v/>
      </c>
      <c r="AG207" s="54" t="str">
        <f t="shared" si="16"/>
        <v/>
      </c>
      <c r="AH207" s="54" t="str">
        <f>IF(I207="","",IF(#REF!&gt;0,TRUE,FALSE))</f>
        <v/>
      </c>
      <c r="AI207" s="54">
        <v>197</v>
      </c>
      <c r="AJ207" s="54"/>
      <c r="AK207" s="54" t="str">
        <f t="array" ref="AK207">IFERROR(INDEX($AI$11:$AI$259, MATCH(0, IF(TRUE=$AF$11:$AF$259, COUNTIF($AK$10:$AK206, $AI$11:$AI$259), ""), 0)),"")</f>
        <v/>
      </c>
      <c r="AL207" s="54" t="str">
        <f t="array" ref="AL207">IFERROR(INDEX($AI$11:$AI$259, MATCH(0, IF(TRUE=$AG$11:$AG$259, COUNTIF($AL$10:$AL206, $AI$11:$AI$259), ""), 0)),"")</f>
        <v/>
      </c>
      <c r="AM207" s="54" t="str">
        <f t="array" ref="AM207">IFERROR(INDEX($AI$11:$AI$259, MATCH(0, IF(TRUE=$AH$11:$AH$259, COUNTIF($AM$10:$AM206, $AI$11:$AI$259), ""), 0)),"")</f>
        <v/>
      </c>
      <c r="AN207" s="54"/>
      <c r="AQ207" s="47">
        <f t="shared" si="17"/>
        <v>0</v>
      </c>
    </row>
    <row r="208" spans="1:43" x14ac:dyDescent="0.25">
      <c r="A208" s="47" t="str">
        <f>IFERROR(INDEX('G-1 All Habitats'!$AG$3:$AG$15,MATCH(E208,'G-1 All Habitats'!$AF$3:$AF$15,0)),"")</f>
        <v/>
      </c>
      <c r="B208" s="47" t="str">
        <f>IFERROR(INDEX('G-8 Condition Look up'!$I$4:$I$130,MATCH(G208,'G-8 Condition Look up'!$A$4:$A$130,0)),"")</f>
        <v/>
      </c>
      <c r="D208" s="77">
        <v>198</v>
      </c>
      <c r="E208" s="78"/>
      <c r="F208" s="79"/>
      <c r="G208" s="69" t="str">
        <f>IFERROR(INDEX('G-1 All Habitats'!$B$3:$B$129,MATCH(F208,'G-1 All Habitats'!$A$3:$A$129,0)),"")</f>
        <v/>
      </c>
      <c r="H208" s="70"/>
      <c r="I208" s="498" t="str">
        <f>IF(G208="","",VLOOKUP(G208,'G-1 All Habitats'!$B$2:$M$129,10,FALSE))</f>
        <v/>
      </c>
      <c r="J208" s="499" t="str">
        <f>IFERROR(VLOOKUP(I208,'G-1 All Habitats'!$V$3:$W$7,2,FALSE),"")</f>
        <v/>
      </c>
      <c r="K208" s="71"/>
      <c r="L208" s="499" t="str">
        <f>IFERROR(INDEX('G-8 Condition Look up'!$A$3:$H$130,MATCH(G208,'G-8 Condition Look up'!$A$3:$A$130,0),MATCH(K208,'G-8 Condition Look up'!$A$3:$H$3,0)),"")</f>
        <v/>
      </c>
      <c r="M208" s="71"/>
      <c r="N208" s="520" t="str">
        <f>IF(M208="","",IF(VLOOKUP(M208,'G-3 Multipliers'!$L$3:$N$6,2,FALSE)=0,"Spatial Data Missing",VLOOKUP(M208,'G-3 Multipliers'!$L$3:$N$6,2,FALSE)))</f>
        <v/>
      </c>
      <c r="O208" s="505" t="str">
        <f>IF(M208="","",IF(VLOOKUP(M208,'G-3 Multipliers'!$L$3:$N$6,3,FALSE)=0,"Spatial Data Missing",VLOOKUP(M208,'G-3 Multipliers'!$L$3:$N$6,3,FALSE)))</f>
        <v/>
      </c>
      <c r="P208" s="506" t="str">
        <f>IFERROR(VLOOKUP(G208,'G-1 All Habitats'!$B$2:$M$129,12,FALSE),"")</f>
        <v/>
      </c>
      <c r="Q208" s="513" t="str">
        <f>IFERROR(IF(P208="","",IF(AND(P208='G-1 All Habitats'!$X$3,T208&gt;0),U208+V208,IF(AND(P208='G-1 All Habitats'!$X$3,S208&gt;0),U208+V208,IF(AND(P208='G-1 All Habitats'!$X$3,AC208&gt;0),"Any Loss Unacceptable ▲",IF(AND(P208='G-1 All Habitats'!$X$3,W208&gt;0),"Any Loss Unacceptable ▲",H208*J208*L208*O208))))),"Check Data ▲")</f>
        <v/>
      </c>
      <c r="R208" s="50"/>
      <c r="S208" s="71"/>
      <c r="T208" s="72"/>
      <c r="U208" s="511" t="str">
        <f t="shared" si="18"/>
        <v/>
      </c>
      <c r="V208" s="511" t="str">
        <f t="shared" si="19"/>
        <v/>
      </c>
      <c r="W208" s="511" t="str">
        <f>IF(E208="","",IF(H208&lt;S208+T208,"Error in Areas ▲",IF(P208&lt;&gt;'G-1 All Habitats'!$X$3,H208-S208-T208,IF(AND(P208='G-1 All Habitats'!$X$3,Y208="Yes"),"Unacceptable Loss",IF(AND(P208='G-1 All Habitats'!$X$3,Y208="No"),AC208,IF(AND(P208='G-1 All Habitats'!$X$3,Y208=""),AC208,IF(AND(P208='G-1 All Habitats'!$X$3,AC208="None",AC208),IF(AND(P208='G-1 All Habitats'!$X$3,AC208&gt;0),H208-S208-T208))))))))</f>
        <v/>
      </c>
      <c r="X208" s="515" t="str">
        <f>IFERROR(IF(H208="","",IF(H208-S208-T208=0&lt;0,"Error in Areas ▲",IF(S208+T208&gt;H208,"Error in Areas ▲",IF(AND(P208='G-1 All Habitats'!$X$3,Y208="Yes"),"Alternative Compensation ✓",IF(W208=0,0,IF(P208='G-1 All Habitats'!$X$3,"Unacceptable Loss ▲",Q208-U208-V208)))))),"Check Data ▲")</f>
        <v/>
      </c>
      <c r="Y208" s="72"/>
      <c r="Z208" s="80"/>
      <c r="AA208" s="81"/>
      <c r="AC208" s="75" t="str">
        <f>IF(P208="","",IF(P208='G-1 All Habitats'!$X$3,H208-S208-T208,"None"))</f>
        <v/>
      </c>
      <c r="AD208" s="76" t="str">
        <f>IFERROR(AC208*J208*L208*#REF!*O208,IF(P208="","","None"))</f>
        <v/>
      </c>
      <c r="AF208" s="54" t="str">
        <f t="shared" si="15"/>
        <v/>
      </c>
      <c r="AG208" s="54" t="str">
        <f t="shared" si="16"/>
        <v/>
      </c>
      <c r="AH208" s="54" t="str">
        <f>IF(I208="","",IF(#REF!&gt;0,TRUE,FALSE))</f>
        <v/>
      </c>
      <c r="AI208" s="54">
        <v>198</v>
      </c>
      <c r="AJ208" s="54"/>
      <c r="AK208" s="54" t="str">
        <f t="array" ref="AK208">IFERROR(INDEX($AI$11:$AI$259, MATCH(0, IF(TRUE=$AF$11:$AF$259, COUNTIF($AK$10:$AK207, $AI$11:$AI$259), ""), 0)),"")</f>
        <v/>
      </c>
      <c r="AL208" s="54" t="str">
        <f t="array" ref="AL208">IFERROR(INDEX($AI$11:$AI$259, MATCH(0, IF(TRUE=$AG$11:$AG$259, COUNTIF($AL$10:$AL207, $AI$11:$AI$259), ""), 0)),"")</f>
        <v/>
      </c>
      <c r="AM208" s="54" t="str">
        <f t="array" ref="AM208">IFERROR(INDEX($AI$11:$AI$259, MATCH(0, IF(TRUE=$AH$11:$AH$259, COUNTIF($AM$10:$AM207, $AI$11:$AI$259), ""), 0)),"")</f>
        <v/>
      </c>
      <c r="AN208" s="54"/>
      <c r="AQ208" s="47">
        <f t="shared" si="17"/>
        <v>0</v>
      </c>
    </row>
    <row r="209" spans="1:43" x14ac:dyDescent="0.25">
      <c r="A209" s="47" t="str">
        <f>IFERROR(INDEX('G-1 All Habitats'!$AG$3:$AG$15,MATCH(E209,'G-1 All Habitats'!$AF$3:$AF$15,0)),"")</f>
        <v/>
      </c>
      <c r="B209" s="47" t="str">
        <f>IFERROR(INDEX('G-8 Condition Look up'!$I$4:$I$130,MATCH(G209,'G-8 Condition Look up'!$A$4:$A$130,0)),"")</f>
        <v/>
      </c>
      <c r="D209" s="77">
        <v>199</v>
      </c>
      <c r="E209" s="78"/>
      <c r="F209" s="79"/>
      <c r="G209" s="69" t="str">
        <f>IFERROR(INDEX('G-1 All Habitats'!$B$3:$B$129,MATCH(F209,'G-1 All Habitats'!$A$3:$A$129,0)),"")</f>
        <v/>
      </c>
      <c r="H209" s="70"/>
      <c r="I209" s="498" t="str">
        <f>IF(G209="","",VLOOKUP(G209,'G-1 All Habitats'!$B$2:$M$129,10,FALSE))</f>
        <v/>
      </c>
      <c r="J209" s="499" t="str">
        <f>IFERROR(VLOOKUP(I209,'G-1 All Habitats'!$V$3:$W$7,2,FALSE),"")</f>
        <v/>
      </c>
      <c r="K209" s="71"/>
      <c r="L209" s="499" t="str">
        <f>IFERROR(INDEX('G-8 Condition Look up'!$A$3:$H$130,MATCH(G209,'G-8 Condition Look up'!$A$3:$A$130,0),MATCH(K209,'G-8 Condition Look up'!$A$3:$H$3,0)),"")</f>
        <v/>
      </c>
      <c r="M209" s="71"/>
      <c r="N209" s="520" t="str">
        <f>IF(M209="","",IF(VLOOKUP(M209,'G-3 Multipliers'!$L$3:$N$6,2,FALSE)=0,"Spatial Data Missing",VLOOKUP(M209,'G-3 Multipliers'!$L$3:$N$6,2,FALSE)))</f>
        <v/>
      </c>
      <c r="O209" s="505" t="str">
        <f>IF(M209="","",IF(VLOOKUP(M209,'G-3 Multipliers'!$L$3:$N$6,3,FALSE)=0,"Spatial Data Missing",VLOOKUP(M209,'G-3 Multipliers'!$L$3:$N$6,3,FALSE)))</f>
        <v/>
      </c>
      <c r="P209" s="506" t="str">
        <f>IFERROR(VLOOKUP(G209,'G-1 All Habitats'!$B$2:$M$129,12,FALSE),"")</f>
        <v/>
      </c>
      <c r="Q209" s="513" t="str">
        <f>IFERROR(IF(P209="","",IF(AND(P209='G-1 All Habitats'!$X$3,T209&gt;0),U209+V209,IF(AND(P209='G-1 All Habitats'!$X$3,S209&gt;0),U209+V209,IF(AND(P209='G-1 All Habitats'!$X$3,AC209&gt;0),"Any Loss Unacceptable ▲",IF(AND(P209='G-1 All Habitats'!$X$3,W209&gt;0),"Any Loss Unacceptable ▲",H209*J209*L209*O209))))),"Check Data ▲")</f>
        <v/>
      </c>
      <c r="R209" s="50"/>
      <c r="S209" s="71"/>
      <c r="T209" s="72"/>
      <c r="U209" s="511" t="str">
        <f t="shared" si="18"/>
        <v/>
      </c>
      <c r="V209" s="511" t="str">
        <f t="shared" si="19"/>
        <v/>
      </c>
      <c r="W209" s="511" t="str">
        <f>IF(E209="","",IF(H209&lt;S209+T209,"Error in Areas ▲",IF(P209&lt;&gt;'G-1 All Habitats'!$X$3,H209-S209-T209,IF(AND(P209='G-1 All Habitats'!$X$3,Y209="Yes"),"Unacceptable Loss",IF(AND(P209='G-1 All Habitats'!$X$3,Y209="No"),AC209,IF(AND(P209='G-1 All Habitats'!$X$3,Y209=""),AC209,IF(AND(P209='G-1 All Habitats'!$X$3,AC209="None",AC209),IF(AND(P209='G-1 All Habitats'!$X$3,AC209&gt;0),H209-S209-T209))))))))</f>
        <v/>
      </c>
      <c r="X209" s="515" t="str">
        <f>IFERROR(IF(H209="","",IF(H209-S209-T209=0&lt;0,"Error in Areas ▲",IF(S209+T209&gt;H209,"Error in Areas ▲",IF(AND(P209='G-1 All Habitats'!$X$3,Y209="Yes"),"Alternative Compensation ✓",IF(W209=0,0,IF(P209='G-1 All Habitats'!$X$3,"Unacceptable Loss ▲",Q209-U209-V209)))))),"Check Data ▲")</f>
        <v/>
      </c>
      <c r="Y209" s="72"/>
      <c r="Z209" s="80"/>
      <c r="AA209" s="81"/>
      <c r="AC209" s="75" t="str">
        <f>IF(P209="","",IF(P209='G-1 All Habitats'!$X$3,H209-S209-T209,"None"))</f>
        <v/>
      </c>
      <c r="AD209" s="76" t="str">
        <f>IFERROR(AC209*J209*L209*#REF!*O209,IF(P209="","","None"))</f>
        <v/>
      </c>
      <c r="AF209" s="54" t="str">
        <f t="shared" si="15"/>
        <v/>
      </c>
      <c r="AG209" s="54" t="str">
        <f t="shared" si="16"/>
        <v/>
      </c>
      <c r="AH209" s="54" t="str">
        <f>IF(I209="","",IF(#REF!&gt;0,TRUE,FALSE))</f>
        <v/>
      </c>
      <c r="AI209" s="54">
        <v>199</v>
      </c>
      <c r="AJ209" s="54"/>
      <c r="AK209" s="54" t="str">
        <f t="array" ref="AK209">IFERROR(INDEX($AI$11:$AI$259, MATCH(0, IF(TRUE=$AF$11:$AF$259, COUNTIF($AK$10:$AK208, $AI$11:$AI$259), ""), 0)),"")</f>
        <v/>
      </c>
      <c r="AL209" s="54" t="str">
        <f t="array" ref="AL209">IFERROR(INDEX($AI$11:$AI$259, MATCH(0, IF(TRUE=$AG$11:$AG$259, COUNTIF($AL$10:$AL208, $AI$11:$AI$259), ""), 0)),"")</f>
        <v/>
      </c>
      <c r="AM209" s="54" t="str">
        <f t="array" ref="AM209">IFERROR(INDEX($AI$11:$AI$259, MATCH(0, IF(TRUE=$AH$11:$AH$259, COUNTIF($AM$10:$AM208, $AI$11:$AI$259), ""), 0)),"")</f>
        <v/>
      </c>
      <c r="AN209" s="54"/>
      <c r="AQ209" s="47">
        <f t="shared" si="17"/>
        <v>0</v>
      </c>
    </row>
    <row r="210" spans="1:43" x14ac:dyDescent="0.25">
      <c r="A210" s="47" t="str">
        <f>IFERROR(INDEX('G-1 All Habitats'!$AG$3:$AG$15,MATCH(E210,'G-1 All Habitats'!$AF$3:$AF$15,0)),"")</f>
        <v/>
      </c>
      <c r="B210" s="47" t="str">
        <f>IFERROR(INDEX('G-8 Condition Look up'!$I$4:$I$130,MATCH(G210,'G-8 Condition Look up'!$A$4:$A$130,0)),"")</f>
        <v/>
      </c>
      <c r="D210" s="77">
        <v>200</v>
      </c>
      <c r="E210" s="78"/>
      <c r="F210" s="79"/>
      <c r="G210" s="69" t="str">
        <f>IFERROR(INDEX('G-1 All Habitats'!$B$3:$B$129,MATCH(F210,'G-1 All Habitats'!$A$3:$A$129,0)),"")</f>
        <v/>
      </c>
      <c r="H210" s="70"/>
      <c r="I210" s="498" t="str">
        <f>IF(G210="","",VLOOKUP(G210,'G-1 All Habitats'!$B$2:$M$129,10,FALSE))</f>
        <v/>
      </c>
      <c r="J210" s="499" t="str">
        <f>IFERROR(VLOOKUP(I210,'G-1 All Habitats'!$V$3:$W$7,2,FALSE),"")</f>
        <v/>
      </c>
      <c r="K210" s="71"/>
      <c r="L210" s="499" t="str">
        <f>IFERROR(INDEX('G-8 Condition Look up'!$A$3:$H$130,MATCH(G210,'G-8 Condition Look up'!$A$3:$A$130,0),MATCH(K210,'G-8 Condition Look up'!$A$3:$H$3,0)),"")</f>
        <v/>
      </c>
      <c r="M210" s="71"/>
      <c r="N210" s="520" t="str">
        <f>IF(M210="","",IF(VLOOKUP(M210,'G-3 Multipliers'!$L$3:$N$6,2,FALSE)=0,"Spatial Data Missing",VLOOKUP(M210,'G-3 Multipliers'!$L$3:$N$6,2,FALSE)))</f>
        <v/>
      </c>
      <c r="O210" s="505" t="str">
        <f>IF(M210="","",IF(VLOOKUP(M210,'G-3 Multipliers'!$L$3:$N$6,3,FALSE)=0,"Spatial Data Missing",VLOOKUP(M210,'G-3 Multipliers'!$L$3:$N$6,3,FALSE)))</f>
        <v/>
      </c>
      <c r="P210" s="506" t="str">
        <f>IFERROR(VLOOKUP(G210,'G-1 All Habitats'!$B$2:$M$129,12,FALSE),"")</f>
        <v/>
      </c>
      <c r="Q210" s="513" t="str">
        <f>IFERROR(IF(P210="","",IF(AND(P210='G-1 All Habitats'!$X$3,T210&gt;0),U210+V210,IF(AND(P210='G-1 All Habitats'!$X$3,S210&gt;0),U210+V210,IF(AND(P210='G-1 All Habitats'!$X$3,AC210&gt;0),"Any Loss Unacceptable ▲",IF(AND(P210='G-1 All Habitats'!$X$3,W210&gt;0),"Any Loss Unacceptable ▲",H210*J210*L210*O210))))),"Check Data ▲")</f>
        <v/>
      </c>
      <c r="R210" s="50"/>
      <c r="S210" s="71"/>
      <c r="T210" s="72"/>
      <c r="U210" s="511" t="str">
        <f t="shared" si="18"/>
        <v/>
      </c>
      <c r="V210" s="511" t="str">
        <f t="shared" si="19"/>
        <v/>
      </c>
      <c r="W210" s="511" t="str">
        <f>IF(E210="","",IF(H210&lt;S210+T210,"Error in Areas ▲",IF(P210&lt;&gt;'G-1 All Habitats'!$X$3,H210-S210-T210,IF(AND(P210='G-1 All Habitats'!$X$3,Y210="Yes"),"Unacceptable Loss",IF(AND(P210='G-1 All Habitats'!$X$3,Y210="No"),AC210,IF(AND(P210='G-1 All Habitats'!$X$3,Y210=""),AC210,IF(AND(P210='G-1 All Habitats'!$X$3,AC210="None",AC210),IF(AND(P210='G-1 All Habitats'!$X$3,AC210&gt;0),H210-S210-T210))))))))</f>
        <v/>
      </c>
      <c r="X210" s="515" t="str">
        <f>IFERROR(IF(H210="","",IF(H210-S210-T210=0&lt;0,"Error in Areas ▲",IF(S210+T210&gt;H210,"Error in Areas ▲",IF(AND(P210='G-1 All Habitats'!$X$3,Y210="Yes"),"Alternative Compensation ✓",IF(W210=0,0,IF(P210='G-1 All Habitats'!$X$3,"Unacceptable Loss ▲",Q210-U210-V210)))))),"Check Data ▲")</f>
        <v/>
      </c>
      <c r="Y210" s="72"/>
      <c r="Z210" s="80"/>
      <c r="AA210" s="81"/>
      <c r="AC210" s="75" t="str">
        <f>IF(P210="","",IF(P210='G-1 All Habitats'!$X$3,H210-S210-T210,"None"))</f>
        <v/>
      </c>
      <c r="AD210" s="76" t="str">
        <f>IFERROR(AC210*J210*L210*#REF!*O210,IF(P210="","","None"))</f>
        <v/>
      </c>
      <c r="AF210" s="54" t="str">
        <f t="shared" si="15"/>
        <v/>
      </c>
      <c r="AG210" s="54" t="str">
        <f t="shared" si="16"/>
        <v/>
      </c>
      <c r="AH210" s="54" t="str">
        <f>IF(I210="","",IF(#REF!&gt;0,TRUE,FALSE))</f>
        <v/>
      </c>
      <c r="AI210" s="54">
        <v>200</v>
      </c>
      <c r="AJ210" s="54"/>
      <c r="AK210" s="54" t="str">
        <f t="array" ref="AK210">IFERROR(INDEX($AI$11:$AI$259, MATCH(0, IF(TRUE=$AF$11:$AF$259, COUNTIF($AK$10:$AK209, $AI$11:$AI$259), ""), 0)),"")</f>
        <v/>
      </c>
      <c r="AL210" s="54" t="str">
        <f t="array" ref="AL210">IFERROR(INDEX($AI$11:$AI$259, MATCH(0, IF(TRUE=$AG$11:$AG$259, COUNTIF($AL$10:$AL209, $AI$11:$AI$259), ""), 0)),"")</f>
        <v/>
      </c>
      <c r="AM210" s="54" t="str">
        <f t="array" ref="AM210">IFERROR(INDEX($AI$11:$AI$259, MATCH(0, IF(TRUE=$AH$11:$AH$259, COUNTIF($AM$10:$AM209, $AI$11:$AI$259), ""), 0)),"")</f>
        <v/>
      </c>
      <c r="AN210" s="54"/>
      <c r="AQ210" s="47">
        <f t="shared" si="17"/>
        <v>0</v>
      </c>
    </row>
    <row r="211" spans="1:43" x14ac:dyDescent="0.25">
      <c r="A211" s="47" t="str">
        <f>IFERROR(INDEX('G-1 All Habitats'!$AG$3:$AG$15,MATCH(E211,'G-1 All Habitats'!$AF$3:$AF$15,0)),"")</f>
        <v/>
      </c>
      <c r="B211" s="47" t="str">
        <f>IFERROR(INDEX('G-8 Condition Look up'!$I$4:$I$130,MATCH(G211,'G-8 Condition Look up'!$A$4:$A$130,0)),"")</f>
        <v/>
      </c>
      <c r="D211" s="77">
        <v>201</v>
      </c>
      <c r="E211" s="78"/>
      <c r="F211" s="79"/>
      <c r="G211" s="69" t="str">
        <f>IFERROR(INDEX('G-1 All Habitats'!$B$3:$B$129,MATCH(F211,'G-1 All Habitats'!$A$3:$A$129,0)),"")</f>
        <v/>
      </c>
      <c r="H211" s="70"/>
      <c r="I211" s="498" t="str">
        <f>IF(G211="","",VLOOKUP(G211,'G-1 All Habitats'!$B$2:$M$129,10,FALSE))</f>
        <v/>
      </c>
      <c r="J211" s="499" t="str">
        <f>IFERROR(VLOOKUP(I211,'G-1 All Habitats'!$V$3:$W$7,2,FALSE),"")</f>
        <v/>
      </c>
      <c r="K211" s="71"/>
      <c r="L211" s="499" t="str">
        <f>IFERROR(INDEX('G-8 Condition Look up'!$A$3:$H$130,MATCH(G211,'G-8 Condition Look up'!$A$3:$A$130,0),MATCH(K211,'G-8 Condition Look up'!$A$3:$H$3,0)),"")</f>
        <v/>
      </c>
      <c r="M211" s="71"/>
      <c r="N211" s="520" t="str">
        <f>IF(M211="","",IF(VLOOKUP(M211,'G-3 Multipliers'!$L$3:$N$6,2,FALSE)=0,"Spatial Data Missing",VLOOKUP(M211,'G-3 Multipliers'!$L$3:$N$6,2,FALSE)))</f>
        <v/>
      </c>
      <c r="O211" s="505" t="str">
        <f>IF(M211="","",IF(VLOOKUP(M211,'G-3 Multipliers'!$L$3:$N$6,3,FALSE)=0,"Spatial Data Missing",VLOOKUP(M211,'G-3 Multipliers'!$L$3:$N$6,3,FALSE)))</f>
        <v/>
      </c>
      <c r="P211" s="506" t="str">
        <f>IFERROR(VLOOKUP(G211,'G-1 All Habitats'!$B$2:$M$129,12,FALSE),"")</f>
        <v/>
      </c>
      <c r="Q211" s="513" t="str">
        <f>IFERROR(IF(P211="","",IF(AND(P211='G-1 All Habitats'!$X$3,T211&gt;0),U211+V211,IF(AND(P211='G-1 All Habitats'!$X$3,S211&gt;0),U211+V211,IF(AND(P211='G-1 All Habitats'!$X$3,AC211&gt;0),"Any Loss Unacceptable ▲",IF(AND(P211='G-1 All Habitats'!$X$3,W211&gt;0),"Any Loss Unacceptable ▲",H211*J211*L211*O211))))),"Check Data ▲")</f>
        <v/>
      </c>
      <c r="R211" s="50"/>
      <c r="S211" s="71"/>
      <c r="T211" s="72"/>
      <c r="U211" s="511" t="str">
        <f t="shared" si="18"/>
        <v/>
      </c>
      <c r="V211" s="511" t="str">
        <f t="shared" si="19"/>
        <v/>
      </c>
      <c r="W211" s="511" t="str">
        <f>IF(E211="","",IF(H211&lt;S211+T211,"Error in Areas ▲",IF(P211&lt;&gt;'G-1 All Habitats'!$X$3,H211-S211-T211,IF(AND(P211='G-1 All Habitats'!$X$3,Y211="Yes"),"Unacceptable Loss",IF(AND(P211='G-1 All Habitats'!$X$3,Y211="No"),AC211,IF(AND(P211='G-1 All Habitats'!$X$3,Y211=""),AC211,IF(AND(P211='G-1 All Habitats'!$X$3,AC211="None",AC211),IF(AND(P211='G-1 All Habitats'!$X$3,AC211&gt;0),H211-S211-T211))))))))</f>
        <v/>
      </c>
      <c r="X211" s="515" t="str">
        <f>IFERROR(IF(H211="","",IF(H211-S211-T211=0&lt;0,"Error in Areas ▲",IF(S211+T211&gt;H211,"Error in Areas ▲",IF(AND(P211='G-1 All Habitats'!$X$3,Y211="Yes"),"Alternative Compensation ✓",IF(W211=0,0,IF(P211='G-1 All Habitats'!$X$3,"Unacceptable Loss ▲",Q211-U211-V211)))))),"Check Data ▲")</f>
        <v/>
      </c>
      <c r="Y211" s="72"/>
      <c r="Z211" s="80"/>
      <c r="AA211" s="81"/>
      <c r="AC211" s="75" t="str">
        <f>IF(P211="","",IF(P211='G-1 All Habitats'!$X$3,H211-S211-T211,"None"))</f>
        <v/>
      </c>
      <c r="AD211" s="76" t="str">
        <f>IFERROR(AC211*J211*L211*#REF!*O211,IF(P211="","","None"))</f>
        <v/>
      </c>
      <c r="AF211" s="54" t="str">
        <f t="shared" si="15"/>
        <v/>
      </c>
      <c r="AG211" s="54" t="str">
        <f t="shared" si="16"/>
        <v/>
      </c>
      <c r="AH211" s="54" t="str">
        <f>IF(I211="","",IF(#REF!&gt;0,TRUE,FALSE))</f>
        <v/>
      </c>
      <c r="AI211" s="54">
        <v>201</v>
      </c>
      <c r="AJ211" s="54"/>
      <c r="AK211" s="54" t="str">
        <f t="array" ref="AK211">IFERROR(INDEX($AI$11:$AI$259, MATCH(0, IF(TRUE=$AF$11:$AF$259, COUNTIF($AK$10:$AK210, $AI$11:$AI$259), ""), 0)),"")</f>
        <v/>
      </c>
      <c r="AL211" s="54" t="str">
        <f t="array" ref="AL211">IFERROR(INDEX($AI$11:$AI$259, MATCH(0, IF(TRUE=$AG$11:$AG$259, COUNTIF($AL$10:$AL210, $AI$11:$AI$259), ""), 0)),"")</f>
        <v/>
      </c>
      <c r="AM211" s="54" t="str">
        <f t="array" ref="AM211">IFERROR(INDEX($AI$11:$AI$259, MATCH(0, IF(TRUE=$AH$11:$AH$259, COUNTIF($AM$10:$AM210, $AI$11:$AI$259), ""), 0)),"")</f>
        <v/>
      </c>
      <c r="AN211" s="54"/>
      <c r="AQ211" s="47">
        <f t="shared" si="17"/>
        <v>0</v>
      </c>
    </row>
    <row r="212" spans="1:43" x14ac:dyDescent="0.25">
      <c r="A212" s="47" t="str">
        <f>IFERROR(INDEX('G-1 All Habitats'!$AG$3:$AG$15,MATCH(E212,'G-1 All Habitats'!$AF$3:$AF$15,0)),"")</f>
        <v/>
      </c>
      <c r="B212" s="47" t="str">
        <f>IFERROR(INDEX('G-8 Condition Look up'!$I$4:$I$130,MATCH(G212,'G-8 Condition Look up'!$A$4:$A$130,0)),"")</f>
        <v/>
      </c>
      <c r="D212" s="77">
        <v>202</v>
      </c>
      <c r="E212" s="78"/>
      <c r="F212" s="79"/>
      <c r="G212" s="69" t="str">
        <f>IFERROR(INDEX('G-1 All Habitats'!$B$3:$B$129,MATCH(F212,'G-1 All Habitats'!$A$3:$A$129,0)),"")</f>
        <v/>
      </c>
      <c r="H212" s="70"/>
      <c r="I212" s="498" t="str">
        <f>IF(G212="","",VLOOKUP(G212,'G-1 All Habitats'!$B$2:$M$129,10,FALSE))</f>
        <v/>
      </c>
      <c r="J212" s="499" t="str">
        <f>IFERROR(VLOOKUP(I212,'G-1 All Habitats'!$V$3:$W$7,2,FALSE),"")</f>
        <v/>
      </c>
      <c r="K212" s="71"/>
      <c r="L212" s="499" t="str">
        <f>IFERROR(INDEX('G-8 Condition Look up'!$A$3:$H$130,MATCH(G212,'G-8 Condition Look up'!$A$3:$A$130,0),MATCH(K212,'G-8 Condition Look up'!$A$3:$H$3,0)),"")</f>
        <v/>
      </c>
      <c r="M212" s="71"/>
      <c r="N212" s="520" t="str">
        <f>IF(M212="","",IF(VLOOKUP(M212,'G-3 Multipliers'!$L$3:$N$6,2,FALSE)=0,"Spatial Data Missing",VLOOKUP(M212,'G-3 Multipliers'!$L$3:$N$6,2,FALSE)))</f>
        <v/>
      </c>
      <c r="O212" s="505" t="str">
        <f>IF(M212="","",IF(VLOOKUP(M212,'G-3 Multipliers'!$L$3:$N$6,3,FALSE)=0,"Spatial Data Missing",VLOOKUP(M212,'G-3 Multipliers'!$L$3:$N$6,3,FALSE)))</f>
        <v/>
      </c>
      <c r="P212" s="506" t="str">
        <f>IFERROR(VLOOKUP(G212,'G-1 All Habitats'!$B$2:$M$129,12,FALSE),"")</f>
        <v/>
      </c>
      <c r="Q212" s="513" t="str">
        <f>IFERROR(IF(P212="","",IF(AND(P212='G-1 All Habitats'!$X$3,T212&gt;0),U212+V212,IF(AND(P212='G-1 All Habitats'!$X$3,S212&gt;0),U212+V212,IF(AND(P212='G-1 All Habitats'!$X$3,AC212&gt;0),"Any Loss Unacceptable ▲",IF(AND(P212='G-1 All Habitats'!$X$3,W212&gt;0),"Any Loss Unacceptable ▲",H212*J212*L212*O212))))),"Check Data ▲")</f>
        <v/>
      </c>
      <c r="R212" s="50"/>
      <c r="S212" s="71"/>
      <c r="T212" s="72"/>
      <c r="U212" s="511" t="str">
        <f t="shared" si="18"/>
        <v/>
      </c>
      <c r="V212" s="511" t="str">
        <f t="shared" si="19"/>
        <v/>
      </c>
      <c r="W212" s="511" t="str">
        <f>IF(E212="","",IF(H212&lt;S212+T212,"Error in Areas ▲",IF(P212&lt;&gt;'G-1 All Habitats'!$X$3,H212-S212-T212,IF(AND(P212='G-1 All Habitats'!$X$3,Y212="Yes"),"Unacceptable Loss",IF(AND(P212='G-1 All Habitats'!$X$3,Y212="No"),AC212,IF(AND(P212='G-1 All Habitats'!$X$3,Y212=""),AC212,IF(AND(P212='G-1 All Habitats'!$X$3,AC212="None",AC212),IF(AND(P212='G-1 All Habitats'!$X$3,AC212&gt;0),H212-S212-T212))))))))</f>
        <v/>
      </c>
      <c r="X212" s="515" t="str">
        <f>IFERROR(IF(H212="","",IF(H212-S212-T212=0&lt;0,"Error in Areas ▲",IF(S212+T212&gt;H212,"Error in Areas ▲",IF(AND(P212='G-1 All Habitats'!$X$3,Y212="Yes"),"Alternative Compensation ✓",IF(W212=0,0,IF(P212='G-1 All Habitats'!$X$3,"Unacceptable Loss ▲",Q212-U212-V212)))))),"Check Data ▲")</f>
        <v/>
      </c>
      <c r="Y212" s="72"/>
      <c r="Z212" s="80"/>
      <c r="AA212" s="81"/>
      <c r="AC212" s="75" t="str">
        <f>IF(P212="","",IF(P212='G-1 All Habitats'!$X$3,H212-S212-T212,"None"))</f>
        <v/>
      </c>
      <c r="AD212" s="76" t="str">
        <f>IFERROR(AC212*J212*L212*#REF!*O212,IF(P212="","","None"))</f>
        <v/>
      </c>
      <c r="AF212" s="54" t="str">
        <f t="shared" si="15"/>
        <v/>
      </c>
      <c r="AG212" s="54" t="str">
        <f t="shared" si="16"/>
        <v/>
      </c>
      <c r="AH212" s="54" t="str">
        <f>IF(I212="","",IF(#REF!&gt;0,TRUE,FALSE))</f>
        <v/>
      </c>
      <c r="AI212" s="54">
        <v>202</v>
      </c>
      <c r="AJ212" s="54"/>
      <c r="AK212" s="54" t="str">
        <f t="array" ref="AK212">IFERROR(INDEX($AI$11:$AI$259, MATCH(0, IF(TRUE=$AF$11:$AF$259, COUNTIF($AK$10:$AK211, $AI$11:$AI$259), ""), 0)),"")</f>
        <v/>
      </c>
      <c r="AL212" s="54" t="str">
        <f t="array" ref="AL212">IFERROR(INDEX($AI$11:$AI$259, MATCH(0, IF(TRUE=$AG$11:$AG$259, COUNTIF($AL$10:$AL211, $AI$11:$AI$259), ""), 0)),"")</f>
        <v/>
      </c>
      <c r="AM212" s="54" t="str">
        <f t="array" ref="AM212">IFERROR(INDEX($AI$11:$AI$259, MATCH(0, IF(TRUE=$AH$11:$AH$259, COUNTIF($AM$10:$AM211, $AI$11:$AI$259), ""), 0)),"")</f>
        <v/>
      </c>
      <c r="AN212" s="54"/>
      <c r="AQ212" s="47">
        <f t="shared" si="17"/>
        <v>0</v>
      </c>
    </row>
    <row r="213" spans="1:43" x14ac:dyDescent="0.25">
      <c r="A213" s="47" t="str">
        <f>IFERROR(INDEX('G-1 All Habitats'!$AG$3:$AG$15,MATCH(E213,'G-1 All Habitats'!$AF$3:$AF$15,0)),"")</f>
        <v/>
      </c>
      <c r="B213" s="47" t="str">
        <f>IFERROR(INDEX('G-8 Condition Look up'!$I$4:$I$130,MATCH(G213,'G-8 Condition Look up'!$A$4:$A$130,0)),"")</f>
        <v/>
      </c>
      <c r="D213" s="77">
        <v>203</v>
      </c>
      <c r="E213" s="78"/>
      <c r="F213" s="79"/>
      <c r="G213" s="69" t="str">
        <f>IFERROR(INDEX('G-1 All Habitats'!$B$3:$B$129,MATCH(F213,'G-1 All Habitats'!$A$3:$A$129,0)),"")</f>
        <v/>
      </c>
      <c r="H213" s="70"/>
      <c r="I213" s="498" t="str">
        <f>IF(G213="","",VLOOKUP(G213,'G-1 All Habitats'!$B$2:$M$129,10,FALSE))</f>
        <v/>
      </c>
      <c r="J213" s="499" t="str">
        <f>IFERROR(VLOOKUP(I213,'G-1 All Habitats'!$V$3:$W$7,2,FALSE),"")</f>
        <v/>
      </c>
      <c r="K213" s="71"/>
      <c r="L213" s="499" t="str">
        <f>IFERROR(INDEX('G-8 Condition Look up'!$A$3:$H$130,MATCH(G213,'G-8 Condition Look up'!$A$3:$A$130,0),MATCH(K213,'G-8 Condition Look up'!$A$3:$H$3,0)),"")</f>
        <v/>
      </c>
      <c r="M213" s="71"/>
      <c r="N213" s="520" t="str">
        <f>IF(M213="","",IF(VLOOKUP(M213,'G-3 Multipliers'!$L$3:$N$6,2,FALSE)=0,"Spatial Data Missing",VLOOKUP(M213,'G-3 Multipliers'!$L$3:$N$6,2,FALSE)))</f>
        <v/>
      </c>
      <c r="O213" s="505" t="str">
        <f>IF(M213="","",IF(VLOOKUP(M213,'G-3 Multipliers'!$L$3:$N$6,3,FALSE)=0,"Spatial Data Missing",VLOOKUP(M213,'G-3 Multipliers'!$L$3:$N$6,3,FALSE)))</f>
        <v/>
      </c>
      <c r="P213" s="506" t="str">
        <f>IFERROR(VLOOKUP(G213,'G-1 All Habitats'!$B$2:$M$129,12,FALSE),"")</f>
        <v/>
      </c>
      <c r="Q213" s="513" t="str">
        <f>IFERROR(IF(P213="","",IF(AND(P213='G-1 All Habitats'!$X$3,T213&gt;0),U213+V213,IF(AND(P213='G-1 All Habitats'!$X$3,S213&gt;0),U213+V213,IF(AND(P213='G-1 All Habitats'!$X$3,AC213&gt;0),"Any Loss Unacceptable ▲",IF(AND(P213='G-1 All Habitats'!$X$3,W213&gt;0),"Any Loss Unacceptable ▲",H213*J213*L213*O213))))),"Check Data ▲")</f>
        <v/>
      </c>
      <c r="R213" s="50"/>
      <c r="S213" s="71"/>
      <c r="T213" s="72"/>
      <c r="U213" s="511" t="str">
        <f t="shared" si="18"/>
        <v/>
      </c>
      <c r="V213" s="511" t="str">
        <f t="shared" si="19"/>
        <v/>
      </c>
      <c r="W213" s="511" t="str">
        <f>IF(E213="","",IF(H213&lt;S213+T213,"Error in Areas ▲",IF(P213&lt;&gt;'G-1 All Habitats'!$X$3,H213-S213-T213,IF(AND(P213='G-1 All Habitats'!$X$3,Y213="Yes"),"Unacceptable Loss",IF(AND(P213='G-1 All Habitats'!$X$3,Y213="No"),AC213,IF(AND(P213='G-1 All Habitats'!$X$3,Y213=""),AC213,IF(AND(P213='G-1 All Habitats'!$X$3,AC213="None",AC213),IF(AND(P213='G-1 All Habitats'!$X$3,AC213&gt;0),H213-S213-T213))))))))</f>
        <v/>
      </c>
      <c r="X213" s="515" t="str">
        <f>IFERROR(IF(H213="","",IF(H213-S213-T213=0&lt;0,"Error in Areas ▲",IF(S213+T213&gt;H213,"Error in Areas ▲",IF(AND(P213='G-1 All Habitats'!$X$3,Y213="Yes"),"Alternative Compensation ✓",IF(W213=0,0,IF(P213='G-1 All Habitats'!$X$3,"Unacceptable Loss ▲",Q213-U213-V213)))))),"Check Data ▲")</f>
        <v/>
      </c>
      <c r="Y213" s="72"/>
      <c r="Z213" s="80"/>
      <c r="AA213" s="81"/>
      <c r="AC213" s="75" t="str">
        <f>IF(P213="","",IF(P213='G-1 All Habitats'!$X$3,H213-S213-T213,"None"))</f>
        <v/>
      </c>
      <c r="AD213" s="76" t="str">
        <f>IFERROR(AC213*J213*L213*#REF!*O213,IF(P213="","","None"))</f>
        <v/>
      </c>
      <c r="AF213" s="54" t="str">
        <f t="shared" si="15"/>
        <v/>
      </c>
      <c r="AG213" s="54" t="str">
        <f t="shared" si="16"/>
        <v/>
      </c>
      <c r="AH213" s="54" t="str">
        <f>IF(I213="","",IF(#REF!&gt;0,TRUE,FALSE))</f>
        <v/>
      </c>
      <c r="AI213" s="54">
        <v>203</v>
      </c>
      <c r="AJ213" s="54"/>
      <c r="AK213" s="54" t="str">
        <f t="array" ref="AK213">IFERROR(INDEX($AI$11:$AI$259, MATCH(0, IF(TRUE=$AF$11:$AF$259, COUNTIF($AK$10:$AK212, $AI$11:$AI$259), ""), 0)),"")</f>
        <v/>
      </c>
      <c r="AL213" s="54" t="str">
        <f t="array" ref="AL213">IFERROR(INDEX($AI$11:$AI$259, MATCH(0, IF(TRUE=$AG$11:$AG$259, COUNTIF($AL$10:$AL212, $AI$11:$AI$259), ""), 0)),"")</f>
        <v/>
      </c>
      <c r="AM213" s="54" t="str">
        <f t="array" ref="AM213">IFERROR(INDEX($AI$11:$AI$259, MATCH(0, IF(TRUE=$AH$11:$AH$259, COUNTIF($AM$10:$AM212, $AI$11:$AI$259), ""), 0)),"")</f>
        <v/>
      </c>
      <c r="AN213" s="54"/>
      <c r="AQ213" s="47">
        <f t="shared" si="17"/>
        <v>0</v>
      </c>
    </row>
    <row r="214" spans="1:43" x14ac:dyDescent="0.25">
      <c r="A214" s="47" t="str">
        <f>IFERROR(INDEX('G-1 All Habitats'!$AG$3:$AG$15,MATCH(E214,'G-1 All Habitats'!$AF$3:$AF$15,0)),"")</f>
        <v/>
      </c>
      <c r="B214" s="47" t="str">
        <f>IFERROR(INDEX('G-8 Condition Look up'!$I$4:$I$130,MATCH(G214,'G-8 Condition Look up'!$A$4:$A$130,0)),"")</f>
        <v/>
      </c>
      <c r="D214" s="77">
        <v>204</v>
      </c>
      <c r="E214" s="78"/>
      <c r="F214" s="79"/>
      <c r="G214" s="69" t="str">
        <f>IFERROR(INDEX('G-1 All Habitats'!$B$3:$B$129,MATCH(F214,'G-1 All Habitats'!$A$3:$A$129,0)),"")</f>
        <v/>
      </c>
      <c r="H214" s="70"/>
      <c r="I214" s="498" t="str">
        <f>IF(G214="","",VLOOKUP(G214,'G-1 All Habitats'!$B$2:$M$129,10,FALSE))</f>
        <v/>
      </c>
      <c r="J214" s="499" t="str">
        <f>IFERROR(VLOOKUP(I214,'G-1 All Habitats'!$V$3:$W$7,2,FALSE),"")</f>
        <v/>
      </c>
      <c r="K214" s="71"/>
      <c r="L214" s="499" t="str">
        <f>IFERROR(INDEX('G-8 Condition Look up'!$A$3:$H$130,MATCH(G214,'G-8 Condition Look up'!$A$3:$A$130,0),MATCH(K214,'G-8 Condition Look up'!$A$3:$H$3,0)),"")</f>
        <v/>
      </c>
      <c r="M214" s="71"/>
      <c r="N214" s="520" t="str">
        <f>IF(M214="","",IF(VLOOKUP(M214,'G-3 Multipliers'!$L$3:$N$6,2,FALSE)=0,"Spatial Data Missing",VLOOKUP(M214,'G-3 Multipliers'!$L$3:$N$6,2,FALSE)))</f>
        <v/>
      </c>
      <c r="O214" s="505" t="str">
        <f>IF(M214="","",IF(VLOOKUP(M214,'G-3 Multipliers'!$L$3:$N$6,3,FALSE)=0,"Spatial Data Missing",VLOOKUP(M214,'G-3 Multipliers'!$L$3:$N$6,3,FALSE)))</f>
        <v/>
      </c>
      <c r="P214" s="506" t="str">
        <f>IFERROR(VLOOKUP(G214,'G-1 All Habitats'!$B$2:$M$129,12,FALSE),"")</f>
        <v/>
      </c>
      <c r="Q214" s="513" t="str">
        <f>IFERROR(IF(P214="","",IF(AND(P214='G-1 All Habitats'!$X$3,T214&gt;0),U214+V214,IF(AND(P214='G-1 All Habitats'!$X$3,S214&gt;0),U214+V214,IF(AND(P214='G-1 All Habitats'!$X$3,AC214&gt;0),"Any Loss Unacceptable ▲",IF(AND(P214='G-1 All Habitats'!$X$3,W214&gt;0),"Any Loss Unacceptable ▲",H214*J214*L214*O214))))),"Check Data ▲")</f>
        <v/>
      </c>
      <c r="R214" s="50"/>
      <c r="S214" s="71"/>
      <c r="T214" s="72"/>
      <c r="U214" s="511" t="str">
        <f t="shared" si="18"/>
        <v/>
      </c>
      <c r="V214" s="511" t="str">
        <f t="shared" si="19"/>
        <v/>
      </c>
      <c r="W214" s="511" t="str">
        <f>IF(E214="","",IF(H214&lt;S214+T214,"Error in Areas ▲",IF(P214&lt;&gt;'G-1 All Habitats'!$X$3,H214-S214-T214,IF(AND(P214='G-1 All Habitats'!$X$3,Y214="Yes"),"Unacceptable Loss",IF(AND(P214='G-1 All Habitats'!$X$3,Y214="No"),AC214,IF(AND(P214='G-1 All Habitats'!$X$3,Y214=""),AC214,IF(AND(P214='G-1 All Habitats'!$X$3,AC214="None",AC214),IF(AND(P214='G-1 All Habitats'!$X$3,AC214&gt;0),H214-S214-T214))))))))</f>
        <v/>
      </c>
      <c r="X214" s="515" t="str">
        <f>IFERROR(IF(H214="","",IF(H214-S214-T214=0&lt;0,"Error in Areas ▲",IF(S214+T214&gt;H214,"Error in Areas ▲",IF(AND(P214='G-1 All Habitats'!$X$3,Y214="Yes"),"Alternative Compensation ✓",IF(W214=0,0,IF(P214='G-1 All Habitats'!$X$3,"Unacceptable Loss ▲",Q214-U214-V214)))))),"Check Data ▲")</f>
        <v/>
      </c>
      <c r="Y214" s="72"/>
      <c r="Z214" s="80"/>
      <c r="AA214" s="81"/>
      <c r="AC214" s="75" t="str">
        <f>IF(P214="","",IF(P214='G-1 All Habitats'!$X$3,H214-S214-T214,"None"))</f>
        <v/>
      </c>
      <c r="AD214" s="76" t="str">
        <f>IFERROR(AC214*J214*L214*#REF!*O214,IF(P214="","","None"))</f>
        <v/>
      </c>
      <c r="AF214" s="54" t="str">
        <f t="shared" si="15"/>
        <v/>
      </c>
      <c r="AG214" s="54" t="str">
        <f t="shared" si="16"/>
        <v/>
      </c>
      <c r="AH214" s="54" t="str">
        <f>IF(I214="","",IF(#REF!&gt;0,TRUE,FALSE))</f>
        <v/>
      </c>
      <c r="AI214" s="54">
        <v>204</v>
      </c>
      <c r="AJ214" s="54"/>
      <c r="AK214" s="54" t="str">
        <f t="array" ref="AK214">IFERROR(INDEX($AI$11:$AI$259, MATCH(0, IF(TRUE=$AF$11:$AF$259, COUNTIF($AK$10:$AK213, $AI$11:$AI$259), ""), 0)),"")</f>
        <v/>
      </c>
      <c r="AL214" s="54" t="str">
        <f t="array" ref="AL214">IFERROR(INDEX($AI$11:$AI$259, MATCH(0, IF(TRUE=$AG$11:$AG$259, COUNTIF($AL$10:$AL213, $AI$11:$AI$259), ""), 0)),"")</f>
        <v/>
      </c>
      <c r="AM214" s="54" t="str">
        <f t="array" ref="AM214">IFERROR(INDEX($AI$11:$AI$259, MATCH(0, IF(TRUE=$AH$11:$AH$259, COUNTIF($AM$10:$AM213, $AI$11:$AI$259), ""), 0)),"")</f>
        <v/>
      </c>
      <c r="AN214" s="54"/>
      <c r="AQ214" s="47">
        <f t="shared" si="17"/>
        <v>0</v>
      </c>
    </row>
    <row r="215" spans="1:43" x14ac:dyDescent="0.25">
      <c r="A215" s="47" t="str">
        <f>IFERROR(INDEX('G-1 All Habitats'!$AG$3:$AG$15,MATCH(E215,'G-1 All Habitats'!$AF$3:$AF$15,0)),"")</f>
        <v/>
      </c>
      <c r="B215" s="47" t="str">
        <f>IFERROR(INDEX('G-8 Condition Look up'!$I$4:$I$130,MATCH(G215,'G-8 Condition Look up'!$A$4:$A$130,0)),"")</f>
        <v/>
      </c>
      <c r="D215" s="77">
        <v>205</v>
      </c>
      <c r="E215" s="78"/>
      <c r="F215" s="79"/>
      <c r="G215" s="69" t="str">
        <f>IFERROR(INDEX('G-1 All Habitats'!$B$3:$B$129,MATCH(F215,'G-1 All Habitats'!$A$3:$A$129,0)),"")</f>
        <v/>
      </c>
      <c r="H215" s="70"/>
      <c r="I215" s="498" t="str">
        <f>IF(G215="","",VLOOKUP(G215,'G-1 All Habitats'!$B$2:$M$129,10,FALSE))</f>
        <v/>
      </c>
      <c r="J215" s="499" t="str">
        <f>IFERROR(VLOOKUP(I215,'G-1 All Habitats'!$V$3:$W$7,2,FALSE),"")</f>
        <v/>
      </c>
      <c r="K215" s="71"/>
      <c r="L215" s="499" t="str">
        <f>IFERROR(INDEX('G-8 Condition Look up'!$A$3:$H$130,MATCH(G215,'G-8 Condition Look up'!$A$3:$A$130,0),MATCH(K215,'G-8 Condition Look up'!$A$3:$H$3,0)),"")</f>
        <v/>
      </c>
      <c r="M215" s="71"/>
      <c r="N215" s="520" t="str">
        <f>IF(M215="","",IF(VLOOKUP(M215,'G-3 Multipliers'!$L$3:$N$6,2,FALSE)=0,"Spatial Data Missing",VLOOKUP(M215,'G-3 Multipliers'!$L$3:$N$6,2,FALSE)))</f>
        <v/>
      </c>
      <c r="O215" s="505" t="str">
        <f>IF(M215="","",IF(VLOOKUP(M215,'G-3 Multipliers'!$L$3:$N$6,3,FALSE)=0,"Spatial Data Missing",VLOOKUP(M215,'G-3 Multipliers'!$L$3:$N$6,3,FALSE)))</f>
        <v/>
      </c>
      <c r="P215" s="506" t="str">
        <f>IFERROR(VLOOKUP(G215,'G-1 All Habitats'!$B$2:$M$129,12,FALSE),"")</f>
        <v/>
      </c>
      <c r="Q215" s="513" t="str">
        <f>IFERROR(IF(P215="","",IF(AND(P215='G-1 All Habitats'!$X$3,T215&gt;0),U215+V215,IF(AND(P215='G-1 All Habitats'!$X$3,S215&gt;0),U215+V215,IF(AND(P215='G-1 All Habitats'!$X$3,AC215&gt;0),"Any Loss Unacceptable ▲",IF(AND(P215='G-1 All Habitats'!$X$3,W215&gt;0),"Any Loss Unacceptable ▲",H215*J215*L215*O215))))),"Check Data ▲")</f>
        <v/>
      </c>
      <c r="R215" s="50"/>
      <c r="S215" s="71"/>
      <c r="T215" s="72"/>
      <c r="U215" s="511" t="str">
        <f t="shared" si="18"/>
        <v/>
      </c>
      <c r="V215" s="511" t="str">
        <f t="shared" si="19"/>
        <v/>
      </c>
      <c r="W215" s="511" t="str">
        <f>IF(E215="","",IF(H215&lt;S215+T215,"Error in Areas ▲",IF(P215&lt;&gt;'G-1 All Habitats'!$X$3,H215-S215-T215,IF(AND(P215='G-1 All Habitats'!$X$3,Y215="Yes"),"Unacceptable Loss",IF(AND(P215='G-1 All Habitats'!$X$3,Y215="No"),AC215,IF(AND(P215='G-1 All Habitats'!$X$3,Y215=""),AC215,IF(AND(P215='G-1 All Habitats'!$X$3,AC215="None",AC215),IF(AND(P215='G-1 All Habitats'!$X$3,AC215&gt;0),H215-S215-T215))))))))</f>
        <v/>
      </c>
      <c r="X215" s="515" t="str">
        <f>IFERROR(IF(H215="","",IF(H215-S215-T215=0&lt;0,"Error in Areas ▲",IF(S215+T215&gt;H215,"Error in Areas ▲",IF(AND(P215='G-1 All Habitats'!$X$3,Y215="Yes"),"Alternative Compensation ✓",IF(W215=0,0,IF(P215='G-1 All Habitats'!$X$3,"Unacceptable Loss ▲",Q215-U215-V215)))))),"Check Data ▲")</f>
        <v/>
      </c>
      <c r="Y215" s="72"/>
      <c r="Z215" s="80"/>
      <c r="AA215" s="81"/>
      <c r="AC215" s="75" t="str">
        <f>IF(P215="","",IF(P215='G-1 All Habitats'!$X$3,H215-S215-T215,"None"))</f>
        <v/>
      </c>
      <c r="AD215" s="76" t="str">
        <f>IFERROR(AC215*J215*L215*#REF!*O215,IF(P215="","","None"))</f>
        <v/>
      </c>
      <c r="AF215" s="54" t="str">
        <f t="shared" si="15"/>
        <v/>
      </c>
      <c r="AG215" s="54" t="str">
        <f t="shared" si="16"/>
        <v/>
      </c>
      <c r="AH215" s="54" t="str">
        <f>IF(I215="","",IF(#REF!&gt;0,TRUE,FALSE))</f>
        <v/>
      </c>
      <c r="AI215" s="54">
        <v>205</v>
      </c>
      <c r="AJ215" s="54"/>
      <c r="AK215" s="54" t="str">
        <f t="array" ref="AK215">IFERROR(INDEX($AI$11:$AI$259, MATCH(0, IF(TRUE=$AF$11:$AF$259, COUNTIF($AK$10:$AK214, $AI$11:$AI$259), ""), 0)),"")</f>
        <v/>
      </c>
      <c r="AL215" s="54" t="str">
        <f t="array" ref="AL215">IFERROR(INDEX($AI$11:$AI$259, MATCH(0, IF(TRUE=$AG$11:$AG$259, COUNTIF($AL$10:$AL214, $AI$11:$AI$259), ""), 0)),"")</f>
        <v/>
      </c>
      <c r="AM215" s="54" t="str">
        <f t="array" ref="AM215">IFERROR(INDEX($AI$11:$AI$259, MATCH(0, IF(TRUE=$AH$11:$AH$259, COUNTIF($AM$10:$AM214, $AI$11:$AI$259), ""), 0)),"")</f>
        <v/>
      </c>
      <c r="AN215" s="54"/>
      <c r="AQ215" s="47">
        <f t="shared" si="17"/>
        <v>0</v>
      </c>
    </row>
    <row r="216" spans="1:43" x14ac:dyDescent="0.25">
      <c r="A216" s="47" t="str">
        <f>IFERROR(INDEX('G-1 All Habitats'!$AG$3:$AG$15,MATCH(E216,'G-1 All Habitats'!$AF$3:$AF$15,0)),"")</f>
        <v/>
      </c>
      <c r="B216" s="47" t="str">
        <f>IFERROR(INDEX('G-8 Condition Look up'!$I$4:$I$130,MATCH(G216,'G-8 Condition Look up'!$A$4:$A$130,0)),"")</f>
        <v/>
      </c>
      <c r="D216" s="77">
        <v>206</v>
      </c>
      <c r="E216" s="78"/>
      <c r="F216" s="79"/>
      <c r="G216" s="69" t="str">
        <f>IFERROR(INDEX('G-1 All Habitats'!$B$3:$B$129,MATCH(F216,'G-1 All Habitats'!$A$3:$A$129,0)),"")</f>
        <v/>
      </c>
      <c r="H216" s="70"/>
      <c r="I216" s="498" t="str">
        <f>IF(G216="","",VLOOKUP(G216,'G-1 All Habitats'!$B$2:$M$129,10,FALSE))</f>
        <v/>
      </c>
      <c r="J216" s="499" t="str">
        <f>IFERROR(VLOOKUP(I216,'G-1 All Habitats'!$V$3:$W$7,2,FALSE),"")</f>
        <v/>
      </c>
      <c r="K216" s="71"/>
      <c r="L216" s="499" t="str">
        <f>IFERROR(INDEX('G-8 Condition Look up'!$A$3:$H$130,MATCH(G216,'G-8 Condition Look up'!$A$3:$A$130,0),MATCH(K216,'G-8 Condition Look up'!$A$3:$H$3,0)),"")</f>
        <v/>
      </c>
      <c r="M216" s="71"/>
      <c r="N216" s="520" t="str">
        <f>IF(M216="","",IF(VLOOKUP(M216,'G-3 Multipliers'!$L$3:$N$6,2,FALSE)=0,"Spatial Data Missing",VLOOKUP(M216,'G-3 Multipliers'!$L$3:$N$6,2,FALSE)))</f>
        <v/>
      </c>
      <c r="O216" s="505" t="str">
        <f>IF(M216="","",IF(VLOOKUP(M216,'G-3 Multipliers'!$L$3:$N$6,3,FALSE)=0,"Spatial Data Missing",VLOOKUP(M216,'G-3 Multipliers'!$L$3:$N$6,3,FALSE)))</f>
        <v/>
      </c>
      <c r="P216" s="506" t="str">
        <f>IFERROR(VLOOKUP(G216,'G-1 All Habitats'!$B$2:$M$129,12,FALSE),"")</f>
        <v/>
      </c>
      <c r="Q216" s="513" t="str">
        <f>IFERROR(IF(P216="","",IF(AND(P216='G-1 All Habitats'!$X$3,T216&gt;0),U216+V216,IF(AND(P216='G-1 All Habitats'!$X$3,S216&gt;0),U216+V216,IF(AND(P216='G-1 All Habitats'!$X$3,AC216&gt;0),"Any Loss Unacceptable ▲",IF(AND(P216='G-1 All Habitats'!$X$3,W216&gt;0),"Any Loss Unacceptable ▲",H216*J216*L216*O216))))),"Check Data ▲")</f>
        <v/>
      </c>
      <c r="R216" s="50"/>
      <c r="S216" s="71"/>
      <c r="T216" s="72"/>
      <c r="U216" s="511" t="str">
        <f t="shared" si="18"/>
        <v/>
      </c>
      <c r="V216" s="511" t="str">
        <f t="shared" si="19"/>
        <v/>
      </c>
      <c r="W216" s="511" t="str">
        <f>IF(E216="","",IF(H216&lt;S216+T216,"Error in Areas ▲",IF(P216&lt;&gt;'G-1 All Habitats'!$X$3,H216-S216-T216,IF(AND(P216='G-1 All Habitats'!$X$3,Y216="Yes"),"Unacceptable Loss",IF(AND(P216='G-1 All Habitats'!$X$3,Y216="No"),AC216,IF(AND(P216='G-1 All Habitats'!$X$3,Y216=""),AC216,IF(AND(P216='G-1 All Habitats'!$X$3,AC216="None",AC216),IF(AND(P216='G-1 All Habitats'!$X$3,AC216&gt;0),H216-S216-T216))))))))</f>
        <v/>
      </c>
      <c r="X216" s="515" t="str">
        <f>IFERROR(IF(H216="","",IF(H216-S216-T216=0&lt;0,"Error in Areas ▲",IF(S216+T216&gt;H216,"Error in Areas ▲",IF(AND(P216='G-1 All Habitats'!$X$3,Y216="Yes"),"Alternative Compensation ✓",IF(W216=0,0,IF(P216='G-1 All Habitats'!$X$3,"Unacceptable Loss ▲",Q216-U216-V216)))))),"Check Data ▲")</f>
        <v/>
      </c>
      <c r="Y216" s="72"/>
      <c r="Z216" s="80"/>
      <c r="AA216" s="81"/>
      <c r="AC216" s="75" t="str">
        <f>IF(P216="","",IF(P216='G-1 All Habitats'!$X$3,H216-S216-T216,"None"))</f>
        <v/>
      </c>
      <c r="AD216" s="76" t="str">
        <f>IFERROR(AC216*J216*L216*#REF!*O216,IF(P216="","","None"))</f>
        <v/>
      </c>
      <c r="AF216" s="54" t="str">
        <f t="shared" si="15"/>
        <v/>
      </c>
      <c r="AG216" s="54" t="str">
        <f t="shared" si="16"/>
        <v/>
      </c>
      <c r="AH216" s="54" t="str">
        <f>IF(I216="","",IF(#REF!&gt;0,TRUE,FALSE))</f>
        <v/>
      </c>
      <c r="AI216" s="54">
        <v>206</v>
      </c>
      <c r="AJ216" s="54"/>
      <c r="AK216" s="54" t="str">
        <f t="array" ref="AK216">IFERROR(INDEX($AI$11:$AI$259, MATCH(0, IF(TRUE=$AF$11:$AF$259, COUNTIF($AK$10:$AK215, $AI$11:$AI$259), ""), 0)),"")</f>
        <v/>
      </c>
      <c r="AL216" s="54" t="str">
        <f t="array" ref="AL216">IFERROR(INDEX($AI$11:$AI$259, MATCH(0, IF(TRUE=$AG$11:$AG$259, COUNTIF($AL$10:$AL215, $AI$11:$AI$259), ""), 0)),"")</f>
        <v/>
      </c>
      <c r="AM216" s="54" t="str">
        <f t="array" ref="AM216">IFERROR(INDEX($AI$11:$AI$259, MATCH(0, IF(TRUE=$AH$11:$AH$259, COUNTIF($AM$10:$AM215, $AI$11:$AI$259), ""), 0)),"")</f>
        <v/>
      </c>
      <c r="AN216" s="54"/>
      <c r="AQ216" s="47">
        <f t="shared" si="17"/>
        <v>0</v>
      </c>
    </row>
    <row r="217" spans="1:43" x14ac:dyDescent="0.25">
      <c r="A217" s="47" t="str">
        <f>IFERROR(INDEX('G-1 All Habitats'!$AG$3:$AG$15,MATCH(E217,'G-1 All Habitats'!$AF$3:$AF$15,0)),"")</f>
        <v/>
      </c>
      <c r="B217" s="47" t="str">
        <f>IFERROR(INDEX('G-8 Condition Look up'!$I$4:$I$130,MATCH(G217,'G-8 Condition Look up'!$A$4:$A$130,0)),"")</f>
        <v/>
      </c>
      <c r="D217" s="77">
        <v>207</v>
      </c>
      <c r="E217" s="78"/>
      <c r="F217" s="79"/>
      <c r="G217" s="69" t="str">
        <f>IFERROR(INDEX('G-1 All Habitats'!$B$3:$B$129,MATCH(F217,'G-1 All Habitats'!$A$3:$A$129,0)),"")</f>
        <v/>
      </c>
      <c r="H217" s="70"/>
      <c r="I217" s="498" t="str">
        <f>IF(G217="","",VLOOKUP(G217,'G-1 All Habitats'!$B$2:$M$129,10,FALSE))</f>
        <v/>
      </c>
      <c r="J217" s="499" t="str">
        <f>IFERROR(VLOOKUP(I217,'G-1 All Habitats'!$V$3:$W$7,2,FALSE),"")</f>
        <v/>
      </c>
      <c r="K217" s="71"/>
      <c r="L217" s="499" t="str">
        <f>IFERROR(INDEX('G-8 Condition Look up'!$A$3:$H$130,MATCH(G217,'G-8 Condition Look up'!$A$3:$A$130,0),MATCH(K217,'G-8 Condition Look up'!$A$3:$H$3,0)),"")</f>
        <v/>
      </c>
      <c r="M217" s="71"/>
      <c r="N217" s="520" t="str">
        <f>IF(M217="","",IF(VLOOKUP(M217,'G-3 Multipliers'!$L$3:$N$6,2,FALSE)=0,"Spatial Data Missing",VLOOKUP(M217,'G-3 Multipliers'!$L$3:$N$6,2,FALSE)))</f>
        <v/>
      </c>
      <c r="O217" s="505" t="str">
        <f>IF(M217="","",IF(VLOOKUP(M217,'G-3 Multipliers'!$L$3:$N$6,3,FALSE)=0,"Spatial Data Missing",VLOOKUP(M217,'G-3 Multipliers'!$L$3:$N$6,3,FALSE)))</f>
        <v/>
      </c>
      <c r="P217" s="506" t="str">
        <f>IFERROR(VLOOKUP(G217,'G-1 All Habitats'!$B$2:$M$129,12,FALSE),"")</f>
        <v/>
      </c>
      <c r="Q217" s="513" t="str">
        <f>IFERROR(IF(P217="","",IF(AND(P217='G-1 All Habitats'!$X$3,T217&gt;0),U217+V217,IF(AND(P217='G-1 All Habitats'!$X$3,S217&gt;0),U217+V217,IF(AND(P217='G-1 All Habitats'!$X$3,AC217&gt;0),"Any Loss Unacceptable ▲",IF(AND(P217='G-1 All Habitats'!$X$3,W217&gt;0),"Any Loss Unacceptable ▲",H217*J217*L217*O217))))),"Check Data ▲")</f>
        <v/>
      </c>
      <c r="R217" s="50"/>
      <c r="S217" s="71"/>
      <c r="T217" s="72"/>
      <c r="U217" s="511" t="str">
        <f t="shared" si="18"/>
        <v/>
      </c>
      <c r="V217" s="511" t="str">
        <f t="shared" si="19"/>
        <v/>
      </c>
      <c r="W217" s="511" t="str">
        <f>IF(E217="","",IF(H217&lt;S217+T217,"Error in Areas ▲",IF(P217&lt;&gt;'G-1 All Habitats'!$X$3,H217-S217-T217,IF(AND(P217='G-1 All Habitats'!$X$3,Y217="Yes"),"Unacceptable Loss",IF(AND(P217='G-1 All Habitats'!$X$3,Y217="No"),AC217,IF(AND(P217='G-1 All Habitats'!$X$3,Y217=""),AC217,IF(AND(P217='G-1 All Habitats'!$X$3,AC217="None",AC217),IF(AND(P217='G-1 All Habitats'!$X$3,AC217&gt;0),H217-S217-T217))))))))</f>
        <v/>
      </c>
      <c r="X217" s="515" t="str">
        <f>IFERROR(IF(H217="","",IF(H217-S217-T217=0&lt;0,"Error in Areas ▲",IF(S217+T217&gt;H217,"Error in Areas ▲",IF(AND(P217='G-1 All Habitats'!$X$3,Y217="Yes"),"Alternative Compensation ✓",IF(W217=0,0,IF(P217='G-1 All Habitats'!$X$3,"Unacceptable Loss ▲",Q217-U217-V217)))))),"Check Data ▲")</f>
        <v/>
      </c>
      <c r="Y217" s="72"/>
      <c r="Z217" s="80"/>
      <c r="AA217" s="81"/>
      <c r="AC217" s="75" t="str">
        <f>IF(P217="","",IF(P217='G-1 All Habitats'!$X$3,H217-S217-T217,"None"))</f>
        <v/>
      </c>
      <c r="AD217" s="76" t="str">
        <f>IFERROR(AC217*J217*L217*#REF!*O217,IF(P217="","","None"))</f>
        <v/>
      </c>
      <c r="AF217" s="54" t="str">
        <f t="shared" si="15"/>
        <v/>
      </c>
      <c r="AG217" s="54" t="str">
        <f t="shared" si="16"/>
        <v/>
      </c>
      <c r="AH217" s="54" t="str">
        <f>IF(I217="","",IF(#REF!&gt;0,TRUE,FALSE))</f>
        <v/>
      </c>
      <c r="AI217" s="54">
        <v>207</v>
      </c>
      <c r="AJ217" s="54"/>
      <c r="AK217" s="54" t="str">
        <f t="array" ref="AK217">IFERROR(INDEX($AI$11:$AI$259, MATCH(0, IF(TRUE=$AF$11:$AF$259, COUNTIF($AK$10:$AK216, $AI$11:$AI$259), ""), 0)),"")</f>
        <v/>
      </c>
      <c r="AL217" s="54" t="str">
        <f t="array" ref="AL217">IFERROR(INDEX($AI$11:$AI$259, MATCH(0, IF(TRUE=$AG$11:$AG$259, COUNTIF($AL$10:$AL216, $AI$11:$AI$259), ""), 0)),"")</f>
        <v/>
      </c>
      <c r="AM217" s="54" t="str">
        <f t="array" ref="AM217">IFERROR(INDEX($AI$11:$AI$259, MATCH(0, IF(TRUE=$AH$11:$AH$259, COUNTIF($AM$10:$AM216, $AI$11:$AI$259), ""), 0)),"")</f>
        <v/>
      </c>
      <c r="AN217" s="54"/>
      <c r="AQ217" s="47">
        <f t="shared" si="17"/>
        <v>0</v>
      </c>
    </row>
    <row r="218" spans="1:43" x14ac:dyDescent="0.25">
      <c r="A218" s="47" t="str">
        <f>IFERROR(INDEX('G-1 All Habitats'!$AG$3:$AG$15,MATCH(E218,'G-1 All Habitats'!$AF$3:$AF$15,0)),"")</f>
        <v/>
      </c>
      <c r="B218" s="47" t="str">
        <f>IFERROR(INDEX('G-8 Condition Look up'!$I$4:$I$130,MATCH(G218,'G-8 Condition Look up'!$A$4:$A$130,0)),"")</f>
        <v/>
      </c>
      <c r="D218" s="77">
        <v>208</v>
      </c>
      <c r="E218" s="78"/>
      <c r="F218" s="79"/>
      <c r="G218" s="69" t="str">
        <f>IFERROR(INDEX('G-1 All Habitats'!$B$3:$B$129,MATCH(F218,'G-1 All Habitats'!$A$3:$A$129,0)),"")</f>
        <v/>
      </c>
      <c r="H218" s="70"/>
      <c r="I218" s="498" t="str">
        <f>IF(G218="","",VLOOKUP(G218,'G-1 All Habitats'!$B$2:$M$129,10,FALSE))</f>
        <v/>
      </c>
      <c r="J218" s="499" t="str">
        <f>IFERROR(VLOOKUP(I218,'G-1 All Habitats'!$V$3:$W$7,2,FALSE),"")</f>
        <v/>
      </c>
      <c r="K218" s="71"/>
      <c r="L218" s="499" t="str">
        <f>IFERROR(INDEX('G-8 Condition Look up'!$A$3:$H$130,MATCH(G218,'G-8 Condition Look up'!$A$3:$A$130,0),MATCH(K218,'G-8 Condition Look up'!$A$3:$H$3,0)),"")</f>
        <v/>
      </c>
      <c r="M218" s="71"/>
      <c r="N218" s="520" t="str">
        <f>IF(M218="","",IF(VLOOKUP(M218,'G-3 Multipliers'!$L$3:$N$6,2,FALSE)=0,"Spatial Data Missing",VLOOKUP(M218,'G-3 Multipliers'!$L$3:$N$6,2,FALSE)))</f>
        <v/>
      </c>
      <c r="O218" s="505" t="str">
        <f>IF(M218="","",IF(VLOOKUP(M218,'G-3 Multipliers'!$L$3:$N$6,3,FALSE)=0,"Spatial Data Missing",VLOOKUP(M218,'G-3 Multipliers'!$L$3:$N$6,3,FALSE)))</f>
        <v/>
      </c>
      <c r="P218" s="506" t="str">
        <f>IFERROR(VLOOKUP(G218,'G-1 All Habitats'!$B$2:$M$129,12,FALSE),"")</f>
        <v/>
      </c>
      <c r="Q218" s="513" t="str">
        <f>IFERROR(IF(P218="","",IF(AND(P218='G-1 All Habitats'!$X$3,T218&gt;0),U218+V218,IF(AND(P218='G-1 All Habitats'!$X$3,S218&gt;0),U218+V218,IF(AND(P218='G-1 All Habitats'!$X$3,AC218&gt;0),"Any Loss Unacceptable ▲",IF(AND(P218='G-1 All Habitats'!$X$3,W218&gt;0),"Any Loss Unacceptable ▲",H218*J218*L218*O218))))),"Check Data ▲")</f>
        <v/>
      </c>
      <c r="R218" s="50"/>
      <c r="S218" s="71"/>
      <c r="T218" s="72"/>
      <c r="U218" s="511" t="str">
        <f t="shared" si="18"/>
        <v/>
      </c>
      <c r="V218" s="511" t="str">
        <f t="shared" si="19"/>
        <v/>
      </c>
      <c r="W218" s="511" t="str">
        <f>IF(E218="","",IF(H218&lt;S218+T218,"Error in Areas ▲",IF(P218&lt;&gt;'G-1 All Habitats'!$X$3,H218-S218-T218,IF(AND(P218='G-1 All Habitats'!$X$3,Y218="Yes"),"Unacceptable Loss",IF(AND(P218='G-1 All Habitats'!$X$3,Y218="No"),AC218,IF(AND(P218='G-1 All Habitats'!$X$3,Y218=""),AC218,IF(AND(P218='G-1 All Habitats'!$X$3,AC218="None",AC218),IF(AND(P218='G-1 All Habitats'!$X$3,AC218&gt;0),H218-S218-T218))))))))</f>
        <v/>
      </c>
      <c r="X218" s="515" t="str">
        <f>IFERROR(IF(H218="","",IF(H218-S218-T218=0&lt;0,"Error in Areas ▲",IF(S218+T218&gt;H218,"Error in Areas ▲",IF(AND(P218='G-1 All Habitats'!$X$3,Y218="Yes"),"Alternative Compensation ✓",IF(W218=0,0,IF(P218='G-1 All Habitats'!$X$3,"Unacceptable Loss ▲",Q218-U218-V218)))))),"Check Data ▲")</f>
        <v/>
      </c>
      <c r="Y218" s="72"/>
      <c r="Z218" s="80"/>
      <c r="AA218" s="81"/>
      <c r="AC218" s="75" t="str">
        <f>IF(P218="","",IF(P218='G-1 All Habitats'!$X$3,H218-S218-T218,"None"))</f>
        <v/>
      </c>
      <c r="AD218" s="76" t="str">
        <f>IFERROR(AC218*J218*L218*#REF!*O218,IF(P218="","","None"))</f>
        <v/>
      </c>
      <c r="AF218" s="54" t="str">
        <f t="shared" si="15"/>
        <v/>
      </c>
      <c r="AG218" s="54" t="str">
        <f t="shared" si="16"/>
        <v/>
      </c>
      <c r="AH218" s="54" t="str">
        <f>IF(I218="","",IF(#REF!&gt;0,TRUE,FALSE))</f>
        <v/>
      </c>
      <c r="AI218" s="54">
        <v>208</v>
      </c>
      <c r="AJ218" s="54"/>
      <c r="AK218" s="54" t="str">
        <f t="array" ref="AK218">IFERROR(INDEX($AI$11:$AI$259, MATCH(0, IF(TRUE=$AF$11:$AF$259, COUNTIF($AK$10:$AK217, $AI$11:$AI$259), ""), 0)),"")</f>
        <v/>
      </c>
      <c r="AL218" s="54" t="str">
        <f t="array" ref="AL218">IFERROR(INDEX($AI$11:$AI$259, MATCH(0, IF(TRUE=$AG$11:$AG$259, COUNTIF($AL$10:$AL217, $AI$11:$AI$259), ""), 0)),"")</f>
        <v/>
      </c>
      <c r="AM218" s="54" t="str">
        <f t="array" ref="AM218">IFERROR(INDEX($AI$11:$AI$259, MATCH(0, IF(TRUE=$AH$11:$AH$259, COUNTIF($AM$10:$AM217, $AI$11:$AI$259), ""), 0)),"")</f>
        <v/>
      </c>
      <c r="AN218" s="54"/>
      <c r="AQ218" s="47">
        <f t="shared" si="17"/>
        <v>0</v>
      </c>
    </row>
    <row r="219" spans="1:43" x14ac:dyDescent="0.25">
      <c r="A219" s="47" t="str">
        <f>IFERROR(INDEX('G-1 All Habitats'!$AG$3:$AG$15,MATCH(E219,'G-1 All Habitats'!$AF$3:$AF$15,0)),"")</f>
        <v/>
      </c>
      <c r="B219" s="47" t="str">
        <f>IFERROR(INDEX('G-8 Condition Look up'!$I$4:$I$130,MATCH(G219,'G-8 Condition Look up'!$A$4:$A$130,0)),"")</f>
        <v/>
      </c>
      <c r="D219" s="77">
        <v>209</v>
      </c>
      <c r="E219" s="78"/>
      <c r="F219" s="79"/>
      <c r="G219" s="69" t="str">
        <f>IFERROR(INDEX('G-1 All Habitats'!$B$3:$B$129,MATCH(F219,'G-1 All Habitats'!$A$3:$A$129,0)),"")</f>
        <v/>
      </c>
      <c r="H219" s="70"/>
      <c r="I219" s="498" t="str">
        <f>IF(G219="","",VLOOKUP(G219,'G-1 All Habitats'!$B$2:$M$129,10,FALSE))</f>
        <v/>
      </c>
      <c r="J219" s="499" t="str">
        <f>IFERROR(VLOOKUP(I219,'G-1 All Habitats'!$V$3:$W$7,2,FALSE),"")</f>
        <v/>
      </c>
      <c r="K219" s="71"/>
      <c r="L219" s="499" t="str">
        <f>IFERROR(INDEX('G-8 Condition Look up'!$A$3:$H$130,MATCH(G219,'G-8 Condition Look up'!$A$3:$A$130,0),MATCH(K219,'G-8 Condition Look up'!$A$3:$H$3,0)),"")</f>
        <v/>
      </c>
      <c r="M219" s="71"/>
      <c r="N219" s="520" t="str">
        <f>IF(M219="","",IF(VLOOKUP(M219,'G-3 Multipliers'!$L$3:$N$6,2,FALSE)=0,"Spatial Data Missing",VLOOKUP(M219,'G-3 Multipliers'!$L$3:$N$6,2,FALSE)))</f>
        <v/>
      </c>
      <c r="O219" s="505" t="str">
        <f>IF(M219="","",IF(VLOOKUP(M219,'G-3 Multipliers'!$L$3:$N$6,3,FALSE)=0,"Spatial Data Missing",VLOOKUP(M219,'G-3 Multipliers'!$L$3:$N$6,3,FALSE)))</f>
        <v/>
      </c>
      <c r="P219" s="506" t="str">
        <f>IFERROR(VLOOKUP(G219,'G-1 All Habitats'!$B$2:$M$129,12,FALSE),"")</f>
        <v/>
      </c>
      <c r="Q219" s="513" t="str">
        <f>IFERROR(IF(P219="","",IF(AND(P219='G-1 All Habitats'!$X$3,T219&gt;0),U219+V219,IF(AND(P219='G-1 All Habitats'!$X$3,S219&gt;0),U219+V219,IF(AND(P219='G-1 All Habitats'!$X$3,AC219&gt;0),"Any Loss Unacceptable ▲",IF(AND(P219='G-1 All Habitats'!$X$3,W219&gt;0),"Any Loss Unacceptable ▲",H219*J219*L219*O219))))),"Check Data ▲")</f>
        <v/>
      </c>
      <c r="R219" s="50"/>
      <c r="S219" s="71"/>
      <c r="T219" s="72"/>
      <c r="U219" s="511" t="str">
        <f t="shared" si="18"/>
        <v/>
      </c>
      <c r="V219" s="511" t="str">
        <f t="shared" si="19"/>
        <v/>
      </c>
      <c r="W219" s="511" t="str">
        <f>IF(E219="","",IF(H219&lt;S219+T219,"Error in Areas ▲",IF(P219&lt;&gt;'G-1 All Habitats'!$X$3,H219-S219-T219,IF(AND(P219='G-1 All Habitats'!$X$3,Y219="Yes"),"Unacceptable Loss",IF(AND(P219='G-1 All Habitats'!$X$3,Y219="No"),AC219,IF(AND(P219='G-1 All Habitats'!$X$3,Y219=""),AC219,IF(AND(P219='G-1 All Habitats'!$X$3,AC219="None",AC219),IF(AND(P219='G-1 All Habitats'!$X$3,AC219&gt;0),H219-S219-T219))))))))</f>
        <v/>
      </c>
      <c r="X219" s="515" t="str">
        <f>IFERROR(IF(H219="","",IF(H219-S219-T219=0&lt;0,"Error in Areas ▲",IF(S219+T219&gt;H219,"Error in Areas ▲",IF(AND(P219='G-1 All Habitats'!$X$3,Y219="Yes"),"Alternative Compensation ✓",IF(W219=0,0,IF(P219='G-1 All Habitats'!$X$3,"Unacceptable Loss ▲",Q219-U219-V219)))))),"Check Data ▲")</f>
        <v/>
      </c>
      <c r="Y219" s="72"/>
      <c r="Z219" s="80"/>
      <c r="AA219" s="81"/>
      <c r="AC219" s="75" t="str">
        <f>IF(P219="","",IF(P219='G-1 All Habitats'!$X$3,H219-S219-T219,"None"))</f>
        <v/>
      </c>
      <c r="AD219" s="76" t="str">
        <f>IFERROR(AC219*J219*L219*#REF!*O219,IF(P219="","","None"))</f>
        <v/>
      </c>
      <c r="AF219" s="54" t="str">
        <f t="shared" si="15"/>
        <v/>
      </c>
      <c r="AG219" s="54" t="str">
        <f t="shared" si="16"/>
        <v/>
      </c>
      <c r="AH219" s="54" t="str">
        <f>IF(I219="","",IF(#REF!&gt;0,TRUE,FALSE))</f>
        <v/>
      </c>
      <c r="AI219" s="54">
        <v>209</v>
      </c>
      <c r="AJ219" s="54"/>
      <c r="AK219" s="54" t="str">
        <f t="array" ref="AK219">IFERROR(INDEX($AI$11:$AI$259, MATCH(0, IF(TRUE=$AF$11:$AF$259, COUNTIF($AK$10:$AK218, $AI$11:$AI$259), ""), 0)),"")</f>
        <v/>
      </c>
      <c r="AL219" s="54" t="str">
        <f t="array" ref="AL219">IFERROR(INDEX($AI$11:$AI$259, MATCH(0, IF(TRUE=$AG$11:$AG$259, COUNTIF($AL$10:$AL218, $AI$11:$AI$259), ""), 0)),"")</f>
        <v/>
      </c>
      <c r="AM219" s="54" t="str">
        <f t="array" ref="AM219">IFERROR(INDEX($AI$11:$AI$259, MATCH(0, IF(TRUE=$AH$11:$AH$259, COUNTIF($AM$10:$AM218, $AI$11:$AI$259), ""), 0)),"")</f>
        <v/>
      </c>
      <c r="AN219" s="54"/>
      <c r="AQ219" s="47">
        <f t="shared" si="17"/>
        <v>0</v>
      </c>
    </row>
    <row r="220" spans="1:43" x14ac:dyDescent="0.25">
      <c r="A220" s="47" t="str">
        <f>IFERROR(INDEX('G-1 All Habitats'!$AG$3:$AG$15,MATCH(E220,'G-1 All Habitats'!$AF$3:$AF$15,0)),"")</f>
        <v/>
      </c>
      <c r="B220" s="47" t="str">
        <f>IFERROR(INDEX('G-8 Condition Look up'!$I$4:$I$130,MATCH(G220,'G-8 Condition Look up'!$A$4:$A$130,0)),"")</f>
        <v/>
      </c>
      <c r="D220" s="77">
        <v>210</v>
      </c>
      <c r="E220" s="78"/>
      <c r="F220" s="79"/>
      <c r="G220" s="69" t="str">
        <f>IFERROR(INDEX('G-1 All Habitats'!$B$3:$B$129,MATCH(F220,'G-1 All Habitats'!$A$3:$A$129,0)),"")</f>
        <v/>
      </c>
      <c r="H220" s="70"/>
      <c r="I220" s="498" t="str">
        <f>IF(G220="","",VLOOKUP(G220,'G-1 All Habitats'!$B$2:$M$129,10,FALSE))</f>
        <v/>
      </c>
      <c r="J220" s="499" t="str">
        <f>IFERROR(VLOOKUP(I220,'G-1 All Habitats'!$V$3:$W$7,2,FALSE),"")</f>
        <v/>
      </c>
      <c r="K220" s="71"/>
      <c r="L220" s="499" t="str">
        <f>IFERROR(INDEX('G-8 Condition Look up'!$A$3:$H$130,MATCH(G220,'G-8 Condition Look up'!$A$3:$A$130,0),MATCH(K220,'G-8 Condition Look up'!$A$3:$H$3,0)),"")</f>
        <v/>
      </c>
      <c r="M220" s="71"/>
      <c r="N220" s="520" t="str">
        <f>IF(M220="","",IF(VLOOKUP(M220,'G-3 Multipliers'!$L$3:$N$6,2,FALSE)=0,"Spatial Data Missing",VLOOKUP(M220,'G-3 Multipliers'!$L$3:$N$6,2,FALSE)))</f>
        <v/>
      </c>
      <c r="O220" s="505" t="str">
        <f>IF(M220="","",IF(VLOOKUP(M220,'G-3 Multipliers'!$L$3:$N$6,3,FALSE)=0,"Spatial Data Missing",VLOOKUP(M220,'G-3 Multipliers'!$L$3:$N$6,3,FALSE)))</f>
        <v/>
      </c>
      <c r="P220" s="506" t="str">
        <f>IFERROR(VLOOKUP(G220,'G-1 All Habitats'!$B$2:$M$129,12,FALSE),"")</f>
        <v/>
      </c>
      <c r="Q220" s="513" t="str">
        <f>IFERROR(IF(P220="","",IF(AND(P220='G-1 All Habitats'!$X$3,T220&gt;0),U220+V220,IF(AND(P220='G-1 All Habitats'!$X$3,S220&gt;0),U220+V220,IF(AND(P220='G-1 All Habitats'!$X$3,AC220&gt;0),"Any Loss Unacceptable ▲",IF(AND(P220='G-1 All Habitats'!$X$3,W220&gt;0),"Any Loss Unacceptable ▲",H220*J220*L220*O220))))),"Check Data ▲")</f>
        <v/>
      </c>
      <c r="R220" s="50"/>
      <c r="S220" s="71"/>
      <c r="T220" s="72"/>
      <c r="U220" s="511" t="str">
        <f t="shared" si="18"/>
        <v/>
      </c>
      <c r="V220" s="511" t="str">
        <f t="shared" si="19"/>
        <v/>
      </c>
      <c r="W220" s="511" t="str">
        <f>IF(E220="","",IF(H220&lt;S220+T220,"Error in Areas ▲",IF(P220&lt;&gt;'G-1 All Habitats'!$X$3,H220-S220-T220,IF(AND(P220='G-1 All Habitats'!$X$3,Y220="Yes"),"Unacceptable Loss",IF(AND(P220='G-1 All Habitats'!$X$3,Y220="No"),AC220,IF(AND(P220='G-1 All Habitats'!$X$3,Y220=""),AC220,IF(AND(P220='G-1 All Habitats'!$X$3,AC220="None",AC220),IF(AND(P220='G-1 All Habitats'!$X$3,AC220&gt;0),H220-S220-T220))))))))</f>
        <v/>
      </c>
      <c r="X220" s="515" t="str">
        <f>IFERROR(IF(H220="","",IF(H220-S220-T220=0&lt;0,"Error in Areas ▲",IF(S220+T220&gt;H220,"Error in Areas ▲",IF(AND(P220='G-1 All Habitats'!$X$3,Y220="Yes"),"Alternative Compensation ✓",IF(W220=0,0,IF(P220='G-1 All Habitats'!$X$3,"Unacceptable Loss ▲",Q220-U220-V220)))))),"Check Data ▲")</f>
        <v/>
      </c>
      <c r="Y220" s="72"/>
      <c r="Z220" s="80"/>
      <c r="AA220" s="81"/>
      <c r="AC220" s="75" t="str">
        <f>IF(P220="","",IF(P220='G-1 All Habitats'!$X$3,H220-S220-T220,"None"))</f>
        <v/>
      </c>
      <c r="AD220" s="76" t="str">
        <f>IFERROR(AC220*J220*L220*#REF!*O220,IF(P220="","","None"))</f>
        <v/>
      </c>
      <c r="AF220" s="54" t="str">
        <f t="shared" si="15"/>
        <v/>
      </c>
      <c r="AG220" s="54" t="str">
        <f t="shared" si="16"/>
        <v/>
      </c>
      <c r="AH220" s="54" t="str">
        <f>IF(I220="","",IF(#REF!&gt;0,TRUE,FALSE))</f>
        <v/>
      </c>
      <c r="AI220" s="54">
        <v>210</v>
      </c>
      <c r="AJ220" s="54"/>
      <c r="AK220" s="54" t="str">
        <f t="array" ref="AK220">IFERROR(INDEX($AI$11:$AI$259, MATCH(0, IF(TRUE=$AF$11:$AF$259, COUNTIF($AK$10:$AK219, $AI$11:$AI$259), ""), 0)),"")</f>
        <v/>
      </c>
      <c r="AL220" s="54" t="str">
        <f t="array" ref="AL220">IFERROR(INDEX($AI$11:$AI$259, MATCH(0, IF(TRUE=$AG$11:$AG$259, COUNTIF($AL$10:$AL219, $AI$11:$AI$259), ""), 0)),"")</f>
        <v/>
      </c>
      <c r="AM220" s="54" t="str">
        <f t="array" ref="AM220">IFERROR(INDEX($AI$11:$AI$259, MATCH(0, IF(TRUE=$AH$11:$AH$259, COUNTIF($AM$10:$AM219, $AI$11:$AI$259), ""), 0)),"")</f>
        <v/>
      </c>
      <c r="AN220" s="54"/>
      <c r="AQ220" s="47">
        <f t="shared" si="17"/>
        <v>0</v>
      </c>
    </row>
    <row r="221" spans="1:43" x14ac:dyDescent="0.25">
      <c r="A221" s="47" t="str">
        <f>IFERROR(INDEX('G-1 All Habitats'!$AG$3:$AG$15,MATCH(E221,'G-1 All Habitats'!$AF$3:$AF$15,0)),"")</f>
        <v/>
      </c>
      <c r="B221" s="47" t="str">
        <f>IFERROR(INDEX('G-8 Condition Look up'!$I$4:$I$130,MATCH(G221,'G-8 Condition Look up'!$A$4:$A$130,0)),"")</f>
        <v/>
      </c>
      <c r="D221" s="77">
        <v>211</v>
      </c>
      <c r="E221" s="78"/>
      <c r="F221" s="79"/>
      <c r="G221" s="69" t="str">
        <f>IFERROR(INDEX('G-1 All Habitats'!$B$3:$B$129,MATCH(F221,'G-1 All Habitats'!$A$3:$A$129,0)),"")</f>
        <v/>
      </c>
      <c r="H221" s="70"/>
      <c r="I221" s="498" t="str">
        <f>IF(G221="","",VLOOKUP(G221,'G-1 All Habitats'!$B$2:$M$129,10,FALSE))</f>
        <v/>
      </c>
      <c r="J221" s="499" t="str">
        <f>IFERROR(VLOOKUP(I221,'G-1 All Habitats'!$V$3:$W$7,2,FALSE),"")</f>
        <v/>
      </c>
      <c r="K221" s="71"/>
      <c r="L221" s="499" t="str">
        <f>IFERROR(INDEX('G-8 Condition Look up'!$A$3:$H$130,MATCH(G221,'G-8 Condition Look up'!$A$3:$A$130,0),MATCH(K221,'G-8 Condition Look up'!$A$3:$H$3,0)),"")</f>
        <v/>
      </c>
      <c r="M221" s="71"/>
      <c r="N221" s="520" t="str">
        <f>IF(M221="","",IF(VLOOKUP(M221,'G-3 Multipliers'!$L$3:$N$6,2,FALSE)=0,"Spatial Data Missing",VLOOKUP(M221,'G-3 Multipliers'!$L$3:$N$6,2,FALSE)))</f>
        <v/>
      </c>
      <c r="O221" s="505" t="str">
        <f>IF(M221="","",IF(VLOOKUP(M221,'G-3 Multipliers'!$L$3:$N$6,3,FALSE)=0,"Spatial Data Missing",VLOOKUP(M221,'G-3 Multipliers'!$L$3:$N$6,3,FALSE)))</f>
        <v/>
      </c>
      <c r="P221" s="506" t="str">
        <f>IFERROR(VLOOKUP(G221,'G-1 All Habitats'!$B$2:$M$129,12,FALSE),"")</f>
        <v/>
      </c>
      <c r="Q221" s="513" t="str">
        <f>IFERROR(IF(P221="","",IF(AND(P221='G-1 All Habitats'!$X$3,T221&gt;0),U221+V221,IF(AND(P221='G-1 All Habitats'!$X$3,S221&gt;0),U221+V221,IF(AND(P221='G-1 All Habitats'!$X$3,AC221&gt;0),"Any Loss Unacceptable ▲",IF(AND(P221='G-1 All Habitats'!$X$3,W221&gt;0),"Any Loss Unacceptable ▲",H221*J221*L221*O221))))),"Check Data ▲")</f>
        <v/>
      </c>
      <c r="R221" s="50"/>
      <c r="S221" s="71"/>
      <c r="T221" s="72"/>
      <c r="U221" s="511" t="str">
        <f t="shared" si="18"/>
        <v/>
      </c>
      <c r="V221" s="511" t="str">
        <f t="shared" si="19"/>
        <v/>
      </c>
      <c r="W221" s="511" t="str">
        <f>IF(E221="","",IF(H221&lt;S221+T221,"Error in Areas ▲",IF(P221&lt;&gt;'G-1 All Habitats'!$X$3,H221-S221-T221,IF(AND(P221='G-1 All Habitats'!$X$3,Y221="Yes"),"Unacceptable Loss",IF(AND(P221='G-1 All Habitats'!$X$3,Y221="No"),AC221,IF(AND(P221='G-1 All Habitats'!$X$3,Y221=""),AC221,IF(AND(P221='G-1 All Habitats'!$X$3,AC221="None",AC221),IF(AND(P221='G-1 All Habitats'!$X$3,AC221&gt;0),H221-S221-T221))))))))</f>
        <v/>
      </c>
      <c r="X221" s="515" t="str">
        <f>IFERROR(IF(H221="","",IF(H221-S221-T221=0&lt;0,"Error in Areas ▲",IF(S221+T221&gt;H221,"Error in Areas ▲",IF(AND(P221='G-1 All Habitats'!$X$3,Y221="Yes"),"Alternative Compensation ✓",IF(W221=0,0,IF(P221='G-1 All Habitats'!$X$3,"Unacceptable Loss ▲",Q221-U221-V221)))))),"Check Data ▲")</f>
        <v/>
      </c>
      <c r="Y221" s="72"/>
      <c r="Z221" s="80"/>
      <c r="AA221" s="81"/>
      <c r="AC221" s="75" t="str">
        <f>IF(P221="","",IF(P221='G-1 All Habitats'!$X$3,H221-S221-T221,"None"))</f>
        <v/>
      </c>
      <c r="AD221" s="76" t="str">
        <f>IFERROR(AC221*J221*L221*#REF!*O221,IF(P221="","","None"))</f>
        <v/>
      </c>
      <c r="AF221" s="54" t="str">
        <f t="shared" si="15"/>
        <v/>
      </c>
      <c r="AG221" s="54" t="str">
        <f t="shared" si="16"/>
        <v/>
      </c>
      <c r="AH221" s="54" t="str">
        <f>IF(I221="","",IF(#REF!&gt;0,TRUE,FALSE))</f>
        <v/>
      </c>
      <c r="AI221" s="54">
        <v>211</v>
      </c>
      <c r="AJ221" s="54"/>
      <c r="AK221" s="54" t="str">
        <f t="array" ref="AK221">IFERROR(INDEX($AI$11:$AI$259, MATCH(0, IF(TRUE=$AF$11:$AF$259, COUNTIF($AK$10:$AK220, $AI$11:$AI$259), ""), 0)),"")</f>
        <v/>
      </c>
      <c r="AL221" s="54" t="str">
        <f t="array" ref="AL221">IFERROR(INDEX($AI$11:$AI$259, MATCH(0, IF(TRUE=$AG$11:$AG$259, COUNTIF($AL$10:$AL220, $AI$11:$AI$259), ""), 0)),"")</f>
        <v/>
      </c>
      <c r="AM221" s="54" t="str">
        <f t="array" ref="AM221">IFERROR(INDEX($AI$11:$AI$259, MATCH(0, IF(TRUE=$AH$11:$AH$259, COUNTIF($AM$10:$AM220, $AI$11:$AI$259), ""), 0)),"")</f>
        <v/>
      </c>
      <c r="AN221" s="54"/>
      <c r="AQ221" s="47">
        <f t="shared" si="17"/>
        <v>0</v>
      </c>
    </row>
    <row r="222" spans="1:43" x14ac:dyDescent="0.25">
      <c r="A222" s="47" t="str">
        <f>IFERROR(INDEX('G-1 All Habitats'!$AG$3:$AG$15,MATCH(E222,'G-1 All Habitats'!$AF$3:$AF$15,0)),"")</f>
        <v/>
      </c>
      <c r="B222" s="47" t="str">
        <f>IFERROR(INDEX('G-8 Condition Look up'!$I$4:$I$130,MATCH(G222,'G-8 Condition Look up'!$A$4:$A$130,0)),"")</f>
        <v/>
      </c>
      <c r="D222" s="77">
        <v>212</v>
      </c>
      <c r="E222" s="78"/>
      <c r="F222" s="79"/>
      <c r="G222" s="69" t="str">
        <f>IFERROR(INDEX('G-1 All Habitats'!$B$3:$B$129,MATCH(F222,'G-1 All Habitats'!$A$3:$A$129,0)),"")</f>
        <v/>
      </c>
      <c r="H222" s="70"/>
      <c r="I222" s="498" t="str">
        <f>IF(G222="","",VLOOKUP(G222,'G-1 All Habitats'!$B$2:$M$129,10,FALSE))</f>
        <v/>
      </c>
      <c r="J222" s="499" t="str">
        <f>IFERROR(VLOOKUP(I222,'G-1 All Habitats'!$V$3:$W$7,2,FALSE),"")</f>
        <v/>
      </c>
      <c r="K222" s="71"/>
      <c r="L222" s="499" t="str">
        <f>IFERROR(INDEX('G-8 Condition Look up'!$A$3:$H$130,MATCH(G222,'G-8 Condition Look up'!$A$3:$A$130,0),MATCH(K222,'G-8 Condition Look up'!$A$3:$H$3,0)),"")</f>
        <v/>
      </c>
      <c r="M222" s="71"/>
      <c r="N222" s="520" t="str">
        <f>IF(M222="","",IF(VLOOKUP(M222,'G-3 Multipliers'!$L$3:$N$6,2,FALSE)=0,"Spatial Data Missing",VLOOKUP(M222,'G-3 Multipliers'!$L$3:$N$6,2,FALSE)))</f>
        <v/>
      </c>
      <c r="O222" s="505" t="str">
        <f>IF(M222="","",IF(VLOOKUP(M222,'G-3 Multipliers'!$L$3:$N$6,3,FALSE)=0,"Spatial Data Missing",VLOOKUP(M222,'G-3 Multipliers'!$L$3:$N$6,3,FALSE)))</f>
        <v/>
      </c>
      <c r="P222" s="506" t="str">
        <f>IFERROR(VLOOKUP(G222,'G-1 All Habitats'!$B$2:$M$129,12,FALSE),"")</f>
        <v/>
      </c>
      <c r="Q222" s="513" t="str">
        <f>IFERROR(IF(P222="","",IF(AND(P222='G-1 All Habitats'!$X$3,T222&gt;0),U222+V222,IF(AND(P222='G-1 All Habitats'!$X$3,S222&gt;0),U222+V222,IF(AND(P222='G-1 All Habitats'!$X$3,AC222&gt;0),"Any Loss Unacceptable ▲",IF(AND(P222='G-1 All Habitats'!$X$3,W222&gt;0),"Any Loss Unacceptable ▲",H222*J222*L222*O222))))),"Check Data ▲")</f>
        <v/>
      </c>
      <c r="R222" s="50"/>
      <c r="S222" s="71"/>
      <c r="T222" s="72"/>
      <c r="U222" s="511" t="str">
        <f t="shared" si="18"/>
        <v/>
      </c>
      <c r="V222" s="511" t="str">
        <f t="shared" si="19"/>
        <v/>
      </c>
      <c r="W222" s="511" t="str">
        <f>IF(E222="","",IF(H222&lt;S222+T222,"Error in Areas ▲",IF(P222&lt;&gt;'G-1 All Habitats'!$X$3,H222-S222-T222,IF(AND(P222='G-1 All Habitats'!$X$3,Y222="Yes"),"Unacceptable Loss",IF(AND(P222='G-1 All Habitats'!$X$3,Y222="No"),AC222,IF(AND(P222='G-1 All Habitats'!$X$3,Y222=""),AC222,IF(AND(P222='G-1 All Habitats'!$X$3,AC222="None",AC222),IF(AND(P222='G-1 All Habitats'!$X$3,AC222&gt;0),H222-S222-T222))))))))</f>
        <v/>
      </c>
      <c r="X222" s="515" t="str">
        <f>IFERROR(IF(H222="","",IF(H222-S222-T222=0&lt;0,"Error in Areas ▲",IF(S222+T222&gt;H222,"Error in Areas ▲",IF(AND(P222='G-1 All Habitats'!$X$3,Y222="Yes"),"Alternative Compensation ✓",IF(W222=0,0,IF(P222='G-1 All Habitats'!$X$3,"Unacceptable Loss ▲",Q222-U222-V222)))))),"Check Data ▲")</f>
        <v/>
      </c>
      <c r="Y222" s="72"/>
      <c r="Z222" s="80"/>
      <c r="AA222" s="81"/>
      <c r="AC222" s="75" t="str">
        <f>IF(P222="","",IF(P222='G-1 All Habitats'!$X$3,H222-S222-T222,"None"))</f>
        <v/>
      </c>
      <c r="AD222" s="76" t="str">
        <f>IFERROR(AC222*J222*L222*#REF!*O222,IF(P222="","","None"))</f>
        <v/>
      </c>
      <c r="AF222" s="54" t="str">
        <f t="shared" si="15"/>
        <v/>
      </c>
      <c r="AG222" s="54" t="str">
        <f t="shared" si="16"/>
        <v/>
      </c>
      <c r="AH222" s="54" t="str">
        <f>IF(I222="","",IF(#REF!&gt;0,TRUE,FALSE))</f>
        <v/>
      </c>
      <c r="AI222" s="54">
        <v>212</v>
      </c>
      <c r="AJ222" s="54"/>
      <c r="AK222" s="54" t="str">
        <f t="array" ref="AK222">IFERROR(INDEX($AI$11:$AI$259, MATCH(0, IF(TRUE=$AF$11:$AF$259, COUNTIF($AK$10:$AK221, $AI$11:$AI$259), ""), 0)),"")</f>
        <v/>
      </c>
      <c r="AL222" s="54" t="str">
        <f t="array" ref="AL222">IFERROR(INDEX($AI$11:$AI$259, MATCH(0, IF(TRUE=$AG$11:$AG$259, COUNTIF($AL$10:$AL221, $AI$11:$AI$259), ""), 0)),"")</f>
        <v/>
      </c>
      <c r="AM222" s="54" t="str">
        <f t="array" ref="AM222">IFERROR(INDEX($AI$11:$AI$259, MATCH(0, IF(TRUE=$AH$11:$AH$259, COUNTIF($AM$10:$AM221, $AI$11:$AI$259), ""), 0)),"")</f>
        <v/>
      </c>
      <c r="AN222" s="54"/>
      <c r="AQ222" s="47">
        <f t="shared" si="17"/>
        <v>0</v>
      </c>
    </row>
    <row r="223" spans="1:43" x14ac:dyDescent="0.25">
      <c r="A223" s="47" t="str">
        <f>IFERROR(INDEX('G-1 All Habitats'!$AG$3:$AG$15,MATCH(E223,'G-1 All Habitats'!$AF$3:$AF$15,0)),"")</f>
        <v/>
      </c>
      <c r="B223" s="47" t="str">
        <f>IFERROR(INDEX('G-8 Condition Look up'!$I$4:$I$130,MATCH(G223,'G-8 Condition Look up'!$A$4:$A$130,0)),"")</f>
        <v/>
      </c>
      <c r="D223" s="77">
        <v>213</v>
      </c>
      <c r="E223" s="78"/>
      <c r="F223" s="79"/>
      <c r="G223" s="69" t="str">
        <f>IFERROR(INDEX('G-1 All Habitats'!$B$3:$B$129,MATCH(F223,'G-1 All Habitats'!$A$3:$A$129,0)),"")</f>
        <v/>
      </c>
      <c r="H223" s="70"/>
      <c r="I223" s="498" t="str">
        <f>IF(G223="","",VLOOKUP(G223,'G-1 All Habitats'!$B$2:$M$129,10,FALSE))</f>
        <v/>
      </c>
      <c r="J223" s="499" t="str">
        <f>IFERROR(VLOOKUP(I223,'G-1 All Habitats'!$V$3:$W$7,2,FALSE),"")</f>
        <v/>
      </c>
      <c r="K223" s="71"/>
      <c r="L223" s="499" t="str">
        <f>IFERROR(INDEX('G-8 Condition Look up'!$A$3:$H$130,MATCH(G223,'G-8 Condition Look up'!$A$3:$A$130,0),MATCH(K223,'G-8 Condition Look up'!$A$3:$H$3,0)),"")</f>
        <v/>
      </c>
      <c r="M223" s="71"/>
      <c r="N223" s="520" t="str">
        <f>IF(M223="","",IF(VLOOKUP(M223,'G-3 Multipliers'!$L$3:$N$6,2,FALSE)=0,"Spatial Data Missing",VLOOKUP(M223,'G-3 Multipliers'!$L$3:$N$6,2,FALSE)))</f>
        <v/>
      </c>
      <c r="O223" s="505" t="str">
        <f>IF(M223="","",IF(VLOOKUP(M223,'G-3 Multipliers'!$L$3:$N$6,3,FALSE)=0,"Spatial Data Missing",VLOOKUP(M223,'G-3 Multipliers'!$L$3:$N$6,3,FALSE)))</f>
        <v/>
      </c>
      <c r="P223" s="506" t="str">
        <f>IFERROR(VLOOKUP(G223,'G-1 All Habitats'!$B$2:$M$129,12,FALSE),"")</f>
        <v/>
      </c>
      <c r="Q223" s="513" t="str">
        <f>IFERROR(IF(P223="","",IF(AND(P223='G-1 All Habitats'!$X$3,T223&gt;0),U223+V223,IF(AND(P223='G-1 All Habitats'!$X$3,S223&gt;0),U223+V223,IF(AND(P223='G-1 All Habitats'!$X$3,AC223&gt;0),"Any Loss Unacceptable ▲",IF(AND(P223='G-1 All Habitats'!$X$3,W223&gt;0),"Any Loss Unacceptable ▲",H223*J223*L223*O223))))),"Check Data ▲")</f>
        <v/>
      </c>
      <c r="R223" s="50"/>
      <c r="S223" s="71"/>
      <c r="T223" s="72"/>
      <c r="U223" s="511" t="str">
        <f t="shared" si="18"/>
        <v/>
      </c>
      <c r="V223" s="511" t="str">
        <f t="shared" si="19"/>
        <v/>
      </c>
      <c r="W223" s="511" t="str">
        <f>IF(E223="","",IF(H223&lt;S223+T223,"Error in Areas ▲",IF(P223&lt;&gt;'G-1 All Habitats'!$X$3,H223-S223-T223,IF(AND(P223='G-1 All Habitats'!$X$3,Y223="Yes"),"Unacceptable Loss",IF(AND(P223='G-1 All Habitats'!$X$3,Y223="No"),AC223,IF(AND(P223='G-1 All Habitats'!$X$3,Y223=""),AC223,IF(AND(P223='G-1 All Habitats'!$X$3,AC223="None",AC223),IF(AND(P223='G-1 All Habitats'!$X$3,AC223&gt;0),H223-S223-T223))))))))</f>
        <v/>
      </c>
      <c r="X223" s="515" t="str">
        <f>IFERROR(IF(H223="","",IF(H223-S223-T223=0&lt;0,"Error in Areas ▲",IF(S223+T223&gt;H223,"Error in Areas ▲",IF(AND(P223='G-1 All Habitats'!$X$3,Y223="Yes"),"Alternative Compensation ✓",IF(W223=0,0,IF(P223='G-1 All Habitats'!$X$3,"Unacceptable Loss ▲",Q223-U223-V223)))))),"Check Data ▲")</f>
        <v/>
      </c>
      <c r="Y223" s="72"/>
      <c r="Z223" s="80"/>
      <c r="AA223" s="81"/>
      <c r="AC223" s="75" t="str">
        <f>IF(P223="","",IF(P223='G-1 All Habitats'!$X$3,H223-S223-T223,"None"))</f>
        <v/>
      </c>
      <c r="AD223" s="76" t="str">
        <f>IFERROR(AC223*J223*L223*#REF!*O223,IF(P223="","","None"))</f>
        <v/>
      </c>
      <c r="AF223" s="54" t="str">
        <f t="shared" si="15"/>
        <v/>
      </c>
      <c r="AG223" s="54" t="str">
        <f t="shared" si="16"/>
        <v/>
      </c>
      <c r="AH223" s="54" t="str">
        <f>IF(I223="","",IF(#REF!&gt;0,TRUE,FALSE))</f>
        <v/>
      </c>
      <c r="AI223" s="54">
        <v>213</v>
      </c>
      <c r="AJ223" s="54"/>
      <c r="AK223" s="54" t="str">
        <f t="array" ref="AK223">IFERROR(INDEX($AI$11:$AI$259, MATCH(0, IF(TRUE=$AF$11:$AF$259, COUNTIF($AK$10:$AK222, $AI$11:$AI$259), ""), 0)),"")</f>
        <v/>
      </c>
      <c r="AL223" s="54" t="str">
        <f t="array" ref="AL223">IFERROR(INDEX($AI$11:$AI$259, MATCH(0, IF(TRUE=$AG$11:$AG$259, COUNTIF($AL$10:$AL222, $AI$11:$AI$259), ""), 0)),"")</f>
        <v/>
      </c>
      <c r="AM223" s="54" t="str">
        <f t="array" ref="AM223">IFERROR(INDEX($AI$11:$AI$259, MATCH(0, IF(TRUE=$AH$11:$AH$259, COUNTIF($AM$10:$AM222, $AI$11:$AI$259), ""), 0)),"")</f>
        <v/>
      </c>
      <c r="AN223" s="54"/>
      <c r="AQ223" s="47">
        <f t="shared" si="17"/>
        <v>0</v>
      </c>
    </row>
    <row r="224" spans="1:43" x14ac:dyDescent="0.25">
      <c r="A224" s="47" t="str">
        <f>IFERROR(INDEX('G-1 All Habitats'!$AG$3:$AG$15,MATCH(E224,'G-1 All Habitats'!$AF$3:$AF$15,0)),"")</f>
        <v/>
      </c>
      <c r="B224" s="47" t="str">
        <f>IFERROR(INDEX('G-8 Condition Look up'!$I$4:$I$130,MATCH(G224,'G-8 Condition Look up'!$A$4:$A$130,0)),"")</f>
        <v/>
      </c>
      <c r="D224" s="77">
        <v>214</v>
      </c>
      <c r="E224" s="78"/>
      <c r="F224" s="79"/>
      <c r="G224" s="69" t="str">
        <f>IFERROR(INDEX('G-1 All Habitats'!$B$3:$B$129,MATCH(F224,'G-1 All Habitats'!$A$3:$A$129,0)),"")</f>
        <v/>
      </c>
      <c r="H224" s="70"/>
      <c r="I224" s="498" t="str">
        <f>IF(G224="","",VLOOKUP(G224,'G-1 All Habitats'!$B$2:$M$129,10,FALSE))</f>
        <v/>
      </c>
      <c r="J224" s="499" t="str">
        <f>IFERROR(VLOOKUP(I224,'G-1 All Habitats'!$V$3:$W$7,2,FALSE),"")</f>
        <v/>
      </c>
      <c r="K224" s="71"/>
      <c r="L224" s="499" t="str">
        <f>IFERROR(INDEX('G-8 Condition Look up'!$A$3:$H$130,MATCH(G224,'G-8 Condition Look up'!$A$3:$A$130,0),MATCH(K224,'G-8 Condition Look up'!$A$3:$H$3,0)),"")</f>
        <v/>
      </c>
      <c r="M224" s="71"/>
      <c r="N224" s="520" t="str">
        <f>IF(M224="","",IF(VLOOKUP(M224,'G-3 Multipliers'!$L$3:$N$6,2,FALSE)=0,"Spatial Data Missing",VLOOKUP(M224,'G-3 Multipliers'!$L$3:$N$6,2,FALSE)))</f>
        <v/>
      </c>
      <c r="O224" s="505" t="str">
        <f>IF(M224="","",IF(VLOOKUP(M224,'G-3 Multipliers'!$L$3:$N$6,3,FALSE)=0,"Spatial Data Missing",VLOOKUP(M224,'G-3 Multipliers'!$L$3:$N$6,3,FALSE)))</f>
        <v/>
      </c>
      <c r="P224" s="506" t="str">
        <f>IFERROR(VLOOKUP(G224,'G-1 All Habitats'!$B$2:$M$129,12,FALSE),"")</f>
        <v/>
      </c>
      <c r="Q224" s="513" t="str">
        <f>IFERROR(IF(P224="","",IF(AND(P224='G-1 All Habitats'!$X$3,T224&gt;0),U224+V224,IF(AND(P224='G-1 All Habitats'!$X$3,S224&gt;0),U224+V224,IF(AND(P224='G-1 All Habitats'!$X$3,AC224&gt;0),"Any Loss Unacceptable ▲",IF(AND(P224='G-1 All Habitats'!$X$3,W224&gt;0),"Any Loss Unacceptable ▲",H224*J224*L224*O224))))),"Check Data ▲")</f>
        <v/>
      </c>
      <c r="R224" s="50"/>
      <c r="S224" s="71"/>
      <c r="T224" s="72"/>
      <c r="U224" s="511" t="str">
        <f t="shared" si="18"/>
        <v/>
      </c>
      <c r="V224" s="511" t="str">
        <f t="shared" si="19"/>
        <v/>
      </c>
      <c r="W224" s="511" t="str">
        <f>IF(E224="","",IF(H224&lt;S224+T224,"Error in Areas ▲",IF(P224&lt;&gt;'G-1 All Habitats'!$X$3,H224-S224-T224,IF(AND(P224='G-1 All Habitats'!$X$3,Y224="Yes"),"Unacceptable Loss",IF(AND(P224='G-1 All Habitats'!$X$3,Y224="No"),AC224,IF(AND(P224='G-1 All Habitats'!$X$3,Y224=""),AC224,IF(AND(P224='G-1 All Habitats'!$X$3,AC224="None",AC224),IF(AND(P224='G-1 All Habitats'!$X$3,AC224&gt;0),H224-S224-T224))))))))</f>
        <v/>
      </c>
      <c r="X224" s="515" t="str">
        <f>IFERROR(IF(H224="","",IF(H224-S224-T224=0&lt;0,"Error in Areas ▲",IF(S224+T224&gt;H224,"Error in Areas ▲",IF(AND(P224='G-1 All Habitats'!$X$3,Y224="Yes"),"Alternative Compensation ✓",IF(W224=0,0,IF(P224='G-1 All Habitats'!$X$3,"Unacceptable Loss ▲",Q224-U224-V224)))))),"Check Data ▲")</f>
        <v/>
      </c>
      <c r="Y224" s="72"/>
      <c r="Z224" s="80"/>
      <c r="AA224" s="81"/>
      <c r="AC224" s="75" t="str">
        <f>IF(P224="","",IF(P224='G-1 All Habitats'!$X$3,H224-S224-T224,"None"))</f>
        <v/>
      </c>
      <c r="AD224" s="76" t="str">
        <f>IFERROR(AC224*J224*L224*#REF!*O224,IF(P224="","","None"))</f>
        <v/>
      </c>
      <c r="AF224" s="54" t="str">
        <f t="shared" si="15"/>
        <v/>
      </c>
      <c r="AG224" s="54" t="str">
        <f t="shared" si="16"/>
        <v/>
      </c>
      <c r="AH224" s="54" t="str">
        <f>IF(I224="","",IF(#REF!&gt;0,TRUE,FALSE))</f>
        <v/>
      </c>
      <c r="AI224" s="54">
        <v>214</v>
      </c>
      <c r="AJ224" s="54"/>
      <c r="AK224" s="54" t="str">
        <f t="array" ref="AK224">IFERROR(INDEX($AI$11:$AI$259, MATCH(0, IF(TRUE=$AF$11:$AF$259, COUNTIF($AK$10:$AK223, $AI$11:$AI$259), ""), 0)),"")</f>
        <v/>
      </c>
      <c r="AL224" s="54" t="str">
        <f t="array" ref="AL224">IFERROR(INDEX($AI$11:$AI$259, MATCH(0, IF(TRUE=$AG$11:$AG$259, COUNTIF($AL$10:$AL223, $AI$11:$AI$259), ""), 0)),"")</f>
        <v/>
      </c>
      <c r="AM224" s="54" t="str">
        <f t="array" ref="AM224">IFERROR(INDEX($AI$11:$AI$259, MATCH(0, IF(TRUE=$AH$11:$AH$259, COUNTIF($AM$10:$AM223, $AI$11:$AI$259), ""), 0)),"")</f>
        <v/>
      </c>
      <c r="AN224" s="54"/>
      <c r="AQ224" s="47">
        <f t="shared" si="17"/>
        <v>0</v>
      </c>
    </row>
    <row r="225" spans="1:43" x14ac:dyDescent="0.25">
      <c r="A225" s="47" t="str">
        <f>IFERROR(INDEX('G-1 All Habitats'!$AG$3:$AG$15,MATCH(E225,'G-1 All Habitats'!$AF$3:$AF$15,0)),"")</f>
        <v/>
      </c>
      <c r="B225" s="47" t="str">
        <f>IFERROR(INDEX('G-8 Condition Look up'!$I$4:$I$130,MATCH(G225,'G-8 Condition Look up'!$A$4:$A$130,0)),"")</f>
        <v/>
      </c>
      <c r="D225" s="77">
        <v>215</v>
      </c>
      <c r="E225" s="78"/>
      <c r="F225" s="79"/>
      <c r="G225" s="69" t="str">
        <f>IFERROR(INDEX('G-1 All Habitats'!$B$3:$B$129,MATCH(F225,'G-1 All Habitats'!$A$3:$A$129,0)),"")</f>
        <v/>
      </c>
      <c r="H225" s="70"/>
      <c r="I225" s="498" t="str">
        <f>IF(G225="","",VLOOKUP(G225,'G-1 All Habitats'!$B$2:$M$129,10,FALSE))</f>
        <v/>
      </c>
      <c r="J225" s="499" t="str">
        <f>IFERROR(VLOOKUP(I225,'G-1 All Habitats'!$V$3:$W$7,2,FALSE),"")</f>
        <v/>
      </c>
      <c r="K225" s="71"/>
      <c r="L225" s="499" t="str">
        <f>IFERROR(INDEX('G-8 Condition Look up'!$A$3:$H$130,MATCH(G225,'G-8 Condition Look up'!$A$3:$A$130,0),MATCH(K225,'G-8 Condition Look up'!$A$3:$H$3,0)),"")</f>
        <v/>
      </c>
      <c r="M225" s="71"/>
      <c r="N225" s="520" t="str">
        <f>IF(M225="","",IF(VLOOKUP(M225,'G-3 Multipliers'!$L$3:$N$6,2,FALSE)=0,"Spatial Data Missing",VLOOKUP(M225,'G-3 Multipliers'!$L$3:$N$6,2,FALSE)))</f>
        <v/>
      </c>
      <c r="O225" s="505" t="str">
        <f>IF(M225="","",IF(VLOOKUP(M225,'G-3 Multipliers'!$L$3:$N$6,3,FALSE)=0,"Spatial Data Missing",VLOOKUP(M225,'G-3 Multipliers'!$L$3:$N$6,3,FALSE)))</f>
        <v/>
      </c>
      <c r="P225" s="506" t="str">
        <f>IFERROR(VLOOKUP(G225,'G-1 All Habitats'!$B$2:$M$129,12,FALSE),"")</f>
        <v/>
      </c>
      <c r="Q225" s="513" t="str">
        <f>IFERROR(IF(P225="","",IF(AND(P225='G-1 All Habitats'!$X$3,T225&gt;0),U225+V225,IF(AND(P225='G-1 All Habitats'!$X$3,S225&gt;0),U225+V225,IF(AND(P225='G-1 All Habitats'!$X$3,AC225&gt;0),"Any Loss Unacceptable ▲",IF(AND(P225='G-1 All Habitats'!$X$3,W225&gt;0),"Any Loss Unacceptable ▲",H225*J225*L225*O225))))),"Check Data ▲")</f>
        <v/>
      </c>
      <c r="R225" s="50"/>
      <c r="S225" s="71"/>
      <c r="T225" s="72"/>
      <c r="U225" s="511" t="str">
        <f t="shared" si="18"/>
        <v/>
      </c>
      <c r="V225" s="511" t="str">
        <f t="shared" si="19"/>
        <v/>
      </c>
      <c r="W225" s="511" t="str">
        <f>IF(E225="","",IF(H225&lt;S225+T225,"Error in Areas ▲",IF(P225&lt;&gt;'G-1 All Habitats'!$X$3,H225-S225-T225,IF(AND(P225='G-1 All Habitats'!$X$3,Y225="Yes"),"Unacceptable Loss",IF(AND(P225='G-1 All Habitats'!$X$3,Y225="No"),AC225,IF(AND(P225='G-1 All Habitats'!$X$3,Y225=""),AC225,IF(AND(P225='G-1 All Habitats'!$X$3,AC225="None",AC225),IF(AND(P225='G-1 All Habitats'!$X$3,AC225&gt;0),H225-S225-T225))))))))</f>
        <v/>
      </c>
      <c r="X225" s="515" t="str">
        <f>IFERROR(IF(H225="","",IF(H225-S225-T225=0&lt;0,"Error in Areas ▲",IF(S225+T225&gt;H225,"Error in Areas ▲",IF(AND(P225='G-1 All Habitats'!$X$3,Y225="Yes"),"Alternative Compensation ✓",IF(W225=0,0,IF(P225='G-1 All Habitats'!$X$3,"Unacceptable Loss ▲",Q225-U225-V225)))))),"Check Data ▲")</f>
        <v/>
      </c>
      <c r="Y225" s="72"/>
      <c r="Z225" s="80"/>
      <c r="AA225" s="81"/>
      <c r="AC225" s="75" t="str">
        <f>IF(P225="","",IF(P225='G-1 All Habitats'!$X$3,H225-S225-T225,"None"))</f>
        <v/>
      </c>
      <c r="AD225" s="76" t="str">
        <f>IFERROR(AC225*J225*L225*#REF!*O225,IF(P225="","","None"))</f>
        <v/>
      </c>
      <c r="AF225" s="54" t="str">
        <f t="shared" si="15"/>
        <v/>
      </c>
      <c r="AG225" s="54" t="str">
        <f t="shared" si="16"/>
        <v/>
      </c>
      <c r="AH225" s="54" t="str">
        <f>IF(I225="","",IF(#REF!&gt;0,TRUE,FALSE))</f>
        <v/>
      </c>
      <c r="AI225" s="54">
        <v>215</v>
      </c>
      <c r="AJ225" s="54"/>
      <c r="AK225" s="54" t="str">
        <f t="array" ref="AK225">IFERROR(INDEX($AI$11:$AI$259, MATCH(0, IF(TRUE=$AF$11:$AF$259, COUNTIF($AK$10:$AK224, $AI$11:$AI$259), ""), 0)),"")</f>
        <v/>
      </c>
      <c r="AL225" s="54" t="str">
        <f t="array" ref="AL225">IFERROR(INDEX($AI$11:$AI$259, MATCH(0, IF(TRUE=$AG$11:$AG$259, COUNTIF($AL$10:$AL224, $AI$11:$AI$259), ""), 0)),"")</f>
        <v/>
      </c>
      <c r="AM225" s="54" t="str">
        <f t="array" ref="AM225">IFERROR(INDEX($AI$11:$AI$259, MATCH(0, IF(TRUE=$AH$11:$AH$259, COUNTIF($AM$10:$AM224, $AI$11:$AI$259), ""), 0)),"")</f>
        <v/>
      </c>
      <c r="AN225" s="54"/>
      <c r="AQ225" s="47">
        <f t="shared" si="17"/>
        <v>0</v>
      </c>
    </row>
    <row r="226" spans="1:43" x14ac:dyDescent="0.25">
      <c r="A226" s="47" t="str">
        <f>IFERROR(INDEX('G-1 All Habitats'!$AG$3:$AG$15,MATCH(E226,'G-1 All Habitats'!$AF$3:$AF$15,0)),"")</f>
        <v/>
      </c>
      <c r="B226" s="47" t="str">
        <f>IFERROR(INDEX('G-8 Condition Look up'!$I$4:$I$130,MATCH(G226,'G-8 Condition Look up'!$A$4:$A$130,0)),"")</f>
        <v/>
      </c>
      <c r="D226" s="77">
        <v>216</v>
      </c>
      <c r="E226" s="78"/>
      <c r="F226" s="79"/>
      <c r="G226" s="69" t="str">
        <f>IFERROR(INDEX('G-1 All Habitats'!$B$3:$B$129,MATCH(F226,'G-1 All Habitats'!$A$3:$A$129,0)),"")</f>
        <v/>
      </c>
      <c r="H226" s="70"/>
      <c r="I226" s="498" t="str">
        <f>IF(G226="","",VLOOKUP(G226,'G-1 All Habitats'!$B$2:$M$129,10,FALSE))</f>
        <v/>
      </c>
      <c r="J226" s="499" t="str">
        <f>IFERROR(VLOOKUP(I226,'G-1 All Habitats'!$V$3:$W$7,2,FALSE),"")</f>
        <v/>
      </c>
      <c r="K226" s="71"/>
      <c r="L226" s="499" t="str">
        <f>IFERROR(INDEX('G-8 Condition Look up'!$A$3:$H$130,MATCH(G226,'G-8 Condition Look up'!$A$3:$A$130,0),MATCH(K226,'G-8 Condition Look up'!$A$3:$H$3,0)),"")</f>
        <v/>
      </c>
      <c r="M226" s="71"/>
      <c r="N226" s="520" t="str">
        <f>IF(M226="","",IF(VLOOKUP(M226,'G-3 Multipliers'!$L$3:$N$6,2,FALSE)=0,"Spatial Data Missing",VLOOKUP(M226,'G-3 Multipliers'!$L$3:$N$6,2,FALSE)))</f>
        <v/>
      </c>
      <c r="O226" s="505" t="str">
        <f>IF(M226="","",IF(VLOOKUP(M226,'G-3 Multipliers'!$L$3:$N$6,3,FALSE)=0,"Spatial Data Missing",VLOOKUP(M226,'G-3 Multipliers'!$L$3:$N$6,3,FALSE)))</f>
        <v/>
      </c>
      <c r="P226" s="506" t="str">
        <f>IFERROR(VLOOKUP(G226,'G-1 All Habitats'!$B$2:$M$129,12,FALSE),"")</f>
        <v/>
      </c>
      <c r="Q226" s="513" t="str">
        <f>IFERROR(IF(P226="","",IF(AND(P226='G-1 All Habitats'!$X$3,T226&gt;0),U226+V226,IF(AND(P226='G-1 All Habitats'!$X$3,S226&gt;0),U226+V226,IF(AND(P226='G-1 All Habitats'!$X$3,AC226&gt;0),"Any Loss Unacceptable ▲",IF(AND(P226='G-1 All Habitats'!$X$3,W226&gt;0),"Any Loss Unacceptable ▲",H226*J226*L226*O226))))),"Check Data ▲")</f>
        <v/>
      </c>
      <c r="R226" s="50"/>
      <c r="S226" s="71"/>
      <c r="T226" s="72"/>
      <c r="U226" s="511" t="str">
        <f t="shared" si="18"/>
        <v/>
      </c>
      <c r="V226" s="511" t="str">
        <f t="shared" si="19"/>
        <v/>
      </c>
      <c r="W226" s="511" t="str">
        <f>IF(E226="","",IF(H226&lt;S226+T226,"Error in Areas ▲",IF(P226&lt;&gt;'G-1 All Habitats'!$X$3,H226-S226-T226,IF(AND(P226='G-1 All Habitats'!$X$3,Y226="Yes"),"Unacceptable Loss",IF(AND(P226='G-1 All Habitats'!$X$3,Y226="No"),AC226,IF(AND(P226='G-1 All Habitats'!$X$3,Y226=""),AC226,IF(AND(P226='G-1 All Habitats'!$X$3,AC226="None",AC226),IF(AND(P226='G-1 All Habitats'!$X$3,AC226&gt;0),H226-S226-T226))))))))</f>
        <v/>
      </c>
      <c r="X226" s="515" t="str">
        <f>IFERROR(IF(H226="","",IF(H226-S226-T226=0&lt;0,"Error in Areas ▲",IF(S226+T226&gt;H226,"Error in Areas ▲",IF(AND(P226='G-1 All Habitats'!$X$3,Y226="Yes"),"Alternative Compensation ✓",IF(W226=0,0,IF(P226='G-1 All Habitats'!$X$3,"Unacceptable Loss ▲",Q226-U226-V226)))))),"Check Data ▲")</f>
        <v/>
      </c>
      <c r="Y226" s="72"/>
      <c r="Z226" s="80"/>
      <c r="AA226" s="81"/>
      <c r="AC226" s="75" t="str">
        <f>IF(P226="","",IF(P226='G-1 All Habitats'!$X$3,H226-S226-T226,"None"))</f>
        <v/>
      </c>
      <c r="AD226" s="76" t="str">
        <f>IFERROR(AC226*J226*L226*#REF!*O226,IF(P226="","","None"))</f>
        <v/>
      </c>
      <c r="AF226" s="54" t="str">
        <f t="shared" si="15"/>
        <v/>
      </c>
      <c r="AG226" s="54" t="str">
        <f t="shared" si="16"/>
        <v/>
      </c>
      <c r="AH226" s="54" t="str">
        <f>IF(I226="","",IF(#REF!&gt;0,TRUE,FALSE))</f>
        <v/>
      </c>
      <c r="AI226" s="54">
        <v>216</v>
      </c>
      <c r="AJ226" s="54"/>
      <c r="AK226" s="54" t="str">
        <f t="array" ref="AK226">IFERROR(INDEX($AI$11:$AI$259, MATCH(0, IF(TRUE=$AF$11:$AF$259, COUNTIF($AK$10:$AK225, $AI$11:$AI$259), ""), 0)),"")</f>
        <v/>
      </c>
      <c r="AL226" s="54" t="str">
        <f t="array" ref="AL226">IFERROR(INDEX($AI$11:$AI$259, MATCH(0, IF(TRUE=$AG$11:$AG$259, COUNTIF($AL$10:$AL225, $AI$11:$AI$259), ""), 0)),"")</f>
        <v/>
      </c>
      <c r="AM226" s="54" t="str">
        <f t="array" ref="AM226">IFERROR(INDEX($AI$11:$AI$259, MATCH(0, IF(TRUE=$AH$11:$AH$259, COUNTIF($AM$10:$AM225, $AI$11:$AI$259), ""), 0)),"")</f>
        <v/>
      </c>
      <c r="AN226" s="54"/>
      <c r="AQ226" s="47">
        <f t="shared" si="17"/>
        <v>0</v>
      </c>
    </row>
    <row r="227" spans="1:43" x14ac:dyDescent="0.25">
      <c r="A227" s="47" t="str">
        <f>IFERROR(INDEX('G-1 All Habitats'!$AG$3:$AG$15,MATCH(E227,'G-1 All Habitats'!$AF$3:$AF$15,0)),"")</f>
        <v/>
      </c>
      <c r="B227" s="47" t="str">
        <f>IFERROR(INDEX('G-8 Condition Look up'!$I$4:$I$130,MATCH(G227,'G-8 Condition Look up'!$A$4:$A$130,0)),"")</f>
        <v/>
      </c>
      <c r="D227" s="77">
        <v>217</v>
      </c>
      <c r="E227" s="78"/>
      <c r="F227" s="79"/>
      <c r="G227" s="69" t="str">
        <f>IFERROR(INDEX('G-1 All Habitats'!$B$3:$B$129,MATCH(F227,'G-1 All Habitats'!$A$3:$A$129,0)),"")</f>
        <v/>
      </c>
      <c r="H227" s="70"/>
      <c r="I227" s="498" t="str">
        <f>IF(G227="","",VLOOKUP(G227,'G-1 All Habitats'!$B$2:$M$129,10,FALSE))</f>
        <v/>
      </c>
      <c r="J227" s="499" t="str">
        <f>IFERROR(VLOOKUP(I227,'G-1 All Habitats'!$V$3:$W$7,2,FALSE),"")</f>
        <v/>
      </c>
      <c r="K227" s="71"/>
      <c r="L227" s="499" t="str">
        <f>IFERROR(INDEX('G-8 Condition Look up'!$A$3:$H$130,MATCH(G227,'G-8 Condition Look up'!$A$3:$A$130,0),MATCH(K227,'G-8 Condition Look up'!$A$3:$H$3,0)),"")</f>
        <v/>
      </c>
      <c r="M227" s="71"/>
      <c r="N227" s="520" t="str">
        <f>IF(M227="","",IF(VLOOKUP(M227,'G-3 Multipliers'!$L$3:$N$6,2,FALSE)=0,"Spatial Data Missing",VLOOKUP(M227,'G-3 Multipliers'!$L$3:$N$6,2,FALSE)))</f>
        <v/>
      </c>
      <c r="O227" s="505" t="str">
        <f>IF(M227="","",IF(VLOOKUP(M227,'G-3 Multipliers'!$L$3:$N$6,3,FALSE)=0,"Spatial Data Missing",VLOOKUP(M227,'G-3 Multipliers'!$L$3:$N$6,3,FALSE)))</f>
        <v/>
      </c>
      <c r="P227" s="506" t="str">
        <f>IFERROR(VLOOKUP(G227,'G-1 All Habitats'!$B$2:$M$129,12,FALSE),"")</f>
        <v/>
      </c>
      <c r="Q227" s="513" t="str">
        <f>IFERROR(IF(P227="","",IF(AND(P227='G-1 All Habitats'!$X$3,T227&gt;0),U227+V227,IF(AND(P227='G-1 All Habitats'!$X$3,S227&gt;0),U227+V227,IF(AND(P227='G-1 All Habitats'!$X$3,AC227&gt;0),"Any Loss Unacceptable ▲",IF(AND(P227='G-1 All Habitats'!$X$3,W227&gt;0),"Any Loss Unacceptable ▲",H227*J227*L227*O227))))),"Check Data ▲")</f>
        <v/>
      </c>
      <c r="R227" s="50"/>
      <c r="S227" s="71"/>
      <c r="T227" s="72"/>
      <c r="U227" s="511" t="str">
        <f t="shared" si="18"/>
        <v/>
      </c>
      <c r="V227" s="511" t="str">
        <f t="shared" si="19"/>
        <v/>
      </c>
      <c r="W227" s="511" t="str">
        <f>IF(E227="","",IF(H227&lt;S227+T227,"Error in Areas ▲",IF(P227&lt;&gt;'G-1 All Habitats'!$X$3,H227-S227-T227,IF(AND(P227='G-1 All Habitats'!$X$3,Y227="Yes"),"Unacceptable Loss",IF(AND(P227='G-1 All Habitats'!$X$3,Y227="No"),AC227,IF(AND(P227='G-1 All Habitats'!$X$3,Y227=""),AC227,IF(AND(P227='G-1 All Habitats'!$X$3,AC227="None",AC227),IF(AND(P227='G-1 All Habitats'!$X$3,AC227&gt;0),H227-S227-T227))))))))</f>
        <v/>
      </c>
      <c r="X227" s="515" t="str">
        <f>IFERROR(IF(H227="","",IF(H227-S227-T227=0&lt;0,"Error in Areas ▲",IF(S227+T227&gt;H227,"Error in Areas ▲",IF(AND(P227='G-1 All Habitats'!$X$3,Y227="Yes"),"Alternative Compensation ✓",IF(W227=0,0,IF(P227='G-1 All Habitats'!$X$3,"Unacceptable Loss ▲",Q227-U227-V227)))))),"Check Data ▲")</f>
        <v/>
      </c>
      <c r="Y227" s="72"/>
      <c r="Z227" s="80"/>
      <c r="AA227" s="81"/>
      <c r="AC227" s="75" t="str">
        <f>IF(P227="","",IF(P227='G-1 All Habitats'!$X$3,H227-S227-T227,"None"))</f>
        <v/>
      </c>
      <c r="AD227" s="76" t="str">
        <f>IFERROR(AC227*J227*L227*#REF!*O227,IF(P227="","","None"))</f>
        <v/>
      </c>
      <c r="AF227" s="54" t="str">
        <f t="shared" si="15"/>
        <v/>
      </c>
      <c r="AG227" s="54" t="str">
        <f t="shared" si="16"/>
        <v/>
      </c>
      <c r="AH227" s="54" t="str">
        <f>IF(I227="","",IF(#REF!&gt;0,TRUE,FALSE))</f>
        <v/>
      </c>
      <c r="AI227" s="54">
        <v>217</v>
      </c>
      <c r="AJ227" s="54"/>
      <c r="AK227" s="54" t="str">
        <f t="array" ref="AK227">IFERROR(INDEX($AI$11:$AI$259, MATCH(0, IF(TRUE=$AF$11:$AF$259, COUNTIF($AK$10:$AK226, $AI$11:$AI$259), ""), 0)),"")</f>
        <v/>
      </c>
      <c r="AL227" s="54" t="str">
        <f t="array" ref="AL227">IFERROR(INDEX($AI$11:$AI$259, MATCH(0, IF(TRUE=$AG$11:$AG$259, COUNTIF($AL$10:$AL226, $AI$11:$AI$259), ""), 0)),"")</f>
        <v/>
      </c>
      <c r="AM227" s="54" t="str">
        <f t="array" ref="AM227">IFERROR(INDEX($AI$11:$AI$259, MATCH(0, IF(TRUE=$AH$11:$AH$259, COUNTIF($AM$10:$AM226, $AI$11:$AI$259), ""), 0)),"")</f>
        <v/>
      </c>
      <c r="AN227" s="54"/>
      <c r="AQ227" s="47">
        <f t="shared" si="17"/>
        <v>0</v>
      </c>
    </row>
    <row r="228" spans="1:43" x14ac:dyDescent="0.25">
      <c r="A228" s="47" t="str">
        <f>IFERROR(INDEX('G-1 All Habitats'!$AG$3:$AG$15,MATCH(E228,'G-1 All Habitats'!$AF$3:$AF$15,0)),"")</f>
        <v/>
      </c>
      <c r="B228" s="47" t="str">
        <f>IFERROR(INDEX('G-8 Condition Look up'!$I$4:$I$130,MATCH(G228,'G-8 Condition Look up'!$A$4:$A$130,0)),"")</f>
        <v/>
      </c>
      <c r="D228" s="77">
        <v>218</v>
      </c>
      <c r="E228" s="78"/>
      <c r="F228" s="79"/>
      <c r="G228" s="69" t="str">
        <f>IFERROR(INDEX('G-1 All Habitats'!$B$3:$B$129,MATCH(F228,'G-1 All Habitats'!$A$3:$A$129,0)),"")</f>
        <v/>
      </c>
      <c r="H228" s="70"/>
      <c r="I228" s="498" t="str">
        <f>IF(G228="","",VLOOKUP(G228,'G-1 All Habitats'!$B$2:$M$129,10,FALSE))</f>
        <v/>
      </c>
      <c r="J228" s="499" t="str">
        <f>IFERROR(VLOOKUP(I228,'G-1 All Habitats'!$V$3:$W$7,2,FALSE),"")</f>
        <v/>
      </c>
      <c r="K228" s="71"/>
      <c r="L228" s="499" t="str">
        <f>IFERROR(INDEX('G-8 Condition Look up'!$A$3:$H$130,MATCH(G228,'G-8 Condition Look up'!$A$3:$A$130,0),MATCH(K228,'G-8 Condition Look up'!$A$3:$H$3,0)),"")</f>
        <v/>
      </c>
      <c r="M228" s="71"/>
      <c r="N228" s="520" t="str">
        <f>IF(M228="","",IF(VLOOKUP(M228,'G-3 Multipliers'!$L$3:$N$6,2,FALSE)=0,"Spatial Data Missing",VLOOKUP(M228,'G-3 Multipliers'!$L$3:$N$6,2,FALSE)))</f>
        <v/>
      </c>
      <c r="O228" s="505" t="str">
        <f>IF(M228="","",IF(VLOOKUP(M228,'G-3 Multipliers'!$L$3:$N$6,3,FALSE)=0,"Spatial Data Missing",VLOOKUP(M228,'G-3 Multipliers'!$L$3:$N$6,3,FALSE)))</f>
        <v/>
      </c>
      <c r="P228" s="506" t="str">
        <f>IFERROR(VLOOKUP(G228,'G-1 All Habitats'!$B$2:$M$129,12,FALSE),"")</f>
        <v/>
      </c>
      <c r="Q228" s="513" t="str">
        <f>IFERROR(IF(P228="","",IF(AND(P228='G-1 All Habitats'!$X$3,T228&gt;0),U228+V228,IF(AND(P228='G-1 All Habitats'!$X$3,S228&gt;0),U228+V228,IF(AND(P228='G-1 All Habitats'!$X$3,AC228&gt;0),"Any Loss Unacceptable ▲",IF(AND(P228='G-1 All Habitats'!$X$3,W228&gt;0),"Any Loss Unacceptable ▲",H228*J228*L228*O228))))),"Check Data ▲")</f>
        <v/>
      </c>
      <c r="R228" s="50"/>
      <c r="S228" s="71"/>
      <c r="T228" s="72"/>
      <c r="U228" s="511" t="str">
        <f t="shared" si="18"/>
        <v/>
      </c>
      <c r="V228" s="511" t="str">
        <f t="shared" si="19"/>
        <v/>
      </c>
      <c r="W228" s="511" t="str">
        <f>IF(E228="","",IF(H228&lt;S228+T228,"Error in Areas ▲",IF(P228&lt;&gt;'G-1 All Habitats'!$X$3,H228-S228-T228,IF(AND(P228='G-1 All Habitats'!$X$3,Y228="Yes"),"Unacceptable Loss",IF(AND(P228='G-1 All Habitats'!$X$3,Y228="No"),AC228,IF(AND(P228='G-1 All Habitats'!$X$3,Y228=""),AC228,IF(AND(P228='G-1 All Habitats'!$X$3,AC228="None",AC228),IF(AND(P228='G-1 All Habitats'!$X$3,AC228&gt;0),H228-S228-T228))))))))</f>
        <v/>
      </c>
      <c r="X228" s="515" t="str">
        <f>IFERROR(IF(H228="","",IF(H228-S228-T228=0&lt;0,"Error in Areas ▲",IF(S228+T228&gt;H228,"Error in Areas ▲",IF(AND(P228='G-1 All Habitats'!$X$3,Y228="Yes"),"Alternative Compensation ✓",IF(W228=0,0,IF(P228='G-1 All Habitats'!$X$3,"Unacceptable Loss ▲",Q228-U228-V228)))))),"Check Data ▲")</f>
        <v/>
      </c>
      <c r="Y228" s="72"/>
      <c r="Z228" s="80"/>
      <c r="AA228" s="81"/>
      <c r="AC228" s="75" t="str">
        <f>IF(P228="","",IF(P228='G-1 All Habitats'!$X$3,H228-S228-T228,"None"))</f>
        <v/>
      </c>
      <c r="AD228" s="76" t="str">
        <f>IFERROR(AC228*J228*L228*#REF!*O228,IF(P228="","","None"))</f>
        <v/>
      </c>
      <c r="AF228" s="54" t="str">
        <f t="shared" si="15"/>
        <v/>
      </c>
      <c r="AG228" s="54" t="str">
        <f t="shared" si="16"/>
        <v/>
      </c>
      <c r="AH228" s="54" t="str">
        <f>IF(I228="","",IF(#REF!&gt;0,TRUE,FALSE))</f>
        <v/>
      </c>
      <c r="AI228" s="54">
        <v>218</v>
      </c>
      <c r="AJ228" s="54"/>
      <c r="AK228" s="54" t="str">
        <f t="array" ref="AK228">IFERROR(INDEX($AI$11:$AI$259, MATCH(0, IF(TRUE=$AF$11:$AF$259, COUNTIF($AK$10:$AK227, $AI$11:$AI$259), ""), 0)),"")</f>
        <v/>
      </c>
      <c r="AL228" s="54" t="str">
        <f t="array" ref="AL228">IFERROR(INDEX($AI$11:$AI$259, MATCH(0, IF(TRUE=$AG$11:$AG$259, COUNTIF($AL$10:$AL227, $AI$11:$AI$259), ""), 0)),"")</f>
        <v/>
      </c>
      <c r="AM228" s="54" t="str">
        <f t="array" ref="AM228">IFERROR(INDEX($AI$11:$AI$259, MATCH(0, IF(TRUE=$AH$11:$AH$259, COUNTIF($AM$10:$AM227, $AI$11:$AI$259), ""), 0)),"")</f>
        <v/>
      </c>
      <c r="AN228" s="54"/>
      <c r="AQ228" s="47">
        <f t="shared" si="17"/>
        <v>0</v>
      </c>
    </row>
    <row r="229" spans="1:43" x14ac:dyDescent="0.25">
      <c r="A229" s="47" t="str">
        <f>IFERROR(INDEX('G-1 All Habitats'!$AG$3:$AG$15,MATCH(E229,'G-1 All Habitats'!$AF$3:$AF$15,0)),"")</f>
        <v/>
      </c>
      <c r="B229" s="47" t="str">
        <f>IFERROR(INDEX('G-8 Condition Look up'!$I$4:$I$130,MATCH(G229,'G-8 Condition Look up'!$A$4:$A$130,0)),"")</f>
        <v/>
      </c>
      <c r="D229" s="77">
        <v>219</v>
      </c>
      <c r="E229" s="78"/>
      <c r="F229" s="79"/>
      <c r="G229" s="69" t="str">
        <f>IFERROR(INDEX('G-1 All Habitats'!$B$3:$B$129,MATCH(F229,'G-1 All Habitats'!$A$3:$A$129,0)),"")</f>
        <v/>
      </c>
      <c r="H229" s="70"/>
      <c r="I229" s="498" t="str">
        <f>IF(G229="","",VLOOKUP(G229,'G-1 All Habitats'!$B$2:$M$129,10,FALSE))</f>
        <v/>
      </c>
      <c r="J229" s="499" t="str">
        <f>IFERROR(VLOOKUP(I229,'G-1 All Habitats'!$V$3:$W$7,2,FALSE),"")</f>
        <v/>
      </c>
      <c r="K229" s="71"/>
      <c r="L229" s="499" t="str">
        <f>IFERROR(INDEX('G-8 Condition Look up'!$A$3:$H$130,MATCH(G229,'G-8 Condition Look up'!$A$3:$A$130,0),MATCH(K229,'G-8 Condition Look up'!$A$3:$H$3,0)),"")</f>
        <v/>
      </c>
      <c r="M229" s="71"/>
      <c r="N229" s="520" t="str">
        <f>IF(M229="","",IF(VLOOKUP(M229,'G-3 Multipliers'!$L$3:$N$6,2,FALSE)=0,"Spatial Data Missing",VLOOKUP(M229,'G-3 Multipliers'!$L$3:$N$6,2,FALSE)))</f>
        <v/>
      </c>
      <c r="O229" s="505" t="str">
        <f>IF(M229="","",IF(VLOOKUP(M229,'G-3 Multipliers'!$L$3:$N$6,3,FALSE)=0,"Spatial Data Missing",VLOOKUP(M229,'G-3 Multipliers'!$L$3:$N$6,3,FALSE)))</f>
        <v/>
      </c>
      <c r="P229" s="506" t="str">
        <f>IFERROR(VLOOKUP(G229,'G-1 All Habitats'!$B$2:$M$129,12,FALSE),"")</f>
        <v/>
      </c>
      <c r="Q229" s="513" t="str">
        <f>IFERROR(IF(P229="","",IF(AND(P229='G-1 All Habitats'!$X$3,T229&gt;0),U229+V229,IF(AND(P229='G-1 All Habitats'!$X$3,S229&gt;0),U229+V229,IF(AND(P229='G-1 All Habitats'!$X$3,AC229&gt;0),"Any Loss Unacceptable ▲",IF(AND(P229='G-1 All Habitats'!$X$3,W229&gt;0),"Any Loss Unacceptable ▲",H229*J229*L229*O229))))),"Check Data ▲")</f>
        <v/>
      </c>
      <c r="R229" s="50"/>
      <c r="S229" s="71"/>
      <c r="T229" s="72"/>
      <c r="U229" s="511" t="str">
        <f t="shared" si="18"/>
        <v/>
      </c>
      <c r="V229" s="511" t="str">
        <f t="shared" si="19"/>
        <v/>
      </c>
      <c r="W229" s="511" t="str">
        <f>IF(E229="","",IF(H229&lt;S229+T229,"Error in Areas ▲",IF(P229&lt;&gt;'G-1 All Habitats'!$X$3,H229-S229-T229,IF(AND(P229='G-1 All Habitats'!$X$3,Y229="Yes"),"Unacceptable Loss",IF(AND(P229='G-1 All Habitats'!$X$3,Y229="No"),AC229,IF(AND(P229='G-1 All Habitats'!$X$3,Y229=""),AC229,IF(AND(P229='G-1 All Habitats'!$X$3,AC229="None",AC229),IF(AND(P229='G-1 All Habitats'!$X$3,AC229&gt;0),H229-S229-T229))))))))</f>
        <v/>
      </c>
      <c r="X229" s="515" t="str">
        <f>IFERROR(IF(H229="","",IF(H229-S229-T229=0&lt;0,"Error in Areas ▲",IF(S229+T229&gt;H229,"Error in Areas ▲",IF(AND(P229='G-1 All Habitats'!$X$3,Y229="Yes"),"Alternative Compensation ✓",IF(W229=0,0,IF(P229='G-1 All Habitats'!$X$3,"Unacceptable Loss ▲",Q229-U229-V229)))))),"Check Data ▲")</f>
        <v/>
      </c>
      <c r="Y229" s="72"/>
      <c r="Z229" s="80"/>
      <c r="AA229" s="81"/>
      <c r="AC229" s="75" t="str">
        <f>IF(P229="","",IF(P229='G-1 All Habitats'!$X$3,H229-S229-T229,"None"))</f>
        <v/>
      </c>
      <c r="AD229" s="76" t="str">
        <f>IFERROR(AC229*J229*L229*#REF!*O229,IF(P229="","","None"))</f>
        <v/>
      </c>
      <c r="AF229" s="54" t="str">
        <f t="shared" si="15"/>
        <v/>
      </c>
      <c r="AG229" s="54" t="str">
        <f t="shared" si="16"/>
        <v/>
      </c>
      <c r="AH229" s="54" t="str">
        <f>IF(I229="","",IF(#REF!&gt;0,TRUE,FALSE))</f>
        <v/>
      </c>
      <c r="AI229" s="54">
        <v>219</v>
      </c>
      <c r="AJ229" s="54"/>
      <c r="AK229" s="54" t="str">
        <f t="array" ref="AK229">IFERROR(INDEX($AI$11:$AI$259, MATCH(0, IF(TRUE=$AF$11:$AF$259, COUNTIF($AK$10:$AK228, $AI$11:$AI$259), ""), 0)),"")</f>
        <v/>
      </c>
      <c r="AL229" s="54" t="str">
        <f t="array" ref="AL229">IFERROR(INDEX($AI$11:$AI$259, MATCH(0, IF(TRUE=$AG$11:$AG$259, COUNTIF($AL$10:$AL228, $AI$11:$AI$259), ""), 0)),"")</f>
        <v/>
      </c>
      <c r="AM229" s="54" t="str">
        <f t="array" ref="AM229">IFERROR(INDEX($AI$11:$AI$259, MATCH(0, IF(TRUE=$AH$11:$AH$259, COUNTIF($AM$10:$AM228, $AI$11:$AI$259), ""), 0)),"")</f>
        <v/>
      </c>
      <c r="AN229" s="54"/>
      <c r="AQ229" s="47">
        <f t="shared" si="17"/>
        <v>0</v>
      </c>
    </row>
    <row r="230" spans="1:43" x14ac:dyDescent="0.25">
      <c r="A230" s="47" t="str">
        <f>IFERROR(INDEX('G-1 All Habitats'!$AG$3:$AG$15,MATCH(E230,'G-1 All Habitats'!$AF$3:$AF$15,0)),"")</f>
        <v/>
      </c>
      <c r="B230" s="47" t="str">
        <f>IFERROR(INDEX('G-8 Condition Look up'!$I$4:$I$130,MATCH(G230,'G-8 Condition Look up'!$A$4:$A$130,0)),"")</f>
        <v/>
      </c>
      <c r="D230" s="77">
        <v>220</v>
      </c>
      <c r="E230" s="78"/>
      <c r="F230" s="79"/>
      <c r="G230" s="69" t="str">
        <f>IFERROR(INDEX('G-1 All Habitats'!$B$3:$B$129,MATCH(F230,'G-1 All Habitats'!$A$3:$A$129,0)),"")</f>
        <v/>
      </c>
      <c r="H230" s="70"/>
      <c r="I230" s="498" t="str">
        <f>IF(G230="","",VLOOKUP(G230,'G-1 All Habitats'!$B$2:$M$129,10,FALSE))</f>
        <v/>
      </c>
      <c r="J230" s="499" t="str">
        <f>IFERROR(VLOOKUP(I230,'G-1 All Habitats'!$V$3:$W$7,2,FALSE),"")</f>
        <v/>
      </c>
      <c r="K230" s="71"/>
      <c r="L230" s="499" t="str">
        <f>IFERROR(INDEX('G-8 Condition Look up'!$A$3:$H$130,MATCH(G230,'G-8 Condition Look up'!$A$3:$A$130,0),MATCH(K230,'G-8 Condition Look up'!$A$3:$H$3,0)),"")</f>
        <v/>
      </c>
      <c r="M230" s="71"/>
      <c r="N230" s="520" t="str">
        <f>IF(M230="","",IF(VLOOKUP(M230,'G-3 Multipliers'!$L$3:$N$6,2,FALSE)=0,"Spatial Data Missing",VLOOKUP(M230,'G-3 Multipliers'!$L$3:$N$6,2,FALSE)))</f>
        <v/>
      </c>
      <c r="O230" s="505" t="str">
        <f>IF(M230="","",IF(VLOOKUP(M230,'G-3 Multipliers'!$L$3:$N$6,3,FALSE)=0,"Spatial Data Missing",VLOOKUP(M230,'G-3 Multipliers'!$L$3:$N$6,3,FALSE)))</f>
        <v/>
      </c>
      <c r="P230" s="506" t="str">
        <f>IFERROR(VLOOKUP(G230,'G-1 All Habitats'!$B$2:$M$129,12,FALSE),"")</f>
        <v/>
      </c>
      <c r="Q230" s="513" t="str">
        <f>IFERROR(IF(P230="","",IF(AND(P230='G-1 All Habitats'!$X$3,T230&gt;0),U230+V230,IF(AND(P230='G-1 All Habitats'!$X$3,S230&gt;0),U230+V230,IF(AND(P230='G-1 All Habitats'!$X$3,AC230&gt;0),"Any Loss Unacceptable ▲",IF(AND(P230='G-1 All Habitats'!$X$3,W230&gt;0),"Any Loss Unacceptable ▲",H230*J230*L230*O230))))),"Check Data ▲")</f>
        <v/>
      </c>
      <c r="R230" s="50"/>
      <c r="S230" s="71"/>
      <c r="T230" s="72"/>
      <c r="U230" s="511" t="str">
        <f t="shared" si="18"/>
        <v/>
      </c>
      <c r="V230" s="511" t="str">
        <f t="shared" si="19"/>
        <v/>
      </c>
      <c r="W230" s="511" t="str">
        <f>IF(E230="","",IF(H230&lt;S230+T230,"Error in Areas ▲",IF(P230&lt;&gt;'G-1 All Habitats'!$X$3,H230-S230-T230,IF(AND(P230='G-1 All Habitats'!$X$3,Y230="Yes"),"Unacceptable Loss",IF(AND(P230='G-1 All Habitats'!$X$3,Y230="No"),AC230,IF(AND(P230='G-1 All Habitats'!$X$3,Y230=""),AC230,IF(AND(P230='G-1 All Habitats'!$X$3,AC230="None",AC230),IF(AND(P230='G-1 All Habitats'!$X$3,AC230&gt;0),H230-S230-T230))))))))</f>
        <v/>
      </c>
      <c r="X230" s="515" t="str">
        <f>IFERROR(IF(H230="","",IF(H230-S230-T230=0&lt;0,"Error in Areas ▲",IF(S230+T230&gt;H230,"Error in Areas ▲",IF(AND(P230='G-1 All Habitats'!$X$3,Y230="Yes"),"Alternative Compensation ✓",IF(W230=0,0,IF(P230='G-1 All Habitats'!$X$3,"Unacceptable Loss ▲",Q230-U230-V230)))))),"Check Data ▲")</f>
        <v/>
      </c>
      <c r="Y230" s="72"/>
      <c r="Z230" s="80"/>
      <c r="AA230" s="81"/>
      <c r="AC230" s="75" t="str">
        <f>IF(P230="","",IF(P230='G-1 All Habitats'!$X$3,H230-S230-T230,"None"))</f>
        <v/>
      </c>
      <c r="AD230" s="76" t="str">
        <f>IFERROR(AC230*J230*L230*#REF!*O230,IF(P230="","","None"))</f>
        <v/>
      </c>
      <c r="AF230" s="54" t="str">
        <f t="shared" si="15"/>
        <v/>
      </c>
      <c r="AG230" s="54" t="str">
        <f t="shared" si="16"/>
        <v/>
      </c>
      <c r="AH230" s="54" t="str">
        <f>IF(I230="","",IF(#REF!&gt;0,TRUE,FALSE))</f>
        <v/>
      </c>
      <c r="AI230" s="54">
        <v>220</v>
      </c>
      <c r="AJ230" s="54"/>
      <c r="AK230" s="54" t="str">
        <f t="array" ref="AK230">IFERROR(INDEX($AI$11:$AI$259, MATCH(0, IF(TRUE=$AF$11:$AF$259, COUNTIF($AK$10:$AK229, $AI$11:$AI$259), ""), 0)),"")</f>
        <v/>
      </c>
      <c r="AL230" s="54" t="str">
        <f t="array" ref="AL230">IFERROR(INDEX($AI$11:$AI$259, MATCH(0, IF(TRUE=$AG$11:$AG$259, COUNTIF($AL$10:$AL229, $AI$11:$AI$259), ""), 0)),"")</f>
        <v/>
      </c>
      <c r="AM230" s="54" t="str">
        <f t="array" ref="AM230">IFERROR(INDEX($AI$11:$AI$259, MATCH(0, IF(TRUE=$AH$11:$AH$259, COUNTIF($AM$10:$AM229, $AI$11:$AI$259), ""), 0)),"")</f>
        <v/>
      </c>
      <c r="AN230" s="54"/>
      <c r="AQ230" s="47">
        <f t="shared" si="17"/>
        <v>0</v>
      </c>
    </row>
    <row r="231" spans="1:43" x14ac:dyDescent="0.25">
      <c r="A231" s="47" t="str">
        <f>IFERROR(INDEX('G-1 All Habitats'!$AG$3:$AG$15,MATCH(E231,'G-1 All Habitats'!$AF$3:$AF$15,0)),"")</f>
        <v/>
      </c>
      <c r="B231" s="47" t="str">
        <f>IFERROR(INDEX('G-8 Condition Look up'!$I$4:$I$130,MATCH(G231,'G-8 Condition Look up'!$A$4:$A$130,0)),"")</f>
        <v/>
      </c>
      <c r="D231" s="77">
        <v>221</v>
      </c>
      <c r="E231" s="78"/>
      <c r="F231" s="79"/>
      <c r="G231" s="69" t="str">
        <f>IFERROR(INDEX('G-1 All Habitats'!$B$3:$B$129,MATCH(F231,'G-1 All Habitats'!$A$3:$A$129,0)),"")</f>
        <v/>
      </c>
      <c r="H231" s="70"/>
      <c r="I231" s="498" t="str">
        <f>IF(G231="","",VLOOKUP(G231,'G-1 All Habitats'!$B$2:$M$129,10,FALSE))</f>
        <v/>
      </c>
      <c r="J231" s="499" t="str">
        <f>IFERROR(VLOOKUP(I231,'G-1 All Habitats'!$V$3:$W$7,2,FALSE),"")</f>
        <v/>
      </c>
      <c r="K231" s="71"/>
      <c r="L231" s="499" t="str">
        <f>IFERROR(INDEX('G-8 Condition Look up'!$A$3:$H$130,MATCH(G231,'G-8 Condition Look up'!$A$3:$A$130,0),MATCH(K231,'G-8 Condition Look up'!$A$3:$H$3,0)),"")</f>
        <v/>
      </c>
      <c r="M231" s="71"/>
      <c r="N231" s="520" t="str">
        <f>IF(M231="","",IF(VLOOKUP(M231,'G-3 Multipliers'!$L$3:$N$6,2,FALSE)=0,"Spatial Data Missing",VLOOKUP(M231,'G-3 Multipliers'!$L$3:$N$6,2,FALSE)))</f>
        <v/>
      </c>
      <c r="O231" s="505" t="str">
        <f>IF(M231="","",IF(VLOOKUP(M231,'G-3 Multipliers'!$L$3:$N$6,3,FALSE)=0,"Spatial Data Missing",VLOOKUP(M231,'G-3 Multipliers'!$L$3:$N$6,3,FALSE)))</f>
        <v/>
      </c>
      <c r="P231" s="506" t="str">
        <f>IFERROR(VLOOKUP(G231,'G-1 All Habitats'!$B$2:$M$129,12,FALSE),"")</f>
        <v/>
      </c>
      <c r="Q231" s="513" t="str">
        <f>IFERROR(IF(P231="","",IF(AND(P231='G-1 All Habitats'!$X$3,T231&gt;0),U231+V231,IF(AND(P231='G-1 All Habitats'!$X$3,S231&gt;0),U231+V231,IF(AND(P231='G-1 All Habitats'!$X$3,AC231&gt;0),"Any Loss Unacceptable ▲",IF(AND(P231='G-1 All Habitats'!$X$3,W231&gt;0),"Any Loss Unacceptable ▲",H231*J231*L231*O231))))),"Check Data ▲")</f>
        <v/>
      </c>
      <c r="R231" s="50"/>
      <c r="S231" s="71"/>
      <c r="T231" s="72"/>
      <c r="U231" s="511" t="str">
        <f t="shared" si="18"/>
        <v/>
      </c>
      <c r="V231" s="511" t="str">
        <f t="shared" si="19"/>
        <v/>
      </c>
      <c r="W231" s="511" t="str">
        <f>IF(E231="","",IF(H231&lt;S231+T231,"Error in Areas ▲",IF(P231&lt;&gt;'G-1 All Habitats'!$X$3,H231-S231-T231,IF(AND(P231='G-1 All Habitats'!$X$3,Y231="Yes"),"Unacceptable Loss",IF(AND(P231='G-1 All Habitats'!$X$3,Y231="No"),AC231,IF(AND(P231='G-1 All Habitats'!$X$3,Y231=""),AC231,IF(AND(P231='G-1 All Habitats'!$X$3,AC231="None",AC231),IF(AND(P231='G-1 All Habitats'!$X$3,AC231&gt;0),H231-S231-T231))))))))</f>
        <v/>
      </c>
      <c r="X231" s="515" t="str">
        <f>IFERROR(IF(H231="","",IF(H231-S231-T231=0&lt;0,"Error in Areas ▲",IF(S231+T231&gt;H231,"Error in Areas ▲",IF(AND(P231='G-1 All Habitats'!$X$3,Y231="Yes"),"Alternative Compensation ✓",IF(W231=0,0,IF(P231='G-1 All Habitats'!$X$3,"Unacceptable Loss ▲",Q231-U231-V231)))))),"Check Data ▲")</f>
        <v/>
      </c>
      <c r="Y231" s="72"/>
      <c r="Z231" s="80"/>
      <c r="AA231" s="81"/>
      <c r="AC231" s="75" t="str">
        <f>IF(P231="","",IF(P231='G-1 All Habitats'!$X$3,H231-S231-T231,"None"))</f>
        <v/>
      </c>
      <c r="AD231" s="76" t="str">
        <f>IFERROR(AC231*J231*L231*#REF!*O231,IF(P231="","","None"))</f>
        <v/>
      </c>
      <c r="AF231" s="54" t="str">
        <f t="shared" si="15"/>
        <v/>
      </c>
      <c r="AG231" s="54" t="str">
        <f t="shared" si="16"/>
        <v/>
      </c>
      <c r="AH231" s="54" t="str">
        <f>IF(I231="","",IF(#REF!&gt;0,TRUE,FALSE))</f>
        <v/>
      </c>
      <c r="AI231" s="54">
        <v>221</v>
      </c>
      <c r="AJ231" s="54"/>
      <c r="AK231" s="54" t="str">
        <f t="array" ref="AK231">IFERROR(INDEX($AI$11:$AI$259, MATCH(0, IF(TRUE=$AF$11:$AF$259, COUNTIF($AK$10:$AK230, $AI$11:$AI$259), ""), 0)),"")</f>
        <v/>
      </c>
      <c r="AL231" s="54" t="str">
        <f t="array" ref="AL231">IFERROR(INDEX($AI$11:$AI$259, MATCH(0, IF(TRUE=$AG$11:$AG$259, COUNTIF($AL$10:$AL230, $AI$11:$AI$259), ""), 0)),"")</f>
        <v/>
      </c>
      <c r="AM231" s="54" t="str">
        <f t="array" ref="AM231">IFERROR(INDEX($AI$11:$AI$259, MATCH(0, IF(TRUE=$AH$11:$AH$259, COUNTIF($AM$10:$AM230, $AI$11:$AI$259), ""), 0)),"")</f>
        <v/>
      </c>
      <c r="AN231" s="54"/>
      <c r="AQ231" s="47">
        <f t="shared" si="17"/>
        <v>0</v>
      </c>
    </row>
    <row r="232" spans="1:43" x14ac:dyDescent="0.25">
      <c r="A232" s="47" t="str">
        <f>IFERROR(INDEX('G-1 All Habitats'!$AG$3:$AG$15,MATCH(E232,'G-1 All Habitats'!$AF$3:$AF$15,0)),"")</f>
        <v/>
      </c>
      <c r="B232" s="47" t="str">
        <f>IFERROR(INDEX('G-8 Condition Look up'!$I$4:$I$130,MATCH(G232,'G-8 Condition Look up'!$A$4:$A$130,0)),"")</f>
        <v/>
      </c>
      <c r="D232" s="77">
        <v>222</v>
      </c>
      <c r="E232" s="78"/>
      <c r="F232" s="79"/>
      <c r="G232" s="69" t="str">
        <f>IFERROR(INDEX('G-1 All Habitats'!$B$3:$B$129,MATCH(F232,'G-1 All Habitats'!$A$3:$A$129,0)),"")</f>
        <v/>
      </c>
      <c r="H232" s="70"/>
      <c r="I232" s="498" t="str">
        <f>IF(G232="","",VLOOKUP(G232,'G-1 All Habitats'!$B$2:$M$129,10,FALSE))</f>
        <v/>
      </c>
      <c r="J232" s="499" t="str">
        <f>IFERROR(VLOOKUP(I232,'G-1 All Habitats'!$V$3:$W$7,2,FALSE),"")</f>
        <v/>
      </c>
      <c r="K232" s="71"/>
      <c r="L232" s="499" t="str">
        <f>IFERROR(INDEX('G-8 Condition Look up'!$A$3:$H$130,MATCH(G232,'G-8 Condition Look up'!$A$3:$A$130,0),MATCH(K232,'G-8 Condition Look up'!$A$3:$H$3,0)),"")</f>
        <v/>
      </c>
      <c r="M232" s="71"/>
      <c r="N232" s="520" t="str">
        <f>IF(M232="","",IF(VLOOKUP(M232,'G-3 Multipliers'!$L$3:$N$6,2,FALSE)=0,"Spatial Data Missing",VLOOKUP(M232,'G-3 Multipliers'!$L$3:$N$6,2,FALSE)))</f>
        <v/>
      </c>
      <c r="O232" s="505" t="str">
        <f>IF(M232="","",IF(VLOOKUP(M232,'G-3 Multipliers'!$L$3:$N$6,3,FALSE)=0,"Spatial Data Missing",VLOOKUP(M232,'G-3 Multipliers'!$L$3:$N$6,3,FALSE)))</f>
        <v/>
      </c>
      <c r="P232" s="506" t="str">
        <f>IFERROR(VLOOKUP(G232,'G-1 All Habitats'!$B$2:$M$129,12,FALSE),"")</f>
        <v/>
      </c>
      <c r="Q232" s="513" t="str">
        <f>IFERROR(IF(P232="","",IF(AND(P232='G-1 All Habitats'!$X$3,T232&gt;0),U232+V232,IF(AND(P232='G-1 All Habitats'!$X$3,S232&gt;0),U232+V232,IF(AND(P232='G-1 All Habitats'!$X$3,AC232&gt;0),"Any Loss Unacceptable ▲",IF(AND(P232='G-1 All Habitats'!$X$3,W232&gt;0),"Any Loss Unacceptable ▲",H232*J232*L232*O232))))),"Check Data ▲")</f>
        <v/>
      </c>
      <c r="R232" s="50"/>
      <c r="S232" s="71"/>
      <c r="T232" s="72"/>
      <c r="U232" s="511" t="str">
        <f t="shared" si="18"/>
        <v/>
      </c>
      <c r="V232" s="511" t="str">
        <f t="shared" si="19"/>
        <v/>
      </c>
      <c r="W232" s="511" t="str">
        <f>IF(E232="","",IF(H232&lt;S232+T232,"Error in Areas ▲",IF(P232&lt;&gt;'G-1 All Habitats'!$X$3,H232-S232-T232,IF(AND(P232='G-1 All Habitats'!$X$3,Y232="Yes"),"Unacceptable Loss",IF(AND(P232='G-1 All Habitats'!$X$3,Y232="No"),AC232,IF(AND(P232='G-1 All Habitats'!$X$3,Y232=""),AC232,IF(AND(P232='G-1 All Habitats'!$X$3,AC232="None",AC232),IF(AND(P232='G-1 All Habitats'!$X$3,AC232&gt;0),H232-S232-T232))))))))</f>
        <v/>
      </c>
      <c r="X232" s="515" t="str">
        <f>IFERROR(IF(H232="","",IF(H232-S232-T232=0&lt;0,"Error in Areas ▲",IF(S232+T232&gt;H232,"Error in Areas ▲",IF(AND(P232='G-1 All Habitats'!$X$3,Y232="Yes"),"Alternative Compensation ✓",IF(W232=0,0,IF(P232='G-1 All Habitats'!$X$3,"Unacceptable Loss ▲",Q232-U232-V232)))))),"Check Data ▲")</f>
        <v/>
      </c>
      <c r="Y232" s="72"/>
      <c r="Z232" s="80"/>
      <c r="AA232" s="81"/>
      <c r="AC232" s="75" t="str">
        <f>IF(P232="","",IF(P232='G-1 All Habitats'!$X$3,H232-S232-T232,"None"))</f>
        <v/>
      </c>
      <c r="AD232" s="76" t="str">
        <f>IFERROR(AC232*J232*L232*#REF!*O232,IF(P232="","","None"))</f>
        <v/>
      </c>
      <c r="AF232" s="54" t="str">
        <f t="shared" si="15"/>
        <v/>
      </c>
      <c r="AG232" s="54" t="str">
        <f t="shared" si="16"/>
        <v/>
      </c>
      <c r="AH232" s="54" t="str">
        <f>IF(I232="","",IF(#REF!&gt;0,TRUE,FALSE))</f>
        <v/>
      </c>
      <c r="AI232" s="54">
        <v>222</v>
      </c>
      <c r="AJ232" s="54"/>
      <c r="AK232" s="54" t="str">
        <f t="array" ref="AK232">IFERROR(INDEX($AI$11:$AI$259, MATCH(0, IF(TRUE=$AF$11:$AF$259, COUNTIF($AK$10:$AK231, $AI$11:$AI$259), ""), 0)),"")</f>
        <v/>
      </c>
      <c r="AL232" s="54" t="str">
        <f t="array" ref="AL232">IFERROR(INDEX($AI$11:$AI$259, MATCH(0, IF(TRUE=$AG$11:$AG$259, COUNTIF($AL$10:$AL231, $AI$11:$AI$259), ""), 0)),"")</f>
        <v/>
      </c>
      <c r="AM232" s="54" t="str">
        <f t="array" ref="AM232">IFERROR(INDEX($AI$11:$AI$259, MATCH(0, IF(TRUE=$AH$11:$AH$259, COUNTIF($AM$10:$AM231, $AI$11:$AI$259), ""), 0)),"")</f>
        <v/>
      </c>
      <c r="AN232" s="54"/>
      <c r="AQ232" s="47">
        <f t="shared" si="17"/>
        <v>0</v>
      </c>
    </row>
    <row r="233" spans="1:43" x14ac:dyDescent="0.25">
      <c r="A233" s="47" t="str">
        <f>IFERROR(INDEX('G-1 All Habitats'!$AG$3:$AG$15,MATCH(E233,'G-1 All Habitats'!$AF$3:$AF$15,0)),"")</f>
        <v/>
      </c>
      <c r="B233" s="47" t="str">
        <f>IFERROR(INDEX('G-8 Condition Look up'!$I$4:$I$130,MATCH(G233,'G-8 Condition Look up'!$A$4:$A$130,0)),"")</f>
        <v/>
      </c>
      <c r="D233" s="77">
        <v>223</v>
      </c>
      <c r="E233" s="78"/>
      <c r="F233" s="79"/>
      <c r="G233" s="69" t="str">
        <f>IFERROR(INDEX('G-1 All Habitats'!$B$3:$B$129,MATCH(F233,'G-1 All Habitats'!$A$3:$A$129,0)),"")</f>
        <v/>
      </c>
      <c r="H233" s="70"/>
      <c r="I233" s="498" t="str">
        <f>IF(G233="","",VLOOKUP(G233,'G-1 All Habitats'!$B$2:$M$129,10,FALSE))</f>
        <v/>
      </c>
      <c r="J233" s="499" t="str">
        <f>IFERROR(VLOOKUP(I233,'G-1 All Habitats'!$V$3:$W$7,2,FALSE),"")</f>
        <v/>
      </c>
      <c r="K233" s="71"/>
      <c r="L233" s="499" t="str">
        <f>IFERROR(INDEX('G-8 Condition Look up'!$A$3:$H$130,MATCH(G233,'G-8 Condition Look up'!$A$3:$A$130,0),MATCH(K233,'G-8 Condition Look up'!$A$3:$H$3,0)),"")</f>
        <v/>
      </c>
      <c r="M233" s="71"/>
      <c r="N233" s="520" t="str">
        <f>IF(M233="","",IF(VLOOKUP(M233,'G-3 Multipliers'!$L$3:$N$6,2,FALSE)=0,"Spatial Data Missing",VLOOKUP(M233,'G-3 Multipliers'!$L$3:$N$6,2,FALSE)))</f>
        <v/>
      </c>
      <c r="O233" s="505" t="str">
        <f>IF(M233="","",IF(VLOOKUP(M233,'G-3 Multipliers'!$L$3:$N$6,3,FALSE)=0,"Spatial Data Missing",VLOOKUP(M233,'G-3 Multipliers'!$L$3:$N$6,3,FALSE)))</f>
        <v/>
      </c>
      <c r="P233" s="506" t="str">
        <f>IFERROR(VLOOKUP(G233,'G-1 All Habitats'!$B$2:$M$129,12,FALSE),"")</f>
        <v/>
      </c>
      <c r="Q233" s="513" t="str">
        <f>IFERROR(IF(P233="","",IF(AND(P233='G-1 All Habitats'!$X$3,T233&gt;0),U233+V233,IF(AND(P233='G-1 All Habitats'!$X$3,S233&gt;0),U233+V233,IF(AND(P233='G-1 All Habitats'!$X$3,AC233&gt;0),"Any Loss Unacceptable ▲",IF(AND(P233='G-1 All Habitats'!$X$3,W233&gt;0),"Any Loss Unacceptable ▲",H233*J233*L233*O233))))),"Check Data ▲")</f>
        <v/>
      </c>
      <c r="R233" s="50"/>
      <c r="S233" s="71"/>
      <c r="T233" s="72"/>
      <c r="U233" s="511" t="str">
        <f t="shared" si="18"/>
        <v/>
      </c>
      <c r="V233" s="511" t="str">
        <f t="shared" si="19"/>
        <v/>
      </c>
      <c r="W233" s="511" t="str">
        <f>IF(E233="","",IF(H233&lt;S233+T233,"Error in Areas ▲",IF(P233&lt;&gt;'G-1 All Habitats'!$X$3,H233-S233-T233,IF(AND(P233='G-1 All Habitats'!$X$3,Y233="Yes"),"Unacceptable Loss",IF(AND(P233='G-1 All Habitats'!$X$3,Y233="No"),AC233,IF(AND(P233='G-1 All Habitats'!$X$3,Y233=""),AC233,IF(AND(P233='G-1 All Habitats'!$X$3,AC233="None",AC233),IF(AND(P233='G-1 All Habitats'!$X$3,AC233&gt;0),H233-S233-T233))))))))</f>
        <v/>
      </c>
      <c r="X233" s="515" t="str">
        <f>IFERROR(IF(H233="","",IF(H233-S233-T233=0&lt;0,"Error in Areas ▲",IF(S233+T233&gt;H233,"Error in Areas ▲",IF(AND(P233='G-1 All Habitats'!$X$3,Y233="Yes"),"Alternative Compensation ✓",IF(W233=0,0,IF(P233='G-1 All Habitats'!$X$3,"Unacceptable Loss ▲",Q233-U233-V233)))))),"Check Data ▲")</f>
        <v/>
      </c>
      <c r="Y233" s="72"/>
      <c r="Z233" s="80"/>
      <c r="AA233" s="81"/>
      <c r="AC233" s="75" t="str">
        <f>IF(P233="","",IF(P233='G-1 All Habitats'!$X$3,H233-S233-T233,"None"))</f>
        <v/>
      </c>
      <c r="AD233" s="76" t="str">
        <f>IFERROR(AC233*J233*L233*#REF!*O233,IF(P233="","","None"))</f>
        <v/>
      </c>
      <c r="AF233" s="54" t="str">
        <f t="shared" si="15"/>
        <v/>
      </c>
      <c r="AG233" s="54" t="str">
        <f t="shared" si="16"/>
        <v/>
      </c>
      <c r="AH233" s="54" t="str">
        <f>IF(I233="","",IF(#REF!&gt;0,TRUE,FALSE))</f>
        <v/>
      </c>
      <c r="AI233" s="54">
        <v>223</v>
      </c>
      <c r="AJ233" s="54"/>
      <c r="AK233" s="54" t="str">
        <f t="array" ref="AK233">IFERROR(INDEX($AI$11:$AI$259, MATCH(0, IF(TRUE=$AF$11:$AF$259, COUNTIF($AK$10:$AK232, $AI$11:$AI$259), ""), 0)),"")</f>
        <v/>
      </c>
      <c r="AL233" s="54" t="str">
        <f t="array" ref="AL233">IFERROR(INDEX($AI$11:$AI$259, MATCH(0, IF(TRUE=$AG$11:$AG$259, COUNTIF($AL$10:$AL232, $AI$11:$AI$259), ""), 0)),"")</f>
        <v/>
      </c>
      <c r="AM233" s="54" t="str">
        <f t="array" ref="AM233">IFERROR(INDEX($AI$11:$AI$259, MATCH(0, IF(TRUE=$AH$11:$AH$259, COUNTIF($AM$10:$AM232, $AI$11:$AI$259), ""), 0)),"")</f>
        <v/>
      </c>
      <c r="AN233" s="54"/>
      <c r="AQ233" s="47">
        <f t="shared" si="17"/>
        <v>0</v>
      </c>
    </row>
    <row r="234" spans="1:43" x14ac:dyDescent="0.25">
      <c r="A234" s="47" t="str">
        <f>IFERROR(INDEX('G-1 All Habitats'!$AG$3:$AG$15,MATCH(E234,'G-1 All Habitats'!$AF$3:$AF$15,0)),"")</f>
        <v/>
      </c>
      <c r="B234" s="47" t="str">
        <f>IFERROR(INDEX('G-8 Condition Look up'!$I$4:$I$130,MATCH(G234,'G-8 Condition Look up'!$A$4:$A$130,0)),"")</f>
        <v/>
      </c>
      <c r="D234" s="77">
        <v>224</v>
      </c>
      <c r="E234" s="78"/>
      <c r="F234" s="79"/>
      <c r="G234" s="69" t="str">
        <f>IFERROR(INDEX('G-1 All Habitats'!$B$3:$B$129,MATCH(F234,'G-1 All Habitats'!$A$3:$A$129,0)),"")</f>
        <v/>
      </c>
      <c r="H234" s="70"/>
      <c r="I234" s="498" t="str">
        <f>IF(G234="","",VLOOKUP(G234,'G-1 All Habitats'!$B$2:$M$129,10,FALSE))</f>
        <v/>
      </c>
      <c r="J234" s="499" t="str">
        <f>IFERROR(VLOOKUP(I234,'G-1 All Habitats'!$V$3:$W$7,2,FALSE),"")</f>
        <v/>
      </c>
      <c r="K234" s="71"/>
      <c r="L234" s="499" t="str">
        <f>IFERROR(INDEX('G-8 Condition Look up'!$A$3:$H$130,MATCH(G234,'G-8 Condition Look up'!$A$3:$A$130,0),MATCH(K234,'G-8 Condition Look up'!$A$3:$H$3,0)),"")</f>
        <v/>
      </c>
      <c r="M234" s="71"/>
      <c r="N234" s="520" t="str">
        <f>IF(M234="","",IF(VLOOKUP(M234,'G-3 Multipliers'!$L$3:$N$6,2,FALSE)=0,"Spatial Data Missing",VLOOKUP(M234,'G-3 Multipliers'!$L$3:$N$6,2,FALSE)))</f>
        <v/>
      </c>
      <c r="O234" s="505" t="str">
        <f>IF(M234="","",IF(VLOOKUP(M234,'G-3 Multipliers'!$L$3:$N$6,3,FALSE)=0,"Spatial Data Missing",VLOOKUP(M234,'G-3 Multipliers'!$L$3:$N$6,3,FALSE)))</f>
        <v/>
      </c>
      <c r="P234" s="506" t="str">
        <f>IFERROR(VLOOKUP(G234,'G-1 All Habitats'!$B$2:$M$129,12,FALSE),"")</f>
        <v/>
      </c>
      <c r="Q234" s="513" t="str">
        <f>IFERROR(IF(P234="","",IF(AND(P234='G-1 All Habitats'!$X$3,T234&gt;0),U234+V234,IF(AND(P234='G-1 All Habitats'!$X$3,S234&gt;0),U234+V234,IF(AND(P234='G-1 All Habitats'!$X$3,AC234&gt;0),"Any Loss Unacceptable ▲",IF(AND(P234='G-1 All Habitats'!$X$3,W234&gt;0),"Any Loss Unacceptable ▲",H234*J234*L234*O234))))),"Check Data ▲")</f>
        <v/>
      </c>
      <c r="R234" s="50"/>
      <c r="S234" s="71"/>
      <c r="T234" s="72"/>
      <c r="U234" s="511" t="str">
        <f t="shared" si="18"/>
        <v/>
      </c>
      <c r="V234" s="511" t="str">
        <f t="shared" si="19"/>
        <v/>
      </c>
      <c r="W234" s="511" t="str">
        <f>IF(E234="","",IF(H234&lt;S234+T234,"Error in Areas ▲",IF(P234&lt;&gt;'G-1 All Habitats'!$X$3,H234-S234-T234,IF(AND(P234='G-1 All Habitats'!$X$3,Y234="Yes"),"Unacceptable Loss",IF(AND(P234='G-1 All Habitats'!$X$3,Y234="No"),AC234,IF(AND(P234='G-1 All Habitats'!$X$3,Y234=""),AC234,IF(AND(P234='G-1 All Habitats'!$X$3,AC234="None",AC234),IF(AND(P234='G-1 All Habitats'!$X$3,AC234&gt;0),H234-S234-T234))))))))</f>
        <v/>
      </c>
      <c r="X234" s="515" t="str">
        <f>IFERROR(IF(H234="","",IF(H234-S234-T234=0&lt;0,"Error in Areas ▲",IF(S234+T234&gt;H234,"Error in Areas ▲",IF(AND(P234='G-1 All Habitats'!$X$3,Y234="Yes"),"Alternative Compensation ✓",IF(W234=0,0,IF(P234='G-1 All Habitats'!$X$3,"Unacceptable Loss ▲",Q234-U234-V234)))))),"Check Data ▲")</f>
        <v/>
      </c>
      <c r="Y234" s="72"/>
      <c r="Z234" s="80"/>
      <c r="AA234" s="81"/>
      <c r="AC234" s="75" t="str">
        <f>IF(P234="","",IF(P234='G-1 All Habitats'!$X$3,H234-S234-T234,"None"))</f>
        <v/>
      </c>
      <c r="AD234" s="76" t="str">
        <f>IFERROR(AC234*J234*L234*#REF!*O234,IF(P234="","","None"))</f>
        <v/>
      </c>
      <c r="AF234" s="54" t="str">
        <f t="shared" si="15"/>
        <v/>
      </c>
      <c r="AG234" s="54" t="str">
        <f t="shared" si="16"/>
        <v/>
      </c>
      <c r="AH234" s="54" t="str">
        <f>IF(I234="","",IF(#REF!&gt;0,TRUE,FALSE))</f>
        <v/>
      </c>
      <c r="AI234" s="54">
        <v>224</v>
      </c>
      <c r="AJ234" s="54"/>
      <c r="AK234" s="54" t="str">
        <f t="array" ref="AK234">IFERROR(INDEX($AI$11:$AI$259, MATCH(0, IF(TRUE=$AF$11:$AF$259, COUNTIF($AK$10:$AK233, $AI$11:$AI$259), ""), 0)),"")</f>
        <v/>
      </c>
      <c r="AL234" s="54" t="str">
        <f t="array" ref="AL234">IFERROR(INDEX($AI$11:$AI$259, MATCH(0, IF(TRUE=$AG$11:$AG$259, COUNTIF($AL$10:$AL233, $AI$11:$AI$259), ""), 0)),"")</f>
        <v/>
      </c>
      <c r="AM234" s="54" t="str">
        <f t="array" ref="AM234">IFERROR(INDEX($AI$11:$AI$259, MATCH(0, IF(TRUE=$AH$11:$AH$259, COUNTIF($AM$10:$AM233, $AI$11:$AI$259), ""), 0)),"")</f>
        <v/>
      </c>
      <c r="AN234" s="54"/>
      <c r="AQ234" s="47">
        <f t="shared" si="17"/>
        <v>0</v>
      </c>
    </row>
    <row r="235" spans="1:43" x14ac:dyDescent="0.25">
      <c r="A235" s="47" t="str">
        <f>IFERROR(INDEX('G-1 All Habitats'!$AG$3:$AG$15,MATCH(E235,'G-1 All Habitats'!$AF$3:$AF$15,0)),"")</f>
        <v/>
      </c>
      <c r="B235" s="47" t="str">
        <f>IFERROR(INDEX('G-8 Condition Look up'!$I$4:$I$130,MATCH(G235,'G-8 Condition Look up'!$A$4:$A$130,0)),"")</f>
        <v/>
      </c>
      <c r="D235" s="77">
        <v>225</v>
      </c>
      <c r="E235" s="78"/>
      <c r="F235" s="79"/>
      <c r="G235" s="69" t="str">
        <f>IFERROR(INDEX('G-1 All Habitats'!$B$3:$B$129,MATCH(F235,'G-1 All Habitats'!$A$3:$A$129,0)),"")</f>
        <v/>
      </c>
      <c r="H235" s="70"/>
      <c r="I235" s="498" t="str">
        <f>IF(G235="","",VLOOKUP(G235,'G-1 All Habitats'!$B$2:$M$129,10,FALSE))</f>
        <v/>
      </c>
      <c r="J235" s="499" t="str">
        <f>IFERROR(VLOOKUP(I235,'G-1 All Habitats'!$V$3:$W$7,2,FALSE),"")</f>
        <v/>
      </c>
      <c r="K235" s="71"/>
      <c r="L235" s="499" t="str">
        <f>IFERROR(INDEX('G-8 Condition Look up'!$A$3:$H$130,MATCH(G235,'G-8 Condition Look up'!$A$3:$A$130,0),MATCH(K235,'G-8 Condition Look up'!$A$3:$H$3,0)),"")</f>
        <v/>
      </c>
      <c r="M235" s="71"/>
      <c r="N235" s="520" t="str">
        <f>IF(M235="","",IF(VLOOKUP(M235,'G-3 Multipliers'!$L$3:$N$6,2,FALSE)=0,"Spatial Data Missing",VLOOKUP(M235,'G-3 Multipliers'!$L$3:$N$6,2,FALSE)))</f>
        <v/>
      </c>
      <c r="O235" s="505" t="str">
        <f>IF(M235="","",IF(VLOOKUP(M235,'G-3 Multipliers'!$L$3:$N$6,3,FALSE)=0,"Spatial Data Missing",VLOOKUP(M235,'G-3 Multipliers'!$L$3:$N$6,3,FALSE)))</f>
        <v/>
      </c>
      <c r="P235" s="506" t="str">
        <f>IFERROR(VLOOKUP(G235,'G-1 All Habitats'!$B$2:$M$129,12,FALSE),"")</f>
        <v/>
      </c>
      <c r="Q235" s="513" t="str">
        <f>IFERROR(IF(P235="","",IF(AND(P235='G-1 All Habitats'!$X$3,T235&gt;0),U235+V235,IF(AND(P235='G-1 All Habitats'!$X$3,S235&gt;0),U235+V235,IF(AND(P235='G-1 All Habitats'!$X$3,AC235&gt;0),"Any Loss Unacceptable ▲",IF(AND(P235='G-1 All Habitats'!$X$3,W235&gt;0),"Any Loss Unacceptable ▲",H235*J235*L235*O235))))),"Check Data ▲")</f>
        <v/>
      </c>
      <c r="R235" s="50"/>
      <c r="S235" s="71"/>
      <c r="T235" s="72"/>
      <c r="U235" s="511" t="str">
        <f t="shared" si="18"/>
        <v/>
      </c>
      <c r="V235" s="511" t="str">
        <f t="shared" si="19"/>
        <v/>
      </c>
      <c r="W235" s="511" t="str">
        <f>IF(E235="","",IF(H235&lt;S235+T235,"Error in Areas ▲",IF(P235&lt;&gt;'G-1 All Habitats'!$X$3,H235-S235-T235,IF(AND(P235='G-1 All Habitats'!$X$3,Y235="Yes"),"Unacceptable Loss",IF(AND(P235='G-1 All Habitats'!$X$3,Y235="No"),AC235,IF(AND(P235='G-1 All Habitats'!$X$3,Y235=""),AC235,IF(AND(P235='G-1 All Habitats'!$X$3,AC235="None",AC235),IF(AND(P235='G-1 All Habitats'!$X$3,AC235&gt;0),H235-S235-T235))))))))</f>
        <v/>
      </c>
      <c r="X235" s="515" t="str">
        <f>IFERROR(IF(H235="","",IF(H235-S235-T235=0&lt;0,"Error in Areas ▲",IF(S235+T235&gt;H235,"Error in Areas ▲",IF(AND(P235='G-1 All Habitats'!$X$3,Y235="Yes"),"Alternative Compensation ✓",IF(W235=0,0,IF(P235='G-1 All Habitats'!$X$3,"Unacceptable Loss ▲",Q235-U235-V235)))))),"Check Data ▲")</f>
        <v/>
      </c>
      <c r="Y235" s="72"/>
      <c r="Z235" s="80"/>
      <c r="AA235" s="81"/>
      <c r="AC235" s="75" t="str">
        <f>IF(P235="","",IF(P235='G-1 All Habitats'!$X$3,H235-S235-T235,"None"))</f>
        <v/>
      </c>
      <c r="AD235" s="76" t="str">
        <f>IFERROR(AC235*J235*L235*#REF!*O235,IF(P235="","","None"))</f>
        <v/>
      </c>
      <c r="AF235" s="54" t="str">
        <f t="shared" si="15"/>
        <v/>
      </c>
      <c r="AG235" s="54" t="str">
        <f t="shared" si="16"/>
        <v/>
      </c>
      <c r="AH235" s="54" t="str">
        <f>IF(I235="","",IF(#REF!&gt;0,TRUE,FALSE))</f>
        <v/>
      </c>
      <c r="AI235" s="54">
        <v>225</v>
      </c>
      <c r="AJ235" s="54"/>
      <c r="AK235" s="54" t="str">
        <f t="array" ref="AK235">IFERROR(INDEX($AI$11:$AI$259, MATCH(0, IF(TRUE=$AF$11:$AF$259, COUNTIF($AK$10:$AK234, $AI$11:$AI$259), ""), 0)),"")</f>
        <v/>
      </c>
      <c r="AL235" s="54" t="str">
        <f t="array" ref="AL235">IFERROR(INDEX($AI$11:$AI$259, MATCH(0, IF(TRUE=$AG$11:$AG$259, COUNTIF($AL$10:$AL234, $AI$11:$AI$259), ""), 0)),"")</f>
        <v/>
      </c>
      <c r="AM235" s="54" t="str">
        <f t="array" ref="AM235">IFERROR(INDEX($AI$11:$AI$259, MATCH(0, IF(TRUE=$AH$11:$AH$259, COUNTIF($AM$10:$AM234, $AI$11:$AI$259), ""), 0)),"")</f>
        <v/>
      </c>
      <c r="AN235" s="54"/>
      <c r="AQ235" s="47">
        <f t="shared" si="17"/>
        <v>0</v>
      </c>
    </row>
    <row r="236" spans="1:43" x14ac:dyDescent="0.25">
      <c r="A236" s="47" t="str">
        <f>IFERROR(INDEX('G-1 All Habitats'!$AG$3:$AG$15,MATCH(E236,'G-1 All Habitats'!$AF$3:$AF$15,0)),"")</f>
        <v/>
      </c>
      <c r="B236" s="47" t="str">
        <f>IFERROR(INDEX('G-8 Condition Look up'!$I$4:$I$130,MATCH(G236,'G-8 Condition Look up'!$A$4:$A$130,0)),"")</f>
        <v/>
      </c>
      <c r="D236" s="77">
        <v>226</v>
      </c>
      <c r="E236" s="78"/>
      <c r="F236" s="79"/>
      <c r="G236" s="69" t="str">
        <f>IFERROR(INDEX('G-1 All Habitats'!$B$3:$B$129,MATCH(F236,'G-1 All Habitats'!$A$3:$A$129,0)),"")</f>
        <v/>
      </c>
      <c r="H236" s="70"/>
      <c r="I236" s="498" t="str">
        <f>IF(G236="","",VLOOKUP(G236,'G-1 All Habitats'!$B$2:$M$129,10,FALSE))</f>
        <v/>
      </c>
      <c r="J236" s="499" t="str">
        <f>IFERROR(VLOOKUP(I236,'G-1 All Habitats'!$V$3:$W$7,2,FALSE),"")</f>
        <v/>
      </c>
      <c r="K236" s="71"/>
      <c r="L236" s="499" t="str">
        <f>IFERROR(INDEX('G-8 Condition Look up'!$A$3:$H$130,MATCH(G236,'G-8 Condition Look up'!$A$3:$A$130,0),MATCH(K236,'G-8 Condition Look up'!$A$3:$H$3,0)),"")</f>
        <v/>
      </c>
      <c r="M236" s="71"/>
      <c r="N236" s="520" t="str">
        <f>IF(M236="","",IF(VLOOKUP(M236,'G-3 Multipliers'!$L$3:$N$6,2,FALSE)=0,"Spatial Data Missing",VLOOKUP(M236,'G-3 Multipliers'!$L$3:$N$6,2,FALSE)))</f>
        <v/>
      </c>
      <c r="O236" s="505" t="str">
        <f>IF(M236="","",IF(VLOOKUP(M236,'G-3 Multipliers'!$L$3:$N$6,3,FALSE)=0,"Spatial Data Missing",VLOOKUP(M236,'G-3 Multipliers'!$L$3:$N$6,3,FALSE)))</f>
        <v/>
      </c>
      <c r="P236" s="506" t="str">
        <f>IFERROR(VLOOKUP(G236,'G-1 All Habitats'!$B$2:$M$129,12,FALSE),"")</f>
        <v/>
      </c>
      <c r="Q236" s="513" t="str">
        <f>IFERROR(IF(P236="","",IF(AND(P236='G-1 All Habitats'!$X$3,T236&gt;0),U236+V236,IF(AND(P236='G-1 All Habitats'!$X$3,S236&gt;0),U236+V236,IF(AND(P236='G-1 All Habitats'!$X$3,AC236&gt;0),"Any Loss Unacceptable ▲",IF(AND(P236='G-1 All Habitats'!$X$3,W236&gt;0),"Any Loss Unacceptable ▲",H236*J236*L236*O236))))),"Check Data ▲")</f>
        <v/>
      </c>
      <c r="R236" s="50"/>
      <c r="S236" s="71"/>
      <c r="T236" s="72"/>
      <c r="U236" s="511" t="str">
        <f t="shared" si="18"/>
        <v/>
      </c>
      <c r="V236" s="511" t="str">
        <f t="shared" si="19"/>
        <v/>
      </c>
      <c r="W236" s="511" t="str">
        <f>IF(E236="","",IF(H236&lt;S236+T236,"Error in Areas ▲",IF(P236&lt;&gt;'G-1 All Habitats'!$X$3,H236-S236-T236,IF(AND(P236='G-1 All Habitats'!$X$3,Y236="Yes"),"Unacceptable Loss",IF(AND(P236='G-1 All Habitats'!$X$3,Y236="No"),AC236,IF(AND(P236='G-1 All Habitats'!$X$3,Y236=""),AC236,IF(AND(P236='G-1 All Habitats'!$X$3,AC236="None",AC236),IF(AND(P236='G-1 All Habitats'!$X$3,AC236&gt;0),H236-S236-T236))))))))</f>
        <v/>
      </c>
      <c r="X236" s="515" t="str">
        <f>IFERROR(IF(H236="","",IF(H236-S236-T236=0&lt;0,"Error in Areas ▲",IF(S236+T236&gt;H236,"Error in Areas ▲",IF(AND(P236='G-1 All Habitats'!$X$3,Y236="Yes"),"Alternative Compensation ✓",IF(W236=0,0,IF(P236='G-1 All Habitats'!$X$3,"Unacceptable Loss ▲",Q236-U236-V236)))))),"Check Data ▲")</f>
        <v/>
      </c>
      <c r="Y236" s="72"/>
      <c r="Z236" s="80"/>
      <c r="AA236" s="81"/>
      <c r="AC236" s="75" t="str">
        <f>IF(P236="","",IF(P236='G-1 All Habitats'!$X$3,H236-S236-T236,"None"))</f>
        <v/>
      </c>
      <c r="AD236" s="76" t="str">
        <f>IFERROR(AC236*J236*L236*#REF!*O236,IF(P236="","","None"))</f>
        <v/>
      </c>
      <c r="AF236" s="54" t="str">
        <f t="shared" si="15"/>
        <v/>
      </c>
      <c r="AG236" s="54" t="str">
        <f t="shared" si="16"/>
        <v/>
      </c>
      <c r="AH236" s="54" t="str">
        <f>IF(I236="","",IF(#REF!&gt;0,TRUE,FALSE))</f>
        <v/>
      </c>
      <c r="AI236" s="54">
        <v>226</v>
      </c>
      <c r="AJ236" s="54"/>
      <c r="AK236" s="54" t="str">
        <f t="array" ref="AK236">IFERROR(INDEX($AI$11:$AI$259, MATCH(0, IF(TRUE=$AF$11:$AF$259, COUNTIF($AK$10:$AK235, $AI$11:$AI$259), ""), 0)),"")</f>
        <v/>
      </c>
      <c r="AL236" s="54" t="str">
        <f t="array" ref="AL236">IFERROR(INDEX($AI$11:$AI$259, MATCH(0, IF(TRUE=$AG$11:$AG$259, COUNTIF($AL$10:$AL235, $AI$11:$AI$259), ""), 0)),"")</f>
        <v/>
      </c>
      <c r="AM236" s="54" t="str">
        <f t="array" ref="AM236">IFERROR(INDEX($AI$11:$AI$259, MATCH(0, IF(TRUE=$AH$11:$AH$259, COUNTIF($AM$10:$AM235, $AI$11:$AI$259), ""), 0)),"")</f>
        <v/>
      </c>
      <c r="AN236" s="54"/>
      <c r="AQ236" s="47">
        <f t="shared" si="17"/>
        <v>0</v>
      </c>
    </row>
    <row r="237" spans="1:43" x14ac:dyDescent="0.25">
      <c r="A237" s="47" t="str">
        <f>IFERROR(INDEX('G-1 All Habitats'!$AG$3:$AG$15,MATCH(E237,'G-1 All Habitats'!$AF$3:$AF$15,0)),"")</f>
        <v/>
      </c>
      <c r="B237" s="47" t="str">
        <f>IFERROR(INDEX('G-8 Condition Look up'!$I$4:$I$130,MATCH(G237,'G-8 Condition Look up'!$A$4:$A$130,0)),"")</f>
        <v/>
      </c>
      <c r="D237" s="77">
        <v>227</v>
      </c>
      <c r="E237" s="78"/>
      <c r="F237" s="79"/>
      <c r="G237" s="69" t="str">
        <f>IFERROR(INDEX('G-1 All Habitats'!$B$3:$B$129,MATCH(F237,'G-1 All Habitats'!$A$3:$A$129,0)),"")</f>
        <v/>
      </c>
      <c r="H237" s="70"/>
      <c r="I237" s="498" t="str">
        <f>IF(G237="","",VLOOKUP(G237,'G-1 All Habitats'!$B$2:$M$129,10,FALSE))</f>
        <v/>
      </c>
      <c r="J237" s="499" t="str">
        <f>IFERROR(VLOOKUP(I237,'G-1 All Habitats'!$V$3:$W$7,2,FALSE),"")</f>
        <v/>
      </c>
      <c r="K237" s="71"/>
      <c r="L237" s="499" t="str">
        <f>IFERROR(INDEX('G-8 Condition Look up'!$A$3:$H$130,MATCH(G237,'G-8 Condition Look up'!$A$3:$A$130,0),MATCH(K237,'G-8 Condition Look up'!$A$3:$H$3,0)),"")</f>
        <v/>
      </c>
      <c r="M237" s="71"/>
      <c r="N237" s="520" t="str">
        <f>IF(M237="","",IF(VLOOKUP(M237,'G-3 Multipliers'!$L$3:$N$6,2,FALSE)=0,"Spatial Data Missing",VLOOKUP(M237,'G-3 Multipliers'!$L$3:$N$6,2,FALSE)))</f>
        <v/>
      </c>
      <c r="O237" s="505" t="str">
        <f>IF(M237="","",IF(VLOOKUP(M237,'G-3 Multipliers'!$L$3:$N$6,3,FALSE)=0,"Spatial Data Missing",VLOOKUP(M237,'G-3 Multipliers'!$L$3:$N$6,3,FALSE)))</f>
        <v/>
      </c>
      <c r="P237" s="506" t="str">
        <f>IFERROR(VLOOKUP(G237,'G-1 All Habitats'!$B$2:$M$129,12,FALSE),"")</f>
        <v/>
      </c>
      <c r="Q237" s="513" t="str">
        <f>IFERROR(IF(P237="","",IF(AND(P237='G-1 All Habitats'!$X$3,T237&gt;0),U237+V237,IF(AND(P237='G-1 All Habitats'!$X$3,S237&gt;0),U237+V237,IF(AND(P237='G-1 All Habitats'!$X$3,AC237&gt;0),"Any Loss Unacceptable ▲",IF(AND(P237='G-1 All Habitats'!$X$3,W237&gt;0),"Any Loss Unacceptable ▲",H237*J237*L237*O237))))),"Check Data ▲")</f>
        <v/>
      </c>
      <c r="R237" s="50"/>
      <c r="S237" s="71"/>
      <c r="T237" s="72"/>
      <c r="U237" s="511" t="str">
        <f t="shared" si="18"/>
        <v/>
      </c>
      <c r="V237" s="511" t="str">
        <f t="shared" si="19"/>
        <v/>
      </c>
      <c r="W237" s="511" t="str">
        <f>IF(E237="","",IF(H237&lt;S237+T237,"Error in Areas ▲",IF(P237&lt;&gt;'G-1 All Habitats'!$X$3,H237-S237-T237,IF(AND(P237='G-1 All Habitats'!$X$3,Y237="Yes"),"Unacceptable Loss",IF(AND(P237='G-1 All Habitats'!$X$3,Y237="No"),AC237,IF(AND(P237='G-1 All Habitats'!$X$3,Y237=""),AC237,IF(AND(P237='G-1 All Habitats'!$X$3,AC237="None",AC237),IF(AND(P237='G-1 All Habitats'!$X$3,AC237&gt;0),H237-S237-T237))))))))</f>
        <v/>
      </c>
      <c r="X237" s="515" t="str">
        <f>IFERROR(IF(H237="","",IF(H237-S237-T237=0&lt;0,"Error in Areas ▲",IF(S237+T237&gt;H237,"Error in Areas ▲",IF(AND(P237='G-1 All Habitats'!$X$3,Y237="Yes"),"Alternative Compensation ✓",IF(W237=0,0,IF(P237='G-1 All Habitats'!$X$3,"Unacceptable Loss ▲",Q237-U237-V237)))))),"Check Data ▲")</f>
        <v/>
      </c>
      <c r="Y237" s="72"/>
      <c r="Z237" s="80"/>
      <c r="AA237" s="81"/>
      <c r="AC237" s="75" t="str">
        <f>IF(P237="","",IF(P237='G-1 All Habitats'!$X$3,H237-S237-T237,"None"))</f>
        <v/>
      </c>
      <c r="AD237" s="76" t="str">
        <f>IFERROR(AC237*J237*L237*#REF!*O237,IF(P237="","","None"))</f>
        <v/>
      </c>
      <c r="AF237" s="54" t="str">
        <f t="shared" si="15"/>
        <v/>
      </c>
      <c r="AG237" s="54" t="str">
        <f t="shared" si="16"/>
        <v/>
      </c>
      <c r="AH237" s="54" t="str">
        <f>IF(I237="","",IF(#REF!&gt;0,TRUE,FALSE))</f>
        <v/>
      </c>
      <c r="AI237" s="54">
        <v>227</v>
      </c>
      <c r="AJ237" s="54"/>
      <c r="AK237" s="54" t="str">
        <f t="array" ref="AK237">IFERROR(INDEX($AI$11:$AI$259, MATCH(0, IF(TRUE=$AF$11:$AF$259, COUNTIF($AK$10:$AK236, $AI$11:$AI$259), ""), 0)),"")</f>
        <v/>
      </c>
      <c r="AL237" s="54" t="str">
        <f t="array" ref="AL237">IFERROR(INDEX($AI$11:$AI$259, MATCH(0, IF(TRUE=$AG$11:$AG$259, COUNTIF($AL$10:$AL236, $AI$11:$AI$259), ""), 0)),"")</f>
        <v/>
      </c>
      <c r="AM237" s="54" t="str">
        <f t="array" ref="AM237">IFERROR(INDEX($AI$11:$AI$259, MATCH(0, IF(TRUE=$AH$11:$AH$259, COUNTIF($AM$10:$AM236, $AI$11:$AI$259), ""), 0)),"")</f>
        <v/>
      </c>
      <c r="AN237" s="54"/>
      <c r="AQ237" s="47">
        <f t="shared" si="17"/>
        <v>0</v>
      </c>
    </row>
    <row r="238" spans="1:43" x14ac:dyDescent="0.25">
      <c r="A238" s="47" t="str">
        <f>IFERROR(INDEX('G-1 All Habitats'!$AG$3:$AG$15,MATCH(E238,'G-1 All Habitats'!$AF$3:$AF$15,0)),"")</f>
        <v/>
      </c>
      <c r="B238" s="47" t="str">
        <f>IFERROR(INDEX('G-8 Condition Look up'!$I$4:$I$130,MATCH(G238,'G-8 Condition Look up'!$A$4:$A$130,0)),"")</f>
        <v/>
      </c>
      <c r="D238" s="77">
        <v>228</v>
      </c>
      <c r="E238" s="78"/>
      <c r="F238" s="79"/>
      <c r="G238" s="69" t="str">
        <f>IFERROR(INDEX('G-1 All Habitats'!$B$3:$B$129,MATCH(F238,'G-1 All Habitats'!$A$3:$A$129,0)),"")</f>
        <v/>
      </c>
      <c r="H238" s="70"/>
      <c r="I238" s="498" t="str">
        <f>IF(G238="","",VLOOKUP(G238,'G-1 All Habitats'!$B$2:$M$129,10,FALSE))</f>
        <v/>
      </c>
      <c r="J238" s="499" t="str">
        <f>IFERROR(VLOOKUP(I238,'G-1 All Habitats'!$V$3:$W$7,2,FALSE),"")</f>
        <v/>
      </c>
      <c r="K238" s="71"/>
      <c r="L238" s="499" t="str">
        <f>IFERROR(INDEX('G-8 Condition Look up'!$A$3:$H$130,MATCH(G238,'G-8 Condition Look up'!$A$3:$A$130,0),MATCH(K238,'G-8 Condition Look up'!$A$3:$H$3,0)),"")</f>
        <v/>
      </c>
      <c r="M238" s="71"/>
      <c r="N238" s="520" t="str">
        <f>IF(M238="","",IF(VLOOKUP(M238,'G-3 Multipliers'!$L$3:$N$6,2,FALSE)=0,"Spatial Data Missing",VLOOKUP(M238,'G-3 Multipliers'!$L$3:$N$6,2,FALSE)))</f>
        <v/>
      </c>
      <c r="O238" s="505" t="str">
        <f>IF(M238="","",IF(VLOOKUP(M238,'G-3 Multipliers'!$L$3:$N$6,3,FALSE)=0,"Spatial Data Missing",VLOOKUP(M238,'G-3 Multipliers'!$L$3:$N$6,3,FALSE)))</f>
        <v/>
      </c>
      <c r="P238" s="506" t="str">
        <f>IFERROR(VLOOKUP(G238,'G-1 All Habitats'!$B$2:$M$129,12,FALSE),"")</f>
        <v/>
      </c>
      <c r="Q238" s="513" t="str">
        <f>IFERROR(IF(P238="","",IF(AND(P238='G-1 All Habitats'!$X$3,T238&gt;0),U238+V238,IF(AND(P238='G-1 All Habitats'!$X$3,S238&gt;0),U238+V238,IF(AND(P238='G-1 All Habitats'!$X$3,AC238&gt;0),"Any Loss Unacceptable ▲",IF(AND(P238='G-1 All Habitats'!$X$3,W238&gt;0),"Any Loss Unacceptable ▲",H238*J238*L238*O238))))),"Check Data ▲")</f>
        <v/>
      </c>
      <c r="R238" s="50"/>
      <c r="S238" s="71"/>
      <c r="T238" s="72"/>
      <c r="U238" s="511" t="str">
        <f t="shared" si="18"/>
        <v/>
      </c>
      <c r="V238" s="511" t="str">
        <f t="shared" si="19"/>
        <v/>
      </c>
      <c r="W238" s="511" t="str">
        <f>IF(E238="","",IF(H238&lt;S238+T238,"Error in Areas ▲",IF(P238&lt;&gt;'G-1 All Habitats'!$X$3,H238-S238-T238,IF(AND(P238='G-1 All Habitats'!$X$3,Y238="Yes"),"Unacceptable Loss",IF(AND(P238='G-1 All Habitats'!$X$3,Y238="No"),AC238,IF(AND(P238='G-1 All Habitats'!$X$3,Y238=""),AC238,IF(AND(P238='G-1 All Habitats'!$X$3,AC238="None",AC238),IF(AND(P238='G-1 All Habitats'!$X$3,AC238&gt;0),H238-S238-T238))))))))</f>
        <v/>
      </c>
      <c r="X238" s="515" t="str">
        <f>IFERROR(IF(H238="","",IF(H238-S238-T238=0&lt;0,"Error in Areas ▲",IF(S238+T238&gt;H238,"Error in Areas ▲",IF(AND(P238='G-1 All Habitats'!$X$3,Y238="Yes"),"Alternative Compensation ✓",IF(W238=0,0,IF(P238='G-1 All Habitats'!$X$3,"Unacceptable Loss ▲",Q238-U238-V238)))))),"Check Data ▲")</f>
        <v/>
      </c>
      <c r="Y238" s="72"/>
      <c r="Z238" s="80"/>
      <c r="AA238" s="81"/>
      <c r="AC238" s="75" t="str">
        <f>IF(P238="","",IF(P238='G-1 All Habitats'!$X$3,H238-S238-T238,"None"))</f>
        <v/>
      </c>
      <c r="AD238" s="76" t="str">
        <f>IFERROR(AC238*J238*L238*#REF!*O238,IF(P238="","","None"))</f>
        <v/>
      </c>
      <c r="AF238" s="54" t="str">
        <f t="shared" si="15"/>
        <v/>
      </c>
      <c r="AG238" s="54" t="str">
        <f t="shared" si="16"/>
        <v/>
      </c>
      <c r="AH238" s="54" t="str">
        <f>IF(I238="","",IF(#REF!&gt;0,TRUE,FALSE))</f>
        <v/>
      </c>
      <c r="AI238" s="54">
        <v>228</v>
      </c>
      <c r="AJ238" s="54"/>
      <c r="AK238" s="54" t="str">
        <f t="array" ref="AK238">IFERROR(INDEX($AI$11:$AI$259, MATCH(0, IF(TRUE=$AF$11:$AF$259, COUNTIF($AK$10:$AK237, $AI$11:$AI$259), ""), 0)),"")</f>
        <v/>
      </c>
      <c r="AL238" s="54" t="str">
        <f t="array" ref="AL238">IFERROR(INDEX($AI$11:$AI$259, MATCH(0, IF(TRUE=$AG$11:$AG$259, COUNTIF($AL$10:$AL237, $AI$11:$AI$259), ""), 0)),"")</f>
        <v/>
      </c>
      <c r="AM238" s="54" t="str">
        <f t="array" ref="AM238">IFERROR(INDEX($AI$11:$AI$259, MATCH(0, IF(TRUE=$AH$11:$AH$259, COUNTIF($AM$10:$AM237, $AI$11:$AI$259), ""), 0)),"")</f>
        <v/>
      </c>
      <c r="AN238" s="54"/>
      <c r="AQ238" s="47">
        <f t="shared" si="17"/>
        <v>0</v>
      </c>
    </row>
    <row r="239" spans="1:43" x14ac:dyDescent="0.25">
      <c r="A239" s="47" t="str">
        <f>IFERROR(INDEX('G-1 All Habitats'!$AG$3:$AG$15,MATCH(E239,'G-1 All Habitats'!$AF$3:$AF$15,0)),"")</f>
        <v/>
      </c>
      <c r="B239" s="47" t="str">
        <f>IFERROR(INDEX('G-8 Condition Look up'!$I$4:$I$130,MATCH(G239,'G-8 Condition Look up'!$A$4:$A$130,0)),"")</f>
        <v/>
      </c>
      <c r="D239" s="77">
        <v>229</v>
      </c>
      <c r="E239" s="78"/>
      <c r="F239" s="79"/>
      <c r="G239" s="69" t="str">
        <f>IFERROR(INDEX('G-1 All Habitats'!$B$3:$B$129,MATCH(F239,'G-1 All Habitats'!$A$3:$A$129,0)),"")</f>
        <v/>
      </c>
      <c r="H239" s="70"/>
      <c r="I239" s="498" t="str">
        <f>IF(G239="","",VLOOKUP(G239,'G-1 All Habitats'!$B$2:$M$129,10,FALSE))</f>
        <v/>
      </c>
      <c r="J239" s="499" t="str">
        <f>IFERROR(VLOOKUP(I239,'G-1 All Habitats'!$V$3:$W$7,2,FALSE),"")</f>
        <v/>
      </c>
      <c r="K239" s="71"/>
      <c r="L239" s="499" t="str">
        <f>IFERROR(INDEX('G-8 Condition Look up'!$A$3:$H$130,MATCH(G239,'G-8 Condition Look up'!$A$3:$A$130,0),MATCH(K239,'G-8 Condition Look up'!$A$3:$H$3,0)),"")</f>
        <v/>
      </c>
      <c r="M239" s="71"/>
      <c r="N239" s="520" t="str">
        <f>IF(M239="","",IF(VLOOKUP(M239,'G-3 Multipliers'!$L$3:$N$6,2,FALSE)=0,"Spatial Data Missing",VLOOKUP(M239,'G-3 Multipliers'!$L$3:$N$6,2,FALSE)))</f>
        <v/>
      </c>
      <c r="O239" s="505" t="str">
        <f>IF(M239="","",IF(VLOOKUP(M239,'G-3 Multipliers'!$L$3:$N$6,3,FALSE)=0,"Spatial Data Missing",VLOOKUP(M239,'G-3 Multipliers'!$L$3:$N$6,3,FALSE)))</f>
        <v/>
      </c>
      <c r="P239" s="506" t="str">
        <f>IFERROR(VLOOKUP(G239,'G-1 All Habitats'!$B$2:$M$129,12,FALSE),"")</f>
        <v/>
      </c>
      <c r="Q239" s="513" t="str">
        <f>IFERROR(IF(P239="","",IF(AND(P239='G-1 All Habitats'!$X$3,T239&gt;0),U239+V239,IF(AND(P239='G-1 All Habitats'!$X$3,S239&gt;0),U239+V239,IF(AND(P239='G-1 All Habitats'!$X$3,AC239&gt;0),"Any Loss Unacceptable ▲",IF(AND(P239='G-1 All Habitats'!$X$3,W239&gt;0),"Any Loss Unacceptable ▲",H239*J239*L239*O239))))),"Check Data ▲")</f>
        <v/>
      </c>
      <c r="R239" s="50"/>
      <c r="S239" s="71"/>
      <c r="T239" s="72"/>
      <c r="U239" s="511" t="str">
        <f t="shared" si="18"/>
        <v/>
      </c>
      <c r="V239" s="511" t="str">
        <f t="shared" si="19"/>
        <v/>
      </c>
      <c r="W239" s="511" t="str">
        <f>IF(E239="","",IF(H239&lt;S239+T239,"Error in Areas ▲",IF(P239&lt;&gt;'G-1 All Habitats'!$X$3,H239-S239-T239,IF(AND(P239='G-1 All Habitats'!$X$3,Y239="Yes"),"Unacceptable Loss",IF(AND(P239='G-1 All Habitats'!$X$3,Y239="No"),AC239,IF(AND(P239='G-1 All Habitats'!$X$3,Y239=""),AC239,IF(AND(P239='G-1 All Habitats'!$X$3,AC239="None",AC239),IF(AND(P239='G-1 All Habitats'!$X$3,AC239&gt;0),H239-S239-T239))))))))</f>
        <v/>
      </c>
      <c r="X239" s="515" t="str">
        <f>IFERROR(IF(H239="","",IF(H239-S239-T239=0&lt;0,"Error in Areas ▲",IF(S239+T239&gt;H239,"Error in Areas ▲",IF(AND(P239='G-1 All Habitats'!$X$3,Y239="Yes"),"Alternative Compensation ✓",IF(W239=0,0,IF(P239='G-1 All Habitats'!$X$3,"Unacceptable Loss ▲",Q239-U239-V239)))))),"Check Data ▲")</f>
        <v/>
      </c>
      <c r="Y239" s="72"/>
      <c r="Z239" s="80"/>
      <c r="AA239" s="81"/>
      <c r="AC239" s="75" t="str">
        <f>IF(P239="","",IF(P239='G-1 All Habitats'!$X$3,H239-S239-T239,"None"))</f>
        <v/>
      </c>
      <c r="AD239" s="76" t="str">
        <f>IFERROR(AC239*J239*L239*#REF!*O239,IF(P239="","","None"))</f>
        <v/>
      </c>
      <c r="AF239" s="54" t="str">
        <f t="shared" si="15"/>
        <v/>
      </c>
      <c r="AG239" s="54" t="str">
        <f t="shared" si="16"/>
        <v/>
      </c>
      <c r="AH239" s="54" t="str">
        <f>IF(I239="","",IF(#REF!&gt;0,TRUE,FALSE))</f>
        <v/>
      </c>
      <c r="AI239" s="54">
        <v>229</v>
      </c>
      <c r="AJ239" s="54"/>
      <c r="AK239" s="54" t="str">
        <f t="array" ref="AK239">IFERROR(INDEX($AI$11:$AI$259, MATCH(0, IF(TRUE=$AF$11:$AF$259, COUNTIF($AK$10:$AK238, $AI$11:$AI$259), ""), 0)),"")</f>
        <v/>
      </c>
      <c r="AL239" s="54" t="str">
        <f t="array" ref="AL239">IFERROR(INDEX($AI$11:$AI$259, MATCH(0, IF(TRUE=$AG$11:$AG$259, COUNTIF($AL$10:$AL238, $AI$11:$AI$259), ""), 0)),"")</f>
        <v/>
      </c>
      <c r="AM239" s="54" t="str">
        <f t="array" ref="AM239">IFERROR(INDEX($AI$11:$AI$259, MATCH(0, IF(TRUE=$AH$11:$AH$259, COUNTIF($AM$10:$AM238, $AI$11:$AI$259), ""), 0)),"")</f>
        <v/>
      </c>
      <c r="AN239" s="54"/>
      <c r="AQ239" s="47">
        <f t="shared" si="17"/>
        <v>0</v>
      </c>
    </row>
    <row r="240" spans="1:43" x14ac:dyDescent="0.25">
      <c r="A240" s="47" t="str">
        <f>IFERROR(INDEX('G-1 All Habitats'!$AG$3:$AG$15,MATCH(E240,'G-1 All Habitats'!$AF$3:$AF$15,0)),"")</f>
        <v/>
      </c>
      <c r="B240" s="47" t="str">
        <f>IFERROR(INDEX('G-8 Condition Look up'!$I$4:$I$130,MATCH(G240,'G-8 Condition Look up'!$A$4:$A$130,0)),"")</f>
        <v/>
      </c>
      <c r="D240" s="77">
        <v>230</v>
      </c>
      <c r="E240" s="78"/>
      <c r="F240" s="79"/>
      <c r="G240" s="69" t="str">
        <f>IFERROR(INDEX('G-1 All Habitats'!$B$3:$B$129,MATCH(F240,'G-1 All Habitats'!$A$3:$A$129,0)),"")</f>
        <v/>
      </c>
      <c r="H240" s="70"/>
      <c r="I240" s="498" t="str">
        <f>IF(G240="","",VLOOKUP(G240,'G-1 All Habitats'!$B$2:$M$129,10,FALSE))</f>
        <v/>
      </c>
      <c r="J240" s="499" t="str">
        <f>IFERROR(VLOOKUP(I240,'G-1 All Habitats'!$V$3:$W$7,2,FALSE),"")</f>
        <v/>
      </c>
      <c r="K240" s="71"/>
      <c r="L240" s="499" t="str">
        <f>IFERROR(INDEX('G-8 Condition Look up'!$A$3:$H$130,MATCH(G240,'G-8 Condition Look up'!$A$3:$A$130,0),MATCH(K240,'G-8 Condition Look up'!$A$3:$H$3,0)),"")</f>
        <v/>
      </c>
      <c r="M240" s="71"/>
      <c r="N240" s="520" t="str">
        <f>IF(M240="","",IF(VLOOKUP(M240,'G-3 Multipliers'!$L$3:$N$6,2,FALSE)=0,"Spatial Data Missing",VLOOKUP(M240,'G-3 Multipliers'!$L$3:$N$6,2,FALSE)))</f>
        <v/>
      </c>
      <c r="O240" s="505" t="str">
        <f>IF(M240="","",IF(VLOOKUP(M240,'G-3 Multipliers'!$L$3:$N$6,3,FALSE)=0,"Spatial Data Missing",VLOOKUP(M240,'G-3 Multipliers'!$L$3:$N$6,3,FALSE)))</f>
        <v/>
      </c>
      <c r="P240" s="506" t="str">
        <f>IFERROR(VLOOKUP(G240,'G-1 All Habitats'!$B$2:$M$129,12,FALSE),"")</f>
        <v/>
      </c>
      <c r="Q240" s="513" t="str">
        <f>IFERROR(IF(P240="","",IF(AND(P240='G-1 All Habitats'!$X$3,T240&gt;0),U240+V240,IF(AND(P240='G-1 All Habitats'!$X$3,S240&gt;0),U240+V240,IF(AND(P240='G-1 All Habitats'!$X$3,AC240&gt;0),"Any Loss Unacceptable ▲",IF(AND(P240='G-1 All Habitats'!$X$3,W240&gt;0),"Any Loss Unacceptable ▲",H240*J240*L240*O240))))),"Check Data ▲")</f>
        <v/>
      </c>
      <c r="R240" s="50"/>
      <c r="S240" s="71"/>
      <c r="T240" s="72"/>
      <c r="U240" s="511" t="str">
        <f t="shared" si="18"/>
        <v/>
      </c>
      <c r="V240" s="511" t="str">
        <f t="shared" si="19"/>
        <v/>
      </c>
      <c r="W240" s="511" t="str">
        <f>IF(E240="","",IF(H240&lt;S240+T240,"Error in Areas ▲",IF(P240&lt;&gt;'G-1 All Habitats'!$X$3,H240-S240-T240,IF(AND(P240='G-1 All Habitats'!$X$3,Y240="Yes"),"Unacceptable Loss",IF(AND(P240='G-1 All Habitats'!$X$3,Y240="No"),AC240,IF(AND(P240='G-1 All Habitats'!$X$3,Y240=""),AC240,IF(AND(P240='G-1 All Habitats'!$X$3,AC240="None",AC240),IF(AND(P240='G-1 All Habitats'!$X$3,AC240&gt;0),H240-S240-T240))))))))</f>
        <v/>
      </c>
      <c r="X240" s="515" t="str">
        <f>IFERROR(IF(H240="","",IF(H240-S240-T240=0&lt;0,"Error in Areas ▲",IF(S240+T240&gt;H240,"Error in Areas ▲",IF(AND(P240='G-1 All Habitats'!$X$3,Y240="Yes"),"Alternative Compensation ✓",IF(W240=0,0,IF(P240='G-1 All Habitats'!$X$3,"Unacceptable Loss ▲",Q240-U240-V240)))))),"Check Data ▲")</f>
        <v/>
      </c>
      <c r="Y240" s="72"/>
      <c r="Z240" s="80"/>
      <c r="AA240" s="81"/>
      <c r="AC240" s="75" t="str">
        <f>IF(P240="","",IF(P240='G-1 All Habitats'!$X$3,H240-S240-T240,"None"))</f>
        <v/>
      </c>
      <c r="AD240" s="76" t="str">
        <f>IFERROR(AC240*J240*L240*#REF!*O240,IF(P240="","","None"))</f>
        <v/>
      </c>
      <c r="AF240" s="54" t="str">
        <f t="shared" si="15"/>
        <v/>
      </c>
      <c r="AG240" s="54" t="str">
        <f t="shared" si="16"/>
        <v/>
      </c>
      <c r="AH240" s="54" t="str">
        <f>IF(I240="","",IF(#REF!&gt;0,TRUE,FALSE))</f>
        <v/>
      </c>
      <c r="AI240" s="54">
        <v>230</v>
      </c>
      <c r="AJ240" s="54"/>
      <c r="AK240" s="54" t="str">
        <f t="array" ref="AK240">IFERROR(INDEX($AI$11:$AI$259, MATCH(0, IF(TRUE=$AF$11:$AF$259, COUNTIF($AK$10:$AK239, $AI$11:$AI$259), ""), 0)),"")</f>
        <v/>
      </c>
      <c r="AL240" s="54" t="str">
        <f t="array" ref="AL240">IFERROR(INDEX($AI$11:$AI$259, MATCH(0, IF(TRUE=$AG$11:$AG$259, COUNTIF($AL$10:$AL239, $AI$11:$AI$259), ""), 0)),"")</f>
        <v/>
      </c>
      <c r="AM240" s="54" t="str">
        <f t="array" ref="AM240">IFERROR(INDEX($AI$11:$AI$259, MATCH(0, IF(TRUE=$AH$11:$AH$259, COUNTIF($AM$10:$AM239, $AI$11:$AI$259), ""), 0)),"")</f>
        <v/>
      </c>
      <c r="AN240" s="54"/>
      <c r="AQ240" s="47">
        <f t="shared" si="17"/>
        <v>0</v>
      </c>
    </row>
    <row r="241" spans="1:43" x14ac:dyDescent="0.25">
      <c r="A241" s="47" t="str">
        <f>IFERROR(INDEX('G-1 All Habitats'!$AG$3:$AG$15,MATCH(E241,'G-1 All Habitats'!$AF$3:$AF$15,0)),"")</f>
        <v/>
      </c>
      <c r="B241" s="47" t="str">
        <f>IFERROR(INDEX('G-8 Condition Look up'!$I$4:$I$130,MATCH(G241,'G-8 Condition Look up'!$A$4:$A$130,0)),"")</f>
        <v/>
      </c>
      <c r="D241" s="77">
        <v>231</v>
      </c>
      <c r="E241" s="78"/>
      <c r="F241" s="79"/>
      <c r="G241" s="69" t="str">
        <f>IFERROR(INDEX('G-1 All Habitats'!$B$3:$B$129,MATCH(F241,'G-1 All Habitats'!$A$3:$A$129,0)),"")</f>
        <v/>
      </c>
      <c r="H241" s="70"/>
      <c r="I241" s="498" t="str">
        <f>IF(G241="","",VLOOKUP(G241,'G-1 All Habitats'!$B$2:$M$129,10,FALSE))</f>
        <v/>
      </c>
      <c r="J241" s="499" t="str">
        <f>IFERROR(VLOOKUP(I241,'G-1 All Habitats'!$V$3:$W$7,2,FALSE),"")</f>
        <v/>
      </c>
      <c r="K241" s="71"/>
      <c r="L241" s="499" t="str">
        <f>IFERROR(INDEX('G-8 Condition Look up'!$A$3:$H$130,MATCH(G241,'G-8 Condition Look up'!$A$3:$A$130,0),MATCH(K241,'G-8 Condition Look up'!$A$3:$H$3,0)),"")</f>
        <v/>
      </c>
      <c r="M241" s="71"/>
      <c r="N241" s="520" t="str">
        <f>IF(M241="","",IF(VLOOKUP(M241,'G-3 Multipliers'!$L$3:$N$6,2,FALSE)=0,"Spatial Data Missing",VLOOKUP(M241,'G-3 Multipliers'!$L$3:$N$6,2,FALSE)))</f>
        <v/>
      </c>
      <c r="O241" s="505" t="str">
        <f>IF(M241="","",IF(VLOOKUP(M241,'G-3 Multipliers'!$L$3:$N$6,3,FALSE)=0,"Spatial Data Missing",VLOOKUP(M241,'G-3 Multipliers'!$L$3:$N$6,3,FALSE)))</f>
        <v/>
      </c>
      <c r="P241" s="506" t="str">
        <f>IFERROR(VLOOKUP(G241,'G-1 All Habitats'!$B$2:$M$129,12,FALSE),"")</f>
        <v/>
      </c>
      <c r="Q241" s="513" t="str">
        <f>IFERROR(IF(P241="","",IF(AND(P241='G-1 All Habitats'!$X$3,T241&gt;0),U241+V241,IF(AND(P241='G-1 All Habitats'!$X$3,S241&gt;0),U241+V241,IF(AND(P241='G-1 All Habitats'!$X$3,AC241&gt;0),"Any Loss Unacceptable ▲",IF(AND(P241='G-1 All Habitats'!$X$3,W241&gt;0),"Any Loss Unacceptable ▲",H241*J241*L241*O241))))),"Check Data ▲")</f>
        <v/>
      </c>
      <c r="R241" s="50"/>
      <c r="S241" s="71"/>
      <c r="T241" s="72"/>
      <c r="U241" s="511" t="str">
        <f t="shared" si="18"/>
        <v/>
      </c>
      <c r="V241" s="511" t="str">
        <f t="shared" si="19"/>
        <v/>
      </c>
      <c r="W241" s="511" t="str">
        <f>IF(E241="","",IF(H241&lt;S241+T241,"Error in Areas ▲",IF(P241&lt;&gt;'G-1 All Habitats'!$X$3,H241-S241-T241,IF(AND(P241='G-1 All Habitats'!$X$3,Y241="Yes"),"Unacceptable Loss",IF(AND(P241='G-1 All Habitats'!$X$3,Y241="No"),AC241,IF(AND(P241='G-1 All Habitats'!$X$3,Y241=""),AC241,IF(AND(P241='G-1 All Habitats'!$X$3,AC241="None",AC241),IF(AND(P241='G-1 All Habitats'!$X$3,AC241&gt;0),H241-S241-T241))))))))</f>
        <v/>
      </c>
      <c r="X241" s="515" t="str">
        <f>IFERROR(IF(H241="","",IF(H241-S241-T241=0&lt;0,"Error in Areas ▲",IF(S241+T241&gt;H241,"Error in Areas ▲",IF(AND(P241='G-1 All Habitats'!$X$3,Y241="Yes"),"Alternative Compensation ✓",IF(W241=0,0,IF(P241='G-1 All Habitats'!$X$3,"Unacceptable Loss ▲",Q241-U241-V241)))))),"Check Data ▲")</f>
        <v/>
      </c>
      <c r="Y241" s="72"/>
      <c r="Z241" s="80"/>
      <c r="AA241" s="81"/>
      <c r="AC241" s="75" t="str">
        <f>IF(P241="","",IF(P241='G-1 All Habitats'!$X$3,H241-S241-T241,"None"))</f>
        <v/>
      </c>
      <c r="AD241" s="76" t="str">
        <f>IFERROR(AC241*J241*L241*#REF!*O241,IF(P241="","","None"))</f>
        <v/>
      </c>
      <c r="AF241" s="54" t="str">
        <f t="shared" si="15"/>
        <v/>
      </c>
      <c r="AG241" s="54" t="str">
        <f t="shared" si="16"/>
        <v/>
      </c>
      <c r="AH241" s="54" t="str">
        <f>IF(I241="","",IF(#REF!&gt;0,TRUE,FALSE))</f>
        <v/>
      </c>
      <c r="AI241" s="54">
        <v>231</v>
      </c>
      <c r="AJ241" s="54"/>
      <c r="AK241" s="54" t="str">
        <f t="array" ref="AK241">IFERROR(INDEX($AI$11:$AI$259, MATCH(0, IF(TRUE=$AF$11:$AF$259, COUNTIF($AK$10:$AK240, $AI$11:$AI$259), ""), 0)),"")</f>
        <v/>
      </c>
      <c r="AL241" s="54" t="str">
        <f t="array" ref="AL241">IFERROR(INDEX($AI$11:$AI$259, MATCH(0, IF(TRUE=$AG$11:$AG$259, COUNTIF($AL$10:$AL240, $AI$11:$AI$259), ""), 0)),"")</f>
        <v/>
      </c>
      <c r="AM241" s="54" t="str">
        <f t="array" ref="AM241">IFERROR(INDEX($AI$11:$AI$259, MATCH(0, IF(TRUE=$AH$11:$AH$259, COUNTIF($AM$10:$AM240, $AI$11:$AI$259), ""), 0)),"")</f>
        <v/>
      </c>
      <c r="AN241" s="54"/>
      <c r="AQ241" s="47">
        <f t="shared" si="17"/>
        <v>0</v>
      </c>
    </row>
    <row r="242" spans="1:43" x14ac:dyDescent="0.25">
      <c r="A242" s="47" t="str">
        <f>IFERROR(INDEX('G-1 All Habitats'!$AG$3:$AG$15,MATCH(E242,'G-1 All Habitats'!$AF$3:$AF$15,0)),"")</f>
        <v/>
      </c>
      <c r="B242" s="47" t="str">
        <f>IFERROR(INDEX('G-8 Condition Look up'!$I$4:$I$130,MATCH(G242,'G-8 Condition Look up'!$A$4:$A$130,0)),"")</f>
        <v/>
      </c>
      <c r="D242" s="77">
        <v>232</v>
      </c>
      <c r="E242" s="78"/>
      <c r="F242" s="79"/>
      <c r="G242" s="69" t="str">
        <f>IFERROR(INDEX('G-1 All Habitats'!$B$3:$B$129,MATCH(F242,'G-1 All Habitats'!$A$3:$A$129,0)),"")</f>
        <v/>
      </c>
      <c r="H242" s="70"/>
      <c r="I242" s="498" t="str">
        <f>IF(G242="","",VLOOKUP(G242,'G-1 All Habitats'!$B$2:$M$129,10,FALSE))</f>
        <v/>
      </c>
      <c r="J242" s="499" t="str">
        <f>IFERROR(VLOOKUP(I242,'G-1 All Habitats'!$V$3:$W$7,2,FALSE),"")</f>
        <v/>
      </c>
      <c r="K242" s="71"/>
      <c r="L242" s="499" t="str">
        <f>IFERROR(INDEX('G-8 Condition Look up'!$A$3:$H$130,MATCH(G242,'G-8 Condition Look up'!$A$3:$A$130,0),MATCH(K242,'G-8 Condition Look up'!$A$3:$H$3,0)),"")</f>
        <v/>
      </c>
      <c r="M242" s="71"/>
      <c r="N242" s="520" t="str">
        <f>IF(M242="","",IF(VLOOKUP(M242,'G-3 Multipliers'!$L$3:$N$6,2,FALSE)=0,"Spatial Data Missing",VLOOKUP(M242,'G-3 Multipliers'!$L$3:$N$6,2,FALSE)))</f>
        <v/>
      </c>
      <c r="O242" s="505" t="str">
        <f>IF(M242="","",IF(VLOOKUP(M242,'G-3 Multipliers'!$L$3:$N$6,3,FALSE)=0,"Spatial Data Missing",VLOOKUP(M242,'G-3 Multipliers'!$L$3:$N$6,3,FALSE)))</f>
        <v/>
      </c>
      <c r="P242" s="506" t="str">
        <f>IFERROR(VLOOKUP(G242,'G-1 All Habitats'!$B$2:$M$129,12,FALSE),"")</f>
        <v/>
      </c>
      <c r="Q242" s="513" t="str">
        <f>IFERROR(IF(P242="","",IF(AND(P242='G-1 All Habitats'!$X$3,T242&gt;0),U242+V242,IF(AND(P242='G-1 All Habitats'!$X$3,S242&gt;0),U242+V242,IF(AND(P242='G-1 All Habitats'!$X$3,AC242&gt;0),"Any Loss Unacceptable ▲",IF(AND(P242='G-1 All Habitats'!$X$3,W242&gt;0),"Any Loss Unacceptable ▲",H242*J242*L242*O242))))),"Check Data ▲")</f>
        <v/>
      </c>
      <c r="R242" s="50"/>
      <c r="S242" s="71"/>
      <c r="T242" s="72"/>
      <c r="U242" s="511" t="str">
        <f t="shared" si="18"/>
        <v/>
      </c>
      <c r="V242" s="511" t="str">
        <f t="shared" si="19"/>
        <v/>
      </c>
      <c r="W242" s="511" t="str">
        <f>IF(E242="","",IF(H242&lt;S242+T242,"Error in Areas ▲",IF(P242&lt;&gt;'G-1 All Habitats'!$X$3,H242-S242-T242,IF(AND(P242='G-1 All Habitats'!$X$3,Y242="Yes"),"Unacceptable Loss",IF(AND(P242='G-1 All Habitats'!$X$3,Y242="No"),AC242,IF(AND(P242='G-1 All Habitats'!$X$3,Y242=""),AC242,IF(AND(P242='G-1 All Habitats'!$X$3,AC242="None",AC242),IF(AND(P242='G-1 All Habitats'!$X$3,AC242&gt;0),H242-S242-T242))))))))</f>
        <v/>
      </c>
      <c r="X242" s="515" t="str">
        <f>IFERROR(IF(H242="","",IF(H242-S242-T242=0&lt;0,"Error in Areas ▲",IF(S242+T242&gt;H242,"Error in Areas ▲",IF(AND(P242='G-1 All Habitats'!$X$3,Y242="Yes"),"Alternative Compensation ✓",IF(W242=0,0,IF(P242='G-1 All Habitats'!$X$3,"Unacceptable Loss ▲",Q242-U242-V242)))))),"Check Data ▲")</f>
        <v/>
      </c>
      <c r="Y242" s="72"/>
      <c r="Z242" s="80"/>
      <c r="AA242" s="81"/>
      <c r="AC242" s="75" t="str">
        <f>IF(P242="","",IF(P242='G-1 All Habitats'!$X$3,H242-S242-T242,"None"))</f>
        <v/>
      </c>
      <c r="AD242" s="76" t="str">
        <f>IFERROR(AC242*J242*L242*#REF!*O242,IF(P242="","","None"))</f>
        <v/>
      </c>
      <c r="AF242" s="54" t="str">
        <f t="shared" si="15"/>
        <v/>
      </c>
      <c r="AG242" s="54" t="str">
        <f t="shared" si="16"/>
        <v/>
      </c>
      <c r="AH242" s="54" t="str">
        <f>IF(I242="","",IF(#REF!&gt;0,TRUE,FALSE))</f>
        <v/>
      </c>
      <c r="AI242" s="54">
        <v>232</v>
      </c>
      <c r="AJ242" s="54"/>
      <c r="AK242" s="54" t="str">
        <f t="array" ref="AK242">IFERROR(INDEX($AI$11:$AI$259, MATCH(0, IF(TRUE=$AF$11:$AF$259, COUNTIF($AK$10:$AK241, $AI$11:$AI$259), ""), 0)),"")</f>
        <v/>
      </c>
      <c r="AL242" s="54" t="str">
        <f t="array" ref="AL242">IFERROR(INDEX($AI$11:$AI$259, MATCH(0, IF(TRUE=$AG$11:$AG$259, COUNTIF($AL$10:$AL241, $AI$11:$AI$259), ""), 0)),"")</f>
        <v/>
      </c>
      <c r="AM242" s="54" t="str">
        <f t="array" ref="AM242">IFERROR(INDEX($AI$11:$AI$259, MATCH(0, IF(TRUE=$AH$11:$AH$259, COUNTIF($AM$10:$AM241, $AI$11:$AI$259), ""), 0)),"")</f>
        <v/>
      </c>
      <c r="AN242" s="54"/>
      <c r="AQ242" s="47">
        <f t="shared" si="17"/>
        <v>0</v>
      </c>
    </row>
    <row r="243" spans="1:43" x14ac:dyDescent="0.25">
      <c r="A243" s="47" t="str">
        <f>IFERROR(INDEX('G-1 All Habitats'!$AG$3:$AG$15,MATCH(E243,'G-1 All Habitats'!$AF$3:$AF$15,0)),"")</f>
        <v/>
      </c>
      <c r="B243" s="47" t="str">
        <f>IFERROR(INDEX('G-8 Condition Look up'!$I$4:$I$130,MATCH(G243,'G-8 Condition Look up'!$A$4:$A$130,0)),"")</f>
        <v/>
      </c>
      <c r="D243" s="77">
        <v>233</v>
      </c>
      <c r="E243" s="78"/>
      <c r="F243" s="79"/>
      <c r="G243" s="69" t="str">
        <f>IFERROR(INDEX('G-1 All Habitats'!$B$3:$B$129,MATCH(F243,'G-1 All Habitats'!$A$3:$A$129,0)),"")</f>
        <v/>
      </c>
      <c r="H243" s="70"/>
      <c r="I243" s="498" t="str">
        <f>IF(G243="","",VLOOKUP(G243,'G-1 All Habitats'!$B$2:$M$129,10,FALSE))</f>
        <v/>
      </c>
      <c r="J243" s="499" t="str">
        <f>IFERROR(VLOOKUP(I243,'G-1 All Habitats'!$V$3:$W$7,2,FALSE),"")</f>
        <v/>
      </c>
      <c r="K243" s="71"/>
      <c r="L243" s="499" t="str">
        <f>IFERROR(INDEX('G-8 Condition Look up'!$A$3:$H$130,MATCH(G243,'G-8 Condition Look up'!$A$3:$A$130,0),MATCH(K243,'G-8 Condition Look up'!$A$3:$H$3,0)),"")</f>
        <v/>
      </c>
      <c r="M243" s="71"/>
      <c r="N243" s="520" t="str">
        <f>IF(M243="","",IF(VLOOKUP(M243,'G-3 Multipliers'!$L$3:$N$6,2,FALSE)=0,"Spatial Data Missing",VLOOKUP(M243,'G-3 Multipliers'!$L$3:$N$6,2,FALSE)))</f>
        <v/>
      </c>
      <c r="O243" s="505" t="str">
        <f>IF(M243="","",IF(VLOOKUP(M243,'G-3 Multipliers'!$L$3:$N$6,3,FALSE)=0,"Spatial Data Missing",VLOOKUP(M243,'G-3 Multipliers'!$L$3:$N$6,3,FALSE)))</f>
        <v/>
      </c>
      <c r="P243" s="506" t="str">
        <f>IFERROR(VLOOKUP(G243,'G-1 All Habitats'!$B$2:$M$129,12,FALSE),"")</f>
        <v/>
      </c>
      <c r="Q243" s="513" t="str">
        <f>IFERROR(IF(P243="","",IF(AND(P243='G-1 All Habitats'!$X$3,T243&gt;0),U243+V243,IF(AND(P243='G-1 All Habitats'!$X$3,S243&gt;0),U243+V243,IF(AND(P243='G-1 All Habitats'!$X$3,AC243&gt;0),"Any Loss Unacceptable ▲",IF(AND(P243='G-1 All Habitats'!$X$3,W243&gt;0),"Any Loss Unacceptable ▲",H243*J243*L243*O243))))),"Check Data ▲")</f>
        <v/>
      </c>
      <c r="R243" s="50"/>
      <c r="S243" s="71"/>
      <c r="T243" s="72"/>
      <c r="U243" s="511" t="str">
        <f t="shared" si="18"/>
        <v/>
      </c>
      <c r="V243" s="511" t="str">
        <f t="shared" si="19"/>
        <v/>
      </c>
      <c r="W243" s="511" t="str">
        <f>IF(E243="","",IF(H243&lt;S243+T243,"Error in Areas ▲",IF(P243&lt;&gt;'G-1 All Habitats'!$X$3,H243-S243-T243,IF(AND(P243='G-1 All Habitats'!$X$3,Y243="Yes"),"Unacceptable Loss",IF(AND(P243='G-1 All Habitats'!$X$3,Y243="No"),AC243,IF(AND(P243='G-1 All Habitats'!$X$3,Y243=""),AC243,IF(AND(P243='G-1 All Habitats'!$X$3,AC243="None",AC243),IF(AND(P243='G-1 All Habitats'!$X$3,AC243&gt;0),H243-S243-T243))))))))</f>
        <v/>
      </c>
      <c r="X243" s="515" t="str">
        <f>IFERROR(IF(H243="","",IF(H243-S243-T243=0&lt;0,"Error in Areas ▲",IF(S243+T243&gt;H243,"Error in Areas ▲",IF(AND(P243='G-1 All Habitats'!$X$3,Y243="Yes"),"Alternative Compensation ✓",IF(W243=0,0,IF(P243='G-1 All Habitats'!$X$3,"Unacceptable Loss ▲",Q243-U243-V243)))))),"Check Data ▲")</f>
        <v/>
      </c>
      <c r="Y243" s="72"/>
      <c r="Z243" s="80"/>
      <c r="AA243" s="81"/>
      <c r="AC243" s="75" t="str">
        <f>IF(P243="","",IF(P243='G-1 All Habitats'!$X$3,H243-S243-T243,"None"))</f>
        <v/>
      </c>
      <c r="AD243" s="76" t="str">
        <f>IFERROR(AC243*J243*L243*#REF!*O243,IF(P243="","","None"))</f>
        <v/>
      </c>
      <c r="AF243" s="54" t="str">
        <f t="shared" si="15"/>
        <v/>
      </c>
      <c r="AG243" s="54" t="str">
        <f t="shared" si="16"/>
        <v/>
      </c>
      <c r="AH243" s="54" t="str">
        <f>IF(I243="","",IF(#REF!&gt;0,TRUE,FALSE))</f>
        <v/>
      </c>
      <c r="AI243" s="54">
        <v>233</v>
      </c>
      <c r="AJ243" s="54"/>
      <c r="AK243" s="54" t="str">
        <f t="array" ref="AK243">IFERROR(INDEX($AI$11:$AI$259, MATCH(0, IF(TRUE=$AF$11:$AF$259, COUNTIF($AK$10:$AK242, $AI$11:$AI$259), ""), 0)),"")</f>
        <v/>
      </c>
      <c r="AL243" s="54" t="str">
        <f t="array" ref="AL243">IFERROR(INDEX($AI$11:$AI$259, MATCH(0, IF(TRUE=$AG$11:$AG$259, COUNTIF($AL$10:$AL242, $AI$11:$AI$259), ""), 0)),"")</f>
        <v/>
      </c>
      <c r="AM243" s="54" t="str">
        <f t="array" ref="AM243">IFERROR(INDEX($AI$11:$AI$259, MATCH(0, IF(TRUE=$AH$11:$AH$259, COUNTIF($AM$10:$AM242, $AI$11:$AI$259), ""), 0)),"")</f>
        <v/>
      </c>
      <c r="AN243" s="54"/>
      <c r="AQ243" s="47">
        <f t="shared" si="17"/>
        <v>0</v>
      </c>
    </row>
    <row r="244" spans="1:43" x14ac:dyDescent="0.25">
      <c r="A244" s="47" t="str">
        <f>IFERROR(INDEX('G-1 All Habitats'!$AG$3:$AG$15,MATCH(E244,'G-1 All Habitats'!$AF$3:$AF$15,0)),"")</f>
        <v/>
      </c>
      <c r="B244" s="47" t="str">
        <f>IFERROR(INDEX('G-8 Condition Look up'!$I$4:$I$130,MATCH(G244,'G-8 Condition Look up'!$A$4:$A$130,0)),"")</f>
        <v/>
      </c>
      <c r="D244" s="77">
        <v>234</v>
      </c>
      <c r="E244" s="78"/>
      <c r="F244" s="79"/>
      <c r="G244" s="69" t="str">
        <f>IFERROR(INDEX('G-1 All Habitats'!$B$3:$B$129,MATCH(F244,'G-1 All Habitats'!$A$3:$A$129,0)),"")</f>
        <v/>
      </c>
      <c r="H244" s="70"/>
      <c r="I244" s="498" t="str">
        <f>IF(G244="","",VLOOKUP(G244,'G-1 All Habitats'!$B$2:$M$129,10,FALSE))</f>
        <v/>
      </c>
      <c r="J244" s="499" t="str">
        <f>IFERROR(VLOOKUP(I244,'G-1 All Habitats'!$V$3:$W$7,2,FALSE),"")</f>
        <v/>
      </c>
      <c r="K244" s="71"/>
      <c r="L244" s="499" t="str">
        <f>IFERROR(INDEX('G-8 Condition Look up'!$A$3:$H$130,MATCH(G244,'G-8 Condition Look up'!$A$3:$A$130,0),MATCH(K244,'G-8 Condition Look up'!$A$3:$H$3,0)),"")</f>
        <v/>
      </c>
      <c r="M244" s="71"/>
      <c r="N244" s="520" t="str">
        <f>IF(M244="","",IF(VLOOKUP(M244,'G-3 Multipliers'!$L$3:$N$6,2,FALSE)=0,"Spatial Data Missing",VLOOKUP(M244,'G-3 Multipliers'!$L$3:$N$6,2,FALSE)))</f>
        <v/>
      </c>
      <c r="O244" s="505" t="str">
        <f>IF(M244="","",IF(VLOOKUP(M244,'G-3 Multipliers'!$L$3:$N$6,3,FALSE)=0,"Spatial Data Missing",VLOOKUP(M244,'G-3 Multipliers'!$L$3:$N$6,3,FALSE)))</f>
        <v/>
      </c>
      <c r="P244" s="506" t="str">
        <f>IFERROR(VLOOKUP(G244,'G-1 All Habitats'!$B$2:$M$129,12,FALSE),"")</f>
        <v/>
      </c>
      <c r="Q244" s="513" t="str">
        <f>IFERROR(IF(P244="","",IF(AND(P244='G-1 All Habitats'!$X$3,T244&gt;0),U244+V244,IF(AND(P244='G-1 All Habitats'!$X$3,S244&gt;0),U244+V244,IF(AND(P244='G-1 All Habitats'!$X$3,AC244&gt;0),"Any Loss Unacceptable ▲",IF(AND(P244='G-1 All Habitats'!$X$3,W244&gt;0),"Any Loss Unacceptable ▲",H244*J244*L244*O244))))),"Check Data ▲")</f>
        <v/>
      </c>
      <c r="R244" s="50"/>
      <c r="S244" s="71"/>
      <c r="T244" s="72"/>
      <c r="U244" s="511" t="str">
        <f t="shared" si="18"/>
        <v/>
      </c>
      <c r="V244" s="511" t="str">
        <f t="shared" si="19"/>
        <v/>
      </c>
      <c r="W244" s="511" t="str">
        <f>IF(E244="","",IF(H244&lt;S244+T244,"Error in Areas ▲",IF(P244&lt;&gt;'G-1 All Habitats'!$X$3,H244-S244-T244,IF(AND(P244='G-1 All Habitats'!$X$3,Y244="Yes"),"Unacceptable Loss",IF(AND(P244='G-1 All Habitats'!$X$3,Y244="No"),AC244,IF(AND(P244='G-1 All Habitats'!$X$3,Y244=""),AC244,IF(AND(P244='G-1 All Habitats'!$X$3,AC244="None",AC244),IF(AND(P244='G-1 All Habitats'!$X$3,AC244&gt;0),H244-S244-T244))))))))</f>
        <v/>
      </c>
      <c r="X244" s="515" t="str">
        <f>IFERROR(IF(H244="","",IF(H244-S244-T244=0&lt;0,"Error in Areas ▲",IF(S244+T244&gt;H244,"Error in Areas ▲",IF(AND(P244='G-1 All Habitats'!$X$3,Y244="Yes"),"Alternative Compensation ✓",IF(W244=0,0,IF(P244='G-1 All Habitats'!$X$3,"Unacceptable Loss ▲",Q244-U244-V244)))))),"Check Data ▲")</f>
        <v/>
      </c>
      <c r="Y244" s="72"/>
      <c r="Z244" s="80"/>
      <c r="AA244" s="81"/>
      <c r="AC244" s="75" t="str">
        <f>IF(P244="","",IF(P244='G-1 All Habitats'!$X$3,H244-S244-T244,"None"))</f>
        <v/>
      </c>
      <c r="AD244" s="76" t="str">
        <f>IFERROR(AC244*J244*L244*#REF!*O244,IF(P244="","","None"))</f>
        <v/>
      </c>
      <c r="AF244" s="54" t="str">
        <f t="shared" si="15"/>
        <v/>
      </c>
      <c r="AG244" s="54" t="str">
        <f t="shared" si="16"/>
        <v/>
      </c>
      <c r="AH244" s="54" t="str">
        <f>IF(I244="","",IF(#REF!&gt;0,TRUE,FALSE))</f>
        <v/>
      </c>
      <c r="AI244" s="54">
        <v>234</v>
      </c>
      <c r="AJ244" s="54"/>
      <c r="AK244" s="54" t="str">
        <f t="array" ref="AK244">IFERROR(INDEX($AI$11:$AI$259, MATCH(0, IF(TRUE=$AF$11:$AF$259, COUNTIF($AK$10:$AK243, $AI$11:$AI$259), ""), 0)),"")</f>
        <v/>
      </c>
      <c r="AL244" s="54" t="str">
        <f t="array" ref="AL244">IFERROR(INDEX($AI$11:$AI$259, MATCH(0, IF(TRUE=$AG$11:$AG$259, COUNTIF($AL$10:$AL243, $AI$11:$AI$259), ""), 0)),"")</f>
        <v/>
      </c>
      <c r="AM244" s="54" t="str">
        <f t="array" ref="AM244">IFERROR(INDEX($AI$11:$AI$259, MATCH(0, IF(TRUE=$AH$11:$AH$259, COUNTIF($AM$10:$AM243, $AI$11:$AI$259), ""), 0)),"")</f>
        <v/>
      </c>
      <c r="AN244" s="54"/>
      <c r="AQ244" s="47">
        <f t="shared" si="17"/>
        <v>0</v>
      </c>
    </row>
    <row r="245" spans="1:43" x14ac:dyDescent="0.25">
      <c r="A245" s="47" t="str">
        <f>IFERROR(INDEX('G-1 All Habitats'!$AG$3:$AG$15,MATCH(E245,'G-1 All Habitats'!$AF$3:$AF$15,0)),"")</f>
        <v/>
      </c>
      <c r="B245" s="47" t="str">
        <f>IFERROR(INDEX('G-8 Condition Look up'!$I$4:$I$130,MATCH(G245,'G-8 Condition Look up'!$A$4:$A$130,0)),"")</f>
        <v/>
      </c>
      <c r="D245" s="77">
        <v>235</v>
      </c>
      <c r="E245" s="78"/>
      <c r="F245" s="79"/>
      <c r="G245" s="69" t="str">
        <f>IFERROR(INDEX('G-1 All Habitats'!$B$3:$B$129,MATCH(F245,'G-1 All Habitats'!$A$3:$A$129,0)),"")</f>
        <v/>
      </c>
      <c r="H245" s="70"/>
      <c r="I245" s="498" t="str">
        <f>IF(G245="","",VLOOKUP(G245,'G-1 All Habitats'!$B$2:$M$129,10,FALSE))</f>
        <v/>
      </c>
      <c r="J245" s="499" t="str">
        <f>IFERROR(VLOOKUP(I245,'G-1 All Habitats'!$V$3:$W$7,2,FALSE),"")</f>
        <v/>
      </c>
      <c r="K245" s="71"/>
      <c r="L245" s="499" t="str">
        <f>IFERROR(INDEX('G-8 Condition Look up'!$A$3:$H$130,MATCH(G245,'G-8 Condition Look up'!$A$3:$A$130,0),MATCH(K245,'G-8 Condition Look up'!$A$3:$H$3,0)),"")</f>
        <v/>
      </c>
      <c r="M245" s="71"/>
      <c r="N245" s="520" t="str">
        <f>IF(M245="","",IF(VLOOKUP(M245,'G-3 Multipliers'!$L$3:$N$6,2,FALSE)=0,"Spatial Data Missing",VLOOKUP(M245,'G-3 Multipliers'!$L$3:$N$6,2,FALSE)))</f>
        <v/>
      </c>
      <c r="O245" s="505" t="str">
        <f>IF(M245="","",IF(VLOOKUP(M245,'G-3 Multipliers'!$L$3:$N$6,3,FALSE)=0,"Spatial Data Missing",VLOOKUP(M245,'G-3 Multipliers'!$L$3:$N$6,3,FALSE)))</f>
        <v/>
      </c>
      <c r="P245" s="506" t="str">
        <f>IFERROR(VLOOKUP(G245,'G-1 All Habitats'!$B$2:$M$129,12,FALSE),"")</f>
        <v/>
      </c>
      <c r="Q245" s="513" t="str">
        <f>IFERROR(IF(P245="","",IF(AND(P245='G-1 All Habitats'!$X$3,T245&gt;0),U245+V245,IF(AND(P245='G-1 All Habitats'!$X$3,S245&gt;0),U245+V245,IF(AND(P245='G-1 All Habitats'!$X$3,AC245&gt;0),"Any Loss Unacceptable ▲",IF(AND(P245='G-1 All Habitats'!$X$3,W245&gt;0),"Any Loss Unacceptable ▲",H245*J245*L245*O245))))),"Check Data ▲")</f>
        <v/>
      </c>
      <c r="R245" s="50"/>
      <c r="S245" s="71"/>
      <c r="T245" s="72"/>
      <c r="U245" s="511" t="str">
        <f t="shared" si="18"/>
        <v/>
      </c>
      <c r="V245" s="511" t="str">
        <f t="shared" si="19"/>
        <v/>
      </c>
      <c r="W245" s="511" t="str">
        <f>IF(E245="","",IF(H245&lt;S245+T245,"Error in Areas ▲",IF(P245&lt;&gt;'G-1 All Habitats'!$X$3,H245-S245-T245,IF(AND(P245='G-1 All Habitats'!$X$3,Y245="Yes"),"Unacceptable Loss",IF(AND(P245='G-1 All Habitats'!$X$3,Y245="No"),AC245,IF(AND(P245='G-1 All Habitats'!$X$3,Y245=""),AC245,IF(AND(P245='G-1 All Habitats'!$X$3,AC245="None",AC245),IF(AND(P245='G-1 All Habitats'!$X$3,AC245&gt;0),H245-S245-T245))))))))</f>
        <v/>
      </c>
      <c r="X245" s="515" t="str">
        <f>IFERROR(IF(H245="","",IF(H245-S245-T245=0&lt;0,"Error in Areas ▲",IF(S245+T245&gt;H245,"Error in Areas ▲",IF(AND(P245='G-1 All Habitats'!$X$3,Y245="Yes"),"Alternative Compensation ✓",IF(W245=0,0,IF(P245='G-1 All Habitats'!$X$3,"Unacceptable Loss ▲",Q245-U245-V245)))))),"Check Data ▲")</f>
        <v/>
      </c>
      <c r="Y245" s="72"/>
      <c r="Z245" s="80"/>
      <c r="AA245" s="81"/>
      <c r="AC245" s="75" t="str">
        <f>IF(P245="","",IF(P245='G-1 All Habitats'!$X$3,H245-S245-T245,"None"))</f>
        <v/>
      </c>
      <c r="AD245" s="76" t="str">
        <f>IFERROR(AC245*J245*L245*#REF!*O245,IF(P245="","","None"))</f>
        <v/>
      </c>
      <c r="AF245" s="54" t="str">
        <f t="shared" si="15"/>
        <v/>
      </c>
      <c r="AG245" s="54" t="str">
        <f t="shared" si="16"/>
        <v/>
      </c>
      <c r="AH245" s="54" t="str">
        <f>IF(I245="","",IF(#REF!&gt;0,TRUE,FALSE))</f>
        <v/>
      </c>
      <c r="AI245" s="54">
        <v>235</v>
      </c>
      <c r="AJ245" s="54"/>
      <c r="AK245" s="54" t="str">
        <f t="array" ref="AK245">IFERROR(INDEX($AI$11:$AI$259, MATCH(0, IF(TRUE=$AF$11:$AF$259, COUNTIF($AK$10:$AK244, $AI$11:$AI$259), ""), 0)),"")</f>
        <v/>
      </c>
      <c r="AL245" s="54" t="str">
        <f t="array" ref="AL245">IFERROR(INDEX($AI$11:$AI$259, MATCH(0, IF(TRUE=$AG$11:$AG$259, COUNTIF($AL$10:$AL244, $AI$11:$AI$259), ""), 0)),"")</f>
        <v/>
      </c>
      <c r="AM245" s="54" t="str">
        <f t="array" ref="AM245">IFERROR(INDEX($AI$11:$AI$259, MATCH(0, IF(TRUE=$AH$11:$AH$259, COUNTIF($AM$10:$AM244, $AI$11:$AI$259), ""), 0)),"")</f>
        <v/>
      </c>
      <c r="AN245" s="54"/>
      <c r="AQ245" s="47">
        <f t="shared" si="17"/>
        <v>0</v>
      </c>
    </row>
    <row r="246" spans="1:43" x14ac:dyDescent="0.25">
      <c r="A246" s="47" t="str">
        <f>IFERROR(INDEX('G-1 All Habitats'!$AG$3:$AG$15,MATCH(E246,'G-1 All Habitats'!$AF$3:$AF$15,0)),"")</f>
        <v/>
      </c>
      <c r="B246" s="47" t="str">
        <f>IFERROR(INDEX('G-8 Condition Look up'!$I$4:$I$130,MATCH(G246,'G-8 Condition Look up'!$A$4:$A$130,0)),"")</f>
        <v/>
      </c>
      <c r="D246" s="77">
        <v>236</v>
      </c>
      <c r="E246" s="78"/>
      <c r="F246" s="79"/>
      <c r="G246" s="69" t="str">
        <f>IFERROR(INDEX('G-1 All Habitats'!$B$3:$B$129,MATCH(F246,'G-1 All Habitats'!$A$3:$A$129,0)),"")</f>
        <v/>
      </c>
      <c r="H246" s="70"/>
      <c r="I246" s="498" t="str">
        <f>IF(G246="","",VLOOKUP(G246,'G-1 All Habitats'!$B$2:$M$129,10,FALSE))</f>
        <v/>
      </c>
      <c r="J246" s="499" t="str">
        <f>IFERROR(VLOOKUP(I246,'G-1 All Habitats'!$V$3:$W$7,2,FALSE),"")</f>
        <v/>
      </c>
      <c r="K246" s="71"/>
      <c r="L246" s="499" t="str">
        <f>IFERROR(INDEX('G-8 Condition Look up'!$A$3:$H$130,MATCH(G246,'G-8 Condition Look up'!$A$3:$A$130,0),MATCH(K246,'G-8 Condition Look up'!$A$3:$H$3,0)),"")</f>
        <v/>
      </c>
      <c r="M246" s="71"/>
      <c r="N246" s="520" t="str">
        <f>IF(M246="","",IF(VLOOKUP(M246,'G-3 Multipliers'!$L$3:$N$6,2,FALSE)=0,"Spatial Data Missing",VLOOKUP(M246,'G-3 Multipliers'!$L$3:$N$6,2,FALSE)))</f>
        <v/>
      </c>
      <c r="O246" s="505" t="str">
        <f>IF(M246="","",IF(VLOOKUP(M246,'G-3 Multipliers'!$L$3:$N$6,3,FALSE)=0,"Spatial Data Missing",VLOOKUP(M246,'G-3 Multipliers'!$L$3:$N$6,3,FALSE)))</f>
        <v/>
      </c>
      <c r="P246" s="506" t="str">
        <f>IFERROR(VLOOKUP(G246,'G-1 All Habitats'!$B$2:$M$129,12,FALSE),"")</f>
        <v/>
      </c>
      <c r="Q246" s="513" t="str">
        <f>IFERROR(IF(P246="","",IF(AND(P246='G-1 All Habitats'!$X$3,T246&gt;0),U246+V246,IF(AND(P246='G-1 All Habitats'!$X$3,S246&gt;0),U246+V246,IF(AND(P246='G-1 All Habitats'!$X$3,AC246&gt;0),"Any Loss Unacceptable ▲",IF(AND(P246='G-1 All Habitats'!$X$3,W246&gt;0),"Any Loss Unacceptable ▲",H246*J246*L246*O246))))),"Check Data ▲")</f>
        <v/>
      </c>
      <c r="R246" s="50"/>
      <c r="S246" s="71"/>
      <c r="T246" s="72"/>
      <c r="U246" s="511" t="str">
        <f t="shared" si="18"/>
        <v/>
      </c>
      <c r="V246" s="511" t="str">
        <f t="shared" si="19"/>
        <v/>
      </c>
      <c r="W246" s="511" t="str">
        <f>IF(E246="","",IF(H246&lt;S246+T246,"Error in Areas ▲",IF(P246&lt;&gt;'G-1 All Habitats'!$X$3,H246-S246-T246,IF(AND(P246='G-1 All Habitats'!$X$3,Y246="Yes"),"Unacceptable Loss",IF(AND(P246='G-1 All Habitats'!$X$3,Y246="No"),AC246,IF(AND(P246='G-1 All Habitats'!$X$3,Y246=""),AC246,IF(AND(P246='G-1 All Habitats'!$X$3,AC246="None",AC246),IF(AND(P246='G-1 All Habitats'!$X$3,AC246&gt;0),H246-S246-T246))))))))</f>
        <v/>
      </c>
      <c r="X246" s="515" t="str">
        <f>IFERROR(IF(H246="","",IF(H246-S246-T246=0&lt;0,"Error in Areas ▲",IF(S246+T246&gt;H246,"Error in Areas ▲",IF(AND(P246='G-1 All Habitats'!$X$3,Y246="Yes"),"Alternative Compensation ✓",IF(W246=0,0,IF(P246='G-1 All Habitats'!$X$3,"Unacceptable Loss ▲",Q246-U246-V246)))))),"Check Data ▲")</f>
        <v/>
      </c>
      <c r="Y246" s="72"/>
      <c r="Z246" s="80"/>
      <c r="AA246" s="81"/>
      <c r="AC246" s="75" t="str">
        <f>IF(P246="","",IF(P246='G-1 All Habitats'!$X$3,H246-S246-T246,"None"))</f>
        <v/>
      </c>
      <c r="AD246" s="76" t="str">
        <f>IFERROR(AC246*J246*L246*#REF!*O246,IF(P246="","","None"))</f>
        <v/>
      </c>
      <c r="AF246" s="54" t="str">
        <f t="shared" si="15"/>
        <v/>
      </c>
      <c r="AG246" s="54" t="str">
        <f t="shared" si="16"/>
        <v/>
      </c>
      <c r="AH246" s="54" t="str">
        <f>IF(I246="","",IF(#REF!&gt;0,TRUE,FALSE))</f>
        <v/>
      </c>
      <c r="AI246" s="54">
        <v>236</v>
      </c>
      <c r="AJ246" s="54"/>
      <c r="AK246" s="54" t="str">
        <f t="array" ref="AK246">IFERROR(INDEX($AI$11:$AI$259, MATCH(0, IF(TRUE=$AF$11:$AF$259, COUNTIF($AK$10:$AK245, $AI$11:$AI$259), ""), 0)),"")</f>
        <v/>
      </c>
      <c r="AL246" s="54" t="str">
        <f t="array" ref="AL246">IFERROR(INDEX($AI$11:$AI$259, MATCH(0, IF(TRUE=$AG$11:$AG$259, COUNTIF($AL$10:$AL245, $AI$11:$AI$259), ""), 0)),"")</f>
        <v/>
      </c>
      <c r="AM246" s="54" t="str">
        <f t="array" ref="AM246">IFERROR(INDEX($AI$11:$AI$259, MATCH(0, IF(TRUE=$AH$11:$AH$259, COUNTIF($AM$10:$AM245, $AI$11:$AI$259), ""), 0)),"")</f>
        <v/>
      </c>
      <c r="AN246" s="54"/>
      <c r="AQ246" s="47">
        <f t="shared" si="17"/>
        <v>0</v>
      </c>
    </row>
    <row r="247" spans="1:43" x14ac:dyDescent="0.25">
      <c r="A247" s="47" t="str">
        <f>IFERROR(INDEX('G-1 All Habitats'!$AG$3:$AG$15,MATCH(E247,'G-1 All Habitats'!$AF$3:$AF$15,0)),"")</f>
        <v/>
      </c>
      <c r="B247" s="47" t="str">
        <f>IFERROR(INDEX('G-8 Condition Look up'!$I$4:$I$130,MATCH(G247,'G-8 Condition Look up'!$A$4:$A$130,0)),"")</f>
        <v/>
      </c>
      <c r="D247" s="77">
        <v>237</v>
      </c>
      <c r="E247" s="78"/>
      <c r="F247" s="79"/>
      <c r="G247" s="69" t="str">
        <f>IFERROR(INDEX('G-1 All Habitats'!$B$3:$B$129,MATCH(F247,'G-1 All Habitats'!$A$3:$A$129,0)),"")</f>
        <v/>
      </c>
      <c r="H247" s="70"/>
      <c r="I247" s="498" t="str">
        <f>IF(G247="","",VLOOKUP(G247,'G-1 All Habitats'!$B$2:$M$129,10,FALSE))</f>
        <v/>
      </c>
      <c r="J247" s="499" t="str">
        <f>IFERROR(VLOOKUP(I247,'G-1 All Habitats'!$V$3:$W$7,2,FALSE),"")</f>
        <v/>
      </c>
      <c r="K247" s="71"/>
      <c r="L247" s="499" t="str">
        <f>IFERROR(INDEX('G-8 Condition Look up'!$A$3:$H$130,MATCH(G247,'G-8 Condition Look up'!$A$3:$A$130,0),MATCH(K247,'G-8 Condition Look up'!$A$3:$H$3,0)),"")</f>
        <v/>
      </c>
      <c r="M247" s="71"/>
      <c r="N247" s="520" t="str">
        <f>IF(M247="","",IF(VLOOKUP(M247,'G-3 Multipliers'!$L$3:$N$6,2,FALSE)=0,"Spatial Data Missing",VLOOKUP(M247,'G-3 Multipliers'!$L$3:$N$6,2,FALSE)))</f>
        <v/>
      </c>
      <c r="O247" s="505" t="str">
        <f>IF(M247="","",IF(VLOOKUP(M247,'G-3 Multipliers'!$L$3:$N$6,3,FALSE)=0,"Spatial Data Missing",VLOOKUP(M247,'G-3 Multipliers'!$L$3:$N$6,3,FALSE)))</f>
        <v/>
      </c>
      <c r="P247" s="506" t="str">
        <f>IFERROR(VLOOKUP(G247,'G-1 All Habitats'!$B$2:$M$129,12,FALSE),"")</f>
        <v/>
      </c>
      <c r="Q247" s="513" t="str">
        <f>IFERROR(IF(P247="","",IF(AND(P247='G-1 All Habitats'!$X$3,T247&gt;0),U247+V247,IF(AND(P247='G-1 All Habitats'!$X$3,S247&gt;0),U247+V247,IF(AND(P247='G-1 All Habitats'!$X$3,AC247&gt;0),"Any Loss Unacceptable ▲",IF(AND(P247='G-1 All Habitats'!$X$3,W247&gt;0),"Any Loss Unacceptable ▲",H247*J247*L247*O247))))),"Check Data ▲")</f>
        <v/>
      </c>
      <c r="R247" s="50"/>
      <c r="S247" s="71"/>
      <c r="T247" s="72"/>
      <c r="U247" s="511" t="str">
        <f t="shared" si="18"/>
        <v/>
      </c>
      <c r="V247" s="511" t="str">
        <f t="shared" si="19"/>
        <v/>
      </c>
      <c r="W247" s="511" t="str">
        <f>IF(E247="","",IF(H247&lt;S247+T247,"Error in Areas ▲",IF(P247&lt;&gt;'G-1 All Habitats'!$X$3,H247-S247-T247,IF(AND(P247='G-1 All Habitats'!$X$3,Y247="Yes"),"Unacceptable Loss",IF(AND(P247='G-1 All Habitats'!$X$3,Y247="No"),AC247,IF(AND(P247='G-1 All Habitats'!$X$3,Y247=""),AC247,IF(AND(P247='G-1 All Habitats'!$X$3,AC247="None",AC247),IF(AND(P247='G-1 All Habitats'!$X$3,AC247&gt;0),H247-S247-T247))))))))</f>
        <v/>
      </c>
      <c r="X247" s="515" t="str">
        <f>IFERROR(IF(H247="","",IF(H247-S247-T247=0&lt;0,"Error in Areas ▲",IF(S247+T247&gt;H247,"Error in Areas ▲",IF(AND(P247='G-1 All Habitats'!$X$3,Y247="Yes"),"Alternative Compensation ✓",IF(W247=0,0,IF(P247='G-1 All Habitats'!$X$3,"Unacceptable Loss ▲",Q247-U247-V247)))))),"Check Data ▲")</f>
        <v/>
      </c>
      <c r="Y247" s="72"/>
      <c r="Z247" s="80"/>
      <c r="AA247" s="81"/>
      <c r="AC247" s="75" t="str">
        <f>IF(P247="","",IF(P247='G-1 All Habitats'!$X$3,H247-S247-T247,"None"))</f>
        <v/>
      </c>
      <c r="AD247" s="76" t="str">
        <f>IFERROR(AC247*J247*L247*#REF!*O247,IF(P247="","","None"))</f>
        <v/>
      </c>
      <c r="AF247" s="54" t="str">
        <f t="shared" si="15"/>
        <v/>
      </c>
      <c r="AG247" s="54" t="str">
        <f t="shared" si="16"/>
        <v/>
      </c>
      <c r="AH247" s="54" t="str">
        <f>IF(I247="","",IF(#REF!&gt;0,TRUE,FALSE))</f>
        <v/>
      </c>
      <c r="AI247" s="54">
        <v>237</v>
      </c>
      <c r="AJ247" s="54"/>
      <c r="AK247" s="54" t="str">
        <f t="array" ref="AK247">IFERROR(INDEX($AI$11:$AI$259, MATCH(0, IF(TRUE=$AF$11:$AF$259, COUNTIF($AK$10:$AK246, $AI$11:$AI$259), ""), 0)),"")</f>
        <v/>
      </c>
      <c r="AL247" s="54" t="str">
        <f t="array" ref="AL247">IFERROR(INDEX($AI$11:$AI$259, MATCH(0, IF(TRUE=$AG$11:$AG$259, COUNTIF($AL$10:$AL246, $AI$11:$AI$259), ""), 0)),"")</f>
        <v/>
      </c>
      <c r="AM247" s="54" t="str">
        <f t="array" ref="AM247">IFERROR(INDEX($AI$11:$AI$259, MATCH(0, IF(TRUE=$AH$11:$AH$259, COUNTIF($AM$10:$AM246, $AI$11:$AI$259), ""), 0)),"")</f>
        <v/>
      </c>
      <c r="AN247" s="54"/>
      <c r="AQ247" s="47">
        <f t="shared" si="17"/>
        <v>0</v>
      </c>
    </row>
    <row r="248" spans="1:43" x14ac:dyDescent="0.25">
      <c r="A248" s="47" t="str">
        <f>IFERROR(INDEX('G-1 All Habitats'!$AG$3:$AG$15,MATCH(E248,'G-1 All Habitats'!$AF$3:$AF$15,0)),"")</f>
        <v/>
      </c>
      <c r="B248" s="47" t="str">
        <f>IFERROR(INDEX('G-8 Condition Look up'!$I$4:$I$130,MATCH(G248,'G-8 Condition Look up'!$A$4:$A$130,0)),"")</f>
        <v/>
      </c>
      <c r="D248" s="77">
        <v>238</v>
      </c>
      <c r="E248" s="78"/>
      <c r="F248" s="79"/>
      <c r="G248" s="69" t="str">
        <f>IFERROR(INDEX('G-1 All Habitats'!$B$3:$B$129,MATCH(F248,'G-1 All Habitats'!$A$3:$A$129,0)),"")</f>
        <v/>
      </c>
      <c r="H248" s="70"/>
      <c r="I248" s="498" t="str">
        <f>IF(G248="","",VLOOKUP(G248,'G-1 All Habitats'!$B$2:$M$129,10,FALSE))</f>
        <v/>
      </c>
      <c r="J248" s="499" t="str">
        <f>IFERROR(VLOOKUP(I248,'G-1 All Habitats'!$V$3:$W$7,2,FALSE),"")</f>
        <v/>
      </c>
      <c r="K248" s="71"/>
      <c r="L248" s="499" t="str">
        <f>IFERROR(INDEX('G-8 Condition Look up'!$A$3:$H$130,MATCH(G248,'G-8 Condition Look up'!$A$3:$A$130,0),MATCH(K248,'G-8 Condition Look up'!$A$3:$H$3,0)),"")</f>
        <v/>
      </c>
      <c r="M248" s="71"/>
      <c r="N248" s="520" t="str">
        <f>IF(M248="","",IF(VLOOKUP(M248,'G-3 Multipliers'!$L$3:$N$6,2,FALSE)=0,"Spatial Data Missing",VLOOKUP(M248,'G-3 Multipliers'!$L$3:$N$6,2,FALSE)))</f>
        <v/>
      </c>
      <c r="O248" s="505" t="str">
        <f>IF(M248="","",IF(VLOOKUP(M248,'G-3 Multipliers'!$L$3:$N$6,3,FALSE)=0,"Spatial Data Missing",VLOOKUP(M248,'G-3 Multipliers'!$L$3:$N$6,3,FALSE)))</f>
        <v/>
      </c>
      <c r="P248" s="506" t="str">
        <f>IFERROR(VLOOKUP(G248,'G-1 All Habitats'!$B$2:$M$129,12,FALSE),"")</f>
        <v/>
      </c>
      <c r="Q248" s="513" t="str">
        <f>IFERROR(IF(P248="","",IF(AND(P248='G-1 All Habitats'!$X$3,T248&gt;0),U248+V248,IF(AND(P248='G-1 All Habitats'!$X$3,S248&gt;0),U248+V248,IF(AND(P248='G-1 All Habitats'!$X$3,AC248&gt;0),"Any Loss Unacceptable ▲",IF(AND(P248='G-1 All Habitats'!$X$3,W248&gt;0),"Any Loss Unacceptable ▲",H248*J248*L248*O248))))),"Check Data ▲")</f>
        <v/>
      </c>
      <c r="R248" s="50"/>
      <c r="S248" s="71"/>
      <c r="T248" s="72"/>
      <c r="U248" s="511" t="str">
        <f t="shared" si="18"/>
        <v/>
      </c>
      <c r="V248" s="511" t="str">
        <f t="shared" si="19"/>
        <v/>
      </c>
      <c r="W248" s="511" t="str">
        <f>IF(E248="","",IF(H248&lt;S248+T248,"Error in Areas ▲",IF(P248&lt;&gt;'G-1 All Habitats'!$X$3,H248-S248-T248,IF(AND(P248='G-1 All Habitats'!$X$3,Y248="Yes"),"Unacceptable Loss",IF(AND(P248='G-1 All Habitats'!$X$3,Y248="No"),AC248,IF(AND(P248='G-1 All Habitats'!$X$3,Y248=""),AC248,IF(AND(P248='G-1 All Habitats'!$X$3,AC248="None",AC248),IF(AND(P248='G-1 All Habitats'!$X$3,AC248&gt;0),H248-S248-T248))))))))</f>
        <v/>
      </c>
      <c r="X248" s="515" t="str">
        <f>IFERROR(IF(H248="","",IF(H248-S248-T248=0&lt;0,"Error in Areas ▲",IF(S248+T248&gt;H248,"Error in Areas ▲",IF(AND(P248='G-1 All Habitats'!$X$3,Y248="Yes"),"Alternative Compensation ✓",IF(W248=0,0,IF(P248='G-1 All Habitats'!$X$3,"Unacceptable Loss ▲",Q248-U248-V248)))))),"Check Data ▲")</f>
        <v/>
      </c>
      <c r="Y248" s="72"/>
      <c r="Z248" s="80"/>
      <c r="AA248" s="81"/>
      <c r="AC248" s="75" t="str">
        <f>IF(P248="","",IF(P248='G-1 All Habitats'!$X$3,H248-S248-T248,"None"))</f>
        <v/>
      </c>
      <c r="AD248" s="76" t="str">
        <f>IFERROR(AC248*J248*L248*#REF!*O248,IF(P248="","","None"))</f>
        <v/>
      </c>
      <c r="AF248" s="54" t="str">
        <f t="shared" si="15"/>
        <v/>
      </c>
      <c r="AG248" s="54" t="str">
        <f t="shared" si="16"/>
        <v/>
      </c>
      <c r="AH248" s="54" t="str">
        <f>IF(I248="","",IF(#REF!&gt;0,TRUE,FALSE))</f>
        <v/>
      </c>
      <c r="AI248" s="54">
        <v>238</v>
      </c>
      <c r="AJ248" s="54"/>
      <c r="AK248" s="54" t="str">
        <f t="array" ref="AK248">IFERROR(INDEX($AI$11:$AI$259, MATCH(0, IF(TRUE=$AF$11:$AF$259, COUNTIF($AK$10:$AK247, $AI$11:$AI$259), ""), 0)),"")</f>
        <v/>
      </c>
      <c r="AL248" s="54" t="str">
        <f t="array" ref="AL248">IFERROR(INDEX($AI$11:$AI$259, MATCH(0, IF(TRUE=$AG$11:$AG$259, COUNTIF($AL$10:$AL247, $AI$11:$AI$259), ""), 0)),"")</f>
        <v/>
      </c>
      <c r="AM248" s="54" t="str">
        <f t="array" ref="AM248">IFERROR(INDEX($AI$11:$AI$259, MATCH(0, IF(TRUE=$AH$11:$AH$259, COUNTIF($AM$10:$AM247, $AI$11:$AI$259), ""), 0)),"")</f>
        <v/>
      </c>
      <c r="AN248" s="54"/>
      <c r="AQ248" s="47">
        <f t="shared" si="17"/>
        <v>0</v>
      </c>
    </row>
    <row r="249" spans="1:43" x14ac:dyDescent="0.25">
      <c r="A249" s="47" t="str">
        <f>IFERROR(INDEX('G-1 All Habitats'!$AG$3:$AG$15,MATCH(E249,'G-1 All Habitats'!$AF$3:$AF$15,0)),"")</f>
        <v/>
      </c>
      <c r="B249" s="47" t="str">
        <f>IFERROR(INDEX('G-8 Condition Look up'!$I$4:$I$130,MATCH(G249,'G-8 Condition Look up'!$A$4:$A$130,0)),"")</f>
        <v/>
      </c>
      <c r="D249" s="77">
        <v>239</v>
      </c>
      <c r="E249" s="78"/>
      <c r="F249" s="79"/>
      <c r="G249" s="69" t="str">
        <f>IFERROR(INDEX('G-1 All Habitats'!$B$3:$B$129,MATCH(F249,'G-1 All Habitats'!$A$3:$A$129,0)),"")</f>
        <v/>
      </c>
      <c r="H249" s="70"/>
      <c r="I249" s="498" t="str">
        <f>IF(G249="","",VLOOKUP(G249,'G-1 All Habitats'!$B$2:$M$129,10,FALSE))</f>
        <v/>
      </c>
      <c r="J249" s="499" t="str">
        <f>IFERROR(VLOOKUP(I249,'G-1 All Habitats'!$V$3:$W$7,2,FALSE),"")</f>
        <v/>
      </c>
      <c r="K249" s="71"/>
      <c r="L249" s="499" t="str">
        <f>IFERROR(INDEX('G-8 Condition Look up'!$A$3:$H$130,MATCH(G249,'G-8 Condition Look up'!$A$3:$A$130,0),MATCH(K249,'G-8 Condition Look up'!$A$3:$H$3,0)),"")</f>
        <v/>
      </c>
      <c r="M249" s="71"/>
      <c r="N249" s="520" t="str">
        <f>IF(M249="","",IF(VLOOKUP(M249,'G-3 Multipliers'!$L$3:$N$6,2,FALSE)=0,"Spatial Data Missing",VLOOKUP(M249,'G-3 Multipliers'!$L$3:$N$6,2,FALSE)))</f>
        <v/>
      </c>
      <c r="O249" s="505" t="str">
        <f>IF(M249="","",IF(VLOOKUP(M249,'G-3 Multipliers'!$L$3:$N$6,3,FALSE)=0,"Spatial Data Missing",VLOOKUP(M249,'G-3 Multipliers'!$L$3:$N$6,3,FALSE)))</f>
        <v/>
      </c>
      <c r="P249" s="506" t="str">
        <f>IFERROR(VLOOKUP(G249,'G-1 All Habitats'!$B$2:$M$129,12,FALSE),"")</f>
        <v/>
      </c>
      <c r="Q249" s="513" t="str">
        <f>IFERROR(IF(P249="","",IF(AND(P249='G-1 All Habitats'!$X$3,T249&gt;0),U249+V249,IF(AND(P249='G-1 All Habitats'!$X$3,S249&gt;0),U249+V249,IF(AND(P249='G-1 All Habitats'!$X$3,AC249&gt;0),"Any Loss Unacceptable ▲",IF(AND(P249='G-1 All Habitats'!$X$3,W249&gt;0),"Any Loss Unacceptable ▲",H249*J249*L249*O249))))),"Check Data ▲")</f>
        <v/>
      </c>
      <c r="R249" s="50"/>
      <c r="S249" s="71"/>
      <c r="T249" s="72"/>
      <c r="U249" s="511" t="str">
        <f t="shared" si="18"/>
        <v/>
      </c>
      <c r="V249" s="511" t="str">
        <f t="shared" si="19"/>
        <v/>
      </c>
      <c r="W249" s="511" t="str">
        <f>IF(E249="","",IF(H249&lt;S249+T249,"Error in Areas ▲",IF(P249&lt;&gt;'G-1 All Habitats'!$X$3,H249-S249-T249,IF(AND(P249='G-1 All Habitats'!$X$3,Y249="Yes"),"Unacceptable Loss",IF(AND(P249='G-1 All Habitats'!$X$3,Y249="No"),AC249,IF(AND(P249='G-1 All Habitats'!$X$3,Y249=""),AC249,IF(AND(P249='G-1 All Habitats'!$X$3,AC249="None",AC249),IF(AND(P249='G-1 All Habitats'!$X$3,AC249&gt;0),H249-S249-T249))))))))</f>
        <v/>
      </c>
      <c r="X249" s="515" t="str">
        <f>IFERROR(IF(H249="","",IF(H249-S249-T249=0&lt;0,"Error in Areas ▲",IF(S249+T249&gt;H249,"Error in Areas ▲",IF(AND(P249='G-1 All Habitats'!$X$3,Y249="Yes"),"Alternative Compensation ✓",IF(W249=0,0,IF(P249='G-1 All Habitats'!$X$3,"Unacceptable Loss ▲",Q249-U249-V249)))))),"Check Data ▲")</f>
        <v/>
      </c>
      <c r="Y249" s="72"/>
      <c r="Z249" s="80"/>
      <c r="AA249" s="81"/>
      <c r="AC249" s="75" t="str">
        <f>IF(P249="","",IF(P249='G-1 All Habitats'!$X$3,H249-S249-T249,"None"))</f>
        <v/>
      </c>
      <c r="AD249" s="76" t="str">
        <f>IFERROR(AC249*J249*L249*#REF!*O249,IF(P249="","","None"))</f>
        <v/>
      </c>
      <c r="AF249" s="54" t="str">
        <f t="shared" si="15"/>
        <v/>
      </c>
      <c r="AG249" s="54" t="str">
        <f t="shared" si="16"/>
        <v/>
      </c>
      <c r="AH249" s="54" t="str">
        <f>IF(I249="","",IF(#REF!&gt;0,TRUE,FALSE))</f>
        <v/>
      </c>
      <c r="AI249" s="54">
        <v>239</v>
      </c>
      <c r="AJ249" s="54"/>
      <c r="AK249" s="54" t="str">
        <f t="array" ref="AK249">IFERROR(INDEX($AI$11:$AI$259, MATCH(0, IF(TRUE=$AF$11:$AF$259, COUNTIF($AK$10:$AK248, $AI$11:$AI$259), ""), 0)),"")</f>
        <v/>
      </c>
      <c r="AL249" s="54" t="str">
        <f t="array" ref="AL249">IFERROR(INDEX($AI$11:$AI$259, MATCH(0, IF(TRUE=$AG$11:$AG$259, COUNTIF($AL$10:$AL248, $AI$11:$AI$259), ""), 0)),"")</f>
        <v/>
      </c>
      <c r="AM249" s="54" t="str">
        <f t="array" ref="AM249">IFERROR(INDEX($AI$11:$AI$259, MATCH(0, IF(TRUE=$AH$11:$AH$259, COUNTIF($AM$10:$AM248, $AI$11:$AI$259), ""), 0)),"")</f>
        <v/>
      </c>
      <c r="AN249" s="54"/>
      <c r="AQ249" s="47">
        <f t="shared" si="17"/>
        <v>0</v>
      </c>
    </row>
    <row r="250" spans="1:43" x14ac:dyDescent="0.25">
      <c r="A250" s="47" t="str">
        <f>IFERROR(INDEX('G-1 All Habitats'!$AG$3:$AG$15,MATCH(E250,'G-1 All Habitats'!$AF$3:$AF$15,0)),"")</f>
        <v/>
      </c>
      <c r="B250" s="47" t="str">
        <f>IFERROR(INDEX('G-8 Condition Look up'!$I$4:$I$130,MATCH(G250,'G-8 Condition Look up'!$A$4:$A$130,0)),"")</f>
        <v/>
      </c>
      <c r="D250" s="77">
        <v>240</v>
      </c>
      <c r="E250" s="78"/>
      <c r="F250" s="79"/>
      <c r="G250" s="69" t="str">
        <f>IFERROR(INDEX('G-1 All Habitats'!$B$3:$B$129,MATCH(F250,'G-1 All Habitats'!$A$3:$A$129,0)),"")</f>
        <v/>
      </c>
      <c r="H250" s="70"/>
      <c r="I250" s="498" t="str">
        <f>IF(G250="","",VLOOKUP(G250,'G-1 All Habitats'!$B$2:$M$129,10,FALSE))</f>
        <v/>
      </c>
      <c r="J250" s="499" t="str">
        <f>IFERROR(VLOOKUP(I250,'G-1 All Habitats'!$V$3:$W$7,2,FALSE),"")</f>
        <v/>
      </c>
      <c r="K250" s="71"/>
      <c r="L250" s="499" t="str">
        <f>IFERROR(INDEX('G-8 Condition Look up'!$A$3:$H$130,MATCH(G250,'G-8 Condition Look up'!$A$3:$A$130,0),MATCH(K250,'G-8 Condition Look up'!$A$3:$H$3,0)),"")</f>
        <v/>
      </c>
      <c r="M250" s="71"/>
      <c r="N250" s="520" t="str">
        <f>IF(M250="","",IF(VLOOKUP(M250,'G-3 Multipliers'!$L$3:$N$6,2,FALSE)=0,"Spatial Data Missing",VLOOKUP(M250,'G-3 Multipliers'!$L$3:$N$6,2,FALSE)))</f>
        <v/>
      </c>
      <c r="O250" s="505" t="str">
        <f>IF(M250="","",IF(VLOOKUP(M250,'G-3 Multipliers'!$L$3:$N$6,3,FALSE)=0,"Spatial Data Missing",VLOOKUP(M250,'G-3 Multipliers'!$L$3:$N$6,3,FALSE)))</f>
        <v/>
      </c>
      <c r="P250" s="506" t="str">
        <f>IFERROR(VLOOKUP(G250,'G-1 All Habitats'!$B$2:$M$129,12,FALSE),"")</f>
        <v/>
      </c>
      <c r="Q250" s="513" t="str">
        <f>IFERROR(IF(P250="","",IF(AND(P250='G-1 All Habitats'!$X$3,T250&gt;0),U250+V250,IF(AND(P250='G-1 All Habitats'!$X$3,S250&gt;0),U250+V250,IF(AND(P250='G-1 All Habitats'!$X$3,AC250&gt;0),"Any Loss Unacceptable ▲",IF(AND(P250='G-1 All Habitats'!$X$3,W250&gt;0),"Any Loss Unacceptable ▲",H250*J250*L250*O250))))),"Check Data ▲")</f>
        <v/>
      </c>
      <c r="R250" s="50"/>
      <c r="S250" s="71"/>
      <c r="T250" s="72"/>
      <c r="U250" s="511" t="str">
        <f t="shared" si="18"/>
        <v/>
      </c>
      <c r="V250" s="511" t="str">
        <f t="shared" si="19"/>
        <v/>
      </c>
      <c r="W250" s="511" t="str">
        <f>IF(E250="","",IF(H250&lt;S250+T250,"Error in Areas ▲",IF(P250&lt;&gt;'G-1 All Habitats'!$X$3,H250-S250-T250,IF(AND(P250='G-1 All Habitats'!$X$3,Y250="Yes"),"Unacceptable Loss",IF(AND(P250='G-1 All Habitats'!$X$3,Y250="No"),AC250,IF(AND(P250='G-1 All Habitats'!$X$3,Y250=""),AC250,IF(AND(P250='G-1 All Habitats'!$X$3,AC250="None",AC250),IF(AND(P250='G-1 All Habitats'!$X$3,AC250&gt;0),H250-S250-T250))))))))</f>
        <v/>
      </c>
      <c r="X250" s="515" t="str">
        <f>IFERROR(IF(H250="","",IF(H250-S250-T250=0&lt;0,"Error in Areas ▲",IF(S250+T250&gt;H250,"Error in Areas ▲",IF(AND(P250='G-1 All Habitats'!$X$3,Y250="Yes"),"Alternative Compensation ✓",IF(W250=0,0,IF(P250='G-1 All Habitats'!$X$3,"Unacceptable Loss ▲",Q250-U250-V250)))))),"Check Data ▲")</f>
        <v/>
      </c>
      <c r="Y250" s="72"/>
      <c r="Z250" s="80"/>
      <c r="AA250" s="81"/>
      <c r="AC250" s="75" t="str">
        <f>IF(P250="","",IF(P250='G-1 All Habitats'!$X$3,H250-S250-T250,"None"))</f>
        <v/>
      </c>
      <c r="AD250" s="76" t="str">
        <f>IFERROR(AC250*J250*L250*#REF!*O250,IF(P250="","","None"))</f>
        <v/>
      </c>
      <c r="AF250" s="54" t="str">
        <f t="shared" si="15"/>
        <v/>
      </c>
      <c r="AG250" s="54" t="str">
        <f t="shared" si="16"/>
        <v/>
      </c>
      <c r="AH250" s="54" t="str">
        <f>IF(I250="","",IF(#REF!&gt;0,TRUE,FALSE))</f>
        <v/>
      </c>
      <c r="AI250" s="54">
        <v>240</v>
      </c>
      <c r="AJ250" s="54"/>
      <c r="AK250" s="54" t="str">
        <f t="array" ref="AK250">IFERROR(INDEX($AI$11:$AI$259, MATCH(0, IF(TRUE=$AF$11:$AF$259, COUNTIF($AK$10:$AK249, $AI$11:$AI$259), ""), 0)),"")</f>
        <v/>
      </c>
      <c r="AL250" s="54" t="str">
        <f t="array" ref="AL250">IFERROR(INDEX($AI$11:$AI$259, MATCH(0, IF(TRUE=$AG$11:$AG$259, COUNTIF($AL$10:$AL249, $AI$11:$AI$259), ""), 0)),"")</f>
        <v/>
      </c>
      <c r="AM250" s="54" t="str">
        <f t="array" ref="AM250">IFERROR(INDEX($AI$11:$AI$259, MATCH(0, IF(TRUE=$AH$11:$AH$259, COUNTIF($AM$10:$AM249, $AI$11:$AI$259), ""), 0)),"")</f>
        <v/>
      </c>
      <c r="AN250" s="54"/>
      <c r="AQ250" s="47">
        <f t="shared" si="17"/>
        <v>0</v>
      </c>
    </row>
    <row r="251" spans="1:43" x14ac:dyDescent="0.25">
      <c r="A251" s="47" t="str">
        <f>IFERROR(INDEX('G-1 All Habitats'!$AG$3:$AG$15,MATCH(E251,'G-1 All Habitats'!$AF$3:$AF$15,0)),"")</f>
        <v/>
      </c>
      <c r="B251" s="47" t="str">
        <f>IFERROR(INDEX('G-8 Condition Look up'!$I$4:$I$130,MATCH(G251,'G-8 Condition Look up'!$A$4:$A$130,0)),"")</f>
        <v/>
      </c>
      <c r="D251" s="77">
        <v>241</v>
      </c>
      <c r="E251" s="78"/>
      <c r="F251" s="79"/>
      <c r="G251" s="69" t="str">
        <f>IFERROR(INDEX('G-1 All Habitats'!$B$3:$B$129,MATCH(F251,'G-1 All Habitats'!$A$3:$A$129,0)),"")</f>
        <v/>
      </c>
      <c r="H251" s="70"/>
      <c r="I251" s="498" t="str">
        <f>IF(G251="","",VLOOKUP(G251,'G-1 All Habitats'!$B$2:$M$129,10,FALSE))</f>
        <v/>
      </c>
      <c r="J251" s="499" t="str">
        <f>IFERROR(VLOOKUP(I251,'G-1 All Habitats'!$V$3:$W$7,2,FALSE),"")</f>
        <v/>
      </c>
      <c r="K251" s="71"/>
      <c r="L251" s="499" t="str">
        <f>IFERROR(INDEX('G-8 Condition Look up'!$A$3:$H$130,MATCH(G251,'G-8 Condition Look up'!$A$3:$A$130,0),MATCH(K251,'G-8 Condition Look up'!$A$3:$H$3,0)),"")</f>
        <v/>
      </c>
      <c r="M251" s="71"/>
      <c r="N251" s="520" t="str">
        <f>IF(M251="","",IF(VLOOKUP(M251,'G-3 Multipliers'!$L$3:$N$6,2,FALSE)=0,"Spatial Data Missing",VLOOKUP(M251,'G-3 Multipliers'!$L$3:$N$6,2,FALSE)))</f>
        <v/>
      </c>
      <c r="O251" s="505" t="str">
        <f>IF(M251="","",IF(VLOOKUP(M251,'G-3 Multipliers'!$L$3:$N$6,3,FALSE)=0,"Spatial Data Missing",VLOOKUP(M251,'G-3 Multipliers'!$L$3:$N$6,3,FALSE)))</f>
        <v/>
      </c>
      <c r="P251" s="506" t="str">
        <f>IFERROR(VLOOKUP(G251,'G-1 All Habitats'!$B$2:$M$129,12,FALSE),"")</f>
        <v/>
      </c>
      <c r="Q251" s="513" t="str">
        <f>IFERROR(IF(P251="","",IF(AND(P251='G-1 All Habitats'!$X$3,T251&gt;0),U251+V251,IF(AND(P251='G-1 All Habitats'!$X$3,S251&gt;0),U251+V251,IF(AND(P251='G-1 All Habitats'!$X$3,AC251&gt;0),"Any Loss Unacceptable ▲",IF(AND(P251='G-1 All Habitats'!$X$3,W251&gt;0),"Any Loss Unacceptable ▲",H251*J251*L251*O251))))),"Check Data ▲")</f>
        <v/>
      </c>
      <c r="R251" s="50"/>
      <c r="S251" s="71"/>
      <c r="T251" s="72"/>
      <c r="U251" s="511" t="str">
        <f t="shared" si="18"/>
        <v/>
      </c>
      <c r="V251" s="511" t="str">
        <f t="shared" si="19"/>
        <v/>
      </c>
      <c r="W251" s="511" t="str">
        <f>IF(E251="","",IF(H251&lt;S251+T251,"Error in Areas ▲",IF(P251&lt;&gt;'G-1 All Habitats'!$X$3,H251-S251-T251,IF(AND(P251='G-1 All Habitats'!$X$3,Y251="Yes"),"Unacceptable Loss",IF(AND(P251='G-1 All Habitats'!$X$3,Y251="No"),AC251,IF(AND(P251='G-1 All Habitats'!$X$3,Y251=""),AC251,IF(AND(P251='G-1 All Habitats'!$X$3,AC251="None",AC251),IF(AND(P251='G-1 All Habitats'!$X$3,AC251&gt;0),H251-S251-T251))))))))</f>
        <v/>
      </c>
      <c r="X251" s="515" t="str">
        <f>IFERROR(IF(H251="","",IF(H251-S251-T251=0&lt;0,"Error in Areas ▲",IF(S251+T251&gt;H251,"Error in Areas ▲",IF(AND(P251='G-1 All Habitats'!$X$3,Y251="Yes"),"Alternative Compensation ✓",IF(W251=0,0,IF(P251='G-1 All Habitats'!$X$3,"Unacceptable Loss ▲",Q251-U251-V251)))))),"Check Data ▲")</f>
        <v/>
      </c>
      <c r="Y251" s="72"/>
      <c r="Z251" s="80"/>
      <c r="AA251" s="81"/>
      <c r="AC251" s="75" t="str">
        <f>IF(P251="","",IF(P251='G-1 All Habitats'!$X$3,H251-S251-T251,"None"))</f>
        <v/>
      </c>
      <c r="AD251" s="76" t="str">
        <f>IFERROR(AC251*J251*L251*#REF!*O251,IF(P251="","","None"))</f>
        <v/>
      </c>
      <c r="AF251" s="54" t="str">
        <f t="shared" si="15"/>
        <v/>
      </c>
      <c r="AG251" s="54" t="str">
        <f t="shared" si="16"/>
        <v/>
      </c>
      <c r="AH251" s="54" t="str">
        <f>IF(I251="","",IF(#REF!&gt;0,TRUE,FALSE))</f>
        <v/>
      </c>
      <c r="AI251" s="54">
        <v>241</v>
      </c>
      <c r="AJ251" s="54"/>
      <c r="AK251" s="54" t="str">
        <f t="array" ref="AK251">IFERROR(INDEX($AI$11:$AI$259, MATCH(0, IF(TRUE=$AF$11:$AF$259, COUNTIF($AK$10:$AK250, $AI$11:$AI$259), ""), 0)),"")</f>
        <v/>
      </c>
      <c r="AL251" s="54" t="str">
        <f t="array" ref="AL251">IFERROR(INDEX($AI$11:$AI$259, MATCH(0, IF(TRUE=$AG$11:$AG$259, COUNTIF($AL$10:$AL250, $AI$11:$AI$259), ""), 0)),"")</f>
        <v/>
      </c>
      <c r="AM251" s="54" t="str">
        <f t="array" ref="AM251">IFERROR(INDEX($AI$11:$AI$259, MATCH(0, IF(TRUE=$AH$11:$AH$259, COUNTIF($AM$10:$AM250, $AI$11:$AI$259), ""), 0)),"")</f>
        <v/>
      </c>
      <c r="AN251" s="54"/>
      <c r="AQ251" s="47">
        <f t="shared" si="17"/>
        <v>0</v>
      </c>
    </row>
    <row r="252" spans="1:43" x14ac:dyDescent="0.25">
      <c r="A252" s="47" t="str">
        <f>IFERROR(INDEX('G-1 All Habitats'!$AG$3:$AG$15,MATCH(E252,'G-1 All Habitats'!$AF$3:$AF$15,0)),"")</f>
        <v/>
      </c>
      <c r="B252" s="47" t="str">
        <f>IFERROR(INDEX('G-8 Condition Look up'!$I$4:$I$130,MATCH(G252,'G-8 Condition Look up'!$A$4:$A$130,0)),"")</f>
        <v/>
      </c>
      <c r="D252" s="77">
        <v>242</v>
      </c>
      <c r="E252" s="78"/>
      <c r="F252" s="79"/>
      <c r="G252" s="69" t="str">
        <f>IFERROR(INDEX('G-1 All Habitats'!$B$3:$B$129,MATCH(F252,'G-1 All Habitats'!$A$3:$A$129,0)),"")</f>
        <v/>
      </c>
      <c r="H252" s="70"/>
      <c r="I252" s="498" t="str">
        <f>IF(G252="","",VLOOKUP(G252,'G-1 All Habitats'!$B$2:$M$129,10,FALSE))</f>
        <v/>
      </c>
      <c r="J252" s="499" t="str">
        <f>IFERROR(VLOOKUP(I252,'G-1 All Habitats'!$V$3:$W$7,2,FALSE),"")</f>
        <v/>
      </c>
      <c r="K252" s="71"/>
      <c r="L252" s="499" t="str">
        <f>IFERROR(INDEX('G-8 Condition Look up'!$A$3:$H$130,MATCH(G252,'G-8 Condition Look up'!$A$3:$A$130,0),MATCH(K252,'G-8 Condition Look up'!$A$3:$H$3,0)),"")</f>
        <v/>
      </c>
      <c r="M252" s="71"/>
      <c r="N252" s="520" t="str">
        <f>IF(M252="","",IF(VLOOKUP(M252,'G-3 Multipliers'!$L$3:$N$6,2,FALSE)=0,"Spatial Data Missing",VLOOKUP(M252,'G-3 Multipliers'!$L$3:$N$6,2,FALSE)))</f>
        <v/>
      </c>
      <c r="O252" s="505" t="str">
        <f>IF(M252="","",IF(VLOOKUP(M252,'G-3 Multipliers'!$L$3:$N$6,3,FALSE)=0,"Spatial Data Missing",VLOOKUP(M252,'G-3 Multipliers'!$L$3:$N$6,3,FALSE)))</f>
        <v/>
      </c>
      <c r="P252" s="506" t="str">
        <f>IFERROR(VLOOKUP(G252,'G-1 All Habitats'!$B$2:$M$129,12,FALSE),"")</f>
        <v/>
      </c>
      <c r="Q252" s="513" t="str">
        <f>IFERROR(IF(P252="","",IF(AND(P252='G-1 All Habitats'!$X$3,T252&gt;0),U252+V252,IF(AND(P252='G-1 All Habitats'!$X$3,S252&gt;0),U252+V252,IF(AND(P252='G-1 All Habitats'!$X$3,AC252&gt;0),"Any Loss Unacceptable ▲",IF(AND(P252='G-1 All Habitats'!$X$3,W252&gt;0),"Any Loss Unacceptable ▲",H252*J252*L252*O252))))),"Check Data ▲")</f>
        <v/>
      </c>
      <c r="R252" s="50"/>
      <c r="S252" s="71"/>
      <c r="T252" s="72"/>
      <c r="U252" s="511" t="str">
        <f t="shared" si="18"/>
        <v/>
      </c>
      <c r="V252" s="511" t="str">
        <f t="shared" si="19"/>
        <v/>
      </c>
      <c r="W252" s="511" t="str">
        <f>IF(E252="","",IF(H252&lt;S252+T252,"Error in Areas ▲",IF(P252&lt;&gt;'G-1 All Habitats'!$X$3,H252-S252-T252,IF(AND(P252='G-1 All Habitats'!$X$3,Y252="Yes"),"Unacceptable Loss",IF(AND(P252='G-1 All Habitats'!$X$3,Y252="No"),AC252,IF(AND(P252='G-1 All Habitats'!$X$3,Y252=""),AC252,IF(AND(P252='G-1 All Habitats'!$X$3,AC252="None",AC252),IF(AND(P252='G-1 All Habitats'!$X$3,AC252&gt;0),H252-S252-T252))))))))</f>
        <v/>
      </c>
      <c r="X252" s="515" t="str">
        <f>IFERROR(IF(H252="","",IF(H252-S252-T252=0&lt;0,"Error in Areas ▲",IF(S252+T252&gt;H252,"Error in Areas ▲",IF(AND(P252='G-1 All Habitats'!$X$3,Y252="Yes"),"Alternative Compensation ✓",IF(W252=0,0,IF(P252='G-1 All Habitats'!$X$3,"Unacceptable Loss ▲",Q252-U252-V252)))))),"Check Data ▲")</f>
        <v/>
      </c>
      <c r="Y252" s="72"/>
      <c r="Z252" s="80"/>
      <c r="AA252" s="81"/>
      <c r="AC252" s="75" t="str">
        <f>IF(P252="","",IF(P252='G-1 All Habitats'!$X$3,H252-S252-T252,"None"))</f>
        <v/>
      </c>
      <c r="AD252" s="76" t="str">
        <f>IFERROR(AC252*J252*L252*#REF!*O252,IF(P252="","","None"))</f>
        <v/>
      </c>
      <c r="AF252" s="54" t="str">
        <f t="shared" si="15"/>
        <v/>
      </c>
      <c r="AG252" s="54" t="str">
        <f t="shared" si="16"/>
        <v/>
      </c>
      <c r="AH252" s="54" t="str">
        <f>IF(I252="","",IF(#REF!&gt;0,TRUE,FALSE))</f>
        <v/>
      </c>
      <c r="AI252" s="54">
        <v>242</v>
      </c>
      <c r="AJ252" s="54"/>
      <c r="AK252" s="54" t="str">
        <f t="array" ref="AK252">IFERROR(INDEX($AI$11:$AI$259, MATCH(0, IF(TRUE=$AF$11:$AF$259, COUNTIF($AK$10:$AK251, $AI$11:$AI$259), ""), 0)),"")</f>
        <v/>
      </c>
      <c r="AL252" s="54" t="str">
        <f t="array" ref="AL252">IFERROR(INDEX($AI$11:$AI$259, MATCH(0, IF(TRUE=$AG$11:$AG$259, COUNTIF($AL$10:$AL251, $AI$11:$AI$259), ""), 0)),"")</f>
        <v/>
      </c>
      <c r="AM252" s="54" t="str">
        <f t="array" ref="AM252">IFERROR(INDEX($AI$11:$AI$259, MATCH(0, IF(TRUE=$AH$11:$AH$259, COUNTIF($AM$10:$AM251, $AI$11:$AI$259), ""), 0)),"")</f>
        <v/>
      </c>
      <c r="AN252" s="54"/>
      <c r="AQ252" s="47">
        <f t="shared" si="17"/>
        <v>0</v>
      </c>
    </row>
    <row r="253" spans="1:43" x14ac:dyDescent="0.25">
      <c r="A253" s="47" t="str">
        <f>IFERROR(INDEX('G-1 All Habitats'!$AG$3:$AG$15,MATCH(E253,'G-1 All Habitats'!$AF$3:$AF$15,0)),"")</f>
        <v/>
      </c>
      <c r="B253" s="47" t="str">
        <f>IFERROR(INDEX('G-8 Condition Look up'!$I$4:$I$130,MATCH(G253,'G-8 Condition Look up'!$A$4:$A$130,0)),"")</f>
        <v/>
      </c>
      <c r="D253" s="77">
        <v>243</v>
      </c>
      <c r="E253" s="78"/>
      <c r="F253" s="79"/>
      <c r="G253" s="69" t="str">
        <f>IFERROR(INDEX('G-1 All Habitats'!$B$3:$B$129,MATCH(F253,'G-1 All Habitats'!$A$3:$A$129,0)),"")</f>
        <v/>
      </c>
      <c r="H253" s="70"/>
      <c r="I253" s="498" t="str">
        <f>IF(G253="","",VLOOKUP(G253,'G-1 All Habitats'!$B$2:$M$129,10,FALSE))</f>
        <v/>
      </c>
      <c r="J253" s="499" t="str">
        <f>IFERROR(VLOOKUP(I253,'G-1 All Habitats'!$V$3:$W$7,2,FALSE),"")</f>
        <v/>
      </c>
      <c r="K253" s="71"/>
      <c r="L253" s="499" t="str">
        <f>IFERROR(INDEX('G-8 Condition Look up'!$A$3:$H$130,MATCH(G253,'G-8 Condition Look up'!$A$3:$A$130,0),MATCH(K253,'G-8 Condition Look up'!$A$3:$H$3,0)),"")</f>
        <v/>
      </c>
      <c r="M253" s="71"/>
      <c r="N253" s="520" t="str">
        <f>IF(M253="","",IF(VLOOKUP(M253,'G-3 Multipliers'!$L$3:$N$6,2,FALSE)=0,"Spatial Data Missing",VLOOKUP(M253,'G-3 Multipliers'!$L$3:$N$6,2,FALSE)))</f>
        <v/>
      </c>
      <c r="O253" s="505" t="str">
        <f>IF(M253="","",IF(VLOOKUP(M253,'G-3 Multipliers'!$L$3:$N$6,3,FALSE)=0,"Spatial Data Missing",VLOOKUP(M253,'G-3 Multipliers'!$L$3:$N$6,3,FALSE)))</f>
        <v/>
      </c>
      <c r="P253" s="506" t="str">
        <f>IFERROR(VLOOKUP(G253,'G-1 All Habitats'!$B$2:$M$129,12,FALSE),"")</f>
        <v/>
      </c>
      <c r="Q253" s="513" t="str">
        <f>IFERROR(IF(P253="","",IF(AND(P253='G-1 All Habitats'!$X$3,T253&gt;0),U253+V253,IF(AND(P253='G-1 All Habitats'!$X$3,S253&gt;0),U253+V253,IF(AND(P253='G-1 All Habitats'!$X$3,AC253&gt;0),"Any Loss Unacceptable ▲",IF(AND(P253='G-1 All Habitats'!$X$3,W253&gt;0),"Any Loss Unacceptable ▲",H253*J253*L253*O253))))),"Check Data ▲")</f>
        <v/>
      </c>
      <c r="R253" s="50"/>
      <c r="S253" s="71"/>
      <c r="T253" s="72"/>
      <c r="U253" s="511" t="str">
        <f t="shared" si="18"/>
        <v/>
      </c>
      <c r="V253" s="511" t="str">
        <f t="shared" si="19"/>
        <v/>
      </c>
      <c r="W253" s="511" t="str">
        <f>IF(E253="","",IF(H253&lt;S253+T253,"Error in Areas ▲",IF(P253&lt;&gt;'G-1 All Habitats'!$X$3,H253-S253-T253,IF(AND(P253='G-1 All Habitats'!$X$3,Y253="Yes"),"Unacceptable Loss",IF(AND(P253='G-1 All Habitats'!$X$3,Y253="No"),AC253,IF(AND(P253='G-1 All Habitats'!$X$3,Y253=""),AC253,IF(AND(P253='G-1 All Habitats'!$X$3,AC253="None",AC253),IF(AND(P253='G-1 All Habitats'!$X$3,AC253&gt;0),H253-S253-T253))))))))</f>
        <v/>
      </c>
      <c r="X253" s="515" t="str">
        <f>IFERROR(IF(H253="","",IF(H253-S253-T253=0&lt;0,"Error in Areas ▲",IF(S253+T253&gt;H253,"Error in Areas ▲",IF(AND(P253='G-1 All Habitats'!$X$3,Y253="Yes"),"Alternative Compensation ✓",IF(W253=0,0,IF(P253='G-1 All Habitats'!$X$3,"Unacceptable Loss ▲",Q253-U253-V253)))))),"Check Data ▲")</f>
        <v/>
      </c>
      <c r="Y253" s="72"/>
      <c r="Z253" s="80"/>
      <c r="AA253" s="81"/>
      <c r="AC253" s="75" t="str">
        <f>IF(P253="","",IF(P253='G-1 All Habitats'!$X$3,H253-S253-T253,"None"))</f>
        <v/>
      </c>
      <c r="AD253" s="76" t="str">
        <f>IFERROR(AC253*J253*L253*#REF!*O253,IF(P253="","","None"))</f>
        <v/>
      </c>
      <c r="AF253" s="54" t="str">
        <f t="shared" si="15"/>
        <v/>
      </c>
      <c r="AG253" s="54" t="str">
        <f t="shared" si="16"/>
        <v/>
      </c>
      <c r="AH253" s="54" t="str">
        <f>IF(I253="","",IF(#REF!&gt;0,TRUE,FALSE))</f>
        <v/>
      </c>
      <c r="AI253" s="54">
        <v>243</v>
      </c>
      <c r="AJ253" s="54"/>
      <c r="AK253" s="54" t="str">
        <f t="array" ref="AK253">IFERROR(INDEX($AI$11:$AI$259, MATCH(0, IF(TRUE=$AF$11:$AF$259, COUNTIF($AK$10:$AK252, $AI$11:$AI$259), ""), 0)),"")</f>
        <v/>
      </c>
      <c r="AL253" s="54" t="str">
        <f t="array" ref="AL253">IFERROR(INDEX($AI$11:$AI$259, MATCH(0, IF(TRUE=$AG$11:$AG$259, COUNTIF($AL$10:$AL252, $AI$11:$AI$259), ""), 0)),"")</f>
        <v/>
      </c>
      <c r="AM253" s="54" t="str">
        <f t="array" ref="AM253">IFERROR(INDEX($AI$11:$AI$259, MATCH(0, IF(TRUE=$AH$11:$AH$259, COUNTIF($AM$10:$AM252, $AI$11:$AI$259), ""), 0)),"")</f>
        <v/>
      </c>
      <c r="AN253" s="54"/>
      <c r="AQ253" s="47">
        <f t="shared" si="17"/>
        <v>0</v>
      </c>
    </row>
    <row r="254" spans="1:43" x14ac:dyDescent="0.25">
      <c r="A254" s="47" t="str">
        <f>IFERROR(INDEX('G-1 All Habitats'!$AG$3:$AG$15,MATCH(E254,'G-1 All Habitats'!$AF$3:$AF$15,0)),"")</f>
        <v/>
      </c>
      <c r="B254" s="47" t="str">
        <f>IFERROR(INDEX('G-8 Condition Look up'!$I$4:$I$130,MATCH(G254,'G-8 Condition Look up'!$A$4:$A$130,0)),"")</f>
        <v/>
      </c>
      <c r="D254" s="77">
        <v>244</v>
      </c>
      <c r="E254" s="78"/>
      <c r="F254" s="79"/>
      <c r="G254" s="69" t="str">
        <f>IFERROR(INDEX('G-1 All Habitats'!$B$3:$B$129,MATCH(F254,'G-1 All Habitats'!$A$3:$A$129,0)),"")</f>
        <v/>
      </c>
      <c r="H254" s="70"/>
      <c r="I254" s="498" t="str">
        <f>IF(G254="","",VLOOKUP(G254,'G-1 All Habitats'!$B$2:$M$129,10,FALSE))</f>
        <v/>
      </c>
      <c r="J254" s="499" t="str">
        <f>IFERROR(VLOOKUP(I254,'G-1 All Habitats'!$V$3:$W$7,2,FALSE),"")</f>
        <v/>
      </c>
      <c r="K254" s="71"/>
      <c r="L254" s="499" t="str">
        <f>IFERROR(INDEX('G-8 Condition Look up'!$A$3:$H$130,MATCH(G254,'G-8 Condition Look up'!$A$3:$A$130,0),MATCH(K254,'G-8 Condition Look up'!$A$3:$H$3,0)),"")</f>
        <v/>
      </c>
      <c r="M254" s="71"/>
      <c r="N254" s="520" t="str">
        <f>IF(M254="","",IF(VLOOKUP(M254,'G-3 Multipliers'!$L$3:$N$6,2,FALSE)=0,"Spatial Data Missing",VLOOKUP(M254,'G-3 Multipliers'!$L$3:$N$6,2,FALSE)))</f>
        <v/>
      </c>
      <c r="O254" s="505" t="str">
        <f>IF(M254="","",IF(VLOOKUP(M254,'G-3 Multipliers'!$L$3:$N$6,3,FALSE)=0,"Spatial Data Missing",VLOOKUP(M254,'G-3 Multipliers'!$L$3:$N$6,3,FALSE)))</f>
        <v/>
      </c>
      <c r="P254" s="506" t="str">
        <f>IFERROR(VLOOKUP(G254,'G-1 All Habitats'!$B$2:$M$129,12,FALSE),"")</f>
        <v/>
      </c>
      <c r="Q254" s="513" t="str">
        <f>IFERROR(IF(P254="","",IF(AND(P254='G-1 All Habitats'!$X$3,T254&gt;0),U254+V254,IF(AND(P254='G-1 All Habitats'!$X$3,S254&gt;0),U254+V254,IF(AND(P254='G-1 All Habitats'!$X$3,AC254&gt;0),"Any Loss Unacceptable ▲",IF(AND(P254='G-1 All Habitats'!$X$3,W254&gt;0),"Any Loss Unacceptable ▲",H254*J254*L254*O254))))),"Check Data ▲")</f>
        <v/>
      </c>
      <c r="R254" s="50"/>
      <c r="S254" s="71"/>
      <c r="T254" s="72"/>
      <c r="U254" s="511" t="str">
        <f t="shared" si="18"/>
        <v/>
      </c>
      <c r="V254" s="511" t="str">
        <f t="shared" si="19"/>
        <v/>
      </c>
      <c r="W254" s="511" t="str">
        <f>IF(E254="","",IF(H254&lt;S254+T254,"Error in Areas ▲",IF(P254&lt;&gt;'G-1 All Habitats'!$X$3,H254-S254-T254,IF(AND(P254='G-1 All Habitats'!$X$3,Y254="Yes"),"Unacceptable Loss",IF(AND(P254='G-1 All Habitats'!$X$3,Y254="No"),AC254,IF(AND(P254='G-1 All Habitats'!$X$3,Y254=""),AC254,IF(AND(P254='G-1 All Habitats'!$X$3,AC254="None",AC254),IF(AND(P254='G-1 All Habitats'!$X$3,AC254&gt;0),H254-S254-T254))))))))</f>
        <v/>
      </c>
      <c r="X254" s="515" t="str">
        <f>IFERROR(IF(H254="","",IF(H254-S254-T254=0&lt;0,"Error in Areas ▲",IF(S254+T254&gt;H254,"Error in Areas ▲",IF(AND(P254='G-1 All Habitats'!$X$3,Y254="Yes"),"Alternative Compensation ✓",IF(W254=0,0,IF(P254='G-1 All Habitats'!$X$3,"Unacceptable Loss ▲",Q254-U254-V254)))))),"Check Data ▲")</f>
        <v/>
      </c>
      <c r="Y254" s="72"/>
      <c r="Z254" s="80"/>
      <c r="AA254" s="81"/>
      <c r="AC254" s="75" t="str">
        <f>IF(P254="","",IF(P254='G-1 All Habitats'!$X$3,H254-S254-T254,"None"))</f>
        <v/>
      </c>
      <c r="AD254" s="76" t="str">
        <f>IFERROR(AC254*J254*L254*#REF!*O254,IF(P254="","","None"))</f>
        <v/>
      </c>
      <c r="AF254" s="54" t="str">
        <f t="shared" si="15"/>
        <v/>
      </c>
      <c r="AG254" s="54" t="str">
        <f t="shared" si="16"/>
        <v/>
      </c>
      <c r="AH254" s="54" t="str">
        <f>IF(I254="","",IF(#REF!&gt;0,TRUE,FALSE))</f>
        <v/>
      </c>
      <c r="AI254" s="54">
        <v>244</v>
      </c>
      <c r="AJ254" s="54"/>
      <c r="AK254" s="54" t="str">
        <f t="array" ref="AK254">IFERROR(INDEX($AI$11:$AI$259, MATCH(0, IF(TRUE=$AF$11:$AF$259, COUNTIF($AK$10:$AK253, $AI$11:$AI$259), ""), 0)),"")</f>
        <v/>
      </c>
      <c r="AL254" s="54" t="str">
        <f t="array" ref="AL254">IFERROR(INDEX($AI$11:$AI$259, MATCH(0, IF(TRUE=$AG$11:$AG$259, COUNTIF($AL$10:$AL253, $AI$11:$AI$259), ""), 0)),"")</f>
        <v/>
      </c>
      <c r="AM254" s="54" t="str">
        <f t="array" ref="AM254">IFERROR(INDEX($AI$11:$AI$259, MATCH(0, IF(TRUE=$AH$11:$AH$259, COUNTIF($AM$10:$AM253, $AI$11:$AI$259), ""), 0)),"")</f>
        <v/>
      </c>
      <c r="AN254" s="54"/>
      <c r="AQ254" s="47">
        <f t="shared" si="17"/>
        <v>0</v>
      </c>
    </row>
    <row r="255" spans="1:43" x14ac:dyDescent="0.25">
      <c r="A255" s="47" t="str">
        <f>IFERROR(INDEX('G-1 All Habitats'!$AG$3:$AG$15,MATCH(E255,'G-1 All Habitats'!$AF$3:$AF$15,0)),"")</f>
        <v/>
      </c>
      <c r="B255" s="47" t="str">
        <f>IFERROR(INDEX('G-8 Condition Look up'!$I$4:$I$130,MATCH(G255,'G-8 Condition Look up'!$A$4:$A$130,0)),"")</f>
        <v/>
      </c>
      <c r="D255" s="77">
        <v>245</v>
      </c>
      <c r="E255" s="78"/>
      <c r="F255" s="79"/>
      <c r="G255" s="69" t="str">
        <f>IFERROR(INDEX('G-1 All Habitats'!$B$3:$B$129,MATCH(F255,'G-1 All Habitats'!$A$3:$A$129,0)),"")</f>
        <v/>
      </c>
      <c r="H255" s="70"/>
      <c r="I255" s="498" t="str">
        <f>IF(G255="","",VLOOKUP(G255,'G-1 All Habitats'!$B$2:$M$129,10,FALSE))</f>
        <v/>
      </c>
      <c r="J255" s="499" t="str">
        <f>IFERROR(VLOOKUP(I255,'G-1 All Habitats'!$V$3:$W$7,2,FALSE),"")</f>
        <v/>
      </c>
      <c r="K255" s="71"/>
      <c r="L255" s="499" t="str">
        <f>IFERROR(INDEX('G-8 Condition Look up'!$A$3:$H$130,MATCH(G255,'G-8 Condition Look up'!$A$3:$A$130,0),MATCH(K255,'G-8 Condition Look up'!$A$3:$H$3,0)),"")</f>
        <v/>
      </c>
      <c r="M255" s="71"/>
      <c r="N255" s="520" t="str">
        <f>IF(M255="","",IF(VLOOKUP(M255,'G-3 Multipliers'!$L$3:$N$6,2,FALSE)=0,"Spatial Data Missing",VLOOKUP(M255,'G-3 Multipliers'!$L$3:$N$6,2,FALSE)))</f>
        <v/>
      </c>
      <c r="O255" s="505" t="str">
        <f>IF(M255="","",IF(VLOOKUP(M255,'G-3 Multipliers'!$L$3:$N$6,3,FALSE)=0,"Spatial Data Missing",VLOOKUP(M255,'G-3 Multipliers'!$L$3:$N$6,3,FALSE)))</f>
        <v/>
      </c>
      <c r="P255" s="506" t="str">
        <f>IFERROR(VLOOKUP(G255,'G-1 All Habitats'!$B$2:$M$129,12,FALSE),"")</f>
        <v/>
      </c>
      <c r="Q255" s="513" t="str">
        <f>IFERROR(IF(P255="","",IF(AND(P255='G-1 All Habitats'!$X$3,T255&gt;0),U255+V255,IF(AND(P255='G-1 All Habitats'!$X$3,S255&gt;0),U255+V255,IF(AND(P255='G-1 All Habitats'!$X$3,AC255&gt;0),"Any Loss Unacceptable ▲",IF(AND(P255='G-1 All Habitats'!$X$3,W255&gt;0),"Any Loss Unacceptable ▲",H255*J255*L255*O255))))),"Check Data ▲")</f>
        <v/>
      </c>
      <c r="R255" s="50"/>
      <c r="S255" s="71"/>
      <c r="T255" s="72"/>
      <c r="U255" s="511" t="str">
        <f t="shared" si="18"/>
        <v/>
      </c>
      <c r="V255" s="511" t="str">
        <f t="shared" si="19"/>
        <v/>
      </c>
      <c r="W255" s="511" t="str">
        <f>IF(E255="","",IF(H255&lt;S255+T255,"Error in Areas ▲",IF(P255&lt;&gt;'G-1 All Habitats'!$X$3,H255-S255-T255,IF(AND(P255='G-1 All Habitats'!$X$3,Y255="Yes"),"Unacceptable Loss",IF(AND(P255='G-1 All Habitats'!$X$3,Y255="No"),AC255,IF(AND(P255='G-1 All Habitats'!$X$3,Y255=""),AC255,IF(AND(P255='G-1 All Habitats'!$X$3,AC255="None",AC255),IF(AND(P255='G-1 All Habitats'!$X$3,AC255&gt;0),H255-S255-T255))))))))</f>
        <v/>
      </c>
      <c r="X255" s="515" t="str">
        <f>IFERROR(IF(H255="","",IF(H255-S255-T255=0&lt;0,"Error in Areas ▲",IF(S255+T255&gt;H255,"Error in Areas ▲",IF(AND(P255='G-1 All Habitats'!$X$3,Y255="Yes"),"Alternative Compensation ✓",IF(W255=0,0,IF(P255='G-1 All Habitats'!$X$3,"Unacceptable Loss ▲",Q255-U255-V255)))))),"Check Data ▲")</f>
        <v/>
      </c>
      <c r="Y255" s="72"/>
      <c r="Z255" s="80"/>
      <c r="AA255" s="81"/>
      <c r="AC255" s="75" t="str">
        <f>IF(P255="","",IF(P255='G-1 All Habitats'!$X$3,H255-S255-T255,"None"))</f>
        <v/>
      </c>
      <c r="AD255" s="76" t="str">
        <f>IFERROR(AC255*J255*L255*#REF!*O255,IF(P255="","","None"))</f>
        <v/>
      </c>
      <c r="AF255" s="54" t="str">
        <f t="shared" si="15"/>
        <v/>
      </c>
      <c r="AG255" s="54" t="str">
        <f t="shared" si="16"/>
        <v/>
      </c>
      <c r="AH255" s="54" t="str">
        <f>IF(I255="","",IF(#REF!&gt;0,TRUE,FALSE))</f>
        <v/>
      </c>
      <c r="AI255" s="54">
        <v>245</v>
      </c>
      <c r="AJ255" s="54"/>
      <c r="AK255" s="54" t="str">
        <f t="array" ref="AK255">IFERROR(INDEX($AI$11:$AI$259, MATCH(0, IF(TRUE=$AF$11:$AF$259, COUNTIF($AK$10:$AK254, $AI$11:$AI$259), ""), 0)),"")</f>
        <v/>
      </c>
      <c r="AL255" s="54" t="str">
        <f t="array" ref="AL255">IFERROR(INDEX($AI$11:$AI$259, MATCH(0, IF(TRUE=$AG$11:$AG$259, COUNTIF($AL$10:$AL254, $AI$11:$AI$259), ""), 0)),"")</f>
        <v/>
      </c>
      <c r="AM255" s="54" t="str">
        <f t="array" ref="AM255">IFERROR(INDEX($AI$11:$AI$259, MATCH(0, IF(TRUE=$AH$11:$AH$259, COUNTIF($AM$10:$AM254, $AI$11:$AI$259), ""), 0)),"")</f>
        <v/>
      </c>
      <c r="AN255" s="54"/>
      <c r="AQ255" s="47">
        <f t="shared" si="17"/>
        <v>0</v>
      </c>
    </row>
    <row r="256" spans="1:43" x14ac:dyDescent="0.25">
      <c r="A256" s="47" t="str">
        <f>IFERROR(INDEX('G-1 All Habitats'!$AG$3:$AG$15,MATCH(E256,'G-1 All Habitats'!$AF$3:$AF$15,0)),"")</f>
        <v/>
      </c>
      <c r="B256" s="47" t="str">
        <f>IFERROR(INDEX('G-8 Condition Look up'!$I$4:$I$130,MATCH(G256,'G-8 Condition Look up'!$A$4:$A$130,0)),"")</f>
        <v/>
      </c>
      <c r="D256" s="77">
        <v>246</v>
      </c>
      <c r="E256" s="78"/>
      <c r="F256" s="79"/>
      <c r="G256" s="69" t="str">
        <f>IFERROR(INDEX('G-1 All Habitats'!$B$3:$B$129,MATCH(F256,'G-1 All Habitats'!$A$3:$A$129,0)),"")</f>
        <v/>
      </c>
      <c r="H256" s="70"/>
      <c r="I256" s="498" t="str">
        <f>IF(G256="","",VLOOKUP(G256,'G-1 All Habitats'!$B$2:$M$129,10,FALSE))</f>
        <v/>
      </c>
      <c r="J256" s="499" t="str">
        <f>IFERROR(VLOOKUP(I256,'G-1 All Habitats'!$V$3:$W$7,2,FALSE),"")</f>
        <v/>
      </c>
      <c r="K256" s="71"/>
      <c r="L256" s="499" t="str">
        <f>IFERROR(INDEX('G-8 Condition Look up'!$A$3:$H$130,MATCH(G256,'G-8 Condition Look up'!$A$3:$A$130,0),MATCH(K256,'G-8 Condition Look up'!$A$3:$H$3,0)),"")</f>
        <v/>
      </c>
      <c r="M256" s="71"/>
      <c r="N256" s="520" t="str">
        <f>IF(M256="","",IF(VLOOKUP(M256,'G-3 Multipliers'!$L$3:$N$6,2,FALSE)=0,"Spatial Data Missing",VLOOKUP(M256,'G-3 Multipliers'!$L$3:$N$6,2,FALSE)))</f>
        <v/>
      </c>
      <c r="O256" s="505" t="str">
        <f>IF(M256="","",IF(VLOOKUP(M256,'G-3 Multipliers'!$L$3:$N$6,3,FALSE)=0,"Spatial Data Missing",VLOOKUP(M256,'G-3 Multipliers'!$L$3:$N$6,3,FALSE)))</f>
        <v/>
      </c>
      <c r="P256" s="506" t="str">
        <f>IFERROR(VLOOKUP(G256,'G-1 All Habitats'!$B$2:$M$129,12,FALSE),"")</f>
        <v/>
      </c>
      <c r="Q256" s="513" t="str">
        <f>IFERROR(IF(P256="","",IF(AND(P256='G-1 All Habitats'!$X$3,T256&gt;0),U256+V256,IF(AND(P256='G-1 All Habitats'!$X$3,S256&gt;0),U256+V256,IF(AND(P256='G-1 All Habitats'!$X$3,AC256&gt;0),"Any Loss Unacceptable ▲",IF(AND(P256='G-1 All Habitats'!$X$3,W256&gt;0),"Any Loss Unacceptable ▲",H256*J256*L256*O256))))),"Check Data ▲")</f>
        <v/>
      </c>
      <c r="R256" s="50"/>
      <c r="S256" s="71"/>
      <c r="T256" s="72"/>
      <c r="U256" s="511" t="str">
        <f t="shared" si="18"/>
        <v/>
      </c>
      <c r="V256" s="511" t="str">
        <f t="shared" si="19"/>
        <v/>
      </c>
      <c r="W256" s="511" t="str">
        <f>IF(E256="","",IF(H256&lt;S256+T256,"Error in Areas ▲",IF(P256&lt;&gt;'G-1 All Habitats'!$X$3,H256-S256-T256,IF(AND(P256='G-1 All Habitats'!$X$3,Y256="Yes"),"Unacceptable Loss",IF(AND(P256='G-1 All Habitats'!$X$3,Y256="No"),AC256,IF(AND(P256='G-1 All Habitats'!$X$3,Y256=""),AC256,IF(AND(P256='G-1 All Habitats'!$X$3,AC256="None",AC256),IF(AND(P256='G-1 All Habitats'!$X$3,AC256&gt;0),H256-S256-T256))))))))</f>
        <v/>
      </c>
      <c r="X256" s="515" t="str">
        <f>IFERROR(IF(H256="","",IF(H256-S256-T256=0&lt;0,"Error in Areas ▲",IF(S256+T256&gt;H256,"Error in Areas ▲",IF(AND(P256='G-1 All Habitats'!$X$3,Y256="Yes"),"Alternative Compensation ✓",IF(W256=0,0,IF(P256='G-1 All Habitats'!$X$3,"Unacceptable Loss ▲",Q256-U256-V256)))))),"Check Data ▲")</f>
        <v/>
      </c>
      <c r="Y256" s="72"/>
      <c r="Z256" s="80"/>
      <c r="AA256" s="81"/>
      <c r="AC256" s="75" t="str">
        <f>IF(P256="","",IF(P256='G-1 All Habitats'!$X$3,H256-S256-T256,"None"))</f>
        <v/>
      </c>
      <c r="AD256" s="76" t="str">
        <f>IFERROR(AC256*J256*L256*#REF!*O256,IF(P256="","","None"))</f>
        <v/>
      </c>
      <c r="AF256" s="54" t="str">
        <f t="shared" si="15"/>
        <v/>
      </c>
      <c r="AG256" s="54" t="str">
        <f t="shared" si="16"/>
        <v/>
      </c>
      <c r="AH256" s="54" t="str">
        <f>IF(I256="","",IF(#REF!&gt;0,TRUE,FALSE))</f>
        <v/>
      </c>
      <c r="AI256" s="54">
        <v>246</v>
      </c>
      <c r="AJ256" s="54"/>
      <c r="AK256" s="54" t="str">
        <f t="array" ref="AK256">IFERROR(INDEX($AI$11:$AI$259, MATCH(0, IF(TRUE=$AF$11:$AF$259, COUNTIF($AK$10:$AK255, $AI$11:$AI$259), ""), 0)),"")</f>
        <v/>
      </c>
      <c r="AL256" s="54" t="str">
        <f t="array" ref="AL256">IFERROR(INDEX($AI$11:$AI$259, MATCH(0, IF(TRUE=$AG$11:$AG$259, COUNTIF($AL$10:$AL255, $AI$11:$AI$259), ""), 0)),"")</f>
        <v/>
      </c>
      <c r="AM256" s="54" t="str">
        <f t="array" ref="AM256">IFERROR(INDEX($AI$11:$AI$259, MATCH(0, IF(TRUE=$AH$11:$AH$259, COUNTIF($AM$10:$AM255, $AI$11:$AI$259), ""), 0)),"")</f>
        <v/>
      </c>
      <c r="AN256" s="54"/>
      <c r="AQ256" s="47">
        <f t="shared" si="17"/>
        <v>0</v>
      </c>
    </row>
    <row r="257" spans="1:43" x14ac:dyDescent="0.25">
      <c r="A257" s="47" t="str">
        <f>IFERROR(INDEX('G-1 All Habitats'!$AG$3:$AG$15,MATCH(E257,'G-1 All Habitats'!$AF$3:$AF$15,0)),"")</f>
        <v/>
      </c>
      <c r="B257" s="47" t="str">
        <f>IFERROR(INDEX('G-8 Condition Look up'!$I$4:$I$130,MATCH(G257,'G-8 Condition Look up'!$A$4:$A$130,0)),"")</f>
        <v/>
      </c>
      <c r="D257" s="77">
        <v>247</v>
      </c>
      <c r="E257" s="78"/>
      <c r="F257" s="79"/>
      <c r="G257" s="69" t="str">
        <f>IFERROR(INDEX('G-1 All Habitats'!$B$3:$B$129,MATCH(F257,'G-1 All Habitats'!$A$3:$A$129,0)),"")</f>
        <v/>
      </c>
      <c r="H257" s="70"/>
      <c r="I257" s="498" t="str">
        <f>IF(G257="","",VLOOKUP(G257,'G-1 All Habitats'!$B$2:$M$129,10,FALSE))</f>
        <v/>
      </c>
      <c r="J257" s="499" t="str">
        <f>IFERROR(VLOOKUP(I257,'G-1 All Habitats'!$V$3:$W$7,2,FALSE),"")</f>
        <v/>
      </c>
      <c r="K257" s="71"/>
      <c r="L257" s="499" t="str">
        <f>IFERROR(INDEX('G-8 Condition Look up'!$A$3:$H$130,MATCH(G257,'G-8 Condition Look up'!$A$3:$A$130,0),MATCH(K257,'G-8 Condition Look up'!$A$3:$H$3,0)),"")</f>
        <v/>
      </c>
      <c r="M257" s="71"/>
      <c r="N257" s="520" t="str">
        <f>IF(M257="","",IF(VLOOKUP(M257,'G-3 Multipliers'!$L$3:$N$6,2,FALSE)=0,"Spatial Data Missing",VLOOKUP(M257,'G-3 Multipliers'!$L$3:$N$6,2,FALSE)))</f>
        <v/>
      </c>
      <c r="O257" s="505" t="str">
        <f>IF(M257="","",IF(VLOOKUP(M257,'G-3 Multipliers'!$L$3:$N$6,3,FALSE)=0,"Spatial Data Missing",VLOOKUP(M257,'G-3 Multipliers'!$L$3:$N$6,3,FALSE)))</f>
        <v/>
      </c>
      <c r="P257" s="506" t="str">
        <f>IFERROR(VLOOKUP(G257,'G-1 All Habitats'!$B$2:$M$129,12,FALSE),"")</f>
        <v/>
      </c>
      <c r="Q257" s="513" t="str">
        <f>IFERROR(IF(P257="","",IF(AND(P257='G-1 All Habitats'!$X$3,T257&gt;0),U257+V257,IF(AND(P257='G-1 All Habitats'!$X$3,S257&gt;0),U257+V257,IF(AND(P257='G-1 All Habitats'!$X$3,AC257&gt;0),"Any Loss Unacceptable ▲",IF(AND(P257='G-1 All Habitats'!$X$3,W257&gt;0),"Any Loss Unacceptable ▲",H257*J257*L257*O257))))),"Check Data ▲")</f>
        <v/>
      </c>
      <c r="R257" s="50"/>
      <c r="S257" s="71"/>
      <c r="T257" s="72"/>
      <c r="U257" s="511" t="str">
        <f t="shared" si="18"/>
        <v/>
      </c>
      <c r="V257" s="511" t="str">
        <f t="shared" si="19"/>
        <v/>
      </c>
      <c r="W257" s="511" t="str">
        <f>IF(E257="","",IF(H257&lt;S257+T257,"Error in Areas ▲",IF(P257&lt;&gt;'G-1 All Habitats'!$X$3,H257-S257-T257,IF(AND(P257='G-1 All Habitats'!$X$3,Y257="Yes"),"Unacceptable Loss",IF(AND(P257='G-1 All Habitats'!$X$3,Y257="No"),AC257,IF(AND(P257='G-1 All Habitats'!$X$3,Y257=""),AC257,IF(AND(P257='G-1 All Habitats'!$X$3,AC257="None",AC257),IF(AND(P257='G-1 All Habitats'!$X$3,AC257&gt;0),H257-S257-T257))))))))</f>
        <v/>
      </c>
      <c r="X257" s="515" t="str">
        <f>IFERROR(IF(H257="","",IF(H257-S257-T257=0&lt;0,"Error in Areas ▲",IF(S257+T257&gt;H257,"Error in Areas ▲",IF(AND(P257='G-1 All Habitats'!$X$3,Y257="Yes"),"Alternative Compensation ✓",IF(W257=0,0,IF(P257='G-1 All Habitats'!$X$3,"Unacceptable Loss ▲",Q257-U257-V257)))))),"Check Data ▲")</f>
        <v/>
      </c>
      <c r="Y257" s="72"/>
      <c r="Z257" s="80"/>
      <c r="AA257" s="81"/>
      <c r="AC257" s="75" t="str">
        <f>IF(P257="","",IF(P257='G-1 All Habitats'!$X$3,H257-S257-T257,"None"))</f>
        <v/>
      </c>
      <c r="AD257" s="76" t="str">
        <f>IFERROR(AC257*J257*L257*#REF!*O257,IF(P257="","","None"))</f>
        <v/>
      </c>
      <c r="AF257" s="54" t="str">
        <f t="shared" si="15"/>
        <v/>
      </c>
      <c r="AG257" s="54" t="str">
        <f t="shared" si="16"/>
        <v/>
      </c>
      <c r="AH257" s="54" t="str">
        <f>IF(I257="","",IF(#REF!&gt;0,TRUE,FALSE))</f>
        <v/>
      </c>
      <c r="AI257" s="54">
        <v>247</v>
      </c>
      <c r="AJ257" s="54"/>
      <c r="AK257" s="54" t="str">
        <f t="array" ref="AK257">IFERROR(INDEX($AI$11:$AI$259, MATCH(0, IF(TRUE=$AF$11:$AF$259, COUNTIF($AK$10:$AK256, $AI$11:$AI$259), ""), 0)),"")</f>
        <v/>
      </c>
      <c r="AL257" s="54" t="str">
        <f t="array" ref="AL257">IFERROR(INDEX($AI$11:$AI$259, MATCH(0, IF(TRUE=$AG$11:$AG$259, COUNTIF($AL$10:$AL256, $AI$11:$AI$259), ""), 0)),"")</f>
        <v/>
      </c>
      <c r="AM257" s="54" t="str">
        <f t="array" ref="AM257">IFERROR(INDEX($AI$11:$AI$259, MATCH(0, IF(TRUE=$AH$11:$AH$259, COUNTIF($AM$10:$AM256, $AI$11:$AI$259), ""), 0)),"")</f>
        <v/>
      </c>
      <c r="AN257" s="54"/>
      <c r="AQ257" s="47">
        <f t="shared" si="17"/>
        <v>0</v>
      </c>
    </row>
    <row r="258" spans="1:43" ht="14.4" thickBot="1" x14ac:dyDescent="0.3">
      <c r="A258" s="47" t="str">
        <f>IFERROR(INDEX('G-1 All Habitats'!$AG$3:$AG$15,MATCH(E258,'G-1 All Habitats'!$AF$3:$AF$15,0)),"")</f>
        <v/>
      </c>
      <c r="B258" s="47" t="str">
        <f>IFERROR(INDEX('G-8 Condition Look up'!$I$4:$I$130,MATCH(G258,'G-8 Condition Look up'!$A$4:$A$130,0)),"")</f>
        <v/>
      </c>
      <c r="D258" s="62">
        <v>248</v>
      </c>
      <c r="E258" s="316"/>
      <c r="F258" s="241"/>
      <c r="G258" s="317" t="str">
        <f>IFERROR(INDEX('G-1 All Habitats'!$B$3:$B$129,MATCH(F258,'G-1 All Habitats'!$A$3:$A$129,0)),"")</f>
        <v/>
      </c>
      <c r="H258" s="318"/>
      <c r="I258" s="500" t="str">
        <f>IF(G258="","",VLOOKUP(G258,'G-1 All Habitats'!$B$2:$M$129,10,FALSE))</f>
        <v/>
      </c>
      <c r="J258" s="501" t="str">
        <f>IFERROR(VLOOKUP(I258,'G-1 All Habitats'!$V$3:$W$7,2,FALSE),"")</f>
        <v/>
      </c>
      <c r="K258" s="314"/>
      <c r="L258" s="501" t="str">
        <f>IFERROR(INDEX('G-8 Condition Look up'!$A$3:$H$130,MATCH(G258,'G-8 Condition Look up'!$A$3:$A$130,0),MATCH(K258,'G-8 Condition Look up'!$A$3:$H$3,0)),"")</f>
        <v/>
      </c>
      <c r="M258" s="314"/>
      <c r="N258" s="507" t="str">
        <f>IF(M258="","",IF(VLOOKUP(M258,'G-3 Multipliers'!$L$3:$N$6,2,FALSE)=0,"Spatial Data Missing",VLOOKUP(M258,'G-3 Multipliers'!$L$3:$N$6,2,FALSE)))</f>
        <v/>
      </c>
      <c r="O258" s="509" t="str">
        <f>IF(M258="","",IF(VLOOKUP(M258,'G-3 Multipliers'!$L$3:$N$6,3,FALSE)=0,"Spatial Data Missing",VLOOKUP(M258,'G-3 Multipliers'!$L$3:$N$6,3,FALSE)))</f>
        <v/>
      </c>
      <c r="P258" s="510" t="str">
        <f>IFERROR(VLOOKUP(G258,'G-1 All Habitats'!$B$2:$M$129,12,FALSE),"")</f>
        <v/>
      </c>
      <c r="Q258" s="513" t="str">
        <f>IFERROR(IF(P258="","",IF(AND(P258='G-1 All Habitats'!$X$3,T258&gt;0),U258+V258,IF(AND(P258='G-1 All Habitats'!$X$3,S258&gt;0),U258+V258,IF(AND(P258='G-1 All Habitats'!$X$3,AC258&gt;0),"Any Loss Unacceptable ▲",IF(AND(P258='G-1 All Habitats'!$X$3,W258&gt;0),"Any Loss Unacceptable ▲",H258*J258*L258*O258))))),"Check Data ▲")</f>
        <v/>
      </c>
      <c r="R258" s="50"/>
      <c r="S258" s="314"/>
      <c r="T258" s="315"/>
      <c r="U258" s="512" t="str">
        <f t="shared" si="18"/>
        <v/>
      </c>
      <c r="V258" s="512" t="str">
        <f t="shared" si="19"/>
        <v/>
      </c>
      <c r="W258" s="511" t="str">
        <f>IF(E258="","",IF(H258&lt;S258+T258,"Error in Areas ▲",IF(P258&lt;&gt;'G-1 All Habitats'!$X$3,H258-S258-T258,IF(AND(P258='G-1 All Habitats'!$X$3,Y258="Yes"),"Unacceptable Loss",IF(AND(P258='G-1 All Habitats'!$X$3,Y258="No"),AC258,IF(AND(P258='G-1 All Habitats'!$X$3,Y258=""),AC258,IF(AND(P258='G-1 All Habitats'!$X$3,AC258="None",AC258),IF(AND(P258='G-1 All Habitats'!$X$3,AC258&gt;0),H258-S258-T258))))))))</f>
        <v/>
      </c>
      <c r="X258" s="516" t="str">
        <f>IFERROR(IF(H258="","",IF(H258-S258-T258=0&lt;0,"Error in Areas ▲",IF(S258+T258&gt;H258,"Error in Areas ▲",IF(AND(P258='G-1 All Habitats'!$X$3,Y258="Yes"),"Alternative Compensation ✓",IF(W258=0,0,IF(P258='G-1 All Habitats'!$X$3,"Unacceptable Loss ▲",Q258-U258-V258)))))),"Check Data ▲")</f>
        <v/>
      </c>
      <c r="Y258" s="318"/>
      <c r="Z258" s="83"/>
      <c r="AA258" s="84"/>
      <c r="AC258" s="75" t="str">
        <f>IF(P258="","",IF(P258='G-1 All Habitats'!$X$3,H258-S258-T258,"None"))</f>
        <v/>
      </c>
      <c r="AD258" s="76" t="str">
        <f>IFERROR(AC258*J258*L258*#REF!*O258,IF(P258="","","None"))</f>
        <v/>
      </c>
      <c r="AF258" s="54" t="str">
        <f t="shared" si="15"/>
        <v/>
      </c>
      <c r="AG258" s="54" t="str">
        <f t="shared" si="16"/>
        <v/>
      </c>
      <c r="AH258" s="54" t="str">
        <f>IF(I258="","",IF(#REF!&gt;0,TRUE,FALSE))</f>
        <v/>
      </c>
      <c r="AI258" s="54">
        <v>248</v>
      </c>
      <c r="AJ258" s="54"/>
      <c r="AK258" s="54" t="str">
        <f t="array" ref="AK258">IFERROR(INDEX($AI$11:$AI$259, MATCH(0, IF(TRUE=$AF$11:$AF$259, COUNTIF($AK$10:$AK257, $AI$11:$AI$259), ""), 0)),"")</f>
        <v/>
      </c>
      <c r="AL258" s="54" t="str">
        <f t="array" ref="AL258">IFERROR(INDEX($AI$11:$AI$259, MATCH(0, IF(TRUE=$AG$11:$AG$259, COUNTIF($AL$10:$AL257, $AI$11:$AI$259), ""), 0)),"")</f>
        <v/>
      </c>
      <c r="AM258" s="54" t="str">
        <f t="array" ref="AM258">IFERROR(INDEX($AI$11:$AI$259, MATCH(0, IF(TRUE=$AH$11:$AH$259, COUNTIF($AM$10:$AM257, $AI$11:$AI$259), ""), 0)),"")</f>
        <v/>
      </c>
      <c r="AN258" s="54"/>
      <c r="AQ258" s="47">
        <f t="shared" si="17"/>
        <v>0</v>
      </c>
    </row>
    <row r="259" spans="1:43" ht="14.4" thickBot="1" x14ac:dyDescent="0.3">
      <c r="F259" s="502" t="s">
        <v>223</v>
      </c>
      <c r="H259" s="503">
        <f>SUM(H9:H256)</f>
        <v>1.0905</v>
      </c>
      <c r="N259" s="50"/>
      <c r="P259" s="445"/>
      <c r="Q259" s="514">
        <f>IF('Detailed Results'!$K$40&gt;0,"Error",SUM(Q11:Q258))</f>
        <v>2.5447199999999999</v>
      </c>
      <c r="R259" s="85"/>
      <c r="S259" s="517">
        <f>IF('Detailed Results'!$K$40&gt;0,"Error",SUM(S11:S258))</f>
        <v>5.7599999999999998E-2</v>
      </c>
      <c r="T259" s="518">
        <f>IF('Detailed Results'!$K$40&gt;0,"Error",SUM(T11:T258))</f>
        <v>0</v>
      </c>
      <c r="U259" s="518">
        <f>IF('Detailed Results'!$K$40&gt;0,"Error",SUM(U11:U258))</f>
        <v>0.52991999999999995</v>
      </c>
      <c r="V259" s="518">
        <f>IF('Detailed Results'!$K$40&gt;0,"Error",SUM(V11:V258))</f>
        <v>0</v>
      </c>
      <c r="W259" s="518">
        <f>IF('Detailed Results'!$K$40&gt;0,"Error",SUM(W11:W258))</f>
        <v>1.0329000000000002</v>
      </c>
      <c r="X259" s="514">
        <f>IF('Detailed Results'!$K$40&gt;0,"Error",SUM(X11:X258))</f>
        <v>2.0147999999999997</v>
      </c>
      <c r="AQ259" s="55">
        <f>SUM(AQ11:AQ258)</f>
        <v>0</v>
      </c>
    </row>
    <row r="260" spans="1:43" ht="28.5" customHeight="1" thickBot="1" x14ac:dyDescent="0.3">
      <c r="F260" s="458"/>
      <c r="P260" s="48"/>
      <c r="Y260" s="86"/>
    </row>
    <row r="261" spans="1:43" ht="38.25" customHeight="1" thickBot="1" x14ac:dyDescent="0.3">
      <c r="D261" s="48"/>
      <c r="E261" s="48"/>
      <c r="F261" s="48"/>
      <c r="G261" s="48"/>
      <c r="H261" s="48"/>
      <c r="S261" s="888" t="s">
        <v>224</v>
      </c>
      <c r="T261" s="889"/>
      <c r="U261" s="889"/>
      <c r="V261" s="890"/>
      <c r="W261" s="503">
        <f>IF('Detailed Results'!$K$40&gt;0,"Error",SUMIFS($W$11:$W$258,$G$11:$G$258,"&lt;&gt;"&amp;'G-1 All Habitats'!B65,$G$11:$G$258,"&lt;&gt;"&amp;'G-1 All Habitats'!B66,$G$11:$G$258,"&lt;&gt;"&amp;'G-1 All Habitats'!B73))</f>
        <v>0.98310000000000008</v>
      </c>
    </row>
    <row r="262" spans="1:43" x14ac:dyDescent="0.25">
      <c r="D262" s="48"/>
      <c r="E262" s="48"/>
    </row>
    <row r="263" spans="1:43" x14ac:dyDescent="0.25">
      <c r="D263" s="48"/>
      <c r="E263" s="48"/>
      <c r="F263" s="48"/>
      <c r="G263" s="48"/>
      <c r="H263" s="48"/>
      <c r="I263" s="48"/>
      <c r="J263" s="48"/>
      <c r="K263" s="48"/>
      <c r="L263" s="48"/>
      <c r="M263" s="48"/>
      <c r="N263" s="48"/>
      <c r="O263" s="48"/>
    </row>
    <row r="264" spans="1:43" x14ac:dyDescent="0.25">
      <c r="D264" s="48"/>
      <c r="E264" s="48"/>
      <c r="F264" s="48"/>
      <c r="G264" s="48"/>
      <c r="H264" s="48"/>
      <c r="I264" s="48"/>
      <c r="J264" s="48"/>
      <c r="K264" s="48"/>
      <c r="L264" s="48"/>
      <c r="M264" s="48"/>
      <c r="N264" s="48"/>
      <c r="O264" s="48"/>
    </row>
    <row r="265" spans="1:43" x14ac:dyDescent="0.25">
      <c r="D265" s="48"/>
      <c r="E265" s="48"/>
      <c r="F265" s="48"/>
      <c r="G265" s="48"/>
      <c r="H265" s="48"/>
      <c r="I265" s="48"/>
      <c r="J265" s="48"/>
      <c r="K265" s="48"/>
      <c r="L265" s="48"/>
      <c r="M265" s="48"/>
      <c r="N265" s="48"/>
      <c r="O265" s="48"/>
    </row>
    <row r="275" x14ac:dyDescent="0.25"/>
  </sheetData>
  <sheetProtection algorithmName="SHA-512" hashValue="J1HR/iPbhja6S90cHLAaiiWny17iVfjKLDKuCUExTYmDp+iACze+Ojk+fw4O/4EOu4+bZqCu3nPIqcGn7hqW/g==" saltValue="ovnD5/1rKrFP8IPRpgy6DA=="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D3:F4"/>
    <mergeCell ref="D2:F2"/>
    <mergeCell ref="E9:H9"/>
    <mergeCell ref="Z9:AA9"/>
    <mergeCell ref="I9:J9"/>
    <mergeCell ref="K9:L9"/>
    <mergeCell ref="M9:O9"/>
    <mergeCell ref="S9:X9"/>
    <mergeCell ref="P9:P10"/>
    <mergeCell ref="Y9:Y10"/>
  </mergeCells>
  <conditionalFormatting sqref="AC11:AC258">
    <cfRule type="cellIs" dxfId="316" priority="158" operator="equal">
      <formula>""</formula>
    </cfRule>
    <cfRule type="cellIs" dxfId="315" priority="159" operator="equal">
      <formula>"None"</formula>
    </cfRule>
    <cfRule type="cellIs" dxfId="314" priority="163" operator="greaterThan">
      <formula>0</formula>
    </cfRule>
  </conditionalFormatting>
  <conditionalFormatting sqref="AD12">
    <cfRule type="cellIs" dxfId="313" priority="154" operator="equal">
      <formula>"None"</formula>
    </cfRule>
    <cfRule type="cellIs" dxfId="312" priority="157" operator="equal">
      <formula>""</formula>
    </cfRule>
    <cfRule type="cellIs" dxfId="311" priority="160" operator="greaterThan">
      <formula>0</formula>
    </cfRule>
  </conditionalFormatting>
  <conditionalFormatting sqref="AC11">
    <cfRule type="cellIs" dxfId="310" priority="143" operator="equal">
      <formula>""</formula>
    </cfRule>
    <cfRule type="cellIs" dxfId="309" priority="144" operator="equal">
      <formula>"None"</formula>
    </cfRule>
    <cfRule type="cellIs" dxfId="308" priority="147" operator="greaterThan">
      <formula>0</formula>
    </cfRule>
  </conditionalFormatting>
  <conditionalFormatting sqref="AD11:AD258">
    <cfRule type="cellIs" dxfId="307" priority="139" operator="equal">
      <formula>"None"</formula>
    </cfRule>
    <cfRule type="cellIs" dxfId="306" priority="142" operator="equal">
      <formula>""</formula>
    </cfRule>
    <cfRule type="cellIs" dxfId="305" priority="145" operator="greaterThan">
      <formula>0</formula>
    </cfRule>
  </conditionalFormatting>
  <conditionalFormatting sqref="AC11:AC258">
    <cfRule type="cellIs" dxfId="304" priority="128" operator="equal">
      <formula>""</formula>
    </cfRule>
    <cfRule type="cellIs" dxfId="303" priority="129" operator="equal">
      <formula>"None"</formula>
    </cfRule>
    <cfRule type="cellIs" dxfId="302" priority="132" operator="greaterThan">
      <formula>0</formula>
    </cfRule>
  </conditionalFormatting>
  <conditionalFormatting sqref="AD13:AD258">
    <cfRule type="cellIs" dxfId="301" priority="124" operator="equal">
      <formula>"None"</formula>
    </cfRule>
    <cfRule type="cellIs" dxfId="300" priority="127" operator="equal">
      <formula>""</formula>
    </cfRule>
    <cfRule type="cellIs" dxfId="299" priority="130" operator="greaterThan">
      <formula>0</formula>
    </cfRule>
  </conditionalFormatting>
  <conditionalFormatting sqref="AC11:AC258">
    <cfRule type="cellIs" dxfId="298" priority="121" operator="equal">
      <formula>0</formula>
    </cfRule>
  </conditionalFormatting>
  <conditionalFormatting sqref="L11">
    <cfRule type="cellIs" dxfId="297" priority="113" operator="equal">
      <formula>"Not Possible"</formula>
    </cfRule>
  </conditionalFormatting>
  <conditionalFormatting sqref="L12:L258">
    <cfRule type="cellIs" dxfId="296" priority="99" operator="equal">
      <formula>"Not Possible"</formula>
    </cfRule>
  </conditionalFormatting>
  <conditionalFormatting sqref="W11:W258">
    <cfRule type="cellIs" dxfId="295" priority="41" operator="equal">
      <formula>"Error in Areas"</formula>
    </cfRule>
    <cfRule type="cellIs" dxfId="294" priority="71" operator="equal">
      <formula>"Unacceptable Loss"</formula>
    </cfRule>
  </conditionalFormatting>
  <conditionalFormatting sqref="Q11:Q258">
    <cfRule type="cellIs" dxfId="293" priority="49" operator="equal">
      <formula>"Any loss Unacceptable ▲"</formula>
    </cfRule>
  </conditionalFormatting>
  <conditionalFormatting sqref="Q11:Q258">
    <cfRule type="expression" dxfId="292" priority="51">
      <formula>"p18=""Avoid"""</formula>
    </cfRule>
  </conditionalFormatting>
  <conditionalFormatting sqref="Q11:Q258">
    <cfRule type="cellIs" dxfId="291" priority="50" operator="equal">
      <formula>"Any loss Unacceptable ▲"</formula>
    </cfRule>
  </conditionalFormatting>
  <conditionalFormatting sqref="Q11:Q258">
    <cfRule type="cellIs" dxfId="290" priority="46" operator="equal">
      <formula>"Any loss Unacceptable ▲"</formula>
    </cfRule>
  </conditionalFormatting>
  <conditionalFormatting sqref="Q11:Q258">
    <cfRule type="expression" dxfId="289" priority="48">
      <formula>"p18=""Avoid"""</formula>
    </cfRule>
  </conditionalFormatting>
  <conditionalFormatting sqref="Q11:Q258">
    <cfRule type="cellIs" dxfId="288" priority="47" operator="equal">
      <formula>"Any loss Unacceptable ▲"</formula>
    </cfRule>
  </conditionalFormatting>
  <conditionalFormatting sqref="Q12:Q258">
    <cfRule type="cellIs" dxfId="287" priority="43" operator="equal">
      <formula>"Any loss Unacceptable ▲"</formula>
    </cfRule>
  </conditionalFormatting>
  <conditionalFormatting sqref="Q12:Q258">
    <cfRule type="expression" dxfId="286" priority="45">
      <formula>"p18=""Avoid"""</formula>
    </cfRule>
  </conditionalFormatting>
  <conditionalFormatting sqref="Q12:Q258">
    <cfRule type="cellIs" dxfId="285" priority="44" operator="equal">
      <formula>"Any loss Unacceptable ▲"</formula>
    </cfRule>
  </conditionalFormatting>
  <conditionalFormatting sqref="Q11:Q258">
    <cfRule type="cellIs" dxfId="284" priority="42" operator="equal">
      <formula>"Check Data ▲"</formula>
    </cfRule>
  </conditionalFormatting>
  <conditionalFormatting sqref="Y11">
    <cfRule type="cellIs" dxfId="283" priority="109" operator="equal">
      <formula>"No"</formula>
    </cfRule>
    <cfRule type="cellIs" dxfId="282" priority="110" operator="equal">
      <formula>"Yes"</formula>
    </cfRule>
  </conditionalFormatting>
  <conditionalFormatting sqref="X11">
    <cfRule type="cellIs" dxfId="281" priority="15" operator="equal">
      <formula>"Alternative Compensation ✓"</formula>
    </cfRule>
    <cfRule type="cellIs" dxfId="280" priority="26" operator="equal">
      <formula>"Error in Areas ▲"</formula>
    </cfRule>
  </conditionalFormatting>
  <conditionalFormatting sqref="X11">
    <cfRule type="cellIs" dxfId="279" priority="27"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278" priority="11" operator="equal">
      <formula>"Error in Areas"</formula>
    </cfRule>
    <cfRule type="cellIs" dxfId="277" priority="12" operator="equal">
      <formula>"Unacceptable Loss"</formula>
    </cfRule>
  </conditionalFormatting>
  <conditionalFormatting sqref="Y12">
    <cfRule type="cellIs" dxfId="276" priority="13" operator="equal">
      <formula>"No"</formula>
    </cfRule>
    <cfRule type="cellIs" dxfId="275" priority="14" operator="equal">
      <formula>"Yes"</formula>
    </cfRule>
  </conditionalFormatting>
  <conditionalFormatting sqref="X12:X257">
    <cfRule type="cellIs" dxfId="274" priority="8" operator="equal">
      <formula>"Alternative Compensation ✓"</formula>
    </cfRule>
    <cfRule type="cellIs" dxfId="273" priority="9" operator="equal">
      <formula>"Error in Areas ▲"</formula>
    </cfRule>
  </conditionalFormatting>
  <conditionalFormatting sqref="X12:X257">
    <cfRule type="cellIs" dxfId="272" priority="10" operator="equal">
      <formula>"Unacceptable Loss ▲"</formula>
    </cfRule>
  </conditionalFormatting>
  <conditionalFormatting sqref="W11:W258">
    <cfRule type="cellIs" dxfId="271" priority="4" operator="equal">
      <formula>"Error in Areas ▲"</formula>
    </cfRule>
    <cfRule type="cellIs" dxfId="270" priority="5" operator="equal">
      <formula>"Unacceptable Loss"</formula>
    </cfRule>
  </conditionalFormatting>
  <conditionalFormatting sqref="Y13:Y258">
    <cfRule type="cellIs" dxfId="269" priority="6" operator="equal">
      <formula>"No"</formula>
    </cfRule>
    <cfRule type="cellIs" dxfId="268" priority="7" operator="equal">
      <formula>"Yes"</formula>
    </cfRule>
  </conditionalFormatting>
  <conditionalFormatting sqref="X258">
    <cfRule type="cellIs" dxfId="267" priority="1" operator="equal">
      <formula>"Alternative Compensation ✓"</formula>
    </cfRule>
    <cfRule type="cellIs" dxfId="266" priority="2" operator="equal">
      <formula>"Error in Areas ▲"</formula>
    </cfRule>
  </conditionalFormatting>
  <conditionalFormatting sqref="X258">
    <cfRule type="cellIs" dxfId="265" priority="3" operator="equal">
      <formula>"Unacceptable Loss ▲"</formula>
    </cfRule>
  </conditionalFormatting>
  <dataValidations xWindow="350" yWindow="550" count="3">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18" operator="equal" id="{89E5D34A-84D2-451B-AE19-E1C55CD4AE97}">
            <xm:f>'G-1 All Habitats'!$X$6</xm:f>
            <x14:dxf>
              <fill>
                <patternFill>
                  <fgColor auto="1"/>
                  <bgColor theme="8" tint="0.59996337778862885"/>
                </patternFill>
              </fill>
            </x14:dxf>
          </x14:cfRule>
          <x14:cfRule type="cellIs" priority="221" operator="equal" id="{41051103-CFA0-4D28-ABC8-80C73B0DAD71}">
            <xm:f>'G-1 All Habitats'!$X$5</xm:f>
            <x14:dxf>
              <fill>
                <patternFill>
                  <bgColor theme="8" tint="-0.24994659260841701"/>
                </patternFill>
              </fill>
            </x14:dxf>
          </x14:cfRule>
          <x14:cfRule type="cellIs" priority="222" operator="equal" id="{0D8BC356-8EEA-4D5F-8274-BFC36C55C14A}">
            <xm:f>'G-1 All Habitats'!$X$4</xm:f>
            <x14:dxf>
              <fill>
                <patternFill>
                  <bgColor theme="6"/>
                </patternFill>
              </fill>
            </x14:dxf>
          </x14:cfRule>
          <x14:cfRule type="cellIs" priority="223" operator="equal" id="{30DC79CD-935D-4166-88BF-C5C9590761A5}">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00000000-0002-0000-0900-000005000000}">
          <x14:formula1>
            <xm:f>'G-1 All Habitats'!$AF$3:$AF$15</xm:f>
          </x14:formula1>
          <xm:sqref>E11:E258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AH266"/>
  <sheetViews>
    <sheetView showGridLines="0" showRowColHeaders="0" topLeftCell="M1" zoomScale="70" zoomScaleNormal="70" workbookViewId="0">
      <pane ySplit="10" topLeftCell="A11" activePane="bottomLeft" state="frozen"/>
      <selection activeCell="S28" sqref="S28"/>
      <selection pane="bottomLeft" activeCell="Y27" sqref="Y27"/>
    </sheetView>
  </sheetViews>
  <sheetFormatPr defaultColWidth="0" defaultRowHeight="13.8" zeroHeight="1" x14ac:dyDescent="0.25"/>
  <cols>
    <col min="1" max="1" width="7.44140625" style="47" hidden="1" customWidth="1"/>
    <col min="2" max="2" width="9.5546875" style="47" hidden="1" customWidth="1"/>
    <col min="3" max="3" width="24.33203125" style="47" hidden="1" customWidth="1"/>
    <col min="4" max="4" width="27.109375" style="47" customWidth="1"/>
    <col min="5" max="5" width="75" style="49" customWidth="1"/>
    <col min="6" max="6" width="15.88671875" style="47" hidden="1" customWidth="1"/>
    <col min="7" max="7" width="12.6640625" style="47" customWidth="1"/>
    <col min="8" max="8" width="18" style="47" customWidth="1"/>
    <col min="9" max="9" width="14.109375" style="47" customWidth="1"/>
    <col min="10" max="11" width="12.5546875" style="47" customWidth="1"/>
    <col min="12" max="12" width="42.33203125" style="47" customWidth="1"/>
    <col min="13" max="13" width="19.5546875" style="47" customWidth="1"/>
    <col min="14" max="14" width="13.109375" style="47" customWidth="1"/>
    <col min="15" max="15" width="18" style="47" customWidth="1"/>
    <col min="16" max="16" width="17.88671875" style="47" customWidth="1"/>
    <col min="17" max="17" width="17.6640625" style="47" customWidth="1"/>
    <col min="18" max="18" width="49.5546875" style="47" customWidth="1"/>
    <col min="19" max="19" width="18.33203125" style="47" customWidth="1"/>
    <col min="20" max="20" width="15.33203125" style="47" customWidth="1"/>
    <col min="21" max="21" width="13.6640625" style="47" customWidth="1"/>
    <col min="22" max="22" width="36.5546875" style="47" customWidth="1"/>
    <col min="23" max="23" width="15.109375" style="47" customWidth="1"/>
    <col min="24" max="24" width="14.33203125" style="47" customWidth="1"/>
    <col min="25" max="25" width="12.6640625" style="47" customWidth="1"/>
    <col min="26" max="26" width="39.6640625" style="47" customWidth="1"/>
    <col min="27" max="27" width="43.109375" style="47" customWidth="1"/>
    <col min="28" max="28" width="8.44140625" style="47" customWidth="1"/>
    <col min="29" max="29" width="12" style="47" hidden="1" customWidth="1"/>
    <col min="30" max="30" width="8.88671875" style="47" hidden="1" customWidth="1"/>
    <col min="31" max="31" width="10.88671875" style="47" hidden="1" customWidth="1"/>
    <col min="32" max="32" width="11.88671875" style="47" hidden="1" customWidth="1"/>
    <col min="33" max="16384" width="8.88671875" style="47" hidden="1"/>
  </cols>
  <sheetData>
    <row r="1" spans="1:34" ht="14.4" thickBot="1" x14ac:dyDescent="0.3"/>
    <row r="2" spans="1:34" ht="18.75" customHeight="1" thickBot="1" x14ac:dyDescent="0.3">
      <c r="D2" s="897" t="str">
        <f>IF(Start!$F$12="","",Start!$F$12)</f>
        <v>Land at Doncaster Road, Goldthorpe, Rotherham</v>
      </c>
      <c r="E2" s="899"/>
      <c r="P2" s="919" t="str">
        <f>IF(OR(COUNTIF($O$11:O256,"*30+*")&gt;0,COUNTIF($S$11:S256,"*30+*")&gt;0),"Note; Habitat selected has a time to target condition greater than 30 years. Non standard agreement may be required.","")</f>
        <v/>
      </c>
      <c r="Q2" s="919"/>
      <c r="R2" s="919"/>
      <c r="S2" s="919"/>
    </row>
    <row r="3" spans="1:34" ht="24" customHeight="1" thickBot="1" x14ac:dyDescent="0.3">
      <c r="D3" s="894" t="str">
        <f ca="1">MID(CELL("filename",D1),FIND("]",CELL("filename",D1))+1,256)</f>
        <v>A-2 Site Habitat Creation</v>
      </c>
      <c r="E3" s="896"/>
      <c r="O3" s="401"/>
      <c r="P3" s="919"/>
      <c r="Q3" s="919"/>
      <c r="R3" s="919"/>
      <c r="S3" s="919"/>
      <c r="W3" s="918"/>
      <c r="X3" s="918"/>
      <c r="Y3" s="918"/>
      <c r="Z3" s="918"/>
    </row>
    <row r="4" spans="1:34" ht="12.6" customHeight="1" x14ac:dyDescent="0.25">
      <c r="O4" s="401"/>
      <c r="P4" s="401"/>
      <c r="Q4" s="401"/>
      <c r="R4" s="401"/>
      <c r="W4" s="918"/>
      <c r="X4" s="918"/>
      <c r="Y4" s="918"/>
      <c r="Z4" s="918"/>
    </row>
    <row r="5" spans="1:34" ht="15.6" customHeight="1" x14ac:dyDescent="0.3">
      <c r="M5" s="245"/>
      <c r="N5" s="235"/>
      <c r="O5" s="401"/>
      <c r="P5" s="920" t="str">
        <f>IFERROR(IF(OR((G259-'A-1 Site Habitat Baseline'!W261)&gt;0.01,(G259-'A-1 Site Habitat Baseline'!W261)&lt;-0.01),"Check Areas - Area cross check failed (Baseline habitat lost does not match development footprint plus area of new habitat creation)",""),"")</f>
        <v/>
      </c>
      <c r="Q5" s="920"/>
      <c r="R5" s="920"/>
      <c r="S5" s="920"/>
      <c r="W5" s="918"/>
      <c r="X5" s="918"/>
      <c r="Y5" s="918"/>
      <c r="Z5" s="918"/>
    </row>
    <row r="6" spans="1:34" ht="19.2" customHeight="1" x14ac:dyDescent="0.25">
      <c r="O6" s="401"/>
      <c r="P6" s="920"/>
      <c r="Q6" s="920"/>
      <c r="R6" s="920"/>
      <c r="S6" s="920"/>
      <c r="W6" s="918"/>
      <c r="X6" s="918"/>
      <c r="Y6" s="918"/>
      <c r="Z6" s="918"/>
    </row>
    <row r="7" spans="1:34" ht="39" customHeight="1" thickBot="1" x14ac:dyDescent="0.35">
      <c r="E7" s="50"/>
      <c r="P7" s="402"/>
      <c r="Q7" s="402"/>
      <c r="R7" s="402"/>
      <c r="S7" s="398"/>
      <c r="T7" s="398"/>
      <c r="U7" s="398"/>
      <c r="V7" s="398"/>
      <c r="W7" s="398"/>
    </row>
    <row r="8" spans="1:34" ht="14.4" thickBot="1" x14ac:dyDescent="0.3">
      <c r="D8" s="914" t="s">
        <v>225</v>
      </c>
      <c r="E8" s="915"/>
      <c r="F8" s="915"/>
      <c r="G8" s="915"/>
      <c r="H8" s="915"/>
      <c r="I8" s="915"/>
      <c r="J8" s="915"/>
      <c r="K8" s="915"/>
      <c r="L8" s="915"/>
      <c r="M8" s="915"/>
      <c r="N8" s="915"/>
      <c r="O8" s="915"/>
      <c r="P8" s="915"/>
      <c r="Q8" s="915"/>
      <c r="R8" s="915"/>
      <c r="S8" s="915"/>
      <c r="T8" s="915"/>
      <c r="U8" s="915"/>
      <c r="V8" s="915"/>
      <c r="W8" s="915"/>
      <c r="X8" s="915"/>
      <c r="Y8" s="915"/>
      <c r="Z8" s="915"/>
      <c r="AA8" s="916"/>
      <c r="AE8" s="921" t="s">
        <v>226</v>
      </c>
    </row>
    <row r="9" spans="1:34" s="49" customFormat="1" ht="15" customHeight="1" thickBot="1" x14ac:dyDescent="0.3">
      <c r="B9" s="47"/>
      <c r="D9" s="912" t="s">
        <v>202</v>
      </c>
      <c r="E9" s="908" t="s">
        <v>227</v>
      </c>
      <c r="F9" s="908" t="s">
        <v>227</v>
      </c>
      <c r="G9" s="910" t="s">
        <v>205</v>
      </c>
      <c r="H9" s="903" t="s">
        <v>189</v>
      </c>
      <c r="I9" s="904"/>
      <c r="J9" s="903" t="s">
        <v>190</v>
      </c>
      <c r="K9" s="904"/>
      <c r="L9" s="903" t="s">
        <v>191</v>
      </c>
      <c r="M9" s="905"/>
      <c r="N9" s="904"/>
      <c r="O9" s="903" t="s">
        <v>228</v>
      </c>
      <c r="P9" s="905"/>
      <c r="Q9" s="905"/>
      <c r="R9" s="905"/>
      <c r="S9" s="905"/>
      <c r="T9" s="904"/>
      <c r="U9" s="900" t="s">
        <v>229</v>
      </c>
      <c r="V9" s="901"/>
      <c r="W9" s="901"/>
      <c r="X9" s="902"/>
      <c r="Y9" s="906" t="s">
        <v>230</v>
      </c>
      <c r="Z9" s="903" t="s">
        <v>196</v>
      </c>
      <c r="AA9" s="904"/>
      <c r="AB9" s="47"/>
      <c r="AC9" s="47"/>
      <c r="AD9" s="47"/>
      <c r="AE9" s="921"/>
      <c r="AF9" s="47"/>
      <c r="AG9" s="47"/>
      <c r="AH9" s="47"/>
    </row>
    <row r="10" spans="1:34" ht="41.4" x14ac:dyDescent="0.25">
      <c r="A10" s="55" t="s">
        <v>200</v>
      </c>
      <c r="D10" s="913"/>
      <c r="E10" s="909"/>
      <c r="F10" s="909"/>
      <c r="G10" s="911"/>
      <c r="H10" s="380" t="s">
        <v>189</v>
      </c>
      <c r="I10" s="381" t="s">
        <v>206</v>
      </c>
      <c r="J10" s="633" t="s">
        <v>190</v>
      </c>
      <c r="K10" s="382" t="s">
        <v>206</v>
      </c>
      <c r="L10" s="364" t="s">
        <v>191</v>
      </c>
      <c r="M10" s="77" t="s">
        <v>191</v>
      </c>
      <c r="N10" s="366" t="s">
        <v>231</v>
      </c>
      <c r="O10" s="364" t="s">
        <v>232</v>
      </c>
      <c r="P10" s="77" t="s">
        <v>233</v>
      </c>
      <c r="Q10" s="77" t="s">
        <v>234</v>
      </c>
      <c r="R10" s="77" t="s">
        <v>235</v>
      </c>
      <c r="S10" s="77" t="s">
        <v>236</v>
      </c>
      <c r="T10" s="366" t="s">
        <v>237</v>
      </c>
      <c r="U10" s="363" t="s">
        <v>238</v>
      </c>
      <c r="V10" s="367" t="s">
        <v>239</v>
      </c>
      <c r="W10" s="367" t="s">
        <v>240</v>
      </c>
      <c r="X10" s="365" t="s">
        <v>241</v>
      </c>
      <c r="Y10" s="917"/>
      <c r="Z10" s="364" t="s">
        <v>215</v>
      </c>
      <c r="AA10" s="366" t="s">
        <v>216</v>
      </c>
      <c r="AE10" s="47" t="s">
        <v>242</v>
      </c>
    </row>
    <row r="11" spans="1:34" ht="41.4" x14ac:dyDescent="0.25">
      <c r="A11" s="47" t="str">
        <f>IFERROR(INDEX('G-8 Condition Look up'!$I$4:$I$130,MATCH(F11,'G-8 Condition Look up'!$A$4:$A$130,0)),"")</f>
        <v>Cond1</v>
      </c>
      <c r="C11" s="383" t="str">
        <f>IFERROR(INDEX('G-1 All Habitats'!$AG$3:$AG$15,MATCH(D11,'G-1 All Habitats'!$AF$3:$AF$15,0)),"")</f>
        <v>Urban</v>
      </c>
      <c r="D11" s="71" t="s">
        <v>74</v>
      </c>
      <c r="E11" s="82" t="s">
        <v>615</v>
      </c>
      <c r="F11" s="379" t="str">
        <f>IFERROR(INDEX('G-1 All Habitats'!$B$3:$B$129,MATCH(E11,'G-1 All Habitats'!$A$3:$A$129,0)),"")</f>
        <v>Urban - Introduced shrub</v>
      </c>
      <c r="G11" s="70">
        <v>3.0099999999999998E-2</v>
      </c>
      <c r="H11" s="498" t="str">
        <f>IF(F11="","",VLOOKUP(F11,'G-1 All Habitats'!$B$2:$M$129,10,FALSE))</f>
        <v>Low</v>
      </c>
      <c r="I11" s="499">
        <f>IFERROR(VLOOKUP(H11,'G-1 All Habitats'!$V$3:$W$7,2,FALSE),"")</f>
        <v>2</v>
      </c>
      <c r="J11" s="71" t="s">
        <v>403</v>
      </c>
      <c r="K11" s="499">
        <f>IFERROR(INDEX('G-8 Condition Look up'!$A$3:$H$130,MATCH(F11,'G-8 Condition Look up'!$A$3:$A$130,0),MATCH(J11,'G-8 Condition Look up'!$A$3:$H$3,0)),"")</f>
        <v>1</v>
      </c>
      <c r="L11" s="71" t="s">
        <v>913</v>
      </c>
      <c r="M11" s="520" t="str">
        <f>IF(L11="","",IF(VLOOKUP(L11,'G-3 Multipliers'!$L$3:$N$6,2,FALSE)=0,"Spatial Data Missing",VLOOKUP(L11,'G-3 Multipliers'!$L$3:$N$6,2,FALSE)))</f>
        <v xml:space="preserve">High strategic significance </v>
      </c>
      <c r="N11" s="505">
        <f>IF(L11="","",IF(VLOOKUP(L11,'G-3 Multipliers'!$L$3:$N$6,3,FALSE)=0,"Spatial Data Missing",VLOOKUP(L11,'G-3 Multipliers'!$L$3:$N$6,3,FALSE)))</f>
        <v>1.1499999999999999</v>
      </c>
      <c r="O11" s="498">
        <f t="shared" ref="O11:O74" si="0">IFERROR(INDEX(TemporalData,MATCH(F11,TemporalHabitats,0),MATCH(J11,TemporalConditions,0)),"")</f>
        <v>1</v>
      </c>
      <c r="P11" s="82">
        <v>0</v>
      </c>
      <c r="Q11" s="82">
        <v>0</v>
      </c>
      <c r="R11" s="507"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521">
        <f>IF(R11="Error -both advance and delayed habitat creation ▲","Check Data ⚠",IF(O11="Not Possible","Check Data ⚠",IF(O11="","",IF(AND(O11="30+",P11=0),"30+",IF(AND(O11="30+",P11="30+"),0,IF(AND(O11="30+",P11&lt;32),30-P11,IF(O11="30+",30-P11,IF(P11&gt;O11,0,IF(Q11="30+","30+",IF(O11+Q11&gt;30,"30+",IF(O11+Q11&gt;30,"30+",IF(O11-P11&gt;30,"30+",IF(O11+Q11-P11&gt;0,O11+Q11-P11,IF(O11-P11&gt;0,O11-P11,O11+Q11-P11))))))))))))))</f>
        <v>1</v>
      </c>
      <c r="T11" s="522">
        <f>IFERROR(IF(S11="Check Data ⚠","Check Data ⚠",VLOOKUP(S11,'G-4 Temporal multipliers'!$A$4:$C$37,3,FALSE)),"")</f>
        <v>0.96499999999999997</v>
      </c>
      <c r="U11" s="523" t="str">
        <f>IF(F11="","",VLOOKUP(F11,'G-3 Multipliers'!$A$2:$E$129,2,FALSE))</f>
        <v>Low</v>
      </c>
      <c r="V11" s="520" t="str">
        <f>IF(F11="","",IF($R11="Check details - Is there evidence that habitat has reached target condition? ⚠","Low Difficulty - only applicable if all habitat created before losses",IF($R11="Check details - Is there evidence habitat creation started and the threshold for Poor condition reached? ⚠","Enhancement difficulty applied","Standard difficulty applied")))</f>
        <v>Standard difficulty applied</v>
      </c>
      <c r="W11" s="520" t="str">
        <f>IF(E11="","",IF(AND(V11="Standard difficulty applied",O11&gt;P11),U11,IF(AND(V11="Low Difficulty - only applicable if all habitat created before losses",P11&gt;=O11),"Low",VLOOKUP(F11,'G-3 Multipliers'!$A$2:$E$129,4,FALSE))))</f>
        <v>Low</v>
      </c>
      <c r="X11" s="524">
        <f>IFERROR(IF(E11="","",VLOOKUP(W11, 'G-3 Multipliers'!$P$2:$Q$6,2,FALSE)),"")</f>
        <v>1</v>
      </c>
      <c r="Y11" s="529">
        <f>IFERROR(G11*I11*K11*N11*T11*X11,"")</f>
        <v>6.680694999999999E-2</v>
      </c>
      <c r="Z11" s="239" t="s">
        <v>1569</v>
      </c>
      <c r="AA11" s="240"/>
      <c r="AE11" s="54" t="str">
        <f t="shared" ref="AE11:AE74" si="1">IFERROR(INDEX(TemporalData,MATCH(F11,TemporalHabitats,0),MATCH($AE$10,TemporalConditions,0)),"")</f>
        <v>Not Possible</v>
      </c>
    </row>
    <row r="12" spans="1:34" ht="124.2" x14ac:dyDescent="0.25">
      <c r="A12" s="47" t="str">
        <f>IFERROR(INDEX('G-8 Condition Look up'!$I$4:$I$130,MATCH(F12,'G-8 Condition Look up'!$A$4:$A$130,0)),"")</f>
        <v>Cond4</v>
      </c>
      <c r="C12" s="384" t="str">
        <f>IFERROR(INDEX('G-1 All Habitats'!$AG$3:$AG$15,MATCH(D12,'G-1 All Habitats'!$AF$3:$AF$15,0)),"")</f>
        <v>Heathland_and_shrub</v>
      </c>
      <c r="D12" s="146" t="s">
        <v>71</v>
      </c>
      <c r="E12" s="79" t="s">
        <v>495</v>
      </c>
      <c r="F12" s="246" t="str">
        <f>IFERROR(INDEX('G-1 All Habitats'!$B$3:$B$129,MATCH(E12,'G-1 All Habitats'!$A$3:$A$129,0)),"")</f>
        <v>Heathland and shrub - Mixed scrub</v>
      </c>
      <c r="G12" s="70">
        <v>9.4899999999999998E-2</v>
      </c>
      <c r="H12" s="498" t="str">
        <f>IF(F12="","",VLOOKUP(F12,'G-1 All Habitats'!$B$2:$M$129,10,FALSE))</f>
        <v>Medium</v>
      </c>
      <c r="I12" s="499">
        <f>IFERROR(VLOOKUP(H12,'G-1 All Habitats'!$V$3:$W$7,2,FALSE),"")</f>
        <v>4</v>
      </c>
      <c r="J12" s="71" t="s">
        <v>20</v>
      </c>
      <c r="K12" s="499">
        <f>IFERROR(INDEX('G-8 Condition Look up'!$A$3:$H$130,MATCH(F12,'G-8 Condition Look up'!$A$3:$A$130,0),MATCH(J12,'G-8 Condition Look up'!$A$3:$H$3,0)),"")</f>
        <v>2</v>
      </c>
      <c r="L12" s="71" t="s">
        <v>913</v>
      </c>
      <c r="M12" s="507" t="str">
        <f>IF(L12="","",IF(VLOOKUP(L12,'G-3 Multipliers'!$L$3:$N$6,2,FALSE)=0,"Spatial Data Missing",VLOOKUP(L12,'G-3 Multipliers'!$L$3:$N$6,2,FALSE)))</f>
        <v xml:space="preserve">High strategic significance </v>
      </c>
      <c r="N12" s="505">
        <f>IF(L12="","",IF(VLOOKUP(L12,'G-3 Multipliers'!$L$3:$N$6,3,FALSE)=0,"Spatial Data Missing",VLOOKUP(L12,'G-3 Multipliers'!$L$3:$N$6,3,FALSE)))</f>
        <v>1.1499999999999999</v>
      </c>
      <c r="O12" s="498">
        <f t="shared" si="0"/>
        <v>5</v>
      </c>
      <c r="P12" s="82">
        <v>0</v>
      </c>
      <c r="Q12" s="82">
        <v>0</v>
      </c>
      <c r="R12" s="507"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521">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5</v>
      </c>
      <c r="T12" s="522">
        <f>IFERROR(IF(S12="Check Data ⚠","Check Data ⚠",VLOOKUP(S12,'G-4 Temporal multipliers'!$A$4:$C$37,3,FALSE)),"")</f>
        <v>0.83682870060000003</v>
      </c>
      <c r="U12" s="523" t="str">
        <f>IF(F12="","",VLOOKUP(F12,'G-3 Multipliers'!$A$2:$E$129,2,FALSE))</f>
        <v>Low</v>
      </c>
      <c r="V12" s="520" t="str">
        <f t="shared" ref="V12:V75" si="4">IF(F12="","",IF($R12="Check details - Is there evidence that habitat has reached target condition? ⚠","Low Difficulty - only applicable if all habitat created before losses",IF($R12="Check details - Is there evidence habitat creation started and the threshold for Poor condition reached? ⚠","Enhancement difficulty applied","Standard difficulty applied")))</f>
        <v>Standard difficulty applied</v>
      </c>
      <c r="W12" s="520" t="str">
        <f>IF(E12="","",IF(AND(V12="Standard difficulty applied",O12&gt;P12),U12,IF(AND(V12="Low Difficulty - only applicable if all habitat created before losses",P12&gt;=O12),"Low",VLOOKUP(F12,'G-3 Multipliers'!$A$2:$E$129,4,FALSE))))</f>
        <v>Low</v>
      </c>
      <c r="X12" s="524">
        <f>IFERROR(IF(E12="","",VLOOKUP(W12, 'G-3 Multipliers'!$P$2:$Q$6,2,FALSE)),"")</f>
        <v>1</v>
      </c>
      <c r="Y12" s="529">
        <f t="shared" ref="Y12:Y75" si="5">IFERROR(G12*I12*K12*N12*T12*X12,"")</f>
        <v>0.73061840191984795</v>
      </c>
      <c r="Z12" s="239" t="s">
        <v>1573</v>
      </c>
      <c r="AA12" s="240"/>
      <c r="AE12" s="54">
        <f t="shared" si="1"/>
        <v>1</v>
      </c>
    </row>
    <row r="13" spans="1:34" ht="151.80000000000001" x14ac:dyDescent="0.25">
      <c r="A13" s="47" t="str">
        <f>IFERROR(INDEX('G-8 Condition Look up'!$I$4:$I$130,MATCH(F13,'G-8 Condition Look up'!$A$4:$A$130,0)),"")</f>
        <v>Cond4</v>
      </c>
      <c r="C13" s="384" t="str">
        <f>IFERROR(INDEX('G-1 All Habitats'!$AG$3:$AG$15,MATCH(D13,'G-1 All Habitats'!$AF$3:$AF$15,0)),"")</f>
        <v>Grassland</v>
      </c>
      <c r="D13" s="146" t="s">
        <v>70</v>
      </c>
      <c r="E13" s="79" t="s">
        <v>455</v>
      </c>
      <c r="F13" s="246" t="str">
        <f>IFERROR(INDEX('G-1 All Habitats'!$B$3:$B$129,MATCH(E13,'G-1 All Habitats'!$A$3:$A$129,0)),"")</f>
        <v>Grassland - Other neutral grassland</v>
      </c>
      <c r="G13" s="70">
        <v>9.7100000000000006E-2</v>
      </c>
      <c r="H13" s="498" t="str">
        <f>IF(F13="","",VLOOKUP(F13,'G-1 All Habitats'!$B$2:$M$129,10,FALSE))</f>
        <v>Medium</v>
      </c>
      <c r="I13" s="499">
        <f>IFERROR(VLOOKUP(H13,'G-1 All Habitats'!$V$3:$W$7,2,FALSE),"")</f>
        <v>4</v>
      </c>
      <c r="J13" s="71" t="s">
        <v>20</v>
      </c>
      <c r="K13" s="499">
        <f>IFERROR(INDEX('G-8 Condition Look up'!$A$3:$H$130,MATCH(F13,'G-8 Condition Look up'!$A$3:$A$130,0),MATCH(J13,'G-8 Condition Look up'!$A$3:$H$3,0)),"")</f>
        <v>2</v>
      </c>
      <c r="L13" s="71" t="s">
        <v>913</v>
      </c>
      <c r="M13" s="507" t="str">
        <f>IF(L13="","",IF(VLOOKUP(L13,'G-3 Multipliers'!$L$3:$N$6,2,FALSE)=0,"Spatial Data Missing",VLOOKUP(L13,'G-3 Multipliers'!$L$3:$N$6,2,FALSE)))</f>
        <v xml:space="preserve">High strategic significance </v>
      </c>
      <c r="N13" s="505">
        <f>IF(L13="","",IF(VLOOKUP(L13,'G-3 Multipliers'!$L$3:$N$6,3,FALSE)=0,"Spatial Data Missing",VLOOKUP(L13,'G-3 Multipliers'!$L$3:$N$6,3,FALSE)))</f>
        <v>1.1499999999999999</v>
      </c>
      <c r="O13" s="498">
        <f t="shared" si="0"/>
        <v>5</v>
      </c>
      <c r="P13" s="82">
        <v>0</v>
      </c>
      <c r="Q13" s="82">
        <v>0</v>
      </c>
      <c r="R13" s="507" t="str">
        <f t="shared" si="2"/>
        <v>Standard time to target condition applied</v>
      </c>
      <c r="S13" s="521">
        <f t="shared" si="3"/>
        <v>5</v>
      </c>
      <c r="T13" s="522">
        <f>IFERROR(IF(S13="Check Data ⚠","Check Data ⚠",VLOOKUP(S13,'G-4 Temporal multipliers'!$A$4:$C$37,3,FALSE)),"")</f>
        <v>0.83682870060000003</v>
      </c>
      <c r="U13" s="523" t="str">
        <f>IF(F13="","",VLOOKUP(F13,'G-3 Multipliers'!$A$2:$E$129,2,FALSE))</f>
        <v>Low</v>
      </c>
      <c r="V13" s="520" t="str">
        <f t="shared" si="4"/>
        <v>Standard difficulty applied</v>
      </c>
      <c r="W13" s="520" t="str">
        <f>IF(E13="","",IF(AND(V13="Standard difficulty applied",O13&gt;P13),U13,IF(AND(V13="Low Difficulty - only applicable if all habitat created before losses",P13&gt;=O13),"Low",VLOOKUP(F13,'G-3 Multipliers'!$A$2:$E$129,4,FALSE))))</f>
        <v>Low</v>
      </c>
      <c r="X13" s="524">
        <f>IFERROR(IF(E13="","",VLOOKUP(W13, 'G-3 Multipliers'!$P$2:$Q$6,2,FALSE)),"")</f>
        <v>1</v>
      </c>
      <c r="Y13" s="529">
        <f t="shared" si="5"/>
        <v>0.747555814819992</v>
      </c>
      <c r="Z13" s="239" t="s">
        <v>1574</v>
      </c>
      <c r="AA13" s="240"/>
      <c r="AE13" s="54">
        <f t="shared" si="1"/>
        <v>2</v>
      </c>
    </row>
    <row r="14" spans="1:34" ht="41.4" x14ac:dyDescent="0.25">
      <c r="A14" s="47" t="str">
        <f>IFERROR(INDEX('G-8 Condition Look up'!$I$4:$I$130,MATCH(F14,'G-8 Condition Look up'!$A$4:$A$130,0)),"")</f>
        <v>Cond2</v>
      </c>
      <c r="C14" s="384" t="str">
        <f>IFERROR(INDEX('G-1 All Habitats'!$AG$3:$AG$15,MATCH(D14,'G-1 All Habitats'!$AF$3:$AF$15,0)),"")</f>
        <v>Urban</v>
      </c>
      <c r="D14" s="146" t="s">
        <v>74</v>
      </c>
      <c r="E14" s="79" t="s">
        <v>599</v>
      </c>
      <c r="F14" s="246" t="str">
        <f>IFERROR(INDEX('G-1 All Habitats'!$B$3:$B$129,MATCH(E14,'G-1 All Habitats'!$A$3:$A$129,0)),"")</f>
        <v>Urban - Developed land; sealed surface</v>
      </c>
      <c r="G14" s="70">
        <v>0.76100000000000001</v>
      </c>
      <c r="H14" s="498" t="str">
        <f>IF(F14="","",VLOOKUP(F14,'G-1 All Habitats'!$B$2:$M$129,10,FALSE))</f>
        <v>V.Low</v>
      </c>
      <c r="I14" s="499">
        <f>IFERROR(VLOOKUP(H14,'G-1 All Habitats'!$V$3:$W$7,2,FALSE),"")</f>
        <v>0</v>
      </c>
      <c r="J14" s="71" t="s">
        <v>407</v>
      </c>
      <c r="K14" s="499">
        <f>IFERROR(INDEX('G-8 Condition Look up'!$A$3:$H$130,MATCH(F14,'G-8 Condition Look up'!$A$3:$A$130,0),MATCH(J14,'G-8 Condition Look up'!$A$3:$H$3,0)),"")</f>
        <v>0</v>
      </c>
      <c r="L14" s="71" t="s">
        <v>921</v>
      </c>
      <c r="M14" s="507" t="str">
        <f>IF(L14="","",IF(VLOOKUP(L14,'G-3 Multipliers'!$L$3:$N$6,2,FALSE)=0,"Spatial Data Missing",VLOOKUP(L14,'G-3 Multipliers'!$L$3:$N$6,2,FALSE)))</f>
        <v>Low Strategic Significance</v>
      </c>
      <c r="N14" s="505">
        <f>IF(L14="","",IF(VLOOKUP(L14,'G-3 Multipliers'!$L$3:$N$6,3,FALSE)=0,"Spatial Data Missing",VLOOKUP(L14,'G-3 Multipliers'!$L$3:$N$6,3,FALSE)))</f>
        <v>1</v>
      </c>
      <c r="O14" s="498">
        <f t="shared" si="0"/>
        <v>0</v>
      </c>
      <c r="P14" s="82">
        <v>0</v>
      </c>
      <c r="Q14" s="82">
        <v>0</v>
      </c>
      <c r="R14" s="507" t="str">
        <f t="shared" si="2"/>
        <v>Standard time to target condition applied</v>
      </c>
      <c r="S14" s="521">
        <f t="shared" si="3"/>
        <v>0</v>
      </c>
      <c r="T14" s="522">
        <f>IFERROR(IF(S14="Check Data ⚠","Check Data ⚠",VLOOKUP(S14,'G-4 Temporal multipliers'!$A$4:$C$37,3,FALSE)),"")</f>
        <v>1</v>
      </c>
      <c r="U14" s="523" t="str">
        <f>IF(F14="","",VLOOKUP(F14,'G-3 Multipliers'!$A$2:$E$129,2,FALSE))</f>
        <v>Low</v>
      </c>
      <c r="V14" s="520" t="str">
        <f t="shared" si="4"/>
        <v>Standard difficulty applied</v>
      </c>
      <c r="W14" s="520" t="str">
        <f>IF(E14="","",IF(AND(V14="Standard difficulty applied",O14&gt;P14),U14,IF(AND(V14="Low Difficulty - only applicable if all habitat created before losses",P14&gt;=O14),"Low",VLOOKUP(F14,'G-3 Multipliers'!$A$2:$E$129,4,FALSE))))</f>
        <v>Medium</v>
      </c>
      <c r="X14" s="524">
        <f>IFERROR(IF(E14="","",VLOOKUP(W14, 'G-3 Multipliers'!$P$2:$Q$6,2,FALSE)),"")</f>
        <v>0.67</v>
      </c>
      <c r="Y14" s="529">
        <f t="shared" si="5"/>
        <v>0</v>
      </c>
      <c r="Z14" s="239" t="s">
        <v>1570</v>
      </c>
      <c r="AA14" s="240"/>
      <c r="AE14" s="54" t="str">
        <f t="shared" si="1"/>
        <v>Not Possible</v>
      </c>
    </row>
    <row r="15" spans="1:34" ht="27.6" x14ac:dyDescent="0.25">
      <c r="A15" s="47" t="str">
        <f>IFERROR(INDEX('G-8 Condition Look up'!$I$4:$I$130,MATCH(F15,'G-8 Condition Look up'!$A$4:$A$130,0)),"")</f>
        <v>Cond4</v>
      </c>
      <c r="C15" s="384" t="str">
        <f>IFERROR(INDEX('G-1 All Habitats'!$AG$3:$AG$15,MATCH(D15,'G-1 All Habitats'!$AF$3:$AF$15,0)),"")</f>
        <v>Urban</v>
      </c>
      <c r="D15" s="146" t="s">
        <v>74</v>
      </c>
      <c r="E15" s="79" t="s">
        <v>627</v>
      </c>
      <c r="F15" s="246" t="str">
        <f>IFERROR(INDEX('G-1 All Habitats'!$B$3:$B$129,MATCH(E15,'G-1 All Habitats'!$A$3:$A$129,0)),"")</f>
        <v>Urban - Urban Tree</v>
      </c>
      <c r="G15" s="70">
        <v>0.17</v>
      </c>
      <c r="H15" s="498" t="str">
        <f>IF(F15="","",VLOOKUP(F15,'G-1 All Habitats'!$B$2:$M$129,10,FALSE))</f>
        <v>Medium</v>
      </c>
      <c r="I15" s="499">
        <f>IFERROR(VLOOKUP(H15,'G-1 All Habitats'!$V$3:$W$7,2,FALSE),"")</f>
        <v>4</v>
      </c>
      <c r="J15" s="71" t="s">
        <v>20</v>
      </c>
      <c r="K15" s="499">
        <f>IFERROR(INDEX('G-8 Condition Look up'!$A$3:$H$130,MATCH(F15,'G-8 Condition Look up'!$A$3:$A$130,0),MATCH(J15,'G-8 Condition Look up'!$A$3:$H$3,0)),"")</f>
        <v>2</v>
      </c>
      <c r="L15" s="71" t="s">
        <v>913</v>
      </c>
      <c r="M15" s="507" t="str">
        <f>IF(L15="","",IF(VLOOKUP(L15,'G-3 Multipliers'!$L$3:$N$6,2,FALSE)=0,"Spatial Data Missing",VLOOKUP(L15,'G-3 Multipliers'!$L$3:$N$6,2,FALSE)))</f>
        <v xml:space="preserve">High strategic significance </v>
      </c>
      <c r="N15" s="505">
        <f>IF(L15="","",IF(VLOOKUP(L15,'G-3 Multipliers'!$L$3:$N$6,3,FALSE)=0,"Spatial Data Missing",VLOOKUP(L15,'G-3 Multipliers'!$L$3:$N$6,3,FALSE)))</f>
        <v>1.1499999999999999</v>
      </c>
      <c r="O15" s="498">
        <f t="shared" si="0"/>
        <v>27</v>
      </c>
      <c r="P15" s="82">
        <v>0</v>
      </c>
      <c r="Q15" s="82">
        <v>0</v>
      </c>
      <c r="R15" s="507" t="str">
        <f t="shared" si="2"/>
        <v>Standard time to target condition applied</v>
      </c>
      <c r="S15" s="521">
        <f t="shared" si="3"/>
        <v>27</v>
      </c>
      <c r="T15" s="522">
        <f>IFERROR(IF(S15="Check Data ⚠","Check Data ⚠",VLOOKUP(S15,'G-4 Temporal multipliers'!$A$4:$C$37,3,FALSE)),"")</f>
        <v>0.38215316459999998</v>
      </c>
      <c r="U15" s="523" t="str">
        <f>IF(F15="","",VLOOKUP(F15,'G-3 Multipliers'!$A$2:$E$129,2,FALSE))</f>
        <v>Low</v>
      </c>
      <c r="V15" s="520" t="str">
        <f t="shared" si="4"/>
        <v>Standard difficulty applied</v>
      </c>
      <c r="W15" s="520" t="str">
        <f>IF(E15="","",IF(AND(V15="Standard difficulty applied",O15&gt;P15),U15,IF(AND(V15="Low Difficulty - only applicable if all habitat created before losses",P15&gt;=O15),"Low",VLOOKUP(F15,'G-3 Multipliers'!$A$2:$E$129,4,FALSE))))</f>
        <v>Low</v>
      </c>
      <c r="X15" s="524">
        <f>IFERROR(IF(E15="","",VLOOKUP(W15, 'G-3 Multipliers'!$P$2:$Q$6,2,FALSE)),"")</f>
        <v>1</v>
      </c>
      <c r="Y15" s="529">
        <f t="shared" si="5"/>
        <v>0.59768754943439995</v>
      </c>
      <c r="Z15" s="239" t="s">
        <v>1575</v>
      </c>
      <c r="AA15" s="240"/>
      <c r="AE15" s="54">
        <f t="shared" si="1"/>
        <v>10</v>
      </c>
    </row>
    <row r="16" spans="1:34" x14ac:dyDescent="0.25">
      <c r="A16" s="47" t="str">
        <f>IFERROR(INDEX('G-8 Condition Look up'!$I$4:$I$130,MATCH(F16,'G-8 Condition Look up'!$A$4:$A$130,0)),"")</f>
        <v/>
      </c>
      <c r="C16" s="384" t="str">
        <f>IFERROR(INDEX('G-1 All Habitats'!$AG$3:$AG$15,MATCH(D16,'G-1 All Habitats'!$AF$3:$AF$15,0)),"")</f>
        <v/>
      </c>
      <c r="D16" s="146"/>
      <c r="E16" s="79"/>
      <c r="F16" s="246" t="str">
        <f>IFERROR(INDEX('G-1 All Habitats'!$B$3:$B$129,MATCH(E16,'G-1 All Habitats'!$A$3:$A$129,0)),"")</f>
        <v/>
      </c>
      <c r="G16" s="70"/>
      <c r="H16" s="498" t="str">
        <f>IF(F16="","",VLOOKUP(F16,'G-1 All Habitats'!$B$2:$M$129,10,FALSE))</f>
        <v/>
      </c>
      <c r="I16" s="499" t="str">
        <f>IFERROR(VLOOKUP(H16,'G-1 All Habitats'!$V$3:$W$7,2,FALSE),"")</f>
        <v/>
      </c>
      <c r="J16" s="71"/>
      <c r="K16" s="499" t="str">
        <f>IFERROR(INDEX('G-8 Condition Look up'!$A$3:$H$130,MATCH(F16,'G-8 Condition Look up'!$A$3:$A$130,0),MATCH(J16,'G-8 Condition Look up'!$A$3:$H$3,0)),"")</f>
        <v/>
      </c>
      <c r="L16" s="71"/>
      <c r="M16" s="507" t="str">
        <f>IF(L16="","",IF(VLOOKUP(L16,'G-3 Multipliers'!$L$3:$N$6,2,FALSE)=0,"Spatial Data Missing",VLOOKUP(L16,'G-3 Multipliers'!$L$3:$N$6,2,FALSE)))</f>
        <v/>
      </c>
      <c r="N16" s="505" t="str">
        <f>IF(L16="","",IF(VLOOKUP(L16,'G-3 Multipliers'!$L$3:$N$6,3,FALSE)=0,"Spatial Data Missing",VLOOKUP(L16,'G-3 Multipliers'!$L$3:$N$6,3,FALSE)))</f>
        <v/>
      </c>
      <c r="O16" s="498" t="str">
        <f t="shared" si="0"/>
        <v/>
      </c>
      <c r="P16" s="82"/>
      <c r="Q16" s="82"/>
      <c r="R16" s="507" t="str">
        <f t="shared" si="2"/>
        <v/>
      </c>
      <c r="S16" s="521" t="str">
        <f t="shared" si="3"/>
        <v/>
      </c>
      <c r="T16" s="522" t="str">
        <f>IFERROR(IF(S16="Check Data ⚠","Check Data ⚠",VLOOKUP(S16,'G-4 Temporal multipliers'!$A$4:$C$37,3,FALSE)),"")</f>
        <v/>
      </c>
      <c r="U16" s="523" t="str">
        <f>IF(F16="","",VLOOKUP(F16,'G-3 Multipliers'!$A$2:$E$129,2,FALSE))</f>
        <v/>
      </c>
      <c r="V16" s="520" t="str">
        <f t="shared" si="4"/>
        <v/>
      </c>
      <c r="W16" s="520" t="str">
        <f>IF(E16="","",IF(AND(V16="Standard difficulty applied",O16&gt;P16),U16,IF(AND(V16="Low Difficulty - only applicable if all habitat created before losses",P16&gt;=O16),"Low",VLOOKUP(F16,'G-3 Multipliers'!$A$2:$E$129,4,FALSE))))</f>
        <v/>
      </c>
      <c r="X16" s="524" t="str">
        <f>IFERROR(IF(E16="","",VLOOKUP(W16, 'G-3 Multipliers'!$P$2:$Q$6,2,FALSE)),"")</f>
        <v/>
      </c>
      <c r="Y16" s="529" t="str">
        <f t="shared" si="5"/>
        <v/>
      </c>
      <c r="Z16" s="239"/>
      <c r="AA16" s="240"/>
      <c r="AE16" s="54" t="str">
        <f t="shared" si="1"/>
        <v/>
      </c>
    </row>
    <row r="17" spans="1:31" x14ac:dyDescent="0.25">
      <c r="A17" s="47" t="str">
        <f>IFERROR(INDEX('G-8 Condition Look up'!$I$4:$I$130,MATCH(F17,'G-8 Condition Look up'!$A$4:$A$130,0)),"")</f>
        <v/>
      </c>
      <c r="C17" s="384" t="str">
        <f>IFERROR(INDEX('G-1 All Habitats'!$AG$3:$AG$15,MATCH(D17,'G-1 All Habitats'!$AF$3:$AF$15,0)),"")</f>
        <v/>
      </c>
      <c r="D17" s="146"/>
      <c r="E17" s="79"/>
      <c r="F17" s="246" t="str">
        <f>IFERROR(INDEX('G-1 All Habitats'!$B$3:$B$129,MATCH(E17,'G-1 All Habitats'!$A$3:$A$129,0)),"")</f>
        <v/>
      </c>
      <c r="G17" s="70"/>
      <c r="H17" s="498" t="str">
        <f>IF(F17="","",VLOOKUP(F17,'G-1 All Habitats'!$B$2:$M$129,10,FALSE))</f>
        <v/>
      </c>
      <c r="I17" s="499" t="str">
        <f>IFERROR(VLOOKUP(H17,'G-1 All Habitats'!$V$3:$W$7,2,FALSE),"")</f>
        <v/>
      </c>
      <c r="J17" s="71"/>
      <c r="K17" s="499" t="str">
        <f>IFERROR(INDEX('G-8 Condition Look up'!$A$3:$H$130,MATCH(F17,'G-8 Condition Look up'!$A$3:$A$130,0),MATCH(J17,'G-8 Condition Look up'!$A$3:$H$3,0)),"")</f>
        <v/>
      </c>
      <c r="L17" s="71"/>
      <c r="M17" s="507" t="str">
        <f>IF(L17="","",IF(VLOOKUP(L17,'G-3 Multipliers'!$L$3:$N$6,2,FALSE)=0,"Spatial Data Missing",VLOOKUP(L17,'G-3 Multipliers'!$L$3:$N$6,2,FALSE)))</f>
        <v/>
      </c>
      <c r="N17" s="505" t="str">
        <f>IF(L17="","",IF(VLOOKUP(L17,'G-3 Multipliers'!$L$3:$N$6,3,FALSE)=0,"Spatial Data Missing",VLOOKUP(L17,'G-3 Multipliers'!$L$3:$N$6,3,FALSE)))</f>
        <v/>
      </c>
      <c r="O17" s="498" t="str">
        <f t="shared" si="0"/>
        <v/>
      </c>
      <c r="P17" s="82"/>
      <c r="Q17" s="82"/>
      <c r="R17" s="507" t="str">
        <f t="shared" si="2"/>
        <v/>
      </c>
      <c r="S17" s="521" t="str">
        <f t="shared" si="3"/>
        <v/>
      </c>
      <c r="T17" s="522" t="str">
        <f>IFERROR(IF(S17="Check Data ⚠","Check Data ⚠",VLOOKUP(S17,'G-4 Temporal multipliers'!$A$4:$C$37,3,FALSE)),"")</f>
        <v/>
      </c>
      <c r="U17" s="523" t="str">
        <f>IF(F17="","",VLOOKUP(F17,'G-3 Multipliers'!$A$2:$E$129,2,FALSE))</f>
        <v/>
      </c>
      <c r="V17" s="520" t="str">
        <f t="shared" si="4"/>
        <v/>
      </c>
      <c r="W17" s="520" t="str">
        <f>IF(E17="","",IF(AND(V17="Standard difficulty applied",O17&gt;P17),U17,IF(AND(V17="Low Difficulty - only applicable if all habitat created before losses",P17&gt;=O17),"Low",VLOOKUP(F17,'G-3 Multipliers'!$A$2:$E$129,4,FALSE))))</f>
        <v/>
      </c>
      <c r="X17" s="524" t="str">
        <f>IFERROR(IF(E17="","",VLOOKUP(W17, 'G-3 Multipliers'!$P$2:$Q$6,2,FALSE)),"")</f>
        <v/>
      </c>
      <c r="Y17" s="529" t="str">
        <f t="shared" si="5"/>
        <v/>
      </c>
      <c r="Z17" s="239"/>
      <c r="AA17" s="240"/>
      <c r="AE17" s="54" t="str">
        <f t="shared" si="1"/>
        <v/>
      </c>
    </row>
    <row r="18" spans="1:31" x14ac:dyDescent="0.25">
      <c r="A18" s="47" t="str">
        <f>IFERROR(INDEX('G-8 Condition Look up'!$I$4:$I$130,MATCH(F18,'G-8 Condition Look up'!$A$4:$A$130,0)),"")</f>
        <v/>
      </c>
      <c r="C18" s="384" t="str">
        <f>IFERROR(INDEX('G-1 All Habitats'!$AG$3:$AG$15,MATCH(D18,'G-1 All Habitats'!$AF$3:$AF$15,0)),"")</f>
        <v/>
      </c>
      <c r="D18" s="146"/>
      <c r="E18" s="79"/>
      <c r="F18" s="246" t="str">
        <f>IFERROR(INDEX('G-1 All Habitats'!$B$3:$B$129,MATCH(E18,'G-1 All Habitats'!$A$3:$A$129,0)),"")</f>
        <v/>
      </c>
      <c r="G18" s="70"/>
      <c r="H18" s="498" t="str">
        <f>IF(F18="","",VLOOKUP(F18,'G-1 All Habitats'!$B$2:$M$129,10,FALSE))</f>
        <v/>
      </c>
      <c r="I18" s="499" t="str">
        <f>IFERROR(VLOOKUP(H18,'G-1 All Habitats'!$V$3:$W$7,2,FALSE),"")</f>
        <v/>
      </c>
      <c r="J18" s="71"/>
      <c r="K18" s="499" t="str">
        <f>IFERROR(INDEX('G-8 Condition Look up'!$A$3:$H$130,MATCH(F18,'G-8 Condition Look up'!$A$3:$A$130,0),MATCH(J18,'G-8 Condition Look up'!$A$3:$H$3,0)),"")</f>
        <v/>
      </c>
      <c r="L18" s="71"/>
      <c r="M18" s="507" t="str">
        <f>IF(L18="","",IF(VLOOKUP(L18,'G-3 Multipliers'!$L$3:$N$6,2,FALSE)=0,"Spatial Data Missing",VLOOKUP(L18,'G-3 Multipliers'!$L$3:$N$6,2,FALSE)))</f>
        <v/>
      </c>
      <c r="N18" s="505" t="str">
        <f>IF(L18="","",IF(VLOOKUP(L18,'G-3 Multipliers'!$L$3:$N$6,3,FALSE)=0,"Spatial Data Missing",VLOOKUP(L18,'G-3 Multipliers'!$L$3:$N$6,3,FALSE)))</f>
        <v/>
      </c>
      <c r="O18" s="498" t="str">
        <f t="shared" si="0"/>
        <v/>
      </c>
      <c r="P18" s="82"/>
      <c r="Q18" s="82"/>
      <c r="R18" s="507" t="str">
        <f t="shared" si="2"/>
        <v/>
      </c>
      <c r="S18" s="521" t="str">
        <f t="shared" si="3"/>
        <v/>
      </c>
      <c r="T18" s="522" t="str">
        <f>IFERROR(IF(S18="Check Data ⚠","Check Data ⚠",VLOOKUP(S18,'G-4 Temporal multipliers'!$A$4:$C$37,3,FALSE)),"")</f>
        <v/>
      </c>
      <c r="U18" s="523" t="str">
        <f>IF(F18="","",VLOOKUP(F18,'G-3 Multipliers'!$A$2:$E$129,2,FALSE))</f>
        <v/>
      </c>
      <c r="V18" s="520" t="str">
        <f t="shared" si="4"/>
        <v/>
      </c>
      <c r="W18" s="520" t="str">
        <f>IF(E18="","",IF(AND(V18="Standard difficulty applied",O18&gt;P18),U18,IF(AND(V18="Low Difficulty - only applicable if all habitat created before losses",P18&gt;=O18),"Low",VLOOKUP(F18,'G-3 Multipliers'!$A$2:$E$129,4,FALSE))))</f>
        <v/>
      </c>
      <c r="X18" s="524" t="str">
        <f>IFERROR(IF(E18="","",VLOOKUP(W18, 'G-3 Multipliers'!$P$2:$Q$6,2,FALSE)),"")</f>
        <v/>
      </c>
      <c r="Y18" s="529" t="str">
        <f t="shared" si="5"/>
        <v/>
      </c>
      <c r="Z18" s="239"/>
      <c r="AA18" s="240"/>
      <c r="AE18" s="54" t="str">
        <f t="shared" si="1"/>
        <v/>
      </c>
    </row>
    <row r="19" spans="1:31" x14ac:dyDescent="0.25">
      <c r="A19" s="47" t="str">
        <f>IFERROR(INDEX('G-8 Condition Look up'!$I$4:$I$130,MATCH(F19,'G-8 Condition Look up'!$A$4:$A$130,0)),"")</f>
        <v/>
      </c>
      <c r="C19" s="384" t="str">
        <f>IFERROR(INDEX('G-1 All Habitats'!$AG$3:$AG$15,MATCH(D19,'G-1 All Habitats'!$AF$3:$AF$15,0)),"")</f>
        <v/>
      </c>
      <c r="D19" s="146"/>
      <c r="E19" s="79"/>
      <c r="F19" s="246" t="str">
        <f>IFERROR(INDEX('G-1 All Habitats'!$B$3:$B$129,MATCH(E19,'G-1 All Habitats'!$A$3:$A$129,0)),"")</f>
        <v/>
      </c>
      <c r="G19" s="70"/>
      <c r="H19" s="498" t="str">
        <f>IF(F19="","",VLOOKUP(F19,'G-1 All Habitats'!$B$2:$M$129,10,FALSE))</f>
        <v/>
      </c>
      <c r="I19" s="499" t="str">
        <f>IFERROR(VLOOKUP(H19,'G-1 All Habitats'!$V$3:$W$7,2,FALSE),"")</f>
        <v/>
      </c>
      <c r="J19" s="71"/>
      <c r="K19" s="499" t="str">
        <f>IFERROR(INDEX('G-8 Condition Look up'!$A$3:$H$130,MATCH(F19,'G-8 Condition Look up'!$A$3:$A$130,0),MATCH(J19,'G-8 Condition Look up'!$A$3:$H$3,0)),"")</f>
        <v/>
      </c>
      <c r="L19" s="71"/>
      <c r="M19" s="507" t="str">
        <f>IF(L19="","",IF(VLOOKUP(L19,'G-3 Multipliers'!$L$3:$N$6,2,FALSE)=0,"Spatial Data Missing",VLOOKUP(L19,'G-3 Multipliers'!$L$3:$N$6,2,FALSE)))</f>
        <v/>
      </c>
      <c r="N19" s="505" t="str">
        <f>IF(L19="","",IF(VLOOKUP(L19,'G-3 Multipliers'!$L$3:$N$6,3,FALSE)=0,"Spatial Data Missing",VLOOKUP(L19,'G-3 Multipliers'!$L$3:$N$6,3,FALSE)))</f>
        <v/>
      </c>
      <c r="O19" s="498" t="str">
        <f t="shared" si="0"/>
        <v/>
      </c>
      <c r="P19" s="82"/>
      <c r="Q19" s="82"/>
      <c r="R19" s="507" t="str">
        <f t="shared" si="2"/>
        <v/>
      </c>
      <c r="S19" s="521" t="str">
        <f t="shared" si="3"/>
        <v/>
      </c>
      <c r="T19" s="522" t="str">
        <f>IFERROR(IF(S19="Check Data ⚠","Check Data ⚠",VLOOKUP(S19,'G-4 Temporal multipliers'!$A$4:$C$37,3,FALSE)),"")</f>
        <v/>
      </c>
      <c r="U19" s="523" t="str">
        <f>IF(F19="","",VLOOKUP(F19,'G-3 Multipliers'!$A$2:$E$129,2,FALSE))</f>
        <v/>
      </c>
      <c r="V19" s="520" t="str">
        <f t="shared" si="4"/>
        <v/>
      </c>
      <c r="W19" s="520" t="str">
        <f>IF(E19="","",IF(AND(V19="Standard difficulty applied",O19&gt;P19),U19,IF(AND(V19="Low Difficulty - only applicable if all habitat created before losses",P19&gt;=O19),"Low",VLOOKUP(F19,'G-3 Multipliers'!$A$2:$E$129,4,FALSE))))</f>
        <v/>
      </c>
      <c r="X19" s="524" t="str">
        <f>IFERROR(IF(E19="","",VLOOKUP(W19, 'G-3 Multipliers'!$P$2:$Q$6,2,FALSE)),"")</f>
        <v/>
      </c>
      <c r="Y19" s="529" t="str">
        <f t="shared" si="5"/>
        <v/>
      </c>
      <c r="Z19" s="239"/>
      <c r="AA19" s="240"/>
      <c r="AE19" s="54" t="str">
        <f t="shared" si="1"/>
        <v/>
      </c>
    </row>
    <row r="20" spans="1:31" x14ac:dyDescent="0.25">
      <c r="A20" s="47" t="str">
        <f>IFERROR(INDEX('G-8 Condition Look up'!$I$4:$I$130,MATCH(F20,'G-8 Condition Look up'!$A$4:$A$130,0)),"")</f>
        <v/>
      </c>
      <c r="C20" s="384" t="str">
        <f>IFERROR(INDEX('G-1 All Habitats'!$AG$3:$AG$15,MATCH(D20,'G-1 All Habitats'!$AF$3:$AF$15,0)),"")</f>
        <v/>
      </c>
      <c r="D20" s="146"/>
      <c r="E20" s="79"/>
      <c r="F20" s="246" t="str">
        <f>IFERROR(INDEX('G-1 All Habitats'!$B$3:$B$129,MATCH(E20,'G-1 All Habitats'!$A$3:$A$129,0)),"")</f>
        <v/>
      </c>
      <c r="G20" s="70"/>
      <c r="H20" s="498" t="str">
        <f>IF(F20="","",VLOOKUP(F20,'G-1 All Habitats'!$B$2:$M$129,10,FALSE))</f>
        <v/>
      </c>
      <c r="I20" s="499" t="str">
        <f>IFERROR(VLOOKUP(H20,'G-1 All Habitats'!$V$3:$W$7,2,FALSE),"")</f>
        <v/>
      </c>
      <c r="J20" s="71"/>
      <c r="K20" s="499" t="str">
        <f>IFERROR(INDEX('G-8 Condition Look up'!$A$3:$H$130,MATCH(F20,'G-8 Condition Look up'!$A$3:$A$130,0),MATCH(J20,'G-8 Condition Look up'!$A$3:$H$3,0)),"")</f>
        <v/>
      </c>
      <c r="L20" s="71"/>
      <c r="M20" s="507" t="str">
        <f>IF(L20="","",IF(VLOOKUP(L20,'G-3 Multipliers'!$L$3:$N$6,2,FALSE)=0,"Spatial Data Missing",VLOOKUP(L20,'G-3 Multipliers'!$L$3:$N$6,2,FALSE)))</f>
        <v/>
      </c>
      <c r="N20" s="505" t="str">
        <f>IF(L20="","",IF(VLOOKUP(L20,'G-3 Multipliers'!$L$3:$N$6,3,FALSE)=0,"Spatial Data Missing",VLOOKUP(L20,'G-3 Multipliers'!$L$3:$N$6,3,FALSE)))</f>
        <v/>
      </c>
      <c r="O20" s="498" t="str">
        <f t="shared" si="0"/>
        <v/>
      </c>
      <c r="P20" s="82"/>
      <c r="Q20" s="82"/>
      <c r="R20" s="507" t="str">
        <f t="shared" si="2"/>
        <v/>
      </c>
      <c r="S20" s="521" t="str">
        <f t="shared" si="3"/>
        <v/>
      </c>
      <c r="T20" s="522" t="str">
        <f>IFERROR(IF(S20="Check Data ⚠","Check Data ⚠",VLOOKUP(S20,'G-4 Temporal multipliers'!$A$4:$C$37,3,FALSE)),"")</f>
        <v/>
      </c>
      <c r="U20" s="523" t="str">
        <f>IF(F20="","",VLOOKUP(F20,'G-3 Multipliers'!$A$2:$E$129,2,FALSE))</f>
        <v/>
      </c>
      <c r="V20" s="520" t="str">
        <f t="shared" si="4"/>
        <v/>
      </c>
      <c r="W20" s="520" t="str">
        <f>IF(E20="","",IF(AND(V20="Standard difficulty applied",O20&gt;P20),U20,IF(AND(V20="Low Difficulty - only applicable if all habitat created before losses",P20&gt;=O20),"Low",VLOOKUP(F20,'G-3 Multipliers'!$A$2:$E$129,4,FALSE))))</f>
        <v/>
      </c>
      <c r="X20" s="524" t="str">
        <f>IFERROR(IF(E20="","",VLOOKUP(W20, 'G-3 Multipliers'!$P$2:$Q$6,2,FALSE)),"")</f>
        <v/>
      </c>
      <c r="Y20" s="529" t="str">
        <f t="shared" si="5"/>
        <v/>
      </c>
      <c r="Z20" s="239"/>
      <c r="AA20" s="240"/>
      <c r="AE20" s="54" t="str">
        <f t="shared" si="1"/>
        <v/>
      </c>
    </row>
    <row r="21" spans="1:31" x14ac:dyDescent="0.25">
      <c r="A21" s="47" t="str">
        <f>IFERROR(INDEX('G-8 Condition Look up'!$I$4:$I$130,MATCH(F21,'G-8 Condition Look up'!$A$4:$A$130,0)),"")</f>
        <v/>
      </c>
      <c r="C21" s="384" t="str">
        <f>IFERROR(INDEX('G-1 All Habitats'!$AG$3:$AG$15,MATCH(D21,'G-1 All Habitats'!$AF$3:$AF$15,0)),"")</f>
        <v/>
      </c>
      <c r="D21" s="146"/>
      <c r="E21" s="79"/>
      <c r="F21" s="246" t="str">
        <f>IFERROR(INDEX('G-1 All Habitats'!$B$3:$B$129,MATCH(E21,'G-1 All Habitats'!$A$3:$A$129,0)),"")</f>
        <v/>
      </c>
      <c r="G21" s="70"/>
      <c r="H21" s="498" t="str">
        <f>IF(F21="","",VLOOKUP(F21,'G-1 All Habitats'!$B$2:$M$129,10,FALSE))</f>
        <v/>
      </c>
      <c r="I21" s="499" t="str">
        <f>IFERROR(VLOOKUP(H21,'G-1 All Habitats'!$V$3:$W$7,2,FALSE),"")</f>
        <v/>
      </c>
      <c r="J21" s="71"/>
      <c r="K21" s="499" t="str">
        <f>IFERROR(INDEX('G-8 Condition Look up'!$A$3:$H$130,MATCH(F21,'G-8 Condition Look up'!$A$3:$A$130,0),MATCH(J21,'G-8 Condition Look up'!$A$3:$H$3,0)),"")</f>
        <v/>
      </c>
      <c r="L21" s="71"/>
      <c r="M21" s="507" t="str">
        <f>IF(L21="","",IF(VLOOKUP(L21,'G-3 Multipliers'!$L$3:$N$6,2,FALSE)=0,"Spatial Data Missing",VLOOKUP(L21,'G-3 Multipliers'!$L$3:$N$6,2,FALSE)))</f>
        <v/>
      </c>
      <c r="N21" s="505" t="str">
        <f>IF(L21="","",IF(VLOOKUP(L21,'G-3 Multipliers'!$L$3:$N$6,3,FALSE)=0,"Spatial Data Missing",VLOOKUP(L21,'G-3 Multipliers'!$L$3:$N$6,3,FALSE)))</f>
        <v/>
      </c>
      <c r="O21" s="498" t="str">
        <f t="shared" si="0"/>
        <v/>
      </c>
      <c r="P21" s="82"/>
      <c r="Q21" s="82"/>
      <c r="R21" s="507" t="str">
        <f t="shared" si="2"/>
        <v/>
      </c>
      <c r="S21" s="521" t="str">
        <f t="shared" si="3"/>
        <v/>
      </c>
      <c r="T21" s="522" t="str">
        <f>IFERROR(IF(S21="Check Data ⚠","Check Data ⚠",VLOOKUP(S21,'G-4 Temporal multipliers'!$A$4:$C$37,3,FALSE)),"")</f>
        <v/>
      </c>
      <c r="U21" s="523" t="str">
        <f>IF(F21="","",VLOOKUP(F21,'G-3 Multipliers'!$A$2:$E$129,2,FALSE))</f>
        <v/>
      </c>
      <c r="V21" s="520" t="str">
        <f t="shared" si="4"/>
        <v/>
      </c>
      <c r="W21" s="520" t="str">
        <f>IF(E21="","",IF(AND(V21="Standard difficulty applied",O21&gt;P21),U21,IF(AND(V21="Low Difficulty - only applicable if all habitat created before losses",P21&gt;=O21),"Low",VLOOKUP(F21,'G-3 Multipliers'!$A$2:$E$129,4,FALSE))))</f>
        <v/>
      </c>
      <c r="X21" s="524" t="str">
        <f>IFERROR(IF(E21="","",VLOOKUP(W21, 'G-3 Multipliers'!$P$2:$Q$6,2,FALSE)),"")</f>
        <v/>
      </c>
      <c r="Y21" s="529" t="str">
        <f t="shared" si="5"/>
        <v/>
      </c>
      <c r="Z21" s="239"/>
      <c r="AA21" s="240"/>
      <c r="AE21" s="54" t="str">
        <f t="shared" si="1"/>
        <v/>
      </c>
    </row>
    <row r="22" spans="1:31" x14ac:dyDescent="0.25">
      <c r="A22" s="47" t="str">
        <f>IFERROR(INDEX('G-8 Condition Look up'!$I$4:$I$130,MATCH(F22,'G-8 Condition Look up'!$A$4:$A$130,0)),"")</f>
        <v/>
      </c>
      <c r="C22" s="384" t="str">
        <f>IFERROR(INDEX('G-1 All Habitats'!$AG$3:$AG$15,MATCH(D22,'G-1 All Habitats'!$AF$3:$AF$15,0)),"")</f>
        <v/>
      </c>
      <c r="D22" s="146"/>
      <c r="E22" s="79"/>
      <c r="F22" s="246" t="str">
        <f>IFERROR(INDEX('G-1 All Habitats'!$B$3:$B$129,MATCH(E22,'G-1 All Habitats'!$A$3:$A$129,0)),"")</f>
        <v/>
      </c>
      <c r="G22" s="70"/>
      <c r="H22" s="498" t="str">
        <f>IF(F22="","",VLOOKUP(F22,'G-1 All Habitats'!$B$2:$M$129,10,FALSE))</f>
        <v/>
      </c>
      <c r="I22" s="499" t="str">
        <f>IFERROR(VLOOKUP(H22,'G-1 All Habitats'!$V$3:$W$7,2,FALSE),"")</f>
        <v/>
      </c>
      <c r="J22" s="71"/>
      <c r="K22" s="499" t="str">
        <f>IFERROR(INDEX('G-8 Condition Look up'!$A$3:$H$130,MATCH(F22,'G-8 Condition Look up'!$A$3:$A$130,0),MATCH(J22,'G-8 Condition Look up'!$A$3:$H$3,0)),"")</f>
        <v/>
      </c>
      <c r="L22" s="71"/>
      <c r="M22" s="507" t="str">
        <f>IF(L22="","",IF(VLOOKUP(L22,'G-3 Multipliers'!$L$3:$N$6,2,FALSE)=0,"Spatial Data Missing",VLOOKUP(L22,'G-3 Multipliers'!$L$3:$N$6,2,FALSE)))</f>
        <v/>
      </c>
      <c r="N22" s="505" t="str">
        <f>IF(L22="","",IF(VLOOKUP(L22,'G-3 Multipliers'!$L$3:$N$6,3,FALSE)=0,"Spatial Data Missing",VLOOKUP(L22,'G-3 Multipliers'!$L$3:$N$6,3,FALSE)))</f>
        <v/>
      </c>
      <c r="O22" s="498" t="str">
        <f t="shared" si="0"/>
        <v/>
      </c>
      <c r="P22" s="82"/>
      <c r="Q22" s="82"/>
      <c r="R22" s="507" t="str">
        <f t="shared" si="2"/>
        <v/>
      </c>
      <c r="S22" s="521" t="str">
        <f t="shared" si="3"/>
        <v/>
      </c>
      <c r="T22" s="522" t="str">
        <f>IFERROR(IF(S22="Check Data ⚠","Check Data ⚠",VLOOKUP(S22,'G-4 Temporal multipliers'!$A$4:$C$37,3,FALSE)),"")</f>
        <v/>
      </c>
      <c r="U22" s="523" t="str">
        <f>IF(F22="","",VLOOKUP(F22,'G-3 Multipliers'!$A$2:$E$129,2,FALSE))</f>
        <v/>
      </c>
      <c r="V22" s="520" t="str">
        <f t="shared" si="4"/>
        <v/>
      </c>
      <c r="W22" s="520" t="str">
        <f>IF(E22="","",IF(AND(V22="Standard difficulty applied",O22&gt;P22),U22,IF(AND(V22="Low Difficulty - only applicable if all habitat created before losses",P22&gt;=O22),"Low",VLOOKUP(F22,'G-3 Multipliers'!$A$2:$E$129,4,FALSE))))</f>
        <v/>
      </c>
      <c r="X22" s="524" t="str">
        <f>IFERROR(IF(E22="","",VLOOKUP(W22, 'G-3 Multipliers'!$P$2:$Q$6,2,FALSE)),"")</f>
        <v/>
      </c>
      <c r="Y22" s="529" t="str">
        <f t="shared" si="5"/>
        <v/>
      </c>
      <c r="Z22" s="239"/>
      <c r="AA22" s="240"/>
      <c r="AE22" s="54" t="str">
        <f t="shared" si="1"/>
        <v/>
      </c>
    </row>
    <row r="23" spans="1:31" x14ac:dyDescent="0.25">
      <c r="A23" s="47" t="str">
        <f>IFERROR(INDEX('G-8 Condition Look up'!$I$4:$I$130,MATCH(F23,'G-8 Condition Look up'!$A$4:$A$130,0)),"")</f>
        <v/>
      </c>
      <c r="C23" s="384" t="str">
        <f>IFERROR(INDEX('G-1 All Habitats'!$AG$3:$AG$15,MATCH(D23,'G-1 All Habitats'!$AF$3:$AF$15,0)),"")</f>
        <v/>
      </c>
      <c r="D23" s="146"/>
      <c r="E23" s="79"/>
      <c r="F23" s="246" t="str">
        <f>IFERROR(INDEX('G-1 All Habitats'!$B$3:$B$129,MATCH(E23,'G-1 All Habitats'!$A$3:$A$129,0)),"")</f>
        <v/>
      </c>
      <c r="G23" s="70"/>
      <c r="H23" s="498" t="str">
        <f>IF(F23="","",VLOOKUP(F23,'G-1 All Habitats'!$B$2:$M$129,10,FALSE))</f>
        <v/>
      </c>
      <c r="I23" s="499" t="str">
        <f>IFERROR(VLOOKUP(H23,'G-1 All Habitats'!$V$3:$W$7,2,FALSE),"")</f>
        <v/>
      </c>
      <c r="J23" s="71"/>
      <c r="K23" s="499" t="str">
        <f>IFERROR(INDEX('G-8 Condition Look up'!$A$3:$H$130,MATCH(F23,'G-8 Condition Look up'!$A$3:$A$130,0),MATCH(J23,'G-8 Condition Look up'!$A$3:$H$3,0)),"")</f>
        <v/>
      </c>
      <c r="L23" s="71"/>
      <c r="M23" s="507" t="str">
        <f>IF(L23="","",IF(VLOOKUP(L23,'G-3 Multipliers'!$L$3:$N$6,2,FALSE)=0,"Spatial Data Missing",VLOOKUP(L23,'G-3 Multipliers'!$L$3:$N$6,2,FALSE)))</f>
        <v/>
      </c>
      <c r="N23" s="505" t="str">
        <f>IF(L23="","",IF(VLOOKUP(L23,'G-3 Multipliers'!$L$3:$N$6,3,FALSE)=0,"Spatial Data Missing",VLOOKUP(L23,'G-3 Multipliers'!$L$3:$N$6,3,FALSE)))</f>
        <v/>
      </c>
      <c r="O23" s="498" t="str">
        <f t="shared" si="0"/>
        <v/>
      </c>
      <c r="P23" s="82"/>
      <c r="Q23" s="82"/>
      <c r="R23" s="507" t="str">
        <f t="shared" si="2"/>
        <v/>
      </c>
      <c r="S23" s="521" t="str">
        <f t="shared" si="3"/>
        <v/>
      </c>
      <c r="T23" s="522" t="str">
        <f>IFERROR(IF(S23="Check Data ⚠","Check Data ⚠",VLOOKUP(S23,'G-4 Temporal multipliers'!$A$4:$C$37,3,FALSE)),"")</f>
        <v/>
      </c>
      <c r="U23" s="523" t="str">
        <f>IF(F23="","",VLOOKUP(F23,'G-3 Multipliers'!$A$2:$E$129,2,FALSE))</f>
        <v/>
      </c>
      <c r="V23" s="520" t="str">
        <f t="shared" si="4"/>
        <v/>
      </c>
      <c r="W23" s="520" t="str">
        <f>IF(E23="","",IF(AND(V23="Standard difficulty applied",O23&gt;P23),U23,IF(AND(V23="Low Difficulty - only applicable if all habitat created before losses",P23&gt;=O23),"Low",VLOOKUP(F23,'G-3 Multipliers'!$A$2:$E$129,4,FALSE))))</f>
        <v/>
      </c>
      <c r="X23" s="524" t="str">
        <f>IFERROR(IF(E23="","",VLOOKUP(W23, 'G-3 Multipliers'!$P$2:$Q$6,2,FALSE)),"")</f>
        <v/>
      </c>
      <c r="Y23" s="529" t="str">
        <f t="shared" si="5"/>
        <v/>
      </c>
      <c r="Z23" s="239"/>
      <c r="AA23" s="240"/>
      <c r="AE23" s="54" t="str">
        <f t="shared" si="1"/>
        <v/>
      </c>
    </row>
    <row r="24" spans="1:31" x14ac:dyDescent="0.25">
      <c r="A24" s="47" t="str">
        <f>IFERROR(INDEX('G-8 Condition Look up'!$I$4:$I$130,MATCH(F24,'G-8 Condition Look up'!$A$4:$A$130,0)),"")</f>
        <v/>
      </c>
      <c r="C24" s="384" t="str">
        <f>IFERROR(INDEX('G-1 All Habitats'!$AG$3:$AG$15,MATCH(D24,'G-1 All Habitats'!$AF$3:$AF$15,0)),"")</f>
        <v/>
      </c>
      <c r="D24" s="146"/>
      <c r="E24" s="79"/>
      <c r="F24" s="246" t="str">
        <f>IFERROR(INDEX('G-1 All Habitats'!$B$3:$B$129,MATCH(E24,'G-1 All Habitats'!$A$3:$A$129,0)),"")</f>
        <v/>
      </c>
      <c r="G24" s="70"/>
      <c r="H24" s="498" t="str">
        <f>IF(F24="","",VLOOKUP(F24,'G-1 All Habitats'!$B$2:$M$129,10,FALSE))</f>
        <v/>
      </c>
      <c r="I24" s="499" t="str">
        <f>IFERROR(VLOOKUP(H24,'G-1 All Habitats'!$V$3:$W$7,2,FALSE),"")</f>
        <v/>
      </c>
      <c r="J24" s="71"/>
      <c r="K24" s="499" t="str">
        <f>IFERROR(INDEX('G-8 Condition Look up'!$A$3:$H$130,MATCH(F24,'G-8 Condition Look up'!$A$3:$A$130,0),MATCH(J24,'G-8 Condition Look up'!$A$3:$H$3,0)),"")</f>
        <v/>
      </c>
      <c r="L24" s="71"/>
      <c r="M24" s="507" t="str">
        <f>IF(L24="","",IF(VLOOKUP(L24,'G-3 Multipliers'!$L$3:$N$6,2,FALSE)=0,"Spatial Data Missing",VLOOKUP(L24,'G-3 Multipliers'!$L$3:$N$6,2,FALSE)))</f>
        <v/>
      </c>
      <c r="N24" s="505" t="str">
        <f>IF(L24="","",IF(VLOOKUP(L24,'G-3 Multipliers'!$L$3:$N$6,3,FALSE)=0,"Spatial Data Missing",VLOOKUP(L24,'G-3 Multipliers'!$L$3:$N$6,3,FALSE)))</f>
        <v/>
      </c>
      <c r="O24" s="498" t="str">
        <f t="shared" si="0"/>
        <v/>
      </c>
      <c r="P24" s="82"/>
      <c r="Q24" s="82"/>
      <c r="R24" s="507" t="str">
        <f t="shared" si="2"/>
        <v/>
      </c>
      <c r="S24" s="521" t="str">
        <f t="shared" si="3"/>
        <v/>
      </c>
      <c r="T24" s="522" t="str">
        <f>IFERROR(IF(S24="Check Data ⚠","Check Data ⚠",VLOOKUP(S24,'G-4 Temporal multipliers'!$A$4:$C$37,3,FALSE)),"")</f>
        <v/>
      </c>
      <c r="U24" s="523" t="str">
        <f>IF(F24="","",VLOOKUP(F24,'G-3 Multipliers'!$A$2:$E$129,2,FALSE))</f>
        <v/>
      </c>
      <c r="V24" s="520" t="str">
        <f t="shared" si="4"/>
        <v/>
      </c>
      <c r="W24" s="520" t="str">
        <f>IF(E24="","",IF(AND(V24="Standard difficulty applied",O24&gt;P24),U24,IF(AND(V24="Low Difficulty - only applicable if all habitat created before losses",P24&gt;=O24),"Low",VLOOKUP(F24,'G-3 Multipliers'!$A$2:$E$129,4,FALSE))))</f>
        <v/>
      </c>
      <c r="X24" s="524" t="str">
        <f>IFERROR(IF(E24="","",VLOOKUP(W24, 'G-3 Multipliers'!$P$2:$Q$6,2,FALSE)),"")</f>
        <v/>
      </c>
      <c r="Y24" s="529" t="str">
        <f t="shared" si="5"/>
        <v/>
      </c>
      <c r="Z24" s="239"/>
      <c r="AA24" s="240"/>
      <c r="AE24" s="54" t="str">
        <f t="shared" si="1"/>
        <v/>
      </c>
    </row>
    <row r="25" spans="1:31" x14ac:dyDescent="0.25">
      <c r="A25" s="47" t="str">
        <f>IFERROR(INDEX('G-8 Condition Look up'!$I$4:$I$130,MATCH(F25,'G-8 Condition Look up'!$A$4:$A$130,0)),"")</f>
        <v/>
      </c>
      <c r="C25" s="384" t="str">
        <f>IFERROR(INDEX('G-1 All Habitats'!$AG$3:$AG$15,MATCH(D25,'G-1 All Habitats'!$AF$3:$AF$15,0)),"")</f>
        <v/>
      </c>
      <c r="D25" s="146"/>
      <c r="E25" s="79"/>
      <c r="F25" s="246" t="str">
        <f>IFERROR(INDEX('G-1 All Habitats'!$B$3:$B$129,MATCH(E25,'G-1 All Habitats'!$A$3:$A$129,0)),"")</f>
        <v/>
      </c>
      <c r="G25" s="70"/>
      <c r="H25" s="498" t="str">
        <f>IF(F25="","",VLOOKUP(F25,'G-1 All Habitats'!$B$2:$M$129,10,FALSE))</f>
        <v/>
      </c>
      <c r="I25" s="499" t="str">
        <f>IFERROR(VLOOKUP(H25,'G-1 All Habitats'!$V$3:$W$7,2,FALSE),"")</f>
        <v/>
      </c>
      <c r="J25" s="71"/>
      <c r="K25" s="499" t="str">
        <f>IFERROR(INDEX('G-8 Condition Look up'!$A$3:$H$130,MATCH(F25,'G-8 Condition Look up'!$A$3:$A$130,0),MATCH(J25,'G-8 Condition Look up'!$A$3:$H$3,0)),"")</f>
        <v/>
      </c>
      <c r="L25" s="71"/>
      <c r="M25" s="507" t="str">
        <f>IF(L25="","",IF(VLOOKUP(L25,'G-3 Multipliers'!$L$3:$N$6,2,FALSE)=0,"Spatial Data Missing",VLOOKUP(L25,'G-3 Multipliers'!$L$3:$N$6,2,FALSE)))</f>
        <v/>
      </c>
      <c r="N25" s="505" t="str">
        <f>IF(L25="","",IF(VLOOKUP(L25,'G-3 Multipliers'!$L$3:$N$6,3,FALSE)=0,"Spatial Data Missing",VLOOKUP(L25,'G-3 Multipliers'!$L$3:$N$6,3,FALSE)))</f>
        <v/>
      </c>
      <c r="O25" s="498" t="str">
        <f t="shared" si="0"/>
        <v/>
      </c>
      <c r="P25" s="82"/>
      <c r="Q25" s="82"/>
      <c r="R25" s="507" t="str">
        <f t="shared" si="2"/>
        <v/>
      </c>
      <c r="S25" s="521" t="str">
        <f t="shared" si="3"/>
        <v/>
      </c>
      <c r="T25" s="522" t="str">
        <f>IFERROR(IF(S25="Check Data ⚠","Check Data ⚠",VLOOKUP(S25,'G-4 Temporal multipliers'!$A$4:$C$37,3,FALSE)),"")</f>
        <v/>
      </c>
      <c r="U25" s="523" t="str">
        <f>IF(F25="","",VLOOKUP(F25,'G-3 Multipliers'!$A$2:$E$129,2,FALSE))</f>
        <v/>
      </c>
      <c r="V25" s="520" t="str">
        <f t="shared" si="4"/>
        <v/>
      </c>
      <c r="W25" s="520" t="str">
        <f>IF(E25="","",IF(AND(V25="Standard difficulty applied",O25&gt;P25),U25,IF(AND(V25="Low Difficulty - only applicable if all habitat created before losses",P25&gt;=O25),"Low",VLOOKUP(F25,'G-3 Multipliers'!$A$2:$E$129,4,FALSE))))</f>
        <v/>
      </c>
      <c r="X25" s="524" t="str">
        <f>IFERROR(IF(E25="","",VLOOKUP(W25, 'G-3 Multipliers'!$P$2:$Q$6,2,FALSE)),"")</f>
        <v/>
      </c>
      <c r="Y25" s="529" t="str">
        <f t="shared" si="5"/>
        <v/>
      </c>
      <c r="Z25" s="239"/>
      <c r="AA25" s="240"/>
      <c r="AE25" s="54" t="str">
        <f t="shared" si="1"/>
        <v/>
      </c>
    </row>
    <row r="26" spans="1:31" x14ac:dyDescent="0.25">
      <c r="A26" s="47" t="str">
        <f>IFERROR(INDEX('G-8 Condition Look up'!$I$4:$I$130,MATCH(F26,'G-8 Condition Look up'!$A$4:$A$130,0)),"")</f>
        <v/>
      </c>
      <c r="C26" s="384" t="str">
        <f>IFERROR(INDEX('G-1 All Habitats'!$AG$3:$AG$15,MATCH(D26,'G-1 All Habitats'!$AF$3:$AF$15,0)),"")</f>
        <v/>
      </c>
      <c r="D26" s="146"/>
      <c r="E26" s="79"/>
      <c r="F26" s="246" t="str">
        <f>IFERROR(INDEX('G-1 All Habitats'!$B$3:$B$129,MATCH(E26,'G-1 All Habitats'!$A$3:$A$129,0)),"")</f>
        <v/>
      </c>
      <c r="G26" s="70"/>
      <c r="H26" s="498" t="str">
        <f>IF(F26="","",VLOOKUP(F26,'G-1 All Habitats'!$B$2:$M$129,10,FALSE))</f>
        <v/>
      </c>
      <c r="I26" s="499" t="str">
        <f>IFERROR(VLOOKUP(H26,'G-1 All Habitats'!$V$3:$W$7,2,FALSE),"")</f>
        <v/>
      </c>
      <c r="J26" s="71"/>
      <c r="K26" s="499" t="str">
        <f>IFERROR(INDEX('G-8 Condition Look up'!$A$3:$H$130,MATCH(F26,'G-8 Condition Look up'!$A$3:$A$130,0),MATCH(J26,'G-8 Condition Look up'!$A$3:$H$3,0)),"")</f>
        <v/>
      </c>
      <c r="L26" s="71"/>
      <c r="M26" s="507" t="str">
        <f>IF(L26="","",IF(VLOOKUP(L26,'G-3 Multipliers'!$L$3:$N$6,2,FALSE)=0,"Spatial Data Missing",VLOOKUP(L26,'G-3 Multipliers'!$L$3:$N$6,2,FALSE)))</f>
        <v/>
      </c>
      <c r="N26" s="505" t="str">
        <f>IF(L26="","",IF(VLOOKUP(L26,'G-3 Multipliers'!$L$3:$N$6,3,FALSE)=0,"Spatial Data Missing",VLOOKUP(L26,'G-3 Multipliers'!$L$3:$N$6,3,FALSE)))</f>
        <v/>
      </c>
      <c r="O26" s="498" t="str">
        <f t="shared" si="0"/>
        <v/>
      </c>
      <c r="P26" s="82"/>
      <c r="Q26" s="82"/>
      <c r="R26" s="507" t="str">
        <f t="shared" si="2"/>
        <v/>
      </c>
      <c r="S26" s="521" t="str">
        <f t="shared" si="3"/>
        <v/>
      </c>
      <c r="T26" s="522" t="str">
        <f>IFERROR(IF(S26="Check Data ⚠","Check Data ⚠",VLOOKUP(S26,'G-4 Temporal multipliers'!$A$4:$C$37,3,FALSE)),"")</f>
        <v/>
      </c>
      <c r="U26" s="523" t="str">
        <f>IF(F26="","",VLOOKUP(F26,'G-3 Multipliers'!$A$2:$E$129,2,FALSE))</f>
        <v/>
      </c>
      <c r="V26" s="520" t="str">
        <f t="shared" si="4"/>
        <v/>
      </c>
      <c r="W26" s="520" t="str">
        <f>IF(E26="","",IF(AND(V26="Standard difficulty applied",O26&gt;P26),U26,IF(AND(V26="Low Difficulty - only applicable if all habitat created before losses",P26&gt;=O26),"Low",VLOOKUP(F26,'G-3 Multipliers'!$A$2:$E$129,4,FALSE))))</f>
        <v/>
      </c>
      <c r="X26" s="524" t="str">
        <f>IFERROR(IF(E26="","",VLOOKUP(W26, 'G-3 Multipliers'!$P$2:$Q$6,2,FALSE)),"")</f>
        <v/>
      </c>
      <c r="Y26" s="529" t="str">
        <f t="shared" si="5"/>
        <v/>
      </c>
      <c r="Z26" s="239"/>
      <c r="AA26" s="240"/>
      <c r="AE26" s="54" t="str">
        <f t="shared" si="1"/>
        <v/>
      </c>
    </row>
    <row r="27" spans="1:31" x14ac:dyDescent="0.25">
      <c r="A27" s="47" t="str">
        <f>IFERROR(INDEX('G-8 Condition Look up'!$I$4:$I$130,MATCH(F27,'G-8 Condition Look up'!$A$4:$A$130,0)),"")</f>
        <v/>
      </c>
      <c r="C27" s="384" t="str">
        <f>IFERROR(INDEX('G-1 All Habitats'!$AG$3:$AG$15,MATCH(D27,'G-1 All Habitats'!$AF$3:$AF$15,0)),"")</f>
        <v/>
      </c>
      <c r="D27" s="146"/>
      <c r="E27" s="79"/>
      <c r="F27" s="246" t="str">
        <f>IFERROR(INDEX('G-1 All Habitats'!$B$3:$B$129,MATCH(E27,'G-1 All Habitats'!$A$3:$A$129,0)),"")</f>
        <v/>
      </c>
      <c r="G27" s="70"/>
      <c r="H27" s="498" t="str">
        <f>IF(F27="","",VLOOKUP(F27,'G-1 All Habitats'!$B$2:$M$129,10,FALSE))</f>
        <v/>
      </c>
      <c r="I27" s="499" t="str">
        <f>IFERROR(VLOOKUP(H27,'G-1 All Habitats'!$V$3:$W$7,2,FALSE),"")</f>
        <v/>
      </c>
      <c r="J27" s="71"/>
      <c r="K27" s="499" t="str">
        <f>IFERROR(INDEX('G-8 Condition Look up'!$A$3:$H$130,MATCH(F27,'G-8 Condition Look up'!$A$3:$A$130,0),MATCH(J27,'G-8 Condition Look up'!$A$3:$H$3,0)),"")</f>
        <v/>
      </c>
      <c r="L27" s="71"/>
      <c r="M27" s="507" t="str">
        <f>IF(L27="","",IF(VLOOKUP(L27,'G-3 Multipliers'!$L$3:$N$6,2,FALSE)=0,"Spatial Data Missing",VLOOKUP(L27,'G-3 Multipliers'!$L$3:$N$6,2,FALSE)))</f>
        <v/>
      </c>
      <c r="N27" s="505" t="str">
        <f>IF(L27="","",IF(VLOOKUP(L27,'G-3 Multipliers'!$L$3:$N$6,3,FALSE)=0,"Spatial Data Missing",VLOOKUP(L27,'G-3 Multipliers'!$L$3:$N$6,3,FALSE)))</f>
        <v/>
      </c>
      <c r="O27" s="498" t="str">
        <f t="shared" si="0"/>
        <v/>
      </c>
      <c r="P27" s="82"/>
      <c r="Q27" s="82"/>
      <c r="R27" s="507" t="str">
        <f t="shared" si="2"/>
        <v/>
      </c>
      <c r="S27" s="521" t="str">
        <f t="shared" si="3"/>
        <v/>
      </c>
      <c r="T27" s="522" t="str">
        <f>IFERROR(IF(S27="Check Data ⚠","Check Data ⚠",VLOOKUP(S27,'G-4 Temporal multipliers'!$A$4:$C$37,3,FALSE)),"")</f>
        <v/>
      </c>
      <c r="U27" s="523" t="str">
        <f>IF(F27="","",VLOOKUP(F27,'G-3 Multipliers'!$A$2:$E$129,2,FALSE))</f>
        <v/>
      </c>
      <c r="V27" s="520" t="str">
        <f t="shared" si="4"/>
        <v/>
      </c>
      <c r="W27" s="520" t="str">
        <f>IF(E27="","",IF(AND(V27="Standard difficulty applied",O27&gt;P27),U27,IF(AND(V27="Low Difficulty - only applicable if all habitat created before losses",P27&gt;=O27),"Low",VLOOKUP(F27,'G-3 Multipliers'!$A$2:$E$129,4,FALSE))))</f>
        <v/>
      </c>
      <c r="X27" s="524" t="str">
        <f>IFERROR(IF(E27="","",VLOOKUP(W27, 'G-3 Multipliers'!$P$2:$Q$6,2,FALSE)),"")</f>
        <v/>
      </c>
      <c r="Y27" s="529" t="str">
        <f t="shared" si="5"/>
        <v/>
      </c>
      <c r="Z27" s="239"/>
      <c r="AA27" s="240"/>
      <c r="AE27" s="54" t="str">
        <f t="shared" si="1"/>
        <v/>
      </c>
    </row>
    <row r="28" spans="1:31" x14ac:dyDescent="0.25">
      <c r="A28" s="47" t="str">
        <f>IFERROR(INDEX('G-8 Condition Look up'!$I$4:$I$130,MATCH(F28,'G-8 Condition Look up'!$A$4:$A$130,0)),"")</f>
        <v/>
      </c>
      <c r="C28" s="384" t="str">
        <f>IFERROR(INDEX('G-1 All Habitats'!$AG$3:$AG$15,MATCH(D28,'G-1 All Habitats'!$AF$3:$AF$15,0)),"")</f>
        <v/>
      </c>
      <c r="D28" s="146"/>
      <c r="E28" s="79"/>
      <c r="F28" s="246" t="str">
        <f>IFERROR(INDEX('G-1 All Habitats'!$B$3:$B$129,MATCH(E28,'G-1 All Habitats'!$A$3:$A$129,0)),"")</f>
        <v/>
      </c>
      <c r="G28" s="70"/>
      <c r="H28" s="498" t="str">
        <f>IF(F28="","",VLOOKUP(F28,'G-1 All Habitats'!$B$2:$M$129,10,FALSE))</f>
        <v/>
      </c>
      <c r="I28" s="499" t="str">
        <f>IFERROR(VLOOKUP(H28,'G-1 All Habitats'!$V$3:$W$7,2,FALSE),"")</f>
        <v/>
      </c>
      <c r="J28" s="71"/>
      <c r="K28" s="499" t="str">
        <f>IFERROR(INDEX('G-8 Condition Look up'!$A$3:$H$130,MATCH(F28,'G-8 Condition Look up'!$A$3:$A$130,0),MATCH(J28,'G-8 Condition Look up'!$A$3:$H$3,0)),"")</f>
        <v/>
      </c>
      <c r="L28" s="71"/>
      <c r="M28" s="507" t="str">
        <f>IF(L28="","",IF(VLOOKUP(L28,'G-3 Multipliers'!$L$3:$N$6,2,FALSE)=0,"Spatial Data Missing",VLOOKUP(L28,'G-3 Multipliers'!$L$3:$N$6,2,FALSE)))</f>
        <v/>
      </c>
      <c r="N28" s="505" t="str">
        <f>IF(L28="","",IF(VLOOKUP(L28,'G-3 Multipliers'!$L$3:$N$6,3,FALSE)=0,"Spatial Data Missing",VLOOKUP(L28,'G-3 Multipliers'!$L$3:$N$6,3,FALSE)))</f>
        <v/>
      </c>
      <c r="O28" s="498" t="str">
        <f t="shared" si="0"/>
        <v/>
      </c>
      <c r="P28" s="82"/>
      <c r="Q28" s="82"/>
      <c r="R28" s="507" t="str">
        <f t="shared" si="2"/>
        <v/>
      </c>
      <c r="S28" s="521" t="str">
        <f t="shared" si="3"/>
        <v/>
      </c>
      <c r="T28" s="522" t="str">
        <f>IFERROR(IF(S28="Check Data ⚠","Check Data ⚠",VLOOKUP(S28,'G-4 Temporal multipliers'!$A$4:$C$37,3,FALSE)),"")</f>
        <v/>
      </c>
      <c r="U28" s="523" t="str">
        <f>IF(F28="","",VLOOKUP(F28,'G-3 Multipliers'!$A$2:$E$129,2,FALSE))</f>
        <v/>
      </c>
      <c r="V28" s="520" t="str">
        <f t="shared" si="4"/>
        <v/>
      </c>
      <c r="W28" s="520" t="str">
        <f>IF(E28="","",IF(AND(V28="Standard difficulty applied",O28&gt;P28),U28,IF(AND(V28="Low Difficulty - only applicable if all habitat created before losses",P28&gt;=O28),"Low",VLOOKUP(F28,'G-3 Multipliers'!$A$2:$E$129,4,FALSE))))</f>
        <v/>
      </c>
      <c r="X28" s="524" t="str">
        <f>IFERROR(IF(E28="","",VLOOKUP(W28, 'G-3 Multipliers'!$P$2:$Q$6,2,FALSE)),"")</f>
        <v/>
      </c>
      <c r="Y28" s="529" t="str">
        <f t="shared" si="5"/>
        <v/>
      </c>
      <c r="Z28" s="239"/>
      <c r="AA28" s="240"/>
      <c r="AE28" s="54" t="str">
        <f t="shared" si="1"/>
        <v/>
      </c>
    </row>
    <row r="29" spans="1:31" x14ac:dyDescent="0.25">
      <c r="A29" s="47" t="str">
        <f>IFERROR(INDEX('G-8 Condition Look up'!$I$4:$I$130,MATCH(F29,'G-8 Condition Look up'!$A$4:$A$130,0)),"")</f>
        <v/>
      </c>
      <c r="C29" s="384" t="str">
        <f>IFERROR(INDEX('G-1 All Habitats'!$AG$3:$AG$15,MATCH(D29,'G-1 All Habitats'!$AF$3:$AF$15,0)),"")</f>
        <v/>
      </c>
      <c r="D29" s="146"/>
      <c r="E29" s="79"/>
      <c r="F29" s="246" t="str">
        <f>IFERROR(INDEX('G-1 All Habitats'!$B$3:$B$129,MATCH(E29,'G-1 All Habitats'!$A$3:$A$129,0)),"")</f>
        <v/>
      </c>
      <c r="G29" s="70"/>
      <c r="H29" s="498" t="str">
        <f>IF(F29="","",VLOOKUP(F29,'G-1 All Habitats'!$B$2:$M$129,10,FALSE))</f>
        <v/>
      </c>
      <c r="I29" s="499" t="str">
        <f>IFERROR(VLOOKUP(H29,'G-1 All Habitats'!$V$3:$W$7,2,FALSE),"")</f>
        <v/>
      </c>
      <c r="J29" s="71"/>
      <c r="K29" s="499" t="str">
        <f>IFERROR(INDEX('G-8 Condition Look up'!$A$3:$H$130,MATCH(F29,'G-8 Condition Look up'!$A$3:$A$130,0),MATCH(J29,'G-8 Condition Look up'!$A$3:$H$3,0)),"")</f>
        <v/>
      </c>
      <c r="L29" s="71"/>
      <c r="M29" s="507" t="str">
        <f>IF(L29="","",IF(VLOOKUP(L29,'G-3 Multipliers'!$L$3:$N$6,2,FALSE)=0,"Spatial Data Missing",VLOOKUP(L29,'G-3 Multipliers'!$L$3:$N$6,2,FALSE)))</f>
        <v/>
      </c>
      <c r="N29" s="505" t="str">
        <f>IF(L29="","",IF(VLOOKUP(L29,'G-3 Multipliers'!$L$3:$N$6,3,FALSE)=0,"Spatial Data Missing",VLOOKUP(L29,'G-3 Multipliers'!$L$3:$N$6,3,FALSE)))</f>
        <v/>
      </c>
      <c r="O29" s="498" t="str">
        <f t="shared" si="0"/>
        <v/>
      </c>
      <c r="P29" s="82"/>
      <c r="Q29" s="82"/>
      <c r="R29" s="507" t="str">
        <f t="shared" si="2"/>
        <v/>
      </c>
      <c r="S29" s="521" t="str">
        <f t="shared" si="3"/>
        <v/>
      </c>
      <c r="T29" s="522" t="str">
        <f>IFERROR(IF(S29="Check Data ⚠","Check Data ⚠",VLOOKUP(S29,'G-4 Temporal multipliers'!$A$4:$C$37,3,FALSE)),"")</f>
        <v/>
      </c>
      <c r="U29" s="523" t="str">
        <f>IF(F29="","",VLOOKUP(F29,'G-3 Multipliers'!$A$2:$E$129,2,FALSE))</f>
        <v/>
      </c>
      <c r="V29" s="520" t="str">
        <f t="shared" si="4"/>
        <v/>
      </c>
      <c r="W29" s="520" t="str">
        <f>IF(E29="","",IF(AND(V29="Standard difficulty applied",O29&gt;P29),U29,IF(AND(V29="Low Difficulty - only applicable if all habitat created before losses",P29&gt;=O29),"Low",VLOOKUP(F29,'G-3 Multipliers'!$A$2:$E$129,4,FALSE))))</f>
        <v/>
      </c>
      <c r="X29" s="524" t="str">
        <f>IFERROR(IF(E29="","",VLOOKUP(W29, 'G-3 Multipliers'!$P$2:$Q$6,2,FALSE)),"")</f>
        <v/>
      </c>
      <c r="Y29" s="529" t="str">
        <f t="shared" si="5"/>
        <v/>
      </c>
      <c r="Z29" s="239"/>
      <c r="AA29" s="240"/>
      <c r="AE29" s="54" t="str">
        <f t="shared" si="1"/>
        <v/>
      </c>
    </row>
    <row r="30" spans="1:31" x14ac:dyDescent="0.25">
      <c r="A30" s="47" t="str">
        <f>IFERROR(INDEX('G-8 Condition Look up'!$I$4:$I$130,MATCH(F30,'G-8 Condition Look up'!$A$4:$A$130,0)),"")</f>
        <v/>
      </c>
      <c r="C30" s="384" t="str">
        <f>IFERROR(INDEX('G-1 All Habitats'!$AG$3:$AG$15,MATCH(D30,'G-1 All Habitats'!$AF$3:$AF$15,0)),"")</f>
        <v/>
      </c>
      <c r="D30" s="146"/>
      <c r="E30" s="79"/>
      <c r="F30" s="246" t="str">
        <f>IFERROR(INDEX('G-1 All Habitats'!$B$3:$B$129,MATCH(E30,'G-1 All Habitats'!$A$3:$A$129,0)),"")</f>
        <v/>
      </c>
      <c r="G30" s="70"/>
      <c r="H30" s="498" t="str">
        <f>IF(F30="","",VLOOKUP(F30,'G-1 All Habitats'!$B$2:$M$129,10,FALSE))</f>
        <v/>
      </c>
      <c r="I30" s="499" t="str">
        <f>IFERROR(VLOOKUP(H30,'G-1 All Habitats'!$V$3:$W$7,2,FALSE),"")</f>
        <v/>
      </c>
      <c r="J30" s="71"/>
      <c r="K30" s="499" t="str">
        <f>IFERROR(INDEX('G-8 Condition Look up'!$A$3:$H$130,MATCH(F30,'G-8 Condition Look up'!$A$3:$A$130,0),MATCH(J30,'G-8 Condition Look up'!$A$3:$H$3,0)),"")</f>
        <v/>
      </c>
      <c r="L30" s="71"/>
      <c r="M30" s="507" t="str">
        <f>IF(L30="","",IF(VLOOKUP(L30,'G-3 Multipliers'!$L$3:$N$6,2,FALSE)=0,"Spatial Data Missing",VLOOKUP(L30,'G-3 Multipliers'!$L$3:$N$6,2,FALSE)))</f>
        <v/>
      </c>
      <c r="N30" s="505" t="str">
        <f>IF(L30="","",IF(VLOOKUP(L30,'G-3 Multipliers'!$L$3:$N$6,3,FALSE)=0,"Spatial Data Missing",VLOOKUP(L30,'G-3 Multipliers'!$L$3:$N$6,3,FALSE)))</f>
        <v/>
      </c>
      <c r="O30" s="498" t="str">
        <f t="shared" si="0"/>
        <v/>
      </c>
      <c r="P30" s="82"/>
      <c r="Q30" s="82"/>
      <c r="R30" s="507" t="str">
        <f t="shared" si="2"/>
        <v/>
      </c>
      <c r="S30" s="521" t="str">
        <f t="shared" si="3"/>
        <v/>
      </c>
      <c r="T30" s="522" t="str">
        <f>IFERROR(IF(S30="Check Data ⚠","Check Data ⚠",VLOOKUP(S30,'G-4 Temporal multipliers'!$A$4:$C$37,3,FALSE)),"")</f>
        <v/>
      </c>
      <c r="U30" s="523" t="str">
        <f>IF(F30="","",VLOOKUP(F30,'G-3 Multipliers'!$A$2:$E$129,2,FALSE))</f>
        <v/>
      </c>
      <c r="V30" s="520" t="str">
        <f t="shared" si="4"/>
        <v/>
      </c>
      <c r="W30" s="520" t="str">
        <f>IF(E30="","",IF(AND(V30="Standard difficulty applied",O30&gt;P30),U30,IF(AND(V30="Low Difficulty - only applicable if all habitat created before losses",P30&gt;=O30),"Low",VLOOKUP(F30,'G-3 Multipliers'!$A$2:$E$129,4,FALSE))))</f>
        <v/>
      </c>
      <c r="X30" s="524" t="str">
        <f>IFERROR(IF(E30="","",VLOOKUP(W30, 'G-3 Multipliers'!$P$2:$Q$6,2,FALSE)),"")</f>
        <v/>
      </c>
      <c r="Y30" s="529" t="str">
        <f t="shared" si="5"/>
        <v/>
      </c>
      <c r="Z30" s="239"/>
      <c r="AA30" s="240"/>
      <c r="AE30" s="54" t="str">
        <f t="shared" si="1"/>
        <v/>
      </c>
    </row>
    <row r="31" spans="1:31" x14ac:dyDescent="0.25">
      <c r="A31" s="47" t="str">
        <f>IFERROR(INDEX('G-8 Condition Look up'!$I$4:$I$130,MATCH(F31,'G-8 Condition Look up'!$A$4:$A$130,0)),"")</f>
        <v/>
      </c>
      <c r="C31" s="384" t="str">
        <f>IFERROR(INDEX('G-1 All Habitats'!$AG$3:$AG$15,MATCH(D31,'G-1 All Habitats'!$AF$3:$AF$15,0)),"")</f>
        <v/>
      </c>
      <c r="D31" s="146"/>
      <c r="E31" s="79"/>
      <c r="F31" s="246" t="str">
        <f>IFERROR(INDEX('G-1 All Habitats'!$B$3:$B$129,MATCH(E31,'G-1 All Habitats'!$A$3:$A$129,0)),"")</f>
        <v/>
      </c>
      <c r="G31" s="70"/>
      <c r="H31" s="498" t="str">
        <f>IF(F31="","",VLOOKUP(F31,'G-1 All Habitats'!$B$2:$M$129,10,FALSE))</f>
        <v/>
      </c>
      <c r="I31" s="499" t="str">
        <f>IFERROR(VLOOKUP(H31,'G-1 All Habitats'!$V$3:$W$7,2,FALSE),"")</f>
        <v/>
      </c>
      <c r="J31" s="71"/>
      <c r="K31" s="499" t="str">
        <f>IFERROR(INDEX('G-8 Condition Look up'!$A$3:$H$130,MATCH(F31,'G-8 Condition Look up'!$A$3:$A$130,0),MATCH(J31,'G-8 Condition Look up'!$A$3:$H$3,0)),"")</f>
        <v/>
      </c>
      <c r="L31" s="71"/>
      <c r="M31" s="507" t="str">
        <f>IF(L31="","",IF(VLOOKUP(L31,'G-3 Multipliers'!$L$3:$N$6,2,FALSE)=0,"Spatial Data Missing",VLOOKUP(L31,'G-3 Multipliers'!$L$3:$N$6,2,FALSE)))</f>
        <v/>
      </c>
      <c r="N31" s="505" t="str">
        <f>IF(L31="","",IF(VLOOKUP(L31,'G-3 Multipliers'!$L$3:$N$6,3,FALSE)=0,"Spatial Data Missing",VLOOKUP(L31,'G-3 Multipliers'!$L$3:$N$6,3,FALSE)))</f>
        <v/>
      </c>
      <c r="O31" s="498" t="str">
        <f t="shared" si="0"/>
        <v/>
      </c>
      <c r="P31" s="82"/>
      <c r="Q31" s="82"/>
      <c r="R31" s="507" t="str">
        <f t="shared" si="2"/>
        <v/>
      </c>
      <c r="S31" s="521" t="str">
        <f t="shared" si="3"/>
        <v/>
      </c>
      <c r="T31" s="522" t="str">
        <f>IFERROR(IF(S31="Check Data ⚠","Check Data ⚠",VLOOKUP(S31,'G-4 Temporal multipliers'!$A$4:$C$37,3,FALSE)),"")</f>
        <v/>
      </c>
      <c r="U31" s="523" t="str">
        <f>IF(F31="","",VLOOKUP(F31,'G-3 Multipliers'!$A$2:$E$129,2,FALSE))</f>
        <v/>
      </c>
      <c r="V31" s="520" t="str">
        <f t="shared" si="4"/>
        <v/>
      </c>
      <c r="W31" s="520" t="str">
        <f>IF(E31="","",IF(AND(V31="Standard difficulty applied",O31&gt;P31),U31,IF(AND(V31="Low Difficulty - only applicable if all habitat created before losses",P31&gt;=O31),"Low",VLOOKUP(F31,'G-3 Multipliers'!$A$2:$E$129,4,FALSE))))</f>
        <v/>
      </c>
      <c r="X31" s="524" t="str">
        <f>IFERROR(IF(E31="","",VLOOKUP(W31, 'G-3 Multipliers'!$P$2:$Q$6,2,FALSE)),"")</f>
        <v/>
      </c>
      <c r="Y31" s="529" t="str">
        <f t="shared" si="5"/>
        <v/>
      </c>
      <c r="Z31" s="239"/>
      <c r="AA31" s="240"/>
      <c r="AE31" s="54" t="str">
        <f t="shared" si="1"/>
        <v/>
      </c>
    </row>
    <row r="32" spans="1:31" x14ac:dyDescent="0.25">
      <c r="A32" s="47" t="str">
        <f>IFERROR(INDEX('G-8 Condition Look up'!$I$4:$I$130,MATCH(F32,'G-8 Condition Look up'!$A$4:$A$130,0)),"")</f>
        <v/>
      </c>
      <c r="C32" s="384" t="str">
        <f>IFERROR(INDEX('G-1 All Habitats'!$AG$3:$AG$15,MATCH(D32,'G-1 All Habitats'!$AF$3:$AF$15,0)),"")</f>
        <v/>
      </c>
      <c r="D32" s="146"/>
      <c r="E32" s="79"/>
      <c r="F32" s="246" t="str">
        <f>IFERROR(INDEX('G-1 All Habitats'!$B$3:$B$129,MATCH(E32,'G-1 All Habitats'!$A$3:$A$129,0)),"")</f>
        <v/>
      </c>
      <c r="G32" s="70"/>
      <c r="H32" s="498" t="str">
        <f>IF(F32="","",VLOOKUP(F32,'G-1 All Habitats'!$B$2:$M$129,10,FALSE))</f>
        <v/>
      </c>
      <c r="I32" s="499" t="str">
        <f>IFERROR(VLOOKUP(H32,'G-1 All Habitats'!$V$3:$W$7,2,FALSE),"")</f>
        <v/>
      </c>
      <c r="J32" s="71"/>
      <c r="K32" s="499" t="str">
        <f>IFERROR(INDEX('G-8 Condition Look up'!$A$3:$H$130,MATCH(F32,'G-8 Condition Look up'!$A$3:$A$130,0),MATCH(J32,'G-8 Condition Look up'!$A$3:$H$3,0)),"")</f>
        <v/>
      </c>
      <c r="L32" s="71"/>
      <c r="M32" s="507" t="str">
        <f>IF(L32="","",IF(VLOOKUP(L32,'G-3 Multipliers'!$L$3:$N$6,2,FALSE)=0,"Spatial Data Missing",VLOOKUP(L32,'G-3 Multipliers'!$L$3:$N$6,2,FALSE)))</f>
        <v/>
      </c>
      <c r="N32" s="505" t="str">
        <f>IF(L32="","",IF(VLOOKUP(L32,'G-3 Multipliers'!$L$3:$N$6,3,FALSE)=0,"Spatial Data Missing",VLOOKUP(L32,'G-3 Multipliers'!$L$3:$N$6,3,FALSE)))</f>
        <v/>
      </c>
      <c r="O32" s="498" t="str">
        <f t="shared" si="0"/>
        <v/>
      </c>
      <c r="P32" s="82"/>
      <c r="Q32" s="82"/>
      <c r="R32" s="507" t="str">
        <f t="shared" si="2"/>
        <v/>
      </c>
      <c r="S32" s="521" t="str">
        <f t="shared" si="3"/>
        <v/>
      </c>
      <c r="T32" s="522" t="str">
        <f>IFERROR(IF(S32="Check Data ⚠","Check Data ⚠",VLOOKUP(S32,'G-4 Temporal multipliers'!$A$4:$C$37,3,FALSE)),"")</f>
        <v/>
      </c>
      <c r="U32" s="523" t="str">
        <f>IF(F32="","",VLOOKUP(F32,'G-3 Multipliers'!$A$2:$E$129,2,FALSE))</f>
        <v/>
      </c>
      <c r="V32" s="520" t="str">
        <f t="shared" si="4"/>
        <v/>
      </c>
      <c r="W32" s="520" t="str">
        <f>IF(E32="","",IF(AND(V32="Standard difficulty applied",O32&gt;P32),U32,IF(AND(V32="Low Difficulty - only applicable if all habitat created before losses",P32&gt;=O32),"Low",VLOOKUP(F32,'G-3 Multipliers'!$A$2:$E$129,4,FALSE))))</f>
        <v/>
      </c>
      <c r="X32" s="524" t="str">
        <f>IFERROR(IF(E32="","",VLOOKUP(W32, 'G-3 Multipliers'!$P$2:$Q$6,2,FALSE)),"")</f>
        <v/>
      </c>
      <c r="Y32" s="529" t="str">
        <f t="shared" si="5"/>
        <v/>
      </c>
      <c r="Z32" s="239"/>
      <c r="AA32" s="240"/>
      <c r="AE32" s="54" t="str">
        <f t="shared" si="1"/>
        <v/>
      </c>
    </row>
    <row r="33" spans="1:31" x14ac:dyDescent="0.25">
      <c r="A33" s="47" t="str">
        <f>IFERROR(INDEX('G-8 Condition Look up'!$I$4:$I$130,MATCH(F33,'G-8 Condition Look up'!$A$4:$A$130,0)),"")</f>
        <v/>
      </c>
      <c r="C33" s="384" t="str">
        <f>IFERROR(INDEX('G-1 All Habitats'!$AG$3:$AG$15,MATCH(D33,'G-1 All Habitats'!$AF$3:$AF$15,0)),"")</f>
        <v/>
      </c>
      <c r="D33" s="146"/>
      <c r="E33" s="79"/>
      <c r="F33" s="246" t="str">
        <f>IFERROR(INDEX('G-1 All Habitats'!$B$3:$B$129,MATCH(E33,'G-1 All Habitats'!$A$3:$A$129,0)),"")</f>
        <v/>
      </c>
      <c r="G33" s="70"/>
      <c r="H33" s="498" t="str">
        <f>IF(F33="","",VLOOKUP(F33,'G-1 All Habitats'!$B$2:$M$129,10,FALSE))</f>
        <v/>
      </c>
      <c r="I33" s="499" t="str">
        <f>IFERROR(VLOOKUP(H33,'G-1 All Habitats'!$V$3:$W$7,2,FALSE),"")</f>
        <v/>
      </c>
      <c r="J33" s="71"/>
      <c r="K33" s="499" t="str">
        <f>IFERROR(INDEX('G-8 Condition Look up'!$A$3:$H$130,MATCH(F33,'G-8 Condition Look up'!$A$3:$A$130,0),MATCH(J33,'G-8 Condition Look up'!$A$3:$H$3,0)),"")</f>
        <v/>
      </c>
      <c r="L33" s="71"/>
      <c r="M33" s="507" t="str">
        <f>IF(L33="","",IF(VLOOKUP(L33,'G-3 Multipliers'!$L$3:$N$6,2,FALSE)=0,"Spatial Data Missing",VLOOKUP(L33,'G-3 Multipliers'!$L$3:$N$6,2,FALSE)))</f>
        <v/>
      </c>
      <c r="N33" s="505" t="str">
        <f>IF(L33="","",IF(VLOOKUP(L33,'G-3 Multipliers'!$L$3:$N$6,3,FALSE)=0,"Spatial Data Missing",VLOOKUP(L33,'G-3 Multipliers'!$L$3:$N$6,3,FALSE)))</f>
        <v/>
      </c>
      <c r="O33" s="498" t="str">
        <f t="shared" si="0"/>
        <v/>
      </c>
      <c r="P33" s="82"/>
      <c r="Q33" s="82"/>
      <c r="R33" s="507" t="str">
        <f t="shared" si="2"/>
        <v/>
      </c>
      <c r="S33" s="521" t="str">
        <f t="shared" si="3"/>
        <v/>
      </c>
      <c r="T33" s="522" t="str">
        <f>IFERROR(IF(S33="Check Data ⚠","Check Data ⚠",VLOOKUP(S33,'G-4 Temporal multipliers'!$A$4:$C$37,3,FALSE)),"")</f>
        <v/>
      </c>
      <c r="U33" s="523" t="str">
        <f>IF(F33="","",VLOOKUP(F33,'G-3 Multipliers'!$A$2:$E$129,2,FALSE))</f>
        <v/>
      </c>
      <c r="V33" s="520" t="str">
        <f t="shared" si="4"/>
        <v/>
      </c>
      <c r="W33" s="520" t="str">
        <f>IF(E33="","",IF(AND(V33="Standard difficulty applied",O33&gt;P33),U33,IF(AND(V33="Low Difficulty - only applicable if all habitat created before losses",P33&gt;=O33),"Low",VLOOKUP(F33,'G-3 Multipliers'!$A$2:$E$129,4,FALSE))))</f>
        <v/>
      </c>
      <c r="X33" s="524" t="str">
        <f>IFERROR(IF(E33="","",VLOOKUP(W33, 'G-3 Multipliers'!$P$2:$Q$6,2,FALSE)),"")</f>
        <v/>
      </c>
      <c r="Y33" s="529" t="str">
        <f t="shared" si="5"/>
        <v/>
      </c>
      <c r="Z33" s="239"/>
      <c r="AA33" s="240"/>
      <c r="AE33" s="54" t="str">
        <f t="shared" si="1"/>
        <v/>
      </c>
    </row>
    <row r="34" spans="1:31" x14ac:dyDescent="0.25">
      <c r="A34" s="47" t="str">
        <f>IFERROR(INDEX('G-8 Condition Look up'!$I$4:$I$130,MATCH(F34,'G-8 Condition Look up'!$A$4:$A$130,0)),"")</f>
        <v/>
      </c>
      <c r="C34" s="384" t="str">
        <f>IFERROR(INDEX('G-1 All Habitats'!$AG$3:$AG$15,MATCH(D34,'G-1 All Habitats'!$AF$3:$AF$15,0)),"")</f>
        <v/>
      </c>
      <c r="D34" s="146"/>
      <c r="E34" s="79"/>
      <c r="F34" s="246" t="str">
        <f>IFERROR(INDEX('G-1 All Habitats'!$B$3:$B$129,MATCH(E34,'G-1 All Habitats'!$A$3:$A$129,0)),"")</f>
        <v/>
      </c>
      <c r="G34" s="70"/>
      <c r="H34" s="498" t="str">
        <f>IF(F34="","",VLOOKUP(F34,'G-1 All Habitats'!$B$2:$M$129,10,FALSE))</f>
        <v/>
      </c>
      <c r="I34" s="499" t="str">
        <f>IFERROR(VLOOKUP(H34,'G-1 All Habitats'!$V$3:$W$7,2,FALSE),"")</f>
        <v/>
      </c>
      <c r="J34" s="71"/>
      <c r="K34" s="499" t="str">
        <f>IFERROR(INDEX('G-8 Condition Look up'!$A$3:$H$130,MATCH(F34,'G-8 Condition Look up'!$A$3:$A$130,0),MATCH(J34,'G-8 Condition Look up'!$A$3:$H$3,0)),"")</f>
        <v/>
      </c>
      <c r="L34" s="71"/>
      <c r="M34" s="507" t="str">
        <f>IF(L34="","",IF(VLOOKUP(L34,'G-3 Multipliers'!$L$3:$N$6,2,FALSE)=0,"Spatial Data Missing",VLOOKUP(L34,'G-3 Multipliers'!$L$3:$N$6,2,FALSE)))</f>
        <v/>
      </c>
      <c r="N34" s="505" t="str">
        <f>IF(L34="","",IF(VLOOKUP(L34,'G-3 Multipliers'!$L$3:$N$6,3,FALSE)=0,"Spatial Data Missing",VLOOKUP(L34,'G-3 Multipliers'!$L$3:$N$6,3,FALSE)))</f>
        <v/>
      </c>
      <c r="O34" s="498" t="str">
        <f t="shared" si="0"/>
        <v/>
      </c>
      <c r="P34" s="82"/>
      <c r="Q34" s="82"/>
      <c r="R34" s="507" t="str">
        <f t="shared" si="2"/>
        <v/>
      </c>
      <c r="S34" s="521" t="str">
        <f t="shared" si="3"/>
        <v/>
      </c>
      <c r="T34" s="522" t="str">
        <f>IFERROR(IF(S34="Check Data ⚠","Check Data ⚠",VLOOKUP(S34,'G-4 Temporal multipliers'!$A$4:$C$37,3,FALSE)),"")</f>
        <v/>
      </c>
      <c r="U34" s="523" t="str">
        <f>IF(F34="","",VLOOKUP(F34,'G-3 Multipliers'!$A$2:$E$129,2,FALSE))</f>
        <v/>
      </c>
      <c r="V34" s="520" t="str">
        <f t="shared" si="4"/>
        <v/>
      </c>
      <c r="W34" s="520" t="str">
        <f>IF(E34="","",IF(AND(V34="Standard difficulty applied",O34&gt;P34),U34,IF(AND(V34="Low Difficulty - only applicable if all habitat created before losses",P34&gt;=O34),"Low",VLOOKUP(F34,'G-3 Multipliers'!$A$2:$E$129,4,FALSE))))</f>
        <v/>
      </c>
      <c r="X34" s="524" t="str">
        <f>IFERROR(IF(E34="","",VLOOKUP(W34, 'G-3 Multipliers'!$P$2:$Q$6,2,FALSE)),"")</f>
        <v/>
      </c>
      <c r="Y34" s="529" t="str">
        <f t="shared" si="5"/>
        <v/>
      </c>
      <c r="Z34" s="239"/>
      <c r="AA34" s="240"/>
      <c r="AE34" s="54" t="str">
        <f t="shared" si="1"/>
        <v/>
      </c>
    </row>
    <row r="35" spans="1:31" x14ac:dyDescent="0.25">
      <c r="A35" s="47" t="str">
        <f>IFERROR(INDEX('G-8 Condition Look up'!$I$4:$I$130,MATCH(F35,'G-8 Condition Look up'!$A$4:$A$130,0)),"")</f>
        <v/>
      </c>
      <c r="C35" s="384" t="str">
        <f>IFERROR(INDEX('G-1 All Habitats'!$AG$3:$AG$15,MATCH(D35,'G-1 All Habitats'!$AF$3:$AF$15,0)),"")</f>
        <v/>
      </c>
      <c r="D35" s="146"/>
      <c r="E35" s="79"/>
      <c r="F35" s="246" t="str">
        <f>IFERROR(INDEX('G-1 All Habitats'!$B$3:$B$129,MATCH(E35,'G-1 All Habitats'!$A$3:$A$129,0)),"")</f>
        <v/>
      </c>
      <c r="G35" s="70"/>
      <c r="H35" s="498" t="str">
        <f>IF(F35="","",VLOOKUP(F35,'G-1 All Habitats'!$B$2:$M$129,10,FALSE))</f>
        <v/>
      </c>
      <c r="I35" s="499" t="str">
        <f>IFERROR(VLOOKUP(H35,'G-1 All Habitats'!$V$3:$W$7,2,FALSE),"")</f>
        <v/>
      </c>
      <c r="J35" s="71"/>
      <c r="K35" s="499" t="str">
        <f>IFERROR(INDEX('G-8 Condition Look up'!$A$3:$H$130,MATCH(F35,'G-8 Condition Look up'!$A$3:$A$130,0),MATCH(J35,'G-8 Condition Look up'!$A$3:$H$3,0)),"")</f>
        <v/>
      </c>
      <c r="L35" s="71"/>
      <c r="M35" s="507" t="str">
        <f>IF(L35="","",IF(VLOOKUP(L35,'G-3 Multipliers'!$L$3:$N$6,2,FALSE)=0,"Spatial Data Missing",VLOOKUP(L35,'G-3 Multipliers'!$L$3:$N$6,2,FALSE)))</f>
        <v/>
      </c>
      <c r="N35" s="505" t="str">
        <f>IF(L35="","",IF(VLOOKUP(L35,'G-3 Multipliers'!$L$3:$N$6,3,FALSE)=0,"Spatial Data Missing",VLOOKUP(L35,'G-3 Multipliers'!$L$3:$N$6,3,FALSE)))</f>
        <v/>
      </c>
      <c r="O35" s="498" t="str">
        <f t="shared" si="0"/>
        <v/>
      </c>
      <c r="P35" s="82"/>
      <c r="Q35" s="82"/>
      <c r="R35" s="507" t="str">
        <f t="shared" si="2"/>
        <v/>
      </c>
      <c r="S35" s="521" t="str">
        <f t="shared" si="3"/>
        <v/>
      </c>
      <c r="T35" s="522" t="str">
        <f>IFERROR(IF(S35="Check Data ⚠","Check Data ⚠",VLOOKUP(S35,'G-4 Temporal multipliers'!$A$4:$C$37,3,FALSE)),"")</f>
        <v/>
      </c>
      <c r="U35" s="523" t="str">
        <f>IF(F35="","",VLOOKUP(F35,'G-3 Multipliers'!$A$2:$E$129,2,FALSE))</f>
        <v/>
      </c>
      <c r="V35" s="520" t="str">
        <f t="shared" si="4"/>
        <v/>
      </c>
      <c r="W35" s="520" t="str">
        <f>IF(E35="","",IF(AND(V35="Standard difficulty applied",O35&gt;P35),U35,IF(AND(V35="Low Difficulty - only applicable if all habitat created before losses",P35&gt;=O35),"Low",VLOOKUP(F35,'G-3 Multipliers'!$A$2:$E$129,4,FALSE))))</f>
        <v/>
      </c>
      <c r="X35" s="524" t="str">
        <f>IFERROR(IF(E35="","",VLOOKUP(W35, 'G-3 Multipliers'!$P$2:$Q$6,2,FALSE)),"")</f>
        <v/>
      </c>
      <c r="Y35" s="529" t="str">
        <f t="shared" si="5"/>
        <v/>
      </c>
      <c r="Z35" s="239"/>
      <c r="AA35" s="240"/>
      <c r="AE35" s="54" t="str">
        <f t="shared" si="1"/>
        <v/>
      </c>
    </row>
    <row r="36" spans="1:31" x14ac:dyDescent="0.25">
      <c r="A36" s="47" t="str">
        <f>IFERROR(INDEX('G-8 Condition Look up'!$I$4:$I$130,MATCH(F36,'G-8 Condition Look up'!$A$4:$A$130,0)),"")</f>
        <v/>
      </c>
      <c r="C36" s="384" t="str">
        <f>IFERROR(INDEX('G-1 All Habitats'!$AG$3:$AG$15,MATCH(D36,'G-1 All Habitats'!$AF$3:$AF$15,0)),"")</f>
        <v/>
      </c>
      <c r="D36" s="146"/>
      <c r="E36" s="79"/>
      <c r="F36" s="246" t="str">
        <f>IFERROR(INDEX('G-1 All Habitats'!$B$3:$B$129,MATCH(E36,'G-1 All Habitats'!$A$3:$A$129,0)),"")</f>
        <v/>
      </c>
      <c r="G36" s="70"/>
      <c r="H36" s="498" t="str">
        <f>IF(F36="","",VLOOKUP(F36,'G-1 All Habitats'!$B$2:$M$129,10,FALSE))</f>
        <v/>
      </c>
      <c r="I36" s="499" t="str">
        <f>IFERROR(VLOOKUP(H36,'G-1 All Habitats'!$V$3:$W$7,2,FALSE),"")</f>
        <v/>
      </c>
      <c r="J36" s="71"/>
      <c r="K36" s="499" t="str">
        <f>IFERROR(INDEX('G-8 Condition Look up'!$A$3:$H$130,MATCH(F36,'G-8 Condition Look up'!$A$3:$A$130,0),MATCH(J36,'G-8 Condition Look up'!$A$3:$H$3,0)),"")</f>
        <v/>
      </c>
      <c r="L36" s="71"/>
      <c r="M36" s="507" t="str">
        <f>IF(L36="","",IF(VLOOKUP(L36,'G-3 Multipliers'!$L$3:$N$6,2,FALSE)=0,"Spatial Data Missing",VLOOKUP(L36,'G-3 Multipliers'!$L$3:$N$6,2,FALSE)))</f>
        <v/>
      </c>
      <c r="N36" s="505" t="str">
        <f>IF(L36="","",IF(VLOOKUP(L36,'G-3 Multipliers'!$L$3:$N$6,3,FALSE)=0,"Spatial Data Missing",VLOOKUP(L36,'G-3 Multipliers'!$L$3:$N$6,3,FALSE)))</f>
        <v/>
      </c>
      <c r="O36" s="498" t="str">
        <f t="shared" si="0"/>
        <v/>
      </c>
      <c r="P36" s="82"/>
      <c r="Q36" s="82"/>
      <c r="R36" s="507" t="str">
        <f t="shared" si="2"/>
        <v/>
      </c>
      <c r="S36" s="521" t="str">
        <f t="shared" si="3"/>
        <v/>
      </c>
      <c r="T36" s="522" t="str">
        <f>IFERROR(IF(S36="Check Data ⚠","Check Data ⚠",VLOOKUP(S36,'G-4 Temporal multipliers'!$A$4:$C$37,3,FALSE)),"")</f>
        <v/>
      </c>
      <c r="U36" s="523" t="str">
        <f>IF(F36="","",VLOOKUP(F36,'G-3 Multipliers'!$A$2:$E$129,2,FALSE))</f>
        <v/>
      </c>
      <c r="V36" s="520" t="str">
        <f t="shared" si="4"/>
        <v/>
      </c>
      <c r="W36" s="520" t="str">
        <f>IF(E36="","",IF(AND(V36="Standard difficulty applied",O36&gt;P36),U36,IF(AND(V36="Low Difficulty - only applicable if all habitat created before losses",P36&gt;=O36),"Low",VLOOKUP(F36,'G-3 Multipliers'!$A$2:$E$129,4,FALSE))))</f>
        <v/>
      </c>
      <c r="X36" s="524" t="str">
        <f>IFERROR(IF(E36="","",VLOOKUP(W36, 'G-3 Multipliers'!$P$2:$Q$6,2,FALSE)),"")</f>
        <v/>
      </c>
      <c r="Y36" s="529" t="str">
        <f t="shared" si="5"/>
        <v/>
      </c>
      <c r="Z36" s="239"/>
      <c r="AA36" s="240"/>
      <c r="AE36" s="54" t="str">
        <f t="shared" si="1"/>
        <v/>
      </c>
    </row>
    <row r="37" spans="1:31" x14ac:dyDescent="0.25">
      <c r="A37" s="47" t="str">
        <f>IFERROR(INDEX('G-8 Condition Look up'!$I$4:$I$130,MATCH(F37,'G-8 Condition Look up'!$A$4:$A$130,0)),"")</f>
        <v/>
      </c>
      <c r="C37" s="384" t="str">
        <f>IFERROR(INDEX('G-1 All Habitats'!$AG$3:$AG$15,MATCH(D37,'G-1 All Habitats'!$AF$3:$AF$15,0)),"")</f>
        <v/>
      </c>
      <c r="D37" s="146"/>
      <c r="E37" s="79"/>
      <c r="F37" s="246" t="str">
        <f>IFERROR(INDEX('G-1 All Habitats'!$B$3:$B$129,MATCH(E37,'G-1 All Habitats'!$A$3:$A$129,0)),"")</f>
        <v/>
      </c>
      <c r="G37" s="70"/>
      <c r="H37" s="498" t="str">
        <f>IF(F37="","",VLOOKUP(F37,'G-1 All Habitats'!$B$2:$M$129,10,FALSE))</f>
        <v/>
      </c>
      <c r="I37" s="499" t="str">
        <f>IFERROR(VLOOKUP(H37,'G-1 All Habitats'!$V$3:$W$7,2,FALSE),"")</f>
        <v/>
      </c>
      <c r="J37" s="71"/>
      <c r="K37" s="499" t="str">
        <f>IFERROR(INDEX('G-8 Condition Look up'!$A$3:$H$130,MATCH(F37,'G-8 Condition Look up'!$A$3:$A$130,0),MATCH(J37,'G-8 Condition Look up'!$A$3:$H$3,0)),"")</f>
        <v/>
      </c>
      <c r="L37" s="71"/>
      <c r="M37" s="507" t="str">
        <f>IF(L37="","",IF(VLOOKUP(L37,'G-3 Multipliers'!$L$3:$N$6,2,FALSE)=0,"Spatial Data Missing",VLOOKUP(L37,'G-3 Multipliers'!$L$3:$N$6,2,FALSE)))</f>
        <v/>
      </c>
      <c r="N37" s="505" t="str">
        <f>IF(L37="","",IF(VLOOKUP(L37,'G-3 Multipliers'!$L$3:$N$6,3,FALSE)=0,"Spatial Data Missing",VLOOKUP(L37,'G-3 Multipliers'!$L$3:$N$6,3,FALSE)))</f>
        <v/>
      </c>
      <c r="O37" s="498" t="str">
        <f t="shared" si="0"/>
        <v/>
      </c>
      <c r="P37" s="82"/>
      <c r="Q37" s="82"/>
      <c r="R37" s="507" t="str">
        <f t="shared" si="2"/>
        <v/>
      </c>
      <c r="S37" s="521" t="str">
        <f t="shared" si="3"/>
        <v/>
      </c>
      <c r="T37" s="522" t="str">
        <f>IFERROR(IF(S37="Check Data ⚠","Check Data ⚠",VLOOKUP(S37,'G-4 Temporal multipliers'!$A$4:$C$37,3,FALSE)),"")</f>
        <v/>
      </c>
      <c r="U37" s="523" t="str">
        <f>IF(F37="","",VLOOKUP(F37,'G-3 Multipliers'!$A$2:$E$129,2,FALSE))</f>
        <v/>
      </c>
      <c r="V37" s="520" t="str">
        <f t="shared" si="4"/>
        <v/>
      </c>
      <c r="W37" s="520" t="str">
        <f>IF(E37="","",IF(AND(V37="Standard difficulty applied",O37&gt;P37),U37,IF(AND(V37="Low Difficulty - only applicable if all habitat created before losses",P37&gt;=O37),"Low",VLOOKUP(F37,'G-3 Multipliers'!$A$2:$E$129,4,FALSE))))</f>
        <v/>
      </c>
      <c r="X37" s="524" t="str">
        <f>IFERROR(IF(E37="","",VLOOKUP(W37, 'G-3 Multipliers'!$P$2:$Q$6,2,FALSE)),"")</f>
        <v/>
      </c>
      <c r="Y37" s="529" t="str">
        <f t="shared" si="5"/>
        <v/>
      </c>
      <c r="Z37" s="239"/>
      <c r="AA37" s="240"/>
      <c r="AE37" s="54" t="str">
        <f t="shared" si="1"/>
        <v/>
      </c>
    </row>
    <row r="38" spans="1:31" x14ac:dyDescent="0.25">
      <c r="A38" s="47" t="str">
        <f>IFERROR(INDEX('G-8 Condition Look up'!$I$4:$I$130,MATCH(F38,'G-8 Condition Look up'!$A$4:$A$130,0)),"")</f>
        <v/>
      </c>
      <c r="C38" s="384" t="str">
        <f>IFERROR(INDEX('G-1 All Habitats'!$AG$3:$AG$15,MATCH(D38,'G-1 All Habitats'!$AF$3:$AF$15,0)),"")</f>
        <v/>
      </c>
      <c r="D38" s="146"/>
      <c r="E38" s="79"/>
      <c r="F38" s="246" t="str">
        <f>IFERROR(INDEX('G-1 All Habitats'!$B$3:$B$129,MATCH(E38,'G-1 All Habitats'!$A$3:$A$129,0)),"")</f>
        <v/>
      </c>
      <c r="G38" s="70"/>
      <c r="H38" s="498" t="str">
        <f>IF(F38="","",VLOOKUP(F38,'G-1 All Habitats'!$B$2:$M$129,10,FALSE))</f>
        <v/>
      </c>
      <c r="I38" s="499" t="str">
        <f>IFERROR(VLOOKUP(H38,'G-1 All Habitats'!$V$3:$W$7,2,FALSE),"")</f>
        <v/>
      </c>
      <c r="J38" s="71"/>
      <c r="K38" s="499" t="str">
        <f>IFERROR(INDEX('G-8 Condition Look up'!$A$3:$H$130,MATCH(F38,'G-8 Condition Look up'!$A$3:$A$130,0),MATCH(J38,'G-8 Condition Look up'!$A$3:$H$3,0)),"")</f>
        <v/>
      </c>
      <c r="L38" s="71"/>
      <c r="M38" s="507" t="str">
        <f>IF(L38="","",IF(VLOOKUP(L38,'G-3 Multipliers'!$L$3:$N$6,2,FALSE)=0,"Spatial Data Missing",VLOOKUP(L38,'G-3 Multipliers'!$L$3:$N$6,2,FALSE)))</f>
        <v/>
      </c>
      <c r="N38" s="505" t="str">
        <f>IF(L38="","",IF(VLOOKUP(L38,'G-3 Multipliers'!$L$3:$N$6,3,FALSE)=0,"Spatial Data Missing",VLOOKUP(L38,'G-3 Multipliers'!$L$3:$N$6,3,FALSE)))</f>
        <v/>
      </c>
      <c r="O38" s="498" t="str">
        <f t="shared" si="0"/>
        <v/>
      </c>
      <c r="P38" s="82"/>
      <c r="Q38" s="82"/>
      <c r="R38" s="507" t="str">
        <f t="shared" si="2"/>
        <v/>
      </c>
      <c r="S38" s="521" t="str">
        <f t="shared" si="3"/>
        <v/>
      </c>
      <c r="T38" s="522" t="str">
        <f>IFERROR(IF(S38="Check Data ⚠","Check Data ⚠",VLOOKUP(S38,'G-4 Temporal multipliers'!$A$4:$C$37,3,FALSE)),"")</f>
        <v/>
      </c>
      <c r="U38" s="523" t="str">
        <f>IF(F38="","",VLOOKUP(F38,'G-3 Multipliers'!$A$2:$E$129,2,FALSE))</f>
        <v/>
      </c>
      <c r="V38" s="520" t="str">
        <f t="shared" si="4"/>
        <v/>
      </c>
      <c r="W38" s="520" t="str">
        <f>IF(E38="","",IF(AND(V38="Standard difficulty applied",O38&gt;P38),U38,IF(AND(V38="Low Difficulty - only applicable if all habitat created before losses",P38&gt;=O38),"Low",VLOOKUP(F38,'G-3 Multipliers'!$A$2:$E$129,4,FALSE))))</f>
        <v/>
      </c>
      <c r="X38" s="524" t="str">
        <f>IFERROR(IF(E38="","",VLOOKUP(W38, 'G-3 Multipliers'!$P$2:$Q$6,2,FALSE)),"")</f>
        <v/>
      </c>
      <c r="Y38" s="529" t="str">
        <f t="shared" si="5"/>
        <v/>
      </c>
      <c r="Z38" s="239"/>
      <c r="AA38" s="240"/>
      <c r="AE38" s="54" t="str">
        <f t="shared" si="1"/>
        <v/>
      </c>
    </row>
    <row r="39" spans="1:31" x14ac:dyDescent="0.25">
      <c r="A39" s="47" t="str">
        <f>IFERROR(INDEX('G-8 Condition Look up'!$I$4:$I$130,MATCH(F39,'G-8 Condition Look up'!$A$4:$A$130,0)),"")</f>
        <v/>
      </c>
      <c r="C39" s="384" t="str">
        <f>IFERROR(INDEX('G-1 All Habitats'!$AG$3:$AG$15,MATCH(D39,'G-1 All Habitats'!$AF$3:$AF$15,0)),"")</f>
        <v/>
      </c>
      <c r="D39" s="146"/>
      <c r="E39" s="79"/>
      <c r="F39" s="246" t="str">
        <f>IFERROR(INDEX('G-1 All Habitats'!$B$3:$B$129,MATCH(E39,'G-1 All Habitats'!$A$3:$A$129,0)),"")</f>
        <v/>
      </c>
      <c r="G39" s="70"/>
      <c r="H39" s="498" t="str">
        <f>IF(F39="","",VLOOKUP(F39,'G-1 All Habitats'!$B$2:$M$129,10,FALSE))</f>
        <v/>
      </c>
      <c r="I39" s="499" t="str">
        <f>IFERROR(VLOOKUP(H39,'G-1 All Habitats'!$V$3:$W$7,2,FALSE),"")</f>
        <v/>
      </c>
      <c r="J39" s="71"/>
      <c r="K39" s="499" t="str">
        <f>IFERROR(INDEX('G-8 Condition Look up'!$A$3:$H$130,MATCH(F39,'G-8 Condition Look up'!$A$3:$A$130,0),MATCH(J39,'G-8 Condition Look up'!$A$3:$H$3,0)),"")</f>
        <v/>
      </c>
      <c r="L39" s="71"/>
      <c r="M39" s="507" t="str">
        <f>IF(L39="","",IF(VLOOKUP(L39,'G-3 Multipliers'!$L$3:$N$6,2,FALSE)=0,"Spatial Data Missing",VLOOKUP(L39,'G-3 Multipliers'!$L$3:$N$6,2,FALSE)))</f>
        <v/>
      </c>
      <c r="N39" s="505" t="str">
        <f>IF(L39="","",IF(VLOOKUP(L39,'G-3 Multipliers'!$L$3:$N$6,3,FALSE)=0,"Spatial Data Missing",VLOOKUP(L39,'G-3 Multipliers'!$L$3:$N$6,3,FALSE)))</f>
        <v/>
      </c>
      <c r="O39" s="498" t="str">
        <f t="shared" si="0"/>
        <v/>
      </c>
      <c r="P39" s="82"/>
      <c r="Q39" s="82"/>
      <c r="R39" s="507" t="str">
        <f t="shared" si="2"/>
        <v/>
      </c>
      <c r="S39" s="521" t="str">
        <f t="shared" si="3"/>
        <v/>
      </c>
      <c r="T39" s="522" t="str">
        <f>IFERROR(IF(S39="Check Data ⚠","Check Data ⚠",VLOOKUP(S39,'G-4 Temporal multipliers'!$A$4:$C$37,3,FALSE)),"")</f>
        <v/>
      </c>
      <c r="U39" s="523" t="str">
        <f>IF(F39="","",VLOOKUP(F39,'G-3 Multipliers'!$A$2:$E$129,2,FALSE))</f>
        <v/>
      </c>
      <c r="V39" s="520" t="str">
        <f t="shared" si="4"/>
        <v/>
      </c>
      <c r="W39" s="520" t="str">
        <f>IF(E39="","",IF(AND(V39="Standard difficulty applied",O39&gt;P39),U39,IF(AND(V39="Low Difficulty - only applicable if all habitat created before losses",P39&gt;=O39),"Low",VLOOKUP(F39,'G-3 Multipliers'!$A$2:$E$129,4,FALSE))))</f>
        <v/>
      </c>
      <c r="X39" s="524" t="str">
        <f>IFERROR(IF(E39="","",VLOOKUP(W39, 'G-3 Multipliers'!$P$2:$Q$6,2,FALSE)),"")</f>
        <v/>
      </c>
      <c r="Y39" s="529" t="str">
        <f t="shared" si="5"/>
        <v/>
      </c>
      <c r="Z39" s="239"/>
      <c r="AA39" s="240"/>
      <c r="AE39" s="54" t="str">
        <f t="shared" si="1"/>
        <v/>
      </c>
    </row>
    <row r="40" spans="1:31" x14ac:dyDescent="0.25">
      <c r="A40" s="47" t="str">
        <f>IFERROR(INDEX('G-8 Condition Look up'!$I$4:$I$130,MATCH(F40,'G-8 Condition Look up'!$A$4:$A$130,0)),"")</f>
        <v/>
      </c>
      <c r="C40" s="384" t="str">
        <f>IFERROR(INDEX('G-1 All Habitats'!$AG$3:$AG$15,MATCH(D40,'G-1 All Habitats'!$AF$3:$AF$15,0)),"")</f>
        <v/>
      </c>
      <c r="D40" s="146"/>
      <c r="E40" s="79"/>
      <c r="F40" s="246" t="str">
        <f>IFERROR(INDEX('G-1 All Habitats'!$B$3:$B$129,MATCH(E40,'G-1 All Habitats'!$A$3:$A$129,0)),"")</f>
        <v/>
      </c>
      <c r="G40" s="70"/>
      <c r="H40" s="498" t="str">
        <f>IF(F40="","",VLOOKUP(F40,'G-1 All Habitats'!$B$2:$M$129,10,FALSE))</f>
        <v/>
      </c>
      <c r="I40" s="499" t="str">
        <f>IFERROR(VLOOKUP(H40,'G-1 All Habitats'!$V$3:$W$7,2,FALSE),"")</f>
        <v/>
      </c>
      <c r="J40" s="71"/>
      <c r="K40" s="499" t="str">
        <f>IFERROR(INDEX('G-8 Condition Look up'!$A$3:$H$130,MATCH(F40,'G-8 Condition Look up'!$A$3:$A$130,0),MATCH(J40,'G-8 Condition Look up'!$A$3:$H$3,0)),"")</f>
        <v/>
      </c>
      <c r="L40" s="71"/>
      <c r="M40" s="507" t="str">
        <f>IF(L40="","",IF(VLOOKUP(L40,'G-3 Multipliers'!$L$3:$N$6,2,FALSE)=0,"Spatial Data Missing",VLOOKUP(L40,'G-3 Multipliers'!$L$3:$N$6,2,FALSE)))</f>
        <v/>
      </c>
      <c r="N40" s="505" t="str">
        <f>IF(L40="","",IF(VLOOKUP(L40,'G-3 Multipliers'!$L$3:$N$6,3,FALSE)=0,"Spatial Data Missing",VLOOKUP(L40,'G-3 Multipliers'!$L$3:$N$6,3,FALSE)))</f>
        <v/>
      </c>
      <c r="O40" s="498" t="str">
        <f t="shared" si="0"/>
        <v/>
      </c>
      <c r="P40" s="82"/>
      <c r="Q40" s="82"/>
      <c r="R40" s="507" t="str">
        <f t="shared" si="2"/>
        <v/>
      </c>
      <c r="S40" s="521" t="str">
        <f t="shared" si="3"/>
        <v/>
      </c>
      <c r="T40" s="522" t="str">
        <f>IFERROR(IF(S40="Check Data ⚠","Check Data ⚠",VLOOKUP(S40,'G-4 Temporal multipliers'!$A$4:$C$37,3,FALSE)),"")</f>
        <v/>
      </c>
      <c r="U40" s="523" t="str">
        <f>IF(F40="","",VLOOKUP(F40,'G-3 Multipliers'!$A$2:$E$129,2,FALSE))</f>
        <v/>
      </c>
      <c r="V40" s="520" t="str">
        <f t="shared" si="4"/>
        <v/>
      </c>
      <c r="W40" s="520" t="str">
        <f>IF(E40="","",IF(AND(V40="Standard difficulty applied",O40&gt;P40),U40,IF(AND(V40="Low Difficulty - only applicable if all habitat created before losses",P40&gt;=O40),"Low",VLOOKUP(F40,'G-3 Multipliers'!$A$2:$E$129,4,FALSE))))</f>
        <v/>
      </c>
      <c r="X40" s="524" t="str">
        <f>IFERROR(IF(E40="","",VLOOKUP(W40, 'G-3 Multipliers'!$P$2:$Q$6,2,FALSE)),"")</f>
        <v/>
      </c>
      <c r="Y40" s="529" t="str">
        <f t="shared" si="5"/>
        <v/>
      </c>
      <c r="Z40" s="239"/>
      <c r="AA40" s="240"/>
      <c r="AE40" s="54" t="str">
        <f t="shared" si="1"/>
        <v/>
      </c>
    </row>
    <row r="41" spans="1:31" x14ac:dyDescent="0.25">
      <c r="A41" s="47" t="str">
        <f>IFERROR(INDEX('G-8 Condition Look up'!$I$4:$I$130,MATCH(F41,'G-8 Condition Look up'!$A$4:$A$130,0)),"")</f>
        <v/>
      </c>
      <c r="C41" s="384" t="str">
        <f>IFERROR(INDEX('G-1 All Habitats'!$AG$3:$AG$15,MATCH(D41,'G-1 All Habitats'!$AF$3:$AF$15,0)),"")</f>
        <v/>
      </c>
      <c r="D41" s="146"/>
      <c r="E41" s="79"/>
      <c r="F41" s="246" t="str">
        <f>IFERROR(INDEX('G-1 All Habitats'!$B$3:$B$129,MATCH(E41,'G-1 All Habitats'!$A$3:$A$129,0)),"")</f>
        <v/>
      </c>
      <c r="G41" s="70"/>
      <c r="H41" s="498" t="str">
        <f>IF(F41="","",VLOOKUP(F41,'G-1 All Habitats'!$B$2:$M$129,10,FALSE))</f>
        <v/>
      </c>
      <c r="I41" s="499" t="str">
        <f>IFERROR(VLOOKUP(H41,'G-1 All Habitats'!$V$3:$W$7,2,FALSE),"")</f>
        <v/>
      </c>
      <c r="J41" s="71"/>
      <c r="K41" s="499" t="str">
        <f>IFERROR(INDEX('G-8 Condition Look up'!$A$3:$H$130,MATCH(F41,'G-8 Condition Look up'!$A$3:$A$130,0),MATCH(J41,'G-8 Condition Look up'!$A$3:$H$3,0)),"")</f>
        <v/>
      </c>
      <c r="L41" s="71"/>
      <c r="M41" s="507" t="str">
        <f>IF(L41="","",IF(VLOOKUP(L41,'G-3 Multipliers'!$L$3:$N$6,2,FALSE)=0,"Spatial Data Missing",VLOOKUP(L41,'G-3 Multipliers'!$L$3:$N$6,2,FALSE)))</f>
        <v/>
      </c>
      <c r="N41" s="505" t="str">
        <f>IF(L41="","",IF(VLOOKUP(L41,'G-3 Multipliers'!$L$3:$N$6,3,FALSE)=0,"Spatial Data Missing",VLOOKUP(L41,'G-3 Multipliers'!$L$3:$N$6,3,FALSE)))</f>
        <v/>
      </c>
      <c r="O41" s="498" t="str">
        <f t="shared" si="0"/>
        <v/>
      </c>
      <c r="P41" s="82"/>
      <c r="Q41" s="82"/>
      <c r="R41" s="507" t="str">
        <f t="shared" si="2"/>
        <v/>
      </c>
      <c r="S41" s="521" t="str">
        <f t="shared" si="3"/>
        <v/>
      </c>
      <c r="T41" s="522" t="str">
        <f>IFERROR(IF(S41="Check Data ⚠","Check Data ⚠",VLOOKUP(S41,'G-4 Temporal multipliers'!$A$4:$C$37,3,FALSE)),"")</f>
        <v/>
      </c>
      <c r="U41" s="523" t="str">
        <f>IF(F41="","",VLOOKUP(F41,'G-3 Multipliers'!$A$2:$E$129,2,FALSE))</f>
        <v/>
      </c>
      <c r="V41" s="520" t="str">
        <f t="shared" si="4"/>
        <v/>
      </c>
      <c r="W41" s="520" t="str">
        <f>IF(E41="","",IF(AND(V41="Standard difficulty applied",O41&gt;P41),U41,IF(AND(V41="Low Difficulty - only applicable if all habitat created before losses",P41&gt;=O41),"Low",VLOOKUP(F41,'G-3 Multipliers'!$A$2:$E$129,4,FALSE))))</f>
        <v/>
      </c>
      <c r="X41" s="524" t="str">
        <f>IFERROR(IF(E41="","",VLOOKUP(W41, 'G-3 Multipliers'!$P$2:$Q$6,2,FALSE)),"")</f>
        <v/>
      </c>
      <c r="Y41" s="529" t="str">
        <f t="shared" si="5"/>
        <v/>
      </c>
      <c r="Z41" s="239"/>
      <c r="AA41" s="240"/>
      <c r="AE41" s="54" t="str">
        <f t="shared" si="1"/>
        <v/>
      </c>
    </row>
    <row r="42" spans="1:31" x14ac:dyDescent="0.25">
      <c r="A42" s="47" t="str">
        <f>IFERROR(INDEX('G-8 Condition Look up'!$I$4:$I$130,MATCH(F42,'G-8 Condition Look up'!$A$4:$A$130,0)),"")</f>
        <v/>
      </c>
      <c r="C42" s="384" t="str">
        <f>IFERROR(INDEX('G-1 All Habitats'!$AG$3:$AG$15,MATCH(D42,'G-1 All Habitats'!$AF$3:$AF$15,0)),"")</f>
        <v/>
      </c>
      <c r="D42" s="146"/>
      <c r="E42" s="79"/>
      <c r="F42" s="246" t="str">
        <f>IFERROR(INDEX('G-1 All Habitats'!$B$3:$B$129,MATCH(E42,'G-1 All Habitats'!$A$3:$A$129,0)),"")</f>
        <v/>
      </c>
      <c r="G42" s="70"/>
      <c r="H42" s="498" t="str">
        <f>IF(F42="","",VLOOKUP(F42,'G-1 All Habitats'!$B$2:$M$129,10,FALSE))</f>
        <v/>
      </c>
      <c r="I42" s="499" t="str">
        <f>IFERROR(VLOOKUP(H42,'G-1 All Habitats'!$V$3:$W$7,2,FALSE),"")</f>
        <v/>
      </c>
      <c r="J42" s="71"/>
      <c r="K42" s="499" t="str">
        <f>IFERROR(INDEX('G-8 Condition Look up'!$A$3:$H$130,MATCH(F42,'G-8 Condition Look up'!$A$3:$A$130,0),MATCH(J42,'G-8 Condition Look up'!$A$3:$H$3,0)),"")</f>
        <v/>
      </c>
      <c r="L42" s="71"/>
      <c r="M42" s="507" t="str">
        <f>IF(L42="","",IF(VLOOKUP(L42,'G-3 Multipliers'!$L$3:$N$6,2,FALSE)=0,"Spatial Data Missing",VLOOKUP(L42,'G-3 Multipliers'!$L$3:$N$6,2,FALSE)))</f>
        <v/>
      </c>
      <c r="N42" s="505" t="str">
        <f>IF(L42="","",IF(VLOOKUP(L42,'G-3 Multipliers'!$L$3:$N$6,3,FALSE)=0,"Spatial Data Missing",VLOOKUP(L42,'G-3 Multipliers'!$L$3:$N$6,3,FALSE)))</f>
        <v/>
      </c>
      <c r="O42" s="498" t="str">
        <f t="shared" si="0"/>
        <v/>
      </c>
      <c r="P42" s="82"/>
      <c r="Q42" s="82"/>
      <c r="R42" s="507" t="str">
        <f t="shared" si="2"/>
        <v/>
      </c>
      <c r="S42" s="521" t="str">
        <f t="shared" si="3"/>
        <v/>
      </c>
      <c r="T42" s="522" t="str">
        <f>IFERROR(IF(S42="Check Data ⚠","Check Data ⚠",VLOOKUP(S42,'G-4 Temporal multipliers'!$A$4:$C$37,3,FALSE)),"")</f>
        <v/>
      </c>
      <c r="U42" s="523" t="str">
        <f>IF(F42="","",VLOOKUP(F42,'G-3 Multipliers'!$A$2:$E$129,2,FALSE))</f>
        <v/>
      </c>
      <c r="V42" s="520" t="str">
        <f t="shared" si="4"/>
        <v/>
      </c>
      <c r="W42" s="520" t="str">
        <f>IF(E42="","",IF(AND(V42="Standard difficulty applied",O42&gt;P42),U42,IF(AND(V42="Low Difficulty - only applicable if all habitat created before losses",P42&gt;=O42),"Low",VLOOKUP(F42,'G-3 Multipliers'!$A$2:$E$129,4,FALSE))))</f>
        <v/>
      </c>
      <c r="X42" s="524" t="str">
        <f>IFERROR(IF(E42="","",VLOOKUP(W42, 'G-3 Multipliers'!$P$2:$Q$6,2,FALSE)),"")</f>
        <v/>
      </c>
      <c r="Y42" s="529" t="str">
        <f t="shared" si="5"/>
        <v/>
      </c>
      <c r="Z42" s="239"/>
      <c r="AA42" s="240"/>
      <c r="AE42" s="54" t="str">
        <f t="shared" si="1"/>
        <v/>
      </c>
    </row>
    <row r="43" spans="1:31" x14ac:dyDescent="0.25">
      <c r="A43" s="47" t="str">
        <f>IFERROR(INDEX('G-8 Condition Look up'!$I$4:$I$130,MATCH(F43,'G-8 Condition Look up'!$A$4:$A$130,0)),"")</f>
        <v/>
      </c>
      <c r="C43" s="384" t="str">
        <f>IFERROR(INDEX('G-1 All Habitats'!$AG$3:$AG$15,MATCH(D43,'G-1 All Habitats'!$AF$3:$AF$15,0)),"")</f>
        <v/>
      </c>
      <c r="D43" s="146"/>
      <c r="E43" s="79"/>
      <c r="F43" s="246" t="str">
        <f>IFERROR(INDEX('G-1 All Habitats'!$B$3:$B$129,MATCH(E43,'G-1 All Habitats'!$A$3:$A$129,0)),"")</f>
        <v/>
      </c>
      <c r="G43" s="70"/>
      <c r="H43" s="498" t="str">
        <f>IF(F43="","",VLOOKUP(F43,'G-1 All Habitats'!$B$2:$M$129,10,FALSE))</f>
        <v/>
      </c>
      <c r="I43" s="499" t="str">
        <f>IFERROR(VLOOKUP(H43,'G-1 All Habitats'!$V$3:$W$7,2,FALSE),"")</f>
        <v/>
      </c>
      <c r="J43" s="71"/>
      <c r="K43" s="499" t="str">
        <f>IFERROR(INDEX('G-8 Condition Look up'!$A$3:$H$130,MATCH(F43,'G-8 Condition Look up'!$A$3:$A$130,0),MATCH(J43,'G-8 Condition Look up'!$A$3:$H$3,0)),"")</f>
        <v/>
      </c>
      <c r="L43" s="71"/>
      <c r="M43" s="507" t="str">
        <f>IF(L43="","",IF(VLOOKUP(L43,'G-3 Multipliers'!$L$3:$N$6,2,FALSE)=0,"Spatial Data Missing",VLOOKUP(L43,'G-3 Multipliers'!$L$3:$N$6,2,FALSE)))</f>
        <v/>
      </c>
      <c r="N43" s="505" t="str">
        <f>IF(L43="","",IF(VLOOKUP(L43,'G-3 Multipliers'!$L$3:$N$6,3,FALSE)=0,"Spatial Data Missing",VLOOKUP(L43,'G-3 Multipliers'!$L$3:$N$6,3,FALSE)))</f>
        <v/>
      </c>
      <c r="O43" s="498" t="str">
        <f t="shared" si="0"/>
        <v/>
      </c>
      <c r="P43" s="82"/>
      <c r="Q43" s="82"/>
      <c r="R43" s="507" t="str">
        <f t="shared" si="2"/>
        <v/>
      </c>
      <c r="S43" s="521" t="str">
        <f t="shared" si="3"/>
        <v/>
      </c>
      <c r="T43" s="522" t="str">
        <f>IFERROR(IF(S43="Check Data ⚠","Check Data ⚠",VLOOKUP(S43,'G-4 Temporal multipliers'!$A$4:$C$37,3,FALSE)),"")</f>
        <v/>
      </c>
      <c r="U43" s="523" t="str">
        <f>IF(F43="","",VLOOKUP(F43,'G-3 Multipliers'!$A$2:$E$129,2,FALSE))</f>
        <v/>
      </c>
      <c r="V43" s="520" t="str">
        <f t="shared" si="4"/>
        <v/>
      </c>
      <c r="W43" s="520" t="str">
        <f>IF(E43="","",IF(AND(V43="Standard difficulty applied",O43&gt;P43),U43,IF(AND(V43="Low Difficulty - only applicable if all habitat created before losses",P43&gt;=O43),"Low",VLOOKUP(F43,'G-3 Multipliers'!$A$2:$E$129,4,FALSE))))</f>
        <v/>
      </c>
      <c r="X43" s="524" t="str">
        <f>IFERROR(IF(E43="","",VLOOKUP(W43, 'G-3 Multipliers'!$P$2:$Q$6,2,FALSE)),"")</f>
        <v/>
      </c>
      <c r="Y43" s="529" t="str">
        <f t="shared" si="5"/>
        <v/>
      </c>
      <c r="Z43" s="239"/>
      <c r="AA43" s="240"/>
      <c r="AE43" s="54" t="str">
        <f t="shared" si="1"/>
        <v/>
      </c>
    </row>
    <row r="44" spans="1:31" x14ac:dyDescent="0.25">
      <c r="A44" s="47" t="str">
        <f>IFERROR(INDEX('G-8 Condition Look up'!$I$4:$I$130,MATCH(F44,'G-8 Condition Look up'!$A$4:$A$130,0)),"")</f>
        <v/>
      </c>
      <c r="C44" s="384" t="str">
        <f>IFERROR(INDEX('G-1 All Habitats'!$AG$3:$AG$15,MATCH(D44,'G-1 All Habitats'!$AF$3:$AF$15,0)),"")</f>
        <v/>
      </c>
      <c r="D44" s="146"/>
      <c r="E44" s="79"/>
      <c r="F44" s="246" t="str">
        <f>IFERROR(INDEX('G-1 All Habitats'!$B$3:$B$129,MATCH(E44,'G-1 All Habitats'!$A$3:$A$129,0)),"")</f>
        <v/>
      </c>
      <c r="G44" s="70"/>
      <c r="H44" s="498" t="str">
        <f>IF(F44="","",VLOOKUP(F44,'G-1 All Habitats'!$B$2:$M$129,10,FALSE))</f>
        <v/>
      </c>
      <c r="I44" s="499" t="str">
        <f>IFERROR(VLOOKUP(H44,'G-1 All Habitats'!$V$3:$W$7,2,FALSE),"")</f>
        <v/>
      </c>
      <c r="J44" s="71"/>
      <c r="K44" s="499" t="str">
        <f>IFERROR(INDEX('G-8 Condition Look up'!$A$3:$H$130,MATCH(F44,'G-8 Condition Look up'!$A$3:$A$130,0),MATCH(J44,'G-8 Condition Look up'!$A$3:$H$3,0)),"")</f>
        <v/>
      </c>
      <c r="L44" s="71"/>
      <c r="M44" s="507" t="str">
        <f>IF(L44="","",IF(VLOOKUP(L44,'G-3 Multipliers'!$L$3:$N$6,2,FALSE)=0,"Spatial Data Missing",VLOOKUP(L44,'G-3 Multipliers'!$L$3:$N$6,2,FALSE)))</f>
        <v/>
      </c>
      <c r="N44" s="505" t="str">
        <f>IF(L44="","",IF(VLOOKUP(L44,'G-3 Multipliers'!$L$3:$N$6,3,FALSE)=0,"Spatial Data Missing",VLOOKUP(L44,'G-3 Multipliers'!$L$3:$N$6,3,FALSE)))</f>
        <v/>
      </c>
      <c r="O44" s="498" t="str">
        <f t="shared" si="0"/>
        <v/>
      </c>
      <c r="P44" s="82"/>
      <c r="Q44" s="82"/>
      <c r="R44" s="507" t="str">
        <f t="shared" si="2"/>
        <v/>
      </c>
      <c r="S44" s="521" t="str">
        <f t="shared" si="3"/>
        <v/>
      </c>
      <c r="T44" s="522" t="str">
        <f>IFERROR(IF(S44="Check Data ⚠","Check Data ⚠",VLOOKUP(S44,'G-4 Temporal multipliers'!$A$4:$C$37,3,FALSE)),"")</f>
        <v/>
      </c>
      <c r="U44" s="523" t="str">
        <f>IF(F44="","",VLOOKUP(F44,'G-3 Multipliers'!$A$2:$E$129,2,FALSE))</f>
        <v/>
      </c>
      <c r="V44" s="520" t="str">
        <f t="shared" si="4"/>
        <v/>
      </c>
      <c r="W44" s="520" t="str">
        <f>IF(E44="","",IF(AND(V44="Standard difficulty applied",O44&gt;P44),U44,IF(AND(V44="Low Difficulty - only applicable if all habitat created before losses",P44&gt;=O44),"Low",VLOOKUP(F44,'G-3 Multipliers'!$A$2:$E$129,4,FALSE))))</f>
        <v/>
      </c>
      <c r="X44" s="524" t="str">
        <f>IFERROR(IF(E44="","",VLOOKUP(W44, 'G-3 Multipliers'!$P$2:$Q$6,2,FALSE)),"")</f>
        <v/>
      </c>
      <c r="Y44" s="529" t="str">
        <f t="shared" si="5"/>
        <v/>
      </c>
      <c r="Z44" s="239"/>
      <c r="AA44" s="240"/>
      <c r="AE44" s="54" t="str">
        <f t="shared" si="1"/>
        <v/>
      </c>
    </row>
    <row r="45" spans="1:31" x14ac:dyDescent="0.25">
      <c r="A45" s="47" t="str">
        <f>IFERROR(INDEX('G-8 Condition Look up'!$I$4:$I$130,MATCH(F45,'G-8 Condition Look up'!$A$4:$A$130,0)),"")</f>
        <v/>
      </c>
      <c r="C45" s="384" t="str">
        <f>IFERROR(INDEX('G-1 All Habitats'!$AG$3:$AG$15,MATCH(D45,'G-1 All Habitats'!$AF$3:$AF$15,0)),"")</f>
        <v/>
      </c>
      <c r="D45" s="146"/>
      <c r="E45" s="79"/>
      <c r="F45" s="246" t="str">
        <f>IFERROR(INDEX('G-1 All Habitats'!$B$3:$B$129,MATCH(E45,'G-1 All Habitats'!$A$3:$A$129,0)),"")</f>
        <v/>
      </c>
      <c r="G45" s="70"/>
      <c r="H45" s="498" t="str">
        <f>IF(F45="","",VLOOKUP(F45,'G-1 All Habitats'!$B$2:$M$129,10,FALSE))</f>
        <v/>
      </c>
      <c r="I45" s="499" t="str">
        <f>IFERROR(VLOOKUP(H45,'G-1 All Habitats'!$V$3:$W$7,2,FALSE),"")</f>
        <v/>
      </c>
      <c r="J45" s="71"/>
      <c r="K45" s="499" t="str">
        <f>IFERROR(INDEX('G-8 Condition Look up'!$A$3:$H$130,MATCH(F45,'G-8 Condition Look up'!$A$3:$A$130,0),MATCH(J45,'G-8 Condition Look up'!$A$3:$H$3,0)),"")</f>
        <v/>
      </c>
      <c r="L45" s="71"/>
      <c r="M45" s="507" t="str">
        <f>IF(L45="","",IF(VLOOKUP(L45,'G-3 Multipliers'!$L$3:$N$6,2,FALSE)=0,"Spatial Data Missing",VLOOKUP(L45,'G-3 Multipliers'!$L$3:$N$6,2,FALSE)))</f>
        <v/>
      </c>
      <c r="N45" s="505" t="str">
        <f>IF(L45="","",IF(VLOOKUP(L45,'G-3 Multipliers'!$L$3:$N$6,3,FALSE)=0,"Spatial Data Missing",VLOOKUP(L45,'G-3 Multipliers'!$L$3:$N$6,3,FALSE)))</f>
        <v/>
      </c>
      <c r="O45" s="498" t="str">
        <f t="shared" si="0"/>
        <v/>
      </c>
      <c r="P45" s="82"/>
      <c r="Q45" s="82"/>
      <c r="R45" s="507" t="str">
        <f t="shared" si="2"/>
        <v/>
      </c>
      <c r="S45" s="521" t="str">
        <f t="shared" si="3"/>
        <v/>
      </c>
      <c r="T45" s="522" t="str">
        <f>IFERROR(IF(S45="Check Data ⚠","Check Data ⚠",VLOOKUP(S45,'G-4 Temporal multipliers'!$A$4:$C$37,3,FALSE)),"")</f>
        <v/>
      </c>
      <c r="U45" s="523" t="str">
        <f>IF(F45="","",VLOOKUP(F45,'G-3 Multipliers'!$A$2:$E$129,2,FALSE))</f>
        <v/>
      </c>
      <c r="V45" s="520" t="str">
        <f t="shared" si="4"/>
        <v/>
      </c>
      <c r="W45" s="520" t="str">
        <f>IF(E45="","",IF(AND(V45="Standard difficulty applied",O45&gt;P45),U45,IF(AND(V45="Low Difficulty - only applicable if all habitat created before losses",P45&gt;=O45),"Low",VLOOKUP(F45,'G-3 Multipliers'!$A$2:$E$129,4,FALSE))))</f>
        <v/>
      </c>
      <c r="X45" s="524" t="str">
        <f>IFERROR(IF(E45="","",VLOOKUP(W45, 'G-3 Multipliers'!$P$2:$Q$6,2,FALSE)),"")</f>
        <v/>
      </c>
      <c r="Y45" s="529" t="str">
        <f t="shared" si="5"/>
        <v/>
      </c>
      <c r="Z45" s="239"/>
      <c r="AA45" s="240"/>
      <c r="AE45" s="54" t="str">
        <f t="shared" si="1"/>
        <v/>
      </c>
    </row>
    <row r="46" spans="1:31" x14ac:dyDescent="0.25">
      <c r="A46" s="47" t="str">
        <f>IFERROR(INDEX('G-8 Condition Look up'!$I$4:$I$130,MATCH(F46,'G-8 Condition Look up'!$A$4:$A$130,0)),"")</f>
        <v/>
      </c>
      <c r="C46" s="384" t="str">
        <f>IFERROR(INDEX('G-1 All Habitats'!$AG$3:$AG$15,MATCH(D46,'G-1 All Habitats'!$AF$3:$AF$15,0)),"")</f>
        <v/>
      </c>
      <c r="D46" s="146"/>
      <c r="E46" s="79"/>
      <c r="F46" s="246" t="str">
        <f>IFERROR(INDEX('G-1 All Habitats'!$B$3:$B$129,MATCH(E46,'G-1 All Habitats'!$A$3:$A$129,0)),"")</f>
        <v/>
      </c>
      <c r="G46" s="70"/>
      <c r="H46" s="498" t="str">
        <f>IF(F46="","",VLOOKUP(F46,'G-1 All Habitats'!$B$2:$M$129,10,FALSE))</f>
        <v/>
      </c>
      <c r="I46" s="499" t="str">
        <f>IFERROR(VLOOKUP(H46,'G-1 All Habitats'!$V$3:$W$7,2,FALSE),"")</f>
        <v/>
      </c>
      <c r="J46" s="71"/>
      <c r="K46" s="499" t="str">
        <f>IFERROR(INDEX('G-8 Condition Look up'!$A$3:$H$130,MATCH(F46,'G-8 Condition Look up'!$A$3:$A$130,0),MATCH(J46,'G-8 Condition Look up'!$A$3:$H$3,0)),"")</f>
        <v/>
      </c>
      <c r="L46" s="71"/>
      <c r="M46" s="507" t="str">
        <f>IF(L46="","",IF(VLOOKUP(L46,'G-3 Multipliers'!$L$3:$N$6,2,FALSE)=0,"Spatial Data Missing",VLOOKUP(L46,'G-3 Multipliers'!$L$3:$N$6,2,FALSE)))</f>
        <v/>
      </c>
      <c r="N46" s="505" t="str">
        <f>IF(L46="","",IF(VLOOKUP(L46,'G-3 Multipliers'!$L$3:$N$6,3,FALSE)=0,"Spatial Data Missing",VLOOKUP(L46,'G-3 Multipliers'!$L$3:$N$6,3,FALSE)))</f>
        <v/>
      </c>
      <c r="O46" s="498" t="str">
        <f t="shared" si="0"/>
        <v/>
      </c>
      <c r="P46" s="82"/>
      <c r="Q46" s="82"/>
      <c r="R46" s="507" t="str">
        <f t="shared" si="2"/>
        <v/>
      </c>
      <c r="S46" s="521" t="str">
        <f t="shared" si="3"/>
        <v/>
      </c>
      <c r="T46" s="522" t="str">
        <f>IFERROR(IF(S46="Check Data ⚠","Check Data ⚠",VLOOKUP(S46,'G-4 Temporal multipliers'!$A$4:$C$37,3,FALSE)),"")</f>
        <v/>
      </c>
      <c r="U46" s="523" t="str">
        <f>IF(F46="","",VLOOKUP(F46,'G-3 Multipliers'!$A$2:$E$129,2,FALSE))</f>
        <v/>
      </c>
      <c r="V46" s="520" t="str">
        <f t="shared" si="4"/>
        <v/>
      </c>
      <c r="W46" s="520" t="str">
        <f>IF(E46="","",IF(AND(V46="Standard difficulty applied",O46&gt;P46),U46,IF(AND(V46="Low Difficulty - only applicable if all habitat created before losses",P46&gt;=O46),"Low",VLOOKUP(F46,'G-3 Multipliers'!$A$2:$E$129,4,FALSE))))</f>
        <v/>
      </c>
      <c r="X46" s="524" t="str">
        <f>IFERROR(IF(E46="","",VLOOKUP(W46, 'G-3 Multipliers'!$P$2:$Q$6,2,FALSE)),"")</f>
        <v/>
      </c>
      <c r="Y46" s="529" t="str">
        <f t="shared" si="5"/>
        <v/>
      </c>
      <c r="Z46" s="239"/>
      <c r="AA46" s="240"/>
      <c r="AE46" s="54" t="str">
        <f t="shared" si="1"/>
        <v/>
      </c>
    </row>
    <row r="47" spans="1:31" x14ac:dyDescent="0.25">
      <c r="A47" s="47" t="str">
        <f>IFERROR(INDEX('G-8 Condition Look up'!$I$4:$I$130,MATCH(F47,'G-8 Condition Look up'!$A$4:$A$130,0)),"")</f>
        <v/>
      </c>
      <c r="C47" s="384" t="str">
        <f>IFERROR(INDEX('G-1 All Habitats'!$AG$3:$AG$15,MATCH(D47,'G-1 All Habitats'!$AF$3:$AF$15,0)),"")</f>
        <v/>
      </c>
      <c r="D47" s="146"/>
      <c r="E47" s="79"/>
      <c r="F47" s="246" t="str">
        <f>IFERROR(INDEX('G-1 All Habitats'!$B$3:$B$129,MATCH(E47,'G-1 All Habitats'!$A$3:$A$129,0)),"")</f>
        <v/>
      </c>
      <c r="G47" s="70"/>
      <c r="H47" s="498" t="str">
        <f>IF(F47="","",VLOOKUP(F47,'G-1 All Habitats'!$B$2:$M$129,10,FALSE))</f>
        <v/>
      </c>
      <c r="I47" s="499" t="str">
        <f>IFERROR(VLOOKUP(H47,'G-1 All Habitats'!$V$3:$W$7,2,FALSE),"")</f>
        <v/>
      </c>
      <c r="J47" s="71"/>
      <c r="K47" s="499" t="str">
        <f>IFERROR(INDEX('G-8 Condition Look up'!$A$3:$H$130,MATCH(F47,'G-8 Condition Look up'!$A$3:$A$130,0),MATCH(J47,'G-8 Condition Look up'!$A$3:$H$3,0)),"")</f>
        <v/>
      </c>
      <c r="L47" s="71"/>
      <c r="M47" s="507" t="str">
        <f>IF(L47="","",IF(VLOOKUP(L47,'G-3 Multipliers'!$L$3:$N$6,2,FALSE)=0,"Spatial Data Missing",VLOOKUP(L47,'G-3 Multipliers'!$L$3:$N$6,2,FALSE)))</f>
        <v/>
      </c>
      <c r="N47" s="505" t="str">
        <f>IF(L47="","",IF(VLOOKUP(L47,'G-3 Multipliers'!$L$3:$N$6,3,FALSE)=0,"Spatial Data Missing",VLOOKUP(L47,'G-3 Multipliers'!$L$3:$N$6,3,FALSE)))</f>
        <v/>
      </c>
      <c r="O47" s="498" t="str">
        <f t="shared" si="0"/>
        <v/>
      </c>
      <c r="P47" s="82"/>
      <c r="Q47" s="82"/>
      <c r="R47" s="507" t="str">
        <f t="shared" si="2"/>
        <v/>
      </c>
      <c r="S47" s="521" t="str">
        <f t="shared" si="3"/>
        <v/>
      </c>
      <c r="T47" s="522" t="str">
        <f>IFERROR(IF(S47="Check Data ⚠","Check Data ⚠",VLOOKUP(S47,'G-4 Temporal multipliers'!$A$4:$C$37,3,FALSE)),"")</f>
        <v/>
      </c>
      <c r="U47" s="523" t="str">
        <f>IF(F47="","",VLOOKUP(F47,'G-3 Multipliers'!$A$2:$E$129,2,FALSE))</f>
        <v/>
      </c>
      <c r="V47" s="520" t="str">
        <f t="shared" si="4"/>
        <v/>
      </c>
      <c r="W47" s="520" t="str">
        <f>IF(E47="","",IF(AND(V47="Standard difficulty applied",O47&gt;P47),U47,IF(AND(V47="Low Difficulty - only applicable if all habitat created before losses",P47&gt;=O47),"Low",VLOOKUP(F47,'G-3 Multipliers'!$A$2:$E$129,4,FALSE))))</f>
        <v/>
      </c>
      <c r="X47" s="524" t="str">
        <f>IFERROR(IF(E47="","",VLOOKUP(W47, 'G-3 Multipliers'!$P$2:$Q$6,2,FALSE)),"")</f>
        <v/>
      </c>
      <c r="Y47" s="529" t="str">
        <f t="shared" si="5"/>
        <v/>
      </c>
      <c r="Z47" s="239"/>
      <c r="AA47" s="240"/>
      <c r="AE47" s="54" t="str">
        <f t="shared" si="1"/>
        <v/>
      </c>
    </row>
    <row r="48" spans="1:31" x14ac:dyDescent="0.25">
      <c r="A48" s="47" t="str">
        <f>IFERROR(INDEX('G-8 Condition Look up'!$I$4:$I$130,MATCH(F48,'G-8 Condition Look up'!$A$4:$A$130,0)),"")</f>
        <v/>
      </c>
      <c r="C48" s="384" t="str">
        <f>IFERROR(INDEX('G-1 All Habitats'!$AG$3:$AG$15,MATCH(D48,'G-1 All Habitats'!$AF$3:$AF$15,0)),"")</f>
        <v/>
      </c>
      <c r="D48" s="146"/>
      <c r="E48" s="79"/>
      <c r="F48" s="246" t="str">
        <f>IFERROR(INDEX('G-1 All Habitats'!$B$3:$B$129,MATCH(E48,'G-1 All Habitats'!$A$3:$A$129,0)),"")</f>
        <v/>
      </c>
      <c r="G48" s="70"/>
      <c r="H48" s="498" t="str">
        <f>IF(F48="","",VLOOKUP(F48,'G-1 All Habitats'!$B$2:$M$129,10,FALSE))</f>
        <v/>
      </c>
      <c r="I48" s="499" t="str">
        <f>IFERROR(VLOOKUP(H48,'G-1 All Habitats'!$V$3:$W$7,2,FALSE),"")</f>
        <v/>
      </c>
      <c r="J48" s="71"/>
      <c r="K48" s="499" t="str">
        <f>IFERROR(INDEX('G-8 Condition Look up'!$A$3:$H$130,MATCH(F48,'G-8 Condition Look up'!$A$3:$A$130,0),MATCH(J48,'G-8 Condition Look up'!$A$3:$H$3,0)),"")</f>
        <v/>
      </c>
      <c r="L48" s="71"/>
      <c r="M48" s="507" t="str">
        <f>IF(L48="","",IF(VLOOKUP(L48,'G-3 Multipliers'!$L$3:$N$6,2,FALSE)=0,"Spatial Data Missing",VLOOKUP(L48,'G-3 Multipliers'!$L$3:$N$6,2,FALSE)))</f>
        <v/>
      </c>
      <c r="N48" s="505" t="str">
        <f>IF(L48="","",IF(VLOOKUP(L48,'G-3 Multipliers'!$L$3:$N$6,3,FALSE)=0,"Spatial Data Missing",VLOOKUP(L48,'G-3 Multipliers'!$L$3:$N$6,3,FALSE)))</f>
        <v/>
      </c>
      <c r="O48" s="498" t="str">
        <f t="shared" si="0"/>
        <v/>
      </c>
      <c r="P48" s="82"/>
      <c r="Q48" s="82"/>
      <c r="R48" s="507" t="str">
        <f t="shared" si="2"/>
        <v/>
      </c>
      <c r="S48" s="521" t="str">
        <f t="shared" si="3"/>
        <v/>
      </c>
      <c r="T48" s="522" t="str">
        <f>IFERROR(IF(S48="Check Data ⚠","Check Data ⚠",VLOOKUP(S48,'G-4 Temporal multipliers'!$A$4:$C$37,3,FALSE)),"")</f>
        <v/>
      </c>
      <c r="U48" s="523" t="str">
        <f>IF(F48="","",VLOOKUP(F48,'G-3 Multipliers'!$A$2:$E$129,2,FALSE))</f>
        <v/>
      </c>
      <c r="V48" s="520" t="str">
        <f t="shared" si="4"/>
        <v/>
      </c>
      <c r="W48" s="520" t="str">
        <f>IF(E48="","",IF(AND(V48="Standard difficulty applied",O48&gt;P48),U48,IF(AND(V48="Low Difficulty - only applicable if all habitat created before losses",P48&gt;=O48),"Low",VLOOKUP(F48,'G-3 Multipliers'!$A$2:$E$129,4,FALSE))))</f>
        <v/>
      </c>
      <c r="X48" s="524" t="str">
        <f>IFERROR(IF(E48="","",VLOOKUP(W48, 'G-3 Multipliers'!$P$2:$Q$6,2,FALSE)),"")</f>
        <v/>
      </c>
      <c r="Y48" s="529" t="str">
        <f t="shared" si="5"/>
        <v/>
      </c>
      <c r="Z48" s="239"/>
      <c r="AA48" s="240"/>
      <c r="AE48" s="54" t="str">
        <f t="shared" si="1"/>
        <v/>
      </c>
    </row>
    <row r="49" spans="1:31" x14ac:dyDescent="0.25">
      <c r="A49" s="47" t="str">
        <f>IFERROR(INDEX('G-8 Condition Look up'!$I$4:$I$130,MATCH(F49,'G-8 Condition Look up'!$A$4:$A$130,0)),"")</f>
        <v/>
      </c>
      <c r="C49" s="384" t="str">
        <f>IFERROR(INDEX('G-1 All Habitats'!$AG$3:$AG$15,MATCH(D49,'G-1 All Habitats'!$AF$3:$AF$15,0)),"")</f>
        <v/>
      </c>
      <c r="D49" s="146"/>
      <c r="E49" s="79"/>
      <c r="F49" s="246" t="str">
        <f>IFERROR(INDEX('G-1 All Habitats'!$B$3:$B$129,MATCH(E49,'G-1 All Habitats'!$A$3:$A$129,0)),"")</f>
        <v/>
      </c>
      <c r="G49" s="70"/>
      <c r="H49" s="498" t="str">
        <f>IF(F49="","",VLOOKUP(F49,'G-1 All Habitats'!$B$2:$M$129,10,FALSE))</f>
        <v/>
      </c>
      <c r="I49" s="499" t="str">
        <f>IFERROR(VLOOKUP(H49,'G-1 All Habitats'!$V$3:$W$7,2,FALSE),"")</f>
        <v/>
      </c>
      <c r="J49" s="71"/>
      <c r="K49" s="499" t="str">
        <f>IFERROR(INDEX('G-8 Condition Look up'!$A$3:$H$130,MATCH(F49,'G-8 Condition Look up'!$A$3:$A$130,0),MATCH(J49,'G-8 Condition Look up'!$A$3:$H$3,0)),"")</f>
        <v/>
      </c>
      <c r="L49" s="71"/>
      <c r="M49" s="507" t="str">
        <f>IF(L49="","",IF(VLOOKUP(L49,'G-3 Multipliers'!$L$3:$N$6,2,FALSE)=0,"Spatial Data Missing",VLOOKUP(L49,'G-3 Multipliers'!$L$3:$N$6,2,FALSE)))</f>
        <v/>
      </c>
      <c r="N49" s="505" t="str">
        <f>IF(L49="","",IF(VLOOKUP(L49,'G-3 Multipliers'!$L$3:$N$6,3,FALSE)=0,"Spatial Data Missing",VLOOKUP(L49,'G-3 Multipliers'!$L$3:$N$6,3,FALSE)))</f>
        <v/>
      </c>
      <c r="O49" s="498" t="str">
        <f t="shared" si="0"/>
        <v/>
      </c>
      <c r="P49" s="82"/>
      <c r="Q49" s="82"/>
      <c r="R49" s="507" t="str">
        <f t="shared" si="2"/>
        <v/>
      </c>
      <c r="S49" s="521" t="str">
        <f t="shared" si="3"/>
        <v/>
      </c>
      <c r="T49" s="522" t="str">
        <f>IFERROR(IF(S49="Check Data ⚠","Check Data ⚠",VLOOKUP(S49,'G-4 Temporal multipliers'!$A$4:$C$37,3,FALSE)),"")</f>
        <v/>
      </c>
      <c r="U49" s="523" t="str">
        <f>IF(F49="","",VLOOKUP(F49,'G-3 Multipliers'!$A$2:$E$129,2,FALSE))</f>
        <v/>
      </c>
      <c r="V49" s="520" t="str">
        <f t="shared" si="4"/>
        <v/>
      </c>
      <c r="W49" s="520" t="str">
        <f>IF(E49="","",IF(AND(V49="Standard difficulty applied",O49&gt;P49),U49,IF(AND(V49="Low Difficulty - only applicable if all habitat created before losses",P49&gt;=O49),"Low",VLOOKUP(F49,'G-3 Multipliers'!$A$2:$E$129,4,FALSE))))</f>
        <v/>
      </c>
      <c r="X49" s="524" t="str">
        <f>IFERROR(IF(E49="","",VLOOKUP(W49, 'G-3 Multipliers'!$P$2:$Q$6,2,FALSE)),"")</f>
        <v/>
      </c>
      <c r="Y49" s="529" t="str">
        <f t="shared" si="5"/>
        <v/>
      </c>
      <c r="Z49" s="239"/>
      <c r="AA49" s="240"/>
      <c r="AE49" s="54" t="str">
        <f t="shared" si="1"/>
        <v/>
      </c>
    </row>
    <row r="50" spans="1:31" x14ac:dyDescent="0.25">
      <c r="A50" s="47" t="str">
        <f>IFERROR(INDEX('G-8 Condition Look up'!$I$4:$I$130,MATCH(F50,'G-8 Condition Look up'!$A$4:$A$130,0)),"")</f>
        <v/>
      </c>
      <c r="C50" s="384" t="str">
        <f>IFERROR(INDEX('G-1 All Habitats'!$AG$3:$AG$15,MATCH(D50,'G-1 All Habitats'!$AF$3:$AF$15,0)),"")</f>
        <v/>
      </c>
      <c r="D50" s="146"/>
      <c r="E50" s="79"/>
      <c r="F50" s="246" t="str">
        <f>IFERROR(INDEX('G-1 All Habitats'!$B$3:$B$129,MATCH(E50,'G-1 All Habitats'!$A$3:$A$129,0)),"")</f>
        <v/>
      </c>
      <c r="G50" s="70"/>
      <c r="H50" s="498" t="str">
        <f>IF(F50="","",VLOOKUP(F50,'G-1 All Habitats'!$B$2:$M$129,10,FALSE))</f>
        <v/>
      </c>
      <c r="I50" s="499" t="str">
        <f>IFERROR(VLOOKUP(H50,'G-1 All Habitats'!$V$3:$W$7,2,FALSE),"")</f>
        <v/>
      </c>
      <c r="J50" s="71"/>
      <c r="K50" s="499" t="str">
        <f>IFERROR(INDEX('G-8 Condition Look up'!$A$3:$H$130,MATCH(F50,'G-8 Condition Look up'!$A$3:$A$130,0),MATCH(J50,'G-8 Condition Look up'!$A$3:$H$3,0)),"")</f>
        <v/>
      </c>
      <c r="L50" s="71"/>
      <c r="M50" s="507" t="str">
        <f>IF(L50="","",IF(VLOOKUP(L50,'G-3 Multipliers'!$L$3:$N$6,2,FALSE)=0,"Spatial Data Missing",VLOOKUP(L50,'G-3 Multipliers'!$L$3:$N$6,2,FALSE)))</f>
        <v/>
      </c>
      <c r="N50" s="505" t="str">
        <f>IF(L50="","",IF(VLOOKUP(L50,'G-3 Multipliers'!$L$3:$N$6,3,FALSE)=0,"Spatial Data Missing",VLOOKUP(L50,'G-3 Multipliers'!$L$3:$N$6,3,FALSE)))</f>
        <v/>
      </c>
      <c r="O50" s="498" t="str">
        <f t="shared" si="0"/>
        <v/>
      </c>
      <c r="P50" s="82"/>
      <c r="Q50" s="82"/>
      <c r="R50" s="507" t="str">
        <f t="shared" si="2"/>
        <v/>
      </c>
      <c r="S50" s="521" t="str">
        <f t="shared" si="3"/>
        <v/>
      </c>
      <c r="T50" s="522" t="str">
        <f>IFERROR(IF(S50="Check Data ⚠","Check Data ⚠",VLOOKUP(S50,'G-4 Temporal multipliers'!$A$4:$C$37,3,FALSE)),"")</f>
        <v/>
      </c>
      <c r="U50" s="523" t="str">
        <f>IF(F50="","",VLOOKUP(F50,'G-3 Multipliers'!$A$2:$E$129,2,FALSE))</f>
        <v/>
      </c>
      <c r="V50" s="520" t="str">
        <f t="shared" si="4"/>
        <v/>
      </c>
      <c r="W50" s="520" t="str">
        <f>IF(E50="","",IF(AND(V50="Standard difficulty applied",O50&gt;P50),U50,IF(AND(V50="Low Difficulty - only applicable if all habitat created before losses",P50&gt;=O50),"Low",VLOOKUP(F50,'G-3 Multipliers'!$A$2:$E$129,4,FALSE))))</f>
        <v/>
      </c>
      <c r="X50" s="524" t="str">
        <f>IFERROR(IF(E50="","",VLOOKUP(W50, 'G-3 Multipliers'!$P$2:$Q$6,2,FALSE)),"")</f>
        <v/>
      </c>
      <c r="Y50" s="529" t="str">
        <f t="shared" si="5"/>
        <v/>
      </c>
      <c r="Z50" s="239"/>
      <c r="AA50" s="240"/>
      <c r="AE50" s="54" t="str">
        <f t="shared" si="1"/>
        <v/>
      </c>
    </row>
    <row r="51" spans="1:31" x14ac:dyDescent="0.25">
      <c r="A51" s="47" t="str">
        <f>IFERROR(INDEX('G-8 Condition Look up'!$I$4:$I$130,MATCH(F51,'G-8 Condition Look up'!$A$4:$A$130,0)),"")</f>
        <v/>
      </c>
      <c r="C51" s="384" t="str">
        <f>IFERROR(INDEX('G-1 All Habitats'!$AG$3:$AG$15,MATCH(D51,'G-1 All Habitats'!$AF$3:$AF$15,0)),"")</f>
        <v/>
      </c>
      <c r="D51" s="146"/>
      <c r="E51" s="79"/>
      <c r="F51" s="246" t="str">
        <f>IFERROR(INDEX('G-1 All Habitats'!$B$3:$B$129,MATCH(E51,'G-1 All Habitats'!$A$3:$A$129,0)),"")</f>
        <v/>
      </c>
      <c r="G51" s="70"/>
      <c r="H51" s="498" t="str">
        <f>IF(F51="","",VLOOKUP(F51,'G-1 All Habitats'!$B$2:$M$129,10,FALSE))</f>
        <v/>
      </c>
      <c r="I51" s="499" t="str">
        <f>IFERROR(VLOOKUP(H51,'G-1 All Habitats'!$V$3:$W$7,2,FALSE),"")</f>
        <v/>
      </c>
      <c r="J51" s="71"/>
      <c r="K51" s="499" t="str">
        <f>IFERROR(INDEX('G-8 Condition Look up'!$A$3:$H$130,MATCH(F51,'G-8 Condition Look up'!$A$3:$A$130,0),MATCH(J51,'G-8 Condition Look up'!$A$3:$H$3,0)),"")</f>
        <v/>
      </c>
      <c r="L51" s="71"/>
      <c r="M51" s="507" t="str">
        <f>IF(L51="","",IF(VLOOKUP(L51,'G-3 Multipliers'!$L$3:$N$6,2,FALSE)=0,"Spatial Data Missing",VLOOKUP(L51,'G-3 Multipliers'!$L$3:$N$6,2,FALSE)))</f>
        <v/>
      </c>
      <c r="N51" s="505" t="str">
        <f>IF(L51="","",IF(VLOOKUP(L51,'G-3 Multipliers'!$L$3:$N$6,3,FALSE)=0,"Spatial Data Missing",VLOOKUP(L51,'G-3 Multipliers'!$L$3:$N$6,3,FALSE)))</f>
        <v/>
      </c>
      <c r="O51" s="498" t="str">
        <f t="shared" si="0"/>
        <v/>
      </c>
      <c r="P51" s="82"/>
      <c r="Q51" s="82"/>
      <c r="R51" s="507" t="str">
        <f t="shared" si="2"/>
        <v/>
      </c>
      <c r="S51" s="521" t="str">
        <f t="shared" si="3"/>
        <v/>
      </c>
      <c r="T51" s="522" t="str">
        <f>IFERROR(IF(S51="Check Data ⚠","Check Data ⚠",VLOOKUP(S51,'G-4 Temporal multipliers'!$A$4:$C$37,3,FALSE)),"")</f>
        <v/>
      </c>
      <c r="U51" s="523" t="str">
        <f>IF(F51="","",VLOOKUP(F51,'G-3 Multipliers'!$A$2:$E$129,2,FALSE))</f>
        <v/>
      </c>
      <c r="V51" s="520" t="str">
        <f t="shared" si="4"/>
        <v/>
      </c>
      <c r="W51" s="520" t="str">
        <f>IF(E51="","",IF(AND(V51="Standard difficulty applied",O51&gt;P51),U51,IF(AND(V51="Low Difficulty - only applicable if all habitat created before losses",P51&gt;=O51),"Low",VLOOKUP(F51,'G-3 Multipliers'!$A$2:$E$129,4,FALSE))))</f>
        <v/>
      </c>
      <c r="X51" s="524" t="str">
        <f>IFERROR(IF(E51="","",VLOOKUP(W51, 'G-3 Multipliers'!$P$2:$Q$6,2,FALSE)),"")</f>
        <v/>
      </c>
      <c r="Y51" s="529" t="str">
        <f t="shared" si="5"/>
        <v/>
      </c>
      <c r="Z51" s="239"/>
      <c r="AA51" s="240"/>
      <c r="AE51" s="54" t="str">
        <f t="shared" si="1"/>
        <v/>
      </c>
    </row>
    <row r="52" spans="1:31" x14ac:dyDescent="0.25">
      <c r="A52" s="47" t="str">
        <f>IFERROR(INDEX('G-8 Condition Look up'!$I$4:$I$130,MATCH(F52,'G-8 Condition Look up'!$A$4:$A$130,0)),"")</f>
        <v/>
      </c>
      <c r="C52" s="384" t="str">
        <f>IFERROR(INDEX('G-1 All Habitats'!$AG$3:$AG$15,MATCH(D52,'G-1 All Habitats'!$AF$3:$AF$15,0)),"")</f>
        <v/>
      </c>
      <c r="D52" s="146"/>
      <c r="E52" s="79"/>
      <c r="F52" s="246" t="str">
        <f>IFERROR(INDEX('G-1 All Habitats'!$B$3:$B$129,MATCH(E52,'G-1 All Habitats'!$A$3:$A$129,0)),"")</f>
        <v/>
      </c>
      <c r="G52" s="70"/>
      <c r="H52" s="498" t="str">
        <f>IF(F52="","",VLOOKUP(F52,'G-1 All Habitats'!$B$2:$M$129,10,FALSE))</f>
        <v/>
      </c>
      <c r="I52" s="499" t="str">
        <f>IFERROR(VLOOKUP(H52,'G-1 All Habitats'!$V$3:$W$7,2,FALSE),"")</f>
        <v/>
      </c>
      <c r="J52" s="71"/>
      <c r="K52" s="499" t="str">
        <f>IFERROR(INDEX('G-8 Condition Look up'!$A$3:$H$130,MATCH(F52,'G-8 Condition Look up'!$A$3:$A$130,0),MATCH(J52,'G-8 Condition Look up'!$A$3:$H$3,0)),"")</f>
        <v/>
      </c>
      <c r="L52" s="71"/>
      <c r="M52" s="507" t="str">
        <f>IF(L52="","",IF(VLOOKUP(L52,'G-3 Multipliers'!$L$3:$N$6,2,FALSE)=0,"Spatial Data Missing",VLOOKUP(L52,'G-3 Multipliers'!$L$3:$N$6,2,FALSE)))</f>
        <v/>
      </c>
      <c r="N52" s="505" t="str">
        <f>IF(L52="","",IF(VLOOKUP(L52,'G-3 Multipliers'!$L$3:$N$6,3,FALSE)=0,"Spatial Data Missing",VLOOKUP(L52,'G-3 Multipliers'!$L$3:$N$6,3,FALSE)))</f>
        <v/>
      </c>
      <c r="O52" s="498" t="str">
        <f t="shared" si="0"/>
        <v/>
      </c>
      <c r="P52" s="82"/>
      <c r="Q52" s="82"/>
      <c r="R52" s="507" t="str">
        <f t="shared" si="2"/>
        <v/>
      </c>
      <c r="S52" s="521" t="str">
        <f t="shared" si="3"/>
        <v/>
      </c>
      <c r="T52" s="522" t="str">
        <f>IFERROR(IF(S52="Check Data ⚠","Check Data ⚠",VLOOKUP(S52,'G-4 Temporal multipliers'!$A$4:$C$37,3,FALSE)),"")</f>
        <v/>
      </c>
      <c r="U52" s="523" t="str">
        <f>IF(F52="","",VLOOKUP(F52,'G-3 Multipliers'!$A$2:$E$129,2,FALSE))</f>
        <v/>
      </c>
      <c r="V52" s="520" t="str">
        <f t="shared" si="4"/>
        <v/>
      </c>
      <c r="W52" s="520" t="str">
        <f>IF(E52="","",IF(AND(V52="Standard difficulty applied",O52&gt;P52),U52,IF(AND(V52="Low Difficulty - only applicable if all habitat created before losses",P52&gt;=O52),"Low",VLOOKUP(F52,'G-3 Multipliers'!$A$2:$E$129,4,FALSE))))</f>
        <v/>
      </c>
      <c r="X52" s="524" t="str">
        <f>IFERROR(IF(E52="","",VLOOKUP(W52, 'G-3 Multipliers'!$P$2:$Q$6,2,FALSE)),"")</f>
        <v/>
      </c>
      <c r="Y52" s="529" t="str">
        <f t="shared" si="5"/>
        <v/>
      </c>
      <c r="Z52" s="239"/>
      <c r="AA52" s="240"/>
      <c r="AE52" s="54" t="str">
        <f t="shared" si="1"/>
        <v/>
      </c>
    </row>
    <row r="53" spans="1:31" x14ac:dyDescent="0.25">
      <c r="A53" s="47" t="str">
        <f>IFERROR(INDEX('G-8 Condition Look up'!$I$4:$I$130,MATCH(F53,'G-8 Condition Look up'!$A$4:$A$130,0)),"")</f>
        <v/>
      </c>
      <c r="C53" s="384" t="str">
        <f>IFERROR(INDEX('G-1 All Habitats'!$AG$3:$AG$15,MATCH(D53,'G-1 All Habitats'!$AF$3:$AF$15,0)),"")</f>
        <v/>
      </c>
      <c r="D53" s="146"/>
      <c r="E53" s="79"/>
      <c r="F53" s="246" t="str">
        <f>IFERROR(INDEX('G-1 All Habitats'!$B$3:$B$129,MATCH(E53,'G-1 All Habitats'!$A$3:$A$129,0)),"")</f>
        <v/>
      </c>
      <c r="G53" s="70"/>
      <c r="H53" s="498" t="str">
        <f>IF(F53="","",VLOOKUP(F53,'G-1 All Habitats'!$B$2:$M$129,10,FALSE))</f>
        <v/>
      </c>
      <c r="I53" s="499" t="str">
        <f>IFERROR(VLOOKUP(H53,'G-1 All Habitats'!$V$3:$W$7,2,FALSE),"")</f>
        <v/>
      </c>
      <c r="J53" s="71"/>
      <c r="K53" s="499" t="str">
        <f>IFERROR(INDEX('G-8 Condition Look up'!$A$3:$H$130,MATCH(F53,'G-8 Condition Look up'!$A$3:$A$130,0),MATCH(J53,'G-8 Condition Look up'!$A$3:$H$3,0)),"")</f>
        <v/>
      </c>
      <c r="L53" s="71"/>
      <c r="M53" s="507" t="str">
        <f>IF(L53="","",IF(VLOOKUP(L53,'G-3 Multipliers'!$L$3:$N$6,2,FALSE)=0,"Spatial Data Missing",VLOOKUP(L53,'G-3 Multipliers'!$L$3:$N$6,2,FALSE)))</f>
        <v/>
      </c>
      <c r="N53" s="505" t="str">
        <f>IF(L53="","",IF(VLOOKUP(L53,'G-3 Multipliers'!$L$3:$N$6,3,FALSE)=0,"Spatial Data Missing",VLOOKUP(L53,'G-3 Multipliers'!$L$3:$N$6,3,FALSE)))</f>
        <v/>
      </c>
      <c r="O53" s="498" t="str">
        <f t="shared" si="0"/>
        <v/>
      </c>
      <c r="P53" s="82"/>
      <c r="Q53" s="82"/>
      <c r="R53" s="507" t="str">
        <f t="shared" si="2"/>
        <v/>
      </c>
      <c r="S53" s="521" t="str">
        <f t="shared" si="3"/>
        <v/>
      </c>
      <c r="T53" s="522" t="str">
        <f>IFERROR(IF(S53="Check Data ⚠","Check Data ⚠",VLOOKUP(S53,'G-4 Temporal multipliers'!$A$4:$C$37,3,FALSE)),"")</f>
        <v/>
      </c>
      <c r="U53" s="523" t="str">
        <f>IF(F53="","",VLOOKUP(F53,'G-3 Multipliers'!$A$2:$E$129,2,FALSE))</f>
        <v/>
      </c>
      <c r="V53" s="520" t="str">
        <f t="shared" si="4"/>
        <v/>
      </c>
      <c r="W53" s="520" t="str">
        <f>IF(E53="","",IF(AND(V53="Standard difficulty applied",O53&gt;P53),U53,IF(AND(V53="Low Difficulty - only applicable if all habitat created before losses",P53&gt;=O53),"Low",VLOOKUP(F53,'G-3 Multipliers'!$A$2:$E$129,4,FALSE))))</f>
        <v/>
      </c>
      <c r="X53" s="524" t="str">
        <f>IFERROR(IF(E53="","",VLOOKUP(W53, 'G-3 Multipliers'!$P$2:$Q$6,2,FALSE)),"")</f>
        <v/>
      </c>
      <c r="Y53" s="529" t="str">
        <f t="shared" si="5"/>
        <v/>
      </c>
      <c r="Z53" s="239"/>
      <c r="AA53" s="240"/>
      <c r="AE53" s="54" t="str">
        <f t="shared" si="1"/>
        <v/>
      </c>
    </row>
    <row r="54" spans="1:31" x14ac:dyDescent="0.25">
      <c r="A54" s="47" t="str">
        <f>IFERROR(INDEX('G-8 Condition Look up'!$I$4:$I$130,MATCH(F54,'G-8 Condition Look up'!$A$4:$A$130,0)),"")</f>
        <v/>
      </c>
      <c r="C54" s="384" t="str">
        <f>IFERROR(INDEX('G-1 All Habitats'!$AG$3:$AG$15,MATCH(D54,'G-1 All Habitats'!$AF$3:$AF$15,0)),"")</f>
        <v/>
      </c>
      <c r="D54" s="146"/>
      <c r="E54" s="79"/>
      <c r="F54" s="246" t="str">
        <f>IFERROR(INDEX('G-1 All Habitats'!$B$3:$B$129,MATCH(E54,'G-1 All Habitats'!$A$3:$A$129,0)),"")</f>
        <v/>
      </c>
      <c r="G54" s="70"/>
      <c r="H54" s="498" t="str">
        <f>IF(F54="","",VLOOKUP(F54,'G-1 All Habitats'!$B$2:$M$129,10,FALSE))</f>
        <v/>
      </c>
      <c r="I54" s="499" t="str">
        <f>IFERROR(VLOOKUP(H54,'G-1 All Habitats'!$V$3:$W$7,2,FALSE),"")</f>
        <v/>
      </c>
      <c r="J54" s="71"/>
      <c r="K54" s="499" t="str">
        <f>IFERROR(INDEX('G-8 Condition Look up'!$A$3:$H$130,MATCH(F54,'G-8 Condition Look up'!$A$3:$A$130,0),MATCH(J54,'G-8 Condition Look up'!$A$3:$H$3,0)),"")</f>
        <v/>
      </c>
      <c r="L54" s="71"/>
      <c r="M54" s="507" t="str">
        <f>IF(L54="","",IF(VLOOKUP(L54,'G-3 Multipliers'!$L$3:$N$6,2,FALSE)=0,"Spatial Data Missing",VLOOKUP(L54,'G-3 Multipliers'!$L$3:$N$6,2,FALSE)))</f>
        <v/>
      </c>
      <c r="N54" s="505" t="str">
        <f>IF(L54="","",IF(VLOOKUP(L54,'G-3 Multipliers'!$L$3:$N$6,3,FALSE)=0,"Spatial Data Missing",VLOOKUP(L54,'G-3 Multipliers'!$L$3:$N$6,3,FALSE)))</f>
        <v/>
      </c>
      <c r="O54" s="498" t="str">
        <f t="shared" si="0"/>
        <v/>
      </c>
      <c r="P54" s="82"/>
      <c r="Q54" s="82"/>
      <c r="R54" s="507" t="str">
        <f t="shared" si="2"/>
        <v/>
      </c>
      <c r="S54" s="521" t="str">
        <f t="shared" si="3"/>
        <v/>
      </c>
      <c r="T54" s="522" t="str">
        <f>IFERROR(IF(S54="Check Data ⚠","Check Data ⚠",VLOOKUP(S54,'G-4 Temporal multipliers'!$A$4:$C$37,3,FALSE)),"")</f>
        <v/>
      </c>
      <c r="U54" s="523" t="str">
        <f>IF(F54="","",VLOOKUP(F54,'G-3 Multipliers'!$A$2:$E$129,2,FALSE))</f>
        <v/>
      </c>
      <c r="V54" s="520" t="str">
        <f t="shared" si="4"/>
        <v/>
      </c>
      <c r="W54" s="520" t="str">
        <f>IF(E54="","",IF(AND(V54="Standard difficulty applied",O54&gt;P54),U54,IF(AND(V54="Low Difficulty - only applicable if all habitat created before losses",P54&gt;=O54),"Low",VLOOKUP(F54,'G-3 Multipliers'!$A$2:$E$129,4,FALSE))))</f>
        <v/>
      </c>
      <c r="X54" s="524" t="str">
        <f>IFERROR(IF(E54="","",VLOOKUP(W54, 'G-3 Multipliers'!$P$2:$Q$6,2,FALSE)),"")</f>
        <v/>
      </c>
      <c r="Y54" s="529" t="str">
        <f t="shared" si="5"/>
        <v/>
      </c>
      <c r="Z54" s="239"/>
      <c r="AA54" s="240"/>
      <c r="AE54" s="54" t="str">
        <f t="shared" si="1"/>
        <v/>
      </c>
    </row>
    <row r="55" spans="1:31" x14ac:dyDescent="0.25">
      <c r="A55" s="47" t="str">
        <f>IFERROR(INDEX('G-8 Condition Look up'!$I$4:$I$130,MATCH(F55,'G-8 Condition Look up'!$A$4:$A$130,0)),"")</f>
        <v/>
      </c>
      <c r="C55" s="384" t="str">
        <f>IFERROR(INDEX('G-1 All Habitats'!$AG$3:$AG$15,MATCH(D55,'G-1 All Habitats'!$AF$3:$AF$15,0)),"")</f>
        <v/>
      </c>
      <c r="D55" s="146"/>
      <c r="E55" s="79"/>
      <c r="F55" s="246" t="str">
        <f>IFERROR(INDEX('G-1 All Habitats'!$B$3:$B$129,MATCH(E55,'G-1 All Habitats'!$A$3:$A$129,0)),"")</f>
        <v/>
      </c>
      <c r="G55" s="70"/>
      <c r="H55" s="498" t="str">
        <f>IF(F55="","",VLOOKUP(F55,'G-1 All Habitats'!$B$2:$M$129,10,FALSE))</f>
        <v/>
      </c>
      <c r="I55" s="499" t="str">
        <f>IFERROR(VLOOKUP(H55,'G-1 All Habitats'!$V$3:$W$7,2,FALSE),"")</f>
        <v/>
      </c>
      <c r="J55" s="71"/>
      <c r="K55" s="499" t="str">
        <f>IFERROR(INDEX('G-8 Condition Look up'!$A$3:$H$130,MATCH(F55,'G-8 Condition Look up'!$A$3:$A$130,0),MATCH(J55,'G-8 Condition Look up'!$A$3:$H$3,0)),"")</f>
        <v/>
      </c>
      <c r="L55" s="71"/>
      <c r="M55" s="507" t="str">
        <f>IF(L55="","",IF(VLOOKUP(L55,'G-3 Multipliers'!$L$3:$N$6,2,FALSE)=0,"Spatial Data Missing",VLOOKUP(L55,'G-3 Multipliers'!$L$3:$N$6,2,FALSE)))</f>
        <v/>
      </c>
      <c r="N55" s="505" t="str">
        <f>IF(L55="","",IF(VLOOKUP(L55,'G-3 Multipliers'!$L$3:$N$6,3,FALSE)=0,"Spatial Data Missing",VLOOKUP(L55,'G-3 Multipliers'!$L$3:$N$6,3,FALSE)))</f>
        <v/>
      </c>
      <c r="O55" s="498" t="str">
        <f t="shared" si="0"/>
        <v/>
      </c>
      <c r="P55" s="82"/>
      <c r="Q55" s="82"/>
      <c r="R55" s="507" t="str">
        <f t="shared" si="2"/>
        <v/>
      </c>
      <c r="S55" s="521" t="str">
        <f t="shared" si="3"/>
        <v/>
      </c>
      <c r="T55" s="522" t="str">
        <f>IFERROR(IF(S55="Check Data ⚠","Check Data ⚠",VLOOKUP(S55,'G-4 Temporal multipliers'!$A$4:$C$37,3,FALSE)),"")</f>
        <v/>
      </c>
      <c r="U55" s="523" t="str">
        <f>IF(F55="","",VLOOKUP(F55,'G-3 Multipliers'!$A$2:$E$129,2,FALSE))</f>
        <v/>
      </c>
      <c r="V55" s="520" t="str">
        <f t="shared" si="4"/>
        <v/>
      </c>
      <c r="W55" s="520" t="str">
        <f>IF(E55="","",IF(AND(V55="Standard difficulty applied",O55&gt;P55),U55,IF(AND(V55="Low Difficulty - only applicable if all habitat created before losses",P55&gt;=O55),"Low",VLOOKUP(F55,'G-3 Multipliers'!$A$2:$E$129,4,FALSE))))</f>
        <v/>
      </c>
      <c r="X55" s="524" t="str">
        <f>IFERROR(IF(E55="","",VLOOKUP(W55, 'G-3 Multipliers'!$P$2:$Q$6,2,FALSE)),"")</f>
        <v/>
      </c>
      <c r="Y55" s="529" t="str">
        <f t="shared" si="5"/>
        <v/>
      </c>
      <c r="Z55" s="239"/>
      <c r="AA55" s="240"/>
      <c r="AE55" s="54" t="str">
        <f t="shared" si="1"/>
        <v/>
      </c>
    </row>
    <row r="56" spans="1:31" x14ac:dyDescent="0.25">
      <c r="A56" s="47" t="str">
        <f>IFERROR(INDEX('G-8 Condition Look up'!$I$4:$I$130,MATCH(F56,'G-8 Condition Look up'!$A$4:$A$130,0)),"")</f>
        <v/>
      </c>
      <c r="C56" s="384" t="str">
        <f>IFERROR(INDEX('G-1 All Habitats'!$AG$3:$AG$15,MATCH(D56,'G-1 All Habitats'!$AF$3:$AF$15,0)),"")</f>
        <v/>
      </c>
      <c r="D56" s="146"/>
      <c r="E56" s="79"/>
      <c r="F56" s="246" t="str">
        <f>IFERROR(INDEX('G-1 All Habitats'!$B$3:$B$129,MATCH(E56,'G-1 All Habitats'!$A$3:$A$129,0)),"")</f>
        <v/>
      </c>
      <c r="G56" s="70"/>
      <c r="H56" s="498" t="str">
        <f>IF(F56="","",VLOOKUP(F56,'G-1 All Habitats'!$B$2:$M$129,10,FALSE))</f>
        <v/>
      </c>
      <c r="I56" s="499" t="str">
        <f>IFERROR(VLOOKUP(H56,'G-1 All Habitats'!$V$3:$W$7,2,FALSE),"")</f>
        <v/>
      </c>
      <c r="J56" s="71"/>
      <c r="K56" s="499" t="str">
        <f>IFERROR(INDEX('G-8 Condition Look up'!$A$3:$H$130,MATCH(F56,'G-8 Condition Look up'!$A$3:$A$130,0),MATCH(J56,'G-8 Condition Look up'!$A$3:$H$3,0)),"")</f>
        <v/>
      </c>
      <c r="L56" s="71"/>
      <c r="M56" s="507" t="str">
        <f>IF(L56="","",IF(VLOOKUP(L56,'G-3 Multipliers'!$L$3:$N$6,2,FALSE)=0,"Spatial Data Missing",VLOOKUP(L56,'G-3 Multipliers'!$L$3:$N$6,2,FALSE)))</f>
        <v/>
      </c>
      <c r="N56" s="505" t="str">
        <f>IF(L56="","",IF(VLOOKUP(L56,'G-3 Multipliers'!$L$3:$N$6,3,FALSE)=0,"Spatial Data Missing",VLOOKUP(L56,'G-3 Multipliers'!$L$3:$N$6,3,FALSE)))</f>
        <v/>
      </c>
      <c r="O56" s="498" t="str">
        <f t="shared" si="0"/>
        <v/>
      </c>
      <c r="P56" s="82"/>
      <c r="Q56" s="82"/>
      <c r="R56" s="507" t="str">
        <f t="shared" si="2"/>
        <v/>
      </c>
      <c r="S56" s="521" t="str">
        <f t="shared" si="3"/>
        <v/>
      </c>
      <c r="T56" s="522" t="str">
        <f>IFERROR(IF(S56="Check Data ⚠","Check Data ⚠",VLOOKUP(S56,'G-4 Temporal multipliers'!$A$4:$C$37,3,FALSE)),"")</f>
        <v/>
      </c>
      <c r="U56" s="523" t="str">
        <f>IF(F56="","",VLOOKUP(F56,'G-3 Multipliers'!$A$2:$E$129,2,FALSE))</f>
        <v/>
      </c>
      <c r="V56" s="520" t="str">
        <f t="shared" si="4"/>
        <v/>
      </c>
      <c r="W56" s="520" t="str">
        <f>IF(E56="","",IF(AND(V56="Standard difficulty applied",O56&gt;P56),U56,IF(AND(V56="Low Difficulty - only applicable if all habitat created before losses",P56&gt;=O56),"Low",VLOOKUP(F56,'G-3 Multipliers'!$A$2:$E$129,4,FALSE))))</f>
        <v/>
      </c>
      <c r="X56" s="524" t="str">
        <f>IFERROR(IF(E56="","",VLOOKUP(W56, 'G-3 Multipliers'!$P$2:$Q$6,2,FALSE)),"")</f>
        <v/>
      </c>
      <c r="Y56" s="529" t="str">
        <f t="shared" si="5"/>
        <v/>
      </c>
      <c r="Z56" s="239"/>
      <c r="AA56" s="240"/>
      <c r="AE56" s="54" t="str">
        <f t="shared" si="1"/>
        <v/>
      </c>
    </row>
    <row r="57" spans="1:31" x14ac:dyDescent="0.25">
      <c r="A57" s="47" t="str">
        <f>IFERROR(INDEX('G-8 Condition Look up'!$I$4:$I$130,MATCH(F57,'G-8 Condition Look up'!$A$4:$A$130,0)),"")</f>
        <v/>
      </c>
      <c r="C57" s="384" t="str">
        <f>IFERROR(INDEX('G-1 All Habitats'!$AG$3:$AG$15,MATCH(D57,'G-1 All Habitats'!$AF$3:$AF$15,0)),"")</f>
        <v/>
      </c>
      <c r="D57" s="146"/>
      <c r="E57" s="79"/>
      <c r="F57" s="246" t="str">
        <f>IFERROR(INDEX('G-1 All Habitats'!$B$3:$B$129,MATCH(E57,'G-1 All Habitats'!$A$3:$A$129,0)),"")</f>
        <v/>
      </c>
      <c r="G57" s="70"/>
      <c r="H57" s="498" t="str">
        <f>IF(F57="","",VLOOKUP(F57,'G-1 All Habitats'!$B$2:$M$129,10,FALSE))</f>
        <v/>
      </c>
      <c r="I57" s="499" t="str">
        <f>IFERROR(VLOOKUP(H57,'G-1 All Habitats'!$V$3:$W$7,2,FALSE),"")</f>
        <v/>
      </c>
      <c r="J57" s="71"/>
      <c r="K57" s="499" t="str">
        <f>IFERROR(INDEX('G-8 Condition Look up'!$A$3:$H$130,MATCH(F57,'G-8 Condition Look up'!$A$3:$A$130,0),MATCH(J57,'G-8 Condition Look up'!$A$3:$H$3,0)),"")</f>
        <v/>
      </c>
      <c r="L57" s="71"/>
      <c r="M57" s="507" t="str">
        <f>IF(L57="","",IF(VLOOKUP(L57,'G-3 Multipliers'!$L$3:$N$6,2,FALSE)=0,"Spatial Data Missing",VLOOKUP(L57,'G-3 Multipliers'!$L$3:$N$6,2,FALSE)))</f>
        <v/>
      </c>
      <c r="N57" s="505" t="str">
        <f>IF(L57="","",IF(VLOOKUP(L57,'G-3 Multipliers'!$L$3:$N$6,3,FALSE)=0,"Spatial Data Missing",VLOOKUP(L57,'G-3 Multipliers'!$L$3:$N$6,3,FALSE)))</f>
        <v/>
      </c>
      <c r="O57" s="498" t="str">
        <f t="shared" si="0"/>
        <v/>
      </c>
      <c r="P57" s="82"/>
      <c r="Q57" s="82"/>
      <c r="R57" s="507" t="str">
        <f t="shared" si="2"/>
        <v/>
      </c>
      <c r="S57" s="521" t="str">
        <f t="shared" si="3"/>
        <v/>
      </c>
      <c r="T57" s="522" t="str">
        <f>IFERROR(IF(S57="Check Data ⚠","Check Data ⚠",VLOOKUP(S57,'G-4 Temporal multipliers'!$A$4:$C$37,3,FALSE)),"")</f>
        <v/>
      </c>
      <c r="U57" s="523" t="str">
        <f>IF(F57="","",VLOOKUP(F57,'G-3 Multipliers'!$A$2:$E$129,2,FALSE))</f>
        <v/>
      </c>
      <c r="V57" s="520" t="str">
        <f t="shared" si="4"/>
        <v/>
      </c>
      <c r="W57" s="520" t="str">
        <f>IF(E57="","",IF(AND(V57="Standard difficulty applied",O57&gt;P57),U57,IF(AND(V57="Low Difficulty - only applicable if all habitat created before losses",P57&gt;=O57),"Low",VLOOKUP(F57,'G-3 Multipliers'!$A$2:$E$129,4,FALSE))))</f>
        <v/>
      </c>
      <c r="X57" s="524" t="str">
        <f>IFERROR(IF(E57="","",VLOOKUP(W57, 'G-3 Multipliers'!$P$2:$Q$6,2,FALSE)),"")</f>
        <v/>
      </c>
      <c r="Y57" s="529" t="str">
        <f t="shared" si="5"/>
        <v/>
      </c>
      <c r="Z57" s="239"/>
      <c r="AA57" s="240"/>
      <c r="AE57" s="54" t="str">
        <f t="shared" si="1"/>
        <v/>
      </c>
    </row>
    <row r="58" spans="1:31" x14ac:dyDescent="0.25">
      <c r="A58" s="47" t="str">
        <f>IFERROR(INDEX('G-8 Condition Look up'!$I$4:$I$130,MATCH(F58,'G-8 Condition Look up'!$A$4:$A$130,0)),"")</f>
        <v/>
      </c>
      <c r="C58" s="384" t="str">
        <f>IFERROR(INDEX('G-1 All Habitats'!$AG$3:$AG$15,MATCH(D58,'G-1 All Habitats'!$AF$3:$AF$15,0)),"")</f>
        <v/>
      </c>
      <c r="D58" s="146"/>
      <c r="E58" s="79"/>
      <c r="F58" s="246" t="str">
        <f>IFERROR(INDEX('G-1 All Habitats'!$B$3:$B$129,MATCH(E58,'G-1 All Habitats'!$A$3:$A$129,0)),"")</f>
        <v/>
      </c>
      <c r="G58" s="70"/>
      <c r="H58" s="498" t="str">
        <f>IF(F58="","",VLOOKUP(F58,'G-1 All Habitats'!$B$2:$M$129,10,FALSE))</f>
        <v/>
      </c>
      <c r="I58" s="499" t="str">
        <f>IFERROR(VLOOKUP(H58,'G-1 All Habitats'!$V$3:$W$7,2,FALSE),"")</f>
        <v/>
      </c>
      <c r="J58" s="71"/>
      <c r="K58" s="499" t="str">
        <f>IFERROR(INDEX('G-8 Condition Look up'!$A$3:$H$130,MATCH(F58,'G-8 Condition Look up'!$A$3:$A$130,0),MATCH(J58,'G-8 Condition Look up'!$A$3:$H$3,0)),"")</f>
        <v/>
      </c>
      <c r="L58" s="71"/>
      <c r="M58" s="507" t="str">
        <f>IF(L58="","",IF(VLOOKUP(L58,'G-3 Multipliers'!$L$3:$N$6,2,FALSE)=0,"Spatial Data Missing",VLOOKUP(L58,'G-3 Multipliers'!$L$3:$N$6,2,FALSE)))</f>
        <v/>
      </c>
      <c r="N58" s="505" t="str">
        <f>IF(L58="","",IF(VLOOKUP(L58,'G-3 Multipliers'!$L$3:$N$6,3,FALSE)=0,"Spatial Data Missing",VLOOKUP(L58,'G-3 Multipliers'!$L$3:$N$6,3,FALSE)))</f>
        <v/>
      </c>
      <c r="O58" s="498" t="str">
        <f t="shared" si="0"/>
        <v/>
      </c>
      <c r="P58" s="82"/>
      <c r="Q58" s="82"/>
      <c r="R58" s="507" t="str">
        <f t="shared" si="2"/>
        <v/>
      </c>
      <c r="S58" s="521" t="str">
        <f t="shared" si="3"/>
        <v/>
      </c>
      <c r="T58" s="522" t="str">
        <f>IFERROR(IF(S58="Check Data ⚠","Check Data ⚠",VLOOKUP(S58,'G-4 Temporal multipliers'!$A$4:$C$37,3,FALSE)),"")</f>
        <v/>
      </c>
      <c r="U58" s="523" t="str">
        <f>IF(F58="","",VLOOKUP(F58,'G-3 Multipliers'!$A$2:$E$129,2,FALSE))</f>
        <v/>
      </c>
      <c r="V58" s="520" t="str">
        <f t="shared" si="4"/>
        <v/>
      </c>
      <c r="W58" s="520" t="str">
        <f>IF(E58="","",IF(AND(V58="Standard difficulty applied",O58&gt;P58),U58,IF(AND(V58="Low Difficulty - only applicable if all habitat created before losses",P58&gt;=O58),"Low",VLOOKUP(F58,'G-3 Multipliers'!$A$2:$E$129,4,FALSE))))</f>
        <v/>
      </c>
      <c r="X58" s="524" t="str">
        <f>IFERROR(IF(E58="","",VLOOKUP(W58, 'G-3 Multipliers'!$P$2:$Q$6,2,FALSE)),"")</f>
        <v/>
      </c>
      <c r="Y58" s="529" t="str">
        <f t="shared" si="5"/>
        <v/>
      </c>
      <c r="Z58" s="239"/>
      <c r="AA58" s="240"/>
      <c r="AE58" s="54" t="str">
        <f t="shared" si="1"/>
        <v/>
      </c>
    </row>
    <row r="59" spans="1:31" x14ac:dyDescent="0.25">
      <c r="A59" s="47" t="str">
        <f>IFERROR(INDEX('G-8 Condition Look up'!$I$4:$I$130,MATCH(F59,'G-8 Condition Look up'!$A$4:$A$130,0)),"")</f>
        <v/>
      </c>
      <c r="C59" s="384" t="str">
        <f>IFERROR(INDEX('G-1 All Habitats'!$AG$3:$AG$15,MATCH(D59,'G-1 All Habitats'!$AF$3:$AF$15,0)),"")</f>
        <v/>
      </c>
      <c r="D59" s="146"/>
      <c r="E59" s="79"/>
      <c r="F59" s="246" t="str">
        <f>IFERROR(INDEX('G-1 All Habitats'!$B$3:$B$129,MATCH(E59,'G-1 All Habitats'!$A$3:$A$129,0)),"")</f>
        <v/>
      </c>
      <c r="G59" s="70"/>
      <c r="H59" s="498" t="str">
        <f>IF(F59="","",VLOOKUP(F59,'G-1 All Habitats'!$B$2:$M$129,10,FALSE))</f>
        <v/>
      </c>
      <c r="I59" s="499" t="str">
        <f>IFERROR(VLOOKUP(H59,'G-1 All Habitats'!$V$3:$W$7,2,FALSE),"")</f>
        <v/>
      </c>
      <c r="J59" s="71"/>
      <c r="K59" s="499" t="str">
        <f>IFERROR(INDEX('G-8 Condition Look up'!$A$3:$H$130,MATCH(F59,'G-8 Condition Look up'!$A$3:$A$130,0),MATCH(J59,'G-8 Condition Look up'!$A$3:$H$3,0)),"")</f>
        <v/>
      </c>
      <c r="L59" s="71"/>
      <c r="M59" s="507" t="str">
        <f>IF(L59="","",IF(VLOOKUP(L59,'G-3 Multipliers'!$L$3:$N$6,2,FALSE)=0,"Spatial Data Missing",VLOOKUP(L59,'G-3 Multipliers'!$L$3:$N$6,2,FALSE)))</f>
        <v/>
      </c>
      <c r="N59" s="505" t="str">
        <f>IF(L59="","",IF(VLOOKUP(L59,'G-3 Multipliers'!$L$3:$N$6,3,FALSE)=0,"Spatial Data Missing",VLOOKUP(L59,'G-3 Multipliers'!$L$3:$N$6,3,FALSE)))</f>
        <v/>
      </c>
      <c r="O59" s="498" t="str">
        <f t="shared" si="0"/>
        <v/>
      </c>
      <c r="P59" s="82"/>
      <c r="Q59" s="82"/>
      <c r="R59" s="507" t="str">
        <f t="shared" si="2"/>
        <v/>
      </c>
      <c r="S59" s="521" t="str">
        <f t="shared" si="3"/>
        <v/>
      </c>
      <c r="T59" s="522" t="str">
        <f>IFERROR(IF(S59="Check Data ⚠","Check Data ⚠",VLOOKUP(S59,'G-4 Temporal multipliers'!$A$4:$C$37,3,FALSE)),"")</f>
        <v/>
      </c>
      <c r="U59" s="523" t="str">
        <f>IF(F59="","",VLOOKUP(F59,'G-3 Multipliers'!$A$2:$E$129,2,FALSE))</f>
        <v/>
      </c>
      <c r="V59" s="520" t="str">
        <f t="shared" si="4"/>
        <v/>
      </c>
      <c r="W59" s="520" t="str">
        <f>IF(E59="","",IF(AND(V59="Standard difficulty applied",O59&gt;P59),U59,IF(AND(V59="Low Difficulty - only applicable if all habitat created before losses",P59&gt;=O59),"Low",VLOOKUP(F59,'G-3 Multipliers'!$A$2:$E$129,4,FALSE))))</f>
        <v/>
      </c>
      <c r="X59" s="524" t="str">
        <f>IFERROR(IF(E59="","",VLOOKUP(W59, 'G-3 Multipliers'!$P$2:$Q$6,2,FALSE)),"")</f>
        <v/>
      </c>
      <c r="Y59" s="529" t="str">
        <f t="shared" si="5"/>
        <v/>
      </c>
      <c r="Z59" s="239"/>
      <c r="AA59" s="240"/>
      <c r="AE59" s="54" t="str">
        <f t="shared" si="1"/>
        <v/>
      </c>
    </row>
    <row r="60" spans="1:31" x14ac:dyDescent="0.25">
      <c r="A60" s="47" t="str">
        <f>IFERROR(INDEX('G-8 Condition Look up'!$I$4:$I$130,MATCH(F60,'G-8 Condition Look up'!$A$4:$A$130,0)),"")</f>
        <v/>
      </c>
      <c r="C60" s="384" t="str">
        <f>IFERROR(INDEX('G-1 All Habitats'!$AG$3:$AG$15,MATCH(D60,'G-1 All Habitats'!$AF$3:$AF$15,0)),"")</f>
        <v/>
      </c>
      <c r="D60" s="146"/>
      <c r="E60" s="79"/>
      <c r="F60" s="246" t="str">
        <f>IFERROR(INDEX('G-1 All Habitats'!$B$3:$B$129,MATCH(E60,'G-1 All Habitats'!$A$3:$A$129,0)),"")</f>
        <v/>
      </c>
      <c r="G60" s="70"/>
      <c r="H60" s="498" t="str">
        <f>IF(F60="","",VLOOKUP(F60,'G-1 All Habitats'!$B$2:$M$129,10,FALSE))</f>
        <v/>
      </c>
      <c r="I60" s="499" t="str">
        <f>IFERROR(VLOOKUP(H60,'G-1 All Habitats'!$V$3:$W$7,2,FALSE),"")</f>
        <v/>
      </c>
      <c r="J60" s="71"/>
      <c r="K60" s="499" t="str">
        <f>IFERROR(INDEX('G-8 Condition Look up'!$A$3:$H$130,MATCH(F60,'G-8 Condition Look up'!$A$3:$A$130,0),MATCH(J60,'G-8 Condition Look up'!$A$3:$H$3,0)),"")</f>
        <v/>
      </c>
      <c r="L60" s="71"/>
      <c r="M60" s="507" t="str">
        <f>IF(L60="","",IF(VLOOKUP(L60,'G-3 Multipliers'!$L$3:$N$6,2,FALSE)=0,"Spatial Data Missing",VLOOKUP(L60,'G-3 Multipliers'!$L$3:$N$6,2,FALSE)))</f>
        <v/>
      </c>
      <c r="N60" s="505" t="str">
        <f>IF(L60="","",IF(VLOOKUP(L60,'G-3 Multipliers'!$L$3:$N$6,3,FALSE)=0,"Spatial Data Missing",VLOOKUP(L60,'G-3 Multipliers'!$L$3:$N$6,3,FALSE)))</f>
        <v/>
      </c>
      <c r="O60" s="498" t="str">
        <f t="shared" si="0"/>
        <v/>
      </c>
      <c r="P60" s="82"/>
      <c r="Q60" s="82"/>
      <c r="R60" s="507" t="str">
        <f t="shared" si="2"/>
        <v/>
      </c>
      <c r="S60" s="521" t="str">
        <f t="shared" si="3"/>
        <v/>
      </c>
      <c r="T60" s="522" t="str">
        <f>IFERROR(IF(S60="Check Data ⚠","Check Data ⚠",VLOOKUP(S60,'G-4 Temporal multipliers'!$A$4:$C$37,3,FALSE)),"")</f>
        <v/>
      </c>
      <c r="U60" s="523" t="str">
        <f>IF(F60="","",VLOOKUP(F60,'G-3 Multipliers'!$A$2:$E$129,2,FALSE))</f>
        <v/>
      </c>
      <c r="V60" s="520" t="str">
        <f t="shared" si="4"/>
        <v/>
      </c>
      <c r="W60" s="520" t="str">
        <f>IF(E60="","",IF(AND(V60="Standard difficulty applied",O60&gt;P60),U60,IF(AND(V60="Low Difficulty - only applicable if all habitat created before losses",P60&gt;=O60),"Low",VLOOKUP(F60,'G-3 Multipliers'!$A$2:$E$129,4,FALSE))))</f>
        <v/>
      </c>
      <c r="X60" s="524" t="str">
        <f>IFERROR(IF(E60="","",VLOOKUP(W60, 'G-3 Multipliers'!$P$2:$Q$6,2,FALSE)),"")</f>
        <v/>
      </c>
      <c r="Y60" s="529" t="str">
        <f t="shared" si="5"/>
        <v/>
      </c>
      <c r="Z60" s="239"/>
      <c r="AA60" s="240"/>
      <c r="AE60" s="54" t="str">
        <f t="shared" si="1"/>
        <v/>
      </c>
    </row>
    <row r="61" spans="1:31" x14ac:dyDescent="0.25">
      <c r="A61" s="47" t="str">
        <f>IFERROR(INDEX('G-8 Condition Look up'!$I$4:$I$130,MATCH(F61,'G-8 Condition Look up'!$A$4:$A$130,0)),"")</f>
        <v/>
      </c>
      <c r="C61" s="384" t="str">
        <f>IFERROR(INDEX('G-1 All Habitats'!$AG$3:$AG$15,MATCH(D61,'G-1 All Habitats'!$AF$3:$AF$15,0)),"")</f>
        <v/>
      </c>
      <c r="D61" s="146"/>
      <c r="E61" s="79"/>
      <c r="F61" s="246" t="str">
        <f>IFERROR(INDEX('G-1 All Habitats'!$B$3:$B$129,MATCH(E61,'G-1 All Habitats'!$A$3:$A$129,0)),"")</f>
        <v/>
      </c>
      <c r="G61" s="70"/>
      <c r="H61" s="498" t="str">
        <f>IF(F61="","",VLOOKUP(F61,'G-1 All Habitats'!$B$2:$M$129,10,FALSE))</f>
        <v/>
      </c>
      <c r="I61" s="499" t="str">
        <f>IFERROR(VLOOKUP(H61,'G-1 All Habitats'!$V$3:$W$7,2,FALSE),"")</f>
        <v/>
      </c>
      <c r="J61" s="71"/>
      <c r="K61" s="499" t="str">
        <f>IFERROR(INDEX('G-8 Condition Look up'!$A$3:$H$130,MATCH(F61,'G-8 Condition Look up'!$A$3:$A$130,0),MATCH(J61,'G-8 Condition Look up'!$A$3:$H$3,0)),"")</f>
        <v/>
      </c>
      <c r="L61" s="71"/>
      <c r="M61" s="507" t="str">
        <f>IF(L61="","",IF(VLOOKUP(L61,'G-3 Multipliers'!$L$3:$N$6,2,FALSE)=0,"Spatial Data Missing",VLOOKUP(L61,'G-3 Multipliers'!$L$3:$N$6,2,FALSE)))</f>
        <v/>
      </c>
      <c r="N61" s="505" t="str">
        <f>IF(L61="","",IF(VLOOKUP(L61,'G-3 Multipliers'!$L$3:$N$6,3,FALSE)=0,"Spatial Data Missing",VLOOKUP(L61,'G-3 Multipliers'!$L$3:$N$6,3,FALSE)))</f>
        <v/>
      </c>
      <c r="O61" s="498" t="str">
        <f t="shared" si="0"/>
        <v/>
      </c>
      <c r="P61" s="82"/>
      <c r="Q61" s="82"/>
      <c r="R61" s="507" t="str">
        <f t="shared" si="2"/>
        <v/>
      </c>
      <c r="S61" s="521" t="str">
        <f t="shared" si="3"/>
        <v/>
      </c>
      <c r="T61" s="522" t="str">
        <f>IFERROR(IF(S61="Check Data ⚠","Check Data ⚠",VLOOKUP(S61,'G-4 Temporal multipliers'!$A$4:$C$37,3,FALSE)),"")</f>
        <v/>
      </c>
      <c r="U61" s="523" t="str">
        <f>IF(F61="","",VLOOKUP(F61,'G-3 Multipliers'!$A$2:$E$129,2,FALSE))</f>
        <v/>
      </c>
      <c r="V61" s="520" t="str">
        <f t="shared" si="4"/>
        <v/>
      </c>
      <c r="W61" s="520" t="str">
        <f>IF(E61="","",IF(AND(V61="Standard difficulty applied",O61&gt;P61),U61,IF(AND(V61="Low Difficulty - only applicable if all habitat created before losses",P61&gt;=O61),"Low",VLOOKUP(F61,'G-3 Multipliers'!$A$2:$E$129,4,FALSE))))</f>
        <v/>
      </c>
      <c r="X61" s="524" t="str">
        <f>IFERROR(IF(E61="","",VLOOKUP(W61, 'G-3 Multipliers'!$P$2:$Q$6,2,FALSE)),"")</f>
        <v/>
      </c>
      <c r="Y61" s="529" t="str">
        <f t="shared" si="5"/>
        <v/>
      </c>
      <c r="Z61" s="239"/>
      <c r="AA61" s="240"/>
      <c r="AE61" s="54" t="str">
        <f t="shared" si="1"/>
        <v/>
      </c>
    </row>
    <row r="62" spans="1:31" x14ac:dyDescent="0.25">
      <c r="A62" s="47" t="str">
        <f>IFERROR(INDEX('G-8 Condition Look up'!$I$4:$I$130,MATCH(F62,'G-8 Condition Look up'!$A$4:$A$130,0)),"")</f>
        <v/>
      </c>
      <c r="C62" s="384" t="str">
        <f>IFERROR(INDEX('G-1 All Habitats'!$AG$3:$AG$15,MATCH(D62,'G-1 All Habitats'!$AF$3:$AF$15,0)),"")</f>
        <v/>
      </c>
      <c r="D62" s="146"/>
      <c r="E62" s="79"/>
      <c r="F62" s="246" t="str">
        <f>IFERROR(INDEX('G-1 All Habitats'!$B$3:$B$129,MATCH(E62,'G-1 All Habitats'!$A$3:$A$129,0)),"")</f>
        <v/>
      </c>
      <c r="G62" s="70"/>
      <c r="H62" s="498" t="str">
        <f>IF(F62="","",VLOOKUP(F62,'G-1 All Habitats'!$B$2:$M$129,10,FALSE))</f>
        <v/>
      </c>
      <c r="I62" s="499" t="str">
        <f>IFERROR(VLOOKUP(H62,'G-1 All Habitats'!$V$3:$W$7,2,FALSE),"")</f>
        <v/>
      </c>
      <c r="J62" s="71"/>
      <c r="K62" s="499" t="str">
        <f>IFERROR(INDEX('G-8 Condition Look up'!$A$3:$H$130,MATCH(F62,'G-8 Condition Look up'!$A$3:$A$130,0),MATCH(J62,'G-8 Condition Look up'!$A$3:$H$3,0)),"")</f>
        <v/>
      </c>
      <c r="L62" s="71"/>
      <c r="M62" s="507" t="str">
        <f>IF(L62="","",IF(VLOOKUP(L62,'G-3 Multipliers'!$L$3:$N$6,2,FALSE)=0,"Spatial Data Missing",VLOOKUP(L62,'G-3 Multipliers'!$L$3:$N$6,2,FALSE)))</f>
        <v/>
      </c>
      <c r="N62" s="505" t="str">
        <f>IF(L62="","",IF(VLOOKUP(L62,'G-3 Multipliers'!$L$3:$N$6,3,FALSE)=0,"Spatial Data Missing",VLOOKUP(L62,'G-3 Multipliers'!$L$3:$N$6,3,FALSE)))</f>
        <v/>
      </c>
      <c r="O62" s="498" t="str">
        <f t="shared" si="0"/>
        <v/>
      </c>
      <c r="P62" s="82"/>
      <c r="Q62" s="82"/>
      <c r="R62" s="507" t="str">
        <f t="shared" si="2"/>
        <v/>
      </c>
      <c r="S62" s="521" t="str">
        <f t="shared" si="3"/>
        <v/>
      </c>
      <c r="T62" s="522" t="str">
        <f>IFERROR(IF(S62="Check Data ⚠","Check Data ⚠",VLOOKUP(S62,'G-4 Temporal multipliers'!$A$4:$C$37,3,FALSE)),"")</f>
        <v/>
      </c>
      <c r="U62" s="523" t="str">
        <f>IF(F62="","",VLOOKUP(F62,'G-3 Multipliers'!$A$2:$E$129,2,FALSE))</f>
        <v/>
      </c>
      <c r="V62" s="520" t="str">
        <f t="shared" si="4"/>
        <v/>
      </c>
      <c r="W62" s="520" t="str">
        <f>IF(E62="","",IF(AND(V62="Standard difficulty applied",O62&gt;P62),U62,IF(AND(V62="Low Difficulty - only applicable if all habitat created before losses",P62&gt;=O62),"Low",VLOOKUP(F62,'G-3 Multipliers'!$A$2:$E$129,4,FALSE))))</f>
        <v/>
      </c>
      <c r="X62" s="524" t="str">
        <f>IFERROR(IF(E62="","",VLOOKUP(W62, 'G-3 Multipliers'!$P$2:$Q$6,2,FALSE)),"")</f>
        <v/>
      </c>
      <c r="Y62" s="529" t="str">
        <f t="shared" si="5"/>
        <v/>
      </c>
      <c r="Z62" s="239"/>
      <c r="AA62" s="240"/>
      <c r="AE62" s="54" t="str">
        <f t="shared" si="1"/>
        <v/>
      </c>
    </row>
    <row r="63" spans="1:31" x14ac:dyDescent="0.25">
      <c r="A63" s="47" t="str">
        <f>IFERROR(INDEX('G-8 Condition Look up'!$I$4:$I$130,MATCH(F63,'G-8 Condition Look up'!$A$4:$A$130,0)),"")</f>
        <v/>
      </c>
      <c r="C63" s="384" t="str">
        <f>IFERROR(INDEX('G-1 All Habitats'!$AG$3:$AG$15,MATCH(D63,'G-1 All Habitats'!$AF$3:$AF$15,0)),"")</f>
        <v/>
      </c>
      <c r="D63" s="146"/>
      <c r="E63" s="79"/>
      <c r="F63" s="246" t="str">
        <f>IFERROR(INDEX('G-1 All Habitats'!$B$3:$B$129,MATCH(E63,'G-1 All Habitats'!$A$3:$A$129,0)),"")</f>
        <v/>
      </c>
      <c r="G63" s="70"/>
      <c r="H63" s="498" t="str">
        <f>IF(F63="","",VLOOKUP(F63,'G-1 All Habitats'!$B$2:$M$129,10,FALSE))</f>
        <v/>
      </c>
      <c r="I63" s="499" t="str">
        <f>IFERROR(VLOOKUP(H63,'G-1 All Habitats'!$V$3:$W$7,2,FALSE),"")</f>
        <v/>
      </c>
      <c r="J63" s="71"/>
      <c r="K63" s="499" t="str">
        <f>IFERROR(INDEX('G-8 Condition Look up'!$A$3:$H$130,MATCH(F63,'G-8 Condition Look up'!$A$3:$A$130,0),MATCH(J63,'G-8 Condition Look up'!$A$3:$H$3,0)),"")</f>
        <v/>
      </c>
      <c r="L63" s="71"/>
      <c r="M63" s="507" t="str">
        <f>IF(L63="","",IF(VLOOKUP(L63,'G-3 Multipliers'!$L$3:$N$6,2,FALSE)=0,"Spatial Data Missing",VLOOKUP(L63,'G-3 Multipliers'!$L$3:$N$6,2,FALSE)))</f>
        <v/>
      </c>
      <c r="N63" s="505" t="str">
        <f>IF(L63="","",IF(VLOOKUP(L63,'G-3 Multipliers'!$L$3:$N$6,3,FALSE)=0,"Spatial Data Missing",VLOOKUP(L63,'G-3 Multipliers'!$L$3:$N$6,3,FALSE)))</f>
        <v/>
      </c>
      <c r="O63" s="498" t="str">
        <f t="shared" si="0"/>
        <v/>
      </c>
      <c r="P63" s="82"/>
      <c r="Q63" s="82"/>
      <c r="R63" s="507" t="str">
        <f t="shared" si="2"/>
        <v/>
      </c>
      <c r="S63" s="521" t="str">
        <f t="shared" si="3"/>
        <v/>
      </c>
      <c r="T63" s="522" t="str">
        <f>IFERROR(IF(S63="Check Data ⚠","Check Data ⚠",VLOOKUP(S63,'G-4 Temporal multipliers'!$A$4:$C$37,3,FALSE)),"")</f>
        <v/>
      </c>
      <c r="U63" s="523" t="str">
        <f>IF(F63="","",VLOOKUP(F63,'G-3 Multipliers'!$A$2:$E$129,2,FALSE))</f>
        <v/>
      </c>
      <c r="V63" s="520" t="str">
        <f t="shared" si="4"/>
        <v/>
      </c>
      <c r="W63" s="520" t="str">
        <f>IF(E63="","",IF(AND(V63="Standard difficulty applied",O63&gt;P63),U63,IF(AND(V63="Low Difficulty - only applicable if all habitat created before losses",P63&gt;=O63),"Low",VLOOKUP(F63,'G-3 Multipliers'!$A$2:$E$129,4,FALSE))))</f>
        <v/>
      </c>
      <c r="X63" s="524" t="str">
        <f>IFERROR(IF(E63="","",VLOOKUP(W63, 'G-3 Multipliers'!$P$2:$Q$6,2,FALSE)),"")</f>
        <v/>
      </c>
      <c r="Y63" s="529" t="str">
        <f t="shared" si="5"/>
        <v/>
      </c>
      <c r="Z63" s="239"/>
      <c r="AA63" s="240"/>
      <c r="AE63" s="54" t="str">
        <f t="shared" si="1"/>
        <v/>
      </c>
    </row>
    <row r="64" spans="1:31" x14ac:dyDescent="0.25">
      <c r="A64" s="47" t="str">
        <f>IFERROR(INDEX('G-8 Condition Look up'!$I$4:$I$130,MATCH(F64,'G-8 Condition Look up'!$A$4:$A$130,0)),"")</f>
        <v/>
      </c>
      <c r="C64" s="384" t="str">
        <f>IFERROR(INDEX('G-1 All Habitats'!$AG$3:$AG$15,MATCH(D64,'G-1 All Habitats'!$AF$3:$AF$15,0)),"")</f>
        <v/>
      </c>
      <c r="D64" s="146"/>
      <c r="E64" s="79"/>
      <c r="F64" s="246" t="str">
        <f>IFERROR(INDEX('G-1 All Habitats'!$B$3:$B$129,MATCH(E64,'G-1 All Habitats'!$A$3:$A$129,0)),"")</f>
        <v/>
      </c>
      <c r="G64" s="70"/>
      <c r="H64" s="498" t="str">
        <f>IF(F64="","",VLOOKUP(F64,'G-1 All Habitats'!$B$2:$M$129,10,FALSE))</f>
        <v/>
      </c>
      <c r="I64" s="499" t="str">
        <f>IFERROR(VLOOKUP(H64,'G-1 All Habitats'!$V$3:$W$7,2,FALSE),"")</f>
        <v/>
      </c>
      <c r="J64" s="71"/>
      <c r="K64" s="499" t="str">
        <f>IFERROR(INDEX('G-8 Condition Look up'!$A$3:$H$130,MATCH(F64,'G-8 Condition Look up'!$A$3:$A$130,0),MATCH(J64,'G-8 Condition Look up'!$A$3:$H$3,0)),"")</f>
        <v/>
      </c>
      <c r="L64" s="71"/>
      <c r="M64" s="507" t="str">
        <f>IF(L64="","",IF(VLOOKUP(L64,'G-3 Multipliers'!$L$3:$N$6,2,FALSE)=0,"Spatial Data Missing",VLOOKUP(L64,'G-3 Multipliers'!$L$3:$N$6,2,FALSE)))</f>
        <v/>
      </c>
      <c r="N64" s="505" t="str">
        <f>IF(L64="","",IF(VLOOKUP(L64,'G-3 Multipliers'!$L$3:$N$6,3,FALSE)=0,"Spatial Data Missing",VLOOKUP(L64,'G-3 Multipliers'!$L$3:$N$6,3,FALSE)))</f>
        <v/>
      </c>
      <c r="O64" s="498" t="str">
        <f t="shared" si="0"/>
        <v/>
      </c>
      <c r="P64" s="82"/>
      <c r="Q64" s="82"/>
      <c r="R64" s="507" t="str">
        <f t="shared" si="2"/>
        <v/>
      </c>
      <c r="S64" s="521" t="str">
        <f t="shared" si="3"/>
        <v/>
      </c>
      <c r="T64" s="522" t="str">
        <f>IFERROR(IF(S64="Check Data ⚠","Check Data ⚠",VLOOKUP(S64,'G-4 Temporal multipliers'!$A$4:$C$37,3,FALSE)),"")</f>
        <v/>
      </c>
      <c r="U64" s="523" t="str">
        <f>IF(F64="","",VLOOKUP(F64,'G-3 Multipliers'!$A$2:$E$129,2,FALSE))</f>
        <v/>
      </c>
      <c r="V64" s="520" t="str">
        <f t="shared" si="4"/>
        <v/>
      </c>
      <c r="W64" s="520" t="str">
        <f>IF(E64="","",IF(AND(V64="Standard difficulty applied",O64&gt;P64),U64,IF(AND(V64="Low Difficulty - only applicable if all habitat created before losses",P64&gt;=O64),"Low",VLOOKUP(F64,'G-3 Multipliers'!$A$2:$E$129,4,FALSE))))</f>
        <v/>
      </c>
      <c r="X64" s="524" t="str">
        <f>IFERROR(IF(E64="","",VLOOKUP(W64, 'G-3 Multipliers'!$P$2:$Q$6,2,FALSE)),"")</f>
        <v/>
      </c>
      <c r="Y64" s="529" t="str">
        <f t="shared" si="5"/>
        <v/>
      </c>
      <c r="Z64" s="239"/>
      <c r="AA64" s="240"/>
      <c r="AE64" s="54" t="str">
        <f t="shared" si="1"/>
        <v/>
      </c>
    </row>
    <row r="65" spans="1:31" x14ac:dyDescent="0.25">
      <c r="A65" s="47" t="str">
        <f>IFERROR(INDEX('G-8 Condition Look up'!$I$4:$I$130,MATCH(F65,'G-8 Condition Look up'!$A$4:$A$130,0)),"")</f>
        <v/>
      </c>
      <c r="C65" s="384" t="str">
        <f>IFERROR(INDEX('G-1 All Habitats'!$AG$3:$AG$15,MATCH(D65,'G-1 All Habitats'!$AF$3:$AF$15,0)),"")</f>
        <v/>
      </c>
      <c r="D65" s="146"/>
      <c r="E65" s="79"/>
      <c r="F65" s="246" t="str">
        <f>IFERROR(INDEX('G-1 All Habitats'!$B$3:$B$129,MATCH(E65,'G-1 All Habitats'!$A$3:$A$129,0)),"")</f>
        <v/>
      </c>
      <c r="G65" s="70"/>
      <c r="H65" s="498" t="str">
        <f>IF(F65="","",VLOOKUP(F65,'G-1 All Habitats'!$B$2:$M$129,10,FALSE))</f>
        <v/>
      </c>
      <c r="I65" s="499" t="str">
        <f>IFERROR(VLOOKUP(H65,'G-1 All Habitats'!$V$3:$W$7,2,FALSE),"")</f>
        <v/>
      </c>
      <c r="J65" s="71"/>
      <c r="K65" s="499" t="str">
        <f>IFERROR(INDEX('G-8 Condition Look up'!$A$3:$H$130,MATCH(F65,'G-8 Condition Look up'!$A$3:$A$130,0),MATCH(J65,'G-8 Condition Look up'!$A$3:$H$3,0)),"")</f>
        <v/>
      </c>
      <c r="L65" s="71"/>
      <c r="M65" s="507" t="str">
        <f>IF(L65="","",IF(VLOOKUP(L65,'G-3 Multipliers'!$L$3:$N$6,2,FALSE)=0,"Spatial Data Missing",VLOOKUP(L65,'G-3 Multipliers'!$L$3:$N$6,2,FALSE)))</f>
        <v/>
      </c>
      <c r="N65" s="505" t="str">
        <f>IF(L65="","",IF(VLOOKUP(L65,'G-3 Multipliers'!$L$3:$N$6,3,FALSE)=0,"Spatial Data Missing",VLOOKUP(L65,'G-3 Multipliers'!$L$3:$N$6,3,FALSE)))</f>
        <v/>
      </c>
      <c r="O65" s="498" t="str">
        <f t="shared" si="0"/>
        <v/>
      </c>
      <c r="P65" s="82"/>
      <c r="Q65" s="82"/>
      <c r="R65" s="507" t="str">
        <f t="shared" si="2"/>
        <v/>
      </c>
      <c r="S65" s="521" t="str">
        <f t="shared" si="3"/>
        <v/>
      </c>
      <c r="T65" s="522" t="str">
        <f>IFERROR(IF(S65="Check Data ⚠","Check Data ⚠",VLOOKUP(S65,'G-4 Temporal multipliers'!$A$4:$C$37,3,FALSE)),"")</f>
        <v/>
      </c>
      <c r="U65" s="523" t="str">
        <f>IF(F65="","",VLOOKUP(F65,'G-3 Multipliers'!$A$2:$E$129,2,FALSE))</f>
        <v/>
      </c>
      <c r="V65" s="520" t="str">
        <f t="shared" si="4"/>
        <v/>
      </c>
      <c r="W65" s="520" t="str">
        <f>IF(E65="","",IF(AND(V65="Standard difficulty applied",O65&gt;P65),U65,IF(AND(V65="Low Difficulty - only applicable if all habitat created before losses",P65&gt;=O65),"Low",VLOOKUP(F65,'G-3 Multipliers'!$A$2:$E$129,4,FALSE))))</f>
        <v/>
      </c>
      <c r="X65" s="524" t="str">
        <f>IFERROR(IF(E65="","",VLOOKUP(W65, 'G-3 Multipliers'!$P$2:$Q$6,2,FALSE)),"")</f>
        <v/>
      </c>
      <c r="Y65" s="529" t="str">
        <f t="shared" si="5"/>
        <v/>
      </c>
      <c r="Z65" s="239"/>
      <c r="AA65" s="240"/>
      <c r="AE65" s="54" t="str">
        <f t="shared" si="1"/>
        <v/>
      </c>
    </row>
    <row r="66" spans="1:31" x14ac:dyDescent="0.25">
      <c r="A66" s="47" t="str">
        <f>IFERROR(INDEX('G-8 Condition Look up'!$I$4:$I$130,MATCH(F66,'G-8 Condition Look up'!$A$4:$A$130,0)),"")</f>
        <v/>
      </c>
      <c r="C66" s="384" t="str">
        <f>IFERROR(INDEX('G-1 All Habitats'!$AG$3:$AG$15,MATCH(D66,'G-1 All Habitats'!$AF$3:$AF$15,0)),"")</f>
        <v/>
      </c>
      <c r="D66" s="146"/>
      <c r="E66" s="79"/>
      <c r="F66" s="246" t="str">
        <f>IFERROR(INDEX('G-1 All Habitats'!$B$3:$B$129,MATCH(E66,'G-1 All Habitats'!$A$3:$A$129,0)),"")</f>
        <v/>
      </c>
      <c r="G66" s="70"/>
      <c r="H66" s="498" t="str">
        <f>IF(F66="","",VLOOKUP(F66,'G-1 All Habitats'!$B$2:$M$129,10,FALSE))</f>
        <v/>
      </c>
      <c r="I66" s="499" t="str">
        <f>IFERROR(VLOOKUP(H66,'G-1 All Habitats'!$V$3:$W$7,2,FALSE),"")</f>
        <v/>
      </c>
      <c r="J66" s="71"/>
      <c r="K66" s="499" t="str">
        <f>IFERROR(INDEX('G-8 Condition Look up'!$A$3:$H$130,MATCH(F66,'G-8 Condition Look up'!$A$3:$A$130,0),MATCH(J66,'G-8 Condition Look up'!$A$3:$H$3,0)),"")</f>
        <v/>
      </c>
      <c r="L66" s="71"/>
      <c r="M66" s="507" t="str">
        <f>IF(L66="","",IF(VLOOKUP(L66,'G-3 Multipliers'!$L$3:$N$6,2,FALSE)=0,"Spatial Data Missing",VLOOKUP(L66,'G-3 Multipliers'!$L$3:$N$6,2,FALSE)))</f>
        <v/>
      </c>
      <c r="N66" s="505" t="str">
        <f>IF(L66="","",IF(VLOOKUP(L66,'G-3 Multipliers'!$L$3:$N$6,3,FALSE)=0,"Spatial Data Missing",VLOOKUP(L66,'G-3 Multipliers'!$L$3:$N$6,3,FALSE)))</f>
        <v/>
      </c>
      <c r="O66" s="498" t="str">
        <f t="shared" si="0"/>
        <v/>
      </c>
      <c r="P66" s="82"/>
      <c r="Q66" s="82"/>
      <c r="R66" s="507" t="str">
        <f t="shared" si="2"/>
        <v/>
      </c>
      <c r="S66" s="521" t="str">
        <f t="shared" si="3"/>
        <v/>
      </c>
      <c r="T66" s="522" t="str">
        <f>IFERROR(IF(S66="Check Data ⚠","Check Data ⚠",VLOOKUP(S66,'G-4 Temporal multipliers'!$A$4:$C$37,3,FALSE)),"")</f>
        <v/>
      </c>
      <c r="U66" s="523" t="str">
        <f>IF(F66="","",VLOOKUP(F66,'G-3 Multipliers'!$A$2:$E$129,2,FALSE))</f>
        <v/>
      </c>
      <c r="V66" s="520" t="str">
        <f t="shared" si="4"/>
        <v/>
      </c>
      <c r="W66" s="520" t="str">
        <f>IF(E66="","",IF(AND(V66="Standard difficulty applied",O66&gt;P66),U66,IF(AND(V66="Low Difficulty - only applicable if all habitat created before losses",P66&gt;=O66),"Low",VLOOKUP(F66,'G-3 Multipliers'!$A$2:$E$129,4,FALSE))))</f>
        <v/>
      </c>
      <c r="X66" s="524" t="str">
        <f>IFERROR(IF(E66="","",VLOOKUP(W66, 'G-3 Multipliers'!$P$2:$Q$6,2,FALSE)),"")</f>
        <v/>
      </c>
      <c r="Y66" s="529" t="str">
        <f t="shared" si="5"/>
        <v/>
      </c>
      <c r="Z66" s="239"/>
      <c r="AA66" s="240"/>
      <c r="AE66" s="54" t="str">
        <f t="shared" si="1"/>
        <v/>
      </c>
    </row>
    <row r="67" spans="1:31" x14ac:dyDescent="0.25">
      <c r="A67" s="47" t="str">
        <f>IFERROR(INDEX('G-8 Condition Look up'!$I$4:$I$130,MATCH(F67,'G-8 Condition Look up'!$A$4:$A$130,0)),"")</f>
        <v/>
      </c>
      <c r="C67" s="384" t="str">
        <f>IFERROR(INDEX('G-1 All Habitats'!$AG$3:$AG$15,MATCH(D67,'G-1 All Habitats'!$AF$3:$AF$15,0)),"")</f>
        <v/>
      </c>
      <c r="D67" s="146"/>
      <c r="E67" s="79"/>
      <c r="F67" s="246" t="str">
        <f>IFERROR(INDEX('G-1 All Habitats'!$B$3:$B$129,MATCH(E67,'G-1 All Habitats'!$A$3:$A$129,0)),"")</f>
        <v/>
      </c>
      <c r="G67" s="70"/>
      <c r="H67" s="498" t="str">
        <f>IF(F67="","",VLOOKUP(F67,'G-1 All Habitats'!$B$2:$M$129,10,FALSE))</f>
        <v/>
      </c>
      <c r="I67" s="499" t="str">
        <f>IFERROR(VLOOKUP(H67,'G-1 All Habitats'!$V$3:$W$7,2,FALSE),"")</f>
        <v/>
      </c>
      <c r="J67" s="71"/>
      <c r="K67" s="499" t="str">
        <f>IFERROR(INDEX('G-8 Condition Look up'!$A$3:$H$130,MATCH(F67,'G-8 Condition Look up'!$A$3:$A$130,0),MATCH(J67,'G-8 Condition Look up'!$A$3:$H$3,0)),"")</f>
        <v/>
      </c>
      <c r="L67" s="71"/>
      <c r="M67" s="507" t="str">
        <f>IF(L67="","",IF(VLOOKUP(L67,'G-3 Multipliers'!$L$3:$N$6,2,FALSE)=0,"Spatial Data Missing",VLOOKUP(L67,'G-3 Multipliers'!$L$3:$N$6,2,FALSE)))</f>
        <v/>
      </c>
      <c r="N67" s="505" t="str">
        <f>IF(L67="","",IF(VLOOKUP(L67,'G-3 Multipliers'!$L$3:$N$6,3,FALSE)=0,"Spatial Data Missing",VLOOKUP(L67,'G-3 Multipliers'!$L$3:$N$6,3,FALSE)))</f>
        <v/>
      </c>
      <c r="O67" s="498" t="str">
        <f t="shared" si="0"/>
        <v/>
      </c>
      <c r="P67" s="82"/>
      <c r="Q67" s="82"/>
      <c r="R67" s="507" t="str">
        <f t="shared" si="2"/>
        <v/>
      </c>
      <c r="S67" s="521" t="str">
        <f t="shared" si="3"/>
        <v/>
      </c>
      <c r="T67" s="522" t="str">
        <f>IFERROR(IF(S67="Check Data ⚠","Check Data ⚠",VLOOKUP(S67,'G-4 Temporal multipliers'!$A$4:$C$37,3,FALSE)),"")</f>
        <v/>
      </c>
      <c r="U67" s="523" t="str">
        <f>IF(F67="","",VLOOKUP(F67,'G-3 Multipliers'!$A$2:$E$129,2,FALSE))</f>
        <v/>
      </c>
      <c r="V67" s="520" t="str">
        <f t="shared" si="4"/>
        <v/>
      </c>
      <c r="W67" s="520" t="str">
        <f>IF(E67="","",IF(AND(V67="Standard difficulty applied",O67&gt;P67),U67,IF(AND(V67="Low Difficulty - only applicable if all habitat created before losses",P67&gt;=O67),"Low",VLOOKUP(F67,'G-3 Multipliers'!$A$2:$E$129,4,FALSE))))</f>
        <v/>
      </c>
      <c r="X67" s="524" t="str">
        <f>IFERROR(IF(E67="","",VLOOKUP(W67, 'G-3 Multipliers'!$P$2:$Q$6,2,FALSE)),"")</f>
        <v/>
      </c>
      <c r="Y67" s="529" t="str">
        <f t="shared" si="5"/>
        <v/>
      </c>
      <c r="Z67" s="239"/>
      <c r="AA67" s="240"/>
      <c r="AE67" s="54" t="str">
        <f t="shared" si="1"/>
        <v/>
      </c>
    </row>
    <row r="68" spans="1:31" x14ac:dyDescent="0.25">
      <c r="A68" s="47" t="str">
        <f>IFERROR(INDEX('G-8 Condition Look up'!$I$4:$I$130,MATCH(F68,'G-8 Condition Look up'!$A$4:$A$130,0)),"")</f>
        <v/>
      </c>
      <c r="C68" s="384" t="str">
        <f>IFERROR(INDEX('G-1 All Habitats'!$AG$3:$AG$15,MATCH(D68,'G-1 All Habitats'!$AF$3:$AF$15,0)),"")</f>
        <v/>
      </c>
      <c r="D68" s="146"/>
      <c r="E68" s="79"/>
      <c r="F68" s="246" t="str">
        <f>IFERROR(INDEX('G-1 All Habitats'!$B$3:$B$129,MATCH(E68,'G-1 All Habitats'!$A$3:$A$129,0)),"")</f>
        <v/>
      </c>
      <c r="G68" s="70"/>
      <c r="H68" s="498" t="str">
        <f>IF(F68="","",VLOOKUP(F68,'G-1 All Habitats'!$B$2:$M$129,10,FALSE))</f>
        <v/>
      </c>
      <c r="I68" s="499" t="str">
        <f>IFERROR(VLOOKUP(H68,'G-1 All Habitats'!$V$3:$W$7,2,FALSE),"")</f>
        <v/>
      </c>
      <c r="J68" s="71"/>
      <c r="K68" s="499" t="str">
        <f>IFERROR(INDEX('G-8 Condition Look up'!$A$3:$H$130,MATCH(F68,'G-8 Condition Look up'!$A$3:$A$130,0),MATCH(J68,'G-8 Condition Look up'!$A$3:$H$3,0)),"")</f>
        <v/>
      </c>
      <c r="L68" s="71"/>
      <c r="M68" s="507" t="str">
        <f>IF(L68="","",IF(VLOOKUP(L68,'G-3 Multipliers'!$L$3:$N$6,2,FALSE)=0,"Spatial Data Missing",VLOOKUP(L68,'G-3 Multipliers'!$L$3:$N$6,2,FALSE)))</f>
        <v/>
      </c>
      <c r="N68" s="505" t="str">
        <f>IF(L68="","",IF(VLOOKUP(L68,'G-3 Multipliers'!$L$3:$N$6,3,FALSE)=0,"Spatial Data Missing",VLOOKUP(L68,'G-3 Multipliers'!$L$3:$N$6,3,FALSE)))</f>
        <v/>
      </c>
      <c r="O68" s="498" t="str">
        <f t="shared" si="0"/>
        <v/>
      </c>
      <c r="P68" s="82"/>
      <c r="Q68" s="82"/>
      <c r="R68" s="507" t="str">
        <f t="shared" si="2"/>
        <v/>
      </c>
      <c r="S68" s="521" t="str">
        <f t="shared" si="3"/>
        <v/>
      </c>
      <c r="T68" s="522" t="str">
        <f>IFERROR(IF(S68="Check Data ⚠","Check Data ⚠",VLOOKUP(S68,'G-4 Temporal multipliers'!$A$4:$C$37,3,FALSE)),"")</f>
        <v/>
      </c>
      <c r="U68" s="523" t="str">
        <f>IF(F68="","",VLOOKUP(F68,'G-3 Multipliers'!$A$2:$E$129,2,FALSE))</f>
        <v/>
      </c>
      <c r="V68" s="520" t="str">
        <f t="shared" si="4"/>
        <v/>
      </c>
      <c r="W68" s="520" t="str">
        <f>IF(E68="","",IF(AND(V68="Standard difficulty applied",O68&gt;P68),U68,IF(AND(V68="Low Difficulty - only applicable if all habitat created before losses",P68&gt;=O68),"Low",VLOOKUP(F68,'G-3 Multipliers'!$A$2:$E$129,4,FALSE))))</f>
        <v/>
      </c>
      <c r="X68" s="524" t="str">
        <f>IFERROR(IF(E68="","",VLOOKUP(W68, 'G-3 Multipliers'!$P$2:$Q$6,2,FALSE)),"")</f>
        <v/>
      </c>
      <c r="Y68" s="529" t="str">
        <f t="shared" si="5"/>
        <v/>
      </c>
      <c r="Z68" s="239"/>
      <c r="AA68" s="240"/>
      <c r="AE68" s="54" t="str">
        <f t="shared" si="1"/>
        <v/>
      </c>
    </row>
    <row r="69" spans="1:31" x14ac:dyDescent="0.25">
      <c r="A69" s="47" t="str">
        <f>IFERROR(INDEX('G-8 Condition Look up'!$I$4:$I$130,MATCH(F69,'G-8 Condition Look up'!$A$4:$A$130,0)),"")</f>
        <v/>
      </c>
      <c r="C69" s="384" t="str">
        <f>IFERROR(INDEX('G-1 All Habitats'!$AG$3:$AG$15,MATCH(D69,'G-1 All Habitats'!$AF$3:$AF$15,0)),"")</f>
        <v/>
      </c>
      <c r="D69" s="146"/>
      <c r="E69" s="79"/>
      <c r="F69" s="246" t="str">
        <f>IFERROR(INDEX('G-1 All Habitats'!$B$3:$B$129,MATCH(E69,'G-1 All Habitats'!$A$3:$A$129,0)),"")</f>
        <v/>
      </c>
      <c r="G69" s="70"/>
      <c r="H69" s="498" t="str">
        <f>IF(F69="","",VLOOKUP(F69,'G-1 All Habitats'!$B$2:$M$129,10,FALSE))</f>
        <v/>
      </c>
      <c r="I69" s="499" t="str">
        <f>IFERROR(VLOOKUP(H69,'G-1 All Habitats'!$V$3:$W$7,2,FALSE),"")</f>
        <v/>
      </c>
      <c r="J69" s="71"/>
      <c r="K69" s="499" t="str">
        <f>IFERROR(INDEX('G-8 Condition Look up'!$A$3:$H$130,MATCH(F69,'G-8 Condition Look up'!$A$3:$A$130,0),MATCH(J69,'G-8 Condition Look up'!$A$3:$H$3,0)),"")</f>
        <v/>
      </c>
      <c r="L69" s="71"/>
      <c r="M69" s="507" t="str">
        <f>IF(L69="","",IF(VLOOKUP(L69,'G-3 Multipliers'!$L$3:$N$6,2,FALSE)=0,"Spatial Data Missing",VLOOKUP(L69,'G-3 Multipliers'!$L$3:$N$6,2,FALSE)))</f>
        <v/>
      </c>
      <c r="N69" s="505" t="str">
        <f>IF(L69="","",IF(VLOOKUP(L69,'G-3 Multipliers'!$L$3:$N$6,3,FALSE)=0,"Spatial Data Missing",VLOOKUP(L69,'G-3 Multipliers'!$L$3:$N$6,3,FALSE)))</f>
        <v/>
      </c>
      <c r="O69" s="498" t="str">
        <f t="shared" si="0"/>
        <v/>
      </c>
      <c r="P69" s="82"/>
      <c r="Q69" s="82"/>
      <c r="R69" s="507" t="str">
        <f t="shared" si="2"/>
        <v/>
      </c>
      <c r="S69" s="521" t="str">
        <f t="shared" si="3"/>
        <v/>
      </c>
      <c r="T69" s="522" t="str">
        <f>IFERROR(IF(S69="Check Data ⚠","Check Data ⚠",VLOOKUP(S69,'G-4 Temporal multipliers'!$A$4:$C$37,3,FALSE)),"")</f>
        <v/>
      </c>
      <c r="U69" s="523" t="str">
        <f>IF(F69="","",VLOOKUP(F69,'G-3 Multipliers'!$A$2:$E$129,2,FALSE))</f>
        <v/>
      </c>
      <c r="V69" s="520" t="str">
        <f t="shared" si="4"/>
        <v/>
      </c>
      <c r="W69" s="520" t="str">
        <f>IF(E69="","",IF(AND(V69="Standard difficulty applied",O69&gt;P69),U69,IF(AND(V69="Low Difficulty - only applicable if all habitat created before losses",P69&gt;=O69),"Low",VLOOKUP(F69,'G-3 Multipliers'!$A$2:$E$129,4,FALSE))))</f>
        <v/>
      </c>
      <c r="X69" s="524" t="str">
        <f>IFERROR(IF(E69="","",VLOOKUP(W69, 'G-3 Multipliers'!$P$2:$Q$6,2,FALSE)),"")</f>
        <v/>
      </c>
      <c r="Y69" s="529" t="str">
        <f t="shared" si="5"/>
        <v/>
      </c>
      <c r="Z69" s="239"/>
      <c r="AA69" s="240"/>
      <c r="AE69" s="54" t="str">
        <f t="shared" si="1"/>
        <v/>
      </c>
    </row>
    <row r="70" spans="1:31" x14ac:dyDescent="0.25">
      <c r="A70" s="47" t="str">
        <f>IFERROR(INDEX('G-8 Condition Look up'!$I$4:$I$130,MATCH(F70,'G-8 Condition Look up'!$A$4:$A$130,0)),"")</f>
        <v/>
      </c>
      <c r="C70" s="384" t="str">
        <f>IFERROR(INDEX('G-1 All Habitats'!$AG$3:$AG$15,MATCH(D70,'G-1 All Habitats'!$AF$3:$AF$15,0)),"")</f>
        <v/>
      </c>
      <c r="D70" s="146"/>
      <c r="E70" s="79"/>
      <c r="F70" s="246" t="str">
        <f>IFERROR(INDEX('G-1 All Habitats'!$B$3:$B$129,MATCH(E70,'G-1 All Habitats'!$A$3:$A$129,0)),"")</f>
        <v/>
      </c>
      <c r="G70" s="70"/>
      <c r="H70" s="498" t="str">
        <f>IF(F70="","",VLOOKUP(F70,'G-1 All Habitats'!$B$2:$M$129,10,FALSE))</f>
        <v/>
      </c>
      <c r="I70" s="499" t="str">
        <f>IFERROR(VLOOKUP(H70,'G-1 All Habitats'!$V$3:$W$7,2,FALSE),"")</f>
        <v/>
      </c>
      <c r="J70" s="71"/>
      <c r="K70" s="499" t="str">
        <f>IFERROR(INDEX('G-8 Condition Look up'!$A$3:$H$130,MATCH(F70,'G-8 Condition Look up'!$A$3:$A$130,0),MATCH(J70,'G-8 Condition Look up'!$A$3:$H$3,0)),"")</f>
        <v/>
      </c>
      <c r="L70" s="71"/>
      <c r="M70" s="507" t="str">
        <f>IF(L70="","",IF(VLOOKUP(L70,'G-3 Multipliers'!$L$3:$N$6,2,FALSE)=0,"Spatial Data Missing",VLOOKUP(L70,'G-3 Multipliers'!$L$3:$N$6,2,FALSE)))</f>
        <v/>
      </c>
      <c r="N70" s="505" t="str">
        <f>IF(L70="","",IF(VLOOKUP(L70,'G-3 Multipliers'!$L$3:$N$6,3,FALSE)=0,"Spatial Data Missing",VLOOKUP(L70,'G-3 Multipliers'!$L$3:$N$6,3,FALSE)))</f>
        <v/>
      </c>
      <c r="O70" s="498" t="str">
        <f t="shared" si="0"/>
        <v/>
      </c>
      <c r="P70" s="82"/>
      <c r="Q70" s="82"/>
      <c r="R70" s="507" t="str">
        <f t="shared" si="2"/>
        <v/>
      </c>
      <c r="S70" s="521" t="str">
        <f t="shared" si="3"/>
        <v/>
      </c>
      <c r="T70" s="522" t="str">
        <f>IFERROR(IF(S70="Check Data ⚠","Check Data ⚠",VLOOKUP(S70,'G-4 Temporal multipliers'!$A$4:$C$37,3,FALSE)),"")</f>
        <v/>
      </c>
      <c r="U70" s="523" t="str">
        <f>IF(F70="","",VLOOKUP(F70,'G-3 Multipliers'!$A$2:$E$129,2,FALSE))</f>
        <v/>
      </c>
      <c r="V70" s="520" t="str">
        <f t="shared" si="4"/>
        <v/>
      </c>
      <c r="W70" s="520" t="str">
        <f>IF(E70="","",IF(AND(V70="Standard difficulty applied",O70&gt;P70),U70,IF(AND(V70="Low Difficulty - only applicable if all habitat created before losses",P70&gt;=O70),"Low",VLOOKUP(F70,'G-3 Multipliers'!$A$2:$E$129,4,FALSE))))</f>
        <v/>
      </c>
      <c r="X70" s="524" t="str">
        <f>IFERROR(IF(E70="","",VLOOKUP(W70, 'G-3 Multipliers'!$P$2:$Q$6,2,FALSE)),"")</f>
        <v/>
      </c>
      <c r="Y70" s="529" t="str">
        <f t="shared" si="5"/>
        <v/>
      </c>
      <c r="Z70" s="239"/>
      <c r="AA70" s="240"/>
      <c r="AE70" s="54" t="str">
        <f t="shared" si="1"/>
        <v/>
      </c>
    </row>
    <row r="71" spans="1:31" x14ac:dyDescent="0.25">
      <c r="A71" s="47" t="str">
        <f>IFERROR(INDEX('G-8 Condition Look up'!$I$4:$I$130,MATCH(F71,'G-8 Condition Look up'!$A$4:$A$130,0)),"")</f>
        <v/>
      </c>
      <c r="C71" s="384" t="str">
        <f>IFERROR(INDEX('G-1 All Habitats'!$AG$3:$AG$15,MATCH(D71,'G-1 All Habitats'!$AF$3:$AF$15,0)),"")</f>
        <v/>
      </c>
      <c r="D71" s="146"/>
      <c r="E71" s="79"/>
      <c r="F71" s="246" t="str">
        <f>IFERROR(INDEX('G-1 All Habitats'!$B$3:$B$129,MATCH(E71,'G-1 All Habitats'!$A$3:$A$129,0)),"")</f>
        <v/>
      </c>
      <c r="G71" s="70"/>
      <c r="H71" s="498" t="str">
        <f>IF(F71="","",VLOOKUP(F71,'G-1 All Habitats'!$B$2:$M$129,10,FALSE))</f>
        <v/>
      </c>
      <c r="I71" s="499" t="str">
        <f>IFERROR(VLOOKUP(H71,'G-1 All Habitats'!$V$3:$W$7,2,FALSE),"")</f>
        <v/>
      </c>
      <c r="J71" s="71"/>
      <c r="K71" s="499" t="str">
        <f>IFERROR(INDEX('G-8 Condition Look up'!$A$3:$H$130,MATCH(F71,'G-8 Condition Look up'!$A$3:$A$130,0),MATCH(J71,'G-8 Condition Look up'!$A$3:$H$3,0)),"")</f>
        <v/>
      </c>
      <c r="L71" s="71"/>
      <c r="M71" s="507" t="str">
        <f>IF(L71="","",IF(VLOOKUP(L71,'G-3 Multipliers'!$L$3:$N$6,2,FALSE)=0,"Spatial Data Missing",VLOOKUP(L71,'G-3 Multipliers'!$L$3:$N$6,2,FALSE)))</f>
        <v/>
      </c>
      <c r="N71" s="505" t="str">
        <f>IF(L71="","",IF(VLOOKUP(L71,'G-3 Multipliers'!$L$3:$N$6,3,FALSE)=0,"Spatial Data Missing",VLOOKUP(L71,'G-3 Multipliers'!$L$3:$N$6,3,FALSE)))</f>
        <v/>
      </c>
      <c r="O71" s="498" t="str">
        <f t="shared" si="0"/>
        <v/>
      </c>
      <c r="P71" s="82"/>
      <c r="Q71" s="82"/>
      <c r="R71" s="507" t="str">
        <f t="shared" si="2"/>
        <v/>
      </c>
      <c r="S71" s="521" t="str">
        <f t="shared" si="3"/>
        <v/>
      </c>
      <c r="T71" s="522" t="str">
        <f>IFERROR(IF(S71="Check Data ⚠","Check Data ⚠",VLOOKUP(S71,'G-4 Temporal multipliers'!$A$4:$C$37,3,FALSE)),"")</f>
        <v/>
      </c>
      <c r="U71" s="523" t="str">
        <f>IF(F71="","",VLOOKUP(F71,'G-3 Multipliers'!$A$2:$E$129,2,FALSE))</f>
        <v/>
      </c>
      <c r="V71" s="520" t="str">
        <f t="shared" si="4"/>
        <v/>
      </c>
      <c r="W71" s="520" t="str">
        <f>IF(E71="","",IF(AND(V71="Standard difficulty applied",O71&gt;P71),U71,IF(AND(V71="Low Difficulty - only applicable if all habitat created before losses",P71&gt;=O71),"Low",VLOOKUP(F71,'G-3 Multipliers'!$A$2:$E$129,4,FALSE))))</f>
        <v/>
      </c>
      <c r="X71" s="524" t="str">
        <f>IFERROR(IF(E71="","",VLOOKUP(W71, 'G-3 Multipliers'!$P$2:$Q$6,2,FALSE)),"")</f>
        <v/>
      </c>
      <c r="Y71" s="529" t="str">
        <f t="shared" si="5"/>
        <v/>
      </c>
      <c r="Z71" s="239"/>
      <c r="AA71" s="240"/>
      <c r="AE71" s="54" t="str">
        <f t="shared" si="1"/>
        <v/>
      </c>
    </row>
    <row r="72" spans="1:31" x14ac:dyDescent="0.25">
      <c r="A72" s="47" t="str">
        <f>IFERROR(INDEX('G-8 Condition Look up'!$I$4:$I$130,MATCH(F72,'G-8 Condition Look up'!$A$4:$A$130,0)),"")</f>
        <v/>
      </c>
      <c r="C72" s="384" t="str">
        <f>IFERROR(INDEX('G-1 All Habitats'!$AG$3:$AG$15,MATCH(D72,'G-1 All Habitats'!$AF$3:$AF$15,0)),"")</f>
        <v/>
      </c>
      <c r="D72" s="146"/>
      <c r="E72" s="79"/>
      <c r="F72" s="246" t="str">
        <f>IFERROR(INDEX('G-1 All Habitats'!$B$3:$B$129,MATCH(E72,'G-1 All Habitats'!$A$3:$A$129,0)),"")</f>
        <v/>
      </c>
      <c r="G72" s="70"/>
      <c r="H72" s="498" t="str">
        <f>IF(F72="","",VLOOKUP(F72,'G-1 All Habitats'!$B$2:$M$129,10,FALSE))</f>
        <v/>
      </c>
      <c r="I72" s="499" t="str">
        <f>IFERROR(VLOOKUP(H72,'G-1 All Habitats'!$V$3:$W$7,2,FALSE),"")</f>
        <v/>
      </c>
      <c r="J72" s="71"/>
      <c r="K72" s="499" t="str">
        <f>IFERROR(INDEX('G-8 Condition Look up'!$A$3:$H$130,MATCH(F72,'G-8 Condition Look up'!$A$3:$A$130,0),MATCH(J72,'G-8 Condition Look up'!$A$3:$H$3,0)),"")</f>
        <v/>
      </c>
      <c r="L72" s="71"/>
      <c r="M72" s="507" t="str">
        <f>IF(L72="","",IF(VLOOKUP(L72,'G-3 Multipliers'!$L$3:$N$6,2,FALSE)=0,"Spatial Data Missing",VLOOKUP(L72,'G-3 Multipliers'!$L$3:$N$6,2,FALSE)))</f>
        <v/>
      </c>
      <c r="N72" s="505" t="str">
        <f>IF(L72="","",IF(VLOOKUP(L72,'G-3 Multipliers'!$L$3:$N$6,3,FALSE)=0,"Spatial Data Missing",VLOOKUP(L72,'G-3 Multipliers'!$L$3:$N$6,3,FALSE)))</f>
        <v/>
      </c>
      <c r="O72" s="498" t="str">
        <f t="shared" si="0"/>
        <v/>
      </c>
      <c r="P72" s="82"/>
      <c r="Q72" s="82"/>
      <c r="R72" s="507" t="str">
        <f t="shared" si="2"/>
        <v/>
      </c>
      <c r="S72" s="521" t="str">
        <f t="shared" si="3"/>
        <v/>
      </c>
      <c r="T72" s="522" t="str">
        <f>IFERROR(IF(S72="Check Data ⚠","Check Data ⚠",VLOOKUP(S72,'G-4 Temporal multipliers'!$A$4:$C$37,3,FALSE)),"")</f>
        <v/>
      </c>
      <c r="U72" s="523" t="str">
        <f>IF(F72="","",VLOOKUP(F72,'G-3 Multipliers'!$A$2:$E$129,2,FALSE))</f>
        <v/>
      </c>
      <c r="V72" s="520" t="str">
        <f t="shared" si="4"/>
        <v/>
      </c>
      <c r="W72" s="520" t="str">
        <f>IF(E72="","",IF(AND(V72="Standard difficulty applied",O72&gt;P72),U72,IF(AND(V72="Low Difficulty - only applicable if all habitat created before losses",P72&gt;=O72),"Low",VLOOKUP(F72,'G-3 Multipliers'!$A$2:$E$129,4,FALSE))))</f>
        <v/>
      </c>
      <c r="X72" s="524" t="str">
        <f>IFERROR(IF(E72="","",VLOOKUP(W72, 'G-3 Multipliers'!$P$2:$Q$6,2,FALSE)),"")</f>
        <v/>
      </c>
      <c r="Y72" s="529" t="str">
        <f t="shared" si="5"/>
        <v/>
      </c>
      <c r="Z72" s="239"/>
      <c r="AA72" s="240"/>
      <c r="AE72" s="54" t="str">
        <f t="shared" si="1"/>
        <v/>
      </c>
    </row>
    <row r="73" spans="1:31" x14ac:dyDescent="0.25">
      <c r="A73" s="47" t="str">
        <f>IFERROR(INDEX('G-8 Condition Look up'!$I$4:$I$130,MATCH(F73,'G-8 Condition Look up'!$A$4:$A$130,0)),"")</f>
        <v/>
      </c>
      <c r="C73" s="384" t="str">
        <f>IFERROR(INDEX('G-1 All Habitats'!$AG$3:$AG$15,MATCH(D73,'G-1 All Habitats'!$AF$3:$AF$15,0)),"")</f>
        <v/>
      </c>
      <c r="D73" s="146"/>
      <c r="E73" s="79"/>
      <c r="F73" s="246" t="str">
        <f>IFERROR(INDEX('G-1 All Habitats'!$B$3:$B$129,MATCH(E73,'G-1 All Habitats'!$A$3:$A$129,0)),"")</f>
        <v/>
      </c>
      <c r="G73" s="70"/>
      <c r="H73" s="498" t="str">
        <f>IF(F73="","",VLOOKUP(F73,'G-1 All Habitats'!$B$2:$M$129,10,FALSE))</f>
        <v/>
      </c>
      <c r="I73" s="499" t="str">
        <f>IFERROR(VLOOKUP(H73,'G-1 All Habitats'!$V$3:$W$7,2,FALSE),"")</f>
        <v/>
      </c>
      <c r="J73" s="71"/>
      <c r="K73" s="499" t="str">
        <f>IFERROR(INDEX('G-8 Condition Look up'!$A$3:$H$130,MATCH(F73,'G-8 Condition Look up'!$A$3:$A$130,0),MATCH(J73,'G-8 Condition Look up'!$A$3:$H$3,0)),"")</f>
        <v/>
      </c>
      <c r="L73" s="71"/>
      <c r="M73" s="507" t="str">
        <f>IF(L73="","",IF(VLOOKUP(L73,'G-3 Multipliers'!$L$3:$N$6,2,FALSE)=0,"Spatial Data Missing",VLOOKUP(L73,'G-3 Multipliers'!$L$3:$N$6,2,FALSE)))</f>
        <v/>
      </c>
      <c r="N73" s="505" t="str">
        <f>IF(L73="","",IF(VLOOKUP(L73,'G-3 Multipliers'!$L$3:$N$6,3,FALSE)=0,"Spatial Data Missing",VLOOKUP(L73,'G-3 Multipliers'!$L$3:$N$6,3,FALSE)))</f>
        <v/>
      </c>
      <c r="O73" s="498" t="str">
        <f t="shared" si="0"/>
        <v/>
      </c>
      <c r="P73" s="82"/>
      <c r="Q73" s="82"/>
      <c r="R73" s="507" t="str">
        <f t="shared" si="2"/>
        <v/>
      </c>
      <c r="S73" s="521" t="str">
        <f t="shared" si="3"/>
        <v/>
      </c>
      <c r="T73" s="522" t="str">
        <f>IFERROR(IF(S73="Check Data ⚠","Check Data ⚠",VLOOKUP(S73,'G-4 Temporal multipliers'!$A$4:$C$37,3,FALSE)),"")</f>
        <v/>
      </c>
      <c r="U73" s="523" t="str">
        <f>IF(F73="","",VLOOKUP(F73,'G-3 Multipliers'!$A$2:$E$129,2,FALSE))</f>
        <v/>
      </c>
      <c r="V73" s="520" t="str">
        <f t="shared" si="4"/>
        <v/>
      </c>
      <c r="W73" s="520" t="str">
        <f>IF(E73="","",IF(AND(V73="Standard difficulty applied",O73&gt;P73),U73,IF(AND(V73="Low Difficulty - only applicable if all habitat created before losses",P73&gt;=O73),"Low",VLOOKUP(F73,'G-3 Multipliers'!$A$2:$E$129,4,FALSE))))</f>
        <v/>
      </c>
      <c r="X73" s="524" t="str">
        <f>IFERROR(IF(E73="","",VLOOKUP(W73, 'G-3 Multipliers'!$P$2:$Q$6,2,FALSE)),"")</f>
        <v/>
      </c>
      <c r="Y73" s="529" t="str">
        <f t="shared" si="5"/>
        <v/>
      </c>
      <c r="Z73" s="239"/>
      <c r="AA73" s="240"/>
      <c r="AE73" s="54" t="str">
        <f t="shared" si="1"/>
        <v/>
      </c>
    </row>
    <row r="74" spans="1:31" x14ac:dyDescent="0.25">
      <c r="A74" s="47" t="str">
        <f>IFERROR(INDEX('G-8 Condition Look up'!$I$4:$I$130,MATCH(F74,'G-8 Condition Look up'!$A$4:$A$130,0)),"")</f>
        <v/>
      </c>
      <c r="C74" s="384" t="str">
        <f>IFERROR(INDEX('G-1 All Habitats'!$AG$3:$AG$15,MATCH(D74,'G-1 All Habitats'!$AF$3:$AF$15,0)),"")</f>
        <v/>
      </c>
      <c r="D74" s="146"/>
      <c r="E74" s="79"/>
      <c r="F74" s="246" t="str">
        <f>IFERROR(INDEX('G-1 All Habitats'!$B$3:$B$129,MATCH(E74,'G-1 All Habitats'!$A$3:$A$129,0)),"")</f>
        <v/>
      </c>
      <c r="G74" s="70"/>
      <c r="H74" s="498" t="str">
        <f>IF(F74="","",VLOOKUP(F74,'G-1 All Habitats'!$B$2:$M$129,10,FALSE))</f>
        <v/>
      </c>
      <c r="I74" s="499" t="str">
        <f>IFERROR(VLOOKUP(H74,'G-1 All Habitats'!$V$3:$W$7,2,FALSE),"")</f>
        <v/>
      </c>
      <c r="J74" s="71"/>
      <c r="K74" s="499" t="str">
        <f>IFERROR(INDEX('G-8 Condition Look up'!$A$3:$H$130,MATCH(F74,'G-8 Condition Look up'!$A$3:$A$130,0),MATCH(J74,'G-8 Condition Look up'!$A$3:$H$3,0)),"")</f>
        <v/>
      </c>
      <c r="L74" s="71"/>
      <c r="M74" s="507" t="str">
        <f>IF(L74="","",IF(VLOOKUP(L74,'G-3 Multipliers'!$L$3:$N$6,2,FALSE)=0,"Spatial Data Missing",VLOOKUP(L74,'G-3 Multipliers'!$L$3:$N$6,2,FALSE)))</f>
        <v/>
      </c>
      <c r="N74" s="505" t="str">
        <f>IF(L74="","",IF(VLOOKUP(L74,'G-3 Multipliers'!$L$3:$N$6,3,FALSE)=0,"Spatial Data Missing",VLOOKUP(L74,'G-3 Multipliers'!$L$3:$N$6,3,FALSE)))</f>
        <v/>
      </c>
      <c r="O74" s="498" t="str">
        <f t="shared" si="0"/>
        <v/>
      </c>
      <c r="P74" s="82"/>
      <c r="Q74" s="82"/>
      <c r="R74" s="507" t="str">
        <f t="shared" si="2"/>
        <v/>
      </c>
      <c r="S74" s="521" t="str">
        <f t="shared" si="3"/>
        <v/>
      </c>
      <c r="T74" s="522" t="str">
        <f>IFERROR(IF(S74="Check Data ⚠","Check Data ⚠",VLOOKUP(S74,'G-4 Temporal multipliers'!$A$4:$C$37,3,FALSE)),"")</f>
        <v/>
      </c>
      <c r="U74" s="523" t="str">
        <f>IF(F74="","",VLOOKUP(F74,'G-3 Multipliers'!$A$2:$E$129,2,FALSE))</f>
        <v/>
      </c>
      <c r="V74" s="520" t="str">
        <f t="shared" si="4"/>
        <v/>
      </c>
      <c r="W74" s="520" t="str">
        <f>IF(E74="","",IF(AND(V74="Standard difficulty applied",O74&gt;P74),U74,IF(AND(V74="Low Difficulty - only applicable if all habitat created before losses",P74&gt;=O74),"Low",VLOOKUP(F74,'G-3 Multipliers'!$A$2:$E$129,4,FALSE))))</f>
        <v/>
      </c>
      <c r="X74" s="524" t="str">
        <f>IFERROR(IF(E74="","",VLOOKUP(W74, 'G-3 Multipliers'!$P$2:$Q$6,2,FALSE)),"")</f>
        <v/>
      </c>
      <c r="Y74" s="529" t="str">
        <f t="shared" si="5"/>
        <v/>
      </c>
      <c r="Z74" s="239"/>
      <c r="AA74" s="240"/>
      <c r="AE74" s="54" t="str">
        <f t="shared" si="1"/>
        <v/>
      </c>
    </row>
    <row r="75" spans="1:31" x14ac:dyDescent="0.25">
      <c r="A75" s="47" t="str">
        <f>IFERROR(INDEX('G-8 Condition Look up'!$I$4:$I$130,MATCH(F75,'G-8 Condition Look up'!$A$4:$A$130,0)),"")</f>
        <v/>
      </c>
      <c r="C75" s="384" t="str">
        <f>IFERROR(INDEX('G-1 All Habitats'!$AG$3:$AG$15,MATCH(D75,'G-1 All Habitats'!$AF$3:$AF$15,0)),"")</f>
        <v/>
      </c>
      <c r="D75" s="146"/>
      <c r="E75" s="79"/>
      <c r="F75" s="246" t="str">
        <f>IFERROR(INDEX('G-1 All Habitats'!$B$3:$B$129,MATCH(E75,'G-1 All Habitats'!$A$3:$A$129,0)),"")</f>
        <v/>
      </c>
      <c r="G75" s="70"/>
      <c r="H75" s="498" t="str">
        <f>IF(F75="","",VLOOKUP(F75,'G-1 All Habitats'!$B$2:$M$129,10,FALSE))</f>
        <v/>
      </c>
      <c r="I75" s="499" t="str">
        <f>IFERROR(VLOOKUP(H75,'G-1 All Habitats'!$V$3:$W$7,2,FALSE),"")</f>
        <v/>
      </c>
      <c r="J75" s="71"/>
      <c r="K75" s="499" t="str">
        <f>IFERROR(INDEX('G-8 Condition Look up'!$A$3:$H$130,MATCH(F75,'G-8 Condition Look up'!$A$3:$A$130,0),MATCH(J75,'G-8 Condition Look up'!$A$3:$H$3,0)),"")</f>
        <v/>
      </c>
      <c r="L75" s="71"/>
      <c r="M75" s="507" t="str">
        <f>IF(L75="","",IF(VLOOKUP(L75,'G-3 Multipliers'!$L$3:$N$6,2,FALSE)=0,"Spatial Data Missing",VLOOKUP(L75,'G-3 Multipliers'!$L$3:$N$6,2,FALSE)))</f>
        <v/>
      </c>
      <c r="N75" s="505" t="str">
        <f>IF(L75="","",IF(VLOOKUP(L75,'G-3 Multipliers'!$L$3:$N$6,3,FALSE)=0,"Spatial Data Missing",VLOOKUP(L75,'G-3 Multipliers'!$L$3:$N$6,3,FALSE)))</f>
        <v/>
      </c>
      <c r="O75" s="498" t="str">
        <f t="shared" ref="O75:O138" si="6">IFERROR(INDEX(TemporalData,MATCH(F75,TemporalHabitats,0),MATCH(J75,TemporalConditions,0)),"")</f>
        <v/>
      </c>
      <c r="P75" s="82"/>
      <c r="Q75" s="82"/>
      <c r="R75" s="507" t="str">
        <f t="shared" si="2"/>
        <v/>
      </c>
      <c r="S75" s="521" t="str">
        <f t="shared" si="3"/>
        <v/>
      </c>
      <c r="T75" s="522" t="str">
        <f>IFERROR(IF(S75="Check Data ⚠","Check Data ⚠",VLOOKUP(S75,'G-4 Temporal multipliers'!$A$4:$C$37,3,FALSE)),"")</f>
        <v/>
      </c>
      <c r="U75" s="523" t="str">
        <f>IF(F75="","",VLOOKUP(F75,'G-3 Multipliers'!$A$2:$E$129,2,FALSE))</f>
        <v/>
      </c>
      <c r="V75" s="520" t="str">
        <f t="shared" si="4"/>
        <v/>
      </c>
      <c r="W75" s="520" t="str">
        <f>IF(E75="","",IF(AND(V75="Standard difficulty applied",O75&gt;P75),U75,IF(AND(V75="Low Difficulty - only applicable if all habitat created before losses",P75&gt;=O75),"Low",VLOOKUP(F75,'G-3 Multipliers'!$A$2:$E$129,4,FALSE))))</f>
        <v/>
      </c>
      <c r="X75" s="524" t="str">
        <f>IFERROR(IF(E75="","",VLOOKUP(W75, 'G-3 Multipliers'!$P$2:$Q$6,2,FALSE)),"")</f>
        <v/>
      </c>
      <c r="Y75" s="529" t="str">
        <f t="shared" si="5"/>
        <v/>
      </c>
      <c r="Z75" s="239"/>
      <c r="AA75" s="240"/>
      <c r="AE75" s="54" t="str">
        <f t="shared" ref="AE75:AE138" si="7">IFERROR(INDEX(TemporalData,MATCH(F75,TemporalHabitats,0),MATCH($AE$10,TemporalConditions,0)),"")</f>
        <v/>
      </c>
    </row>
    <row r="76" spans="1:31" x14ac:dyDescent="0.25">
      <c r="A76" s="47" t="str">
        <f>IFERROR(INDEX('G-8 Condition Look up'!$I$4:$I$130,MATCH(F76,'G-8 Condition Look up'!$A$4:$A$130,0)),"")</f>
        <v/>
      </c>
      <c r="C76" s="384" t="str">
        <f>IFERROR(INDEX('G-1 All Habitats'!$AG$3:$AG$15,MATCH(D76,'G-1 All Habitats'!$AF$3:$AF$15,0)),"")</f>
        <v/>
      </c>
      <c r="D76" s="146"/>
      <c r="E76" s="79"/>
      <c r="F76" s="246" t="str">
        <f>IFERROR(INDEX('G-1 All Habitats'!$B$3:$B$129,MATCH(E76,'G-1 All Habitats'!$A$3:$A$129,0)),"")</f>
        <v/>
      </c>
      <c r="G76" s="70"/>
      <c r="H76" s="498" t="str">
        <f>IF(F76="","",VLOOKUP(F76,'G-1 All Habitats'!$B$2:$M$129,10,FALSE))</f>
        <v/>
      </c>
      <c r="I76" s="499" t="str">
        <f>IFERROR(VLOOKUP(H76,'G-1 All Habitats'!$V$3:$W$7,2,FALSE),"")</f>
        <v/>
      </c>
      <c r="J76" s="71"/>
      <c r="K76" s="499" t="str">
        <f>IFERROR(INDEX('G-8 Condition Look up'!$A$3:$H$130,MATCH(F76,'G-8 Condition Look up'!$A$3:$A$130,0),MATCH(J76,'G-8 Condition Look up'!$A$3:$H$3,0)),"")</f>
        <v/>
      </c>
      <c r="L76" s="71"/>
      <c r="M76" s="507" t="str">
        <f>IF(L76="","",IF(VLOOKUP(L76,'G-3 Multipliers'!$L$3:$N$6,2,FALSE)=0,"Spatial Data Missing",VLOOKUP(L76,'G-3 Multipliers'!$L$3:$N$6,2,FALSE)))</f>
        <v/>
      </c>
      <c r="N76" s="505" t="str">
        <f>IF(L76="","",IF(VLOOKUP(L76,'G-3 Multipliers'!$L$3:$N$6,3,FALSE)=0,"Spatial Data Missing",VLOOKUP(L76,'G-3 Multipliers'!$L$3:$N$6,3,FALSE)))</f>
        <v/>
      </c>
      <c r="O76" s="498" t="str">
        <f t="shared" si="6"/>
        <v/>
      </c>
      <c r="P76" s="82"/>
      <c r="Q76" s="82"/>
      <c r="R76" s="507"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21"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522" t="str">
        <f>IFERROR(IF(S76="Check Data ⚠","Check Data ⚠",VLOOKUP(S76,'G-4 Temporal multipliers'!$A$4:$C$37,3,FALSE)),"")</f>
        <v/>
      </c>
      <c r="U76" s="523" t="str">
        <f>IF(F76="","",VLOOKUP(F76,'G-3 Multipliers'!$A$2:$E$129,2,FALSE))</f>
        <v/>
      </c>
      <c r="V76" s="520" t="str">
        <f t="shared" ref="V76:V139" si="10">IF(F76="","",IF($R76="Check details - Is there evidence that habitat has reached target condition? ⚠","Low Difficulty - only applicable if all habitat created before losses",IF($R76="Check details - Is there evidence habitat creation started and the threshold for Poor condition reached? ⚠","Enhancement difficulty applied","Standard difficulty applied")))</f>
        <v/>
      </c>
      <c r="W76" s="520" t="str">
        <f>IF(E76="","",IF(AND(V76="Standard difficulty applied",O76&gt;P76),U76,IF(AND(V76="Low Difficulty - only applicable if all habitat created before losses",P76&gt;=O76),"Low",VLOOKUP(F76,'G-3 Multipliers'!$A$2:$E$129,4,FALSE))))</f>
        <v/>
      </c>
      <c r="X76" s="524" t="str">
        <f>IFERROR(IF(E76="","",VLOOKUP(W76, 'G-3 Multipliers'!$P$2:$Q$6,2,FALSE)),"")</f>
        <v/>
      </c>
      <c r="Y76" s="529" t="str">
        <f t="shared" ref="Y76:Y139" si="11">IFERROR(G76*I76*K76*N76*T76*X76,"")</f>
        <v/>
      </c>
      <c r="Z76" s="239"/>
      <c r="AA76" s="240"/>
      <c r="AE76" s="54" t="str">
        <f t="shared" si="7"/>
        <v/>
      </c>
    </row>
    <row r="77" spans="1:31" x14ac:dyDescent="0.25">
      <c r="A77" s="47" t="str">
        <f>IFERROR(INDEX('G-8 Condition Look up'!$I$4:$I$130,MATCH(F77,'G-8 Condition Look up'!$A$4:$A$130,0)),"")</f>
        <v/>
      </c>
      <c r="C77" s="384" t="str">
        <f>IFERROR(INDEX('G-1 All Habitats'!$AG$3:$AG$15,MATCH(D77,'G-1 All Habitats'!$AF$3:$AF$15,0)),"")</f>
        <v/>
      </c>
      <c r="D77" s="146"/>
      <c r="E77" s="79"/>
      <c r="F77" s="246" t="str">
        <f>IFERROR(INDEX('G-1 All Habitats'!$B$3:$B$129,MATCH(E77,'G-1 All Habitats'!$A$3:$A$129,0)),"")</f>
        <v/>
      </c>
      <c r="G77" s="70"/>
      <c r="H77" s="498" t="str">
        <f>IF(F77="","",VLOOKUP(F77,'G-1 All Habitats'!$B$2:$M$129,10,FALSE))</f>
        <v/>
      </c>
      <c r="I77" s="499" t="str">
        <f>IFERROR(VLOOKUP(H77,'G-1 All Habitats'!$V$3:$W$7,2,FALSE),"")</f>
        <v/>
      </c>
      <c r="J77" s="71"/>
      <c r="K77" s="499" t="str">
        <f>IFERROR(INDEX('G-8 Condition Look up'!$A$3:$H$130,MATCH(F77,'G-8 Condition Look up'!$A$3:$A$130,0),MATCH(J77,'G-8 Condition Look up'!$A$3:$H$3,0)),"")</f>
        <v/>
      </c>
      <c r="L77" s="71"/>
      <c r="M77" s="507" t="str">
        <f>IF(L77="","",IF(VLOOKUP(L77,'G-3 Multipliers'!$L$3:$N$6,2,FALSE)=0,"Spatial Data Missing",VLOOKUP(L77,'G-3 Multipliers'!$L$3:$N$6,2,FALSE)))</f>
        <v/>
      </c>
      <c r="N77" s="505" t="str">
        <f>IF(L77="","",IF(VLOOKUP(L77,'G-3 Multipliers'!$L$3:$N$6,3,FALSE)=0,"Spatial Data Missing",VLOOKUP(L77,'G-3 Multipliers'!$L$3:$N$6,3,FALSE)))</f>
        <v/>
      </c>
      <c r="O77" s="498" t="str">
        <f t="shared" si="6"/>
        <v/>
      </c>
      <c r="P77" s="82"/>
      <c r="Q77" s="82"/>
      <c r="R77" s="507" t="str">
        <f t="shared" si="8"/>
        <v/>
      </c>
      <c r="S77" s="521" t="str">
        <f t="shared" si="9"/>
        <v/>
      </c>
      <c r="T77" s="522" t="str">
        <f>IFERROR(IF(S77="Check Data ⚠","Check Data ⚠",VLOOKUP(S77,'G-4 Temporal multipliers'!$A$4:$C$37,3,FALSE)),"")</f>
        <v/>
      </c>
      <c r="U77" s="523" t="str">
        <f>IF(F77="","",VLOOKUP(F77,'G-3 Multipliers'!$A$2:$E$129,2,FALSE))</f>
        <v/>
      </c>
      <c r="V77" s="520" t="str">
        <f t="shared" si="10"/>
        <v/>
      </c>
      <c r="W77" s="520" t="str">
        <f>IF(E77="","",IF(AND(V77="Standard difficulty applied",O77&gt;P77),U77,IF(AND(V77="Low Difficulty - only applicable if all habitat created before losses",P77&gt;=O77),"Low",VLOOKUP(F77,'G-3 Multipliers'!$A$2:$E$129,4,FALSE))))</f>
        <v/>
      </c>
      <c r="X77" s="524" t="str">
        <f>IFERROR(IF(E77="","",VLOOKUP(W77, 'G-3 Multipliers'!$P$2:$Q$6,2,FALSE)),"")</f>
        <v/>
      </c>
      <c r="Y77" s="529" t="str">
        <f t="shared" si="11"/>
        <v/>
      </c>
      <c r="Z77" s="239"/>
      <c r="AA77" s="240"/>
      <c r="AE77" s="54" t="str">
        <f t="shared" si="7"/>
        <v/>
      </c>
    </row>
    <row r="78" spans="1:31" x14ac:dyDescent="0.25">
      <c r="A78" s="47" t="str">
        <f>IFERROR(INDEX('G-8 Condition Look up'!$I$4:$I$130,MATCH(F78,'G-8 Condition Look up'!$A$4:$A$130,0)),"")</f>
        <v/>
      </c>
      <c r="C78" s="384" t="str">
        <f>IFERROR(INDEX('G-1 All Habitats'!$AG$3:$AG$15,MATCH(D78,'G-1 All Habitats'!$AF$3:$AF$15,0)),"")</f>
        <v/>
      </c>
      <c r="D78" s="146"/>
      <c r="E78" s="79"/>
      <c r="F78" s="246" t="str">
        <f>IFERROR(INDEX('G-1 All Habitats'!$B$3:$B$129,MATCH(E78,'G-1 All Habitats'!$A$3:$A$129,0)),"")</f>
        <v/>
      </c>
      <c r="G78" s="70"/>
      <c r="H78" s="498" t="str">
        <f>IF(F78="","",VLOOKUP(F78,'G-1 All Habitats'!$B$2:$M$129,10,FALSE))</f>
        <v/>
      </c>
      <c r="I78" s="499" t="str">
        <f>IFERROR(VLOOKUP(H78,'G-1 All Habitats'!$V$3:$W$7,2,FALSE),"")</f>
        <v/>
      </c>
      <c r="J78" s="71"/>
      <c r="K78" s="499" t="str">
        <f>IFERROR(INDEX('G-8 Condition Look up'!$A$3:$H$130,MATCH(F78,'G-8 Condition Look up'!$A$3:$A$130,0),MATCH(J78,'G-8 Condition Look up'!$A$3:$H$3,0)),"")</f>
        <v/>
      </c>
      <c r="L78" s="71"/>
      <c r="M78" s="507" t="str">
        <f>IF(L78="","",IF(VLOOKUP(L78,'G-3 Multipliers'!$L$3:$N$6,2,FALSE)=0,"Spatial Data Missing",VLOOKUP(L78,'G-3 Multipliers'!$L$3:$N$6,2,FALSE)))</f>
        <v/>
      </c>
      <c r="N78" s="505" t="str">
        <f>IF(L78="","",IF(VLOOKUP(L78,'G-3 Multipliers'!$L$3:$N$6,3,FALSE)=0,"Spatial Data Missing",VLOOKUP(L78,'G-3 Multipliers'!$L$3:$N$6,3,FALSE)))</f>
        <v/>
      </c>
      <c r="O78" s="498" t="str">
        <f t="shared" si="6"/>
        <v/>
      </c>
      <c r="P78" s="82"/>
      <c r="Q78" s="82"/>
      <c r="R78" s="507" t="str">
        <f t="shared" si="8"/>
        <v/>
      </c>
      <c r="S78" s="521" t="str">
        <f t="shared" si="9"/>
        <v/>
      </c>
      <c r="T78" s="522" t="str">
        <f>IFERROR(IF(S78="Check Data ⚠","Check Data ⚠",VLOOKUP(S78,'G-4 Temporal multipliers'!$A$4:$C$37,3,FALSE)),"")</f>
        <v/>
      </c>
      <c r="U78" s="523" t="str">
        <f>IF(F78="","",VLOOKUP(F78,'G-3 Multipliers'!$A$2:$E$129,2,FALSE))</f>
        <v/>
      </c>
      <c r="V78" s="520" t="str">
        <f t="shared" si="10"/>
        <v/>
      </c>
      <c r="W78" s="520" t="str">
        <f>IF(E78="","",IF(AND(V78="Standard difficulty applied",O78&gt;P78),U78,IF(AND(V78="Low Difficulty - only applicable if all habitat created before losses",P78&gt;=O78),"Low",VLOOKUP(F78,'G-3 Multipliers'!$A$2:$E$129,4,FALSE))))</f>
        <v/>
      </c>
      <c r="X78" s="524" t="str">
        <f>IFERROR(IF(E78="","",VLOOKUP(W78, 'G-3 Multipliers'!$P$2:$Q$6,2,FALSE)),"")</f>
        <v/>
      </c>
      <c r="Y78" s="529" t="str">
        <f t="shared" si="11"/>
        <v/>
      </c>
      <c r="Z78" s="239"/>
      <c r="AA78" s="240"/>
      <c r="AE78" s="54" t="str">
        <f t="shared" si="7"/>
        <v/>
      </c>
    </row>
    <row r="79" spans="1:31" x14ac:dyDescent="0.25">
      <c r="A79" s="47" t="str">
        <f>IFERROR(INDEX('G-8 Condition Look up'!$I$4:$I$130,MATCH(F79,'G-8 Condition Look up'!$A$4:$A$130,0)),"")</f>
        <v/>
      </c>
      <c r="C79" s="384" t="str">
        <f>IFERROR(INDEX('G-1 All Habitats'!$AG$3:$AG$15,MATCH(D79,'G-1 All Habitats'!$AF$3:$AF$15,0)),"")</f>
        <v/>
      </c>
      <c r="D79" s="146"/>
      <c r="E79" s="79"/>
      <c r="F79" s="246" t="str">
        <f>IFERROR(INDEX('G-1 All Habitats'!$B$3:$B$129,MATCH(E79,'G-1 All Habitats'!$A$3:$A$129,0)),"")</f>
        <v/>
      </c>
      <c r="G79" s="70"/>
      <c r="H79" s="498" t="str">
        <f>IF(F79="","",VLOOKUP(F79,'G-1 All Habitats'!$B$2:$M$129,10,FALSE))</f>
        <v/>
      </c>
      <c r="I79" s="499" t="str">
        <f>IFERROR(VLOOKUP(H79,'G-1 All Habitats'!$V$3:$W$7,2,FALSE),"")</f>
        <v/>
      </c>
      <c r="J79" s="71"/>
      <c r="K79" s="499" t="str">
        <f>IFERROR(INDEX('G-8 Condition Look up'!$A$3:$H$130,MATCH(F79,'G-8 Condition Look up'!$A$3:$A$130,0),MATCH(J79,'G-8 Condition Look up'!$A$3:$H$3,0)),"")</f>
        <v/>
      </c>
      <c r="L79" s="71"/>
      <c r="M79" s="507" t="str">
        <f>IF(L79="","",IF(VLOOKUP(L79,'G-3 Multipliers'!$L$3:$N$6,2,FALSE)=0,"Spatial Data Missing",VLOOKUP(L79,'G-3 Multipliers'!$L$3:$N$6,2,FALSE)))</f>
        <v/>
      </c>
      <c r="N79" s="505" t="str">
        <f>IF(L79="","",IF(VLOOKUP(L79,'G-3 Multipliers'!$L$3:$N$6,3,FALSE)=0,"Spatial Data Missing",VLOOKUP(L79,'G-3 Multipliers'!$L$3:$N$6,3,FALSE)))</f>
        <v/>
      </c>
      <c r="O79" s="498" t="str">
        <f t="shared" si="6"/>
        <v/>
      </c>
      <c r="P79" s="82"/>
      <c r="Q79" s="82"/>
      <c r="R79" s="507" t="str">
        <f t="shared" si="8"/>
        <v/>
      </c>
      <c r="S79" s="521" t="str">
        <f t="shared" si="9"/>
        <v/>
      </c>
      <c r="T79" s="522" t="str">
        <f>IFERROR(IF(S79="Check Data ⚠","Check Data ⚠",VLOOKUP(S79,'G-4 Temporal multipliers'!$A$4:$C$37,3,FALSE)),"")</f>
        <v/>
      </c>
      <c r="U79" s="523" t="str">
        <f>IF(F79="","",VLOOKUP(F79,'G-3 Multipliers'!$A$2:$E$129,2,FALSE))</f>
        <v/>
      </c>
      <c r="V79" s="520" t="str">
        <f t="shared" si="10"/>
        <v/>
      </c>
      <c r="W79" s="520" t="str">
        <f>IF(E79="","",IF(AND(V79="Standard difficulty applied",O79&gt;P79),U79,IF(AND(V79="Low Difficulty - only applicable if all habitat created before losses",P79&gt;=O79),"Low",VLOOKUP(F79,'G-3 Multipliers'!$A$2:$E$129,4,FALSE))))</f>
        <v/>
      </c>
      <c r="X79" s="524" t="str">
        <f>IFERROR(IF(E79="","",VLOOKUP(W79, 'G-3 Multipliers'!$P$2:$Q$6,2,FALSE)),"")</f>
        <v/>
      </c>
      <c r="Y79" s="529" t="str">
        <f t="shared" si="11"/>
        <v/>
      </c>
      <c r="Z79" s="239"/>
      <c r="AA79" s="240"/>
      <c r="AE79" s="54" t="str">
        <f t="shared" si="7"/>
        <v/>
      </c>
    </row>
    <row r="80" spans="1:31" x14ac:dyDescent="0.25">
      <c r="A80" s="47" t="str">
        <f>IFERROR(INDEX('G-8 Condition Look up'!$I$4:$I$130,MATCH(F80,'G-8 Condition Look up'!$A$4:$A$130,0)),"")</f>
        <v/>
      </c>
      <c r="C80" s="384" t="str">
        <f>IFERROR(INDEX('G-1 All Habitats'!$AG$3:$AG$15,MATCH(D80,'G-1 All Habitats'!$AF$3:$AF$15,0)),"")</f>
        <v/>
      </c>
      <c r="D80" s="146"/>
      <c r="E80" s="79"/>
      <c r="F80" s="246" t="str">
        <f>IFERROR(INDEX('G-1 All Habitats'!$B$3:$B$129,MATCH(E80,'G-1 All Habitats'!$A$3:$A$129,0)),"")</f>
        <v/>
      </c>
      <c r="G80" s="70"/>
      <c r="H80" s="498" t="str">
        <f>IF(F80="","",VLOOKUP(F80,'G-1 All Habitats'!$B$2:$M$129,10,FALSE))</f>
        <v/>
      </c>
      <c r="I80" s="499" t="str">
        <f>IFERROR(VLOOKUP(H80,'G-1 All Habitats'!$V$3:$W$7,2,FALSE),"")</f>
        <v/>
      </c>
      <c r="J80" s="71"/>
      <c r="K80" s="499" t="str">
        <f>IFERROR(INDEX('G-8 Condition Look up'!$A$3:$H$130,MATCH(F80,'G-8 Condition Look up'!$A$3:$A$130,0),MATCH(J80,'G-8 Condition Look up'!$A$3:$H$3,0)),"")</f>
        <v/>
      </c>
      <c r="L80" s="71"/>
      <c r="M80" s="507" t="str">
        <f>IF(L80="","",IF(VLOOKUP(L80,'G-3 Multipliers'!$L$3:$N$6,2,FALSE)=0,"Spatial Data Missing",VLOOKUP(L80,'G-3 Multipliers'!$L$3:$N$6,2,FALSE)))</f>
        <v/>
      </c>
      <c r="N80" s="505" t="str">
        <f>IF(L80="","",IF(VLOOKUP(L80,'G-3 Multipliers'!$L$3:$N$6,3,FALSE)=0,"Spatial Data Missing",VLOOKUP(L80,'G-3 Multipliers'!$L$3:$N$6,3,FALSE)))</f>
        <v/>
      </c>
      <c r="O80" s="498" t="str">
        <f t="shared" si="6"/>
        <v/>
      </c>
      <c r="P80" s="82"/>
      <c r="Q80" s="82"/>
      <c r="R80" s="507" t="str">
        <f t="shared" si="8"/>
        <v/>
      </c>
      <c r="S80" s="521" t="str">
        <f t="shared" si="9"/>
        <v/>
      </c>
      <c r="T80" s="522" t="str">
        <f>IFERROR(IF(S80="Check Data ⚠","Check Data ⚠",VLOOKUP(S80,'G-4 Temporal multipliers'!$A$4:$C$37,3,FALSE)),"")</f>
        <v/>
      </c>
      <c r="U80" s="523" t="str">
        <f>IF(F80="","",VLOOKUP(F80,'G-3 Multipliers'!$A$2:$E$129,2,FALSE))</f>
        <v/>
      </c>
      <c r="V80" s="520" t="str">
        <f t="shared" si="10"/>
        <v/>
      </c>
      <c r="W80" s="520" t="str">
        <f>IF(E80="","",IF(AND(V80="Standard difficulty applied",O80&gt;P80),U80,IF(AND(V80="Low Difficulty - only applicable if all habitat created before losses",P80&gt;=O80),"Low",VLOOKUP(F80,'G-3 Multipliers'!$A$2:$E$129,4,FALSE))))</f>
        <v/>
      </c>
      <c r="X80" s="524" t="str">
        <f>IFERROR(IF(E80="","",VLOOKUP(W80, 'G-3 Multipliers'!$P$2:$Q$6,2,FALSE)),"")</f>
        <v/>
      </c>
      <c r="Y80" s="529" t="str">
        <f t="shared" si="11"/>
        <v/>
      </c>
      <c r="Z80" s="239"/>
      <c r="AA80" s="240"/>
      <c r="AE80" s="54" t="str">
        <f t="shared" si="7"/>
        <v/>
      </c>
    </row>
    <row r="81" spans="1:31" x14ac:dyDescent="0.25">
      <c r="A81" s="47" t="str">
        <f>IFERROR(INDEX('G-8 Condition Look up'!$I$4:$I$130,MATCH(F81,'G-8 Condition Look up'!$A$4:$A$130,0)),"")</f>
        <v/>
      </c>
      <c r="C81" s="384" t="str">
        <f>IFERROR(INDEX('G-1 All Habitats'!$AG$3:$AG$15,MATCH(D81,'G-1 All Habitats'!$AF$3:$AF$15,0)),"")</f>
        <v/>
      </c>
      <c r="D81" s="146"/>
      <c r="E81" s="79"/>
      <c r="F81" s="246" t="str">
        <f>IFERROR(INDEX('G-1 All Habitats'!$B$3:$B$129,MATCH(E81,'G-1 All Habitats'!$A$3:$A$129,0)),"")</f>
        <v/>
      </c>
      <c r="G81" s="70"/>
      <c r="H81" s="498" t="str">
        <f>IF(F81="","",VLOOKUP(F81,'G-1 All Habitats'!$B$2:$M$129,10,FALSE))</f>
        <v/>
      </c>
      <c r="I81" s="499" t="str">
        <f>IFERROR(VLOOKUP(H81,'G-1 All Habitats'!$V$3:$W$7,2,FALSE),"")</f>
        <v/>
      </c>
      <c r="J81" s="71"/>
      <c r="K81" s="499" t="str">
        <f>IFERROR(INDEX('G-8 Condition Look up'!$A$3:$H$130,MATCH(F81,'G-8 Condition Look up'!$A$3:$A$130,0),MATCH(J81,'G-8 Condition Look up'!$A$3:$H$3,0)),"")</f>
        <v/>
      </c>
      <c r="L81" s="71"/>
      <c r="M81" s="507" t="str">
        <f>IF(L81="","",IF(VLOOKUP(L81,'G-3 Multipliers'!$L$3:$N$6,2,FALSE)=0,"Spatial Data Missing",VLOOKUP(L81,'G-3 Multipliers'!$L$3:$N$6,2,FALSE)))</f>
        <v/>
      </c>
      <c r="N81" s="505" t="str">
        <f>IF(L81="","",IF(VLOOKUP(L81,'G-3 Multipliers'!$L$3:$N$6,3,FALSE)=0,"Spatial Data Missing",VLOOKUP(L81,'G-3 Multipliers'!$L$3:$N$6,3,FALSE)))</f>
        <v/>
      </c>
      <c r="O81" s="498" t="str">
        <f t="shared" si="6"/>
        <v/>
      </c>
      <c r="P81" s="82"/>
      <c r="Q81" s="82"/>
      <c r="R81" s="507" t="str">
        <f t="shared" si="8"/>
        <v/>
      </c>
      <c r="S81" s="521" t="str">
        <f t="shared" si="9"/>
        <v/>
      </c>
      <c r="T81" s="522" t="str">
        <f>IFERROR(IF(S81="Check Data ⚠","Check Data ⚠",VLOOKUP(S81,'G-4 Temporal multipliers'!$A$4:$C$37,3,FALSE)),"")</f>
        <v/>
      </c>
      <c r="U81" s="523" t="str">
        <f>IF(F81="","",VLOOKUP(F81,'G-3 Multipliers'!$A$2:$E$129,2,FALSE))</f>
        <v/>
      </c>
      <c r="V81" s="520" t="str">
        <f t="shared" si="10"/>
        <v/>
      </c>
      <c r="W81" s="520" t="str">
        <f>IF(E81="","",IF(AND(V81="Standard difficulty applied",O81&gt;P81),U81,IF(AND(V81="Low Difficulty - only applicable if all habitat created before losses",P81&gt;=O81),"Low",VLOOKUP(F81,'G-3 Multipliers'!$A$2:$E$129,4,FALSE))))</f>
        <v/>
      </c>
      <c r="X81" s="524" t="str">
        <f>IFERROR(IF(E81="","",VLOOKUP(W81, 'G-3 Multipliers'!$P$2:$Q$6,2,FALSE)),"")</f>
        <v/>
      </c>
      <c r="Y81" s="529" t="str">
        <f t="shared" si="11"/>
        <v/>
      </c>
      <c r="Z81" s="239"/>
      <c r="AA81" s="240"/>
      <c r="AE81" s="54" t="str">
        <f t="shared" si="7"/>
        <v/>
      </c>
    </row>
    <row r="82" spans="1:31" x14ac:dyDescent="0.25">
      <c r="A82" s="47" t="str">
        <f>IFERROR(INDEX('G-8 Condition Look up'!$I$4:$I$130,MATCH(F82,'G-8 Condition Look up'!$A$4:$A$130,0)),"")</f>
        <v/>
      </c>
      <c r="C82" s="384" t="str">
        <f>IFERROR(INDEX('G-1 All Habitats'!$AG$3:$AG$15,MATCH(D82,'G-1 All Habitats'!$AF$3:$AF$15,0)),"")</f>
        <v/>
      </c>
      <c r="D82" s="146"/>
      <c r="E82" s="79"/>
      <c r="F82" s="246" t="str">
        <f>IFERROR(INDEX('G-1 All Habitats'!$B$3:$B$129,MATCH(E82,'G-1 All Habitats'!$A$3:$A$129,0)),"")</f>
        <v/>
      </c>
      <c r="G82" s="70"/>
      <c r="H82" s="498" t="str">
        <f>IF(F82="","",VLOOKUP(F82,'G-1 All Habitats'!$B$2:$M$129,10,FALSE))</f>
        <v/>
      </c>
      <c r="I82" s="499" t="str">
        <f>IFERROR(VLOOKUP(H82,'G-1 All Habitats'!$V$3:$W$7,2,FALSE),"")</f>
        <v/>
      </c>
      <c r="J82" s="71"/>
      <c r="K82" s="499" t="str">
        <f>IFERROR(INDEX('G-8 Condition Look up'!$A$3:$H$130,MATCH(F82,'G-8 Condition Look up'!$A$3:$A$130,0),MATCH(J82,'G-8 Condition Look up'!$A$3:$H$3,0)),"")</f>
        <v/>
      </c>
      <c r="L82" s="71"/>
      <c r="M82" s="507" t="str">
        <f>IF(L82="","",IF(VLOOKUP(L82,'G-3 Multipliers'!$L$3:$N$6,2,FALSE)=0,"Spatial Data Missing",VLOOKUP(L82,'G-3 Multipliers'!$L$3:$N$6,2,FALSE)))</f>
        <v/>
      </c>
      <c r="N82" s="505" t="str">
        <f>IF(L82="","",IF(VLOOKUP(L82,'G-3 Multipliers'!$L$3:$N$6,3,FALSE)=0,"Spatial Data Missing",VLOOKUP(L82,'G-3 Multipliers'!$L$3:$N$6,3,FALSE)))</f>
        <v/>
      </c>
      <c r="O82" s="498" t="str">
        <f t="shared" si="6"/>
        <v/>
      </c>
      <c r="P82" s="82"/>
      <c r="Q82" s="82"/>
      <c r="R82" s="507" t="str">
        <f t="shared" si="8"/>
        <v/>
      </c>
      <c r="S82" s="521" t="str">
        <f t="shared" si="9"/>
        <v/>
      </c>
      <c r="T82" s="522" t="str">
        <f>IFERROR(IF(S82="Check Data ⚠","Check Data ⚠",VLOOKUP(S82,'G-4 Temporal multipliers'!$A$4:$C$37,3,FALSE)),"")</f>
        <v/>
      </c>
      <c r="U82" s="523" t="str">
        <f>IF(F82="","",VLOOKUP(F82,'G-3 Multipliers'!$A$2:$E$129,2,FALSE))</f>
        <v/>
      </c>
      <c r="V82" s="520" t="str">
        <f t="shared" si="10"/>
        <v/>
      </c>
      <c r="W82" s="520" t="str">
        <f>IF(E82="","",IF(AND(V82="Standard difficulty applied",O82&gt;P82),U82,IF(AND(V82="Low Difficulty - only applicable if all habitat created before losses",P82&gt;=O82),"Low",VLOOKUP(F82,'G-3 Multipliers'!$A$2:$E$129,4,FALSE))))</f>
        <v/>
      </c>
      <c r="X82" s="524" t="str">
        <f>IFERROR(IF(E82="","",VLOOKUP(W82, 'G-3 Multipliers'!$P$2:$Q$6,2,FALSE)),"")</f>
        <v/>
      </c>
      <c r="Y82" s="529" t="str">
        <f t="shared" si="11"/>
        <v/>
      </c>
      <c r="Z82" s="239"/>
      <c r="AA82" s="240"/>
      <c r="AE82" s="54" t="str">
        <f t="shared" si="7"/>
        <v/>
      </c>
    </row>
    <row r="83" spans="1:31" x14ac:dyDescent="0.25">
      <c r="A83" s="47" t="str">
        <f>IFERROR(INDEX('G-8 Condition Look up'!$I$4:$I$130,MATCH(F83,'G-8 Condition Look up'!$A$4:$A$130,0)),"")</f>
        <v/>
      </c>
      <c r="C83" s="384" t="str">
        <f>IFERROR(INDEX('G-1 All Habitats'!$AG$3:$AG$15,MATCH(D83,'G-1 All Habitats'!$AF$3:$AF$15,0)),"")</f>
        <v/>
      </c>
      <c r="D83" s="146"/>
      <c r="E83" s="79"/>
      <c r="F83" s="246" t="str">
        <f>IFERROR(INDEX('G-1 All Habitats'!$B$3:$B$129,MATCH(E83,'G-1 All Habitats'!$A$3:$A$129,0)),"")</f>
        <v/>
      </c>
      <c r="G83" s="70"/>
      <c r="H83" s="498" t="str">
        <f>IF(F83="","",VLOOKUP(F83,'G-1 All Habitats'!$B$2:$M$129,10,FALSE))</f>
        <v/>
      </c>
      <c r="I83" s="499" t="str">
        <f>IFERROR(VLOOKUP(H83,'G-1 All Habitats'!$V$3:$W$7,2,FALSE),"")</f>
        <v/>
      </c>
      <c r="J83" s="71"/>
      <c r="K83" s="499" t="str">
        <f>IFERROR(INDEX('G-8 Condition Look up'!$A$3:$H$130,MATCH(F83,'G-8 Condition Look up'!$A$3:$A$130,0),MATCH(J83,'G-8 Condition Look up'!$A$3:$H$3,0)),"")</f>
        <v/>
      </c>
      <c r="L83" s="71"/>
      <c r="M83" s="507" t="str">
        <f>IF(L83="","",IF(VLOOKUP(L83,'G-3 Multipliers'!$L$3:$N$6,2,FALSE)=0,"Spatial Data Missing",VLOOKUP(L83,'G-3 Multipliers'!$L$3:$N$6,2,FALSE)))</f>
        <v/>
      </c>
      <c r="N83" s="505" t="str">
        <f>IF(L83="","",IF(VLOOKUP(L83,'G-3 Multipliers'!$L$3:$N$6,3,FALSE)=0,"Spatial Data Missing",VLOOKUP(L83,'G-3 Multipliers'!$L$3:$N$6,3,FALSE)))</f>
        <v/>
      </c>
      <c r="O83" s="498" t="str">
        <f t="shared" si="6"/>
        <v/>
      </c>
      <c r="P83" s="82"/>
      <c r="Q83" s="82"/>
      <c r="R83" s="507" t="str">
        <f t="shared" si="8"/>
        <v/>
      </c>
      <c r="S83" s="521" t="str">
        <f t="shared" si="9"/>
        <v/>
      </c>
      <c r="T83" s="522" t="str">
        <f>IFERROR(IF(S83="Check Data ⚠","Check Data ⚠",VLOOKUP(S83,'G-4 Temporal multipliers'!$A$4:$C$37,3,FALSE)),"")</f>
        <v/>
      </c>
      <c r="U83" s="523" t="str">
        <f>IF(F83="","",VLOOKUP(F83,'G-3 Multipliers'!$A$2:$E$129,2,FALSE))</f>
        <v/>
      </c>
      <c r="V83" s="520" t="str">
        <f t="shared" si="10"/>
        <v/>
      </c>
      <c r="W83" s="520" t="str">
        <f>IF(E83="","",IF(AND(V83="Standard difficulty applied",O83&gt;P83),U83,IF(AND(V83="Low Difficulty - only applicable if all habitat created before losses",P83&gt;=O83),"Low",VLOOKUP(F83,'G-3 Multipliers'!$A$2:$E$129,4,FALSE))))</f>
        <v/>
      </c>
      <c r="X83" s="524" t="str">
        <f>IFERROR(IF(E83="","",VLOOKUP(W83, 'G-3 Multipliers'!$P$2:$Q$6,2,FALSE)),"")</f>
        <v/>
      </c>
      <c r="Y83" s="529" t="str">
        <f t="shared" si="11"/>
        <v/>
      </c>
      <c r="Z83" s="239"/>
      <c r="AA83" s="240"/>
      <c r="AE83" s="54" t="str">
        <f t="shared" si="7"/>
        <v/>
      </c>
    </row>
    <row r="84" spans="1:31" x14ac:dyDescent="0.25">
      <c r="A84" s="47" t="str">
        <f>IFERROR(INDEX('G-8 Condition Look up'!$I$4:$I$130,MATCH(F84,'G-8 Condition Look up'!$A$4:$A$130,0)),"")</f>
        <v/>
      </c>
      <c r="C84" s="384" t="str">
        <f>IFERROR(INDEX('G-1 All Habitats'!$AG$3:$AG$15,MATCH(D84,'G-1 All Habitats'!$AF$3:$AF$15,0)),"")</f>
        <v/>
      </c>
      <c r="D84" s="146"/>
      <c r="E84" s="79"/>
      <c r="F84" s="246" t="str">
        <f>IFERROR(INDEX('G-1 All Habitats'!$B$3:$B$129,MATCH(E84,'G-1 All Habitats'!$A$3:$A$129,0)),"")</f>
        <v/>
      </c>
      <c r="G84" s="70"/>
      <c r="H84" s="498" t="str">
        <f>IF(F84="","",VLOOKUP(F84,'G-1 All Habitats'!$B$2:$M$129,10,FALSE))</f>
        <v/>
      </c>
      <c r="I84" s="499" t="str">
        <f>IFERROR(VLOOKUP(H84,'G-1 All Habitats'!$V$3:$W$7,2,FALSE),"")</f>
        <v/>
      </c>
      <c r="J84" s="71"/>
      <c r="K84" s="499" t="str">
        <f>IFERROR(INDEX('G-8 Condition Look up'!$A$3:$H$130,MATCH(F84,'G-8 Condition Look up'!$A$3:$A$130,0),MATCH(J84,'G-8 Condition Look up'!$A$3:$H$3,0)),"")</f>
        <v/>
      </c>
      <c r="L84" s="71"/>
      <c r="M84" s="507" t="str">
        <f>IF(L84="","",IF(VLOOKUP(L84,'G-3 Multipliers'!$L$3:$N$6,2,FALSE)=0,"Spatial Data Missing",VLOOKUP(L84,'G-3 Multipliers'!$L$3:$N$6,2,FALSE)))</f>
        <v/>
      </c>
      <c r="N84" s="505" t="str">
        <f>IF(L84="","",IF(VLOOKUP(L84,'G-3 Multipliers'!$L$3:$N$6,3,FALSE)=0,"Spatial Data Missing",VLOOKUP(L84,'G-3 Multipliers'!$L$3:$N$6,3,FALSE)))</f>
        <v/>
      </c>
      <c r="O84" s="498" t="str">
        <f t="shared" si="6"/>
        <v/>
      </c>
      <c r="P84" s="82"/>
      <c r="Q84" s="82"/>
      <c r="R84" s="507" t="str">
        <f t="shared" si="8"/>
        <v/>
      </c>
      <c r="S84" s="521" t="str">
        <f t="shared" si="9"/>
        <v/>
      </c>
      <c r="T84" s="522" t="str">
        <f>IFERROR(IF(S84="Check Data ⚠","Check Data ⚠",VLOOKUP(S84,'G-4 Temporal multipliers'!$A$4:$C$37,3,FALSE)),"")</f>
        <v/>
      </c>
      <c r="U84" s="523" t="str">
        <f>IF(F84="","",VLOOKUP(F84,'G-3 Multipliers'!$A$2:$E$129,2,FALSE))</f>
        <v/>
      </c>
      <c r="V84" s="520" t="str">
        <f t="shared" si="10"/>
        <v/>
      </c>
      <c r="W84" s="520" t="str">
        <f>IF(E84="","",IF(AND(V84="Standard difficulty applied",O84&gt;P84),U84,IF(AND(V84="Low Difficulty - only applicable if all habitat created before losses",P84&gt;=O84),"Low",VLOOKUP(F84,'G-3 Multipliers'!$A$2:$E$129,4,FALSE))))</f>
        <v/>
      </c>
      <c r="X84" s="524" t="str">
        <f>IFERROR(IF(E84="","",VLOOKUP(W84, 'G-3 Multipliers'!$P$2:$Q$6,2,FALSE)),"")</f>
        <v/>
      </c>
      <c r="Y84" s="529" t="str">
        <f t="shared" si="11"/>
        <v/>
      </c>
      <c r="Z84" s="239"/>
      <c r="AA84" s="240"/>
      <c r="AE84" s="54" t="str">
        <f t="shared" si="7"/>
        <v/>
      </c>
    </row>
    <row r="85" spans="1:31" x14ac:dyDescent="0.25">
      <c r="A85" s="47" t="str">
        <f>IFERROR(INDEX('G-8 Condition Look up'!$I$4:$I$130,MATCH(F85,'G-8 Condition Look up'!$A$4:$A$130,0)),"")</f>
        <v/>
      </c>
      <c r="C85" s="384" t="str">
        <f>IFERROR(INDEX('G-1 All Habitats'!$AG$3:$AG$15,MATCH(D85,'G-1 All Habitats'!$AF$3:$AF$15,0)),"")</f>
        <v/>
      </c>
      <c r="D85" s="146"/>
      <c r="E85" s="79"/>
      <c r="F85" s="246" t="str">
        <f>IFERROR(INDEX('G-1 All Habitats'!$B$3:$B$129,MATCH(E85,'G-1 All Habitats'!$A$3:$A$129,0)),"")</f>
        <v/>
      </c>
      <c r="G85" s="70"/>
      <c r="H85" s="498" t="str">
        <f>IF(F85="","",VLOOKUP(F85,'G-1 All Habitats'!$B$2:$M$129,10,FALSE))</f>
        <v/>
      </c>
      <c r="I85" s="499" t="str">
        <f>IFERROR(VLOOKUP(H85,'G-1 All Habitats'!$V$3:$W$7,2,FALSE),"")</f>
        <v/>
      </c>
      <c r="J85" s="71"/>
      <c r="K85" s="499" t="str">
        <f>IFERROR(INDEX('G-8 Condition Look up'!$A$3:$H$130,MATCH(F85,'G-8 Condition Look up'!$A$3:$A$130,0),MATCH(J85,'G-8 Condition Look up'!$A$3:$H$3,0)),"")</f>
        <v/>
      </c>
      <c r="L85" s="71"/>
      <c r="M85" s="507" t="str">
        <f>IF(L85="","",IF(VLOOKUP(L85,'G-3 Multipliers'!$L$3:$N$6,2,FALSE)=0,"Spatial Data Missing",VLOOKUP(L85,'G-3 Multipliers'!$L$3:$N$6,2,FALSE)))</f>
        <v/>
      </c>
      <c r="N85" s="505" t="str">
        <f>IF(L85="","",IF(VLOOKUP(L85,'G-3 Multipliers'!$L$3:$N$6,3,FALSE)=0,"Spatial Data Missing",VLOOKUP(L85,'G-3 Multipliers'!$L$3:$N$6,3,FALSE)))</f>
        <v/>
      </c>
      <c r="O85" s="498" t="str">
        <f t="shared" si="6"/>
        <v/>
      </c>
      <c r="P85" s="82"/>
      <c r="Q85" s="82"/>
      <c r="R85" s="507" t="str">
        <f t="shared" si="8"/>
        <v/>
      </c>
      <c r="S85" s="521" t="str">
        <f t="shared" si="9"/>
        <v/>
      </c>
      <c r="T85" s="522" t="str">
        <f>IFERROR(IF(S85="Check Data ⚠","Check Data ⚠",VLOOKUP(S85,'G-4 Temporal multipliers'!$A$4:$C$37,3,FALSE)),"")</f>
        <v/>
      </c>
      <c r="U85" s="523" t="str">
        <f>IF(F85="","",VLOOKUP(F85,'G-3 Multipliers'!$A$2:$E$129,2,FALSE))</f>
        <v/>
      </c>
      <c r="V85" s="520" t="str">
        <f t="shared" si="10"/>
        <v/>
      </c>
      <c r="W85" s="520" t="str">
        <f>IF(E85="","",IF(AND(V85="Standard difficulty applied",O85&gt;P85),U85,IF(AND(V85="Low Difficulty - only applicable if all habitat created before losses",P85&gt;=O85),"Low",VLOOKUP(F85,'G-3 Multipliers'!$A$2:$E$129,4,FALSE))))</f>
        <v/>
      </c>
      <c r="X85" s="524" t="str">
        <f>IFERROR(IF(E85="","",VLOOKUP(W85, 'G-3 Multipliers'!$P$2:$Q$6,2,FALSE)),"")</f>
        <v/>
      </c>
      <c r="Y85" s="529" t="str">
        <f t="shared" si="11"/>
        <v/>
      </c>
      <c r="Z85" s="239"/>
      <c r="AA85" s="240"/>
      <c r="AE85" s="54" t="str">
        <f t="shared" si="7"/>
        <v/>
      </c>
    </row>
    <row r="86" spans="1:31" x14ac:dyDescent="0.25">
      <c r="A86" s="47" t="str">
        <f>IFERROR(INDEX('G-8 Condition Look up'!$I$4:$I$130,MATCH(F86,'G-8 Condition Look up'!$A$4:$A$130,0)),"")</f>
        <v/>
      </c>
      <c r="C86" s="384" t="str">
        <f>IFERROR(INDEX('G-1 All Habitats'!$AG$3:$AG$15,MATCH(D86,'G-1 All Habitats'!$AF$3:$AF$15,0)),"")</f>
        <v/>
      </c>
      <c r="D86" s="146"/>
      <c r="E86" s="79"/>
      <c r="F86" s="246" t="str">
        <f>IFERROR(INDEX('G-1 All Habitats'!$B$3:$B$129,MATCH(E86,'G-1 All Habitats'!$A$3:$A$129,0)),"")</f>
        <v/>
      </c>
      <c r="G86" s="70"/>
      <c r="H86" s="498" t="str">
        <f>IF(F86="","",VLOOKUP(F86,'G-1 All Habitats'!$B$2:$M$129,10,FALSE))</f>
        <v/>
      </c>
      <c r="I86" s="499" t="str">
        <f>IFERROR(VLOOKUP(H86,'G-1 All Habitats'!$V$3:$W$7,2,FALSE),"")</f>
        <v/>
      </c>
      <c r="J86" s="71"/>
      <c r="K86" s="499" t="str">
        <f>IFERROR(INDEX('G-8 Condition Look up'!$A$3:$H$130,MATCH(F86,'G-8 Condition Look up'!$A$3:$A$130,0),MATCH(J86,'G-8 Condition Look up'!$A$3:$H$3,0)),"")</f>
        <v/>
      </c>
      <c r="L86" s="71"/>
      <c r="M86" s="507" t="str">
        <f>IF(L86="","",IF(VLOOKUP(L86,'G-3 Multipliers'!$L$3:$N$6,2,FALSE)=0,"Spatial Data Missing",VLOOKUP(L86,'G-3 Multipliers'!$L$3:$N$6,2,FALSE)))</f>
        <v/>
      </c>
      <c r="N86" s="505" t="str">
        <f>IF(L86="","",IF(VLOOKUP(L86,'G-3 Multipliers'!$L$3:$N$6,3,FALSE)=0,"Spatial Data Missing",VLOOKUP(L86,'G-3 Multipliers'!$L$3:$N$6,3,FALSE)))</f>
        <v/>
      </c>
      <c r="O86" s="498" t="str">
        <f t="shared" si="6"/>
        <v/>
      </c>
      <c r="P86" s="82"/>
      <c r="Q86" s="82"/>
      <c r="R86" s="507" t="str">
        <f t="shared" si="8"/>
        <v/>
      </c>
      <c r="S86" s="521" t="str">
        <f t="shared" si="9"/>
        <v/>
      </c>
      <c r="T86" s="522" t="str">
        <f>IFERROR(IF(S86="Check Data ⚠","Check Data ⚠",VLOOKUP(S86,'G-4 Temporal multipliers'!$A$4:$C$37,3,FALSE)),"")</f>
        <v/>
      </c>
      <c r="U86" s="523" t="str">
        <f>IF(F86="","",VLOOKUP(F86,'G-3 Multipliers'!$A$2:$E$129,2,FALSE))</f>
        <v/>
      </c>
      <c r="V86" s="520" t="str">
        <f t="shared" si="10"/>
        <v/>
      </c>
      <c r="W86" s="520" t="str">
        <f>IF(E86="","",IF(AND(V86="Standard difficulty applied",O86&gt;P86),U86,IF(AND(V86="Low Difficulty - only applicable if all habitat created before losses",P86&gt;=O86),"Low",VLOOKUP(F86,'G-3 Multipliers'!$A$2:$E$129,4,FALSE))))</f>
        <v/>
      </c>
      <c r="X86" s="524" t="str">
        <f>IFERROR(IF(E86="","",VLOOKUP(W86, 'G-3 Multipliers'!$P$2:$Q$6,2,FALSE)),"")</f>
        <v/>
      </c>
      <c r="Y86" s="529" t="str">
        <f t="shared" si="11"/>
        <v/>
      </c>
      <c r="Z86" s="239"/>
      <c r="AA86" s="240"/>
      <c r="AE86" s="54" t="str">
        <f t="shared" si="7"/>
        <v/>
      </c>
    </row>
    <row r="87" spans="1:31" x14ac:dyDescent="0.25">
      <c r="A87" s="47" t="str">
        <f>IFERROR(INDEX('G-8 Condition Look up'!$I$4:$I$130,MATCH(F87,'G-8 Condition Look up'!$A$4:$A$130,0)),"")</f>
        <v/>
      </c>
      <c r="C87" s="384" t="str">
        <f>IFERROR(INDEX('G-1 All Habitats'!$AG$3:$AG$15,MATCH(D87,'G-1 All Habitats'!$AF$3:$AF$15,0)),"")</f>
        <v/>
      </c>
      <c r="D87" s="146"/>
      <c r="E87" s="79"/>
      <c r="F87" s="246" t="str">
        <f>IFERROR(INDEX('G-1 All Habitats'!$B$3:$B$129,MATCH(E87,'G-1 All Habitats'!$A$3:$A$129,0)),"")</f>
        <v/>
      </c>
      <c r="G87" s="70"/>
      <c r="H87" s="498" t="str">
        <f>IF(F87="","",VLOOKUP(F87,'G-1 All Habitats'!$B$2:$M$129,10,FALSE))</f>
        <v/>
      </c>
      <c r="I87" s="499" t="str">
        <f>IFERROR(VLOOKUP(H87,'G-1 All Habitats'!$V$3:$W$7,2,FALSE),"")</f>
        <v/>
      </c>
      <c r="J87" s="71"/>
      <c r="K87" s="499" t="str">
        <f>IFERROR(INDEX('G-8 Condition Look up'!$A$3:$H$130,MATCH(F87,'G-8 Condition Look up'!$A$3:$A$130,0),MATCH(J87,'G-8 Condition Look up'!$A$3:$H$3,0)),"")</f>
        <v/>
      </c>
      <c r="L87" s="71"/>
      <c r="M87" s="507" t="str">
        <f>IF(L87="","",IF(VLOOKUP(L87,'G-3 Multipliers'!$L$3:$N$6,2,FALSE)=0,"Spatial Data Missing",VLOOKUP(L87,'G-3 Multipliers'!$L$3:$N$6,2,FALSE)))</f>
        <v/>
      </c>
      <c r="N87" s="505" t="str">
        <f>IF(L87="","",IF(VLOOKUP(L87,'G-3 Multipliers'!$L$3:$N$6,3,FALSE)=0,"Spatial Data Missing",VLOOKUP(L87,'G-3 Multipliers'!$L$3:$N$6,3,FALSE)))</f>
        <v/>
      </c>
      <c r="O87" s="498" t="str">
        <f t="shared" si="6"/>
        <v/>
      </c>
      <c r="P87" s="82"/>
      <c r="Q87" s="82"/>
      <c r="R87" s="507" t="str">
        <f t="shared" si="8"/>
        <v/>
      </c>
      <c r="S87" s="521" t="str">
        <f t="shared" si="9"/>
        <v/>
      </c>
      <c r="T87" s="522" t="str">
        <f>IFERROR(IF(S87="Check Data ⚠","Check Data ⚠",VLOOKUP(S87,'G-4 Temporal multipliers'!$A$4:$C$37,3,FALSE)),"")</f>
        <v/>
      </c>
      <c r="U87" s="523" t="str">
        <f>IF(F87="","",VLOOKUP(F87,'G-3 Multipliers'!$A$2:$E$129,2,FALSE))</f>
        <v/>
      </c>
      <c r="V87" s="520" t="str">
        <f t="shared" si="10"/>
        <v/>
      </c>
      <c r="W87" s="520" t="str">
        <f>IF(E87="","",IF(AND(V87="Standard difficulty applied",O87&gt;P87),U87,IF(AND(V87="Low Difficulty - only applicable if all habitat created before losses",P87&gt;=O87),"Low",VLOOKUP(F87,'G-3 Multipliers'!$A$2:$E$129,4,FALSE))))</f>
        <v/>
      </c>
      <c r="X87" s="524" t="str">
        <f>IFERROR(IF(E87="","",VLOOKUP(W87, 'G-3 Multipliers'!$P$2:$Q$6,2,FALSE)),"")</f>
        <v/>
      </c>
      <c r="Y87" s="529" t="str">
        <f t="shared" si="11"/>
        <v/>
      </c>
      <c r="Z87" s="239"/>
      <c r="AA87" s="240"/>
      <c r="AE87" s="54" t="str">
        <f t="shared" si="7"/>
        <v/>
      </c>
    </row>
    <row r="88" spans="1:31" x14ac:dyDescent="0.25">
      <c r="A88" s="47" t="str">
        <f>IFERROR(INDEX('G-8 Condition Look up'!$I$4:$I$130,MATCH(F88,'G-8 Condition Look up'!$A$4:$A$130,0)),"")</f>
        <v/>
      </c>
      <c r="C88" s="384" t="str">
        <f>IFERROR(INDEX('G-1 All Habitats'!$AG$3:$AG$15,MATCH(D88,'G-1 All Habitats'!$AF$3:$AF$15,0)),"")</f>
        <v/>
      </c>
      <c r="D88" s="146"/>
      <c r="E88" s="79"/>
      <c r="F88" s="246" t="str">
        <f>IFERROR(INDEX('G-1 All Habitats'!$B$3:$B$129,MATCH(E88,'G-1 All Habitats'!$A$3:$A$129,0)),"")</f>
        <v/>
      </c>
      <c r="G88" s="70"/>
      <c r="H88" s="498" t="str">
        <f>IF(F88="","",VLOOKUP(F88,'G-1 All Habitats'!$B$2:$M$129,10,FALSE))</f>
        <v/>
      </c>
      <c r="I88" s="499" t="str">
        <f>IFERROR(VLOOKUP(H88,'G-1 All Habitats'!$V$3:$W$7,2,FALSE),"")</f>
        <v/>
      </c>
      <c r="J88" s="71"/>
      <c r="K88" s="499" t="str">
        <f>IFERROR(INDEX('G-8 Condition Look up'!$A$3:$H$130,MATCH(F88,'G-8 Condition Look up'!$A$3:$A$130,0),MATCH(J88,'G-8 Condition Look up'!$A$3:$H$3,0)),"")</f>
        <v/>
      </c>
      <c r="L88" s="71"/>
      <c r="M88" s="507" t="str">
        <f>IF(L88="","",IF(VLOOKUP(L88,'G-3 Multipliers'!$L$3:$N$6,2,FALSE)=0,"Spatial Data Missing",VLOOKUP(L88,'G-3 Multipliers'!$L$3:$N$6,2,FALSE)))</f>
        <v/>
      </c>
      <c r="N88" s="505" t="str">
        <f>IF(L88="","",IF(VLOOKUP(L88,'G-3 Multipliers'!$L$3:$N$6,3,FALSE)=0,"Spatial Data Missing",VLOOKUP(L88,'G-3 Multipliers'!$L$3:$N$6,3,FALSE)))</f>
        <v/>
      </c>
      <c r="O88" s="498" t="str">
        <f t="shared" si="6"/>
        <v/>
      </c>
      <c r="P88" s="82"/>
      <c r="Q88" s="82"/>
      <c r="R88" s="507" t="str">
        <f t="shared" si="8"/>
        <v/>
      </c>
      <c r="S88" s="521" t="str">
        <f t="shared" si="9"/>
        <v/>
      </c>
      <c r="T88" s="522" t="str">
        <f>IFERROR(IF(S88="Check Data ⚠","Check Data ⚠",VLOOKUP(S88,'G-4 Temporal multipliers'!$A$4:$C$37,3,FALSE)),"")</f>
        <v/>
      </c>
      <c r="U88" s="523" t="str">
        <f>IF(F88="","",VLOOKUP(F88,'G-3 Multipliers'!$A$2:$E$129,2,FALSE))</f>
        <v/>
      </c>
      <c r="V88" s="520" t="str">
        <f t="shared" si="10"/>
        <v/>
      </c>
      <c r="W88" s="520" t="str">
        <f>IF(E88="","",IF(AND(V88="Standard difficulty applied",O88&gt;P88),U88,IF(AND(V88="Low Difficulty - only applicable if all habitat created before losses",P88&gt;=O88),"Low",VLOOKUP(F88,'G-3 Multipliers'!$A$2:$E$129,4,FALSE))))</f>
        <v/>
      </c>
      <c r="X88" s="524" t="str">
        <f>IFERROR(IF(E88="","",VLOOKUP(W88, 'G-3 Multipliers'!$P$2:$Q$6,2,FALSE)),"")</f>
        <v/>
      </c>
      <c r="Y88" s="529" t="str">
        <f t="shared" si="11"/>
        <v/>
      </c>
      <c r="Z88" s="239"/>
      <c r="AA88" s="240"/>
      <c r="AE88" s="54" t="str">
        <f t="shared" si="7"/>
        <v/>
      </c>
    </row>
    <row r="89" spans="1:31" x14ac:dyDescent="0.25">
      <c r="A89" s="47" t="str">
        <f>IFERROR(INDEX('G-8 Condition Look up'!$I$4:$I$130,MATCH(F89,'G-8 Condition Look up'!$A$4:$A$130,0)),"")</f>
        <v/>
      </c>
      <c r="C89" s="384" t="str">
        <f>IFERROR(INDEX('G-1 All Habitats'!$AG$3:$AG$15,MATCH(D89,'G-1 All Habitats'!$AF$3:$AF$15,0)),"")</f>
        <v/>
      </c>
      <c r="D89" s="146"/>
      <c r="E89" s="79"/>
      <c r="F89" s="246" t="str">
        <f>IFERROR(INDEX('G-1 All Habitats'!$B$3:$B$129,MATCH(E89,'G-1 All Habitats'!$A$3:$A$129,0)),"")</f>
        <v/>
      </c>
      <c r="G89" s="70"/>
      <c r="H89" s="498" t="str">
        <f>IF(F89="","",VLOOKUP(F89,'G-1 All Habitats'!$B$2:$M$129,10,FALSE))</f>
        <v/>
      </c>
      <c r="I89" s="499" t="str">
        <f>IFERROR(VLOOKUP(H89,'G-1 All Habitats'!$V$3:$W$7,2,FALSE),"")</f>
        <v/>
      </c>
      <c r="J89" s="71"/>
      <c r="K89" s="499" t="str">
        <f>IFERROR(INDEX('G-8 Condition Look up'!$A$3:$H$130,MATCH(F89,'G-8 Condition Look up'!$A$3:$A$130,0),MATCH(J89,'G-8 Condition Look up'!$A$3:$H$3,0)),"")</f>
        <v/>
      </c>
      <c r="L89" s="71"/>
      <c r="M89" s="507" t="str">
        <f>IF(L89="","",IF(VLOOKUP(L89,'G-3 Multipliers'!$L$3:$N$6,2,FALSE)=0,"Spatial Data Missing",VLOOKUP(L89,'G-3 Multipliers'!$L$3:$N$6,2,FALSE)))</f>
        <v/>
      </c>
      <c r="N89" s="505" t="str">
        <f>IF(L89="","",IF(VLOOKUP(L89,'G-3 Multipliers'!$L$3:$N$6,3,FALSE)=0,"Spatial Data Missing",VLOOKUP(L89,'G-3 Multipliers'!$L$3:$N$6,3,FALSE)))</f>
        <v/>
      </c>
      <c r="O89" s="498" t="str">
        <f t="shared" si="6"/>
        <v/>
      </c>
      <c r="P89" s="82"/>
      <c r="Q89" s="82"/>
      <c r="R89" s="507" t="str">
        <f t="shared" si="8"/>
        <v/>
      </c>
      <c r="S89" s="521" t="str">
        <f t="shared" si="9"/>
        <v/>
      </c>
      <c r="T89" s="522" t="str">
        <f>IFERROR(IF(S89="Check Data ⚠","Check Data ⚠",VLOOKUP(S89,'G-4 Temporal multipliers'!$A$4:$C$37,3,FALSE)),"")</f>
        <v/>
      </c>
      <c r="U89" s="523" t="str">
        <f>IF(F89="","",VLOOKUP(F89,'G-3 Multipliers'!$A$2:$E$129,2,FALSE))</f>
        <v/>
      </c>
      <c r="V89" s="520" t="str">
        <f t="shared" si="10"/>
        <v/>
      </c>
      <c r="W89" s="520" t="str">
        <f>IF(E89="","",IF(AND(V89="Standard difficulty applied",O89&gt;P89),U89,IF(AND(V89="Low Difficulty - only applicable if all habitat created before losses",P89&gt;=O89),"Low",VLOOKUP(F89,'G-3 Multipliers'!$A$2:$E$129,4,FALSE))))</f>
        <v/>
      </c>
      <c r="X89" s="524" t="str">
        <f>IFERROR(IF(E89="","",VLOOKUP(W89, 'G-3 Multipliers'!$P$2:$Q$6,2,FALSE)),"")</f>
        <v/>
      </c>
      <c r="Y89" s="529" t="str">
        <f t="shared" si="11"/>
        <v/>
      </c>
      <c r="Z89" s="239"/>
      <c r="AA89" s="240"/>
      <c r="AE89" s="54" t="str">
        <f t="shared" si="7"/>
        <v/>
      </c>
    </row>
    <row r="90" spans="1:31" x14ac:dyDescent="0.25">
      <c r="A90" s="47" t="str">
        <f>IFERROR(INDEX('G-8 Condition Look up'!$I$4:$I$130,MATCH(F90,'G-8 Condition Look up'!$A$4:$A$130,0)),"")</f>
        <v/>
      </c>
      <c r="C90" s="384" t="str">
        <f>IFERROR(INDEX('G-1 All Habitats'!$AG$3:$AG$15,MATCH(D90,'G-1 All Habitats'!$AF$3:$AF$15,0)),"")</f>
        <v/>
      </c>
      <c r="D90" s="146"/>
      <c r="E90" s="79"/>
      <c r="F90" s="246" t="str">
        <f>IFERROR(INDEX('G-1 All Habitats'!$B$3:$B$129,MATCH(E90,'G-1 All Habitats'!$A$3:$A$129,0)),"")</f>
        <v/>
      </c>
      <c r="G90" s="70"/>
      <c r="H90" s="498" t="str">
        <f>IF(F90="","",VLOOKUP(F90,'G-1 All Habitats'!$B$2:$M$129,10,FALSE))</f>
        <v/>
      </c>
      <c r="I90" s="499" t="str">
        <f>IFERROR(VLOOKUP(H90,'G-1 All Habitats'!$V$3:$W$7,2,FALSE),"")</f>
        <v/>
      </c>
      <c r="J90" s="71"/>
      <c r="K90" s="499" t="str">
        <f>IFERROR(INDEX('G-8 Condition Look up'!$A$3:$H$130,MATCH(F90,'G-8 Condition Look up'!$A$3:$A$130,0),MATCH(J90,'G-8 Condition Look up'!$A$3:$H$3,0)),"")</f>
        <v/>
      </c>
      <c r="L90" s="71"/>
      <c r="M90" s="507" t="str">
        <f>IF(L90="","",IF(VLOOKUP(L90,'G-3 Multipliers'!$L$3:$N$6,2,FALSE)=0,"Spatial Data Missing",VLOOKUP(L90,'G-3 Multipliers'!$L$3:$N$6,2,FALSE)))</f>
        <v/>
      </c>
      <c r="N90" s="505" t="str">
        <f>IF(L90="","",IF(VLOOKUP(L90,'G-3 Multipliers'!$L$3:$N$6,3,FALSE)=0,"Spatial Data Missing",VLOOKUP(L90,'G-3 Multipliers'!$L$3:$N$6,3,FALSE)))</f>
        <v/>
      </c>
      <c r="O90" s="498" t="str">
        <f t="shared" si="6"/>
        <v/>
      </c>
      <c r="P90" s="82"/>
      <c r="Q90" s="82"/>
      <c r="R90" s="507" t="str">
        <f t="shared" si="8"/>
        <v/>
      </c>
      <c r="S90" s="521" t="str">
        <f t="shared" si="9"/>
        <v/>
      </c>
      <c r="T90" s="522" t="str">
        <f>IFERROR(IF(S90="Check Data ⚠","Check Data ⚠",VLOOKUP(S90,'G-4 Temporal multipliers'!$A$4:$C$37,3,FALSE)),"")</f>
        <v/>
      </c>
      <c r="U90" s="523" t="str">
        <f>IF(F90="","",VLOOKUP(F90,'G-3 Multipliers'!$A$2:$E$129,2,FALSE))</f>
        <v/>
      </c>
      <c r="V90" s="520" t="str">
        <f t="shared" si="10"/>
        <v/>
      </c>
      <c r="W90" s="520" t="str">
        <f>IF(E90="","",IF(AND(V90="Standard difficulty applied",O90&gt;P90),U90,IF(AND(V90="Low Difficulty - only applicable if all habitat created before losses",P90&gt;=O90),"Low",VLOOKUP(F90,'G-3 Multipliers'!$A$2:$E$129,4,FALSE))))</f>
        <v/>
      </c>
      <c r="X90" s="524" t="str">
        <f>IFERROR(IF(E90="","",VLOOKUP(W90, 'G-3 Multipliers'!$P$2:$Q$6,2,FALSE)),"")</f>
        <v/>
      </c>
      <c r="Y90" s="529" t="str">
        <f t="shared" si="11"/>
        <v/>
      </c>
      <c r="Z90" s="239"/>
      <c r="AA90" s="240"/>
      <c r="AE90" s="54" t="str">
        <f t="shared" si="7"/>
        <v/>
      </c>
    </row>
    <row r="91" spans="1:31" x14ac:dyDescent="0.25">
      <c r="A91" s="47" t="str">
        <f>IFERROR(INDEX('G-8 Condition Look up'!$I$4:$I$130,MATCH(F91,'G-8 Condition Look up'!$A$4:$A$130,0)),"")</f>
        <v/>
      </c>
      <c r="C91" s="384" t="str">
        <f>IFERROR(INDEX('G-1 All Habitats'!$AG$3:$AG$15,MATCH(D91,'G-1 All Habitats'!$AF$3:$AF$15,0)),"")</f>
        <v/>
      </c>
      <c r="D91" s="146"/>
      <c r="E91" s="79"/>
      <c r="F91" s="246" t="str">
        <f>IFERROR(INDEX('G-1 All Habitats'!$B$3:$B$129,MATCH(E91,'G-1 All Habitats'!$A$3:$A$129,0)),"")</f>
        <v/>
      </c>
      <c r="G91" s="70"/>
      <c r="H91" s="498" t="str">
        <f>IF(F91="","",VLOOKUP(F91,'G-1 All Habitats'!$B$2:$M$129,10,FALSE))</f>
        <v/>
      </c>
      <c r="I91" s="499" t="str">
        <f>IFERROR(VLOOKUP(H91,'G-1 All Habitats'!$V$3:$W$7,2,FALSE),"")</f>
        <v/>
      </c>
      <c r="J91" s="71"/>
      <c r="K91" s="499" t="str">
        <f>IFERROR(INDEX('G-8 Condition Look up'!$A$3:$H$130,MATCH(F91,'G-8 Condition Look up'!$A$3:$A$130,0),MATCH(J91,'G-8 Condition Look up'!$A$3:$H$3,0)),"")</f>
        <v/>
      </c>
      <c r="L91" s="71"/>
      <c r="M91" s="507" t="str">
        <f>IF(L91="","",IF(VLOOKUP(L91,'G-3 Multipliers'!$L$3:$N$6,2,FALSE)=0,"Spatial Data Missing",VLOOKUP(L91,'G-3 Multipliers'!$L$3:$N$6,2,FALSE)))</f>
        <v/>
      </c>
      <c r="N91" s="505" t="str">
        <f>IF(L91="","",IF(VLOOKUP(L91,'G-3 Multipliers'!$L$3:$N$6,3,FALSE)=0,"Spatial Data Missing",VLOOKUP(L91,'G-3 Multipliers'!$L$3:$N$6,3,FALSE)))</f>
        <v/>
      </c>
      <c r="O91" s="498" t="str">
        <f t="shared" si="6"/>
        <v/>
      </c>
      <c r="P91" s="82"/>
      <c r="Q91" s="82"/>
      <c r="R91" s="507" t="str">
        <f t="shared" si="8"/>
        <v/>
      </c>
      <c r="S91" s="521" t="str">
        <f t="shared" si="9"/>
        <v/>
      </c>
      <c r="T91" s="522" t="str">
        <f>IFERROR(IF(S91="Check Data ⚠","Check Data ⚠",VLOOKUP(S91,'G-4 Temporal multipliers'!$A$4:$C$37,3,FALSE)),"")</f>
        <v/>
      </c>
      <c r="U91" s="523" t="str">
        <f>IF(F91="","",VLOOKUP(F91,'G-3 Multipliers'!$A$2:$E$129,2,FALSE))</f>
        <v/>
      </c>
      <c r="V91" s="520" t="str">
        <f t="shared" si="10"/>
        <v/>
      </c>
      <c r="W91" s="520" t="str">
        <f>IF(E91="","",IF(AND(V91="Standard difficulty applied",O91&gt;P91),U91,IF(AND(V91="Low Difficulty - only applicable if all habitat created before losses",P91&gt;=O91),"Low",VLOOKUP(F91,'G-3 Multipliers'!$A$2:$E$129,4,FALSE))))</f>
        <v/>
      </c>
      <c r="X91" s="524" t="str">
        <f>IFERROR(IF(E91="","",VLOOKUP(W91, 'G-3 Multipliers'!$P$2:$Q$6,2,FALSE)),"")</f>
        <v/>
      </c>
      <c r="Y91" s="529" t="str">
        <f t="shared" si="11"/>
        <v/>
      </c>
      <c r="Z91" s="239"/>
      <c r="AA91" s="240"/>
      <c r="AE91" s="54" t="str">
        <f t="shared" si="7"/>
        <v/>
      </c>
    </row>
    <row r="92" spans="1:31" x14ac:dyDescent="0.25">
      <c r="A92" s="47" t="str">
        <f>IFERROR(INDEX('G-8 Condition Look up'!$I$4:$I$130,MATCH(F92,'G-8 Condition Look up'!$A$4:$A$130,0)),"")</f>
        <v/>
      </c>
      <c r="C92" s="384" t="str">
        <f>IFERROR(INDEX('G-1 All Habitats'!$AG$3:$AG$15,MATCH(D92,'G-1 All Habitats'!$AF$3:$AF$15,0)),"")</f>
        <v/>
      </c>
      <c r="D92" s="146"/>
      <c r="E92" s="79"/>
      <c r="F92" s="246" t="str">
        <f>IFERROR(INDEX('G-1 All Habitats'!$B$3:$B$129,MATCH(E92,'G-1 All Habitats'!$A$3:$A$129,0)),"")</f>
        <v/>
      </c>
      <c r="G92" s="70"/>
      <c r="H92" s="498" t="str">
        <f>IF(F92="","",VLOOKUP(F92,'G-1 All Habitats'!$B$2:$M$129,10,FALSE))</f>
        <v/>
      </c>
      <c r="I92" s="499" t="str">
        <f>IFERROR(VLOOKUP(H92,'G-1 All Habitats'!$V$3:$W$7,2,FALSE),"")</f>
        <v/>
      </c>
      <c r="J92" s="71"/>
      <c r="K92" s="499" t="str">
        <f>IFERROR(INDEX('G-8 Condition Look up'!$A$3:$H$130,MATCH(F92,'G-8 Condition Look up'!$A$3:$A$130,0),MATCH(J92,'G-8 Condition Look up'!$A$3:$H$3,0)),"")</f>
        <v/>
      </c>
      <c r="L92" s="71"/>
      <c r="M92" s="507" t="str">
        <f>IF(L92="","",IF(VLOOKUP(L92,'G-3 Multipliers'!$L$3:$N$6,2,FALSE)=0,"Spatial Data Missing",VLOOKUP(L92,'G-3 Multipliers'!$L$3:$N$6,2,FALSE)))</f>
        <v/>
      </c>
      <c r="N92" s="505" t="str">
        <f>IF(L92="","",IF(VLOOKUP(L92,'G-3 Multipliers'!$L$3:$N$6,3,FALSE)=0,"Spatial Data Missing",VLOOKUP(L92,'G-3 Multipliers'!$L$3:$N$6,3,FALSE)))</f>
        <v/>
      </c>
      <c r="O92" s="498" t="str">
        <f t="shared" si="6"/>
        <v/>
      </c>
      <c r="P92" s="82"/>
      <c r="Q92" s="82"/>
      <c r="R92" s="507" t="str">
        <f t="shared" si="8"/>
        <v/>
      </c>
      <c r="S92" s="521" t="str">
        <f t="shared" si="9"/>
        <v/>
      </c>
      <c r="T92" s="522" t="str">
        <f>IFERROR(IF(S92="Check Data ⚠","Check Data ⚠",VLOOKUP(S92,'G-4 Temporal multipliers'!$A$4:$C$37,3,FALSE)),"")</f>
        <v/>
      </c>
      <c r="U92" s="523" t="str">
        <f>IF(F92="","",VLOOKUP(F92,'G-3 Multipliers'!$A$2:$E$129,2,FALSE))</f>
        <v/>
      </c>
      <c r="V92" s="520" t="str">
        <f t="shared" si="10"/>
        <v/>
      </c>
      <c r="W92" s="520" t="str">
        <f>IF(E92="","",IF(AND(V92="Standard difficulty applied",O92&gt;P92),U92,IF(AND(V92="Low Difficulty - only applicable if all habitat created before losses",P92&gt;=O92),"Low",VLOOKUP(F92,'G-3 Multipliers'!$A$2:$E$129,4,FALSE))))</f>
        <v/>
      </c>
      <c r="X92" s="524" t="str">
        <f>IFERROR(IF(E92="","",VLOOKUP(W92, 'G-3 Multipliers'!$P$2:$Q$6,2,FALSE)),"")</f>
        <v/>
      </c>
      <c r="Y92" s="529" t="str">
        <f t="shared" si="11"/>
        <v/>
      </c>
      <c r="Z92" s="239"/>
      <c r="AA92" s="240"/>
      <c r="AE92" s="54" t="str">
        <f t="shared" si="7"/>
        <v/>
      </c>
    </row>
    <row r="93" spans="1:31" x14ac:dyDescent="0.25">
      <c r="A93" s="47" t="str">
        <f>IFERROR(INDEX('G-8 Condition Look up'!$I$4:$I$130,MATCH(F93,'G-8 Condition Look up'!$A$4:$A$130,0)),"")</f>
        <v/>
      </c>
      <c r="C93" s="384" t="str">
        <f>IFERROR(INDEX('G-1 All Habitats'!$AG$3:$AG$15,MATCH(D93,'G-1 All Habitats'!$AF$3:$AF$15,0)),"")</f>
        <v/>
      </c>
      <c r="D93" s="146"/>
      <c r="E93" s="79"/>
      <c r="F93" s="246" t="str">
        <f>IFERROR(INDEX('G-1 All Habitats'!$B$3:$B$129,MATCH(E93,'G-1 All Habitats'!$A$3:$A$129,0)),"")</f>
        <v/>
      </c>
      <c r="G93" s="70"/>
      <c r="H93" s="498" t="str">
        <f>IF(F93="","",VLOOKUP(F93,'G-1 All Habitats'!$B$2:$M$129,10,FALSE))</f>
        <v/>
      </c>
      <c r="I93" s="499" t="str">
        <f>IFERROR(VLOOKUP(H93,'G-1 All Habitats'!$V$3:$W$7,2,FALSE),"")</f>
        <v/>
      </c>
      <c r="J93" s="71"/>
      <c r="K93" s="499" t="str">
        <f>IFERROR(INDEX('G-8 Condition Look up'!$A$3:$H$130,MATCH(F93,'G-8 Condition Look up'!$A$3:$A$130,0),MATCH(J93,'G-8 Condition Look up'!$A$3:$H$3,0)),"")</f>
        <v/>
      </c>
      <c r="L93" s="71"/>
      <c r="M93" s="507" t="str">
        <f>IF(L93="","",IF(VLOOKUP(L93,'G-3 Multipliers'!$L$3:$N$6,2,FALSE)=0,"Spatial Data Missing",VLOOKUP(L93,'G-3 Multipliers'!$L$3:$N$6,2,FALSE)))</f>
        <v/>
      </c>
      <c r="N93" s="505" t="str">
        <f>IF(L93="","",IF(VLOOKUP(L93,'G-3 Multipliers'!$L$3:$N$6,3,FALSE)=0,"Spatial Data Missing",VLOOKUP(L93,'G-3 Multipliers'!$L$3:$N$6,3,FALSE)))</f>
        <v/>
      </c>
      <c r="O93" s="498" t="str">
        <f t="shared" si="6"/>
        <v/>
      </c>
      <c r="P93" s="82"/>
      <c r="Q93" s="82"/>
      <c r="R93" s="507" t="str">
        <f t="shared" si="8"/>
        <v/>
      </c>
      <c r="S93" s="521" t="str">
        <f t="shared" si="9"/>
        <v/>
      </c>
      <c r="T93" s="522" t="str">
        <f>IFERROR(IF(S93="Check Data ⚠","Check Data ⚠",VLOOKUP(S93,'G-4 Temporal multipliers'!$A$4:$C$37,3,FALSE)),"")</f>
        <v/>
      </c>
      <c r="U93" s="523" t="str">
        <f>IF(F93="","",VLOOKUP(F93,'G-3 Multipliers'!$A$2:$E$129,2,FALSE))</f>
        <v/>
      </c>
      <c r="V93" s="520" t="str">
        <f t="shared" si="10"/>
        <v/>
      </c>
      <c r="W93" s="520" t="str">
        <f>IF(E93="","",IF(AND(V93="Standard difficulty applied",O93&gt;P93),U93,IF(AND(V93="Low Difficulty - only applicable if all habitat created before losses",P93&gt;=O93),"Low",VLOOKUP(F93,'G-3 Multipliers'!$A$2:$E$129,4,FALSE))))</f>
        <v/>
      </c>
      <c r="X93" s="524" t="str">
        <f>IFERROR(IF(E93="","",VLOOKUP(W93, 'G-3 Multipliers'!$P$2:$Q$6,2,FALSE)),"")</f>
        <v/>
      </c>
      <c r="Y93" s="529" t="str">
        <f t="shared" si="11"/>
        <v/>
      </c>
      <c r="Z93" s="239"/>
      <c r="AA93" s="240"/>
      <c r="AE93" s="54" t="str">
        <f t="shared" si="7"/>
        <v/>
      </c>
    </row>
    <row r="94" spans="1:31" x14ac:dyDescent="0.25">
      <c r="A94" s="47" t="str">
        <f>IFERROR(INDEX('G-8 Condition Look up'!$I$4:$I$130,MATCH(F94,'G-8 Condition Look up'!$A$4:$A$130,0)),"")</f>
        <v/>
      </c>
      <c r="C94" s="384" t="str">
        <f>IFERROR(INDEX('G-1 All Habitats'!$AG$3:$AG$15,MATCH(D94,'G-1 All Habitats'!$AF$3:$AF$15,0)),"")</f>
        <v/>
      </c>
      <c r="D94" s="146"/>
      <c r="E94" s="79"/>
      <c r="F94" s="246" t="str">
        <f>IFERROR(INDEX('G-1 All Habitats'!$B$3:$B$129,MATCH(E94,'G-1 All Habitats'!$A$3:$A$129,0)),"")</f>
        <v/>
      </c>
      <c r="G94" s="70"/>
      <c r="H94" s="498" t="str">
        <f>IF(F94="","",VLOOKUP(F94,'G-1 All Habitats'!$B$2:$M$129,10,FALSE))</f>
        <v/>
      </c>
      <c r="I94" s="499" t="str">
        <f>IFERROR(VLOOKUP(H94,'G-1 All Habitats'!$V$3:$W$7,2,FALSE),"")</f>
        <v/>
      </c>
      <c r="J94" s="71"/>
      <c r="K94" s="499" t="str">
        <f>IFERROR(INDEX('G-8 Condition Look up'!$A$3:$H$130,MATCH(F94,'G-8 Condition Look up'!$A$3:$A$130,0),MATCH(J94,'G-8 Condition Look up'!$A$3:$H$3,0)),"")</f>
        <v/>
      </c>
      <c r="L94" s="71"/>
      <c r="M94" s="507" t="str">
        <f>IF(L94="","",IF(VLOOKUP(L94,'G-3 Multipliers'!$L$3:$N$6,2,FALSE)=0,"Spatial Data Missing",VLOOKUP(L94,'G-3 Multipliers'!$L$3:$N$6,2,FALSE)))</f>
        <v/>
      </c>
      <c r="N94" s="505" t="str">
        <f>IF(L94="","",IF(VLOOKUP(L94,'G-3 Multipliers'!$L$3:$N$6,3,FALSE)=0,"Spatial Data Missing",VLOOKUP(L94,'G-3 Multipliers'!$L$3:$N$6,3,FALSE)))</f>
        <v/>
      </c>
      <c r="O94" s="498" t="str">
        <f t="shared" si="6"/>
        <v/>
      </c>
      <c r="P94" s="82"/>
      <c r="Q94" s="82"/>
      <c r="R94" s="507" t="str">
        <f t="shared" si="8"/>
        <v/>
      </c>
      <c r="S94" s="521" t="str">
        <f t="shared" si="9"/>
        <v/>
      </c>
      <c r="T94" s="522" t="str">
        <f>IFERROR(IF(S94="Check Data ⚠","Check Data ⚠",VLOOKUP(S94,'G-4 Temporal multipliers'!$A$4:$C$37,3,FALSE)),"")</f>
        <v/>
      </c>
      <c r="U94" s="523" t="str">
        <f>IF(F94="","",VLOOKUP(F94,'G-3 Multipliers'!$A$2:$E$129,2,FALSE))</f>
        <v/>
      </c>
      <c r="V94" s="520" t="str">
        <f t="shared" si="10"/>
        <v/>
      </c>
      <c r="W94" s="520" t="str">
        <f>IF(E94="","",IF(AND(V94="Standard difficulty applied",O94&gt;P94),U94,IF(AND(V94="Low Difficulty - only applicable if all habitat created before losses",P94&gt;=O94),"Low",VLOOKUP(F94,'G-3 Multipliers'!$A$2:$E$129,4,FALSE))))</f>
        <v/>
      </c>
      <c r="X94" s="524" t="str">
        <f>IFERROR(IF(E94="","",VLOOKUP(W94, 'G-3 Multipliers'!$P$2:$Q$6,2,FALSE)),"")</f>
        <v/>
      </c>
      <c r="Y94" s="529" t="str">
        <f t="shared" si="11"/>
        <v/>
      </c>
      <c r="Z94" s="239"/>
      <c r="AA94" s="240"/>
      <c r="AE94" s="54" t="str">
        <f t="shared" si="7"/>
        <v/>
      </c>
    </row>
    <row r="95" spans="1:31" x14ac:dyDescent="0.25">
      <c r="A95" s="47" t="str">
        <f>IFERROR(INDEX('G-8 Condition Look up'!$I$4:$I$130,MATCH(F95,'G-8 Condition Look up'!$A$4:$A$130,0)),"")</f>
        <v/>
      </c>
      <c r="C95" s="384" t="str">
        <f>IFERROR(INDEX('G-1 All Habitats'!$AG$3:$AG$15,MATCH(D95,'G-1 All Habitats'!$AF$3:$AF$15,0)),"")</f>
        <v/>
      </c>
      <c r="D95" s="146"/>
      <c r="E95" s="79"/>
      <c r="F95" s="246" t="str">
        <f>IFERROR(INDEX('G-1 All Habitats'!$B$3:$B$129,MATCH(E95,'G-1 All Habitats'!$A$3:$A$129,0)),"")</f>
        <v/>
      </c>
      <c r="G95" s="70"/>
      <c r="H95" s="498" t="str">
        <f>IF(F95="","",VLOOKUP(F95,'G-1 All Habitats'!$B$2:$M$129,10,FALSE))</f>
        <v/>
      </c>
      <c r="I95" s="499" t="str">
        <f>IFERROR(VLOOKUP(H95,'G-1 All Habitats'!$V$3:$W$7,2,FALSE),"")</f>
        <v/>
      </c>
      <c r="J95" s="71"/>
      <c r="K95" s="499" t="str">
        <f>IFERROR(INDEX('G-8 Condition Look up'!$A$3:$H$130,MATCH(F95,'G-8 Condition Look up'!$A$3:$A$130,0),MATCH(J95,'G-8 Condition Look up'!$A$3:$H$3,0)),"")</f>
        <v/>
      </c>
      <c r="L95" s="71"/>
      <c r="M95" s="507" t="str">
        <f>IF(L95="","",IF(VLOOKUP(L95,'G-3 Multipliers'!$L$3:$N$6,2,FALSE)=0,"Spatial Data Missing",VLOOKUP(L95,'G-3 Multipliers'!$L$3:$N$6,2,FALSE)))</f>
        <v/>
      </c>
      <c r="N95" s="505" t="str">
        <f>IF(L95="","",IF(VLOOKUP(L95,'G-3 Multipliers'!$L$3:$N$6,3,FALSE)=0,"Spatial Data Missing",VLOOKUP(L95,'G-3 Multipliers'!$L$3:$N$6,3,FALSE)))</f>
        <v/>
      </c>
      <c r="O95" s="498" t="str">
        <f t="shared" si="6"/>
        <v/>
      </c>
      <c r="P95" s="82"/>
      <c r="Q95" s="82"/>
      <c r="R95" s="507" t="str">
        <f t="shared" si="8"/>
        <v/>
      </c>
      <c r="S95" s="521" t="str">
        <f t="shared" si="9"/>
        <v/>
      </c>
      <c r="T95" s="522" t="str">
        <f>IFERROR(IF(S95="Check Data ⚠","Check Data ⚠",VLOOKUP(S95,'G-4 Temporal multipliers'!$A$4:$C$37,3,FALSE)),"")</f>
        <v/>
      </c>
      <c r="U95" s="523" t="str">
        <f>IF(F95="","",VLOOKUP(F95,'G-3 Multipliers'!$A$2:$E$129,2,FALSE))</f>
        <v/>
      </c>
      <c r="V95" s="520" t="str">
        <f t="shared" si="10"/>
        <v/>
      </c>
      <c r="W95" s="520" t="str">
        <f>IF(E95="","",IF(AND(V95="Standard difficulty applied",O95&gt;P95),U95,IF(AND(V95="Low Difficulty - only applicable if all habitat created before losses",P95&gt;=O95),"Low",VLOOKUP(F95,'G-3 Multipliers'!$A$2:$E$129,4,FALSE))))</f>
        <v/>
      </c>
      <c r="X95" s="524" t="str">
        <f>IFERROR(IF(E95="","",VLOOKUP(W95, 'G-3 Multipliers'!$P$2:$Q$6,2,FALSE)),"")</f>
        <v/>
      </c>
      <c r="Y95" s="529" t="str">
        <f t="shared" si="11"/>
        <v/>
      </c>
      <c r="Z95" s="239"/>
      <c r="AA95" s="240"/>
      <c r="AE95" s="54" t="str">
        <f t="shared" si="7"/>
        <v/>
      </c>
    </row>
    <row r="96" spans="1:31" x14ac:dyDescent="0.25">
      <c r="A96" s="47" t="str">
        <f>IFERROR(INDEX('G-8 Condition Look up'!$I$4:$I$130,MATCH(F96,'G-8 Condition Look up'!$A$4:$A$130,0)),"")</f>
        <v/>
      </c>
      <c r="C96" s="384" t="str">
        <f>IFERROR(INDEX('G-1 All Habitats'!$AG$3:$AG$15,MATCH(D96,'G-1 All Habitats'!$AF$3:$AF$15,0)),"")</f>
        <v/>
      </c>
      <c r="D96" s="146"/>
      <c r="E96" s="79"/>
      <c r="F96" s="246" t="str">
        <f>IFERROR(INDEX('G-1 All Habitats'!$B$3:$B$129,MATCH(E96,'G-1 All Habitats'!$A$3:$A$129,0)),"")</f>
        <v/>
      </c>
      <c r="G96" s="70"/>
      <c r="H96" s="498" t="str">
        <f>IF(F96="","",VLOOKUP(F96,'G-1 All Habitats'!$B$2:$M$129,10,FALSE))</f>
        <v/>
      </c>
      <c r="I96" s="499" t="str">
        <f>IFERROR(VLOOKUP(H96,'G-1 All Habitats'!$V$3:$W$7,2,FALSE),"")</f>
        <v/>
      </c>
      <c r="J96" s="71"/>
      <c r="K96" s="499" t="str">
        <f>IFERROR(INDEX('G-8 Condition Look up'!$A$3:$H$130,MATCH(F96,'G-8 Condition Look up'!$A$3:$A$130,0),MATCH(J96,'G-8 Condition Look up'!$A$3:$H$3,0)),"")</f>
        <v/>
      </c>
      <c r="L96" s="71"/>
      <c r="M96" s="507" t="str">
        <f>IF(L96="","",IF(VLOOKUP(L96,'G-3 Multipliers'!$L$3:$N$6,2,FALSE)=0,"Spatial Data Missing",VLOOKUP(L96,'G-3 Multipliers'!$L$3:$N$6,2,FALSE)))</f>
        <v/>
      </c>
      <c r="N96" s="505" t="str">
        <f>IF(L96="","",IF(VLOOKUP(L96,'G-3 Multipliers'!$L$3:$N$6,3,FALSE)=0,"Spatial Data Missing",VLOOKUP(L96,'G-3 Multipliers'!$L$3:$N$6,3,FALSE)))</f>
        <v/>
      </c>
      <c r="O96" s="498" t="str">
        <f t="shared" si="6"/>
        <v/>
      </c>
      <c r="P96" s="82"/>
      <c r="Q96" s="82"/>
      <c r="R96" s="507" t="str">
        <f t="shared" si="8"/>
        <v/>
      </c>
      <c r="S96" s="521" t="str">
        <f t="shared" si="9"/>
        <v/>
      </c>
      <c r="T96" s="522" t="str">
        <f>IFERROR(IF(S96="Check Data ⚠","Check Data ⚠",VLOOKUP(S96,'G-4 Temporal multipliers'!$A$4:$C$37,3,FALSE)),"")</f>
        <v/>
      </c>
      <c r="U96" s="523" t="str">
        <f>IF(F96="","",VLOOKUP(F96,'G-3 Multipliers'!$A$2:$E$129,2,FALSE))</f>
        <v/>
      </c>
      <c r="V96" s="520" t="str">
        <f t="shared" si="10"/>
        <v/>
      </c>
      <c r="W96" s="520" t="str">
        <f>IF(E96="","",IF(AND(V96="Standard difficulty applied",O96&gt;P96),U96,IF(AND(V96="Low Difficulty - only applicable if all habitat created before losses",P96&gt;=O96),"Low",VLOOKUP(F96,'G-3 Multipliers'!$A$2:$E$129,4,FALSE))))</f>
        <v/>
      </c>
      <c r="X96" s="524" t="str">
        <f>IFERROR(IF(E96="","",VLOOKUP(W96, 'G-3 Multipliers'!$P$2:$Q$6,2,FALSE)),"")</f>
        <v/>
      </c>
      <c r="Y96" s="529" t="str">
        <f t="shared" si="11"/>
        <v/>
      </c>
      <c r="Z96" s="239"/>
      <c r="AA96" s="240"/>
      <c r="AE96" s="54" t="str">
        <f t="shared" si="7"/>
        <v/>
      </c>
    </row>
    <row r="97" spans="1:31" x14ac:dyDescent="0.25">
      <c r="A97" s="47" t="str">
        <f>IFERROR(INDEX('G-8 Condition Look up'!$I$4:$I$130,MATCH(F97,'G-8 Condition Look up'!$A$4:$A$130,0)),"")</f>
        <v/>
      </c>
      <c r="C97" s="384" t="str">
        <f>IFERROR(INDEX('G-1 All Habitats'!$AG$3:$AG$15,MATCH(D97,'G-1 All Habitats'!$AF$3:$AF$15,0)),"")</f>
        <v/>
      </c>
      <c r="D97" s="146"/>
      <c r="E97" s="79"/>
      <c r="F97" s="246" t="str">
        <f>IFERROR(INDEX('G-1 All Habitats'!$B$3:$B$129,MATCH(E97,'G-1 All Habitats'!$A$3:$A$129,0)),"")</f>
        <v/>
      </c>
      <c r="G97" s="70"/>
      <c r="H97" s="498" t="str">
        <f>IF(F97="","",VLOOKUP(F97,'G-1 All Habitats'!$B$2:$M$129,10,FALSE))</f>
        <v/>
      </c>
      <c r="I97" s="499" t="str">
        <f>IFERROR(VLOOKUP(H97,'G-1 All Habitats'!$V$3:$W$7,2,FALSE),"")</f>
        <v/>
      </c>
      <c r="J97" s="71"/>
      <c r="K97" s="499" t="str">
        <f>IFERROR(INDEX('G-8 Condition Look up'!$A$3:$H$130,MATCH(F97,'G-8 Condition Look up'!$A$3:$A$130,0),MATCH(J97,'G-8 Condition Look up'!$A$3:$H$3,0)),"")</f>
        <v/>
      </c>
      <c r="L97" s="71"/>
      <c r="M97" s="507" t="str">
        <f>IF(L97="","",IF(VLOOKUP(L97,'G-3 Multipliers'!$L$3:$N$6,2,FALSE)=0,"Spatial Data Missing",VLOOKUP(L97,'G-3 Multipliers'!$L$3:$N$6,2,FALSE)))</f>
        <v/>
      </c>
      <c r="N97" s="505" t="str">
        <f>IF(L97="","",IF(VLOOKUP(L97,'G-3 Multipliers'!$L$3:$N$6,3,FALSE)=0,"Spatial Data Missing",VLOOKUP(L97,'G-3 Multipliers'!$L$3:$N$6,3,FALSE)))</f>
        <v/>
      </c>
      <c r="O97" s="498" t="str">
        <f t="shared" si="6"/>
        <v/>
      </c>
      <c r="P97" s="82"/>
      <c r="Q97" s="82"/>
      <c r="R97" s="507" t="str">
        <f t="shared" si="8"/>
        <v/>
      </c>
      <c r="S97" s="521" t="str">
        <f t="shared" si="9"/>
        <v/>
      </c>
      <c r="T97" s="522" t="str">
        <f>IFERROR(IF(S97="Check Data ⚠","Check Data ⚠",VLOOKUP(S97,'G-4 Temporal multipliers'!$A$4:$C$37,3,FALSE)),"")</f>
        <v/>
      </c>
      <c r="U97" s="523" t="str">
        <f>IF(F97="","",VLOOKUP(F97,'G-3 Multipliers'!$A$2:$E$129,2,FALSE))</f>
        <v/>
      </c>
      <c r="V97" s="520" t="str">
        <f t="shared" si="10"/>
        <v/>
      </c>
      <c r="W97" s="520" t="str">
        <f>IF(E97="","",IF(AND(V97="Standard difficulty applied",O97&gt;P97),U97,IF(AND(V97="Low Difficulty - only applicable if all habitat created before losses",P97&gt;=O97),"Low",VLOOKUP(F97,'G-3 Multipliers'!$A$2:$E$129,4,FALSE))))</f>
        <v/>
      </c>
      <c r="X97" s="524" t="str">
        <f>IFERROR(IF(E97="","",VLOOKUP(W97, 'G-3 Multipliers'!$P$2:$Q$6,2,FALSE)),"")</f>
        <v/>
      </c>
      <c r="Y97" s="529" t="str">
        <f t="shared" si="11"/>
        <v/>
      </c>
      <c r="Z97" s="239"/>
      <c r="AA97" s="240"/>
      <c r="AE97" s="54" t="str">
        <f t="shared" si="7"/>
        <v/>
      </c>
    </row>
    <row r="98" spans="1:31" x14ac:dyDescent="0.25">
      <c r="A98" s="47" t="str">
        <f>IFERROR(INDEX('G-8 Condition Look up'!$I$4:$I$130,MATCH(F98,'G-8 Condition Look up'!$A$4:$A$130,0)),"")</f>
        <v/>
      </c>
      <c r="C98" s="384" t="str">
        <f>IFERROR(INDEX('G-1 All Habitats'!$AG$3:$AG$15,MATCH(D98,'G-1 All Habitats'!$AF$3:$AF$15,0)),"")</f>
        <v/>
      </c>
      <c r="D98" s="146"/>
      <c r="E98" s="79"/>
      <c r="F98" s="246" t="str">
        <f>IFERROR(INDEX('G-1 All Habitats'!$B$3:$B$129,MATCH(E98,'G-1 All Habitats'!$A$3:$A$129,0)),"")</f>
        <v/>
      </c>
      <c r="G98" s="70"/>
      <c r="H98" s="498" t="str">
        <f>IF(F98="","",VLOOKUP(F98,'G-1 All Habitats'!$B$2:$M$129,10,FALSE))</f>
        <v/>
      </c>
      <c r="I98" s="499" t="str">
        <f>IFERROR(VLOOKUP(H98,'G-1 All Habitats'!$V$3:$W$7,2,FALSE),"")</f>
        <v/>
      </c>
      <c r="J98" s="71"/>
      <c r="K98" s="499" t="str">
        <f>IFERROR(INDEX('G-8 Condition Look up'!$A$3:$H$130,MATCH(F98,'G-8 Condition Look up'!$A$3:$A$130,0),MATCH(J98,'G-8 Condition Look up'!$A$3:$H$3,0)),"")</f>
        <v/>
      </c>
      <c r="L98" s="71"/>
      <c r="M98" s="507" t="str">
        <f>IF(L98="","",IF(VLOOKUP(L98,'G-3 Multipliers'!$L$3:$N$6,2,FALSE)=0,"Spatial Data Missing",VLOOKUP(L98,'G-3 Multipliers'!$L$3:$N$6,2,FALSE)))</f>
        <v/>
      </c>
      <c r="N98" s="505" t="str">
        <f>IF(L98="","",IF(VLOOKUP(L98,'G-3 Multipliers'!$L$3:$N$6,3,FALSE)=0,"Spatial Data Missing",VLOOKUP(L98,'G-3 Multipliers'!$L$3:$N$6,3,FALSE)))</f>
        <v/>
      </c>
      <c r="O98" s="498" t="str">
        <f t="shared" si="6"/>
        <v/>
      </c>
      <c r="P98" s="82"/>
      <c r="Q98" s="82"/>
      <c r="R98" s="507" t="str">
        <f t="shared" si="8"/>
        <v/>
      </c>
      <c r="S98" s="521" t="str">
        <f t="shared" si="9"/>
        <v/>
      </c>
      <c r="T98" s="522" t="str">
        <f>IFERROR(IF(S98="Check Data ⚠","Check Data ⚠",VLOOKUP(S98,'G-4 Temporal multipliers'!$A$4:$C$37,3,FALSE)),"")</f>
        <v/>
      </c>
      <c r="U98" s="523" t="str">
        <f>IF(F98="","",VLOOKUP(F98,'G-3 Multipliers'!$A$2:$E$129,2,FALSE))</f>
        <v/>
      </c>
      <c r="V98" s="520" t="str">
        <f t="shared" si="10"/>
        <v/>
      </c>
      <c r="W98" s="520" t="str">
        <f>IF(E98="","",IF(AND(V98="Standard difficulty applied",O98&gt;P98),U98,IF(AND(V98="Low Difficulty - only applicable if all habitat created before losses",P98&gt;=O98),"Low",VLOOKUP(F98,'G-3 Multipliers'!$A$2:$E$129,4,FALSE))))</f>
        <v/>
      </c>
      <c r="X98" s="524" t="str">
        <f>IFERROR(IF(E98="","",VLOOKUP(W98, 'G-3 Multipliers'!$P$2:$Q$6,2,FALSE)),"")</f>
        <v/>
      </c>
      <c r="Y98" s="529" t="str">
        <f t="shared" si="11"/>
        <v/>
      </c>
      <c r="Z98" s="239"/>
      <c r="AA98" s="240"/>
      <c r="AE98" s="54" t="str">
        <f t="shared" si="7"/>
        <v/>
      </c>
    </row>
    <row r="99" spans="1:31" x14ac:dyDescent="0.25">
      <c r="A99" s="47" t="str">
        <f>IFERROR(INDEX('G-8 Condition Look up'!$I$4:$I$130,MATCH(F99,'G-8 Condition Look up'!$A$4:$A$130,0)),"")</f>
        <v/>
      </c>
      <c r="C99" s="384" t="str">
        <f>IFERROR(INDEX('G-1 All Habitats'!$AG$3:$AG$15,MATCH(D99,'G-1 All Habitats'!$AF$3:$AF$15,0)),"")</f>
        <v/>
      </c>
      <c r="D99" s="146"/>
      <c r="E99" s="79"/>
      <c r="F99" s="246" t="str">
        <f>IFERROR(INDEX('G-1 All Habitats'!$B$3:$B$129,MATCH(E99,'G-1 All Habitats'!$A$3:$A$129,0)),"")</f>
        <v/>
      </c>
      <c r="G99" s="70"/>
      <c r="H99" s="498" t="str">
        <f>IF(F99="","",VLOOKUP(F99,'G-1 All Habitats'!$B$2:$M$129,10,FALSE))</f>
        <v/>
      </c>
      <c r="I99" s="499" t="str">
        <f>IFERROR(VLOOKUP(H99,'G-1 All Habitats'!$V$3:$W$7,2,FALSE),"")</f>
        <v/>
      </c>
      <c r="J99" s="71"/>
      <c r="K99" s="499" t="str">
        <f>IFERROR(INDEX('G-8 Condition Look up'!$A$3:$H$130,MATCH(F99,'G-8 Condition Look up'!$A$3:$A$130,0),MATCH(J99,'G-8 Condition Look up'!$A$3:$H$3,0)),"")</f>
        <v/>
      </c>
      <c r="L99" s="71"/>
      <c r="M99" s="507" t="str">
        <f>IF(L99="","",IF(VLOOKUP(L99,'G-3 Multipliers'!$L$3:$N$6,2,FALSE)=0,"Spatial Data Missing",VLOOKUP(L99,'G-3 Multipliers'!$L$3:$N$6,2,FALSE)))</f>
        <v/>
      </c>
      <c r="N99" s="505" t="str">
        <f>IF(L99="","",IF(VLOOKUP(L99,'G-3 Multipliers'!$L$3:$N$6,3,FALSE)=0,"Spatial Data Missing",VLOOKUP(L99,'G-3 Multipliers'!$L$3:$N$6,3,FALSE)))</f>
        <v/>
      </c>
      <c r="O99" s="498" t="str">
        <f t="shared" si="6"/>
        <v/>
      </c>
      <c r="P99" s="82"/>
      <c r="Q99" s="82"/>
      <c r="R99" s="507" t="str">
        <f t="shared" si="8"/>
        <v/>
      </c>
      <c r="S99" s="521" t="str">
        <f t="shared" si="9"/>
        <v/>
      </c>
      <c r="T99" s="522" t="str">
        <f>IFERROR(IF(S99="Check Data ⚠","Check Data ⚠",VLOOKUP(S99,'G-4 Temporal multipliers'!$A$4:$C$37,3,FALSE)),"")</f>
        <v/>
      </c>
      <c r="U99" s="523" t="str">
        <f>IF(F99="","",VLOOKUP(F99,'G-3 Multipliers'!$A$2:$E$129,2,FALSE))</f>
        <v/>
      </c>
      <c r="V99" s="520" t="str">
        <f t="shared" si="10"/>
        <v/>
      </c>
      <c r="W99" s="520" t="str">
        <f>IF(E99="","",IF(AND(V99="Standard difficulty applied",O99&gt;P99),U99,IF(AND(V99="Low Difficulty - only applicable if all habitat created before losses",P99&gt;=O99),"Low",VLOOKUP(F99,'G-3 Multipliers'!$A$2:$E$129,4,FALSE))))</f>
        <v/>
      </c>
      <c r="X99" s="524" t="str">
        <f>IFERROR(IF(E99="","",VLOOKUP(W99, 'G-3 Multipliers'!$P$2:$Q$6,2,FALSE)),"")</f>
        <v/>
      </c>
      <c r="Y99" s="529" t="str">
        <f t="shared" si="11"/>
        <v/>
      </c>
      <c r="Z99" s="239"/>
      <c r="AA99" s="240"/>
      <c r="AE99" s="54" t="str">
        <f t="shared" si="7"/>
        <v/>
      </c>
    </row>
    <row r="100" spans="1:31" x14ac:dyDescent="0.25">
      <c r="A100" s="47" t="str">
        <f>IFERROR(INDEX('G-8 Condition Look up'!$I$4:$I$130,MATCH(F100,'G-8 Condition Look up'!$A$4:$A$130,0)),"")</f>
        <v/>
      </c>
      <c r="C100" s="384" t="str">
        <f>IFERROR(INDEX('G-1 All Habitats'!$AG$3:$AG$15,MATCH(D100,'G-1 All Habitats'!$AF$3:$AF$15,0)),"")</f>
        <v/>
      </c>
      <c r="D100" s="146"/>
      <c r="E100" s="79"/>
      <c r="F100" s="246" t="str">
        <f>IFERROR(INDEX('G-1 All Habitats'!$B$3:$B$129,MATCH(E100,'G-1 All Habitats'!$A$3:$A$129,0)),"")</f>
        <v/>
      </c>
      <c r="G100" s="70"/>
      <c r="H100" s="498" t="str">
        <f>IF(F100="","",VLOOKUP(F100,'G-1 All Habitats'!$B$2:$M$129,10,FALSE))</f>
        <v/>
      </c>
      <c r="I100" s="499" t="str">
        <f>IFERROR(VLOOKUP(H100,'G-1 All Habitats'!$V$3:$W$7,2,FALSE),"")</f>
        <v/>
      </c>
      <c r="J100" s="71"/>
      <c r="K100" s="499" t="str">
        <f>IFERROR(INDEX('G-8 Condition Look up'!$A$3:$H$130,MATCH(F100,'G-8 Condition Look up'!$A$3:$A$130,0),MATCH(J100,'G-8 Condition Look up'!$A$3:$H$3,0)),"")</f>
        <v/>
      </c>
      <c r="L100" s="71"/>
      <c r="M100" s="507" t="str">
        <f>IF(L100="","",IF(VLOOKUP(L100,'G-3 Multipliers'!$L$3:$N$6,2,FALSE)=0,"Spatial Data Missing",VLOOKUP(L100,'G-3 Multipliers'!$L$3:$N$6,2,FALSE)))</f>
        <v/>
      </c>
      <c r="N100" s="505" t="str">
        <f>IF(L100="","",IF(VLOOKUP(L100,'G-3 Multipliers'!$L$3:$N$6,3,FALSE)=0,"Spatial Data Missing",VLOOKUP(L100,'G-3 Multipliers'!$L$3:$N$6,3,FALSE)))</f>
        <v/>
      </c>
      <c r="O100" s="498" t="str">
        <f t="shared" si="6"/>
        <v/>
      </c>
      <c r="P100" s="82"/>
      <c r="Q100" s="82"/>
      <c r="R100" s="507" t="str">
        <f t="shared" si="8"/>
        <v/>
      </c>
      <c r="S100" s="521" t="str">
        <f t="shared" si="9"/>
        <v/>
      </c>
      <c r="T100" s="522" t="str">
        <f>IFERROR(IF(S100="Check Data ⚠","Check Data ⚠",VLOOKUP(S100,'G-4 Temporal multipliers'!$A$4:$C$37,3,FALSE)),"")</f>
        <v/>
      </c>
      <c r="U100" s="523" t="str">
        <f>IF(F100="","",VLOOKUP(F100,'G-3 Multipliers'!$A$2:$E$129,2,FALSE))</f>
        <v/>
      </c>
      <c r="V100" s="520" t="str">
        <f t="shared" si="10"/>
        <v/>
      </c>
      <c r="W100" s="520" t="str">
        <f>IF(E100="","",IF(AND(V100="Standard difficulty applied",O100&gt;P100),U100,IF(AND(V100="Low Difficulty - only applicable if all habitat created before losses",P100&gt;=O100),"Low",VLOOKUP(F100,'G-3 Multipliers'!$A$2:$E$129,4,FALSE))))</f>
        <v/>
      </c>
      <c r="X100" s="524" t="str">
        <f>IFERROR(IF(E100="","",VLOOKUP(W100, 'G-3 Multipliers'!$P$2:$Q$6,2,FALSE)),"")</f>
        <v/>
      </c>
      <c r="Y100" s="529" t="str">
        <f t="shared" si="11"/>
        <v/>
      </c>
      <c r="Z100" s="239"/>
      <c r="AA100" s="240"/>
      <c r="AE100" s="54" t="str">
        <f t="shared" si="7"/>
        <v/>
      </c>
    </row>
    <row r="101" spans="1:31" x14ac:dyDescent="0.25">
      <c r="A101" s="47" t="str">
        <f>IFERROR(INDEX('G-8 Condition Look up'!$I$4:$I$130,MATCH(F101,'G-8 Condition Look up'!$A$4:$A$130,0)),"")</f>
        <v/>
      </c>
      <c r="C101" s="384" t="str">
        <f>IFERROR(INDEX('G-1 All Habitats'!$AG$3:$AG$15,MATCH(D101,'G-1 All Habitats'!$AF$3:$AF$15,0)),"")</f>
        <v/>
      </c>
      <c r="D101" s="146"/>
      <c r="E101" s="79"/>
      <c r="F101" s="246" t="str">
        <f>IFERROR(INDEX('G-1 All Habitats'!$B$3:$B$129,MATCH(E101,'G-1 All Habitats'!$A$3:$A$129,0)),"")</f>
        <v/>
      </c>
      <c r="G101" s="70"/>
      <c r="H101" s="498" t="str">
        <f>IF(F101="","",VLOOKUP(F101,'G-1 All Habitats'!$B$2:$M$129,10,FALSE))</f>
        <v/>
      </c>
      <c r="I101" s="499" t="str">
        <f>IFERROR(VLOOKUP(H101,'G-1 All Habitats'!$V$3:$W$7,2,FALSE),"")</f>
        <v/>
      </c>
      <c r="J101" s="71"/>
      <c r="K101" s="499" t="str">
        <f>IFERROR(INDEX('G-8 Condition Look up'!$A$3:$H$130,MATCH(F101,'G-8 Condition Look up'!$A$3:$A$130,0),MATCH(J101,'G-8 Condition Look up'!$A$3:$H$3,0)),"")</f>
        <v/>
      </c>
      <c r="L101" s="71"/>
      <c r="M101" s="507" t="str">
        <f>IF(L101="","",IF(VLOOKUP(L101,'G-3 Multipliers'!$L$3:$N$6,2,FALSE)=0,"Spatial Data Missing",VLOOKUP(L101,'G-3 Multipliers'!$L$3:$N$6,2,FALSE)))</f>
        <v/>
      </c>
      <c r="N101" s="505" t="str">
        <f>IF(L101="","",IF(VLOOKUP(L101,'G-3 Multipliers'!$L$3:$N$6,3,FALSE)=0,"Spatial Data Missing",VLOOKUP(L101,'G-3 Multipliers'!$L$3:$N$6,3,FALSE)))</f>
        <v/>
      </c>
      <c r="O101" s="498" t="str">
        <f t="shared" si="6"/>
        <v/>
      </c>
      <c r="P101" s="82"/>
      <c r="Q101" s="82"/>
      <c r="R101" s="507" t="str">
        <f t="shared" si="8"/>
        <v/>
      </c>
      <c r="S101" s="521" t="str">
        <f t="shared" si="9"/>
        <v/>
      </c>
      <c r="T101" s="522" t="str">
        <f>IFERROR(IF(S101="Check Data ⚠","Check Data ⚠",VLOOKUP(S101,'G-4 Temporal multipliers'!$A$4:$C$37,3,FALSE)),"")</f>
        <v/>
      </c>
      <c r="U101" s="523" t="str">
        <f>IF(F101="","",VLOOKUP(F101,'G-3 Multipliers'!$A$2:$E$129,2,FALSE))</f>
        <v/>
      </c>
      <c r="V101" s="520" t="str">
        <f t="shared" si="10"/>
        <v/>
      </c>
      <c r="W101" s="520" t="str">
        <f>IF(E101="","",IF(AND(V101="Standard difficulty applied",O101&gt;P101),U101,IF(AND(V101="Low Difficulty - only applicable if all habitat created before losses",P101&gt;=O101),"Low",VLOOKUP(F101,'G-3 Multipliers'!$A$2:$E$129,4,FALSE))))</f>
        <v/>
      </c>
      <c r="X101" s="524" t="str">
        <f>IFERROR(IF(E101="","",VLOOKUP(W101, 'G-3 Multipliers'!$P$2:$Q$6,2,FALSE)),"")</f>
        <v/>
      </c>
      <c r="Y101" s="529" t="str">
        <f t="shared" si="11"/>
        <v/>
      </c>
      <c r="Z101" s="239"/>
      <c r="AA101" s="240"/>
      <c r="AE101" s="54" t="str">
        <f t="shared" si="7"/>
        <v/>
      </c>
    </row>
    <row r="102" spans="1:31" x14ac:dyDescent="0.25">
      <c r="A102" s="47" t="str">
        <f>IFERROR(INDEX('G-8 Condition Look up'!$I$4:$I$130,MATCH(F102,'G-8 Condition Look up'!$A$4:$A$130,0)),"")</f>
        <v/>
      </c>
      <c r="C102" s="384" t="str">
        <f>IFERROR(INDEX('G-1 All Habitats'!$AG$3:$AG$15,MATCH(D102,'G-1 All Habitats'!$AF$3:$AF$15,0)),"")</f>
        <v/>
      </c>
      <c r="D102" s="146"/>
      <c r="E102" s="79"/>
      <c r="F102" s="246" t="str">
        <f>IFERROR(INDEX('G-1 All Habitats'!$B$3:$B$129,MATCH(E102,'G-1 All Habitats'!$A$3:$A$129,0)),"")</f>
        <v/>
      </c>
      <c r="G102" s="70"/>
      <c r="H102" s="498" t="str">
        <f>IF(F102="","",VLOOKUP(F102,'G-1 All Habitats'!$B$2:$M$129,10,FALSE))</f>
        <v/>
      </c>
      <c r="I102" s="499" t="str">
        <f>IFERROR(VLOOKUP(H102,'G-1 All Habitats'!$V$3:$W$7,2,FALSE),"")</f>
        <v/>
      </c>
      <c r="J102" s="71"/>
      <c r="K102" s="499" t="str">
        <f>IFERROR(INDEX('G-8 Condition Look up'!$A$3:$H$130,MATCH(F102,'G-8 Condition Look up'!$A$3:$A$130,0),MATCH(J102,'G-8 Condition Look up'!$A$3:$H$3,0)),"")</f>
        <v/>
      </c>
      <c r="L102" s="71"/>
      <c r="M102" s="507" t="str">
        <f>IF(L102="","",IF(VLOOKUP(L102,'G-3 Multipliers'!$L$3:$N$6,2,FALSE)=0,"Spatial Data Missing",VLOOKUP(L102,'G-3 Multipliers'!$L$3:$N$6,2,FALSE)))</f>
        <v/>
      </c>
      <c r="N102" s="505" t="str">
        <f>IF(L102="","",IF(VLOOKUP(L102,'G-3 Multipliers'!$L$3:$N$6,3,FALSE)=0,"Spatial Data Missing",VLOOKUP(L102,'G-3 Multipliers'!$L$3:$N$6,3,FALSE)))</f>
        <v/>
      </c>
      <c r="O102" s="498" t="str">
        <f t="shared" si="6"/>
        <v/>
      </c>
      <c r="P102" s="82"/>
      <c r="Q102" s="82"/>
      <c r="R102" s="507" t="str">
        <f t="shared" si="8"/>
        <v/>
      </c>
      <c r="S102" s="521" t="str">
        <f t="shared" si="9"/>
        <v/>
      </c>
      <c r="T102" s="522" t="str">
        <f>IFERROR(IF(S102="Check Data ⚠","Check Data ⚠",VLOOKUP(S102,'G-4 Temporal multipliers'!$A$4:$C$37,3,FALSE)),"")</f>
        <v/>
      </c>
      <c r="U102" s="523" t="str">
        <f>IF(F102="","",VLOOKUP(F102,'G-3 Multipliers'!$A$2:$E$129,2,FALSE))</f>
        <v/>
      </c>
      <c r="V102" s="520" t="str">
        <f t="shared" si="10"/>
        <v/>
      </c>
      <c r="W102" s="520" t="str">
        <f>IF(E102="","",IF(AND(V102="Standard difficulty applied",O102&gt;P102),U102,IF(AND(V102="Low Difficulty - only applicable if all habitat created before losses",P102&gt;=O102),"Low",VLOOKUP(F102,'G-3 Multipliers'!$A$2:$E$129,4,FALSE))))</f>
        <v/>
      </c>
      <c r="X102" s="524" t="str">
        <f>IFERROR(IF(E102="","",VLOOKUP(W102, 'G-3 Multipliers'!$P$2:$Q$6,2,FALSE)),"")</f>
        <v/>
      </c>
      <c r="Y102" s="529" t="str">
        <f t="shared" si="11"/>
        <v/>
      </c>
      <c r="Z102" s="239"/>
      <c r="AA102" s="240"/>
      <c r="AE102" s="54" t="str">
        <f t="shared" si="7"/>
        <v/>
      </c>
    </row>
    <row r="103" spans="1:31" x14ac:dyDescent="0.25">
      <c r="A103" s="47" t="str">
        <f>IFERROR(INDEX('G-8 Condition Look up'!$I$4:$I$130,MATCH(F103,'G-8 Condition Look up'!$A$4:$A$130,0)),"")</f>
        <v/>
      </c>
      <c r="C103" s="384" t="str">
        <f>IFERROR(INDEX('G-1 All Habitats'!$AG$3:$AG$15,MATCH(D103,'G-1 All Habitats'!$AF$3:$AF$15,0)),"")</f>
        <v/>
      </c>
      <c r="D103" s="146"/>
      <c r="E103" s="79"/>
      <c r="F103" s="246" t="str">
        <f>IFERROR(INDEX('G-1 All Habitats'!$B$3:$B$129,MATCH(E103,'G-1 All Habitats'!$A$3:$A$129,0)),"")</f>
        <v/>
      </c>
      <c r="G103" s="70"/>
      <c r="H103" s="498" t="str">
        <f>IF(F103="","",VLOOKUP(F103,'G-1 All Habitats'!$B$2:$M$129,10,FALSE))</f>
        <v/>
      </c>
      <c r="I103" s="499" t="str">
        <f>IFERROR(VLOOKUP(H103,'G-1 All Habitats'!$V$3:$W$7,2,FALSE),"")</f>
        <v/>
      </c>
      <c r="J103" s="71"/>
      <c r="K103" s="499" t="str">
        <f>IFERROR(INDEX('G-8 Condition Look up'!$A$3:$H$130,MATCH(F103,'G-8 Condition Look up'!$A$3:$A$130,0),MATCH(J103,'G-8 Condition Look up'!$A$3:$H$3,0)),"")</f>
        <v/>
      </c>
      <c r="L103" s="71"/>
      <c r="M103" s="507" t="str">
        <f>IF(L103="","",IF(VLOOKUP(L103,'G-3 Multipliers'!$L$3:$N$6,2,FALSE)=0,"Spatial Data Missing",VLOOKUP(L103,'G-3 Multipliers'!$L$3:$N$6,2,FALSE)))</f>
        <v/>
      </c>
      <c r="N103" s="505" t="str">
        <f>IF(L103="","",IF(VLOOKUP(L103,'G-3 Multipliers'!$L$3:$N$6,3,FALSE)=0,"Spatial Data Missing",VLOOKUP(L103,'G-3 Multipliers'!$L$3:$N$6,3,FALSE)))</f>
        <v/>
      </c>
      <c r="O103" s="498" t="str">
        <f t="shared" si="6"/>
        <v/>
      </c>
      <c r="P103" s="82"/>
      <c r="Q103" s="82"/>
      <c r="R103" s="507" t="str">
        <f t="shared" si="8"/>
        <v/>
      </c>
      <c r="S103" s="521" t="str">
        <f t="shared" si="9"/>
        <v/>
      </c>
      <c r="T103" s="522" t="str">
        <f>IFERROR(IF(S103="Check Data ⚠","Check Data ⚠",VLOOKUP(S103,'G-4 Temporal multipliers'!$A$4:$C$37,3,FALSE)),"")</f>
        <v/>
      </c>
      <c r="U103" s="523" t="str">
        <f>IF(F103="","",VLOOKUP(F103,'G-3 Multipliers'!$A$2:$E$129,2,FALSE))</f>
        <v/>
      </c>
      <c r="V103" s="520" t="str">
        <f t="shared" si="10"/>
        <v/>
      </c>
      <c r="W103" s="520" t="str">
        <f>IF(E103="","",IF(AND(V103="Standard difficulty applied",O103&gt;P103),U103,IF(AND(V103="Low Difficulty - only applicable if all habitat created before losses",P103&gt;=O103),"Low",VLOOKUP(F103,'G-3 Multipliers'!$A$2:$E$129,4,FALSE))))</f>
        <v/>
      </c>
      <c r="X103" s="524" t="str">
        <f>IFERROR(IF(E103="","",VLOOKUP(W103, 'G-3 Multipliers'!$P$2:$Q$6,2,FALSE)),"")</f>
        <v/>
      </c>
      <c r="Y103" s="529" t="str">
        <f t="shared" si="11"/>
        <v/>
      </c>
      <c r="Z103" s="239"/>
      <c r="AA103" s="240"/>
      <c r="AE103" s="54" t="str">
        <f t="shared" si="7"/>
        <v/>
      </c>
    </row>
    <row r="104" spans="1:31" x14ac:dyDescent="0.25">
      <c r="A104" s="47" t="str">
        <f>IFERROR(INDEX('G-8 Condition Look up'!$I$4:$I$130,MATCH(F104,'G-8 Condition Look up'!$A$4:$A$130,0)),"")</f>
        <v/>
      </c>
      <c r="C104" s="384" t="str">
        <f>IFERROR(INDEX('G-1 All Habitats'!$AG$3:$AG$15,MATCH(D104,'G-1 All Habitats'!$AF$3:$AF$15,0)),"")</f>
        <v/>
      </c>
      <c r="D104" s="146"/>
      <c r="E104" s="79"/>
      <c r="F104" s="246" t="str">
        <f>IFERROR(INDEX('G-1 All Habitats'!$B$3:$B$129,MATCH(E104,'G-1 All Habitats'!$A$3:$A$129,0)),"")</f>
        <v/>
      </c>
      <c r="G104" s="70"/>
      <c r="H104" s="498" t="str">
        <f>IF(F104="","",VLOOKUP(F104,'G-1 All Habitats'!$B$2:$M$129,10,FALSE))</f>
        <v/>
      </c>
      <c r="I104" s="499" t="str">
        <f>IFERROR(VLOOKUP(H104,'G-1 All Habitats'!$V$3:$W$7,2,FALSE),"")</f>
        <v/>
      </c>
      <c r="J104" s="71"/>
      <c r="K104" s="499" t="str">
        <f>IFERROR(INDEX('G-8 Condition Look up'!$A$3:$H$130,MATCH(F104,'G-8 Condition Look up'!$A$3:$A$130,0),MATCH(J104,'G-8 Condition Look up'!$A$3:$H$3,0)),"")</f>
        <v/>
      </c>
      <c r="L104" s="71"/>
      <c r="M104" s="507" t="str">
        <f>IF(L104="","",IF(VLOOKUP(L104,'G-3 Multipliers'!$L$3:$N$6,2,FALSE)=0,"Spatial Data Missing",VLOOKUP(L104,'G-3 Multipliers'!$L$3:$N$6,2,FALSE)))</f>
        <v/>
      </c>
      <c r="N104" s="505" t="str">
        <f>IF(L104="","",IF(VLOOKUP(L104,'G-3 Multipliers'!$L$3:$N$6,3,FALSE)=0,"Spatial Data Missing",VLOOKUP(L104,'G-3 Multipliers'!$L$3:$N$6,3,FALSE)))</f>
        <v/>
      </c>
      <c r="O104" s="498" t="str">
        <f t="shared" si="6"/>
        <v/>
      </c>
      <c r="P104" s="82"/>
      <c r="Q104" s="82"/>
      <c r="R104" s="507" t="str">
        <f t="shared" si="8"/>
        <v/>
      </c>
      <c r="S104" s="521" t="str">
        <f t="shared" si="9"/>
        <v/>
      </c>
      <c r="T104" s="522" t="str">
        <f>IFERROR(IF(S104="Check Data ⚠","Check Data ⚠",VLOOKUP(S104,'G-4 Temporal multipliers'!$A$4:$C$37,3,FALSE)),"")</f>
        <v/>
      </c>
      <c r="U104" s="523" t="str">
        <f>IF(F104="","",VLOOKUP(F104,'G-3 Multipliers'!$A$2:$E$129,2,FALSE))</f>
        <v/>
      </c>
      <c r="V104" s="520" t="str">
        <f t="shared" si="10"/>
        <v/>
      </c>
      <c r="W104" s="520" t="str">
        <f>IF(E104="","",IF(AND(V104="Standard difficulty applied",O104&gt;P104),U104,IF(AND(V104="Low Difficulty - only applicable if all habitat created before losses",P104&gt;=O104),"Low",VLOOKUP(F104,'G-3 Multipliers'!$A$2:$E$129,4,FALSE))))</f>
        <v/>
      </c>
      <c r="X104" s="524" t="str">
        <f>IFERROR(IF(E104="","",VLOOKUP(W104, 'G-3 Multipliers'!$P$2:$Q$6,2,FALSE)),"")</f>
        <v/>
      </c>
      <c r="Y104" s="529" t="str">
        <f t="shared" si="11"/>
        <v/>
      </c>
      <c r="Z104" s="239"/>
      <c r="AA104" s="240"/>
      <c r="AE104" s="54" t="str">
        <f t="shared" si="7"/>
        <v/>
      </c>
    </row>
    <row r="105" spans="1:31" x14ac:dyDescent="0.25">
      <c r="A105" s="47" t="str">
        <f>IFERROR(INDEX('G-8 Condition Look up'!$I$4:$I$130,MATCH(F105,'G-8 Condition Look up'!$A$4:$A$130,0)),"")</f>
        <v/>
      </c>
      <c r="C105" s="384" t="str">
        <f>IFERROR(INDEX('G-1 All Habitats'!$AG$3:$AG$15,MATCH(D105,'G-1 All Habitats'!$AF$3:$AF$15,0)),"")</f>
        <v/>
      </c>
      <c r="D105" s="146"/>
      <c r="E105" s="79"/>
      <c r="F105" s="246" t="str">
        <f>IFERROR(INDEX('G-1 All Habitats'!$B$3:$B$129,MATCH(E105,'G-1 All Habitats'!$A$3:$A$129,0)),"")</f>
        <v/>
      </c>
      <c r="G105" s="70"/>
      <c r="H105" s="498" t="str">
        <f>IF(F105="","",VLOOKUP(F105,'G-1 All Habitats'!$B$2:$M$129,10,FALSE))</f>
        <v/>
      </c>
      <c r="I105" s="499" t="str">
        <f>IFERROR(VLOOKUP(H105,'G-1 All Habitats'!$V$3:$W$7,2,FALSE),"")</f>
        <v/>
      </c>
      <c r="J105" s="71"/>
      <c r="K105" s="499" t="str">
        <f>IFERROR(INDEX('G-8 Condition Look up'!$A$3:$H$130,MATCH(F105,'G-8 Condition Look up'!$A$3:$A$130,0),MATCH(J105,'G-8 Condition Look up'!$A$3:$H$3,0)),"")</f>
        <v/>
      </c>
      <c r="L105" s="71"/>
      <c r="M105" s="507" t="str">
        <f>IF(L105="","",IF(VLOOKUP(L105,'G-3 Multipliers'!$L$3:$N$6,2,FALSE)=0,"Spatial Data Missing",VLOOKUP(L105,'G-3 Multipliers'!$L$3:$N$6,2,FALSE)))</f>
        <v/>
      </c>
      <c r="N105" s="505" t="str">
        <f>IF(L105="","",IF(VLOOKUP(L105,'G-3 Multipliers'!$L$3:$N$6,3,FALSE)=0,"Spatial Data Missing",VLOOKUP(L105,'G-3 Multipliers'!$L$3:$N$6,3,FALSE)))</f>
        <v/>
      </c>
      <c r="O105" s="498" t="str">
        <f t="shared" si="6"/>
        <v/>
      </c>
      <c r="P105" s="82"/>
      <c r="Q105" s="82"/>
      <c r="R105" s="507" t="str">
        <f t="shared" si="8"/>
        <v/>
      </c>
      <c r="S105" s="521" t="str">
        <f t="shared" si="9"/>
        <v/>
      </c>
      <c r="T105" s="522" t="str">
        <f>IFERROR(IF(S105="Check Data ⚠","Check Data ⚠",VLOOKUP(S105,'G-4 Temporal multipliers'!$A$4:$C$37,3,FALSE)),"")</f>
        <v/>
      </c>
      <c r="U105" s="523" t="str">
        <f>IF(F105="","",VLOOKUP(F105,'G-3 Multipliers'!$A$2:$E$129,2,FALSE))</f>
        <v/>
      </c>
      <c r="V105" s="520" t="str">
        <f t="shared" si="10"/>
        <v/>
      </c>
      <c r="W105" s="520" t="str">
        <f>IF(E105="","",IF(AND(V105="Standard difficulty applied",O105&gt;P105),U105,IF(AND(V105="Low Difficulty - only applicable if all habitat created before losses",P105&gt;=O105),"Low",VLOOKUP(F105,'G-3 Multipliers'!$A$2:$E$129,4,FALSE))))</f>
        <v/>
      </c>
      <c r="X105" s="524" t="str">
        <f>IFERROR(IF(E105="","",VLOOKUP(W105, 'G-3 Multipliers'!$P$2:$Q$6,2,FALSE)),"")</f>
        <v/>
      </c>
      <c r="Y105" s="529" t="str">
        <f t="shared" si="11"/>
        <v/>
      </c>
      <c r="Z105" s="239"/>
      <c r="AA105" s="240"/>
      <c r="AE105" s="54" t="str">
        <f t="shared" si="7"/>
        <v/>
      </c>
    </row>
    <row r="106" spans="1:31" x14ac:dyDescent="0.25">
      <c r="A106" s="47" t="str">
        <f>IFERROR(INDEX('G-8 Condition Look up'!$I$4:$I$130,MATCH(F106,'G-8 Condition Look up'!$A$4:$A$130,0)),"")</f>
        <v/>
      </c>
      <c r="C106" s="384" t="str">
        <f>IFERROR(INDEX('G-1 All Habitats'!$AG$3:$AG$15,MATCH(D106,'G-1 All Habitats'!$AF$3:$AF$15,0)),"")</f>
        <v/>
      </c>
      <c r="D106" s="146"/>
      <c r="E106" s="79"/>
      <c r="F106" s="246" t="str">
        <f>IFERROR(INDEX('G-1 All Habitats'!$B$3:$B$129,MATCH(E106,'G-1 All Habitats'!$A$3:$A$129,0)),"")</f>
        <v/>
      </c>
      <c r="G106" s="70"/>
      <c r="H106" s="498" t="str">
        <f>IF(F106="","",VLOOKUP(F106,'G-1 All Habitats'!$B$2:$M$129,10,FALSE))</f>
        <v/>
      </c>
      <c r="I106" s="499" t="str">
        <f>IFERROR(VLOOKUP(H106,'G-1 All Habitats'!$V$3:$W$7,2,FALSE),"")</f>
        <v/>
      </c>
      <c r="J106" s="71"/>
      <c r="K106" s="499" t="str">
        <f>IFERROR(INDEX('G-8 Condition Look up'!$A$3:$H$130,MATCH(F106,'G-8 Condition Look up'!$A$3:$A$130,0),MATCH(J106,'G-8 Condition Look up'!$A$3:$H$3,0)),"")</f>
        <v/>
      </c>
      <c r="L106" s="71"/>
      <c r="M106" s="507" t="str">
        <f>IF(L106="","",IF(VLOOKUP(L106,'G-3 Multipliers'!$L$3:$N$6,2,FALSE)=0,"Spatial Data Missing",VLOOKUP(L106,'G-3 Multipliers'!$L$3:$N$6,2,FALSE)))</f>
        <v/>
      </c>
      <c r="N106" s="505" t="str">
        <f>IF(L106="","",IF(VLOOKUP(L106,'G-3 Multipliers'!$L$3:$N$6,3,FALSE)=0,"Spatial Data Missing",VLOOKUP(L106,'G-3 Multipliers'!$L$3:$N$6,3,FALSE)))</f>
        <v/>
      </c>
      <c r="O106" s="498" t="str">
        <f t="shared" si="6"/>
        <v/>
      </c>
      <c r="P106" s="82"/>
      <c r="Q106" s="82"/>
      <c r="R106" s="507" t="str">
        <f t="shared" si="8"/>
        <v/>
      </c>
      <c r="S106" s="521" t="str">
        <f t="shared" si="9"/>
        <v/>
      </c>
      <c r="T106" s="522" t="str">
        <f>IFERROR(IF(S106="Check Data ⚠","Check Data ⚠",VLOOKUP(S106,'G-4 Temporal multipliers'!$A$4:$C$37,3,FALSE)),"")</f>
        <v/>
      </c>
      <c r="U106" s="523" t="str">
        <f>IF(F106="","",VLOOKUP(F106,'G-3 Multipliers'!$A$2:$E$129,2,FALSE))</f>
        <v/>
      </c>
      <c r="V106" s="520" t="str">
        <f t="shared" si="10"/>
        <v/>
      </c>
      <c r="W106" s="520" t="str">
        <f>IF(E106="","",IF(AND(V106="Standard difficulty applied",O106&gt;P106),U106,IF(AND(V106="Low Difficulty - only applicable if all habitat created before losses",P106&gt;=O106),"Low",VLOOKUP(F106,'G-3 Multipliers'!$A$2:$E$129,4,FALSE))))</f>
        <v/>
      </c>
      <c r="X106" s="524" t="str">
        <f>IFERROR(IF(E106="","",VLOOKUP(W106, 'G-3 Multipliers'!$P$2:$Q$6,2,FALSE)),"")</f>
        <v/>
      </c>
      <c r="Y106" s="529" t="str">
        <f t="shared" si="11"/>
        <v/>
      </c>
      <c r="Z106" s="239"/>
      <c r="AA106" s="240"/>
      <c r="AE106" s="54" t="str">
        <f t="shared" si="7"/>
        <v/>
      </c>
    </row>
    <row r="107" spans="1:31" x14ac:dyDescent="0.25">
      <c r="A107" s="47" t="str">
        <f>IFERROR(INDEX('G-8 Condition Look up'!$I$4:$I$130,MATCH(F107,'G-8 Condition Look up'!$A$4:$A$130,0)),"")</f>
        <v/>
      </c>
      <c r="C107" s="384" t="str">
        <f>IFERROR(INDEX('G-1 All Habitats'!$AG$3:$AG$15,MATCH(D107,'G-1 All Habitats'!$AF$3:$AF$15,0)),"")</f>
        <v/>
      </c>
      <c r="D107" s="146"/>
      <c r="E107" s="79"/>
      <c r="F107" s="246" t="str">
        <f>IFERROR(INDEX('G-1 All Habitats'!$B$3:$B$129,MATCH(E107,'G-1 All Habitats'!$A$3:$A$129,0)),"")</f>
        <v/>
      </c>
      <c r="G107" s="70"/>
      <c r="H107" s="498" t="str">
        <f>IF(F107="","",VLOOKUP(F107,'G-1 All Habitats'!$B$2:$M$129,10,FALSE))</f>
        <v/>
      </c>
      <c r="I107" s="499" t="str">
        <f>IFERROR(VLOOKUP(H107,'G-1 All Habitats'!$V$3:$W$7,2,FALSE),"")</f>
        <v/>
      </c>
      <c r="J107" s="71"/>
      <c r="K107" s="499" t="str">
        <f>IFERROR(INDEX('G-8 Condition Look up'!$A$3:$H$130,MATCH(F107,'G-8 Condition Look up'!$A$3:$A$130,0),MATCH(J107,'G-8 Condition Look up'!$A$3:$H$3,0)),"")</f>
        <v/>
      </c>
      <c r="L107" s="71"/>
      <c r="M107" s="507" t="str">
        <f>IF(L107="","",IF(VLOOKUP(L107,'G-3 Multipliers'!$L$3:$N$6,2,FALSE)=0,"Spatial Data Missing",VLOOKUP(L107,'G-3 Multipliers'!$L$3:$N$6,2,FALSE)))</f>
        <v/>
      </c>
      <c r="N107" s="505" t="str">
        <f>IF(L107="","",IF(VLOOKUP(L107,'G-3 Multipliers'!$L$3:$N$6,3,FALSE)=0,"Spatial Data Missing",VLOOKUP(L107,'G-3 Multipliers'!$L$3:$N$6,3,FALSE)))</f>
        <v/>
      </c>
      <c r="O107" s="498" t="str">
        <f t="shared" si="6"/>
        <v/>
      </c>
      <c r="P107" s="82"/>
      <c r="Q107" s="82"/>
      <c r="R107" s="507" t="str">
        <f t="shared" si="8"/>
        <v/>
      </c>
      <c r="S107" s="521" t="str">
        <f t="shared" si="9"/>
        <v/>
      </c>
      <c r="T107" s="522" t="str">
        <f>IFERROR(IF(S107="Check Data ⚠","Check Data ⚠",VLOOKUP(S107,'G-4 Temporal multipliers'!$A$4:$C$37,3,FALSE)),"")</f>
        <v/>
      </c>
      <c r="U107" s="523" t="str">
        <f>IF(F107="","",VLOOKUP(F107,'G-3 Multipliers'!$A$2:$E$129,2,FALSE))</f>
        <v/>
      </c>
      <c r="V107" s="520" t="str">
        <f t="shared" si="10"/>
        <v/>
      </c>
      <c r="W107" s="520" t="str">
        <f>IF(E107="","",IF(AND(V107="Standard difficulty applied",O107&gt;P107),U107,IF(AND(V107="Low Difficulty - only applicable if all habitat created before losses",P107&gt;=O107),"Low",VLOOKUP(F107,'G-3 Multipliers'!$A$2:$E$129,4,FALSE))))</f>
        <v/>
      </c>
      <c r="X107" s="524" t="str">
        <f>IFERROR(IF(E107="","",VLOOKUP(W107, 'G-3 Multipliers'!$P$2:$Q$6,2,FALSE)),"")</f>
        <v/>
      </c>
      <c r="Y107" s="529" t="str">
        <f t="shared" si="11"/>
        <v/>
      </c>
      <c r="Z107" s="239"/>
      <c r="AA107" s="240"/>
      <c r="AE107" s="54" t="str">
        <f t="shared" si="7"/>
        <v/>
      </c>
    </row>
    <row r="108" spans="1:31" x14ac:dyDescent="0.25">
      <c r="A108" s="47" t="str">
        <f>IFERROR(INDEX('G-8 Condition Look up'!$I$4:$I$130,MATCH(F108,'G-8 Condition Look up'!$A$4:$A$130,0)),"")</f>
        <v/>
      </c>
      <c r="C108" s="384" t="str">
        <f>IFERROR(INDEX('G-1 All Habitats'!$AG$3:$AG$15,MATCH(D108,'G-1 All Habitats'!$AF$3:$AF$15,0)),"")</f>
        <v/>
      </c>
      <c r="D108" s="146"/>
      <c r="E108" s="79"/>
      <c r="F108" s="246" t="str">
        <f>IFERROR(INDEX('G-1 All Habitats'!$B$3:$B$129,MATCH(E108,'G-1 All Habitats'!$A$3:$A$129,0)),"")</f>
        <v/>
      </c>
      <c r="G108" s="70"/>
      <c r="H108" s="498" t="str">
        <f>IF(F108="","",VLOOKUP(F108,'G-1 All Habitats'!$B$2:$M$129,10,FALSE))</f>
        <v/>
      </c>
      <c r="I108" s="499" t="str">
        <f>IFERROR(VLOOKUP(H108,'G-1 All Habitats'!$V$3:$W$7,2,FALSE),"")</f>
        <v/>
      </c>
      <c r="J108" s="71"/>
      <c r="K108" s="499" t="str">
        <f>IFERROR(INDEX('G-8 Condition Look up'!$A$3:$H$130,MATCH(F108,'G-8 Condition Look up'!$A$3:$A$130,0),MATCH(J108,'G-8 Condition Look up'!$A$3:$H$3,0)),"")</f>
        <v/>
      </c>
      <c r="L108" s="71"/>
      <c r="M108" s="507" t="str">
        <f>IF(L108="","",IF(VLOOKUP(L108,'G-3 Multipliers'!$L$3:$N$6,2,FALSE)=0,"Spatial Data Missing",VLOOKUP(L108,'G-3 Multipliers'!$L$3:$N$6,2,FALSE)))</f>
        <v/>
      </c>
      <c r="N108" s="505" t="str">
        <f>IF(L108="","",IF(VLOOKUP(L108,'G-3 Multipliers'!$L$3:$N$6,3,FALSE)=0,"Spatial Data Missing",VLOOKUP(L108,'G-3 Multipliers'!$L$3:$N$6,3,FALSE)))</f>
        <v/>
      </c>
      <c r="O108" s="498" t="str">
        <f t="shared" si="6"/>
        <v/>
      </c>
      <c r="P108" s="82"/>
      <c r="Q108" s="82"/>
      <c r="R108" s="507" t="str">
        <f t="shared" si="8"/>
        <v/>
      </c>
      <c r="S108" s="521" t="str">
        <f t="shared" si="9"/>
        <v/>
      </c>
      <c r="T108" s="522" t="str">
        <f>IFERROR(IF(S108="Check Data ⚠","Check Data ⚠",VLOOKUP(S108,'G-4 Temporal multipliers'!$A$4:$C$37,3,FALSE)),"")</f>
        <v/>
      </c>
      <c r="U108" s="523" t="str">
        <f>IF(F108="","",VLOOKUP(F108,'G-3 Multipliers'!$A$2:$E$129,2,FALSE))</f>
        <v/>
      </c>
      <c r="V108" s="520" t="str">
        <f t="shared" si="10"/>
        <v/>
      </c>
      <c r="W108" s="520" t="str">
        <f>IF(E108="","",IF(AND(V108="Standard difficulty applied",O108&gt;P108),U108,IF(AND(V108="Low Difficulty - only applicable if all habitat created before losses",P108&gt;=O108),"Low",VLOOKUP(F108,'G-3 Multipliers'!$A$2:$E$129,4,FALSE))))</f>
        <v/>
      </c>
      <c r="X108" s="524" t="str">
        <f>IFERROR(IF(E108="","",VLOOKUP(W108, 'G-3 Multipliers'!$P$2:$Q$6,2,FALSE)),"")</f>
        <v/>
      </c>
      <c r="Y108" s="529" t="str">
        <f t="shared" si="11"/>
        <v/>
      </c>
      <c r="Z108" s="239"/>
      <c r="AA108" s="240"/>
      <c r="AE108" s="54" t="str">
        <f t="shared" si="7"/>
        <v/>
      </c>
    </row>
    <row r="109" spans="1:31" x14ac:dyDescent="0.25">
      <c r="A109" s="47" t="str">
        <f>IFERROR(INDEX('G-8 Condition Look up'!$I$4:$I$130,MATCH(F109,'G-8 Condition Look up'!$A$4:$A$130,0)),"")</f>
        <v/>
      </c>
      <c r="C109" s="384" t="str">
        <f>IFERROR(INDEX('G-1 All Habitats'!$AG$3:$AG$15,MATCH(D109,'G-1 All Habitats'!$AF$3:$AF$15,0)),"")</f>
        <v/>
      </c>
      <c r="D109" s="146"/>
      <c r="E109" s="79"/>
      <c r="F109" s="246" t="str">
        <f>IFERROR(INDEX('G-1 All Habitats'!$B$3:$B$129,MATCH(E109,'G-1 All Habitats'!$A$3:$A$129,0)),"")</f>
        <v/>
      </c>
      <c r="G109" s="70"/>
      <c r="H109" s="498" t="str">
        <f>IF(F109="","",VLOOKUP(F109,'G-1 All Habitats'!$B$2:$M$129,10,FALSE))</f>
        <v/>
      </c>
      <c r="I109" s="499" t="str">
        <f>IFERROR(VLOOKUP(H109,'G-1 All Habitats'!$V$3:$W$7,2,FALSE),"")</f>
        <v/>
      </c>
      <c r="J109" s="71"/>
      <c r="K109" s="499" t="str">
        <f>IFERROR(INDEX('G-8 Condition Look up'!$A$3:$H$130,MATCH(F109,'G-8 Condition Look up'!$A$3:$A$130,0),MATCH(J109,'G-8 Condition Look up'!$A$3:$H$3,0)),"")</f>
        <v/>
      </c>
      <c r="L109" s="71"/>
      <c r="M109" s="507" t="str">
        <f>IF(L109="","",IF(VLOOKUP(L109,'G-3 Multipliers'!$L$3:$N$6,2,FALSE)=0,"Spatial Data Missing",VLOOKUP(L109,'G-3 Multipliers'!$L$3:$N$6,2,FALSE)))</f>
        <v/>
      </c>
      <c r="N109" s="505" t="str">
        <f>IF(L109="","",IF(VLOOKUP(L109,'G-3 Multipliers'!$L$3:$N$6,3,FALSE)=0,"Spatial Data Missing",VLOOKUP(L109,'G-3 Multipliers'!$L$3:$N$6,3,FALSE)))</f>
        <v/>
      </c>
      <c r="O109" s="498" t="str">
        <f t="shared" si="6"/>
        <v/>
      </c>
      <c r="P109" s="82"/>
      <c r="Q109" s="82"/>
      <c r="R109" s="507" t="str">
        <f t="shared" si="8"/>
        <v/>
      </c>
      <c r="S109" s="521" t="str">
        <f t="shared" si="9"/>
        <v/>
      </c>
      <c r="T109" s="522" t="str">
        <f>IFERROR(IF(S109="Check Data ⚠","Check Data ⚠",VLOOKUP(S109,'G-4 Temporal multipliers'!$A$4:$C$37,3,FALSE)),"")</f>
        <v/>
      </c>
      <c r="U109" s="523" t="str">
        <f>IF(F109="","",VLOOKUP(F109,'G-3 Multipliers'!$A$2:$E$129,2,FALSE))</f>
        <v/>
      </c>
      <c r="V109" s="520" t="str">
        <f t="shared" si="10"/>
        <v/>
      </c>
      <c r="W109" s="520" t="str">
        <f>IF(E109="","",IF(AND(V109="Standard difficulty applied",O109&gt;P109),U109,IF(AND(V109="Low Difficulty - only applicable if all habitat created before losses",P109&gt;=O109),"Low",VLOOKUP(F109,'G-3 Multipliers'!$A$2:$E$129,4,FALSE))))</f>
        <v/>
      </c>
      <c r="X109" s="524" t="str">
        <f>IFERROR(IF(E109="","",VLOOKUP(W109, 'G-3 Multipliers'!$P$2:$Q$6,2,FALSE)),"")</f>
        <v/>
      </c>
      <c r="Y109" s="529" t="str">
        <f t="shared" si="11"/>
        <v/>
      </c>
      <c r="Z109" s="239"/>
      <c r="AA109" s="240"/>
      <c r="AE109" s="54" t="str">
        <f t="shared" si="7"/>
        <v/>
      </c>
    </row>
    <row r="110" spans="1:31" x14ac:dyDescent="0.25">
      <c r="A110" s="47" t="str">
        <f>IFERROR(INDEX('G-8 Condition Look up'!$I$4:$I$130,MATCH(F110,'G-8 Condition Look up'!$A$4:$A$130,0)),"")</f>
        <v/>
      </c>
      <c r="C110" s="384" t="str">
        <f>IFERROR(INDEX('G-1 All Habitats'!$AG$3:$AG$15,MATCH(D110,'G-1 All Habitats'!$AF$3:$AF$15,0)),"")</f>
        <v/>
      </c>
      <c r="D110" s="146"/>
      <c r="E110" s="79"/>
      <c r="F110" s="246" t="str">
        <f>IFERROR(INDEX('G-1 All Habitats'!$B$3:$B$129,MATCH(E110,'G-1 All Habitats'!$A$3:$A$129,0)),"")</f>
        <v/>
      </c>
      <c r="G110" s="70"/>
      <c r="H110" s="498" t="str">
        <f>IF(F110="","",VLOOKUP(F110,'G-1 All Habitats'!$B$2:$M$129,10,FALSE))</f>
        <v/>
      </c>
      <c r="I110" s="499" t="str">
        <f>IFERROR(VLOOKUP(H110,'G-1 All Habitats'!$V$3:$W$7,2,FALSE),"")</f>
        <v/>
      </c>
      <c r="J110" s="71"/>
      <c r="K110" s="499" t="str">
        <f>IFERROR(INDEX('G-8 Condition Look up'!$A$3:$H$130,MATCH(F110,'G-8 Condition Look up'!$A$3:$A$130,0),MATCH(J110,'G-8 Condition Look up'!$A$3:$H$3,0)),"")</f>
        <v/>
      </c>
      <c r="L110" s="71"/>
      <c r="M110" s="507" t="str">
        <f>IF(L110="","",IF(VLOOKUP(L110,'G-3 Multipliers'!$L$3:$N$6,2,FALSE)=0,"Spatial Data Missing",VLOOKUP(L110,'G-3 Multipliers'!$L$3:$N$6,2,FALSE)))</f>
        <v/>
      </c>
      <c r="N110" s="505" t="str">
        <f>IF(L110="","",IF(VLOOKUP(L110,'G-3 Multipliers'!$L$3:$N$6,3,FALSE)=0,"Spatial Data Missing",VLOOKUP(L110,'G-3 Multipliers'!$L$3:$N$6,3,FALSE)))</f>
        <v/>
      </c>
      <c r="O110" s="498" t="str">
        <f t="shared" si="6"/>
        <v/>
      </c>
      <c r="P110" s="82"/>
      <c r="Q110" s="82"/>
      <c r="R110" s="507" t="str">
        <f t="shared" si="8"/>
        <v/>
      </c>
      <c r="S110" s="521" t="str">
        <f t="shared" si="9"/>
        <v/>
      </c>
      <c r="T110" s="522" t="str">
        <f>IFERROR(IF(S110="Check Data ⚠","Check Data ⚠",VLOOKUP(S110,'G-4 Temporal multipliers'!$A$4:$C$37,3,FALSE)),"")</f>
        <v/>
      </c>
      <c r="U110" s="523" t="str">
        <f>IF(F110="","",VLOOKUP(F110,'G-3 Multipliers'!$A$2:$E$129,2,FALSE))</f>
        <v/>
      </c>
      <c r="V110" s="520" t="str">
        <f t="shared" si="10"/>
        <v/>
      </c>
      <c r="W110" s="520" t="str">
        <f>IF(E110="","",IF(AND(V110="Standard difficulty applied",O110&gt;P110),U110,IF(AND(V110="Low Difficulty - only applicable if all habitat created before losses",P110&gt;=O110),"Low",VLOOKUP(F110,'G-3 Multipliers'!$A$2:$E$129,4,FALSE))))</f>
        <v/>
      </c>
      <c r="X110" s="524" t="str">
        <f>IFERROR(IF(E110="","",VLOOKUP(W110, 'G-3 Multipliers'!$P$2:$Q$6,2,FALSE)),"")</f>
        <v/>
      </c>
      <c r="Y110" s="529" t="str">
        <f t="shared" si="11"/>
        <v/>
      </c>
      <c r="Z110" s="239"/>
      <c r="AA110" s="240"/>
      <c r="AE110" s="54" t="str">
        <f t="shared" si="7"/>
        <v/>
      </c>
    </row>
    <row r="111" spans="1:31" x14ac:dyDescent="0.25">
      <c r="A111" s="47" t="str">
        <f>IFERROR(INDEX('G-8 Condition Look up'!$I$4:$I$130,MATCH(F111,'G-8 Condition Look up'!$A$4:$A$130,0)),"")</f>
        <v/>
      </c>
      <c r="C111" s="384" t="str">
        <f>IFERROR(INDEX('G-1 All Habitats'!$AG$3:$AG$15,MATCH(D111,'G-1 All Habitats'!$AF$3:$AF$15,0)),"")</f>
        <v/>
      </c>
      <c r="D111" s="146"/>
      <c r="E111" s="79"/>
      <c r="F111" s="246" t="str">
        <f>IFERROR(INDEX('G-1 All Habitats'!$B$3:$B$129,MATCH(E111,'G-1 All Habitats'!$A$3:$A$129,0)),"")</f>
        <v/>
      </c>
      <c r="G111" s="70"/>
      <c r="H111" s="498" t="str">
        <f>IF(F111="","",VLOOKUP(F111,'G-1 All Habitats'!$B$2:$M$129,10,FALSE))</f>
        <v/>
      </c>
      <c r="I111" s="499" t="str">
        <f>IFERROR(VLOOKUP(H111,'G-1 All Habitats'!$V$3:$W$7,2,FALSE),"")</f>
        <v/>
      </c>
      <c r="J111" s="71"/>
      <c r="K111" s="499" t="str">
        <f>IFERROR(INDEX('G-8 Condition Look up'!$A$3:$H$130,MATCH(F111,'G-8 Condition Look up'!$A$3:$A$130,0),MATCH(J111,'G-8 Condition Look up'!$A$3:$H$3,0)),"")</f>
        <v/>
      </c>
      <c r="L111" s="71"/>
      <c r="M111" s="507" t="str">
        <f>IF(L111="","",IF(VLOOKUP(L111,'G-3 Multipliers'!$L$3:$N$6,2,FALSE)=0,"Spatial Data Missing",VLOOKUP(L111,'G-3 Multipliers'!$L$3:$N$6,2,FALSE)))</f>
        <v/>
      </c>
      <c r="N111" s="505" t="str">
        <f>IF(L111="","",IF(VLOOKUP(L111,'G-3 Multipliers'!$L$3:$N$6,3,FALSE)=0,"Spatial Data Missing",VLOOKUP(L111,'G-3 Multipliers'!$L$3:$N$6,3,FALSE)))</f>
        <v/>
      </c>
      <c r="O111" s="498" t="str">
        <f t="shared" si="6"/>
        <v/>
      </c>
      <c r="P111" s="82"/>
      <c r="Q111" s="82"/>
      <c r="R111" s="507" t="str">
        <f t="shared" si="8"/>
        <v/>
      </c>
      <c r="S111" s="521" t="str">
        <f t="shared" si="9"/>
        <v/>
      </c>
      <c r="T111" s="522" t="str">
        <f>IFERROR(IF(S111="Check Data ⚠","Check Data ⚠",VLOOKUP(S111,'G-4 Temporal multipliers'!$A$4:$C$37,3,FALSE)),"")</f>
        <v/>
      </c>
      <c r="U111" s="523" t="str">
        <f>IF(F111="","",VLOOKUP(F111,'G-3 Multipliers'!$A$2:$E$129,2,FALSE))</f>
        <v/>
      </c>
      <c r="V111" s="520" t="str">
        <f t="shared" si="10"/>
        <v/>
      </c>
      <c r="W111" s="520" t="str">
        <f>IF(E111="","",IF(AND(V111="Standard difficulty applied",O111&gt;P111),U111,IF(AND(V111="Low Difficulty - only applicable if all habitat created before losses",P111&gt;=O111),"Low",VLOOKUP(F111,'G-3 Multipliers'!$A$2:$E$129,4,FALSE))))</f>
        <v/>
      </c>
      <c r="X111" s="524" t="str">
        <f>IFERROR(IF(E111="","",VLOOKUP(W111, 'G-3 Multipliers'!$P$2:$Q$6,2,FALSE)),"")</f>
        <v/>
      </c>
      <c r="Y111" s="529" t="str">
        <f t="shared" si="11"/>
        <v/>
      </c>
      <c r="Z111" s="239"/>
      <c r="AA111" s="240"/>
      <c r="AE111" s="54" t="str">
        <f t="shared" si="7"/>
        <v/>
      </c>
    </row>
    <row r="112" spans="1:31" x14ac:dyDescent="0.25">
      <c r="A112" s="47" t="str">
        <f>IFERROR(INDEX('G-8 Condition Look up'!$I$4:$I$130,MATCH(F112,'G-8 Condition Look up'!$A$4:$A$130,0)),"")</f>
        <v/>
      </c>
      <c r="C112" s="384" t="str">
        <f>IFERROR(INDEX('G-1 All Habitats'!$AG$3:$AG$15,MATCH(D112,'G-1 All Habitats'!$AF$3:$AF$15,0)),"")</f>
        <v/>
      </c>
      <c r="D112" s="146"/>
      <c r="E112" s="79"/>
      <c r="F112" s="246" t="str">
        <f>IFERROR(INDEX('G-1 All Habitats'!$B$3:$B$129,MATCH(E112,'G-1 All Habitats'!$A$3:$A$129,0)),"")</f>
        <v/>
      </c>
      <c r="G112" s="70"/>
      <c r="H112" s="498" t="str">
        <f>IF(F112="","",VLOOKUP(F112,'G-1 All Habitats'!$B$2:$M$129,10,FALSE))</f>
        <v/>
      </c>
      <c r="I112" s="499" t="str">
        <f>IFERROR(VLOOKUP(H112,'G-1 All Habitats'!$V$3:$W$7,2,FALSE),"")</f>
        <v/>
      </c>
      <c r="J112" s="71"/>
      <c r="K112" s="499" t="str">
        <f>IFERROR(INDEX('G-8 Condition Look up'!$A$3:$H$130,MATCH(F112,'G-8 Condition Look up'!$A$3:$A$130,0),MATCH(J112,'G-8 Condition Look up'!$A$3:$H$3,0)),"")</f>
        <v/>
      </c>
      <c r="L112" s="71"/>
      <c r="M112" s="507" t="str">
        <f>IF(L112="","",IF(VLOOKUP(L112,'G-3 Multipliers'!$L$3:$N$6,2,FALSE)=0,"Spatial Data Missing",VLOOKUP(L112,'G-3 Multipliers'!$L$3:$N$6,2,FALSE)))</f>
        <v/>
      </c>
      <c r="N112" s="505" t="str">
        <f>IF(L112="","",IF(VLOOKUP(L112,'G-3 Multipliers'!$L$3:$N$6,3,FALSE)=0,"Spatial Data Missing",VLOOKUP(L112,'G-3 Multipliers'!$L$3:$N$6,3,FALSE)))</f>
        <v/>
      </c>
      <c r="O112" s="498" t="str">
        <f t="shared" si="6"/>
        <v/>
      </c>
      <c r="P112" s="82"/>
      <c r="Q112" s="82"/>
      <c r="R112" s="507" t="str">
        <f t="shared" si="8"/>
        <v/>
      </c>
      <c r="S112" s="521" t="str">
        <f t="shared" si="9"/>
        <v/>
      </c>
      <c r="T112" s="522" t="str">
        <f>IFERROR(IF(S112="Check Data ⚠","Check Data ⚠",VLOOKUP(S112,'G-4 Temporal multipliers'!$A$4:$C$37,3,FALSE)),"")</f>
        <v/>
      </c>
      <c r="U112" s="523" t="str">
        <f>IF(F112="","",VLOOKUP(F112,'G-3 Multipliers'!$A$2:$E$129,2,FALSE))</f>
        <v/>
      </c>
      <c r="V112" s="520" t="str">
        <f t="shared" si="10"/>
        <v/>
      </c>
      <c r="W112" s="520" t="str">
        <f>IF(E112="","",IF(AND(V112="Standard difficulty applied",O112&gt;P112),U112,IF(AND(V112="Low Difficulty - only applicable if all habitat created before losses",P112&gt;=O112),"Low",VLOOKUP(F112,'G-3 Multipliers'!$A$2:$E$129,4,FALSE))))</f>
        <v/>
      </c>
      <c r="X112" s="524" t="str">
        <f>IFERROR(IF(E112="","",VLOOKUP(W112, 'G-3 Multipliers'!$P$2:$Q$6,2,FALSE)),"")</f>
        <v/>
      </c>
      <c r="Y112" s="529" t="str">
        <f t="shared" si="11"/>
        <v/>
      </c>
      <c r="Z112" s="239"/>
      <c r="AA112" s="240"/>
      <c r="AE112" s="54" t="str">
        <f t="shared" si="7"/>
        <v/>
      </c>
    </row>
    <row r="113" spans="1:31" x14ac:dyDescent="0.25">
      <c r="A113" s="47" t="str">
        <f>IFERROR(INDEX('G-8 Condition Look up'!$I$4:$I$130,MATCH(F113,'G-8 Condition Look up'!$A$4:$A$130,0)),"")</f>
        <v/>
      </c>
      <c r="C113" s="384" t="str">
        <f>IFERROR(INDEX('G-1 All Habitats'!$AG$3:$AG$15,MATCH(D113,'G-1 All Habitats'!$AF$3:$AF$15,0)),"")</f>
        <v/>
      </c>
      <c r="D113" s="146"/>
      <c r="E113" s="79"/>
      <c r="F113" s="246" t="str">
        <f>IFERROR(INDEX('G-1 All Habitats'!$B$3:$B$129,MATCH(E113,'G-1 All Habitats'!$A$3:$A$129,0)),"")</f>
        <v/>
      </c>
      <c r="G113" s="70"/>
      <c r="H113" s="498" t="str">
        <f>IF(F113="","",VLOOKUP(F113,'G-1 All Habitats'!$B$2:$M$129,10,FALSE))</f>
        <v/>
      </c>
      <c r="I113" s="499" t="str">
        <f>IFERROR(VLOOKUP(H113,'G-1 All Habitats'!$V$3:$W$7,2,FALSE),"")</f>
        <v/>
      </c>
      <c r="J113" s="71"/>
      <c r="K113" s="499" t="str">
        <f>IFERROR(INDEX('G-8 Condition Look up'!$A$3:$H$130,MATCH(F113,'G-8 Condition Look up'!$A$3:$A$130,0),MATCH(J113,'G-8 Condition Look up'!$A$3:$H$3,0)),"")</f>
        <v/>
      </c>
      <c r="L113" s="71"/>
      <c r="M113" s="507" t="str">
        <f>IF(L113="","",IF(VLOOKUP(L113,'G-3 Multipliers'!$L$3:$N$6,2,FALSE)=0,"Spatial Data Missing",VLOOKUP(L113,'G-3 Multipliers'!$L$3:$N$6,2,FALSE)))</f>
        <v/>
      </c>
      <c r="N113" s="505" t="str">
        <f>IF(L113="","",IF(VLOOKUP(L113,'G-3 Multipliers'!$L$3:$N$6,3,FALSE)=0,"Spatial Data Missing",VLOOKUP(L113,'G-3 Multipliers'!$L$3:$N$6,3,FALSE)))</f>
        <v/>
      </c>
      <c r="O113" s="498" t="str">
        <f t="shared" si="6"/>
        <v/>
      </c>
      <c r="P113" s="82"/>
      <c r="Q113" s="82"/>
      <c r="R113" s="507" t="str">
        <f t="shared" si="8"/>
        <v/>
      </c>
      <c r="S113" s="521" t="str">
        <f t="shared" si="9"/>
        <v/>
      </c>
      <c r="T113" s="522" t="str">
        <f>IFERROR(IF(S113="Check Data ⚠","Check Data ⚠",VLOOKUP(S113,'G-4 Temporal multipliers'!$A$4:$C$37,3,FALSE)),"")</f>
        <v/>
      </c>
      <c r="U113" s="523" t="str">
        <f>IF(F113="","",VLOOKUP(F113,'G-3 Multipliers'!$A$2:$E$129,2,FALSE))</f>
        <v/>
      </c>
      <c r="V113" s="520" t="str">
        <f t="shared" si="10"/>
        <v/>
      </c>
      <c r="W113" s="520" t="str">
        <f>IF(E113="","",IF(AND(V113="Standard difficulty applied",O113&gt;P113),U113,IF(AND(V113="Low Difficulty - only applicable if all habitat created before losses",P113&gt;=O113),"Low",VLOOKUP(F113,'G-3 Multipliers'!$A$2:$E$129,4,FALSE))))</f>
        <v/>
      </c>
      <c r="X113" s="524" t="str">
        <f>IFERROR(IF(E113="","",VLOOKUP(W113, 'G-3 Multipliers'!$P$2:$Q$6,2,FALSE)),"")</f>
        <v/>
      </c>
      <c r="Y113" s="529" t="str">
        <f t="shared" si="11"/>
        <v/>
      </c>
      <c r="Z113" s="239"/>
      <c r="AA113" s="240"/>
      <c r="AE113" s="54" t="str">
        <f t="shared" si="7"/>
        <v/>
      </c>
    </row>
    <row r="114" spans="1:31" x14ac:dyDescent="0.25">
      <c r="A114" s="47" t="str">
        <f>IFERROR(INDEX('G-8 Condition Look up'!$I$4:$I$130,MATCH(F114,'G-8 Condition Look up'!$A$4:$A$130,0)),"")</f>
        <v/>
      </c>
      <c r="C114" s="384" t="str">
        <f>IFERROR(INDEX('G-1 All Habitats'!$AG$3:$AG$15,MATCH(D114,'G-1 All Habitats'!$AF$3:$AF$15,0)),"")</f>
        <v/>
      </c>
      <c r="D114" s="146"/>
      <c r="E114" s="79"/>
      <c r="F114" s="246" t="str">
        <f>IFERROR(INDEX('G-1 All Habitats'!$B$3:$B$129,MATCH(E114,'G-1 All Habitats'!$A$3:$A$129,0)),"")</f>
        <v/>
      </c>
      <c r="G114" s="70"/>
      <c r="H114" s="498" t="str">
        <f>IF(F114="","",VLOOKUP(F114,'G-1 All Habitats'!$B$2:$M$129,10,FALSE))</f>
        <v/>
      </c>
      <c r="I114" s="499" t="str">
        <f>IFERROR(VLOOKUP(H114,'G-1 All Habitats'!$V$3:$W$7,2,FALSE),"")</f>
        <v/>
      </c>
      <c r="J114" s="71"/>
      <c r="K114" s="499" t="str">
        <f>IFERROR(INDEX('G-8 Condition Look up'!$A$3:$H$130,MATCH(F114,'G-8 Condition Look up'!$A$3:$A$130,0),MATCH(J114,'G-8 Condition Look up'!$A$3:$H$3,0)),"")</f>
        <v/>
      </c>
      <c r="L114" s="71"/>
      <c r="M114" s="507" t="str">
        <f>IF(L114="","",IF(VLOOKUP(L114,'G-3 Multipliers'!$L$3:$N$6,2,FALSE)=0,"Spatial Data Missing",VLOOKUP(L114,'G-3 Multipliers'!$L$3:$N$6,2,FALSE)))</f>
        <v/>
      </c>
      <c r="N114" s="505" t="str">
        <f>IF(L114="","",IF(VLOOKUP(L114,'G-3 Multipliers'!$L$3:$N$6,3,FALSE)=0,"Spatial Data Missing",VLOOKUP(L114,'G-3 Multipliers'!$L$3:$N$6,3,FALSE)))</f>
        <v/>
      </c>
      <c r="O114" s="498" t="str">
        <f t="shared" si="6"/>
        <v/>
      </c>
      <c r="P114" s="82"/>
      <c r="Q114" s="82"/>
      <c r="R114" s="507" t="str">
        <f t="shared" si="8"/>
        <v/>
      </c>
      <c r="S114" s="521" t="str">
        <f t="shared" si="9"/>
        <v/>
      </c>
      <c r="T114" s="522" t="str">
        <f>IFERROR(IF(S114="Check Data ⚠","Check Data ⚠",VLOOKUP(S114,'G-4 Temporal multipliers'!$A$4:$C$37,3,FALSE)),"")</f>
        <v/>
      </c>
      <c r="U114" s="523" t="str">
        <f>IF(F114="","",VLOOKUP(F114,'G-3 Multipliers'!$A$2:$E$129,2,FALSE))</f>
        <v/>
      </c>
      <c r="V114" s="520" t="str">
        <f t="shared" si="10"/>
        <v/>
      </c>
      <c r="W114" s="520" t="str">
        <f>IF(E114="","",IF(AND(V114="Standard difficulty applied",O114&gt;P114),U114,IF(AND(V114="Low Difficulty - only applicable if all habitat created before losses",P114&gt;=O114),"Low",VLOOKUP(F114,'G-3 Multipliers'!$A$2:$E$129,4,FALSE))))</f>
        <v/>
      </c>
      <c r="X114" s="524" t="str">
        <f>IFERROR(IF(E114="","",VLOOKUP(W114, 'G-3 Multipliers'!$P$2:$Q$6,2,FALSE)),"")</f>
        <v/>
      </c>
      <c r="Y114" s="529" t="str">
        <f t="shared" si="11"/>
        <v/>
      </c>
      <c r="Z114" s="239"/>
      <c r="AA114" s="240"/>
      <c r="AE114" s="54" t="str">
        <f t="shared" si="7"/>
        <v/>
      </c>
    </row>
    <row r="115" spans="1:31" x14ac:dyDescent="0.25">
      <c r="A115" s="47" t="str">
        <f>IFERROR(INDEX('G-8 Condition Look up'!$I$4:$I$130,MATCH(F115,'G-8 Condition Look up'!$A$4:$A$130,0)),"")</f>
        <v/>
      </c>
      <c r="C115" s="384" t="str">
        <f>IFERROR(INDEX('G-1 All Habitats'!$AG$3:$AG$15,MATCH(D115,'G-1 All Habitats'!$AF$3:$AF$15,0)),"")</f>
        <v/>
      </c>
      <c r="D115" s="146"/>
      <c r="E115" s="79"/>
      <c r="F115" s="246" t="str">
        <f>IFERROR(INDEX('G-1 All Habitats'!$B$3:$B$129,MATCH(E115,'G-1 All Habitats'!$A$3:$A$129,0)),"")</f>
        <v/>
      </c>
      <c r="G115" s="70"/>
      <c r="H115" s="498" t="str">
        <f>IF(F115="","",VLOOKUP(F115,'G-1 All Habitats'!$B$2:$M$129,10,FALSE))</f>
        <v/>
      </c>
      <c r="I115" s="499" t="str">
        <f>IFERROR(VLOOKUP(H115,'G-1 All Habitats'!$V$3:$W$7,2,FALSE),"")</f>
        <v/>
      </c>
      <c r="J115" s="71"/>
      <c r="K115" s="499" t="str">
        <f>IFERROR(INDEX('G-8 Condition Look up'!$A$3:$H$130,MATCH(F115,'G-8 Condition Look up'!$A$3:$A$130,0),MATCH(J115,'G-8 Condition Look up'!$A$3:$H$3,0)),"")</f>
        <v/>
      </c>
      <c r="L115" s="71"/>
      <c r="M115" s="507" t="str">
        <f>IF(L115="","",IF(VLOOKUP(L115,'G-3 Multipliers'!$L$3:$N$6,2,FALSE)=0,"Spatial Data Missing",VLOOKUP(L115,'G-3 Multipliers'!$L$3:$N$6,2,FALSE)))</f>
        <v/>
      </c>
      <c r="N115" s="505" t="str">
        <f>IF(L115="","",IF(VLOOKUP(L115,'G-3 Multipliers'!$L$3:$N$6,3,FALSE)=0,"Spatial Data Missing",VLOOKUP(L115,'G-3 Multipliers'!$L$3:$N$6,3,FALSE)))</f>
        <v/>
      </c>
      <c r="O115" s="498" t="str">
        <f t="shared" si="6"/>
        <v/>
      </c>
      <c r="P115" s="82"/>
      <c r="Q115" s="82"/>
      <c r="R115" s="507" t="str">
        <f t="shared" si="8"/>
        <v/>
      </c>
      <c r="S115" s="521" t="str">
        <f t="shared" si="9"/>
        <v/>
      </c>
      <c r="T115" s="522" t="str">
        <f>IFERROR(IF(S115="Check Data ⚠","Check Data ⚠",VLOOKUP(S115,'G-4 Temporal multipliers'!$A$4:$C$37,3,FALSE)),"")</f>
        <v/>
      </c>
      <c r="U115" s="523" t="str">
        <f>IF(F115="","",VLOOKUP(F115,'G-3 Multipliers'!$A$2:$E$129,2,FALSE))</f>
        <v/>
      </c>
      <c r="V115" s="520" t="str">
        <f t="shared" si="10"/>
        <v/>
      </c>
      <c r="W115" s="520" t="str">
        <f>IF(E115="","",IF(AND(V115="Standard difficulty applied",O115&gt;P115),U115,IF(AND(V115="Low Difficulty - only applicable if all habitat created before losses",P115&gt;=O115),"Low",VLOOKUP(F115,'G-3 Multipliers'!$A$2:$E$129,4,FALSE))))</f>
        <v/>
      </c>
      <c r="X115" s="524" t="str">
        <f>IFERROR(IF(E115="","",VLOOKUP(W115, 'G-3 Multipliers'!$P$2:$Q$6,2,FALSE)),"")</f>
        <v/>
      </c>
      <c r="Y115" s="529" t="str">
        <f t="shared" si="11"/>
        <v/>
      </c>
      <c r="Z115" s="239"/>
      <c r="AA115" s="240"/>
      <c r="AE115" s="54" t="str">
        <f t="shared" si="7"/>
        <v/>
      </c>
    </row>
    <row r="116" spans="1:31" x14ac:dyDescent="0.25">
      <c r="A116" s="47" t="str">
        <f>IFERROR(INDEX('G-8 Condition Look up'!$I$4:$I$130,MATCH(F116,'G-8 Condition Look up'!$A$4:$A$130,0)),"")</f>
        <v/>
      </c>
      <c r="C116" s="384" t="str">
        <f>IFERROR(INDEX('G-1 All Habitats'!$AG$3:$AG$15,MATCH(D116,'G-1 All Habitats'!$AF$3:$AF$15,0)),"")</f>
        <v/>
      </c>
      <c r="D116" s="146"/>
      <c r="E116" s="79"/>
      <c r="F116" s="246" t="str">
        <f>IFERROR(INDEX('G-1 All Habitats'!$B$3:$B$129,MATCH(E116,'G-1 All Habitats'!$A$3:$A$129,0)),"")</f>
        <v/>
      </c>
      <c r="G116" s="70"/>
      <c r="H116" s="498" t="str">
        <f>IF(F116="","",VLOOKUP(F116,'G-1 All Habitats'!$B$2:$M$129,10,FALSE))</f>
        <v/>
      </c>
      <c r="I116" s="499" t="str">
        <f>IFERROR(VLOOKUP(H116,'G-1 All Habitats'!$V$3:$W$7,2,FALSE),"")</f>
        <v/>
      </c>
      <c r="J116" s="71"/>
      <c r="K116" s="499" t="str">
        <f>IFERROR(INDEX('G-8 Condition Look up'!$A$3:$H$130,MATCH(F116,'G-8 Condition Look up'!$A$3:$A$130,0),MATCH(J116,'G-8 Condition Look up'!$A$3:$H$3,0)),"")</f>
        <v/>
      </c>
      <c r="L116" s="71"/>
      <c r="M116" s="507" t="str">
        <f>IF(L116="","",IF(VLOOKUP(L116,'G-3 Multipliers'!$L$3:$N$6,2,FALSE)=0,"Spatial Data Missing",VLOOKUP(L116,'G-3 Multipliers'!$L$3:$N$6,2,FALSE)))</f>
        <v/>
      </c>
      <c r="N116" s="505" t="str">
        <f>IF(L116="","",IF(VLOOKUP(L116,'G-3 Multipliers'!$L$3:$N$6,3,FALSE)=0,"Spatial Data Missing",VLOOKUP(L116,'G-3 Multipliers'!$L$3:$N$6,3,FALSE)))</f>
        <v/>
      </c>
      <c r="O116" s="498" t="str">
        <f t="shared" si="6"/>
        <v/>
      </c>
      <c r="P116" s="82"/>
      <c r="Q116" s="82"/>
      <c r="R116" s="507" t="str">
        <f t="shared" si="8"/>
        <v/>
      </c>
      <c r="S116" s="521" t="str">
        <f t="shared" si="9"/>
        <v/>
      </c>
      <c r="T116" s="522" t="str">
        <f>IFERROR(IF(S116="Check Data ⚠","Check Data ⚠",VLOOKUP(S116,'G-4 Temporal multipliers'!$A$4:$C$37,3,FALSE)),"")</f>
        <v/>
      </c>
      <c r="U116" s="523" t="str">
        <f>IF(F116="","",VLOOKUP(F116,'G-3 Multipliers'!$A$2:$E$129,2,FALSE))</f>
        <v/>
      </c>
      <c r="V116" s="520" t="str">
        <f t="shared" si="10"/>
        <v/>
      </c>
      <c r="W116" s="520" t="str">
        <f>IF(E116="","",IF(AND(V116="Standard difficulty applied",O116&gt;P116),U116,IF(AND(V116="Low Difficulty - only applicable if all habitat created before losses",P116&gt;=O116),"Low",VLOOKUP(F116,'G-3 Multipliers'!$A$2:$E$129,4,FALSE))))</f>
        <v/>
      </c>
      <c r="X116" s="524" t="str">
        <f>IFERROR(IF(E116="","",VLOOKUP(W116, 'G-3 Multipliers'!$P$2:$Q$6,2,FALSE)),"")</f>
        <v/>
      </c>
      <c r="Y116" s="529" t="str">
        <f t="shared" si="11"/>
        <v/>
      </c>
      <c r="Z116" s="239"/>
      <c r="AA116" s="240"/>
      <c r="AE116" s="54" t="str">
        <f t="shared" si="7"/>
        <v/>
      </c>
    </row>
    <row r="117" spans="1:31" x14ac:dyDescent="0.25">
      <c r="A117" s="47" t="str">
        <f>IFERROR(INDEX('G-8 Condition Look up'!$I$4:$I$130,MATCH(F117,'G-8 Condition Look up'!$A$4:$A$130,0)),"")</f>
        <v/>
      </c>
      <c r="C117" s="384" t="str">
        <f>IFERROR(INDEX('G-1 All Habitats'!$AG$3:$AG$15,MATCH(D117,'G-1 All Habitats'!$AF$3:$AF$15,0)),"")</f>
        <v/>
      </c>
      <c r="D117" s="146"/>
      <c r="E117" s="79"/>
      <c r="F117" s="246" t="str">
        <f>IFERROR(INDEX('G-1 All Habitats'!$B$3:$B$129,MATCH(E117,'G-1 All Habitats'!$A$3:$A$129,0)),"")</f>
        <v/>
      </c>
      <c r="G117" s="70"/>
      <c r="H117" s="498" t="str">
        <f>IF(F117="","",VLOOKUP(F117,'G-1 All Habitats'!$B$2:$M$129,10,FALSE))</f>
        <v/>
      </c>
      <c r="I117" s="499" t="str">
        <f>IFERROR(VLOOKUP(H117,'G-1 All Habitats'!$V$3:$W$7,2,FALSE),"")</f>
        <v/>
      </c>
      <c r="J117" s="71"/>
      <c r="K117" s="499" t="str">
        <f>IFERROR(INDEX('G-8 Condition Look up'!$A$3:$H$130,MATCH(F117,'G-8 Condition Look up'!$A$3:$A$130,0),MATCH(J117,'G-8 Condition Look up'!$A$3:$H$3,0)),"")</f>
        <v/>
      </c>
      <c r="L117" s="71"/>
      <c r="M117" s="507" t="str">
        <f>IF(L117="","",IF(VLOOKUP(L117,'G-3 Multipliers'!$L$3:$N$6,2,FALSE)=0,"Spatial Data Missing",VLOOKUP(L117,'G-3 Multipliers'!$L$3:$N$6,2,FALSE)))</f>
        <v/>
      </c>
      <c r="N117" s="505" t="str">
        <f>IF(L117="","",IF(VLOOKUP(L117,'G-3 Multipliers'!$L$3:$N$6,3,FALSE)=0,"Spatial Data Missing",VLOOKUP(L117,'G-3 Multipliers'!$L$3:$N$6,3,FALSE)))</f>
        <v/>
      </c>
      <c r="O117" s="498" t="str">
        <f t="shared" si="6"/>
        <v/>
      </c>
      <c r="P117" s="82"/>
      <c r="Q117" s="82"/>
      <c r="R117" s="507" t="str">
        <f t="shared" si="8"/>
        <v/>
      </c>
      <c r="S117" s="521" t="str">
        <f t="shared" si="9"/>
        <v/>
      </c>
      <c r="T117" s="522" t="str">
        <f>IFERROR(IF(S117="Check Data ⚠","Check Data ⚠",VLOOKUP(S117,'G-4 Temporal multipliers'!$A$4:$C$37,3,FALSE)),"")</f>
        <v/>
      </c>
      <c r="U117" s="523" t="str">
        <f>IF(F117="","",VLOOKUP(F117,'G-3 Multipliers'!$A$2:$E$129,2,FALSE))</f>
        <v/>
      </c>
      <c r="V117" s="520" t="str">
        <f t="shared" si="10"/>
        <v/>
      </c>
      <c r="W117" s="520" t="str">
        <f>IF(E117="","",IF(AND(V117="Standard difficulty applied",O117&gt;P117),U117,IF(AND(V117="Low Difficulty - only applicable if all habitat created before losses",P117&gt;=O117),"Low",VLOOKUP(F117,'G-3 Multipliers'!$A$2:$E$129,4,FALSE))))</f>
        <v/>
      </c>
      <c r="X117" s="524" t="str">
        <f>IFERROR(IF(E117="","",VLOOKUP(W117, 'G-3 Multipliers'!$P$2:$Q$6,2,FALSE)),"")</f>
        <v/>
      </c>
      <c r="Y117" s="529" t="str">
        <f t="shared" si="11"/>
        <v/>
      </c>
      <c r="Z117" s="239"/>
      <c r="AA117" s="240"/>
      <c r="AE117" s="54" t="str">
        <f t="shared" si="7"/>
        <v/>
      </c>
    </row>
    <row r="118" spans="1:31" x14ac:dyDescent="0.25">
      <c r="A118" s="47" t="str">
        <f>IFERROR(INDEX('G-8 Condition Look up'!$I$4:$I$130,MATCH(F118,'G-8 Condition Look up'!$A$4:$A$130,0)),"")</f>
        <v/>
      </c>
      <c r="C118" s="384" t="str">
        <f>IFERROR(INDEX('G-1 All Habitats'!$AG$3:$AG$15,MATCH(D118,'G-1 All Habitats'!$AF$3:$AF$15,0)),"")</f>
        <v/>
      </c>
      <c r="D118" s="146"/>
      <c r="E118" s="79"/>
      <c r="F118" s="246" t="str">
        <f>IFERROR(INDEX('G-1 All Habitats'!$B$3:$B$129,MATCH(E118,'G-1 All Habitats'!$A$3:$A$129,0)),"")</f>
        <v/>
      </c>
      <c r="G118" s="70"/>
      <c r="H118" s="498" t="str">
        <f>IF(F118="","",VLOOKUP(F118,'G-1 All Habitats'!$B$2:$M$129,10,FALSE))</f>
        <v/>
      </c>
      <c r="I118" s="499" t="str">
        <f>IFERROR(VLOOKUP(H118,'G-1 All Habitats'!$V$3:$W$7,2,FALSE),"")</f>
        <v/>
      </c>
      <c r="J118" s="71"/>
      <c r="K118" s="499" t="str">
        <f>IFERROR(INDEX('G-8 Condition Look up'!$A$3:$H$130,MATCH(F118,'G-8 Condition Look up'!$A$3:$A$130,0),MATCH(J118,'G-8 Condition Look up'!$A$3:$H$3,0)),"")</f>
        <v/>
      </c>
      <c r="L118" s="71"/>
      <c r="M118" s="507" t="str">
        <f>IF(L118="","",IF(VLOOKUP(L118,'G-3 Multipliers'!$L$3:$N$6,2,FALSE)=0,"Spatial Data Missing",VLOOKUP(L118,'G-3 Multipliers'!$L$3:$N$6,2,FALSE)))</f>
        <v/>
      </c>
      <c r="N118" s="505" t="str">
        <f>IF(L118="","",IF(VLOOKUP(L118,'G-3 Multipliers'!$L$3:$N$6,3,FALSE)=0,"Spatial Data Missing",VLOOKUP(L118,'G-3 Multipliers'!$L$3:$N$6,3,FALSE)))</f>
        <v/>
      </c>
      <c r="O118" s="498" t="str">
        <f t="shared" si="6"/>
        <v/>
      </c>
      <c r="P118" s="82"/>
      <c r="Q118" s="82"/>
      <c r="R118" s="507" t="str">
        <f t="shared" si="8"/>
        <v/>
      </c>
      <c r="S118" s="521" t="str">
        <f t="shared" si="9"/>
        <v/>
      </c>
      <c r="T118" s="522" t="str">
        <f>IFERROR(IF(S118="Check Data ⚠","Check Data ⚠",VLOOKUP(S118,'G-4 Temporal multipliers'!$A$4:$C$37,3,FALSE)),"")</f>
        <v/>
      </c>
      <c r="U118" s="523" t="str">
        <f>IF(F118="","",VLOOKUP(F118,'G-3 Multipliers'!$A$2:$E$129,2,FALSE))</f>
        <v/>
      </c>
      <c r="V118" s="520" t="str">
        <f t="shared" si="10"/>
        <v/>
      </c>
      <c r="W118" s="520" t="str">
        <f>IF(E118="","",IF(AND(V118="Standard difficulty applied",O118&gt;P118),U118,IF(AND(V118="Low Difficulty - only applicable if all habitat created before losses",P118&gt;=O118),"Low",VLOOKUP(F118,'G-3 Multipliers'!$A$2:$E$129,4,FALSE))))</f>
        <v/>
      </c>
      <c r="X118" s="524" t="str">
        <f>IFERROR(IF(E118="","",VLOOKUP(W118, 'G-3 Multipliers'!$P$2:$Q$6,2,FALSE)),"")</f>
        <v/>
      </c>
      <c r="Y118" s="529" t="str">
        <f t="shared" si="11"/>
        <v/>
      </c>
      <c r="Z118" s="239"/>
      <c r="AA118" s="240"/>
      <c r="AE118" s="54" t="str">
        <f t="shared" si="7"/>
        <v/>
      </c>
    </row>
    <row r="119" spans="1:31" x14ac:dyDescent="0.25">
      <c r="A119" s="47" t="str">
        <f>IFERROR(INDEX('G-8 Condition Look up'!$I$4:$I$130,MATCH(F119,'G-8 Condition Look up'!$A$4:$A$130,0)),"")</f>
        <v/>
      </c>
      <c r="C119" s="384" t="str">
        <f>IFERROR(INDEX('G-1 All Habitats'!$AG$3:$AG$15,MATCH(D119,'G-1 All Habitats'!$AF$3:$AF$15,0)),"")</f>
        <v/>
      </c>
      <c r="D119" s="146"/>
      <c r="E119" s="79"/>
      <c r="F119" s="246" t="str">
        <f>IFERROR(INDEX('G-1 All Habitats'!$B$3:$B$129,MATCH(E119,'G-1 All Habitats'!$A$3:$A$129,0)),"")</f>
        <v/>
      </c>
      <c r="G119" s="70"/>
      <c r="H119" s="498" t="str">
        <f>IF(F119="","",VLOOKUP(F119,'G-1 All Habitats'!$B$2:$M$129,10,FALSE))</f>
        <v/>
      </c>
      <c r="I119" s="499" t="str">
        <f>IFERROR(VLOOKUP(H119,'G-1 All Habitats'!$V$3:$W$7,2,FALSE),"")</f>
        <v/>
      </c>
      <c r="J119" s="71"/>
      <c r="K119" s="499" t="str">
        <f>IFERROR(INDEX('G-8 Condition Look up'!$A$3:$H$130,MATCH(F119,'G-8 Condition Look up'!$A$3:$A$130,0),MATCH(J119,'G-8 Condition Look up'!$A$3:$H$3,0)),"")</f>
        <v/>
      </c>
      <c r="L119" s="71"/>
      <c r="M119" s="507" t="str">
        <f>IF(L119="","",IF(VLOOKUP(L119,'G-3 Multipliers'!$L$3:$N$6,2,FALSE)=0,"Spatial Data Missing",VLOOKUP(L119,'G-3 Multipliers'!$L$3:$N$6,2,FALSE)))</f>
        <v/>
      </c>
      <c r="N119" s="505" t="str">
        <f>IF(L119="","",IF(VLOOKUP(L119,'G-3 Multipliers'!$L$3:$N$6,3,FALSE)=0,"Spatial Data Missing",VLOOKUP(L119,'G-3 Multipliers'!$L$3:$N$6,3,FALSE)))</f>
        <v/>
      </c>
      <c r="O119" s="498" t="str">
        <f t="shared" si="6"/>
        <v/>
      </c>
      <c r="P119" s="82"/>
      <c r="Q119" s="82"/>
      <c r="R119" s="507" t="str">
        <f t="shared" si="8"/>
        <v/>
      </c>
      <c r="S119" s="521" t="str">
        <f t="shared" si="9"/>
        <v/>
      </c>
      <c r="T119" s="522" t="str">
        <f>IFERROR(IF(S119="Check Data ⚠","Check Data ⚠",VLOOKUP(S119,'G-4 Temporal multipliers'!$A$4:$C$37,3,FALSE)),"")</f>
        <v/>
      </c>
      <c r="U119" s="523" t="str">
        <f>IF(F119="","",VLOOKUP(F119,'G-3 Multipliers'!$A$2:$E$129,2,FALSE))</f>
        <v/>
      </c>
      <c r="V119" s="520" t="str">
        <f t="shared" si="10"/>
        <v/>
      </c>
      <c r="W119" s="520" t="str">
        <f>IF(E119="","",IF(AND(V119="Standard difficulty applied",O119&gt;P119),U119,IF(AND(V119="Low Difficulty - only applicable if all habitat created before losses",P119&gt;=O119),"Low",VLOOKUP(F119,'G-3 Multipliers'!$A$2:$E$129,4,FALSE))))</f>
        <v/>
      </c>
      <c r="X119" s="524" t="str">
        <f>IFERROR(IF(E119="","",VLOOKUP(W119, 'G-3 Multipliers'!$P$2:$Q$6,2,FALSE)),"")</f>
        <v/>
      </c>
      <c r="Y119" s="529" t="str">
        <f t="shared" si="11"/>
        <v/>
      </c>
      <c r="Z119" s="239"/>
      <c r="AA119" s="240"/>
      <c r="AE119" s="54" t="str">
        <f t="shared" si="7"/>
        <v/>
      </c>
    </row>
    <row r="120" spans="1:31" x14ac:dyDescent="0.25">
      <c r="A120" s="47" t="str">
        <f>IFERROR(INDEX('G-8 Condition Look up'!$I$4:$I$130,MATCH(F120,'G-8 Condition Look up'!$A$4:$A$130,0)),"")</f>
        <v/>
      </c>
      <c r="C120" s="384" t="str">
        <f>IFERROR(INDEX('G-1 All Habitats'!$AG$3:$AG$15,MATCH(D120,'G-1 All Habitats'!$AF$3:$AF$15,0)),"")</f>
        <v/>
      </c>
      <c r="D120" s="146"/>
      <c r="E120" s="79"/>
      <c r="F120" s="246" t="str">
        <f>IFERROR(INDEX('G-1 All Habitats'!$B$3:$B$129,MATCH(E120,'G-1 All Habitats'!$A$3:$A$129,0)),"")</f>
        <v/>
      </c>
      <c r="G120" s="70"/>
      <c r="H120" s="498" t="str">
        <f>IF(F120="","",VLOOKUP(F120,'G-1 All Habitats'!$B$2:$M$129,10,FALSE))</f>
        <v/>
      </c>
      <c r="I120" s="499" t="str">
        <f>IFERROR(VLOOKUP(H120,'G-1 All Habitats'!$V$3:$W$7,2,FALSE),"")</f>
        <v/>
      </c>
      <c r="J120" s="71"/>
      <c r="K120" s="499" t="str">
        <f>IFERROR(INDEX('G-8 Condition Look up'!$A$3:$H$130,MATCH(F120,'G-8 Condition Look up'!$A$3:$A$130,0),MATCH(J120,'G-8 Condition Look up'!$A$3:$H$3,0)),"")</f>
        <v/>
      </c>
      <c r="L120" s="71"/>
      <c r="M120" s="507" t="str">
        <f>IF(L120="","",IF(VLOOKUP(L120,'G-3 Multipliers'!$L$3:$N$6,2,FALSE)=0,"Spatial Data Missing",VLOOKUP(L120,'G-3 Multipliers'!$L$3:$N$6,2,FALSE)))</f>
        <v/>
      </c>
      <c r="N120" s="505" t="str">
        <f>IF(L120="","",IF(VLOOKUP(L120,'G-3 Multipliers'!$L$3:$N$6,3,FALSE)=0,"Spatial Data Missing",VLOOKUP(L120,'G-3 Multipliers'!$L$3:$N$6,3,FALSE)))</f>
        <v/>
      </c>
      <c r="O120" s="498" t="str">
        <f t="shared" si="6"/>
        <v/>
      </c>
      <c r="P120" s="82"/>
      <c r="Q120" s="82"/>
      <c r="R120" s="507" t="str">
        <f t="shared" si="8"/>
        <v/>
      </c>
      <c r="S120" s="521" t="str">
        <f t="shared" si="9"/>
        <v/>
      </c>
      <c r="T120" s="522" t="str">
        <f>IFERROR(IF(S120="Check Data ⚠","Check Data ⚠",VLOOKUP(S120,'G-4 Temporal multipliers'!$A$4:$C$37,3,FALSE)),"")</f>
        <v/>
      </c>
      <c r="U120" s="523" t="str">
        <f>IF(F120="","",VLOOKUP(F120,'G-3 Multipliers'!$A$2:$E$129,2,FALSE))</f>
        <v/>
      </c>
      <c r="V120" s="520" t="str">
        <f t="shared" si="10"/>
        <v/>
      </c>
      <c r="W120" s="520" t="str">
        <f>IF(E120="","",IF(AND(V120="Standard difficulty applied",O120&gt;P120),U120,IF(AND(V120="Low Difficulty - only applicable if all habitat created before losses",P120&gt;=O120),"Low",VLOOKUP(F120,'G-3 Multipliers'!$A$2:$E$129,4,FALSE))))</f>
        <v/>
      </c>
      <c r="X120" s="524" t="str">
        <f>IFERROR(IF(E120="","",VLOOKUP(W120, 'G-3 Multipliers'!$P$2:$Q$6,2,FALSE)),"")</f>
        <v/>
      </c>
      <c r="Y120" s="529" t="str">
        <f t="shared" si="11"/>
        <v/>
      </c>
      <c r="Z120" s="239"/>
      <c r="AA120" s="240"/>
      <c r="AE120" s="54" t="str">
        <f t="shared" si="7"/>
        <v/>
      </c>
    </row>
    <row r="121" spans="1:31" x14ac:dyDescent="0.25">
      <c r="A121" s="47" t="str">
        <f>IFERROR(INDEX('G-8 Condition Look up'!$I$4:$I$130,MATCH(F121,'G-8 Condition Look up'!$A$4:$A$130,0)),"")</f>
        <v/>
      </c>
      <c r="C121" s="384" t="str">
        <f>IFERROR(INDEX('G-1 All Habitats'!$AG$3:$AG$15,MATCH(D121,'G-1 All Habitats'!$AF$3:$AF$15,0)),"")</f>
        <v/>
      </c>
      <c r="D121" s="146"/>
      <c r="E121" s="79"/>
      <c r="F121" s="246" t="str">
        <f>IFERROR(INDEX('G-1 All Habitats'!$B$3:$B$129,MATCH(E121,'G-1 All Habitats'!$A$3:$A$129,0)),"")</f>
        <v/>
      </c>
      <c r="G121" s="70"/>
      <c r="H121" s="498" t="str">
        <f>IF(F121="","",VLOOKUP(F121,'G-1 All Habitats'!$B$2:$M$129,10,FALSE))</f>
        <v/>
      </c>
      <c r="I121" s="499" t="str">
        <f>IFERROR(VLOOKUP(H121,'G-1 All Habitats'!$V$3:$W$7,2,FALSE),"")</f>
        <v/>
      </c>
      <c r="J121" s="71"/>
      <c r="K121" s="499" t="str">
        <f>IFERROR(INDEX('G-8 Condition Look up'!$A$3:$H$130,MATCH(F121,'G-8 Condition Look up'!$A$3:$A$130,0),MATCH(J121,'G-8 Condition Look up'!$A$3:$H$3,0)),"")</f>
        <v/>
      </c>
      <c r="L121" s="71"/>
      <c r="M121" s="507" t="str">
        <f>IF(L121="","",IF(VLOOKUP(L121,'G-3 Multipliers'!$L$3:$N$6,2,FALSE)=0,"Spatial Data Missing",VLOOKUP(L121,'G-3 Multipliers'!$L$3:$N$6,2,FALSE)))</f>
        <v/>
      </c>
      <c r="N121" s="505" t="str">
        <f>IF(L121="","",IF(VLOOKUP(L121,'G-3 Multipliers'!$L$3:$N$6,3,FALSE)=0,"Spatial Data Missing",VLOOKUP(L121,'G-3 Multipliers'!$L$3:$N$6,3,FALSE)))</f>
        <v/>
      </c>
      <c r="O121" s="498" t="str">
        <f t="shared" si="6"/>
        <v/>
      </c>
      <c r="P121" s="82"/>
      <c r="Q121" s="82"/>
      <c r="R121" s="507" t="str">
        <f t="shared" si="8"/>
        <v/>
      </c>
      <c r="S121" s="521" t="str">
        <f t="shared" si="9"/>
        <v/>
      </c>
      <c r="T121" s="522" t="str">
        <f>IFERROR(IF(S121="Check Data ⚠","Check Data ⚠",VLOOKUP(S121,'G-4 Temporal multipliers'!$A$4:$C$37,3,FALSE)),"")</f>
        <v/>
      </c>
      <c r="U121" s="523" t="str">
        <f>IF(F121="","",VLOOKUP(F121,'G-3 Multipliers'!$A$2:$E$129,2,FALSE))</f>
        <v/>
      </c>
      <c r="V121" s="520" t="str">
        <f t="shared" si="10"/>
        <v/>
      </c>
      <c r="W121" s="520" t="str">
        <f>IF(E121="","",IF(AND(V121="Standard difficulty applied",O121&gt;P121),U121,IF(AND(V121="Low Difficulty - only applicable if all habitat created before losses",P121&gt;=O121),"Low",VLOOKUP(F121,'G-3 Multipliers'!$A$2:$E$129,4,FALSE))))</f>
        <v/>
      </c>
      <c r="X121" s="524" t="str">
        <f>IFERROR(IF(E121="","",VLOOKUP(W121, 'G-3 Multipliers'!$P$2:$Q$6,2,FALSE)),"")</f>
        <v/>
      </c>
      <c r="Y121" s="529" t="str">
        <f t="shared" si="11"/>
        <v/>
      </c>
      <c r="Z121" s="239"/>
      <c r="AA121" s="240"/>
      <c r="AE121" s="54" t="str">
        <f t="shared" si="7"/>
        <v/>
      </c>
    </row>
    <row r="122" spans="1:31" x14ac:dyDescent="0.25">
      <c r="A122" s="47" t="str">
        <f>IFERROR(INDEX('G-8 Condition Look up'!$I$4:$I$130,MATCH(F122,'G-8 Condition Look up'!$A$4:$A$130,0)),"")</f>
        <v/>
      </c>
      <c r="C122" s="384" t="str">
        <f>IFERROR(INDEX('G-1 All Habitats'!$AG$3:$AG$15,MATCH(D122,'G-1 All Habitats'!$AF$3:$AF$15,0)),"")</f>
        <v/>
      </c>
      <c r="D122" s="146"/>
      <c r="E122" s="79"/>
      <c r="F122" s="246" t="str">
        <f>IFERROR(INDEX('G-1 All Habitats'!$B$3:$B$129,MATCH(E122,'G-1 All Habitats'!$A$3:$A$129,0)),"")</f>
        <v/>
      </c>
      <c r="G122" s="70"/>
      <c r="H122" s="498" t="str">
        <f>IF(F122="","",VLOOKUP(F122,'G-1 All Habitats'!$B$2:$M$129,10,FALSE))</f>
        <v/>
      </c>
      <c r="I122" s="499" t="str">
        <f>IFERROR(VLOOKUP(H122,'G-1 All Habitats'!$V$3:$W$7,2,FALSE),"")</f>
        <v/>
      </c>
      <c r="J122" s="71"/>
      <c r="K122" s="499" t="str">
        <f>IFERROR(INDEX('G-8 Condition Look up'!$A$3:$H$130,MATCH(F122,'G-8 Condition Look up'!$A$3:$A$130,0),MATCH(J122,'G-8 Condition Look up'!$A$3:$H$3,0)),"")</f>
        <v/>
      </c>
      <c r="L122" s="71"/>
      <c r="M122" s="507" t="str">
        <f>IF(L122="","",IF(VLOOKUP(L122,'G-3 Multipliers'!$L$3:$N$6,2,FALSE)=0,"Spatial Data Missing",VLOOKUP(L122,'G-3 Multipliers'!$L$3:$N$6,2,FALSE)))</f>
        <v/>
      </c>
      <c r="N122" s="505" t="str">
        <f>IF(L122="","",IF(VLOOKUP(L122,'G-3 Multipliers'!$L$3:$N$6,3,FALSE)=0,"Spatial Data Missing",VLOOKUP(L122,'G-3 Multipliers'!$L$3:$N$6,3,FALSE)))</f>
        <v/>
      </c>
      <c r="O122" s="498" t="str">
        <f t="shared" si="6"/>
        <v/>
      </c>
      <c r="P122" s="82"/>
      <c r="Q122" s="82"/>
      <c r="R122" s="507" t="str">
        <f t="shared" si="8"/>
        <v/>
      </c>
      <c r="S122" s="521" t="str">
        <f t="shared" si="9"/>
        <v/>
      </c>
      <c r="T122" s="522" t="str">
        <f>IFERROR(IF(S122="Check Data ⚠","Check Data ⚠",VLOOKUP(S122,'G-4 Temporal multipliers'!$A$4:$C$37,3,FALSE)),"")</f>
        <v/>
      </c>
      <c r="U122" s="523" t="str">
        <f>IF(F122="","",VLOOKUP(F122,'G-3 Multipliers'!$A$2:$E$129,2,FALSE))</f>
        <v/>
      </c>
      <c r="V122" s="520" t="str">
        <f t="shared" si="10"/>
        <v/>
      </c>
      <c r="W122" s="520" t="str">
        <f>IF(E122="","",IF(AND(V122="Standard difficulty applied",O122&gt;P122),U122,IF(AND(V122="Low Difficulty - only applicable if all habitat created before losses",P122&gt;=O122),"Low",VLOOKUP(F122,'G-3 Multipliers'!$A$2:$E$129,4,FALSE))))</f>
        <v/>
      </c>
      <c r="X122" s="524" t="str">
        <f>IFERROR(IF(E122="","",VLOOKUP(W122, 'G-3 Multipliers'!$P$2:$Q$6,2,FALSE)),"")</f>
        <v/>
      </c>
      <c r="Y122" s="529" t="str">
        <f t="shared" si="11"/>
        <v/>
      </c>
      <c r="Z122" s="239"/>
      <c r="AA122" s="240"/>
      <c r="AE122" s="54" t="str">
        <f t="shared" si="7"/>
        <v/>
      </c>
    </row>
    <row r="123" spans="1:31" x14ac:dyDescent="0.25">
      <c r="A123" s="47" t="str">
        <f>IFERROR(INDEX('G-8 Condition Look up'!$I$4:$I$130,MATCH(F123,'G-8 Condition Look up'!$A$4:$A$130,0)),"")</f>
        <v/>
      </c>
      <c r="C123" s="384" t="str">
        <f>IFERROR(INDEX('G-1 All Habitats'!$AG$3:$AG$15,MATCH(D123,'G-1 All Habitats'!$AF$3:$AF$15,0)),"")</f>
        <v/>
      </c>
      <c r="D123" s="146"/>
      <c r="E123" s="79"/>
      <c r="F123" s="246" t="str">
        <f>IFERROR(INDEX('G-1 All Habitats'!$B$3:$B$129,MATCH(E123,'G-1 All Habitats'!$A$3:$A$129,0)),"")</f>
        <v/>
      </c>
      <c r="G123" s="70"/>
      <c r="H123" s="498" t="str">
        <f>IF(F123="","",VLOOKUP(F123,'G-1 All Habitats'!$B$2:$M$129,10,FALSE))</f>
        <v/>
      </c>
      <c r="I123" s="499" t="str">
        <f>IFERROR(VLOOKUP(H123,'G-1 All Habitats'!$V$3:$W$7,2,FALSE),"")</f>
        <v/>
      </c>
      <c r="J123" s="71"/>
      <c r="K123" s="499" t="str">
        <f>IFERROR(INDEX('G-8 Condition Look up'!$A$3:$H$130,MATCH(F123,'G-8 Condition Look up'!$A$3:$A$130,0),MATCH(J123,'G-8 Condition Look up'!$A$3:$H$3,0)),"")</f>
        <v/>
      </c>
      <c r="L123" s="71"/>
      <c r="M123" s="507" t="str">
        <f>IF(L123="","",IF(VLOOKUP(L123,'G-3 Multipliers'!$L$3:$N$6,2,FALSE)=0,"Spatial Data Missing",VLOOKUP(L123,'G-3 Multipliers'!$L$3:$N$6,2,FALSE)))</f>
        <v/>
      </c>
      <c r="N123" s="505" t="str">
        <f>IF(L123="","",IF(VLOOKUP(L123,'G-3 Multipliers'!$L$3:$N$6,3,FALSE)=0,"Spatial Data Missing",VLOOKUP(L123,'G-3 Multipliers'!$L$3:$N$6,3,FALSE)))</f>
        <v/>
      </c>
      <c r="O123" s="498" t="str">
        <f t="shared" si="6"/>
        <v/>
      </c>
      <c r="P123" s="82"/>
      <c r="Q123" s="82"/>
      <c r="R123" s="507" t="str">
        <f t="shared" si="8"/>
        <v/>
      </c>
      <c r="S123" s="521" t="str">
        <f t="shared" si="9"/>
        <v/>
      </c>
      <c r="T123" s="522" t="str">
        <f>IFERROR(IF(S123="Check Data ⚠","Check Data ⚠",VLOOKUP(S123,'G-4 Temporal multipliers'!$A$4:$C$37,3,FALSE)),"")</f>
        <v/>
      </c>
      <c r="U123" s="523" t="str">
        <f>IF(F123="","",VLOOKUP(F123,'G-3 Multipliers'!$A$2:$E$129,2,FALSE))</f>
        <v/>
      </c>
      <c r="V123" s="520" t="str">
        <f t="shared" si="10"/>
        <v/>
      </c>
      <c r="W123" s="520" t="str">
        <f>IF(E123="","",IF(AND(V123="Standard difficulty applied",O123&gt;P123),U123,IF(AND(V123="Low Difficulty - only applicable if all habitat created before losses",P123&gt;=O123),"Low",VLOOKUP(F123,'G-3 Multipliers'!$A$2:$E$129,4,FALSE))))</f>
        <v/>
      </c>
      <c r="X123" s="524" t="str">
        <f>IFERROR(IF(E123="","",VLOOKUP(W123, 'G-3 Multipliers'!$P$2:$Q$6,2,FALSE)),"")</f>
        <v/>
      </c>
      <c r="Y123" s="529" t="str">
        <f t="shared" si="11"/>
        <v/>
      </c>
      <c r="Z123" s="239"/>
      <c r="AA123" s="240"/>
      <c r="AE123" s="54" t="str">
        <f t="shared" si="7"/>
        <v/>
      </c>
    </row>
    <row r="124" spans="1:31" x14ac:dyDescent="0.25">
      <c r="A124" s="47" t="str">
        <f>IFERROR(INDEX('G-8 Condition Look up'!$I$4:$I$130,MATCH(F124,'G-8 Condition Look up'!$A$4:$A$130,0)),"")</f>
        <v/>
      </c>
      <c r="C124" s="384" t="str">
        <f>IFERROR(INDEX('G-1 All Habitats'!$AG$3:$AG$15,MATCH(D124,'G-1 All Habitats'!$AF$3:$AF$15,0)),"")</f>
        <v/>
      </c>
      <c r="D124" s="146"/>
      <c r="E124" s="79"/>
      <c r="F124" s="246" t="str">
        <f>IFERROR(INDEX('G-1 All Habitats'!$B$3:$B$129,MATCH(E124,'G-1 All Habitats'!$A$3:$A$129,0)),"")</f>
        <v/>
      </c>
      <c r="G124" s="70"/>
      <c r="H124" s="498" t="str">
        <f>IF(F124="","",VLOOKUP(F124,'G-1 All Habitats'!$B$2:$M$129,10,FALSE))</f>
        <v/>
      </c>
      <c r="I124" s="499" t="str">
        <f>IFERROR(VLOOKUP(H124,'G-1 All Habitats'!$V$3:$W$7,2,FALSE),"")</f>
        <v/>
      </c>
      <c r="J124" s="71"/>
      <c r="K124" s="499" t="str">
        <f>IFERROR(INDEX('G-8 Condition Look up'!$A$3:$H$130,MATCH(F124,'G-8 Condition Look up'!$A$3:$A$130,0),MATCH(J124,'G-8 Condition Look up'!$A$3:$H$3,0)),"")</f>
        <v/>
      </c>
      <c r="L124" s="71"/>
      <c r="M124" s="507" t="str">
        <f>IF(L124="","",IF(VLOOKUP(L124,'G-3 Multipliers'!$L$3:$N$6,2,FALSE)=0,"Spatial Data Missing",VLOOKUP(L124,'G-3 Multipliers'!$L$3:$N$6,2,FALSE)))</f>
        <v/>
      </c>
      <c r="N124" s="505" t="str">
        <f>IF(L124="","",IF(VLOOKUP(L124,'G-3 Multipliers'!$L$3:$N$6,3,FALSE)=0,"Spatial Data Missing",VLOOKUP(L124,'G-3 Multipliers'!$L$3:$N$6,3,FALSE)))</f>
        <v/>
      </c>
      <c r="O124" s="498" t="str">
        <f t="shared" si="6"/>
        <v/>
      </c>
      <c r="P124" s="82"/>
      <c r="Q124" s="82"/>
      <c r="R124" s="507" t="str">
        <f t="shared" si="8"/>
        <v/>
      </c>
      <c r="S124" s="521" t="str">
        <f t="shared" si="9"/>
        <v/>
      </c>
      <c r="T124" s="522" t="str">
        <f>IFERROR(IF(S124="Check Data ⚠","Check Data ⚠",VLOOKUP(S124,'G-4 Temporal multipliers'!$A$4:$C$37,3,FALSE)),"")</f>
        <v/>
      </c>
      <c r="U124" s="523" t="str">
        <f>IF(F124="","",VLOOKUP(F124,'G-3 Multipliers'!$A$2:$E$129,2,FALSE))</f>
        <v/>
      </c>
      <c r="V124" s="520" t="str">
        <f t="shared" si="10"/>
        <v/>
      </c>
      <c r="W124" s="520" t="str">
        <f>IF(E124="","",IF(AND(V124="Standard difficulty applied",O124&gt;P124),U124,IF(AND(V124="Low Difficulty - only applicable if all habitat created before losses",P124&gt;=O124),"Low",VLOOKUP(F124,'G-3 Multipliers'!$A$2:$E$129,4,FALSE))))</f>
        <v/>
      </c>
      <c r="X124" s="524" t="str">
        <f>IFERROR(IF(E124="","",VLOOKUP(W124, 'G-3 Multipliers'!$P$2:$Q$6,2,FALSE)),"")</f>
        <v/>
      </c>
      <c r="Y124" s="529" t="str">
        <f t="shared" si="11"/>
        <v/>
      </c>
      <c r="Z124" s="239"/>
      <c r="AA124" s="240"/>
      <c r="AE124" s="54" t="str">
        <f t="shared" si="7"/>
        <v/>
      </c>
    </row>
    <row r="125" spans="1:31" x14ac:dyDescent="0.25">
      <c r="A125" s="47" t="str">
        <f>IFERROR(INDEX('G-8 Condition Look up'!$I$4:$I$130,MATCH(F125,'G-8 Condition Look up'!$A$4:$A$130,0)),"")</f>
        <v/>
      </c>
      <c r="C125" s="384" t="str">
        <f>IFERROR(INDEX('G-1 All Habitats'!$AG$3:$AG$15,MATCH(D125,'G-1 All Habitats'!$AF$3:$AF$15,0)),"")</f>
        <v/>
      </c>
      <c r="D125" s="146"/>
      <c r="E125" s="79"/>
      <c r="F125" s="246" t="str">
        <f>IFERROR(INDEX('G-1 All Habitats'!$B$3:$B$129,MATCH(E125,'G-1 All Habitats'!$A$3:$A$129,0)),"")</f>
        <v/>
      </c>
      <c r="G125" s="70"/>
      <c r="H125" s="498" t="str">
        <f>IF(F125="","",VLOOKUP(F125,'G-1 All Habitats'!$B$2:$M$129,10,FALSE))</f>
        <v/>
      </c>
      <c r="I125" s="499" t="str">
        <f>IFERROR(VLOOKUP(H125,'G-1 All Habitats'!$V$3:$W$7,2,FALSE),"")</f>
        <v/>
      </c>
      <c r="J125" s="71"/>
      <c r="K125" s="499" t="str">
        <f>IFERROR(INDEX('G-8 Condition Look up'!$A$3:$H$130,MATCH(F125,'G-8 Condition Look up'!$A$3:$A$130,0),MATCH(J125,'G-8 Condition Look up'!$A$3:$H$3,0)),"")</f>
        <v/>
      </c>
      <c r="L125" s="71"/>
      <c r="M125" s="507" t="str">
        <f>IF(L125="","",IF(VLOOKUP(L125,'G-3 Multipliers'!$L$3:$N$6,2,FALSE)=0,"Spatial Data Missing",VLOOKUP(L125,'G-3 Multipliers'!$L$3:$N$6,2,FALSE)))</f>
        <v/>
      </c>
      <c r="N125" s="505" t="str">
        <f>IF(L125="","",IF(VLOOKUP(L125,'G-3 Multipliers'!$L$3:$N$6,3,FALSE)=0,"Spatial Data Missing",VLOOKUP(L125,'G-3 Multipliers'!$L$3:$N$6,3,FALSE)))</f>
        <v/>
      </c>
      <c r="O125" s="498" t="str">
        <f t="shared" si="6"/>
        <v/>
      </c>
      <c r="P125" s="82"/>
      <c r="Q125" s="82"/>
      <c r="R125" s="507" t="str">
        <f t="shared" si="8"/>
        <v/>
      </c>
      <c r="S125" s="521" t="str">
        <f t="shared" si="9"/>
        <v/>
      </c>
      <c r="T125" s="522" t="str">
        <f>IFERROR(IF(S125="Check Data ⚠","Check Data ⚠",VLOOKUP(S125,'G-4 Temporal multipliers'!$A$4:$C$37,3,FALSE)),"")</f>
        <v/>
      </c>
      <c r="U125" s="523" t="str">
        <f>IF(F125="","",VLOOKUP(F125,'G-3 Multipliers'!$A$2:$E$129,2,FALSE))</f>
        <v/>
      </c>
      <c r="V125" s="520" t="str">
        <f t="shared" si="10"/>
        <v/>
      </c>
      <c r="W125" s="520" t="str">
        <f>IF(E125="","",IF(AND(V125="Standard difficulty applied",O125&gt;P125),U125,IF(AND(V125="Low Difficulty - only applicable if all habitat created before losses",P125&gt;=O125),"Low",VLOOKUP(F125,'G-3 Multipliers'!$A$2:$E$129,4,FALSE))))</f>
        <v/>
      </c>
      <c r="X125" s="524" t="str">
        <f>IFERROR(IF(E125="","",VLOOKUP(W125, 'G-3 Multipliers'!$P$2:$Q$6,2,FALSE)),"")</f>
        <v/>
      </c>
      <c r="Y125" s="529" t="str">
        <f t="shared" si="11"/>
        <v/>
      </c>
      <c r="Z125" s="239"/>
      <c r="AA125" s="240"/>
      <c r="AE125" s="54" t="str">
        <f t="shared" si="7"/>
        <v/>
      </c>
    </row>
    <row r="126" spans="1:31" x14ac:dyDescent="0.25">
      <c r="A126" s="47" t="str">
        <f>IFERROR(INDEX('G-8 Condition Look up'!$I$4:$I$130,MATCH(F126,'G-8 Condition Look up'!$A$4:$A$130,0)),"")</f>
        <v/>
      </c>
      <c r="C126" s="384" t="str">
        <f>IFERROR(INDEX('G-1 All Habitats'!$AG$3:$AG$15,MATCH(D126,'G-1 All Habitats'!$AF$3:$AF$15,0)),"")</f>
        <v/>
      </c>
      <c r="D126" s="146"/>
      <c r="E126" s="79"/>
      <c r="F126" s="246" t="str">
        <f>IFERROR(INDEX('G-1 All Habitats'!$B$3:$B$129,MATCH(E126,'G-1 All Habitats'!$A$3:$A$129,0)),"")</f>
        <v/>
      </c>
      <c r="G126" s="70"/>
      <c r="H126" s="498" t="str">
        <f>IF(F126="","",VLOOKUP(F126,'G-1 All Habitats'!$B$2:$M$129,10,FALSE))</f>
        <v/>
      </c>
      <c r="I126" s="499" t="str">
        <f>IFERROR(VLOOKUP(H126,'G-1 All Habitats'!$V$3:$W$7,2,FALSE),"")</f>
        <v/>
      </c>
      <c r="J126" s="71"/>
      <c r="K126" s="499" t="str">
        <f>IFERROR(INDEX('G-8 Condition Look up'!$A$3:$H$130,MATCH(F126,'G-8 Condition Look up'!$A$3:$A$130,0),MATCH(J126,'G-8 Condition Look up'!$A$3:$H$3,0)),"")</f>
        <v/>
      </c>
      <c r="L126" s="71"/>
      <c r="M126" s="507" t="str">
        <f>IF(L126="","",IF(VLOOKUP(L126,'G-3 Multipliers'!$L$3:$N$6,2,FALSE)=0,"Spatial Data Missing",VLOOKUP(L126,'G-3 Multipliers'!$L$3:$N$6,2,FALSE)))</f>
        <v/>
      </c>
      <c r="N126" s="505" t="str">
        <f>IF(L126="","",IF(VLOOKUP(L126,'G-3 Multipliers'!$L$3:$N$6,3,FALSE)=0,"Spatial Data Missing",VLOOKUP(L126,'G-3 Multipliers'!$L$3:$N$6,3,FALSE)))</f>
        <v/>
      </c>
      <c r="O126" s="498" t="str">
        <f t="shared" si="6"/>
        <v/>
      </c>
      <c r="P126" s="82"/>
      <c r="Q126" s="82"/>
      <c r="R126" s="507" t="str">
        <f t="shared" si="8"/>
        <v/>
      </c>
      <c r="S126" s="521" t="str">
        <f t="shared" si="9"/>
        <v/>
      </c>
      <c r="T126" s="522" t="str">
        <f>IFERROR(IF(S126="Check Data ⚠","Check Data ⚠",VLOOKUP(S126,'G-4 Temporal multipliers'!$A$4:$C$37,3,FALSE)),"")</f>
        <v/>
      </c>
      <c r="U126" s="523" t="str">
        <f>IF(F126="","",VLOOKUP(F126,'G-3 Multipliers'!$A$2:$E$129,2,FALSE))</f>
        <v/>
      </c>
      <c r="V126" s="520" t="str">
        <f t="shared" si="10"/>
        <v/>
      </c>
      <c r="W126" s="520" t="str">
        <f>IF(E126="","",IF(AND(V126="Standard difficulty applied",O126&gt;P126),U126,IF(AND(V126="Low Difficulty - only applicable if all habitat created before losses",P126&gt;=O126),"Low",VLOOKUP(F126,'G-3 Multipliers'!$A$2:$E$129,4,FALSE))))</f>
        <v/>
      </c>
      <c r="X126" s="524" t="str">
        <f>IFERROR(IF(E126="","",VLOOKUP(W126, 'G-3 Multipliers'!$P$2:$Q$6,2,FALSE)),"")</f>
        <v/>
      </c>
      <c r="Y126" s="529" t="str">
        <f t="shared" si="11"/>
        <v/>
      </c>
      <c r="Z126" s="239"/>
      <c r="AA126" s="240"/>
      <c r="AE126" s="54" t="str">
        <f t="shared" si="7"/>
        <v/>
      </c>
    </row>
    <row r="127" spans="1:31" x14ac:dyDescent="0.25">
      <c r="A127" s="47" t="str">
        <f>IFERROR(INDEX('G-8 Condition Look up'!$I$4:$I$130,MATCH(F127,'G-8 Condition Look up'!$A$4:$A$130,0)),"")</f>
        <v/>
      </c>
      <c r="C127" s="384" t="str">
        <f>IFERROR(INDEX('G-1 All Habitats'!$AG$3:$AG$15,MATCH(D127,'G-1 All Habitats'!$AF$3:$AF$15,0)),"")</f>
        <v/>
      </c>
      <c r="D127" s="146"/>
      <c r="E127" s="79"/>
      <c r="F127" s="246" t="str">
        <f>IFERROR(INDEX('G-1 All Habitats'!$B$3:$B$129,MATCH(E127,'G-1 All Habitats'!$A$3:$A$129,0)),"")</f>
        <v/>
      </c>
      <c r="G127" s="70"/>
      <c r="H127" s="498" t="str">
        <f>IF(F127="","",VLOOKUP(F127,'G-1 All Habitats'!$B$2:$M$129,10,FALSE))</f>
        <v/>
      </c>
      <c r="I127" s="499" t="str">
        <f>IFERROR(VLOOKUP(H127,'G-1 All Habitats'!$V$3:$W$7,2,FALSE),"")</f>
        <v/>
      </c>
      <c r="J127" s="71"/>
      <c r="K127" s="499" t="str">
        <f>IFERROR(INDEX('G-8 Condition Look up'!$A$3:$H$130,MATCH(F127,'G-8 Condition Look up'!$A$3:$A$130,0),MATCH(J127,'G-8 Condition Look up'!$A$3:$H$3,0)),"")</f>
        <v/>
      </c>
      <c r="L127" s="71"/>
      <c r="M127" s="507" t="str">
        <f>IF(L127="","",IF(VLOOKUP(L127,'G-3 Multipliers'!$L$3:$N$6,2,FALSE)=0,"Spatial Data Missing",VLOOKUP(L127,'G-3 Multipliers'!$L$3:$N$6,2,FALSE)))</f>
        <v/>
      </c>
      <c r="N127" s="505" t="str">
        <f>IF(L127="","",IF(VLOOKUP(L127,'G-3 Multipliers'!$L$3:$N$6,3,FALSE)=0,"Spatial Data Missing",VLOOKUP(L127,'G-3 Multipliers'!$L$3:$N$6,3,FALSE)))</f>
        <v/>
      </c>
      <c r="O127" s="498" t="str">
        <f t="shared" si="6"/>
        <v/>
      </c>
      <c r="P127" s="82"/>
      <c r="Q127" s="82"/>
      <c r="R127" s="507" t="str">
        <f t="shared" si="8"/>
        <v/>
      </c>
      <c r="S127" s="521" t="str">
        <f t="shared" si="9"/>
        <v/>
      </c>
      <c r="T127" s="522" t="str">
        <f>IFERROR(IF(S127="Check Data ⚠","Check Data ⚠",VLOOKUP(S127,'G-4 Temporal multipliers'!$A$4:$C$37,3,FALSE)),"")</f>
        <v/>
      </c>
      <c r="U127" s="523" t="str">
        <f>IF(F127="","",VLOOKUP(F127,'G-3 Multipliers'!$A$2:$E$129,2,FALSE))</f>
        <v/>
      </c>
      <c r="V127" s="520" t="str">
        <f t="shared" si="10"/>
        <v/>
      </c>
      <c r="W127" s="520" t="str">
        <f>IF(E127="","",IF(AND(V127="Standard difficulty applied",O127&gt;P127),U127,IF(AND(V127="Low Difficulty - only applicable if all habitat created before losses",P127&gt;=O127),"Low",VLOOKUP(F127,'G-3 Multipliers'!$A$2:$E$129,4,FALSE))))</f>
        <v/>
      </c>
      <c r="X127" s="524" t="str">
        <f>IFERROR(IF(E127="","",VLOOKUP(W127, 'G-3 Multipliers'!$P$2:$Q$6,2,FALSE)),"")</f>
        <v/>
      </c>
      <c r="Y127" s="529" t="str">
        <f t="shared" si="11"/>
        <v/>
      </c>
      <c r="Z127" s="239"/>
      <c r="AA127" s="240"/>
      <c r="AE127" s="54" t="str">
        <f t="shared" si="7"/>
        <v/>
      </c>
    </row>
    <row r="128" spans="1:31" x14ac:dyDescent="0.25">
      <c r="A128" s="47" t="str">
        <f>IFERROR(INDEX('G-8 Condition Look up'!$I$4:$I$130,MATCH(F128,'G-8 Condition Look up'!$A$4:$A$130,0)),"")</f>
        <v/>
      </c>
      <c r="C128" s="384" t="str">
        <f>IFERROR(INDEX('G-1 All Habitats'!$AG$3:$AG$15,MATCH(D128,'G-1 All Habitats'!$AF$3:$AF$15,0)),"")</f>
        <v/>
      </c>
      <c r="D128" s="146"/>
      <c r="E128" s="79"/>
      <c r="F128" s="246" t="str">
        <f>IFERROR(INDEX('G-1 All Habitats'!$B$3:$B$129,MATCH(E128,'G-1 All Habitats'!$A$3:$A$129,0)),"")</f>
        <v/>
      </c>
      <c r="G128" s="70"/>
      <c r="H128" s="498" t="str">
        <f>IF(F128="","",VLOOKUP(F128,'G-1 All Habitats'!$B$2:$M$129,10,FALSE))</f>
        <v/>
      </c>
      <c r="I128" s="499" t="str">
        <f>IFERROR(VLOOKUP(H128,'G-1 All Habitats'!$V$3:$W$7,2,FALSE),"")</f>
        <v/>
      </c>
      <c r="J128" s="71"/>
      <c r="K128" s="499" t="str">
        <f>IFERROR(INDEX('G-8 Condition Look up'!$A$3:$H$130,MATCH(F128,'G-8 Condition Look up'!$A$3:$A$130,0),MATCH(J128,'G-8 Condition Look up'!$A$3:$H$3,0)),"")</f>
        <v/>
      </c>
      <c r="L128" s="71"/>
      <c r="M128" s="507" t="str">
        <f>IF(L128="","",IF(VLOOKUP(L128,'G-3 Multipliers'!$L$3:$N$6,2,FALSE)=0,"Spatial Data Missing",VLOOKUP(L128,'G-3 Multipliers'!$L$3:$N$6,2,FALSE)))</f>
        <v/>
      </c>
      <c r="N128" s="505" t="str">
        <f>IF(L128="","",IF(VLOOKUP(L128,'G-3 Multipliers'!$L$3:$N$6,3,FALSE)=0,"Spatial Data Missing",VLOOKUP(L128,'G-3 Multipliers'!$L$3:$N$6,3,FALSE)))</f>
        <v/>
      </c>
      <c r="O128" s="498" t="str">
        <f t="shared" si="6"/>
        <v/>
      </c>
      <c r="P128" s="82"/>
      <c r="Q128" s="82"/>
      <c r="R128" s="507" t="str">
        <f t="shared" si="8"/>
        <v/>
      </c>
      <c r="S128" s="521" t="str">
        <f t="shared" si="9"/>
        <v/>
      </c>
      <c r="T128" s="522" t="str">
        <f>IFERROR(IF(S128="Check Data ⚠","Check Data ⚠",VLOOKUP(S128,'G-4 Temporal multipliers'!$A$4:$C$37,3,FALSE)),"")</f>
        <v/>
      </c>
      <c r="U128" s="523" t="str">
        <f>IF(F128="","",VLOOKUP(F128,'G-3 Multipliers'!$A$2:$E$129,2,FALSE))</f>
        <v/>
      </c>
      <c r="V128" s="520" t="str">
        <f t="shared" si="10"/>
        <v/>
      </c>
      <c r="W128" s="520" t="str">
        <f>IF(E128="","",IF(AND(V128="Standard difficulty applied",O128&gt;P128),U128,IF(AND(V128="Low Difficulty - only applicable if all habitat created before losses",P128&gt;=O128),"Low",VLOOKUP(F128,'G-3 Multipliers'!$A$2:$E$129,4,FALSE))))</f>
        <v/>
      </c>
      <c r="X128" s="524" t="str">
        <f>IFERROR(IF(E128="","",VLOOKUP(W128, 'G-3 Multipliers'!$P$2:$Q$6,2,FALSE)),"")</f>
        <v/>
      </c>
      <c r="Y128" s="529" t="str">
        <f t="shared" si="11"/>
        <v/>
      </c>
      <c r="Z128" s="239"/>
      <c r="AA128" s="240"/>
      <c r="AE128" s="54" t="str">
        <f t="shared" si="7"/>
        <v/>
      </c>
    </row>
    <row r="129" spans="1:31" x14ac:dyDescent="0.25">
      <c r="A129" s="47" t="str">
        <f>IFERROR(INDEX('G-8 Condition Look up'!$I$4:$I$130,MATCH(F129,'G-8 Condition Look up'!$A$4:$A$130,0)),"")</f>
        <v/>
      </c>
      <c r="C129" s="384" t="str">
        <f>IFERROR(INDEX('G-1 All Habitats'!$AG$3:$AG$15,MATCH(D129,'G-1 All Habitats'!$AF$3:$AF$15,0)),"")</f>
        <v/>
      </c>
      <c r="D129" s="146"/>
      <c r="E129" s="79"/>
      <c r="F129" s="246" t="str">
        <f>IFERROR(INDEX('G-1 All Habitats'!$B$3:$B$129,MATCH(E129,'G-1 All Habitats'!$A$3:$A$129,0)),"")</f>
        <v/>
      </c>
      <c r="G129" s="70"/>
      <c r="H129" s="498" t="str">
        <f>IF(F129="","",VLOOKUP(F129,'G-1 All Habitats'!$B$2:$M$129,10,FALSE))</f>
        <v/>
      </c>
      <c r="I129" s="499" t="str">
        <f>IFERROR(VLOOKUP(H129,'G-1 All Habitats'!$V$3:$W$7,2,FALSE),"")</f>
        <v/>
      </c>
      <c r="J129" s="71"/>
      <c r="K129" s="499" t="str">
        <f>IFERROR(INDEX('G-8 Condition Look up'!$A$3:$H$130,MATCH(F129,'G-8 Condition Look up'!$A$3:$A$130,0),MATCH(J129,'G-8 Condition Look up'!$A$3:$H$3,0)),"")</f>
        <v/>
      </c>
      <c r="L129" s="71"/>
      <c r="M129" s="507" t="str">
        <f>IF(L129="","",IF(VLOOKUP(L129,'G-3 Multipliers'!$L$3:$N$6,2,FALSE)=0,"Spatial Data Missing",VLOOKUP(L129,'G-3 Multipliers'!$L$3:$N$6,2,FALSE)))</f>
        <v/>
      </c>
      <c r="N129" s="505" t="str">
        <f>IF(L129="","",IF(VLOOKUP(L129,'G-3 Multipliers'!$L$3:$N$6,3,FALSE)=0,"Spatial Data Missing",VLOOKUP(L129,'G-3 Multipliers'!$L$3:$N$6,3,FALSE)))</f>
        <v/>
      </c>
      <c r="O129" s="498" t="str">
        <f t="shared" si="6"/>
        <v/>
      </c>
      <c r="P129" s="82"/>
      <c r="Q129" s="82"/>
      <c r="R129" s="507" t="str">
        <f t="shared" si="8"/>
        <v/>
      </c>
      <c r="S129" s="521" t="str">
        <f t="shared" si="9"/>
        <v/>
      </c>
      <c r="T129" s="522" t="str">
        <f>IFERROR(IF(S129="Check Data ⚠","Check Data ⚠",VLOOKUP(S129,'G-4 Temporal multipliers'!$A$4:$C$37,3,FALSE)),"")</f>
        <v/>
      </c>
      <c r="U129" s="523" t="str">
        <f>IF(F129="","",VLOOKUP(F129,'G-3 Multipliers'!$A$2:$E$129,2,FALSE))</f>
        <v/>
      </c>
      <c r="V129" s="520" t="str">
        <f t="shared" si="10"/>
        <v/>
      </c>
      <c r="W129" s="520" t="str">
        <f>IF(E129="","",IF(AND(V129="Standard difficulty applied",O129&gt;P129),U129,IF(AND(V129="Low Difficulty - only applicable if all habitat created before losses",P129&gt;=O129),"Low",VLOOKUP(F129,'G-3 Multipliers'!$A$2:$E$129,4,FALSE))))</f>
        <v/>
      </c>
      <c r="X129" s="524" t="str">
        <f>IFERROR(IF(E129="","",VLOOKUP(W129, 'G-3 Multipliers'!$P$2:$Q$6,2,FALSE)),"")</f>
        <v/>
      </c>
      <c r="Y129" s="529" t="str">
        <f t="shared" si="11"/>
        <v/>
      </c>
      <c r="Z129" s="239"/>
      <c r="AA129" s="240"/>
      <c r="AE129" s="54" t="str">
        <f t="shared" si="7"/>
        <v/>
      </c>
    </row>
    <row r="130" spans="1:31" x14ac:dyDescent="0.25">
      <c r="A130" s="47" t="str">
        <f>IFERROR(INDEX('G-8 Condition Look up'!$I$4:$I$130,MATCH(F130,'G-8 Condition Look up'!$A$4:$A$130,0)),"")</f>
        <v/>
      </c>
      <c r="C130" s="384" t="str">
        <f>IFERROR(INDEX('G-1 All Habitats'!$AG$3:$AG$15,MATCH(D130,'G-1 All Habitats'!$AF$3:$AF$15,0)),"")</f>
        <v/>
      </c>
      <c r="D130" s="146"/>
      <c r="E130" s="79"/>
      <c r="F130" s="246" t="str">
        <f>IFERROR(INDEX('G-1 All Habitats'!$B$3:$B$129,MATCH(E130,'G-1 All Habitats'!$A$3:$A$129,0)),"")</f>
        <v/>
      </c>
      <c r="G130" s="70"/>
      <c r="H130" s="498" t="str">
        <f>IF(F130="","",VLOOKUP(F130,'G-1 All Habitats'!$B$2:$M$129,10,FALSE))</f>
        <v/>
      </c>
      <c r="I130" s="499" t="str">
        <f>IFERROR(VLOOKUP(H130,'G-1 All Habitats'!$V$3:$W$7,2,FALSE),"")</f>
        <v/>
      </c>
      <c r="J130" s="71"/>
      <c r="K130" s="499" t="str">
        <f>IFERROR(INDEX('G-8 Condition Look up'!$A$3:$H$130,MATCH(F130,'G-8 Condition Look up'!$A$3:$A$130,0),MATCH(J130,'G-8 Condition Look up'!$A$3:$H$3,0)),"")</f>
        <v/>
      </c>
      <c r="L130" s="71"/>
      <c r="M130" s="507" t="str">
        <f>IF(L130="","",IF(VLOOKUP(L130,'G-3 Multipliers'!$L$3:$N$6,2,FALSE)=0,"Spatial Data Missing",VLOOKUP(L130,'G-3 Multipliers'!$L$3:$N$6,2,FALSE)))</f>
        <v/>
      </c>
      <c r="N130" s="505" t="str">
        <f>IF(L130="","",IF(VLOOKUP(L130,'G-3 Multipliers'!$L$3:$N$6,3,FALSE)=0,"Spatial Data Missing",VLOOKUP(L130,'G-3 Multipliers'!$L$3:$N$6,3,FALSE)))</f>
        <v/>
      </c>
      <c r="O130" s="498" t="str">
        <f t="shared" si="6"/>
        <v/>
      </c>
      <c r="P130" s="82"/>
      <c r="Q130" s="82"/>
      <c r="R130" s="507" t="str">
        <f t="shared" si="8"/>
        <v/>
      </c>
      <c r="S130" s="521" t="str">
        <f t="shared" si="9"/>
        <v/>
      </c>
      <c r="T130" s="522" t="str">
        <f>IFERROR(IF(S130="Check Data ⚠","Check Data ⚠",VLOOKUP(S130,'G-4 Temporal multipliers'!$A$4:$C$37,3,FALSE)),"")</f>
        <v/>
      </c>
      <c r="U130" s="523" t="str">
        <f>IF(F130="","",VLOOKUP(F130,'G-3 Multipliers'!$A$2:$E$129,2,FALSE))</f>
        <v/>
      </c>
      <c r="V130" s="520" t="str">
        <f t="shared" si="10"/>
        <v/>
      </c>
      <c r="W130" s="520" t="str">
        <f>IF(E130="","",IF(AND(V130="Standard difficulty applied",O130&gt;P130),U130,IF(AND(V130="Low Difficulty - only applicable if all habitat created before losses",P130&gt;=O130),"Low",VLOOKUP(F130,'G-3 Multipliers'!$A$2:$E$129,4,FALSE))))</f>
        <v/>
      </c>
      <c r="X130" s="524" t="str">
        <f>IFERROR(IF(E130="","",VLOOKUP(W130, 'G-3 Multipliers'!$P$2:$Q$6,2,FALSE)),"")</f>
        <v/>
      </c>
      <c r="Y130" s="529" t="str">
        <f t="shared" si="11"/>
        <v/>
      </c>
      <c r="Z130" s="239"/>
      <c r="AA130" s="240"/>
      <c r="AE130" s="54" t="str">
        <f t="shared" si="7"/>
        <v/>
      </c>
    </row>
    <row r="131" spans="1:31" x14ac:dyDescent="0.25">
      <c r="A131" s="47" t="str">
        <f>IFERROR(INDEX('G-8 Condition Look up'!$I$4:$I$130,MATCH(F131,'G-8 Condition Look up'!$A$4:$A$130,0)),"")</f>
        <v/>
      </c>
      <c r="C131" s="384" t="str">
        <f>IFERROR(INDEX('G-1 All Habitats'!$AG$3:$AG$15,MATCH(D131,'G-1 All Habitats'!$AF$3:$AF$15,0)),"")</f>
        <v/>
      </c>
      <c r="D131" s="146"/>
      <c r="E131" s="79"/>
      <c r="F131" s="246" t="str">
        <f>IFERROR(INDEX('G-1 All Habitats'!$B$3:$B$129,MATCH(E131,'G-1 All Habitats'!$A$3:$A$129,0)),"")</f>
        <v/>
      </c>
      <c r="G131" s="70"/>
      <c r="H131" s="498" t="str">
        <f>IF(F131="","",VLOOKUP(F131,'G-1 All Habitats'!$B$2:$M$129,10,FALSE))</f>
        <v/>
      </c>
      <c r="I131" s="499" t="str">
        <f>IFERROR(VLOOKUP(H131,'G-1 All Habitats'!$V$3:$W$7,2,FALSE),"")</f>
        <v/>
      </c>
      <c r="J131" s="71"/>
      <c r="K131" s="499" t="str">
        <f>IFERROR(INDEX('G-8 Condition Look up'!$A$3:$H$130,MATCH(F131,'G-8 Condition Look up'!$A$3:$A$130,0),MATCH(J131,'G-8 Condition Look up'!$A$3:$H$3,0)),"")</f>
        <v/>
      </c>
      <c r="L131" s="71"/>
      <c r="M131" s="507" t="str">
        <f>IF(L131="","",IF(VLOOKUP(L131,'G-3 Multipliers'!$L$3:$N$6,2,FALSE)=0,"Spatial Data Missing",VLOOKUP(L131,'G-3 Multipliers'!$L$3:$N$6,2,FALSE)))</f>
        <v/>
      </c>
      <c r="N131" s="505" t="str">
        <f>IF(L131="","",IF(VLOOKUP(L131,'G-3 Multipliers'!$L$3:$N$6,3,FALSE)=0,"Spatial Data Missing",VLOOKUP(L131,'G-3 Multipliers'!$L$3:$N$6,3,FALSE)))</f>
        <v/>
      </c>
      <c r="O131" s="498" t="str">
        <f t="shared" si="6"/>
        <v/>
      </c>
      <c r="P131" s="82"/>
      <c r="Q131" s="82"/>
      <c r="R131" s="507" t="str">
        <f t="shared" si="8"/>
        <v/>
      </c>
      <c r="S131" s="521" t="str">
        <f t="shared" si="9"/>
        <v/>
      </c>
      <c r="T131" s="522" t="str">
        <f>IFERROR(IF(S131="Check Data ⚠","Check Data ⚠",VLOOKUP(S131,'G-4 Temporal multipliers'!$A$4:$C$37,3,FALSE)),"")</f>
        <v/>
      </c>
      <c r="U131" s="523" t="str">
        <f>IF(F131="","",VLOOKUP(F131,'G-3 Multipliers'!$A$2:$E$129,2,FALSE))</f>
        <v/>
      </c>
      <c r="V131" s="520" t="str">
        <f t="shared" si="10"/>
        <v/>
      </c>
      <c r="W131" s="520" t="str">
        <f>IF(E131="","",IF(AND(V131="Standard difficulty applied",O131&gt;P131),U131,IF(AND(V131="Low Difficulty - only applicable if all habitat created before losses",P131&gt;=O131),"Low",VLOOKUP(F131,'G-3 Multipliers'!$A$2:$E$129,4,FALSE))))</f>
        <v/>
      </c>
      <c r="X131" s="524" t="str">
        <f>IFERROR(IF(E131="","",VLOOKUP(W131, 'G-3 Multipliers'!$P$2:$Q$6,2,FALSE)),"")</f>
        <v/>
      </c>
      <c r="Y131" s="529" t="str">
        <f t="shared" si="11"/>
        <v/>
      </c>
      <c r="Z131" s="239"/>
      <c r="AA131" s="240"/>
      <c r="AE131" s="54" t="str">
        <f t="shared" si="7"/>
        <v/>
      </c>
    </row>
    <row r="132" spans="1:31" x14ac:dyDescent="0.25">
      <c r="A132" s="47" t="str">
        <f>IFERROR(INDEX('G-8 Condition Look up'!$I$4:$I$130,MATCH(F132,'G-8 Condition Look up'!$A$4:$A$130,0)),"")</f>
        <v/>
      </c>
      <c r="C132" s="384" t="str">
        <f>IFERROR(INDEX('G-1 All Habitats'!$AG$3:$AG$15,MATCH(D132,'G-1 All Habitats'!$AF$3:$AF$15,0)),"")</f>
        <v/>
      </c>
      <c r="D132" s="146"/>
      <c r="E132" s="79"/>
      <c r="F132" s="246" t="str">
        <f>IFERROR(INDEX('G-1 All Habitats'!$B$3:$B$129,MATCH(E132,'G-1 All Habitats'!$A$3:$A$129,0)),"")</f>
        <v/>
      </c>
      <c r="G132" s="70"/>
      <c r="H132" s="498" t="str">
        <f>IF(F132="","",VLOOKUP(F132,'G-1 All Habitats'!$B$2:$M$129,10,FALSE))</f>
        <v/>
      </c>
      <c r="I132" s="499" t="str">
        <f>IFERROR(VLOOKUP(H132,'G-1 All Habitats'!$V$3:$W$7,2,FALSE),"")</f>
        <v/>
      </c>
      <c r="J132" s="71"/>
      <c r="K132" s="499" t="str">
        <f>IFERROR(INDEX('G-8 Condition Look up'!$A$3:$H$130,MATCH(F132,'G-8 Condition Look up'!$A$3:$A$130,0),MATCH(J132,'G-8 Condition Look up'!$A$3:$H$3,0)),"")</f>
        <v/>
      </c>
      <c r="L132" s="71"/>
      <c r="M132" s="507" t="str">
        <f>IF(L132="","",IF(VLOOKUP(L132,'G-3 Multipliers'!$L$3:$N$6,2,FALSE)=0,"Spatial Data Missing",VLOOKUP(L132,'G-3 Multipliers'!$L$3:$N$6,2,FALSE)))</f>
        <v/>
      </c>
      <c r="N132" s="505" t="str">
        <f>IF(L132="","",IF(VLOOKUP(L132,'G-3 Multipliers'!$L$3:$N$6,3,FALSE)=0,"Spatial Data Missing",VLOOKUP(L132,'G-3 Multipliers'!$L$3:$N$6,3,FALSE)))</f>
        <v/>
      </c>
      <c r="O132" s="498" t="str">
        <f t="shared" si="6"/>
        <v/>
      </c>
      <c r="P132" s="82"/>
      <c r="Q132" s="82"/>
      <c r="R132" s="507" t="str">
        <f t="shared" si="8"/>
        <v/>
      </c>
      <c r="S132" s="521" t="str">
        <f t="shared" si="9"/>
        <v/>
      </c>
      <c r="T132" s="522" t="str">
        <f>IFERROR(IF(S132="Check Data ⚠","Check Data ⚠",VLOOKUP(S132,'G-4 Temporal multipliers'!$A$4:$C$37,3,FALSE)),"")</f>
        <v/>
      </c>
      <c r="U132" s="523" t="str">
        <f>IF(F132="","",VLOOKUP(F132,'G-3 Multipliers'!$A$2:$E$129,2,FALSE))</f>
        <v/>
      </c>
      <c r="V132" s="520" t="str">
        <f t="shared" si="10"/>
        <v/>
      </c>
      <c r="W132" s="520" t="str">
        <f>IF(E132="","",IF(AND(V132="Standard difficulty applied",O132&gt;P132),U132,IF(AND(V132="Low Difficulty - only applicable if all habitat created before losses",P132&gt;=O132),"Low",VLOOKUP(F132,'G-3 Multipliers'!$A$2:$E$129,4,FALSE))))</f>
        <v/>
      </c>
      <c r="X132" s="524" t="str">
        <f>IFERROR(IF(E132="","",VLOOKUP(W132, 'G-3 Multipliers'!$P$2:$Q$6,2,FALSE)),"")</f>
        <v/>
      </c>
      <c r="Y132" s="529" t="str">
        <f t="shared" si="11"/>
        <v/>
      </c>
      <c r="Z132" s="239"/>
      <c r="AA132" s="240"/>
      <c r="AE132" s="54" t="str">
        <f t="shared" si="7"/>
        <v/>
      </c>
    </row>
    <row r="133" spans="1:31" x14ac:dyDescent="0.25">
      <c r="A133" s="47" t="str">
        <f>IFERROR(INDEX('G-8 Condition Look up'!$I$4:$I$130,MATCH(F133,'G-8 Condition Look up'!$A$4:$A$130,0)),"")</f>
        <v/>
      </c>
      <c r="C133" s="384" t="str">
        <f>IFERROR(INDEX('G-1 All Habitats'!$AG$3:$AG$15,MATCH(D133,'G-1 All Habitats'!$AF$3:$AF$15,0)),"")</f>
        <v/>
      </c>
      <c r="D133" s="146"/>
      <c r="E133" s="79"/>
      <c r="F133" s="246" t="str">
        <f>IFERROR(INDEX('G-1 All Habitats'!$B$3:$B$129,MATCH(E133,'G-1 All Habitats'!$A$3:$A$129,0)),"")</f>
        <v/>
      </c>
      <c r="G133" s="70"/>
      <c r="H133" s="498" t="str">
        <f>IF(F133="","",VLOOKUP(F133,'G-1 All Habitats'!$B$2:$M$129,10,FALSE))</f>
        <v/>
      </c>
      <c r="I133" s="499" t="str">
        <f>IFERROR(VLOOKUP(H133,'G-1 All Habitats'!$V$3:$W$7,2,FALSE),"")</f>
        <v/>
      </c>
      <c r="J133" s="71"/>
      <c r="K133" s="499" t="str">
        <f>IFERROR(INDEX('G-8 Condition Look up'!$A$3:$H$130,MATCH(F133,'G-8 Condition Look up'!$A$3:$A$130,0),MATCH(J133,'G-8 Condition Look up'!$A$3:$H$3,0)),"")</f>
        <v/>
      </c>
      <c r="L133" s="71"/>
      <c r="M133" s="507" t="str">
        <f>IF(L133="","",IF(VLOOKUP(L133,'G-3 Multipliers'!$L$3:$N$6,2,FALSE)=0,"Spatial Data Missing",VLOOKUP(L133,'G-3 Multipliers'!$L$3:$N$6,2,FALSE)))</f>
        <v/>
      </c>
      <c r="N133" s="505" t="str">
        <f>IF(L133="","",IF(VLOOKUP(L133,'G-3 Multipliers'!$L$3:$N$6,3,FALSE)=0,"Spatial Data Missing",VLOOKUP(L133,'G-3 Multipliers'!$L$3:$N$6,3,FALSE)))</f>
        <v/>
      </c>
      <c r="O133" s="498" t="str">
        <f t="shared" si="6"/>
        <v/>
      </c>
      <c r="P133" s="82"/>
      <c r="Q133" s="82"/>
      <c r="R133" s="507" t="str">
        <f t="shared" si="8"/>
        <v/>
      </c>
      <c r="S133" s="521" t="str">
        <f t="shared" si="9"/>
        <v/>
      </c>
      <c r="T133" s="522" t="str">
        <f>IFERROR(IF(S133="Check Data ⚠","Check Data ⚠",VLOOKUP(S133,'G-4 Temporal multipliers'!$A$4:$C$37,3,FALSE)),"")</f>
        <v/>
      </c>
      <c r="U133" s="523" t="str">
        <f>IF(F133="","",VLOOKUP(F133,'G-3 Multipliers'!$A$2:$E$129,2,FALSE))</f>
        <v/>
      </c>
      <c r="V133" s="520" t="str">
        <f t="shared" si="10"/>
        <v/>
      </c>
      <c r="W133" s="520" t="str">
        <f>IF(E133="","",IF(AND(V133="Standard difficulty applied",O133&gt;P133),U133,IF(AND(V133="Low Difficulty - only applicable if all habitat created before losses",P133&gt;=O133),"Low",VLOOKUP(F133,'G-3 Multipliers'!$A$2:$E$129,4,FALSE))))</f>
        <v/>
      </c>
      <c r="X133" s="524" t="str">
        <f>IFERROR(IF(E133="","",VLOOKUP(W133, 'G-3 Multipliers'!$P$2:$Q$6,2,FALSE)),"")</f>
        <v/>
      </c>
      <c r="Y133" s="529" t="str">
        <f t="shared" si="11"/>
        <v/>
      </c>
      <c r="Z133" s="239"/>
      <c r="AA133" s="240"/>
      <c r="AE133" s="54" t="str">
        <f t="shared" si="7"/>
        <v/>
      </c>
    </row>
    <row r="134" spans="1:31" x14ac:dyDescent="0.25">
      <c r="A134" s="47" t="str">
        <f>IFERROR(INDEX('G-8 Condition Look up'!$I$4:$I$130,MATCH(F134,'G-8 Condition Look up'!$A$4:$A$130,0)),"")</f>
        <v/>
      </c>
      <c r="C134" s="384" t="str">
        <f>IFERROR(INDEX('G-1 All Habitats'!$AG$3:$AG$15,MATCH(D134,'G-1 All Habitats'!$AF$3:$AF$15,0)),"")</f>
        <v/>
      </c>
      <c r="D134" s="146"/>
      <c r="E134" s="79"/>
      <c r="F134" s="246" t="str">
        <f>IFERROR(INDEX('G-1 All Habitats'!$B$3:$B$129,MATCH(E134,'G-1 All Habitats'!$A$3:$A$129,0)),"")</f>
        <v/>
      </c>
      <c r="G134" s="70"/>
      <c r="H134" s="498" t="str">
        <f>IF(F134="","",VLOOKUP(F134,'G-1 All Habitats'!$B$2:$M$129,10,FALSE))</f>
        <v/>
      </c>
      <c r="I134" s="499" t="str">
        <f>IFERROR(VLOOKUP(H134,'G-1 All Habitats'!$V$3:$W$7,2,FALSE),"")</f>
        <v/>
      </c>
      <c r="J134" s="71"/>
      <c r="K134" s="499" t="str">
        <f>IFERROR(INDEX('G-8 Condition Look up'!$A$3:$H$130,MATCH(F134,'G-8 Condition Look up'!$A$3:$A$130,0),MATCH(J134,'G-8 Condition Look up'!$A$3:$H$3,0)),"")</f>
        <v/>
      </c>
      <c r="L134" s="71"/>
      <c r="M134" s="507" t="str">
        <f>IF(L134="","",IF(VLOOKUP(L134,'G-3 Multipliers'!$L$3:$N$6,2,FALSE)=0,"Spatial Data Missing",VLOOKUP(L134,'G-3 Multipliers'!$L$3:$N$6,2,FALSE)))</f>
        <v/>
      </c>
      <c r="N134" s="505" t="str">
        <f>IF(L134="","",IF(VLOOKUP(L134,'G-3 Multipliers'!$L$3:$N$6,3,FALSE)=0,"Spatial Data Missing",VLOOKUP(L134,'G-3 Multipliers'!$L$3:$N$6,3,FALSE)))</f>
        <v/>
      </c>
      <c r="O134" s="498" t="str">
        <f t="shared" si="6"/>
        <v/>
      </c>
      <c r="P134" s="82"/>
      <c r="Q134" s="82"/>
      <c r="R134" s="507" t="str">
        <f t="shared" si="8"/>
        <v/>
      </c>
      <c r="S134" s="521" t="str">
        <f t="shared" si="9"/>
        <v/>
      </c>
      <c r="T134" s="522" t="str">
        <f>IFERROR(IF(S134="Check Data ⚠","Check Data ⚠",VLOOKUP(S134,'G-4 Temporal multipliers'!$A$4:$C$37,3,FALSE)),"")</f>
        <v/>
      </c>
      <c r="U134" s="523" t="str">
        <f>IF(F134="","",VLOOKUP(F134,'G-3 Multipliers'!$A$2:$E$129,2,FALSE))</f>
        <v/>
      </c>
      <c r="V134" s="520" t="str">
        <f t="shared" si="10"/>
        <v/>
      </c>
      <c r="W134" s="520" t="str">
        <f>IF(E134="","",IF(AND(V134="Standard difficulty applied",O134&gt;P134),U134,IF(AND(V134="Low Difficulty - only applicable if all habitat created before losses",P134&gt;=O134),"Low",VLOOKUP(F134,'G-3 Multipliers'!$A$2:$E$129,4,FALSE))))</f>
        <v/>
      </c>
      <c r="X134" s="524" t="str">
        <f>IFERROR(IF(E134="","",VLOOKUP(W134, 'G-3 Multipliers'!$P$2:$Q$6,2,FALSE)),"")</f>
        <v/>
      </c>
      <c r="Y134" s="529" t="str">
        <f t="shared" si="11"/>
        <v/>
      </c>
      <c r="Z134" s="239"/>
      <c r="AA134" s="240"/>
      <c r="AE134" s="54" t="str">
        <f t="shared" si="7"/>
        <v/>
      </c>
    </row>
    <row r="135" spans="1:31" x14ac:dyDescent="0.25">
      <c r="A135" s="47" t="str">
        <f>IFERROR(INDEX('G-8 Condition Look up'!$I$4:$I$130,MATCH(F135,'G-8 Condition Look up'!$A$4:$A$130,0)),"")</f>
        <v/>
      </c>
      <c r="C135" s="384" t="str">
        <f>IFERROR(INDEX('G-1 All Habitats'!$AG$3:$AG$15,MATCH(D135,'G-1 All Habitats'!$AF$3:$AF$15,0)),"")</f>
        <v/>
      </c>
      <c r="D135" s="146"/>
      <c r="E135" s="79"/>
      <c r="F135" s="246" t="str">
        <f>IFERROR(INDEX('G-1 All Habitats'!$B$3:$B$129,MATCH(E135,'G-1 All Habitats'!$A$3:$A$129,0)),"")</f>
        <v/>
      </c>
      <c r="G135" s="70"/>
      <c r="H135" s="498" t="str">
        <f>IF(F135="","",VLOOKUP(F135,'G-1 All Habitats'!$B$2:$M$129,10,FALSE))</f>
        <v/>
      </c>
      <c r="I135" s="499" t="str">
        <f>IFERROR(VLOOKUP(H135,'G-1 All Habitats'!$V$3:$W$7,2,FALSE),"")</f>
        <v/>
      </c>
      <c r="J135" s="71"/>
      <c r="K135" s="499" t="str">
        <f>IFERROR(INDEX('G-8 Condition Look up'!$A$3:$H$130,MATCH(F135,'G-8 Condition Look up'!$A$3:$A$130,0),MATCH(J135,'G-8 Condition Look up'!$A$3:$H$3,0)),"")</f>
        <v/>
      </c>
      <c r="L135" s="71"/>
      <c r="M135" s="507" t="str">
        <f>IF(L135="","",IF(VLOOKUP(L135,'G-3 Multipliers'!$L$3:$N$6,2,FALSE)=0,"Spatial Data Missing",VLOOKUP(L135,'G-3 Multipliers'!$L$3:$N$6,2,FALSE)))</f>
        <v/>
      </c>
      <c r="N135" s="505" t="str">
        <f>IF(L135="","",IF(VLOOKUP(L135,'G-3 Multipliers'!$L$3:$N$6,3,FALSE)=0,"Spatial Data Missing",VLOOKUP(L135,'G-3 Multipliers'!$L$3:$N$6,3,FALSE)))</f>
        <v/>
      </c>
      <c r="O135" s="498" t="str">
        <f t="shared" si="6"/>
        <v/>
      </c>
      <c r="P135" s="82"/>
      <c r="Q135" s="82"/>
      <c r="R135" s="507" t="str">
        <f t="shared" si="8"/>
        <v/>
      </c>
      <c r="S135" s="521" t="str">
        <f t="shared" si="9"/>
        <v/>
      </c>
      <c r="T135" s="522" t="str">
        <f>IFERROR(IF(S135="Check Data ⚠","Check Data ⚠",VLOOKUP(S135,'G-4 Temporal multipliers'!$A$4:$C$37,3,FALSE)),"")</f>
        <v/>
      </c>
      <c r="U135" s="523" t="str">
        <f>IF(F135="","",VLOOKUP(F135,'G-3 Multipliers'!$A$2:$E$129,2,FALSE))</f>
        <v/>
      </c>
      <c r="V135" s="520" t="str">
        <f t="shared" si="10"/>
        <v/>
      </c>
      <c r="W135" s="520" t="str">
        <f>IF(E135="","",IF(AND(V135="Standard difficulty applied",O135&gt;P135),U135,IF(AND(V135="Low Difficulty - only applicable if all habitat created before losses",P135&gt;=O135),"Low",VLOOKUP(F135,'G-3 Multipliers'!$A$2:$E$129,4,FALSE))))</f>
        <v/>
      </c>
      <c r="X135" s="524" t="str">
        <f>IFERROR(IF(E135="","",VLOOKUP(W135, 'G-3 Multipliers'!$P$2:$Q$6,2,FALSE)),"")</f>
        <v/>
      </c>
      <c r="Y135" s="529" t="str">
        <f t="shared" si="11"/>
        <v/>
      </c>
      <c r="Z135" s="239"/>
      <c r="AA135" s="240"/>
      <c r="AE135" s="54" t="str">
        <f t="shared" si="7"/>
        <v/>
      </c>
    </row>
    <row r="136" spans="1:31" x14ac:dyDescent="0.25">
      <c r="A136" s="47" t="str">
        <f>IFERROR(INDEX('G-8 Condition Look up'!$I$4:$I$130,MATCH(F136,'G-8 Condition Look up'!$A$4:$A$130,0)),"")</f>
        <v/>
      </c>
      <c r="C136" s="384" t="str">
        <f>IFERROR(INDEX('G-1 All Habitats'!$AG$3:$AG$15,MATCH(D136,'G-1 All Habitats'!$AF$3:$AF$15,0)),"")</f>
        <v/>
      </c>
      <c r="D136" s="146"/>
      <c r="E136" s="79"/>
      <c r="F136" s="246" t="str">
        <f>IFERROR(INDEX('G-1 All Habitats'!$B$3:$B$129,MATCH(E136,'G-1 All Habitats'!$A$3:$A$129,0)),"")</f>
        <v/>
      </c>
      <c r="G136" s="70"/>
      <c r="H136" s="498" t="str">
        <f>IF(F136="","",VLOOKUP(F136,'G-1 All Habitats'!$B$2:$M$129,10,FALSE))</f>
        <v/>
      </c>
      <c r="I136" s="499" t="str">
        <f>IFERROR(VLOOKUP(H136,'G-1 All Habitats'!$V$3:$W$7,2,FALSE),"")</f>
        <v/>
      </c>
      <c r="J136" s="71"/>
      <c r="K136" s="499" t="str">
        <f>IFERROR(INDEX('G-8 Condition Look up'!$A$3:$H$130,MATCH(F136,'G-8 Condition Look up'!$A$3:$A$130,0),MATCH(J136,'G-8 Condition Look up'!$A$3:$H$3,0)),"")</f>
        <v/>
      </c>
      <c r="L136" s="71"/>
      <c r="M136" s="507" t="str">
        <f>IF(L136="","",IF(VLOOKUP(L136,'G-3 Multipliers'!$L$3:$N$6,2,FALSE)=0,"Spatial Data Missing",VLOOKUP(L136,'G-3 Multipliers'!$L$3:$N$6,2,FALSE)))</f>
        <v/>
      </c>
      <c r="N136" s="505" t="str">
        <f>IF(L136="","",IF(VLOOKUP(L136,'G-3 Multipliers'!$L$3:$N$6,3,FALSE)=0,"Spatial Data Missing",VLOOKUP(L136,'G-3 Multipliers'!$L$3:$N$6,3,FALSE)))</f>
        <v/>
      </c>
      <c r="O136" s="498" t="str">
        <f t="shared" si="6"/>
        <v/>
      </c>
      <c r="P136" s="82"/>
      <c r="Q136" s="82"/>
      <c r="R136" s="507" t="str">
        <f t="shared" si="8"/>
        <v/>
      </c>
      <c r="S136" s="521" t="str">
        <f t="shared" si="9"/>
        <v/>
      </c>
      <c r="T136" s="522" t="str">
        <f>IFERROR(IF(S136="Check Data ⚠","Check Data ⚠",VLOOKUP(S136,'G-4 Temporal multipliers'!$A$4:$C$37,3,FALSE)),"")</f>
        <v/>
      </c>
      <c r="U136" s="523" t="str">
        <f>IF(F136="","",VLOOKUP(F136,'G-3 Multipliers'!$A$2:$E$129,2,FALSE))</f>
        <v/>
      </c>
      <c r="V136" s="520" t="str">
        <f t="shared" si="10"/>
        <v/>
      </c>
      <c r="W136" s="520" t="str">
        <f>IF(E136="","",IF(AND(V136="Standard difficulty applied",O136&gt;P136),U136,IF(AND(V136="Low Difficulty - only applicable if all habitat created before losses",P136&gt;=O136),"Low",VLOOKUP(F136,'G-3 Multipliers'!$A$2:$E$129,4,FALSE))))</f>
        <v/>
      </c>
      <c r="X136" s="524" t="str">
        <f>IFERROR(IF(E136="","",VLOOKUP(W136, 'G-3 Multipliers'!$P$2:$Q$6,2,FALSE)),"")</f>
        <v/>
      </c>
      <c r="Y136" s="529" t="str">
        <f t="shared" si="11"/>
        <v/>
      </c>
      <c r="Z136" s="239"/>
      <c r="AA136" s="240"/>
      <c r="AE136" s="54" t="str">
        <f t="shared" si="7"/>
        <v/>
      </c>
    </row>
    <row r="137" spans="1:31" x14ac:dyDescent="0.25">
      <c r="A137" s="47" t="str">
        <f>IFERROR(INDEX('G-8 Condition Look up'!$I$4:$I$130,MATCH(F137,'G-8 Condition Look up'!$A$4:$A$130,0)),"")</f>
        <v/>
      </c>
      <c r="C137" s="384" t="str">
        <f>IFERROR(INDEX('G-1 All Habitats'!$AG$3:$AG$15,MATCH(D137,'G-1 All Habitats'!$AF$3:$AF$15,0)),"")</f>
        <v/>
      </c>
      <c r="D137" s="146"/>
      <c r="E137" s="79"/>
      <c r="F137" s="246" t="str">
        <f>IFERROR(INDEX('G-1 All Habitats'!$B$3:$B$129,MATCH(E137,'G-1 All Habitats'!$A$3:$A$129,0)),"")</f>
        <v/>
      </c>
      <c r="G137" s="70"/>
      <c r="H137" s="498" t="str">
        <f>IF(F137="","",VLOOKUP(F137,'G-1 All Habitats'!$B$2:$M$129,10,FALSE))</f>
        <v/>
      </c>
      <c r="I137" s="499" t="str">
        <f>IFERROR(VLOOKUP(H137,'G-1 All Habitats'!$V$3:$W$7,2,FALSE),"")</f>
        <v/>
      </c>
      <c r="J137" s="71"/>
      <c r="K137" s="499" t="str">
        <f>IFERROR(INDEX('G-8 Condition Look up'!$A$3:$H$130,MATCH(F137,'G-8 Condition Look up'!$A$3:$A$130,0),MATCH(J137,'G-8 Condition Look up'!$A$3:$H$3,0)),"")</f>
        <v/>
      </c>
      <c r="L137" s="71"/>
      <c r="M137" s="507" t="str">
        <f>IF(L137="","",IF(VLOOKUP(L137,'G-3 Multipliers'!$L$3:$N$6,2,FALSE)=0,"Spatial Data Missing",VLOOKUP(L137,'G-3 Multipliers'!$L$3:$N$6,2,FALSE)))</f>
        <v/>
      </c>
      <c r="N137" s="505" t="str">
        <f>IF(L137="","",IF(VLOOKUP(L137,'G-3 Multipliers'!$L$3:$N$6,3,FALSE)=0,"Spatial Data Missing",VLOOKUP(L137,'G-3 Multipliers'!$L$3:$N$6,3,FALSE)))</f>
        <v/>
      </c>
      <c r="O137" s="498" t="str">
        <f t="shared" si="6"/>
        <v/>
      </c>
      <c r="P137" s="82"/>
      <c r="Q137" s="82"/>
      <c r="R137" s="507" t="str">
        <f t="shared" si="8"/>
        <v/>
      </c>
      <c r="S137" s="521" t="str">
        <f t="shared" si="9"/>
        <v/>
      </c>
      <c r="T137" s="522" t="str">
        <f>IFERROR(IF(S137="Check Data ⚠","Check Data ⚠",VLOOKUP(S137,'G-4 Temporal multipliers'!$A$4:$C$37,3,FALSE)),"")</f>
        <v/>
      </c>
      <c r="U137" s="523" t="str">
        <f>IF(F137="","",VLOOKUP(F137,'G-3 Multipliers'!$A$2:$E$129,2,FALSE))</f>
        <v/>
      </c>
      <c r="V137" s="520" t="str">
        <f t="shared" si="10"/>
        <v/>
      </c>
      <c r="W137" s="520" t="str">
        <f>IF(E137="","",IF(AND(V137="Standard difficulty applied",O137&gt;P137),U137,IF(AND(V137="Low Difficulty - only applicable if all habitat created before losses",P137&gt;=O137),"Low",VLOOKUP(F137,'G-3 Multipliers'!$A$2:$E$129,4,FALSE))))</f>
        <v/>
      </c>
      <c r="X137" s="524" t="str">
        <f>IFERROR(IF(E137="","",VLOOKUP(W137, 'G-3 Multipliers'!$P$2:$Q$6,2,FALSE)),"")</f>
        <v/>
      </c>
      <c r="Y137" s="529" t="str">
        <f t="shared" si="11"/>
        <v/>
      </c>
      <c r="Z137" s="239"/>
      <c r="AA137" s="240"/>
      <c r="AE137" s="54" t="str">
        <f t="shared" si="7"/>
        <v/>
      </c>
    </row>
    <row r="138" spans="1:31" x14ac:dyDescent="0.25">
      <c r="A138" s="47" t="str">
        <f>IFERROR(INDEX('G-8 Condition Look up'!$I$4:$I$130,MATCH(F138,'G-8 Condition Look up'!$A$4:$A$130,0)),"")</f>
        <v/>
      </c>
      <c r="C138" s="384" t="str">
        <f>IFERROR(INDEX('G-1 All Habitats'!$AG$3:$AG$15,MATCH(D138,'G-1 All Habitats'!$AF$3:$AF$15,0)),"")</f>
        <v/>
      </c>
      <c r="D138" s="146"/>
      <c r="E138" s="79"/>
      <c r="F138" s="246" t="str">
        <f>IFERROR(INDEX('G-1 All Habitats'!$B$3:$B$129,MATCH(E138,'G-1 All Habitats'!$A$3:$A$129,0)),"")</f>
        <v/>
      </c>
      <c r="G138" s="70"/>
      <c r="H138" s="498" t="str">
        <f>IF(F138="","",VLOOKUP(F138,'G-1 All Habitats'!$B$2:$M$129,10,FALSE))</f>
        <v/>
      </c>
      <c r="I138" s="499" t="str">
        <f>IFERROR(VLOOKUP(H138,'G-1 All Habitats'!$V$3:$W$7,2,FALSE),"")</f>
        <v/>
      </c>
      <c r="J138" s="71"/>
      <c r="K138" s="499" t="str">
        <f>IFERROR(INDEX('G-8 Condition Look up'!$A$3:$H$130,MATCH(F138,'G-8 Condition Look up'!$A$3:$A$130,0),MATCH(J138,'G-8 Condition Look up'!$A$3:$H$3,0)),"")</f>
        <v/>
      </c>
      <c r="L138" s="71"/>
      <c r="M138" s="507" t="str">
        <f>IF(L138="","",IF(VLOOKUP(L138,'G-3 Multipliers'!$L$3:$N$6,2,FALSE)=0,"Spatial Data Missing",VLOOKUP(L138,'G-3 Multipliers'!$L$3:$N$6,2,FALSE)))</f>
        <v/>
      </c>
      <c r="N138" s="505" t="str">
        <f>IF(L138="","",IF(VLOOKUP(L138,'G-3 Multipliers'!$L$3:$N$6,3,FALSE)=0,"Spatial Data Missing",VLOOKUP(L138,'G-3 Multipliers'!$L$3:$N$6,3,FALSE)))</f>
        <v/>
      </c>
      <c r="O138" s="498" t="str">
        <f t="shared" si="6"/>
        <v/>
      </c>
      <c r="P138" s="82"/>
      <c r="Q138" s="82"/>
      <c r="R138" s="507" t="str">
        <f t="shared" si="8"/>
        <v/>
      </c>
      <c r="S138" s="521" t="str">
        <f t="shared" si="9"/>
        <v/>
      </c>
      <c r="T138" s="522" t="str">
        <f>IFERROR(IF(S138="Check Data ⚠","Check Data ⚠",VLOOKUP(S138,'G-4 Temporal multipliers'!$A$4:$C$37,3,FALSE)),"")</f>
        <v/>
      </c>
      <c r="U138" s="523" t="str">
        <f>IF(F138="","",VLOOKUP(F138,'G-3 Multipliers'!$A$2:$E$129,2,FALSE))</f>
        <v/>
      </c>
      <c r="V138" s="520" t="str">
        <f t="shared" si="10"/>
        <v/>
      </c>
      <c r="W138" s="520" t="str">
        <f>IF(E138="","",IF(AND(V138="Standard difficulty applied",O138&gt;P138),U138,IF(AND(V138="Low Difficulty - only applicable if all habitat created before losses",P138&gt;=O138),"Low",VLOOKUP(F138,'G-3 Multipliers'!$A$2:$E$129,4,FALSE))))</f>
        <v/>
      </c>
      <c r="X138" s="524" t="str">
        <f>IFERROR(IF(E138="","",VLOOKUP(W138, 'G-3 Multipliers'!$P$2:$Q$6,2,FALSE)),"")</f>
        <v/>
      </c>
      <c r="Y138" s="529" t="str">
        <f t="shared" si="11"/>
        <v/>
      </c>
      <c r="Z138" s="239"/>
      <c r="AA138" s="240"/>
      <c r="AE138" s="54" t="str">
        <f t="shared" si="7"/>
        <v/>
      </c>
    </row>
    <row r="139" spans="1:31" x14ac:dyDescent="0.25">
      <c r="A139" s="47" t="str">
        <f>IFERROR(INDEX('G-8 Condition Look up'!$I$4:$I$130,MATCH(F139,'G-8 Condition Look up'!$A$4:$A$130,0)),"")</f>
        <v/>
      </c>
      <c r="C139" s="384" t="str">
        <f>IFERROR(INDEX('G-1 All Habitats'!$AG$3:$AG$15,MATCH(D139,'G-1 All Habitats'!$AF$3:$AF$15,0)),"")</f>
        <v/>
      </c>
      <c r="D139" s="146"/>
      <c r="E139" s="79"/>
      <c r="F139" s="246" t="str">
        <f>IFERROR(INDEX('G-1 All Habitats'!$B$3:$B$129,MATCH(E139,'G-1 All Habitats'!$A$3:$A$129,0)),"")</f>
        <v/>
      </c>
      <c r="G139" s="70"/>
      <c r="H139" s="498" t="str">
        <f>IF(F139="","",VLOOKUP(F139,'G-1 All Habitats'!$B$2:$M$129,10,FALSE))</f>
        <v/>
      </c>
      <c r="I139" s="499" t="str">
        <f>IFERROR(VLOOKUP(H139,'G-1 All Habitats'!$V$3:$W$7,2,FALSE),"")</f>
        <v/>
      </c>
      <c r="J139" s="71"/>
      <c r="K139" s="499" t="str">
        <f>IFERROR(INDEX('G-8 Condition Look up'!$A$3:$H$130,MATCH(F139,'G-8 Condition Look up'!$A$3:$A$130,0),MATCH(J139,'G-8 Condition Look up'!$A$3:$H$3,0)),"")</f>
        <v/>
      </c>
      <c r="L139" s="71"/>
      <c r="M139" s="507" t="str">
        <f>IF(L139="","",IF(VLOOKUP(L139,'G-3 Multipliers'!$L$3:$N$6,2,FALSE)=0,"Spatial Data Missing",VLOOKUP(L139,'G-3 Multipliers'!$L$3:$N$6,2,FALSE)))</f>
        <v/>
      </c>
      <c r="N139" s="505" t="str">
        <f>IF(L139="","",IF(VLOOKUP(L139,'G-3 Multipliers'!$L$3:$N$6,3,FALSE)=0,"Spatial Data Missing",VLOOKUP(L139,'G-3 Multipliers'!$L$3:$N$6,3,FALSE)))</f>
        <v/>
      </c>
      <c r="O139" s="498" t="str">
        <f t="shared" ref="O139:O202" si="12">IFERROR(INDEX(TemporalData,MATCH(F139,TemporalHabitats,0),MATCH(J139,TemporalConditions,0)),"")</f>
        <v/>
      </c>
      <c r="P139" s="82"/>
      <c r="Q139" s="82"/>
      <c r="R139" s="507" t="str">
        <f t="shared" si="8"/>
        <v/>
      </c>
      <c r="S139" s="521" t="str">
        <f t="shared" si="9"/>
        <v/>
      </c>
      <c r="T139" s="522" t="str">
        <f>IFERROR(IF(S139="Check Data ⚠","Check Data ⚠",VLOOKUP(S139,'G-4 Temporal multipliers'!$A$4:$C$37,3,FALSE)),"")</f>
        <v/>
      </c>
      <c r="U139" s="523" t="str">
        <f>IF(F139="","",VLOOKUP(F139,'G-3 Multipliers'!$A$2:$E$129,2,FALSE))</f>
        <v/>
      </c>
      <c r="V139" s="520" t="str">
        <f t="shared" si="10"/>
        <v/>
      </c>
      <c r="W139" s="520" t="str">
        <f>IF(E139="","",IF(AND(V139="Standard difficulty applied",O139&gt;P139),U139,IF(AND(V139="Low Difficulty - only applicable if all habitat created before losses",P139&gt;=O139),"Low",VLOOKUP(F139,'G-3 Multipliers'!$A$2:$E$129,4,FALSE))))</f>
        <v/>
      </c>
      <c r="X139" s="524" t="str">
        <f>IFERROR(IF(E139="","",VLOOKUP(W139, 'G-3 Multipliers'!$P$2:$Q$6,2,FALSE)),"")</f>
        <v/>
      </c>
      <c r="Y139" s="529" t="str">
        <f t="shared" si="11"/>
        <v/>
      </c>
      <c r="Z139" s="239"/>
      <c r="AA139" s="240"/>
      <c r="AE139" s="54" t="str">
        <f t="shared" ref="AE139:AE202" si="13">IFERROR(INDEX(TemporalData,MATCH(F139,TemporalHabitats,0),MATCH($AE$10,TemporalConditions,0)),"")</f>
        <v/>
      </c>
    </row>
    <row r="140" spans="1:31" x14ac:dyDescent="0.25">
      <c r="A140" s="47" t="str">
        <f>IFERROR(INDEX('G-8 Condition Look up'!$I$4:$I$130,MATCH(F140,'G-8 Condition Look up'!$A$4:$A$130,0)),"")</f>
        <v/>
      </c>
      <c r="C140" s="384" t="str">
        <f>IFERROR(INDEX('G-1 All Habitats'!$AG$3:$AG$15,MATCH(D140,'G-1 All Habitats'!$AF$3:$AF$15,0)),"")</f>
        <v/>
      </c>
      <c r="D140" s="146"/>
      <c r="E140" s="79"/>
      <c r="F140" s="246" t="str">
        <f>IFERROR(INDEX('G-1 All Habitats'!$B$3:$B$129,MATCH(E140,'G-1 All Habitats'!$A$3:$A$129,0)),"")</f>
        <v/>
      </c>
      <c r="G140" s="70"/>
      <c r="H140" s="498" t="str">
        <f>IF(F140="","",VLOOKUP(F140,'G-1 All Habitats'!$B$2:$M$129,10,FALSE))</f>
        <v/>
      </c>
      <c r="I140" s="499" t="str">
        <f>IFERROR(VLOOKUP(H140,'G-1 All Habitats'!$V$3:$W$7,2,FALSE),"")</f>
        <v/>
      </c>
      <c r="J140" s="71"/>
      <c r="K140" s="499" t="str">
        <f>IFERROR(INDEX('G-8 Condition Look up'!$A$3:$H$130,MATCH(F140,'G-8 Condition Look up'!$A$3:$A$130,0),MATCH(J140,'G-8 Condition Look up'!$A$3:$H$3,0)),"")</f>
        <v/>
      </c>
      <c r="L140" s="71"/>
      <c r="M140" s="507" t="str">
        <f>IF(L140="","",IF(VLOOKUP(L140,'G-3 Multipliers'!$L$3:$N$6,2,FALSE)=0,"Spatial Data Missing",VLOOKUP(L140,'G-3 Multipliers'!$L$3:$N$6,2,FALSE)))</f>
        <v/>
      </c>
      <c r="N140" s="505" t="str">
        <f>IF(L140="","",IF(VLOOKUP(L140,'G-3 Multipliers'!$L$3:$N$6,3,FALSE)=0,"Spatial Data Missing",VLOOKUP(L140,'G-3 Multipliers'!$L$3:$N$6,3,FALSE)))</f>
        <v/>
      </c>
      <c r="O140" s="498" t="str">
        <f t="shared" si="12"/>
        <v/>
      </c>
      <c r="P140" s="82"/>
      <c r="Q140" s="82"/>
      <c r="R140" s="507"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21"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522" t="str">
        <f>IFERROR(IF(S140="Check Data ⚠","Check Data ⚠",VLOOKUP(S140,'G-4 Temporal multipliers'!$A$4:$C$37,3,FALSE)),"")</f>
        <v/>
      </c>
      <c r="U140" s="523" t="str">
        <f>IF(F140="","",VLOOKUP(F140,'G-3 Multipliers'!$A$2:$E$129,2,FALSE))</f>
        <v/>
      </c>
      <c r="V140" s="520" t="str">
        <f t="shared" ref="V140:V203" si="16">IF(F140="","",IF($R140="Check details - Is there evidence that habitat has reached target condition? ⚠","Low Difficulty - only applicable if all habitat created before losses",IF($R140="Check details - Is there evidence habitat creation started and the threshold for Poor condition reached? ⚠","Enhancement difficulty applied","Standard difficulty applied")))</f>
        <v/>
      </c>
      <c r="W140" s="520" t="str">
        <f>IF(E140="","",IF(AND(V140="Standard difficulty applied",O140&gt;P140),U140,IF(AND(V140="Low Difficulty - only applicable if all habitat created before losses",P140&gt;=O140),"Low",VLOOKUP(F140,'G-3 Multipliers'!$A$2:$E$129,4,FALSE))))</f>
        <v/>
      </c>
      <c r="X140" s="524" t="str">
        <f>IFERROR(IF(E140="","",VLOOKUP(W140, 'G-3 Multipliers'!$P$2:$Q$6,2,FALSE)),"")</f>
        <v/>
      </c>
      <c r="Y140" s="529" t="str">
        <f t="shared" ref="Y140:Y203" si="17">IFERROR(G140*I140*K140*N140*T140*X140,"")</f>
        <v/>
      </c>
      <c r="Z140" s="239"/>
      <c r="AA140" s="240"/>
      <c r="AE140" s="54" t="str">
        <f t="shared" si="13"/>
        <v/>
      </c>
    </row>
    <row r="141" spans="1:31" x14ac:dyDescent="0.25">
      <c r="A141" s="47" t="str">
        <f>IFERROR(INDEX('G-8 Condition Look up'!$I$4:$I$130,MATCH(F141,'G-8 Condition Look up'!$A$4:$A$130,0)),"")</f>
        <v/>
      </c>
      <c r="C141" s="384" t="str">
        <f>IFERROR(INDEX('G-1 All Habitats'!$AG$3:$AG$15,MATCH(D141,'G-1 All Habitats'!$AF$3:$AF$15,0)),"")</f>
        <v/>
      </c>
      <c r="D141" s="146"/>
      <c r="E141" s="79"/>
      <c r="F141" s="246" t="str">
        <f>IFERROR(INDEX('G-1 All Habitats'!$B$3:$B$129,MATCH(E141,'G-1 All Habitats'!$A$3:$A$129,0)),"")</f>
        <v/>
      </c>
      <c r="G141" s="70"/>
      <c r="H141" s="498" t="str">
        <f>IF(F141="","",VLOOKUP(F141,'G-1 All Habitats'!$B$2:$M$129,10,FALSE))</f>
        <v/>
      </c>
      <c r="I141" s="499" t="str">
        <f>IFERROR(VLOOKUP(H141,'G-1 All Habitats'!$V$3:$W$7,2,FALSE),"")</f>
        <v/>
      </c>
      <c r="J141" s="71"/>
      <c r="K141" s="499" t="str">
        <f>IFERROR(INDEX('G-8 Condition Look up'!$A$3:$H$130,MATCH(F141,'G-8 Condition Look up'!$A$3:$A$130,0),MATCH(J141,'G-8 Condition Look up'!$A$3:$H$3,0)),"")</f>
        <v/>
      </c>
      <c r="L141" s="71"/>
      <c r="M141" s="507" t="str">
        <f>IF(L141="","",IF(VLOOKUP(L141,'G-3 Multipliers'!$L$3:$N$6,2,FALSE)=0,"Spatial Data Missing",VLOOKUP(L141,'G-3 Multipliers'!$L$3:$N$6,2,FALSE)))</f>
        <v/>
      </c>
      <c r="N141" s="505" t="str">
        <f>IF(L141="","",IF(VLOOKUP(L141,'G-3 Multipliers'!$L$3:$N$6,3,FALSE)=0,"Spatial Data Missing",VLOOKUP(L141,'G-3 Multipliers'!$L$3:$N$6,3,FALSE)))</f>
        <v/>
      </c>
      <c r="O141" s="498" t="str">
        <f t="shared" si="12"/>
        <v/>
      </c>
      <c r="P141" s="82"/>
      <c r="Q141" s="82"/>
      <c r="R141" s="507" t="str">
        <f t="shared" si="14"/>
        <v/>
      </c>
      <c r="S141" s="521" t="str">
        <f t="shared" si="15"/>
        <v/>
      </c>
      <c r="T141" s="522" t="str">
        <f>IFERROR(IF(S141="Check Data ⚠","Check Data ⚠",VLOOKUP(S141,'G-4 Temporal multipliers'!$A$4:$C$37,3,FALSE)),"")</f>
        <v/>
      </c>
      <c r="U141" s="523" t="str">
        <f>IF(F141="","",VLOOKUP(F141,'G-3 Multipliers'!$A$2:$E$129,2,FALSE))</f>
        <v/>
      </c>
      <c r="V141" s="520" t="str">
        <f t="shared" si="16"/>
        <v/>
      </c>
      <c r="W141" s="520" t="str">
        <f>IF(E141="","",IF(AND(V141="Standard difficulty applied",O141&gt;P141),U141,IF(AND(V141="Low Difficulty - only applicable if all habitat created before losses",P141&gt;=O141),"Low",VLOOKUP(F141,'G-3 Multipliers'!$A$2:$E$129,4,FALSE))))</f>
        <v/>
      </c>
      <c r="X141" s="524" t="str">
        <f>IFERROR(IF(E141="","",VLOOKUP(W141, 'G-3 Multipliers'!$P$2:$Q$6,2,FALSE)),"")</f>
        <v/>
      </c>
      <c r="Y141" s="529" t="str">
        <f t="shared" si="17"/>
        <v/>
      </c>
      <c r="Z141" s="239"/>
      <c r="AA141" s="240"/>
      <c r="AE141" s="54" t="str">
        <f t="shared" si="13"/>
        <v/>
      </c>
    </row>
    <row r="142" spans="1:31" x14ac:dyDescent="0.25">
      <c r="A142" s="47" t="str">
        <f>IFERROR(INDEX('G-8 Condition Look up'!$I$4:$I$130,MATCH(F142,'G-8 Condition Look up'!$A$4:$A$130,0)),"")</f>
        <v/>
      </c>
      <c r="C142" s="384" t="str">
        <f>IFERROR(INDEX('G-1 All Habitats'!$AG$3:$AG$15,MATCH(D142,'G-1 All Habitats'!$AF$3:$AF$15,0)),"")</f>
        <v/>
      </c>
      <c r="D142" s="146"/>
      <c r="E142" s="79"/>
      <c r="F142" s="246" t="str">
        <f>IFERROR(INDEX('G-1 All Habitats'!$B$3:$B$129,MATCH(E142,'G-1 All Habitats'!$A$3:$A$129,0)),"")</f>
        <v/>
      </c>
      <c r="G142" s="70"/>
      <c r="H142" s="498" t="str">
        <f>IF(F142="","",VLOOKUP(F142,'G-1 All Habitats'!$B$2:$M$129,10,FALSE))</f>
        <v/>
      </c>
      <c r="I142" s="499" t="str">
        <f>IFERROR(VLOOKUP(H142,'G-1 All Habitats'!$V$3:$W$7,2,FALSE),"")</f>
        <v/>
      </c>
      <c r="J142" s="71"/>
      <c r="K142" s="499" t="str">
        <f>IFERROR(INDEX('G-8 Condition Look up'!$A$3:$H$130,MATCH(F142,'G-8 Condition Look up'!$A$3:$A$130,0),MATCH(J142,'G-8 Condition Look up'!$A$3:$H$3,0)),"")</f>
        <v/>
      </c>
      <c r="L142" s="71"/>
      <c r="M142" s="507" t="str">
        <f>IF(L142="","",IF(VLOOKUP(L142,'G-3 Multipliers'!$L$3:$N$6,2,FALSE)=0,"Spatial Data Missing",VLOOKUP(L142,'G-3 Multipliers'!$L$3:$N$6,2,FALSE)))</f>
        <v/>
      </c>
      <c r="N142" s="505" t="str">
        <f>IF(L142="","",IF(VLOOKUP(L142,'G-3 Multipliers'!$L$3:$N$6,3,FALSE)=0,"Spatial Data Missing",VLOOKUP(L142,'G-3 Multipliers'!$L$3:$N$6,3,FALSE)))</f>
        <v/>
      </c>
      <c r="O142" s="498" t="str">
        <f t="shared" si="12"/>
        <v/>
      </c>
      <c r="P142" s="82"/>
      <c r="Q142" s="82"/>
      <c r="R142" s="507" t="str">
        <f t="shared" si="14"/>
        <v/>
      </c>
      <c r="S142" s="521" t="str">
        <f t="shared" si="15"/>
        <v/>
      </c>
      <c r="T142" s="522" t="str">
        <f>IFERROR(IF(S142="Check Data ⚠","Check Data ⚠",VLOOKUP(S142,'G-4 Temporal multipliers'!$A$4:$C$37,3,FALSE)),"")</f>
        <v/>
      </c>
      <c r="U142" s="523" t="str">
        <f>IF(F142="","",VLOOKUP(F142,'G-3 Multipliers'!$A$2:$E$129,2,FALSE))</f>
        <v/>
      </c>
      <c r="V142" s="520" t="str">
        <f t="shared" si="16"/>
        <v/>
      </c>
      <c r="W142" s="520" t="str">
        <f>IF(E142="","",IF(AND(V142="Standard difficulty applied",O142&gt;P142),U142,IF(AND(V142="Low Difficulty - only applicable if all habitat created before losses",P142&gt;=O142),"Low",VLOOKUP(F142,'G-3 Multipliers'!$A$2:$E$129,4,FALSE))))</f>
        <v/>
      </c>
      <c r="X142" s="524" t="str">
        <f>IFERROR(IF(E142="","",VLOOKUP(W142, 'G-3 Multipliers'!$P$2:$Q$6,2,FALSE)),"")</f>
        <v/>
      </c>
      <c r="Y142" s="529" t="str">
        <f t="shared" si="17"/>
        <v/>
      </c>
      <c r="Z142" s="239"/>
      <c r="AA142" s="240"/>
      <c r="AE142" s="54" t="str">
        <f t="shared" si="13"/>
        <v/>
      </c>
    </row>
    <row r="143" spans="1:31" x14ac:dyDescent="0.25">
      <c r="A143" s="47" t="str">
        <f>IFERROR(INDEX('G-8 Condition Look up'!$I$4:$I$130,MATCH(F143,'G-8 Condition Look up'!$A$4:$A$130,0)),"")</f>
        <v/>
      </c>
      <c r="C143" s="384" t="str">
        <f>IFERROR(INDEX('G-1 All Habitats'!$AG$3:$AG$15,MATCH(D143,'G-1 All Habitats'!$AF$3:$AF$15,0)),"")</f>
        <v/>
      </c>
      <c r="D143" s="146"/>
      <c r="E143" s="79"/>
      <c r="F143" s="246" t="str">
        <f>IFERROR(INDEX('G-1 All Habitats'!$B$3:$B$129,MATCH(E143,'G-1 All Habitats'!$A$3:$A$129,0)),"")</f>
        <v/>
      </c>
      <c r="G143" s="70"/>
      <c r="H143" s="498" t="str">
        <f>IF(F143="","",VLOOKUP(F143,'G-1 All Habitats'!$B$2:$M$129,10,FALSE))</f>
        <v/>
      </c>
      <c r="I143" s="499" t="str">
        <f>IFERROR(VLOOKUP(H143,'G-1 All Habitats'!$V$3:$W$7,2,FALSE),"")</f>
        <v/>
      </c>
      <c r="J143" s="71"/>
      <c r="K143" s="499" t="str">
        <f>IFERROR(INDEX('G-8 Condition Look up'!$A$3:$H$130,MATCH(F143,'G-8 Condition Look up'!$A$3:$A$130,0),MATCH(J143,'G-8 Condition Look up'!$A$3:$H$3,0)),"")</f>
        <v/>
      </c>
      <c r="L143" s="71"/>
      <c r="M143" s="507" t="str">
        <f>IF(L143="","",IF(VLOOKUP(L143,'G-3 Multipliers'!$L$3:$N$6,2,FALSE)=0,"Spatial Data Missing",VLOOKUP(L143,'G-3 Multipliers'!$L$3:$N$6,2,FALSE)))</f>
        <v/>
      </c>
      <c r="N143" s="505" t="str">
        <f>IF(L143="","",IF(VLOOKUP(L143,'G-3 Multipliers'!$L$3:$N$6,3,FALSE)=0,"Spatial Data Missing",VLOOKUP(L143,'G-3 Multipliers'!$L$3:$N$6,3,FALSE)))</f>
        <v/>
      </c>
      <c r="O143" s="498" t="str">
        <f t="shared" si="12"/>
        <v/>
      </c>
      <c r="P143" s="82"/>
      <c r="Q143" s="82"/>
      <c r="R143" s="507" t="str">
        <f t="shared" si="14"/>
        <v/>
      </c>
      <c r="S143" s="521" t="str">
        <f t="shared" si="15"/>
        <v/>
      </c>
      <c r="T143" s="522" t="str">
        <f>IFERROR(IF(S143="Check Data ⚠","Check Data ⚠",VLOOKUP(S143,'G-4 Temporal multipliers'!$A$4:$C$37,3,FALSE)),"")</f>
        <v/>
      </c>
      <c r="U143" s="523" t="str">
        <f>IF(F143="","",VLOOKUP(F143,'G-3 Multipliers'!$A$2:$E$129,2,FALSE))</f>
        <v/>
      </c>
      <c r="V143" s="520" t="str">
        <f t="shared" si="16"/>
        <v/>
      </c>
      <c r="W143" s="520" t="str">
        <f>IF(E143="","",IF(AND(V143="Standard difficulty applied",O143&gt;P143),U143,IF(AND(V143="Low Difficulty - only applicable if all habitat created before losses",P143&gt;=O143),"Low",VLOOKUP(F143,'G-3 Multipliers'!$A$2:$E$129,4,FALSE))))</f>
        <v/>
      </c>
      <c r="X143" s="524" t="str">
        <f>IFERROR(IF(E143="","",VLOOKUP(W143, 'G-3 Multipliers'!$P$2:$Q$6,2,FALSE)),"")</f>
        <v/>
      </c>
      <c r="Y143" s="529" t="str">
        <f t="shared" si="17"/>
        <v/>
      </c>
      <c r="Z143" s="239"/>
      <c r="AA143" s="240"/>
      <c r="AE143" s="54" t="str">
        <f t="shared" si="13"/>
        <v/>
      </c>
    </row>
    <row r="144" spans="1:31" x14ac:dyDescent="0.25">
      <c r="A144" s="47" t="str">
        <f>IFERROR(INDEX('G-8 Condition Look up'!$I$4:$I$130,MATCH(F144,'G-8 Condition Look up'!$A$4:$A$130,0)),"")</f>
        <v/>
      </c>
      <c r="C144" s="384" t="str">
        <f>IFERROR(INDEX('G-1 All Habitats'!$AG$3:$AG$15,MATCH(D144,'G-1 All Habitats'!$AF$3:$AF$15,0)),"")</f>
        <v/>
      </c>
      <c r="D144" s="146"/>
      <c r="E144" s="79"/>
      <c r="F144" s="246" t="str">
        <f>IFERROR(INDEX('G-1 All Habitats'!$B$3:$B$129,MATCH(E144,'G-1 All Habitats'!$A$3:$A$129,0)),"")</f>
        <v/>
      </c>
      <c r="G144" s="70"/>
      <c r="H144" s="498" t="str">
        <f>IF(F144="","",VLOOKUP(F144,'G-1 All Habitats'!$B$2:$M$129,10,FALSE))</f>
        <v/>
      </c>
      <c r="I144" s="499" t="str">
        <f>IFERROR(VLOOKUP(H144,'G-1 All Habitats'!$V$3:$W$7,2,FALSE),"")</f>
        <v/>
      </c>
      <c r="J144" s="71"/>
      <c r="K144" s="499" t="str">
        <f>IFERROR(INDEX('G-8 Condition Look up'!$A$3:$H$130,MATCH(F144,'G-8 Condition Look up'!$A$3:$A$130,0),MATCH(J144,'G-8 Condition Look up'!$A$3:$H$3,0)),"")</f>
        <v/>
      </c>
      <c r="L144" s="71"/>
      <c r="M144" s="507" t="str">
        <f>IF(L144="","",IF(VLOOKUP(L144,'G-3 Multipliers'!$L$3:$N$6,2,FALSE)=0,"Spatial Data Missing",VLOOKUP(L144,'G-3 Multipliers'!$L$3:$N$6,2,FALSE)))</f>
        <v/>
      </c>
      <c r="N144" s="505" t="str">
        <f>IF(L144="","",IF(VLOOKUP(L144,'G-3 Multipliers'!$L$3:$N$6,3,FALSE)=0,"Spatial Data Missing",VLOOKUP(L144,'G-3 Multipliers'!$L$3:$N$6,3,FALSE)))</f>
        <v/>
      </c>
      <c r="O144" s="498" t="str">
        <f t="shared" si="12"/>
        <v/>
      </c>
      <c r="P144" s="82"/>
      <c r="Q144" s="82"/>
      <c r="R144" s="507" t="str">
        <f t="shared" si="14"/>
        <v/>
      </c>
      <c r="S144" s="521" t="str">
        <f t="shared" si="15"/>
        <v/>
      </c>
      <c r="T144" s="522" t="str">
        <f>IFERROR(IF(S144="Check Data ⚠","Check Data ⚠",VLOOKUP(S144,'G-4 Temporal multipliers'!$A$4:$C$37,3,FALSE)),"")</f>
        <v/>
      </c>
      <c r="U144" s="523" t="str">
        <f>IF(F144="","",VLOOKUP(F144,'G-3 Multipliers'!$A$2:$E$129,2,FALSE))</f>
        <v/>
      </c>
      <c r="V144" s="520" t="str">
        <f t="shared" si="16"/>
        <v/>
      </c>
      <c r="W144" s="520" t="str">
        <f>IF(E144="","",IF(AND(V144="Standard difficulty applied",O144&gt;P144),U144,IF(AND(V144="Low Difficulty - only applicable if all habitat created before losses",P144&gt;=O144),"Low",VLOOKUP(F144,'G-3 Multipliers'!$A$2:$E$129,4,FALSE))))</f>
        <v/>
      </c>
      <c r="X144" s="524" t="str">
        <f>IFERROR(IF(E144="","",VLOOKUP(W144, 'G-3 Multipliers'!$P$2:$Q$6,2,FALSE)),"")</f>
        <v/>
      </c>
      <c r="Y144" s="529" t="str">
        <f t="shared" si="17"/>
        <v/>
      </c>
      <c r="Z144" s="239"/>
      <c r="AA144" s="240"/>
      <c r="AE144" s="54" t="str">
        <f t="shared" si="13"/>
        <v/>
      </c>
    </row>
    <row r="145" spans="1:31" x14ac:dyDescent="0.25">
      <c r="A145" s="47" t="str">
        <f>IFERROR(INDEX('G-8 Condition Look up'!$I$4:$I$130,MATCH(F145,'G-8 Condition Look up'!$A$4:$A$130,0)),"")</f>
        <v/>
      </c>
      <c r="C145" s="384" t="str">
        <f>IFERROR(INDEX('G-1 All Habitats'!$AG$3:$AG$15,MATCH(D145,'G-1 All Habitats'!$AF$3:$AF$15,0)),"")</f>
        <v/>
      </c>
      <c r="D145" s="146"/>
      <c r="E145" s="79"/>
      <c r="F145" s="246" t="str">
        <f>IFERROR(INDEX('G-1 All Habitats'!$B$3:$B$129,MATCH(E145,'G-1 All Habitats'!$A$3:$A$129,0)),"")</f>
        <v/>
      </c>
      <c r="G145" s="70"/>
      <c r="H145" s="498" t="str">
        <f>IF(F145="","",VLOOKUP(F145,'G-1 All Habitats'!$B$2:$M$129,10,FALSE))</f>
        <v/>
      </c>
      <c r="I145" s="499" t="str">
        <f>IFERROR(VLOOKUP(H145,'G-1 All Habitats'!$V$3:$W$7,2,FALSE),"")</f>
        <v/>
      </c>
      <c r="J145" s="71"/>
      <c r="K145" s="499" t="str">
        <f>IFERROR(INDEX('G-8 Condition Look up'!$A$3:$H$130,MATCH(F145,'G-8 Condition Look up'!$A$3:$A$130,0),MATCH(J145,'G-8 Condition Look up'!$A$3:$H$3,0)),"")</f>
        <v/>
      </c>
      <c r="L145" s="71"/>
      <c r="M145" s="507" t="str">
        <f>IF(L145="","",IF(VLOOKUP(L145,'G-3 Multipliers'!$L$3:$N$6,2,FALSE)=0,"Spatial Data Missing",VLOOKUP(L145,'G-3 Multipliers'!$L$3:$N$6,2,FALSE)))</f>
        <v/>
      </c>
      <c r="N145" s="505" t="str">
        <f>IF(L145="","",IF(VLOOKUP(L145,'G-3 Multipliers'!$L$3:$N$6,3,FALSE)=0,"Spatial Data Missing",VLOOKUP(L145,'G-3 Multipliers'!$L$3:$N$6,3,FALSE)))</f>
        <v/>
      </c>
      <c r="O145" s="498" t="str">
        <f t="shared" si="12"/>
        <v/>
      </c>
      <c r="P145" s="82"/>
      <c r="Q145" s="82"/>
      <c r="R145" s="507" t="str">
        <f t="shared" si="14"/>
        <v/>
      </c>
      <c r="S145" s="521" t="str">
        <f t="shared" si="15"/>
        <v/>
      </c>
      <c r="T145" s="522" t="str">
        <f>IFERROR(IF(S145="Check Data ⚠","Check Data ⚠",VLOOKUP(S145,'G-4 Temporal multipliers'!$A$4:$C$37,3,FALSE)),"")</f>
        <v/>
      </c>
      <c r="U145" s="523" t="str">
        <f>IF(F145="","",VLOOKUP(F145,'G-3 Multipliers'!$A$2:$E$129,2,FALSE))</f>
        <v/>
      </c>
      <c r="V145" s="520" t="str">
        <f t="shared" si="16"/>
        <v/>
      </c>
      <c r="W145" s="520" t="str">
        <f>IF(E145="","",IF(AND(V145="Standard difficulty applied",O145&gt;P145),U145,IF(AND(V145="Low Difficulty - only applicable if all habitat created before losses",P145&gt;=O145),"Low",VLOOKUP(F145,'G-3 Multipliers'!$A$2:$E$129,4,FALSE))))</f>
        <v/>
      </c>
      <c r="X145" s="524" t="str">
        <f>IFERROR(IF(E145="","",VLOOKUP(W145, 'G-3 Multipliers'!$P$2:$Q$6,2,FALSE)),"")</f>
        <v/>
      </c>
      <c r="Y145" s="529" t="str">
        <f t="shared" si="17"/>
        <v/>
      </c>
      <c r="Z145" s="239"/>
      <c r="AA145" s="240"/>
      <c r="AE145" s="54" t="str">
        <f t="shared" si="13"/>
        <v/>
      </c>
    </row>
    <row r="146" spans="1:31" x14ac:dyDescent="0.25">
      <c r="A146" s="47" t="str">
        <f>IFERROR(INDEX('G-8 Condition Look up'!$I$4:$I$130,MATCH(F146,'G-8 Condition Look up'!$A$4:$A$130,0)),"")</f>
        <v/>
      </c>
      <c r="C146" s="384" t="str">
        <f>IFERROR(INDEX('G-1 All Habitats'!$AG$3:$AG$15,MATCH(D146,'G-1 All Habitats'!$AF$3:$AF$15,0)),"")</f>
        <v/>
      </c>
      <c r="D146" s="146"/>
      <c r="E146" s="79"/>
      <c r="F146" s="246" t="str">
        <f>IFERROR(INDEX('G-1 All Habitats'!$B$3:$B$129,MATCH(E146,'G-1 All Habitats'!$A$3:$A$129,0)),"")</f>
        <v/>
      </c>
      <c r="G146" s="70"/>
      <c r="H146" s="498" t="str">
        <f>IF(F146="","",VLOOKUP(F146,'G-1 All Habitats'!$B$2:$M$129,10,FALSE))</f>
        <v/>
      </c>
      <c r="I146" s="499" t="str">
        <f>IFERROR(VLOOKUP(H146,'G-1 All Habitats'!$V$3:$W$7,2,FALSE),"")</f>
        <v/>
      </c>
      <c r="J146" s="71"/>
      <c r="K146" s="499" t="str">
        <f>IFERROR(INDEX('G-8 Condition Look up'!$A$3:$H$130,MATCH(F146,'G-8 Condition Look up'!$A$3:$A$130,0),MATCH(J146,'G-8 Condition Look up'!$A$3:$H$3,0)),"")</f>
        <v/>
      </c>
      <c r="L146" s="71"/>
      <c r="M146" s="507" t="str">
        <f>IF(L146="","",IF(VLOOKUP(L146,'G-3 Multipliers'!$L$3:$N$6,2,FALSE)=0,"Spatial Data Missing",VLOOKUP(L146,'G-3 Multipliers'!$L$3:$N$6,2,FALSE)))</f>
        <v/>
      </c>
      <c r="N146" s="505" t="str">
        <f>IF(L146="","",IF(VLOOKUP(L146,'G-3 Multipliers'!$L$3:$N$6,3,FALSE)=0,"Spatial Data Missing",VLOOKUP(L146,'G-3 Multipliers'!$L$3:$N$6,3,FALSE)))</f>
        <v/>
      </c>
      <c r="O146" s="498" t="str">
        <f t="shared" si="12"/>
        <v/>
      </c>
      <c r="P146" s="82"/>
      <c r="Q146" s="82"/>
      <c r="R146" s="507" t="str">
        <f t="shared" si="14"/>
        <v/>
      </c>
      <c r="S146" s="521" t="str">
        <f t="shared" si="15"/>
        <v/>
      </c>
      <c r="T146" s="522" t="str">
        <f>IFERROR(IF(S146="Check Data ⚠","Check Data ⚠",VLOOKUP(S146,'G-4 Temporal multipliers'!$A$4:$C$37,3,FALSE)),"")</f>
        <v/>
      </c>
      <c r="U146" s="523" t="str">
        <f>IF(F146="","",VLOOKUP(F146,'G-3 Multipliers'!$A$2:$E$129,2,FALSE))</f>
        <v/>
      </c>
      <c r="V146" s="520" t="str">
        <f t="shared" si="16"/>
        <v/>
      </c>
      <c r="W146" s="520" t="str">
        <f>IF(E146="","",IF(AND(V146="Standard difficulty applied",O146&gt;P146),U146,IF(AND(V146="Low Difficulty - only applicable if all habitat created before losses",P146&gt;=O146),"Low",VLOOKUP(F146,'G-3 Multipliers'!$A$2:$E$129,4,FALSE))))</f>
        <v/>
      </c>
      <c r="X146" s="524" t="str">
        <f>IFERROR(IF(E146="","",VLOOKUP(W146, 'G-3 Multipliers'!$P$2:$Q$6,2,FALSE)),"")</f>
        <v/>
      </c>
      <c r="Y146" s="529" t="str">
        <f t="shared" si="17"/>
        <v/>
      </c>
      <c r="Z146" s="239"/>
      <c r="AA146" s="240"/>
      <c r="AE146" s="54" t="str">
        <f t="shared" si="13"/>
        <v/>
      </c>
    </row>
    <row r="147" spans="1:31" x14ac:dyDescent="0.25">
      <c r="A147" s="47" t="str">
        <f>IFERROR(INDEX('G-8 Condition Look up'!$I$4:$I$130,MATCH(F147,'G-8 Condition Look up'!$A$4:$A$130,0)),"")</f>
        <v/>
      </c>
      <c r="C147" s="384" t="str">
        <f>IFERROR(INDEX('G-1 All Habitats'!$AG$3:$AG$15,MATCH(D147,'G-1 All Habitats'!$AF$3:$AF$15,0)),"")</f>
        <v/>
      </c>
      <c r="D147" s="146"/>
      <c r="E147" s="79"/>
      <c r="F147" s="246" t="str">
        <f>IFERROR(INDEX('G-1 All Habitats'!$B$3:$B$129,MATCH(E147,'G-1 All Habitats'!$A$3:$A$129,0)),"")</f>
        <v/>
      </c>
      <c r="G147" s="70"/>
      <c r="H147" s="498" t="str">
        <f>IF(F147="","",VLOOKUP(F147,'G-1 All Habitats'!$B$2:$M$129,10,FALSE))</f>
        <v/>
      </c>
      <c r="I147" s="499" t="str">
        <f>IFERROR(VLOOKUP(H147,'G-1 All Habitats'!$V$3:$W$7,2,FALSE),"")</f>
        <v/>
      </c>
      <c r="J147" s="71"/>
      <c r="K147" s="499" t="str">
        <f>IFERROR(INDEX('G-8 Condition Look up'!$A$3:$H$130,MATCH(F147,'G-8 Condition Look up'!$A$3:$A$130,0),MATCH(J147,'G-8 Condition Look up'!$A$3:$H$3,0)),"")</f>
        <v/>
      </c>
      <c r="L147" s="71"/>
      <c r="M147" s="507" t="str">
        <f>IF(L147="","",IF(VLOOKUP(L147,'G-3 Multipliers'!$L$3:$N$6,2,FALSE)=0,"Spatial Data Missing",VLOOKUP(L147,'G-3 Multipliers'!$L$3:$N$6,2,FALSE)))</f>
        <v/>
      </c>
      <c r="N147" s="505" t="str">
        <f>IF(L147="","",IF(VLOOKUP(L147,'G-3 Multipliers'!$L$3:$N$6,3,FALSE)=0,"Spatial Data Missing",VLOOKUP(L147,'G-3 Multipliers'!$L$3:$N$6,3,FALSE)))</f>
        <v/>
      </c>
      <c r="O147" s="498" t="str">
        <f t="shared" si="12"/>
        <v/>
      </c>
      <c r="P147" s="82"/>
      <c r="Q147" s="82"/>
      <c r="R147" s="507" t="str">
        <f t="shared" si="14"/>
        <v/>
      </c>
      <c r="S147" s="521" t="str">
        <f t="shared" si="15"/>
        <v/>
      </c>
      <c r="T147" s="522" t="str">
        <f>IFERROR(IF(S147="Check Data ⚠","Check Data ⚠",VLOOKUP(S147,'G-4 Temporal multipliers'!$A$4:$C$37,3,FALSE)),"")</f>
        <v/>
      </c>
      <c r="U147" s="523" t="str">
        <f>IF(F147="","",VLOOKUP(F147,'G-3 Multipliers'!$A$2:$E$129,2,FALSE))</f>
        <v/>
      </c>
      <c r="V147" s="520" t="str">
        <f t="shared" si="16"/>
        <v/>
      </c>
      <c r="W147" s="520" t="str">
        <f>IF(E147="","",IF(AND(V147="Standard difficulty applied",O147&gt;P147),U147,IF(AND(V147="Low Difficulty - only applicable if all habitat created before losses",P147&gt;=O147),"Low",VLOOKUP(F147,'G-3 Multipliers'!$A$2:$E$129,4,FALSE))))</f>
        <v/>
      </c>
      <c r="X147" s="524" t="str">
        <f>IFERROR(IF(E147="","",VLOOKUP(W147, 'G-3 Multipliers'!$P$2:$Q$6,2,FALSE)),"")</f>
        <v/>
      </c>
      <c r="Y147" s="529" t="str">
        <f t="shared" si="17"/>
        <v/>
      </c>
      <c r="Z147" s="239"/>
      <c r="AA147" s="240"/>
      <c r="AE147" s="54" t="str">
        <f t="shared" si="13"/>
        <v/>
      </c>
    </row>
    <row r="148" spans="1:31" x14ac:dyDescent="0.25">
      <c r="A148" s="47" t="str">
        <f>IFERROR(INDEX('G-8 Condition Look up'!$I$4:$I$130,MATCH(F148,'G-8 Condition Look up'!$A$4:$A$130,0)),"")</f>
        <v/>
      </c>
      <c r="C148" s="384" t="str">
        <f>IFERROR(INDEX('G-1 All Habitats'!$AG$3:$AG$15,MATCH(D148,'G-1 All Habitats'!$AF$3:$AF$15,0)),"")</f>
        <v/>
      </c>
      <c r="D148" s="146"/>
      <c r="E148" s="79"/>
      <c r="F148" s="246" t="str">
        <f>IFERROR(INDEX('G-1 All Habitats'!$B$3:$B$129,MATCH(E148,'G-1 All Habitats'!$A$3:$A$129,0)),"")</f>
        <v/>
      </c>
      <c r="G148" s="70"/>
      <c r="H148" s="498" t="str">
        <f>IF(F148="","",VLOOKUP(F148,'G-1 All Habitats'!$B$2:$M$129,10,FALSE))</f>
        <v/>
      </c>
      <c r="I148" s="499" t="str">
        <f>IFERROR(VLOOKUP(H148,'G-1 All Habitats'!$V$3:$W$7,2,FALSE),"")</f>
        <v/>
      </c>
      <c r="J148" s="71"/>
      <c r="K148" s="499" t="str">
        <f>IFERROR(INDEX('G-8 Condition Look up'!$A$3:$H$130,MATCH(F148,'G-8 Condition Look up'!$A$3:$A$130,0),MATCH(J148,'G-8 Condition Look up'!$A$3:$H$3,0)),"")</f>
        <v/>
      </c>
      <c r="L148" s="71"/>
      <c r="M148" s="507" t="str">
        <f>IF(L148="","",IF(VLOOKUP(L148,'G-3 Multipliers'!$L$3:$N$6,2,FALSE)=0,"Spatial Data Missing",VLOOKUP(L148,'G-3 Multipliers'!$L$3:$N$6,2,FALSE)))</f>
        <v/>
      </c>
      <c r="N148" s="505" t="str">
        <f>IF(L148="","",IF(VLOOKUP(L148,'G-3 Multipliers'!$L$3:$N$6,3,FALSE)=0,"Spatial Data Missing",VLOOKUP(L148,'G-3 Multipliers'!$L$3:$N$6,3,FALSE)))</f>
        <v/>
      </c>
      <c r="O148" s="498" t="str">
        <f t="shared" si="12"/>
        <v/>
      </c>
      <c r="P148" s="82"/>
      <c r="Q148" s="82"/>
      <c r="R148" s="507" t="str">
        <f t="shared" si="14"/>
        <v/>
      </c>
      <c r="S148" s="521" t="str">
        <f t="shared" si="15"/>
        <v/>
      </c>
      <c r="T148" s="522" t="str">
        <f>IFERROR(IF(S148="Check Data ⚠","Check Data ⚠",VLOOKUP(S148,'G-4 Temporal multipliers'!$A$4:$C$37,3,FALSE)),"")</f>
        <v/>
      </c>
      <c r="U148" s="523" t="str">
        <f>IF(F148="","",VLOOKUP(F148,'G-3 Multipliers'!$A$2:$E$129,2,FALSE))</f>
        <v/>
      </c>
      <c r="V148" s="520" t="str">
        <f t="shared" si="16"/>
        <v/>
      </c>
      <c r="W148" s="520" t="str">
        <f>IF(E148="","",IF(AND(V148="Standard difficulty applied",O148&gt;P148),U148,IF(AND(V148="Low Difficulty - only applicable if all habitat created before losses",P148&gt;=O148),"Low",VLOOKUP(F148,'G-3 Multipliers'!$A$2:$E$129,4,FALSE))))</f>
        <v/>
      </c>
      <c r="X148" s="524" t="str">
        <f>IFERROR(IF(E148="","",VLOOKUP(W148, 'G-3 Multipliers'!$P$2:$Q$6,2,FALSE)),"")</f>
        <v/>
      </c>
      <c r="Y148" s="529" t="str">
        <f t="shared" si="17"/>
        <v/>
      </c>
      <c r="Z148" s="239"/>
      <c r="AA148" s="240"/>
      <c r="AE148" s="54" t="str">
        <f t="shared" si="13"/>
        <v/>
      </c>
    </row>
    <row r="149" spans="1:31" x14ac:dyDescent="0.25">
      <c r="A149" s="47" t="str">
        <f>IFERROR(INDEX('G-8 Condition Look up'!$I$4:$I$130,MATCH(F149,'G-8 Condition Look up'!$A$4:$A$130,0)),"")</f>
        <v/>
      </c>
      <c r="C149" s="384" t="str">
        <f>IFERROR(INDEX('G-1 All Habitats'!$AG$3:$AG$15,MATCH(D149,'G-1 All Habitats'!$AF$3:$AF$15,0)),"")</f>
        <v/>
      </c>
      <c r="D149" s="146"/>
      <c r="E149" s="79"/>
      <c r="F149" s="246" t="str">
        <f>IFERROR(INDEX('G-1 All Habitats'!$B$3:$B$129,MATCH(E149,'G-1 All Habitats'!$A$3:$A$129,0)),"")</f>
        <v/>
      </c>
      <c r="G149" s="70"/>
      <c r="H149" s="498" t="str">
        <f>IF(F149="","",VLOOKUP(F149,'G-1 All Habitats'!$B$2:$M$129,10,FALSE))</f>
        <v/>
      </c>
      <c r="I149" s="499" t="str">
        <f>IFERROR(VLOOKUP(H149,'G-1 All Habitats'!$V$3:$W$7,2,FALSE),"")</f>
        <v/>
      </c>
      <c r="J149" s="71"/>
      <c r="K149" s="499" t="str">
        <f>IFERROR(INDEX('G-8 Condition Look up'!$A$3:$H$130,MATCH(F149,'G-8 Condition Look up'!$A$3:$A$130,0),MATCH(J149,'G-8 Condition Look up'!$A$3:$H$3,0)),"")</f>
        <v/>
      </c>
      <c r="L149" s="71"/>
      <c r="M149" s="507" t="str">
        <f>IF(L149="","",IF(VLOOKUP(L149,'G-3 Multipliers'!$L$3:$N$6,2,FALSE)=0,"Spatial Data Missing",VLOOKUP(L149,'G-3 Multipliers'!$L$3:$N$6,2,FALSE)))</f>
        <v/>
      </c>
      <c r="N149" s="505" t="str">
        <f>IF(L149="","",IF(VLOOKUP(L149,'G-3 Multipliers'!$L$3:$N$6,3,FALSE)=0,"Spatial Data Missing",VLOOKUP(L149,'G-3 Multipliers'!$L$3:$N$6,3,FALSE)))</f>
        <v/>
      </c>
      <c r="O149" s="498" t="str">
        <f t="shared" si="12"/>
        <v/>
      </c>
      <c r="P149" s="82"/>
      <c r="Q149" s="82"/>
      <c r="R149" s="507" t="str">
        <f t="shared" si="14"/>
        <v/>
      </c>
      <c r="S149" s="521" t="str">
        <f t="shared" si="15"/>
        <v/>
      </c>
      <c r="T149" s="522" t="str">
        <f>IFERROR(IF(S149="Check Data ⚠","Check Data ⚠",VLOOKUP(S149,'G-4 Temporal multipliers'!$A$4:$C$37,3,FALSE)),"")</f>
        <v/>
      </c>
      <c r="U149" s="523" t="str">
        <f>IF(F149="","",VLOOKUP(F149,'G-3 Multipliers'!$A$2:$E$129,2,FALSE))</f>
        <v/>
      </c>
      <c r="V149" s="520" t="str">
        <f t="shared" si="16"/>
        <v/>
      </c>
      <c r="W149" s="520" t="str">
        <f>IF(E149="","",IF(AND(V149="Standard difficulty applied",O149&gt;P149),U149,IF(AND(V149="Low Difficulty - only applicable if all habitat created before losses",P149&gt;=O149),"Low",VLOOKUP(F149,'G-3 Multipliers'!$A$2:$E$129,4,FALSE))))</f>
        <v/>
      </c>
      <c r="X149" s="524" t="str">
        <f>IFERROR(IF(E149="","",VLOOKUP(W149, 'G-3 Multipliers'!$P$2:$Q$6,2,FALSE)),"")</f>
        <v/>
      </c>
      <c r="Y149" s="529" t="str">
        <f t="shared" si="17"/>
        <v/>
      </c>
      <c r="Z149" s="239"/>
      <c r="AA149" s="240"/>
      <c r="AE149" s="54" t="str">
        <f t="shared" si="13"/>
        <v/>
      </c>
    </row>
    <row r="150" spans="1:31" x14ac:dyDescent="0.25">
      <c r="A150" s="47" t="str">
        <f>IFERROR(INDEX('G-8 Condition Look up'!$I$4:$I$130,MATCH(F150,'G-8 Condition Look up'!$A$4:$A$130,0)),"")</f>
        <v/>
      </c>
      <c r="C150" s="384" t="str">
        <f>IFERROR(INDEX('G-1 All Habitats'!$AG$3:$AG$15,MATCH(D150,'G-1 All Habitats'!$AF$3:$AF$15,0)),"")</f>
        <v/>
      </c>
      <c r="D150" s="146"/>
      <c r="E150" s="79"/>
      <c r="F150" s="246" t="str">
        <f>IFERROR(INDEX('G-1 All Habitats'!$B$3:$B$129,MATCH(E150,'G-1 All Habitats'!$A$3:$A$129,0)),"")</f>
        <v/>
      </c>
      <c r="G150" s="70"/>
      <c r="H150" s="498" t="str">
        <f>IF(F150="","",VLOOKUP(F150,'G-1 All Habitats'!$B$2:$M$129,10,FALSE))</f>
        <v/>
      </c>
      <c r="I150" s="499" t="str">
        <f>IFERROR(VLOOKUP(H150,'G-1 All Habitats'!$V$3:$W$7,2,FALSE),"")</f>
        <v/>
      </c>
      <c r="J150" s="71"/>
      <c r="K150" s="499" t="str">
        <f>IFERROR(INDEX('G-8 Condition Look up'!$A$3:$H$130,MATCH(F150,'G-8 Condition Look up'!$A$3:$A$130,0),MATCH(J150,'G-8 Condition Look up'!$A$3:$H$3,0)),"")</f>
        <v/>
      </c>
      <c r="L150" s="71"/>
      <c r="M150" s="507" t="str">
        <f>IF(L150="","",IF(VLOOKUP(L150,'G-3 Multipliers'!$L$3:$N$6,2,FALSE)=0,"Spatial Data Missing",VLOOKUP(L150,'G-3 Multipliers'!$L$3:$N$6,2,FALSE)))</f>
        <v/>
      </c>
      <c r="N150" s="505" t="str">
        <f>IF(L150="","",IF(VLOOKUP(L150,'G-3 Multipliers'!$L$3:$N$6,3,FALSE)=0,"Spatial Data Missing",VLOOKUP(L150,'G-3 Multipliers'!$L$3:$N$6,3,FALSE)))</f>
        <v/>
      </c>
      <c r="O150" s="498" t="str">
        <f t="shared" si="12"/>
        <v/>
      </c>
      <c r="P150" s="82"/>
      <c r="Q150" s="82"/>
      <c r="R150" s="507" t="str">
        <f t="shared" si="14"/>
        <v/>
      </c>
      <c r="S150" s="521" t="str">
        <f t="shared" si="15"/>
        <v/>
      </c>
      <c r="T150" s="522" t="str">
        <f>IFERROR(IF(S150="Check Data ⚠","Check Data ⚠",VLOOKUP(S150,'G-4 Temporal multipliers'!$A$4:$C$37,3,FALSE)),"")</f>
        <v/>
      </c>
      <c r="U150" s="523" t="str">
        <f>IF(F150="","",VLOOKUP(F150,'G-3 Multipliers'!$A$2:$E$129,2,FALSE))</f>
        <v/>
      </c>
      <c r="V150" s="520" t="str">
        <f t="shared" si="16"/>
        <v/>
      </c>
      <c r="W150" s="520" t="str">
        <f>IF(E150="","",IF(AND(V150="Standard difficulty applied",O150&gt;P150),U150,IF(AND(V150="Low Difficulty - only applicable if all habitat created before losses",P150&gt;=O150),"Low",VLOOKUP(F150,'G-3 Multipliers'!$A$2:$E$129,4,FALSE))))</f>
        <v/>
      </c>
      <c r="X150" s="524" t="str">
        <f>IFERROR(IF(E150="","",VLOOKUP(W150, 'G-3 Multipliers'!$P$2:$Q$6,2,FALSE)),"")</f>
        <v/>
      </c>
      <c r="Y150" s="529" t="str">
        <f t="shared" si="17"/>
        <v/>
      </c>
      <c r="Z150" s="239"/>
      <c r="AA150" s="240"/>
      <c r="AE150" s="54" t="str">
        <f t="shared" si="13"/>
        <v/>
      </c>
    </row>
    <row r="151" spans="1:31" x14ac:dyDescent="0.25">
      <c r="A151" s="47" t="str">
        <f>IFERROR(INDEX('G-8 Condition Look up'!$I$4:$I$130,MATCH(F151,'G-8 Condition Look up'!$A$4:$A$130,0)),"")</f>
        <v/>
      </c>
      <c r="C151" s="384" t="str">
        <f>IFERROR(INDEX('G-1 All Habitats'!$AG$3:$AG$15,MATCH(D151,'G-1 All Habitats'!$AF$3:$AF$15,0)),"")</f>
        <v/>
      </c>
      <c r="D151" s="146"/>
      <c r="E151" s="79"/>
      <c r="F151" s="246" t="str">
        <f>IFERROR(INDEX('G-1 All Habitats'!$B$3:$B$129,MATCH(E151,'G-1 All Habitats'!$A$3:$A$129,0)),"")</f>
        <v/>
      </c>
      <c r="G151" s="70"/>
      <c r="H151" s="498" t="str">
        <f>IF(F151="","",VLOOKUP(F151,'G-1 All Habitats'!$B$2:$M$129,10,FALSE))</f>
        <v/>
      </c>
      <c r="I151" s="499" t="str">
        <f>IFERROR(VLOOKUP(H151,'G-1 All Habitats'!$V$3:$W$7,2,FALSE),"")</f>
        <v/>
      </c>
      <c r="J151" s="71"/>
      <c r="K151" s="499" t="str">
        <f>IFERROR(INDEX('G-8 Condition Look up'!$A$3:$H$130,MATCH(F151,'G-8 Condition Look up'!$A$3:$A$130,0),MATCH(J151,'G-8 Condition Look up'!$A$3:$H$3,0)),"")</f>
        <v/>
      </c>
      <c r="L151" s="71"/>
      <c r="M151" s="507" t="str">
        <f>IF(L151="","",IF(VLOOKUP(L151,'G-3 Multipliers'!$L$3:$N$6,2,FALSE)=0,"Spatial Data Missing",VLOOKUP(L151,'G-3 Multipliers'!$L$3:$N$6,2,FALSE)))</f>
        <v/>
      </c>
      <c r="N151" s="505" t="str">
        <f>IF(L151="","",IF(VLOOKUP(L151,'G-3 Multipliers'!$L$3:$N$6,3,FALSE)=0,"Spatial Data Missing",VLOOKUP(L151,'G-3 Multipliers'!$L$3:$N$6,3,FALSE)))</f>
        <v/>
      </c>
      <c r="O151" s="498" t="str">
        <f t="shared" si="12"/>
        <v/>
      </c>
      <c r="P151" s="82"/>
      <c r="Q151" s="82"/>
      <c r="R151" s="507" t="str">
        <f t="shared" si="14"/>
        <v/>
      </c>
      <c r="S151" s="521" t="str">
        <f t="shared" si="15"/>
        <v/>
      </c>
      <c r="T151" s="522" t="str">
        <f>IFERROR(IF(S151="Check Data ⚠","Check Data ⚠",VLOOKUP(S151,'G-4 Temporal multipliers'!$A$4:$C$37,3,FALSE)),"")</f>
        <v/>
      </c>
      <c r="U151" s="523" t="str">
        <f>IF(F151="","",VLOOKUP(F151,'G-3 Multipliers'!$A$2:$E$129,2,FALSE))</f>
        <v/>
      </c>
      <c r="V151" s="520" t="str">
        <f t="shared" si="16"/>
        <v/>
      </c>
      <c r="W151" s="520" t="str">
        <f>IF(E151="","",IF(AND(V151="Standard difficulty applied",O151&gt;P151),U151,IF(AND(V151="Low Difficulty - only applicable if all habitat created before losses",P151&gt;=O151),"Low",VLOOKUP(F151,'G-3 Multipliers'!$A$2:$E$129,4,FALSE))))</f>
        <v/>
      </c>
      <c r="X151" s="524" t="str">
        <f>IFERROR(IF(E151="","",VLOOKUP(W151, 'G-3 Multipliers'!$P$2:$Q$6,2,FALSE)),"")</f>
        <v/>
      </c>
      <c r="Y151" s="529" t="str">
        <f t="shared" si="17"/>
        <v/>
      </c>
      <c r="Z151" s="239"/>
      <c r="AA151" s="240"/>
      <c r="AE151" s="54" t="str">
        <f t="shared" si="13"/>
        <v/>
      </c>
    </row>
    <row r="152" spans="1:31" x14ac:dyDescent="0.25">
      <c r="A152" s="47" t="str">
        <f>IFERROR(INDEX('G-8 Condition Look up'!$I$4:$I$130,MATCH(F152,'G-8 Condition Look up'!$A$4:$A$130,0)),"")</f>
        <v/>
      </c>
      <c r="C152" s="384" t="str">
        <f>IFERROR(INDEX('G-1 All Habitats'!$AG$3:$AG$15,MATCH(D152,'G-1 All Habitats'!$AF$3:$AF$15,0)),"")</f>
        <v/>
      </c>
      <c r="D152" s="146"/>
      <c r="E152" s="79"/>
      <c r="F152" s="246" t="str">
        <f>IFERROR(INDEX('G-1 All Habitats'!$B$3:$B$129,MATCH(E152,'G-1 All Habitats'!$A$3:$A$129,0)),"")</f>
        <v/>
      </c>
      <c r="G152" s="70"/>
      <c r="H152" s="498" t="str">
        <f>IF(F152="","",VLOOKUP(F152,'G-1 All Habitats'!$B$2:$M$129,10,FALSE))</f>
        <v/>
      </c>
      <c r="I152" s="499" t="str">
        <f>IFERROR(VLOOKUP(H152,'G-1 All Habitats'!$V$3:$W$7,2,FALSE),"")</f>
        <v/>
      </c>
      <c r="J152" s="71"/>
      <c r="K152" s="499" t="str">
        <f>IFERROR(INDEX('G-8 Condition Look up'!$A$3:$H$130,MATCH(F152,'G-8 Condition Look up'!$A$3:$A$130,0),MATCH(J152,'G-8 Condition Look up'!$A$3:$H$3,0)),"")</f>
        <v/>
      </c>
      <c r="L152" s="71"/>
      <c r="M152" s="507" t="str">
        <f>IF(L152="","",IF(VLOOKUP(L152,'G-3 Multipliers'!$L$3:$N$6,2,FALSE)=0,"Spatial Data Missing",VLOOKUP(L152,'G-3 Multipliers'!$L$3:$N$6,2,FALSE)))</f>
        <v/>
      </c>
      <c r="N152" s="505" t="str">
        <f>IF(L152="","",IF(VLOOKUP(L152,'G-3 Multipliers'!$L$3:$N$6,3,FALSE)=0,"Spatial Data Missing",VLOOKUP(L152,'G-3 Multipliers'!$L$3:$N$6,3,FALSE)))</f>
        <v/>
      </c>
      <c r="O152" s="498" t="str">
        <f t="shared" si="12"/>
        <v/>
      </c>
      <c r="P152" s="82"/>
      <c r="Q152" s="82"/>
      <c r="R152" s="507" t="str">
        <f t="shared" si="14"/>
        <v/>
      </c>
      <c r="S152" s="521" t="str">
        <f t="shared" si="15"/>
        <v/>
      </c>
      <c r="T152" s="522" t="str">
        <f>IFERROR(IF(S152="Check Data ⚠","Check Data ⚠",VLOOKUP(S152,'G-4 Temporal multipliers'!$A$4:$C$37,3,FALSE)),"")</f>
        <v/>
      </c>
      <c r="U152" s="523" t="str">
        <f>IF(F152="","",VLOOKUP(F152,'G-3 Multipliers'!$A$2:$E$129,2,FALSE))</f>
        <v/>
      </c>
      <c r="V152" s="520" t="str">
        <f t="shared" si="16"/>
        <v/>
      </c>
      <c r="W152" s="520" t="str">
        <f>IF(E152="","",IF(AND(V152="Standard difficulty applied",O152&gt;P152),U152,IF(AND(V152="Low Difficulty - only applicable if all habitat created before losses",P152&gt;=O152),"Low",VLOOKUP(F152,'G-3 Multipliers'!$A$2:$E$129,4,FALSE))))</f>
        <v/>
      </c>
      <c r="X152" s="524" t="str">
        <f>IFERROR(IF(E152="","",VLOOKUP(W152, 'G-3 Multipliers'!$P$2:$Q$6,2,FALSE)),"")</f>
        <v/>
      </c>
      <c r="Y152" s="529" t="str">
        <f t="shared" si="17"/>
        <v/>
      </c>
      <c r="Z152" s="239"/>
      <c r="AA152" s="240"/>
      <c r="AE152" s="54" t="str">
        <f t="shared" si="13"/>
        <v/>
      </c>
    </row>
    <row r="153" spans="1:31" x14ac:dyDescent="0.25">
      <c r="A153" s="47" t="str">
        <f>IFERROR(INDEX('G-8 Condition Look up'!$I$4:$I$130,MATCH(F153,'G-8 Condition Look up'!$A$4:$A$130,0)),"")</f>
        <v/>
      </c>
      <c r="C153" s="384" t="str">
        <f>IFERROR(INDEX('G-1 All Habitats'!$AG$3:$AG$15,MATCH(D153,'G-1 All Habitats'!$AF$3:$AF$15,0)),"")</f>
        <v/>
      </c>
      <c r="D153" s="146"/>
      <c r="E153" s="79"/>
      <c r="F153" s="246" t="str">
        <f>IFERROR(INDEX('G-1 All Habitats'!$B$3:$B$129,MATCH(E153,'G-1 All Habitats'!$A$3:$A$129,0)),"")</f>
        <v/>
      </c>
      <c r="G153" s="70"/>
      <c r="H153" s="498" t="str">
        <f>IF(F153="","",VLOOKUP(F153,'G-1 All Habitats'!$B$2:$M$129,10,FALSE))</f>
        <v/>
      </c>
      <c r="I153" s="499" t="str">
        <f>IFERROR(VLOOKUP(H153,'G-1 All Habitats'!$V$3:$W$7,2,FALSE),"")</f>
        <v/>
      </c>
      <c r="J153" s="71"/>
      <c r="K153" s="499" t="str">
        <f>IFERROR(INDEX('G-8 Condition Look up'!$A$3:$H$130,MATCH(F153,'G-8 Condition Look up'!$A$3:$A$130,0),MATCH(J153,'G-8 Condition Look up'!$A$3:$H$3,0)),"")</f>
        <v/>
      </c>
      <c r="L153" s="71"/>
      <c r="M153" s="507" t="str">
        <f>IF(L153="","",IF(VLOOKUP(L153,'G-3 Multipliers'!$L$3:$N$6,2,FALSE)=0,"Spatial Data Missing",VLOOKUP(L153,'G-3 Multipliers'!$L$3:$N$6,2,FALSE)))</f>
        <v/>
      </c>
      <c r="N153" s="505" t="str">
        <f>IF(L153="","",IF(VLOOKUP(L153,'G-3 Multipliers'!$L$3:$N$6,3,FALSE)=0,"Spatial Data Missing",VLOOKUP(L153,'G-3 Multipliers'!$L$3:$N$6,3,FALSE)))</f>
        <v/>
      </c>
      <c r="O153" s="498" t="str">
        <f t="shared" si="12"/>
        <v/>
      </c>
      <c r="P153" s="82"/>
      <c r="Q153" s="82"/>
      <c r="R153" s="507" t="str">
        <f t="shared" si="14"/>
        <v/>
      </c>
      <c r="S153" s="521" t="str">
        <f t="shared" si="15"/>
        <v/>
      </c>
      <c r="T153" s="522" t="str">
        <f>IFERROR(IF(S153="Check Data ⚠","Check Data ⚠",VLOOKUP(S153,'G-4 Temporal multipliers'!$A$4:$C$37,3,FALSE)),"")</f>
        <v/>
      </c>
      <c r="U153" s="523" t="str">
        <f>IF(F153="","",VLOOKUP(F153,'G-3 Multipliers'!$A$2:$E$129,2,FALSE))</f>
        <v/>
      </c>
      <c r="V153" s="520" t="str">
        <f t="shared" si="16"/>
        <v/>
      </c>
      <c r="W153" s="520" t="str">
        <f>IF(E153="","",IF(AND(V153="Standard difficulty applied",O153&gt;P153),U153,IF(AND(V153="Low Difficulty - only applicable if all habitat created before losses",P153&gt;=O153),"Low",VLOOKUP(F153,'G-3 Multipliers'!$A$2:$E$129,4,FALSE))))</f>
        <v/>
      </c>
      <c r="X153" s="524" t="str">
        <f>IFERROR(IF(E153="","",VLOOKUP(W153, 'G-3 Multipliers'!$P$2:$Q$6,2,FALSE)),"")</f>
        <v/>
      </c>
      <c r="Y153" s="529" t="str">
        <f t="shared" si="17"/>
        <v/>
      </c>
      <c r="Z153" s="239"/>
      <c r="AA153" s="240"/>
      <c r="AE153" s="54" t="str">
        <f t="shared" si="13"/>
        <v/>
      </c>
    </row>
    <row r="154" spans="1:31" x14ac:dyDescent="0.25">
      <c r="A154" s="47" t="str">
        <f>IFERROR(INDEX('G-8 Condition Look up'!$I$4:$I$130,MATCH(F154,'G-8 Condition Look up'!$A$4:$A$130,0)),"")</f>
        <v/>
      </c>
      <c r="C154" s="384" t="str">
        <f>IFERROR(INDEX('G-1 All Habitats'!$AG$3:$AG$15,MATCH(D154,'G-1 All Habitats'!$AF$3:$AF$15,0)),"")</f>
        <v/>
      </c>
      <c r="D154" s="146"/>
      <c r="E154" s="79"/>
      <c r="F154" s="246" t="str">
        <f>IFERROR(INDEX('G-1 All Habitats'!$B$3:$B$129,MATCH(E154,'G-1 All Habitats'!$A$3:$A$129,0)),"")</f>
        <v/>
      </c>
      <c r="G154" s="70"/>
      <c r="H154" s="498" t="str">
        <f>IF(F154="","",VLOOKUP(F154,'G-1 All Habitats'!$B$2:$M$129,10,FALSE))</f>
        <v/>
      </c>
      <c r="I154" s="499" t="str">
        <f>IFERROR(VLOOKUP(H154,'G-1 All Habitats'!$V$3:$W$7,2,FALSE),"")</f>
        <v/>
      </c>
      <c r="J154" s="71"/>
      <c r="K154" s="499" t="str">
        <f>IFERROR(INDEX('G-8 Condition Look up'!$A$3:$H$130,MATCH(F154,'G-8 Condition Look up'!$A$3:$A$130,0),MATCH(J154,'G-8 Condition Look up'!$A$3:$H$3,0)),"")</f>
        <v/>
      </c>
      <c r="L154" s="71"/>
      <c r="M154" s="507" t="str">
        <f>IF(L154="","",IF(VLOOKUP(L154,'G-3 Multipliers'!$L$3:$N$6,2,FALSE)=0,"Spatial Data Missing",VLOOKUP(L154,'G-3 Multipliers'!$L$3:$N$6,2,FALSE)))</f>
        <v/>
      </c>
      <c r="N154" s="505" t="str">
        <f>IF(L154="","",IF(VLOOKUP(L154,'G-3 Multipliers'!$L$3:$N$6,3,FALSE)=0,"Spatial Data Missing",VLOOKUP(L154,'G-3 Multipliers'!$L$3:$N$6,3,FALSE)))</f>
        <v/>
      </c>
      <c r="O154" s="498" t="str">
        <f t="shared" si="12"/>
        <v/>
      </c>
      <c r="P154" s="82"/>
      <c r="Q154" s="82"/>
      <c r="R154" s="507" t="str">
        <f t="shared" si="14"/>
        <v/>
      </c>
      <c r="S154" s="521" t="str">
        <f t="shared" si="15"/>
        <v/>
      </c>
      <c r="T154" s="522" t="str">
        <f>IFERROR(IF(S154="Check Data ⚠","Check Data ⚠",VLOOKUP(S154,'G-4 Temporal multipliers'!$A$4:$C$37,3,FALSE)),"")</f>
        <v/>
      </c>
      <c r="U154" s="523" t="str">
        <f>IF(F154="","",VLOOKUP(F154,'G-3 Multipliers'!$A$2:$E$129,2,FALSE))</f>
        <v/>
      </c>
      <c r="V154" s="520" t="str">
        <f t="shared" si="16"/>
        <v/>
      </c>
      <c r="W154" s="520" t="str">
        <f>IF(E154="","",IF(AND(V154="Standard difficulty applied",O154&gt;P154),U154,IF(AND(V154="Low Difficulty - only applicable if all habitat created before losses",P154&gt;=O154),"Low",VLOOKUP(F154,'G-3 Multipliers'!$A$2:$E$129,4,FALSE))))</f>
        <v/>
      </c>
      <c r="X154" s="524" t="str">
        <f>IFERROR(IF(E154="","",VLOOKUP(W154, 'G-3 Multipliers'!$P$2:$Q$6,2,FALSE)),"")</f>
        <v/>
      </c>
      <c r="Y154" s="529" t="str">
        <f t="shared" si="17"/>
        <v/>
      </c>
      <c r="Z154" s="239"/>
      <c r="AA154" s="240"/>
      <c r="AE154" s="54" t="str">
        <f t="shared" si="13"/>
        <v/>
      </c>
    </row>
    <row r="155" spans="1:31" x14ac:dyDescent="0.25">
      <c r="A155" s="47" t="str">
        <f>IFERROR(INDEX('G-8 Condition Look up'!$I$4:$I$130,MATCH(F155,'G-8 Condition Look up'!$A$4:$A$130,0)),"")</f>
        <v/>
      </c>
      <c r="C155" s="384" t="str">
        <f>IFERROR(INDEX('G-1 All Habitats'!$AG$3:$AG$15,MATCH(D155,'G-1 All Habitats'!$AF$3:$AF$15,0)),"")</f>
        <v/>
      </c>
      <c r="D155" s="146"/>
      <c r="E155" s="79"/>
      <c r="F155" s="246" t="str">
        <f>IFERROR(INDEX('G-1 All Habitats'!$B$3:$B$129,MATCH(E155,'G-1 All Habitats'!$A$3:$A$129,0)),"")</f>
        <v/>
      </c>
      <c r="G155" s="70"/>
      <c r="H155" s="498" t="str">
        <f>IF(F155="","",VLOOKUP(F155,'G-1 All Habitats'!$B$2:$M$129,10,FALSE))</f>
        <v/>
      </c>
      <c r="I155" s="499" t="str">
        <f>IFERROR(VLOOKUP(H155,'G-1 All Habitats'!$V$3:$W$7,2,FALSE),"")</f>
        <v/>
      </c>
      <c r="J155" s="71"/>
      <c r="K155" s="499" t="str">
        <f>IFERROR(INDEX('G-8 Condition Look up'!$A$3:$H$130,MATCH(F155,'G-8 Condition Look up'!$A$3:$A$130,0),MATCH(J155,'G-8 Condition Look up'!$A$3:$H$3,0)),"")</f>
        <v/>
      </c>
      <c r="L155" s="71"/>
      <c r="M155" s="507" t="str">
        <f>IF(L155="","",IF(VLOOKUP(L155,'G-3 Multipliers'!$L$3:$N$6,2,FALSE)=0,"Spatial Data Missing",VLOOKUP(L155,'G-3 Multipliers'!$L$3:$N$6,2,FALSE)))</f>
        <v/>
      </c>
      <c r="N155" s="505" t="str">
        <f>IF(L155="","",IF(VLOOKUP(L155,'G-3 Multipliers'!$L$3:$N$6,3,FALSE)=0,"Spatial Data Missing",VLOOKUP(L155,'G-3 Multipliers'!$L$3:$N$6,3,FALSE)))</f>
        <v/>
      </c>
      <c r="O155" s="498" t="str">
        <f t="shared" si="12"/>
        <v/>
      </c>
      <c r="P155" s="82"/>
      <c r="Q155" s="82"/>
      <c r="R155" s="507" t="str">
        <f t="shared" si="14"/>
        <v/>
      </c>
      <c r="S155" s="521" t="str">
        <f t="shared" si="15"/>
        <v/>
      </c>
      <c r="T155" s="522" t="str">
        <f>IFERROR(IF(S155="Check Data ⚠","Check Data ⚠",VLOOKUP(S155,'G-4 Temporal multipliers'!$A$4:$C$37,3,FALSE)),"")</f>
        <v/>
      </c>
      <c r="U155" s="523" t="str">
        <f>IF(F155="","",VLOOKUP(F155,'G-3 Multipliers'!$A$2:$E$129,2,FALSE))</f>
        <v/>
      </c>
      <c r="V155" s="520" t="str">
        <f t="shared" si="16"/>
        <v/>
      </c>
      <c r="W155" s="520" t="str">
        <f>IF(E155="","",IF(AND(V155="Standard difficulty applied",O155&gt;P155),U155,IF(AND(V155="Low Difficulty - only applicable if all habitat created before losses",P155&gt;=O155),"Low",VLOOKUP(F155,'G-3 Multipliers'!$A$2:$E$129,4,FALSE))))</f>
        <v/>
      </c>
      <c r="X155" s="524" t="str">
        <f>IFERROR(IF(E155="","",VLOOKUP(W155, 'G-3 Multipliers'!$P$2:$Q$6,2,FALSE)),"")</f>
        <v/>
      </c>
      <c r="Y155" s="529" t="str">
        <f t="shared" si="17"/>
        <v/>
      </c>
      <c r="Z155" s="239"/>
      <c r="AA155" s="240"/>
      <c r="AE155" s="54" t="str">
        <f t="shared" si="13"/>
        <v/>
      </c>
    </row>
    <row r="156" spans="1:31" x14ac:dyDescent="0.25">
      <c r="A156" s="47" t="str">
        <f>IFERROR(INDEX('G-8 Condition Look up'!$I$4:$I$130,MATCH(F156,'G-8 Condition Look up'!$A$4:$A$130,0)),"")</f>
        <v/>
      </c>
      <c r="C156" s="384" t="str">
        <f>IFERROR(INDEX('G-1 All Habitats'!$AG$3:$AG$15,MATCH(D156,'G-1 All Habitats'!$AF$3:$AF$15,0)),"")</f>
        <v/>
      </c>
      <c r="D156" s="146"/>
      <c r="E156" s="79"/>
      <c r="F156" s="246" t="str">
        <f>IFERROR(INDEX('G-1 All Habitats'!$B$3:$B$129,MATCH(E156,'G-1 All Habitats'!$A$3:$A$129,0)),"")</f>
        <v/>
      </c>
      <c r="G156" s="70"/>
      <c r="H156" s="498" t="str">
        <f>IF(F156="","",VLOOKUP(F156,'G-1 All Habitats'!$B$2:$M$129,10,FALSE))</f>
        <v/>
      </c>
      <c r="I156" s="499" t="str">
        <f>IFERROR(VLOOKUP(H156,'G-1 All Habitats'!$V$3:$W$7,2,FALSE),"")</f>
        <v/>
      </c>
      <c r="J156" s="71"/>
      <c r="K156" s="499" t="str">
        <f>IFERROR(INDEX('G-8 Condition Look up'!$A$3:$H$130,MATCH(F156,'G-8 Condition Look up'!$A$3:$A$130,0),MATCH(J156,'G-8 Condition Look up'!$A$3:$H$3,0)),"")</f>
        <v/>
      </c>
      <c r="L156" s="71"/>
      <c r="M156" s="507" t="str">
        <f>IF(L156="","",IF(VLOOKUP(L156,'G-3 Multipliers'!$L$3:$N$6,2,FALSE)=0,"Spatial Data Missing",VLOOKUP(L156,'G-3 Multipliers'!$L$3:$N$6,2,FALSE)))</f>
        <v/>
      </c>
      <c r="N156" s="505" t="str">
        <f>IF(L156="","",IF(VLOOKUP(L156,'G-3 Multipliers'!$L$3:$N$6,3,FALSE)=0,"Spatial Data Missing",VLOOKUP(L156,'G-3 Multipliers'!$L$3:$N$6,3,FALSE)))</f>
        <v/>
      </c>
      <c r="O156" s="498" t="str">
        <f t="shared" si="12"/>
        <v/>
      </c>
      <c r="P156" s="82"/>
      <c r="Q156" s="82"/>
      <c r="R156" s="507" t="str">
        <f t="shared" si="14"/>
        <v/>
      </c>
      <c r="S156" s="521" t="str">
        <f t="shared" si="15"/>
        <v/>
      </c>
      <c r="T156" s="522" t="str">
        <f>IFERROR(IF(S156="Check Data ⚠","Check Data ⚠",VLOOKUP(S156,'G-4 Temporal multipliers'!$A$4:$C$37,3,FALSE)),"")</f>
        <v/>
      </c>
      <c r="U156" s="523" t="str">
        <f>IF(F156="","",VLOOKUP(F156,'G-3 Multipliers'!$A$2:$E$129,2,FALSE))</f>
        <v/>
      </c>
      <c r="V156" s="520" t="str">
        <f t="shared" si="16"/>
        <v/>
      </c>
      <c r="W156" s="520" t="str">
        <f>IF(E156="","",IF(AND(V156="Standard difficulty applied",O156&gt;P156),U156,IF(AND(V156="Low Difficulty - only applicable if all habitat created before losses",P156&gt;=O156),"Low",VLOOKUP(F156,'G-3 Multipliers'!$A$2:$E$129,4,FALSE))))</f>
        <v/>
      </c>
      <c r="X156" s="524" t="str">
        <f>IFERROR(IF(E156="","",VLOOKUP(W156, 'G-3 Multipliers'!$P$2:$Q$6,2,FALSE)),"")</f>
        <v/>
      </c>
      <c r="Y156" s="529" t="str">
        <f t="shared" si="17"/>
        <v/>
      </c>
      <c r="Z156" s="239"/>
      <c r="AA156" s="240"/>
      <c r="AE156" s="54" t="str">
        <f t="shared" si="13"/>
        <v/>
      </c>
    </row>
    <row r="157" spans="1:31" x14ac:dyDescent="0.25">
      <c r="A157" s="47" t="str">
        <f>IFERROR(INDEX('G-8 Condition Look up'!$I$4:$I$130,MATCH(F157,'G-8 Condition Look up'!$A$4:$A$130,0)),"")</f>
        <v/>
      </c>
      <c r="C157" s="384" t="str">
        <f>IFERROR(INDEX('G-1 All Habitats'!$AG$3:$AG$15,MATCH(D157,'G-1 All Habitats'!$AF$3:$AF$15,0)),"")</f>
        <v/>
      </c>
      <c r="D157" s="146"/>
      <c r="E157" s="79"/>
      <c r="F157" s="246" t="str">
        <f>IFERROR(INDEX('G-1 All Habitats'!$B$3:$B$129,MATCH(E157,'G-1 All Habitats'!$A$3:$A$129,0)),"")</f>
        <v/>
      </c>
      <c r="G157" s="70"/>
      <c r="H157" s="498" t="str">
        <f>IF(F157="","",VLOOKUP(F157,'G-1 All Habitats'!$B$2:$M$129,10,FALSE))</f>
        <v/>
      </c>
      <c r="I157" s="499" t="str">
        <f>IFERROR(VLOOKUP(H157,'G-1 All Habitats'!$V$3:$W$7,2,FALSE),"")</f>
        <v/>
      </c>
      <c r="J157" s="71"/>
      <c r="K157" s="499" t="str">
        <f>IFERROR(INDEX('G-8 Condition Look up'!$A$3:$H$130,MATCH(F157,'G-8 Condition Look up'!$A$3:$A$130,0),MATCH(J157,'G-8 Condition Look up'!$A$3:$H$3,0)),"")</f>
        <v/>
      </c>
      <c r="L157" s="71"/>
      <c r="M157" s="507" t="str">
        <f>IF(L157="","",IF(VLOOKUP(L157,'G-3 Multipliers'!$L$3:$N$6,2,FALSE)=0,"Spatial Data Missing",VLOOKUP(L157,'G-3 Multipliers'!$L$3:$N$6,2,FALSE)))</f>
        <v/>
      </c>
      <c r="N157" s="505" t="str">
        <f>IF(L157="","",IF(VLOOKUP(L157,'G-3 Multipliers'!$L$3:$N$6,3,FALSE)=0,"Spatial Data Missing",VLOOKUP(L157,'G-3 Multipliers'!$L$3:$N$6,3,FALSE)))</f>
        <v/>
      </c>
      <c r="O157" s="498" t="str">
        <f t="shared" si="12"/>
        <v/>
      </c>
      <c r="P157" s="82"/>
      <c r="Q157" s="82"/>
      <c r="R157" s="507" t="str">
        <f t="shared" si="14"/>
        <v/>
      </c>
      <c r="S157" s="521" t="str">
        <f t="shared" si="15"/>
        <v/>
      </c>
      <c r="T157" s="522" t="str">
        <f>IFERROR(IF(S157="Check Data ⚠","Check Data ⚠",VLOOKUP(S157,'G-4 Temporal multipliers'!$A$4:$C$37,3,FALSE)),"")</f>
        <v/>
      </c>
      <c r="U157" s="523" t="str">
        <f>IF(F157="","",VLOOKUP(F157,'G-3 Multipliers'!$A$2:$E$129,2,FALSE))</f>
        <v/>
      </c>
      <c r="V157" s="520" t="str">
        <f t="shared" si="16"/>
        <v/>
      </c>
      <c r="W157" s="520" t="str">
        <f>IF(E157="","",IF(AND(V157="Standard difficulty applied",O157&gt;P157),U157,IF(AND(V157="Low Difficulty - only applicable if all habitat created before losses",P157&gt;=O157),"Low",VLOOKUP(F157,'G-3 Multipliers'!$A$2:$E$129,4,FALSE))))</f>
        <v/>
      </c>
      <c r="X157" s="524" t="str">
        <f>IFERROR(IF(E157="","",VLOOKUP(W157, 'G-3 Multipliers'!$P$2:$Q$6,2,FALSE)),"")</f>
        <v/>
      </c>
      <c r="Y157" s="529" t="str">
        <f t="shared" si="17"/>
        <v/>
      </c>
      <c r="Z157" s="239"/>
      <c r="AA157" s="240"/>
      <c r="AE157" s="54" t="str">
        <f t="shared" si="13"/>
        <v/>
      </c>
    </row>
    <row r="158" spans="1:31" x14ac:dyDescent="0.25">
      <c r="A158" s="47" t="str">
        <f>IFERROR(INDEX('G-8 Condition Look up'!$I$4:$I$130,MATCH(F158,'G-8 Condition Look up'!$A$4:$A$130,0)),"")</f>
        <v/>
      </c>
      <c r="C158" s="384" t="str">
        <f>IFERROR(INDEX('G-1 All Habitats'!$AG$3:$AG$15,MATCH(D158,'G-1 All Habitats'!$AF$3:$AF$15,0)),"")</f>
        <v/>
      </c>
      <c r="D158" s="146"/>
      <c r="E158" s="79"/>
      <c r="F158" s="246" t="str">
        <f>IFERROR(INDEX('G-1 All Habitats'!$B$3:$B$129,MATCH(E158,'G-1 All Habitats'!$A$3:$A$129,0)),"")</f>
        <v/>
      </c>
      <c r="G158" s="70"/>
      <c r="H158" s="498" t="str">
        <f>IF(F158="","",VLOOKUP(F158,'G-1 All Habitats'!$B$2:$M$129,10,FALSE))</f>
        <v/>
      </c>
      <c r="I158" s="499" t="str">
        <f>IFERROR(VLOOKUP(H158,'G-1 All Habitats'!$V$3:$W$7,2,FALSE),"")</f>
        <v/>
      </c>
      <c r="J158" s="71"/>
      <c r="K158" s="499" t="str">
        <f>IFERROR(INDEX('G-8 Condition Look up'!$A$3:$H$130,MATCH(F158,'G-8 Condition Look up'!$A$3:$A$130,0),MATCH(J158,'G-8 Condition Look up'!$A$3:$H$3,0)),"")</f>
        <v/>
      </c>
      <c r="L158" s="71"/>
      <c r="M158" s="507" t="str">
        <f>IF(L158="","",IF(VLOOKUP(L158,'G-3 Multipliers'!$L$3:$N$6,2,FALSE)=0,"Spatial Data Missing",VLOOKUP(L158,'G-3 Multipliers'!$L$3:$N$6,2,FALSE)))</f>
        <v/>
      </c>
      <c r="N158" s="505" t="str">
        <f>IF(L158="","",IF(VLOOKUP(L158,'G-3 Multipliers'!$L$3:$N$6,3,FALSE)=0,"Spatial Data Missing",VLOOKUP(L158,'G-3 Multipliers'!$L$3:$N$6,3,FALSE)))</f>
        <v/>
      </c>
      <c r="O158" s="498" t="str">
        <f t="shared" si="12"/>
        <v/>
      </c>
      <c r="P158" s="82"/>
      <c r="Q158" s="82"/>
      <c r="R158" s="507" t="str">
        <f t="shared" si="14"/>
        <v/>
      </c>
      <c r="S158" s="521" t="str">
        <f t="shared" si="15"/>
        <v/>
      </c>
      <c r="T158" s="522" t="str">
        <f>IFERROR(IF(S158="Check Data ⚠","Check Data ⚠",VLOOKUP(S158,'G-4 Temporal multipliers'!$A$4:$C$37,3,FALSE)),"")</f>
        <v/>
      </c>
      <c r="U158" s="523" t="str">
        <f>IF(F158="","",VLOOKUP(F158,'G-3 Multipliers'!$A$2:$E$129,2,FALSE))</f>
        <v/>
      </c>
      <c r="V158" s="520" t="str">
        <f t="shared" si="16"/>
        <v/>
      </c>
      <c r="W158" s="520" t="str">
        <f>IF(E158="","",IF(AND(V158="Standard difficulty applied",O158&gt;P158),U158,IF(AND(V158="Low Difficulty - only applicable if all habitat created before losses",P158&gt;=O158),"Low",VLOOKUP(F158,'G-3 Multipliers'!$A$2:$E$129,4,FALSE))))</f>
        <v/>
      </c>
      <c r="X158" s="524" t="str">
        <f>IFERROR(IF(E158="","",VLOOKUP(W158, 'G-3 Multipliers'!$P$2:$Q$6,2,FALSE)),"")</f>
        <v/>
      </c>
      <c r="Y158" s="529" t="str">
        <f t="shared" si="17"/>
        <v/>
      </c>
      <c r="Z158" s="239"/>
      <c r="AA158" s="240"/>
      <c r="AE158" s="54" t="str">
        <f t="shared" si="13"/>
        <v/>
      </c>
    </row>
    <row r="159" spans="1:31" x14ac:dyDescent="0.25">
      <c r="A159" s="47" t="str">
        <f>IFERROR(INDEX('G-8 Condition Look up'!$I$4:$I$130,MATCH(F159,'G-8 Condition Look up'!$A$4:$A$130,0)),"")</f>
        <v/>
      </c>
      <c r="C159" s="384" t="str">
        <f>IFERROR(INDEX('G-1 All Habitats'!$AG$3:$AG$15,MATCH(D159,'G-1 All Habitats'!$AF$3:$AF$15,0)),"")</f>
        <v/>
      </c>
      <c r="D159" s="146"/>
      <c r="E159" s="79"/>
      <c r="F159" s="246" t="str">
        <f>IFERROR(INDEX('G-1 All Habitats'!$B$3:$B$129,MATCH(E159,'G-1 All Habitats'!$A$3:$A$129,0)),"")</f>
        <v/>
      </c>
      <c r="G159" s="70"/>
      <c r="H159" s="498" t="str">
        <f>IF(F159="","",VLOOKUP(F159,'G-1 All Habitats'!$B$2:$M$129,10,FALSE))</f>
        <v/>
      </c>
      <c r="I159" s="499" t="str">
        <f>IFERROR(VLOOKUP(H159,'G-1 All Habitats'!$V$3:$W$7,2,FALSE),"")</f>
        <v/>
      </c>
      <c r="J159" s="71"/>
      <c r="K159" s="499" t="str">
        <f>IFERROR(INDEX('G-8 Condition Look up'!$A$3:$H$130,MATCH(F159,'G-8 Condition Look up'!$A$3:$A$130,0),MATCH(J159,'G-8 Condition Look up'!$A$3:$H$3,0)),"")</f>
        <v/>
      </c>
      <c r="L159" s="71"/>
      <c r="M159" s="507" t="str">
        <f>IF(L159="","",IF(VLOOKUP(L159,'G-3 Multipliers'!$L$3:$N$6,2,FALSE)=0,"Spatial Data Missing",VLOOKUP(L159,'G-3 Multipliers'!$L$3:$N$6,2,FALSE)))</f>
        <v/>
      </c>
      <c r="N159" s="505" t="str">
        <f>IF(L159="","",IF(VLOOKUP(L159,'G-3 Multipliers'!$L$3:$N$6,3,FALSE)=0,"Spatial Data Missing",VLOOKUP(L159,'G-3 Multipliers'!$L$3:$N$6,3,FALSE)))</f>
        <v/>
      </c>
      <c r="O159" s="498" t="str">
        <f t="shared" si="12"/>
        <v/>
      </c>
      <c r="P159" s="82"/>
      <c r="Q159" s="82"/>
      <c r="R159" s="507" t="str">
        <f t="shared" si="14"/>
        <v/>
      </c>
      <c r="S159" s="521" t="str">
        <f t="shared" si="15"/>
        <v/>
      </c>
      <c r="T159" s="522" t="str">
        <f>IFERROR(IF(S159="Check Data ⚠","Check Data ⚠",VLOOKUP(S159,'G-4 Temporal multipliers'!$A$4:$C$37,3,FALSE)),"")</f>
        <v/>
      </c>
      <c r="U159" s="523" t="str">
        <f>IF(F159="","",VLOOKUP(F159,'G-3 Multipliers'!$A$2:$E$129,2,FALSE))</f>
        <v/>
      </c>
      <c r="V159" s="520" t="str">
        <f t="shared" si="16"/>
        <v/>
      </c>
      <c r="W159" s="520" t="str">
        <f>IF(E159="","",IF(AND(V159="Standard difficulty applied",O159&gt;P159),U159,IF(AND(V159="Low Difficulty - only applicable if all habitat created before losses",P159&gt;=O159),"Low",VLOOKUP(F159,'G-3 Multipliers'!$A$2:$E$129,4,FALSE))))</f>
        <v/>
      </c>
      <c r="X159" s="524" t="str">
        <f>IFERROR(IF(E159="","",VLOOKUP(W159, 'G-3 Multipliers'!$P$2:$Q$6,2,FALSE)),"")</f>
        <v/>
      </c>
      <c r="Y159" s="529" t="str">
        <f t="shared" si="17"/>
        <v/>
      </c>
      <c r="Z159" s="239"/>
      <c r="AA159" s="240"/>
      <c r="AE159" s="54" t="str">
        <f t="shared" si="13"/>
        <v/>
      </c>
    </row>
    <row r="160" spans="1:31" x14ac:dyDescent="0.25">
      <c r="A160" s="47" t="str">
        <f>IFERROR(INDEX('G-8 Condition Look up'!$I$4:$I$130,MATCH(F160,'G-8 Condition Look up'!$A$4:$A$130,0)),"")</f>
        <v/>
      </c>
      <c r="C160" s="384" t="str">
        <f>IFERROR(INDEX('G-1 All Habitats'!$AG$3:$AG$15,MATCH(D160,'G-1 All Habitats'!$AF$3:$AF$15,0)),"")</f>
        <v/>
      </c>
      <c r="D160" s="146"/>
      <c r="E160" s="79"/>
      <c r="F160" s="246" t="str">
        <f>IFERROR(INDEX('G-1 All Habitats'!$B$3:$B$129,MATCH(E160,'G-1 All Habitats'!$A$3:$A$129,0)),"")</f>
        <v/>
      </c>
      <c r="G160" s="70"/>
      <c r="H160" s="498" t="str">
        <f>IF(F160="","",VLOOKUP(F160,'G-1 All Habitats'!$B$2:$M$129,10,FALSE))</f>
        <v/>
      </c>
      <c r="I160" s="499" t="str">
        <f>IFERROR(VLOOKUP(H160,'G-1 All Habitats'!$V$3:$W$7,2,FALSE),"")</f>
        <v/>
      </c>
      <c r="J160" s="71"/>
      <c r="K160" s="499" t="str">
        <f>IFERROR(INDEX('G-8 Condition Look up'!$A$3:$H$130,MATCH(F160,'G-8 Condition Look up'!$A$3:$A$130,0),MATCH(J160,'G-8 Condition Look up'!$A$3:$H$3,0)),"")</f>
        <v/>
      </c>
      <c r="L160" s="71"/>
      <c r="M160" s="507" t="str">
        <f>IF(L160="","",IF(VLOOKUP(L160,'G-3 Multipliers'!$L$3:$N$6,2,FALSE)=0,"Spatial Data Missing",VLOOKUP(L160,'G-3 Multipliers'!$L$3:$N$6,2,FALSE)))</f>
        <v/>
      </c>
      <c r="N160" s="505" t="str">
        <f>IF(L160="","",IF(VLOOKUP(L160,'G-3 Multipliers'!$L$3:$N$6,3,FALSE)=0,"Spatial Data Missing",VLOOKUP(L160,'G-3 Multipliers'!$L$3:$N$6,3,FALSE)))</f>
        <v/>
      </c>
      <c r="O160" s="498" t="str">
        <f t="shared" si="12"/>
        <v/>
      </c>
      <c r="P160" s="82"/>
      <c r="Q160" s="82"/>
      <c r="R160" s="507" t="str">
        <f t="shared" si="14"/>
        <v/>
      </c>
      <c r="S160" s="521" t="str">
        <f t="shared" si="15"/>
        <v/>
      </c>
      <c r="T160" s="522" t="str">
        <f>IFERROR(IF(S160="Check Data ⚠","Check Data ⚠",VLOOKUP(S160,'G-4 Temporal multipliers'!$A$4:$C$37,3,FALSE)),"")</f>
        <v/>
      </c>
      <c r="U160" s="523" t="str">
        <f>IF(F160="","",VLOOKUP(F160,'G-3 Multipliers'!$A$2:$E$129,2,FALSE))</f>
        <v/>
      </c>
      <c r="V160" s="520" t="str">
        <f t="shared" si="16"/>
        <v/>
      </c>
      <c r="W160" s="520" t="str">
        <f>IF(E160="","",IF(AND(V160="Standard difficulty applied",O160&gt;P160),U160,IF(AND(V160="Low Difficulty - only applicable if all habitat created before losses",P160&gt;=O160),"Low",VLOOKUP(F160,'G-3 Multipliers'!$A$2:$E$129,4,FALSE))))</f>
        <v/>
      </c>
      <c r="X160" s="524" t="str">
        <f>IFERROR(IF(E160="","",VLOOKUP(W160, 'G-3 Multipliers'!$P$2:$Q$6,2,FALSE)),"")</f>
        <v/>
      </c>
      <c r="Y160" s="529" t="str">
        <f t="shared" si="17"/>
        <v/>
      </c>
      <c r="Z160" s="239"/>
      <c r="AA160" s="240"/>
      <c r="AE160" s="54" t="str">
        <f t="shared" si="13"/>
        <v/>
      </c>
    </row>
    <row r="161" spans="1:31" x14ac:dyDescent="0.25">
      <c r="A161" s="47" t="str">
        <f>IFERROR(INDEX('G-8 Condition Look up'!$I$4:$I$130,MATCH(F161,'G-8 Condition Look up'!$A$4:$A$130,0)),"")</f>
        <v/>
      </c>
      <c r="C161" s="384" t="str">
        <f>IFERROR(INDEX('G-1 All Habitats'!$AG$3:$AG$15,MATCH(D161,'G-1 All Habitats'!$AF$3:$AF$15,0)),"")</f>
        <v/>
      </c>
      <c r="D161" s="146"/>
      <c r="E161" s="79"/>
      <c r="F161" s="246" t="str">
        <f>IFERROR(INDEX('G-1 All Habitats'!$B$3:$B$129,MATCH(E161,'G-1 All Habitats'!$A$3:$A$129,0)),"")</f>
        <v/>
      </c>
      <c r="G161" s="70"/>
      <c r="H161" s="498" t="str">
        <f>IF(F161="","",VLOOKUP(F161,'G-1 All Habitats'!$B$2:$M$129,10,FALSE))</f>
        <v/>
      </c>
      <c r="I161" s="499" t="str">
        <f>IFERROR(VLOOKUP(H161,'G-1 All Habitats'!$V$3:$W$7,2,FALSE),"")</f>
        <v/>
      </c>
      <c r="J161" s="71"/>
      <c r="K161" s="499" t="str">
        <f>IFERROR(INDEX('G-8 Condition Look up'!$A$3:$H$130,MATCH(F161,'G-8 Condition Look up'!$A$3:$A$130,0),MATCH(J161,'G-8 Condition Look up'!$A$3:$H$3,0)),"")</f>
        <v/>
      </c>
      <c r="L161" s="71"/>
      <c r="M161" s="507" t="str">
        <f>IF(L161="","",IF(VLOOKUP(L161,'G-3 Multipliers'!$L$3:$N$6,2,FALSE)=0,"Spatial Data Missing",VLOOKUP(L161,'G-3 Multipliers'!$L$3:$N$6,2,FALSE)))</f>
        <v/>
      </c>
      <c r="N161" s="505" t="str">
        <f>IF(L161="","",IF(VLOOKUP(L161,'G-3 Multipliers'!$L$3:$N$6,3,FALSE)=0,"Spatial Data Missing",VLOOKUP(L161,'G-3 Multipliers'!$L$3:$N$6,3,FALSE)))</f>
        <v/>
      </c>
      <c r="O161" s="498" t="str">
        <f t="shared" si="12"/>
        <v/>
      </c>
      <c r="P161" s="82"/>
      <c r="Q161" s="82"/>
      <c r="R161" s="507" t="str">
        <f t="shared" si="14"/>
        <v/>
      </c>
      <c r="S161" s="521" t="str">
        <f t="shared" si="15"/>
        <v/>
      </c>
      <c r="T161" s="522" t="str">
        <f>IFERROR(IF(S161="Check Data ⚠","Check Data ⚠",VLOOKUP(S161,'G-4 Temporal multipliers'!$A$4:$C$37,3,FALSE)),"")</f>
        <v/>
      </c>
      <c r="U161" s="523" t="str">
        <f>IF(F161="","",VLOOKUP(F161,'G-3 Multipliers'!$A$2:$E$129,2,FALSE))</f>
        <v/>
      </c>
      <c r="V161" s="520" t="str">
        <f t="shared" si="16"/>
        <v/>
      </c>
      <c r="W161" s="520" t="str">
        <f>IF(E161="","",IF(AND(V161="Standard difficulty applied",O161&gt;P161),U161,IF(AND(V161="Low Difficulty - only applicable if all habitat created before losses",P161&gt;=O161),"Low",VLOOKUP(F161,'G-3 Multipliers'!$A$2:$E$129,4,FALSE))))</f>
        <v/>
      </c>
      <c r="X161" s="524" t="str">
        <f>IFERROR(IF(E161="","",VLOOKUP(W161, 'G-3 Multipliers'!$P$2:$Q$6,2,FALSE)),"")</f>
        <v/>
      </c>
      <c r="Y161" s="529" t="str">
        <f t="shared" si="17"/>
        <v/>
      </c>
      <c r="Z161" s="239"/>
      <c r="AA161" s="240"/>
      <c r="AE161" s="54" t="str">
        <f t="shared" si="13"/>
        <v/>
      </c>
    </row>
    <row r="162" spans="1:31" x14ac:dyDescent="0.25">
      <c r="A162" s="47" t="str">
        <f>IFERROR(INDEX('G-8 Condition Look up'!$I$4:$I$130,MATCH(F162,'G-8 Condition Look up'!$A$4:$A$130,0)),"")</f>
        <v/>
      </c>
      <c r="C162" s="384" t="str">
        <f>IFERROR(INDEX('G-1 All Habitats'!$AG$3:$AG$15,MATCH(D162,'G-1 All Habitats'!$AF$3:$AF$15,0)),"")</f>
        <v/>
      </c>
      <c r="D162" s="146"/>
      <c r="E162" s="79"/>
      <c r="F162" s="246" t="str">
        <f>IFERROR(INDEX('G-1 All Habitats'!$B$3:$B$129,MATCH(E162,'G-1 All Habitats'!$A$3:$A$129,0)),"")</f>
        <v/>
      </c>
      <c r="G162" s="70"/>
      <c r="H162" s="498" t="str">
        <f>IF(F162="","",VLOOKUP(F162,'G-1 All Habitats'!$B$2:$M$129,10,FALSE))</f>
        <v/>
      </c>
      <c r="I162" s="499" t="str">
        <f>IFERROR(VLOOKUP(H162,'G-1 All Habitats'!$V$3:$W$7,2,FALSE),"")</f>
        <v/>
      </c>
      <c r="J162" s="71"/>
      <c r="K162" s="499" t="str">
        <f>IFERROR(INDEX('G-8 Condition Look up'!$A$3:$H$130,MATCH(F162,'G-8 Condition Look up'!$A$3:$A$130,0),MATCH(J162,'G-8 Condition Look up'!$A$3:$H$3,0)),"")</f>
        <v/>
      </c>
      <c r="L162" s="71"/>
      <c r="M162" s="507" t="str">
        <f>IF(L162="","",IF(VLOOKUP(L162,'G-3 Multipliers'!$L$3:$N$6,2,FALSE)=0,"Spatial Data Missing",VLOOKUP(L162,'G-3 Multipliers'!$L$3:$N$6,2,FALSE)))</f>
        <v/>
      </c>
      <c r="N162" s="505" t="str">
        <f>IF(L162="","",IF(VLOOKUP(L162,'G-3 Multipliers'!$L$3:$N$6,3,FALSE)=0,"Spatial Data Missing",VLOOKUP(L162,'G-3 Multipliers'!$L$3:$N$6,3,FALSE)))</f>
        <v/>
      </c>
      <c r="O162" s="498" t="str">
        <f t="shared" si="12"/>
        <v/>
      </c>
      <c r="P162" s="82"/>
      <c r="Q162" s="82"/>
      <c r="R162" s="507" t="str">
        <f t="shared" si="14"/>
        <v/>
      </c>
      <c r="S162" s="521" t="str">
        <f t="shared" si="15"/>
        <v/>
      </c>
      <c r="T162" s="522" t="str">
        <f>IFERROR(IF(S162="Check Data ⚠","Check Data ⚠",VLOOKUP(S162,'G-4 Temporal multipliers'!$A$4:$C$37,3,FALSE)),"")</f>
        <v/>
      </c>
      <c r="U162" s="523" t="str">
        <f>IF(F162="","",VLOOKUP(F162,'G-3 Multipliers'!$A$2:$E$129,2,FALSE))</f>
        <v/>
      </c>
      <c r="V162" s="520" t="str">
        <f t="shared" si="16"/>
        <v/>
      </c>
      <c r="W162" s="520" t="str">
        <f>IF(E162="","",IF(AND(V162="Standard difficulty applied",O162&gt;P162),U162,IF(AND(V162="Low Difficulty - only applicable if all habitat created before losses",P162&gt;=O162),"Low",VLOOKUP(F162,'G-3 Multipliers'!$A$2:$E$129,4,FALSE))))</f>
        <v/>
      </c>
      <c r="X162" s="524" t="str">
        <f>IFERROR(IF(E162="","",VLOOKUP(W162, 'G-3 Multipliers'!$P$2:$Q$6,2,FALSE)),"")</f>
        <v/>
      </c>
      <c r="Y162" s="529" t="str">
        <f t="shared" si="17"/>
        <v/>
      </c>
      <c r="Z162" s="239"/>
      <c r="AA162" s="240"/>
      <c r="AE162" s="54" t="str">
        <f t="shared" si="13"/>
        <v/>
      </c>
    </row>
    <row r="163" spans="1:31" x14ac:dyDescent="0.25">
      <c r="A163" s="47" t="str">
        <f>IFERROR(INDEX('G-8 Condition Look up'!$I$4:$I$130,MATCH(F163,'G-8 Condition Look up'!$A$4:$A$130,0)),"")</f>
        <v/>
      </c>
      <c r="C163" s="384" t="str">
        <f>IFERROR(INDEX('G-1 All Habitats'!$AG$3:$AG$15,MATCH(D163,'G-1 All Habitats'!$AF$3:$AF$15,0)),"")</f>
        <v/>
      </c>
      <c r="D163" s="146"/>
      <c r="E163" s="79"/>
      <c r="F163" s="246" t="str">
        <f>IFERROR(INDEX('G-1 All Habitats'!$B$3:$B$129,MATCH(E163,'G-1 All Habitats'!$A$3:$A$129,0)),"")</f>
        <v/>
      </c>
      <c r="G163" s="70"/>
      <c r="H163" s="498" t="str">
        <f>IF(F163="","",VLOOKUP(F163,'G-1 All Habitats'!$B$2:$M$129,10,FALSE))</f>
        <v/>
      </c>
      <c r="I163" s="499" t="str">
        <f>IFERROR(VLOOKUP(H163,'G-1 All Habitats'!$V$3:$W$7,2,FALSE),"")</f>
        <v/>
      </c>
      <c r="J163" s="71"/>
      <c r="K163" s="499" t="str">
        <f>IFERROR(INDEX('G-8 Condition Look up'!$A$3:$H$130,MATCH(F163,'G-8 Condition Look up'!$A$3:$A$130,0),MATCH(J163,'G-8 Condition Look up'!$A$3:$H$3,0)),"")</f>
        <v/>
      </c>
      <c r="L163" s="71"/>
      <c r="M163" s="507" t="str">
        <f>IF(L163="","",IF(VLOOKUP(L163,'G-3 Multipliers'!$L$3:$N$6,2,FALSE)=0,"Spatial Data Missing",VLOOKUP(L163,'G-3 Multipliers'!$L$3:$N$6,2,FALSE)))</f>
        <v/>
      </c>
      <c r="N163" s="505" t="str">
        <f>IF(L163="","",IF(VLOOKUP(L163,'G-3 Multipliers'!$L$3:$N$6,3,FALSE)=0,"Spatial Data Missing",VLOOKUP(L163,'G-3 Multipliers'!$L$3:$N$6,3,FALSE)))</f>
        <v/>
      </c>
      <c r="O163" s="498" t="str">
        <f t="shared" si="12"/>
        <v/>
      </c>
      <c r="P163" s="82"/>
      <c r="Q163" s="82"/>
      <c r="R163" s="507" t="str">
        <f t="shared" si="14"/>
        <v/>
      </c>
      <c r="S163" s="521" t="str">
        <f t="shared" si="15"/>
        <v/>
      </c>
      <c r="T163" s="522" t="str">
        <f>IFERROR(IF(S163="Check Data ⚠","Check Data ⚠",VLOOKUP(S163,'G-4 Temporal multipliers'!$A$4:$C$37,3,FALSE)),"")</f>
        <v/>
      </c>
      <c r="U163" s="523" t="str">
        <f>IF(F163="","",VLOOKUP(F163,'G-3 Multipliers'!$A$2:$E$129,2,FALSE))</f>
        <v/>
      </c>
      <c r="V163" s="520" t="str">
        <f t="shared" si="16"/>
        <v/>
      </c>
      <c r="W163" s="520" t="str">
        <f>IF(E163="","",IF(AND(V163="Standard difficulty applied",O163&gt;P163),U163,IF(AND(V163="Low Difficulty - only applicable if all habitat created before losses",P163&gt;=O163),"Low",VLOOKUP(F163,'G-3 Multipliers'!$A$2:$E$129,4,FALSE))))</f>
        <v/>
      </c>
      <c r="X163" s="524" t="str">
        <f>IFERROR(IF(E163="","",VLOOKUP(W163, 'G-3 Multipliers'!$P$2:$Q$6,2,FALSE)),"")</f>
        <v/>
      </c>
      <c r="Y163" s="529" t="str">
        <f t="shared" si="17"/>
        <v/>
      </c>
      <c r="Z163" s="239"/>
      <c r="AA163" s="240"/>
      <c r="AE163" s="54" t="str">
        <f t="shared" si="13"/>
        <v/>
      </c>
    </row>
    <row r="164" spans="1:31" x14ac:dyDescent="0.25">
      <c r="A164" s="47" t="str">
        <f>IFERROR(INDEX('G-8 Condition Look up'!$I$4:$I$130,MATCH(F164,'G-8 Condition Look up'!$A$4:$A$130,0)),"")</f>
        <v/>
      </c>
      <c r="C164" s="384" t="str">
        <f>IFERROR(INDEX('G-1 All Habitats'!$AG$3:$AG$15,MATCH(D164,'G-1 All Habitats'!$AF$3:$AF$15,0)),"")</f>
        <v/>
      </c>
      <c r="D164" s="146"/>
      <c r="E164" s="79"/>
      <c r="F164" s="246" t="str">
        <f>IFERROR(INDEX('G-1 All Habitats'!$B$3:$B$129,MATCH(E164,'G-1 All Habitats'!$A$3:$A$129,0)),"")</f>
        <v/>
      </c>
      <c r="G164" s="70"/>
      <c r="H164" s="498" t="str">
        <f>IF(F164="","",VLOOKUP(F164,'G-1 All Habitats'!$B$2:$M$129,10,FALSE))</f>
        <v/>
      </c>
      <c r="I164" s="499" t="str">
        <f>IFERROR(VLOOKUP(H164,'G-1 All Habitats'!$V$3:$W$7,2,FALSE),"")</f>
        <v/>
      </c>
      <c r="J164" s="71"/>
      <c r="K164" s="499" t="str">
        <f>IFERROR(INDEX('G-8 Condition Look up'!$A$3:$H$130,MATCH(F164,'G-8 Condition Look up'!$A$3:$A$130,0),MATCH(J164,'G-8 Condition Look up'!$A$3:$H$3,0)),"")</f>
        <v/>
      </c>
      <c r="L164" s="71"/>
      <c r="M164" s="507" t="str">
        <f>IF(L164="","",IF(VLOOKUP(L164,'G-3 Multipliers'!$L$3:$N$6,2,FALSE)=0,"Spatial Data Missing",VLOOKUP(L164,'G-3 Multipliers'!$L$3:$N$6,2,FALSE)))</f>
        <v/>
      </c>
      <c r="N164" s="505" t="str">
        <f>IF(L164="","",IF(VLOOKUP(L164,'G-3 Multipliers'!$L$3:$N$6,3,FALSE)=0,"Spatial Data Missing",VLOOKUP(L164,'G-3 Multipliers'!$L$3:$N$6,3,FALSE)))</f>
        <v/>
      </c>
      <c r="O164" s="498" t="str">
        <f t="shared" si="12"/>
        <v/>
      </c>
      <c r="P164" s="82"/>
      <c r="Q164" s="82"/>
      <c r="R164" s="507" t="str">
        <f t="shared" si="14"/>
        <v/>
      </c>
      <c r="S164" s="521" t="str">
        <f t="shared" si="15"/>
        <v/>
      </c>
      <c r="T164" s="522" t="str">
        <f>IFERROR(IF(S164="Check Data ⚠","Check Data ⚠",VLOOKUP(S164,'G-4 Temporal multipliers'!$A$4:$C$37,3,FALSE)),"")</f>
        <v/>
      </c>
      <c r="U164" s="523" t="str">
        <f>IF(F164="","",VLOOKUP(F164,'G-3 Multipliers'!$A$2:$E$129,2,FALSE))</f>
        <v/>
      </c>
      <c r="V164" s="520" t="str">
        <f t="shared" si="16"/>
        <v/>
      </c>
      <c r="W164" s="520" t="str">
        <f>IF(E164="","",IF(AND(V164="Standard difficulty applied",O164&gt;P164),U164,IF(AND(V164="Low Difficulty - only applicable if all habitat created before losses",P164&gt;=O164),"Low",VLOOKUP(F164,'G-3 Multipliers'!$A$2:$E$129,4,FALSE))))</f>
        <v/>
      </c>
      <c r="X164" s="524" t="str">
        <f>IFERROR(IF(E164="","",VLOOKUP(W164, 'G-3 Multipliers'!$P$2:$Q$6,2,FALSE)),"")</f>
        <v/>
      </c>
      <c r="Y164" s="529" t="str">
        <f t="shared" si="17"/>
        <v/>
      </c>
      <c r="Z164" s="239"/>
      <c r="AA164" s="240"/>
      <c r="AE164" s="54" t="str">
        <f t="shared" si="13"/>
        <v/>
      </c>
    </row>
    <row r="165" spans="1:31" x14ac:dyDescent="0.25">
      <c r="A165" s="47" t="str">
        <f>IFERROR(INDEX('G-8 Condition Look up'!$I$4:$I$130,MATCH(F165,'G-8 Condition Look up'!$A$4:$A$130,0)),"")</f>
        <v/>
      </c>
      <c r="C165" s="384" t="str">
        <f>IFERROR(INDEX('G-1 All Habitats'!$AG$3:$AG$15,MATCH(D165,'G-1 All Habitats'!$AF$3:$AF$15,0)),"")</f>
        <v/>
      </c>
      <c r="D165" s="146"/>
      <c r="E165" s="79"/>
      <c r="F165" s="246" t="str">
        <f>IFERROR(INDEX('G-1 All Habitats'!$B$3:$B$129,MATCH(E165,'G-1 All Habitats'!$A$3:$A$129,0)),"")</f>
        <v/>
      </c>
      <c r="G165" s="70"/>
      <c r="H165" s="498" t="str">
        <f>IF(F165="","",VLOOKUP(F165,'G-1 All Habitats'!$B$2:$M$129,10,FALSE))</f>
        <v/>
      </c>
      <c r="I165" s="499" t="str">
        <f>IFERROR(VLOOKUP(H165,'G-1 All Habitats'!$V$3:$W$7,2,FALSE),"")</f>
        <v/>
      </c>
      <c r="J165" s="71"/>
      <c r="K165" s="499" t="str">
        <f>IFERROR(INDEX('G-8 Condition Look up'!$A$3:$H$130,MATCH(F165,'G-8 Condition Look up'!$A$3:$A$130,0),MATCH(J165,'G-8 Condition Look up'!$A$3:$H$3,0)),"")</f>
        <v/>
      </c>
      <c r="L165" s="71"/>
      <c r="M165" s="507" t="str">
        <f>IF(L165="","",IF(VLOOKUP(L165,'G-3 Multipliers'!$L$3:$N$6,2,FALSE)=0,"Spatial Data Missing",VLOOKUP(L165,'G-3 Multipliers'!$L$3:$N$6,2,FALSE)))</f>
        <v/>
      </c>
      <c r="N165" s="505" t="str">
        <f>IF(L165="","",IF(VLOOKUP(L165,'G-3 Multipliers'!$L$3:$N$6,3,FALSE)=0,"Spatial Data Missing",VLOOKUP(L165,'G-3 Multipliers'!$L$3:$N$6,3,FALSE)))</f>
        <v/>
      </c>
      <c r="O165" s="498" t="str">
        <f t="shared" si="12"/>
        <v/>
      </c>
      <c r="P165" s="82"/>
      <c r="Q165" s="82"/>
      <c r="R165" s="507" t="str">
        <f t="shared" si="14"/>
        <v/>
      </c>
      <c r="S165" s="521" t="str">
        <f t="shared" si="15"/>
        <v/>
      </c>
      <c r="T165" s="522" t="str">
        <f>IFERROR(IF(S165="Check Data ⚠","Check Data ⚠",VLOOKUP(S165,'G-4 Temporal multipliers'!$A$4:$C$37,3,FALSE)),"")</f>
        <v/>
      </c>
      <c r="U165" s="523" t="str">
        <f>IF(F165="","",VLOOKUP(F165,'G-3 Multipliers'!$A$2:$E$129,2,FALSE))</f>
        <v/>
      </c>
      <c r="V165" s="520" t="str">
        <f t="shared" si="16"/>
        <v/>
      </c>
      <c r="W165" s="520" t="str">
        <f>IF(E165="","",IF(AND(V165="Standard difficulty applied",O165&gt;P165),U165,IF(AND(V165="Low Difficulty - only applicable if all habitat created before losses",P165&gt;=O165),"Low",VLOOKUP(F165,'G-3 Multipliers'!$A$2:$E$129,4,FALSE))))</f>
        <v/>
      </c>
      <c r="X165" s="524" t="str">
        <f>IFERROR(IF(E165="","",VLOOKUP(W165, 'G-3 Multipliers'!$P$2:$Q$6,2,FALSE)),"")</f>
        <v/>
      </c>
      <c r="Y165" s="529" t="str">
        <f t="shared" si="17"/>
        <v/>
      </c>
      <c r="Z165" s="239"/>
      <c r="AA165" s="240"/>
      <c r="AE165" s="54" t="str">
        <f t="shared" si="13"/>
        <v/>
      </c>
    </row>
    <row r="166" spans="1:31" x14ac:dyDescent="0.25">
      <c r="A166" s="47" t="str">
        <f>IFERROR(INDEX('G-8 Condition Look up'!$I$4:$I$130,MATCH(F166,'G-8 Condition Look up'!$A$4:$A$130,0)),"")</f>
        <v/>
      </c>
      <c r="C166" s="384" t="str">
        <f>IFERROR(INDEX('G-1 All Habitats'!$AG$3:$AG$15,MATCH(D166,'G-1 All Habitats'!$AF$3:$AF$15,0)),"")</f>
        <v/>
      </c>
      <c r="D166" s="146"/>
      <c r="E166" s="79"/>
      <c r="F166" s="246" t="str">
        <f>IFERROR(INDEX('G-1 All Habitats'!$B$3:$B$129,MATCH(E166,'G-1 All Habitats'!$A$3:$A$129,0)),"")</f>
        <v/>
      </c>
      <c r="G166" s="70"/>
      <c r="H166" s="498" t="str">
        <f>IF(F166="","",VLOOKUP(F166,'G-1 All Habitats'!$B$2:$M$129,10,FALSE))</f>
        <v/>
      </c>
      <c r="I166" s="499" t="str">
        <f>IFERROR(VLOOKUP(H166,'G-1 All Habitats'!$V$3:$W$7,2,FALSE),"")</f>
        <v/>
      </c>
      <c r="J166" s="71"/>
      <c r="K166" s="499" t="str">
        <f>IFERROR(INDEX('G-8 Condition Look up'!$A$3:$H$130,MATCH(F166,'G-8 Condition Look up'!$A$3:$A$130,0),MATCH(J166,'G-8 Condition Look up'!$A$3:$H$3,0)),"")</f>
        <v/>
      </c>
      <c r="L166" s="71"/>
      <c r="M166" s="507" t="str">
        <f>IF(L166="","",IF(VLOOKUP(L166,'G-3 Multipliers'!$L$3:$N$6,2,FALSE)=0,"Spatial Data Missing",VLOOKUP(L166,'G-3 Multipliers'!$L$3:$N$6,2,FALSE)))</f>
        <v/>
      </c>
      <c r="N166" s="505" t="str">
        <f>IF(L166="","",IF(VLOOKUP(L166,'G-3 Multipliers'!$L$3:$N$6,3,FALSE)=0,"Spatial Data Missing",VLOOKUP(L166,'G-3 Multipliers'!$L$3:$N$6,3,FALSE)))</f>
        <v/>
      </c>
      <c r="O166" s="498" t="str">
        <f t="shared" si="12"/>
        <v/>
      </c>
      <c r="P166" s="82"/>
      <c r="Q166" s="82"/>
      <c r="R166" s="507" t="str">
        <f t="shared" si="14"/>
        <v/>
      </c>
      <c r="S166" s="521" t="str">
        <f t="shared" si="15"/>
        <v/>
      </c>
      <c r="T166" s="522" t="str">
        <f>IFERROR(IF(S166="Check Data ⚠","Check Data ⚠",VLOOKUP(S166,'G-4 Temporal multipliers'!$A$4:$C$37,3,FALSE)),"")</f>
        <v/>
      </c>
      <c r="U166" s="523" t="str">
        <f>IF(F166="","",VLOOKUP(F166,'G-3 Multipliers'!$A$2:$E$129,2,FALSE))</f>
        <v/>
      </c>
      <c r="V166" s="520" t="str">
        <f t="shared" si="16"/>
        <v/>
      </c>
      <c r="W166" s="520" t="str">
        <f>IF(E166="","",IF(AND(V166="Standard difficulty applied",O166&gt;P166),U166,IF(AND(V166="Low Difficulty - only applicable if all habitat created before losses",P166&gt;=O166),"Low",VLOOKUP(F166,'G-3 Multipliers'!$A$2:$E$129,4,FALSE))))</f>
        <v/>
      </c>
      <c r="X166" s="524" t="str">
        <f>IFERROR(IF(E166="","",VLOOKUP(W166, 'G-3 Multipliers'!$P$2:$Q$6,2,FALSE)),"")</f>
        <v/>
      </c>
      <c r="Y166" s="529" t="str">
        <f t="shared" si="17"/>
        <v/>
      </c>
      <c r="Z166" s="239"/>
      <c r="AA166" s="240"/>
      <c r="AE166" s="54" t="str">
        <f t="shared" si="13"/>
        <v/>
      </c>
    </row>
    <row r="167" spans="1:31" x14ac:dyDescent="0.25">
      <c r="A167" s="47" t="str">
        <f>IFERROR(INDEX('G-8 Condition Look up'!$I$4:$I$130,MATCH(F167,'G-8 Condition Look up'!$A$4:$A$130,0)),"")</f>
        <v/>
      </c>
      <c r="C167" s="384" t="str">
        <f>IFERROR(INDEX('G-1 All Habitats'!$AG$3:$AG$15,MATCH(D167,'G-1 All Habitats'!$AF$3:$AF$15,0)),"")</f>
        <v/>
      </c>
      <c r="D167" s="146"/>
      <c r="E167" s="79"/>
      <c r="F167" s="246" t="str">
        <f>IFERROR(INDEX('G-1 All Habitats'!$B$3:$B$129,MATCH(E167,'G-1 All Habitats'!$A$3:$A$129,0)),"")</f>
        <v/>
      </c>
      <c r="G167" s="70"/>
      <c r="H167" s="498" t="str">
        <f>IF(F167="","",VLOOKUP(F167,'G-1 All Habitats'!$B$2:$M$129,10,FALSE))</f>
        <v/>
      </c>
      <c r="I167" s="499" t="str">
        <f>IFERROR(VLOOKUP(H167,'G-1 All Habitats'!$V$3:$W$7,2,FALSE),"")</f>
        <v/>
      </c>
      <c r="J167" s="71"/>
      <c r="K167" s="499" t="str">
        <f>IFERROR(INDEX('G-8 Condition Look up'!$A$3:$H$130,MATCH(F167,'G-8 Condition Look up'!$A$3:$A$130,0),MATCH(J167,'G-8 Condition Look up'!$A$3:$H$3,0)),"")</f>
        <v/>
      </c>
      <c r="L167" s="71"/>
      <c r="M167" s="507" t="str">
        <f>IF(L167="","",IF(VLOOKUP(L167,'G-3 Multipliers'!$L$3:$N$6,2,FALSE)=0,"Spatial Data Missing",VLOOKUP(L167,'G-3 Multipliers'!$L$3:$N$6,2,FALSE)))</f>
        <v/>
      </c>
      <c r="N167" s="505" t="str">
        <f>IF(L167="","",IF(VLOOKUP(L167,'G-3 Multipliers'!$L$3:$N$6,3,FALSE)=0,"Spatial Data Missing",VLOOKUP(L167,'G-3 Multipliers'!$L$3:$N$6,3,FALSE)))</f>
        <v/>
      </c>
      <c r="O167" s="498" t="str">
        <f t="shared" si="12"/>
        <v/>
      </c>
      <c r="P167" s="82"/>
      <c r="Q167" s="82"/>
      <c r="R167" s="507" t="str">
        <f t="shared" si="14"/>
        <v/>
      </c>
      <c r="S167" s="521" t="str">
        <f t="shared" si="15"/>
        <v/>
      </c>
      <c r="T167" s="522" t="str">
        <f>IFERROR(IF(S167="Check Data ⚠","Check Data ⚠",VLOOKUP(S167,'G-4 Temporal multipliers'!$A$4:$C$37,3,FALSE)),"")</f>
        <v/>
      </c>
      <c r="U167" s="523" t="str">
        <f>IF(F167="","",VLOOKUP(F167,'G-3 Multipliers'!$A$2:$E$129,2,FALSE))</f>
        <v/>
      </c>
      <c r="V167" s="520" t="str">
        <f t="shared" si="16"/>
        <v/>
      </c>
      <c r="W167" s="520" t="str">
        <f>IF(E167="","",IF(AND(V167="Standard difficulty applied",O167&gt;P167),U167,IF(AND(V167="Low Difficulty - only applicable if all habitat created before losses",P167&gt;=O167),"Low",VLOOKUP(F167,'G-3 Multipliers'!$A$2:$E$129,4,FALSE))))</f>
        <v/>
      </c>
      <c r="X167" s="524" t="str">
        <f>IFERROR(IF(E167="","",VLOOKUP(W167, 'G-3 Multipliers'!$P$2:$Q$6,2,FALSE)),"")</f>
        <v/>
      </c>
      <c r="Y167" s="529" t="str">
        <f t="shared" si="17"/>
        <v/>
      </c>
      <c r="Z167" s="239"/>
      <c r="AA167" s="240"/>
      <c r="AE167" s="54" t="str">
        <f t="shared" si="13"/>
        <v/>
      </c>
    </row>
    <row r="168" spans="1:31" x14ac:dyDescent="0.25">
      <c r="A168" s="47" t="str">
        <f>IFERROR(INDEX('G-8 Condition Look up'!$I$4:$I$130,MATCH(F168,'G-8 Condition Look up'!$A$4:$A$130,0)),"")</f>
        <v/>
      </c>
      <c r="C168" s="384" t="str">
        <f>IFERROR(INDEX('G-1 All Habitats'!$AG$3:$AG$15,MATCH(D168,'G-1 All Habitats'!$AF$3:$AF$15,0)),"")</f>
        <v/>
      </c>
      <c r="D168" s="146"/>
      <c r="E168" s="79"/>
      <c r="F168" s="246" t="str">
        <f>IFERROR(INDEX('G-1 All Habitats'!$B$3:$B$129,MATCH(E168,'G-1 All Habitats'!$A$3:$A$129,0)),"")</f>
        <v/>
      </c>
      <c r="G168" s="70"/>
      <c r="H168" s="498" t="str">
        <f>IF(F168="","",VLOOKUP(F168,'G-1 All Habitats'!$B$2:$M$129,10,FALSE))</f>
        <v/>
      </c>
      <c r="I168" s="499" t="str">
        <f>IFERROR(VLOOKUP(H168,'G-1 All Habitats'!$V$3:$W$7,2,FALSE),"")</f>
        <v/>
      </c>
      <c r="J168" s="71"/>
      <c r="K168" s="499" t="str">
        <f>IFERROR(INDEX('G-8 Condition Look up'!$A$3:$H$130,MATCH(F168,'G-8 Condition Look up'!$A$3:$A$130,0),MATCH(J168,'G-8 Condition Look up'!$A$3:$H$3,0)),"")</f>
        <v/>
      </c>
      <c r="L168" s="71"/>
      <c r="M168" s="507" t="str">
        <f>IF(L168="","",IF(VLOOKUP(L168,'G-3 Multipliers'!$L$3:$N$6,2,FALSE)=0,"Spatial Data Missing",VLOOKUP(L168,'G-3 Multipliers'!$L$3:$N$6,2,FALSE)))</f>
        <v/>
      </c>
      <c r="N168" s="505" t="str">
        <f>IF(L168="","",IF(VLOOKUP(L168,'G-3 Multipliers'!$L$3:$N$6,3,FALSE)=0,"Spatial Data Missing",VLOOKUP(L168,'G-3 Multipliers'!$L$3:$N$6,3,FALSE)))</f>
        <v/>
      </c>
      <c r="O168" s="498" t="str">
        <f t="shared" si="12"/>
        <v/>
      </c>
      <c r="P168" s="82"/>
      <c r="Q168" s="82"/>
      <c r="R168" s="507" t="str">
        <f t="shared" si="14"/>
        <v/>
      </c>
      <c r="S168" s="521" t="str">
        <f t="shared" si="15"/>
        <v/>
      </c>
      <c r="T168" s="522" t="str">
        <f>IFERROR(IF(S168="Check Data ⚠","Check Data ⚠",VLOOKUP(S168,'G-4 Temporal multipliers'!$A$4:$C$37,3,FALSE)),"")</f>
        <v/>
      </c>
      <c r="U168" s="523" t="str">
        <f>IF(F168="","",VLOOKUP(F168,'G-3 Multipliers'!$A$2:$E$129,2,FALSE))</f>
        <v/>
      </c>
      <c r="V168" s="520" t="str">
        <f t="shared" si="16"/>
        <v/>
      </c>
      <c r="W168" s="520" t="str">
        <f>IF(E168="","",IF(AND(V168="Standard difficulty applied",O168&gt;P168),U168,IF(AND(V168="Low Difficulty - only applicable if all habitat created before losses",P168&gt;=O168),"Low",VLOOKUP(F168,'G-3 Multipliers'!$A$2:$E$129,4,FALSE))))</f>
        <v/>
      </c>
      <c r="X168" s="524" t="str">
        <f>IFERROR(IF(E168="","",VLOOKUP(W168, 'G-3 Multipliers'!$P$2:$Q$6,2,FALSE)),"")</f>
        <v/>
      </c>
      <c r="Y168" s="529" t="str">
        <f t="shared" si="17"/>
        <v/>
      </c>
      <c r="Z168" s="239"/>
      <c r="AA168" s="240"/>
      <c r="AE168" s="54" t="str">
        <f t="shared" si="13"/>
        <v/>
      </c>
    </row>
    <row r="169" spans="1:31" x14ac:dyDescent="0.25">
      <c r="A169" s="47" t="str">
        <f>IFERROR(INDEX('G-8 Condition Look up'!$I$4:$I$130,MATCH(F169,'G-8 Condition Look up'!$A$4:$A$130,0)),"")</f>
        <v/>
      </c>
      <c r="C169" s="384" t="str">
        <f>IFERROR(INDEX('G-1 All Habitats'!$AG$3:$AG$15,MATCH(D169,'G-1 All Habitats'!$AF$3:$AF$15,0)),"")</f>
        <v/>
      </c>
      <c r="D169" s="146"/>
      <c r="E169" s="79"/>
      <c r="F169" s="246" t="str">
        <f>IFERROR(INDEX('G-1 All Habitats'!$B$3:$B$129,MATCH(E169,'G-1 All Habitats'!$A$3:$A$129,0)),"")</f>
        <v/>
      </c>
      <c r="G169" s="70"/>
      <c r="H169" s="498" t="str">
        <f>IF(F169="","",VLOOKUP(F169,'G-1 All Habitats'!$B$2:$M$129,10,FALSE))</f>
        <v/>
      </c>
      <c r="I169" s="499" t="str">
        <f>IFERROR(VLOOKUP(H169,'G-1 All Habitats'!$V$3:$W$7,2,FALSE),"")</f>
        <v/>
      </c>
      <c r="J169" s="71"/>
      <c r="K169" s="499" t="str">
        <f>IFERROR(INDEX('G-8 Condition Look up'!$A$3:$H$130,MATCH(F169,'G-8 Condition Look up'!$A$3:$A$130,0),MATCH(J169,'G-8 Condition Look up'!$A$3:$H$3,0)),"")</f>
        <v/>
      </c>
      <c r="L169" s="71"/>
      <c r="M169" s="507" t="str">
        <f>IF(L169="","",IF(VLOOKUP(L169,'G-3 Multipliers'!$L$3:$N$6,2,FALSE)=0,"Spatial Data Missing",VLOOKUP(L169,'G-3 Multipliers'!$L$3:$N$6,2,FALSE)))</f>
        <v/>
      </c>
      <c r="N169" s="505" t="str">
        <f>IF(L169="","",IF(VLOOKUP(L169,'G-3 Multipliers'!$L$3:$N$6,3,FALSE)=0,"Spatial Data Missing",VLOOKUP(L169,'G-3 Multipliers'!$L$3:$N$6,3,FALSE)))</f>
        <v/>
      </c>
      <c r="O169" s="498" t="str">
        <f t="shared" si="12"/>
        <v/>
      </c>
      <c r="P169" s="82"/>
      <c r="Q169" s="82"/>
      <c r="R169" s="507" t="str">
        <f t="shared" si="14"/>
        <v/>
      </c>
      <c r="S169" s="521" t="str">
        <f t="shared" si="15"/>
        <v/>
      </c>
      <c r="T169" s="522" t="str">
        <f>IFERROR(IF(S169="Check Data ⚠","Check Data ⚠",VLOOKUP(S169,'G-4 Temporal multipliers'!$A$4:$C$37,3,FALSE)),"")</f>
        <v/>
      </c>
      <c r="U169" s="523" t="str">
        <f>IF(F169="","",VLOOKUP(F169,'G-3 Multipliers'!$A$2:$E$129,2,FALSE))</f>
        <v/>
      </c>
      <c r="V169" s="520" t="str">
        <f t="shared" si="16"/>
        <v/>
      </c>
      <c r="W169" s="520" t="str">
        <f>IF(E169="","",IF(AND(V169="Standard difficulty applied",O169&gt;P169),U169,IF(AND(V169="Low Difficulty - only applicable if all habitat created before losses",P169&gt;=O169),"Low",VLOOKUP(F169,'G-3 Multipliers'!$A$2:$E$129,4,FALSE))))</f>
        <v/>
      </c>
      <c r="X169" s="524" t="str">
        <f>IFERROR(IF(E169="","",VLOOKUP(W169, 'G-3 Multipliers'!$P$2:$Q$6,2,FALSE)),"")</f>
        <v/>
      </c>
      <c r="Y169" s="529" t="str">
        <f t="shared" si="17"/>
        <v/>
      </c>
      <c r="Z169" s="239"/>
      <c r="AA169" s="240"/>
      <c r="AE169" s="54" t="str">
        <f t="shared" si="13"/>
        <v/>
      </c>
    </row>
    <row r="170" spans="1:31" x14ac:dyDescent="0.25">
      <c r="A170" s="47" t="str">
        <f>IFERROR(INDEX('G-8 Condition Look up'!$I$4:$I$130,MATCH(F170,'G-8 Condition Look up'!$A$4:$A$130,0)),"")</f>
        <v/>
      </c>
      <c r="C170" s="384" t="str">
        <f>IFERROR(INDEX('G-1 All Habitats'!$AG$3:$AG$15,MATCH(D170,'G-1 All Habitats'!$AF$3:$AF$15,0)),"")</f>
        <v/>
      </c>
      <c r="D170" s="146"/>
      <c r="E170" s="79"/>
      <c r="F170" s="246" t="str">
        <f>IFERROR(INDEX('G-1 All Habitats'!$B$3:$B$129,MATCH(E170,'G-1 All Habitats'!$A$3:$A$129,0)),"")</f>
        <v/>
      </c>
      <c r="G170" s="70"/>
      <c r="H170" s="498" t="str">
        <f>IF(F170="","",VLOOKUP(F170,'G-1 All Habitats'!$B$2:$M$129,10,FALSE))</f>
        <v/>
      </c>
      <c r="I170" s="499" t="str">
        <f>IFERROR(VLOOKUP(H170,'G-1 All Habitats'!$V$3:$W$7,2,FALSE),"")</f>
        <v/>
      </c>
      <c r="J170" s="71"/>
      <c r="K170" s="499" t="str">
        <f>IFERROR(INDEX('G-8 Condition Look up'!$A$3:$H$130,MATCH(F170,'G-8 Condition Look up'!$A$3:$A$130,0),MATCH(J170,'G-8 Condition Look up'!$A$3:$H$3,0)),"")</f>
        <v/>
      </c>
      <c r="L170" s="71"/>
      <c r="M170" s="507" t="str">
        <f>IF(L170="","",IF(VLOOKUP(L170,'G-3 Multipliers'!$L$3:$N$6,2,FALSE)=0,"Spatial Data Missing",VLOOKUP(L170,'G-3 Multipliers'!$L$3:$N$6,2,FALSE)))</f>
        <v/>
      </c>
      <c r="N170" s="505" t="str">
        <f>IF(L170="","",IF(VLOOKUP(L170,'G-3 Multipliers'!$L$3:$N$6,3,FALSE)=0,"Spatial Data Missing",VLOOKUP(L170,'G-3 Multipliers'!$L$3:$N$6,3,FALSE)))</f>
        <v/>
      </c>
      <c r="O170" s="498" t="str">
        <f t="shared" si="12"/>
        <v/>
      </c>
      <c r="P170" s="82"/>
      <c r="Q170" s="82"/>
      <c r="R170" s="507" t="str">
        <f t="shared" si="14"/>
        <v/>
      </c>
      <c r="S170" s="521" t="str">
        <f t="shared" si="15"/>
        <v/>
      </c>
      <c r="T170" s="522" t="str">
        <f>IFERROR(IF(S170="Check Data ⚠","Check Data ⚠",VLOOKUP(S170,'G-4 Temporal multipliers'!$A$4:$C$37,3,FALSE)),"")</f>
        <v/>
      </c>
      <c r="U170" s="523" t="str">
        <f>IF(F170="","",VLOOKUP(F170,'G-3 Multipliers'!$A$2:$E$129,2,FALSE))</f>
        <v/>
      </c>
      <c r="V170" s="520" t="str">
        <f t="shared" si="16"/>
        <v/>
      </c>
      <c r="W170" s="520" t="str">
        <f>IF(E170="","",IF(AND(V170="Standard difficulty applied",O170&gt;P170),U170,IF(AND(V170="Low Difficulty - only applicable if all habitat created before losses",P170&gt;=O170),"Low",VLOOKUP(F170,'G-3 Multipliers'!$A$2:$E$129,4,FALSE))))</f>
        <v/>
      </c>
      <c r="X170" s="524" t="str">
        <f>IFERROR(IF(E170="","",VLOOKUP(W170, 'G-3 Multipliers'!$P$2:$Q$6,2,FALSE)),"")</f>
        <v/>
      </c>
      <c r="Y170" s="529" t="str">
        <f t="shared" si="17"/>
        <v/>
      </c>
      <c r="Z170" s="239"/>
      <c r="AA170" s="240"/>
      <c r="AE170" s="54" t="str">
        <f t="shared" si="13"/>
        <v/>
      </c>
    </row>
    <row r="171" spans="1:31" x14ac:dyDescent="0.25">
      <c r="A171" s="47" t="str">
        <f>IFERROR(INDEX('G-8 Condition Look up'!$I$4:$I$130,MATCH(F171,'G-8 Condition Look up'!$A$4:$A$130,0)),"")</f>
        <v/>
      </c>
      <c r="C171" s="384" t="str">
        <f>IFERROR(INDEX('G-1 All Habitats'!$AG$3:$AG$15,MATCH(D171,'G-1 All Habitats'!$AF$3:$AF$15,0)),"")</f>
        <v/>
      </c>
      <c r="D171" s="146"/>
      <c r="E171" s="79"/>
      <c r="F171" s="246" t="str">
        <f>IFERROR(INDEX('G-1 All Habitats'!$B$3:$B$129,MATCH(E171,'G-1 All Habitats'!$A$3:$A$129,0)),"")</f>
        <v/>
      </c>
      <c r="G171" s="70"/>
      <c r="H171" s="498" t="str">
        <f>IF(F171="","",VLOOKUP(F171,'G-1 All Habitats'!$B$2:$M$129,10,FALSE))</f>
        <v/>
      </c>
      <c r="I171" s="499" t="str">
        <f>IFERROR(VLOOKUP(H171,'G-1 All Habitats'!$V$3:$W$7,2,FALSE),"")</f>
        <v/>
      </c>
      <c r="J171" s="71"/>
      <c r="K171" s="499" t="str">
        <f>IFERROR(INDEX('G-8 Condition Look up'!$A$3:$H$130,MATCH(F171,'G-8 Condition Look up'!$A$3:$A$130,0),MATCH(J171,'G-8 Condition Look up'!$A$3:$H$3,0)),"")</f>
        <v/>
      </c>
      <c r="L171" s="71"/>
      <c r="M171" s="507" t="str">
        <f>IF(L171="","",IF(VLOOKUP(L171,'G-3 Multipliers'!$L$3:$N$6,2,FALSE)=0,"Spatial Data Missing",VLOOKUP(L171,'G-3 Multipliers'!$L$3:$N$6,2,FALSE)))</f>
        <v/>
      </c>
      <c r="N171" s="505" t="str">
        <f>IF(L171="","",IF(VLOOKUP(L171,'G-3 Multipliers'!$L$3:$N$6,3,FALSE)=0,"Spatial Data Missing",VLOOKUP(L171,'G-3 Multipliers'!$L$3:$N$6,3,FALSE)))</f>
        <v/>
      </c>
      <c r="O171" s="498" t="str">
        <f t="shared" si="12"/>
        <v/>
      </c>
      <c r="P171" s="82"/>
      <c r="Q171" s="82"/>
      <c r="R171" s="507" t="str">
        <f t="shared" si="14"/>
        <v/>
      </c>
      <c r="S171" s="521" t="str">
        <f t="shared" si="15"/>
        <v/>
      </c>
      <c r="T171" s="522" t="str">
        <f>IFERROR(IF(S171="Check Data ⚠","Check Data ⚠",VLOOKUP(S171,'G-4 Temporal multipliers'!$A$4:$C$37,3,FALSE)),"")</f>
        <v/>
      </c>
      <c r="U171" s="523" t="str">
        <f>IF(F171="","",VLOOKUP(F171,'G-3 Multipliers'!$A$2:$E$129,2,FALSE))</f>
        <v/>
      </c>
      <c r="V171" s="520" t="str">
        <f t="shared" si="16"/>
        <v/>
      </c>
      <c r="W171" s="520" t="str">
        <f>IF(E171="","",IF(AND(V171="Standard difficulty applied",O171&gt;P171),U171,IF(AND(V171="Low Difficulty - only applicable if all habitat created before losses",P171&gt;=O171),"Low",VLOOKUP(F171,'G-3 Multipliers'!$A$2:$E$129,4,FALSE))))</f>
        <v/>
      </c>
      <c r="X171" s="524" t="str">
        <f>IFERROR(IF(E171="","",VLOOKUP(W171, 'G-3 Multipliers'!$P$2:$Q$6,2,FALSE)),"")</f>
        <v/>
      </c>
      <c r="Y171" s="529" t="str">
        <f t="shared" si="17"/>
        <v/>
      </c>
      <c r="Z171" s="239"/>
      <c r="AA171" s="240"/>
      <c r="AE171" s="54" t="str">
        <f t="shared" si="13"/>
        <v/>
      </c>
    </row>
    <row r="172" spans="1:31" x14ac:dyDescent="0.25">
      <c r="A172" s="47" t="str">
        <f>IFERROR(INDEX('G-8 Condition Look up'!$I$4:$I$130,MATCH(F172,'G-8 Condition Look up'!$A$4:$A$130,0)),"")</f>
        <v/>
      </c>
      <c r="C172" s="384" t="str">
        <f>IFERROR(INDEX('G-1 All Habitats'!$AG$3:$AG$15,MATCH(D172,'G-1 All Habitats'!$AF$3:$AF$15,0)),"")</f>
        <v/>
      </c>
      <c r="D172" s="146"/>
      <c r="E172" s="79"/>
      <c r="F172" s="246" t="str">
        <f>IFERROR(INDEX('G-1 All Habitats'!$B$3:$B$129,MATCH(E172,'G-1 All Habitats'!$A$3:$A$129,0)),"")</f>
        <v/>
      </c>
      <c r="G172" s="70"/>
      <c r="H172" s="498" t="str">
        <f>IF(F172="","",VLOOKUP(F172,'G-1 All Habitats'!$B$2:$M$129,10,FALSE))</f>
        <v/>
      </c>
      <c r="I172" s="499" t="str">
        <f>IFERROR(VLOOKUP(H172,'G-1 All Habitats'!$V$3:$W$7,2,FALSE),"")</f>
        <v/>
      </c>
      <c r="J172" s="71"/>
      <c r="K172" s="499" t="str">
        <f>IFERROR(INDEX('G-8 Condition Look up'!$A$3:$H$130,MATCH(F172,'G-8 Condition Look up'!$A$3:$A$130,0),MATCH(J172,'G-8 Condition Look up'!$A$3:$H$3,0)),"")</f>
        <v/>
      </c>
      <c r="L172" s="71"/>
      <c r="M172" s="507" t="str">
        <f>IF(L172="","",IF(VLOOKUP(L172,'G-3 Multipliers'!$L$3:$N$6,2,FALSE)=0,"Spatial Data Missing",VLOOKUP(L172,'G-3 Multipliers'!$L$3:$N$6,2,FALSE)))</f>
        <v/>
      </c>
      <c r="N172" s="505" t="str">
        <f>IF(L172="","",IF(VLOOKUP(L172,'G-3 Multipliers'!$L$3:$N$6,3,FALSE)=0,"Spatial Data Missing",VLOOKUP(L172,'G-3 Multipliers'!$L$3:$N$6,3,FALSE)))</f>
        <v/>
      </c>
      <c r="O172" s="498" t="str">
        <f t="shared" si="12"/>
        <v/>
      </c>
      <c r="P172" s="82"/>
      <c r="Q172" s="82"/>
      <c r="R172" s="507" t="str">
        <f t="shared" si="14"/>
        <v/>
      </c>
      <c r="S172" s="521" t="str">
        <f t="shared" si="15"/>
        <v/>
      </c>
      <c r="T172" s="522" t="str">
        <f>IFERROR(IF(S172="Check Data ⚠","Check Data ⚠",VLOOKUP(S172,'G-4 Temporal multipliers'!$A$4:$C$37,3,FALSE)),"")</f>
        <v/>
      </c>
      <c r="U172" s="523" t="str">
        <f>IF(F172="","",VLOOKUP(F172,'G-3 Multipliers'!$A$2:$E$129,2,FALSE))</f>
        <v/>
      </c>
      <c r="V172" s="520" t="str">
        <f t="shared" si="16"/>
        <v/>
      </c>
      <c r="W172" s="520" t="str">
        <f>IF(E172="","",IF(AND(V172="Standard difficulty applied",O172&gt;P172),U172,IF(AND(V172="Low Difficulty - only applicable if all habitat created before losses",P172&gt;=O172),"Low",VLOOKUP(F172,'G-3 Multipliers'!$A$2:$E$129,4,FALSE))))</f>
        <v/>
      </c>
      <c r="X172" s="524" t="str">
        <f>IFERROR(IF(E172="","",VLOOKUP(W172, 'G-3 Multipliers'!$P$2:$Q$6,2,FALSE)),"")</f>
        <v/>
      </c>
      <c r="Y172" s="529" t="str">
        <f t="shared" si="17"/>
        <v/>
      </c>
      <c r="Z172" s="239"/>
      <c r="AA172" s="240"/>
      <c r="AE172" s="54" t="str">
        <f t="shared" si="13"/>
        <v/>
      </c>
    </row>
    <row r="173" spans="1:31" x14ac:dyDescent="0.25">
      <c r="A173" s="47" t="str">
        <f>IFERROR(INDEX('G-8 Condition Look up'!$I$4:$I$130,MATCH(F173,'G-8 Condition Look up'!$A$4:$A$130,0)),"")</f>
        <v/>
      </c>
      <c r="C173" s="384" t="str">
        <f>IFERROR(INDEX('G-1 All Habitats'!$AG$3:$AG$15,MATCH(D173,'G-1 All Habitats'!$AF$3:$AF$15,0)),"")</f>
        <v/>
      </c>
      <c r="D173" s="146"/>
      <c r="E173" s="79"/>
      <c r="F173" s="246" t="str">
        <f>IFERROR(INDEX('G-1 All Habitats'!$B$3:$B$129,MATCH(E173,'G-1 All Habitats'!$A$3:$A$129,0)),"")</f>
        <v/>
      </c>
      <c r="G173" s="70"/>
      <c r="H173" s="498" t="str">
        <f>IF(F173="","",VLOOKUP(F173,'G-1 All Habitats'!$B$2:$M$129,10,FALSE))</f>
        <v/>
      </c>
      <c r="I173" s="499" t="str">
        <f>IFERROR(VLOOKUP(H173,'G-1 All Habitats'!$V$3:$W$7,2,FALSE),"")</f>
        <v/>
      </c>
      <c r="J173" s="71"/>
      <c r="K173" s="499" t="str">
        <f>IFERROR(INDEX('G-8 Condition Look up'!$A$3:$H$130,MATCH(F173,'G-8 Condition Look up'!$A$3:$A$130,0),MATCH(J173,'G-8 Condition Look up'!$A$3:$H$3,0)),"")</f>
        <v/>
      </c>
      <c r="L173" s="71"/>
      <c r="M173" s="507" t="str">
        <f>IF(L173="","",IF(VLOOKUP(L173,'G-3 Multipliers'!$L$3:$N$6,2,FALSE)=0,"Spatial Data Missing",VLOOKUP(L173,'G-3 Multipliers'!$L$3:$N$6,2,FALSE)))</f>
        <v/>
      </c>
      <c r="N173" s="505" t="str">
        <f>IF(L173="","",IF(VLOOKUP(L173,'G-3 Multipliers'!$L$3:$N$6,3,FALSE)=0,"Spatial Data Missing",VLOOKUP(L173,'G-3 Multipliers'!$L$3:$N$6,3,FALSE)))</f>
        <v/>
      </c>
      <c r="O173" s="498" t="str">
        <f t="shared" si="12"/>
        <v/>
      </c>
      <c r="P173" s="82"/>
      <c r="Q173" s="82"/>
      <c r="R173" s="507" t="str">
        <f t="shared" si="14"/>
        <v/>
      </c>
      <c r="S173" s="521" t="str">
        <f t="shared" si="15"/>
        <v/>
      </c>
      <c r="T173" s="522" t="str">
        <f>IFERROR(IF(S173="Check Data ⚠","Check Data ⚠",VLOOKUP(S173,'G-4 Temporal multipliers'!$A$4:$C$37,3,FALSE)),"")</f>
        <v/>
      </c>
      <c r="U173" s="523" t="str">
        <f>IF(F173="","",VLOOKUP(F173,'G-3 Multipliers'!$A$2:$E$129,2,FALSE))</f>
        <v/>
      </c>
      <c r="V173" s="520" t="str">
        <f t="shared" si="16"/>
        <v/>
      </c>
      <c r="W173" s="520" t="str">
        <f>IF(E173="","",IF(AND(V173="Standard difficulty applied",O173&gt;P173),U173,IF(AND(V173="Low Difficulty - only applicable if all habitat created before losses",P173&gt;=O173),"Low",VLOOKUP(F173,'G-3 Multipliers'!$A$2:$E$129,4,FALSE))))</f>
        <v/>
      </c>
      <c r="X173" s="524" t="str">
        <f>IFERROR(IF(E173="","",VLOOKUP(W173, 'G-3 Multipliers'!$P$2:$Q$6,2,FALSE)),"")</f>
        <v/>
      </c>
      <c r="Y173" s="529" t="str">
        <f t="shared" si="17"/>
        <v/>
      </c>
      <c r="Z173" s="239"/>
      <c r="AA173" s="240"/>
      <c r="AE173" s="54" t="str">
        <f t="shared" si="13"/>
        <v/>
      </c>
    </row>
    <row r="174" spans="1:31" x14ac:dyDescent="0.25">
      <c r="A174" s="47" t="str">
        <f>IFERROR(INDEX('G-8 Condition Look up'!$I$4:$I$130,MATCH(F174,'G-8 Condition Look up'!$A$4:$A$130,0)),"")</f>
        <v/>
      </c>
      <c r="C174" s="384" t="str">
        <f>IFERROR(INDEX('G-1 All Habitats'!$AG$3:$AG$15,MATCH(D174,'G-1 All Habitats'!$AF$3:$AF$15,0)),"")</f>
        <v/>
      </c>
      <c r="D174" s="146"/>
      <c r="E174" s="79"/>
      <c r="F174" s="246" t="str">
        <f>IFERROR(INDEX('G-1 All Habitats'!$B$3:$B$129,MATCH(E174,'G-1 All Habitats'!$A$3:$A$129,0)),"")</f>
        <v/>
      </c>
      <c r="G174" s="70"/>
      <c r="H174" s="498" t="str">
        <f>IF(F174="","",VLOOKUP(F174,'G-1 All Habitats'!$B$2:$M$129,10,FALSE))</f>
        <v/>
      </c>
      <c r="I174" s="499" t="str">
        <f>IFERROR(VLOOKUP(H174,'G-1 All Habitats'!$V$3:$W$7,2,FALSE),"")</f>
        <v/>
      </c>
      <c r="J174" s="71"/>
      <c r="K174" s="499" t="str">
        <f>IFERROR(INDEX('G-8 Condition Look up'!$A$3:$H$130,MATCH(F174,'G-8 Condition Look up'!$A$3:$A$130,0),MATCH(J174,'G-8 Condition Look up'!$A$3:$H$3,0)),"")</f>
        <v/>
      </c>
      <c r="L174" s="71"/>
      <c r="M174" s="507" t="str">
        <f>IF(L174="","",IF(VLOOKUP(L174,'G-3 Multipliers'!$L$3:$N$6,2,FALSE)=0,"Spatial Data Missing",VLOOKUP(L174,'G-3 Multipliers'!$L$3:$N$6,2,FALSE)))</f>
        <v/>
      </c>
      <c r="N174" s="505" t="str">
        <f>IF(L174="","",IF(VLOOKUP(L174,'G-3 Multipliers'!$L$3:$N$6,3,FALSE)=0,"Spatial Data Missing",VLOOKUP(L174,'G-3 Multipliers'!$L$3:$N$6,3,FALSE)))</f>
        <v/>
      </c>
      <c r="O174" s="498" t="str">
        <f t="shared" si="12"/>
        <v/>
      </c>
      <c r="P174" s="82"/>
      <c r="Q174" s="82"/>
      <c r="R174" s="507" t="str">
        <f t="shared" si="14"/>
        <v/>
      </c>
      <c r="S174" s="521" t="str">
        <f t="shared" si="15"/>
        <v/>
      </c>
      <c r="T174" s="522" t="str">
        <f>IFERROR(IF(S174="Check Data ⚠","Check Data ⚠",VLOOKUP(S174,'G-4 Temporal multipliers'!$A$4:$C$37,3,FALSE)),"")</f>
        <v/>
      </c>
      <c r="U174" s="523" t="str">
        <f>IF(F174="","",VLOOKUP(F174,'G-3 Multipliers'!$A$2:$E$129,2,FALSE))</f>
        <v/>
      </c>
      <c r="V174" s="520" t="str">
        <f t="shared" si="16"/>
        <v/>
      </c>
      <c r="W174" s="520" t="str">
        <f>IF(E174="","",IF(AND(V174="Standard difficulty applied",O174&gt;P174),U174,IF(AND(V174="Low Difficulty - only applicable if all habitat created before losses",P174&gt;=O174),"Low",VLOOKUP(F174,'G-3 Multipliers'!$A$2:$E$129,4,FALSE))))</f>
        <v/>
      </c>
      <c r="X174" s="524" t="str">
        <f>IFERROR(IF(E174="","",VLOOKUP(W174, 'G-3 Multipliers'!$P$2:$Q$6,2,FALSE)),"")</f>
        <v/>
      </c>
      <c r="Y174" s="529" t="str">
        <f t="shared" si="17"/>
        <v/>
      </c>
      <c r="Z174" s="239"/>
      <c r="AA174" s="240"/>
      <c r="AE174" s="54" t="str">
        <f t="shared" si="13"/>
        <v/>
      </c>
    </row>
    <row r="175" spans="1:31" x14ac:dyDescent="0.25">
      <c r="A175" s="47" t="str">
        <f>IFERROR(INDEX('G-8 Condition Look up'!$I$4:$I$130,MATCH(F175,'G-8 Condition Look up'!$A$4:$A$130,0)),"")</f>
        <v/>
      </c>
      <c r="C175" s="384" t="str">
        <f>IFERROR(INDEX('G-1 All Habitats'!$AG$3:$AG$15,MATCH(D175,'G-1 All Habitats'!$AF$3:$AF$15,0)),"")</f>
        <v/>
      </c>
      <c r="D175" s="146"/>
      <c r="E175" s="79"/>
      <c r="F175" s="246" t="str">
        <f>IFERROR(INDEX('G-1 All Habitats'!$B$3:$B$129,MATCH(E175,'G-1 All Habitats'!$A$3:$A$129,0)),"")</f>
        <v/>
      </c>
      <c r="G175" s="70"/>
      <c r="H175" s="498" t="str">
        <f>IF(F175="","",VLOOKUP(F175,'G-1 All Habitats'!$B$2:$M$129,10,FALSE))</f>
        <v/>
      </c>
      <c r="I175" s="499" t="str">
        <f>IFERROR(VLOOKUP(H175,'G-1 All Habitats'!$V$3:$W$7,2,FALSE),"")</f>
        <v/>
      </c>
      <c r="J175" s="71"/>
      <c r="K175" s="499" t="str">
        <f>IFERROR(INDEX('G-8 Condition Look up'!$A$3:$H$130,MATCH(F175,'G-8 Condition Look up'!$A$3:$A$130,0),MATCH(J175,'G-8 Condition Look up'!$A$3:$H$3,0)),"")</f>
        <v/>
      </c>
      <c r="L175" s="71"/>
      <c r="M175" s="507" t="str">
        <f>IF(L175="","",IF(VLOOKUP(L175,'G-3 Multipliers'!$L$3:$N$6,2,FALSE)=0,"Spatial Data Missing",VLOOKUP(L175,'G-3 Multipliers'!$L$3:$N$6,2,FALSE)))</f>
        <v/>
      </c>
      <c r="N175" s="505" t="str">
        <f>IF(L175="","",IF(VLOOKUP(L175,'G-3 Multipliers'!$L$3:$N$6,3,FALSE)=0,"Spatial Data Missing",VLOOKUP(L175,'G-3 Multipliers'!$L$3:$N$6,3,FALSE)))</f>
        <v/>
      </c>
      <c r="O175" s="498" t="str">
        <f t="shared" si="12"/>
        <v/>
      </c>
      <c r="P175" s="82"/>
      <c r="Q175" s="82"/>
      <c r="R175" s="507" t="str">
        <f t="shared" si="14"/>
        <v/>
      </c>
      <c r="S175" s="521" t="str">
        <f t="shared" si="15"/>
        <v/>
      </c>
      <c r="T175" s="522" t="str">
        <f>IFERROR(IF(S175="Check Data ⚠","Check Data ⚠",VLOOKUP(S175,'G-4 Temporal multipliers'!$A$4:$C$37,3,FALSE)),"")</f>
        <v/>
      </c>
      <c r="U175" s="523" t="str">
        <f>IF(F175="","",VLOOKUP(F175,'G-3 Multipliers'!$A$2:$E$129,2,FALSE))</f>
        <v/>
      </c>
      <c r="V175" s="520" t="str">
        <f t="shared" si="16"/>
        <v/>
      </c>
      <c r="W175" s="520" t="str">
        <f>IF(E175="","",IF(AND(V175="Standard difficulty applied",O175&gt;P175),U175,IF(AND(V175="Low Difficulty - only applicable if all habitat created before losses",P175&gt;=O175),"Low",VLOOKUP(F175,'G-3 Multipliers'!$A$2:$E$129,4,FALSE))))</f>
        <v/>
      </c>
      <c r="X175" s="524" t="str">
        <f>IFERROR(IF(E175="","",VLOOKUP(W175, 'G-3 Multipliers'!$P$2:$Q$6,2,FALSE)),"")</f>
        <v/>
      </c>
      <c r="Y175" s="529" t="str">
        <f t="shared" si="17"/>
        <v/>
      </c>
      <c r="Z175" s="239"/>
      <c r="AA175" s="240"/>
      <c r="AE175" s="54" t="str">
        <f t="shared" si="13"/>
        <v/>
      </c>
    </row>
    <row r="176" spans="1:31" x14ac:dyDescent="0.25">
      <c r="A176" s="47" t="str">
        <f>IFERROR(INDEX('G-8 Condition Look up'!$I$4:$I$130,MATCH(F176,'G-8 Condition Look up'!$A$4:$A$130,0)),"")</f>
        <v/>
      </c>
      <c r="C176" s="384" t="str">
        <f>IFERROR(INDEX('G-1 All Habitats'!$AG$3:$AG$15,MATCH(D176,'G-1 All Habitats'!$AF$3:$AF$15,0)),"")</f>
        <v/>
      </c>
      <c r="D176" s="146"/>
      <c r="E176" s="79"/>
      <c r="F176" s="246" t="str">
        <f>IFERROR(INDEX('G-1 All Habitats'!$B$3:$B$129,MATCH(E176,'G-1 All Habitats'!$A$3:$A$129,0)),"")</f>
        <v/>
      </c>
      <c r="G176" s="70"/>
      <c r="H176" s="498" t="str">
        <f>IF(F176="","",VLOOKUP(F176,'G-1 All Habitats'!$B$2:$M$129,10,FALSE))</f>
        <v/>
      </c>
      <c r="I176" s="499" t="str">
        <f>IFERROR(VLOOKUP(H176,'G-1 All Habitats'!$V$3:$W$7,2,FALSE),"")</f>
        <v/>
      </c>
      <c r="J176" s="71"/>
      <c r="K176" s="499" t="str">
        <f>IFERROR(INDEX('G-8 Condition Look up'!$A$3:$H$130,MATCH(F176,'G-8 Condition Look up'!$A$3:$A$130,0),MATCH(J176,'G-8 Condition Look up'!$A$3:$H$3,0)),"")</f>
        <v/>
      </c>
      <c r="L176" s="71"/>
      <c r="M176" s="507" t="str">
        <f>IF(L176="","",IF(VLOOKUP(L176,'G-3 Multipliers'!$L$3:$N$6,2,FALSE)=0,"Spatial Data Missing",VLOOKUP(L176,'G-3 Multipliers'!$L$3:$N$6,2,FALSE)))</f>
        <v/>
      </c>
      <c r="N176" s="505" t="str">
        <f>IF(L176="","",IF(VLOOKUP(L176,'G-3 Multipliers'!$L$3:$N$6,3,FALSE)=0,"Spatial Data Missing",VLOOKUP(L176,'G-3 Multipliers'!$L$3:$N$6,3,FALSE)))</f>
        <v/>
      </c>
      <c r="O176" s="498" t="str">
        <f t="shared" si="12"/>
        <v/>
      </c>
      <c r="P176" s="82"/>
      <c r="Q176" s="82"/>
      <c r="R176" s="507" t="str">
        <f t="shared" si="14"/>
        <v/>
      </c>
      <c r="S176" s="521" t="str">
        <f t="shared" si="15"/>
        <v/>
      </c>
      <c r="T176" s="522" t="str">
        <f>IFERROR(IF(S176="Check Data ⚠","Check Data ⚠",VLOOKUP(S176,'G-4 Temporal multipliers'!$A$4:$C$37,3,FALSE)),"")</f>
        <v/>
      </c>
      <c r="U176" s="523" t="str">
        <f>IF(F176="","",VLOOKUP(F176,'G-3 Multipliers'!$A$2:$E$129,2,FALSE))</f>
        <v/>
      </c>
      <c r="V176" s="520" t="str">
        <f t="shared" si="16"/>
        <v/>
      </c>
      <c r="W176" s="520" t="str">
        <f>IF(E176="","",IF(AND(V176="Standard difficulty applied",O176&gt;P176),U176,IF(AND(V176="Low Difficulty - only applicable if all habitat created before losses",P176&gt;=O176),"Low",VLOOKUP(F176,'G-3 Multipliers'!$A$2:$E$129,4,FALSE))))</f>
        <v/>
      </c>
      <c r="X176" s="524" t="str">
        <f>IFERROR(IF(E176="","",VLOOKUP(W176, 'G-3 Multipliers'!$P$2:$Q$6,2,FALSE)),"")</f>
        <v/>
      </c>
      <c r="Y176" s="529" t="str">
        <f t="shared" si="17"/>
        <v/>
      </c>
      <c r="Z176" s="239"/>
      <c r="AA176" s="240"/>
      <c r="AE176" s="54" t="str">
        <f t="shared" si="13"/>
        <v/>
      </c>
    </row>
    <row r="177" spans="1:31" x14ac:dyDescent="0.25">
      <c r="A177" s="47" t="str">
        <f>IFERROR(INDEX('G-8 Condition Look up'!$I$4:$I$130,MATCH(F177,'G-8 Condition Look up'!$A$4:$A$130,0)),"")</f>
        <v/>
      </c>
      <c r="C177" s="384" t="str">
        <f>IFERROR(INDEX('G-1 All Habitats'!$AG$3:$AG$15,MATCH(D177,'G-1 All Habitats'!$AF$3:$AF$15,0)),"")</f>
        <v/>
      </c>
      <c r="D177" s="146"/>
      <c r="E177" s="79"/>
      <c r="F177" s="246" t="str">
        <f>IFERROR(INDEX('G-1 All Habitats'!$B$3:$B$129,MATCH(E177,'G-1 All Habitats'!$A$3:$A$129,0)),"")</f>
        <v/>
      </c>
      <c r="G177" s="70"/>
      <c r="H177" s="498" t="str">
        <f>IF(F177="","",VLOOKUP(F177,'G-1 All Habitats'!$B$2:$M$129,10,FALSE))</f>
        <v/>
      </c>
      <c r="I177" s="499" t="str">
        <f>IFERROR(VLOOKUP(H177,'G-1 All Habitats'!$V$3:$W$7,2,FALSE),"")</f>
        <v/>
      </c>
      <c r="J177" s="71"/>
      <c r="K177" s="499" t="str">
        <f>IFERROR(INDEX('G-8 Condition Look up'!$A$3:$H$130,MATCH(F177,'G-8 Condition Look up'!$A$3:$A$130,0),MATCH(J177,'G-8 Condition Look up'!$A$3:$H$3,0)),"")</f>
        <v/>
      </c>
      <c r="L177" s="71"/>
      <c r="M177" s="507" t="str">
        <f>IF(L177="","",IF(VLOOKUP(L177,'G-3 Multipliers'!$L$3:$N$6,2,FALSE)=0,"Spatial Data Missing",VLOOKUP(L177,'G-3 Multipliers'!$L$3:$N$6,2,FALSE)))</f>
        <v/>
      </c>
      <c r="N177" s="505" t="str">
        <f>IF(L177="","",IF(VLOOKUP(L177,'G-3 Multipliers'!$L$3:$N$6,3,FALSE)=0,"Spatial Data Missing",VLOOKUP(L177,'G-3 Multipliers'!$L$3:$N$6,3,FALSE)))</f>
        <v/>
      </c>
      <c r="O177" s="498" t="str">
        <f t="shared" si="12"/>
        <v/>
      </c>
      <c r="P177" s="82"/>
      <c r="Q177" s="82"/>
      <c r="R177" s="507" t="str">
        <f t="shared" si="14"/>
        <v/>
      </c>
      <c r="S177" s="521" t="str">
        <f t="shared" si="15"/>
        <v/>
      </c>
      <c r="T177" s="522" t="str">
        <f>IFERROR(IF(S177="Check Data ⚠","Check Data ⚠",VLOOKUP(S177,'G-4 Temporal multipliers'!$A$4:$C$37,3,FALSE)),"")</f>
        <v/>
      </c>
      <c r="U177" s="523" t="str">
        <f>IF(F177="","",VLOOKUP(F177,'G-3 Multipliers'!$A$2:$E$129,2,FALSE))</f>
        <v/>
      </c>
      <c r="V177" s="520" t="str">
        <f t="shared" si="16"/>
        <v/>
      </c>
      <c r="W177" s="520" t="str">
        <f>IF(E177="","",IF(AND(V177="Standard difficulty applied",O177&gt;P177),U177,IF(AND(V177="Low Difficulty - only applicable if all habitat created before losses",P177&gt;=O177),"Low",VLOOKUP(F177,'G-3 Multipliers'!$A$2:$E$129,4,FALSE))))</f>
        <v/>
      </c>
      <c r="X177" s="524" t="str">
        <f>IFERROR(IF(E177="","",VLOOKUP(W177, 'G-3 Multipliers'!$P$2:$Q$6,2,FALSE)),"")</f>
        <v/>
      </c>
      <c r="Y177" s="529" t="str">
        <f t="shared" si="17"/>
        <v/>
      </c>
      <c r="Z177" s="239"/>
      <c r="AA177" s="240"/>
      <c r="AE177" s="54" t="str">
        <f t="shared" si="13"/>
        <v/>
      </c>
    </row>
    <row r="178" spans="1:31" x14ac:dyDescent="0.25">
      <c r="A178" s="47" t="str">
        <f>IFERROR(INDEX('G-8 Condition Look up'!$I$4:$I$130,MATCH(F178,'G-8 Condition Look up'!$A$4:$A$130,0)),"")</f>
        <v/>
      </c>
      <c r="C178" s="384" t="str">
        <f>IFERROR(INDEX('G-1 All Habitats'!$AG$3:$AG$15,MATCH(D178,'G-1 All Habitats'!$AF$3:$AF$15,0)),"")</f>
        <v/>
      </c>
      <c r="D178" s="146"/>
      <c r="E178" s="79"/>
      <c r="F178" s="246" t="str">
        <f>IFERROR(INDEX('G-1 All Habitats'!$B$3:$B$129,MATCH(E178,'G-1 All Habitats'!$A$3:$A$129,0)),"")</f>
        <v/>
      </c>
      <c r="G178" s="70"/>
      <c r="H178" s="498" t="str">
        <f>IF(F178="","",VLOOKUP(F178,'G-1 All Habitats'!$B$2:$M$129,10,FALSE))</f>
        <v/>
      </c>
      <c r="I178" s="499" t="str">
        <f>IFERROR(VLOOKUP(H178,'G-1 All Habitats'!$V$3:$W$7,2,FALSE),"")</f>
        <v/>
      </c>
      <c r="J178" s="71"/>
      <c r="K178" s="499" t="str">
        <f>IFERROR(INDEX('G-8 Condition Look up'!$A$3:$H$130,MATCH(F178,'G-8 Condition Look up'!$A$3:$A$130,0),MATCH(J178,'G-8 Condition Look up'!$A$3:$H$3,0)),"")</f>
        <v/>
      </c>
      <c r="L178" s="71"/>
      <c r="M178" s="507" t="str">
        <f>IF(L178="","",IF(VLOOKUP(L178,'G-3 Multipliers'!$L$3:$N$6,2,FALSE)=0,"Spatial Data Missing",VLOOKUP(L178,'G-3 Multipliers'!$L$3:$N$6,2,FALSE)))</f>
        <v/>
      </c>
      <c r="N178" s="505" t="str">
        <f>IF(L178="","",IF(VLOOKUP(L178,'G-3 Multipliers'!$L$3:$N$6,3,FALSE)=0,"Spatial Data Missing",VLOOKUP(L178,'G-3 Multipliers'!$L$3:$N$6,3,FALSE)))</f>
        <v/>
      </c>
      <c r="O178" s="498" t="str">
        <f t="shared" si="12"/>
        <v/>
      </c>
      <c r="P178" s="82"/>
      <c r="Q178" s="82"/>
      <c r="R178" s="507" t="str">
        <f t="shared" si="14"/>
        <v/>
      </c>
      <c r="S178" s="521" t="str">
        <f t="shared" si="15"/>
        <v/>
      </c>
      <c r="T178" s="522" t="str">
        <f>IFERROR(IF(S178="Check Data ⚠","Check Data ⚠",VLOOKUP(S178,'G-4 Temporal multipliers'!$A$4:$C$37,3,FALSE)),"")</f>
        <v/>
      </c>
      <c r="U178" s="523" t="str">
        <f>IF(F178="","",VLOOKUP(F178,'G-3 Multipliers'!$A$2:$E$129,2,FALSE))</f>
        <v/>
      </c>
      <c r="V178" s="520" t="str">
        <f t="shared" si="16"/>
        <v/>
      </c>
      <c r="W178" s="520" t="str">
        <f>IF(E178="","",IF(AND(V178="Standard difficulty applied",O178&gt;P178),U178,IF(AND(V178="Low Difficulty - only applicable if all habitat created before losses",P178&gt;=O178),"Low",VLOOKUP(F178,'G-3 Multipliers'!$A$2:$E$129,4,FALSE))))</f>
        <v/>
      </c>
      <c r="X178" s="524" t="str">
        <f>IFERROR(IF(E178="","",VLOOKUP(W178, 'G-3 Multipliers'!$P$2:$Q$6,2,FALSE)),"")</f>
        <v/>
      </c>
      <c r="Y178" s="529" t="str">
        <f t="shared" si="17"/>
        <v/>
      </c>
      <c r="Z178" s="239"/>
      <c r="AA178" s="240"/>
      <c r="AE178" s="54" t="str">
        <f t="shared" si="13"/>
        <v/>
      </c>
    </row>
    <row r="179" spans="1:31" x14ac:dyDescent="0.25">
      <c r="A179" s="47" t="str">
        <f>IFERROR(INDEX('G-8 Condition Look up'!$I$4:$I$130,MATCH(F179,'G-8 Condition Look up'!$A$4:$A$130,0)),"")</f>
        <v/>
      </c>
      <c r="C179" s="384" t="str">
        <f>IFERROR(INDEX('G-1 All Habitats'!$AG$3:$AG$15,MATCH(D179,'G-1 All Habitats'!$AF$3:$AF$15,0)),"")</f>
        <v/>
      </c>
      <c r="D179" s="146"/>
      <c r="E179" s="79"/>
      <c r="F179" s="246" t="str">
        <f>IFERROR(INDEX('G-1 All Habitats'!$B$3:$B$129,MATCH(E179,'G-1 All Habitats'!$A$3:$A$129,0)),"")</f>
        <v/>
      </c>
      <c r="G179" s="70"/>
      <c r="H179" s="498" t="str">
        <f>IF(F179="","",VLOOKUP(F179,'G-1 All Habitats'!$B$2:$M$129,10,FALSE))</f>
        <v/>
      </c>
      <c r="I179" s="499" t="str">
        <f>IFERROR(VLOOKUP(H179,'G-1 All Habitats'!$V$3:$W$7,2,FALSE),"")</f>
        <v/>
      </c>
      <c r="J179" s="71"/>
      <c r="K179" s="499" t="str">
        <f>IFERROR(INDEX('G-8 Condition Look up'!$A$3:$H$130,MATCH(F179,'G-8 Condition Look up'!$A$3:$A$130,0),MATCH(J179,'G-8 Condition Look up'!$A$3:$H$3,0)),"")</f>
        <v/>
      </c>
      <c r="L179" s="71"/>
      <c r="M179" s="507" t="str">
        <f>IF(L179="","",IF(VLOOKUP(L179,'G-3 Multipliers'!$L$3:$N$6,2,FALSE)=0,"Spatial Data Missing",VLOOKUP(L179,'G-3 Multipliers'!$L$3:$N$6,2,FALSE)))</f>
        <v/>
      </c>
      <c r="N179" s="505" t="str">
        <f>IF(L179="","",IF(VLOOKUP(L179,'G-3 Multipliers'!$L$3:$N$6,3,FALSE)=0,"Spatial Data Missing",VLOOKUP(L179,'G-3 Multipliers'!$L$3:$N$6,3,FALSE)))</f>
        <v/>
      </c>
      <c r="O179" s="498" t="str">
        <f t="shared" si="12"/>
        <v/>
      </c>
      <c r="P179" s="82"/>
      <c r="Q179" s="82"/>
      <c r="R179" s="507" t="str">
        <f t="shared" si="14"/>
        <v/>
      </c>
      <c r="S179" s="521" t="str">
        <f t="shared" si="15"/>
        <v/>
      </c>
      <c r="T179" s="522" t="str">
        <f>IFERROR(IF(S179="Check Data ⚠","Check Data ⚠",VLOOKUP(S179,'G-4 Temporal multipliers'!$A$4:$C$37,3,FALSE)),"")</f>
        <v/>
      </c>
      <c r="U179" s="523" t="str">
        <f>IF(F179="","",VLOOKUP(F179,'G-3 Multipliers'!$A$2:$E$129,2,FALSE))</f>
        <v/>
      </c>
      <c r="V179" s="520" t="str">
        <f t="shared" si="16"/>
        <v/>
      </c>
      <c r="W179" s="520" t="str">
        <f>IF(E179="","",IF(AND(V179="Standard difficulty applied",O179&gt;P179),U179,IF(AND(V179="Low Difficulty - only applicable if all habitat created before losses",P179&gt;=O179),"Low",VLOOKUP(F179,'G-3 Multipliers'!$A$2:$E$129,4,FALSE))))</f>
        <v/>
      </c>
      <c r="X179" s="524" t="str">
        <f>IFERROR(IF(E179="","",VLOOKUP(W179, 'G-3 Multipliers'!$P$2:$Q$6,2,FALSE)),"")</f>
        <v/>
      </c>
      <c r="Y179" s="529" t="str">
        <f t="shared" si="17"/>
        <v/>
      </c>
      <c r="Z179" s="239"/>
      <c r="AA179" s="240"/>
      <c r="AE179" s="54" t="str">
        <f t="shared" si="13"/>
        <v/>
      </c>
    </row>
    <row r="180" spans="1:31" x14ac:dyDescent="0.25">
      <c r="A180" s="47" t="str">
        <f>IFERROR(INDEX('G-8 Condition Look up'!$I$4:$I$130,MATCH(F180,'G-8 Condition Look up'!$A$4:$A$130,0)),"")</f>
        <v/>
      </c>
      <c r="C180" s="384" t="str">
        <f>IFERROR(INDEX('G-1 All Habitats'!$AG$3:$AG$15,MATCH(D180,'G-1 All Habitats'!$AF$3:$AF$15,0)),"")</f>
        <v/>
      </c>
      <c r="D180" s="146"/>
      <c r="E180" s="79"/>
      <c r="F180" s="246" t="str">
        <f>IFERROR(INDEX('G-1 All Habitats'!$B$3:$B$129,MATCH(E180,'G-1 All Habitats'!$A$3:$A$129,0)),"")</f>
        <v/>
      </c>
      <c r="G180" s="70"/>
      <c r="H180" s="498" t="str">
        <f>IF(F180="","",VLOOKUP(F180,'G-1 All Habitats'!$B$2:$M$129,10,FALSE))</f>
        <v/>
      </c>
      <c r="I180" s="499" t="str">
        <f>IFERROR(VLOOKUP(H180,'G-1 All Habitats'!$V$3:$W$7,2,FALSE),"")</f>
        <v/>
      </c>
      <c r="J180" s="71"/>
      <c r="K180" s="499" t="str">
        <f>IFERROR(INDEX('G-8 Condition Look up'!$A$3:$H$130,MATCH(F180,'G-8 Condition Look up'!$A$3:$A$130,0),MATCH(J180,'G-8 Condition Look up'!$A$3:$H$3,0)),"")</f>
        <v/>
      </c>
      <c r="L180" s="71"/>
      <c r="M180" s="507" t="str">
        <f>IF(L180="","",IF(VLOOKUP(L180,'G-3 Multipliers'!$L$3:$N$6,2,FALSE)=0,"Spatial Data Missing",VLOOKUP(L180,'G-3 Multipliers'!$L$3:$N$6,2,FALSE)))</f>
        <v/>
      </c>
      <c r="N180" s="505" t="str">
        <f>IF(L180="","",IF(VLOOKUP(L180,'G-3 Multipliers'!$L$3:$N$6,3,FALSE)=0,"Spatial Data Missing",VLOOKUP(L180,'G-3 Multipliers'!$L$3:$N$6,3,FALSE)))</f>
        <v/>
      </c>
      <c r="O180" s="498" t="str">
        <f t="shared" si="12"/>
        <v/>
      </c>
      <c r="P180" s="82"/>
      <c r="Q180" s="82"/>
      <c r="R180" s="507" t="str">
        <f t="shared" si="14"/>
        <v/>
      </c>
      <c r="S180" s="521" t="str">
        <f t="shared" si="15"/>
        <v/>
      </c>
      <c r="T180" s="522" t="str">
        <f>IFERROR(IF(S180="Check Data ⚠","Check Data ⚠",VLOOKUP(S180,'G-4 Temporal multipliers'!$A$4:$C$37,3,FALSE)),"")</f>
        <v/>
      </c>
      <c r="U180" s="523" t="str">
        <f>IF(F180="","",VLOOKUP(F180,'G-3 Multipliers'!$A$2:$E$129,2,FALSE))</f>
        <v/>
      </c>
      <c r="V180" s="520" t="str">
        <f t="shared" si="16"/>
        <v/>
      </c>
      <c r="W180" s="520" t="str">
        <f>IF(E180="","",IF(AND(V180="Standard difficulty applied",O180&gt;P180),U180,IF(AND(V180="Low Difficulty - only applicable if all habitat created before losses",P180&gt;=O180),"Low",VLOOKUP(F180,'G-3 Multipliers'!$A$2:$E$129,4,FALSE))))</f>
        <v/>
      </c>
      <c r="X180" s="524" t="str">
        <f>IFERROR(IF(E180="","",VLOOKUP(W180, 'G-3 Multipliers'!$P$2:$Q$6,2,FALSE)),"")</f>
        <v/>
      </c>
      <c r="Y180" s="529" t="str">
        <f t="shared" si="17"/>
        <v/>
      </c>
      <c r="Z180" s="239"/>
      <c r="AA180" s="240"/>
      <c r="AE180" s="54" t="str">
        <f t="shared" si="13"/>
        <v/>
      </c>
    </row>
    <row r="181" spans="1:31" x14ac:dyDescent="0.25">
      <c r="A181" s="47" t="str">
        <f>IFERROR(INDEX('G-8 Condition Look up'!$I$4:$I$130,MATCH(F181,'G-8 Condition Look up'!$A$4:$A$130,0)),"")</f>
        <v/>
      </c>
      <c r="C181" s="384" t="str">
        <f>IFERROR(INDEX('G-1 All Habitats'!$AG$3:$AG$15,MATCH(D181,'G-1 All Habitats'!$AF$3:$AF$15,0)),"")</f>
        <v/>
      </c>
      <c r="D181" s="146"/>
      <c r="E181" s="79"/>
      <c r="F181" s="246" t="str">
        <f>IFERROR(INDEX('G-1 All Habitats'!$B$3:$B$129,MATCH(E181,'G-1 All Habitats'!$A$3:$A$129,0)),"")</f>
        <v/>
      </c>
      <c r="G181" s="70"/>
      <c r="H181" s="498" t="str">
        <f>IF(F181="","",VLOOKUP(F181,'G-1 All Habitats'!$B$2:$M$129,10,FALSE))</f>
        <v/>
      </c>
      <c r="I181" s="499" t="str">
        <f>IFERROR(VLOOKUP(H181,'G-1 All Habitats'!$V$3:$W$7,2,FALSE),"")</f>
        <v/>
      </c>
      <c r="J181" s="71"/>
      <c r="K181" s="499" t="str">
        <f>IFERROR(INDEX('G-8 Condition Look up'!$A$3:$H$130,MATCH(F181,'G-8 Condition Look up'!$A$3:$A$130,0),MATCH(J181,'G-8 Condition Look up'!$A$3:$H$3,0)),"")</f>
        <v/>
      </c>
      <c r="L181" s="71"/>
      <c r="M181" s="507" t="str">
        <f>IF(L181="","",IF(VLOOKUP(L181,'G-3 Multipliers'!$L$3:$N$6,2,FALSE)=0,"Spatial Data Missing",VLOOKUP(L181,'G-3 Multipliers'!$L$3:$N$6,2,FALSE)))</f>
        <v/>
      </c>
      <c r="N181" s="505" t="str">
        <f>IF(L181="","",IF(VLOOKUP(L181,'G-3 Multipliers'!$L$3:$N$6,3,FALSE)=0,"Spatial Data Missing",VLOOKUP(L181,'G-3 Multipliers'!$L$3:$N$6,3,FALSE)))</f>
        <v/>
      </c>
      <c r="O181" s="498" t="str">
        <f t="shared" si="12"/>
        <v/>
      </c>
      <c r="P181" s="82"/>
      <c r="Q181" s="82"/>
      <c r="R181" s="507" t="str">
        <f t="shared" si="14"/>
        <v/>
      </c>
      <c r="S181" s="521" t="str">
        <f t="shared" si="15"/>
        <v/>
      </c>
      <c r="T181" s="522" t="str">
        <f>IFERROR(IF(S181="Check Data ⚠","Check Data ⚠",VLOOKUP(S181,'G-4 Temporal multipliers'!$A$4:$C$37,3,FALSE)),"")</f>
        <v/>
      </c>
      <c r="U181" s="523" t="str">
        <f>IF(F181="","",VLOOKUP(F181,'G-3 Multipliers'!$A$2:$E$129,2,FALSE))</f>
        <v/>
      </c>
      <c r="V181" s="520" t="str">
        <f t="shared" si="16"/>
        <v/>
      </c>
      <c r="W181" s="520" t="str">
        <f>IF(E181="","",IF(AND(V181="Standard difficulty applied",O181&gt;P181),U181,IF(AND(V181="Low Difficulty - only applicable if all habitat created before losses",P181&gt;=O181),"Low",VLOOKUP(F181,'G-3 Multipliers'!$A$2:$E$129,4,FALSE))))</f>
        <v/>
      </c>
      <c r="X181" s="524" t="str">
        <f>IFERROR(IF(E181="","",VLOOKUP(W181, 'G-3 Multipliers'!$P$2:$Q$6,2,FALSE)),"")</f>
        <v/>
      </c>
      <c r="Y181" s="529" t="str">
        <f t="shared" si="17"/>
        <v/>
      </c>
      <c r="Z181" s="239"/>
      <c r="AA181" s="240"/>
      <c r="AE181" s="54" t="str">
        <f t="shared" si="13"/>
        <v/>
      </c>
    </row>
    <row r="182" spans="1:31" x14ac:dyDescent="0.25">
      <c r="A182" s="47" t="str">
        <f>IFERROR(INDEX('G-8 Condition Look up'!$I$4:$I$130,MATCH(F182,'G-8 Condition Look up'!$A$4:$A$130,0)),"")</f>
        <v/>
      </c>
      <c r="C182" s="384" t="str">
        <f>IFERROR(INDEX('G-1 All Habitats'!$AG$3:$AG$15,MATCH(D182,'G-1 All Habitats'!$AF$3:$AF$15,0)),"")</f>
        <v/>
      </c>
      <c r="D182" s="146"/>
      <c r="E182" s="79"/>
      <c r="F182" s="246" t="str">
        <f>IFERROR(INDEX('G-1 All Habitats'!$B$3:$B$129,MATCH(E182,'G-1 All Habitats'!$A$3:$A$129,0)),"")</f>
        <v/>
      </c>
      <c r="G182" s="70"/>
      <c r="H182" s="498" t="str">
        <f>IF(F182="","",VLOOKUP(F182,'G-1 All Habitats'!$B$2:$M$129,10,FALSE))</f>
        <v/>
      </c>
      <c r="I182" s="499" t="str">
        <f>IFERROR(VLOOKUP(H182,'G-1 All Habitats'!$V$3:$W$7,2,FALSE),"")</f>
        <v/>
      </c>
      <c r="J182" s="71"/>
      <c r="K182" s="499" t="str">
        <f>IFERROR(INDEX('G-8 Condition Look up'!$A$3:$H$130,MATCH(F182,'G-8 Condition Look up'!$A$3:$A$130,0),MATCH(J182,'G-8 Condition Look up'!$A$3:$H$3,0)),"")</f>
        <v/>
      </c>
      <c r="L182" s="71"/>
      <c r="M182" s="507" t="str">
        <f>IF(L182="","",IF(VLOOKUP(L182,'G-3 Multipliers'!$L$3:$N$6,2,FALSE)=0,"Spatial Data Missing",VLOOKUP(L182,'G-3 Multipliers'!$L$3:$N$6,2,FALSE)))</f>
        <v/>
      </c>
      <c r="N182" s="505" t="str">
        <f>IF(L182="","",IF(VLOOKUP(L182,'G-3 Multipliers'!$L$3:$N$6,3,FALSE)=0,"Spatial Data Missing",VLOOKUP(L182,'G-3 Multipliers'!$L$3:$N$6,3,FALSE)))</f>
        <v/>
      </c>
      <c r="O182" s="498" t="str">
        <f t="shared" si="12"/>
        <v/>
      </c>
      <c r="P182" s="82"/>
      <c r="Q182" s="82"/>
      <c r="R182" s="507" t="str">
        <f t="shared" si="14"/>
        <v/>
      </c>
      <c r="S182" s="521" t="str">
        <f t="shared" si="15"/>
        <v/>
      </c>
      <c r="T182" s="522" t="str">
        <f>IFERROR(IF(S182="Check Data ⚠","Check Data ⚠",VLOOKUP(S182,'G-4 Temporal multipliers'!$A$4:$C$37,3,FALSE)),"")</f>
        <v/>
      </c>
      <c r="U182" s="523" t="str">
        <f>IF(F182="","",VLOOKUP(F182,'G-3 Multipliers'!$A$2:$E$129,2,FALSE))</f>
        <v/>
      </c>
      <c r="V182" s="520" t="str">
        <f t="shared" si="16"/>
        <v/>
      </c>
      <c r="W182" s="520" t="str">
        <f>IF(E182="","",IF(AND(V182="Standard difficulty applied",O182&gt;P182),U182,IF(AND(V182="Low Difficulty - only applicable if all habitat created before losses",P182&gt;=O182),"Low",VLOOKUP(F182,'G-3 Multipliers'!$A$2:$E$129,4,FALSE))))</f>
        <v/>
      </c>
      <c r="X182" s="524" t="str">
        <f>IFERROR(IF(E182="","",VLOOKUP(W182, 'G-3 Multipliers'!$P$2:$Q$6,2,FALSE)),"")</f>
        <v/>
      </c>
      <c r="Y182" s="529" t="str">
        <f t="shared" si="17"/>
        <v/>
      </c>
      <c r="Z182" s="239"/>
      <c r="AA182" s="240"/>
      <c r="AE182" s="54" t="str">
        <f t="shared" si="13"/>
        <v/>
      </c>
    </row>
    <row r="183" spans="1:31" x14ac:dyDescent="0.25">
      <c r="A183" s="47" t="str">
        <f>IFERROR(INDEX('G-8 Condition Look up'!$I$4:$I$130,MATCH(F183,'G-8 Condition Look up'!$A$4:$A$130,0)),"")</f>
        <v/>
      </c>
      <c r="C183" s="384" t="str">
        <f>IFERROR(INDEX('G-1 All Habitats'!$AG$3:$AG$15,MATCH(D183,'G-1 All Habitats'!$AF$3:$AF$15,0)),"")</f>
        <v/>
      </c>
      <c r="D183" s="146"/>
      <c r="E183" s="79"/>
      <c r="F183" s="246" t="str">
        <f>IFERROR(INDEX('G-1 All Habitats'!$B$3:$B$129,MATCH(E183,'G-1 All Habitats'!$A$3:$A$129,0)),"")</f>
        <v/>
      </c>
      <c r="G183" s="70"/>
      <c r="H183" s="498" t="str">
        <f>IF(F183="","",VLOOKUP(F183,'G-1 All Habitats'!$B$2:$M$129,10,FALSE))</f>
        <v/>
      </c>
      <c r="I183" s="499" t="str">
        <f>IFERROR(VLOOKUP(H183,'G-1 All Habitats'!$V$3:$W$7,2,FALSE),"")</f>
        <v/>
      </c>
      <c r="J183" s="71"/>
      <c r="K183" s="499" t="str">
        <f>IFERROR(INDEX('G-8 Condition Look up'!$A$3:$H$130,MATCH(F183,'G-8 Condition Look up'!$A$3:$A$130,0),MATCH(J183,'G-8 Condition Look up'!$A$3:$H$3,0)),"")</f>
        <v/>
      </c>
      <c r="L183" s="71"/>
      <c r="M183" s="507" t="str">
        <f>IF(L183="","",IF(VLOOKUP(L183,'G-3 Multipliers'!$L$3:$N$6,2,FALSE)=0,"Spatial Data Missing",VLOOKUP(L183,'G-3 Multipliers'!$L$3:$N$6,2,FALSE)))</f>
        <v/>
      </c>
      <c r="N183" s="505" t="str">
        <f>IF(L183="","",IF(VLOOKUP(L183,'G-3 Multipliers'!$L$3:$N$6,3,FALSE)=0,"Spatial Data Missing",VLOOKUP(L183,'G-3 Multipliers'!$L$3:$N$6,3,FALSE)))</f>
        <v/>
      </c>
      <c r="O183" s="498" t="str">
        <f t="shared" si="12"/>
        <v/>
      </c>
      <c r="P183" s="82"/>
      <c r="Q183" s="82"/>
      <c r="R183" s="507" t="str">
        <f t="shared" si="14"/>
        <v/>
      </c>
      <c r="S183" s="521" t="str">
        <f t="shared" si="15"/>
        <v/>
      </c>
      <c r="T183" s="522" t="str">
        <f>IFERROR(IF(S183="Check Data ⚠","Check Data ⚠",VLOOKUP(S183,'G-4 Temporal multipliers'!$A$4:$C$37,3,FALSE)),"")</f>
        <v/>
      </c>
      <c r="U183" s="523" t="str">
        <f>IF(F183="","",VLOOKUP(F183,'G-3 Multipliers'!$A$2:$E$129,2,FALSE))</f>
        <v/>
      </c>
      <c r="V183" s="520" t="str">
        <f t="shared" si="16"/>
        <v/>
      </c>
      <c r="W183" s="520" t="str">
        <f>IF(E183="","",IF(AND(V183="Standard difficulty applied",O183&gt;P183),U183,IF(AND(V183="Low Difficulty - only applicable if all habitat created before losses",P183&gt;=O183),"Low",VLOOKUP(F183,'G-3 Multipliers'!$A$2:$E$129,4,FALSE))))</f>
        <v/>
      </c>
      <c r="X183" s="524" t="str">
        <f>IFERROR(IF(E183="","",VLOOKUP(W183, 'G-3 Multipliers'!$P$2:$Q$6,2,FALSE)),"")</f>
        <v/>
      </c>
      <c r="Y183" s="529" t="str">
        <f t="shared" si="17"/>
        <v/>
      </c>
      <c r="Z183" s="239"/>
      <c r="AA183" s="240"/>
      <c r="AE183" s="54" t="str">
        <f t="shared" si="13"/>
        <v/>
      </c>
    </row>
    <row r="184" spans="1:31" x14ac:dyDescent="0.25">
      <c r="A184" s="47" t="str">
        <f>IFERROR(INDEX('G-8 Condition Look up'!$I$4:$I$130,MATCH(F184,'G-8 Condition Look up'!$A$4:$A$130,0)),"")</f>
        <v/>
      </c>
      <c r="C184" s="384" t="str">
        <f>IFERROR(INDEX('G-1 All Habitats'!$AG$3:$AG$15,MATCH(D184,'G-1 All Habitats'!$AF$3:$AF$15,0)),"")</f>
        <v/>
      </c>
      <c r="D184" s="146"/>
      <c r="E184" s="79"/>
      <c r="F184" s="246" t="str">
        <f>IFERROR(INDEX('G-1 All Habitats'!$B$3:$B$129,MATCH(E184,'G-1 All Habitats'!$A$3:$A$129,0)),"")</f>
        <v/>
      </c>
      <c r="G184" s="70"/>
      <c r="H184" s="498" t="str">
        <f>IF(F184="","",VLOOKUP(F184,'G-1 All Habitats'!$B$2:$M$129,10,FALSE))</f>
        <v/>
      </c>
      <c r="I184" s="499" t="str">
        <f>IFERROR(VLOOKUP(H184,'G-1 All Habitats'!$V$3:$W$7,2,FALSE),"")</f>
        <v/>
      </c>
      <c r="J184" s="71"/>
      <c r="K184" s="499" t="str">
        <f>IFERROR(INDEX('G-8 Condition Look up'!$A$3:$H$130,MATCH(F184,'G-8 Condition Look up'!$A$3:$A$130,0),MATCH(J184,'G-8 Condition Look up'!$A$3:$H$3,0)),"")</f>
        <v/>
      </c>
      <c r="L184" s="71"/>
      <c r="M184" s="507" t="str">
        <f>IF(L184="","",IF(VLOOKUP(L184,'G-3 Multipliers'!$L$3:$N$6,2,FALSE)=0,"Spatial Data Missing",VLOOKUP(L184,'G-3 Multipliers'!$L$3:$N$6,2,FALSE)))</f>
        <v/>
      </c>
      <c r="N184" s="505" t="str">
        <f>IF(L184="","",IF(VLOOKUP(L184,'G-3 Multipliers'!$L$3:$N$6,3,FALSE)=0,"Spatial Data Missing",VLOOKUP(L184,'G-3 Multipliers'!$L$3:$N$6,3,FALSE)))</f>
        <v/>
      </c>
      <c r="O184" s="498" t="str">
        <f t="shared" si="12"/>
        <v/>
      </c>
      <c r="P184" s="82"/>
      <c r="Q184" s="82"/>
      <c r="R184" s="507" t="str">
        <f t="shared" si="14"/>
        <v/>
      </c>
      <c r="S184" s="521" t="str">
        <f t="shared" si="15"/>
        <v/>
      </c>
      <c r="T184" s="522" t="str">
        <f>IFERROR(IF(S184="Check Data ⚠","Check Data ⚠",VLOOKUP(S184,'G-4 Temporal multipliers'!$A$4:$C$37,3,FALSE)),"")</f>
        <v/>
      </c>
      <c r="U184" s="523" t="str">
        <f>IF(F184="","",VLOOKUP(F184,'G-3 Multipliers'!$A$2:$E$129,2,FALSE))</f>
        <v/>
      </c>
      <c r="V184" s="520" t="str">
        <f t="shared" si="16"/>
        <v/>
      </c>
      <c r="W184" s="520" t="str">
        <f>IF(E184="","",IF(AND(V184="Standard difficulty applied",O184&gt;P184),U184,IF(AND(V184="Low Difficulty - only applicable if all habitat created before losses",P184&gt;=O184),"Low",VLOOKUP(F184,'G-3 Multipliers'!$A$2:$E$129,4,FALSE))))</f>
        <v/>
      </c>
      <c r="X184" s="524" t="str">
        <f>IFERROR(IF(E184="","",VLOOKUP(W184, 'G-3 Multipliers'!$P$2:$Q$6,2,FALSE)),"")</f>
        <v/>
      </c>
      <c r="Y184" s="529" t="str">
        <f t="shared" si="17"/>
        <v/>
      </c>
      <c r="Z184" s="239"/>
      <c r="AA184" s="240"/>
      <c r="AE184" s="54" t="str">
        <f t="shared" si="13"/>
        <v/>
      </c>
    </row>
    <row r="185" spans="1:31" x14ac:dyDescent="0.25">
      <c r="A185" s="47" t="str">
        <f>IFERROR(INDEX('G-8 Condition Look up'!$I$4:$I$130,MATCH(F185,'G-8 Condition Look up'!$A$4:$A$130,0)),"")</f>
        <v/>
      </c>
      <c r="C185" s="384" t="str">
        <f>IFERROR(INDEX('G-1 All Habitats'!$AG$3:$AG$15,MATCH(D185,'G-1 All Habitats'!$AF$3:$AF$15,0)),"")</f>
        <v/>
      </c>
      <c r="D185" s="146"/>
      <c r="E185" s="79"/>
      <c r="F185" s="246" t="str">
        <f>IFERROR(INDEX('G-1 All Habitats'!$B$3:$B$129,MATCH(E185,'G-1 All Habitats'!$A$3:$A$129,0)),"")</f>
        <v/>
      </c>
      <c r="G185" s="70"/>
      <c r="H185" s="498" t="str">
        <f>IF(F185="","",VLOOKUP(F185,'G-1 All Habitats'!$B$2:$M$129,10,FALSE))</f>
        <v/>
      </c>
      <c r="I185" s="499" t="str">
        <f>IFERROR(VLOOKUP(H185,'G-1 All Habitats'!$V$3:$W$7,2,FALSE),"")</f>
        <v/>
      </c>
      <c r="J185" s="71"/>
      <c r="K185" s="499" t="str">
        <f>IFERROR(INDEX('G-8 Condition Look up'!$A$3:$H$130,MATCH(F185,'G-8 Condition Look up'!$A$3:$A$130,0),MATCH(J185,'G-8 Condition Look up'!$A$3:$H$3,0)),"")</f>
        <v/>
      </c>
      <c r="L185" s="71"/>
      <c r="M185" s="507" t="str">
        <f>IF(L185="","",IF(VLOOKUP(L185,'G-3 Multipliers'!$L$3:$N$6,2,FALSE)=0,"Spatial Data Missing",VLOOKUP(L185,'G-3 Multipliers'!$L$3:$N$6,2,FALSE)))</f>
        <v/>
      </c>
      <c r="N185" s="505" t="str">
        <f>IF(L185="","",IF(VLOOKUP(L185,'G-3 Multipliers'!$L$3:$N$6,3,FALSE)=0,"Spatial Data Missing",VLOOKUP(L185,'G-3 Multipliers'!$L$3:$N$6,3,FALSE)))</f>
        <v/>
      </c>
      <c r="O185" s="498" t="str">
        <f t="shared" si="12"/>
        <v/>
      </c>
      <c r="P185" s="82"/>
      <c r="Q185" s="82"/>
      <c r="R185" s="507" t="str">
        <f t="shared" si="14"/>
        <v/>
      </c>
      <c r="S185" s="521" t="str">
        <f t="shared" si="15"/>
        <v/>
      </c>
      <c r="T185" s="522" t="str">
        <f>IFERROR(IF(S185="Check Data ⚠","Check Data ⚠",VLOOKUP(S185,'G-4 Temporal multipliers'!$A$4:$C$37,3,FALSE)),"")</f>
        <v/>
      </c>
      <c r="U185" s="523" t="str">
        <f>IF(F185="","",VLOOKUP(F185,'G-3 Multipliers'!$A$2:$E$129,2,FALSE))</f>
        <v/>
      </c>
      <c r="V185" s="520" t="str">
        <f t="shared" si="16"/>
        <v/>
      </c>
      <c r="W185" s="520" t="str">
        <f>IF(E185="","",IF(AND(V185="Standard difficulty applied",O185&gt;P185),U185,IF(AND(V185="Low Difficulty - only applicable if all habitat created before losses",P185&gt;=O185),"Low",VLOOKUP(F185,'G-3 Multipliers'!$A$2:$E$129,4,FALSE))))</f>
        <v/>
      </c>
      <c r="X185" s="524" t="str">
        <f>IFERROR(IF(E185="","",VLOOKUP(W185, 'G-3 Multipliers'!$P$2:$Q$6,2,FALSE)),"")</f>
        <v/>
      </c>
      <c r="Y185" s="529" t="str">
        <f t="shared" si="17"/>
        <v/>
      </c>
      <c r="Z185" s="239"/>
      <c r="AA185" s="240"/>
      <c r="AE185" s="54" t="str">
        <f t="shared" si="13"/>
        <v/>
      </c>
    </row>
    <row r="186" spans="1:31" x14ac:dyDescent="0.25">
      <c r="A186" s="47" t="str">
        <f>IFERROR(INDEX('G-8 Condition Look up'!$I$4:$I$130,MATCH(F186,'G-8 Condition Look up'!$A$4:$A$130,0)),"")</f>
        <v/>
      </c>
      <c r="C186" s="384" t="str">
        <f>IFERROR(INDEX('G-1 All Habitats'!$AG$3:$AG$15,MATCH(D186,'G-1 All Habitats'!$AF$3:$AF$15,0)),"")</f>
        <v/>
      </c>
      <c r="D186" s="146"/>
      <c r="E186" s="79"/>
      <c r="F186" s="246" t="str">
        <f>IFERROR(INDEX('G-1 All Habitats'!$B$3:$B$129,MATCH(E186,'G-1 All Habitats'!$A$3:$A$129,0)),"")</f>
        <v/>
      </c>
      <c r="G186" s="70"/>
      <c r="H186" s="498" t="str">
        <f>IF(F186="","",VLOOKUP(F186,'G-1 All Habitats'!$B$2:$M$129,10,FALSE))</f>
        <v/>
      </c>
      <c r="I186" s="499" t="str">
        <f>IFERROR(VLOOKUP(H186,'G-1 All Habitats'!$V$3:$W$7,2,FALSE),"")</f>
        <v/>
      </c>
      <c r="J186" s="71"/>
      <c r="K186" s="499" t="str">
        <f>IFERROR(INDEX('G-8 Condition Look up'!$A$3:$H$130,MATCH(F186,'G-8 Condition Look up'!$A$3:$A$130,0),MATCH(J186,'G-8 Condition Look up'!$A$3:$H$3,0)),"")</f>
        <v/>
      </c>
      <c r="L186" s="71"/>
      <c r="M186" s="507" t="str">
        <f>IF(L186="","",IF(VLOOKUP(L186,'G-3 Multipliers'!$L$3:$N$6,2,FALSE)=0,"Spatial Data Missing",VLOOKUP(L186,'G-3 Multipliers'!$L$3:$N$6,2,FALSE)))</f>
        <v/>
      </c>
      <c r="N186" s="505" t="str">
        <f>IF(L186="","",IF(VLOOKUP(L186,'G-3 Multipliers'!$L$3:$N$6,3,FALSE)=0,"Spatial Data Missing",VLOOKUP(L186,'G-3 Multipliers'!$L$3:$N$6,3,FALSE)))</f>
        <v/>
      </c>
      <c r="O186" s="498" t="str">
        <f t="shared" si="12"/>
        <v/>
      </c>
      <c r="P186" s="82"/>
      <c r="Q186" s="82"/>
      <c r="R186" s="507" t="str">
        <f t="shared" si="14"/>
        <v/>
      </c>
      <c r="S186" s="521" t="str">
        <f t="shared" si="15"/>
        <v/>
      </c>
      <c r="T186" s="522" t="str">
        <f>IFERROR(IF(S186="Check Data ⚠","Check Data ⚠",VLOOKUP(S186,'G-4 Temporal multipliers'!$A$4:$C$37,3,FALSE)),"")</f>
        <v/>
      </c>
      <c r="U186" s="523" t="str">
        <f>IF(F186="","",VLOOKUP(F186,'G-3 Multipliers'!$A$2:$E$129,2,FALSE))</f>
        <v/>
      </c>
      <c r="V186" s="520" t="str">
        <f t="shared" si="16"/>
        <v/>
      </c>
      <c r="W186" s="520" t="str">
        <f>IF(E186="","",IF(AND(V186="Standard difficulty applied",O186&gt;P186),U186,IF(AND(V186="Low Difficulty - only applicable if all habitat created before losses",P186&gt;=O186),"Low",VLOOKUP(F186,'G-3 Multipliers'!$A$2:$E$129,4,FALSE))))</f>
        <v/>
      </c>
      <c r="X186" s="524" t="str">
        <f>IFERROR(IF(E186="","",VLOOKUP(W186, 'G-3 Multipliers'!$P$2:$Q$6,2,FALSE)),"")</f>
        <v/>
      </c>
      <c r="Y186" s="529" t="str">
        <f t="shared" si="17"/>
        <v/>
      </c>
      <c r="Z186" s="239"/>
      <c r="AA186" s="240"/>
      <c r="AE186" s="54" t="str">
        <f t="shared" si="13"/>
        <v/>
      </c>
    </row>
    <row r="187" spans="1:31" x14ac:dyDescent="0.25">
      <c r="A187" s="47" t="str">
        <f>IFERROR(INDEX('G-8 Condition Look up'!$I$4:$I$130,MATCH(F187,'G-8 Condition Look up'!$A$4:$A$130,0)),"")</f>
        <v/>
      </c>
      <c r="C187" s="384" t="str">
        <f>IFERROR(INDEX('G-1 All Habitats'!$AG$3:$AG$15,MATCH(D187,'G-1 All Habitats'!$AF$3:$AF$15,0)),"")</f>
        <v/>
      </c>
      <c r="D187" s="146"/>
      <c r="E187" s="79"/>
      <c r="F187" s="246" t="str">
        <f>IFERROR(INDEX('G-1 All Habitats'!$B$3:$B$129,MATCH(E187,'G-1 All Habitats'!$A$3:$A$129,0)),"")</f>
        <v/>
      </c>
      <c r="G187" s="70"/>
      <c r="H187" s="498" t="str">
        <f>IF(F187="","",VLOOKUP(F187,'G-1 All Habitats'!$B$2:$M$129,10,FALSE))</f>
        <v/>
      </c>
      <c r="I187" s="499" t="str">
        <f>IFERROR(VLOOKUP(H187,'G-1 All Habitats'!$V$3:$W$7,2,FALSE),"")</f>
        <v/>
      </c>
      <c r="J187" s="71"/>
      <c r="K187" s="499" t="str">
        <f>IFERROR(INDEX('G-8 Condition Look up'!$A$3:$H$130,MATCH(F187,'G-8 Condition Look up'!$A$3:$A$130,0),MATCH(J187,'G-8 Condition Look up'!$A$3:$H$3,0)),"")</f>
        <v/>
      </c>
      <c r="L187" s="71"/>
      <c r="M187" s="507" t="str">
        <f>IF(L187="","",IF(VLOOKUP(L187,'G-3 Multipliers'!$L$3:$N$6,2,FALSE)=0,"Spatial Data Missing",VLOOKUP(L187,'G-3 Multipliers'!$L$3:$N$6,2,FALSE)))</f>
        <v/>
      </c>
      <c r="N187" s="505" t="str">
        <f>IF(L187="","",IF(VLOOKUP(L187,'G-3 Multipliers'!$L$3:$N$6,3,FALSE)=0,"Spatial Data Missing",VLOOKUP(L187,'G-3 Multipliers'!$L$3:$N$6,3,FALSE)))</f>
        <v/>
      </c>
      <c r="O187" s="498" t="str">
        <f t="shared" si="12"/>
        <v/>
      </c>
      <c r="P187" s="82"/>
      <c r="Q187" s="82"/>
      <c r="R187" s="507" t="str">
        <f t="shared" si="14"/>
        <v/>
      </c>
      <c r="S187" s="521" t="str">
        <f t="shared" si="15"/>
        <v/>
      </c>
      <c r="T187" s="522" t="str">
        <f>IFERROR(IF(S187="Check Data ⚠","Check Data ⚠",VLOOKUP(S187,'G-4 Temporal multipliers'!$A$4:$C$37,3,FALSE)),"")</f>
        <v/>
      </c>
      <c r="U187" s="523" t="str">
        <f>IF(F187="","",VLOOKUP(F187,'G-3 Multipliers'!$A$2:$E$129,2,FALSE))</f>
        <v/>
      </c>
      <c r="V187" s="520" t="str">
        <f t="shared" si="16"/>
        <v/>
      </c>
      <c r="W187" s="520" t="str">
        <f>IF(E187="","",IF(AND(V187="Standard difficulty applied",O187&gt;P187),U187,IF(AND(V187="Low Difficulty - only applicable if all habitat created before losses",P187&gt;=O187),"Low",VLOOKUP(F187,'G-3 Multipliers'!$A$2:$E$129,4,FALSE))))</f>
        <v/>
      </c>
      <c r="X187" s="524" t="str">
        <f>IFERROR(IF(E187="","",VLOOKUP(W187, 'G-3 Multipliers'!$P$2:$Q$6,2,FALSE)),"")</f>
        <v/>
      </c>
      <c r="Y187" s="529" t="str">
        <f t="shared" si="17"/>
        <v/>
      </c>
      <c r="Z187" s="239"/>
      <c r="AA187" s="240"/>
      <c r="AE187" s="54" t="str">
        <f t="shared" si="13"/>
        <v/>
      </c>
    </row>
    <row r="188" spans="1:31" x14ac:dyDescent="0.25">
      <c r="A188" s="47" t="str">
        <f>IFERROR(INDEX('G-8 Condition Look up'!$I$4:$I$130,MATCH(F188,'G-8 Condition Look up'!$A$4:$A$130,0)),"")</f>
        <v/>
      </c>
      <c r="C188" s="384" t="str">
        <f>IFERROR(INDEX('G-1 All Habitats'!$AG$3:$AG$15,MATCH(D188,'G-1 All Habitats'!$AF$3:$AF$15,0)),"")</f>
        <v/>
      </c>
      <c r="D188" s="146"/>
      <c r="E188" s="79"/>
      <c r="F188" s="246" t="str">
        <f>IFERROR(INDEX('G-1 All Habitats'!$B$3:$B$129,MATCH(E188,'G-1 All Habitats'!$A$3:$A$129,0)),"")</f>
        <v/>
      </c>
      <c r="G188" s="70"/>
      <c r="H188" s="498" t="str">
        <f>IF(F188="","",VLOOKUP(F188,'G-1 All Habitats'!$B$2:$M$129,10,FALSE))</f>
        <v/>
      </c>
      <c r="I188" s="499" t="str">
        <f>IFERROR(VLOOKUP(H188,'G-1 All Habitats'!$V$3:$W$7,2,FALSE),"")</f>
        <v/>
      </c>
      <c r="J188" s="71"/>
      <c r="K188" s="499" t="str">
        <f>IFERROR(INDEX('G-8 Condition Look up'!$A$3:$H$130,MATCH(F188,'G-8 Condition Look up'!$A$3:$A$130,0),MATCH(J188,'G-8 Condition Look up'!$A$3:$H$3,0)),"")</f>
        <v/>
      </c>
      <c r="L188" s="71"/>
      <c r="M188" s="507" t="str">
        <f>IF(L188="","",IF(VLOOKUP(L188,'G-3 Multipliers'!$L$3:$N$6,2,FALSE)=0,"Spatial Data Missing",VLOOKUP(L188,'G-3 Multipliers'!$L$3:$N$6,2,FALSE)))</f>
        <v/>
      </c>
      <c r="N188" s="505" t="str">
        <f>IF(L188="","",IF(VLOOKUP(L188,'G-3 Multipliers'!$L$3:$N$6,3,FALSE)=0,"Spatial Data Missing",VLOOKUP(L188,'G-3 Multipliers'!$L$3:$N$6,3,FALSE)))</f>
        <v/>
      </c>
      <c r="O188" s="498" t="str">
        <f t="shared" si="12"/>
        <v/>
      </c>
      <c r="P188" s="82"/>
      <c r="Q188" s="82"/>
      <c r="R188" s="507" t="str">
        <f t="shared" si="14"/>
        <v/>
      </c>
      <c r="S188" s="521" t="str">
        <f t="shared" si="15"/>
        <v/>
      </c>
      <c r="T188" s="522" t="str">
        <f>IFERROR(IF(S188="Check Data ⚠","Check Data ⚠",VLOOKUP(S188,'G-4 Temporal multipliers'!$A$4:$C$37,3,FALSE)),"")</f>
        <v/>
      </c>
      <c r="U188" s="523" t="str">
        <f>IF(F188="","",VLOOKUP(F188,'G-3 Multipliers'!$A$2:$E$129,2,FALSE))</f>
        <v/>
      </c>
      <c r="V188" s="520" t="str">
        <f t="shared" si="16"/>
        <v/>
      </c>
      <c r="W188" s="520" t="str">
        <f>IF(E188="","",IF(AND(V188="Standard difficulty applied",O188&gt;P188),U188,IF(AND(V188="Low Difficulty - only applicable if all habitat created before losses",P188&gt;=O188),"Low",VLOOKUP(F188,'G-3 Multipliers'!$A$2:$E$129,4,FALSE))))</f>
        <v/>
      </c>
      <c r="X188" s="524" t="str">
        <f>IFERROR(IF(E188="","",VLOOKUP(W188, 'G-3 Multipliers'!$P$2:$Q$6,2,FALSE)),"")</f>
        <v/>
      </c>
      <c r="Y188" s="529" t="str">
        <f t="shared" si="17"/>
        <v/>
      </c>
      <c r="Z188" s="239"/>
      <c r="AA188" s="240"/>
      <c r="AE188" s="54" t="str">
        <f t="shared" si="13"/>
        <v/>
      </c>
    </row>
    <row r="189" spans="1:31" x14ac:dyDescent="0.25">
      <c r="A189" s="47" t="str">
        <f>IFERROR(INDEX('G-8 Condition Look up'!$I$4:$I$130,MATCH(F189,'G-8 Condition Look up'!$A$4:$A$130,0)),"")</f>
        <v/>
      </c>
      <c r="C189" s="384" t="str">
        <f>IFERROR(INDEX('G-1 All Habitats'!$AG$3:$AG$15,MATCH(D189,'G-1 All Habitats'!$AF$3:$AF$15,0)),"")</f>
        <v/>
      </c>
      <c r="D189" s="146"/>
      <c r="E189" s="79"/>
      <c r="F189" s="246" t="str">
        <f>IFERROR(INDEX('G-1 All Habitats'!$B$3:$B$129,MATCH(E189,'G-1 All Habitats'!$A$3:$A$129,0)),"")</f>
        <v/>
      </c>
      <c r="G189" s="70"/>
      <c r="H189" s="498" t="str">
        <f>IF(F189="","",VLOOKUP(F189,'G-1 All Habitats'!$B$2:$M$129,10,FALSE))</f>
        <v/>
      </c>
      <c r="I189" s="499" t="str">
        <f>IFERROR(VLOOKUP(H189,'G-1 All Habitats'!$V$3:$W$7,2,FALSE),"")</f>
        <v/>
      </c>
      <c r="J189" s="71"/>
      <c r="K189" s="499" t="str">
        <f>IFERROR(INDEX('G-8 Condition Look up'!$A$3:$H$130,MATCH(F189,'G-8 Condition Look up'!$A$3:$A$130,0),MATCH(J189,'G-8 Condition Look up'!$A$3:$H$3,0)),"")</f>
        <v/>
      </c>
      <c r="L189" s="71"/>
      <c r="M189" s="507" t="str">
        <f>IF(L189="","",IF(VLOOKUP(L189,'G-3 Multipliers'!$L$3:$N$6,2,FALSE)=0,"Spatial Data Missing",VLOOKUP(L189,'G-3 Multipliers'!$L$3:$N$6,2,FALSE)))</f>
        <v/>
      </c>
      <c r="N189" s="505" t="str">
        <f>IF(L189="","",IF(VLOOKUP(L189,'G-3 Multipliers'!$L$3:$N$6,3,FALSE)=0,"Spatial Data Missing",VLOOKUP(L189,'G-3 Multipliers'!$L$3:$N$6,3,FALSE)))</f>
        <v/>
      </c>
      <c r="O189" s="498" t="str">
        <f t="shared" si="12"/>
        <v/>
      </c>
      <c r="P189" s="82"/>
      <c r="Q189" s="82"/>
      <c r="R189" s="507" t="str">
        <f t="shared" si="14"/>
        <v/>
      </c>
      <c r="S189" s="521" t="str">
        <f t="shared" si="15"/>
        <v/>
      </c>
      <c r="T189" s="522" t="str">
        <f>IFERROR(IF(S189="Check Data ⚠","Check Data ⚠",VLOOKUP(S189,'G-4 Temporal multipliers'!$A$4:$C$37,3,FALSE)),"")</f>
        <v/>
      </c>
      <c r="U189" s="523" t="str">
        <f>IF(F189="","",VLOOKUP(F189,'G-3 Multipliers'!$A$2:$E$129,2,FALSE))</f>
        <v/>
      </c>
      <c r="V189" s="520" t="str">
        <f t="shared" si="16"/>
        <v/>
      </c>
      <c r="W189" s="520" t="str">
        <f>IF(E189="","",IF(AND(V189="Standard difficulty applied",O189&gt;P189),U189,IF(AND(V189="Low Difficulty - only applicable if all habitat created before losses",P189&gt;=O189),"Low",VLOOKUP(F189,'G-3 Multipliers'!$A$2:$E$129,4,FALSE))))</f>
        <v/>
      </c>
      <c r="X189" s="524" t="str">
        <f>IFERROR(IF(E189="","",VLOOKUP(W189, 'G-3 Multipliers'!$P$2:$Q$6,2,FALSE)),"")</f>
        <v/>
      </c>
      <c r="Y189" s="529" t="str">
        <f t="shared" si="17"/>
        <v/>
      </c>
      <c r="Z189" s="239"/>
      <c r="AA189" s="240"/>
      <c r="AE189" s="54" t="str">
        <f t="shared" si="13"/>
        <v/>
      </c>
    </row>
    <row r="190" spans="1:31" x14ac:dyDescent="0.25">
      <c r="A190" s="47" t="str">
        <f>IFERROR(INDEX('G-8 Condition Look up'!$I$4:$I$130,MATCH(F190,'G-8 Condition Look up'!$A$4:$A$130,0)),"")</f>
        <v/>
      </c>
      <c r="C190" s="384" t="str">
        <f>IFERROR(INDEX('G-1 All Habitats'!$AG$3:$AG$15,MATCH(D190,'G-1 All Habitats'!$AF$3:$AF$15,0)),"")</f>
        <v/>
      </c>
      <c r="D190" s="146"/>
      <c r="E190" s="79"/>
      <c r="F190" s="246" t="str">
        <f>IFERROR(INDEX('G-1 All Habitats'!$B$3:$B$129,MATCH(E190,'G-1 All Habitats'!$A$3:$A$129,0)),"")</f>
        <v/>
      </c>
      <c r="G190" s="70"/>
      <c r="H190" s="498" t="str">
        <f>IF(F190="","",VLOOKUP(F190,'G-1 All Habitats'!$B$2:$M$129,10,FALSE))</f>
        <v/>
      </c>
      <c r="I190" s="499" t="str">
        <f>IFERROR(VLOOKUP(H190,'G-1 All Habitats'!$V$3:$W$7,2,FALSE),"")</f>
        <v/>
      </c>
      <c r="J190" s="71"/>
      <c r="K190" s="499" t="str">
        <f>IFERROR(INDEX('G-8 Condition Look up'!$A$3:$H$130,MATCH(F190,'G-8 Condition Look up'!$A$3:$A$130,0),MATCH(J190,'G-8 Condition Look up'!$A$3:$H$3,0)),"")</f>
        <v/>
      </c>
      <c r="L190" s="71"/>
      <c r="M190" s="507" t="str">
        <f>IF(L190="","",IF(VLOOKUP(L190,'G-3 Multipliers'!$L$3:$N$6,2,FALSE)=0,"Spatial Data Missing",VLOOKUP(L190,'G-3 Multipliers'!$L$3:$N$6,2,FALSE)))</f>
        <v/>
      </c>
      <c r="N190" s="505" t="str">
        <f>IF(L190="","",IF(VLOOKUP(L190,'G-3 Multipliers'!$L$3:$N$6,3,FALSE)=0,"Spatial Data Missing",VLOOKUP(L190,'G-3 Multipliers'!$L$3:$N$6,3,FALSE)))</f>
        <v/>
      </c>
      <c r="O190" s="498" t="str">
        <f t="shared" si="12"/>
        <v/>
      </c>
      <c r="P190" s="82"/>
      <c r="Q190" s="82"/>
      <c r="R190" s="507" t="str">
        <f t="shared" si="14"/>
        <v/>
      </c>
      <c r="S190" s="521" t="str">
        <f t="shared" si="15"/>
        <v/>
      </c>
      <c r="T190" s="522" t="str">
        <f>IFERROR(IF(S190="Check Data ⚠","Check Data ⚠",VLOOKUP(S190,'G-4 Temporal multipliers'!$A$4:$C$37,3,FALSE)),"")</f>
        <v/>
      </c>
      <c r="U190" s="523" t="str">
        <f>IF(F190="","",VLOOKUP(F190,'G-3 Multipliers'!$A$2:$E$129,2,FALSE))</f>
        <v/>
      </c>
      <c r="V190" s="520" t="str">
        <f t="shared" si="16"/>
        <v/>
      </c>
      <c r="W190" s="520" t="str">
        <f>IF(E190="","",IF(AND(V190="Standard difficulty applied",O190&gt;P190),U190,IF(AND(V190="Low Difficulty - only applicable if all habitat created before losses",P190&gt;=O190),"Low",VLOOKUP(F190,'G-3 Multipliers'!$A$2:$E$129,4,FALSE))))</f>
        <v/>
      </c>
      <c r="X190" s="524" t="str">
        <f>IFERROR(IF(E190="","",VLOOKUP(W190, 'G-3 Multipliers'!$P$2:$Q$6,2,FALSE)),"")</f>
        <v/>
      </c>
      <c r="Y190" s="529" t="str">
        <f t="shared" si="17"/>
        <v/>
      </c>
      <c r="Z190" s="239"/>
      <c r="AA190" s="240"/>
      <c r="AE190" s="54" t="str">
        <f t="shared" si="13"/>
        <v/>
      </c>
    </row>
    <row r="191" spans="1:31" x14ac:dyDescent="0.25">
      <c r="A191" s="47" t="str">
        <f>IFERROR(INDEX('G-8 Condition Look up'!$I$4:$I$130,MATCH(F191,'G-8 Condition Look up'!$A$4:$A$130,0)),"")</f>
        <v/>
      </c>
      <c r="C191" s="384" t="str">
        <f>IFERROR(INDEX('G-1 All Habitats'!$AG$3:$AG$15,MATCH(D191,'G-1 All Habitats'!$AF$3:$AF$15,0)),"")</f>
        <v/>
      </c>
      <c r="D191" s="146"/>
      <c r="E191" s="79"/>
      <c r="F191" s="246" t="str">
        <f>IFERROR(INDEX('G-1 All Habitats'!$B$3:$B$129,MATCH(E191,'G-1 All Habitats'!$A$3:$A$129,0)),"")</f>
        <v/>
      </c>
      <c r="G191" s="70"/>
      <c r="H191" s="498" t="str">
        <f>IF(F191="","",VLOOKUP(F191,'G-1 All Habitats'!$B$2:$M$129,10,FALSE))</f>
        <v/>
      </c>
      <c r="I191" s="499" t="str">
        <f>IFERROR(VLOOKUP(H191,'G-1 All Habitats'!$V$3:$W$7,2,FALSE),"")</f>
        <v/>
      </c>
      <c r="J191" s="71"/>
      <c r="K191" s="499" t="str">
        <f>IFERROR(INDEX('G-8 Condition Look up'!$A$3:$H$130,MATCH(F191,'G-8 Condition Look up'!$A$3:$A$130,0),MATCH(J191,'G-8 Condition Look up'!$A$3:$H$3,0)),"")</f>
        <v/>
      </c>
      <c r="L191" s="71"/>
      <c r="M191" s="507" t="str">
        <f>IF(L191="","",IF(VLOOKUP(L191,'G-3 Multipliers'!$L$3:$N$6,2,FALSE)=0,"Spatial Data Missing",VLOOKUP(L191,'G-3 Multipliers'!$L$3:$N$6,2,FALSE)))</f>
        <v/>
      </c>
      <c r="N191" s="505" t="str">
        <f>IF(L191="","",IF(VLOOKUP(L191,'G-3 Multipliers'!$L$3:$N$6,3,FALSE)=0,"Spatial Data Missing",VLOOKUP(L191,'G-3 Multipliers'!$L$3:$N$6,3,FALSE)))</f>
        <v/>
      </c>
      <c r="O191" s="498" t="str">
        <f t="shared" si="12"/>
        <v/>
      </c>
      <c r="P191" s="82"/>
      <c r="Q191" s="82"/>
      <c r="R191" s="507" t="str">
        <f t="shared" si="14"/>
        <v/>
      </c>
      <c r="S191" s="521" t="str">
        <f t="shared" si="15"/>
        <v/>
      </c>
      <c r="T191" s="522" t="str">
        <f>IFERROR(IF(S191="Check Data ⚠","Check Data ⚠",VLOOKUP(S191,'G-4 Temporal multipliers'!$A$4:$C$37,3,FALSE)),"")</f>
        <v/>
      </c>
      <c r="U191" s="523" t="str">
        <f>IF(F191="","",VLOOKUP(F191,'G-3 Multipliers'!$A$2:$E$129,2,FALSE))</f>
        <v/>
      </c>
      <c r="V191" s="520" t="str">
        <f t="shared" si="16"/>
        <v/>
      </c>
      <c r="W191" s="520" t="str">
        <f>IF(E191="","",IF(AND(V191="Standard difficulty applied",O191&gt;P191),U191,IF(AND(V191="Low Difficulty - only applicable if all habitat created before losses",P191&gt;=O191),"Low",VLOOKUP(F191,'G-3 Multipliers'!$A$2:$E$129,4,FALSE))))</f>
        <v/>
      </c>
      <c r="X191" s="524" t="str">
        <f>IFERROR(IF(E191="","",VLOOKUP(W191, 'G-3 Multipliers'!$P$2:$Q$6,2,FALSE)),"")</f>
        <v/>
      </c>
      <c r="Y191" s="529" t="str">
        <f t="shared" si="17"/>
        <v/>
      </c>
      <c r="Z191" s="239"/>
      <c r="AA191" s="240"/>
      <c r="AE191" s="54" t="str">
        <f t="shared" si="13"/>
        <v/>
      </c>
    </row>
    <row r="192" spans="1:31" x14ac:dyDescent="0.25">
      <c r="A192" s="47" t="str">
        <f>IFERROR(INDEX('G-8 Condition Look up'!$I$4:$I$130,MATCH(F192,'G-8 Condition Look up'!$A$4:$A$130,0)),"")</f>
        <v/>
      </c>
      <c r="C192" s="384" t="str">
        <f>IFERROR(INDEX('G-1 All Habitats'!$AG$3:$AG$15,MATCH(D192,'G-1 All Habitats'!$AF$3:$AF$15,0)),"")</f>
        <v/>
      </c>
      <c r="D192" s="146"/>
      <c r="E192" s="79"/>
      <c r="F192" s="246" t="str">
        <f>IFERROR(INDEX('G-1 All Habitats'!$B$3:$B$129,MATCH(E192,'G-1 All Habitats'!$A$3:$A$129,0)),"")</f>
        <v/>
      </c>
      <c r="G192" s="70"/>
      <c r="H192" s="498" t="str">
        <f>IF(F192="","",VLOOKUP(F192,'G-1 All Habitats'!$B$2:$M$129,10,FALSE))</f>
        <v/>
      </c>
      <c r="I192" s="499" t="str">
        <f>IFERROR(VLOOKUP(H192,'G-1 All Habitats'!$V$3:$W$7,2,FALSE),"")</f>
        <v/>
      </c>
      <c r="J192" s="71"/>
      <c r="K192" s="499" t="str">
        <f>IFERROR(INDEX('G-8 Condition Look up'!$A$3:$H$130,MATCH(F192,'G-8 Condition Look up'!$A$3:$A$130,0),MATCH(J192,'G-8 Condition Look up'!$A$3:$H$3,0)),"")</f>
        <v/>
      </c>
      <c r="L192" s="71"/>
      <c r="M192" s="507" t="str">
        <f>IF(L192="","",IF(VLOOKUP(L192,'G-3 Multipliers'!$L$3:$N$6,2,FALSE)=0,"Spatial Data Missing",VLOOKUP(L192,'G-3 Multipliers'!$L$3:$N$6,2,FALSE)))</f>
        <v/>
      </c>
      <c r="N192" s="505" t="str">
        <f>IF(L192="","",IF(VLOOKUP(L192,'G-3 Multipliers'!$L$3:$N$6,3,FALSE)=0,"Spatial Data Missing",VLOOKUP(L192,'G-3 Multipliers'!$L$3:$N$6,3,FALSE)))</f>
        <v/>
      </c>
      <c r="O192" s="498" t="str">
        <f t="shared" si="12"/>
        <v/>
      </c>
      <c r="P192" s="82"/>
      <c r="Q192" s="82"/>
      <c r="R192" s="507" t="str">
        <f t="shared" si="14"/>
        <v/>
      </c>
      <c r="S192" s="521" t="str">
        <f t="shared" si="15"/>
        <v/>
      </c>
      <c r="T192" s="522" t="str">
        <f>IFERROR(IF(S192="Check Data ⚠","Check Data ⚠",VLOOKUP(S192,'G-4 Temporal multipliers'!$A$4:$C$37,3,FALSE)),"")</f>
        <v/>
      </c>
      <c r="U192" s="523" t="str">
        <f>IF(F192="","",VLOOKUP(F192,'G-3 Multipliers'!$A$2:$E$129,2,FALSE))</f>
        <v/>
      </c>
      <c r="V192" s="520" t="str">
        <f t="shared" si="16"/>
        <v/>
      </c>
      <c r="W192" s="520" t="str">
        <f>IF(E192="","",IF(AND(V192="Standard difficulty applied",O192&gt;P192),U192,IF(AND(V192="Low Difficulty - only applicable if all habitat created before losses",P192&gt;=O192),"Low",VLOOKUP(F192,'G-3 Multipliers'!$A$2:$E$129,4,FALSE))))</f>
        <v/>
      </c>
      <c r="X192" s="524" t="str">
        <f>IFERROR(IF(E192="","",VLOOKUP(W192, 'G-3 Multipliers'!$P$2:$Q$6,2,FALSE)),"")</f>
        <v/>
      </c>
      <c r="Y192" s="529" t="str">
        <f t="shared" si="17"/>
        <v/>
      </c>
      <c r="Z192" s="239"/>
      <c r="AA192" s="240"/>
      <c r="AE192" s="54" t="str">
        <f t="shared" si="13"/>
        <v/>
      </c>
    </row>
    <row r="193" spans="1:31" x14ac:dyDescent="0.25">
      <c r="A193" s="47" t="str">
        <f>IFERROR(INDEX('G-8 Condition Look up'!$I$4:$I$130,MATCH(F193,'G-8 Condition Look up'!$A$4:$A$130,0)),"")</f>
        <v/>
      </c>
      <c r="C193" s="384" t="str">
        <f>IFERROR(INDEX('G-1 All Habitats'!$AG$3:$AG$15,MATCH(D193,'G-1 All Habitats'!$AF$3:$AF$15,0)),"")</f>
        <v/>
      </c>
      <c r="D193" s="146"/>
      <c r="E193" s="79"/>
      <c r="F193" s="246" t="str">
        <f>IFERROR(INDEX('G-1 All Habitats'!$B$3:$B$129,MATCH(E193,'G-1 All Habitats'!$A$3:$A$129,0)),"")</f>
        <v/>
      </c>
      <c r="G193" s="70"/>
      <c r="H193" s="498" t="str">
        <f>IF(F193="","",VLOOKUP(F193,'G-1 All Habitats'!$B$2:$M$129,10,FALSE))</f>
        <v/>
      </c>
      <c r="I193" s="499" t="str">
        <f>IFERROR(VLOOKUP(H193,'G-1 All Habitats'!$V$3:$W$7,2,FALSE),"")</f>
        <v/>
      </c>
      <c r="J193" s="71"/>
      <c r="K193" s="499" t="str">
        <f>IFERROR(INDEX('G-8 Condition Look up'!$A$3:$H$130,MATCH(F193,'G-8 Condition Look up'!$A$3:$A$130,0),MATCH(J193,'G-8 Condition Look up'!$A$3:$H$3,0)),"")</f>
        <v/>
      </c>
      <c r="L193" s="71"/>
      <c r="M193" s="507" t="str">
        <f>IF(L193="","",IF(VLOOKUP(L193,'G-3 Multipliers'!$L$3:$N$6,2,FALSE)=0,"Spatial Data Missing",VLOOKUP(L193,'G-3 Multipliers'!$L$3:$N$6,2,FALSE)))</f>
        <v/>
      </c>
      <c r="N193" s="505" t="str">
        <f>IF(L193="","",IF(VLOOKUP(L193,'G-3 Multipliers'!$L$3:$N$6,3,FALSE)=0,"Spatial Data Missing",VLOOKUP(L193,'G-3 Multipliers'!$L$3:$N$6,3,FALSE)))</f>
        <v/>
      </c>
      <c r="O193" s="498" t="str">
        <f t="shared" si="12"/>
        <v/>
      </c>
      <c r="P193" s="82"/>
      <c r="Q193" s="82"/>
      <c r="R193" s="507" t="str">
        <f t="shared" si="14"/>
        <v/>
      </c>
      <c r="S193" s="521" t="str">
        <f t="shared" si="15"/>
        <v/>
      </c>
      <c r="T193" s="522" t="str">
        <f>IFERROR(IF(S193="Check Data ⚠","Check Data ⚠",VLOOKUP(S193,'G-4 Temporal multipliers'!$A$4:$C$37,3,FALSE)),"")</f>
        <v/>
      </c>
      <c r="U193" s="523" t="str">
        <f>IF(F193="","",VLOOKUP(F193,'G-3 Multipliers'!$A$2:$E$129,2,FALSE))</f>
        <v/>
      </c>
      <c r="V193" s="520" t="str">
        <f t="shared" si="16"/>
        <v/>
      </c>
      <c r="W193" s="520" t="str">
        <f>IF(E193="","",IF(AND(V193="Standard difficulty applied",O193&gt;P193),U193,IF(AND(V193="Low Difficulty - only applicable if all habitat created before losses",P193&gt;=O193),"Low",VLOOKUP(F193,'G-3 Multipliers'!$A$2:$E$129,4,FALSE))))</f>
        <v/>
      </c>
      <c r="X193" s="524" t="str">
        <f>IFERROR(IF(E193="","",VLOOKUP(W193, 'G-3 Multipliers'!$P$2:$Q$6,2,FALSE)),"")</f>
        <v/>
      </c>
      <c r="Y193" s="529" t="str">
        <f t="shared" si="17"/>
        <v/>
      </c>
      <c r="Z193" s="239"/>
      <c r="AA193" s="240"/>
      <c r="AE193" s="54" t="str">
        <f t="shared" si="13"/>
        <v/>
      </c>
    </row>
    <row r="194" spans="1:31" x14ac:dyDescent="0.25">
      <c r="A194" s="47" t="str">
        <f>IFERROR(INDEX('G-8 Condition Look up'!$I$4:$I$130,MATCH(F194,'G-8 Condition Look up'!$A$4:$A$130,0)),"")</f>
        <v/>
      </c>
      <c r="C194" s="384" t="str">
        <f>IFERROR(INDEX('G-1 All Habitats'!$AG$3:$AG$15,MATCH(D194,'G-1 All Habitats'!$AF$3:$AF$15,0)),"")</f>
        <v/>
      </c>
      <c r="D194" s="146"/>
      <c r="E194" s="79"/>
      <c r="F194" s="246" t="str">
        <f>IFERROR(INDEX('G-1 All Habitats'!$B$3:$B$129,MATCH(E194,'G-1 All Habitats'!$A$3:$A$129,0)),"")</f>
        <v/>
      </c>
      <c r="G194" s="70"/>
      <c r="H194" s="498" t="str">
        <f>IF(F194="","",VLOOKUP(F194,'G-1 All Habitats'!$B$2:$M$129,10,FALSE))</f>
        <v/>
      </c>
      <c r="I194" s="499" t="str">
        <f>IFERROR(VLOOKUP(H194,'G-1 All Habitats'!$V$3:$W$7,2,FALSE),"")</f>
        <v/>
      </c>
      <c r="J194" s="71"/>
      <c r="K194" s="499" t="str">
        <f>IFERROR(INDEX('G-8 Condition Look up'!$A$3:$H$130,MATCH(F194,'G-8 Condition Look up'!$A$3:$A$130,0),MATCH(J194,'G-8 Condition Look up'!$A$3:$H$3,0)),"")</f>
        <v/>
      </c>
      <c r="L194" s="71"/>
      <c r="M194" s="507" t="str">
        <f>IF(L194="","",IF(VLOOKUP(L194,'G-3 Multipliers'!$L$3:$N$6,2,FALSE)=0,"Spatial Data Missing",VLOOKUP(L194,'G-3 Multipliers'!$L$3:$N$6,2,FALSE)))</f>
        <v/>
      </c>
      <c r="N194" s="505" t="str">
        <f>IF(L194="","",IF(VLOOKUP(L194,'G-3 Multipliers'!$L$3:$N$6,3,FALSE)=0,"Spatial Data Missing",VLOOKUP(L194,'G-3 Multipliers'!$L$3:$N$6,3,FALSE)))</f>
        <v/>
      </c>
      <c r="O194" s="498" t="str">
        <f t="shared" si="12"/>
        <v/>
      </c>
      <c r="P194" s="82"/>
      <c r="Q194" s="82"/>
      <c r="R194" s="507" t="str">
        <f t="shared" si="14"/>
        <v/>
      </c>
      <c r="S194" s="521" t="str">
        <f t="shared" si="15"/>
        <v/>
      </c>
      <c r="T194" s="522" t="str">
        <f>IFERROR(IF(S194="Check Data ⚠","Check Data ⚠",VLOOKUP(S194,'G-4 Temporal multipliers'!$A$4:$C$37,3,FALSE)),"")</f>
        <v/>
      </c>
      <c r="U194" s="523" t="str">
        <f>IF(F194="","",VLOOKUP(F194,'G-3 Multipliers'!$A$2:$E$129,2,FALSE))</f>
        <v/>
      </c>
      <c r="V194" s="520" t="str">
        <f t="shared" si="16"/>
        <v/>
      </c>
      <c r="W194" s="520" t="str">
        <f>IF(E194="","",IF(AND(V194="Standard difficulty applied",O194&gt;P194),U194,IF(AND(V194="Low Difficulty - only applicable if all habitat created before losses",P194&gt;=O194),"Low",VLOOKUP(F194,'G-3 Multipliers'!$A$2:$E$129,4,FALSE))))</f>
        <v/>
      </c>
      <c r="X194" s="524" t="str">
        <f>IFERROR(IF(E194="","",VLOOKUP(W194, 'G-3 Multipliers'!$P$2:$Q$6,2,FALSE)),"")</f>
        <v/>
      </c>
      <c r="Y194" s="529" t="str">
        <f t="shared" si="17"/>
        <v/>
      </c>
      <c r="Z194" s="239"/>
      <c r="AA194" s="240"/>
      <c r="AE194" s="54" t="str">
        <f t="shared" si="13"/>
        <v/>
      </c>
    </row>
    <row r="195" spans="1:31" x14ac:dyDescent="0.25">
      <c r="A195" s="47" t="str">
        <f>IFERROR(INDEX('G-8 Condition Look up'!$I$4:$I$130,MATCH(F195,'G-8 Condition Look up'!$A$4:$A$130,0)),"")</f>
        <v/>
      </c>
      <c r="C195" s="384" t="str">
        <f>IFERROR(INDEX('G-1 All Habitats'!$AG$3:$AG$15,MATCH(D195,'G-1 All Habitats'!$AF$3:$AF$15,0)),"")</f>
        <v/>
      </c>
      <c r="D195" s="146"/>
      <c r="E195" s="79"/>
      <c r="F195" s="246" t="str">
        <f>IFERROR(INDEX('G-1 All Habitats'!$B$3:$B$129,MATCH(E195,'G-1 All Habitats'!$A$3:$A$129,0)),"")</f>
        <v/>
      </c>
      <c r="G195" s="70"/>
      <c r="H195" s="498" t="str">
        <f>IF(F195="","",VLOOKUP(F195,'G-1 All Habitats'!$B$2:$M$129,10,FALSE))</f>
        <v/>
      </c>
      <c r="I195" s="499" t="str">
        <f>IFERROR(VLOOKUP(H195,'G-1 All Habitats'!$V$3:$W$7,2,FALSE),"")</f>
        <v/>
      </c>
      <c r="J195" s="71"/>
      <c r="K195" s="499" t="str">
        <f>IFERROR(INDEX('G-8 Condition Look up'!$A$3:$H$130,MATCH(F195,'G-8 Condition Look up'!$A$3:$A$130,0),MATCH(J195,'G-8 Condition Look up'!$A$3:$H$3,0)),"")</f>
        <v/>
      </c>
      <c r="L195" s="71"/>
      <c r="M195" s="507" t="str">
        <f>IF(L195="","",IF(VLOOKUP(L195,'G-3 Multipliers'!$L$3:$N$6,2,FALSE)=0,"Spatial Data Missing",VLOOKUP(L195,'G-3 Multipliers'!$L$3:$N$6,2,FALSE)))</f>
        <v/>
      </c>
      <c r="N195" s="505" t="str">
        <f>IF(L195="","",IF(VLOOKUP(L195,'G-3 Multipliers'!$L$3:$N$6,3,FALSE)=0,"Spatial Data Missing",VLOOKUP(L195,'G-3 Multipliers'!$L$3:$N$6,3,FALSE)))</f>
        <v/>
      </c>
      <c r="O195" s="498" t="str">
        <f t="shared" si="12"/>
        <v/>
      </c>
      <c r="P195" s="82"/>
      <c r="Q195" s="82"/>
      <c r="R195" s="507" t="str">
        <f t="shared" si="14"/>
        <v/>
      </c>
      <c r="S195" s="521" t="str">
        <f t="shared" si="15"/>
        <v/>
      </c>
      <c r="T195" s="522" t="str">
        <f>IFERROR(IF(S195="Check Data ⚠","Check Data ⚠",VLOOKUP(S195,'G-4 Temporal multipliers'!$A$4:$C$37,3,FALSE)),"")</f>
        <v/>
      </c>
      <c r="U195" s="523" t="str">
        <f>IF(F195="","",VLOOKUP(F195,'G-3 Multipliers'!$A$2:$E$129,2,FALSE))</f>
        <v/>
      </c>
      <c r="V195" s="520" t="str">
        <f t="shared" si="16"/>
        <v/>
      </c>
      <c r="W195" s="520" t="str">
        <f>IF(E195="","",IF(AND(V195="Standard difficulty applied",O195&gt;P195),U195,IF(AND(V195="Low Difficulty - only applicable if all habitat created before losses",P195&gt;=O195),"Low",VLOOKUP(F195,'G-3 Multipliers'!$A$2:$E$129,4,FALSE))))</f>
        <v/>
      </c>
      <c r="X195" s="524" t="str">
        <f>IFERROR(IF(E195="","",VLOOKUP(W195, 'G-3 Multipliers'!$P$2:$Q$6,2,FALSE)),"")</f>
        <v/>
      </c>
      <c r="Y195" s="529" t="str">
        <f t="shared" si="17"/>
        <v/>
      </c>
      <c r="Z195" s="239"/>
      <c r="AA195" s="240"/>
      <c r="AE195" s="54" t="str">
        <f t="shared" si="13"/>
        <v/>
      </c>
    </row>
    <row r="196" spans="1:31" x14ac:dyDescent="0.25">
      <c r="A196" s="47" t="str">
        <f>IFERROR(INDEX('G-8 Condition Look up'!$I$4:$I$130,MATCH(F196,'G-8 Condition Look up'!$A$4:$A$130,0)),"")</f>
        <v/>
      </c>
      <c r="C196" s="384" t="str">
        <f>IFERROR(INDEX('G-1 All Habitats'!$AG$3:$AG$15,MATCH(D196,'G-1 All Habitats'!$AF$3:$AF$15,0)),"")</f>
        <v/>
      </c>
      <c r="D196" s="146"/>
      <c r="E196" s="79"/>
      <c r="F196" s="246" t="str">
        <f>IFERROR(INDEX('G-1 All Habitats'!$B$3:$B$129,MATCH(E196,'G-1 All Habitats'!$A$3:$A$129,0)),"")</f>
        <v/>
      </c>
      <c r="G196" s="70"/>
      <c r="H196" s="498" t="str">
        <f>IF(F196="","",VLOOKUP(F196,'G-1 All Habitats'!$B$2:$M$129,10,FALSE))</f>
        <v/>
      </c>
      <c r="I196" s="499" t="str">
        <f>IFERROR(VLOOKUP(H196,'G-1 All Habitats'!$V$3:$W$7,2,FALSE),"")</f>
        <v/>
      </c>
      <c r="J196" s="71"/>
      <c r="K196" s="499" t="str">
        <f>IFERROR(INDEX('G-8 Condition Look up'!$A$3:$H$130,MATCH(F196,'G-8 Condition Look up'!$A$3:$A$130,0),MATCH(J196,'G-8 Condition Look up'!$A$3:$H$3,0)),"")</f>
        <v/>
      </c>
      <c r="L196" s="71"/>
      <c r="M196" s="507" t="str">
        <f>IF(L196="","",IF(VLOOKUP(L196,'G-3 Multipliers'!$L$3:$N$6,2,FALSE)=0,"Spatial Data Missing",VLOOKUP(L196,'G-3 Multipliers'!$L$3:$N$6,2,FALSE)))</f>
        <v/>
      </c>
      <c r="N196" s="505" t="str">
        <f>IF(L196="","",IF(VLOOKUP(L196,'G-3 Multipliers'!$L$3:$N$6,3,FALSE)=0,"Spatial Data Missing",VLOOKUP(L196,'G-3 Multipliers'!$L$3:$N$6,3,FALSE)))</f>
        <v/>
      </c>
      <c r="O196" s="498" t="str">
        <f t="shared" si="12"/>
        <v/>
      </c>
      <c r="P196" s="82"/>
      <c r="Q196" s="82"/>
      <c r="R196" s="507" t="str">
        <f t="shared" si="14"/>
        <v/>
      </c>
      <c r="S196" s="521" t="str">
        <f t="shared" si="15"/>
        <v/>
      </c>
      <c r="T196" s="522" t="str">
        <f>IFERROR(IF(S196="Check Data ⚠","Check Data ⚠",VLOOKUP(S196,'G-4 Temporal multipliers'!$A$4:$C$37,3,FALSE)),"")</f>
        <v/>
      </c>
      <c r="U196" s="523" t="str">
        <f>IF(F196="","",VLOOKUP(F196,'G-3 Multipliers'!$A$2:$E$129,2,FALSE))</f>
        <v/>
      </c>
      <c r="V196" s="520" t="str">
        <f t="shared" si="16"/>
        <v/>
      </c>
      <c r="W196" s="520" t="str">
        <f>IF(E196="","",IF(AND(V196="Standard difficulty applied",O196&gt;P196),U196,IF(AND(V196="Low Difficulty - only applicable if all habitat created before losses",P196&gt;=O196),"Low",VLOOKUP(F196,'G-3 Multipliers'!$A$2:$E$129,4,FALSE))))</f>
        <v/>
      </c>
      <c r="X196" s="524" t="str">
        <f>IFERROR(IF(E196="","",VLOOKUP(W196, 'G-3 Multipliers'!$P$2:$Q$6,2,FALSE)),"")</f>
        <v/>
      </c>
      <c r="Y196" s="529" t="str">
        <f t="shared" si="17"/>
        <v/>
      </c>
      <c r="Z196" s="239"/>
      <c r="AA196" s="240"/>
      <c r="AE196" s="54" t="str">
        <f t="shared" si="13"/>
        <v/>
      </c>
    </row>
    <row r="197" spans="1:31" x14ac:dyDescent="0.25">
      <c r="A197" s="47" t="str">
        <f>IFERROR(INDEX('G-8 Condition Look up'!$I$4:$I$130,MATCH(F197,'G-8 Condition Look up'!$A$4:$A$130,0)),"")</f>
        <v/>
      </c>
      <c r="C197" s="384" t="str">
        <f>IFERROR(INDEX('G-1 All Habitats'!$AG$3:$AG$15,MATCH(D197,'G-1 All Habitats'!$AF$3:$AF$15,0)),"")</f>
        <v/>
      </c>
      <c r="D197" s="146"/>
      <c r="E197" s="79"/>
      <c r="F197" s="246" t="str">
        <f>IFERROR(INDEX('G-1 All Habitats'!$B$3:$B$129,MATCH(E197,'G-1 All Habitats'!$A$3:$A$129,0)),"")</f>
        <v/>
      </c>
      <c r="G197" s="70"/>
      <c r="H197" s="498" t="str">
        <f>IF(F197="","",VLOOKUP(F197,'G-1 All Habitats'!$B$2:$M$129,10,FALSE))</f>
        <v/>
      </c>
      <c r="I197" s="499" t="str">
        <f>IFERROR(VLOOKUP(H197,'G-1 All Habitats'!$V$3:$W$7,2,FALSE),"")</f>
        <v/>
      </c>
      <c r="J197" s="71"/>
      <c r="K197" s="499" t="str">
        <f>IFERROR(INDEX('G-8 Condition Look up'!$A$3:$H$130,MATCH(F197,'G-8 Condition Look up'!$A$3:$A$130,0),MATCH(J197,'G-8 Condition Look up'!$A$3:$H$3,0)),"")</f>
        <v/>
      </c>
      <c r="L197" s="71"/>
      <c r="M197" s="507" t="str">
        <f>IF(L197="","",IF(VLOOKUP(L197,'G-3 Multipliers'!$L$3:$N$6,2,FALSE)=0,"Spatial Data Missing",VLOOKUP(L197,'G-3 Multipliers'!$L$3:$N$6,2,FALSE)))</f>
        <v/>
      </c>
      <c r="N197" s="505" t="str">
        <f>IF(L197="","",IF(VLOOKUP(L197,'G-3 Multipliers'!$L$3:$N$6,3,FALSE)=0,"Spatial Data Missing",VLOOKUP(L197,'G-3 Multipliers'!$L$3:$N$6,3,FALSE)))</f>
        <v/>
      </c>
      <c r="O197" s="498" t="str">
        <f t="shared" si="12"/>
        <v/>
      </c>
      <c r="P197" s="82"/>
      <c r="Q197" s="82"/>
      <c r="R197" s="507" t="str">
        <f t="shared" si="14"/>
        <v/>
      </c>
      <c r="S197" s="521" t="str">
        <f t="shared" si="15"/>
        <v/>
      </c>
      <c r="T197" s="522" t="str">
        <f>IFERROR(IF(S197="Check Data ⚠","Check Data ⚠",VLOOKUP(S197,'G-4 Temporal multipliers'!$A$4:$C$37,3,FALSE)),"")</f>
        <v/>
      </c>
      <c r="U197" s="523" t="str">
        <f>IF(F197="","",VLOOKUP(F197,'G-3 Multipliers'!$A$2:$E$129,2,FALSE))</f>
        <v/>
      </c>
      <c r="V197" s="520" t="str">
        <f t="shared" si="16"/>
        <v/>
      </c>
      <c r="W197" s="520" t="str">
        <f>IF(E197="","",IF(AND(V197="Standard difficulty applied",O197&gt;P197),U197,IF(AND(V197="Low Difficulty - only applicable if all habitat created before losses",P197&gt;=O197),"Low",VLOOKUP(F197,'G-3 Multipliers'!$A$2:$E$129,4,FALSE))))</f>
        <v/>
      </c>
      <c r="X197" s="524" t="str">
        <f>IFERROR(IF(E197="","",VLOOKUP(W197, 'G-3 Multipliers'!$P$2:$Q$6,2,FALSE)),"")</f>
        <v/>
      </c>
      <c r="Y197" s="529" t="str">
        <f t="shared" si="17"/>
        <v/>
      </c>
      <c r="Z197" s="239"/>
      <c r="AA197" s="240"/>
      <c r="AE197" s="54" t="str">
        <f t="shared" si="13"/>
        <v/>
      </c>
    </row>
    <row r="198" spans="1:31" x14ac:dyDescent="0.25">
      <c r="A198" s="47" t="str">
        <f>IFERROR(INDEX('G-8 Condition Look up'!$I$4:$I$130,MATCH(F198,'G-8 Condition Look up'!$A$4:$A$130,0)),"")</f>
        <v/>
      </c>
      <c r="C198" s="384" t="str">
        <f>IFERROR(INDEX('G-1 All Habitats'!$AG$3:$AG$15,MATCH(D198,'G-1 All Habitats'!$AF$3:$AF$15,0)),"")</f>
        <v/>
      </c>
      <c r="D198" s="146"/>
      <c r="E198" s="79"/>
      <c r="F198" s="246" t="str">
        <f>IFERROR(INDEX('G-1 All Habitats'!$B$3:$B$129,MATCH(E198,'G-1 All Habitats'!$A$3:$A$129,0)),"")</f>
        <v/>
      </c>
      <c r="G198" s="70"/>
      <c r="H198" s="498" t="str">
        <f>IF(F198="","",VLOOKUP(F198,'G-1 All Habitats'!$B$2:$M$129,10,FALSE))</f>
        <v/>
      </c>
      <c r="I198" s="499" t="str">
        <f>IFERROR(VLOOKUP(H198,'G-1 All Habitats'!$V$3:$W$7,2,FALSE),"")</f>
        <v/>
      </c>
      <c r="J198" s="71"/>
      <c r="K198" s="499" t="str">
        <f>IFERROR(INDEX('G-8 Condition Look up'!$A$3:$H$130,MATCH(F198,'G-8 Condition Look up'!$A$3:$A$130,0),MATCH(J198,'G-8 Condition Look up'!$A$3:$H$3,0)),"")</f>
        <v/>
      </c>
      <c r="L198" s="71"/>
      <c r="M198" s="507" t="str">
        <f>IF(L198="","",IF(VLOOKUP(L198,'G-3 Multipliers'!$L$3:$N$6,2,FALSE)=0,"Spatial Data Missing",VLOOKUP(L198,'G-3 Multipliers'!$L$3:$N$6,2,FALSE)))</f>
        <v/>
      </c>
      <c r="N198" s="505" t="str">
        <f>IF(L198="","",IF(VLOOKUP(L198,'G-3 Multipliers'!$L$3:$N$6,3,FALSE)=0,"Spatial Data Missing",VLOOKUP(L198,'G-3 Multipliers'!$L$3:$N$6,3,FALSE)))</f>
        <v/>
      </c>
      <c r="O198" s="498" t="str">
        <f t="shared" si="12"/>
        <v/>
      </c>
      <c r="P198" s="82"/>
      <c r="Q198" s="82"/>
      <c r="R198" s="507" t="str">
        <f t="shared" si="14"/>
        <v/>
      </c>
      <c r="S198" s="521" t="str">
        <f t="shared" si="15"/>
        <v/>
      </c>
      <c r="T198" s="522" t="str">
        <f>IFERROR(IF(S198="Check Data ⚠","Check Data ⚠",VLOOKUP(S198,'G-4 Temporal multipliers'!$A$4:$C$37,3,FALSE)),"")</f>
        <v/>
      </c>
      <c r="U198" s="523" t="str">
        <f>IF(F198="","",VLOOKUP(F198,'G-3 Multipliers'!$A$2:$E$129,2,FALSE))</f>
        <v/>
      </c>
      <c r="V198" s="520" t="str">
        <f t="shared" si="16"/>
        <v/>
      </c>
      <c r="W198" s="520" t="str">
        <f>IF(E198="","",IF(AND(V198="Standard difficulty applied",O198&gt;P198),U198,IF(AND(V198="Low Difficulty - only applicable if all habitat created before losses",P198&gt;=O198),"Low",VLOOKUP(F198,'G-3 Multipliers'!$A$2:$E$129,4,FALSE))))</f>
        <v/>
      </c>
      <c r="X198" s="524" t="str">
        <f>IFERROR(IF(E198="","",VLOOKUP(W198, 'G-3 Multipliers'!$P$2:$Q$6,2,FALSE)),"")</f>
        <v/>
      </c>
      <c r="Y198" s="529" t="str">
        <f t="shared" si="17"/>
        <v/>
      </c>
      <c r="Z198" s="239"/>
      <c r="AA198" s="240"/>
      <c r="AE198" s="54" t="str">
        <f t="shared" si="13"/>
        <v/>
      </c>
    </row>
    <row r="199" spans="1:31" x14ac:dyDescent="0.25">
      <c r="A199" s="47" t="str">
        <f>IFERROR(INDEX('G-8 Condition Look up'!$I$4:$I$130,MATCH(F199,'G-8 Condition Look up'!$A$4:$A$130,0)),"")</f>
        <v/>
      </c>
      <c r="C199" s="384" t="str">
        <f>IFERROR(INDEX('G-1 All Habitats'!$AG$3:$AG$15,MATCH(D199,'G-1 All Habitats'!$AF$3:$AF$15,0)),"")</f>
        <v/>
      </c>
      <c r="D199" s="146"/>
      <c r="E199" s="79"/>
      <c r="F199" s="246" t="str">
        <f>IFERROR(INDEX('G-1 All Habitats'!$B$3:$B$129,MATCH(E199,'G-1 All Habitats'!$A$3:$A$129,0)),"")</f>
        <v/>
      </c>
      <c r="G199" s="70"/>
      <c r="H199" s="498" t="str">
        <f>IF(F199="","",VLOOKUP(F199,'G-1 All Habitats'!$B$2:$M$129,10,FALSE))</f>
        <v/>
      </c>
      <c r="I199" s="499" t="str">
        <f>IFERROR(VLOOKUP(H199,'G-1 All Habitats'!$V$3:$W$7,2,FALSE),"")</f>
        <v/>
      </c>
      <c r="J199" s="71"/>
      <c r="K199" s="499" t="str">
        <f>IFERROR(INDEX('G-8 Condition Look up'!$A$3:$H$130,MATCH(F199,'G-8 Condition Look up'!$A$3:$A$130,0),MATCH(J199,'G-8 Condition Look up'!$A$3:$H$3,0)),"")</f>
        <v/>
      </c>
      <c r="L199" s="71"/>
      <c r="M199" s="507" t="str">
        <f>IF(L199="","",IF(VLOOKUP(L199,'G-3 Multipliers'!$L$3:$N$6,2,FALSE)=0,"Spatial Data Missing",VLOOKUP(L199,'G-3 Multipliers'!$L$3:$N$6,2,FALSE)))</f>
        <v/>
      </c>
      <c r="N199" s="505" t="str">
        <f>IF(L199="","",IF(VLOOKUP(L199,'G-3 Multipliers'!$L$3:$N$6,3,FALSE)=0,"Spatial Data Missing",VLOOKUP(L199,'G-3 Multipliers'!$L$3:$N$6,3,FALSE)))</f>
        <v/>
      </c>
      <c r="O199" s="498" t="str">
        <f t="shared" si="12"/>
        <v/>
      </c>
      <c r="P199" s="82"/>
      <c r="Q199" s="82"/>
      <c r="R199" s="507" t="str">
        <f t="shared" si="14"/>
        <v/>
      </c>
      <c r="S199" s="521" t="str">
        <f t="shared" si="15"/>
        <v/>
      </c>
      <c r="T199" s="522" t="str">
        <f>IFERROR(IF(S199="Check Data ⚠","Check Data ⚠",VLOOKUP(S199,'G-4 Temporal multipliers'!$A$4:$C$37,3,FALSE)),"")</f>
        <v/>
      </c>
      <c r="U199" s="523" t="str">
        <f>IF(F199="","",VLOOKUP(F199,'G-3 Multipliers'!$A$2:$E$129,2,FALSE))</f>
        <v/>
      </c>
      <c r="V199" s="520" t="str">
        <f t="shared" si="16"/>
        <v/>
      </c>
      <c r="W199" s="520" t="str">
        <f>IF(E199="","",IF(AND(V199="Standard difficulty applied",O199&gt;P199),U199,IF(AND(V199="Low Difficulty - only applicable if all habitat created before losses",P199&gt;=O199),"Low",VLOOKUP(F199,'G-3 Multipliers'!$A$2:$E$129,4,FALSE))))</f>
        <v/>
      </c>
      <c r="X199" s="524" t="str">
        <f>IFERROR(IF(E199="","",VLOOKUP(W199, 'G-3 Multipliers'!$P$2:$Q$6,2,FALSE)),"")</f>
        <v/>
      </c>
      <c r="Y199" s="529" t="str">
        <f t="shared" si="17"/>
        <v/>
      </c>
      <c r="Z199" s="239"/>
      <c r="AA199" s="240"/>
      <c r="AE199" s="54" t="str">
        <f t="shared" si="13"/>
        <v/>
      </c>
    </row>
    <row r="200" spans="1:31" x14ac:dyDescent="0.25">
      <c r="A200" s="47" t="str">
        <f>IFERROR(INDEX('G-8 Condition Look up'!$I$4:$I$130,MATCH(F200,'G-8 Condition Look up'!$A$4:$A$130,0)),"")</f>
        <v/>
      </c>
      <c r="C200" s="384" t="str">
        <f>IFERROR(INDEX('G-1 All Habitats'!$AG$3:$AG$15,MATCH(D200,'G-1 All Habitats'!$AF$3:$AF$15,0)),"")</f>
        <v/>
      </c>
      <c r="D200" s="146"/>
      <c r="E200" s="79"/>
      <c r="F200" s="246" t="str">
        <f>IFERROR(INDEX('G-1 All Habitats'!$B$3:$B$129,MATCH(E200,'G-1 All Habitats'!$A$3:$A$129,0)),"")</f>
        <v/>
      </c>
      <c r="G200" s="70"/>
      <c r="H200" s="498" t="str">
        <f>IF(F200="","",VLOOKUP(F200,'G-1 All Habitats'!$B$2:$M$129,10,FALSE))</f>
        <v/>
      </c>
      <c r="I200" s="499" t="str">
        <f>IFERROR(VLOOKUP(H200,'G-1 All Habitats'!$V$3:$W$7,2,FALSE),"")</f>
        <v/>
      </c>
      <c r="J200" s="71"/>
      <c r="K200" s="499" t="str">
        <f>IFERROR(INDEX('G-8 Condition Look up'!$A$3:$H$130,MATCH(F200,'G-8 Condition Look up'!$A$3:$A$130,0),MATCH(J200,'G-8 Condition Look up'!$A$3:$H$3,0)),"")</f>
        <v/>
      </c>
      <c r="L200" s="71"/>
      <c r="M200" s="507" t="str">
        <f>IF(L200="","",IF(VLOOKUP(L200,'G-3 Multipliers'!$L$3:$N$6,2,FALSE)=0,"Spatial Data Missing",VLOOKUP(L200,'G-3 Multipliers'!$L$3:$N$6,2,FALSE)))</f>
        <v/>
      </c>
      <c r="N200" s="505" t="str">
        <f>IF(L200="","",IF(VLOOKUP(L200,'G-3 Multipliers'!$L$3:$N$6,3,FALSE)=0,"Spatial Data Missing",VLOOKUP(L200,'G-3 Multipliers'!$L$3:$N$6,3,FALSE)))</f>
        <v/>
      </c>
      <c r="O200" s="498" t="str">
        <f t="shared" si="12"/>
        <v/>
      </c>
      <c r="P200" s="82"/>
      <c r="Q200" s="82"/>
      <c r="R200" s="507" t="str">
        <f t="shared" si="14"/>
        <v/>
      </c>
      <c r="S200" s="521" t="str">
        <f t="shared" si="15"/>
        <v/>
      </c>
      <c r="T200" s="522" t="str">
        <f>IFERROR(IF(S200="Check Data ⚠","Check Data ⚠",VLOOKUP(S200,'G-4 Temporal multipliers'!$A$4:$C$37,3,FALSE)),"")</f>
        <v/>
      </c>
      <c r="U200" s="523" t="str">
        <f>IF(F200="","",VLOOKUP(F200,'G-3 Multipliers'!$A$2:$E$129,2,FALSE))</f>
        <v/>
      </c>
      <c r="V200" s="520" t="str">
        <f t="shared" si="16"/>
        <v/>
      </c>
      <c r="W200" s="520" t="str">
        <f>IF(E200="","",IF(AND(V200="Standard difficulty applied",O200&gt;P200),U200,IF(AND(V200="Low Difficulty - only applicable if all habitat created before losses",P200&gt;=O200),"Low",VLOOKUP(F200,'G-3 Multipliers'!$A$2:$E$129,4,FALSE))))</f>
        <v/>
      </c>
      <c r="X200" s="524" t="str">
        <f>IFERROR(IF(E200="","",VLOOKUP(W200, 'G-3 Multipliers'!$P$2:$Q$6,2,FALSE)),"")</f>
        <v/>
      </c>
      <c r="Y200" s="529" t="str">
        <f t="shared" si="17"/>
        <v/>
      </c>
      <c r="Z200" s="239"/>
      <c r="AA200" s="240"/>
      <c r="AE200" s="54" t="str">
        <f t="shared" si="13"/>
        <v/>
      </c>
    </row>
    <row r="201" spans="1:31" x14ac:dyDescent="0.25">
      <c r="A201" s="47" t="str">
        <f>IFERROR(INDEX('G-8 Condition Look up'!$I$4:$I$130,MATCH(F201,'G-8 Condition Look up'!$A$4:$A$130,0)),"")</f>
        <v/>
      </c>
      <c r="C201" s="384" t="str">
        <f>IFERROR(INDEX('G-1 All Habitats'!$AG$3:$AG$15,MATCH(D201,'G-1 All Habitats'!$AF$3:$AF$15,0)),"")</f>
        <v/>
      </c>
      <c r="D201" s="146"/>
      <c r="E201" s="79"/>
      <c r="F201" s="246" t="str">
        <f>IFERROR(INDEX('G-1 All Habitats'!$B$3:$B$129,MATCH(E201,'G-1 All Habitats'!$A$3:$A$129,0)),"")</f>
        <v/>
      </c>
      <c r="G201" s="70"/>
      <c r="H201" s="498" t="str">
        <f>IF(F201="","",VLOOKUP(F201,'G-1 All Habitats'!$B$2:$M$129,10,FALSE))</f>
        <v/>
      </c>
      <c r="I201" s="499" t="str">
        <f>IFERROR(VLOOKUP(H201,'G-1 All Habitats'!$V$3:$W$7,2,FALSE),"")</f>
        <v/>
      </c>
      <c r="J201" s="71"/>
      <c r="K201" s="499" t="str">
        <f>IFERROR(INDEX('G-8 Condition Look up'!$A$3:$H$130,MATCH(F201,'G-8 Condition Look up'!$A$3:$A$130,0),MATCH(J201,'G-8 Condition Look up'!$A$3:$H$3,0)),"")</f>
        <v/>
      </c>
      <c r="L201" s="71"/>
      <c r="M201" s="507" t="str">
        <f>IF(L201="","",IF(VLOOKUP(L201,'G-3 Multipliers'!$L$3:$N$6,2,FALSE)=0,"Spatial Data Missing",VLOOKUP(L201,'G-3 Multipliers'!$L$3:$N$6,2,FALSE)))</f>
        <v/>
      </c>
      <c r="N201" s="505" t="str">
        <f>IF(L201="","",IF(VLOOKUP(L201,'G-3 Multipliers'!$L$3:$N$6,3,FALSE)=0,"Spatial Data Missing",VLOOKUP(L201,'G-3 Multipliers'!$L$3:$N$6,3,FALSE)))</f>
        <v/>
      </c>
      <c r="O201" s="498" t="str">
        <f t="shared" si="12"/>
        <v/>
      </c>
      <c r="P201" s="82"/>
      <c r="Q201" s="82"/>
      <c r="R201" s="507" t="str">
        <f t="shared" si="14"/>
        <v/>
      </c>
      <c r="S201" s="521" t="str">
        <f t="shared" si="15"/>
        <v/>
      </c>
      <c r="T201" s="522" t="str">
        <f>IFERROR(IF(S201="Check Data ⚠","Check Data ⚠",VLOOKUP(S201,'G-4 Temporal multipliers'!$A$4:$C$37,3,FALSE)),"")</f>
        <v/>
      </c>
      <c r="U201" s="523" t="str">
        <f>IF(F201="","",VLOOKUP(F201,'G-3 Multipliers'!$A$2:$E$129,2,FALSE))</f>
        <v/>
      </c>
      <c r="V201" s="520" t="str">
        <f t="shared" si="16"/>
        <v/>
      </c>
      <c r="W201" s="520" t="str">
        <f>IF(E201="","",IF(AND(V201="Standard difficulty applied",O201&gt;P201),U201,IF(AND(V201="Low Difficulty - only applicable if all habitat created before losses",P201&gt;=O201),"Low",VLOOKUP(F201,'G-3 Multipliers'!$A$2:$E$129,4,FALSE))))</f>
        <v/>
      </c>
      <c r="X201" s="524" t="str">
        <f>IFERROR(IF(E201="","",VLOOKUP(W201, 'G-3 Multipliers'!$P$2:$Q$6,2,FALSE)),"")</f>
        <v/>
      </c>
      <c r="Y201" s="529" t="str">
        <f t="shared" si="17"/>
        <v/>
      </c>
      <c r="Z201" s="239"/>
      <c r="AA201" s="240"/>
      <c r="AE201" s="54" t="str">
        <f t="shared" si="13"/>
        <v/>
      </c>
    </row>
    <row r="202" spans="1:31" x14ac:dyDescent="0.25">
      <c r="A202" s="47" t="str">
        <f>IFERROR(INDEX('G-8 Condition Look up'!$I$4:$I$130,MATCH(F202,'G-8 Condition Look up'!$A$4:$A$130,0)),"")</f>
        <v/>
      </c>
      <c r="C202" s="384" t="str">
        <f>IFERROR(INDEX('G-1 All Habitats'!$AG$3:$AG$15,MATCH(D202,'G-1 All Habitats'!$AF$3:$AF$15,0)),"")</f>
        <v/>
      </c>
      <c r="D202" s="146"/>
      <c r="E202" s="79"/>
      <c r="F202" s="246" t="str">
        <f>IFERROR(INDEX('G-1 All Habitats'!$B$3:$B$129,MATCH(E202,'G-1 All Habitats'!$A$3:$A$129,0)),"")</f>
        <v/>
      </c>
      <c r="G202" s="70"/>
      <c r="H202" s="498" t="str">
        <f>IF(F202="","",VLOOKUP(F202,'G-1 All Habitats'!$B$2:$M$129,10,FALSE))</f>
        <v/>
      </c>
      <c r="I202" s="499" t="str">
        <f>IFERROR(VLOOKUP(H202,'G-1 All Habitats'!$V$3:$W$7,2,FALSE),"")</f>
        <v/>
      </c>
      <c r="J202" s="71"/>
      <c r="K202" s="499" t="str">
        <f>IFERROR(INDEX('G-8 Condition Look up'!$A$3:$H$130,MATCH(F202,'G-8 Condition Look up'!$A$3:$A$130,0),MATCH(J202,'G-8 Condition Look up'!$A$3:$H$3,0)),"")</f>
        <v/>
      </c>
      <c r="L202" s="71"/>
      <c r="M202" s="507" t="str">
        <f>IF(L202="","",IF(VLOOKUP(L202,'G-3 Multipliers'!$L$3:$N$6,2,FALSE)=0,"Spatial Data Missing",VLOOKUP(L202,'G-3 Multipliers'!$L$3:$N$6,2,FALSE)))</f>
        <v/>
      </c>
      <c r="N202" s="505" t="str">
        <f>IF(L202="","",IF(VLOOKUP(L202,'G-3 Multipliers'!$L$3:$N$6,3,FALSE)=0,"Spatial Data Missing",VLOOKUP(L202,'G-3 Multipliers'!$L$3:$N$6,3,FALSE)))</f>
        <v/>
      </c>
      <c r="O202" s="498" t="str">
        <f t="shared" si="12"/>
        <v/>
      </c>
      <c r="P202" s="82"/>
      <c r="Q202" s="82"/>
      <c r="R202" s="507" t="str">
        <f t="shared" si="14"/>
        <v/>
      </c>
      <c r="S202" s="521" t="str">
        <f t="shared" si="15"/>
        <v/>
      </c>
      <c r="T202" s="522" t="str">
        <f>IFERROR(IF(S202="Check Data ⚠","Check Data ⚠",VLOOKUP(S202,'G-4 Temporal multipliers'!$A$4:$C$37,3,FALSE)),"")</f>
        <v/>
      </c>
      <c r="U202" s="523" t="str">
        <f>IF(F202="","",VLOOKUP(F202,'G-3 Multipliers'!$A$2:$E$129,2,FALSE))</f>
        <v/>
      </c>
      <c r="V202" s="520" t="str">
        <f t="shared" si="16"/>
        <v/>
      </c>
      <c r="W202" s="520" t="str">
        <f>IF(E202="","",IF(AND(V202="Standard difficulty applied",O202&gt;P202),U202,IF(AND(V202="Low Difficulty - only applicable if all habitat created before losses",P202&gt;=O202),"Low",VLOOKUP(F202,'G-3 Multipliers'!$A$2:$E$129,4,FALSE))))</f>
        <v/>
      </c>
      <c r="X202" s="524" t="str">
        <f>IFERROR(IF(E202="","",VLOOKUP(W202, 'G-3 Multipliers'!$P$2:$Q$6,2,FALSE)),"")</f>
        <v/>
      </c>
      <c r="Y202" s="529" t="str">
        <f t="shared" si="17"/>
        <v/>
      </c>
      <c r="Z202" s="239"/>
      <c r="AA202" s="240"/>
      <c r="AE202" s="54" t="str">
        <f t="shared" si="13"/>
        <v/>
      </c>
    </row>
    <row r="203" spans="1:31" x14ac:dyDescent="0.25">
      <c r="A203" s="47" t="str">
        <f>IFERROR(INDEX('G-8 Condition Look up'!$I$4:$I$130,MATCH(F203,'G-8 Condition Look up'!$A$4:$A$130,0)),"")</f>
        <v/>
      </c>
      <c r="C203" s="384" t="str">
        <f>IFERROR(INDEX('G-1 All Habitats'!$AG$3:$AG$15,MATCH(D203,'G-1 All Habitats'!$AF$3:$AF$15,0)),"")</f>
        <v/>
      </c>
      <c r="D203" s="146"/>
      <c r="E203" s="79"/>
      <c r="F203" s="246" t="str">
        <f>IFERROR(INDEX('G-1 All Habitats'!$B$3:$B$129,MATCH(E203,'G-1 All Habitats'!$A$3:$A$129,0)),"")</f>
        <v/>
      </c>
      <c r="G203" s="70"/>
      <c r="H203" s="498" t="str">
        <f>IF(F203="","",VLOOKUP(F203,'G-1 All Habitats'!$B$2:$M$129,10,FALSE))</f>
        <v/>
      </c>
      <c r="I203" s="499" t="str">
        <f>IFERROR(VLOOKUP(H203,'G-1 All Habitats'!$V$3:$W$7,2,FALSE),"")</f>
        <v/>
      </c>
      <c r="J203" s="71"/>
      <c r="K203" s="499" t="str">
        <f>IFERROR(INDEX('G-8 Condition Look up'!$A$3:$H$130,MATCH(F203,'G-8 Condition Look up'!$A$3:$A$130,0),MATCH(J203,'G-8 Condition Look up'!$A$3:$H$3,0)),"")</f>
        <v/>
      </c>
      <c r="L203" s="71"/>
      <c r="M203" s="507" t="str">
        <f>IF(L203="","",IF(VLOOKUP(L203,'G-3 Multipliers'!$L$3:$N$6,2,FALSE)=0,"Spatial Data Missing",VLOOKUP(L203,'G-3 Multipliers'!$L$3:$N$6,2,FALSE)))</f>
        <v/>
      </c>
      <c r="N203" s="505" t="str">
        <f>IF(L203="","",IF(VLOOKUP(L203,'G-3 Multipliers'!$L$3:$N$6,3,FALSE)=0,"Spatial Data Missing",VLOOKUP(L203,'G-3 Multipliers'!$L$3:$N$6,3,FALSE)))</f>
        <v/>
      </c>
      <c r="O203" s="498" t="str">
        <f t="shared" ref="O203:O256" si="18">IFERROR(INDEX(TemporalData,MATCH(F203,TemporalHabitats,0),MATCH(J203,TemporalConditions,0)),"")</f>
        <v/>
      </c>
      <c r="P203" s="82"/>
      <c r="Q203" s="82"/>
      <c r="R203" s="507" t="str">
        <f t="shared" si="14"/>
        <v/>
      </c>
      <c r="S203" s="521" t="str">
        <f t="shared" si="15"/>
        <v/>
      </c>
      <c r="T203" s="522" t="str">
        <f>IFERROR(IF(S203="Check Data ⚠","Check Data ⚠",VLOOKUP(S203,'G-4 Temporal multipliers'!$A$4:$C$37,3,FALSE)),"")</f>
        <v/>
      </c>
      <c r="U203" s="523" t="str">
        <f>IF(F203="","",VLOOKUP(F203,'G-3 Multipliers'!$A$2:$E$129,2,FALSE))</f>
        <v/>
      </c>
      <c r="V203" s="520" t="str">
        <f t="shared" si="16"/>
        <v/>
      </c>
      <c r="W203" s="520" t="str">
        <f>IF(E203="","",IF(AND(V203="Standard difficulty applied",O203&gt;P203),U203,IF(AND(V203="Low Difficulty - only applicable if all habitat created before losses",P203&gt;=O203),"Low",VLOOKUP(F203,'G-3 Multipliers'!$A$2:$E$129,4,FALSE))))</f>
        <v/>
      </c>
      <c r="X203" s="524" t="str">
        <f>IFERROR(IF(E203="","",VLOOKUP(W203, 'G-3 Multipliers'!$P$2:$Q$6,2,FALSE)),"")</f>
        <v/>
      </c>
      <c r="Y203" s="529" t="str">
        <f t="shared" si="17"/>
        <v/>
      </c>
      <c r="Z203" s="239"/>
      <c r="AA203" s="240"/>
      <c r="AE203" s="54" t="str">
        <f t="shared" ref="AE203:AE256" si="19">IFERROR(INDEX(TemporalData,MATCH(F203,TemporalHabitats,0),MATCH($AE$10,TemporalConditions,0)),"")</f>
        <v/>
      </c>
    </row>
    <row r="204" spans="1:31" x14ac:dyDescent="0.25">
      <c r="A204" s="47" t="str">
        <f>IFERROR(INDEX('G-8 Condition Look up'!$I$4:$I$130,MATCH(F204,'G-8 Condition Look up'!$A$4:$A$130,0)),"")</f>
        <v/>
      </c>
      <c r="C204" s="384" t="str">
        <f>IFERROR(INDEX('G-1 All Habitats'!$AG$3:$AG$15,MATCH(D204,'G-1 All Habitats'!$AF$3:$AF$15,0)),"")</f>
        <v/>
      </c>
      <c r="D204" s="146"/>
      <c r="E204" s="79"/>
      <c r="F204" s="246" t="str">
        <f>IFERROR(INDEX('G-1 All Habitats'!$B$3:$B$129,MATCH(E204,'G-1 All Habitats'!$A$3:$A$129,0)),"")</f>
        <v/>
      </c>
      <c r="G204" s="70"/>
      <c r="H204" s="498" t="str">
        <f>IF(F204="","",VLOOKUP(F204,'G-1 All Habitats'!$B$2:$M$129,10,FALSE))</f>
        <v/>
      </c>
      <c r="I204" s="499" t="str">
        <f>IFERROR(VLOOKUP(H204,'G-1 All Habitats'!$V$3:$W$7,2,FALSE),"")</f>
        <v/>
      </c>
      <c r="J204" s="71"/>
      <c r="K204" s="499" t="str">
        <f>IFERROR(INDEX('G-8 Condition Look up'!$A$3:$H$130,MATCH(F204,'G-8 Condition Look up'!$A$3:$A$130,0),MATCH(J204,'G-8 Condition Look up'!$A$3:$H$3,0)),"")</f>
        <v/>
      </c>
      <c r="L204" s="71"/>
      <c r="M204" s="507" t="str">
        <f>IF(L204="","",IF(VLOOKUP(L204,'G-3 Multipliers'!$L$3:$N$6,2,FALSE)=0,"Spatial Data Missing",VLOOKUP(L204,'G-3 Multipliers'!$L$3:$N$6,2,FALSE)))</f>
        <v/>
      </c>
      <c r="N204" s="505" t="str">
        <f>IF(L204="","",IF(VLOOKUP(L204,'G-3 Multipliers'!$L$3:$N$6,3,FALSE)=0,"Spatial Data Missing",VLOOKUP(L204,'G-3 Multipliers'!$L$3:$N$6,3,FALSE)))</f>
        <v/>
      </c>
      <c r="O204" s="498" t="str">
        <f t="shared" si="18"/>
        <v/>
      </c>
      <c r="P204" s="82"/>
      <c r="Q204" s="82"/>
      <c r="R204" s="507"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21"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522" t="str">
        <f>IFERROR(IF(S204="Check Data ⚠","Check Data ⚠",VLOOKUP(S204,'G-4 Temporal multipliers'!$A$4:$C$37,3,FALSE)),"")</f>
        <v/>
      </c>
      <c r="U204" s="523" t="str">
        <f>IF(F204="","",VLOOKUP(F204,'G-3 Multipliers'!$A$2:$E$129,2,FALSE))</f>
        <v/>
      </c>
      <c r="V204" s="520" t="str">
        <f t="shared" ref="V204:V256" si="22">IF(F204="","",IF($R204="Check details - Is there evidence that habitat has reached target condition? ⚠","Low Difficulty - only applicable if all habitat created before losses",IF($R204="Check details - Is there evidence habitat creation started and the threshold for Poor condition reached? ⚠","Enhancement difficulty applied","Standard difficulty applied")))</f>
        <v/>
      </c>
      <c r="W204" s="520" t="str">
        <f>IF(E204="","",IF(AND(V204="Standard difficulty applied",O204&gt;P204),U204,IF(AND(V204="Low Difficulty - only applicable if all habitat created before losses",P204&gt;=O204),"Low",VLOOKUP(F204,'G-3 Multipliers'!$A$2:$E$129,4,FALSE))))</f>
        <v/>
      </c>
      <c r="X204" s="524" t="str">
        <f>IFERROR(IF(E204="","",VLOOKUP(W204, 'G-3 Multipliers'!$P$2:$Q$6,2,FALSE)),"")</f>
        <v/>
      </c>
      <c r="Y204" s="529" t="str">
        <f t="shared" ref="Y204:Y256" si="23">IFERROR(G204*I204*K204*N204*T204*X204,"")</f>
        <v/>
      </c>
      <c r="Z204" s="239"/>
      <c r="AA204" s="240"/>
      <c r="AE204" s="54" t="str">
        <f t="shared" si="19"/>
        <v/>
      </c>
    </row>
    <row r="205" spans="1:31" x14ac:dyDescent="0.25">
      <c r="A205" s="47" t="str">
        <f>IFERROR(INDEX('G-8 Condition Look up'!$I$4:$I$130,MATCH(F205,'G-8 Condition Look up'!$A$4:$A$130,0)),"")</f>
        <v/>
      </c>
      <c r="C205" s="384" t="str">
        <f>IFERROR(INDEX('G-1 All Habitats'!$AG$3:$AG$15,MATCH(D205,'G-1 All Habitats'!$AF$3:$AF$15,0)),"")</f>
        <v/>
      </c>
      <c r="D205" s="146"/>
      <c r="E205" s="79"/>
      <c r="F205" s="246" t="str">
        <f>IFERROR(INDEX('G-1 All Habitats'!$B$3:$B$129,MATCH(E205,'G-1 All Habitats'!$A$3:$A$129,0)),"")</f>
        <v/>
      </c>
      <c r="G205" s="70"/>
      <c r="H205" s="498" t="str">
        <f>IF(F205="","",VLOOKUP(F205,'G-1 All Habitats'!$B$2:$M$129,10,FALSE))</f>
        <v/>
      </c>
      <c r="I205" s="499" t="str">
        <f>IFERROR(VLOOKUP(H205,'G-1 All Habitats'!$V$3:$W$7,2,FALSE),"")</f>
        <v/>
      </c>
      <c r="J205" s="71"/>
      <c r="K205" s="499" t="str">
        <f>IFERROR(INDEX('G-8 Condition Look up'!$A$3:$H$130,MATCH(F205,'G-8 Condition Look up'!$A$3:$A$130,0),MATCH(J205,'G-8 Condition Look up'!$A$3:$H$3,0)),"")</f>
        <v/>
      </c>
      <c r="L205" s="71"/>
      <c r="M205" s="507" t="str">
        <f>IF(L205="","",IF(VLOOKUP(L205,'G-3 Multipliers'!$L$3:$N$6,2,FALSE)=0,"Spatial Data Missing",VLOOKUP(L205,'G-3 Multipliers'!$L$3:$N$6,2,FALSE)))</f>
        <v/>
      </c>
      <c r="N205" s="505" t="str">
        <f>IF(L205="","",IF(VLOOKUP(L205,'G-3 Multipliers'!$L$3:$N$6,3,FALSE)=0,"Spatial Data Missing",VLOOKUP(L205,'G-3 Multipliers'!$L$3:$N$6,3,FALSE)))</f>
        <v/>
      </c>
      <c r="O205" s="498" t="str">
        <f t="shared" si="18"/>
        <v/>
      </c>
      <c r="P205" s="82"/>
      <c r="Q205" s="82"/>
      <c r="R205" s="507" t="str">
        <f t="shared" si="20"/>
        <v/>
      </c>
      <c r="S205" s="521" t="str">
        <f t="shared" si="21"/>
        <v/>
      </c>
      <c r="T205" s="522" t="str">
        <f>IFERROR(IF(S205="Check Data ⚠","Check Data ⚠",VLOOKUP(S205,'G-4 Temporal multipliers'!$A$4:$C$37,3,FALSE)),"")</f>
        <v/>
      </c>
      <c r="U205" s="523" t="str">
        <f>IF(F205="","",VLOOKUP(F205,'G-3 Multipliers'!$A$2:$E$129,2,FALSE))</f>
        <v/>
      </c>
      <c r="V205" s="520" t="str">
        <f t="shared" si="22"/>
        <v/>
      </c>
      <c r="W205" s="520" t="str">
        <f>IF(E205="","",IF(AND(V205="Standard difficulty applied",O205&gt;P205),U205,IF(AND(V205="Low Difficulty - only applicable if all habitat created before losses",P205&gt;=O205),"Low",VLOOKUP(F205,'G-3 Multipliers'!$A$2:$E$129,4,FALSE))))</f>
        <v/>
      </c>
      <c r="X205" s="524" t="str">
        <f>IFERROR(IF(E205="","",VLOOKUP(W205, 'G-3 Multipliers'!$P$2:$Q$6,2,FALSE)),"")</f>
        <v/>
      </c>
      <c r="Y205" s="529" t="str">
        <f t="shared" si="23"/>
        <v/>
      </c>
      <c r="Z205" s="239"/>
      <c r="AA205" s="240"/>
      <c r="AE205" s="54" t="str">
        <f t="shared" si="19"/>
        <v/>
      </c>
    </row>
    <row r="206" spans="1:31" x14ac:dyDescent="0.25">
      <c r="A206" s="47" t="str">
        <f>IFERROR(INDEX('G-8 Condition Look up'!$I$4:$I$130,MATCH(F206,'G-8 Condition Look up'!$A$4:$A$130,0)),"")</f>
        <v/>
      </c>
      <c r="C206" s="384" t="str">
        <f>IFERROR(INDEX('G-1 All Habitats'!$AG$3:$AG$15,MATCH(D206,'G-1 All Habitats'!$AF$3:$AF$15,0)),"")</f>
        <v/>
      </c>
      <c r="D206" s="146"/>
      <c r="E206" s="79"/>
      <c r="F206" s="246" t="str">
        <f>IFERROR(INDEX('G-1 All Habitats'!$B$3:$B$129,MATCH(E206,'G-1 All Habitats'!$A$3:$A$129,0)),"")</f>
        <v/>
      </c>
      <c r="G206" s="70"/>
      <c r="H206" s="498" t="str">
        <f>IF(F206="","",VLOOKUP(F206,'G-1 All Habitats'!$B$2:$M$129,10,FALSE))</f>
        <v/>
      </c>
      <c r="I206" s="499" t="str">
        <f>IFERROR(VLOOKUP(H206,'G-1 All Habitats'!$V$3:$W$7,2,FALSE),"")</f>
        <v/>
      </c>
      <c r="J206" s="71"/>
      <c r="K206" s="499" t="str">
        <f>IFERROR(INDEX('G-8 Condition Look up'!$A$3:$H$130,MATCH(F206,'G-8 Condition Look up'!$A$3:$A$130,0),MATCH(J206,'G-8 Condition Look up'!$A$3:$H$3,0)),"")</f>
        <v/>
      </c>
      <c r="L206" s="71"/>
      <c r="M206" s="507" t="str">
        <f>IF(L206="","",IF(VLOOKUP(L206,'G-3 Multipliers'!$L$3:$N$6,2,FALSE)=0,"Spatial Data Missing",VLOOKUP(L206,'G-3 Multipliers'!$L$3:$N$6,2,FALSE)))</f>
        <v/>
      </c>
      <c r="N206" s="505" t="str">
        <f>IF(L206="","",IF(VLOOKUP(L206,'G-3 Multipliers'!$L$3:$N$6,3,FALSE)=0,"Spatial Data Missing",VLOOKUP(L206,'G-3 Multipliers'!$L$3:$N$6,3,FALSE)))</f>
        <v/>
      </c>
      <c r="O206" s="498" t="str">
        <f t="shared" si="18"/>
        <v/>
      </c>
      <c r="P206" s="82"/>
      <c r="Q206" s="82"/>
      <c r="R206" s="507" t="str">
        <f t="shared" si="20"/>
        <v/>
      </c>
      <c r="S206" s="521" t="str">
        <f t="shared" si="21"/>
        <v/>
      </c>
      <c r="T206" s="522" t="str">
        <f>IFERROR(IF(S206="Check Data ⚠","Check Data ⚠",VLOOKUP(S206,'G-4 Temporal multipliers'!$A$4:$C$37,3,FALSE)),"")</f>
        <v/>
      </c>
      <c r="U206" s="523" t="str">
        <f>IF(F206="","",VLOOKUP(F206,'G-3 Multipliers'!$A$2:$E$129,2,FALSE))</f>
        <v/>
      </c>
      <c r="V206" s="520" t="str">
        <f t="shared" si="22"/>
        <v/>
      </c>
      <c r="W206" s="520" t="str">
        <f>IF(E206="","",IF(AND(V206="Standard difficulty applied",O206&gt;P206),U206,IF(AND(V206="Low Difficulty - only applicable if all habitat created before losses",P206&gt;=O206),"Low",VLOOKUP(F206,'G-3 Multipliers'!$A$2:$E$129,4,FALSE))))</f>
        <v/>
      </c>
      <c r="X206" s="524" t="str">
        <f>IFERROR(IF(E206="","",VLOOKUP(W206, 'G-3 Multipliers'!$P$2:$Q$6,2,FALSE)),"")</f>
        <v/>
      </c>
      <c r="Y206" s="529" t="str">
        <f t="shared" si="23"/>
        <v/>
      </c>
      <c r="Z206" s="239"/>
      <c r="AA206" s="240"/>
      <c r="AE206" s="54" t="str">
        <f t="shared" si="19"/>
        <v/>
      </c>
    </row>
    <row r="207" spans="1:31" x14ac:dyDescent="0.25">
      <c r="A207" s="47" t="str">
        <f>IFERROR(INDEX('G-8 Condition Look up'!$I$4:$I$130,MATCH(F207,'G-8 Condition Look up'!$A$4:$A$130,0)),"")</f>
        <v/>
      </c>
      <c r="C207" s="384" t="str">
        <f>IFERROR(INDEX('G-1 All Habitats'!$AG$3:$AG$15,MATCH(D207,'G-1 All Habitats'!$AF$3:$AF$15,0)),"")</f>
        <v/>
      </c>
      <c r="D207" s="146"/>
      <c r="E207" s="79"/>
      <c r="F207" s="246" t="str">
        <f>IFERROR(INDEX('G-1 All Habitats'!$B$3:$B$129,MATCH(E207,'G-1 All Habitats'!$A$3:$A$129,0)),"")</f>
        <v/>
      </c>
      <c r="G207" s="70"/>
      <c r="H207" s="498" t="str">
        <f>IF(F207="","",VLOOKUP(F207,'G-1 All Habitats'!$B$2:$M$129,10,FALSE))</f>
        <v/>
      </c>
      <c r="I207" s="499" t="str">
        <f>IFERROR(VLOOKUP(H207,'G-1 All Habitats'!$V$3:$W$7,2,FALSE),"")</f>
        <v/>
      </c>
      <c r="J207" s="71"/>
      <c r="K207" s="499" t="str">
        <f>IFERROR(INDEX('G-8 Condition Look up'!$A$3:$H$130,MATCH(F207,'G-8 Condition Look up'!$A$3:$A$130,0),MATCH(J207,'G-8 Condition Look up'!$A$3:$H$3,0)),"")</f>
        <v/>
      </c>
      <c r="L207" s="71"/>
      <c r="M207" s="507" t="str">
        <f>IF(L207="","",IF(VLOOKUP(L207,'G-3 Multipliers'!$L$3:$N$6,2,FALSE)=0,"Spatial Data Missing",VLOOKUP(L207,'G-3 Multipliers'!$L$3:$N$6,2,FALSE)))</f>
        <v/>
      </c>
      <c r="N207" s="505" t="str">
        <f>IF(L207="","",IF(VLOOKUP(L207,'G-3 Multipliers'!$L$3:$N$6,3,FALSE)=0,"Spatial Data Missing",VLOOKUP(L207,'G-3 Multipliers'!$L$3:$N$6,3,FALSE)))</f>
        <v/>
      </c>
      <c r="O207" s="498" t="str">
        <f t="shared" si="18"/>
        <v/>
      </c>
      <c r="P207" s="82"/>
      <c r="Q207" s="82"/>
      <c r="R207" s="507" t="str">
        <f t="shared" si="20"/>
        <v/>
      </c>
      <c r="S207" s="521" t="str">
        <f t="shared" si="21"/>
        <v/>
      </c>
      <c r="T207" s="522" t="str">
        <f>IFERROR(IF(S207="Check Data ⚠","Check Data ⚠",VLOOKUP(S207,'G-4 Temporal multipliers'!$A$4:$C$37,3,FALSE)),"")</f>
        <v/>
      </c>
      <c r="U207" s="523" t="str">
        <f>IF(F207="","",VLOOKUP(F207,'G-3 Multipliers'!$A$2:$E$129,2,FALSE))</f>
        <v/>
      </c>
      <c r="V207" s="520" t="str">
        <f t="shared" si="22"/>
        <v/>
      </c>
      <c r="W207" s="520" t="str">
        <f>IF(E207="","",IF(AND(V207="Standard difficulty applied",O207&gt;P207),U207,IF(AND(V207="Low Difficulty - only applicable if all habitat created before losses",P207&gt;=O207),"Low",VLOOKUP(F207,'G-3 Multipliers'!$A$2:$E$129,4,FALSE))))</f>
        <v/>
      </c>
      <c r="X207" s="524" t="str">
        <f>IFERROR(IF(E207="","",VLOOKUP(W207, 'G-3 Multipliers'!$P$2:$Q$6,2,FALSE)),"")</f>
        <v/>
      </c>
      <c r="Y207" s="529" t="str">
        <f t="shared" si="23"/>
        <v/>
      </c>
      <c r="Z207" s="239"/>
      <c r="AA207" s="240"/>
      <c r="AE207" s="54" t="str">
        <f t="shared" si="19"/>
        <v/>
      </c>
    </row>
    <row r="208" spans="1:31" x14ac:dyDescent="0.25">
      <c r="A208" s="47" t="str">
        <f>IFERROR(INDEX('G-8 Condition Look up'!$I$4:$I$130,MATCH(F208,'G-8 Condition Look up'!$A$4:$A$130,0)),"")</f>
        <v/>
      </c>
      <c r="C208" s="384" t="str">
        <f>IFERROR(INDEX('G-1 All Habitats'!$AG$3:$AG$15,MATCH(D208,'G-1 All Habitats'!$AF$3:$AF$15,0)),"")</f>
        <v/>
      </c>
      <c r="D208" s="146"/>
      <c r="E208" s="79"/>
      <c r="F208" s="246" t="str">
        <f>IFERROR(INDEX('G-1 All Habitats'!$B$3:$B$129,MATCH(E208,'G-1 All Habitats'!$A$3:$A$129,0)),"")</f>
        <v/>
      </c>
      <c r="G208" s="70"/>
      <c r="H208" s="498" t="str">
        <f>IF(F208="","",VLOOKUP(F208,'G-1 All Habitats'!$B$2:$M$129,10,FALSE))</f>
        <v/>
      </c>
      <c r="I208" s="499" t="str">
        <f>IFERROR(VLOOKUP(H208,'G-1 All Habitats'!$V$3:$W$7,2,FALSE),"")</f>
        <v/>
      </c>
      <c r="J208" s="71"/>
      <c r="K208" s="499" t="str">
        <f>IFERROR(INDEX('G-8 Condition Look up'!$A$3:$H$130,MATCH(F208,'G-8 Condition Look up'!$A$3:$A$130,0),MATCH(J208,'G-8 Condition Look up'!$A$3:$H$3,0)),"")</f>
        <v/>
      </c>
      <c r="L208" s="71"/>
      <c r="M208" s="507" t="str">
        <f>IF(L208="","",IF(VLOOKUP(L208,'G-3 Multipliers'!$L$3:$N$6,2,FALSE)=0,"Spatial Data Missing",VLOOKUP(L208,'G-3 Multipliers'!$L$3:$N$6,2,FALSE)))</f>
        <v/>
      </c>
      <c r="N208" s="505" t="str">
        <f>IF(L208="","",IF(VLOOKUP(L208,'G-3 Multipliers'!$L$3:$N$6,3,FALSE)=0,"Spatial Data Missing",VLOOKUP(L208,'G-3 Multipliers'!$L$3:$N$6,3,FALSE)))</f>
        <v/>
      </c>
      <c r="O208" s="498" t="str">
        <f t="shared" si="18"/>
        <v/>
      </c>
      <c r="P208" s="82"/>
      <c r="Q208" s="82"/>
      <c r="R208" s="507" t="str">
        <f t="shared" si="20"/>
        <v/>
      </c>
      <c r="S208" s="521" t="str">
        <f t="shared" si="21"/>
        <v/>
      </c>
      <c r="T208" s="522" t="str">
        <f>IFERROR(IF(S208="Check Data ⚠","Check Data ⚠",VLOOKUP(S208,'G-4 Temporal multipliers'!$A$4:$C$37,3,FALSE)),"")</f>
        <v/>
      </c>
      <c r="U208" s="523" t="str">
        <f>IF(F208="","",VLOOKUP(F208,'G-3 Multipliers'!$A$2:$E$129,2,FALSE))</f>
        <v/>
      </c>
      <c r="V208" s="520" t="str">
        <f t="shared" si="22"/>
        <v/>
      </c>
      <c r="W208" s="520" t="str">
        <f>IF(E208="","",IF(AND(V208="Standard difficulty applied",O208&gt;P208),U208,IF(AND(V208="Low Difficulty - only applicable if all habitat created before losses",P208&gt;=O208),"Low",VLOOKUP(F208,'G-3 Multipliers'!$A$2:$E$129,4,FALSE))))</f>
        <v/>
      </c>
      <c r="X208" s="524" t="str">
        <f>IFERROR(IF(E208="","",VLOOKUP(W208, 'G-3 Multipliers'!$P$2:$Q$6,2,FALSE)),"")</f>
        <v/>
      </c>
      <c r="Y208" s="529" t="str">
        <f t="shared" si="23"/>
        <v/>
      </c>
      <c r="Z208" s="239"/>
      <c r="AA208" s="240"/>
      <c r="AE208" s="54" t="str">
        <f t="shared" si="19"/>
        <v/>
      </c>
    </row>
    <row r="209" spans="1:31" x14ac:dyDescent="0.25">
      <c r="A209" s="47" t="str">
        <f>IFERROR(INDEX('G-8 Condition Look up'!$I$4:$I$130,MATCH(F209,'G-8 Condition Look up'!$A$4:$A$130,0)),"")</f>
        <v/>
      </c>
      <c r="C209" s="384" t="str">
        <f>IFERROR(INDEX('G-1 All Habitats'!$AG$3:$AG$15,MATCH(D209,'G-1 All Habitats'!$AF$3:$AF$15,0)),"")</f>
        <v/>
      </c>
      <c r="D209" s="146"/>
      <c r="E209" s="79"/>
      <c r="F209" s="246" t="str">
        <f>IFERROR(INDEX('G-1 All Habitats'!$B$3:$B$129,MATCH(E209,'G-1 All Habitats'!$A$3:$A$129,0)),"")</f>
        <v/>
      </c>
      <c r="G209" s="70"/>
      <c r="H209" s="498" t="str">
        <f>IF(F209="","",VLOOKUP(F209,'G-1 All Habitats'!$B$2:$M$129,10,FALSE))</f>
        <v/>
      </c>
      <c r="I209" s="499" t="str">
        <f>IFERROR(VLOOKUP(H209,'G-1 All Habitats'!$V$3:$W$7,2,FALSE),"")</f>
        <v/>
      </c>
      <c r="J209" s="71"/>
      <c r="K209" s="499" t="str">
        <f>IFERROR(INDEX('G-8 Condition Look up'!$A$3:$H$130,MATCH(F209,'G-8 Condition Look up'!$A$3:$A$130,0),MATCH(J209,'G-8 Condition Look up'!$A$3:$H$3,0)),"")</f>
        <v/>
      </c>
      <c r="L209" s="71"/>
      <c r="M209" s="507" t="str">
        <f>IF(L209="","",IF(VLOOKUP(L209,'G-3 Multipliers'!$L$3:$N$6,2,FALSE)=0,"Spatial Data Missing",VLOOKUP(L209,'G-3 Multipliers'!$L$3:$N$6,2,FALSE)))</f>
        <v/>
      </c>
      <c r="N209" s="505" t="str">
        <f>IF(L209="","",IF(VLOOKUP(L209,'G-3 Multipliers'!$L$3:$N$6,3,FALSE)=0,"Spatial Data Missing",VLOOKUP(L209,'G-3 Multipliers'!$L$3:$N$6,3,FALSE)))</f>
        <v/>
      </c>
      <c r="O209" s="498" t="str">
        <f t="shared" si="18"/>
        <v/>
      </c>
      <c r="P209" s="82"/>
      <c r="Q209" s="82"/>
      <c r="R209" s="507" t="str">
        <f t="shared" si="20"/>
        <v/>
      </c>
      <c r="S209" s="521" t="str">
        <f t="shared" si="21"/>
        <v/>
      </c>
      <c r="T209" s="522" t="str">
        <f>IFERROR(IF(S209="Check Data ⚠","Check Data ⚠",VLOOKUP(S209,'G-4 Temporal multipliers'!$A$4:$C$37,3,FALSE)),"")</f>
        <v/>
      </c>
      <c r="U209" s="523" t="str">
        <f>IF(F209="","",VLOOKUP(F209,'G-3 Multipliers'!$A$2:$E$129,2,FALSE))</f>
        <v/>
      </c>
      <c r="V209" s="520" t="str">
        <f t="shared" si="22"/>
        <v/>
      </c>
      <c r="W209" s="520" t="str">
        <f>IF(E209="","",IF(AND(V209="Standard difficulty applied",O209&gt;P209),U209,IF(AND(V209="Low Difficulty - only applicable if all habitat created before losses",P209&gt;=O209),"Low",VLOOKUP(F209,'G-3 Multipliers'!$A$2:$E$129,4,FALSE))))</f>
        <v/>
      </c>
      <c r="X209" s="524" t="str">
        <f>IFERROR(IF(E209="","",VLOOKUP(W209, 'G-3 Multipliers'!$P$2:$Q$6,2,FALSE)),"")</f>
        <v/>
      </c>
      <c r="Y209" s="529" t="str">
        <f t="shared" si="23"/>
        <v/>
      </c>
      <c r="Z209" s="239"/>
      <c r="AA209" s="240"/>
      <c r="AE209" s="54" t="str">
        <f t="shared" si="19"/>
        <v/>
      </c>
    </row>
    <row r="210" spans="1:31" x14ac:dyDescent="0.25">
      <c r="A210" s="47" t="str">
        <f>IFERROR(INDEX('G-8 Condition Look up'!$I$4:$I$130,MATCH(F210,'G-8 Condition Look up'!$A$4:$A$130,0)),"")</f>
        <v/>
      </c>
      <c r="C210" s="384" t="str">
        <f>IFERROR(INDEX('G-1 All Habitats'!$AG$3:$AG$15,MATCH(D210,'G-1 All Habitats'!$AF$3:$AF$15,0)),"")</f>
        <v/>
      </c>
      <c r="D210" s="146"/>
      <c r="E210" s="79"/>
      <c r="F210" s="246" t="str">
        <f>IFERROR(INDEX('G-1 All Habitats'!$B$3:$B$129,MATCH(E210,'G-1 All Habitats'!$A$3:$A$129,0)),"")</f>
        <v/>
      </c>
      <c r="G210" s="70"/>
      <c r="H210" s="498" t="str">
        <f>IF(F210="","",VLOOKUP(F210,'G-1 All Habitats'!$B$2:$M$129,10,FALSE))</f>
        <v/>
      </c>
      <c r="I210" s="499" t="str">
        <f>IFERROR(VLOOKUP(H210,'G-1 All Habitats'!$V$3:$W$7,2,FALSE),"")</f>
        <v/>
      </c>
      <c r="J210" s="71"/>
      <c r="K210" s="499" t="str">
        <f>IFERROR(INDEX('G-8 Condition Look up'!$A$3:$H$130,MATCH(F210,'G-8 Condition Look up'!$A$3:$A$130,0),MATCH(J210,'G-8 Condition Look up'!$A$3:$H$3,0)),"")</f>
        <v/>
      </c>
      <c r="L210" s="71"/>
      <c r="M210" s="507" t="str">
        <f>IF(L210="","",IF(VLOOKUP(L210,'G-3 Multipliers'!$L$3:$N$6,2,FALSE)=0,"Spatial Data Missing",VLOOKUP(L210,'G-3 Multipliers'!$L$3:$N$6,2,FALSE)))</f>
        <v/>
      </c>
      <c r="N210" s="505" t="str">
        <f>IF(L210="","",IF(VLOOKUP(L210,'G-3 Multipliers'!$L$3:$N$6,3,FALSE)=0,"Spatial Data Missing",VLOOKUP(L210,'G-3 Multipliers'!$L$3:$N$6,3,FALSE)))</f>
        <v/>
      </c>
      <c r="O210" s="498" t="str">
        <f t="shared" si="18"/>
        <v/>
      </c>
      <c r="P210" s="82"/>
      <c r="Q210" s="82"/>
      <c r="R210" s="507" t="str">
        <f t="shared" si="20"/>
        <v/>
      </c>
      <c r="S210" s="521" t="str">
        <f t="shared" si="21"/>
        <v/>
      </c>
      <c r="T210" s="522" t="str">
        <f>IFERROR(IF(S210="Check Data ⚠","Check Data ⚠",VLOOKUP(S210,'G-4 Temporal multipliers'!$A$4:$C$37,3,FALSE)),"")</f>
        <v/>
      </c>
      <c r="U210" s="523" t="str">
        <f>IF(F210="","",VLOOKUP(F210,'G-3 Multipliers'!$A$2:$E$129,2,FALSE))</f>
        <v/>
      </c>
      <c r="V210" s="520" t="str">
        <f t="shared" si="22"/>
        <v/>
      </c>
      <c r="W210" s="520" t="str">
        <f>IF(E210="","",IF(AND(V210="Standard difficulty applied",O210&gt;P210),U210,IF(AND(V210="Low Difficulty - only applicable if all habitat created before losses",P210&gt;=O210),"Low",VLOOKUP(F210,'G-3 Multipliers'!$A$2:$E$129,4,FALSE))))</f>
        <v/>
      </c>
      <c r="X210" s="524" t="str">
        <f>IFERROR(IF(E210="","",VLOOKUP(W210, 'G-3 Multipliers'!$P$2:$Q$6,2,FALSE)),"")</f>
        <v/>
      </c>
      <c r="Y210" s="529" t="str">
        <f t="shared" si="23"/>
        <v/>
      </c>
      <c r="Z210" s="239"/>
      <c r="AA210" s="240"/>
      <c r="AE210" s="54" t="str">
        <f t="shared" si="19"/>
        <v/>
      </c>
    </row>
    <row r="211" spans="1:31" x14ac:dyDescent="0.25">
      <c r="A211" s="47" t="str">
        <f>IFERROR(INDEX('G-8 Condition Look up'!$I$4:$I$130,MATCH(F211,'G-8 Condition Look up'!$A$4:$A$130,0)),"")</f>
        <v/>
      </c>
      <c r="C211" s="384" t="str">
        <f>IFERROR(INDEX('G-1 All Habitats'!$AG$3:$AG$15,MATCH(D211,'G-1 All Habitats'!$AF$3:$AF$15,0)),"")</f>
        <v/>
      </c>
      <c r="D211" s="146"/>
      <c r="E211" s="79"/>
      <c r="F211" s="246" t="str">
        <f>IFERROR(INDEX('G-1 All Habitats'!$B$3:$B$129,MATCH(E211,'G-1 All Habitats'!$A$3:$A$129,0)),"")</f>
        <v/>
      </c>
      <c r="G211" s="70"/>
      <c r="H211" s="498" t="str">
        <f>IF(F211="","",VLOOKUP(F211,'G-1 All Habitats'!$B$2:$M$129,10,FALSE))</f>
        <v/>
      </c>
      <c r="I211" s="499" t="str">
        <f>IFERROR(VLOOKUP(H211,'G-1 All Habitats'!$V$3:$W$7,2,FALSE),"")</f>
        <v/>
      </c>
      <c r="J211" s="71"/>
      <c r="K211" s="499" t="str">
        <f>IFERROR(INDEX('G-8 Condition Look up'!$A$3:$H$130,MATCH(F211,'G-8 Condition Look up'!$A$3:$A$130,0),MATCH(J211,'G-8 Condition Look up'!$A$3:$H$3,0)),"")</f>
        <v/>
      </c>
      <c r="L211" s="71"/>
      <c r="M211" s="507" t="str">
        <f>IF(L211="","",IF(VLOOKUP(L211,'G-3 Multipliers'!$L$3:$N$6,2,FALSE)=0,"Spatial Data Missing",VLOOKUP(L211,'G-3 Multipliers'!$L$3:$N$6,2,FALSE)))</f>
        <v/>
      </c>
      <c r="N211" s="505" t="str">
        <f>IF(L211="","",IF(VLOOKUP(L211,'G-3 Multipliers'!$L$3:$N$6,3,FALSE)=0,"Spatial Data Missing",VLOOKUP(L211,'G-3 Multipliers'!$L$3:$N$6,3,FALSE)))</f>
        <v/>
      </c>
      <c r="O211" s="498" t="str">
        <f t="shared" si="18"/>
        <v/>
      </c>
      <c r="P211" s="82"/>
      <c r="Q211" s="82"/>
      <c r="R211" s="507" t="str">
        <f t="shared" si="20"/>
        <v/>
      </c>
      <c r="S211" s="521" t="str">
        <f t="shared" si="21"/>
        <v/>
      </c>
      <c r="T211" s="522" t="str">
        <f>IFERROR(IF(S211="Check Data ⚠","Check Data ⚠",VLOOKUP(S211,'G-4 Temporal multipliers'!$A$4:$C$37,3,FALSE)),"")</f>
        <v/>
      </c>
      <c r="U211" s="523" t="str">
        <f>IF(F211="","",VLOOKUP(F211,'G-3 Multipliers'!$A$2:$E$129,2,FALSE))</f>
        <v/>
      </c>
      <c r="V211" s="520" t="str">
        <f t="shared" si="22"/>
        <v/>
      </c>
      <c r="W211" s="520" t="str">
        <f>IF(E211="","",IF(AND(V211="Standard difficulty applied",O211&gt;P211),U211,IF(AND(V211="Low Difficulty - only applicable if all habitat created before losses",P211&gt;=O211),"Low",VLOOKUP(F211,'G-3 Multipliers'!$A$2:$E$129,4,FALSE))))</f>
        <v/>
      </c>
      <c r="X211" s="524" t="str">
        <f>IFERROR(IF(E211="","",VLOOKUP(W211, 'G-3 Multipliers'!$P$2:$Q$6,2,FALSE)),"")</f>
        <v/>
      </c>
      <c r="Y211" s="529" t="str">
        <f t="shared" si="23"/>
        <v/>
      </c>
      <c r="Z211" s="239"/>
      <c r="AA211" s="240"/>
      <c r="AE211" s="54" t="str">
        <f t="shared" si="19"/>
        <v/>
      </c>
    </row>
    <row r="212" spans="1:31" x14ac:dyDescent="0.25">
      <c r="A212" s="47" t="str">
        <f>IFERROR(INDEX('G-8 Condition Look up'!$I$4:$I$130,MATCH(F212,'G-8 Condition Look up'!$A$4:$A$130,0)),"")</f>
        <v/>
      </c>
      <c r="C212" s="384" t="str">
        <f>IFERROR(INDEX('G-1 All Habitats'!$AG$3:$AG$15,MATCH(D212,'G-1 All Habitats'!$AF$3:$AF$15,0)),"")</f>
        <v/>
      </c>
      <c r="D212" s="146"/>
      <c r="E212" s="79"/>
      <c r="F212" s="246" t="str">
        <f>IFERROR(INDEX('G-1 All Habitats'!$B$3:$B$129,MATCH(E212,'G-1 All Habitats'!$A$3:$A$129,0)),"")</f>
        <v/>
      </c>
      <c r="G212" s="70"/>
      <c r="H212" s="498" t="str">
        <f>IF(F212="","",VLOOKUP(F212,'G-1 All Habitats'!$B$2:$M$129,10,FALSE))</f>
        <v/>
      </c>
      <c r="I212" s="499" t="str">
        <f>IFERROR(VLOOKUP(H212,'G-1 All Habitats'!$V$3:$W$7,2,FALSE),"")</f>
        <v/>
      </c>
      <c r="J212" s="71"/>
      <c r="K212" s="499" t="str">
        <f>IFERROR(INDEX('G-8 Condition Look up'!$A$3:$H$130,MATCH(F212,'G-8 Condition Look up'!$A$3:$A$130,0),MATCH(J212,'G-8 Condition Look up'!$A$3:$H$3,0)),"")</f>
        <v/>
      </c>
      <c r="L212" s="71"/>
      <c r="M212" s="507" t="str">
        <f>IF(L212="","",IF(VLOOKUP(L212,'G-3 Multipliers'!$L$3:$N$6,2,FALSE)=0,"Spatial Data Missing",VLOOKUP(L212,'G-3 Multipliers'!$L$3:$N$6,2,FALSE)))</f>
        <v/>
      </c>
      <c r="N212" s="505" t="str">
        <f>IF(L212="","",IF(VLOOKUP(L212,'G-3 Multipliers'!$L$3:$N$6,3,FALSE)=0,"Spatial Data Missing",VLOOKUP(L212,'G-3 Multipliers'!$L$3:$N$6,3,FALSE)))</f>
        <v/>
      </c>
      <c r="O212" s="498" t="str">
        <f t="shared" si="18"/>
        <v/>
      </c>
      <c r="P212" s="82"/>
      <c r="Q212" s="82"/>
      <c r="R212" s="507" t="str">
        <f t="shared" si="20"/>
        <v/>
      </c>
      <c r="S212" s="521" t="str">
        <f t="shared" si="21"/>
        <v/>
      </c>
      <c r="T212" s="522" t="str">
        <f>IFERROR(IF(S212="Check Data ⚠","Check Data ⚠",VLOOKUP(S212,'G-4 Temporal multipliers'!$A$4:$C$37,3,FALSE)),"")</f>
        <v/>
      </c>
      <c r="U212" s="523" t="str">
        <f>IF(F212="","",VLOOKUP(F212,'G-3 Multipliers'!$A$2:$E$129,2,FALSE))</f>
        <v/>
      </c>
      <c r="V212" s="520" t="str">
        <f t="shared" si="22"/>
        <v/>
      </c>
      <c r="W212" s="520" t="str">
        <f>IF(E212="","",IF(AND(V212="Standard difficulty applied",O212&gt;P212),U212,IF(AND(V212="Low Difficulty - only applicable if all habitat created before losses",P212&gt;=O212),"Low",VLOOKUP(F212,'G-3 Multipliers'!$A$2:$E$129,4,FALSE))))</f>
        <v/>
      </c>
      <c r="X212" s="524" t="str">
        <f>IFERROR(IF(E212="","",VLOOKUP(W212, 'G-3 Multipliers'!$P$2:$Q$6,2,FALSE)),"")</f>
        <v/>
      </c>
      <c r="Y212" s="529" t="str">
        <f t="shared" si="23"/>
        <v/>
      </c>
      <c r="Z212" s="239"/>
      <c r="AA212" s="240"/>
      <c r="AE212" s="54" t="str">
        <f t="shared" si="19"/>
        <v/>
      </c>
    </row>
    <row r="213" spans="1:31" x14ac:dyDescent="0.25">
      <c r="A213" s="47" t="str">
        <f>IFERROR(INDEX('G-8 Condition Look up'!$I$4:$I$130,MATCH(F213,'G-8 Condition Look up'!$A$4:$A$130,0)),"")</f>
        <v/>
      </c>
      <c r="C213" s="384" t="str">
        <f>IFERROR(INDEX('G-1 All Habitats'!$AG$3:$AG$15,MATCH(D213,'G-1 All Habitats'!$AF$3:$AF$15,0)),"")</f>
        <v/>
      </c>
      <c r="D213" s="146"/>
      <c r="E213" s="79"/>
      <c r="F213" s="246" t="str">
        <f>IFERROR(INDEX('G-1 All Habitats'!$B$3:$B$129,MATCH(E213,'G-1 All Habitats'!$A$3:$A$129,0)),"")</f>
        <v/>
      </c>
      <c r="G213" s="70"/>
      <c r="H213" s="498" t="str">
        <f>IF(F213="","",VLOOKUP(F213,'G-1 All Habitats'!$B$2:$M$129,10,FALSE))</f>
        <v/>
      </c>
      <c r="I213" s="499" t="str">
        <f>IFERROR(VLOOKUP(H213,'G-1 All Habitats'!$V$3:$W$7,2,FALSE),"")</f>
        <v/>
      </c>
      <c r="J213" s="71"/>
      <c r="K213" s="499" t="str">
        <f>IFERROR(INDEX('G-8 Condition Look up'!$A$3:$H$130,MATCH(F213,'G-8 Condition Look up'!$A$3:$A$130,0),MATCH(J213,'G-8 Condition Look up'!$A$3:$H$3,0)),"")</f>
        <v/>
      </c>
      <c r="L213" s="71"/>
      <c r="M213" s="507" t="str">
        <f>IF(L213="","",IF(VLOOKUP(L213,'G-3 Multipliers'!$L$3:$N$6,2,FALSE)=0,"Spatial Data Missing",VLOOKUP(L213,'G-3 Multipliers'!$L$3:$N$6,2,FALSE)))</f>
        <v/>
      </c>
      <c r="N213" s="505" t="str">
        <f>IF(L213="","",IF(VLOOKUP(L213,'G-3 Multipliers'!$L$3:$N$6,3,FALSE)=0,"Spatial Data Missing",VLOOKUP(L213,'G-3 Multipliers'!$L$3:$N$6,3,FALSE)))</f>
        <v/>
      </c>
      <c r="O213" s="498" t="str">
        <f t="shared" si="18"/>
        <v/>
      </c>
      <c r="P213" s="82"/>
      <c r="Q213" s="82"/>
      <c r="R213" s="507" t="str">
        <f t="shared" si="20"/>
        <v/>
      </c>
      <c r="S213" s="521" t="str">
        <f t="shared" si="21"/>
        <v/>
      </c>
      <c r="T213" s="522" t="str">
        <f>IFERROR(IF(S213="Check Data ⚠","Check Data ⚠",VLOOKUP(S213,'G-4 Temporal multipliers'!$A$4:$C$37,3,FALSE)),"")</f>
        <v/>
      </c>
      <c r="U213" s="523" t="str">
        <f>IF(F213="","",VLOOKUP(F213,'G-3 Multipliers'!$A$2:$E$129,2,FALSE))</f>
        <v/>
      </c>
      <c r="V213" s="520" t="str">
        <f t="shared" si="22"/>
        <v/>
      </c>
      <c r="W213" s="520" t="str">
        <f>IF(E213="","",IF(AND(V213="Standard difficulty applied",O213&gt;P213),U213,IF(AND(V213="Low Difficulty - only applicable if all habitat created before losses",P213&gt;=O213),"Low",VLOOKUP(F213,'G-3 Multipliers'!$A$2:$E$129,4,FALSE))))</f>
        <v/>
      </c>
      <c r="X213" s="524" t="str">
        <f>IFERROR(IF(E213="","",VLOOKUP(W213, 'G-3 Multipliers'!$P$2:$Q$6,2,FALSE)),"")</f>
        <v/>
      </c>
      <c r="Y213" s="529" t="str">
        <f t="shared" si="23"/>
        <v/>
      </c>
      <c r="Z213" s="239"/>
      <c r="AA213" s="240"/>
      <c r="AE213" s="54" t="str">
        <f t="shared" si="19"/>
        <v/>
      </c>
    </row>
    <row r="214" spans="1:31" x14ac:dyDescent="0.25">
      <c r="A214" s="47" t="str">
        <f>IFERROR(INDEX('G-8 Condition Look up'!$I$4:$I$130,MATCH(F214,'G-8 Condition Look up'!$A$4:$A$130,0)),"")</f>
        <v/>
      </c>
      <c r="C214" s="384" t="str">
        <f>IFERROR(INDEX('G-1 All Habitats'!$AG$3:$AG$15,MATCH(D214,'G-1 All Habitats'!$AF$3:$AF$15,0)),"")</f>
        <v/>
      </c>
      <c r="D214" s="146"/>
      <c r="E214" s="79"/>
      <c r="F214" s="246" t="str">
        <f>IFERROR(INDEX('G-1 All Habitats'!$B$3:$B$129,MATCH(E214,'G-1 All Habitats'!$A$3:$A$129,0)),"")</f>
        <v/>
      </c>
      <c r="G214" s="70"/>
      <c r="H214" s="498" t="str">
        <f>IF(F214="","",VLOOKUP(F214,'G-1 All Habitats'!$B$2:$M$129,10,FALSE))</f>
        <v/>
      </c>
      <c r="I214" s="499" t="str">
        <f>IFERROR(VLOOKUP(H214,'G-1 All Habitats'!$V$3:$W$7,2,FALSE),"")</f>
        <v/>
      </c>
      <c r="J214" s="71"/>
      <c r="K214" s="499" t="str">
        <f>IFERROR(INDEX('G-8 Condition Look up'!$A$3:$H$130,MATCH(F214,'G-8 Condition Look up'!$A$3:$A$130,0),MATCH(J214,'G-8 Condition Look up'!$A$3:$H$3,0)),"")</f>
        <v/>
      </c>
      <c r="L214" s="71"/>
      <c r="M214" s="507" t="str">
        <f>IF(L214="","",IF(VLOOKUP(L214,'G-3 Multipliers'!$L$3:$N$6,2,FALSE)=0,"Spatial Data Missing",VLOOKUP(L214,'G-3 Multipliers'!$L$3:$N$6,2,FALSE)))</f>
        <v/>
      </c>
      <c r="N214" s="505" t="str">
        <f>IF(L214="","",IF(VLOOKUP(L214,'G-3 Multipliers'!$L$3:$N$6,3,FALSE)=0,"Spatial Data Missing",VLOOKUP(L214,'G-3 Multipliers'!$L$3:$N$6,3,FALSE)))</f>
        <v/>
      </c>
      <c r="O214" s="498" t="str">
        <f t="shared" si="18"/>
        <v/>
      </c>
      <c r="P214" s="82"/>
      <c r="Q214" s="82"/>
      <c r="R214" s="507" t="str">
        <f t="shared" si="20"/>
        <v/>
      </c>
      <c r="S214" s="521" t="str">
        <f t="shared" si="21"/>
        <v/>
      </c>
      <c r="T214" s="522" t="str">
        <f>IFERROR(IF(S214="Check Data ⚠","Check Data ⚠",VLOOKUP(S214,'G-4 Temporal multipliers'!$A$4:$C$37,3,FALSE)),"")</f>
        <v/>
      </c>
      <c r="U214" s="523" t="str">
        <f>IF(F214="","",VLOOKUP(F214,'G-3 Multipliers'!$A$2:$E$129,2,FALSE))</f>
        <v/>
      </c>
      <c r="V214" s="520" t="str">
        <f t="shared" si="22"/>
        <v/>
      </c>
      <c r="W214" s="520" t="str">
        <f>IF(E214="","",IF(AND(V214="Standard difficulty applied",O214&gt;P214),U214,IF(AND(V214="Low Difficulty - only applicable if all habitat created before losses",P214&gt;=O214),"Low",VLOOKUP(F214,'G-3 Multipliers'!$A$2:$E$129,4,FALSE))))</f>
        <v/>
      </c>
      <c r="X214" s="524" t="str">
        <f>IFERROR(IF(E214="","",VLOOKUP(W214, 'G-3 Multipliers'!$P$2:$Q$6,2,FALSE)),"")</f>
        <v/>
      </c>
      <c r="Y214" s="529" t="str">
        <f t="shared" si="23"/>
        <v/>
      </c>
      <c r="Z214" s="239"/>
      <c r="AA214" s="240"/>
      <c r="AE214" s="54" t="str">
        <f t="shared" si="19"/>
        <v/>
      </c>
    </row>
    <row r="215" spans="1:31" x14ac:dyDescent="0.25">
      <c r="A215" s="47" t="str">
        <f>IFERROR(INDEX('G-8 Condition Look up'!$I$4:$I$130,MATCH(F215,'G-8 Condition Look up'!$A$4:$A$130,0)),"")</f>
        <v/>
      </c>
      <c r="C215" s="384" t="str">
        <f>IFERROR(INDEX('G-1 All Habitats'!$AG$3:$AG$15,MATCH(D215,'G-1 All Habitats'!$AF$3:$AF$15,0)),"")</f>
        <v/>
      </c>
      <c r="D215" s="146"/>
      <c r="E215" s="79"/>
      <c r="F215" s="246" t="str">
        <f>IFERROR(INDEX('G-1 All Habitats'!$B$3:$B$129,MATCH(E215,'G-1 All Habitats'!$A$3:$A$129,0)),"")</f>
        <v/>
      </c>
      <c r="G215" s="70"/>
      <c r="H215" s="498" t="str">
        <f>IF(F215="","",VLOOKUP(F215,'G-1 All Habitats'!$B$2:$M$129,10,FALSE))</f>
        <v/>
      </c>
      <c r="I215" s="499" t="str">
        <f>IFERROR(VLOOKUP(H215,'G-1 All Habitats'!$V$3:$W$7,2,FALSE),"")</f>
        <v/>
      </c>
      <c r="J215" s="71"/>
      <c r="K215" s="499" t="str">
        <f>IFERROR(INDEX('G-8 Condition Look up'!$A$3:$H$130,MATCH(F215,'G-8 Condition Look up'!$A$3:$A$130,0),MATCH(J215,'G-8 Condition Look up'!$A$3:$H$3,0)),"")</f>
        <v/>
      </c>
      <c r="L215" s="71"/>
      <c r="M215" s="507" t="str">
        <f>IF(L215="","",IF(VLOOKUP(L215,'G-3 Multipliers'!$L$3:$N$6,2,FALSE)=0,"Spatial Data Missing",VLOOKUP(L215,'G-3 Multipliers'!$L$3:$N$6,2,FALSE)))</f>
        <v/>
      </c>
      <c r="N215" s="505" t="str">
        <f>IF(L215="","",IF(VLOOKUP(L215,'G-3 Multipliers'!$L$3:$N$6,3,FALSE)=0,"Spatial Data Missing",VLOOKUP(L215,'G-3 Multipliers'!$L$3:$N$6,3,FALSE)))</f>
        <v/>
      </c>
      <c r="O215" s="498" t="str">
        <f t="shared" si="18"/>
        <v/>
      </c>
      <c r="P215" s="82"/>
      <c r="Q215" s="82"/>
      <c r="R215" s="507" t="str">
        <f t="shared" si="20"/>
        <v/>
      </c>
      <c r="S215" s="521" t="str">
        <f t="shared" si="21"/>
        <v/>
      </c>
      <c r="T215" s="522" t="str">
        <f>IFERROR(IF(S215="Check Data ⚠","Check Data ⚠",VLOOKUP(S215,'G-4 Temporal multipliers'!$A$4:$C$37,3,FALSE)),"")</f>
        <v/>
      </c>
      <c r="U215" s="523" t="str">
        <f>IF(F215="","",VLOOKUP(F215,'G-3 Multipliers'!$A$2:$E$129,2,FALSE))</f>
        <v/>
      </c>
      <c r="V215" s="520" t="str">
        <f t="shared" si="22"/>
        <v/>
      </c>
      <c r="W215" s="520" t="str">
        <f>IF(E215="","",IF(AND(V215="Standard difficulty applied",O215&gt;P215),U215,IF(AND(V215="Low Difficulty - only applicable if all habitat created before losses",P215&gt;=O215),"Low",VLOOKUP(F215,'G-3 Multipliers'!$A$2:$E$129,4,FALSE))))</f>
        <v/>
      </c>
      <c r="X215" s="524" t="str">
        <f>IFERROR(IF(E215="","",VLOOKUP(W215, 'G-3 Multipliers'!$P$2:$Q$6,2,FALSE)),"")</f>
        <v/>
      </c>
      <c r="Y215" s="529" t="str">
        <f t="shared" si="23"/>
        <v/>
      </c>
      <c r="Z215" s="239"/>
      <c r="AA215" s="240"/>
      <c r="AE215" s="54" t="str">
        <f t="shared" si="19"/>
        <v/>
      </c>
    </row>
    <row r="216" spans="1:31" x14ac:dyDescent="0.25">
      <c r="A216" s="47" t="str">
        <f>IFERROR(INDEX('G-8 Condition Look up'!$I$4:$I$130,MATCH(F216,'G-8 Condition Look up'!$A$4:$A$130,0)),"")</f>
        <v/>
      </c>
      <c r="C216" s="384" t="str">
        <f>IFERROR(INDEX('G-1 All Habitats'!$AG$3:$AG$15,MATCH(D216,'G-1 All Habitats'!$AF$3:$AF$15,0)),"")</f>
        <v/>
      </c>
      <c r="D216" s="146"/>
      <c r="E216" s="79"/>
      <c r="F216" s="246" t="str">
        <f>IFERROR(INDEX('G-1 All Habitats'!$B$3:$B$129,MATCH(E216,'G-1 All Habitats'!$A$3:$A$129,0)),"")</f>
        <v/>
      </c>
      <c r="G216" s="70"/>
      <c r="H216" s="498" t="str">
        <f>IF(F216="","",VLOOKUP(F216,'G-1 All Habitats'!$B$2:$M$129,10,FALSE))</f>
        <v/>
      </c>
      <c r="I216" s="499" t="str">
        <f>IFERROR(VLOOKUP(H216,'G-1 All Habitats'!$V$3:$W$7,2,FALSE),"")</f>
        <v/>
      </c>
      <c r="J216" s="71"/>
      <c r="K216" s="499" t="str">
        <f>IFERROR(INDEX('G-8 Condition Look up'!$A$3:$H$130,MATCH(F216,'G-8 Condition Look up'!$A$3:$A$130,0),MATCH(J216,'G-8 Condition Look up'!$A$3:$H$3,0)),"")</f>
        <v/>
      </c>
      <c r="L216" s="71"/>
      <c r="M216" s="507" t="str">
        <f>IF(L216="","",IF(VLOOKUP(L216,'G-3 Multipliers'!$L$3:$N$6,2,FALSE)=0,"Spatial Data Missing",VLOOKUP(L216,'G-3 Multipliers'!$L$3:$N$6,2,FALSE)))</f>
        <v/>
      </c>
      <c r="N216" s="505" t="str">
        <f>IF(L216="","",IF(VLOOKUP(L216,'G-3 Multipliers'!$L$3:$N$6,3,FALSE)=0,"Spatial Data Missing",VLOOKUP(L216,'G-3 Multipliers'!$L$3:$N$6,3,FALSE)))</f>
        <v/>
      </c>
      <c r="O216" s="498" t="str">
        <f t="shared" si="18"/>
        <v/>
      </c>
      <c r="P216" s="82"/>
      <c r="Q216" s="82"/>
      <c r="R216" s="507" t="str">
        <f t="shared" si="20"/>
        <v/>
      </c>
      <c r="S216" s="521" t="str">
        <f t="shared" si="21"/>
        <v/>
      </c>
      <c r="T216" s="522" t="str">
        <f>IFERROR(IF(S216="Check Data ⚠","Check Data ⚠",VLOOKUP(S216,'G-4 Temporal multipliers'!$A$4:$C$37,3,FALSE)),"")</f>
        <v/>
      </c>
      <c r="U216" s="523" t="str">
        <f>IF(F216="","",VLOOKUP(F216,'G-3 Multipliers'!$A$2:$E$129,2,FALSE))</f>
        <v/>
      </c>
      <c r="V216" s="520" t="str">
        <f t="shared" si="22"/>
        <v/>
      </c>
      <c r="W216" s="520" t="str">
        <f>IF(E216="","",IF(AND(V216="Standard difficulty applied",O216&gt;P216),U216,IF(AND(V216="Low Difficulty - only applicable if all habitat created before losses",P216&gt;=O216),"Low",VLOOKUP(F216,'G-3 Multipliers'!$A$2:$E$129,4,FALSE))))</f>
        <v/>
      </c>
      <c r="X216" s="524" t="str">
        <f>IFERROR(IF(E216="","",VLOOKUP(W216, 'G-3 Multipliers'!$P$2:$Q$6,2,FALSE)),"")</f>
        <v/>
      </c>
      <c r="Y216" s="529" t="str">
        <f t="shared" si="23"/>
        <v/>
      </c>
      <c r="Z216" s="239"/>
      <c r="AA216" s="240"/>
      <c r="AE216" s="54" t="str">
        <f t="shared" si="19"/>
        <v/>
      </c>
    </row>
    <row r="217" spans="1:31" x14ac:dyDescent="0.25">
      <c r="A217" s="47" t="str">
        <f>IFERROR(INDEX('G-8 Condition Look up'!$I$4:$I$130,MATCH(F217,'G-8 Condition Look up'!$A$4:$A$130,0)),"")</f>
        <v/>
      </c>
      <c r="C217" s="384" t="str">
        <f>IFERROR(INDEX('G-1 All Habitats'!$AG$3:$AG$15,MATCH(D217,'G-1 All Habitats'!$AF$3:$AF$15,0)),"")</f>
        <v/>
      </c>
      <c r="D217" s="146"/>
      <c r="E217" s="79"/>
      <c r="F217" s="246" t="str">
        <f>IFERROR(INDEX('G-1 All Habitats'!$B$3:$B$129,MATCH(E217,'G-1 All Habitats'!$A$3:$A$129,0)),"")</f>
        <v/>
      </c>
      <c r="G217" s="70"/>
      <c r="H217" s="498" t="str">
        <f>IF(F217="","",VLOOKUP(F217,'G-1 All Habitats'!$B$2:$M$129,10,FALSE))</f>
        <v/>
      </c>
      <c r="I217" s="499" t="str">
        <f>IFERROR(VLOOKUP(H217,'G-1 All Habitats'!$V$3:$W$7,2,FALSE),"")</f>
        <v/>
      </c>
      <c r="J217" s="71"/>
      <c r="K217" s="499" t="str">
        <f>IFERROR(INDEX('G-8 Condition Look up'!$A$3:$H$130,MATCH(F217,'G-8 Condition Look up'!$A$3:$A$130,0),MATCH(J217,'G-8 Condition Look up'!$A$3:$H$3,0)),"")</f>
        <v/>
      </c>
      <c r="L217" s="71"/>
      <c r="M217" s="507" t="str">
        <f>IF(L217="","",IF(VLOOKUP(L217,'G-3 Multipliers'!$L$3:$N$6,2,FALSE)=0,"Spatial Data Missing",VLOOKUP(L217,'G-3 Multipliers'!$L$3:$N$6,2,FALSE)))</f>
        <v/>
      </c>
      <c r="N217" s="505" t="str">
        <f>IF(L217="","",IF(VLOOKUP(L217,'G-3 Multipliers'!$L$3:$N$6,3,FALSE)=0,"Spatial Data Missing",VLOOKUP(L217,'G-3 Multipliers'!$L$3:$N$6,3,FALSE)))</f>
        <v/>
      </c>
      <c r="O217" s="498" t="str">
        <f t="shared" si="18"/>
        <v/>
      </c>
      <c r="P217" s="82"/>
      <c r="Q217" s="82"/>
      <c r="R217" s="507" t="str">
        <f t="shared" si="20"/>
        <v/>
      </c>
      <c r="S217" s="521" t="str">
        <f t="shared" si="21"/>
        <v/>
      </c>
      <c r="T217" s="522" t="str">
        <f>IFERROR(IF(S217="Check Data ⚠","Check Data ⚠",VLOOKUP(S217,'G-4 Temporal multipliers'!$A$4:$C$37,3,FALSE)),"")</f>
        <v/>
      </c>
      <c r="U217" s="523" t="str">
        <f>IF(F217="","",VLOOKUP(F217,'G-3 Multipliers'!$A$2:$E$129,2,FALSE))</f>
        <v/>
      </c>
      <c r="V217" s="520" t="str">
        <f t="shared" si="22"/>
        <v/>
      </c>
      <c r="W217" s="520" t="str">
        <f>IF(E217="","",IF(AND(V217="Standard difficulty applied",O217&gt;P217),U217,IF(AND(V217="Low Difficulty - only applicable if all habitat created before losses",P217&gt;=O217),"Low",VLOOKUP(F217,'G-3 Multipliers'!$A$2:$E$129,4,FALSE))))</f>
        <v/>
      </c>
      <c r="X217" s="524" t="str">
        <f>IFERROR(IF(E217="","",VLOOKUP(W217, 'G-3 Multipliers'!$P$2:$Q$6,2,FALSE)),"")</f>
        <v/>
      </c>
      <c r="Y217" s="529" t="str">
        <f t="shared" si="23"/>
        <v/>
      </c>
      <c r="Z217" s="239"/>
      <c r="AA217" s="240"/>
      <c r="AE217" s="54" t="str">
        <f t="shared" si="19"/>
        <v/>
      </c>
    </row>
    <row r="218" spans="1:31" x14ac:dyDescent="0.25">
      <c r="A218" s="47" t="str">
        <f>IFERROR(INDEX('G-8 Condition Look up'!$I$4:$I$130,MATCH(F218,'G-8 Condition Look up'!$A$4:$A$130,0)),"")</f>
        <v/>
      </c>
      <c r="C218" s="384" t="str">
        <f>IFERROR(INDEX('G-1 All Habitats'!$AG$3:$AG$15,MATCH(D218,'G-1 All Habitats'!$AF$3:$AF$15,0)),"")</f>
        <v/>
      </c>
      <c r="D218" s="146"/>
      <c r="E218" s="79"/>
      <c r="F218" s="246" t="str">
        <f>IFERROR(INDEX('G-1 All Habitats'!$B$3:$B$129,MATCH(E218,'G-1 All Habitats'!$A$3:$A$129,0)),"")</f>
        <v/>
      </c>
      <c r="G218" s="70"/>
      <c r="H218" s="498" t="str">
        <f>IF(F218="","",VLOOKUP(F218,'G-1 All Habitats'!$B$2:$M$129,10,FALSE))</f>
        <v/>
      </c>
      <c r="I218" s="499" t="str">
        <f>IFERROR(VLOOKUP(H218,'G-1 All Habitats'!$V$3:$W$7,2,FALSE),"")</f>
        <v/>
      </c>
      <c r="J218" s="71"/>
      <c r="K218" s="499" t="str">
        <f>IFERROR(INDEX('G-8 Condition Look up'!$A$3:$H$130,MATCH(F218,'G-8 Condition Look up'!$A$3:$A$130,0),MATCH(J218,'G-8 Condition Look up'!$A$3:$H$3,0)),"")</f>
        <v/>
      </c>
      <c r="L218" s="71"/>
      <c r="M218" s="507" t="str">
        <f>IF(L218="","",IF(VLOOKUP(L218,'G-3 Multipliers'!$L$3:$N$6,2,FALSE)=0,"Spatial Data Missing",VLOOKUP(L218,'G-3 Multipliers'!$L$3:$N$6,2,FALSE)))</f>
        <v/>
      </c>
      <c r="N218" s="505" t="str">
        <f>IF(L218="","",IF(VLOOKUP(L218,'G-3 Multipliers'!$L$3:$N$6,3,FALSE)=0,"Spatial Data Missing",VLOOKUP(L218,'G-3 Multipliers'!$L$3:$N$6,3,FALSE)))</f>
        <v/>
      </c>
      <c r="O218" s="498" t="str">
        <f t="shared" si="18"/>
        <v/>
      </c>
      <c r="P218" s="82"/>
      <c r="Q218" s="82"/>
      <c r="R218" s="507" t="str">
        <f t="shared" si="20"/>
        <v/>
      </c>
      <c r="S218" s="521" t="str">
        <f t="shared" si="21"/>
        <v/>
      </c>
      <c r="T218" s="522" t="str">
        <f>IFERROR(IF(S218="Check Data ⚠","Check Data ⚠",VLOOKUP(S218,'G-4 Temporal multipliers'!$A$4:$C$37,3,FALSE)),"")</f>
        <v/>
      </c>
      <c r="U218" s="523" t="str">
        <f>IF(F218="","",VLOOKUP(F218,'G-3 Multipliers'!$A$2:$E$129,2,FALSE))</f>
        <v/>
      </c>
      <c r="V218" s="520" t="str">
        <f t="shared" si="22"/>
        <v/>
      </c>
      <c r="W218" s="520" t="str">
        <f>IF(E218="","",IF(AND(V218="Standard difficulty applied",O218&gt;P218),U218,IF(AND(V218="Low Difficulty - only applicable if all habitat created before losses",P218&gt;=O218),"Low",VLOOKUP(F218,'G-3 Multipliers'!$A$2:$E$129,4,FALSE))))</f>
        <v/>
      </c>
      <c r="X218" s="524" t="str">
        <f>IFERROR(IF(E218="","",VLOOKUP(W218, 'G-3 Multipliers'!$P$2:$Q$6,2,FALSE)),"")</f>
        <v/>
      </c>
      <c r="Y218" s="529" t="str">
        <f t="shared" si="23"/>
        <v/>
      </c>
      <c r="Z218" s="239"/>
      <c r="AA218" s="240"/>
      <c r="AE218" s="54" t="str">
        <f t="shared" si="19"/>
        <v/>
      </c>
    </row>
    <row r="219" spans="1:31" x14ac:dyDescent="0.25">
      <c r="A219" s="47" t="str">
        <f>IFERROR(INDEX('G-8 Condition Look up'!$I$4:$I$130,MATCH(F219,'G-8 Condition Look up'!$A$4:$A$130,0)),"")</f>
        <v/>
      </c>
      <c r="C219" s="384" t="str">
        <f>IFERROR(INDEX('G-1 All Habitats'!$AG$3:$AG$15,MATCH(D219,'G-1 All Habitats'!$AF$3:$AF$15,0)),"")</f>
        <v/>
      </c>
      <c r="D219" s="146"/>
      <c r="E219" s="79"/>
      <c r="F219" s="246" t="str">
        <f>IFERROR(INDEX('G-1 All Habitats'!$B$3:$B$129,MATCH(E219,'G-1 All Habitats'!$A$3:$A$129,0)),"")</f>
        <v/>
      </c>
      <c r="G219" s="70"/>
      <c r="H219" s="498" t="str">
        <f>IF(F219="","",VLOOKUP(F219,'G-1 All Habitats'!$B$2:$M$129,10,FALSE))</f>
        <v/>
      </c>
      <c r="I219" s="499" t="str">
        <f>IFERROR(VLOOKUP(H219,'G-1 All Habitats'!$V$3:$W$7,2,FALSE),"")</f>
        <v/>
      </c>
      <c r="J219" s="71"/>
      <c r="K219" s="499" t="str">
        <f>IFERROR(INDEX('G-8 Condition Look up'!$A$3:$H$130,MATCH(F219,'G-8 Condition Look up'!$A$3:$A$130,0),MATCH(J219,'G-8 Condition Look up'!$A$3:$H$3,0)),"")</f>
        <v/>
      </c>
      <c r="L219" s="71"/>
      <c r="M219" s="507" t="str">
        <f>IF(L219="","",IF(VLOOKUP(L219,'G-3 Multipliers'!$L$3:$N$6,2,FALSE)=0,"Spatial Data Missing",VLOOKUP(L219,'G-3 Multipliers'!$L$3:$N$6,2,FALSE)))</f>
        <v/>
      </c>
      <c r="N219" s="505" t="str">
        <f>IF(L219="","",IF(VLOOKUP(L219,'G-3 Multipliers'!$L$3:$N$6,3,FALSE)=0,"Spatial Data Missing",VLOOKUP(L219,'G-3 Multipliers'!$L$3:$N$6,3,FALSE)))</f>
        <v/>
      </c>
      <c r="O219" s="498" t="str">
        <f t="shared" si="18"/>
        <v/>
      </c>
      <c r="P219" s="82"/>
      <c r="Q219" s="82"/>
      <c r="R219" s="507" t="str">
        <f t="shared" si="20"/>
        <v/>
      </c>
      <c r="S219" s="521" t="str">
        <f t="shared" si="21"/>
        <v/>
      </c>
      <c r="T219" s="522" t="str">
        <f>IFERROR(IF(S219="Check Data ⚠","Check Data ⚠",VLOOKUP(S219,'G-4 Temporal multipliers'!$A$4:$C$37,3,FALSE)),"")</f>
        <v/>
      </c>
      <c r="U219" s="523" t="str">
        <f>IF(F219="","",VLOOKUP(F219,'G-3 Multipliers'!$A$2:$E$129,2,FALSE))</f>
        <v/>
      </c>
      <c r="V219" s="520" t="str">
        <f t="shared" si="22"/>
        <v/>
      </c>
      <c r="W219" s="520" t="str">
        <f>IF(E219="","",IF(AND(V219="Standard difficulty applied",O219&gt;P219),U219,IF(AND(V219="Low Difficulty - only applicable if all habitat created before losses",P219&gt;=O219),"Low",VLOOKUP(F219,'G-3 Multipliers'!$A$2:$E$129,4,FALSE))))</f>
        <v/>
      </c>
      <c r="X219" s="524" t="str">
        <f>IFERROR(IF(E219="","",VLOOKUP(W219, 'G-3 Multipliers'!$P$2:$Q$6,2,FALSE)),"")</f>
        <v/>
      </c>
      <c r="Y219" s="529" t="str">
        <f t="shared" si="23"/>
        <v/>
      </c>
      <c r="Z219" s="239"/>
      <c r="AA219" s="240"/>
      <c r="AE219" s="54" t="str">
        <f t="shared" si="19"/>
        <v/>
      </c>
    </row>
    <row r="220" spans="1:31" x14ac:dyDescent="0.25">
      <c r="A220" s="47" t="str">
        <f>IFERROR(INDEX('G-8 Condition Look up'!$I$4:$I$130,MATCH(F220,'G-8 Condition Look up'!$A$4:$A$130,0)),"")</f>
        <v/>
      </c>
      <c r="C220" s="384" t="str">
        <f>IFERROR(INDEX('G-1 All Habitats'!$AG$3:$AG$15,MATCH(D220,'G-1 All Habitats'!$AF$3:$AF$15,0)),"")</f>
        <v/>
      </c>
      <c r="D220" s="146"/>
      <c r="E220" s="79"/>
      <c r="F220" s="246" t="str">
        <f>IFERROR(INDEX('G-1 All Habitats'!$B$3:$B$129,MATCH(E220,'G-1 All Habitats'!$A$3:$A$129,0)),"")</f>
        <v/>
      </c>
      <c r="G220" s="70"/>
      <c r="H220" s="498" t="str">
        <f>IF(F220="","",VLOOKUP(F220,'G-1 All Habitats'!$B$2:$M$129,10,FALSE))</f>
        <v/>
      </c>
      <c r="I220" s="499" t="str">
        <f>IFERROR(VLOOKUP(H220,'G-1 All Habitats'!$V$3:$W$7,2,FALSE),"")</f>
        <v/>
      </c>
      <c r="J220" s="71"/>
      <c r="K220" s="499" t="str">
        <f>IFERROR(INDEX('G-8 Condition Look up'!$A$3:$H$130,MATCH(F220,'G-8 Condition Look up'!$A$3:$A$130,0),MATCH(J220,'G-8 Condition Look up'!$A$3:$H$3,0)),"")</f>
        <v/>
      </c>
      <c r="L220" s="71"/>
      <c r="M220" s="507" t="str">
        <f>IF(L220="","",IF(VLOOKUP(L220,'G-3 Multipliers'!$L$3:$N$6,2,FALSE)=0,"Spatial Data Missing",VLOOKUP(L220,'G-3 Multipliers'!$L$3:$N$6,2,FALSE)))</f>
        <v/>
      </c>
      <c r="N220" s="505" t="str">
        <f>IF(L220="","",IF(VLOOKUP(L220,'G-3 Multipliers'!$L$3:$N$6,3,FALSE)=0,"Spatial Data Missing",VLOOKUP(L220,'G-3 Multipliers'!$L$3:$N$6,3,FALSE)))</f>
        <v/>
      </c>
      <c r="O220" s="498" t="str">
        <f t="shared" si="18"/>
        <v/>
      </c>
      <c r="P220" s="82"/>
      <c r="Q220" s="82"/>
      <c r="R220" s="507" t="str">
        <f t="shared" si="20"/>
        <v/>
      </c>
      <c r="S220" s="521" t="str">
        <f t="shared" si="21"/>
        <v/>
      </c>
      <c r="T220" s="522" t="str">
        <f>IFERROR(IF(S220="Check Data ⚠","Check Data ⚠",VLOOKUP(S220,'G-4 Temporal multipliers'!$A$4:$C$37,3,FALSE)),"")</f>
        <v/>
      </c>
      <c r="U220" s="523" t="str">
        <f>IF(F220="","",VLOOKUP(F220,'G-3 Multipliers'!$A$2:$E$129,2,FALSE))</f>
        <v/>
      </c>
      <c r="V220" s="520" t="str">
        <f t="shared" si="22"/>
        <v/>
      </c>
      <c r="W220" s="520" t="str">
        <f>IF(E220="","",IF(AND(V220="Standard difficulty applied",O220&gt;P220),U220,IF(AND(V220="Low Difficulty - only applicable if all habitat created before losses",P220&gt;=O220),"Low",VLOOKUP(F220,'G-3 Multipliers'!$A$2:$E$129,4,FALSE))))</f>
        <v/>
      </c>
      <c r="X220" s="524" t="str">
        <f>IFERROR(IF(E220="","",VLOOKUP(W220, 'G-3 Multipliers'!$P$2:$Q$6,2,FALSE)),"")</f>
        <v/>
      </c>
      <c r="Y220" s="529" t="str">
        <f t="shared" si="23"/>
        <v/>
      </c>
      <c r="Z220" s="239"/>
      <c r="AA220" s="240"/>
      <c r="AE220" s="54" t="str">
        <f t="shared" si="19"/>
        <v/>
      </c>
    </row>
    <row r="221" spans="1:31" x14ac:dyDescent="0.25">
      <c r="A221" s="47" t="str">
        <f>IFERROR(INDEX('G-8 Condition Look up'!$I$4:$I$130,MATCH(F221,'G-8 Condition Look up'!$A$4:$A$130,0)),"")</f>
        <v/>
      </c>
      <c r="C221" s="384" t="str">
        <f>IFERROR(INDEX('G-1 All Habitats'!$AG$3:$AG$15,MATCH(D221,'G-1 All Habitats'!$AF$3:$AF$15,0)),"")</f>
        <v/>
      </c>
      <c r="D221" s="146"/>
      <c r="E221" s="79"/>
      <c r="F221" s="246" t="str">
        <f>IFERROR(INDEX('G-1 All Habitats'!$B$3:$B$129,MATCH(E221,'G-1 All Habitats'!$A$3:$A$129,0)),"")</f>
        <v/>
      </c>
      <c r="G221" s="70"/>
      <c r="H221" s="498" t="str">
        <f>IF(F221="","",VLOOKUP(F221,'G-1 All Habitats'!$B$2:$M$129,10,FALSE))</f>
        <v/>
      </c>
      <c r="I221" s="499" t="str">
        <f>IFERROR(VLOOKUP(H221,'G-1 All Habitats'!$V$3:$W$7,2,FALSE),"")</f>
        <v/>
      </c>
      <c r="J221" s="71"/>
      <c r="K221" s="499" t="str">
        <f>IFERROR(INDEX('G-8 Condition Look up'!$A$3:$H$130,MATCH(F221,'G-8 Condition Look up'!$A$3:$A$130,0),MATCH(J221,'G-8 Condition Look up'!$A$3:$H$3,0)),"")</f>
        <v/>
      </c>
      <c r="L221" s="71"/>
      <c r="M221" s="507" t="str">
        <f>IF(L221="","",IF(VLOOKUP(L221,'G-3 Multipliers'!$L$3:$N$6,2,FALSE)=0,"Spatial Data Missing",VLOOKUP(L221,'G-3 Multipliers'!$L$3:$N$6,2,FALSE)))</f>
        <v/>
      </c>
      <c r="N221" s="505" t="str">
        <f>IF(L221="","",IF(VLOOKUP(L221,'G-3 Multipliers'!$L$3:$N$6,3,FALSE)=0,"Spatial Data Missing",VLOOKUP(L221,'G-3 Multipliers'!$L$3:$N$6,3,FALSE)))</f>
        <v/>
      </c>
      <c r="O221" s="498" t="str">
        <f t="shared" si="18"/>
        <v/>
      </c>
      <c r="P221" s="82"/>
      <c r="Q221" s="82"/>
      <c r="R221" s="507" t="str">
        <f t="shared" si="20"/>
        <v/>
      </c>
      <c r="S221" s="521" t="str">
        <f t="shared" si="21"/>
        <v/>
      </c>
      <c r="T221" s="522" t="str">
        <f>IFERROR(IF(S221="Check Data ⚠","Check Data ⚠",VLOOKUP(S221,'G-4 Temporal multipliers'!$A$4:$C$37,3,FALSE)),"")</f>
        <v/>
      </c>
      <c r="U221" s="523" t="str">
        <f>IF(F221="","",VLOOKUP(F221,'G-3 Multipliers'!$A$2:$E$129,2,FALSE))</f>
        <v/>
      </c>
      <c r="V221" s="520" t="str">
        <f t="shared" si="22"/>
        <v/>
      </c>
      <c r="W221" s="520" t="str">
        <f>IF(E221="","",IF(AND(V221="Standard difficulty applied",O221&gt;P221),U221,IF(AND(V221="Low Difficulty - only applicable if all habitat created before losses",P221&gt;=O221),"Low",VLOOKUP(F221,'G-3 Multipliers'!$A$2:$E$129,4,FALSE))))</f>
        <v/>
      </c>
      <c r="X221" s="524" t="str">
        <f>IFERROR(IF(E221="","",VLOOKUP(W221, 'G-3 Multipliers'!$P$2:$Q$6,2,FALSE)),"")</f>
        <v/>
      </c>
      <c r="Y221" s="529" t="str">
        <f t="shared" si="23"/>
        <v/>
      </c>
      <c r="Z221" s="239"/>
      <c r="AA221" s="240"/>
      <c r="AE221" s="54" t="str">
        <f t="shared" si="19"/>
        <v/>
      </c>
    </row>
    <row r="222" spans="1:31" x14ac:dyDescent="0.25">
      <c r="A222" s="47" t="str">
        <f>IFERROR(INDEX('G-8 Condition Look up'!$I$4:$I$130,MATCH(F222,'G-8 Condition Look up'!$A$4:$A$130,0)),"")</f>
        <v/>
      </c>
      <c r="C222" s="384" t="str">
        <f>IFERROR(INDEX('G-1 All Habitats'!$AG$3:$AG$15,MATCH(D222,'G-1 All Habitats'!$AF$3:$AF$15,0)),"")</f>
        <v/>
      </c>
      <c r="D222" s="146"/>
      <c r="E222" s="79"/>
      <c r="F222" s="246" t="str">
        <f>IFERROR(INDEX('G-1 All Habitats'!$B$3:$B$129,MATCH(E222,'G-1 All Habitats'!$A$3:$A$129,0)),"")</f>
        <v/>
      </c>
      <c r="G222" s="70"/>
      <c r="H222" s="498" t="str">
        <f>IF(F222="","",VLOOKUP(F222,'G-1 All Habitats'!$B$2:$M$129,10,FALSE))</f>
        <v/>
      </c>
      <c r="I222" s="499" t="str">
        <f>IFERROR(VLOOKUP(H222,'G-1 All Habitats'!$V$3:$W$7,2,FALSE),"")</f>
        <v/>
      </c>
      <c r="J222" s="71"/>
      <c r="K222" s="499" t="str">
        <f>IFERROR(INDEX('G-8 Condition Look up'!$A$3:$H$130,MATCH(F222,'G-8 Condition Look up'!$A$3:$A$130,0),MATCH(J222,'G-8 Condition Look up'!$A$3:$H$3,0)),"")</f>
        <v/>
      </c>
      <c r="L222" s="71"/>
      <c r="M222" s="507" t="str">
        <f>IF(L222="","",IF(VLOOKUP(L222,'G-3 Multipliers'!$L$3:$N$6,2,FALSE)=0,"Spatial Data Missing",VLOOKUP(L222,'G-3 Multipliers'!$L$3:$N$6,2,FALSE)))</f>
        <v/>
      </c>
      <c r="N222" s="505" t="str">
        <f>IF(L222="","",IF(VLOOKUP(L222,'G-3 Multipliers'!$L$3:$N$6,3,FALSE)=0,"Spatial Data Missing",VLOOKUP(L222,'G-3 Multipliers'!$L$3:$N$6,3,FALSE)))</f>
        <v/>
      </c>
      <c r="O222" s="498" t="str">
        <f t="shared" si="18"/>
        <v/>
      </c>
      <c r="P222" s="82"/>
      <c r="Q222" s="82"/>
      <c r="R222" s="507" t="str">
        <f t="shared" si="20"/>
        <v/>
      </c>
      <c r="S222" s="521" t="str">
        <f t="shared" si="21"/>
        <v/>
      </c>
      <c r="T222" s="522" t="str">
        <f>IFERROR(IF(S222="Check Data ⚠","Check Data ⚠",VLOOKUP(S222,'G-4 Temporal multipliers'!$A$4:$C$37,3,FALSE)),"")</f>
        <v/>
      </c>
      <c r="U222" s="523" t="str">
        <f>IF(F222="","",VLOOKUP(F222,'G-3 Multipliers'!$A$2:$E$129,2,FALSE))</f>
        <v/>
      </c>
      <c r="V222" s="520" t="str">
        <f t="shared" si="22"/>
        <v/>
      </c>
      <c r="W222" s="520" t="str">
        <f>IF(E222="","",IF(AND(V222="Standard difficulty applied",O222&gt;P222),U222,IF(AND(V222="Low Difficulty - only applicable if all habitat created before losses",P222&gt;=O222),"Low",VLOOKUP(F222,'G-3 Multipliers'!$A$2:$E$129,4,FALSE))))</f>
        <v/>
      </c>
      <c r="X222" s="524" t="str">
        <f>IFERROR(IF(E222="","",VLOOKUP(W222, 'G-3 Multipliers'!$P$2:$Q$6,2,FALSE)),"")</f>
        <v/>
      </c>
      <c r="Y222" s="529" t="str">
        <f t="shared" si="23"/>
        <v/>
      </c>
      <c r="Z222" s="239"/>
      <c r="AA222" s="240"/>
      <c r="AE222" s="54" t="str">
        <f t="shared" si="19"/>
        <v/>
      </c>
    </row>
    <row r="223" spans="1:31" x14ac:dyDescent="0.25">
      <c r="A223" s="47" t="str">
        <f>IFERROR(INDEX('G-8 Condition Look up'!$I$4:$I$130,MATCH(F223,'G-8 Condition Look up'!$A$4:$A$130,0)),"")</f>
        <v/>
      </c>
      <c r="C223" s="384" t="str">
        <f>IFERROR(INDEX('G-1 All Habitats'!$AG$3:$AG$15,MATCH(D223,'G-1 All Habitats'!$AF$3:$AF$15,0)),"")</f>
        <v/>
      </c>
      <c r="D223" s="146"/>
      <c r="E223" s="79"/>
      <c r="F223" s="246" t="str">
        <f>IFERROR(INDEX('G-1 All Habitats'!$B$3:$B$129,MATCH(E223,'G-1 All Habitats'!$A$3:$A$129,0)),"")</f>
        <v/>
      </c>
      <c r="G223" s="70"/>
      <c r="H223" s="498" t="str">
        <f>IF(F223="","",VLOOKUP(F223,'G-1 All Habitats'!$B$2:$M$129,10,FALSE))</f>
        <v/>
      </c>
      <c r="I223" s="499" t="str">
        <f>IFERROR(VLOOKUP(H223,'G-1 All Habitats'!$V$3:$W$7,2,FALSE),"")</f>
        <v/>
      </c>
      <c r="J223" s="71"/>
      <c r="K223" s="499" t="str">
        <f>IFERROR(INDEX('G-8 Condition Look up'!$A$3:$H$130,MATCH(F223,'G-8 Condition Look up'!$A$3:$A$130,0),MATCH(J223,'G-8 Condition Look up'!$A$3:$H$3,0)),"")</f>
        <v/>
      </c>
      <c r="L223" s="71"/>
      <c r="M223" s="507" t="str">
        <f>IF(L223="","",IF(VLOOKUP(L223,'G-3 Multipliers'!$L$3:$N$6,2,FALSE)=0,"Spatial Data Missing",VLOOKUP(L223,'G-3 Multipliers'!$L$3:$N$6,2,FALSE)))</f>
        <v/>
      </c>
      <c r="N223" s="505" t="str">
        <f>IF(L223="","",IF(VLOOKUP(L223,'G-3 Multipliers'!$L$3:$N$6,3,FALSE)=0,"Spatial Data Missing",VLOOKUP(L223,'G-3 Multipliers'!$L$3:$N$6,3,FALSE)))</f>
        <v/>
      </c>
      <c r="O223" s="498" t="str">
        <f t="shared" si="18"/>
        <v/>
      </c>
      <c r="P223" s="82"/>
      <c r="Q223" s="82"/>
      <c r="R223" s="507" t="str">
        <f t="shared" si="20"/>
        <v/>
      </c>
      <c r="S223" s="521" t="str">
        <f t="shared" si="21"/>
        <v/>
      </c>
      <c r="T223" s="522" t="str">
        <f>IFERROR(IF(S223="Check Data ⚠","Check Data ⚠",VLOOKUP(S223,'G-4 Temporal multipliers'!$A$4:$C$37,3,FALSE)),"")</f>
        <v/>
      </c>
      <c r="U223" s="523" t="str">
        <f>IF(F223="","",VLOOKUP(F223,'G-3 Multipliers'!$A$2:$E$129,2,FALSE))</f>
        <v/>
      </c>
      <c r="V223" s="520" t="str">
        <f t="shared" si="22"/>
        <v/>
      </c>
      <c r="W223" s="520" t="str">
        <f>IF(E223="","",IF(AND(V223="Standard difficulty applied",O223&gt;P223),U223,IF(AND(V223="Low Difficulty - only applicable if all habitat created before losses",P223&gt;=O223),"Low",VLOOKUP(F223,'G-3 Multipliers'!$A$2:$E$129,4,FALSE))))</f>
        <v/>
      </c>
      <c r="X223" s="524" t="str">
        <f>IFERROR(IF(E223="","",VLOOKUP(W223, 'G-3 Multipliers'!$P$2:$Q$6,2,FALSE)),"")</f>
        <v/>
      </c>
      <c r="Y223" s="529" t="str">
        <f t="shared" si="23"/>
        <v/>
      </c>
      <c r="Z223" s="239"/>
      <c r="AA223" s="240"/>
      <c r="AE223" s="54" t="str">
        <f t="shared" si="19"/>
        <v/>
      </c>
    </row>
    <row r="224" spans="1:31" x14ac:dyDescent="0.25">
      <c r="A224" s="47" t="str">
        <f>IFERROR(INDEX('G-8 Condition Look up'!$I$4:$I$130,MATCH(F224,'G-8 Condition Look up'!$A$4:$A$130,0)),"")</f>
        <v/>
      </c>
      <c r="C224" s="384" t="str">
        <f>IFERROR(INDEX('G-1 All Habitats'!$AG$3:$AG$15,MATCH(D224,'G-1 All Habitats'!$AF$3:$AF$15,0)),"")</f>
        <v/>
      </c>
      <c r="D224" s="146"/>
      <c r="E224" s="79"/>
      <c r="F224" s="246" t="str">
        <f>IFERROR(INDEX('G-1 All Habitats'!$B$3:$B$129,MATCH(E224,'G-1 All Habitats'!$A$3:$A$129,0)),"")</f>
        <v/>
      </c>
      <c r="G224" s="70"/>
      <c r="H224" s="498" t="str">
        <f>IF(F224="","",VLOOKUP(F224,'G-1 All Habitats'!$B$2:$M$129,10,FALSE))</f>
        <v/>
      </c>
      <c r="I224" s="499" t="str">
        <f>IFERROR(VLOOKUP(H224,'G-1 All Habitats'!$V$3:$W$7,2,FALSE),"")</f>
        <v/>
      </c>
      <c r="J224" s="71"/>
      <c r="K224" s="499" t="str">
        <f>IFERROR(INDEX('G-8 Condition Look up'!$A$3:$H$130,MATCH(F224,'G-8 Condition Look up'!$A$3:$A$130,0),MATCH(J224,'G-8 Condition Look up'!$A$3:$H$3,0)),"")</f>
        <v/>
      </c>
      <c r="L224" s="71"/>
      <c r="M224" s="507" t="str">
        <f>IF(L224="","",IF(VLOOKUP(L224,'G-3 Multipliers'!$L$3:$N$6,2,FALSE)=0,"Spatial Data Missing",VLOOKUP(L224,'G-3 Multipliers'!$L$3:$N$6,2,FALSE)))</f>
        <v/>
      </c>
      <c r="N224" s="505" t="str">
        <f>IF(L224="","",IF(VLOOKUP(L224,'G-3 Multipliers'!$L$3:$N$6,3,FALSE)=0,"Spatial Data Missing",VLOOKUP(L224,'G-3 Multipliers'!$L$3:$N$6,3,FALSE)))</f>
        <v/>
      </c>
      <c r="O224" s="498" t="str">
        <f t="shared" si="18"/>
        <v/>
      </c>
      <c r="P224" s="82"/>
      <c r="Q224" s="82"/>
      <c r="R224" s="507" t="str">
        <f t="shared" si="20"/>
        <v/>
      </c>
      <c r="S224" s="521" t="str">
        <f t="shared" si="21"/>
        <v/>
      </c>
      <c r="T224" s="522" t="str">
        <f>IFERROR(IF(S224="Check Data ⚠","Check Data ⚠",VLOOKUP(S224,'G-4 Temporal multipliers'!$A$4:$C$37,3,FALSE)),"")</f>
        <v/>
      </c>
      <c r="U224" s="523" t="str">
        <f>IF(F224="","",VLOOKUP(F224,'G-3 Multipliers'!$A$2:$E$129,2,FALSE))</f>
        <v/>
      </c>
      <c r="V224" s="520" t="str">
        <f t="shared" si="22"/>
        <v/>
      </c>
      <c r="W224" s="520" t="str">
        <f>IF(E224="","",IF(AND(V224="Standard difficulty applied",O224&gt;P224),U224,IF(AND(V224="Low Difficulty - only applicable if all habitat created before losses",P224&gt;=O224),"Low",VLOOKUP(F224,'G-3 Multipliers'!$A$2:$E$129,4,FALSE))))</f>
        <v/>
      </c>
      <c r="X224" s="524" t="str">
        <f>IFERROR(IF(E224="","",VLOOKUP(W224, 'G-3 Multipliers'!$P$2:$Q$6,2,FALSE)),"")</f>
        <v/>
      </c>
      <c r="Y224" s="529" t="str">
        <f t="shared" si="23"/>
        <v/>
      </c>
      <c r="Z224" s="239"/>
      <c r="AA224" s="240"/>
      <c r="AE224" s="54" t="str">
        <f t="shared" si="19"/>
        <v/>
      </c>
    </row>
    <row r="225" spans="1:31" x14ac:dyDescent="0.25">
      <c r="A225" s="47" t="str">
        <f>IFERROR(INDEX('G-8 Condition Look up'!$I$4:$I$130,MATCH(F225,'G-8 Condition Look up'!$A$4:$A$130,0)),"")</f>
        <v/>
      </c>
      <c r="C225" s="384" t="str">
        <f>IFERROR(INDEX('G-1 All Habitats'!$AG$3:$AG$15,MATCH(D225,'G-1 All Habitats'!$AF$3:$AF$15,0)),"")</f>
        <v/>
      </c>
      <c r="D225" s="146"/>
      <c r="E225" s="79"/>
      <c r="F225" s="246" t="str">
        <f>IFERROR(INDEX('G-1 All Habitats'!$B$3:$B$129,MATCH(E225,'G-1 All Habitats'!$A$3:$A$129,0)),"")</f>
        <v/>
      </c>
      <c r="G225" s="70"/>
      <c r="H225" s="498" t="str">
        <f>IF(F225="","",VLOOKUP(F225,'G-1 All Habitats'!$B$2:$M$129,10,FALSE))</f>
        <v/>
      </c>
      <c r="I225" s="499" t="str">
        <f>IFERROR(VLOOKUP(H225,'G-1 All Habitats'!$V$3:$W$7,2,FALSE),"")</f>
        <v/>
      </c>
      <c r="J225" s="71"/>
      <c r="K225" s="499" t="str">
        <f>IFERROR(INDEX('G-8 Condition Look up'!$A$3:$H$130,MATCH(F225,'G-8 Condition Look up'!$A$3:$A$130,0),MATCH(J225,'G-8 Condition Look up'!$A$3:$H$3,0)),"")</f>
        <v/>
      </c>
      <c r="L225" s="71"/>
      <c r="M225" s="507" t="str">
        <f>IF(L225="","",IF(VLOOKUP(L225,'G-3 Multipliers'!$L$3:$N$6,2,FALSE)=0,"Spatial Data Missing",VLOOKUP(L225,'G-3 Multipliers'!$L$3:$N$6,2,FALSE)))</f>
        <v/>
      </c>
      <c r="N225" s="505" t="str">
        <f>IF(L225="","",IF(VLOOKUP(L225,'G-3 Multipliers'!$L$3:$N$6,3,FALSE)=0,"Spatial Data Missing",VLOOKUP(L225,'G-3 Multipliers'!$L$3:$N$6,3,FALSE)))</f>
        <v/>
      </c>
      <c r="O225" s="498" t="str">
        <f t="shared" si="18"/>
        <v/>
      </c>
      <c r="P225" s="82"/>
      <c r="Q225" s="82"/>
      <c r="R225" s="507" t="str">
        <f t="shared" si="20"/>
        <v/>
      </c>
      <c r="S225" s="521" t="str">
        <f t="shared" si="21"/>
        <v/>
      </c>
      <c r="T225" s="522" t="str">
        <f>IFERROR(IF(S225="Check Data ⚠","Check Data ⚠",VLOOKUP(S225,'G-4 Temporal multipliers'!$A$4:$C$37,3,FALSE)),"")</f>
        <v/>
      </c>
      <c r="U225" s="523" t="str">
        <f>IF(F225="","",VLOOKUP(F225,'G-3 Multipliers'!$A$2:$E$129,2,FALSE))</f>
        <v/>
      </c>
      <c r="V225" s="520" t="str">
        <f t="shared" si="22"/>
        <v/>
      </c>
      <c r="W225" s="520" t="str">
        <f>IF(E225="","",IF(AND(V225="Standard difficulty applied",O225&gt;P225),U225,IF(AND(V225="Low Difficulty - only applicable if all habitat created before losses",P225&gt;=O225),"Low",VLOOKUP(F225,'G-3 Multipliers'!$A$2:$E$129,4,FALSE))))</f>
        <v/>
      </c>
      <c r="X225" s="524" t="str">
        <f>IFERROR(IF(E225="","",VLOOKUP(W225, 'G-3 Multipliers'!$P$2:$Q$6,2,FALSE)),"")</f>
        <v/>
      </c>
      <c r="Y225" s="529" t="str">
        <f t="shared" si="23"/>
        <v/>
      </c>
      <c r="Z225" s="239"/>
      <c r="AA225" s="240"/>
      <c r="AE225" s="54" t="str">
        <f t="shared" si="19"/>
        <v/>
      </c>
    </row>
    <row r="226" spans="1:31" x14ac:dyDescent="0.25">
      <c r="A226" s="47" t="str">
        <f>IFERROR(INDEX('G-8 Condition Look up'!$I$4:$I$130,MATCH(F226,'G-8 Condition Look up'!$A$4:$A$130,0)),"")</f>
        <v/>
      </c>
      <c r="C226" s="384" t="str">
        <f>IFERROR(INDEX('G-1 All Habitats'!$AG$3:$AG$15,MATCH(D226,'G-1 All Habitats'!$AF$3:$AF$15,0)),"")</f>
        <v/>
      </c>
      <c r="D226" s="146"/>
      <c r="E226" s="79"/>
      <c r="F226" s="246" t="str">
        <f>IFERROR(INDEX('G-1 All Habitats'!$B$3:$B$129,MATCH(E226,'G-1 All Habitats'!$A$3:$A$129,0)),"")</f>
        <v/>
      </c>
      <c r="G226" s="70"/>
      <c r="H226" s="498" t="str">
        <f>IF(F226="","",VLOOKUP(F226,'G-1 All Habitats'!$B$2:$M$129,10,FALSE))</f>
        <v/>
      </c>
      <c r="I226" s="499" t="str">
        <f>IFERROR(VLOOKUP(H226,'G-1 All Habitats'!$V$3:$W$7,2,FALSE),"")</f>
        <v/>
      </c>
      <c r="J226" s="71"/>
      <c r="K226" s="499" t="str">
        <f>IFERROR(INDEX('G-8 Condition Look up'!$A$3:$H$130,MATCH(F226,'G-8 Condition Look up'!$A$3:$A$130,0),MATCH(J226,'G-8 Condition Look up'!$A$3:$H$3,0)),"")</f>
        <v/>
      </c>
      <c r="L226" s="71"/>
      <c r="M226" s="507" t="str">
        <f>IF(L226="","",IF(VLOOKUP(L226,'G-3 Multipliers'!$L$3:$N$6,2,FALSE)=0,"Spatial Data Missing",VLOOKUP(L226,'G-3 Multipliers'!$L$3:$N$6,2,FALSE)))</f>
        <v/>
      </c>
      <c r="N226" s="505" t="str">
        <f>IF(L226="","",IF(VLOOKUP(L226,'G-3 Multipliers'!$L$3:$N$6,3,FALSE)=0,"Spatial Data Missing",VLOOKUP(L226,'G-3 Multipliers'!$L$3:$N$6,3,FALSE)))</f>
        <v/>
      </c>
      <c r="O226" s="498" t="str">
        <f t="shared" si="18"/>
        <v/>
      </c>
      <c r="P226" s="82"/>
      <c r="Q226" s="82"/>
      <c r="R226" s="507" t="str">
        <f t="shared" si="20"/>
        <v/>
      </c>
      <c r="S226" s="521" t="str">
        <f t="shared" si="21"/>
        <v/>
      </c>
      <c r="T226" s="522" t="str">
        <f>IFERROR(IF(S226="Check Data ⚠","Check Data ⚠",VLOOKUP(S226,'G-4 Temporal multipliers'!$A$4:$C$37,3,FALSE)),"")</f>
        <v/>
      </c>
      <c r="U226" s="523" t="str">
        <f>IF(F226="","",VLOOKUP(F226,'G-3 Multipliers'!$A$2:$E$129,2,FALSE))</f>
        <v/>
      </c>
      <c r="V226" s="520" t="str">
        <f t="shared" si="22"/>
        <v/>
      </c>
      <c r="W226" s="520" t="str">
        <f>IF(E226="","",IF(AND(V226="Standard difficulty applied",O226&gt;P226),U226,IF(AND(V226="Low Difficulty - only applicable if all habitat created before losses",P226&gt;=O226),"Low",VLOOKUP(F226,'G-3 Multipliers'!$A$2:$E$129,4,FALSE))))</f>
        <v/>
      </c>
      <c r="X226" s="524" t="str">
        <f>IFERROR(IF(E226="","",VLOOKUP(W226, 'G-3 Multipliers'!$P$2:$Q$6,2,FALSE)),"")</f>
        <v/>
      </c>
      <c r="Y226" s="529" t="str">
        <f t="shared" si="23"/>
        <v/>
      </c>
      <c r="Z226" s="239"/>
      <c r="AA226" s="240"/>
      <c r="AE226" s="54" t="str">
        <f t="shared" si="19"/>
        <v/>
      </c>
    </row>
    <row r="227" spans="1:31" x14ac:dyDescent="0.25">
      <c r="A227" s="47" t="str">
        <f>IFERROR(INDEX('G-8 Condition Look up'!$I$4:$I$130,MATCH(F227,'G-8 Condition Look up'!$A$4:$A$130,0)),"")</f>
        <v/>
      </c>
      <c r="C227" s="384" t="str">
        <f>IFERROR(INDEX('G-1 All Habitats'!$AG$3:$AG$15,MATCH(D227,'G-1 All Habitats'!$AF$3:$AF$15,0)),"")</f>
        <v/>
      </c>
      <c r="D227" s="146"/>
      <c r="E227" s="79"/>
      <c r="F227" s="246" t="str">
        <f>IFERROR(INDEX('G-1 All Habitats'!$B$3:$B$129,MATCH(E227,'G-1 All Habitats'!$A$3:$A$129,0)),"")</f>
        <v/>
      </c>
      <c r="G227" s="70"/>
      <c r="H227" s="498" t="str">
        <f>IF(F227="","",VLOOKUP(F227,'G-1 All Habitats'!$B$2:$M$129,10,FALSE))</f>
        <v/>
      </c>
      <c r="I227" s="499" t="str">
        <f>IFERROR(VLOOKUP(H227,'G-1 All Habitats'!$V$3:$W$7,2,FALSE),"")</f>
        <v/>
      </c>
      <c r="J227" s="71"/>
      <c r="K227" s="499" t="str">
        <f>IFERROR(INDEX('G-8 Condition Look up'!$A$3:$H$130,MATCH(F227,'G-8 Condition Look up'!$A$3:$A$130,0),MATCH(J227,'G-8 Condition Look up'!$A$3:$H$3,0)),"")</f>
        <v/>
      </c>
      <c r="L227" s="71"/>
      <c r="M227" s="507" t="str">
        <f>IF(L227="","",IF(VLOOKUP(L227,'G-3 Multipliers'!$L$3:$N$6,2,FALSE)=0,"Spatial Data Missing",VLOOKUP(L227,'G-3 Multipliers'!$L$3:$N$6,2,FALSE)))</f>
        <v/>
      </c>
      <c r="N227" s="505" t="str">
        <f>IF(L227="","",IF(VLOOKUP(L227,'G-3 Multipliers'!$L$3:$N$6,3,FALSE)=0,"Spatial Data Missing",VLOOKUP(L227,'G-3 Multipliers'!$L$3:$N$6,3,FALSE)))</f>
        <v/>
      </c>
      <c r="O227" s="498" t="str">
        <f t="shared" si="18"/>
        <v/>
      </c>
      <c r="P227" s="82"/>
      <c r="Q227" s="82"/>
      <c r="R227" s="507" t="str">
        <f t="shared" si="20"/>
        <v/>
      </c>
      <c r="S227" s="521" t="str">
        <f t="shared" si="21"/>
        <v/>
      </c>
      <c r="T227" s="522" t="str">
        <f>IFERROR(IF(S227="Check Data ⚠","Check Data ⚠",VLOOKUP(S227,'G-4 Temporal multipliers'!$A$4:$C$37,3,FALSE)),"")</f>
        <v/>
      </c>
      <c r="U227" s="523" t="str">
        <f>IF(F227="","",VLOOKUP(F227,'G-3 Multipliers'!$A$2:$E$129,2,FALSE))</f>
        <v/>
      </c>
      <c r="V227" s="520" t="str">
        <f t="shared" si="22"/>
        <v/>
      </c>
      <c r="W227" s="520" t="str">
        <f>IF(E227="","",IF(AND(V227="Standard difficulty applied",O227&gt;P227),U227,IF(AND(V227="Low Difficulty - only applicable if all habitat created before losses",P227&gt;=O227),"Low",VLOOKUP(F227,'G-3 Multipliers'!$A$2:$E$129,4,FALSE))))</f>
        <v/>
      </c>
      <c r="X227" s="524" t="str">
        <f>IFERROR(IF(E227="","",VLOOKUP(W227, 'G-3 Multipliers'!$P$2:$Q$6,2,FALSE)),"")</f>
        <v/>
      </c>
      <c r="Y227" s="529" t="str">
        <f t="shared" si="23"/>
        <v/>
      </c>
      <c r="Z227" s="239"/>
      <c r="AA227" s="240"/>
      <c r="AE227" s="54" t="str">
        <f t="shared" si="19"/>
        <v/>
      </c>
    </row>
    <row r="228" spans="1:31" x14ac:dyDescent="0.25">
      <c r="A228" s="47" t="str">
        <f>IFERROR(INDEX('G-8 Condition Look up'!$I$4:$I$130,MATCH(F228,'G-8 Condition Look up'!$A$4:$A$130,0)),"")</f>
        <v/>
      </c>
      <c r="C228" s="384" t="str">
        <f>IFERROR(INDEX('G-1 All Habitats'!$AG$3:$AG$15,MATCH(D228,'G-1 All Habitats'!$AF$3:$AF$15,0)),"")</f>
        <v/>
      </c>
      <c r="D228" s="146"/>
      <c r="E228" s="79"/>
      <c r="F228" s="246" t="str">
        <f>IFERROR(INDEX('G-1 All Habitats'!$B$3:$B$129,MATCH(E228,'G-1 All Habitats'!$A$3:$A$129,0)),"")</f>
        <v/>
      </c>
      <c r="G228" s="70"/>
      <c r="H228" s="498" t="str">
        <f>IF(F228="","",VLOOKUP(F228,'G-1 All Habitats'!$B$2:$M$129,10,FALSE))</f>
        <v/>
      </c>
      <c r="I228" s="499" t="str">
        <f>IFERROR(VLOOKUP(H228,'G-1 All Habitats'!$V$3:$W$7,2,FALSE),"")</f>
        <v/>
      </c>
      <c r="J228" s="71"/>
      <c r="K228" s="499" t="str">
        <f>IFERROR(INDEX('G-8 Condition Look up'!$A$3:$H$130,MATCH(F228,'G-8 Condition Look up'!$A$3:$A$130,0),MATCH(J228,'G-8 Condition Look up'!$A$3:$H$3,0)),"")</f>
        <v/>
      </c>
      <c r="L228" s="71"/>
      <c r="M228" s="507" t="str">
        <f>IF(L228="","",IF(VLOOKUP(L228,'G-3 Multipliers'!$L$3:$N$6,2,FALSE)=0,"Spatial Data Missing",VLOOKUP(L228,'G-3 Multipliers'!$L$3:$N$6,2,FALSE)))</f>
        <v/>
      </c>
      <c r="N228" s="505" t="str">
        <f>IF(L228="","",IF(VLOOKUP(L228,'G-3 Multipliers'!$L$3:$N$6,3,FALSE)=0,"Spatial Data Missing",VLOOKUP(L228,'G-3 Multipliers'!$L$3:$N$6,3,FALSE)))</f>
        <v/>
      </c>
      <c r="O228" s="498" t="str">
        <f t="shared" si="18"/>
        <v/>
      </c>
      <c r="P228" s="82"/>
      <c r="Q228" s="82"/>
      <c r="R228" s="507" t="str">
        <f t="shared" si="20"/>
        <v/>
      </c>
      <c r="S228" s="521" t="str">
        <f t="shared" si="21"/>
        <v/>
      </c>
      <c r="T228" s="522" t="str">
        <f>IFERROR(IF(S228="Check Data ⚠","Check Data ⚠",VLOOKUP(S228,'G-4 Temporal multipliers'!$A$4:$C$37,3,FALSE)),"")</f>
        <v/>
      </c>
      <c r="U228" s="523" t="str">
        <f>IF(F228="","",VLOOKUP(F228,'G-3 Multipliers'!$A$2:$E$129,2,FALSE))</f>
        <v/>
      </c>
      <c r="V228" s="520" t="str">
        <f t="shared" si="22"/>
        <v/>
      </c>
      <c r="W228" s="520" t="str">
        <f>IF(E228="","",IF(AND(V228="Standard difficulty applied",O228&gt;P228),U228,IF(AND(V228="Low Difficulty - only applicable if all habitat created before losses",P228&gt;=O228),"Low",VLOOKUP(F228,'G-3 Multipliers'!$A$2:$E$129,4,FALSE))))</f>
        <v/>
      </c>
      <c r="X228" s="524" t="str">
        <f>IFERROR(IF(E228="","",VLOOKUP(W228, 'G-3 Multipliers'!$P$2:$Q$6,2,FALSE)),"")</f>
        <v/>
      </c>
      <c r="Y228" s="529" t="str">
        <f t="shared" si="23"/>
        <v/>
      </c>
      <c r="Z228" s="239"/>
      <c r="AA228" s="240"/>
      <c r="AE228" s="54" t="str">
        <f t="shared" si="19"/>
        <v/>
      </c>
    </row>
    <row r="229" spans="1:31" x14ac:dyDescent="0.25">
      <c r="A229" s="47" t="str">
        <f>IFERROR(INDEX('G-8 Condition Look up'!$I$4:$I$130,MATCH(F229,'G-8 Condition Look up'!$A$4:$A$130,0)),"")</f>
        <v/>
      </c>
      <c r="C229" s="384" t="str">
        <f>IFERROR(INDEX('G-1 All Habitats'!$AG$3:$AG$15,MATCH(D229,'G-1 All Habitats'!$AF$3:$AF$15,0)),"")</f>
        <v/>
      </c>
      <c r="D229" s="146"/>
      <c r="E229" s="79"/>
      <c r="F229" s="246" t="str">
        <f>IFERROR(INDEX('G-1 All Habitats'!$B$3:$B$129,MATCH(E229,'G-1 All Habitats'!$A$3:$A$129,0)),"")</f>
        <v/>
      </c>
      <c r="G229" s="70"/>
      <c r="H229" s="498" t="str">
        <f>IF(F229="","",VLOOKUP(F229,'G-1 All Habitats'!$B$2:$M$129,10,FALSE))</f>
        <v/>
      </c>
      <c r="I229" s="499" t="str">
        <f>IFERROR(VLOOKUP(H229,'G-1 All Habitats'!$V$3:$W$7,2,FALSE),"")</f>
        <v/>
      </c>
      <c r="J229" s="71"/>
      <c r="K229" s="499" t="str">
        <f>IFERROR(INDEX('G-8 Condition Look up'!$A$3:$H$130,MATCH(F229,'G-8 Condition Look up'!$A$3:$A$130,0),MATCH(J229,'G-8 Condition Look up'!$A$3:$H$3,0)),"")</f>
        <v/>
      </c>
      <c r="L229" s="71"/>
      <c r="M229" s="507" t="str">
        <f>IF(L229="","",IF(VLOOKUP(L229,'G-3 Multipliers'!$L$3:$N$6,2,FALSE)=0,"Spatial Data Missing",VLOOKUP(L229,'G-3 Multipliers'!$L$3:$N$6,2,FALSE)))</f>
        <v/>
      </c>
      <c r="N229" s="505" t="str">
        <f>IF(L229="","",IF(VLOOKUP(L229,'G-3 Multipliers'!$L$3:$N$6,3,FALSE)=0,"Spatial Data Missing",VLOOKUP(L229,'G-3 Multipliers'!$L$3:$N$6,3,FALSE)))</f>
        <v/>
      </c>
      <c r="O229" s="498" t="str">
        <f t="shared" si="18"/>
        <v/>
      </c>
      <c r="P229" s="82"/>
      <c r="Q229" s="82"/>
      <c r="R229" s="507" t="str">
        <f t="shared" si="20"/>
        <v/>
      </c>
      <c r="S229" s="521" t="str">
        <f t="shared" si="21"/>
        <v/>
      </c>
      <c r="T229" s="522" t="str">
        <f>IFERROR(IF(S229="Check Data ⚠","Check Data ⚠",VLOOKUP(S229,'G-4 Temporal multipliers'!$A$4:$C$37,3,FALSE)),"")</f>
        <v/>
      </c>
      <c r="U229" s="523" t="str">
        <f>IF(F229="","",VLOOKUP(F229,'G-3 Multipliers'!$A$2:$E$129,2,FALSE))</f>
        <v/>
      </c>
      <c r="V229" s="520" t="str">
        <f t="shared" si="22"/>
        <v/>
      </c>
      <c r="W229" s="520" t="str">
        <f>IF(E229="","",IF(AND(V229="Standard difficulty applied",O229&gt;P229),U229,IF(AND(V229="Low Difficulty - only applicable if all habitat created before losses",P229&gt;=O229),"Low",VLOOKUP(F229,'G-3 Multipliers'!$A$2:$E$129,4,FALSE))))</f>
        <v/>
      </c>
      <c r="X229" s="524" t="str">
        <f>IFERROR(IF(E229="","",VLOOKUP(W229, 'G-3 Multipliers'!$P$2:$Q$6,2,FALSE)),"")</f>
        <v/>
      </c>
      <c r="Y229" s="529" t="str">
        <f t="shared" si="23"/>
        <v/>
      </c>
      <c r="Z229" s="239"/>
      <c r="AA229" s="240"/>
      <c r="AE229" s="54" t="str">
        <f t="shared" si="19"/>
        <v/>
      </c>
    </row>
    <row r="230" spans="1:31" x14ac:dyDescent="0.25">
      <c r="A230" s="47" t="str">
        <f>IFERROR(INDEX('G-8 Condition Look up'!$I$4:$I$130,MATCH(F230,'G-8 Condition Look up'!$A$4:$A$130,0)),"")</f>
        <v/>
      </c>
      <c r="C230" s="384" t="str">
        <f>IFERROR(INDEX('G-1 All Habitats'!$AG$3:$AG$15,MATCH(D230,'G-1 All Habitats'!$AF$3:$AF$15,0)),"")</f>
        <v/>
      </c>
      <c r="D230" s="146"/>
      <c r="E230" s="79"/>
      <c r="F230" s="246" t="str">
        <f>IFERROR(INDEX('G-1 All Habitats'!$B$3:$B$129,MATCH(E230,'G-1 All Habitats'!$A$3:$A$129,0)),"")</f>
        <v/>
      </c>
      <c r="G230" s="70"/>
      <c r="H230" s="498" t="str">
        <f>IF(F230="","",VLOOKUP(F230,'G-1 All Habitats'!$B$2:$M$129,10,FALSE))</f>
        <v/>
      </c>
      <c r="I230" s="499" t="str">
        <f>IFERROR(VLOOKUP(H230,'G-1 All Habitats'!$V$3:$W$7,2,FALSE),"")</f>
        <v/>
      </c>
      <c r="J230" s="71"/>
      <c r="K230" s="499" t="str">
        <f>IFERROR(INDEX('G-8 Condition Look up'!$A$3:$H$130,MATCH(F230,'G-8 Condition Look up'!$A$3:$A$130,0),MATCH(J230,'G-8 Condition Look up'!$A$3:$H$3,0)),"")</f>
        <v/>
      </c>
      <c r="L230" s="71"/>
      <c r="M230" s="507" t="str">
        <f>IF(L230="","",IF(VLOOKUP(L230,'G-3 Multipliers'!$L$3:$N$6,2,FALSE)=0,"Spatial Data Missing",VLOOKUP(L230,'G-3 Multipliers'!$L$3:$N$6,2,FALSE)))</f>
        <v/>
      </c>
      <c r="N230" s="505" t="str">
        <f>IF(L230="","",IF(VLOOKUP(L230,'G-3 Multipliers'!$L$3:$N$6,3,FALSE)=0,"Spatial Data Missing",VLOOKUP(L230,'G-3 Multipliers'!$L$3:$N$6,3,FALSE)))</f>
        <v/>
      </c>
      <c r="O230" s="498" t="str">
        <f t="shared" si="18"/>
        <v/>
      </c>
      <c r="P230" s="82"/>
      <c r="Q230" s="82"/>
      <c r="R230" s="507" t="str">
        <f t="shared" si="20"/>
        <v/>
      </c>
      <c r="S230" s="521" t="str">
        <f t="shared" si="21"/>
        <v/>
      </c>
      <c r="T230" s="522" t="str">
        <f>IFERROR(IF(S230="Check Data ⚠","Check Data ⚠",VLOOKUP(S230,'G-4 Temporal multipliers'!$A$4:$C$37,3,FALSE)),"")</f>
        <v/>
      </c>
      <c r="U230" s="523" t="str">
        <f>IF(F230="","",VLOOKUP(F230,'G-3 Multipliers'!$A$2:$E$129,2,FALSE))</f>
        <v/>
      </c>
      <c r="V230" s="520" t="str">
        <f t="shared" si="22"/>
        <v/>
      </c>
      <c r="W230" s="520" t="str">
        <f>IF(E230="","",IF(AND(V230="Standard difficulty applied",O230&gt;P230),U230,IF(AND(V230="Low Difficulty - only applicable if all habitat created before losses",P230&gt;=O230),"Low",VLOOKUP(F230,'G-3 Multipliers'!$A$2:$E$129,4,FALSE))))</f>
        <v/>
      </c>
      <c r="X230" s="524" t="str">
        <f>IFERROR(IF(E230="","",VLOOKUP(W230, 'G-3 Multipliers'!$P$2:$Q$6,2,FALSE)),"")</f>
        <v/>
      </c>
      <c r="Y230" s="529" t="str">
        <f t="shared" si="23"/>
        <v/>
      </c>
      <c r="Z230" s="239"/>
      <c r="AA230" s="240"/>
      <c r="AE230" s="54" t="str">
        <f t="shared" si="19"/>
        <v/>
      </c>
    </row>
    <row r="231" spans="1:31" x14ac:dyDescent="0.25">
      <c r="A231" s="47" t="str">
        <f>IFERROR(INDEX('G-8 Condition Look up'!$I$4:$I$130,MATCH(F231,'G-8 Condition Look up'!$A$4:$A$130,0)),"")</f>
        <v/>
      </c>
      <c r="C231" s="384" t="str">
        <f>IFERROR(INDEX('G-1 All Habitats'!$AG$3:$AG$15,MATCH(D231,'G-1 All Habitats'!$AF$3:$AF$15,0)),"")</f>
        <v/>
      </c>
      <c r="D231" s="146"/>
      <c r="E231" s="79"/>
      <c r="F231" s="246" t="str">
        <f>IFERROR(INDEX('G-1 All Habitats'!$B$3:$B$129,MATCH(E231,'G-1 All Habitats'!$A$3:$A$129,0)),"")</f>
        <v/>
      </c>
      <c r="G231" s="70"/>
      <c r="H231" s="498" t="str">
        <f>IF(F231="","",VLOOKUP(F231,'G-1 All Habitats'!$B$2:$M$129,10,FALSE))</f>
        <v/>
      </c>
      <c r="I231" s="499" t="str">
        <f>IFERROR(VLOOKUP(H231,'G-1 All Habitats'!$V$3:$W$7,2,FALSE),"")</f>
        <v/>
      </c>
      <c r="J231" s="71"/>
      <c r="K231" s="499" t="str">
        <f>IFERROR(INDEX('G-8 Condition Look up'!$A$3:$H$130,MATCH(F231,'G-8 Condition Look up'!$A$3:$A$130,0),MATCH(J231,'G-8 Condition Look up'!$A$3:$H$3,0)),"")</f>
        <v/>
      </c>
      <c r="L231" s="71"/>
      <c r="M231" s="507" t="str">
        <f>IF(L231="","",IF(VLOOKUP(L231,'G-3 Multipliers'!$L$3:$N$6,2,FALSE)=0,"Spatial Data Missing",VLOOKUP(L231,'G-3 Multipliers'!$L$3:$N$6,2,FALSE)))</f>
        <v/>
      </c>
      <c r="N231" s="505" t="str">
        <f>IF(L231="","",IF(VLOOKUP(L231,'G-3 Multipliers'!$L$3:$N$6,3,FALSE)=0,"Spatial Data Missing",VLOOKUP(L231,'G-3 Multipliers'!$L$3:$N$6,3,FALSE)))</f>
        <v/>
      </c>
      <c r="O231" s="498" t="str">
        <f t="shared" si="18"/>
        <v/>
      </c>
      <c r="P231" s="82"/>
      <c r="Q231" s="82"/>
      <c r="R231" s="507" t="str">
        <f t="shared" si="20"/>
        <v/>
      </c>
      <c r="S231" s="521" t="str">
        <f t="shared" si="21"/>
        <v/>
      </c>
      <c r="T231" s="522" t="str">
        <f>IFERROR(IF(S231="Check Data ⚠","Check Data ⚠",VLOOKUP(S231,'G-4 Temporal multipliers'!$A$4:$C$37,3,FALSE)),"")</f>
        <v/>
      </c>
      <c r="U231" s="523" t="str">
        <f>IF(F231="","",VLOOKUP(F231,'G-3 Multipliers'!$A$2:$E$129,2,FALSE))</f>
        <v/>
      </c>
      <c r="V231" s="520" t="str">
        <f t="shared" si="22"/>
        <v/>
      </c>
      <c r="W231" s="520" t="str">
        <f>IF(E231="","",IF(AND(V231="Standard difficulty applied",O231&gt;P231),U231,IF(AND(V231="Low Difficulty - only applicable if all habitat created before losses",P231&gt;=O231),"Low",VLOOKUP(F231,'G-3 Multipliers'!$A$2:$E$129,4,FALSE))))</f>
        <v/>
      </c>
      <c r="X231" s="524" t="str">
        <f>IFERROR(IF(E231="","",VLOOKUP(W231, 'G-3 Multipliers'!$P$2:$Q$6,2,FALSE)),"")</f>
        <v/>
      </c>
      <c r="Y231" s="529" t="str">
        <f t="shared" si="23"/>
        <v/>
      </c>
      <c r="Z231" s="239"/>
      <c r="AA231" s="240"/>
      <c r="AE231" s="54" t="str">
        <f t="shared" si="19"/>
        <v/>
      </c>
    </row>
    <row r="232" spans="1:31" x14ac:dyDescent="0.25">
      <c r="A232" s="47" t="str">
        <f>IFERROR(INDEX('G-8 Condition Look up'!$I$4:$I$130,MATCH(F232,'G-8 Condition Look up'!$A$4:$A$130,0)),"")</f>
        <v/>
      </c>
      <c r="C232" s="384" t="str">
        <f>IFERROR(INDEX('G-1 All Habitats'!$AG$3:$AG$15,MATCH(D232,'G-1 All Habitats'!$AF$3:$AF$15,0)),"")</f>
        <v/>
      </c>
      <c r="D232" s="146"/>
      <c r="E232" s="79"/>
      <c r="F232" s="246" t="str">
        <f>IFERROR(INDEX('G-1 All Habitats'!$B$3:$B$129,MATCH(E232,'G-1 All Habitats'!$A$3:$A$129,0)),"")</f>
        <v/>
      </c>
      <c r="G232" s="70"/>
      <c r="H232" s="498" t="str">
        <f>IF(F232="","",VLOOKUP(F232,'G-1 All Habitats'!$B$2:$M$129,10,FALSE))</f>
        <v/>
      </c>
      <c r="I232" s="499" t="str">
        <f>IFERROR(VLOOKUP(H232,'G-1 All Habitats'!$V$3:$W$7,2,FALSE),"")</f>
        <v/>
      </c>
      <c r="J232" s="71"/>
      <c r="K232" s="499" t="str">
        <f>IFERROR(INDEX('G-8 Condition Look up'!$A$3:$H$130,MATCH(F232,'G-8 Condition Look up'!$A$3:$A$130,0),MATCH(J232,'G-8 Condition Look up'!$A$3:$H$3,0)),"")</f>
        <v/>
      </c>
      <c r="L232" s="71"/>
      <c r="M232" s="507" t="str">
        <f>IF(L232="","",IF(VLOOKUP(L232,'G-3 Multipliers'!$L$3:$N$6,2,FALSE)=0,"Spatial Data Missing",VLOOKUP(L232,'G-3 Multipliers'!$L$3:$N$6,2,FALSE)))</f>
        <v/>
      </c>
      <c r="N232" s="505" t="str">
        <f>IF(L232="","",IF(VLOOKUP(L232,'G-3 Multipliers'!$L$3:$N$6,3,FALSE)=0,"Spatial Data Missing",VLOOKUP(L232,'G-3 Multipliers'!$L$3:$N$6,3,FALSE)))</f>
        <v/>
      </c>
      <c r="O232" s="498" t="str">
        <f t="shared" si="18"/>
        <v/>
      </c>
      <c r="P232" s="82"/>
      <c r="Q232" s="82"/>
      <c r="R232" s="507" t="str">
        <f t="shared" si="20"/>
        <v/>
      </c>
      <c r="S232" s="521" t="str">
        <f t="shared" si="21"/>
        <v/>
      </c>
      <c r="T232" s="522" t="str">
        <f>IFERROR(IF(S232="Check Data ⚠","Check Data ⚠",VLOOKUP(S232,'G-4 Temporal multipliers'!$A$4:$C$37,3,FALSE)),"")</f>
        <v/>
      </c>
      <c r="U232" s="523" t="str">
        <f>IF(F232="","",VLOOKUP(F232,'G-3 Multipliers'!$A$2:$E$129,2,FALSE))</f>
        <v/>
      </c>
      <c r="V232" s="520" t="str">
        <f t="shared" si="22"/>
        <v/>
      </c>
      <c r="W232" s="520" t="str">
        <f>IF(E232="","",IF(AND(V232="Standard difficulty applied",O232&gt;P232),U232,IF(AND(V232="Low Difficulty - only applicable if all habitat created before losses",P232&gt;=O232),"Low",VLOOKUP(F232,'G-3 Multipliers'!$A$2:$E$129,4,FALSE))))</f>
        <v/>
      </c>
      <c r="X232" s="524" t="str">
        <f>IFERROR(IF(E232="","",VLOOKUP(W232, 'G-3 Multipliers'!$P$2:$Q$6,2,FALSE)),"")</f>
        <v/>
      </c>
      <c r="Y232" s="529" t="str">
        <f t="shared" si="23"/>
        <v/>
      </c>
      <c r="Z232" s="239"/>
      <c r="AA232" s="240"/>
      <c r="AE232" s="54" t="str">
        <f t="shared" si="19"/>
        <v/>
      </c>
    </row>
    <row r="233" spans="1:31" x14ac:dyDescent="0.25">
      <c r="A233" s="47" t="str">
        <f>IFERROR(INDEX('G-8 Condition Look up'!$I$4:$I$130,MATCH(F233,'G-8 Condition Look up'!$A$4:$A$130,0)),"")</f>
        <v/>
      </c>
      <c r="C233" s="384" t="str">
        <f>IFERROR(INDEX('G-1 All Habitats'!$AG$3:$AG$15,MATCH(D233,'G-1 All Habitats'!$AF$3:$AF$15,0)),"")</f>
        <v/>
      </c>
      <c r="D233" s="146"/>
      <c r="E233" s="79"/>
      <c r="F233" s="246" t="str">
        <f>IFERROR(INDEX('G-1 All Habitats'!$B$3:$B$129,MATCH(E233,'G-1 All Habitats'!$A$3:$A$129,0)),"")</f>
        <v/>
      </c>
      <c r="G233" s="70"/>
      <c r="H233" s="498" t="str">
        <f>IF(F233="","",VLOOKUP(F233,'G-1 All Habitats'!$B$2:$M$129,10,FALSE))</f>
        <v/>
      </c>
      <c r="I233" s="499" t="str">
        <f>IFERROR(VLOOKUP(H233,'G-1 All Habitats'!$V$3:$W$7,2,FALSE),"")</f>
        <v/>
      </c>
      <c r="J233" s="71"/>
      <c r="K233" s="499" t="str">
        <f>IFERROR(INDEX('G-8 Condition Look up'!$A$3:$H$130,MATCH(F233,'G-8 Condition Look up'!$A$3:$A$130,0),MATCH(J233,'G-8 Condition Look up'!$A$3:$H$3,0)),"")</f>
        <v/>
      </c>
      <c r="L233" s="71"/>
      <c r="M233" s="507" t="str">
        <f>IF(L233="","",IF(VLOOKUP(L233,'G-3 Multipliers'!$L$3:$N$6,2,FALSE)=0,"Spatial Data Missing",VLOOKUP(L233,'G-3 Multipliers'!$L$3:$N$6,2,FALSE)))</f>
        <v/>
      </c>
      <c r="N233" s="505" t="str">
        <f>IF(L233="","",IF(VLOOKUP(L233,'G-3 Multipliers'!$L$3:$N$6,3,FALSE)=0,"Spatial Data Missing",VLOOKUP(L233,'G-3 Multipliers'!$L$3:$N$6,3,FALSE)))</f>
        <v/>
      </c>
      <c r="O233" s="498" t="str">
        <f t="shared" si="18"/>
        <v/>
      </c>
      <c r="P233" s="82"/>
      <c r="Q233" s="82"/>
      <c r="R233" s="507" t="str">
        <f t="shared" si="20"/>
        <v/>
      </c>
      <c r="S233" s="521" t="str">
        <f t="shared" si="21"/>
        <v/>
      </c>
      <c r="T233" s="522" t="str">
        <f>IFERROR(IF(S233="Check Data ⚠","Check Data ⚠",VLOOKUP(S233,'G-4 Temporal multipliers'!$A$4:$C$37,3,FALSE)),"")</f>
        <v/>
      </c>
      <c r="U233" s="523" t="str">
        <f>IF(F233="","",VLOOKUP(F233,'G-3 Multipliers'!$A$2:$E$129,2,FALSE))</f>
        <v/>
      </c>
      <c r="V233" s="520" t="str">
        <f t="shared" si="22"/>
        <v/>
      </c>
      <c r="W233" s="520" t="str">
        <f>IF(E233="","",IF(AND(V233="Standard difficulty applied",O233&gt;P233),U233,IF(AND(V233="Low Difficulty - only applicable if all habitat created before losses",P233&gt;=O233),"Low",VLOOKUP(F233,'G-3 Multipliers'!$A$2:$E$129,4,FALSE))))</f>
        <v/>
      </c>
      <c r="X233" s="524" t="str">
        <f>IFERROR(IF(E233="","",VLOOKUP(W233, 'G-3 Multipliers'!$P$2:$Q$6,2,FALSE)),"")</f>
        <v/>
      </c>
      <c r="Y233" s="529" t="str">
        <f t="shared" si="23"/>
        <v/>
      </c>
      <c r="Z233" s="239"/>
      <c r="AA233" s="240"/>
      <c r="AE233" s="54" t="str">
        <f t="shared" si="19"/>
        <v/>
      </c>
    </row>
    <row r="234" spans="1:31" x14ac:dyDescent="0.25">
      <c r="A234" s="47" t="str">
        <f>IFERROR(INDEX('G-8 Condition Look up'!$I$4:$I$130,MATCH(F234,'G-8 Condition Look up'!$A$4:$A$130,0)),"")</f>
        <v/>
      </c>
      <c r="C234" s="384" t="str">
        <f>IFERROR(INDEX('G-1 All Habitats'!$AG$3:$AG$15,MATCH(D234,'G-1 All Habitats'!$AF$3:$AF$15,0)),"")</f>
        <v/>
      </c>
      <c r="D234" s="146"/>
      <c r="E234" s="79"/>
      <c r="F234" s="246" t="str">
        <f>IFERROR(INDEX('G-1 All Habitats'!$B$3:$B$129,MATCH(E234,'G-1 All Habitats'!$A$3:$A$129,0)),"")</f>
        <v/>
      </c>
      <c r="G234" s="70"/>
      <c r="H234" s="498" t="str">
        <f>IF(F234="","",VLOOKUP(F234,'G-1 All Habitats'!$B$2:$M$129,10,FALSE))</f>
        <v/>
      </c>
      <c r="I234" s="499" t="str">
        <f>IFERROR(VLOOKUP(H234,'G-1 All Habitats'!$V$3:$W$7,2,FALSE),"")</f>
        <v/>
      </c>
      <c r="J234" s="71"/>
      <c r="K234" s="499" t="str">
        <f>IFERROR(INDEX('G-8 Condition Look up'!$A$3:$H$130,MATCH(F234,'G-8 Condition Look up'!$A$3:$A$130,0),MATCH(J234,'G-8 Condition Look up'!$A$3:$H$3,0)),"")</f>
        <v/>
      </c>
      <c r="L234" s="71"/>
      <c r="M234" s="507" t="str">
        <f>IF(L234="","",IF(VLOOKUP(L234,'G-3 Multipliers'!$L$3:$N$6,2,FALSE)=0,"Spatial Data Missing",VLOOKUP(L234,'G-3 Multipliers'!$L$3:$N$6,2,FALSE)))</f>
        <v/>
      </c>
      <c r="N234" s="505" t="str">
        <f>IF(L234="","",IF(VLOOKUP(L234,'G-3 Multipliers'!$L$3:$N$6,3,FALSE)=0,"Spatial Data Missing",VLOOKUP(L234,'G-3 Multipliers'!$L$3:$N$6,3,FALSE)))</f>
        <v/>
      </c>
      <c r="O234" s="498" t="str">
        <f t="shared" si="18"/>
        <v/>
      </c>
      <c r="P234" s="82"/>
      <c r="Q234" s="82"/>
      <c r="R234" s="507" t="str">
        <f t="shared" si="20"/>
        <v/>
      </c>
      <c r="S234" s="521" t="str">
        <f t="shared" si="21"/>
        <v/>
      </c>
      <c r="T234" s="522" t="str">
        <f>IFERROR(IF(S234="Check Data ⚠","Check Data ⚠",VLOOKUP(S234,'G-4 Temporal multipliers'!$A$4:$C$37,3,FALSE)),"")</f>
        <v/>
      </c>
      <c r="U234" s="523" t="str">
        <f>IF(F234="","",VLOOKUP(F234,'G-3 Multipliers'!$A$2:$E$129,2,FALSE))</f>
        <v/>
      </c>
      <c r="V234" s="520" t="str">
        <f t="shared" si="22"/>
        <v/>
      </c>
      <c r="W234" s="520" t="str">
        <f>IF(E234="","",IF(AND(V234="Standard difficulty applied",O234&gt;P234),U234,IF(AND(V234="Low Difficulty - only applicable if all habitat created before losses",P234&gt;=O234),"Low",VLOOKUP(F234,'G-3 Multipliers'!$A$2:$E$129,4,FALSE))))</f>
        <v/>
      </c>
      <c r="X234" s="524" t="str">
        <f>IFERROR(IF(E234="","",VLOOKUP(W234, 'G-3 Multipliers'!$P$2:$Q$6,2,FALSE)),"")</f>
        <v/>
      </c>
      <c r="Y234" s="529" t="str">
        <f t="shared" si="23"/>
        <v/>
      </c>
      <c r="Z234" s="239"/>
      <c r="AA234" s="240"/>
      <c r="AE234" s="54" t="str">
        <f t="shared" si="19"/>
        <v/>
      </c>
    </row>
    <row r="235" spans="1:31" x14ac:dyDescent="0.25">
      <c r="A235" s="47" t="str">
        <f>IFERROR(INDEX('G-8 Condition Look up'!$I$4:$I$130,MATCH(F235,'G-8 Condition Look up'!$A$4:$A$130,0)),"")</f>
        <v/>
      </c>
      <c r="C235" s="384" t="str">
        <f>IFERROR(INDEX('G-1 All Habitats'!$AG$3:$AG$15,MATCH(D235,'G-1 All Habitats'!$AF$3:$AF$15,0)),"")</f>
        <v/>
      </c>
      <c r="D235" s="146"/>
      <c r="E235" s="79"/>
      <c r="F235" s="246" t="str">
        <f>IFERROR(INDEX('G-1 All Habitats'!$B$3:$B$129,MATCH(E235,'G-1 All Habitats'!$A$3:$A$129,0)),"")</f>
        <v/>
      </c>
      <c r="G235" s="70"/>
      <c r="H235" s="498" t="str">
        <f>IF(F235="","",VLOOKUP(F235,'G-1 All Habitats'!$B$2:$M$129,10,FALSE))</f>
        <v/>
      </c>
      <c r="I235" s="499" t="str">
        <f>IFERROR(VLOOKUP(H235,'G-1 All Habitats'!$V$3:$W$7,2,FALSE),"")</f>
        <v/>
      </c>
      <c r="J235" s="71"/>
      <c r="K235" s="499" t="str">
        <f>IFERROR(INDEX('G-8 Condition Look up'!$A$3:$H$130,MATCH(F235,'G-8 Condition Look up'!$A$3:$A$130,0),MATCH(J235,'G-8 Condition Look up'!$A$3:$H$3,0)),"")</f>
        <v/>
      </c>
      <c r="L235" s="71"/>
      <c r="M235" s="507" t="str">
        <f>IF(L235="","",IF(VLOOKUP(L235,'G-3 Multipliers'!$L$3:$N$6,2,FALSE)=0,"Spatial Data Missing",VLOOKUP(L235,'G-3 Multipliers'!$L$3:$N$6,2,FALSE)))</f>
        <v/>
      </c>
      <c r="N235" s="505" t="str">
        <f>IF(L235="","",IF(VLOOKUP(L235,'G-3 Multipliers'!$L$3:$N$6,3,FALSE)=0,"Spatial Data Missing",VLOOKUP(L235,'G-3 Multipliers'!$L$3:$N$6,3,FALSE)))</f>
        <v/>
      </c>
      <c r="O235" s="498" t="str">
        <f t="shared" si="18"/>
        <v/>
      </c>
      <c r="P235" s="82"/>
      <c r="Q235" s="82"/>
      <c r="R235" s="507" t="str">
        <f t="shared" si="20"/>
        <v/>
      </c>
      <c r="S235" s="521" t="str">
        <f t="shared" si="21"/>
        <v/>
      </c>
      <c r="T235" s="522" t="str">
        <f>IFERROR(IF(S235="Check Data ⚠","Check Data ⚠",VLOOKUP(S235,'G-4 Temporal multipliers'!$A$4:$C$37,3,FALSE)),"")</f>
        <v/>
      </c>
      <c r="U235" s="523" t="str">
        <f>IF(F235="","",VLOOKUP(F235,'G-3 Multipliers'!$A$2:$E$129,2,FALSE))</f>
        <v/>
      </c>
      <c r="V235" s="520" t="str">
        <f t="shared" si="22"/>
        <v/>
      </c>
      <c r="W235" s="520" t="str">
        <f>IF(E235="","",IF(AND(V235="Standard difficulty applied",O235&gt;P235),U235,IF(AND(V235="Low Difficulty - only applicable if all habitat created before losses",P235&gt;=O235),"Low",VLOOKUP(F235,'G-3 Multipliers'!$A$2:$E$129,4,FALSE))))</f>
        <v/>
      </c>
      <c r="X235" s="524" t="str">
        <f>IFERROR(IF(E235="","",VLOOKUP(W235, 'G-3 Multipliers'!$P$2:$Q$6,2,FALSE)),"")</f>
        <v/>
      </c>
      <c r="Y235" s="529" t="str">
        <f t="shared" si="23"/>
        <v/>
      </c>
      <c r="Z235" s="239"/>
      <c r="AA235" s="240"/>
      <c r="AE235" s="54" t="str">
        <f t="shared" si="19"/>
        <v/>
      </c>
    </row>
    <row r="236" spans="1:31" x14ac:dyDescent="0.25">
      <c r="A236" s="47" t="str">
        <f>IFERROR(INDEX('G-8 Condition Look up'!$I$4:$I$130,MATCH(F236,'G-8 Condition Look up'!$A$4:$A$130,0)),"")</f>
        <v/>
      </c>
      <c r="C236" s="384" t="str">
        <f>IFERROR(INDEX('G-1 All Habitats'!$AG$3:$AG$15,MATCH(D236,'G-1 All Habitats'!$AF$3:$AF$15,0)),"")</f>
        <v/>
      </c>
      <c r="D236" s="146"/>
      <c r="E236" s="79"/>
      <c r="F236" s="246" t="str">
        <f>IFERROR(INDEX('G-1 All Habitats'!$B$3:$B$129,MATCH(E236,'G-1 All Habitats'!$A$3:$A$129,0)),"")</f>
        <v/>
      </c>
      <c r="G236" s="70"/>
      <c r="H236" s="498" t="str">
        <f>IF(F236="","",VLOOKUP(F236,'G-1 All Habitats'!$B$2:$M$129,10,FALSE))</f>
        <v/>
      </c>
      <c r="I236" s="499" t="str">
        <f>IFERROR(VLOOKUP(H236,'G-1 All Habitats'!$V$3:$W$7,2,FALSE),"")</f>
        <v/>
      </c>
      <c r="J236" s="71"/>
      <c r="K236" s="499" t="str">
        <f>IFERROR(INDEX('G-8 Condition Look up'!$A$3:$H$130,MATCH(F236,'G-8 Condition Look up'!$A$3:$A$130,0),MATCH(J236,'G-8 Condition Look up'!$A$3:$H$3,0)),"")</f>
        <v/>
      </c>
      <c r="L236" s="71"/>
      <c r="M236" s="507" t="str">
        <f>IF(L236="","",IF(VLOOKUP(L236,'G-3 Multipliers'!$L$3:$N$6,2,FALSE)=0,"Spatial Data Missing",VLOOKUP(L236,'G-3 Multipliers'!$L$3:$N$6,2,FALSE)))</f>
        <v/>
      </c>
      <c r="N236" s="505" t="str">
        <f>IF(L236="","",IF(VLOOKUP(L236,'G-3 Multipliers'!$L$3:$N$6,3,FALSE)=0,"Spatial Data Missing",VLOOKUP(L236,'G-3 Multipliers'!$L$3:$N$6,3,FALSE)))</f>
        <v/>
      </c>
      <c r="O236" s="498" t="str">
        <f t="shared" si="18"/>
        <v/>
      </c>
      <c r="P236" s="82"/>
      <c r="Q236" s="82"/>
      <c r="R236" s="507" t="str">
        <f t="shared" si="20"/>
        <v/>
      </c>
      <c r="S236" s="521" t="str">
        <f t="shared" si="21"/>
        <v/>
      </c>
      <c r="T236" s="522" t="str">
        <f>IFERROR(IF(S236="Check Data ⚠","Check Data ⚠",VLOOKUP(S236,'G-4 Temporal multipliers'!$A$4:$C$37,3,FALSE)),"")</f>
        <v/>
      </c>
      <c r="U236" s="523" t="str">
        <f>IF(F236="","",VLOOKUP(F236,'G-3 Multipliers'!$A$2:$E$129,2,FALSE))</f>
        <v/>
      </c>
      <c r="V236" s="520" t="str">
        <f t="shared" si="22"/>
        <v/>
      </c>
      <c r="W236" s="520" t="str">
        <f>IF(E236="","",IF(AND(V236="Standard difficulty applied",O236&gt;P236),U236,IF(AND(V236="Low Difficulty - only applicable if all habitat created before losses",P236&gt;=O236),"Low",VLOOKUP(F236,'G-3 Multipliers'!$A$2:$E$129,4,FALSE))))</f>
        <v/>
      </c>
      <c r="X236" s="524" t="str">
        <f>IFERROR(IF(E236="","",VLOOKUP(W236, 'G-3 Multipliers'!$P$2:$Q$6,2,FALSE)),"")</f>
        <v/>
      </c>
      <c r="Y236" s="529" t="str">
        <f t="shared" si="23"/>
        <v/>
      </c>
      <c r="Z236" s="239"/>
      <c r="AA236" s="240"/>
      <c r="AE236" s="54" t="str">
        <f t="shared" si="19"/>
        <v/>
      </c>
    </row>
    <row r="237" spans="1:31" x14ac:dyDescent="0.25">
      <c r="A237" s="47" t="str">
        <f>IFERROR(INDEX('G-8 Condition Look up'!$I$4:$I$130,MATCH(F237,'G-8 Condition Look up'!$A$4:$A$130,0)),"")</f>
        <v/>
      </c>
      <c r="C237" s="384" t="str">
        <f>IFERROR(INDEX('G-1 All Habitats'!$AG$3:$AG$15,MATCH(D237,'G-1 All Habitats'!$AF$3:$AF$15,0)),"")</f>
        <v/>
      </c>
      <c r="D237" s="146"/>
      <c r="E237" s="79"/>
      <c r="F237" s="246" t="str">
        <f>IFERROR(INDEX('G-1 All Habitats'!$B$3:$B$129,MATCH(E237,'G-1 All Habitats'!$A$3:$A$129,0)),"")</f>
        <v/>
      </c>
      <c r="G237" s="70"/>
      <c r="H237" s="498" t="str">
        <f>IF(F237="","",VLOOKUP(F237,'G-1 All Habitats'!$B$2:$M$129,10,FALSE))</f>
        <v/>
      </c>
      <c r="I237" s="499" t="str">
        <f>IFERROR(VLOOKUP(H237,'G-1 All Habitats'!$V$3:$W$7,2,FALSE),"")</f>
        <v/>
      </c>
      <c r="J237" s="71"/>
      <c r="K237" s="499" t="str">
        <f>IFERROR(INDEX('G-8 Condition Look up'!$A$3:$H$130,MATCH(F237,'G-8 Condition Look up'!$A$3:$A$130,0),MATCH(J237,'G-8 Condition Look up'!$A$3:$H$3,0)),"")</f>
        <v/>
      </c>
      <c r="L237" s="71"/>
      <c r="M237" s="507" t="str">
        <f>IF(L237="","",IF(VLOOKUP(L237,'G-3 Multipliers'!$L$3:$N$6,2,FALSE)=0,"Spatial Data Missing",VLOOKUP(L237,'G-3 Multipliers'!$L$3:$N$6,2,FALSE)))</f>
        <v/>
      </c>
      <c r="N237" s="505" t="str">
        <f>IF(L237="","",IF(VLOOKUP(L237,'G-3 Multipliers'!$L$3:$N$6,3,FALSE)=0,"Spatial Data Missing",VLOOKUP(L237,'G-3 Multipliers'!$L$3:$N$6,3,FALSE)))</f>
        <v/>
      </c>
      <c r="O237" s="498" t="str">
        <f t="shared" si="18"/>
        <v/>
      </c>
      <c r="P237" s="82"/>
      <c r="Q237" s="82"/>
      <c r="R237" s="507" t="str">
        <f t="shared" si="20"/>
        <v/>
      </c>
      <c r="S237" s="521" t="str">
        <f t="shared" si="21"/>
        <v/>
      </c>
      <c r="T237" s="522" t="str">
        <f>IFERROR(IF(S237="Check Data ⚠","Check Data ⚠",VLOOKUP(S237,'G-4 Temporal multipliers'!$A$4:$C$37,3,FALSE)),"")</f>
        <v/>
      </c>
      <c r="U237" s="523" t="str">
        <f>IF(F237="","",VLOOKUP(F237,'G-3 Multipliers'!$A$2:$E$129,2,FALSE))</f>
        <v/>
      </c>
      <c r="V237" s="520" t="str">
        <f t="shared" si="22"/>
        <v/>
      </c>
      <c r="W237" s="520" t="str">
        <f>IF(E237="","",IF(AND(V237="Standard difficulty applied",O237&gt;P237),U237,IF(AND(V237="Low Difficulty - only applicable if all habitat created before losses",P237&gt;=O237),"Low",VLOOKUP(F237,'G-3 Multipliers'!$A$2:$E$129,4,FALSE))))</f>
        <v/>
      </c>
      <c r="X237" s="524" t="str">
        <f>IFERROR(IF(E237="","",VLOOKUP(W237, 'G-3 Multipliers'!$P$2:$Q$6,2,FALSE)),"")</f>
        <v/>
      </c>
      <c r="Y237" s="529" t="str">
        <f t="shared" si="23"/>
        <v/>
      </c>
      <c r="Z237" s="239"/>
      <c r="AA237" s="240"/>
      <c r="AE237" s="54" t="str">
        <f t="shared" si="19"/>
        <v/>
      </c>
    </row>
    <row r="238" spans="1:31" x14ac:dyDescent="0.25">
      <c r="A238" s="47" t="str">
        <f>IFERROR(INDEX('G-8 Condition Look up'!$I$4:$I$130,MATCH(F238,'G-8 Condition Look up'!$A$4:$A$130,0)),"")</f>
        <v/>
      </c>
      <c r="C238" s="384" t="str">
        <f>IFERROR(INDEX('G-1 All Habitats'!$AG$3:$AG$15,MATCH(D238,'G-1 All Habitats'!$AF$3:$AF$15,0)),"")</f>
        <v/>
      </c>
      <c r="D238" s="146"/>
      <c r="E238" s="79"/>
      <c r="F238" s="246" t="str">
        <f>IFERROR(INDEX('G-1 All Habitats'!$B$3:$B$129,MATCH(E238,'G-1 All Habitats'!$A$3:$A$129,0)),"")</f>
        <v/>
      </c>
      <c r="G238" s="70"/>
      <c r="H238" s="498" t="str">
        <f>IF(F238="","",VLOOKUP(F238,'G-1 All Habitats'!$B$2:$M$129,10,FALSE))</f>
        <v/>
      </c>
      <c r="I238" s="499" t="str">
        <f>IFERROR(VLOOKUP(H238,'G-1 All Habitats'!$V$3:$W$7,2,FALSE),"")</f>
        <v/>
      </c>
      <c r="J238" s="71"/>
      <c r="K238" s="499" t="str">
        <f>IFERROR(INDEX('G-8 Condition Look up'!$A$3:$H$130,MATCH(F238,'G-8 Condition Look up'!$A$3:$A$130,0),MATCH(J238,'G-8 Condition Look up'!$A$3:$H$3,0)),"")</f>
        <v/>
      </c>
      <c r="L238" s="71"/>
      <c r="M238" s="507" t="str">
        <f>IF(L238="","",IF(VLOOKUP(L238,'G-3 Multipliers'!$L$3:$N$6,2,FALSE)=0,"Spatial Data Missing",VLOOKUP(L238,'G-3 Multipliers'!$L$3:$N$6,2,FALSE)))</f>
        <v/>
      </c>
      <c r="N238" s="505" t="str">
        <f>IF(L238="","",IF(VLOOKUP(L238,'G-3 Multipliers'!$L$3:$N$6,3,FALSE)=0,"Spatial Data Missing",VLOOKUP(L238,'G-3 Multipliers'!$L$3:$N$6,3,FALSE)))</f>
        <v/>
      </c>
      <c r="O238" s="498" t="str">
        <f t="shared" si="18"/>
        <v/>
      </c>
      <c r="P238" s="82"/>
      <c r="Q238" s="82"/>
      <c r="R238" s="507" t="str">
        <f t="shared" si="20"/>
        <v/>
      </c>
      <c r="S238" s="521" t="str">
        <f t="shared" si="21"/>
        <v/>
      </c>
      <c r="T238" s="522" t="str">
        <f>IFERROR(IF(S238="Check Data ⚠","Check Data ⚠",VLOOKUP(S238,'G-4 Temporal multipliers'!$A$4:$C$37,3,FALSE)),"")</f>
        <v/>
      </c>
      <c r="U238" s="523" t="str">
        <f>IF(F238="","",VLOOKUP(F238,'G-3 Multipliers'!$A$2:$E$129,2,FALSE))</f>
        <v/>
      </c>
      <c r="V238" s="520" t="str">
        <f t="shared" si="22"/>
        <v/>
      </c>
      <c r="W238" s="520" t="str">
        <f>IF(E238="","",IF(AND(V238="Standard difficulty applied",O238&gt;P238),U238,IF(AND(V238="Low Difficulty - only applicable if all habitat created before losses",P238&gt;=O238),"Low",VLOOKUP(F238,'G-3 Multipliers'!$A$2:$E$129,4,FALSE))))</f>
        <v/>
      </c>
      <c r="X238" s="524" t="str">
        <f>IFERROR(IF(E238="","",VLOOKUP(W238, 'G-3 Multipliers'!$P$2:$Q$6,2,FALSE)),"")</f>
        <v/>
      </c>
      <c r="Y238" s="529" t="str">
        <f t="shared" si="23"/>
        <v/>
      </c>
      <c r="Z238" s="239"/>
      <c r="AA238" s="240"/>
      <c r="AE238" s="54" t="str">
        <f t="shared" si="19"/>
        <v/>
      </c>
    </row>
    <row r="239" spans="1:31" x14ac:dyDescent="0.25">
      <c r="A239" s="47" t="str">
        <f>IFERROR(INDEX('G-8 Condition Look up'!$I$4:$I$130,MATCH(F239,'G-8 Condition Look up'!$A$4:$A$130,0)),"")</f>
        <v/>
      </c>
      <c r="C239" s="384" t="str">
        <f>IFERROR(INDEX('G-1 All Habitats'!$AG$3:$AG$15,MATCH(D239,'G-1 All Habitats'!$AF$3:$AF$15,0)),"")</f>
        <v/>
      </c>
      <c r="D239" s="146"/>
      <c r="E239" s="79"/>
      <c r="F239" s="246" t="str">
        <f>IFERROR(INDEX('G-1 All Habitats'!$B$3:$B$129,MATCH(E239,'G-1 All Habitats'!$A$3:$A$129,0)),"")</f>
        <v/>
      </c>
      <c r="G239" s="70"/>
      <c r="H239" s="498" t="str">
        <f>IF(F239="","",VLOOKUP(F239,'G-1 All Habitats'!$B$2:$M$129,10,FALSE))</f>
        <v/>
      </c>
      <c r="I239" s="499" t="str">
        <f>IFERROR(VLOOKUP(H239,'G-1 All Habitats'!$V$3:$W$7,2,FALSE),"")</f>
        <v/>
      </c>
      <c r="J239" s="71"/>
      <c r="K239" s="499" t="str">
        <f>IFERROR(INDEX('G-8 Condition Look up'!$A$3:$H$130,MATCH(F239,'G-8 Condition Look up'!$A$3:$A$130,0),MATCH(J239,'G-8 Condition Look up'!$A$3:$H$3,0)),"")</f>
        <v/>
      </c>
      <c r="L239" s="71"/>
      <c r="M239" s="507" t="str">
        <f>IF(L239="","",IF(VLOOKUP(L239,'G-3 Multipliers'!$L$3:$N$6,2,FALSE)=0,"Spatial Data Missing",VLOOKUP(L239,'G-3 Multipliers'!$L$3:$N$6,2,FALSE)))</f>
        <v/>
      </c>
      <c r="N239" s="505" t="str">
        <f>IF(L239="","",IF(VLOOKUP(L239,'G-3 Multipliers'!$L$3:$N$6,3,FALSE)=0,"Spatial Data Missing",VLOOKUP(L239,'G-3 Multipliers'!$L$3:$N$6,3,FALSE)))</f>
        <v/>
      </c>
      <c r="O239" s="498" t="str">
        <f t="shared" si="18"/>
        <v/>
      </c>
      <c r="P239" s="82"/>
      <c r="Q239" s="82"/>
      <c r="R239" s="507" t="str">
        <f t="shared" si="20"/>
        <v/>
      </c>
      <c r="S239" s="521" t="str">
        <f t="shared" si="21"/>
        <v/>
      </c>
      <c r="T239" s="522" t="str">
        <f>IFERROR(IF(S239="Check Data ⚠","Check Data ⚠",VLOOKUP(S239,'G-4 Temporal multipliers'!$A$4:$C$37,3,FALSE)),"")</f>
        <v/>
      </c>
      <c r="U239" s="523" t="str">
        <f>IF(F239="","",VLOOKUP(F239,'G-3 Multipliers'!$A$2:$E$129,2,FALSE))</f>
        <v/>
      </c>
      <c r="V239" s="520" t="str">
        <f t="shared" si="22"/>
        <v/>
      </c>
      <c r="W239" s="520" t="str">
        <f>IF(E239="","",IF(AND(V239="Standard difficulty applied",O239&gt;P239),U239,IF(AND(V239="Low Difficulty - only applicable if all habitat created before losses",P239&gt;=O239),"Low",VLOOKUP(F239,'G-3 Multipliers'!$A$2:$E$129,4,FALSE))))</f>
        <v/>
      </c>
      <c r="X239" s="524" t="str">
        <f>IFERROR(IF(E239="","",VLOOKUP(W239, 'G-3 Multipliers'!$P$2:$Q$6,2,FALSE)),"")</f>
        <v/>
      </c>
      <c r="Y239" s="529" t="str">
        <f t="shared" si="23"/>
        <v/>
      </c>
      <c r="Z239" s="239"/>
      <c r="AA239" s="240"/>
      <c r="AE239" s="54" t="str">
        <f t="shared" si="19"/>
        <v/>
      </c>
    </row>
    <row r="240" spans="1:31" x14ac:dyDescent="0.25">
      <c r="A240" s="47" t="str">
        <f>IFERROR(INDEX('G-8 Condition Look up'!$I$4:$I$130,MATCH(F240,'G-8 Condition Look up'!$A$4:$A$130,0)),"")</f>
        <v/>
      </c>
      <c r="C240" s="384" t="str">
        <f>IFERROR(INDEX('G-1 All Habitats'!$AG$3:$AG$15,MATCH(D240,'G-1 All Habitats'!$AF$3:$AF$15,0)),"")</f>
        <v/>
      </c>
      <c r="D240" s="146"/>
      <c r="E240" s="79"/>
      <c r="F240" s="246" t="str">
        <f>IFERROR(INDEX('G-1 All Habitats'!$B$3:$B$129,MATCH(E240,'G-1 All Habitats'!$A$3:$A$129,0)),"")</f>
        <v/>
      </c>
      <c r="G240" s="70"/>
      <c r="H240" s="498" t="str">
        <f>IF(F240="","",VLOOKUP(F240,'G-1 All Habitats'!$B$2:$M$129,10,FALSE))</f>
        <v/>
      </c>
      <c r="I240" s="499" t="str">
        <f>IFERROR(VLOOKUP(H240,'G-1 All Habitats'!$V$3:$W$7,2,FALSE),"")</f>
        <v/>
      </c>
      <c r="J240" s="71"/>
      <c r="K240" s="499" t="str">
        <f>IFERROR(INDEX('G-8 Condition Look up'!$A$3:$H$130,MATCH(F240,'G-8 Condition Look up'!$A$3:$A$130,0),MATCH(J240,'G-8 Condition Look up'!$A$3:$H$3,0)),"")</f>
        <v/>
      </c>
      <c r="L240" s="71"/>
      <c r="M240" s="507" t="str">
        <f>IF(L240="","",IF(VLOOKUP(L240,'G-3 Multipliers'!$L$3:$N$6,2,FALSE)=0,"Spatial Data Missing",VLOOKUP(L240,'G-3 Multipliers'!$L$3:$N$6,2,FALSE)))</f>
        <v/>
      </c>
      <c r="N240" s="505" t="str">
        <f>IF(L240="","",IF(VLOOKUP(L240,'G-3 Multipliers'!$L$3:$N$6,3,FALSE)=0,"Spatial Data Missing",VLOOKUP(L240,'G-3 Multipliers'!$L$3:$N$6,3,FALSE)))</f>
        <v/>
      </c>
      <c r="O240" s="498" t="str">
        <f t="shared" si="18"/>
        <v/>
      </c>
      <c r="P240" s="82"/>
      <c r="Q240" s="82"/>
      <c r="R240" s="507" t="str">
        <f t="shared" si="20"/>
        <v/>
      </c>
      <c r="S240" s="521" t="str">
        <f t="shared" si="21"/>
        <v/>
      </c>
      <c r="T240" s="522" t="str">
        <f>IFERROR(IF(S240="Check Data ⚠","Check Data ⚠",VLOOKUP(S240,'G-4 Temporal multipliers'!$A$4:$C$37,3,FALSE)),"")</f>
        <v/>
      </c>
      <c r="U240" s="523" t="str">
        <f>IF(F240="","",VLOOKUP(F240,'G-3 Multipliers'!$A$2:$E$129,2,FALSE))</f>
        <v/>
      </c>
      <c r="V240" s="520" t="str">
        <f t="shared" si="22"/>
        <v/>
      </c>
      <c r="W240" s="520" t="str">
        <f>IF(E240="","",IF(AND(V240="Standard difficulty applied",O240&gt;P240),U240,IF(AND(V240="Low Difficulty - only applicable if all habitat created before losses",P240&gt;=O240),"Low",VLOOKUP(F240,'G-3 Multipliers'!$A$2:$E$129,4,FALSE))))</f>
        <v/>
      </c>
      <c r="X240" s="524" t="str">
        <f>IFERROR(IF(E240="","",VLOOKUP(W240, 'G-3 Multipliers'!$P$2:$Q$6,2,FALSE)),"")</f>
        <v/>
      </c>
      <c r="Y240" s="529" t="str">
        <f t="shared" si="23"/>
        <v/>
      </c>
      <c r="Z240" s="239"/>
      <c r="AA240" s="240"/>
      <c r="AE240" s="54" t="str">
        <f t="shared" si="19"/>
        <v/>
      </c>
    </row>
    <row r="241" spans="1:31" x14ac:dyDescent="0.25">
      <c r="A241" s="47" t="str">
        <f>IFERROR(INDEX('G-8 Condition Look up'!$I$4:$I$130,MATCH(F241,'G-8 Condition Look up'!$A$4:$A$130,0)),"")</f>
        <v/>
      </c>
      <c r="C241" s="384" t="str">
        <f>IFERROR(INDEX('G-1 All Habitats'!$AG$3:$AG$15,MATCH(D241,'G-1 All Habitats'!$AF$3:$AF$15,0)),"")</f>
        <v/>
      </c>
      <c r="D241" s="146"/>
      <c r="E241" s="79"/>
      <c r="F241" s="246" t="str">
        <f>IFERROR(INDEX('G-1 All Habitats'!$B$3:$B$129,MATCH(E241,'G-1 All Habitats'!$A$3:$A$129,0)),"")</f>
        <v/>
      </c>
      <c r="G241" s="70"/>
      <c r="H241" s="498" t="str">
        <f>IF(F241="","",VLOOKUP(F241,'G-1 All Habitats'!$B$2:$M$129,10,FALSE))</f>
        <v/>
      </c>
      <c r="I241" s="499" t="str">
        <f>IFERROR(VLOOKUP(H241,'G-1 All Habitats'!$V$3:$W$7,2,FALSE),"")</f>
        <v/>
      </c>
      <c r="J241" s="71"/>
      <c r="K241" s="499" t="str">
        <f>IFERROR(INDEX('G-8 Condition Look up'!$A$3:$H$130,MATCH(F241,'G-8 Condition Look up'!$A$3:$A$130,0),MATCH(J241,'G-8 Condition Look up'!$A$3:$H$3,0)),"")</f>
        <v/>
      </c>
      <c r="L241" s="71"/>
      <c r="M241" s="507" t="str">
        <f>IF(L241="","",IF(VLOOKUP(L241,'G-3 Multipliers'!$L$3:$N$6,2,FALSE)=0,"Spatial Data Missing",VLOOKUP(L241,'G-3 Multipliers'!$L$3:$N$6,2,FALSE)))</f>
        <v/>
      </c>
      <c r="N241" s="505" t="str">
        <f>IF(L241="","",IF(VLOOKUP(L241,'G-3 Multipliers'!$L$3:$N$6,3,FALSE)=0,"Spatial Data Missing",VLOOKUP(L241,'G-3 Multipliers'!$L$3:$N$6,3,FALSE)))</f>
        <v/>
      </c>
      <c r="O241" s="498" t="str">
        <f t="shared" si="18"/>
        <v/>
      </c>
      <c r="P241" s="82"/>
      <c r="Q241" s="82"/>
      <c r="R241" s="507" t="str">
        <f t="shared" si="20"/>
        <v/>
      </c>
      <c r="S241" s="521" t="str">
        <f t="shared" si="21"/>
        <v/>
      </c>
      <c r="T241" s="522" t="str">
        <f>IFERROR(IF(S241="Check Data ⚠","Check Data ⚠",VLOOKUP(S241,'G-4 Temporal multipliers'!$A$4:$C$37,3,FALSE)),"")</f>
        <v/>
      </c>
      <c r="U241" s="523" t="str">
        <f>IF(F241="","",VLOOKUP(F241,'G-3 Multipliers'!$A$2:$E$129,2,FALSE))</f>
        <v/>
      </c>
      <c r="V241" s="520" t="str">
        <f t="shared" si="22"/>
        <v/>
      </c>
      <c r="W241" s="520" t="str">
        <f>IF(E241="","",IF(AND(V241="Standard difficulty applied",O241&gt;P241),U241,IF(AND(V241="Low Difficulty - only applicable if all habitat created before losses",P241&gt;=O241),"Low",VLOOKUP(F241,'G-3 Multipliers'!$A$2:$E$129,4,FALSE))))</f>
        <v/>
      </c>
      <c r="X241" s="524" t="str">
        <f>IFERROR(IF(E241="","",VLOOKUP(W241, 'G-3 Multipliers'!$P$2:$Q$6,2,FALSE)),"")</f>
        <v/>
      </c>
      <c r="Y241" s="529" t="str">
        <f t="shared" si="23"/>
        <v/>
      </c>
      <c r="Z241" s="239"/>
      <c r="AA241" s="240"/>
      <c r="AE241" s="54" t="str">
        <f t="shared" si="19"/>
        <v/>
      </c>
    </row>
    <row r="242" spans="1:31" x14ac:dyDescent="0.25">
      <c r="A242" s="47" t="str">
        <f>IFERROR(INDEX('G-8 Condition Look up'!$I$4:$I$130,MATCH(F242,'G-8 Condition Look up'!$A$4:$A$130,0)),"")</f>
        <v/>
      </c>
      <c r="C242" s="384" t="str">
        <f>IFERROR(INDEX('G-1 All Habitats'!$AG$3:$AG$15,MATCH(D242,'G-1 All Habitats'!$AF$3:$AF$15,0)),"")</f>
        <v/>
      </c>
      <c r="D242" s="146"/>
      <c r="E242" s="79"/>
      <c r="F242" s="246" t="str">
        <f>IFERROR(INDEX('G-1 All Habitats'!$B$3:$B$129,MATCH(E242,'G-1 All Habitats'!$A$3:$A$129,0)),"")</f>
        <v/>
      </c>
      <c r="G242" s="70"/>
      <c r="H242" s="498" t="str">
        <f>IF(F242="","",VLOOKUP(F242,'G-1 All Habitats'!$B$2:$M$129,10,FALSE))</f>
        <v/>
      </c>
      <c r="I242" s="499" t="str">
        <f>IFERROR(VLOOKUP(H242,'G-1 All Habitats'!$V$3:$W$7,2,FALSE),"")</f>
        <v/>
      </c>
      <c r="J242" s="71"/>
      <c r="K242" s="499" t="str">
        <f>IFERROR(INDEX('G-8 Condition Look up'!$A$3:$H$130,MATCH(F242,'G-8 Condition Look up'!$A$3:$A$130,0),MATCH(J242,'G-8 Condition Look up'!$A$3:$H$3,0)),"")</f>
        <v/>
      </c>
      <c r="L242" s="71"/>
      <c r="M242" s="507" t="str">
        <f>IF(L242="","",IF(VLOOKUP(L242,'G-3 Multipliers'!$L$3:$N$6,2,FALSE)=0,"Spatial Data Missing",VLOOKUP(L242,'G-3 Multipliers'!$L$3:$N$6,2,FALSE)))</f>
        <v/>
      </c>
      <c r="N242" s="505" t="str">
        <f>IF(L242="","",IF(VLOOKUP(L242,'G-3 Multipliers'!$L$3:$N$6,3,FALSE)=0,"Spatial Data Missing",VLOOKUP(L242,'G-3 Multipliers'!$L$3:$N$6,3,FALSE)))</f>
        <v/>
      </c>
      <c r="O242" s="498" t="str">
        <f t="shared" si="18"/>
        <v/>
      </c>
      <c r="P242" s="82"/>
      <c r="Q242" s="82"/>
      <c r="R242" s="507" t="str">
        <f t="shared" si="20"/>
        <v/>
      </c>
      <c r="S242" s="521" t="str">
        <f t="shared" si="21"/>
        <v/>
      </c>
      <c r="T242" s="522" t="str">
        <f>IFERROR(IF(S242="Check Data ⚠","Check Data ⚠",VLOOKUP(S242,'G-4 Temporal multipliers'!$A$4:$C$37,3,FALSE)),"")</f>
        <v/>
      </c>
      <c r="U242" s="523" t="str">
        <f>IF(F242="","",VLOOKUP(F242,'G-3 Multipliers'!$A$2:$E$129,2,FALSE))</f>
        <v/>
      </c>
      <c r="V242" s="520" t="str">
        <f t="shared" si="22"/>
        <v/>
      </c>
      <c r="W242" s="520" t="str">
        <f>IF(E242="","",IF(AND(V242="Standard difficulty applied",O242&gt;P242),U242,IF(AND(V242="Low Difficulty - only applicable if all habitat created before losses",P242&gt;=O242),"Low",VLOOKUP(F242,'G-3 Multipliers'!$A$2:$E$129,4,FALSE))))</f>
        <v/>
      </c>
      <c r="X242" s="524" t="str">
        <f>IFERROR(IF(E242="","",VLOOKUP(W242, 'G-3 Multipliers'!$P$2:$Q$6,2,FALSE)),"")</f>
        <v/>
      </c>
      <c r="Y242" s="529" t="str">
        <f t="shared" si="23"/>
        <v/>
      </c>
      <c r="Z242" s="239"/>
      <c r="AA242" s="240"/>
      <c r="AE242" s="54" t="str">
        <f t="shared" si="19"/>
        <v/>
      </c>
    </row>
    <row r="243" spans="1:31" x14ac:dyDescent="0.25">
      <c r="A243" s="47" t="str">
        <f>IFERROR(INDEX('G-8 Condition Look up'!$I$4:$I$130,MATCH(F243,'G-8 Condition Look up'!$A$4:$A$130,0)),"")</f>
        <v/>
      </c>
      <c r="C243" s="384" t="str">
        <f>IFERROR(INDEX('G-1 All Habitats'!$AG$3:$AG$15,MATCH(D243,'G-1 All Habitats'!$AF$3:$AF$15,0)),"")</f>
        <v/>
      </c>
      <c r="D243" s="146"/>
      <c r="E243" s="79"/>
      <c r="F243" s="246" t="str">
        <f>IFERROR(INDEX('G-1 All Habitats'!$B$3:$B$129,MATCH(E243,'G-1 All Habitats'!$A$3:$A$129,0)),"")</f>
        <v/>
      </c>
      <c r="G243" s="70"/>
      <c r="H243" s="498" t="str">
        <f>IF(F243="","",VLOOKUP(F243,'G-1 All Habitats'!$B$2:$M$129,10,FALSE))</f>
        <v/>
      </c>
      <c r="I243" s="499" t="str">
        <f>IFERROR(VLOOKUP(H243,'G-1 All Habitats'!$V$3:$W$7,2,FALSE),"")</f>
        <v/>
      </c>
      <c r="J243" s="71"/>
      <c r="K243" s="499" t="str">
        <f>IFERROR(INDEX('G-8 Condition Look up'!$A$3:$H$130,MATCH(F243,'G-8 Condition Look up'!$A$3:$A$130,0),MATCH(J243,'G-8 Condition Look up'!$A$3:$H$3,0)),"")</f>
        <v/>
      </c>
      <c r="L243" s="71"/>
      <c r="M243" s="507" t="str">
        <f>IF(L243="","",IF(VLOOKUP(L243,'G-3 Multipliers'!$L$3:$N$6,2,FALSE)=0,"Spatial Data Missing",VLOOKUP(L243,'G-3 Multipliers'!$L$3:$N$6,2,FALSE)))</f>
        <v/>
      </c>
      <c r="N243" s="505" t="str">
        <f>IF(L243="","",IF(VLOOKUP(L243,'G-3 Multipliers'!$L$3:$N$6,3,FALSE)=0,"Spatial Data Missing",VLOOKUP(L243,'G-3 Multipliers'!$L$3:$N$6,3,FALSE)))</f>
        <v/>
      </c>
      <c r="O243" s="498" t="str">
        <f t="shared" si="18"/>
        <v/>
      </c>
      <c r="P243" s="82"/>
      <c r="Q243" s="82"/>
      <c r="R243" s="507" t="str">
        <f t="shared" si="20"/>
        <v/>
      </c>
      <c r="S243" s="521" t="str">
        <f t="shared" si="21"/>
        <v/>
      </c>
      <c r="T243" s="522" t="str">
        <f>IFERROR(IF(S243="Check Data ⚠","Check Data ⚠",VLOOKUP(S243,'G-4 Temporal multipliers'!$A$4:$C$37,3,FALSE)),"")</f>
        <v/>
      </c>
      <c r="U243" s="523" t="str">
        <f>IF(F243="","",VLOOKUP(F243,'G-3 Multipliers'!$A$2:$E$129,2,FALSE))</f>
        <v/>
      </c>
      <c r="V243" s="520" t="str">
        <f t="shared" si="22"/>
        <v/>
      </c>
      <c r="W243" s="520" t="str">
        <f>IF(E243="","",IF(AND(V243="Standard difficulty applied",O243&gt;P243),U243,IF(AND(V243="Low Difficulty - only applicable if all habitat created before losses",P243&gt;=O243),"Low",VLOOKUP(F243,'G-3 Multipliers'!$A$2:$E$129,4,FALSE))))</f>
        <v/>
      </c>
      <c r="X243" s="524" t="str">
        <f>IFERROR(IF(E243="","",VLOOKUP(W243, 'G-3 Multipliers'!$P$2:$Q$6,2,FALSE)),"")</f>
        <v/>
      </c>
      <c r="Y243" s="529" t="str">
        <f t="shared" si="23"/>
        <v/>
      </c>
      <c r="Z243" s="239"/>
      <c r="AA243" s="240"/>
      <c r="AE243" s="54" t="str">
        <f t="shared" si="19"/>
        <v/>
      </c>
    </row>
    <row r="244" spans="1:31" x14ac:dyDescent="0.25">
      <c r="A244" s="47" t="str">
        <f>IFERROR(INDEX('G-8 Condition Look up'!$I$4:$I$130,MATCH(F244,'G-8 Condition Look up'!$A$4:$A$130,0)),"")</f>
        <v/>
      </c>
      <c r="C244" s="384" t="str">
        <f>IFERROR(INDEX('G-1 All Habitats'!$AG$3:$AG$15,MATCH(D244,'G-1 All Habitats'!$AF$3:$AF$15,0)),"")</f>
        <v/>
      </c>
      <c r="D244" s="146"/>
      <c r="E244" s="79"/>
      <c r="F244" s="246" t="str">
        <f>IFERROR(INDEX('G-1 All Habitats'!$B$3:$B$129,MATCH(E244,'G-1 All Habitats'!$A$3:$A$129,0)),"")</f>
        <v/>
      </c>
      <c r="G244" s="70"/>
      <c r="H244" s="498" t="str">
        <f>IF(F244="","",VLOOKUP(F244,'G-1 All Habitats'!$B$2:$M$129,10,FALSE))</f>
        <v/>
      </c>
      <c r="I244" s="499" t="str">
        <f>IFERROR(VLOOKUP(H244,'G-1 All Habitats'!$V$3:$W$7,2,FALSE),"")</f>
        <v/>
      </c>
      <c r="J244" s="71"/>
      <c r="K244" s="499" t="str">
        <f>IFERROR(INDEX('G-8 Condition Look up'!$A$3:$H$130,MATCH(F244,'G-8 Condition Look up'!$A$3:$A$130,0),MATCH(J244,'G-8 Condition Look up'!$A$3:$H$3,0)),"")</f>
        <v/>
      </c>
      <c r="L244" s="71"/>
      <c r="M244" s="507" t="str">
        <f>IF(L244="","",IF(VLOOKUP(L244,'G-3 Multipliers'!$L$3:$N$6,2,FALSE)=0,"Spatial Data Missing",VLOOKUP(L244,'G-3 Multipliers'!$L$3:$N$6,2,FALSE)))</f>
        <v/>
      </c>
      <c r="N244" s="505" t="str">
        <f>IF(L244="","",IF(VLOOKUP(L244,'G-3 Multipliers'!$L$3:$N$6,3,FALSE)=0,"Spatial Data Missing",VLOOKUP(L244,'G-3 Multipliers'!$L$3:$N$6,3,FALSE)))</f>
        <v/>
      </c>
      <c r="O244" s="498" t="str">
        <f t="shared" si="18"/>
        <v/>
      </c>
      <c r="P244" s="82"/>
      <c r="Q244" s="82"/>
      <c r="R244" s="507" t="str">
        <f t="shared" si="20"/>
        <v/>
      </c>
      <c r="S244" s="521" t="str">
        <f t="shared" si="21"/>
        <v/>
      </c>
      <c r="T244" s="522" t="str">
        <f>IFERROR(IF(S244="Check Data ⚠","Check Data ⚠",VLOOKUP(S244,'G-4 Temporal multipliers'!$A$4:$C$37,3,FALSE)),"")</f>
        <v/>
      </c>
      <c r="U244" s="523" t="str">
        <f>IF(F244="","",VLOOKUP(F244,'G-3 Multipliers'!$A$2:$E$129,2,FALSE))</f>
        <v/>
      </c>
      <c r="V244" s="520" t="str">
        <f t="shared" si="22"/>
        <v/>
      </c>
      <c r="W244" s="520" t="str">
        <f>IF(E244="","",IF(AND(V244="Standard difficulty applied",O244&gt;P244),U244,IF(AND(V244="Low Difficulty - only applicable if all habitat created before losses",P244&gt;=O244),"Low",VLOOKUP(F244,'G-3 Multipliers'!$A$2:$E$129,4,FALSE))))</f>
        <v/>
      </c>
      <c r="X244" s="524" t="str">
        <f>IFERROR(IF(E244="","",VLOOKUP(W244, 'G-3 Multipliers'!$P$2:$Q$6,2,FALSE)),"")</f>
        <v/>
      </c>
      <c r="Y244" s="529" t="str">
        <f t="shared" si="23"/>
        <v/>
      </c>
      <c r="Z244" s="239"/>
      <c r="AA244" s="240"/>
      <c r="AE244" s="54" t="str">
        <f t="shared" si="19"/>
        <v/>
      </c>
    </row>
    <row r="245" spans="1:31" x14ac:dyDescent="0.25">
      <c r="A245" s="47" t="str">
        <f>IFERROR(INDEX('G-8 Condition Look up'!$I$4:$I$130,MATCH(F245,'G-8 Condition Look up'!$A$4:$A$130,0)),"")</f>
        <v/>
      </c>
      <c r="C245" s="384" t="str">
        <f>IFERROR(INDEX('G-1 All Habitats'!$AG$3:$AG$15,MATCH(D245,'G-1 All Habitats'!$AF$3:$AF$15,0)),"")</f>
        <v/>
      </c>
      <c r="D245" s="146"/>
      <c r="E245" s="79"/>
      <c r="F245" s="246" t="str">
        <f>IFERROR(INDEX('G-1 All Habitats'!$B$3:$B$129,MATCH(E245,'G-1 All Habitats'!$A$3:$A$129,0)),"")</f>
        <v/>
      </c>
      <c r="G245" s="70"/>
      <c r="H245" s="498" t="str">
        <f>IF(F245="","",VLOOKUP(F245,'G-1 All Habitats'!$B$2:$M$129,10,FALSE))</f>
        <v/>
      </c>
      <c r="I245" s="499" t="str">
        <f>IFERROR(VLOOKUP(H245,'G-1 All Habitats'!$V$3:$W$7,2,FALSE),"")</f>
        <v/>
      </c>
      <c r="J245" s="71"/>
      <c r="K245" s="499" t="str">
        <f>IFERROR(INDEX('G-8 Condition Look up'!$A$3:$H$130,MATCH(F245,'G-8 Condition Look up'!$A$3:$A$130,0),MATCH(J245,'G-8 Condition Look up'!$A$3:$H$3,0)),"")</f>
        <v/>
      </c>
      <c r="L245" s="71"/>
      <c r="M245" s="507" t="str">
        <f>IF(L245="","",IF(VLOOKUP(L245,'G-3 Multipliers'!$L$3:$N$6,2,FALSE)=0,"Spatial Data Missing",VLOOKUP(L245,'G-3 Multipliers'!$L$3:$N$6,2,FALSE)))</f>
        <v/>
      </c>
      <c r="N245" s="505" t="str">
        <f>IF(L245="","",IF(VLOOKUP(L245,'G-3 Multipliers'!$L$3:$N$6,3,FALSE)=0,"Spatial Data Missing",VLOOKUP(L245,'G-3 Multipliers'!$L$3:$N$6,3,FALSE)))</f>
        <v/>
      </c>
      <c r="O245" s="498" t="str">
        <f t="shared" si="18"/>
        <v/>
      </c>
      <c r="P245" s="82"/>
      <c r="Q245" s="82"/>
      <c r="R245" s="507" t="str">
        <f t="shared" si="20"/>
        <v/>
      </c>
      <c r="S245" s="521" t="str">
        <f t="shared" si="21"/>
        <v/>
      </c>
      <c r="T245" s="522" t="str">
        <f>IFERROR(IF(S245="Check Data ⚠","Check Data ⚠",VLOOKUP(S245,'G-4 Temporal multipliers'!$A$4:$C$37,3,FALSE)),"")</f>
        <v/>
      </c>
      <c r="U245" s="523" t="str">
        <f>IF(F245="","",VLOOKUP(F245,'G-3 Multipliers'!$A$2:$E$129,2,FALSE))</f>
        <v/>
      </c>
      <c r="V245" s="520" t="str">
        <f t="shared" si="22"/>
        <v/>
      </c>
      <c r="W245" s="520" t="str">
        <f>IF(E245="","",IF(AND(V245="Standard difficulty applied",O245&gt;P245),U245,IF(AND(V245="Low Difficulty - only applicable if all habitat created before losses",P245&gt;=O245),"Low",VLOOKUP(F245,'G-3 Multipliers'!$A$2:$E$129,4,FALSE))))</f>
        <v/>
      </c>
      <c r="X245" s="524" t="str">
        <f>IFERROR(IF(E245="","",VLOOKUP(W245, 'G-3 Multipliers'!$P$2:$Q$6,2,FALSE)),"")</f>
        <v/>
      </c>
      <c r="Y245" s="529" t="str">
        <f t="shared" si="23"/>
        <v/>
      </c>
      <c r="Z245" s="239"/>
      <c r="AA245" s="240"/>
      <c r="AE245" s="54" t="str">
        <f t="shared" si="19"/>
        <v/>
      </c>
    </row>
    <row r="246" spans="1:31" x14ac:dyDescent="0.25">
      <c r="A246" s="47" t="str">
        <f>IFERROR(INDEX('G-8 Condition Look up'!$I$4:$I$130,MATCH(F246,'G-8 Condition Look up'!$A$4:$A$130,0)),"")</f>
        <v/>
      </c>
      <c r="C246" s="384" t="str">
        <f>IFERROR(INDEX('G-1 All Habitats'!$AG$3:$AG$15,MATCH(D246,'G-1 All Habitats'!$AF$3:$AF$15,0)),"")</f>
        <v/>
      </c>
      <c r="D246" s="146"/>
      <c r="E246" s="79"/>
      <c r="F246" s="246" t="str">
        <f>IFERROR(INDEX('G-1 All Habitats'!$B$3:$B$129,MATCH(E246,'G-1 All Habitats'!$A$3:$A$129,0)),"")</f>
        <v/>
      </c>
      <c r="G246" s="70"/>
      <c r="H246" s="498" t="str">
        <f>IF(F246="","",VLOOKUP(F246,'G-1 All Habitats'!$B$2:$M$129,10,FALSE))</f>
        <v/>
      </c>
      <c r="I246" s="499" t="str">
        <f>IFERROR(VLOOKUP(H246,'G-1 All Habitats'!$V$3:$W$7,2,FALSE),"")</f>
        <v/>
      </c>
      <c r="J246" s="71"/>
      <c r="K246" s="499" t="str">
        <f>IFERROR(INDEX('G-8 Condition Look up'!$A$3:$H$130,MATCH(F246,'G-8 Condition Look up'!$A$3:$A$130,0),MATCH(J246,'G-8 Condition Look up'!$A$3:$H$3,0)),"")</f>
        <v/>
      </c>
      <c r="L246" s="71"/>
      <c r="M246" s="507" t="str">
        <f>IF(L246="","",IF(VLOOKUP(L246,'G-3 Multipliers'!$L$3:$N$6,2,FALSE)=0,"Spatial Data Missing",VLOOKUP(L246,'G-3 Multipliers'!$L$3:$N$6,2,FALSE)))</f>
        <v/>
      </c>
      <c r="N246" s="505" t="str">
        <f>IF(L246="","",IF(VLOOKUP(L246,'G-3 Multipliers'!$L$3:$N$6,3,FALSE)=0,"Spatial Data Missing",VLOOKUP(L246,'G-3 Multipliers'!$L$3:$N$6,3,FALSE)))</f>
        <v/>
      </c>
      <c r="O246" s="498" t="str">
        <f t="shared" si="18"/>
        <v/>
      </c>
      <c r="P246" s="82"/>
      <c r="Q246" s="82"/>
      <c r="R246" s="507" t="str">
        <f t="shared" si="20"/>
        <v/>
      </c>
      <c r="S246" s="521" t="str">
        <f t="shared" si="21"/>
        <v/>
      </c>
      <c r="T246" s="522" t="str">
        <f>IFERROR(IF(S246="Check Data ⚠","Check Data ⚠",VLOOKUP(S246,'G-4 Temporal multipliers'!$A$4:$C$37,3,FALSE)),"")</f>
        <v/>
      </c>
      <c r="U246" s="523" t="str">
        <f>IF(F246="","",VLOOKUP(F246,'G-3 Multipliers'!$A$2:$E$129,2,FALSE))</f>
        <v/>
      </c>
      <c r="V246" s="520" t="str">
        <f t="shared" si="22"/>
        <v/>
      </c>
      <c r="W246" s="520" t="str">
        <f>IF(E246="","",IF(AND(V246="Standard difficulty applied",O246&gt;P246),U246,IF(AND(V246="Low Difficulty - only applicable if all habitat created before losses",P246&gt;=O246),"Low",VLOOKUP(F246,'G-3 Multipliers'!$A$2:$E$129,4,FALSE))))</f>
        <v/>
      </c>
      <c r="X246" s="524" t="str">
        <f>IFERROR(IF(E246="","",VLOOKUP(W246, 'G-3 Multipliers'!$P$2:$Q$6,2,FALSE)),"")</f>
        <v/>
      </c>
      <c r="Y246" s="529" t="str">
        <f t="shared" si="23"/>
        <v/>
      </c>
      <c r="Z246" s="239"/>
      <c r="AA246" s="240"/>
      <c r="AE246" s="54" t="str">
        <f t="shared" si="19"/>
        <v/>
      </c>
    </row>
    <row r="247" spans="1:31" x14ac:dyDescent="0.25">
      <c r="A247" s="47" t="str">
        <f>IFERROR(INDEX('G-8 Condition Look up'!$I$4:$I$130,MATCH(F247,'G-8 Condition Look up'!$A$4:$A$130,0)),"")</f>
        <v/>
      </c>
      <c r="C247" s="384" t="str">
        <f>IFERROR(INDEX('G-1 All Habitats'!$AG$3:$AG$15,MATCH(D247,'G-1 All Habitats'!$AF$3:$AF$15,0)),"")</f>
        <v/>
      </c>
      <c r="D247" s="146"/>
      <c r="E247" s="79"/>
      <c r="F247" s="246" t="str">
        <f>IFERROR(INDEX('G-1 All Habitats'!$B$3:$B$129,MATCH(E247,'G-1 All Habitats'!$A$3:$A$129,0)),"")</f>
        <v/>
      </c>
      <c r="G247" s="70"/>
      <c r="H247" s="498" t="str">
        <f>IF(F247="","",VLOOKUP(F247,'G-1 All Habitats'!$B$2:$M$129,10,FALSE))</f>
        <v/>
      </c>
      <c r="I247" s="499" t="str">
        <f>IFERROR(VLOOKUP(H247,'G-1 All Habitats'!$V$3:$W$7,2,FALSE),"")</f>
        <v/>
      </c>
      <c r="J247" s="71"/>
      <c r="K247" s="499" t="str">
        <f>IFERROR(INDEX('G-8 Condition Look up'!$A$3:$H$130,MATCH(F247,'G-8 Condition Look up'!$A$3:$A$130,0),MATCH(J247,'G-8 Condition Look up'!$A$3:$H$3,0)),"")</f>
        <v/>
      </c>
      <c r="L247" s="71"/>
      <c r="M247" s="507" t="str">
        <f>IF(L247="","",IF(VLOOKUP(L247,'G-3 Multipliers'!$L$3:$N$6,2,FALSE)=0,"Spatial Data Missing",VLOOKUP(L247,'G-3 Multipliers'!$L$3:$N$6,2,FALSE)))</f>
        <v/>
      </c>
      <c r="N247" s="505" t="str">
        <f>IF(L247="","",IF(VLOOKUP(L247,'G-3 Multipliers'!$L$3:$N$6,3,FALSE)=0,"Spatial Data Missing",VLOOKUP(L247,'G-3 Multipliers'!$L$3:$N$6,3,FALSE)))</f>
        <v/>
      </c>
      <c r="O247" s="498" t="str">
        <f t="shared" si="18"/>
        <v/>
      </c>
      <c r="P247" s="82"/>
      <c r="Q247" s="82"/>
      <c r="R247" s="507" t="str">
        <f t="shared" si="20"/>
        <v/>
      </c>
      <c r="S247" s="521" t="str">
        <f t="shared" si="21"/>
        <v/>
      </c>
      <c r="T247" s="522" t="str">
        <f>IFERROR(IF(S247="Check Data ⚠","Check Data ⚠",VLOOKUP(S247,'G-4 Temporal multipliers'!$A$4:$C$37,3,FALSE)),"")</f>
        <v/>
      </c>
      <c r="U247" s="523" t="str">
        <f>IF(F247="","",VLOOKUP(F247,'G-3 Multipliers'!$A$2:$E$129,2,FALSE))</f>
        <v/>
      </c>
      <c r="V247" s="520" t="str">
        <f t="shared" si="22"/>
        <v/>
      </c>
      <c r="W247" s="520" t="str">
        <f>IF(E247="","",IF(AND(V247="Standard difficulty applied",O247&gt;P247),U247,IF(AND(V247="Low Difficulty - only applicable if all habitat created before losses",P247&gt;=O247),"Low",VLOOKUP(F247,'G-3 Multipliers'!$A$2:$E$129,4,FALSE))))</f>
        <v/>
      </c>
      <c r="X247" s="524" t="str">
        <f>IFERROR(IF(E247="","",VLOOKUP(W247, 'G-3 Multipliers'!$P$2:$Q$6,2,FALSE)),"")</f>
        <v/>
      </c>
      <c r="Y247" s="529" t="str">
        <f t="shared" si="23"/>
        <v/>
      </c>
      <c r="Z247" s="239"/>
      <c r="AA247" s="240"/>
      <c r="AE247" s="54" t="str">
        <f t="shared" si="19"/>
        <v/>
      </c>
    </row>
    <row r="248" spans="1:31" x14ac:dyDescent="0.25">
      <c r="A248" s="47" t="str">
        <f>IFERROR(INDEX('G-8 Condition Look up'!$I$4:$I$130,MATCH(F248,'G-8 Condition Look up'!$A$4:$A$130,0)),"")</f>
        <v/>
      </c>
      <c r="C248" s="384" t="str">
        <f>IFERROR(INDEX('G-1 All Habitats'!$AG$3:$AG$15,MATCH(D248,'G-1 All Habitats'!$AF$3:$AF$15,0)),"")</f>
        <v/>
      </c>
      <c r="D248" s="146"/>
      <c r="E248" s="79"/>
      <c r="F248" s="246" t="str">
        <f>IFERROR(INDEX('G-1 All Habitats'!$B$3:$B$129,MATCH(E248,'G-1 All Habitats'!$A$3:$A$129,0)),"")</f>
        <v/>
      </c>
      <c r="G248" s="70"/>
      <c r="H248" s="498" t="str">
        <f>IF(F248="","",VLOOKUP(F248,'G-1 All Habitats'!$B$2:$M$129,10,FALSE))</f>
        <v/>
      </c>
      <c r="I248" s="499" t="str">
        <f>IFERROR(VLOOKUP(H248,'G-1 All Habitats'!$V$3:$W$7,2,FALSE),"")</f>
        <v/>
      </c>
      <c r="J248" s="71"/>
      <c r="K248" s="499" t="str">
        <f>IFERROR(INDEX('G-8 Condition Look up'!$A$3:$H$130,MATCH(F248,'G-8 Condition Look up'!$A$3:$A$130,0),MATCH(J248,'G-8 Condition Look up'!$A$3:$H$3,0)),"")</f>
        <v/>
      </c>
      <c r="L248" s="71"/>
      <c r="M248" s="507" t="str">
        <f>IF(L248="","",IF(VLOOKUP(L248,'G-3 Multipliers'!$L$3:$N$6,2,FALSE)=0,"Spatial Data Missing",VLOOKUP(L248,'G-3 Multipliers'!$L$3:$N$6,2,FALSE)))</f>
        <v/>
      </c>
      <c r="N248" s="505" t="str">
        <f>IF(L248="","",IF(VLOOKUP(L248,'G-3 Multipliers'!$L$3:$N$6,3,FALSE)=0,"Spatial Data Missing",VLOOKUP(L248,'G-3 Multipliers'!$L$3:$N$6,3,FALSE)))</f>
        <v/>
      </c>
      <c r="O248" s="498" t="str">
        <f t="shared" si="18"/>
        <v/>
      </c>
      <c r="P248" s="82"/>
      <c r="Q248" s="82"/>
      <c r="R248" s="507" t="str">
        <f t="shared" si="20"/>
        <v/>
      </c>
      <c r="S248" s="521" t="str">
        <f t="shared" si="21"/>
        <v/>
      </c>
      <c r="T248" s="522" t="str">
        <f>IFERROR(IF(S248="Check Data ⚠","Check Data ⚠",VLOOKUP(S248,'G-4 Temporal multipliers'!$A$4:$C$37,3,FALSE)),"")</f>
        <v/>
      </c>
      <c r="U248" s="523" t="str">
        <f>IF(F248="","",VLOOKUP(F248,'G-3 Multipliers'!$A$2:$E$129,2,FALSE))</f>
        <v/>
      </c>
      <c r="V248" s="520" t="str">
        <f t="shared" si="22"/>
        <v/>
      </c>
      <c r="W248" s="520" t="str">
        <f>IF(E248="","",IF(AND(V248="Standard difficulty applied",O248&gt;P248),U248,IF(AND(V248="Low Difficulty - only applicable if all habitat created before losses",P248&gt;=O248),"Low",VLOOKUP(F248,'G-3 Multipliers'!$A$2:$E$129,4,FALSE))))</f>
        <v/>
      </c>
      <c r="X248" s="524" t="str">
        <f>IFERROR(IF(E248="","",VLOOKUP(W248, 'G-3 Multipliers'!$P$2:$Q$6,2,FALSE)),"")</f>
        <v/>
      </c>
      <c r="Y248" s="529" t="str">
        <f t="shared" si="23"/>
        <v/>
      </c>
      <c r="Z248" s="239"/>
      <c r="AA248" s="240"/>
      <c r="AE248" s="54" t="str">
        <f t="shared" si="19"/>
        <v/>
      </c>
    </row>
    <row r="249" spans="1:31" x14ac:dyDescent="0.25">
      <c r="A249" s="47" t="str">
        <f>IFERROR(INDEX('G-8 Condition Look up'!$I$4:$I$130,MATCH(F249,'G-8 Condition Look up'!$A$4:$A$130,0)),"")</f>
        <v/>
      </c>
      <c r="C249" s="384" t="str">
        <f>IFERROR(INDEX('G-1 All Habitats'!$AG$3:$AG$15,MATCH(D249,'G-1 All Habitats'!$AF$3:$AF$15,0)),"")</f>
        <v/>
      </c>
      <c r="D249" s="146"/>
      <c r="E249" s="79"/>
      <c r="F249" s="246" t="str">
        <f>IFERROR(INDEX('G-1 All Habitats'!$B$3:$B$129,MATCH(E249,'G-1 All Habitats'!$A$3:$A$129,0)),"")</f>
        <v/>
      </c>
      <c r="G249" s="70"/>
      <c r="H249" s="498" t="str">
        <f>IF(F249="","",VLOOKUP(F249,'G-1 All Habitats'!$B$2:$M$129,10,FALSE))</f>
        <v/>
      </c>
      <c r="I249" s="499" t="str">
        <f>IFERROR(VLOOKUP(H249,'G-1 All Habitats'!$V$3:$W$7,2,FALSE),"")</f>
        <v/>
      </c>
      <c r="J249" s="71"/>
      <c r="K249" s="499" t="str">
        <f>IFERROR(INDEX('G-8 Condition Look up'!$A$3:$H$130,MATCH(F249,'G-8 Condition Look up'!$A$3:$A$130,0),MATCH(J249,'G-8 Condition Look up'!$A$3:$H$3,0)),"")</f>
        <v/>
      </c>
      <c r="L249" s="71"/>
      <c r="M249" s="507" t="str">
        <f>IF(L249="","",IF(VLOOKUP(L249,'G-3 Multipliers'!$L$3:$N$6,2,FALSE)=0,"Spatial Data Missing",VLOOKUP(L249,'G-3 Multipliers'!$L$3:$N$6,2,FALSE)))</f>
        <v/>
      </c>
      <c r="N249" s="505" t="str">
        <f>IF(L249="","",IF(VLOOKUP(L249,'G-3 Multipliers'!$L$3:$N$6,3,FALSE)=0,"Spatial Data Missing",VLOOKUP(L249,'G-3 Multipliers'!$L$3:$N$6,3,FALSE)))</f>
        <v/>
      </c>
      <c r="O249" s="498" t="str">
        <f t="shared" si="18"/>
        <v/>
      </c>
      <c r="P249" s="82"/>
      <c r="Q249" s="82"/>
      <c r="R249" s="507" t="str">
        <f t="shared" si="20"/>
        <v/>
      </c>
      <c r="S249" s="521" t="str">
        <f t="shared" si="21"/>
        <v/>
      </c>
      <c r="T249" s="522" t="str">
        <f>IFERROR(IF(S249="Check Data ⚠","Check Data ⚠",VLOOKUP(S249,'G-4 Temporal multipliers'!$A$4:$C$37,3,FALSE)),"")</f>
        <v/>
      </c>
      <c r="U249" s="523" t="str">
        <f>IF(F249="","",VLOOKUP(F249,'G-3 Multipliers'!$A$2:$E$129,2,FALSE))</f>
        <v/>
      </c>
      <c r="V249" s="520" t="str">
        <f t="shared" si="22"/>
        <v/>
      </c>
      <c r="W249" s="520" t="str">
        <f>IF(E249="","",IF(AND(V249="Standard difficulty applied",O249&gt;P249),U249,IF(AND(V249="Low Difficulty - only applicable if all habitat created before losses",P249&gt;=O249),"Low",VLOOKUP(F249,'G-3 Multipliers'!$A$2:$E$129,4,FALSE))))</f>
        <v/>
      </c>
      <c r="X249" s="524" t="str">
        <f>IFERROR(IF(E249="","",VLOOKUP(W249, 'G-3 Multipliers'!$P$2:$Q$6,2,FALSE)),"")</f>
        <v/>
      </c>
      <c r="Y249" s="529" t="str">
        <f t="shared" si="23"/>
        <v/>
      </c>
      <c r="Z249" s="239"/>
      <c r="AA249" s="240"/>
      <c r="AE249" s="54" t="str">
        <f t="shared" si="19"/>
        <v/>
      </c>
    </row>
    <row r="250" spans="1:31" x14ac:dyDescent="0.25">
      <c r="A250" s="47" t="str">
        <f>IFERROR(INDEX('G-8 Condition Look up'!$I$4:$I$130,MATCH(F250,'G-8 Condition Look up'!$A$4:$A$130,0)),"")</f>
        <v/>
      </c>
      <c r="C250" s="384" t="str">
        <f>IFERROR(INDEX('G-1 All Habitats'!$AG$3:$AG$15,MATCH(D250,'G-1 All Habitats'!$AF$3:$AF$15,0)),"")</f>
        <v/>
      </c>
      <c r="D250" s="146"/>
      <c r="E250" s="79"/>
      <c r="F250" s="246" t="str">
        <f>IFERROR(INDEX('G-1 All Habitats'!$B$3:$B$129,MATCH(E250,'G-1 All Habitats'!$A$3:$A$129,0)),"")</f>
        <v/>
      </c>
      <c r="G250" s="70"/>
      <c r="H250" s="498" t="str">
        <f>IF(F250="","",VLOOKUP(F250,'G-1 All Habitats'!$B$2:$M$129,10,FALSE))</f>
        <v/>
      </c>
      <c r="I250" s="499" t="str">
        <f>IFERROR(VLOOKUP(H250,'G-1 All Habitats'!$V$3:$W$7,2,FALSE),"")</f>
        <v/>
      </c>
      <c r="J250" s="71"/>
      <c r="K250" s="499" t="str">
        <f>IFERROR(INDEX('G-8 Condition Look up'!$A$3:$H$130,MATCH(F250,'G-8 Condition Look up'!$A$3:$A$130,0),MATCH(J250,'G-8 Condition Look up'!$A$3:$H$3,0)),"")</f>
        <v/>
      </c>
      <c r="L250" s="71"/>
      <c r="M250" s="507" t="str">
        <f>IF(L250="","",IF(VLOOKUP(L250,'G-3 Multipliers'!$L$3:$N$6,2,FALSE)=0,"Spatial Data Missing",VLOOKUP(L250,'G-3 Multipliers'!$L$3:$N$6,2,FALSE)))</f>
        <v/>
      </c>
      <c r="N250" s="505" t="str">
        <f>IF(L250="","",IF(VLOOKUP(L250,'G-3 Multipliers'!$L$3:$N$6,3,FALSE)=0,"Spatial Data Missing",VLOOKUP(L250,'G-3 Multipliers'!$L$3:$N$6,3,FALSE)))</f>
        <v/>
      </c>
      <c r="O250" s="498" t="str">
        <f t="shared" si="18"/>
        <v/>
      </c>
      <c r="P250" s="82"/>
      <c r="Q250" s="82"/>
      <c r="R250" s="507" t="str">
        <f t="shared" si="20"/>
        <v/>
      </c>
      <c r="S250" s="521" t="str">
        <f t="shared" si="21"/>
        <v/>
      </c>
      <c r="T250" s="522" t="str">
        <f>IFERROR(IF(S250="Check Data ⚠","Check Data ⚠",VLOOKUP(S250,'G-4 Temporal multipliers'!$A$4:$C$37,3,FALSE)),"")</f>
        <v/>
      </c>
      <c r="U250" s="523" t="str">
        <f>IF(F250="","",VLOOKUP(F250,'G-3 Multipliers'!$A$2:$E$129,2,FALSE))</f>
        <v/>
      </c>
      <c r="V250" s="520" t="str">
        <f t="shared" si="22"/>
        <v/>
      </c>
      <c r="W250" s="520" t="str">
        <f>IF(E250="","",IF(AND(V250="Standard difficulty applied",O250&gt;P250),U250,IF(AND(V250="Low Difficulty - only applicable if all habitat created before losses",P250&gt;=O250),"Low",VLOOKUP(F250,'G-3 Multipliers'!$A$2:$E$129,4,FALSE))))</f>
        <v/>
      </c>
      <c r="X250" s="524" t="str">
        <f>IFERROR(IF(E250="","",VLOOKUP(W250, 'G-3 Multipliers'!$P$2:$Q$6,2,FALSE)),"")</f>
        <v/>
      </c>
      <c r="Y250" s="529" t="str">
        <f t="shared" si="23"/>
        <v/>
      </c>
      <c r="Z250" s="239"/>
      <c r="AA250" s="240"/>
      <c r="AE250" s="54" t="str">
        <f t="shared" si="19"/>
        <v/>
      </c>
    </row>
    <row r="251" spans="1:31" x14ac:dyDescent="0.25">
      <c r="A251" s="47" t="str">
        <f>IFERROR(INDEX('G-8 Condition Look up'!$I$4:$I$130,MATCH(F251,'G-8 Condition Look up'!$A$4:$A$130,0)),"")</f>
        <v/>
      </c>
      <c r="C251" s="384" t="str">
        <f>IFERROR(INDEX('G-1 All Habitats'!$AG$3:$AG$15,MATCH(D251,'G-1 All Habitats'!$AF$3:$AF$15,0)),"")</f>
        <v/>
      </c>
      <c r="D251" s="146"/>
      <c r="E251" s="79"/>
      <c r="F251" s="246" t="str">
        <f>IFERROR(INDEX('G-1 All Habitats'!$B$3:$B$129,MATCH(E251,'G-1 All Habitats'!$A$3:$A$129,0)),"")</f>
        <v/>
      </c>
      <c r="G251" s="70"/>
      <c r="H251" s="498" t="str">
        <f>IF(F251="","",VLOOKUP(F251,'G-1 All Habitats'!$B$2:$M$129,10,FALSE))</f>
        <v/>
      </c>
      <c r="I251" s="499" t="str">
        <f>IFERROR(VLOOKUP(H251,'G-1 All Habitats'!$V$3:$W$7,2,FALSE),"")</f>
        <v/>
      </c>
      <c r="J251" s="71"/>
      <c r="K251" s="499" t="str">
        <f>IFERROR(INDEX('G-8 Condition Look up'!$A$3:$H$130,MATCH(F251,'G-8 Condition Look up'!$A$3:$A$130,0),MATCH(J251,'G-8 Condition Look up'!$A$3:$H$3,0)),"")</f>
        <v/>
      </c>
      <c r="L251" s="71"/>
      <c r="M251" s="507" t="str">
        <f>IF(L251="","",IF(VLOOKUP(L251,'G-3 Multipliers'!$L$3:$N$6,2,FALSE)=0,"Spatial Data Missing",VLOOKUP(L251,'G-3 Multipliers'!$L$3:$N$6,2,FALSE)))</f>
        <v/>
      </c>
      <c r="N251" s="505" t="str">
        <f>IF(L251="","",IF(VLOOKUP(L251,'G-3 Multipliers'!$L$3:$N$6,3,FALSE)=0,"Spatial Data Missing",VLOOKUP(L251,'G-3 Multipliers'!$L$3:$N$6,3,FALSE)))</f>
        <v/>
      </c>
      <c r="O251" s="498" t="str">
        <f t="shared" si="18"/>
        <v/>
      </c>
      <c r="P251" s="82"/>
      <c r="Q251" s="82"/>
      <c r="R251" s="507" t="str">
        <f t="shared" si="20"/>
        <v/>
      </c>
      <c r="S251" s="521" t="str">
        <f t="shared" si="21"/>
        <v/>
      </c>
      <c r="T251" s="522" t="str">
        <f>IFERROR(IF(S251="Check Data ⚠","Check Data ⚠",VLOOKUP(S251,'G-4 Temporal multipliers'!$A$4:$C$37,3,FALSE)),"")</f>
        <v/>
      </c>
      <c r="U251" s="523" t="str">
        <f>IF(F251="","",VLOOKUP(F251,'G-3 Multipliers'!$A$2:$E$129,2,FALSE))</f>
        <v/>
      </c>
      <c r="V251" s="520" t="str">
        <f t="shared" si="22"/>
        <v/>
      </c>
      <c r="W251" s="520" t="str">
        <f>IF(E251="","",IF(AND(V251="Standard difficulty applied",O251&gt;P251),U251,IF(AND(V251="Low Difficulty - only applicable if all habitat created before losses",P251&gt;=O251),"Low",VLOOKUP(F251,'G-3 Multipliers'!$A$2:$E$129,4,FALSE))))</f>
        <v/>
      </c>
      <c r="X251" s="524" t="str">
        <f>IFERROR(IF(E251="","",VLOOKUP(W251, 'G-3 Multipliers'!$P$2:$Q$6,2,FALSE)),"")</f>
        <v/>
      </c>
      <c r="Y251" s="529" t="str">
        <f t="shared" si="23"/>
        <v/>
      </c>
      <c r="Z251" s="239"/>
      <c r="AA251" s="240"/>
      <c r="AE251" s="54" t="str">
        <f t="shared" si="19"/>
        <v/>
      </c>
    </row>
    <row r="252" spans="1:31" x14ac:dyDescent="0.25">
      <c r="A252" s="47" t="str">
        <f>IFERROR(INDEX('G-8 Condition Look up'!$I$4:$I$130,MATCH(F252,'G-8 Condition Look up'!$A$4:$A$130,0)),"")</f>
        <v/>
      </c>
      <c r="C252" s="384" t="str">
        <f>IFERROR(INDEX('G-1 All Habitats'!$AG$3:$AG$15,MATCH(D252,'G-1 All Habitats'!$AF$3:$AF$15,0)),"")</f>
        <v/>
      </c>
      <c r="D252" s="146"/>
      <c r="E252" s="79"/>
      <c r="F252" s="246" t="str">
        <f>IFERROR(INDEX('G-1 All Habitats'!$B$3:$B$129,MATCH(E252,'G-1 All Habitats'!$A$3:$A$129,0)),"")</f>
        <v/>
      </c>
      <c r="G252" s="70"/>
      <c r="H252" s="498" t="str">
        <f>IF(F252="","",VLOOKUP(F252,'G-1 All Habitats'!$B$2:$M$129,10,FALSE))</f>
        <v/>
      </c>
      <c r="I252" s="499" t="str">
        <f>IFERROR(VLOOKUP(H252,'G-1 All Habitats'!$V$3:$W$7,2,FALSE),"")</f>
        <v/>
      </c>
      <c r="J252" s="71"/>
      <c r="K252" s="499" t="str">
        <f>IFERROR(INDEX('G-8 Condition Look up'!$A$3:$H$130,MATCH(F252,'G-8 Condition Look up'!$A$3:$A$130,0),MATCH(J252,'G-8 Condition Look up'!$A$3:$H$3,0)),"")</f>
        <v/>
      </c>
      <c r="L252" s="71"/>
      <c r="M252" s="507" t="str">
        <f>IF(L252="","",IF(VLOOKUP(L252,'G-3 Multipliers'!$L$3:$N$6,2,FALSE)=0,"Spatial Data Missing",VLOOKUP(L252,'G-3 Multipliers'!$L$3:$N$6,2,FALSE)))</f>
        <v/>
      </c>
      <c r="N252" s="505" t="str">
        <f>IF(L252="","",IF(VLOOKUP(L252,'G-3 Multipliers'!$L$3:$N$6,3,FALSE)=0,"Spatial Data Missing",VLOOKUP(L252,'G-3 Multipliers'!$L$3:$N$6,3,FALSE)))</f>
        <v/>
      </c>
      <c r="O252" s="498" t="str">
        <f t="shared" si="18"/>
        <v/>
      </c>
      <c r="P252" s="82"/>
      <c r="Q252" s="82"/>
      <c r="R252" s="507" t="str">
        <f t="shared" si="20"/>
        <v/>
      </c>
      <c r="S252" s="521" t="str">
        <f t="shared" si="21"/>
        <v/>
      </c>
      <c r="T252" s="522" t="str">
        <f>IFERROR(IF(S252="Check Data ⚠","Check Data ⚠",VLOOKUP(S252,'G-4 Temporal multipliers'!$A$4:$C$37,3,FALSE)),"")</f>
        <v/>
      </c>
      <c r="U252" s="523" t="str">
        <f>IF(F252="","",VLOOKUP(F252,'G-3 Multipliers'!$A$2:$E$129,2,FALSE))</f>
        <v/>
      </c>
      <c r="V252" s="520" t="str">
        <f t="shared" si="22"/>
        <v/>
      </c>
      <c r="W252" s="520" t="str">
        <f>IF(E252="","",IF(AND(V252="Standard difficulty applied",O252&gt;P252),U252,IF(AND(V252="Low Difficulty - only applicable if all habitat created before losses",P252&gt;=O252),"Low",VLOOKUP(F252,'G-3 Multipliers'!$A$2:$E$129,4,FALSE))))</f>
        <v/>
      </c>
      <c r="X252" s="524" t="str">
        <f>IFERROR(IF(E252="","",VLOOKUP(W252, 'G-3 Multipliers'!$P$2:$Q$6,2,FALSE)),"")</f>
        <v/>
      </c>
      <c r="Y252" s="529" t="str">
        <f t="shared" si="23"/>
        <v/>
      </c>
      <c r="Z252" s="239"/>
      <c r="AA252" s="240"/>
      <c r="AE252" s="54" t="str">
        <f t="shared" si="19"/>
        <v/>
      </c>
    </row>
    <row r="253" spans="1:31" x14ac:dyDescent="0.25">
      <c r="A253" s="47" t="str">
        <f>IFERROR(INDEX('G-8 Condition Look up'!$I$4:$I$130,MATCH(F253,'G-8 Condition Look up'!$A$4:$A$130,0)),"")</f>
        <v/>
      </c>
      <c r="C253" s="384" t="str">
        <f>IFERROR(INDEX('G-1 All Habitats'!$AG$3:$AG$15,MATCH(D253,'G-1 All Habitats'!$AF$3:$AF$15,0)),"")</f>
        <v/>
      </c>
      <c r="D253" s="146"/>
      <c r="E253" s="79"/>
      <c r="F253" s="246" t="str">
        <f>IFERROR(INDEX('G-1 All Habitats'!$B$3:$B$129,MATCH(E253,'G-1 All Habitats'!$A$3:$A$129,0)),"")</f>
        <v/>
      </c>
      <c r="G253" s="70"/>
      <c r="H253" s="498" t="str">
        <f>IF(F253="","",VLOOKUP(F253,'G-1 All Habitats'!$B$2:$M$129,10,FALSE))</f>
        <v/>
      </c>
      <c r="I253" s="499" t="str">
        <f>IFERROR(VLOOKUP(H253,'G-1 All Habitats'!$V$3:$W$7,2,FALSE),"")</f>
        <v/>
      </c>
      <c r="J253" s="71"/>
      <c r="K253" s="499" t="str">
        <f>IFERROR(INDEX('G-8 Condition Look up'!$A$3:$H$130,MATCH(F253,'G-8 Condition Look up'!$A$3:$A$130,0),MATCH(J253,'G-8 Condition Look up'!$A$3:$H$3,0)),"")</f>
        <v/>
      </c>
      <c r="L253" s="71"/>
      <c r="M253" s="507" t="str">
        <f>IF(L253="","",IF(VLOOKUP(L253,'G-3 Multipliers'!$L$3:$N$6,2,FALSE)=0,"Spatial Data Missing",VLOOKUP(L253,'G-3 Multipliers'!$L$3:$N$6,2,FALSE)))</f>
        <v/>
      </c>
      <c r="N253" s="505" t="str">
        <f>IF(L253="","",IF(VLOOKUP(L253,'G-3 Multipliers'!$L$3:$N$6,3,FALSE)=0,"Spatial Data Missing",VLOOKUP(L253,'G-3 Multipliers'!$L$3:$N$6,3,FALSE)))</f>
        <v/>
      </c>
      <c r="O253" s="498" t="str">
        <f t="shared" si="18"/>
        <v/>
      </c>
      <c r="P253" s="82"/>
      <c r="Q253" s="82"/>
      <c r="R253" s="507" t="str">
        <f t="shared" si="20"/>
        <v/>
      </c>
      <c r="S253" s="521" t="str">
        <f t="shared" si="21"/>
        <v/>
      </c>
      <c r="T253" s="522" t="str">
        <f>IFERROR(IF(S253="Check Data ⚠","Check Data ⚠",VLOOKUP(S253,'G-4 Temporal multipliers'!$A$4:$C$37,3,FALSE)),"")</f>
        <v/>
      </c>
      <c r="U253" s="523" t="str">
        <f>IF(F253="","",VLOOKUP(F253,'G-3 Multipliers'!$A$2:$E$129,2,FALSE))</f>
        <v/>
      </c>
      <c r="V253" s="520" t="str">
        <f t="shared" si="22"/>
        <v/>
      </c>
      <c r="W253" s="520" t="str">
        <f>IF(E253="","",IF(AND(V253="Standard difficulty applied",O253&gt;P253),U253,IF(AND(V253="Low Difficulty - only applicable if all habitat created before losses",P253&gt;=O253),"Low",VLOOKUP(F253,'G-3 Multipliers'!$A$2:$E$129,4,FALSE))))</f>
        <v/>
      </c>
      <c r="X253" s="524" t="str">
        <f>IFERROR(IF(E253="","",VLOOKUP(W253, 'G-3 Multipliers'!$P$2:$Q$6,2,FALSE)),"")</f>
        <v/>
      </c>
      <c r="Y253" s="529" t="str">
        <f t="shared" si="23"/>
        <v/>
      </c>
      <c r="Z253" s="239"/>
      <c r="AA253" s="240"/>
      <c r="AE253" s="54" t="str">
        <f t="shared" si="19"/>
        <v/>
      </c>
    </row>
    <row r="254" spans="1:31" x14ac:dyDescent="0.25">
      <c r="A254" s="47" t="str">
        <f>IFERROR(INDEX('G-8 Condition Look up'!$I$4:$I$130,MATCH(F254,'G-8 Condition Look up'!$A$4:$A$130,0)),"")</f>
        <v/>
      </c>
      <c r="C254" s="384" t="str">
        <f>IFERROR(INDEX('G-1 All Habitats'!$AG$3:$AG$15,MATCH(D254,'G-1 All Habitats'!$AF$3:$AF$15,0)),"")</f>
        <v/>
      </c>
      <c r="D254" s="146"/>
      <c r="E254" s="79"/>
      <c r="F254" s="246" t="str">
        <f>IFERROR(INDEX('G-1 All Habitats'!$B$3:$B$129,MATCH(E254,'G-1 All Habitats'!$A$3:$A$129,0)),"")</f>
        <v/>
      </c>
      <c r="G254" s="70"/>
      <c r="H254" s="498" t="str">
        <f>IF(F254="","",VLOOKUP(F254,'G-1 All Habitats'!$B$2:$M$129,10,FALSE))</f>
        <v/>
      </c>
      <c r="I254" s="499" t="str">
        <f>IFERROR(VLOOKUP(H254,'G-1 All Habitats'!$V$3:$W$7,2,FALSE),"")</f>
        <v/>
      </c>
      <c r="J254" s="71"/>
      <c r="K254" s="499" t="str">
        <f>IFERROR(INDEX('G-8 Condition Look up'!$A$3:$H$130,MATCH(F254,'G-8 Condition Look up'!$A$3:$A$130,0),MATCH(J254,'G-8 Condition Look up'!$A$3:$H$3,0)),"")</f>
        <v/>
      </c>
      <c r="L254" s="71"/>
      <c r="M254" s="507" t="str">
        <f>IF(L254="","",IF(VLOOKUP(L254,'G-3 Multipliers'!$L$3:$N$6,2,FALSE)=0,"Spatial Data Missing",VLOOKUP(L254,'G-3 Multipliers'!$L$3:$N$6,2,FALSE)))</f>
        <v/>
      </c>
      <c r="N254" s="505" t="str">
        <f>IF(L254="","",IF(VLOOKUP(L254,'G-3 Multipliers'!$L$3:$N$6,3,FALSE)=0,"Spatial Data Missing",VLOOKUP(L254,'G-3 Multipliers'!$L$3:$N$6,3,FALSE)))</f>
        <v/>
      </c>
      <c r="O254" s="498" t="str">
        <f t="shared" si="18"/>
        <v/>
      </c>
      <c r="P254" s="82"/>
      <c r="Q254" s="82"/>
      <c r="R254" s="507" t="str">
        <f t="shared" si="20"/>
        <v/>
      </c>
      <c r="S254" s="521" t="str">
        <f t="shared" si="21"/>
        <v/>
      </c>
      <c r="T254" s="522" t="str">
        <f>IFERROR(IF(S254="Check Data ⚠","Check Data ⚠",VLOOKUP(S254,'G-4 Temporal multipliers'!$A$4:$C$37,3,FALSE)),"")</f>
        <v/>
      </c>
      <c r="U254" s="523" t="str">
        <f>IF(F254="","",VLOOKUP(F254,'G-3 Multipliers'!$A$2:$E$129,2,FALSE))</f>
        <v/>
      </c>
      <c r="V254" s="520" t="str">
        <f t="shared" si="22"/>
        <v/>
      </c>
      <c r="W254" s="520" t="str">
        <f>IF(E254="","",IF(AND(V254="Standard difficulty applied",O254&gt;P254),U254,IF(AND(V254="Low Difficulty - only applicable if all habitat created before losses",P254&gt;=O254),"Low",VLOOKUP(F254,'G-3 Multipliers'!$A$2:$E$129,4,FALSE))))</f>
        <v/>
      </c>
      <c r="X254" s="524" t="str">
        <f>IFERROR(IF(E254="","",VLOOKUP(W254, 'G-3 Multipliers'!$P$2:$Q$6,2,FALSE)),"")</f>
        <v/>
      </c>
      <c r="Y254" s="529" t="str">
        <f t="shared" si="23"/>
        <v/>
      </c>
      <c r="Z254" s="239"/>
      <c r="AA254" s="240"/>
      <c r="AE254" s="54" t="str">
        <f t="shared" si="19"/>
        <v/>
      </c>
    </row>
    <row r="255" spans="1:31" x14ac:dyDescent="0.25">
      <c r="A255" s="47" t="str">
        <f>IFERROR(INDEX('G-8 Condition Look up'!$I$4:$I$130,MATCH(F255,'G-8 Condition Look up'!$A$4:$A$130,0)),"")</f>
        <v/>
      </c>
      <c r="C255" s="384" t="str">
        <f>IFERROR(INDEX('G-1 All Habitats'!$AG$3:$AG$15,MATCH(D255,'G-1 All Habitats'!$AF$3:$AF$15,0)),"")</f>
        <v/>
      </c>
      <c r="D255" s="146"/>
      <c r="E255" s="79"/>
      <c r="F255" s="246" t="str">
        <f>IFERROR(INDEX('G-1 All Habitats'!$B$3:$B$129,MATCH(E255,'G-1 All Habitats'!$A$3:$A$129,0)),"")</f>
        <v/>
      </c>
      <c r="G255" s="70"/>
      <c r="H255" s="498" t="str">
        <f>IF(F255="","",VLOOKUP(F255,'G-1 All Habitats'!$B$2:$M$129,10,FALSE))</f>
        <v/>
      </c>
      <c r="I255" s="499" t="str">
        <f>IFERROR(VLOOKUP(H255,'G-1 All Habitats'!$V$3:$W$7,2,FALSE),"")</f>
        <v/>
      </c>
      <c r="J255" s="71"/>
      <c r="K255" s="499" t="str">
        <f>IFERROR(INDEX('G-8 Condition Look up'!$A$3:$H$130,MATCH(F255,'G-8 Condition Look up'!$A$3:$A$130,0),MATCH(J255,'G-8 Condition Look up'!$A$3:$H$3,0)),"")</f>
        <v/>
      </c>
      <c r="L255" s="71"/>
      <c r="M255" s="507" t="str">
        <f>IF(L255="","",IF(VLOOKUP(L255,'G-3 Multipliers'!$L$3:$N$6,2,FALSE)=0,"Spatial Data Missing",VLOOKUP(L255,'G-3 Multipliers'!$L$3:$N$6,2,FALSE)))</f>
        <v/>
      </c>
      <c r="N255" s="505" t="str">
        <f>IF(L255="","",IF(VLOOKUP(L255,'G-3 Multipliers'!$L$3:$N$6,3,FALSE)=0,"Spatial Data Missing",VLOOKUP(L255,'G-3 Multipliers'!$L$3:$N$6,3,FALSE)))</f>
        <v/>
      </c>
      <c r="O255" s="498" t="str">
        <f t="shared" si="18"/>
        <v/>
      </c>
      <c r="P255" s="82"/>
      <c r="Q255" s="82"/>
      <c r="R255" s="507" t="str">
        <f t="shared" si="20"/>
        <v/>
      </c>
      <c r="S255" s="521" t="str">
        <f t="shared" si="21"/>
        <v/>
      </c>
      <c r="T255" s="522" t="str">
        <f>IFERROR(IF(S255="Check Data ⚠","Check Data ⚠",VLOOKUP(S255,'G-4 Temporal multipliers'!$A$4:$C$37,3,FALSE)),"")</f>
        <v/>
      </c>
      <c r="U255" s="523" t="str">
        <f>IF(F255="","",VLOOKUP(F255,'G-3 Multipliers'!$A$2:$E$129,2,FALSE))</f>
        <v/>
      </c>
      <c r="V255" s="520" t="str">
        <f t="shared" si="22"/>
        <v/>
      </c>
      <c r="W255" s="520" t="str">
        <f>IF(E255="","",IF(AND(V255="Standard difficulty applied",O255&gt;P255),U255,IF(AND(V255="Low Difficulty - only applicable if all habitat created before losses",P255&gt;=O255),"Low",VLOOKUP(F255,'G-3 Multipliers'!$A$2:$E$129,4,FALSE))))</f>
        <v/>
      </c>
      <c r="X255" s="524" t="str">
        <f>IFERROR(IF(E255="","",VLOOKUP(W255, 'G-3 Multipliers'!$P$2:$Q$6,2,FALSE)),"")</f>
        <v/>
      </c>
      <c r="Y255" s="529" t="str">
        <f t="shared" si="23"/>
        <v/>
      </c>
      <c r="Z255" s="239"/>
      <c r="AA255" s="240"/>
      <c r="AE255" s="54" t="str">
        <f t="shared" si="19"/>
        <v/>
      </c>
    </row>
    <row r="256" spans="1:31" ht="14.4" thickBot="1" x14ac:dyDescent="0.3">
      <c r="A256" s="47" t="str">
        <f>IFERROR(INDEX('G-8 Condition Look up'!$I$4:$I$130,MATCH(F256,'G-8 Condition Look up'!$A$4:$A$130,0)),"")</f>
        <v/>
      </c>
      <c r="C256" s="385" t="str">
        <f>IFERROR(INDEX('G-1 All Habitats'!$AG$3:$AG$15,MATCH(D256,'G-1 All Habitats'!$AF$3:$AF$15,0)),"")</f>
        <v/>
      </c>
      <c r="D256" s="314"/>
      <c r="E256" s="241"/>
      <c r="F256" s="319" t="str">
        <f>IFERROR(INDEX('G-1 All Habitats'!$B$3:$B$129,MATCH(E256,'G-1 All Habitats'!$A$3:$A$129,0)),"")</f>
        <v/>
      </c>
      <c r="G256" s="318"/>
      <c r="H256" s="500" t="str">
        <f>IF(F256="","",VLOOKUP(F256,'G-1 All Habitats'!$B$2:$M$129,10,FALSE))</f>
        <v/>
      </c>
      <c r="I256" s="501" t="str">
        <f>IFERROR(VLOOKUP(H256,'G-1 All Habitats'!$V$3:$W$7,2,FALSE),"")</f>
        <v/>
      </c>
      <c r="J256" s="314"/>
      <c r="K256" s="501" t="str">
        <f>IFERROR(INDEX('G-8 Condition Look up'!$A$3:$H$130,MATCH(F256,'G-8 Condition Look up'!$A$3:$A$130,0),MATCH(J256,'G-8 Condition Look up'!$A$3:$H$3,0)),"")</f>
        <v/>
      </c>
      <c r="L256" s="314"/>
      <c r="M256" s="508" t="str">
        <f>IF(L256="","",IF(VLOOKUP(L256,'G-3 Multipliers'!$L$3:$N$6,2,FALSE)=0,"Spatial Data Missing",VLOOKUP(L256,'G-3 Multipliers'!$L$3:$N$6,2,FALSE)))</f>
        <v/>
      </c>
      <c r="N256" s="505" t="str">
        <f>IF(L256="","",IF(VLOOKUP(L256,'G-3 Multipliers'!$L$3:$N$6,3,FALSE)=0,"Spatial Data Missing",VLOOKUP(L256,'G-3 Multipliers'!$L$3:$N$6,3,FALSE)))</f>
        <v/>
      </c>
      <c r="O256" s="500" t="str">
        <f t="shared" si="18"/>
        <v/>
      </c>
      <c r="P256" s="241"/>
      <c r="Q256" s="241"/>
      <c r="R256" s="507" t="str">
        <f t="shared" si="20"/>
        <v/>
      </c>
      <c r="S256" s="521" t="str">
        <f t="shared" si="21"/>
        <v/>
      </c>
      <c r="T256" s="522" t="str">
        <f>IFERROR(IF(S256="Check Data ⚠","Check Data ⚠",VLOOKUP(S256,'G-4 Temporal multipliers'!$A$4:$C$37,3,FALSE)),"")</f>
        <v/>
      </c>
      <c r="U256" s="528" t="str">
        <f>IF(F256="","",VLOOKUP(F256,'G-3 Multipliers'!$A$2:$E$129,2,FALSE))</f>
        <v/>
      </c>
      <c r="V256" s="520" t="str">
        <f t="shared" si="22"/>
        <v/>
      </c>
      <c r="W256" s="508" t="str">
        <f>IF(E256="","",IF(AND(V256="Standard difficulty applied",O256&gt;P256),U256,IF(AND(V256="Low Difficulty - only applicable if all habitat created before losses",P256&gt;=O256),"Low",VLOOKUP(F256,'G-3 Multipliers'!$A$2:$E$129,4,FALSE))))</f>
        <v/>
      </c>
      <c r="X256" s="524" t="str">
        <f>IFERROR(IF(E256="","",VLOOKUP(W256, 'G-3 Multipliers'!$P$2:$Q$6,2,FALSE)),"")</f>
        <v/>
      </c>
      <c r="Y256" s="530" t="str">
        <f t="shared" si="23"/>
        <v/>
      </c>
      <c r="Z256" s="320"/>
      <c r="AA256" s="321"/>
      <c r="AE256" s="54" t="str">
        <f t="shared" si="19"/>
        <v/>
      </c>
    </row>
    <row r="257" spans="5:25" ht="14.4" thickBot="1" x14ac:dyDescent="0.3">
      <c r="E257" s="178" t="s">
        <v>243</v>
      </c>
      <c r="F257" s="340" t="s">
        <v>244</v>
      </c>
      <c r="G257" s="519">
        <f>SUM(G11:G256)</f>
        <v>1.1531</v>
      </c>
      <c r="T257" s="86"/>
      <c r="U257" s="86"/>
      <c r="V257" s="86"/>
      <c r="W257" s="86"/>
      <c r="X257" s="173" t="s">
        <v>245</v>
      </c>
      <c r="Y257" s="519">
        <f>SUM(Y11:Y256)</f>
        <v>2.1426687161742399</v>
      </c>
    </row>
    <row r="258" spans="5:25" ht="14.4" thickBot="1" x14ac:dyDescent="0.3">
      <c r="E258" s="47"/>
    </row>
    <row r="259" spans="5:25" ht="14.4" thickBot="1" x14ac:dyDescent="0.3">
      <c r="E259" s="502" t="s">
        <v>246</v>
      </c>
      <c r="G259" s="519">
        <f>IF('Detailed Results'!$K$40&gt;0,"Error",SUMIFS($G$11:$G$256,$F$11:$F$256,"&lt;&gt;"&amp;'G-1 All Habitats'!B73,$F$11:$F$256,"&lt;&gt;"&amp;'G-1 All Habitats'!B65,$F$11:$F$256,"&lt;&gt;"&amp;'G-1 All Habitats'!B66))</f>
        <v>0.98310000000000008</v>
      </c>
    </row>
    <row r="260" spans="5:25" x14ac:dyDescent="0.25">
      <c r="E260" s="47"/>
    </row>
    <row r="261" spans="5:25" x14ac:dyDescent="0.25">
      <c r="E261" s="47"/>
    </row>
    <row r="262" spans="5:25" x14ac:dyDescent="0.25">
      <c r="E262" s="47"/>
    </row>
    <row r="263" spans="5:25" x14ac:dyDescent="0.25">
      <c r="E263" s="47"/>
    </row>
    <row r="264" spans="5:25" x14ac:dyDescent="0.25">
      <c r="E264" s="47"/>
    </row>
    <row r="265" spans="5:25" x14ac:dyDescent="0.25">
      <c r="E265" s="47"/>
    </row>
    <row r="266" spans="5:25" x14ac:dyDescent="0.25">
      <c r="E266" s="47"/>
    </row>
  </sheetData>
  <sheetProtection algorithmName="SHA-512" hashValue="ZKSaWrML89nWeSGSE+CneB3Rr5QFX1qLBS0zXY2C/DFz6XOT68sR1FlyvlS258yZlIoXLiJx4p0BUYAOg2WncA==" saltValue="QqpyhXYa+WJnsNQV448EnA==" spinCount="100000" sheet="1" objects="1" scenarios="1"/>
  <customSheetViews>
    <customSheetView guid="{8BDA793C-C9C5-4FC6-A0A5-F1109F6D4F22}" topLeftCell="B1">
      <pane ySplit="10" topLeftCell="A11" activePane="bottomLeft" state="frozen"/>
      <selection pane="bottomLeft"/>
    </customSheetView>
  </customSheetViews>
  <mergeCells count="18">
    <mergeCell ref="U9:X9"/>
    <mergeCell ref="AE8:AE9"/>
    <mergeCell ref="D2:E2"/>
    <mergeCell ref="D3:E3"/>
    <mergeCell ref="F9:F10"/>
    <mergeCell ref="L9:N9"/>
    <mergeCell ref="G9:G10"/>
    <mergeCell ref="D9:D10"/>
    <mergeCell ref="E9:E10"/>
    <mergeCell ref="D8:AA8"/>
    <mergeCell ref="Y9:Y10"/>
    <mergeCell ref="Z9:AA9"/>
    <mergeCell ref="H9:I9"/>
    <mergeCell ref="J9:K9"/>
    <mergeCell ref="W3:Z6"/>
    <mergeCell ref="P2:S3"/>
    <mergeCell ref="P5:S6"/>
    <mergeCell ref="O9:T9"/>
  </mergeCells>
  <conditionalFormatting sqref="K11:K256">
    <cfRule type="cellIs" dxfId="260" priority="38" operator="equal">
      <formula>"Not Possible"</formula>
    </cfRule>
  </conditionalFormatting>
  <conditionalFormatting sqref="S11:S256">
    <cfRule type="containsText" dxfId="259" priority="20" operator="containsText" text="30+">
      <formula>NOT(ISERROR(SEARCH("30+",S11)))</formula>
    </cfRule>
  </conditionalFormatting>
  <conditionalFormatting sqref="O11:O256">
    <cfRule type="containsText" dxfId="258" priority="19" operator="containsText" text="30+">
      <formula>NOT(ISERROR(SEARCH("30+",O11)))</formula>
    </cfRule>
  </conditionalFormatting>
  <conditionalFormatting sqref="V11:V256">
    <cfRule type="cellIs" dxfId="257" priority="9" operator="equal">
      <formula>"No - Enhancement difficulty applied"</formula>
    </cfRule>
    <cfRule type="containsText" dxfId="256" priority="15" operator="containsText" text="No - Low Difficulty">
      <formula>NOT(ISERROR(SEARCH("No - Low Difficulty",V11)))</formula>
    </cfRule>
  </conditionalFormatting>
  <conditionalFormatting sqref="X12:Y257 R11:Y11 R12:X256">
    <cfRule type="containsText" dxfId="255" priority="14" operator="containsText" text="Error">
      <formula>NOT(ISERROR(SEARCH("Error",R11)))</formula>
    </cfRule>
    <cfRule type="containsText" dxfId="254" priority="17" operator="containsText" text="Check">
      <formula>NOT(ISERROR(SEARCH("Check",R11)))</formula>
    </cfRule>
  </conditionalFormatting>
  <conditionalFormatting sqref="P2">
    <cfRule type="containsText" dxfId="253" priority="13" operator="containsText" text="Note">
      <formula>NOT(ISERROR(SEARCH("Note",P2)))</formula>
    </cfRule>
  </conditionalFormatting>
  <conditionalFormatting sqref="P5">
    <cfRule type="containsText" dxfId="252" priority="12" operator="containsText" text="Check">
      <formula>NOT(ISERROR(SEARCH("Check",P5)))</formula>
    </cfRule>
  </conditionalFormatting>
  <conditionalFormatting sqref="T255">
    <cfRule type="containsText" dxfId="251" priority="11" operator="containsText" text="30+">
      <formula>NOT(ISERROR(SEARCH("30+",T255)))</formula>
    </cfRule>
  </conditionalFormatting>
  <conditionalFormatting sqref="V11:V256">
    <cfRule type="cellIs" dxfId="250" priority="10" operator="equal">
      <formula>"No - Enhancement difficulty applied"</formula>
    </cfRule>
  </conditionalFormatting>
  <conditionalFormatting sqref="E257">
    <cfRule type="containsText" dxfId="249" priority="7" operator="containsText" text="Error">
      <formula>NOT(ISERROR(SEARCH("Error",E257)))</formula>
    </cfRule>
    <cfRule type="containsText" dxfId="248" priority="8" operator="containsText" text="Check">
      <formula>NOT(ISERROR(SEARCH("Check",E257)))</formula>
    </cfRule>
  </conditionalFormatting>
  <dataValidations count="3">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multipliers'!$A$41:$A$72</xm:f>
          </x14:formula1>
          <xm:sqref>P11:Q256</xm:sqref>
        </x14:dataValidation>
        <x14:dataValidation type="list" allowBlank="1" showInputMessage="1" showErrorMessage="1" xr:uid="{00000000-0002-0000-0B00-000005000000}">
          <x14:formula1>
            <xm:f>'G-1 All Habitats'!$AF$3:$AF$15</xm:f>
          </x14:formula1>
          <xm:sqref>D11:D256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P266"/>
  <sheetViews>
    <sheetView showGridLines="0" showRowColHeaders="0" topLeftCell="D1" zoomScaleNormal="100" workbookViewId="0">
      <pane ySplit="11" topLeftCell="A12" activePane="bottomLeft" state="frozen"/>
      <selection activeCell="S28" sqref="S28"/>
      <selection pane="bottomLeft" activeCell="AN5" sqref="AN5"/>
    </sheetView>
  </sheetViews>
  <sheetFormatPr defaultColWidth="8.88671875" defaultRowHeight="13.8" zeroHeight="1" x14ac:dyDescent="0.25"/>
  <cols>
    <col min="1" max="1" width="19.5546875" style="47" hidden="1" customWidth="1"/>
    <col min="2" max="2" width="19" style="47" hidden="1" customWidth="1"/>
    <col min="3" max="3" width="11" style="47" hidden="1" customWidth="1"/>
    <col min="4" max="4" width="2.88671875" style="47" customWidth="1"/>
    <col min="5" max="5" width="11.33203125" style="47" customWidth="1"/>
    <col min="6" max="6" width="57.6640625" style="47" customWidth="1"/>
    <col min="7" max="7" width="13.109375" style="47" customWidth="1"/>
    <col min="8" max="9" width="17.88671875" style="47" customWidth="1"/>
    <col min="10" max="10" width="18.109375" style="47" customWidth="1"/>
    <col min="11" max="12" width="19.33203125" style="47" customWidth="1"/>
    <col min="13" max="13" width="20.33203125" style="47" customWidth="1"/>
    <col min="14" max="14" width="19.33203125" style="47" customWidth="1"/>
    <col min="15" max="15" width="34" style="47" customWidth="1"/>
    <col min="16" max="16" width="34" style="47" hidden="1" customWidth="1"/>
    <col min="17" max="17" width="34" style="47" customWidth="1"/>
    <col min="18" max="18" width="73" style="47" customWidth="1"/>
    <col min="19" max="19" width="61.33203125" style="47" hidden="1" customWidth="1"/>
    <col min="20" max="21" width="34.33203125" style="47" customWidth="1"/>
    <col min="22" max="22" width="12.109375" style="47" customWidth="1"/>
    <col min="23" max="23" width="18.44140625" style="47" customWidth="1"/>
    <col min="24" max="24" width="13.109375" style="47" customWidth="1"/>
    <col min="25" max="25" width="12.6640625" style="47" customWidth="1"/>
    <col min="26" max="26" width="12.5546875" style="47" customWidth="1"/>
    <col min="27" max="27" width="41.6640625" style="47" customWidth="1"/>
    <col min="28" max="28" width="15.44140625" style="47" customWidth="1"/>
    <col min="29" max="29" width="12.33203125" style="47" customWidth="1"/>
    <col min="30" max="30" width="18.109375" style="47" customWidth="1"/>
    <col min="31" max="31" width="20.88671875" style="47" customWidth="1"/>
    <col min="32" max="32" width="22.6640625" style="47" customWidth="1"/>
    <col min="33" max="33" width="33.33203125" style="47" customWidth="1"/>
    <col min="34" max="34" width="17.6640625" style="47" customWidth="1"/>
    <col min="35" max="35" width="15.33203125" style="47" customWidth="1"/>
    <col min="36" max="36" width="15.6640625" style="47" customWidth="1"/>
    <col min="37" max="37" width="29.44140625" style="47" customWidth="1"/>
    <col min="38" max="38" width="17.109375" style="47" customWidth="1"/>
    <col min="39" max="39" width="14.5546875" style="47" customWidth="1"/>
    <col min="40" max="40" width="12.6640625" style="47" customWidth="1"/>
    <col min="41" max="41" width="40.33203125" style="47" customWidth="1"/>
    <col min="42" max="42" width="42.33203125" style="47" customWidth="1"/>
    <col min="43" max="55" width="8.88671875" style="47" customWidth="1"/>
    <col min="56" max="16384" width="8.88671875" style="47"/>
  </cols>
  <sheetData>
    <row r="1" spans="1:42" ht="14.4" thickBot="1" x14ac:dyDescent="0.3"/>
    <row r="2" spans="1:42" ht="19.5" customHeight="1" thickBot="1" x14ac:dyDescent="0.3">
      <c r="E2" s="923" t="str">
        <f>IF(Start!$F$12="","",Start!$F$12)</f>
        <v>Land at Doncaster Road, Goldthorpe, Rotherham</v>
      </c>
      <c r="F2" s="924"/>
      <c r="G2" s="925"/>
      <c r="AD2" s="930" t="str">
        <f>IF(OR(COUNTIF($AD$12:AD257,"*30+*")&gt;0,COUNTIF(AH12:AH257,"*30+*")&gt;0),"Note; Habitat selected has a time to target condition greater than 30 years. Non standard agreement may be required.","")</f>
        <v/>
      </c>
      <c r="AE2" s="930"/>
      <c r="AF2" s="930"/>
      <c r="AG2" s="930"/>
      <c r="AH2" s="930"/>
      <c r="AI2" s="930"/>
    </row>
    <row r="3" spans="1:42" ht="13.2" customHeight="1" x14ac:dyDescent="0.25">
      <c r="E3" s="891" t="str">
        <f ca="1">MID(CELL("filename",D1),FIND("]",CELL("filename",D1))+1,256)</f>
        <v>A-3 Site Habitat Enhancement</v>
      </c>
      <c r="F3" s="892"/>
      <c r="G3" s="893"/>
      <c r="AD3" s="930"/>
      <c r="AE3" s="930"/>
      <c r="AF3" s="930"/>
      <c r="AG3" s="930"/>
      <c r="AH3" s="930"/>
      <c r="AI3" s="930"/>
    </row>
    <row r="4" spans="1:42" ht="15.75" customHeight="1" thickBot="1" x14ac:dyDescent="0.35">
      <c r="E4" s="894"/>
      <c r="F4" s="895"/>
      <c r="G4" s="896"/>
      <c r="H4" s="234" t="str">
        <f>IF(G4="","",IF(ISNA(VLOOKUP($E4,'A-1 Site Habitat Baseline'!$D$1:$O$258,3,FALSE)),"",(VLOOKUP($E4,'A-1 Site Habitat Baseline'!$D$1:$O$258,3,FALSE))))</f>
        <v/>
      </c>
      <c r="AD4" s="447"/>
      <c r="AE4" s="447"/>
      <c r="AF4" s="447"/>
      <c r="AG4" s="447"/>
      <c r="AK4" s="235"/>
      <c r="AL4" s="235"/>
      <c r="AM4" s="235"/>
    </row>
    <row r="5" spans="1:42" ht="15" customHeight="1" x14ac:dyDescent="0.25">
      <c r="AD5" s="930" t="str">
        <f>IF(Q12&lt;&gt;A12,"Change in broad habitat type detected. Check compliance with guidance.","")</f>
        <v/>
      </c>
      <c r="AE5" s="930"/>
      <c r="AF5" s="930"/>
      <c r="AG5" s="930"/>
      <c r="AH5" s="930"/>
      <c r="AI5" s="930"/>
    </row>
    <row r="6" spans="1:42" ht="15.75" customHeight="1" x14ac:dyDescent="0.25">
      <c r="AD6" s="930"/>
      <c r="AE6" s="930"/>
      <c r="AF6" s="930"/>
      <c r="AG6" s="930"/>
      <c r="AH6" s="930"/>
      <c r="AI6" s="930"/>
    </row>
    <row r="7" spans="1:42" x14ac:dyDescent="0.25">
      <c r="E7" s="48"/>
      <c r="F7" s="48"/>
    </row>
    <row r="8" spans="1:42" ht="18" customHeight="1" thickBot="1" x14ac:dyDescent="0.3"/>
    <row r="9" spans="1:42" ht="15.6" customHeight="1" thickBot="1" x14ac:dyDescent="0.3">
      <c r="F9" s="55"/>
      <c r="G9" s="55"/>
      <c r="H9" s="55"/>
      <c r="I9" s="55"/>
      <c r="J9" s="55"/>
      <c r="K9" s="55"/>
      <c r="L9" s="55"/>
      <c r="M9" s="55"/>
      <c r="N9" s="55"/>
      <c r="O9" s="55"/>
      <c r="P9" s="55"/>
      <c r="Q9" s="914" t="s">
        <v>225</v>
      </c>
      <c r="R9" s="915"/>
      <c r="S9" s="915"/>
      <c r="T9" s="915"/>
      <c r="U9" s="915"/>
      <c r="V9" s="915"/>
      <c r="W9" s="915"/>
      <c r="X9" s="915"/>
      <c r="Y9" s="915"/>
      <c r="Z9" s="915"/>
      <c r="AA9" s="915"/>
      <c r="AB9" s="915"/>
      <c r="AC9" s="915"/>
      <c r="AD9" s="915"/>
      <c r="AE9" s="915"/>
      <c r="AF9" s="915"/>
      <c r="AG9" s="915"/>
      <c r="AH9" s="915"/>
      <c r="AI9" s="915"/>
      <c r="AJ9" s="915"/>
      <c r="AK9" s="915"/>
      <c r="AL9" s="915"/>
      <c r="AM9" s="916"/>
    </row>
    <row r="10" spans="1:42" ht="28.2" customHeight="1" thickBot="1" x14ac:dyDescent="0.3">
      <c r="F10" s="914" t="s">
        <v>247</v>
      </c>
      <c r="G10" s="915"/>
      <c r="H10" s="915"/>
      <c r="I10" s="915"/>
      <c r="J10" s="915"/>
      <c r="K10" s="915"/>
      <c r="L10" s="915"/>
      <c r="M10" s="915"/>
      <c r="N10" s="915"/>
      <c r="O10" s="916"/>
      <c r="P10" s="236"/>
      <c r="Q10" s="926" t="s">
        <v>248</v>
      </c>
      <c r="R10" s="927"/>
      <c r="S10" s="396"/>
      <c r="T10" s="928" t="s">
        <v>249</v>
      </c>
      <c r="U10" s="929"/>
      <c r="V10" s="932" t="s">
        <v>250</v>
      </c>
      <c r="W10" s="937" t="s">
        <v>189</v>
      </c>
      <c r="X10" s="937" t="s">
        <v>206</v>
      </c>
      <c r="Y10" s="937" t="s">
        <v>190</v>
      </c>
      <c r="Z10" s="935" t="s">
        <v>206</v>
      </c>
      <c r="AA10" s="931" t="s">
        <v>191</v>
      </c>
      <c r="AB10" s="928"/>
      <c r="AC10" s="929"/>
      <c r="AD10" s="903" t="s">
        <v>251</v>
      </c>
      <c r="AE10" s="905"/>
      <c r="AF10" s="905"/>
      <c r="AG10" s="905"/>
      <c r="AH10" s="905"/>
      <c r="AI10" s="904"/>
      <c r="AJ10" s="903" t="s">
        <v>252</v>
      </c>
      <c r="AK10" s="905"/>
      <c r="AL10" s="905"/>
      <c r="AM10" s="905"/>
      <c r="AN10" s="906" t="s">
        <v>230</v>
      </c>
      <c r="AO10" s="931" t="s">
        <v>196</v>
      </c>
      <c r="AP10" s="929"/>
    </row>
    <row r="11" spans="1:42" s="49" customFormat="1" ht="42" thickBot="1" x14ac:dyDescent="0.3">
      <c r="A11" s="388" t="s">
        <v>202</v>
      </c>
      <c r="B11" s="388" t="s">
        <v>253</v>
      </c>
      <c r="C11" s="388" t="s">
        <v>200</v>
      </c>
      <c r="E11" s="363" t="s">
        <v>254</v>
      </c>
      <c r="F11" s="367" t="s">
        <v>255</v>
      </c>
      <c r="G11" s="367" t="s">
        <v>256</v>
      </c>
      <c r="H11" s="367" t="s">
        <v>257</v>
      </c>
      <c r="I11" s="367" t="s">
        <v>258</v>
      </c>
      <c r="J11" s="367" t="s">
        <v>259</v>
      </c>
      <c r="K11" s="367" t="s">
        <v>260</v>
      </c>
      <c r="L11" s="367" t="s">
        <v>261</v>
      </c>
      <c r="M11" s="367" t="s">
        <v>262</v>
      </c>
      <c r="N11" s="367" t="s">
        <v>263</v>
      </c>
      <c r="O11" s="365" t="s">
        <v>192</v>
      </c>
      <c r="P11" s="361" t="s">
        <v>264</v>
      </c>
      <c r="Q11" s="380" t="s">
        <v>265</v>
      </c>
      <c r="R11" s="77" t="s">
        <v>227</v>
      </c>
      <c r="S11" s="362" t="s">
        <v>227</v>
      </c>
      <c r="T11" s="364" t="s">
        <v>266</v>
      </c>
      <c r="U11" s="366" t="s">
        <v>267</v>
      </c>
      <c r="V11" s="933"/>
      <c r="W11" s="938"/>
      <c r="X11" s="938"/>
      <c r="Y11" s="938"/>
      <c r="Z11" s="936"/>
      <c r="AA11" s="380" t="s">
        <v>191</v>
      </c>
      <c r="AB11" s="389" t="s">
        <v>191</v>
      </c>
      <c r="AC11" s="390" t="s">
        <v>231</v>
      </c>
      <c r="AD11" s="380" t="s">
        <v>232</v>
      </c>
      <c r="AE11" s="391" t="s">
        <v>268</v>
      </c>
      <c r="AF11" s="391" t="s">
        <v>269</v>
      </c>
      <c r="AG11" s="391" t="s">
        <v>235</v>
      </c>
      <c r="AH11" s="391" t="s">
        <v>236</v>
      </c>
      <c r="AI11" s="381" t="s">
        <v>237</v>
      </c>
      <c r="AJ11" s="380" t="s">
        <v>270</v>
      </c>
      <c r="AK11" s="391" t="s">
        <v>239</v>
      </c>
      <c r="AL11" s="391" t="s">
        <v>271</v>
      </c>
      <c r="AM11" s="393" t="s">
        <v>241</v>
      </c>
      <c r="AN11" s="934"/>
      <c r="AO11" s="364" t="s">
        <v>215</v>
      </c>
      <c r="AP11" s="366" t="s">
        <v>216</v>
      </c>
    </row>
    <row r="12" spans="1:42" x14ac:dyDescent="0.25">
      <c r="A12" s="47" t="str">
        <f>IF(E12="","",IF(ISNA(VLOOKUP($E12,'A-1 Site Habitat Baseline'!$D$1:$O$258,2,FALSE)),"",(VLOOKUP($E12,'A-1 Site Habitat Baseline'!$D$1:$O$258,2,FALSE))))</f>
        <v/>
      </c>
      <c r="B12" s="47" t="str">
        <f>IF(E12="","",IF(ISNA(VLOOKUP($E12,'A-1 Site Habitat Baseline'!$D$1:$O$258,3,FALSE)),"",(VLOOKUP($E12,'A-1 Site Habitat Baseline'!$D$1:$O$258,3,FALSE))))</f>
        <v/>
      </c>
      <c r="C12" s="47" t="str">
        <f>IFERROR(INDEX('G-8 Condition Look up'!$I$4:$I$130,MATCH(S12,'G-8 Condition Look up'!$A$4:$A$130,0)),"")</f>
        <v/>
      </c>
      <c r="E12" s="531" t="str">
        <f>'A-1 Site Habitat Baseline'!AL11</f>
        <v/>
      </c>
      <c r="F12" s="520" t="str">
        <f>IF(E12="","",IF(ISNA(VLOOKUP($E12,'A-1 Site Habitat Baseline'!$D$1:$O$258,4,FALSE)),"",(VLOOKUP($E12,'A-1 Site Habitat Baseline'!$D$1:$O$258,4,FALSE))))</f>
        <v/>
      </c>
      <c r="G12" s="520" t="str">
        <f>IF(E12="","",IF(ISNA(VLOOKUP($E12,'A-1 Site Habitat Baseline'!$D$1:$O$258,5,FALSE)),"",(VLOOKUP($E12,'A-1 Site Habitat Baseline'!$D$1:$O$258,5,FALSE))))</f>
        <v/>
      </c>
      <c r="H12" s="520" t="str">
        <f>IF(E12="","",IF(ISNA(VLOOKUP($E12,'A-1 Site Habitat Baseline'!$D$1:$O$258,6,FALSE)),"",(VLOOKUP($E12,'A-1 Site Habitat Baseline'!$D$1:$O$258,6,FALSE))))</f>
        <v/>
      </c>
      <c r="I12" s="520" t="str">
        <f>IF(E12="","",IF(ISNA(VLOOKUP($E12,'A-1 Site Habitat Baseline'!$D$1:$O$258,7,FALSE)),"",(VLOOKUP($E12,'A-1 Site Habitat Baseline'!$D$1:$O$258,7,FALSE))))</f>
        <v/>
      </c>
      <c r="J12" s="520" t="str">
        <f>IF(E12="","",IF(ISNA(VLOOKUP($E12,'A-1 Site Habitat Baseline'!$D$1:$O$258,8,FALSE)),"",(VLOOKUP($E12,'A-1 Site Habitat Baseline'!$D$1:$O$258,8,FALSE))))</f>
        <v/>
      </c>
      <c r="K12" s="520" t="str">
        <f>IF(E12="","",IF(ISNA(VLOOKUP($E12,'A-1 Site Habitat Baseline'!$D$1:$O$258,9,FALSE)),"",(VLOOKUP($E12,'A-1 Site Habitat Baseline'!$D$1:$O$258,9,FALSE))))</f>
        <v/>
      </c>
      <c r="L12" s="520" t="str">
        <f>IF(E12="","",IF(ISNA(VLOOKUP($E12,'A-1 Site Habitat Baseline'!$D$1:$O$258,11,FALSE)),"",(VLOOKUP($E12,'A-1 Site Habitat Baseline'!$D$1:$O$258,11,FALSE))))</f>
        <v/>
      </c>
      <c r="M12" s="520" t="str">
        <f>IF(E12="","",IF(ISNA(VLOOKUP($E12,'A-1 Site Habitat Baseline'!$D$1:$O$258,12,FALSE)),"",(VLOOKUP($E12,'A-1 Site Habitat Baseline'!$D$1:$O$258,12,FALSE))))</f>
        <v/>
      </c>
      <c r="N12" s="532" t="str">
        <f>IF(E12="","",IF(ISNA(VLOOKUP($E12,'A-1 Site Habitat Baseline'!$D$1:$X$258,14,FALSE)),"",(VLOOKUP($E12,'A-1 Site Habitat Baseline'!$D$1:$X$258,14,FALSE))))</f>
        <v/>
      </c>
      <c r="O12" s="524" t="str">
        <f>IF(E12="","",IF(ISNA(VLOOKUP($E12,'A-1 Site Habitat Baseline'!$D$1:$X$258,16,FALSE)),"",(VLOOKUP($E12,'A-1 Site Habitat Baseline'!$D$1:$X$258,13,FALSE))))</f>
        <v/>
      </c>
      <c r="P12" s="237" t="str">
        <f>IFERROR(INDEX('G-1 All Habitats'!$AG$3:$AG$15,MATCH(Q12,'G-1 All Habitats'!$AF$3:$AF$15,0)),"")</f>
        <v/>
      </c>
      <c r="Q12" s="238" t="str">
        <f t="shared" ref="Q12" si="0">A12</f>
        <v/>
      </c>
      <c r="R12" s="238"/>
      <c r="S12" s="392" t="str">
        <f>IFERROR(INDEX('G-1 All Habitats'!$B$3:$B$129,MATCH(R12,'G-1 All Habitats'!$A$3:$A$129,0)),"")</f>
        <v/>
      </c>
      <c r="T12" s="498"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499"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37" t="str">
        <f>IF(S12="","",VLOOKUP(E12,BaselineHabSite,17,FALSE))</f>
        <v/>
      </c>
      <c r="W12" s="520" t="str">
        <f>IF(S12="","",VLOOKUP(S12,'G-1 All Habitats'!$B$2:$M$129,10,FALSE))</f>
        <v/>
      </c>
      <c r="X12" s="520" t="str">
        <f>IFERROR(VLOOKUP(W12,'G-1 All Habitats'!$V$3:$W$7,2,FALSE),"")</f>
        <v/>
      </c>
      <c r="Y12" s="79"/>
      <c r="Z12" s="524" t="str">
        <f>IFERROR(INDEX('G-8 Condition Look up'!$A$3:$H$130,MATCH(S12,'G-8 Condition Look up'!$A$3:$A$130,0),MATCH(Y12,'G-8 Condition Look up'!$A$3:$H$3,0)),"")</f>
        <v/>
      </c>
      <c r="AA12" s="71"/>
      <c r="AB12" s="520" t="str">
        <f>IF(AA12="","",IF(VLOOKUP(AA12,'G-3 Multipliers'!$L$3:$N$6,2,FALSE)=0,"Spatial Data Missing ⚠",VLOOKUP(AA12,'G-3 Multipliers'!$L$3:$N$6,2,FALSE)))</f>
        <v/>
      </c>
      <c r="AC12" s="524" t="str">
        <f>IF(AA12="","",IF(VLOOKUP(AA12,'G-3 Multipliers'!$L$3:$N$6,3,FALSE)=0,"Spatial Data Missing ⚠",VLOOKUP(AA12,'G-3 Multipliers'!$L$3:$N$6,3,FALSE)))</f>
        <v/>
      </c>
      <c r="AD12" s="539" t="str">
        <f t="shared" ref="AD12:AD75" si="1">IFERROR(IF(OR(LEFT(U12,5)="Error ▲",LEFT(T12,5)="Error ▲"),"Check Data ⚠",INDEX(EnhanceTemporal,MATCH(S12,EnhanceHabitat,0),MATCH(U12,EnhanceCondition,0))),"")</f>
        <v/>
      </c>
      <c r="AE12" s="82"/>
      <c r="AF12" s="82"/>
      <c r="AG12" s="507"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21" t="str">
        <f>IF(LEFT(AG12,5)="Error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522" t="str">
        <f>IF(AH12="Check Data ⚠","Check Data ⚠",IFERROR(VLOOKUP(AH12,'G-4 Temporal multipliers'!$A$4:$C$36,3,FALSE),""))</f>
        <v/>
      </c>
      <c r="AJ12" s="498" t="str">
        <f>IF(S12="","",VLOOKUP(S12,'G-3 Multipliers'!$A$2:$E$129,4,FALSE))</f>
        <v/>
      </c>
      <c r="AK12" s="507" t="str">
        <f>IF(E12="","",IF(AG12="Check details - Is there evidence that habitat has reached target condition? ⚠","Low Difficulty - only applicable if all habitat created before losses ⚠","Standard difficulty applied"))</f>
        <v/>
      </c>
      <c r="AL12" s="507" t="str">
        <f>(IF(AND(AK12="Standard difficulty applied",AD12&gt;AE12),AJ12,IF(AND(AK12="Low Difficulty - only applicable if all habitat created before losses ⚠",AE12&gt;=AD12),"Low", AJ12)))</f>
        <v/>
      </c>
      <c r="AM12" s="540" t="str">
        <f>IFERROR(IF(F12="","",IF(AH12="Check Data ⚠","Check Data ⚠",VLOOKUP(AL12, 'G-3 Multipliers'!$P$2:$Q$6,2,FALSE))),"")</f>
        <v/>
      </c>
      <c r="AN12" s="513" t="str">
        <f>IFERROR(((((V12*X12*Z12)-(V12*I12*K12))*(AM12*AI12))+(V12*I12*K12))*(AC12),"")</f>
        <v/>
      </c>
      <c r="AO12" s="239"/>
      <c r="AP12" s="240"/>
    </row>
    <row r="13" spans="1:42" x14ac:dyDescent="0.25">
      <c r="A13" s="47" t="str">
        <f>IF(E13="","",IF(ISNA(VLOOKUP($E13,'A-1 Site Habitat Baseline'!$D$1:$O$258,2,FALSE)),"",(VLOOKUP($E13,'A-1 Site Habitat Baseline'!$D$1:$O$258,2,FALSE))))</f>
        <v/>
      </c>
      <c r="B13" s="47" t="str">
        <f>IF(E13="","",IF(ISNA(VLOOKUP($E13,'A-1 Site Habitat Baseline'!$D$1:$O$258,3,FALSE)),"",(VLOOKUP($E13,'A-1 Site Habitat Baseline'!$D$1:$O$258,3,FALSE))))</f>
        <v/>
      </c>
      <c r="C13" s="47" t="str">
        <f>IFERROR(INDEX('G-8 Condition Look up'!$I$4:$I$130,MATCH(S13,'G-8 Condition Look up'!$A$4:$A$130,0)),"")</f>
        <v/>
      </c>
      <c r="E13" s="531" t="str">
        <f>'A-1 Site Habitat Baseline'!AL12</f>
        <v/>
      </c>
      <c r="F13" s="520" t="str">
        <f>IF(E13="","",IF(ISNA(VLOOKUP($E13,'A-1 Site Habitat Baseline'!$D$1:$O$258,4,FALSE)),"",(VLOOKUP($E13,'A-1 Site Habitat Baseline'!$D$1:$O$258,4,FALSE))))</f>
        <v/>
      </c>
      <c r="G13" s="520" t="str">
        <f>IF(E13="","",IF(ISNA(VLOOKUP($E13,'A-1 Site Habitat Baseline'!$D$1:$O$258,5,FALSE)),"",(VLOOKUP($E13,'A-1 Site Habitat Baseline'!$D$1:$O$258,5,FALSE))))</f>
        <v/>
      </c>
      <c r="H13" s="520" t="str">
        <f>IF(E13="","",IF(ISNA(VLOOKUP($E13,'A-1 Site Habitat Baseline'!$D$1:$O$258,6,FALSE)),"",(VLOOKUP($E13,'A-1 Site Habitat Baseline'!$D$1:$O$258,6,FALSE))))</f>
        <v/>
      </c>
      <c r="I13" s="520" t="str">
        <f>IF(E13="","",IF(ISNA(VLOOKUP($E13,'A-1 Site Habitat Baseline'!$D$1:$O$258,7,FALSE)),"",(VLOOKUP($E13,'A-1 Site Habitat Baseline'!$D$1:$O$258,7,FALSE))))</f>
        <v/>
      </c>
      <c r="J13" s="520" t="str">
        <f>IF(E13="","",IF(ISNA(VLOOKUP($E13,'A-1 Site Habitat Baseline'!$D$1:$O$258,8,FALSE)),"",(VLOOKUP($E13,'A-1 Site Habitat Baseline'!$D$1:$O$258,8,FALSE))))</f>
        <v/>
      </c>
      <c r="K13" s="520" t="str">
        <f>IF(E13="","",IF(ISNA(VLOOKUP($E13,'A-1 Site Habitat Baseline'!$D$1:$O$258,9,FALSE)),"",(VLOOKUP($E13,'A-1 Site Habitat Baseline'!$D$1:$O$258,9,FALSE))))</f>
        <v/>
      </c>
      <c r="L13" s="520" t="str">
        <f>IF(E13="","",IF(ISNA(VLOOKUP($E13,'A-1 Site Habitat Baseline'!$D$1:$O$258,11,FALSE)),"",(VLOOKUP($E13,'A-1 Site Habitat Baseline'!$D$1:$O$258,11,FALSE))))</f>
        <v/>
      </c>
      <c r="M13" s="520" t="str">
        <f>IF(E13="","",IF(ISNA(VLOOKUP($E13,'A-1 Site Habitat Baseline'!$D$1:$O$258,12,FALSE)),"",(VLOOKUP($E13,'A-1 Site Habitat Baseline'!$D$1:$O$258,12,FALSE))))</f>
        <v/>
      </c>
      <c r="N13" s="532" t="str">
        <f>IF(E13="","",IF(ISNA(VLOOKUP($E13,'A-1 Site Habitat Baseline'!$D$1:$X$258,14,FALSE)),"",(VLOOKUP($E13,'A-1 Site Habitat Baseline'!$D$1:$X$258,14,FALSE))))</f>
        <v/>
      </c>
      <c r="O13" s="524" t="str">
        <f>IF(E13="","",IF(ISNA(VLOOKUP($E13,'A-1 Site Habitat Baseline'!$D$1:$X$258,16,FALSE)),"",(VLOOKUP($E13,'A-1 Site Habitat Baseline'!$D$1:$X$258,13,FALSE))))</f>
        <v/>
      </c>
      <c r="P13" s="237" t="str">
        <f>IFERROR(INDEX('G-1 All Habitats'!$AG$3:$AG$15,MATCH(Q13,'G-1 All Habitats'!$AF$3:$AF$15,0)),"")</f>
        <v/>
      </c>
      <c r="Q13" s="238" t="str">
        <f t="shared" ref="Q13:Q76" si="2">A13</f>
        <v/>
      </c>
      <c r="R13" s="238"/>
      <c r="S13" s="392" t="str">
        <f>IFERROR(INDEX('G-1 All Habitats'!$B$3:$B$129,MATCH(R13,'G-1 All Habitats'!$A$3:$A$129,0)),"")</f>
        <v/>
      </c>
      <c r="T13" s="498"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499" t="str">
        <f t="shared" ref="U13:U76" si="4">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37" t="str">
        <f t="shared" ref="V13:V75" si="5">IF(S13="","",VLOOKUP(E13,BaselineHabSite,17,FALSE))</f>
        <v/>
      </c>
      <c r="W13" s="520" t="str">
        <f>IF(S13="","",VLOOKUP(S13,'G-1 All Habitats'!$B$2:$M$129,10,FALSE))</f>
        <v/>
      </c>
      <c r="X13" s="520" t="str">
        <f>IFERROR(VLOOKUP(W13,'G-1 All Habitats'!$V$3:$W$7,2,FALSE),"")</f>
        <v/>
      </c>
      <c r="Y13" s="79"/>
      <c r="Z13" s="524" t="str">
        <f>IFERROR(INDEX('G-8 Condition Look up'!$A$3:$H$130,MATCH(S13,'G-8 Condition Look up'!$A$3:$A$130,0),MATCH(Y13,'G-8 Condition Look up'!$A$3:$H$3,0)),"")</f>
        <v/>
      </c>
      <c r="AA13" s="71"/>
      <c r="AB13" s="520" t="str">
        <f>IF(AA13="","",IF(VLOOKUP(AA13,'G-3 Multipliers'!$L$3:$N$6,2,FALSE)=0,"Spatial Data Missing ⚠",VLOOKUP(AA13,'G-3 Multipliers'!$L$3:$N$6,2,FALSE)))</f>
        <v/>
      </c>
      <c r="AC13" s="524" t="str">
        <f>IF(AA13="","",IF(VLOOKUP(AA13,'G-3 Multipliers'!$L$3:$N$6,3,FALSE)=0,"Spatial Data Missing ⚠",VLOOKUP(AA13,'G-3 Multipliers'!$L$3:$N$6,3,FALSE)))</f>
        <v/>
      </c>
      <c r="AD13" s="539" t="str">
        <f t="shared" si="1"/>
        <v/>
      </c>
      <c r="AE13" s="82"/>
      <c r="AF13" s="82"/>
      <c r="AG13" s="507"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21" t="str">
        <f t="shared" ref="AH13:AH76" si="7">IF(LEFT(AG13,5)="Error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522" t="str">
        <f>IF(AH13="Check Data","Check Data",IFERROR(VLOOKUP(AH13,'G-4 Temporal multipliers'!$A$4:$C$36,3,FALSE),""))</f>
        <v/>
      </c>
      <c r="AJ13" s="498" t="str">
        <f>IF(S13="","",VLOOKUP(S13,'G-3 Multipliers'!$A$2:$E$129,4,FALSE))</f>
        <v/>
      </c>
      <c r="AK13" s="507" t="str">
        <f t="shared" ref="AK13:AK76" si="8">IF(E13="","",IF(AG13="Check details - Is there evidence that habitat has reached target condition? ⚠","Low Difficulty - only applicable if all habitat created before losses ⚠","Standard difficulty applied"))</f>
        <v/>
      </c>
      <c r="AL13" s="507" t="str">
        <f t="shared" ref="AL13:AL76" si="9">(IF(AND(AK13="Standard difficulty applied",AD13&gt;AE13),AJ13,IF(AND(AK13="Low Difficulty - only applicable if all habitat created before losses ⚠",AE13&gt;=AD13),"Low", AJ13)))</f>
        <v/>
      </c>
      <c r="AM13" s="540" t="str">
        <f>IFERROR(IF(F13="","",IF(AH13="Check Data ⚠","Check Data ⚠",VLOOKUP(AL13, 'G-3 Multipliers'!$P$2:$Q$6,2,FALSE))),"")</f>
        <v/>
      </c>
      <c r="AN13" s="513" t="str">
        <f t="shared" ref="AN13:AN75" si="10">IFERROR(((((V13*X13*Z13)-(V13*I13*K13))*(AM13*AI13))+(V13*I13*K13))*(AC13),"")</f>
        <v/>
      </c>
      <c r="AO13" s="239"/>
      <c r="AP13" s="240"/>
    </row>
    <row r="14" spans="1:42" x14ac:dyDescent="0.25">
      <c r="A14" s="47" t="str">
        <f>IF(E14="","",IF(ISNA(VLOOKUP($E14,'A-1 Site Habitat Baseline'!$D$1:$O$258,2,FALSE)),"",(VLOOKUP($E14,'A-1 Site Habitat Baseline'!$D$1:$O$258,2,FALSE))))</f>
        <v/>
      </c>
      <c r="B14" s="47" t="str">
        <f>IF(E14="","",IF(ISNA(VLOOKUP($E14,'A-1 Site Habitat Baseline'!$D$1:$O$258,3,FALSE)),"",(VLOOKUP($E14,'A-1 Site Habitat Baseline'!$D$1:$O$258,3,FALSE))))</f>
        <v/>
      </c>
      <c r="C14" s="47" t="str">
        <f>IFERROR(INDEX('G-8 Condition Look up'!$I$4:$I$130,MATCH(S14,'G-8 Condition Look up'!$A$4:$A$130,0)),"")</f>
        <v/>
      </c>
      <c r="E14" s="531" t="str">
        <f>'A-1 Site Habitat Baseline'!AL13</f>
        <v/>
      </c>
      <c r="F14" s="520" t="str">
        <f>IF(E14="","",IF(ISNA(VLOOKUP($E14,'A-1 Site Habitat Baseline'!$D$1:$O$258,4,FALSE)),"",(VLOOKUP($E14,'A-1 Site Habitat Baseline'!$D$1:$O$258,4,FALSE))))</f>
        <v/>
      </c>
      <c r="G14" s="520" t="str">
        <f>IF(E14="","",IF(ISNA(VLOOKUP($E14,'A-1 Site Habitat Baseline'!$D$1:$O$258,5,FALSE)),"",(VLOOKUP($E14,'A-1 Site Habitat Baseline'!$D$1:$O$258,5,FALSE))))</f>
        <v/>
      </c>
      <c r="H14" s="520" t="str">
        <f>IF(E14="","",IF(ISNA(VLOOKUP($E14,'A-1 Site Habitat Baseline'!$D$1:$O$258,6,FALSE)),"",(VLOOKUP($E14,'A-1 Site Habitat Baseline'!$D$1:$O$258,6,FALSE))))</f>
        <v/>
      </c>
      <c r="I14" s="520" t="str">
        <f>IF(E14="","",IF(ISNA(VLOOKUP($E14,'A-1 Site Habitat Baseline'!$D$1:$O$258,7,FALSE)),"",(VLOOKUP($E14,'A-1 Site Habitat Baseline'!$D$1:$O$258,7,FALSE))))</f>
        <v/>
      </c>
      <c r="J14" s="520" t="str">
        <f>IF(E14="","",IF(ISNA(VLOOKUP($E14,'A-1 Site Habitat Baseline'!$D$1:$O$258,8,FALSE)),"",(VLOOKUP($E14,'A-1 Site Habitat Baseline'!$D$1:$O$258,8,FALSE))))</f>
        <v/>
      </c>
      <c r="K14" s="520" t="str">
        <f>IF(E14="","",IF(ISNA(VLOOKUP($E14,'A-1 Site Habitat Baseline'!$D$1:$O$258,9,FALSE)),"",(VLOOKUP($E14,'A-1 Site Habitat Baseline'!$D$1:$O$258,9,FALSE))))</f>
        <v/>
      </c>
      <c r="L14" s="520" t="str">
        <f>IF(E14="","",IF(ISNA(VLOOKUP($E14,'A-1 Site Habitat Baseline'!$D$1:$O$258,11,FALSE)),"",(VLOOKUP($E14,'A-1 Site Habitat Baseline'!$D$1:$O$258,11,FALSE))))</f>
        <v/>
      </c>
      <c r="M14" s="520" t="str">
        <f>IF(E14="","",IF(ISNA(VLOOKUP($E14,'A-1 Site Habitat Baseline'!$D$1:$O$258,12,FALSE)),"",(VLOOKUP($E14,'A-1 Site Habitat Baseline'!$D$1:$O$258,12,FALSE))))</f>
        <v/>
      </c>
      <c r="N14" s="532" t="str">
        <f>IF(E14="","",IF(ISNA(VLOOKUP($E14,'A-1 Site Habitat Baseline'!$D$1:$X$258,14,FALSE)),"",(VLOOKUP($E14,'A-1 Site Habitat Baseline'!$D$1:$X$258,14,FALSE))))</f>
        <v/>
      </c>
      <c r="O14" s="524" t="str">
        <f>IF(E14="","",IF(ISNA(VLOOKUP($E14,'A-1 Site Habitat Baseline'!$D$1:$X$258,16,FALSE)),"",(VLOOKUP($E14,'A-1 Site Habitat Baseline'!$D$1:$X$258,13,FALSE))))</f>
        <v/>
      </c>
      <c r="P14" s="237" t="str">
        <f>IFERROR(INDEX('G-1 All Habitats'!$AG$3:$AG$15,MATCH(Q14,'G-1 All Habitats'!$AF$3:$AF$15,0)),"")</f>
        <v/>
      </c>
      <c r="Q14" s="238" t="str">
        <f t="shared" si="2"/>
        <v/>
      </c>
      <c r="R14" s="238"/>
      <c r="S14" s="392" t="str">
        <f>IFERROR(INDEX('G-1 All Habitats'!$B$3:$B$129,MATCH(R14,'G-1 All Habitats'!$A$3:$A$129,0)),"")</f>
        <v/>
      </c>
      <c r="T14" s="498" t="str">
        <f t="shared" si="3"/>
        <v/>
      </c>
      <c r="U14" s="499" t="str">
        <f t="shared" si="4"/>
        <v/>
      </c>
      <c r="V14" s="537" t="str">
        <f t="shared" si="5"/>
        <v/>
      </c>
      <c r="W14" s="520" t="str">
        <f>IF(S14="","",VLOOKUP(S14,'G-1 All Habitats'!$B$2:$M$129,10,FALSE))</f>
        <v/>
      </c>
      <c r="X14" s="520" t="str">
        <f>IFERROR(VLOOKUP(W14,'G-1 All Habitats'!$V$3:$W$7,2,FALSE),"")</f>
        <v/>
      </c>
      <c r="Y14" s="79"/>
      <c r="Z14" s="524" t="str">
        <f>IFERROR(INDEX('G-8 Condition Look up'!$A$3:$H$130,MATCH(S14,'G-8 Condition Look up'!$A$3:$A$130,0),MATCH(Y14,'G-8 Condition Look up'!$A$3:$H$3,0)),"")</f>
        <v/>
      </c>
      <c r="AA14" s="71"/>
      <c r="AB14" s="520" t="str">
        <f>IF(AA14="","",IF(VLOOKUP(AA14,'G-3 Multipliers'!$L$3:$N$6,2,FALSE)=0,"Spatial Data Missing ⚠",VLOOKUP(AA14,'G-3 Multipliers'!$L$3:$N$6,2,FALSE)))</f>
        <v/>
      </c>
      <c r="AC14" s="524" t="str">
        <f>IF(AA14="","",IF(VLOOKUP(AA14,'G-3 Multipliers'!$L$3:$N$6,3,FALSE)=0,"Spatial Data Missing ⚠",VLOOKUP(AA14,'G-3 Multipliers'!$L$3:$N$6,3,FALSE)))</f>
        <v/>
      </c>
      <c r="AD14" s="539" t="str">
        <f t="shared" si="1"/>
        <v/>
      </c>
      <c r="AE14" s="82"/>
      <c r="AF14" s="82"/>
      <c r="AG14" s="507" t="str">
        <f t="shared" si="6"/>
        <v/>
      </c>
      <c r="AH14" s="521" t="str">
        <f t="shared" si="7"/>
        <v/>
      </c>
      <c r="AI14" s="522" t="str">
        <f>IF(AH14="Check Data","Check Data",IFERROR(VLOOKUP(AH14,'G-4 Temporal multipliers'!$A$4:$C$36,3,FALSE),""))</f>
        <v/>
      </c>
      <c r="AJ14" s="498" t="str">
        <f>IF(S14="","",VLOOKUP(S14,'G-3 Multipliers'!$A$2:$E$129,4,FALSE))</f>
        <v/>
      </c>
      <c r="AK14" s="507" t="str">
        <f t="shared" si="8"/>
        <v/>
      </c>
      <c r="AL14" s="507" t="str">
        <f t="shared" si="9"/>
        <v/>
      </c>
      <c r="AM14" s="540" t="str">
        <f>IFERROR(IF(F14="","",IF(AH14="Check Data ⚠","Check Data ⚠",VLOOKUP(AL14, 'G-3 Multipliers'!$P$2:$Q$6,2,FALSE))),"")</f>
        <v/>
      </c>
      <c r="AN14" s="513" t="str">
        <f>IFERROR(((((V14*X14*Z14)-(V14*I14*K14))*(AM14*AI14))+(V14*I14*K14))*(AC14),"")</f>
        <v/>
      </c>
      <c r="AO14" s="239"/>
      <c r="AP14" s="240"/>
    </row>
    <row r="15" spans="1:42" x14ac:dyDescent="0.25">
      <c r="A15" s="47" t="str">
        <f>IF(E15="","",IF(ISNA(VLOOKUP($E15,'A-1 Site Habitat Baseline'!$D$1:$O$258,2,FALSE)),"",(VLOOKUP($E15,'A-1 Site Habitat Baseline'!$D$1:$O$258,2,FALSE))))</f>
        <v/>
      </c>
      <c r="B15" s="47" t="str">
        <f>IF(E15="","",IF(ISNA(VLOOKUP($E15,'A-1 Site Habitat Baseline'!$D$1:$O$258,3,FALSE)),"",(VLOOKUP($E15,'A-1 Site Habitat Baseline'!$D$1:$O$258,3,FALSE))))</f>
        <v/>
      </c>
      <c r="C15" s="47" t="str">
        <f>IFERROR(INDEX('G-8 Condition Look up'!$I$4:$I$130,MATCH(S15,'G-8 Condition Look up'!$A$4:$A$130,0)),"")</f>
        <v/>
      </c>
      <c r="E15" s="531" t="str">
        <f>'A-1 Site Habitat Baseline'!AL14</f>
        <v/>
      </c>
      <c r="F15" s="520" t="str">
        <f>IF(E15="","",IF(ISNA(VLOOKUP($E15,'A-1 Site Habitat Baseline'!$D$1:$O$258,4,FALSE)),"",(VLOOKUP($E15,'A-1 Site Habitat Baseline'!$D$1:$O$258,4,FALSE))))</f>
        <v/>
      </c>
      <c r="G15" s="520" t="str">
        <f>IF(E15="","",IF(ISNA(VLOOKUP($E15,'A-1 Site Habitat Baseline'!$D$1:$O$258,5,FALSE)),"",(VLOOKUP($E15,'A-1 Site Habitat Baseline'!$D$1:$O$258,5,FALSE))))</f>
        <v/>
      </c>
      <c r="H15" s="520" t="str">
        <f>IF(E15="","",IF(ISNA(VLOOKUP($E15,'A-1 Site Habitat Baseline'!$D$1:$O$258,6,FALSE)),"",(VLOOKUP($E15,'A-1 Site Habitat Baseline'!$D$1:$O$258,6,FALSE))))</f>
        <v/>
      </c>
      <c r="I15" s="520" t="str">
        <f>IF(E15="","",IF(ISNA(VLOOKUP($E15,'A-1 Site Habitat Baseline'!$D$1:$O$258,7,FALSE)),"",(VLOOKUP($E15,'A-1 Site Habitat Baseline'!$D$1:$O$258,7,FALSE))))</f>
        <v/>
      </c>
      <c r="J15" s="520" t="str">
        <f>IF(E15="","",IF(ISNA(VLOOKUP($E15,'A-1 Site Habitat Baseline'!$D$1:$O$258,8,FALSE)),"",(VLOOKUP($E15,'A-1 Site Habitat Baseline'!$D$1:$O$258,8,FALSE))))</f>
        <v/>
      </c>
      <c r="K15" s="520" t="str">
        <f>IF(E15="","",IF(ISNA(VLOOKUP($E15,'A-1 Site Habitat Baseline'!$D$1:$O$258,9,FALSE)),"",(VLOOKUP($E15,'A-1 Site Habitat Baseline'!$D$1:$O$258,9,FALSE))))</f>
        <v/>
      </c>
      <c r="L15" s="520" t="str">
        <f>IF(E15="","",IF(ISNA(VLOOKUP($E15,'A-1 Site Habitat Baseline'!$D$1:$O$258,11,FALSE)),"",(VLOOKUP($E15,'A-1 Site Habitat Baseline'!$D$1:$O$258,11,FALSE))))</f>
        <v/>
      </c>
      <c r="M15" s="520" t="str">
        <f>IF(E15="","",IF(ISNA(VLOOKUP($E15,'A-1 Site Habitat Baseline'!$D$1:$O$258,12,FALSE)),"",(VLOOKUP($E15,'A-1 Site Habitat Baseline'!$D$1:$O$258,12,FALSE))))</f>
        <v/>
      </c>
      <c r="N15" s="532" t="str">
        <f>IF(E15="","",IF(ISNA(VLOOKUP($E15,'A-1 Site Habitat Baseline'!$D$1:$X$258,14,FALSE)),"",(VLOOKUP($E15,'A-1 Site Habitat Baseline'!$D$1:$X$258,14,FALSE))))</f>
        <v/>
      </c>
      <c r="O15" s="524" t="str">
        <f>IF(E15="","",IF(ISNA(VLOOKUP($E15,'A-1 Site Habitat Baseline'!$D$1:$X$258,16,FALSE)),"",(VLOOKUP($E15,'A-1 Site Habitat Baseline'!$D$1:$X$258,13,FALSE))))</f>
        <v/>
      </c>
      <c r="P15" s="237" t="str">
        <f>IFERROR(INDEX('G-1 All Habitats'!$AG$3:$AG$15,MATCH(Q15,'G-1 All Habitats'!$AF$3:$AF$15,0)),"")</f>
        <v/>
      </c>
      <c r="Q15" s="238" t="str">
        <f t="shared" si="2"/>
        <v/>
      </c>
      <c r="R15" s="238"/>
      <c r="S15" s="392" t="str">
        <f>IFERROR(INDEX('G-1 All Habitats'!$B$3:$B$129,MATCH(R15,'G-1 All Habitats'!$A$3:$A$129,0)),"")</f>
        <v/>
      </c>
      <c r="T15" s="498" t="str">
        <f t="shared" si="3"/>
        <v/>
      </c>
      <c r="U15" s="499" t="str">
        <f t="shared" si="4"/>
        <v/>
      </c>
      <c r="V15" s="537" t="str">
        <f t="shared" si="5"/>
        <v/>
      </c>
      <c r="W15" s="520" t="str">
        <f>IF(S15="","",VLOOKUP(S15,'G-1 All Habitats'!$B$2:$M$129,10,FALSE))</f>
        <v/>
      </c>
      <c r="X15" s="520" t="str">
        <f>IFERROR(VLOOKUP(W15,'G-1 All Habitats'!$V$3:$W$7,2,FALSE),"")</f>
        <v/>
      </c>
      <c r="Y15" s="79"/>
      <c r="Z15" s="524" t="str">
        <f>IFERROR(INDEX('G-8 Condition Look up'!$A$3:$H$130,MATCH(S15,'G-8 Condition Look up'!$A$3:$A$130,0),MATCH(Y15,'G-8 Condition Look up'!$A$3:$H$3,0)),"")</f>
        <v/>
      </c>
      <c r="AA15" s="71"/>
      <c r="AB15" s="520" t="str">
        <f>IF(AA15="","",IF(VLOOKUP(AA15,'G-3 Multipliers'!$L$3:$N$6,2,FALSE)=0,"Spatial Data Missing ⚠",VLOOKUP(AA15,'G-3 Multipliers'!$L$3:$N$6,2,FALSE)))</f>
        <v/>
      </c>
      <c r="AC15" s="524" t="str">
        <f>IF(AA15="","",IF(VLOOKUP(AA15,'G-3 Multipliers'!$L$3:$N$6,3,FALSE)=0,"Spatial Data Missing ⚠",VLOOKUP(AA15,'G-3 Multipliers'!$L$3:$N$6,3,FALSE)))</f>
        <v/>
      </c>
      <c r="AD15" s="539" t="str">
        <f t="shared" si="1"/>
        <v/>
      </c>
      <c r="AE15" s="82"/>
      <c r="AF15" s="82"/>
      <c r="AG15" s="507" t="str">
        <f t="shared" si="6"/>
        <v/>
      </c>
      <c r="AH15" s="521" t="str">
        <f t="shared" si="7"/>
        <v/>
      </c>
      <c r="AI15" s="522" t="str">
        <f>IF(AH15="Check Data","Check Data",IFERROR(VLOOKUP(AH15,'G-4 Temporal multipliers'!$A$4:$C$36,3,FALSE),""))</f>
        <v/>
      </c>
      <c r="AJ15" s="498" t="str">
        <f>IF(S15="","",VLOOKUP(S15,'G-3 Multipliers'!$A$2:$E$129,4,FALSE))</f>
        <v/>
      </c>
      <c r="AK15" s="507" t="str">
        <f t="shared" si="8"/>
        <v/>
      </c>
      <c r="AL15" s="507" t="str">
        <f t="shared" si="9"/>
        <v/>
      </c>
      <c r="AM15" s="540" t="str">
        <f>IFERROR(IF(F15="","",IF(AH15="Check Data ⚠","Check Data ⚠",VLOOKUP(AL15, 'G-3 Multipliers'!$P$2:$Q$6,2,FALSE))),"")</f>
        <v/>
      </c>
      <c r="AN15" s="513" t="str">
        <f t="shared" si="10"/>
        <v/>
      </c>
      <c r="AO15" s="239"/>
      <c r="AP15" s="240"/>
    </row>
    <row r="16" spans="1:42" x14ac:dyDescent="0.25">
      <c r="A16" s="47" t="str">
        <f>IF(E16="","",IF(ISNA(VLOOKUP($E16,'A-1 Site Habitat Baseline'!$D$1:$O$258,2,FALSE)),"",(VLOOKUP($E16,'A-1 Site Habitat Baseline'!$D$1:$O$258,2,FALSE))))</f>
        <v/>
      </c>
      <c r="B16" s="47" t="str">
        <f>IF(E16="","",IF(ISNA(VLOOKUP($E16,'A-1 Site Habitat Baseline'!$D$1:$O$258,3,FALSE)),"",(VLOOKUP($E16,'A-1 Site Habitat Baseline'!$D$1:$O$258,3,FALSE))))</f>
        <v/>
      </c>
      <c r="C16" s="47" t="str">
        <f>IFERROR(INDEX('G-8 Condition Look up'!$I$4:$I$130,MATCH(S16,'G-8 Condition Look up'!$A$4:$A$130,0)),"")</f>
        <v/>
      </c>
      <c r="E16" s="531" t="str">
        <f>'A-1 Site Habitat Baseline'!AL15</f>
        <v/>
      </c>
      <c r="F16" s="520" t="str">
        <f>IF(E16="","",IF(ISNA(VLOOKUP($E16,'A-1 Site Habitat Baseline'!$D$1:$O$258,4,FALSE)),"",(VLOOKUP($E16,'A-1 Site Habitat Baseline'!$D$1:$O$258,4,FALSE))))</f>
        <v/>
      </c>
      <c r="G16" s="520" t="str">
        <f>IF(E16="","",IF(ISNA(VLOOKUP($E16,'A-1 Site Habitat Baseline'!$D$1:$O$258,5,FALSE)),"",(VLOOKUP($E16,'A-1 Site Habitat Baseline'!$D$1:$O$258,5,FALSE))))</f>
        <v/>
      </c>
      <c r="H16" s="520" t="str">
        <f>IF(E16="","",IF(ISNA(VLOOKUP($E16,'A-1 Site Habitat Baseline'!$D$1:$O$258,6,FALSE)),"",(VLOOKUP($E16,'A-1 Site Habitat Baseline'!$D$1:$O$258,6,FALSE))))</f>
        <v/>
      </c>
      <c r="I16" s="520" t="str">
        <f>IF(E16="","",IF(ISNA(VLOOKUP($E16,'A-1 Site Habitat Baseline'!$D$1:$O$258,7,FALSE)),"",(VLOOKUP($E16,'A-1 Site Habitat Baseline'!$D$1:$O$258,7,FALSE))))</f>
        <v/>
      </c>
      <c r="J16" s="520" t="str">
        <f>IF(E16="","",IF(ISNA(VLOOKUP($E16,'A-1 Site Habitat Baseline'!$D$1:$O$258,8,FALSE)),"",(VLOOKUP($E16,'A-1 Site Habitat Baseline'!$D$1:$O$258,8,FALSE))))</f>
        <v/>
      </c>
      <c r="K16" s="520" t="str">
        <f>IF(E16="","",IF(ISNA(VLOOKUP($E16,'A-1 Site Habitat Baseline'!$D$1:$O$258,9,FALSE)),"",(VLOOKUP($E16,'A-1 Site Habitat Baseline'!$D$1:$O$258,9,FALSE))))</f>
        <v/>
      </c>
      <c r="L16" s="520" t="str">
        <f>IF(E16="","",IF(ISNA(VLOOKUP($E16,'A-1 Site Habitat Baseline'!$D$1:$O$258,11,FALSE)),"",(VLOOKUP($E16,'A-1 Site Habitat Baseline'!$D$1:$O$258,11,FALSE))))</f>
        <v/>
      </c>
      <c r="M16" s="520" t="str">
        <f>IF(E16="","",IF(ISNA(VLOOKUP($E16,'A-1 Site Habitat Baseline'!$D$1:$O$258,12,FALSE)),"",(VLOOKUP($E16,'A-1 Site Habitat Baseline'!$D$1:$O$258,12,FALSE))))</f>
        <v/>
      </c>
      <c r="N16" s="532" t="str">
        <f>IF(E16="","",IF(ISNA(VLOOKUP($E16,'A-1 Site Habitat Baseline'!$D$1:$X$258,14,FALSE)),"",(VLOOKUP($E16,'A-1 Site Habitat Baseline'!$D$1:$X$258,14,FALSE))))</f>
        <v/>
      </c>
      <c r="O16" s="524" t="str">
        <f>IF(E16="","",IF(ISNA(VLOOKUP($E16,'A-1 Site Habitat Baseline'!$D$1:$X$258,16,FALSE)),"",(VLOOKUP($E16,'A-1 Site Habitat Baseline'!$D$1:$X$258,13,FALSE))))</f>
        <v/>
      </c>
      <c r="P16" s="237" t="str">
        <f>IFERROR(INDEX('G-1 All Habitats'!$AG$3:$AG$15,MATCH(Q16,'G-1 All Habitats'!$AF$3:$AF$15,0)),"")</f>
        <v/>
      </c>
      <c r="Q16" s="238" t="str">
        <f t="shared" si="2"/>
        <v/>
      </c>
      <c r="R16" s="238"/>
      <c r="S16" s="392" t="str">
        <f>IFERROR(INDEX('G-1 All Habitats'!$B$3:$B$129,MATCH(R16,'G-1 All Habitats'!$A$3:$A$129,0)),"")</f>
        <v/>
      </c>
      <c r="T16" s="498" t="str">
        <f t="shared" si="3"/>
        <v/>
      </c>
      <c r="U16" s="499" t="str">
        <f t="shared" si="4"/>
        <v/>
      </c>
      <c r="V16" s="537" t="str">
        <f t="shared" si="5"/>
        <v/>
      </c>
      <c r="W16" s="520" t="str">
        <f>IF(S16="","",VLOOKUP(S16,'G-1 All Habitats'!$B$2:$M$129,10,FALSE))</f>
        <v/>
      </c>
      <c r="X16" s="520" t="str">
        <f>IFERROR(VLOOKUP(W16,'G-1 All Habitats'!$V$3:$W$7,2,FALSE),"")</f>
        <v/>
      </c>
      <c r="Y16" s="79"/>
      <c r="Z16" s="524" t="str">
        <f>IFERROR(INDEX('G-8 Condition Look up'!$A$3:$H$130,MATCH(S16,'G-8 Condition Look up'!$A$3:$A$130,0),MATCH(Y16,'G-8 Condition Look up'!$A$3:$H$3,0)),"")</f>
        <v/>
      </c>
      <c r="AA16" s="71"/>
      <c r="AB16" s="520" t="str">
        <f>IF(AA16="","",IF(VLOOKUP(AA16,'G-3 Multipliers'!$L$3:$N$6,2,FALSE)=0,"Spatial Data Missing ⚠",VLOOKUP(AA16,'G-3 Multipliers'!$L$3:$N$6,2,FALSE)))</f>
        <v/>
      </c>
      <c r="AC16" s="524" t="str">
        <f>IF(AA16="","",IF(VLOOKUP(AA16,'G-3 Multipliers'!$L$3:$N$6,3,FALSE)=0,"Spatial Data Missing ⚠",VLOOKUP(AA16,'G-3 Multipliers'!$L$3:$N$6,3,FALSE)))</f>
        <v/>
      </c>
      <c r="AD16" s="539" t="str">
        <f t="shared" si="1"/>
        <v/>
      </c>
      <c r="AE16" s="82"/>
      <c r="AF16" s="82"/>
      <c r="AG16" s="507" t="str">
        <f t="shared" si="6"/>
        <v/>
      </c>
      <c r="AH16" s="521" t="str">
        <f t="shared" si="7"/>
        <v/>
      </c>
      <c r="AI16" s="522" t="str">
        <f>IF(AH16="Check Data","Check Data",IFERROR(VLOOKUP(AH16,'G-4 Temporal multipliers'!$A$4:$C$36,3,FALSE),""))</f>
        <v/>
      </c>
      <c r="AJ16" s="498" t="str">
        <f>IF(S16="","",VLOOKUP(S16,'G-3 Multipliers'!$A$2:$E$129,4,FALSE))</f>
        <v/>
      </c>
      <c r="AK16" s="507" t="str">
        <f t="shared" si="8"/>
        <v/>
      </c>
      <c r="AL16" s="507" t="str">
        <f t="shared" si="9"/>
        <v/>
      </c>
      <c r="AM16" s="540" t="str">
        <f>IFERROR(IF(F16="","",IF(AH16="Check Data ⚠","Check Data ⚠",VLOOKUP(AL16, 'G-3 Multipliers'!$P$2:$Q$6,2,FALSE))),"")</f>
        <v/>
      </c>
      <c r="AN16" s="513" t="str">
        <f t="shared" si="10"/>
        <v/>
      </c>
      <c r="AO16" s="239"/>
      <c r="AP16" s="240"/>
    </row>
    <row r="17" spans="1:42" x14ac:dyDescent="0.25">
      <c r="A17" s="47" t="str">
        <f>IF(E17="","",IF(ISNA(VLOOKUP($E17,'A-1 Site Habitat Baseline'!$D$1:$O$258,2,FALSE)),"",(VLOOKUP($E17,'A-1 Site Habitat Baseline'!$D$1:$O$258,2,FALSE))))</f>
        <v/>
      </c>
      <c r="B17" s="47" t="str">
        <f>IF(E17="","",IF(ISNA(VLOOKUP($E17,'A-1 Site Habitat Baseline'!$D$1:$O$258,3,FALSE)),"",(VLOOKUP($E17,'A-1 Site Habitat Baseline'!$D$1:$O$258,3,FALSE))))</f>
        <v/>
      </c>
      <c r="C17" s="47" t="str">
        <f>IFERROR(INDEX('G-8 Condition Look up'!$I$4:$I$130,MATCH(S17,'G-8 Condition Look up'!$A$4:$A$130,0)),"")</f>
        <v/>
      </c>
      <c r="E17" s="531" t="str">
        <f>'A-1 Site Habitat Baseline'!AL16</f>
        <v/>
      </c>
      <c r="F17" s="520" t="str">
        <f>IF(E17="","",IF(ISNA(VLOOKUP($E17,'A-1 Site Habitat Baseline'!$D$1:$O$258,4,FALSE)),"",(VLOOKUP($E17,'A-1 Site Habitat Baseline'!$D$1:$O$258,4,FALSE))))</f>
        <v/>
      </c>
      <c r="G17" s="520" t="str">
        <f>IF(E17="","",IF(ISNA(VLOOKUP($E17,'A-1 Site Habitat Baseline'!$D$1:$O$258,5,FALSE)),"",(VLOOKUP($E17,'A-1 Site Habitat Baseline'!$D$1:$O$258,5,FALSE))))</f>
        <v/>
      </c>
      <c r="H17" s="520" t="str">
        <f>IF(E17="","",IF(ISNA(VLOOKUP($E17,'A-1 Site Habitat Baseline'!$D$1:$O$258,6,FALSE)),"",(VLOOKUP($E17,'A-1 Site Habitat Baseline'!$D$1:$O$258,6,FALSE))))</f>
        <v/>
      </c>
      <c r="I17" s="520" t="str">
        <f>IF(E17="","",IF(ISNA(VLOOKUP($E17,'A-1 Site Habitat Baseline'!$D$1:$O$258,7,FALSE)),"",(VLOOKUP($E17,'A-1 Site Habitat Baseline'!$D$1:$O$258,7,FALSE))))</f>
        <v/>
      </c>
      <c r="J17" s="520" t="str">
        <f>IF(E17="","",IF(ISNA(VLOOKUP($E17,'A-1 Site Habitat Baseline'!$D$1:$O$258,8,FALSE)),"",(VLOOKUP($E17,'A-1 Site Habitat Baseline'!$D$1:$O$258,8,FALSE))))</f>
        <v/>
      </c>
      <c r="K17" s="520" t="str">
        <f>IF(E17="","",IF(ISNA(VLOOKUP($E17,'A-1 Site Habitat Baseline'!$D$1:$O$258,9,FALSE)),"",(VLOOKUP($E17,'A-1 Site Habitat Baseline'!$D$1:$O$258,9,FALSE))))</f>
        <v/>
      </c>
      <c r="L17" s="520" t="str">
        <f>IF(E17="","",IF(ISNA(VLOOKUP($E17,'A-1 Site Habitat Baseline'!$D$1:$O$258,11,FALSE)),"",(VLOOKUP($E17,'A-1 Site Habitat Baseline'!$D$1:$O$258,11,FALSE))))</f>
        <v/>
      </c>
      <c r="M17" s="520" t="str">
        <f>IF(E17="","",IF(ISNA(VLOOKUP($E17,'A-1 Site Habitat Baseline'!$D$1:$O$258,12,FALSE)),"",(VLOOKUP($E17,'A-1 Site Habitat Baseline'!$D$1:$O$258,12,FALSE))))</f>
        <v/>
      </c>
      <c r="N17" s="532" t="str">
        <f>IF(E17="","",IF(ISNA(VLOOKUP($E17,'A-1 Site Habitat Baseline'!$D$1:$X$258,14,FALSE)),"",(VLOOKUP($E17,'A-1 Site Habitat Baseline'!$D$1:$X$258,14,FALSE))))</f>
        <v/>
      </c>
      <c r="O17" s="524" t="str">
        <f>IF(E17="","",IF(ISNA(VLOOKUP($E17,'A-1 Site Habitat Baseline'!$D$1:$X$258,16,FALSE)),"",(VLOOKUP($E17,'A-1 Site Habitat Baseline'!$D$1:$X$258,13,FALSE))))</f>
        <v/>
      </c>
      <c r="P17" s="237" t="str">
        <f>IFERROR(INDEX('G-1 All Habitats'!$AG$3:$AG$15,MATCH(Q17,'G-1 All Habitats'!$AF$3:$AF$15,0)),"")</f>
        <v/>
      </c>
      <c r="Q17" s="238" t="str">
        <f t="shared" si="2"/>
        <v/>
      </c>
      <c r="R17" s="238"/>
      <c r="S17" s="392" t="str">
        <f>IFERROR(INDEX('G-1 All Habitats'!$B$3:$B$129,MATCH(R17,'G-1 All Habitats'!$A$3:$A$129,0)),"")</f>
        <v/>
      </c>
      <c r="T17" s="498" t="str">
        <f t="shared" si="3"/>
        <v/>
      </c>
      <c r="U17" s="499" t="str">
        <f t="shared" si="4"/>
        <v/>
      </c>
      <c r="V17" s="537" t="str">
        <f t="shared" si="5"/>
        <v/>
      </c>
      <c r="W17" s="520" t="str">
        <f>IF(S17="","",VLOOKUP(S17,'G-1 All Habitats'!$B$2:$M$129,10,FALSE))</f>
        <v/>
      </c>
      <c r="X17" s="520" t="str">
        <f>IFERROR(VLOOKUP(W17,'G-1 All Habitats'!$V$3:$W$7,2,FALSE),"")</f>
        <v/>
      </c>
      <c r="Y17" s="79"/>
      <c r="Z17" s="524" t="str">
        <f>IFERROR(INDEX('G-8 Condition Look up'!$A$3:$H$130,MATCH(S17,'G-8 Condition Look up'!$A$3:$A$130,0),MATCH(Y17,'G-8 Condition Look up'!$A$3:$H$3,0)),"")</f>
        <v/>
      </c>
      <c r="AA17" s="71"/>
      <c r="AB17" s="520" t="str">
        <f>IF(AA17="","",IF(VLOOKUP(AA17,'G-3 Multipliers'!$L$3:$N$6,2,FALSE)=0,"Spatial Data Missing ⚠",VLOOKUP(AA17,'G-3 Multipliers'!$L$3:$N$6,2,FALSE)))</f>
        <v/>
      </c>
      <c r="AC17" s="524" t="str">
        <f>IF(AA17="","",IF(VLOOKUP(AA17,'G-3 Multipliers'!$L$3:$N$6,3,FALSE)=0,"Spatial Data Missing ⚠",VLOOKUP(AA17,'G-3 Multipliers'!$L$3:$N$6,3,FALSE)))</f>
        <v/>
      </c>
      <c r="AD17" s="539" t="str">
        <f t="shared" si="1"/>
        <v/>
      </c>
      <c r="AE17" s="82"/>
      <c r="AF17" s="82"/>
      <c r="AG17" s="507" t="str">
        <f t="shared" si="6"/>
        <v/>
      </c>
      <c r="AH17" s="521" t="str">
        <f t="shared" si="7"/>
        <v/>
      </c>
      <c r="AI17" s="522" t="str">
        <f>IF(AH17="Check Data","Check Data",IFERROR(VLOOKUP(AH17,'G-4 Temporal multipliers'!$A$4:$C$36,3,FALSE),""))</f>
        <v/>
      </c>
      <c r="AJ17" s="498" t="str">
        <f>IF(S17="","",VLOOKUP(S17,'G-3 Multipliers'!$A$2:$E$129,4,FALSE))</f>
        <v/>
      </c>
      <c r="AK17" s="507" t="str">
        <f t="shared" si="8"/>
        <v/>
      </c>
      <c r="AL17" s="507" t="str">
        <f t="shared" si="9"/>
        <v/>
      </c>
      <c r="AM17" s="540" t="str">
        <f>IFERROR(IF(F17="","",IF(AH17="Check Data ⚠","Check Data ⚠",VLOOKUP(AL17, 'G-3 Multipliers'!$P$2:$Q$6,2,FALSE))),"")</f>
        <v/>
      </c>
      <c r="AN17" s="513" t="str">
        <f t="shared" si="10"/>
        <v/>
      </c>
      <c r="AO17" s="239"/>
      <c r="AP17" s="240"/>
    </row>
    <row r="18" spans="1:42" x14ac:dyDescent="0.25">
      <c r="A18" s="47" t="str">
        <f>IF(E18="","",IF(ISNA(VLOOKUP($E18,'A-1 Site Habitat Baseline'!$D$1:$O$258,2,FALSE)),"",(VLOOKUP($E18,'A-1 Site Habitat Baseline'!$D$1:$O$258,2,FALSE))))</f>
        <v/>
      </c>
      <c r="B18" s="47" t="str">
        <f>IF(E18="","",IF(ISNA(VLOOKUP($E18,'A-1 Site Habitat Baseline'!$D$1:$O$258,3,FALSE)),"",(VLOOKUP($E18,'A-1 Site Habitat Baseline'!$D$1:$O$258,3,FALSE))))</f>
        <v/>
      </c>
      <c r="C18" s="47" t="str">
        <f>IFERROR(INDEX('G-8 Condition Look up'!$I$4:$I$130,MATCH(S18,'G-8 Condition Look up'!$A$4:$A$130,0)),"")</f>
        <v/>
      </c>
      <c r="E18" s="531" t="str">
        <f>'A-1 Site Habitat Baseline'!AL17</f>
        <v/>
      </c>
      <c r="F18" s="520" t="str">
        <f>IF(E18="","",IF(ISNA(VLOOKUP($E18,'A-1 Site Habitat Baseline'!$D$1:$O$258,4,FALSE)),"",(VLOOKUP($E18,'A-1 Site Habitat Baseline'!$D$1:$O$258,4,FALSE))))</f>
        <v/>
      </c>
      <c r="G18" s="520" t="str">
        <f>IF(E18="","",IF(ISNA(VLOOKUP($E18,'A-1 Site Habitat Baseline'!$D$1:$O$258,5,FALSE)),"",(VLOOKUP($E18,'A-1 Site Habitat Baseline'!$D$1:$O$258,5,FALSE))))</f>
        <v/>
      </c>
      <c r="H18" s="520" t="str">
        <f>IF(E18="","",IF(ISNA(VLOOKUP($E18,'A-1 Site Habitat Baseline'!$D$1:$O$258,6,FALSE)),"",(VLOOKUP($E18,'A-1 Site Habitat Baseline'!$D$1:$O$258,6,FALSE))))</f>
        <v/>
      </c>
      <c r="I18" s="520" t="str">
        <f>IF(E18="","",IF(ISNA(VLOOKUP($E18,'A-1 Site Habitat Baseline'!$D$1:$O$258,7,FALSE)),"",(VLOOKUP($E18,'A-1 Site Habitat Baseline'!$D$1:$O$258,7,FALSE))))</f>
        <v/>
      </c>
      <c r="J18" s="520" t="str">
        <f>IF(E18="","",IF(ISNA(VLOOKUP($E18,'A-1 Site Habitat Baseline'!$D$1:$O$258,8,FALSE)),"",(VLOOKUP($E18,'A-1 Site Habitat Baseline'!$D$1:$O$258,8,FALSE))))</f>
        <v/>
      </c>
      <c r="K18" s="520" t="str">
        <f>IF(E18="","",IF(ISNA(VLOOKUP($E18,'A-1 Site Habitat Baseline'!$D$1:$O$258,9,FALSE)),"",(VLOOKUP($E18,'A-1 Site Habitat Baseline'!$D$1:$O$258,9,FALSE))))</f>
        <v/>
      </c>
      <c r="L18" s="520" t="str">
        <f>IF(E18="","",IF(ISNA(VLOOKUP($E18,'A-1 Site Habitat Baseline'!$D$1:$O$258,11,FALSE)),"",(VLOOKUP($E18,'A-1 Site Habitat Baseline'!$D$1:$O$258,11,FALSE))))</f>
        <v/>
      </c>
      <c r="M18" s="520" t="str">
        <f>IF(E18="","",IF(ISNA(VLOOKUP($E18,'A-1 Site Habitat Baseline'!$D$1:$O$258,12,FALSE)),"",(VLOOKUP($E18,'A-1 Site Habitat Baseline'!$D$1:$O$258,12,FALSE))))</f>
        <v/>
      </c>
      <c r="N18" s="532" t="str">
        <f>IF(E18="","",IF(ISNA(VLOOKUP($E18,'A-1 Site Habitat Baseline'!$D$1:$X$258,14,FALSE)),"",(VLOOKUP($E18,'A-1 Site Habitat Baseline'!$D$1:$X$258,14,FALSE))))</f>
        <v/>
      </c>
      <c r="O18" s="524" t="str">
        <f>IF(E18="","",IF(ISNA(VLOOKUP($E18,'A-1 Site Habitat Baseline'!$D$1:$X$258,16,FALSE)),"",(VLOOKUP($E18,'A-1 Site Habitat Baseline'!$D$1:$X$258,13,FALSE))))</f>
        <v/>
      </c>
      <c r="P18" s="237" t="str">
        <f>IFERROR(INDEX('G-1 All Habitats'!$AG$3:$AG$15,MATCH(Q18,'G-1 All Habitats'!$AF$3:$AF$15,0)),"")</f>
        <v/>
      </c>
      <c r="Q18" s="238" t="str">
        <f t="shared" si="2"/>
        <v/>
      </c>
      <c r="R18" s="238"/>
      <c r="S18" s="392" t="str">
        <f>IFERROR(INDEX('G-1 All Habitats'!$B$3:$B$129,MATCH(R18,'G-1 All Habitats'!$A$3:$A$129,0)),"")</f>
        <v/>
      </c>
      <c r="T18" s="498" t="str">
        <f t="shared" si="3"/>
        <v/>
      </c>
      <c r="U18" s="499" t="str">
        <f t="shared" si="4"/>
        <v/>
      </c>
      <c r="V18" s="537" t="str">
        <f t="shared" si="5"/>
        <v/>
      </c>
      <c r="W18" s="520" t="str">
        <f>IF(S18="","",VLOOKUP(S18,'G-1 All Habitats'!$B$2:$M$129,10,FALSE))</f>
        <v/>
      </c>
      <c r="X18" s="520" t="str">
        <f>IFERROR(VLOOKUP(W18,'G-1 All Habitats'!$V$3:$W$7,2,FALSE),"")</f>
        <v/>
      </c>
      <c r="Y18" s="79"/>
      <c r="Z18" s="524" t="str">
        <f>IFERROR(INDEX('G-8 Condition Look up'!$A$3:$H$130,MATCH(S18,'G-8 Condition Look up'!$A$3:$A$130,0),MATCH(Y18,'G-8 Condition Look up'!$A$3:$H$3,0)),"")</f>
        <v/>
      </c>
      <c r="AA18" s="71"/>
      <c r="AB18" s="520" t="str">
        <f>IF(AA18="","",IF(VLOOKUP(AA18,'G-3 Multipliers'!$L$3:$N$6,2,FALSE)=0,"Spatial Data Missing ⚠",VLOOKUP(AA18,'G-3 Multipliers'!$L$3:$N$6,2,FALSE)))</f>
        <v/>
      </c>
      <c r="AC18" s="524" t="str">
        <f>IF(AA18="","",IF(VLOOKUP(AA18,'G-3 Multipliers'!$L$3:$N$6,3,FALSE)=0,"Spatial Data Missing ⚠",VLOOKUP(AA18,'G-3 Multipliers'!$L$3:$N$6,3,FALSE)))</f>
        <v/>
      </c>
      <c r="AD18" s="539" t="str">
        <f t="shared" si="1"/>
        <v/>
      </c>
      <c r="AE18" s="82"/>
      <c r="AF18" s="82"/>
      <c r="AG18" s="507" t="str">
        <f t="shared" si="6"/>
        <v/>
      </c>
      <c r="AH18" s="521" t="str">
        <f t="shared" si="7"/>
        <v/>
      </c>
      <c r="AI18" s="522" t="str">
        <f>IF(AH18="Check Data","Check Data",IFERROR(VLOOKUP(AH18,'G-4 Temporal multipliers'!$A$4:$C$36,3,FALSE),""))</f>
        <v/>
      </c>
      <c r="AJ18" s="498" t="str">
        <f>IF(S18="","",VLOOKUP(S18,'G-3 Multipliers'!$A$2:$E$129,4,FALSE))</f>
        <v/>
      </c>
      <c r="AK18" s="507" t="str">
        <f t="shared" si="8"/>
        <v/>
      </c>
      <c r="AL18" s="507" t="str">
        <f t="shared" si="9"/>
        <v/>
      </c>
      <c r="AM18" s="540" t="str">
        <f>IFERROR(IF(F18="","",IF(AH18="Check Data ⚠","Check Data ⚠",VLOOKUP(AL18, 'G-3 Multipliers'!$P$2:$Q$6,2,FALSE))),"")</f>
        <v/>
      </c>
      <c r="AN18" s="513" t="str">
        <f t="shared" si="10"/>
        <v/>
      </c>
      <c r="AO18" s="239"/>
      <c r="AP18" s="240"/>
    </row>
    <row r="19" spans="1:42" x14ac:dyDescent="0.25">
      <c r="A19" s="47" t="str">
        <f>IF(E19="","",IF(ISNA(VLOOKUP($E19,'A-1 Site Habitat Baseline'!$D$1:$O$258,2,FALSE)),"",(VLOOKUP($E19,'A-1 Site Habitat Baseline'!$D$1:$O$258,2,FALSE))))</f>
        <v/>
      </c>
      <c r="B19" s="47" t="str">
        <f>IF(E19="","",IF(ISNA(VLOOKUP($E19,'A-1 Site Habitat Baseline'!$D$1:$O$258,3,FALSE)),"",(VLOOKUP($E19,'A-1 Site Habitat Baseline'!$D$1:$O$258,3,FALSE))))</f>
        <v/>
      </c>
      <c r="C19" s="47" t="str">
        <f>IFERROR(INDEX('G-8 Condition Look up'!$I$4:$I$130,MATCH(S19,'G-8 Condition Look up'!$A$4:$A$130,0)),"")</f>
        <v/>
      </c>
      <c r="E19" s="531" t="str">
        <f>'A-1 Site Habitat Baseline'!AL18</f>
        <v/>
      </c>
      <c r="F19" s="520" t="str">
        <f>IF(E19="","",IF(ISNA(VLOOKUP($E19,'A-1 Site Habitat Baseline'!$D$1:$O$258,4,FALSE)),"",(VLOOKUP($E19,'A-1 Site Habitat Baseline'!$D$1:$O$258,4,FALSE))))</f>
        <v/>
      </c>
      <c r="G19" s="520" t="str">
        <f>IF(E19="","",IF(ISNA(VLOOKUP($E19,'A-1 Site Habitat Baseline'!$D$1:$O$258,5,FALSE)),"",(VLOOKUP($E19,'A-1 Site Habitat Baseline'!$D$1:$O$258,5,FALSE))))</f>
        <v/>
      </c>
      <c r="H19" s="520" t="str">
        <f>IF(E19="","",IF(ISNA(VLOOKUP($E19,'A-1 Site Habitat Baseline'!$D$1:$O$258,6,FALSE)),"",(VLOOKUP($E19,'A-1 Site Habitat Baseline'!$D$1:$O$258,6,FALSE))))</f>
        <v/>
      </c>
      <c r="I19" s="520" t="str">
        <f>IF(E19="","",IF(ISNA(VLOOKUP($E19,'A-1 Site Habitat Baseline'!$D$1:$O$258,7,FALSE)),"",(VLOOKUP($E19,'A-1 Site Habitat Baseline'!$D$1:$O$258,7,FALSE))))</f>
        <v/>
      </c>
      <c r="J19" s="520" t="str">
        <f>IF(E19="","",IF(ISNA(VLOOKUP($E19,'A-1 Site Habitat Baseline'!$D$1:$O$258,8,FALSE)),"",(VLOOKUP($E19,'A-1 Site Habitat Baseline'!$D$1:$O$258,8,FALSE))))</f>
        <v/>
      </c>
      <c r="K19" s="520" t="str">
        <f>IF(E19="","",IF(ISNA(VLOOKUP($E19,'A-1 Site Habitat Baseline'!$D$1:$O$258,9,FALSE)),"",(VLOOKUP($E19,'A-1 Site Habitat Baseline'!$D$1:$O$258,9,FALSE))))</f>
        <v/>
      </c>
      <c r="L19" s="520" t="str">
        <f>IF(E19="","",IF(ISNA(VLOOKUP($E19,'A-1 Site Habitat Baseline'!$D$1:$O$258,11,FALSE)),"",(VLOOKUP($E19,'A-1 Site Habitat Baseline'!$D$1:$O$258,11,FALSE))))</f>
        <v/>
      </c>
      <c r="M19" s="520" t="str">
        <f>IF(E19="","",IF(ISNA(VLOOKUP($E19,'A-1 Site Habitat Baseline'!$D$1:$O$258,12,FALSE)),"",(VLOOKUP($E19,'A-1 Site Habitat Baseline'!$D$1:$O$258,12,FALSE))))</f>
        <v/>
      </c>
      <c r="N19" s="532" t="str">
        <f>IF(E19="","",IF(ISNA(VLOOKUP($E19,'A-1 Site Habitat Baseline'!$D$1:$X$258,14,FALSE)),"",(VLOOKUP($E19,'A-1 Site Habitat Baseline'!$D$1:$X$258,14,FALSE))))</f>
        <v/>
      </c>
      <c r="O19" s="524" t="str">
        <f>IF(E19="","",IF(ISNA(VLOOKUP($E19,'A-1 Site Habitat Baseline'!$D$1:$X$258,16,FALSE)),"",(VLOOKUP($E19,'A-1 Site Habitat Baseline'!$D$1:$X$258,13,FALSE))))</f>
        <v/>
      </c>
      <c r="P19" s="237" t="str">
        <f>IFERROR(INDEX('G-1 All Habitats'!$AG$3:$AG$15,MATCH(Q19,'G-1 All Habitats'!$AF$3:$AF$15,0)),"")</f>
        <v/>
      </c>
      <c r="Q19" s="238" t="str">
        <f t="shared" si="2"/>
        <v/>
      </c>
      <c r="R19" s="238"/>
      <c r="S19" s="392" t="str">
        <f>IFERROR(INDEX('G-1 All Habitats'!$B$3:$B$129,MATCH(R19,'G-1 All Habitats'!$A$3:$A$129,0)),"")</f>
        <v/>
      </c>
      <c r="T19" s="498" t="str">
        <f t="shared" si="3"/>
        <v/>
      </c>
      <c r="U19" s="499" t="str">
        <f t="shared" si="4"/>
        <v/>
      </c>
      <c r="V19" s="537" t="str">
        <f t="shared" si="5"/>
        <v/>
      </c>
      <c r="W19" s="520" t="str">
        <f>IF(S19="","",VLOOKUP(S19,'G-1 All Habitats'!$B$2:$M$129,10,FALSE))</f>
        <v/>
      </c>
      <c r="X19" s="520" t="str">
        <f>IFERROR(VLOOKUP(W19,'G-1 All Habitats'!$V$3:$W$7,2,FALSE),"")</f>
        <v/>
      </c>
      <c r="Y19" s="79"/>
      <c r="Z19" s="524" t="str">
        <f>IFERROR(INDEX('G-8 Condition Look up'!$A$3:$H$130,MATCH(S19,'G-8 Condition Look up'!$A$3:$A$130,0),MATCH(Y19,'G-8 Condition Look up'!$A$3:$H$3,0)),"")</f>
        <v/>
      </c>
      <c r="AA19" s="71"/>
      <c r="AB19" s="520" t="str">
        <f>IF(AA19="","",IF(VLOOKUP(AA19,'G-3 Multipliers'!$L$3:$N$6,2,FALSE)=0,"Spatial Data Missing ⚠",VLOOKUP(AA19,'G-3 Multipliers'!$L$3:$N$6,2,FALSE)))</f>
        <v/>
      </c>
      <c r="AC19" s="524" t="str">
        <f>IF(AA19="","",IF(VLOOKUP(AA19,'G-3 Multipliers'!$L$3:$N$6,3,FALSE)=0,"Spatial Data Missing ⚠",VLOOKUP(AA19,'G-3 Multipliers'!$L$3:$N$6,3,FALSE)))</f>
        <v/>
      </c>
      <c r="AD19" s="539" t="str">
        <f t="shared" si="1"/>
        <v/>
      </c>
      <c r="AE19" s="82"/>
      <c r="AF19" s="82"/>
      <c r="AG19" s="507" t="str">
        <f t="shared" si="6"/>
        <v/>
      </c>
      <c r="AH19" s="521" t="str">
        <f t="shared" si="7"/>
        <v/>
      </c>
      <c r="AI19" s="522" t="str">
        <f>IF(AH19="Check Data","Check Data",IFERROR(VLOOKUP(AH19,'G-4 Temporal multipliers'!$A$4:$C$36,3,FALSE),""))</f>
        <v/>
      </c>
      <c r="AJ19" s="498" t="str">
        <f>IF(S19="","",VLOOKUP(S19,'G-3 Multipliers'!$A$2:$E$129,4,FALSE))</f>
        <v/>
      </c>
      <c r="AK19" s="507" t="str">
        <f t="shared" si="8"/>
        <v/>
      </c>
      <c r="AL19" s="507" t="str">
        <f t="shared" si="9"/>
        <v/>
      </c>
      <c r="AM19" s="540" t="str">
        <f>IFERROR(IF(F19="","",IF(AH19="Check Data ⚠","Check Data ⚠",VLOOKUP(AL19, 'G-3 Multipliers'!$P$2:$Q$6,2,FALSE))),"")</f>
        <v/>
      </c>
      <c r="AN19" s="513" t="str">
        <f t="shared" si="10"/>
        <v/>
      </c>
      <c r="AO19" s="239"/>
      <c r="AP19" s="240"/>
    </row>
    <row r="20" spans="1:42" x14ac:dyDescent="0.25">
      <c r="A20" s="47" t="str">
        <f>IF(E20="","",IF(ISNA(VLOOKUP($E20,'A-1 Site Habitat Baseline'!$D$1:$O$258,2,FALSE)),"",(VLOOKUP($E20,'A-1 Site Habitat Baseline'!$D$1:$O$258,2,FALSE))))</f>
        <v/>
      </c>
      <c r="B20" s="47" t="str">
        <f>IF(E20="","",IF(ISNA(VLOOKUP($E20,'A-1 Site Habitat Baseline'!$D$1:$O$258,3,FALSE)),"",(VLOOKUP($E20,'A-1 Site Habitat Baseline'!$D$1:$O$258,3,FALSE))))</f>
        <v/>
      </c>
      <c r="C20" s="47" t="str">
        <f>IFERROR(INDEX('G-8 Condition Look up'!$I$4:$I$130,MATCH(S20,'G-8 Condition Look up'!$A$4:$A$130,0)),"")</f>
        <v/>
      </c>
      <c r="E20" s="531" t="str">
        <f>'A-1 Site Habitat Baseline'!AL19</f>
        <v/>
      </c>
      <c r="F20" s="520" t="str">
        <f>IF(E20="","",IF(ISNA(VLOOKUP($E20,'A-1 Site Habitat Baseline'!$D$1:$O$258,4,FALSE)),"",(VLOOKUP($E20,'A-1 Site Habitat Baseline'!$D$1:$O$258,4,FALSE))))</f>
        <v/>
      </c>
      <c r="G20" s="520" t="str">
        <f>IF(E20="","",IF(ISNA(VLOOKUP($E20,'A-1 Site Habitat Baseline'!$D$1:$O$258,5,FALSE)),"",(VLOOKUP($E20,'A-1 Site Habitat Baseline'!$D$1:$O$258,5,FALSE))))</f>
        <v/>
      </c>
      <c r="H20" s="520" t="str">
        <f>IF(E20="","",IF(ISNA(VLOOKUP($E20,'A-1 Site Habitat Baseline'!$D$1:$O$258,6,FALSE)),"",(VLOOKUP($E20,'A-1 Site Habitat Baseline'!$D$1:$O$258,6,FALSE))))</f>
        <v/>
      </c>
      <c r="I20" s="520" t="str">
        <f>IF(E20="","",IF(ISNA(VLOOKUP($E20,'A-1 Site Habitat Baseline'!$D$1:$O$258,7,FALSE)),"",(VLOOKUP($E20,'A-1 Site Habitat Baseline'!$D$1:$O$258,7,FALSE))))</f>
        <v/>
      </c>
      <c r="J20" s="520" t="str">
        <f>IF(E20="","",IF(ISNA(VLOOKUP($E20,'A-1 Site Habitat Baseline'!$D$1:$O$258,8,FALSE)),"",(VLOOKUP($E20,'A-1 Site Habitat Baseline'!$D$1:$O$258,8,FALSE))))</f>
        <v/>
      </c>
      <c r="K20" s="520" t="str">
        <f>IF(E20="","",IF(ISNA(VLOOKUP($E20,'A-1 Site Habitat Baseline'!$D$1:$O$258,9,FALSE)),"",(VLOOKUP($E20,'A-1 Site Habitat Baseline'!$D$1:$O$258,9,FALSE))))</f>
        <v/>
      </c>
      <c r="L20" s="520" t="str">
        <f>IF(E20="","",IF(ISNA(VLOOKUP($E20,'A-1 Site Habitat Baseline'!$D$1:$O$258,11,FALSE)),"",(VLOOKUP($E20,'A-1 Site Habitat Baseline'!$D$1:$O$258,11,FALSE))))</f>
        <v/>
      </c>
      <c r="M20" s="520" t="str">
        <f>IF(E20="","",IF(ISNA(VLOOKUP($E20,'A-1 Site Habitat Baseline'!$D$1:$O$258,12,FALSE)),"",(VLOOKUP($E20,'A-1 Site Habitat Baseline'!$D$1:$O$258,12,FALSE))))</f>
        <v/>
      </c>
      <c r="N20" s="532" t="str">
        <f>IF(E20="","",IF(ISNA(VLOOKUP($E20,'A-1 Site Habitat Baseline'!$D$1:$X$258,14,FALSE)),"",(VLOOKUP($E20,'A-1 Site Habitat Baseline'!$D$1:$X$258,14,FALSE))))</f>
        <v/>
      </c>
      <c r="O20" s="524" t="str">
        <f>IF(E20="","",IF(ISNA(VLOOKUP($E20,'A-1 Site Habitat Baseline'!$D$1:$X$258,16,FALSE)),"",(VLOOKUP($E20,'A-1 Site Habitat Baseline'!$D$1:$X$258,13,FALSE))))</f>
        <v/>
      </c>
      <c r="P20" s="237" t="str">
        <f>IFERROR(INDEX('G-1 All Habitats'!$AG$3:$AG$15,MATCH(Q20,'G-1 All Habitats'!$AF$3:$AF$15,0)),"")</f>
        <v/>
      </c>
      <c r="Q20" s="238" t="str">
        <f t="shared" si="2"/>
        <v/>
      </c>
      <c r="R20" s="238"/>
      <c r="S20" s="392" t="str">
        <f>IFERROR(INDEX('G-1 All Habitats'!$B$3:$B$129,MATCH(R20,'G-1 All Habitats'!$A$3:$A$129,0)),"")</f>
        <v/>
      </c>
      <c r="T20" s="498" t="str">
        <f t="shared" si="3"/>
        <v/>
      </c>
      <c r="U20" s="499" t="str">
        <f t="shared" si="4"/>
        <v/>
      </c>
      <c r="V20" s="537" t="str">
        <f t="shared" si="5"/>
        <v/>
      </c>
      <c r="W20" s="520" t="str">
        <f>IF(S20="","",VLOOKUP(S20,'G-1 All Habitats'!$B$2:$M$129,10,FALSE))</f>
        <v/>
      </c>
      <c r="X20" s="520" t="str">
        <f>IFERROR(VLOOKUP(W20,'G-1 All Habitats'!$V$3:$W$7,2,FALSE),"")</f>
        <v/>
      </c>
      <c r="Y20" s="79"/>
      <c r="Z20" s="524" t="str">
        <f>IFERROR(INDEX('G-8 Condition Look up'!$A$3:$H$130,MATCH(S20,'G-8 Condition Look up'!$A$3:$A$130,0),MATCH(Y20,'G-8 Condition Look up'!$A$3:$H$3,0)),"")</f>
        <v/>
      </c>
      <c r="AA20" s="71"/>
      <c r="AB20" s="520" t="str">
        <f>IF(AA20="","",IF(VLOOKUP(AA20,'G-3 Multipliers'!$L$3:$N$6,2,FALSE)=0,"Spatial Data Missing ⚠",VLOOKUP(AA20,'G-3 Multipliers'!$L$3:$N$6,2,FALSE)))</f>
        <v/>
      </c>
      <c r="AC20" s="524" t="str">
        <f>IF(AA20="","",IF(VLOOKUP(AA20,'G-3 Multipliers'!$L$3:$N$6,3,FALSE)=0,"Spatial Data Missing ⚠",VLOOKUP(AA20,'G-3 Multipliers'!$L$3:$N$6,3,FALSE)))</f>
        <v/>
      </c>
      <c r="AD20" s="539" t="str">
        <f t="shared" si="1"/>
        <v/>
      </c>
      <c r="AE20" s="82"/>
      <c r="AF20" s="82"/>
      <c r="AG20" s="507" t="str">
        <f t="shared" si="6"/>
        <v/>
      </c>
      <c r="AH20" s="521" t="str">
        <f t="shared" si="7"/>
        <v/>
      </c>
      <c r="AI20" s="522" t="str">
        <f>IF(AH20="Check Data","Check Data",IFERROR(VLOOKUP(AH20,'G-4 Temporal multipliers'!$A$4:$C$36,3,FALSE),""))</f>
        <v/>
      </c>
      <c r="AJ20" s="498" t="str">
        <f>IF(S20="","",VLOOKUP(S20,'G-3 Multipliers'!$A$2:$E$129,4,FALSE))</f>
        <v/>
      </c>
      <c r="AK20" s="507" t="str">
        <f t="shared" si="8"/>
        <v/>
      </c>
      <c r="AL20" s="507" t="str">
        <f t="shared" si="9"/>
        <v/>
      </c>
      <c r="AM20" s="540" t="str">
        <f>IFERROR(IF(F20="","",IF(AH20="Check Data ⚠","Check Data ⚠",VLOOKUP(AL20, 'G-3 Multipliers'!$P$2:$Q$6,2,FALSE))),"")</f>
        <v/>
      </c>
      <c r="AN20" s="513" t="str">
        <f t="shared" si="10"/>
        <v/>
      </c>
      <c r="AO20" s="239"/>
      <c r="AP20" s="240"/>
    </row>
    <row r="21" spans="1:42" x14ac:dyDescent="0.25">
      <c r="A21" s="47" t="str">
        <f>IF(E21="","",IF(ISNA(VLOOKUP($E21,'A-1 Site Habitat Baseline'!$D$1:$O$258,2,FALSE)),"",(VLOOKUP($E21,'A-1 Site Habitat Baseline'!$D$1:$O$258,2,FALSE))))</f>
        <v/>
      </c>
      <c r="B21" s="47" t="str">
        <f>IF(E21="","",IF(ISNA(VLOOKUP($E21,'A-1 Site Habitat Baseline'!$D$1:$O$258,3,FALSE)),"",(VLOOKUP($E21,'A-1 Site Habitat Baseline'!$D$1:$O$258,3,FALSE))))</f>
        <v/>
      </c>
      <c r="C21" s="47" t="str">
        <f>IFERROR(INDEX('G-8 Condition Look up'!$I$4:$I$130,MATCH(S21,'G-8 Condition Look up'!$A$4:$A$130,0)),"")</f>
        <v/>
      </c>
      <c r="E21" s="531" t="str">
        <f>'A-1 Site Habitat Baseline'!AL20</f>
        <v/>
      </c>
      <c r="F21" s="520" t="str">
        <f>IF(E21="","",IF(ISNA(VLOOKUP($E21,'A-1 Site Habitat Baseline'!$D$1:$O$258,4,FALSE)),"",(VLOOKUP($E21,'A-1 Site Habitat Baseline'!$D$1:$O$258,4,FALSE))))</f>
        <v/>
      </c>
      <c r="G21" s="520" t="str">
        <f>IF(E21="","",IF(ISNA(VLOOKUP($E21,'A-1 Site Habitat Baseline'!$D$1:$O$258,5,FALSE)),"",(VLOOKUP($E21,'A-1 Site Habitat Baseline'!$D$1:$O$258,5,FALSE))))</f>
        <v/>
      </c>
      <c r="H21" s="520" t="str">
        <f>IF(E21="","",IF(ISNA(VLOOKUP($E21,'A-1 Site Habitat Baseline'!$D$1:$O$258,6,FALSE)),"",(VLOOKUP($E21,'A-1 Site Habitat Baseline'!$D$1:$O$258,6,FALSE))))</f>
        <v/>
      </c>
      <c r="I21" s="520" t="str">
        <f>IF(E21="","",IF(ISNA(VLOOKUP($E21,'A-1 Site Habitat Baseline'!$D$1:$O$258,7,FALSE)),"",(VLOOKUP($E21,'A-1 Site Habitat Baseline'!$D$1:$O$258,7,FALSE))))</f>
        <v/>
      </c>
      <c r="J21" s="520" t="str">
        <f>IF(E21="","",IF(ISNA(VLOOKUP($E21,'A-1 Site Habitat Baseline'!$D$1:$O$258,8,FALSE)),"",(VLOOKUP($E21,'A-1 Site Habitat Baseline'!$D$1:$O$258,8,FALSE))))</f>
        <v/>
      </c>
      <c r="K21" s="520" t="str">
        <f>IF(E21="","",IF(ISNA(VLOOKUP($E21,'A-1 Site Habitat Baseline'!$D$1:$O$258,9,FALSE)),"",(VLOOKUP($E21,'A-1 Site Habitat Baseline'!$D$1:$O$258,9,FALSE))))</f>
        <v/>
      </c>
      <c r="L21" s="520" t="str">
        <f>IF(E21="","",IF(ISNA(VLOOKUP($E21,'A-1 Site Habitat Baseline'!$D$1:$O$258,11,FALSE)),"",(VLOOKUP($E21,'A-1 Site Habitat Baseline'!$D$1:$O$258,11,FALSE))))</f>
        <v/>
      </c>
      <c r="M21" s="520" t="str">
        <f>IF(E21="","",IF(ISNA(VLOOKUP($E21,'A-1 Site Habitat Baseline'!$D$1:$O$258,12,FALSE)),"",(VLOOKUP($E21,'A-1 Site Habitat Baseline'!$D$1:$O$258,12,FALSE))))</f>
        <v/>
      </c>
      <c r="N21" s="532" t="str">
        <f>IF(E21="","",IF(ISNA(VLOOKUP($E21,'A-1 Site Habitat Baseline'!$D$1:$X$258,14,FALSE)),"",(VLOOKUP($E21,'A-1 Site Habitat Baseline'!$D$1:$X$258,14,FALSE))))</f>
        <v/>
      </c>
      <c r="O21" s="524" t="str">
        <f>IF(E21="","",IF(ISNA(VLOOKUP($E21,'A-1 Site Habitat Baseline'!$D$1:$X$258,16,FALSE)),"",(VLOOKUP($E21,'A-1 Site Habitat Baseline'!$D$1:$X$258,13,FALSE))))</f>
        <v/>
      </c>
      <c r="P21" s="237" t="str">
        <f>IFERROR(INDEX('G-1 All Habitats'!$AG$3:$AG$15,MATCH(Q21,'G-1 All Habitats'!$AF$3:$AF$15,0)),"")</f>
        <v/>
      </c>
      <c r="Q21" s="238" t="str">
        <f t="shared" si="2"/>
        <v/>
      </c>
      <c r="R21" s="238"/>
      <c r="S21" s="392" t="str">
        <f>IFERROR(INDEX('G-1 All Habitats'!$B$3:$B$129,MATCH(R21,'G-1 All Habitats'!$A$3:$A$129,0)),"")</f>
        <v/>
      </c>
      <c r="T21" s="498" t="str">
        <f t="shared" si="3"/>
        <v/>
      </c>
      <c r="U21" s="499" t="str">
        <f t="shared" si="4"/>
        <v/>
      </c>
      <c r="V21" s="537" t="str">
        <f t="shared" si="5"/>
        <v/>
      </c>
      <c r="W21" s="520" t="str">
        <f>IF(S21="","",VLOOKUP(S21,'G-1 All Habitats'!$B$2:$M$129,10,FALSE))</f>
        <v/>
      </c>
      <c r="X21" s="520" t="str">
        <f>IFERROR(VLOOKUP(W21,'G-1 All Habitats'!$V$3:$W$7,2,FALSE),"")</f>
        <v/>
      </c>
      <c r="Y21" s="79"/>
      <c r="Z21" s="524" t="str">
        <f>IFERROR(INDEX('G-8 Condition Look up'!$A$3:$H$130,MATCH(S21,'G-8 Condition Look up'!$A$3:$A$130,0),MATCH(Y21,'G-8 Condition Look up'!$A$3:$H$3,0)),"")</f>
        <v/>
      </c>
      <c r="AA21" s="71"/>
      <c r="AB21" s="520" t="str">
        <f>IF(AA21="","",IF(VLOOKUP(AA21,'G-3 Multipliers'!$L$3:$N$6,2,FALSE)=0,"Spatial Data Missing ⚠",VLOOKUP(AA21,'G-3 Multipliers'!$L$3:$N$6,2,FALSE)))</f>
        <v/>
      </c>
      <c r="AC21" s="524" t="str">
        <f>IF(AA21="","",IF(VLOOKUP(AA21,'G-3 Multipliers'!$L$3:$N$6,3,FALSE)=0,"Spatial Data Missing ⚠",VLOOKUP(AA21,'G-3 Multipliers'!$L$3:$N$6,3,FALSE)))</f>
        <v/>
      </c>
      <c r="AD21" s="539" t="str">
        <f t="shared" si="1"/>
        <v/>
      </c>
      <c r="AE21" s="82"/>
      <c r="AF21" s="82"/>
      <c r="AG21" s="507" t="str">
        <f t="shared" si="6"/>
        <v/>
      </c>
      <c r="AH21" s="521" t="str">
        <f t="shared" si="7"/>
        <v/>
      </c>
      <c r="AI21" s="522" t="str">
        <f>IF(AH21="Check Data","Check Data",IFERROR(VLOOKUP(AH21,'G-4 Temporal multipliers'!$A$4:$C$36,3,FALSE),""))</f>
        <v/>
      </c>
      <c r="AJ21" s="498" t="str">
        <f>IF(S21="","",VLOOKUP(S21,'G-3 Multipliers'!$A$2:$E$129,4,FALSE))</f>
        <v/>
      </c>
      <c r="AK21" s="507" t="str">
        <f t="shared" si="8"/>
        <v/>
      </c>
      <c r="AL21" s="507" t="str">
        <f t="shared" si="9"/>
        <v/>
      </c>
      <c r="AM21" s="540" t="str">
        <f>IFERROR(IF(F21="","",IF(AH21="Check Data ⚠","Check Data ⚠",VLOOKUP(AL21, 'G-3 Multipliers'!$P$2:$Q$6,2,FALSE))),"")</f>
        <v/>
      </c>
      <c r="AN21" s="513" t="str">
        <f t="shared" si="10"/>
        <v/>
      </c>
      <c r="AO21" s="239"/>
      <c r="AP21" s="240"/>
    </row>
    <row r="22" spans="1:42" x14ac:dyDescent="0.25">
      <c r="A22" s="47" t="str">
        <f>IF(E22="","",IF(ISNA(VLOOKUP($E22,'A-1 Site Habitat Baseline'!$D$1:$O$258,2,FALSE)),"",(VLOOKUP($E22,'A-1 Site Habitat Baseline'!$D$1:$O$258,2,FALSE))))</f>
        <v/>
      </c>
      <c r="B22" s="47" t="str">
        <f>IF(E22="","",IF(ISNA(VLOOKUP($E22,'A-1 Site Habitat Baseline'!$D$1:$O$258,3,FALSE)),"",(VLOOKUP($E22,'A-1 Site Habitat Baseline'!$D$1:$O$258,3,FALSE))))</f>
        <v/>
      </c>
      <c r="C22" s="47" t="str">
        <f>IFERROR(INDEX('G-8 Condition Look up'!$I$4:$I$130,MATCH(S22,'G-8 Condition Look up'!$A$4:$A$130,0)),"")</f>
        <v/>
      </c>
      <c r="E22" s="531" t="str">
        <f>'A-1 Site Habitat Baseline'!AL21</f>
        <v/>
      </c>
      <c r="F22" s="520" t="str">
        <f>IF(E22="","",IF(ISNA(VLOOKUP($E22,'A-1 Site Habitat Baseline'!$D$1:$O$258,4,FALSE)),"",(VLOOKUP($E22,'A-1 Site Habitat Baseline'!$D$1:$O$258,4,FALSE))))</f>
        <v/>
      </c>
      <c r="G22" s="520" t="str">
        <f>IF(E22="","",IF(ISNA(VLOOKUP($E22,'A-1 Site Habitat Baseline'!$D$1:$O$258,5,FALSE)),"",(VLOOKUP($E22,'A-1 Site Habitat Baseline'!$D$1:$O$258,5,FALSE))))</f>
        <v/>
      </c>
      <c r="H22" s="520" t="str">
        <f>IF(E22="","",IF(ISNA(VLOOKUP($E22,'A-1 Site Habitat Baseline'!$D$1:$O$258,6,FALSE)),"",(VLOOKUP($E22,'A-1 Site Habitat Baseline'!$D$1:$O$258,6,FALSE))))</f>
        <v/>
      </c>
      <c r="I22" s="520" t="str">
        <f>IF(E22="","",IF(ISNA(VLOOKUP($E22,'A-1 Site Habitat Baseline'!$D$1:$O$258,7,FALSE)),"",(VLOOKUP($E22,'A-1 Site Habitat Baseline'!$D$1:$O$258,7,FALSE))))</f>
        <v/>
      </c>
      <c r="J22" s="520" t="str">
        <f>IF(E22="","",IF(ISNA(VLOOKUP($E22,'A-1 Site Habitat Baseline'!$D$1:$O$258,8,FALSE)),"",(VLOOKUP($E22,'A-1 Site Habitat Baseline'!$D$1:$O$258,8,FALSE))))</f>
        <v/>
      </c>
      <c r="K22" s="520" t="str">
        <f>IF(E22="","",IF(ISNA(VLOOKUP($E22,'A-1 Site Habitat Baseline'!$D$1:$O$258,9,FALSE)),"",(VLOOKUP($E22,'A-1 Site Habitat Baseline'!$D$1:$O$258,9,FALSE))))</f>
        <v/>
      </c>
      <c r="L22" s="520" t="str">
        <f>IF(E22="","",IF(ISNA(VLOOKUP($E22,'A-1 Site Habitat Baseline'!$D$1:$O$258,11,FALSE)),"",(VLOOKUP($E22,'A-1 Site Habitat Baseline'!$D$1:$O$258,11,FALSE))))</f>
        <v/>
      </c>
      <c r="M22" s="520" t="str">
        <f>IF(E22="","",IF(ISNA(VLOOKUP($E22,'A-1 Site Habitat Baseline'!$D$1:$O$258,12,FALSE)),"",(VLOOKUP($E22,'A-1 Site Habitat Baseline'!$D$1:$O$258,12,FALSE))))</f>
        <v/>
      </c>
      <c r="N22" s="532" t="str">
        <f>IF(E22="","",IF(ISNA(VLOOKUP($E22,'A-1 Site Habitat Baseline'!$D$1:$X$258,14,FALSE)),"",(VLOOKUP($E22,'A-1 Site Habitat Baseline'!$D$1:$X$258,14,FALSE))))</f>
        <v/>
      </c>
      <c r="O22" s="524" t="str">
        <f>IF(E22="","",IF(ISNA(VLOOKUP($E22,'A-1 Site Habitat Baseline'!$D$1:$X$258,16,FALSE)),"",(VLOOKUP($E22,'A-1 Site Habitat Baseline'!$D$1:$X$258,13,FALSE))))</f>
        <v/>
      </c>
      <c r="P22" s="237" t="str">
        <f>IFERROR(INDEX('G-1 All Habitats'!$AG$3:$AG$15,MATCH(Q22,'G-1 All Habitats'!$AF$3:$AF$15,0)),"")</f>
        <v/>
      </c>
      <c r="Q22" s="238" t="str">
        <f t="shared" si="2"/>
        <v/>
      </c>
      <c r="R22" s="238" t="str">
        <f t="shared" ref="R22:R76" si="11">IF(B22="","",B22)</f>
        <v/>
      </c>
      <c r="S22" s="392" t="str">
        <f>IFERROR(INDEX('G-1 All Habitats'!$B$3:$B$129,MATCH(R22,'G-1 All Habitats'!$A$3:$A$129,0)),"")</f>
        <v/>
      </c>
      <c r="T22" s="498" t="str">
        <f t="shared" si="3"/>
        <v/>
      </c>
      <c r="U22" s="499" t="str">
        <f t="shared" si="4"/>
        <v/>
      </c>
      <c r="V22" s="537" t="str">
        <f t="shared" si="5"/>
        <v/>
      </c>
      <c r="W22" s="520" t="str">
        <f>IF(S22="","",VLOOKUP(S22,'G-1 All Habitats'!$B$2:$M$129,10,FALSE))</f>
        <v/>
      </c>
      <c r="X22" s="520" t="str">
        <f>IFERROR(VLOOKUP(W22,'G-1 All Habitats'!$V$3:$W$7,2,FALSE),"")</f>
        <v/>
      </c>
      <c r="Y22" s="79"/>
      <c r="Z22" s="524" t="str">
        <f>IFERROR(INDEX('G-8 Condition Look up'!$A$3:$H$130,MATCH(S22,'G-8 Condition Look up'!$A$3:$A$130,0),MATCH(Y22,'G-8 Condition Look up'!$A$3:$H$3,0)),"")</f>
        <v/>
      </c>
      <c r="AA22" s="71"/>
      <c r="AB22" s="520" t="str">
        <f>IF(AA22="","",IF(VLOOKUP(AA22,'G-3 Multipliers'!$L$3:$N$6,2,FALSE)=0,"Spatial Data Missing ⚠",VLOOKUP(AA22,'G-3 Multipliers'!$L$3:$N$6,2,FALSE)))</f>
        <v/>
      </c>
      <c r="AC22" s="524" t="str">
        <f>IF(AA22="","",IF(VLOOKUP(AA22,'G-3 Multipliers'!$L$3:$N$6,3,FALSE)=0,"Spatial Data Missing ⚠",VLOOKUP(AA22,'G-3 Multipliers'!$L$3:$N$6,3,FALSE)))</f>
        <v/>
      </c>
      <c r="AD22" s="539" t="str">
        <f t="shared" si="1"/>
        <v/>
      </c>
      <c r="AE22" s="82"/>
      <c r="AF22" s="82"/>
      <c r="AG22" s="507" t="str">
        <f t="shared" si="6"/>
        <v/>
      </c>
      <c r="AH22" s="521" t="str">
        <f t="shared" si="7"/>
        <v/>
      </c>
      <c r="AI22" s="522" t="str">
        <f>IF(AH22="Check Data","Check Data",IFERROR(VLOOKUP(AH22,'G-4 Temporal multipliers'!$A$4:$C$36,3,FALSE),""))</f>
        <v/>
      </c>
      <c r="AJ22" s="498" t="str">
        <f>IF(S22="","",VLOOKUP(S22,'G-3 Multipliers'!$A$2:$E$129,4,FALSE))</f>
        <v/>
      </c>
      <c r="AK22" s="507" t="str">
        <f t="shared" si="8"/>
        <v/>
      </c>
      <c r="AL22" s="507" t="str">
        <f t="shared" si="9"/>
        <v/>
      </c>
      <c r="AM22" s="540" t="str">
        <f>IFERROR(IF(F22="","",IF(AH22="Check Data ⚠","Check Data ⚠",VLOOKUP(AL22, 'G-3 Multipliers'!$P$2:$Q$6,2,FALSE))),"")</f>
        <v/>
      </c>
      <c r="AN22" s="513" t="str">
        <f t="shared" si="10"/>
        <v/>
      </c>
      <c r="AO22" s="239"/>
      <c r="AP22" s="240"/>
    </row>
    <row r="23" spans="1:42" x14ac:dyDescent="0.25">
      <c r="A23" s="47" t="str">
        <f>IF(E23="","",IF(ISNA(VLOOKUP($E23,'A-1 Site Habitat Baseline'!$D$1:$O$258,2,FALSE)),"",(VLOOKUP($E23,'A-1 Site Habitat Baseline'!$D$1:$O$258,2,FALSE))))</f>
        <v/>
      </c>
      <c r="B23" s="47" t="str">
        <f>IF(E23="","",IF(ISNA(VLOOKUP($E23,'A-1 Site Habitat Baseline'!$D$1:$O$258,3,FALSE)),"",(VLOOKUP($E23,'A-1 Site Habitat Baseline'!$D$1:$O$258,3,FALSE))))</f>
        <v/>
      </c>
      <c r="C23" s="47" t="str">
        <f>IFERROR(INDEX('G-8 Condition Look up'!$I$4:$I$130,MATCH(S23,'G-8 Condition Look up'!$A$4:$A$130,0)),"")</f>
        <v/>
      </c>
      <c r="E23" s="531" t="str">
        <f>'A-1 Site Habitat Baseline'!AL22</f>
        <v/>
      </c>
      <c r="F23" s="520" t="str">
        <f>IF(E23="","",IF(ISNA(VLOOKUP($E23,'A-1 Site Habitat Baseline'!$D$1:$O$258,4,FALSE)),"",(VLOOKUP($E23,'A-1 Site Habitat Baseline'!$D$1:$O$258,4,FALSE))))</f>
        <v/>
      </c>
      <c r="G23" s="520" t="str">
        <f>IF(E23="","",IF(ISNA(VLOOKUP($E23,'A-1 Site Habitat Baseline'!$D$1:$O$258,5,FALSE)),"",(VLOOKUP($E23,'A-1 Site Habitat Baseline'!$D$1:$O$258,5,FALSE))))</f>
        <v/>
      </c>
      <c r="H23" s="520" t="str">
        <f>IF(E23="","",IF(ISNA(VLOOKUP($E23,'A-1 Site Habitat Baseline'!$D$1:$O$258,6,FALSE)),"",(VLOOKUP($E23,'A-1 Site Habitat Baseline'!$D$1:$O$258,6,FALSE))))</f>
        <v/>
      </c>
      <c r="I23" s="520" t="str">
        <f>IF(E23="","",IF(ISNA(VLOOKUP($E23,'A-1 Site Habitat Baseline'!$D$1:$O$258,7,FALSE)),"",(VLOOKUP($E23,'A-1 Site Habitat Baseline'!$D$1:$O$258,7,FALSE))))</f>
        <v/>
      </c>
      <c r="J23" s="520" t="str">
        <f>IF(E23="","",IF(ISNA(VLOOKUP($E23,'A-1 Site Habitat Baseline'!$D$1:$O$258,8,FALSE)),"",(VLOOKUP($E23,'A-1 Site Habitat Baseline'!$D$1:$O$258,8,FALSE))))</f>
        <v/>
      </c>
      <c r="K23" s="520" t="str">
        <f>IF(E23="","",IF(ISNA(VLOOKUP($E23,'A-1 Site Habitat Baseline'!$D$1:$O$258,9,FALSE)),"",(VLOOKUP($E23,'A-1 Site Habitat Baseline'!$D$1:$O$258,9,FALSE))))</f>
        <v/>
      </c>
      <c r="L23" s="520" t="str">
        <f>IF(E23="","",IF(ISNA(VLOOKUP($E23,'A-1 Site Habitat Baseline'!$D$1:$O$258,11,FALSE)),"",(VLOOKUP($E23,'A-1 Site Habitat Baseline'!$D$1:$O$258,11,FALSE))))</f>
        <v/>
      </c>
      <c r="M23" s="520" t="str">
        <f>IF(E23="","",IF(ISNA(VLOOKUP($E23,'A-1 Site Habitat Baseline'!$D$1:$O$258,12,FALSE)),"",(VLOOKUP($E23,'A-1 Site Habitat Baseline'!$D$1:$O$258,12,FALSE))))</f>
        <v/>
      </c>
      <c r="N23" s="532" t="str">
        <f>IF(E23="","",IF(ISNA(VLOOKUP($E23,'A-1 Site Habitat Baseline'!$D$1:$X$258,14,FALSE)),"",(VLOOKUP($E23,'A-1 Site Habitat Baseline'!$D$1:$X$258,14,FALSE))))</f>
        <v/>
      </c>
      <c r="O23" s="524" t="str">
        <f>IF(E23="","",IF(ISNA(VLOOKUP($E23,'A-1 Site Habitat Baseline'!$D$1:$X$258,16,FALSE)),"",(VLOOKUP($E23,'A-1 Site Habitat Baseline'!$D$1:$X$258,13,FALSE))))</f>
        <v/>
      </c>
      <c r="P23" s="237" t="str">
        <f>IFERROR(INDEX('G-1 All Habitats'!$AG$3:$AG$15,MATCH(Q23,'G-1 All Habitats'!$AF$3:$AF$15,0)),"")</f>
        <v/>
      </c>
      <c r="Q23" s="238" t="str">
        <f t="shared" si="2"/>
        <v/>
      </c>
      <c r="R23" s="238" t="str">
        <f t="shared" si="11"/>
        <v/>
      </c>
      <c r="S23" s="392" t="str">
        <f>IFERROR(INDEX('G-1 All Habitats'!$B$3:$B$129,MATCH(R23,'G-1 All Habitats'!$A$3:$A$129,0)),"")</f>
        <v/>
      </c>
      <c r="T23" s="498" t="str">
        <f t="shared" si="3"/>
        <v/>
      </c>
      <c r="U23" s="499" t="str">
        <f t="shared" si="4"/>
        <v/>
      </c>
      <c r="V23" s="537" t="str">
        <f t="shared" si="5"/>
        <v/>
      </c>
      <c r="W23" s="520" t="str">
        <f>IF(S23="","",VLOOKUP(S23,'G-1 All Habitats'!$B$2:$M$129,10,FALSE))</f>
        <v/>
      </c>
      <c r="X23" s="520" t="str">
        <f>IFERROR(VLOOKUP(W23,'G-1 All Habitats'!$V$3:$W$7,2,FALSE),"")</f>
        <v/>
      </c>
      <c r="Y23" s="79"/>
      <c r="Z23" s="524" t="str">
        <f>IFERROR(INDEX('G-8 Condition Look up'!$A$3:$H$130,MATCH(S23,'G-8 Condition Look up'!$A$3:$A$130,0),MATCH(Y23,'G-8 Condition Look up'!$A$3:$H$3,0)),"")</f>
        <v/>
      </c>
      <c r="AA23" s="71"/>
      <c r="AB23" s="520" t="str">
        <f>IF(AA23="","",IF(VLOOKUP(AA23,'G-3 Multipliers'!$L$3:$N$6,2,FALSE)=0,"Spatial Data Missing ⚠",VLOOKUP(AA23,'G-3 Multipliers'!$L$3:$N$6,2,FALSE)))</f>
        <v/>
      </c>
      <c r="AC23" s="524" t="str">
        <f>IF(AA23="","",IF(VLOOKUP(AA23,'G-3 Multipliers'!$L$3:$N$6,3,FALSE)=0,"Spatial Data Missing ⚠",VLOOKUP(AA23,'G-3 Multipliers'!$L$3:$N$6,3,FALSE)))</f>
        <v/>
      </c>
      <c r="AD23" s="539" t="str">
        <f t="shared" si="1"/>
        <v/>
      </c>
      <c r="AE23" s="82"/>
      <c r="AF23" s="82"/>
      <c r="AG23" s="507" t="str">
        <f t="shared" si="6"/>
        <v/>
      </c>
      <c r="AH23" s="521" t="str">
        <f t="shared" si="7"/>
        <v/>
      </c>
      <c r="AI23" s="522" t="str">
        <f>IF(AH23="Check Data","Check Data",IFERROR(VLOOKUP(AH23,'G-4 Temporal multipliers'!$A$4:$C$36,3,FALSE),""))</f>
        <v/>
      </c>
      <c r="AJ23" s="498" t="str">
        <f>IF(S23="","",VLOOKUP(S23,'G-3 Multipliers'!$A$2:$E$129,4,FALSE))</f>
        <v/>
      </c>
      <c r="AK23" s="507" t="str">
        <f t="shared" si="8"/>
        <v/>
      </c>
      <c r="AL23" s="507" t="str">
        <f t="shared" si="9"/>
        <v/>
      </c>
      <c r="AM23" s="540" t="str">
        <f>IFERROR(IF(F23="","",IF(AH23="Check Data ⚠","Check Data ⚠",VLOOKUP(AL23, 'G-3 Multipliers'!$P$2:$Q$6,2,FALSE))),"")</f>
        <v/>
      </c>
      <c r="AN23" s="513" t="str">
        <f t="shared" si="10"/>
        <v/>
      </c>
      <c r="AO23" s="239"/>
      <c r="AP23" s="240"/>
    </row>
    <row r="24" spans="1:42" x14ac:dyDescent="0.25">
      <c r="A24" s="47" t="str">
        <f>IF(E24="","",IF(ISNA(VLOOKUP($E24,'A-1 Site Habitat Baseline'!$D$1:$O$258,2,FALSE)),"",(VLOOKUP($E24,'A-1 Site Habitat Baseline'!$D$1:$O$258,2,FALSE))))</f>
        <v/>
      </c>
      <c r="B24" s="47" t="str">
        <f>IF(E24="","",IF(ISNA(VLOOKUP($E24,'A-1 Site Habitat Baseline'!$D$1:$O$258,3,FALSE)),"",(VLOOKUP($E24,'A-1 Site Habitat Baseline'!$D$1:$O$258,3,FALSE))))</f>
        <v/>
      </c>
      <c r="C24" s="47" t="str">
        <f>IFERROR(INDEX('G-8 Condition Look up'!$I$4:$I$130,MATCH(S24,'G-8 Condition Look up'!$A$4:$A$130,0)),"")</f>
        <v/>
      </c>
      <c r="E24" s="531" t="str">
        <f>'A-1 Site Habitat Baseline'!AL23</f>
        <v/>
      </c>
      <c r="F24" s="520" t="str">
        <f>IF(E24="","",IF(ISNA(VLOOKUP($E24,'A-1 Site Habitat Baseline'!$D$1:$O$258,4,FALSE)),"",(VLOOKUP($E24,'A-1 Site Habitat Baseline'!$D$1:$O$258,4,FALSE))))</f>
        <v/>
      </c>
      <c r="G24" s="520" t="str">
        <f>IF(E24="","",IF(ISNA(VLOOKUP($E24,'A-1 Site Habitat Baseline'!$D$1:$O$258,5,FALSE)),"",(VLOOKUP($E24,'A-1 Site Habitat Baseline'!$D$1:$O$258,5,FALSE))))</f>
        <v/>
      </c>
      <c r="H24" s="520" t="str">
        <f>IF(E24="","",IF(ISNA(VLOOKUP($E24,'A-1 Site Habitat Baseline'!$D$1:$O$258,6,FALSE)),"",(VLOOKUP($E24,'A-1 Site Habitat Baseline'!$D$1:$O$258,6,FALSE))))</f>
        <v/>
      </c>
      <c r="I24" s="520" t="str">
        <f>IF(E24="","",IF(ISNA(VLOOKUP($E24,'A-1 Site Habitat Baseline'!$D$1:$O$258,7,FALSE)),"",(VLOOKUP($E24,'A-1 Site Habitat Baseline'!$D$1:$O$258,7,FALSE))))</f>
        <v/>
      </c>
      <c r="J24" s="520" t="str">
        <f>IF(E24="","",IF(ISNA(VLOOKUP($E24,'A-1 Site Habitat Baseline'!$D$1:$O$258,8,FALSE)),"",(VLOOKUP($E24,'A-1 Site Habitat Baseline'!$D$1:$O$258,8,FALSE))))</f>
        <v/>
      </c>
      <c r="K24" s="520" t="str">
        <f>IF(E24="","",IF(ISNA(VLOOKUP($E24,'A-1 Site Habitat Baseline'!$D$1:$O$258,9,FALSE)),"",(VLOOKUP($E24,'A-1 Site Habitat Baseline'!$D$1:$O$258,9,FALSE))))</f>
        <v/>
      </c>
      <c r="L24" s="520" t="str">
        <f>IF(E24="","",IF(ISNA(VLOOKUP($E24,'A-1 Site Habitat Baseline'!$D$1:$O$258,11,FALSE)),"",(VLOOKUP($E24,'A-1 Site Habitat Baseline'!$D$1:$O$258,11,FALSE))))</f>
        <v/>
      </c>
      <c r="M24" s="520" t="str">
        <f>IF(E24="","",IF(ISNA(VLOOKUP($E24,'A-1 Site Habitat Baseline'!$D$1:$O$258,12,FALSE)),"",(VLOOKUP($E24,'A-1 Site Habitat Baseline'!$D$1:$O$258,12,FALSE))))</f>
        <v/>
      </c>
      <c r="N24" s="532" t="str">
        <f>IF(E24="","",IF(ISNA(VLOOKUP($E24,'A-1 Site Habitat Baseline'!$D$1:$X$258,14,FALSE)),"",(VLOOKUP($E24,'A-1 Site Habitat Baseline'!$D$1:$X$258,14,FALSE))))</f>
        <v/>
      </c>
      <c r="O24" s="524" t="str">
        <f>IF(E24="","",IF(ISNA(VLOOKUP($E24,'A-1 Site Habitat Baseline'!$D$1:$X$258,16,FALSE)),"",(VLOOKUP($E24,'A-1 Site Habitat Baseline'!$D$1:$X$258,13,FALSE))))</f>
        <v/>
      </c>
      <c r="P24" s="237" t="str">
        <f>IFERROR(INDEX('G-1 All Habitats'!$AG$3:$AG$15,MATCH(Q24,'G-1 All Habitats'!$AF$3:$AF$15,0)),"")</f>
        <v/>
      </c>
      <c r="Q24" s="238" t="str">
        <f t="shared" si="2"/>
        <v/>
      </c>
      <c r="R24" s="238" t="str">
        <f t="shared" si="11"/>
        <v/>
      </c>
      <c r="S24" s="392" t="str">
        <f>IFERROR(INDEX('G-1 All Habitats'!$B$3:$B$129,MATCH(R24,'G-1 All Habitats'!$A$3:$A$129,0)),"")</f>
        <v/>
      </c>
      <c r="T24" s="498" t="str">
        <f t="shared" si="3"/>
        <v/>
      </c>
      <c r="U24" s="499" t="str">
        <f t="shared" si="4"/>
        <v/>
      </c>
      <c r="V24" s="537" t="str">
        <f t="shared" si="5"/>
        <v/>
      </c>
      <c r="W24" s="520" t="str">
        <f>IF(S24="","",VLOOKUP(S24,'G-1 All Habitats'!$B$2:$M$129,10,FALSE))</f>
        <v/>
      </c>
      <c r="X24" s="520" t="str">
        <f>IFERROR(VLOOKUP(W24,'G-1 All Habitats'!$V$3:$W$7,2,FALSE),"")</f>
        <v/>
      </c>
      <c r="Y24" s="79"/>
      <c r="Z24" s="524" t="str">
        <f>IFERROR(INDEX('G-8 Condition Look up'!$A$3:$H$130,MATCH(S24,'G-8 Condition Look up'!$A$3:$A$130,0),MATCH(Y24,'G-8 Condition Look up'!$A$3:$H$3,0)),"")</f>
        <v/>
      </c>
      <c r="AA24" s="71"/>
      <c r="AB24" s="520" t="str">
        <f>IF(AA24="","",IF(VLOOKUP(AA24,'G-3 Multipliers'!$L$3:$N$6,2,FALSE)=0,"Spatial Data Missing ⚠",VLOOKUP(AA24,'G-3 Multipliers'!$L$3:$N$6,2,FALSE)))</f>
        <v/>
      </c>
      <c r="AC24" s="524" t="str">
        <f>IF(AA24="","",IF(VLOOKUP(AA24,'G-3 Multipliers'!$L$3:$N$6,3,FALSE)=0,"Spatial Data Missing ⚠",VLOOKUP(AA24,'G-3 Multipliers'!$L$3:$N$6,3,FALSE)))</f>
        <v/>
      </c>
      <c r="AD24" s="539" t="str">
        <f t="shared" si="1"/>
        <v/>
      </c>
      <c r="AE24" s="82"/>
      <c r="AF24" s="82"/>
      <c r="AG24" s="507" t="str">
        <f t="shared" si="6"/>
        <v/>
      </c>
      <c r="AH24" s="521" t="str">
        <f t="shared" si="7"/>
        <v/>
      </c>
      <c r="AI24" s="522" t="str">
        <f>IF(AH24="Check Data","Check Data",IFERROR(VLOOKUP(AH24,'G-4 Temporal multipliers'!$A$4:$C$36,3,FALSE),""))</f>
        <v/>
      </c>
      <c r="AJ24" s="498" t="str">
        <f>IF(S24="","",VLOOKUP(S24,'G-3 Multipliers'!$A$2:$E$129,4,FALSE))</f>
        <v/>
      </c>
      <c r="AK24" s="507" t="str">
        <f t="shared" si="8"/>
        <v/>
      </c>
      <c r="AL24" s="507" t="str">
        <f t="shared" si="9"/>
        <v/>
      </c>
      <c r="AM24" s="540" t="str">
        <f>IFERROR(IF(F24="","",IF(AH24="Check Data ⚠","Check Data ⚠",VLOOKUP(AL24, 'G-3 Multipliers'!$P$2:$Q$6,2,FALSE))),"")</f>
        <v/>
      </c>
      <c r="AN24" s="513" t="str">
        <f t="shared" si="10"/>
        <v/>
      </c>
      <c r="AO24" s="239"/>
      <c r="AP24" s="240"/>
    </row>
    <row r="25" spans="1:42" x14ac:dyDescent="0.25">
      <c r="A25" s="47" t="str">
        <f>IF(E25="","",IF(ISNA(VLOOKUP($E25,'A-1 Site Habitat Baseline'!$D$1:$O$258,2,FALSE)),"",(VLOOKUP($E25,'A-1 Site Habitat Baseline'!$D$1:$O$258,2,FALSE))))</f>
        <v/>
      </c>
      <c r="B25" s="47" t="str">
        <f>IF(E25="","",IF(ISNA(VLOOKUP($E25,'A-1 Site Habitat Baseline'!$D$1:$O$258,3,FALSE)),"",(VLOOKUP($E25,'A-1 Site Habitat Baseline'!$D$1:$O$258,3,FALSE))))</f>
        <v/>
      </c>
      <c r="C25" s="47" t="str">
        <f>IFERROR(INDEX('G-8 Condition Look up'!$I$4:$I$130,MATCH(S25,'G-8 Condition Look up'!$A$4:$A$130,0)),"")</f>
        <v/>
      </c>
      <c r="E25" s="531" t="str">
        <f>'A-1 Site Habitat Baseline'!AL24</f>
        <v/>
      </c>
      <c r="F25" s="520" t="str">
        <f>IF(E25="","",IF(ISNA(VLOOKUP($E25,'A-1 Site Habitat Baseline'!$D$1:$O$258,4,FALSE)),"",(VLOOKUP($E25,'A-1 Site Habitat Baseline'!$D$1:$O$258,4,FALSE))))</f>
        <v/>
      </c>
      <c r="G25" s="520" t="str">
        <f>IF(E25="","",IF(ISNA(VLOOKUP($E25,'A-1 Site Habitat Baseline'!$D$1:$O$258,5,FALSE)),"",(VLOOKUP($E25,'A-1 Site Habitat Baseline'!$D$1:$O$258,5,FALSE))))</f>
        <v/>
      </c>
      <c r="H25" s="520" t="str">
        <f>IF(E25="","",IF(ISNA(VLOOKUP($E25,'A-1 Site Habitat Baseline'!$D$1:$O$258,6,FALSE)),"",(VLOOKUP($E25,'A-1 Site Habitat Baseline'!$D$1:$O$258,6,FALSE))))</f>
        <v/>
      </c>
      <c r="I25" s="520" t="str">
        <f>IF(E25="","",IF(ISNA(VLOOKUP($E25,'A-1 Site Habitat Baseline'!$D$1:$O$258,7,FALSE)),"",(VLOOKUP($E25,'A-1 Site Habitat Baseline'!$D$1:$O$258,7,FALSE))))</f>
        <v/>
      </c>
      <c r="J25" s="520" t="str">
        <f>IF(E25="","",IF(ISNA(VLOOKUP($E25,'A-1 Site Habitat Baseline'!$D$1:$O$258,8,FALSE)),"",(VLOOKUP($E25,'A-1 Site Habitat Baseline'!$D$1:$O$258,8,FALSE))))</f>
        <v/>
      </c>
      <c r="K25" s="520" t="str">
        <f>IF(E25="","",IF(ISNA(VLOOKUP($E25,'A-1 Site Habitat Baseline'!$D$1:$O$258,9,FALSE)),"",(VLOOKUP($E25,'A-1 Site Habitat Baseline'!$D$1:$O$258,9,FALSE))))</f>
        <v/>
      </c>
      <c r="L25" s="520" t="str">
        <f>IF(E25="","",IF(ISNA(VLOOKUP($E25,'A-1 Site Habitat Baseline'!$D$1:$O$258,11,FALSE)),"",(VLOOKUP($E25,'A-1 Site Habitat Baseline'!$D$1:$O$258,11,FALSE))))</f>
        <v/>
      </c>
      <c r="M25" s="520" t="str">
        <f>IF(E25="","",IF(ISNA(VLOOKUP($E25,'A-1 Site Habitat Baseline'!$D$1:$O$258,12,FALSE)),"",(VLOOKUP($E25,'A-1 Site Habitat Baseline'!$D$1:$O$258,12,FALSE))))</f>
        <v/>
      </c>
      <c r="N25" s="532" t="str">
        <f>IF(E25="","",IF(ISNA(VLOOKUP($E25,'A-1 Site Habitat Baseline'!$D$1:$X$258,14,FALSE)),"",(VLOOKUP($E25,'A-1 Site Habitat Baseline'!$D$1:$X$258,14,FALSE))))</f>
        <v/>
      </c>
      <c r="O25" s="524" t="str">
        <f>IF(E25="","",IF(ISNA(VLOOKUP($E25,'A-1 Site Habitat Baseline'!$D$1:$X$258,16,FALSE)),"",(VLOOKUP($E25,'A-1 Site Habitat Baseline'!$D$1:$X$258,13,FALSE))))</f>
        <v/>
      </c>
      <c r="P25" s="237" t="str">
        <f>IFERROR(INDEX('G-1 All Habitats'!$AG$3:$AG$15,MATCH(Q25,'G-1 All Habitats'!$AF$3:$AF$15,0)),"")</f>
        <v/>
      </c>
      <c r="Q25" s="238" t="str">
        <f t="shared" si="2"/>
        <v/>
      </c>
      <c r="R25" s="238" t="str">
        <f t="shared" si="11"/>
        <v/>
      </c>
      <c r="S25" s="392" t="str">
        <f>IFERROR(INDEX('G-1 All Habitats'!$B$3:$B$129,MATCH(R25,'G-1 All Habitats'!$A$3:$A$129,0)),"")</f>
        <v/>
      </c>
      <c r="T25" s="498" t="str">
        <f t="shared" si="3"/>
        <v/>
      </c>
      <c r="U25" s="499" t="str">
        <f t="shared" si="4"/>
        <v/>
      </c>
      <c r="V25" s="537" t="str">
        <f t="shared" si="5"/>
        <v/>
      </c>
      <c r="W25" s="520" t="str">
        <f>IF(S25="","",VLOOKUP(S25,'G-1 All Habitats'!$B$2:$M$129,10,FALSE))</f>
        <v/>
      </c>
      <c r="X25" s="520" t="str">
        <f>IFERROR(VLOOKUP(W25,'G-1 All Habitats'!$V$3:$W$7,2,FALSE),"")</f>
        <v/>
      </c>
      <c r="Y25" s="79"/>
      <c r="Z25" s="524" t="str">
        <f>IFERROR(INDEX('G-8 Condition Look up'!$A$3:$H$130,MATCH(S25,'G-8 Condition Look up'!$A$3:$A$130,0),MATCH(Y25,'G-8 Condition Look up'!$A$3:$H$3,0)),"")</f>
        <v/>
      </c>
      <c r="AA25" s="71"/>
      <c r="AB25" s="520" t="str">
        <f>IF(AA25="","",IF(VLOOKUP(AA25,'G-3 Multipliers'!$L$3:$N$6,2,FALSE)=0,"Spatial Data Missing ⚠",VLOOKUP(AA25,'G-3 Multipliers'!$L$3:$N$6,2,FALSE)))</f>
        <v/>
      </c>
      <c r="AC25" s="524" t="str">
        <f>IF(AA25="","",IF(VLOOKUP(AA25,'G-3 Multipliers'!$L$3:$N$6,3,FALSE)=0,"Spatial Data Missing ⚠",VLOOKUP(AA25,'G-3 Multipliers'!$L$3:$N$6,3,FALSE)))</f>
        <v/>
      </c>
      <c r="AD25" s="539" t="str">
        <f t="shared" si="1"/>
        <v/>
      </c>
      <c r="AE25" s="82"/>
      <c r="AF25" s="82"/>
      <c r="AG25" s="507" t="str">
        <f t="shared" si="6"/>
        <v/>
      </c>
      <c r="AH25" s="521" t="str">
        <f t="shared" si="7"/>
        <v/>
      </c>
      <c r="AI25" s="522" t="str">
        <f>IF(AH25="Check Data","Check Data",IFERROR(VLOOKUP(AH25,'G-4 Temporal multipliers'!$A$4:$C$36,3,FALSE),""))</f>
        <v/>
      </c>
      <c r="AJ25" s="498" t="str">
        <f>IF(S25="","",VLOOKUP(S25,'G-3 Multipliers'!$A$2:$E$129,4,FALSE))</f>
        <v/>
      </c>
      <c r="AK25" s="507" t="str">
        <f t="shared" si="8"/>
        <v/>
      </c>
      <c r="AL25" s="507" t="str">
        <f t="shared" si="9"/>
        <v/>
      </c>
      <c r="AM25" s="540" t="str">
        <f>IFERROR(IF(F25="","",IF(AH25="Check Data ⚠","Check Data ⚠",VLOOKUP(AL25, 'G-3 Multipliers'!$P$2:$Q$6,2,FALSE))),"")</f>
        <v/>
      </c>
      <c r="AN25" s="513" t="str">
        <f t="shared" si="10"/>
        <v/>
      </c>
      <c r="AO25" s="239"/>
      <c r="AP25" s="240"/>
    </row>
    <row r="26" spans="1:42" x14ac:dyDescent="0.25">
      <c r="A26" s="47" t="str">
        <f>IF(E26="","",IF(ISNA(VLOOKUP($E26,'A-1 Site Habitat Baseline'!$D$1:$O$258,2,FALSE)),"",(VLOOKUP($E26,'A-1 Site Habitat Baseline'!$D$1:$O$258,2,FALSE))))</f>
        <v/>
      </c>
      <c r="B26" s="47" t="str">
        <f>IF(E26="","",IF(ISNA(VLOOKUP($E26,'A-1 Site Habitat Baseline'!$D$1:$O$258,3,FALSE)),"",(VLOOKUP($E26,'A-1 Site Habitat Baseline'!$D$1:$O$258,3,FALSE))))</f>
        <v/>
      </c>
      <c r="C26" s="47" t="str">
        <f>IFERROR(INDEX('G-8 Condition Look up'!$I$4:$I$130,MATCH(S26,'G-8 Condition Look up'!$A$4:$A$130,0)),"")</f>
        <v/>
      </c>
      <c r="E26" s="531" t="str">
        <f>'A-1 Site Habitat Baseline'!AL25</f>
        <v/>
      </c>
      <c r="F26" s="520" t="str">
        <f>IF(E26="","",IF(ISNA(VLOOKUP($E26,'A-1 Site Habitat Baseline'!$D$1:$O$258,4,FALSE)),"",(VLOOKUP($E26,'A-1 Site Habitat Baseline'!$D$1:$O$258,4,FALSE))))</f>
        <v/>
      </c>
      <c r="G26" s="520" t="str">
        <f>IF(E26="","",IF(ISNA(VLOOKUP($E26,'A-1 Site Habitat Baseline'!$D$1:$O$258,5,FALSE)),"",(VLOOKUP($E26,'A-1 Site Habitat Baseline'!$D$1:$O$258,5,FALSE))))</f>
        <v/>
      </c>
      <c r="H26" s="520" t="str">
        <f>IF(E26="","",IF(ISNA(VLOOKUP($E26,'A-1 Site Habitat Baseline'!$D$1:$O$258,6,FALSE)),"",(VLOOKUP($E26,'A-1 Site Habitat Baseline'!$D$1:$O$258,6,FALSE))))</f>
        <v/>
      </c>
      <c r="I26" s="520" t="str">
        <f>IF(E26="","",IF(ISNA(VLOOKUP($E26,'A-1 Site Habitat Baseline'!$D$1:$O$258,7,FALSE)),"",(VLOOKUP($E26,'A-1 Site Habitat Baseline'!$D$1:$O$258,7,FALSE))))</f>
        <v/>
      </c>
      <c r="J26" s="520" t="str">
        <f>IF(E26="","",IF(ISNA(VLOOKUP($E26,'A-1 Site Habitat Baseline'!$D$1:$O$258,8,FALSE)),"",(VLOOKUP($E26,'A-1 Site Habitat Baseline'!$D$1:$O$258,8,FALSE))))</f>
        <v/>
      </c>
      <c r="K26" s="520" t="str">
        <f>IF(E26="","",IF(ISNA(VLOOKUP($E26,'A-1 Site Habitat Baseline'!$D$1:$O$258,9,FALSE)),"",(VLOOKUP($E26,'A-1 Site Habitat Baseline'!$D$1:$O$258,9,FALSE))))</f>
        <v/>
      </c>
      <c r="L26" s="520" t="str">
        <f>IF(E26="","",IF(ISNA(VLOOKUP($E26,'A-1 Site Habitat Baseline'!$D$1:$O$258,11,FALSE)),"",(VLOOKUP($E26,'A-1 Site Habitat Baseline'!$D$1:$O$258,11,FALSE))))</f>
        <v/>
      </c>
      <c r="M26" s="520" t="str">
        <f>IF(E26="","",IF(ISNA(VLOOKUP($E26,'A-1 Site Habitat Baseline'!$D$1:$O$258,12,FALSE)),"",(VLOOKUP($E26,'A-1 Site Habitat Baseline'!$D$1:$O$258,12,FALSE))))</f>
        <v/>
      </c>
      <c r="N26" s="532" t="str">
        <f>IF(E26="","",IF(ISNA(VLOOKUP($E26,'A-1 Site Habitat Baseline'!$D$1:$X$258,14,FALSE)),"",(VLOOKUP($E26,'A-1 Site Habitat Baseline'!$D$1:$X$258,14,FALSE))))</f>
        <v/>
      </c>
      <c r="O26" s="524" t="str">
        <f>IF(E26="","",IF(ISNA(VLOOKUP($E26,'A-1 Site Habitat Baseline'!$D$1:$X$258,16,FALSE)),"",(VLOOKUP($E26,'A-1 Site Habitat Baseline'!$D$1:$X$258,13,FALSE))))</f>
        <v/>
      </c>
      <c r="P26" s="237" t="str">
        <f>IFERROR(INDEX('G-1 All Habitats'!$AG$3:$AG$15,MATCH(Q26,'G-1 All Habitats'!$AF$3:$AF$15,0)),"")</f>
        <v/>
      </c>
      <c r="Q26" s="238" t="str">
        <f t="shared" si="2"/>
        <v/>
      </c>
      <c r="R26" s="238" t="str">
        <f t="shared" si="11"/>
        <v/>
      </c>
      <c r="S26" s="392" t="str">
        <f>IFERROR(INDEX('G-1 All Habitats'!$B$3:$B$129,MATCH(R26,'G-1 All Habitats'!$A$3:$A$129,0)),"")</f>
        <v/>
      </c>
      <c r="T26" s="498" t="str">
        <f t="shared" si="3"/>
        <v/>
      </c>
      <c r="U26" s="499" t="str">
        <f t="shared" si="4"/>
        <v/>
      </c>
      <c r="V26" s="537" t="str">
        <f t="shared" si="5"/>
        <v/>
      </c>
      <c r="W26" s="520" t="str">
        <f>IF(S26="","",VLOOKUP(S26,'G-1 All Habitats'!$B$2:$M$129,10,FALSE))</f>
        <v/>
      </c>
      <c r="X26" s="520" t="str">
        <f>IFERROR(VLOOKUP(W26,'G-1 All Habitats'!$V$3:$W$7,2,FALSE),"")</f>
        <v/>
      </c>
      <c r="Y26" s="79"/>
      <c r="Z26" s="524" t="str">
        <f>IFERROR(INDEX('G-8 Condition Look up'!$A$3:$H$130,MATCH(S26,'G-8 Condition Look up'!$A$3:$A$130,0),MATCH(Y26,'G-8 Condition Look up'!$A$3:$H$3,0)),"")</f>
        <v/>
      </c>
      <c r="AA26" s="71"/>
      <c r="AB26" s="520" t="str">
        <f>IF(AA26="","",IF(VLOOKUP(AA26,'G-3 Multipliers'!$L$3:$N$6,2,FALSE)=0,"Spatial Data Missing ⚠",VLOOKUP(AA26,'G-3 Multipliers'!$L$3:$N$6,2,FALSE)))</f>
        <v/>
      </c>
      <c r="AC26" s="524" t="str">
        <f>IF(AA26="","",IF(VLOOKUP(AA26,'G-3 Multipliers'!$L$3:$N$6,3,FALSE)=0,"Spatial Data Missing ⚠",VLOOKUP(AA26,'G-3 Multipliers'!$L$3:$N$6,3,FALSE)))</f>
        <v/>
      </c>
      <c r="AD26" s="539" t="str">
        <f t="shared" si="1"/>
        <v/>
      </c>
      <c r="AE26" s="82"/>
      <c r="AF26" s="82"/>
      <c r="AG26" s="507" t="str">
        <f t="shared" si="6"/>
        <v/>
      </c>
      <c r="AH26" s="521" t="str">
        <f t="shared" si="7"/>
        <v/>
      </c>
      <c r="AI26" s="522" t="str">
        <f>IF(AH26="Check Data","Check Data",IFERROR(VLOOKUP(AH26,'G-4 Temporal multipliers'!$A$4:$C$36,3,FALSE),""))</f>
        <v/>
      </c>
      <c r="AJ26" s="498" t="str">
        <f>IF(S26="","",VLOOKUP(S26,'G-3 Multipliers'!$A$2:$E$129,4,FALSE))</f>
        <v/>
      </c>
      <c r="AK26" s="507" t="str">
        <f t="shared" si="8"/>
        <v/>
      </c>
      <c r="AL26" s="507" t="str">
        <f t="shared" si="9"/>
        <v/>
      </c>
      <c r="AM26" s="540" t="str">
        <f>IFERROR(IF(F26="","",IF(AH26="Check Data ⚠","Check Data ⚠",VLOOKUP(AL26, 'G-3 Multipliers'!$P$2:$Q$6,2,FALSE))),"")</f>
        <v/>
      </c>
      <c r="AN26" s="513" t="str">
        <f t="shared" si="10"/>
        <v/>
      </c>
      <c r="AO26" s="239"/>
      <c r="AP26" s="240"/>
    </row>
    <row r="27" spans="1:42" x14ac:dyDescent="0.25">
      <c r="A27" s="47" t="str">
        <f>IF(E27="","",IF(ISNA(VLOOKUP($E27,'A-1 Site Habitat Baseline'!$D$1:$O$258,2,FALSE)),"",(VLOOKUP($E27,'A-1 Site Habitat Baseline'!$D$1:$O$258,2,FALSE))))</f>
        <v/>
      </c>
      <c r="B27" s="47" t="str">
        <f>IF(E27="","",IF(ISNA(VLOOKUP($E27,'A-1 Site Habitat Baseline'!$D$1:$O$258,3,FALSE)),"",(VLOOKUP($E27,'A-1 Site Habitat Baseline'!$D$1:$O$258,3,FALSE))))</f>
        <v/>
      </c>
      <c r="C27" s="47" t="str">
        <f>IFERROR(INDEX('G-8 Condition Look up'!$I$4:$I$130,MATCH(S27,'G-8 Condition Look up'!$A$4:$A$130,0)),"")</f>
        <v/>
      </c>
      <c r="E27" s="531" t="str">
        <f>'A-1 Site Habitat Baseline'!AL26</f>
        <v/>
      </c>
      <c r="F27" s="520" t="str">
        <f>IF(E27="","",IF(ISNA(VLOOKUP($E27,'A-1 Site Habitat Baseline'!$D$1:$O$258,4,FALSE)),"",(VLOOKUP($E27,'A-1 Site Habitat Baseline'!$D$1:$O$258,4,FALSE))))</f>
        <v/>
      </c>
      <c r="G27" s="520" t="str">
        <f>IF(E27="","",IF(ISNA(VLOOKUP($E27,'A-1 Site Habitat Baseline'!$D$1:$O$258,5,FALSE)),"",(VLOOKUP($E27,'A-1 Site Habitat Baseline'!$D$1:$O$258,5,FALSE))))</f>
        <v/>
      </c>
      <c r="H27" s="520" t="str">
        <f>IF(E27="","",IF(ISNA(VLOOKUP($E27,'A-1 Site Habitat Baseline'!$D$1:$O$258,6,FALSE)),"",(VLOOKUP($E27,'A-1 Site Habitat Baseline'!$D$1:$O$258,6,FALSE))))</f>
        <v/>
      </c>
      <c r="I27" s="520" t="str">
        <f>IF(E27="","",IF(ISNA(VLOOKUP($E27,'A-1 Site Habitat Baseline'!$D$1:$O$258,7,FALSE)),"",(VLOOKUP($E27,'A-1 Site Habitat Baseline'!$D$1:$O$258,7,FALSE))))</f>
        <v/>
      </c>
      <c r="J27" s="520" t="str">
        <f>IF(E27="","",IF(ISNA(VLOOKUP($E27,'A-1 Site Habitat Baseline'!$D$1:$O$258,8,FALSE)),"",(VLOOKUP($E27,'A-1 Site Habitat Baseline'!$D$1:$O$258,8,FALSE))))</f>
        <v/>
      </c>
      <c r="K27" s="520" t="str">
        <f>IF(E27="","",IF(ISNA(VLOOKUP($E27,'A-1 Site Habitat Baseline'!$D$1:$O$258,9,FALSE)),"",(VLOOKUP($E27,'A-1 Site Habitat Baseline'!$D$1:$O$258,9,FALSE))))</f>
        <v/>
      </c>
      <c r="L27" s="520" t="str">
        <f>IF(E27="","",IF(ISNA(VLOOKUP($E27,'A-1 Site Habitat Baseline'!$D$1:$O$258,11,FALSE)),"",(VLOOKUP($E27,'A-1 Site Habitat Baseline'!$D$1:$O$258,11,FALSE))))</f>
        <v/>
      </c>
      <c r="M27" s="520" t="str">
        <f>IF(E27="","",IF(ISNA(VLOOKUP($E27,'A-1 Site Habitat Baseline'!$D$1:$O$258,12,FALSE)),"",(VLOOKUP($E27,'A-1 Site Habitat Baseline'!$D$1:$O$258,12,FALSE))))</f>
        <v/>
      </c>
      <c r="N27" s="532" t="str">
        <f>IF(E27="","",IF(ISNA(VLOOKUP($E27,'A-1 Site Habitat Baseline'!$D$1:$X$258,14,FALSE)),"",(VLOOKUP($E27,'A-1 Site Habitat Baseline'!$D$1:$X$258,14,FALSE))))</f>
        <v/>
      </c>
      <c r="O27" s="524" t="str">
        <f>IF(E27="","",IF(ISNA(VLOOKUP($E27,'A-1 Site Habitat Baseline'!$D$1:$X$258,16,FALSE)),"",(VLOOKUP($E27,'A-1 Site Habitat Baseline'!$D$1:$X$258,13,FALSE))))</f>
        <v/>
      </c>
      <c r="P27" s="237" t="str">
        <f>IFERROR(INDEX('G-1 All Habitats'!$AG$3:$AG$15,MATCH(Q27,'G-1 All Habitats'!$AF$3:$AF$15,0)),"")</f>
        <v/>
      </c>
      <c r="Q27" s="238" t="str">
        <f t="shared" si="2"/>
        <v/>
      </c>
      <c r="R27" s="238" t="str">
        <f t="shared" si="11"/>
        <v/>
      </c>
      <c r="S27" s="392" t="str">
        <f>IFERROR(INDEX('G-1 All Habitats'!$B$3:$B$129,MATCH(R27,'G-1 All Habitats'!$A$3:$A$129,0)),"")</f>
        <v/>
      </c>
      <c r="T27" s="498" t="str">
        <f t="shared" si="3"/>
        <v/>
      </c>
      <c r="U27" s="499" t="str">
        <f t="shared" si="4"/>
        <v/>
      </c>
      <c r="V27" s="537" t="str">
        <f t="shared" si="5"/>
        <v/>
      </c>
      <c r="W27" s="520" t="str">
        <f>IF(S27="","",VLOOKUP(S27,'G-1 All Habitats'!$B$2:$M$129,10,FALSE))</f>
        <v/>
      </c>
      <c r="X27" s="520" t="str">
        <f>IFERROR(VLOOKUP(W27,'G-1 All Habitats'!$V$3:$W$7,2,FALSE),"")</f>
        <v/>
      </c>
      <c r="Y27" s="79"/>
      <c r="Z27" s="524" t="str">
        <f>IFERROR(INDEX('G-8 Condition Look up'!$A$3:$H$130,MATCH(S27,'G-8 Condition Look up'!$A$3:$A$130,0),MATCH(Y27,'G-8 Condition Look up'!$A$3:$H$3,0)),"")</f>
        <v/>
      </c>
      <c r="AA27" s="71"/>
      <c r="AB27" s="520" t="str">
        <f>IF(AA27="","",IF(VLOOKUP(AA27,'G-3 Multipliers'!$L$3:$N$6,2,FALSE)=0,"Spatial Data Missing ⚠",VLOOKUP(AA27,'G-3 Multipliers'!$L$3:$N$6,2,FALSE)))</f>
        <v/>
      </c>
      <c r="AC27" s="524" t="str">
        <f>IF(AA27="","",IF(VLOOKUP(AA27,'G-3 Multipliers'!$L$3:$N$6,3,FALSE)=0,"Spatial Data Missing ⚠",VLOOKUP(AA27,'G-3 Multipliers'!$L$3:$N$6,3,FALSE)))</f>
        <v/>
      </c>
      <c r="AD27" s="539" t="str">
        <f t="shared" si="1"/>
        <v/>
      </c>
      <c r="AE27" s="82"/>
      <c r="AF27" s="82"/>
      <c r="AG27" s="507" t="str">
        <f t="shared" si="6"/>
        <v/>
      </c>
      <c r="AH27" s="521" t="str">
        <f t="shared" si="7"/>
        <v/>
      </c>
      <c r="AI27" s="522" t="str">
        <f>IF(AH27="Check Data","Check Data",IFERROR(VLOOKUP(AH27,'G-4 Temporal multipliers'!$A$4:$C$36,3,FALSE),""))</f>
        <v/>
      </c>
      <c r="AJ27" s="498" t="str">
        <f>IF(S27="","",VLOOKUP(S27,'G-3 Multipliers'!$A$2:$E$129,4,FALSE))</f>
        <v/>
      </c>
      <c r="AK27" s="507" t="str">
        <f t="shared" si="8"/>
        <v/>
      </c>
      <c r="AL27" s="507" t="str">
        <f t="shared" si="9"/>
        <v/>
      </c>
      <c r="AM27" s="540" t="str">
        <f>IFERROR(IF(F27="","",IF(AH27="Check Data ⚠","Check Data ⚠",VLOOKUP(AL27, 'G-3 Multipliers'!$P$2:$Q$6,2,FALSE))),"")</f>
        <v/>
      </c>
      <c r="AN27" s="513" t="str">
        <f t="shared" si="10"/>
        <v/>
      </c>
      <c r="AO27" s="239"/>
      <c r="AP27" s="240"/>
    </row>
    <row r="28" spans="1:42" x14ac:dyDescent="0.25">
      <c r="A28" s="47" t="str">
        <f>IF(E28="","",IF(ISNA(VLOOKUP($E28,'A-1 Site Habitat Baseline'!$D$1:$O$258,2,FALSE)),"",(VLOOKUP($E28,'A-1 Site Habitat Baseline'!$D$1:$O$258,2,FALSE))))</f>
        <v/>
      </c>
      <c r="B28" s="47" t="str">
        <f>IF(E28="","",IF(ISNA(VLOOKUP($E28,'A-1 Site Habitat Baseline'!$D$1:$O$258,3,FALSE)),"",(VLOOKUP($E28,'A-1 Site Habitat Baseline'!$D$1:$O$258,3,FALSE))))</f>
        <v/>
      </c>
      <c r="C28" s="47" t="str">
        <f>IFERROR(INDEX('G-8 Condition Look up'!$I$4:$I$130,MATCH(S28,'G-8 Condition Look up'!$A$4:$A$130,0)),"")</f>
        <v/>
      </c>
      <c r="E28" s="531" t="str">
        <f>'A-1 Site Habitat Baseline'!AL27</f>
        <v/>
      </c>
      <c r="F28" s="520" t="str">
        <f>IF(E28="","",IF(ISNA(VLOOKUP($E28,'A-1 Site Habitat Baseline'!$D$1:$O$258,4,FALSE)),"",(VLOOKUP($E28,'A-1 Site Habitat Baseline'!$D$1:$O$258,4,FALSE))))</f>
        <v/>
      </c>
      <c r="G28" s="520" t="str">
        <f>IF(E28="","",IF(ISNA(VLOOKUP($E28,'A-1 Site Habitat Baseline'!$D$1:$O$258,5,FALSE)),"",(VLOOKUP($E28,'A-1 Site Habitat Baseline'!$D$1:$O$258,5,FALSE))))</f>
        <v/>
      </c>
      <c r="H28" s="520" t="str">
        <f>IF(E28="","",IF(ISNA(VLOOKUP($E28,'A-1 Site Habitat Baseline'!$D$1:$O$258,6,FALSE)),"",(VLOOKUP($E28,'A-1 Site Habitat Baseline'!$D$1:$O$258,6,FALSE))))</f>
        <v/>
      </c>
      <c r="I28" s="520" t="str">
        <f>IF(E28="","",IF(ISNA(VLOOKUP($E28,'A-1 Site Habitat Baseline'!$D$1:$O$258,7,FALSE)),"",(VLOOKUP($E28,'A-1 Site Habitat Baseline'!$D$1:$O$258,7,FALSE))))</f>
        <v/>
      </c>
      <c r="J28" s="520" t="str">
        <f>IF(E28="","",IF(ISNA(VLOOKUP($E28,'A-1 Site Habitat Baseline'!$D$1:$O$258,8,FALSE)),"",(VLOOKUP($E28,'A-1 Site Habitat Baseline'!$D$1:$O$258,8,FALSE))))</f>
        <v/>
      </c>
      <c r="K28" s="520" t="str">
        <f>IF(E28="","",IF(ISNA(VLOOKUP($E28,'A-1 Site Habitat Baseline'!$D$1:$O$258,9,FALSE)),"",(VLOOKUP($E28,'A-1 Site Habitat Baseline'!$D$1:$O$258,9,FALSE))))</f>
        <v/>
      </c>
      <c r="L28" s="520" t="str">
        <f>IF(E28="","",IF(ISNA(VLOOKUP($E28,'A-1 Site Habitat Baseline'!$D$1:$O$258,11,FALSE)),"",(VLOOKUP($E28,'A-1 Site Habitat Baseline'!$D$1:$O$258,11,FALSE))))</f>
        <v/>
      </c>
      <c r="M28" s="520" t="str">
        <f>IF(E28="","",IF(ISNA(VLOOKUP($E28,'A-1 Site Habitat Baseline'!$D$1:$O$258,12,FALSE)),"",(VLOOKUP($E28,'A-1 Site Habitat Baseline'!$D$1:$O$258,12,FALSE))))</f>
        <v/>
      </c>
      <c r="N28" s="532" t="str">
        <f>IF(E28="","",IF(ISNA(VLOOKUP($E28,'A-1 Site Habitat Baseline'!$D$1:$X$258,14,FALSE)),"",(VLOOKUP($E28,'A-1 Site Habitat Baseline'!$D$1:$X$258,14,FALSE))))</f>
        <v/>
      </c>
      <c r="O28" s="524" t="str">
        <f>IF(E28="","",IF(ISNA(VLOOKUP($E28,'A-1 Site Habitat Baseline'!$D$1:$X$258,16,FALSE)),"",(VLOOKUP($E28,'A-1 Site Habitat Baseline'!$D$1:$X$258,13,FALSE))))</f>
        <v/>
      </c>
      <c r="P28" s="237" t="str">
        <f>IFERROR(INDEX('G-1 All Habitats'!$AG$3:$AG$15,MATCH(Q28,'G-1 All Habitats'!$AF$3:$AF$15,0)),"")</f>
        <v/>
      </c>
      <c r="Q28" s="238" t="str">
        <f t="shared" si="2"/>
        <v/>
      </c>
      <c r="R28" s="238" t="str">
        <f t="shared" si="11"/>
        <v/>
      </c>
      <c r="S28" s="392" t="str">
        <f>IFERROR(INDEX('G-1 All Habitats'!$B$3:$B$129,MATCH(R28,'G-1 All Habitats'!$A$3:$A$129,0)),"")</f>
        <v/>
      </c>
      <c r="T28" s="498" t="str">
        <f t="shared" si="3"/>
        <v/>
      </c>
      <c r="U28" s="499" t="str">
        <f t="shared" si="4"/>
        <v/>
      </c>
      <c r="V28" s="537" t="str">
        <f t="shared" si="5"/>
        <v/>
      </c>
      <c r="W28" s="520" t="str">
        <f>IF(S28="","",VLOOKUP(S28,'G-1 All Habitats'!$B$2:$M$129,10,FALSE))</f>
        <v/>
      </c>
      <c r="X28" s="520" t="str">
        <f>IFERROR(VLOOKUP(W28,'G-1 All Habitats'!$V$3:$W$7,2,FALSE),"")</f>
        <v/>
      </c>
      <c r="Y28" s="79"/>
      <c r="Z28" s="524" t="str">
        <f>IFERROR(INDEX('G-8 Condition Look up'!$A$3:$H$130,MATCH(S28,'G-8 Condition Look up'!$A$3:$A$130,0),MATCH(Y28,'G-8 Condition Look up'!$A$3:$H$3,0)),"")</f>
        <v/>
      </c>
      <c r="AA28" s="71"/>
      <c r="AB28" s="520" t="str">
        <f>IF(AA28="","",IF(VLOOKUP(AA28,'G-3 Multipliers'!$L$3:$N$6,2,FALSE)=0,"Spatial Data Missing ⚠",VLOOKUP(AA28,'G-3 Multipliers'!$L$3:$N$6,2,FALSE)))</f>
        <v/>
      </c>
      <c r="AC28" s="524" t="str">
        <f>IF(AA28="","",IF(VLOOKUP(AA28,'G-3 Multipliers'!$L$3:$N$6,3,FALSE)=0,"Spatial Data Missing ⚠",VLOOKUP(AA28,'G-3 Multipliers'!$L$3:$N$6,3,FALSE)))</f>
        <v/>
      </c>
      <c r="AD28" s="539" t="str">
        <f t="shared" si="1"/>
        <v/>
      </c>
      <c r="AE28" s="82"/>
      <c r="AF28" s="82"/>
      <c r="AG28" s="507" t="str">
        <f t="shared" si="6"/>
        <v/>
      </c>
      <c r="AH28" s="521" t="str">
        <f t="shared" si="7"/>
        <v/>
      </c>
      <c r="AI28" s="522" t="str">
        <f>IF(AH28="Check Data","Check Data",IFERROR(VLOOKUP(AH28,'G-4 Temporal multipliers'!$A$4:$C$36,3,FALSE),""))</f>
        <v/>
      </c>
      <c r="AJ28" s="498" t="str">
        <f>IF(S28="","",VLOOKUP(S28,'G-3 Multipliers'!$A$2:$E$129,4,FALSE))</f>
        <v/>
      </c>
      <c r="AK28" s="507" t="str">
        <f t="shared" si="8"/>
        <v/>
      </c>
      <c r="AL28" s="507" t="str">
        <f t="shared" si="9"/>
        <v/>
      </c>
      <c r="AM28" s="540" t="str">
        <f>IFERROR(IF(F28="","",IF(AH28="Check Data ⚠","Check Data ⚠",VLOOKUP(AL28, 'G-3 Multipliers'!$P$2:$Q$6,2,FALSE))),"")</f>
        <v/>
      </c>
      <c r="AN28" s="513" t="str">
        <f t="shared" si="10"/>
        <v/>
      </c>
      <c r="AO28" s="239"/>
      <c r="AP28" s="240"/>
    </row>
    <row r="29" spans="1:42" x14ac:dyDescent="0.25">
      <c r="A29" s="47" t="str">
        <f>IF(E29="","",IF(ISNA(VLOOKUP($E29,'A-1 Site Habitat Baseline'!$D$1:$O$258,2,FALSE)),"",(VLOOKUP($E29,'A-1 Site Habitat Baseline'!$D$1:$O$258,2,FALSE))))</f>
        <v/>
      </c>
      <c r="B29" s="47" t="str">
        <f>IF(E29="","",IF(ISNA(VLOOKUP($E29,'A-1 Site Habitat Baseline'!$D$1:$O$258,3,FALSE)),"",(VLOOKUP($E29,'A-1 Site Habitat Baseline'!$D$1:$O$258,3,FALSE))))</f>
        <v/>
      </c>
      <c r="C29" s="47" t="str">
        <f>IFERROR(INDEX('G-8 Condition Look up'!$I$4:$I$130,MATCH(S29,'G-8 Condition Look up'!$A$4:$A$130,0)),"")</f>
        <v/>
      </c>
      <c r="E29" s="531" t="str">
        <f>'A-1 Site Habitat Baseline'!AL28</f>
        <v/>
      </c>
      <c r="F29" s="520" t="str">
        <f>IF(E29="","",IF(ISNA(VLOOKUP($E29,'A-1 Site Habitat Baseline'!$D$1:$O$258,4,FALSE)),"",(VLOOKUP($E29,'A-1 Site Habitat Baseline'!$D$1:$O$258,4,FALSE))))</f>
        <v/>
      </c>
      <c r="G29" s="520" t="str">
        <f>IF(E29="","",IF(ISNA(VLOOKUP($E29,'A-1 Site Habitat Baseline'!$D$1:$O$258,5,FALSE)),"",(VLOOKUP($E29,'A-1 Site Habitat Baseline'!$D$1:$O$258,5,FALSE))))</f>
        <v/>
      </c>
      <c r="H29" s="520" t="str">
        <f>IF(E29="","",IF(ISNA(VLOOKUP($E29,'A-1 Site Habitat Baseline'!$D$1:$O$258,6,FALSE)),"",(VLOOKUP($E29,'A-1 Site Habitat Baseline'!$D$1:$O$258,6,FALSE))))</f>
        <v/>
      </c>
      <c r="I29" s="520" t="str">
        <f>IF(E29="","",IF(ISNA(VLOOKUP($E29,'A-1 Site Habitat Baseline'!$D$1:$O$258,7,FALSE)),"",(VLOOKUP($E29,'A-1 Site Habitat Baseline'!$D$1:$O$258,7,FALSE))))</f>
        <v/>
      </c>
      <c r="J29" s="520" t="str">
        <f>IF(E29="","",IF(ISNA(VLOOKUP($E29,'A-1 Site Habitat Baseline'!$D$1:$O$258,8,FALSE)),"",(VLOOKUP($E29,'A-1 Site Habitat Baseline'!$D$1:$O$258,8,FALSE))))</f>
        <v/>
      </c>
      <c r="K29" s="520" t="str">
        <f>IF(E29="","",IF(ISNA(VLOOKUP($E29,'A-1 Site Habitat Baseline'!$D$1:$O$258,9,FALSE)),"",(VLOOKUP($E29,'A-1 Site Habitat Baseline'!$D$1:$O$258,9,FALSE))))</f>
        <v/>
      </c>
      <c r="L29" s="520" t="str">
        <f>IF(E29="","",IF(ISNA(VLOOKUP($E29,'A-1 Site Habitat Baseline'!$D$1:$O$258,11,FALSE)),"",(VLOOKUP($E29,'A-1 Site Habitat Baseline'!$D$1:$O$258,11,FALSE))))</f>
        <v/>
      </c>
      <c r="M29" s="520" t="str">
        <f>IF(E29="","",IF(ISNA(VLOOKUP($E29,'A-1 Site Habitat Baseline'!$D$1:$O$258,12,FALSE)),"",(VLOOKUP($E29,'A-1 Site Habitat Baseline'!$D$1:$O$258,12,FALSE))))</f>
        <v/>
      </c>
      <c r="N29" s="532" t="str">
        <f>IF(E29="","",IF(ISNA(VLOOKUP($E29,'A-1 Site Habitat Baseline'!$D$1:$X$258,14,FALSE)),"",(VLOOKUP($E29,'A-1 Site Habitat Baseline'!$D$1:$X$258,14,FALSE))))</f>
        <v/>
      </c>
      <c r="O29" s="524" t="str">
        <f>IF(E29="","",IF(ISNA(VLOOKUP($E29,'A-1 Site Habitat Baseline'!$D$1:$X$258,16,FALSE)),"",(VLOOKUP($E29,'A-1 Site Habitat Baseline'!$D$1:$X$258,13,FALSE))))</f>
        <v/>
      </c>
      <c r="P29" s="237" t="str">
        <f>IFERROR(INDEX('G-1 All Habitats'!$AG$3:$AG$15,MATCH(Q29,'G-1 All Habitats'!$AF$3:$AF$15,0)),"")</f>
        <v/>
      </c>
      <c r="Q29" s="238" t="str">
        <f t="shared" si="2"/>
        <v/>
      </c>
      <c r="R29" s="238" t="str">
        <f t="shared" si="11"/>
        <v/>
      </c>
      <c r="S29" s="392" t="str">
        <f>IFERROR(INDEX('G-1 All Habitats'!$B$3:$B$129,MATCH(R29,'G-1 All Habitats'!$A$3:$A$129,0)),"")</f>
        <v/>
      </c>
      <c r="T29" s="498" t="str">
        <f t="shared" si="3"/>
        <v/>
      </c>
      <c r="U29" s="499" t="str">
        <f t="shared" si="4"/>
        <v/>
      </c>
      <c r="V29" s="537" t="str">
        <f t="shared" si="5"/>
        <v/>
      </c>
      <c r="W29" s="520" t="str">
        <f>IF(S29="","",VLOOKUP(S29,'G-1 All Habitats'!$B$2:$M$129,10,FALSE))</f>
        <v/>
      </c>
      <c r="X29" s="520" t="str">
        <f>IFERROR(VLOOKUP(W29,'G-1 All Habitats'!$V$3:$W$7,2,FALSE),"")</f>
        <v/>
      </c>
      <c r="Y29" s="79"/>
      <c r="Z29" s="524" t="str">
        <f>IFERROR(INDEX('G-8 Condition Look up'!$A$3:$H$130,MATCH(S29,'G-8 Condition Look up'!$A$3:$A$130,0),MATCH(Y29,'G-8 Condition Look up'!$A$3:$H$3,0)),"")</f>
        <v/>
      </c>
      <c r="AA29" s="71"/>
      <c r="AB29" s="520" t="str">
        <f>IF(AA29="","",IF(VLOOKUP(AA29,'G-3 Multipliers'!$L$3:$N$6,2,FALSE)=0,"Spatial Data Missing ⚠",VLOOKUP(AA29,'G-3 Multipliers'!$L$3:$N$6,2,FALSE)))</f>
        <v/>
      </c>
      <c r="AC29" s="524" t="str">
        <f>IF(AA29="","",IF(VLOOKUP(AA29,'G-3 Multipliers'!$L$3:$N$6,3,FALSE)=0,"Spatial Data Missing ⚠",VLOOKUP(AA29,'G-3 Multipliers'!$L$3:$N$6,3,FALSE)))</f>
        <v/>
      </c>
      <c r="AD29" s="539" t="str">
        <f t="shared" si="1"/>
        <v/>
      </c>
      <c r="AE29" s="82"/>
      <c r="AF29" s="82"/>
      <c r="AG29" s="507" t="str">
        <f t="shared" si="6"/>
        <v/>
      </c>
      <c r="AH29" s="521" t="str">
        <f t="shared" si="7"/>
        <v/>
      </c>
      <c r="AI29" s="522" t="str">
        <f>IF(AH29="Check Data","Check Data",IFERROR(VLOOKUP(AH29,'G-4 Temporal multipliers'!$A$4:$C$36,3,FALSE),""))</f>
        <v/>
      </c>
      <c r="AJ29" s="498" t="str">
        <f>IF(S29="","",VLOOKUP(S29,'G-3 Multipliers'!$A$2:$E$129,4,FALSE))</f>
        <v/>
      </c>
      <c r="AK29" s="507" t="str">
        <f t="shared" si="8"/>
        <v/>
      </c>
      <c r="AL29" s="507" t="str">
        <f t="shared" si="9"/>
        <v/>
      </c>
      <c r="AM29" s="540" t="str">
        <f>IFERROR(IF(F29="","",IF(AH29="Check Data ⚠","Check Data ⚠",VLOOKUP(AL29, 'G-3 Multipliers'!$P$2:$Q$6,2,FALSE))),"")</f>
        <v/>
      </c>
      <c r="AN29" s="513" t="str">
        <f t="shared" si="10"/>
        <v/>
      </c>
      <c r="AO29" s="239"/>
      <c r="AP29" s="240"/>
    </row>
    <row r="30" spans="1:42" x14ac:dyDescent="0.25">
      <c r="A30" s="47" t="str">
        <f>IF(E30="","",IF(ISNA(VLOOKUP($E30,'A-1 Site Habitat Baseline'!$D$1:$O$258,2,FALSE)),"",(VLOOKUP($E30,'A-1 Site Habitat Baseline'!$D$1:$O$258,2,FALSE))))</f>
        <v/>
      </c>
      <c r="B30" s="47" t="str">
        <f>IF(E30="","",IF(ISNA(VLOOKUP($E30,'A-1 Site Habitat Baseline'!$D$1:$O$258,3,FALSE)),"",(VLOOKUP($E30,'A-1 Site Habitat Baseline'!$D$1:$O$258,3,FALSE))))</f>
        <v/>
      </c>
      <c r="C30" s="47" t="str">
        <f>IFERROR(INDEX('G-8 Condition Look up'!$I$4:$I$130,MATCH(S30,'G-8 Condition Look up'!$A$4:$A$130,0)),"")</f>
        <v/>
      </c>
      <c r="E30" s="531" t="str">
        <f>'A-1 Site Habitat Baseline'!AL29</f>
        <v/>
      </c>
      <c r="F30" s="520" t="str">
        <f>IF(E30="","",IF(ISNA(VLOOKUP($E30,'A-1 Site Habitat Baseline'!$D$1:$O$258,4,FALSE)),"",(VLOOKUP($E30,'A-1 Site Habitat Baseline'!$D$1:$O$258,4,FALSE))))</f>
        <v/>
      </c>
      <c r="G30" s="520" t="str">
        <f>IF(E30="","",IF(ISNA(VLOOKUP($E30,'A-1 Site Habitat Baseline'!$D$1:$O$258,5,FALSE)),"",(VLOOKUP($E30,'A-1 Site Habitat Baseline'!$D$1:$O$258,5,FALSE))))</f>
        <v/>
      </c>
      <c r="H30" s="520" t="str">
        <f>IF(E30="","",IF(ISNA(VLOOKUP($E30,'A-1 Site Habitat Baseline'!$D$1:$O$258,6,FALSE)),"",(VLOOKUP($E30,'A-1 Site Habitat Baseline'!$D$1:$O$258,6,FALSE))))</f>
        <v/>
      </c>
      <c r="I30" s="520" t="str">
        <f>IF(E30="","",IF(ISNA(VLOOKUP($E30,'A-1 Site Habitat Baseline'!$D$1:$O$258,7,FALSE)),"",(VLOOKUP($E30,'A-1 Site Habitat Baseline'!$D$1:$O$258,7,FALSE))))</f>
        <v/>
      </c>
      <c r="J30" s="520" t="str">
        <f>IF(E30="","",IF(ISNA(VLOOKUP($E30,'A-1 Site Habitat Baseline'!$D$1:$O$258,8,FALSE)),"",(VLOOKUP($E30,'A-1 Site Habitat Baseline'!$D$1:$O$258,8,FALSE))))</f>
        <v/>
      </c>
      <c r="K30" s="520" t="str">
        <f>IF(E30="","",IF(ISNA(VLOOKUP($E30,'A-1 Site Habitat Baseline'!$D$1:$O$258,9,FALSE)),"",(VLOOKUP($E30,'A-1 Site Habitat Baseline'!$D$1:$O$258,9,FALSE))))</f>
        <v/>
      </c>
      <c r="L30" s="520" t="str">
        <f>IF(E30="","",IF(ISNA(VLOOKUP($E30,'A-1 Site Habitat Baseline'!$D$1:$O$258,11,FALSE)),"",(VLOOKUP($E30,'A-1 Site Habitat Baseline'!$D$1:$O$258,11,FALSE))))</f>
        <v/>
      </c>
      <c r="M30" s="520" t="str">
        <f>IF(E30="","",IF(ISNA(VLOOKUP($E30,'A-1 Site Habitat Baseline'!$D$1:$O$258,12,FALSE)),"",(VLOOKUP($E30,'A-1 Site Habitat Baseline'!$D$1:$O$258,12,FALSE))))</f>
        <v/>
      </c>
      <c r="N30" s="532" t="str">
        <f>IF(E30="","",IF(ISNA(VLOOKUP($E30,'A-1 Site Habitat Baseline'!$D$1:$X$258,14,FALSE)),"",(VLOOKUP($E30,'A-1 Site Habitat Baseline'!$D$1:$X$258,14,FALSE))))</f>
        <v/>
      </c>
      <c r="O30" s="524" t="str">
        <f>IF(E30="","",IF(ISNA(VLOOKUP($E30,'A-1 Site Habitat Baseline'!$D$1:$X$258,16,FALSE)),"",(VLOOKUP($E30,'A-1 Site Habitat Baseline'!$D$1:$X$258,13,FALSE))))</f>
        <v/>
      </c>
      <c r="P30" s="237" t="str">
        <f>IFERROR(INDEX('G-1 All Habitats'!$AG$3:$AG$15,MATCH(Q30,'G-1 All Habitats'!$AF$3:$AF$15,0)),"")</f>
        <v/>
      </c>
      <c r="Q30" s="238" t="str">
        <f t="shared" si="2"/>
        <v/>
      </c>
      <c r="R30" s="238" t="str">
        <f t="shared" si="11"/>
        <v/>
      </c>
      <c r="S30" s="392" t="str">
        <f>IFERROR(INDEX('G-1 All Habitats'!$B$3:$B$129,MATCH(R30,'G-1 All Habitats'!$A$3:$A$129,0)),"")</f>
        <v/>
      </c>
      <c r="T30" s="498" t="str">
        <f t="shared" si="3"/>
        <v/>
      </c>
      <c r="U30" s="499" t="str">
        <f t="shared" si="4"/>
        <v/>
      </c>
      <c r="V30" s="537" t="str">
        <f t="shared" si="5"/>
        <v/>
      </c>
      <c r="W30" s="520" t="str">
        <f>IF(S30="","",VLOOKUP(S30,'G-1 All Habitats'!$B$2:$M$129,10,FALSE))</f>
        <v/>
      </c>
      <c r="X30" s="520" t="str">
        <f>IFERROR(VLOOKUP(W30,'G-1 All Habitats'!$V$3:$W$7,2,FALSE),"")</f>
        <v/>
      </c>
      <c r="Y30" s="79"/>
      <c r="Z30" s="524" t="str">
        <f>IFERROR(INDEX('G-8 Condition Look up'!$A$3:$H$130,MATCH(S30,'G-8 Condition Look up'!$A$3:$A$130,0),MATCH(Y30,'G-8 Condition Look up'!$A$3:$H$3,0)),"")</f>
        <v/>
      </c>
      <c r="AA30" s="71"/>
      <c r="AB30" s="520" t="str">
        <f>IF(AA30="","",IF(VLOOKUP(AA30,'G-3 Multipliers'!$L$3:$N$6,2,FALSE)=0,"Spatial Data Missing ⚠",VLOOKUP(AA30,'G-3 Multipliers'!$L$3:$N$6,2,FALSE)))</f>
        <v/>
      </c>
      <c r="AC30" s="524" t="str">
        <f>IF(AA30="","",IF(VLOOKUP(AA30,'G-3 Multipliers'!$L$3:$N$6,3,FALSE)=0,"Spatial Data Missing ⚠",VLOOKUP(AA30,'G-3 Multipliers'!$L$3:$N$6,3,FALSE)))</f>
        <v/>
      </c>
      <c r="AD30" s="539" t="str">
        <f t="shared" si="1"/>
        <v/>
      </c>
      <c r="AE30" s="82"/>
      <c r="AF30" s="82"/>
      <c r="AG30" s="507" t="str">
        <f t="shared" si="6"/>
        <v/>
      </c>
      <c r="AH30" s="521" t="str">
        <f t="shared" si="7"/>
        <v/>
      </c>
      <c r="AI30" s="522" t="str">
        <f>IF(AH30="Check Data","Check Data",IFERROR(VLOOKUP(AH30,'G-4 Temporal multipliers'!$A$4:$C$36,3,FALSE),""))</f>
        <v/>
      </c>
      <c r="AJ30" s="498" t="str">
        <f>IF(S30="","",VLOOKUP(S30,'G-3 Multipliers'!$A$2:$E$129,4,FALSE))</f>
        <v/>
      </c>
      <c r="AK30" s="507" t="str">
        <f t="shared" si="8"/>
        <v/>
      </c>
      <c r="AL30" s="507" t="str">
        <f t="shared" si="9"/>
        <v/>
      </c>
      <c r="AM30" s="540" t="str">
        <f>IFERROR(IF(F30="","",IF(AH30="Check Data ⚠","Check Data ⚠",VLOOKUP(AL30, 'G-3 Multipliers'!$P$2:$Q$6,2,FALSE))),"")</f>
        <v/>
      </c>
      <c r="AN30" s="513" t="str">
        <f t="shared" si="10"/>
        <v/>
      </c>
      <c r="AO30" s="239"/>
      <c r="AP30" s="240"/>
    </row>
    <row r="31" spans="1:42" x14ac:dyDescent="0.25">
      <c r="A31" s="47" t="str">
        <f>IF(E31="","",IF(ISNA(VLOOKUP($E31,'A-1 Site Habitat Baseline'!$D$1:$O$258,2,FALSE)),"",(VLOOKUP($E31,'A-1 Site Habitat Baseline'!$D$1:$O$258,2,FALSE))))</f>
        <v/>
      </c>
      <c r="B31" s="47" t="str">
        <f>IF(E31="","",IF(ISNA(VLOOKUP($E31,'A-1 Site Habitat Baseline'!$D$1:$O$258,3,FALSE)),"",(VLOOKUP($E31,'A-1 Site Habitat Baseline'!$D$1:$O$258,3,FALSE))))</f>
        <v/>
      </c>
      <c r="C31" s="47" t="str">
        <f>IFERROR(INDEX('G-8 Condition Look up'!$I$4:$I$130,MATCH(S31,'G-8 Condition Look up'!$A$4:$A$130,0)),"")</f>
        <v/>
      </c>
      <c r="E31" s="531" t="str">
        <f>'A-1 Site Habitat Baseline'!AL30</f>
        <v/>
      </c>
      <c r="F31" s="520" t="str">
        <f>IF(E31="","",IF(ISNA(VLOOKUP($E31,'A-1 Site Habitat Baseline'!$D$1:$O$258,4,FALSE)),"",(VLOOKUP($E31,'A-1 Site Habitat Baseline'!$D$1:$O$258,4,FALSE))))</f>
        <v/>
      </c>
      <c r="G31" s="520" t="str">
        <f>IF(E31="","",IF(ISNA(VLOOKUP($E31,'A-1 Site Habitat Baseline'!$D$1:$O$258,5,FALSE)),"",(VLOOKUP($E31,'A-1 Site Habitat Baseline'!$D$1:$O$258,5,FALSE))))</f>
        <v/>
      </c>
      <c r="H31" s="520" t="str">
        <f>IF(E31="","",IF(ISNA(VLOOKUP($E31,'A-1 Site Habitat Baseline'!$D$1:$O$258,6,FALSE)),"",(VLOOKUP($E31,'A-1 Site Habitat Baseline'!$D$1:$O$258,6,FALSE))))</f>
        <v/>
      </c>
      <c r="I31" s="520" t="str">
        <f>IF(E31="","",IF(ISNA(VLOOKUP($E31,'A-1 Site Habitat Baseline'!$D$1:$O$258,7,FALSE)),"",(VLOOKUP($E31,'A-1 Site Habitat Baseline'!$D$1:$O$258,7,FALSE))))</f>
        <v/>
      </c>
      <c r="J31" s="520" t="str">
        <f>IF(E31="","",IF(ISNA(VLOOKUP($E31,'A-1 Site Habitat Baseline'!$D$1:$O$258,8,FALSE)),"",(VLOOKUP($E31,'A-1 Site Habitat Baseline'!$D$1:$O$258,8,FALSE))))</f>
        <v/>
      </c>
      <c r="K31" s="520" t="str">
        <f>IF(E31="","",IF(ISNA(VLOOKUP($E31,'A-1 Site Habitat Baseline'!$D$1:$O$258,9,FALSE)),"",(VLOOKUP($E31,'A-1 Site Habitat Baseline'!$D$1:$O$258,9,FALSE))))</f>
        <v/>
      </c>
      <c r="L31" s="520" t="str">
        <f>IF(E31="","",IF(ISNA(VLOOKUP($E31,'A-1 Site Habitat Baseline'!$D$1:$O$258,11,FALSE)),"",(VLOOKUP($E31,'A-1 Site Habitat Baseline'!$D$1:$O$258,11,FALSE))))</f>
        <v/>
      </c>
      <c r="M31" s="520" t="str">
        <f>IF(E31="","",IF(ISNA(VLOOKUP($E31,'A-1 Site Habitat Baseline'!$D$1:$O$258,12,FALSE)),"",(VLOOKUP($E31,'A-1 Site Habitat Baseline'!$D$1:$O$258,12,FALSE))))</f>
        <v/>
      </c>
      <c r="N31" s="532" t="str">
        <f>IF(E31="","",IF(ISNA(VLOOKUP($E31,'A-1 Site Habitat Baseline'!$D$1:$X$258,14,FALSE)),"",(VLOOKUP($E31,'A-1 Site Habitat Baseline'!$D$1:$X$258,14,FALSE))))</f>
        <v/>
      </c>
      <c r="O31" s="524" t="str">
        <f>IF(E31="","",IF(ISNA(VLOOKUP($E31,'A-1 Site Habitat Baseline'!$D$1:$X$258,16,FALSE)),"",(VLOOKUP($E31,'A-1 Site Habitat Baseline'!$D$1:$X$258,13,FALSE))))</f>
        <v/>
      </c>
      <c r="P31" s="237" t="str">
        <f>IFERROR(INDEX('G-1 All Habitats'!$AG$3:$AG$15,MATCH(Q31,'G-1 All Habitats'!$AF$3:$AF$15,0)),"")</f>
        <v/>
      </c>
      <c r="Q31" s="238" t="str">
        <f t="shared" si="2"/>
        <v/>
      </c>
      <c r="R31" s="238" t="str">
        <f t="shared" si="11"/>
        <v/>
      </c>
      <c r="S31" s="392" t="str">
        <f>IFERROR(INDEX('G-1 All Habitats'!$B$3:$B$129,MATCH(R31,'G-1 All Habitats'!$A$3:$A$129,0)),"")</f>
        <v/>
      </c>
      <c r="T31" s="498" t="str">
        <f t="shared" si="3"/>
        <v/>
      </c>
      <c r="U31" s="499" t="str">
        <f t="shared" si="4"/>
        <v/>
      </c>
      <c r="V31" s="537" t="str">
        <f t="shared" si="5"/>
        <v/>
      </c>
      <c r="W31" s="520" t="str">
        <f>IF(S31="","",VLOOKUP(S31,'G-1 All Habitats'!$B$2:$M$129,10,FALSE))</f>
        <v/>
      </c>
      <c r="X31" s="520" t="str">
        <f>IFERROR(VLOOKUP(W31,'G-1 All Habitats'!$V$3:$W$7,2,FALSE),"")</f>
        <v/>
      </c>
      <c r="Y31" s="79"/>
      <c r="Z31" s="524" t="str">
        <f>IFERROR(INDEX('G-8 Condition Look up'!$A$3:$H$130,MATCH(S31,'G-8 Condition Look up'!$A$3:$A$130,0),MATCH(Y31,'G-8 Condition Look up'!$A$3:$H$3,0)),"")</f>
        <v/>
      </c>
      <c r="AA31" s="71"/>
      <c r="AB31" s="520" t="str">
        <f>IF(AA31="","",IF(VLOOKUP(AA31,'G-3 Multipliers'!$L$3:$N$6,2,FALSE)=0,"Spatial Data Missing ⚠",VLOOKUP(AA31,'G-3 Multipliers'!$L$3:$N$6,2,FALSE)))</f>
        <v/>
      </c>
      <c r="AC31" s="524" t="str">
        <f>IF(AA31="","",IF(VLOOKUP(AA31,'G-3 Multipliers'!$L$3:$N$6,3,FALSE)=0,"Spatial Data Missing ⚠",VLOOKUP(AA31,'G-3 Multipliers'!$L$3:$N$6,3,FALSE)))</f>
        <v/>
      </c>
      <c r="AD31" s="539" t="str">
        <f t="shared" si="1"/>
        <v/>
      </c>
      <c r="AE31" s="82"/>
      <c r="AF31" s="82"/>
      <c r="AG31" s="507" t="str">
        <f t="shared" si="6"/>
        <v/>
      </c>
      <c r="AH31" s="521" t="str">
        <f t="shared" si="7"/>
        <v/>
      </c>
      <c r="AI31" s="522" t="str">
        <f>IF(AH31="Check Data","Check Data",IFERROR(VLOOKUP(AH31,'G-4 Temporal multipliers'!$A$4:$C$36,3,FALSE),""))</f>
        <v/>
      </c>
      <c r="AJ31" s="498" t="str">
        <f>IF(S31="","",VLOOKUP(S31,'G-3 Multipliers'!$A$2:$E$129,4,FALSE))</f>
        <v/>
      </c>
      <c r="AK31" s="507" t="str">
        <f t="shared" si="8"/>
        <v/>
      </c>
      <c r="AL31" s="507" t="str">
        <f t="shared" si="9"/>
        <v/>
      </c>
      <c r="AM31" s="540" t="str">
        <f>IFERROR(IF(F31="","",IF(AH31="Check Data ⚠","Check Data ⚠",VLOOKUP(AL31, 'G-3 Multipliers'!$P$2:$Q$6,2,FALSE))),"")</f>
        <v/>
      </c>
      <c r="AN31" s="513" t="str">
        <f t="shared" si="10"/>
        <v/>
      </c>
      <c r="AO31" s="239"/>
      <c r="AP31" s="240"/>
    </row>
    <row r="32" spans="1:42" x14ac:dyDescent="0.25">
      <c r="A32" s="47" t="str">
        <f>IF(E32="","",IF(ISNA(VLOOKUP($E32,'A-1 Site Habitat Baseline'!$D$1:$O$258,2,FALSE)),"",(VLOOKUP($E32,'A-1 Site Habitat Baseline'!$D$1:$O$258,2,FALSE))))</f>
        <v/>
      </c>
      <c r="B32" s="47" t="str">
        <f>IF(E32="","",IF(ISNA(VLOOKUP($E32,'A-1 Site Habitat Baseline'!$D$1:$O$258,3,FALSE)),"",(VLOOKUP($E32,'A-1 Site Habitat Baseline'!$D$1:$O$258,3,FALSE))))</f>
        <v/>
      </c>
      <c r="C32" s="47" t="str">
        <f>IFERROR(INDEX('G-8 Condition Look up'!$I$4:$I$130,MATCH(S32,'G-8 Condition Look up'!$A$4:$A$130,0)),"")</f>
        <v/>
      </c>
      <c r="E32" s="531" t="str">
        <f>'A-1 Site Habitat Baseline'!AL31</f>
        <v/>
      </c>
      <c r="F32" s="520" t="str">
        <f>IF(E32="","",IF(ISNA(VLOOKUP($E32,'A-1 Site Habitat Baseline'!$D$1:$O$258,4,FALSE)),"",(VLOOKUP($E32,'A-1 Site Habitat Baseline'!$D$1:$O$258,4,FALSE))))</f>
        <v/>
      </c>
      <c r="G32" s="520" t="str">
        <f>IF(E32="","",IF(ISNA(VLOOKUP($E32,'A-1 Site Habitat Baseline'!$D$1:$O$258,5,FALSE)),"",(VLOOKUP($E32,'A-1 Site Habitat Baseline'!$D$1:$O$258,5,FALSE))))</f>
        <v/>
      </c>
      <c r="H32" s="520" t="str">
        <f>IF(E32="","",IF(ISNA(VLOOKUP($E32,'A-1 Site Habitat Baseline'!$D$1:$O$258,6,FALSE)),"",(VLOOKUP($E32,'A-1 Site Habitat Baseline'!$D$1:$O$258,6,FALSE))))</f>
        <v/>
      </c>
      <c r="I32" s="520" t="str">
        <f>IF(E32="","",IF(ISNA(VLOOKUP($E32,'A-1 Site Habitat Baseline'!$D$1:$O$258,7,FALSE)),"",(VLOOKUP($E32,'A-1 Site Habitat Baseline'!$D$1:$O$258,7,FALSE))))</f>
        <v/>
      </c>
      <c r="J32" s="520" t="str">
        <f>IF(E32="","",IF(ISNA(VLOOKUP($E32,'A-1 Site Habitat Baseline'!$D$1:$O$258,8,FALSE)),"",(VLOOKUP($E32,'A-1 Site Habitat Baseline'!$D$1:$O$258,8,FALSE))))</f>
        <v/>
      </c>
      <c r="K32" s="520" t="str">
        <f>IF(E32="","",IF(ISNA(VLOOKUP($E32,'A-1 Site Habitat Baseline'!$D$1:$O$258,9,FALSE)),"",(VLOOKUP($E32,'A-1 Site Habitat Baseline'!$D$1:$O$258,9,FALSE))))</f>
        <v/>
      </c>
      <c r="L32" s="520" t="str">
        <f>IF(E32="","",IF(ISNA(VLOOKUP($E32,'A-1 Site Habitat Baseline'!$D$1:$O$258,11,FALSE)),"",(VLOOKUP($E32,'A-1 Site Habitat Baseline'!$D$1:$O$258,11,FALSE))))</f>
        <v/>
      </c>
      <c r="M32" s="520" t="str">
        <f>IF(E32="","",IF(ISNA(VLOOKUP($E32,'A-1 Site Habitat Baseline'!$D$1:$O$258,12,FALSE)),"",(VLOOKUP($E32,'A-1 Site Habitat Baseline'!$D$1:$O$258,12,FALSE))))</f>
        <v/>
      </c>
      <c r="N32" s="532" t="str">
        <f>IF(E32="","",IF(ISNA(VLOOKUP($E32,'A-1 Site Habitat Baseline'!$D$1:$X$258,14,FALSE)),"",(VLOOKUP($E32,'A-1 Site Habitat Baseline'!$D$1:$X$258,14,FALSE))))</f>
        <v/>
      </c>
      <c r="O32" s="524" t="str">
        <f>IF(E32="","",IF(ISNA(VLOOKUP($E32,'A-1 Site Habitat Baseline'!$D$1:$X$258,16,FALSE)),"",(VLOOKUP($E32,'A-1 Site Habitat Baseline'!$D$1:$X$258,13,FALSE))))</f>
        <v/>
      </c>
      <c r="P32" s="237" t="str">
        <f>IFERROR(INDEX('G-1 All Habitats'!$AG$3:$AG$15,MATCH(Q32,'G-1 All Habitats'!$AF$3:$AF$15,0)),"")</f>
        <v/>
      </c>
      <c r="Q32" s="238" t="str">
        <f t="shared" si="2"/>
        <v/>
      </c>
      <c r="R32" s="238" t="str">
        <f t="shared" si="11"/>
        <v/>
      </c>
      <c r="S32" s="392" t="str">
        <f>IFERROR(INDEX('G-1 All Habitats'!$B$3:$B$129,MATCH(R32,'G-1 All Habitats'!$A$3:$A$129,0)),"")</f>
        <v/>
      </c>
      <c r="T32" s="498" t="str">
        <f t="shared" si="3"/>
        <v/>
      </c>
      <c r="U32" s="499" t="str">
        <f t="shared" si="4"/>
        <v/>
      </c>
      <c r="V32" s="537" t="str">
        <f t="shared" si="5"/>
        <v/>
      </c>
      <c r="W32" s="520" t="str">
        <f>IF(S32="","",VLOOKUP(S32,'G-1 All Habitats'!$B$2:$M$129,10,FALSE))</f>
        <v/>
      </c>
      <c r="X32" s="520" t="str">
        <f>IFERROR(VLOOKUP(W32,'G-1 All Habitats'!$V$3:$W$7,2,FALSE),"")</f>
        <v/>
      </c>
      <c r="Y32" s="79"/>
      <c r="Z32" s="524" t="str">
        <f>IFERROR(INDEX('G-8 Condition Look up'!$A$3:$H$130,MATCH(S32,'G-8 Condition Look up'!$A$3:$A$130,0),MATCH(Y32,'G-8 Condition Look up'!$A$3:$H$3,0)),"")</f>
        <v/>
      </c>
      <c r="AA32" s="71"/>
      <c r="AB32" s="520" t="str">
        <f>IF(AA32="","",IF(VLOOKUP(AA32,'G-3 Multipliers'!$L$3:$N$6,2,FALSE)=0,"Spatial Data Missing ⚠",VLOOKUP(AA32,'G-3 Multipliers'!$L$3:$N$6,2,FALSE)))</f>
        <v/>
      </c>
      <c r="AC32" s="524" t="str">
        <f>IF(AA32="","",IF(VLOOKUP(AA32,'G-3 Multipliers'!$L$3:$N$6,3,FALSE)=0,"Spatial Data Missing ⚠",VLOOKUP(AA32,'G-3 Multipliers'!$L$3:$N$6,3,FALSE)))</f>
        <v/>
      </c>
      <c r="AD32" s="539" t="str">
        <f t="shared" si="1"/>
        <v/>
      </c>
      <c r="AE32" s="82"/>
      <c r="AF32" s="82"/>
      <c r="AG32" s="507" t="str">
        <f t="shared" si="6"/>
        <v/>
      </c>
      <c r="AH32" s="521" t="str">
        <f t="shared" si="7"/>
        <v/>
      </c>
      <c r="AI32" s="522" t="str">
        <f>IF(AH32="Check Data","Check Data",IFERROR(VLOOKUP(AH32,'G-4 Temporal multipliers'!$A$4:$C$36,3,FALSE),""))</f>
        <v/>
      </c>
      <c r="AJ32" s="498" t="str">
        <f>IF(S32="","",VLOOKUP(S32,'G-3 Multipliers'!$A$2:$E$129,4,FALSE))</f>
        <v/>
      </c>
      <c r="AK32" s="507" t="str">
        <f t="shared" si="8"/>
        <v/>
      </c>
      <c r="AL32" s="507" t="str">
        <f t="shared" si="9"/>
        <v/>
      </c>
      <c r="AM32" s="540" t="str">
        <f>IFERROR(IF(F32="","",IF(AH32="Check Data ⚠","Check Data ⚠",VLOOKUP(AL32, 'G-3 Multipliers'!$P$2:$Q$6,2,FALSE))),"")</f>
        <v/>
      </c>
      <c r="AN32" s="513" t="str">
        <f t="shared" si="10"/>
        <v/>
      </c>
      <c r="AO32" s="239"/>
      <c r="AP32" s="240"/>
    </row>
    <row r="33" spans="1:42" x14ac:dyDescent="0.25">
      <c r="A33" s="47" t="str">
        <f>IF(E33="","",IF(ISNA(VLOOKUP($E33,'A-1 Site Habitat Baseline'!$D$1:$O$258,2,FALSE)),"",(VLOOKUP($E33,'A-1 Site Habitat Baseline'!$D$1:$O$258,2,FALSE))))</f>
        <v/>
      </c>
      <c r="B33" s="47" t="str">
        <f>IF(E33="","",IF(ISNA(VLOOKUP($E33,'A-1 Site Habitat Baseline'!$D$1:$O$258,3,FALSE)),"",(VLOOKUP($E33,'A-1 Site Habitat Baseline'!$D$1:$O$258,3,FALSE))))</f>
        <v/>
      </c>
      <c r="C33" s="47" t="str">
        <f>IFERROR(INDEX('G-8 Condition Look up'!$I$4:$I$130,MATCH(S33,'G-8 Condition Look up'!$A$4:$A$130,0)),"")</f>
        <v/>
      </c>
      <c r="E33" s="531" t="str">
        <f>'A-1 Site Habitat Baseline'!AL32</f>
        <v/>
      </c>
      <c r="F33" s="520" t="str">
        <f>IF(E33="","",IF(ISNA(VLOOKUP($E33,'A-1 Site Habitat Baseline'!$D$1:$O$258,4,FALSE)),"",(VLOOKUP($E33,'A-1 Site Habitat Baseline'!$D$1:$O$258,4,FALSE))))</f>
        <v/>
      </c>
      <c r="G33" s="520" t="str">
        <f>IF(E33="","",IF(ISNA(VLOOKUP($E33,'A-1 Site Habitat Baseline'!$D$1:$O$258,5,FALSE)),"",(VLOOKUP($E33,'A-1 Site Habitat Baseline'!$D$1:$O$258,5,FALSE))))</f>
        <v/>
      </c>
      <c r="H33" s="520" t="str">
        <f>IF(E33="","",IF(ISNA(VLOOKUP($E33,'A-1 Site Habitat Baseline'!$D$1:$O$258,6,FALSE)),"",(VLOOKUP($E33,'A-1 Site Habitat Baseline'!$D$1:$O$258,6,FALSE))))</f>
        <v/>
      </c>
      <c r="I33" s="520" t="str">
        <f>IF(E33="","",IF(ISNA(VLOOKUP($E33,'A-1 Site Habitat Baseline'!$D$1:$O$258,7,FALSE)),"",(VLOOKUP($E33,'A-1 Site Habitat Baseline'!$D$1:$O$258,7,FALSE))))</f>
        <v/>
      </c>
      <c r="J33" s="520" t="str">
        <f>IF(E33="","",IF(ISNA(VLOOKUP($E33,'A-1 Site Habitat Baseline'!$D$1:$O$258,8,FALSE)),"",(VLOOKUP($E33,'A-1 Site Habitat Baseline'!$D$1:$O$258,8,FALSE))))</f>
        <v/>
      </c>
      <c r="K33" s="520" t="str">
        <f>IF(E33="","",IF(ISNA(VLOOKUP($E33,'A-1 Site Habitat Baseline'!$D$1:$O$258,9,FALSE)),"",(VLOOKUP($E33,'A-1 Site Habitat Baseline'!$D$1:$O$258,9,FALSE))))</f>
        <v/>
      </c>
      <c r="L33" s="520" t="str">
        <f>IF(E33="","",IF(ISNA(VLOOKUP($E33,'A-1 Site Habitat Baseline'!$D$1:$O$258,11,FALSE)),"",(VLOOKUP($E33,'A-1 Site Habitat Baseline'!$D$1:$O$258,11,FALSE))))</f>
        <v/>
      </c>
      <c r="M33" s="520" t="str">
        <f>IF(E33="","",IF(ISNA(VLOOKUP($E33,'A-1 Site Habitat Baseline'!$D$1:$O$258,12,FALSE)),"",(VLOOKUP($E33,'A-1 Site Habitat Baseline'!$D$1:$O$258,12,FALSE))))</f>
        <v/>
      </c>
      <c r="N33" s="532" t="str">
        <f>IF(E33="","",IF(ISNA(VLOOKUP($E33,'A-1 Site Habitat Baseline'!$D$1:$X$258,14,FALSE)),"",(VLOOKUP($E33,'A-1 Site Habitat Baseline'!$D$1:$X$258,14,FALSE))))</f>
        <v/>
      </c>
      <c r="O33" s="524" t="str">
        <f>IF(E33="","",IF(ISNA(VLOOKUP($E33,'A-1 Site Habitat Baseline'!$D$1:$X$258,16,FALSE)),"",(VLOOKUP($E33,'A-1 Site Habitat Baseline'!$D$1:$X$258,13,FALSE))))</f>
        <v/>
      </c>
      <c r="P33" s="237" t="str">
        <f>IFERROR(INDEX('G-1 All Habitats'!$AG$3:$AG$15,MATCH(Q33,'G-1 All Habitats'!$AF$3:$AF$15,0)),"")</f>
        <v/>
      </c>
      <c r="Q33" s="238" t="str">
        <f t="shared" si="2"/>
        <v/>
      </c>
      <c r="R33" s="238" t="str">
        <f t="shared" si="11"/>
        <v/>
      </c>
      <c r="S33" s="392" t="str">
        <f>IFERROR(INDEX('G-1 All Habitats'!$B$3:$B$129,MATCH(R33,'G-1 All Habitats'!$A$3:$A$129,0)),"")</f>
        <v/>
      </c>
      <c r="T33" s="498" t="str">
        <f t="shared" si="3"/>
        <v/>
      </c>
      <c r="U33" s="499" t="str">
        <f t="shared" si="4"/>
        <v/>
      </c>
      <c r="V33" s="537" t="str">
        <f t="shared" si="5"/>
        <v/>
      </c>
      <c r="W33" s="520" t="str">
        <f>IF(S33="","",VLOOKUP(S33,'G-1 All Habitats'!$B$2:$M$129,10,FALSE))</f>
        <v/>
      </c>
      <c r="X33" s="520" t="str">
        <f>IFERROR(VLOOKUP(W33,'G-1 All Habitats'!$V$3:$W$7,2,FALSE),"")</f>
        <v/>
      </c>
      <c r="Y33" s="79"/>
      <c r="Z33" s="524" t="str">
        <f>IFERROR(INDEX('G-8 Condition Look up'!$A$3:$H$130,MATCH(S33,'G-8 Condition Look up'!$A$3:$A$130,0),MATCH(Y33,'G-8 Condition Look up'!$A$3:$H$3,0)),"")</f>
        <v/>
      </c>
      <c r="AA33" s="71"/>
      <c r="AB33" s="520" t="str">
        <f>IF(AA33="","",IF(VLOOKUP(AA33,'G-3 Multipliers'!$L$3:$N$6,2,FALSE)=0,"Spatial Data Missing ⚠",VLOOKUP(AA33,'G-3 Multipliers'!$L$3:$N$6,2,FALSE)))</f>
        <v/>
      </c>
      <c r="AC33" s="524" t="str">
        <f>IF(AA33="","",IF(VLOOKUP(AA33,'G-3 Multipliers'!$L$3:$N$6,3,FALSE)=0,"Spatial Data Missing ⚠",VLOOKUP(AA33,'G-3 Multipliers'!$L$3:$N$6,3,FALSE)))</f>
        <v/>
      </c>
      <c r="AD33" s="539" t="str">
        <f t="shared" si="1"/>
        <v/>
      </c>
      <c r="AE33" s="82"/>
      <c r="AF33" s="82"/>
      <c r="AG33" s="507" t="str">
        <f t="shared" si="6"/>
        <v/>
      </c>
      <c r="AH33" s="521" t="str">
        <f t="shared" si="7"/>
        <v/>
      </c>
      <c r="AI33" s="522" t="str">
        <f>IF(AH33="Check Data","Check Data",IFERROR(VLOOKUP(AH33,'G-4 Temporal multipliers'!$A$4:$C$36,3,FALSE),""))</f>
        <v/>
      </c>
      <c r="AJ33" s="498" t="str">
        <f>IF(S33="","",VLOOKUP(S33,'G-3 Multipliers'!$A$2:$E$129,4,FALSE))</f>
        <v/>
      </c>
      <c r="AK33" s="507" t="str">
        <f t="shared" si="8"/>
        <v/>
      </c>
      <c r="AL33" s="507" t="str">
        <f t="shared" si="9"/>
        <v/>
      </c>
      <c r="AM33" s="540" t="str">
        <f>IFERROR(IF(F33="","",IF(AH33="Check Data ⚠","Check Data ⚠",VLOOKUP(AL33, 'G-3 Multipliers'!$P$2:$Q$6,2,FALSE))),"")</f>
        <v/>
      </c>
      <c r="AN33" s="513" t="str">
        <f t="shared" si="10"/>
        <v/>
      </c>
      <c r="AO33" s="239"/>
      <c r="AP33" s="240"/>
    </row>
    <row r="34" spans="1:42" x14ac:dyDescent="0.25">
      <c r="A34" s="47" t="str">
        <f>IF(E34="","",IF(ISNA(VLOOKUP($E34,'A-1 Site Habitat Baseline'!$D$1:$O$258,2,FALSE)),"",(VLOOKUP($E34,'A-1 Site Habitat Baseline'!$D$1:$O$258,2,FALSE))))</f>
        <v/>
      </c>
      <c r="B34" s="47" t="str">
        <f>IF(E34="","",IF(ISNA(VLOOKUP($E34,'A-1 Site Habitat Baseline'!$D$1:$O$258,3,FALSE)),"",(VLOOKUP($E34,'A-1 Site Habitat Baseline'!$D$1:$O$258,3,FALSE))))</f>
        <v/>
      </c>
      <c r="C34" s="47" t="str">
        <f>IFERROR(INDEX('G-8 Condition Look up'!$I$4:$I$130,MATCH(S34,'G-8 Condition Look up'!$A$4:$A$130,0)),"")</f>
        <v/>
      </c>
      <c r="E34" s="531" t="str">
        <f>'A-1 Site Habitat Baseline'!AL33</f>
        <v/>
      </c>
      <c r="F34" s="520" t="str">
        <f>IF(E34="","",IF(ISNA(VLOOKUP($E34,'A-1 Site Habitat Baseline'!$D$1:$O$258,4,FALSE)),"",(VLOOKUP($E34,'A-1 Site Habitat Baseline'!$D$1:$O$258,4,FALSE))))</f>
        <v/>
      </c>
      <c r="G34" s="520" t="str">
        <f>IF(E34="","",IF(ISNA(VLOOKUP($E34,'A-1 Site Habitat Baseline'!$D$1:$O$258,5,FALSE)),"",(VLOOKUP($E34,'A-1 Site Habitat Baseline'!$D$1:$O$258,5,FALSE))))</f>
        <v/>
      </c>
      <c r="H34" s="520" t="str">
        <f>IF(E34="","",IF(ISNA(VLOOKUP($E34,'A-1 Site Habitat Baseline'!$D$1:$O$258,6,FALSE)),"",(VLOOKUP($E34,'A-1 Site Habitat Baseline'!$D$1:$O$258,6,FALSE))))</f>
        <v/>
      </c>
      <c r="I34" s="520" t="str">
        <f>IF(E34="","",IF(ISNA(VLOOKUP($E34,'A-1 Site Habitat Baseline'!$D$1:$O$258,7,FALSE)),"",(VLOOKUP($E34,'A-1 Site Habitat Baseline'!$D$1:$O$258,7,FALSE))))</f>
        <v/>
      </c>
      <c r="J34" s="520" t="str">
        <f>IF(E34="","",IF(ISNA(VLOOKUP($E34,'A-1 Site Habitat Baseline'!$D$1:$O$258,8,FALSE)),"",(VLOOKUP($E34,'A-1 Site Habitat Baseline'!$D$1:$O$258,8,FALSE))))</f>
        <v/>
      </c>
      <c r="K34" s="520" t="str">
        <f>IF(E34="","",IF(ISNA(VLOOKUP($E34,'A-1 Site Habitat Baseline'!$D$1:$O$258,9,FALSE)),"",(VLOOKUP($E34,'A-1 Site Habitat Baseline'!$D$1:$O$258,9,FALSE))))</f>
        <v/>
      </c>
      <c r="L34" s="520" t="str">
        <f>IF(E34="","",IF(ISNA(VLOOKUP($E34,'A-1 Site Habitat Baseline'!$D$1:$O$258,11,FALSE)),"",(VLOOKUP($E34,'A-1 Site Habitat Baseline'!$D$1:$O$258,11,FALSE))))</f>
        <v/>
      </c>
      <c r="M34" s="520" t="str">
        <f>IF(E34="","",IF(ISNA(VLOOKUP($E34,'A-1 Site Habitat Baseline'!$D$1:$O$258,12,FALSE)),"",(VLOOKUP($E34,'A-1 Site Habitat Baseline'!$D$1:$O$258,12,FALSE))))</f>
        <v/>
      </c>
      <c r="N34" s="532" t="str">
        <f>IF(E34="","",IF(ISNA(VLOOKUP($E34,'A-1 Site Habitat Baseline'!$D$1:$X$258,14,FALSE)),"",(VLOOKUP($E34,'A-1 Site Habitat Baseline'!$D$1:$X$258,14,FALSE))))</f>
        <v/>
      </c>
      <c r="O34" s="524" t="str">
        <f>IF(E34="","",IF(ISNA(VLOOKUP($E34,'A-1 Site Habitat Baseline'!$D$1:$X$258,16,FALSE)),"",(VLOOKUP($E34,'A-1 Site Habitat Baseline'!$D$1:$X$258,13,FALSE))))</f>
        <v/>
      </c>
      <c r="P34" s="237" t="str">
        <f>IFERROR(INDEX('G-1 All Habitats'!$AG$3:$AG$15,MATCH(Q34,'G-1 All Habitats'!$AF$3:$AF$15,0)),"")</f>
        <v/>
      </c>
      <c r="Q34" s="238" t="str">
        <f t="shared" si="2"/>
        <v/>
      </c>
      <c r="R34" s="238" t="str">
        <f t="shared" si="11"/>
        <v/>
      </c>
      <c r="S34" s="392" t="str">
        <f>IFERROR(INDEX('G-1 All Habitats'!$B$3:$B$129,MATCH(R34,'G-1 All Habitats'!$A$3:$A$129,0)),"")</f>
        <v/>
      </c>
      <c r="T34" s="498" t="str">
        <f t="shared" si="3"/>
        <v/>
      </c>
      <c r="U34" s="499" t="str">
        <f t="shared" si="4"/>
        <v/>
      </c>
      <c r="V34" s="537" t="str">
        <f t="shared" si="5"/>
        <v/>
      </c>
      <c r="W34" s="520" t="str">
        <f>IF(S34="","",VLOOKUP(S34,'G-1 All Habitats'!$B$2:$M$129,10,FALSE))</f>
        <v/>
      </c>
      <c r="X34" s="520" t="str">
        <f>IFERROR(VLOOKUP(W34,'G-1 All Habitats'!$V$3:$W$7,2,FALSE),"")</f>
        <v/>
      </c>
      <c r="Y34" s="79"/>
      <c r="Z34" s="524" t="str">
        <f>IFERROR(INDEX('G-8 Condition Look up'!$A$3:$H$130,MATCH(S34,'G-8 Condition Look up'!$A$3:$A$130,0),MATCH(Y34,'G-8 Condition Look up'!$A$3:$H$3,0)),"")</f>
        <v/>
      </c>
      <c r="AA34" s="71"/>
      <c r="AB34" s="520" t="str">
        <f>IF(AA34="","",IF(VLOOKUP(AA34,'G-3 Multipliers'!$L$3:$N$6,2,FALSE)=0,"Spatial Data Missing ⚠",VLOOKUP(AA34,'G-3 Multipliers'!$L$3:$N$6,2,FALSE)))</f>
        <v/>
      </c>
      <c r="AC34" s="524" t="str">
        <f>IF(AA34="","",IF(VLOOKUP(AA34,'G-3 Multipliers'!$L$3:$N$6,3,FALSE)=0,"Spatial Data Missing ⚠",VLOOKUP(AA34,'G-3 Multipliers'!$L$3:$N$6,3,FALSE)))</f>
        <v/>
      </c>
      <c r="AD34" s="539" t="str">
        <f t="shared" si="1"/>
        <v/>
      </c>
      <c r="AE34" s="82"/>
      <c r="AF34" s="82"/>
      <c r="AG34" s="507" t="str">
        <f t="shared" si="6"/>
        <v/>
      </c>
      <c r="AH34" s="521" t="str">
        <f t="shared" si="7"/>
        <v/>
      </c>
      <c r="AI34" s="522" t="str">
        <f>IF(AH34="Check Data","Check Data",IFERROR(VLOOKUP(AH34,'G-4 Temporal multipliers'!$A$4:$C$36,3,FALSE),""))</f>
        <v/>
      </c>
      <c r="AJ34" s="498" t="str">
        <f>IF(S34="","",VLOOKUP(S34,'G-3 Multipliers'!$A$2:$E$129,4,FALSE))</f>
        <v/>
      </c>
      <c r="AK34" s="507" t="str">
        <f t="shared" si="8"/>
        <v/>
      </c>
      <c r="AL34" s="507" t="str">
        <f t="shared" si="9"/>
        <v/>
      </c>
      <c r="AM34" s="540" t="str">
        <f>IFERROR(IF(F34="","",IF(AH34="Check Data ⚠","Check Data ⚠",VLOOKUP(AL34, 'G-3 Multipliers'!$P$2:$Q$6,2,FALSE))),"")</f>
        <v/>
      </c>
      <c r="AN34" s="513" t="str">
        <f t="shared" si="10"/>
        <v/>
      </c>
      <c r="AO34" s="239"/>
      <c r="AP34" s="240"/>
    </row>
    <row r="35" spans="1:42" x14ac:dyDescent="0.25">
      <c r="A35" s="47" t="str">
        <f>IF(E35="","",IF(ISNA(VLOOKUP($E35,'A-1 Site Habitat Baseline'!$D$1:$O$258,2,FALSE)),"",(VLOOKUP($E35,'A-1 Site Habitat Baseline'!$D$1:$O$258,2,FALSE))))</f>
        <v/>
      </c>
      <c r="B35" s="47" t="str">
        <f>IF(E35="","",IF(ISNA(VLOOKUP($E35,'A-1 Site Habitat Baseline'!$D$1:$O$258,3,FALSE)),"",(VLOOKUP($E35,'A-1 Site Habitat Baseline'!$D$1:$O$258,3,FALSE))))</f>
        <v/>
      </c>
      <c r="C35" s="47" t="str">
        <f>IFERROR(INDEX('G-8 Condition Look up'!$I$4:$I$130,MATCH(S35,'G-8 Condition Look up'!$A$4:$A$130,0)),"")</f>
        <v/>
      </c>
      <c r="E35" s="531" t="str">
        <f>'A-1 Site Habitat Baseline'!AL34</f>
        <v/>
      </c>
      <c r="F35" s="520" t="str">
        <f>IF(E35="","",IF(ISNA(VLOOKUP($E35,'A-1 Site Habitat Baseline'!$D$1:$O$258,4,FALSE)),"",(VLOOKUP($E35,'A-1 Site Habitat Baseline'!$D$1:$O$258,4,FALSE))))</f>
        <v/>
      </c>
      <c r="G35" s="520" t="str">
        <f>IF(E35="","",IF(ISNA(VLOOKUP($E35,'A-1 Site Habitat Baseline'!$D$1:$O$258,5,FALSE)),"",(VLOOKUP($E35,'A-1 Site Habitat Baseline'!$D$1:$O$258,5,FALSE))))</f>
        <v/>
      </c>
      <c r="H35" s="520" t="str">
        <f>IF(E35="","",IF(ISNA(VLOOKUP($E35,'A-1 Site Habitat Baseline'!$D$1:$O$258,6,FALSE)),"",(VLOOKUP($E35,'A-1 Site Habitat Baseline'!$D$1:$O$258,6,FALSE))))</f>
        <v/>
      </c>
      <c r="I35" s="520" t="str">
        <f>IF(E35="","",IF(ISNA(VLOOKUP($E35,'A-1 Site Habitat Baseline'!$D$1:$O$258,7,FALSE)),"",(VLOOKUP($E35,'A-1 Site Habitat Baseline'!$D$1:$O$258,7,FALSE))))</f>
        <v/>
      </c>
      <c r="J35" s="520" t="str">
        <f>IF(E35="","",IF(ISNA(VLOOKUP($E35,'A-1 Site Habitat Baseline'!$D$1:$O$258,8,FALSE)),"",(VLOOKUP($E35,'A-1 Site Habitat Baseline'!$D$1:$O$258,8,FALSE))))</f>
        <v/>
      </c>
      <c r="K35" s="520" t="str">
        <f>IF(E35="","",IF(ISNA(VLOOKUP($E35,'A-1 Site Habitat Baseline'!$D$1:$O$258,9,FALSE)),"",(VLOOKUP($E35,'A-1 Site Habitat Baseline'!$D$1:$O$258,9,FALSE))))</f>
        <v/>
      </c>
      <c r="L35" s="520" t="str">
        <f>IF(E35="","",IF(ISNA(VLOOKUP($E35,'A-1 Site Habitat Baseline'!$D$1:$O$258,11,FALSE)),"",(VLOOKUP($E35,'A-1 Site Habitat Baseline'!$D$1:$O$258,11,FALSE))))</f>
        <v/>
      </c>
      <c r="M35" s="520" t="str">
        <f>IF(E35="","",IF(ISNA(VLOOKUP($E35,'A-1 Site Habitat Baseline'!$D$1:$O$258,12,FALSE)),"",(VLOOKUP($E35,'A-1 Site Habitat Baseline'!$D$1:$O$258,12,FALSE))))</f>
        <v/>
      </c>
      <c r="N35" s="532" t="str">
        <f>IF(E35="","",IF(ISNA(VLOOKUP($E35,'A-1 Site Habitat Baseline'!$D$1:$X$258,14,FALSE)),"",(VLOOKUP($E35,'A-1 Site Habitat Baseline'!$D$1:$X$258,14,FALSE))))</f>
        <v/>
      </c>
      <c r="O35" s="524" t="str">
        <f>IF(E35="","",IF(ISNA(VLOOKUP($E35,'A-1 Site Habitat Baseline'!$D$1:$X$258,16,FALSE)),"",(VLOOKUP($E35,'A-1 Site Habitat Baseline'!$D$1:$X$258,13,FALSE))))</f>
        <v/>
      </c>
      <c r="P35" s="237" t="str">
        <f>IFERROR(INDEX('G-1 All Habitats'!$AG$3:$AG$15,MATCH(Q35,'G-1 All Habitats'!$AF$3:$AF$15,0)),"")</f>
        <v/>
      </c>
      <c r="Q35" s="238" t="str">
        <f t="shared" si="2"/>
        <v/>
      </c>
      <c r="R35" s="238" t="str">
        <f t="shared" si="11"/>
        <v/>
      </c>
      <c r="S35" s="392" t="str">
        <f>IFERROR(INDEX('G-1 All Habitats'!$B$3:$B$129,MATCH(R35,'G-1 All Habitats'!$A$3:$A$129,0)),"")</f>
        <v/>
      </c>
      <c r="T35" s="498" t="str">
        <f t="shared" si="3"/>
        <v/>
      </c>
      <c r="U35" s="499" t="str">
        <f t="shared" si="4"/>
        <v/>
      </c>
      <c r="V35" s="537" t="str">
        <f t="shared" si="5"/>
        <v/>
      </c>
      <c r="W35" s="520" t="str">
        <f>IF(S35="","",VLOOKUP(S35,'G-1 All Habitats'!$B$2:$M$129,10,FALSE))</f>
        <v/>
      </c>
      <c r="X35" s="520" t="str">
        <f>IFERROR(VLOOKUP(W35,'G-1 All Habitats'!$V$3:$W$7,2,FALSE),"")</f>
        <v/>
      </c>
      <c r="Y35" s="79"/>
      <c r="Z35" s="524" t="str">
        <f>IFERROR(INDEX('G-8 Condition Look up'!$A$3:$H$130,MATCH(S35,'G-8 Condition Look up'!$A$3:$A$130,0),MATCH(Y35,'G-8 Condition Look up'!$A$3:$H$3,0)),"")</f>
        <v/>
      </c>
      <c r="AA35" s="71"/>
      <c r="AB35" s="520" t="str">
        <f>IF(AA35="","",IF(VLOOKUP(AA35,'G-3 Multipliers'!$L$3:$N$6,2,FALSE)=0,"Spatial Data Missing ⚠",VLOOKUP(AA35,'G-3 Multipliers'!$L$3:$N$6,2,FALSE)))</f>
        <v/>
      </c>
      <c r="AC35" s="524" t="str">
        <f>IF(AA35="","",IF(VLOOKUP(AA35,'G-3 Multipliers'!$L$3:$N$6,3,FALSE)=0,"Spatial Data Missing ⚠",VLOOKUP(AA35,'G-3 Multipliers'!$L$3:$N$6,3,FALSE)))</f>
        <v/>
      </c>
      <c r="AD35" s="539" t="str">
        <f t="shared" si="1"/>
        <v/>
      </c>
      <c r="AE35" s="82"/>
      <c r="AF35" s="82"/>
      <c r="AG35" s="507" t="str">
        <f t="shared" si="6"/>
        <v/>
      </c>
      <c r="AH35" s="521" t="str">
        <f t="shared" si="7"/>
        <v/>
      </c>
      <c r="AI35" s="522" t="str">
        <f>IF(AH35="Check Data","Check Data",IFERROR(VLOOKUP(AH35,'G-4 Temporal multipliers'!$A$4:$C$36,3,FALSE),""))</f>
        <v/>
      </c>
      <c r="AJ35" s="498" t="str">
        <f>IF(S35="","",VLOOKUP(S35,'G-3 Multipliers'!$A$2:$E$129,4,FALSE))</f>
        <v/>
      </c>
      <c r="AK35" s="507" t="str">
        <f t="shared" si="8"/>
        <v/>
      </c>
      <c r="AL35" s="507" t="str">
        <f t="shared" si="9"/>
        <v/>
      </c>
      <c r="AM35" s="540" t="str">
        <f>IFERROR(IF(F35="","",IF(AH35="Check Data ⚠","Check Data ⚠",VLOOKUP(AL35, 'G-3 Multipliers'!$P$2:$Q$6,2,FALSE))),"")</f>
        <v/>
      </c>
      <c r="AN35" s="513" t="str">
        <f t="shared" si="10"/>
        <v/>
      </c>
      <c r="AO35" s="239"/>
      <c r="AP35" s="240"/>
    </row>
    <row r="36" spans="1:42" x14ac:dyDescent="0.25">
      <c r="A36" s="47" t="str">
        <f>IF(E36="","",IF(ISNA(VLOOKUP($E36,'A-1 Site Habitat Baseline'!$D$1:$O$258,2,FALSE)),"",(VLOOKUP($E36,'A-1 Site Habitat Baseline'!$D$1:$O$258,2,FALSE))))</f>
        <v/>
      </c>
      <c r="B36" s="47" t="str">
        <f>IF(E36="","",IF(ISNA(VLOOKUP($E36,'A-1 Site Habitat Baseline'!$D$1:$O$258,3,FALSE)),"",(VLOOKUP($E36,'A-1 Site Habitat Baseline'!$D$1:$O$258,3,FALSE))))</f>
        <v/>
      </c>
      <c r="C36" s="47" t="str">
        <f>IFERROR(INDEX('G-8 Condition Look up'!$I$4:$I$130,MATCH(S36,'G-8 Condition Look up'!$A$4:$A$130,0)),"")</f>
        <v/>
      </c>
      <c r="E36" s="531" t="str">
        <f>'A-1 Site Habitat Baseline'!AL35</f>
        <v/>
      </c>
      <c r="F36" s="520" t="str">
        <f>IF(E36="","",IF(ISNA(VLOOKUP($E36,'A-1 Site Habitat Baseline'!$D$1:$O$258,4,FALSE)),"",(VLOOKUP($E36,'A-1 Site Habitat Baseline'!$D$1:$O$258,4,FALSE))))</f>
        <v/>
      </c>
      <c r="G36" s="520" t="str">
        <f>IF(E36="","",IF(ISNA(VLOOKUP($E36,'A-1 Site Habitat Baseline'!$D$1:$O$258,5,FALSE)),"",(VLOOKUP($E36,'A-1 Site Habitat Baseline'!$D$1:$O$258,5,FALSE))))</f>
        <v/>
      </c>
      <c r="H36" s="520" t="str">
        <f>IF(E36="","",IF(ISNA(VLOOKUP($E36,'A-1 Site Habitat Baseline'!$D$1:$O$258,6,FALSE)),"",(VLOOKUP($E36,'A-1 Site Habitat Baseline'!$D$1:$O$258,6,FALSE))))</f>
        <v/>
      </c>
      <c r="I36" s="520" t="str">
        <f>IF(E36="","",IF(ISNA(VLOOKUP($E36,'A-1 Site Habitat Baseline'!$D$1:$O$258,7,FALSE)),"",(VLOOKUP($E36,'A-1 Site Habitat Baseline'!$D$1:$O$258,7,FALSE))))</f>
        <v/>
      </c>
      <c r="J36" s="520" t="str">
        <f>IF(E36="","",IF(ISNA(VLOOKUP($E36,'A-1 Site Habitat Baseline'!$D$1:$O$258,8,FALSE)),"",(VLOOKUP($E36,'A-1 Site Habitat Baseline'!$D$1:$O$258,8,FALSE))))</f>
        <v/>
      </c>
      <c r="K36" s="520" t="str">
        <f>IF(E36="","",IF(ISNA(VLOOKUP($E36,'A-1 Site Habitat Baseline'!$D$1:$O$258,9,FALSE)),"",(VLOOKUP($E36,'A-1 Site Habitat Baseline'!$D$1:$O$258,9,FALSE))))</f>
        <v/>
      </c>
      <c r="L36" s="520" t="str">
        <f>IF(E36="","",IF(ISNA(VLOOKUP($E36,'A-1 Site Habitat Baseline'!$D$1:$O$258,11,FALSE)),"",(VLOOKUP($E36,'A-1 Site Habitat Baseline'!$D$1:$O$258,11,FALSE))))</f>
        <v/>
      </c>
      <c r="M36" s="520" t="str">
        <f>IF(E36="","",IF(ISNA(VLOOKUP($E36,'A-1 Site Habitat Baseline'!$D$1:$O$258,12,FALSE)),"",(VLOOKUP($E36,'A-1 Site Habitat Baseline'!$D$1:$O$258,12,FALSE))))</f>
        <v/>
      </c>
      <c r="N36" s="532" t="str">
        <f>IF(E36="","",IF(ISNA(VLOOKUP($E36,'A-1 Site Habitat Baseline'!$D$1:$X$258,14,FALSE)),"",(VLOOKUP($E36,'A-1 Site Habitat Baseline'!$D$1:$X$258,14,FALSE))))</f>
        <v/>
      </c>
      <c r="O36" s="524" t="str">
        <f>IF(E36="","",IF(ISNA(VLOOKUP($E36,'A-1 Site Habitat Baseline'!$D$1:$X$258,16,FALSE)),"",(VLOOKUP($E36,'A-1 Site Habitat Baseline'!$D$1:$X$258,13,FALSE))))</f>
        <v/>
      </c>
      <c r="P36" s="237" t="str">
        <f>IFERROR(INDEX('G-1 All Habitats'!$AG$3:$AG$15,MATCH(Q36,'G-1 All Habitats'!$AF$3:$AF$15,0)),"")</f>
        <v/>
      </c>
      <c r="Q36" s="238" t="str">
        <f t="shared" si="2"/>
        <v/>
      </c>
      <c r="R36" s="238" t="str">
        <f t="shared" si="11"/>
        <v/>
      </c>
      <c r="S36" s="392" t="str">
        <f>IFERROR(INDEX('G-1 All Habitats'!$B$3:$B$129,MATCH(R36,'G-1 All Habitats'!$A$3:$A$129,0)),"")</f>
        <v/>
      </c>
      <c r="T36" s="498" t="str">
        <f t="shared" si="3"/>
        <v/>
      </c>
      <c r="U36" s="499" t="str">
        <f t="shared" si="4"/>
        <v/>
      </c>
      <c r="V36" s="537" t="str">
        <f t="shared" si="5"/>
        <v/>
      </c>
      <c r="W36" s="520" t="str">
        <f>IF(S36="","",VLOOKUP(S36,'G-1 All Habitats'!$B$2:$M$129,10,FALSE))</f>
        <v/>
      </c>
      <c r="X36" s="520" t="str">
        <f>IFERROR(VLOOKUP(W36,'G-1 All Habitats'!$V$3:$W$7,2,FALSE),"")</f>
        <v/>
      </c>
      <c r="Y36" s="79"/>
      <c r="Z36" s="524" t="str">
        <f>IFERROR(INDEX('G-8 Condition Look up'!$A$3:$H$130,MATCH(S36,'G-8 Condition Look up'!$A$3:$A$130,0),MATCH(Y36,'G-8 Condition Look up'!$A$3:$H$3,0)),"")</f>
        <v/>
      </c>
      <c r="AA36" s="71"/>
      <c r="AB36" s="520" t="str">
        <f>IF(AA36="","",IF(VLOOKUP(AA36,'G-3 Multipliers'!$L$3:$N$6,2,FALSE)=0,"Spatial Data Missing ⚠",VLOOKUP(AA36,'G-3 Multipliers'!$L$3:$N$6,2,FALSE)))</f>
        <v/>
      </c>
      <c r="AC36" s="524" t="str">
        <f>IF(AA36="","",IF(VLOOKUP(AA36,'G-3 Multipliers'!$L$3:$N$6,3,FALSE)=0,"Spatial Data Missing ⚠",VLOOKUP(AA36,'G-3 Multipliers'!$L$3:$N$6,3,FALSE)))</f>
        <v/>
      </c>
      <c r="AD36" s="539" t="str">
        <f t="shared" si="1"/>
        <v/>
      </c>
      <c r="AE36" s="82"/>
      <c r="AF36" s="82"/>
      <c r="AG36" s="507" t="str">
        <f t="shared" si="6"/>
        <v/>
      </c>
      <c r="AH36" s="521" t="str">
        <f t="shared" si="7"/>
        <v/>
      </c>
      <c r="AI36" s="522" t="str">
        <f>IF(AH36="Check Data","Check Data",IFERROR(VLOOKUP(AH36,'G-4 Temporal multipliers'!$A$4:$C$36,3,FALSE),""))</f>
        <v/>
      </c>
      <c r="AJ36" s="498" t="str">
        <f>IF(S36="","",VLOOKUP(S36,'G-3 Multipliers'!$A$2:$E$129,4,FALSE))</f>
        <v/>
      </c>
      <c r="AK36" s="507" t="str">
        <f t="shared" si="8"/>
        <v/>
      </c>
      <c r="AL36" s="507" t="str">
        <f t="shared" si="9"/>
        <v/>
      </c>
      <c r="AM36" s="540" t="str">
        <f>IFERROR(IF(F36="","",IF(AH36="Check Data ⚠","Check Data ⚠",VLOOKUP(AL36, 'G-3 Multipliers'!$P$2:$Q$6,2,FALSE))),"")</f>
        <v/>
      </c>
      <c r="AN36" s="513" t="str">
        <f t="shared" si="10"/>
        <v/>
      </c>
      <c r="AO36" s="239"/>
      <c r="AP36" s="240"/>
    </row>
    <row r="37" spans="1:42" x14ac:dyDescent="0.25">
      <c r="A37" s="47" t="str">
        <f>IF(E37="","",IF(ISNA(VLOOKUP($E37,'A-1 Site Habitat Baseline'!$D$1:$O$258,2,FALSE)),"",(VLOOKUP($E37,'A-1 Site Habitat Baseline'!$D$1:$O$258,2,FALSE))))</f>
        <v/>
      </c>
      <c r="B37" s="47" t="str">
        <f>IF(E37="","",IF(ISNA(VLOOKUP($E37,'A-1 Site Habitat Baseline'!$D$1:$O$258,3,FALSE)),"",(VLOOKUP($E37,'A-1 Site Habitat Baseline'!$D$1:$O$258,3,FALSE))))</f>
        <v/>
      </c>
      <c r="C37" s="47" t="str">
        <f>IFERROR(INDEX('G-8 Condition Look up'!$I$4:$I$130,MATCH(S37,'G-8 Condition Look up'!$A$4:$A$130,0)),"")</f>
        <v/>
      </c>
      <c r="E37" s="531" t="str">
        <f>'A-1 Site Habitat Baseline'!AL36</f>
        <v/>
      </c>
      <c r="F37" s="520" t="str">
        <f>IF(E37="","",IF(ISNA(VLOOKUP($E37,'A-1 Site Habitat Baseline'!$D$1:$O$258,4,FALSE)),"",(VLOOKUP($E37,'A-1 Site Habitat Baseline'!$D$1:$O$258,4,FALSE))))</f>
        <v/>
      </c>
      <c r="G37" s="520" t="str">
        <f>IF(E37="","",IF(ISNA(VLOOKUP($E37,'A-1 Site Habitat Baseline'!$D$1:$O$258,5,FALSE)),"",(VLOOKUP($E37,'A-1 Site Habitat Baseline'!$D$1:$O$258,5,FALSE))))</f>
        <v/>
      </c>
      <c r="H37" s="520" t="str">
        <f>IF(E37="","",IF(ISNA(VLOOKUP($E37,'A-1 Site Habitat Baseline'!$D$1:$O$258,6,FALSE)),"",(VLOOKUP($E37,'A-1 Site Habitat Baseline'!$D$1:$O$258,6,FALSE))))</f>
        <v/>
      </c>
      <c r="I37" s="520" t="str">
        <f>IF(E37="","",IF(ISNA(VLOOKUP($E37,'A-1 Site Habitat Baseline'!$D$1:$O$258,7,FALSE)),"",(VLOOKUP($E37,'A-1 Site Habitat Baseline'!$D$1:$O$258,7,FALSE))))</f>
        <v/>
      </c>
      <c r="J37" s="520" t="str">
        <f>IF(E37="","",IF(ISNA(VLOOKUP($E37,'A-1 Site Habitat Baseline'!$D$1:$O$258,8,FALSE)),"",(VLOOKUP($E37,'A-1 Site Habitat Baseline'!$D$1:$O$258,8,FALSE))))</f>
        <v/>
      </c>
      <c r="K37" s="520" t="str">
        <f>IF(E37="","",IF(ISNA(VLOOKUP($E37,'A-1 Site Habitat Baseline'!$D$1:$O$258,9,FALSE)),"",(VLOOKUP($E37,'A-1 Site Habitat Baseline'!$D$1:$O$258,9,FALSE))))</f>
        <v/>
      </c>
      <c r="L37" s="520" t="str">
        <f>IF(E37="","",IF(ISNA(VLOOKUP($E37,'A-1 Site Habitat Baseline'!$D$1:$O$258,11,FALSE)),"",(VLOOKUP($E37,'A-1 Site Habitat Baseline'!$D$1:$O$258,11,FALSE))))</f>
        <v/>
      </c>
      <c r="M37" s="520" t="str">
        <f>IF(E37="","",IF(ISNA(VLOOKUP($E37,'A-1 Site Habitat Baseline'!$D$1:$O$258,12,FALSE)),"",(VLOOKUP($E37,'A-1 Site Habitat Baseline'!$D$1:$O$258,12,FALSE))))</f>
        <v/>
      </c>
      <c r="N37" s="532" t="str">
        <f>IF(E37="","",IF(ISNA(VLOOKUP($E37,'A-1 Site Habitat Baseline'!$D$1:$X$258,14,FALSE)),"",(VLOOKUP($E37,'A-1 Site Habitat Baseline'!$D$1:$X$258,14,FALSE))))</f>
        <v/>
      </c>
      <c r="O37" s="524" t="str">
        <f>IF(E37="","",IF(ISNA(VLOOKUP($E37,'A-1 Site Habitat Baseline'!$D$1:$X$258,16,FALSE)),"",(VLOOKUP($E37,'A-1 Site Habitat Baseline'!$D$1:$X$258,13,FALSE))))</f>
        <v/>
      </c>
      <c r="P37" s="237" t="str">
        <f>IFERROR(INDEX('G-1 All Habitats'!$AG$3:$AG$15,MATCH(Q37,'G-1 All Habitats'!$AF$3:$AF$15,0)),"")</f>
        <v/>
      </c>
      <c r="Q37" s="238" t="str">
        <f t="shared" si="2"/>
        <v/>
      </c>
      <c r="R37" s="238" t="str">
        <f t="shared" si="11"/>
        <v/>
      </c>
      <c r="S37" s="392" t="str">
        <f>IFERROR(INDEX('G-1 All Habitats'!$B$3:$B$129,MATCH(R37,'G-1 All Habitats'!$A$3:$A$129,0)),"")</f>
        <v/>
      </c>
      <c r="T37" s="498" t="str">
        <f t="shared" si="3"/>
        <v/>
      </c>
      <c r="U37" s="499" t="str">
        <f t="shared" si="4"/>
        <v/>
      </c>
      <c r="V37" s="537" t="str">
        <f t="shared" si="5"/>
        <v/>
      </c>
      <c r="W37" s="520" t="str">
        <f>IF(S37="","",VLOOKUP(S37,'G-1 All Habitats'!$B$2:$M$129,10,FALSE))</f>
        <v/>
      </c>
      <c r="X37" s="520" t="str">
        <f>IFERROR(VLOOKUP(W37,'G-1 All Habitats'!$V$3:$W$7,2,FALSE),"")</f>
        <v/>
      </c>
      <c r="Y37" s="79"/>
      <c r="Z37" s="524" t="str">
        <f>IFERROR(INDEX('G-8 Condition Look up'!$A$3:$H$130,MATCH(S37,'G-8 Condition Look up'!$A$3:$A$130,0),MATCH(Y37,'G-8 Condition Look up'!$A$3:$H$3,0)),"")</f>
        <v/>
      </c>
      <c r="AA37" s="71"/>
      <c r="AB37" s="520" t="str">
        <f>IF(AA37="","",IF(VLOOKUP(AA37,'G-3 Multipliers'!$L$3:$N$6,2,FALSE)=0,"Spatial Data Missing ⚠",VLOOKUP(AA37,'G-3 Multipliers'!$L$3:$N$6,2,FALSE)))</f>
        <v/>
      </c>
      <c r="AC37" s="524" t="str">
        <f>IF(AA37="","",IF(VLOOKUP(AA37,'G-3 Multipliers'!$L$3:$N$6,3,FALSE)=0,"Spatial Data Missing ⚠",VLOOKUP(AA37,'G-3 Multipliers'!$L$3:$N$6,3,FALSE)))</f>
        <v/>
      </c>
      <c r="AD37" s="539" t="str">
        <f t="shared" si="1"/>
        <v/>
      </c>
      <c r="AE37" s="82"/>
      <c r="AF37" s="82"/>
      <c r="AG37" s="507" t="str">
        <f t="shared" si="6"/>
        <v/>
      </c>
      <c r="AH37" s="521" t="str">
        <f t="shared" si="7"/>
        <v/>
      </c>
      <c r="AI37" s="522" t="str">
        <f>IF(AH37="Check Data","Check Data",IFERROR(VLOOKUP(AH37,'G-4 Temporal multipliers'!$A$4:$C$36,3,FALSE),""))</f>
        <v/>
      </c>
      <c r="AJ37" s="498" t="str">
        <f>IF(S37="","",VLOOKUP(S37,'G-3 Multipliers'!$A$2:$E$129,4,FALSE))</f>
        <v/>
      </c>
      <c r="AK37" s="507" t="str">
        <f t="shared" si="8"/>
        <v/>
      </c>
      <c r="AL37" s="507" t="str">
        <f t="shared" si="9"/>
        <v/>
      </c>
      <c r="AM37" s="540" t="str">
        <f>IFERROR(IF(F37="","",IF(AH37="Check Data ⚠","Check Data ⚠",VLOOKUP(AL37, 'G-3 Multipliers'!$P$2:$Q$6,2,FALSE))),"")</f>
        <v/>
      </c>
      <c r="AN37" s="513" t="str">
        <f t="shared" si="10"/>
        <v/>
      </c>
      <c r="AO37" s="239"/>
      <c r="AP37" s="240"/>
    </row>
    <row r="38" spans="1:42" x14ac:dyDescent="0.25">
      <c r="A38" s="47" t="str">
        <f>IF(E38="","",IF(ISNA(VLOOKUP($E38,'A-1 Site Habitat Baseline'!$D$1:$O$258,2,FALSE)),"",(VLOOKUP($E38,'A-1 Site Habitat Baseline'!$D$1:$O$258,2,FALSE))))</f>
        <v/>
      </c>
      <c r="B38" s="47" t="str">
        <f>IF(E38="","",IF(ISNA(VLOOKUP($E38,'A-1 Site Habitat Baseline'!$D$1:$O$258,3,FALSE)),"",(VLOOKUP($E38,'A-1 Site Habitat Baseline'!$D$1:$O$258,3,FALSE))))</f>
        <v/>
      </c>
      <c r="C38" s="47" t="str">
        <f>IFERROR(INDEX('G-8 Condition Look up'!$I$4:$I$130,MATCH(S38,'G-8 Condition Look up'!$A$4:$A$130,0)),"")</f>
        <v/>
      </c>
      <c r="E38" s="531" t="str">
        <f>'A-1 Site Habitat Baseline'!AL37</f>
        <v/>
      </c>
      <c r="F38" s="520" t="str">
        <f>IF(E38="","",IF(ISNA(VLOOKUP($E38,'A-1 Site Habitat Baseline'!$D$1:$O$258,4,FALSE)),"",(VLOOKUP($E38,'A-1 Site Habitat Baseline'!$D$1:$O$258,4,FALSE))))</f>
        <v/>
      </c>
      <c r="G38" s="520" t="str">
        <f>IF(E38="","",IF(ISNA(VLOOKUP($E38,'A-1 Site Habitat Baseline'!$D$1:$O$258,5,FALSE)),"",(VLOOKUP($E38,'A-1 Site Habitat Baseline'!$D$1:$O$258,5,FALSE))))</f>
        <v/>
      </c>
      <c r="H38" s="520" t="str">
        <f>IF(E38="","",IF(ISNA(VLOOKUP($E38,'A-1 Site Habitat Baseline'!$D$1:$O$258,6,FALSE)),"",(VLOOKUP($E38,'A-1 Site Habitat Baseline'!$D$1:$O$258,6,FALSE))))</f>
        <v/>
      </c>
      <c r="I38" s="520" t="str">
        <f>IF(E38="","",IF(ISNA(VLOOKUP($E38,'A-1 Site Habitat Baseline'!$D$1:$O$258,7,FALSE)),"",(VLOOKUP($E38,'A-1 Site Habitat Baseline'!$D$1:$O$258,7,FALSE))))</f>
        <v/>
      </c>
      <c r="J38" s="520" t="str">
        <f>IF(E38="","",IF(ISNA(VLOOKUP($E38,'A-1 Site Habitat Baseline'!$D$1:$O$258,8,FALSE)),"",(VLOOKUP($E38,'A-1 Site Habitat Baseline'!$D$1:$O$258,8,FALSE))))</f>
        <v/>
      </c>
      <c r="K38" s="520" t="str">
        <f>IF(E38="","",IF(ISNA(VLOOKUP($E38,'A-1 Site Habitat Baseline'!$D$1:$O$258,9,FALSE)),"",(VLOOKUP($E38,'A-1 Site Habitat Baseline'!$D$1:$O$258,9,FALSE))))</f>
        <v/>
      </c>
      <c r="L38" s="520" t="str">
        <f>IF(E38="","",IF(ISNA(VLOOKUP($E38,'A-1 Site Habitat Baseline'!$D$1:$O$258,11,FALSE)),"",(VLOOKUP($E38,'A-1 Site Habitat Baseline'!$D$1:$O$258,11,FALSE))))</f>
        <v/>
      </c>
      <c r="M38" s="520" t="str">
        <f>IF(E38="","",IF(ISNA(VLOOKUP($E38,'A-1 Site Habitat Baseline'!$D$1:$O$258,12,FALSE)),"",(VLOOKUP($E38,'A-1 Site Habitat Baseline'!$D$1:$O$258,12,FALSE))))</f>
        <v/>
      </c>
      <c r="N38" s="532" t="str">
        <f>IF(E38="","",IF(ISNA(VLOOKUP($E38,'A-1 Site Habitat Baseline'!$D$1:$X$258,14,FALSE)),"",(VLOOKUP($E38,'A-1 Site Habitat Baseline'!$D$1:$X$258,14,FALSE))))</f>
        <v/>
      </c>
      <c r="O38" s="524" t="str">
        <f>IF(E38="","",IF(ISNA(VLOOKUP($E38,'A-1 Site Habitat Baseline'!$D$1:$X$258,16,FALSE)),"",(VLOOKUP($E38,'A-1 Site Habitat Baseline'!$D$1:$X$258,13,FALSE))))</f>
        <v/>
      </c>
      <c r="P38" s="237" t="str">
        <f>IFERROR(INDEX('G-1 All Habitats'!$AG$3:$AG$15,MATCH(Q38,'G-1 All Habitats'!$AF$3:$AF$15,0)),"")</f>
        <v/>
      </c>
      <c r="Q38" s="238" t="str">
        <f t="shared" si="2"/>
        <v/>
      </c>
      <c r="R38" s="238" t="str">
        <f t="shared" si="11"/>
        <v/>
      </c>
      <c r="S38" s="392" t="str">
        <f>IFERROR(INDEX('G-1 All Habitats'!$B$3:$B$129,MATCH(R38,'G-1 All Habitats'!$A$3:$A$129,0)),"")</f>
        <v/>
      </c>
      <c r="T38" s="498" t="str">
        <f t="shared" si="3"/>
        <v/>
      </c>
      <c r="U38" s="499" t="str">
        <f t="shared" si="4"/>
        <v/>
      </c>
      <c r="V38" s="537" t="str">
        <f t="shared" si="5"/>
        <v/>
      </c>
      <c r="W38" s="520" t="str">
        <f>IF(S38="","",VLOOKUP(S38,'G-1 All Habitats'!$B$2:$M$129,10,FALSE))</f>
        <v/>
      </c>
      <c r="X38" s="520" t="str">
        <f>IFERROR(VLOOKUP(W38,'G-1 All Habitats'!$V$3:$W$7,2,FALSE),"")</f>
        <v/>
      </c>
      <c r="Y38" s="79"/>
      <c r="Z38" s="524" t="str">
        <f>IFERROR(INDEX('G-8 Condition Look up'!$A$3:$H$130,MATCH(S38,'G-8 Condition Look up'!$A$3:$A$130,0),MATCH(Y38,'G-8 Condition Look up'!$A$3:$H$3,0)),"")</f>
        <v/>
      </c>
      <c r="AA38" s="71"/>
      <c r="AB38" s="520" t="str">
        <f>IF(AA38="","",IF(VLOOKUP(AA38,'G-3 Multipliers'!$L$3:$N$6,2,FALSE)=0,"Spatial Data Missing ⚠",VLOOKUP(AA38,'G-3 Multipliers'!$L$3:$N$6,2,FALSE)))</f>
        <v/>
      </c>
      <c r="AC38" s="524" t="str">
        <f>IF(AA38="","",IF(VLOOKUP(AA38,'G-3 Multipliers'!$L$3:$N$6,3,FALSE)=0,"Spatial Data Missing ⚠",VLOOKUP(AA38,'G-3 Multipliers'!$L$3:$N$6,3,FALSE)))</f>
        <v/>
      </c>
      <c r="AD38" s="539" t="str">
        <f t="shared" si="1"/>
        <v/>
      </c>
      <c r="AE38" s="82"/>
      <c r="AF38" s="82"/>
      <c r="AG38" s="507" t="str">
        <f t="shared" si="6"/>
        <v/>
      </c>
      <c r="AH38" s="521" t="str">
        <f t="shared" si="7"/>
        <v/>
      </c>
      <c r="AI38" s="522" t="str">
        <f>IF(AH38="Check Data","Check Data",IFERROR(VLOOKUP(AH38,'G-4 Temporal multipliers'!$A$4:$C$36,3,FALSE),""))</f>
        <v/>
      </c>
      <c r="AJ38" s="498" t="str">
        <f>IF(S38="","",VLOOKUP(S38,'G-3 Multipliers'!$A$2:$E$129,4,FALSE))</f>
        <v/>
      </c>
      <c r="AK38" s="507" t="str">
        <f t="shared" si="8"/>
        <v/>
      </c>
      <c r="AL38" s="507" t="str">
        <f t="shared" si="9"/>
        <v/>
      </c>
      <c r="AM38" s="540" t="str">
        <f>IFERROR(IF(F38="","",IF(AH38="Check Data ⚠","Check Data ⚠",VLOOKUP(AL38, 'G-3 Multipliers'!$P$2:$Q$6,2,FALSE))),"")</f>
        <v/>
      </c>
      <c r="AN38" s="513" t="str">
        <f t="shared" si="10"/>
        <v/>
      </c>
      <c r="AO38" s="239"/>
      <c r="AP38" s="240"/>
    </row>
    <row r="39" spans="1:42" x14ac:dyDescent="0.25">
      <c r="A39" s="47" t="str">
        <f>IF(E39="","",IF(ISNA(VLOOKUP($E39,'A-1 Site Habitat Baseline'!$D$1:$O$258,2,FALSE)),"",(VLOOKUP($E39,'A-1 Site Habitat Baseline'!$D$1:$O$258,2,FALSE))))</f>
        <v/>
      </c>
      <c r="B39" s="47" t="str">
        <f>IF(E39="","",IF(ISNA(VLOOKUP($E39,'A-1 Site Habitat Baseline'!$D$1:$O$258,3,FALSE)),"",(VLOOKUP($E39,'A-1 Site Habitat Baseline'!$D$1:$O$258,3,FALSE))))</f>
        <v/>
      </c>
      <c r="C39" s="47" t="str">
        <f>IFERROR(INDEX('G-8 Condition Look up'!$I$4:$I$130,MATCH(S39,'G-8 Condition Look up'!$A$4:$A$130,0)),"")</f>
        <v/>
      </c>
      <c r="E39" s="531" t="str">
        <f>'A-1 Site Habitat Baseline'!AL38</f>
        <v/>
      </c>
      <c r="F39" s="520" t="str">
        <f>IF(E39="","",IF(ISNA(VLOOKUP($E39,'A-1 Site Habitat Baseline'!$D$1:$O$258,4,FALSE)),"",(VLOOKUP($E39,'A-1 Site Habitat Baseline'!$D$1:$O$258,4,FALSE))))</f>
        <v/>
      </c>
      <c r="G39" s="520" t="str">
        <f>IF(E39="","",IF(ISNA(VLOOKUP($E39,'A-1 Site Habitat Baseline'!$D$1:$O$258,5,FALSE)),"",(VLOOKUP($E39,'A-1 Site Habitat Baseline'!$D$1:$O$258,5,FALSE))))</f>
        <v/>
      </c>
      <c r="H39" s="520" t="str">
        <f>IF(E39="","",IF(ISNA(VLOOKUP($E39,'A-1 Site Habitat Baseline'!$D$1:$O$258,6,FALSE)),"",(VLOOKUP($E39,'A-1 Site Habitat Baseline'!$D$1:$O$258,6,FALSE))))</f>
        <v/>
      </c>
      <c r="I39" s="520" t="str">
        <f>IF(E39="","",IF(ISNA(VLOOKUP($E39,'A-1 Site Habitat Baseline'!$D$1:$O$258,7,FALSE)),"",(VLOOKUP($E39,'A-1 Site Habitat Baseline'!$D$1:$O$258,7,FALSE))))</f>
        <v/>
      </c>
      <c r="J39" s="520" t="str">
        <f>IF(E39="","",IF(ISNA(VLOOKUP($E39,'A-1 Site Habitat Baseline'!$D$1:$O$258,8,FALSE)),"",(VLOOKUP($E39,'A-1 Site Habitat Baseline'!$D$1:$O$258,8,FALSE))))</f>
        <v/>
      </c>
      <c r="K39" s="520" t="str">
        <f>IF(E39="","",IF(ISNA(VLOOKUP($E39,'A-1 Site Habitat Baseline'!$D$1:$O$258,9,FALSE)),"",(VLOOKUP($E39,'A-1 Site Habitat Baseline'!$D$1:$O$258,9,FALSE))))</f>
        <v/>
      </c>
      <c r="L39" s="520" t="str">
        <f>IF(E39="","",IF(ISNA(VLOOKUP($E39,'A-1 Site Habitat Baseline'!$D$1:$O$258,11,FALSE)),"",(VLOOKUP($E39,'A-1 Site Habitat Baseline'!$D$1:$O$258,11,FALSE))))</f>
        <v/>
      </c>
      <c r="M39" s="520" t="str">
        <f>IF(E39="","",IF(ISNA(VLOOKUP($E39,'A-1 Site Habitat Baseline'!$D$1:$O$258,12,FALSE)),"",(VLOOKUP($E39,'A-1 Site Habitat Baseline'!$D$1:$O$258,12,FALSE))))</f>
        <v/>
      </c>
      <c r="N39" s="532" t="str">
        <f>IF(E39="","",IF(ISNA(VLOOKUP($E39,'A-1 Site Habitat Baseline'!$D$1:$X$258,14,FALSE)),"",(VLOOKUP($E39,'A-1 Site Habitat Baseline'!$D$1:$X$258,14,FALSE))))</f>
        <v/>
      </c>
      <c r="O39" s="524" t="str">
        <f>IF(E39="","",IF(ISNA(VLOOKUP($E39,'A-1 Site Habitat Baseline'!$D$1:$X$258,16,FALSE)),"",(VLOOKUP($E39,'A-1 Site Habitat Baseline'!$D$1:$X$258,13,FALSE))))</f>
        <v/>
      </c>
      <c r="P39" s="237" t="str">
        <f>IFERROR(INDEX('G-1 All Habitats'!$AG$3:$AG$15,MATCH(Q39,'G-1 All Habitats'!$AF$3:$AF$15,0)),"")</f>
        <v/>
      </c>
      <c r="Q39" s="238" t="str">
        <f t="shared" si="2"/>
        <v/>
      </c>
      <c r="R39" s="238" t="str">
        <f t="shared" si="11"/>
        <v/>
      </c>
      <c r="S39" s="392" t="str">
        <f>IFERROR(INDEX('G-1 All Habitats'!$B$3:$B$129,MATCH(R39,'G-1 All Habitats'!$A$3:$A$129,0)),"")</f>
        <v/>
      </c>
      <c r="T39" s="498" t="str">
        <f t="shared" si="3"/>
        <v/>
      </c>
      <c r="U39" s="499" t="str">
        <f t="shared" si="4"/>
        <v/>
      </c>
      <c r="V39" s="537" t="str">
        <f t="shared" si="5"/>
        <v/>
      </c>
      <c r="W39" s="520" t="str">
        <f>IF(S39="","",VLOOKUP(S39,'G-1 All Habitats'!$B$2:$M$129,10,FALSE))</f>
        <v/>
      </c>
      <c r="X39" s="520" t="str">
        <f>IFERROR(VLOOKUP(W39,'G-1 All Habitats'!$V$3:$W$7,2,FALSE),"")</f>
        <v/>
      </c>
      <c r="Y39" s="79"/>
      <c r="Z39" s="524" t="str">
        <f>IFERROR(INDEX('G-8 Condition Look up'!$A$3:$H$130,MATCH(S39,'G-8 Condition Look up'!$A$3:$A$130,0),MATCH(Y39,'G-8 Condition Look up'!$A$3:$H$3,0)),"")</f>
        <v/>
      </c>
      <c r="AA39" s="71"/>
      <c r="AB39" s="520" t="str">
        <f>IF(AA39="","",IF(VLOOKUP(AA39,'G-3 Multipliers'!$L$3:$N$6,2,FALSE)=0,"Spatial Data Missing ⚠",VLOOKUP(AA39,'G-3 Multipliers'!$L$3:$N$6,2,FALSE)))</f>
        <v/>
      </c>
      <c r="AC39" s="524" t="str">
        <f>IF(AA39="","",IF(VLOOKUP(AA39,'G-3 Multipliers'!$L$3:$N$6,3,FALSE)=0,"Spatial Data Missing ⚠",VLOOKUP(AA39,'G-3 Multipliers'!$L$3:$N$6,3,FALSE)))</f>
        <v/>
      </c>
      <c r="AD39" s="539" t="str">
        <f t="shared" si="1"/>
        <v/>
      </c>
      <c r="AE39" s="82"/>
      <c r="AF39" s="82"/>
      <c r="AG39" s="507" t="str">
        <f t="shared" si="6"/>
        <v/>
      </c>
      <c r="AH39" s="521" t="str">
        <f t="shared" si="7"/>
        <v/>
      </c>
      <c r="AI39" s="522" t="str">
        <f>IF(AH39="Check Data","Check Data",IFERROR(VLOOKUP(AH39,'G-4 Temporal multipliers'!$A$4:$C$36,3,FALSE),""))</f>
        <v/>
      </c>
      <c r="AJ39" s="498" t="str">
        <f>IF(S39="","",VLOOKUP(S39,'G-3 Multipliers'!$A$2:$E$129,4,FALSE))</f>
        <v/>
      </c>
      <c r="AK39" s="507" t="str">
        <f t="shared" si="8"/>
        <v/>
      </c>
      <c r="AL39" s="507" t="str">
        <f t="shared" si="9"/>
        <v/>
      </c>
      <c r="AM39" s="540" t="str">
        <f>IFERROR(IF(F39="","",IF(AH39="Check Data ⚠","Check Data ⚠",VLOOKUP(AL39, 'G-3 Multipliers'!$P$2:$Q$6,2,FALSE))),"")</f>
        <v/>
      </c>
      <c r="AN39" s="513" t="str">
        <f t="shared" si="10"/>
        <v/>
      </c>
      <c r="AO39" s="239"/>
      <c r="AP39" s="240"/>
    </row>
    <row r="40" spans="1:42" x14ac:dyDescent="0.25">
      <c r="A40" s="47" t="str">
        <f>IF(E40="","",IF(ISNA(VLOOKUP($E40,'A-1 Site Habitat Baseline'!$D$1:$O$258,2,FALSE)),"",(VLOOKUP($E40,'A-1 Site Habitat Baseline'!$D$1:$O$258,2,FALSE))))</f>
        <v/>
      </c>
      <c r="B40" s="47" t="str">
        <f>IF(E40="","",IF(ISNA(VLOOKUP($E40,'A-1 Site Habitat Baseline'!$D$1:$O$258,3,FALSE)),"",(VLOOKUP($E40,'A-1 Site Habitat Baseline'!$D$1:$O$258,3,FALSE))))</f>
        <v/>
      </c>
      <c r="C40" s="47" t="str">
        <f>IFERROR(INDEX('G-8 Condition Look up'!$I$4:$I$130,MATCH(S40,'G-8 Condition Look up'!$A$4:$A$130,0)),"")</f>
        <v/>
      </c>
      <c r="E40" s="531" t="str">
        <f>'A-1 Site Habitat Baseline'!AL39</f>
        <v/>
      </c>
      <c r="F40" s="520" t="str">
        <f>IF(E40="","",IF(ISNA(VLOOKUP($E40,'A-1 Site Habitat Baseline'!$D$1:$O$258,4,FALSE)),"",(VLOOKUP($E40,'A-1 Site Habitat Baseline'!$D$1:$O$258,4,FALSE))))</f>
        <v/>
      </c>
      <c r="G40" s="520" t="str">
        <f>IF(E40="","",IF(ISNA(VLOOKUP($E40,'A-1 Site Habitat Baseline'!$D$1:$O$258,5,FALSE)),"",(VLOOKUP($E40,'A-1 Site Habitat Baseline'!$D$1:$O$258,5,FALSE))))</f>
        <v/>
      </c>
      <c r="H40" s="520" t="str">
        <f>IF(E40="","",IF(ISNA(VLOOKUP($E40,'A-1 Site Habitat Baseline'!$D$1:$O$258,6,FALSE)),"",(VLOOKUP($E40,'A-1 Site Habitat Baseline'!$D$1:$O$258,6,FALSE))))</f>
        <v/>
      </c>
      <c r="I40" s="520" t="str">
        <f>IF(E40="","",IF(ISNA(VLOOKUP($E40,'A-1 Site Habitat Baseline'!$D$1:$O$258,7,FALSE)),"",(VLOOKUP($E40,'A-1 Site Habitat Baseline'!$D$1:$O$258,7,FALSE))))</f>
        <v/>
      </c>
      <c r="J40" s="520" t="str">
        <f>IF(E40="","",IF(ISNA(VLOOKUP($E40,'A-1 Site Habitat Baseline'!$D$1:$O$258,8,FALSE)),"",(VLOOKUP($E40,'A-1 Site Habitat Baseline'!$D$1:$O$258,8,FALSE))))</f>
        <v/>
      </c>
      <c r="K40" s="520" t="str">
        <f>IF(E40="","",IF(ISNA(VLOOKUP($E40,'A-1 Site Habitat Baseline'!$D$1:$O$258,9,FALSE)),"",(VLOOKUP($E40,'A-1 Site Habitat Baseline'!$D$1:$O$258,9,FALSE))))</f>
        <v/>
      </c>
      <c r="L40" s="520" t="str">
        <f>IF(E40="","",IF(ISNA(VLOOKUP($E40,'A-1 Site Habitat Baseline'!$D$1:$O$258,11,FALSE)),"",(VLOOKUP($E40,'A-1 Site Habitat Baseline'!$D$1:$O$258,11,FALSE))))</f>
        <v/>
      </c>
      <c r="M40" s="520" t="str">
        <f>IF(E40="","",IF(ISNA(VLOOKUP($E40,'A-1 Site Habitat Baseline'!$D$1:$O$258,12,FALSE)),"",(VLOOKUP($E40,'A-1 Site Habitat Baseline'!$D$1:$O$258,12,FALSE))))</f>
        <v/>
      </c>
      <c r="N40" s="532" t="str">
        <f>IF(E40="","",IF(ISNA(VLOOKUP($E40,'A-1 Site Habitat Baseline'!$D$1:$X$258,14,FALSE)),"",(VLOOKUP($E40,'A-1 Site Habitat Baseline'!$D$1:$X$258,14,FALSE))))</f>
        <v/>
      </c>
      <c r="O40" s="524" t="str">
        <f>IF(E40="","",IF(ISNA(VLOOKUP($E40,'A-1 Site Habitat Baseline'!$D$1:$X$258,16,FALSE)),"",(VLOOKUP($E40,'A-1 Site Habitat Baseline'!$D$1:$X$258,13,FALSE))))</f>
        <v/>
      </c>
      <c r="P40" s="237" t="str">
        <f>IFERROR(INDEX('G-1 All Habitats'!$AG$3:$AG$15,MATCH(Q40,'G-1 All Habitats'!$AF$3:$AF$15,0)),"")</f>
        <v/>
      </c>
      <c r="Q40" s="238" t="str">
        <f t="shared" si="2"/>
        <v/>
      </c>
      <c r="R40" s="238" t="str">
        <f t="shared" si="11"/>
        <v/>
      </c>
      <c r="S40" s="392" t="str">
        <f>IFERROR(INDEX('G-1 All Habitats'!$B$3:$B$129,MATCH(R40,'G-1 All Habitats'!$A$3:$A$129,0)),"")</f>
        <v/>
      </c>
      <c r="T40" s="498" t="str">
        <f t="shared" si="3"/>
        <v/>
      </c>
      <c r="U40" s="499" t="str">
        <f t="shared" si="4"/>
        <v/>
      </c>
      <c r="V40" s="537" t="str">
        <f t="shared" si="5"/>
        <v/>
      </c>
      <c r="W40" s="520" t="str">
        <f>IF(S40="","",VLOOKUP(S40,'G-1 All Habitats'!$B$2:$M$129,10,FALSE))</f>
        <v/>
      </c>
      <c r="X40" s="520" t="str">
        <f>IFERROR(VLOOKUP(W40,'G-1 All Habitats'!$V$3:$W$7,2,FALSE),"")</f>
        <v/>
      </c>
      <c r="Y40" s="79"/>
      <c r="Z40" s="524" t="str">
        <f>IFERROR(INDEX('G-8 Condition Look up'!$A$3:$H$130,MATCH(S40,'G-8 Condition Look up'!$A$3:$A$130,0),MATCH(Y40,'G-8 Condition Look up'!$A$3:$H$3,0)),"")</f>
        <v/>
      </c>
      <c r="AA40" s="71"/>
      <c r="AB40" s="520" t="str">
        <f>IF(AA40="","",IF(VLOOKUP(AA40,'G-3 Multipliers'!$L$3:$N$6,2,FALSE)=0,"Spatial Data Missing ⚠",VLOOKUP(AA40,'G-3 Multipliers'!$L$3:$N$6,2,FALSE)))</f>
        <v/>
      </c>
      <c r="AC40" s="524" t="str">
        <f>IF(AA40="","",IF(VLOOKUP(AA40,'G-3 Multipliers'!$L$3:$N$6,3,FALSE)=0,"Spatial Data Missing ⚠",VLOOKUP(AA40,'G-3 Multipliers'!$L$3:$N$6,3,FALSE)))</f>
        <v/>
      </c>
      <c r="AD40" s="539" t="str">
        <f t="shared" si="1"/>
        <v/>
      </c>
      <c r="AE40" s="82"/>
      <c r="AF40" s="82"/>
      <c r="AG40" s="507" t="str">
        <f t="shared" si="6"/>
        <v/>
      </c>
      <c r="AH40" s="521" t="str">
        <f t="shared" si="7"/>
        <v/>
      </c>
      <c r="AI40" s="522" t="str">
        <f>IF(AH40="Check Data","Check Data",IFERROR(VLOOKUP(AH40,'G-4 Temporal multipliers'!$A$4:$C$36,3,FALSE),""))</f>
        <v/>
      </c>
      <c r="AJ40" s="498" t="str">
        <f>IF(S40="","",VLOOKUP(S40,'G-3 Multipliers'!$A$2:$E$129,4,FALSE))</f>
        <v/>
      </c>
      <c r="AK40" s="507" t="str">
        <f t="shared" si="8"/>
        <v/>
      </c>
      <c r="AL40" s="507" t="str">
        <f t="shared" si="9"/>
        <v/>
      </c>
      <c r="AM40" s="540" t="str">
        <f>IFERROR(IF(F40="","",IF(AH40="Check Data ⚠","Check Data ⚠",VLOOKUP(AL40, 'G-3 Multipliers'!$P$2:$Q$6,2,FALSE))),"")</f>
        <v/>
      </c>
      <c r="AN40" s="513" t="str">
        <f t="shared" si="10"/>
        <v/>
      </c>
      <c r="AO40" s="239"/>
      <c r="AP40" s="240"/>
    </row>
    <row r="41" spans="1:42" x14ac:dyDescent="0.25">
      <c r="A41" s="47" t="str">
        <f>IF(E41="","",IF(ISNA(VLOOKUP($E41,'A-1 Site Habitat Baseline'!$D$1:$O$258,2,FALSE)),"",(VLOOKUP($E41,'A-1 Site Habitat Baseline'!$D$1:$O$258,2,FALSE))))</f>
        <v/>
      </c>
      <c r="B41" s="47" t="str">
        <f>IF(E41="","",IF(ISNA(VLOOKUP($E41,'A-1 Site Habitat Baseline'!$D$1:$O$258,3,FALSE)),"",(VLOOKUP($E41,'A-1 Site Habitat Baseline'!$D$1:$O$258,3,FALSE))))</f>
        <v/>
      </c>
      <c r="C41" s="47" t="str">
        <f>IFERROR(INDEX('G-8 Condition Look up'!$I$4:$I$130,MATCH(S41,'G-8 Condition Look up'!$A$4:$A$130,0)),"")</f>
        <v/>
      </c>
      <c r="E41" s="531" t="str">
        <f>'A-1 Site Habitat Baseline'!AL40</f>
        <v/>
      </c>
      <c r="F41" s="520" t="str">
        <f>IF(E41="","",IF(ISNA(VLOOKUP($E41,'A-1 Site Habitat Baseline'!$D$1:$O$258,4,FALSE)),"",(VLOOKUP($E41,'A-1 Site Habitat Baseline'!$D$1:$O$258,4,FALSE))))</f>
        <v/>
      </c>
      <c r="G41" s="520" t="str">
        <f>IF(E41="","",IF(ISNA(VLOOKUP($E41,'A-1 Site Habitat Baseline'!$D$1:$O$258,5,FALSE)),"",(VLOOKUP($E41,'A-1 Site Habitat Baseline'!$D$1:$O$258,5,FALSE))))</f>
        <v/>
      </c>
      <c r="H41" s="520" t="str">
        <f>IF(E41="","",IF(ISNA(VLOOKUP($E41,'A-1 Site Habitat Baseline'!$D$1:$O$258,6,FALSE)),"",(VLOOKUP($E41,'A-1 Site Habitat Baseline'!$D$1:$O$258,6,FALSE))))</f>
        <v/>
      </c>
      <c r="I41" s="520" t="str">
        <f>IF(E41="","",IF(ISNA(VLOOKUP($E41,'A-1 Site Habitat Baseline'!$D$1:$O$258,7,FALSE)),"",(VLOOKUP($E41,'A-1 Site Habitat Baseline'!$D$1:$O$258,7,FALSE))))</f>
        <v/>
      </c>
      <c r="J41" s="520" t="str">
        <f>IF(E41="","",IF(ISNA(VLOOKUP($E41,'A-1 Site Habitat Baseline'!$D$1:$O$258,8,FALSE)),"",(VLOOKUP($E41,'A-1 Site Habitat Baseline'!$D$1:$O$258,8,FALSE))))</f>
        <v/>
      </c>
      <c r="K41" s="520" t="str">
        <f>IF(E41="","",IF(ISNA(VLOOKUP($E41,'A-1 Site Habitat Baseline'!$D$1:$O$258,9,FALSE)),"",(VLOOKUP($E41,'A-1 Site Habitat Baseline'!$D$1:$O$258,9,FALSE))))</f>
        <v/>
      </c>
      <c r="L41" s="520" t="str">
        <f>IF(E41="","",IF(ISNA(VLOOKUP($E41,'A-1 Site Habitat Baseline'!$D$1:$O$258,11,FALSE)),"",(VLOOKUP($E41,'A-1 Site Habitat Baseline'!$D$1:$O$258,11,FALSE))))</f>
        <v/>
      </c>
      <c r="M41" s="520" t="str">
        <f>IF(E41="","",IF(ISNA(VLOOKUP($E41,'A-1 Site Habitat Baseline'!$D$1:$O$258,12,FALSE)),"",(VLOOKUP($E41,'A-1 Site Habitat Baseline'!$D$1:$O$258,12,FALSE))))</f>
        <v/>
      </c>
      <c r="N41" s="532" t="str">
        <f>IF(E41="","",IF(ISNA(VLOOKUP($E41,'A-1 Site Habitat Baseline'!$D$1:$X$258,14,FALSE)),"",(VLOOKUP($E41,'A-1 Site Habitat Baseline'!$D$1:$X$258,14,FALSE))))</f>
        <v/>
      </c>
      <c r="O41" s="524" t="str">
        <f>IF(E41="","",IF(ISNA(VLOOKUP($E41,'A-1 Site Habitat Baseline'!$D$1:$X$258,16,FALSE)),"",(VLOOKUP($E41,'A-1 Site Habitat Baseline'!$D$1:$X$258,13,FALSE))))</f>
        <v/>
      </c>
      <c r="P41" s="237" t="str">
        <f>IFERROR(INDEX('G-1 All Habitats'!$AG$3:$AG$15,MATCH(Q41,'G-1 All Habitats'!$AF$3:$AF$15,0)),"")</f>
        <v/>
      </c>
      <c r="Q41" s="238" t="str">
        <f t="shared" si="2"/>
        <v/>
      </c>
      <c r="R41" s="238" t="str">
        <f t="shared" si="11"/>
        <v/>
      </c>
      <c r="S41" s="392" t="str">
        <f>IFERROR(INDEX('G-1 All Habitats'!$B$3:$B$129,MATCH(R41,'G-1 All Habitats'!$A$3:$A$129,0)),"")</f>
        <v/>
      </c>
      <c r="T41" s="498" t="str">
        <f t="shared" si="3"/>
        <v/>
      </c>
      <c r="U41" s="499" t="str">
        <f t="shared" si="4"/>
        <v/>
      </c>
      <c r="V41" s="537" t="str">
        <f t="shared" si="5"/>
        <v/>
      </c>
      <c r="W41" s="520" t="str">
        <f>IF(S41="","",VLOOKUP(S41,'G-1 All Habitats'!$B$2:$M$129,10,FALSE))</f>
        <v/>
      </c>
      <c r="X41" s="520" t="str">
        <f>IFERROR(VLOOKUP(W41,'G-1 All Habitats'!$V$3:$W$7,2,FALSE),"")</f>
        <v/>
      </c>
      <c r="Y41" s="79"/>
      <c r="Z41" s="524" t="str">
        <f>IFERROR(INDEX('G-8 Condition Look up'!$A$3:$H$130,MATCH(S41,'G-8 Condition Look up'!$A$3:$A$130,0),MATCH(Y41,'G-8 Condition Look up'!$A$3:$H$3,0)),"")</f>
        <v/>
      </c>
      <c r="AA41" s="71"/>
      <c r="AB41" s="520" t="str">
        <f>IF(AA41="","",IF(VLOOKUP(AA41,'G-3 Multipliers'!$L$3:$N$6,2,FALSE)=0,"Spatial Data Missing ⚠",VLOOKUP(AA41,'G-3 Multipliers'!$L$3:$N$6,2,FALSE)))</f>
        <v/>
      </c>
      <c r="AC41" s="524" t="str">
        <f>IF(AA41="","",IF(VLOOKUP(AA41,'G-3 Multipliers'!$L$3:$N$6,3,FALSE)=0,"Spatial Data Missing ⚠",VLOOKUP(AA41,'G-3 Multipliers'!$L$3:$N$6,3,FALSE)))</f>
        <v/>
      </c>
      <c r="AD41" s="539" t="str">
        <f t="shared" si="1"/>
        <v/>
      </c>
      <c r="AE41" s="82"/>
      <c r="AF41" s="82"/>
      <c r="AG41" s="507" t="str">
        <f t="shared" si="6"/>
        <v/>
      </c>
      <c r="AH41" s="521" t="str">
        <f t="shared" si="7"/>
        <v/>
      </c>
      <c r="AI41" s="522" t="str">
        <f>IF(AH41="Check Data","Check Data",IFERROR(VLOOKUP(AH41,'G-4 Temporal multipliers'!$A$4:$C$36,3,FALSE),""))</f>
        <v/>
      </c>
      <c r="AJ41" s="498" t="str">
        <f>IF(S41="","",VLOOKUP(S41,'G-3 Multipliers'!$A$2:$E$129,4,FALSE))</f>
        <v/>
      </c>
      <c r="AK41" s="507" t="str">
        <f t="shared" si="8"/>
        <v/>
      </c>
      <c r="AL41" s="507" t="str">
        <f t="shared" si="9"/>
        <v/>
      </c>
      <c r="AM41" s="540" t="str">
        <f>IFERROR(IF(F41="","",IF(AH41="Check Data ⚠","Check Data ⚠",VLOOKUP(AL41, 'G-3 Multipliers'!$P$2:$Q$6,2,FALSE))),"")</f>
        <v/>
      </c>
      <c r="AN41" s="513" t="str">
        <f t="shared" si="10"/>
        <v/>
      </c>
      <c r="AO41" s="239"/>
      <c r="AP41" s="240"/>
    </row>
    <row r="42" spans="1:42" x14ac:dyDescent="0.25">
      <c r="A42" s="47" t="str">
        <f>IF(E42="","",IF(ISNA(VLOOKUP($E42,'A-1 Site Habitat Baseline'!$D$1:$O$258,2,FALSE)),"",(VLOOKUP($E42,'A-1 Site Habitat Baseline'!$D$1:$O$258,2,FALSE))))</f>
        <v/>
      </c>
      <c r="B42" s="47" t="str">
        <f>IF(E42="","",IF(ISNA(VLOOKUP($E42,'A-1 Site Habitat Baseline'!$D$1:$O$258,3,FALSE)),"",(VLOOKUP($E42,'A-1 Site Habitat Baseline'!$D$1:$O$258,3,FALSE))))</f>
        <v/>
      </c>
      <c r="C42" s="47" t="str">
        <f>IFERROR(INDEX('G-8 Condition Look up'!$I$4:$I$130,MATCH(S42,'G-8 Condition Look up'!$A$4:$A$130,0)),"")</f>
        <v/>
      </c>
      <c r="E42" s="531" t="str">
        <f>'A-1 Site Habitat Baseline'!AL41</f>
        <v/>
      </c>
      <c r="F42" s="520" t="str">
        <f>IF(E42="","",IF(ISNA(VLOOKUP($E42,'A-1 Site Habitat Baseline'!$D$1:$O$258,4,FALSE)),"",(VLOOKUP($E42,'A-1 Site Habitat Baseline'!$D$1:$O$258,4,FALSE))))</f>
        <v/>
      </c>
      <c r="G42" s="520" t="str">
        <f>IF(E42="","",IF(ISNA(VLOOKUP($E42,'A-1 Site Habitat Baseline'!$D$1:$O$258,5,FALSE)),"",(VLOOKUP($E42,'A-1 Site Habitat Baseline'!$D$1:$O$258,5,FALSE))))</f>
        <v/>
      </c>
      <c r="H42" s="520" t="str">
        <f>IF(E42="","",IF(ISNA(VLOOKUP($E42,'A-1 Site Habitat Baseline'!$D$1:$O$258,6,FALSE)),"",(VLOOKUP($E42,'A-1 Site Habitat Baseline'!$D$1:$O$258,6,FALSE))))</f>
        <v/>
      </c>
      <c r="I42" s="520" t="str">
        <f>IF(E42="","",IF(ISNA(VLOOKUP($E42,'A-1 Site Habitat Baseline'!$D$1:$O$258,7,FALSE)),"",(VLOOKUP($E42,'A-1 Site Habitat Baseline'!$D$1:$O$258,7,FALSE))))</f>
        <v/>
      </c>
      <c r="J42" s="520" t="str">
        <f>IF(E42="","",IF(ISNA(VLOOKUP($E42,'A-1 Site Habitat Baseline'!$D$1:$O$258,8,FALSE)),"",(VLOOKUP($E42,'A-1 Site Habitat Baseline'!$D$1:$O$258,8,FALSE))))</f>
        <v/>
      </c>
      <c r="K42" s="520" t="str">
        <f>IF(E42="","",IF(ISNA(VLOOKUP($E42,'A-1 Site Habitat Baseline'!$D$1:$O$258,9,FALSE)),"",(VLOOKUP($E42,'A-1 Site Habitat Baseline'!$D$1:$O$258,9,FALSE))))</f>
        <v/>
      </c>
      <c r="L42" s="520" t="str">
        <f>IF(E42="","",IF(ISNA(VLOOKUP($E42,'A-1 Site Habitat Baseline'!$D$1:$O$258,11,FALSE)),"",(VLOOKUP($E42,'A-1 Site Habitat Baseline'!$D$1:$O$258,11,FALSE))))</f>
        <v/>
      </c>
      <c r="M42" s="520" t="str">
        <f>IF(E42="","",IF(ISNA(VLOOKUP($E42,'A-1 Site Habitat Baseline'!$D$1:$O$258,12,FALSE)),"",(VLOOKUP($E42,'A-1 Site Habitat Baseline'!$D$1:$O$258,12,FALSE))))</f>
        <v/>
      </c>
      <c r="N42" s="532" t="str">
        <f>IF(E42="","",IF(ISNA(VLOOKUP($E42,'A-1 Site Habitat Baseline'!$D$1:$X$258,14,FALSE)),"",(VLOOKUP($E42,'A-1 Site Habitat Baseline'!$D$1:$X$258,14,FALSE))))</f>
        <v/>
      </c>
      <c r="O42" s="524" t="str">
        <f>IF(E42="","",IF(ISNA(VLOOKUP($E42,'A-1 Site Habitat Baseline'!$D$1:$X$258,16,FALSE)),"",(VLOOKUP($E42,'A-1 Site Habitat Baseline'!$D$1:$X$258,13,FALSE))))</f>
        <v/>
      </c>
      <c r="P42" s="237" t="str">
        <f>IFERROR(INDEX('G-1 All Habitats'!$AG$3:$AG$15,MATCH(Q42,'G-1 All Habitats'!$AF$3:$AF$15,0)),"")</f>
        <v/>
      </c>
      <c r="Q42" s="238" t="str">
        <f t="shared" si="2"/>
        <v/>
      </c>
      <c r="R42" s="238" t="str">
        <f t="shared" si="11"/>
        <v/>
      </c>
      <c r="S42" s="392" t="str">
        <f>IFERROR(INDEX('G-1 All Habitats'!$B$3:$B$129,MATCH(R42,'G-1 All Habitats'!$A$3:$A$129,0)),"")</f>
        <v/>
      </c>
      <c r="T42" s="498" t="str">
        <f t="shared" si="3"/>
        <v/>
      </c>
      <c r="U42" s="499" t="str">
        <f t="shared" si="4"/>
        <v/>
      </c>
      <c r="V42" s="537" t="str">
        <f t="shared" si="5"/>
        <v/>
      </c>
      <c r="W42" s="520" t="str">
        <f>IF(S42="","",VLOOKUP(S42,'G-1 All Habitats'!$B$2:$M$129,10,FALSE))</f>
        <v/>
      </c>
      <c r="X42" s="520" t="str">
        <f>IFERROR(VLOOKUP(W42,'G-1 All Habitats'!$V$3:$W$7,2,FALSE),"")</f>
        <v/>
      </c>
      <c r="Y42" s="79"/>
      <c r="Z42" s="524" t="str">
        <f>IFERROR(INDEX('G-8 Condition Look up'!$A$3:$H$130,MATCH(S42,'G-8 Condition Look up'!$A$3:$A$130,0),MATCH(Y42,'G-8 Condition Look up'!$A$3:$H$3,0)),"")</f>
        <v/>
      </c>
      <c r="AA42" s="71"/>
      <c r="AB42" s="520" t="str">
        <f>IF(AA42="","",IF(VLOOKUP(AA42,'G-3 Multipliers'!$L$3:$N$6,2,FALSE)=0,"Spatial Data Missing ⚠",VLOOKUP(AA42,'G-3 Multipliers'!$L$3:$N$6,2,FALSE)))</f>
        <v/>
      </c>
      <c r="AC42" s="524" t="str">
        <f>IF(AA42="","",IF(VLOOKUP(AA42,'G-3 Multipliers'!$L$3:$N$6,3,FALSE)=0,"Spatial Data Missing ⚠",VLOOKUP(AA42,'G-3 Multipliers'!$L$3:$N$6,3,FALSE)))</f>
        <v/>
      </c>
      <c r="AD42" s="539" t="str">
        <f t="shared" si="1"/>
        <v/>
      </c>
      <c r="AE42" s="82"/>
      <c r="AF42" s="82"/>
      <c r="AG42" s="507" t="str">
        <f t="shared" si="6"/>
        <v/>
      </c>
      <c r="AH42" s="521" t="str">
        <f t="shared" si="7"/>
        <v/>
      </c>
      <c r="AI42" s="522" t="str">
        <f>IF(AH42="Check Data","Check Data",IFERROR(VLOOKUP(AH42,'G-4 Temporal multipliers'!$A$4:$C$36,3,FALSE),""))</f>
        <v/>
      </c>
      <c r="AJ42" s="498" t="str">
        <f>IF(S42="","",VLOOKUP(S42,'G-3 Multipliers'!$A$2:$E$129,4,FALSE))</f>
        <v/>
      </c>
      <c r="AK42" s="507" t="str">
        <f t="shared" si="8"/>
        <v/>
      </c>
      <c r="AL42" s="507" t="str">
        <f t="shared" si="9"/>
        <v/>
      </c>
      <c r="AM42" s="540" t="str">
        <f>IFERROR(IF(F42="","",IF(AH42="Check Data ⚠","Check Data ⚠",VLOOKUP(AL42, 'G-3 Multipliers'!$P$2:$Q$6,2,FALSE))),"")</f>
        <v/>
      </c>
      <c r="AN42" s="513" t="str">
        <f t="shared" si="10"/>
        <v/>
      </c>
      <c r="AO42" s="239"/>
      <c r="AP42" s="240"/>
    </row>
    <row r="43" spans="1:42" x14ac:dyDescent="0.25">
      <c r="A43" s="47" t="str">
        <f>IF(E43="","",IF(ISNA(VLOOKUP($E43,'A-1 Site Habitat Baseline'!$D$1:$O$258,2,FALSE)),"",(VLOOKUP($E43,'A-1 Site Habitat Baseline'!$D$1:$O$258,2,FALSE))))</f>
        <v/>
      </c>
      <c r="B43" s="47" t="str">
        <f>IF(E43="","",IF(ISNA(VLOOKUP($E43,'A-1 Site Habitat Baseline'!$D$1:$O$258,3,FALSE)),"",(VLOOKUP($E43,'A-1 Site Habitat Baseline'!$D$1:$O$258,3,FALSE))))</f>
        <v/>
      </c>
      <c r="C43" s="47" t="str">
        <f>IFERROR(INDEX('G-8 Condition Look up'!$I$4:$I$130,MATCH(S43,'G-8 Condition Look up'!$A$4:$A$130,0)),"")</f>
        <v/>
      </c>
      <c r="E43" s="531" t="str">
        <f>'A-1 Site Habitat Baseline'!AL42</f>
        <v/>
      </c>
      <c r="F43" s="520" t="str">
        <f>IF(E43="","",IF(ISNA(VLOOKUP($E43,'A-1 Site Habitat Baseline'!$D$1:$O$258,4,FALSE)),"",(VLOOKUP($E43,'A-1 Site Habitat Baseline'!$D$1:$O$258,4,FALSE))))</f>
        <v/>
      </c>
      <c r="G43" s="520" t="str">
        <f>IF(E43="","",IF(ISNA(VLOOKUP($E43,'A-1 Site Habitat Baseline'!$D$1:$O$258,5,FALSE)),"",(VLOOKUP($E43,'A-1 Site Habitat Baseline'!$D$1:$O$258,5,FALSE))))</f>
        <v/>
      </c>
      <c r="H43" s="520" t="str">
        <f>IF(E43="","",IF(ISNA(VLOOKUP($E43,'A-1 Site Habitat Baseline'!$D$1:$O$258,6,FALSE)),"",(VLOOKUP($E43,'A-1 Site Habitat Baseline'!$D$1:$O$258,6,FALSE))))</f>
        <v/>
      </c>
      <c r="I43" s="520" t="str">
        <f>IF(E43="","",IF(ISNA(VLOOKUP($E43,'A-1 Site Habitat Baseline'!$D$1:$O$258,7,FALSE)),"",(VLOOKUP($E43,'A-1 Site Habitat Baseline'!$D$1:$O$258,7,FALSE))))</f>
        <v/>
      </c>
      <c r="J43" s="520" t="str">
        <f>IF(E43="","",IF(ISNA(VLOOKUP($E43,'A-1 Site Habitat Baseline'!$D$1:$O$258,8,FALSE)),"",(VLOOKUP($E43,'A-1 Site Habitat Baseline'!$D$1:$O$258,8,FALSE))))</f>
        <v/>
      </c>
      <c r="K43" s="520" t="str">
        <f>IF(E43="","",IF(ISNA(VLOOKUP($E43,'A-1 Site Habitat Baseline'!$D$1:$O$258,9,FALSE)),"",(VLOOKUP($E43,'A-1 Site Habitat Baseline'!$D$1:$O$258,9,FALSE))))</f>
        <v/>
      </c>
      <c r="L43" s="520" t="str">
        <f>IF(E43="","",IF(ISNA(VLOOKUP($E43,'A-1 Site Habitat Baseline'!$D$1:$O$258,11,FALSE)),"",(VLOOKUP($E43,'A-1 Site Habitat Baseline'!$D$1:$O$258,11,FALSE))))</f>
        <v/>
      </c>
      <c r="M43" s="520" t="str">
        <f>IF(E43="","",IF(ISNA(VLOOKUP($E43,'A-1 Site Habitat Baseline'!$D$1:$O$258,12,FALSE)),"",(VLOOKUP($E43,'A-1 Site Habitat Baseline'!$D$1:$O$258,12,FALSE))))</f>
        <v/>
      </c>
      <c r="N43" s="532" t="str">
        <f>IF(E43="","",IF(ISNA(VLOOKUP($E43,'A-1 Site Habitat Baseline'!$D$1:$X$258,14,FALSE)),"",(VLOOKUP($E43,'A-1 Site Habitat Baseline'!$D$1:$X$258,14,FALSE))))</f>
        <v/>
      </c>
      <c r="O43" s="524" t="str">
        <f>IF(E43="","",IF(ISNA(VLOOKUP($E43,'A-1 Site Habitat Baseline'!$D$1:$X$258,16,FALSE)),"",(VLOOKUP($E43,'A-1 Site Habitat Baseline'!$D$1:$X$258,13,FALSE))))</f>
        <v/>
      </c>
      <c r="P43" s="237" t="str">
        <f>IFERROR(INDEX('G-1 All Habitats'!$AG$3:$AG$15,MATCH(Q43,'G-1 All Habitats'!$AF$3:$AF$15,0)),"")</f>
        <v/>
      </c>
      <c r="Q43" s="238" t="str">
        <f t="shared" si="2"/>
        <v/>
      </c>
      <c r="R43" s="238" t="str">
        <f t="shared" si="11"/>
        <v/>
      </c>
      <c r="S43" s="392" t="str">
        <f>IFERROR(INDEX('G-1 All Habitats'!$B$3:$B$129,MATCH(R43,'G-1 All Habitats'!$A$3:$A$129,0)),"")</f>
        <v/>
      </c>
      <c r="T43" s="498" t="str">
        <f t="shared" si="3"/>
        <v/>
      </c>
      <c r="U43" s="499" t="str">
        <f t="shared" si="4"/>
        <v/>
      </c>
      <c r="V43" s="537" t="str">
        <f t="shared" si="5"/>
        <v/>
      </c>
      <c r="W43" s="520" t="str">
        <f>IF(S43="","",VLOOKUP(S43,'G-1 All Habitats'!$B$2:$M$129,10,FALSE))</f>
        <v/>
      </c>
      <c r="X43" s="520" t="str">
        <f>IFERROR(VLOOKUP(W43,'G-1 All Habitats'!$V$3:$W$7,2,FALSE),"")</f>
        <v/>
      </c>
      <c r="Y43" s="79"/>
      <c r="Z43" s="524" t="str">
        <f>IFERROR(INDEX('G-8 Condition Look up'!$A$3:$H$130,MATCH(S43,'G-8 Condition Look up'!$A$3:$A$130,0),MATCH(Y43,'G-8 Condition Look up'!$A$3:$H$3,0)),"")</f>
        <v/>
      </c>
      <c r="AA43" s="71"/>
      <c r="AB43" s="520" t="str">
        <f>IF(AA43="","",IF(VLOOKUP(AA43,'G-3 Multipliers'!$L$3:$N$6,2,FALSE)=0,"Spatial Data Missing ⚠",VLOOKUP(AA43,'G-3 Multipliers'!$L$3:$N$6,2,FALSE)))</f>
        <v/>
      </c>
      <c r="AC43" s="524" t="str">
        <f>IF(AA43="","",IF(VLOOKUP(AA43,'G-3 Multipliers'!$L$3:$N$6,3,FALSE)=0,"Spatial Data Missing ⚠",VLOOKUP(AA43,'G-3 Multipliers'!$L$3:$N$6,3,FALSE)))</f>
        <v/>
      </c>
      <c r="AD43" s="539" t="str">
        <f t="shared" si="1"/>
        <v/>
      </c>
      <c r="AE43" s="82"/>
      <c r="AF43" s="82"/>
      <c r="AG43" s="507" t="str">
        <f t="shared" si="6"/>
        <v/>
      </c>
      <c r="AH43" s="521" t="str">
        <f t="shared" si="7"/>
        <v/>
      </c>
      <c r="AI43" s="522" t="str">
        <f>IF(AH43="Check Data","Check Data",IFERROR(VLOOKUP(AH43,'G-4 Temporal multipliers'!$A$4:$C$36,3,FALSE),""))</f>
        <v/>
      </c>
      <c r="AJ43" s="498" t="str">
        <f>IF(S43="","",VLOOKUP(S43,'G-3 Multipliers'!$A$2:$E$129,4,FALSE))</f>
        <v/>
      </c>
      <c r="AK43" s="507" t="str">
        <f t="shared" si="8"/>
        <v/>
      </c>
      <c r="AL43" s="507" t="str">
        <f t="shared" si="9"/>
        <v/>
      </c>
      <c r="AM43" s="540" t="str">
        <f>IFERROR(IF(F43="","",IF(AH43="Check Data ⚠","Check Data ⚠",VLOOKUP(AL43, 'G-3 Multipliers'!$P$2:$Q$6,2,FALSE))),"")</f>
        <v/>
      </c>
      <c r="AN43" s="513" t="str">
        <f t="shared" si="10"/>
        <v/>
      </c>
      <c r="AO43" s="239"/>
      <c r="AP43" s="240"/>
    </row>
    <row r="44" spans="1:42" x14ac:dyDescent="0.25">
      <c r="A44" s="47" t="str">
        <f>IF(E44="","",IF(ISNA(VLOOKUP($E44,'A-1 Site Habitat Baseline'!$D$1:$O$258,2,FALSE)),"",(VLOOKUP($E44,'A-1 Site Habitat Baseline'!$D$1:$O$258,2,FALSE))))</f>
        <v/>
      </c>
      <c r="B44" s="47" t="str">
        <f>IF(E44="","",IF(ISNA(VLOOKUP($E44,'A-1 Site Habitat Baseline'!$D$1:$O$258,3,FALSE)),"",(VLOOKUP($E44,'A-1 Site Habitat Baseline'!$D$1:$O$258,3,FALSE))))</f>
        <v/>
      </c>
      <c r="C44" s="47" t="str">
        <f>IFERROR(INDEX('G-8 Condition Look up'!$I$4:$I$130,MATCH(S44,'G-8 Condition Look up'!$A$4:$A$130,0)),"")</f>
        <v/>
      </c>
      <c r="E44" s="531" t="str">
        <f>'A-1 Site Habitat Baseline'!AL43</f>
        <v/>
      </c>
      <c r="F44" s="520" t="str">
        <f>IF(E44="","",IF(ISNA(VLOOKUP($E44,'A-1 Site Habitat Baseline'!$D$1:$O$258,4,FALSE)),"",(VLOOKUP($E44,'A-1 Site Habitat Baseline'!$D$1:$O$258,4,FALSE))))</f>
        <v/>
      </c>
      <c r="G44" s="520" t="str">
        <f>IF(E44="","",IF(ISNA(VLOOKUP($E44,'A-1 Site Habitat Baseline'!$D$1:$O$258,5,FALSE)),"",(VLOOKUP($E44,'A-1 Site Habitat Baseline'!$D$1:$O$258,5,FALSE))))</f>
        <v/>
      </c>
      <c r="H44" s="520" t="str">
        <f>IF(E44="","",IF(ISNA(VLOOKUP($E44,'A-1 Site Habitat Baseline'!$D$1:$O$258,6,FALSE)),"",(VLOOKUP($E44,'A-1 Site Habitat Baseline'!$D$1:$O$258,6,FALSE))))</f>
        <v/>
      </c>
      <c r="I44" s="520" t="str">
        <f>IF(E44="","",IF(ISNA(VLOOKUP($E44,'A-1 Site Habitat Baseline'!$D$1:$O$258,7,FALSE)),"",(VLOOKUP($E44,'A-1 Site Habitat Baseline'!$D$1:$O$258,7,FALSE))))</f>
        <v/>
      </c>
      <c r="J44" s="520" t="str">
        <f>IF(E44="","",IF(ISNA(VLOOKUP($E44,'A-1 Site Habitat Baseline'!$D$1:$O$258,8,FALSE)),"",(VLOOKUP($E44,'A-1 Site Habitat Baseline'!$D$1:$O$258,8,FALSE))))</f>
        <v/>
      </c>
      <c r="K44" s="520" t="str">
        <f>IF(E44="","",IF(ISNA(VLOOKUP($E44,'A-1 Site Habitat Baseline'!$D$1:$O$258,9,FALSE)),"",(VLOOKUP($E44,'A-1 Site Habitat Baseline'!$D$1:$O$258,9,FALSE))))</f>
        <v/>
      </c>
      <c r="L44" s="520" t="str">
        <f>IF(E44="","",IF(ISNA(VLOOKUP($E44,'A-1 Site Habitat Baseline'!$D$1:$O$258,11,FALSE)),"",(VLOOKUP($E44,'A-1 Site Habitat Baseline'!$D$1:$O$258,11,FALSE))))</f>
        <v/>
      </c>
      <c r="M44" s="520" t="str">
        <f>IF(E44="","",IF(ISNA(VLOOKUP($E44,'A-1 Site Habitat Baseline'!$D$1:$O$258,12,FALSE)),"",(VLOOKUP($E44,'A-1 Site Habitat Baseline'!$D$1:$O$258,12,FALSE))))</f>
        <v/>
      </c>
      <c r="N44" s="532" t="str">
        <f>IF(E44="","",IF(ISNA(VLOOKUP($E44,'A-1 Site Habitat Baseline'!$D$1:$X$258,14,FALSE)),"",(VLOOKUP($E44,'A-1 Site Habitat Baseline'!$D$1:$X$258,14,FALSE))))</f>
        <v/>
      </c>
      <c r="O44" s="524" t="str">
        <f>IF(E44="","",IF(ISNA(VLOOKUP($E44,'A-1 Site Habitat Baseline'!$D$1:$X$258,16,FALSE)),"",(VLOOKUP($E44,'A-1 Site Habitat Baseline'!$D$1:$X$258,13,FALSE))))</f>
        <v/>
      </c>
      <c r="P44" s="237" t="str">
        <f>IFERROR(INDEX('G-1 All Habitats'!$AG$3:$AG$15,MATCH(Q44,'G-1 All Habitats'!$AF$3:$AF$15,0)),"")</f>
        <v/>
      </c>
      <c r="Q44" s="238" t="str">
        <f t="shared" si="2"/>
        <v/>
      </c>
      <c r="R44" s="238" t="str">
        <f t="shared" si="11"/>
        <v/>
      </c>
      <c r="S44" s="392" t="str">
        <f>IFERROR(INDEX('G-1 All Habitats'!$B$3:$B$129,MATCH(R44,'G-1 All Habitats'!$A$3:$A$129,0)),"")</f>
        <v/>
      </c>
      <c r="T44" s="498" t="str">
        <f t="shared" si="3"/>
        <v/>
      </c>
      <c r="U44" s="499" t="str">
        <f t="shared" si="4"/>
        <v/>
      </c>
      <c r="V44" s="537" t="str">
        <f t="shared" si="5"/>
        <v/>
      </c>
      <c r="W44" s="520" t="str">
        <f>IF(S44="","",VLOOKUP(S44,'G-1 All Habitats'!$B$2:$M$129,10,FALSE))</f>
        <v/>
      </c>
      <c r="X44" s="520" t="str">
        <f>IFERROR(VLOOKUP(W44,'G-1 All Habitats'!$V$3:$W$7,2,FALSE),"")</f>
        <v/>
      </c>
      <c r="Y44" s="79"/>
      <c r="Z44" s="524" t="str">
        <f>IFERROR(INDEX('G-8 Condition Look up'!$A$3:$H$130,MATCH(S44,'G-8 Condition Look up'!$A$3:$A$130,0),MATCH(Y44,'G-8 Condition Look up'!$A$3:$H$3,0)),"")</f>
        <v/>
      </c>
      <c r="AA44" s="71"/>
      <c r="AB44" s="520" t="str">
        <f>IF(AA44="","",IF(VLOOKUP(AA44,'G-3 Multipliers'!$L$3:$N$6,2,FALSE)=0,"Spatial Data Missing ⚠",VLOOKUP(AA44,'G-3 Multipliers'!$L$3:$N$6,2,FALSE)))</f>
        <v/>
      </c>
      <c r="AC44" s="524" t="str">
        <f>IF(AA44="","",IF(VLOOKUP(AA44,'G-3 Multipliers'!$L$3:$N$6,3,FALSE)=0,"Spatial Data Missing ⚠",VLOOKUP(AA44,'G-3 Multipliers'!$L$3:$N$6,3,FALSE)))</f>
        <v/>
      </c>
      <c r="AD44" s="539" t="str">
        <f t="shared" si="1"/>
        <v/>
      </c>
      <c r="AE44" s="82"/>
      <c r="AF44" s="82"/>
      <c r="AG44" s="507" t="str">
        <f t="shared" si="6"/>
        <v/>
      </c>
      <c r="AH44" s="521" t="str">
        <f t="shared" si="7"/>
        <v/>
      </c>
      <c r="AI44" s="522" t="str">
        <f>IF(AH44="Check Data","Check Data",IFERROR(VLOOKUP(AH44,'G-4 Temporal multipliers'!$A$4:$C$36,3,FALSE),""))</f>
        <v/>
      </c>
      <c r="AJ44" s="498" t="str">
        <f>IF(S44="","",VLOOKUP(S44,'G-3 Multipliers'!$A$2:$E$129,4,FALSE))</f>
        <v/>
      </c>
      <c r="AK44" s="507" t="str">
        <f t="shared" si="8"/>
        <v/>
      </c>
      <c r="AL44" s="507" t="str">
        <f t="shared" si="9"/>
        <v/>
      </c>
      <c r="AM44" s="540" t="str">
        <f>IFERROR(IF(F44="","",IF(AH44="Check Data ⚠","Check Data ⚠",VLOOKUP(AL44, 'G-3 Multipliers'!$P$2:$Q$6,2,FALSE))),"")</f>
        <v/>
      </c>
      <c r="AN44" s="513" t="str">
        <f t="shared" si="10"/>
        <v/>
      </c>
      <c r="AO44" s="239"/>
      <c r="AP44" s="240"/>
    </row>
    <row r="45" spans="1:42" x14ac:dyDescent="0.25">
      <c r="A45" s="47" t="str">
        <f>IF(E45="","",IF(ISNA(VLOOKUP($E45,'A-1 Site Habitat Baseline'!$D$1:$O$258,2,FALSE)),"",(VLOOKUP($E45,'A-1 Site Habitat Baseline'!$D$1:$O$258,2,FALSE))))</f>
        <v/>
      </c>
      <c r="B45" s="47" t="str">
        <f>IF(E45="","",IF(ISNA(VLOOKUP($E45,'A-1 Site Habitat Baseline'!$D$1:$O$258,3,FALSE)),"",(VLOOKUP($E45,'A-1 Site Habitat Baseline'!$D$1:$O$258,3,FALSE))))</f>
        <v/>
      </c>
      <c r="C45" s="47" t="str">
        <f>IFERROR(INDEX('G-8 Condition Look up'!$I$4:$I$130,MATCH(S45,'G-8 Condition Look up'!$A$4:$A$130,0)),"")</f>
        <v/>
      </c>
      <c r="E45" s="531" t="str">
        <f>'A-1 Site Habitat Baseline'!AL44</f>
        <v/>
      </c>
      <c r="F45" s="520" t="str">
        <f>IF(E45="","",IF(ISNA(VLOOKUP($E45,'A-1 Site Habitat Baseline'!$D$1:$O$258,4,FALSE)),"",(VLOOKUP($E45,'A-1 Site Habitat Baseline'!$D$1:$O$258,4,FALSE))))</f>
        <v/>
      </c>
      <c r="G45" s="520" t="str">
        <f>IF(E45="","",IF(ISNA(VLOOKUP($E45,'A-1 Site Habitat Baseline'!$D$1:$O$258,5,FALSE)),"",(VLOOKUP($E45,'A-1 Site Habitat Baseline'!$D$1:$O$258,5,FALSE))))</f>
        <v/>
      </c>
      <c r="H45" s="520" t="str">
        <f>IF(E45="","",IF(ISNA(VLOOKUP($E45,'A-1 Site Habitat Baseline'!$D$1:$O$258,6,FALSE)),"",(VLOOKUP($E45,'A-1 Site Habitat Baseline'!$D$1:$O$258,6,FALSE))))</f>
        <v/>
      </c>
      <c r="I45" s="520" t="str">
        <f>IF(E45="","",IF(ISNA(VLOOKUP($E45,'A-1 Site Habitat Baseline'!$D$1:$O$258,7,FALSE)),"",(VLOOKUP($E45,'A-1 Site Habitat Baseline'!$D$1:$O$258,7,FALSE))))</f>
        <v/>
      </c>
      <c r="J45" s="520" t="str">
        <f>IF(E45="","",IF(ISNA(VLOOKUP($E45,'A-1 Site Habitat Baseline'!$D$1:$O$258,8,FALSE)),"",(VLOOKUP($E45,'A-1 Site Habitat Baseline'!$D$1:$O$258,8,FALSE))))</f>
        <v/>
      </c>
      <c r="K45" s="520" t="str">
        <f>IF(E45="","",IF(ISNA(VLOOKUP($E45,'A-1 Site Habitat Baseline'!$D$1:$O$258,9,FALSE)),"",(VLOOKUP($E45,'A-1 Site Habitat Baseline'!$D$1:$O$258,9,FALSE))))</f>
        <v/>
      </c>
      <c r="L45" s="520" t="str">
        <f>IF(E45="","",IF(ISNA(VLOOKUP($E45,'A-1 Site Habitat Baseline'!$D$1:$O$258,11,FALSE)),"",(VLOOKUP($E45,'A-1 Site Habitat Baseline'!$D$1:$O$258,11,FALSE))))</f>
        <v/>
      </c>
      <c r="M45" s="520" t="str">
        <f>IF(E45="","",IF(ISNA(VLOOKUP($E45,'A-1 Site Habitat Baseline'!$D$1:$O$258,12,FALSE)),"",(VLOOKUP($E45,'A-1 Site Habitat Baseline'!$D$1:$O$258,12,FALSE))))</f>
        <v/>
      </c>
      <c r="N45" s="532" t="str">
        <f>IF(E45="","",IF(ISNA(VLOOKUP($E45,'A-1 Site Habitat Baseline'!$D$1:$X$258,14,FALSE)),"",(VLOOKUP($E45,'A-1 Site Habitat Baseline'!$D$1:$X$258,14,FALSE))))</f>
        <v/>
      </c>
      <c r="O45" s="524" t="str">
        <f>IF(E45="","",IF(ISNA(VLOOKUP($E45,'A-1 Site Habitat Baseline'!$D$1:$X$258,16,FALSE)),"",(VLOOKUP($E45,'A-1 Site Habitat Baseline'!$D$1:$X$258,13,FALSE))))</f>
        <v/>
      </c>
      <c r="P45" s="237" t="str">
        <f>IFERROR(INDEX('G-1 All Habitats'!$AG$3:$AG$15,MATCH(Q45,'G-1 All Habitats'!$AF$3:$AF$15,0)),"")</f>
        <v/>
      </c>
      <c r="Q45" s="238" t="str">
        <f t="shared" si="2"/>
        <v/>
      </c>
      <c r="R45" s="238" t="str">
        <f t="shared" si="11"/>
        <v/>
      </c>
      <c r="S45" s="392" t="str">
        <f>IFERROR(INDEX('G-1 All Habitats'!$B$3:$B$129,MATCH(R45,'G-1 All Habitats'!$A$3:$A$129,0)),"")</f>
        <v/>
      </c>
      <c r="T45" s="498" t="str">
        <f t="shared" si="3"/>
        <v/>
      </c>
      <c r="U45" s="499" t="str">
        <f t="shared" si="4"/>
        <v/>
      </c>
      <c r="V45" s="537" t="str">
        <f t="shared" si="5"/>
        <v/>
      </c>
      <c r="W45" s="520" t="str">
        <f>IF(S45="","",VLOOKUP(S45,'G-1 All Habitats'!$B$2:$M$129,10,FALSE))</f>
        <v/>
      </c>
      <c r="X45" s="520" t="str">
        <f>IFERROR(VLOOKUP(W45,'G-1 All Habitats'!$V$3:$W$7,2,FALSE),"")</f>
        <v/>
      </c>
      <c r="Y45" s="79"/>
      <c r="Z45" s="524" t="str">
        <f>IFERROR(INDEX('G-8 Condition Look up'!$A$3:$H$130,MATCH(S45,'G-8 Condition Look up'!$A$3:$A$130,0),MATCH(Y45,'G-8 Condition Look up'!$A$3:$H$3,0)),"")</f>
        <v/>
      </c>
      <c r="AA45" s="71"/>
      <c r="AB45" s="520" t="str">
        <f>IF(AA45="","",IF(VLOOKUP(AA45,'G-3 Multipliers'!$L$3:$N$6,2,FALSE)=0,"Spatial Data Missing ⚠",VLOOKUP(AA45,'G-3 Multipliers'!$L$3:$N$6,2,FALSE)))</f>
        <v/>
      </c>
      <c r="AC45" s="524" t="str">
        <f>IF(AA45="","",IF(VLOOKUP(AA45,'G-3 Multipliers'!$L$3:$N$6,3,FALSE)=0,"Spatial Data Missing ⚠",VLOOKUP(AA45,'G-3 Multipliers'!$L$3:$N$6,3,FALSE)))</f>
        <v/>
      </c>
      <c r="AD45" s="539" t="str">
        <f t="shared" si="1"/>
        <v/>
      </c>
      <c r="AE45" s="82"/>
      <c r="AF45" s="82"/>
      <c r="AG45" s="507" t="str">
        <f t="shared" si="6"/>
        <v/>
      </c>
      <c r="AH45" s="521" t="str">
        <f t="shared" si="7"/>
        <v/>
      </c>
      <c r="AI45" s="522" t="str">
        <f>IF(AH45="Check Data","Check Data",IFERROR(VLOOKUP(AH45,'G-4 Temporal multipliers'!$A$4:$C$36,3,FALSE),""))</f>
        <v/>
      </c>
      <c r="AJ45" s="498" t="str">
        <f>IF(S45="","",VLOOKUP(S45,'G-3 Multipliers'!$A$2:$E$129,4,FALSE))</f>
        <v/>
      </c>
      <c r="AK45" s="507" t="str">
        <f t="shared" si="8"/>
        <v/>
      </c>
      <c r="AL45" s="507" t="str">
        <f t="shared" si="9"/>
        <v/>
      </c>
      <c r="AM45" s="540" t="str">
        <f>IFERROR(IF(F45="","",IF(AH45="Check Data ⚠","Check Data ⚠",VLOOKUP(AL45, 'G-3 Multipliers'!$P$2:$Q$6,2,FALSE))),"")</f>
        <v/>
      </c>
      <c r="AN45" s="513" t="str">
        <f t="shared" si="10"/>
        <v/>
      </c>
      <c r="AO45" s="239"/>
      <c r="AP45" s="240"/>
    </row>
    <row r="46" spans="1:42" x14ac:dyDescent="0.25">
      <c r="A46" s="47" t="str">
        <f>IF(E46="","",IF(ISNA(VLOOKUP($E46,'A-1 Site Habitat Baseline'!$D$1:$O$258,2,FALSE)),"",(VLOOKUP($E46,'A-1 Site Habitat Baseline'!$D$1:$O$258,2,FALSE))))</f>
        <v/>
      </c>
      <c r="B46" s="47" t="str">
        <f>IF(E46="","",IF(ISNA(VLOOKUP($E46,'A-1 Site Habitat Baseline'!$D$1:$O$258,3,FALSE)),"",(VLOOKUP($E46,'A-1 Site Habitat Baseline'!$D$1:$O$258,3,FALSE))))</f>
        <v/>
      </c>
      <c r="C46" s="47" t="str">
        <f>IFERROR(INDEX('G-8 Condition Look up'!$I$4:$I$130,MATCH(S46,'G-8 Condition Look up'!$A$4:$A$130,0)),"")</f>
        <v/>
      </c>
      <c r="E46" s="531" t="str">
        <f>'A-1 Site Habitat Baseline'!AL45</f>
        <v/>
      </c>
      <c r="F46" s="520" t="str">
        <f>IF(E46="","",IF(ISNA(VLOOKUP($E46,'A-1 Site Habitat Baseline'!$D$1:$O$258,4,FALSE)),"",(VLOOKUP($E46,'A-1 Site Habitat Baseline'!$D$1:$O$258,4,FALSE))))</f>
        <v/>
      </c>
      <c r="G46" s="520" t="str">
        <f>IF(E46="","",IF(ISNA(VLOOKUP($E46,'A-1 Site Habitat Baseline'!$D$1:$O$258,5,FALSE)),"",(VLOOKUP($E46,'A-1 Site Habitat Baseline'!$D$1:$O$258,5,FALSE))))</f>
        <v/>
      </c>
      <c r="H46" s="520" t="str">
        <f>IF(E46="","",IF(ISNA(VLOOKUP($E46,'A-1 Site Habitat Baseline'!$D$1:$O$258,6,FALSE)),"",(VLOOKUP($E46,'A-1 Site Habitat Baseline'!$D$1:$O$258,6,FALSE))))</f>
        <v/>
      </c>
      <c r="I46" s="520" t="str">
        <f>IF(E46="","",IF(ISNA(VLOOKUP($E46,'A-1 Site Habitat Baseline'!$D$1:$O$258,7,FALSE)),"",(VLOOKUP($E46,'A-1 Site Habitat Baseline'!$D$1:$O$258,7,FALSE))))</f>
        <v/>
      </c>
      <c r="J46" s="520" t="str">
        <f>IF(E46="","",IF(ISNA(VLOOKUP($E46,'A-1 Site Habitat Baseline'!$D$1:$O$258,8,FALSE)),"",(VLOOKUP($E46,'A-1 Site Habitat Baseline'!$D$1:$O$258,8,FALSE))))</f>
        <v/>
      </c>
      <c r="K46" s="520" t="str">
        <f>IF(E46="","",IF(ISNA(VLOOKUP($E46,'A-1 Site Habitat Baseline'!$D$1:$O$258,9,FALSE)),"",(VLOOKUP($E46,'A-1 Site Habitat Baseline'!$D$1:$O$258,9,FALSE))))</f>
        <v/>
      </c>
      <c r="L46" s="520" t="str">
        <f>IF(E46="","",IF(ISNA(VLOOKUP($E46,'A-1 Site Habitat Baseline'!$D$1:$O$258,11,FALSE)),"",(VLOOKUP($E46,'A-1 Site Habitat Baseline'!$D$1:$O$258,11,FALSE))))</f>
        <v/>
      </c>
      <c r="M46" s="520" t="str">
        <f>IF(E46="","",IF(ISNA(VLOOKUP($E46,'A-1 Site Habitat Baseline'!$D$1:$O$258,12,FALSE)),"",(VLOOKUP($E46,'A-1 Site Habitat Baseline'!$D$1:$O$258,12,FALSE))))</f>
        <v/>
      </c>
      <c r="N46" s="532" t="str">
        <f>IF(E46="","",IF(ISNA(VLOOKUP($E46,'A-1 Site Habitat Baseline'!$D$1:$X$258,14,FALSE)),"",(VLOOKUP($E46,'A-1 Site Habitat Baseline'!$D$1:$X$258,14,FALSE))))</f>
        <v/>
      </c>
      <c r="O46" s="524" t="str">
        <f>IF(E46="","",IF(ISNA(VLOOKUP($E46,'A-1 Site Habitat Baseline'!$D$1:$X$258,16,FALSE)),"",(VLOOKUP($E46,'A-1 Site Habitat Baseline'!$D$1:$X$258,13,FALSE))))</f>
        <v/>
      </c>
      <c r="P46" s="237" t="str">
        <f>IFERROR(INDEX('G-1 All Habitats'!$AG$3:$AG$15,MATCH(Q46,'G-1 All Habitats'!$AF$3:$AF$15,0)),"")</f>
        <v/>
      </c>
      <c r="Q46" s="238" t="str">
        <f t="shared" si="2"/>
        <v/>
      </c>
      <c r="R46" s="238" t="str">
        <f t="shared" si="11"/>
        <v/>
      </c>
      <c r="S46" s="392" t="str">
        <f>IFERROR(INDEX('G-1 All Habitats'!$B$3:$B$129,MATCH(R46,'G-1 All Habitats'!$A$3:$A$129,0)),"")</f>
        <v/>
      </c>
      <c r="T46" s="498" t="str">
        <f t="shared" si="3"/>
        <v/>
      </c>
      <c r="U46" s="499" t="str">
        <f t="shared" si="4"/>
        <v/>
      </c>
      <c r="V46" s="537" t="str">
        <f t="shared" si="5"/>
        <v/>
      </c>
      <c r="W46" s="520" t="str">
        <f>IF(S46="","",VLOOKUP(S46,'G-1 All Habitats'!$B$2:$M$129,10,FALSE))</f>
        <v/>
      </c>
      <c r="X46" s="520" t="str">
        <f>IFERROR(VLOOKUP(W46,'G-1 All Habitats'!$V$3:$W$7,2,FALSE),"")</f>
        <v/>
      </c>
      <c r="Y46" s="79"/>
      <c r="Z46" s="524" t="str">
        <f>IFERROR(INDEX('G-8 Condition Look up'!$A$3:$H$130,MATCH(S46,'G-8 Condition Look up'!$A$3:$A$130,0),MATCH(Y46,'G-8 Condition Look up'!$A$3:$H$3,0)),"")</f>
        <v/>
      </c>
      <c r="AA46" s="71"/>
      <c r="AB46" s="520" t="str">
        <f>IF(AA46="","",IF(VLOOKUP(AA46,'G-3 Multipliers'!$L$3:$N$6,2,FALSE)=0,"Spatial Data Missing ⚠",VLOOKUP(AA46,'G-3 Multipliers'!$L$3:$N$6,2,FALSE)))</f>
        <v/>
      </c>
      <c r="AC46" s="524" t="str">
        <f>IF(AA46="","",IF(VLOOKUP(AA46,'G-3 Multipliers'!$L$3:$N$6,3,FALSE)=0,"Spatial Data Missing ⚠",VLOOKUP(AA46,'G-3 Multipliers'!$L$3:$N$6,3,FALSE)))</f>
        <v/>
      </c>
      <c r="AD46" s="539" t="str">
        <f t="shared" si="1"/>
        <v/>
      </c>
      <c r="AE46" s="82"/>
      <c r="AF46" s="82"/>
      <c r="AG46" s="507" t="str">
        <f t="shared" si="6"/>
        <v/>
      </c>
      <c r="AH46" s="521" t="str">
        <f t="shared" si="7"/>
        <v/>
      </c>
      <c r="AI46" s="522" t="str">
        <f>IF(AH46="Check Data","Check Data",IFERROR(VLOOKUP(AH46,'G-4 Temporal multipliers'!$A$4:$C$36,3,FALSE),""))</f>
        <v/>
      </c>
      <c r="AJ46" s="498" t="str">
        <f>IF(S46="","",VLOOKUP(S46,'G-3 Multipliers'!$A$2:$E$129,4,FALSE))</f>
        <v/>
      </c>
      <c r="AK46" s="507" t="str">
        <f t="shared" si="8"/>
        <v/>
      </c>
      <c r="AL46" s="507" t="str">
        <f t="shared" si="9"/>
        <v/>
      </c>
      <c r="AM46" s="540" t="str">
        <f>IFERROR(IF(F46="","",IF(AH46="Check Data ⚠","Check Data ⚠",VLOOKUP(AL46, 'G-3 Multipliers'!$P$2:$Q$6,2,FALSE))),"")</f>
        <v/>
      </c>
      <c r="AN46" s="513" t="str">
        <f t="shared" si="10"/>
        <v/>
      </c>
      <c r="AO46" s="239"/>
      <c r="AP46" s="240"/>
    </row>
    <row r="47" spans="1:42" x14ac:dyDescent="0.25">
      <c r="A47" s="47" t="str">
        <f>IF(E47="","",IF(ISNA(VLOOKUP($E47,'A-1 Site Habitat Baseline'!$D$1:$O$258,2,FALSE)),"",(VLOOKUP($E47,'A-1 Site Habitat Baseline'!$D$1:$O$258,2,FALSE))))</f>
        <v/>
      </c>
      <c r="B47" s="47" t="str">
        <f>IF(E47="","",IF(ISNA(VLOOKUP($E47,'A-1 Site Habitat Baseline'!$D$1:$O$258,3,FALSE)),"",(VLOOKUP($E47,'A-1 Site Habitat Baseline'!$D$1:$O$258,3,FALSE))))</f>
        <v/>
      </c>
      <c r="C47" s="47" t="str">
        <f>IFERROR(INDEX('G-8 Condition Look up'!$I$4:$I$130,MATCH(S47,'G-8 Condition Look up'!$A$4:$A$130,0)),"")</f>
        <v/>
      </c>
      <c r="E47" s="531" t="str">
        <f>'A-1 Site Habitat Baseline'!AL46</f>
        <v/>
      </c>
      <c r="F47" s="520" t="str">
        <f>IF(E47="","",IF(ISNA(VLOOKUP($E47,'A-1 Site Habitat Baseline'!$D$1:$O$258,4,FALSE)),"",(VLOOKUP($E47,'A-1 Site Habitat Baseline'!$D$1:$O$258,4,FALSE))))</f>
        <v/>
      </c>
      <c r="G47" s="520" t="str">
        <f>IF(E47="","",IF(ISNA(VLOOKUP($E47,'A-1 Site Habitat Baseline'!$D$1:$O$258,5,FALSE)),"",(VLOOKUP($E47,'A-1 Site Habitat Baseline'!$D$1:$O$258,5,FALSE))))</f>
        <v/>
      </c>
      <c r="H47" s="520" t="str">
        <f>IF(E47="","",IF(ISNA(VLOOKUP($E47,'A-1 Site Habitat Baseline'!$D$1:$O$258,6,FALSE)),"",(VLOOKUP($E47,'A-1 Site Habitat Baseline'!$D$1:$O$258,6,FALSE))))</f>
        <v/>
      </c>
      <c r="I47" s="520" t="str">
        <f>IF(E47="","",IF(ISNA(VLOOKUP($E47,'A-1 Site Habitat Baseline'!$D$1:$O$258,7,FALSE)),"",(VLOOKUP($E47,'A-1 Site Habitat Baseline'!$D$1:$O$258,7,FALSE))))</f>
        <v/>
      </c>
      <c r="J47" s="520" t="str">
        <f>IF(E47="","",IF(ISNA(VLOOKUP($E47,'A-1 Site Habitat Baseline'!$D$1:$O$258,8,FALSE)),"",(VLOOKUP($E47,'A-1 Site Habitat Baseline'!$D$1:$O$258,8,FALSE))))</f>
        <v/>
      </c>
      <c r="K47" s="520" t="str">
        <f>IF(E47="","",IF(ISNA(VLOOKUP($E47,'A-1 Site Habitat Baseline'!$D$1:$O$258,9,FALSE)),"",(VLOOKUP($E47,'A-1 Site Habitat Baseline'!$D$1:$O$258,9,FALSE))))</f>
        <v/>
      </c>
      <c r="L47" s="520" t="str">
        <f>IF(E47="","",IF(ISNA(VLOOKUP($E47,'A-1 Site Habitat Baseline'!$D$1:$O$258,11,FALSE)),"",(VLOOKUP($E47,'A-1 Site Habitat Baseline'!$D$1:$O$258,11,FALSE))))</f>
        <v/>
      </c>
      <c r="M47" s="520" t="str">
        <f>IF(E47="","",IF(ISNA(VLOOKUP($E47,'A-1 Site Habitat Baseline'!$D$1:$O$258,12,FALSE)),"",(VLOOKUP($E47,'A-1 Site Habitat Baseline'!$D$1:$O$258,12,FALSE))))</f>
        <v/>
      </c>
      <c r="N47" s="532" t="str">
        <f>IF(E47="","",IF(ISNA(VLOOKUP($E47,'A-1 Site Habitat Baseline'!$D$1:$X$258,14,FALSE)),"",(VLOOKUP($E47,'A-1 Site Habitat Baseline'!$D$1:$X$258,14,FALSE))))</f>
        <v/>
      </c>
      <c r="O47" s="524" t="str">
        <f>IF(E47="","",IF(ISNA(VLOOKUP($E47,'A-1 Site Habitat Baseline'!$D$1:$X$258,16,FALSE)),"",(VLOOKUP($E47,'A-1 Site Habitat Baseline'!$D$1:$X$258,13,FALSE))))</f>
        <v/>
      </c>
      <c r="P47" s="237" t="str">
        <f>IFERROR(INDEX('G-1 All Habitats'!$AG$3:$AG$15,MATCH(Q47,'G-1 All Habitats'!$AF$3:$AF$15,0)),"")</f>
        <v/>
      </c>
      <c r="Q47" s="238" t="str">
        <f t="shared" si="2"/>
        <v/>
      </c>
      <c r="R47" s="238" t="str">
        <f t="shared" si="11"/>
        <v/>
      </c>
      <c r="S47" s="392" t="str">
        <f>IFERROR(INDEX('G-1 All Habitats'!$B$3:$B$129,MATCH(R47,'G-1 All Habitats'!$A$3:$A$129,0)),"")</f>
        <v/>
      </c>
      <c r="T47" s="498" t="str">
        <f t="shared" si="3"/>
        <v/>
      </c>
      <c r="U47" s="499" t="str">
        <f t="shared" si="4"/>
        <v/>
      </c>
      <c r="V47" s="537" t="str">
        <f t="shared" si="5"/>
        <v/>
      </c>
      <c r="W47" s="520" t="str">
        <f>IF(S47="","",VLOOKUP(S47,'G-1 All Habitats'!$B$2:$M$129,10,FALSE))</f>
        <v/>
      </c>
      <c r="X47" s="520" t="str">
        <f>IFERROR(VLOOKUP(W47,'G-1 All Habitats'!$V$3:$W$7,2,FALSE),"")</f>
        <v/>
      </c>
      <c r="Y47" s="79"/>
      <c r="Z47" s="524" t="str">
        <f>IFERROR(INDEX('G-8 Condition Look up'!$A$3:$H$130,MATCH(S47,'G-8 Condition Look up'!$A$3:$A$130,0),MATCH(Y47,'G-8 Condition Look up'!$A$3:$H$3,0)),"")</f>
        <v/>
      </c>
      <c r="AA47" s="71"/>
      <c r="AB47" s="520" t="str">
        <f>IF(AA47="","",IF(VLOOKUP(AA47,'G-3 Multipliers'!$L$3:$N$6,2,FALSE)=0,"Spatial Data Missing ⚠",VLOOKUP(AA47,'G-3 Multipliers'!$L$3:$N$6,2,FALSE)))</f>
        <v/>
      </c>
      <c r="AC47" s="524" t="str">
        <f>IF(AA47="","",IF(VLOOKUP(AA47,'G-3 Multipliers'!$L$3:$N$6,3,FALSE)=0,"Spatial Data Missing ⚠",VLOOKUP(AA47,'G-3 Multipliers'!$L$3:$N$6,3,FALSE)))</f>
        <v/>
      </c>
      <c r="AD47" s="539" t="str">
        <f t="shared" si="1"/>
        <v/>
      </c>
      <c r="AE47" s="82"/>
      <c r="AF47" s="82"/>
      <c r="AG47" s="507" t="str">
        <f t="shared" si="6"/>
        <v/>
      </c>
      <c r="AH47" s="521" t="str">
        <f t="shared" si="7"/>
        <v/>
      </c>
      <c r="AI47" s="522" t="str">
        <f>IF(AH47="Check Data","Check Data",IFERROR(VLOOKUP(AH47,'G-4 Temporal multipliers'!$A$4:$C$36,3,FALSE),""))</f>
        <v/>
      </c>
      <c r="AJ47" s="498" t="str">
        <f>IF(S47="","",VLOOKUP(S47,'G-3 Multipliers'!$A$2:$E$129,4,FALSE))</f>
        <v/>
      </c>
      <c r="AK47" s="507" t="str">
        <f t="shared" si="8"/>
        <v/>
      </c>
      <c r="AL47" s="507" t="str">
        <f t="shared" si="9"/>
        <v/>
      </c>
      <c r="AM47" s="540" t="str">
        <f>IFERROR(IF(F47="","",IF(AH47="Check Data ⚠","Check Data ⚠",VLOOKUP(AL47, 'G-3 Multipliers'!$P$2:$Q$6,2,FALSE))),"")</f>
        <v/>
      </c>
      <c r="AN47" s="513" t="str">
        <f t="shared" si="10"/>
        <v/>
      </c>
      <c r="AO47" s="239"/>
      <c r="AP47" s="240"/>
    </row>
    <row r="48" spans="1:42" x14ac:dyDescent="0.25">
      <c r="A48" s="47" t="str">
        <f>IF(E48="","",IF(ISNA(VLOOKUP($E48,'A-1 Site Habitat Baseline'!$D$1:$O$258,2,FALSE)),"",(VLOOKUP($E48,'A-1 Site Habitat Baseline'!$D$1:$O$258,2,FALSE))))</f>
        <v/>
      </c>
      <c r="B48" s="47" t="str">
        <f>IF(E48="","",IF(ISNA(VLOOKUP($E48,'A-1 Site Habitat Baseline'!$D$1:$O$258,3,FALSE)),"",(VLOOKUP($E48,'A-1 Site Habitat Baseline'!$D$1:$O$258,3,FALSE))))</f>
        <v/>
      </c>
      <c r="C48" s="47" t="str">
        <f>IFERROR(INDEX('G-8 Condition Look up'!$I$4:$I$130,MATCH(S48,'G-8 Condition Look up'!$A$4:$A$130,0)),"")</f>
        <v/>
      </c>
      <c r="E48" s="531" t="str">
        <f>'A-1 Site Habitat Baseline'!AL47</f>
        <v/>
      </c>
      <c r="F48" s="520" t="str">
        <f>IF(E48="","",IF(ISNA(VLOOKUP($E48,'A-1 Site Habitat Baseline'!$D$1:$O$258,4,FALSE)),"",(VLOOKUP($E48,'A-1 Site Habitat Baseline'!$D$1:$O$258,4,FALSE))))</f>
        <v/>
      </c>
      <c r="G48" s="520" t="str">
        <f>IF(E48="","",IF(ISNA(VLOOKUP($E48,'A-1 Site Habitat Baseline'!$D$1:$O$258,5,FALSE)),"",(VLOOKUP($E48,'A-1 Site Habitat Baseline'!$D$1:$O$258,5,FALSE))))</f>
        <v/>
      </c>
      <c r="H48" s="520" t="str">
        <f>IF(E48="","",IF(ISNA(VLOOKUP($E48,'A-1 Site Habitat Baseline'!$D$1:$O$258,6,FALSE)),"",(VLOOKUP($E48,'A-1 Site Habitat Baseline'!$D$1:$O$258,6,FALSE))))</f>
        <v/>
      </c>
      <c r="I48" s="520" t="str">
        <f>IF(E48="","",IF(ISNA(VLOOKUP($E48,'A-1 Site Habitat Baseline'!$D$1:$O$258,7,FALSE)),"",(VLOOKUP($E48,'A-1 Site Habitat Baseline'!$D$1:$O$258,7,FALSE))))</f>
        <v/>
      </c>
      <c r="J48" s="520" t="str">
        <f>IF(E48="","",IF(ISNA(VLOOKUP($E48,'A-1 Site Habitat Baseline'!$D$1:$O$258,8,FALSE)),"",(VLOOKUP($E48,'A-1 Site Habitat Baseline'!$D$1:$O$258,8,FALSE))))</f>
        <v/>
      </c>
      <c r="K48" s="520" t="str">
        <f>IF(E48="","",IF(ISNA(VLOOKUP($E48,'A-1 Site Habitat Baseline'!$D$1:$O$258,9,FALSE)),"",(VLOOKUP($E48,'A-1 Site Habitat Baseline'!$D$1:$O$258,9,FALSE))))</f>
        <v/>
      </c>
      <c r="L48" s="520" t="str">
        <f>IF(E48="","",IF(ISNA(VLOOKUP($E48,'A-1 Site Habitat Baseline'!$D$1:$O$258,11,FALSE)),"",(VLOOKUP($E48,'A-1 Site Habitat Baseline'!$D$1:$O$258,11,FALSE))))</f>
        <v/>
      </c>
      <c r="M48" s="520" t="str">
        <f>IF(E48="","",IF(ISNA(VLOOKUP($E48,'A-1 Site Habitat Baseline'!$D$1:$O$258,12,FALSE)),"",(VLOOKUP($E48,'A-1 Site Habitat Baseline'!$D$1:$O$258,12,FALSE))))</f>
        <v/>
      </c>
      <c r="N48" s="532" t="str">
        <f>IF(E48="","",IF(ISNA(VLOOKUP($E48,'A-1 Site Habitat Baseline'!$D$1:$X$258,14,FALSE)),"",(VLOOKUP($E48,'A-1 Site Habitat Baseline'!$D$1:$X$258,14,FALSE))))</f>
        <v/>
      </c>
      <c r="O48" s="524" t="str">
        <f>IF(E48="","",IF(ISNA(VLOOKUP($E48,'A-1 Site Habitat Baseline'!$D$1:$X$258,16,FALSE)),"",(VLOOKUP($E48,'A-1 Site Habitat Baseline'!$D$1:$X$258,13,FALSE))))</f>
        <v/>
      </c>
      <c r="P48" s="237" t="str">
        <f>IFERROR(INDEX('G-1 All Habitats'!$AG$3:$AG$15,MATCH(Q48,'G-1 All Habitats'!$AF$3:$AF$15,0)),"")</f>
        <v/>
      </c>
      <c r="Q48" s="238" t="str">
        <f t="shared" si="2"/>
        <v/>
      </c>
      <c r="R48" s="238" t="str">
        <f t="shared" si="11"/>
        <v/>
      </c>
      <c r="S48" s="392" t="str">
        <f>IFERROR(INDEX('G-1 All Habitats'!$B$3:$B$129,MATCH(R48,'G-1 All Habitats'!$A$3:$A$129,0)),"")</f>
        <v/>
      </c>
      <c r="T48" s="498" t="str">
        <f t="shared" si="3"/>
        <v/>
      </c>
      <c r="U48" s="499" t="str">
        <f t="shared" si="4"/>
        <v/>
      </c>
      <c r="V48" s="537" t="str">
        <f t="shared" si="5"/>
        <v/>
      </c>
      <c r="W48" s="520" t="str">
        <f>IF(S48="","",VLOOKUP(S48,'G-1 All Habitats'!$B$2:$M$129,10,FALSE))</f>
        <v/>
      </c>
      <c r="X48" s="520" t="str">
        <f>IFERROR(VLOOKUP(W48,'G-1 All Habitats'!$V$3:$W$7,2,FALSE),"")</f>
        <v/>
      </c>
      <c r="Y48" s="79"/>
      <c r="Z48" s="524" t="str">
        <f>IFERROR(INDEX('G-8 Condition Look up'!$A$3:$H$130,MATCH(S48,'G-8 Condition Look up'!$A$3:$A$130,0),MATCH(Y48,'G-8 Condition Look up'!$A$3:$H$3,0)),"")</f>
        <v/>
      </c>
      <c r="AA48" s="71"/>
      <c r="AB48" s="520" t="str">
        <f>IF(AA48="","",IF(VLOOKUP(AA48,'G-3 Multipliers'!$L$3:$N$6,2,FALSE)=0,"Spatial Data Missing ⚠",VLOOKUP(AA48,'G-3 Multipliers'!$L$3:$N$6,2,FALSE)))</f>
        <v/>
      </c>
      <c r="AC48" s="524" t="str">
        <f>IF(AA48="","",IF(VLOOKUP(AA48,'G-3 Multipliers'!$L$3:$N$6,3,FALSE)=0,"Spatial Data Missing ⚠",VLOOKUP(AA48,'G-3 Multipliers'!$L$3:$N$6,3,FALSE)))</f>
        <v/>
      </c>
      <c r="AD48" s="539" t="str">
        <f t="shared" si="1"/>
        <v/>
      </c>
      <c r="AE48" s="82"/>
      <c r="AF48" s="82"/>
      <c r="AG48" s="507" t="str">
        <f t="shared" si="6"/>
        <v/>
      </c>
      <c r="AH48" s="521" t="str">
        <f t="shared" si="7"/>
        <v/>
      </c>
      <c r="AI48" s="522" t="str">
        <f>IF(AH48="Check Data","Check Data",IFERROR(VLOOKUP(AH48,'G-4 Temporal multipliers'!$A$4:$C$36,3,FALSE),""))</f>
        <v/>
      </c>
      <c r="AJ48" s="498" t="str">
        <f>IF(S48="","",VLOOKUP(S48,'G-3 Multipliers'!$A$2:$E$129,4,FALSE))</f>
        <v/>
      </c>
      <c r="AK48" s="507" t="str">
        <f t="shared" si="8"/>
        <v/>
      </c>
      <c r="AL48" s="507" t="str">
        <f t="shared" si="9"/>
        <v/>
      </c>
      <c r="AM48" s="540" t="str">
        <f>IFERROR(IF(F48="","",IF(AH48="Check Data ⚠","Check Data ⚠",VLOOKUP(AL48, 'G-3 Multipliers'!$P$2:$Q$6,2,FALSE))),"")</f>
        <v/>
      </c>
      <c r="AN48" s="513" t="str">
        <f t="shared" si="10"/>
        <v/>
      </c>
      <c r="AO48" s="239"/>
      <c r="AP48" s="240"/>
    </row>
    <row r="49" spans="1:42" x14ac:dyDescent="0.25">
      <c r="A49" s="47" t="str">
        <f>IF(E49="","",IF(ISNA(VLOOKUP($E49,'A-1 Site Habitat Baseline'!$D$1:$O$258,2,FALSE)),"",(VLOOKUP($E49,'A-1 Site Habitat Baseline'!$D$1:$O$258,2,FALSE))))</f>
        <v/>
      </c>
      <c r="B49" s="47" t="str">
        <f>IF(E49="","",IF(ISNA(VLOOKUP($E49,'A-1 Site Habitat Baseline'!$D$1:$O$258,3,FALSE)),"",(VLOOKUP($E49,'A-1 Site Habitat Baseline'!$D$1:$O$258,3,FALSE))))</f>
        <v/>
      </c>
      <c r="C49" s="47" t="str">
        <f>IFERROR(INDEX('G-8 Condition Look up'!$I$4:$I$130,MATCH(S49,'G-8 Condition Look up'!$A$4:$A$130,0)),"")</f>
        <v/>
      </c>
      <c r="E49" s="531" t="str">
        <f>'A-1 Site Habitat Baseline'!AL48</f>
        <v/>
      </c>
      <c r="F49" s="520" t="str">
        <f>IF(E49="","",IF(ISNA(VLOOKUP($E49,'A-1 Site Habitat Baseline'!$D$1:$O$258,4,FALSE)),"",(VLOOKUP($E49,'A-1 Site Habitat Baseline'!$D$1:$O$258,4,FALSE))))</f>
        <v/>
      </c>
      <c r="G49" s="520" t="str">
        <f>IF(E49="","",IF(ISNA(VLOOKUP($E49,'A-1 Site Habitat Baseline'!$D$1:$O$258,5,FALSE)),"",(VLOOKUP($E49,'A-1 Site Habitat Baseline'!$D$1:$O$258,5,FALSE))))</f>
        <v/>
      </c>
      <c r="H49" s="520" t="str">
        <f>IF(E49="","",IF(ISNA(VLOOKUP($E49,'A-1 Site Habitat Baseline'!$D$1:$O$258,6,FALSE)),"",(VLOOKUP($E49,'A-1 Site Habitat Baseline'!$D$1:$O$258,6,FALSE))))</f>
        <v/>
      </c>
      <c r="I49" s="520" t="str">
        <f>IF(E49="","",IF(ISNA(VLOOKUP($E49,'A-1 Site Habitat Baseline'!$D$1:$O$258,7,FALSE)),"",(VLOOKUP($E49,'A-1 Site Habitat Baseline'!$D$1:$O$258,7,FALSE))))</f>
        <v/>
      </c>
      <c r="J49" s="520" t="str">
        <f>IF(E49="","",IF(ISNA(VLOOKUP($E49,'A-1 Site Habitat Baseline'!$D$1:$O$258,8,FALSE)),"",(VLOOKUP($E49,'A-1 Site Habitat Baseline'!$D$1:$O$258,8,FALSE))))</f>
        <v/>
      </c>
      <c r="K49" s="520" t="str">
        <f>IF(E49="","",IF(ISNA(VLOOKUP($E49,'A-1 Site Habitat Baseline'!$D$1:$O$258,9,FALSE)),"",(VLOOKUP($E49,'A-1 Site Habitat Baseline'!$D$1:$O$258,9,FALSE))))</f>
        <v/>
      </c>
      <c r="L49" s="520" t="str">
        <f>IF(E49="","",IF(ISNA(VLOOKUP($E49,'A-1 Site Habitat Baseline'!$D$1:$O$258,11,FALSE)),"",(VLOOKUP($E49,'A-1 Site Habitat Baseline'!$D$1:$O$258,11,FALSE))))</f>
        <v/>
      </c>
      <c r="M49" s="520" t="str">
        <f>IF(E49="","",IF(ISNA(VLOOKUP($E49,'A-1 Site Habitat Baseline'!$D$1:$O$258,12,FALSE)),"",(VLOOKUP($E49,'A-1 Site Habitat Baseline'!$D$1:$O$258,12,FALSE))))</f>
        <v/>
      </c>
      <c r="N49" s="532" t="str">
        <f>IF(E49="","",IF(ISNA(VLOOKUP($E49,'A-1 Site Habitat Baseline'!$D$1:$X$258,14,FALSE)),"",(VLOOKUP($E49,'A-1 Site Habitat Baseline'!$D$1:$X$258,14,FALSE))))</f>
        <v/>
      </c>
      <c r="O49" s="524" t="str">
        <f>IF(E49="","",IF(ISNA(VLOOKUP($E49,'A-1 Site Habitat Baseline'!$D$1:$X$258,16,FALSE)),"",(VLOOKUP($E49,'A-1 Site Habitat Baseline'!$D$1:$X$258,13,FALSE))))</f>
        <v/>
      </c>
      <c r="P49" s="237" t="str">
        <f>IFERROR(INDEX('G-1 All Habitats'!$AG$3:$AG$15,MATCH(Q49,'G-1 All Habitats'!$AF$3:$AF$15,0)),"")</f>
        <v/>
      </c>
      <c r="Q49" s="238" t="str">
        <f t="shared" si="2"/>
        <v/>
      </c>
      <c r="R49" s="238" t="str">
        <f t="shared" si="11"/>
        <v/>
      </c>
      <c r="S49" s="392" t="str">
        <f>IFERROR(INDEX('G-1 All Habitats'!$B$3:$B$129,MATCH(R49,'G-1 All Habitats'!$A$3:$A$129,0)),"")</f>
        <v/>
      </c>
      <c r="T49" s="498" t="str">
        <f t="shared" si="3"/>
        <v/>
      </c>
      <c r="U49" s="499" t="str">
        <f t="shared" si="4"/>
        <v/>
      </c>
      <c r="V49" s="537" t="str">
        <f t="shared" si="5"/>
        <v/>
      </c>
      <c r="W49" s="520" t="str">
        <f>IF(S49="","",VLOOKUP(S49,'G-1 All Habitats'!$B$2:$M$129,10,FALSE))</f>
        <v/>
      </c>
      <c r="X49" s="520" t="str">
        <f>IFERROR(VLOOKUP(W49,'G-1 All Habitats'!$V$3:$W$7,2,FALSE),"")</f>
        <v/>
      </c>
      <c r="Y49" s="79"/>
      <c r="Z49" s="524" t="str">
        <f>IFERROR(INDEX('G-8 Condition Look up'!$A$3:$H$130,MATCH(S49,'G-8 Condition Look up'!$A$3:$A$130,0),MATCH(Y49,'G-8 Condition Look up'!$A$3:$H$3,0)),"")</f>
        <v/>
      </c>
      <c r="AA49" s="71"/>
      <c r="AB49" s="520" t="str">
        <f>IF(AA49="","",IF(VLOOKUP(AA49,'G-3 Multipliers'!$L$3:$N$6,2,FALSE)=0,"Spatial Data Missing ⚠",VLOOKUP(AA49,'G-3 Multipliers'!$L$3:$N$6,2,FALSE)))</f>
        <v/>
      </c>
      <c r="AC49" s="524" t="str">
        <f>IF(AA49="","",IF(VLOOKUP(AA49,'G-3 Multipliers'!$L$3:$N$6,3,FALSE)=0,"Spatial Data Missing ⚠",VLOOKUP(AA49,'G-3 Multipliers'!$L$3:$N$6,3,FALSE)))</f>
        <v/>
      </c>
      <c r="AD49" s="539" t="str">
        <f t="shared" si="1"/>
        <v/>
      </c>
      <c r="AE49" s="82"/>
      <c r="AF49" s="82"/>
      <c r="AG49" s="507" t="str">
        <f t="shared" si="6"/>
        <v/>
      </c>
      <c r="AH49" s="521" t="str">
        <f t="shared" si="7"/>
        <v/>
      </c>
      <c r="AI49" s="522" t="str">
        <f>IF(AH49="Check Data","Check Data",IFERROR(VLOOKUP(AH49,'G-4 Temporal multipliers'!$A$4:$C$36,3,FALSE),""))</f>
        <v/>
      </c>
      <c r="AJ49" s="498" t="str">
        <f>IF(S49="","",VLOOKUP(S49,'G-3 Multipliers'!$A$2:$E$129,4,FALSE))</f>
        <v/>
      </c>
      <c r="AK49" s="507" t="str">
        <f t="shared" si="8"/>
        <v/>
      </c>
      <c r="AL49" s="507" t="str">
        <f t="shared" si="9"/>
        <v/>
      </c>
      <c r="AM49" s="540" t="str">
        <f>IFERROR(IF(F49="","",IF(AH49="Check Data ⚠","Check Data ⚠",VLOOKUP(AL49, 'G-3 Multipliers'!$P$2:$Q$6,2,FALSE))),"")</f>
        <v/>
      </c>
      <c r="AN49" s="513" t="str">
        <f t="shared" si="10"/>
        <v/>
      </c>
      <c r="AO49" s="239"/>
      <c r="AP49" s="240"/>
    </row>
    <row r="50" spans="1:42" x14ac:dyDescent="0.25">
      <c r="A50" s="47" t="str">
        <f>IF(E50="","",IF(ISNA(VLOOKUP($E50,'A-1 Site Habitat Baseline'!$D$1:$O$258,2,FALSE)),"",(VLOOKUP($E50,'A-1 Site Habitat Baseline'!$D$1:$O$258,2,FALSE))))</f>
        <v/>
      </c>
      <c r="B50" s="47" t="str">
        <f>IF(E50="","",IF(ISNA(VLOOKUP($E50,'A-1 Site Habitat Baseline'!$D$1:$O$258,3,FALSE)),"",(VLOOKUP($E50,'A-1 Site Habitat Baseline'!$D$1:$O$258,3,FALSE))))</f>
        <v/>
      </c>
      <c r="C50" s="47" t="str">
        <f>IFERROR(INDEX('G-8 Condition Look up'!$I$4:$I$130,MATCH(S50,'G-8 Condition Look up'!$A$4:$A$130,0)),"")</f>
        <v/>
      </c>
      <c r="E50" s="531" t="str">
        <f>'A-1 Site Habitat Baseline'!AL49</f>
        <v/>
      </c>
      <c r="F50" s="520" t="str">
        <f>IF(E50="","",IF(ISNA(VLOOKUP($E50,'A-1 Site Habitat Baseline'!$D$1:$O$258,4,FALSE)),"",(VLOOKUP($E50,'A-1 Site Habitat Baseline'!$D$1:$O$258,4,FALSE))))</f>
        <v/>
      </c>
      <c r="G50" s="520" t="str">
        <f>IF(E50="","",IF(ISNA(VLOOKUP($E50,'A-1 Site Habitat Baseline'!$D$1:$O$258,5,FALSE)),"",(VLOOKUP($E50,'A-1 Site Habitat Baseline'!$D$1:$O$258,5,FALSE))))</f>
        <v/>
      </c>
      <c r="H50" s="520" t="str">
        <f>IF(E50="","",IF(ISNA(VLOOKUP($E50,'A-1 Site Habitat Baseline'!$D$1:$O$258,6,FALSE)),"",(VLOOKUP($E50,'A-1 Site Habitat Baseline'!$D$1:$O$258,6,FALSE))))</f>
        <v/>
      </c>
      <c r="I50" s="520" t="str">
        <f>IF(E50="","",IF(ISNA(VLOOKUP($E50,'A-1 Site Habitat Baseline'!$D$1:$O$258,7,FALSE)),"",(VLOOKUP($E50,'A-1 Site Habitat Baseline'!$D$1:$O$258,7,FALSE))))</f>
        <v/>
      </c>
      <c r="J50" s="520" t="str">
        <f>IF(E50="","",IF(ISNA(VLOOKUP($E50,'A-1 Site Habitat Baseline'!$D$1:$O$258,8,FALSE)),"",(VLOOKUP($E50,'A-1 Site Habitat Baseline'!$D$1:$O$258,8,FALSE))))</f>
        <v/>
      </c>
      <c r="K50" s="520" t="str">
        <f>IF(E50="","",IF(ISNA(VLOOKUP($E50,'A-1 Site Habitat Baseline'!$D$1:$O$258,9,FALSE)),"",(VLOOKUP($E50,'A-1 Site Habitat Baseline'!$D$1:$O$258,9,FALSE))))</f>
        <v/>
      </c>
      <c r="L50" s="520" t="str">
        <f>IF(E50="","",IF(ISNA(VLOOKUP($E50,'A-1 Site Habitat Baseline'!$D$1:$O$258,11,FALSE)),"",(VLOOKUP($E50,'A-1 Site Habitat Baseline'!$D$1:$O$258,11,FALSE))))</f>
        <v/>
      </c>
      <c r="M50" s="520" t="str">
        <f>IF(E50="","",IF(ISNA(VLOOKUP($E50,'A-1 Site Habitat Baseline'!$D$1:$O$258,12,FALSE)),"",(VLOOKUP($E50,'A-1 Site Habitat Baseline'!$D$1:$O$258,12,FALSE))))</f>
        <v/>
      </c>
      <c r="N50" s="532" t="str">
        <f>IF(E50="","",IF(ISNA(VLOOKUP($E50,'A-1 Site Habitat Baseline'!$D$1:$X$258,14,FALSE)),"",(VLOOKUP($E50,'A-1 Site Habitat Baseline'!$D$1:$X$258,14,FALSE))))</f>
        <v/>
      </c>
      <c r="O50" s="524" t="str">
        <f>IF(E50="","",IF(ISNA(VLOOKUP($E50,'A-1 Site Habitat Baseline'!$D$1:$X$258,16,FALSE)),"",(VLOOKUP($E50,'A-1 Site Habitat Baseline'!$D$1:$X$258,13,FALSE))))</f>
        <v/>
      </c>
      <c r="P50" s="237" t="str">
        <f>IFERROR(INDEX('G-1 All Habitats'!$AG$3:$AG$15,MATCH(Q50,'G-1 All Habitats'!$AF$3:$AF$15,0)),"")</f>
        <v/>
      </c>
      <c r="Q50" s="238" t="str">
        <f t="shared" si="2"/>
        <v/>
      </c>
      <c r="R50" s="238" t="str">
        <f t="shared" si="11"/>
        <v/>
      </c>
      <c r="S50" s="392" t="str">
        <f>IFERROR(INDEX('G-1 All Habitats'!$B$3:$B$129,MATCH(R50,'G-1 All Habitats'!$A$3:$A$129,0)),"")</f>
        <v/>
      </c>
      <c r="T50" s="498" t="str">
        <f t="shared" si="3"/>
        <v/>
      </c>
      <c r="U50" s="499" t="str">
        <f t="shared" si="4"/>
        <v/>
      </c>
      <c r="V50" s="537" t="str">
        <f t="shared" si="5"/>
        <v/>
      </c>
      <c r="W50" s="520" t="str">
        <f>IF(S50="","",VLOOKUP(S50,'G-1 All Habitats'!$B$2:$M$129,10,FALSE))</f>
        <v/>
      </c>
      <c r="X50" s="520" t="str">
        <f>IFERROR(VLOOKUP(W50,'G-1 All Habitats'!$V$3:$W$7,2,FALSE),"")</f>
        <v/>
      </c>
      <c r="Y50" s="79"/>
      <c r="Z50" s="524" t="str">
        <f>IFERROR(INDEX('G-8 Condition Look up'!$A$3:$H$130,MATCH(S50,'G-8 Condition Look up'!$A$3:$A$130,0),MATCH(Y50,'G-8 Condition Look up'!$A$3:$H$3,0)),"")</f>
        <v/>
      </c>
      <c r="AA50" s="71"/>
      <c r="AB50" s="520" t="str">
        <f>IF(AA50="","",IF(VLOOKUP(AA50,'G-3 Multipliers'!$L$3:$N$6,2,FALSE)=0,"Spatial Data Missing ⚠",VLOOKUP(AA50,'G-3 Multipliers'!$L$3:$N$6,2,FALSE)))</f>
        <v/>
      </c>
      <c r="AC50" s="524" t="str">
        <f>IF(AA50="","",IF(VLOOKUP(AA50,'G-3 Multipliers'!$L$3:$N$6,3,FALSE)=0,"Spatial Data Missing ⚠",VLOOKUP(AA50,'G-3 Multipliers'!$L$3:$N$6,3,FALSE)))</f>
        <v/>
      </c>
      <c r="AD50" s="539" t="str">
        <f t="shared" si="1"/>
        <v/>
      </c>
      <c r="AE50" s="82"/>
      <c r="AF50" s="82"/>
      <c r="AG50" s="507" t="str">
        <f t="shared" si="6"/>
        <v/>
      </c>
      <c r="AH50" s="521" t="str">
        <f t="shared" si="7"/>
        <v/>
      </c>
      <c r="AI50" s="522" t="str">
        <f>IF(AH50="Check Data","Check Data",IFERROR(VLOOKUP(AH50,'G-4 Temporal multipliers'!$A$4:$C$36,3,FALSE),""))</f>
        <v/>
      </c>
      <c r="AJ50" s="498" t="str">
        <f>IF(S50="","",VLOOKUP(S50,'G-3 Multipliers'!$A$2:$E$129,4,FALSE))</f>
        <v/>
      </c>
      <c r="AK50" s="507" t="str">
        <f t="shared" si="8"/>
        <v/>
      </c>
      <c r="AL50" s="507" t="str">
        <f t="shared" si="9"/>
        <v/>
      </c>
      <c r="AM50" s="540" t="str">
        <f>IFERROR(IF(F50="","",IF(AH50="Check Data ⚠","Check Data ⚠",VLOOKUP(AL50, 'G-3 Multipliers'!$P$2:$Q$6,2,FALSE))),"")</f>
        <v/>
      </c>
      <c r="AN50" s="513" t="str">
        <f t="shared" si="10"/>
        <v/>
      </c>
      <c r="AO50" s="239"/>
      <c r="AP50" s="240"/>
    </row>
    <row r="51" spans="1:42" x14ac:dyDescent="0.25">
      <c r="A51" s="47" t="str">
        <f>IF(E51="","",IF(ISNA(VLOOKUP($E51,'A-1 Site Habitat Baseline'!$D$1:$O$258,2,FALSE)),"",(VLOOKUP($E51,'A-1 Site Habitat Baseline'!$D$1:$O$258,2,FALSE))))</f>
        <v/>
      </c>
      <c r="B51" s="47" t="str">
        <f>IF(E51="","",IF(ISNA(VLOOKUP($E51,'A-1 Site Habitat Baseline'!$D$1:$O$258,3,FALSE)),"",(VLOOKUP($E51,'A-1 Site Habitat Baseline'!$D$1:$O$258,3,FALSE))))</f>
        <v/>
      </c>
      <c r="C51" s="47" t="str">
        <f>IFERROR(INDEX('G-8 Condition Look up'!$I$4:$I$130,MATCH(S51,'G-8 Condition Look up'!$A$4:$A$130,0)),"")</f>
        <v/>
      </c>
      <c r="E51" s="531" t="str">
        <f>'A-1 Site Habitat Baseline'!AL50</f>
        <v/>
      </c>
      <c r="F51" s="520" t="str">
        <f>IF(E51="","",IF(ISNA(VLOOKUP($E51,'A-1 Site Habitat Baseline'!$D$1:$O$258,4,FALSE)),"",(VLOOKUP($E51,'A-1 Site Habitat Baseline'!$D$1:$O$258,4,FALSE))))</f>
        <v/>
      </c>
      <c r="G51" s="520" t="str">
        <f>IF(E51="","",IF(ISNA(VLOOKUP($E51,'A-1 Site Habitat Baseline'!$D$1:$O$258,5,FALSE)),"",(VLOOKUP($E51,'A-1 Site Habitat Baseline'!$D$1:$O$258,5,FALSE))))</f>
        <v/>
      </c>
      <c r="H51" s="520" t="str">
        <f>IF(E51="","",IF(ISNA(VLOOKUP($E51,'A-1 Site Habitat Baseline'!$D$1:$O$258,6,FALSE)),"",(VLOOKUP($E51,'A-1 Site Habitat Baseline'!$D$1:$O$258,6,FALSE))))</f>
        <v/>
      </c>
      <c r="I51" s="520" t="str">
        <f>IF(E51="","",IF(ISNA(VLOOKUP($E51,'A-1 Site Habitat Baseline'!$D$1:$O$258,7,FALSE)),"",(VLOOKUP($E51,'A-1 Site Habitat Baseline'!$D$1:$O$258,7,FALSE))))</f>
        <v/>
      </c>
      <c r="J51" s="520" t="str">
        <f>IF(E51="","",IF(ISNA(VLOOKUP($E51,'A-1 Site Habitat Baseline'!$D$1:$O$258,8,FALSE)),"",(VLOOKUP($E51,'A-1 Site Habitat Baseline'!$D$1:$O$258,8,FALSE))))</f>
        <v/>
      </c>
      <c r="K51" s="520" t="str">
        <f>IF(E51="","",IF(ISNA(VLOOKUP($E51,'A-1 Site Habitat Baseline'!$D$1:$O$258,9,FALSE)),"",(VLOOKUP($E51,'A-1 Site Habitat Baseline'!$D$1:$O$258,9,FALSE))))</f>
        <v/>
      </c>
      <c r="L51" s="520" t="str">
        <f>IF(E51="","",IF(ISNA(VLOOKUP($E51,'A-1 Site Habitat Baseline'!$D$1:$O$258,11,FALSE)),"",(VLOOKUP($E51,'A-1 Site Habitat Baseline'!$D$1:$O$258,11,FALSE))))</f>
        <v/>
      </c>
      <c r="M51" s="520" t="str">
        <f>IF(E51="","",IF(ISNA(VLOOKUP($E51,'A-1 Site Habitat Baseline'!$D$1:$O$258,12,FALSE)),"",(VLOOKUP($E51,'A-1 Site Habitat Baseline'!$D$1:$O$258,12,FALSE))))</f>
        <v/>
      </c>
      <c r="N51" s="532" t="str">
        <f>IF(E51="","",IF(ISNA(VLOOKUP($E51,'A-1 Site Habitat Baseline'!$D$1:$X$258,14,FALSE)),"",(VLOOKUP($E51,'A-1 Site Habitat Baseline'!$D$1:$X$258,14,FALSE))))</f>
        <v/>
      </c>
      <c r="O51" s="524" t="str">
        <f>IF(E51="","",IF(ISNA(VLOOKUP($E51,'A-1 Site Habitat Baseline'!$D$1:$X$258,16,FALSE)),"",(VLOOKUP($E51,'A-1 Site Habitat Baseline'!$D$1:$X$258,13,FALSE))))</f>
        <v/>
      </c>
      <c r="P51" s="237" t="str">
        <f>IFERROR(INDEX('G-1 All Habitats'!$AG$3:$AG$15,MATCH(Q51,'G-1 All Habitats'!$AF$3:$AF$15,0)),"")</f>
        <v/>
      </c>
      <c r="Q51" s="238" t="str">
        <f t="shared" si="2"/>
        <v/>
      </c>
      <c r="R51" s="238" t="str">
        <f t="shared" si="11"/>
        <v/>
      </c>
      <c r="S51" s="392" t="str">
        <f>IFERROR(INDEX('G-1 All Habitats'!$B$3:$B$129,MATCH(R51,'G-1 All Habitats'!$A$3:$A$129,0)),"")</f>
        <v/>
      </c>
      <c r="T51" s="498" t="str">
        <f t="shared" si="3"/>
        <v/>
      </c>
      <c r="U51" s="499" t="str">
        <f t="shared" si="4"/>
        <v/>
      </c>
      <c r="V51" s="537" t="str">
        <f t="shared" si="5"/>
        <v/>
      </c>
      <c r="W51" s="520" t="str">
        <f>IF(S51="","",VLOOKUP(S51,'G-1 All Habitats'!$B$2:$M$129,10,FALSE))</f>
        <v/>
      </c>
      <c r="X51" s="520" t="str">
        <f>IFERROR(VLOOKUP(W51,'G-1 All Habitats'!$V$3:$W$7,2,FALSE),"")</f>
        <v/>
      </c>
      <c r="Y51" s="79"/>
      <c r="Z51" s="524" t="str">
        <f>IFERROR(INDEX('G-8 Condition Look up'!$A$3:$H$130,MATCH(S51,'G-8 Condition Look up'!$A$3:$A$130,0),MATCH(Y51,'G-8 Condition Look up'!$A$3:$H$3,0)),"")</f>
        <v/>
      </c>
      <c r="AA51" s="71"/>
      <c r="AB51" s="520" t="str">
        <f>IF(AA51="","",IF(VLOOKUP(AA51,'G-3 Multipliers'!$L$3:$N$6,2,FALSE)=0,"Spatial Data Missing ⚠",VLOOKUP(AA51,'G-3 Multipliers'!$L$3:$N$6,2,FALSE)))</f>
        <v/>
      </c>
      <c r="AC51" s="524" t="str">
        <f>IF(AA51="","",IF(VLOOKUP(AA51,'G-3 Multipliers'!$L$3:$N$6,3,FALSE)=0,"Spatial Data Missing ⚠",VLOOKUP(AA51,'G-3 Multipliers'!$L$3:$N$6,3,FALSE)))</f>
        <v/>
      </c>
      <c r="AD51" s="539" t="str">
        <f t="shared" si="1"/>
        <v/>
      </c>
      <c r="AE51" s="82"/>
      <c r="AF51" s="82"/>
      <c r="AG51" s="507" t="str">
        <f t="shared" si="6"/>
        <v/>
      </c>
      <c r="AH51" s="521" t="str">
        <f t="shared" si="7"/>
        <v/>
      </c>
      <c r="AI51" s="522" t="str">
        <f>IF(AH51="Check Data","Check Data",IFERROR(VLOOKUP(AH51,'G-4 Temporal multipliers'!$A$4:$C$36,3,FALSE),""))</f>
        <v/>
      </c>
      <c r="AJ51" s="498" t="str">
        <f>IF(S51="","",VLOOKUP(S51,'G-3 Multipliers'!$A$2:$E$129,4,FALSE))</f>
        <v/>
      </c>
      <c r="AK51" s="507" t="str">
        <f t="shared" si="8"/>
        <v/>
      </c>
      <c r="AL51" s="507" t="str">
        <f t="shared" si="9"/>
        <v/>
      </c>
      <c r="AM51" s="540" t="str">
        <f>IFERROR(IF(F51="","",IF(AH51="Check Data ⚠","Check Data ⚠",VLOOKUP(AL51, 'G-3 Multipliers'!$P$2:$Q$6,2,FALSE))),"")</f>
        <v/>
      </c>
      <c r="AN51" s="513" t="str">
        <f t="shared" si="10"/>
        <v/>
      </c>
      <c r="AO51" s="239"/>
      <c r="AP51" s="240"/>
    </row>
    <row r="52" spans="1:42" x14ac:dyDescent="0.25">
      <c r="A52" s="47" t="str">
        <f>IF(E52="","",IF(ISNA(VLOOKUP($E52,'A-1 Site Habitat Baseline'!$D$1:$O$258,2,FALSE)),"",(VLOOKUP($E52,'A-1 Site Habitat Baseline'!$D$1:$O$258,2,FALSE))))</f>
        <v/>
      </c>
      <c r="B52" s="47" t="str">
        <f>IF(E52="","",IF(ISNA(VLOOKUP($E52,'A-1 Site Habitat Baseline'!$D$1:$O$258,3,FALSE)),"",(VLOOKUP($E52,'A-1 Site Habitat Baseline'!$D$1:$O$258,3,FALSE))))</f>
        <v/>
      </c>
      <c r="C52" s="47" t="str">
        <f>IFERROR(INDEX('G-8 Condition Look up'!$I$4:$I$130,MATCH(S52,'G-8 Condition Look up'!$A$4:$A$130,0)),"")</f>
        <v/>
      </c>
      <c r="E52" s="531" t="str">
        <f>'A-1 Site Habitat Baseline'!AL51</f>
        <v/>
      </c>
      <c r="F52" s="520" t="str">
        <f>IF(E52="","",IF(ISNA(VLOOKUP($E52,'A-1 Site Habitat Baseline'!$D$1:$O$258,4,FALSE)),"",(VLOOKUP($E52,'A-1 Site Habitat Baseline'!$D$1:$O$258,4,FALSE))))</f>
        <v/>
      </c>
      <c r="G52" s="520" t="str">
        <f>IF(E52="","",IF(ISNA(VLOOKUP($E52,'A-1 Site Habitat Baseline'!$D$1:$O$258,5,FALSE)),"",(VLOOKUP($E52,'A-1 Site Habitat Baseline'!$D$1:$O$258,5,FALSE))))</f>
        <v/>
      </c>
      <c r="H52" s="520" t="str">
        <f>IF(E52="","",IF(ISNA(VLOOKUP($E52,'A-1 Site Habitat Baseline'!$D$1:$O$258,6,FALSE)),"",(VLOOKUP($E52,'A-1 Site Habitat Baseline'!$D$1:$O$258,6,FALSE))))</f>
        <v/>
      </c>
      <c r="I52" s="520" t="str">
        <f>IF(E52="","",IF(ISNA(VLOOKUP($E52,'A-1 Site Habitat Baseline'!$D$1:$O$258,7,FALSE)),"",(VLOOKUP($E52,'A-1 Site Habitat Baseline'!$D$1:$O$258,7,FALSE))))</f>
        <v/>
      </c>
      <c r="J52" s="520" t="str">
        <f>IF(E52="","",IF(ISNA(VLOOKUP($E52,'A-1 Site Habitat Baseline'!$D$1:$O$258,8,FALSE)),"",(VLOOKUP($E52,'A-1 Site Habitat Baseline'!$D$1:$O$258,8,FALSE))))</f>
        <v/>
      </c>
      <c r="K52" s="520" t="str">
        <f>IF(E52="","",IF(ISNA(VLOOKUP($E52,'A-1 Site Habitat Baseline'!$D$1:$O$258,9,FALSE)),"",(VLOOKUP($E52,'A-1 Site Habitat Baseline'!$D$1:$O$258,9,FALSE))))</f>
        <v/>
      </c>
      <c r="L52" s="520" t="str">
        <f>IF(E52="","",IF(ISNA(VLOOKUP($E52,'A-1 Site Habitat Baseline'!$D$1:$O$258,11,FALSE)),"",(VLOOKUP($E52,'A-1 Site Habitat Baseline'!$D$1:$O$258,11,FALSE))))</f>
        <v/>
      </c>
      <c r="M52" s="520" t="str">
        <f>IF(E52="","",IF(ISNA(VLOOKUP($E52,'A-1 Site Habitat Baseline'!$D$1:$O$258,12,FALSE)),"",(VLOOKUP($E52,'A-1 Site Habitat Baseline'!$D$1:$O$258,12,FALSE))))</f>
        <v/>
      </c>
      <c r="N52" s="532" t="str">
        <f>IF(E52="","",IF(ISNA(VLOOKUP($E52,'A-1 Site Habitat Baseline'!$D$1:$X$258,14,FALSE)),"",(VLOOKUP($E52,'A-1 Site Habitat Baseline'!$D$1:$X$258,14,FALSE))))</f>
        <v/>
      </c>
      <c r="O52" s="524" t="str">
        <f>IF(E52="","",IF(ISNA(VLOOKUP($E52,'A-1 Site Habitat Baseline'!$D$1:$X$258,16,FALSE)),"",(VLOOKUP($E52,'A-1 Site Habitat Baseline'!$D$1:$X$258,13,FALSE))))</f>
        <v/>
      </c>
      <c r="P52" s="237" t="str">
        <f>IFERROR(INDEX('G-1 All Habitats'!$AG$3:$AG$15,MATCH(Q52,'G-1 All Habitats'!$AF$3:$AF$15,0)),"")</f>
        <v/>
      </c>
      <c r="Q52" s="238" t="str">
        <f t="shared" si="2"/>
        <v/>
      </c>
      <c r="R52" s="238" t="str">
        <f t="shared" si="11"/>
        <v/>
      </c>
      <c r="S52" s="392" t="str">
        <f>IFERROR(INDEX('G-1 All Habitats'!$B$3:$B$129,MATCH(R52,'G-1 All Habitats'!$A$3:$A$129,0)),"")</f>
        <v/>
      </c>
      <c r="T52" s="498" t="str">
        <f t="shared" si="3"/>
        <v/>
      </c>
      <c r="U52" s="499" t="str">
        <f t="shared" si="4"/>
        <v/>
      </c>
      <c r="V52" s="537" t="str">
        <f t="shared" si="5"/>
        <v/>
      </c>
      <c r="W52" s="520" t="str">
        <f>IF(S52="","",VLOOKUP(S52,'G-1 All Habitats'!$B$2:$M$129,10,FALSE))</f>
        <v/>
      </c>
      <c r="X52" s="520" t="str">
        <f>IFERROR(VLOOKUP(W52,'G-1 All Habitats'!$V$3:$W$7,2,FALSE),"")</f>
        <v/>
      </c>
      <c r="Y52" s="79"/>
      <c r="Z52" s="524" t="str">
        <f>IFERROR(INDEX('G-8 Condition Look up'!$A$3:$H$130,MATCH(S52,'G-8 Condition Look up'!$A$3:$A$130,0),MATCH(Y52,'G-8 Condition Look up'!$A$3:$H$3,0)),"")</f>
        <v/>
      </c>
      <c r="AA52" s="71"/>
      <c r="AB52" s="520" t="str">
        <f>IF(AA52="","",IF(VLOOKUP(AA52,'G-3 Multipliers'!$L$3:$N$6,2,FALSE)=0,"Spatial Data Missing ⚠",VLOOKUP(AA52,'G-3 Multipliers'!$L$3:$N$6,2,FALSE)))</f>
        <v/>
      </c>
      <c r="AC52" s="524" t="str">
        <f>IF(AA52="","",IF(VLOOKUP(AA52,'G-3 Multipliers'!$L$3:$N$6,3,FALSE)=0,"Spatial Data Missing ⚠",VLOOKUP(AA52,'G-3 Multipliers'!$L$3:$N$6,3,FALSE)))</f>
        <v/>
      </c>
      <c r="AD52" s="539" t="str">
        <f t="shared" si="1"/>
        <v/>
      </c>
      <c r="AE52" s="82"/>
      <c r="AF52" s="82"/>
      <c r="AG52" s="507" t="str">
        <f t="shared" si="6"/>
        <v/>
      </c>
      <c r="AH52" s="521" t="str">
        <f t="shared" si="7"/>
        <v/>
      </c>
      <c r="AI52" s="522" t="str">
        <f>IF(AH52="Check Data","Check Data",IFERROR(VLOOKUP(AH52,'G-4 Temporal multipliers'!$A$4:$C$36,3,FALSE),""))</f>
        <v/>
      </c>
      <c r="AJ52" s="498" t="str">
        <f>IF(S52="","",VLOOKUP(S52,'G-3 Multipliers'!$A$2:$E$129,4,FALSE))</f>
        <v/>
      </c>
      <c r="AK52" s="507" t="str">
        <f t="shared" si="8"/>
        <v/>
      </c>
      <c r="AL52" s="507" t="str">
        <f t="shared" si="9"/>
        <v/>
      </c>
      <c r="AM52" s="540" t="str">
        <f>IFERROR(IF(F52="","",IF(AH52="Check Data ⚠","Check Data ⚠",VLOOKUP(AL52, 'G-3 Multipliers'!$P$2:$Q$6,2,FALSE))),"")</f>
        <v/>
      </c>
      <c r="AN52" s="513" t="str">
        <f t="shared" si="10"/>
        <v/>
      </c>
      <c r="AO52" s="239"/>
      <c r="AP52" s="240"/>
    </row>
    <row r="53" spans="1:42" x14ac:dyDescent="0.25">
      <c r="A53" s="47" t="str">
        <f>IF(E53="","",IF(ISNA(VLOOKUP($E53,'A-1 Site Habitat Baseline'!$D$1:$O$258,2,FALSE)),"",(VLOOKUP($E53,'A-1 Site Habitat Baseline'!$D$1:$O$258,2,FALSE))))</f>
        <v/>
      </c>
      <c r="B53" s="47" t="str">
        <f>IF(E53="","",IF(ISNA(VLOOKUP($E53,'A-1 Site Habitat Baseline'!$D$1:$O$258,3,FALSE)),"",(VLOOKUP($E53,'A-1 Site Habitat Baseline'!$D$1:$O$258,3,FALSE))))</f>
        <v/>
      </c>
      <c r="C53" s="47" t="str">
        <f>IFERROR(INDEX('G-8 Condition Look up'!$I$4:$I$130,MATCH(S53,'G-8 Condition Look up'!$A$4:$A$130,0)),"")</f>
        <v/>
      </c>
      <c r="E53" s="531" t="str">
        <f>'A-1 Site Habitat Baseline'!AL52</f>
        <v/>
      </c>
      <c r="F53" s="520" t="str">
        <f>IF(E53="","",IF(ISNA(VLOOKUP($E53,'A-1 Site Habitat Baseline'!$D$1:$O$258,4,FALSE)),"",(VLOOKUP($E53,'A-1 Site Habitat Baseline'!$D$1:$O$258,4,FALSE))))</f>
        <v/>
      </c>
      <c r="G53" s="520" t="str">
        <f>IF(E53="","",IF(ISNA(VLOOKUP($E53,'A-1 Site Habitat Baseline'!$D$1:$O$258,5,FALSE)),"",(VLOOKUP($E53,'A-1 Site Habitat Baseline'!$D$1:$O$258,5,FALSE))))</f>
        <v/>
      </c>
      <c r="H53" s="520" t="str">
        <f>IF(E53="","",IF(ISNA(VLOOKUP($E53,'A-1 Site Habitat Baseline'!$D$1:$O$258,6,FALSE)),"",(VLOOKUP($E53,'A-1 Site Habitat Baseline'!$D$1:$O$258,6,FALSE))))</f>
        <v/>
      </c>
      <c r="I53" s="520" t="str">
        <f>IF(E53="","",IF(ISNA(VLOOKUP($E53,'A-1 Site Habitat Baseline'!$D$1:$O$258,7,FALSE)),"",(VLOOKUP($E53,'A-1 Site Habitat Baseline'!$D$1:$O$258,7,FALSE))))</f>
        <v/>
      </c>
      <c r="J53" s="520" t="str">
        <f>IF(E53="","",IF(ISNA(VLOOKUP($E53,'A-1 Site Habitat Baseline'!$D$1:$O$258,8,FALSE)),"",(VLOOKUP($E53,'A-1 Site Habitat Baseline'!$D$1:$O$258,8,FALSE))))</f>
        <v/>
      </c>
      <c r="K53" s="520" t="str">
        <f>IF(E53="","",IF(ISNA(VLOOKUP($E53,'A-1 Site Habitat Baseline'!$D$1:$O$258,9,FALSE)),"",(VLOOKUP($E53,'A-1 Site Habitat Baseline'!$D$1:$O$258,9,FALSE))))</f>
        <v/>
      </c>
      <c r="L53" s="520" t="str">
        <f>IF(E53="","",IF(ISNA(VLOOKUP($E53,'A-1 Site Habitat Baseline'!$D$1:$O$258,11,FALSE)),"",(VLOOKUP($E53,'A-1 Site Habitat Baseline'!$D$1:$O$258,11,FALSE))))</f>
        <v/>
      </c>
      <c r="M53" s="520" t="str">
        <f>IF(E53="","",IF(ISNA(VLOOKUP($E53,'A-1 Site Habitat Baseline'!$D$1:$O$258,12,FALSE)),"",(VLOOKUP($E53,'A-1 Site Habitat Baseline'!$D$1:$O$258,12,FALSE))))</f>
        <v/>
      </c>
      <c r="N53" s="532" t="str">
        <f>IF(E53="","",IF(ISNA(VLOOKUP($E53,'A-1 Site Habitat Baseline'!$D$1:$X$258,14,FALSE)),"",(VLOOKUP($E53,'A-1 Site Habitat Baseline'!$D$1:$X$258,14,FALSE))))</f>
        <v/>
      </c>
      <c r="O53" s="524" t="str">
        <f>IF(E53="","",IF(ISNA(VLOOKUP($E53,'A-1 Site Habitat Baseline'!$D$1:$X$258,16,FALSE)),"",(VLOOKUP($E53,'A-1 Site Habitat Baseline'!$D$1:$X$258,13,FALSE))))</f>
        <v/>
      </c>
      <c r="P53" s="237" t="str">
        <f>IFERROR(INDEX('G-1 All Habitats'!$AG$3:$AG$15,MATCH(Q53,'G-1 All Habitats'!$AF$3:$AF$15,0)),"")</f>
        <v/>
      </c>
      <c r="Q53" s="238" t="str">
        <f t="shared" si="2"/>
        <v/>
      </c>
      <c r="R53" s="238" t="str">
        <f t="shared" si="11"/>
        <v/>
      </c>
      <c r="S53" s="392" t="str">
        <f>IFERROR(INDEX('G-1 All Habitats'!$B$3:$B$129,MATCH(R53,'G-1 All Habitats'!$A$3:$A$129,0)),"")</f>
        <v/>
      </c>
      <c r="T53" s="498" t="str">
        <f t="shared" si="3"/>
        <v/>
      </c>
      <c r="U53" s="499" t="str">
        <f t="shared" si="4"/>
        <v/>
      </c>
      <c r="V53" s="537" t="str">
        <f t="shared" si="5"/>
        <v/>
      </c>
      <c r="W53" s="520" t="str">
        <f>IF(S53="","",VLOOKUP(S53,'G-1 All Habitats'!$B$2:$M$129,10,FALSE))</f>
        <v/>
      </c>
      <c r="X53" s="520" t="str">
        <f>IFERROR(VLOOKUP(W53,'G-1 All Habitats'!$V$3:$W$7,2,FALSE),"")</f>
        <v/>
      </c>
      <c r="Y53" s="79"/>
      <c r="Z53" s="524" t="str">
        <f>IFERROR(INDEX('G-8 Condition Look up'!$A$3:$H$130,MATCH(S53,'G-8 Condition Look up'!$A$3:$A$130,0),MATCH(Y53,'G-8 Condition Look up'!$A$3:$H$3,0)),"")</f>
        <v/>
      </c>
      <c r="AA53" s="71"/>
      <c r="AB53" s="520" t="str">
        <f>IF(AA53="","",IF(VLOOKUP(AA53,'G-3 Multipliers'!$L$3:$N$6,2,FALSE)=0,"Spatial Data Missing ⚠",VLOOKUP(AA53,'G-3 Multipliers'!$L$3:$N$6,2,FALSE)))</f>
        <v/>
      </c>
      <c r="AC53" s="524" t="str">
        <f>IF(AA53="","",IF(VLOOKUP(AA53,'G-3 Multipliers'!$L$3:$N$6,3,FALSE)=0,"Spatial Data Missing ⚠",VLOOKUP(AA53,'G-3 Multipliers'!$L$3:$N$6,3,FALSE)))</f>
        <v/>
      </c>
      <c r="AD53" s="539" t="str">
        <f t="shared" si="1"/>
        <v/>
      </c>
      <c r="AE53" s="82"/>
      <c r="AF53" s="82"/>
      <c r="AG53" s="507" t="str">
        <f t="shared" si="6"/>
        <v/>
      </c>
      <c r="AH53" s="521" t="str">
        <f t="shared" si="7"/>
        <v/>
      </c>
      <c r="AI53" s="522" t="str">
        <f>IF(AH53="Check Data","Check Data",IFERROR(VLOOKUP(AH53,'G-4 Temporal multipliers'!$A$4:$C$36,3,FALSE),""))</f>
        <v/>
      </c>
      <c r="AJ53" s="498" t="str">
        <f>IF(S53="","",VLOOKUP(S53,'G-3 Multipliers'!$A$2:$E$129,4,FALSE))</f>
        <v/>
      </c>
      <c r="AK53" s="507" t="str">
        <f t="shared" si="8"/>
        <v/>
      </c>
      <c r="AL53" s="507" t="str">
        <f t="shared" si="9"/>
        <v/>
      </c>
      <c r="AM53" s="540" t="str">
        <f>IFERROR(IF(F53="","",IF(AH53="Check Data ⚠","Check Data ⚠",VLOOKUP(AL53, 'G-3 Multipliers'!$P$2:$Q$6,2,FALSE))),"")</f>
        <v/>
      </c>
      <c r="AN53" s="513" t="str">
        <f t="shared" si="10"/>
        <v/>
      </c>
      <c r="AO53" s="239"/>
      <c r="AP53" s="240"/>
    </row>
    <row r="54" spans="1:42" x14ac:dyDescent="0.25">
      <c r="A54" s="47" t="str">
        <f>IF(E54="","",IF(ISNA(VLOOKUP($E54,'A-1 Site Habitat Baseline'!$D$1:$O$258,2,FALSE)),"",(VLOOKUP($E54,'A-1 Site Habitat Baseline'!$D$1:$O$258,2,FALSE))))</f>
        <v/>
      </c>
      <c r="B54" s="47" t="str">
        <f>IF(E54="","",IF(ISNA(VLOOKUP($E54,'A-1 Site Habitat Baseline'!$D$1:$O$258,3,FALSE)),"",(VLOOKUP($E54,'A-1 Site Habitat Baseline'!$D$1:$O$258,3,FALSE))))</f>
        <v/>
      </c>
      <c r="C54" s="47" t="str">
        <f>IFERROR(INDEX('G-8 Condition Look up'!$I$4:$I$130,MATCH(S54,'G-8 Condition Look up'!$A$4:$A$130,0)),"")</f>
        <v/>
      </c>
      <c r="E54" s="531" t="str">
        <f>'A-1 Site Habitat Baseline'!AL53</f>
        <v/>
      </c>
      <c r="F54" s="520" t="str">
        <f>IF(E54="","",IF(ISNA(VLOOKUP($E54,'A-1 Site Habitat Baseline'!$D$1:$O$258,4,FALSE)),"",(VLOOKUP($E54,'A-1 Site Habitat Baseline'!$D$1:$O$258,4,FALSE))))</f>
        <v/>
      </c>
      <c r="G54" s="520" t="str">
        <f>IF(E54="","",IF(ISNA(VLOOKUP($E54,'A-1 Site Habitat Baseline'!$D$1:$O$258,5,FALSE)),"",(VLOOKUP($E54,'A-1 Site Habitat Baseline'!$D$1:$O$258,5,FALSE))))</f>
        <v/>
      </c>
      <c r="H54" s="520" t="str">
        <f>IF(E54="","",IF(ISNA(VLOOKUP($E54,'A-1 Site Habitat Baseline'!$D$1:$O$258,6,FALSE)),"",(VLOOKUP($E54,'A-1 Site Habitat Baseline'!$D$1:$O$258,6,FALSE))))</f>
        <v/>
      </c>
      <c r="I54" s="520" t="str">
        <f>IF(E54="","",IF(ISNA(VLOOKUP($E54,'A-1 Site Habitat Baseline'!$D$1:$O$258,7,FALSE)),"",(VLOOKUP($E54,'A-1 Site Habitat Baseline'!$D$1:$O$258,7,FALSE))))</f>
        <v/>
      </c>
      <c r="J54" s="520" t="str">
        <f>IF(E54="","",IF(ISNA(VLOOKUP($E54,'A-1 Site Habitat Baseline'!$D$1:$O$258,8,FALSE)),"",(VLOOKUP($E54,'A-1 Site Habitat Baseline'!$D$1:$O$258,8,FALSE))))</f>
        <v/>
      </c>
      <c r="K54" s="520" t="str">
        <f>IF(E54="","",IF(ISNA(VLOOKUP($E54,'A-1 Site Habitat Baseline'!$D$1:$O$258,9,FALSE)),"",(VLOOKUP($E54,'A-1 Site Habitat Baseline'!$D$1:$O$258,9,FALSE))))</f>
        <v/>
      </c>
      <c r="L54" s="520" t="str">
        <f>IF(E54="","",IF(ISNA(VLOOKUP($E54,'A-1 Site Habitat Baseline'!$D$1:$O$258,11,FALSE)),"",(VLOOKUP($E54,'A-1 Site Habitat Baseline'!$D$1:$O$258,11,FALSE))))</f>
        <v/>
      </c>
      <c r="M54" s="520" t="str">
        <f>IF(E54="","",IF(ISNA(VLOOKUP($E54,'A-1 Site Habitat Baseline'!$D$1:$O$258,12,FALSE)),"",(VLOOKUP($E54,'A-1 Site Habitat Baseline'!$D$1:$O$258,12,FALSE))))</f>
        <v/>
      </c>
      <c r="N54" s="532" t="str">
        <f>IF(E54="","",IF(ISNA(VLOOKUP($E54,'A-1 Site Habitat Baseline'!$D$1:$X$258,14,FALSE)),"",(VLOOKUP($E54,'A-1 Site Habitat Baseline'!$D$1:$X$258,14,FALSE))))</f>
        <v/>
      </c>
      <c r="O54" s="524" t="str">
        <f>IF(E54="","",IF(ISNA(VLOOKUP($E54,'A-1 Site Habitat Baseline'!$D$1:$X$258,16,FALSE)),"",(VLOOKUP($E54,'A-1 Site Habitat Baseline'!$D$1:$X$258,13,FALSE))))</f>
        <v/>
      </c>
      <c r="P54" s="237" t="str">
        <f>IFERROR(INDEX('G-1 All Habitats'!$AG$3:$AG$15,MATCH(Q54,'G-1 All Habitats'!$AF$3:$AF$15,0)),"")</f>
        <v/>
      </c>
      <c r="Q54" s="238" t="str">
        <f t="shared" si="2"/>
        <v/>
      </c>
      <c r="R54" s="238" t="str">
        <f t="shared" si="11"/>
        <v/>
      </c>
      <c r="S54" s="392" t="str">
        <f>IFERROR(INDEX('G-1 All Habitats'!$B$3:$B$129,MATCH(R54,'G-1 All Habitats'!$A$3:$A$129,0)),"")</f>
        <v/>
      </c>
      <c r="T54" s="498" t="str">
        <f t="shared" si="3"/>
        <v/>
      </c>
      <c r="U54" s="499" t="str">
        <f t="shared" si="4"/>
        <v/>
      </c>
      <c r="V54" s="537" t="str">
        <f t="shared" si="5"/>
        <v/>
      </c>
      <c r="W54" s="520" t="str">
        <f>IF(S54="","",VLOOKUP(S54,'G-1 All Habitats'!$B$2:$M$129,10,FALSE))</f>
        <v/>
      </c>
      <c r="X54" s="520" t="str">
        <f>IFERROR(VLOOKUP(W54,'G-1 All Habitats'!$V$3:$W$7,2,FALSE),"")</f>
        <v/>
      </c>
      <c r="Y54" s="79"/>
      <c r="Z54" s="524" t="str">
        <f>IFERROR(INDEX('G-8 Condition Look up'!$A$3:$H$130,MATCH(S54,'G-8 Condition Look up'!$A$3:$A$130,0),MATCH(Y54,'G-8 Condition Look up'!$A$3:$H$3,0)),"")</f>
        <v/>
      </c>
      <c r="AA54" s="71"/>
      <c r="AB54" s="520" t="str">
        <f>IF(AA54="","",IF(VLOOKUP(AA54,'G-3 Multipliers'!$L$3:$N$6,2,FALSE)=0,"Spatial Data Missing ⚠",VLOOKUP(AA54,'G-3 Multipliers'!$L$3:$N$6,2,FALSE)))</f>
        <v/>
      </c>
      <c r="AC54" s="524" t="str">
        <f>IF(AA54="","",IF(VLOOKUP(AA54,'G-3 Multipliers'!$L$3:$N$6,3,FALSE)=0,"Spatial Data Missing ⚠",VLOOKUP(AA54,'G-3 Multipliers'!$L$3:$N$6,3,FALSE)))</f>
        <v/>
      </c>
      <c r="AD54" s="539" t="str">
        <f t="shared" si="1"/>
        <v/>
      </c>
      <c r="AE54" s="82"/>
      <c r="AF54" s="82"/>
      <c r="AG54" s="507" t="str">
        <f t="shared" si="6"/>
        <v/>
      </c>
      <c r="AH54" s="521" t="str">
        <f t="shared" si="7"/>
        <v/>
      </c>
      <c r="AI54" s="522" t="str">
        <f>IF(AH54="Check Data","Check Data",IFERROR(VLOOKUP(AH54,'G-4 Temporal multipliers'!$A$4:$C$36,3,FALSE),""))</f>
        <v/>
      </c>
      <c r="AJ54" s="498" t="str">
        <f>IF(S54="","",VLOOKUP(S54,'G-3 Multipliers'!$A$2:$E$129,4,FALSE))</f>
        <v/>
      </c>
      <c r="AK54" s="507" t="str">
        <f t="shared" si="8"/>
        <v/>
      </c>
      <c r="AL54" s="507" t="str">
        <f t="shared" si="9"/>
        <v/>
      </c>
      <c r="AM54" s="540" t="str">
        <f>IFERROR(IF(F54="","",IF(AH54="Check Data ⚠","Check Data ⚠",VLOOKUP(AL54, 'G-3 Multipliers'!$P$2:$Q$6,2,FALSE))),"")</f>
        <v/>
      </c>
      <c r="AN54" s="513" t="str">
        <f t="shared" si="10"/>
        <v/>
      </c>
      <c r="AO54" s="239"/>
      <c r="AP54" s="240"/>
    </row>
    <row r="55" spans="1:42" x14ac:dyDescent="0.25">
      <c r="A55" s="47" t="str">
        <f>IF(E55="","",IF(ISNA(VLOOKUP($E55,'A-1 Site Habitat Baseline'!$D$1:$O$258,2,FALSE)),"",(VLOOKUP($E55,'A-1 Site Habitat Baseline'!$D$1:$O$258,2,FALSE))))</f>
        <v/>
      </c>
      <c r="B55" s="47" t="str">
        <f>IF(E55="","",IF(ISNA(VLOOKUP($E55,'A-1 Site Habitat Baseline'!$D$1:$O$258,3,FALSE)),"",(VLOOKUP($E55,'A-1 Site Habitat Baseline'!$D$1:$O$258,3,FALSE))))</f>
        <v/>
      </c>
      <c r="C55" s="47" t="str">
        <f>IFERROR(INDEX('G-8 Condition Look up'!$I$4:$I$130,MATCH(S55,'G-8 Condition Look up'!$A$4:$A$130,0)),"")</f>
        <v/>
      </c>
      <c r="E55" s="531" t="str">
        <f>'A-1 Site Habitat Baseline'!AL54</f>
        <v/>
      </c>
      <c r="F55" s="520" t="str">
        <f>IF(E55="","",IF(ISNA(VLOOKUP($E55,'A-1 Site Habitat Baseline'!$D$1:$O$258,4,FALSE)),"",(VLOOKUP($E55,'A-1 Site Habitat Baseline'!$D$1:$O$258,4,FALSE))))</f>
        <v/>
      </c>
      <c r="G55" s="520" t="str">
        <f>IF(E55="","",IF(ISNA(VLOOKUP($E55,'A-1 Site Habitat Baseline'!$D$1:$O$258,5,FALSE)),"",(VLOOKUP($E55,'A-1 Site Habitat Baseline'!$D$1:$O$258,5,FALSE))))</f>
        <v/>
      </c>
      <c r="H55" s="520" t="str">
        <f>IF(E55="","",IF(ISNA(VLOOKUP($E55,'A-1 Site Habitat Baseline'!$D$1:$O$258,6,FALSE)),"",(VLOOKUP($E55,'A-1 Site Habitat Baseline'!$D$1:$O$258,6,FALSE))))</f>
        <v/>
      </c>
      <c r="I55" s="520" t="str">
        <f>IF(E55="","",IF(ISNA(VLOOKUP($E55,'A-1 Site Habitat Baseline'!$D$1:$O$258,7,FALSE)),"",(VLOOKUP($E55,'A-1 Site Habitat Baseline'!$D$1:$O$258,7,FALSE))))</f>
        <v/>
      </c>
      <c r="J55" s="520" t="str">
        <f>IF(E55="","",IF(ISNA(VLOOKUP($E55,'A-1 Site Habitat Baseline'!$D$1:$O$258,8,FALSE)),"",(VLOOKUP($E55,'A-1 Site Habitat Baseline'!$D$1:$O$258,8,FALSE))))</f>
        <v/>
      </c>
      <c r="K55" s="520" t="str">
        <f>IF(E55="","",IF(ISNA(VLOOKUP($E55,'A-1 Site Habitat Baseline'!$D$1:$O$258,9,FALSE)),"",(VLOOKUP($E55,'A-1 Site Habitat Baseline'!$D$1:$O$258,9,FALSE))))</f>
        <v/>
      </c>
      <c r="L55" s="520" t="str">
        <f>IF(E55="","",IF(ISNA(VLOOKUP($E55,'A-1 Site Habitat Baseline'!$D$1:$O$258,11,FALSE)),"",(VLOOKUP($E55,'A-1 Site Habitat Baseline'!$D$1:$O$258,11,FALSE))))</f>
        <v/>
      </c>
      <c r="M55" s="520" t="str">
        <f>IF(E55="","",IF(ISNA(VLOOKUP($E55,'A-1 Site Habitat Baseline'!$D$1:$O$258,12,FALSE)),"",(VLOOKUP($E55,'A-1 Site Habitat Baseline'!$D$1:$O$258,12,FALSE))))</f>
        <v/>
      </c>
      <c r="N55" s="532" t="str">
        <f>IF(E55="","",IF(ISNA(VLOOKUP($E55,'A-1 Site Habitat Baseline'!$D$1:$X$258,14,FALSE)),"",(VLOOKUP($E55,'A-1 Site Habitat Baseline'!$D$1:$X$258,14,FALSE))))</f>
        <v/>
      </c>
      <c r="O55" s="524" t="str">
        <f>IF(E55="","",IF(ISNA(VLOOKUP($E55,'A-1 Site Habitat Baseline'!$D$1:$X$258,16,FALSE)),"",(VLOOKUP($E55,'A-1 Site Habitat Baseline'!$D$1:$X$258,13,FALSE))))</f>
        <v/>
      </c>
      <c r="P55" s="237" t="str">
        <f>IFERROR(INDEX('G-1 All Habitats'!$AG$3:$AG$15,MATCH(Q55,'G-1 All Habitats'!$AF$3:$AF$15,0)),"")</f>
        <v/>
      </c>
      <c r="Q55" s="238" t="str">
        <f t="shared" si="2"/>
        <v/>
      </c>
      <c r="R55" s="238" t="str">
        <f t="shared" si="11"/>
        <v/>
      </c>
      <c r="S55" s="392" t="str">
        <f>IFERROR(INDEX('G-1 All Habitats'!$B$3:$B$129,MATCH(R55,'G-1 All Habitats'!$A$3:$A$129,0)),"")</f>
        <v/>
      </c>
      <c r="T55" s="498" t="str">
        <f t="shared" si="3"/>
        <v/>
      </c>
      <c r="U55" s="499" t="str">
        <f t="shared" si="4"/>
        <v/>
      </c>
      <c r="V55" s="537" t="str">
        <f t="shared" si="5"/>
        <v/>
      </c>
      <c r="W55" s="520" t="str">
        <f>IF(S55="","",VLOOKUP(S55,'G-1 All Habitats'!$B$2:$M$129,10,FALSE))</f>
        <v/>
      </c>
      <c r="X55" s="520" t="str">
        <f>IFERROR(VLOOKUP(W55,'G-1 All Habitats'!$V$3:$W$7,2,FALSE),"")</f>
        <v/>
      </c>
      <c r="Y55" s="79"/>
      <c r="Z55" s="524" t="str">
        <f>IFERROR(INDEX('G-8 Condition Look up'!$A$3:$H$130,MATCH(S55,'G-8 Condition Look up'!$A$3:$A$130,0),MATCH(Y55,'G-8 Condition Look up'!$A$3:$H$3,0)),"")</f>
        <v/>
      </c>
      <c r="AA55" s="71"/>
      <c r="AB55" s="520" t="str">
        <f>IF(AA55="","",IF(VLOOKUP(AA55,'G-3 Multipliers'!$L$3:$N$6,2,FALSE)=0,"Spatial Data Missing ⚠",VLOOKUP(AA55,'G-3 Multipliers'!$L$3:$N$6,2,FALSE)))</f>
        <v/>
      </c>
      <c r="AC55" s="524" t="str">
        <f>IF(AA55="","",IF(VLOOKUP(AA55,'G-3 Multipliers'!$L$3:$N$6,3,FALSE)=0,"Spatial Data Missing ⚠",VLOOKUP(AA55,'G-3 Multipliers'!$L$3:$N$6,3,FALSE)))</f>
        <v/>
      </c>
      <c r="AD55" s="539" t="str">
        <f t="shared" si="1"/>
        <v/>
      </c>
      <c r="AE55" s="82"/>
      <c r="AF55" s="82"/>
      <c r="AG55" s="507" t="str">
        <f t="shared" si="6"/>
        <v/>
      </c>
      <c r="AH55" s="521" t="str">
        <f t="shared" si="7"/>
        <v/>
      </c>
      <c r="AI55" s="522" t="str">
        <f>IF(AH55="Check Data","Check Data",IFERROR(VLOOKUP(AH55,'G-4 Temporal multipliers'!$A$4:$C$36,3,FALSE),""))</f>
        <v/>
      </c>
      <c r="AJ55" s="498" t="str">
        <f>IF(S55="","",VLOOKUP(S55,'G-3 Multipliers'!$A$2:$E$129,4,FALSE))</f>
        <v/>
      </c>
      <c r="AK55" s="507" t="str">
        <f t="shared" si="8"/>
        <v/>
      </c>
      <c r="AL55" s="507" t="str">
        <f t="shared" si="9"/>
        <v/>
      </c>
      <c r="AM55" s="540" t="str">
        <f>IFERROR(IF(F55="","",IF(AH55="Check Data ⚠","Check Data ⚠",VLOOKUP(AL55, 'G-3 Multipliers'!$P$2:$Q$6,2,FALSE))),"")</f>
        <v/>
      </c>
      <c r="AN55" s="513" t="str">
        <f t="shared" si="10"/>
        <v/>
      </c>
      <c r="AO55" s="239"/>
      <c r="AP55" s="240"/>
    </row>
    <row r="56" spans="1:42" x14ac:dyDescent="0.25">
      <c r="A56" s="47" t="str">
        <f>IF(E56="","",IF(ISNA(VLOOKUP($E56,'A-1 Site Habitat Baseline'!$D$1:$O$258,2,FALSE)),"",(VLOOKUP($E56,'A-1 Site Habitat Baseline'!$D$1:$O$258,2,FALSE))))</f>
        <v/>
      </c>
      <c r="B56" s="47" t="str">
        <f>IF(E56="","",IF(ISNA(VLOOKUP($E56,'A-1 Site Habitat Baseline'!$D$1:$O$258,3,FALSE)),"",(VLOOKUP($E56,'A-1 Site Habitat Baseline'!$D$1:$O$258,3,FALSE))))</f>
        <v/>
      </c>
      <c r="C56" s="47" t="str">
        <f>IFERROR(INDEX('G-8 Condition Look up'!$I$4:$I$130,MATCH(S56,'G-8 Condition Look up'!$A$4:$A$130,0)),"")</f>
        <v/>
      </c>
      <c r="E56" s="531" t="str">
        <f>'A-1 Site Habitat Baseline'!AL55</f>
        <v/>
      </c>
      <c r="F56" s="520" t="str">
        <f>IF(E56="","",IF(ISNA(VLOOKUP($E56,'A-1 Site Habitat Baseline'!$D$1:$O$258,4,FALSE)),"",(VLOOKUP($E56,'A-1 Site Habitat Baseline'!$D$1:$O$258,4,FALSE))))</f>
        <v/>
      </c>
      <c r="G56" s="520" t="str">
        <f>IF(E56="","",IF(ISNA(VLOOKUP($E56,'A-1 Site Habitat Baseline'!$D$1:$O$258,5,FALSE)),"",(VLOOKUP($E56,'A-1 Site Habitat Baseline'!$D$1:$O$258,5,FALSE))))</f>
        <v/>
      </c>
      <c r="H56" s="520" t="str">
        <f>IF(E56="","",IF(ISNA(VLOOKUP($E56,'A-1 Site Habitat Baseline'!$D$1:$O$258,6,FALSE)),"",(VLOOKUP($E56,'A-1 Site Habitat Baseline'!$D$1:$O$258,6,FALSE))))</f>
        <v/>
      </c>
      <c r="I56" s="520" t="str">
        <f>IF(E56="","",IF(ISNA(VLOOKUP($E56,'A-1 Site Habitat Baseline'!$D$1:$O$258,7,FALSE)),"",(VLOOKUP($E56,'A-1 Site Habitat Baseline'!$D$1:$O$258,7,FALSE))))</f>
        <v/>
      </c>
      <c r="J56" s="520" t="str">
        <f>IF(E56="","",IF(ISNA(VLOOKUP($E56,'A-1 Site Habitat Baseline'!$D$1:$O$258,8,FALSE)),"",(VLOOKUP($E56,'A-1 Site Habitat Baseline'!$D$1:$O$258,8,FALSE))))</f>
        <v/>
      </c>
      <c r="K56" s="520" t="str">
        <f>IF(E56="","",IF(ISNA(VLOOKUP($E56,'A-1 Site Habitat Baseline'!$D$1:$O$258,9,FALSE)),"",(VLOOKUP($E56,'A-1 Site Habitat Baseline'!$D$1:$O$258,9,FALSE))))</f>
        <v/>
      </c>
      <c r="L56" s="520" t="str">
        <f>IF(E56="","",IF(ISNA(VLOOKUP($E56,'A-1 Site Habitat Baseline'!$D$1:$O$258,11,FALSE)),"",(VLOOKUP($E56,'A-1 Site Habitat Baseline'!$D$1:$O$258,11,FALSE))))</f>
        <v/>
      </c>
      <c r="M56" s="520" t="str">
        <f>IF(E56="","",IF(ISNA(VLOOKUP($E56,'A-1 Site Habitat Baseline'!$D$1:$O$258,12,FALSE)),"",(VLOOKUP($E56,'A-1 Site Habitat Baseline'!$D$1:$O$258,12,FALSE))))</f>
        <v/>
      </c>
      <c r="N56" s="532" t="str">
        <f>IF(E56="","",IF(ISNA(VLOOKUP($E56,'A-1 Site Habitat Baseline'!$D$1:$X$258,14,FALSE)),"",(VLOOKUP($E56,'A-1 Site Habitat Baseline'!$D$1:$X$258,14,FALSE))))</f>
        <v/>
      </c>
      <c r="O56" s="524" t="str">
        <f>IF(E56="","",IF(ISNA(VLOOKUP($E56,'A-1 Site Habitat Baseline'!$D$1:$X$258,16,FALSE)),"",(VLOOKUP($E56,'A-1 Site Habitat Baseline'!$D$1:$X$258,13,FALSE))))</f>
        <v/>
      </c>
      <c r="P56" s="237" t="str">
        <f>IFERROR(INDEX('G-1 All Habitats'!$AG$3:$AG$15,MATCH(Q56,'G-1 All Habitats'!$AF$3:$AF$15,0)),"")</f>
        <v/>
      </c>
      <c r="Q56" s="238" t="str">
        <f t="shared" si="2"/>
        <v/>
      </c>
      <c r="R56" s="238" t="str">
        <f t="shared" si="11"/>
        <v/>
      </c>
      <c r="S56" s="392" t="str">
        <f>IFERROR(INDEX('G-1 All Habitats'!$B$3:$B$129,MATCH(R56,'G-1 All Habitats'!$A$3:$A$129,0)),"")</f>
        <v/>
      </c>
      <c r="T56" s="498" t="str">
        <f t="shared" si="3"/>
        <v/>
      </c>
      <c r="U56" s="499" t="str">
        <f t="shared" si="4"/>
        <v/>
      </c>
      <c r="V56" s="537" t="str">
        <f t="shared" si="5"/>
        <v/>
      </c>
      <c r="W56" s="520" t="str">
        <f>IF(S56="","",VLOOKUP(S56,'G-1 All Habitats'!$B$2:$M$129,10,FALSE))</f>
        <v/>
      </c>
      <c r="X56" s="520" t="str">
        <f>IFERROR(VLOOKUP(W56,'G-1 All Habitats'!$V$3:$W$7,2,FALSE),"")</f>
        <v/>
      </c>
      <c r="Y56" s="79"/>
      <c r="Z56" s="524" t="str">
        <f>IFERROR(INDEX('G-8 Condition Look up'!$A$3:$H$130,MATCH(S56,'G-8 Condition Look up'!$A$3:$A$130,0),MATCH(Y56,'G-8 Condition Look up'!$A$3:$H$3,0)),"")</f>
        <v/>
      </c>
      <c r="AA56" s="71"/>
      <c r="AB56" s="520" t="str">
        <f>IF(AA56="","",IF(VLOOKUP(AA56,'G-3 Multipliers'!$L$3:$N$6,2,FALSE)=0,"Spatial Data Missing ⚠",VLOOKUP(AA56,'G-3 Multipliers'!$L$3:$N$6,2,FALSE)))</f>
        <v/>
      </c>
      <c r="AC56" s="524" t="str">
        <f>IF(AA56="","",IF(VLOOKUP(AA56,'G-3 Multipliers'!$L$3:$N$6,3,FALSE)=0,"Spatial Data Missing ⚠",VLOOKUP(AA56,'G-3 Multipliers'!$L$3:$N$6,3,FALSE)))</f>
        <v/>
      </c>
      <c r="AD56" s="539" t="str">
        <f t="shared" si="1"/>
        <v/>
      </c>
      <c r="AE56" s="82"/>
      <c r="AF56" s="82"/>
      <c r="AG56" s="507" t="str">
        <f t="shared" si="6"/>
        <v/>
      </c>
      <c r="AH56" s="521" t="str">
        <f t="shared" si="7"/>
        <v/>
      </c>
      <c r="AI56" s="522" t="str">
        <f>IF(AH56="Check Data","Check Data",IFERROR(VLOOKUP(AH56,'G-4 Temporal multipliers'!$A$4:$C$36,3,FALSE),""))</f>
        <v/>
      </c>
      <c r="AJ56" s="498" t="str">
        <f>IF(S56="","",VLOOKUP(S56,'G-3 Multipliers'!$A$2:$E$129,4,FALSE))</f>
        <v/>
      </c>
      <c r="AK56" s="507" t="str">
        <f t="shared" si="8"/>
        <v/>
      </c>
      <c r="AL56" s="507" t="str">
        <f t="shared" si="9"/>
        <v/>
      </c>
      <c r="AM56" s="540" t="str">
        <f>IFERROR(IF(F56="","",IF(AH56="Check Data ⚠","Check Data ⚠",VLOOKUP(AL56, 'G-3 Multipliers'!$P$2:$Q$6,2,FALSE))),"")</f>
        <v/>
      </c>
      <c r="AN56" s="513" t="str">
        <f t="shared" si="10"/>
        <v/>
      </c>
      <c r="AO56" s="239"/>
      <c r="AP56" s="240"/>
    </row>
    <row r="57" spans="1:42" x14ac:dyDescent="0.25">
      <c r="A57" s="47" t="str">
        <f>IF(E57="","",IF(ISNA(VLOOKUP($E57,'A-1 Site Habitat Baseline'!$D$1:$O$258,2,FALSE)),"",(VLOOKUP($E57,'A-1 Site Habitat Baseline'!$D$1:$O$258,2,FALSE))))</f>
        <v/>
      </c>
      <c r="B57" s="47" t="str">
        <f>IF(E57="","",IF(ISNA(VLOOKUP($E57,'A-1 Site Habitat Baseline'!$D$1:$O$258,3,FALSE)),"",(VLOOKUP($E57,'A-1 Site Habitat Baseline'!$D$1:$O$258,3,FALSE))))</f>
        <v/>
      </c>
      <c r="C57" s="47" t="str">
        <f>IFERROR(INDEX('G-8 Condition Look up'!$I$4:$I$130,MATCH(S57,'G-8 Condition Look up'!$A$4:$A$130,0)),"")</f>
        <v/>
      </c>
      <c r="E57" s="531" t="str">
        <f>'A-1 Site Habitat Baseline'!AL56</f>
        <v/>
      </c>
      <c r="F57" s="520" t="str">
        <f>IF(E57="","",IF(ISNA(VLOOKUP($E57,'A-1 Site Habitat Baseline'!$D$1:$O$258,4,FALSE)),"",(VLOOKUP($E57,'A-1 Site Habitat Baseline'!$D$1:$O$258,4,FALSE))))</f>
        <v/>
      </c>
      <c r="G57" s="520" t="str">
        <f>IF(E57="","",IF(ISNA(VLOOKUP($E57,'A-1 Site Habitat Baseline'!$D$1:$O$258,5,FALSE)),"",(VLOOKUP($E57,'A-1 Site Habitat Baseline'!$D$1:$O$258,5,FALSE))))</f>
        <v/>
      </c>
      <c r="H57" s="520" t="str">
        <f>IF(E57="","",IF(ISNA(VLOOKUP($E57,'A-1 Site Habitat Baseline'!$D$1:$O$258,6,FALSE)),"",(VLOOKUP($E57,'A-1 Site Habitat Baseline'!$D$1:$O$258,6,FALSE))))</f>
        <v/>
      </c>
      <c r="I57" s="520" t="str">
        <f>IF(E57="","",IF(ISNA(VLOOKUP($E57,'A-1 Site Habitat Baseline'!$D$1:$O$258,7,FALSE)),"",(VLOOKUP($E57,'A-1 Site Habitat Baseline'!$D$1:$O$258,7,FALSE))))</f>
        <v/>
      </c>
      <c r="J57" s="520" t="str">
        <f>IF(E57="","",IF(ISNA(VLOOKUP($E57,'A-1 Site Habitat Baseline'!$D$1:$O$258,8,FALSE)),"",(VLOOKUP($E57,'A-1 Site Habitat Baseline'!$D$1:$O$258,8,FALSE))))</f>
        <v/>
      </c>
      <c r="K57" s="520" t="str">
        <f>IF(E57="","",IF(ISNA(VLOOKUP($E57,'A-1 Site Habitat Baseline'!$D$1:$O$258,9,FALSE)),"",(VLOOKUP($E57,'A-1 Site Habitat Baseline'!$D$1:$O$258,9,FALSE))))</f>
        <v/>
      </c>
      <c r="L57" s="520" t="str">
        <f>IF(E57="","",IF(ISNA(VLOOKUP($E57,'A-1 Site Habitat Baseline'!$D$1:$O$258,11,FALSE)),"",(VLOOKUP($E57,'A-1 Site Habitat Baseline'!$D$1:$O$258,11,FALSE))))</f>
        <v/>
      </c>
      <c r="M57" s="520" t="str">
        <f>IF(E57="","",IF(ISNA(VLOOKUP($E57,'A-1 Site Habitat Baseline'!$D$1:$O$258,12,FALSE)),"",(VLOOKUP($E57,'A-1 Site Habitat Baseline'!$D$1:$O$258,12,FALSE))))</f>
        <v/>
      </c>
      <c r="N57" s="532" t="str">
        <f>IF(E57="","",IF(ISNA(VLOOKUP($E57,'A-1 Site Habitat Baseline'!$D$1:$X$258,14,FALSE)),"",(VLOOKUP($E57,'A-1 Site Habitat Baseline'!$D$1:$X$258,14,FALSE))))</f>
        <v/>
      </c>
      <c r="O57" s="524" t="str">
        <f>IF(E57="","",IF(ISNA(VLOOKUP($E57,'A-1 Site Habitat Baseline'!$D$1:$X$258,16,FALSE)),"",(VLOOKUP($E57,'A-1 Site Habitat Baseline'!$D$1:$X$258,13,FALSE))))</f>
        <v/>
      </c>
      <c r="P57" s="237" t="str">
        <f>IFERROR(INDEX('G-1 All Habitats'!$AG$3:$AG$15,MATCH(Q57,'G-1 All Habitats'!$AF$3:$AF$15,0)),"")</f>
        <v/>
      </c>
      <c r="Q57" s="238" t="str">
        <f t="shared" si="2"/>
        <v/>
      </c>
      <c r="R57" s="238" t="str">
        <f t="shared" si="11"/>
        <v/>
      </c>
      <c r="S57" s="392" t="str">
        <f>IFERROR(INDEX('G-1 All Habitats'!$B$3:$B$129,MATCH(R57,'G-1 All Habitats'!$A$3:$A$129,0)),"")</f>
        <v/>
      </c>
      <c r="T57" s="498" t="str">
        <f t="shared" si="3"/>
        <v/>
      </c>
      <c r="U57" s="499" t="str">
        <f t="shared" si="4"/>
        <v/>
      </c>
      <c r="V57" s="537" t="str">
        <f t="shared" si="5"/>
        <v/>
      </c>
      <c r="W57" s="520" t="str">
        <f>IF(S57="","",VLOOKUP(S57,'G-1 All Habitats'!$B$2:$M$129,10,FALSE))</f>
        <v/>
      </c>
      <c r="X57" s="520" t="str">
        <f>IFERROR(VLOOKUP(W57,'G-1 All Habitats'!$V$3:$W$7,2,FALSE),"")</f>
        <v/>
      </c>
      <c r="Y57" s="79"/>
      <c r="Z57" s="524" t="str">
        <f>IFERROR(INDEX('G-8 Condition Look up'!$A$3:$H$130,MATCH(S57,'G-8 Condition Look up'!$A$3:$A$130,0),MATCH(Y57,'G-8 Condition Look up'!$A$3:$H$3,0)),"")</f>
        <v/>
      </c>
      <c r="AA57" s="71"/>
      <c r="AB57" s="520" t="str">
        <f>IF(AA57="","",IF(VLOOKUP(AA57,'G-3 Multipliers'!$L$3:$N$6,2,FALSE)=0,"Spatial Data Missing ⚠",VLOOKUP(AA57,'G-3 Multipliers'!$L$3:$N$6,2,FALSE)))</f>
        <v/>
      </c>
      <c r="AC57" s="524" t="str">
        <f>IF(AA57="","",IF(VLOOKUP(AA57,'G-3 Multipliers'!$L$3:$N$6,3,FALSE)=0,"Spatial Data Missing ⚠",VLOOKUP(AA57,'G-3 Multipliers'!$L$3:$N$6,3,FALSE)))</f>
        <v/>
      </c>
      <c r="AD57" s="539" t="str">
        <f t="shared" si="1"/>
        <v/>
      </c>
      <c r="AE57" s="82"/>
      <c r="AF57" s="82"/>
      <c r="AG57" s="507" t="str">
        <f t="shared" si="6"/>
        <v/>
      </c>
      <c r="AH57" s="521" t="str">
        <f t="shared" si="7"/>
        <v/>
      </c>
      <c r="AI57" s="522" t="str">
        <f>IF(AH57="Check Data","Check Data",IFERROR(VLOOKUP(AH57,'G-4 Temporal multipliers'!$A$4:$C$36,3,FALSE),""))</f>
        <v/>
      </c>
      <c r="AJ57" s="498" t="str">
        <f>IF(S57="","",VLOOKUP(S57,'G-3 Multipliers'!$A$2:$E$129,4,FALSE))</f>
        <v/>
      </c>
      <c r="AK57" s="507" t="str">
        <f t="shared" si="8"/>
        <v/>
      </c>
      <c r="AL57" s="507" t="str">
        <f t="shared" si="9"/>
        <v/>
      </c>
      <c r="AM57" s="540" t="str">
        <f>IFERROR(IF(F57="","",IF(AH57="Check Data ⚠","Check Data ⚠",VLOOKUP(AL57, 'G-3 Multipliers'!$P$2:$Q$6,2,FALSE))),"")</f>
        <v/>
      </c>
      <c r="AN57" s="513" t="str">
        <f t="shared" si="10"/>
        <v/>
      </c>
      <c r="AO57" s="239"/>
      <c r="AP57" s="240"/>
    </row>
    <row r="58" spans="1:42" x14ac:dyDescent="0.25">
      <c r="A58" s="47" t="str">
        <f>IF(E58="","",IF(ISNA(VLOOKUP($E58,'A-1 Site Habitat Baseline'!$D$1:$O$258,2,FALSE)),"",(VLOOKUP($E58,'A-1 Site Habitat Baseline'!$D$1:$O$258,2,FALSE))))</f>
        <v/>
      </c>
      <c r="B58" s="47" t="str">
        <f>IF(E58="","",IF(ISNA(VLOOKUP($E58,'A-1 Site Habitat Baseline'!$D$1:$O$258,3,FALSE)),"",(VLOOKUP($E58,'A-1 Site Habitat Baseline'!$D$1:$O$258,3,FALSE))))</f>
        <v/>
      </c>
      <c r="C58" s="47" t="str">
        <f>IFERROR(INDEX('G-8 Condition Look up'!$I$4:$I$130,MATCH(S58,'G-8 Condition Look up'!$A$4:$A$130,0)),"")</f>
        <v/>
      </c>
      <c r="E58" s="531" t="str">
        <f>'A-1 Site Habitat Baseline'!AL57</f>
        <v/>
      </c>
      <c r="F58" s="520" t="str">
        <f>IF(E58="","",IF(ISNA(VLOOKUP($E58,'A-1 Site Habitat Baseline'!$D$1:$O$258,4,FALSE)),"",(VLOOKUP($E58,'A-1 Site Habitat Baseline'!$D$1:$O$258,4,FALSE))))</f>
        <v/>
      </c>
      <c r="G58" s="520" t="str">
        <f>IF(E58="","",IF(ISNA(VLOOKUP($E58,'A-1 Site Habitat Baseline'!$D$1:$O$258,5,FALSE)),"",(VLOOKUP($E58,'A-1 Site Habitat Baseline'!$D$1:$O$258,5,FALSE))))</f>
        <v/>
      </c>
      <c r="H58" s="520" t="str">
        <f>IF(E58="","",IF(ISNA(VLOOKUP($E58,'A-1 Site Habitat Baseline'!$D$1:$O$258,6,FALSE)),"",(VLOOKUP($E58,'A-1 Site Habitat Baseline'!$D$1:$O$258,6,FALSE))))</f>
        <v/>
      </c>
      <c r="I58" s="520" t="str">
        <f>IF(E58="","",IF(ISNA(VLOOKUP($E58,'A-1 Site Habitat Baseline'!$D$1:$O$258,7,FALSE)),"",(VLOOKUP($E58,'A-1 Site Habitat Baseline'!$D$1:$O$258,7,FALSE))))</f>
        <v/>
      </c>
      <c r="J58" s="520" t="str">
        <f>IF(E58="","",IF(ISNA(VLOOKUP($E58,'A-1 Site Habitat Baseline'!$D$1:$O$258,8,FALSE)),"",(VLOOKUP($E58,'A-1 Site Habitat Baseline'!$D$1:$O$258,8,FALSE))))</f>
        <v/>
      </c>
      <c r="K58" s="520" t="str">
        <f>IF(E58="","",IF(ISNA(VLOOKUP($E58,'A-1 Site Habitat Baseline'!$D$1:$O$258,9,FALSE)),"",(VLOOKUP($E58,'A-1 Site Habitat Baseline'!$D$1:$O$258,9,FALSE))))</f>
        <v/>
      </c>
      <c r="L58" s="520" t="str">
        <f>IF(E58="","",IF(ISNA(VLOOKUP($E58,'A-1 Site Habitat Baseline'!$D$1:$O$258,11,FALSE)),"",(VLOOKUP($E58,'A-1 Site Habitat Baseline'!$D$1:$O$258,11,FALSE))))</f>
        <v/>
      </c>
      <c r="M58" s="520" t="str">
        <f>IF(E58="","",IF(ISNA(VLOOKUP($E58,'A-1 Site Habitat Baseline'!$D$1:$O$258,12,FALSE)),"",(VLOOKUP($E58,'A-1 Site Habitat Baseline'!$D$1:$O$258,12,FALSE))))</f>
        <v/>
      </c>
      <c r="N58" s="532" t="str">
        <f>IF(E58="","",IF(ISNA(VLOOKUP($E58,'A-1 Site Habitat Baseline'!$D$1:$X$258,14,FALSE)),"",(VLOOKUP($E58,'A-1 Site Habitat Baseline'!$D$1:$X$258,14,FALSE))))</f>
        <v/>
      </c>
      <c r="O58" s="524" t="str">
        <f>IF(E58="","",IF(ISNA(VLOOKUP($E58,'A-1 Site Habitat Baseline'!$D$1:$X$258,16,FALSE)),"",(VLOOKUP($E58,'A-1 Site Habitat Baseline'!$D$1:$X$258,13,FALSE))))</f>
        <v/>
      </c>
      <c r="P58" s="237" t="str">
        <f>IFERROR(INDEX('G-1 All Habitats'!$AG$3:$AG$15,MATCH(Q58,'G-1 All Habitats'!$AF$3:$AF$15,0)),"")</f>
        <v/>
      </c>
      <c r="Q58" s="238" t="str">
        <f t="shared" si="2"/>
        <v/>
      </c>
      <c r="R58" s="238" t="str">
        <f t="shared" si="11"/>
        <v/>
      </c>
      <c r="S58" s="392" t="str">
        <f>IFERROR(INDEX('G-1 All Habitats'!$B$3:$B$129,MATCH(R58,'G-1 All Habitats'!$A$3:$A$129,0)),"")</f>
        <v/>
      </c>
      <c r="T58" s="498" t="str">
        <f t="shared" si="3"/>
        <v/>
      </c>
      <c r="U58" s="499" t="str">
        <f t="shared" si="4"/>
        <v/>
      </c>
      <c r="V58" s="537" t="str">
        <f t="shared" si="5"/>
        <v/>
      </c>
      <c r="W58" s="520" t="str">
        <f>IF(S58="","",VLOOKUP(S58,'G-1 All Habitats'!$B$2:$M$129,10,FALSE))</f>
        <v/>
      </c>
      <c r="X58" s="520" t="str">
        <f>IFERROR(VLOOKUP(W58,'G-1 All Habitats'!$V$3:$W$7,2,FALSE),"")</f>
        <v/>
      </c>
      <c r="Y58" s="79"/>
      <c r="Z58" s="524" t="str">
        <f>IFERROR(INDEX('G-8 Condition Look up'!$A$3:$H$130,MATCH(S58,'G-8 Condition Look up'!$A$3:$A$130,0),MATCH(Y58,'G-8 Condition Look up'!$A$3:$H$3,0)),"")</f>
        <v/>
      </c>
      <c r="AA58" s="71"/>
      <c r="AB58" s="520" t="str">
        <f>IF(AA58="","",IF(VLOOKUP(AA58,'G-3 Multipliers'!$L$3:$N$6,2,FALSE)=0,"Spatial Data Missing ⚠",VLOOKUP(AA58,'G-3 Multipliers'!$L$3:$N$6,2,FALSE)))</f>
        <v/>
      </c>
      <c r="AC58" s="524" t="str">
        <f>IF(AA58="","",IF(VLOOKUP(AA58,'G-3 Multipliers'!$L$3:$N$6,3,FALSE)=0,"Spatial Data Missing ⚠",VLOOKUP(AA58,'G-3 Multipliers'!$L$3:$N$6,3,FALSE)))</f>
        <v/>
      </c>
      <c r="AD58" s="539" t="str">
        <f t="shared" si="1"/>
        <v/>
      </c>
      <c r="AE58" s="82"/>
      <c r="AF58" s="82"/>
      <c r="AG58" s="507" t="str">
        <f t="shared" si="6"/>
        <v/>
      </c>
      <c r="AH58" s="521" t="str">
        <f t="shared" si="7"/>
        <v/>
      </c>
      <c r="AI58" s="522" t="str">
        <f>IF(AH58="Check Data","Check Data",IFERROR(VLOOKUP(AH58,'G-4 Temporal multipliers'!$A$4:$C$36,3,FALSE),""))</f>
        <v/>
      </c>
      <c r="AJ58" s="498" t="str">
        <f>IF(S58="","",VLOOKUP(S58,'G-3 Multipliers'!$A$2:$E$129,4,FALSE))</f>
        <v/>
      </c>
      <c r="AK58" s="507" t="str">
        <f t="shared" si="8"/>
        <v/>
      </c>
      <c r="AL58" s="507" t="str">
        <f t="shared" si="9"/>
        <v/>
      </c>
      <c r="AM58" s="540" t="str">
        <f>IFERROR(IF(F58="","",IF(AH58="Check Data ⚠","Check Data ⚠",VLOOKUP(AL58, 'G-3 Multipliers'!$P$2:$Q$6,2,FALSE))),"")</f>
        <v/>
      </c>
      <c r="AN58" s="513" t="str">
        <f t="shared" si="10"/>
        <v/>
      </c>
      <c r="AO58" s="239"/>
      <c r="AP58" s="240"/>
    </row>
    <row r="59" spans="1:42" x14ac:dyDescent="0.25">
      <c r="A59" s="47" t="str">
        <f>IF(E59="","",IF(ISNA(VLOOKUP($E59,'A-1 Site Habitat Baseline'!$D$1:$O$258,2,FALSE)),"",(VLOOKUP($E59,'A-1 Site Habitat Baseline'!$D$1:$O$258,2,FALSE))))</f>
        <v/>
      </c>
      <c r="B59" s="47" t="str">
        <f>IF(E59="","",IF(ISNA(VLOOKUP($E59,'A-1 Site Habitat Baseline'!$D$1:$O$258,3,FALSE)),"",(VLOOKUP($E59,'A-1 Site Habitat Baseline'!$D$1:$O$258,3,FALSE))))</f>
        <v/>
      </c>
      <c r="C59" s="47" t="str">
        <f>IFERROR(INDEX('G-8 Condition Look up'!$I$4:$I$130,MATCH(S59,'G-8 Condition Look up'!$A$4:$A$130,0)),"")</f>
        <v/>
      </c>
      <c r="E59" s="531" t="str">
        <f>'A-1 Site Habitat Baseline'!AL58</f>
        <v/>
      </c>
      <c r="F59" s="520" t="str">
        <f>IF(E59="","",IF(ISNA(VLOOKUP($E59,'A-1 Site Habitat Baseline'!$D$1:$O$258,4,FALSE)),"",(VLOOKUP($E59,'A-1 Site Habitat Baseline'!$D$1:$O$258,4,FALSE))))</f>
        <v/>
      </c>
      <c r="G59" s="520" t="str">
        <f>IF(E59="","",IF(ISNA(VLOOKUP($E59,'A-1 Site Habitat Baseline'!$D$1:$O$258,5,FALSE)),"",(VLOOKUP($E59,'A-1 Site Habitat Baseline'!$D$1:$O$258,5,FALSE))))</f>
        <v/>
      </c>
      <c r="H59" s="520" t="str">
        <f>IF(E59="","",IF(ISNA(VLOOKUP($E59,'A-1 Site Habitat Baseline'!$D$1:$O$258,6,FALSE)),"",(VLOOKUP($E59,'A-1 Site Habitat Baseline'!$D$1:$O$258,6,FALSE))))</f>
        <v/>
      </c>
      <c r="I59" s="520" t="str">
        <f>IF(E59="","",IF(ISNA(VLOOKUP($E59,'A-1 Site Habitat Baseline'!$D$1:$O$258,7,FALSE)),"",(VLOOKUP($E59,'A-1 Site Habitat Baseline'!$D$1:$O$258,7,FALSE))))</f>
        <v/>
      </c>
      <c r="J59" s="520" t="str">
        <f>IF(E59="","",IF(ISNA(VLOOKUP($E59,'A-1 Site Habitat Baseline'!$D$1:$O$258,8,FALSE)),"",(VLOOKUP($E59,'A-1 Site Habitat Baseline'!$D$1:$O$258,8,FALSE))))</f>
        <v/>
      </c>
      <c r="K59" s="520" t="str">
        <f>IF(E59="","",IF(ISNA(VLOOKUP($E59,'A-1 Site Habitat Baseline'!$D$1:$O$258,9,FALSE)),"",(VLOOKUP($E59,'A-1 Site Habitat Baseline'!$D$1:$O$258,9,FALSE))))</f>
        <v/>
      </c>
      <c r="L59" s="520" t="str">
        <f>IF(E59="","",IF(ISNA(VLOOKUP($E59,'A-1 Site Habitat Baseline'!$D$1:$O$258,11,FALSE)),"",(VLOOKUP($E59,'A-1 Site Habitat Baseline'!$D$1:$O$258,11,FALSE))))</f>
        <v/>
      </c>
      <c r="M59" s="520" t="str">
        <f>IF(E59="","",IF(ISNA(VLOOKUP($E59,'A-1 Site Habitat Baseline'!$D$1:$O$258,12,FALSE)),"",(VLOOKUP($E59,'A-1 Site Habitat Baseline'!$D$1:$O$258,12,FALSE))))</f>
        <v/>
      </c>
      <c r="N59" s="532" t="str">
        <f>IF(E59="","",IF(ISNA(VLOOKUP($E59,'A-1 Site Habitat Baseline'!$D$1:$X$258,14,FALSE)),"",(VLOOKUP($E59,'A-1 Site Habitat Baseline'!$D$1:$X$258,14,FALSE))))</f>
        <v/>
      </c>
      <c r="O59" s="524" t="str">
        <f>IF(E59="","",IF(ISNA(VLOOKUP($E59,'A-1 Site Habitat Baseline'!$D$1:$X$258,16,FALSE)),"",(VLOOKUP($E59,'A-1 Site Habitat Baseline'!$D$1:$X$258,13,FALSE))))</f>
        <v/>
      </c>
      <c r="P59" s="237" t="str">
        <f>IFERROR(INDEX('G-1 All Habitats'!$AG$3:$AG$15,MATCH(Q59,'G-1 All Habitats'!$AF$3:$AF$15,0)),"")</f>
        <v/>
      </c>
      <c r="Q59" s="238" t="str">
        <f t="shared" si="2"/>
        <v/>
      </c>
      <c r="R59" s="238" t="str">
        <f t="shared" si="11"/>
        <v/>
      </c>
      <c r="S59" s="392" t="str">
        <f>IFERROR(INDEX('G-1 All Habitats'!$B$3:$B$129,MATCH(R59,'G-1 All Habitats'!$A$3:$A$129,0)),"")</f>
        <v/>
      </c>
      <c r="T59" s="498" t="str">
        <f t="shared" si="3"/>
        <v/>
      </c>
      <c r="U59" s="499" t="str">
        <f t="shared" si="4"/>
        <v/>
      </c>
      <c r="V59" s="537" t="str">
        <f t="shared" si="5"/>
        <v/>
      </c>
      <c r="W59" s="520" t="str">
        <f>IF(S59="","",VLOOKUP(S59,'G-1 All Habitats'!$B$2:$M$129,10,FALSE))</f>
        <v/>
      </c>
      <c r="X59" s="520" t="str">
        <f>IFERROR(VLOOKUP(W59,'G-1 All Habitats'!$V$3:$W$7,2,FALSE),"")</f>
        <v/>
      </c>
      <c r="Y59" s="79"/>
      <c r="Z59" s="524" t="str">
        <f>IFERROR(INDEX('G-8 Condition Look up'!$A$3:$H$130,MATCH(S59,'G-8 Condition Look up'!$A$3:$A$130,0),MATCH(Y59,'G-8 Condition Look up'!$A$3:$H$3,0)),"")</f>
        <v/>
      </c>
      <c r="AA59" s="71"/>
      <c r="AB59" s="520" t="str">
        <f>IF(AA59="","",IF(VLOOKUP(AA59,'G-3 Multipliers'!$L$3:$N$6,2,FALSE)=0,"Spatial Data Missing ⚠",VLOOKUP(AA59,'G-3 Multipliers'!$L$3:$N$6,2,FALSE)))</f>
        <v/>
      </c>
      <c r="AC59" s="524" t="str">
        <f>IF(AA59="","",IF(VLOOKUP(AA59,'G-3 Multipliers'!$L$3:$N$6,3,FALSE)=0,"Spatial Data Missing ⚠",VLOOKUP(AA59,'G-3 Multipliers'!$L$3:$N$6,3,FALSE)))</f>
        <v/>
      </c>
      <c r="AD59" s="539" t="str">
        <f t="shared" si="1"/>
        <v/>
      </c>
      <c r="AE59" s="82"/>
      <c r="AF59" s="82"/>
      <c r="AG59" s="507" t="str">
        <f t="shared" si="6"/>
        <v/>
      </c>
      <c r="AH59" s="521" t="str">
        <f t="shared" si="7"/>
        <v/>
      </c>
      <c r="AI59" s="522" t="str">
        <f>IF(AH59="Check Data","Check Data",IFERROR(VLOOKUP(AH59,'G-4 Temporal multipliers'!$A$4:$C$36,3,FALSE),""))</f>
        <v/>
      </c>
      <c r="AJ59" s="498" t="str">
        <f>IF(S59="","",VLOOKUP(S59,'G-3 Multipliers'!$A$2:$E$129,4,FALSE))</f>
        <v/>
      </c>
      <c r="AK59" s="507" t="str">
        <f t="shared" si="8"/>
        <v/>
      </c>
      <c r="AL59" s="507" t="str">
        <f t="shared" si="9"/>
        <v/>
      </c>
      <c r="AM59" s="540" t="str">
        <f>IFERROR(IF(F59="","",IF(AH59="Check Data ⚠","Check Data ⚠",VLOOKUP(AL59, 'G-3 Multipliers'!$P$2:$Q$6,2,FALSE))),"")</f>
        <v/>
      </c>
      <c r="AN59" s="513" t="str">
        <f t="shared" si="10"/>
        <v/>
      </c>
      <c r="AO59" s="239"/>
      <c r="AP59" s="240"/>
    </row>
    <row r="60" spans="1:42" x14ac:dyDescent="0.25">
      <c r="A60" s="47" t="str">
        <f>IF(E60="","",IF(ISNA(VLOOKUP($E60,'A-1 Site Habitat Baseline'!$D$1:$O$258,2,FALSE)),"",(VLOOKUP($E60,'A-1 Site Habitat Baseline'!$D$1:$O$258,2,FALSE))))</f>
        <v/>
      </c>
      <c r="B60" s="47" t="str">
        <f>IF(E60="","",IF(ISNA(VLOOKUP($E60,'A-1 Site Habitat Baseline'!$D$1:$O$258,3,FALSE)),"",(VLOOKUP($E60,'A-1 Site Habitat Baseline'!$D$1:$O$258,3,FALSE))))</f>
        <v/>
      </c>
      <c r="C60" s="47" t="str">
        <f>IFERROR(INDEX('G-8 Condition Look up'!$I$4:$I$130,MATCH(S60,'G-8 Condition Look up'!$A$4:$A$130,0)),"")</f>
        <v/>
      </c>
      <c r="E60" s="531" t="str">
        <f>'A-1 Site Habitat Baseline'!AL59</f>
        <v/>
      </c>
      <c r="F60" s="520" t="str">
        <f>IF(E60="","",IF(ISNA(VLOOKUP($E60,'A-1 Site Habitat Baseline'!$D$1:$O$258,4,FALSE)),"",(VLOOKUP($E60,'A-1 Site Habitat Baseline'!$D$1:$O$258,4,FALSE))))</f>
        <v/>
      </c>
      <c r="G60" s="520" t="str">
        <f>IF(E60="","",IF(ISNA(VLOOKUP($E60,'A-1 Site Habitat Baseline'!$D$1:$O$258,5,FALSE)),"",(VLOOKUP($E60,'A-1 Site Habitat Baseline'!$D$1:$O$258,5,FALSE))))</f>
        <v/>
      </c>
      <c r="H60" s="520" t="str">
        <f>IF(E60="","",IF(ISNA(VLOOKUP($E60,'A-1 Site Habitat Baseline'!$D$1:$O$258,6,FALSE)),"",(VLOOKUP($E60,'A-1 Site Habitat Baseline'!$D$1:$O$258,6,FALSE))))</f>
        <v/>
      </c>
      <c r="I60" s="520" t="str">
        <f>IF(E60="","",IF(ISNA(VLOOKUP($E60,'A-1 Site Habitat Baseline'!$D$1:$O$258,7,FALSE)),"",(VLOOKUP($E60,'A-1 Site Habitat Baseline'!$D$1:$O$258,7,FALSE))))</f>
        <v/>
      </c>
      <c r="J60" s="520" t="str">
        <f>IF(E60="","",IF(ISNA(VLOOKUP($E60,'A-1 Site Habitat Baseline'!$D$1:$O$258,8,FALSE)),"",(VLOOKUP($E60,'A-1 Site Habitat Baseline'!$D$1:$O$258,8,FALSE))))</f>
        <v/>
      </c>
      <c r="K60" s="520" t="str">
        <f>IF(E60="","",IF(ISNA(VLOOKUP($E60,'A-1 Site Habitat Baseline'!$D$1:$O$258,9,FALSE)),"",(VLOOKUP($E60,'A-1 Site Habitat Baseline'!$D$1:$O$258,9,FALSE))))</f>
        <v/>
      </c>
      <c r="L60" s="520" t="str">
        <f>IF(E60="","",IF(ISNA(VLOOKUP($E60,'A-1 Site Habitat Baseline'!$D$1:$O$258,11,FALSE)),"",(VLOOKUP($E60,'A-1 Site Habitat Baseline'!$D$1:$O$258,11,FALSE))))</f>
        <v/>
      </c>
      <c r="M60" s="520" t="str">
        <f>IF(E60="","",IF(ISNA(VLOOKUP($E60,'A-1 Site Habitat Baseline'!$D$1:$O$258,12,FALSE)),"",(VLOOKUP($E60,'A-1 Site Habitat Baseline'!$D$1:$O$258,12,FALSE))))</f>
        <v/>
      </c>
      <c r="N60" s="532" t="str">
        <f>IF(E60="","",IF(ISNA(VLOOKUP($E60,'A-1 Site Habitat Baseline'!$D$1:$X$258,14,FALSE)),"",(VLOOKUP($E60,'A-1 Site Habitat Baseline'!$D$1:$X$258,14,FALSE))))</f>
        <v/>
      </c>
      <c r="O60" s="524" t="str">
        <f>IF(E60="","",IF(ISNA(VLOOKUP($E60,'A-1 Site Habitat Baseline'!$D$1:$X$258,16,FALSE)),"",(VLOOKUP($E60,'A-1 Site Habitat Baseline'!$D$1:$X$258,13,FALSE))))</f>
        <v/>
      </c>
      <c r="P60" s="237" t="str">
        <f>IFERROR(INDEX('G-1 All Habitats'!$AG$3:$AG$15,MATCH(Q60,'G-1 All Habitats'!$AF$3:$AF$15,0)),"")</f>
        <v/>
      </c>
      <c r="Q60" s="238" t="str">
        <f t="shared" si="2"/>
        <v/>
      </c>
      <c r="R60" s="238" t="str">
        <f t="shared" si="11"/>
        <v/>
      </c>
      <c r="S60" s="392" t="str">
        <f>IFERROR(INDEX('G-1 All Habitats'!$B$3:$B$129,MATCH(R60,'G-1 All Habitats'!$A$3:$A$129,0)),"")</f>
        <v/>
      </c>
      <c r="T60" s="498" t="str">
        <f t="shared" si="3"/>
        <v/>
      </c>
      <c r="U60" s="499" t="str">
        <f t="shared" si="4"/>
        <v/>
      </c>
      <c r="V60" s="537" t="str">
        <f t="shared" si="5"/>
        <v/>
      </c>
      <c r="W60" s="520" t="str">
        <f>IF(S60="","",VLOOKUP(S60,'G-1 All Habitats'!$B$2:$M$129,10,FALSE))</f>
        <v/>
      </c>
      <c r="X60" s="520" t="str">
        <f>IFERROR(VLOOKUP(W60,'G-1 All Habitats'!$V$3:$W$7,2,FALSE),"")</f>
        <v/>
      </c>
      <c r="Y60" s="79"/>
      <c r="Z60" s="524" t="str">
        <f>IFERROR(INDEX('G-8 Condition Look up'!$A$3:$H$130,MATCH(S60,'G-8 Condition Look up'!$A$3:$A$130,0),MATCH(Y60,'G-8 Condition Look up'!$A$3:$H$3,0)),"")</f>
        <v/>
      </c>
      <c r="AA60" s="71"/>
      <c r="AB60" s="520" t="str">
        <f>IF(AA60="","",IF(VLOOKUP(AA60,'G-3 Multipliers'!$L$3:$N$6,2,FALSE)=0,"Spatial Data Missing ⚠",VLOOKUP(AA60,'G-3 Multipliers'!$L$3:$N$6,2,FALSE)))</f>
        <v/>
      </c>
      <c r="AC60" s="524" t="str">
        <f>IF(AA60="","",IF(VLOOKUP(AA60,'G-3 Multipliers'!$L$3:$N$6,3,FALSE)=0,"Spatial Data Missing ⚠",VLOOKUP(AA60,'G-3 Multipliers'!$L$3:$N$6,3,FALSE)))</f>
        <v/>
      </c>
      <c r="AD60" s="539" t="str">
        <f t="shared" si="1"/>
        <v/>
      </c>
      <c r="AE60" s="82"/>
      <c r="AF60" s="82"/>
      <c r="AG60" s="507" t="str">
        <f t="shared" si="6"/>
        <v/>
      </c>
      <c r="AH60" s="521" t="str">
        <f t="shared" si="7"/>
        <v/>
      </c>
      <c r="AI60" s="522" t="str">
        <f>IF(AH60="Check Data","Check Data",IFERROR(VLOOKUP(AH60,'G-4 Temporal multipliers'!$A$4:$C$36,3,FALSE),""))</f>
        <v/>
      </c>
      <c r="AJ60" s="498" t="str">
        <f>IF(S60="","",VLOOKUP(S60,'G-3 Multipliers'!$A$2:$E$129,4,FALSE))</f>
        <v/>
      </c>
      <c r="AK60" s="507" t="str">
        <f t="shared" si="8"/>
        <v/>
      </c>
      <c r="AL60" s="507" t="str">
        <f t="shared" si="9"/>
        <v/>
      </c>
      <c r="AM60" s="540" t="str">
        <f>IFERROR(IF(F60="","",IF(AH60="Check Data ⚠","Check Data ⚠",VLOOKUP(AL60, 'G-3 Multipliers'!$P$2:$Q$6,2,FALSE))),"")</f>
        <v/>
      </c>
      <c r="AN60" s="513" t="str">
        <f t="shared" si="10"/>
        <v/>
      </c>
      <c r="AO60" s="239"/>
      <c r="AP60" s="240"/>
    </row>
    <row r="61" spans="1:42" x14ac:dyDescent="0.25">
      <c r="A61" s="47" t="str">
        <f>IF(E61="","",IF(ISNA(VLOOKUP($E61,'A-1 Site Habitat Baseline'!$D$1:$O$258,2,FALSE)),"",(VLOOKUP($E61,'A-1 Site Habitat Baseline'!$D$1:$O$258,2,FALSE))))</f>
        <v/>
      </c>
      <c r="B61" s="47" t="str">
        <f>IF(E61="","",IF(ISNA(VLOOKUP($E61,'A-1 Site Habitat Baseline'!$D$1:$O$258,3,FALSE)),"",(VLOOKUP($E61,'A-1 Site Habitat Baseline'!$D$1:$O$258,3,FALSE))))</f>
        <v/>
      </c>
      <c r="C61" s="47" t="str">
        <f>IFERROR(INDEX('G-8 Condition Look up'!$I$4:$I$130,MATCH(S61,'G-8 Condition Look up'!$A$4:$A$130,0)),"")</f>
        <v/>
      </c>
      <c r="E61" s="531" t="str">
        <f>'A-1 Site Habitat Baseline'!AL60</f>
        <v/>
      </c>
      <c r="F61" s="520" t="str">
        <f>IF(E61="","",IF(ISNA(VLOOKUP($E61,'A-1 Site Habitat Baseline'!$D$1:$O$258,4,FALSE)),"",(VLOOKUP($E61,'A-1 Site Habitat Baseline'!$D$1:$O$258,4,FALSE))))</f>
        <v/>
      </c>
      <c r="G61" s="520" t="str">
        <f>IF(E61="","",IF(ISNA(VLOOKUP($E61,'A-1 Site Habitat Baseline'!$D$1:$O$258,5,FALSE)),"",(VLOOKUP($E61,'A-1 Site Habitat Baseline'!$D$1:$O$258,5,FALSE))))</f>
        <v/>
      </c>
      <c r="H61" s="520" t="str">
        <f>IF(E61="","",IF(ISNA(VLOOKUP($E61,'A-1 Site Habitat Baseline'!$D$1:$O$258,6,FALSE)),"",(VLOOKUP($E61,'A-1 Site Habitat Baseline'!$D$1:$O$258,6,FALSE))))</f>
        <v/>
      </c>
      <c r="I61" s="520" t="str">
        <f>IF(E61="","",IF(ISNA(VLOOKUP($E61,'A-1 Site Habitat Baseline'!$D$1:$O$258,7,FALSE)),"",(VLOOKUP($E61,'A-1 Site Habitat Baseline'!$D$1:$O$258,7,FALSE))))</f>
        <v/>
      </c>
      <c r="J61" s="520" t="str">
        <f>IF(E61="","",IF(ISNA(VLOOKUP($E61,'A-1 Site Habitat Baseline'!$D$1:$O$258,8,FALSE)),"",(VLOOKUP($E61,'A-1 Site Habitat Baseline'!$D$1:$O$258,8,FALSE))))</f>
        <v/>
      </c>
      <c r="K61" s="520" t="str">
        <f>IF(E61="","",IF(ISNA(VLOOKUP($E61,'A-1 Site Habitat Baseline'!$D$1:$O$258,9,FALSE)),"",(VLOOKUP($E61,'A-1 Site Habitat Baseline'!$D$1:$O$258,9,FALSE))))</f>
        <v/>
      </c>
      <c r="L61" s="520" t="str">
        <f>IF(E61="","",IF(ISNA(VLOOKUP($E61,'A-1 Site Habitat Baseline'!$D$1:$O$258,11,FALSE)),"",(VLOOKUP($E61,'A-1 Site Habitat Baseline'!$D$1:$O$258,11,FALSE))))</f>
        <v/>
      </c>
      <c r="M61" s="520" t="str">
        <f>IF(E61="","",IF(ISNA(VLOOKUP($E61,'A-1 Site Habitat Baseline'!$D$1:$O$258,12,FALSE)),"",(VLOOKUP($E61,'A-1 Site Habitat Baseline'!$D$1:$O$258,12,FALSE))))</f>
        <v/>
      </c>
      <c r="N61" s="532" t="str">
        <f>IF(E61="","",IF(ISNA(VLOOKUP($E61,'A-1 Site Habitat Baseline'!$D$1:$X$258,14,FALSE)),"",(VLOOKUP($E61,'A-1 Site Habitat Baseline'!$D$1:$X$258,14,FALSE))))</f>
        <v/>
      </c>
      <c r="O61" s="524" t="str">
        <f>IF(E61="","",IF(ISNA(VLOOKUP($E61,'A-1 Site Habitat Baseline'!$D$1:$X$258,16,FALSE)),"",(VLOOKUP($E61,'A-1 Site Habitat Baseline'!$D$1:$X$258,13,FALSE))))</f>
        <v/>
      </c>
      <c r="P61" s="237" t="str">
        <f>IFERROR(INDEX('G-1 All Habitats'!$AG$3:$AG$15,MATCH(Q61,'G-1 All Habitats'!$AF$3:$AF$15,0)),"")</f>
        <v/>
      </c>
      <c r="Q61" s="238" t="str">
        <f t="shared" si="2"/>
        <v/>
      </c>
      <c r="R61" s="238" t="str">
        <f t="shared" si="11"/>
        <v/>
      </c>
      <c r="S61" s="392" t="str">
        <f>IFERROR(INDEX('G-1 All Habitats'!$B$3:$B$129,MATCH(R61,'G-1 All Habitats'!$A$3:$A$129,0)),"")</f>
        <v/>
      </c>
      <c r="T61" s="498" t="str">
        <f t="shared" si="3"/>
        <v/>
      </c>
      <c r="U61" s="499" t="str">
        <f t="shared" si="4"/>
        <v/>
      </c>
      <c r="V61" s="537" t="str">
        <f t="shared" si="5"/>
        <v/>
      </c>
      <c r="W61" s="520" t="str">
        <f>IF(S61="","",VLOOKUP(S61,'G-1 All Habitats'!$B$2:$M$129,10,FALSE))</f>
        <v/>
      </c>
      <c r="X61" s="520" t="str">
        <f>IFERROR(VLOOKUP(W61,'G-1 All Habitats'!$V$3:$W$7,2,FALSE),"")</f>
        <v/>
      </c>
      <c r="Y61" s="79"/>
      <c r="Z61" s="524" t="str">
        <f>IFERROR(INDEX('G-8 Condition Look up'!$A$3:$H$130,MATCH(S61,'G-8 Condition Look up'!$A$3:$A$130,0),MATCH(Y61,'G-8 Condition Look up'!$A$3:$H$3,0)),"")</f>
        <v/>
      </c>
      <c r="AA61" s="71"/>
      <c r="AB61" s="520" t="str">
        <f>IF(AA61="","",IF(VLOOKUP(AA61,'G-3 Multipliers'!$L$3:$N$6,2,FALSE)=0,"Spatial Data Missing ⚠",VLOOKUP(AA61,'G-3 Multipliers'!$L$3:$N$6,2,FALSE)))</f>
        <v/>
      </c>
      <c r="AC61" s="524" t="str">
        <f>IF(AA61="","",IF(VLOOKUP(AA61,'G-3 Multipliers'!$L$3:$N$6,3,FALSE)=0,"Spatial Data Missing ⚠",VLOOKUP(AA61,'G-3 Multipliers'!$L$3:$N$6,3,FALSE)))</f>
        <v/>
      </c>
      <c r="AD61" s="539" t="str">
        <f t="shared" si="1"/>
        <v/>
      </c>
      <c r="AE61" s="82"/>
      <c r="AF61" s="82"/>
      <c r="AG61" s="507" t="str">
        <f t="shared" si="6"/>
        <v/>
      </c>
      <c r="AH61" s="521" t="str">
        <f t="shared" si="7"/>
        <v/>
      </c>
      <c r="AI61" s="522" t="str">
        <f>IF(AH61="Check Data","Check Data",IFERROR(VLOOKUP(AH61,'G-4 Temporal multipliers'!$A$4:$C$36,3,FALSE),""))</f>
        <v/>
      </c>
      <c r="AJ61" s="498" t="str">
        <f>IF(S61="","",VLOOKUP(S61,'G-3 Multipliers'!$A$2:$E$129,4,FALSE))</f>
        <v/>
      </c>
      <c r="AK61" s="507" t="str">
        <f t="shared" si="8"/>
        <v/>
      </c>
      <c r="AL61" s="507" t="str">
        <f t="shared" si="9"/>
        <v/>
      </c>
      <c r="AM61" s="540" t="str">
        <f>IFERROR(IF(F61="","",IF(AH61="Check Data ⚠","Check Data ⚠",VLOOKUP(AL61, 'G-3 Multipliers'!$P$2:$Q$6,2,FALSE))),"")</f>
        <v/>
      </c>
      <c r="AN61" s="513" t="str">
        <f t="shared" si="10"/>
        <v/>
      </c>
      <c r="AO61" s="239"/>
      <c r="AP61" s="240"/>
    </row>
    <row r="62" spans="1:42" x14ac:dyDescent="0.25">
      <c r="A62" s="47" t="str">
        <f>IF(E62="","",IF(ISNA(VLOOKUP($E62,'A-1 Site Habitat Baseline'!$D$1:$O$258,2,FALSE)),"",(VLOOKUP($E62,'A-1 Site Habitat Baseline'!$D$1:$O$258,2,FALSE))))</f>
        <v/>
      </c>
      <c r="B62" s="47" t="str">
        <f>IF(E62="","",IF(ISNA(VLOOKUP($E62,'A-1 Site Habitat Baseline'!$D$1:$O$258,3,FALSE)),"",(VLOOKUP($E62,'A-1 Site Habitat Baseline'!$D$1:$O$258,3,FALSE))))</f>
        <v/>
      </c>
      <c r="C62" s="47" t="str">
        <f>IFERROR(INDEX('G-8 Condition Look up'!$I$4:$I$130,MATCH(S62,'G-8 Condition Look up'!$A$4:$A$130,0)),"")</f>
        <v/>
      </c>
      <c r="E62" s="531" t="str">
        <f>'A-1 Site Habitat Baseline'!AL61</f>
        <v/>
      </c>
      <c r="F62" s="520" t="str">
        <f>IF(E62="","",IF(ISNA(VLOOKUP($E62,'A-1 Site Habitat Baseline'!$D$1:$O$258,4,FALSE)),"",(VLOOKUP($E62,'A-1 Site Habitat Baseline'!$D$1:$O$258,4,FALSE))))</f>
        <v/>
      </c>
      <c r="G62" s="520" t="str">
        <f>IF(E62="","",IF(ISNA(VLOOKUP($E62,'A-1 Site Habitat Baseline'!$D$1:$O$258,5,FALSE)),"",(VLOOKUP($E62,'A-1 Site Habitat Baseline'!$D$1:$O$258,5,FALSE))))</f>
        <v/>
      </c>
      <c r="H62" s="520" t="str">
        <f>IF(E62="","",IF(ISNA(VLOOKUP($E62,'A-1 Site Habitat Baseline'!$D$1:$O$258,6,FALSE)),"",(VLOOKUP($E62,'A-1 Site Habitat Baseline'!$D$1:$O$258,6,FALSE))))</f>
        <v/>
      </c>
      <c r="I62" s="520" t="str">
        <f>IF(E62="","",IF(ISNA(VLOOKUP($E62,'A-1 Site Habitat Baseline'!$D$1:$O$258,7,FALSE)),"",(VLOOKUP($E62,'A-1 Site Habitat Baseline'!$D$1:$O$258,7,FALSE))))</f>
        <v/>
      </c>
      <c r="J62" s="520" t="str">
        <f>IF(E62="","",IF(ISNA(VLOOKUP($E62,'A-1 Site Habitat Baseline'!$D$1:$O$258,8,FALSE)),"",(VLOOKUP($E62,'A-1 Site Habitat Baseline'!$D$1:$O$258,8,FALSE))))</f>
        <v/>
      </c>
      <c r="K62" s="520" t="str">
        <f>IF(E62="","",IF(ISNA(VLOOKUP($E62,'A-1 Site Habitat Baseline'!$D$1:$O$258,9,FALSE)),"",(VLOOKUP($E62,'A-1 Site Habitat Baseline'!$D$1:$O$258,9,FALSE))))</f>
        <v/>
      </c>
      <c r="L62" s="520" t="str">
        <f>IF(E62="","",IF(ISNA(VLOOKUP($E62,'A-1 Site Habitat Baseline'!$D$1:$O$258,11,FALSE)),"",(VLOOKUP($E62,'A-1 Site Habitat Baseline'!$D$1:$O$258,11,FALSE))))</f>
        <v/>
      </c>
      <c r="M62" s="520" t="str">
        <f>IF(E62="","",IF(ISNA(VLOOKUP($E62,'A-1 Site Habitat Baseline'!$D$1:$O$258,12,FALSE)),"",(VLOOKUP($E62,'A-1 Site Habitat Baseline'!$D$1:$O$258,12,FALSE))))</f>
        <v/>
      </c>
      <c r="N62" s="532" t="str">
        <f>IF(E62="","",IF(ISNA(VLOOKUP($E62,'A-1 Site Habitat Baseline'!$D$1:$X$258,14,FALSE)),"",(VLOOKUP($E62,'A-1 Site Habitat Baseline'!$D$1:$X$258,14,FALSE))))</f>
        <v/>
      </c>
      <c r="O62" s="524" t="str">
        <f>IF(E62="","",IF(ISNA(VLOOKUP($E62,'A-1 Site Habitat Baseline'!$D$1:$X$258,16,FALSE)),"",(VLOOKUP($E62,'A-1 Site Habitat Baseline'!$D$1:$X$258,13,FALSE))))</f>
        <v/>
      </c>
      <c r="P62" s="237" t="str">
        <f>IFERROR(INDEX('G-1 All Habitats'!$AG$3:$AG$15,MATCH(Q62,'G-1 All Habitats'!$AF$3:$AF$15,0)),"")</f>
        <v/>
      </c>
      <c r="Q62" s="238" t="str">
        <f t="shared" si="2"/>
        <v/>
      </c>
      <c r="R62" s="238" t="str">
        <f t="shared" si="11"/>
        <v/>
      </c>
      <c r="S62" s="392" t="str">
        <f>IFERROR(INDEX('G-1 All Habitats'!$B$3:$B$129,MATCH(R62,'G-1 All Habitats'!$A$3:$A$129,0)),"")</f>
        <v/>
      </c>
      <c r="T62" s="498" t="str">
        <f t="shared" si="3"/>
        <v/>
      </c>
      <c r="U62" s="499" t="str">
        <f t="shared" si="4"/>
        <v/>
      </c>
      <c r="V62" s="537" t="str">
        <f t="shared" si="5"/>
        <v/>
      </c>
      <c r="W62" s="520" t="str">
        <f>IF(S62="","",VLOOKUP(S62,'G-1 All Habitats'!$B$2:$M$129,10,FALSE))</f>
        <v/>
      </c>
      <c r="X62" s="520" t="str">
        <f>IFERROR(VLOOKUP(W62,'G-1 All Habitats'!$V$3:$W$7,2,FALSE),"")</f>
        <v/>
      </c>
      <c r="Y62" s="79"/>
      <c r="Z62" s="524" t="str">
        <f>IFERROR(INDEX('G-8 Condition Look up'!$A$3:$H$130,MATCH(S62,'G-8 Condition Look up'!$A$3:$A$130,0),MATCH(Y62,'G-8 Condition Look up'!$A$3:$H$3,0)),"")</f>
        <v/>
      </c>
      <c r="AA62" s="71"/>
      <c r="AB62" s="520" t="str">
        <f>IF(AA62="","",IF(VLOOKUP(AA62,'G-3 Multipliers'!$L$3:$N$6,2,FALSE)=0,"Spatial Data Missing ⚠",VLOOKUP(AA62,'G-3 Multipliers'!$L$3:$N$6,2,FALSE)))</f>
        <v/>
      </c>
      <c r="AC62" s="524" t="str">
        <f>IF(AA62="","",IF(VLOOKUP(AA62,'G-3 Multipliers'!$L$3:$N$6,3,FALSE)=0,"Spatial Data Missing ⚠",VLOOKUP(AA62,'G-3 Multipliers'!$L$3:$N$6,3,FALSE)))</f>
        <v/>
      </c>
      <c r="AD62" s="539" t="str">
        <f t="shared" si="1"/>
        <v/>
      </c>
      <c r="AE62" s="82"/>
      <c r="AF62" s="82"/>
      <c r="AG62" s="507" t="str">
        <f t="shared" si="6"/>
        <v/>
      </c>
      <c r="AH62" s="521" t="str">
        <f t="shared" si="7"/>
        <v/>
      </c>
      <c r="AI62" s="522" t="str">
        <f>IF(AH62="Check Data","Check Data",IFERROR(VLOOKUP(AH62,'G-4 Temporal multipliers'!$A$4:$C$36,3,FALSE),""))</f>
        <v/>
      </c>
      <c r="AJ62" s="498" t="str">
        <f>IF(S62="","",VLOOKUP(S62,'G-3 Multipliers'!$A$2:$E$129,4,FALSE))</f>
        <v/>
      </c>
      <c r="AK62" s="507" t="str">
        <f t="shared" si="8"/>
        <v/>
      </c>
      <c r="AL62" s="507" t="str">
        <f t="shared" si="9"/>
        <v/>
      </c>
      <c r="AM62" s="540" t="str">
        <f>IFERROR(IF(F62="","",IF(AH62="Check Data ⚠","Check Data ⚠",VLOOKUP(AL62, 'G-3 Multipliers'!$P$2:$Q$6,2,FALSE))),"")</f>
        <v/>
      </c>
      <c r="AN62" s="513" t="str">
        <f t="shared" si="10"/>
        <v/>
      </c>
      <c r="AO62" s="239"/>
      <c r="AP62" s="240"/>
    </row>
    <row r="63" spans="1:42" x14ac:dyDescent="0.25">
      <c r="A63" s="47" t="str">
        <f>IF(E63="","",IF(ISNA(VLOOKUP($E63,'A-1 Site Habitat Baseline'!$D$1:$O$258,2,FALSE)),"",(VLOOKUP($E63,'A-1 Site Habitat Baseline'!$D$1:$O$258,2,FALSE))))</f>
        <v/>
      </c>
      <c r="B63" s="47" t="str">
        <f>IF(E63="","",IF(ISNA(VLOOKUP($E63,'A-1 Site Habitat Baseline'!$D$1:$O$258,3,FALSE)),"",(VLOOKUP($E63,'A-1 Site Habitat Baseline'!$D$1:$O$258,3,FALSE))))</f>
        <v/>
      </c>
      <c r="C63" s="47" t="str">
        <f>IFERROR(INDEX('G-8 Condition Look up'!$I$4:$I$130,MATCH(S63,'G-8 Condition Look up'!$A$4:$A$130,0)),"")</f>
        <v/>
      </c>
      <c r="E63" s="531" t="str">
        <f>'A-1 Site Habitat Baseline'!AL62</f>
        <v/>
      </c>
      <c r="F63" s="520" t="str">
        <f>IF(E63="","",IF(ISNA(VLOOKUP($E63,'A-1 Site Habitat Baseline'!$D$1:$O$258,4,FALSE)),"",(VLOOKUP($E63,'A-1 Site Habitat Baseline'!$D$1:$O$258,4,FALSE))))</f>
        <v/>
      </c>
      <c r="G63" s="520" t="str">
        <f>IF(E63="","",IF(ISNA(VLOOKUP($E63,'A-1 Site Habitat Baseline'!$D$1:$O$258,5,FALSE)),"",(VLOOKUP($E63,'A-1 Site Habitat Baseline'!$D$1:$O$258,5,FALSE))))</f>
        <v/>
      </c>
      <c r="H63" s="520" t="str">
        <f>IF(E63="","",IF(ISNA(VLOOKUP($E63,'A-1 Site Habitat Baseline'!$D$1:$O$258,6,FALSE)),"",(VLOOKUP($E63,'A-1 Site Habitat Baseline'!$D$1:$O$258,6,FALSE))))</f>
        <v/>
      </c>
      <c r="I63" s="520" t="str">
        <f>IF(E63="","",IF(ISNA(VLOOKUP($E63,'A-1 Site Habitat Baseline'!$D$1:$O$258,7,FALSE)),"",(VLOOKUP($E63,'A-1 Site Habitat Baseline'!$D$1:$O$258,7,FALSE))))</f>
        <v/>
      </c>
      <c r="J63" s="520" t="str">
        <f>IF(E63="","",IF(ISNA(VLOOKUP($E63,'A-1 Site Habitat Baseline'!$D$1:$O$258,8,FALSE)),"",(VLOOKUP($E63,'A-1 Site Habitat Baseline'!$D$1:$O$258,8,FALSE))))</f>
        <v/>
      </c>
      <c r="K63" s="520" t="str">
        <f>IF(E63="","",IF(ISNA(VLOOKUP($E63,'A-1 Site Habitat Baseline'!$D$1:$O$258,9,FALSE)),"",(VLOOKUP($E63,'A-1 Site Habitat Baseline'!$D$1:$O$258,9,FALSE))))</f>
        <v/>
      </c>
      <c r="L63" s="520" t="str">
        <f>IF(E63="","",IF(ISNA(VLOOKUP($E63,'A-1 Site Habitat Baseline'!$D$1:$O$258,11,FALSE)),"",(VLOOKUP($E63,'A-1 Site Habitat Baseline'!$D$1:$O$258,11,FALSE))))</f>
        <v/>
      </c>
      <c r="M63" s="520" t="str">
        <f>IF(E63="","",IF(ISNA(VLOOKUP($E63,'A-1 Site Habitat Baseline'!$D$1:$O$258,12,FALSE)),"",(VLOOKUP($E63,'A-1 Site Habitat Baseline'!$D$1:$O$258,12,FALSE))))</f>
        <v/>
      </c>
      <c r="N63" s="532" t="str">
        <f>IF(E63="","",IF(ISNA(VLOOKUP($E63,'A-1 Site Habitat Baseline'!$D$1:$X$258,14,FALSE)),"",(VLOOKUP($E63,'A-1 Site Habitat Baseline'!$D$1:$X$258,14,FALSE))))</f>
        <v/>
      </c>
      <c r="O63" s="524" t="str">
        <f>IF(E63="","",IF(ISNA(VLOOKUP($E63,'A-1 Site Habitat Baseline'!$D$1:$X$258,16,FALSE)),"",(VLOOKUP($E63,'A-1 Site Habitat Baseline'!$D$1:$X$258,13,FALSE))))</f>
        <v/>
      </c>
      <c r="P63" s="237" t="str">
        <f>IFERROR(INDEX('G-1 All Habitats'!$AG$3:$AG$15,MATCH(Q63,'G-1 All Habitats'!$AF$3:$AF$15,0)),"")</f>
        <v/>
      </c>
      <c r="Q63" s="238" t="str">
        <f t="shared" si="2"/>
        <v/>
      </c>
      <c r="R63" s="238" t="str">
        <f t="shared" si="11"/>
        <v/>
      </c>
      <c r="S63" s="392" t="str">
        <f>IFERROR(INDEX('G-1 All Habitats'!$B$3:$B$129,MATCH(R63,'G-1 All Habitats'!$A$3:$A$129,0)),"")</f>
        <v/>
      </c>
      <c r="T63" s="498" t="str">
        <f t="shared" si="3"/>
        <v/>
      </c>
      <c r="U63" s="499" t="str">
        <f t="shared" si="4"/>
        <v/>
      </c>
      <c r="V63" s="537" t="str">
        <f t="shared" si="5"/>
        <v/>
      </c>
      <c r="W63" s="520" t="str">
        <f>IF(S63="","",VLOOKUP(S63,'G-1 All Habitats'!$B$2:$M$129,10,FALSE))</f>
        <v/>
      </c>
      <c r="X63" s="520" t="str">
        <f>IFERROR(VLOOKUP(W63,'G-1 All Habitats'!$V$3:$W$7,2,FALSE),"")</f>
        <v/>
      </c>
      <c r="Y63" s="79"/>
      <c r="Z63" s="524" t="str">
        <f>IFERROR(INDEX('G-8 Condition Look up'!$A$3:$H$130,MATCH(S63,'G-8 Condition Look up'!$A$3:$A$130,0),MATCH(Y63,'G-8 Condition Look up'!$A$3:$H$3,0)),"")</f>
        <v/>
      </c>
      <c r="AA63" s="71"/>
      <c r="AB63" s="520" t="str">
        <f>IF(AA63="","",IF(VLOOKUP(AA63,'G-3 Multipliers'!$L$3:$N$6,2,FALSE)=0,"Spatial Data Missing ⚠",VLOOKUP(AA63,'G-3 Multipliers'!$L$3:$N$6,2,FALSE)))</f>
        <v/>
      </c>
      <c r="AC63" s="524" t="str">
        <f>IF(AA63="","",IF(VLOOKUP(AA63,'G-3 Multipliers'!$L$3:$N$6,3,FALSE)=0,"Spatial Data Missing ⚠",VLOOKUP(AA63,'G-3 Multipliers'!$L$3:$N$6,3,FALSE)))</f>
        <v/>
      </c>
      <c r="AD63" s="539" t="str">
        <f t="shared" si="1"/>
        <v/>
      </c>
      <c r="AE63" s="82"/>
      <c r="AF63" s="82"/>
      <c r="AG63" s="507" t="str">
        <f t="shared" si="6"/>
        <v/>
      </c>
      <c r="AH63" s="521" t="str">
        <f t="shared" si="7"/>
        <v/>
      </c>
      <c r="AI63" s="522" t="str">
        <f>IF(AH63="Check Data","Check Data",IFERROR(VLOOKUP(AH63,'G-4 Temporal multipliers'!$A$4:$C$36,3,FALSE),""))</f>
        <v/>
      </c>
      <c r="AJ63" s="498" t="str">
        <f>IF(S63="","",VLOOKUP(S63,'G-3 Multipliers'!$A$2:$E$129,4,FALSE))</f>
        <v/>
      </c>
      <c r="AK63" s="507" t="str">
        <f t="shared" si="8"/>
        <v/>
      </c>
      <c r="AL63" s="507" t="str">
        <f t="shared" si="9"/>
        <v/>
      </c>
      <c r="AM63" s="540" t="str">
        <f>IFERROR(IF(F63="","",IF(AH63="Check Data ⚠","Check Data ⚠",VLOOKUP(AL63, 'G-3 Multipliers'!$P$2:$Q$6,2,FALSE))),"")</f>
        <v/>
      </c>
      <c r="AN63" s="513" t="str">
        <f t="shared" si="10"/>
        <v/>
      </c>
      <c r="AO63" s="239"/>
      <c r="AP63" s="240"/>
    </row>
    <row r="64" spans="1:42" x14ac:dyDescent="0.25">
      <c r="A64" s="47" t="str">
        <f>IF(E64="","",IF(ISNA(VLOOKUP($E64,'A-1 Site Habitat Baseline'!$D$1:$O$258,2,FALSE)),"",(VLOOKUP($E64,'A-1 Site Habitat Baseline'!$D$1:$O$258,2,FALSE))))</f>
        <v/>
      </c>
      <c r="B64" s="47" t="str">
        <f>IF(E64="","",IF(ISNA(VLOOKUP($E64,'A-1 Site Habitat Baseline'!$D$1:$O$258,3,FALSE)),"",(VLOOKUP($E64,'A-1 Site Habitat Baseline'!$D$1:$O$258,3,FALSE))))</f>
        <v/>
      </c>
      <c r="C64" s="47" t="str">
        <f>IFERROR(INDEX('G-8 Condition Look up'!$I$4:$I$130,MATCH(S64,'G-8 Condition Look up'!$A$4:$A$130,0)),"")</f>
        <v/>
      </c>
      <c r="E64" s="531" t="str">
        <f>'A-1 Site Habitat Baseline'!AL63</f>
        <v/>
      </c>
      <c r="F64" s="520" t="str">
        <f>IF(E64="","",IF(ISNA(VLOOKUP($E64,'A-1 Site Habitat Baseline'!$D$1:$O$258,4,FALSE)),"",(VLOOKUP($E64,'A-1 Site Habitat Baseline'!$D$1:$O$258,4,FALSE))))</f>
        <v/>
      </c>
      <c r="G64" s="520" t="str">
        <f>IF(E64="","",IF(ISNA(VLOOKUP($E64,'A-1 Site Habitat Baseline'!$D$1:$O$258,5,FALSE)),"",(VLOOKUP($E64,'A-1 Site Habitat Baseline'!$D$1:$O$258,5,FALSE))))</f>
        <v/>
      </c>
      <c r="H64" s="520" t="str">
        <f>IF(E64="","",IF(ISNA(VLOOKUP($E64,'A-1 Site Habitat Baseline'!$D$1:$O$258,6,FALSE)),"",(VLOOKUP($E64,'A-1 Site Habitat Baseline'!$D$1:$O$258,6,FALSE))))</f>
        <v/>
      </c>
      <c r="I64" s="520" t="str">
        <f>IF(E64="","",IF(ISNA(VLOOKUP($E64,'A-1 Site Habitat Baseline'!$D$1:$O$258,7,FALSE)),"",(VLOOKUP($E64,'A-1 Site Habitat Baseline'!$D$1:$O$258,7,FALSE))))</f>
        <v/>
      </c>
      <c r="J64" s="520" t="str">
        <f>IF(E64="","",IF(ISNA(VLOOKUP($E64,'A-1 Site Habitat Baseline'!$D$1:$O$258,8,FALSE)),"",(VLOOKUP($E64,'A-1 Site Habitat Baseline'!$D$1:$O$258,8,FALSE))))</f>
        <v/>
      </c>
      <c r="K64" s="520" t="str">
        <f>IF(E64="","",IF(ISNA(VLOOKUP($E64,'A-1 Site Habitat Baseline'!$D$1:$O$258,9,FALSE)),"",(VLOOKUP($E64,'A-1 Site Habitat Baseline'!$D$1:$O$258,9,FALSE))))</f>
        <v/>
      </c>
      <c r="L64" s="520" t="str">
        <f>IF(E64="","",IF(ISNA(VLOOKUP($E64,'A-1 Site Habitat Baseline'!$D$1:$O$258,11,FALSE)),"",(VLOOKUP($E64,'A-1 Site Habitat Baseline'!$D$1:$O$258,11,FALSE))))</f>
        <v/>
      </c>
      <c r="M64" s="520" t="str">
        <f>IF(E64="","",IF(ISNA(VLOOKUP($E64,'A-1 Site Habitat Baseline'!$D$1:$O$258,12,FALSE)),"",(VLOOKUP($E64,'A-1 Site Habitat Baseline'!$D$1:$O$258,12,FALSE))))</f>
        <v/>
      </c>
      <c r="N64" s="532" t="str">
        <f>IF(E64="","",IF(ISNA(VLOOKUP($E64,'A-1 Site Habitat Baseline'!$D$1:$X$258,14,FALSE)),"",(VLOOKUP($E64,'A-1 Site Habitat Baseline'!$D$1:$X$258,14,FALSE))))</f>
        <v/>
      </c>
      <c r="O64" s="524" t="str">
        <f>IF(E64="","",IF(ISNA(VLOOKUP($E64,'A-1 Site Habitat Baseline'!$D$1:$X$258,16,FALSE)),"",(VLOOKUP($E64,'A-1 Site Habitat Baseline'!$D$1:$X$258,13,FALSE))))</f>
        <v/>
      </c>
      <c r="P64" s="237" t="str">
        <f>IFERROR(INDEX('G-1 All Habitats'!$AG$3:$AG$15,MATCH(Q64,'G-1 All Habitats'!$AF$3:$AF$15,0)),"")</f>
        <v/>
      </c>
      <c r="Q64" s="238" t="str">
        <f t="shared" si="2"/>
        <v/>
      </c>
      <c r="R64" s="238" t="str">
        <f t="shared" si="11"/>
        <v/>
      </c>
      <c r="S64" s="392" t="str">
        <f>IFERROR(INDEX('G-1 All Habitats'!$B$3:$B$129,MATCH(R64,'G-1 All Habitats'!$A$3:$A$129,0)),"")</f>
        <v/>
      </c>
      <c r="T64" s="498" t="str">
        <f t="shared" si="3"/>
        <v/>
      </c>
      <c r="U64" s="499" t="str">
        <f t="shared" si="4"/>
        <v/>
      </c>
      <c r="V64" s="537" t="str">
        <f t="shared" si="5"/>
        <v/>
      </c>
      <c r="W64" s="520" t="str">
        <f>IF(S64="","",VLOOKUP(S64,'G-1 All Habitats'!$B$2:$M$129,10,FALSE))</f>
        <v/>
      </c>
      <c r="X64" s="520" t="str">
        <f>IFERROR(VLOOKUP(W64,'G-1 All Habitats'!$V$3:$W$7,2,FALSE),"")</f>
        <v/>
      </c>
      <c r="Y64" s="79"/>
      <c r="Z64" s="524" t="str">
        <f>IFERROR(INDEX('G-8 Condition Look up'!$A$3:$H$130,MATCH(S64,'G-8 Condition Look up'!$A$3:$A$130,0),MATCH(Y64,'G-8 Condition Look up'!$A$3:$H$3,0)),"")</f>
        <v/>
      </c>
      <c r="AA64" s="71"/>
      <c r="AB64" s="520" t="str">
        <f>IF(AA64="","",IF(VLOOKUP(AA64,'G-3 Multipliers'!$L$3:$N$6,2,FALSE)=0,"Spatial Data Missing ⚠",VLOOKUP(AA64,'G-3 Multipliers'!$L$3:$N$6,2,FALSE)))</f>
        <v/>
      </c>
      <c r="AC64" s="524" t="str">
        <f>IF(AA64="","",IF(VLOOKUP(AA64,'G-3 Multipliers'!$L$3:$N$6,3,FALSE)=0,"Spatial Data Missing ⚠",VLOOKUP(AA64,'G-3 Multipliers'!$L$3:$N$6,3,FALSE)))</f>
        <v/>
      </c>
      <c r="AD64" s="539" t="str">
        <f t="shared" si="1"/>
        <v/>
      </c>
      <c r="AE64" s="82"/>
      <c r="AF64" s="82"/>
      <c r="AG64" s="507" t="str">
        <f t="shared" si="6"/>
        <v/>
      </c>
      <c r="AH64" s="521" t="str">
        <f t="shared" si="7"/>
        <v/>
      </c>
      <c r="AI64" s="522" t="str">
        <f>IF(AH64="Check Data","Check Data",IFERROR(VLOOKUP(AH64,'G-4 Temporal multipliers'!$A$4:$C$36,3,FALSE),""))</f>
        <v/>
      </c>
      <c r="AJ64" s="498" t="str">
        <f>IF(S64="","",VLOOKUP(S64,'G-3 Multipliers'!$A$2:$E$129,4,FALSE))</f>
        <v/>
      </c>
      <c r="AK64" s="507" t="str">
        <f t="shared" si="8"/>
        <v/>
      </c>
      <c r="AL64" s="507" t="str">
        <f t="shared" si="9"/>
        <v/>
      </c>
      <c r="AM64" s="540" t="str">
        <f>IFERROR(IF(F64="","",IF(AH64="Check Data ⚠","Check Data ⚠",VLOOKUP(AL64, 'G-3 Multipliers'!$P$2:$Q$6,2,FALSE))),"")</f>
        <v/>
      </c>
      <c r="AN64" s="513" t="str">
        <f t="shared" si="10"/>
        <v/>
      </c>
      <c r="AO64" s="239"/>
      <c r="AP64" s="240"/>
    </row>
    <row r="65" spans="1:42" x14ac:dyDescent="0.25">
      <c r="A65" s="47" t="str">
        <f>IF(E65="","",IF(ISNA(VLOOKUP($E65,'A-1 Site Habitat Baseline'!$D$1:$O$258,2,FALSE)),"",(VLOOKUP($E65,'A-1 Site Habitat Baseline'!$D$1:$O$258,2,FALSE))))</f>
        <v/>
      </c>
      <c r="B65" s="47" t="str">
        <f>IF(E65="","",IF(ISNA(VLOOKUP($E65,'A-1 Site Habitat Baseline'!$D$1:$O$258,3,FALSE)),"",(VLOOKUP($E65,'A-1 Site Habitat Baseline'!$D$1:$O$258,3,FALSE))))</f>
        <v/>
      </c>
      <c r="C65" s="47" t="str">
        <f>IFERROR(INDEX('G-8 Condition Look up'!$I$4:$I$130,MATCH(S65,'G-8 Condition Look up'!$A$4:$A$130,0)),"")</f>
        <v/>
      </c>
      <c r="E65" s="531" t="str">
        <f>'A-1 Site Habitat Baseline'!AL64</f>
        <v/>
      </c>
      <c r="F65" s="520" t="str">
        <f>IF(E65="","",IF(ISNA(VLOOKUP($E65,'A-1 Site Habitat Baseline'!$D$1:$O$258,4,FALSE)),"",(VLOOKUP($E65,'A-1 Site Habitat Baseline'!$D$1:$O$258,4,FALSE))))</f>
        <v/>
      </c>
      <c r="G65" s="520" t="str">
        <f>IF(E65="","",IF(ISNA(VLOOKUP($E65,'A-1 Site Habitat Baseline'!$D$1:$O$258,5,FALSE)),"",(VLOOKUP($E65,'A-1 Site Habitat Baseline'!$D$1:$O$258,5,FALSE))))</f>
        <v/>
      </c>
      <c r="H65" s="520" t="str">
        <f>IF(E65="","",IF(ISNA(VLOOKUP($E65,'A-1 Site Habitat Baseline'!$D$1:$O$258,6,FALSE)),"",(VLOOKUP($E65,'A-1 Site Habitat Baseline'!$D$1:$O$258,6,FALSE))))</f>
        <v/>
      </c>
      <c r="I65" s="520" t="str">
        <f>IF(E65="","",IF(ISNA(VLOOKUP($E65,'A-1 Site Habitat Baseline'!$D$1:$O$258,7,FALSE)),"",(VLOOKUP($E65,'A-1 Site Habitat Baseline'!$D$1:$O$258,7,FALSE))))</f>
        <v/>
      </c>
      <c r="J65" s="520" t="str">
        <f>IF(E65="","",IF(ISNA(VLOOKUP($E65,'A-1 Site Habitat Baseline'!$D$1:$O$258,8,FALSE)),"",(VLOOKUP($E65,'A-1 Site Habitat Baseline'!$D$1:$O$258,8,FALSE))))</f>
        <v/>
      </c>
      <c r="K65" s="520" t="str">
        <f>IF(E65="","",IF(ISNA(VLOOKUP($E65,'A-1 Site Habitat Baseline'!$D$1:$O$258,9,FALSE)),"",(VLOOKUP($E65,'A-1 Site Habitat Baseline'!$D$1:$O$258,9,FALSE))))</f>
        <v/>
      </c>
      <c r="L65" s="520" t="str">
        <f>IF(E65="","",IF(ISNA(VLOOKUP($E65,'A-1 Site Habitat Baseline'!$D$1:$O$258,11,FALSE)),"",(VLOOKUP($E65,'A-1 Site Habitat Baseline'!$D$1:$O$258,11,FALSE))))</f>
        <v/>
      </c>
      <c r="M65" s="520" t="str">
        <f>IF(E65="","",IF(ISNA(VLOOKUP($E65,'A-1 Site Habitat Baseline'!$D$1:$O$258,12,FALSE)),"",(VLOOKUP($E65,'A-1 Site Habitat Baseline'!$D$1:$O$258,12,FALSE))))</f>
        <v/>
      </c>
      <c r="N65" s="532" t="str">
        <f>IF(E65="","",IF(ISNA(VLOOKUP($E65,'A-1 Site Habitat Baseline'!$D$1:$X$258,14,FALSE)),"",(VLOOKUP($E65,'A-1 Site Habitat Baseline'!$D$1:$X$258,14,FALSE))))</f>
        <v/>
      </c>
      <c r="O65" s="524" t="str">
        <f>IF(E65="","",IF(ISNA(VLOOKUP($E65,'A-1 Site Habitat Baseline'!$D$1:$X$258,16,FALSE)),"",(VLOOKUP($E65,'A-1 Site Habitat Baseline'!$D$1:$X$258,13,FALSE))))</f>
        <v/>
      </c>
      <c r="P65" s="237" t="str">
        <f>IFERROR(INDEX('G-1 All Habitats'!$AG$3:$AG$15,MATCH(Q65,'G-1 All Habitats'!$AF$3:$AF$15,0)),"")</f>
        <v/>
      </c>
      <c r="Q65" s="238" t="str">
        <f t="shared" si="2"/>
        <v/>
      </c>
      <c r="R65" s="238" t="str">
        <f t="shared" si="11"/>
        <v/>
      </c>
      <c r="S65" s="392" t="str">
        <f>IFERROR(INDEX('G-1 All Habitats'!$B$3:$B$129,MATCH(R65,'G-1 All Habitats'!$A$3:$A$129,0)),"")</f>
        <v/>
      </c>
      <c r="T65" s="498" t="str">
        <f t="shared" si="3"/>
        <v/>
      </c>
      <c r="U65" s="499" t="str">
        <f t="shared" si="4"/>
        <v/>
      </c>
      <c r="V65" s="537" t="str">
        <f t="shared" si="5"/>
        <v/>
      </c>
      <c r="W65" s="520" t="str">
        <f>IF(S65="","",VLOOKUP(S65,'G-1 All Habitats'!$B$2:$M$129,10,FALSE))</f>
        <v/>
      </c>
      <c r="X65" s="520" t="str">
        <f>IFERROR(VLOOKUP(W65,'G-1 All Habitats'!$V$3:$W$7,2,FALSE),"")</f>
        <v/>
      </c>
      <c r="Y65" s="79"/>
      <c r="Z65" s="524" t="str">
        <f>IFERROR(INDEX('G-8 Condition Look up'!$A$3:$H$130,MATCH(S65,'G-8 Condition Look up'!$A$3:$A$130,0),MATCH(Y65,'G-8 Condition Look up'!$A$3:$H$3,0)),"")</f>
        <v/>
      </c>
      <c r="AA65" s="71"/>
      <c r="AB65" s="520" t="str">
        <f>IF(AA65="","",IF(VLOOKUP(AA65,'G-3 Multipliers'!$L$3:$N$6,2,FALSE)=0,"Spatial Data Missing ⚠",VLOOKUP(AA65,'G-3 Multipliers'!$L$3:$N$6,2,FALSE)))</f>
        <v/>
      </c>
      <c r="AC65" s="524" t="str">
        <f>IF(AA65="","",IF(VLOOKUP(AA65,'G-3 Multipliers'!$L$3:$N$6,3,FALSE)=0,"Spatial Data Missing ⚠",VLOOKUP(AA65,'G-3 Multipliers'!$L$3:$N$6,3,FALSE)))</f>
        <v/>
      </c>
      <c r="AD65" s="539" t="str">
        <f t="shared" si="1"/>
        <v/>
      </c>
      <c r="AE65" s="82"/>
      <c r="AF65" s="82"/>
      <c r="AG65" s="507" t="str">
        <f t="shared" si="6"/>
        <v/>
      </c>
      <c r="AH65" s="521" t="str">
        <f t="shared" si="7"/>
        <v/>
      </c>
      <c r="AI65" s="522" t="str">
        <f>IF(AH65="Check Data","Check Data",IFERROR(VLOOKUP(AH65,'G-4 Temporal multipliers'!$A$4:$C$36,3,FALSE),""))</f>
        <v/>
      </c>
      <c r="AJ65" s="498" t="str">
        <f>IF(S65="","",VLOOKUP(S65,'G-3 Multipliers'!$A$2:$E$129,4,FALSE))</f>
        <v/>
      </c>
      <c r="AK65" s="507" t="str">
        <f t="shared" si="8"/>
        <v/>
      </c>
      <c r="AL65" s="507" t="str">
        <f t="shared" si="9"/>
        <v/>
      </c>
      <c r="AM65" s="540" t="str">
        <f>IFERROR(IF(F65="","",IF(AH65="Check Data ⚠","Check Data ⚠",VLOOKUP(AL65, 'G-3 Multipliers'!$P$2:$Q$6,2,FALSE))),"")</f>
        <v/>
      </c>
      <c r="AN65" s="513" t="str">
        <f t="shared" si="10"/>
        <v/>
      </c>
      <c r="AO65" s="239"/>
      <c r="AP65" s="240"/>
    </row>
    <row r="66" spans="1:42" x14ac:dyDescent="0.25">
      <c r="A66" s="47" t="str">
        <f>IF(E66="","",IF(ISNA(VLOOKUP($E66,'A-1 Site Habitat Baseline'!$D$1:$O$258,2,FALSE)),"",(VLOOKUP($E66,'A-1 Site Habitat Baseline'!$D$1:$O$258,2,FALSE))))</f>
        <v/>
      </c>
      <c r="B66" s="47" t="str">
        <f>IF(E66="","",IF(ISNA(VLOOKUP($E66,'A-1 Site Habitat Baseline'!$D$1:$O$258,3,FALSE)),"",(VLOOKUP($E66,'A-1 Site Habitat Baseline'!$D$1:$O$258,3,FALSE))))</f>
        <v/>
      </c>
      <c r="C66" s="47" t="str">
        <f>IFERROR(INDEX('G-8 Condition Look up'!$I$4:$I$130,MATCH(S66,'G-8 Condition Look up'!$A$4:$A$130,0)),"")</f>
        <v/>
      </c>
      <c r="E66" s="531" t="str">
        <f>'A-1 Site Habitat Baseline'!AL65</f>
        <v/>
      </c>
      <c r="F66" s="520" t="str">
        <f>IF(E66="","",IF(ISNA(VLOOKUP($E66,'A-1 Site Habitat Baseline'!$D$1:$O$258,4,FALSE)),"",(VLOOKUP($E66,'A-1 Site Habitat Baseline'!$D$1:$O$258,4,FALSE))))</f>
        <v/>
      </c>
      <c r="G66" s="520" t="str">
        <f>IF(E66="","",IF(ISNA(VLOOKUP($E66,'A-1 Site Habitat Baseline'!$D$1:$O$258,5,FALSE)),"",(VLOOKUP($E66,'A-1 Site Habitat Baseline'!$D$1:$O$258,5,FALSE))))</f>
        <v/>
      </c>
      <c r="H66" s="520" t="str">
        <f>IF(E66="","",IF(ISNA(VLOOKUP($E66,'A-1 Site Habitat Baseline'!$D$1:$O$258,6,FALSE)),"",(VLOOKUP($E66,'A-1 Site Habitat Baseline'!$D$1:$O$258,6,FALSE))))</f>
        <v/>
      </c>
      <c r="I66" s="520" t="str">
        <f>IF(E66="","",IF(ISNA(VLOOKUP($E66,'A-1 Site Habitat Baseline'!$D$1:$O$258,7,FALSE)),"",(VLOOKUP($E66,'A-1 Site Habitat Baseline'!$D$1:$O$258,7,FALSE))))</f>
        <v/>
      </c>
      <c r="J66" s="520" t="str">
        <f>IF(E66="","",IF(ISNA(VLOOKUP($E66,'A-1 Site Habitat Baseline'!$D$1:$O$258,8,FALSE)),"",(VLOOKUP($E66,'A-1 Site Habitat Baseline'!$D$1:$O$258,8,FALSE))))</f>
        <v/>
      </c>
      <c r="K66" s="520" t="str">
        <f>IF(E66="","",IF(ISNA(VLOOKUP($E66,'A-1 Site Habitat Baseline'!$D$1:$O$258,9,FALSE)),"",(VLOOKUP($E66,'A-1 Site Habitat Baseline'!$D$1:$O$258,9,FALSE))))</f>
        <v/>
      </c>
      <c r="L66" s="520" t="str">
        <f>IF(E66="","",IF(ISNA(VLOOKUP($E66,'A-1 Site Habitat Baseline'!$D$1:$O$258,11,FALSE)),"",(VLOOKUP($E66,'A-1 Site Habitat Baseline'!$D$1:$O$258,11,FALSE))))</f>
        <v/>
      </c>
      <c r="M66" s="520" t="str">
        <f>IF(E66="","",IF(ISNA(VLOOKUP($E66,'A-1 Site Habitat Baseline'!$D$1:$O$258,12,FALSE)),"",(VLOOKUP($E66,'A-1 Site Habitat Baseline'!$D$1:$O$258,12,FALSE))))</f>
        <v/>
      </c>
      <c r="N66" s="532" t="str">
        <f>IF(E66="","",IF(ISNA(VLOOKUP($E66,'A-1 Site Habitat Baseline'!$D$1:$X$258,14,FALSE)),"",(VLOOKUP($E66,'A-1 Site Habitat Baseline'!$D$1:$X$258,14,FALSE))))</f>
        <v/>
      </c>
      <c r="O66" s="524" t="str">
        <f>IF(E66="","",IF(ISNA(VLOOKUP($E66,'A-1 Site Habitat Baseline'!$D$1:$X$258,16,FALSE)),"",(VLOOKUP($E66,'A-1 Site Habitat Baseline'!$D$1:$X$258,13,FALSE))))</f>
        <v/>
      </c>
      <c r="P66" s="237" t="str">
        <f>IFERROR(INDEX('G-1 All Habitats'!$AG$3:$AG$15,MATCH(Q66,'G-1 All Habitats'!$AF$3:$AF$15,0)),"")</f>
        <v/>
      </c>
      <c r="Q66" s="238" t="str">
        <f t="shared" si="2"/>
        <v/>
      </c>
      <c r="R66" s="238" t="str">
        <f t="shared" si="11"/>
        <v/>
      </c>
      <c r="S66" s="392" t="str">
        <f>IFERROR(INDEX('G-1 All Habitats'!$B$3:$B$129,MATCH(R66,'G-1 All Habitats'!$A$3:$A$129,0)),"")</f>
        <v/>
      </c>
      <c r="T66" s="498" t="str">
        <f t="shared" si="3"/>
        <v/>
      </c>
      <c r="U66" s="499" t="str">
        <f t="shared" si="4"/>
        <v/>
      </c>
      <c r="V66" s="537" t="str">
        <f t="shared" si="5"/>
        <v/>
      </c>
      <c r="W66" s="520" t="str">
        <f>IF(S66="","",VLOOKUP(S66,'G-1 All Habitats'!$B$2:$M$129,10,FALSE))</f>
        <v/>
      </c>
      <c r="X66" s="520" t="str">
        <f>IFERROR(VLOOKUP(W66,'G-1 All Habitats'!$V$3:$W$7,2,FALSE),"")</f>
        <v/>
      </c>
      <c r="Y66" s="79"/>
      <c r="Z66" s="524" t="str">
        <f>IFERROR(INDEX('G-8 Condition Look up'!$A$3:$H$130,MATCH(S66,'G-8 Condition Look up'!$A$3:$A$130,0),MATCH(Y66,'G-8 Condition Look up'!$A$3:$H$3,0)),"")</f>
        <v/>
      </c>
      <c r="AA66" s="71"/>
      <c r="AB66" s="520" t="str">
        <f>IF(AA66="","",IF(VLOOKUP(AA66,'G-3 Multipliers'!$L$3:$N$6,2,FALSE)=0,"Spatial Data Missing ⚠",VLOOKUP(AA66,'G-3 Multipliers'!$L$3:$N$6,2,FALSE)))</f>
        <v/>
      </c>
      <c r="AC66" s="524" t="str">
        <f>IF(AA66="","",IF(VLOOKUP(AA66,'G-3 Multipliers'!$L$3:$N$6,3,FALSE)=0,"Spatial Data Missing ⚠",VLOOKUP(AA66,'G-3 Multipliers'!$L$3:$N$6,3,FALSE)))</f>
        <v/>
      </c>
      <c r="AD66" s="539" t="str">
        <f t="shared" si="1"/>
        <v/>
      </c>
      <c r="AE66" s="82"/>
      <c r="AF66" s="82"/>
      <c r="AG66" s="507" t="str">
        <f t="shared" si="6"/>
        <v/>
      </c>
      <c r="AH66" s="521" t="str">
        <f t="shared" si="7"/>
        <v/>
      </c>
      <c r="AI66" s="522" t="str">
        <f>IF(AH66="Check Data","Check Data",IFERROR(VLOOKUP(AH66,'G-4 Temporal multipliers'!$A$4:$C$36,3,FALSE),""))</f>
        <v/>
      </c>
      <c r="AJ66" s="498" t="str">
        <f>IF(S66="","",VLOOKUP(S66,'G-3 Multipliers'!$A$2:$E$129,4,FALSE))</f>
        <v/>
      </c>
      <c r="AK66" s="507" t="str">
        <f t="shared" si="8"/>
        <v/>
      </c>
      <c r="AL66" s="507" t="str">
        <f t="shared" si="9"/>
        <v/>
      </c>
      <c r="AM66" s="540" t="str">
        <f>IFERROR(IF(F66="","",IF(AH66="Check Data ⚠","Check Data ⚠",VLOOKUP(AL66, 'G-3 Multipliers'!$P$2:$Q$6,2,FALSE))),"")</f>
        <v/>
      </c>
      <c r="AN66" s="513" t="str">
        <f t="shared" si="10"/>
        <v/>
      </c>
      <c r="AO66" s="239"/>
      <c r="AP66" s="240"/>
    </row>
    <row r="67" spans="1:42" x14ac:dyDescent="0.25">
      <c r="A67" s="47" t="str">
        <f>IF(E67="","",IF(ISNA(VLOOKUP($E67,'A-1 Site Habitat Baseline'!$D$1:$O$258,2,FALSE)),"",(VLOOKUP($E67,'A-1 Site Habitat Baseline'!$D$1:$O$258,2,FALSE))))</f>
        <v/>
      </c>
      <c r="B67" s="47" t="str">
        <f>IF(E67="","",IF(ISNA(VLOOKUP($E67,'A-1 Site Habitat Baseline'!$D$1:$O$258,3,FALSE)),"",(VLOOKUP($E67,'A-1 Site Habitat Baseline'!$D$1:$O$258,3,FALSE))))</f>
        <v/>
      </c>
      <c r="C67" s="47" t="str">
        <f>IFERROR(INDEX('G-8 Condition Look up'!$I$4:$I$130,MATCH(S67,'G-8 Condition Look up'!$A$4:$A$130,0)),"")</f>
        <v/>
      </c>
      <c r="E67" s="531" t="str">
        <f>'A-1 Site Habitat Baseline'!AL66</f>
        <v/>
      </c>
      <c r="F67" s="520" t="str">
        <f>IF(E67="","",IF(ISNA(VLOOKUP($E67,'A-1 Site Habitat Baseline'!$D$1:$O$258,4,FALSE)),"",(VLOOKUP($E67,'A-1 Site Habitat Baseline'!$D$1:$O$258,4,FALSE))))</f>
        <v/>
      </c>
      <c r="G67" s="520" t="str">
        <f>IF(E67="","",IF(ISNA(VLOOKUP($E67,'A-1 Site Habitat Baseline'!$D$1:$O$258,5,FALSE)),"",(VLOOKUP($E67,'A-1 Site Habitat Baseline'!$D$1:$O$258,5,FALSE))))</f>
        <v/>
      </c>
      <c r="H67" s="520" t="str">
        <f>IF(E67="","",IF(ISNA(VLOOKUP($E67,'A-1 Site Habitat Baseline'!$D$1:$O$258,6,FALSE)),"",(VLOOKUP($E67,'A-1 Site Habitat Baseline'!$D$1:$O$258,6,FALSE))))</f>
        <v/>
      </c>
      <c r="I67" s="520" t="str">
        <f>IF(E67="","",IF(ISNA(VLOOKUP($E67,'A-1 Site Habitat Baseline'!$D$1:$O$258,7,FALSE)),"",(VLOOKUP($E67,'A-1 Site Habitat Baseline'!$D$1:$O$258,7,FALSE))))</f>
        <v/>
      </c>
      <c r="J67" s="520" t="str">
        <f>IF(E67="","",IF(ISNA(VLOOKUP($E67,'A-1 Site Habitat Baseline'!$D$1:$O$258,8,FALSE)),"",(VLOOKUP($E67,'A-1 Site Habitat Baseline'!$D$1:$O$258,8,FALSE))))</f>
        <v/>
      </c>
      <c r="K67" s="520" t="str">
        <f>IF(E67="","",IF(ISNA(VLOOKUP($E67,'A-1 Site Habitat Baseline'!$D$1:$O$258,9,FALSE)),"",(VLOOKUP($E67,'A-1 Site Habitat Baseline'!$D$1:$O$258,9,FALSE))))</f>
        <v/>
      </c>
      <c r="L67" s="520" t="str">
        <f>IF(E67="","",IF(ISNA(VLOOKUP($E67,'A-1 Site Habitat Baseline'!$D$1:$O$258,11,FALSE)),"",(VLOOKUP($E67,'A-1 Site Habitat Baseline'!$D$1:$O$258,11,FALSE))))</f>
        <v/>
      </c>
      <c r="M67" s="520" t="str">
        <f>IF(E67="","",IF(ISNA(VLOOKUP($E67,'A-1 Site Habitat Baseline'!$D$1:$O$258,12,FALSE)),"",(VLOOKUP($E67,'A-1 Site Habitat Baseline'!$D$1:$O$258,12,FALSE))))</f>
        <v/>
      </c>
      <c r="N67" s="532" t="str">
        <f>IF(E67="","",IF(ISNA(VLOOKUP($E67,'A-1 Site Habitat Baseline'!$D$1:$X$258,14,FALSE)),"",(VLOOKUP($E67,'A-1 Site Habitat Baseline'!$D$1:$X$258,14,FALSE))))</f>
        <v/>
      </c>
      <c r="O67" s="524" t="str">
        <f>IF(E67="","",IF(ISNA(VLOOKUP($E67,'A-1 Site Habitat Baseline'!$D$1:$X$258,16,FALSE)),"",(VLOOKUP($E67,'A-1 Site Habitat Baseline'!$D$1:$X$258,13,FALSE))))</f>
        <v/>
      </c>
      <c r="P67" s="237" t="str">
        <f>IFERROR(INDEX('G-1 All Habitats'!$AG$3:$AG$15,MATCH(Q67,'G-1 All Habitats'!$AF$3:$AF$15,0)),"")</f>
        <v/>
      </c>
      <c r="Q67" s="238" t="str">
        <f t="shared" si="2"/>
        <v/>
      </c>
      <c r="R67" s="238" t="str">
        <f t="shared" si="11"/>
        <v/>
      </c>
      <c r="S67" s="392" t="str">
        <f>IFERROR(INDEX('G-1 All Habitats'!$B$3:$B$129,MATCH(R67,'G-1 All Habitats'!$A$3:$A$129,0)),"")</f>
        <v/>
      </c>
      <c r="T67" s="498" t="str">
        <f t="shared" si="3"/>
        <v/>
      </c>
      <c r="U67" s="499" t="str">
        <f t="shared" si="4"/>
        <v/>
      </c>
      <c r="V67" s="537" t="str">
        <f t="shared" si="5"/>
        <v/>
      </c>
      <c r="W67" s="520" t="str">
        <f>IF(S67="","",VLOOKUP(S67,'G-1 All Habitats'!$B$2:$M$129,10,FALSE))</f>
        <v/>
      </c>
      <c r="X67" s="520" t="str">
        <f>IFERROR(VLOOKUP(W67,'G-1 All Habitats'!$V$3:$W$7,2,FALSE),"")</f>
        <v/>
      </c>
      <c r="Y67" s="79"/>
      <c r="Z67" s="524" t="str">
        <f>IFERROR(INDEX('G-8 Condition Look up'!$A$3:$H$130,MATCH(S67,'G-8 Condition Look up'!$A$3:$A$130,0),MATCH(Y67,'G-8 Condition Look up'!$A$3:$H$3,0)),"")</f>
        <v/>
      </c>
      <c r="AA67" s="71"/>
      <c r="AB67" s="520" t="str">
        <f>IF(AA67="","",IF(VLOOKUP(AA67,'G-3 Multipliers'!$L$3:$N$6,2,FALSE)=0,"Spatial Data Missing ⚠",VLOOKUP(AA67,'G-3 Multipliers'!$L$3:$N$6,2,FALSE)))</f>
        <v/>
      </c>
      <c r="AC67" s="524" t="str">
        <f>IF(AA67="","",IF(VLOOKUP(AA67,'G-3 Multipliers'!$L$3:$N$6,3,FALSE)=0,"Spatial Data Missing ⚠",VLOOKUP(AA67,'G-3 Multipliers'!$L$3:$N$6,3,FALSE)))</f>
        <v/>
      </c>
      <c r="AD67" s="539" t="str">
        <f t="shared" si="1"/>
        <v/>
      </c>
      <c r="AE67" s="82"/>
      <c r="AF67" s="82"/>
      <c r="AG67" s="507" t="str">
        <f t="shared" si="6"/>
        <v/>
      </c>
      <c r="AH67" s="521" t="str">
        <f t="shared" si="7"/>
        <v/>
      </c>
      <c r="AI67" s="522" t="str">
        <f>IF(AH67="Check Data","Check Data",IFERROR(VLOOKUP(AH67,'G-4 Temporal multipliers'!$A$4:$C$36,3,FALSE),""))</f>
        <v/>
      </c>
      <c r="AJ67" s="498" t="str">
        <f>IF(S67="","",VLOOKUP(S67,'G-3 Multipliers'!$A$2:$E$129,4,FALSE))</f>
        <v/>
      </c>
      <c r="AK67" s="507" t="str">
        <f t="shared" si="8"/>
        <v/>
      </c>
      <c r="AL67" s="507" t="str">
        <f t="shared" si="9"/>
        <v/>
      </c>
      <c r="AM67" s="540" t="str">
        <f>IFERROR(IF(F67="","",IF(AH67="Check Data ⚠","Check Data ⚠",VLOOKUP(AL67, 'G-3 Multipliers'!$P$2:$Q$6,2,FALSE))),"")</f>
        <v/>
      </c>
      <c r="AN67" s="513" t="str">
        <f t="shared" si="10"/>
        <v/>
      </c>
      <c r="AO67" s="239"/>
      <c r="AP67" s="240"/>
    </row>
    <row r="68" spans="1:42" x14ac:dyDescent="0.25">
      <c r="A68" s="47" t="str">
        <f>IF(E68="","",IF(ISNA(VLOOKUP($E68,'A-1 Site Habitat Baseline'!$D$1:$O$258,2,FALSE)),"",(VLOOKUP($E68,'A-1 Site Habitat Baseline'!$D$1:$O$258,2,FALSE))))</f>
        <v/>
      </c>
      <c r="B68" s="47" t="str">
        <f>IF(E68="","",IF(ISNA(VLOOKUP($E68,'A-1 Site Habitat Baseline'!$D$1:$O$258,3,FALSE)),"",(VLOOKUP($E68,'A-1 Site Habitat Baseline'!$D$1:$O$258,3,FALSE))))</f>
        <v/>
      </c>
      <c r="C68" s="47" t="str">
        <f>IFERROR(INDEX('G-8 Condition Look up'!$I$4:$I$130,MATCH(S68,'G-8 Condition Look up'!$A$4:$A$130,0)),"")</f>
        <v/>
      </c>
      <c r="E68" s="531" t="str">
        <f>'A-1 Site Habitat Baseline'!AL67</f>
        <v/>
      </c>
      <c r="F68" s="520" t="str">
        <f>IF(E68="","",IF(ISNA(VLOOKUP($E68,'A-1 Site Habitat Baseline'!$D$1:$O$258,4,FALSE)),"",(VLOOKUP($E68,'A-1 Site Habitat Baseline'!$D$1:$O$258,4,FALSE))))</f>
        <v/>
      </c>
      <c r="G68" s="520" t="str">
        <f>IF(E68="","",IF(ISNA(VLOOKUP($E68,'A-1 Site Habitat Baseline'!$D$1:$O$258,5,FALSE)),"",(VLOOKUP($E68,'A-1 Site Habitat Baseline'!$D$1:$O$258,5,FALSE))))</f>
        <v/>
      </c>
      <c r="H68" s="520" t="str">
        <f>IF(E68="","",IF(ISNA(VLOOKUP($E68,'A-1 Site Habitat Baseline'!$D$1:$O$258,6,FALSE)),"",(VLOOKUP($E68,'A-1 Site Habitat Baseline'!$D$1:$O$258,6,FALSE))))</f>
        <v/>
      </c>
      <c r="I68" s="520" t="str">
        <f>IF(E68="","",IF(ISNA(VLOOKUP($E68,'A-1 Site Habitat Baseline'!$D$1:$O$258,7,FALSE)),"",(VLOOKUP($E68,'A-1 Site Habitat Baseline'!$D$1:$O$258,7,FALSE))))</f>
        <v/>
      </c>
      <c r="J68" s="520" t="str">
        <f>IF(E68="","",IF(ISNA(VLOOKUP($E68,'A-1 Site Habitat Baseline'!$D$1:$O$258,8,FALSE)),"",(VLOOKUP($E68,'A-1 Site Habitat Baseline'!$D$1:$O$258,8,FALSE))))</f>
        <v/>
      </c>
      <c r="K68" s="520" t="str">
        <f>IF(E68="","",IF(ISNA(VLOOKUP($E68,'A-1 Site Habitat Baseline'!$D$1:$O$258,9,FALSE)),"",(VLOOKUP($E68,'A-1 Site Habitat Baseline'!$D$1:$O$258,9,FALSE))))</f>
        <v/>
      </c>
      <c r="L68" s="520" t="str">
        <f>IF(E68="","",IF(ISNA(VLOOKUP($E68,'A-1 Site Habitat Baseline'!$D$1:$O$258,11,FALSE)),"",(VLOOKUP($E68,'A-1 Site Habitat Baseline'!$D$1:$O$258,11,FALSE))))</f>
        <v/>
      </c>
      <c r="M68" s="520" t="str">
        <f>IF(E68="","",IF(ISNA(VLOOKUP($E68,'A-1 Site Habitat Baseline'!$D$1:$O$258,12,FALSE)),"",(VLOOKUP($E68,'A-1 Site Habitat Baseline'!$D$1:$O$258,12,FALSE))))</f>
        <v/>
      </c>
      <c r="N68" s="532" t="str">
        <f>IF(E68="","",IF(ISNA(VLOOKUP($E68,'A-1 Site Habitat Baseline'!$D$1:$X$258,14,FALSE)),"",(VLOOKUP($E68,'A-1 Site Habitat Baseline'!$D$1:$X$258,14,FALSE))))</f>
        <v/>
      </c>
      <c r="O68" s="524" t="str">
        <f>IF(E68="","",IF(ISNA(VLOOKUP($E68,'A-1 Site Habitat Baseline'!$D$1:$X$258,16,FALSE)),"",(VLOOKUP($E68,'A-1 Site Habitat Baseline'!$D$1:$X$258,13,FALSE))))</f>
        <v/>
      </c>
      <c r="P68" s="237" t="str">
        <f>IFERROR(INDEX('G-1 All Habitats'!$AG$3:$AG$15,MATCH(Q68,'G-1 All Habitats'!$AF$3:$AF$15,0)),"")</f>
        <v/>
      </c>
      <c r="Q68" s="238" t="str">
        <f t="shared" si="2"/>
        <v/>
      </c>
      <c r="R68" s="238" t="str">
        <f t="shared" si="11"/>
        <v/>
      </c>
      <c r="S68" s="392" t="str">
        <f>IFERROR(INDEX('G-1 All Habitats'!$B$3:$B$129,MATCH(R68,'G-1 All Habitats'!$A$3:$A$129,0)),"")</f>
        <v/>
      </c>
      <c r="T68" s="498" t="str">
        <f t="shared" si="3"/>
        <v/>
      </c>
      <c r="U68" s="499" t="str">
        <f t="shared" si="4"/>
        <v/>
      </c>
      <c r="V68" s="537" t="str">
        <f t="shared" si="5"/>
        <v/>
      </c>
      <c r="W68" s="520" t="str">
        <f>IF(S68="","",VLOOKUP(S68,'G-1 All Habitats'!$B$2:$M$129,10,FALSE))</f>
        <v/>
      </c>
      <c r="X68" s="520" t="str">
        <f>IFERROR(VLOOKUP(W68,'G-1 All Habitats'!$V$3:$W$7,2,FALSE),"")</f>
        <v/>
      </c>
      <c r="Y68" s="79"/>
      <c r="Z68" s="524" t="str">
        <f>IFERROR(INDEX('G-8 Condition Look up'!$A$3:$H$130,MATCH(S68,'G-8 Condition Look up'!$A$3:$A$130,0),MATCH(Y68,'G-8 Condition Look up'!$A$3:$H$3,0)),"")</f>
        <v/>
      </c>
      <c r="AA68" s="71"/>
      <c r="AB68" s="520" t="str">
        <f>IF(AA68="","",IF(VLOOKUP(AA68,'G-3 Multipliers'!$L$3:$N$6,2,FALSE)=0,"Spatial Data Missing ⚠",VLOOKUP(AA68,'G-3 Multipliers'!$L$3:$N$6,2,FALSE)))</f>
        <v/>
      </c>
      <c r="AC68" s="524" t="str">
        <f>IF(AA68="","",IF(VLOOKUP(AA68,'G-3 Multipliers'!$L$3:$N$6,3,FALSE)=0,"Spatial Data Missing ⚠",VLOOKUP(AA68,'G-3 Multipliers'!$L$3:$N$6,3,FALSE)))</f>
        <v/>
      </c>
      <c r="AD68" s="539" t="str">
        <f t="shared" si="1"/>
        <v/>
      </c>
      <c r="AE68" s="82"/>
      <c r="AF68" s="82"/>
      <c r="AG68" s="507" t="str">
        <f t="shared" si="6"/>
        <v/>
      </c>
      <c r="AH68" s="521" t="str">
        <f t="shared" si="7"/>
        <v/>
      </c>
      <c r="AI68" s="522" t="str">
        <f>IF(AH68="Check Data","Check Data",IFERROR(VLOOKUP(AH68,'G-4 Temporal multipliers'!$A$4:$C$36,3,FALSE),""))</f>
        <v/>
      </c>
      <c r="AJ68" s="498" t="str">
        <f>IF(S68="","",VLOOKUP(S68,'G-3 Multipliers'!$A$2:$E$129,4,FALSE))</f>
        <v/>
      </c>
      <c r="AK68" s="507" t="str">
        <f t="shared" si="8"/>
        <v/>
      </c>
      <c r="AL68" s="507" t="str">
        <f t="shared" si="9"/>
        <v/>
      </c>
      <c r="AM68" s="540" t="str">
        <f>IFERROR(IF(F68="","",IF(AH68="Check Data ⚠","Check Data ⚠",VLOOKUP(AL68, 'G-3 Multipliers'!$P$2:$Q$6,2,FALSE))),"")</f>
        <v/>
      </c>
      <c r="AN68" s="513" t="str">
        <f t="shared" si="10"/>
        <v/>
      </c>
      <c r="AO68" s="239"/>
      <c r="AP68" s="240"/>
    </row>
    <row r="69" spans="1:42" x14ac:dyDescent="0.25">
      <c r="A69" s="47" t="str">
        <f>IF(E69="","",IF(ISNA(VLOOKUP($E69,'A-1 Site Habitat Baseline'!$D$1:$O$258,2,FALSE)),"",(VLOOKUP($E69,'A-1 Site Habitat Baseline'!$D$1:$O$258,2,FALSE))))</f>
        <v/>
      </c>
      <c r="B69" s="47" t="str">
        <f>IF(E69="","",IF(ISNA(VLOOKUP($E69,'A-1 Site Habitat Baseline'!$D$1:$O$258,3,FALSE)),"",(VLOOKUP($E69,'A-1 Site Habitat Baseline'!$D$1:$O$258,3,FALSE))))</f>
        <v/>
      </c>
      <c r="C69" s="47" t="str">
        <f>IFERROR(INDEX('G-8 Condition Look up'!$I$4:$I$130,MATCH(S69,'G-8 Condition Look up'!$A$4:$A$130,0)),"")</f>
        <v/>
      </c>
      <c r="E69" s="531" t="str">
        <f>'A-1 Site Habitat Baseline'!AL68</f>
        <v/>
      </c>
      <c r="F69" s="520" t="str">
        <f>IF(E69="","",IF(ISNA(VLOOKUP($E69,'A-1 Site Habitat Baseline'!$D$1:$O$258,4,FALSE)),"",(VLOOKUP($E69,'A-1 Site Habitat Baseline'!$D$1:$O$258,4,FALSE))))</f>
        <v/>
      </c>
      <c r="G69" s="520" t="str">
        <f>IF(E69="","",IF(ISNA(VLOOKUP($E69,'A-1 Site Habitat Baseline'!$D$1:$O$258,5,FALSE)),"",(VLOOKUP($E69,'A-1 Site Habitat Baseline'!$D$1:$O$258,5,FALSE))))</f>
        <v/>
      </c>
      <c r="H69" s="520" t="str">
        <f>IF(E69="","",IF(ISNA(VLOOKUP($E69,'A-1 Site Habitat Baseline'!$D$1:$O$258,6,FALSE)),"",(VLOOKUP($E69,'A-1 Site Habitat Baseline'!$D$1:$O$258,6,FALSE))))</f>
        <v/>
      </c>
      <c r="I69" s="520" t="str">
        <f>IF(E69="","",IF(ISNA(VLOOKUP($E69,'A-1 Site Habitat Baseline'!$D$1:$O$258,7,FALSE)),"",(VLOOKUP($E69,'A-1 Site Habitat Baseline'!$D$1:$O$258,7,FALSE))))</f>
        <v/>
      </c>
      <c r="J69" s="520" t="str">
        <f>IF(E69="","",IF(ISNA(VLOOKUP($E69,'A-1 Site Habitat Baseline'!$D$1:$O$258,8,FALSE)),"",(VLOOKUP($E69,'A-1 Site Habitat Baseline'!$D$1:$O$258,8,FALSE))))</f>
        <v/>
      </c>
      <c r="K69" s="520" t="str">
        <f>IF(E69="","",IF(ISNA(VLOOKUP($E69,'A-1 Site Habitat Baseline'!$D$1:$O$258,9,FALSE)),"",(VLOOKUP($E69,'A-1 Site Habitat Baseline'!$D$1:$O$258,9,FALSE))))</f>
        <v/>
      </c>
      <c r="L69" s="520" t="str">
        <f>IF(E69="","",IF(ISNA(VLOOKUP($E69,'A-1 Site Habitat Baseline'!$D$1:$O$258,11,FALSE)),"",(VLOOKUP($E69,'A-1 Site Habitat Baseline'!$D$1:$O$258,11,FALSE))))</f>
        <v/>
      </c>
      <c r="M69" s="520" t="str">
        <f>IF(E69="","",IF(ISNA(VLOOKUP($E69,'A-1 Site Habitat Baseline'!$D$1:$O$258,12,FALSE)),"",(VLOOKUP($E69,'A-1 Site Habitat Baseline'!$D$1:$O$258,12,FALSE))))</f>
        <v/>
      </c>
      <c r="N69" s="532" t="str">
        <f>IF(E69="","",IF(ISNA(VLOOKUP($E69,'A-1 Site Habitat Baseline'!$D$1:$X$258,14,FALSE)),"",(VLOOKUP($E69,'A-1 Site Habitat Baseline'!$D$1:$X$258,14,FALSE))))</f>
        <v/>
      </c>
      <c r="O69" s="524" t="str">
        <f>IF(E69="","",IF(ISNA(VLOOKUP($E69,'A-1 Site Habitat Baseline'!$D$1:$X$258,16,FALSE)),"",(VLOOKUP($E69,'A-1 Site Habitat Baseline'!$D$1:$X$258,13,FALSE))))</f>
        <v/>
      </c>
      <c r="P69" s="237" t="str">
        <f>IFERROR(INDEX('G-1 All Habitats'!$AG$3:$AG$15,MATCH(Q69,'G-1 All Habitats'!$AF$3:$AF$15,0)),"")</f>
        <v/>
      </c>
      <c r="Q69" s="238" t="str">
        <f t="shared" si="2"/>
        <v/>
      </c>
      <c r="R69" s="238" t="str">
        <f t="shared" si="11"/>
        <v/>
      </c>
      <c r="S69" s="392" t="str">
        <f>IFERROR(INDEX('G-1 All Habitats'!$B$3:$B$129,MATCH(R69,'G-1 All Habitats'!$A$3:$A$129,0)),"")</f>
        <v/>
      </c>
      <c r="T69" s="498" t="str">
        <f t="shared" si="3"/>
        <v/>
      </c>
      <c r="U69" s="499" t="str">
        <f t="shared" si="4"/>
        <v/>
      </c>
      <c r="V69" s="537" t="str">
        <f t="shared" si="5"/>
        <v/>
      </c>
      <c r="W69" s="520" t="str">
        <f>IF(S69="","",VLOOKUP(S69,'G-1 All Habitats'!$B$2:$M$129,10,FALSE))</f>
        <v/>
      </c>
      <c r="X69" s="520" t="str">
        <f>IFERROR(VLOOKUP(W69,'G-1 All Habitats'!$V$3:$W$7,2,FALSE),"")</f>
        <v/>
      </c>
      <c r="Y69" s="79"/>
      <c r="Z69" s="524" t="str">
        <f>IFERROR(INDEX('G-8 Condition Look up'!$A$3:$H$130,MATCH(S69,'G-8 Condition Look up'!$A$3:$A$130,0),MATCH(Y69,'G-8 Condition Look up'!$A$3:$H$3,0)),"")</f>
        <v/>
      </c>
      <c r="AA69" s="71"/>
      <c r="AB69" s="520" t="str">
        <f>IF(AA69="","",IF(VLOOKUP(AA69,'G-3 Multipliers'!$L$3:$N$6,2,FALSE)=0,"Spatial Data Missing ⚠",VLOOKUP(AA69,'G-3 Multipliers'!$L$3:$N$6,2,FALSE)))</f>
        <v/>
      </c>
      <c r="AC69" s="524" t="str">
        <f>IF(AA69="","",IF(VLOOKUP(AA69,'G-3 Multipliers'!$L$3:$N$6,3,FALSE)=0,"Spatial Data Missing ⚠",VLOOKUP(AA69,'G-3 Multipliers'!$L$3:$N$6,3,FALSE)))</f>
        <v/>
      </c>
      <c r="AD69" s="539" t="str">
        <f t="shared" si="1"/>
        <v/>
      </c>
      <c r="AE69" s="82"/>
      <c r="AF69" s="82"/>
      <c r="AG69" s="507" t="str">
        <f t="shared" si="6"/>
        <v/>
      </c>
      <c r="AH69" s="521" t="str">
        <f t="shared" si="7"/>
        <v/>
      </c>
      <c r="AI69" s="522" t="str">
        <f>IF(AH69="Check Data","Check Data",IFERROR(VLOOKUP(AH69,'G-4 Temporal multipliers'!$A$4:$C$36,3,FALSE),""))</f>
        <v/>
      </c>
      <c r="AJ69" s="498" t="str">
        <f>IF(S69="","",VLOOKUP(S69,'G-3 Multipliers'!$A$2:$E$129,4,FALSE))</f>
        <v/>
      </c>
      <c r="AK69" s="507" t="str">
        <f t="shared" si="8"/>
        <v/>
      </c>
      <c r="AL69" s="507" t="str">
        <f t="shared" si="9"/>
        <v/>
      </c>
      <c r="AM69" s="540" t="str">
        <f>IFERROR(IF(F69="","",IF(AH69="Check Data ⚠","Check Data ⚠",VLOOKUP(AL69, 'G-3 Multipliers'!$P$2:$Q$6,2,FALSE))),"")</f>
        <v/>
      </c>
      <c r="AN69" s="513" t="str">
        <f t="shared" si="10"/>
        <v/>
      </c>
      <c r="AO69" s="239"/>
      <c r="AP69" s="240"/>
    </row>
    <row r="70" spans="1:42" x14ac:dyDescent="0.25">
      <c r="A70" s="47" t="str">
        <f>IF(E70="","",IF(ISNA(VLOOKUP($E70,'A-1 Site Habitat Baseline'!$D$1:$O$258,2,FALSE)),"",(VLOOKUP($E70,'A-1 Site Habitat Baseline'!$D$1:$O$258,2,FALSE))))</f>
        <v/>
      </c>
      <c r="B70" s="47" t="str">
        <f>IF(E70="","",IF(ISNA(VLOOKUP($E70,'A-1 Site Habitat Baseline'!$D$1:$O$258,3,FALSE)),"",(VLOOKUP($E70,'A-1 Site Habitat Baseline'!$D$1:$O$258,3,FALSE))))</f>
        <v/>
      </c>
      <c r="C70" s="47" t="str">
        <f>IFERROR(INDEX('G-8 Condition Look up'!$I$4:$I$130,MATCH(S70,'G-8 Condition Look up'!$A$4:$A$130,0)),"")</f>
        <v/>
      </c>
      <c r="E70" s="531" t="str">
        <f>'A-1 Site Habitat Baseline'!AL69</f>
        <v/>
      </c>
      <c r="F70" s="520" t="str">
        <f>IF(E70="","",IF(ISNA(VLOOKUP($E70,'A-1 Site Habitat Baseline'!$D$1:$O$258,4,FALSE)),"",(VLOOKUP($E70,'A-1 Site Habitat Baseline'!$D$1:$O$258,4,FALSE))))</f>
        <v/>
      </c>
      <c r="G70" s="520" t="str">
        <f>IF(E70="","",IF(ISNA(VLOOKUP($E70,'A-1 Site Habitat Baseline'!$D$1:$O$258,5,FALSE)),"",(VLOOKUP($E70,'A-1 Site Habitat Baseline'!$D$1:$O$258,5,FALSE))))</f>
        <v/>
      </c>
      <c r="H70" s="520" t="str">
        <f>IF(E70="","",IF(ISNA(VLOOKUP($E70,'A-1 Site Habitat Baseline'!$D$1:$O$258,6,FALSE)),"",(VLOOKUP($E70,'A-1 Site Habitat Baseline'!$D$1:$O$258,6,FALSE))))</f>
        <v/>
      </c>
      <c r="I70" s="520" t="str">
        <f>IF(E70="","",IF(ISNA(VLOOKUP($E70,'A-1 Site Habitat Baseline'!$D$1:$O$258,7,FALSE)),"",(VLOOKUP($E70,'A-1 Site Habitat Baseline'!$D$1:$O$258,7,FALSE))))</f>
        <v/>
      </c>
      <c r="J70" s="520" t="str">
        <f>IF(E70="","",IF(ISNA(VLOOKUP($E70,'A-1 Site Habitat Baseline'!$D$1:$O$258,8,FALSE)),"",(VLOOKUP($E70,'A-1 Site Habitat Baseline'!$D$1:$O$258,8,FALSE))))</f>
        <v/>
      </c>
      <c r="K70" s="520" t="str">
        <f>IF(E70="","",IF(ISNA(VLOOKUP($E70,'A-1 Site Habitat Baseline'!$D$1:$O$258,9,FALSE)),"",(VLOOKUP($E70,'A-1 Site Habitat Baseline'!$D$1:$O$258,9,FALSE))))</f>
        <v/>
      </c>
      <c r="L70" s="520" t="str">
        <f>IF(E70="","",IF(ISNA(VLOOKUP($E70,'A-1 Site Habitat Baseline'!$D$1:$O$258,11,FALSE)),"",(VLOOKUP($E70,'A-1 Site Habitat Baseline'!$D$1:$O$258,11,FALSE))))</f>
        <v/>
      </c>
      <c r="M70" s="520" t="str">
        <f>IF(E70="","",IF(ISNA(VLOOKUP($E70,'A-1 Site Habitat Baseline'!$D$1:$O$258,12,FALSE)),"",(VLOOKUP($E70,'A-1 Site Habitat Baseline'!$D$1:$O$258,12,FALSE))))</f>
        <v/>
      </c>
      <c r="N70" s="532" t="str">
        <f>IF(E70="","",IF(ISNA(VLOOKUP($E70,'A-1 Site Habitat Baseline'!$D$1:$X$258,14,FALSE)),"",(VLOOKUP($E70,'A-1 Site Habitat Baseline'!$D$1:$X$258,14,FALSE))))</f>
        <v/>
      </c>
      <c r="O70" s="524" t="str">
        <f>IF(E70="","",IF(ISNA(VLOOKUP($E70,'A-1 Site Habitat Baseline'!$D$1:$X$258,16,FALSE)),"",(VLOOKUP($E70,'A-1 Site Habitat Baseline'!$D$1:$X$258,13,FALSE))))</f>
        <v/>
      </c>
      <c r="P70" s="237" t="str">
        <f>IFERROR(INDEX('G-1 All Habitats'!$AG$3:$AG$15,MATCH(Q70,'G-1 All Habitats'!$AF$3:$AF$15,0)),"")</f>
        <v/>
      </c>
      <c r="Q70" s="238" t="str">
        <f t="shared" si="2"/>
        <v/>
      </c>
      <c r="R70" s="238" t="str">
        <f t="shared" si="11"/>
        <v/>
      </c>
      <c r="S70" s="392" t="str">
        <f>IFERROR(INDEX('G-1 All Habitats'!$B$3:$B$129,MATCH(R70,'G-1 All Habitats'!$A$3:$A$129,0)),"")</f>
        <v/>
      </c>
      <c r="T70" s="498" t="str">
        <f t="shared" si="3"/>
        <v/>
      </c>
      <c r="U70" s="499" t="str">
        <f t="shared" si="4"/>
        <v/>
      </c>
      <c r="V70" s="537" t="str">
        <f t="shared" si="5"/>
        <v/>
      </c>
      <c r="W70" s="520" t="str">
        <f>IF(S70="","",VLOOKUP(S70,'G-1 All Habitats'!$B$2:$M$129,10,FALSE))</f>
        <v/>
      </c>
      <c r="X70" s="520" t="str">
        <f>IFERROR(VLOOKUP(W70,'G-1 All Habitats'!$V$3:$W$7,2,FALSE),"")</f>
        <v/>
      </c>
      <c r="Y70" s="79"/>
      <c r="Z70" s="524" t="str">
        <f>IFERROR(INDEX('G-8 Condition Look up'!$A$3:$H$130,MATCH(S70,'G-8 Condition Look up'!$A$3:$A$130,0),MATCH(Y70,'G-8 Condition Look up'!$A$3:$H$3,0)),"")</f>
        <v/>
      </c>
      <c r="AA70" s="71"/>
      <c r="AB70" s="520" t="str">
        <f>IF(AA70="","",IF(VLOOKUP(AA70,'G-3 Multipliers'!$L$3:$N$6,2,FALSE)=0,"Spatial Data Missing ⚠",VLOOKUP(AA70,'G-3 Multipliers'!$L$3:$N$6,2,FALSE)))</f>
        <v/>
      </c>
      <c r="AC70" s="524" t="str">
        <f>IF(AA70="","",IF(VLOOKUP(AA70,'G-3 Multipliers'!$L$3:$N$6,3,FALSE)=0,"Spatial Data Missing ⚠",VLOOKUP(AA70,'G-3 Multipliers'!$L$3:$N$6,3,FALSE)))</f>
        <v/>
      </c>
      <c r="AD70" s="539" t="str">
        <f t="shared" si="1"/>
        <v/>
      </c>
      <c r="AE70" s="82"/>
      <c r="AF70" s="82"/>
      <c r="AG70" s="507" t="str">
        <f t="shared" si="6"/>
        <v/>
      </c>
      <c r="AH70" s="521" t="str">
        <f t="shared" si="7"/>
        <v/>
      </c>
      <c r="AI70" s="522" t="str">
        <f>IF(AH70="Check Data","Check Data",IFERROR(VLOOKUP(AH70,'G-4 Temporal multipliers'!$A$4:$C$36,3,FALSE),""))</f>
        <v/>
      </c>
      <c r="AJ70" s="498" t="str">
        <f>IF(S70="","",VLOOKUP(S70,'G-3 Multipliers'!$A$2:$E$129,4,FALSE))</f>
        <v/>
      </c>
      <c r="AK70" s="507" t="str">
        <f t="shared" si="8"/>
        <v/>
      </c>
      <c r="AL70" s="507" t="str">
        <f t="shared" si="9"/>
        <v/>
      </c>
      <c r="AM70" s="540" t="str">
        <f>IFERROR(IF(F70="","",IF(AH70="Check Data ⚠","Check Data ⚠",VLOOKUP(AL70, 'G-3 Multipliers'!$P$2:$Q$6,2,FALSE))),"")</f>
        <v/>
      </c>
      <c r="AN70" s="513" t="str">
        <f t="shared" si="10"/>
        <v/>
      </c>
      <c r="AO70" s="239"/>
      <c r="AP70" s="240"/>
    </row>
    <row r="71" spans="1:42" x14ac:dyDescent="0.25">
      <c r="A71" s="47" t="str">
        <f>IF(E71="","",IF(ISNA(VLOOKUP($E71,'A-1 Site Habitat Baseline'!$D$1:$O$258,2,FALSE)),"",(VLOOKUP($E71,'A-1 Site Habitat Baseline'!$D$1:$O$258,2,FALSE))))</f>
        <v/>
      </c>
      <c r="B71" s="47" t="str">
        <f>IF(E71="","",IF(ISNA(VLOOKUP($E71,'A-1 Site Habitat Baseline'!$D$1:$O$258,3,FALSE)),"",(VLOOKUP($E71,'A-1 Site Habitat Baseline'!$D$1:$O$258,3,FALSE))))</f>
        <v/>
      </c>
      <c r="C71" s="47" t="str">
        <f>IFERROR(INDEX('G-8 Condition Look up'!$I$4:$I$130,MATCH(S71,'G-8 Condition Look up'!$A$4:$A$130,0)),"")</f>
        <v/>
      </c>
      <c r="E71" s="531" t="str">
        <f>'A-1 Site Habitat Baseline'!AL70</f>
        <v/>
      </c>
      <c r="F71" s="520" t="str">
        <f>IF(E71="","",IF(ISNA(VLOOKUP($E71,'A-1 Site Habitat Baseline'!$D$1:$O$258,4,FALSE)),"",(VLOOKUP($E71,'A-1 Site Habitat Baseline'!$D$1:$O$258,4,FALSE))))</f>
        <v/>
      </c>
      <c r="G71" s="520" t="str">
        <f>IF(E71="","",IF(ISNA(VLOOKUP($E71,'A-1 Site Habitat Baseline'!$D$1:$O$258,5,FALSE)),"",(VLOOKUP($E71,'A-1 Site Habitat Baseline'!$D$1:$O$258,5,FALSE))))</f>
        <v/>
      </c>
      <c r="H71" s="520" t="str">
        <f>IF(E71="","",IF(ISNA(VLOOKUP($E71,'A-1 Site Habitat Baseline'!$D$1:$O$258,6,FALSE)),"",(VLOOKUP($E71,'A-1 Site Habitat Baseline'!$D$1:$O$258,6,FALSE))))</f>
        <v/>
      </c>
      <c r="I71" s="520" t="str">
        <f>IF(E71="","",IF(ISNA(VLOOKUP($E71,'A-1 Site Habitat Baseline'!$D$1:$O$258,7,FALSE)),"",(VLOOKUP($E71,'A-1 Site Habitat Baseline'!$D$1:$O$258,7,FALSE))))</f>
        <v/>
      </c>
      <c r="J71" s="520" t="str">
        <f>IF(E71="","",IF(ISNA(VLOOKUP($E71,'A-1 Site Habitat Baseline'!$D$1:$O$258,8,FALSE)),"",(VLOOKUP($E71,'A-1 Site Habitat Baseline'!$D$1:$O$258,8,FALSE))))</f>
        <v/>
      </c>
      <c r="K71" s="520" t="str">
        <f>IF(E71="","",IF(ISNA(VLOOKUP($E71,'A-1 Site Habitat Baseline'!$D$1:$O$258,9,FALSE)),"",(VLOOKUP($E71,'A-1 Site Habitat Baseline'!$D$1:$O$258,9,FALSE))))</f>
        <v/>
      </c>
      <c r="L71" s="520" t="str">
        <f>IF(E71="","",IF(ISNA(VLOOKUP($E71,'A-1 Site Habitat Baseline'!$D$1:$O$258,11,FALSE)),"",(VLOOKUP($E71,'A-1 Site Habitat Baseline'!$D$1:$O$258,11,FALSE))))</f>
        <v/>
      </c>
      <c r="M71" s="520" t="str">
        <f>IF(E71="","",IF(ISNA(VLOOKUP($E71,'A-1 Site Habitat Baseline'!$D$1:$O$258,12,FALSE)),"",(VLOOKUP($E71,'A-1 Site Habitat Baseline'!$D$1:$O$258,12,FALSE))))</f>
        <v/>
      </c>
      <c r="N71" s="532" t="str">
        <f>IF(E71="","",IF(ISNA(VLOOKUP($E71,'A-1 Site Habitat Baseline'!$D$1:$X$258,14,FALSE)),"",(VLOOKUP($E71,'A-1 Site Habitat Baseline'!$D$1:$X$258,14,FALSE))))</f>
        <v/>
      </c>
      <c r="O71" s="524" t="str">
        <f>IF(E71="","",IF(ISNA(VLOOKUP($E71,'A-1 Site Habitat Baseline'!$D$1:$X$258,16,FALSE)),"",(VLOOKUP($E71,'A-1 Site Habitat Baseline'!$D$1:$X$258,13,FALSE))))</f>
        <v/>
      </c>
      <c r="P71" s="237" t="str">
        <f>IFERROR(INDEX('G-1 All Habitats'!$AG$3:$AG$15,MATCH(Q71,'G-1 All Habitats'!$AF$3:$AF$15,0)),"")</f>
        <v/>
      </c>
      <c r="Q71" s="238" t="str">
        <f t="shared" si="2"/>
        <v/>
      </c>
      <c r="R71" s="238" t="str">
        <f t="shared" si="11"/>
        <v/>
      </c>
      <c r="S71" s="392" t="str">
        <f>IFERROR(INDEX('G-1 All Habitats'!$B$3:$B$129,MATCH(R71,'G-1 All Habitats'!$A$3:$A$129,0)),"")</f>
        <v/>
      </c>
      <c r="T71" s="498" t="str">
        <f t="shared" si="3"/>
        <v/>
      </c>
      <c r="U71" s="499" t="str">
        <f t="shared" si="4"/>
        <v/>
      </c>
      <c r="V71" s="537" t="str">
        <f t="shared" si="5"/>
        <v/>
      </c>
      <c r="W71" s="520" t="str">
        <f>IF(S71="","",VLOOKUP(S71,'G-1 All Habitats'!$B$2:$M$129,10,FALSE))</f>
        <v/>
      </c>
      <c r="X71" s="520" t="str">
        <f>IFERROR(VLOOKUP(W71,'G-1 All Habitats'!$V$3:$W$7,2,FALSE),"")</f>
        <v/>
      </c>
      <c r="Y71" s="79"/>
      <c r="Z71" s="524" t="str">
        <f>IFERROR(INDEX('G-8 Condition Look up'!$A$3:$H$130,MATCH(S71,'G-8 Condition Look up'!$A$3:$A$130,0),MATCH(Y71,'G-8 Condition Look up'!$A$3:$H$3,0)),"")</f>
        <v/>
      </c>
      <c r="AA71" s="71"/>
      <c r="AB71" s="520" t="str">
        <f>IF(AA71="","",IF(VLOOKUP(AA71,'G-3 Multipliers'!$L$3:$N$6,2,FALSE)=0,"Spatial Data Missing ⚠",VLOOKUP(AA71,'G-3 Multipliers'!$L$3:$N$6,2,FALSE)))</f>
        <v/>
      </c>
      <c r="AC71" s="524" t="str">
        <f>IF(AA71="","",IF(VLOOKUP(AA71,'G-3 Multipliers'!$L$3:$N$6,3,FALSE)=0,"Spatial Data Missing ⚠",VLOOKUP(AA71,'G-3 Multipliers'!$L$3:$N$6,3,FALSE)))</f>
        <v/>
      </c>
      <c r="AD71" s="539" t="str">
        <f t="shared" si="1"/>
        <v/>
      </c>
      <c r="AE71" s="82"/>
      <c r="AF71" s="82"/>
      <c r="AG71" s="507" t="str">
        <f t="shared" si="6"/>
        <v/>
      </c>
      <c r="AH71" s="521" t="str">
        <f t="shared" si="7"/>
        <v/>
      </c>
      <c r="AI71" s="522" t="str">
        <f>IF(AH71="Check Data","Check Data",IFERROR(VLOOKUP(AH71,'G-4 Temporal multipliers'!$A$4:$C$36,3,FALSE),""))</f>
        <v/>
      </c>
      <c r="AJ71" s="498" t="str">
        <f>IF(S71="","",VLOOKUP(S71,'G-3 Multipliers'!$A$2:$E$129,4,FALSE))</f>
        <v/>
      </c>
      <c r="AK71" s="507" t="str">
        <f t="shared" si="8"/>
        <v/>
      </c>
      <c r="AL71" s="507" t="str">
        <f t="shared" si="9"/>
        <v/>
      </c>
      <c r="AM71" s="540" t="str">
        <f>IFERROR(IF(F71="","",IF(AH71="Check Data ⚠","Check Data ⚠",VLOOKUP(AL71, 'G-3 Multipliers'!$P$2:$Q$6,2,FALSE))),"")</f>
        <v/>
      </c>
      <c r="AN71" s="513" t="str">
        <f t="shared" si="10"/>
        <v/>
      </c>
      <c r="AO71" s="239"/>
      <c r="AP71" s="240"/>
    </row>
    <row r="72" spans="1:42" x14ac:dyDescent="0.25">
      <c r="A72" s="47" t="str">
        <f>IF(E72="","",IF(ISNA(VLOOKUP($E72,'A-1 Site Habitat Baseline'!$D$1:$O$258,2,FALSE)),"",(VLOOKUP($E72,'A-1 Site Habitat Baseline'!$D$1:$O$258,2,FALSE))))</f>
        <v/>
      </c>
      <c r="B72" s="47" t="str">
        <f>IF(E72="","",IF(ISNA(VLOOKUP($E72,'A-1 Site Habitat Baseline'!$D$1:$O$258,3,FALSE)),"",(VLOOKUP($E72,'A-1 Site Habitat Baseline'!$D$1:$O$258,3,FALSE))))</f>
        <v/>
      </c>
      <c r="C72" s="47" t="str">
        <f>IFERROR(INDEX('G-8 Condition Look up'!$I$4:$I$130,MATCH(S72,'G-8 Condition Look up'!$A$4:$A$130,0)),"")</f>
        <v/>
      </c>
      <c r="E72" s="531" t="str">
        <f>'A-1 Site Habitat Baseline'!AL71</f>
        <v/>
      </c>
      <c r="F72" s="520" t="str">
        <f>IF(E72="","",IF(ISNA(VLOOKUP($E72,'A-1 Site Habitat Baseline'!$D$1:$O$258,4,FALSE)),"",(VLOOKUP($E72,'A-1 Site Habitat Baseline'!$D$1:$O$258,4,FALSE))))</f>
        <v/>
      </c>
      <c r="G72" s="520" t="str">
        <f>IF(E72="","",IF(ISNA(VLOOKUP($E72,'A-1 Site Habitat Baseline'!$D$1:$O$258,5,FALSE)),"",(VLOOKUP($E72,'A-1 Site Habitat Baseline'!$D$1:$O$258,5,FALSE))))</f>
        <v/>
      </c>
      <c r="H72" s="520" t="str">
        <f>IF(E72="","",IF(ISNA(VLOOKUP($E72,'A-1 Site Habitat Baseline'!$D$1:$O$258,6,FALSE)),"",(VLOOKUP($E72,'A-1 Site Habitat Baseline'!$D$1:$O$258,6,FALSE))))</f>
        <v/>
      </c>
      <c r="I72" s="520" t="str">
        <f>IF(E72="","",IF(ISNA(VLOOKUP($E72,'A-1 Site Habitat Baseline'!$D$1:$O$258,7,FALSE)),"",(VLOOKUP($E72,'A-1 Site Habitat Baseline'!$D$1:$O$258,7,FALSE))))</f>
        <v/>
      </c>
      <c r="J72" s="520" t="str">
        <f>IF(E72="","",IF(ISNA(VLOOKUP($E72,'A-1 Site Habitat Baseline'!$D$1:$O$258,8,FALSE)),"",(VLOOKUP($E72,'A-1 Site Habitat Baseline'!$D$1:$O$258,8,FALSE))))</f>
        <v/>
      </c>
      <c r="K72" s="520" t="str">
        <f>IF(E72="","",IF(ISNA(VLOOKUP($E72,'A-1 Site Habitat Baseline'!$D$1:$O$258,9,FALSE)),"",(VLOOKUP($E72,'A-1 Site Habitat Baseline'!$D$1:$O$258,9,FALSE))))</f>
        <v/>
      </c>
      <c r="L72" s="520" t="str">
        <f>IF(E72="","",IF(ISNA(VLOOKUP($E72,'A-1 Site Habitat Baseline'!$D$1:$O$258,11,FALSE)),"",(VLOOKUP($E72,'A-1 Site Habitat Baseline'!$D$1:$O$258,11,FALSE))))</f>
        <v/>
      </c>
      <c r="M72" s="520" t="str">
        <f>IF(E72="","",IF(ISNA(VLOOKUP($E72,'A-1 Site Habitat Baseline'!$D$1:$O$258,12,FALSE)),"",(VLOOKUP($E72,'A-1 Site Habitat Baseline'!$D$1:$O$258,12,FALSE))))</f>
        <v/>
      </c>
      <c r="N72" s="532" t="str">
        <f>IF(E72="","",IF(ISNA(VLOOKUP($E72,'A-1 Site Habitat Baseline'!$D$1:$X$258,14,FALSE)),"",(VLOOKUP($E72,'A-1 Site Habitat Baseline'!$D$1:$X$258,14,FALSE))))</f>
        <v/>
      </c>
      <c r="O72" s="524" t="str">
        <f>IF(E72="","",IF(ISNA(VLOOKUP($E72,'A-1 Site Habitat Baseline'!$D$1:$X$258,16,FALSE)),"",(VLOOKUP($E72,'A-1 Site Habitat Baseline'!$D$1:$X$258,13,FALSE))))</f>
        <v/>
      </c>
      <c r="P72" s="237" t="str">
        <f>IFERROR(INDEX('G-1 All Habitats'!$AG$3:$AG$15,MATCH(Q72,'G-1 All Habitats'!$AF$3:$AF$15,0)),"")</f>
        <v/>
      </c>
      <c r="Q72" s="238" t="str">
        <f t="shared" si="2"/>
        <v/>
      </c>
      <c r="R72" s="238" t="str">
        <f t="shared" si="11"/>
        <v/>
      </c>
      <c r="S72" s="392" t="str">
        <f>IFERROR(INDEX('G-1 All Habitats'!$B$3:$B$129,MATCH(R72,'G-1 All Habitats'!$A$3:$A$129,0)),"")</f>
        <v/>
      </c>
      <c r="T72" s="498" t="str">
        <f t="shared" si="3"/>
        <v/>
      </c>
      <c r="U72" s="499" t="str">
        <f t="shared" si="4"/>
        <v/>
      </c>
      <c r="V72" s="537" t="str">
        <f t="shared" si="5"/>
        <v/>
      </c>
      <c r="W72" s="520" t="str">
        <f>IF(S72="","",VLOOKUP(S72,'G-1 All Habitats'!$B$2:$M$129,10,FALSE))</f>
        <v/>
      </c>
      <c r="X72" s="520" t="str">
        <f>IFERROR(VLOOKUP(W72,'G-1 All Habitats'!$V$3:$W$7,2,FALSE),"")</f>
        <v/>
      </c>
      <c r="Y72" s="79"/>
      <c r="Z72" s="524" t="str">
        <f>IFERROR(INDEX('G-8 Condition Look up'!$A$3:$H$130,MATCH(S72,'G-8 Condition Look up'!$A$3:$A$130,0),MATCH(Y72,'G-8 Condition Look up'!$A$3:$H$3,0)),"")</f>
        <v/>
      </c>
      <c r="AA72" s="71"/>
      <c r="AB72" s="520" t="str">
        <f>IF(AA72="","",IF(VLOOKUP(AA72,'G-3 Multipliers'!$L$3:$N$6,2,FALSE)=0,"Spatial Data Missing ⚠",VLOOKUP(AA72,'G-3 Multipliers'!$L$3:$N$6,2,FALSE)))</f>
        <v/>
      </c>
      <c r="AC72" s="524" t="str">
        <f>IF(AA72="","",IF(VLOOKUP(AA72,'G-3 Multipliers'!$L$3:$N$6,3,FALSE)=0,"Spatial Data Missing ⚠",VLOOKUP(AA72,'G-3 Multipliers'!$L$3:$N$6,3,FALSE)))</f>
        <v/>
      </c>
      <c r="AD72" s="539" t="str">
        <f t="shared" si="1"/>
        <v/>
      </c>
      <c r="AE72" s="82"/>
      <c r="AF72" s="82"/>
      <c r="AG72" s="507" t="str">
        <f t="shared" si="6"/>
        <v/>
      </c>
      <c r="AH72" s="521" t="str">
        <f t="shared" si="7"/>
        <v/>
      </c>
      <c r="AI72" s="522" t="str">
        <f>IF(AH72="Check Data","Check Data",IFERROR(VLOOKUP(AH72,'G-4 Temporal multipliers'!$A$4:$C$36,3,FALSE),""))</f>
        <v/>
      </c>
      <c r="AJ72" s="498" t="str">
        <f>IF(S72="","",VLOOKUP(S72,'G-3 Multipliers'!$A$2:$E$129,4,FALSE))</f>
        <v/>
      </c>
      <c r="AK72" s="507" t="str">
        <f t="shared" si="8"/>
        <v/>
      </c>
      <c r="AL72" s="507" t="str">
        <f t="shared" si="9"/>
        <v/>
      </c>
      <c r="AM72" s="540" t="str">
        <f>IFERROR(IF(F72="","",IF(AH72="Check Data ⚠","Check Data ⚠",VLOOKUP(AL72, 'G-3 Multipliers'!$P$2:$Q$6,2,FALSE))),"")</f>
        <v/>
      </c>
      <c r="AN72" s="513" t="str">
        <f t="shared" si="10"/>
        <v/>
      </c>
      <c r="AO72" s="239"/>
      <c r="AP72" s="240"/>
    </row>
    <row r="73" spans="1:42" x14ac:dyDescent="0.25">
      <c r="A73" s="47" t="str">
        <f>IF(E73="","",IF(ISNA(VLOOKUP($E73,'A-1 Site Habitat Baseline'!$D$1:$O$258,2,FALSE)),"",(VLOOKUP($E73,'A-1 Site Habitat Baseline'!$D$1:$O$258,2,FALSE))))</f>
        <v/>
      </c>
      <c r="B73" s="47" t="str">
        <f>IF(E73="","",IF(ISNA(VLOOKUP($E73,'A-1 Site Habitat Baseline'!$D$1:$O$258,3,FALSE)),"",(VLOOKUP($E73,'A-1 Site Habitat Baseline'!$D$1:$O$258,3,FALSE))))</f>
        <v/>
      </c>
      <c r="C73" s="47" t="str">
        <f>IFERROR(INDEX('G-8 Condition Look up'!$I$4:$I$130,MATCH(S73,'G-8 Condition Look up'!$A$4:$A$130,0)),"")</f>
        <v/>
      </c>
      <c r="E73" s="531" t="str">
        <f>'A-1 Site Habitat Baseline'!AL72</f>
        <v/>
      </c>
      <c r="F73" s="520" t="str">
        <f>IF(E73="","",IF(ISNA(VLOOKUP($E73,'A-1 Site Habitat Baseline'!$D$1:$O$258,4,FALSE)),"",(VLOOKUP($E73,'A-1 Site Habitat Baseline'!$D$1:$O$258,4,FALSE))))</f>
        <v/>
      </c>
      <c r="G73" s="520" t="str">
        <f>IF(E73="","",IF(ISNA(VLOOKUP($E73,'A-1 Site Habitat Baseline'!$D$1:$O$258,5,FALSE)),"",(VLOOKUP($E73,'A-1 Site Habitat Baseline'!$D$1:$O$258,5,FALSE))))</f>
        <v/>
      </c>
      <c r="H73" s="520" t="str">
        <f>IF(E73="","",IF(ISNA(VLOOKUP($E73,'A-1 Site Habitat Baseline'!$D$1:$O$258,6,FALSE)),"",(VLOOKUP($E73,'A-1 Site Habitat Baseline'!$D$1:$O$258,6,FALSE))))</f>
        <v/>
      </c>
      <c r="I73" s="520" t="str">
        <f>IF(E73="","",IF(ISNA(VLOOKUP($E73,'A-1 Site Habitat Baseline'!$D$1:$O$258,7,FALSE)),"",(VLOOKUP($E73,'A-1 Site Habitat Baseline'!$D$1:$O$258,7,FALSE))))</f>
        <v/>
      </c>
      <c r="J73" s="520" t="str">
        <f>IF(E73="","",IF(ISNA(VLOOKUP($E73,'A-1 Site Habitat Baseline'!$D$1:$O$258,8,FALSE)),"",(VLOOKUP($E73,'A-1 Site Habitat Baseline'!$D$1:$O$258,8,FALSE))))</f>
        <v/>
      </c>
      <c r="K73" s="520" t="str">
        <f>IF(E73="","",IF(ISNA(VLOOKUP($E73,'A-1 Site Habitat Baseline'!$D$1:$O$258,9,FALSE)),"",(VLOOKUP($E73,'A-1 Site Habitat Baseline'!$D$1:$O$258,9,FALSE))))</f>
        <v/>
      </c>
      <c r="L73" s="520" t="str">
        <f>IF(E73="","",IF(ISNA(VLOOKUP($E73,'A-1 Site Habitat Baseline'!$D$1:$O$258,11,FALSE)),"",(VLOOKUP($E73,'A-1 Site Habitat Baseline'!$D$1:$O$258,11,FALSE))))</f>
        <v/>
      </c>
      <c r="M73" s="520" t="str">
        <f>IF(E73="","",IF(ISNA(VLOOKUP($E73,'A-1 Site Habitat Baseline'!$D$1:$O$258,12,FALSE)),"",(VLOOKUP($E73,'A-1 Site Habitat Baseline'!$D$1:$O$258,12,FALSE))))</f>
        <v/>
      </c>
      <c r="N73" s="532" t="str">
        <f>IF(E73="","",IF(ISNA(VLOOKUP($E73,'A-1 Site Habitat Baseline'!$D$1:$X$258,14,FALSE)),"",(VLOOKUP($E73,'A-1 Site Habitat Baseline'!$D$1:$X$258,14,FALSE))))</f>
        <v/>
      </c>
      <c r="O73" s="524" t="str">
        <f>IF(E73="","",IF(ISNA(VLOOKUP($E73,'A-1 Site Habitat Baseline'!$D$1:$X$258,16,FALSE)),"",(VLOOKUP($E73,'A-1 Site Habitat Baseline'!$D$1:$X$258,13,FALSE))))</f>
        <v/>
      </c>
      <c r="P73" s="237" t="str">
        <f>IFERROR(INDEX('G-1 All Habitats'!$AG$3:$AG$15,MATCH(Q73,'G-1 All Habitats'!$AF$3:$AF$15,0)),"")</f>
        <v/>
      </c>
      <c r="Q73" s="238" t="str">
        <f t="shared" si="2"/>
        <v/>
      </c>
      <c r="R73" s="238" t="str">
        <f t="shared" si="11"/>
        <v/>
      </c>
      <c r="S73" s="392" t="str">
        <f>IFERROR(INDEX('G-1 All Habitats'!$B$3:$B$129,MATCH(R73,'G-1 All Habitats'!$A$3:$A$129,0)),"")</f>
        <v/>
      </c>
      <c r="T73" s="498" t="str">
        <f t="shared" si="3"/>
        <v/>
      </c>
      <c r="U73" s="499" t="str">
        <f t="shared" si="4"/>
        <v/>
      </c>
      <c r="V73" s="537" t="str">
        <f t="shared" si="5"/>
        <v/>
      </c>
      <c r="W73" s="520" t="str">
        <f>IF(S73="","",VLOOKUP(S73,'G-1 All Habitats'!$B$2:$M$129,10,FALSE))</f>
        <v/>
      </c>
      <c r="X73" s="520" t="str">
        <f>IFERROR(VLOOKUP(W73,'G-1 All Habitats'!$V$3:$W$7,2,FALSE),"")</f>
        <v/>
      </c>
      <c r="Y73" s="79"/>
      <c r="Z73" s="524" t="str">
        <f>IFERROR(INDEX('G-8 Condition Look up'!$A$3:$H$130,MATCH(S73,'G-8 Condition Look up'!$A$3:$A$130,0),MATCH(Y73,'G-8 Condition Look up'!$A$3:$H$3,0)),"")</f>
        <v/>
      </c>
      <c r="AA73" s="71"/>
      <c r="AB73" s="520" t="str">
        <f>IF(AA73="","",IF(VLOOKUP(AA73,'G-3 Multipliers'!$L$3:$N$6,2,FALSE)=0,"Spatial Data Missing ⚠",VLOOKUP(AA73,'G-3 Multipliers'!$L$3:$N$6,2,FALSE)))</f>
        <v/>
      </c>
      <c r="AC73" s="524" t="str">
        <f>IF(AA73="","",IF(VLOOKUP(AA73,'G-3 Multipliers'!$L$3:$N$6,3,FALSE)=0,"Spatial Data Missing ⚠",VLOOKUP(AA73,'G-3 Multipliers'!$L$3:$N$6,3,FALSE)))</f>
        <v/>
      </c>
      <c r="AD73" s="539" t="str">
        <f t="shared" si="1"/>
        <v/>
      </c>
      <c r="AE73" s="82"/>
      <c r="AF73" s="82"/>
      <c r="AG73" s="507" t="str">
        <f t="shared" si="6"/>
        <v/>
      </c>
      <c r="AH73" s="521" t="str">
        <f t="shared" si="7"/>
        <v/>
      </c>
      <c r="AI73" s="522" t="str">
        <f>IF(AH73="Check Data","Check Data",IFERROR(VLOOKUP(AH73,'G-4 Temporal multipliers'!$A$4:$C$36,3,FALSE),""))</f>
        <v/>
      </c>
      <c r="AJ73" s="498" t="str">
        <f>IF(S73="","",VLOOKUP(S73,'G-3 Multipliers'!$A$2:$E$129,4,FALSE))</f>
        <v/>
      </c>
      <c r="AK73" s="507" t="str">
        <f t="shared" si="8"/>
        <v/>
      </c>
      <c r="AL73" s="507" t="str">
        <f t="shared" si="9"/>
        <v/>
      </c>
      <c r="AM73" s="540" t="str">
        <f>IFERROR(IF(F73="","",IF(AH73="Check Data ⚠","Check Data ⚠",VLOOKUP(AL73, 'G-3 Multipliers'!$P$2:$Q$6,2,FALSE))),"")</f>
        <v/>
      </c>
      <c r="AN73" s="513" t="str">
        <f t="shared" si="10"/>
        <v/>
      </c>
      <c r="AO73" s="239"/>
      <c r="AP73" s="240"/>
    </row>
    <row r="74" spans="1:42" x14ac:dyDescent="0.25">
      <c r="A74" s="47" t="str">
        <f>IF(E74="","",IF(ISNA(VLOOKUP($E74,'A-1 Site Habitat Baseline'!$D$1:$O$258,2,FALSE)),"",(VLOOKUP($E74,'A-1 Site Habitat Baseline'!$D$1:$O$258,2,FALSE))))</f>
        <v/>
      </c>
      <c r="B74" s="47" t="str">
        <f>IF(E74="","",IF(ISNA(VLOOKUP($E74,'A-1 Site Habitat Baseline'!$D$1:$O$258,3,FALSE)),"",(VLOOKUP($E74,'A-1 Site Habitat Baseline'!$D$1:$O$258,3,FALSE))))</f>
        <v/>
      </c>
      <c r="C74" s="47" t="str">
        <f>IFERROR(INDEX('G-8 Condition Look up'!$I$4:$I$130,MATCH(S74,'G-8 Condition Look up'!$A$4:$A$130,0)),"")</f>
        <v/>
      </c>
      <c r="E74" s="531" t="str">
        <f>'A-1 Site Habitat Baseline'!AL73</f>
        <v/>
      </c>
      <c r="F74" s="520" t="str">
        <f>IF(E74="","",IF(ISNA(VLOOKUP($E74,'A-1 Site Habitat Baseline'!$D$1:$O$258,4,FALSE)),"",(VLOOKUP($E74,'A-1 Site Habitat Baseline'!$D$1:$O$258,4,FALSE))))</f>
        <v/>
      </c>
      <c r="G74" s="520" t="str">
        <f>IF(E74="","",IF(ISNA(VLOOKUP($E74,'A-1 Site Habitat Baseline'!$D$1:$O$258,5,FALSE)),"",(VLOOKUP($E74,'A-1 Site Habitat Baseline'!$D$1:$O$258,5,FALSE))))</f>
        <v/>
      </c>
      <c r="H74" s="520" t="str">
        <f>IF(E74="","",IF(ISNA(VLOOKUP($E74,'A-1 Site Habitat Baseline'!$D$1:$O$258,6,FALSE)),"",(VLOOKUP($E74,'A-1 Site Habitat Baseline'!$D$1:$O$258,6,FALSE))))</f>
        <v/>
      </c>
      <c r="I74" s="520" t="str">
        <f>IF(E74="","",IF(ISNA(VLOOKUP($E74,'A-1 Site Habitat Baseline'!$D$1:$O$258,7,FALSE)),"",(VLOOKUP($E74,'A-1 Site Habitat Baseline'!$D$1:$O$258,7,FALSE))))</f>
        <v/>
      </c>
      <c r="J74" s="520" t="str">
        <f>IF(E74="","",IF(ISNA(VLOOKUP($E74,'A-1 Site Habitat Baseline'!$D$1:$O$258,8,FALSE)),"",(VLOOKUP($E74,'A-1 Site Habitat Baseline'!$D$1:$O$258,8,FALSE))))</f>
        <v/>
      </c>
      <c r="K74" s="520" t="str">
        <f>IF(E74="","",IF(ISNA(VLOOKUP($E74,'A-1 Site Habitat Baseline'!$D$1:$O$258,9,FALSE)),"",(VLOOKUP($E74,'A-1 Site Habitat Baseline'!$D$1:$O$258,9,FALSE))))</f>
        <v/>
      </c>
      <c r="L74" s="520" t="str">
        <f>IF(E74="","",IF(ISNA(VLOOKUP($E74,'A-1 Site Habitat Baseline'!$D$1:$O$258,11,FALSE)),"",(VLOOKUP($E74,'A-1 Site Habitat Baseline'!$D$1:$O$258,11,FALSE))))</f>
        <v/>
      </c>
      <c r="M74" s="520" t="str">
        <f>IF(E74="","",IF(ISNA(VLOOKUP($E74,'A-1 Site Habitat Baseline'!$D$1:$O$258,12,FALSE)),"",(VLOOKUP($E74,'A-1 Site Habitat Baseline'!$D$1:$O$258,12,FALSE))))</f>
        <v/>
      </c>
      <c r="N74" s="532" t="str">
        <f>IF(E74="","",IF(ISNA(VLOOKUP($E74,'A-1 Site Habitat Baseline'!$D$1:$X$258,14,FALSE)),"",(VLOOKUP($E74,'A-1 Site Habitat Baseline'!$D$1:$X$258,14,FALSE))))</f>
        <v/>
      </c>
      <c r="O74" s="524" t="str">
        <f>IF(E74="","",IF(ISNA(VLOOKUP($E74,'A-1 Site Habitat Baseline'!$D$1:$X$258,16,FALSE)),"",(VLOOKUP($E74,'A-1 Site Habitat Baseline'!$D$1:$X$258,13,FALSE))))</f>
        <v/>
      </c>
      <c r="P74" s="237" t="str">
        <f>IFERROR(INDEX('G-1 All Habitats'!$AG$3:$AG$15,MATCH(Q74,'G-1 All Habitats'!$AF$3:$AF$15,0)),"")</f>
        <v/>
      </c>
      <c r="Q74" s="238" t="str">
        <f t="shared" si="2"/>
        <v/>
      </c>
      <c r="R74" s="238" t="str">
        <f t="shared" si="11"/>
        <v/>
      </c>
      <c r="S74" s="392" t="str">
        <f>IFERROR(INDEX('G-1 All Habitats'!$B$3:$B$129,MATCH(R74,'G-1 All Habitats'!$A$3:$A$129,0)),"")</f>
        <v/>
      </c>
      <c r="T74" s="498" t="str">
        <f t="shared" si="3"/>
        <v/>
      </c>
      <c r="U74" s="499" t="str">
        <f t="shared" si="4"/>
        <v/>
      </c>
      <c r="V74" s="537" t="str">
        <f t="shared" si="5"/>
        <v/>
      </c>
      <c r="W74" s="520" t="str">
        <f>IF(S74="","",VLOOKUP(S74,'G-1 All Habitats'!$B$2:$M$129,10,FALSE))</f>
        <v/>
      </c>
      <c r="X74" s="520" t="str">
        <f>IFERROR(VLOOKUP(W74,'G-1 All Habitats'!$V$3:$W$7,2,FALSE),"")</f>
        <v/>
      </c>
      <c r="Y74" s="79"/>
      <c r="Z74" s="524" t="str">
        <f>IFERROR(INDEX('G-8 Condition Look up'!$A$3:$H$130,MATCH(S74,'G-8 Condition Look up'!$A$3:$A$130,0),MATCH(Y74,'G-8 Condition Look up'!$A$3:$H$3,0)),"")</f>
        <v/>
      </c>
      <c r="AA74" s="71"/>
      <c r="AB74" s="520" t="str">
        <f>IF(AA74="","",IF(VLOOKUP(AA74,'G-3 Multipliers'!$L$3:$N$6,2,FALSE)=0,"Spatial Data Missing ⚠",VLOOKUP(AA74,'G-3 Multipliers'!$L$3:$N$6,2,FALSE)))</f>
        <v/>
      </c>
      <c r="AC74" s="524" t="str">
        <f>IF(AA74="","",IF(VLOOKUP(AA74,'G-3 Multipliers'!$L$3:$N$6,3,FALSE)=0,"Spatial Data Missing ⚠",VLOOKUP(AA74,'G-3 Multipliers'!$L$3:$N$6,3,FALSE)))</f>
        <v/>
      </c>
      <c r="AD74" s="539" t="str">
        <f t="shared" si="1"/>
        <v/>
      </c>
      <c r="AE74" s="82"/>
      <c r="AF74" s="82"/>
      <c r="AG74" s="507" t="str">
        <f t="shared" si="6"/>
        <v/>
      </c>
      <c r="AH74" s="521" t="str">
        <f t="shared" si="7"/>
        <v/>
      </c>
      <c r="AI74" s="522" t="str">
        <f>IF(AH74="Check Data","Check Data",IFERROR(VLOOKUP(AH74,'G-4 Temporal multipliers'!$A$4:$C$36,3,FALSE),""))</f>
        <v/>
      </c>
      <c r="AJ74" s="498" t="str">
        <f>IF(S74="","",VLOOKUP(S74,'G-3 Multipliers'!$A$2:$E$129,4,FALSE))</f>
        <v/>
      </c>
      <c r="AK74" s="507" t="str">
        <f t="shared" si="8"/>
        <v/>
      </c>
      <c r="AL74" s="507" t="str">
        <f t="shared" si="9"/>
        <v/>
      </c>
      <c r="AM74" s="540" t="str">
        <f>IFERROR(IF(F74="","",IF(AH74="Check Data ⚠","Check Data ⚠",VLOOKUP(AL74, 'G-3 Multipliers'!$P$2:$Q$6,2,FALSE))),"")</f>
        <v/>
      </c>
      <c r="AN74" s="513" t="str">
        <f t="shared" si="10"/>
        <v/>
      </c>
      <c r="AO74" s="239"/>
      <c r="AP74" s="240"/>
    </row>
    <row r="75" spans="1:42" x14ac:dyDescent="0.25">
      <c r="A75" s="47" t="str">
        <f>IF(E75="","",IF(ISNA(VLOOKUP($E75,'A-1 Site Habitat Baseline'!$D$1:$O$258,2,FALSE)),"",(VLOOKUP($E75,'A-1 Site Habitat Baseline'!$D$1:$O$258,2,FALSE))))</f>
        <v/>
      </c>
      <c r="B75" s="47" t="str">
        <f>IF(E75="","",IF(ISNA(VLOOKUP($E75,'A-1 Site Habitat Baseline'!$D$1:$O$258,3,FALSE)),"",(VLOOKUP($E75,'A-1 Site Habitat Baseline'!$D$1:$O$258,3,FALSE))))</f>
        <v/>
      </c>
      <c r="C75" s="47" t="str">
        <f>IFERROR(INDEX('G-8 Condition Look up'!$I$4:$I$130,MATCH(S75,'G-8 Condition Look up'!$A$4:$A$130,0)),"")</f>
        <v/>
      </c>
      <c r="E75" s="531" t="str">
        <f>'A-1 Site Habitat Baseline'!AL74</f>
        <v/>
      </c>
      <c r="F75" s="520" t="str">
        <f>IF(E75="","",IF(ISNA(VLOOKUP($E75,'A-1 Site Habitat Baseline'!$D$1:$O$258,4,FALSE)),"",(VLOOKUP($E75,'A-1 Site Habitat Baseline'!$D$1:$O$258,4,FALSE))))</f>
        <v/>
      </c>
      <c r="G75" s="520" t="str">
        <f>IF(E75="","",IF(ISNA(VLOOKUP($E75,'A-1 Site Habitat Baseline'!$D$1:$O$258,5,FALSE)),"",(VLOOKUP($E75,'A-1 Site Habitat Baseline'!$D$1:$O$258,5,FALSE))))</f>
        <v/>
      </c>
      <c r="H75" s="520" t="str">
        <f>IF(E75="","",IF(ISNA(VLOOKUP($E75,'A-1 Site Habitat Baseline'!$D$1:$O$258,6,FALSE)),"",(VLOOKUP($E75,'A-1 Site Habitat Baseline'!$D$1:$O$258,6,FALSE))))</f>
        <v/>
      </c>
      <c r="I75" s="520" t="str">
        <f>IF(E75="","",IF(ISNA(VLOOKUP($E75,'A-1 Site Habitat Baseline'!$D$1:$O$258,7,FALSE)),"",(VLOOKUP($E75,'A-1 Site Habitat Baseline'!$D$1:$O$258,7,FALSE))))</f>
        <v/>
      </c>
      <c r="J75" s="520" t="str">
        <f>IF(E75="","",IF(ISNA(VLOOKUP($E75,'A-1 Site Habitat Baseline'!$D$1:$O$258,8,FALSE)),"",(VLOOKUP($E75,'A-1 Site Habitat Baseline'!$D$1:$O$258,8,FALSE))))</f>
        <v/>
      </c>
      <c r="K75" s="520" t="str">
        <f>IF(E75="","",IF(ISNA(VLOOKUP($E75,'A-1 Site Habitat Baseline'!$D$1:$O$258,9,FALSE)),"",(VLOOKUP($E75,'A-1 Site Habitat Baseline'!$D$1:$O$258,9,FALSE))))</f>
        <v/>
      </c>
      <c r="L75" s="520" t="str">
        <f>IF(E75="","",IF(ISNA(VLOOKUP($E75,'A-1 Site Habitat Baseline'!$D$1:$O$258,11,FALSE)),"",(VLOOKUP($E75,'A-1 Site Habitat Baseline'!$D$1:$O$258,11,FALSE))))</f>
        <v/>
      </c>
      <c r="M75" s="520" t="str">
        <f>IF(E75="","",IF(ISNA(VLOOKUP($E75,'A-1 Site Habitat Baseline'!$D$1:$O$258,12,FALSE)),"",(VLOOKUP($E75,'A-1 Site Habitat Baseline'!$D$1:$O$258,12,FALSE))))</f>
        <v/>
      </c>
      <c r="N75" s="532" t="str">
        <f>IF(E75="","",IF(ISNA(VLOOKUP($E75,'A-1 Site Habitat Baseline'!$D$1:$X$258,14,FALSE)),"",(VLOOKUP($E75,'A-1 Site Habitat Baseline'!$D$1:$X$258,14,FALSE))))</f>
        <v/>
      </c>
      <c r="O75" s="524" t="str">
        <f>IF(E75="","",IF(ISNA(VLOOKUP($E75,'A-1 Site Habitat Baseline'!$D$1:$X$258,16,FALSE)),"",(VLOOKUP($E75,'A-1 Site Habitat Baseline'!$D$1:$X$258,13,FALSE))))</f>
        <v/>
      </c>
      <c r="P75" s="237" t="str">
        <f>IFERROR(INDEX('G-1 All Habitats'!$AG$3:$AG$15,MATCH(Q75,'G-1 All Habitats'!$AF$3:$AF$15,0)),"")</f>
        <v/>
      </c>
      <c r="Q75" s="238" t="str">
        <f t="shared" si="2"/>
        <v/>
      </c>
      <c r="R75" s="238" t="str">
        <f t="shared" si="11"/>
        <v/>
      </c>
      <c r="S75" s="392" t="str">
        <f>IFERROR(INDEX('G-1 All Habitats'!$B$3:$B$129,MATCH(R75,'G-1 All Habitats'!$A$3:$A$129,0)),"")</f>
        <v/>
      </c>
      <c r="T75" s="498" t="str">
        <f t="shared" si="3"/>
        <v/>
      </c>
      <c r="U75" s="499" t="str">
        <f t="shared" si="4"/>
        <v/>
      </c>
      <c r="V75" s="537" t="str">
        <f t="shared" si="5"/>
        <v/>
      </c>
      <c r="W75" s="520" t="str">
        <f>IF(S75="","",VLOOKUP(S75,'G-1 All Habitats'!$B$2:$M$129,10,FALSE))</f>
        <v/>
      </c>
      <c r="X75" s="520" t="str">
        <f>IFERROR(VLOOKUP(W75,'G-1 All Habitats'!$V$3:$W$7,2,FALSE),"")</f>
        <v/>
      </c>
      <c r="Y75" s="79"/>
      <c r="Z75" s="524" t="str">
        <f>IFERROR(INDEX('G-8 Condition Look up'!$A$3:$H$130,MATCH(S75,'G-8 Condition Look up'!$A$3:$A$130,0),MATCH(Y75,'G-8 Condition Look up'!$A$3:$H$3,0)),"")</f>
        <v/>
      </c>
      <c r="AA75" s="71"/>
      <c r="AB75" s="520" t="str">
        <f>IF(AA75="","",IF(VLOOKUP(AA75,'G-3 Multipliers'!$L$3:$N$6,2,FALSE)=0,"Spatial Data Missing ⚠",VLOOKUP(AA75,'G-3 Multipliers'!$L$3:$N$6,2,FALSE)))</f>
        <v/>
      </c>
      <c r="AC75" s="524" t="str">
        <f>IF(AA75="","",IF(VLOOKUP(AA75,'G-3 Multipliers'!$L$3:$N$6,3,FALSE)=0,"Spatial Data Missing ⚠",VLOOKUP(AA75,'G-3 Multipliers'!$L$3:$N$6,3,FALSE)))</f>
        <v/>
      </c>
      <c r="AD75" s="539" t="str">
        <f t="shared" si="1"/>
        <v/>
      </c>
      <c r="AE75" s="82"/>
      <c r="AF75" s="82"/>
      <c r="AG75" s="507" t="str">
        <f t="shared" si="6"/>
        <v/>
      </c>
      <c r="AH75" s="521" t="str">
        <f t="shared" si="7"/>
        <v/>
      </c>
      <c r="AI75" s="522" t="str">
        <f>IF(AH75="Check Data","Check Data",IFERROR(VLOOKUP(AH75,'G-4 Temporal multipliers'!$A$4:$C$36,3,FALSE),""))</f>
        <v/>
      </c>
      <c r="AJ75" s="498" t="str">
        <f>IF(S75="","",VLOOKUP(S75,'G-3 Multipliers'!$A$2:$E$129,4,FALSE))</f>
        <v/>
      </c>
      <c r="AK75" s="507" t="str">
        <f t="shared" si="8"/>
        <v/>
      </c>
      <c r="AL75" s="507" t="str">
        <f t="shared" si="9"/>
        <v/>
      </c>
      <c r="AM75" s="540" t="str">
        <f>IFERROR(IF(F75="","",IF(AH75="Check Data ⚠","Check Data ⚠",VLOOKUP(AL75, 'G-3 Multipliers'!$P$2:$Q$6,2,FALSE))),"")</f>
        <v/>
      </c>
      <c r="AN75" s="513" t="str">
        <f t="shared" si="10"/>
        <v/>
      </c>
      <c r="AO75" s="239"/>
      <c r="AP75" s="240"/>
    </row>
    <row r="76" spans="1:42" x14ac:dyDescent="0.25">
      <c r="A76" s="47" t="str">
        <f>IF(E76="","",IF(ISNA(VLOOKUP($E76,'A-1 Site Habitat Baseline'!$D$1:$O$258,2,FALSE)),"",(VLOOKUP($E76,'A-1 Site Habitat Baseline'!$D$1:$O$258,2,FALSE))))</f>
        <v/>
      </c>
      <c r="B76" s="47" t="str">
        <f>IF(E76="","",IF(ISNA(VLOOKUP($E76,'A-1 Site Habitat Baseline'!$D$1:$O$258,3,FALSE)),"",(VLOOKUP($E76,'A-1 Site Habitat Baseline'!$D$1:$O$258,3,FALSE))))</f>
        <v/>
      </c>
      <c r="C76" s="47" t="str">
        <f>IFERROR(INDEX('G-8 Condition Look up'!$I$4:$I$130,MATCH(S76,'G-8 Condition Look up'!$A$4:$A$130,0)),"")</f>
        <v/>
      </c>
      <c r="E76" s="531" t="str">
        <f>'A-1 Site Habitat Baseline'!AL75</f>
        <v/>
      </c>
      <c r="F76" s="520" t="str">
        <f>IF(E76="","",IF(ISNA(VLOOKUP($E76,'A-1 Site Habitat Baseline'!$D$1:$O$258,4,FALSE)),"",(VLOOKUP($E76,'A-1 Site Habitat Baseline'!$D$1:$O$258,4,FALSE))))</f>
        <v/>
      </c>
      <c r="G76" s="520" t="str">
        <f>IF(E76="","",IF(ISNA(VLOOKUP($E76,'A-1 Site Habitat Baseline'!$D$1:$O$258,5,FALSE)),"",(VLOOKUP($E76,'A-1 Site Habitat Baseline'!$D$1:$O$258,5,FALSE))))</f>
        <v/>
      </c>
      <c r="H76" s="520" t="str">
        <f>IF(E76="","",IF(ISNA(VLOOKUP($E76,'A-1 Site Habitat Baseline'!$D$1:$O$258,6,FALSE)),"",(VLOOKUP($E76,'A-1 Site Habitat Baseline'!$D$1:$O$258,6,FALSE))))</f>
        <v/>
      </c>
      <c r="I76" s="520" t="str">
        <f>IF(E76="","",IF(ISNA(VLOOKUP($E76,'A-1 Site Habitat Baseline'!$D$1:$O$258,7,FALSE)),"",(VLOOKUP($E76,'A-1 Site Habitat Baseline'!$D$1:$O$258,7,FALSE))))</f>
        <v/>
      </c>
      <c r="J76" s="520" t="str">
        <f>IF(E76="","",IF(ISNA(VLOOKUP($E76,'A-1 Site Habitat Baseline'!$D$1:$O$258,8,FALSE)),"",(VLOOKUP($E76,'A-1 Site Habitat Baseline'!$D$1:$O$258,8,FALSE))))</f>
        <v/>
      </c>
      <c r="K76" s="520" t="str">
        <f>IF(E76="","",IF(ISNA(VLOOKUP($E76,'A-1 Site Habitat Baseline'!$D$1:$O$258,9,FALSE)),"",(VLOOKUP($E76,'A-1 Site Habitat Baseline'!$D$1:$O$258,9,FALSE))))</f>
        <v/>
      </c>
      <c r="L76" s="520" t="str">
        <f>IF(E76="","",IF(ISNA(VLOOKUP($E76,'A-1 Site Habitat Baseline'!$D$1:$O$258,11,FALSE)),"",(VLOOKUP($E76,'A-1 Site Habitat Baseline'!$D$1:$O$258,11,FALSE))))</f>
        <v/>
      </c>
      <c r="M76" s="520" t="str">
        <f>IF(E76="","",IF(ISNA(VLOOKUP($E76,'A-1 Site Habitat Baseline'!$D$1:$O$258,12,FALSE)),"",(VLOOKUP($E76,'A-1 Site Habitat Baseline'!$D$1:$O$258,12,FALSE))))</f>
        <v/>
      </c>
      <c r="N76" s="532" t="str">
        <f>IF(E76="","",IF(ISNA(VLOOKUP($E76,'A-1 Site Habitat Baseline'!$D$1:$X$258,14,FALSE)),"",(VLOOKUP($E76,'A-1 Site Habitat Baseline'!$D$1:$X$258,14,FALSE))))</f>
        <v/>
      </c>
      <c r="O76" s="524" t="str">
        <f>IF(E76="","",IF(ISNA(VLOOKUP($E76,'A-1 Site Habitat Baseline'!$D$1:$X$258,16,FALSE)),"",(VLOOKUP($E76,'A-1 Site Habitat Baseline'!$D$1:$X$258,13,FALSE))))</f>
        <v/>
      </c>
      <c r="P76" s="237" t="str">
        <f>IFERROR(INDEX('G-1 All Habitats'!$AG$3:$AG$15,MATCH(Q76,'G-1 All Habitats'!$AF$3:$AF$15,0)),"")</f>
        <v/>
      </c>
      <c r="Q76" s="238" t="str">
        <f t="shared" si="2"/>
        <v/>
      </c>
      <c r="R76" s="238" t="str">
        <f t="shared" si="11"/>
        <v/>
      </c>
      <c r="S76" s="392" t="str">
        <f>IFERROR(INDEX('G-1 All Habitats'!$B$3:$B$129,MATCH(R76,'G-1 All Habitats'!$A$3:$A$129,0)),"")</f>
        <v/>
      </c>
      <c r="T76" s="498" t="str">
        <f t="shared" si="3"/>
        <v/>
      </c>
      <c r="U76" s="499" t="str">
        <f t="shared" si="4"/>
        <v/>
      </c>
      <c r="V76" s="537" t="str">
        <f t="shared" ref="V76:V139" si="12">IF(S76="","",VLOOKUP(E76,BaselineHabSite,17,FALSE))</f>
        <v/>
      </c>
      <c r="W76" s="520" t="str">
        <f>IF(S76="","",VLOOKUP(S76,'G-1 All Habitats'!$B$2:$M$129,10,FALSE))</f>
        <v/>
      </c>
      <c r="X76" s="520" t="str">
        <f>IFERROR(VLOOKUP(W76,'G-1 All Habitats'!$V$3:$W$7,2,FALSE),"")</f>
        <v/>
      </c>
      <c r="Y76" s="79"/>
      <c r="Z76" s="524" t="str">
        <f>IFERROR(INDEX('G-8 Condition Look up'!$A$3:$H$130,MATCH(S76,'G-8 Condition Look up'!$A$3:$A$130,0),MATCH(Y76,'G-8 Condition Look up'!$A$3:$H$3,0)),"")</f>
        <v/>
      </c>
      <c r="AA76" s="71"/>
      <c r="AB76" s="520" t="str">
        <f>IF(AA76="","",IF(VLOOKUP(AA76,'G-3 Multipliers'!$L$3:$N$6,2,FALSE)=0,"Spatial Data Missing ⚠",VLOOKUP(AA76,'G-3 Multipliers'!$L$3:$N$6,2,FALSE)))</f>
        <v/>
      </c>
      <c r="AC76" s="524" t="str">
        <f>IF(AA76="","",IF(VLOOKUP(AA76,'G-3 Multipliers'!$L$3:$N$6,3,FALSE)=0,"Spatial Data Missing ⚠",VLOOKUP(AA76,'G-3 Multipliers'!$L$3:$N$6,3,FALSE)))</f>
        <v/>
      </c>
      <c r="AD76" s="539" t="str">
        <f t="shared" ref="AD76:AD139" si="13">IFERROR(IF(OR(LEFT(U76,5)="Error ▲",LEFT(T76,5)="Error ▲"),"Check Data ⚠",INDEX(EnhanceTemporal,MATCH(S76,EnhanceHabitat,0),MATCH(U76,EnhanceCondition,0))),"")</f>
        <v/>
      </c>
      <c r="AE76" s="82"/>
      <c r="AF76" s="82"/>
      <c r="AG76" s="507" t="str">
        <f t="shared" si="6"/>
        <v/>
      </c>
      <c r="AH76" s="521" t="str">
        <f t="shared" si="7"/>
        <v/>
      </c>
      <c r="AI76" s="522" t="str">
        <f>IF(AH76="Check Data","Check Data",IFERROR(VLOOKUP(AH76,'G-4 Temporal multipliers'!$A$4:$C$36,3,FALSE),""))</f>
        <v/>
      </c>
      <c r="AJ76" s="498" t="str">
        <f>IF(S76="","",VLOOKUP(S76,'G-3 Multipliers'!$A$2:$E$129,4,FALSE))</f>
        <v/>
      </c>
      <c r="AK76" s="507" t="str">
        <f t="shared" si="8"/>
        <v/>
      </c>
      <c r="AL76" s="507" t="str">
        <f t="shared" si="9"/>
        <v/>
      </c>
      <c r="AM76" s="540" t="str">
        <f>IFERROR(IF(F76="","",IF(AH76="Check Data ⚠","Check Data ⚠",VLOOKUP(AL76, 'G-3 Multipliers'!$P$2:$Q$6,2,FALSE))),"")</f>
        <v/>
      </c>
      <c r="AN76" s="513" t="str">
        <f t="shared" ref="AN76:AN139" si="14">IFERROR(((((V76*X76*Z76)-(V76*I76*K76))*(AM76*AI76))+(V76*I76*K76))*(AC76),"")</f>
        <v/>
      </c>
      <c r="AO76" s="239"/>
      <c r="AP76" s="240"/>
    </row>
    <row r="77" spans="1:42" x14ac:dyDescent="0.25">
      <c r="A77" s="47" t="str">
        <f>IF(E77="","",IF(ISNA(VLOOKUP($E77,'A-1 Site Habitat Baseline'!$D$1:$O$258,2,FALSE)),"",(VLOOKUP($E77,'A-1 Site Habitat Baseline'!$D$1:$O$258,2,FALSE))))</f>
        <v/>
      </c>
      <c r="B77" s="47" t="str">
        <f>IF(E77="","",IF(ISNA(VLOOKUP($E77,'A-1 Site Habitat Baseline'!$D$1:$O$258,3,FALSE)),"",(VLOOKUP($E77,'A-1 Site Habitat Baseline'!$D$1:$O$258,3,FALSE))))</f>
        <v/>
      </c>
      <c r="C77" s="47" t="str">
        <f>IFERROR(INDEX('G-8 Condition Look up'!$I$4:$I$130,MATCH(S77,'G-8 Condition Look up'!$A$4:$A$130,0)),"")</f>
        <v/>
      </c>
      <c r="E77" s="531" t="str">
        <f>'A-1 Site Habitat Baseline'!AL76</f>
        <v/>
      </c>
      <c r="F77" s="520" t="str">
        <f>IF(E77="","",IF(ISNA(VLOOKUP($E77,'A-1 Site Habitat Baseline'!$D$1:$O$258,4,FALSE)),"",(VLOOKUP($E77,'A-1 Site Habitat Baseline'!$D$1:$O$258,4,FALSE))))</f>
        <v/>
      </c>
      <c r="G77" s="520" t="str">
        <f>IF(E77="","",IF(ISNA(VLOOKUP($E77,'A-1 Site Habitat Baseline'!$D$1:$O$258,5,FALSE)),"",(VLOOKUP($E77,'A-1 Site Habitat Baseline'!$D$1:$O$258,5,FALSE))))</f>
        <v/>
      </c>
      <c r="H77" s="520" t="str">
        <f>IF(E77="","",IF(ISNA(VLOOKUP($E77,'A-1 Site Habitat Baseline'!$D$1:$O$258,6,FALSE)),"",(VLOOKUP($E77,'A-1 Site Habitat Baseline'!$D$1:$O$258,6,FALSE))))</f>
        <v/>
      </c>
      <c r="I77" s="520" t="str">
        <f>IF(E77="","",IF(ISNA(VLOOKUP($E77,'A-1 Site Habitat Baseline'!$D$1:$O$258,7,FALSE)),"",(VLOOKUP($E77,'A-1 Site Habitat Baseline'!$D$1:$O$258,7,FALSE))))</f>
        <v/>
      </c>
      <c r="J77" s="520" t="str">
        <f>IF(E77="","",IF(ISNA(VLOOKUP($E77,'A-1 Site Habitat Baseline'!$D$1:$O$258,8,FALSE)),"",(VLOOKUP($E77,'A-1 Site Habitat Baseline'!$D$1:$O$258,8,FALSE))))</f>
        <v/>
      </c>
      <c r="K77" s="520" t="str">
        <f>IF(E77="","",IF(ISNA(VLOOKUP($E77,'A-1 Site Habitat Baseline'!$D$1:$O$258,9,FALSE)),"",(VLOOKUP($E77,'A-1 Site Habitat Baseline'!$D$1:$O$258,9,FALSE))))</f>
        <v/>
      </c>
      <c r="L77" s="520" t="str">
        <f>IF(E77="","",IF(ISNA(VLOOKUP($E77,'A-1 Site Habitat Baseline'!$D$1:$O$258,11,FALSE)),"",(VLOOKUP($E77,'A-1 Site Habitat Baseline'!$D$1:$O$258,11,FALSE))))</f>
        <v/>
      </c>
      <c r="M77" s="520" t="str">
        <f>IF(E77="","",IF(ISNA(VLOOKUP($E77,'A-1 Site Habitat Baseline'!$D$1:$O$258,12,FALSE)),"",(VLOOKUP($E77,'A-1 Site Habitat Baseline'!$D$1:$O$258,12,FALSE))))</f>
        <v/>
      </c>
      <c r="N77" s="532" t="str">
        <f>IF(E77="","",IF(ISNA(VLOOKUP($E77,'A-1 Site Habitat Baseline'!$D$1:$X$258,14,FALSE)),"",(VLOOKUP($E77,'A-1 Site Habitat Baseline'!$D$1:$X$258,14,FALSE))))</f>
        <v/>
      </c>
      <c r="O77" s="524" t="str">
        <f>IF(E77="","",IF(ISNA(VLOOKUP($E77,'A-1 Site Habitat Baseline'!$D$1:$X$258,16,FALSE)),"",(VLOOKUP($E77,'A-1 Site Habitat Baseline'!$D$1:$X$258,13,FALSE))))</f>
        <v/>
      </c>
      <c r="P77" s="237" t="str">
        <f>IFERROR(INDEX('G-1 All Habitats'!$AG$3:$AG$15,MATCH(Q77,'G-1 All Habitats'!$AF$3:$AF$15,0)),"")</f>
        <v/>
      </c>
      <c r="Q77" s="238" t="str">
        <f t="shared" ref="Q77:Q140" si="15">A77</f>
        <v/>
      </c>
      <c r="R77" s="238" t="str">
        <f t="shared" ref="R77:R140" si="16">IF(B77="","",B77)</f>
        <v/>
      </c>
      <c r="S77" s="392" t="str">
        <f>IFERROR(INDEX('G-1 All Habitats'!$B$3:$B$129,MATCH(R77,'G-1 All Habitats'!$A$3:$A$129,0)),"")</f>
        <v/>
      </c>
      <c r="T77" s="498" t="str">
        <f t="shared" ref="T77:T140" si="17">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499" t="str">
        <f t="shared" ref="U77:U140" si="18">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37" t="str">
        <f t="shared" si="12"/>
        <v/>
      </c>
      <c r="W77" s="520" t="str">
        <f>IF(S77="","",VLOOKUP(S77,'G-1 All Habitats'!$B$2:$M$129,10,FALSE))</f>
        <v/>
      </c>
      <c r="X77" s="520" t="str">
        <f>IFERROR(VLOOKUP(W77,'G-1 All Habitats'!$V$3:$W$7,2,FALSE),"")</f>
        <v/>
      </c>
      <c r="Y77" s="79"/>
      <c r="Z77" s="524" t="str">
        <f>IFERROR(INDEX('G-8 Condition Look up'!$A$3:$H$130,MATCH(S77,'G-8 Condition Look up'!$A$3:$A$130,0),MATCH(Y77,'G-8 Condition Look up'!$A$3:$H$3,0)),"")</f>
        <v/>
      </c>
      <c r="AA77" s="71"/>
      <c r="AB77" s="520" t="str">
        <f>IF(AA77="","",IF(VLOOKUP(AA77,'G-3 Multipliers'!$L$3:$N$6,2,FALSE)=0,"Spatial Data Missing ⚠",VLOOKUP(AA77,'G-3 Multipliers'!$L$3:$N$6,2,FALSE)))</f>
        <v/>
      </c>
      <c r="AC77" s="524" t="str">
        <f>IF(AA77="","",IF(VLOOKUP(AA77,'G-3 Multipliers'!$L$3:$N$6,3,FALSE)=0,"Spatial Data Missing ⚠",VLOOKUP(AA77,'G-3 Multipliers'!$L$3:$N$6,3,FALSE)))</f>
        <v/>
      </c>
      <c r="AD77" s="539" t="str">
        <f t="shared" si="13"/>
        <v/>
      </c>
      <c r="AE77" s="82"/>
      <c r="AF77" s="82"/>
      <c r="AG77" s="507" t="str">
        <f t="shared" ref="AG77:AG140" si="19">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21" t="str">
        <f t="shared" ref="AH77:AH140" si="20">IF(LEFT(AG77,5)="Error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522" t="str">
        <f>IF(AH77="Check Data","Check Data",IFERROR(VLOOKUP(AH77,'G-4 Temporal multipliers'!$A$4:$C$36,3,FALSE),""))</f>
        <v/>
      </c>
      <c r="AJ77" s="498" t="str">
        <f>IF(S77="","",VLOOKUP(S77,'G-3 Multipliers'!$A$2:$E$129,4,FALSE))</f>
        <v/>
      </c>
      <c r="AK77" s="507" t="str">
        <f t="shared" ref="AK77:AK140" si="21">IF(E77="","",IF(AG77="Check details - Is there evidence that habitat has reached target condition? ⚠","Low Difficulty - only applicable if all habitat created before losses ⚠","Standard difficulty applied"))</f>
        <v/>
      </c>
      <c r="AL77" s="507" t="str">
        <f t="shared" ref="AL77:AL140" si="22">(IF(AND(AK77="Standard difficulty applied",AD77&gt;AE77),AJ77,IF(AND(AK77="Low Difficulty - only applicable if all habitat created before losses ⚠",AE77&gt;=AD77),"Low", AJ77)))</f>
        <v/>
      </c>
      <c r="AM77" s="540" t="str">
        <f>IFERROR(IF(F77="","",IF(AH77="Check Data ⚠","Check Data ⚠",VLOOKUP(AL77, 'G-3 Multipliers'!$P$2:$Q$6,2,FALSE))),"")</f>
        <v/>
      </c>
      <c r="AN77" s="513" t="str">
        <f t="shared" si="14"/>
        <v/>
      </c>
      <c r="AO77" s="239"/>
      <c r="AP77" s="240"/>
    </row>
    <row r="78" spans="1:42" x14ac:dyDescent="0.25">
      <c r="A78" s="47" t="str">
        <f>IF(E78="","",IF(ISNA(VLOOKUP($E78,'A-1 Site Habitat Baseline'!$D$1:$O$258,2,FALSE)),"",(VLOOKUP($E78,'A-1 Site Habitat Baseline'!$D$1:$O$258,2,FALSE))))</f>
        <v/>
      </c>
      <c r="B78" s="47" t="str">
        <f>IF(E78="","",IF(ISNA(VLOOKUP($E78,'A-1 Site Habitat Baseline'!$D$1:$O$258,3,FALSE)),"",(VLOOKUP($E78,'A-1 Site Habitat Baseline'!$D$1:$O$258,3,FALSE))))</f>
        <v/>
      </c>
      <c r="C78" s="47" t="str">
        <f>IFERROR(INDEX('G-8 Condition Look up'!$I$4:$I$130,MATCH(S78,'G-8 Condition Look up'!$A$4:$A$130,0)),"")</f>
        <v/>
      </c>
      <c r="E78" s="531" t="str">
        <f>'A-1 Site Habitat Baseline'!AL77</f>
        <v/>
      </c>
      <c r="F78" s="520" t="str">
        <f>IF(E78="","",IF(ISNA(VLOOKUP($E78,'A-1 Site Habitat Baseline'!$D$1:$O$258,4,FALSE)),"",(VLOOKUP($E78,'A-1 Site Habitat Baseline'!$D$1:$O$258,4,FALSE))))</f>
        <v/>
      </c>
      <c r="G78" s="520" t="str">
        <f>IF(E78="","",IF(ISNA(VLOOKUP($E78,'A-1 Site Habitat Baseline'!$D$1:$O$258,5,FALSE)),"",(VLOOKUP($E78,'A-1 Site Habitat Baseline'!$D$1:$O$258,5,FALSE))))</f>
        <v/>
      </c>
      <c r="H78" s="520" t="str">
        <f>IF(E78="","",IF(ISNA(VLOOKUP($E78,'A-1 Site Habitat Baseline'!$D$1:$O$258,6,FALSE)),"",(VLOOKUP($E78,'A-1 Site Habitat Baseline'!$D$1:$O$258,6,FALSE))))</f>
        <v/>
      </c>
      <c r="I78" s="520" t="str">
        <f>IF(E78="","",IF(ISNA(VLOOKUP($E78,'A-1 Site Habitat Baseline'!$D$1:$O$258,7,FALSE)),"",(VLOOKUP($E78,'A-1 Site Habitat Baseline'!$D$1:$O$258,7,FALSE))))</f>
        <v/>
      </c>
      <c r="J78" s="520" t="str">
        <f>IF(E78="","",IF(ISNA(VLOOKUP($E78,'A-1 Site Habitat Baseline'!$D$1:$O$258,8,FALSE)),"",(VLOOKUP($E78,'A-1 Site Habitat Baseline'!$D$1:$O$258,8,FALSE))))</f>
        <v/>
      </c>
      <c r="K78" s="520" t="str">
        <f>IF(E78="","",IF(ISNA(VLOOKUP($E78,'A-1 Site Habitat Baseline'!$D$1:$O$258,9,FALSE)),"",(VLOOKUP($E78,'A-1 Site Habitat Baseline'!$D$1:$O$258,9,FALSE))))</f>
        <v/>
      </c>
      <c r="L78" s="520" t="str">
        <f>IF(E78="","",IF(ISNA(VLOOKUP($E78,'A-1 Site Habitat Baseline'!$D$1:$O$258,11,FALSE)),"",(VLOOKUP($E78,'A-1 Site Habitat Baseline'!$D$1:$O$258,11,FALSE))))</f>
        <v/>
      </c>
      <c r="M78" s="520" t="str">
        <f>IF(E78="","",IF(ISNA(VLOOKUP($E78,'A-1 Site Habitat Baseline'!$D$1:$O$258,12,FALSE)),"",(VLOOKUP($E78,'A-1 Site Habitat Baseline'!$D$1:$O$258,12,FALSE))))</f>
        <v/>
      </c>
      <c r="N78" s="532" t="str">
        <f>IF(E78="","",IF(ISNA(VLOOKUP($E78,'A-1 Site Habitat Baseline'!$D$1:$X$258,14,FALSE)),"",(VLOOKUP($E78,'A-1 Site Habitat Baseline'!$D$1:$X$258,14,FALSE))))</f>
        <v/>
      </c>
      <c r="O78" s="524" t="str">
        <f>IF(E78="","",IF(ISNA(VLOOKUP($E78,'A-1 Site Habitat Baseline'!$D$1:$X$258,16,FALSE)),"",(VLOOKUP($E78,'A-1 Site Habitat Baseline'!$D$1:$X$258,13,FALSE))))</f>
        <v/>
      </c>
      <c r="P78" s="237" t="str">
        <f>IFERROR(INDEX('G-1 All Habitats'!$AG$3:$AG$15,MATCH(Q78,'G-1 All Habitats'!$AF$3:$AF$15,0)),"")</f>
        <v/>
      </c>
      <c r="Q78" s="238" t="str">
        <f t="shared" si="15"/>
        <v/>
      </c>
      <c r="R78" s="238" t="str">
        <f t="shared" si="16"/>
        <v/>
      </c>
      <c r="S78" s="392" t="str">
        <f>IFERROR(INDEX('G-1 All Habitats'!$B$3:$B$129,MATCH(R78,'G-1 All Habitats'!$A$3:$A$129,0)),"")</f>
        <v/>
      </c>
      <c r="T78" s="498" t="str">
        <f t="shared" si="17"/>
        <v/>
      </c>
      <c r="U78" s="499" t="str">
        <f t="shared" si="18"/>
        <v/>
      </c>
      <c r="V78" s="537" t="str">
        <f t="shared" si="12"/>
        <v/>
      </c>
      <c r="W78" s="520" t="str">
        <f>IF(S78="","",VLOOKUP(S78,'G-1 All Habitats'!$B$2:$M$129,10,FALSE))</f>
        <v/>
      </c>
      <c r="X78" s="520" t="str">
        <f>IFERROR(VLOOKUP(W78,'G-1 All Habitats'!$V$3:$W$7,2,FALSE),"")</f>
        <v/>
      </c>
      <c r="Y78" s="79"/>
      <c r="Z78" s="524" t="str">
        <f>IFERROR(INDEX('G-8 Condition Look up'!$A$3:$H$130,MATCH(S78,'G-8 Condition Look up'!$A$3:$A$130,0),MATCH(Y78,'G-8 Condition Look up'!$A$3:$H$3,0)),"")</f>
        <v/>
      </c>
      <c r="AA78" s="71"/>
      <c r="AB78" s="520" t="str">
        <f>IF(AA78="","",IF(VLOOKUP(AA78,'G-3 Multipliers'!$L$3:$N$6,2,FALSE)=0,"Spatial Data Missing ⚠",VLOOKUP(AA78,'G-3 Multipliers'!$L$3:$N$6,2,FALSE)))</f>
        <v/>
      </c>
      <c r="AC78" s="524" t="str">
        <f>IF(AA78="","",IF(VLOOKUP(AA78,'G-3 Multipliers'!$L$3:$N$6,3,FALSE)=0,"Spatial Data Missing ⚠",VLOOKUP(AA78,'G-3 Multipliers'!$L$3:$N$6,3,FALSE)))</f>
        <v/>
      </c>
      <c r="AD78" s="539" t="str">
        <f t="shared" si="13"/>
        <v/>
      </c>
      <c r="AE78" s="82"/>
      <c r="AF78" s="82"/>
      <c r="AG78" s="507" t="str">
        <f t="shared" si="19"/>
        <v/>
      </c>
      <c r="AH78" s="521" t="str">
        <f t="shared" si="20"/>
        <v/>
      </c>
      <c r="AI78" s="522" t="str">
        <f>IF(AH78="Check Data","Check Data",IFERROR(VLOOKUP(AH78,'G-4 Temporal multipliers'!$A$4:$C$36,3,FALSE),""))</f>
        <v/>
      </c>
      <c r="AJ78" s="498" t="str">
        <f>IF(S78="","",VLOOKUP(S78,'G-3 Multipliers'!$A$2:$E$129,4,FALSE))</f>
        <v/>
      </c>
      <c r="AK78" s="507" t="str">
        <f t="shared" si="21"/>
        <v/>
      </c>
      <c r="AL78" s="507" t="str">
        <f t="shared" si="22"/>
        <v/>
      </c>
      <c r="AM78" s="540" t="str">
        <f>IFERROR(IF(F78="","",IF(AH78="Check Data ⚠","Check Data ⚠",VLOOKUP(AL78, 'G-3 Multipliers'!$P$2:$Q$6,2,FALSE))),"")</f>
        <v/>
      </c>
      <c r="AN78" s="513" t="str">
        <f t="shared" si="14"/>
        <v/>
      </c>
      <c r="AO78" s="239"/>
      <c r="AP78" s="240"/>
    </row>
    <row r="79" spans="1:42" x14ac:dyDescent="0.25">
      <c r="A79" s="47" t="str">
        <f>IF(E79="","",IF(ISNA(VLOOKUP($E79,'A-1 Site Habitat Baseline'!$D$1:$O$258,2,FALSE)),"",(VLOOKUP($E79,'A-1 Site Habitat Baseline'!$D$1:$O$258,2,FALSE))))</f>
        <v/>
      </c>
      <c r="B79" s="47" t="str">
        <f>IF(E79="","",IF(ISNA(VLOOKUP($E79,'A-1 Site Habitat Baseline'!$D$1:$O$258,3,FALSE)),"",(VLOOKUP($E79,'A-1 Site Habitat Baseline'!$D$1:$O$258,3,FALSE))))</f>
        <v/>
      </c>
      <c r="C79" s="47" t="str">
        <f>IFERROR(INDEX('G-8 Condition Look up'!$I$4:$I$130,MATCH(S79,'G-8 Condition Look up'!$A$4:$A$130,0)),"")</f>
        <v/>
      </c>
      <c r="E79" s="531" t="str">
        <f>'A-1 Site Habitat Baseline'!AL78</f>
        <v/>
      </c>
      <c r="F79" s="520" t="str">
        <f>IF(E79="","",IF(ISNA(VLOOKUP($E79,'A-1 Site Habitat Baseline'!$D$1:$O$258,4,FALSE)),"",(VLOOKUP($E79,'A-1 Site Habitat Baseline'!$D$1:$O$258,4,FALSE))))</f>
        <v/>
      </c>
      <c r="G79" s="520" t="str">
        <f>IF(E79="","",IF(ISNA(VLOOKUP($E79,'A-1 Site Habitat Baseline'!$D$1:$O$258,5,FALSE)),"",(VLOOKUP($E79,'A-1 Site Habitat Baseline'!$D$1:$O$258,5,FALSE))))</f>
        <v/>
      </c>
      <c r="H79" s="520" t="str">
        <f>IF(E79="","",IF(ISNA(VLOOKUP($E79,'A-1 Site Habitat Baseline'!$D$1:$O$258,6,FALSE)),"",(VLOOKUP($E79,'A-1 Site Habitat Baseline'!$D$1:$O$258,6,FALSE))))</f>
        <v/>
      </c>
      <c r="I79" s="520" t="str">
        <f>IF(E79="","",IF(ISNA(VLOOKUP($E79,'A-1 Site Habitat Baseline'!$D$1:$O$258,7,FALSE)),"",(VLOOKUP($E79,'A-1 Site Habitat Baseline'!$D$1:$O$258,7,FALSE))))</f>
        <v/>
      </c>
      <c r="J79" s="520" t="str">
        <f>IF(E79="","",IF(ISNA(VLOOKUP($E79,'A-1 Site Habitat Baseline'!$D$1:$O$258,8,FALSE)),"",(VLOOKUP($E79,'A-1 Site Habitat Baseline'!$D$1:$O$258,8,FALSE))))</f>
        <v/>
      </c>
      <c r="K79" s="520" t="str">
        <f>IF(E79="","",IF(ISNA(VLOOKUP($E79,'A-1 Site Habitat Baseline'!$D$1:$O$258,9,FALSE)),"",(VLOOKUP($E79,'A-1 Site Habitat Baseline'!$D$1:$O$258,9,FALSE))))</f>
        <v/>
      </c>
      <c r="L79" s="520" t="str">
        <f>IF(E79="","",IF(ISNA(VLOOKUP($E79,'A-1 Site Habitat Baseline'!$D$1:$O$258,11,FALSE)),"",(VLOOKUP($E79,'A-1 Site Habitat Baseline'!$D$1:$O$258,11,FALSE))))</f>
        <v/>
      </c>
      <c r="M79" s="520" t="str">
        <f>IF(E79="","",IF(ISNA(VLOOKUP($E79,'A-1 Site Habitat Baseline'!$D$1:$O$258,12,FALSE)),"",(VLOOKUP($E79,'A-1 Site Habitat Baseline'!$D$1:$O$258,12,FALSE))))</f>
        <v/>
      </c>
      <c r="N79" s="532" t="str">
        <f>IF(E79="","",IF(ISNA(VLOOKUP($E79,'A-1 Site Habitat Baseline'!$D$1:$X$258,14,FALSE)),"",(VLOOKUP($E79,'A-1 Site Habitat Baseline'!$D$1:$X$258,14,FALSE))))</f>
        <v/>
      </c>
      <c r="O79" s="524" t="str">
        <f>IF(E79="","",IF(ISNA(VLOOKUP($E79,'A-1 Site Habitat Baseline'!$D$1:$X$258,16,FALSE)),"",(VLOOKUP($E79,'A-1 Site Habitat Baseline'!$D$1:$X$258,13,FALSE))))</f>
        <v/>
      </c>
      <c r="P79" s="237" t="str">
        <f>IFERROR(INDEX('G-1 All Habitats'!$AG$3:$AG$15,MATCH(Q79,'G-1 All Habitats'!$AF$3:$AF$15,0)),"")</f>
        <v/>
      </c>
      <c r="Q79" s="238" t="str">
        <f t="shared" si="15"/>
        <v/>
      </c>
      <c r="R79" s="238" t="str">
        <f t="shared" si="16"/>
        <v/>
      </c>
      <c r="S79" s="392" t="str">
        <f>IFERROR(INDEX('G-1 All Habitats'!$B$3:$B$129,MATCH(R79,'G-1 All Habitats'!$A$3:$A$129,0)),"")</f>
        <v/>
      </c>
      <c r="T79" s="498" t="str">
        <f t="shared" si="17"/>
        <v/>
      </c>
      <c r="U79" s="499" t="str">
        <f t="shared" si="18"/>
        <v/>
      </c>
      <c r="V79" s="537" t="str">
        <f t="shared" si="12"/>
        <v/>
      </c>
      <c r="W79" s="520" t="str">
        <f>IF(S79="","",VLOOKUP(S79,'G-1 All Habitats'!$B$2:$M$129,10,FALSE))</f>
        <v/>
      </c>
      <c r="X79" s="520" t="str">
        <f>IFERROR(VLOOKUP(W79,'G-1 All Habitats'!$V$3:$W$7,2,FALSE),"")</f>
        <v/>
      </c>
      <c r="Y79" s="79"/>
      <c r="Z79" s="524" t="str">
        <f>IFERROR(INDEX('G-8 Condition Look up'!$A$3:$H$130,MATCH(S79,'G-8 Condition Look up'!$A$3:$A$130,0),MATCH(Y79,'G-8 Condition Look up'!$A$3:$H$3,0)),"")</f>
        <v/>
      </c>
      <c r="AA79" s="71"/>
      <c r="AB79" s="520" t="str">
        <f>IF(AA79="","",IF(VLOOKUP(AA79,'G-3 Multipliers'!$L$3:$N$6,2,FALSE)=0,"Spatial Data Missing ⚠",VLOOKUP(AA79,'G-3 Multipliers'!$L$3:$N$6,2,FALSE)))</f>
        <v/>
      </c>
      <c r="AC79" s="524" t="str">
        <f>IF(AA79="","",IF(VLOOKUP(AA79,'G-3 Multipliers'!$L$3:$N$6,3,FALSE)=0,"Spatial Data Missing ⚠",VLOOKUP(AA79,'G-3 Multipliers'!$L$3:$N$6,3,FALSE)))</f>
        <v/>
      </c>
      <c r="AD79" s="539" t="str">
        <f t="shared" si="13"/>
        <v/>
      </c>
      <c r="AE79" s="82"/>
      <c r="AF79" s="82"/>
      <c r="AG79" s="507" t="str">
        <f t="shared" si="19"/>
        <v/>
      </c>
      <c r="AH79" s="521" t="str">
        <f t="shared" si="20"/>
        <v/>
      </c>
      <c r="AI79" s="522" t="str">
        <f>IF(AH79="Check Data","Check Data",IFERROR(VLOOKUP(AH79,'G-4 Temporal multipliers'!$A$4:$C$36,3,FALSE),""))</f>
        <v/>
      </c>
      <c r="AJ79" s="498" t="str">
        <f>IF(S79="","",VLOOKUP(S79,'G-3 Multipliers'!$A$2:$E$129,4,FALSE))</f>
        <v/>
      </c>
      <c r="AK79" s="507" t="str">
        <f t="shared" si="21"/>
        <v/>
      </c>
      <c r="AL79" s="507" t="str">
        <f t="shared" si="22"/>
        <v/>
      </c>
      <c r="AM79" s="540" t="str">
        <f>IFERROR(IF(F79="","",IF(AH79="Check Data ⚠","Check Data ⚠",VLOOKUP(AL79, 'G-3 Multipliers'!$P$2:$Q$6,2,FALSE))),"")</f>
        <v/>
      </c>
      <c r="AN79" s="513" t="str">
        <f t="shared" si="14"/>
        <v/>
      </c>
      <c r="AO79" s="239"/>
      <c r="AP79" s="240"/>
    </row>
    <row r="80" spans="1:42" x14ac:dyDescent="0.25">
      <c r="A80" s="47" t="str">
        <f>IF(E80="","",IF(ISNA(VLOOKUP($E80,'A-1 Site Habitat Baseline'!$D$1:$O$258,2,FALSE)),"",(VLOOKUP($E80,'A-1 Site Habitat Baseline'!$D$1:$O$258,2,FALSE))))</f>
        <v/>
      </c>
      <c r="B80" s="47" t="str">
        <f>IF(E80="","",IF(ISNA(VLOOKUP($E80,'A-1 Site Habitat Baseline'!$D$1:$O$258,3,FALSE)),"",(VLOOKUP($E80,'A-1 Site Habitat Baseline'!$D$1:$O$258,3,FALSE))))</f>
        <v/>
      </c>
      <c r="C80" s="47" t="str">
        <f>IFERROR(INDEX('G-8 Condition Look up'!$I$4:$I$130,MATCH(S80,'G-8 Condition Look up'!$A$4:$A$130,0)),"")</f>
        <v/>
      </c>
      <c r="E80" s="531" t="str">
        <f>'A-1 Site Habitat Baseline'!AL79</f>
        <v/>
      </c>
      <c r="F80" s="520" t="str">
        <f>IF(E80="","",IF(ISNA(VLOOKUP($E80,'A-1 Site Habitat Baseline'!$D$1:$O$258,4,FALSE)),"",(VLOOKUP($E80,'A-1 Site Habitat Baseline'!$D$1:$O$258,4,FALSE))))</f>
        <v/>
      </c>
      <c r="G80" s="520" t="str">
        <f>IF(E80="","",IF(ISNA(VLOOKUP($E80,'A-1 Site Habitat Baseline'!$D$1:$O$258,5,FALSE)),"",(VLOOKUP($E80,'A-1 Site Habitat Baseline'!$D$1:$O$258,5,FALSE))))</f>
        <v/>
      </c>
      <c r="H80" s="520" t="str">
        <f>IF(E80="","",IF(ISNA(VLOOKUP($E80,'A-1 Site Habitat Baseline'!$D$1:$O$258,6,FALSE)),"",(VLOOKUP($E80,'A-1 Site Habitat Baseline'!$D$1:$O$258,6,FALSE))))</f>
        <v/>
      </c>
      <c r="I80" s="520" t="str">
        <f>IF(E80="","",IF(ISNA(VLOOKUP($E80,'A-1 Site Habitat Baseline'!$D$1:$O$258,7,FALSE)),"",(VLOOKUP($E80,'A-1 Site Habitat Baseline'!$D$1:$O$258,7,FALSE))))</f>
        <v/>
      </c>
      <c r="J80" s="520" t="str">
        <f>IF(E80="","",IF(ISNA(VLOOKUP($E80,'A-1 Site Habitat Baseline'!$D$1:$O$258,8,FALSE)),"",(VLOOKUP($E80,'A-1 Site Habitat Baseline'!$D$1:$O$258,8,FALSE))))</f>
        <v/>
      </c>
      <c r="K80" s="520" t="str">
        <f>IF(E80="","",IF(ISNA(VLOOKUP($E80,'A-1 Site Habitat Baseline'!$D$1:$O$258,9,FALSE)),"",(VLOOKUP($E80,'A-1 Site Habitat Baseline'!$D$1:$O$258,9,FALSE))))</f>
        <v/>
      </c>
      <c r="L80" s="520" t="str">
        <f>IF(E80="","",IF(ISNA(VLOOKUP($E80,'A-1 Site Habitat Baseline'!$D$1:$O$258,11,FALSE)),"",(VLOOKUP($E80,'A-1 Site Habitat Baseline'!$D$1:$O$258,11,FALSE))))</f>
        <v/>
      </c>
      <c r="M80" s="520" t="str">
        <f>IF(E80="","",IF(ISNA(VLOOKUP($E80,'A-1 Site Habitat Baseline'!$D$1:$O$258,12,FALSE)),"",(VLOOKUP($E80,'A-1 Site Habitat Baseline'!$D$1:$O$258,12,FALSE))))</f>
        <v/>
      </c>
      <c r="N80" s="532" t="str">
        <f>IF(E80="","",IF(ISNA(VLOOKUP($E80,'A-1 Site Habitat Baseline'!$D$1:$X$258,14,FALSE)),"",(VLOOKUP($E80,'A-1 Site Habitat Baseline'!$D$1:$X$258,14,FALSE))))</f>
        <v/>
      </c>
      <c r="O80" s="524" t="str">
        <f>IF(E80="","",IF(ISNA(VLOOKUP($E80,'A-1 Site Habitat Baseline'!$D$1:$X$258,16,FALSE)),"",(VLOOKUP($E80,'A-1 Site Habitat Baseline'!$D$1:$X$258,13,FALSE))))</f>
        <v/>
      </c>
      <c r="P80" s="237" t="str">
        <f>IFERROR(INDEX('G-1 All Habitats'!$AG$3:$AG$15,MATCH(Q80,'G-1 All Habitats'!$AF$3:$AF$15,0)),"")</f>
        <v/>
      </c>
      <c r="Q80" s="238" t="str">
        <f t="shared" si="15"/>
        <v/>
      </c>
      <c r="R80" s="238" t="str">
        <f t="shared" si="16"/>
        <v/>
      </c>
      <c r="S80" s="392" t="str">
        <f>IFERROR(INDEX('G-1 All Habitats'!$B$3:$B$129,MATCH(R80,'G-1 All Habitats'!$A$3:$A$129,0)),"")</f>
        <v/>
      </c>
      <c r="T80" s="498" t="str">
        <f t="shared" si="17"/>
        <v/>
      </c>
      <c r="U80" s="499" t="str">
        <f t="shared" si="18"/>
        <v/>
      </c>
      <c r="V80" s="537" t="str">
        <f t="shared" si="12"/>
        <v/>
      </c>
      <c r="W80" s="520" t="str">
        <f>IF(S80="","",VLOOKUP(S80,'G-1 All Habitats'!$B$2:$M$129,10,FALSE))</f>
        <v/>
      </c>
      <c r="X80" s="520" t="str">
        <f>IFERROR(VLOOKUP(W80,'G-1 All Habitats'!$V$3:$W$7,2,FALSE),"")</f>
        <v/>
      </c>
      <c r="Y80" s="79"/>
      <c r="Z80" s="524" t="str">
        <f>IFERROR(INDEX('G-8 Condition Look up'!$A$3:$H$130,MATCH(S80,'G-8 Condition Look up'!$A$3:$A$130,0),MATCH(Y80,'G-8 Condition Look up'!$A$3:$H$3,0)),"")</f>
        <v/>
      </c>
      <c r="AA80" s="71"/>
      <c r="AB80" s="520" t="str">
        <f>IF(AA80="","",IF(VLOOKUP(AA80,'G-3 Multipliers'!$L$3:$N$6,2,FALSE)=0,"Spatial Data Missing ⚠",VLOOKUP(AA80,'G-3 Multipliers'!$L$3:$N$6,2,FALSE)))</f>
        <v/>
      </c>
      <c r="AC80" s="524" t="str">
        <f>IF(AA80="","",IF(VLOOKUP(AA80,'G-3 Multipliers'!$L$3:$N$6,3,FALSE)=0,"Spatial Data Missing ⚠",VLOOKUP(AA80,'G-3 Multipliers'!$L$3:$N$6,3,FALSE)))</f>
        <v/>
      </c>
      <c r="AD80" s="539" t="str">
        <f t="shared" si="13"/>
        <v/>
      </c>
      <c r="AE80" s="82"/>
      <c r="AF80" s="82"/>
      <c r="AG80" s="507" t="str">
        <f t="shared" si="19"/>
        <v/>
      </c>
      <c r="AH80" s="521" t="str">
        <f t="shared" si="20"/>
        <v/>
      </c>
      <c r="AI80" s="522" t="str">
        <f>IF(AH80="Check Data","Check Data",IFERROR(VLOOKUP(AH80,'G-4 Temporal multipliers'!$A$4:$C$36,3,FALSE),""))</f>
        <v/>
      </c>
      <c r="AJ80" s="498" t="str">
        <f>IF(S80="","",VLOOKUP(S80,'G-3 Multipliers'!$A$2:$E$129,4,FALSE))</f>
        <v/>
      </c>
      <c r="AK80" s="507" t="str">
        <f t="shared" si="21"/>
        <v/>
      </c>
      <c r="AL80" s="507" t="str">
        <f t="shared" si="22"/>
        <v/>
      </c>
      <c r="AM80" s="540" t="str">
        <f>IFERROR(IF(F80="","",IF(AH80="Check Data ⚠","Check Data ⚠",VLOOKUP(AL80, 'G-3 Multipliers'!$P$2:$Q$6,2,FALSE))),"")</f>
        <v/>
      </c>
      <c r="AN80" s="513" t="str">
        <f t="shared" si="14"/>
        <v/>
      </c>
      <c r="AO80" s="239"/>
      <c r="AP80" s="240"/>
    </row>
    <row r="81" spans="1:42" x14ac:dyDescent="0.25">
      <c r="A81" s="47" t="str">
        <f>IF(E81="","",IF(ISNA(VLOOKUP($E81,'A-1 Site Habitat Baseline'!$D$1:$O$258,2,FALSE)),"",(VLOOKUP($E81,'A-1 Site Habitat Baseline'!$D$1:$O$258,2,FALSE))))</f>
        <v/>
      </c>
      <c r="B81" s="47" t="str">
        <f>IF(E81="","",IF(ISNA(VLOOKUP($E81,'A-1 Site Habitat Baseline'!$D$1:$O$258,3,FALSE)),"",(VLOOKUP($E81,'A-1 Site Habitat Baseline'!$D$1:$O$258,3,FALSE))))</f>
        <v/>
      </c>
      <c r="C81" s="47" t="str">
        <f>IFERROR(INDEX('G-8 Condition Look up'!$I$4:$I$130,MATCH(S81,'G-8 Condition Look up'!$A$4:$A$130,0)),"")</f>
        <v/>
      </c>
      <c r="E81" s="531" t="str">
        <f>'A-1 Site Habitat Baseline'!AL80</f>
        <v/>
      </c>
      <c r="F81" s="520" t="str">
        <f>IF(E81="","",IF(ISNA(VLOOKUP($E81,'A-1 Site Habitat Baseline'!$D$1:$O$258,4,FALSE)),"",(VLOOKUP($E81,'A-1 Site Habitat Baseline'!$D$1:$O$258,4,FALSE))))</f>
        <v/>
      </c>
      <c r="G81" s="520" t="str">
        <f>IF(E81="","",IF(ISNA(VLOOKUP($E81,'A-1 Site Habitat Baseline'!$D$1:$O$258,5,FALSE)),"",(VLOOKUP($E81,'A-1 Site Habitat Baseline'!$D$1:$O$258,5,FALSE))))</f>
        <v/>
      </c>
      <c r="H81" s="520" t="str">
        <f>IF(E81="","",IF(ISNA(VLOOKUP($E81,'A-1 Site Habitat Baseline'!$D$1:$O$258,6,FALSE)),"",(VLOOKUP($E81,'A-1 Site Habitat Baseline'!$D$1:$O$258,6,FALSE))))</f>
        <v/>
      </c>
      <c r="I81" s="520" t="str">
        <f>IF(E81="","",IF(ISNA(VLOOKUP($E81,'A-1 Site Habitat Baseline'!$D$1:$O$258,7,FALSE)),"",(VLOOKUP($E81,'A-1 Site Habitat Baseline'!$D$1:$O$258,7,FALSE))))</f>
        <v/>
      </c>
      <c r="J81" s="520" t="str">
        <f>IF(E81="","",IF(ISNA(VLOOKUP($E81,'A-1 Site Habitat Baseline'!$D$1:$O$258,8,FALSE)),"",(VLOOKUP($E81,'A-1 Site Habitat Baseline'!$D$1:$O$258,8,FALSE))))</f>
        <v/>
      </c>
      <c r="K81" s="520" t="str">
        <f>IF(E81="","",IF(ISNA(VLOOKUP($E81,'A-1 Site Habitat Baseline'!$D$1:$O$258,9,FALSE)),"",(VLOOKUP($E81,'A-1 Site Habitat Baseline'!$D$1:$O$258,9,FALSE))))</f>
        <v/>
      </c>
      <c r="L81" s="520" t="str">
        <f>IF(E81="","",IF(ISNA(VLOOKUP($E81,'A-1 Site Habitat Baseline'!$D$1:$O$258,11,FALSE)),"",(VLOOKUP($E81,'A-1 Site Habitat Baseline'!$D$1:$O$258,11,FALSE))))</f>
        <v/>
      </c>
      <c r="M81" s="520" t="str">
        <f>IF(E81="","",IF(ISNA(VLOOKUP($E81,'A-1 Site Habitat Baseline'!$D$1:$O$258,12,FALSE)),"",(VLOOKUP($E81,'A-1 Site Habitat Baseline'!$D$1:$O$258,12,FALSE))))</f>
        <v/>
      </c>
      <c r="N81" s="532" t="str">
        <f>IF(E81="","",IF(ISNA(VLOOKUP($E81,'A-1 Site Habitat Baseline'!$D$1:$X$258,14,FALSE)),"",(VLOOKUP($E81,'A-1 Site Habitat Baseline'!$D$1:$X$258,14,FALSE))))</f>
        <v/>
      </c>
      <c r="O81" s="524" t="str">
        <f>IF(E81="","",IF(ISNA(VLOOKUP($E81,'A-1 Site Habitat Baseline'!$D$1:$X$258,16,FALSE)),"",(VLOOKUP($E81,'A-1 Site Habitat Baseline'!$D$1:$X$258,13,FALSE))))</f>
        <v/>
      </c>
      <c r="P81" s="237" t="str">
        <f>IFERROR(INDEX('G-1 All Habitats'!$AG$3:$AG$15,MATCH(Q81,'G-1 All Habitats'!$AF$3:$AF$15,0)),"")</f>
        <v/>
      </c>
      <c r="Q81" s="238" t="str">
        <f t="shared" si="15"/>
        <v/>
      </c>
      <c r="R81" s="238" t="str">
        <f t="shared" si="16"/>
        <v/>
      </c>
      <c r="S81" s="392" t="str">
        <f>IFERROR(INDEX('G-1 All Habitats'!$B$3:$B$129,MATCH(R81,'G-1 All Habitats'!$A$3:$A$129,0)),"")</f>
        <v/>
      </c>
      <c r="T81" s="498" t="str">
        <f t="shared" si="17"/>
        <v/>
      </c>
      <c r="U81" s="499" t="str">
        <f t="shared" si="18"/>
        <v/>
      </c>
      <c r="V81" s="537" t="str">
        <f t="shared" si="12"/>
        <v/>
      </c>
      <c r="W81" s="520" t="str">
        <f>IF(S81="","",VLOOKUP(S81,'G-1 All Habitats'!$B$2:$M$129,10,FALSE))</f>
        <v/>
      </c>
      <c r="X81" s="520" t="str">
        <f>IFERROR(VLOOKUP(W81,'G-1 All Habitats'!$V$3:$W$7,2,FALSE),"")</f>
        <v/>
      </c>
      <c r="Y81" s="79"/>
      <c r="Z81" s="524" t="str">
        <f>IFERROR(INDEX('G-8 Condition Look up'!$A$3:$H$130,MATCH(S81,'G-8 Condition Look up'!$A$3:$A$130,0),MATCH(Y81,'G-8 Condition Look up'!$A$3:$H$3,0)),"")</f>
        <v/>
      </c>
      <c r="AA81" s="71"/>
      <c r="AB81" s="520" t="str">
        <f>IF(AA81="","",IF(VLOOKUP(AA81,'G-3 Multipliers'!$L$3:$N$6,2,FALSE)=0,"Spatial Data Missing ⚠",VLOOKUP(AA81,'G-3 Multipliers'!$L$3:$N$6,2,FALSE)))</f>
        <v/>
      </c>
      <c r="AC81" s="524" t="str">
        <f>IF(AA81="","",IF(VLOOKUP(AA81,'G-3 Multipliers'!$L$3:$N$6,3,FALSE)=0,"Spatial Data Missing ⚠",VLOOKUP(AA81,'G-3 Multipliers'!$L$3:$N$6,3,FALSE)))</f>
        <v/>
      </c>
      <c r="AD81" s="539" t="str">
        <f t="shared" si="13"/>
        <v/>
      </c>
      <c r="AE81" s="82"/>
      <c r="AF81" s="82"/>
      <c r="AG81" s="507" t="str">
        <f t="shared" si="19"/>
        <v/>
      </c>
      <c r="AH81" s="521" t="str">
        <f t="shared" si="20"/>
        <v/>
      </c>
      <c r="AI81" s="522" t="str">
        <f>IF(AH81="Check Data","Check Data",IFERROR(VLOOKUP(AH81,'G-4 Temporal multipliers'!$A$4:$C$36,3,FALSE),""))</f>
        <v/>
      </c>
      <c r="AJ81" s="498" t="str">
        <f>IF(S81="","",VLOOKUP(S81,'G-3 Multipliers'!$A$2:$E$129,4,FALSE))</f>
        <v/>
      </c>
      <c r="AK81" s="507" t="str">
        <f t="shared" si="21"/>
        <v/>
      </c>
      <c r="AL81" s="507" t="str">
        <f t="shared" si="22"/>
        <v/>
      </c>
      <c r="AM81" s="540" t="str">
        <f>IFERROR(IF(F81="","",IF(AH81="Check Data ⚠","Check Data ⚠",VLOOKUP(AL81, 'G-3 Multipliers'!$P$2:$Q$6,2,FALSE))),"")</f>
        <v/>
      </c>
      <c r="AN81" s="513" t="str">
        <f t="shared" si="14"/>
        <v/>
      </c>
      <c r="AO81" s="239"/>
      <c r="AP81" s="240"/>
    </row>
    <row r="82" spans="1:42" x14ac:dyDescent="0.25">
      <c r="A82" s="47" t="str">
        <f>IF(E82="","",IF(ISNA(VLOOKUP($E82,'A-1 Site Habitat Baseline'!$D$1:$O$258,2,FALSE)),"",(VLOOKUP($E82,'A-1 Site Habitat Baseline'!$D$1:$O$258,2,FALSE))))</f>
        <v/>
      </c>
      <c r="B82" s="47" t="str">
        <f>IF(E82="","",IF(ISNA(VLOOKUP($E82,'A-1 Site Habitat Baseline'!$D$1:$O$258,3,FALSE)),"",(VLOOKUP($E82,'A-1 Site Habitat Baseline'!$D$1:$O$258,3,FALSE))))</f>
        <v/>
      </c>
      <c r="C82" s="47" t="str">
        <f>IFERROR(INDEX('G-8 Condition Look up'!$I$4:$I$130,MATCH(S82,'G-8 Condition Look up'!$A$4:$A$130,0)),"")</f>
        <v/>
      </c>
      <c r="E82" s="531" t="str">
        <f>'A-1 Site Habitat Baseline'!AL81</f>
        <v/>
      </c>
      <c r="F82" s="520" t="str">
        <f>IF(E82="","",IF(ISNA(VLOOKUP($E82,'A-1 Site Habitat Baseline'!$D$1:$O$258,4,FALSE)),"",(VLOOKUP($E82,'A-1 Site Habitat Baseline'!$D$1:$O$258,4,FALSE))))</f>
        <v/>
      </c>
      <c r="G82" s="520" t="str">
        <f>IF(E82="","",IF(ISNA(VLOOKUP($E82,'A-1 Site Habitat Baseline'!$D$1:$O$258,5,FALSE)),"",(VLOOKUP($E82,'A-1 Site Habitat Baseline'!$D$1:$O$258,5,FALSE))))</f>
        <v/>
      </c>
      <c r="H82" s="520" t="str">
        <f>IF(E82="","",IF(ISNA(VLOOKUP($E82,'A-1 Site Habitat Baseline'!$D$1:$O$258,6,FALSE)),"",(VLOOKUP($E82,'A-1 Site Habitat Baseline'!$D$1:$O$258,6,FALSE))))</f>
        <v/>
      </c>
      <c r="I82" s="520" t="str">
        <f>IF(E82="","",IF(ISNA(VLOOKUP($E82,'A-1 Site Habitat Baseline'!$D$1:$O$258,7,FALSE)),"",(VLOOKUP($E82,'A-1 Site Habitat Baseline'!$D$1:$O$258,7,FALSE))))</f>
        <v/>
      </c>
      <c r="J82" s="520" t="str">
        <f>IF(E82="","",IF(ISNA(VLOOKUP($E82,'A-1 Site Habitat Baseline'!$D$1:$O$258,8,FALSE)),"",(VLOOKUP($E82,'A-1 Site Habitat Baseline'!$D$1:$O$258,8,FALSE))))</f>
        <v/>
      </c>
      <c r="K82" s="520" t="str">
        <f>IF(E82="","",IF(ISNA(VLOOKUP($E82,'A-1 Site Habitat Baseline'!$D$1:$O$258,9,FALSE)),"",(VLOOKUP($E82,'A-1 Site Habitat Baseline'!$D$1:$O$258,9,FALSE))))</f>
        <v/>
      </c>
      <c r="L82" s="520" t="str">
        <f>IF(E82="","",IF(ISNA(VLOOKUP($E82,'A-1 Site Habitat Baseline'!$D$1:$O$258,11,FALSE)),"",(VLOOKUP($E82,'A-1 Site Habitat Baseline'!$D$1:$O$258,11,FALSE))))</f>
        <v/>
      </c>
      <c r="M82" s="520" t="str">
        <f>IF(E82="","",IF(ISNA(VLOOKUP($E82,'A-1 Site Habitat Baseline'!$D$1:$O$258,12,FALSE)),"",(VLOOKUP($E82,'A-1 Site Habitat Baseline'!$D$1:$O$258,12,FALSE))))</f>
        <v/>
      </c>
      <c r="N82" s="532" t="str">
        <f>IF(E82="","",IF(ISNA(VLOOKUP($E82,'A-1 Site Habitat Baseline'!$D$1:$X$258,14,FALSE)),"",(VLOOKUP($E82,'A-1 Site Habitat Baseline'!$D$1:$X$258,14,FALSE))))</f>
        <v/>
      </c>
      <c r="O82" s="524" t="str">
        <f>IF(E82="","",IF(ISNA(VLOOKUP($E82,'A-1 Site Habitat Baseline'!$D$1:$X$258,16,FALSE)),"",(VLOOKUP($E82,'A-1 Site Habitat Baseline'!$D$1:$X$258,13,FALSE))))</f>
        <v/>
      </c>
      <c r="P82" s="237" t="str">
        <f>IFERROR(INDEX('G-1 All Habitats'!$AG$3:$AG$15,MATCH(Q82,'G-1 All Habitats'!$AF$3:$AF$15,0)),"")</f>
        <v/>
      </c>
      <c r="Q82" s="238" t="str">
        <f t="shared" si="15"/>
        <v/>
      </c>
      <c r="R82" s="238" t="str">
        <f t="shared" si="16"/>
        <v/>
      </c>
      <c r="S82" s="392" t="str">
        <f>IFERROR(INDEX('G-1 All Habitats'!$B$3:$B$129,MATCH(R82,'G-1 All Habitats'!$A$3:$A$129,0)),"")</f>
        <v/>
      </c>
      <c r="T82" s="498" t="str">
        <f t="shared" si="17"/>
        <v/>
      </c>
      <c r="U82" s="499" t="str">
        <f t="shared" si="18"/>
        <v/>
      </c>
      <c r="V82" s="537" t="str">
        <f t="shared" si="12"/>
        <v/>
      </c>
      <c r="W82" s="520" t="str">
        <f>IF(S82="","",VLOOKUP(S82,'G-1 All Habitats'!$B$2:$M$129,10,FALSE))</f>
        <v/>
      </c>
      <c r="X82" s="520" t="str">
        <f>IFERROR(VLOOKUP(W82,'G-1 All Habitats'!$V$3:$W$7,2,FALSE),"")</f>
        <v/>
      </c>
      <c r="Y82" s="79"/>
      <c r="Z82" s="524" t="str">
        <f>IFERROR(INDEX('G-8 Condition Look up'!$A$3:$H$130,MATCH(S82,'G-8 Condition Look up'!$A$3:$A$130,0),MATCH(Y82,'G-8 Condition Look up'!$A$3:$H$3,0)),"")</f>
        <v/>
      </c>
      <c r="AA82" s="71"/>
      <c r="AB82" s="520" t="str">
        <f>IF(AA82="","",IF(VLOOKUP(AA82,'G-3 Multipliers'!$L$3:$N$6,2,FALSE)=0,"Spatial Data Missing ⚠",VLOOKUP(AA82,'G-3 Multipliers'!$L$3:$N$6,2,FALSE)))</f>
        <v/>
      </c>
      <c r="AC82" s="524" t="str">
        <f>IF(AA82="","",IF(VLOOKUP(AA82,'G-3 Multipliers'!$L$3:$N$6,3,FALSE)=0,"Spatial Data Missing ⚠",VLOOKUP(AA82,'G-3 Multipliers'!$L$3:$N$6,3,FALSE)))</f>
        <v/>
      </c>
      <c r="AD82" s="539" t="str">
        <f t="shared" si="13"/>
        <v/>
      </c>
      <c r="AE82" s="82"/>
      <c r="AF82" s="82"/>
      <c r="AG82" s="507" t="str">
        <f t="shared" si="19"/>
        <v/>
      </c>
      <c r="AH82" s="521" t="str">
        <f t="shared" si="20"/>
        <v/>
      </c>
      <c r="AI82" s="522" t="str">
        <f>IF(AH82="Check Data","Check Data",IFERROR(VLOOKUP(AH82,'G-4 Temporal multipliers'!$A$4:$C$36,3,FALSE),""))</f>
        <v/>
      </c>
      <c r="AJ82" s="498" t="str">
        <f>IF(S82="","",VLOOKUP(S82,'G-3 Multipliers'!$A$2:$E$129,4,FALSE))</f>
        <v/>
      </c>
      <c r="AK82" s="507" t="str">
        <f t="shared" si="21"/>
        <v/>
      </c>
      <c r="AL82" s="507" t="str">
        <f t="shared" si="22"/>
        <v/>
      </c>
      <c r="AM82" s="540" t="str">
        <f>IFERROR(IF(F82="","",IF(AH82="Check Data ⚠","Check Data ⚠",VLOOKUP(AL82, 'G-3 Multipliers'!$P$2:$Q$6,2,FALSE))),"")</f>
        <v/>
      </c>
      <c r="AN82" s="513" t="str">
        <f t="shared" si="14"/>
        <v/>
      </c>
      <c r="AO82" s="239"/>
      <c r="AP82" s="240"/>
    </row>
    <row r="83" spans="1:42" x14ac:dyDescent="0.25">
      <c r="A83" s="47" t="str">
        <f>IF(E83="","",IF(ISNA(VLOOKUP($E83,'A-1 Site Habitat Baseline'!$D$1:$O$258,2,FALSE)),"",(VLOOKUP($E83,'A-1 Site Habitat Baseline'!$D$1:$O$258,2,FALSE))))</f>
        <v/>
      </c>
      <c r="B83" s="47" t="str">
        <f>IF(E83="","",IF(ISNA(VLOOKUP($E83,'A-1 Site Habitat Baseline'!$D$1:$O$258,3,FALSE)),"",(VLOOKUP($E83,'A-1 Site Habitat Baseline'!$D$1:$O$258,3,FALSE))))</f>
        <v/>
      </c>
      <c r="C83" s="47" t="str">
        <f>IFERROR(INDEX('G-8 Condition Look up'!$I$4:$I$130,MATCH(S83,'G-8 Condition Look up'!$A$4:$A$130,0)),"")</f>
        <v/>
      </c>
      <c r="E83" s="531" t="str">
        <f>'A-1 Site Habitat Baseline'!AL82</f>
        <v/>
      </c>
      <c r="F83" s="520" t="str">
        <f>IF(E83="","",IF(ISNA(VLOOKUP($E83,'A-1 Site Habitat Baseline'!$D$1:$O$258,4,FALSE)),"",(VLOOKUP($E83,'A-1 Site Habitat Baseline'!$D$1:$O$258,4,FALSE))))</f>
        <v/>
      </c>
      <c r="G83" s="520" t="str">
        <f>IF(E83="","",IF(ISNA(VLOOKUP($E83,'A-1 Site Habitat Baseline'!$D$1:$O$258,5,FALSE)),"",(VLOOKUP($E83,'A-1 Site Habitat Baseline'!$D$1:$O$258,5,FALSE))))</f>
        <v/>
      </c>
      <c r="H83" s="520" t="str">
        <f>IF(E83="","",IF(ISNA(VLOOKUP($E83,'A-1 Site Habitat Baseline'!$D$1:$O$258,6,FALSE)),"",(VLOOKUP($E83,'A-1 Site Habitat Baseline'!$D$1:$O$258,6,FALSE))))</f>
        <v/>
      </c>
      <c r="I83" s="520" t="str">
        <f>IF(E83="","",IF(ISNA(VLOOKUP($E83,'A-1 Site Habitat Baseline'!$D$1:$O$258,7,FALSE)),"",(VLOOKUP($E83,'A-1 Site Habitat Baseline'!$D$1:$O$258,7,FALSE))))</f>
        <v/>
      </c>
      <c r="J83" s="520" t="str">
        <f>IF(E83="","",IF(ISNA(VLOOKUP($E83,'A-1 Site Habitat Baseline'!$D$1:$O$258,8,FALSE)),"",(VLOOKUP($E83,'A-1 Site Habitat Baseline'!$D$1:$O$258,8,FALSE))))</f>
        <v/>
      </c>
      <c r="K83" s="520" t="str">
        <f>IF(E83="","",IF(ISNA(VLOOKUP($E83,'A-1 Site Habitat Baseline'!$D$1:$O$258,9,FALSE)),"",(VLOOKUP($E83,'A-1 Site Habitat Baseline'!$D$1:$O$258,9,FALSE))))</f>
        <v/>
      </c>
      <c r="L83" s="520" t="str">
        <f>IF(E83="","",IF(ISNA(VLOOKUP($E83,'A-1 Site Habitat Baseline'!$D$1:$O$258,11,FALSE)),"",(VLOOKUP($E83,'A-1 Site Habitat Baseline'!$D$1:$O$258,11,FALSE))))</f>
        <v/>
      </c>
      <c r="M83" s="520" t="str">
        <f>IF(E83="","",IF(ISNA(VLOOKUP($E83,'A-1 Site Habitat Baseline'!$D$1:$O$258,12,FALSE)),"",(VLOOKUP($E83,'A-1 Site Habitat Baseline'!$D$1:$O$258,12,FALSE))))</f>
        <v/>
      </c>
      <c r="N83" s="532" t="str">
        <f>IF(E83="","",IF(ISNA(VLOOKUP($E83,'A-1 Site Habitat Baseline'!$D$1:$X$258,14,FALSE)),"",(VLOOKUP($E83,'A-1 Site Habitat Baseline'!$D$1:$X$258,14,FALSE))))</f>
        <v/>
      </c>
      <c r="O83" s="524" t="str">
        <f>IF(E83="","",IF(ISNA(VLOOKUP($E83,'A-1 Site Habitat Baseline'!$D$1:$X$258,16,FALSE)),"",(VLOOKUP($E83,'A-1 Site Habitat Baseline'!$D$1:$X$258,13,FALSE))))</f>
        <v/>
      </c>
      <c r="P83" s="237" t="str">
        <f>IFERROR(INDEX('G-1 All Habitats'!$AG$3:$AG$15,MATCH(Q83,'G-1 All Habitats'!$AF$3:$AF$15,0)),"")</f>
        <v/>
      </c>
      <c r="Q83" s="238" t="str">
        <f t="shared" si="15"/>
        <v/>
      </c>
      <c r="R83" s="238" t="str">
        <f t="shared" si="16"/>
        <v/>
      </c>
      <c r="S83" s="392" t="str">
        <f>IFERROR(INDEX('G-1 All Habitats'!$B$3:$B$129,MATCH(R83,'G-1 All Habitats'!$A$3:$A$129,0)),"")</f>
        <v/>
      </c>
      <c r="T83" s="498" t="str">
        <f t="shared" si="17"/>
        <v/>
      </c>
      <c r="U83" s="499" t="str">
        <f t="shared" si="18"/>
        <v/>
      </c>
      <c r="V83" s="537" t="str">
        <f t="shared" si="12"/>
        <v/>
      </c>
      <c r="W83" s="520" t="str">
        <f>IF(S83="","",VLOOKUP(S83,'G-1 All Habitats'!$B$2:$M$129,10,FALSE))</f>
        <v/>
      </c>
      <c r="X83" s="520" t="str">
        <f>IFERROR(VLOOKUP(W83,'G-1 All Habitats'!$V$3:$W$7,2,FALSE),"")</f>
        <v/>
      </c>
      <c r="Y83" s="79"/>
      <c r="Z83" s="524" t="str">
        <f>IFERROR(INDEX('G-8 Condition Look up'!$A$3:$H$130,MATCH(S83,'G-8 Condition Look up'!$A$3:$A$130,0),MATCH(Y83,'G-8 Condition Look up'!$A$3:$H$3,0)),"")</f>
        <v/>
      </c>
      <c r="AA83" s="71"/>
      <c r="AB83" s="520" t="str">
        <f>IF(AA83="","",IF(VLOOKUP(AA83,'G-3 Multipliers'!$L$3:$N$6,2,FALSE)=0,"Spatial Data Missing ⚠",VLOOKUP(AA83,'G-3 Multipliers'!$L$3:$N$6,2,FALSE)))</f>
        <v/>
      </c>
      <c r="AC83" s="524" t="str">
        <f>IF(AA83="","",IF(VLOOKUP(AA83,'G-3 Multipliers'!$L$3:$N$6,3,FALSE)=0,"Spatial Data Missing ⚠",VLOOKUP(AA83,'G-3 Multipliers'!$L$3:$N$6,3,FALSE)))</f>
        <v/>
      </c>
      <c r="AD83" s="539" t="str">
        <f t="shared" si="13"/>
        <v/>
      </c>
      <c r="AE83" s="82"/>
      <c r="AF83" s="82"/>
      <c r="AG83" s="507" t="str">
        <f t="shared" si="19"/>
        <v/>
      </c>
      <c r="AH83" s="521" t="str">
        <f t="shared" si="20"/>
        <v/>
      </c>
      <c r="AI83" s="522" t="str">
        <f>IF(AH83="Check Data","Check Data",IFERROR(VLOOKUP(AH83,'G-4 Temporal multipliers'!$A$4:$C$36,3,FALSE),""))</f>
        <v/>
      </c>
      <c r="AJ83" s="498" t="str">
        <f>IF(S83="","",VLOOKUP(S83,'G-3 Multipliers'!$A$2:$E$129,4,FALSE))</f>
        <v/>
      </c>
      <c r="AK83" s="507" t="str">
        <f t="shared" si="21"/>
        <v/>
      </c>
      <c r="AL83" s="507" t="str">
        <f t="shared" si="22"/>
        <v/>
      </c>
      <c r="AM83" s="540" t="str">
        <f>IFERROR(IF(F83="","",IF(AH83="Check Data ⚠","Check Data ⚠",VLOOKUP(AL83, 'G-3 Multipliers'!$P$2:$Q$6,2,FALSE))),"")</f>
        <v/>
      </c>
      <c r="AN83" s="513" t="str">
        <f t="shared" si="14"/>
        <v/>
      </c>
      <c r="AO83" s="239"/>
      <c r="AP83" s="240"/>
    </row>
    <row r="84" spans="1:42" x14ac:dyDescent="0.25">
      <c r="A84" s="47" t="str">
        <f>IF(E84="","",IF(ISNA(VLOOKUP($E84,'A-1 Site Habitat Baseline'!$D$1:$O$258,2,FALSE)),"",(VLOOKUP($E84,'A-1 Site Habitat Baseline'!$D$1:$O$258,2,FALSE))))</f>
        <v/>
      </c>
      <c r="B84" s="47" t="str">
        <f>IF(E84="","",IF(ISNA(VLOOKUP($E84,'A-1 Site Habitat Baseline'!$D$1:$O$258,3,FALSE)),"",(VLOOKUP($E84,'A-1 Site Habitat Baseline'!$D$1:$O$258,3,FALSE))))</f>
        <v/>
      </c>
      <c r="C84" s="47" t="str">
        <f>IFERROR(INDEX('G-8 Condition Look up'!$I$4:$I$130,MATCH(S84,'G-8 Condition Look up'!$A$4:$A$130,0)),"")</f>
        <v/>
      </c>
      <c r="E84" s="531" t="str">
        <f>'A-1 Site Habitat Baseline'!AL83</f>
        <v/>
      </c>
      <c r="F84" s="520" t="str">
        <f>IF(E84="","",IF(ISNA(VLOOKUP($E84,'A-1 Site Habitat Baseline'!$D$1:$O$258,4,FALSE)),"",(VLOOKUP($E84,'A-1 Site Habitat Baseline'!$D$1:$O$258,4,FALSE))))</f>
        <v/>
      </c>
      <c r="G84" s="520" t="str">
        <f>IF(E84="","",IF(ISNA(VLOOKUP($E84,'A-1 Site Habitat Baseline'!$D$1:$O$258,5,FALSE)),"",(VLOOKUP($E84,'A-1 Site Habitat Baseline'!$D$1:$O$258,5,FALSE))))</f>
        <v/>
      </c>
      <c r="H84" s="520" t="str">
        <f>IF(E84="","",IF(ISNA(VLOOKUP($E84,'A-1 Site Habitat Baseline'!$D$1:$O$258,6,FALSE)),"",(VLOOKUP($E84,'A-1 Site Habitat Baseline'!$D$1:$O$258,6,FALSE))))</f>
        <v/>
      </c>
      <c r="I84" s="520" t="str">
        <f>IF(E84="","",IF(ISNA(VLOOKUP($E84,'A-1 Site Habitat Baseline'!$D$1:$O$258,7,FALSE)),"",(VLOOKUP($E84,'A-1 Site Habitat Baseline'!$D$1:$O$258,7,FALSE))))</f>
        <v/>
      </c>
      <c r="J84" s="520" t="str">
        <f>IF(E84="","",IF(ISNA(VLOOKUP($E84,'A-1 Site Habitat Baseline'!$D$1:$O$258,8,FALSE)),"",(VLOOKUP($E84,'A-1 Site Habitat Baseline'!$D$1:$O$258,8,FALSE))))</f>
        <v/>
      </c>
      <c r="K84" s="520" t="str">
        <f>IF(E84="","",IF(ISNA(VLOOKUP($E84,'A-1 Site Habitat Baseline'!$D$1:$O$258,9,FALSE)),"",(VLOOKUP($E84,'A-1 Site Habitat Baseline'!$D$1:$O$258,9,FALSE))))</f>
        <v/>
      </c>
      <c r="L84" s="520" t="str">
        <f>IF(E84="","",IF(ISNA(VLOOKUP($E84,'A-1 Site Habitat Baseline'!$D$1:$O$258,11,FALSE)),"",(VLOOKUP($E84,'A-1 Site Habitat Baseline'!$D$1:$O$258,11,FALSE))))</f>
        <v/>
      </c>
      <c r="M84" s="520" t="str">
        <f>IF(E84="","",IF(ISNA(VLOOKUP($E84,'A-1 Site Habitat Baseline'!$D$1:$O$258,12,FALSE)),"",(VLOOKUP($E84,'A-1 Site Habitat Baseline'!$D$1:$O$258,12,FALSE))))</f>
        <v/>
      </c>
      <c r="N84" s="532" t="str">
        <f>IF(E84="","",IF(ISNA(VLOOKUP($E84,'A-1 Site Habitat Baseline'!$D$1:$X$258,14,FALSE)),"",(VLOOKUP($E84,'A-1 Site Habitat Baseline'!$D$1:$X$258,14,FALSE))))</f>
        <v/>
      </c>
      <c r="O84" s="524" t="str">
        <f>IF(E84="","",IF(ISNA(VLOOKUP($E84,'A-1 Site Habitat Baseline'!$D$1:$X$258,16,FALSE)),"",(VLOOKUP($E84,'A-1 Site Habitat Baseline'!$D$1:$X$258,13,FALSE))))</f>
        <v/>
      </c>
      <c r="P84" s="237" t="str">
        <f>IFERROR(INDEX('G-1 All Habitats'!$AG$3:$AG$15,MATCH(Q84,'G-1 All Habitats'!$AF$3:$AF$15,0)),"")</f>
        <v/>
      </c>
      <c r="Q84" s="238" t="str">
        <f t="shared" si="15"/>
        <v/>
      </c>
      <c r="R84" s="238" t="str">
        <f t="shared" si="16"/>
        <v/>
      </c>
      <c r="S84" s="392" t="str">
        <f>IFERROR(INDEX('G-1 All Habitats'!$B$3:$B$129,MATCH(R84,'G-1 All Habitats'!$A$3:$A$129,0)),"")</f>
        <v/>
      </c>
      <c r="T84" s="498" t="str">
        <f t="shared" si="17"/>
        <v/>
      </c>
      <c r="U84" s="499" t="str">
        <f t="shared" si="18"/>
        <v/>
      </c>
      <c r="V84" s="537" t="str">
        <f t="shared" si="12"/>
        <v/>
      </c>
      <c r="W84" s="520" t="str">
        <f>IF(S84="","",VLOOKUP(S84,'G-1 All Habitats'!$B$2:$M$129,10,FALSE))</f>
        <v/>
      </c>
      <c r="X84" s="520" t="str">
        <f>IFERROR(VLOOKUP(W84,'G-1 All Habitats'!$V$3:$W$7,2,FALSE),"")</f>
        <v/>
      </c>
      <c r="Y84" s="79"/>
      <c r="Z84" s="524" t="str">
        <f>IFERROR(INDEX('G-8 Condition Look up'!$A$3:$H$130,MATCH(S84,'G-8 Condition Look up'!$A$3:$A$130,0),MATCH(Y84,'G-8 Condition Look up'!$A$3:$H$3,0)),"")</f>
        <v/>
      </c>
      <c r="AA84" s="71"/>
      <c r="AB84" s="520" t="str">
        <f>IF(AA84="","",IF(VLOOKUP(AA84,'G-3 Multipliers'!$L$3:$N$6,2,FALSE)=0,"Spatial Data Missing ⚠",VLOOKUP(AA84,'G-3 Multipliers'!$L$3:$N$6,2,FALSE)))</f>
        <v/>
      </c>
      <c r="AC84" s="524" t="str">
        <f>IF(AA84="","",IF(VLOOKUP(AA84,'G-3 Multipliers'!$L$3:$N$6,3,FALSE)=0,"Spatial Data Missing ⚠",VLOOKUP(AA84,'G-3 Multipliers'!$L$3:$N$6,3,FALSE)))</f>
        <v/>
      </c>
      <c r="AD84" s="539" t="str">
        <f t="shared" si="13"/>
        <v/>
      </c>
      <c r="AE84" s="82"/>
      <c r="AF84" s="82"/>
      <c r="AG84" s="507" t="str">
        <f t="shared" si="19"/>
        <v/>
      </c>
      <c r="AH84" s="521" t="str">
        <f t="shared" si="20"/>
        <v/>
      </c>
      <c r="AI84" s="522" t="str">
        <f>IF(AH84="Check Data","Check Data",IFERROR(VLOOKUP(AH84,'G-4 Temporal multipliers'!$A$4:$C$36,3,FALSE),""))</f>
        <v/>
      </c>
      <c r="AJ84" s="498" t="str">
        <f>IF(S84="","",VLOOKUP(S84,'G-3 Multipliers'!$A$2:$E$129,4,FALSE))</f>
        <v/>
      </c>
      <c r="AK84" s="507" t="str">
        <f t="shared" si="21"/>
        <v/>
      </c>
      <c r="AL84" s="507" t="str">
        <f t="shared" si="22"/>
        <v/>
      </c>
      <c r="AM84" s="540" t="str">
        <f>IFERROR(IF(F84="","",IF(AH84="Check Data ⚠","Check Data ⚠",VLOOKUP(AL84, 'G-3 Multipliers'!$P$2:$Q$6,2,FALSE))),"")</f>
        <v/>
      </c>
      <c r="AN84" s="513" t="str">
        <f t="shared" si="14"/>
        <v/>
      </c>
      <c r="AO84" s="239"/>
      <c r="AP84" s="240"/>
    </row>
    <row r="85" spans="1:42" x14ac:dyDescent="0.25">
      <c r="A85" s="47" t="str">
        <f>IF(E85="","",IF(ISNA(VLOOKUP($E85,'A-1 Site Habitat Baseline'!$D$1:$O$258,2,FALSE)),"",(VLOOKUP($E85,'A-1 Site Habitat Baseline'!$D$1:$O$258,2,FALSE))))</f>
        <v/>
      </c>
      <c r="B85" s="47" t="str">
        <f>IF(E85="","",IF(ISNA(VLOOKUP($E85,'A-1 Site Habitat Baseline'!$D$1:$O$258,3,FALSE)),"",(VLOOKUP($E85,'A-1 Site Habitat Baseline'!$D$1:$O$258,3,FALSE))))</f>
        <v/>
      </c>
      <c r="C85" s="47" t="str">
        <f>IFERROR(INDEX('G-8 Condition Look up'!$I$4:$I$130,MATCH(S85,'G-8 Condition Look up'!$A$4:$A$130,0)),"")</f>
        <v/>
      </c>
      <c r="E85" s="531" t="str">
        <f>'A-1 Site Habitat Baseline'!AL84</f>
        <v/>
      </c>
      <c r="F85" s="520" t="str">
        <f>IF(E85="","",IF(ISNA(VLOOKUP($E85,'A-1 Site Habitat Baseline'!$D$1:$O$258,4,FALSE)),"",(VLOOKUP($E85,'A-1 Site Habitat Baseline'!$D$1:$O$258,4,FALSE))))</f>
        <v/>
      </c>
      <c r="G85" s="520" t="str">
        <f>IF(E85="","",IF(ISNA(VLOOKUP($E85,'A-1 Site Habitat Baseline'!$D$1:$O$258,5,FALSE)),"",(VLOOKUP($E85,'A-1 Site Habitat Baseline'!$D$1:$O$258,5,FALSE))))</f>
        <v/>
      </c>
      <c r="H85" s="520" t="str">
        <f>IF(E85="","",IF(ISNA(VLOOKUP($E85,'A-1 Site Habitat Baseline'!$D$1:$O$258,6,FALSE)),"",(VLOOKUP($E85,'A-1 Site Habitat Baseline'!$D$1:$O$258,6,FALSE))))</f>
        <v/>
      </c>
      <c r="I85" s="520" t="str">
        <f>IF(E85="","",IF(ISNA(VLOOKUP($E85,'A-1 Site Habitat Baseline'!$D$1:$O$258,7,FALSE)),"",(VLOOKUP($E85,'A-1 Site Habitat Baseline'!$D$1:$O$258,7,FALSE))))</f>
        <v/>
      </c>
      <c r="J85" s="520" t="str">
        <f>IF(E85="","",IF(ISNA(VLOOKUP($E85,'A-1 Site Habitat Baseline'!$D$1:$O$258,8,FALSE)),"",(VLOOKUP($E85,'A-1 Site Habitat Baseline'!$D$1:$O$258,8,FALSE))))</f>
        <v/>
      </c>
      <c r="K85" s="520" t="str">
        <f>IF(E85="","",IF(ISNA(VLOOKUP($E85,'A-1 Site Habitat Baseline'!$D$1:$O$258,9,FALSE)),"",(VLOOKUP($E85,'A-1 Site Habitat Baseline'!$D$1:$O$258,9,FALSE))))</f>
        <v/>
      </c>
      <c r="L85" s="520" t="str">
        <f>IF(E85="","",IF(ISNA(VLOOKUP($E85,'A-1 Site Habitat Baseline'!$D$1:$O$258,11,FALSE)),"",(VLOOKUP($E85,'A-1 Site Habitat Baseline'!$D$1:$O$258,11,FALSE))))</f>
        <v/>
      </c>
      <c r="M85" s="520" t="str">
        <f>IF(E85="","",IF(ISNA(VLOOKUP($E85,'A-1 Site Habitat Baseline'!$D$1:$O$258,12,FALSE)),"",(VLOOKUP($E85,'A-1 Site Habitat Baseline'!$D$1:$O$258,12,FALSE))))</f>
        <v/>
      </c>
      <c r="N85" s="532" t="str">
        <f>IF(E85="","",IF(ISNA(VLOOKUP($E85,'A-1 Site Habitat Baseline'!$D$1:$X$258,14,FALSE)),"",(VLOOKUP($E85,'A-1 Site Habitat Baseline'!$D$1:$X$258,14,FALSE))))</f>
        <v/>
      </c>
      <c r="O85" s="524" t="str">
        <f>IF(E85="","",IF(ISNA(VLOOKUP($E85,'A-1 Site Habitat Baseline'!$D$1:$X$258,16,FALSE)),"",(VLOOKUP($E85,'A-1 Site Habitat Baseline'!$D$1:$X$258,13,FALSE))))</f>
        <v/>
      </c>
      <c r="P85" s="237" t="str">
        <f>IFERROR(INDEX('G-1 All Habitats'!$AG$3:$AG$15,MATCH(Q85,'G-1 All Habitats'!$AF$3:$AF$15,0)),"")</f>
        <v/>
      </c>
      <c r="Q85" s="238" t="str">
        <f t="shared" si="15"/>
        <v/>
      </c>
      <c r="R85" s="238" t="str">
        <f t="shared" si="16"/>
        <v/>
      </c>
      <c r="S85" s="392" t="str">
        <f>IFERROR(INDEX('G-1 All Habitats'!$B$3:$B$129,MATCH(R85,'G-1 All Habitats'!$A$3:$A$129,0)),"")</f>
        <v/>
      </c>
      <c r="T85" s="498" t="str">
        <f t="shared" si="17"/>
        <v/>
      </c>
      <c r="U85" s="499" t="str">
        <f t="shared" si="18"/>
        <v/>
      </c>
      <c r="V85" s="537" t="str">
        <f t="shared" si="12"/>
        <v/>
      </c>
      <c r="W85" s="520" t="str">
        <f>IF(S85="","",VLOOKUP(S85,'G-1 All Habitats'!$B$2:$M$129,10,FALSE))</f>
        <v/>
      </c>
      <c r="X85" s="520" t="str">
        <f>IFERROR(VLOOKUP(W85,'G-1 All Habitats'!$V$3:$W$7,2,FALSE),"")</f>
        <v/>
      </c>
      <c r="Y85" s="79"/>
      <c r="Z85" s="524" t="str">
        <f>IFERROR(INDEX('G-8 Condition Look up'!$A$3:$H$130,MATCH(S85,'G-8 Condition Look up'!$A$3:$A$130,0),MATCH(Y85,'G-8 Condition Look up'!$A$3:$H$3,0)),"")</f>
        <v/>
      </c>
      <c r="AA85" s="71"/>
      <c r="AB85" s="520" t="str">
        <f>IF(AA85="","",IF(VLOOKUP(AA85,'G-3 Multipliers'!$L$3:$N$6,2,FALSE)=0,"Spatial Data Missing ⚠",VLOOKUP(AA85,'G-3 Multipliers'!$L$3:$N$6,2,FALSE)))</f>
        <v/>
      </c>
      <c r="AC85" s="524" t="str">
        <f>IF(AA85="","",IF(VLOOKUP(AA85,'G-3 Multipliers'!$L$3:$N$6,3,FALSE)=0,"Spatial Data Missing ⚠",VLOOKUP(AA85,'G-3 Multipliers'!$L$3:$N$6,3,FALSE)))</f>
        <v/>
      </c>
      <c r="AD85" s="539" t="str">
        <f t="shared" si="13"/>
        <v/>
      </c>
      <c r="AE85" s="82"/>
      <c r="AF85" s="82"/>
      <c r="AG85" s="507" t="str">
        <f t="shared" si="19"/>
        <v/>
      </c>
      <c r="AH85" s="521" t="str">
        <f t="shared" si="20"/>
        <v/>
      </c>
      <c r="AI85" s="522" t="str">
        <f>IF(AH85="Check Data","Check Data",IFERROR(VLOOKUP(AH85,'G-4 Temporal multipliers'!$A$4:$C$36,3,FALSE),""))</f>
        <v/>
      </c>
      <c r="AJ85" s="498" t="str">
        <f>IF(S85="","",VLOOKUP(S85,'G-3 Multipliers'!$A$2:$E$129,4,FALSE))</f>
        <v/>
      </c>
      <c r="AK85" s="507" t="str">
        <f t="shared" si="21"/>
        <v/>
      </c>
      <c r="AL85" s="507" t="str">
        <f t="shared" si="22"/>
        <v/>
      </c>
      <c r="AM85" s="540" t="str">
        <f>IFERROR(IF(F85="","",IF(AH85="Check Data ⚠","Check Data ⚠",VLOOKUP(AL85, 'G-3 Multipliers'!$P$2:$Q$6,2,FALSE))),"")</f>
        <v/>
      </c>
      <c r="AN85" s="513" t="str">
        <f t="shared" si="14"/>
        <v/>
      </c>
      <c r="AO85" s="239"/>
      <c r="AP85" s="240"/>
    </row>
    <row r="86" spans="1:42" x14ac:dyDescent="0.25">
      <c r="A86" s="47" t="str">
        <f>IF(E86="","",IF(ISNA(VLOOKUP($E86,'A-1 Site Habitat Baseline'!$D$1:$O$258,2,FALSE)),"",(VLOOKUP($E86,'A-1 Site Habitat Baseline'!$D$1:$O$258,2,FALSE))))</f>
        <v/>
      </c>
      <c r="B86" s="47" t="str">
        <f>IF(E86="","",IF(ISNA(VLOOKUP($E86,'A-1 Site Habitat Baseline'!$D$1:$O$258,3,FALSE)),"",(VLOOKUP($E86,'A-1 Site Habitat Baseline'!$D$1:$O$258,3,FALSE))))</f>
        <v/>
      </c>
      <c r="C86" s="47" t="str">
        <f>IFERROR(INDEX('G-8 Condition Look up'!$I$4:$I$130,MATCH(S86,'G-8 Condition Look up'!$A$4:$A$130,0)),"")</f>
        <v/>
      </c>
      <c r="E86" s="531" t="str">
        <f>'A-1 Site Habitat Baseline'!AL85</f>
        <v/>
      </c>
      <c r="F86" s="520" t="str">
        <f>IF(E86="","",IF(ISNA(VLOOKUP($E86,'A-1 Site Habitat Baseline'!$D$1:$O$258,4,FALSE)),"",(VLOOKUP($E86,'A-1 Site Habitat Baseline'!$D$1:$O$258,4,FALSE))))</f>
        <v/>
      </c>
      <c r="G86" s="520" t="str">
        <f>IF(E86="","",IF(ISNA(VLOOKUP($E86,'A-1 Site Habitat Baseline'!$D$1:$O$258,5,FALSE)),"",(VLOOKUP($E86,'A-1 Site Habitat Baseline'!$D$1:$O$258,5,FALSE))))</f>
        <v/>
      </c>
      <c r="H86" s="520" t="str">
        <f>IF(E86="","",IF(ISNA(VLOOKUP($E86,'A-1 Site Habitat Baseline'!$D$1:$O$258,6,FALSE)),"",(VLOOKUP($E86,'A-1 Site Habitat Baseline'!$D$1:$O$258,6,FALSE))))</f>
        <v/>
      </c>
      <c r="I86" s="520" t="str">
        <f>IF(E86="","",IF(ISNA(VLOOKUP($E86,'A-1 Site Habitat Baseline'!$D$1:$O$258,7,FALSE)),"",(VLOOKUP($E86,'A-1 Site Habitat Baseline'!$D$1:$O$258,7,FALSE))))</f>
        <v/>
      </c>
      <c r="J86" s="520" t="str">
        <f>IF(E86="","",IF(ISNA(VLOOKUP($E86,'A-1 Site Habitat Baseline'!$D$1:$O$258,8,FALSE)),"",(VLOOKUP($E86,'A-1 Site Habitat Baseline'!$D$1:$O$258,8,FALSE))))</f>
        <v/>
      </c>
      <c r="K86" s="520" t="str">
        <f>IF(E86="","",IF(ISNA(VLOOKUP($E86,'A-1 Site Habitat Baseline'!$D$1:$O$258,9,FALSE)),"",(VLOOKUP($E86,'A-1 Site Habitat Baseline'!$D$1:$O$258,9,FALSE))))</f>
        <v/>
      </c>
      <c r="L86" s="520" t="str">
        <f>IF(E86="","",IF(ISNA(VLOOKUP($E86,'A-1 Site Habitat Baseline'!$D$1:$O$258,11,FALSE)),"",(VLOOKUP($E86,'A-1 Site Habitat Baseline'!$D$1:$O$258,11,FALSE))))</f>
        <v/>
      </c>
      <c r="M86" s="520" t="str">
        <f>IF(E86="","",IF(ISNA(VLOOKUP($E86,'A-1 Site Habitat Baseline'!$D$1:$O$258,12,FALSE)),"",(VLOOKUP($E86,'A-1 Site Habitat Baseline'!$D$1:$O$258,12,FALSE))))</f>
        <v/>
      </c>
      <c r="N86" s="532" t="str">
        <f>IF(E86="","",IF(ISNA(VLOOKUP($E86,'A-1 Site Habitat Baseline'!$D$1:$X$258,14,FALSE)),"",(VLOOKUP($E86,'A-1 Site Habitat Baseline'!$D$1:$X$258,14,FALSE))))</f>
        <v/>
      </c>
      <c r="O86" s="524" t="str">
        <f>IF(E86="","",IF(ISNA(VLOOKUP($E86,'A-1 Site Habitat Baseline'!$D$1:$X$258,16,FALSE)),"",(VLOOKUP($E86,'A-1 Site Habitat Baseline'!$D$1:$X$258,13,FALSE))))</f>
        <v/>
      </c>
      <c r="P86" s="237" t="str">
        <f>IFERROR(INDEX('G-1 All Habitats'!$AG$3:$AG$15,MATCH(Q86,'G-1 All Habitats'!$AF$3:$AF$15,0)),"")</f>
        <v/>
      </c>
      <c r="Q86" s="238" t="str">
        <f t="shared" si="15"/>
        <v/>
      </c>
      <c r="R86" s="238" t="str">
        <f t="shared" si="16"/>
        <v/>
      </c>
      <c r="S86" s="392" t="str">
        <f>IFERROR(INDEX('G-1 All Habitats'!$B$3:$B$129,MATCH(R86,'G-1 All Habitats'!$A$3:$A$129,0)),"")</f>
        <v/>
      </c>
      <c r="T86" s="498" t="str">
        <f t="shared" si="17"/>
        <v/>
      </c>
      <c r="U86" s="499" t="str">
        <f t="shared" si="18"/>
        <v/>
      </c>
      <c r="V86" s="537" t="str">
        <f t="shared" si="12"/>
        <v/>
      </c>
      <c r="W86" s="520" t="str">
        <f>IF(S86="","",VLOOKUP(S86,'G-1 All Habitats'!$B$2:$M$129,10,FALSE))</f>
        <v/>
      </c>
      <c r="X86" s="520" t="str">
        <f>IFERROR(VLOOKUP(W86,'G-1 All Habitats'!$V$3:$W$7,2,FALSE),"")</f>
        <v/>
      </c>
      <c r="Y86" s="79"/>
      <c r="Z86" s="524" t="str">
        <f>IFERROR(INDEX('G-8 Condition Look up'!$A$3:$H$130,MATCH(S86,'G-8 Condition Look up'!$A$3:$A$130,0),MATCH(Y86,'G-8 Condition Look up'!$A$3:$H$3,0)),"")</f>
        <v/>
      </c>
      <c r="AA86" s="71"/>
      <c r="AB86" s="520" t="str">
        <f>IF(AA86="","",IF(VLOOKUP(AA86,'G-3 Multipliers'!$L$3:$N$6,2,FALSE)=0,"Spatial Data Missing ⚠",VLOOKUP(AA86,'G-3 Multipliers'!$L$3:$N$6,2,FALSE)))</f>
        <v/>
      </c>
      <c r="AC86" s="524" t="str">
        <f>IF(AA86="","",IF(VLOOKUP(AA86,'G-3 Multipliers'!$L$3:$N$6,3,FALSE)=0,"Spatial Data Missing ⚠",VLOOKUP(AA86,'G-3 Multipliers'!$L$3:$N$6,3,FALSE)))</f>
        <v/>
      </c>
      <c r="AD86" s="539" t="str">
        <f t="shared" si="13"/>
        <v/>
      </c>
      <c r="AE86" s="82"/>
      <c r="AF86" s="82"/>
      <c r="AG86" s="507" t="str">
        <f t="shared" si="19"/>
        <v/>
      </c>
      <c r="AH86" s="521" t="str">
        <f t="shared" si="20"/>
        <v/>
      </c>
      <c r="AI86" s="522" t="str">
        <f>IF(AH86="Check Data","Check Data",IFERROR(VLOOKUP(AH86,'G-4 Temporal multipliers'!$A$4:$C$36,3,FALSE),""))</f>
        <v/>
      </c>
      <c r="AJ86" s="498" t="str">
        <f>IF(S86="","",VLOOKUP(S86,'G-3 Multipliers'!$A$2:$E$129,4,FALSE))</f>
        <v/>
      </c>
      <c r="AK86" s="507" t="str">
        <f t="shared" si="21"/>
        <v/>
      </c>
      <c r="AL86" s="507" t="str">
        <f t="shared" si="22"/>
        <v/>
      </c>
      <c r="AM86" s="540" t="str">
        <f>IFERROR(IF(F86="","",IF(AH86="Check Data ⚠","Check Data ⚠",VLOOKUP(AL86, 'G-3 Multipliers'!$P$2:$Q$6,2,FALSE))),"")</f>
        <v/>
      </c>
      <c r="AN86" s="513" t="str">
        <f t="shared" si="14"/>
        <v/>
      </c>
      <c r="AO86" s="239"/>
      <c r="AP86" s="240"/>
    </row>
    <row r="87" spans="1:42" x14ac:dyDescent="0.25">
      <c r="A87" s="47" t="str">
        <f>IF(E87="","",IF(ISNA(VLOOKUP($E87,'A-1 Site Habitat Baseline'!$D$1:$O$258,2,FALSE)),"",(VLOOKUP($E87,'A-1 Site Habitat Baseline'!$D$1:$O$258,2,FALSE))))</f>
        <v/>
      </c>
      <c r="B87" s="47" t="str">
        <f>IF(E87="","",IF(ISNA(VLOOKUP($E87,'A-1 Site Habitat Baseline'!$D$1:$O$258,3,FALSE)),"",(VLOOKUP($E87,'A-1 Site Habitat Baseline'!$D$1:$O$258,3,FALSE))))</f>
        <v/>
      </c>
      <c r="C87" s="47" t="str">
        <f>IFERROR(INDEX('G-8 Condition Look up'!$I$4:$I$130,MATCH(S87,'G-8 Condition Look up'!$A$4:$A$130,0)),"")</f>
        <v/>
      </c>
      <c r="E87" s="531" t="str">
        <f>'A-1 Site Habitat Baseline'!AL86</f>
        <v/>
      </c>
      <c r="F87" s="520" t="str">
        <f>IF(E87="","",IF(ISNA(VLOOKUP($E87,'A-1 Site Habitat Baseline'!$D$1:$O$258,4,FALSE)),"",(VLOOKUP($E87,'A-1 Site Habitat Baseline'!$D$1:$O$258,4,FALSE))))</f>
        <v/>
      </c>
      <c r="G87" s="520" t="str">
        <f>IF(E87="","",IF(ISNA(VLOOKUP($E87,'A-1 Site Habitat Baseline'!$D$1:$O$258,5,FALSE)),"",(VLOOKUP($E87,'A-1 Site Habitat Baseline'!$D$1:$O$258,5,FALSE))))</f>
        <v/>
      </c>
      <c r="H87" s="520" t="str">
        <f>IF(E87="","",IF(ISNA(VLOOKUP($E87,'A-1 Site Habitat Baseline'!$D$1:$O$258,6,FALSE)),"",(VLOOKUP($E87,'A-1 Site Habitat Baseline'!$D$1:$O$258,6,FALSE))))</f>
        <v/>
      </c>
      <c r="I87" s="520" t="str">
        <f>IF(E87="","",IF(ISNA(VLOOKUP($E87,'A-1 Site Habitat Baseline'!$D$1:$O$258,7,FALSE)),"",(VLOOKUP($E87,'A-1 Site Habitat Baseline'!$D$1:$O$258,7,FALSE))))</f>
        <v/>
      </c>
      <c r="J87" s="520" t="str">
        <f>IF(E87="","",IF(ISNA(VLOOKUP($E87,'A-1 Site Habitat Baseline'!$D$1:$O$258,8,FALSE)),"",(VLOOKUP($E87,'A-1 Site Habitat Baseline'!$D$1:$O$258,8,FALSE))))</f>
        <v/>
      </c>
      <c r="K87" s="520" t="str">
        <f>IF(E87="","",IF(ISNA(VLOOKUP($E87,'A-1 Site Habitat Baseline'!$D$1:$O$258,9,FALSE)),"",(VLOOKUP($E87,'A-1 Site Habitat Baseline'!$D$1:$O$258,9,FALSE))))</f>
        <v/>
      </c>
      <c r="L87" s="520" t="str">
        <f>IF(E87="","",IF(ISNA(VLOOKUP($E87,'A-1 Site Habitat Baseline'!$D$1:$O$258,11,FALSE)),"",(VLOOKUP($E87,'A-1 Site Habitat Baseline'!$D$1:$O$258,11,FALSE))))</f>
        <v/>
      </c>
      <c r="M87" s="520" t="str">
        <f>IF(E87="","",IF(ISNA(VLOOKUP($E87,'A-1 Site Habitat Baseline'!$D$1:$O$258,12,FALSE)),"",(VLOOKUP($E87,'A-1 Site Habitat Baseline'!$D$1:$O$258,12,FALSE))))</f>
        <v/>
      </c>
      <c r="N87" s="532" t="str">
        <f>IF(E87="","",IF(ISNA(VLOOKUP($E87,'A-1 Site Habitat Baseline'!$D$1:$X$258,14,FALSE)),"",(VLOOKUP($E87,'A-1 Site Habitat Baseline'!$D$1:$X$258,14,FALSE))))</f>
        <v/>
      </c>
      <c r="O87" s="524" t="str">
        <f>IF(E87="","",IF(ISNA(VLOOKUP($E87,'A-1 Site Habitat Baseline'!$D$1:$X$258,16,FALSE)),"",(VLOOKUP($E87,'A-1 Site Habitat Baseline'!$D$1:$X$258,13,FALSE))))</f>
        <v/>
      </c>
      <c r="P87" s="237" t="str">
        <f>IFERROR(INDEX('G-1 All Habitats'!$AG$3:$AG$15,MATCH(Q87,'G-1 All Habitats'!$AF$3:$AF$15,0)),"")</f>
        <v/>
      </c>
      <c r="Q87" s="238" t="str">
        <f t="shared" si="15"/>
        <v/>
      </c>
      <c r="R87" s="238" t="str">
        <f t="shared" si="16"/>
        <v/>
      </c>
      <c r="S87" s="392" t="str">
        <f>IFERROR(INDEX('G-1 All Habitats'!$B$3:$B$129,MATCH(R87,'G-1 All Habitats'!$A$3:$A$129,0)),"")</f>
        <v/>
      </c>
      <c r="T87" s="498" t="str">
        <f t="shared" si="17"/>
        <v/>
      </c>
      <c r="U87" s="499" t="str">
        <f t="shared" si="18"/>
        <v/>
      </c>
      <c r="V87" s="537" t="str">
        <f t="shared" si="12"/>
        <v/>
      </c>
      <c r="W87" s="520" t="str">
        <f>IF(S87="","",VLOOKUP(S87,'G-1 All Habitats'!$B$2:$M$129,10,FALSE))</f>
        <v/>
      </c>
      <c r="X87" s="520" t="str">
        <f>IFERROR(VLOOKUP(W87,'G-1 All Habitats'!$V$3:$W$7,2,FALSE),"")</f>
        <v/>
      </c>
      <c r="Y87" s="79"/>
      <c r="Z87" s="524" t="str">
        <f>IFERROR(INDEX('G-8 Condition Look up'!$A$3:$H$130,MATCH(S87,'G-8 Condition Look up'!$A$3:$A$130,0),MATCH(Y87,'G-8 Condition Look up'!$A$3:$H$3,0)),"")</f>
        <v/>
      </c>
      <c r="AA87" s="71"/>
      <c r="AB87" s="520" t="str">
        <f>IF(AA87="","",IF(VLOOKUP(AA87,'G-3 Multipliers'!$L$3:$N$6,2,FALSE)=0,"Spatial Data Missing ⚠",VLOOKUP(AA87,'G-3 Multipliers'!$L$3:$N$6,2,FALSE)))</f>
        <v/>
      </c>
      <c r="AC87" s="524" t="str">
        <f>IF(AA87="","",IF(VLOOKUP(AA87,'G-3 Multipliers'!$L$3:$N$6,3,FALSE)=0,"Spatial Data Missing ⚠",VLOOKUP(AA87,'G-3 Multipliers'!$L$3:$N$6,3,FALSE)))</f>
        <v/>
      </c>
      <c r="AD87" s="539" t="str">
        <f t="shared" si="13"/>
        <v/>
      </c>
      <c r="AE87" s="82"/>
      <c r="AF87" s="82"/>
      <c r="AG87" s="507" t="str">
        <f t="shared" si="19"/>
        <v/>
      </c>
      <c r="AH87" s="521" t="str">
        <f t="shared" si="20"/>
        <v/>
      </c>
      <c r="AI87" s="522" t="str">
        <f>IF(AH87="Check Data","Check Data",IFERROR(VLOOKUP(AH87,'G-4 Temporal multipliers'!$A$4:$C$36,3,FALSE),""))</f>
        <v/>
      </c>
      <c r="AJ87" s="498" t="str">
        <f>IF(S87="","",VLOOKUP(S87,'G-3 Multipliers'!$A$2:$E$129,4,FALSE))</f>
        <v/>
      </c>
      <c r="AK87" s="507" t="str">
        <f t="shared" si="21"/>
        <v/>
      </c>
      <c r="AL87" s="507" t="str">
        <f t="shared" si="22"/>
        <v/>
      </c>
      <c r="AM87" s="540" t="str">
        <f>IFERROR(IF(F87="","",IF(AH87="Check Data ⚠","Check Data ⚠",VLOOKUP(AL87, 'G-3 Multipliers'!$P$2:$Q$6,2,FALSE))),"")</f>
        <v/>
      </c>
      <c r="AN87" s="513" t="str">
        <f t="shared" si="14"/>
        <v/>
      </c>
      <c r="AO87" s="239"/>
      <c r="AP87" s="240"/>
    </row>
    <row r="88" spans="1:42" x14ac:dyDescent="0.25">
      <c r="A88" s="47" t="str">
        <f>IF(E88="","",IF(ISNA(VLOOKUP($E88,'A-1 Site Habitat Baseline'!$D$1:$O$258,2,FALSE)),"",(VLOOKUP($E88,'A-1 Site Habitat Baseline'!$D$1:$O$258,2,FALSE))))</f>
        <v/>
      </c>
      <c r="B88" s="47" t="str">
        <f>IF(E88="","",IF(ISNA(VLOOKUP($E88,'A-1 Site Habitat Baseline'!$D$1:$O$258,3,FALSE)),"",(VLOOKUP($E88,'A-1 Site Habitat Baseline'!$D$1:$O$258,3,FALSE))))</f>
        <v/>
      </c>
      <c r="C88" s="47" t="str">
        <f>IFERROR(INDEX('G-8 Condition Look up'!$I$4:$I$130,MATCH(S88,'G-8 Condition Look up'!$A$4:$A$130,0)),"")</f>
        <v/>
      </c>
      <c r="E88" s="531" t="str">
        <f>'A-1 Site Habitat Baseline'!AL87</f>
        <v/>
      </c>
      <c r="F88" s="520" t="str">
        <f>IF(E88="","",IF(ISNA(VLOOKUP($E88,'A-1 Site Habitat Baseline'!$D$1:$O$258,4,FALSE)),"",(VLOOKUP($E88,'A-1 Site Habitat Baseline'!$D$1:$O$258,4,FALSE))))</f>
        <v/>
      </c>
      <c r="G88" s="520" t="str">
        <f>IF(E88="","",IF(ISNA(VLOOKUP($E88,'A-1 Site Habitat Baseline'!$D$1:$O$258,5,FALSE)),"",(VLOOKUP($E88,'A-1 Site Habitat Baseline'!$D$1:$O$258,5,FALSE))))</f>
        <v/>
      </c>
      <c r="H88" s="520" t="str">
        <f>IF(E88="","",IF(ISNA(VLOOKUP($E88,'A-1 Site Habitat Baseline'!$D$1:$O$258,6,FALSE)),"",(VLOOKUP($E88,'A-1 Site Habitat Baseline'!$D$1:$O$258,6,FALSE))))</f>
        <v/>
      </c>
      <c r="I88" s="520" t="str">
        <f>IF(E88="","",IF(ISNA(VLOOKUP($E88,'A-1 Site Habitat Baseline'!$D$1:$O$258,7,FALSE)),"",(VLOOKUP($E88,'A-1 Site Habitat Baseline'!$D$1:$O$258,7,FALSE))))</f>
        <v/>
      </c>
      <c r="J88" s="520" t="str">
        <f>IF(E88="","",IF(ISNA(VLOOKUP($E88,'A-1 Site Habitat Baseline'!$D$1:$O$258,8,FALSE)),"",(VLOOKUP($E88,'A-1 Site Habitat Baseline'!$D$1:$O$258,8,FALSE))))</f>
        <v/>
      </c>
      <c r="K88" s="520" t="str">
        <f>IF(E88="","",IF(ISNA(VLOOKUP($E88,'A-1 Site Habitat Baseline'!$D$1:$O$258,9,FALSE)),"",(VLOOKUP($E88,'A-1 Site Habitat Baseline'!$D$1:$O$258,9,FALSE))))</f>
        <v/>
      </c>
      <c r="L88" s="520" t="str">
        <f>IF(E88="","",IF(ISNA(VLOOKUP($E88,'A-1 Site Habitat Baseline'!$D$1:$O$258,11,FALSE)),"",(VLOOKUP($E88,'A-1 Site Habitat Baseline'!$D$1:$O$258,11,FALSE))))</f>
        <v/>
      </c>
      <c r="M88" s="520" t="str">
        <f>IF(E88="","",IF(ISNA(VLOOKUP($E88,'A-1 Site Habitat Baseline'!$D$1:$O$258,12,FALSE)),"",(VLOOKUP($E88,'A-1 Site Habitat Baseline'!$D$1:$O$258,12,FALSE))))</f>
        <v/>
      </c>
      <c r="N88" s="532" t="str">
        <f>IF(E88="","",IF(ISNA(VLOOKUP($E88,'A-1 Site Habitat Baseline'!$D$1:$X$258,14,FALSE)),"",(VLOOKUP($E88,'A-1 Site Habitat Baseline'!$D$1:$X$258,14,FALSE))))</f>
        <v/>
      </c>
      <c r="O88" s="524" t="str">
        <f>IF(E88="","",IF(ISNA(VLOOKUP($E88,'A-1 Site Habitat Baseline'!$D$1:$X$258,16,FALSE)),"",(VLOOKUP($E88,'A-1 Site Habitat Baseline'!$D$1:$X$258,13,FALSE))))</f>
        <v/>
      </c>
      <c r="P88" s="237" t="str">
        <f>IFERROR(INDEX('G-1 All Habitats'!$AG$3:$AG$15,MATCH(Q88,'G-1 All Habitats'!$AF$3:$AF$15,0)),"")</f>
        <v/>
      </c>
      <c r="Q88" s="238" t="str">
        <f t="shared" si="15"/>
        <v/>
      </c>
      <c r="R88" s="238" t="str">
        <f t="shared" si="16"/>
        <v/>
      </c>
      <c r="S88" s="392" t="str">
        <f>IFERROR(INDEX('G-1 All Habitats'!$B$3:$B$129,MATCH(R88,'G-1 All Habitats'!$A$3:$A$129,0)),"")</f>
        <v/>
      </c>
      <c r="T88" s="498" t="str">
        <f t="shared" si="17"/>
        <v/>
      </c>
      <c r="U88" s="499" t="str">
        <f t="shared" si="18"/>
        <v/>
      </c>
      <c r="V88" s="537" t="str">
        <f t="shared" si="12"/>
        <v/>
      </c>
      <c r="W88" s="520" t="str">
        <f>IF(S88="","",VLOOKUP(S88,'G-1 All Habitats'!$B$2:$M$129,10,FALSE))</f>
        <v/>
      </c>
      <c r="X88" s="520" t="str">
        <f>IFERROR(VLOOKUP(W88,'G-1 All Habitats'!$V$3:$W$7,2,FALSE),"")</f>
        <v/>
      </c>
      <c r="Y88" s="79"/>
      <c r="Z88" s="524" t="str">
        <f>IFERROR(INDEX('G-8 Condition Look up'!$A$3:$H$130,MATCH(S88,'G-8 Condition Look up'!$A$3:$A$130,0),MATCH(Y88,'G-8 Condition Look up'!$A$3:$H$3,0)),"")</f>
        <v/>
      </c>
      <c r="AA88" s="71"/>
      <c r="AB88" s="520" t="str">
        <f>IF(AA88="","",IF(VLOOKUP(AA88,'G-3 Multipliers'!$L$3:$N$6,2,FALSE)=0,"Spatial Data Missing ⚠",VLOOKUP(AA88,'G-3 Multipliers'!$L$3:$N$6,2,FALSE)))</f>
        <v/>
      </c>
      <c r="AC88" s="524" t="str">
        <f>IF(AA88="","",IF(VLOOKUP(AA88,'G-3 Multipliers'!$L$3:$N$6,3,FALSE)=0,"Spatial Data Missing ⚠",VLOOKUP(AA88,'G-3 Multipliers'!$L$3:$N$6,3,FALSE)))</f>
        <v/>
      </c>
      <c r="AD88" s="539" t="str">
        <f t="shared" si="13"/>
        <v/>
      </c>
      <c r="AE88" s="82"/>
      <c r="AF88" s="82"/>
      <c r="AG88" s="507" t="str">
        <f t="shared" si="19"/>
        <v/>
      </c>
      <c r="AH88" s="521" t="str">
        <f t="shared" si="20"/>
        <v/>
      </c>
      <c r="AI88" s="522" t="str">
        <f>IF(AH88="Check Data","Check Data",IFERROR(VLOOKUP(AH88,'G-4 Temporal multipliers'!$A$4:$C$36,3,FALSE),""))</f>
        <v/>
      </c>
      <c r="AJ88" s="498" t="str">
        <f>IF(S88="","",VLOOKUP(S88,'G-3 Multipliers'!$A$2:$E$129,4,FALSE))</f>
        <v/>
      </c>
      <c r="AK88" s="507" t="str">
        <f t="shared" si="21"/>
        <v/>
      </c>
      <c r="AL88" s="507" t="str">
        <f t="shared" si="22"/>
        <v/>
      </c>
      <c r="AM88" s="540" t="str">
        <f>IFERROR(IF(F88="","",IF(AH88="Check Data ⚠","Check Data ⚠",VLOOKUP(AL88, 'G-3 Multipliers'!$P$2:$Q$6,2,FALSE))),"")</f>
        <v/>
      </c>
      <c r="AN88" s="513" t="str">
        <f t="shared" si="14"/>
        <v/>
      </c>
      <c r="AO88" s="239"/>
      <c r="AP88" s="240"/>
    </row>
    <row r="89" spans="1:42" x14ac:dyDescent="0.25">
      <c r="A89" s="47" t="str">
        <f>IF(E89="","",IF(ISNA(VLOOKUP($E89,'A-1 Site Habitat Baseline'!$D$1:$O$258,2,FALSE)),"",(VLOOKUP($E89,'A-1 Site Habitat Baseline'!$D$1:$O$258,2,FALSE))))</f>
        <v/>
      </c>
      <c r="B89" s="47" t="str">
        <f>IF(E89="","",IF(ISNA(VLOOKUP($E89,'A-1 Site Habitat Baseline'!$D$1:$O$258,3,FALSE)),"",(VLOOKUP($E89,'A-1 Site Habitat Baseline'!$D$1:$O$258,3,FALSE))))</f>
        <v/>
      </c>
      <c r="C89" s="47" t="str">
        <f>IFERROR(INDEX('G-8 Condition Look up'!$I$4:$I$130,MATCH(S89,'G-8 Condition Look up'!$A$4:$A$130,0)),"")</f>
        <v/>
      </c>
      <c r="E89" s="531" t="str">
        <f>'A-1 Site Habitat Baseline'!AL88</f>
        <v/>
      </c>
      <c r="F89" s="520" t="str">
        <f>IF(E89="","",IF(ISNA(VLOOKUP($E89,'A-1 Site Habitat Baseline'!$D$1:$O$258,4,FALSE)),"",(VLOOKUP($E89,'A-1 Site Habitat Baseline'!$D$1:$O$258,4,FALSE))))</f>
        <v/>
      </c>
      <c r="G89" s="520" t="str">
        <f>IF(E89="","",IF(ISNA(VLOOKUP($E89,'A-1 Site Habitat Baseline'!$D$1:$O$258,5,FALSE)),"",(VLOOKUP($E89,'A-1 Site Habitat Baseline'!$D$1:$O$258,5,FALSE))))</f>
        <v/>
      </c>
      <c r="H89" s="520" t="str">
        <f>IF(E89="","",IF(ISNA(VLOOKUP($E89,'A-1 Site Habitat Baseline'!$D$1:$O$258,6,FALSE)),"",(VLOOKUP($E89,'A-1 Site Habitat Baseline'!$D$1:$O$258,6,FALSE))))</f>
        <v/>
      </c>
      <c r="I89" s="520" t="str">
        <f>IF(E89="","",IF(ISNA(VLOOKUP($E89,'A-1 Site Habitat Baseline'!$D$1:$O$258,7,FALSE)),"",(VLOOKUP($E89,'A-1 Site Habitat Baseline'!$D$1:$O$258,7,FALSE))))</f>
        <v/>
      </c>
      <c r="J89" s="520" t="str">
        <f>IF(E89="","",IF(ISNA(VLOOKUP($E89,'A-1 Site Habitat Baseline'!$D$1:$O$258,8,FALSE)),"",(VLOOKUP($E89,'A-1 Site Habitat Baseline'!$D$1:$O$258,8,FALSE))))</f>
        <v/>
      </c>
      <c r="K89" s="520" t="str">
        <f>IF(E89="","",IF(ISNA(VLOOKUP($E89,'A-1 Site Habitat Baseline'!$D$1:$O$258,9,FALSE)),"",(VLOOKUP($E89,'A-1 Site Habitat Baseline'!$D$1:$O$258,9,FALSE))))</f>
        <v/>
      </c>
      <c r="L89" s="520" t="str">
        <f>IF(E89="","",IF(ISNA(VLOOKUP($E89,'A-1 Site Habitat Baseline'!$D$1:$O$258,11,FALSE)),"",(VLOOKUP($E89,'A-1 Site Habitat Baseline'!$D$1:$O$258,11,FALSE))))</f>
        <v/>
      </c>
      <c r="M89" s="520" t="str">
        <f>IF(E89="","",IF(ISNA(VLOOKUP($E89,'A-1 Site Habitat Baseline'!$D$1:$O$258,12,FALSE)),"",(VLOOKUP($E89,'A-1 Site Habitat Baseline'!$D$1:$O$258,12,FALSE))))</f>
        <v/>
      </c>
      <c r="N89" s="532" t="str">
        <f>IF(E89="","",IF(ISNA(VLOOKUP($E89,'A-1 Site Habitat Baseline'!$D$1:$X$258,14,FALSE)),"",(VLOOKUP($E89,'A-1 Site Habitat Baseline'!$D$1:$X$258,14,FALSE))))</f>
        <v/>
      </c>
      <c r="O89" s="524" t="str">
        <f>IF(E89="","",IF(ISNA(VLOOKUP($E89,'A-1 Site Habitat Baseline'!$D$1:$X$258,16,FALSE)),"",(VLOOKUP($E89,'A-1 Site Habitat Baseline'!$D$1:$X$258,13,FALSE))))</f>
        <v/>
      </c>
      <c r="P89" s="237" t="str">
        <f>IFERROR(INDEX('G-1 All Habitats'!$AG$3:$AG$15,MATCH(Q89,'G-1 All Habitats'!$AF$3:$AF$15,0)),"")</f>
        <v/>
      </c>
      <c r="Q89" s="238" t="str">
        <f t="shared" si="15"/>
        <v/>
      </c>
      <c r="R89" s="238" t="str">
        <f t="shared" si="16"/>
        <v/>
      </c>
      <c r="S89" s="392" t="str">
        <f>IFERROR(INDEX('G-1 All Habitats'!$B$3:$B$129,MATCH(R89,'G-1 All Habitats'!$A$3:$A$129,0)),"")</f>
        <v/>
      </c>
      <c r="T89" s="498" t="str">
        <f t="shared" si="17"/>
        <v/>
      </c>
      <c r="U89" s="499" t="str">
        <f t="shared" si="18"/>
        <v/>
      </c>
      <c r="V89" s="537" t="str">
        <f t="shared" si="12"/>
        <v/>
      </c>
      <c r="W89" s="520" t="str">
        <f>IF(S89="","",VLOOKUP(S89,'G-1 All Habitats'!$B$2:$M$129,10,FALSE))</f>
        <v/>
      </c>
      <c r="X89" s="520" t="str">
        <f>IFERROR(VLOOKUP(W89,'G-1 All Habitats'!$V$3:$W$7,2,FALSE),"")</f>
        <v/>
      </c>
      <c r="Y89" s="79"/>
      <c r="Z89" s="524" t="str">
        <f>IFERROR(INDEX('G-8 Condition Look up'!$A$3:$H$130,MATCH(S89,'G-8 Condition Look up'!$A$3:$A$130,0),MATCH(Y89,'G-8 Condition Look up'!$A$3:$H$3,0)),"")</f>
        <v/>
      </c>
      <c r="AA89" s="71"/>
      <c r="AB89" s="520" t="str">
        <f>IF(AA89="","",IF(VLOOKUP(AA89,'G-3 Multipliers'!$L$3:$N$6,2,FALSE)=0,"Spatial Data Missing ⚠",VLOOKUP(AA89,'G-3 Multipliers'!$L$3:$N$6,2,FALSE)))</f>
        <v/>
      </c>
      <c r="AC89" s="524" t="str">
        <f>IF(AA89="","",IF(VLOOKUP(AA89,'G-3 Multipliers'!$L$3:$N$6,3,FALSE)=0,"Spatial Data Missing ⚠",VLOOKUP(AA89,'G-3 Multipliers'!$L$3:$N$6,3,FALSE)))</f>
        <v/>
      </c>
      <c r="AD89" s="539" t="str">
        <f t="shared" si="13"/>
        <v/>
      </c>
      <c r="AE89" s="82"/>
      <c r="AF89" s="82"/>
      <c r="AG89" s="507" t="str">
        <f t="shared" si="19"/>
        <v/>
      </c>
      <c r="AH89" s="521" t="str">
        <f t="shared" si="20"/>
        <v/>
      </c>
      <c r="AI89" s="522" t="str">
        <f>IF(AH89="Check Data","Check Data",IFERROR(VLOOKUP(AH89,'G-4 Temporal multipliers'!$A$4:$C$36,3,FALSE),""))</f>
        <v/>
      </c>
      <c r="AJ89" s="498" t="str">
        <f>IF(S89="","",VLOOKUP(S89,'G-3 Multipliers'!$A$2:$E$129,4,FALSE))</f>
        <v/>
      </c>
      <c r="AK89" s="507" t="str">
        <f t="shared" si="21"/>
        <v/>
      </c>
      <c r="AL89" s="507" t="str">
        <f t="shared" si="22"/>
        <v/>
      </c>
      <c r="AM89" s="540" t="str">
        <f>IFERROR(IF(F89="","",IF(AH89="Check Data ⚠","Check Data ⚠",VLOOKUP(AL89, 'G-3 Multipliers'!$P$2:$Q$6,2,FALSE))),"")</f>
        <v/>
      </c>
      <c r="AN89" s="513" t="str">
        <f t="shared" si="14"/>
        <v/>
      </c>
      <c r="AO89" s="239"/>
      <c r="AP89" s="240"/>
    </row>
    <row r="90" spans="1:42" x14ac:dyDescent="0.25">
      <c r="A90" s="47" t="str">
        <f>IF(E90="","",IF(ISNA(VLOOKUP($E90,'A-1 Site Habitat Baseline'!$D$1:$O$258,2,FALSE)),"",(VLOOKUP($E90,'A-1 Site Habitat Baseline'!$D$1:$O$258,2,FALSE))))</f>
        <v/>
      </c>
      <c r="B90" s="47" t="str">
        <f>IF(E90="","",IF(ISNA(VLOOKUP($E90,'A-1 Site Habitat Baseline'!$D$1:$O$258,3,FALSE)),"",(VLOOKUP($E90,'A-1 Site Habitat Baseline'!$D$1:$O$258,3,FALSE))))</f>
        <v/>
      </c>
      <c r="C90" s="47" t="str">
        <f>IFERROR(INDEX('G-8 Condition Look up'!$I$4:$I$130,MATCH(S90,'G-8 Condition Look up'!$A$4:$A$130,0)),"")</f>
        <v/>
      </c>
      <c r="E90" s="531" t="str">
        <f>'A-1 Site Habitat Baseline'!AL89</f>
        <v/>
      </c>
      <c r="F90" s="520" t="str">
        <f>IF(E90="","",IF(ISNA(VLOOKUP($E90,'A-1 Site Habitat Baseline'!$D$1:$O$258,4,FALSE)),"",(VLOOKUP($E90,'A-1 Site Habitat Baseline'!$D$1:$O$258,4,FALSE))))</f>
        <v/>
      </c>
      <c r="G90" s="520" t="str">
        <f>IF(E90="","",IF(ISNA(VLOOKUP($E90,'A-1 Site Habitat Baseline'!$D$1:$O$258,5,FALSE)),"",(VLOOKUP($E90,'A-1 Site Habitat Baseline'!$D$1:$O$258,5,FALSE))))</f>
        <v/>
      </c>
      <c r="H90" s="520" t="str">
        <f>IF(E90="","",IF(ISNA(VLOOKUP($E90,'A-1 Site Habitat Baseline'!$D$1:$O$258,6,FALSE)),"",(VLOOKUP($E90,'A-1 Site Habitat Baseline'!$D$1:$O$258,6,FALSE))))</f>
        <v/>
      </c>
      <c r="I90" s="520" t="str">
        <f>IF(E90="","",IF(ISNA(VLOOKUP($E90,'A-1 Site Habitat Baseline'!$D$1:$O$258,7,FALSE)),"",(VLOOKUP($E90,'A-1 Site Habitat Baseline'!$D$1:$O$258,7,FALSE))))</f>
        <v/>
      </c>
      <c r="J90" s="520" t="str">
        <f>IF(E90="","",IF(ISNA(VLOOKUP($E90,'A-1 Site Habitat Baseline'!$D$1:$O$258,8,FALSE)),"",(VLOOKUP($E90,'A-1 Site Habitat Baseline'!$D$1:$O$258,8,FALSE))))</f>
        <v/>
      </c>
      <c r="K90" s="520" t="str">
        <f>IF(E90="","",IF(ISNA(VLOOKUP($E90,'A-1 Site Habitat Baseline'!$D$1:$O$258,9,FALSE)),"",(VLOOKUP($E90,'A-1 Site Habitat Baseline'!$D$1:$O$258,9,FALSE))))</f>
        <v/>
      </c>
      <c r="L90" s="520" t="str">
        <f>IF(E90="","",IF(ISNA(VLOOKUP($E90,'A-1 Site Habitat Baseline'!$D$1:$O$258,11,FALSE)),"",(VLOOKUP($E90,'A-1 Site Habitat Baseline'!$D$1:$O$258,11,FALSE))))</f>
        <v/>
      </c>
      <c r="M90" s="520" t="str">
        <f>IF(E90="","",IF(ISNA(VLOOKUP($E90,'A-1 Site Habitat Baseline'!$D$1:$O$258,12,FALSE)),"",(VLOOKUP($E90,'A-1 Site Habitat Baseline'!$D$1:$O$258,12,FALSE))))</f>
        <v/>
      </c>
      <c r="N90" s="532" t="str">
        <f>IF(E90="","",IF(ISNA(VLOOKUP($E90,'A-1 Site Habitat Baseline'!$D$1:$X$258,14,FALSE)),"",(VLOOKUP($E90,'A-1 Site Habitat Baseline'!$D$1:$X$258,14,FALSE))))</f>
        <v/>
      </c>
      <c r="O90" s="524" t="str">
        <f>IF(E90="","",IF(ISNA(VLOOKUP($E90,'A-1 Site Habitat Baseline'!$D$1:$X$258,16,FALSE)),"",(VLOOKUP($E90,'A-1 Site Habitat Baseline'!$D$1:$X$258,13,FALSE))))</f>
        <v/>
      </c>
      <c r="P90" s="237" t="str">
        <f>IFERROR(INDEX('G-1 All Habitats'!$AG$3:$AG$15,MATCH(Q90,'G-1 All Habitats'!$AF$3:$AF$15,0)),"")</f>
        <v/>
      </c>
      <c r="Q90" s="238" t="str">
        <f t="shared" si="15"/>
        <v/>
      </c>
      <c r="R90" s="238" t="str">
        <f t="shared" si="16"/>
        <v/>
      </c>
      <c r="S90" s="392" t="str">
        <f>IFERROR(INDEX('G-1 All Habitats'!$B$3:$B$129,MATCH(R90,'G-1 All Habitats'!$A$3:$A$129,0)),"")</f>
        <v/>
      </c>
      <c r="T90" s="498" t="str">
        <f t="shared" si="17"/>
        <v/>
      </c>
      <c r="U90" s="499" t="str">
        <f t="shared" si="18"/>
        <v/>
      </c>
      <c r="V90" s="537" t="str">
        <f t="shared" si="12"/>
        <v/>
      </c>
      <c r="W90" s="520" t="str">
        <f>IF(S90="","",VLOOKUP(S90,'G-1 All Habitats'!$B$2:$M$129,10,FALSE))</f>
        <v/>
      </c>
      <c r="X90" s="520" t="str">
        <f>IFERROR(VLOOKUP(W90,'G-1 All Habitats'!$V$3:$W$7,2,FALSE),"")</f>
        <v/>
      </c>
      <c r="Y90" s="79"/>
      <c r="Z90" s="524" t="str">
        <f>IFERROR(INDEX('G-8 Condition Look up'!$A$3:$H$130,MATCH(S90,'G-8 Condition Look up'!$A$3:$A$130,0),MATCH(Y90,'G-8 Condition Look up'!$A$3:$H$3,0)),"")</f>
        <v/>
      </c>
      <c r="AA90" s="71"/>
      <c r="AB90" s="520" t="str">
        <f>IF(AA90="","",IF(VLOOKUP(AA90,'G-3 Multipliers'!$L$3:$N$6,2,FALSE)=0,"Spatial Data Missing ⚠",VLOOKUP(AA90,'G-3 Multipliers'!$L$3:$N$6,2,FALSE)))</f>
        <v/>
      </c>
      <c r="AC90" s="524" t="str">
        <f>IF(AA90="","",IF(VLOOKUP(AA90,'G-3 Multipliers'!$L$3:$N$6,3,FALSE)=0,"Spatial Data Missing ⚠",VLOOKUP(AA90,'G-3 Multipliers'!$L$3:$N$6,3,FALSE)))</f>
        <v/>
      </c>
      <c r="AD90" s="539" t="str">
        <f t="shared" si="13"/>
        <v/>
      </c>
      <c r="AE90" s="82"/>
      <c r="AF90" s="82"/>
      <c r="AG90" s="507" t="str">
        <f t="shared" si="19"/>
        <v/>
      </c>
      <c r="AH90" s="521" t="str">
        <f t="shared" si="20"/>
        <v/>
      </c>
      <c r="AI90" s="522" t="str">
        <f>IF(AH90="Check Data","Check Data",IFERROR(VLOOKUP(AH90,'G-4 Temporal multipliers'!$A$4:$C$36,3,FALSE),""))</f>
        <v/>
      </c>
      <c r="AJ90" s="498" t="str">
        <f>IF(S90="","",VLOOKUP(S90,'G-3 Multipliers'!$A$2:$E$129,4,FALSE))</f>
        <v/>
      </c>
      <c r="AK90" s="507" t="str">
        <f t="shared" si="21"/>
        <v/>
      </c>
      <c r="AL90" s="507" t="str">
        <f t="shared" si="22"/>
        <v/>
      </c>
      <c r="AM90" s="540" t="str">
        <f>IFERROR(IF(F90="","",IF(AH90="Check Data ⚠","Check Data ⚠",VLOOKUP(AL90, 'G-3 Multipliers'!$P$2:$Q$6,2,FALSE))),"")</f>
        <v/>
      </c>
      <c r="AN90" s="513" t="str">
        <f t="shared" si="14"/>
        <v/>
      </c>
      <c r="AO90" s="239"/>
      <c r="AP90" s="240"/>
    </row>
    <row r="91" spans="1:42" x14ac:dyDescent="0.25">
      <c r="A91" s="47" t="str">
        <f>IF(E91="","",IF(ISNA(VLOOKUP($E91,'A-1 Site Habitat Baseline'!$D$1:$O$258,2,FALSE)),"",(VLOOKUP($E91,'A-1 Site Habitat Baseline'!$D$1:$O$258,2,FALSE))))</f>
        <v/>
      </c>
      <c r="B91" s="47" t="str">
        <f>IF(E91="","",IF(ISNA(VLOOKUP($E91,'A-1 Site Habitat Baseline'!$D$1:$O$258,3,FALSE)),"",(VLOOKUP($E91,'A-1 Site Habitat Baseline'!$D$1:$O$258,3,FALSE))))</f>
        <v/>
      </c>
      <c r="C91" s="47" t="str">
        <f>IFERROR(INDEX('G-8 Condition Look up'!$I$4:$I$130,MATCH(S91,'G-8 Condition Look up'!$A$4:$A$130,0)),"")</f>
        <v/>
      </c>
      <c r="E91" s="531" t="str">
        <f>'A-1 Site Habitat Baseline'!AL90</f>
        <v/>
      </c>
      <c r="F91" s="520" t="str">
        <f>IF(E91="","",IF(ISNA(VLOOKUP($E91,'A-1 Site Habitat Baseline'!$D$1:$O$258,4,FALSE)),"",(VLOOKUP($E91,'A-1 Site Habitat Baseline'!$D$1:$O$258,4,FALSE))))</f>
        <v/>
      </c>
      <c r="G91" s="520" t="str">
        <f>IF(E91="","",IF(ISNA(VLOOKUP($E91,'A-1 Site Habitat Baseline'!$D$1:$O$258,5,FALSE)),"",(VLOOKUP($E91,'A-1 Site Habitat Baseline'!$D$1:$O$258,5,FALSE))))</f>
        <v/>
      </c>
      <c r="H91" s="520" t="str">
        <f>IF(E91="","",IF(ISNA(VLOOKUP($E91,'A-1 Site Habitat Baseline'!$D$1:$O$258,6,FALSE)),"",(VLOOKUP($E91,'A-1 Site Habitat Baseline'!$D$1:$O$258,6,FALSE))))</f>
        <v/>
      </c>
      <c r="I91" s="520" t="str">
        <f>IF(E91="","",IF(ISNA(VLOOKUP($E91,'A-1 Site Habitat Baseline'!$D$1:$O$258,7,FALSE)),"",(VLOOKUP($E91,'A-1 Site Habitat Baseline'!$D$1:$O$258,7,FALSE))))</f>
        <v/>
      </c>
      <c r="J91" s="520" t="str">
        <f>IF(E91="","",IF(ISNA(VLOOKUP($E91,'A-1 Site Habitat Baseline'!$D$1:$O$258,8,FALSE)),"",(VLOOKUP($E91,'A-1 Site Habitat Baseline'!$D$1:$O$258,8,FALSE))))</f>
        <v/>
      </c>
      <c r="K91" s="520" t="str">
        <f>IF(E91="","",IF(ISNA(VLOOKUP($E91,'A-1 Site Habitat Baseline'!$D$1:$O$258,9,FALSE)),"",(VLOOKUP($E91,'A-1 Site Habitat Baseline'!$D$1:$O$258,9,FALSE))))</f>
        <v/>
      </c>
      <c r="L91" s="520" t="str">
        <f>IF(E91="","",IF(ISNA(VLOOKUP($E91,'A-1 Site Habitat Baseline'!$D$1:$O$258,11,FALSE)),"",(VLOOKUP($E91,'A-1 Site Habitat Baseline'!$D$1:$O$258,11,FALSE))))</f>
        <v/>
      </c>
      <c r="M91" s="520" t="str">
        <f>IF(E91="","",IF(ISNA(VLOOKUP($E91,'A-1 Site Habitat Baseline'!$D$1:$O$258,12,FALSE)),"",(VLOOKUP($E91,'A-1 Site Habitat Baseline'!$D$1:$O$258,12,FALSE))))</f>
        <v/>
      </c>
      <c r="N91" s="532" t="str">
        <f>IF(E91="","",IF(ISNA(VLOOKUP($E91,'A-1 Site Habitat Baseline'!$D$1:$X$258,14,FALSE)),"",(VLOOKUP($E91,'A-1 Site Habitat Baseline'!$D$1:$X$258,14,FALSE))))</f>
        <v/>
      </c>
      <c r="O91" s="524" t="str">
        <f>IF(E91="","",IF(ISNA(VLOOKUP($E91,'A-1 Site Habitat Baseline'!$D$1:$X$258,16,FALSE)),"",(VLOOKUP($E91,'A-1 Site Habitat Baseline'!$D$1:$X$258,13,FALSE))))</f>
        <v/>
      </c>
      <c r="P91" s="237" t="str">
        <f>IFERROR(INDEX('G-1 All Habitats'!$AG$3:$AG$15,MATCH(Q91,'G-1 All Habitats'!$AF$3:$AF$15,0)),"")</f>
        <v/>
      </c>
      <c r="Q91" s="238" t="str">
        <f t="shared" si="15"/>
        <v/>
      </c>
      <c r="R91" s="238" t="str">
        <f t="shared" si="16"/>
        <v/>
      </c>
      <c r="S91" s="392" t="str">
        <f>IFERROR(INDEX('G-1 All Habitats'!$B$3:$B$129,MATCH(R91,'G-1 All Habitats'!$A$3:$A$129,0)),"")</f>
        <v/>
      </c>
      <c r="T91" s="498" t="str">
        <f t="shared" si="17"/>
        <v/>
      </c>
      <c r="U91" s="499" t="str">
        <f t="shared" si="18"/>
        <v/>
      </c>
      <c r="V91" s="537" t="str">
        <f t="shared" si="12"/>
        <v/>
      </c>
      <c r="W91" s="520" t="str">
        <f>IF(S91="","",VLOOKUP(S91,'G-1 All Habitats'!$B$2:$M$129,10,FALSE))</f>
        <v/>
      </c>
      <c r="X91" s="520" t="str">
        <f>IFERROR(VLOOKUP(W91,'G-1 All Habitats'!$V$3:$W$7,2,FALSE),"")</f>
        <v/>
      </c>
      <c r="Y91" s="79"/>
      <c r="Z91" s="524" t="str">
        <f>IFERROR(INDEX('G-8 Condition Look up'!$A$3:$H$130,MATCH(S91,'G-8 Condition Look up'!$A$3:$A$130,0),MATCH(Y91,'G-8 Condition Look up'!$A$3:$H$3,0)),"")</f>
        <v/>
      </c>
      <c r="AA91" s="71"/>
      <c r="AB91" s="520" t="str">
        <f>IF(AA91="","",IF(VLOOKUP(AA91,'G-3 Multipliers'!$L$3:$N$6,2,FALSE)=0,"Spatial Data Missing ⚠",VLOOKUP(AA91,'G-3 Multipliers'!$L$3:$N$6,2,FALSE)))</f>
        <v/>
      </c>
      <c r="AC91" s="524" t="str">
        <f>IF(AA91="","",IF(VLOOKUP(AA91,'G-3 Multipliers'!$L$3:$N$6,3,FALSE)=0,"Spatial Data Missing ⚠",VLOOKUP(AA91,'G-3 Multipliers'!$L$3:$N$6,3,FALSE)))</f>
        <v/>
      </c>
      <c r="AD91" s="539" t="str">
        <f t="shared" si="13"/>
        <v/>
      </c>
      <c r="AE91" s="82"/>
      <c r="AF91" s="82"/>
      <c r="AG91" s="507" t="str">
        <f t="shared" si="19"/>
        <v/>
      </c>
      <c r="AH91" s="521" t="str">
        <f t="shared" si="20"/>
        <v/>
      </c>
      <c r="AI91" s="522" t="str">
        <f>IF(AH91="Check Data","Check Data",IFERROR(VLOOKUP(AH91,'G-4 Temporal multipliers'!$A$4:$C$36,3,FALSE),""))</f>
        <v/>
      </c>
      <c r="AJ91" s="498" t="str">
        <f>IF(S91="","",VLOOKUP(S91,'G-3 Multipliers'!$A$2:$E$129,4,FALSE))</f>
        <v/>
      </c>
      <c r="AK91" s="507" t="str">
        <f t="shared" si="21"/>
        <v/>
      </c>
      <c r="AL91" s="507" t="str">
        <f t="shared" si="22"/>
        <v/>
      </c>
      <c r="AM91" s="540" t="str">
        <f>IFERROR(IF(F91="","",IF(AH91="Check Data ⚠","Check Data ⚠",VLOOKUP(AL91, 'G-3 Multipliers'!$P$2:$Q$6,2,FALSE))),"")</f>
        <v/>
      </c>
      <c r="AN91" s="513" t="str">
        <f t="shared" si="14"/>
        <v/>
      </c>
      <c r="AO91" s="239"/>
      <c r="AP91" s="240"/>
    </row>
    <row r="92" spans="1:42" x14ac:dyDescent="0.25">
      <c r="A92" s="47" t="str">
        <f>IF(E92="","",IF(ISNA(VLOOKUP($E92,'A-1 Site Habitat Baseline'!$D$1:$O$258,2,FALSE)),"",(VLOOKUP($E92,'A-1 Site Habitat Baseline'!$D$1:$O$258,2,FALSE))))</f>
        <v/>
      </c>
      <c r="B92" s="47" t="str">
        <f>IF(E92="","",IF(ISNA(VLOOKUP($E92,'A-1 Site Habitat Baseline'!$D$1:$O$258,3,FALSE)),"",(VLOOKUP($E92,'A-1 Site Habitat Baseline'!$D$1:$O$258,3,FALSE))))</f>
        <v/>
      </c>
      <c r="C92" s="47" t="str">
        <f>IFERROR(INDEX('G-8 Condition Look up'!$I$4:$I$130,MATCH(S92,'G-8 Condition Look up'!$A$4:$A$130,0)),"")</f>
        <v/>
      </c>
      <c r="E92" s="531" t="str">
        <f>'A-1 Site Habitat Baseline'!AL91</f>
        <v/>
      </c>
      <c r="F92" s="520" t="str">
        <f>IF(E92="","",IF(ISNA(VLOOKUP($E92,'A-1 Site Habitat Baseline'!$D$1:$O$258,4,FALSE)),"",(VLOOKUP($E92,'A-1 Site Habitat Baseline'!$D$1:$O$258,4,FALSE))))</f>
        <v/>
      </c>
      <c r="G92" s="520" t="str">
        <f>IF(E92="","",IF(ISNA(VLOOKUP($E92,'A-1 Site Habitat Baseline'!$D$1:$O$258,5,FALSE)),"",(VLOOKUP($E92,'A-1 Site Habitat Baseline'!$D$1:$O$258,5,FALSE))))</f>
        <v/>
      </c>
      <c r="H92" s="520" t="str">
        <f>IF(E92="","",IF(ISNA(VLOOKUP($E92,'A-1 Site Habitat Baseline'!$D$1:$O$258,6,FALSE)),"",(VLOOKUP($E92,'A-1 Site Habitat Baseline'!$D$1:$O$258,6,FALSE))))</f>
        <v/>
      </c>
      <c r="I92" s="520" t="str">
        <f>IF(E92="","",IF(ISNA(VLOOKUP($E92,'A-1 Site Habitat Baseline'!$D$1:$O$258,7,FALSE)),"",(VLOOKUP($E92,'A-1 Site Habitat Baseline'!$D$1:$O$258,7,FALSE))))</f>
        <v/>
      </c>
      <c r="J92" s="520" t="str">
        <f>IF(E92="","",IF(ISNA(VLOOKUP($E92,'A-1 Site Habitat Baseline'!$D$1:$O$258,8,FALSE)),"",(VLOOKUP($E92,'A-1 Site Habitat Baseline'!$D$1:$O$258,8,FALSE))))</f>
        <v/>
      </c>
      <c r="K92" s="520" t="str">
        <f>IF(E92="","",IF(ISNA(VLOOKUP($E92,'A-1 Site Habitat Baseline'!$D$1:$O$258,9,FALSE)),"",(VLOOKUP($E92,'A-1 Site Habitat Baseline'!$D$1:$O$258,9,FALSE))))</f>
        <v/>
      </c>
      <c r="L92" s="520" t="str">
        <f>IF(E92="","",IF(ISNA(VLOOKUP($E92,'A-1 Site Habitat Baseline'!$D$1:$O$258,11,FALSE)),"",(VLOOKUP($E92,'A-1 Site Habitat Baseline'!$D$1:$O$258,11,FALSE))))</f>
        <v/>
      </c>
      <c r="M92" s="520" t="str">
        <f>IF(E92="","",IF(ISNA(VLOOKUP($E92,'A-1 Site Habitat Baseline'!$D$1:$O$258,12,FALSE)),"",(VLOOKUP($E92,'A-1 Site Habitat Baseline'!$D$1:$O$258,12,FALSE))))</f>
        <v/>
      </c>
      <c r="N92" s="532" t="str">
        <f>IF(E92="","",IF(ISNA(VLOOKUP($E92,'A-1 Site Habitat Baseline'!$D$1:$X$258,14,FALSE)),"",(VLOOKUP($E92,'A-1 Site Habitat Baseline'!$D$1:$X$258,14,FALSE))))</f>
        <v/>
      </c>
      <c r="O92" s="524" t="str">
        <f>IF(E92="","",IF(ISNA(VLOOKUP($E92,'A-1 Site Habitat Baseline'!$D$1:$X$258,16,FALSE)),"",(VLOOKUP($E92,'A-1 Site Habitat Baseline'!$D$1:$X$258,13,FALSE))))</f>
        <v/>
      </c>
      <c r="P92" s="237" t="str">
        <f>IFERROR(INDEX('G-1 All Habitats'!$AG$3:$AG$15,MATCH(Q92,'G-1 All Habitats'!$AF$3:$AF$15,0)),"")</f>
        <v/>
      </c>
      <c r="Q92" s="238" t="str">
        <f t="shared" si="15"/>
        <v/>
      </c>
      <c r="R92" s="238" t="str">
        <f t="shared" si="16"/>
        <v/>
      </c>
      <c r="S92" s="392" t="str">
        <f>IFERROR(INDEX('G-1 All Habitats'!$B$3:$B$129,MATCH(R92,'G-1 All Habitats'!$A$3:$A$129,0)),"")</f>
        <v/>
      </c>
      <c r="T92" s="498" t="str">
        <f t="shared" si="17"/>
        <v/>
      </c>
      <c r="U92" s="499" t="str">
        <f t="shared" si="18"/>
        <v/>
      </c>
      <c r="V92" s="537" t="str">
        <f t="shared" si="12"/>
        <v/>
      </c>
      <c r="W92" s="520" t="str">
        <f>IF(S92="","",VLOOKUP(S92,'G-1 All Habitats'!$B$2:$M$129,10,FALSE))</f>
        <v/>
      </c>
      <c r="X92" s="520" t="str">
        <f>IFERROR(VLOOKUP(W92,'G-1 All Habitats'!$V$3:$W$7,2,FALSE),"")</f>
        <v/>
      </c>
      <c r="Y92" s="79"/>
      <c r="Z92" s="524" t="str">
        <f>IFERROR(INDEX('G-8 Condition Look up'!$A$3:$H$130,MATCH(S92,'G-8 Condition Look up'!$A$3:$A$130,0),MATCH(Y92,'G-8 Condition Look up'!$A$3:$H$3,0)),"")</f>
        <v/>
      </c>
      <c r="AA92" s="71"/>
      <c r="AB92" s="520" t="str">
        <f>IF(AA92="","",IF(VLOOKUP(AA92,'G-3 Multipliers'!$L$3:$N$6,2,FALSE)=0,"Spatial Data Missing ⚠",VLOOKUP(AA92,'G-3 Multipliers'!$L$3:$N$6,2,FALSE)))</f>
        <v/>
      </c>
      <c r="AC92" s="524" t="str">
        <f>IF(AA92="","",IF(VLOOKUP(AA92,'G-3 Multipliers'!$L$3:$N$6,3,FALSE)=0,"Spatial Data Missing ⚠",VLOOKUP(AA92,'G-3 Multipliers'!$L$3:$N$6,3,FALSE)))</f>
        <v/>
      </c>
      <c r="AD92" s="539" t="str">
        <f t="shared" si="13"/>
        <v/>
      </c>
      <c r="AE92" s="82"/>
      <c r="AF92" s="82"/>
      <c r="AG92" s="507" t="str">
        <f t="shared" si="19"/>
        <v/>
      </c>
      <c r="AH92" s="521" t="str">
        <f t="shared" si="20"/>
        <v/>
      </c>
      <c r="AI92" s="522" t="str">
        <f>IF(AH92="Check Data","Check Data",IFERROR(VLOOKUP(AH92,'G-4 Temporal multipliers'!$A$4:$C$36,3,FALSE),""))</f>
        <v/>
      </c>
      <c r="AJ92" s="498" t="str">
        <f>IF(S92="","",VLOOKUP(S92,'G-3 Multipliers'!$A$2:$E$129,4,FALSE))</f>
        <v/>
      </c>
      <c r="AK92" s="507" t="str">
        <f t="shared" si="21"/>
        <v/>
      </c>
      <c r="AL92" s="507" t="str">
        <f t="shared" si="22"/>
        <v/>
      </c>
      <c r="AM92" s="540" t="str">
        <f>IFERROR(IF(F92="","",IF(AH92="Check Data ⚠","Check Data ⚠",VLOOKUP(AL92, 'G-3 Multipliers'!$P$2:$Q$6,2,FALSE))),"")</f>
        <v/>
      </c>
      <c r="AN92" s="513" t="str">
        <f t="shared" si="14"/>
        <v/>
      </c>
      <c r="AO92" s="239"/>
      <c r="AP92" s="240"/>
    </row>
    <row r="93" spans="1:42" x14ac:dyDescent="0.25">
      <c r="A93" s="47" t="str">
        <f>IF(E93="","",IF(ISNA(VLOOKUP($E93,'A-1 Site Habitat Baseline'!$D$1:$O$258,2,FALSE)),"",(VLOOKUP($E93,'A-1 Site Habitat Baseline'!$D$1:$O$258,2,FALSE))))</f>
        <v/>
      </c>
      <c r="B93" s="47" t="str">
        <f>IF(E93="","",IF(ISNA(VLOOKUP($E93,'A-1 Site Habitat Baseline'!$D$1:$O$258,3,FALSE)),"",(VLOOKUP($E93,'A-1 Site Habitat Baseline'!$D$1:$O$258,3,FALSE))))</f>
        <v/>
      </c>
      <c r="C93" s="47" t="str">
        <f>IFERROR(INDEX('G-8 Condition Look up'!$I$4:$I$130,MATCH(S93,'G-8 Condition Look up'!$A$4:$A$130,0)),"")</f>
        <v/>
      </c>
      <c r="E93" s="531" t="str">
        <f>'A-1 Site Habitat Baseline'!AL92</f>
        <v/>
      </c>
      <c r="F93" s="520" t="str">
        <f>IF(E93="","",IF(ISNA(VLOOKUP($E93,'A-1 Site Habitat Baseline'!$D$1:$O$258,4,FALSE)),"",(VLOOKUP($E93,'A-1 Site Habitat Baseline'!$D$1:$O$258,4,FALSE))))</f>
        <v/>
      </c>
      <c r="G93" s="520" t="str">
        <f>IF(E93="","",IF(ISNA(VLOOKUP($E93,'A-1 Site Habitat Baseline'!$D$1:$O$258,5,FALSE)),"",(VLOOKUP($E93,'A-1 Site Habitat Baseline'!$D$1:$O$258,5,FALSE))))</f>
        <v/>
      </c>
      <c r="H93" s="520" t="str">
        <f>IF(E93="","",IF(ISNA(VLOOKUP($E93,'A-1 Site Habitat Baseline'!$D$1:$O$258,6,FALSE)),"",(VLOOKUP($E93,'A-1 Site Habitat Baseline'!$D$1:$O$258,6,FALSE))))</f>
        <v/>
      </c>
      <c r="I93" s="520" t="str">
        <f>IF(E93="","",IF(ISNA(VLOOKUP($E93,'A-1 Site Habitat Baseline'!$D$1:$O$258,7,FALSE)),"",(VLOOKUP($E93,'A-1 Site Habitat Baseline'!$D$1:$O$258,7,FALSE))))</f>
        <v/>
      </c>
      <c r="J93" s="520" t="str">
        <f>IF(E93="","",IF(ISNA(VLOOKUP($E93,'A-1 Site Habitat Baseline'!$D$1:$O$258,8,FALSE)),"",(VLOOKUP($E93,'A-1 Site Habitat Baseline'!$D$1:$O$258,8,FALSE))))</f>
        <v/>
      </c>
      <c r="K93" s="520" t="str">
        <f>IF(E93="","",IF(ISNA(VLOOKUP($E93,'A-1 Site Habitat Baseline'!$D$1:$O$258,9,FALSE)),"",(VLOOKUP($E93,'A-1 Site Habitat Baseline'!$D$1:$O$258,9,FALSE))))</f>
        <v/>
      </c>
      <c r="L93" s="520" t="str">
        <f>IF(E93="","",IF(ISNA(VLOOKUP($E93,'A-1 Site Habitat Baseline'!$D$1:$O$258,11,FALSE)),"",(VLOOKUP($E93,'A-1 Site Habitat Baseline'!$D$1:$O$258,11,FALSE))))</f>
        <v/>
      </c>
      <c r="M93" s="520" t="str">
        <f>IF(E93="","",IF(ISNA(VLOOKUP($E93,'A-1 Site Habitat Baseline'!$D$1:$O$258,12,FALSE)),"",(VLOOKUP($E93,'A-1 Site Habitat Baseline'!$D$1:$O$258,12,FALSE))))</f>
        <v/>
      </c>
      <c r="N93" s="532" t="str">
        <f>IF(E93="","",IF(ISNA(VLOOKUP($E93,'A-1 Site Habitat Baseline'!$D$1:$X$258,14,FALSE)),"",(VLOOKUP($E93,'A-1 Site Habitat Baseline'!$D$1:$X$258,14,FALSE))))</f>
        <v/>
      </c>
      <c r="O93" s="524" t="str">
        <f>IF(E93="","",IF(ISNA(VLOOKUP($E93,'A-1 Site Habitat Baseline'!$D$1:$X$258,16,FALSE)),"",(VLOOKUP($E93,'A-1 Site Habitat Baseline'!$D$1:$X$258,13,FALSE))))</f>
        <v/>
      </c>
      <c r="P93" s="237" t="str">
        <f>IFERROR(INDEX('G-1 All Habitats'!$AG$3:$AG$15,MATCH(Q93,'G-1 All Habitats'!$AF$3:$AF$15,0)),"")</f>
        <v/>
      </c>
      <c r="Q93" s="238" t="str">
        <f t="shared" si="15"/>
        <v/>
      </c>
      <c r="R93" s="238" t="str">
        <f t="shared" si="16"/>
        <v/>
      </c>
      <c r="S93" s="392" t="str">
        <f>IFERROR(INDEX('G-1 All Habitats'!$B$3:$B$129,MATCH(R93,'G-1 All Habitats'!$A$3:$A$129,0)),"")</f>
        <v/>
      </c>
      <c r="T93" s="498" t="str">
        <f t="shared" si="17"/>
        <v/>
      </c>
      <c r="U93" s="499" t="str">
        <f t="shared" si="18"/>
        <v/>
      </c>
      <c r="V93" s="537" t="str">
        <f t="shared" si="12"/>
        <v/>
      </c>
      <c r="W93" s="520" t="str">
        <f>IF(S93="","",VLOOKUP(S93,'G-1 All Habitats'!$B$2:$M$129,10,FALSE))</f>
        <v/>
      </c>
      <c r="X93" s="520" t="str">
        <f>IFERROR(VLOOKUP(W93,'G-1 All Habitats'!$V$3:$W$7,2,FALSE),"")</f>
        <v/>
      </c>
      <c r="Y93" s="79"/>
      <c r="Z93" s="524" t="str">
        <f>IFERROR(INDEX('G-8 Condition Look up'!$A$3:$H$130,MATCH(S93,'G-8 Condition Look up'!$A$3:$A$130,0),MATCH(Y93,'G-8 Condition Look up'!$A$3:$H$3,0)),"")</f>
        <v/>
      </c>
      <c r="AA93" s="71"/>
      <c r="AB93" s="520" t="str">
        <f>IF(AA93="","",IF(VLOOKUP(AA93,'G-3 Multipliers'!$L$3:$N$6,2,FALSE)=0,"Spatial Data Missing ⚠",VLOOKUP(AA93,'G-3 Multipliers'!$L$3:$N$6,2,FALSE)))</f>
        <v/>
      </c>
      <c r="AC93" s="524" t="str">
        <f>IF(AA93="","",IF(VLOOKUP(AA93,'G-3 Multipliers'!$L$3:$N$6,3,FALSE)=0,"Spatial Data Missing ⚠",VLOOKUP(AA93,'G-3 Multipliers'!$L$3:$N$6,3,FALSE)))</f>
        <v/>
      </c>
      <c r="AD93" s="539" t="str">
        <f t="shared" si="13"/>
        <v/>
      </c>
      <c r="AE93" s="82"/>
      <c r="AF93" s="82"/>
      <c r="AG93" s="507" t="str">
        <f t="shared" si="19"/>
        <v/>
      </c>
      <c r="AH93" s="521" t="str">
        <f t="shared" si="20"/>
        <v/>
      </c>
      <c r="AI93" s="522" t="str">
        <f>IF(AH93="Check Data","Check Data",IFERROR(VLOOKUP(AH93,'G-4 Temporal multipliers'!$A$4:$C$36,3,FALSE),""))</f>
        <v/>
      </c>
      <c r="AJ93" s="498" t="str">
        <f>IF(S93="","",VLOOKUP(S93,'G-3 Multipliers'!$A$2:$E$129,4,FALSE))</f>
        <v/>
      </c>
      <c r="AK93" s="507" t="str">
        <f t="shared" si="21"/>
        <v/>
      </c>
      <c r="AL93" s="507" t="str">
        <f t="shared" si="22"/>
        <v/>
      </c>
      <c r="AM93" s="540" t="str">
        <f>IFERROR(IF(F93="","",IF(AH93="Check Data ⚠","Check Data ⚠",VLOOKUP(AL93, 'G-3 Multipliers'!$P$2:$Q$6,2,FALSE))),"")</f>
        <v/>
      </c>
      <c r="AN93" s="513" t="str">
        <f t="shared" si="14"/>
        <v/>
      </c>
      <c r="AO93" s="239"/>
      <c r="AP93" s="240"/>
    </row>
    <row r="94" spans="1:42" x14ac:dyDescent="0.25">
      <c r="A94" s="47" t="str">
        <f>IF(E94="","",IF(ISNA(VLOOKUP($E94,'A-1 Site Habitat Baseline'!$D$1:$O$258,2,FALSE)),"",(VLOOKUP($E94,'A-1 Site Habitat Baseline'!$D$1:$O$258,2,FALSE))))</f>
        <v/>
      </c>
      <c r="B94" s="47" t="str">
        <f>IF(E94="","",IF(ISNA(VLOOKUP($E94,'A-1 Site Habitat Baseline'!$D$1:$O$258,3,FALSE)),"",(VLOOKUP($E94,'A-1 Site Habitat Baseline'!$D$1:$O$258,3,FALSE))))</f>
        <v/>
      </c>
      <c r="C94" s="47" t="str">
        <f>IFERROR(INDEX('G-8 Condition Look up'!$I$4:$I$130,MATCH(S94,'G-8 Condition Look up'!$A$4:$A$130,0)),"")</f>
        <v/>
      </c>
      <c r="E94" s="531" t="str">
        <f>'A-1 Site Habitat Baseline'!AL93</f>
        <v/>
      </c>
      <c r="F94" s="520" t="str">
        <f>IF(E94="","",IF(ISNA(VLOOKUP($E94,'A-1 Site Habitat Baseline'!$D$1:$O$258,4,FALSE)),"",(VLOOKUP($E94,'A-1 Site Habitat Baseline'!$D$1:$O$258,4,FALSE))))</f>
        <v/>
      </c>
      <c r="G94" s="520" t="str">
        <f>IF(E94="","",IF(ISNA(VLOOKUP($E94,'A-1 Site Habitat Baseline'!$D$1:$O$258,5,FALSE)),"",(VLOOKUP($E94,'A-1 Site Habitat Baseline'!$D$1:$O$258,5,FALSE))))</f>
        <v/>
      </c>
      <c r="H94" s="520" t="str">
        <f>IF(E94="","",IF(ISNA(VLOOKUP($E94,'A-1 Site Habitat Baseline'!$D$1:$O$258,6,FALSE)),"",(VLOOKUP($E94,'A-1 Site Habitat Baseline'!$D$1:$O$258,6,FALSE))))</f>
        <v/>
      </c>
      <c r="I94" s="520" t="str">
        <f>IF(E94="","",IF(ISNA(VLOOKUP($E94,'A-1 Site Habitat Baseline'!$D$1:$O$258,7,FALSE)),"",(VLOOKUP($E94,'A-1 Site Habitat Baseline'!$D$1:$O$258,7,FALSE))))</f>
        <v/>
      </c>
      <c r="J94" s="520" t="str">
        <f>IF(E94="","",IF(ISNA(VLOOKUP($E94,'A-1 Site Habitat Baseline'!$D$1:$O$258,8,FALSE)),"",(VLOOKUP($E94,'A-1 Site Habitat Baseline'!$D$1:$O$258,8,FALSE))))</f>
        <v/>
      </c>
      <c r="K94" s="520" t="str">
        <f>IF(E94="","",IF(ISNA(VLOOKUP($E94,'A-1 Site Habitat Baseline'!$D$1:$O$258,9,FALSE)),"",(VLOOKUP($E94,'A-1 Site Habitat Baseline'!$D$1:$O$258,9,FALSE))))</f>
        <v/>
      </c>
      <c r="L94" s="520" t="str">
        <f>IF(E94="","",IF(ISNA(VLOOKUP($E94,'A-1 Site Habitat Baseline'!$D$1:$O$258,11,FALSE)),"",(VLOOKUP($E94,'A-1 Site Habitat Baseline'!$D$1:$O$258,11,FALSE))))</f>
        <v/>
      </c>
      <c r="M94" s="520" t="str">
        <f>IF(E94="","",IF(ISNA(VLOOKUP($E94,'A-1 Site Habitat Baseline'!$D$1:$O$258,12,FALSE)),"",(VLOOKUP($E94,'A-1 Site Habitat Baseline'!$D$1:$O$258,12,FALSE))))</f>
        <v/>
      </c>
      <c r="N94" s="532" t="str">
        <f>IF(E94="","",IF(ISNA(VLOOKUP($E94,'A-1 Site Habitat Baseline'!$D$1:$X$258,14,FALSE)),"",(VLOOKUP($E94,'A-1 Site Habitat Baseline'!$D$1:$X$258,14,FALSE))))</f>
        <v/>
      </c>
      <c r="O94" s="524" t="str">
        <f>IF(E94="","",IF(ISNA(VLOOKUP($E94,'A-1 Site Habitat Baseline'!$D$1:$X$258,16,FALSE)),"",(VLOOKUP($E94,'A-1 Site Habitat Baseline'!$D$1:$X$258,13,FALSE))))</f>
        <v/>
      </c>
      <c r="P94" s="237" t="str">
        <f>IFERROR(INDEX('G-1 All Habitats'!$AG$3:$AG$15,MATCH(Q94,'G-1 All Habitats'!$AF$3:$AF$15,0)),"")</f>
        <v/>
      </c>
      <c r="Q94" s="238" t="str">
        <f t="shared" si="15"/>
        <v/>
      </c>
      <c r="R94" s="238" t="str">
        <f t="shared" si="16"/>
        <v/>
      </c>
      <c r="S94" s="392" t="str">
        <f>IFERROR(INDEX('G-1 All Habitats'!$B$3:$B$129,MATCH(R94,'G-1 All Habitats'!$A$3:$A$129,0)),"")</f>
        <v/>
      </c>
      <c r="T94" s="498" t="str">
        <f t="shared" si="17"/>
        <v/>
      </c>
      <c r="U94" s="499" t="str">
        <f t="shared" si="18"/>
        <v/>
      </c>
      <c r="V94" s="537" t="str">
        <f t="shared" si="12"/>
        <v/>
      </c>
      <c r="W94" s="520" t="str">
        <f>IF(S94="","",VLOOKUP(S94,'G-1 All Habitats'!$B$2:$M$129,10,FALSE))</f>
        <v/>
      </c>
      <c r="X94" s="520" t="str">
        <f>IFERROR(VLOOKUP(W94,'G-1 All Habitats'!$V$3:$W$7,2,FALSE),"")</f>
        <v/>
      </c>
      <c r="Y94" s="79"/>
      <c r="Z94" s="524" t="str">
        <f>IFERROR(INDEX('G-8 Condition Look up'!$A$3:$H$130,MATCH(S94,'G-8 Condition Look up'!$A$3:$A$130,0),MATCH(Y94,'G-8 Condition Look up'!$A$3:$H$3,0)),"")</f>
        <v/>
      </c>
      <c r="AA94" s="71"/>
      <c r="AB94" s="520" t="str">
        <f>IF(AA94="","",IF(VLOOKUP(AA94,'G-3 Multipliers'!$L$3:$N$6,2,FALSE)=0,"Spatial Data Missing ⚠",VLOOKUP(AA94,'G-3 Multipliers'!$L$3:$N$6,2,FALSE)))</f>
        <v/>
      </c>
      <c r="AC94" s="524" t="str">
        <f>IF(AA94="","",IF(VLOOKUP(AA94,'G-3 Multipliers'!$L$3:$N$6,3,FALSE)=0,"Spatial Data Missing ⚠",VLOOKUP(AA94,'G-3 Multipliers'!$L$3:$N$6,3,FALSE)))</f>
        <v/>
      </c>
      <c r="AD94" s="539" t="str">
        <f t="shared" si="13"/>
        <v/>
      </c>
      <c r="AE94" s="82"/>
      <c r="AF94" s="82"/>
      <c r="AG94" s="507" t="str">
        <f t="shared" si="19"/>
        <v/>
      </c>
      <c r="AH94" s="521" t="str">
        <f t="shared" si="20"/>
        <v/>
      </c>
      <c r="AI94" s="522" t="str">
        <f>IF(AH94="Check Data","Check Data",IFERROR(VLOOKUP(AH94,'G-4 Temporal multipliers'!$A$4:$C$36,3,FALSE),""))</f>
        <v/>
      </c>
      <c r="AJ94" s="498" t="str">
        <f>IF(S94="","",VLOOKUP(S94,'G-3 Multipliers'!$A$2:$E$129,4,FALSE))</f>
        <v/>
      </c>
      <c r="AK94" s="507" t="str">
        <f t="shared" si="21"/>
        <v/>
      </c>
      <c r="AL94" s="507" t="str">
        <f t="shared" si="22"/>
        <v/>
      </c>
      <c r="AM94" s="540" t="str">
        <f>IFERROR(IF(F94="","",IF(AH94="Check Data ⚠","Check Data ⚠",VLOOKUP(AL94, 'G-3 Multipliers'!$P$2:$Q$6,2,FALSE))),"")</f>
        <v/>
      </c>
      <c r="AN94" s="513" t="str">
        <f t="shared" si="14"/>
        <v/>
      </c>
      <c r="AO94" s="239"/>
      <c r="AP94" s="240"/>
    </row>
    <row r="95" spans="1:42" x14ac:dyDescent="0.25">
      <c r="A95" s="47" t="str">
        <f>IF(E95="","",IF(ISNA(VLOOKUP($E95,'A-1 Site Habitat Baseline'!$D$1:$O$258,2,FALSE)),"",(VLOOKUP($E95,'A-1 Site Habitat Baseline'!$D$1:$O$258,2,FALSE))))</f>
        <v/>
      </c>
      <c r="B95" s="47" t="str">
        <f>IF(E95="","",IF(ISNA(VLOOKUP($E95,'A-1 Site Habitat Baseline'!$D$1:$O$258,3,FALSE)),"",(VLOOKUP($E95,'A-1 Site Habitat Baseline'!$D$1:$O$258,3,FALSE))))</f>
        <v/>
      </c>
      <c r="C95" s="47" t="str">
        <f>IFERROR(INDEX('G-8 Condition Look up'!$I$4:$I$130,MATCH(S95,'G-8 Condition Look up'!$A$4:$A$130,0)),"")</f>
        <v/>
      </c>
      <c r="E95" s="531" t="str">
        <f>'A-1 Site Habitat Baseline'!AL94</f>
        <v/>
      </c>
      <c r="F95" s="520" t="str">
        <f>IF(E95="","",IF(ISNA(VLOOKUP($E95,'A-1 Site Habitat Baseline'!$D$1:$O$258,4,FALSE)),"",(VLOOKUP($E95,'A-1 Site Habitat Baseline'!$D$1:$O$258,4,FALSE))))</f>
        <v/>
      </c>
      <c r="G95" s="520" t="str">
        <f>IF(E95="","",IF(ISNA(VLOOKUP($E95,'A-1 Site Habitat Baseline'!$D$1:$O$258,5,FALSE)),"",(VLOOKUP($E95,'A-1 Site Habitat Baseline'!$D$1:$O$258,5,FALSE))))</f>
        <v/>
      </c>
      <c r="H95" s="520" t="str">
        <f>IF(E95="","",IF(ISNA(VLOOKUP($E95,'A-1 Site Habitat Baseline'!$D$1:$O$258,6,FALSE)),"",(VLOOKUP($E95,'A-1 Site Habitat Baseline'!$D$1:$O$258,6,FALSE))))</f>
        <v/>
      </c>
      <c r="I95" s="520" t="str">
        <f>IF(E95="","",IF(ISNA(VLOOKUP($E95,'A-1 Site Habitat Baseline'!$D$1:$O$258,7,FALSE)),"",(VLOOKUP($E95,'A-1 Site Habitat Baseline'!$D$1:$O$258,7,FALSE))))</f>
        <v/>
      </c>
      <c r="J95" s="520" t="str">
        <f>IF(E95="","",IF(ISNA(VLOOKUP($E95,'A-1 Site Habitat Baseline'!$D$1:$O$258,8,FALSE)),"",(VLOOKUP($E95,'A-1 Site Habitat Baseline'!$D$1:$O$258,8,FALSE))))</f>
        <v/>
      </c>
      <c r="K95" s="520" t="str">
        <f>IF(E95="","",IF(ISNA(VLOOKUP($E95,'A-1 Site Habitat Baseline'!$D$1:$O$258,9,FALSE)),"",(VLOOKUP($E95,'A-1 Site Habitat Baseline'!$D$1:$O$258,9,FALSE))))</f>
        <v/>
      </c>
      <c r="L95" s="520" t="str">
        <f>IF(E95="","",IF(ISNA(VLOOKUP($E95,'A-1 Site Habitat Baseline'!$D$1:$O$258,11,FALSE)),"",(VLOOKUP($E95,'A-1 Site Habitat Baseline'!$D$1:$O$258,11,FALSE))))</f>
        <v/>
      </c>
      <c r="M95" s="520" t="str">
        <f>IF(E95="","",IF(ISNA(VLOOKUP($E95,'A-1 Site Habitat Baseline'!$D$1:$O$258,12,FALSE)),"",(VLOOKUP($E95,'A-1 Site Habitat Baseline'!$D$1:$O$258,12,FALSE))))</f>
        <v/>
      </c>
      <c r="N95" s="532" t="str">
        <f>IF(E95="","",IF(ISNA(VLOOKUP($E95,'A-1 Site Habitat Baseline'!$D$1:$X$258,14,FALSE)),"",(VLOOKUP($E95,'A-1 Site Habitat Baseline'!$D$1:$X$258,14,FALSE))))</f>
        <v/>
      </c>
      <c r="O95" s="524" t="str">
        <f>IF(E95="","",IF(ISNA(VLOOKUP($E95,'A-1 Site Habitat Baseline'!$D$1:$X$258,16,FALSE)),"",(VLOOKUP($E95,'A-1 Site Habitat Baseline'!$D$1:$X$258,13,FALSE))))</f>
        <v/>
      </c>
      <c r="P95" s="237" t="str">
        <f>IFERROR(INDEX('G-1 All Habitats'!$AG$3:$AG$15,MATCH(Q95,'G-1 All Habitats'!$AF$3:$AF$15,0)),"")</f>
        <v/>
      </c>
      <c r="Q95" s="238" t="str">
        <f t="shared" si="15"/>
        <v/>
      </c>
      <c r="R95" s="238" t="str">
        <f t="shared" si="16"/>
        <v/>
      </c>
      <c r="S95" s="392" t="str">
        <f>IFERROR(INDEX('G-1 All Habitats'!$B$3:$B$129,MATCH(R95,'G-1 All Habitats'!$A$3:$A$129,0)),"")</f>
        <v/>
      </c>
      <c r="T95" s="498" t="str">
        <f t="shared" si="17"/>
        <v/>
      </c>
      <c r="U95" s="499" t="str">
        <f t="shared" si="18"/>
        <v/>
      </c>
      <c r="V95" s="537" t="str">
        <f t="shared" si="12"/>
        <v/>
      </c>
      <c r="W95" s="520" t="str">
        <f>IF(S95="","",VLOOKUP(S95,'G-1 All Habitats'!$B$2:$M$129,10,FALSE))</f>
        <v/>
      </c>
      <c r="X95" s="520" t="str">
        <f>IFERROR(VLOOKUP(W95,'G-1 All Habitats'!$V$3:$W$7,2,FALSE),"")</f>
        <v/>
      </c>
      <c r="Y95" s="79"/>
      <c r="Z95" s="524" t="str">
        <f>IFERROR(INDEX('G-8 Condition Look up'!$A$3:$H$130,MATCH(S95,'G-8 Condition Look up'!$A$3:$A$130,0),MATCH(Y95,'G-8 Condition Look up'!$A$3:$H$3,0)),"")</f>
        <v/>
      </c>
      <c r="AA95" s="71"/>
      <c r="AB95" s="520" t="str">
        <f>IF(AA95="","",IF(VLOOKUP(AA95,'G-3 Multipliers'!$L$3:$N$6,2,FALSE)=0,"Spatial Data Missing ⚠",VLOOKUP(AA95,'G-3 Multipliers'!$L$3:$N$6,2,FALSE)))</f>
        <v/>
      </c>
      <c r="AC95" s="524" t="str">
        <f>IF(AA95="","",IF(VLOOKUP(AA95,'G-3 Multipliers'!$L$3:$N$6,3,FALSE)=0,"Spatial Data Missing ⚠",VLOOKUP(AA95,'G-3 Multipliers'!$L$3:$N$6,3,FALSE)))</f>
        <v/>
      </c>
      <c r="AD95" s="539" t="str">
        <f t="shared" si="13"/>
        <v/>
      </c>
      <c r="AE95" s="82"/>
      <c r="AF95" s="82"/>
      <c r="AG95" s="507" t="str">
        <f t="shared" si="19"/>
        <v/>
      </c>
      <c r="AH95" s="521" t="str">
        <f t="shared" si="20"/>
        <v/>
      </c>
      <c r="AI95" s="522" t="str">
        <f>IF(AH95="Check Data","Check Data",IFERROR(VLOOKUP(AH95,'G-4 Temporal multipliers'!$A$4:$C$36,3,FALSE),""))</f>
        <v/>
      </c>
      <c r="AJ95" s="498" t="str">
        <f>IF(S95="","",VLOOKUP(S95,'G-3 Multipliers'!$A$2:$E$129,4,FALSE))</f>
        <v/>
      </c>
      <c r="AK95" s="507" t="str">
        <f t="shared" si="21"/>
        <v/>
      </c>
      <c r="AL95" s="507" t="str">
        <f t="shared" si="22"/>
        <v/>
      </c>
      <c r="AM95" s="540" t="str">
        <f>IFERROR(IF(F95="","",IF(AH95="Check Data ⚠","Check Data ⚠",VLOOKUP(AL95, 'G-3 Multipliers'!$P$2:$Q$6,2,FALSE))),"")</f>
        <v/>
      </c>
      <c r="AN95" s="513" t="str">
        <f t="shared" si="14"/>
        <v/>
      </c>
      <c r="AO95" s="239"/>
      <c r="AP95" s="240"/>
    </row>
    <row r="96" spans="1:42" x14ac:dyDescent="0.25">
      <c r="A96" s="47" t="str">
        <f>IF(E96="","",IF(ISNA(VLOOKUP($E96,'A-1 Site Habitat Baseline'!$D$1:$O$258,2,FALSE)),"",(VLOOKUP($E96,'A-1 Site Habitat Baseline'!$D$1:$O$258,2,FALSE))))</f>
        <v/>
      </c>
      <c r="B96" s="47" t="str">
        <f>IF(E96="","",IF(ISNA(VLOOKUP($E96,'A-1 Site Habitat Baseline'!$D$1:$O$258,3,FALSE)),"",(VLOOKUP($E96,'A-1 Site Habitat Baseline'!$D$1:$O$258,3,FALSE))))</f>
        <v/>
      </c>
      <c r="C96" s="47" t="str">
        <f>IFERROR(INDEX('G-8 Condition Look up'!$I$4:$I$130,MATCH(S96,'G-8 Condition Look up'!$A$4:$A$130,0)),"")</f>
        <v/>
      </c>
      <c r="E96" s="531" t="str">
        <f>'A-1 Site Habitat Baseline'!AL95</f>
        <v/>
      </c>
      <c r="F96" s="520" t="str">
        <f>IF(E96="","",IF(ISNA(VLOOKUP($E96,'A-1 Site Habitat Baseline'!$D$1:$O$258,4,FALSE)),"",(VLOOKUP($E96,'A-1 Site Habitat Baseline'!$D$1:$O$258,4,FALSE))))</f>
        <v/>
      </c>
      <c r="G96" s="520" t="str">
        <f>IF(E96="","",IF(ISNA(VLOOKUP($E96,'A-1 Site Habitat Baseline'!$D$1:$O$258,5,FALSE)),"",(VLOOKUP($E96,'A-1 Site Habitat Baseline'!$D$1:$O$258,5,FALSE))))</f>
        <v/>
      </c>
      <c r="H96" s="520" t="str">
        <f>IF(E96="","",IF(ISNA(VLOOKUP($E96,'A-1 Site Habitat Baseline'!$D$1:$O$258,6,FALSE)),"",(VLOOKUP($E96,'A-1 Site Habitat Baseline'!$D$1:$O$258,6,FALSE))))</f>
        <v/>
      </c>
      <c r="I96" s="520" t="str">
        <f>IF(E96="","",IF(ISNA(VLOOKUP($E96,'A-1 Site Habitat Baseline'!$D$1:$O$258,7,FALSE)),"",(VLOOKUP($E96,'A-1 Site Habitat Baseline'!$D$1:$O$258,7,FALSE))))</f>
        <v/>
      </c>
      <c r="J96" s="520" t="str">
        <f>IF(E96="","",IF(ISNA(VLOOKUP($E96,'A-1 Site Habitat Baseline'!$D$1:$O$258,8,FALSE)),"",(VLOOKUP($E96,'A-1 Site Habitat Baseline'!$D$1:$O$258,8,FALSE))))</f>
        <v/>
      </c>
      <c r="K96" s="520" t="str">
        <f>IF(E96="","",IF(ISNA(VLOOKUP($E96,'A-1 Site Habitat Baseline'!$D$1:$O$258,9,FALSE)),"",(VLOOKUP($E96,'A-1 Site Habitat Baseline'!$D$1:$O$258,9,FALSE))))</f>
        <v/>
      </c>
      <c r="L96" s="520" t="str">
        <f>IF(E96="","",IF(ISNA(VLOOKUP($E96,'A-1 Site Habitat Baseline'!$D$1:$O$258,11,FALSE)),"",(VLOOKUP($E96,'A-1 Site Habitat Baseline'!$D$1:$O$258,11,FALSE))))</f>
        <v/>
      </c>
      <c r="M96" s="520" t="str">
        <f>IF(E96="","",IF(ISNA(VLOOKUP($E96,'A-1 Site Habitat Baseline'!$D$1:$O$258,12,FALSE)),"",(VLOOKUP($E96,'A-1 Site Habitat Baseline'!$D$1:$O$258,12,FALSE))))</f>
        <v/>
      </c>
      <c r="N96" s="532" t="str">
        <f>IF(E96="","",IF(ISNA(VLOOKUP($E96,'A-1 Site Habitat Baseline'!$D$1:$X$258,14,FALSE)),"",(VLOOKUP($E96,'A-1 Site Habitat Baseline'!$D$1:$X$258,14,FALSE))))</f>
        <v/>
      </c>
      <c r="O96" s="524" t="str">
        <f>IF(E96="","",IF(ISNA(VLOOKUP($E96,'A-1 Site Habitat Baseline'!$D$1:$X$258,16,FALSE)),"",(VLOOKUP($E96,'A-1 Site Habitat Baseline'!$D$1:$X$258,13,FALSE))))</f>
        <v/>
      </c>
      <c r="P96" s="237" t="str">
        <f>IFERROR(INDEX('G-1 All Habitats'!$AG$3:$AG$15,MATCH(Q96,'G-1 All Habitats'!$AF$3:$AF$15,0)),"")</f>
        <v/>
      </c>
      <c r="Q96" s="238" t="str">
        <f t="shared" si="15"/>
        <v/>
      </c>
      <c r="R96" s="238" t="str">
        <f t="shared" si="16"/>
        <v/>
      </c>
      <c r="S96" s="392" t="str">
        <f>IFERROR(INDEX('G-1 All Habitats'!$B$3:$B$129,MATCH(R96,'G-1 All Habitats'!$A$3:$A$129,0)),"")</f>
        <v/>
      </c>
      <c r="T96" s="498" t="str">
        <f t="shared" si="17"/>
        <v/>
      </c>
      <c r="U96" s="499" t="str">
        <f t="shared" si="18"/>
        <v/>
      </c>
      <c r="V96" s="537" t="str">
        <f t="shared" si="12"/>
        <v/>
      </c>
      <c r="W96" s="520" t="str">
        <f>IF(S96="","",VLOOKUP(S96,'G-1 All Habitats'!$B$2:$M$129,10,FALSE))</f>
        <v/>
      </c>
      <c r="X96" s="520" t="str">
        <f>IFERROR(VLOOKUP(W96,'G-1 All Habitats'!$V$3:$W$7,2,FALSE),"")</f>
        <v/>
      </c>
      <c r="Y96" s="79"/>
      <c r="Z96" s="524" t="str">
        <f>IFERROR(INDEX('G-8 Condition Look up'!$A$3:$H$130,MATCH(S96,'G-8 Condition Look up'!$A$3:$A$130,0),MATCH(Y96,'G-8 Condition Look up'!$A$3:$H$3,0)),"")</f>
        <v/>
      </c>
      <c r="AA96" s="71"/>
      <c r="AB96" s="520" t="str">
        <f>IF(AA96="","",IF(VLOOKUP(AA96,'G-3 Multipliers'!$L$3:$N$6,2,FALSE)=0,"Spatial Data Missing ⚠",VLOOKUP(AA96,'G-3 Multipliers'!$L$3:$N$6,2,FALSE)))</f>
        <v/>
      </c>
      <c r="AC96" s="524" t="str">
        <f>IF(AA96="","",IF(VLOOKUP(AA96,'G-3 Multipliers'!$L$3:$N$6,3,FALSE)=0,"Spatial Data Missing ⚠",VLOOKUP(AA96,'G-3 Multipliers'!$L$3:$N$6,3,FALSE)))</f>
        <v/>
      </c>
      <c r="AD96" s="539" t="str">
        <f t="shared" si="13"/>
        <v/>
      </c>
      <c r="AE96" s="82"/>
      <c r="AF96" s="82"/>
      <c r="AG96" s="507" t="str">
        <f t="shared" si="19"/>
        <v/>
      </c>
      <c r="AH96" s="521" t="str">
        <f t="shared" si="20"/>
        <v/>
      </c>
      <c r="AI96" s="522" t="str">
        <f>IF(AH96="Check Data","Check Data",IFERROR(VLOOKUP(AH96,'G-4 Temporal multipliers'!$A$4:$C$36,3,FALSE),""))</f>
        <v/>
      </c>
      <c r="AJ96" s="498" t="str">
        <f>IF(S96="","",VLOOKUP(S96,'G-3 Multipliers'!$A$2:$E$129,4,FALSE))</f>
        <v/>
      </c>
      <c r="AK96" s="507" t="str">
        <f t="shared" si="21"/>
        <v/>
      </c>
      <c r="AL96" s="507" t="str">
        <f t="shared" si="22"/>
        <v/>
      </c>
      <c r="AM96" s="540" t="str">
        <f>IFERROR(IF(F96="","",IF(AH96="Check Data ⚠","Check Data ⚠",VLOOKUP(AL96, 'G-3 Multipliers'!$P$2:$Q$6,2,FALSE))),"")</f>
        <v/>
      </c>
      <c r="AN96" s="513" t="str">
        <f t="shared" si="14"/>
        <v/>
      </c>
      <c r="AO96" s="239"/>
      <c r="AP96" s="240"/>
    </row>
    <row r="97" spans="1:42" x14ac:dyDescent="0.25">
      <c r="A97" s="47" t="str">
        <f>IF(E97="","",IF(ISNA(VLOOKUP($E97,'A-1 Site Habitat Baseline'!$D$1:$O$258,2,FALSE)),"",(VLOOKUP($E97,'A-1 Site Habitat Baseline'!$D$1:$O$258,2,FALSE))))</f>
        <v/>
      </c>
      <c r="B97" s="47" t="str">
        <f>IF(E97="","",IF(ISNA(VLOOKUP($E97,'A-1 Site Habitat Baseline'!$D$1:$O$258,3,FALSE)),"",(VLOOKUP($E97,'A-1 Site Habitat Baseline'!$D$1:$O$258,3,FALSE))))</f>
        <v/>
      </c>
      <c r="C97" s="47" t="str">
        <f>IFERROR(INDEX('G-8 Condition Look up'!$I$4:$I$130,MATCH(S97,'G-8 Condition Look up'!$A$4:$A$130,0)),"")</f>
        <v/>
      </c>
      <c r="E97" s="531" t="str">
        <f>'A-1 Site Habitat Baseline'!AL96</f>
        <v/>
      </c>
      <c r="F97" s="520" t="str">
        <f>IF(E97="","",IF(ISNA(VLOOKUP($E97,'A-1 Site Habitat Baseline'!$D$1:$O$258,4,FALSE)),"",(VLOOKUP($E97,'A-1 Site Habitat Baseline'!$D$1:$O$258,4,FALSE))))</f>
        <v/>
      </c>
      <c r="G97" s="520" t="str">
        <f>IF(E97="","",IF(ISNA(VLOOKUP($E97,'A-1 Site Habitat Baseline'!$D$1:$O$258,5,FALSE)),"",(VLOOKUP($E97,'A-1 Site Habitat Baseline'!$D$1:$O$258,5,FALSE))))</f>
        <v/>
      </c>
      <c r="H97" s="520" t="str">
        <f>IF(E97="","",IF(ISNA(VLOOKUP($E97,'A-1 Site Habitat Baseline'!$D$1:$O$258,6,FALSE)),"",(VLOOKUP($E97,'A-1 Site Habitat Baseline'!$D$1:$O$258,6,FALSE))))</f>
        <v/>
      </c>
      <c r="I97" s="520" t="str">
        <f>IF(E97="","",IF(ISNA(VLOOKUP($E97,'A-1 Site Habitat Baseline'!$D$1:$O$258,7,FALSE)),"",(VLOOKUP($E97,'A-1 Site Habitat Baseline'!$D$1:$O$258,7,FALSE))))</f>
        <v/>
      </c>
      <c r="J97" s="520" t="str">
        <f>IF(E97="","",IF(ISNA(VLOOKUP($E97,'A-1 Site Habitat Baseline'!$D$1:$O$258,8,FALSE)),"",(VLOOKUP($E97,'A-1 Site Habitat Baseline'!$D$1:$O$258,8,FALSE))))</f>
        <v/>
      </c>
      <c r="K97" s="520" t="str">
        <f>IF(E97="","",IF(ISNA(VLOOKUP($E97,'A-1 Site Habitat Baseline'!$D$1:$O$258,9,FALSE)),"",(VLOOKUP($E97,'A-1 Site Habitat Baseline'!$D$1:$O$258,9,FALSE))))</f>
        <v/>
      </c>
      <c r="L97" s="520" t="str">
        <f>IF(E97="","",IF(ISNA(VLOOKUP($E97,'A-1 Site Habitat Baseline'!$D$1:$O$258,11,FALSE)),"",(VLOOKUP($E97,'A-1 Site Habitat Baseline'!$D$1:$O$258,11,FALSE))))</f>
        <v/>
      </c>
      <c r="M97" s="520" t="str">
        <f>IF(E97="","",IF(ISNA(VLOOKUP($E97,'A-1 Site Habitat Baseline'!$D$1:$O$258,12,FALSE)),"",(VLOOKUP($E97,'A-1 Site Habitat Baseline'!$D$1:$O$258,12,FALSE))))</f>
        <v/>
      </c>
      <c r="N97" s="532" t="str">
        <f>IF(E97="","",IF(ISNA(VLOOKUP($E97,'A-1 Site Habitat Baseline'!$D$1:$X$258,14,FALSE)),"",(VLOOKUP($E97,'A-1 Site Habitat Baseline'!$D$1:$X$258,14,FALSE))))</f>
        <v/>
      </c>
      <c r="O97" s="524" t="str">
        <f>IF(E97="","",IF(ISNA(VLOOKUP($E97,'A-1 Site Habitat Baseline'!$D$1:$X$258,16,FALSE)),"",(VLOOKUP($E97,'A-1 Site Habitat Baseline'!$D$1:$X$258,13,FALSE))))</f>
        <v/>
      </c>
      <c r="P97" s="237" t="str">
        <f>IFERROR(INDEX('G-1 All Habitats'!$AG$3:$AG$15,MATCH(Q97,'G-1 All Habitats'!$AF$3:$AF$15,0)),"")</f>
        <v/>
      </c>
      <c r="Q97" s="238" t="str">
        <f t="shared" si="15"/>
        <v/>
      </c>
      <c r="R97" s="238" t="str">
        <f t="shared" si="16"/>
        <v/>
      </c>
      <c r="S97" s="392" t="str">
        <f>IFERROR(INDEX('G-1 All Habitats'!$B$3:$B$129,MATCH(R97,'G-1 All Habitats'!$A$3:$A$129,0)),"")</f>
        <v/>
      </c>
      <c r="T97" s="498" t="str">
        <f t="shared" si="17"/>
        <v/>
      </c>
      <c r="U97" s="499" t="str">
        <f t="shared" si="18"/>
        <v/>
      </c>
      <c r="V97" s="537" t="str">
        <f t="shared" si="12"/>
        <v/>
      </c>
      <c r="W97" s="520" t="str">
        <f>IF(S97="","",VLOOKUP(S97,'G-1 All Habitats'!$B$2:$M$129,10,FALSE))</f>
        <v/>
      </c>
      <c r="X97" s="520" t="str">
        <f>IFERROR(VLOOKUP(W97,'G-1 All Habitats'!$V$3:$W$7,2,FALSE),"")</f>
        <v/>
      </c>
      <c r="Y97" s="79"/>
      <c r="Z97" s="524" t="str">
        <f>IFERROR(INDEX('G-8 Condition Look up'!$A$3:$H$130,MATCH(S97,'G-8 Condition Look up'!$A$3:$A$130,0),MATCH(Y97,'G-8 Condition Look up'!$A$3:$H$3,0)),"")</f>
        <v/>
      </c>
      <c r="AA97" s="71"/>
      <c r="AB97" s="520" t="str">
        <f>IF(AA97="","",IF(VLOOKUP(AA97,'G-3 Multipliers'!$L$3:$N$6,2,FALSE)=0,"Spatial Data Missing ⚠",VLOOKUP(AA97,'G-3 Multipliers'!$L$3:$N$6,2,FALSE)))</f>
        <v/>
      </c>
      <c r="AC97" s="524" t="str">
        <f>IF(AA97="","",IF(VLOOKUP(AA97,'G-3 Multipliers'!$L$3:$N$6,3,FALSE)=0,"Spatial Data Missing ⚠",VLOOKUP(AA97,'G-3 Multipliers'!$L$3:$N$6,3,FALSE)))</f>
        <v/>
      </c>
      <c r="AD97" s="539" t="str">
        <f t="shared" si="13"/>
        <v/>
      </c>
      <c r="AE97" s="82"/>
      <c r="AF97" s="82"/>
      <c r="AG97" s="507" t="str">
        <f t="shared" si="19"/>
        <v/>
      </c>
      <c r="AH97" s="521" t="str">
        <f t="shared" si="20"/>
        <v/>
      </c>
      <c r="AI97" s="522" t="str">
        <f>IF(AH97="Check Data","Check Data",IFERROR(VLOOKUP(AH97,'G-4 Temporal multipliers'!$A$4:$C$36,3,FALSE),""))</f>
        <v/>
      </c>
      <c r="AJ97" s="498" t="str">
        <f>IF(S97="","",VLOOKUP(S97,'G-3 Multipliers'!$A$2:$E$129,4,FALSE))</f>
        <v/>
      </c>
      <c r="AK97" s="507" t="str">
        <f t="shared" si="21"/>
        <v/>
      </c>
      <c r="AL97" s="507" t="str">
        <f t="shared" si="22"/>
        <v/>
      </c>
      <c r="AM97" s="540" t="str">
        <f>IFERROR(IF(F97="","",IF(AH97="Check Data ⚠","Check Data ⚠",VLOOKUP(AL97, 'G-3 Multipliers'!$P$2:$Q$6,2,FALSE))),"")</f>
        <v/>
      </c>
      <c r="AN97" s="513" t="str">
        <f t="shared" si="14"/>
        <v/>
      </c>
      <c r="AO97" s="239"/>
      <c r="AP97" s="240"/>
    </row>
    <row r="98" spans="1:42" x14ac:dyDescent="0.25">
      <c r="A98" s="47" t="str">
        <f>IF(E98="","",IF(ISNA(VLOOKUP($E98,'A-1 Site Habitat Baseline'!$D$1:$O$258,2,FALSE)),"",(VLOOKUP($E98,'A-1 Site Habitat Baseline'!$D$1:$O$258,2,FALSE))))</f>
        <v/>
      </c>
      <c r="B98" s="47" t="str">
        <f>IF(E98="","",IF(ISNA(VLOOKUP($E98,'A-1 Site Habitat Baseline'!$D$1:$O$258,3,FALSE)),"",(VLOOKUP($E98,'A-1 Site Habitat Baseline'!$D$1:$O$258,3,FALSE))))</f>
        <v/>
      </c>
      <c r="C98" s="47" t="str">
        <f>IFERROR(INDEX('G-8 Condition Look up'!$I$4:$I$130,MATCH(S98,'G-8 Condition Look up'!$A$4:$A$130,0)),"")</f>
        <v/>
      </c>
      <c r="E98" s="531" t="str">
        <f>'A-1 Site Habitat Baseline'!AL97</f>
        <v/>
      </c>
      <c r="F98" s="520" t="str">
        <f>IF(E98="","",IF(ISNA(VLOOKUP($E98,'A-1 Site Habitat Baseline'!$D$1:$O$258,4,FALSE)),"",(VLOOKUP($E98,'A-1 Site Habitat Baseline'!$D$1:$O$258,4,FALSE))))</f>
        <v/>
      </c>
      <c r="G98" s="520" t="str">
        <f>IF(E98="","",IF(ISNA(VLOOKUP($E98,'A-1 Site Habitat Baseline'!$D$1:$O$258,5,FALSE)),"",(VLOOKUP($E98,'A-1 Site Habitat Baseline'!$D$1:$O$258,5,FALSE))))</f>
        <v/>
      </c>
      <c r="H98" s="520" t="str">
        <f>IF(E98="","",IF(ISNA(VLOOKUP($E98,'A-1 Site Habitat Baseline'!$D$1:$O$258,6,FALSE)),"",(VLOOKUP($E98,'A-1 Site Habitat Baseline'!$D$1:$O$258,6,FALSE))))</f>
        <v/>
      </c>
      <c r="I98" s="520" t="str">
        <f>IF(E98="","",IF(ISNA(VLOOKUP($E98,'A-1 Site Habitat Baseline'!$D$1:$O$258,7,FALSE)),"",(VLOOKUP($E98,'A-1 Site Habitat Baseline'!$D$1:$O$258,7,FALSE))))</f>
        <v/>
      </c>
      <c r="J98" s="520" t="str">
        <f>IF(E98="","",IF(ISNA(VLOOKUP($E98,'A-1 Site Habitat Baseline'!$D$1:$O$258,8,FALSE)),"",(VLOOKUP($E98,'A-1 Site Habitat Baseline'!$D$1:$O$258,8,FALSE))))</f>
        <v/>
      </c>
      <c r="K98" s="520" t="str">
        <f>IF(E98="","",IF(ISNA(VLOOKUP($E98,'A-1 Site Habitat Baseline'!$D$1:$O$258,9,FALSE)),"",(VLOOKUP($E98,'A-1 Site Habitat Baseline'!$D$1:$O$258,9,FALSE))))</f>
        <v/>
      </c>
      <c r="L98" s="520" t="str">
        <f>IF(E98="","",IF(ISNA(VLOOKUP($E98,'A-1 Site Habitat Baseline'!$D$1:$O$258,11,FALSE)),"",(VLOOKUP($E98,'A-1 Site Habitat Baseline'!$D$1:$O$258,11,FALSE))))</f>
        <v/>
      </c>
      <c r="M98" s="520" t="str">
        <f>IF(E98="","",IF(ISNA(VLOOKUP($E98,'A-1 Site Habitat Baseline'!$D$1:$O$258,12,FALSE)),"",(VLOOKUP($E98,'A-1 Site Habitat Baseline'!$D$1:$O$258,12,FALSE))))</f>
        <v/>
      </c>
      <c r="N98" s="532" t="str">
        <f>IF(E98="","",IF(ISNA(VLOOKUP($E98,'A-1 Site Habitat Baseline'!$D$1:$X$258,14,FALSE)),"",(VLOOKUP($E98,'A-1 Site Habitat Baseline'!$D$1:$X$258,14,FALSE))))</f>
        <v/>
      </c>
      <c r="O98" s="524" t="str">
        <f>IF(E98="","",IF(ISNA(VLOOKUP($E98,'A-1 Site Habitat Baseline'!$D$1:$X$258,16,FALSE)),"",(VLOOKUP($E98,'A-1 Site Habitat Baseline'!$D$1:$X$258,13,FALSE))))</f>
        <v/>
      </c>
      <c r="P98" s="237" t="str">
        <f>IFERROR(INDEX('G-1 All Habitats'!$AG$3:$AG$15,MATCH(Q98,'G-1 All Habitats'!$AF$3:$AF$15,0)),"")</f>
        <v/>
      </c>
      <c r="Q98" s="238" t="str">
        <f t="shared" si="15"/>
        <v/>
      </c>
      <c r="R98" s="238" t="str">
        <f t="shared" si="16"/>
        <v/>
      </c>
      <c r="S98" s="392" t="str">
        <f>IFERROR(INDEX('G-1 All Habitats'!$B$3:$B$129,MATCH(R98,'G-1 All Habitats'!$A$3:$A$129,0)),"")</f>
        <v/>
      </c>
      <c r="T98" s="498" t="str">
        <f t="shared" si="17"/>
        <v/>
      </c>
      <c r="U98" s="499" t="str">
        <f t="shared" si="18"/>
        <v/>
      </c>
      <c r="V98" s="537" t="str">
        <f t="shared" si="12"/>
        <v/>
      </c>
      <c r="W98" s="520" t="str">
        <f>IF(S98="","",VLOOKUP(S98,'G-1 All Habitats'!$B$2:$M$129,10,FALSE))</f>
        <v/>
      </c>
      <c r="X98" s="520" t="str">
        <f>IFERROR(VLOOKUP(W98,'G-1 All Habitats'!$V$3:$W$7,2,FALSE),"")</f>
        <v/>
      </c>
      <c r="Y98" s="79"/>
      <c r="Z98" s="524" t="str">
        <f>IFERROR(INDEX('G-8 Condition Look up'!$A$3:$H$130,MATCH(S98,'G-8 Condition Look up'!$A$3:$A$130,0),MATCH(Y98,'G-8 Condition Look up'!$A$3:$H$3,0)),"")</f>
        <v/>
      </c>
      <c r="AA98" s="71"/>
      <c r="AB98" s="520" t="str">
        <f>IF(AA98="","",IF(VLOOKUP(AA98,'G-3 Multipliers'!$L$3:$N$6,2,FALSE)=0,"Spatial Data Missing ⚠",VLOOKUP(AA98,'G-3 Multipliers'!$L$3:$N$6,2,FALSE)))</f>
        <v/>
      </c>
      <c r="AC98" s="524" t="str">
        <f>IF(AA98="","",IF(VLOOKUP(AA98,'G-3 Multipliers'!$L$3:$N$6,3,FALSE)=0,"Spatial Data Missing ⚠",VLOOKUP(AA98,'G-3 Multipliers'!$L$3:$N$6,3,FALSE)))</f>
        <v/>
      </c>
      <c r="AD98" s="539" t="str">
        <f t="shared" si="13"/>
        <v/>
      </c>
      <c r="AE98" s="82"/>
      <c r="AF98" s="82"/>
      <c r="AG98" s="507" t="str">
        <f t="shared" si="19"/>
        <v/>
      </c>
      <c r="AH98" s="521" t="str">
        <f t="shared" si="20"/>
        <v/>
      </c>
      <c r="AI98" s="522" t="str">
        <f>IF(AH98="Check Data","Check Data",IFERROR(VLOOKUP(AH98,'G-4 Temporal multipliers'!$A$4:$C$36,3,FALSE),""))</f>
        <v/>
      </c>
      <c r="AJ98" s="498" t="str">
        <f>IF(S98="","",VLOOKUP(S98,'G-3 Multipliers'!$A$2:$E$129,4,FALSE))</f>
        <v/>
      </c>
      <c r="AK98" s="507" t="str">
        <f t="shared" si="21"/>
        <v/>
      </c>
      <c r="AL98" s="507" t="str">
        <f t="shared" si="22"/>
        <v/>
      </c>
      <c r="AM98" s="540" t="str">
        <f>IFERROR(IF(F98="","",IF(AH98="Check Data ⚠","Check Data ⚠",VLOOKUP(AL98, 'G-3 Multipliers'!$P$2:$Q$6,2,FALSE))),"")</f>
        <v/>
      </c>
      <c r="AN98" s="513" t="str">
        <f t="shared" si="14"/>
        <v/>
      </c>
      <c r="AO98" s="239"/>
      <c r="AP98" s="240"/>
    </row>
    <row r="99" spans="1:42" x14ac:dyDescent="0.25">
      <c r="A99" s="47" t="str">
        <f>IF(E99="","",IF(ISNA(VLOOKUP($E99,'A-1 Site Habitat Baseline'!$D$1:$O$258,2,FALSE)),"",(VLOOKUP($E99,'A-1 Site Habitat Baseline'!$D$1:$O$258,2,FALSE))))</f>
        <v/>
      </c>
      <c r="B99" s="47" t="str">
        <f>IF(E99="","",IF(ISNA(VLOOKUP($E99,'A-1 Site Habitat Baseline'!$D$1:$O$258,3,FALSE)),"",(VLOOKUP($E99,'A-1 Site Habitat Baseline'!$D$1:$O$258,3,FALSE))))</f>
        <v/>
      </c>
      <c r="C99" s="47" t="str">
        <f>IFERROR(INDEX('G-8 Condition Look up'!$I$4:$I$130,MATCH(S99,'G-8 Condition Look up'!$A$4:$A$130,0)),"")</f>
        <v/>
      </c>
      <c r="E99" s="531" t="str">
        <f>'A-1 Site Habitat Baseline'!AL98</f>
        <v/>
      </c>
      <c r="F99" s="520" t="str">
        <f>IF(E99="","",IF(ISNA(VLOOKUP($E99,'A-1 Site Habitat Baseline'!$D$1:$O$258,4,FALSE)),"",(VLOOKUP($E99,'A-1 Site Habitat Baseline'!$D$1:$O$258,4,FALSE))))</f>
        <v/>
      </c>
      <c r="G99" s="520" t="str">
        <f>IF(E99="","",IF(ISNA(VLOOKUP($E99,'A-1 Site Habitat Baseline'!$D$1:$O$258,5,FALSE)),"",(VLOOKUP($E99,'A-1 Site Habitat Baseline'!$D$1:$O$258,5,FALSE))))</f>
        <v/>
      </c>
      <c r="H99" s="520" t="str">
        <f>IF(E99="","",IF(ISNA(VLOOKUP($E99,'A-1 Site Habitat Baseline'!$D$1:$O$258,6,FALSE)),"",(VLOOKUP($E99,'A-1 Site Habitat Baseline'!$D$1:$O$258,6,FALSE))))</f>
        <v/>
      </c>
      <c r="I99" s="520" t="str">
        <f>IF(E99="","",IF(ISNA(VLOOKUP($E99,'A-1 Site Habitat Baseline'!$D$1:$O$258,7,FALSE)),"",(VLOOKUP($E99,'A-1 Site Habitat Baseline'!$D$1:$O$258,7,FALSE))))</f>
        <v/>
      </c>
      <c r="J99" s="520" t="str">
        <f>IF(E99="","",IF(ISNA(VLOOKUP($E99,'A-1 Site Habitat Baseline'!$D$1:$O$258,8,FALSE)),"",(VLOOKUP($E99,'A-1 Site Habitat Baseline'!$D$1:$O$258,8,FALSE))))</f>
        <v/>
      </c>
      <c r="K99" s="520" t="str">
        <f>IF(E99="","",IF(ISNA(VLOOKUP($E99,'A-1 Site Habitat Baseline'!$D$1:$O$258,9,FALSE)),"",(VLOOKUP($E99,'A-1 Site Habitat Baseline'!$D$1:$O$258,9,FALSE))))</f>
        <v/>
      </c>
      <c r="L99" s="520" t="str">
        <f>IF(E99="","",IF(ISNA(VLOOKUP($E99,'A-1 Site Habitat Baseline'!$D$1:$O$258,11,FALSE)),"",(VLOOKUP($E99,'A-1 Site Habitat Baseline'!$D$1:$O$258,11,FALSE))))</f>
        <v/>
      </c>
      <c r="M99" s="520" t="str">
        <f>IF(E99="","",IF(ISNA(VLOOKUP($E99,'A-1 Site Habitat Baseline'!$D$1:$O$258,12,FALSE)),"",(VLOOKUP($E99,'A-1 Site Habitat Baseline'!$D$1:$O$258,12,FALSE))))</f>
        <v/>
      </c>
      <c r="N99" s="532" t="str">
        <f>IF(E99="","",IF(ISNA(VLOOKUP($E99,'A-1 Site Habitat Baseline'!$D$1:$X$258,14,FALSE)),"",(VLOOKUP($E99,'A-1 Site Habitat Baseline'!$D$1:$X$258,14,FALSE))))</f>
        <v/>
      </c>
      <c r="O99" s="524" t="str">
        <f>IF(E99="","",IF(ISNA(VLOOKUP($E99,'A-1 Site Habitat Baseline'!$D$1:$X$258,16,FALSE)),"",(VLOOKUP($E99,'A-1 Site Habitat Baseline'!$D$1:$X$258,13,FALSE))))</f>
        <v/>
      </c>
      <c r="P99" s="237" t="str">
        <f>IFERROR(INDEX('G-1 All Habitats'!$AG$3:$AG$15,MATCH(Q99,'G-1 All Habitats'!$AF$3:$AF$15,0)),"")</f>
        <v/>
      </c>
      <c r="Q99" s="238" t="str">
        <f t="shared" si="15"/>
        <v/>
      </c>
      <c r="R99" s="238" t="str">
        <f t="shared" si="16"/>
        <v/>
      </c>
      <c r="S99" s="392" t="str">
        <f>IFERROR(INDEX('G-1 All Habitats'!$B$3:$B$129,MATCH(R99,'G-1 All Habitats'!$A$3:$A$129,0)),"")</f>
        <v/>
      </c>
      <c r="T99" s="498" t="str">
        <f t="shared" si="17"/>
        <v/>
      </c>
      <c r="U99" s="499" t="str">
        <f t="shared" si="18"/>
        <v/>
      </c>
      <c r="V99" s="537" t="str">
        <f t="shared" si="12"/>
        <v/>
      </c>
      <c r="W99" s="520" t="str">
        <f>IF(S99="","",VLOOKUP(S99,'G-1 All Habitats'!$B$2:$M$129,10,FALSE))</f>
        <v/>
      </c>
      <c r="X99" s="520" t="str">
        <f>IFERROR(VLOOKUP(W99,'G-1 All Habitats'!$V$3:$W$7,2,FALSE),"")</f>
        <v/>
      </c>
      <c r="Y99" s="79"/>
      <c r="Z99" s="524" t="str">
        <f>IFERROR(INDEX('G-8 Condition Look up'!$A$3:$H$130,MATCH(S99,'G-8 Condition Look up'!$A$3:$A$130,0),MATCH(Y99,'G-8 Condition Look up'!$A$3:$H$3,0)),"")</f>
        <v/>
      </c>
      <c r="AA99" s="71"/>
      <c r="AB99" s="520" t="str">
        <f>IF(AA99="","",IF(VLOOKUP(AA99,'G-3 Multipliers'!$L$3:$N$6,2,FALSE)=0,"Spatial Data Missing ⚠",VLOOKUP(AA99,'G-3 Multipliers'!$L$3:$N$6,2,FALSE)))</f>
        <v/>
      </c>
      <c r="AC99" s="524" t="str">
        <f>IF(AA99="","",IF(VLOOKUP(AA99,'G-3 Multipliers'!$L$3:$N$6,3,FALSE)=0,"Spatial Data Missing ⚠",VLOOKUP(AA99,'G-3 Multipliers'!$L$3:$N$6,3,FALSE)))</f>
        <v/>
      </c>
      <c r="AD99" s="539" t="str">
        <f t="shared" si="13"/>
        <v/>
      </c>
      <c r="AE99" s="82"/>
      <c r="AF99" s="82"/>
      <c r="AG99" s="507" t="str">
        <f t="shared" si="19"/>
        <v/>
      </c>
      <c r="AH99" s="521" t="str">
        <f t="shared" si="20"/>
        <v/>
      </c>
      <c r="AI99" s="522" t="str">
        <f>IF(AH99="Check Data","Check Data",IFERROR(VLOOKUP(AH99,'G-4 Temporal multipliers'!$A$4:$C$36,3,FALSE),""))</f>
        <v/>
      </c>
      <c r="AJ99" s="498" t="str">
        <f>IF(S99="","",VLOOKUP(S99,'G-3 Multipliers'!$A$2:$E$129,4,FALSE))</f>
        <v/>
      </c>
      <c r="AK99" s="507" t="str">
        <f t="shared" si="21"/>
        <v/>
      </c>
      <c r="AL99" s="507" t="str">
        <f t="shared" si="22"/>
        <v/>
      </c>
      <c r="AM99" s="540" t="str">
        <f>IFERROR(IF(F99="","",IF(AH99="Check Data ⚠","Check Data ⚠",VLOOKUP(AL99, 'G-3 Multipliers'!$P$2:$Q$6,2,FALSE))),"")</f>
        <v/>
      </c>
      <c r="AN99" s="513" t="str">
        <f t="shared" si="14"/>
        <v/>
      </c>
      <c r="AO99" s="239"/>
      <c r="AP99" s="240"/>
    </row>
    <row r="100" spans="1:42" x14ac:dyDescent="0.25">
      <c r="A100" s="47" t="str">
        <f>IF(E100="","",IF(ISNA(VLOOKUP($E100,'A-1 Site Habitat Baseline'!$D$1:$O$258,2,FALSE)),"",(VLOOKUP($E100,'A-1 Site Habitat Baseline'!$D$1:$O$258,2,FALSE))))</f>
        <v/>
      </c>
      <c r="B100" s="47" t="str">
        <f>IF(E100="","",IF(ISNA(VLOOKUP($E100,'A-1 Site Habitat Baseline'!$D$1:$O$258,3,FALSE)),"",(VLOOKUP($E100,'A-1 Site Habitat Baseline'!$D$1:$O$258,3,FALSE))))</f>
        <v/>
      </c>
      <c r="C100" s="47" t="str">
        <f>IFERROR(INDEX('G-8 Condition Look up'!$I$4:$I$130,MATCH(S100,'G-8 Condition Look up'!$A$4:$A$130,0)),"")</f>
        <v/>
      </c>
      <c r="E100" s="531" t="str">
        <f>'A-1 Site Habitat Baseline'!AL99</f>
        <v/>
      </c>
      <c r="F100" s="520" t="str">
        <f>IF(E100="","",IF(ISNA(VLOOKUP($E100,'A-1 Site Habitat Baseline'!$D$1:$O$258,4,FALSE)),"",(VLOOKUP($E100,'A-1 Site Habitat Baseline'!$D$1:$O$258,4,FALSE))))</f>
        <v/>
      </c>
      <c r="G100" s="520" t="str">
        <f>IF(E100="","",IF(ISNA(VLOOKUP($E100,'A-1 Site Habitat Baseline'!$D$1:$O$258,5,FALSE)),"",(VLOOKUP($E100,'A-1 Site Habitat Baseline'!$D$1:$O$258,5,FALSE))))</f>
        <v/>
      </c>
      <c r="H100" s="520" t="str">
        <f>IF(E100="","",IF(ISNA(VLOOKUP($E100,'A-1 Site Habitat Baseline'!$D$1:$O$258,6,FALSE)),"",(VLOOKUP($E100,'A-1 Site Habitat Baseline'!$D$1:$O$258,6,FALSE))))</f>
        <v/>
      </c>
      <c r="I100" s="520" t="str">
        <f>IF(E100="","",IF(ISNA(VLOOKUP($E100,'A-1 Site Habitat Baseline'!$D$1:$O$258,7,FALSE)),"",(VLOOKUP($E100,'A-1 Site Habitat Baseline'!$D$1:$O$258,7,FALSE))))</f>
        <v/>
      </c>
      <c r="J100" s="520" t="str">
        <f>IF(E100="","",IF(ISNA(VLOOKUP($E100,'A-1 Site Habitat Baseline'!$D$1:$O$258,8,FALSE)),"",(VLOOKUP($E100,'A-1 Site Habitat Baseline'!$D$1:$O$258,8,FALSE))))</f>
        <v/>
      </c>
      <c r="K100" s="520" t="str">
        <f>IF(E100="","",IF(ISNA(VLOOKUP($E100,'A-1 Site Habitat Baseline'!$D$1:$O$258,9,FALSE)),"",(VLOOKUP($E100,'A-1 Site Habitat Baseline'!$D$1:$O$258,9,FALSE))))</f>
        <v/>
      </c>
      <c r="L100" s="520" t="str">
        <f>IF(E100="","",IF(ISNA(VLOOKUP($E100,'A-1 Site Habitat Baseline'!$D$1:$O$258,11,FALSE)),"",(VLOOKUP($E100,'A-1 Site Habitat Baseline'!$D$1:$O$258,11,FALSE))))</f>
        <v/>
      </c>
      <c r="M100" s="520" t="str">
        <f>IF(E100="","",IF(ISNA(VLOOKUP($E100,'A-1 Site Habitat Baseline'!$D$1:$O$258,12,FALSE)),"",(VLOOKUP($E100,'A-1 Site Habitat Baseline'!$D$1:$O$258,12,FALSE))))</f>
        <v/>
      </c>
      <c r="N100" s="532" t="str">
        <f>IF(E100="","",IF(ISNA(VLOOKUP($E100,'A-1 Site Habitat Baseline'!$D$1:$X$258,14,FALSE)),"",(VLOOKUP($E100,'A-1 Site Habitat Baseline'!$D$1:$X$258,14,FALSE))))</f>
        <v/>
      </c>
      <c r="O100" s="524" t="str">
        <f>IF(E100="","",IF(ISNA(VLOOKUP($E100,'A-1 Site Habitat Baseline'!$D$1:$X$258,16,FALSE)),"",(VLOOKUP($E100,'A-1 Site Habitat Baseline'!$D$1:$X$258,13,FALSE))))</f>
        <v/>
      </c>
      <c r="P100" s="237" t="str">
        <f>IFERROR(INDEX('G-1 All Habitats'!$AG$3:$AG$15,MATCH(Q100,'G-1 All Habitats'!$AF$3:$AF$15,0)),"")</f>
        <v/>
      </c>
      <c r="Q100" s="238" t="str">
        <f t="shared" si="15"/>
        <v/>
      </c>
      <c r="R100" s="238" t="str">
        <f t="shared" si="16"/>
        <v/>
      </c>
      <c r="S100" s="392" t="str">
        <f>IFERROR(INDEX('G-1 All Habitats'!$B$3:$B$129,MATCH(R100,'G-1 All Habitats'!$A$3:$A$129,0)),"")</f>
        <v/>
      </c>
      <c r="T100" s="498" t="str">
        <f t="shared" si="17"/>
        <v/>
      </c>
      <c r="U100" s="499" t="str">
        <f t="shared" si="18"/>
        <v/>
      </c>
      <c r="V100" s="537" t="str">
        <f t="shared" si="12"/>
        <v/>
      </c>
      <c r="W100" s="520" t="str">
        <f>IF(S100="","",VLOOKUP(S100,'G-1 All Habitats'!$B$2:$M$129,10,FALSE))</f>
        <v/>
      </c>
      <c r="X100" s="520" t="str">
        <f>IFERROR(VLOOKUP(W100,'G-1 All Habitats'!$V$3:$W$7,2,FALSE),"")</f>
        <v/>
      </c>
      <c r="Y100" s="79"/>
      <c r="Z100" s="524" t="str">
        <f>IFERROR(INDEX('G-8 Condition Look up'!$A$3:$H$130,MATCH(S100,'G-8 Condition Look up'!$A$3:$A$130,0),MATCH(Y100,'G-8 Condition Look up'!$A$3:$H$3,0)),"")</f>
        <v/>
      </c>
      <c r="AA100" s="71"/>
      <c r="AB100" s="520" t="str">
        <f>IF(AA100="","",IF(VLOOKUP(AA100,'G-3 Multipliers'!$L$3:$N$6,2,FALSE)=0,"Spatial Data Missing ⚠",VLOOKUP(AA100,'G-3 Multipliers'!$L$3:$N$6,2,FALSE)))</f>
        <v/>
      </c>
      <c r="AC100" s="524" t="str">
        <f>IF(AA100="","",IF(VLOOKUP(AA100,'G-3 Multipliers'!$L$3:$N$6,3,FALSE)=0,"Spatial Data Missing ⚠",VLOOKUP(AA100,'G-3 Multipliers'!$L$3:$N$6,3,FALSE)))</f>
        <v/>
      </c>
      <c r="AD100" s="539" t="str">
        <f t="shared" si="13"/>
        <v/>
      </c>
      <c r="AE100" s="82"/>
      <c r="AF100" s="82"/>
      <c r="AG100" s="507" t="str">
        <f t="shared" si="19"/>
        <v/>
      </c>
      <c r="AH100" s="521" t="str">
        <f t="shared" si="20"/>
        <v/>
      </c>
      <c r="AI100" s="522" t="str">
        <f>IF(AH100="Check Data","Check Data",IFERROR(VLOOKUP(AH100,'G-4 Temporal multipliers'!$A$4:$C$36,3,FALSE),""))</f>
        <v/>
      </c>
      <c r="AJ100" s="498" t="str">
        <f>IF(S100="","",VLOOKUP(S100,'G-3 Multipliers'!$A$2:$E$129,4,FALSE))</f>
        <v/>
      </c>
      <c r="AK100" s="507" t="str">
        <f t="shared" si="21"/>
        <v/>
      </c>
      <c r="AL100" s="507" t="str">
        <f t="shared" si="22"/>
        <v/>
      </c>
      <c r="AM100" s="540" t="str">
        <f>IFERROR(IF(F100="","",IF(AH100="Check Data ⚠","Check Data ⚠",VLOOKUP(AL100, 'G-3 Multipliers'!$P$2:$Q$6,2,FALSE))),"")</f>
        <v/>
      </c>
      <c r="AN100" s="513" t="str">
        <f t="shared" si="14"/>
        <v/>
      </c>
      <c r="AO100" s="239"/>
      <c r="AP100" s="240"/>
    </row>
    <row r="101" spans="1:42" x14ac:dyDescent="0.25">
      <c r="A101" s="47" t="str">
        <f>IF(E101="","",IF(ISNA(VLOOKUP($E101,'A-1 Site Habitat Baseline'!$D$1:$O$258,2,FALSE)),"",(VLOOKUP($E101,'A-1 Site Habitat Baseline'!$D$1:$O$258,2,FALSE))))</f>
        <v/>
      </c>
      <c r="B101" s="47" t="str">
        <f>IF(E101="","",IF(ISNA(VLOOKUP($E101,'A-1 Site Habitat Baseline'!$D$1:$O$258,3,FALSE)),"",(VLOOKUP($E101,'A-1 Site Habitat Baseline'!$D$1:$O$258,3,FALSE))))</f>
        <v/>
      </c>
      <c r="C101" s="47" t="str">
        <f>IFERROR(INDEX('G-8 Condition Look up'!$I$4:$I$130,MATCH(S101,'G-8 Condition Look up'!$A$4:$A$130,0)),"")</f>
        <v/>
      </c>
      <c r="E101" s="531" t="str">
        <f>'A-1 Site Habitat Baseline'!AL100</f>
        <v/>
      </c>
      <c r="F101" s="520" t="str">
        <f>IF(E101="","",IF(ISNA(VLOOKUP($E101,'A-1 Site Habitat Baseline'!$D$1:$O$258,4,FALSE)),"",(VLOOKUP($E101,'A-1 Site Habitat Baseline'!$D$1:$O$258,4,FALSE))))</f>
        <v/>
      </c>
      <c r="G101" s="520" t="str">
        <f>IF(E101="","",IF(ISNA(VLOOKUP($E101,'A-1 Site Habitat Baseline'!$D$1:$O$258,5,FALSE)),"",(VLOOKUP($E101,'A-1 Site Habitat Baseline'!$D$1:$O$258,5,FALSE))))</f>
        <v/>
      </c>
      <c r="H101" s="520" t="str">
        <f>IF(E101="","",IF(ISNA(VLOOKUP($E101,'A-1 Site Habitat Baseline'!$D$1:$O$258,6,FALSE)),"",(VLOOKUP($E101,'A-1 Site Habitat Baseline'!$D$1:$O$258,6,FALSE))))</f>
        <v/>
      </c>
      <c r="I101" s="520" t="str">
        <f>IF(E101="","",IF(ISNA(VLOOKUP($E101,'A-1 Site Habitat Baseline'!$D$1:$O$258,7,FALSE)),"",(VLOOKUP($E101,'A-1 Site Habitat Baseline'!$D$1:$O$258,7,FALSE))))</f>
        <v/>
      </c>
      <c r="J101" s="520" t="str">
        <f>IF(E101="","",IF(ISNA(VLOOKUP($E101,'A-1 Site Habitat Baseline'!$D$1:$O$258,8,FALSE)),"",(VLOOKUP($E101,'A-1 Site Habitat Baseline'!$D$1:$O$258,8,FALSE))))</f>
        <v/>
      </c>
      <c r="K101" s="520" t="str">
        <f>IF(E101="","",IF(ISNA(VLOOKUP($E101,'A-1 Site Habitat Baseline'!$D$1:$O$258,9,FALSE)),"",(VLOOKUP($E101,'A-1 Site Habitat Baseline'!$D$1:$O$258,9,FALSE))))</f>
        <v/>
      </c>
      <c r="L101" s="520" t="str">
        <f>IF(E101="","",IF(ISNA(VLOOKUP($E101,'A-1 Site Habitat Baseline'!$D$1:$O$258,11,FALSE)),"",(VLOOKUP($E101,'A-1 Site Habitat Baseline'!$D$1:$O$258,11,FALSE))))</f>
        <v/>
      </c>
      <c r="M101" s="520" t="str">
        <f>IF(E101="","",IF(ISNA(VLOOKUP($E101,'A-1 Site Habitat Baseline'!$D$1:$O$258,12,FALSE)),"",(VLOOKUP($E101,'A-1 Site Habitat Baseline'!$D$1:$O$258,12,FALSE))))</f>
        <v/>
      </c>
      <c r="N101" s="532" t="str">
        <f>IF(E101="","",IF(ISNA(VLOOKUP($E101,'A-1 Site Habitat Baseline'!$D$1:$X$258,14,FALSE)),"",(VLOOKUP($E101,'A-1 Site Habitat Baseline'!$D$1:$X$258,14,FALSE))))</f>
        <v/>
      </c>
      <c r="O101" s="524" t="str">
        <f>IF(E101="","",IF(ISNA(VLOOKUP($E101,'A-1 Site Habitat Baseline'!$D$1:$X$258,16,FALSE)),"",(VLOOKUP($E101,'A-1 Site Habitat Baseline'!$D$1:$X$258,13,FALSE))))</f>
        <v/>
      </c>
      <c r="P101" s="237" t="str">
        <f>IFERROR(INDEX('G-1 All Habitats'!$AG$3:$AG$15,MATCH(Q101,'G-1 All Habitats'!$AF$3:$AF$15,0)),"")</f>
        <v/>
      </c>
      <c r="Q101" s="238" t="str">
        <f t="shared" si="15"/>
        <v/>
      </c>
      <c r="R101" s="238" t="str">
        <f t="shared" si="16"/>
        <v/>
      </c>
      <c r="S101" s="392" t="str">
        <f>IFERROR(INDEX('G-1 All Habitats'!$B$3:$B$129,MATCH(R101,'G-1 All Habitats'!$A$3:$A$129,0)),"")</f>
        <v/>
      </c>
      <c r="T101" s="498" t="str">
        <f t="shared" si="17"/>
        <v/>
      </c>
      <c r="U101" s="499" t="str">
        <f t="shared" si="18"/>
        <v/>
      </c>
      <c r="V101" s="537" t="str">
        <f t="shared" si="12"/>
        <v/>
      </c>
      <c r="W101" s="520" t="str">
        <f>IF(S101="","",VLOOKUP(S101,'G-1 All Habitats'!$B$2:$M$129,10,FALSE))</f>
        <v/>
      </c>
      <c r="X101" s="520" t="str">
        <f>IFERROR(VLOOKUP(W101,'G-1 All Habitats'!$V$3:$W$7,2,FALSE),"")</f>
        <v/>
      </c>
      <c r="Y101" s="79"/>
      <c r="Z101" s="524" t="str">
        <f>IFERROR(INDEX('G-8 Condition Look up'!$A$3:$H$130,MATCH(S101,'G-8 Condition Look up'!$A$3:$A$130,0),MATCH(Y101,'G-8 Condition Look up'!$A$3:$H$3,0)),"")</f>
        <v/>
      </c>
      <c r="AA101" s="71"/>
      <c r="AB101" s="520" t="str">
        <f>IF(AA101="","",IF(VLOOKUP(AA101,'G-3 Multipliers'!$L$3:$N$6,2,FALSE)=0,"Spatial Data Missing ⚠",VLOOKUP(AA101,'G-3 Multipliers'!$L$3:$N$6,2,FALSE)))</f>
        <v/>
      </c>
      <c r="AC101" s="524" t="str">
        <f>IF(AA101="","",IF(VLOOKUP(AA101,'G-3 Multipliers'!$L$3:$N$6,3,FALSE)=0,"Spatial Data Missing ⚠",VLOOKUP(AA101,'G-3 Multipliers'!$L$3:$N$6,3,FALSE)))</f>
        <v/>
      </c>
      <c r="AD101" s="539" t="str">
        <f t="shared" si="13"/>
        <v/>
      </c>
      <c r="AE101" s="82"/>
      <c r="AF101" s="82"/>
      <c r="AG101" s="507" t="str">
        <f t="shared" si="19"/>
        <v/>
      </c>
      <c r="AH101" s="521" t="str">
        <f t="shared" si="20"/>
        <v/>
      </c>
      <c r="AI101" s="522" t="str">
        <f>IF(AH101="Check Data","Check Data",IFERROR(VLOOKUP(AH101,'G-4 Temporal multipliers'!$A$4:$C$36,3,FALSE),""))</f>
        <v/>
      </c>
      <c r="AJ101" s="498" t="str">
        <f>IF(S101="","",VLOOKUP(S101,'G-3 Multipliers'!$A$2:$E$129,4,FALSE))</f>
        <v/>
      </c>
      <c r="AK101" s="507" t="str">
        <f t="shared" si="21"/>
        <v/>
      </c>
      <c r="AL101" s="507" t="str">
        <f t="shared" si="22"/>
        <v/>
      </c>
      <c r="AM101" s="540" t="str">
        <f>IFERROR(IF(F101="","",IF(AH101="Check Data ⚠","Check Data ⚠",VLOOKUP(AL101, 'G-3 Multipliers'!$P$2:$Q$6,2,FALSE))),"")</f>
        <v/>
      </c>
      <c r="AN101" s="513" t="str">
        <f t="shared" si="14"/>
        <v/>
      </c>
      <c r="AO101" s="239"/>
      <c r="AP101" s="240"/>
    </row>
    <row r="102" spans="1:42" x14ac:dyDescent="0.25">
      <c r="A102" s="47" t="str">
        <f>IF(E102="","",IF(ISNA(VLOOKUP($E102,'A-1 Site Habitat Baseline'!$D$1:$O$258,2,FALSE)),"",(VLOOKUP($E102,'A-1 Site Habitat Baseline'!$D$1:$O$258,2,FALSE))))</f>
        <v/>
      </c>
      <c r="B102" s="47" t="str">
        <f>IF(E102="","",IF(ISNA(VLOOKUP($E102,'A-1 Site Habitat Baseline'!$D$1:$O$258,3,FALSE)),"",(VLOOKUP($E102,'A-1 Site Habitat Baseline'!$D$1:$O$258,3,FALSE))))</f>
        <v/>
      </c>
      <c r="C102" s="47" t="str">
        <f>IFERROR(INDEX('G-8 Condition Look up'!$I$4:$I$130,MATCH(S102,'G-8 Condition Look up'!$A$4:$A$130,0)),"")</f>
        <v/>
      </c>
      <c r="E102" s="531" t="str">
        <f>'A-1 Site Habitat Baseline'!AL101</f>
        <v/>
      </c>
      <c r="F102" s="520" t="str">
        <f>IF(E102="","",IF(ISNA(VLOOKUP($E102,'A-1 Site Habitat Baseline'!$D$1:$O$258,4,FALSE)),"",(VLOOKUP($E102,'A-1 Site Habitat Baseline'!$D$1:$O$258,4,FALSE))))</f>
        <v/>
      </c>
      <c r="G102" s="520" t="str">
        <f>IF(E102="","",IF(ISNA(VLOOKUP($E102,'A-1 Site Habitat Baseline'!$D$1:$O$258,5,FALSE)),"",(VLOOKUP($E102,'A-1 Site Habitat Baseline'!$D$1:$O$258,5,FALSE))))</f>
        <v/>
      </c>
      <c r="H102" s="520" t="str">
        <f>IF(E102="","",IF(ISNA(VLOOKUP($E102,'A-1 Site Habitat Baseline'!$D$1:$O$258,6,FALSE)),"",(VLOOKUP($E102,'A-1 Site Habitat Baseline'!$D$1:$O$258,6,FALSE))))</f>
        <v/>
      </c>
      <c r="I102" s="520" t="str">
        <f>IF(E102="","",IF(ISNA(VLOOKUP($E102,'A-1 Site Habitat Baseline'!$D$1:$O$258,7,FALSE)),"",(VLOOKUP($E102,'A-1 Site Habitat Baseline'!$D$1:$O$258,7,FALSE))))</f>
        <v/>
      </c>
      <c r="J102" s="520" t="str">
        <f>IF(E102="","",IF(ISNA(VLOOKUP($E102,'A-1 Site Habitat Baseline'!$D$1:$O$258,8,FALSE)),"",(VLOOKUP($E102,'A-1 Site Habitat Baseline'!$D$1:$O$258,8,FALSE))))</f>
        <v/>
      </c>
      <c r="K102" s="520" t="str">
        <f>IF(E102="","",IF(ISNA(VLOOKUP($E102,'A-1 Site Habitat Baseline'!$D$1:$O$258,9,FALSE)),"",(VLOOKUP($E102,'A-1 Site Habitat Baseline'!$D$1:$O$258,9,FALSE))))</f>
        <v/>
      </c>
      <c r="L102" s="520" t="str">
        <f>IF(E102="","",IF(ISNA(VLOOKUP($E102,'A-1 Site Habitat Baseline'!$D$1:$O$258,11,FALSE)),"",(VLOOKUP($E102,'A-1 Site Habitat Baseline'!$D$1:$O$258,11,FALSE))))</f>
        <v/>
      </c>
      <c r="M102" s="520" t="str">
        <f>IF(E102="","",IF(ISNA(VLOOKUP($E102,'A-1 Site Habitat Baseline'!$D$1:$O$258,12,FALSE)),"",(VLOOKUP($E102,'A-1 Site Habitat Baseline'!$D$1:$O$258,12,FALSE))))</f>
        <v/>
      </c>
      <c r="N102" s="532" t="str">
        <f>IF(E102="","",IF(ISNA(VLOOKUP($E102,'A-1 Site Habitat Baseline'!$D$1:$X$258,14,FALSE)),"",(VLOOKUP($E102,'A-1 Site Habitat Baseline'!$D$1:$X$258,14,FALSE))))</f>
        <v/>
      </c>
      <c r="O102" s="524" t="str">
        <f>IF(E102="","",IF(ISNA(VLOOKUP($E102,'A-1 Site Habitat Baseline'!$D$1:$X$258,16,FALSE)),"",(VLOOKUP($E102,'A-1 Site Habitat Baseline'!$D$1:$X$258,13,FALSE))))</f>
        <v/>
      </c>
      <c r="P102" s="237" t="str">
        <f>IFERROR(INDEX('G-1 All Habitats'!$AG$3:$AG$15,MATCH(Q102,'G-1 All Habitats'!$AF$3:$AF$15,0)),"")</f>
        <v/>
      </c>
      <c r="Q102" s="238" t="str">
        <f t="shared" si="15"/>
        <v/>
      </c>
      <c r="R102" s="238" t="str">
        <f t="shared" si="16"/>
        <v/>
      </c>
      <c r="S102" s="392" t="str">
        <f>IFERROR(INDEX('G-1 All Habitats'!$B$3:$B$129,MATCH(R102,'G-1 All Habitats'!$A$3:$A$129,0)),"")</f>
        <v/>
      </c>
      <c r="T102" s="498" t="str">
        <f t="shared" si="17"/>
        <v/>
      </c>
      <c r="U102" s="499" t="str">
        <f t="shared" si="18"/>
        <v/>
      </c>
      <c r="V102" s="537" t="str">
        <f t="shared" si="12"/>
        <v/>
      </c>
      <c r="W102" s="520" t="str">
        <f>IF(S102="","",VLOOKUP(S102,'G-1 All Habitats'!$B$2:$M$129,10,FALSE))</f>
        <v/>
      </c>
      <c r="X102" s="520" t="str">
        <f>IFERROR(VLOOKUP(W102,'G-1 All Habitats'!$V$3:$W$7,2,FALSE),"")</f>
        <v/>
      </c>
      <c r="Y102" s="79"/>
      <c r="Z102" s="524" t="str">
        <f>IFERROR(INDEX('G-8 Condition Look up'!$A$3:$H$130,MATCH(S102,'G-8 Condition Look up'!$A$3:$A$130,0),MATCH(Y102,'G-8 Condition Look up'!$A$3:$H$3,0)),"")</f>
        <v/>
      </c>
      <c r="AA102" s="71"/>
      <c r="AB102" s="520" t="str">
        <f>IF(AA102="","",IF(VLOOKUP(AA102,'G-3 Multipliers'!$L$3:$N$6,2,FALSE)=0,"Spatial Data Missing ⚠",VLOOKUP(AA102,'G-3 Multipliers'!$L$3:$N$6,2,FALSE)))</f>
        <v/>
      </c>
      <c r="AC102" s="524" t="str">
        <f>IF(AA102="","",IF(VLOOKUP(AA102,'G-3 Multipliers'!$L$3:$N$6,3,FALSE)=0,"Spatial Data Missing ⚠",VLOOKUP(AA102,'G-3 Multipliers'!$L$3:$N$6,3,FALSE)))</f>
        <v/>
      </c>
      <c r="AD102" s="539" t="str">
        <f t="shared" si="13"/>
        <v/>
      </c>
      <c r="AE102" s="82"/>
      <c r="AF102" s="82"/>
      <c r="AG102" s="507" t="str">
        <f t="shared" si="19"/>
        <v/>
      </c>
      <c r="AH102" s="521" t="str">
        <f t="shared" si="20"/>
        <v/>
      </c>
      <c r="AI102" s="522" t="str">
        <f>IF(AH102="Check Data","Check Data",IFERROR(VLOOKUP(AH102,'G-4 Temporal multipliers'!$A$4:$C$36,3,FALSE),""))</f>
        <v/>
      </c>
      <c r="AJ102" s="498" t="str">
        <f>IF(S102="","",VLOOKUP(S102,'G-3 Multipliers'!$A$2:$E$129,4,FALSE))</f>
        <v/>
      </c>
      <c r="AK102" s="507" t="str">
        <f t="shared" si="21"/>
        <v/>
      </c>
      <c r="AL102" s="507" t="str">
        <f t="shared" si="22"/>
        <v/>
      </c>
      <c r="AM102" s="540" t="str">
        <f>IFERROR(IF(F102="","",IF(AH102="Check Data ⚠","Check Data ⚠",VLOOKUP(AL102, 'G-3 Multipliers'!$P$2:$Q$6,2,FALSE))),"")</f>
        <v/>
      </c>
      <c r="AN102" s="513" t="str">
        <f t="shared" si="14"/>
        <v/>
      </c>
      <c r="AO102" s="239"/>
      <c r="AP102" s="240"/>
    </row>
    <row r="103" spans="1:42" x14ac:dyDescent="0.25">
      <c r="A103" s="47" t="str">
        <f>IF(E103="","",IF(ISNA(VLOOKUP($E103,'A-1 Site Habitat Baseline'!$D$1:$O$258,2,FALSE)),"",(VLOOKUP($E103,'A-1 Site Habitat Baseline'!$D$1:$O$258,2,FALSE))))</f>
        <v/>
      </c>
      <c r="B103" s="47" t="str">
        <f>IF(E103="","",IF(ISNA(VLOOKUP($E103,'A-1 Site Habitat Baseline'!$D$1:$O$258,3,FALSE)),"",(VLOOKUP($E103,'A-1 Site Habitat Baseline'!$D$1:$O$258,3,FALSE))))</f>
        <v/>
      </c>
      <c r="C103" s="47" t="str">
        <f>IFERROR(INDEX('G-8 Condition Look up'!$I$4:$I$130,MATCH(S103,'G-8 Condition Look up'!$A$4:$A$130,0)),"")</f>
        <v/>
      </c>
      <c r="E103" s="531" t="str">
        <f>'A-1 Site Habitat Baseline'!AL102</f>
        <v/>
      </c>
      <c r="F103" s="520" t="str">
        <f>IF(E103="","",IF(ISNA(VLOOKUP($E103,'A-1 Site Habitat Baseline'!$D$1:$O$258,4,FALSE)),"",(VLOOKUP($E103,'A-1 Site Habitat Baseline'!$D$1:$O$258,4,FALSE))))</f>
        <v/>
      </c>
      <c r="G103" s="520" t="str">
        <f>IF(E103="","",IF(ISNA(VLOOKUP($E103,'A-1 Site Habitat Baseline'!$D$1:$O$258,5,FALSE)),"",(VLOOKUP($E103,'A-1 Site Habitat Baseline'!$D$1:$O$258,5,FALSE))))</f>
        <v/>
      </c>
      <c r="H103" s="520" t="str">
        <f>IF(E103="","",IF(ISNA(VLOOKUP($E103,'A-1 Site Habitat Baseline'!$D$1:$O$258,6,FALSE)),"",(VLOOKUP($E103,'A-1 Site Habitat Baseline'!$D$1:$O$258,6,FALSE))))</f>
        <v/>
      </c>
      <c r="I103" s="520" t="str">
        <f>IF(E103="","",IF(ISNA(VLOOKUP($E103,'A-1 Site Habitat Baseline'!$D$1:$O$258,7,FALSE)),"",(VLOOKUP($E103,'A-1 Site Habitat Baseline'!$D$1:$O$258,7,FALSE))))</f>
        <v/>
      </c>
      <c r="J103" s="520" t="str">
        <f>IF(E103="","",IF(ISNA(VLOOKUP($E103,'A-1 Site Habitat Baseline'!$D$1:$O$258,8,FALSE)),"",(VLOOKUP($E103,'A-1 Site Habitat Baseline'!$D$1:$O$258,8,FALSE))))</f>
        <v/>
      </c>
      <c r="K103" s="520" t="str">
        <f>IF(E103="","",IF(ISNA(VLOOKUP($E103,'A-1 Site Habitat Baseline'!$D$1:$O$258,9,FALSE)),"",(VLOOKUP($E103,'A-1 Site Habitat Baseline'!$D$1:$O$258,9,FALSE))))</f>
        <v/>
      </c>
      <c r="L103" s="520" t="str">
        <f>IF(E103="","",IF(ISNA(VLOOKUP($E103,'A-1 Site Habitat Baseline'!$D$1:$O$258,11,FALSE)),"",(VLOOKUP($E103,'A-1 Site Habitat Baseline'!$D$1:$O$258,11,FALSE))))</f>
        <v/>
      </c>
      <c r="M103" s="520" t="str">
        <f>IF(E103="","",IF(ISNA(VLOOKUP($E103,'A-1 Site Habitat Baseline'!$D$1:$O$258,12,FALSE)),"",(VLOOKUP($E103,'A-1 Site Habitat Baseline'!$D$1:$O$258,12,FALSE))))</f>
        <v/>
      </c>
      <c r="N103" s="532" t="str">
        <f>IF(E103="","",IF(ISNA(VLOOKUP($E103,'A-1 Site Habitat Baseline'!$D$1:$X$258,14,FALSE)),"",(VLOOKUP($E103,'A-1 Site Habitat Baseline'!$D$1:$X$258,14,FALSE))))</f>
        <v/>
      </c>
      <c r="O103" s="524" t="str">
        <f>IF(E103="","",IF(ISNA(VLOOKUP($E103,'A-1 Site Habitat Baseline'!$D$1:$X$258,16,FALSE)),"",(VLOOKUP($E103,'A-1 Site Habitat Baseline'!$D$1:$X$258,13,FALSE))))</f>
        <v/>
      </c>
      <c r="P103" s="237" t="str">
        <f>IFERROR(INDEX('G-1 All Habitats'!$AG$3:$AG$15,MATCH(Q103,'G-1 All Habitats'!$AF$3:$AF$15,0)),"")</f>
        <v/>
      </c>
      <c r="Q103" s="238" t="str">
        <f t="shared" si="15"/>
        <v/>
      </c>
      <c r="R103" s="238" t="str">
        <f t="shared" si="16"/>
        <v/>
      </c>
      <c r="S103" s="392" t="str">
        <f>IFERROR(INDEX('G-1 All Habitats'!$B$3:$B$129,MATCH(R103,'G-1 All Habitats'!$A$3:$A$129,0)),"")</f>
        <v/>
      </c>
      <c r="T103" s="498" t="str">
        <f t="shared" si="17"/>
        <v/>
      </c>
      <c r="U103" s="499" t="str">
        <f t="shared" si="18"/>
        <v/>
      </c>
      <c r="V103" s="537" t="str">
        <f t="shared" si="12"/>
        <v/>
      </c>
      <c r="W103" s="520" t="str">
        <f>IF(S103="","",VLOOKUP(S103,'G-1 All Habitats'!$B$2:$M$129,10,FALSE))</f>
        <v/>
      </c>
      <c r="X103" s="520" t="str">
        <f>IFERROR(VLOOKUP(W103,'G-1 All Habitats'!$V$3:$W$7,2,FALSE),"")</f>
        <v/>
      </c>
      <c r="Y103" s="79"/>
      <c r="Z103" s="524" t="str">
        <f>IFERROR(INDEX('G-8 Condition Look up'!$A$3:$H$130,MATCH(S103,'G-8 Condition Look up'!$A$3:$A$130,0),MATCH(Y103,'G-8 Condition Look up'!$A$3:$H$3,0)),"")</f>
        <v/>
      </c>
      <c r="AA103" s="71"/>
      <c r="AB103" s="520" t="str">
        <f>IF(AA103="","",IF(VLOOKUP(AA103,'G-3 Multipliers'!$L$3:$N$6,2,FALSE)=0,"Spatial Data Missing ⚠",VLOOKUP(AA103,'G-3 Multipliers'!$L$3:$N$6,2,FALSE)))</f>
        <v/>
      </c>
      <c r="AC103" s="524" t="str">
        <f>IF(AA103="","",IF(VLOOKUP(AA103,'G-3 Multipliers'!$L$3:$N$6,3,FALSE)=0,"Spatial Data Missing ⚠",VLOOKUP(AA103,'G-3 Multipliers'!$L$3:$N$6,3,FALSE)))</f>
        <v/>
      </c>
      <c r="AD103" s="539" t="str">
        <f t="shared" si="13"/>
        <v/>
      </c>
      <c r="AE103" s="82"/>
      <c r="AF103" s="82"/>
      <c r="AG103" s="507" t="str">
        <f t="shared" si="19"/>
        <v/>
      </c>
      <c r="AH103" s="521" t="str">
        <f t="shared" si="20"/>
        <v/>
      </c>
      <c r="AI103" s="522" t="str">
        <f>IF(AH103="Check Data","Check Data",IFERROR(VLOOKUP(AH103,'G-4 Temporal multipliers'!$A$4:$C$36,3,FALSE),""))</f>
        <v/>
      </c>
      <c r="AJ103" s="498" t="str">
        <f>IF(S103="","",VLOOKUP(S103,'G-3 Multipliers'!$A$2:$E$129,4,FALSE))</f>
        <v/>
      </c>
      <c r="AK103" s="507" t="str">
        <f t="shared" si="21"/>
        <v/>
      </c>
      <c r="AL103" s="507" t="str">
        <f t="shared" si="22"/>
        <v/>
      </c>
      <c r="AM103" s="540" t="str">
        <f>IFERROR(IF(F103="","",IF(AH103="Check Data ⚠","Check Data ⚠",VLOOKUP(AL103, 'G-3 Multipliers'!$P$2:$Q$6,2,FALSE))),"")</f>
        <v/>
      </c>
      <c r="AN103" s="513" t="str">
        <f t="shared" si="14"/>
        <v/>
      </c>
      <c r="AO103" s="239"/>
      <c r="AP103" s="240"/>
    </row>
    <row r="104" spans="1:42" x14ac:dyDescent="0.25">
      <c r="A104" s="47" t="str">
        <f>IF(E104="","",IF(ISNA(VLOOKUP($E104,'A-1 Site Habitat Baseline'!$D$1:$O$258,2,FALSE)),"",(VLOOKUP($E104,'A-1 Site Habitat Baseline'!$D$1:$O$258,2,FALSE))))</f>
        <v/>
      </c>
      <c r="B104" s="47" t="str">
        <f>IF(E104="","",IF(ISNA(VLOOKUP($E104,'A-1 Site Habitat Baseline'!$D$1:$O$258,3,FALSE)),"",(VLOOKUP($E104,'A-1 Site Habitat Baseline'!$D$1:$O$258,3,FALSE))))</f>
        <v/>
      </c>
      <c r="C104" s="47" t="str">
        <f>IFERROR(INDEX('G-8 Condition Look up'!$I$4:$I$130,MATCH(S104,'G-8 Condition Look up'!$A$4:$A$130,0)),"")</f>
        <v/>
      </c>
      <c r="E104" s="531" t="str">
        <f>'A-1 Site Habitat Baseline'!AL103</f>
        <v/>
      </c>
      <c r="F104" s="520" t="str">
        <f>IF(E104="","",IF(ISNA(VLOOKUP($E104,'A-1 Site Habitat Baseline'!$D$1:$O$258,4,FALSE)),"",(VLOOKUP($E104,'A-1 Site Habitat Baseline'!$D$1:$O$258,4,FALSE))))</f>
        <v/>
      </c>
      <c r="G104" s="520" t="str">
        <f>IF(E104="","",IF(ISNA(VLOOKUP($E104,'A-1 Site Habitat Baseline'!$D$1:$O$258,5,FALSE)),"",(VLOOKUP($E104,'A-1 Site Habitat Baseline'!$D$1:$O$258,5,FALSE))))</f>
        <v/>
      </c>
      <c r="H104" s="520" t="str">
        <f>IF(E104="","",IF(ISNA(VLOOKUP($E104,'A-1 Site Habitat Baseline'!$D$1:$O$258,6,FALSE)),"",(VLOOKUP($E104,'A-1 Site Habitat Baseline'!$D$1:$O$258,6,FALSE))))</f>
        <v/>
      </c>
      <c r="I104" s="520" t="str">
        <f>IF(E104="","",IF(ISNA(VLOOKUP($E104,'A-1 Site Habitat Baseline'!$D$1:$O$258,7,FALSE)),"",(VLOOKUP($E104,'A-1 Site Habitat Baseline'!$D$1:$O$258,7,FALSE))))</f>
        <v/>
      </c>
      <c r="J104" s="520" t="str">
        <f>IF(E104="","",IF(ISNA(VLOOKUP($E104,'A-1 Site Habitat Baseline'!$D$1:$O$258,8,FALSE)),"",(VLOOKUP($E104,'A-1 Site Habitat Baseline'!$D$1:$O$258,8,FALSE))))</f>
        <v/>
      </c>
      <c r="K104" s="520" t="str">
        <f>IF(E104="","",IF(ISNA(VLOOKUP($E104,'A-1 Site Habitat Baseline'!$D$1:$O$258,9,FALSE)),"",(VLOOKUP($E104,'A-1 Site Habitat Baseline'!$D$1:$O$258,9,FALSE))))</f>
        <v/>
      </c>
      <c r="L104" s="520" t="str">
        <f>IF(E104="","",IF(ISNA(VLOOKUP($E104,'A-1 Site Habitat Baseline'!$D$1:$O$258,11,FALSE)),"",(VLOOKUP($E104,'A-1 Site Habitat Baseline'!$D$1:$O$258,11,FALSE))))</f>
        <v/>
      </c>
      <c r="M104" s="520" t="str">
        <f>IF(E104="","",IF(ISNA(VLOOKUP($E104,'A-1 Site Habitat Baseline'!$D$1:$O$258,12,FALSE)),"",(VLOOKUP($E104,'A-1 Site Habitat Baseline'!$D$1:$O$258,12,FALSE))))</f>
        <v/>
      </c>
      <c r="N104" s="532" t="str">
        <f>IF(E104="","",IF(ISNA(VLOOKUP($E104,'A-1 Site Habitat Baseline'!$D$1:$X$258,14,FALSE)),"",(VLOOKUP($E104,'A-1 Site Habitat Baseline'!$D$1:$X$258,14,FALSE))))</f>
        <v/>
      </c>
      <c r="O104" s="524" t="str">
        <f>IF(E104="","",IF(ISNA(VLOOKUP($E104,'A-1 Site Habitat Baseline'!$D$1:$X$258,16,FALSE)),"",(VLOOKUP($E104,'A-1 Site Habitat Baseline'!$D$1:$X$258,13,FALSE))))</f>
        <v/>
      </c>
      <c r="P104" s="237" t="str">
        <f>IFERROR(INDEX('G-1 All Habitats'!$AG$3:$AG$15,MATCH(Q104,'G-1 All Habitats'!$AF$3:$AF$15,0)),"")</f>
        <v/>
      </c>
      <c r="Q104" s="238" t="str">
        <f t="shared" si="15"/>
        <v/>
      </c>
      <c r="R104" s="238" t="str">
        <f t="shared" si="16"/>
        <v/>
      </c>
      <c r="S104" s="392" t="str">
        <f>IFERROR(INDEX('G-1 All Habitats'!$B$3:$B$129,MATCH(R104,'G-1 All Habitats'!$A$3:$A$129,0)),"")</f>
        <v/>
      </c>
      <c r="T104" s="498" t="str">
        <f t="shared" si="17"/>
        <v/>
      </c>
      <c r="U104" s="499" t="str">
        <f t="shared" si="18"/>
        <v/>
      </c>
      <c r="V104" s="537" t="str">
        <f t="shared" si="12"/>
        <v/>
      </c>
      <c r="W104" s="520" t="str">
        <f>IF(S104="","",VLOOKUP(S104,'G-1 All Habitats'!$B$2:$M$129,10,FALSE))</f>
        <v/>
      </c>
      <c r="X104" s="520" t="str">
        <f>IFERROR(VLOOKUP(W104,'G-1 All Habitats'!$V$3:$W$7,2,FALSE),"")</f>
        <v/>
      </c>
      <c r="Y104" s="79"/>
      <c r="Z104" s="524" t="str">
        <f>IFERROR(INDEX('G-8 Condition Look up'!$A$3:$H$130,MATCH(S104,'G-8 Condition Look up'!$A$3:$A$130,0),MATCH(Y104,'G-8 Condition Look up'!$A$3:$H$3,0)),"")</f>
        <v/>
      </c>
      <c r="AA104" s="71"/>
      <c r="AB104" s="520" t="str">
        <f>IF(AA104="","",IF(VLOOKUP(AA104,'G-3 Multipliers'!$L$3:$N$6,2,FALSE)=0,"Spatial Data Missing ⚠",VLOOKUP(AA104,'G-3 Multipliers'!$L$3:$N$6,2,FALSE)))</f>
        <v/>
      </c>
      <c r="AC104" s="524" t="str">
        <f>IF(AA104="","",IF(VLOOKUP(AA104,'G-3 Multipliers'!$L$3:$N$6,3,FALSE)=0,"Spatial Data Missing ⚠",VLOOKUP(AA104,'G-3 Multipliers'!$L$3:$N$6,3,FALSE)))</f>
        <v/>
      </c>
      <c r="AD104" s="539" t="str">
        <f t="shared" si="13"/>
        <v/>
      </c>
      <c r="AE104" s="82"/>
      <c r="AF104" s="82"/>
      <c r="AG104" s="507" t="str">
        <f t="shared" si="19"/>
        <v/>
      </c>
      <c r="AH104" s="521" t="str">
        <f t="shared" si="20"/>
        <v/>
      </c>
      <c r="AI104" s="522" t="str">
        <f>IF(AH104="Check Data","Check Data",IFERROR(VLOOKUP(AH104,'G-4 Temporal multipliers'!$A$4:$C$36,3,FALSE),""))</f>
        <v/>
      </c>
      <c r="AJ104" s="498" t="str">
        <f>IF(S104="","",VLOOKUP(S104,'G-3 Multipliers'!$A$2:$E$129,4,FALSE))</f>
        <v/>
      </c>
      <c r="AK104" s="507" t="str">
        <f t="shared" si="21"/>
        <v/>
      </c>
      <c r="AL104" s="507" t="str">
        <f t="shared" si="22"/>
        <v/>
      </c>
      <c r="AM104" s="540" t="str">
        <f>IFERROR(IF(F104="","",IF(AH104="Check Data ⚠","Check Data ⚠",VLOOKUP(AL104, 'G-3 Multipliers'!$P$2:$Q$6,2,FALSE))),"")</f>
        <v/>
      </c>
      <c r="AN104" s="513" t="str">
        <f t="shared" si="14"/>
        <v/>
      </c>
      <c r="AO104" s="239"/>
      <c r="AP104" s="240"/>
    </row>
    <row r="105" spans="1:42" x14ac:dyDescent="0.25">
      <c r="A105" s="47" t="str">
        <f>IF(E105="","",IF(ISNA(VLOOKUP($E105,'A-1 Site Habitat Baseline'!$D$1:$O$258,2,FALSE)),"",(VLOOKUP($E105,'A-1 Site Habitat Baseline'!$D$1:$O$258,2,FALSE))))</f>
        <v/>
      </c>
      <c r="B105" s="47" t="str">
        <f>IF(E105="","",IF(ISNA(VLOOKUP($E105,'A-1 Site Habitat Baseline'!$D$1:$O$258,3,FALSE)),"",(VLOOKUP($E105,'A-1 Site Habitat Baseline'!$D$1:$O$258,3,FALSE))))</f>
        <v/>
      </c>
      <c r="C105" s="47" t="str">
        <f>IFERROR(INDEX('G-8 Condition Look up'!$I$4:$I$130,MATCH(S105,'G-8 Condition Look up'!$A$4:$A$130,0)),"")</f>
        <v/>
      </c>
      <c r="E105" s="531" t="str">
        <f>'A-1 Site Habitat Baseline'!AL104</f>
        <v/>
      </c>
      <c r="F105" s="520" t="str">
        <f>IF(E105="","",IF(ISNA(VLOOKUP($E105,'A-1 Site Habitat Baseline'!$D$1:$O$258,4,FALSE)),"",(VLOOKUP($E105,'A-1 Site Habitat Baseline'!$D$1:$O$258,4,FALSE))))</f>
        <v/>
      </c>
      <c r="G105" s="520" t="str">
        <f>IF(E105="","",IF(ISNA(VLOOKUP($E105,'A-1 Site Habitat Baseline'!$D$1:$O$258,5,FALSE)),"",(VLOOKUP($E105,'A-1 Site Habitat Baseline'!$D$1:$O$258,5,FALSE))))</f>
        <v/>
      </c>
      <c r="H105" s="520" t="str">
        <f>IF(E105="","",IF(ISNA(VLOOKUP($E105,'A-1 Site Habitat Baseline'!$D$1:$O$258,6,FALSE)),"",(VLOOKUP($E105,'A-1 Site Habitat Baseline'!$D$1:$O$258,6,FALSE))))</f>
        <v/>
      </c>
      <c r="I105" s="520" t="str">
        <f>IF(E105="","",IF(ISNA(VLOOKUP($E105,'A-1 Site Habitat Baseline'!$D$1:$O$258,7,FALSE)),"",(VLOOKUP($E105,'A-1 Site Habitat Baseline'!$D$1:$O$258,7,FALSE))))</f>
        <v/>
      </c>
      <c r="J105" s="520" t="str">
        <f>IF(E105="","",IF(ISNA(VLOOKUP($E105,'A-1 Site Habitat Baseline'!$D$1:$O$258,8,FALSE)),"",(VLOOKUP($E105,'A-1 Site Habitat Baseline'!$D$1:$O$258,8,FALSE))))</f>
        <v/>
      </c>
      <c r="K105" s="520" t="str">
        <f>IF(E105="","",IF(ISNA(VLOOKUP($E105,'A-1 Site Habitat Baseline'!$D$1:$O$258,9,FALSE)),"",(VLOOKUP($E105,'A-1 Site Habitat Baseline'!$D$1:$O$258,9,FALSE))))</f>
        <v/>
      </c>
      <c r="L105" s="520" t="str">
        <f>IF(E105="","",IF(ISNA(VLOOKUP($E105,'A-1 Site Habitat Baseline'!$D$1:$O$258,11,FALSE)),"",(VLOOKUP($E105,'A-1 Site Habitat Baseline'!$D$1:$O$258,11,FALSE))))</f>
        <v/>
      </c>
      <c r="M105" s="520" t="str">
        <f>IF(E105="","",IF(ISNA(VLOOKUP($E105,'A-1 Site Habitat Baseline'!$D$1:$O$258,12,FALSE)),"",(VLOOKUP($E105,'A-1 Site Habitat Baseline'!$D$1:$O$258,12,FALSE))))</f>
        <v/>
      </c>
      <c r="N105" s="532" t="str">
        <f>IF(E105="","",IF(ISNA(VLOOKUP($E105,'A-1 Site Habitat Baseline'!$D$1:$X$258,14,FALSE)),"",(VLOOKUP($E105,'A-1 Site Habitat Baseline'!$D$1:$X$258,14,FALSE))))</f>
        <v/>
      </c>
      <c r="O105" s="524" t="str">
        <f>IF(E105="","",IF(ISNA(VLOOKUP($E105,'A-1 Site Habitat Baseline'!$D$1:$X$258,16,FALSE)),"",(VLOOKUP($E105,'A-1 Site Habitat Baseline'!$D$1:$X$258,13,FALSE))))</f>
        <v/>
      </c>
      <c r="P105" s="237" t="str">
        <f>IFERROR(INDEX('G-1 All Habitats'!$AG$3:$AG$15,MATCH(Q105,'G-1 All Habitats'!$AF$3:$AF$15,0)),"")</f>
        <v/>
      </c>
      <c r="Q105" s="238" t="str">
        <f t="shared" si="15"/>
        <v/>
      </c>
      <c r="R105" s="238" t="str">
        <f t="shared" si="16"/>
        <v/>
      </c>
      <c r="S105" s="392" t="str">
        <f>IFERROR(INDEX('G-1 All Habitats'!$B$3:$B$129,MATCH(R105,'G-1 All Habitats'!$A$3:$A$129,0)),"")</f>
        <v/>
      </c>
      <c r="T105" s="498" t="str">
        <f t="shared" si="17"/>
        <v/>
      </c>
      <c r="U105" s="499" t="str">
        <f t="shared" si="18"/>
        <v/>
      </c>
      <c r="V105" s="537" t="str">
        <f t="shared" si="12"/>
        <v/>
      </c>
      <c r="W105" s="520" t="str">
        <f>IF(S105="","",VLOOKUP(S105,'G-1 All Habitats'!$B$2:$M$129,10,FALSE))</f>
        <v/>
      </c>
      <c r="X105" s="520" t="str">
        <f>IFERROR(VLOOKUP(W105,'G-1 All Habitats'!$V$3:$W$7,2,FALSE),"")</f>
        <v/>
      </c>
      <c r="Y105" s="79"/>
      <c r="Z105" s="524" t="str">
        <f>IFERROR(INDEX('G-8 Condition Look up'!$A$3:$H$130,MATCH(S105,'G-8 Condition Look up'!$A$3:$A$130,0),MATCH(Y105,'G-8 Condition Look up'!$A$3:$H$3,0)),"")</f>
        <v/>
      </c>
      <c r="AA105" s="71"/>
      <c r="AB105" s="520" t="str">
        <f>IF(AA105="","",IF(VLOOKUP(AA105,'G-3 Multipliers'!$L$3:$N$6,2,FALSE)=0,"Spatial Data Missing ⚠",VLOOKUP(AA105,'G-3 Multipliers'!$L$3:$N$6,2,FALSE)))</f>
        <v/>
      </c>
      <c r="AC105" s="524" t="str">
        <f>IF(AA105="","",IF(VLOOKUP(AA105,'G-3 Multipliers'!$L$3:$N$6,3,FALSE)=0,"Spatial Data Missing ⚠",VLOOKUP(AA105,'G-3 Multipliers'!$L$3:$N$6,3,FALSE)))</f>
        <v/>
      </c>
      <c r="AD105" s="539" t="str">
        <f t="shared" si="13"/>
        <v/>
      </c>
      <c r="AE105" s="82"/>
      <c r="AF105" s="82"/>
      <c r="AG105" s="507" t="str">
        <f t="shared" si="19"/>
        <v/>
      </c>
      <c r="AH105" s="521" t="str">
        <f t="shared" si="20"/>
        <v/>
      </c>
      <c r="AI105" s="522" t="str">
        <f>IF(AH105="Check Data","Check Data",IFERROR(VLOOKUP(AH105,'G-4 Temporal multipliers'!$A$4:$C$36,3,FALSE),""))</f>
        <v/>
      </c>
      <c r="AJ105" s="498" t="str">
        <f>IF(S105="","",VLOOKUP(S105,'G-3 Multipliers'!$A$2:$E$129,4,FALSE))</f>
        <v/>
      </c>
      <c r="AK105" s="507" t="str">
        <f t="shared" si="21"/>
        <v/>
      </c>
      <c r="AL105" s="507" t="str">
        <f t="shared" si="22"/>
        <v/>
      </c>
      <c r="AM105" s="540" t="str">
        <f>IFERROR(IF(F105="","",IF(AH105="Check Data ⚠","Check Data ⚠",VLOOKUP(AL105, 'G-3 Multipliers'!$P$2:$Q$6,2,FALSE))),"")</f>
        <v/>
      </c>
      <c r="AN105" s="513" t="str">
        <f t="shared" si="14"/>
        <v/>
      </c>
      <c r="AO105" s="239"/>
      <c r="AP105" s="240"/>
    </row>
    <row r="106" spans="1:42" x14ac:dyDescent="0.25">
      <c r="A106" s="47" t="str">
        <f>IF(E106="","",IF(ISNA(VLOOKUP($E106,'A-1 Site Habitat Baseline'!$D$1:$O$258,2,FALSE)),"",(VLOOKUP($E106,'A-1 Site Habitat Baseline'!$D$1:$O$258,2,FALSE))))</f>
        <v/>
      </c>
      <c r="B106" s="47" t="str">
        <f>IF(E106="","",IF(ISNA(VLOOKUP($E106,'A-1 Site Habitat Baseline'!$D$1:$O$258,3,FALSE)),"",(VLOOKUP($E106,'A-1 Site Habitat Baseline'!$D$1:$O$258,3,FALSE))))</f>
        <v/>
      </c>
      <c r="C106" s="47" t="str">
        <f>IFERROR(INDEX('G-8 Condition Look up'!$I$4:$I$130,MATCH(S106,'G-8 Condition Look up'!$A$4:$A$130,0)),"")</f>
        <v/>
      </c>
      <c r="E106" s="531" t="str">
        <f>'A-1 Site Habitat Baseline'!AL105</f>
        <v/>
      </c>
      <c r="F106" s="520" t="str">
        <f>IF(E106="","",IF(ISNA(VLOOKUP($E106,'A-1 Site Habitat Baseline'!$D$1:$O$258,4,FALSE)),"",(VLOOKUP($E106,'A-1 Site Habitat Baseline'!$D$1:$O$258,4,FALSE))))</f>
        <v/>
      </c>
      <c r="G106" s="520" t="str">
        <f>IF(E106="","",IF(ISNA(VLOOKUP($E106,'A-1 Site Habitat Baseline'!$D$1:$O$258,5,FALSE)),"",(VLOOKUP($E106,'A-1 Site Habitat Baseline'!$D$1:$O$258,5,FALSE))))</f>
        <v/>
      </c>
      <c r="H106" s="520" t="str">
        <f>IF(E106="","",IF(ISNA(VLOOKUP($E106,'A-1 Site Habitat Baseline'!$D$1:$O$258,6,FALSE)),"",(VLOOKUP($E106,'A-1 Site Habitat Baseline'!$D$1:$O$258,6,FALSE))))</f>
        <v/>
      </c>
      <c r="I106" s="520" t="str">
        <f>IF(E106="","",IF(ISNA(VLOOKUP($E106,'A-1 Site Habitat Baseline'!$D$1:$O$258,7,FALSE)),"",(VLOOKUP($E106,'A-1 Site Habitat Baseline'!$D$1:$O$258,7,FALSE))))</f>
        <v/>
      </c>
      <c r="J106" s="520" t="str">
        <f>IF(E106="","",IF(ISNA(VLOOKUP($E106,'A-1 Site Habitat Baseline'!$D$1:$O$258,8,FALSE)),"",(VLOOKUP($E106,'A-1 Site Habitat Baseline'!$D$1:$O$258,8,FALSE))))</f>
        <v/>
      </c>
      <c r="K106" s="520" t="str">
        <f>IF(E106="","",IF(ISNA(VLOOKUP($E106,'A-1 Site Habitat Baseline'!$D$1:$O$258,9,FALSE)),"",(VLOOKUP($E106,'A-1 Site Habitat Baseline'!$D$1:$O$258,9,FALSE))))</f>
        <v/>
      </c>
      <c r="L106" s="520" t="str">
        <f>IF(E106="","",IF(ISNA(VLOOKUP($E106,'A-1 Site Habitat Baseline'!$D$1:$O$258,11,FALSE)),"",(VLOOKUP($E106,'A-1 Site Habitat Baseline'!$D$1:$O$258,11,FALSE))))</f>
        <v/>
      </c>
      <c r="M106" s="520" t="str">
        <f>IF(E106="","",IF(ISNA(VLOOKUP($E106,'A-1 Site Habitat Baseline'!$D$1:$O$258,12,FALSE)),"",(VLOOKUP($E106,'A-1 Site Habitat Baseline'!$D$1:$O$258,12,FALSE))))</f>
        <v/>
      </c>
      <c r="N106" s="532" t="str">
        <f>IF(E106="","",IF(ISNA(VLOOKUP($E106,'A-1 Site Habitat Baseline'!$D$1:$X$258,14,FALSE)),"",(VLOOKUP($E106,'A-1 Site Habitat Baseline'!$D$1:$X$258,14,FALSE))))</f>
        <v/>
      </c>
      <c r="O106" s="524" t="str">
        <f>IF(E106="","",IF(ISNA(VLOOKUP($E106,'A-1 Site Habitat Baseline'!$D$1:$X$258,16,FALSE)),"",(VLOOKUP($E106,'A-1 Site Habitat Baseline'!$D$1:$X$258,13,FALSE))))</f>
        <v/>
      </c>
      <c r="P106" s="237" t="str">
        <f>IFERROR(INDEX('G-1 All Habitats'!$AG$3:$AG$15,MATCH(Q106,'G-1 All Habitats'!$AF$3:$AF$15,0)),"")</f>
        <v/>
      </c>
      <c r="Q106" s="238" t="str">
        <f t="shared" si="15"/>
        <v/>
      </c>
      <c r="R106" s="238" t="str">
        <f t="shared" si="16"/>
        <v/>
      </c>
      <c r="S106" s="392" t="str">
        <f>IFERROR(INDEX('G-1 All Habitats'!$B$3:$B$129,MATCH(R106,'G-1 All Habitats'!$A$3:$A$129,0)),"")</f>
        <v/>
      </c>
      <c r="T106" s="498" t="str">
        <f t="shared" si="17"/>
        <v/>
      </c>
      <c r="U106" s="499" t="str">
        <f t="shared" si="18"/>
        <v/>
      </c>
      <c r="V106" s="537" t="str">
        <f t="shared" si="12"/>
        <v/>
      </c>
      <c r="W106" s="520" t="str">
        <f>IF(S106="","",VLOOKUP(S106,'G-1 All Habitats'!$B$2:$M$129,10,FALSE))</f>
        <v/>
      </c>
      <c r="X106" s="520" t="str">
        <f>IFERROR(VLOOKUP(W106,'G-1 All Habitats'!$V$3:$W$7,2,FALSE),"")</f>
        <v/>
      </c>
      <c r="Y106" s="79"/>
      <c r="Z106" s="524" t="str">
        <f>IFERROR(INDEX('G-8 Condition Look up'!$A$3:$H$130,MATCH(S106,'G-8 Condition Look up'!$A$3:$A$130,0),MATCH(Y106,'G-8 Condition Look up'!$A$3:$H$3,0)),"")</f>
        <v/>
      </c>
      <c r="AA106" s="71"/>
      <c r="AB106" s="520" t="str">
        <f>IF(AA106="","",IF(VLOOKUP(AA106,'G-3 Multipliers'!$L$3:$N$6,2,FALSE)=0,"Spatial Data Missing ⚠",VLOOKUP(AA106,'G-3 Multipliers'!$L$3:$N$6,2,FALSE)))</f>
        <v/>
      </c>
      <c r="AC106" s="524" t="str">
        <f>IF(AA106="","",IF(VLOOKUP(AA106,'G-3 Multipliers'!$L$3:$N$6,3,FALSE)=0,"Spatial Data Missing ⚠",VLOOKUP(AA106,'G-3 Multipliers'!$L$3:$N$6,3,FALSE)))</f>
        <v/>
      </c>
      <c r="AD106" s="539" t="str">
        <f t="shared" si="13"/>
        <v/>
      </c>
      <c r="AE106" s="82"/>
      <c r="AF106" s="82"/>
      <c r="AG106" s="507" t="str">
        <f t="shared" si="19"/>
        <v/>
      </c>
      <c r="AH106" s="521" t="str">
        <f t="shared" si="20"/>
        <v/>
      </c>
      <c r="AI106" s="522" t="str">
        <f>IF(AH106="Check Data","Check Data",IFERROR(VLOOKUP(AH106,'G-4 Temporal multipliers'!$A$4:$C$36,3,FALSE),""))</f>
        <v/>
      </c>
      <c r="AJ106" s="498" t="str">
        <f>IF(S106="","",VLOOKUP(S106,'G-3 Multipliers'!$A$2:$E$129,4,FALSE))</f>
        <v/>
      </c>
      <c r="AK106" s="507" t="str">
        <f t="shared" si="21"/>
        <v/>
      </c>
      <c r="AL106" s="507" t="str">
        <f t="shared" si="22"/>
        <v/>
      </c>
      <c r="AM106" s="540" t="str">
        <f>IFERROR(IF(F106="","",IF(AH106="Check Data ⚠","Check Data ⚠",VLOOKUP(AL106, 'G-3 Multipliers'!$P$2:$Q$6,2,FALSE))),"")</f>
        <v/>
      </c>
      <c r="AN106" s="513" t="str">
        <f t="shared" si="14"/>
        <v/>
      </c>
      <c r="AO106" s="239"/>
      <c r="AP106" s="240"/>
    </row>
    <row r="107" spans="1:42" x14ac:dyDescent="0.25">
      <c r="A107" s="47" t="str">
        <f>IF(E107="","",IF(ISNA(VLOOKUP($E107,'A-1 Site Habitat Baseline'!$D$1:$O$258,2,FALSE)),"",(VLOOKUP($E107,'A-1 Site Habitat Baseline'!$D$1:$O$258,2,FALSE))))</f>
        <v/>
      </c>
      <c r="B107" s="47" t="str">
        <f>IF(E107="","",IF(ISNA(VLOOKUP($E107,'A-1 Site Habitat Baseline'!$D$1:$O$258,3,FALSE)),"",(VLOOKUP($E107,'A-1 Site Habitat Baseline'!$D$1:$O$258,3,FALSE))))</f>
        <v/>
      </c>
      <c r="C107" s="47" t="str">
        <f>IFERROR(INDEX('G-8 Condition Look up'!$I$4:$I$130,MATCH(S107,'G-8 Condition Look up'!$A$4:$A$130,0)),"")</f>
        <v/>
      </c>
      <c r="E107" s="531" t="str">
        <f>'A-1 Site Habitat Baseline'!AL106</f>
        <v/>
      </c>
      <c r="F107" s="520" t="str">
        <f>IF(E107="","",IF(ISNA(VLOOKUP($E107,'A-1 Site Habitat Baseline'!$D$1:$O$258,4,FALSE)),"",(VLOOKUP($E107,'A-1 Site Habitat Baseline'!$D$1:$O$258,4,FALSE))))</f>
        <v/>
      </c>
      <c r="G107" s="520" t="str">
        <f>IF(E107="","",IF(ISNA(VLOOKUP($E107,'A-1 Site Habitat Baseline'!$D$1:$O$258,5,FALSE)),"",(VLOOKUP($E107,'A-1 Site Habitat Baseline'!$D$1:$O$258,5,FALSE))))</f>
        <v/>
      </c>
      <c r="H107" s="520" t="str">
        <f>IF(E107="","",IF(ISNA(VLOOKUP($E107,'A-1 Site Habitat Baseline'!$D$1:$O$258,6,FALSE)),"",(VLOOKUP($E107,'A-1 Site Habitat Baseline'!$D$1:$O$258,6,FALSE))))</f>
        <v/>
      </c>
      <c r="I107" s="520" t="str">
        <f>IF(E107="","",IF(ISNA(VLOOKUP($E107,'A-1 Site Habitat Baseline'!$D$1:$O$258,7,FALSE)),"",(VLOOKUP($E107,'A-1 Site Habitat Baseline'!$D$1:$O$258,7,FALSE))))</f>
        <v/>
      </c>
      <c r="J107" s="520" t="str">
        <f>IF(E107="","",IF(ISNA(VLOOKUP($E107,'A-1 Site Habitat Baseline'!$D$1:$O$258,8,FALSE)),"",(VLOOKUP($E107,'A-1 Site Habitat Baseline'!$D$1:$O$258,8,FALSE))))</f>
        <v/>
      </c>
      <c r="K107" s="520" t="str">
        <f>IF(E107="","",IF(ISNA(VLOOKUP($E107,'A-1 Site Habitat Baseline'!$D$1:$O$258,9,FALSE)),"",(VLOOKUP($E107,'A-1 Site Habitat Baseline'!$D$1:$O$258,9,FALSE))))</f>
        <v/>
      </c>
      <c r="L107" s="520" t="str">
        <f>IF(E107="","",IF(ISNA(VLOOKUP($E107,'A-1 Site Habitat Baseline'!$D$1:$O$258,11,FALSE)),"",(VLOOKUP($E107,'A-1 Site Habitat Baseline'!$D$1:$O$258,11,FALSE))))</f>
        <v/>
      </c>
      <c r="M107" s="520" t="str">
        <f>IF(E107="","",IF(ISNA(VLOOKUP($E107,'A-1 Site Habitat Baseline'!$D$1:$O$258,12,FALSE)),"",(VLOOKUP($E107,'A-1 Site Habitat Baseline'!$D$1:$O$258,12,FALSE))))</f>
        <v/>
      </c>
      <c r="N107" s="532" t="str">
        <f>IF(E107="","",IF(ISNA(VLOOKUP($E107,'A-1 Site Habitat Baseline'!$D$1:$X$258,14,FALSE)),"",(VLOOKUP($E107,'A-1 Site Habitat Baseline'!$D$1:$X$258,14,FALSE))))</f>
        <v/>
      </c>
      <c r="O107" s="524" t="str">
        <f>IF(E107="","",IF(ISNA(VLOOKUP($E107,'A-1 Site Habitat Baseline'!$D$1:$X$258,16,FALSE)),"",(VLOOKUP($E107,'A-1 Site Habitat Baseline'!$D$1:$X$258,13,FALSE))))</f>
        <v/>
      </c>
      <c r="P107" s="237" t="str">
        <f>IFERROR(INDEX('G-1 All Habitats'!$AG$3:$AG$15,MATCH(Q107,'G-1 All Habitats'!$AF$3:$AF$15,0)),"")</f>
        <v/>
      </c>
      <c r="Q107" s="238" t="str">
        <f t="shared" si="15"/>
        <v/>
      </c>
      <c r="R107" s="238" t="str">
        <f t="shared" si="16"/>
        <v/>
      </c>
      <c r="S107" s="392" t="str">
        <f>IFERROR(INDEX('G-1 All Habitats'!$B$3:$B$129,MATCH(R107,'G-1 All Habitats'!$A$3:$A$129,0)),"")</f>
        <v/>
      </c>
      <c r="T107" s="498" t="str">
        <f t="shared" si="17"/>
        <v/>
      </c>
      <c r="U107" s="499" t="str">
        <f t="shared" si="18"/>
        <v/>
      </c>
      <c r="V107" s="537" t="str">
        <f t="shared" si="12"/>
        <v/>
      </c>
      <c r="W107" s="520" t="str">
        <f>IF(S107="","",VLOOKUP(S107,'G-1 All Habitats'!$B$2:$M$129,10,FALSE))</f>
        <v/>
      </c>
      <c r="X107" s="520" t="str">
        <f>IFERROR(VLOOKUP(W107,'G-1 All Habitats'!$V$3:$W$7,2,FALSE),"")</f>
        <v/>
      </c>
      <c r="Y107" s="79"/>
      <c r="Z107" s="524" t="str">
        <f>IFERROR(INDEX('G-8 Condition Look up'!$A$3:$H$130,MATCH(S107,'G-8 Condition Look up'!$A$3:$A$130,0),MATCH(Y107,'G-8 Condition Look up'!$A$3:$H$3,0)),"")</f>
        <v/>
      </c>
      <c r="AA107" s="71"/>
      <c r="AB107" s="520" t="str">
        <f>IF(AA107="","",IF(VLOOKUP(AA107,'G-3 Multipliers'!$L$3:$N$6,2,FALSE)=0,"Spatial Data Missing ⚠",VLOOKUP(AA107,'G-3 Multipliers'!$L$3:$N$6,2,FALSE)))</f>
        <v/>
      </c>
      <c r="AC107" s="524" t="str">
        <f>IF(AA107="","",IF(VLOOKUP(AA107,'G-3 Multipliers'!$L$3:$N$6,3,FALSE)=0,"Spatial Data Missing ⚠",VLOOKUP(AA107,'G-3 Multipliers'!$L$3:$N$6,3,FALSE)))</f>
        <v/>
      </c>
      <c r="AD107" s="539" t="str">
        <f t="shared" si="13"/>
        <v/>
      </c>
      <c r="AE107" s="82"/>
      <c r="AF107" s="82"/>
      <c r="AG107" s="507" t="str">
        <f t="shared" si="19"/>
        <v/>
      </c>
      <c r="AH107" s="521" t="str">
        <f t="shared" si="20"/>
        <v/>
      </c>
      <c r="AI107" s="522" t="str">
        <f>IF(AH107="Check Data","Check Data",IFERROR(VLOOKUP(AH107,'G-4 Temporal multipliers'!$A$4:$C$36,3,FALSE),""))</f>
        <v/>
      </c>
      <c r="AJ107" s="498" t="str">
        <f>IF(S107="","",VLOOKUP(S107,'G-3 Multipliers'!$A$2:$E$129,4,FALSE))</f>
        <v/>
      </c>
      <c r="AK107" s="507" t="str">
        <f t="shared" si="21"/>
        <v/>
      </c>
      <c r="AL107" s="507" t="str">
        <f t="shared" si="22"/>
        <v/>
      </c>
      <c r="AM107" s="540" t="str">
        <f>IFERROR(IF(F107="","",IF(AH107="Check Data ⚠","Check Data ⚠",VLOOKUP(AL107, 'G-3 Multipliers'!$P$2:$Q$6,2,FALSE))),"")</f>
        <v/>
      </c>
      <c r="AN107" s="513" t="str">
        <f t="shared" si="14"/>
        <v/>
      </c>
      <c r="AO107" s="239"/>
      <c r="AP107" s="240"/>
    </row>
    <row r="108" spans="1:42" x14ac:dyDescent="0.25">
      <c r="A108" s="47" t="str">
        <f>IF(E108="","",IF(ISNA(VLOOKUP($E108,'A-1 Site Habitat Baseline'!$D$1:$O$258,2,FALSE)),"",(VLOOKUP($E108,'A-1 Site Habitat Baseline'!$D$1:$O$258,2,FALSE))))</f>
        <v/>
      </c>
      <c r="B108" s="47" t="str">
        <f>IF(E108="","",IF(ISNA(VLOOKUP($E108,'A-1 Site Habitat Baseline'!$D$1:$O$258,3,FALSE)),"",(VLOOKUP($E108,'A-1 Site Habitat Baseline'!$D$1:$O$258,3,FALSE))))</f>
        <v/>
      </c>
      <c r="C108" s="47" t="str">
        <f>IFERROR(INDEX('G-8 Condition Look up'!$I$4:$I$130,MATCH(S108,'G-8 Condition Look up'!$A$4:$A$130,0)),"")</f>
        <v/>
      </c>
      <c r="E108" s="531" t="str">
        <f>'A-1 Site Habitat Baseline'!AL107</f>
        <v/>
      </c>
      <c r="F108" s="520" t="str">
        <f>IF(E108="","",IF(ISNA(VLOOKUP($E108,'A-1 Site Habitat Baseline'!$D$1:$O$258,4,FALSE)),"",(VLOOKUP($E108,'A-1 Site Habitat Baseline'!$D$1:$O$258,4,FALSE))))</f>
        <v/>
      </c>
      <c r="G108" s="520" t="str">
        <f>IF(E108="","",IF(ISNA(VLOOKUP($E108,'A-1 Site Habitat Baseline'!$D$1:$O$258,5,FALSE)),"",(VLOOKUP($E108,'A-1 Site Habitat Baseline'!$D$1:$O$258,5,FALSE))))</f>
        <v/>
      </c>
      <c r="H108" s="520" t="str">
        <f>IF(E108="","",IF(ISNA(VLOOKUP($E108,'A-1 Site Habitat Baseline'!$D$1:$O$258,6,FALSE)),"",(VLOOKUP($E108,'A-1 Site Habitat Baseline'!$D$1:$O$258,6,FALSE))))</f>
        <v/>
      </c>
      <c r="I108" s="520" t="str">
        <f>IF(E108="","",IF(ISNA(VLOOKUP($E108,'A-1 Site Habitat Baseline'!$D$1:$O$258,7,FALSE)),"",(VLOOKUP($E108,'A-1 Site Habitat Baseline'!$D$1:$O$258,7,FALSE))))</f>
        <v/>
      </c>
      <c r="J108" s="520" t="str">
        <f>IF(E108="","",IF(ISNA(VLOOKUP($E108,'A-1 Site Habitat Baseline'!$D$1:$O$258,8,FALSE)),"",(VLOOKUP($E108,'A-1 Site Habitat Baseline'!$D$1:$O$258,8,FALSE))))</f>
        <v/>
      </c>
      <c r="K108" s="520" t="str">
        <f>IF(E108="","",IF(ISNA(VLOOKUP($E108,'A-1 Site Habitat Baseline'!$D$1:$O$258,9,FALSE)),"",(VLOOKUP($E108,'A-1 Site Habitat Baseline'!$D$1:$O$258,9,FALSE))))</f>
        <v/>
      </c>
      <c r="L108" s="520" t="str">
        <f>IF(E108="","",IF(ISNA(VLOOKUP($E108,'A-1 Site Habitat Baseline'!$D$1:$O$258,11,FALSE)),"",(VLOOKUP($E108,'A-1 Site Habitat Baseline'!$D$1:$O$258,11,FALSE))))</f>
        <v/>
      </c>
      <c r="M108" s="520" t="str">
        <f>IF(E108="","",IF(ISNA(VLOOKUP($E108,'A-1 Site Habitat Baseline'!$D$1:$O$258,12,FALSE)),"",(VLOOKUP($E108,'A-1 Site Habitat Baseline'!$D$1:$O$258,12,FALSE))))</f>
        <v/>
      </c>
      <c r="N108" s="532" t="str">
        <f>IF(E108="","",IF(ISNA(VLOOKUP($E108,'A-1 Site Habitat Baseline'!$D$1:$X$258,14,FALSE)),"",(VLOOKUP($E108,'A-1 Site Habitat Baseline'!$D$1:$X$258,14,FALSE))))</f>
        <v/>
      </c>
      <c r="O108" s="524" t="str">
        <f>IF(E108="","",IF(ISNA(VLOOKUP($E108,'A-1 Site Habitat Baseline'!$D$1:$X$258,16,FALSE)),"",(VLOOKUP($E108,'A-1 Site Habitat Baseline'!$D$1:$X$258,13,FALSE))))</f>
        <v/>
      </c>
      <c r="P108" s="237" t="str">
        <f>IFERROR(INDEX('G-1 All Habitats'!$AG$3:$AG$15,MATCH(Q108,'G-1 All Habitats'!$AF$3:$AF$15,0)),"")</f>
        <v/>
      </c>
      <c r="Q108" s="238" t="str">
        <f t="shared" si="15"/>
        <v/>
      </c>
      <c r="R108" s="238" t="str">
        <f t="shared" si="16"/>
        <v/>
      </c>
      <c r="S108" s="392" t="str">
        <f>IFERROR(INDEX('G-1 All Habitats'!$B$3:$B$129,MATCH(R108,'G-1 All Habitats'!$A$3:$A$129,0)),"")</f>
        <v/>
      </c>
      <c r="T108" s="498" t="str">
        <f t="shared" si="17"/>
        <v/>
      </c>
      <c r="U108" s="499" t="str">
        <f t="shared" si="18"/>
        <v/>
      </c>
      <c r="V108" s="537" t="str">
        <f t="shared" si="12"/>
        <v/>
      </c>
      <c r="W108" s="520" t="str">
        <f>IF(S108="","",VLOOKUP(S108,'G-1 All Habitats'!$B$2:$M$129,10,FALSE))</f>
        <v/>
      </c>
      <c r="X108" s="520" t="str">
        <f>IFERROR(VLOOKUP(W108,'G-1 All Habitats'!$V$3:$W$7,2,FALSE),"")</f>
        <v/>
      </c>
      <c r="Y108" s="79"/>
      <c r="Z108" s="524" t="str">
        <f>IFERROR(INDEX('G-8 Condition Look up'!$A$3:$H$130,MATCH(S108,'G-8 Condition Look up'!$A$3:$A$130,0),MATCH(Y108,'G-8 Condition Look up'!$A$3:$H$3,0)),"")</f>
        <v/>
      </c>
      <c r="AA108" s="71"/>
      <c r="AB108" s="520" t="str">
        <f>IF(AA108="","",IF(VLOOKUP(AA108,'G-3 Multipliers'!$L$3:$N$6,2,FALSE)=0,"Spatial Data Missing ⚠",VLOOKUP(AA108,'G-3 Multipliers'!$L$3:$N$6,2,FALSE)))</f>
        <v/>
      </c>
      <c r="AC108" s="524" t="str">
        <f>IF(AA108="","",IF(VLOOKUP(AA108,'G-3 Multipliers'!$L$3:$N$6,3,FALSE)=0,"Spatial Data Missing ⚠",VLOOKUP(AA108,'G-3 Multipliers'!$L$3:$N$6,3,FALSE)))</f>
        <v/>
      </c>
      <c r="AD108" s="539" t="str">
        <f t="shared" si="13"/>
        <v/>
      </c>
      <c r="AE108" s="82"/>
      <c r="AF108" s="82"/>
      <c r="AG108" s="507" t="str">
        <f t="shared" si="19"/>
        <v/>
      </c>
      <c r="AH108" s="521" t="str">
        <f t="shared" si="20"/>
        <v/>
      </c>
      <c r="AI108" s="522" t="str">
        <f>IF(AH108="Check Data","Check Data",IFERROR(VLOOKUP(AH108,'G-4 Temporal multipliers'!$A$4:$C$36,3,FALSE),""))</f>
        <v/>
      </c>
      <c r="AJ108" s="498" t="str">
        <f>IF(S108="","",VLOOKUP(S108,'G-3 Multipliers'!$A$2:$E$129,4,FALSE))</f>
        <v/>
      </c>
      <c r="AK108" s="507" t="str">
        <f t="shared" si="21"/>
        <v/>
      </c>
      <c r="AL108" s="507" t="str">
        <f t="shared" si="22"/>
        <v/>
      </c>
      <c r="AM108" s="540" t="str">
        <f>IFERROR(IF(F108="","",IF(AH108="Check Data ⚠","Check Data ⚠",VLOOKUP(AL108, 'G-3 Multipliers'!$P$2:$Q$6,2,FALSE))),"")</f>
        <v/>
      </c>
      <c r="AN108" s="513" t="str">
        <f t="shared" si="14"/>
        <v/>
      </c>
      <c r="AO108" s="239"/>
      <c r="AP108" s="240"/>
    </row>
    <row r="109" spans="1:42" x14ac:dyDescent="0.25">
      <c r="A109" s="47" t="str">
        <f>IF(E109="","",IF(ISNA(VLOOKUP($E109,'A-1 Site Habitat Baseline'!$D$1:$O$258,2,FALSE)),"",(VLOOKUP($E109,'A-1 Site Habitat Baseline'!$D$1:$O$258,2,FALSE))))</f>
        <v/>
      </c>
      <c r="B109" s="47" t="str">
        <f>IF(E109="","",IF(ISNA(VLOOKUP($E109,'A-1 Site Habitat Baseline'!$D$1:$O$258,3,FALSE)),"",(VLOOKUP($E109,'A-1 Site Habitat Baseline'!$D$1:$O$258,3,FALSE))))</f>
        <v/>
      </c>
      <c r="C109" s="47" t="str">
        <f>IFERROR(INDEX('G-8 Condition Look up'!$I$4:$I$130,MATCH(S109,'G-8 Condition Look up'!$A$4:$A$130,0)),"")</f>
        <v/>
      </c>
      <c r="E109" s="531" t="str">
        <f>'A-1 Site Habitat Baseline'!AL108</f>
        <v/>
      </c>
      <c r="F109" s="520" t="str">
        <f>IF(E109="","",IF(ISNA(VLOOKUP($E109,'A-1 Site Habitat Baseline'!$D$1:$O$258,4,FALSE)),"",(VLOOKUP($E109,'A-1 Site Habitat Baseline'!$D$1:$O$258,4,FALSE))))</f>
        <v/>
      </c>
      <c r="G109" s="520" t="str">
        <f>IF(E109="","",IF(ISNA(VLOOKUP($E109,'A-1 Site Habitat Baseline'!$D$1:$O$258,5,FALSE)),"",(VLOOKUP($E109,'A-1 Site Habitat Baseline'!$D$1:$O$258,5,FALSE))))</f>
        <v/>
      </c>
      <c r="H109" s="520" t="str">
        <f>IF(E109="","",IF(ISNA(VLOOKUP($E109,'A-1 Site Habitat Baseline'!$D$1:$O$258,6,FALSE)),"",(VLOOKUP($E109,'A-1 Site Habitat Baseline'!$D$1:$O$258,6,FALSE))))</f>
        <v/>
      </c>
      <c r="I109" s="520" t="str">
        <f>IF(E109="","",IF(ISNA(VLOOKUP($E109,'A-1 Site Habitat Baseline'!$D$1:$O$258,7,FALSE)),"",(VLOOKUP($E109,'A-1 Site Habitat Baseline'!$D$1:$O$258,7,FALSE))))</f>
        <v/>
      </c>
      <c r="J109" s="520" t="str">
        <f>IF(E109="","",IF(ISNA(VLOOKUP($E109,'A-1 Site Habitat Baseline'!$D$1:$O$258,8,FALSE)),"",(VLOOKUP($E109,'A-1 Site Habitat Baseline'!$D$1:$O$258,8,FALSE))))</f>
        <v/>
      </c>
      <c r="K109" s="520" t="str">
        <f>IF(E109="","",IF(ISNA(VLOOKUP($E109,'A-1 Site Habitat Baseline'!$D$1:$O$258,9,FALSE)),"",(VLOOKUP($E109,'A-1 Site Habitat Baseline'!$D$1:$O$258,9,FALSE))))</f>
        <v/>
      </c>
      <c r="L109" s="520" t="str">
        <f>IF(E109="","",IF(ISNA(VLOOKUP($E109,'A-1 Site Habitat Baseline'!$D$1:$O$258,11,FALSE)),"",(VLOOKUP($E109,'A-1 Site Habitat Baseline'!$D$1:$O$258,11,FALSE))))</f>
        <v/>
      </c>
      <c r="M109" s="520" t="str">
        <f>IF(E109="","",IF(ISNA(VLOOKUP($E109,'A-1 Site Habitat Baseline'!$D$1:$O$258,12,FALSE)),"",(VLOOKUP($E109,'A-1 Site Habitat Baseline'!$D$1:$O$258,12,FALSE))))</f>
        <v/>
      </c>
      <c r="N109" s="532" t="str">
        <f>IF(E109="","",IF(ISNA(VLOOKUP($E109,'A-1 Site Habitat Baseline'!$D$1:$X$258,14,FALSE)),"",(VLOOKUP($E109,'A-1 Site Habitat Baseline'!$D$1:$X$258,14,FALSE))))</f>
        <v/>
      </c>
      <c r="O109" s="524" t="str">
        <f>IF(E109="","",IF(ISNA(VLOOKUP($E109,'A-1 Site Habitat Baseline'!$D$1:$X$258,16,FALSE)),"",(VLOOKUP($E109,'A-1 Site Habitat Baseline'!$D$1:$X$258,13,FALSE))))</f>
        <v/>
      </c>
      <c r="P109" s="237" t="str">
        <f>IFERROR(INDEX('G-1 All Habitats'!$AG$3:$AG$15,MATCH(Q109,'G-1 All Habitats'!$AF$3:$AF$15,0)),"")</f>
        <v/>
      </c>
      <c r="Q109" s="238" t="str">
        <f t="shared" si="15"/>
        <v/>
      </c>
      <c r="R109" s="238" t="str">
        <f t="shared" si="16"/>
        <v/>
      </c>
      <c r="S109" s="392" t="str">
        <f>IFERROR(INDEX('G-1 All Habitats'!$B$3:$B$129,MATCH(R109,'G-1 All Habitats'!$A$3:$A$129,0)),"")</f>
        <v/>
      </c>
      <c r="T109" s="498" t="str">
        <f t="shared" si="17"/>
        <v/>
      </c>
      <c r="U109" s="499" t="str">
        <f t="shared" si="18"/>
        <v/>
      </c>
      <c r="V109" s="537" t="str">
        <f t="shared" si="12"/>
        <v/>
      </c>
      <c r="W109" s="520" t="str">
        <f>IF(S109="","",VLOOKUP(S109,'G-1 All Habitats'!$B$2:$M$129,10,FALSE))</f>
        <v/>
      </c>
      <c r="X109" s="520" t="str">
        <f>IFERROR(VLOOKUP(W109,'G-1 All Habitats'!$V$3:$W$7,2,FALSE),"")</f>
        <v/>
      </c>
      <c r="Y109" s="79"/>
      <c r="Z109" s="524" t="str">
        <f>IFERROR(INDEX('G-8 Condition Look up'!$A$3:$H$130,MATCH(S109,'G-8 Condition Look up'!$A$3:$A$130,0),MATCH(Y109,'G-8 Condition Look up'!$A$3:$H$3,0)),"")</f>
        <v/>
      </c>
      <c r="AA109" s="71"/>
      <c r="AB109" s="520" t="str">
        <f>IF(AA109="","",IF(VLOOKUP(AA109,'G-3 Multipliers'!$L$3:$N$6,2,FALSE)=0,"Spatial Data Missing ⚠",VLOOKUP(AA109,'G-3 Multipliers'!$L$3:$N$6,2,FALSE)))</f>
        <v/>
      </c>
      <c r="AC109" s="524" t="str">
        <f>IF(AA109="","",IF(VLOOKUP(AA109,'G-3 Multipliers'!$L$3:$N$6,3,FALSE)=0,"Spatial Data Missing ⚠",VLOOKUP(AA109,'G-3 Multipliers'!$L$3:$N$6,3,FALSE)))</f>
        <v/>
      </c>
      <c r="AD109" s="539" t="str">
        <f t="shared" si="13"/>
        <v/>
      </c>
      <c r="AE109" s="82"/>
      <c r="AF109" s="82"/>
      <c r="AG109" s="507" t="str">
        <f t="shared" si="19"/>
        <v/>
      </c>
      <c r="AH109" s="521" t="str">
        <f t="shared" si="20"/>
        <v/>
      </c>
      <c r="AI109" s="522" t="str">
        <f>IF(AH109="Check Data","Check Data",IFERROR(VLOOKUP(AH109,'G-4 Temporal multipliers'!$A$4:$C$36,3,FALSE),""))</f>
        <v/>
      </c>
      <c r="AJ109" s="498" t="str">
        <f>IF(S109="","",VLOOKUP(S109,'G-3 Multipliers'!$A$2:$E$129,4,FALSE))</f>
        <v/>
      </c>
      <c r="AK109" s="507" t="str">
        <f t="shared" si="21"/>
        <v/>
      </c>
      <c r="AL109" s="507" t="str">
        <f t="shared" si="22"/>
        <v/>
      </c>
      <c r="AM109" s="540" t="str">
        <f>IFERROR(IF(F109="","",IF(AH109="Check Data ⚠","Check Data ⚠",VLOOKUP(AL109, 'G-3 Multipliers'!$P$2:$Q$6,2,FALSE))),"")</f>
        <v/>
      </c>
      <c r="AN109" s="513" t="str">
        <f t="shared" si="14"/>
        <v/>
      </c>
      <c r="AO109" s="239"/>
      <c r="AP109" s="240"/>
    </row>
    <row r="110" spans="1:42" x14ac:dyDescent="0.25">
      <c r="A110" s="47" t="str">
        <f>IF(E110="","",IF(ISNA(VLOOKUP($E110,'A-1 Site Habitat Baseline'!$D$1:$O$258,2,FALSE)),"",(VLOOKUP($E110,'A-1 Site Habitat Baseline'!$D$1:$O$258,2,FALSE))))</f>
        <v/>
      </c>
      <c r="B110" s="47" t="str">
        <f>IF(E110="","",IF(ISNA(VLOOKUP($E110,'A-1 Site Habitat Baseline'!$D$1:$O$258,3,FALSE)),"",(VLOOKUP($E110,'A-1 Site Habitat Baseline'!$D$1:$O$258,3,FALSE))))</f>
        <v/>
      </c>
      <c r="C110" s="47" t="str">
        <f>IFERROR(INDEX('G-8 Condition Look up'!$I$4:$I$130,MATCH(S110,'G-8 Condition Look up'!$A$4:$A$130,0)),"")</f>
        <v/>
      </c>
      <c r="E110" s="531" t="str">
        <f>'A-1 Site Habitat Baseline'!AL109</f>
        <v/>
      </c>
      <c r="F110" s="520" t="str">
        <f>IF(E110="","",IF(ISNA(VLOOKUP($E110,'A-1 Site Habitat Baseline'!$D$1:$O$258,4,FALSE)),"",(VLOOKUP($E110,'A-1 Site Habitat Baseline'!$D$1:$O$258,4,FALSE))))</f>
        <v/>
      </c>
      <c r="G110" s="520" t="str">
        <f>IF(E110="","",IF(ISNA(VLOOKUP($E110,'A-1 Site Habitat Baseline'!$D$1:$O$258,5,FALSE)),"",(VLOOKUP($E110,'A-1 Site Habitat Baseline'!$D$1:$O$258,5,FALSE))))</f>
        <v/>
      </c>
      <c r="H110" s="520" t="str">
        <f>IF(E110="","",IF(ISNA(VLOOKUP($E110,'A-1 Site Habitat Baseline'!$D$1:$O$258,6,FALSE)),"",(VLOOKUP($E110,'A-1 Site Habitat Baseline'!$D$1:$O$258,6,FALSE))))</f>
        <v/>
      </c>
      <c r="I110" s="520" t="str">
        <f>IF(E110="","",IF(ISNA(VLOOKUP($E110,'A-1 Site Habitat Baseline'!$D$1:$O$258,7,FALSE)),"",(VLOOKUP($E110,'A-1 Site Habitat Baseline'!$D$1:$O$258,7,FALSE))))</f>
        <v/>
      </c>
      <c r="J110" s="520" t="str">
        <f>IF(E110="","",IF(ISNA(VLOOKUP($E110,'A-1 Site Habitat Baseline'!$D$1:$O$258,8,FALSE)),"",(VLOOKUP($E110,'A-1 Site Habitat Baseline'!$D$1:$O$258,8,FALSE))))</f>
        <v/>
      </c>
      <c r="K110" s="520" t="str">
        <f>IF(E110="","",IF(ISNA(VLOOKUP($E110,'A-1 Site Habitat Baseline'!$D$1:$O$258,9,FALSE)),"",(VLOOKUP($E110,'A-1 Site Habitat Baseline'!$D$1:$O$258,9,FALSE))))</f>
        <v/>
      </c>
      <c r="L110" s="520" t="str">
        <f>IF(E110="","",IF(ISNA(VLOOKUP($E110,'A-1 Site Habitat Baseline'!$D$1:$O$258,11,FALSE)),"",(VLOOKUP($E110,'A-1 Site Habitat Baseline'!$D$1:$O$258,11,FALSE))))</f>
        <v/>
      </c>
      <c r="M110" s="520" t="str">
        <f>IF(E110="","",IF(ISNA(VLOOKUP($E110,'A-1 Site Habitat Baseline'!$D$1:$O$258,12,FALSE)),"",(VLOOKUP($E110,'A-1 Site Habitat Baseline'!$D$1:$O$258,12,FALSE))))</f>
        <v/>
      </c>
      <c r="N110" s="532" t="str">
        <f>IF(E110="","",IF(ISNA(VLOOKUP($E110,'A-1 Site Habitat Baseline'!$D$1:$X$258,14,FALSE)),"",(VLOOKUP($E110,'A-1 Site Habitat Baseline'!$D$1:$X$258,14,FALSE))))</f>
        <v/>
      </c>
      <c r="O110" s="524" t="str">
        <f>IF(E110="","",IF(ISNA(VLOOKUP($E110,'A-1 Site Habitat Baseline'!$D$1:$X$258,16,FALSE)),"",(VLOOKUP($E110,'A-1 Site Habitat Baseline'!$D$1:$X$258,13,FALSE))))</f>
        <v/>
      </c>
      <c r="P110" s="237" t="str">
        <f>IFERROR(INDEX('G-1 All Habitats'!$AG$3:$AG$15,MATCH(Q110,'G-1 All Habitats'!$AF$3:$AF$15,0)),"")</f>
        <v/>
      </c>
      <c r="Q110" s="238" t="str">
        <f t="shared" si="15"/>
        <v/>
      </c>
      <c r="R110" s="238" t="str">
        <f t="shared" si="16"/>
        <v/>
      </c>
      <c r="S110" s="392" t="str">
        <f>IFERROR(INDEX('G-1 All Habitats'!$B$3:$B$129,MATCH(R110,'G-1 All Habitats'!$A$3:$A$129,0)),"")</f>
        <v/>
      </c>
      <c r="T110" s="498" t="str">
        <f t="shared" si="17"/>
        <v/>
      </c>
      <c r="U110" s="499" t="str">
        <f t="shared" si="18"/>
        <v/>
      </c>
      <c r="V110" s="537" t="str">
        <f t="shared" si="12"/>
        <v/>
      </c>
      <c r="W110" s="520" t="str">
        <f>IF(S110="","",VLOOKUP(S110,'G-1 All Habitats'!$B$2:$M$129,10,FALSE))</f>
        <v/>
      </c>
      <c r="X110" s="520" t="str">
        <f>IFERROR(VLOOKUP(W110,'G-1 All Habitats'!$V$3:$W$7,2,FALSE),"")</f>
        <v/>
      </c>
      <c r="Y110" s="79"/>
      <c r="Z110" s="524" t="str">
        <f>IFERROR(INDEX('G-8 Condition Look up'!$A$3:$H$130,MATCH(S110,'G-8 Condition Look up'!$A$3:$A$130,0),MATCH(Y110,'G-8 Condition Look up'!$A$3:$H$3,0)),"")</f>
        <v/>
      </c>
      <c r="AA110" s="71"/>
      <c r="AB110" s="520" t="str">
        <f>IF(AA110="","",IF(VLOOKUP(AA110,'G-3 Multipliers'!$L$3:$N$6,2,FALSE)=0,"Spatial Data Missing ⚠",VLOOKUP(AA110,'G-3 Multipliers'!$L$3:$N$6,2,FALSE)))</f>
        <v/>
      </c>
      <c r="AC110" s="524" t="str">
        <f>IF(AA110="","",IF(VLOOKUP(AA110,'G-3 Multipliers'!$L$3:$N$6,3,FALSE)=0,"Spatial Data Missing ⚠",VLOOKUP(AA110,'G-3 Multipliers'!$L$3:$N$6,3,FALSE)))</f>
        <v/>
      </c>
      <c r="AD110" s="539" t="str">
        <f t="shared" si="13"/>
        <v/>
      </c>
      <c r="AE110" s="82"/>
      <c r="AF110" s="82"/>
      <c r="AG110" s="507" t="str">
        <f t="shared" si="19"/>
        <v/>
      </c>
      <c r="AH110" s="521" t="str">
        <f t="shared" si="20"/>
        <v/>
      </c>
      <c r="AI110" s="522" t="str">
        <f>IF(AH110="Check Data","Check Data",IFERROR(VLOOKUP(AH110,'G-4 Temporal multipliers'!$A$4:$C$36,3,FALSE),""))</f>
        <v/>
      </c>
      <c r="AJ110" s="498" t="str">
        <f>IF(S110="","",VLOOKUP(S110,'G-3 Multipliers'!$A$2:$E$129,4,FALSE))</f>
        <v/>
      </c>
      <c r="AK110" s="507" t="str">
        <f t="shared" si="21"/>
        <v/>
      </c>
      <c r="AL110" s="507" t="str">
        <f t="shared" si="22"/>
        <v/>
      </c>
      <c r="AM110" s="540" t="str">
        <f>IFERROR(IF(F110="","",IF(AH110="Check Data ⚠","Check Data ⚠",VLOOKUP(AL110, 'G-3 Multipliers'!$P$2:$Q$6,2,FALSE))),"")</f>
        <v/>
      </c>
      <c r="AN110" s="513" t="str">
        <f t="shared" si="14"/>
        <v/>
      </c>
      <c r="AO110" s="239"/>
      <c r="AP110" s="240"/>
    </row>
    <row r="111" spans="1:42" x14ac:dyDescent="0.25">
      <c r="A111" s="47" t="str">
        <f>IF(E111="","",IF(ISNA(VLOOKUP($E111,'A-1 Site Habitat Baseline'!$D$1:$O$258,2,FALSE)),"",(VLOOKUP($E111,'A-1 Site Habitat Baseline'!$D$1:$O$258,2,FALSE))))</f>
        <v/>
      </c>
      <c r="B111" s="47" t="str">
        <f>IF(E111="","",IF(ISNA(VLOOKUP($E111,'A-1 Site Habitat Baseline'!$D$1:$O$258,3,FALSE)),"",(VLOOKUP($E111,'A-1 Site Habitat Baseline'!$D$1:$O$258,3,FALSE))))</f>
        <v/>
      </c>
      <c r="C111" s="47" t="str">
        <f>IFERROR(INDEX('G-8 Condition Look up'!$I$4:$I$130,MATCH(S111,'G-8 Condition Look up'!$A$4:$A$130,0)),"")</f>
        <v/>
      </c>
      <c r="E111" s="531" t="str">
        <f>'A-1 Site Habitat Baseline'!AL110</f>
        <v/>
      </c>
      <c r="F111" s="520" t="str">
        <f>IF(E111="","",IF(ISNA(VLOOKUP($E111,'A-1 Site Habitat Baseline'!$D$1:$O$258,4,FALSE)),"",(VLOOKUP($E111,'A-1 Site Habitat Baseline'!$D$1:$O$258,4,FALSE))))</f>
        <v/>
      </c>
      <c r="G111" s="520" t="str">
        <f>IF(E111="","",IF(ISNA(VLOOKUP($E111,'A-1 Site Habitat Baseline'!$D$1:$O$258,5,FALSE)),"",(VLOOKUP($E111,'A-1 Site Habitat Baseline'!$D$1:$O$258,5,FALSE))))</f>
        <v/>
      </c>
      <c r="H111" s="520" t="str">
        <f>IF(E111="","",IF(ISNA(VLOOKUP($E111,'A-1 Site Habitat Baseline'!$D$1:$O$258,6,FALSE)),"",(VLOOKUP($E111,'A-1 Site Habitat Baseline'!$D$1:$O$258,6,FALSE))))</f>
        <v/>
      </c>
      <c r="I111" s="520" t="str">
        <f>IF(E111="","",IF(ISNA(VLOOKUP($E111,'A-1 Site Habitat Baseline'!$D$1:$O$258,7,FALSE)),"",(VLOOKUP($E111,'A-1 Site Habitat Baseline'!$D$1:$O$258,7,FALSE))))</f>
        <v/>
      </c>
      <c r="J111" s="520" t="str">
        <f>IF(E111="","",IF(ISNA(VLOOKUP($E111,'A-1 Site Habitat Baseline'!$D$1:$O$258,8,FALSE)),"",(VLOOKUP($E111,'A-1 Site Habitat Baseline'!$D$1:$O$258,8,FALSE))))</f>
        <v/>
      </c>
      <c r="K111" s="520" t="str">
        <f>IF(E111="","",IF(ISNA(VLOOKUP($E111,'A-1 Site Habitat Baseline'!$D$1:$O$258,9,FALSE)),"",(VLOOKUP($E111,'A-1 Site Habitat Baseline'!$D$1:$O$258,9,FALSE))))</f>
        <v/>
      </c>
      <c r="L111" s="520" t="str">
        <f>IF(E111="","",IF(ISNA(VLOOKUP($E111,'A-1 Site Habitat Baseline'!$D$1:$O$258,11,FALSE)),"",(VLOOKUP($E111,'A-1 Site Habitat Baseline'!$D$1:$O$258,11,FALSE))))</f>
        <v/>
      </c>
      <c r="M111" s="520" t="str">
        <f>IF(E111="","",IF(ISNA(VLOOKUP($E111,'A-1 Site Habitat Baseline'!$D$1:$O$258,12,FALSE)),"",(VLOOKUP($E111,'A-1 Site Habitat Baseline'!$D$1:$O$258,12,FALSE))))</f>
        <v/>
      </c>
      <c r="N111" s="532" t="str">
        <f>IF(E111="","",IF(ISNA(VLOOKUP($E111,'A-1 Site Habitat Baseline'!$D$1:$X$258,14,FALSE)),"",(VLOOKUP($E111,'A-1 Site Habitat Baseline'!$D$1:$X$258,14,FALSE))))</f>
        <v/>
      </c>
      <c r="O111" s="524" t="str">
        <f>IF(E111="","",IF(ISNA(VLOOKUP($E111,'A-1 Site Habitat Baseline'!$D$1:$X$258,16,FALSE)),"",(VLOOKUP($E111,'A-1 Site Habitat Baseline'!$D$1:$X$258,13,FALSE))))</f>
        <v/>
      </c>
      <c r="P111" s="237" t="str">
        <f>IFERROR(INDEX('G-1 All Habitats'!$AG$3:$AG$15,MATCH(Q111,'G-1 All Habitats'!$AF$3:$AF$15,0)),"")</f>
        <v/>
      </c>
      <c r="Q111" s="238" t="str">
        <f t="shared" si="15"/>
        <v/>
      </c>
      <c r="R111" s="238" t="str">
        <f t="shared" si="16"/>
        <v/>
      </c>
      <c r="S111" s="392" t="str">
        <f>IFERROR(INDEX('G-1 All Habitats'!$B$3:$B$129,MATCH(R111,'G-1 All Habitats'!$A$3:$A$129,0)),"")</f>
        <v/>
      </c>
      <c r="T111" s="498" t="str">
        <f t="shared" si="17"/>
        <v/>
      </c>
      <c r="U111" s="499" t="str">
        <f t="shared" si="18"/>
        <v/>
      </c>
      <c r="V111" s="537" t="str">
        <f t="shared" si="12"/>
        <v/>
      </c>
      <c r="W111" s="520" t="str">
        <f>IF(S111="","",VLOOKUP(S111,'G-1 All Habitats'!$B$2:$M$129,10,FALSE))</f>
        <v/>
      </c>
      <c r="X111" s="520" t="str">
        <f>IFERROR(VLOOKUP(W111,'G-1 All Habitats'!$V$3:$W$7,2,FALSE),"")</f>
        <v/>
      </c>
      <c r="Y111" s="79"/>
      <c r="Z111" s="524" t="str">
        <f>IFERROR(INDEX('G-8 Condition Look up'!$A$3:$H$130,MATCH(S111,'G-8 Condition Look up'!$A$3:$A$130,0),MATCH(Y111,'G-8 Condition Look up'!$A$3:$H$3,0)),"")</f>
        <v/>
      </c>
      <c r="AA111" s="71"/>
      <c r="AB111" s="520" t="str">
        <f>IF(AA111="","",IF(VLOOKUP(AA111,'G-3 Multipliers'!$L$3:$N$6,2,FALSE)=0,"Spatial Data Missing ⚠",VLOOKUP(AA111,'G-3 Multipliers'!$L$3:$N$6,2,FALSE)))</f>
        <v/>
      </c>
      <c r="AC111" s="524" t="str">
        <f>IF(AA111="","",IF(VLOOKUP(AA111,'G-3 Multipliers'!$L$3:$N$6,3,FALSE)=0,"Spatial Data Missing ⚠",VLOOKUP(AA111,'G-3 Multipliers'!$L$3:$N$6,3,FALSE)))</f>
        <v/>
      </c>
      <c r="AD111" s="539" t="str">
        <f t="shared" si="13"/>
        <v/>
      </c>
      <c r="AE111" s="82"/>
      <c r="AF111" s="82"/>
      <c r="AG111" s="507" t="str">
        <f t="shared" si="19"/>
        <v/>
      </c>
      <c r="AH111" s="521" t="str">
        <f t="shared" si="20"/>
        <v/>
      </c>
      <c r="AI111" s="522" t="str">
        <f>IF(AH111="Check Data","Check Data",IFERROR(VLOOKUP(AH111,'G-4 Temporal multipliers'!$A$4:$C$36,3,FALSE),""))</f>
        <v/>
      </c>
      <c r="AJ111" s="498" t="str">
        <f>IF(S111="","",VLOOKUP(S111,'G-3 Multipliers'!$A$2:$E$129,4,FALSE))</f>
        <v/>
      </c>
      <c r="AK111" s="507" t="str">
        <f t="shared" si="21"/>
        <v/>
      </c>
      <c r="AL111" s="507" t="str">
        <f t="shared" si="22"/>
        <v/>
      </c>
      <c r="AM111" s="540" t="str">
        <f>IFERROR(IF(F111="","",IF(AH111="Check Data ⚠","Check Data ⚠",VLOOKUP(AL111, 'G-3 Multipliers'!$P$2:$Q$6,2,FALSE))),"")</f>
        <v/>
      </c>
      <c r="AN111" s="513" t="str">
        <f t="shared" si="14"/>
        <v/>
      </c>
      <c r="AO111" s="239"/>
      <c r="AP111" s="240"/>
    </row>
    <row r="112" spans="1:42" x14ac:dyDescent="0.25">
      <c r="A112" s="47" t="str">
        <f>IF(E112="","",IF(ISNA(VLOOKUP($E112,'A-1 Site Habitat Baseline'!$D$1:$O$258,2,FALSE)),"",(VLOOKUP($E112,'A-1 Site Habitat Baseline'!$D$1:$O$258,2,FALSE))))</f>
        <v/>
      </c>
      <c r="B112" s="47" t="str">
        <f>IF(E112="","",IF(ISNA(VLOOKUP($E112,'A-1 Site Habitat Baseline'!$D$1:$O$258,3,FALSE)),"",(VLOOKUP($E112,'A-1 Site Habitat Baseline'!$D$1:$O$258,3,FALSE))))</f>
        <v/>
      </c>
      <c r="C112" s="47" t="str">
        <f>IFERROR(INDEX('G-8 Condition Look up'!$I$4:$I$130,MATCH(S112,'G-8 Condition Look up'!$A$4:$A$130,0)),"")</f>
        <v/>
      </c>
      <c r="E112" s="531" t="str">
        <f>'A-1 Site Habitat Baseline'!AL111</f>
        <v/>
      </c>
      <c r="F112" s="520" t="str">
        <f>IF(E112="","",IF(ISNA(VLOOKUP($E112,'A-1 Site Habitat Baseline'!$D$1:$O$258,4,FALSE)),"",(VLOOKUP($E112,'A-1 Site Habitat Baseline'!$D$1:$O$258,4,FALSE))))</f>
        <v/>
      </c>
      <c r="G112" s="520" t="str">
        <f>IF(E112="","",IF(ISNA(VLOOKUP($E112,'A-1 Site Habitat Baseline'!$D$1:$O$258,5,FALSE)),"",(VLOOKUP($E112,'A-1 Site Habitat Baseline'!$D$1:$O$258,5,FALSE))))</f>
        <v/>
      </c>
      <c r="H112" s="520" t="str">
        <f>IF(E112="","",IF(ISNA(VLOOKUP($E112,'A-1 Site Habitat Baseline'!$D$1:$O$258,6,FALSE)),"",(VLOOKUP($E112,'A-1 Site Habitat Baseline'!$D$1:$O$258,6,FALSE))))</f>
        <v/>
      </c>
      <c r="I112" s="520" t="str">
        <f>IF(E112="","",IF(ISNA(VLOOKUP($E112,'A-1 Site Habitat Baseline'!$D$1:$O$258,7,FALSE)),"",(VLOOKUP($E112,'A-1 Site Habitat Baseline'!$D$1:$O$258,7,FALSE))))</f>
        <v/>
      </c>
      <c r="J112" s="520" t="str">
        <f>IF(E112="","",IF(ISNA(VLOOKUP($E112,'A-1 Site Habitat Baseline'!$D$1:$O$258,8,FALSE)),"",(VLOOKUP($E112,'A-1 Site Habitat Baseline'!$D$1:$O$258,8,FALSE))))</f>
        <v/>
      </c>
      <c r="K112" s="520" t="str">
        <f>IF(E112="","",IF(ISNA(VLOOKUP($E112,'A-1 Site Habitat Baseline'!$D$1:$O$258,9,FALSE)),"",(VLOOKUP($E112,'A-1 Site Habitat Baseline'!$D$1:$O$258,9,FALSE))))</f>
        <v/>
      </c>
      <c r="L112" s="520" t="str">
        <f>IF(E112="","",IF(ISNA(VLOOKUP($E112,'A-1 Site Habitat Baseline'!$D$1:$O$258,11,FALSE)),"",(VLOOKUP($E112,'A-1 Site Habitat Baseline'!$D$1:$O$258,11,FALSE))))</f>
        <v/>
      </c>
      <c r="M112" s="520" t="str">
        <f>IF(E112="","",IF(ISNA(VLOOKUP($E112,'A-1 Site Habitat Baseline'!$D$1:$O$258,12,FALSE)),"",(VLOOKUP($E112,'A-1 Site Habitat Baseline'!$D$1:$O$258,12,FALSE))))</f>
        <v/>
      </c>
      <c r="N112" s="532" t="str">
        <f>IF(E112="","",IF(ISNA(VLOOKUP($E112,'A-1 Site Habitat Baseline'!$D$1:$X$258,14,FALSE)),"",(VLOOKUP($E112,'A-1 Site Habitat Baseline'!$D$1:$X$258,14,FALSE))))</f>
        <v/>
      </c>
      <c r="O112" s="524" t="str">
        <f>IF(E112="","",IF(ISNA(VLOOKUP($E112,'A-1 Site Habitat Baseline'!$D$1:$X$258,16,FALSE)),"",(VLOOKUP($E112,'A-1 Site Habitat Baseline'!$D$1:$X$258,13,FALSE))))</f>
        <v/>
      </c>
      <c r="P112" s="237" t="str">
        <f>IFERROR(INDEX('G-1 All Habitats'!$AG$3:$AG$15,MATCH(Q112,'G-1 All Habitats'!$AF$3:$AF$15,0)),"")</f>
        <v/>
      </c>
      <c r="Q112" s="238" t="str">
        <f t="shared" si="15"/>
        <v/>
      </c>
      <c r="R112" s="238" t="str">
        <f t="shared" si="16"/>
        <v/>
      </c>
      <c r="S112" s="392" t="str">
        <f>IFERROR(INDEX('G-1 All Habitats'!$B$3:$B$129,MATCH(R112,'G-1 All Habitats'!$A$3:$A$129,0)),"")</f>
        <v/>
      </c>
      <c r="T112" s="498" t="str">
        <f t="shared" si="17"/>
        <v/>
      </c>
      <c r="U112" s="499" t="str">
        <f t="shared" si="18"/>
        <v/>
      </c>
      <c r="V112" s="537" t="str">
        <f t="shared" si="12"/>
        <v/>
      </c>
      <c r="W112" s="520" t="str">
        <f>IF(S112="","",VLOOKUP(S112,'G-1 All Habitats'!$B$2:$M$129,10,FALSE))</f>
        <v/>
      </c>
      <c r="X112" s="520" t="str">
        <f>IFERROR(VLOOKUP(W112,'G-1 All Habitats'!$V$3:$W$7,2,FALSE),"")</f>
        <v/>
      </c>
      <c r="Y112" s="79"/>
      <c r="Z112" s="524" t="str">
        <f>IFERROR(INDEX('G-8 Condition Look up'!$A$3:$H$130,MATCH(S112,'G-8 Condition Look up'!$A$3:$A$130,0),MATCH(Y112,'G-8 Condition Look up'!$A$3:$H$3,0)),"")</f>
        <v/>
      </c>
      <c r="AA112" s="71"/>
      <c r="AB112" s="520" t="str">
        <f>IF(AA112="","",IF(VLOOKUP(AA112,'G-3 Multipliers'!$L$3:$N$6,2,FALSE)=0,"Spatial Data Missing ⚠",VLOOKUP(AA112,'G-3 Multipliers'!$L$3:$N$6,2,FALSE)))</f>
        <v/>
      </c>
      <c r="AC112" s="524" t="str">
        <f>IF(AA112="","",IF(VLOOKUP(AA112,'G-3 Multipliers'!$L$3:$N$6,3,FALSE)=0,"Spatial Data Missing ⚠",VLOOKUP(AA112,'G-3 Multipliers'!$L$3:$N$6,3,FALSE)))</f>
        <v/>
      </c>
      <c r="AD112" s="539" t="str">
        <f t="shared" si="13"/>
        <v/>
      </c>
      <c r="AE112" s="82"/>
      <c r="AF112" s="82"/>
      <c r="AG112" s="507" t="str">
        <f t="shared" si="19"/>
        <v/>
      </c>
      <c r="AH112" s="521" t="str">
        <f t="shared" si="20"/>
        <v/>
      </c>
      <c r="AI112" s="522" t="str">
        <f>IF(AH112="Check Data","Check Data",IFERROR(VLOOKUP(AH112,'G-4 Temporal multipliers'!$A$4:$C$36,3,FALSE),""))</f>
        <v/>
      </c>
      <c r="AJ112" s="498" t="str">
        <f>IF(S112="","",VLOOKUP(S112,'G-3 Multipliers'!$A$2:$E$129,4,FALSE))</f>
        <v/>
      </c>
      <c r="AK112" s="507" t="str">
        <f t="shared" si="21"/>
        <v/>
      </c>
      <c r="AL112" s="507" t="str">
        <f t="shared" si="22"/>
        <v/>
      </c>
      <c r="AM112" s="540" t="str">
        <f>IFERROR(IF(F112="","",IF(AH112="Check Data ⚠","Check Data ⚠",VLOOKUP(AL112, 'G-3 Multipliers'!$P$2:$Q$6,2,FALSE))),"")</f>
        <v/>
      </c>
      <c r="AN112" s="513" t="str">
        <f t="shared" si="14"/>
        <v/>
      </c>
      <c r="AO112" s="239"/>
      <c r="AP112" s="240"/>
    </row>
    <row r="113" spans="1:42" x14ac:dyDescent="0.25">
      <c r="A113" s="47" t="str">
        <f>IF(E113="","",IF(ISNA(VLOOKUP($E113,'A-1 Site Habitat Baseline'!$D$1:$O$258,2,FALSE)),"",(VLOOKUP($E113,'A-1 Site Habitat Baseline'!$D$1:$O$258,2,FALSE))))</f>
        <v/>
      </c>
      <c r="B113" s="47" t="str">
        <f>IF(E113="","",IF(ISNA(VLOOKUP($E113,'A-1 Site Habitat Baseline'!$D$1:$O$258,3,FALSE)),"",(VLOOKUP($E113,'A-1 Site Habitat Baseline'!$D$1:$O$258,3,FALSE))))</f>
        <v/>
      </c>
      <c r="C113" s="47" t="str">
        <f>IFERROR(INDEX('G-8 Condition Look up'!$I$4:$I$130,MATCH(S113,'G-8 Condition Look up'!$A$4:$A$130,0)),"")</f>
        <v/>
      </c>
      <c r="E113" s="531" t="str">
        <f>'A-1 Site Habitat Baseline'!AL112</f>
        <v/>
      </c>
      <c r="F113" s="520" t="str">
        <f>IF(E113="","",IF(ISNA(VLOOKUP($E113,'A-1 Site Habitat Baseline'!$D$1:$O$258,4,FALSE)),"",(VLOOKUP($E113,'A-1 Site Habitat Baseline'!$D$1:$O$258,4,FALSE))))</f>
        <v/>
      </c>
      <c r="G113" s="520" t="str">
        <f>IF(E113="","",IF(ISNA(VLOOKUP($E113,'A-1 Site Habitat Baseline'!$D$1:$O$258,5,FALSE)),"",(VLOOKUP($E113,'A-1 Site Habitat Baseline'!$D$1:$O$258,5,FALSE))))</f>
        <v/>
      </c>
      <c r="H113" s="520" t="str">
        <f>IF(E113="","",IF(ISNA(VLOOKUP($E113,'A-1 Site Habitat Baseline'!$D$1:$O$258,6,FALSE)),"",(VLOOKUP($E113,'A-1 Site Habitat Baseline'!$D$1:$O$258,6,FALSE))))</f>
        <v/>
      </c>
      <c r="I113" s="520" t="str">
        <f>IF(E113="","",IF(ISNA(VLOOKUP($E113,'A-1 Site Habitat Baseline'!$D$1:$O$258,7,FALSE)),"",(VLOOKUP($E113,'A-1 Site Habitat Baseline'!$D$1:$O$258,7,FALSE))))</f>
        <v/>
      </c>
      <c r="J113" s="520" t="str">
        <f>IF(E113="","",IF(ISNA(VLOOKUP($E113,'A-1 Site Habitat Baseline'!$D$1:$O$258,8,FALSE)),"",(VLOOKUP($E113,'A-1 Site Habitat Baseline'!$D$1:$O$258,8,FALSE))))</f>
        <v/>
      </c>
      <c r="K113" s="520" t="str">
        <f>IF(E113="","",IF(ISNA(VLOOKUP($E113,'A-1 Site Habitat Baseline'!$D$1:$O$258,9,FALSE)),"",(VLOOKUP($E113,'A-1 Site Habitat Baseline'!$D$1:$O$258,9,FALSE))))</f>
        <v/>
      </c>
      <c r="L113" s="520" t="str">
        <f>IF(E113="","",IF(ISNA(VLOOKUP($E113,'A-1 Site Habitat Baseline'!$D$1:$O$258,11,FALSE)),"",(VLOOKUP($E113,'A-1 Site Habitat Baseline'!$D$1:$O$258,11,FALSE))))</f>
        <v/>
      </c>
      <c r="M113" s="520" t="str">
        <f>IF(E113="","",IF(ISNA(VLOOKUP($E113,'A-1 Site Habitat Baseline'!$D$1:$O$258,12,FALSE)),"",(VLOOKUP($E113,'A-1 Site Habitat Baseline'!$D$1:$O$258,12,FALSE))))</f>
        <v/>
      </c>
      <c r="N113" s="532" t="str">
        <f>IF(E113="","",IF(ISNA(VLOOKUP($E113,'A-1 Site Habitat Baseline'!$D$1:$X$258,14,FALSE)),"",(VLOOKUP($E113,'A-1 Site Habitat Baseline'!$D$1:$X$258,14,FALSE))))</f>
        <v/>
      </c>
      <c r="O113" s="524" t="str">
        <f>IF(E113="","",IF(ISNA(VLOOKUP($E113,'A-1 Site Habitat Baseline'!$D$1:$X$258,16,FALSE)),"",(VLOOKUP($E113,'A-1 Site Habitat Baseline'!$D$1:$X$258,13,FALSE))))</f>
        <v/>
      </c>
      <c r="P113" s="237" t="str">
        <f>IFERROR(INDEX('G-1 All Habitats'!$AG$3:$AG$15,MATCH(Q113,'G-1 All Habitats'!$AF$3:$AF$15,0)),"")</f>
        <v/>
      </c>
      <c r="Q113" s="238" t="str">
        <f t="shared" si="15"/>
        <v/>
      </c>
      <c r="R113" s="238" t="str">
        <f t="shared" si="16"/>
        <v/>
      </c>
      <c r="S113" s="392" t="str">
        <f>IFERROR(INDEX('G-1 All Habitats'!$B$3:$B$129,MATCH(R113,'G-1 All Habitats'!$A$3:$A$129,0)),"")</f>
        <v/>
      </c>
      <c r="T113" s="498" t="str">
        <f t="shared" si="17"/>
        <v/>
      </c>
      <c r="U113" s="499" t="str">
        <f t="shared" si="18"/>
        <v/>
      </c>
      <c r="V113" s="537" t="str">
        <f t="shared" si="12"/>
        <v/>
      </c>
      <c r="W113" s="520" t="str">
        <f>IF(S113="","",VLOOKUP(S113,'G-1 All Habitats'!$B$2:$M$129,10,FALSE))</f>
        <v/>
      </c>
      <c r="X113" s="520" t="str">
        <f>IFERROR(VLOOKUP(W113,'G-1 All Habitats'!$V$3:$W$7,2,FALSE),"")</f>
        <v/>
      </c>
      <c r="Y113" s="79"/>
      <c r="Z113" s="524" t="str">
        <f>IFERROR(INDEX('G-8 Condition Look up'!$A$3:$H$130,MATCH(S113,'G-8 Condition Look up'!$A$3:$A$130,0),MATCH(Y113,'G-8 Condition Look up'!$A$3:$H$3,0)),"")</f>
        <v/>
      </c>
      <c r="AA113" s="71"/>
      <c r="AB113" s="520" t="str">
        <f>IF(AA113="","",IF(VLOOKUP(AA113,'G-3 Multipliers'!$L$3:$N$6,2,FALSE)=0,"Spatial Data Missing ⚠",VLOOKUP(AA113,'G-3 Multipliers'!$L$3:$N$6,2,FALSE)))</f>
        <v/>
      </c>
      <c r="AC113" s="524" t="str">
        <f>IF(AA113="","",IF(VLOOKUP(AA113,'G-3 Multipliers'!$L$3:$N$6,3,FALSE)=0,"Spatial Data Missing ⚠",VLOOKUP(AA113,'G-3 Multipliers'!$L$3:$N$6,3,FALSE)))</f>
        <v/>
      </c>
      <c r="AD113" s="539" t="str">
        <f t="shared" si="13"/>
        <v/>
      </c>
      <c r="AE113" s="82"/>
      <c r="AF113" s="82"/>
      <c r="AG113" s="507" t="str">
        <f t="shared" si="19"/>
        <v/>
      </c>
      <c r="AH113" s="521" t="str">
        <f t="shared" si="20"/>
        <v/>
      </c>
      <c r="AI113" s="522" t="str">
        <f>IF(AH113="Check Data","Check Data",IFERROR(VLOOKUP(AH113,'G-4 Temporal multipliers'!$A$4:$C$36,3,FALSE),""))</f>
        <v/>
      </c>
      <c r="AJ113" s="498" t="str">
        <f>IF(S113="","",VLOOKUP(S113,'G-3 Multipliers'!$A$2:$E$129,4,FALSE))</f>
        <v/>
      </c>
      <c r="AK113" s="507" t="str">
        <f t="shared" si="21"/>
        <v/>
      </c>
      <c r="AL113" s="507" t="str">
        <f t="shared" si="22"/>
        <v/>
      </c>
      <c r="AM113" s="540" t="str">
        <f>IFERROR(IF(F113="","",IF(AH113="Check Data ⚠","Check Data ⚠",VLOOKUP(AL113, 'G-3 Multipliers'!$P$2:$Q$6,2,FALSE))),"")</f>
        <v/>
      </c>
      <c r="AN113" s="513" t="str">
        <f t="shared" si="14"/>
        <v/>
      </c>
      <c r="AO113" s="239"/>
      <c r="AP113" s="240"/>
    </row>
    <row r="114" spans="1:42" x14ac:dyDescent="0.25">
      <c r="A114" s="47" t="str">
        <f>IF(E114="","",IF(ISNA(VLOOKUP($E114,'A-1 Site Habitat Baseline'!$D$1:$O$258,2,FALSE)),"",(VLOOKUP($E114,'A-1 Site Habitat Baseline'!$D$1:$O$258,2,FALSE))))</f>
        <v/>
      </c>
      <c r="B114" s="47" t="str">
        <f>IF(E114="","",IF(ISNA(VLOOKUP($E114,'A-1 Site Habitat Baseline'!$D$1:$O$258,3,FALSE)),"",(VLOOKUP($E114,'A-1 Site Habitat Baseline'!$D$1:$O$258,3,FALSE))))</f>
        <v/>
      </c>
      <c r="C114" s="47" t="str">
        <f>IFERROR(INDEX('G-8 Condition Look up'!$I$4:$I$130,MATCH(S114,'G-8 Condition Look up'!$A$4:$A$130,0)),"")</f>
        <v/>
      </c>
      <c r="E114" s="531" t="str">
        <f>'A-1 Site Habitat Baseline'!AL113</f>
        <v/>
      </c>
      <c r="F114" s="520" t="str">
        <f>IF(E114="","",IF(ISNA(VLOOKUP($E114,'A-1 Site Habitat Baseline'!$D$1:$O$258,4,FALSE)),"",(VLOOKUP($E114,'A-1 Site Habitat Baseline'!$D$1:$O$258,4,FALSE))))</f>
        <v/>
      </c>
      <c r="G114" s="520" t="str">
        <f>IF(E114="","",IF(ISNA(VLOOKUP($E114,'A-1 Site Habitat Baseline'!$D$1:$O$258,5,FALSE)),"",(VLOOKUP($E114,'A-1 Site Habitat Baseline'!$D$1:$O$258,5,FALSE))))</f>
        <v/>
      </c>
      <c r="H114" s="520" t="str">
        <f>IF(E114="","",IF(ISNA(VLOOKUP($E114,'A-1 Site Habitat Baseline'!$D$1:$O$258,6,FALSE)),"",(VLOOKUP($E114,'A-1 Site Habitat Baseline'!$D$1:$O$258,6,FALSE))))</f>
        <v/>
      </c>
      <c r="I114" s="520" t="str">
        <f>IF(E114="","",IF(ISNA(VLOOKUP($E114,'A-1 Site Habitat Baseline'!$D$1:$O$258,7,FALSE)),"",(VLOOKUP($E114,'A-1 Site Habitat Baseline'!$D$1:$O$258,7,FALSE))))</f>
        <v/>
      </c>
      <c r="J114" s="520" t="str">
        <f>IF(E114="","",IF(ISNA(VLOOKUP($E114,'A-1 Site Habitat Baseline'!$D$1:$O$258,8,FALSE)),"",(VLOOKUP($E114,'A-1 Site Habitat Baseline'!$D$1:$O$258,8,FALSE))))</f>
        <v/>
      </c>
      <c r="K114" s="520" t="str">
        <f>IF(E114="","",IF(ISNA(VLOOKUP($E114,'A-1 Site Habitat Baseline'!$D$1:$O$258,9,FALSE)),"",(VLOOKUP($E114,'A-1 Site Habitat Baseline'!$D$1:$O$258,9,FALSE))))</f>
        <v/>
      </c>
      <c r="L114" s="520" t="str">
        <f>IF(E114="","",IF(ISNA(VLOOKUP($E114,'A-1 Site Habitat Baseline'!$D$1:$O$258,11,FALSE)),"",(VLOOKUP($E114,'A-1 Site Habitat Baseline'!$D$1:$O$258,11,FALSE))))</f>
        <v/>
      </c>
      <c r="M114" s="520" t="str">
        <f>IF(E114="","",IF(ISNA(VLOOKUP($E114,'A-1 Site Habitat Baseline'!$D$1:$O$258,12,FALSE)),"",(VLOOKUP($E114,'A-1 Site Habitat Baseline'!$D$1:$O$258,12,FALSE))))</f>
        <v/>
      </c>
      <c r="N114" s="532" t="str">
        <f>IF(E114="","",IF(ISNA(VLOOKUP($E114,'A-1 Site Habitat Baseline'!$D$1:$X$258,14,FALSE)),"",(VLOOKUP($E114,'A-1 Site Habitat Baseline'!$D$1:$X$258,14,FALSE))))</f>
        <v/>
      </c>
      <c r="O114" s="524" t="str">
        <f>IF(E114="","",IF(ISNA(VLOOKUP($E114,'A-1 Site Habitat Baseline'!$D$1:$X$258,16,FALSE)),"",(VLOOKUP($E114,'A-1 Site Habitat Baseline'!$D$1:$X$258,13,FALSE))))</f>
        <v/>
      </c>
      <c r="P114" s="237" t="str">
        <f>IFERROR(INDEX('G-1 All Habitats'!$AG$3:$AG$15,MATCH(Q114,'G-1 All Habitats'!$AF$3:$AF$15,0)),"")</f>
        <v/>
      </c>
      <c r="Q114" s="238" t="str">
        <f t="shared" si="15"/>
        <v/>
      </c>
      <c r="R114" s="238" t="str">
        <f t="shared" si="16"/>
        <v/>
      </c>
      <c r="S114" s="392" t="str">
        <f>IFERROR(INDEX('G-1 All Habitats'!$B$3:$B$129,MATCH(R114,'G-1 All Habitats'!$A$3:$A$129,0)),"")</f>
        <v/>
      </c>
      <c r="T114" s="498" t="str">
        <f t="shared" si="17"/>
        <v/>
      </c>
      <c r="U114" s="499" t="str">
        <f t="shared" si="18"/>
        <v/>
      </c>
      <c r="V114" s="537" t="str">
        <f t="shared" si="12"/>
        <v/>
      </c>
      <c r="W114" s="520" t="str">
        <f>IF(S114="","",VLOOKUP(S114,'G-1 All Habitats'!$B$2:$M$129,10,FALSE))</f>
        <v/>
      </c>
      <c r="X114" s="520" t="str">
        <f>IFERROR(VLOOKUP(W114,'G-1 All Habitats'!$V$3:$W$7,2,FALSE),"")</f>
        <v/>
      </c>
      <c r="Y114" s="79"/>
      <c r="Z114" s="524" t="str">
        <f>IFERROR(INDEX('G-8 Condition Look up'!$A$3:$H$130,MATCH(S114,'G-8 Condition Look up'!$A$3:$A$130,0),MATCH(Y114,'G-8 Condition Look up'!$A$3:$H$3,0)),"")</f>
        <v/>
      </c>
      <c r="AA114" s="71"/>
      <c r="AB114" s="520" t="str">
        <f>IF(AA114="","",IF(VLOOKUP(AA114,'G-3 Multipliers'!$L$3:$N$6,2,FALSE)=0,"Spatial Data Missing ⚠",VLOOKUP(AA114,'G-3 Multipliers'!$L$3:$N$6,2,FALSE)))</f>
        <v/>
      </c>
      <c r="AC114" s="524" t="str">
        <f>IF(AA114="","",IF(VLOOKUP(AA114,'G-3 Multipliers'!$L$3:$N$6,3,FALSE)=0,"Spatial Data Missing ⚠",VLOOKUP(AA114,'G-3 Multipliers'!$L$3:$N$6,3,FALSE)))</f>
        <v/>
      </c>
      <c r="AD114" s="539" t="str">
        <f t="shared" si="13"/>
        <v/>
      </c>
      <c r="AE114" s="82"/>
      <c r="AF114" s="82"/>
      <c r="AG114" s="507" t="str">
        <f t="shared" si="19"/>
        <v/>
      </c>
      <c r="AH114" s="521" t="str">
        <f t="shared" si="20"/>
        <v/>
      </c>
      <c r="AI114" s="522" t="str">
        <f>IF(AH114="Check Data","Check Data",IFERROR(VLOOKUP(AH114,'G-4 Temporal multipliers'!$A$4:$C$36,3,FALSE),""))</f>
        <v/>
      </c>
      <c r="AJ114" s="498" t="str">
        <f>IF(S114="","",VLOOKUP(S114,'G-3 Multipliers'!$A$2:$E$129,4,FALSE))</f>
        <v/>
      </c>
      <c r="AK114" s="507" t="str">
        <f t="shared" si="21"/>
        <v/>
      </c>
      <c r="AL114" s="507" t="str">
        <f t="shared" si="22"/>
        <v/>
      </c>
      <c r="AM114" s="540" t="str">
        <f>IFERROR(IF(F114="","",IF(AH114="Check Data ⚠","Check Data ⚠",VLOOKUP(AL114, 'G-3 Multipliers'!$P$2:$Q$6,2,FALSE))),"")</f>
        <v/>
      </c>
      <c r="AN114" s="513" t="str">
        <f t="shared" si="14"/>
        <v/>
      </c>
      <c r="AO114" s="239"/>
      <c r="AP114" s="240"/>
    </row>
    <row r="115" spans="1:42" x14ac:dyDescent="0.25">
      <c r="A115" s="47" t="str">
        <f>IF(E115="","",IF(ISNA(VLOOKUP($E115,'A-1 Site Habitat Baseline'!$D$1:$O$258,2,FALSE)),"",(VLOOKUP($E115,'A-1 Site Habitat Baseline'!$D$1:$O$258,2,FALSE))))</f>
        <v/>
      </c>
      <c r="B115" s="47" t="str">
        <f>IF(E115="","",IF(ISNA(VLOOKUP($E115,'A-1 Site Habitat Baseline'!$D$1:$O$258,3,FALSE)),"",(VLOOKUP($E115,'A-1 Site Habitat Baseline'!$D$1:$O$258,3,FALSE))))</f>
        <v/>
      </c>
      <c r="C115" s="47" t="str">
        <f>IFERROR(INDEX('G-8 Condition Look up'!$I$4:$I$130,MATCH(S115,'G-8 Condition Look up'!$A$4:$A$130,0)),"")</f>
        <v/>
      </c>
      <c r="E115" s="531" t="str">
        <f>'A-1 Site Habitat Baseline'!AL114</f>
        <v/>
      </c>
      <c r="F115" s="520" t="str">
        <f>IF(E115="","",IF(ISNA(VLOOKUP($E115,'A-1 Site Habitat Baseline'!$D$1:$O$258,4,FALSE)),"",(VLOOKUP($E115,'A-1 Site Habitat Baseline'!$D$1:$O$258,4,FALSE))))</f>
        <v/>
      </c>
      <c r="G115" s="520" t="str">
        <f>IF(E115="","",IF(ISNA(VLOOKUP($E115,'A-1 Site Habitat Baseline'!$D$1:$O$258,5,FALSE)),"",(VLOOKUP($E115,'A-1 Site Habitat Baseline'!$D$1:$O$258,5,FALSE))))</f>
        <v/>
      </c>
      <c r="H115" s="520" t="str">
        <f>IF(E115="","",IF(ISNA(VLOOKUP($E115,'A-1 Site Habitat Baseline'!$D$1:$O$258,6,FALSE)),"",(VLOOKUP($E115,'A-1 Site Habitat Baseline'!$D$1:$O$258,6,FALSE))))</f>
        <v/>
      </c>
      <c r="I115" s="520" t="str">
        <f>IF(E115="","",IF(ISNA(VLOOKUP($E115,'A-1 Site Habitat Baseline'!$D$1:$O$258,7,FALSE)),"",(VLOOKUP($E115,'A-1 Site Habitat Baseline'!$D$1:$O$258,7,FALSE))))</f>
        <v/>
      </c>
      <c r="J115" s="520" t="str">
        <f>IF(E115="","",IF(ISNA(VLOOKUP($E115,'A-1 Site Habitat Baseline'!$D$1:$O$258,8,FALSE)),"",(VLOOKUP($E115,'A-1 Site Habitat Baseline'!$D$1:$O$258,8,FALSE))))</f>
        <v/>
      </c>
      <c r="K115" s="520" t="str">
        <f>IF(E115="","",IF(ISNA(VLOOKUP($E115,'A-1 Site Habitat Baseline'!$D$1:$O$258,9,FALSE)),"",(VLOOKUP($E115,'A-1 Site Habitat Baseline'!$D$1:$O$258,9,FALSE))))</f>
        <v/>
      </c>
      <c r="L115" s="520" t="str">
        <f>IF(E115="","",IF(ISNA(VLOOKUP($E115,'A-1 Site Habitat Baseline'!$D$1:$O$258,11,FALSE)),"",(VLOOKUP($E115,'A-1 Site Habitat Baseline'!$D$1:$O$258,11,FALSE))))</f>
        <v/>
      </c>
      <c r="M115" s="520" t="str">
        <f>IF(E115="","",IF(ISNA(VLOOKUP($E115,'A-1 Site Habitat Baseline'!$D$1:$O$258,12,FALSE)),"",(VLOOKUP($E115,'A-1 Site Habitat Baseline'!$D$1:$O$258,12,FALSE))))</f>
        <v/>
      </c>
      <c r="N115" s="532" t="str">
        <f>IF(E115="","",IF(ISNA(VLOOKUP($E115,'A-1 Site Habitat Baseline'!$D$1:$X$258,14,FALSE)),"",(VLOOKUP($E115,'A-1 Site Habitat Baseline'!$D$1:$X$258,14,FALSE))))</f>
        <v/>
      </c>
      <c r="O115" s="524" t="str">
        <f>IF(E115="","",IF(ISNA(VLOOKUP($E115,'A-1 Site Habitat Baseline'!$D$1:$X$258,16,FALSE)),"",(VLOOKUP($E115,'A-1 Site Habitat Baseline'!$D$1:$X$258,13,FALSE))))</f>
        <v/>
      </c>
      <c r="P115" s="237" t="str">
        <f>IFERROR(INDEX('G-1 All Habitats'!$AG$3:$AG$15,MATCH(Q115,'G-1 All Habitats'!$AF$3:$AF$15,0)),"")</f>
        <v/>
      </c>
      <c r="Q115" s="238" t="str">
        <f t="shared" si="15"/>
        <v/>
      </c>
      <c r="R115" s="238" t="str">
        <f t="shared" si="16"/>
        <v/>
      </c>
      <c r="S115" s="392" t="str">
        <f>IFERROR(INDEX('G-1 All Habitats'!$B$3:$B$129,MATCH(R115,'G-1 All Habitats'!$A$3:$A$129,0)),"")</f>
        <v/>
      </c>
      <c r="T115" s="498" t="str">
        <f t="shared" si="17"/>
        <v/>
      </c>
      <c r="U115" s="499" t="str">
        <f t="shared" si="18"/>
        <v/>
      </c>
      <c r="V115" s="537" t="str">
        <f t="shared" si="12"/>
        <v/>
      </c>
      <c r="W115" s="520" t="str">
        <f>IF(S115="","",VLOOKUP(S115,'G-1 All Habitats'!$B$2:$M$129,10,FALSE))</f>
        <v/>
      </c>
      <c r="X115" s="520" t="str">
        <f>IFERROR(VLOOKUP(W115,'G-1 All Habitats'!$V$3:$W$7,2,FALSE),"")</f>
        <v/>
      </c>
      <c r="Y115" s="79"/>
      <c r="Z115" s="524" t="str">
        <f>IFERROR(INDEX('G-8 Condition Look up'!$A$3:$H$130,MATCH(S115,'G-8 Condition Look up'!$A$3:$A$130,0),MATCH(Y115,'G-8 Condition Look up'!$A$3:$H$3,0)),"")</f>
        <v/>
      </c>
      <c r="AA115" s="71"/>
      <c r="AB115" s="520" t="str">
        <f>IF(AA115="","",IF(VLOOKUP(AA115,'G-3 Multipliers'!$L$3:$N$6,2,FALSE)=0,"Spatial Data Missing ⚠",VLOOKUP(AA115,'G-3 Multipliers'!$L$3:$N$6,2,FALSE)))</f>
        <v/>
      </c>
      <c r="AC115" s="524" t="str">
        <f>IF(AA115="","",IF(VLOOKUP(AA115,'G-3 Multipliers'!$L$3:$N$6,3,FALSE)=0,"Spatial Data Missing ⚠",VLOOKUP(AA115,'G-3 Multipliers'!$L$3:$N$6,3,FALSE)))</f>
        <v/>
      </c>
      <c r="AD115" s="539" t="str">
        <f t="shared" si="13"/>
        <v/>
      </c>
      <c r="AE115" s="82"/>
      <c r="AF115" s="82"/>
      <c r="AG115" s="507" t="str">
        <f t="shared" si="19"/>
        <v/>
      </c>
      <c r="AH115" s="521" t="str">
        <f t="shared" si="20"/>
        <v/>
      </c>
      <c r="AI115" s="522" t="str">
        <f>IF(AH115="Check Data","Check Data",IFERROR(VLOOKUP(AH115,'G-4 Temporal multipliers'!$A$4:$C$36,3,FALSE),""))</f>
        <v/>
      </c>
      <c r="AJ115" s="498" t="str">
        <f>IF(S115="","",VLOOKUP(S115,'G-3 Multipliers'!$A$2:$E$129,4,FALSE))</f>
        <v/>
      </c>
      <c r="AK115" s="507" t="str">
        <f t="shared" si="21"/>
        <v/>
      </c>
      <c r="AL115" s="507" t="str">
        <f t="shared" si="22"/>
        <v/>
      </c>
      <c r="AM115" s="540" t="str">
        <f>IFERROR(IF(F115="","",IF(AH115="Check Data ⚠","Check Data ⚠",VLOOKUP(AL115, 'G-3 Multipliers'!$P$2:$Q$6,2,FALSE))),"")</f>
        <v/>
      </c>
      <c r="AN115" s="513" t="str">
        <f t="shared" si="14"/>
        <v/>
      </c>
      <c r="AO115" s="239"/>
      <c r="AP115" s="240"/>
    </row>
    <row r="116" spans="1:42" x14ac:dyDescent="0.25">
      <c r="A116" s="47" t="str">
        <f>IF(E116="","",IF(ISNA(VLOOKUP($E116,'A-1 Site Habitat Baseline'!$D$1:$O$258,2,FALSE)),"",(VLOOKUP($E116,'A-1 Site Habitat Baseline'!$D$1:$O$258,2,FALSE))))</f>
        <v/>
      </c>
      <c r="B116" s="47" t="str">
        <f>IF(E116="","",IF(ISNA(VLOOKUP($E116,'A-1 Site Habitat Baseline'!$D$1:$O$258,3,FALSE)),"",(VLOOKUP($E116,'A-1 Site Habitat Baseline'!$D$1:$O$258,3,FALSE))))</f>
        <v/>
      </c>
      <c r="C116" s="47" t="str">
        <f>IFERROR(INDEX('G-8 Condition Look up'!$I$4:$I$130,MATCH(S116,'G-8 Condition Look up'!$A$4:$A$130,0)),"")</f>
        <v/>
      </c>
      <c r="E116" s="531" t="str">
        <f>'A-1 Site Habitat Baseline'!AL115</f>
        <v/>
      </c>
      <c r="F116" s="520" t="str">
        <f>IF(E116="","",IF(ISNA(VLOOKUP($E116,'A-1 Site Habitat Baseline'!$D$1:$O$258,4,FALSE)),"",(VLOOKUP($E116,'A-1 Site Habitat Baseline'!$D$1:$O$258,4,FALSE))))</f>
        <v/>
      </c>
      <c r="G116" s="520" t="str">
        <f>IF(E116="","",IF(ISNA(VLOOKUP($E116,'A-1 Site Habitat Baseline'!$D$1:$O$258,5,FALSE)),"",(VLOOKUP($E116,'A-1 Site Habitat Baseline'!$D$1:$O$258,5,FALSE))))</f>
        <v/>
      </c>
      <c r="H116" s="520" t="str">
        <f>IF(E116="","",IF(ISNA(VLOOKUP($E116,'A-1 Site Habitat Baseline'!$D$1:$O$258,6,FALSE)),"",(VLOOKUP($E116,'A-1 Site Habitat Baseline'!$D$1:$O$258,6,FALSE))))</f>
        <v/>
      </c>
      <c r="I116" s="520" t="str">
        <f>IF(E116="","",IF(ISNA(VLOOKUP($E116,'A-1 Site Habitat Baseline'!$D$1:$O$258,7,FALSE)),"",(VLOOKUP($E116,'A-1 Site Habitat Baseline'!$D$1:$O$258,7,FALSE))))</f>
        <v/>
      </c>
      <c r="J116" s="520" t="str">
        <f>IF(E116="","",IF(ISNA(VLOOKUP($E116,'A-1 Site Habitat Baseline'!$D$1:$O$258,8,FALSE)),"",(VLOOKUP($E116,'A-1 Site Habitat Baseline'!$D$1:$O$258,8,FALSE))))</f>
        <v/>
      </c>
      <c r="K116" s="520" t="str">
        <f>IF(E116="","",IF(ISNA(VLOOKUP($E116,'A-1 Site Habitat Baseline'!$D$1:$O$258,9,FALSE)),"",(VLOOKUP($E116,'A-1 Site Habitat Baseline'!$D$1:$O$258,9,FALSE))))</f>
        <v/>
      </c>
      <c r="L116" s="520" t="str">
        <f>IF(E116="","",IF(ISNA(VLOOKUP($E116,'A-1 Site Habitat Baseline'!$D$1:$O$258,11,FALSE)),"",(VLOOKUP($E116,'A-1 Site Habitat Baseline'!$D$1:$O$258,11,FALSE))))</f>
        <v/>
      </c>
      <c r="M116" s="520" t="str">
        <f>IF(E116="","",IF(ISNA(VLOOKUP($E116,'A-1 Site Habitat Baseline'!$D$1:$O$258,12,FALSE)),"",(VLOOKUP($E116,'A-1 Site Habitat Baseline'!$D$1:$O$258,12,FALSE))))</f>
        <v/>
      </c>
      <c r="N116" s="532" t="str">
        <f>IF(E116="","",IF(ISNA(VLOOKUP($E116,'A-1 Site Habitat Baseline'!$D$1:$X$258,14,FALSE)),"",(VLOOKUP($E116,'A-1 Site Habitat Baseline'!$D$1:$X$258,14,FALSE))))</f>
        <v/>
      </c>
      <c r="O116" s="524" t="str">
        <f>IF(E116="","",IF(ISNA(VLOOKUP($E116,'A-1 Site Habitat Baseline'!$D$1:$X$258,16,FALSE)),"",(VLOOKUP($E116,'A-1 Site Habitat Baseline'!$D$1:$X$258,13,FALSE))))</f>
        <v/>
      </c>
      <c r="P116" s="237" t="str">
        <f>IFERROR(INDEX('G-1 All Habitats'!$AG$3:$AG$15,MATCH(Q116,'G-1 All Habitats'!$AF$3:$AF$15,0)),"")</f>
        <v/>
      </c>
      <c r="Q116" s="238" t="str">
        <f t="shared" si="15"/>
        <v/>
      </c>
      <c r="R116" s="238" t="str">
        <f t="shared" si="16"/>
        <v/>
      </c>
      <c r="S116" s="392" t="str">
        <f>IFERROR(INDEX('G-1 All Habitats'!$B$3:$B$129,MATCH(R116,'G-1 All Habitats'!$A$3:$A$129,0)),"")</f>
        <v/>
      </c>
      <c r="T116" s="498" t="str">
        <f t="shared" si="17"/>
        <v/>
      </c>
      <c r="U116" s="499" t="str">
        <f t="shared" si="18"/>
        <v/>
      </c>
      <c r="V116" s="537" t="str">
        <f t="shared" si="12"/>
        <v/>
      </c>
      <c r="W116" s="520" t="str">
        <f>IF(S116="","",VLOOKUP(S116,'G-1 All Habitats'!$B$2:$M$129,10,FALSE))</f>
        <v/>
      </c>
      <c r="X116" s="520" t="str">
        <f>IFERROR(VLOOKUP(W116,'G-1 All Habitats'!$V$3:$W$7,2,FALSE),"")</f>
        <v/>
      </c>
      <c r="Y116" s="79"/>
      <c r="Z116" s="524" t="str">
        <f>IFERROR(INDEX('G-8 Condition Look up'!$A$3:$H$130,MATCH(S116,'G-8 Condition Look up'!$A$3:$A$130,0),MATCH(Y116,'G-8 Condition Look up'!$A$3:$H$3,0)),"")</f>
        <v/>
      </c>
      <c r="AA116" s="71"/>
      <c r="AB116" s="520" t="str">
        <f>IF(AA116="","",IF(VLOOKUP(AA116,'G-3 Multipliers'!$L$3:$N$6,2,FALSE)=0,"Spatial Data Missing ⚠",VLOOKUP(AA116,'G-3 Multipliers'!$L$3:$N$6,2,FALSE)))</f>
        <v/>
      </c>
      <c r="AC116" s="524" t="str">
        <f>IF(AA116="","",IF(VLOOKUP(AA116,'G-3 Multipliers'!$L$3:$N$6,3,FALSE)=0,"Spatial Data Missing ⚠",VLOOKUP(AA116,'G-3 Multipliers'!$L$3:$N$6,3,FALSE)))</f>
        <v/>
      </c>
      <c r="AD116" s="539" t="str">
        <f t="shared" si="13"/>
        <v/>
      </c>
      <c r="AE116" s="82"/>
      <c r="AF116" s="82"/>
      <c r="AG116" s="507" t="str">
        <f t="shared" si="19"/>
        <v/>
      </c>
      <c r="AH116" s="521" t="str">
        <f t="shared" si="20"/>
        <v/>
      </c>
      <c r="AI116" s="522" t="str">
        <f>IF(AH116="Check Data","Check Data",IFERROR(VLOOKUP(AH116,'G-4 Temporal multipliers'!$A$4:$C$36,3,FALSE),""))</f>
        <v/>
      </c>
      <c r="AJ116" s="498" t="str">
        <f>IF(S116="","",VLOOKUP(S116,'G-3 Multipliers'!$A$2:$E$129,4,FALSE))</f>
        <v/>
      </c>
      <c r="AK116" s="507" t="str">
        <f t="shared" si="21"/>
        <v/>
      </c>
      <c r="AL116" s="507" t="str">
        <f t="shared" si="22"/>
        <v/>
      </c>
      <c r="AM116" s="540" t="str">
        <f>IFERROR(IF(F116="","",IF(AH116="Check Data ⚠","Check Data ⚠",VLOOKUP(AL116, 'G-3 Multipliers'!$P$2:$Q$6,2,FALSE))),"")</f>
        <v/>
      </c>
      <c r="AN116" s="513" t="str">
        <f t="shared" si="14"/>
        <v/>
      </c>
      <c r="AO116" s="239"/>
      <c r="AP116" s="240"/>
    </row>
    <row r="117" spans="1:42" x14ac:dyDescent="0.25">
      <c r="A117" s="47" t="str">
        <f>IF(E117="","",IF(ISNA(VLOOKUP($E117,'A-1 Site Habitat Baseline'!$D$1:$O$258,2,FALSE)),"",(VLOOKUP($E117,'A-1 Site Habitat Baseline'!$D$1:$O$258,2,FALSE))))</f>
        <v/>
      </c>
      <c r="B117" s="47" t="str">
        <f>IF(E117="","",IF(ISNA(VLOOKUP($E117,'A-1 Site Habitat Baseline'!$D$1:$O$258,3,FALSE)),"",(VLOOKUP($E117,'A-1 Site Habitat Baseline'!$D$1:$O$258,3,FALSE))))</f>
        <v/>
      </c>
      <c r="C117" s="47" t="str">
        <f>IFERROR(INDEX('G-8 Condition Look up'!$I$4:$I$130,MATCH(S117,'G-8 Condition Look up'!$A$4:$A$130,0)),"")</f>
        <v/>
      </c>
      <c r="E117" s="531" t="str">
        <f>'A-1 Site Habitat Baseline'!AL116</f>
        <v/>
      </c>
      <c r="F117" s="520" t="str">
        <f>IF(E117="","",IF(ISNA(VLOOKUP($E117,'A-1 Site Habitat Baseline'!$D$1:$O$258,4,FALSE)),"",(VLOOKUP($E117,'A-1 Site Habitat Baseline'!$D$1:$O$258,4,FALSE))))</f>
        <v/>
      </c>
      <c r="G117" s="520" t="str">
        <f>IF(E117="","",IF(ISNA(VLOOKUP($E117,'A-1 Site Habitat Baseline'!$D$1:$O$258,5,FALSE)),"",(VLOOKUP($E117,'A-1 Site Habitat Baseline'!$D$1:$O$258,5,FALSE))))</f>
        <v/>
      </c>
      <c r="H117" s="520" t="str">
        <f>IF(E117="","",IF(ISNA(VLOOKUP($E117,'A-1 Site Habitat Baseline'!$D$1:$O$258,6,FALSE)),"",(VLOOKUP($E117,'A-1 Site Habitat Baseline'!$D$1:$O$258,6,FALSE))))</f>
        <v/>
      </c>
      <c r="I117" s="520" t="str">
        <f>IF(E117="","",IF(ISNA(VLOOKUP($E117,'A-1 Site Habitat Baseline'!$D$1:$O$258,7,FALSE)),"",(VLOOKUP($E117,'A-1 Site Habitat Baseline'!$D$1:$O$258,7,FALSE))))</f>
        <v/>
      </c>
      <c r="J117" s="520" t="str">
        <f>IF(E117="","",IF(ISNA(VLOOKUP($E117,'A-1 Site Habitat Baseline'!$D$1:$O$258,8,FALSE)),"",(VLOOKUP($E117,'A-1 Site Habitat Baseline'!$D$1:$O$258,8,FALSE))))</f>
        <v/>
      </c>
      <c r="K117" s="520" t="str">
        <f>IF(E117="","",IF(ISNA(VLOOKUP($E117,'A-1 Site Habitat Baseline'!$D$1:$O$258,9,FALSE)),"",(VLOOKUP($E117,'A-1 Site Habitat Baseline'!$D$1:$O$258,9,FALSE))))</f>
        <v/>
      </c>
      <c r="L117" s="520" t="str">
        <f>IF(E117="","",IF(ISNA(VLOOKUP($E117,'A-1 Site Habitat Baseline'!$D$1:$O$258,11,FALSE)),"",(VLOOKUP($E117,'A-1 Site Habitat Baseline'!$D$1:$O$258,11,FALSE))))</f>
        <v/>
      </c>
      <c r="M117" s="520" t="str">
        <f>IF(E117="","",IF(ISNA(VLOOKUP($E117,'A-1 Site Habitat Baseline'!$D$1:$O$258,12,FALSE)),"",(VLOOKUP($E117,'A-1 Site Habitat Baseline'!$D$1:$O$258,12,FALSE))))</f>
        <v/>
      </c>
      <c r="N117" s="532" t="str">
        <f>IF(E117="","",IF(ISNA(VLOOKUP($E117,'A-1 Site Habitat Baseline'!$D$1:$X$258,14,FALSE)),"",(VLOOKUP($E117,'A-1 Site Habitat Baseline'!$D$1:$X$258,14,FALSE))))</f>
        <v/>
      </c>
      <c r="O117" s="524" t="str">
        <f>IF(E117="","",IF(ISNA(VLOOKUP($E117,'A-1 Site Habitat Baseline'!$D$1:$X$258,16,FALSE)),"",(VLOOKUP($E117,'A-1 Site Habitat Baseline'!$D$1:$X$258,13,FALSE))))</f>
        <v/>
      </c>
      <c r="P117" s="237" t="str">
        <f>IFERROR(INDEX('G-1 All Habitats'!$AG$3:$AG$15,MATCH(Q117,'G-1 All Habitats'!$AF$3:$AF$15,0)),"")</f>
        <v/>
      </c>
      <c r="Q117" s="238" t="str">
        <f t="shared" si="15"/>
        <v/>
      </c>
      <c r="R117" s="238" t="str">
        <f t="shared" si="16"/>
        <v/>
      </c>
      <c r="S117" s="392" t="str">
        <f>IFERROR(INDEX('G-1 All Habitats'!$B$3:$B$129,MATCH(R117,'G-1 All Habitats'!$A$3:$A$129,0)),"")</f>
        <v/>
      </c>
      <c r="T117" s="498" t="str">
        <f t="shared" si="17"/>
        <v/>
      </c>
      <c r="U117" s="499" t="str">
        <f t="shared" si="18"/>
        <v/>
      </c>
      <c r="V117" s="537" t="str">
        <f t="shared" si="12"/>
        <v/>
      </c>
      <c r="W117" s="520" t="str">
        <f>IF(S117="","",VLOOKUP(S117,'G-1 All Habitats'!$B$2:$M$129,10,FALSE))</f>
        <v/>
      </c>
      <c r="X117" s="520" t="str">
        <f>IFERROR(VLOOKUP(W117,'G-1 All Habitats'!$V$3:$W$7,2,FALSE),"")</f>
        <v/>
      </c>
      <c r="Y117" s="79"/>
      <c r="Z117" s="524" t="str">
        <f>IFERROR(INDEX('G-8 Condition Look up'!$A$3:$H$130,MATCH(S117,'G-8 Condition Look up'!$A$3:$A$130,0),MATCH(Y117,'G-8 Condition Look up'!$A$3:$H$3,0)),"")</f>
        <v/>
      </c>
      <c r="AA117" s="71"/>
      <c r="AB117" s="520" t="str">
        <f>IF(AA117="","",IF(VLOOKUP(AA117,'G-3 Multipliers'!$L$3:$N$6,2,FALSE)=0,"Spatial Data Missing ⚠",VLOOKUP(AA117,'G-3 Multipliers'!$L$3:$N$6,2,FALSE)))</f>
        <v/>
      </c>
      <c r="AC117" s="524" t="str">
        <f>IF(AA117="","",IF(VLOOKUP(AA117,'G-3 Multipliers'!$L$3:$N$6,3,FALSE)=0,"Spatial Data Missing ⚠",VLOOKUP(AA117,'G-3 Multipliers'!$L$3:$N$6,3,FALSE)))</f>
        <v/>
      </c>
      <c r="AD117" s="539" t="str">
        <f t="shared" si="13"/>
        <v/>
      </c>
      <c r="AE117" s="82"/>
      <c r="AF117" s="82"/>
      <c r="AG117" s="507" t="str">
        <f t="shared" si="19"/>
        <v/>
      </c>
      <c r="AH117" s="521" t="str">
        <f t="shared" si="20"/>
        <v/>
      </c>
      <c r="AI117" s="522" t="str">
        <f>IF(AH117="Check Data","Check Data",IFERROR(VLOOKUP(AH117,'G-4 Temporal multipliers'!$A$4:$C$36,3,FALSE),""))</f>
        <v/>
      </c>
      <c r="AJ117" s="498" t="str">
        <f>IF(S117="","",VLOOKUP(S117,'G-3 Multipliers'!$A$2:$E$129,4,FALSE))</f>
        <v/>
      </c>
      <c r="AK117" s="507" t="str">
        <f t="shared" si="21"/>
        <v/>
      </c>
      <c r="AL117" s="507" t="str">
        <f t="shared" si="22"/>
        <v/>
      </c>
      <c r="AM117" s="540" t="str">
        <f>IFERROR(IF(F117="","",IF(AH117="Check Data ⚠","Check Data ⚠",VLOOKUP(AL117, 'G-3 Multipliers'!$P$2:$Q$6,2,FALSE))),"")</f>
        <v/>
      </c>
      <c r="AN117" s="513" t="str">
        <f t="shared" si="14"/>
        <v/>
      </c>
      <c r="AO117" s="239"/>
      <c r="AP117" s="240"/>
    </row>
    <row r="118" spans="1:42" x14ac:dyDescent="0.25">
      <c r="A118" s="47" t="str">
        <f>IF(E118="","",IF(ISNA(VLOOKUP($E118,'A-1 Site Habitat Baseline'!$D$1:$O$258,2,FALSE)),"",(VLOOKUP($E118,'A-1 Site Habitat Baseline'!$D$1:$O$258,2,FALSE))))</f>
        <v/>
      </c>
      <c r="B118" s="47" t="str">
        <f>IF(E118="","",IF(ISNA(VLOOKUP($E118,'A-1 Site Habitat Baseline'!$D$1:$O$258,3,FALSE)),"",(VLOOKUP($E118,'A-1 Site Habitat Baseline'!$D$1:$O$258,3,FALSE))))</f>
        <v/>
      </c>
      <c r="C118" s="47" t="str">
        <f>IFERROR(INDEX('G-8 Condition Look up'!$I$4:$I$130,MATCH(S118,'G-8 Condition Look up'!$A$4:$A$130,0)),"")</f>
        <v/>
      </c>
      <c r="E118" s="531" t="str">
        <f>'A-1 Site Habitat Baseline'!AL117</f>
        <v/>
      </c>
      <c r="F118" s="520" t="str">
        <f>IF(E118="","",IF(ISNA(VLOOKUP($E118,'A-1 Site Habitat Baseline'!$D$1:$O$258,4,FALSE)),"",(VLOOKUP($E118,'A-1 Site Habitat Baseline'!$D$1:$O$258,4,FALSE))))</f>
        <v/>
      </c>
      <c r="G118" s="520" t="str">
        <f>IF(E118="","",IF(ISNA(VLOOKUP($E118,'A-1 Site Habitat Baseline'!$D$1:$O$258,5,FALSE)),"",(VLOOKUP($E118,'A-1 Site Habitat Baseline'!$D$1:$O$258,5,FALSE))))</f>
        <v/>
      </c>
      <c r="H118" s="520" t="str">
        <f>IF(E118="","",IF(ISNA(VLOOKUP($E118,'A-1 Site Habitat Baseline'!$D$1:$O$258,6,FALSE)),"",(VLOOKUP($E118,'A-1 Site Habitat Baseline'!$D$1:$O$258,6,FALSE))))</f>
        <v/>
      </c>
      <c r="I118" s="520" t="str">
        <f>IF(E118="","",IF(ISNA(VLOOKUP($E118,'A-1 Site Habitat Baseline'!$D$1:$O$258,7,FALSE)),"",(VLOOKUP($E118,'A-1 Site Habitat Baseline'!$D$1:$O$258,7,FALSE))))</f>
        <v/>
      </c>
      <c r="J118" s="520" t="str">
        <f>IF(E118="","",IF(ISNA(VLOOKUP($E118,'A-1 Site Habitat Baseline'!$D$1:$O$258,8,FALSE)),"",(VLOOKUP($E118,'A-1 Site Habitat Baseline'!$D$1:$O$258,8,FALSE))))</f>
        <v/>
      </c>
      <c r="K118" s="520" t="str">
        <f>IF(E118="","",IF(ISNA(VLOOKUP($E118,'A-1 Site Habitat Baseline'!$D$1:$O$258,9,FALSE)),"",(VLOOKUP($E118,'A-1 Site Habitat Baseline'!$D$1:$O$258,9,FALSE))))</f>
        <v/>
      </c>
      <c r="L118" s="520" t="str">
        <f>IF(E118="","",IF(ISNA(VLOOKUP($E118,'A-1 Site Habitat Baseline'!$D$1:$O$258,11,FALSE)),"",(VLOOKUP($E118,'A-1 Site Habitat Baseline'!$D$1:$O$258,11,FALSE))))</f>
        <v/>
      </c>
      <c r="M118" s="520" t="str">
        <f>IF(E118="","",IF(ISNA(VLOOKUP($E118,'A-1 Site Habitat Baseline'!$D$1:$O$258,12,FALSE)),"",(VLOOKUP($E118,'A-1 Site Habitat Baseline'!$D$1:$O$258,12,FALSE))))</f>
        <v/>
      </c>
      <c r="N118" s="532" t="str">
        <f>IF(E118="","",IF(ISNA(VLOOKUP($E118,'A-1 Site Habitat Baseline'!$D$1:$X$258,14,FALSE)),"",(VLOOKUP($E118,'A-1 Site Habitat Baseline'!$D$1:$X$258,14,FALSE))))</f>
        <v/>
      </c>
      <c r="O118" s="524" t="str">
        <f>IF(E118="","",IF(ISNA(VLOOKUP($E118,'A-1 Site Habitat Baseline'!$D$1:$X$258,16,FALSE)),"",(VLOOKUP($E118,'A-1 Site Habitat Baseline'!$D$1:$X$258,13,FALSE))))</f>
        <v/>
      </c>
      <c r="P118" s="237" t="str">
        <f>IFERROR(INDEX('G-1 All Habitats'!$AG$3:$AG$15,MATCH(Q118,'G-1 All Habitats'!$AF$3:$AF$15,0)),"")</f>
        <v/>
      </c>
      <c r="Q118" s="238" t="str">
        <f t="shared" si="15"/>
        <v/>
      </c>
      <c r="R118" s="238" t="str">
        <f t="shared" si="16"/>
        <v/>
      </c>
      <c r="S118" s="392" t="str">
        <f>IFERROR(INDEX('G-1 All Habitats'!$B$3:$B$129,MATCH(R118,'G-1 All Habitats'!$A$3:$A$129,0)),"")</f>
        <v/>
      </c>
      <c r="T118" s="498" t="str">
        <f t="shared" si="17"/>
        <v/>
      </c>
      <c r="U118" s="499" t="str">
        <f t="shared" si="18"/>
        <v/>
      </c>
      <c r="V118" s="537" t="str">
        <f t="shared" si="12"/>
        <v/>
      </c>
      <c r="W118" s="520" t="str">
        <f>IF(S118="","",VLOOKUP(S118,'G-1 All Habitats'!$B$2:$M$129,10,FALSE))</f>
        <v/>
      </c>
      <c r="X118" s="520" t="str">
        <f>IFERROR(VLOOKUP(W118,'G-1 All Habitats'!$V$3:$W$7,2,FALSE),"")</f>
        <v/>
      </c>
      <c r="Y118" s="79"/>
      <c r="Z118" s="524" t="str">
        <f>IFERROR(INDEX('G-8 Condition Look up'!$A$3:$H$130,MATCH(S118,'G-8 Condition Look up'!$A$3:$A$130,0),MATCH(Y118,'G-8 Condition Look up'!$A$3:$H$3,0)),"")</f>
        <v/>
      </c>
      <c r="AA118" s="71"/>
      <c r="AB118" s="520" t="str">
        <f>IF(AA118="","",IF(VLOOKUP(AA118,'G-3 Multipliers'!$L$3:$N$6,2,FALSE)=0,"Spatial Data Missing ⚠",VLOOKUP(AA118,'G-3 Multipliers'!$L$3:$N$6,2,FALSE)))</f>
        <v/>
      </c>
      <c r="AC118" s="524" t="str">
        <f>IF(AA118="","",IF(VLOOKUP(AA118,'G-3 Multipliers'!$L$3:$N$6,3,FALSE)=0,"Spatial Data Missing ⚠",VLOOKUP(AA118,'G-3 Multipliers'!$L$3:$N$6,3,FALSE)))</f>
        <v/>
      </c>
      <c r="AD118" s="539" t="str">
        <f t="shared" si="13"/>
        <v/>
      </c>
      <c r="AE118" s="82"/>
      <c r="AF118" s="82"/>
      <c r="AG118" s="507" t="str">
        <f t="shared" si="19"/>
        <v/>
      </c>
      <c r="AH118" s="521" t="str">
        <f t="shared" si="20"/>
        <v/>
      </c>
      <c r="AI118" s="522" t="str">
        <f>IF(AH118="Check Data","Check Data",IFERROR(VLOOKUP(AH118,'G-4 Temporal multipliers'!$A$4:$C$36,3,FALSE),""))</f>
        <v/>
      </c>
      <c r="AJ118" s="498" t="str">
        <f>IF(S118="","",VLOOKUP(S118,'G-3 Multipliers'!$A$2:$E$129,4,FALSE))</f>
        <v/>
      </c>
      <c r="AK118" s="507" t="str">
        <f t="shared" si="21"/>
        <v/>
      </c>
      <c r="AL118" s="507" t="str">
        <f t="shared" si="22"/>
        <v/>
      </c>
      <c r="AM118" s="540" t="str">
        <f>IFERROR(IF(F118="","",IF(AH118="Check Data ⚠","Check Data ⚠",VLOOKUP(AL118, 'G-3 Multipliers'!$P$2:$Q$6,2,FALSE))),"")</f>
        <v/>
      </c>
      <c r="AN118" s="513" t="str">
        <f t="shared" si="14"/>
        <v/>
      </c>
      <c r="AO118" s="239"/>
      <c r="AP118" s="240"/>
    </row>
    <row r="119" spans="1:42" x14ac:dyDescent="0.25">
      <c r="A119" s="47" t="str">
        <f>IF(E119="","",IF(ISNA(VLOOKUP($E119,'A-1 Site Habitat Baseline'!$D$1:$O$258,2,FALSE)),"",(VLOOKUP($E119,'A-1 Site Habitat Baseline'!$D$1:$O$258,2,FALSE))))</f>
        <v/>
      </c>
      <c r="B119" s="47" t="str">
        <f>IF(E119="","",IF(ISNA(VLOOKUP($E119,'A-1 Site Habitat Baseline'!$D$1:$O$258,3,FALSE)),"",(VLOOKUP($E119,'A-1 Site Habitat Baseline'!$D$1:$O$258,3,FALSE))))</f>
        <v/>
      </c>
      <c r="C119" s="47" t="str">
        <f>IFERROR(INDEX('G-8 Condition Look up'!$I$4:$I$130,MATCH(S119,'G-8 Condition Look up'!$A$4:$A$130,0)),"")</f>
        <v/>
      </c>
      <c r="E119" s="531" t="str">
        <f>'A-1 Site Habitat Baseline'!AL118</f>
        <v/>
      </c>
      <c r="F119" s="520" t="str">
        <f>IF(E119="","",IF(ISNA(VLOOKUP($E119,'A-1 Site Habitat Baseline'!$D$1:$O$258,4,FALSE)),"",(VLOOKUP($E119,'A-1 Site Habitat Baseline'!$D$1:$O$258,4,FALSE))))</f>
        <v/>
      </c>
      <c r="G119" s="520" t="str">
        <f>IF(E119="","",IF(ISNA(VLOOKUP($E119,'A-1 Site Habitat Baseline'!$D$1:$O$258,5,FALSE)),"",(VLOOKUP($E119,'A-1 Site Habitat Baseline'!$D$1:$O$258,5,FALSE))))</f>
        <v/>
      </c>
      <c r="H119" s="520" t="str">
        <f>IF(E119="","",IF(ISNA(VLOOKUP($E119,'A-1 Site Habitat Baseline'!$D$1:$O$258,6,FALSE)),"",(VLOOKUP($E119,'A-1 Site Habitat Baseline'!$D$1:$O$258,6,FALSE))))</f>
        <v/>
      </c>
      <c r="I119" s="520" t="str">
        <f>IF(E119="","",IF(ISNA(VLOOKUP($E119,'A-1 Site Habitat Baseline'!$D$1:$O$258,7,FALSE)),"",(VLOOKUP($E119,'A-1 Site Habitat Baseline'!$D$1:$O$258,7,FALSE))))</f>
        <v/>
      </c>
      <c r="J119" s="520" t="str">
        <f>IF(E119="","",IF(ISNA(VLOOKUP($E119,'A-1 Site Habitat Baseline'!$D$1:$O$258,8,FALSE)),"",(VLOOKUP($E119,'A-1 Site Habitat Baseline'!$D$1:$O$258,8,FALSE))))</f>
        <v/>
      </c>
      <c r="K119" s="520" t="str">
        <f>IF(E119="","",IF(ISNA(VLOOKUP($E119,'A-1 Site Habitat Baseline'!$D$1:$O$258,9,FALSE)),"",(VLOOKUP($E119,'A-1 Site Habitat Baseline'!$D$1:$O$258,9,FALSE))))</f>
        <v/>
      </c>
      <c r="L119" s="520" t="str">
        <f>IF(E119="","",IF(ISNA(VLOOKUP($E119,'A-1 Site Habitat Baseline'!$D$1:$O$258,11,FALSE)),"",(VLOOKUP($E119,'A-1 Site Habitat Baseline'!$D$1:$O$258,11,FALSE))))</f>
        <v/>
      </c>
      <c r="M119" s="520" t="str">
        <f>IF(E119="","",IF(ISNA(VLOOKUP($E119,'A-1 Site Habitat Baseline'!$D$1:$O$258,12,FALSE)),"",(VLOOKUP($E119,'A-1 Site Habitat Baseline'!$D$1:$O$258,12,FALSE))))</f>
        <v/>
      </c>
      <c r="N119" s="532" t="str">
        <f>IF(E119="","",IF(ISNA(VLOOKUP($E119,'A-1 Site Habitat Baseline'!$D$1:$X$258,14,FALSE)),"",(VLOOKUP($E119,'A-1 Site Habitat Baseline'!$D$1:$X$258,14,FALSE))))</f>
        <v/>
      </c>
      <c r="O119" s="524" t="str">
        <f>IF(E119="","",IF(ISNA(VLOOKUP($E119,'A-1 Site Habitat Baseline'!$D$1:$X$258,16,FALSE)),"",(VLOOKUP($E119,'A-1 Site Habitat Baseline'!$D$1:$X$258,13,FALSE))))</f>
        <v/>
      </c>
      <c r="P119" s="237" t="str">
        <f>IFERROR(INDEX('G-1 All Habitats'!$AG$3:$AG$15,MATCH(Q119,'G-1 All Habitats'!$AF$3:$AF$15,0)),"")</f>
        <v/>
      </c>
      <c r="Q119" s="238" t="str">
        <f t="shared" si="15"/>
        <v/>
      </c>
      <c r="R119" s="238" t="str">
        <f t="shared" si="16"/>
        <v/>
      </c>
      <c r="S119" s="392" t="str">
        <f>IFERROR(INDEX('G-1 All Habitats'!$B$3:$B$129,MATCH(R119,'G-1 All Habitats'!$A$3:$A$129,0)),"")</f>
        <v/>
      </c>
      <c r="T119" s="498" t="str">
        <f t="shared" si="17"/>
        <v/>
      </c>
      <c r="U119" s="499" t="str">
        <f t="shared" si="18"/>
        <v/>
      </c>
      <c r="V119" s="537" t="str">
        <f t="shared" si="12"/>
        <v/>
      </c>
      <c r="W119" s="520" t="str">
        <f>IF(S119="","",VLOOKUP(S119,'G-1 All Habitats'!$B$2:$M$129,10,FALSE))</f>
        <v/>
      </c>
      <c r="X119" s="520" t="str">
        <f>IFERROR(VLOOKUP(W119,'G-1 All Habitats'!$V$3:$W$7,2,FALSE),"")</f>
        <v/>
      </c>
      <c r="Y119" s="79"/>
      <c r="Z119" s="524" t="str">
        <f>IFERROR(INDEX('G-8 Condition Look up'!$A$3:$H$130,MATCH(S119,'G-8 Condition Look up'!$A$3:$A$130,0),MATCH(Y119,'G-8 Condition Look up'!$A$3:$H$3,0)),"")</f>
        <v/>
      </c>
      <c r="AA119" s="71"/>
      <c r="AB119" s="520" t="str">
        <f>IF(AA119="","",IF(VLOOKUP(AA119,'G-3 Multipliers'!$L$3:$N$6,2,FALSE)=0,"Spatial Data Missing ⚠",VLOOKUP(AA119,'G-3 Multipliers'!$L$3:$N$6,2,FALSE)))</f>
        <v/>
      </c>
      <c r="AC119" s="524" t="str">
        <f>IF(AA119="","",IF(VLOOKUP(AA119,'G-3 Multipliers'!$L$3:$N$6,3,FALSE)=0,"Spatial Data Missing ⚠",VLOOKUP(AA119,'G-3 Multipliers'!$L$3:$N$6,3,FALSE)))</f>
        <v/>
      </c>
      <c r="AD119" s="539" t="str">
        <f t="shared" si="13"/>
        <v/>
      </c>
      <c r="AE119" s="82"/>
      <c r="AF119" s="82"/>
      <c r="AG119" s="507" t="str">
        <f t="shared" si="19"/>
        <v/>
      </c>
      <c r="AH119" s="521" t="str">
        <f t="shared" si="20"/>
        <v/>
      </c>
      <c r="AI119" s="522" t="str">
        <f>IF(AH119="Check Data","Check Data",IFERROR(VLOOKUP(AH119,'G-4 Temporal multipliers'!$A$4:$C$36,3,FALSE),""))</f>
        <v/>
      </c>
      <c r="AJ119" s="498" t="str">
        <f>IF(S119="","",VLOOKUP(S119,'G-3 Multipliers'!$A$2:$E$129,4,FALSE))</f>
        <v/>
      </c>
      <c r="AK119" s="507" t="str">
        <f t="shared" si="21"/>
        <v/>
      </c>
      <c r="AL119" s="507" t="str">
        <f t="shared" si="22"/>
        <v/>
      </c>
      <c r="AM119" s="540" t="str">
        <f>IFERROR(IF(F119="","",IF(AH119="Check Data ⚠","Check Data ⚠",VLOOKUP(AL119, 'G-3 Multipliers'!$P$2:$Q$6,2,FALSE))),"")</f>
        <v/>
      </c>
      <c r="AN119" s="513" t="str">
        <f t="shared" si="14"/>
        <v/>
      </c>
      <c r="AO119" s="239"/>
      <c r="AP119" s="240"/>
    </row>
    <row r="120" spans="1:42" x14ac:dyDescent="0.25">
      <c r="A120" s="47" t="str">
        <f>IF(E120="","",IF(ISNA(VLOOKUP($E120,'A-1 Site Habitat Baseline'!$D$1:$O$258,2,FALSE)),"",(VLOOKUP($E120,'A-1 Site Habitat Baseline'!$D$1:$O$258,2,FALSE))))</f>
        <v/>
      </c>
      <c r="B120" s="47" t="str">
        <f>IF(E120="","",IF(ISNA(VLOOKUP($E120,'A-1 Site Habitat Baseline'!$D$1:$O$258,3,FALSE)),"",(VLOOKUP($E120,'A-1 Site Habitat Baseline'!$D$1:$O$258,3,FALSE))))</f>
        <v/>
      </c>
      <c r="C120" s="47" t="str">
        <f>IFERROR(INDEX('G-8 Condition Look up'!$I$4:$I$130,MATCH(S120,'G-8 Condition Look up'!$A$4:$A$130,0)),"")</f>
        <v/>
      </c>
      <c r="E120" s="531" t="str">
        <f>'A-1 Site Habitat Baseline'!AL119</f>
        <v/>
      </c>
      <c r="F120" s="520" t="str">
        <f>IF(E120="","",IF(ISNA(VLOOKUP($E120,'A-1 Site Habitat Baseline'!$D$1:$O$258,4,FALSE)),"",(VLOOKUP($E120,'A-1 Site Habitat Baseline'!$D$1:$O$258,4,FALSE))))</f>
        <v/>
      </c>
      <c r="G120" s="520" t="str">
        <f>IF(E120="","",IF(ISNA(VLOOKUP($E120,'A-1 Site Habitat Baseline'!$D$1:$O$258,5,FALSE)),"",(VLOOKUP($E120,'A-1 Site Habitat Baseline'!$D$1:$O$258,5,FALSE))))</f>
        <v/>
      </c>
      <c r="H120" s="520" t="str">
        <f>IF(E120="","",IF(ISNA(VLOOKUP($E120,'A-1 Site Habitat Baseline'!$D$1:$O$258,6,FALSE)),"",(VLOOKUP($E120,'A-1 Site Habitat Baseline'!$D$1:$O$258,6,FALSE))))</f>
        <v/>
      </c>
      <c r="I120" s="520" t="str">
        <f>IF(E120="","",IF(ISNA(VLOOKUP($E120,'A-1 Site Habitat Baseline'!$D$1:$O$258,7,FALSE)),"",(VLOOKUP($E120,'A-1 Site Habitat Baseline'!$D$1:$O$258,7,FALSE))))</f>
        <v/>
      </c>
      <c r="J120" s="520" t="str">
        <f>IF(E120="","",IF(ISNA(VLOOKUP($E120,'A-1 Site Habitat Baseline'!$D$1:$O$258,8,FALSE)),"",(VLOOKUP($E120,'A-1 Site Habitat Baseline'!$D$1:$O$258,8,FALSE))))</f>
        <v/>
      </c>
      <c r="K120" s="520" t="str">
        <f>IF(E120="","",IF(ISNA(VLOOKUP($E120,'A-1 Site Habitat Baseline'!$D$1:$O$258,9,FALSE)),"",(VLOOKUP($E120,'A-1 Site Habitat Baseline'!$D$1:$O$258,9,FALSE))))</f>
        <v/>
      </c>
      <c r="L120" s="520" t="str">
        <f>IF(E120="","",IF(ISNA(VLOOKUP($E120,'A-1 Site Habitat Baseline'!$D$1:$O$258,11,FALSE)),"",(VLOOKUP($E120,'A-1 Site Habitat Baseline'!$D$1:$O$258,11,FALSE))))</f>
        <v/>
      </c>
      <c r="M120" s="520" t="str">
        <f>IF(E120="","",IF(ISNA(VLOOKUP($E120,'A-1 Site Habitat Baseline'!$D$1:$O$258,12,FALSE)),"",(VLOOKUP($E120,'A-1 Site Habitat Baseline'!$D$1:$O$258,12,FALSE))))</f>
        <v/>
      </c>
      <c r="N120" s="532" t="str">
        <f>IF(E120="","",IF(ISNA(VLOOKUP($E120,'A-1 Site Habitat Baseline'!$D$1:$X$258,14,FALSE)),"",(VLOOKUP($E120,'A-1 Site Habitat Baseline'!$D$1:$X$258,14,FALSE))))</f>
        <v/>
      </c>
      <c r="O120" s="524" t="str">
        <f>IF(E120="","",IF(ISNA(VLOOKUP($E120,'A-1 Site Habitat Baseline'!$D$1:$X$258,16,FALSE)),"",(VLOOKUP($E120,'A-1 Site Habitat Baseline'!$D$1:$X$258,13,FALSE))))</f>
        <v/>
      </c>
      <c r="P120" s="237" t="str">
        <f>IFERROR(INDEX('G-1 All Habitats'!$AG$3:$AG$15,MATCH(Q120,'G-1 All Habitats'!$AF$3:$AF$15,0)),"")</f>
        <v/>
      </c>
      <c r="Q120" s="238" t="str">
        <f t="shared" si="15"/>
        <v/>
      </c>
      <c r="R120" s="238" t="str">
        <f t="shared" si="16"/>
        <v/>
      </c>
      <c r="S120" s="392" t="str">
        <f>IFERROR(INDEX('G-1 All Habitats'!$B$3:$B$129,MATCH(R120,'G-1 All Habitats'!$A$3:$A$129,0)),"")</f>
        <v/>
      </c>
      <c r="T120" s="498" t="str">
        <f t="shared" si="17"/>
        <v/>
      </c>
      <c r="U120" s="499" t="str">
        <f t="shared" si="18"/>
        <v/>
      </c>
      <c r="V120" s="537" t="str">
        <f t="shared" si="12"/>
        <v/>
      </c>
      <c r="W120" s="520" t="str">
        <f>IF(S120="","",VLOOKUP(S120,'G-1 All Habitats'!$B$2:$M$129,10,FALSE))</f>
        <v/>
      </c>
      <c r="X120" s="520" t="str">
        <f>IFERROR(VLOOKUP(W120,'G-1 All Habitats'!$V$3:$W$7,2,FALSE),"")</f>
        <v/>
      </c>
      <c r="Y120" s="79"/>
      <c r="Z120" s="524" t="str">
        <f>IFERROR(INDEX('G-8 Condition Look up'!$A$3:$H$130,MATCH(S120,'G-8 Condition Look up'!$A$3:$A$130,0),MATCH(Y120,'G-8 Condition Look up'!$A$3:$H$3,0)),"")</f>
        <v/>
      </c>
      <c r="AA120" s="71"/>
      <c r="AB120" s="520" t="str">
        <f>IF(AA120="","",IF(VLOOKUP(AA120,'G-3 Multipliers'!$L$3:$N$6,2,FALSE)=0,"Spatial Data Missing ⚠",VLOOKUP(AA120,'G-3 Multipliers'!$L$3:$N$6,2,FALSE)))</f>
        <v/>
      </c>
      <c r="AC120" s="524" t="str">
        <f>IF(AA120="","",IF(VLOOKUP(AA120,'G-3 Multipliers'!$L$3:$N$6,3,FALSE)=0,"Spatial Data Missing ⚠",VLOOKUP(AA120,'G-3 Multipliers'!$L$3:$N$6,3,FALSE)))</f>
        <v/>
      </c>
      <c r="AD120" s="539" t="str">
        <f t="shared" si="13"/>
        <v/>
      </c>
      <c r="AE120" s="82"/>
      <c r="AF120" s="82"/>
      <c r="AG120" s="507" t="str">
        <f t="shared" si="19"/>
        <v/>
      </c>
      <c r="AH120" s="521" t="str">
        <f t="shared" si="20"/>
        <v/>
      </c>
      <c r="AI120" s="522" t="str">
        <f>IF(AH120="Check Data","Check Data",IFERROR(VLOOKUP(AH120,'G-4 Temporal multipliers'!$A$4:$C$36,3,FALSE),""))</f>
        <v/>
      </c>
      <c r="AJ120" s="498" t="str">
        <f>IF(S120="","",VLOOKUP(S120,'G-3 Multipliers'!$A$2:$E$129,4,FALSE))</f>
        <v/>
      </c>
      <c r="AK120" s="507" t="str">
        <f t="shared" si="21"/>
        <v/>
      </c>
      <c r="AL120" s="507" t="str">
        <f t="shared" si="22"/>
        <v/>
      </c>
      <c r="AM120" s="540" t="str">
        <f>IFERROR(IF(F120="","",IF(AH120="Check Data ⚠","Check Data ⚠",VLOOKUP(AL120, 'G-3 Multipliers'!$P$2:$Q$6,2,FALSE))),"")</f>
        <v/>
      </c>
      <c r="AN120" s="513" t="str">
        <f t="shared" si="14"/>
        <v/>
      </c>
      <c r="AO120" s="239"/>
      <c r="AP120" s="240"/>
    </row>
    <row r="121" spans="1:42" x14ac:dyDescent="0.25">
      <c r="A121" s="47" t="str">
        <f>IF(E121="","",IF(ISNA(VLOOKUP($E121,'A-1 Site Habitat Baseline'!$D$1:$O$258,2,FALSE)),"",(VLOOKUP($E121,'A-1 Site Habitat Baseline'!$D$1:$O$258,2,FALSE))))</f>
        <v/>
      </c>
      <c r="B121" s="47" t="str">
        <f>IF(E121="","",IF(ISNA(VLOOKUP($E121,'A-1 Site Habitat Baseline'!$D$1:$O$258,3,FALSE)),"",(VLOOKUP($E121,'A-1 Site Habitat Baseline'!$D$1:$O$258,3,FALSE))))</f>
        <v/>
      </c>
      <c r="C121" s="47" t="str">
        <f>IFERROR(INDEX('G-8 Condition Look up'!$I$4:$I$130,MATCH(S121,'G-8 Condition Look up'!$A$4:$A$130,0)),"")</f>
        <v/>
      </c>
      <c r="E121" s="531" t="str">
        <f>'A-1 Site Habitat Baseline'!AL120</f>
        <v/>
      </c>
      <c r="F121" s="520" t="str">
        <f>IF(E121="","",IF(ISNA(VLOOKUP($E121,'A-1 Site Habitat Baseline'!$D$1:$O$258,4,FALSE)),"",(VLOOKUP($E121,'A-1 Site Habitat Baseline'!$D$1:$O$258,4,FALSE))))</f>
        <v/>
      </c>
      <c r="G121" s="520" t="str">
        <f>IF(E121="","",IF(ISNA(VLOOKUP($E121,'A-1 Site Habitat Baseline'!$D$1:$O$258,5,FALSE)),"",(VLOOKUP($E121,'A-1 Site Habitat Baseline'!$D$1:$O$258,5,FALSE))))</f>
        <v/>
      </c>
      <c r="H121" s="520" t="str">
        <f>IF(E121="","",IF(ISNA(VLOOKUP($E121,'A-1 Site Habitat Baseline'!$D$1:$O$258,6,FALSE)),"",(VLOOKUP($E121,'A-1 Site Habitat Baseline'!$D$1:$O$258,6,FALSE))))</f>
        <v/>
      </c>
      <c r="I121" s="520" t="str">
        <f>IF(E121="","",IF(ISNA(VLOOKUP($E121,'A-1 Site Habitat Baseline'!$D$1:$O$258,7,FALSE)),"",(VLOOKUP($E121,'A-1 Site Habitat Baseline'!$D$1:$O$258,7,FALSE))))</f>
        <v/>
      </c>
      <c r="J121" s="520" t="str">
        <f>IF(E121="","",IF(ISNA(VLOOKUP($E121,'A-1 Site Habitat Baseline'!$D$1:$O$258,8,FALSE)),"",(VLOOKUP($E121,'A-1 Site Habitat Baseline'!$D$1:$O$258,8,FALSE))))</f>
        <v/>
      </c>
      <c r="K121" s="520" t="str">
        <f>IF(E121="","",IF(ISNA(VLOOKUP($E121,'A-1 Site Habitat Baseline'!$D$1:$O$258,9,FALSE)),"",(VLOOKUP($E121,'A-1 Site Habitat Baseline'!$D$1:$O$258,9,FALSE))))</f>
        <v/>
      </c>
      <c r="L121" s="520" t="str">
        <f>IF(E121="","",IF(ISNA(VLOOKUP($E121,'A-1 Site Habitat Baseline'!$D$1:$O$258,11,FALSE)),"",(VLOOKUP($E121,'A-1 Site Habitat Baseline'!$D$1:$O$258,11,FALSE))))</f>
        <v/>
      </c>
      <c r="M121" s="520" t="str">
        <f>IF(E121="","",IF(ISNA(VLOOKUP($E121,'A-1 Site Habitat Baseline'!$D$1:$O$258,12,FALSE)),"",(VLOOKUP($E121,'A-1 Site Habitat Baseline'!$D$1:$O$258,12,FALSE))))</f>
        <v/>
      </c>
      <c r="N121" s="532" t="str">
        <f>IF(E121="","",IF(ISNA(VLOOKUP($E121,'A-1 Site Habitat Baseline'!$D$1:$X$258,14,FALSE)),"",(VLOOKUP($E121,'A-1 Site Habitat Baseline'!$D$1:$X$258,14,FALSE))))</f>
        <v/>
      </c>
      <c r="O121" s="524" t="str">
        <f>IF(E121="","",IF(ISNA(VLOOKUP($E121,'A-1 Site Habitat Baseline'!$D$1:$X$258,16,FALSE)),"",(VLOOKUP($E121,'A-1 Site Habitat Baseline'!$D$1:$X$258,13,FALSE))))</f>
        <v/>
      </c>
      <c r="P121" s="237" t="str">
        <f>IFERROR(INDEX('G-1 All Habitats'!$AG$3:$AG$15,MATCH(Q121,'G-1 All Habitats'!$AF$3:$AF$15,0)),"")</f>
        <v/>
      </c>
      <c r="Q121" s="238" t="str">
        <f t="shared" si="15"/>
        <v/>
      </c>
      <c r="R121" s="238" t="str">
        <f t="shared" si="16"/>
        <v/>
      </c>
      <c r="S121" s="392" t="str">
        <f>IFERROR(INDEX('G-1 All Habitats'!$B$3:$B$129,MATCH(R121,'G-1 All Habitats'!$A$3:$A$129,0)),"")</f>
        <v/>
      </c>
      <c r="T121" s="498" t="str">
        <f t="shared" si="17"/>
        <v/>
      </c>
      <c r="U121" s="499" t="str">
        <f t="shared" si="18"/>
        <v/>
      </c>
      <c r="V121" s="537" t="str">
        <f t="shared" si="12"/>
        <v/>
      </c>
      <c r="W121" s="520" t="str">
        <f>IF(S121="","",VLOOKUP(S121,'G-1 All Habitats'!$B$2:$M$129,10,FALSE))</f>
        <v/>
      </c>
      <c r="X121" s="520" t="str">
        <f>IFERROR(VLOOKUP(W121,'G-1 All Habitats'!$V$3:$W$7,2,FALSE),"")</f>
        <v/>
      </c>
      <c r="Y121" s="79"/>
      <c r="Z121" s="524" t="str">
        <f>IFERROR(INDEX('G-8 Condition Look up'!$A$3:$H$130,MATCH(S121,'G-8 Condition Look up'!$A$3:$A$130,0),MATCH(Y121,'G-8 Condition Look up'!$A$3:$H$3,0)),"")</f>
        <v/>
      </c>
      <c r="AA121" s="71"/>
      <c r="AB121" s="520" t="str">
        <f>IF(AA121="","",IF(VLOOKUP(AA121,'G-3 Multipliers'!$L$3:$N$6,2,FALSE)=0,"Spatial Data Missing ⚠",VLOOKUP(AA121,'G-3 Multipliers'!$L$3:$N$6,2,FALSE)))</f>
        <v/>
      </c>
      <c r="AC121" s="524" t="str">
        <f>IF(AA121="","",IF(VLOOKUP(AA121,'G-3 Multipliers'!$L$3:$N$6,3,FALSE)=0,"Spatial Data Missing ⚠",VLOOKUP(AA121,'G-3 Multipliers'!$L$3:$N$6,3,FALSE)))</f>
        <v/>
      </c>
      <c r="AD121" s="539" t="str">
        <f t="shared" si="13"/>
        <v/>
      </c>
      <c r="AE121" s="82"/>
      <c r="AF121" s="82"/>
      <c r="AG121" s="507" t="str">
        <f t="shared" si="19"/>
        <v/>
      </c>
      <c r="AH121" s="521" t="str">
        <f t="shared" si="20"/>
        <v/>
      </c>
      <c r="AI121" s="522" t="str">
        <f>IF(AH121="Check Data","Check Data",IFERROR(VLOOKUP(AH121,'G-4 Temporal multipliers'!$A$4:$C$36,3,FALSE),""))</f>
        <v/>
      </c>
      <c r="AJ121" s="498" t="str">
        <f>IF(S121="","",VLOOKUP(S121,'G-3 Multipliers'!$A$2:$E$129,4,FALSE))</f>
        <v/>
      </c>
      <c r="AK121" s="507" t="str">
        <f t="shared" si="21"/>
        <v/>
      </c>
      <c r="AL121" s="507" t="str">
        <f t="shared" si="22"/>
        <v/>
      </c>
      <c r="AM121" s="540" t="str">
        <f>IFERROR(IF(F121="","",IF(AH121="Check Data ⚠","Check Data ⚠",VLOOKUP(AL121, 'G-3 Multipliers'!$P$2:$Q$6,2,FALSE))),"")</f>
        <v/>
      </c>
      <c r="AN121" s="513" t="str">
        <f t="shared" si="14"/>
        <v/>
      </c>
      <c r="AO121" s="239"/>
      <c r="AP121" s="240"/>
    </row>
    <row r="122" spans="1:42" x14ac:dyDescent="0.25">
      <c r="A122" s="47" t="str">
        <f>IF(E122="","",IF(ISNA(VLOOKUP($E122,'A-1 Site Habitat Baseline'!$D$1:$O$258,2,FALSE)),"",(VLOOKUP($E122,'A-1 Site Habitat Baseline'!$D$1:$O$258,2,FALSE))))</f>
        <v/>
      </c>
      <c r="B122" s="47" t="str">
        <f>IF(E122="","",IF(ISNA(VLOOKUP($E122,'A-1 Site Habitat Baseline'!$D$1:$O$258,3,FALSE)),"",(VLOOKUP($E122,'A-1 Site Habitat Baseline'!$D$1:$O$258,3,FALSE))))</f>
        <v/>
      </c>
      <c r="C122" s="47" t="str">
        <f>IFERROR(INDEX('G-8 Condition Look up'!$I$4:$I$130,MATCH(S122,'G-8 Condition Look up'!$A$4:$A$130,0)),"")</f>
        <v/>
      </c>
      <c r="E122" s="531" t="str">
        <f>'A-1 Site Habitat Baseline'!AL121</f>
        <v/>
      </c>
      <c r="F122" s="520" t="str">
        <f>IF(E122="","",IF(ISNA(VLOOKUP($E122,'A-1 Site Habitat Baseline'!$D$1:$O$258,4,FALSE)),"",(VLOOKUP($E122,'A-1 Site Habitat Baseline'!$D$1:$O$258,4,FALSE))))</f>
        <v/>
      </c>
      <c r="G122" s="520" t="str">
        <f>IF(E122="","",IF(ISNA(VLOOKUP($E122,'A-1 Site Habitat Baseline'!$D$1:$O$258,5,FALSE)),"",(VLOOKUP($E122,'A-1 Site Habitat Baseline'!$D$1:$O$258,5,FALSE))))</f>
        <v/>
      </c>
      <c r="H122" s="520" t="str">
        <f>IF(E122="","",IF(ISNA(VLOOKUP($E122,'A-1 Site Habitat Baseline'!$D$1:$O$258,6,FALSE)),"",(VLOOKUP($E122,'A-1 Site Habitat Baseline'!$D$1:$O$258,6,FALSE))))</f>
        <v/>
      </c>
      <c r="I122" s="520" t="str">
        <f>IF(E122="","",IF(ISNA(VLOOKUP($E122,'A-1 Site Habitat Baseline'!$D$1:$O$258,7,FALSE)),"",(VLOOKUP($E122,'A-1 Site Habitat Baseline'!$D$1:$O$258,7,FALSE))))</f>
        <v/>
      </c>
      <c r="J122" s="520" t="str">
        <f>IF(E122="","",IF(ISNA(VLOOKUP($E122,'A-1 Site Habitat Baseline'!$D$1:$O$258,8,FALSE)),"",(VLOOKUP($E122,'A-1 Site Habitat Baseline'!$D$1:$O$258,8,FALSE))))</f>
        <v/>
      </c>
      <c r="K122" s="520" t="str">
        <f>IF(E122="","",IF(ISNA(VLOOKUP($E122,'A-1 Site Habitat Baseline'!$D$1:$O$258,9,FALSE)),"",(VLOOKUP($E122,'A-1 Site Habitat Baseline'!$D$1:$O$258,9,FALSE))))</f>
        <v/>
      </c>
      <c r="L122" s="520" t="str">
        <f>IF(E122="","",IF(ISNA(VLOOKUP($E122,'A-1 Site Habitat Baseline'!$D$1:$O$258,11,FALSE)),"",(VLOOKUP($E122,'A-1 Site Habitat Baseline'!$D$1:$O$258,11,FALSE))))</f>
        <v/>
      </c>
      <c r="M122" s="520" t="str">
        <f>IF(E122="","",IF(ISNA(VLOOKUP($E122,'A-1 Site Habitat Baseline'!$D$1:$O$258,12,FALSE)),"",(VLOOKUP($E122,'A-1 Site Habitat Baseline'!$D$1:$O$258,12,FALSE))))</f>
        <v/>
      </c>
      <c r="N122" s="532" t="str">
        <f>IF(E122="","",IF(ISNA(VLOOKUP($E122,'A-1 Site Habitat Baseline'!$D$1:$X$258,14,FALSE)),"",(VLOOKUP($E122,'A-1 Site Habitat Baseline'!$D$1:$X$258,14,FALSE))))</f>
        <v/>
      </c>
      <c r="O122" s="524" t="str">
        <f>IF(E122="","",IF(ISNA(VLOOKUP($E122,'A-1 Site Habitat Baseline'!$D$1:$X$258,16,FALSE)),"",(VLOOKUP($E122,'A-1 Site Habitat Baseline'!$D$1:$X$258,13,FALSE))))</f>
        <v/>
      </c>
      <c r="P122" s="237" t="str">
        <f>IFERROR(INDEX('G-1 All Habitats'!$AG$3:$AG$15,MATCH(Q122,'G-1 All Habitats'!$AF$3:$AF$15,0)),"")</f>
        <v/>
      </c>
      <c r="Q122" s="238" t="str">
        <f t="shared" si="15"/>
        <v/>
      </c>
      <c r="R122" s="238" t="str">
        <f t="shared" si="16"/>
        <v/>
      </c>
      <c r="S122" s="392" t="str">
        <f>IFERROR(INDEX('G-1 All Habitats'!$B$3:$B$129,MATCH(R122,'G-1 All Habitats'!$A$3:$A$129,0)),"")</f>
        <v/>
      </c>
      <c r="T122" s="498" t="str">
        <f t="shared" si="17"/>
        <v/>
      </c>
      <c r="U122" s="499" t="str">
        <f t="shared" si="18"/>
        <v/>
      </c>
      <c r="V122" s="537" t="str">
        <f t="shared" si="12"/>
        <v/>
      </c>
      <c r="W122" s="520" t="str">
        <f>IF(S122="","",VLOOKUP(S122,'G-1 All Habitats'!$B$2:$M$129,10,FALSE))</f>
        <v/>
      </c>
      <c r="X122" s="520" t="str">
        <f>IFERROR(VLOOKUP(W122,'G-1 All Habitats'!$V$3:$W$7,2,FALSE),"")</f>
        <v/>
      </c>
      <c r="Y122" s="79"/>
      <c r="Z122" s="524" t="str">
        <f>IFERROR(INDEX('G-8 Condition Look up'!$A$3:$H$130,MATCH(S122,'G-8 Condition Look up'!$A$3:$A$130,0),MATCH(Y122,'G-8 Condition Look up'!$A$3:$H$3,0)),"")</f>
        <v/>
      </c>
      <c r="AA122" s="71"/>
      <c r="AB122" s="520" t="str">
        <f>IF(AA122="","",IF(VLOOKUP(AA122,'G-3 Multipliers'!$L$3:$N$6,2,FALSE)=0,"Spatial Data Missing ⚠",VLOOKUP(AA122,'G-3 Multipliers'!$L$3:$N$6,2,FALSE)))</f>
        <v/>
      </c>
      <c r="AC122" s="524" t="str">
        <f>IF(AA122="","",IF(VLOOKUP(AA122,'G-3 Multipliers'!$L$3:$N$6,3,FALSE)=0,"Spatial Data Missing ⚠",VLOOKUP(AA122,'G-3 Multipliers'!$L$3:$N$6,3,FALSE)))</f>
        <v/>
      </c>
      <c r="AD122" s="539" t="str">
        <f t="shared" si="13"/>
        <v/>
      </c>
      <c r="AE122" s="82"/>
      <c r="AF122" s="82"/>
      <c r="AG122" s="507" t="str">
        <f t="shared" si="19"/>
        <v/>
      </c>
      <c r="AH122" s="521" t="str">
        <f t="shared" si="20"/>
        <v/>
      </c>
      <c r="AI122" s="522" t="str">
        <f>IF(AH122="Check Data","Check Data",IFERROR(VLOOKUP(AH122,'G-4 Temporal multipliers'!$A$4:$C$36,3,FALSE),""))</f>
        <v/>
      </c>
      <c r="AJ122" s="498" t="str">
        <f>IF(S122="","",VLOOKUP(S122,'G-3 Multipliers'!$A$2:$E$129,4,FALSE))</f>
        <v/>
      </c>
      <c r="AK122" s="507" t="str">
        <f t="shared" si="21"/>
        <v/>
      </c>
      <c r="AL122" s="507" t="str">
        <f t="shared" si="22"/>
        <v/>
      </c>
      <c r="AM122" s="540" t="str">
        <f>IFERROR(IF(F122="","",IF(AH122="Check Data ⚠","Check Data ⚠",VLOOKUP(AL122, 'G-3 Multipliers'!$P$2:$Q$6,2,FALSE))),"")</f>
        <v/>
      </c>
      <c r="AN122" s="513" t="str">
        <f t="shared" si="14"/>
        <v/>
      </c>
      <c r="AO122" s="239"/>
      <c r="AP122" s="240"/>
    </row>
    <row r="123" spans="1:42" x14ac:dyDescent="0.25">
      <c r="A123" s="47" t="str">
        <f>IF(E123="","",IF(ISNA(VLOOKUP($E123,'A-1 Site Habitat Baseline'!$D$1:$O$258,2,FALSE)),"",(VLOOKUP($E123,'A-1 Site Habitat Baseline'!$D$1:$O$258,2,FALSE))))</f>
        <v/>
      </c>
      <c r="B123" s="47" t="str">
        <f>IF(E123="","",IF(ISNA(VLOOKUP($E123,'A-1 Site Habitat Baseline'!$D$1:$O$258,3,FALSE)),"",(VLOOKUP($E123,'A-1 Site Habitat Baseline'!$D$1:$O$258,3,FALSE))))</f>
        <v/>
      </c>
      <c r="C123" s="47" t="str">
        <f>IFERROR(INDEX('G-8 Condition Look up'!$I$4:$I$130,MATCH(S123,'G-8 Condition Look up'!$A$4:$A$130,0)),"")</f>
        <v/>
      </c>
      <c r="E123" s="531" t="str">
        <f>'A-1 Site Habitat Baseline'!AL122</f>
        <v/>
      </c>
      <c r="F123" s="520" t="str">
        <f>IF(E123="","",IF(ISNA(VLOOKUP($E123,'A-1 Site Habitat Baseline'!$D$1:$O$258,4,FALSE)),"",(VLOOKUP($E123,'A-1 Site Habitat Baseline'!$D$1:$O$258,4,FALSE))))</f>
        <v/>
      </c>
      <c r="G123" s="520" t="str">
        <f>IF(E123="","",IF(ISNA(VLOOKUP($E123,'A-1 Site Habitat Baseline'!$D$1:$O$258,5,FALSE)),"",(VLOOKUP($E123,'A-1 Site Habitat Baseline'!$D$1:$O$258,5,FALSE))))</f>
        <v/>
      </c>
      <c r="H123" s="520" t="str">
        <f>IF(E123="","",IF(ISNA(VLOOKUP($E123,'A-1 Site Habitat Baseline'!$D$1:$O$258,6,FALSE)),"",(VLOOKUP($E123,'A-1 Site Habitat Baseline'!$D$1:$O$258,6,FALSE))))</f>
        <v/>
      </c>
      <c r="I123" s="520" t="str">
        <f>IF(E123="","",IF(ISNA(VLOOKUP($E123,'A-1 Site Habitat Baseline'!$D$1:$O$258,7,FALSE)),"",(VLOOKUP($E123,'A-1 Site Habitat Baseline'!$D$1:$O$258,7,FALSE))))</f>
        <v/>
      </c>
      <c r="J123" s="520" t="str">
        <f>IF(E123="","",IF(ISNA(VLOOKUP($E123,'A-1 Site Habitat Baseline'!$D$1:$O$258,8,FALSE)),"",(VLOOKUP($E123,'A-1 Site Habitat Baseline'!$D$1:$O$258,8,FALSE))))</f>
        <v/>
      </c>
      <c r="K123" s="520" t="str">
        <f>IF(E123="","",IF(ISNA(VLOOKUP($E123,'A-1 Site Habitat Baseline'!$D$1:$O$258,9,FALSE)),"",(VLOOKUP($E123,'A-1 Site Habitat Baseline'!$D$1:$O$258,9,FALSE))))</f>
        <v/>
      </c>
      <c r="L123" s="520" t="str">
        <f>IF(E123="","",IF(ISNA(VLOOKUP($E123,'A-1 Site Habitat Baseline'!$D$1:$O$258,11,FALSE)),"",(VLOOKUP($E123,'A-1 Site Habitat Baseline'!$D$1:$O$258,11,FALSE))))</f>
        <v/>
      </c>
      <c r="M123" s="520" t="str">
        <f>IF(E123="","",IF(ISNA(VLOOKUP($E123,'A-1 Site Habitat Baseline'!$D$1:$O$258,12,FALSE)),"",(VLOOKUP($E123,'A-1 Site Habitat Baseline'!$D$1:$O$258,12,FALSE))))</f>
        <v/>
      </c>
      <c r="N123" s="532" t="str">
        <f>IF(E123="","",IF(ISNA(VLOOKUP($E123,'A-1 Site Habitat Baseline'!$D$1:$X$258,14,FALSE)),"",(VLOOKUP($E123,'A-1 Site Habitat Baseline'!$D$1:$X$258,14,FALSE))))</f>
        <v/>
      </c>
      <c r="O123" s="524" t="str">
        <f>IF(E123="","",IF(ISNA(VLOOKUP($E123,'A-1 Site Habitat Baseline'!$D$1:$X$258,16,FALSE)),"",(VLOOKUP($E123,'A-1 Site Habitat Baseline'!$D$1:$X$258,13,FALSE))))</f>
        <v/>
      </c>
      <c r="P123" s="237" t="str">
        <f>IFERROR(INDEX('G-1 All Habitats'!$AG$3:$AG$15,MATCH(Q123,'G-1 All Habitats'!$AF$3:$AF$15,0)),"")</f>
        <v/>
      </c>
      <c r="Q123" s="238" t="str">
        <f t="shared" si="15"/>
        <v/>
      </c>
      <c r="R123" s="238" t="str">
        <f t="shared" si="16"/>
        <v/>
      </c>
      <c r="S123" s="392" t="str">
        <f>IFERROR(INDEX('G-1 All Habitats'!$B$3:$B$129,MATCH(R123,'G-1 All Habitats'!$A$3:$A$129,0)),"")</f>
        <v/>
      </c>
      <c r="T123" s="498" t="str">
        <f t="shared" si="17"/>
        <v/>
      </c>
      <c r="U123" s="499" t="str">
        <f t="shared" si="18"/>
        <v/>
      </c>
      <c r="V123" s="537" t="str">
        <f t="shared" si="12"/>
        <v/>
      </c>
      <c r="W123" s="520" t="str">
        <f>IF(S123="","",VLOOKUP(S123,'G-1 All Habitats'!$B$2:$M$129,10,FALSE))</f>
        <v/>
      </c>
      <c r="X123" s="520" t="str">
        <f>IFERROR(VLOOKUP(W123,'G-1 All Habitats'!$V$3:$W$7,2,FALSE),"")</f>
        <v/>
      </c>
      <c r="Y123" s="79"/>
      <c r="Z123" s="524" t="str">
        <f>IFERROR(INDEX('G-8 Condition Look up'!$A$3:$H$130,MATCH(S123,'G-8 Condition Look up'!$A$3:$A$130,0),MATCH(Y123,'G-8 Condition Look up'!$A$3:$H$3,0)),"")</f>
        <v/>
      </c>
      <c r="AA123" s="71"/>
      <c r="AB123" s="520" t="str">
        <f>IF(AA123="","",IF(VLOOKUP(AA123,'G-3 Multipliers'!$L$3:$N$6,2,FALSE)=0,"Spatial Data Missing ⚠",VLOOKUP(AA123,'G-3 Multipliers'!$L$3:$N$6,2,FALSE)))</f>
        <v/>
      </c>
      <c r="AC123" s="524" t="str">
        <f>IF(AA123="","",IF(VLOOKUP(AA123,'G-3 Multipliers'!$L$3:$N$6,3,FALSE)=0,"Spatial Data Missing ⚠",VLOOKUP(AA123,'G-3 Multipliers'!$L$3:$N$6,3,FALSE)))</f>
        <v/>
      </c>
      <c r="AD123" s="539" t="str">
        <f t="shared" si="13"/>
        <v/>
      </c>
      <c r="AE123" s="82"/>
      <c r="AF123" s="82"/>
      <c r="AG123" s="507" t="str">
        <f t="shared" si="19"/>
        <v/>
      </c>
      <c r="AH123" s="521" t="str">
        <f t="shared" si="20"/>
        <v/>
      </c>
      <c r="AI123" s="522" t="str">
        <f>IF(AH123="Check Data","Check Data",IFERROR(VLOOKUP(AH123,'G-4 Temporal multipliers'!$A$4:$C$36,3,FALSE),""))</f>
        <v/>
      </c>
      <c r="AJ123" s="498" t="str">
        <f>IF(S123="","",VLOOKUP(S123,'G-3 Multipliers'!$A$2:$E$129,4,FALSE))</f>
        <v/>
      </c>
      <c r="AK123" s="507" t="str">
        <f t="shared" si="21"/>
        <v/>
      </c>
      <c r="AL123" s="507" t="str">
        <f t="shared" si="22"/>
        <v/>
      </c>
      <c r="AM123" s="540" t="str">
        <f>IFERROR(IF(F123="","",IF(AH123="Check Data ⚠","Check Data ⚠",VLOOKUP(AL123, 'G-3 Multipliers'!$P$2:$Q$6,2,FALSE))),"")</f>
        <v/>
      </c>
      <c r="AN123" s="513" t="str">
        <f t="shared" si="14"/>
        <v/>
      </c>
      <c r="AO123" s="239"/>
      <c r="AP123" s="240"/>
    </row>
    <row r="124" spans="1:42" x14ac:dyDescent="0.25">
      <c r="A124" s="47" t="str">
        <f>IF(E124="","",IF(ISNA(VLOOKUP($E124,'A-1 Site Habitat Baseline'!$D$1:$O$258,2,FALSE)),"",(VLOOKUP($E124,'A-1 Site Habitat Baseline'!$D$1:$O$258,2,FALSE))))</f>
        <v/>
      </c>
      <c r="B124" s="47" t="str">
        <f>IF(E124="","",IF(ISNA(VLOOKUP($E124,'A-1 Site Habitat Baseline'!$D$1:$O$258,3,FALSE)),"",(VLOOKUP($E124,'A-1 Site Habitat Baseline'!$D$1:$O$258,3,FALSE))))</f>
        <v/>
      </c>
      <c r="C124" s="47" t="str">
        <f>IFERROR(INDEX('G-8 Condition Look up'!$I$4:$I$130,MATCH(S124,'G-8 Condition Look up'!$A$4:$A$130,0)),"")</f>
        <v/>
      </c>
      <c r="E124" s="531" t="str">
        <f>'A-1 Site Habitat Baseline'!AL123</f>
        <v/>
      </c>
      <c r="F124" s="520" t="str">
        <f>IF(E124="","",IF(ISNA(VLOOKUP($E124,'A-1 Site Habitat Baseline'!$D$1:$O$258,4,FALSE)),"",(VLOOKUP($E124,'A-1 Site Habitat Baseline'!$D$1:$O$258,4,FALSE))))</f>
        <v/>
      </c>
      <c r="G124" s="520" t="str">
        <f>IF(E124="","",IF(ISNA(VLOOKUP($E124,'A-1 Site Habitat Baseline'!$D$1:$O$258,5,FALSE)),"",(VLOOKUP($E124,'A-1 Site Habitat Baseline'!$D$1:$O$258,5,FALSE))))</f>
        <v/>
      </c>
      <c r="H124" s="520" t="str">
        <f>IF(E124="","",IF(ISNA(VLOOKUP($E124,'A-1 Site Habitat Baseline'!$D$1:$O$258,6,FALSE)),"",(VLOOKUP($E124,'A-1 Site Habitat Baseline'!$D$1:$O$258,6,FALSE))))</f>
        <v/>
      </c>
      <c r="I124" s="520" t="str">
        <f>IF(E124="","",IF(ISNA(VLOOKUP($E124,'A-1 Site Habitat Baseline'!$D$1:$O$258,7,FALSE)),"",(VLOOKUP($E124,'A-1 Site Habitat Baseline'!$D$1:$O$258,7,FALSE))))</f>
        <v/>
      </c>
      <c r="J124" s="520" t="str">
        <f>IF(E124="","",IF(ISNA(VLOOKUP($E124,'A-1 Site Habitat Baseline'!$D$1:$O$258,8,FALSE)),"",(VLOOKUP($E124,'A-1 Site Habitat Baseline'!$D$1:$O$258,8,FALSE))))</f>
        <v/>
      </c>
      <c r="K124" s="520" t="str">
        <f>IF(E124="","",IF(ISNA(VLOOKUP($E124,'A-1 Site Habitat Baseline'!$D$1:$O$258,9,FALSE)),"",(VLOOKUP($E124,'A-1 Site Habitat Baseline'!$D$1:$O$258,9,FALSE))))</f>
        <v/>
      </c>
      <c r="L124" s="520" t="str">
        <f>IF(E124="","",IF(ISNA(VLOOKUP($E124,'A-1 Site Habitat Baseline'!$D$1:$O$258,11,FALSE)),"",(VLOOKUP($E124,'A-1 Site Habitat Baseline'!$D$1:$O$258,11,FALSE))))</f>
        <v/>
      </c>
      <c r="M124" s="520" t="str">
        <f>IF(E124="","",IF(ISNA(VLOOKUP($E124,'A-1 Site Habitat Baseline'!$D$1:$O$258,12,FALSE)),"",(VLOOKUP($E124,'A-1 Site Habitat Baseline'!$D$1:$O$258,12,FALSE))))</f>
        <v/>
      </c>
      <c r="N124" s="532" t="str">
        <f>IF(E124="","",IF(ISNA(VLOOKUP($E124,'A-1 Site Habitat Baseline'!$D$1:$X$258,14,FALSE)),"",(VLOOKUP($E124,'A-1 Site Habitat Baseline'!$D$1:$X$258,14,FALSE))))</f>
        <v/>
      </c>
      <c r="O124" s="524" t="str">
        <f>IF(E124="","",IF(ISNA(VLOOKUP($E124,'A-1 Site Habitat Baseline'!$D$1:$X$258,16,FALSE)),"",(VLOOKUP($E124,'A-1 Site Habitat Baseline'!$D$1:$X$258,13,FALSE))))</f>
        <v/>
      </c>
      <c r="P124" s="237" t="str">
        <f>IFERROR(INDEX('G-1 All Habitats'!$AG$3:$AG$15,MATCH(Q124,'G-1 All Habitats'!$AF$3:$AF$15,0)),"")</f>
        <v/>
      </c>
      <c r="Q124" s="238" t="str">
        <f t="shared" si="15"/>
        <v/>
      </c>
      <c r="R124" s="238" t="str">
        <f t="shared" si="16"/>
        <v/>
      </c>
      <c r="S124" s="392" t="str">
        <f>IFERROR(INDEX('G-1 All Habitats'!$B$3:$B$129,MATCH(R124,'G-1 All Habitats'!$A$3:$A$129,0)),"")</f>
        <v/>
      </c>
      <c r="T124" s="498" t="str">
        <f t="shared" si="17"/>
        <v/>
      </c>
      <c r="U124" s="499" t="str">
        <f t="shared" si="18"/>
        <v/>
      </c>
      <c r="V124" s="537" t="str">
        <f t="shared" si="12"/>
        <v/>
      </c>
      <c r="W124" s="520" t="str">
        <f>IF(S124="","",VLOOKUP(S124,'G-1 All Habitats'!$B$2:$M$129,10,FALSE))</f>
        <v/>
      </c>
      <c r="X124" s="520" t="str">
        <f>IFERROR(VLOOKUP(W124,'G-1 All Habitats'!$V$3:$W$7,2,FALSE),"")</f>
        <v/>
      </c>
      <c r="Y124" s="79"/>
      <c r="Z124" s="524" t="str">
        <f>IFERROR(INDEX('G-8 Condition Look up'!$A$3:$H$130,MATCH(S124,'G-8 Condition Look up'!$A$3:$A$130,0),MATCH(Y124,'G-8 Condition Look up'!$A$3:$H$3,0)),"")</f>
        <v/>
      </c>
      <c r="AA124" s="71"/>
      <c r="AB124" s="520" t="str">
        <f>IF(AA124="","",IF(VLOOKUP(AA124,'G-3 Multipliers'!$L$3:$N$6,2,FALSE)=0,"Spatial Data Missing ⚠",VLOOKUP(AA124,'G-3 Multipliers'!$L$3:$N$6,2,FALSE)))</f>
        <v/>
      </c>
      <c r="AC124" s="524" t="str">
        <f>IF(AA124="","",IF(VLOOKUP(AA124,'G-3 Multipliers'!$L$3:$N$6,3,FALSE)=0,"Spatial Data Missing ⚠",VLOOKUP(AA124,'G-3 Multipliers'!$L$3:$N$6,3,FALSE)))</f>
        <v/>
      </c>
      <c r="AD124" s="539" t="str">
        <f t="shared" si="13"/>
        <v/>
      </c>
      <c r="AE124" s="82"/>
      <c r="AF124" s="82"/>
      <c r="AG124" s="507" t="str">
        <f t="shared" si="19"/>
        <v/>
      </c>
      <c r="AH124" s="521" t="str">
        <f t="shared" si="20"/>
        <v/>
      </c>
      <c r="AI124" s="522" t="str">
        <f>IF(AH124="Check Data","Check Data",IFERROR(VLOOKUP(AH124,'G-4 Temporal multipliers'!$A$4:$C$36,3,FALSE),""))</f>
        <v/>
      </c>
      <c r="AJ124" s="498" t="str">
        <f>IF(S124="","",VLOOKUP(S124,'G-3 Multipliers'!$A$2:$E$129,4,FALSE))</f>
        <v/>
      </c>
      <c r="AK124" s="507" t="str">
        <f t="shared" si="21"/>
        <v/>
      </c>
      <c r="AL124" s="507" t="str">
        <f t="shared" si="22"/>
        <v/>
      </c>
      <c r="AM124" s="540" t="str">
        <f>IFERROR(IF(F124="","",IF(AH124="Check Data ⚠","Check Data ⚠",VLOOKUP(AL124, 'G-3 Multipliers'!$P$2:$Q$6,2,FALSE))),"")</f>
        <v/>
      </c>
      <c r="AN124" s="513" t="str">
        <f t="shared" si="14"/>
        <v/>
      </c>
      <c r="AO124" s="239"/>
      <c r="AP124" s="240"/>
    </row>
    <row r="125" spans="1:42" x14ac:dyDescent="0.25">
      <c r="A125" s="47" t="str">
        <f>IF(E125="","",IF(ISNA(VLOOKUP($E125,'A-1 Site Habitat Baseline'!$D$1:$O$258,2,FALSE)),"",(VLOOKUP($E125,'A-1 Site Habitat Baseline'!$D$1:$O$258,2,FALSE))))</f>
        <v/>
      </c>
      <c r="B125" s="47" t="str">
        <f>IF(E125="","",IF(ISNA(VLOOKUP($E125,'A-1 Site Habitat Baseline'!$D$1:$O$258,3,FALSE)),"",(VLOOKUP($E125,'A-1 Site Habitat Baseline'!$D$1:$O$258,3,FALSE))))</f>
        <v/>
      </c>
      <c r="C125" s="47" t="str">
        <f>IFERROR(INDEX('G-8 Condition Look up'!$I$4:$I$130,MATCH(S125,'G-8 Condition Look up'!$A$4:$A$130,0)),"")</f>
        <v/>
      </c>
      <c r="E125" s="531" t="str">
        <f>'A-1 Site Habitat Baseline'!AL124</f>
        <v/>
      </c>
      <c r="F125" s="520" t="str">
        <f>IF(E125="","",IF(ISNA(VLOOKUP($E125,'A-1 Site Habitat Baseline'!$D$1:$O$258,4,FALSE)),"",(VLOOKUP($E125,'A-1 Site Habitat Baseline'!$D$1:$O$258,4,FALSE))))</f>
        <v/>
      </c>
      <c r="G125" s="520" t="str">
        <f>IF(E125="","",IF(ISNA(VLOOKUP($E125,'A-1 Site Habitat Baseline'!$D$1:$O$258,5,FALSE)),"",(VLOOKUP($E125,'A-1 Site Habitat Baseline'!$D$1:$O$258,5,FALSE))))</f>
        <v/>
      </c>
      <c r="H125" s="520" t="str">
        <f>IF(E125="","",IF(ISNA(VLOOKUP($E125,'A-1 Site Habitat Baseline'!$D$1:$O$258,6,FALSE)),"",(VLOOKUP($E125,'A-1 Site Habitat Baseline'!$D$1:$O$258,6,FALSE))))</f>
        <v/>
      </c>
      <c r="I125" s="520" t="str">
        <f>IF(E125="","",IF(ISNA(VLOOKUP($E125,'A-1 Site Habitat Baseline'!$D$1:$O$258,7,FALSE)),"",(VLOOKUP($E125,'A-1 Site Habitat Baseline'!$D$1:$O$258,7,FALSE))))</f>
        <v/>
      </c>
      <c r="J125" s="520" t="str">
        <f>IF(E125="","",IF(ISNA(VLOOKUP($E125,'A-1 Site Habitat Baseline'!$D$1:$O$258,8,FALSE)),"",(VLOOKUP($E125,'A-1 Site Habitat Baseline'!$D$1:$O$258,8,FALSE))))</f>
        <v/>
      </c>
      <c r="K125" s="520" t="str">
        <f>IF(E125="","",IF(ISNA(VLOOKUP($E125,'A-1 Site Habitat Baseline'!$D$1:$O$258,9,FALSE)),"",(VLOOKUP($E125,'A-1 Site Habitat Baseline'!$D$1:$O$258,9,FALSE))))</f>
        <v/>
      </c>
      <c r="L125" s="520" t="str">
        <f>IF(E125="","",IF(ISNA(VLOOKUP($E125,'A-1 Site Habitat Baseline'!$D$1:$O$258,11,FALSE)),"",(VLOOKUP($E125,'A-1 Site Habitat Baseline'!$D$1:$O$258,11,FALSE))))</f>
        <v/>
      </c>
      <c r="M125" s="520" t="str">
        <f>IF(E125="","",IF(ISNA(VLOOKUP($E125,'A-1 Site Habitat Baseline'!$D$1:$O$258,12,FALSE)),"",(VLOOKUP($E125,'A-1 Site Habitat Baseline'!$D$1:$O$258,12,FALSE))))</f>
        <v/>
      </c>
      <c r="N125" s="532" t="str">
        <f>IF(E125="","",IF(ISNA(VLOOKUP($E125,'A-1 Site Habitat Baseline'!$D$1:$X$258,14,FALSE)),"",(VLOOKUP($E125,'A-1 Site Habitat Baseline'!$D$1:$X$258,14,FALSE))))</f>
        <v/>
      </c>
      <c r="O125" s="524" t="str">
        <f>IF(E125="","",IF(ISNA(VLOOKUP($E125,'A-1 Site Habitat Baseline'!$D$1:$X$258,16,FALSE)),"",(VLOOKUP($E125,'A-1 Site Habitat Baseline'!$D$1:$X$258,13,FALSE))))</f>
        <v/>
      </c>
      <c r="P125" s="237" t="str">
        <f>IFERROR(INDEX('G-1 All Habitats'!$AG$3:$AG$15,MATCH(Q125,'G-1 All Habitats'!$AF$3:$AF$15,0)),"")</f>
        <v/>
      </c>
      <c r="Q125" s="238" t="str">
        <f t="shared" si="15"/>
        <v/>
      </c>
      <c r="R125" s="238" t="str">
        <f t="shared" si="16"/>
        <v/>
      </c>
      <c r="S125" s="392" t="str">
        <f>IFERROR(INDEX('G-1 All Habitats'!$B$3:$B$129,MATCH(R125,'G-1 All Habitats'!$A$3:$A$129,0)),"")</f>
        <v/>
      </c>
      <c r="T125" s="498" t="str">
        <f t="shared" si="17"/>
        <v/>
      </c>
      <c r="U125" s="499" t="str">
        <f t="shared" si="18"/>
        <v/>
      </c>
      <c r="V125" s="537" t="str">
        <f t="shared" si="12"/>
        <v/>
      </c>
      <c r="W125" s="520" t="str">
        <f>IF(S125="","",VLOOKUP(S125,'G-1 All Habitats'!$B$2:$M$129,10,FALSE))</f>
        <v/>
      </c>
      <c r="X125" s="520" t="str">
        <f>IFERROR(VLOOKUP(W125,'G-1 All Habitats'!$V$3:$W$7,2,FALSE),"")</f>
        <v/>
      </c>
      <c r="Y125" s="79"/>
      <c r="Z125" s="524" t="str">
        <f>IFERROR(INDEX('G-8 Condition Look up'!$A$3:$H$130,MATCH(S125,'G-8 Condition Look up'!$A$3:$A$130,0),MATCH(Y125,'G-8 Condition Look up'!$A$3:$H$3,0)),"")</f>
        <v/>
      </c>
      <c r="AA125" s="71"/>
      <c r="AB125" s="520" t="str">
        <f>IF(AA125="","",IF(VLOOKUP(AA125,'G-3 Multipliers'!$L$3:$N$6,2,FALSE)=0,"Spatial Data Missing ⚠",VLOOKUP(AA125,'G-3 Multipliers'!$L$3:$N$6,2,FALSE)))</f>
        <v/>
      </c>
      <c r="AC125" s="524" t="str">
        <f>IF(AA125="","",IF(VLOOKUP(AA125,'G-3 Multipliers'!$L$3:$N$6,3,FALSE)=0,"Spatial Data Missing ⚠",VLOOKUP(AA125,'G-3 Multipliers'!$L$3:$N$6,3,FALSE)))</f>
        <v/>
      </c>
      <c r="AD125" s="539" t="str">
        <f t="shared" si="13"/>
        <v/>
      </c>
      <c r="AE125" s="82"/>
      <c r="AF125" s="82"/>
      <c r="AG125" s="507" t="str">
        <f t="shared" si="19"/>
        <v/>
      </c>
      <c r="AH125" s="521" t="str">
        <f t="shared" si="20"/>
        <v/>
      </c>
      <c r="AI125" s="522" t="str">
        <f>IF(AH125="Check Data","Check Data",IFERROR(VLOOKUP(AH125,'G-4 Temporal multipliers'!$A$4:$C$36,3,FALSE),""))</f>
        <v/>
      </c>
      <c r="AJ125" s="498" t="str">
        <f>IF(S125="","",VLOOKUP(S125,'G-3 Multipliers'!$A$2:$E$129,4,FALSE))</f>
        <v/>
      </c>
      <c r="AK125" s="507" t="str">
        <f t="shared" si="21"/>
        <v/>
      </c>
      <c r="AL125" s="507" t="str">
        <f t="shared" si="22"/>
        <v/>
      </c>
      <c r="AM125" s="540" t="str">
        <f>IFERROR(IF(F125="","",IF(AH125="Check Data ⚠","Check Data ⚠",VLOOKUP(AL125, 'G-3 Multipliers'!$P$2:$Q$6,2,FALSE))),"")</f>
        <v/>
      </c>
      <c r="AN125" s="513" t="str">
        <f t="shared" si="14"/>
        <v/>
      </c>
      <c r="AO125" s="239"/>
      <c r="AP125" s="240"/>
    </row>
    <row r="126" spans="1:42" x14ac:dyDescent="0.25">
      <c r="A126" s="47" t="str">
        <f>IF(E126="","",IF(ISNA(VLOOKUP($E126,'A-1 Site Habitat Baseline'!$D$1:$O$258,2,FALSE)),"",(VLOOKUP($E126,'A-1 Site Habitat Baseline'!$D$1:$O$258,2,FALSE))))</f>
        <v/>
      </c>
      <c r="B126" s="47" t="str">
        <f>IF(E126="","",IF(ISNA(VLOOKUP($E126,'A-1 Site Habitat Baseline'!$D$1:$O$258,3,FALSE)),"",(VLOOKUP($E126,'A-1 Site Habitat Baseline'!$D$1:$O$258,3,FALSE))))</f>
        <v/>
      </c>
      <c r="C126" s="47" t="str">
        <f>IFERROR(INDEX('G-8 Condition Look up'!$I$4:$I$130,MATCH(S126,'G-8 Condition Look up'!$A$4:$A$130,0)),"")</f>
        <v/>
      </c>
      <c r="E126" s="531" t="str">
        <f>'A-1 Site Habitat Baseline'!AL125</f>
        <v/>
      </c>
      <c r="F126" s="520" t="str">
        <f>IF(E126="","",IF(ISNA(VLOOKUP($E126,'A-1 Site Habitat Baseline'!$D$1:$O$258,4,FALSE)),"",(VLOOKUP($E126,'A-1 Site Habitat Baseline'!$D$1:$O$258,4,FALSE))))</f>
        <v/>
      </c>
      <c r="G126" s="520" t="str">
        <f>IF(E126="","",IF(ISNA(VLOOKUP($E126,'A-1 Site Habitat Baseline'!$D$1:$O$258,5,FALSE)),"",(VLOOKUP($E126,'A-1 Site Habitat Baseline'!$D$1:$O$258,5,FALSE))))</f>
        <v/>
      </c>
      <c r="H126" s="520" t="str">
        <f>IF(E126="","",IF(ISNA(VLOOKUP($E126,'A-1 Site Habitat Baseline'!$D$1:$O$258,6,FALSE)),"",(VLOOKUP($E126,'A-1 Site Habitat Baseline'!$D$1:$O$258,6,FALSE))))</f>
        <v/>
      </c>
      <c r="I126" s="520" t="str">
        <f>IF(E126="","",IF(ISNA(VLOOKUP($E126,'A-1 Site Habitat Baseline'!$D$1:$O$258,7,FALSE)),"",(VLOOKUP($E126,'A-1 Site Habitat Baseline'!$D$1:$O$258,7,FALSE))))</f>
        <v/>
      </c>
      <c r="J126" s="520" t="str">
        <f>IF(E126="","",IF(ISNA(VLOOKUP($E126,'A-1 Site Habitat Baseline'!$D$1:$O$258,8,FALSE)),"",(VLOOKUP($E126,'A-1 Site Habitat Baseline'!$D$1:$O$258,8,FALSE))))</f>
        <v/>
      </c>
      <c r="K126" s="520" t="str">
        <f>IF(E126="","",IF(ISNA(VLOOKUP($E126,'A-1 Site Habitat Baseline'!$D$1:$O$258,9,FALSE)),"",(VLOOKUP($E126,'A-1 Site Habitat Baseline'!$D$1:$O$258,9,FALSE))))</f>
        <v/>
      </c>
      <c r="L126" s="520" t="str">
        <f>IF(E126="","",IF(ISNA(VLOOKUP($E126,'A-1 Site Habitat Baseline'!$D$1:$O$258,11,FALSE)),"",(VLOOKUP($E126,'A-1 Site Habitat Baseline'!$D$1:$O$258,11,FALSE))))</f>
        <v/>
      </c>
      <c r="M126" s="520" t="str">
        <f>IF(E126="","",IF(ISNA(VLOOKUP($E126,'A-1 Site Habitat Baseline'!$D$1:$O$258,12,FALSE)),"",(VLOOKUP($E126,'A-1 Site Habitat Baseline'!$D$1:$O$258,12,FALSE))))</f>
        <v/>
      </c>
      <c r="N126" s="532" t="str">
        <f>IF(E126="","",IF(ISNA(VLOOKUP($E126,'A-1 Site Habitat Baseline'!$D$1:$X$258,14,FALSE)),"",(VLOOKUP($E126,'A-1 Site Habitat Baseline'!$D$1:$X$258,14,FALSE))))</f>
        <v/>
      </c>
      <c r="O126" s="524" t="str">
        <f>IF(E126="","",IF(ISNA(VLOOKUP($E126,'A-1 Site Habitat Baseline'!$D$1:$X$258,16,FALSE)),"",(VLOOKUP($E126,'A-1 Site Habitat Baseline'!$D$1:$X$258,13,FALSE))))</f>
        <v/>
      </c>
      <c r="P126" s="237" t="str">
        <f>IFERROR(INDEX('G-1 All Habitats'!$AG$3:$AG$15,MATCH(Q126,'G-1 All Habitats'!$AF$3:$AF$15,0)),"")</f>
        <v/>
      </c>
      <c r="Q126" s="238" t="str">
        <f t="shared" si="15"/>
        <v/>
      </c>
      <c r="R126" s="238" t="str">
        <f t="shared" si="16"/>
        <v/>
      </c>
      <c r="S126" s="392" t="str">
        <f>IFERROR(INDEX('G-1 All Habitats'!$B$3:$B$129,MATCH(R126,'G-1 All Habitats'!$A$3:$A$129,0)),"")</f>
        <v/>
      </c>
      <c r="T126" s="498" t="str">
        <f t="shared" si="17"/>
        <v/>
      </c>
      <c r="U126" s="499" t="str">
        <f t="shared" si="18"/>
        <v/>
      </c>
      <c r="V126" s="537" t="str">
        <f t="shared" si="12"/>
        <v/>
      </c>
      <c r="W126" s="520" t="str">
        <f>IF(S126="","",VLOOKUP(S126,'G-1 All Habitats'!$B$2:$M$129,10,FALSE))</f>
        <v/>
      </c>
      <c r="X126" s="520" t="str">
        <f>IFERROR(VLOOKUP(W126,'G-1 All Habitats'!$V$3:$W$7,2,FALSE),"")</f>
        <v/>
      </c>
      <c r="Y126" s="79"/>
      <c r="Z126" s="524" t="str">
        <f>IFERROR(INDEX('G-8 Condition Look up'!$A$3:$H$130,MATCH(S126,'G-8 Condition Look up'!$A$3:$A$130,0),MATCH(Y126,'G-8 Condition Look up'!$A$3:$H$3,0)),"")</f>
        <v/>
      </c>
      <c r="AA126" s="71"/>
      <c r="AB126" s="520" t="str">
        <f>IF(AA126="","",IF(VLOOKUP(AA126,'G-3 Multipliers'!$L$3:$N$6,2,FALSE)=0,"Spatial Data Missing ⚠",VLOOKUP(AA126,'G-3 Multipliers'!$L$3:$N$6,2,FALSE)))</f>
        <v/>
      </c>
      <c r="AC126" s="524" t="str">
        <f>IF(AA126="","",IF(VLOOKUP(AA126,'G-3 Multipliers'!$L$3:$N$6,3,FALSE)=0,"Spatial Data Missing ⚠",VLOOKUP(AA126,'G-3 Multipliers'!$L$3:$N$6,3,FALSE)))</f>
        <v/>
      </c>
      <c r="AD126" s="539" t="str">
        <f t="shared" si="13"/>
        <v/>
      </c>
      <c r="AE126" s="82"/>
      <c r="AF126" s="82"/>
      <c r="AG126" s="507" t="str">
        <f t="shared" si="19"/>
        <v/>
      </c>
      <c r="AH126" s="521" t="str">
        <f t="shared" si="20"/>
        <v/>
      </c>
      <c r="AI126" s="522" t="str">
        <f>IF(AH126="Check Data","Check Data",IFERROR(VLOOKUP(AH126,'G-4 Temporal multipliers'!$A$4:$C$36,3,FALSE),""))</f>
        <v/>
      </c>
      <c r="AJ126" s="498" t="str">
        <f>IF(S126="","",VLOOKUP(S126,'G-3 Multipliers'!$A$2:$E$129,4,FALSE))</f>
        <v/>
      </c>
      <c r="AK126" s="507" t="str">
        <f t="shared" si="21"/>
        <v/>
      </c>
      <c r="AL126" s="507" t="str">
        <f t="shared" si="22"/>
        <v/>
      </c>
      <c r="AM126" s="540" t="str">
        <f>IFERROR(IF(F126="","",IF(AH126="Check Data ⚠","Check Data ⚠",VLOOKUP(AL126, 'G-3 Multipliers'!$P$2:$Q$6,2,FALSE))),"")</f>
        <v/>
      </c>
      <c r="AN126" s="513" t="str">
        <f t="shared" si="14"/>
        <v/>
      </c>
      <c r="AO126" s="239"/>
      <c r="AP126" s="240"/>
    </row>
    <row r="127" spans="1:42" x14ac:dyDescent="0.25">
      <c r="A127" s="47" t="str">
        <f>IF(E127="","",IF(ISNA(VLOOKUP($E127,'A-1 Site Habitat Baseline'!$D$1:$O$258,2,FALSE)),"",(VLOOKUP($E127,'A-1 Site Habitat Baseline'!$D$1:$O$258,2,FALSE))))</f>
        <v/>
      </c>
      <c r="B127" s="47" t="str">
        <f>IF(E127="","",IF(ISNA(VLOOKUP($E127,'A-1 Site Habitat Baseline'!$D$1:$O$258,3,FALSE)),"",(VLOOKUP($E127,'A-1 Site Habitat Baseline'!$D$1:$O$258,3,FALSE))))</f>
        <v/>
      </c>
      <c r="C127" s="47" t="str">
        <f>IFERROR(INDEX('G-8 Condition Look up'!$I$4:$I$130,MATCH(S127,'G-8 Condition Look up'!$A$4:$A$130,0)),"")</f>
        <v/>
      </c>
      <c r="E127" s="531" t="str">
        <f>'A-1 Site Habitat Baseline'!AL126</f>
        <v/>
      </c>
      <c r="F127" s="520" t="str">
        <f>IF(E127="","",IF(ISNA(VLOOKUP($E127,'A-1 Site Habitat Baseline'!$D$1:$O$258,4,FALSE)),"",(VLOOKUP($E127,'A-1 Site Habitat Baseline'!$D$1:$O$258,4,FALSE))))</f>
        <v/>
      </c>
      <c r="G127" s="520" t="str">
        <f>IF(E127="","",IF(ISNA(VLOOKUP($E127,'A-1 Site Habitat Baseline'!$D$1:$O$258,5,FALSE)),"",(VLOOKUP($E127,'A-1 Site Habitat Baseline'!$D$1:$O$258,5,FALSE))))</f>
        <v/>
      </c>
      <c r="H127" s="520" t="str">
        <f>IF(E127="","",IF(ISNA(VLOOKUP($E127,'A-1 Site Habitat Baseline'!$D$1:$O$258,6,FALSE)),"",(VLOOKUP($E127,'A-1 Site Habitat Baseline'!$D$1:$O$258,6,FALSE))))</f>
        <v/>
      </c>
      <c r="I127" s="520" t="str">
        <f>IF(E127="","",IF(ISNA(VLOOKUP($E127,'A-1 Site Habitat Baseline'!$D$1:$O$258,7,FALSE)),"",(VLOOKUP($E127,'A-1 Site Habitat Baseline'!$D$1:$O$258,7,FALSE))))</f>
        <v/>
      </c>
      <c r="J127" s="520" t="str">
        <f>IF(E127="","",IF(ISNA(VLOOKUP($E127,'A-1 Site Habitat Baseline'!$D$1:$O$258,8,FALSE)),"",(VLOOKUP($E127,'A-1 Site Habitat Baseline'!$D$1:$O$258,8,FALSE))))</f>
        <v/>
      </c>
      <c r="K127" s="520" t="str">
        <f>IF(E127="","",IF(ISNA(VLOOKUP($E127,'A-1 Site Habitat Baseline'!$D$1:$O$258,9,FALSE)),"",(VLOOKUP($E127,'A-1 Site Habitat Baseline'!$D$1:$O$258,9,FALSE))))</f>
        <v/>
      </c>
      <c r="L127" s="520" t="str">
        <f>IF(E127="","",IF(ISNA(VLOOKUP($E127,'A-1 Site Habitat Baseline'!$D$1:$O$258,11,FALSE)),"",(VLOOKUP($E127,'A-1 Site Habitat Baseline'!$D$1:$O$258,11,FALSE))))</f>
        <v/>
      </c>
      <c r="M127" s="520" t="str">
        <f>IF(E127="","",IF(ISNA(VLOOKUP($E127,'A-1 Site Habitat Baseline'!$D$1:$O$258,12,FALSE)),"",(VLOOKUP($E127,'A-1 Site Habitat Baseline'!$D$1:$O$258,12,FALSE))))</f>
        <v/>
      </c>
      <c r="N127" s="532" t="str">
        <f>IF(E127="","",IF(ISNA(VLOOKUP($E127,'A-1 Site Habitat Baseline'!$D$1:$X$258,14,FALSE)),"",(VLOOKUP($E127,'A-1 Site Habitat Baseline'!$D$1:$X$258,14,FALSE))))</f>
        <v/>
      </c>
      <c r="O127" s="524" t="str">
        <f>IF(E127="","",IF(ISNA(VLOOKUP($E127,'A-1 Site Habitat Baseline'!$D$1:$X$258,16,FALSE)),"",(VLOOKUP($E127,'A-1 Site Habitat Baseline'!$D$1:$X$258,13,FALSE))))</f>
        <v/>
      </c>
      <c r="P127" s="237" t="str">
        <f>IFERROR(INDEX('G-1 All Habitats'!$AG$3:$AG$15,MATCH(Q127,'G-1 All Habitats'!$AF$3:$AF$15,0)),"")</f>
        <v/>
      </c>
      <c r="Q127" s="238" t="str">
        <f t="shared" si="15"/>
        <v/>
      </c>
      <c r="R127" s="238" t="str">
        <f t="shared" si="16"/>
        <v/>
      </c>
      <c r="S127" s="392" t="str">
        <f>IFERROR(INDEX('G-1 All Habitats'!$B$3:$B$129,MATCH(R127,'G-1 All Habitats'!$A$3:$A$129,0)),"")</f>
        <v/>
      </c>
      <c r="T127" s="498" t="str">
        <f t="shared" si="17"/>
        <v/>
      </c>
      <c r="U127" s="499" t="str">
        <f t="shared" si="18"/>
        <v/>
      </c>
      <c r="V127" s="537" t="str">
        <f t="shared" si="12"/>
        <v/>
      </c>
      <c r="W127" s="520" t="str">
        <f>IF(S127="","",VLOOKUP(S127,'G-1 All Habitats'!$B$2:$M$129,10,FALSE))</f>
        <v/>
      </c>
      <c r="X127" s="520" t="str">
        <f>IFERROR(VLOOKUP(W127,'G-1 All Habitats'!$V$3:$W$7,2,FALSE),"")</f>
        <v/>
      </c>
      <c r="Y127" s="79"/>
      <c r="Z127" s="524" t="str">
        <f>IFERROR(INDEX('G-8 Condition Look up'!$A$3:$H$130,MATCH(S127,'G-8 Condition Look up'!$A$3:$A$130,0),MATCH(Y127,'G-8 Condition Look up'!$A$3:$H$3,0)),"")</f>
        <v/>
      </c>
      <c r="AA127" s="71"/>
      <c r="AB127" s="520" t="str">
        <f>IF(AA127="","",IF(VLOOKUP(AA127,'G-3 Multipliers'!$L$3:$N$6,2,FALSE)=0,"Spatial Data Missing ⚠",VLOOKUP(AA127,'G-3 Multipliers'!$L$3:$N$6,2,FALSE)))</f>
        <v/>
      </c>
      <c r="AC127" s="524" t="str">
        <f>IF(AA127="","",IF(VLOOKUP(AA127,'G-3 Multipliers'!$L$3:$N$6,3,FALSE)=0,"Spatial Data Missing ⚠",VLOOKUP(AA127,'G-3 Multipliers'!$L$3:$N$6,3,FALSE)))</f>
        <v/>
      </c>
      <c r="AD127" s="539" t="str">
        <f t="shared" si="13"/>
        <v/>
      </c>
      <c r="AE127" s="82"/>
      <c r="AF127" s="82"/>
      <c r="AG127" s="507" t="str">
        <f t="shared" si="19"/>
        <v/>
      </c>
      <c r="AH127" s="521" t="str">
        <f t="shared" si="20"/>
        <v/>
      </c>
      <c r="AI127" s="522" t="str">
        <f>IF(AH127="Check Data","Check Data",IFERROR(VLOOKUP(AH127,'G-4 Temporal multipliers'!$A$4:$C$36,3,FALSE),""))</f>
        <v/>
      </c>
      <c r="AJ127" s="498" t="str">
        <f>IF(S127="","",VLOOKUP(S127,'G-3 Multipliers'!$A$2:$E$129,4,FALSE))</f>
        <v/>
      </c>
      <c r="AK127" s="507" t="str">
        <f t="shared" si="21"/>
        <v/>
      </c>
      <c r="AL127" s="507" t="str">
        <f t="shared" si="22"/>
        <v/>
      </c>
      <c r="AM127" s="540" t="str">
        <f>IFERROR(IF(F127="","",IF(AH127="Check Data ⚠","Check Data ⚠",VLOOKUP(AL127, 'G-3 Multipliers'!$P$2:$Q$6,2,FALSE))),"")</f>
        <v/>
      </c>
      <c r="AN127" s="513" t="str">
        <f t="shared" si="14"/>
        <v/>
      </c>
      <c r="AO127" s="239"/>
      <c r="AP127" s="240"/>
    </row>
    <row r="128" spans="1:42" x14ac:dyDescent="0.25">
      <c r="A128" s="47" t="str">
        <f>IF(E128="","",IF(ISNA(VLOOKUP($E128,'A-1 Site Habitat Baseline'!$D$1:$O$258,2,FALSE)),"",(VLOOKUP($E128,'A-1 Site Habitat Baseline'!$D$1:$O$258,2,FALSE))))</f>
        <v/>
      </c>
      <c r="B128" s="47" t="str">
        <f>IF(E128="","",IF(ISNA(VLOOKUP($E128,'A-1 Site Habitat Baseline'!$D$1:$O$258,3,FALSE)),"",(VLOOKUP($E128,'A-1 Site Habitat Baseline'!$D$1:$O$258,3,FALSE))))</f>
        <v/>
      </c>
      <c r="C128" s="47" t="str">
        <f>IFERROR(INDEX('G-8 Condition Look up'!$I$4:$I$130,MATCH(S128,'G-8 Condition Look up'!$A$4:$A$130,0)),"")</f>
        <v/>
      </c>
      <c r="E128" s="531" t="str">
        <f>'A-1 Site Habitat Baseline'!AL127</f>
        <v/>
      </c>
      <c r="F128" s="520" t="str">
        <f>IF(E128="","",IF(ISNA(VLOOKUP($E128,'A-1 Site Habitat Baseline'!$D$1:$O$258,4,FALSE)),"",(VLOOKUP($E128,'A-1 Site Habitat Baseline'!$D$1:$O$258,4,FALSE))))</f>
        <v/>
      </c>
      <c r="G128" s="520" t="str">
        <f>IF(E128="","",IF(ISNA(VLOOKUP($E128,'A-1 Site Habitat Baseline'!$D$1:$O$258,5,FALSE)),"",(VLOOKUP($E128,'A-1 Site Habitat Baseline'!$D$1:$O$258,5,FALSE))))</f>
        <v/>
      </c>
      <c r="H128" s="520" t="str">
        <f>IF(E128="","",IF(ISNA(VLOOKUP($E128,'A-1 Site Habitat Baseline'!$D$1:$O$258,6,FALSE)),"",(VLOOKUP($E128,'A-1 Site Habitat Baseline'!$D$1:$O$258,6,FALSE))))</f>
        <v/>
      </c>
      <c r="I128" s="520" t="str">
        <f>IF(E128="","",IF(ISNA(VLOOKUP($E128,'A-1 Site Habitat Baseline'!$D$1:$O$258,7,FALSE)),"",(VLOOKUP($E128,'A-1 Site Habitat Baseline'!$D$1:$O$258,7,FALSE))))</f>
        <v/>
      </c>
      <c r="J128" s="520" t="str">
        <f>IF(E128="","",IF(ISNA(VLOOKUP($E128,'A-1 Site Habitat Baseline'!$D$1:$O$258,8,FALSE)),"",(VLOOKUP($E128,'A-1 Site Habitat Baseline'!$D$1:$O$258,8,FALSE))))</f>
        <v/>
      </c>
      <c r="K128" s="520" t="str">
        <f>IF(E128="","",IF(ISNA(VLOOKUP($E128,'A-1 Site Habitat Baseline'!$D$1:$O$258,9,FALSE)),"",(VLOOKUP($E128,'A-1 Site Habitat Baseline'!$D$1:$O$258,9,FALSE))))</f>
        <v/>
      </c>
      <c r="L128" s="520" t="str">
        <f>IF(E128="","",IF(ISNA(VLOOKUP($E128,'A-1 Site Habitat Baseline'!$D$1:$O$258,11,FALSE)),"",(VLOOKUP($E128,'A-1 Site Habitat Baseline'!$D$1:$O$258,11,FALSE))))</f>
        <v/>
      </c>
      <c r="M128" s="520" t="str">
        <f>IF(E128="","",IF(ISNA(VLOOKUP($E128,'A-1 Site Habitat Baseline'!$D$1:$O$258,12,FALSE)),"",(VLOOKUP($E128,'A-1 Site Habitat Baseline'!$D$1:$O$258,12,FALSE))))</f>
        <v/>
      </c>
      <c r="N128" s="532" t="str">
        <f>IF(E128="","",IF(ISNA(VLOOKUP($E128,'A-1 Site Habitat Baseline'!$D$1:$X$258,14,FALSE)),"",(VLOOKUP($E128,'A-1 Site Habitat Baseline'!$D$1:$X$258,14,FALSE))))</f>
        <v/>
      </c>
      <c r="O128" s="524" t="str">
        <f>IF(E128="","",IF(ISNA(VLOOKUP($E128,'A-1 Site Habitat Baseline'!$D$1:$X$258,16,FALSE)),"",(VLOOKUP($E128,'A-1 Site Habitat Baseline'!$D$1:$X$258,13,FALSE))))</f>
        <v/>
      </c>
      <c r="P128" s="237" t="str">
        <f>IFERROR(INDEX('G-1 All Habitats'!$AG$3:$AG$15,MATCH(Q128,'G-1 All Habitats'!$AF$3:$AF$15,0)),"")</f>
        <v/>
      </c>
      <c r="Q128" s="238" t="str">
        <f t="shared" si="15"/>
        <v/>
      </c>
      <c r="R128" s="238" t="str">
        <f t="shared" si="16"/>
        <v/>
      </c>
      <c r="S128" s="392" t="str">
        <f>IFERROR(INDEX('G-1 All Habitats'!$B$3:$B$129,MATCH(R128,'G-1 All Habitats'!$A$3:$A$129,0)),"")</f>
        <v/>
      </c>
      <c r="T128" s="498" t="str">
        <f t="shared" si="17"/>
        <v/>
      </c>
      <c r="U128" s="499" t="str">
        <f t="shared" si="18"/>
        <v/>
      </c>
      <c r="V128" s="537" t="str">
        <f t="shared" si="12"/>
        <v/>
      </c>
      <c r="W128" s="520" t="str">
        <f>IF(S128="","",VLOOKUP(S128,'G-1 All Habitats'!$B$2:$M$129,10,FALSE))</f>
        <v/>
      </c>
      <c r="X128" s="520" t="str">
        <f>IFERROR(VLOOKUP(W128,'G-1 All Habitats'!$V$3:$W$7,2,FALSE),"")</f>
        <v/>
      </c>
      <c r="Y128" s="79"/>
      <c r="Z128" s="524" t="str">
        <f>IFERROR(INDEX('G-8 Condition Look up'!$A$3:$H$130,MATCH(S128,'G-8 Condition Look up'!$A$3:$A$130,0),MATCH(Y128,'G-8 Condition Look up'!$A$3:$H$3,0)),"")</f>
        <v/>
      </c>
      <c r="AA128" s="71"/>
      <c r="AB128" s="520" t="str">
        <f>IF(AA128="","",IF(VLOOKUP(AA128,'G-3 Multipliers'!$L$3:$N$6,2,FALSE)=0,"Spatial Data Missing ⚠",VLOOKUP(AA128,'G-3 Multipliers'!$L$3:$N$6,2,FALSE)))</f>
        <v/>
      </c>
      <c r="AC128" s="524" t="str">
        <f>IF(AA128="","",IF(VLOOKUP(AA128,'G-3 Multipliers'!$L$3:$N$6,3,FALSE)=0,"Spatial Data Missing ⚠",VLOOKUP(AA128,'G-3 Multipliers'!$L$3:$N$6,3,FALSE)))</f>
        <v/>
      </c>
      <c r="AD128" s="539" t="str">
        <f t="shared" si="13"/>
        <v/>
      </c>
      <c r="AE128" s="82"/>
      <c r="AF128" s="82"/>
      <c r="AG128" s="507" t="str">
        <f t="shared" si="19"/>
        <v/>
      </c>
      <c r="AH128" s="521" t="str">
        <f t="shared" si="20"/>
        <v/>
      </c>
      <c r="AI128" s="522" t="str">
        <f>IF(AH128="Check Data","Check Data",IFERROR(VLOOKUP(AH128,'G-4 Temporal multipliers'!$A$4:$C$36,3,FALSE),""))</f>
        <v/>
      </c>
      <c r="AJ128" s="498" t="str">
        <f>IF(S128="","",VLOOKUP(S128,'G-3 Multipliers'!$A$2:$E$129,4,FALSE))</f>
        <v/>
      </c>
      <c r="AK128" s="507" t="str">
        <f t="shared" si="21"/>
        <v/>
      </c>
      <c r="AL128" s="507" t="str">
        <f t="shared" si="22"/>
        <v/>
      </c>
      <c r="AM128" s="540" t="str">
        <f>IFERROR(IF(F128="","",IF(AH128="Check Data ⚠","Check Data ⚠",VLOOKUP(AL128, 'G-3 Multipliers'!$P$2:$Q$6,2,FALSE))),"")</f>
        <v/>
      </c>
      <c r="AN128" s="513" t="str">
        <f t="shared" si="14"/>
        <v/>
      </c>
      <c r="AO128" s="239"/>
      <c r="AP128" s="240"/>
    </row>
    <row r="129" spans="1:42" x14ac:dyDescent="0.25">
      <c r="A129" s="47" t="str">
        <f>IF(E129="","",IF(ISNA(VLOOKUP($E129,'A-1 Site Habitat Baseline'!$D$1:$O$258,2,FALSE)),"",(VLOOKUP($E129,'A-1 Site Habitat Baseline'!$D$1:$O$258,2,FALSE))))</f>
        <v/>
      </c>
      <c r="B129" s="47" t="str">
        <f>IF(E129="","",IF(ISNA(VLOOKUP($E129,'A-1 Site Habitat Baseline'!$D$1:$O$258,3,FALSE)),"",(VLOOKUP($E129,'A-1 Site Habitat Baseline'!$D$1:$O$258,3,FALSE))))</f>
        <v/>
      </c>
      <c r="C129" s="47" t="str">
        <f>IFERROR(INDEX('G-8 Condition Look up'!$I$4:$I$130,MATCH(S129,'G-8 Condition Look up'!$A$4:$A$130,0)),"")</f>
        <v/>
      </c>
      <c r="E129" s="531" t="str">
        <f>'A-1 Site Habitat Baseline'!AL128</f>
        <v/>
      </c>
      <c r="F129" s="520" t="str">
        <f>IF(E129="","",IF(ISNA(VLOOKUP($E129,'A-1 Site Habitat Baseline'!$D$1:$O$258,4,FALSE)),"",(VLOOKUP($E129,'A-1 Site Habitat Baseline'!$D$1:$O$258,4,FALSE))))</f>
        <v/>
      </c>
      <c r="G129" s="520" t="str">
        <f>IF(E129="","",IF(ISNA(VLOOKUP($E129,'A-1 Site Habitat Baseline'!$D$1:$O$258,5,FALSE)),"",(VLOOKUP($E129,'A-1 Site Habitat Baseline'!$D$1:$O$258,5,FALSE))))</f>
        <v/>
      </c>
      <c r="H129" s="520" t="str">
        <f>IF(E129="","",IF(ISNA(VLOOKUP($E129,'A-1 Site Habitat Baseline'!$D$1:$O$258,6,FALSE)),"",(VLOOKUP($E129,'A-1 Site Habitat Baseline'!$D$1:$O$258,6,FALSE))))</f>
        <v/>
      </c>
      <c r="I129" s="520" t="str">
        <f>IF(E129="","",IF(ISNA(VLOOKUP($E129,'A-1 Site Habitat Baseline'!$D$1:$O$258,7,FALSE)),"",(VLOOKUP($E129,'A-1 Site Habitat Baseline'!$D$1:$O$258,7,FALSE))))</f>
        <v/>
      </c>
      <c r="J129" s="520" t="str">
        <f>IF(E129="","",IF(ISNA(VLOOKUP($E129,'A-1 Site Habitat Baseline'!$D$1:$O$258,8,FALSE)),"",(VLOOKUP($E129,'A-1 Site Habitat Baseline'!$D$1:$O$258,8,FALSE))))</f>
        <v/>
      </c>
      <c r="K129" s="520" t="str">
        <f>IF(E129="","",IF(ISNA(VLOOKUP($E129,'A-1 Site Habitat Baseline'!$D$1:$O$258,9,FALSE)),"",(VLOOKUP($E129,'A-1 Site Habitat Baseline'!$D$1:$O$258,9,FALSE))))</f>
        <v/>
      </c>
      <c r="L129" s="520" t="str">
        <f>IF(E129="","",IF(ISNA(VLOOKUP($E129,'A-1 Site Habitat Baseline'!$D$1:$O$258,11,FALSE)),"",(VLOOKUP($E129,'A-1 Site Habitat Baseline'!$D$1:$O$258,11,FALSE))))</f>
        <v/>
      </c>
      <c r="M129" s="520" t="str">
        <f>IF(E129="","",IF(ISNA(VLOOKUP($E129,'A-1 Site Habitat Baseline'!$D$1:$O$258,12,FALSE)),"",(VLOOKUP($E129,'A-1 Site Habitat Baseline'!$D$1:$O$258,12,FALSE))))</f>
        <v/>
      </c>
      <c r="N129" s="532" t="str">
        <f>IF(E129="","",IF(ISNA(VLOOKUP($E129,'A-1 Site Habitat Baseline'!$D$1:$X$258,14,FALSE)),"",(VLOOKUP($E129,'A-1 Site Habitat Baseline'!$D$1:$X$258,14,FALSE))))</f>
        <v/>
      </c>
      <c r="O129" s="524" t="str">
        <f>IF(E129="","",IF(ISNA(VLOOKUP($E129,'A-1 Site Habitat Baseline'!$D$1:$X$258,16,FALSE)),"",(VLOOKUP($E129,'A-1 Site Habitat Baseline'!$D$1:$X$258,13,FALSE))))</f>
        <v/>
      </c>
      <c r="P129" s="237" t="str">
        <f>IFERROR(INDEX('G-1 All Habitats'!$AG$3:$AG$15,MATCH(Q129,'G-1 All Habitats'!$AF$3:$AF$15,0)),"")</f>
        <v/>
      </c>
      <c r="Q129" s="238" t="str">
        <f t="shared" si="15"/>
        <v/>
      </c>
      <c r="R129" s="238" t="str">
        <f t="shared" si="16"/>
        <v/>
      </c>
      <c r="S129" s="392" t="str">
        <f>IFERROR(INDEX('G-1 All Habitats'!$B$3:$B$129,MATCH(R129,'G-1 All Habitats'!$A$3:$A$129,0)),"")</f>
        <v/>
      </c>
      <c r="T129" s="498" t="str">
        <f t="shared" si="17"/>
        <v/>
      </c>
      <c r="U129" s="499" t="str">
        <f t="shared" si="18"/>
        <v/>
      </c>
      <c r="V129" s="537" t="str">
        <f t="shared" si="12"/>
        <v/>
      </c>
      <c r="W129" s="520" t="str">
        <f>IF(S129="","",VLOOKUP(S129,'G-1 All Habitats'!$B$2:$M$129,10,FALSE))</f>
        <v/>
      </c>
      <c r="X129" s="520" t="str">
        <f>IFERROR(VLOOKUP(W129,'G-1 All Habitats'!$V$3:$W$7,2,FALSE),"")</f>
        <v/>
      </c>
      <c r="Y129" s="79"/>
      <c r="Z129" s="524" t="str">
        <f>IFERROR(INDEX('G-8 Condition Look up'!$A$3:$H$130,MATCH(S129,'G-8 Condition Look up'!$A$3:$A$130,0),MATCH(Y129,'G-8 Condition Look up'!$A$3:$H$3,0)),"")</f>
        <v/>
      </c>
      <c r="AA129" s="71"/>
      <c r="AB129" s="520" t="str">
        <f>IF(AA129="","",IF(VLOOKUP(AA129,'G-3 Multipliers'!$L$3:$N$6,2,FALSE)=0,"Spatial Data Missing ⚠",VLOOKUP(AA129,'G-3 Multipliers'!$L$3:$N$6,2,FALSE)))</f>
        <v/>
      </c>
      <c r="AC129" s="524" t="str">
        <f>IF(AA129="","",IF(VLOOKUP(AA129,'G-3 Multipliers'!$L$3:$N$6,3,FALSE)=0,"Spatial Data Missing ⚠",VLOOKUP(AA129,'G-3 Multipliers'!$L$3:$N$6,3,FALSE)))</f>
        <v/>
      </c>
      <c r="AD129" s="539" t="str">
        <f t="shared" si="13"/>
        <v/>
      </c>
      <c r="AE129" s="82"/>
      <c r="AF129" s="82"/>
      <c r="AG129" s="507" t="str">
        <f t="shared" si="19"/>
        <v/>
      </c>
      <c r="AH129" s="521" t="str">
        <f t="shared" si="20"/>
        <v/>
      </c>
      <c r="AI129" s="522" t="str">
        <f>IF(AH129="Check Data","Check Data",IFERROR(VLOOKUP(AH129,'G-4 Temporal multipliers'!$A$4:$C$36,3,FALSE),""))</f>
        <v/>
      </c>
      <c r="AJ129" s="498" t="str">
        <f>IF(S129="","",VLOOKUP(S129,'G-3 Multipliers'!$A$2:$E$129,4,FALSE))</f>
        <v/>
      </c>
      <c r="AK129" s="507" t="str">
        <f t="shared" si="21"/>
        <v/>
      </c>
      <c r="AL129" s="507" t="str">
        <f t="shared" si="22"/>
        <v/>
      </c>
      <c r="AM129" s="540" t="str">
        <f>IFERROR(IF(F129="","",IF(AH129="Check Data ⚠","Check Data ⚠",VLOOKUP(AL129, 'G-3 Multipliers'!$P$2:$Q$6,2,FALSE))),"")</f>
        <v/>
      </c>
      <c r="AN129" s="513" t="str">
        <f t="shared" si="14"/>
        <v/>
      </c>
      <c r="AO129" s="239"/>
      <c r="AP129" s="240"/>
    </row>
    <row r="130" spans="1:42" x14ac:dyDescent="0.25">
      <c r="A130" s="47" t="str">
        <f>IF(E130="","",IF(ISNA(VLOOKUP($E130,'A-1 Site Habitat Baseline'!$D$1:$O$258,2,FALSE)),"",(VLOOKUP($E130,'A-1 Site Habitat Baseline'!$D$1:$O$258,2,FALSE))))</f>
        <v/>
      </c>
      <c r="B130" s="47" t="str">
        <f>IF(E130="","",IF(ISNA(VLOOKUP($E130,'A-1 Site Habitat Baseline'!$D$1:$O$258,3,FALSE)),"",(VLOOKUP($E130,'A-1 Site Habitat Baseline'!$D$1:$O$258,3,FALSE))))</f>
        <v/>
      </c>
      <c r="C130" s="47" t="str">
        <f>IFERROR(INDEX('G-8 Condition Look up'!$I$4:$I$130,MATCH(S130,'G-8 Condition Look up'!$A$4:$A$130,0)),"")</f>
        <v/>
      </c>
      <c r="E130" s="531" t="str">
        <f>'A-1 Site Habitat Baseline'!AL129</f>
        <v/>
      </c>
      <c r="F130" s="520" t="str">
        <f>IF(E130="","",IF(ISNA(VLOOKUP($E130,'A-1 Site Habitat Baseline'!$D$1:$O$258,4,FALSE)),"",(VLOOKUP($E130,'A-1 Site Habitat Baseline'!$D$1:$O$258,4,FALSE))))</f>
        <v/>
      </c>
      <c r="G130" s="520" t="str">
        <f>IF(E130="","",IF(ISNA(VLOOKUP($E130,'A-1 Site Habitat Baseline'!$D$1:$O$258,5,FALSE)),"",(VLOOKUP($E130,'A-1 Site Habitat Baseline'!$D$1:$O$258,5,FALSE))))</f>
        <v/>
      </c>
      <c r="H130" s="520" t="str">
        <f>IF(E130="","",IF(ISNA(VLOOKUP($E130,'A-1 Site Habitat Baseline'!$D$1:$O$258,6,FALSE)),"",(VLOOKUP($E130,'A-1 Site Habitat Baseline'!$D$1:$O$258,6,FALSE))))</f>
        <v/>
      </c>
      <c r="I130" s="520" t="str">
        <f>IF(E130="","",IF(ISNA(VLOOKUP($E130,'A-1 Site Habitat Baseline'!$D$1:$O$258,7,FALSE)),"",(VLOOKUP($E130,'A-1 Site Habitat Baseline'!$D$1:$O$258,7,FALSE))))</f>
        <v/>
      </c>
      <c r="J130" s="520" t="str">
        <f>IF(E130="","",IF(ISNA(VLOOKUP($E130,'A-1 Site Habitat Baseline'!$D$1:$O$258,8,FALSE)),"",(VLOOKUP($E130,'A-1 Site Habitat Baseline'!$D$1:$O$258,8,FALSE))))</f>
        <v/>
      </c>
      <c r="K130" s="520" t="str">
        <f>IF(E130="","",IF(ISNA(VLOOKUP($E130,'A-1 Site Habitat Baseline'!$D$1:$O$258,9,FALSE)),"",(VLOOKUP($E130,'A-1 Site Habitat Baseline'!$D$1:$O$258,9,FALSE))))</f>
        <v/>
      </c>
      <c r="L130" s="520" t="str">
        <f>IF(E130="","",IF(ISNA(VLOOKUP($E130,'A-1 Site Habitat Baseline'!$D$1:$O$258,11,FALSE)),"",(VLOOKUP($E130,'A-1 Site Habitat Baseline'!$D$1:$O$258,11,FALSE))))</f>
        <v/>
      </c>
      <c r="M130" s="520" t="str">
        <f>IF(E130="","",IF(ISNA(VLOOKUP($E130,'A-1 Site Habitat Baseline'!$D$1:$O$258,12,FALSE)),"",(VLOOKUP($E130,'A-1 Site Habitat Baseline'!$D$1:$O$258,12,FALSE))))</f>
        <v/>
      </c>
      <c r="N130" s="532" t="str">
        <f>IF(E130="","",IF(ISNA(VLOOKUP($E130,'A-1 Site Habitat Baseline'!$D$1:$X$258,14,FALSE)),"",(VLOOKUP($E130,'A-1 Site Habitat Baseline'!$D$1:$X$258,14,FALSE))))</f>
        <v/>
      </c>
      <c r="O130" s="524" t="str">
        <f>IF(E130="","",IF(ISNA(VLOOKUP($E130,'A-1 Site Habitat Baseline'!$D$1:$X$258,16,FALSE)),"",(VLOOKUP($E130,'A-1 Site Habitat Baseline'!$D$1:$X$258,13,FALSE))))</f>
        <v/>
      </c>
      <c r="P130" s="237" t="str">
        <f>IFERROR(INDEX('G-1 All Habitats'!$AG$3:$AG$15,MATCH(Q130,'G-1 All Habitats'!$AF$3:$AF$15,0)),"")</f>
        <v/>
      </c>
      <c r="Q130" s="238" t="str">
        <f t="shared" si="15"/>
        <v/>
      </c>
      <c r="R130" s="238" t="str">
        <f t="shared" si="16"/>
        <v/>
      </c>
      <c r="S130" s="392" t="str">
        <f>IFERROR(INDEX('G-1 All Habitats'!$B$3:$B$129,MATCH(R130,'G-1 All Habitats'!$A$3:$A$129,0)),"")</f>
        <v/>
      </c>
      <c r="T130" s="498" t="str">
        <f t="shared" si="17"/>
        <v/>
      </c>
      <c r="U130" s="499" t="str">
        <f t="shared" si="18"/>
        <v/>
      </c>
      <c r="V130" s="537" t="str">
        <f t="shared" si="12"/>
        <v/>
      </c>
      <c r="W130" s="520" t="str">
        <f>IF(S130="","",VLOOKUP(S130,'G-1 All Habitats'!$B$2:$M$129,10,FALSE))</f>
        <v/>
      </c>
      <c r="X130" s="520" t="str">
        <f>IFERROR(VLOOKUP(W130,'G-1 All Habitats'!$V$3:$W$7,2,FALSE),"")</f>
        <v/>
      </c>
      <c r="Y130" s="79"/>
      <c r="Z130" s="524" t="str">
        <f>IFERROR(INDEX('G-8 Condition Look up'!$A$3:$H$130,MATCH(S130,'G-8 Condition Look up'!$A$3:$A$130,0),MATCH(Y130,'G-8 Condition Look up'!$A$3:$H$3,0)),"")</f>
        <v/>
      </c>
      <c r="AA130" s="71"/>
      <c r="AB130" s="520" t="str">
        <f>IF(AA130="","",IF(VLOOKUP(AA130,'G-3 Multipliers'!$L$3:$N$6,2,FALSE)=0,"Spatial Data Missing ⚠",VLOOKUP(AA130,'G-3 Multipliers'!$L$3:$N$6,2,FALSE)))</f>
        <v/>
      </c>
      <c r="AC130" s="524" t="str">
        <f>IF(AA130="","",IF(VLOOKUP(AA130,'G-3 Multipliers'!$L$3:$N$6,3,FALSE)=0,"Spatial Data Missing ⚠",VLOOKUP(AA130,'G-3 Multipliers'!$L$3:$N$6,3,FALSE)))</f>
        <v/>
      </c>
      <c r="AD130" s="539" t="str">
        <f t="shared" si="13"/>
        <v/>
      </c>
      <c r="AE130" s="82"/>
      <c r="AF130" s="82"/>
      <c r="AG130" s="507" t="str">
        <f t="shared" si="19"/>
        <v/>
      </c>
      <c r="AH130" s="521" t="str">
        <f t="shared" si="20"/>
        <v/>
      </c>
      <c r="AI130" s="522" t="str">
        <f>IF(AH130="Check Data","Check Data",IFERROR(VLOOKUP(AH130,'G-4 Temporal multipliers'!$A$4:$C$36,3,FALSE),""))</f>
        <v/>
      </c>
      <c r="AJ130" s="498" t="str">
        <f>IF(S130="","",VLOOKUP(S130,'G-3 Multipliers'!$A$2:$E$129,4,FALSE))</f>
        <v/>
      </c>
      <c r="AK130" s="507" t="str">
        <f t="shared" si="21"/>
        <v/>
      </c>
      <c r="AL130" s="507" t="str">
        <f t="shared" si="22"/>
        <v/>
      </c>
      <c r="AM130" s="540" t="str">
        <f>IFERROR(IF(F130="","",IF(AH130="Check Data ⚠","Check Data ⚠",VLOOKUP(AL130, 'G-3 Multipliers'!$P$2:$Q$6,2,FALSE))),"")</f>
        <v/>
      </c>
      <c r="AN130" s="513" t="str">
        <f t="shared" si="14"/>
        <v/>
      </c>
      <c r="AO130" s="239"/>
      <c r="AP130" s="240"/>
    </row>
    <row r="131" spans="1:42" x14ac:dyDescent="0.25">
      <c r="A131" s="47" t="str">
        <f>IF(E131="","",IF(ISNA(VLOOKUP($E131,'A-1 Site Habitat Baseline'!$D$1:$O$258,2,FALSE)),"",(VLOOKUP($E131,'A-1 Site Habitat Baseline'!$D$1:$O$258,2,FALSE))))</f>
        <v/>
      </c>
      <c r="B131" s="47" t="str">
        <f>IF(E131="","",IF(ISNA(VLOOKUP($E131,'A-1 Site Habitat Baseline'!$D$1:$O$258,3,FALSE)),"",(VLOOKUP($E131,'A-1 Site Habitat Baseline'!$D$1:$O$258,3,FALSE))))</f>
        <v/>
      </c>
      <c r="C131" s="47" t="str">
        <f>IFERROR(INDEX('G-8 Condition Look up'!$I$4:$I$130,MATCH(S131,'G-8 Condition Look up'!$A$4:$A$130,0)),"")</f>
        <v/>
      </c>
      <c r="E131" s="531" t="str">
        <f>'A-1 Site Habitat Baseline'!AL130</f>
        <v/>
      </c>
      <c r="F131" s="520" t="str">
        <f>IF(E131="","",IF(ISNA(VLOOKUP($E131,'A-1 Site Habitat Baseline'!$D$1:$O$258,4,FALSE)),"",(VLOOKUP($E131,'A-1 Site Habitat Baseline'!$D$1:$O$258,4,FALSE))))</f>
        <v/>
      </c>
      <c r="G131" s="520" t="str">
        <f>IF(E131="","",IF(ISNA(VLOOKUP($E131,'A-1 Site Habitat Baseline'!$D$1:$O$258,5,FALSE)),"",(VLOOKUP($E131,'A-1 Site Habitat Baseline'!$D$1:$O$258,5,FALSE))))</f>
        <v/>
      </c>
      <c r="H131" s="520" t="str">
        <f>IF(E131="","",IF(ISNA(VLOOKUP($E131,'A-1 Site Habitat Baseline'!$D$1:$O$258,6,FALSE)),"",(VLOOKUP($E131,'A-1 Site Habitat Baseline'!$D$1:$O$258,6,FALSE))))</f>
        <v/>
      </c>
      <c r="I131" s="520" t="str">
        <f>IF(E131="","",IF(ISNA(VLOOKUP($E131,'A-1 Site Habitat Baseline'!$D$1:$O$258,7,FALSE)),"",(VLOOKUP($E131,'A-1 Site Habitat Baseline'!$D$1:$O$258,7,FALSE))))</f>
        <v/>
      </c>
      <c r="J131" s="520" t="str">
        <f>IF(E131="","",IF(ISNA(VLOOKUP($E131,'A-1 Site Habitat Baseline'!$D$1:$O$258,8,FALSE)),"",(VLOOKUP($E131,'A-1 Site Habitat Baseline'!$D$1:$O$258,8,FALSE))))</f>
        <v/>
      </c>
      <c r="K131" s="520" t="str">
        <f>IF(E131="","",IF(ISNA(VLOOKUP($E131,'A-1 Site Habitat Baseline'!$D$1:$O$258,9,FALSE)),"",(VLOOKUP($E131,'A-1 Site Habitat Baseline'!$D$1:$O$258,9,FALSE))))</f>
        <v/>
      </c>
      <c r="L131" s="520" t="str">
        <f>IF(E131="","",IF(ISNA(VLOOKUP($E131,'A-1 Site Habitat Baseline'!$D$1:$O$258,11,FALSE)),"",(VLOOKUP($E131,'A-1 Site Habitat Baseline'!$D$1:$O$258,11,FALSE))))</f>
        <v/>
      </c>
      <c r="M131" s="520" t="str">
        <f>IF(E131="","",IF(ISNA(VLOOKUP($E131,'A-1 Site Habitat Baseline'!$D$1:$O$258,12,FALSE)),"",(VLOOKUP($E131,'A-1 Site Habitat Baseline'!$D$1:$O$258,12,FALSE))))</f>
        <v/>
      </c>
      <c r="N131" s="532" t="str">
        <f>IF(E131="","",IF(ISNA(VLOOKUP($E131,'A-1 Site Habitat Baseline'!$D$1:$X$258,14,FALSE)),"",(VLOOKUP($E131,'A-1 Site Habitat Baseline'!$D$1:$X$258,14,FALSE))))</f>
        <v/>
      </c>
      <c r="O131" s="524" t="str">
        <f>IF(E131="","",IF(ISNA(VLOOKUP($E131,'A-1 Site Habitat Baseline'!$D$1:$X$258,16,FALSE)),"",(VLOOKUP($E131,'A-1 Site Habitat Baseline'!$D$1:$X$258,13,FALSE))))</f>
        <v/>
      </c>
      <c r="P131" s="237" t="str">
        <f>IFERROR(INDEX('G-1 All Habitats'!$AG$3:$AG$15,MATCH(Q131,'G-1 All Habitats'!$AF$3:$AF$15,0)),"")</f>
        <v/>
      </c>
      <c r="Q131" s="238" t="str">
        <f t="shared" si="15"/>
        <v/>
      </c>
      <c r="R131" s="238" t="str">
        <f t="shared" si="16"/>
        <v/>
      </c>
      <c r="S131" s="392" t="str">
        <f>IFERROR(INDEX('G-1 All Habitats'!$B$3:$B$129,MATCH(R131,'G-1 All Habitats'!$A$3:$A$129,0)),"")</f>
        <v/>
      </c>
      <c r="T131" s="498" t="str">
        <f t="shared" si="17"/>
        <v/>
      </c>
      <c r="U131" s="499" t="str">
        <f t="shared" si="18"/>
        <v/>
      </c>
      <c r="V131" s="537" t="str">
        <f t="shared" si="12"/>
        <v/>
      </c>
      <c r="W131" s="520" t="str">
        <f>IF(S131="","",VLOOKUP(S131,'G-1 All Habitats'!$B$2:$M$129,10,FALSE))</f>
        <v/>
      </c>
      <c r="X131" s="520" t="str">
        <f>IFERROR(VLOOKUP(W131,'G-1 All Habitats'!$V$3:$W$7,2,FALSE),"")</f>
        <v/>
      </c>
      <c r="Y131" s="79"/>
      <c r="Z131" s="524" t="str">
        <f>IFERROR(INDEX('G-8 Condition Look up'!$A$3:$H$130,MATCH(S131,'G-8 Condition Look up'!$A$3:$A$130,0),MATCH(Y131,'G-8 Condition Look up'!$A$3:$H$3,0)),"")</f>
        <v/>
      </c>
      <c r="AA131" s="71"/>
      <c r="AB131" s="520" t="str">
        <f>IF(AA131="","",IF(VLOOKUP(AA131,'G-3 Multipliers'!$L$3:$N$6,2,FALSE)=0,"Spatial Data Missing ⚠",VLOOKUP(AA131,'G-3 Multipliers'!$L$3:$N$6,2,FALSE)))</f>
        <v/>
      </c>
      <c r="AC131" s="524" t="str">
        <f>IF(AA131="","",IF(VLOOKUP(AA131,'G-3 Multipliers'!$L$3:$N$6,3,FALSE)=0,"Spatial Data Missing ⚠",VLOOKUP(AA131,'G-3 Multipliers'!$L$3:$N$6,3,FALSE)))</f>
        <v/>
      </c>
      <c r="AD131" s="539" t="str">
        <f t="shared" si="13"/>
        <v/>
      </c>
      <c r="AE131" s="82"/>
      <c r="AF131" s="82"/>
      <c r="AG131" s="507" t="str">
        <f t="shared" si="19"/>
        <v/>
      </c>
      <c r="AH131" s="521" t="str">
        <f t="shared" si="20"/>
        <v/>
      </c>
      <c r="AI131" s="522" t="str">
        <f>IF(AH131="Check Data","Check Data",IFERROR(VLOOKUP(AH131,'G-4 Temporal multipliers'!$A$4:$C$36,3,FALSE),""))</f>
        <v/>
      </c>
      <c r="AJ131" s="498" t="str">
        <f>IF(S131="","",VLOOKUP(S131,'G-3 Multipliers'!$A$2:$E$129,4,FALSE))</f>
        <v/>
      </c>
      <c r="AK131" s="507" t="str">
        <f t="shared" si="21"/>
        <v/>
      </c>
      <c r="AL131" s="507" t="str">
        <f t="shared" si="22"/>
        <v/>
      </c>
      <c r="AM131" s="540" t="str">
        <f>IFERROR(IF(F131="","",IF(AH131="Check Data ⚠","Check Data ⚠",VLOOKUP(AL131, 'G-3 Multipliers'!$P$2:$Q$6,2,FALSE))),"")</f>
        <v/>
      </c>
      <c r="AN131" s="513" t="str">
        <f t="shared" si="14"/>
        <v/>
      </c>
      <c r="AO131" s="239"/>
      <c r="AP131" s="240"/>
    </row>
    <row r="132" spans="1:42" x14ac:dyDescent="0.25">
      <c r="A132" s="47" t="str">
        <f>IF(E132="","",IF(ISNA(VLOOKUP($E132,'A-1 Site Habitat Baseline'!$D$1:$O$258,2,FALSE)),"",(VLOOKUP($E132,'A-1 Site Habitat Baseline'!$D$1:$O$258,2,FALSE))))</f>
        <v/>
      </c>
      <c r="B132" s="47" t="str">
        <f>IF(E132="","",IF(ISNA(VLOOKUP($E132,'A-1 Site Habitat Baseline'!$D$1:$O$258,3,FALSE)),"",(VLOOKUP($E132,'A-1 Site Habitat Baseline'!$D$1:$O$258,3,FALSE))))</f>
        <v/>
      </c>
      <c r="C132" s="47" t="str">
        <f>IFERROR(INDEX('G-8 Condition Look up'!$I$4:$I$130,MATCH(S132,'G-8 Condition Look up'!$A$4:$A$130,0)),"")</f>
        <v/>
      </c>
      <c r="E132" s="531" t="str">
        <f>'A-1 Site Habitat Baseline'!AL131</f>
        <v/>
      </c>
      <c r="F132" s="520" t="str">
        <f>IF(E132="","",IF(ISNA(VLOOKUP($E132,'A-1 Site Habitat Baseline'!$D$1:$O$258,4,FALSE)),"",(VLOOKUP($E132,'A-1 Site Habitat Baseline'!$D$1:$O$258,4,FALSE))))</f>
        <v/>
      </c>
      <c r="G132" s="520" t="str">
        <f>IF(E132="","",IF(ISNA(VLOOKUP($E132,'A-1 Site Habitat Baseline'!$D$1:$O$258,5,FALSE)),"",(VLOOKUP($E132,'A-1 Site Habitat Baseline'!$D$1:$O$258,5,FALSE))))</f>
        <v/>
      </c>
      <c r="H132" s="520" t="str">
        <f>IF(E132="","",IF(ISNA(VLOOKUP($E132,'A-1 Site Habitat Baseline'!$D$1:$O$258,6,FALSE)),"",(VLOOKUP($E132,'A-1 Site Habitat Baseline'!$D$1:$O$258,6,FALSE))))</f>
        <v/>
      </c>
      <c r="I132" s="520" t="str">
        <f>IF(E132="","",IF(ISNA(VLOOKUP($E132,'A-1 Site Habitat Baseline'!$D$1:$O$258,7,FALSE)),"",(VLOOKUP($E132,'A-1 Site Habitat Baseline'!$D$1:$O$258,7,FALSE))))</f>
        <v/>
      </c>
      <c r="J132" s="520" t="str">
        <f>IF(E132="","",IF(ISNA(VLOOKUP($E132,'A-1 Site Habitat Baseline'!$D$1:$O$258,8,FALSE)),"",(VLOOKUP($E132,'A-1 Site Habitat Baseline'!$D$1:$O$258,8,FALSE))))</f>
        <v/>
      </c>
      <c r="K132" s="520" t="str">
        <f>IF(E132="","",IF(ISNA(VLOOKUP($E132,'A-1 Site Habitat Baseline'!$D$1:$O$258,9,FALSE)),"",(VLOOKUP($E132,'A-1 Site Habitat Baseline'!$D$1:$O$258,9,FALSE))))</f>
        <v/>
      </c>
      <c r="L132" s="520" t="str">
        <f>IF(E132="","",IF(ISNA(VLOOKUP($E132,'A-1 Site Habitat Baseline'!$D$1:$O$258,11,FALSE)),"",(VLOOKUP($E132,'A-1 Site Habitat Baseline'!$D$1:$O$258,11,FALSE))))</f>
        <v/>
      </c>
      <c r="M132" s="520" t="str">
        <f>IF(E132="","",IF(ISNA(VLOOKUP($E132,'A-1 Site Habitat Baseline'!$D$1:$O$258,12,FALSE)),"",(VLOOKUP($E132,'A-1 Site Habitat Baseline'!$D$1:$O$258,12,FALSE))))</f>
        <v/>
      </c>
      <c r="N132" s="532" t="str">
        <f>IF(E132="","",IF(ISNA(VLOOKUP($E132,'A-1 Site Habitat Baseline'!$D$1:$X$258,14,FALSE)),"",(VLOOKUP($E132,'A-1 Site Habitat Baseline'!$D$1:$X$258,14,FALSE))))</f>
        <v/>
      </c>
      <c r="O132" s="524" t="str">
        <f>IF(E132="","",IF(ISNA(VLOOKUP($E132,'A-1 Site Habitat Baseline'!$D$1:$X$258,16,FALSE)),"",(VLOOKUP($E132,'A-1 Site Habitat Baseline'!$D$1:$X$258,13,FALSE))))</f>
        <v/>
      </c>
      <c r="P132" s="237" t="str">
        <f>IFERROR(INDEX('G-1 All Habitats'!$AG$3:$AG$15,MATCH(Q132,'G-1 All Habitats'!$AF$3:$AF$15,0)),"")</f>
        <v/>
      </c>
      <c r="Q132" s="238" t="str">
        <f t="shared" si="15"/>
        <v/>
      </c>
      <c r="R132" s="238" t="str">
        <f t="shared" si="16"/>
        <v/>
      </c>
      <c r="S132" s="392" t="str">
        <f>IFERROR(INDEX('G-1 All Habitats'!$B$3:$B$129,MATCH(R132,'G-1 All Habitats'!$A$3:$A$129,0)),"")</f>
        <v/>
      </c>
      <c r="T132" s="498" t="str">
        <f t="shared" si="17"/>
        <v/>
      </c>
      <c r="U132" s="499" t="str">
        <f t="shared" si="18"/>
        <v/>
      </c>
      <c r="V132" s="537" t="str">
        <f t="shared" si="12"/>
        <v/>
      </c>
      <c r="W132" s="520" t="str">
        <f>IF(S132="","",VLOOKUP(S132,'G-1 All Habitats'!$B$2:$M$129,10,FALSE))</f>
        <v/>
      </c>
      <c r="X132" s="520" t="str">
        <f>IFERROR(VLOOKUP(W132,'G-1 All Habitats'!$V$3:$W$7,2,FALSE),"")</f>
        <v/>
      </c>
      <c r="Y132" s="79"/>
      <c r="Z132" s="524" t="str">
        <f>IFERROR(INDEX('G-8 Condition Look up'!$A$3:$H$130,MATCH(S132,'G-8 Condition Look up'!$A$3:$A$130,0),MATCH(Y132,'G-8 Condition Look up'!$A$3:$H$3,0)),"")</f>
        <v/>
      </c>
      <c r="AA132" s="71"/>
      <c r="AB132" s="520" t="str">
        <f>IF(AA132="","",IF(VLOOKUP(AA132,'G-3 Multipliers'!$L$3:$N$6,2,FALSE)=0,"Spatial Data Missing ⚠",VLOOKUP(AA132,'G-3 Multipliers'!$L$3:$N$6,2,FALSE)))</f>
        <v/>
      </c>
      <c r="AC132" s="524" t="str">
        <f>IF(AA132="","",IF(VLOOKUP(AA132,'G-3 Multipliers'!$L$3:$N$6,3,FALSE)=0,"Spatial Data Missing ⚠",VLOOKUP(AA132,'G-3 Multipliers'!$L$3:$N$6,3,FALSE)))</f>
        <v/>
      </c>
      <c r="AD132" s="539" t="str">
        <f t="shared" si="13"/>
        <v/>
      </c>
      <c r="AE132" s="82"/>
      <c r="AF132" s="82"/>
      <c r="AG132" s="507" t="str">
        <f t="shared" si="19"/>
        <v/>
      </c>
      <c r="AH132" s="521" t="str">
        <f t="shared" si="20"/>
        <v/>
      </c>
      <c r="AI132" s="522" t="str">
        <f>IF(AH132="Check Data","Check Data",IFERROR(VLOOKUP(AH132,'G-4 Temporal multipliers'!$A$4:$C$36,3,FALSE),""))</f>
        <v/>
      </c>
      <c r="AJ132" s="498" t="str">
        <f>IF(S132="","",VLOOKUP(S132,'G-3 Multipliers'!$A$2:$E$129,4,FALSE))</f>
        <v/>
      </c>
      <c r="AK132" s="507" t="str">
        <f t="shared" si="21"/>
        <v/>
      </c>
      <c r="AL132" s="507" t="str">
        <f t="shared" si="22"/>
        <v/>
      </c>
      <c r="AM132" s="540" t="str">
        <f>IFERROR(IF(F132="","",IF(AH132="Check Data ⚠","Check Data ⚠",VLOOKUP(AL132, 'G-3 Multipliers'!$P$2:$Q$6,2,FALSE))),"")</f>
        <v/>
      </c>
      <c r="AN132" s="513" t="str">
        <f t="shared" si="14"/>
        <v/>
      </c>
      <c r="AO132" s="239"/>
      <c r="AP132" s="240"/>
    </row>
    <row r="133" spans="1:42" x14ac:dyDescent="0.25">
      <c r="A133" s="47" t="str">
        <f>IF(E133="","",IF(ISNA(VLOOKUP($E133,'A-1 Site Habitat Baseline'!$D$1:$O$258,2,FALSE)),"",(VLOOKUP($E133,'A-1 Site Habitat Baseline'!$D$1:$O$258,2,FALSE))))</f>
        <v/>
      </c>
      <c r="B133" s="47" t="str">
        <f>IF(E133="","",IF(ISNA(VLOOKUP($E133,'A-1 Site Habitat Baseline'!$D$1:$O$258,3,FALSE)),"",(VLOOKUP($E133,'A-1 Site Habitat Baseline'!$D$1:$O$258,3,FALSE))))</f>
        <v/>
      </c>
      <c r="C133" s="47" t="str">
        <f>IFERROR(INDEX('G-8 Condition Look up'!$I$4:$I$130,MATCH(S133,'G-8 Condition Look up'!$A$4:$A$130,0)),"")</f>
        <v/>
      </c>
      <c r="E133" s="531" t="str">
        <f>'A-1 Site Habitat Baseline'!AL132</f>
        <v/>
      </c>
      <c r="F133" s="520" t="str">
        <f>IF(E133="","",IF(ISNA(VLOOKUP($E133,'A-1 Site Habitat Baseline'!$D$1:$O$258,4,FALSE)),"",(VLOOKUP($E133,'A-1 Site Habitat Baseline'!$D$1:$O$258,4,FALSE))))</f>
        <v/>
      </c>
      <c r="G133" s="520" t="str">
        <f>IF(E133="","",IF(ISNA(VLOOKUP($E133,'A-1 Site Habitat Baseline'!$D$1:$O$258,5,FALSE)),"",(VLOOKUP($E133,'A-1 Site Habitat Baseline'!$D$1:$O$258,5,FALSE))))</f>
        <v/>
      </c>
      <c r="H133" s="520" t="str">
        <f>IF(E133="","",IF(ISNA(VLOOKUP($E133,'A-1 Site Habitat Baseline'!$D$1:$O$258,6,FALSE)),"",(VLOOKUP($E133,'A-1 Site Habitat Baseline'!$D$1:$O$258,6,FALSE))))</f>
        <v/>
      </c>
      <c r="I133" s="520" t="str">
        <f>IF(E133="","",IF(ISNA(VLOOKUP($E133,'A-1 Site Habitat Baseline'!$D$1:$O$258,7,FALSE)),"",(VLOOKUP($E133,'A-1 Site Habitat Baseline'!$D$1:$O$258,7,FALSE))))</f>
        <v/>
      </c>
      <c r="J133" s="520" t="str">
        <f>IF(E133="","",IF(ISNA(VLOOKUP($E133,'A-1 Site Habitat Baseline'!$D$1:$O$258,8,FALSE)),"",(VLOOKUP($E133,'A-1 Site Habitat Baseline'!$D$1:$O$258,8,FALSE))))</f>
        <v/>
      </c>
      <c r="K133" s="520" t="str">
        <f>IF(E133="","",IF(ISNA(VLOOKUP($E133,'A-1 Site Habitat Baseline'!$D$1:$O$258,9,FALSE)),"",(VLOOKUP($E133,'A-1 Site Habitat Baseline'!$D$1:$O$258,9,FALSE))))</f>
        <v/>
      </c>
      <c r="L133" s="520" t="str">
        <f>IF(E133="","",IF(ISNA(VLOOKUP($E133,'A-1 Site Habitat Baseline'!$D$1:$O$258,11,FALSE)),"",(VLOOKUP($E133,'A-1 Site Habitat Baseline'!$D$1:$O$258,11,FALSE))))</f>
        <v/>
      </c>
      <c r="M133" s="520" t="str">
        <f>IF(E133="","",IF(ISNA(VLOOKUP($E133,'A-1 Site Habitat Baseline'!$D$1:$O$258,12,FALSE)),"",(VLOOKUP($E133,'A-1 Site Habitat Baseline'!$D$1:$O$258,12,FALSE))))</f>
        <v/>
      </c>
      <c r="N133" s="532" t="str">
        <f>IF(E133="","",IF(ISNA(VLOOKUP($E133,'A-1 Site Habitat Baseline'!$D$1:$X$258,14,FALSE)),"",(VLOOKUP($E133,'A-1 Site Habitat Baseline'!$D$1:$X$258,14,FALSE))))</f>
        <v/>
      </c>
      <c r="O133" s="524" t="str">
        <f>IF(E133="","",IF(ISNA(VLOOKUP($E133,'A-1 Site Habitat Baseline'!$D$1:$X$258,16,FALSE)),"",(VLOOKUP($E133,'A-1 Site Habitat Baseline'!$D$1:$X$258,13,FALSE))))</f>
        <v/>
      </c>
      <c r="P133" s="237" t="str">
        <f>IFERROR(INDEX('G-1 All Habitats'!$AG$3:$AG$15,MATCH(Q133,'G-1 All Habitats'!$AF$3:$AF$15,0)),"")</f>
        <v/>
      </c>
      <c r="Q133" s="238" t="str">
        <f t="shared" si="15"/>
        <v/>
      </c>
      <c r="R133" s="238" t="str">
        <f t="shared" si="16"/>
        <v/>
      </c>
      <c r="S133" s="392" t="str">
        <f>IFERROR(INDEX('G-1 All Habitats'!$B$3:$B$129,MATCH(R133,'G-1 All Habitats'!$A$3:$A$129,0)),"")</f>
        <v/>
      </c>
      <c r="T133" s="498" t="str">
        <f t="shared" si="17"/>
        <v/>
      </c>
      <c r="U133" s="499" t="str">
        <f t="shared" si="18"/>
        <v/>
      </c>
      <c r="V133" s="537" t="str">
        <f t="shared" si="12"/>
        <v/>
      </c>
      <c r="W133" s="520" t="str">
        <f>IF(S133="","",VLOOKUP(S133,'G-1 All Habitats'!$B$2:$M$129,10,FALSE))</f>
        <v/>
      </c>
      <c r="X133" s="520" t="str">
        <f>IFERROR(VLOOKUP(W133,'G-1 All Habitats'!$V$3:$W$7,2,FALSE),"")</f>
        <v/>
      </c>
      <c r="Y133" s="79"/>
      <c r="Z133" s="524" t="str">
        <f>IFERROR(INDEX('G-8 Condition Look up'!$A$3:$H$130,MATCH(S133,'G-8 Condition Look up'!$A$3:$A$130,0),MATCH(Y133,'G-8 Condition Look up'!$A$3:$H$3,0)),"")</f>
        <v/>
      </c>
      <c r="AA133" s="71"/>
      <c r="AB133" s="520" t="str">
        <f>IF(AA133="","",IF(VLOOKUP(AA133,'G-3 Multipliers'!$L$3:$N$6,2,FALSE)=0,"Spatial Data Missing ⚠",VLOOKUP(AA133,'G-3 Multipliers'!$L$3:$N$6,2,FALSE)))</f>
        <v/>
      </c>
      <c r="AC133" s="524" t="str">
        <f>IF(AA133="","",IF(VLOOKUP(AA133,'G-3 Multipliers'!$L$3:$N$6,3,FALSE)=0,"Spatial Data Missing ⚠",VLOOKUP(AA133,'G-3 Multipliers'!$L$3:$N$6,3,FALSE)))</f>
        <v/>
      </c>
      <c r="AD133" s="539" t="str">
        <f t="shared" si="13"/>
        <v/>
      </c>
      <c r="AE133" s="82"/>
      <c r="AF133" s="82"/>
      <c r="AG133" s="507" t="str">
        <f t="shared" si="19"/>
        <v/>
      </c>
      <c r="AH133" s="521" t="str">
        <f t="shared" si="20"/>
        <v/>
      </c>
      <c r="AI133" s="522" t="str">
        <f>IF(AH133="Check Data","Check Data",IFERROR(VLOOKUP(AH133,'G-4 Temporal multipliers'!$A$4:$C$36,3,FALSE),""))</f>
        <v/>
      </c>
      <c r="AJ133" s="498" t="str">
        <f>IF(S133="","",VLOOKUP(S133,'G-3 Multipliers'!$A$2:$E$129,4,FALSE))</f>
        <v/>
      </c>
      <c r="AK133" s="507" t="str">
        <f t="shared" si="21"/>
        <v/>
      </c>
      <c r="AL133" s="507" t="str">
        <f t="shared" si="22"/>
        <v/>
      </c>
      <c r="AM133" s="540" t="str">
        <f>IFERROR(IF(F133="","",IF(AH133="Check Data ⚠","Check Data ⚠",VLOOKUP(AL133, 'G-3 Multipliers'!$P$2:$Q$6,2,FALSE))),"")</f>
        <v/>
      </c>
      <c r="AN133" s="513" t="str">
        <f t="shared" si="14"/>
        <v/>
      </c>
      <c r="AO133" s="239"/>
      <c r="AP133" s="240"/>
    </row>
    <row r="134" spans="1:42" x14ac:dyDescent="0.25">
      <c r="A134" s="47" t="str">
        <f>IF(E134="","",IF(ISNA(VLOOKUP($E134,'A-1 Site Habitat Baseline'!$D$1:$O$258,2,FALSE)),"",(VLOOKUP($E134,'A-1 Site Habitat Baseline'!$D$1:$O$258,2,FALSE))))</f>
        <v/>
      </c>
      <c r="B134" s="47" t="str">
        <f>IF(E134="","",IF(ISNA(VLOOKUP($E134,'A-1 Site Habitat Baseline'!$D$1:$O$258,3,FALSE)),"",(VLOOKUP($E134,'A-1 Site Habitat Baseline'!$D$1:$O$258,3,FALSE))))</f>
        <v/>
      </c>
      <c r="C134" s="47" t="str">
        <f>IFERROR(INDEX('G-8 Condition Look up'!$I$4:$I$130,MATCH(S134,'G-8 Condition Look up'!$A$4:$A$130,0)),"")</f>
        <v/>
      </c>
      <c r="E134" s="531" t="str">
        <f>'A-1 Site Habitat Baseline'!AL133</f>
        <v/>
      </c>
      <c r="F134" s="520" t="str">
        <f>IF(E134="","",IF(ISNA(VLOOKUP($E134,'A-1 Site Habitat Baseline'!$D$1:$O$258,4,FALSE)),"",(VLOOKUP($E134,'A-1 Site Habitat Baseline'!$D$1:$O$258,4,FALSE))))</f>
        <v/>
      </c>
      <c r="G134" s="520" t="str">
        <f>IF(E134="","",IF(ISNA(VLOOKUP($E134,'A-1 Site Habitat Baseline'!$D$1:$O$258,5,FALSE)),"",(VLOOKUP($E134,'A-1 Site Habitat Baseline'!$D$1:$O$258,5,FALSE))))</f>
        <v/>
      </c>
      <c r="H134" s="520" t="str">
        <f>IF(E134="","",IF(ISNA(VLOOKUP($E134,'A-1 Site Habitat Baseline'!$D$1:$O$258,6,FALSE)),"",(VLOOKUP($E134,'A-1 Site Habitat Baseline'!$D$1:$O$258,6,FALSE))))</f>
        <v/>
      </c>
      <c r="I134" s="520" t="str">
        <f>IF(E134="","",IF(ISNA(VLOOKUP($E134,'A-1 Site Habitat Baseline'!$D$1:$O$258,7,FALSE)),"",(VLOOKUP($E134,'A-1 Site Habitat Baseline'!$D$1:$O$258,7,FALSE))))</f>
        <v/>
      </c>
      <c r="J134" s="520" t="str">
        <f>IF(E134="","",IF(ISNA(VLOOKUP($E134,'A-1 Site Habitat Baseline'!$D$1:$O$258,8,FALSE)),"",(VLOOKUP($E134,'A-1 Site Habitat Baseline'!$D$1:$O$258,8,FALSE))))</f>
        <v/>
      </c>
      <c r="K134" s="520" t="str">
        <f>IF(E134="","",IF(ISNA(VLOOKUP($E134,'A-1 Site Habitat Baseline'!$D$1:$O$258,9,FALSE)),"",(VLOOKUP($E134,'A-1 Site Habitat Baseline'!$D$1:$O$258,9,FALSE))))</f>
        <v/>
      </c>
      <c r="L134" s="520" t="str">
        <f>IF(E134="","",IF(ISNA(VLOOKUP($E134,'A-1 Site Habitat Baseline'!$D$1:$O$258,11,FALSE)),"",(VLOOKUP($E134,'A-1 Site Habitat Baseline'!$D$1:$O$258,11,FALSE))))</f>
        <v/>
      </c>
      <c r="M134" s="520" t="str">
        <f>IF(E134="","",IF(ISNA(VLOOKUP($E134,'A-1 Site Habitat Baseline'!$D$1:$O$258,12,FALSE)),"",(VLOOKUP($E134,'A-1 Site Habitat Baseline'!$D$1:$O$258,12,FALSE))))</f>
        <v/>
      </c>
      <c r="N134" s="532" t="str">
        <f>IF(E134="","",IF(ISNA(VLOOKUP($E134,'A-1 Site Habitat Baseline'!$D$1:$X$258,14,FALSE)),"",(VLOOKUP($E134,'A-1 Site Habitat Baseline'!$D$1:$X$258,14,FALSE))))</f>
        <v/>
      </c>
      <c r="O134" s="524" t="str">
        <f>IF(E134="","",IF(ISNA(VLOOKUP($E134,'A-1 Site Habitat Baseline'!$D$1:$X$258,16,FALSE)),"",(VLOOKUP($E134,'A-1 Site Habitat Baseline'!$D$1:$X$258,13,FALSE))))</f>
        <v/>
      </c>
      <c r="P134" s="237" t="str">
        <f>IFERROR(INDEX('G-1 All Habitats'!$AG$3:$AG$15,MATCH(Q134,'G-1 All Habitats'!$AF$3:$AF$15,0)),"")</f>
        <v/>
      </c>
      <c r="Q134" s="238" t="str">
        <f t="shared" si="15"/>
        <v/>
      </c>
      <c r="R134" s="238" t="str">
        <f t="shared" si="16"/>
        <v/>
      </c>
      <c r="S134" s="392" t="str">
        <f>IFERROR(INDEX('G-1 All Habitats'!$B$3:$B$129,MATCH(R134,'G-1 All Habitats'!$A$3:$A$129,0)),"")</f>
        <v/>
      </c>
      <c r="T134" s="498" t="str">
        <f t="shared" si="17"/>
        <v/>
      </c>
      <c r="U134" s="499" t="str">
        <f t="shared" si="18"/>
        <v/>
      </c>
      <c r="V134" s="537" t="str">
        <f t="shared" si="12"/>
        <v/>
      </c>
      <c r="W134" s="520" t="str">
        <f>IF(S134="","",VLOOKUP(S134,'G-1 All Habitats'!$B$2:$M$129,10,FALSE))</f>
        <v/>
      </c>
      <c r="X134" s="520" t="str">
        <f>IFERROR(VLOOKUP(W134,'G-1 All Habitats'!$V$3:$W$7,2,FALSE),"")</f>
        <v/>
      </c>
      <c r="Y134" s="79"/>
      <c r="Z134" s="524" t="str">
        <f>IFERROR(INDEX('G-8 Condition Look up'!$A$3:$H$130,MATCH(S134,'G-8 Condition Look up'!$A$3:$A$130,0),MATCH(Y134,'G-8 Condition Look up'!$A$3:$H$3,0)),"")</f>
        <v/>
      </c>
      <c r="AA134" s="71"/>
      <c r="AB134" s="520" t="str">
        <f>IF(AA134="","",IF(VLOOKUP(AA134,'G-3 Multipliers'!$L$3:$N$6,2,FALSE)=0,"Spatial Data Missing ⚠",VLOOKUP(AA134,'G-3 Multipliers'!$L$3:$N$6,2,FALSE)))</f>
        <v/>
      </c>
      <c r="AC134" s="524" t="str">
        <f>IF(AA134="","",IF(VLOOKUP(AA134,'G-3 Multipliers'!$L$3:$N$6,3,FALSE)=0,"Spatial Data Missing ⚠",VLOOKUP(AA134,'G-3 Multipliers'!$L$3:$N$6,3,FALSE)))</f>
        <v/>
      </c>
      <c r="AD134" s="539" t="str">
        <f t="shared" si="13"/>
        <v/>
      </c>
      <c r="AE134" s="82"/>
      <c r="AF134" s="82"/>
      <c r="AG134" s="507" t="str">
        <f t="shared" si="19"/>
        <v/>
      </c>
      <c r="AH134" s="521" t="str">
        <f t="shared" si="20"/>
        <v/>
      </c>
      <c r="AI134" s="522" t="str">
        <f>IF(AH134="Check Data","Check Data",IFERROR(VLOOKUP(AH134,'G-4 Temporal multipliers'!$A$4:$C$36,3,FALSE),""))</f>
        <v/>
      </c>
      <c r="AJ134" s="498" t="str">
        <f>IF(S134="","",VLOOKUP(S134,'G-3 Multipliers'!$A$2:$E$129,4,FALSE))</f>
        <v/>
      </c>
      <c r="AK134" s="507" t="str">
        <f t="shared" si="21"/>
        <v/>
      </c>
      <c r="AL134" s="507" t="str">
        <f t="shared" si="22"/>
        <v/>
      </c>
      <c r="AM134" s="540" t="str">
        <f>IFERROR(IF(F134="","",IF(AH134="Check Data ⚠","Check Data ⚠",VLOOKUP(AL134, 'G-3 Multipliers'!$P$2:$Q$6,2,FALSE))),"")</f>
        <v/>
      </c>
      <c r="AN134" s="513" t="str">
        <f t="shared" si="14"/>
        <v/>
      </c>
      <c r="AO134" s="239"/>
      <c r="AP134" s="240"/>
    </row>
    <row r="135" spans="1:42" x14ac:dyDescent="0.25">
      <c r="A135" s="47" t="str">
        <f>IF(E135="","",IF(ISNA(VLOOKUP($E135,'A-1 Site Habitat Baseline'!$D$1:$O$258,2,FALSE)),"",(VLOOKUP($E135,'A-1 Site Habitat Baseline'!$D$1:$O$258,2,FALSE))))</f>
        <v/>
      </c>
      <c r="B135" s="47" t="str">
        <f>IF(E135="","",IF(ISNA(VLOOKUP($E135,'A-1 Site Habitat Baseline'!$D$1:$O$258,3,FALSE)),"",(VLOOKUP($E135,'A-1 Site Habitat Baseline'!$D$1:$O$258,3,FALSE))))</f>
        <v/>
      </c>
      <c r="C135" s="47" t="str">
        <f>IFERROR(INDEX('G-8 Condition Look up'!$I$4:$I$130,MATCH(S135,'G-8 Condition Look up'!$A$4:$A$130,0)),"")</f>
        <v/>
      </c>
      <c r="E135" s="531" t="str">
        <f>'A-1 Site Habitat Baseline'!AL134</f>
        <v/>
      </c>
      <c r="F135" s="520" t="str">
        <f>IF(E135="","",IF(ISNA(VLOOKUP($E135,'A-1 Site Habitat Baseline'!$D$1:$O$258,4,FALSE)),"",(VLOOKUP($E135,'A-1 Site Habitat Baseline'!$D$1:$O$258,4,FALSE))))</f>
        <v/>
      </c>
      <c r="G135" s="520" t="str">
        <f>IF(E135="","",IF(ISNA(VLOOKUP($E135,'A-1 Site Habitat Baseline'!$D$1:$O$258,5,FALSE)),"",(VLOOKUP($E135,'A-1 Site Habitat Baseline'!$D$1:$O$258,5,FALSE))))</f>
        <v/>
      </c>
      <c r="H135" s="520" t="str">
        <f>IF(E135="","",IF(ISNA(VLOOKUP($E135,'A-1 Site Habitat Baseline'!$D$1:$O$258,6,FALSE)),"",(VLOOKUP($E135,'A-1 Site Habitat Baseline'!$D$1:$O$258,6,FALSE))))</f>
        <v/>
      </c>
      <c r="I135" s="520" t="str">
        <f>IF(E135="","",IF(ISNA(VLOOKUP($E135,'A-1 Site Habitat Baseline'!$D$1:$O$258,7,FALSE)),"",(VLOOKUP($E135,'A-1 Site Habitat Baseline'!$D$1:$O$258,7,FALSE))))</f>
        <v/>
      </c>
      <c r="J135" s="520" t="str">
        <f>IF(E135="","",IF(ISNA(VLOOKUP($E135,'A-1 Site Habitat Baseline'!$D$1:$O$258,8,FALSE)),"",(VLOOKUP($E135,'A-1 Site Habitat Baseline'!$D$1:$O$258,8,FALSE))))</f>
        <v/>
      </c>
      <c r="K135" s="520" t="str">
        <f>IF(E135="","",IF(ISNA(VLOOKUP($E135,'A-1 Site Habitat Baseline'!$D$1:$O$258,9,FALSE)),"",(VLOOKUP($E135,'A-1 Site Habitat Baseline'!$D$1:$O$258,9,FALSE))))</f>
        <v/>
      </c>
      <c r="L135" s="520" t="str">
        <f>IF(E135="","",IF(ISNA(VLOOKUP($E135,'A-1 Site Habitat Baseline'!$D$1:$O$258,11,FALSE)),"",(VLOOKUP($E135,'A-1 Site Habitat Baseline'!$D$1:$O$258,11,FALSE))))</f>
        <v/>
      </c>
      <c r="M135" s="520" t="str">
        <f>IF(E135="","",IF(ISNA(VLOOKUP($E135,'A-1 Site Habitat Baseline'!$D$1:$O$258,12,FALSE)),"",(VLOOKUP($E135,'A-1 Site Habitat Baseline'!$D$1:$O$258,12,FALSE))))</f>
        <v/>
      </c>
      <c r="N135" s="532" t="str">
        <f>IF(E135="","",IF(ISNA(VLOOKUP($E135,'A-1 Site Habitat Baseline'!$D$1:$X$258,14,FALSE)),"",(VLOOKUP($E135,'A-1 Site Habitat Baseline'!$D$1:$X$258,14,FALSE))))</f>
        <v/>
      </c>
      <c r="O135" s="524" t="str">
        <f>IF(E135="","",IF(ISNA(VLOOKUP($E135,'A-1 Site Habitat Baseline'!$D$1:$X$258,16,FALSE)),"",(VLOOKUP($E135,'A-1 Site Habitat Baseline'!$D$1:$X$258,13,FALSE))))</f>
        <v/>
      </c>
      <c r="P135" s="237" t="str">
        <f>IFERROR(INDEX('G-1 All Habitats'!$AG$3:$AG$15,MATCH(Q135,'G-1 All Habitats'!$AF$3:$AF$15,0)),"")</f>
        <v/>
      </c>
      <c r="Q135" s="238" t="str">
        <f t="shared" si="15"/>
        <v/>
      </c>
      <c r="R135" s="238" t="str">
        <f t="shared" si="16"/>
        <v/>
      </c>
      <c r="S135" s="392" t="str">
        <f>IFERROR(INDEX('G-1 All Habitats'!$B$3:$B$129,MATCH(R135,'G-1 All Habitats'!$A$3:$A$129,0)),"")</f>
        <v/>
      </c>
      <c r="T135" s="498" t="str">
        <f t="shared" si="17"/>
        <v/>
      </c>
      <c r="U135" s="499" t="str">
        <f t="shared" si="18"/>
        <v/>
      </c>
      <c r="V135" s="537" t="str">
        <f t="shared" si="12"/>
        <v/>
      </c>
      <c r="W135" s="520" t="str">
        <f>IF(S135="","",VLOOKUP(S135,'G-1 All Habitats'!$B$2:$M$129,10,FALSE))</f>
        <v/>
      </c>
      <c r="X135" s="520" t="str">
        <f>IFERROR(VLOOKUP(W135,'G-1 All Habitats'!$V$3:$W$7,2,FALSE),"")</f>
        <v/>
      </c>
      <c r="Y135" s="79"/>
      <c r="Z135" s="524" t="str">
        <f>IFERROR(INDEX('G-8 Condition Look up'!$A$3:$H$130,MATCH(S135,'G-8 Condition Look up'!$A$3:$A$130,0),MATCH(Y135,'G-8 Condition Look up'!$A$3:$H$3,0)),"")</f>
        <v/>
      </c>
      <c r="AA135" s="71"/>
      <c r="AB135" s="520" t="str">
        <f>IF(AA135="","",IF(VLOOKUP(AA135,'G-3 Multipliers'!$L$3:$N$6,2,FALSE)=0,"Spatial Data Missing ⚠",VLOOKUP(AA135,'G-3 Multipliers'!$L$3:$N$6,2,FALSE)))</f>
        <v/>
      </c>
      <c r="AC135" s="524" t="str">
        <f>IF(AA135="","",IF(VLOOKUP(AA135,'G-3 Multipliers'!$L$3:$N$6,3,FALSE)=0,"Spatial Data Missing ⚠",VLOOKUP(AA135,'G-3 Multipliers'!$L$3:$N$6,3,FALSE)))</f>
        <v/>
      </c>
      <c r="AD135" s="539" t="str">
        <f t="shared" si="13"/>
        <v/>
      </c>
      <c r="AE135" s="82"/>
      <c r="AF135" s="82"/>
      <c r="AG135" s="507" t="str">
        <f t="shared" si="19"/>
        <v/>
      </c>
      <c r="AH135" s="521" t="str">
        <f t="shared" si="20"/>
        <v/>
      </c>
      <c r="AI135" s="522" t="str">
        <f>IF(AH135="Check Data","Check Data",IFERROR(VLOOKUP(AH135,'G-4 Temporal multipliers'!$A$4:$C$36,3,FALSE),""))</f>
        <v/>
      </c>
      <c r="AJ135" s="498" t="str">
        <f>IF(S135="","",VLOOKUP(S135,'G-3 Multipliers'!$A$2:$E$129,4,FALSE))</f>
        <v/>
      </c>
      <c r="AK135" s="507" t="str">
        <f t="shared" si="21"/>
        <v/>
      </c>
      <c r="AL135" s="507" t="str">
        <f t="shared" si="22"/>
        <v/>
      </c>
      <c r="AM135" s="540" t="str">
        <f>IFERROR(IF(F135="","",IF(AH135="Check Data ⚠","Check Data ⚠",VLOOKUP(AL135, 'G-3 Multipliers'!$P$2:$Q$6,2,FALSE))),"")</f>
        <v/>
      </c>
      <c r="AN135" s="513" t="str">
        <f t="shared" si="14"/>
        <v/>
      </c>
      <c r="AO135" s="239"/>
      <c r="AP135" s="240"/>
    </row>
    <row r="136" spans="1:42" x14ac:dyDescent="0.25">
      <c r="A136" s="47" t="str">
        <f>IF(E136="","",IF(ISNA(VLOOKUP($E136,'A-1 Site Habitat Baseline'!$D$1:$O$258,2,FALSE)),"",(VLOOKUP($E136,'A-1 Site Habitat Baseline'!$D$1:$O$258,2,FALSE))))</f>
        <v/>
      </c>
      <c r="B136" s="47" t="str">
        <f>IF(E136="","",IF(ISNA(VLOOKUP($E136,'A-1 Site Habitat Baseline'!$D$1:$O$258,3,FALSE)),"",(VLOOKUP($E136,'A-1 Site Habitat Baseline'!$D$1:$O$258,3,FALSE))))</f>
        <v/>
      </c>
      <c r="C136" s="47" t="str">
        <f>IFERROR(INDEX('G-8 Condition Look up'!$I$4:$I$130,MATCH(S136,'G-8 Condition Look up'!$A$4:$A$130,0)),"")</f>
        <v/>
      </c>
      <c r="E136" s="531" t="str">
        <f>'A-1 Site Habitat Baseline'!AL135</f>
        <v/>
      </c>
      <c r="F136" s="520" t="str">
        <f>IF(E136="","",IF(ISNA(VLOOKUP($E136,'A-1 Site Habitat Baseline'!$D$1:$O$258,4,FALSE)),"",(VLOOKUP($E136,'A-1 Site Habitat Baseline'!$D$1:$O$258,4,FALSE))))</f>
        <v/>
      </c>
      <c r="G136" s="520" t="str">
        <f>IF(E136="","",IF(ISNA(VLOOKUP($E136,'A-1 Site Habitat Baseline'!$D$1:$O$258,5,FALSE)),"",(VLOOKUP($E136,'A-1 Site Habitat Baseline'!$D$1:$O$258,5,FALSE))))</f>
        <v/>
      </c>
      <c r="H136" s="520" t="str">
        <f>IF(E136="","",IF(ISNA(VLOOKUP($E136,'A-1 Site Habitat Baseline'!$D$1:$O$258,6,FALSE)),"",(VLOOKUP($E136,'A-1 Site Habitat Baseline'!$D$1:$O$258,6,FALSE))))</f>
        <v/>
      </c>
      <c r="I136" s="520" t="str">
        <f>IF(E136="","",IF(ISNA(VLOOKUP($E136,'A-1 Site Habitat Baseline'!$D$1:$O$258,7,FALSE)),"",(VLOOKUP($E136,'A-1 Site Habitat Baseline'!$D$1:$O$258,7,FALSE))))</f>
        <v/>
      </c>
      <c r="J136" s="520" t="str">
        <f>IF(E136="","",IF(ISNA(VLOOKUP($E136,'A-1 Site Habitat Baseline'!$D$1:$O$258,8,FALSE)),"",(VLOOKUP($E136,'A-1 Site Habitat Baseline'!$D$1:$O$258,8,FALSE))))</f>
        <v/>
      </c>
      <c r="K136" s="520" t="str">
        <f>IF(E136="","",IF(ISNA(VLOOKUP($E136,'A-1 Site Habitat Baseline'!$D$1:$O$258,9,FALSE)),"",(VLOOKUP($E136,'A-1 Site Habitat Baseline'!$D$1:$O$258,9,FALSE))))</f>
        <v/>
      </c>
      <c r="L136" s="520" t="str">
        <f>IF(E136="","",IF(ISNA(VLOOKUP($E136,'A-1 Site Habitat Baseline'!$D$1:$O$258,11,FALSE)),"",(VLOOKUP($E136,'A-1 Site Habitat Baseline'!$D$1:$O$258,11,FALSE))))</f>
        <v/>
      </c>
      <c r="M136" s="520" t="str">
        <f>IF(E136="","",IF(ISNA(VLOOKUP($E136,'A-1 Site Habitat Baseline'!$D$1:$O$258,12,FALSE)),"",(VLOOKUP($E136,'A-1 Site Habitat Baseline'!$D$1:$O$258,12,FALSE))))</f>
        <v/>
      </c>
      <c r="N136" s="532" t="str">
        <f>IF(E136="","",IF(ISNA(VLOOKUP($E136,'A-1 Site Habitat Baseline'!$D$1:$X$258,14,FALSE)),"",(VLOOKUP($E136,'A-1 Site Habitat Baseline'!$D$1:$X$258,14,FALSE))))</f>
        <v/>
      </c>
      <c r="O136" s="524" t="str">
        <f>IF(E136="","",IF(ISNA(VLOOKUP($E136,'A-1 Site Habitat Baseline'!$D$1:$X$258,16,FALSE)),"",(VLOOKUP($E136,'A-1 Site Habitat Baseline'!$D$1:$X$258,13,FALSE))))</f>
        <v/>
      </c>
      <c r="P136" s="237" t="str">
        <f>IFERROR(INDEX('G-1 All Habitats'!$AG$3:$AG$15,MATCH(Q136,'G-1 All Habitats'!$AF$3:$AF$15,0)),"")</f>
        <v/>
      </c>
      <c r="Q136" s="238" t="str">
        <f t="shared" si="15"/>
        <v/>
      </c>
      <c r="R136" s="238" t="str">
        <f t="shared" si="16"/>
        <v/>
      </c>
      <c r="S136" s="392" t="str">
        <f>IFERROR(INDEX('G-1 All Habitats'!$B$3:$B$129,MATCH(R136,'G-1 All Habitats'!$A$3:$A$129,0)),"")</f>
        <v/>
      </c>
      <c r="T136" s="498" t="str">
        <f t="shared" si="17"/>
        <v/>
      </c>
      <c r="U136" s="499" t="str">
        <f t="shared" si="18"/>
        <v/>
      </c>
      <c r="V136" s="537" t="str">
        <f t="shared" si="12"/>
        <v/>
      </c>
      <c r="W136" s="520" t="str">
        <f>IF(S136="","",VLOOKUP(S136,'G-1 All Habitats'!$B$2:$M$129,10,FALSE))</f>
        <v/>
      </c>
      <c r="X136" s="520" t="str">
        <f>IFERROR(VLOOKUP(W136,'G-1 All Habitats'!$V$3:$W$7,2,FALSE),"")</f>
        <v/>
      </c>
      <c r="Y136" s="79"/>
      <c r="Z136" s="524" t="str">
        <f>IFERROR(INDEX('G-8 Condition Look up'!$A$3:$H$130,MATCH(S136,'G-8 Condition Look up'!$A$3:$A$130,0),MATCH(Y136,'G-8 Condition Look up'!$A$3:$H$3,0)),"")</f>
        <v/>
      </c>
      <c r="AA136" s="71"/>
      <c r="AB136" s="520" t="str">
        <f>IF(AA136="","",IF(VLOOKUP(AA136,'G-3 Multipliers'!$L$3:$N$6,2,FALSE)=0,"Spatial Data Missing ⚠",VLOOKUP(AA136,'G-3 Multipliers'!$L$3:$N$6,2,FALSE)))</f>
        <v/>
      </c>
      <c r="AC136" s="524" t="str">
        <f>IF(AA136="","",IF(VLOOKUP(AA136,'G-3 Multipliers'!$L$3:$N$6,3,FALSE)=0,"Spatial Data Missing ⚠",VLOOKUP(AA136,'G-3 Multipliers'!$L$3:$N$6,3,FALSE)))</f>
        <v/>
      </c>
      <c r="AD136" s="539" t="str">
        <f t="shared" si="13"/>
        <v/>
      </c>
      <c r="AE136" s="82"/>
      <c r="AF136" s="82"/>
      <c r="AG136" s="507" t="str">
        <f t="shared" si="19"/>
        <v/>
      </c>
      <c r="AH136" s="521" t="str">
        <f t="shared" si="20"/>
        <v/>
      </c>
      <c r="AI136" s="522" t="str">
        <f>IF(AH136="Check Data","Check Data",IFERROR(VLOOKUP(AH136,'G-4 Temporal multipliers'!$A$4:$C$36,3,FALSE),""))</f>
        <v/>
      </c>
      <c r="AJ136" s="498" t="str">
        <f>IF(S136="","",VLOOKUP(S136,'G-3 Multipliers'!$A$2:$E$129,4,FALSE))</f>
        <v/>
      </c>
      <c r="AK136" s="507" t="str">
        <f t="shared" si="21"/>
        <v/>
      </c>
      <c r="AL136" s="507" t="str">
        <f t="shared" si="22"/>
        <v/>
      </c>
      <c r="AM136" s="540" t="str">
        <f>IFERROR(IF(F136="","",IF(AH136="Check Data ⚠","Check Data ⚠",VLOOKUP(AL136, 'G-3 Multipliers'!$P$2:$Q$6,2,FALSE))),"")</f>
        <v/>
      </c>
      <c r="AN136" s="513" t="str">
        <f t="shared" si="14"/>
        <v/>
      </c>
      <c r="AO136" s="239"/>
      <c r="AP136" s="240"/>
    </row>
    <row r="137" spans="1:42" x14ac:dyDescent="0.25">
      <c r="A137" s="47" t="str">
        <f>IF(E137="","",IF(ISNA(VLOOKUP($E137,'A-1 Site Habitat Baseline'!$D$1:$O$258,2,FALSE)),"",(VLOOKUP($E137,'A-1 Site Habitat Baseline'!$D$1:$O$258,2,FALSE))))</f>
        <v/>
      </c>
      <c r="B137" s="47" t="str">
        <f>IF(E137="","",IF(ISNA(VLOOKUP($E137,'A-1 Site Habitat Baseline'!$D$1:$O$258,3,FALSE)),"",(VLOOKUP($E137,'A-1 Site Habitat Baseline'!$D$1:$O$258,3,FALSE))))</f>
        <v/>
      </c>
      <c r="C137" s="47" t="str">
        <f>IFERROR(INDEX('G-8 Condition Look up'!$I$4:$I$130,MATCH(S137,'G-8 Condition Look up'!$A$4:$A$130,0)),"")</f>
        <v/>
      </c>
      <c r="E137" s="531" t="str">
        <f>'A-1 Site Habitat Baseline'!AL136</f>
        <v/>
      </c>
      <c r="F137" s="520" t="str">
        <f>IF(E137="","",IF(ISNA(VLOOKUP($E137,'A-1 Site Habitat Baseline'!$D$1:$O$258,4,FALSE)),"",(VLOOKUP($E137,'A-1 Site Habitat Baseline'!$D$1:$O$258,4,FALSE))))</f>
        <v/>
      </c>
      <c r="G137" s="520" t="str">
        <f>IF(E137="","",IF(ISNA(VLOOKUP($E137,'A-1 Site Habitat Baseline'!$D$1:$O$258,5,FALSE)),"",(VLOOKUP($E137,'A-1 Site Habitat Baseline'!$D$1:$O$258,5,FALSE))))</f>
        <v/>
      </c>
      <c r="H137" s="520" t="str">
        <f>IF(E137="","",IF(ISNA(VLOOKUP($E137,'A-1 Site Habitat Baseline'!$D$1:$O$258,6,FALSE)),"",(VLOOKUP($E137,'A-1 Site Habitat Baseline'!$D$1:$O$258,6,FALSE))))</f>
        <v/>
      </c>
      <c r="I137" s="520" t="str">
        <f>IF(E137="","",IF(ISNA(VLOOKUP($E137,'A-1 Site Habitat Baseline'!$D$1:$O$258,7,FALSE)),"",(VLOOKUP($E137,'A-1 Site Habitat Baseline'!$D$1:$O$258,7,FALSE))))</f>
        <v/>
      </c>
      <c r="J137" s="520" t="str">
        <f>IF(E137="","",IF(ISNA(VLOOKUP($E137,'A-1 Site Habitat Baseline'!$D$1:$O$258,8,FALSE)),"",(VLOOKUP($E137,'A-1 Site Habitat Baseline'!$D$1:$O$258,8,FALSE))))</f>
        <v/>
      </c>
      <c r="K137" s="520" t="str">
        <f>IF(E137="","",IF(ISNA(VLOOKUP($E137,'A-1 Site Habitat Baseline'!$D$1:$O$258,9,FALSE)),"",(VLOOKUP($E137,'A-1 Site Habitat Baseline'!$D$1:$O$258,9,FALSE))))</f>
        <v/>
      </c>
      <c r="L137" s="520" t="str">
        <f>IF(E137="","",IF(ISNA(VLOOKUP($E137,'A-1 Site Habitat Baseline'!$D$1:$O$258,11,FALSE)),"",(VLOOKUP($E137,'A-1 Site Habitat Baseline'!$D$1:$O$258,11,FALSE))))</f>
        <v/>
      </c>
      <c r="M137" s="520" t="str">
        <f>IF(E137="","",IF(ISNA(VLOOKUP($E137,'A-1 Site Habitat Baseline'!$D$1:$O$258,12,FALSE)),"",(VLOOKUP($E137,'A-1 Site Habitat Baseline'!$D$1:$O$258,12,FALSE))))</f>
        <v/>
      </c>
      <c r="N137" s="532" t="str">
        <f>IF(E137="","",IF(ISNA(VLOOKUP($E137,'A-1 Site Habitat Baseline'!$D$1:$X$258,14,FALSE)),"",(VLOOKUP($E137,'A-1 Site Habitat Baseline'!$D$1:$X$258,14,FALSE))))</f>
        <v/>
      </c>
      <c r="O137" s="524" t="str">
        <f>IF(E137="","",IF(ISNA(VLOOKUP($E137,'A-1 Site Habitat Baseline'!$D$1:$X$258,16,FALSE)),"",(VLOOKUP($E137,'A-1 Site Habitat Baseline'!$D$1:$X$258,13,FALSE))))</f>
        <v/>
      </c>
      <c r="P137" s="237" t="str">
        <f>IFERROR(INDEX('G-1 All Habitats'!$AG$3:$AG$15,MATCH(Q137,'G-1 All Habitats'!$AF$3:$AF$15,0)),"")</f>
        <v/>
      </c>
      <c r="Q137" s="238" t="str">
        <f t="shared" si="15"/>
        <v/>
      </c>
      <c r="R137" s="238" t="str">
        <f t="shared" si="16"/>
        <v/>
      </c>
      <c r="S137" s="392" t="str">
        <f>IFERROR(INDEX('G-1 All Habitats'!$B$3:$B$129,MATCH(R137,'G-1 All Habitats'!$A$3:$A$129,0)),"")</f>
        <v/>
      </c>
      <c r="T137" s="498" t="str">
        <f t="shared" si="17"/>
        <v/>
      </c>
      <c r="U137" s="499" t="str">
        <f t="shared" si="18"/>
        <v/>
      </c>
      <c r="V137" s="537" t="str">
        <f t="shared" si="12"/>
        <v/>
      </c>
      <c r="W137" s="520" t="str">
        <f>IF(S137="","",VLOOKUP(S137,'G-1 All Habitats'!$B$2:$M$129,10,FALSE))</f>
        <v/>
      </c>
      <c r="X137" s="520" t="str">
        <f>IFERROR(VLOOKUP(W137,'G-1 All Habitats'!$V$3:$W$7,2,FALSE),"")</f>
        <v/>
      </c>
      <c r="Y137" s="79"/>
      <c r="Z137" s="524" t="str">
        <f>IFERROR(INDEX('G-8 Condition Look up'!$A$3:$H$130,MATCH(S137,'G-8 Condition Look up'!$A$3:$A$130,0),MATCH(Y137,'G-8 Condition Look up'!$A$3:$H$3,0)),"")</f>
        <v/>
      </c>
      <c r="AA137" s="71"/>
      <c r="AB137" s="520" t="str">
        <f>IF(AA137="","",IF(VLOOKUP(AA137,'G-3 Multipliers'!$L$3:$N$6,2,FALSE)=0,"Spatial Data Missing ⚠",VLOOKUP(AA137,'G-3 Multipliers'!$L$3:$N$6,2,FALSE)))</f>
        <v/>
      </c>
      <c r="AC137" s="524" t="str">
        <f>IF(AA137="","",IF(VLOOKUP(AA137,'G-3 Multipliers'!$L$3:$N$6,3,FALSE)=0,"Spatial Data Missing ⚠",VLOOKUP(AA137,'G-3 Multipliers'!$L$3:$N$6,3,FALSE)))</f>
        <v/>
      </c>
      <c r="AD137" s="539" t="str">
        <f t="shared" si="13"/>
        <v/>
      </c>
      <c r="AE137" s="82"/>
      <c r="AF137" s="82"/>
      <c r="AG137" s="507" t="str">
        <f t="shared" si="19"/>
        <v/>
      </c>
      <c r="AH137" s="521" t="str">
        <f t="shared" si="20"/>
        <v/>
      </c>
      <c r="AI137" s="522" t="str">
        <f>IF(AH137="Check Data","Check Data",IFERROR(VLOOKUP(AH137,'G-4 Temporal multipliers'!$A$4:$C$36,3,FALSE),""))</f>
        <v/>
      </c>
      <c r="AJ137" s="498" t="str">
        <f>IF(S137="","",VLOOKUP(S137,'G-3 Multipliers'!$A$2:$E$129,4,FALSE))</f>
        <v/>
      </c>
      <c r="AK137" s="507" t="str">
        <f t="shared" si="21"/>
        <v/>
      </c>
      <c r="AL137" s="507" t="str">
        <f t="shared" si="22"/>
        <v/>
      </c>
      <c r="AM137" s="540" t="str">
        <f>IFERROR(IF(F137="","",IF(AH137="Check Data ⚠","Check Data ⚠",VLOOKUP(AL137, 'G-3 Multipliers'!$P$2:$Q$6,2,FALSE))),"")</f>
        <v/>
      </c>
      <c r="AN137" s="513" t="str">
        <f t="shared" si="14"/>
        <v/>
      </c>
      <c r="AO137" s="239"/>
      <c r="AP137" s="240"/>
    </row>
    <row r="138" spans="1:42" x14ac:dyDescent="0.25">
      <c r="A138" s="47" t="str">
        <f>IF(E138="","",IF(ISNA(VLOOKUP($E138,'A-1 Site Habitat Baseline'!$D$1:$O$258,2,FALSE)),"",(VLOOKUP($E138,'A-1 Site Habitat Baseline'!$D$1:$O$258,2,FALSE))))</f>
        <v/>
      </c>
      <c r="B138" s="47" t="str">
        <f>IF(E138="","",IF(ISNA(VLOOKUP($E138,'A-1 Site Habitat Baseline'!$D$1:$O$258,3,FALSE)),"",(VLOOKUP($E138,'A-1 Site Habitat Baseline'!$D$1:$O$258,3,FALSE))))</f>
        <v/>
      </c>
      <c r="C138" s="47" t="str">
        <f>IFERROR(INDEX('G-8 Condition Look up'!$I$4:$I$130,MATCH(S138,'G-8 Condition Look up'!$A$4:$A$130,0)),"")</f>
        <v/>
      </c>
      <c r="E138" s="531" t="str">
        <f>'A-1 Site Habitat Baseline'!AL137</f>
        <v/>
      </c>
      <c r="F138" s="520" t="str">
        <f>IF(E138="","",IF(ISNA(VLOOKUP($E138,'A-1 Site Habitat Baseline'!$D$1:$O$258,4,FALSE)),"",(VLOOKUP($E138,'A-1 Site Habitat Baseline'!$D$1:$O$258,4,FALSE))))</f>
        <v/>
      </c>
      <c r="G138" s="520" t="str">
        <f>IF(E138="","",IF(ISNA(VLOOKUP($E138,'A-1 Site Habitat Baseline'!$D$1:$O$258,5,FALSE)),"",(VLOOKUP($E138,'A-1 Site Habitat Baseline'!$D$1:$O$258,5,FALSE))))</f>
        <v/>
      </c>
      <c r="H138" s="520" t="str">
        <f>IF(E138="","",IF(ISNA(VLOOKUP($E138,'A-1 Site Habitat Baseline'!$D$1:$O$258,6,FALSE)),"",(VLOOKUP($E138,'A-1 Site Habitat Baseline'!$D$1:$O$258,6,FALSE))))</f>
        <v/>
      </c>
      <c r="I138" s="520" t="str">
        <f>IF(E138="","",IF(ISNA(VLOOKUP($E138,'A-1 Site Habitat Baseline'!$D$1:$O$258,7,FALSE)),"",(VLOOKUP($E138,'A-1 Site Habitat Baseline'!$D$1:$O$258,7,FALSE))))</f>
        <v/>
      </c>
      <c r="J138" s="520" t="str">
        <f>IF(E138="","",IF(ISNA(VLOOKUP($E138,'A-1 Site Habitat Baseline'!$D$1:$O$258,8,FALSE)),"",(VLOOKUP($E138,'A-1 Site Habitat Baseline'!$D$1:$O$258,8,FALSE))))</f>
        <v/>
      </c>
      <c r="K138" s="520" t="str">
        <f>IF(E138="","",IF(ISNA(VLOOKUP($E138,'A-1 Site Habitat Baseline'!$D$1:$O$258,9,FALSE)),"",(VLOOKUP($E138,'A-1 Site Habitat Baseline'!$D$1:$O$258,9,FALSE))))</f>
        <v/>
      </c>
      <c r="L138" s="520" t="str">
        <f>IF(E138="","",IF(ISNA(VLOOKUP($E138,'A-1 Site Habitat Baseline'!$D$1:$O$258,11,FALSE)),"",(VLOOKUP($E138,'A-1 Site Habitat Baseline'!$D$1:$O$258,11,FALSE))))</f>
        <v/>
      </c>
      <c r="M138" s="520" t="str">
        <f>IF(E138="","",IF(ISNA(VLOOKUP($E138,'A-1 Site Habitat Baseline'!$D$1:$O$258,12,FALSE)),"",(VLOOKUP($E138,'A-1 Site Habitat Baseline'!$D$1:$O$258,12,FALSE))))</f>
        <v/>
      </c>
      <c r="N138" s="532" t="str">
        <f>IF(E138="","",IF(ISNA(VLOOKUP($E138,'A-1 Site Habitat Baseline'!$D$1:$X$258,14,FALSE)),"",(VLOOKUP($E138,'A-1 Site Habitat Baseline'!$D$1:$X$258,14,FALSE))))</f>
        <v/>
      </c>
      <c r="O138" s="524" t="str">
        <f>IF(E138="","",IF(ISNA(VLOOKUP($E138,'A-1 Site Habitat Baseline'!$D$1:$X$258,16,FALSE)),"",(VLOOKUP($E138,'A-1 Site Habitat Baseline'!$D$1:$X$258,13,FALSE))))</f>
        <v/>
      </c>
      <c r="P138" s="237" t="str">
        <f>IFERROR(INDEX('G-1 All Habitats'!$AG$3:$AG$15,MATCH(Q138,'G-1 All Habitats'!$AF$3:$AF$15,0)),"")</f>
        <v/>
      </c>
      <c r="Q138" s="238" t="str">
        <f t="shared" si="15"/>
        <v/>
      </c>
      <c r="R138" s="238" t="str">
        <f t="shared" si="16"/>
        <v/>
      </c>
      <c r="S138" s="392" t="str">
        <f>IFERROR(INDEX('G-1 All Habitats'!$B$3:$B$129,MATCH(R138,'G-1 All Habitats'!$A$3:$A$129,0)),"")</f>
        <v/>
      </c>
      <c r="T138" s="498" t="str">
        <f t="shared" si="17"/>
        <v/>
      </c>
      <c r="U138" s="499" t="str">
        <f t="shared" si="18"/>
        <v/>
      </c>
      <c r="V138" s="537" t="str">
        <f t="shared" si="12"/>
        <v/>
      </c>
      <c r="W138" s="520" t="str">
        <f>IF(S138="","",VLOOKUP(S138,'G-1 All Habitats'!$B$2:$M$129,10,FALSE))</f>
        <v/>
      </c>
      <c r="X138" s="520" t="str">
        <f>IFERROR(VLOOKUP(W138,'G-1 All Habitats'!$V$3:$W$7,2,FALSE),"")</f>
        <v/>
      </c>
      <c r="Y138" s="79"/>
      <c r="Z138" s="524" t="str">
        <f>IFERROR(INDEX('G-8 Condition Look up'!$A$3:$H$130,MATCH(S138,'G-8 Condition Look up'!$A$3:$A$130,0),MATCH(Y138,'G-8 Condition Look up'!$A$3:$H$3,0)),"")</f>
        <v/>
      </c>
      <c r="AA138" s="71"/>
      <c r="AB138" s="520" t="str">
        <f>IF(AA138="","",IF(VLOOKUP(AA138,'G-3 Multipliers'!$L$3:$N$6,2,FALSE)=0,"Spatial Data Missing ⚠",VLOOKUP(AA138,'G-3 Multipliers'!$L$3:$N$6,2,FALSE)))</f>
        <v/>
      </c>
      <c r="AC138" s="524" t="str">
        <f>IF(AA138="","",IF(VLOOKUP(AA138,'G-3 Multipliers'!$L$3:$N$6,3,FALSE)=0,"Spatial Data Missing ⚠",VLOOKUP(AA138,'G-3 Multipliers'!$L$3:$N$6,3,FALSE)))</f>
        <v/>
      </c>
      <c r="AD138" s="539" t="str">
        <f t="shared" si="13"/>
        <v/>
      </c>
      <c r="AE138" s="82"/>
      <c r="AF138" s="82"/>
      <c r="AG138" s="507" t="str">
        <f t="shared" si="19"/>
        <v/>
      </c>
      <c r="AH138" s="521" t="str">
        <f t="shared" si="20"/>
        <v/>
      </c>
      <c r="AI138" s="522" t="str">
        <f>IF(AH138="Check Data","Check Data",IFERROR(VLOOKUP(AH138,'G-4 Temporal multipliers'!$A$4:$C$36,3,FALSE),""))</f>
        <v/>
      </c>
      <c r="AJ138" s="498" t="str">
        <f>IF(S138="","",VLOOKUP(S138,'G-3 Multipliers'!$A$2:$E$129,4,FALSE))</f>
        <v/>
      </c>
      <c r="AK138" s="507" t="str">
        <f t="shared" si="21"/>
        <v/>
      </c>
      <c r="AL138" s="507" t="str">
        <f t="shared" si="22"/>
        <v/>
      </c>
      <c r="AM138" s="540" t="str">
        <f>IFERROR(IF(F138="","",IF(AH138="Check Data ⚠","Check Data ⚠",VLOOKUP(AL138, 'G-3 Multipliers'!$P$2:$Q$6,2,FALSE))),"")</f>
        <v/>
      </c>
      <c r="AN138" s="513" t="str">
        <f t="shared" si="14"/>
        <v/>
      </c>
      <c r="AO138" s="239"/>
      <c r="AP138" s="240"/>
    </row>
    <row r="139" spans="1:42" x14ac:dyDescent="0.25">
      <c r="A139" s="47" t="str">
        <f>IF(E139="","",IF(ISNA(VLOOKUP($E139,'A-1 Site Habitat Baseline'!$D$1:$O$258,2,FALSE)),"",(VLOOKUP($E139,'A-1 Site Habitat Baseline'!$D$1:$O$258,2,FALSE))))</f>
        <v/>
      </c>
      <c r="B139" s="47" t="str">
        <f>IF(E139="","",IF(ISNA(VLOOKUP($E139,'A-1 Site Habitat Baseline'!$D$1:$O$258,3,FALSE)),"",(VLOOKUP($E139,'A-1 Site Habitat Baseline'!$D$1:$O$258,3,FALSE))))</f>
        <v/>
      </c>
      <c r="C139" s="47" t="str">
        <f>IFERROR(INDEX('G-8 Condition Look up'!$I$4:$I$130,MATCH(S139,'G-8 Condition Look up'!$A$4:$A$130,0)),"")</f>
        <v/>
      </c>
      <c r="E139" s="531" t="str">
        <f>'A-1 Site Habitat Baseline'!AL138</f>
        <v/>
      </c>
      <c r="F139" s="520" t="str">
        <f>IF(E139="","",IF(ISNA(VLOOKUP($E139,'A-1 Site Habitat Baseline'!$D$1:$O$258,4,FALSE)),"",(VLOOKUP($E139,'A-1 Site Habitat Baseline'!$D$1:$O$258,4,FALSE))))</f>
        <v/>
      </c>
      <c r="G139" s="520" t="str">
        <f>IF(E139="","",IF(ISNA(VLOOKUP($E139,'A-1 Site Habitat Baseline'!$D$1:$O$258,5,FALSE)),"",(VLOOKUP($E139,'A-1 Site Habitat Baseline'!$D$1:$O$258,5,FALSE))))</f>
        <v/>
      </c>
      <c r="H139" s="520" t="str">
        <f>IF(E139="","",IF(ISNA(VLOOKUP($E139,'A-1 Site Habitat Baseline'!$D$1:$O$258,6,FALSE)),"",(VLOOKUP($E139,'A-1 Site Habitat Baseline'!$D$1:$O$258,6,FALSE))))</f>
        <v/>
      </c>
      <c r="I139" s="520" t="str">
        <f>IF(E139="","",IF(ISNA(VLOOKUP($E139,'A-1 Site Habitat Baseline'!$D$1:$O$258,7,FALSE)),"",(VLOOKUP($E139,'A-1 Site Habitat Baseline'!$D$1:$O$258,7,FALSE))))</f>
        <v/>
      </c>
      <c r="J139" s="520" t="str">
        <f>IF(E139="","",IF(ISNA(VLOOKUP($E139,'A-1 Site Habitat Baseline'!$D$1:$O$258,8,FALSE)),"",(VLOOKUP($E139,'A-1 Site Habitat Baseline'!$D$1:$O$258,8,FALSE))))</f>
        <v/>
      </c>
      <c r="K139" s="520" t="str">
        <f>IF(E139="","",IF(ISNA(VLOOKUP($E139,'A-1 Site Habitat Baseline'!$D$1:$O$258,9,FALSE)),"",(VLOOKUP($E139,'A-1 Site Habitat Baseline'!$D$1:$O$258,9,FALSE))))</f>
        <v/>
      </c>
      <c r="L139" s="520" t="str">
        <f>IF(E139="","",IF(ISNA(VLOOKUP($E139,'A-1 Site Habitat Baseline'!$D$1:$O$258,11,FALSE)),"",(VLOOKUP($E139,'A-1 Site Habitat Baseline'!$D$1:$O$258,11,FALSE))))</f>
        <v/>
      </c>
      <c r="M139" s="520" t="str">
        <f>IF(E139="","",IF(ISNA(VLOOKUP($E139,'A-1 Site Habitat Baseline'!$D$1:$O$258,12,FALSE)),"",(VLOOKUP($E139,'A-1 Site Habitat Baseline'!$D$1:$O$258,12,FALSE))))</f>
        <v/>
      </c>
      <c r="N139" s="532" t="str">
        <f>IF(E139="","",IF(ISNA(VLOOKUP($E139,'A-1 Site Habitat Baseline'!$D$1:$X$258,14,FALSE)),"",(VLOOKUP($E139,'A-1 Site Habitat Baseline'!$D$1:$X$258,14,FALSE))))</f>
        <v/>
      </c>
      <c r="O139" s="524" t="str">
        <f>IF(E139="","",IF(ISNA(VLOOKUP($E139,'A-1 Site Habitat Baseline'!$D$1:$X$258,16,FALSE)),"",(VLOOKUP($E139,'A-1 Site Habitat Baseline'!$D$1:$X$258,13,FALSE))))</f>
        <v/>
      </c>
      <c r="P139" s="237" t="str">
        <f>IFERROR(INDEX('G-1 All Habitats'!$AG$3:$AG$15,MATCH(Q139,'G-1 All Habitats'!$AF$3:$AF$15,0)),"")</f>
        <v/>
      </c>
      <c r="Q139" s="238" t="str">
        <f t="shared" si="15"/>
        <v/>
      </c>
      <c r="R139" s="238" t="str">
        <f t="shared" si="16"/>
        <v/>
      </c>
      <c r="S139" s="392" t="str">
        <f>IFERROR(INDEX('G-1 All Habitats'!$B$3:$B$129,MATCH(R139,'G-1 All Habitats'!$A$3:$A$129,0)),"")</f>
        <v/>
      </c>
      <c r="T139" s="498" t="str">
        <f t="shared" si="17"/>
        <v/>
      </c>
      <c r="U139" s="499" t="str">
        <f t="shared" si="18"/>
        <v/>
      </c>
      <c r="V139" s="537" t="str">
        <f t="shared" si="12"/>
        <v/>
      </c>
      <c r="W139" s="520" t="str">
        <f>IF(S139="","",VLOOKUP(S139,'G-1 All Habitats'!$B$2:$M$129,10,FALSE))</f>
        <v/>
      </c>
      <c r="X139" s="520" t="str">
        <f>IFERROR(VLOOKUP(W139,'G-1 All Habitats'!$V$3:$W$7,2,FALSE),"")</f>
        <v/>
      </c>
      <c r="Y139" s="79"/>
      <c r="Z139" s="524" t="str">
        <f>IFERROR(INDEX('G-8 Condition Look up'!$A$3:$H$130,MATCH(S139,'G-8 Condition Look up'!$A$3:$A$130,0),MATCH(Y139,'G-8 Condition Look up'!$A$3:$H$3,0)),"")</f>
        <v/>
      </c>
      <c r="AA139" s="71"/>
      <c r="AB139" s="520" t="str">
        <f>IF(AA139="","",IF(VLOOKUP(AA139,'G-3 Multipliers'!$L$3:$N$6,2,FALSE)=0,"Spatial Data Missing ⚠",VLOOKUP(AA139,'G-3 Multipliers'!$L$3:$N$6,2,FALSE)))</f>
        <v/>
      </c>
      <c r="AC139" s="524" t="str">
        <f>IF(AA139="","",IF(VLOOKUP(AA139,'G-3 Multipliers'!$L$3:$N$6,3,FALSE)=0,"Spatial Data Missing ⚠",VLOOKUP(AA139,'G-3 Multipliers'!$L$3:$N$6,3,FALSE)))</f>
        <v/>
      </c>
      <c r="AD139" s="539" t="str">
        <f t="shared" si="13"/>
        <v/>
      </c>
      <c r="AE139" s="82"/>
      <c r="AF139" s="82"/>
      <c r="AG139" s="507" t="str">
        <f t="shared" si="19"/>
        <v/>
      </c>
      <c r="AH139" s="521" t="str">
        <f t="shared" si="20"/>
        <v/>
      </c>
      <c r="AI139" s="522" t="str">
        <f>IF(AH139="Check Data","Check Data",IFERROR(VLOOKUP(AH139,'G-4 Temporal multipliers'!$A$4:$C$36,3,FALSE),""))</f>
        <v/>
      </c>
      <c r="AJ139" s="498" t="str">
        <f>IF(S139="","",VLOOKUP(S139,'G-3 Multipliers'!$A$2:$E$129,4,FALSE))</f>
        <v/>
      </c>
      <c r="AK139" s="507" t="str">
        <f t="shared" si="21"/>
        <v/>
      </c>
      <c r="AL139" s="507" t="str">
        <f t="shared" si="22"/>
        <v/>
      </c>
      <c r="AM139" s="540" t="str">
        <f>IFERROR(IF(F139="","",IF(AH139="Check Data ⚠","Check Data ⚠",VLOOKUP(AL139, 'G-3 Multipliers'!$P$2:$Q$6,2,FALSE))),"")</f>
        <v/>
      </c>
      <c r="AN139" s="513" t="str">
        <f t="shared" si="14"/>
        <v/>
      </c>
      <c r="AO139" s="239"/>
      <c r="AP139" s="240"/>
    </row>
    <row r="140" spans="1:42" x14ac:dyDescent="0.25">
      <c r="A140" s="47" t="str">
        <f>IF(E140="","",IF(ISNA(VLOOKUP($E140,'A-1 Site Habitat Baseline'!$D$1:$O$258,2,FALSE)),"",(VLOOKUP($E140,'A-1 Site Habitat Baseline'!$D$1:$O$258,2,FALSE))))</f>
        <v/>
      </c>
      <c r="B140" s="47" t="str">
        <f>IF(E140="","",IF(ISNA(VLOOKUP($E140,'A-1 Site Habitat Baseline'!$D$1:$O$258,3,FALSE)),"",(VLOOKUP($E140,'A-1 Site Habitat Baseline'!$D$1:$O$258,3,FALSE))))</f>
        <v/>
      </c>
      <c r="C140" s="47" t="str">
        <f>IFERROR(INDEX('G-8 Condition Look up'!$I$4:$I$130,MATCH(S140,'G-8 Condition Look up'!$A$4:$A$130,0)),"")</f>
        <v/>
      </c>
      <c r="E140" s="531" t="str">
        <f>'A-1 Site Habitat Baseline'!AL139</f>
        <v/>
      </c>
      <c r="F140" s="520" t="str">
        <f>IF(E140="","",IF(ISNA(VLOOKUP($E140,'A-1 Site Habitat Baseline'!$D$1:$O$258,4,FALSE)),"",(VLOOKUP($E140,'A-1 Site Habitat Baseline'!$D$1:$O$258,4,FALSE))))</f>
        <v/>
      </c>
      <c r="G140" s="520" t="str">
        <f>IF(E140="","",IF(ISNA(VLOOKUP($E140,'A-1 Site Habitat Baseline'!$D$1:$O$258,5,FALSE)),"",(VLOOKUP($E140,'A-1 Site Habitat Baseline'!$D$1:$O$258,5,FALSE))))</f>
        <v/>
      </c>
      <c r="H140" s="520" t="str">
        <f>IF(E140="","",IF(ISNA(VLOOKUP($E140,'A-1 Site Habitat Baseline'!$D$1:$O$258,6,FALSE)),"",(VLOOKUP($E140,'A-1 Site Habitat Baseline'!$D$1:$O$258,6,FALSE))))</f>
        <v/>
      </c>
      <c r="I140" s="520" t="str">
        <f>IF(E140="","",IF(ISNA(VLOOKUP($E140,'A-1 Site Habitat Baseline'!$D$1:$O$258,7,FALSE)),"",(VLOOKUP($E140,'A-1 Site Habitat Baseline'!$D$1:$O$258,7,FALSE))))</f>
        <v/>
      </c>
      <c r="J140" s="520" t="str">
        <f>IF(E140="","",IF(ISNA(VLOOKUP($E140,'A-1 Site Habitat Baseline'!$D$1:$O$258,8,FALSE)),"",(VLOOKUP($E140,'A-1 Site Habitat Baseline'!$D$1:$O$258,8,FALSE))))</f>
        <v/>
      </c>
      <c r="K140" s="520" t="str">
        <f>IF(E140="","",IF(ISNA(VLOOKUP($E140,'A-1 Site Habitat Baseline'!$D$1:$O$258,9,FALSE)),"",(VLOOKUP($E140,'A-1 Site Habitat Baseline'!$D$1:$O$258,9,FALSE))))</f>
        <v/>
      </c>
      <c r="L140" s="520" t="str">
        <f>IF(E140="","",IF(ISNA(VLOOKUP($E140,'A-1 Site Habitat Baseline'!$D$1:$O$258,11,FALSE)),"",(VLOOKUP($E140,'A-1 Site Habitat Baseline'!$D$1:$O$258,11,FALSE))))</f>
        <v/>
      </c>
      <c r="M140" s="520" t="str">
        <f>IF(E140="","",IF(ISNA(VLOOKUP($E140,'A-1 Site Habitat Baseline'!$D$1:$O$258,12,FALSE)),"",(VLOOKUP($E140,'A-1 Site Habitat Baseline'!$D$1:$O$258,12,FALSE))))</f>
        <v/>
      </c>
      <c r="N140" s="532" t="str">
        <f>IF(E140="","",IF(ISNA(VLOOKUP($E140,'A-1 Site Habitat Baseline'!$D$1:$X$258,14,FALSE)),"",(VLOOKUP($E140,'A-1 Site Habitat Baseline'!$D$1:$X$258,14,FALSE))))</f>
        <v/>
      </c>
      <c r="O140" s="524" t="str">
        <f>IF(E140="","",IF(ISNA(VLOOKUP($E140,'A-1 Site Habitat Baseline'!$D$1:$X$258,16,FALSE)),"",(VLOOKUP($E140,'A-1 Site Habitat Baseline'!$D$1:$X$258,13,FALSE))))</f>
        <v/>
      </c>
      <c r="P140" s="237" t="str">
        <f>IFERROR(INDEX('G-1 All Habitats'!$AG$3:$AG$15,MATCH(Q140,'G-1 All Habitats'!$AF$3:$AF$15,0)),"")</f>
        <v/>
      </c>
      <c r="Q140" s="238" t="str">
        <f t="shared" si="15"/>
        <v/>
      </c>
      <c r="R140" s="238" t="str">
        <f t="shared" si="16"/>
        <v/>
      </c>
      <c r="S140" s="392" t="str">
        <f>IFERROR(INDEX('G-1 All Habitats'!$B$3:$B$129,MATCH(R140,'G-1 All Habitats'!$A$3:$A$129,0)),"")</f>
        <v/>
      </c>
      <c r="T140" s="498" t="str">
        <f t="shared" si="17"/>
        <v/>
      </c>
      <c r="U140" s="499" t="str">
        <f t="shared" si="18"/>
        <v/>
      </c>
      <c r="V140" s="537" t="str">
        <f t="shared" ref="V140:V203" si="23">IF(S140="","",VLOOKUP(E140,BaselineHabSite,17,FALSE))</f>
        <v/>
      </c>
      <c r="W140" s="520" t="str">
        <f>IF(S140="","",VLOOKUP(S140,'G-1 All Habitats'!$B$2:$M$129,10,FALSE))</f>
        <v/>
      </c>
      <c r="X140" s="520" t="str">
        <f>IFERROR(VLOOKUP(W140,'G-1 All Habitats'!$V$3:$W$7,2,FALSE),"")</f>
        <v/>
      </c>
      <c r="Y140" s="79"/>
      <c r="Z140" s="524" t="str">
        <f>IFERROR(INDEX('G-8 Condition Look up'!$A$3:$H$130,MATCH(S140,'G-8 Condition Look up'!$A$3:$A$130,0),MATCH(Y140,'G-8 Condition Look up'!$A$3:$H$3,0)),"")</f>
        <v/>
      </c>
      <c r="AA140" s="71"/>
      <c r="AB140" s="520" t="str">
        <f>IF(AA140="","",IF(VLOOKUP(AA140,'G-3 Multipliers'!$L$3:$N$6,2,FALSE)=0,"Spatial Data Missing ⚠",VLOOKUP(AA140,'G-3 Multipliers'!$L$3:$N$6,2,FALSE)))</f>
        <v/>
      </c>
      <c r="AC140" s="524" t="str">
        <f>IF(AA140="","",IF(VLOOKUP(AA140,'G-3 Multipliers'!$L$3:$N$6,3,FALSE)=0,"Spatial Data Missing ⚠",VLOOKUP(AA140,'G-3 Multipliers'!$L$3:$N$6,3,FALSE)))</f>
        <v/>
      </c>
      <c r="AD140" s="539" t="str">
        <f t="shared" ref="AD140:AD203" si="24">IFERROR(IF(OR(LEFT(U140,5)="Error ▲",LEFT(T140,5)="Error ▲"),"Check Data ⚠",INDEX(EnhanceTemporal,MATCH(S140,EnhanceHabitat,0),MATCH(U140,EnhanceCondition,0))),"")</f>
        <v/>
      </c>
      <c r="AE140" s="82"/>
      <c r="AF140" s="82"/>
      <c r="AG140" s="507" t="str">
        <f t="shared" si="19"/>
        <v/>
      </c>
      <c r="AH140" s="521" t="str">
        <f t="shared" si="20"/>
        <v/>
      </c>
      <c r="AI140" s="522" t="str">
        <f>IF(AH140="Check Data","Check Data",IFERROR(VLOOKUP(AH140,'G-4 Temporal multipliers'!$A$4:$C$36,3,FALSE),""))</f>
        <v/>
      </c>
      <c r="AJ140" s="498" t="str">
        <f>IF(S140="","",VLOOKUP(S140,'G-3 Multipliers'!$A$2:$E$129,4,FALSE))</f>
        <v/>
      </c>
      <c r="AK140" s="507" t="str">
        <f t="shared" si="21"/>
        <v/>
      </c>
      <c r="AL140" s="507" t="str">
        <f t="shared" si="22"/>
        <v/>
      </c>
      <c r="AM140" s="540" t="str">
        <f>IFERROR(IF(F140="","",IF(AH140="Check Data ⚠","Check Data ⚠",VLOOKUP(AL140, 'G-3 Multipliers'!$P$2:$Q$6,2,FALSE))),"")</f>
        <v/>
      </c>
      <c r="AN140" s="513" t="str">
        <f t="shared" ref="AN140:AN203" si="25">IFERROR(((((V140*X140*Z140)-(V140*I140*K140))*(AM140*AI140))+(V140*I140*K140))*(AC140),"")</f>
        <v/>
      </c>
      <c r="AO140" s="239"/>
      <c r="AP140" s="240"/>
    </row>
    <row r="141" spans="1:42" x14ac:dyDescent="0.25">
      <c r="A141" s="47" t="str">
        <f>IF(E141="","",IF(ISNA(VLOOKUP($E141,'A-1 Site Habitat Baseline'!$D$1:$O$258,2,FALSE)),"",(VLOOKUP($E141,'A-1 Site Habitat Baseline'!$D$1:$O$258,2,FALSE))))</f>
        <v/>
      </c>
      <c r="B141" s="47" t="str">
        <f>IF(E141="","",IF(ISNA(VLOOKUP($E141,'A-1 Site Habitat Baseline'!$D$1:$O$258,3,FALSE)),"",(VLOOKUP($E141,'A-1 Site Habitat Baseline'!$D$1:$O$258,3,FALSE))))</f>
        <v/>
      </c>
      <c r="C141" s="47" t="str">
        <f>IFERROR(INDEX('G-8 Condition Look up'!$I$4:$I$130,MATCH(S141,'G-8 Condition Look up'!$A$4:$A$130,0)),"")</f>
        <v/>
      </c>
      <c r="E141" s="531" t="str">
        <f>'A-1 Site Habitat Baseline'!AL140</f>
        <v/>
      </c>
      <c r="F141" s="520" t="str">
        <f>IF(E141="","",IF(ISNA(VLOOKUP($E141,'A-1 Site Habitat Baseline'!$D$1:$O$258,4,FALSE)),"",(VLOOKUP($E141,'A-1 Site Habitat Baseline'!$D$1:$O$258,4,FALSE))))</f>
        <v/>
      </c>
      <c r="G141" s="520" t="str">
        <f>IF(E141="","",IF(ISNA(VLOOKUP($E141,'A-1 Site Habitat Baseline'!$D$1:$O$258,5,FALSE)),"",(VLOOKUP($E141,'A-1 Site Habitat Baseline'!$D$1:$O$258,5,FALSE))))</f>
        <v/>
      </c>
      <c r="H141" s="520" t="str">
        <f>IF(E141="","",IF(ISNA(VLOOKUP($E141,'A-1 Site Habitat Baseline'!$D$1:$O$258,6,FALSE)),"",(VLOOKUP($E141,'A-1 Site Habitat Baseline'!$D$1:$O$258,6,FALSE))))</f>
        <v/>
      </c>
      <c r="I141" s="520" t="str">
        <f>IF(E141="","",IF(ISNA(VLOOKUP($E141,'A-1 Site Habitat Baseline'!$D$1:$O$258,7,FALSE)),"",(VLOOKUP($E141,'A-1 Site Habitat Baseline'!$D$1:$O$258,7,FALSE))))</f>
        <v/>
      </c>
      <c r="J141" s="520" t="str">
        <f>IF(E141="","",IF(ISNA(VLOOKUP($E141,'A-1 Site Habitat Baseline'!$D$1:$O$258,8,FALSE)),"",(VLOOKUP($E141,'A-1 Site Habitat Baseline'!$D$1:$O$258,8,FALSE))))</f>
        <v/>
      </c>
      <c r="K141" s="520" t="str">
        <f>IF(E141="","",IF(ISNA(VLOOKUP($E141,'A-1 Site Habitat Baseline'!$D$1:$O$258,9,FALSE)),"",(VLOOKUP($E141,'A-1 Site Habitat Baseline'!$D$1:$O$258,9,FALSE))))</f>
        <v/>
      </c>
      <c r="L141" s="520" t="str">
        <f>IF(E141="","",IF(ISNA(VLOOKUP($E141,'A-1 Site Habitat Baseline'!$D$1:$O$258,11,FALSE)),"",(VLOOKUP($E141,'A-1 Site Habitat Baseline'!$D$1:$O$258,11,FALSE))))</f>
        <v/>
      </c>
      <c r="M141" s="520" t="str">
        <f>IF(E141="","",IF(ISNA(VLOOKUP($E141,'A-1 Site Habitat Baseline'!$D$1:$O$258,12,FALSE)),"",(VLOOKUP($E141,'A-1 Site Habitat Baseline'!$D$1:$O$258,12,FALSE))))</f>
        <v/>
      </c>
      <c r="N141" s="532" t="str">
        <f>IF(E141="","",IF(ISNA(VLOOKUP($E141,'A-1 Site Habitat Baseline'!$D$1:$X$258,14,FALSE)),"",(VLOOKUP($E141,'A-1 Site Habitat Baseline'!$D$1:$X$258,14,FALSE))))</f>
        <v/>
      </c>
      <c r="O141" s="524" t="str">
        <f>IF(E141="","",IF(ISNA(VLOOKUP($E141,'A-1 Site Habitat Baseline'!$D$1:$X$258,16,FALSE)),"",(VLOOKUP($E141,'A-1 Site Habitat Baseline'!$D$1:$X$258,13,FALSE))))</f>
        <v/>
      </c>
      <c r="P141" s="237" t="str">
        <f>IFERROR(INDEX('G-1 All Habitats'!$AG$3:$AG$15,MATCH(Q141,'G-1 All Habitats'!$AF$3:$AF$15,0)),"")</f>
        <v/>
      </c>
      <c r="Q141" s="238" t="str">
        <f t="shared" ref="Q141:Q204" si="26">A141</f>
        <v/>
      </c>
      <c r="R141" s="238" t="str">
        <f t="shared" ref="R141:R204" si="27">IF(B141="","",B141)</f>
        <v/>
      </c>
      <c r="S141" s="392" t="str">
        <f>IFERROR(INDEX('G-1 All Habitats'!$B$3:$B$129,MATCH(R141,'G-1 All Habitats'!$A$3:$A$129,0)),"")</f>
        <v/>
      </c>
      <c r="T141" s="498" t="str">
        <f t="shared" ref="T141:T204" si="28">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499" t="str">
        <f t="shared" ref="U141:U204" si="29">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37" t="str">
        <f t="shared" si="23"/>
        <v/>
      </c>
      <c r="W141" s="520" t="str">
        <f>IF(S141="","",VLOOKUP(S141,'G-1 All Habitats'!$B$2:$M$129,10,FALSE))</f>
        <v/>
      </c>
      <c r="X141" s="520" t="str">
        <f>IFERROR(VLOOKUP(W141,'G-1 All Habitats'!$V$3:$W$7,2,FALSE),"")</f>
        <v/>
      </c>
      <c r="Y141" s="79"/>
      <c r="Z141" s="524" t="str">
        <f>IFERROR(INDEX('G-8 Condition Look up'!$A$3:$H$130,MATCH(S141,'G-8 Condition Look up'!$A$3:$A$130,0),MATCH(Y141,'G-8 Condition Look up'!$A$3:$H$3,0)),"")</f>
        <v/>
      </c>
      <c r="AA141" s="71"/>
      <c r="AB141" s="520" t="str">
        <f>IF(AA141="","",IF(VLOOKUP(AA141,'G-3 Multipliers'!$L$3:$N$6,2,FALSE)=0,"Spatial Data Missing ⚠",VLOOKUP(AA141,'G-3 Multipliers'!$L$3:$N$6,2,FALSE)))</f>
        <v/>
      </c>
      <c r="AC141" s="524" t="str">
        <f>IF(AA141="","",IF(VLOOKUP(AA141,'G-3 Multipliers'!$L$3:$N$6,3,FALSE)=0,"Spatial Data Missing ⚠",VLOOKUP(AA141,'G-3 Multipliers'!$L$3:$N$6,3,FALSE)))</f>
        <v/>
      </c>
      <c r="AD141" s="539" t="str">
        <f t="shared" si="24"/>
        <v/>
      </c>
      <c r="AE141" s="82"/>
      <c r="AF141" s="82"/>
      <c r="AG141" s="507" t="str">
        <f t="shared" ref="AG141:AG204" si="30">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21" t="str">
        <f t="shared" ref="AH141:AH204" si="31">IF(LEFT(AG141,5)="Error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522" t="str">
        <f>IF(AH141="Check Data","Check Data",IFERROR(VLOOKUP(AH141,'G-4 Temporal multipliers'!$A$4:$C$36,3,FALSE),""))</f>
        <v/>
      </c>
      <c r="AJ141" s="498" t="str">
        <f>IF(S141="","",VLOOKUP(S141,'G-3 Multipliers'!$A$2:$E$129,4,FALSE))</f>
        <v/>
      </c>
      <c r="AK141" s="507" t="str">
        <f t="shared" ref="AK141:AK204" si="32">IF(E141="","",IF(AG141="Check details - Is there evidence that habitat has reached target condition? ⚠","Low Difficulty - only applicable if all habitat created before losses ⚠","Standard difficulty applied"))</f>
        <v/>
      </c>
      <c r="AL141" s="507" t="str">
        <f t="shared" ref="AL141:AL204" si="33">(IF(AND(AK141="Standard difficulty applied",AD141&gt;AE141),AJ141,IF(AND(AK141="Low Difficulty - only applicable if all habitat created before losses ⚠",AE141&gt;=AD141),"Low", AJ141)))</f>
        <v/>
      </c>
      <c r="AM141" s="540" t="str">
        <f>IFERROR(IF(F141="","",IF(AH141="Check Data ⚠","Check Data ⚠",VLOOKUP(AL141, 'G-3 Multipliers'!$P$2:$Q$6,2,FALSE))),"")</f>
        <v/>
      </c>
      <c r="AN141" s="513" t="str">
        <f t="shared" si="25"/>
        <v/>
      </c>
      <c r="AO141" s="239"/>
      <c r="AP141" s="240"/>
    </row>
    <row r="142" spans="1:42" x14ac:dyDescent="0.25">
      <c r="A142" s="47" t="str">
        <f>IF(E142="","",IF(ISNA(VLOOKUP($E142,'A-1 Site Habitat Baseline'!$D$1:$O$258,2,FALSE)),"",(VLOOKUP($E142,'A-1 Site Habitat Baseline'!$D$1:$O$258,2,FALSE))))</f>
        <v/>
      </c>
      <c r="B142" s="47" t="str">
        <f>IF(E142="","",IF(ISNA(VLOOKUP($E142,'A-1 Site Habitat Baseline'!$D$1:$O$258,3,FALSE)),"",(VLOOKUP($E142,'A-1 Site Habitat Baseline'!$D$1:$O$258,3,FALSE))))</f>
        <v/>
      </c>
      <c r="C142" s="47" t="str">
        <f>IFERROR(INDEX('G-8 Condition Look up'!$I$4:$I$130,MATCH(S142,'G-8 Condition Look up'!$A$4:$A$130,0)),"")</f>
        <v/>
      </c>
      <c r="E142" s="531" t="str">
        <f>'A-1 Site Habitat Baseline'!AL141</f>
        <v/>
      </c>
      <c r="F142" s="520" t="str">
        <f>IF(E142="","",IF(ISNA(VLOOKUP($E142,'A-1 Site Habitat Baseline'!$D$1:$O$258,4,FALSE)),"",(VLOOKUP($E142,'A-1 Site Habitat Baseline'!$D$1:$O$258,4,FALSE))))</f>
        <v/>
      </c>
      <c r="G142" s="520" t="str">
        <f>IF(E142="","",IF(ISNA(VLOOKUP($E142,'A-1 Site Habitat Baseline'!$D$1:$O$258,5,FALSE)),"",(VLOOKUP($E142,'A-1 Site Habitat Baseline'!$D$1:$O$258,5,FALSE))))</f>
        <v/>
      </c>
      <c r="H142" s="520" t="str">
        <f>IF(E142="","",IF(ISNA(VLOOKUP($E142,'A-1 Site Habitat Baseline'!$D$1:$O$258,6,FALSE)),"",(VLOOKUP($E142,'A-1 Site Habitat Baseline'!$D$1:$O$258,6,FALSE))))</f>
        <v/>
      </c>
      <c r="I142" s="520" t="str">
        <f>IF(E142="","",IF(ISNA(VLOOKUP($E142,'A-1 Site Habitat Baseline'!$D$1:$O$258,7,FALSE)),"",(VLOOKUP($E142,'A-1 Site Habitat Baseline'!$D$1:$O$258,7,FALSE))))</f>
        <v/>
      </c>
      <c r="J142" s="520" t="str">
        <f>IF(E142="","",IF(ISNA(VLOOKUP($E142,'A-1 Site Habitat Baseline'!$D$1:$O$258,8,FALSE)),"",(VLOOKUP($E142,'A-1 Site Habitat Baseline'!$D$1:$O$258,8,FALSE))))</f>
        <v/>
      </c>
      <c r="K142" s="520" t="str">
        <f>IF(E142="","",IF(ISNA(VLOOKUP($E142,'A-1 Site Habitat Baseline'!$D$1:$O$258,9,FALSE)),"",(VLOOKUP($E142,'A-1 Site Habitat Baseline'!$D$1:$O$258,9,FALSE))))</f>
        <v/>
      </c>
      <c r="L142" s="520" t="str">
        <f>IF(E142="","",IF(ISNA(VLOOKUP($E142,'A-1 Site Habitat Baseline'!$D$1:$O$258,11,FALSE)),"",(VLOOKUP($E142,'A-1 Site Habitat Baseline'!$D$1:$O$258,11,FALSE))))</f>
        <v/>
      </c>
      <c r="M142" s="520" t="str">
        <f>IF(E142="","",IF(ISNA(VLOOKUP($E142,'A-1 Site Habitat Baseline'!$D$1:$O$258,12,FALSE)),"",(VLOOKUP($E142,'A-1 Site Habitat Baseline'!$D$1:$O$258,12,FALSE))))</f>
        <v/>
      </c>
      <c r="N142" s="532" t="str">
        <f>IF(E142="","",IF(ISNA(VLOOKUP($E142,'A-1 Site Habitat Baseline'!$D$1:$X$258,14,FALSE)),"",(VLOOKUP($E142,'A-1 Site Habitat Baseline'!$D$1:$X$258,14,FALSE))))</f>
        <v/>
      </c>
      <c r="O142" s="524" t="str">
        <f>IF(E142="","",IF(ISNA(VLOOKUP($E142,'A-1 Site Habitat Baseline'!$D$1:$X$258,16,FALSE)),"",(VLOOKUP($E142,'A-1 Site Habitat Baseline'!$D$1:$X$258,13,FALSE))))</f>
        <v/>
      </c>
      <c r="P142" s="237" t="str">
        <f>IFERROR(INDEX('G-1 All Habitats'!$AG$3:$AG$15,MATCH(Q142,'G-1 All Habitats'!$AF$3:$AF$15,0)),"")</f>
        <v/>
      </c>
      <c r="Q142" s="238" t="str">
        <f t="shared" si="26"/>
        <v/>
      </c>
      <c r="R142" s="238" t="str">
        <f t="shared" si="27"/>
        <v/>
      </c>
      <c r="S142" s="392" t="str">
        <f>IFERROR(INDEX('G-1 All Habitats'!$B$3:$B$129,MATCH(R142,'G-1 All Habitats'!$A$3:$A$129,0)),"")</f>
        <v/>
      </c>
      <c r="T142" s="498" t="str">
        <f t="shared" si="28"/>
        <v/>
      </c>
      <c r="U142" s="499" t="str">
        <f t="shared" si="29"/>
        <v/>
      </c>
      <c r="V142" s="537" t="str">
        <f t="shared" si="23"/>
        <v/>
      </c>
      <c r="W142" s="520" t="str">
        <f>IF(S142="","",VLOOKUP(S142,'G-1 All Habitats'!$B$2:$M$129,10,FALSE))</f>
        <v/>
      </c>
      <c r="X142" s="520" t="str">
        <f>IFERROR(VLOOKUP(W142,'G-1 All Habitats'!$V$3:$W$7,2,FALSE),"")</f>
        <v/>
      </c>
      <c r="Y142" s="79"/>
      <c r="Z142" s="524" t="str">
        <f>IFERROR(INDEX('G-8 Condition Look up'!$A$3:$H$130,MATCH(S142,'G-8 Condition Look up'!$A$3:$A$130,0),MATCH(Y142,'G-8 Condition Look up'!$A$3:$H$3,0)),"")</f>
        <v/>
      </c>
      <c r="AA142" s="71"/>
      <c r="AB142" s="520" t="str">
        <f>IF(AA142="","",IF(VLOOKUP(AA142,'G-3 Multipliers'!$L$3:$N$6,2,FALSE)=0,"Spatial Data Missing ⚠",VLOOKUP(AA142,'G-3 Multipliers'!$L$3:$N$6,2,FALSE)))</f>
        <v/>
      </c>
      <c r="AC142" s="524" t="str">
        <f>IF(AA142="","",IF(VLOOKUP(AA142,'G-3 Multipliers'!$L$3:$N$6,3,FALSE)=0,"Spatial Data Missing ⚠",VLOOKUP(AA142,'G-3 Multipliers'!$L$3:$N$6,3,FALSE)))</f>
        <v/>
      </c>
      <c r="AD142" s="539" t="str">
        <f t="shared" si="24"/>
        <v/>
      </c>
      <c r="AE142" s="82"/>
      <c r="AF142" s="82"/>
      <c r="AG142" s="507" t="str">
        <f t="shared" si="30"/>
        <v/>
      </c>
      <c r="AH142" s="521" t="str">
        <f t="shared" si="31"/>
        <v/>
      </c>
      <c r="AI142" s="522" t="str">
        <f>IF(AH142="Check Data","Check Data",IFERROR(VLOOKUP(AH142,'G-4 Temporal multipliers'!$A$4:$C$36,3,FALSE),""))</f>
        <v/>
      </c>
      <c r="AJ142" s="498" t="str">
        <f>IF(S142="","",VLOOKUP(S142,'G-3 Multipliers'!$A$2:$E$129,4,FALSE))</f>
        <v/>
      </c>
      <c r="AK142" s="507" t="str">
        <f t="shared" si="32"/>
        <v/>
      </c>
      <c r="AL142" s="507" t="str">
        <f t="shared" si="33"/>
        <v/>
      </c>
      <c r="AM142" s="540" t="str">
        <f>IFERROR(IF(F142="","",IF(AH142="Check Data ⚠","Check Data ⚠",VLOOKUP(AL142, 'G-3 Multipliers'!$P$2:$Q$6,2,FALSE))),"")</f>
        <v/>
      </c>
      <c r="AN142" s="513" t="str">
        <f t="shared" si="25"/>
        <v/>
      </c>
      <c r="AO142" s="239"/>
      <c r="AP142" s="240"/>
    </row>
    <row r="143" spans="1:42" x14ac:dyDescent="0.25">
      <c r="A143" s="47" t="str">
        <f>IF(E143="","",IF(ISNA(VLOOKUP($E143,'A-1 Site Habitat Baseline'!$D$1:$O$258,2,FALSE)),"",(VLOOKUP($E143,'A-1 Site Habitat Baseline'!$D$1:$O$258,2,FALSE))))</f>
        <v/>
      </c>
      <c r="B143" s="47" t="str">
        <f>IF(E143="","",IF(ISNA(VLOOKUP($E143,'A-1 Site Habitat Baseline'!$D$1:$O$258,3,FALSE)),"",(VLOOKUP($E143,'A-1 Site Habitat Baseline'!$D$1:$O$258,3,FALSE))))</f>
        <v/>
      </c>
      <c r="C143" s="47" t="str">
        <f>IFERROR(INDEX('G-8 Condition Look up'!$I$4:$I$130,MATCH(S143,'G-8 Condition Look up'!$A$4:$A$130,0)),"")</f>
        <v/>
      </c>
      <c r="E143" s="531" t="str">
        <f>'A-1 Site Habitat Baseline'!AL142</f>
        <v/>
      </c>
      <c r="F143" s="520" t="str">
        <f>IF(E143="","",IF(ISNA(VLOOKUP($E143,'A-1 Site Habitat Baseline'!$D$1:$O$258,4,FALSE)),"",(VLOOKUP($E143,'A-1 Site Habitat Baseline'!$D$1:$O$258,4,FALSE))))</f>
        <v/>
      </c>
      <c r="G143" s="520" t="str">
        <f>IF(E143="","",IF(ISNA(VLOOKUP($E143,'A-1 Site Habitat Baseline'!$D$1:$O$258,5,FALSE)),"",(VLOOKUP($E143,'A-1 Site Habitat Baseline'!$D$1:$O$258,5,FALSE))))</f>
        <v/>
      </c>
      <c r="H143" s="520" t="str">
        <f>IF(E143="","",IF(ISNA(VLOOKUP($E143,'A-1 Site Habitat Baseline'!$D$1:$O$258,6,FALSE)),"",(VLOOKUP($E143,'A-1 Site Habitat Baseline'!$D$1:$O$258,6,FALSE))))</f>
        <v/>
      </c>
      <c r="I143" s="520" t="str">
        <f>IF(E143="","",IF(ISNA(VLOOKUP($E143,'A-1 Site Habitat Baseline'!$D$1:$O$258,7,FALSE)),"",(VLOOKUP($E143,'A-1 Site Habitat Baseline'!$D$1:$O$258,7,FALSE))))</f>
        <v/>
      </c>
      <c r="J143" s="520" t="str">
        <f>IF(E143="","",IF(ISNA(VLOOKUP($E143,'A-1 Site Habitat Baseline'!$D$1:$O$258,8,FALSE)),"",(VLOOKUP($E143,'A-1 Site Habitat Baseline'!$D$1:$O$258,8,FALSE))))</f>
        <v/>
      </c>
      <c r="K143" s="520" t="str">
        <f>IF(E143="","",IF(ISNA(VLOOKUP($E143,'A-1 Site Habitat Baseline'!$D$1:$O$258,9,FALSE)),"",(VLOOKUP($E143,'A-1 Site Habitat Baseline'!$D$1:$O$258,9,FALSE))))</f>
        <v/>
      </c>
      <c r="L143" s="520" t="str">
        <f>IF(E143="","",IF(ISNA(VLOOKUP($E143,'A-1 Site Habitat Baseline'!$D$1:$O$258,11,FALSE)),"",(VLOOKUP($E143,'A-1 Site Habitat Baseline'!$D$1:$O$258,11,FALSE))))</f>
        <v/>
      </c>
      <c r="M143" s="520" t="str">
        <f>IF(E143="","",IF(ISNA(VLOOKUP($E143,'A-1 Site Habitat Baseline'!$D$1:$O$258,12,FALSE)),"",(VLOOKUP($E143,'A-1 Site Habitat Baseline'!$D$1:$O$258,12,FALSE))))</f>
        <v/>
      </c>
      <c r="N143" s="532" t="str">
        <f>IF(E143="","",IF(ISNA(VLOOKUP($E143,'A-1 Site Habitat Baseline'!$D$1:$X$258,14,FALSE)),"",(VLOOKUP($E143,'A-1 Site Habitat Baseline'!$D$1:$X$258,14,FALSE))))</f>
        <v/>
      </c>
      <c r="O143" s="524" t="str">
        <f>IF(E143="","",IF(ISNA(VLOOKUP($E143,'A-1 Site Habitat Baseline'!$D$1:$X$258,16,FALSE)),"",(VLOOKUP($E143,'A-1 Site Habitat Baseline'!$D$1:$X$258,13,FALSE))))</f>
        <v/>
      </c>
      <c r="P143" s="237" t="str">
        <f>IFERROR(INDEX('G-1 All Habitats'!$AG$3:$AG$15,MATCH(Q143,'G-1 All Habitats'!$AF$3:$AF$15,0)),"")</f>
        <v/>
      </c>
      <c r="Q143" s="238" t="str">
        <f t="shared" si="26"/>
        <v/>
      </c>
      <c r="R143" s="238" t="str">
        <f t="shared" si="27"/>
        <v/>
      </c>
      <c r="S143" s="392" t="str">
        <f>IFERROR(INDEX('G-1 All Habitats'!$B$3:$B$129,MATCH(R143,'G-1 All Habitats'!$A$3:$A$129,0)),"")</f>
        <v/>
      </c>
      <c r="T143" s="498" t="str">
        <f t="shared" si="28"/>
        <v/>
      </c>
      <c r="U143" s="499" t="str">
        <f t="shared" si="29"/>
        <v/>
      </c>
      <c r="V143" s="537" t="str">
        <f t="shared" si="23"/>
        <v/>
      </c>
      <c r="W143" s="520" t="str">
        <f>IF(S143="","",VLOOKUP(S143,'G-1 All Habitats'!$B$2:$M$129,10,FALSE))</f>
        <v/>
      </c>
      <c r="X143" s="520" t="str">
        <f>IFERROR(VLOOKUP(W143,'G-1 All Habitats'!$V$3:$W$7,2,FALSE),"")</f>
        <v/>
      </c>
      <c r="Y143" s="79"/>
      <c r="Z143" s="524" t="str">
        <f>IFERROR(INDEX('G-8 Condition Look up'!$A$3:$H$130,MATCH(S143,'G-8 Condition Look up'!$A$3:$A$130,0),MATCH(Y143,'G-8 Condition Look up'!$A$3:$H$3,0)),"")</f>
        <v/>
      </c>
      <c r="AA143" s="71"/>
      <c r="AB143" s="520" t="str">
        <f>IF(AA143="","",IF(VLOOKUP(AA143,'G-3 Multipliers'!$L$3:$N$6,2,FALSE)=0,"Spatial Data Missing ⚠",VLOOKUP(AA143,'G-3 Multipliers'!$L$3:$N$6,2,FALSE)))</f>
        <v/>
      </c>
      <c r="AC143" s="524" t="str">
        <f>IF(AA143="","",IF(VLOOKUP(AA143,'G-3 Multipliers'!$L$3:$N$6,3,FALSE)=0,"Spatial Data Missing ⚠",VLOOKUP(AA143,'G-3 Multipliers'!$L$3:$N$6,3,FALSE)))</f>
        <v/>
      </c>
      <c r="AD143" s="539" t="str">
        <f t="shared" si="24"/>
        <v/>
      </c>
      <c r="AE143" s="82"/>
      <c r="AF143" s="82"/>
      <c r="AG143" s="507" t="str">
        <f t="shared" si="30"/>
        <v/>
      </c>
      <c r="AH143" s="521" t="str">
        <f t="shared" si="31"/>
        <v/>
      </c>
      <c r="AI143" s="522" t="str">
        <f>IF(AH143="Check Data","Check Data",IFERROR(VLOOKUP(AH143,'G-4 Temporal multipliers'!$A$4:$C$36,3,FALSE),""))</f>
        <v/>
      </c>
      <c r="AJ143" s="498" t="str">
        <f>IF(S143="","",VLOOKUP(S143,'G-3 Multipliers'!$A$2:$E$129,4,FALSE))</f>
        <v/>
      </c>
      <c r="AK143" s="507" t="str">
        <f t="shared" si="32"/>
        <v/>
      </c>
      <c r="AL143" s="507" t="str">
        <f t="shared" si="33"/>
        <v/>
      </c>
      <c r="AM143" s="540" t="str">
        <f>IFERROR(IF(F143="","",IF(AH143="Check Data ⚠","Check Data ⚠",VLOOKUP(AL143, 'G-3 Multipliers'!$P$2:$Q$6,2,FALSE))),"")</f>
        <v/>
      </c>
      <c r="AN143" s="513" t="str">
        <f t="shared" si="25"/>
        <v/>
      </c>
      <c r="AO143" s="239"/>
      <c r="AP143" s="240"/>
    </row>
    <row r="144" spans="1:42" x14ac:dyDescent="0.25">
      <c r="A144" s="47" t="str">
        <f>IF(E144="","",IF(ISNA(VLOOKUP($E144,'A-1 Site Habitat Baseline'!$D$1:$O$258,2,FALSE)),"",(VLOOKUP($E144,'A-1 Site Habitat Baseline'!$D$1:$O$258,2,FALSE))))</f>
        <v/>
      </c>
      <c r="B144" s="47" t="str">
        <f>IF(E144="","",IF(ISNA(VLOOKUP($E144,'A-1 Site Habitat Baseline'!$D$1:$O$258,3,FALSE)),"",(VLOOKUP($E144,'A-1 Site Habitat Baseline'!$D$1:$O$258,3,FALSE))))</f>
        <v/>
      </c>
      <c r="C144" s="47" t="str">
        <f>IFERROR(INDEX('G-8 Condition Look up'!$I$4:$I$130,MATCH(S144,'G-8 Condition Look up'!$A$4:$A$130,0)),"")</f>
        <v/>
      </c>
      <c r="E144" s="531" t="str">
        <f>'A-1 Site Habitat Baseline'!AL143</f>
        <v/>
      </c>
      <c r="F144" s="520" t="str">
        <f>IF(E144="","",IF(ISNA(VLOOKUP($E144,'A-1 Site Habitat Baseline'!$D$1:$O$258,4,FALSE)),"",(VLOOKUP($E144,'A-1 Site Habitat Baseline'!$D$1:$O$258,4,FALSE))))</f>
        <v/>
      </c>
      <c r="G144" s="520" t="str">
        <f>IF(E144="","",IF(ISNA(VLOOKUP($E144,'A-1 Site Habitat Baseline'!$D$1:$O$258,5,FALSE)),"",(VLOOKUP($E144,'A-1 Site Habitat Baseline'!$D$1:$O$258,5,FALSE))))</f>
        <v/>
      </c>
      <c r="H144" s="520" t="str">
        <f>IF(E144="","",IF(ISNA(VLOOKUP($E144,'A-1 Site Habitat Baseline'!$D$1:$O$258,6,FALSE)),"",(VLOOKUP($E144,'A-1 Site Habitat Baseline'!$D$1:$O$258,6,FALSE))))</f>
        <v/>
      </c>
      <c r="I144" s="520" t="str">
        <f>IF(E144="","",IF(ISNA(VLOOKUP($E144,'A-1 Site Habitat Baseline'!$D$1:$O$258,7,FALSE)),"",(VLOOKUP($E144,'A-1 Site Habitat Baseline'!$D$1:$O$258,7,FALSE))))</f>
        <v/>
      </c>
      <c r="J144" s="520" t="str">
        <f>IF(E144="","",IF(ISNA(VLOOKUP($E144,'A-1 Site Habitat Baseline'!$D$1:$O$258,8,FALSE)),"",(VLOOKUP($E144,'A-1 Site Habitat Baseline'!$D$1:$O$258,8,FALSE))))</f>
        <v/>
      </c>
      <c r="K144" s="520" t="str">
        <f>IF(E144="","",IF(ISNA(VLOOKUP($E144,'A-1 Site Habitat Baseline'!$D$1:$O$258,9,FALSE)),"",(VLOOKUP($E144,'A-1 Site Habitat Baseline'!$D$1:$O$258,9,FALSE))))</f>
        <v/>
      </c>
      <c r="L144" s="520" t="str">
        <f>IF(E144="","",IF(ISNA(VLOOKUP($E144,'A-1 Site Habitat Baseline'!$D$1:$O$258,11,FALSE)),"",(VLOOKUP($E144,'A-1 Site Habitat Baseline'!$D$1:$O$258,11,FALSE))))</f>
        <v/>
      </c>
      <c r="M144" s="520" t="str">
        <f>IF(E144="","",IF(ISNA(VLOOKUP($E144,'A-1 Site Habitat Baseline'!$D$1:$O$258,12,FALSE)),"",(VLOOKUP($E144,'A-1 Site Habitat Baseline'!$D$1:$O$258,12,FALSE))))</f>
        <v/>
      </c>
      <c r="N144" s="532" t="str">
        <f>IF(E144="","",IF(ISNA(VLOOKUP($E144,'A-1 Site Habitat Baseline'!$D$1:$X$258,14,FALSE)),"",(VLOOKUP($E144,'A-1 Site Habitat Baseline'!$D$1:$X$258,14,FALSE))))</f>
        <v/>
      </c>
      <c r="O144" s="524" t="str">
        <f>IF(E144="","",IF(ISNA(VLOOKUP($E144,'A-1 Site Habitat Baseline'!$D$1:$X$258,16,FALSE)),"",(VLOOKUP($E144,'A-1 Site Habitat Baseline'!$D$1:$X$258,13,FALSE))))</f>
        <v/>
      </c>
      <c r="P144" s="237" t="str">
        <f>IFERROR(INDEX('G-1 All Habitats'!$AG$3:$AG$15,MATCH(Q144,'G-1 All Habitats'!$AF$3:$AF$15,0)),"")</f>
        <v/>
      </c>
      <c r="Q144" s="238" t="str">
        <f t="shared" si="26"/>
        <v/>
      </c>
      <c r="R144" s="238" t="str">
        <f t="shared" si="27"/>
        <v/>
      </c>
      <c r="S144" s="392" t="str">
        <f>IFERROR(INDEX('G-1 All Habitats'!$B$3:$B$129,MATCH(R144,'G-1 All Habitats'!$A$3:$A$129,0)),"")</f>
        <v/>
      </c>
      <c r="T144" s="498" t="str">
        <f t="shared" si="28"/>
        <v/>
      </c>
      <c r="U144" s="499" t="str">
        <f t="shared" si="29"/>
        <v/>
      </c>
      <c r="V144" s="537" t="str">
        <f t="shared" si="23"/>
        <v/>
      </c>
      <c r="W144" s="520" t="str">
        <f>IF(S144="","",VLOOKUP(S144,'G-1 All Habitats'!$B$2:$M$129,10,FALSE))</f>
        <v/>
      </c>
      <c r="X144" s="520" t="str">
        <f>IFERROR(VLOOKUP(W144,'G-1 All Habitats'!$V$3:$W$7,2,FALSE),"")</f>
        <v/>
      </c>
      <c r="Y144" s="79"/>
      <c r="Z144" s="524" t="str">
        <f>IFERROR(INDEX('G-8 Condition Look up'!$A$3:$H$130,MATCH(S144,'G-8 Condition Look up'!$A$3:$A$130,0),MATCH(Y144,'G-8 Condition Look up'!$A$3:$H$3,0)),"")</f>
        <v/>
      </c>
      <c r="AA144" s="71"/>
      <c r="AB144" s="520" t="str">
        <f>IF(AA144="","",IF(VLOOKUP(AA144,'G-3 Multipliers'!$L$3:$N$6,2,FALSE)=0,"Spatial Data Missing ⚠",VLOOKUP(AA144,'G-3 Multipliers'!$L$3:$N$6,2,FALSE)))</f>
        <v/>
      </c>
      <c r="AC144" s="524" t="str">
        <f>IF(AA144="","",IF(VLOOKUP(AA144,'G-3 Multipliers'!$L$3:$N$6,3,FALSE)=0,"Spatial Data Missing ⚠",VLOOKUP(AA144,'G-3 Multipliers'!$L$3:$N$6,3,FALSE)))</f>
        <v/>
      </c>
      <c r="AD144" s="539" t="str">
        <f t="shared" si="24"/>
        <v/>
      </c>
      <c r="AE144" s="82"/>
      <c r="AF144" s="82"/>
      <c r="AG144" s="507" t="str">
        <f t="shared" si="30"/>
        <v/>
      </c>
      <c r="AH144" s="521" t="str">
        <f t="shared" si="31"/>
        <v/>
      </c>
      <c r="AI144" s="522" t="str">
        <f>IF(AH144="Check Data","Check Data",IFERROR(VLOOKUP(AH144,'G-4 Temporal multipliers'!$A$4:$C$36,3,FALSE),""))</f>
        <v/>
      </c>
      <c r="AJ144" s="498" t="str">
        <f>IF(S144="","",VLOOKUP(S144,'G-3 Multipliers'!$A$2:$E$129,4,FALSE))</f>
        <v/>
      </c>
      <c r="AK144" s="507" t="str">
        <f t="shared" si="32"/>
        <v/>
      </c>
      <c r="AL144" s="507" t="str">
        <f t="shared" si="33"/>
        <v/>
      </c>
      <c r="AM144" s="540" t="str">
        <f>IFERROR(IF(F144="","",IF(AH144="Check Data ⚠","Check Data ⚠",VLOOKUP(AL144, 'G-3 Multipliers'!$P$2:$Q$6,2,FALSE))),"")</f>
        <v/>
      </c>
      <c r="AN144" s="513" t="str">
        <f t="shared" si="25"/>
        <v/>
      </c>
      <c r="AO144" s="239"/>
      <c r="AP144" s="240"/>
    </row>
    <row r="145" spans="1:42" x14ac:dyDescent="0.25">
      <c r="A145" s="47" t="str">
        <f>IF(E145="","",IF(ISNA(VLOOKUP($E145,'A-1 Site Habitat Baseline'!$D$1:$O$258,2,FALSE)),"",(VLOOKUP($E145,'A-1 Site Habitat Baseline'!$D$1:$O$258,2,FALSE))))</f>
        <v/>
      </c>
      <c r="B145" s="47" t="str">
        <f>IF(E145="","",IF(ISNA(VLOOKUP($E145,'A-1 Site Habitat Baseline'!$D$1:$O$258,3,FALSE)),"",(VLOOKUP($E145,'A-1 Site Habitat Baseline'!$D$1:$O$258,3,FALSE))))</f>
        <v/>
      </c>
      <c r="C145" s="47" t="str">
        <f>IFERROR(INDEX('G-8 Condition Look up'!$I$4:$I$130,MATCH(S145,'G-8 Condition Look up'!$A$4:$A$130,0)),"")</f>
        <v/>
      </c>
      <c r="E145" s="531" t="str">
        <f>'A-1 Site Habitat Baseline'!AL144</f>
        <v/>
      </c>
      <c r="F145" s="520" t="str">
        <f>IF(E145="","",IF(ISNA(VLOOKUP($E145,'A-1 Site Habitat Baseline'!$D$1:$O$258,4,FALSE)),"",(VLOOKUP($E145,'A-1 Site Habitat Baseline'!$D$1:$O$258,4,FALSE))))</f>
        <v/>
      </c>
      <c r="G145" s="520" t="str">
        <f>IF(E145="","",IF(ISNA(VLOOKUP($E145,'A-1 Site Habitat Baseline'!$D$1:$O$258,5,FALSE)),"",(VLOOKUP($E145,'A-1 Site Habitat Baseline'!$D$1:$O$258,5,FALSE))))</f>
        <v/>
      </c>
      <c r="H145" s="520" t="str">
        <f>IF(E145="","",IF(ISNA(VLOOKUP($E145,'A-1 Site Habitat Baseline'!$D$1:$O$258,6,FALSE)),"",(VLOOKUP($E145,'A-1 Site Habitat Baseline'!$D$1:$O$258,6,FALSE))))</f>
        <v/>
      </c>
      <c r="I145" s="520" t="str">
        <f>IF(E145="","",IF(ISNA(VLOOKUP($E145,'A-1 Site Habitat Baseline'!$D$1:$O$258,7,FALSE)),"",(VLOOKUP($E145,'A-1 Site Habitat Baseline'!$D$1:$O$258,7,FALSE))))</f>
        <v/>
      </c>
      <c r="J145" s="520" t="str">
        <f>IF(E145="","",IF(ISNA(VLOOKUP($E145,'A-1 Site Habitat Baseline'!$D$1:$O$258,8,FALSE)),"",(VLOOKUP($E145,'A-1 Site Habitat Baseline'!$D$1:$O$258,8,FALSE))))</f>
        <v/>
      </c>
      <c r="K145" s="520" t="str">
        <f>IF(E145="","",IF(ISNA(VLOOKUP($E145,'A-1 Site Habitat Baseline'!$D$1:$O$258,9,FALSE)),"",(VLOOKUP($E145,'A-1 Site Habitat Baseline'!$D$1:$O$258,9,FALSE))))</f>
        <v/>
      </c>
      <c r="L145" s="520" t="str">
        <f>IF(E145="","",IF(ISNA(VLOOKUP($E145,'A-1 Site Habitat Baseline'!$D$1:$O$258,11,FALSE)),"",(VLOOKUP($E145,'A-1 Site Habitat Baseline'!$D$1:$O$258,11,FALSE))))</f>
        <v/>
      </c>
      <c r="M145" s="520" t="str">
        <f>IF(E145="","",IF(ISNA(VLOOKUP($E145,'A-1 Site Habitat Baseline'!$D$1:$O$258,12,FALSE)),"",(VLOOKUP($E145,'A-1 Site Habitat Baseline'!$D$1:$O$258,12,FALSE))))</f>
        <v/>
      </c>
      <c r="N145" s="532" t="str">
        <f>IF(E145="","",IF(ISNA(VLOOKUP($E145,'A-1 Site Habitat Baseline'!$D$1:$X$258,14,FALSE)),"",(VLOOKUP($E145,'A-1 Site Habitat Baseline'!$D$1:$X$258,14,FALSE))))</f>
        <v/>
      </c>
      <c r="O145" s="524" t="str">
        <f>IF(E145="","",IF(ISNA(VLOOKUP($E145,'A-1 Site Habitat Baseline'!$D$1:$X$258,16,FALSE)),"",(VLOOKUP($E145,'A-1 Site Habitat Baseline'!$D$1:$X$258,13,FALSE))))</f>
        <v/>
      </c>
      <c r="P145" s="237" t="str">
        <f>IFERROR(INDEX('G-1 All Habitats'!$AG$3:$AG$15,MATCH(Q145,'G-1 All Habitats'!$AF$3:$AF$15,0)),"")</f>
        <v/>
      </c>
      <c r="Q145" s="238" t="str">
        <f t="shared" si="26"/>
        <v/>
      </c>
      <c r="R145" s="238" t="str">
        <f t="shared" si="27"/>
        <v/>
      </c>
      <c r="S145" s="392" t="str">
        <f>IFERROR(INDEX('G-1 All Habitats'!$B$3:$B$129,MATCH(R145,'G-1 All Habitats'!$A$3:$A$129,0)),"")</f>
        <v/>
      </c>
      <c r="T145" s="498" t="str">
        <f t="shared" si="28"/>
        <v/>
      </c>
      <c r="U145" s="499" t="str">
        <f t="shared" si="29"/>
        <v/>
      </c>
      <c r="V145" s="537" t="str">
        <f t="shared" si="23"/>
        <v/>
      </c>
      <c r="W145" s="520" t="str">
        <f>IF(S145="","",VLOOKUP(S145,'G-1 All Habitats'!$B$2:$M$129,10,FALSE))</f>
        <v/>
      </c>
      <c r="X145" s="520" t="str">
        <f>IFERROR(VLOOKUP(W145,'G-1 All Habitats'!$V$3:$W$7,2,FALSE),"")</f>
        <v/>
      </c>
      <c r="Y145" s="79"/>
      <c r="Z145" s="524" t="str">
        <f>IFERROR(INDEX('G-8 Condition Look up'!$A$3:$H$130,MATCH(S145,'G-8 Condition Look up'!$A$3:$A$130,0),MATCH(Y145,'G-8 Condition Look up'!$A$3:$H$3,0)),"")</f>
        <v/>
      </c>
      <c r="AA145" s="71"/>
      <c r="AB145" s="520" t="str">
        <f>IF(AA145="","",IF(VLOOKUP(AA145,'G-3 Multipliers'!$L$3:$N$6,2,FALSE)=0,"Spatial Data Missing ⚠",VLOOKUP(AA145,'G-3 Multipliers'!$L$3:$N$6,2,FALSE)))</f>
        <v/>
      </c>
      <c r="AC145" s="524" t="str">
        <f>IF(AA145="","",IF(VLOOKUP(AA145,'G-3 Multipliers'!$L$3:$N$6,3,FALSE)=0,"Spatial Data Missing ⚠",VLOOKUP(AA145,'G-3 Multipliers'!$L$3:$N$6,3,FALSE)))</f>
        <v/>
      </c>
      <c r="AD145" s="539" t="str">
        <f t="shared" si="24"/>
        <v/>
      </c>
      <c r="AE145" s="82"/>
      <c r="AF145" s="82"/>
      <c r="AG145" s="507" t="str">
        <f t="shared" si="30"/>
        <v/>
      </c>
      <c r="AH145" s="521" t="str">
        <f t="shared" si="31"/>
        <v/>
      </c>
      <c r="AI145" s="522" t="str">
        <f>IF(AH145="Check Data","Check Data",IFERROR(VLOOKUP(AH145,'G-4 Temporal multipliers'!$A$4:$C$36,3,FALSE),""))</f>
        <v/>
      </c>
      <c r="AJ145" s="498" t="str">
        <f>IF(S145="","",VLOOKUP(S145,'G-3 Multipliers'!$A$2:$E$129,4,FALSE))</f>
        <v/>
      </c>
      <c r="AK145" s="507" t="str">
        <f t="shared" si="32"/>
        <v/>
      </c>
      <c r="AL145" s="507" t="str">
        <f t="shared" si="33"/>
        <v/>
      </c>
      <c r="AM145" s="540" t="str">
        <f>IFERROR(IF(F145="","",IF(AH145="Check Data ⚠","Check Data ⚠",VLOOKUP(AL145, 'G-3 Multipliers'!$P$2:$Q$6,2,FALSE))),"")</f>
        <v/>
      </c>
      <c r="AN145" s="513" t="str">
        <f t="shared" si="25"/>
        <v/>
      </c>
      <c r="AO145" s="239"/>
      <c r="AP145" s="240"/>
    </row>
    <row r="146" spans="1:42" x14ac:dyDescent="0.25">
      <c r="A146" s="47" t="str">
        <f>IF(E146="","",IF(ISNA(VLOOKUP($E146,'A-1 Site Habitat Baseline'!$D$1:$O$258,2,FALSE)),"",(VLOOKUP($E146,'A-1 Site Habitat Baseline'!$D$1:$O$258,2,FALSE))))</f>
        <v/>
      </c>
      <c r="B146" s="47" t="str">
        <f>IF(E146="","",IF(ISNA(VLOOKUP($E146,'A-1 Site Habitat Baseline'!$D$1:$O$258,3,FALSE)),"",(VLOOKUP($E146,'A-1 Site Habitat Baseline'!$D$1:$O$258,3,FALSE))))</f>
        <v/>
      </c>
      <c r="C146" s="47" t="str">
        <f>IFERROR(INDEX('G-8 Condition Look up'!$I$4:$I$130,MATCH(S146,'G-8 Condition Look up'!$A$4:$A$130,0)),"")</f>
        <v/>
      </c>
      <c r="E146" s="531" t="str">
        <f>'A-1 Site Habitat Baseline'!AL145</f>
        <v/>
      </c>
      <c r="F146" s="520" t="str">
        <f>IF(E146="","",IF(ISNA(VLOOKUP($E146,'A-1 Site Habitat Baseline'!$D$1:$O$258,4,FALSE)),"",(VLOOKUP($E146,'A-1 Site Habitat Baseline'!$D$1:$O$258,4,FALSE))))</f>
        <v/>
      </c>
      <c r="G146" s="520" t="str">
        <f>IF(E146="","",IF(ISNA(VLOOKUP($E146,'A-1 Site Habitat Baseline'!$D$1:$O$258,5,FALSE)),"",(VLOOKUP($E146,'A-1 Site Habitat Baseline'!$D$1:$O$258,5,FALSE))))</f>
        <v/>
      </c>
      <c r="H146" s="520" t="str">
        <f>IF(E146="","",IF(ISNA(VLOOKUP($E146,'A-1 Site Habitat Baseline'!$D$1:$O$258,6,FALSE)),"",(VLOOKUP($E146,'A-1 Site Habitat Baseline'!$D$1:$O$258,6,FALSE))))</f>
        <v/>
      </c>
      <c r="I146" s="520" t="str">
        <f>IF(E146="","",IF(ISNA(VLOOKUP($E146,'A-1 Site Habitat Baseline'!$D$1:$O$258,7,FALSE)),"",(VLOOKUP($E146,'A-1 Site Habitat Baseline'!$D$1:$O$258,7,FALSE))))</f>
        <v/>
      </c>
      <c r="J146" s="520" t="str">
        <f>IF(E146="","",IF(ISNA(VLOOKUP($E146,'A-1 Site Habitat Baseline'!$D$1:$O$258,8,FALSE)),"",(VLOOKUP($E146,'A-1 Site Habitat Baseline'!$D$1:$O$258,8,FALSE))))</f>
        <v/>
      </c>
      <c r="K146" s="520" t="str">
        <f>IF(E146="","",IF(ISNA(VLOOKUP($E146,'A-1 Site Habitat Baseline'!$D$1:$O$258,9,FALSE)),"",(VLOOKUP($E146,'A-1 Site Habitat Baseline'!$D$1:$O$258,9,FALSE))))</f>
        <v/>
      </c>
      <c r="L146" s="520" t="str">
        <f>IF(E146="","",IF(ISNA(VLOOKUP($E146,'A-1 Site Habitat Baseline'!$D$1:$O$258,11,FALSE)),"",(VLOOKUP($E146,'A-1 Site Habitat Baseline'!$D$1:$O$258,11,FALSE))))</f>
        <v/>
      </c>
      <c r="M146" s="520" t="str">
        <f>IF(E146="","",IF(ISNA(VLOOKUP($E146,'A-1 Site Habitat Baseline'!$D$1:$O$258,12,FALSE)),"",(VLOOKUP($E146,'A-1 Site Habitat Baseline'!$D$1:$O$258,12,FALSE))))</f>
        <v/>
      </c>
      <c r="N146" s="532" t="str">
        <f>IF(E146="","",IF(ISNA(VLOOKUP($E146,'A-1 Site Habitat Baseline'!$D$1:$X$258,14,FALSE)),"",(VLOOKUP($E146,'A-1 Site Habitat Baseline'!$D$1:$X$258,14,FALSE))))</f>
        <v/>
      </c>
      <c r="O146" s="524" t="str">
        <f>IF(E146="","",IF(ISNA(VLOOKUP($E146,'A-1 Site Habitat Baseline'!$D$1:$X$258,16,FALSE)),"",(VLOOKUP($E146,'A-1 Site Habitat Baseline'!$D$1:$X$258,13,FALSE))))</f>
        <v/>
      </c>
      <c r="P146" s="237" t="str">
        <f>IFERROR(INDEX('G-1 All Habitats'!$AG$3:$AG$15,MATCH(Q146,'G-1 All Habitats'!$AF$3:$AF$15,0)),"")</f>
        <v/>
      </c>
      <c r="Q146" s="238" t="str">
        <f t="shared" si="26"/>
        <v/>
      </c>
      <c r="R146" s="238" t="str">
        <f t="shared" si="27"/>
        <v/>
      </c>
      <c r="S146" s="392" t="str">
        <f>IFERROR(INDEX('G-1 All Habitats'!$B$3:$B$129,MATCH(R146,'G-1 All Habitats'!$A$3:$A$129,0)),"")</f>
        <v/>
      </c>
      <c r="T146" s="498" t="str">
        <f t="shared" si="28"/>
        <v/>
      </c>
      <c r="U146" s="499" t="str">
        <f t="shared" si="29"/>
        <v/>
      </c>
      <c r="V146" s="537" t="str">
        <f t="shared" si="23"/>
        <v/>
      </c>
      <c r="W146" s="520" t="str">
        <f>IF(S146="","",VLOOKUP(S146,'G-1 All Habitats'!$B$2:$M$129,10,FALSE))</f>
        <v/>
      </c>
      <c r="X146" s="520" t="str">
        <f>IFERROR(VLOOKUP(W146,'G-1 All Habitats'!$V$3:$W$7,2,FALSE),"")</f>
        <v/>
      </c>
      <c r="Y146" s="79"/>
      <c r="Z146" s="524" t="str">
        <f>IFERROR(INDEX('G-8 Condition Look up'!$A$3:$H$130,MATCH(S146,'G-8 Condition Look up'!$A$3:$A$130,0),MATCH(Y146,'G-8 Condition Look up'!$A$3:$H$3,0)),"")</f>
        <v/>
      </c>
      <c r="AA146" s="71"/>
      <c r="AB146" s="520" t="str">
        <f>IF(AA146="","",IF(VLOOKUP(AA146,'G-3 Multipliers'!$L$3:$N$6,2,FALSE)=0,"Spatial Data Missing ⚠",VLOOKUP(AA146,'G-3 Multipliers'!$L$3:$N$6,2,FALSE)))</f>
        <v/>
      </c>
      <c r="AC146" s="524" t="str">
        <f>IF(AA146="","",IF(VLOOKUP(AA146,'G-3 Multipliers'!$L$3:$N$6,3,FALSE)=0,"Spatial Data Missing ⚠",VLOOKUP(AA146,'G-3 Multipliers'!$L$3:$N$6,3,FALSE)))</f>
        <v/>
      </c>
      <c r="AD146" s="539" t="str">
        <f t="shared" si="24"/>
        <v/>
      </c>
      <c r="AE146" s="82"/>
      <c r="AF146" s="82"/>
      <c r="AG146" s="507" t="str">
        <f t="shared" si="30"/>
        <v/>
      </c>
      <c r="AH146" s="521" t="str">
        <f t="shared" si="31"/>
        <v/>
      </c>
      <c r="AI146" s="522" t="str">
        <f>IF(AH146="Check Data","Check Data",IFERROR(VLOOKUP(AH146,'G-4 Temporal multipliers'!$A$4:$C$36,3,FALSE),""))</f>
        <v/>
      </c>
      <c r="AJ146" s="498" t="str">
        <f>IF(S146="","",VLOOKUP(S146,'G-3 Multipliers'!$A$2:$E$129,4,FALSE))</f>
        <v/>
      </c>
      <c r="AK146" s="507" t="str">
        <f t="shared" si="32"/>
        <v/>
      </c>
      <c r="AL146" s="507" t="str">
        <f t="shared" si="33"/>
        <v/>
      </c>
      <c r="AM146" s="540" t="str">
        <f>IFERROR(IF(F146="","",IF(AH146="Check Data ⚠","Check Data ⚠",VLOOKUP(AL146, 'G-3 Multipliers'!$P$2:$Q$6,2,FALSE))),"")</f>
        <v/>
      </c>
      <c r="AN146" s="513" t="str">
        <f t="shared" si="25"/>
        <v/>
      </c>
      <c r="AO146" s="239"/>
      <c r="AP146" s="240"/>
    </row>
    <row r="147" spans="1:42" x14ac:dyDescent="0.25">
      <c r="A147" s="47" t="str">
        <f>IF(E147="","",IF(ISNA(VLOOKUP($E147,'A-1 Site Habitat Baseline'!$D$1:$O$258,2,FALSE)),"",(VLOOKUP($E147,'A-1 Site Habitat Baseline'!$D$1:$O$258,2,FALSE))))</f>
        <v/>
      </c>
      <c r="B147" s="47" t="str">
        <f>IF(E147="","",IF(ISNA(VLOOKUP($E147,'A-1 Site Habitat Baseline'!$D$1:$O$258,3,FALSE)),"",(VLOOKUP($E147,'A-1 Site Habitat Baseline'!$D$1:$O$258,3,FALSE))))</f>
        <v/>
      </c>
      <c r="C147" s="47" t="str">
        <f>IFERROR(INDEX('G-8 Condition Look up'!$I$4:$I$130,MATCH(S147,'G-8 Condition Look up'!$A$4:$A$130,0)),"")</f>
        <v/>
      </c>
      <c r="E147" s="531" t="str">
        <f>'A-1 Site Habitat Baseline'!AL146</f>
        <v/>
      </c>
      <c r="F147" s="520" t="str">
        <f>IF(E147="","",IF(ISNA(VLOOKUP($E147,'A-1 Site Habitat Baseline'!$D$1:$O$258,4,FALSE)),"",(VLOOKUP($E147,'A-1 Site Habitat Baseline'!$D$1:$O$258,4,FALSE))))</f>
        <v/>
      </c>
      <c r="G147" s="520" t="str">
        <f>IF(E147="","",IF(ISNA(VLOOKUP($E147,'A-1 Site Habitat Baseline'!$D$1:$O$258,5,FALSE)),"",(VLOOKUP($E147,'A-1 Site Habitat Baseline'!$D$1:$O$258,5,FALSE))))</f>
        <v/>
      </c>
      <c r="H147" s="520" t="str">
        <f>IF(E147="","",IF(ISNA(VLOOKUP($E147,'A-1 Site Habitat Baseline'!$D$1:$O$258,6,FALSE)),"",(VLOOKUP($E147,'A-1 Site Habitat Baseline'!$D$1:$O$258,6,FALSE))))</f>
        <v/>
      </c>
      <c r="I147" s="520" t="str">
        <f>IF(E147="","",IF(ISNA(VLOOKUP($E147,'A-1 Site Habitat Baseline'!$D$1:$O$258,7,FALSE)),"",(VLOOKUP($E147,'A-1 Site Habitat Baseline'!$D$1:$O$258,7,FALSE))))</f>
        <v/>
      </c>
      <c r="J147" s="520" t="str">
        <f>IF(E147="","",IF(ISNA(VLOOKUP($E147,'A-1 Site Habitat Baseline'!$D$1:$O$258,8,FALSE)),"",(VLOOKUP($E147,'A-1 Site Habitat Baseline'!$D$1:$O$258,8,FALSE))))</f>
        <v/>
      </c>
      <c r="K147" s="520" t="str">
        <f>IF(E147="","",IF(ISNA(VLOOKUP($E147,'A-1 Site Habitat Baseline'!$D$1:$O$258,9,FALSE)),"",(VLOOKUP($E147,'A-1 Site Habitat Baseline'!$D$1:$O$258,9,FALSE))))</f>
        <v/>
      </c>
      <c r="L147" s="520" t="str">
        <f>IF(E147="","",IF(ISNA(VLOOKUP($E147,'A-1 Site Habitat Baseline'!$D$1:$O$258,11,FALSE)),"",(VLOOKUP($E147,'A-1 Site Habitat Baseline'!$D$1:$O$258,11,FALSE))))</f>
        <v/>
      </c>
      <c r="M147" s="520" t="str">
        <f>IF(E147="","",IF(ISNA(VLOOKUP($E147,'A-1 Site Habitat Baseline'!$D$1:$O$258,12,FALSE)),"",(VLOOKUP($E147,'A-1 Site Habitat Baseline'!$D$1:$O$258,12,FALSE))))</f>
        <v/>
      </c>
      <c r="N147" s="532" t="str">
        <f>IF(E147="","",IF(ISNA(VLOOKUP($E147,'A-1 Site Habitat Baseline'!$D$1:$X$258,14,FALSE)),"",(VLOOKUP($E147,'A-1 Site Habitat Baseline'!$D$1:$X$258,14,FALSE))))</f>
        <v/>
      </c>
      <c r="O147" s="524" t="str">
        <f>IF(E147="","",IF(ISNA(VLOOKUP($E147,'A-1 Site Habitat Baseline'!$D$1:$X$258,16,FALSE)),"",(VLOOKUP($E147,'A-1 Site Habitat Baseline'!$D$1:$X$258,13,FALSE))))</f>
        <v/>
      </c>
      <c r="P147" s="237" t="str">
        <f>IFERROR(INDEX('G-1 All Habitats'!$AG$3:$AG$15,MATCH(Q147,'G-1 All Habitats'!$AF$3:$AF$15,0)),"")</f>
        <v/>
      </c>
      <c r="Q147" s="238" t="str">
        <f t="shared" si="26"/>
        <v/>
      </c>
      <c r="R147" s="238" t="str">
        <f t="shared" si="27"/>
        <v/>
      </c>
      <c r="S147" s="392" t="str">
        <f>IFERROR(INDEX('G-1 All Habitats'!$B$3:$B$129,MATCH(R147,'G-1 All Habitats'!$A$3:$A$129,0)),"")</f>
        <v/>
      </c>
      <c r="T147" s="498" t="str">
        <f t="shared" si="28"/>
        <v/>
      </c>
      <c r="U147" s="499" t="str">
        <f t="shared" si="29"/>
        <v/>
      </c>
      <c r="V147" s="537" t="str">
        <f t="shared" si="23"/>
        <v/>
      </c>
      <c r="W147" s="520" t="str">
        <f>IF(S147="","",VLOOKUP(S147,'G-1 All Habitats'!$B$2:$M$129,10,FALSE))</f>
        <v/>
      </c>
      <c r="X147" s="520" t="str">
        <f>IFERROR(VLOOKUP(W147,'G-1 All Habitats'!$V$3:$W$7,2,FALSE),"")</f>
        <v/>
      </c>
      <c r="Y147" s="79"/>
      <c r="Z147" s="524" t="str">
        <f>IFERROR(INDEX('G-8 Condition Look up'!$A$3:$H$130,MATCH(S147,'G-8 Condition Look up'!$A$3:$A$130,0),MATCH(Y147,'G-8 Condition Look up'!$A$3:$H$3,0)),"")</f>
        <v/>
      </c>
      <c r="AA147" s="71"/>
      <c r="AB147" s="520" t="str">
        <f>IF(AA147="","",IF(VLOOKUP(AA147,'G-3 Multipliers'!$L$3:$N$6,2,FALSE)=0,"Spatial Data Missing ⚠",VLOOKUP(AA147,'G-3 Multipliers'!$L$3:$N$6,2,FALSE)))</f>
        <v/>
      </c>
      <c r="AC147" s="524" t="str">
        <f>IF(AA147="","",IF(VLOOKUP(AA147,'G-3 Multipliers'!$L$3:$N$6,3,FALSE)=0,"Spatial Data Missing ⚠",VLOOKUP(AA147,'G-3 Multipliers'!$L$3:$N$6,3,FALSE)))</f>
        <v/>
      </c>
      <c r="AD147" s="539" t="str">
        <f t="shared" si="24"/>
        <v/>
      </c>
      <c r="AE147" s="82"/>
      <c r="AF147" s="82"/>
      <c r="AG147" s="507" t="str">
        <f t="shared" si="30"/>
        <v/>
      </c>
      <c r="AH147" s="521" t="str">
        <f t="shared" si="31"/>
        <v/>
      </c>
      <c r="AI147" s="522" t="str">
        <f>IF(AH147="Check Data","Check Data",IFERROR(VLOOKUP(AH147,'G-4 Temporal multipliers'!$A$4:$C$36,3,FALSE),""))</f>
        <v/>
      </c>
      <c r="AJ147" s="498" t="str">
        <f>IF(S147="","",VLOOKUP(S147,'G-3 Multipliers'!$A$2:$E$129,4,FALSE))</f>
        <v/>
      </c>
      <c r="AK147" s="507" t="str">
        <f t="shared" si="32"/>
        <v/>
      </c>
      <c r="AL147" s="507" t="str">
        <f t="shared" si="33"/>
        <v/>
      </c>
      <c r="AM147" s="540" t="str">
        <f>IFERROR(IF(F147="","",IF(AH147="Check Data ⚠","Check Data ⚠",VLOOKUP(AL147, 'G-3 Multipliers'!$P$2:$Q$6,2,FALSE))),"")</f>
        <v/>
      </c>
      <c r="AN147" s="513" t="str">
        <f t="shared" si="25"/>
        <v/>
      </c>
      <c r="AO147" s="239"/>
      <c r="AP147" s="240"/>
    </row>
    <row r="148" spans="1:42" x14ac:dyDescent="0.25">
      <c r="A148" s="47" t="str">
        <f>IF(E148="","",IF(ISNA(VLOOKUP($E148,'A-1 Site Habitat Baseline'!$D$1:$O$258,2,FALSE)),"",(VLOOKUP($E148,'A-1 Site Habitat Baseline'!$D$1:$O$258,2,FALSE))))</f>
        <v/>
      </c>
      <c r="B148" s="47" t="str">
        <f>IF(E148="","",IF(ISNA(VLOOKUP($E148,'A-1 Site Habitat Baseline'!$D$1:$O$258,3,FALSE)),"",(VLOOKUP($E148,'A-1 Site Habitat Baseline'!$D$1:$O$258,3,FALSE))))</f>
        <v/>
      </c>
      <c r="C148" s="47" t="str">
        <f>IFERROR(INDEX('G-8 Condition Look up'!$I$4:$I$130,MATCH(S148,'G-8 Condition Look up'!$A$4:$A$130,0)),"")</f>
        <v/>
      </c>
      <c r="E148" s="531" t="str">
        <f>'A-1 Site Habitat Baseline'!AL147</f>
        <v/>
      </c>
      <c r="F148" s="520" t="str">
        <f>IF(E148="","",IF(ISNA(VLOOKUP($E148,'A-1 Site Habitat Baseline'!$D$1:$O$258,4,FALSE)),"",(VLOOKUP($E148,'A-1 Site Habitat Baseline'!$D$1:$O$258,4,FALSE))))</f>
        <v/>
      </c>
      <c r="G148" s="520" t="str">
        <f>IF(E148="","",IF(ISNA(VLOOKUP($E148,'A-1 Site Habitat Baseline'!$D$1:$O$258,5,FALSE)),"",(VLOOKUP($E148,'A-1 Site Habitat Baseline'!$D$1:$O$258,5,FALSE))))</f>
        <v/>
      </c>
      <c r="H148" s="520" t="str">
        <f>IF(E148="","",IF(ISNA(VLOOKUP($E148,'A-1 Site Habitat Baseline'!$D$1:$O$258,6,FALSE)),"",(VLOOKUP($E148,'A-1 Site Habitat Baseline'!$D$1:$O$258,6,FALSE))))</f>
        <v/>
      </c>
      <c r="I148" s="520" t="str">
        <f>IF(E148="","",IF(ISNA(VLOOKUP($E148,'A-1 Site Habitat Baseline'!$D$1:$O$258,7,FALSE)),"",(VLOOKUP($E148,'A-1 Site Habitat Baseline'!$D$1:$O$258,7,FALSE))))</f>
        <v/>
      </c>
      <c r="J148" s="520" t="str">
        <f>IF(E148="","",IF(ISNA(VLOOKUP($E148,'A-1 Site Habitat Baseline'!$D$1:$O$258,8,FALSE)),"",(VLOOKUP($E148,'A-1 Site Habitat Baseline'!$D$1:$O$258,8,FALSE))))</f>
        <v/>
      </c>
      <c r="K148" s="520" t="str">
        <f>IF(E148="","",IF(ISNA(VLOOKUP($E148,'A-1 Site Habitat Baseline'!$D$1:$O$258,9,FALSE)),"",(VLOOKUP($E148,'A-1 Site Habitat Baseline'!$D$1:$O$258,9,FALSE))))</f>
        <v/>
      </c>
      <c r="L148" s="520" t="str">
        <f>IF(E148="","",IF(ISNA(VLOOKUP($E148,'A-1 Site Habitat Baseline'!$D$1:$O$258,11,FALSE)),"",(VLOOKUP($E148,'A-1 Site Habitat Baseline'!$D$1:$O$258,11,FALSE))))</f>
        <v/>
      </c>
      <c r="M148" s="520" t="str">
        <f>IF(E148="","",IF(ISNA(VLOOKUP($E148,'A-1 Site Habitat Baseline'!$D$1:$O$258,12,FALSE)),"",(VLOOKUP($E148,'A-1 Site Habitat Baseline'!$D$1:$O$258,12,FALSE))))</f>
        <v/>
      </c>
      <c r="N148" s="532" t="str">
        <f>IF(E148="","",IF(ISNA(VLOOKUP($E148,'A-1 Site Habitat Baseline'!$D$1:$X$258,14,FALSE)),"",(VLOOKUP($E148,'A-1 Site Habitat Baseline'!$D$1:$X$258,14,FALSE))))</f>
        <v/>
      </c>
      <c r="O148" s="524" t="str">
        <f>IF(E148="","",IF(ISNA(VLOOKUP($E148,'A-1 Site Habitat Baseline'!$D$1:$X$258,16,FALSE)),"",(VLOOKUP($E148,'A-1 Site Habitat Baseline'!$D$1:$X$258,13,FALSE))))</f>
        <v/>
      </c>
      <c r="P148" s="237" t="str">
        <f>IFERROR(INDEX('G-1 All Habitats'!$AG$3:$AG$15,MATCH(Q148,'G-1 All Habitats'!$AF$3:$AF$15,0)),"")</f>
        <v/>
      </c>
      <c r="Q148" s="238" t="str">
        <f t="shared" si="26"/>
        <v/>
      </c>
      <c r="R148" s="238" t="str">
        <f t="shared" si="27"/>
        <v/>
      </c>
      <c r="S148" s="392" t="str">
        <f>IFERROR(INDEX('G-1 All Habitats'!$B$3:$B$129,MATCH(R148,'G-1 All Habitats'!$A$3:$A$129,0)),"")</f>
        <v/>
      </c>
      <c r="T148" s="498" t="str">
        <f t="shared" si="28"/>
        <v/>
      </c>
      <c r="U148" s="499" t="str">
        <f t="shared" si="29"/>
        <v/>
      </c>
      <c r="V148" s="537" t="str">
        <f t="shared" si="23"/>
        <v/>
      </c>
      <c r="W148" s="520" t="str">
        <f>IF(S148="","",VLOOKUP(S148,'G-1 All Habitats'!$B$2:$M$129,10,FALSE))</f>
        <v/>
      </c>
      <c r="X148" s="520" t="str">
        <f>IFERROR(VLOOKUP(W148,'G-1 All Habitats'!$V$3:$W$7,2,FALSE),"")</f>
        <v/>
      </c>
      <c r="Y148" s="79"/>
      <c r="Z148" s="524" t="str">
        <f>IFERROR(INDEX('G-8 Condition Look up'!$A$3:$H$130,MATCH(S148,'G-8 Condition Look up'!$A$3:$A$130,0),MATCH(Y148,'G-8 Condition Look up'!$A$3:$H$3,0)),"")</f>
        <v/>
      </c>
      <c r="AA148" s="71"/>
      <c r="AB148" s="520" t="str">
        <f>IF(AA148="","",IF(VLOOKUP(AA148,'G-3 Multipliers'!$L$3:$N$6,2,FALSE)=0,"Spatial Data Missing ⚠",VLOOKUP(AA148,'G-3 Multipliers'!$L$3:$N$6,2,FALSE)))</f>
        <v/>
      </c>
      <c r="AC148" s="524" t="str">
        <f>IF(AA148="","",IF(VLOOKUP(AA148,'G-3 Multipliers'!$L$3:$N$6,3,FALSE)=0,"Spatial Data Missing ⚠",VLOOKUP(AA148,'G-3 Multipliers'!$L$3:$N$6,3,FALSE)))</f>
        <v/>
      </c>
      <c r="AD148" s="539" t="str">
        <f t="shared" si="24"/>
        <v/>
      </c>
      <c r="AE148" s="82"/>
      <c r="AF148" s="82"/>
      <c r="AG148" s="507" t="str">
        <f t="shared" si="30"/>
        <v/>
      </c>
      <c r="AH148" s="521" t="str">
        <f t="shared" si="31"/>
        <v/>
      </c>
      <c r="AI148" s="522" t="str">
        <f>IF(AH148="Check Data","Check Data",IFERROR(VLOOKUP(AH148,'G-4 Temporal multipliers'!$A$4:$C$36,3,FALSE),""))</f>
        <v/>
      </c>
      <c r="AJ148" s="498" t="str">
        <f>IF(S148="","",VLOOKUP(S148,'G-3 Multipliers'!$A$2:$E$129,4,FALSE))</f>
        <v/>
      </c>
      <c r="AK148" s="507" t="str">
        <f t="shared" si="32"/>
        <v/>
      </c>
      <c r="AL148" s="507" t="str">
        <f t="shared" si="33"/>
        <v/>
      </c>
      <c r="AM148" s="540" t="str">
        <f>IFERROR(IF(F148="","",IF(AH148="Check Data ⚠","Check Data ⚠",VLOOKUP(AL148, 'G-3 Multipliers'!$P$2:$Q$6,2,FALSE))),"")</f>
        <v/>
      </c>
      <c r="AN148" s="513" t="str">
        <f t="shared" si="25"/>
        <v/>
      </c>
      <c r="AO148" s="239"/>
      <c r="AP148" s="240"/>
    </row>
    <row r="149" spans="1:42" x14ac:dyDescent="0.25">
      <c r="A149" s="47" t="str">
        <f>IF(E149="","",IF(ISNA(VLOOKUP($E149,'A-1 Site Habitat Baseline'!$D$1:$O$258,2,FALSE)),"",(VLOOKUP($E149,'A-1 Site Habitat Baseline'!$D$1:$O$258,2,FALSE))))</f>
        <v/>
      </c>
      <c r="B149" s="47" t="str">
        <f>IF(E149="","",IF(ISNA(VLOOKUP($E149,'A-1 Site Habitat Baseline'!$D$1:$O$258,3,FALSE)),"",(VLOOKUP($E149,'A-1 Site Habitat Baseline'!$D$1:$O$258,3,FALSE))))</f>
        <v/>
      </c>
      <c r="C149" s="47" t="str">
        <f>IFERROR(INDEX('G-8 Condition Look up'!$I$4:$I$130,MATCH(S149,'G-8 Condition Look up'!$A$4:$A$130,0)),"")</f>
        <v/>
      </c>
      <c r="E149" s="531" t="str">
        <f>'A-1 Site Habitat Baseline'!AL148</f>
        <v/>
      </c>
      <c r="F149" s="520" t="str">
        <f>IF(E149="","",IF(ISNA(VLOOKUP($E149,'A-1 Site Habitat Baseline'!$D$1:$O$258,4,FALSE)),"",(VLOOKUP($E149,'A-1 Site Habitat Baseline'!$D$1:$O$258,4,FALSE))))</f>
        <v/>
      </c>
      <c r="G149" s="520" t="str">
        <f>IF(E149="","",IF(ISNA(VLOOKUP($E149,'A-1 Site Habitat Baseline'!$D$1:$O$258,5,FALSE)),"",(VLOOKUP($E149,'A-1 Site Habitat Baseline'!$D$1:$O$258,5,FALSE))))</f>
        <v/>
      </c>
      <c r="H149" s="520" t="str">
        <f>IF(E149="","",IF(ISNA(VLOOKUP($E149,'A-1 Site Habitat Baseline'!$D$1:$O$258,6,FALSE)),"",(VLOOKUP($E149,'A-1 Site Habitat Baseline'!$D$1:$O$258,6,FALSE))))</f>
        <v/>
      </c>
      <c r="I149" s="520" t="str">
        <f>IF(E149="","",IF(ISNA(VLOOKUP($E149,'A-1 Site Habitat Baseline'!$D$1:$O$258,7,FALSE)),"",(VLOOKUP($E149,'A-1 Site Habitat Baseline'!$D$1:$O$258,7,FALSE))))</f>
        <v/>
      </c>
      <c r="J149" s="520" t="str">
        <f>IF(E149="","",IF(ISNA(VLOOKUP($E149,'A-1 Site Habitat Baseline'!$D$1:$O$258,8,FALSE)),"",(VLOOKUP($E149,'A-1 Site Habitat Baseline'!$D$1:$O$258,8,FALSE))))</f>
        <v/>
      </c>
      <c r="K149" s="520" t="str">
        <f>IF(E149="","",IF(ISNA(VLOOKUP($E149,'A-1 Site Habitat Baseline'!$D$1:$O$258,9,FALSE)),"",(VLOOKUP($E149,'A-1 Site Habitat Baseline'!$D$1:$O$258,9,FALSE))))</f>
        <v/>
      </c>
      <c r="L149" s="520" t="str">
        <f>IF(E149="","",IF(ISNA(VLOOKUP($E149,'A-1 Site Habitat Baseline'!$D$1:$O$258,11,FALSE)),"",(VLOOKUP($E149,'A-1 Site Habitat Baseline'!$D$1:$O$258,11,FALSE))))</f>
        <v/>
      </c>
      <c r="M149" s="520" t="str">
        <f>IF(E149="","",IF(ISNA(VLOOKUP($E149,'A-1 Site Habitat Baseline'!$D$1:$O$258,12,FALSE)),"",(VLOOKUP($E149,'A-1 Site Habitat Baseline'!$D$1:$O$258,12,FALSE))))</f>
        <v/>
      </c>
      <c r="N149" s="532" t="str">
        <f>IF(E149="","",IF(ISNA(VLOOKUP($E149,'A-1 Site Habitat Baseline'!$D$1:$X$258,14,FALSE)),"",(VLOOKUP($E149,'A-1 Site Habitat Baseline'!$D$1:$X$258,14,FALSE))))</f>
        <v/>
      </c>
      <c r="O149" s="524" t="str">
        <f>IF(E149="","",IF(ISNA(VLOOKUP($E149,'A-1 Site Habitat Baseline'!$D$1:$X$258,16,FALSE)),"",(VLOOKUP($E149,'A-1 Site Habitat Baseline'!$D$1:$X$258,13,FALSE))))</f>
        <v/>
      </c>
      <c r="P149" s="237" t="str">
        <f>IFERROR(INDEX('G-1 All Habitats'!$AG$3:$AG$15,MATCH(Q149,'G-1 All Habitats'!$AF$3:$AF$15,0)),"")</f>
        <v/>
      </c>
      <c r="Q149" s="238" t="str">
        <f t="shared" si="26"/>
        <v/>
      </c>
      <c r="R149" s="238" t="str">
        <f t="shared" si="27"/>
        <v/>
      </c>
      <c r="S149" s="392" t="str">
        <f>IFERROR(INDEX('G-1 All Habitats'!$B$3:$B$129,MATCH(R149,'G-1 All Habitats'!$A$3:$A$129,0)),"")</f>
        <v/>
      </c>
      <c r="T149" s="498" t="str">
        <f t="shared" si="28"/>
        <v/>
      </c>
      <c r="U149" s="499" t="str">
        <f t="shared" si="29"/>
        <v/>
      </c>
      <c r="V149" s="537" t="str">
        <f t="shared" si="23"/>
        <v/>
      </c>
      <c r="W149" s="520" t="str">
        <f>IF(S149="","",VLOOKUP(S149,'G-1 All Habitats'!$B$2:$M$129,10,FALSE))</f>
        <v/>
      </c>
      <c r="X149" s="520" t="str">
        <f>IFERROR(VLOOKUP(W149,'G-1 All Habitats'!$V$3:$W$7,2,FALSE),"")</f>
        <v/>
      </c>
      <c r="Y149" s="79"/>
      <c r="Z149" s="524" t="str">
        <f>IFERROR(INDEX('G-8 Condition Look up'!$A$3:$H$130,MATCH(S149,'G-8 Condition Look up'!$A$3:$A$130,0),MATCH(Y149,'G-8 Condition Look up'!$A$3:$H$3,0)),"")</f>
        <v/>
      </c>
      <c r="AA149" s="71"/>
      <c r="AB149" s="520" t="str">
        <f>IF(AA149="","",IF(VLOOKUP(AA149,'G-3 Multipliers'!$L$3:$N$6,2,FALSE)=0,"Spatial Data Missing ⚠",VLOOKUP(AA149,'G-3 Multipliers'!$L$3:$N$6,2,FALSE)))</f>
        <v/>
      </c>
      <c r="AC149" s="524" t="str">
        <f>IF(AA149="","",IF(VLOOKUP(AA149,'G-3 Multipliers'!$L$3:$N$6,3,FALSE)=0,"Spatial Data Missing ⚠",VLOOKUP(AA149,'G-3 Multipliers'!$L$3:$N$6,3,FALSE)))</f>
        <v/>
      </c>
      <c r="AD149" s="539" t="str">
        <f t="shared" si="24"/>
        <v/>
      </c>
      <c r="AE149" s="82"/>
      <c r="AF149" s="82"/>
      <c r="AG149" s="507" t="str">
        <f t="shared" si="30"/>
        <v/>
      </c>
      <c r="AH149" s="521" t="str">
        <f t="shared" si="31"/>
        <v/>
      </c>
      <c r="AI149" s="522" t="str">
        <f>IF(AH149="Check Data","Check Data",IFERROR(VLOOKUP(AH149,'G-4 Temporal multipliers'!$A$4:$C$36,3,FALSE),""))</f>
        <v/>
      </c>
      <c r="AJ149" s="498" t="str">
        <f>IF(S149="","",VLOOKUP(S149,'G-3 Multipliers'!$A$2:$E$129,4,FALSE))</f>
        <v/>
      </c>
      <c r="AK149" s="507" t="str">
        <f t="shared" si="32"/>
        <v/>
      </c>
      <c r="AL149" s="507" t="str">
        <f t="shared" si="33"/>
        <v/>
      </c>
      <c r="AM149" s="540" t="str">
        <f>IFERROR(IF(F149="","",IF(AH149="Check Data ⚠","Check Data ⚠",VLOOKUP(AL149, 'G-3 Multipliers'!$P$2:$Q$6,2,FALSE))),"")</f>
        <v/>
      </c>
      <c r="AN149" s="513" t="str">
        <f t="shared" si="25"/>
        <v/>
      </c>
      <c r="AO149" s="239"/>
      <c r="AP149" s="240"/>
    </row>
    <row r="150" spans="1:42" x14ac:dyDescent="0.25">
      <c r="A150" s="47" t="str">
        <f>IF(E150="","",IF(ISNA(VLOOKUP($E150,'A-1 Site Habitat Baseline'!$D$1:$O$258,2,FALSE)),"",(VLOOKUP($E150,'A-1 Site Habitat Baseline'!$D$1:$O$258,2,FALSE))))</f>
        <v/>
      </c>
      <c r="B150" s="47" t="str">
        <f>IF(E150="","",IF(ISNA(VLOOKUP($E150,'A-1 Site Habitat Baseline'!$D$1:$O$258,3,FALSE)),"",(VLOOKUP($E150,'A-1 Site Habitat Baseline'!$D$1:$O$258,3,FALSE))))</f>
        <v/>
      </c>
      <c r="C150" s="47" t="str">
        <f>IFERROR(INDEX('G-8 Condition Look up'!$I$4:$I$130,MATCH(S150,'G-8 Condition Look up'!$A$4:$A$130,0)),"")</f>
        <v/>
      </c>
      <c r="E150" s="531" t="str">
        <f>'A-1 Site Habitat Baseline'!AL149</f>
        <v/>
      </c>
      <c r="F150" s="520" t="str">
        <f>IF(E150="","",IF(ISNA(VLOOKUP($E150,'A-1 Site Habitat Baseline'!$D$1:$O$258,4,FALSE)),"",(VLOOKUP($E150,'A-1 Site Habitat Baseline'!$D$1:$O$258,4,FALSE))))</f>
        <v/>
      </c>
      <c r="G150" s="520" t="str">
        <f>IF(E150="","",IF(ISNA(VLOOKUP($E150,'A-1 Site Habitat Baseline'!$D$1:$O$258,5,FALSE)),"",(VLOOKUP($E150,'A-1 Site Habitat Baseline'!$D$1:$O$258,5,FALSE))))</f>
        <v/>
      </c>
      <c r="H150" s="520" t="str">
        <f>IF(E150="","",IF(ISNA(VLOOKUP($E150,'A-1 Site Habitat Baseline'!$D$1:$O$258,6,FALSE)),"",(VLOOKUP($E150,'A-1 Site Habitat Baseline'!$D$1:$O$258,6,FALSE))))</f>
        <v/>
      </c>
      <c r="I150" s="520" t="str">
        <f>IF(E150="","",IF(ISNA(VLOOKUP($E150,'A-1 Site Habitat Baseline'!$D$1:$O$258,7,FALSE)),"",(VLOOKUP($E150,'A-1 Site Habitat Baseline'!$D$1:$O$258,7,FALSE))))</f>
        <v/>
      </c>
      <c r="J150" s="520" t="str">
        <f>IF(E150="","",IF(ISNA(VLOOKUP($E150,'A-1 Site Habitat Baseline'!$D$1:$O$258,8,FALSE)),"",(VLOOKUP($E150,'A-1 Site Habitat Baseline'!$D$1:$O$258,8,FALSE))))</f>
        <v/>
      </c>
      <c r="K150" s="520" t="str">
        <f>IF(E150="","",IF(ISNA(VLOOKUP($E150,'A-1 Site Habitat Baseline'!$D$1:$O$258,9,FALSE)),"",(VLOOKUP($E150,'A-1 Site Habitat Baseline'!$D$1:$O$258,9,FALSE))))</f>
        <v/>
      </c>
      <c r="L150" s="520" t="str">
        <f>IF(E150="","",IF(ISNA(VLOOKUP($E150,'A-1 Site Habitat Baseline'!$D$1:$O$258,11,FALSE)),"",(VLOOKUP($E150,'A-1 Site Habitat Baseline'!$D$1:$O$258,11,FALSE))))</f>
        <v/>
      </c>
      <c r="M150" s="520" t="str">
        <f>IF(E150="","",IF(ISNA(VLOOKUP($E150,'A-1 Site Habitat Baseline'!$D$1:$O$258,12,FALSE)),"",(VLOOKUP($E150,'A-1 Site Habitat Baseline'!$D$1:$O$258,12,FALSE))))</f>
        <v/>
      </c>
      <c r="N150" s="532" t="str">
        <f>IF(E150="","",IF(ISNA(VLOOKUP($E150,'A-1 Site Habitat Baseline'!$D$1:$X$258,14,FALSE)),"",(VLOOKUP($E150,'A-1 Site Habitat Baseline'!$D$1:$X$258,14,FALSE))))</f>
        <v/>
      </c>
      <c r="O150" s="524" t="str">
        <f>IF(E150="","",IF(ISNA(VLOOKUP($E150,'A-1 Site Habitat Baseline'!$D$1:$X$258,16,FALSE)),"",(VLOOKUP($E150,'A-1 Site Habitat Baseline'!$D$1:$X$258,13,FALSE))))</f>
        <v/>
      </c>
      <c r="P150" s="237" t="str">
        <f>IFERROR(INDEX('G-1 All Habitats'!$AG$3:$AG$15,MATCH(Q150,'G-1 All Habitats'!$AF$3:$AF$15,0)),"")</f>
        <v/>
      </c>
      <c r="Q150" s="238" t="str">
        <f t="shared" si="26"/>
        <v/>
      </c>
      <c r="R150" s="238" t="str">
        <f t="shared" si="27"/>
        <v/>
      </c>
      <c r="S150" s="392" t="str">
        <f>IFERROR(INDEX('G-1 All Habitats'!$B$3:$B$129,MATCH(R150,'G-1 All Habitats'!$A$3:$A$129,0)),"")</f>
        <v/>
      </c>
      <c r="T150" s="498" t="str">
        <f t="shared" si="28"/>
        <v/>
      </c>
      <c r="U150" s="499" t="str">
        <f t="shared" si="29"/>
        <v/>
      </c>
      <c r="V150" s="537" t="str">
        <f t="shared" si="23"/>
        <v/>
      </c>
      <c r="W150" s="520" t="str">
        <f>IF(S150="","",VLOOKUP(S150,'G-1 All Habitats'!$B$2:$M$129,10,FALSE))</f>
        <v/>
      </c>
      <c r="X150" s="520" t="str">
        <f>IFERROR(VLOOKUP(W150,'G-1 All Habitats'!$V$3:$W$7,2,FALSE),"")</f>
        <v/>
      </c>
      <c r="Y150" s="79"/>
      <c r="Z150" s="524" t="str">
        <f>IFERROR(INDEX('G-8 Condition Look up'!$A$3:$H$130,MATCH(S150,'G-8 Condition Look up'!$A$3:$A$130,0),MATCH(Y150,'G-8 Condition Look up'!$A$3:$H$3,0)),"")</f>
        <v/>
      </c>
      <c r="AA150" s="71"/>
      <c r="AB150" s="520" t="str">
        <f>IF(AA150="","",IF(VLOOKUP(AA150,'G-3 Multipliers'!$L$3:$N$6,2,FALSE)=0,"Spatial Data Missing ⚠",VLOOKUP(AA150,'G-3 Multipliers'!$L$3:$N$6,2,FALSE)))</f>
        <v/>
      </c>
      <c r="AC150" s="524" t="str">
        <f>IF(AA150="","",IF(VLOOKUP(AA150,'G-3 Multipliers'!$L$3:$N$6,3,FALSE)=0,"Spatial Data Missing ⚠",VLOOKUP(AA150,'G-3 Multipliers'!$L$3:$N$6,3,FALSE)))</f>
        <v/>
      </c>
      <c r="AD150" s="539" t="str">
        <f t="shared" si="24"/>
        <v/>
      </c>
      <c r="AE150" s="82"/>
      <c r="AF150" s="82"/>
      <c r="AG150" s="507" t="str">
        <f t="shared" si="30"/>
        <v/>
      </c>
      <c r="AH150" s="521" t="str">
        <f t="shared" si="31"/>
        <v/>
      </c>
      <c r="AI150" s="522" t="str">
        <f>IF(AH150="Check Data","Check Data",IFERROR(VLOOKUP(AH150,'G-4 Temporal multipliers'!$A$4:$C$36,3,FALSE),""))</f>
        <v/>
      </c>
      <c r="AJ150" s="498" t="str">
        <f>IF(S150="","",VLOOKUP(S150,'G-3 Multipliers'!$A$2:$E$129,4,FALSE))</f>
        <v/>
      </c>
      <c r="AK150" s="507" t="str">
        <f t="shared" si="32"/>
        <v/>
      </c>
      <c r="AL150" s="507" t="str">
        <f t="shared" si="33"/>
        <v/>
      </c>
      <c r="AM150" s="540" t="str">
        <f>IFERROR(IF(F150="","",IF(AH150="Check Data ⚠","Check Data ⚠",VLOOKUP(AL150, 'G-3 Multipliers'!$P$2:$Q$6,2,FALSE))),"")</f>
        <v/>
      </c>
      <c r="AN150" s="513" t="str">
        <f t="shared" si="25"/>
        <v/>
      </c>
      <c r="AO150" s="239"/>
      <c r="AP150" s="240"/>
    </row>
    <row r="151" spans="1:42" x14ac:dyDescent="0.25">
      <c r="A151" s="47" t="str">
        <f>IF(E151="","",IF(ISNA(VLOOKUP($E151,'A-1 Site Habitat Baseline'!$D$1:$O$258,2,FALSE)),"",(VLOOKUP($E151,'A-1 Site Habitat Baseline'!$D$1:$O$258,2,FALSE))))</f>
        <v/>
      </c>
      <c r="B151" s="47" t="str">
        <f>IF(E151="","",IF(ISNA(VLOOKUP($E151,'A-1 Site Habitat Baseline'!$D$1:$O$258,3,FALSE)),"",(VLOOKUP($E151,'A-1 Site Habitat Baseline'!$D$1:$O$258,3,FALSE))))</f>
        <v/>
      </c>
      <c r="C151" s="47" t="str">
        <f>IFERROR(INDEX('G-8 Condition Look up'!$I$4:$I$130,MATCH(S151,'G-8 Condition Look up'!$A$4:$A$130,0)),"")</f>
        <v/>
      </c>
      <c r="E151" s="531" t="str">
        <f>'A-1 Site Habitat Baseline'!AL150</f>
        <v/>
      </c>
      <c r="F151" s="520" t="str">
        <f>IF(E151="","",IF(ISNA(VLOOKUP($E151,'A-1 Site Habitat Baseline'!$D$1:$O$258,4,FALSE)),"",(VLOOKUP($E151,'A-1 Site Habitat Baseline'!$D$1:$O$258,4,FALSE))))</f>
        <v/>
      </c>
      <c r="G151" s="520" t="str">
        <f>IF(E151="","",IF(ISNA(VLOOKUP($E151,'A-1 Site Habitat Baseline'!$D$1:$O$258,5,FALSE)),"",(VLOOKUP($E151,'A-1 Site Habitat Baseline'!$D$1:$O$258,5,FALSE))))</f>
        <v/>
      </c>
      <c r="H151" s="520" t="str">
        <f>IF(E151="","",IF(ISNA(VLOOKUP($E151,'A-1 Site Habitat Baseline'!$D$1:$O$258,6,FALSE)),"",(VLOOKUP($E151,'A-1 Site Habitat Baseline'!$D$1:$O$258,6,FALSE))))</f>
        <v/>
      </c>
      <c r="I151" s="520" t="str">
        <f>IF(E151="","",IF(ISNA(VLOOKUP($E151,'A-1 Site Habitat Baseline'!$D$1:$O$258,7,FALSE)),"",(VLOOKUP($E151,'A-1 Site Habitat Baseline'!$D$1:$O$258,7,FALSE))))</f>
        <v/>
      </c>
      <c r="J151" s="520" t="str">
        <f>IF(E151="","",IF(ISNA(VLOOKUP($E151,'A-1 Site Habitat Baseline'!$D$1:$O$258,8,FALSE)),"",(VLOOKUP($E151,'A-1 Site Habitat Baseline'!$D$1:$O$258,8,FALSE))))</f>
        <v/>
      </c>
      <c r="K151" s="520" t="str">
        <f>IF(E151="","",IF(ISNA(VLOOKUP($E151,'A-1 Site Habitat Baseline'!$D$1:$O$258,9,FALSE)),"",(VLOOKUP($E151,'A-1 Site Habitat Baseline'!$D$1:$O$258,9,FALSE))))</f>
        <v/>
      </c>
      <c r="L151" s="520" t="str">
        <f>IF(E151="","",IF(ISNA(VLOOKUP($E151,'A-1 Site Habitat Baseline'!$D$1:$O$258,11,FALSE)),"",(VLOOKUP($E151,'A-1 Site Habitat Baseline'!$D$1:$O$258,11,FALSE))))</f>
        <v/>
      </c>
      <c r="M151" s="520" t="str">
        <f>IF(E151="","",IF(ISNA(VLOOKUP($E151,'A-1 Site Habitat Baseline'!$D$1:$O$258,12,FALSE)),"",(VLOOKUP($E151,'A-1 Site Habitat Baseline'!$D$1:$O$258,12,FALSE))))</f>
        <v/>
      </c>
      <c r="N151" s="532" t="str">
        <f>IF(E151="","",IF(ISNA(VLOOKUP($E151,'A-1 Site Habitat Baseline'!$D$1:$X$258,14,FALSE)),"",(VLOOKUP($E151,'A-1 Site Habitat Baseline'!$D$1:$X$258,14,FALSE))))</f>
        <v/>
      </c>
      <c r="O151" s="524" t="str">
        <f>IF(E151="","",IF(ISNA(VLOOKUP($E151,'A-1 Site Habitat Baseline'!$D$1:$X$258,16,FALSE)),"",(VLOOKUP($E151,'A-1 Site Habitat Baseline'!$D$1:$X$258,13,FALSE))))</f>
        <v/>
      </c>
      <c r="P151" s="237" t="str">
        <f>IFERROR(INDEX('G-1 All Habitats'!$AG$3:$AG$15,MATCH(Q151,'G-1 All Habitats'!$AF$3:$AF$15,0)),"")</f>
        <v/>
      </c>
      <c r="Q151" s="238" t="str">
        <f t="shared" si="26"/>
        <v/>
      </c>
      <c r="R151" s="238" t="str">
        <f t="shared" si="27"/>
        <v/>
      </c>
      <c r="S151" s="392" t="str">
        <f>IFERROR(INDEX('G-1 All Habitats'!$B$3:$B$129,MATCH(R151,'G-1 All Habitats'!$A$3:$A$129,0)),"")</f>
        <v/>
      </c>
      <c r="T151" s="498" t="str">
        <f t="shared" si="28"/>
        <v/>
      </c>
      <c r="U151" s="499" t="str">
        <f t="shared" si="29"/>
        <v/>
      </c>
      <c r="V151" s="537" t="str">
        <f t="shared" si="23"/>
        <v/>
      </c>
      <c r="W151" s="520" t="str">
        <f>IF(S151="","",VLOOKUP(S151,'G-1 All Habitats'!$B$2:$M$129,10,FALSE))</f>
        <v/>
      </c>
      <c r="X151" s="520" t="str">
        <f>IFERROR(VLOOKUP(W151,'G-1 All Habitats'!$V$3:$W$7,2,FALSE),"")</f>
        <v/>
      </c>
      <c r="Y151" s="79"/>
      <c r="Z151" s="524" t="str">
        <f>IFERROR(INDEX('G-8 Condition Look up'!$A$3:$H$130,MATCH(S151,'G-8 Condition Look up'!$A$3:$A$130,0),MATCH(Y151,'G-8 Condition Look up'!$A$3:$H$3,0)),"")</f>
        <v/>
      </c>
      <c r="AA151" s="71"/>
      <c r="AB151" s="520" t="str">
        <f>IF(AA151="","",IF(VLOOKUP(AA151,'G-3 Multipliers'!$L$3:$N$6,2,FALSE)=0,"Spatial Data Missing ⚠",VLOOKUP(AA151,'G-3 Multipliers'!$L$3:$N$6,2,FALSE)))</f>
        <v/>
      </c>
      <c r="AC151" s="524" t="str">
        <f>IF(AA151="","",IF(VLOOKUP(AA151,'G-3 Multipliers'!$L$3:$N$6,3,FALSE)=0,"Spatial Data Missing ⚠",VLOOKUP(AA151,'G-3 Multipliers'!$L$3:$N$6,3,FALSE)))</f>
        <v/>
      </c>
      <c r="AD151" s="539" t="str">
        <f t="shared" si="24"/>
        <v/>
      </c>
      <c r="AE151" s="82"/>
      <c r="AF151" s="82"/>
      <c r="AG151" s="507" t="str">
        <f t="shared" si="30"/>
        <v/>
      </c>
      <c r="AH151" s="521" t="str">
        <f t="shared" si="31"/>
        <v/>
      </c>
      <c r="AI151" s="522" t="str">
        <f>IF(AH151="Check Data","Check Data",IFERROR(VLOOKUP(AH151,'G-4 Temporal multipliers'!$A$4:$C$36,3,FALSE),""))</f>
        <v/>
      </c>
      <c r="AJ151" s="498" t="str">
        <f>IF(S151="","",VLOOKUP(S151,'G-3 Multipliers'!$A$2:$E$129,4,FALSE))</f>
        <v/>
      </c>
      <c r="AK151" s="507" t="str">
        <f t="shared" si="32"/>
        <v/>
      </c>
      <c r="AL151" s="507" t="str">
        <f t="shared" si="33"/>
        <v/>
      </c>
      <c r="AM151" s="540" t="str">
        <f>IFERROR(IF(F151="","",IF(AH151="Check Data ⚠","Check Data ⚠",VLOOKUP(AL151, 'G-3 Multipliers'!$P$2:$Q$6,2,FALSE))),"")</f>
        <v/>
      </c>
      <c r="AN151" s="513" t="str">
        <f t="shared" si="25"/>
        <v/>
      </c>
      <c r="AO151" s="239"/>
      <c r="AP151" s="240"/>
    </row>
    <row r="152" spans="1:42" x14ac:dyDescent="0.25">
      <c r="A152" s="47" t="str">
        <f>IF(E152="","",IF(ISNA(VLOOKUP($E152,'A-1 Site Habitat Baseline'!$D$1:$O$258,2,FALSE)),"",(VLOOKUP($E152,'A-1 Site Habitat Baseline'!$D$1:$O$258,2,FALSE))))</f>
        <v/>
      </c>
      <c r="B152" s="47" t="str">
        <f>IF(E152="","",IF(ISNA(VLOOKUP($E152,'A-1 Site Habitat Baseline'!$D$1:$O$258,3,FALSE)),"",(VLOOKUP($E152,'A-1 Site Habitat Baseline'!$D$1:$O$258,3,FALSE))))</f>
        <v/>
      </c>
      <c r="C152" s="47" t="str">
        <f>IFERROR(INDEX('G-8 Condition Look up'!$I$4:$I$130,MATCH(S152,'G-8 Condition Look up'!$A$4:$A$130,0)),"")</f>
        <v/>
      </c>
      <c r="E152" s="531" t="str">
        <f>'A-1 Site Habitat Baseline'!AL151</f>
        <v/>
      </c>
      <c r="F152" s="520" t="str">
        <f>IF(E152="","",IF(ISNA(VLOOKUP($E152,'A-1 Site Habitat Baseline'!$D$1:$O$258,4,FALSE)),"",(VLOOKUP($E152,'A-1 Site Habitat Baseline'!$D$1:$O$258,4,FALSE))))</f>
        <v/>
      </c>
      <c r="G152" s="520" t="str">
        <f>IF(E152="","",IF(ISNA(VLOOKUP($E152,'A-1 Site Habitat Baseline'!$D$1:$O$258,5,FALSE)),"",(VLOOKUP($E152,'A-1 Site Habitat Baseline'!$D$1:$O$258,5,FALSE))))</f>
        <v/>
      </c>
      <c r="H152" s="520" t="str">
        <f>IF(E152="","",IF(ISNA(VLOOKUP($E152,'A-1 Site Habitat Baseline'!$D$1:$O$258,6,FALSE)),"",(VLOOKUP($E152,'A-1 Site Habitat Baseline'!$D$1:$O$258,6,FALSE))))</f>
        <v/>
      </c>
      <c r="I152" s="520" t="str">
        <f>IF(E152="","",IF(ISNA(VLOOKUP($E152,'A-1 Site Habitat Baseline'!$D$1:$O$258,7,FALSE)),"",(VLOOKUP($E152,'A-1 Site Habitat Baseline'!$D$1:$O$258,7,FALSE))))</f>
        <v/>
      </c>
      <c r="J152" s="520" t="str">
        <f>IF(E152="","",IF(ISNA(VLOOKUP($E152,'A-1 Site Habitat Baseline'!$D$1:$O$258,8,FALSE)),"",(VLOOKUP($E152,'A-1 Site Habitat Baseline'!$D$1:$O$258,8,FALSE))))</f>
        <v/>
      </c>
      <c r="K152" s="520" t="str">
        <f>IF(E152="","",IF(ISNA(VLOOKUP($E152,'A-1 Site Habitat Baseline'!$D$1:$O$258,9,FALSE)),"",(VLOOKUP($E152,'A-1 Site Habitat Baseline'!$D$1:$O$258,9,FALSE))))</f>
        <v/>
      </c>
      <c r="L152" s="520" t="str">
        <f>IF(E152="","",IF(ISNA(VLOOKUP($E152,'A-1 Site Habitat Baseline'!$D$1:$O$258,11,FALSE)),"",(VLOOKUP($E152,'A-1 Site Habitat Baseline'!$D$1:$O$258,11,FALSE))))</f>
        <v/>
      </c>
      <c r="M152" s="520" t="str">
        <f>IF(E152="","",IF(ISNA(VLOOKUP($E152,'A-1 Site Habitat Baseline'!$D$1:$O$258,12,FALSE)),"",(VLOOKUP($E152,'A-1 Site Habitat Baseline'!$D$1:$O$258,12,FALSE))))</f>
        <v/>
      </c>
      <c r="N152" s="532" t="str">
        <f>IF(E152="","",IF(ISNA(VLOOKUP($E152,'A-1 Site Habitat Baseline'!$D$1:$X$258,14,FALSE)),"",(VLOOKUP($E152,'A-1 Site Habitat Baseline'!$D$1:$X$258,14,FALSE))))</f>
        <v/>
      </c>
      <c r="O152" s="524" t="str">
        <f>IF(E152="","",IF(ISNA(VLOOKUP($E152,'A-1 Site Habitat Baseline'!$D$1:$X$258,16,FALSE)),"",(VLOOKUP($E152,'A-1 Site Habitat Baseline'!$D$1:$X$258,13,FALSE))))</f>
        <v/>
      </c>
      <c r="P152" s="237" t="str">
        <f>IFERROR(INDEX('G-1 All Habitats'!$AG$3:$AG$15,MATCH(Q152,'G-1 All Habitats'!$AF$3:$AF$15,0)),"")</f>
        <v/>
      </c>
      <c r="Q152" s="238" t="str">
        <f t="shared" si="26"/>
        <v/>
      </c>
      <c r="R152" s="238" t="str">
        <f t="shared" si="27"/>
        <v/>
      </c>
      <c r="S152" s="392" t="str">
        <f>IFERROR(INDEX('G-1 All Habitats'!$B$3:$B$129,MATCH(R152,'G-1 All Habitats'!$A$3:$A$129,0)),"")</f>
        <v/>
      </c>
      <c r="T152" s="498" t="str">
        <f t="shared" si="28"/>
        <v/>
      </c>
      <c r="U152" s="499" t="str">
        <f t="shared" si="29"/>
        <v/>
      </c>
      <c r="V152" s="537" t="str">
        <f t="shared" si="23"/>
        <v/>
      </c>
      <c r="W152" s="520" t="str">
        <f>IF(S152="","",VLOOKUP(S152,'G-1 All Habitats'!$B$2:$M$129,10,FALSE))</f>
        <v/>
      </c>
      <c r="X152" s="520" t="str">
        <f>IFERROR(VLOOKUP(W152,'G-1 All Habitats'!$V$3:$W$7,2,FALSE),"")</f>
        <v/>
      </c>
      <c r="Y152" s="79"/>
      <c r="Z152" s="524" t="str">
        <f>IFERROR(INDEX('G-8 Condition Look up'!$A$3:$H$130,MATCH(S152,'G-8 Condition Look up'!$A$3:$A$130,0),MATCH(Y152,'G-8 Condition Look up'!$A$3:$H$3,0)),"")</f>
        <v/>
      </c>
      <c r="AA152" s="71"/>
      <c r="AB152" s="520" t="str">
        <f>IF(AA152="","",IF(VLOOKUP(AA152,'G-3 Multipliers'!$L$3:$N$6,2,FALSE)=0,"Spatial Data Missing ⚠",VLOOKUP(AA152,'G-3 Multipliers'!$L$3:$N$6,2,FALSE)))</f>
        <v/>
      </c>
      <c r="AC152" s="524" t="str">
        <f>IF(AA152="","",IF(VLOOKUP(AA152,'G-3 Multipliers'!$L$3:$N$6,3,FALSE)=0,"Spatial Data Missing ⚠",VLOOKUP(AA152,'G-3 Multipliers'!$L$3:$N$6,3,FALSE)))</f>
        <v/>
      </c>
      <c r="AD152" s="539" t="str">
        <f t="shared" si="24"/>
        <v/>
      </c>
      <c r="AE152" s="82"/>
      <c r="AF152" s="82"/>
      <c r="AG152" s="507" t="str">
        <f t="shared" si="30"/>
        <v/>
      </c>
      <c r="AH152" s="521" t="str">
        <f t="shared" si="31"/>
        <v/>
      </c>
      <c r="AI152" s="522" t="str">
        <f>IF(AH152="Check Data","Check Data",IFERROR(VLOOKUP(AH152,'G-4 Temporal multipliers'!$A$4:$C$36,3,FALSE),""))</f>
        <v/>
      </c>
      <c r="AJ152" s="498" t="str">
        <f>IF(S152="","",VLOOKUP(S152,'G-3 Multipliers'!$A$2:$E$129,4,FALSE))</f>
        <v/>
      </c>
      <c r="AK152" s="507" t="str">
        <f t="shared" si="32"/>
        <v/>
      </c>
      <c r="AL152" s="507" t="str">
        <f t="shared" si="33"/>
        <v/>
      </c>
      <c r="AM152" s="540" t="str">
        <f>IFERROR(IF(F152="","",IF(AH152="Check Data ⚠","Check Data ⚠",VLOOKUP(AL152, 'G-3 Multipliers'!$P$2:$Q$6,2,FALSE))),"")</f>
        <v/>
      </c>
      <c r="AN152" s="513" t="str">
        <f t="shared" si="25"/>
        <v/>
      </c>
      <c r="AO152" s="239"/>
      <c r="AP152" s="240"/>
    </row>
    <row r="153" spans="1:42" x14ac:dyDescent="0.25">
      <c r="A153" s="47" t="str">
        <f>IF(E153="","",IF(ISNA(VLOOKUP($E153,'A-1 Site Habitat Baseline'!$D$1:$O$258,2,FALSE)),"",(VLOOKUP($E153,'A-1 Site Habitat Baseline'!$D$1:$O$258,2,FALSE))))</f>
        <v/>
      </c>
      <c r="B153" s="47" t="str">
        <f>IF(E153="","",IF(ISNA(VLOOKUP($E153,'A-1 Site Habitat Baseline'!$D$1:$O$258,3,FALSE)),"",(VLOOKUP($E153,'A-1 Site Habitat Baseline'!$D$1:$O$258,3,FALSE))))</f>
        <v/>
      </c>
      <c r="C153" s="47" t="str">
        <f>IFERROR(INDEX('G-8 Condition Look up'!$I$4:$I$130,MATCH(S153,'G-8 Condition Look up'!$A$4:$A$130,0)),"")</f>
        <v/>
      </c>
      <c r="E153" s="531" t="str">
        <f>'A-1 Site Habitat Baseline'!AL152</f>
        <v/>
      </c>
      <c r="F153" s="520" t="str">
        <f>IF(E153="","",IF(ISNA(VLOOKUP($E153,'A-1 Site Habitat Baseline'!$D$1:$O$258,4,FALSE)),"",(VLOOKUP($E153,'A-1 Site Habitat Baseline'!$D$1:$O$258,4,FALSE))))</f>
        <v/>
      </c>
      <c r="G153" s="520" t="str">
        <f>IF(E153="","",IF(ISNA(VLOOKUP($E153,'A-1 Site Habitat Baseline'!$D$1:$O$258,5,FALSE)),"",(VLOOKUP($E153,'A-1 Site Habitat Baseline'!$D$1:$O$258,5,FALSE))))</f>
        <v/>
      </c>
      <c r="H153" s="520" t="str">
        <f>IF(E153="","",IF(ISNA(VLOOKUP($E153,'A-1 Site Habitat Baseline'!$D$1:$O$258,6,FALSE)),"",(VLOOKUP($E153,'A-1 Site Habitat Baseline'!$D$1:$O$258,6,FALSE))))</f>
        <v/>
      </c>
      <c r="I153" s="520" t="str">
        <f>IF(E153="","",IF(ISNA(VLOOKUP($E153,'A-1 Site Habitat Baseline'!$D$1:$O$258,7,FALSE)),"",(VLOOKUP($E153,'A-1 Site Habitat Baseline'!$D$1:$O$258,7,FALSE))))</f>
        <v/>
      </c>
      <c r="J153" s="520" t="str">
        <f>IF(E153="","",IF(ISNA(VLOOKUP($E153,'A-1 Site Habitat Baseline'!$D$1:$O$258,8,FALSE)),"",(VLOOKUP($E153,'A-1 Site Habitat Baseline'!$D$1:$O$258,8,FALSE))))</f>
        <v/>
      </c>
      <c r="K153" s="520" t="str">
        <f>IF(E153="","",IF(ISNA(VLOOKUP($E153,'A-1 Site Habitat Baseline'!$D$1:$O$258,9,FALSE)),"",(VLOOKUP($E153,'A-1 Site Habitat Baseline'!$D$1:$O$258,9,FALSE))))</f>
        <v/>
      </c>
      <c r="L153" s="520" t="str">
        <f>IF(E153="","",IF(ISNA(VLOOKUP($E153,'A-1 Site Habitat Baseline'!$D$1:$O$258,11,FALSE)),"",(VLOOKUP($E153,'A-1 Site Habitat Baseline'!$D$1:$O$258,11,FALSE))))</f>
        <v/>
      </c>
      <c r="M153" s="520" t="str">
        <f>IF(E153="","",IF(ISNA(VLOOKUP($E153,'A-1 Site Habitat Baseline'!$D$1:$O$258,12,FALSE)),"",(VLOOKUP($E153,'A-1 Site Habitat Baseline'!$D$1:$O$258,12,FALSE))))</f>
        <v/>
      </c>
      <c r="N153" s="532" t="str">
        <f>IF(E153="","",IF(ISNA(VLOOKUP($E153,'A-1 Site Habitat Baseline'!$D$1:$X$258,14,FALSE)),"",(VLOOKUP($E153,'A-1 Site Habitat Baseline'!$D$1:$X$258,14,FALSE))))</f>
        <v/>
      </c>
      <c r="O153" s="524" t="str">
        <f>IF(E153="","",IF(ISNA(VLOOKUP($E153,'A-1 Site Habitat Baseline'!$D$1:$X$258,16,FALSE)),"",(VLOOKUP($E153,'A-1 Site Habitat Baseline'!$D$1:$X$258,13,FALSE))))</f>
        <v/>
      </c>
      <c r="P153" s="237" t="str">
        <f>IFERROR(INDEX('G-1 All Habitats'!$AG$3:$AG$15,MATCH(Q153,'G-1 All Habitats'!$AF$3:$AF$15,0)),"")</f>
        <v/>
      </c>
      <c r="Q153" s="238" t="str">
        <f t="shared" si="26"/>
        <v/>
      </c>
      <c r="R153" s="238" t="str">
        <f t="shared" si="27"/>
        <v/>
      </c>
      <c r="S153" s="392" t="str">
        <f>IFERROR(INDEX('G-1 All Habitats'!$B$3:$B$129,MATCH(R153,'G-1 All Habitats'!$A$3:$A$129,0)),"")</f>
        <v/>
      </c>
      <c r="T153" s="498" t="str">
        <f t="shared" si="28"/>
        <v/>
      </c>
      <c r="U153" s="499" t="str">
        <f t="shared" si="29"/>
        <v/>
      </c>
      <c r="V153" s="537" t="str">
        <f t="shared" si="23"/>
        <v/>
      </c>
      <c r="W153" s="520" t="str">
        <f>IF(S153="","",VLOOKUP(S153,'G-1 All Habitats'!$B$2:$M$129,10,FALSE))</f>
        <v/>
      </c>
      <c r="X153" s="520" t="str">
        <f>IFERROR(VLOOKUP(W153,'G-1 All Habitats'!$V$3:$W$7,2,FALSE),"")</f>
        <v/>
      </c>
      <c r="Y153" s="79"/>
      <c r="Z153" s="524" t="str">
        <f>IFERROR(INDEX('G-8 Condition Look up'!$A$3:$H$130,MATCH(S153,'G-8 Condition Look up'!$A$3:$A$130,0),MATCH(Y153,'G-8 Condition Look up'!$A$3:$H$3,0)),"")</f>
        <v/>
      </c>
      <c r="AA153" s="71"/>
      <c r="AB153" s="520" t="str">
        <f>IF(AA153="","",IF(VLOOKUP(AA153,'G-3 Multipliers'!$L$3:$N$6,2,FALSE)=0,"Spatial Data Missing ⚠",VLOOKUP(AA153,'G-3 Multipliers'!$L$3:$N$6,2,FALSE)))</f>
        <v/>
      </c>
      <c r="AC153" s="524" t="str">
        <f>IF(AA153="","",IF(VLOOKUP(AA153,'G-3 Multipliers'!$L$3:$N$6,3,FALSE)=0,"Spatial Data Missing ⚠",VLOOKUP(AA153,'G-3 Multipliers'!$L$3:$N$6,3,FALSE)))</f>
        <v/>
      </c>
      <c r="AD153" s="539" t="str">
        <f t="shared" si="24"/>
        <v/>
      </c>
      <c r="AE153" s="82"/>
      <c r="AF153" s="82"/>
      <c r="AG153" s="507" t="str">
        <f t="shared" si="30"/>
        <v/>
      </c>
      <c r="AH153" s="521" t="str">
        <f t="shared" si="31"/>
        <v/>
      </c>
      <c r="AI153" s="522" t="str">
        <f>IF(AH153="Check Data","Check Data",IFERROR(VLOOKUP(AH153,'G-4 Temporal multipliers'!$A$4:$C$36,3,FALSE),""))</f>
        <v/>
      </c>
      <c r="AJ153" s="498" t="str">
        <f>IF(S153="","",VLOOKUP(S153,'G-3 Multipliers'!$A$2:$E$129,4,FALSE))</f>
        <v/>
      </c>
      <c r="AK153" s="507" t="str">
        <f t="shared" si="32"/>
        <v/>
      </c>
      <c r="AL153" s="507" t="str">
        <f t="shared" si="33"/>
        <v/>
      </c>
      <c r="AM153" s="540" t="str">
        <f>IFERROR(IF(F153="","",IF(AH153="Check Data ⚠","Check Data ⚠",VLOOKUP(AL153, 'G-3 Multipliers'!$P$2:$Q$6,2,FALSE))),"")</f>
        <v/>
      </c>
      <c r="AN153" s="513" t="str">
        <f t="shared" si="25"/>
        <v/>
      </c>
      <c r="AO153" s="239"/>
      <c r="AP153" s="240"/>
    </row>
    <row r="154" spans="1:42" x14ac:dyDescent="0.25">
      <c r="A154" s="47" t="str">
        <f>IF(E154="","",IF(ISNA(VLOOKUP($E154,'A-1 Site Habitat Baseline'!$D$1:$O$258,2,FALSE)),"",(VLOOKUP($E154,'A-1 Site Habitat Baseline'!$D$1:$O$258,2,FALSE))))</f>
        <v/>
      </c>
      <c r="B154" s="47" t="str">
        <f>IF(E154="","",IF(ISNA(VLOOKUP($E154,'A-1 Site Habitat Baseline'!$D$1:$O$258,3,FALSE)),"",(VLOOKUP($E154,'A-1 Site Habitat Baseline'!$D$1:$O$258,3,FALSE))))</f>
        <v/>
      </c>
      <c r="C154" s="47" t="str">
        <f>IFERROR(INDEX('G-8 Condition Look up'!$I$4:$I$130,MATCH(S154,'G-8 Condition Look up'!$A$4:$A$130,0)),"")</f>
        <v/>
      </c>
      <c r="E154" s="531" t="str">
        <f>'A-1 Site Habitat Baseline'!AL153</f>
        <v/>
      </c>
      <c r="F154" s="520" t="str">
        <f>IF(E154="","",IF(ISNA(VLOOKUP($E154,'A-1 Site Habitat Baseline'!$D$1:$O$258,4,FALSE)),"",(VLOOKUP($E154,'A-1 Site Habitat Baseline'!$D$1:$O$258,4,FALSE))))</f>
        <v/>
      </c>
      <c r="G154" s="520" t="str">
        <f>IF(E154="","",IF(ISNA(VLOOKUP($E154,'A-1 Site Habitat Baseline'!$D$1:$O$258,5,FALSE)),"",(VLOOKUP($E154,'A-1 Site Habitat Baseline'!$D$1:$O$258,5,FALSE))))</f>
        <v/>
      </c>
      <c r="H154" s="520" t="str">
        <f>IF(E154="","",IF(ISNA(VLOOKUP($E154,'A-1 Site Habitat Baseline'!$D$1:$O$258,6,FALSE)),"",(VLOOKUP($E154,'A-1 Site Habitat Baseline'!$D$1:$O$258,6,FALSE))))</f>
        <v/>
      </c>
      <c r="I154" s="520" t="str">
        <f>IF(E154="","",IF(ISNA(VLOOKUP($E154,'A-1 Site Habitat Baseline'!$D$1:$O$258,7,FALSE)),"",(VLOOKUP($E154,'A-1 Site Habitat Baseline'!$D$1:$O$258,7,FALSE))))</f>
        <v/>
      </c>
      <c r="J154" s="520" t="str">
        <f>IF(E154="","",IF(ISNA(VLOOKUP($E154,'A-1 Site Habitat Baseline'!$D$1:$O$258,8,FALSE)),"",(VLOOKUP($E154,'A-1 Site Habitat Baseline'!$D$1:$O$258,8,FALSE))))</f>
        <v/>
      </c>
      <c r="K154" s="520" t="str">
        <f>IF(E154="","",IF(ISNA(VLOOKUP($E154,'A-1 Site Habitat Baseline'!$D$1:$O$258,9,FALSE)),"",(VLOOKUP($E154,'A-1 Site Habitat Baseline'!$D$1:$O$258,9,FALSE))))</f>
        <v/>
      </c>
      <c r="L154" s="520" t="str">
        <f>IF(E154="","",IF(ISNA(VLOOKUP($E154,'A-1 Site Habitat Baseline'!$D$1:$O$258,11,FALSE)),"",(VLOOKUP($E154,'A-1 Site Habitat Baseline'!$D$1:$O$258,11,FALSE))))</f>
        <v/>
      </c>
      <c r="M154" s="520" t="str">
        <f>IF(E154="","",IF(ISNA(VLOOKUP($E154,'A-1 Site Habitat Baseline'!$D$1:$O$258,12,FALSE)),"",(VLOOKUP($E154,'A-1 Site Habitat Baseline'!$D$1:$O$258,12,FALSE))))</f>
        <v/>
      </c>
      <c r="N154" s="532" t="str">
        <f>IF(E154="","",IF(ISNA(VLOOKUP($E154,'A-1 Site Habitat Baseline'!$D$1:$X$258,14,FALSE)),"",(VLOOKUP($E154,'A-1 Site Habitat Baseline'!$D$1:$X$258,14,FALSE))))</f>
        <v/>
      </c>
      <c r="O154" s="524" t="str">
        <f>IF(E154="","",IF(ISNA(VLOOKUP($E154,'A-1 Site Habitat Baseline'!$D$1:$X$258,16,FALSE)),"",(VLOOKUP($E154,'A-1 Site Habitat Baseline'!$D$1:$X$258,13,FALSE))))</f>
        <v/>
      </c>
      <c r="P154" s="237" t="str">
        <f>IFERROR(INDEX('G-1 All Habitats'!$AG$3:$AG$15,MATCH(Q154,'G-1 All Habitats'!$AF$3:$AF$15,0)),"")</f>
        <v/>
      </c>
      <c r="Q154" s="238" t="str">
        <f t="shared" si="26"/>
        <v/>
      </c>
      <c r="R154" s="238" t="str">
        <f t="shared" si="27"/>
        <v/>
      </c>
      <c r="S154" s="392" t="str">
        <f>IFERROR(INDEX('G-1 All Habitats'!$B$3:$B$129,MATCH(R154,'G-1 All Habitats'!$A$3:$A$129,0)),"")</f>
        <v/>
      </c>
      <c r="T154" s="498" t="str">
        <f t="shared" si="28"/>
        <v/>
      </c>
      <c r="U154" s="499" t="str">
        <f t="shared" si="29"/>
        <v/>
      </c>
      <c r="V154" s="537" t="str">
        <f t="shared" si="23"/>
        <v/>
      </c>
      <c r="W154" s="520" t="str">
        <f>IF(S154="","",VLOOKUP(S154,'G-1 All Habitats'!$B$2:$M$129,10,FALSE))</f>
        <v/>
      </c>
      <c r="X154" s="520" t="str">
        <f>IFERROR(VLOOKUP(W154,'G-1 All Habitats'!$V$3:$W$7,2,FALSE),"")</f>
        <v/>
      </c>
      <c r="Y154" s="79"/>
      <c r="Z154" s="524" t="str">
        <f>IFERROR(INDEX('G-8 Condition Look up'!$A$3:$H$130,MATCH(S154,'G-8 Condition Look up'!$A$3:$A$130,0),MATCH(Y154,'G-8 Condition Look up'!$A$3:$H$3,0)),"")</f>
        <v/>
      </c>
      <c r="AA154" s="71"/>
      <c r="AB154" s="520" t="str">
        <f>IF(AA154="","",IF(VLOOKUP(AA154,'G-3 Multipliers'!$L$3:$N$6,2,FALSE)=0,"Spatial Data Missing ⚠",VLOOKUP(AA154,'G-3 Multipliers'!$L$3:$N$6,2,FALSE)))</f>
        <v/>
      </c>
      <c r="AC154" s="524" t="str">
        <f>IF(AA154="","",IF(VLOOKUP(AA154,'G-3 Multipliers'!$L$3:$N$6,3,FALSE)=0,"Spatial Data Missing ⚠",VLOOKUP(AA154,'G-3 Multipliers'!$L$3:$N$6,3,FALSE)))</f>
        <v/>
      </c>
      <c r="AD154" s="539" t="str">
        <f t="shared" si="24"/>
        <v/>
      </c>
      <c r="AE154" s="82"/>
      <c r="AF154" s="82"/>
      <c r="AG154" s="507" t="str">
        <f t="shared" si="30"/>
        <v/>
      </c>
      <c r="AH154" s="521" t="str">
        <f t="shared" si="31"/>
        <v/>
      </c>
      <c r="AI154" s="522" t="str">
        <f>IF(AH154="Check Data","Check Data",IFERROR(VLOOKUP(AH154,'G-4 Temporal multipliers'!$A$4:$C$36,3,FALSE),""))</f>
        <v/>
      </c>
      <c r="AJ154" s="498" t="str">
        <f>IF(S154="","",VLOOKUP(S154,'G-3 Multipliers'!$A$2:$E$129,4,FALSE))</f>
        <v/>
      </c>
      <c r="AK154" s="507" t="str">
        <f t="shared" si="32"/>
        <v/>
      </c>
      <c r="AL154" s="507" t="str">
        <f t="shared" si="33"/>
        <v/>
      </c>
      <c r="AM154" s="540" t="str">
        <f>IFERROR(IF(F154="","",IF(AH154="Check Data ⚠","Check Data ⚠",VLOOKUP(AL154, 'G-3 Multipliers'!$P$2:$Q$6,2,FALSE))),"")</f>
        <v/>
      </c>
      <c r="AN154" s="513" t="str">
        <f t="shared" si="25"/>
        <v/>
      </c>
      <c r="AO154" s="239"/>
      <c r="AP154" s="240"/>
    </row>
    <row r="155" spans="1:42" x14ac:dyDescent="0.25">
      <c r="A155" s="47" t="str">
        <f>IF(E155="","",IF(ISNA(VLOOKUP($E155,'A-1 Site Habitat Baseline'!$D$1:$O$258,2,FALSE)),"",(VLOOKUP($E155,'A-1 Site Habitat Baseline'!$D$1:$O$258,2,FALSE))))</f>
        <v/>
      </c>
      <c r="B155" s="47" t="str">
        <f>IF(E155="","",IF(ISNA(VLOOKUP($E155,'A-1 Site Habitat Baseline'!$D$1:$O$258,3,FALSE)),"",(VLOOKUP($E155,'A-1 Site Habitat Baseline'!$D$1:$O$258,3,FALSE))))</f>
        <v/>
      </c>
      <c r="C155" s="47" t="str">
        <f>IFERROR(INDEX('G-8 Condition Look up'!$I$4:$I$130,MATCH(S155,'G-8 Condition Look up'!$A$4:$A$130,0)),"")</f>
        <v/>
      </c>
      <c r="E155" s="531" t="str">
        <f>'A-1 Site Habitat Baseline'!AL154</f>
        <v/>
      </c>
      <c r="F155" s="520" t="str">
        <f>IF(E155="","",IF(ISNA(VLOOKUP($E155,'A-1 Site Habitat Baseline'!$D$1:$O$258,4,FALSE)),"",(VLOOKUP($E155,'A-1 Site Habitat Baseline'!$D$1:$O$258,4,FALSE))))</f>
        <v/>
      </c>
      <c r="G155" s="520" t="str">
        <f>IF(E155="","",IF(ISNA(VLOOKUP($E155,'A-1 Site Habitat Baseline'!$D$1:$O$258,5,FALSE)),"",(VLOOKUP($E155,'A-1 Site Habitat Baseline'!$D$1:$O$258,5,FALSE))))</f>
        <v/>
      </c>
      <c r="H155" s="520" t="str">
        <f>IF(E155="","",IF(ISNA(VLOOKUP($E155,'A-1 Site Habitat Baseline'!$D$1:$O$258,6,FALSE)),"",(VLOOKUP($E155,'A-1 Site Habitat Baseline'!$D$1:$O$258,6,FALSE))))</f>
        <v/>
      </c>
      <c r="I155" s="520" t="str">
        <f>IF(E155="","",IF(ISNA(VLOOKUP($E155,'A-1 Site Habitat Baseline'!$D$1:$O$258,7,FALSE)),"",(VLOOKUP($E155,'A-1 Site Habitat Baseline'!$D$1:$O$258,7,FALSE))))</f>
        <v/>
      </c>
      <c r="J155" s="520" t="str">
        <f>IF(E155="","",IF(ISNA(VLOOKUP($E155,'A-1 Site Habitat Baseline'!$D$1:$O$258,8,FALSE)),"",(VLOOKUP($E155,'A-1 Site Habitat Baseline'!$D$1:$O$258,8,FALSE))))</f>
        <v/>
      </c>
      <c r="K155" s="520" t="str">
        <f>IF(E155="","",IF(ISNA(VLOOKUP($E155,'A-1 Site Habitat Baseline'!$D$1:$O$258,9,FALSE)),"",(VLOOKUP($E155,'A-1 Site Habitat Baseline'!$D$1:$O$258,9,FALSE))))</f>
        <v/>
      </c>
      <c r="L155" s="520" t="str">
        <f>IF(E155="","",IF(ISNA(VLOOKUP($E155,'A-1 Site Habitat Baseline'!$D$1:$O$258,11,FALSE)),"",(VLOOKUP($E155,'A-1 Site Habitat Baseline'!$D$1:$O$258,11,FALSE))))</f>
        <v/>
      </c>
      <c r="M155" s="520" t="str">
        <f>IF(E155="","",IF(ISNA(VLOOKUP($E155,'A-1 Site Habitat Baseline'!$D$1:$O$258,12,FALSE)),"",(VLOOKUP($E155,'A-1 Site Habitat Baseline'!$D$1:$O$258,12,FALSE))))</f>
        <v/>
      </c>
      <c r="N155" s="532" t="str">
        <f>IF(E155="","",IF(ISNA(VLOOKUP($E155,'A-1 Site Habitat Baseline'!$D$1:$X$258,14,FALSE)),"",(VLOOKUP($E155,'A-1 Site Habitat Baseline'!$D$1:$X$258,14,FALSE))))</f>
        <v/>
      </c>
      <c r="O155" s="524" t="str">
        <f>IF(E155="","",IF(ISNA(VLOOKUP($E155,'A-1 Site Habitat Baseline'!$D$1:$X$258,16,FALSE)),"",(VLOOKUP($E155,'A-1 Site Habitat Baseline'!$D$1:$X$258,13,FALSE))))</f>
        <v/>
      </c>
      <c r="P155" s="237" t="str">
        <f>IFERROR(INDEX('G-1 All Habitats'!$AG$3:$AG$15,MATCH(Q155,'G-1 All Habitats'!$AF$3:$AF$15,0)),"")</f>
        <v/>
      </c>
      <c r="Q155" s="238" t="str">
        <f t="shared" si="26"/>
        <v/>
      </c>
      <c r="R155" s="238" t="str">
        <f t="shared" si="27"/>
        <v/>
      </c>
      <c r="S155" s="392" t="str">
        <f>IFERROR(INDEX('G-1 All Habitats'!$B$3:$B$129,MATCH(R155,'G-1 All Habitats'!$A$3:$A$129,0)),"")</f>
        <v/>
      </c>
      <c r="T155" s="498" t="str">
        <f t="shared" si="28"/>
        <v/>
      </c>
      <c r="U155" s="499" t="str">
        <f t="shared" si="29"/>
        <v/>
      </c>
      <c r="V155" s="537" t="str">
        <f t="shared" si="23"/>
        <v/>
      </c>
      <c r="W155" s="520" t="str">
        <f>IF(S155="","",VLOOKUP(S155,'G-1 All Habitats'!$B$2:$M$129,10,FALSE))</f>
        <v/>
      </c>
      <c r="X155" s="520" t="str">
        <f>IFERROR(VLOOKUP(W155,'G-1 All Habitats'!$V$3:$W$7,2,FALSE),"")</f>
        <v/>
      </c>
      <c r="Y155" s="79"/>
      <c r="Z155" s="524" t="str">
        <f>IFERROR(INDEX('G-8 Condition Look up'!$A$3:$H$130,MATCH(S155,'G-8 Condition Look up'!$A$3:$A$130,0),MATCH(Y155,'G-8 Condition Look up'!$A$3:$H$3,0)),"")</f>
        <v/>
      </c>
      <c r="AA155" s="71"/>
      <c r="AB155" s="520" t="str">
        <f>IF(AA155="","",IF(VLOOKUP(AA155,'G-3 Multipliers'!$L$3:$N$6,2,FALSE)=0,"Spatial Data Missing ⚠",VLOOKUP(AA155,'G-3 Multipliers'!$L$3:$N$6,2,FALSE)))</f>
        <v/>
      </c>
      <c r="AC155" s="524" t="str">
        <f>IF(AA155="","",IF(VLOOKUP(AA155,'G-3 Multipliers'!$L$3:$N$6,3,FALSE)=0,"Spatial Data Missing ⚠",VLOOKUP(AA155,'G-3 Multipliers'!$L$3:$N$6,3,FALSE)))</f>
        <v/>
      </c>
      <c r="AD155" s="539" t="str">
        <f t="shared" si="24"/>
        <v/>
      </c>
      <c r="AE155" s="82"/>
      <c r="AF155" s="82"/>
      <c r="AG155" s="507" t="str">
        <f t="shared" si="30"/>
        <v/>
      </c>
      <c r="AH155" s="521" t="str">
        <f t="shared" si="31"/>
        <v/>
      </c>
      <c r="AI155" s="522" t="str">
        <f>IF(AH155="Check Data","Check Data",IFERROR(VLOOKUP(AH155,'G-4 Temporal multipliers'!$A$4:$C$36,3,FALSE),""))</f>
        <v/>
      </c>
      <c r="AJ155" s="498" t="str">
        <f>IF(S155="","",VLOOKUP(S155,'G-3 Multipliers'!$A$2:$E$129,4,FALSE))</f>
        <v/>
      </c>
      <c r="AK155" s="507" t="str">
        <f t="shared" si="32"/>
        <v/>
      </c>
      <c r="AL155" s="507" t="str">
        <f t="shared" si="33"/>
        <v/>
      </c>
      <c r="AM155" s="540" t="str">
        <f>IFERROR(IF(F155="","",IF(AH155="Check Data ⚠","Check Data ⚠",VLOOKUP(AL155, 'G-3 Multipliers'!$P$2:$Q$6,2,FALSE))),"")</f>
        <v/>
      </c>
      <c r="AN155" s="513" t="str">
        <f t="shared" si="25"/>
        <v/>
      </c>
      <c r="AO155" s="239"/>
      <c r="AP155" s="240"/>
    </row>
    <row r="156" spans="1:42" x14ac:dyDescent="0.25">
      <c r="A156" s="47" t="str">
        <f>IF(E156="","",IF(ISNA(VLOOKUP($E156,'A-1 Site Habitat Baseline'!$D$1:$O$258,2,FALSE)),"",(VLOOKUP($E156,'A-1 Site Habitat Baseline'!$D$1:$O$258,2,FALSE))))</f>
        <v/>
      </c>
      <c r="B156" s="47" t="str">
        <f>IF(E156="","",IF(ISNA(VLOOKUP($E156,'A-1 Site Habitat Baseline'!$D$1:$O$258,3,FALSE)),"",(VLOOKUP($E156,'A-1 Site Habitat Baseline'!$D$1:$O$258,3,FALSE))))</f>
        <v/>
      </c>
      <c r="C156" s="47" t="str">
        <f>IFERROR(INDEX('G-8 Condition Look up'!$I$4:$I$130,MATCH(S156,'G-8 Condition Look up'!$A$4:$A$130,0)),"")</f>
        <v/>
      </c>
      <c r="E156" s="531" t="str">
        <f>'A-1 Site Habitat Baseline'!AL155</f>
        <v/>
      </c>
      <c r="F156" s="520" t="str">
        <f>IF(E156="","",IF(ISNA(VLOOKUP($E156,'A-1 Site Habitat Baseline'!$D$1:$O$258,4,FALSE)),"",(VLOOKUP($E156,'A-1 Site Habitat Baseline'!$D$1:$O$258,4,FALSE))))</f>
        <v/>
      </c>
      <c r="G156" s="520" t="str">
        <f>IF(E156="","",IF(ISNA(VLOOKUP($E156,'A-1 Site Habitat Baseline'!$D$1:$O$258,5,FALSE)),"",(VLOOKUP($E156,'A-1 Site Habitat Baseline'!$D$1:$O$258,5,FALSE))))</f>
        <v/>
      </c>
      <c r="H156" s="520" t="str">
        <f>IF(E156="","",IF(ISNA(VLOOKUP($E156,'A-1 Site Habitat Baseline'!$D$1:$O$258,6,FALSE)),"",(VLOOKUP($E156,'A-1 Site Habitat Baseline'!$D$1:$O$258,6,FALSE))))</f>
        <v/>
      </c>
      <c r="I156" s="520" t="str">
        <f>IF(E156="","",IF(ISNA(VLOOKUP($E156,'A-1 Site Habitat Baseline'!$D$1:$O$258,7,FALSE)),"",(VLOOKUP($E156,'A-1 Site Habitat Baseline'!$D$1:$O$258,7,FALSE))))</f>
        <v/>
      </c>
      <c r="J156" s="520" t="str">
        <f>IF(E156="","",IF(ISNA(VLOOKUP($E156,'A-1 Site Habitat Baseline'!$D$1:$O$258,8,FALSE)),"",(VLOOKUP($E156,'A-1 Site Habitat Baseline'!$D$1:$O$258,8,FALSE))))</f>
        <v/>
      </c>
      <c r="K156" s="520" t="str">
        <f>IF(E156="","",IF(ISNA(VLOOKUP($E156,'A-1 Site Habitat Baseline'!$D$1:$O$258,9,FALSE)),"",(VLOOKUP($E156,'A-1 Site Habitat Baseline'!$D$1:$O$258,9,FALSE))))</f>
        <v/>
      </c>
      <c r="L156" s="520" t="str">
        <f>IF(E156="","",IF(ISNA(VLOOKUP($E156,'A-1 Site Habitat Baseline'!$D$1:$O$258,11,FALSE)),"",(VLOOKUP($E156,'A-1 Site Habitat Baseline'!$D$1:$O$258,11,FALSE))))</f>
        <v/>
      </c>
      <c r="M156" s="520" t="str">
        <f>IF(E156="","",IF(ISNA(VLOOKUP($E156,'A-1 Site Habitat Baseline'!$D$1:$O$258,12,FALSE)),"",(VLOOKUP($E156,'A-1 Site Habitat Baseline'!$D$1:$O$258,12,FALSE))))</f>
        <v/>
      </c>
      <c r="N156" s="532" t="str">
        <f>IF(E156="","",IF(ISNA(VLOOKUP($E156,'A-1 Site Habitat Baseline'!$D$1:$X$258,14,FALSE)),"",(VLOOKUP($E156,'A-1 Site Habitat Baseline'!$D$1:$X$258,14,FALSE))))</f>
        <v/>
      </c>
      <c r="O156" s="524" t="str">
        <f>IF(E156="","",IF(ISNA(VLOOKUP($E156,'A-1 Site Habitat Baseline'!$D$1:$X$258,16,FALSE)),"",(VLOOKUP($E156,'A-1 Site Habitat Baseline'!$D$1:$X$258,13,FALSE))))</f>
        <v/>
      </c>
      <c r="P156" s="237" t="str">
        <f>IFERROR(INDEX('G-1 All Habitats'!$AG$3:$AG$15,MATCH(Q156,'G-1 All Habitats'!$AF$3:$AF$15,0)),"")</f>
        <v/>
      </c>
      <c r="Q156" s="238" t="str">
        <f t="shared" si="26"/>
        <v/>
      </c>
      <c r="R156" s="238" t="str">
        <f t="shared" si="27"/>
        <v/>
      </c>
      <c r="S156" s="392" t="str">
        <f>IFERROR(INDEX('G-1 All Habitats'!$B$3:$B$129,MATCH(R156,'G-1 All Habitats'!$A$3:$A$129,0)),"")</f>
        <v/>
      </c>
      <c r="T156" s="498" t="str">
        <f t="shared" si="28"/>
        <v/>
      </c>
      <c r="U156" s="499" t="str">
        <f t="shared" si="29"/>
        <v/>
      </c>
      <c r="V156" s="537" t="str">
        <f t="shared" si="23"/>
        <v/>
      </c>
      <c r="W156" s="520" t="str">
        <f>IF(S156="","",VLOOKUP(S156,'G-1 All Habitats'!$B$2:$M$129,10,FALSE))</f>
        <v/>
      </c>
      <c r="X156" s="520" t="str">
        <f>IFERROR(VLOOKUP(W156,'G-1 All Habitats'!$V$3:$W$7,2,FALSE),"")</f>
        <v/>
      </c>
      <c r="Y156" s="79"/>
      <c r="Z156" s="524" t="str">
        <f>IFERROR(INDEX('G-8 Condition Look up'!$A$3:$H$130,MATCH(S156,'G-8 Condition Look up'!$A$3:$A$130,0),MATCH(Y156,'G-8 Condition Look up'!$A$3:$H$3,0)),"")</f>
        <v/>
      </c>
      <c r="AA156" s="71"/>
      <c r="AB156" s="520" t="str">
        <f>IF(AA156="","",IF(VLOOKUP(AA156,'G-3 Multipliers'!$L$3:$N$6,2,FALSE)=0,"Spatial Data Missing ⚠",VLOOKUP(AA156,'G-3 Multipliers'!$L$3:$N$6,2,FALSE)))</f>
        <v/>
      </c>
      <c r="AC156" s="524" t="str">
        <f>IF(AA156="","",IF(VLOOKUP(AA156,'G-3 Multipliers'!$L$3:$N$6,3,FALSE)=0,"Spatial Data Missing ⚠",VLOOKUP(AA156,'G-3 Multipliers'!$L$3:$N$6,3,FALSE)))</f>
        <v/>
      </c>
      <c r="AD156" s="539" t="str">
        <f t="shared" si="24"/>
        <v/>
      </c>
      <c r="AE156" s="82"/>
      <c r="AF156" s="82"/>
      <c r="AG156" s="507" t="str">
        <f t="shared" si="30"/>
        <v/>
      </c>
      <c r="AH156" s="521" t="str">
        <f t="shared" si="31"/>
        <v/>
      </c>
      <c r="AI156" s="522" t="str">
        <f>IF(AH156="Check Data","Check Data",IFERROR(VLOOKUP(AH156,'G-4 Temporal multipliers'!$A$4:$C$36,3,FALSE),""))</f>
        <v/>
      </c>
      <c r="AJ156" s="498" t="str">
        <f>IF(S156="","",VLOOKUP(S156,'G-3 Multipliers'!$A$2:$E$129,4,FALSE))</f>
        <v/>
      </c>
      <c r="AK156" s="507" t="str">
        <f t="shared" si="32"/>
        <v/>
      </c>
      <c r="AL156" s="507" t="str">
        <f t="shared" si="33"/>
        <v/>
      </c>
      <c r="AM156" s="540" t="str">
        <f>IFERROR(IF(F156="","",IF(AH156="Check Data ⚠","Check Data ⚠",VLOOKUP(AL156, 'G-3 Multipliers'!$P$2:$Q$6,2,FALSE))),"")</f>
        <v/>
      </c>
      <c r="AN156" s="513" t="str">
        <f t="shared" si="25"/>
        <v/>
      </c>
      <c r="AO156" s="239"/>
      <c r="AP156" s="240"/>
    </row>
    <row r="157" spans="1:42" x14ac:dyDescent="0.25">
      <c r="A157" s="47" t="str">
        <f>IF(E157="","",IF(ISNA(VLOOKUP($E157,'A-1 Site Habitat Baseline'!$D$1:$O$258,2,FALSE)),"",(VLOOKUP($E157,'A-1 Site Habitat Baseline'!$D$1:$O$258,2,FALSE))))</f>
        <v/>
      </c>
      <c r="B157" s="47" t="str">
        <f>IF(E157="","",IF(ISNA(VLOOKUP($E157,'A-1 Site Habitat Baseline'!$D$1:$O$258,3,FALSE)),"",(VLOOKUP($E157,'A-1 Site Habitat Baseline'!$D$1:$O$258,3,FALSE))))</f>
        <v/>
      </c>
      <c r="C157" s="47" t="str">
        <f>IFERROR(INDEX('G-8 Condition Look up'!$I$4:$I$130,MATCH(S157,'G-8 Condition Look up'!$A$4:$A$130,0)),"")</f>
        <v/>
      </c>
      <c r="E157" s="531" t="str">
        <f>'A-1 Site Habitat Baseline'!AL156</f>
        <v/>
      </c>
      <c r="F157" s="520" t="str">
        <f>IF(E157="","",IF(ISNA(VLOOKUP($E157,'A-1 Site Habitat Baseline'!$D$1:$O$258,4,FALSE)),"",(VLOOKUP($E157,'A-1 Site Habitat Baseline'!$D$1:$O$258,4,FALSE))))</f>
        <v/>
      </c>
      <c r="G157" s="520" t="str">
        <f>IF(E157="","",IF(ISNA(VLOOKUP($E157,'A-1 Site Habitat Baseline'!$D$1:$O$258,5,FALSE)),"",(VLOOKUP($E157,'A-1 Site Habitat Baseline'!$D$1:$O$258,5,FALSE))))</f>
        <v/>
      </c>
      <c r="H157" s="520" t="str">
        <f>IF(E157="","",IF(ISNA(VLOOKUP($E157,'A-1 Site Habitat Baseline'!$D$1:$O$258,6,FALSE)),"",(VLOOKUP($E157,'A-1 Site Habitat Baseline'!$D$1:$O$258,6,FALSE))))</f>
        <v/>
      </c>
      <c r="I157" s="520" t="str">
        <f>IF(E157="","",IF(ISNA(VLOOKUP($E157,'A-1 Site Habitat Baseline'!$D$1:$O$258,7,FALSE)),"",(VLOOKUP($E157,'A-1 Site Habitat Baseline'!$D$1:$O$258,7,FALSE))))</f>
        <v/>
      </c>
      <c r="J157" s="520" t="str">
        <f>IF(E157="","",IF(ISNA(VLOOKUP($E157,'A-1 Site Habitat Baseline'!$D$1:$O$258,8,FALSE)),"",(VLOOKUP($E157,'A-1 Site Habitat Baseline'!$D$1:$O$258,8,FALSE))))</f>
        <v/>
      </c>
      <c r="K157" s="520" t="str">
        <f>IF(E157="","",IF(ISNA(VLOOKUP($E157,'A-1 Site Habitat Baseline'!$D$1:$O$258,9,FALSE)),"",(VLOOKUP($E157,'A-1 Site Habitat Baseline'!$D$1:$O$258,9,FALSE))))</f>
        <v/>
      </c>
      <c r="L157" s="520" t="str">
        <f>IF(E157="","",IF(ISNA(VLOOKUP($E157,'A-1 Site Habitat Baseline'!$D$1:$O$258,11,FALSE)),"",(VLOOKUP($E157,'A-1 Site Habitat Baseline'!$D$1:$O$258,11,FALSE))))</f>
        <v/>
      </c>
      <c r="M157" s="520" t="str">
        <f>IF(E157="","",IF(ISNA(VLOOKUP($E157,'A-1 Site Habitat Baseline'!$D$1:$O$258,12,FALSE)),"",(VLOOKUP($E157,'A-1 Site Habitat Baseline'!$D$1:$O$258,12,FALSE))))</f>
        <v/>
      </c>
      <c r="N157" s="532" t="str">
        <f>IF(E157="","",IF(ISNA(VLOOKUP($E157,'A-1 Site Habitat Baseline'!$D$1:$X$258,14,FALSE)),"",(VLOOKUP($E157,'A-1 Site Habitat Baseline'!$D$1:$X$258,14,FALSE))))</f>
        <v/>
      </c>
      <c r="O157" s="524" t="str">
        <f>IF(E157="","",IF(ISNA(VLOOKUP($E157,'A-1 Site Habitat Baseline'!$D$1:$X$258,16,FALSE)),"",(VLOOKUP($E157,'A-1 Site Habitat Baseline'!$D$1:$X$258,13,FALSE))))</f>
        <v/>
      </c>
      <c r="P157" s="237" t="str">
        <f>IFERROR(INDEX('G-1 All Habitats'!$AG$3:$AG$15,MATCH(Q157,'G-1 All Habitats'!$AF$3:$AF$15,0)),"")</f>
        <v/>
      </c>
      <c r="Q157" s="238" t="str">
        <f t="shared" si="26"/>
        <v/>
      </c>
      <c r="R157" s="238" t="str">
        <f t="shared" si="27"/>
        <v/>
      </c>
      <c r="S157" s="392" t="str">
        <f>IFERROR(INDEX('G-1 All Habitats'!$B$3:$B$129,MATCH(R157,'G-1 All Habitats'!$A$3:$A$129,0)),"")</f>
        <v/>
      </c>
      <c r="T157" s="498" t="str">
        <f t="shared" si="28"/>
        <v/>
      </c>
      <c r="U157" s="499" t="str">
        <f t="shared" si="29"/>
        <v/>
      </c>
      <c r="V157" s="537" t="str">
        <f t="shared" si="23"/>
        <v/>
      </c>
      <c r="W157" s="520" t="str">
        <f>IF(S157="","",VLOOKUP(S157,'G-1 All Habitats'!$B$2:$M$129,10,FALSE))</f>
        <v/>
      </c>
      <c r="X157" s="520" t="str">
        <f>IFERROR(VLOOKUP(W157,'G-1 All Habitats'!$V$3:$W$7,2,FALSE),"")</f>
        <v/>
      </c>
      <c r="Y157" s="79"/>
      <c r="Z157" s="524" t="str">
        <f>IFERROR(INDEX('G-8 Condition Look up'!$A$3:$H$130,MATCH(S157,'G-8 Condition Look up'!$A$3:$A$130,0),MATCH(Y157,'G-8 Condition Look up'!$A$3:$H$3,0)),"")</f>
        <v/>
      </c>
      <c r="AA157" s="71"/>
      <c r="AB157" s="520" t="str">
        <f>IF(AA157="","",IF(VLOOKUP(AA157,'G-3 Multipliers'!$L$3:$N$6,2,FALSE)=0,"Spatial Data Missing ⚠",VLOOKUP(AA157,'G-3 Multipliers'!$L$3:$N$6,2,FALSE)))</f>
        <v/>
      </c>
      <c r="AC157" s="524" t="str">
        <f>IF(AA157="","",IF(VLOOKUP(AA157,'G-3 Multipliers'!$L$3:$N$6,3,FALSE)=0,"Spatial Data Missing ⚠",VLOOKUP(AA157,'G-3 Multipliers'!$L$3:$N$6,3,FALSE)))</f>
        <v/>
      </c>
      <c r="AD157" s="539" t="str">
        <f t="shared" si="24"/>
        <v/>
      </c>
      <c r="AE157" s="82"/>
      <c r="AF157" s="82"/>
      <c r="AG157" s="507" t="str">
        <f t="shared" si="30"/>
        <v/>
      </c>
      <c r="AH157" s="521" t="str">
        <f t="shared" si="31"/>
        <v/>
      </c>
      <c r="AI157" s="522" t="str">
        <f>IF(AH157="Check Data","Check Data",IFERROR(VLOOKUP(AH157,'G-4 Temporal multipliers'!$A$4:$C$36,3,FALSE),""))</f>
        <v/>
      </c>
      <c r="AJ157" s="498" t="str">
        <f>IF(S157="","",VLOOKUP(S157,'G-3 Multipliers'!$A$2:$E$129,4,FALSE))</f>
        <v/>
      </c>
      <c r="AK157" s="507" t="str">
        <f t="shared" si="32"/>
        <v/>
      </c>
      <c r="AL157" s="507" t="str">
        <f t="shared" si="33"/>
        <v/>
      </c>
      <c r="AM157" s="540" t="str">
        <f>IFERROR(IF(F157="","",IF(AH157="Check Data ⚠","Check Data ⚠",VLOOKUP(AL157, 'G-3 Multipliers'!$P$2:$Q$6,2,FALSE))),"")</f>
        <v/>
      </c>
      <c r="AN157" s="513" t="str">
        <f t="shared" si="25"/>
        <v/>
      </c>
      <c r="AO157" s="239"/>
      <c r="AP157" s="240"/>
    </row>
    <row r="158" spans="1:42" x14ac:dyDescent="0.25">
      <c r="A158" s="47" t="str">
        <f>IF(E158="","",IF(ISNA(VLOOKUP($E158,'A-1 Site Habitat Baseline'!$D$1:$O$258,2,FALSE)),"",(VLOOKUP($E158,'A-1 Site Habitat Baseline'!$D$1:$O$258,2,FALSE))))</f>
        <v/>
      </c>
      <c r="B158" s="47" t="str">
        <f>IF(E158="","",IF(ISNA(VLOOKUP($E158,'A-1 Site Habitat Baseline'!$D$1:$O$258,3,FALSE)),"",(VLOOKUP($E158,'A-1 Site Habitat Baseline'!$D$1:$O$258,3,FALSE))))</f>
        <v/>
      </c>
      <c r="C158" s="47" t="str">
        <f>IFERROR(INDEX('G-8 Condition Look up'!$I$4:$I$130,MATCH(S158,'G-8 Condition Look up'!$A$4:$A$130,0)),"")</f>
        <v/>
      </c>
      <c r="E158" s="531" t="str">
        <f>'A-1 Site Habitat Baseline'!AL157</f>
        <v/>
      </c>
      <c r="F158" s="520" t="str">
        <f>IF(E158="","",IF(ISNA(VLOOKUP($E158,'A-1 Site Habitat Baseline'!$D$1:$O$258,4,FALSE)),"",(VLOOKUP($E158,'A-1 Site Habitat Baseline'!$D$1:$O$258,4,FALSE))))</f>
        <v/>
      </c>
      <c r="G158" s="520" t="str">
        <f>IF(E158="","",IF(ISNA(VLOOKUP($E158,'A-1 Site Habitat Baseline'!$D$1:$O$258,5,FALSE)),"",(VLOOKUP($E158,'A-1 Site Habitat Baseline'!$D$1:$O$258,5,FALSE))))</f>
        <v/>
      </c>
      <c r="H158" s="520" t="str">
        <f>IF(E158="","",IF(ISNA(VLOOKUP($E158,'A-1 Site Habitat Baseline'!$D$1:$O$258,6,FALSE)),"",(VLOOKUP($E158,'A-1 Site Habitat Baseline'!$D$1:$O$258,6,FALSE))))</f>
        <v/>
      </c>
      <c r="I158" s="520" t="str">
        <f>IF(E158="","",IF(ISNA(VLOOKUP($E158,'A-1 Site Habitat Baseline'!$D$1:$O$258,7,FALSE)),"",(VLOOKUP($E158,'A-1 Site Habitat Baseline'!$D$1:$O$258,7,FALSE))))</f>
        <v/>
      </c>
      <c r="J158" s="520" t="str">
        <f>IF(E158="","",IF(ISNA(VLOOKUP($E158,'A-1 Site Habitat Baseline'!$D$1:$O$258,8,FALSE)),"",(VLOOKUP($E158,'A-1 Site Habitat Baseline'!$D$1:$O$258,8,FALSE))))</f>
        <v/>
      </c>
      <c r="K158" s="520" t="str">
        <f>IF(E158="","",IF(ISNA(VLOOKUP($E158,'A-1 Site Habitat Baseline'!$D$1:$O$258,9,FALSE)),"",(VLOOKUP($E158,'A-1 Site Habitat Baseline'!$D$1:$O$258,9,FALSE))))</f>
        <v/>
      </c>
      <c r="L158" s="520" t="str">
        <f>IF(E158="","",IF(ISNA(VLOOKUP($E158,'A-1 Site Habitat Baseline'!$D$1:$O$258,11,FALSE)),"",(VLOOKUP($E158,'A-1 Site Habitat Baseline'!$D$1:$O$258,11,FALSE))))</f>
        <v/>
      </c>
      <c r="M158" s="520" t="str">
        <f>IF(E158="","",IF(ISNA(VLOOKUP($E158,'A-1 Site Habitat Baseline'!$D$1:$O$258,12,FALSE)),"",(VLOOKUP($E158,'A-1 Site Habitat Baseline'!$D$1:$O$258,12,FALSE))))</f>
        <v/>
      </c>
      <c r="N158" s="532" t="str">
        <f>IF(E158="","",IF(ISNA(VLOOKUP($E158,'A-1 Site Habitat Baseline'!$D$1:$X$258,14,FALSE)),"",(VLOOKUP($E158,'A-1 Site Habitat Baseline'!$D$1:$X$258,14,FALSE))))</f>
        <v/>
      </c>
      <c r="O158" s="524" t="str">
        <f>IF(E158="","",IF(ISNA(VLOOKUP($E158,'A-1 Site Habitat Baseline'!$D$1:$X$258,16,FALSE)),"",(VLOOKUP($E158,'A-1 Site Habitat Baseline'!$D$1:$X$258,13,FALSE))))</f>
        <v/>
      </c>
      <c r="P158" s="237" t="str">
        <f>IFERROR(INDEX('G-1 All Habitats'!$AG$3:$AG$15,MATCH(Q158,'G-1 All Habitats'!$AF$3:$AF$15,0)),"")</f>
        <v/>
      </c>
      <c r="Q158" s="238" t="str">
        <f t="shared" si="26"/>
        <v/>
      </c>
      <c r="R158" s="238" t="str">
        <f t="shared" si="27"/>
        <v/>
      </c>
      <c r="S158" s="392" t="str">
        <f>IFERROR(INDEX('G-1 All Habitats'!$B$3:$B$129,MATCH(R158,'G-1 All Habitats'!$A$3:$A$129,0)),"")</f>
        <v/>
      </c>
      <c r="T158" s="498" t="str">
        <f t="shared" si="28"/>
        <v/>
      </c>
      <c r="U158" s="499" t="str">
        <f t="shared" si="29"/>
        <v/>
      </c>
      <c r="V158" s="537" t="str">
        <f t="shared" si="23"/>
        <v/>
      </c>
      <c r="W158" s="520" t="str">
        <f>IF(S158="","",VLOOKUP(S158,'G-1 All Habitats'!$B$2:$M$129,10,FALSE))</f>
        <v/>
      </c>
      <c r="X158" s="520" t="str">
        <f>IFERROR(VLOOKUP(W158,'G-1 All Habitats'!$V$3:$W$7,2,FALSE),"")</f>
        <v/>
      </c>
      <c r="Y158" s="79"/>
      <c r="Z158" s="524" t="str">
        <f>IFERROR(INDEX('G-8 Condition Look up'!$A$3:$H$130,MATCH(S158,'G-8 Condition Look up'!$A$3:$A$130,0),MATCH(Y158,'G-8 Condition Look up'!$A$3:$H$3,0)),"")</f>
        <v/>
      </c>
      <c r="AA158" s="71"/>
      <c r="AB158" s="520" t="str">
        <f>IF(AA158="","",IF(VLOOKUP(AA158,'G-3 Multipliers'!$L$3:$N$6,2,FALSE)=0,"Spatial Data Missing ⚠",VLOOKUP(AA158,'G-3 Multipliers'!$L$3:$N$6,2,FALSE)))</f>
        <v/>
      </c>
      <c r="AC158" s="524" t="str">
        <f>IF(AA158="","",IF(VLOOKUP(AA158,'G-3 Multipliers'!$L$3:$N$6,3,FALSE)=0,"Spatial Data Missing ⚠",VLOOKUP(AA158,'G-3 Multipliers'!$L$3:$N$6,3,FALSE)))</f>
        <v/>
      </c>
      <c r="AD158" s="539" t="str">
        <f t="shared" si="24"/>
        <v/>
      </c>
      <c r="AE158" s="82"/>
      <c r="AF158" s="82"/>
      <c r="AG158" s="507" t="str">
        <f t="shared" si="30"/>
        <v/>
      </c>
      <c r="AH158" s="521" t="str">
        <f t="shared" si="31"/>
        <v/>
      </c>
      <c r="AI158" s="522" t="str">
        <f>IF(AH158="Check Data","Check Data",IFERROR(VLOOKUP(AH158,'G-4 Temporal multipliers'!$A$4:$C$36,3,FALSE),""))</f>
        <v/>
      </c>
      <c r="AJ158" s="498" t="str">
        <f>IF(S158="","",VLOOKUP(S158,'G-3 Multipliers'!$A$2:$E$129,4,FALSE))</f>
        <v/>
      </c>
      <c r="AK158" s="507" t="str">
        <f t="shared" si="32"/>
        <v/>
      </c>
      <c r="AL158" s="507" t="str">
        <f t="shared" si="33"/>
        <v/>
      </c>
      <c r="AM158" s="540" t="str">
        <f>IFERROR(IF(F158="","",IF(AH158="Check Data ⚠","Check Data ⚠",VLOOKUP(AL158, 'G-3 Multipliers'!$P$2:$Q$6,2,FALSE))),"")</f>
        <v/>
      </c>
      <c r="AN158" s="513" t="str">
        <f t="shared" si="25"/>
        <v/>
      </c>
      <c r="AO158" s="239"/>
      <c r="AP158" s="240"/>
    </row>
    <row r="159" spans="1:42" x14ac:dyDescent="0.25">
      <c r="A159" s="47" t="str">
        <f>IF(E159="","",IF(ISNA(VLOOKUP($E159,'A-1 Site Habitat Baseline'!$D$1:$O$258,2,FALSE)),"",(VLOOKUP($E159,'A-1 Site Habitat Baseline'!$D$1:$O$258,2,FALSE))))</f>
        <v/>
      </c>
      <c r="B159" s="47" t="str">
        <f>IF(E159="","",IF(ISNA(VLOOKUP($E159,'A-1 Site Habitat Baseline'!$D$1:$O$258,3,FALSE)),"",(VLOOKUP($E159,'A-1 Site Habitat Baseline'!$D$1:$O$258,3,FALSE))))</f>
        <v/>
      </c>
      <c r="C159" s="47" t="str">
        <f>IFERROR(INDEX('G-8 Condition Look up'!$I$4:$I$130,MATCH(S159,'G-8 Condition Look up'!$A$4:$A$130,0)),"")</f>
        <v/>
      </c>
      <c r="E159" s="531" t="str">
        <f>'A-1 Site Habitat Baseline'!AL158</f>
        <v/>
      </c>
      <c r="F159" s="520" t="str">
        <f>IF(E159="","",IF(ISNA(VLOOKUP($E159,'A-1 Site Habitat Baseline'!$D$1:$O$258,4,FALSE)),"",(VLOOKUP($E159,'A-1 Site Habitat Baseline'!$D$1:$O$258,4,FALSE))))</f>
        <v/>
      </c>
      <c r="G159" s="520" t="str">
        <f>IF(E159="","",IF(ISNA(VLOOKUP($E159,'A-1 Site Habitat Baseline'!$D$1:$O$258,5,FALSE)),"",(VLOOKUP($E159,'A-1 Site Habitat Baseline'!$D$1:$O$258,5,FALSE))))</f>
        <v/>
      </c>
      <c r="H159" s="520" t="str">
        <f>IF(E159="","",IF(ISNA(VLOOKUP($E159,'A-1 Site Habitat Baseline'!$D$1:$O$258,6,FALSE)),"",(VLOOKUP($E159,'A-1 Site Habitat Baseline'!$D$1:$O$258,6,FALSE))))</f>
        <v/>
      </c>
      <c r="I159" s="520" t="str">
        <f>IF(E159="","",IF(ISNA(VLOOKUP($E159,'A-1 Site Habitat Baseline'!$D$1:$O$258,7,FALSE)),"",(VLOOKUP($E159,'A-1 Site Habitat Baseline'!$D$1:$O$258,7,FALSE))))</f>
        <v/>
      </c>
      <c r="J159" s="520" t="str">
        <f>IF(E159="","",IF(ISNA(VLOOKUP($E159,'A-1 Site Habitat Baseline'!$D$1:$O$258,8,FALSE)),"",(VLOOKUP($E159,'A-1 Site Habitat Baseline'!$D$1:$O$258,8,FALSE))))</f>
        <v/>
      </c>
      <c r="K159" s="520" t="str">
        <f>IF(E159="","",IF(ISNA(VLOOKUP($E159,'A-1 Site Habitat Baseline'!$D$1:$O$258,9,FALSE)),"",(VLOOKUP($E159,'A-1 Site Habitat Baseline'!$D$1:$O$258,9,FALSE))))</f>
        <v/>
      </c>
      <c r="L159" s="520" t="str">
        <f>IF(E159="","",IF(ISNA(VLOOKUP($E159,'A-1 Site Habitat Baseline'!$D$1:$O$258,11,FALSE)),"",(VLOOKUP($E159,'A-1 Site Habitat Baseline'!$D$1:$O$258,11,FALSE))))</f>
        <v/>
      </c>
      <c r="M159" s="520" t="str">
        <f>IF(E159="","",IF(ISNA(VLOOKUP($E159,'A-1 Site Habitat Baseline'!$D$1:$O$258,12,FALSE)),"",(VLOOKUP($E159,'A-1 Site Habitat Baseline'!$D$1:$O$258,12,FALSE))))</f>
        <v/>
      </c>
      <c r="N159" s="532" t="str">
        <f>IF(E159="","",IF(ISNA(VLOOKUP($E159,'A-1 Site Habitat Baseline'!$D$1:$X$258,14,FALSE)),"",(VLOOKUP($E159,'A-1 Site Habitat Baseline'!$D$1:$X$258,14,FALSE))))</f>
        <v/>
      </c>
      <c r="O159" s="524" t="str">
        <f>IF(E159="","",IF(ISNA(VLOOKUP($E159,'A-1 Site Habitat Baseline'!$D$1:$X$258,16,FALSE)),"",(VLOOKUP($E159,'A-1 Site Habitat Baseline'!$D$1:$X$258,13,FALSE))))</f>
        <v/>
      </c>
      <c r="P159" s="237" t="str">
        <f>IFERROR(INDEX('G-1 All Habitats'!$AG$3:$AG$15,MATCH(Q159,'G-1 All Habitats'!$AF$3:$AF$15,0)),"")</f>
        <v/>
      </c>
      <c r="Q159" s="238" t="str">
        <f t="shared" si="26"/>
        <v/>
      </c>
      <c r="R159" s="238" t="str">
        <f t="shared" si="27"/>
        <v/>
      </c>
      <c r="S159" s="392" t="str">
        <f>IFERROR(INDEX('G-1 All Habitats'!$B$3:$B$129,MATCH(R159,'G-1 All Habitats'!$A$3:$A$129,0)),"")</f>
        <v/>
      </c>
      <c r="T159" s="498" t="str">
        <f t="shared" si="28"/>
        <v/>
      </c>
      <c r="U159" s="499" t="str">
        <f t="shared" si="29"/>
        <v/>
      </c>
      <c r="V159" s="537" t="str">
        <f t="shared" si="23"/>
        <v/>
      </c>
      <c r="W159" s="520" t="str">
        <f>IF(S159="","",VLOOKUP(S159,'G-1 All Habitats'!$B$2:$M$129,10,FALSE))</f>
        <v/>
      </c>
      <c r="X159" s="520" t="str">
        <f>IFERROR(VLOOKUP(W159,'G-1 All Habitats'!$V$3:$W$7,2,FALSE),"")</f>
        <v/>
      </c>
      <c r="Y159" s="79"/>
      <c r="Z159" s="524" t="str">
        <f>IFERROR(INDEX('G-8 Condition Look up'!$A$3:$H$130,MATCH(S159,'G-8 Condition Look up'!$A$3:$A$130,0),MATCH(Y159,'G-8 Condition Look up'!$A$3:$H$3,0)),"")</f>
        <v/>
      </c>
      <c r="AA159" s="71"/>
      <c r="AB159" s="520" t="str">
        <f>IF(AA159="","",IF(VLOOKUP(AA159,'G-3 Multipliers'!$L$3:$N$6,2,FALSE)=0,"Spatial Data Missing ⚠",VLOOKUP(AA159,'G-3 Multipliers'!$L$3:$N$6,2,FALSE)))</f>
        <v/>
      </c>
      <c r="AC159" s="524" t="str">
        <f>IF(AA159="","",IF(VLOOKUP(AA159,'G-3 Multipliers'!$L$3:$N$6,3,FALSE)=0,"Spatial Data Missing ⚠",VLOOKUP(AA159,'G-3 Multipliers'!$L$3:$N$6,3,FALSE)))</f>
        <v/>
      </c>
      <c r="AD159" s="539" t="str">
        <f t="shared" si="24"/>
        <v/>
      </c>
      <c r="AE159" s="82"/>
      <c r="AF159" s="82"/>
      <c r="AG159" s="507" t="str">
        <f t="shared" si="30"/>
        <v/>
      </c>
      <c r="AH159" s="521" t="str">
        <f t="shared" si="31"/>
        <v/>
      </c>
      <c r="AI159" s="522" t="str">
        <f>IF(AH159="Check Data","Check Data",IFERROR(VLOOKUP(AH159,'G-4 Temporal multipliers'!$A$4:$C$36,3,FALSE),""))</f>
        <v/>
      </c>
      <c r="AJ159" s="498" t="str">
        <f>IF(S159="","",VLOOKUP(S159,'G-3 Multipliers'!$A$2:$E$129,4,FALSE))</f>
        <v/>
      </c>
      <c r="AK159" s="507" t="str">
        <f t="shared" si="32"/>
        <v/>
      </c>
      <c r="AL159" s="507" t="str">
        <f t="shared" si="33"/>
        <v/>
      </c>
      <c r="AM159" s="540" t="str">
        <f>IFERROR(IF(F159="","",IF(AH159="Check Data ⚠","Check Data ⚠",VLOOKUP(AL159, 'G-3 Multipliers'!$P$2:$Q$6,2,FALSE))),"")</f>
        <v/>
      </c>
      <c r="AN159" s="513" t="str">
        <f t="shared" si="25"/>
        <v/>
      </c>
      <c r="AO159" s="239"/>
      <c r="AP159" s="240"/>
    </row>
    <row r="160" spans="1:42" x14ac:dyDescent="0.25">
      <c r="A160" s="47" t="str">
        <f>IF(E160="","",IF(ISNA(VLOOKUP($E160,'A-1 Site Habitat Baseline'!$D$1:$O$258,2,FALSE)),"",(VLOOKUP($E160,'A-1 Site Habitat Baseline'!$D$1:$O$258,2,FALSE))))</f>
        <v/>
      </c>
      <c r="B160" s="47" t="str">
        <f>IF(E160="","",IF(ISNA(VLOOKUP($E160,'A-1 Site Habitat Baseline'!$D$1:$O$258,3,FALSE)),"",(VLOOKUP($E160,'A-1 Site Habitat Baseline'!$D$1:$O$258,3,FALSE))))</f>
        <v/>
      </c>
      <c r="C160" s="47" t="str">
        <f>IFERROR(INDEX('G-8 Condition Look up'!$I$4:$I$130,MATCH(S160,'G-8 Condition Look up'!$A$4:$A$130,0)),"")</f>
        <v/>
      </c>
      <c r="E160" s="531" t="str">
        <f>'A-1 Site Habitat Baseline'!AL159</f>
        <v/>
      </c>
      <c r="F160" s="520" t="str">
        <f>IF(E160="","",IF(ISNA(VLOOKUP($E160,'A-1 Site Habitat Baseline'!$D$1:$O$258,4,FALSE)),"",(VLOOKUP($E160,'A-1 Site Habitat Baseline'!$D$1:$O$258,4,FALSE))))</f>
        <v/>
      </c>
      <c r="G160" s="520" t="str">
        <f>IF(E160="","",IF(ISNA(VLOOKUP($E160,'A-1 Site Habitat Baseline'!$D$1:$O$258,5,FALSE)),"",(VLOOKUP($E160,'A-1 Site Habitat Baseline'!$D$1:$O$258,5,FALSE))))</f>
        <v/>
      </c>
      <c r="H160" s="520" t="str">
        <f>IF(E160="","",IF(ISNA(VLOOKUP($E160,'A-1 Site Habitat Baseline'!$D$1:$O$258,6,FALSE)),"",(VLOOKUP($E160,'A-1 Site Habitat Baseline'!$D$1:$O$258,6,FALSE))))</f>
        <v/>
      </c>
      <c r="I160" s="520" t="str">
        <f>IF(E160="","",IF(ISNA(VLOOKUP($E160,'A-1 Site Habitat Baseline'!$D$1:$O$258,7,FALSE)),"",(VLOOKUP($E160,'A-1 Site Habitat Baseline'!$D$1:$O$258,7,FALSE))))</f>
        <v/>
      </c>
      <c r="J160" s="520" t="str">
        <f>IF(E160="","",IF(ISNA(VLOOKUP($E160,'A-1 Site Habitat Baseline'!$D$1:$O$258,8,FALSE)),"",(VLOOKUP($E160,'A-1 Site Habitat Baseline'!$D$1:$O$258,8,FALSE))))</f>
        <v/>
      </c>
      <c r="K160" s="520" t="str">
        <f>IF(E160="","",IF(ISNA(VLOOKUP($E160,'A-1 Site Habitat Baseline'!$D$1:$O$258,9,FALSE)),"",(VLOOKUP($E160,'A-1 Site Habitat Baseline'!$D$1:$O$258,9,FALSE))))</f>
        <v/>
      </c>
      <c r="L160" s="520" t="str">
        <f>IF(E160="","",IF(ISNA(VLOOKUP($E160,'A-1 Site Habitat Baseline'!$D$1:$O$258,11,FALSE)),"",(VLOOKUP($E160,'A-1 Site Habitat Baseline'!$D$1:$O$258,11,FALSE))))</f>
        <v/>
      </c>
      <c r="M160" s="520" t="str">
        <f>IF(E160="","",IF(ISNA(VLOOKUP($E160,'A-1 Site Habitat Baseline'!$D$1:$O$258,12,FALSE)),"",(VLOOKUP($E160,'A-1 Site Habitat Baseline'!$D$1:$O$258,12,FALSE))))</f>
        <v/>
      </c>
      <c r="N160" s="532" t="str">
        <f>IF(E160="","",IF(ISNA(VLOOKUP($E160,'A-1 Site Habitat Baseline'!$D$1:$X$258,14,FALSE)),"",(VLOOKUP($E160,'A-1 Site Habitat Baseline'!$D$1:$X$258,14,FALSE))))</f>
        <v/>
      </c>
      <c r="O160" s="524" t="str">
        <f>IF(E160="","",IF(ISNA(VLOOKUP($E160,'A-1 Site Habitat Baseline'!$D$1:$X$258,16,FALSE)),"",(VLOOKUP($E160,'A-1 Site Habitat Baseline'!$D$1:$X$258,13,FALSE))))</f>
        <v/>
      </c>
      <c r="P160" s="237" t="str">
        <f>IFERROR(INDEX('G-1 All Habitats'!$AG$3:$AG$15,MATCH(Q160,'G-1 All Habitats'!$AF$3:$AF$15,0)),"")</f>
        <v/>
      </c>
      <c r="Q160" s="238" t="str">
        <f t="shared" si="26"/>
        <v/>
      </c>
      <c r="R160" s="238" t="str">
        <f t="shared" si="27"/>
        <v/>
      </c>
      <c r="S160" s="392" t="str">
        <f>IFERROR(INDEX('G-1 All Habitats'!$B$3:$B$129,MATCH(R160,'G-1 All Habitats'!$A$3:$A$129,0)),"")</f>
        <v/>
      </c>
      <c r="T160" s="498" t="str">
        <f t="shared" si="28"/>
        <v/>
      </c>
      <c r="U160" s="499" t="str">
        <f t="shared" si="29"/>
        <v/>
      </c>
      <c r="V160" s="537" t="str">
        <f t="shared" si="23"/>
        <v/>
      </c>
      <c r="W160" s="520" t="str">
        <f>IF(S160="","",VLOOKUP(S160,'G-1 All Habitats'!$B$2:$M$129,10,FALSE))</f>
        <v/>
      </c>
      <c r="X160" s="520" t="str">
        <f>IFERROR(VLOOKUP(W160,'G-1 All Habitats'!$V$3:$W$7,2,FALSE),"")</f>
        <v/>
      </c>
      <c r="Y160" s="79"/>
      <c r="Z160" s="524" t="str">
        <f>IFERROR(INDEX('G-8 Condition Look up'!$A$3:$H$130,MATCH(S160,'G-8 Condition Look up'!$A$3:$A$130,0),MATCH(Y160,'G-8 Condition Look up'!$A$3:$H$3,0)),"")</f>
        <v/>
      </c>
      <c r="AA160" s="71"/>
      <c r="AB160" s="520" t="str">
        <f>IF(AA160="","",IF(VLOOKUP(AA160,'G-3 Multipliers'!$L$3:$N$6,2,FALSE)=0,"Spatial Data Missing ⚠",VLOOKUP(AA160,'G-3 Multipliers'!$L$3:$N$6,2,FALSE)))</f>
        <v/>
      </c>
      <c r="AC160" s="524" t="str">
        <f>IF(AA160="","",IF(VLOOKUP(AA160,'G-3 Multipliers'!$L$3:$N$6,3,FALSE)=0,"Spatial Data Missing ⚠",VLOOKUP(AA160,'G-3 Multipliers'!$L$3:$N$6,3,FALSE)))</f>
        <v/>
      </c>
      <c r="AD160" s="539" t="str">
        <f t="shared" si="24"/>
        <v/>
      </c>
      <c r="AE160" s="82"/>
      <c r="AF160" s="82"/>
      <c r="AG160" s="507" t="str">
        <f t="shared" si="30"/>
        <v/>
      </c>
      <c r="AH160" s="521" t="str">
        <f t="shared" si="31"/>
        <v/>
      </c>
      <c r="AI160" s="522" t="str">
        <f>IF(AH160="Check Data","Check Data",IFERROR(VLOOKUP(AH160,'G-4 Temporal multipliers'!$A$4:$C$36,3,FALSE),""))</f>
        <v/>
      </c>
      <c r="AJ160" s="498" t="str">
        <f>IF(S160="","",VLOOKUP(S160,'G-3 Multipliers'!$A$2:$E$129,4,FALSE))</f>
        <v/>
      </c>
      <c r="AK160" s="507" t="str">
        <f t="shared" si="32"/>
        <v/>
      </c>
      <c r="AL160" s="507" t="str">
        <f t="shared" si="33"/>
        <v/>
      </c>
      <c r="AM160" s="540" t="str">
        <f>IFERROR(IF(F160="","",IF(AH160="Check Data ⚠","Check Data ⚠",VLOOKUP(AL160, 'G-3 Multipliers'!$P$2:$Q$6,2,FALSE))),"")</f>
        <v/>
      </c>
      <c r="AN160" s="513" t="str">
        <f t="shared" si="25"/>
        <v/>
      </c>
      <c r="AO160" s="239"/>
      <c r="AP160" s="240"/>
    </row>
    <row r="161" spans="1:42" x14ac:dyDescent="0.25">
      <c r="A161" s="47" t="str">
        <f>IF(E161="","",IF(ISNA(VLOOKUP($E161,'A-1 Site Habitat Baseline'!$D$1:$O$258,2,FALSE)),"",(VLOOKUP($E161,'A-1 Site Habitat Baseline'!$D$1:$O$258,2,FALSE))))</f>
        <v/>
      </c>
      <c r="B161" s="47" t="str">
        <f>IF(E161="","",IF(ISNA(VLOOKUP($E161,'A-1 Site Habitat Baseline'!$D$1:$O$258,3,FALSE)),"",(VLOOKUP($E161,'A-1 Site Habitat Baseline'!$D$1:$O$258,3,FALSE))))</f>
        <v/>
      </c>
      <c r="C161" s="47" t="str">
        <f>IFERROR(INDEX('G-8 Condition Look up'!$I$4:$I$130,MATCH(S161,'G-8 Condition Look up'!$A$4:$A$130,0)),"")</f>
        <v/>
      </c>
      <c r="E161" s="531" t="str">
        <f>'A-1 Site Habitat Baseline'!AL160</f>
        <v/>
      </c>
      <c r="F161" s="520" t="str">
        <f>IF(E161="","",IF(ISNA(VLOOKUP($E161,'A-1 Site Habitat Baseline'!$D$1:$O$258,4,FALSE)),"",(VLOOKUP($E161,'A-1 Site Habitat Baseline'!$D$1:$O$258,4,FALSE))))</f>
        <v/>
      </c>
      <c r="G161" s="520" t="str">
        <f>IF(E161="","",IF(ISNA(VLOOKUP($E161,'A-1 Site Habitat Baseline'!$D$1:$O$258,5,FALSE)),"",(VLOOKUP($E161,'A-1 Site Habitat Baseline'!$D$1:$O$258,5,FALSE))))</f>
        <v/>
      </c>
      <c r="H161" s="520" t="str">
        <f>IF(E161="","",IF(ISNA(VLOOKUP($E161,'A-1 Site Habitat Baseline'!$D$1:$O$258,6,FALSE)),"",(VLOOKUP($E161,'A-1 Site Habitat Baseline'!$D$1:$O$258,6,FALSE))))</f>
        <v/>
      </c>
      <c r="I161" s="520" t="str">
        <f>IF(E161="","",IF(ISNA(VLOOKUP($E161,'A-1 Site Habitat Baseline'!$D$1:$O$258,7,FALSE)),"",(VLOOKUP($E161,'A-1 Site Habitat Baseline'!$D$1:$O$258,7,FALSE))))</f>
        <v/>
      </c>
      <c r="J161" s="520" t="str">
        <f>IF(E161="","",IF(ISNA(VLOOKUP($E161,'A-1 Site Habitat Baseline'!$D$1:$O$258,8,FALSE)),"",(VLOOKUP($E161,'A-1 Site Habitat Baseline'!$D$1:$O$258,8,FALSE))))</f>
        <v/>
      </c>
      <c r="K161" s="520" t="str">
        <f>IF(E161="","",IF(ISNA(VLOOKUP($E161,'A-1 Site Habitat Baseline'!$D$1:$O$258,9,FALSE)),"",(VLOOKUP($E161,'A-1 Site Habitat Baseline'!$D$1:$O$258,9,FALSE))))</f>
        <v/>
      </c>
      <c r="L161" s="520" t="str">
        <f>IF(E161="","",IF(ISNA(VLOOKUP($E161,'A-1 Site Habitat Baseline'!$D$1:$O$258,11,FALSE)),"",(VLOOKUP($E161,'A-1 Site Habitat Baseline'!$D$1:$O$258,11,FALSE))))</f>
        <v/>
      </c>
      <c r="M161" s="520" t="str">
        <f>IF(E161="","",IF(ISNA(VLOOKUP($E161,'A-1 Site Habitat Baseline'!$D$1:$O$258,12,FALSE)),"",(VLOOKUP($E161,'A-1 Site Habitat Baseline'!$D$1:$O$258,12,FALSE))))</f>
        <v/>
      </c>
      <c r="N161" s="532" t="str">
        <f>IF(E161="","",IF(ISNA(VLOOKUP($E161,'A-1 Site Habitat Baseline'!$D$1:$X$258,14,FALSE)),"",(VLOOKUP($E161,'A-1 Site Habitat Baseline'!$D$1:$X$258,14,FALSE))))</f>
        <v/>
      </c>
      <c r="O161" s="524" t="str">
        <f>IF(E161="","",IF(ISNA(VLOOKUP($E161,'A-1 Site Habitat Baseline'!$D$1:$X$258,16,FALSE)),"",(VLOOKUP($E161,'A-1 Site Habitat Baseline'!$D$1:$X$258,13,FALSE))))</f>
        <v/>
      </c>
      <c r="P161" s="237" t="str">
        <f>IFERROR(INDEX('G-1 All Habitats'!$AG$3:$AG$15,MATCH(Q161,'G-1 All Habitats'!$AF$3:$AF$15,0)),"")</f>
        <v/>
      </c>
      <c r="Q161" s="238" t="str">
        <f t="shared" si="26"/>
        <v/>
      </c>
      <c r="R161" s="238" t="str">
        <f t="shared" si="27"/>
        <v/>
      </c>
      <c r="S161" s="392" t="str">
        <f>IFERROR(INDEX('G-1 All Habitats'!$B$3:$B$129,MATCH(R161,'G-1 All Habitats'!$A$3:$A$129,0)),"")</f>
        <v/>
      </c>
      <c r="T161" s="498" t="str">
        <f t="shared" si="28"/>
        <v/>
      </c>
      <c r="U161" s="499" t="str">
        <f t="shared" si="29"/>
        <v/>
      </c>
      <c r="V161" s="537" t="str">
        <f t="shared" si="23"/>
        <v/>
      </c>
      <c r="W161" s="520" t="str">
        <f>IF(S161="","",VLOOKUP(S161,'G-1 All Habitats'!$B$2:$M$129,10,FALSE))</f>
        <v/>
      </c>
      <c r="X161" s="520" t="str">
        <f>IFERROR(VLOOKUP(W161,'G-1 All Habitats'!$V$3:$W$7,2,FALSE),"")</f>
        <v/>
      </c>
      <c r="Y161" s="79"/>
      <c r="Z161" s="524" t="str">
        <f>IFERROR(INDEX('G-8 Condition Look up'!$A$3:$H$130,MATCH(S161,'G-8 Condition Look up'!$A$3:$A$130,0),MATCH(Y161,'G-8 Condition Look up'!$A$3:$H$3,0)),"")</f>
        <v/>
      </c>
      <c r="AA161" s="71"/>
      <c r="AB161" s="520" t="str">
        <f>IF(AA161="","",IF(VLOOKUP(AA161,'G-3 Multipliers'!$L$3:$N$6,2,FALSE)=0,"Spatial Data Missing ⚠",VLOOKUP(AA161,'G-3 Multipliers'!$L$3:$N$6,2,FALSE)))</f>
        <v/>
      </c>
      <c r="AC161" s="524" t="str">
        <f>IF(AA161="","",IF(VLOOKUP(AA161,'G-3 Multipliers'!$L$3:$N$6,3,FALSE)=0,"Spatial Data Missing ⚠",VLOOKUP(AA161,'G-3 Multipliers'!$L$3:$N$6,3,FALSE)))</f>
        <v/>
      </c>
      <c r="AD161" s="539" t="str">
        <f t="shared" si="24"/>
        <v/>
      </c>
      <c r="AE161" s="82"/>
      <c r="AF161" s="82"/>
      <c r="AG161" s="507" t="str">
        <f t="shared" si="30"/>
        <v/>
      </c>
      <c r="AH161" s="521" t="str">
        <f t="shared" si="31"/>
        <v/>
      </c>
      <c r="AI161" s="522" t="str">
        <f>IF(AH161="Check Data","Check Data",IFERROR(VLOOKUP(AH161,'G-4 Temporal multipliers'!$A$4:$C$36,3,FALSE),""))</f>
        <v/>
      </c>
      <c r="AJ161" s="498" t="str">
        <f>IF(S161="","",VLOOKUP(S161,'G-3 Multipliers'!$A$2:$E$129,4,FALSE))</f>
        <v/>
      </c>
      <c r="AK161" s="507" t="str">
        <f t="shared" si="32"/>
        <v/>
      </c>
      <c r="AL161" s="507" t="str">
        <f t="shared" si="33"/>
        <v/>
      </c>
      <c r="AM161" s="540" t="str">
        <f>IFERROR(IF(F161="","",IF(AH161="Check Data ⚠","Check Data ⚠",VLOOKUP(AL161, 'G-3 Multipliers'!$P$2:$Q$6,2,FALSE))),"")</f>
        <v/>
      </c>
      <c r="AN161" s="513" t="str">
        <f t="shared" si="25"/>
        <v/>
      </c>
      <c r="AO161" s="239"/>
      <c r="AP161" s="240"/>
    </row>
    <row r="162" spans="1:42" x14ac:dyDescent="0.25">
      <c r="A162" s="47" t="str">
        <f>IF(E162="","",IF(ISNA(VLOOKUP($E162,'A-1 Site Habitat Baseline'!$D$1:$O$258,2,FALSE)),"",(VLOOKUP($E162,'A-1 Site Habitat Baseline'!$D$1:$O$258,2,FALSE))))</f>
        <v/>
      </c>
      <c r="B162" s="47" t="str">
        <f>IF(E162="","",IF(ISNA(VLOOKUP($E162,'A-1 Site Habitat Baseline'!$D$1:$O$258,3,FALSE)),"",(VLOOKUP($E162,'A-1 Site Habitat Baseline'!$D$1:$O$258,3,FALSE))))</f>
        <v/>
      </c>
      <c r="C162" s="47" t="str">
        <f>IFERROR(INDEX('G-8 Condition Look up'!$I$4:$I$130,MATCH(S162,'G-8 Condition Look up'!$A$4:$A$130,0)),"")</f>
        <v/>
      </c>
      <c r="E162" s="531" t="str">
        <f>'A-1 Site Habitat Baseline'!AL161</f>
        <v/>
      </c>
      <c r="F162" s="520" t="str">
        <f>IF(E162="","",IF(ISNA(VLOOKUP($E162,'A-1 Site Habitat Baseline'!$D$1:$O$258,4,FALSE)),"",(VLOOKUP($E162,'A-1 Site Habitat Baseline'!$D$1:$O$258,4,FALSE))))</f>
        <v/>
      </c>
      <c r="G162" s="520" t="str">
        <f>IF(E162="","",IF(ISNA(VLOOKUP($E162,'A-1 Site Habitat Baseline'!$D$1:$O$258,5,FALSE)),"",(VLOOKUP($E162,'A-1 Site Habitat Baseline'!$D$1:$O$258,5,FALSE))))</f>
        <v/>
      </c>
      <c r="H162" s="520" t="str">
        <f>IF(E162="","",IF(ISNA(VLOOKUP($E162,'A-1 Site Habitat Baseline'!$D$1:$O$258,6,FALSE)),"",(VLOOKUP($E162,'A-1 Site Habitat Baseline'!$D$1:$O$258,6,FALSE))))</f>
        <v/>
      </c>
      <c r="I162" s="520" t="str">
        <f>IF(E162="","",IF(ISNA(VLOOKUP($E162,'A-1 Site Habitat Baseline'!$D$1:$O$258,7,FALSE)),"",(VLOOKUP($E162,'A-1 Site Habitat Baseline'!$D$1:$O$258,7,FALSE))))</f>
        <v/>
      </c>
      <c r="J162" s="520" t="str">
        <f>IF(E162="","",IF(ISNA(VLOOKUP($E162,'A-1 Site Habitat Baseline'!$D$1:$O$258,8,FALSE)),"",(VLOOKUP($E162,'A-1 Site Habitat Baseline'!$D$1:$O$258,8,FALSE))))</f>
        <v/>
      </c>
      <c r="K162" s="520" t="str">
        <f>IF(E162="","",IF(ISNA(VLOOKUP($E162,'A-1 Site Habitat Baseline'!$D$1:$O$258,9,FALSE)),"",(VLOOKUP($E162,'A-1 Site Habitat Baseline'!$D$1:$O$258,9,FALSE))))</f>
        <v/>
      </c>
      <c r="L162" s="520" t="str">
        <f>IF(E162="","",IF(ISNA(VLOOKUP($E162,'A-1 Site Habitat Baseline'!$D$1:$O$258,11,FALSE)),"",(VLOOKUP($E162,'A-1 Site Habitat Baseline'!$D$1:$O$258,11,FALSE))))</f>
        <v/>
      </c>
      <c r="M162" s="520" t="str">
        <f>IF(E162="","",IF(ISNA(VLOOKUP($E162,'A-1 Site Habitat Baseline'!$D$1:$O$258,12,FALSE)),"",(VLOOKUP($E162,'A-1 Site Habitat Baseline'!$D$1:$O$258,12,FALSE))))</f>
        <v/>
      </c>
      <c r="N162" s="532" t="str">
        <f>IF(E162="","",IF(ISNA(VLOOKUP($E162,'A-1 Site Habitat Baseline'!$D$1:$X$258,14,FALSE)),"",(VLOOKUP($E162,'A-1 Site Habitat Baseline'!$D$1:$X$258,14,FALSE))))</f>
        <v/>
      </c>
      <c r="O162" s="524" t="str">
        <f>IF(E162="","",IF(ISNA(VLOOKUP($E162,'A-1 Site Habitat Baseline'!$D$1:$X$258,16,FALSE)),"",(VLOOKUP($E162,'A-1 Site Habitat Baseline'!$D$1:$X$258,13,FALSE))))</f>
        <v/>
      </c>
      <c r="P162" s="237" t="str">
        <f>IFERROR(INDEX('G-1 All Habitats'!$AG$3:$AG$15,MATCH(Q162,'G-1 All Habitats'!$AF$3:$AF$15,0)),"")</f>
        <v/>
      </c>
      <c r="Q162" s="238" t="str">
        <f t="shared" si="26"/>
        <v/>
      </c>
      <c r="R162" s="238" t="str">
        <f t="shared" si="27"/>
        <v/>
      </c>
      <c r="S162" s="392" t="str">
        <f>IFERROR(INDEX('G-1 All Habitats'!$B$3:$B$129,MATCH(R162,'G-1 All Habitats'!$A$3:$A$129,0)),"")</f>
        <v/>
      </c>
      <c r="T162" s="498" t="str">
        <f t="shared" si="28"/>
        <v/>
      </c>
      <c r="U162" s="499" t="str">
        <f t="shared" si="29"/>
        <v/>
      </c>
      <c r="V162" s="537" t="str">
        <f t="shared" si="23"/>
        <v/>
      </c>
      <c r="W162" s="520" t="str">
        <f>IF(S162="","",VLOOKUP(S162,'G-1 All Habitats'!$B$2:$M$129,10,FALSE))</f>
        <v/>
      </c>
      <c r="X162" s="520" t="str">
        <f>IFERROR(VLOOKUP(W162,'G-1 All Habitats'!$V$3:$W$7,2,FALSE),"")</f>
        <v/>
      </c>
      <c r="Y162" s="79"/>
      <c r="Z162" s="524" t="str">
        <f>IFERROR(INDEX('G-8 Condition Look up'!$A$3:$H$130,MATCH(S162,'G-8 Condition Look up'!$A$3:$A$130,0),MATCH(Y162,'G-8 Condition Look up'!$A$3:$H$3,0)),"")</f>
        <v/>
      </c>
      <c r="AA162" s="71"/>
      <c r="AB162" s="520" t="str">
        <f>IF(AA162="","",IF(VLOOKUP(AA162,'G-3 Multipliers'!$L$3:$N$6,2,FALSE)=0,"Spatial Data Missing ⚠",VLOOKUP(AA162,'G-3 Multipliers'!$L$3:$N$6,2,FALSE)))</f>
        <v/>
      </c>
      <c r="AC162" s="524" t="str">
        <f>IF(AA162="","",IF(VLOOKUP(AA162,'G-3 Multipliers'!$L$3:$N$6,3,FALSE)=0,"Spatial Data Missing ⚠",VLOOKUP(AA162,'G-3 Multipliers'!$L$3:$N$6,3,FALSE)))</f>
        <v/>
      </c>
      <c r="AD162" s="539" t="str">
        <f t="shared" si="24"/>
        <v/>
      </c>
      <c r="AE162" s="82"/>
      <c r="AF162" s="82"/>
      <c r="AG162" s="507" t="str">
        <f t="shared" si="30"/>
        <v/>
      </c>
      <c r="AH162" s="521" t="str">
        <f t="shared" si="31"/>
        <v/>
      </c>
      <c r="AI162" s="522" t="str">
        <f>IF(AH162="Check Data","Check Data",IFERROR(VLOOKUP(AH162,'G-4 Temporal multipliers'!$A$4:$C$36,3,FALSE),""))</f>
        <v/>
      </c>
      <c r="AJ162" s="498" t="str">
        <f>IF(S162="","",VLOOKUP(S162,'G-3 Multipliers'!$A$2:$E$129,4,FALSE))</f>
        <v/>
      </c>
      <c r="AK162" s="507" t="str">
        <f t="shared" si="32"/>
        <v/>
      </c>
      <c r="AL162" s="507" t="str">
        <f t="shared" si="33"/>
        <v/>
      </c>
      <c r="AM162" s="540" t="str">
        <f>IFERROR(IF(F162="","",IF(AH162="Check Data ⚠","Check Data ⚠",VLOOKUP(AL162, 'G-3 Multipliers'!$P$2:$Q$6,2,FALSE))),"")</f>
        <v/>
      </c>
      <c r="AN162" s="513" t="str">
        <f t="shared" si="25"/>
        <v/>
      </c>
      <c r="AO162" s="239"/>
      <c r="AP162" s="240"/>
    </row>
    <row r="163" spans="1:42" x14ac:dyDescent="0.25">
      <c r="A163" s="47" t="str">
        <f>IF(E163="","",IF(ISNA(VLOOKUP($E163,'A-1 Site Habitat Baseline'!$D$1:$O$258,2,FALSE)),"",(VLOOKUP($E163,'A-1 Site Habitat Baseline'!$D$1:$O$258,2,FALSE))))</f>
        <v/>
      </c>
      <c r="B163" s="47" t="str">
        <f>IF(E163="","",IF(ISNA(VLOOKUP($E163,'A-1 Site Habitat Baseline'!$D$1:$O$258,3,FALSE)),"",(VLOOKUP($E163,'A-1 Site Habitat Baseline'!$D$1:$O$258,3,FALSE))))</f>
        <v/>
      </c>
      <c r="C163" s="47" t="str">
        <f>IFERROR(INDEX('G-8 Condition Look up'!$I$4:$I$130,MATCH(S163,'G-8 Condition Look up'!$A$4:$A$130,0)),"")</f>
        <v/>
      </c>
      <c r="E163" s="531" t="str">
        <f>'A-1 Site Habitat Baseline'!AL162</f>
        <v/>
      </c>
      <c r="F163" s="520" t="str">
        <f>IF(E163="","",IF(ISNA(VLOOKUP($E163,'A-1 Site Habitat Baseline'!$D$1:$O$258,4,FALSE)),"",(VLOOKUP($E163,'A-1 Site Habitat Baseline'!$D$1:$O$258,4,FALSE))))</f>
        <v/>
      </c>
      <c r="G163" s="520" t="str">
        <f>IF(E163="","",IF(ISNA(VLOOKUP($E163,'A-1 Site Habitat Baseline'!$D$1:$O$258,5,FALSE)),"",(VLOOKUP($E163,'A-1 Site Habitat Baseline'!$D$1:$O$258,5,FALSE))))</f>
        <v/>
      </c>
      <c r="H163" s="520" t="str">
        <f>IF(E163="","",IF(ISNA(VLOOKUP($E163,'A-1 Site Habitat Baseline'!$D$1:$O$258,6,FALSE)),"",(VLOOKUP($E163,'A-1 Site Habitat Baseline'!$D$1:$O$258,6,FALSE))))</f>
        <v/>
      </c>
      <c r="I163" s="520" t="str">
        <f>IF(E163="","",IF(ISNA(VLOOKUP($E163,'A-1 Site Habitat Baseline'!$D$1:$O$258,7,FALSE)),"",(VLOOKUP($E163,'A-1 Site Habitat Baseline'!$D$1:$O$258,7,FALSE))))</f>
        <v/>
      </c>
      <c r="J163" s="520" t="str">
        <f>IF(E163="","",IF(ISNA(VLOOKUP($E163,'A-1 Site Habitat Baseline'!$D$1:$O$258,8,FALSE)),"",(VLOOKUP($E163,'A-1 Site Habitat Baseline'!$D$1:$O$258,8,FALSE))))</f>
        <v/>
      </c>
      <c r="K163" s="520" t="str">
        <f>IF(E163="","",IF(ISNA(VLOOKUP($E163,'A-1 Site Habitat Baseline'!$D$1:$O$258,9,FALSE)),"",(VLOOKUP($E163,'A-1 Site Habitat Baseline'!$D$1:$O$258,9,FALSE))))</f>
        <v/>
      </c>
      <c r="L163" s="520" t="str">
        <f>IF(E163="","",IF(ISNA(VLOOKUP($E163,'A-1 Site Habitat Baseline'!$D$1:$O$258,11,FALSE)),"",(VLOOKUP($E163,'A-1 Site Habitat Baseline'!$D$1:$O$258,11,FALSE))))</f>
        <v/>
      </c>
      <c r="M163" s="520" t="str">
        <f>IF(E163="","",IF(ISNA(VLOOKUP($E163,'A-1 Site Habitat Baseline'!$D$1:$O$258,12,FALSE)),"",(VLOOKUP($E163,'A-1 Site Habitat Baseline'!$D$1:$O$258,12,FALSE))))</f>
        <v/>
      </c>
      <c r="N163" s="532" t="str">
        <f>IF(E163="","",IF(ISNA(VLOOKUP($E163,'A-1 Site Habitat Baseline'!$D$1:$X$258,14,FALSE)),"",(VLOOKUP($E163,'A-1 Site Habitat Baseline'!$D$1:$X$258,14,FALSE))))</f>
        <v/>
      </c>
      <c r="O163" s="524" t="str">
        <f>IF(E163="","",IF(ISNA(VLOOKUP($E163,'A-1 Site Habitat Baseline'!$D$1:$X$258,16,FALSE)),"",(VLOOKUP($E163,'A-1 Site Habitat Baseline'!$D$1:$X$258,13,FALSE))))</f>
        <v/>
      </c>
      <c r="P163" s="237" t="str">
        <f>IFERROR(INDEX('G-1 All Habitats'!$AG$3:$AG$15,MATCH(Q163,'G-1 All Habitats'!$AF$3:$AF$15,0)),"")</f>
        <v/>
      </c>
      <c r="Q163" s="238" t="str">
        <f t="shared" si="26"/>
        <v/>
      </c>
      <c r="R163" s="238" t="str">
        <f t="shared" si="27"/>
        <v/>
      </c>
      <c r="S163" s="392" t="str">
        <f>IFERROR(INDEX('G-1 All Habitats'!$B$3:$B$129,MATCH(R163,'G-1 All Habitats'!$A$3:$A$129,0)),"")</f>
        <v/>
      </c>
      <c r="T163" s="498" t="str">
        <f t="shared" si="28"/>
        <v/>
      </c>
      <c r="U163" s="499" t="str">
        <f t="shared" si="29"/>
        <v/>
      </c>
      <c r="V163" s="537" t="str">
        <f t="shared" si="23"/>
        <v/>
      </c>
      <c r="W163" s="520" t="str">
        <f>IF(S163="","",VLOOKUP(S163,'G-1 All Habitats'!$B$2:$M$129,10,FALSE))</f>
        <v/>
      </c>
      <c r="X163" s="520" t="str">
        <f>IFERROR(VLOOKUP(W163,'G-1 All Habitats'!$V$3:$W$7,2,FALSE),"")</f>
        <v/>
      </c>
      <c r="Y163" s="79"/>
      <c r="Z163" s="524" t="str">
        <f>IFERROR(INDEX('G-8 Condition Look up'!$A$3:$H$130,MATCH(S163,'G-8 Condition Look up'!$A$3:$A$130,0),MATCH(Y163,'G-8 Condition Look up'!$A$3:$H$3,0)),"")</f>
        <v/>
      </c>
      <c r="AA163" s="71"/>
      <c r="AB163" s="520" t="str">
        <f>IF(AA163="","",IF(VLOOKUP(AA163,'G-3 Multipliers'!$L$3:$N$6,2,FALSE)=0,"Spatial Data Missing ⚠",VLOOKUP(AA163,'G-3 Multipliers'!$L$3:$N$6,2,FALSE)))</f>
        <v/>
      </c>
      <c r="AC163" s="524" t="str">
        <f>IF(AA163="","",IF(VLOOKUP(AA163,'G-3 Multipliers'!$L$3:$N$6,3,FALSE)=0,"Spatial Data Missing ⚠",VLOOKUP(AA163,'G-3 Multipliers'!$L$3:$N$6,3,FALSE)))</f>
        <v/>
      </c>
      <c r="AD163" s="539" t="str">
        <f t="shared" si="24"/>
        <v/>
      </c>
      <c r="AE163" s="82"/>
      <c r="AF163" s="82"/>
      <c r="AG163" s="507" t="str">
        <f t="shared" si="30"/>
        <v/>
      </c>
      <c r="AH163" s="521" t="str">
        <f t="shared" si="31"/>
        <v/>
      </c>
      <c r="AI163" s="522" t="str">
        <f>IF(AH163="Check Data","Check Data",IFERROR(VLOOKUP(AH163,'G-4 Temporal multipliers'!$A$4:$C$36,3,FALSE),""))</f>
        <v/>
      </c>
      <c r="AJ163" s="498" t="str">
        <f>IF(S163="","",VLOOKUP(S163,'G-3 Multipliers'!$A$2:$E$129,4,FALSE))</f>
        <v/>
      </c>
      <c r="AK163" s="507" t="str">
        <f t="shared" si="32"/>
        <v/>
      </c>
      <c r="AL163" s="507" t="str">
        <f t="shared" si="33"/>
        <v/>
      </c>
      <c r="AM163" s="540" t="str">
        <f>IFERROR(IF(F163="","",IF(AH163="Check Data ⚠","Check Data ⚠",VLOOKUP(AL163, 'G-3 Multipliers'!$P$2:$Q$6,2,FALSE))),"")</f>
        <v/>
      </c>
      <c r="AN163" s="513" t="str">
        <f t="shared" si="25"/>
        <v/>
      </c>
      <c r="AO163" s="239"/>
      <c r="AP163" s="240"/>
    </row>
    <row r="164" spans="1:42" x14ac:dyDescent="0.25">
      <c r="A164" s="47" t="str">
        <f>IF(E164="","",IF(ISNA(VLOOKUP($E164,'A-1 Site Habitat Baseline'!$D$1:$O$258,2,FALSE)),"",(VLOOKUP($E164,'A-1 Site Habitat Baseline'!$D$1:$O$258,2,FALSE))))</f>
        <v/>
      </c>
      <c r="B164" s="47" t="str">
        <f>IF(E164="","",IF(ISNA(VLOOKUP($E164,'A-1 Site Habitat Baseline'!$D$1:$O$258,3,FALSE)),"",(VLOOKUP($E164,'A-1 Site Habitat Baseline'!$D$1:$O$258,3,FALSE))))</f>
        <v/>
      </c>
      <c r="C164" s="47" t="str">
        <f>IFERROR(INDEX('G-8 Condition Look up'!$I$4:$I$130,MATCH(S164,'G-8 Condition Look up'!$A$4:$A$130,0)),"")</f>
        <v/>
      </c>
      <c r="E164" s="531" t="str">
        <f>'A-1 Site Habitat Baseline'!AL163</f>
        <v/>
      </c>
      <c r="F164" s="520" t="str">
        <f>IF(E164="","",IF(ISNA(VLOOKUP($E164,'A-1 Site Habitat Baseline'!$D$1:$O$258,4,FALSE)),"",(VLOOKUP($E164,'A-1 Site Habitat Baseline'!$D$1:$O$258,4,FALSE))))</f>
        <v/>
      </c>
      <c r="G164" s="520" t="str">
        <f>IF(E164="","",IF(ISNA(VLOOKUP($E164,'A-1 Site Habitat Baseline'!$D$1:$O$258,5,FALSE)),"",(VLOOKUP($E164,'A-1 Site Habitat Baseline'!$D$1:$O$258,5,FALSE))))</f>
        <v/>
      </c>
      <c r="H164" s="520" t="str">
        <f>IF(E164="","",IF(ISNA(VLOOKUP($E164,'A-1 Site Habitat Baseline'!$D$1:$O$258,6,FALSE)),"",(VLOOKUP($E164,'A-1 Site Habitat Baseline'!$D$1:$O$258,6,FALSE))))</f>
        <v/>
      </c>
      <c r="I164" s="520" t="str">
        <f>IF(E164="","",IF(ISNA(VLOOKUP($E164,'A-1 Site Habitat Baseline'!$D$1:$O$258,7,FALSE)),"",(VLOOKUP($E164,'A-1 Site Habitat Baseline'!$D$1:$O$258,7,FALSE))))</f>
        <v/>
      </c>
      <c r="J164" s="520" t="str">
        <f>IF(E164="","",IF(ISNA(VLOOKUP($E164,'A-1 Site Habitat Baseline'!$D$1:$O$258,8,FALSE)),"",(VLOOKUP($E164,'A-1 Site Habitat Baseline'!$D$1:$O$258,8,FALSE))))</f>
        <v/>
      </c>
      <c r="K164" s="520" t="str">
        <f>IF(E164="","",IF(ISNA(VLOOKUP($E164,'A-1 Site Habitat Baseline'!$D$1:$O$258,9,FALSE)),"",(VLOOKUP($E164,'A-1 Site Habitat Baseline'!$D$1:$O$258,9,FALSE))))</f>
        <v/>
      </c>
      <c r="L164" s="520" t="str">
        <f>IF(E164="","",IF(ISNA(VLOOKUP($E164,'A-1 Site Habitat Baseline'!$D$1:$O$258,11,FALSE)),"",(VLOOKUP($E164,'A-1 Site Habitat Baseline'!$D$1:$O$258,11,FALSE))))</f>
        <v/>
      </c>
      <c r="M164" s="520" t="str">
        <f>IF(E164="","",IF(ISNA(VLOOKUP($E164,'A-1 Site Habitat Baseline'!$D$1:$O$258,12,FALSE)),"",(VLOOKUP($E164,'A-1 Site Habitat Baseline'!$D$1:$O$258,12,FALSE))))</f>
        <v/>
      </c>
      <c r="N164" s="532" t="str">
        <f>IF(E164="","",IF(ISNA(VLOOKUP($E164,'A-1 Site Habitat Baseline'!$D$1:$X$258,14,FALSE)),"",(VLOOKUP($E164,'A-1 Site Habitat Baseline'!$D$1:$X$258,14,FALSE))))</f>
        <v/>
      </c>
      <c r="O164" s="524" t="str">
        <f>IF(E164="","",IF(ISNA(VLOOKUP($E164,'A-1 Site Habitat Baseline'!$D$1:$X$258,16,FALSE)),"",(VLOOKUP($E164,'A-1 Site Habitat Baseline'!$D$1:$X$258,13,FALSE))))</f>
        <v/>
      </c>
      <c r="P164" s="237" t="str">
        <f>IFERROR(INDEX('G-1 All Habitats'!$AG$3:$AG$15,MATCH(Q164,'G-1 All Habitats'!$AF$3:$AF$15,0)),"")</f>
        <v/>
      </c>
      <c r="Q164" s="238" t="str">
        <f t="shared" si="26"/>
        <v/>
      </c>
      <c r="R164" s="238" t="str">
        <f t="shared" si="27"/>
        <v/>
      </c>
      <c r="S164" s="392" t="str">
        <f>IFERROR(INDEX('G-1 All Habitats'!$B$3:$B$129,MATCH(R164,'G-1 All Habitats'!$A$3:$A$129,0)),"")</f>
        <v/>
      </c>
      <c r="T164" s="498" t="str">
        <f t="shared" si="28"/>
        <v/>
      </c>
      <c r="U164" s="499" t="str">
        <f t="shared" si="29"/>
        <v/>
      </c>
      <c r="V164" s="537" t="str">
        <f t="shared" si="23"/>
        <v/>
      </c>
      <c r="W164" s="520" t="str">
        <f>IF(S164="","",VLOOKUP(S164,'G-1 All Habitats'!$B$2:$M$129,10,FALSE))</f>
        <v/>
      </c>
      <c r="X164" s="520" t="str">
        <f>IFERROR(VLOOKUP(W164,'G-1 All Habitats'!$V$3:$W$7,2,FALSE),"")</f>
        <v/>
      </c>
      <c r="Y164" s="79"/>
      <c r="Z164" s="524" t="str">
        <f>IFERROR(INDEX('G-8 Condition Look up'!$A$3:$H$130,MATCH(S164,'G-8 Condition Look up'!$A$3:$A$130,0),MATCH(Y164,'G-8 Condition Look up'!$A$3:$H$3,0)),"")</f>
        <v/>
      </c>
      <c r="AA164" s="71"/>
      <c r="AB164" s="520" t="str">
        <f>IF(AA164="","",IF(VLOOKUP(AA164,'G-3 Multipliers'!$L$3:$N$6,2,FALSE)=0,"Spatial Data Missing ⚠",VLOOKUP(AA164,'G-3 Multipliers'!$L$3:$N$6,2,FALSE)))</f>
        <v/>
      </c>
      <c r="AC164" s="524" t="str">
        <f>IF(AA164="","",IF(VLOOKUP(AA164,'G-3 Multipliers'!$L$3:$N$6,3,FALSE)=0,"Spatial Data Missing ⚠",VLOOKUP(AA164,'G-3 Multipliers'!$L$3:$N$6,3,FALSE)))</f>
        <v/>
      </c>
      <c r="AD164" s="539" t="str">
        <f t="shared" si="24"/>
        <v/>
      </c>
      <c r="AE164" s="82"/>
      <c r="AF164" s="82"/>
      <c r="AG164" s="507" t="str">
        <f t="shared" si="30"/>
        <v/>
      </c>
      <c r="AH164" s="521" t="str">
        <f t="shared" si="31"/>
        <v/>
      </c>
      <c r="AI164" s="522" t="str">
        <f>IF(AH164="Check Data","Check Data",IFERROR(VLOOKUP(AH164,'G-4 Temporal multipliers'!$A$4:$C$36,3,FALSE),""))</f>
        <v/>
      </c>
      <c r="AJ164" s="498" t="str">
        <f>IF(S164="","",VLOOKUP(S164,'G-3 Multipliers'!$A$2:$E$129,4,FALSE))</f>
        <v/>
      </c>
      <c r="AK164" s="507" t="str">
        <f t="shared" si="32"/>
        <v/>
      </c>
      <c r="AL164" s="507" t="str">
        <f t="shared" si="33"/>
        <v/>
      </c>
      <c r="AM164" s="540" t="str">
        <f>IFERROR(IF(F164="","",IF(AH164="Check Data ⚠","Check Data ⚠",VLOOKUP(AL164, 'G-3 Multipliers'!$P$2:$Q$6,2,FALSE))),"")</f>
        <v/>
      </c>
      <c r="AN164" s="513" t="str">
        <f t="shared" si="25"/>
        <v/>
      </c>
      <c r="AO164" s="239"/>
      <c r="AP164" s="240"/>
    </row>
    <row r="165" spans="1:42" x14ac:dyDescent="0.25">
      <c r="A165" s="47" t="str">
        <f>IF(E165="","",IF(ISNA(VLOOKUP($E165,'A-1 Site Habitat Baseline'!$D$1:$O$258,2,FALSE)),"",(VLOOKUP($E165,'A-1 Site Habitat Baseline'!$D$1:$O$258,2,FALSE))))</f>
        <v/>
      </c>
      <c r="B165" s="47" t="str">
        <f>IF(E165="","",IF(ISNA(VLOOKUP($E165,'A-1 Site Habitat Baseline'!$D$1:$O$258,3,FALSE)),"",(VLOOKUP($E165,'A-1 Site Habitat Baseline'!$D$1:$O$258,3,FALSE))))</f>
        <v/>
      </c>
      <c r="C165" s="47" t="str">
        <f>IFERROR(INDEX('G-8 Condition Look up'!$I$4:$I$130,MATCH(S165,'G-8 Condition Look up'!$A$4:$A$130,0)),"")</f>
        <v/>
      </c>
      <c r="E165" s="531" t="str">
        <f>'A-1 Site Habitat Baseline'!AL164</f>
        <v/>
      </c>
      <c r="F165" s="520" t="str">
        <f>IF(E165="","",IF(ISNA(VLOOKUP($E165,'A-1 Site Habitat Baseline'!$D$1:$O$258,4,FALSE)),"",(VLOOKUP($E165,'A-1 Site Habitat Baseline'!$D$1:$O$258,4,FALSE))))</f>
        <v/>
      </c>
      <c r="G165" s="520" t="str">
        <f>IF(E165="","",IF(ISNA(VLOOKUP($E165,'A-1 Site Habitat Baseline'!$D$1:$O$258,5,FALSE)),"",(VLOOKUP($E165,'A-1 Site Habitat Baseline'!$D$1:$O$258,5,FALSE))))</f>
        <v/>
      </c>
      <c r="H165" s="520" t="str">
        <f>IF(E165="","",IF(ISNA(VLOOKUP($E165,'A-1 Site Habitat Baseline'!$D$1:$O$258,6,FALSE)),"",(VLOOKUP($E165,'A-1 Site Habitat Baseline'!$D$1:$O$258,6,FALSE))))</f>
        <v/>
      </c>
      <c r="I165" s="520" t="str">
        <f>IF(E165="","",IF(ISNA(VLOOKUP($E165,'A-1 Site Habitat Baseline'!$D$1:$O$258,7,FALSE)),"",(VLOOKUP($E165,'A-1 Site Habitat Baseline'!$D$1:$O$258,7,FALSE))))</f>
        <v/>
      </c>
      <c r="J165" s="520" t="str">
        <f>IF(E165="","",IF(ISNA(VLOOKUP($E165,'A-1 Site Habitat Baseline'!$D$1:$O$258,8,FALSE)),"",(VLOOKUP($E165,'A-1 Site Habitat Baseline'!$D$1:$O$258,8,FALSE))))</f>
        <v/>
      </c>
      <c r="K165" s="520" t="str">
        <f>IF(E165="","",IF(ISNA(VLOOKUP($E165,'A-1 Site Habitat Baseline'!$D$1:$O$258,9,FALSE)),"",(VLOOKUP($E165,'A-1 Site Habitat Baseline'!$D$1:$O$258,9,FALSE))))</f>
        <v/>
      </c>
      <c r="L165" s="520" t="str">
        <f>IF(E165="","",IF(ISNA(VLOOKUP($E165,'A-1 Site Habitat Baseline'!$D$1:$O$258,11,FALSE)),"",(VLOOKUP($E165,'A-1 Site Habitat Baseline'!$D$1:$O$258,11,FALSE))))</f>
        <v/>
      </c>
      <c r="M165" s="520" t="str">
        <f>IF(E165="","",IF(ISNA(VLOOKUP($E165,'A-1 Site Habitat Baseline'!$D$1:$O$258,12,FALSE)),"",(VLOOKUP($E165,'A-1 Site Habitat Baseline'!$D$1:$O$258,12,FALSE))))</f>
        <v/>
      </c>
      <c r="N165" s="532" t="str">
        <f>IF(E165="","",IF(ISNA(VLOOKUP($E165,'A-1 Site Habitat Baseline'!$D$1:$X$258,14,FALSE)),"",(VLOOKUP($E165,'A-1 Site Habitat Baseline'!$D$1:$X$258,14,FALSE))))</f>
        <v/>
      </c>
      <c r="O165" s="524" t="str">
        <f>IF(E165="","",IF(ISNA(VLOOKUP($E165,'A-1 Site Habitat Baseline'!$D$1:$X$258,16,FALSE)),"",(VLOOKUP($E165,'A-1 Site Habitat Baseline'!$D$1:$X$258,13,FALSE))))</f>
        <v/>
      </c>
      <c r="P165" s="237" t="str">
        <f>IFERROR(INDEX('G-1 All Habitats'!$AG$3:$AG$15,MATCH(Q165,'G-1 All Habitats'!$AF$3:$AF$15,0)),"")</f>
        <v/>
      </c>
      <c r="Q165" s="238" t="str">
        <f t="shared" si="26"/>
        <v/>
      </c>
      <c r="R165" s="238" t="str">
        <f t="shared" si="27"/>
        <v/>
      </c>
      <c r="S165" s="392" t="str">
        <f>IFERROR(INDEX('G-1 All Habitats'!$B$3:$B$129,MATCH(R165,'G-1 All Habitats'!$A$3:$A$129,0)),"")</f>
        <v/>
      </c>
      <c r="T165" s="498" t="str">
        <f t="shared" si="28"/>
        <v/>
      </c>
      <c r="U165" s="499" t="str">
        <f t="shared" si="29"/>
        <v/>
      </c>
      <c r="V165" s="537" t="str">
        <f t="shared" si="23"/>
        <v/>
      </c>
      <c r="W165" s="520" t="str">
        <f>IF(S165="","",VLOOKUP(S165,'G-1 All Habitats'!$B$2:$M$129,10,FALSE))</f>
        <v/>
      </c>
      <c r="X165" s="520" t="str">
        <f>IFERROR(VLOOKUP(W165,'G-1 All Habitats'!$V$3:$W$7,2,FALSE),"")</f>
        <v/>
      </c>
      <c r="Y165" s="79"/>
      <c r="Z165" s="524" t="str">
        <f>IFERROR(INDEX('G-8 Condition Look up'!$A$3:$H$130,MATCH(S165,'G-8 Condition Look up'!$A$3:$A$130,0),MATCH(Y165,'G-8 Condition Look up'!$A$3:$H$3,0)),"")</f>
        <v/>
      </c>
      <c r="AA165" s="71"/>
      <c r="AB165" s="520" t="str">
        <f>IF(AA165="","",IF(VLOOKUP(AA165,'G-3 Multipliers'!$L$3:$N$6,2,FALSE)=0,"Spatial Data Missing ⚠",VLOOKUP(AA165,'G-3 Multipliers'!$L$3:$N$6,2,FALSE)))</f>
        <v/>
      </c>
      <c r="AC165" s="524" t="str">
        <f>IF(AA165="","",IF(VLOOKUP(AA165,'G-3 Multipliers'!$L$3:$N$6,3,FALSE)=0,"Spatial Data Missing ⚠",VLOOKUP(AA165,'G-3 Multipliers'!$L$3:$N$6,3,FALSE)))</f>
        <v/>
      </c>
      <c r="AD165" s="539" t="str">
        <f t="shared" si="24"/>
        <v/>
      </c>
      <c r="AE165" s="82"/>
      <c r="AF165" s="82"/>
      <c r="AG165" s="507" t="str">
        <f t="shared" si="30"/>
        <v/>
      </c>
      <c r="AH165" s="521" t="str">
        <f t="shared" si="31"/>
        <v/>
      </c>
      <c r="AI165" s="522" t="str">
        <f>IF(AH165="Check Data","Check Data",IFERROR(VLOOKUP(AH165,'G-4 Temporal multipliers'!$A$4:$C$36,3,FALSE),""))</f>
        <v/>
      </c>
      <c r="AJ165" s="498" t="str">
        <f>IF(S165="","",VLOOKUP(S165,'G-3 Multipliers'!$A$2:$E$129,4,FALSE))</f>
        <v/>
      </c>
      <c r="AK165" s="507" t="str">
        <f t="shared" si="32"/>
        <v/>
      </c>
      <c r="AL165" s="507" t="str">
        <f t="shared" si="33"/>
        <v/>
      </c>
      <c r="AM165" s="540" t="str">
        <f>IFERROR(IF(F165="","",IF(AH165="Check Data ⚠","Check Data ⚠",VLOOKUP(AL165, 'G-3 Multipliers'!$P$2:$Q$6,2,FALSE))),"")</f>
        <v/>
      </c>
      <c r="AN165" s="513" t="str">
        <f t="shared" si="25"/>
        <v/>
      </c>
      <c r="AO165" s="239"/>
      <c r="AP165" s="240"/>
    </row>
    <row r="166" spans="1:42" x14ac:dyDescent="0.25">
      <c r="A166" s="47" t="str">
        <f>IF(E166="","",IF(ISNA(VLOOKUP($E166,'A-1 Site Habitat Baseline'!$D$1:$O$258,2,FALSE)),"",(VLOOKUP($E166,'A-1 Site Habitat Baseline'!$D$1:$O$258,2,FALSE))))</f>
        <v/>
      </c>
      <c r="B166" s="47" t="str">
        <f>IF(E166="","",IF(ISNA(VLOOKUP($E166,'A-1 Site Habitat Baseline'!$D$1:$O$258,3,FALSE)),"",(VLOOKUP($E166,'A-1 Site Habitat Baseline'!$D$1:$O$258,3,FALSE))))</f>
        <v/>
      </c>
      <c r="C166" s="47" t="str">
        <f>IFERROR(INDEX('G-8 Condition Look up'!$I$4:$I$130,MATCH(S166,'G-8 Condition Look up'!$A$4:$A$130,0)),"")</f>
        <v/>
      </c>
      <c r="E166" s="531" t="str">
        <f>'A-1 Site Habitat Baseline'!AL165</f>
        <v/>
      </c>
      <c r="F166" s="520" t="str">
        <f>IF(E166="","",IF(ISNA(VLOOKUP($E166,'A-1 Site Habitat Baseline'!$D$1:$O$258,4,FALSE)),"",(VLOOKUP($E166,'A-1 Site Habitat Baseline'!$D$1:$O$258,4,FALSE))))</f>
        <v/>
      </c>
      <c r="G166" s="520" t="str">
        <f>IF(E166="","",IF(ISNA(VLOOKUP($E166,'A-1 Site Habitat Baseline'!$D$1:$O$258,5,FALSE)),"",(VLOOKUP($E166,'A-1 Site Habitat Baseline'!$D$1:$O$258,5,FALSE))))</f>
        <v/>
      </c>
      <c r="H166" s="520" t="str">
        <f>IF(E166="","",IF(ISNA(VLOOKUP($E166,'A-1 Site Habitat Baseline'!$D$1:$O$258,6,FALSE)),"",(VLOOKUP($E166,'A-1 Site Habitat Baseline'!$D$1:$O$258,6,FALSE))))</f>
        <v/>
      </c>
      <c r="I166" s="520" t="str">
        <f>IF(E166="","",IF(ISNA(VLOOKUP($E166,'A-1 Site Habitat Baseline'!$D$1:$O$258,7,FALSE)),"",(VLOOKUP($E166,'A-1 Site Habitat Baseline'!$D$1:$O$258,7,FALSE))))</f>
        <v/>
      </c>
      <c r="J166" s="520" t="str">
        <f>IF(E166="","",IF(ISNA(VLOOKUP($E166,'A-1 Site Habitat Baseline'!$D$1:$O$258,8,FALSE)),"",(VLOOKUP($E166,'A-1 Site Habitat Baseline'!$D$1:$O$258,8,FALSE))))</f>
        <v/>
      </c>
      <c r="K166" s="520" t="str">
        <f>IF(E166="","",IF(ISNA(VLOOKUP($E166,'A-1 Site Habitat Baseline'!$D$1:$O$258,9,FALSE)),"",(VLOOKUP($E166,'A-1 Site Habitat Baseline'!$D$1:$O$258,9,FALSE))))</f>
        <v/>
      </c>
      <c r="L166" s="520" t="str">
        <f>IF(E166="","",IF(ISNA(VLOOKUP($E166,'A-1 Site Habitat Baseline'!$D$1:$O$258,11,FALSE)),"",(VLOOKUP($E166,'A-1 Site Habitat Baseline'!$D$1:$O$258,11,FALSE))))</f>
        <v/>
      </c>
      <c r="M166" s="520" t="str">
        <f>IF(E166="","",IF(ISNA(VLOOKUP($E166,'A-1 Site Habitat Baseline'!$D$1:$O$258,12,FALSE)),"",(VLOOKUP($E166,'A-1 Site Habitat Baseline'!$D$1:$O$258,12,FALSE))))</f>
        <v/>
      </c>
      <c r="N166" s="532" t="str">
        <f>IF(E166="","",IF(ISNA(VLOOKUP($E166,'A-1 Site Habitat Baseline'!$D$1:$X$258,14,FALSE)),"",(VLOOKUP($E166,'A-1 Site Habitat Baseline'!$D$1:$X$258,14,FALSE))))</f>
        <v/>
      </c>
      <c r="O166" s="524" t="str">
        <f>IF(E166="","",IF(ISNA(VLOOKUP($E166,'A-1 Site Habitat Baseline'!$D$1:$X$258,16,FALSE)),"",(VLOOKUP($E166,'A-1 Site Habitat Baseline'!$D$1:$X$258,13,FALSE))))</f>
        <v/>
      </c>
      <c r="P166" s="237" t="str">
        <f>IFERROR(INDEX('G-1 All Habitats'!$AG$3:$AG$15,MATCH(Q166,'G-1 All Habitats'!$AF$3:$AF$15,0)),"")</f>
        <v/>
      </c>
      <c r="Q166" s="238" t="str">
        <f t="shared" si="26"/>
        <v/>
      </c>
      <c r="R166" s="238" t="str">
        <f t="shared" si="27"/>
        <v/>
      </c>
      <c r="S166" s="392" t="str">
        <f>IFERROR(INDEX('G-1 All Habitats'!$B$3:$B$129,MATCH(R166,'G-1 All Habitats'!$A$3:$A$129,0)),"")</f>
        <v/>
      </c>
      <c r="T166" s="498" t="str">
        <f t="shared" si="28"/>
        <v/>
      </c>
      <c r="U166" s="499" t="str">
        <f t="shared" si="29"/>
        <v/>
      </c>
      <c r="V166" s="537" t="str">
        <f t="shared" si="23"/>
        <v/>
      </c>
      <c r="W166" s="520" t="str">
        <f>IF(S166="","",VLOOKUP(S166,'G-1 All Habitats'!$B$2:$M$129,10,FALSE))</f>
        <v/>
      </c>
      <c r="X166" s="520" t="str">
        <f>IFERROR(VLOOKUP(W166,'G-1 All Habitats'!$V$3:$W$7,2,FALSE),"")</f>
        <v/>
      </c>
      <c r="Y166" s="79"/>
      <c r="Z166" s="524" t="str">
        <f>IFERROR(INDEX('G-8 Condition Look up'!$A$3:$H$130,MATCH(S166,'G-8 Condition Look up'!$A$3:$A$130,0),MATCH(Y166,'G-8 Condition Look up'!$A$3:$H$3,0)),"")</f>
        <v/>
      </c>
      <c r="AA166" s="71"/>
      <c r="AB166" s="520" t="str">
        <f>IF(AA166="","",IF(VLOOKUP(AA166,'G-3 Multipliers'!$L$3:$N$6,2,FALSE)=0,"Spatial Data Missing ⚠",VLOOKUP(AA166,'G-3 Multipliers'!$L$3:$N$6,2,FALSE)))</f>
        <v/>
      </c>
      <c r="AC166" s="524" t="str">
        <f>IF(AA166="","",IF(VLOOKUP(AA166,'G-3 Multipliers'!$L$3:$N$6,3,FALSE)=0,"Spatial Data Missing ⚠",VLOOKUP(AA166,'G-3 Multipliers'!$L$3:$N$6,3,FALSE)))</f>
        <v/>
      </c>
      <c r="AD166" s="539" t="str">
        <f t="shared" si="24"/>
        <v/>
      </c>
      <c r="AE166" s="82"/>
      <c r="AF166" s="82"/>
      <c r="AG166" s="507" t="str">
        <f t="shared" si="30"/>
        <v/>
      </c>
      <c r="AH166" s="521" t="str">
        <f t="shared" si="31"/>
        <v/>
      </c>
      <c r="AI166" s="522" t="str">
        <f>IF(AH166="Check Data","Check Data",IFERROR(VLOOKUP(AH166,'G-4 Temporal multipliers'!$A$4:$C$36,3,FALSE),""))</f>
        <v/>
      </c>
      <c r="AJ166" s="498" t="str">
        <f>IF(S166="","",VLOOKUP(S166,'G-3 Multipliers'!$A$2:$E$129,4,FALSE))</f>
        <v/>
      </c>
      <c r="AK166" s="507" t="str">
        <f t="shared" si="32"/>
        <v/>
      </c>
      <c r="AL166" s="507" t="str">
        <f t="shared" si="33"/>
        <v/>
      </c>
      <c r="AM166" s="540" t="str">
        <f>IFERROR(IF(F166="","",IF(AH166="Check Data ⚠","Check Data ⚠",VLOOKUP(AL166, 'G-3 Multipliers'!$P$2:$Q$6,2,FALSE))),"")</f>
        <v/>
      </c>
      <c r="AN166" s="513" t="str">
        <f t="shared" si="25"/>
        <v/>
      </c>
      <c r="AO166" s="239"/>
      <c r="AP166" s="240"/>
    </row>
    <row r="167" spans="1:42" x14ac:dyDescent="0.25">
      <c r="A167" s="47" t="str">
        <f>IF(E167="","",IF(ISNA(VLOOKUP($E167,'A-1 Site Habitat Baseline'!$D$1:$O$258,2,FALSE)),"",(VLOOKUP($E167,'A-1 Site Habitat Baseline'!$D$1:$O$258,2,FALSE))))</f>
        <v/>
      </c>
      <c r="B167" s="47" t="str">
        <f>IF(E167="","",IF(ISNA(VLOOKUP($E167,'A-1 Site Habitat Baseline'!$D$1:$O$258,3,FALSE)),"",(VLOOKUP($E167,'A-1 Site Habitat Baseline'!$D$1:$O$258,3,FALSE))))</f>
        <v/>
      </c>
      <c r="C167" s="47" t="str">
        <f>IFERROR(INDEX('G-8 Condition Look up'!$I$4:$I$130,MATCH(S167,'G-8 Condition Look up'!$A$4:$A$130,0)),"")</f>
        <v/>
      </c>
      <c r="E167" s="531" t="str">
        <f>'A-1 Site Habitat Baseline'!AL166</f>
        <v/>
      </c>
      <c r="F167" s="520" t="str">
        <f>IF(E167="","",IF(ISNA(VLOOKUP($E167,'A-1 Site Habitat Baseline'!$D$1:$O$258,4,FALSE)),"",(VLOOKUP($E167,'A-1 Site Habitat Baseline'!$D$1:$O$258,4,FALSE))))</f>
        <v/>
      </c>
      <c r="G167" s="520" t="str">
        <f>IF(E167="","",IF(ISNA(VLOOKUP($E167,'A-1 Site Habitat Baseline'!$D$1:$O$258,5,FALSE)),"",(VLOOKUP($E167,'A-1 Site Habitat Baseline'!$D$1:$O$258,5,FALSE))))</f>
        <v/>
      </c>
      <c r="H167" s="520" t="str">
        <f>IF(E167="","",IF(ISNA(VLOOKUP($E167,'A-1 Site Habitat Baseline'!$D$1:$O$258,6,FALSE)),"",(VLOOKUP($E167,'A-1 Site Habitat Baseline'!$D$1:$O$258,6,FALSE))))</f>
        <v/>
      </c>
      <c r="I167" s="520" t="str">
        <f>IF(E167="","",IF(ISNA(VLOOKUP($E167,'A-1 Site Habitat Baseline'!$D$1:$O$258,7,FALSE)),"",(VLOOKUP($E167,'A-1 Site Habitat Baseline'!$D$1:$O$258,7,FALSE))))</f>
        <v/>
      </c>
      <c r="J167" s="520" t="str">
        <f>IF(E167="","",IF(ISNA(VLOOKUP($E167,'A-1 Site Habitat Baseline'!$D$1:$O$258,8,FALSE)),"",(VLOOKUP($E167,'A-1 Site Habitat Baseline'!$D$1:$O$258,8,FALSE))))</f>
        <v/>
      </c>
      <c r="K167" s="520" t="str">
        <f>IF(E167="","",IF(ISNA(VLOOKUP($E167,'A-1 Site Habitat Baseline'!$D$1:$O$258,9,FALSE)),"",(VLOOKUP($E167,'A-1 Site Habitat Baseline'!$D$1:$O$258,9,FALSE))))</f>
        <v/>
      </c>
      <c r="L167" s="520" t="str">
        <f>IF(E167="","",IF(ISNA(VLOOKUP($E167,'A-1 Site Habitat Baseline'!$D$1:$O$258,11,FALSE)),"",(VLOOKUP($E167,'A-1 Site Habitat Baseline'!$D$1:$O$258,11,FALSE))))</f>
        <v/>
      </c>
      <c r="M167" s="520" t="str">
        <f>IF(E167="","",IF(ISNA(VLOOKUP($E167,'A-1 Site Habitat Baseline'!$D$1:$O$258,12,FALSE)),"",(VLOOKUP($E167,'A-1 Site Habitat Baseline'!$D$1:$O$258,12,FALSE))))</f>
        <v/>
      </c>
      <c r="N167" s="532" t="str">
        <f>IF(E167="","",IF(ISNA(VLOOKUP($E167,'A-1 Site Habitat Baseline'!$D$1:$X$258,14,FALSE)),"",(VLOOKUP($E167,'A-1 Site Habitat Baseline'!$D$1:$X$258,14,FALSE))))</f>
        <v/>
      </c>
      <c r="O167" s="524" t="str">
        <f>IF(E167="","",IF(ISNA(VLOOKUP($E167,'A-1 Site Habitat Baseline'!$D$1:$X$258,16,FALSE)),"",(VLOOKUP($E167,'A-1 Site Habitat Baseline'!$D$1:$X$258,13,FALSE))))</f>
        <v/>
      </c>
      <c r="P167" s="237" t="str">
        <f>IFERROR(INDEX('G-1 All Habitats'!$AG$3:$AG$15,MATCH(Q167,'G-1 All Habitats'!$AF$3:$AF$15,0)),"")</f>
        <v/>
      </c>
      <c r="Q167" s="238" t="str">
        <f t="shared" si="26"/>
        <v/>
      </c>
      <c r="R167" s="238" t="str">
        <f t="shared" si="27"/>
        <v/>
      </c>
      <c r="S167" s="392" t="str">
        <f>IFERROR(INDEX('G-1 All Habitats'!$B$3:$B$129,MATCH(R167,'G-1 All Habitats'!$A$3:$A$129,0)),"")</f>
        <v/>
      </c>
      <c r="T167" s="498" t="str">
        <f t="shared" si="28"/>
        <v/>
      </c>
      <c r="U167" s="499" t="str">
        <f t="shared" si="29"/>
        <v/>
      </c>
      <c r="V167" s="537" t="str">
        <f t="shared" si="23"/>
        <v/>
      </c>
      <c r="W167" s="520" t="str">
        <f>IF(S167="","",VLOOKUP(S167,'G-1 All Habitats'!$B$2:$M$129,10,FALSE))</f>
        <v/>
      </c>
      <c r="X167" s="520" t="str">
        <f>IFERROR(VLOOKUP(W167,'G-1 All Habitats'!$V$3:$W$7,2,FALSE),"")</f>
        <v/>
      </c>
      <c r="Y167" s="79"/>
      <c r="Z167" s="524" t="str">
        <f>IFERROR(INDEX('G-8 Condition Look up'!$A$3:$H$130,MATCH(S167,'G-8 Condition Look up'!$A$3:$A$130,0),MATCH(Y167,'G-8 Condition Look up'!$A$3:$H$3,0)),"")</f>
        <v/>
      </c>
      <c r="AA167" s="71"/>
      <c r="AB167" s="520" t="str">
        <f>IF(AA167="","",IF(VLOOKUP(AA167,'G-3 Multipliers'!$L$3:$N$6,2,FALSE)=0,"Spatial Data Missing ⚠",VLOOKUP(AA167,'G-3 Multipliers'!$L$3:$N$6,2,FALSE)))</f>
        <v/>
      </c>
      <c r="AC167" s="524" t="str">
        <f>IF(AA167="","",IF(VLOOKUP(AA167,'G-3 Multipliers'!$L$3:$N$6,3,FALSE)=0,"Spatial Data Missing ⚠",VLOOKUP(AA167,'G-3 Multipliers'!$L$3:$N$6,3,FALSE)))</f>
        <v/>
      </c>
      <c r="AD167" s="539" t="str">
        <f t="shared" si="24"/>
        <v/>
      </c>
      <c r="AE167" s="82"/>
      <c r="AF167" s="82"/>
      <c r="AG167" s="507" t="str">
        <f t="shared" si="30"/>
        <v/>
      </c>
      <c r="AH167" s="521" t="str">
        <f t="shared" si="31"/>
        <v/>
      </c>
      <c r="AI167" s="522" t="str">
        <f>IF(AH167="Check Data","Check Data",IFERROR(VLOOKUP(AH167,'G-4 Temporal multipliers'!$A$4:$C$36,3,FALSE),""))</f>
        <v/>
      </c>
      <c r="AJ167" s="498" t="str">
        <f>IF(S167="","",VLOOKUP(S167,'G-3 Multipliers'!$A$2:$E$129,4,FALSE))</f>
        <v/>
      </c>
      <c r="AK167" s="507" t="str">
        <f t="shared" si="32"/>
        <v/>
      </c>
      <c r="AL167" s="507" t="str">
        <f t="shared" si="33"/>
        <v/>
      </c>
      <c r="AM167" s="540" t="str">
        <f>IFERROR(IF(F167="","",IF(AH167="Check Data ⚠","Check Data ⚠",VLOOKUP(AL167, 'G-3 Multipliers'!$P$2:$Q$6,2,FALSE))),"")</f>
        <v/>
      </c>
      <c r="AN167" s="513" t="str">
        <f t="shared" si="25"/>
        <v/>
      </c>
      <c r="AO167" s="239"/>
      <c r="AP167" s="240"/>
    </row>
    <row r="168" spans="1:42" x14ac:dyDescent="0.25">
      <c r="A168" s="47" t="str">
        <f>IF(E168="","",IF(ISNA(VLOOKUP($E168,'A-1 Site Habitat Baseline'!$D$1:$O$258,2,FALSE)),"",(VLOOKUP($E168,'A-1 Site Habitat Baseline'!$D$1:$O$258,2,FALSE))))</f>
        <v/>
      </c>
      <c r="B168" s="47" t="str">
        <f>IF(E168="","",IF(ISNA(VLOOKUP($E168,'A-1 Site Habitat Baseline'!$D$1:$O$258,3,FALSE)),"",(VLOOKUP($E168,'A-1 Site Habitat Baseline'!$D$1:$O$258,3,FALSE))))</f>
        <v/>
      </c>
      <c r="C168" s="47" t="str">
        <f>IFERROR(INDEX('G-8 Condition Look up'!$I$4:$I$130,MATCH(S168,'G-8 Condition Look up'!$A$4:$A$130,0)),"")</f>
        <v/>
      </c>
      <c r="E168" s="531" t="str">
        <f>'A-1 Site Habitat Baseline'!AL167</f>
        <v/>
      </c>
      <c r="F168" s="520" t="str">
        <f>IF(E168="","",IF(ISNA(VLOOKUP($E168,'A-1 Site Habitat Baseline'!$D$1:$O$258,4,FALSE)),"",(VLOOKUP($E168,'A-1 Site Habitat Baseline'!$D$1:$O$258,4,FALSE))))</f>
        <v/>
      </c>
      <c r="G168" s="520" t="str">
        <f>IF(E168="","",IF(ISNA(VLOOKUP($E168,'A-1 Site Habitat Baseline'!$D$1:$O$258,5,FALSE)),"",(VLOOKUP($E168,'A-1 Site Habitat Baseline'!$D$1:$O$258,5,FALSE))))</f>
        <v/>
      </c>
      <c r="H168" s="520" t="str">
        <f>IF(E168="","",IF(ISNA(VLOOKUP($E168,'A-1 Site Habitat Baseline'!$D$1:$O$258,6,FALSE)),"",(VLOOKUP($E168,'A-1 Site Habitat Baseline'!$D$1:$O$258,6,FALSE))))</f>
        <v/>
      </c>
      <c r="I168" s="520" t="str">
        <f>IF(E168="","",IF(ISNA(VLOOKUP($E168,'A-1 Site Habitat Baseline'!$D$1:$O$258,7,FALSE)),"",(VLOOKUP($E168,'A-1 Site Habitat Baseline'!$D$1:$O$258,7,FALSE))))</f>
        <v/>
      </c>
      <c r="J168" s="520" t="str">
        <f>IF(E168="","",IF(ISNA(VLOOKUP($E168,'A-1 Site Habitat Baseline'!$D$1:$O$258,8,FALSE)),"",(VLOOKUP($E168,'A-1 Site Habitat Baseline'!$D$1:$O$258,8,FALSE))))</f>
        <v/>
      </c>
      <c r="K168" s="520" t="str">
        <f>IF(E168="","",IF(ISNA(VLOOKUP($E168,'A-1 Site Habitat Baseline'!$D$1:$O$258,9,FALSE)),"",(VLOOKUP($E168,'A-1 Site Habitat Baseline'!$D$1:$O$258,9,FALSE))))</f>
        <v/>
      </c>
      <c r="L168" s="520" t="str">
        <f>IF(E168="","",IF(ISNA(VLOOKUP($E168,'A-1 Site Habitat Baseline'!$D$1:$O$258,11,FALSE)),"",(VLOOKUP($E168,'A-1 Site Habitat Baseline'!$D$1:$O$258,11,FALSE))))</f>
        <v/>
      </c>
      <c r="M168" s="520" t="str">
        <f>IF(E168="","",IF(ISNA(VLOOKUP($E168,'A-1 Site Habitat Baseline'!$D$1:$O$258,12,FALSE)),"",(VLOOKUP($E168,'A-1 Site Habitat Baseline'!$D$1:$O$258,12,FALSE))))</f>
        <v/>
      </c>
      <c r="N168" s="532" t="str">
        <f>IF(E168="","",IF(ISNA(VLOOKUP($E168,'A-1 Site Habitat Baseline'!$D$1:$X$258,14,FALSE)),"",(VLOOKUP($E168,'A-1 Site Habitat Baseline'!$D$1:$X$258,14,FALSE))))</f>
        <v/>
      </c>
      <c r="O168" s="524" t="str">
        <f>IF(E168="","",IF(ISNA(VLOOKUP($E168,'A-1 Site Habitat Baseline'!$D$1:$X$258,16,FALSE)),"",(VLOOKUP($E168,'A-1 Site Habitat Baseline'!$D$1:$X$258,13,FALSE))))</f>
        <v/>
      </c>
      <c r="P168" s="237" t="str">
        <f>IFERROR(INDEX('G-1 All Habitats'!$AG$3:$AG$15,MATCH(Q168,'G-1 All Habitats'!$AF$3:$AF$15,0)),"")</f>
        <v/>
      </c>
      <c r="Q168" s="238" t="str">
        <f t="shared" si="26"/>
        <v/>
      </c>
      <c r="R168" s="238" t="str">
        <f t="shared" si="27"/>
        <v/>
      </c>
      <c r="S168" s="392" t="str">
        <f>IFERROR(INDEX('G-1 All Habitats'!$B$3:$B$129,MATCH(R168,'G-1 All Habitats'!$A$3:$A$129,0)),"")</f>
        <v/>
      </c>
      <c r="T168" s="498" t="str">
        <f t="shared" si="28"/>
        <v/>
      </c>
      <c r="U168" s="499" t="str">
        <f t="shared" si="29"/>
        <v/>
      </c>
      <c r="V168" s="537" t="str">
        <f t="shared" si="23"/>
        <v/>
      </c>
      <c r="W168" s="520" t="str">
        <f>IF(S168="","",VLOOKUP(S168,'G-1 All Habitats'!$B$2:$M$129,10,FALSE))</f>
        <v/>
      </c>
      <c r="X168" s="520" t="str">
        <f>IFERROR(VLOOKUP(W168,'G-1 All Habitats'!$V$3:$W$7,2,FALSE),"")</f>
        <v/>
      </c>
      <c r="Y168" s="79"/>
      <c r="Z168" s="524" t="str">
        <f>IFERROR(INDEX('G-8 Condition Look up'!$A$3:$H$130,MATCH(S168,'G-8 Condition Look up'!$A$3:$A$130,0),MATCH(Y168,'G-8 Condition Look up'!$A$3:$H$3,0)),"")</f>
        <v/>
      </c>
      <c r="AA168" s="71"/>
      <c r="AB168" s="520" t="str">
        <f>IF(AA168="","",IF(VLOOKUP(AA168,'G-3 Multipliers'!$L$3:$N$6,2,FALSE)=0,"Spatial Data Missing ⚠",VLOOKUP(AA168,'G-3 Multipliers'!$L$3:$N$6,2,FALSE)))</f>
        <v/>
      </c>
      <c r="AC168" s="524" t="str">
        <f>IF(AA168="","",IF(VLOOKUP(AA168,'G-3 Multipliers'!$L$3:$N$6,3,FALSE)=0,"Spatial Data Missing ⚠",VLOOKUP(AA168,'G-3 Multipliers'!$L$3:$N$6,3,FALSE)))</f>
        <v/>
      </c>
      <c r="AD168" s="539" t="str">
        <f t="shared" si="24"/>
        <v/>
      </c>
      <c r="AE168" s="82"/>
      <c r="AF168" s="82"/>
      <c r="AG168" s="507" t="str">
        <f t="shared" si="30"/>
        <v/>
      </c>
      <c r="AH168" s="521" t="str">
        <f t="shared" si="31"/>
        <v/>
      </c>
      <c r="AI168" s="522" t="str">
        <f>IF(AH168="Check Data","Check Data",IFERROR(VLOOKUP(AH168,'G-4 Temporal multipliers'!$A$4:$C$36,3,FALSE),""))</f>
        <v/>
      </c>
      <c r="AJ168" s="498" t="str">
        <f>IF(S168="","",VLOOKUP(S168,'G-3 Multipliers'!$A$2:$E$129,4,FALSE))</f>
        <v/>
      </c>
      <c r="AK168" s="507" t="str">
        <f t="shared" si="32"/>
        <v/>
      </c>
      <c r="AL168" s="507" t="str">
        <f t="shared" si="33"/>
        <v/>
      </c>
      <c r="AM168" s="540" t="str">
        <f>IFERROR(IF(F168="","",IF(AH168="Check Data ⚠","Check Data ⚠",VLOOKUP(AL168, 'G-3 Multipliers'!$P$2:$Q$6,2,FALSE))),"")</f>
        <v/>
      </c>
      <c r="AN168" s="513" t="str">
        <f t="shared" si="25"/>
        <v/>
      </c>
      <c r="AO168" s="239"/>
      <c r="AP168" s="240"/>
    </row>
    <row r="169" spans="1:42" x14ac:dyDescent="0.25">
      <c r="A169" s="47" t="str">
        <f>IF(E169="","",IF(ISNA(VLOOKUP($E169,'A-1 Site Habitat Baseline'!$D$1:$O$258,2,FALSE)),"",(VLOOKUP($E169,'A-1 Site Habitat Baseline'!$D$1:$O$258,2,FALSE))))</f>
        <v/>
      </c>
      <c r="B169" s="47" t="str">
        <f>IF(E169="","",IF(ISNA(VLOOKUP($E169,'A-1 Site Habitat Baseline'!$D$1:$O$258,3,FALSE)),"",(VLOOKUP($E169,'A-1 Site Habitat Baseline'!$D$1:$O$258,3,FALSE))))</f>
        <v/>
      </c>
      <c r="C169" s="47" t="str">
        <f>IFERROR(INDEX('G-8 Condition Look up'!$I$4:$I$130,MATCH(S169,'G-8 Condition Look up'!$A$4:$A$130,0)),"")</f>
        <v/>
      </c>
      <c r="E169" s="531" t="str">
        <f>'A-1 Site Habitat Baseline'!AL168</f>
        <v/>
      </c>
      <c r="F169" s="520" t="str">
        <f>IF(E169="","",IF(ISNA(VLOOKUP($E169,'A-1 Site Habitat Baseline'!$D$1:$O$258,4,FALSE)),"",(VLOOKUP($E169,'A-1 Site Habitat Baseline'!$D$1:$O$258,4,FALSE))))</f>
        <v/>
      </c>
      <c r="G169" s="520" t="str">
        <f>IF(E169="","",IF(ISNA(VLOOKUP($E169,'A-1 Site Habitat Baseline'!$D$1:$O$258,5,FALSE)),"",(VLOOKUP($E169,'A-1 Site Habitat Baseline'!$D$1:$O$258,5,FALSE))))</f>
        <v/>
      </c>
      <c r="H169" s="520" t="str">
        <f>IF(E169="","",IF(ISNA(VLOOKUP($E169,'A-1 Site Habitat Baseline'!$D$1:$O$258,6,FALSE)),"",(VLOOKUP($E169,'A-1 Site Habitat Baseline'!$D$1:$O$258,6,FALSE))))</f>
        <v/>
      </c>
      <c r="I169" s="520" t="str">
        <f>IF(E169="","",IF(ISNA(VLOOKUP($E169,'A-1 Site Habitat Baseline'!$D$1:$O$258,7,FALSE)),"",(VLOOKUP($E169,'A-1 Site Habitat Baseline'!$D$1:$O$258,7,FALSE))))</f>
        <v/>
      </c>
      <c r="J169" s="520" t="str">
        <f>IF(E169="","",IF(ISNA(VLOOKUP($E169,'A-1 Site Habitat Baseline'!$D$1:$O$258,8,FALSE)),"",(VLOOKUP($E169,'A-1 Site Habitat Baseline'!$D$1:$O$258,8,FALSE))))</f>
        <v/>
      </c>
      <c r="K169" s="520" t="str">
        <f>IF(E169="","",IF(ISNA(VLOOKUP($E169,'A-1 Site Habitat Baseline'!$D$1:$O$258,9,FALSE)),"",(VLOOKUP($E169,'A-1 Site Habitat Baseline'!$D$1:$O$258,9,FALSE))))</f>
        <v/>
      </c>
      <c r="L169" s="520" t="str">
        <f>IF(E169="","",IF(ISNA(VLOOKUP($E169,'A-1 Site Habitat Baseline'!$D$1:$O$258,11,FALSE)),"",(VLOOKUP($E169,'A-1 Site Habitat Baseline'!$D$1:$O$258,11,FALSE))))</f>
        <v/>
      </c>
      <c r="M169" s="520" t="str">
        <f>IF(E169="","",IF(ISNA(VLOOKUP($E169,'A-1 Site Habitat Baseline'!$D$1:$O$258,12,FALSE)),"",(VLOOKUP($E169,'A-1 Site Habitat Baseline'!$D$1:$O$258,12,FALSE))))</f>
        <v/>
      </c>
      <c r="N169" s="532" t="str">
        <f>IF(E169="","",IF(ISNA(VLOOKUP($E169,'A-1 Site Habitat Baseline'!$D$1:$X$258,14,FALSE)),"",(VLOOKUP($E169,'A-1 Site Habitat Baseline'!$D$1:$X$258,14,FALSE))))</f>
        <v/>
      </c>
      <c r="O169" s="524" t="str">
        <f>IF(E169="","",IF(ISNA(VLOOKUP($E169,'A-1 Site Habitat Baseline'!$D$1:$X$258,16,FALSE)),"",(VLOOKUP($E169,'A-1 Site Habitat Baseline'!$D$1:$X$258,13,FALSE))))</f>
        <v/>
      </c>
      <c r="P169" s="237" t="str">
        <f>IFERROR(INDEX('G-1 All Habitats'!$AG$3:$AG$15,MATCH(Q169,'G-1 All Habitats'!$AF$3:$AF$15,0)),"")</f>
        <v/>
      </c>
      <c r="Q169" s="238" t="str">
        <f t="shared" si="26"/>
        <v/>
      </c>
      <c r="R169" s="238" t="str">
        <f t="shared" si="27"/>
        <v/>
      </c>
      <c r="S169" s="392" t="str">
        <f>IFERROR(INDEX('G-1 All Habitats'!$B$3:$B$129,MATCH(R169,'G-1 All Habitats'!$A$3:$A$129,0)),"")</f>
        <v/>
      </c>
      <c r="T169" s="498" t="str">
        <f t="shared" si="28"/>
        <v/>
      </c>
      <c r="U169" s="499" t="str">
        <f t="shared" si="29"/>
        <v/>
      </c>
      <c r="V169" s="537" t="str">
        <f t="shared" si="23"/>
        <v/>
      </c>
      <c r="W169" s="520" t="str">
        <f>IF(S169="","",VLOOKUP(S169,'G-1 All Habitats'!$B$2:$M$129,10,FALSE))</f>
        <v/>
      </c>
      <c r="X169" s="520" t="str">
        <f>IFERROR(VLOOKUP(W169,'G-1 All Habitats'!$V$3:$W$7,2,FALSE),"")</f>
        <v/>
      </c>
      <c r="Y169" s="79"/>
      <c r="Z169" s="524" t="str">
        <f>IFERROR(INDEX('G-8 Condition Look up'!$A$3:$H$130,MATCH(S169,'G-8 Condition Look up'!$A$3:$A$130,0),MATCH(Y169,'G-8 Condition Look up'!$A$3:$H$3,0)),"")</f>
        <v/>
      </c>
      <c r="AA169" s="71"/>
      <c r="AB169" s="520" t="str">
        <f>IF(AA169="","",IF(VLOOKUP(AA169,'G-3 Multipliers'!$L$3:$N$6,2,FALSE)=0,"Spatial Data Missing ⚠",VLOOKUP(AA169,'G-3 Multipliers'!$L$3:$N$6,2,FALSE)))</f>
        <v/>
      </c>
      <c r="AC169" s="524" t="str">
        <f>IF(AA169="","",IF(VLOOKUP(AA169,'G-3 Multipliers'!$L$3:$N$6,3,FALSE)=0,"Spatial Data Missing ⚠",VLOOKUP(AA169,'G-3 Multipliers'!$L$3:$N$6,3,FALSE)))</f>
        <v/>
      </c>
      <c r="AD169" s="539" t="str">
        <f t="shared" si="24"/>
        <v/>
      </c>
      <c r="AE169" s="82"/>
      <c r="AF169" s="82"/>
      <c r="AG169" s="507" t="str">
        <f t="shared" si="30"/>
        <v/>
      </c>
      <c r="AH169" s="521" t="str">
        <f t="shared" si="31"/>
        <v/>
      </c>
      <c r="AI169" s="522" t="str">
        <f>IF(AH169="Check Data","Check Data",IFERROR(VLOOKUP(AH169,'G-4 Temporal multipliers'!$A$4:$C$36,3,FALSE),""))</f>
        <v/>
      </c>
      <c r="AJ169" s="498" t="str">
        <f>IF(S169="","",VLOOKUP(S169,'G-3 Multipliers'!$A$2:$E$129,4,FALSE))</f>
        <v/>
      </c>
      <c r="AK169" s="507" t="str">
        <f t="shared" si="32"/>
        <v/>
      </c>
      <c r="AL169" s="507" t="str">
        <f t="shared" si="33"/>
        <v/>
      </c>
      <c r="AM169" s="540" t="str">
        <f>IFERROR(IF(F169="","",IF(AH169="Check Data ⚠","Check Data ⚠",VLOOKUP(AL169, 'G-3 Multipliers'!$P$2:$Q$6,2,FALSE))),"")</f>
        <v/>
      </c>
      <c r="AN169" s="513" t="str">
        <f t="shared" si="25"/>
        <v/>
      </c>
      <c r="AO169" s="239"/>
      <c r="AP169" s="240"/>
    </row>
    <row r="170" spans="1:42" x14ac:dyDescent="0.25">
      <c r="A170" s="47" t="str">
        <f>IF(E170="","",IF(ISNA(VLOOKUP($E170,'A-1 Site Habitat Baseline'!$D$1:$O$258,2,FALSE)),"",(VLOOKUP($E170,'A-1 Site Habitat Baseline'!$D$1:$O$258,2,FALSE))))</f>
        <v/>
      </c>
      <c r="B170" s="47" t="str">
        <f>IF(E170="","",IF(ISNA(VLOOKUP($E170,'A-1 Site Habitat Baseline'!$D$1:$O$258,3,FALSE)),"",(VLOOKUP($E170,'A-1 Site Habitat Baseline'!$D$1:$O$258,3,FALSE))))</f>
        <v/>
      </c>
      <c r="C170" s="47" t="str">
        <f>IFERROR(INDEX('G-8 Condition Look up'!$I$4:$I$130,MATCH(S170,'G-8 Condition Look up'!$A$4:$A$130,0)),"")</f>
        <v/>
      </c>
      <c r="E170" s="531" t="str">
        <f>'A-1 Site Habitat Baseline'!AL169</f>
        <v/>
      </c>
      <c r="F170" s="520" t="str">
        <f>IF(E170="","",IF(ISNA(VLOOKUP($E170,'A-1 Site Habitat Baseline'!$D$1:$O$258,4,FALSE)),"",(VLOOKUP($E170,'A-1 Site Habitat Baseline'!$D$1:$O$258,4,FALSE))))</f>
        <v/>
      </c>
      <c r="G170" s="520" t="str">
        <f>IF(E170="","",IF(ISNA(VLOOKUP($E170,'A-1 Site Habitat Baseline'!$D$1:$O$258,5,FALSE)),"",(VLOOKUP($E170,'A-1 Site Habitat Baseline'!$D$1:$O$258,5,FALSE))))</f>
        <v/>
      </c>
      <c r="H170" s="520" t="str">
        <f>IF(E170="","",IF(ISNA(VLOOKUP($E170,'A-1 Site Habitat Baseline'!$D$1:$O$258,6,FALSE)),"",(VLOOKUP($E170,'A-1 Site Habitat Baseline'!$D$1:$O$258,6,FALSE))))</f>
        <v/>
      </c>
      <c r="I170" s="520" t="str">
        <f>IF(E170="","",IF(ISNA(VLOOKUP($E170,'A-1 Site Habitat Baseline'!$D$1:$O$258,7,FALSE)),"",(VLOOKUP($E170,'A-1 Site Habitat Baseline'!$D$1:$O$258,7,FALSE))))</f>
        <v/>
      </c>
      <c r="J170" s="520" t="str">
        <f>IF(E170="","",IF(ISNA(VLOOKUP($E170,'A-1 Site Habitat Baseline'!$D$1:$O$258,8,FALSE)),"",(VLOOKUP($E170,'A-1 Site Habitat Baseline'!$D$1:$O$258,8,FALSE))))</f>
        <v/>
      </c>
      <c r="K170" s="520" t="str">
        <f>IF(E170="","",IF(ISNA(VLOOKUP($E170,'A-1 Site Habitat Baseline'!$D$1:$O$258,9,FALSE)),"",(VLOOKUP($E170,'A-1 Site Habitat Baseline'!$D$1:$O$258,9,FALSE))))</f>
        <v/>
      </c>
      <c r="L170" s="520" t="str">
        <f>IF(E170="","",IF(ISNA(VLOOKUP($E170,'A-1 Site Habitat Baseline'!$D$1:$O$258,11,FALSE)),"",(VLOOKUP($E170,'A-1 Site Habitat Baseline'!$D$1:$O$258,11,FALSE))))</f>
        <v/>
      </c>
      <c r="M170" s="520" t="str">
        <f>IF(E170="","",IF(ISNA(VLOOKUP($E170,'A-1 Site Habitat Baseline'!$D$1:$O$258,12,FALSE)),"",(VLOOKUP($E170,'A-1 Site Habitat Baseline'!$D$1:$O$258,12,FALSE))))</f>
        <v/>
      </c>
      <c r="N170" s="532" t="str">
        <f>IF(E170="","",IF(ISNA(VLOOKUP($E170,'A-1 Site Habitat Baseline'!$D$1:$X$258,14,FALSE)),"",(VLOOKUP($E170,'A-1 Site Habitat Baseline'!$D$1:$X$258,14,FALSE))))</f>
        <v/>
      </c>
      <c r="O170" s="524" t="str">
        <f>IF(E170="","",IF(ISNA(VLOOKUP($E170,'A-1 Site Habitat Baseline'!$D$1:$X$258,16,FALSE)),"",(VLOOKUP($E170,'A-1 Site Habitat Baseline'!$D$1:$X$258,13,FALSE))))</f>
        <v/>
      </c>
      <c r="P170" s="237" t="str">
        <f>IFERROR(INDEX('G-1 All Habitats'!$AG$3:$AG$15,MATCH(Q170,'G-1 All Habitats'!$AF$3:$AF$15,0)),"")</f>
        <v/>
      </c>
      <c r="Q170" s="238" t="str">
        <f t="shared" si="26"/>
        <v/>
      </c>
      <c r="R170" s="238" t="str">
        <f t="shared" si="27"/>
        <v/>
      </c>
      <c r="S170" s="392" t="str">
        <f>IFERROR(INDEX('G-1 All Habitats'!$B$3:$B$129,MATCH(R170,'G-1 All Habitats'!$A$3:$A$129,0)),"")</f>
        <v/>
      </c>
      <c r="T170" s="498" t="str">
        <f t="shared" si="28"/>
        <v/>
      </c>
      <c r="U170" s="499" t="str">
        <f t="shared" si="29"/>
        <v/>
      </c>
      <c r="V170" s="537" t="str">
        <f t="shared" si="23"/>
        <v/>
      </c>
      <c r="W170" s="520" t="str">
        <f>IF(S170="","",VLOOKUP(S170,'G-1 All Habitats'!$B$2:$M$129,10,FALSE))</f>
        <v/>
      </c>
      <c r="X170" s="520" t="str">
        <f>IFERROR(VLOOKUP(W170,'G-1 All Habitats'!$V$3:$W$7,2,FALSE),"")</f>
        <v/>
      </c>
      <c r="Y170" s="79"/>
      <c r="Z170" s="524" t="str">
        <f>IFERROR(INDEX('G-8 Condition Look up'!$A$3:$H$130,MATCH(S170,'G-8 Condition Look up'!$A$3:$A$130,0),MATCH(Y170,'G-8 Condition Look up'!$A$3:$H$3,0)),"")</f>
        <v/>
      </c>
      <c r="AA170" s="71"/>
      <c r="AB170" s="520" t="str">
        <f>IF(AA170="","",IF(VLOOKUP(AA170,'G-3 Multipliers'!$L$3:$N$6,2,FALSE)=0,"Spatial Data Missing ⚠",VLOOKUP(AA170,'G-3 Multipliers'!$L$3:$N$6,2,FALSE)))</f>
        <v/>
      </c>
      <c r="AC170" s="524" t="str">
        <f>IF(AA170="","",IF(VLOOKUP(AA170,'G-3 Multipliers'!$L$3:$N$6,3,FALSE)=0,"Spatial Data Missing ⚠",VLOOKUP(AA170,'G-3 Multipliers'!$L$3:$N$6,3,FALSE)))</f>
        <v/>
      </c>
      <c r="AD170" s="539" t="str">
        <f t="shared" si="24"/>
        <v/>
      </c>
      <c r="AE170" s="82"/>
      <c r="AF170" s="82"/>
      <c r="AG170" s="507" t="str">
        <f t="shared" si="30"/>
        <v/>
      </c>
      <c r="AH170" s="521" t="str">
        <f t="shared" si="31"/>
        <v/>
      </c>
      <c r="AI170" s="522" t="str">
        <f>IF(AH170="Check Data","Check Data",IFERROR(VLOOKUP(AH170,'G-4 Temporal multipliers'!$A$4:$C$36,3,FALSE),""))</f>
        <v/>
      </c>
      <c r="AJ170" s="498" t="str">
        <f>IF(S170="","",VLOOKUP(S170,'G-3 Multipliers'!$A$2:$E$129,4,FALSE))</f>
        <v/>
      </c>
      <c r="AK170" s="507" t="str">
        <f t="shared" si="32"/>
        <v/>
      </c>
      <c r="AL170" s="507" t="str">
        <f t="shared" si="33"/>
        <v/>
      </c>
      <c r="AM170" s="540" t="str">
        <f>IFERROR(IF(F170="","",IF(AH170="Check Data ⚠","Check Data ⚠",VLOOKUP(AL170, 'G-3 Multipliers'!$P$2:$Q$6,2,FALSE))),"")</f>
        <v/>
      </c>
      <c r="AN170" s="513" t="str">
        <f t="shared" si="25"/>
        <v/>
      </c>
      <c r="AO170" s="239"/>
      <c r="AP170" s="240"/>
    </row>
    <row r="171" spans="1:42" x14ac:dyDescent="0.25">
      <c r="A171" s="47" t="str">
        <f>IF(E171="","",IF(ISNA(VLOOKUP($E171,'A-1 Site Habitat Baseline'!$D$1:$O$258,2,FALSE)),"",(VLOOKUP($E171,'A-1 Site Habitat Baseline'!$D$1:$O$258,2,FALSE))))</f>
        <v/>
      </c>
      <c r="B171" s="47" t="str">
        <f>IF(E171="","",IF(ISNA(VLOOKUP($E171,'A-1 Site Habitat Baseline'!$D$1:$O$258,3,FALSE)),"",(VLOOKUP($E171,'A-1 Site Habitat Baseline'!$D$1:$O$258,3,FALSE))))</f>
        <v/>
      </c>
      <c r="C171" s="47" t="str">
        <f>IFERROR(INDEX('G-8 Condition Look up'!$I$4:$I$130,MATCH(S171,'G-8 Condition Look up'!$A$4:$A$130,0)),"")</f>
        <v/>
      </c>
      <c r="E171" s="531" t="str">
        <f>'A-1 Site Habitat Baseline'!AL170</f>
        <v/>
      </c>
      <c r="F171" s="520" t="str">
        <f>IF(E171="","",IF(ISNA(VLOOKUP($E171,'A-1 Site Habitat Baseline'!$D$1:$O$258,4,FALSE)),"",(VLOOKUP($E171,'A-1 Site Habitat Baseline'!$D$1:$O$258,4,FALSE))))</f>
        <v/>
      </c>
      <c r="G171" s="520" t="str">
        <f>IF(E171="","",IF(ISNA(VLOOKUP($E171,'A-1 Site Habitat Baseline'!$D$1:$O$258,5,FALSE)),"",(VLOOKUP($E171,'A-1 Site Habitat Baseline'!$D$1:$O$258,5,FALSE))))</f>
        <v/>
      </c>
      <c r="H171" s="520" t="str">
        <f>IF(E171="","",IF(ISNA(VLOOKUP($E171,'A-1 Site Habitat Baseline'!$D$1:$O$258,6,FALSE)),"",(VLOOKUP($E171,'A-1 Site Habitat Baseline'!$D$1:$O$258,6,FALSE))))</f>
        <v/>
      </c>
      <c r="I171" s="520" t="str">
        <f>IF(E171="","",IF(ISNA(VLOOKUP($E171,'A-1 Site Habitat Baseline'!$D$1:$O$258,7,FALSE)),"",(VLOOKUP($E171,'A-1 Site Habitat Baseline'!$D$1:$O$258,7,FALSE))))</f>
        <v/>
      </c>
      <c r="J171" s="520" t="str">
        <f>IF(E171="","",IF(ISNA(VLOOKUP($E171,'A-1 Site Habitat Baseline'!$D$1:$O$258,8,FALSE)),"",(VLOOKUP($E171,'A-1 Site Habitat Baseline'!$D$1:$O$258,8,FALSE))))</f>
        <v/>
      </c>
      <c r="K171" s="520" t="str">
        <f>IF(E171="","",IF(ISNA(VLOOKUP($E171,'A-1 Site Habitat Baseline'!$D$1:$O$258,9,FALSE)),"",(VLOOKUP($E171,'A-1 Site Habitat Baseline'!$D$1:$O$258,9,FALSE))))</f>
        <v/>
      </c>
      <c r="L171" s="520" t="str">
        <f>IF(E171="","",IF(ISNA(VLOOKUP($E171,'A-1 Site Habitat Baseline'!$D$1:$O$258,11,FALSE)),"",(VLOOKUP($E171,'A-1 Site Habitat Baseline'!$D$1:$O$258,11,FALSE))))</f>
        <v/>
      </c>
      <c r="M171" s="520" t="str">
        <f>IF(E171="","",IF(ISNA(VLOOKUP($E171,'A-1 Site Habitat Baseline'!$D$1:$O$258,12,FALSE)),"",(VLOOKUP($E171,'A-1 Site Habitat Baseline'!$D$1:$O$258,12,FALSE))))</f>
        <v/>
      </c>
      <c r="N171" s="532" t="str">
        <f>IF(E171="","",IF(ISNA(VLOOKUP($E171,'A-1 Site Habitat Baseline'!$D$1:$X$258,14,FALSE)),"",(VLOOKUP($E171,'A-1 Site Habitat Baseline'!$D$1:$X$258,14,FALSE))))</f>
        <v/>
      </c>
      <c r="O171" s="524" t="str">
        <f>IF(E171="","",IF(ISNA(VLOOKUP($E171,'A-1 Site Habitat Baseline'!$D$1:$X$258,16,FALSE)),"",(VLOOKUP($E171,'A-1 Site Habitat Baseline'!$D$1:$X$258,13,FALSE))))</f>
        <v/>
      </c>
      <c r="P171" s="237" t="str">
        <f>IFERROR(INDEX('G-1 All Habitats'!$AG$3:$AG$15,MATCH(Q171,'G-1 All Habitats'!$AF$3:$AF$15,0)),"")</f>
        <v/>
      </c>
      <c r="Q171" s="238" t="str">
        <f t="shared" si="26"/>
        <v/>
      </c>
      <c r="R171" s="238" t="str">
        <f t="shared" si="27"/>
        <v/>
      </c>
      <c r="S171" s="392" t="str">
        <f>IFERROR(INDEX('G-1 All Habitats'!$B$3:$B$129,MATCH(R171,'G-1 All Habitats'!$A$3:$A$129,0)),"")</f>
        <v/>
      </c>
      <c r="T171" s="498" t="str">
        <f t="shared" si="28"/>
        <v/>
      </c>
      <c r="U171" s="499" t="str">
        <f t="shared" si="29"/>
        <v/>
      </c>
      <c r="V171" s="537" t="str">
        <f t="shared" si="23"/>
        <v/>
      </c>
      <c r="W171" s="520" t="str">
        <f>IF(S171="","",VLOOKUP(S171,'G-1 All Habitats'!$B$2:$M$129,10,FALSE))</f>
        <v/>
      </c>
      <c r="X171" s="520" t="str">
        <f>IFERROR(VLOOKUP(W171,'G-1 All Habitats'!$V$3:$W$7,2,FALSE),"")</f>
        <v/>
      </c>
      <c r="Y171" s="79"/>
      <c r="Z171" s="524" t="str">
        <f>IFERROR(INDEX('G-8 Condition Look up'!$A$3:$H$130,MATCH(S171,'G-8 Condition Look up'!$A$3:$A$130,0),MATCH(Y171,'G-8 Condition Look up'!$A$3:$H$3,0)),"")</f>
        <v/>
      </c>
      <c r="AA171" s="71"/>
      <c r="AB171" s="520" t="str">
        <f>IF(AA171="","",IF(VLOOKUP(AA171,'G-3 Multipliers'!$L$3:$N$6,2,FALSE)=0,"Spatial Data Missing ⚠",VLOOKUP(AA171,'G-3 Multipliers'!$L$3:$N$6,2,FALSE)))</f>
        <v/>
      </c>
      <c r="AC171" s="524" t="str">
        <f>IF(AA171="","",IF(VLOOKUP(AA171,'G-3 Multipliers'!$L$3:$N$6,3,FALSE)=0,"Spatial Data Missing ⚠",VLOOKUP(AA171,'G-3 Multipliers'!$L$3:$N$6,3,FALSE)))</f>
        <v/>
      </c>
      <c r="AD171" s="539" t="str">
        <f t="shared" si="24"/>
        <v/>
      </c>
      <c r="AE171" s="82"/>
      <c r="AF171" s="82"/>
      <c r="AG171" s="507" t="str">
        <f t="shared" si="30"/>
        <v/>
      </c>
      <c r="AH171" s="521" t="str">
        <f t="shared" si="31"/>
        <v/>
      </c>
      <c r="AI171" s="522" t="str">
        <f>IF(AH171="Check Data","Check Data",IFERROR(VLOOKUP(AH171,'G-4 Temporal multipliers'!$A$4:$C$36,3,FALSE),""))</f>
        <v/>
      </c>
      <c r="AJ171" s="498" t="str">
        <f>IF(S171="","",VLOOKUP(S171,'G-3 Multipliers'!$A$2:$E$129,4,FALSE))</f>
        <v/>
      </c>
      <c r="AK171" s="507" t="str">
        <f t="shared" si="32"/>
        <v/>
      </c>
      <c r="AL171" s="507" t="str">
        <f t="shared" si="33"/>
        <v/>
      </c>
      <c r="AM171" s="540" t="str">
        <f>IFERROR(IF(F171="","",IF(AH171="Check Data ⚠","Check Data ⚠",VLOOKUP(AL171, 'G-3 Multipliers'!$P$2:$Q$6,2,FALSE))),"")</f>
        <v/>
      </c>
      <c r="AN171" s="513" t="str">
        <f t="shared" si="25"/>
        <v/>
      </c>
      <c r="AO171" s="239"/>
      <c r="AP171" s="240"/>
    </row>
    <row r="172" spans="1:42" x14ac:dyDescent="0.25">
      <c r="A172" s="47" t="str">
        <f>IF(E172="","",IF(ISNA(VLOOKUP($E172,'A-1 Site Habitat Baseline'!$D$1:$O$258,2,FALSE)),"",(VLOOKUP($E172,'A-1 Site Habitat Baseline'!$D$1:$O$258,2,FALSE))))</f>
        <v/>
      </c>
      <c r="B172" s="47" t="str">
        <f>IF(E172="","",IF(ISNA(VLOOKUP($E172,'A-1 Site Habitat Baseline'!$D$1:$O$258,3,FALSE)),"",(VLOOKUP($E172,'A-1 Site Habitat Baseline'!$D$1:$O$258,3,FALSE))))</f>
        <v/>
      </c>
      <c r="C172" s="47" t="str">
        <f>IFERROR(INDEX('G-8 Condition Look up'!$I$4:$I$130,MATCH(S172,'G-8 Condition Look up'!$A$4:$A$130,0)),"")</f>
        <v/>
      </c>
      <c r="E172" s="531" t="str">
        <f>'A-1 Site Habitat Baseline'!AL171</f>
        <v/>
      </c>
      <c r="F172" s="520" t="str">
        <f>IF(E172="","",IF(ISNA(VLOOKUP($E172,'A-1 Site Habitat Baseline'!$D$1:$O$258,4,FALSE)),"",(VLOOKUP($E172,'A-1 Site Habitat Baseline'!$D$1:$O$258,4,FALSE))))</f>
        <v/>
      </c>
      <c r="G172" s="520" t="str">
        <f>IF(E172="","",IF(ISNA(VLOOKUP($E172,'A-1 Site Habitat Baseline'!$D$1:$O$258,5,FALSE)),"",(VLOOKUP($E172,'A-1 Site Habitat Baseline'!$D$1:$O$258,5,FALSE))))</f>
        <v/>
      </c>
      <c r="H172" s="520" t="str">
        <f>IF(E172="","",IF(ISNA(VLOOKUP($E172,'A-1 Site Habitat Baseline'!$D$1:$O$258,6,FALSE)),"",(VLOOKUP($E172,'A-1 Site Habitat Baseline'!$D$1:$O$258,6,FALSE))))</f>
        <v/>
      </c>
      <c r="I172" s="520" t="str">
        <f>IF(E172="","",IF(ISNA(VLOOKUP($E172,'A-1 Site Habitat Baseline'!$D$1:$O$258,7,FALSE)),"",(VLOOKUP($E172,'A-1 Site Habitat Baseline'!$D$1:$O$258,7,FALSE))))</f>
        <v/>
      </c>
      <c r="J172" s="520" t="str">
        <f>IF(E172="","",IF(ISNA(VLOOKUP($E172,'A-1 Site Habitat Baseline'!$D$1:$O$258,8,FALSE)),"",(VLOOKUP($E172,'A-1 Site Habitat Baseline'!$D$1:$O$258,8,FALSE))))</f>
        <v/>
      </c>
      <c r="K172" s="520" t="str">
        <f>IF(E172="","",IF(ISNA(VLOOKUP($E172,'A-1 Site Habitat Baseline'!$D$1:$O$258,9,FALSE)),"",(VLOOKUP($E172,'A-1 Site Habitat Baseline'!$D$1:$O$258,9,FALSE))))</f>
        <v/>
      </c>
      <c r="L172" s="520" t="str">
        <f>IF(E172="","",IF(ISNA(VLOOKUP($E172,'A-1 Site Habitat Baseline'!$D$1:$O$258,11,FALSE)),"",(VLOOKUP($E172,'A-1 Site Habitat Baseline'!$D$1:$O$258,11,FALSE))))</f>
        <v/>
      </c>
      <c r="M172" s="520" t="str">
        <f>IF(E172="","",IF(ISNA(VLOOKUP($E172,'A-1 Site Habitat Baseline'!$D$1:$O$258,12,FALSE)),"",(VLOOKUP($E172,'A-1 Site Habitat Baseline'!$D$1:$O$258,12,FALSE))))</f>
        <v/>
      </c>
      <c r="N172" s="532" t="str">
        <f>IF(E172="","",IF(ISNA(VLOOKUP($E172,'A-1 Site Habitat Baseline'!$D$1:$X$258,14,FALSE)),"",(VLOOKUP($E172,'A-1 Site Habitat Baseline'!$D$1:$X$258,14,FALSE))))</f>
        <v/>
      </c>
      <c r="O172" s="524" t="str">
        <f>IF(E172="","",IF(ISNA(VLOOKUP($E172,'A-1 Site Habitat Baseline'!$D$1:$X$258,16,FALSE)),"",(VLOOKUP($E172,'A-1 Site Habitat Baseline'!$D$1:$X$258,13,FALSE))))</f>
        <v/>
      </c>
      <c r="P172" s="237" t="str">
        <f>IFERROR(INDEX('G-1 All Habitats'!$AG$3:$AG$15,MATCH(Q172,'G-1 All Habitats'!$AF$3:$AF$15,0)),"")</f>
        <v/>
      </c>
      <c r="Q172" s="238" t="str">
        <f t="shared" si="26"/>
        <v/>
      </c>
      <c r="R172" s="238" t="str">
        <f t="shared" si="27"/>
        <v/>
      </c>
      <c r="S172" s="392" t="str">
        <f>IFERROR(INDEX('G-1 All Habitats'!$B$3:$B$129,MATCH(R172,'G-1 All Habitats'!$A$3:$A$129,0)),"")</f>
        <v/>
      </c>
      <c r="T172" s="498" t="str">
        <f t="shared" si="28"/>
        <v/>
      </c>
      <c r="U172" s="499" t="str">
        <f t="shared" si="29"/>
        <v/>
      </c>
      <c r="V172" s="537" t="str">
        <f t="shared" si="23"/>
        <v/>
      </c>
      <c r="W172" s="520" t="str">
        <f>IF(S172="","",VLOOKUP(S172,'G-1 All Habitats'!$B$2:$M$129,10,FALSE))</f>
        <v/>
      </c>
      <c r="X172" s="520" t="str">
        <f>IFERROR(VLOOKUP(W172,'G-1 All Habitats'!$V$3:$W$7,2,FALSE),"")</f>
        <v/>
      </c>
      <c r="Y172" s="79"/>
      <c r="Z172" s="524" t="str">
        <f>IFERROR(INDEX('G-8 Condition Look up'!$A$3:$H$130,MATCH(S172,'G-8 Condition Look up'!$A$3:$A$130,0),MATCH(Y172,'G-8 Condition Look up'!$A$3:$H$3,0)),"")</f>
        <v/>
      </c>
      <c r="AA172" s="71"/>
      <c r="AB172" s="520" t="str">
        <f>IF(AA172="","",IF(VLOOKUP(AA172,'G-3 Multipliers'!$L$3:$N$6,2,FALSE)=0,"Spatial Data Missing ⚠",VLOOKUP(AA172,'G-3 Multipliers'!$L$3:$N$6,2,FALSE)))</f>
        <v/>
      </c>
      <c r="AC172" s="524" t="str">
        <f>IF(AA172="","",IF(VLOOKUP(AA172,'G-3 Multipliers'!$L$3:$N$6,3,FALSE)=0,"Spatial Data Missing ⚠",VLOOKUP(AA172,'G-3 Multipliers'!$L$3:$N$6,3,FALSE)))</f>
        <v/>
      </c>
      <c r="AD172" s="539" t="str">
        <f t="shared" si="24"/>
        <v/>
      </c>
      <c r="AE172" s="82"/>
      <c r="AF172" s="82"/>
      <c r="AG172" s="507" t="str">
        <f t="shared" si="30"/>
        <v/>
      </c>
      <c r="AH172" s="521" t="str">
        <f t="shared" si="31"/>
        <v/>
      </c>
      <c r="AI172" s="522" t="str">
        <f>IF(AH172="Check Data","Check Data",IFERROR(VLOOKUP(AH172,'G-4 Temporal multipliers'!$A$4:$C$36,3,FALSE),""))</f>
        <v/>
      </c>
      <c r="AJ172" s="498" t="str">
        <f>IF(S172="","",VLOOKUP(S172,'G-3 Multipliers'!$A$2:$E$129,4,FALSE))</f>
        <v/>
      </c>
      <c r="AK172" s="507" t="str">
        <f t="shared" si="32"/>
        <v/>
      </c>
      <c r="AL172" s="507" t="str">
        <f t="shared" si="33"/>
        <v/>
      </c>
      <c r="AM172" s="540" t="str">
        <f>IFERROR(IF(F172="","",IF(AH172="Check Data ⚠","Check Data ⚠",VLOOKUP(AL172, 'G-3 Multipliers'!$P$2:$Q$6,2,FALSE))),"")</f>
        <v/>
      </c>
      <c r="AN172" s="513" t="str">
        <f t="shared" si="25"/>
        <v/>
      </c>
      <c r="AO172" s="239"/>
      <c r="AP172" s="240"/>
    </row>
    <row r="173" spans="1:42" x14ac:dyDescent="0.25">
      <c r="A173" s="47" t="str">
        <f>IF(E173="","",IF(ISNA(VLOOKUP($E173,'A-1 Site Habitat Baseline'!$D$1:$O$258,2,FALSE)),"",(VLOOKUP($E173,'A-1 Site Habitat Baseline'!$D$1:$O$258,2,FALSE))))</f>
        <v/>
      </c>
      <c r="B173" s="47" t="str">
        <f>IF(E173="","",IF(ISNA(VLOOKUP($E173,'A-1 Site Habitat Baseline'!$D$1:$O$258,3,FALSE)),"",(VLOOKUP($E173,'A-1 Site Habitat Baseline'!$D$1:$O$258,3,FALSE))))</f>
        <v/>
      </c>
      <c r="C173" s="47" t="str">
        <f>IFERROR(INDEX('G-8 Condition Look up'!$I$4:$I$130,MATCH(S173,'G-8 Condition Look up'!$A$4:$A$130,0)),"")</f>
        <v/>
      </c>
      <c r="E173" s="531" t="str">
        <f>'A-1 Site Habitat Baseline'!AL172</f>
        <v/>
      </c>
      <c r="F173" s="520" t="str">
        <f>IF(E173="","",IF(ISNA(VLOOKUP($E173,'A-1 Site Habitat Baseline'!$D$1:$O$258,4,FALSE)),"",(VLOOKUP($E173,'A-1 Site Habitat Baseline'!$D$1:$O$258,4,FALSE))))</f>
        <v/>
      </c>
      <c r="G173" s="520" t="str">
        <f>IF(E173="","",IF(ISNA(VLOOKUP($E173,'A-1 Site Habitat Baseline'!$D$1:$O$258,5,FALSE)),"",(VLOOKUP($E173,'A-1 Site Habitat Baseline'!$D$1:$O$258,5,FALSE))))</f>
        <v/>
      </c>
      <c r="H173" s="520" t="str">
        <f>IF(E173="","",IF(ISNA(VLOOKUP($E173,'A-1 Site Habitat Baseline'!$D$1:$O$258,6,FALSE)),"",(VLOOKUP($E173,'A-1 Site Habitat Baseline'!$D$1:$O$258,6,FALSE))))</f>
        <v/>
      </c>
      <c r="I173" s="520" t="str">
        <f>IF(E173="","",IF(ISNA(VLOOKUP($E173,'A-1 Site Habitat Baseline'!$D$1:$O$258,7,FALSE)),"",(VLOOKUP($E173,'A-1 Site Habitat Baseline'!$D$1:$O$258,7,FALSE))))</f>
        <v/>
      </c>
      <c r="J173" s="520" t="str">
        <f>IF(E173="","",IF(ISNA(VLOOKUP($E173,'A-1 Site Habitat Baseline'!$D$1:$O$258,8,FALSE)),"",(VLOOKUP($E173,'A-1 Site Habitat Baseline'!$D$1:$O$258,8,FALSE))))</f>
        <v/>
      </c>
      <c r="K173" s="520" t="str">
        <f>IF(E173="","",IF(ISNA(VLOOKUP($E173,'A-1 Site Habitat Baseline'!$D$1:$O$258,9,FALSE)),"",(VLOOKUP($E173,'A-1 Site Habitat Baseline'!$D$1:$O$258,9,FALSE))))</f>
        <v/>
      </c>
      <c r="L173" s="520" t="str">
        <f>IF(E173="","",IF(ISNA(VLOOKUP($E173,'A-1 Site Habitat Baseline'!$D$1:$O$258,11,FALSE)),"",(VLOOKUP($E173,'A-1 Site Habitat Baseline'!$D$1:$O$258,11,FALSE))))</f>
        <v/>
      </c>
      <c r="M173" s="520" t="str">
        <f>IF(E173="","",IF(ISNA(VLOOKUP($E173,'A-1 Site Habitat Baseline'!$D$1:$O$258,12,FALSE)),"",(VLOOKUP($E173,'A-1 Site Habitat Baseline'!$D$1:$O$258,12,FALSE))))</f>
        <v/>
      </c>
      <c r="N173" s="532" t="str">
        <f>IF(E173="","",IF(ISNA(VLOOKUP($E173,'A-1 Site Habitat Baseline'!$D$1:$X$258,14,FALSE)),"",(VLOOKUP($E173,'A-1 Site Habitat Baseline'!$D$1:$X$258,14,FALSE))))</f>
        <v/>
      </c>
      <c r="O173" s="524" t="str">
        <f>IF(E173="","",IF(ISNA(VLOOKUP($E173,'A-1 Site Habitat Baseline'!$D$1:$X$258,16,FALSE)),"",(VLOOKUP($E173,'A-1 Site Habitat Baseline'!$D$1:$X$258,13,FALSE))))</f>
        <v/>
      </c>
      <c r="P173" s="237" t="str">
        <f>IFERROR(INDEX('G-1 All Habitats'!$AG$3:$AG$15,MATCH(Q173,'G-1 All Habitats'!$AF$3:$AF$15,0)),"")</f>
        <v/>
      </c>
      <c r="Q173" s="238" t="str">
        <f t="shared" si="26"/>
        <v/>
      </c>
      <c r="R173" s="238" t="str">
        <f t="shared" si="27"/>
        <v/>
      </c>
      <c r="S173" s="392" t="str">
        <f>IFERROR(INDEX('G-1 All Habitats'!$B$3:$B$129,MATCH(R173,'G-1 All Habitats'!$A$3:$A$129,0)),"")</f>
        <v/>
      </c>
      <c r="T173" s="498" t="str">
        <f t="shared" si="28"/>
        <v/>
      </c>
      <c r="U173" s="499" t="str">
        <f t="shared" si="29"/>
        <v/>
      </c>
      <c r="V173" s="537" t="str">
        <f t="shared" si="23"/>
        <v/>
      </c>
      <c r="W173" s="520" t="str">
        <f>IF(S173="","",VLOOKUP(S173,'G-1 All Habitats'!$B$2:$M$129,10,FALSE))</f>
        <v/>
      </c>
      <c r="X173" s="520" t="str">
        <f>IFERROR(VLOOKUP(W173,'G-1 All Habitats'!$V$3:$W$7,2,FALSE),"")</f>
        <v/>
      </c>
      <c r="Y173" s="79"/>
      <c r="Z173" s="524" t="str">
        <f>IFERROR(INDEX('G-8 Condition Look up'!$A$3:$H$130,MATCH(S173,'G-8 Condition Look up'!$A$3:$A$130,0),MATCH(Y173,'G-8 Condition Look up'!$A$3:$H$3,0)),"")</f>
        <v/>
      </c>
      <c r="AA173" s="71"/>
      <c r="AB173" s="520" t="str">
        <f>IF(AA173="","",IF(VLOOKUP(AA173,'G-3 Multipliers'!$L$3:$N$6,2,FALSE)=0,"Spatial Data Missing ⚠",VLOOKUP(AA173,'G-3 Multipliers'!$L$3:$N$6,2,FALSE)))</f>
        <v/>
      </c>
      <c r="AC173" s="524" t="str">
        <f>IF(AA173="","",IF(VLOOKUP(AA173,'G-3 Multipliers'!$L$3:$N$6,3,FALSE)=0,"Spatial Data Missing ⚠",VLOOKUP(AA173,'G-3 Multipliers'!$L$3:$N$6,3,FALSE)))</f>
        <v/>
      </c>
      <c r="AD173" s="539" t="str">
        <f t="shared" si="24"/>
        <v/>
      </c>
      <c r="AE173" s="82"/>
      <c r="AF173" s="82"/>
      <c r="AG173" s="507" t="str">
        <f t="shared" si="30"/>
        <v/>
      </c>
      <c r="AH173" s="521" t="str">
        <f t="shared" si="31"/>
        <v/>
      </c>
      <c r="AI173" s="522" t="str">
        <f>IF(AH173="Check Data","Check Data",IFERROR(VLOOKUP(AH173,'G-4 Temporal multipliers'!$A$4:$C$36,3,FALSE),""))</f>
        <v/>
      </c>
      <c r="AJ173" s="498" t="str">
        <f>IF(S173="","",VLOOKUP(S173,'G-3 Multipliers'!$A$2:$E$129,4,FALSE))</f>
        <v/>
      </c>
      <c r="AK173" s="507" t="str">
        <f t="shared" si="32"/>
        <v/>
      </c>
      <c r="AL173" s="507" t="str">
        <f t="shared" si="33"/>
        <v/>
      </c>
      <c r="AM173" s="540" t="str">
        <f>IFERROR(IF(F173="","",IF(AH173="Check Data ⚠","Check Data ⚠",VLOOKUP(AL173, 'G-3 Multipliers'!$P$2:$Q$6,2,FALSE))),"")</f>
        <v/>
      </c>
      <c r="AN173" s="513" t="str">
        <f t="shared" si="25"/>
        <v/>
      </c>
      <c r="AO173" s="239"/>
      <c r="AP173" s="240"/>
    </row>
    <row r="174" spans="1:42" x14ac:dyDescent="0.25">
      <c r="A174" s="47" t="str">
        <f>IF(E174="","",IF(ISNA(VLOOKUP($E174,'A-1 Site Habitat Baseline'!$D$1:$O$258,2,FALSE)),"",(VLOOKUP($E174,'A-1 Site Habitat Baseline'!$D$1:$O$258,2,FALSE))))</f>
        <v/>
      </c>
      <c r="B174" s="47" t="str">
        <f>IF(E174="","",IF(ISNA(VLOOKUP($E174,'A-1 Site Habitat Baseline'!$D$1:$O$258,3,FALSE)),"",(VLOOKUP($E174,'A-1 Site Habitat Baseline'!$D$1:$O$258,3,FALSE))))</f>
        <v/>
      </c>
      <c r="C174" s="47" t="str">
        <f>IFERROR(INDEX('G-8 Condition Look up'!$I$4:$I$130,MATCH(S174,'G-8 Condition Look up'!$A$4:$A$130,0)),"")</f>
        <v/>
      </c>
      <c r="E174" s="531" t="str">
        <f>'A-1 Site Habitat Baseline'!AL173</f>
        <v/>
      </c>
      <c r="F174" s="520" t="str">
        <f>IF(E174="","",IF(ISNA(VLOOKUP($E174,'A-1 Site Habitat Baseline'!$D$1:$O$258,4,FALSE)),"",(VLOOKUP($E174,'A-1 Site Habitat Baseline'!$D$1:$O$258,4,FALSE))))</f>
        <v/>
      </c>
      <c r="G174" s="520" t="str">
        <f>IF(E174="","",IF(ISNA(VLOOKUP($E174,'A-1 Site Habitat Baseline'!$D$1:$O$258,5,FALSE)),"",(VLOOKUP($E174,'A-1 Site Habitat Baseline'!$D$1:$O$258,5,FALSE))))</f>
        <v/>
      </c>
      <c r="H174" s="520" t="str">
        <f>IF(E174="","",IF(ISNA(VLOOKUP($E174,'A-1 Site Habitat Baseline'!$D$1:$O$258,6,FALSE)),"",(VLOOKUP($E174,'A-1 Site Habitat Baseline'!$D$1:$O$258,6,FALSE))))</f>
        <v/>
      </c>
      <c r="I174" s="520" t="str">
        <f>IF(E174="","",IF(ISNA(VLOOKUP($E174,'A-1 Site Habitat Baseline'!$D$1:$O$258,7,FALSE)),"",(VLOOKUP($E174,'A-1 Site Habitat Baseline'!$D$1:$O$258,7,FALSE))))</f>
        <v/>
      </c>
      <c r="J174" s="520" t="str">
        <f>IF(E174="","",IF(ISNA(VLOOKUP($E174,'A-1 Site Habitat Baseline'!$D$1:$O$258,8,FALSE)),"",(VLOOKUP($E174,'A-1 Site Habitat Baseline'!$D$1:$O$258,8,FALSE))))</f>
        <v/>
      </c>
      <c r="K174" s="520" t="str">
        <f>IF(E174="","",IF(ISNA(VLOOKUP($E174,'A-1 Site Habitat Baseline'!$D$1:$O$258,9,FALSE)),"",(VLOOKUP($E174,'A-1 Site Habitat Baseline'!$D$1:$O$258,9,FALSE))))</f>
        <v/>
      </c>
      <c r="L174" s="520" t="str">
        <f>IF(E174="","",IF(ISNA(VLOOKUP($E174,'A-1 Site Habitat Baseline'!$D$1:$O$258,11,FALSE)),"",(VLOOKUP($E174,'A-1 Site Habitat Baseline'!$D$1:$O$258,11,FALSE))))</f>
        <v/>
      </c>
      <c r="M174" s="520" t="str">
        <f>IF(E174="","",IF(ISNA(VLOOKUP($E174,'A-1 Site Habitat Baseline'!$D$1:$O$258,12,FALSE)),"",(VLOOKUP($E174,'A-1 Site Habitat Baseline'!$D$1:$O$258,12,FALSE))))</f>
        <v/>
      </c>
      <c r="N174" s="532" t="str">
        <f>IF(E174="","",IF(ISNA(VLOOKUP($E174,'A-1 Site Habitat Baseline'!$D$1:$X$258,14,FALSE)),"",(VLOOKUP($E174,'A-1 Site Habitat Baseline'!$D$1:$X$258,14,FALSE))))</f>
        <v/>
      </c>
      <c r="O174" s="524" t="str">
        <f>IF(E174="","",IF(ISNA(VLOOKUP($E174,'A-1 Site Habitat Baseline'!$D$1:$X$258,16,FALSE)),"",(VLOOKUP($E174,'A-1 Site Habitat Baseline'!$D$1:$X$258,13,FALSE))))</f>
        <v/>
      </c>
      <c r="P174" s="237" t="str">
        <f>IFERROR(INDEX('G-1 All Habitats'!$AG$3:$AG$15,MATCH(Q174,'G-1 All Habitats'!$AF$3:$AF$15,0)),"")</f>
        <v/>
      </c>
      <c r="Q174" s="238" t="str">
        <f t="shared" si="26"/>
        <v/>
      </c>
      <c r="R174" s="238" t="str">
        <f t="shared" si="27"/>
        <v/>
      </c>
      <c r="S174" s="392" t="str">
        <f>IFERROR(INDEX('G-1 All Habitats'!$B$3:$B$129,MATCH(R174,'G-1 All Habitats'!$A$3:$A$129,0)),"")</f>
        <v/>
      </c>
      <c r="T174" s="498" t="str">
        <f t="shared" si="28"/>
        <v/>
      </c>
      <c r="U174" s="499" t="str">
        <f t="shared" si="29"/>
        <v/>
      </c>
      <c r="V174" s="537" t="str">
        <f t="shared" si="23"/>
        <v/>
      </c>
      <c r="W174" s="520" t="str">
        <f>IF(S174="","",VLOOKUP(S174,'G-1 All Habitats'!$B$2:$M$129,10,FALSE))</f>
        <v/>
      </c>
      <c r="X174" s="520" t="str">
        <f>IFERROR(VLOOKUP(W174,'G-1 All Habitats'!$V$3:$W$7,2,FALSE),"")</f>
        <v/>
      </c>
      <c r="Y174" s="79"/>
      <c r="Z174" s="524" t="str">
        <f>IFERROR(INDEX('G-8 Condition Look up'!$A$3:$H$130,MATCH(S174,'G-8 Condition Look up'!$A$3:$A$130,0),MATCH(Y174,'G-8 Condition Look up'!$A$3:$H$3,0)),"")</f>
        <v/>
      </c>
      <c r="AA174" s="71"/>
      <c r="AB174" s="520" t="str">
        <f>IF(AA174="","",IF(VLOOKUP(AA174,'G-3 Multipliers'!$L$3:$N$6,2,FALSE)=0,"Spatial Data Missing ⚠",VLOOKUP(AA174,'G-3 Multipliers'!$L$3:$N$6,2,FALSE)))</f>
        <v/>
      </c>
      <c r="AC174" s="524" t="str">
        <f>IF(AA174="","",IF(VLOOKUP(AA174,'G-3 Multipliers'!$L$3:$N$6,3,FALSE)=0,"Spatial Data Missing ⚠",VLOOKUP(AA174,'G-3 Multipliers'!$L$3:$N$6,3,FALSE)))</f>
        <v/>
      </c>
      <c r="AD174" s="539" t="str">
        <f t="shared" si="24"/>
        <v/>
      </c>
      <c r="AE174" s="82"/>
      <c r="AF174" s="82"/>
      <c r="AG174" s="507" t="str">
        <f t="shared" si="30"/>
        <v/>
      </c>
      <c r="AH174" s="521" t="str">
        <f t="shared" si="31"/>
        <v/>
      </c>
      <c r="AI174" s="522" t="str">
        <f>IF(AH174="Check Data","Check Data",IFERROR(VLOOKUP(AH174,'G-4 Temporal multipliers'!$A$4:$C$36,3,FALSE),""))</f>
        <v/>
      </c>
      <c r="AJ174" s="498" t="str">
        <f>IF(S174="","",VLOOKUP(S174,'G-3 Multipliers'!$A$2:$E$129,4,FALSE))</f>
        <v/>
      </c>
      <c r="AK174" s="507" t="str">
        <f t="shared" si="32"/>
        <v/>
      </c>
      <c r="AL174" s="507" t="str">
        <f t="shared" si="33"/>
        <v/>
      </c>
      <c r="AM174" s="540" t="str">
        <f>IFERROR(IF(F174="","",IF(AH174="Check Data ⚠","Check Data ⚠",VLOOKUP(AL174, 'G-3 Multipliers'!$P$2:$Q$6,2,FALSE))),"")</f>
        <v/>
      </c>
      <c r="AN174" s="513" t="str">
        <f t="shared" si="25"/>
        <v/>
      </c>
      <c r="AO174" s="239"/>
      <c r="AP174" s="240"/>
    </row>
    <row r="175" spans="1:42" x14ac:dyDescent="0.25">
      <c r="A175" s="47" t="str">
        <f>IF(E175="","",IF(ISNA(VLOOKUP($E175,'A-1 Site Habitat Baseline'!$D$1:$O$258,2,FALSE)),"",(VLOOKUP($E175,'A-1 Site Habitat Baseline'!$D$1:$O$258,2,FALSE))))</f>
        <v/>
      </c>
      <c r="B175" s="47" t="str">
        <f>IF(E175="","",IF(ISNA(VLOOKUP($E175,'A-1 Site Habitat Baseline'!$D$1:$O$258,3,FALSE)),"",(VLOOKUP($E175,'A-1 Site Habitat Baseline'!$D$1:$O$258,3,FALSE))))</f>
        <v/>
      </c>
      <c r="C175" s="47" t="str">
        <f>IFERROR(INDEX('G-8 Condition Look up'!$I$4:$I$130,MATCH(S175,'G-8 Condition Look up'!$A$4:$A$130,0)),"")</f>
        <v/>
      </c>
      <c r="E175" s="531" t="str">
        <f>'A-1 Site Habitat Baseline'!AL174</f>
        <v/>
      </c>
      <c r="F175" s="520" t="str">
        <f>IF(E175="","",IF(ISNA(VLOOKUP($E175,'A-1 Site Habitat Baseline'!$D$1:$O$258,4,FALSE)),"",(VLOOKUP($E175,'A-1 Site Habitat Baseline'!$D$1:$O$258,4,FALSE))))</f>
        <v/>
      </c>
      <c r="G175" s="520" t="str">
        <f>IF(E175="","",IF(ISNA(VLOOKUP($E175,'A-1 Site Habitat Baseline'!$D$1:$O$258,5,FALSE)),"",(VLOOKUP($E175,'A-1 Site Habitat Baseline'!$D$1:$O$258,5,FALSE))))</f>
        <v/>
      </c>
      <c r="H175" s="520" t="str">
        <f>IF(E175="","",IF(ISNA(VLOOKUP($E175,'A-1 Site Habitat Baseline'!$D$1:$O$258,6,FALSE)),"",(VLOOKUP($E175,'A-1 Site Habitat Baseline'!$D$1:$O$258,6,FALSE))))</f>
        <v/>
      </c>
      <c r="I175" s="520" t="str">
        <f>IF(E175="","",IF(ISNA(VLOOKUP($E175,'A-1 Site Habitat Baseline'!$D$1:$O$258,7,FALSE)),"",(VLOOKUP($E175,'A-1 Site Habitat Baseline'!$D$1:$O$258,7,FALSE))))</f>
        <v/>
      </c>
      <c r="J175" s="520" t="str">
        <f>IF(E175="","",IF(ISNA(VLOOKUP($E175,'A-1 Site Habitat Baseline'!$D$1:$O$258,8,FALSE)),"",(VLOOKUP($E175,'A-1 Site Habitat Baseline'!$D$1:$O$258,8,FALSE))))</f>
        <v/>
      </c>
      <c r="K175" s="520" t="str">
        <f>IF(E175="","",IF(ISNA(VLOOKUP($E175,'A-1 Site Habitat Baseline'!$D$1:$O$258,9,FALSE)),"",(VLOOKUP($E175,'A-1 Site Habitat Baseline'!$D$1:$O$258,9,FALSE))))</f>
        <v/>
      </c>
      <c r="L175" s="520" t="str">
        <f>IF(E175="","",IF(ISNA(VLOOKUP($E175,'A-1 Site Habitat Baseline'!$D$1:$O$258,11,FALSE)),"",(VLOOKUP($E175,'A-1 Site Habitat Baseline'!$D$1:$O$258,11,FALSE))))</f>
        <v/>
      </c>
      <c r="M175" s="520" t="str">
        <f>IF(E175="","",IF(ISNA(VLOOKUP($E175,'A-1 Site Habitat Baseline'!$D$1:$O$258,12,FALSE)),"",(VLOOKUP($E175,'A-1 Site Habitat Baseline'!$D$1:$O$258,12,FALSE))))</f>
        <v/>
      </c>
      <c r="N175" s="532" t="str">
        <f>IF(E175="","",IF(ISNA(VLOOKUP($E175,'A-1 Site Habitat Baseline'!$D$1:$X$258,14,FALSE)),"",(VLOOKUP($E175,'A-1 Site Habitat Baseline'!$D$1:$X$258,14,FALSE))))</f>
        <v/>
      </c>
      <c r="O175" s="524" t="str">
        <f>IF(E175="","",IF(ISNA(VLOOKUP($E175,'A-1 Site Habitat Baseline'!$D$1:$X$258,16,FALSE)),"",(VLOOKUP($E175,'A-1 Site Habitat Baseline'!$D$1:$X$258,13,FALSE))))</f>
        <v/>
      </c>
      <c r="P175" s="237" t="str">
        <f>IFERROR(INDEX('G-1 All Habitats'!$AG$3:$AG$15,MATCH(Q175,'G-1 All Habitats'!$AF$3:$AF$15,0)),"")</f>
        <v/>
      </c>
      <c r="Q175" s="238" t="str">
        <f t="shared" si="26"/>
        <v/>
      </c>
      <c r="R175" s="238" t="str">
        <f t="shared" si="27"/>
        <v/>
      </c>
      <c r="S175" s="392" t="str">
        <f>IFERROR(INDEX('G-1 All Habitats'!$B$3:$B$129,MATCH(R175,'G-1 All Habitats'!$A$3:$A$129,0)),"")</f>
        <v/>
      </c>
      <c r="T175" s="498" t="str">
        <f t="shared" si="28"/>
        <v/>
      </c>
      <c r="U175" s="499" t="str">
        <f t="shared" si="29"/>
        <v/>
      </c>
      <c r="V175" s="537" t="str">
        <f t="shared" si="23"/>
        <v/>
      </c>
      <c r="W175" s="520" t="str">
        <f>IF(S175="","",VLOOKUP(S175,'G-1 All Habitats'!$B$2:$M$129,10,FALSE))</f>
        <v/>
      </c>
      <c r="X175" s="520" t="str">
        <f>IFERROR(VLOOKUP(W175,'G-1 All Habitats'!$V$3:$W$7,2,FALSE),"")</f>
        <v/>
      </c>
      <c r="Y175" s="79"/>
      <c r="Z175" s="524" t="str">
        <f>IFERROR(INDEX('G-8 Condition Look up'!$A$3:$H$130,MATCH(S175,'G-8 Condition Look up'!$A$3:$A$130,0),MATCH(Y175,'G-8 Condition Look up'!$A$3:$H$3,0)),"")</f>
        <v/>
      </c>
      <c r="AA175" s="71"/>
      <c r="AB175" s="520" t="str">
        <f>IF(AA175="","",IF(VLOOKUP(AA175,'G-3 Multipliers'!$L$3:$N$6,2,FALSE)=0,"Spatial Data Missing ⚠",VLOOKUP(AA175,'G-3 Multipliers'!$L$3:$N$6,2,FALSE)))</f>
        <v/>
      </c>
      <c r="AC175" s="524" t="str">
        <f>IF(AA175="","",IF(VLOOKUP(AA175,'G-3 Multipliers'!$L$3:$N$6,3,FALSE)=0,"Spatial Data Missing ⚠",VLOOKUP(AA175,'G-3 Multipliers'!$L$3:$N$6,3,FALSE)))</f>
        <v/>
      </c>
      <c r="AD175" s="539" t="str">
        <f t="shared" si="24"/>
        <v/>
      </c>
      <c r="AE175" s="82"/>
      <c r="AF175" s="82"/>
      <c r="AG175" s="507" t="str">
        <f t="shared" si="30"/>
        <v/>
      </c>
      <c r="AH175" s="521" t="str">
        <f t="shared" si="31"/>
        <v/>
      </c>
      <c r="AI175" s="522" t="str">
        <f>IF(AH175="Check Data","Check Data",IFERROR(VLOOKUP(AH175,'G-4 Temporal multipliers'!$A$4:$C$36,3,FALSE),""))</f>
        <v/>
      </c>
      <c r="AJ175" s="498" t="str">
        <f>IF(S175="","",VLOOKUP(S175,'G-3 Multipliers'!$A$2:$E$129,4,FALSE))</f>
        <v/>
      </c>
      <c r="AK175" s="507" t="str">
        <f t="shared" si="32"/>
        <v/>
      </c>
      <c r="AL175" s="507" t="str">
        <f t="shared" si="33"/>
        <v/>
      </c>
      <c r="AM175" s="540" t="str">
        <f>IFERROR(IF(F175="","",IF(AH175="Check Data ⚠","Check Data ⚠",VLOOKUP(AL175, 'G-3 Multipliers'!$P$2:$Q$6,2,FALSE))),"")</f>
        <v/>
      </c>
      <c r="AN175" s="513" t="str">
        <f t="shared" si="25"/>
        <v/>
      </c>
      <c r="AO175" s="239"/>
      <c r="AP175" s="240"/>
    </row>
    <row r="176" spans="1:42" x14ac:dyDescent="0.25">
      <c r="A176" s="47" t="str">
        <f>IF(E176="","",IF(ISNA(VLOOKUP($E176,'A-1 Site Habitat Baseline'!$D$1:$O$258,2,FALSE)),"",(VLOOKUP($E176,'A-1 Site Habitat Baseline'!$D$1:$O$258,2,FALSE))))</f>
        <v/>
      </c>
      <c r="B176" s="47" t="str">
        <f>IF(E176="","",IF(ISNA(VLOOKUP($E176,'A-1 Site Habitat Baseline'!$D$1:$O$258,3,FALSE)),"",(VLOOKUP($E176,'A-1 Site Habitat Baseline'!$D$1:$O$258,3,FALSE))))</f>
        <v/>
      </c>
      <c r="C176" s="47" t="str">
        <f>IFERROR(INDEX('G-8 Condition Look up'!$I$4:$I$130,MATCH(S176,'G-8 Condition Look up'!$A$4:$A$130,0)),"")</f>
        <v/>
      </c>
      <c r="E176" s="531" t="str">
        <f>'A-1 Site Habitat Baseline'!AL175</f>
        <v/>
      </c>
      <c r="F176" s="520" t="str">
        <f>IF(E176="","",IF(ISNA(VLOOKUP($E176,'A-1 Site Habitat Baseline'!$D$1:$O$258,4,FALSE)),"",(VLOOKUP($E176,'A-1 Site Habitat Baseline'!$D$1:$O$258,4,FALSE))))</f>
        <v/>
      </c>
      <c r="G176" s="520" t="str">
        <f>IF(E176="","",IF(ISNA(VLOOKUP($E176,'A-1 Site Habitat Baseline'!$D$1:$O$258,5,FALSE)),"",(VLOOKUP($E176,'A-1 Site Habitat Baseline'!$D$1:$O$258,5,FALSE))))</f>
        <v/>
      </c>
      <c r="H176" s="520" t="str">
        <f>IF(E176="","",IF(ISNA(VLOOKUP($E176,'A-1 Site Habitat Baseline'!$D$1:$O$258,6,FALSE)),"",(VLOOKUP($E176,'A-1 Site Habitat Baseline'!$D$1:$O$258,6,FALSE))))</f>
        <v/>
      </c>
      <c r="I176" s="520" t="str">
        <f>IF(E176="","",IF(ISNA(VLOOKUP($E176,'A-1 Site Habitat Baseline'!$D$1:$O$258,7,FALSE)),"",(VLOOKUP($E176,'A-1 Site Habitat Baseline'!$D$1:$O$258,7,FALSE))))</f>
        <v/>
      </c>
      <c r="J176" s="520" t="str">
        <f>IF(E176="","",IF(ISNA(VLOOKUP($E176,'A-1 Site Habitat Baseline'!$D$1:$O$258,8,FALSE)),"",(VLOOKUP($E176,'A-1 Site Habitat Baseline'!$D$1:$O$258,8,FALSE))))</f>
        <v/>
      </c>
      <c r="K176" s="520" t="str">
        <f>IF(E176="","",IF(ISNA(VLOOKUP($E176,'A-1 Site Habitat Baseline'!$D$1:$O$258,9,FALSE)),"",(VLOOKUP($E176,'A-1 Site Habitat Baseline'!$D$1:$O$258,9,FALSE))))</f>
        <v/>
      </c>
      <c r="L176" s="520" t="str">
        <f>IF(E176="","",IF(ISNA(VLOOKUP($E176,'A-1 Site Habitat Baseline'!$D$1:$O$258,11,FALSE)),"",(VLOOKUP($E176,'A-1 Site Habitat Baseline'!$D$1:$O$258,11,FALSE))))</f>
        <v/>
      </c>
      <c r="M176" s="520" t="str">
        <f>IF(E176="","",IF(ISNA(VLOOKUP($E176,'A-1 Site Habitat Baseline'!$D$1:$O$258,12,FALSE)),"",(VLOOKUP($E176,'A-1 Site Habitat Baseline'!$D$1:$O$258,12,FALSE))))</f>
        <v/>
      </c>
      <c r="N176" s="532" t="str">
        <f>IF(E176="","",IF(ISNA(VLOOKUP($E176,'A-1 Site Habitat Baseline'!$D$1:$X$258,14,FALSE)),"",(VLOOKUP($E176,'A-1 Site Habitat Baseline'!$D$1:$X$258,14,FALSE))))</f>
        <v/>
      </c>
      <c r="O176" s="524" t="str">
        <f>IF(E176="","",IF(ISNA(VLOOKUP($E176,'A-1 Site Habitat Baseline'!$D$1:$X$258,16,FALSE)),"",(VLOOKUP($E176,'A-1 Site Habitat Baseline'!$D$1:$X$258,13,FALSE))))</f>
        <v/>
      </c>
      <c r="P176" s="237" t="str">
        <f>IFERROR(INDEX('G-1 All Habitats'!$AG$3:$AG$15,MATCH(Q176,'G-1 All Habitats'!$AF$3:$AF$15,0)),"")</f>
        <v/>
      </c>
      <c r="Q176" s="238" t="str">
        <f t="shared" si="26"/>
        <v/>
      </c>
      <c r="R176" s="238" t="str">
        <f t="shared" si="27"/>
        <v/>
      </c>
      <c r="S176" s="392" t="str">
        <f>IFERROR(INDEX('G-1 All Habitats'!$B$3:$B$129,MATCH(R176,'G-1 All Habitats'!$A$3:$A$129,0)),"")</f>
        <v/>
      </c>
      <c r="T176" s="498" t="str">
        <f t="shared" si="28"/>
        <v/>
      </c>
      <c r="U176" s="499" t="str">
        <f t="shared" si="29"/>
        <v/>
      </c>
      <c r="V176" s="537" t="str">
        <f t="shared" si="23"/>
        <v/>
      </c>
      <c r="W176" s="520" t="str">
        <f>IF(S176="","",VLOOKUP(S176,'G-1 All Habitats'!$B$2:$M$129,10,FALSE))</f>
        <v/>
      </c>
      <c r="X176" s="520" t="str">
        <f>IFERROR(VLOOKUP(W176,'G-1 All Habitats'!$V$3:$W$7,2,FALSE),"")</f>
        <v/>
      </c>
      <c r="Y176" s="79"/>
      <c r="Z176" s="524" t="str">
        <f>IFERROR(INDEX('G-8 Condition Look up'!$A$3:$H$130,MATCH(S176,'G-8 Condition Look up'!$A$3:$A$130,0),MATCH(Y176,'G-8 Condition Look up'!$A$3:$H$3,0)),"")</f>
        <v/>
      </c>
      <c r="AA176" s="71"/>
      <c r="AB176" s="520" t="str">
        <f>IF(AA176="","",IF(VLOOKUP(AA176,'G-3 Multipliers'!$L$3:$N$6,2,FALSE)=0,"Spatial Data Missing ⚠",VLOOKUP(AA176,'G-3 Multipliers'!$L$3:$N$6,2,FALSE)))</f>
        <v/>
      </c>
      <c r="AC176" s="524" t="str">
        <f>IF(AA176="","",IF(VLOOKUP(AA176,'G-3 Multipliers'!$L$3:$N$6,3,FALSE)=0,"Spatial Data Missing ⚠",VLOOKUP(AA176,'G-3 Multipliers'!$L$3:$N$6,3,FALSE)))</f>
        <v/>
      </c>
      <c r="AD176" s="539" t="str">
        <f t="shared" si="24"/>
        <v/>
      </c>
      <c r="AE176" s="82"/>
      <c r="AF176" s="82"/>
      <c r="AG176" s="507" t="str">
        <f t="shared" si="30"/>
        <v/>
      </c>
      <c r="AH176" s="521" t="str">
        <f t="shared" si="31"/>
        <v/>
      </c>
      <c r="AI176" s="522" t="str">
        <f>IF(AH176="Check Data","Check Data",IFERROR(VLOOKUP(AH176,'G-4 Temporal multipliers'!$A$4:$C$36,3,FALSE),""))</f>
        <v/>
      </c>
      <c r="AJ176" s="498" t="str">
        <f>IF(S176="","",VLOOKUP(S176,'G-3 Multipliers'!$A$2:$E$129,4,FALSE))</f>
        <v/>
      </c>
      <c r="AK176" s="507" t="str">
        <f t="shared" si="32"/>
        <v/>
      </c>
      <c r="AL176" s="507" t="str">
        <f t="shared" si="33"/>
        <v/>
      </c>
      <c r="AM176" s="540" t="str">
        <f>IFERROR(IF(F176="","",IF(AH176="Check Data ⚠","Check Data ⚠",VLOOKUP(AL176, 'G-3 Multipliers'!$P$2:$Q$6,2,FALSE))),"")</f>
        <v/>
      </c>
      <c r="AN176" s="513" t="str">
        <f t="shared" si="25"/>
        <v/>
      </c>
      <c r="AO176" s="239"/>
      <c r="AP176" s="240"/>
    </row>
    <row r="177" spans="1:42" x14ac:dyDescent="0.25">
      <c r="A177" s="47" t="str">
        <f>IF(E177="","",IF(ISNA(VLOOKUP($E177,'A-1 Site Habitat Baseline'!$D$1:$O$258,2,FALSE)),"",(VLOOKUP($E177,'A-1 Site Habitat Baseline'!$D$1:$O$258,2,FALSE))))</f>
        <v/>
      </c>
      <c r="B177" s="47" t="str">
        <f>IF(E177="","",IF(ISNA(VLOOKUP($E177,'A-1 Site Habitat Baseline'!$D$1:$O$258,3,FALSE)),"",(VLOOKUP($E177,'A-1 Site Habitat Baseline'!$D$1:$O$258,3,FALSE))))</f>
        <v/>
      </c>
      <c r="C177" s="47" t="str">
        <f>IFERROR(INDEX('G-8 Condition Look up'!$I$4:$I$130,MATCH(S177,'G-8 Condition Look up'!$A$4:$A$130,0)),"")</f>
        <v/>
      </c>
      <c r="E177" s="531" t="str">
        <f>'A-1 Site Habitat Baseline'!AL176</f>
        <v/>
      </c>
      <c r="F177" s="520" t="str">
        <f>IF(E177="","",IF(ISNA(VLOOKUP($E177,'A-1 Site Habitat Baseline'!$D$1:$O$258,4,FALSE)),"",(VLOOKUP($E177,'A-1 Site Habitat Baseline'!$D$1:$O$258,4,FALSE))))</f>
        <v/>
      </c>
      <c r="G177" s="520" t="str">
        <f>IF(E177="","",IF(ISNA(VLOOKUP($E177,'A-1 Site Habitat Baseline'!$D$1:$O$258,5,FALSE)),"",(VLOOKUP($E177,'A-1 Site Habitat Baseline'!$D$1:$O$258,5,FALSE))))</f>
        <v/>
      </c>
      <c r="H177" s="520" t="str">
        <f>IF(E177="","",IF(ISNA(VLOOKUP($E177,'A-1 Site Habitat Baseline'!$D$1:$O$258,6,FALSE)),"",(VLOOKUP($E177,'A-1 Site Habitat Baseline'!$D$1:$O$258,6,FALSE))))</f>
        <v/>
      </c>
      <c r="I177" s="520" t="str">
        <f>IF(E177="","",IF(ISNA(VLOOKUP($E177,'A-1 Site Habitat Baseline'!$D$1:$O$258,7,FALSE)),"",(VLOOKUP($E177,'A-1 Site Habitat Baseline'!$D$1:$O$258,7,FALSE))))</f>
        <v/>
      </c>
      <c r="J177" s="520" t="str">
        <f>IF(E177="","",IF(ISNA(VLOOKUP($E177,'A-1 Site Habitat Baseline'!$D$1:$O$258,8,FALSE)),"",(VLOOKUP($E177,'A-1 Site Habitat Baseline'!$D$1:$O$258,8,FALSE))))</f>
        <v/>
      </c>
      <c r="K177" s="520" t="str">
        <f>IF(E177="","",IF(ISNA(VLOOKUP($E177,'A-1 Site Habitat Baseline'!$D$1:$O$258,9,FALSE)),"",(VLOOKUP($E177,'A-1 Site Habitat Baseline'!$D$1:$O$258,9,FALSE))))</f>
        <v/>
      </c>
      <c r="L177" s="520" t="str">
        <f>IF(E177="","",IF(ISNA(VLOOKUP($E177,'A-1 Site Habitat Baseline'!$D$1:$O$258,11,FALSE)),"",(VLOOKUP($E177,'A-1 Site Habitat Baseline'!$D$1:$O$258,11,FALSE))))</f>
        <v/>
      </c>
      <c r="M177" s="520" t="str">
        <f>IF(E177="","",IF(ISNA(VLOOKUP($E177,'A-1 Site Habitat Baseline'!$D$1:$O$258,12,FALSE)),"",(VLOOKUP($E177,'A-1 Site Habitat Baseline'!$D$1:$O$258,12,FALSE))))</f>
        <v/>
      </c>
      <c r="N177" s="532" t="str">
        <f>IF(E177="","",IF(ISNA(VLOOKUP($E177,'A-1 Site Habitat Baseline'!$D$1:$X$258,14,FALSE)),"",(VLOOKUP($E177,'A-1 Site Habitat Baseline'!$D$1:$X$258,14,FALSE))))</f>
        <v/>
      </c>
      <c r="O177" s="524" t="str">
        <f>IF(E177="","",IF(ISNA(VLOOKUP($E177,'A-1 Site Habitat Baseline'!$D$1:$X$258,16,FALSE)),"",(VLOOKUP($E177,'A-1 Site Habitat Baseline'!$D$1:$X$258,13,FALSE))))</f>
        <v/>
      </c>
      <c r="P177" s="237" t="str">
        <f>IFERROR(INDEX('G-1 All Habitats'!$AG$3:$AG$15,MATCH(Q177,'G-1 All Habitats'!$AF$3:$AF$15,0)),"")</f>
        <v/>
      </c>
      <c r="Q177" s="238" t="str">
        <f t="shared" si="26"/>
        <v/>
      </c>
      <c r="R177" s="238" t="str">
        <f t="shared" si="27"/>
        <v/>
      </c>
      <c r="S177" s="392" t="str">
        <f>IFERROR(INDEX('G-1 All Habitats'!$B$3:$B$129,MATCH(R177,'G-1 All Habitats'!$A$3:$A$129,0)),"")</f>
        <v/>
      </c>
      <c r="T177" s="498" t="str">
        <f t="shared" si="28"/>
        <v/>
      </c>
      <c r="U177" s="499" t="str">
        <f t="shared" si="29"/>
        <v/>
      </c>
      <c r="V177" s="537" t="str">
        <f t="shared" si="23"/>
        <v/>
      </c>
      <c r="W177" s="520" t="str">
        <f>IF(S177="","",VLOOKUP(S177,'G-1 All Habitats'!$B$2:$M$129,10,FALSE))</f>
        <v/>
      </c>
      <c r="X177" s="520" t="str">
        <f>IFERROR(VLOOKUP(W177,'G-1 All Habitats'!$V$3:$W$7,2,FALSE),"")</f>
        <v/>
      </c>
      <c r="Y177" s="79"/>
      <c r="Z177" s="524" t="str">
        <f>IFERROR(INDEX('G-8 Condition Look up'!$A$3:$H$130,MATCH(S177,'G-8 Condition Look up'!$A$3:$A$130,0),MATCH(Y177,'G-8 Condition Look up'!$A$3:$H$3,0)),"")</f>
        <v/>
      </c>
      <c r="AA177" s="71"/>
      <c r="AB177" s="520" t="str">
        <f>IF(AA177="","",IF(VLOOKUP(AA177,'G-3 Multipliers'!$L$3:$N$6,2,FALSE)=0,"Spatial Data Missing ⚠",VLOOKUP(AA177,'G-3 Multipliers'!$L$3:$N$6,2,FALSE)))</f>
        <v/>
      </c>
      <c r="AC177" s="524" t="str">
        <f>IF(AA177="","",IF(VLOOKUP(AA177,'G-3 Multipliers'!$L$3:$N$6,3,FALSE)=0,"Spatial Data Missing ⚠",VLOOKUP(AA177,'G-3 Multipliers'!$L$3:$N$6,3,FALSE)))</f>
        <v/>
      </c>
      <c r="AD177" s="539" t="str">
        <f t="shared" si="24"/>
        <v/>
      </c>
      <c r="AE177" s="82"/>
      <c r="AF177" s="82"/>
      <c r="AG177" s="507" t="str">
        <f t="shared" si="30"/>
        <v/>
      </c>
      <c r="AH177" s="521" t="str">
        <f t="shared" si="31"/>
        <v/>
      </c>
      <c r="AI177" s="522" t="str">
        <f>IF(AH177="Check Data","Check Data",IFERROR(VLOOKUP(AH177,'G-4 Temporal multipliers'!$A$4:$C$36,3,FALSE),""))</f>
        <v/>
      </c>
      <c r="AJ177" s="498" t="str">
        <f>IF(S177="","",VLOOKUP(S177,'G-3 Multipliers'!$A$2:$E$129,4,FALSE))</f>
        <v/>
      </c>
      <c r="AK177" s="507" t="str">
        <f t="shared" si="32"/>
        <v/>
      </c>
      <c r="AL177" s="507" t="str">
        <f t="shared" si="33"/>
        <v/>
      </c>
      <c r="AM177" s="540" t="str">
        <f>IFERROR(IF(F177="","",IF(AH177="Check Data ⚠","Check Data ⚠",VLOOKUP(AL177, 'G-3 Multipliers'!$P$2:$Q$6,2,FALSE))),"")</f>
        <v/>
      </c>
      <c r="AN177" s="513" t="str">
        <f t="shared" si="25"/>
        <v/>
      </c>
      <c r="AO177" s="239"/>
      <c r="AP177" s="240"/>
    </row>
    <row r="178" spans="1:42" x14ac:dyDescent="0.25">
      <c r="A178" s="47" t="str">
        <f>IF(E178="","",IF(ISNA(VLOOKUP($E178,'A-1 Site Habitat Baseline'!$D$1:$O$258,2,FALSE)),"",(VLOOKUP($E178,'A-1 Site Habitat Baseline'!$D$1:$O$258,2,FALSE))))</f>
        <v/>
      </c>
      <c r="B178" s="47" t="str">
        <f>IF(E178="","",IF(ISNA(VLOOKUP($E178,'A-1 Site Habitat Baseline'!$D$1:$O$258,3,FALSE)),"",(VLOOKUP($E178,'A-1 Site Habitat Baseline'!$D$1:$O$258,3,FALSE))))</f>
        <v/>
      </c>
      <c r="C178" s="47" t="str">
        <f>IFERROR(INDEX('G-8 Condition Look up'!$I$4:$I$130,MATCH(S178,'G-8 Condition Look up'!$A$4:$A$130,0)),"")</f>
        <v/>
      </c>
      <c r="E178" s="531" t="str">
        <f>'A-1 Site Habitat Baseline'!AL177</f>
        <v/>
      </c>
      <c r="F178" s="520" t="str">
        <f>IF(E178="","",IF(ISNA(VLOOKUP($E178,'A-1 Site Habitat Baseline'!$D$1:$O$258,4,FALSE)),"",(VLOOKUP($E178,'A-1 Site Habitat Baseline'!$D$1:$O$258,4,FALSE))))</f>
        <v/>
      </c>
      <c r="G178" s="520" t="str">
        <f>IF(E178="","",IF(ISNA(VLOOKUP($E178,'A-1 Site Habitat Baseline'!$D$1:$O$258,5,FALSE)),"",(VLOOKUP($E178,'A-1 Site Habitat Baseline'!$D$1:$O$258,5,FALSE))))</f>
        <v/>
      </c>
      <c r="H178" s="520" t="str">
        <f>IF(E178="","",IF(ISNA(VLOOKUP($E178,'A-1 Site Habitat Baseline'!$D$1:$O$258,6,FALSE)),"",(VLOOKUP($E178,'A-1 Site Habitat Baseline'!$D$1:$O$258,6,FALSE))))</f>
        <v/>
      </c>
      <c r="I178" s="520" t="str">
        <f>IF(E178="","",IF(ISNA(VLOOKUP($E178,'A-1 Site Habitat Baseline'!$D$1:$O$258,7,FALSE)),"",(VLOOKUP($E178,'A-1 Site Habitat Baseline'!$D$1:$O$258,7,FALSE))))</f>
        <v/>
      </c>
      <c r="J178" s="520" t="str">
        <f>IF(E178="","",IF(ISNA(VLOOKUP($E178,'A-1 Site Habitat Baseline'!$D$1:$O$258,8,FALSE)),"",(VLOOKUP($E178,'A-1 Site Habitat Baseline'!$D$1:$O$258,8,FALSE))))</f>
        <v/>
      </c>
      <c r="K178" s="520" t="str">
        <f>IF(E178="","",IF(ISNA(VLOOKUP($E178,'A-1 Site Habitat Baseline'!$D$1:$O$258,9,FALSE)),"",(VLOOKUP($E178,'A-1 Site Habitat Baseline'!$D$1:$O$258,9,FALSE))))</f>
        <v/>
      </c>
      <c r="L178" s="520" t="str">
        <f>IF(E178="","",IF(ISNA(VLOOKUP($E178,'A-1 Site Habitat Baseline'!$D$1:$O$258,11,FALSE)),"",(VLOOKUP($E178,'A-1 Site Habitat Baseline'!$D$1:$O$258,11,FALSE))))</f>
        <v/>
      </c>
      <c r="M178" s="520" t="str">
        <f>IF(E178="","",IF(ISNA(VLOOKUP($E178,'A-1 Site Habitat Baseline'!$D$1:$O$258,12,FALSE)),"",(VLOOKUP($E178,'A-1 Site Habitat Baseline'!$D$1:$O$258,12,FALSE))))</f>
        <v/>
      </c>
      <c r="N178" s="532" t="str">
        <f>IF(E178="","",IF(ISNA(VLOOKUP($E178,'A-1 Site Habitat Baseline'!$D$1:$X$258,14,FALSE)),"",(VLOOKUP($E178,'A-1 Site Habitat Baseline'!$D$1:$X$258,14,FALSE))))</f>
        <v/>
      </c>
      <c r="O178" s="524" t="str">
        <f>IF(E178="","",IF(ISNA(VLOOKUP($E178,'A-1 Site Habitat Baseline'!$D$1:$X$258,16,FALSE)),"",(VLOOKUP($E178,'A-1 Site Habitat Baseline'!$D$1:$X$258,13,FALSE))))</f>
        <v/>
      </c>
      <c r="P178" s="237" t="str">
        <f>IFERROR(INDEX('G-1 All Habitats'!$AG$3:$AG$15,MATCH(Q178,'G-1 All Habitats'!$AF$3:$AF$15,0)),"")</f>
        <v/>
      </c>
      <c r="Q178" s="238" t="str">
        <f t="shared" si="26"/>
        <v/>
      </c>
      <c r="R178" s="238" t="str">
        <f t="shared" si="27"/>
        <v/>
      </c>
      <c r="S178" s="392" t="str">
        <f>IFERROR(INDEX('G-1 All Habitats'!$B$3:$B$129,MATCH(R178,'G-1 All Habitats'!$A$3:$A$129,0)),"")</f>
        <v/>
      </c>
      <c r="T178" s="498" t="str">
        <f t="shared" si="28"/>
        <v/>
      </c>
      <c r="U178" s="499" t="str">
        <f t="shared" si="29"/>
        <v/>
      </c>
      <c r="V178" s="537" t="str">
        <f t="shared" si="23"/>
        <v/>
      </c>
      <c r="W178" s="520" t="str">
        <f>IF(S178="","",VLOOKUP(S178,'G-1 All Habitats'!$B$2:$M$129,10,FALSE))</f>
        <v/>
      </c>
      <c r="X178" s="520" t="str">
        <f>IFERROR(VLOOKUP(W178,'G-1 All Habitats'!$V$3:$W$7,2,FALSE),"")</f>
        <v/>
      </c>
      <c r="Y178" s="79"/>
      <c r="Z178" s="524" t="str">
        <f>IFERROR(INDEX('G-8 Condition Look up'!$A$3:$H$130,MATCH(S178,'G-8 Condition Look up'!$A$3:$A$130,0),MATCH(Y178,'G-8 Condition Look up'!$A$3:$H$3,0)),"")</f>
        <v/>
      </c>
      <c r="AA178" s="71"/>
      <c r="AB178" s="520" t="str">
        <f>IF(AA178="","",IF(VLOOKUP(AA178,'G-3 Multipliers'!$L$3:$N$6,2,FALSE)=0,"Spatial Data Missing ⚠",VLOOKUP(AA178,'G-3 Multipliers'!$L$3:$N$6,2,FALSE)))</f>
        <v/>
      </c>
      <c r="AC178" s="524" t="str">
        <f>IF(AA178="","",IF(VLOOKUP(AA178,'G-3 Multipliers'!$L$3:$N$6,3,FALSE)=0,"Spatial Data Missing ⚠",VLOOKUP(AA178,'G-3 Multipliers'!$L$3:$N$6,3,FALSE)))</f>
        <v/>
      </c>
      <c r="AD178" s="539" t="str">
        <f t="shared" si="24"/>
        <v/>
      </c>
      <c r="AE178" s="82"/>
      <c r="AF178" s="82"/>
      <c r="AG178" s="507" t="str">
        <f t="shared" si="30"/>
        <v/>
      </c>
      <c r="AH178" s="521" t="str">
        <f t="shared" si="31"/>
        <v/>
      </c>
      <c r="AI178" s="522" t="str">
        <f>IF(AH178="Check Data","Check Data",IFERROR(VLOOKUP(AH178,'G-4 Temporal multipliers'!$A$4:$C$36,3,FALSE),""))</f>
        <v/>
      </c>
      <c r="AJ178" s="498" t="str">
        <f>IF(S178="","",VLOOKUP(S178,'G-3 Multipliers'!$A$2:$E$129,4,FALSE))</f>
        <v/>
      </c>
      <c r="AK178" s="507" t="str">
        <f t="shared" si="32"/>
        <v/>
      </c>
      <c r="AL178" s="507" t="str">
        <f t="shared" si="33"/>
        <v/>
      </c>
      <c r="AM178" s="540" t="str">
        <f>IFERROR(IF(F178="","",IF(AH178="Check Data ⚠","Check Data ⚠",VLOOKUP(AL178, 'G-3 Multipliers'!$P$2:$Q$6,2,FALSE))),"")</f>
        <v/>
      </c>
      <c r="AN178" s="513" t="str">
        <f t="shared" si="25"/>
        <v/>
      </c>
      <c r="AO178" s="239"/>
      <c r="AP178" s="240"/>
    </row>
    <row r="179" spans="1:42" x14ac:dyDescent="0.25">
      <c r="A179" s="47" t="str">
        <f>IF(E179="","",IF(ISNA(VLOOKUP($E179,'A-1 Site Habitat Baseline'!$D$1:$O$258,2,FALSE)),"",(VLOOKUP($E179,'A-1 Site Habitat Baseline'!$D$1:$O$258,2,FALSE))))</f>
        <v/>
      </c>
      <c r="B179" s="47" t="str">
        <f>IF(E179="","",IF(ISNA(VLOOKUP($E179,'A-1 Site Habitat Baseline'!$D$1:$O$258,3,FALSE)),"",(VLOOKUP($E179,'A-1 Site Habitat Baseline'!$D$1:$O$258,3,FALSE))))</f>
        <v/>
      </c>
      <c r="C179" s="47" t="str">
        <f>IFERROR(INDEX('G-8 Condition Look up'!$I$4:$I$130,MATCH(S179,'G-8 Condition Look up'!$A$4:$A$130,0)),"")</f>
        <v/>
      </c>
      <c r="E179" s="531" t="str">
        <f>'A-1 Site Habitat Baseline'!AL178</f>
        <v/>
      </c>
      <c r="F179" s="520" t="str">
        <f>IF(E179="","",IF(ISNA(VLOOKUP($E179,'A-1 Site Habitat Baseline'!$D$1:$O$258,4,FALSE)),"",(VLOOKUP($E179,'A-1 Site Habitat Baseline'!$D$1:$O$258,4,FALSE))))</f>
        <v/>
      </c>
      <c r="G179" s="520" t="str">
        <f>IF(E179="","",IF(ISNA(VLOOKUP($E179,'A-1 Site Habitat Baseline'!$D$1:$O$258,5,FALSE)),"",(VLOOKUP($E179,'A-1 Site Habitat Baseline'!$D$1:$O$258,5,FALSE))))</f>
        <v/>
      </c>
      <c r="H179" s="520" t="str">
        <f>IF(E179="","",IF(ISNA(VLOOKUP($E179,'A-1 Site Habitat Baseline'!$D$1:$O$258,6,FALSE)),"",(VLOOKUP($E179,'A-1 Site Habitat Baseline'!$D$1:$O$258,6,FALSE))))</f>
        <v/>
      </c>
      <c r="I179" s="520" t="str">
        <f>IF(E179="","",IF(ISNA(VLOOKUP($E179,'A-1 Site Habitat Baseline'!$D$1:$O$258,7,FALSE)),"",(VLOOKUP($E179,'A-1 Site Habitat Baseline'!$D$1:$O$258,7,FALSE))))</f>
        <v/>
      </c>
      <c r="J179" s="520" t="str">
        <f>IF(E179="","",IF(ISNA(VLOOKUP($E179,'A-1 Site Habitat Baseline'!$D$1:$O$258,8,FALSE)),"",(VLOOKUP($E179,'A-1 Site Habitat Baseline'!$D$1:$O$258,8,FALSE))))</f>
        <v/>
      </c>
      <c r="K179" s="520" t="str">
        <f>IF(E179="","",IF(ISNA(VLOOKUP($E179,'A-1 Site Habitat Baseline'!$D$1:$O$258,9,FALSE)),"",(VLOOKUP($E179,'A-1 Site Habitat Baseline'!$D$1:$O$258,9,FALSE))))</f>
        <v/>
      </c>
      <c r="L179" s="520" t="str">
        <f>IF(E179="","",IF(ISNA(VLOOKUP($E179,'A-1 Site Habitat Baseline'!$D$1:$O$258,11,FALSE)),"",(VLOOKUP($E179,'A-1 Site Habitat Baseline'!$D$1:$O$258,11,FALSE))))</f>
        <v/>
      </c>
      <c r="M179" s="520" t="str">
        <f>IF(E179="","",IF(ISNA(VLOOKUP($E179,'A-1 Site Habitat Baseline'!$D$1:$O$258,12,FALSE)),"",(VLOOKUP($E179,'A-1 Site Habitat Baseline'!$D$1:$O$258,12,FALSE))))</f>
        <v/>
      </c>
      <c r="N179" s="532" t="str">
        <f>IF(E179="","",IF(ISNA(VLOOKUP($E179,'A-1 Site Habitat Baseline'!$D$1:$X$258,14,FALSE)),"",(VLOOKUP($E179,'A-1 Site Habitat Baseline'!$D$1:$X$258,14,FALSE))))</f>
        <v/>
      </c>
      <c r="O179" s="524" t="str">
        <f>IF(E179="","",IF(ISNA(VLOOKUP($E179,'A-1 Site Habitat Baseline'!$D$1:$X$258,16,FALSE)),"",(VLOOKUP($E179,'A-1 Site Habitat Baseline'!$D$1:$X$258,13,FALSE))))</f>
        <v/>
      </c>
      <c r="P179" s="237" t="str">
        <f>IFERROR(INDEX('G-1 All Habitats'!$AG$3:$AG$15,MATCH(Q179,'G-1 All Habitats'!$AF$3:$AF$15,0)),"")</f>
        <v/>
      </c>
      <c r="Q179" s="238" t="str">
        <f t="shared" si="26"/>
        <v/>
      </c>
      <c r="R179" s="238" t="str">
        <f t="shared" si="27"/>
        <v/>
      </c>
      <c r="S179" s="392" t="str">
        <f>IFERROR(INDEX('G-1 All Habitats'!$B$3:$B$129,MATCH(R179,'G-1 All Habitats'!$A$3:$A$129,0)),"")</f>
        <v/>
      </c>
      <c r="T179" s="498" t="str">
        <f t="shared" si="28"/>
        <v/>
      </c>
      <c r="U179" s="499" t="str">
        <f t="shared" si="29"/>
        <v/>
      </c>
      <c r="V179" s="537" t="str">
        <f t="shared" si="23"/>
        <v/>
      </c>
      <c r="W179" s="520" t="str">
        <f>IF(S179="","",VLOOKUP(S179,'G-1 All Habitats'!$B$2:$M$129,10,FALSE))</f>
        <v/>
      </c>
      <c r="X179" s="520" t="str">
        <f>IFERROR(VLOOKUP(W179,'G-1 All Habitats'!$V$3:$W$7,2,FALSE),"")</f>
        <v/>
      </c>
      <c r="Y179" s="79"/>
      <c r="Z179" s="524" t="str">
        <f>IFERROR(INDEX('G-8 Condition Look up'!$A$3:$H$130,MATCH(S179,'G-8 Condition Look up'!$A$3:$A$130,0),MATCH(Y179,'G-8 Condition Look up'!$A$3:$H$3,0)),"")</f>
        <v/>
      </c>
      <c r="AA179" s="71"/>
      <c r="AB179" s="520" t="str">
        <f>IF(AA179="","",IF(VLOOKUP(AA179,'G-3 Multipliers'!$L$3:$N$6,2,FALSE)=0,"Spatial Data Missing ⚠",VLOOKUP(AA179,'G-3 Multipliers'!$L$3:$N$6,2,FALSE)))</f>
        <v/>
      </c>
      <c r="AC179" s="524" t="str">
        <f>IF(AA179="","",IF(VLOOKUP(AA179,'G-3 Multipliers'!$L$3:$N$6,3,FALSE)=0,"Spatial Data Missing ⚠",VLOOKUP(AA179,'G-3 Multipliers'!$L$3:$N$6,3,FALSE)))</f>
        <v/>
      </c>
      <c r="AD179" s="539" t="str">
        <f t="shared" si="24"/>
        <v/>
      </c>
      <c r="AE179" s="82"/>
      <c r="AF179" s="82"/>
      <c r="AG179" s="507" t="str">
        <f t="shared" si="30"/>
        <v/>
      </c>
      <c r="AH179" s="521" t="str">
        <f t="shared" si="31"/>
        <v/>
      </c>
      <c r="AI179" s="522" t="str">
        <f>IF(AH179="Check Data","Check Data",IFERROR(VLOOKUP(AH179,'G-4 Temporal multipliers'!$A$4:$C$36,3,FALSE),""))</f>
        <v/>
      </c>
      <c r="AJ179" s="498" t="str">
        <f>IF(S179="","",VLOOKUP(S179,'G-3 Multipliers'!$A$2:$E$129,4,FALSE))</f>
        <v/>
      </c>
      <c r="AK179" s="507" t="str">
        <f t="shared" si="32"/>
        <v/>
      </c>
      <c r="AL179" s="507" t="str">
        <f t="shared" si="33"/>
        <v/>
      </c>
      <c r="AM179" s="540" t="str">
        <f>IFERROR(IF(F179="","",IF(AH179="Check Data ⚠","Check Data ⚠",VLOOKUP(AL179, 'G-3 Multipliers'!$P$2:$Q$6,2,FALSE))),"")</f>
        <v/>
      </c>
      <c r="AN179" s="513" t="str">
        <f t="shared" si="25"/>
        <v/>
      </c>
      <c r="AO179" s="239"/>
      <c r="AP179" s="240"/>
    </row>
    <row r="180" spans="1:42" x14ac:dyDescent="0.25">
      <c r="A180" s="47" t="str">
        <f>IF(E180="","",IF(ISNA(VLOOKUP($E180,'A-1 Site Habitat Baseline'!$D$1:$O$258,2,FALSE)),"",(VLOOKUP($E180,'A-1 Site Habitat Baseline'!$D$1:$O$258,2,FALSE))))</f>
        <v/>
      </c>
      <c r="B180" s="47" t="str">
        <f>IF(E180="","",IF(ISNA(VLOOKUP($E180,'A-1 Site Habitat Baseline'!$D$1:$O$258,3,FALSE)),"",(VLOOKUP($E180,'A-1 Site Habitat Baseline'!$D$1:$O$258,3,FALSE))))</f>
        <v/>
      </c>
      <c r="C180" s="47" t="str">
        <f>IFERROR(INDEX('G-8 Condition Look up'!$I$4:$I$130,MATCH(S180,'G-8 Condition Look up'!$A$4:$A$130,0)),"")</f>
        <v/>
      </c>
      <c r="E180" s="531" t="str">
        <f>'A-1 Site Habitat Baseline'!AL179</f>
        <v/>
      </c>
      <c r="F180" s="520" t="str">
        <f>IF(E180="","",IF(ISNA(VLOOKUP($E180,'A-1 Site Habitat Baseline'!$D$1:$O$258,4,FALSE)),"",(VLOOKUP($E180,'A-1 Site Habitat Baseline'!$D$1:$O$258,4,FALSE))))</f>
        <v/>
      </c>
      <c r="G180" s="520" t="str">
        <f>IF(E180="","",IF(ISNA(VLOOKUP($E180,'A-1 Site Habitat Baseline'!$D$1:$O$258,5,FALSE)),"",(VLOOKUP($E180,'A-1 Site Habitat Baseline'!$D$1:$O$258,5,FALSE))))</f>
        <v/>
      </c>
      <c r="H180" s="520" t="str">
        <f>IF(E180="","",IF(ISNA(VLOOKUP($E180,'A-1 Site Habitat Baseline'!$D$1:$O$258,6,FALSE)),"",(VLOOKUP($E180,'A-1 Site Habitat Baseline'!$D$1:$O$258,6,FALSE))))</f>
        <v/>
      </c>
      <c r="I180" s="520" t="str">
        <f>IF(E180="","",IF(ISNA(VLOOKUP($E180,'A-1 Site Habitat Baseline'!$D$1:$O$258,7,FALSE)),"",(VLOOKUP($E180,'A-1 Site Habitat Baseline'!$D$1:$O$258,7,FALSE))))</f>
        <v/>
      </c>
      <c r="J180" s="520" t="str">
        <f>IF(E180="","",IF(ISNA(VLOOKUP($E180,'A-1 Site Habitat Baseline'!$D$1:$O$258,8,FALSE)),"",(VLOOKUP($E180,'A-1 Site Habitat Baseline'!$D$1:$O$258,8,FALSE))))</f>
        <v/>
      </c>
      <c r="K180" s="520" t="str">
        <f>IF(E180="","",IF(ISNA(VLOOKUP($E180,'A-1 Site Habitat Baseline'!$D$1:$O$258,9,FALSE)),"",(VLOOKUP($E180,'A-1 Site Habitat Baseline'!$D$1:$O$258,9,FALSE))))</f>
        <v/>
      </c>
      <c r="L180" s="520" t="str">
        <f>IF(E180="","",IF(ISNA(VLOOKUP($E180,'A-1 Site Habitat Baseline'!$D$1:$O$258,11,FALSE)),"",(VLOOKUP($E180,'A-1 Site Habitat Baseline'!$D$1:$O$258,11,FALSE))))</f>
        <v/>
      </c>
      <c r="M180" s="520" t="str">
        <f>IF(E180="","",IF(ISNA(VLOOKUP($E180,'A-1 Site Habitat Baseline'!$D$1:$O$258,12,FALSE)),"",(VLOOKUP($E180,'A-1 Site Habitat Baseline'!$D$1:$O$258,12,FALSE))))</f>
        <v/>
      </c>
      <c r="N180" s="532" t="str">
        <f>IF(E180="","",IF(ISNA(VLOOKUP($E180,'A-1 Site Habitat Baseline'!$D$1:$X$258,14,FALSE)),"",(VLOOKUP($E180,'A-1 Site Habitat Baseline'!$D$1:$X$258,14,FALSE))))</f>
        <v/>
      </c>
      <c r="O180" s="524" t="str">
        <f>IF(E180="","",IF(ISNA(VLOOKUP($E180,'A-1 Site Habitat Baseline'!$D$1:$X$258,16,FALSE)),"",(VLOOKUP($E180,'A-1 Site Habitat Baseline'!$D$1:$X$258,13,FALSE))))</f>
        <v/>
      </c>
      <c r="P180" s="237" t="str">
        <f>IFERROR(INDEX('G-1 All Habitats'!$AG$3:$AG$15,MATCH(Q180,'G-1 All Habitats'!$AF$3:$AF$15,0)),"")</f>
        <v/>
      </c>
      <c r="Q180" s="238" t="str">
        <f t="shared" si="26"/>
        <v/>
      </c>
      <c r="R180" s="238" t="str">
        <f t="shared" si="27"/>
        <v/>
      </c>
      <c r="S180" s="392" t="str">
        <f>IFERROR(INDEX('G-1 All Habitats'!$B$3:$B$129,MATCH(R180,'G-1 All Habitats'!$A$3:$A$129,0)),"")</f>
        <v/>
      </c>
      <c r="T180" s="498" t="str">
        <f t="shared" si="28"/>
        <v/>
      </c>
      <c r="U180" s="499" t="str">
        <f t="shared" si="29"/>
        <v/>
      </c>
      <c r="V180" s="537" t="str">
        <f t="shared" si="23"/>
        <v/>
      </c>
      <c r="W180" s="520" t="str">
        <f>IF(S180="","",VLOOKUP(S180,'G-1 All Habitats'!$B$2:$M$129,10,FALSE))</f>
        <v/>
      </c>
      <c r="X180" s="520" t="str">
        <f>IFERROR(VLOOKUP(W180,'G-1 All Habitats'!$V$3:$W$7,2,FALSE),"")</f>
        <v/>
      </c>
      <c r="Y180" s="79"/>
      <c r="Z180" s="524" t="str">
        <f>IFERROR(INDEX('G-8 Condition Look up'!$A$3:$H$130,MATCH(S180,'G-8 Condition Look up'!$A$3:$A$130,0),MATCH(Y180,'G-8 Condition Look up'!$A$3:$H$3,0)),"")</f>
        <v/>
      </c>
      <c r="AA180" s="71"/>
      <c r="AB180" s="520" t="str">
        <f>IF(AA180="","",IF(VLOOKUP(AA180,'G-3 Multipliers'!$L$3:$N$6,2,FALSE)=0,"Spatial Data Missing ⚠",VLOOKUP(AA180,'G-3 Multipliers'!$L$3:$N$6,2,FALSE)))</f>
        <v/>
      </c>
      <c r="AC180" s="524" t="str">
        <f>IF(AA180="","",IF(VLOOKUP(AA180,'G-3 Multipliers'!$L$3:$N$6,3,FALSE)=0,"Spatial Data Missing ⚠",VLOOKUP(AA180,'G-3 Multipliers'!$L$3:$N$6,3,FALSE)))</f>
        <v/>
      </c>
      <c r="AD180" s="539" t="str">
        <f t="shared" si="24"/>
        <v/>
      </c>
      <c r="AE180" s="82"/>
      <c r="AF180" s="82"/>
      <c r="AG180" s="507" t="str">
        <f t="shared" si="30"/>
        <v/>
      </c>
      <c r="AH180" s="521" t="str">
        <f t="shared" si="31"/>
        <v/>
      </c>
      <c r="AI180" s="522" t="str">
        <f>IF(AH180="Check Data","Check Data",IFERROR(VLOOKUP(AH180,'G-4 Temporal multipliers'!$A$4:$C$36,3,FALSE),""))</f>
        <v/>
      </c>
      <c r="AJ180" s="498" t="str">
        <f>IF(S180="","",VLOOKUP(S180,'G-3 Multipliers'!$A$2:$E$129,4,FALSE))</f>
        <v/>
      </c>
      <c r="AK180" s="507" t="str">
        <f t="shared" si="32"/>
        <v/>
      </c>
      <c r="AL180" s="507" t="str">
        <f t="shared" si="33"/>
        <v/>
      </c>
      <c r="AM180" s="540" t="str">
        <f>IFERROR(IF(F180="","",IF(AH180="Check Data ⚠","Check Data ⚠",VLOOKUP(AL180, 'G-3 Multipliers'!$P$2:$Q$6,2,FALSE))),"")</f>
        <v/>
      </c>
      <c r="AN180" s="513" t="str">
        <f t="shared" si="25"/>
        <v/>
      </c>
      <c r="AO180" s="239"/>
      <c r="AP180" s="240"/>
    </row>
    <row r="181" spans="1:42" x14ac:dyDescent="0.25">
      <c r="A181" s="47" t="str">
        <f>IF(E181="","",IF(ISNA(VLOOKUP($E181,'A-1 Site Habitat Baseline'!$D$1:$O$258,2,FALSE)),"",(VLOOKUP($E181,'A-1 Site Habitat Baseline'!$D$1:$O$258,2,FALSE))))</f>
        <v/>
      </c>
      <c r="B181" s="47" t="str">
        <f>IF(E181="","",IF(ISNA(VLOOKUP($E181,'A-1 Site Habitat Baseline'!$D$1:$O$258,3,FALSE)),"",(VLOOKUP($E181,'A-1 Site Habitat Baseline'!$D$1:$O$258,3,FALSE))))</f>
        <v/>
      </c>
      <c r="C181" s="47" t="str">
        <f>IFERROR(INDEX('G-8 Condition Look up'!$I$4:$I$130,MATCH(S181,'G-8 Condition Look up'!$A$4:$A$130,0)),"")</f>
        <v/>
      </c>
      <c r="E181" s="531" t="str">
        <f>'A-1 Site Habitat Baseline'!AL180</f>
        <v/>
      </c>
      <c r="F181" s="520" t="str">
        <f>IF(E181="","",IF(ISNA(VLOOKUP($E181,'A-1 Site Habitat Baseline'!$D$1:$O$258,4,FALSE)),"",(VLOOKUP($E181,'A-1 Site Habitat Baseline'!$D$1:$O$258,4,FALSE))))</f>
        <v/>
      </c>
      <c r="G181" s="520" t="str">
        <f>IF(E181="","",IF(ISNA(VLOOKUP($E181,'A-1 Site Habitat Baseline'!$D$1:$O$258,5,FALSE)),"",(VLOOKUP($E181,'A-1 Site Habitat Baseline'!$D$1:$O$258,5,FALSE))))</f>
        <v/>
      </c>
      <c r="H181" s="520" t="str">
        <f>IF(E181="","",IF(ISNA(VLOOKUP($E181,'A-1 Site Habitat Baseline'!$D$1:$O$258,6,FALSE)),"",(VLOOKUP($E181,'A-1 Site Habitat Baseline'!$D$1:$O$258,6,FALSE))))</f>
        <v/>
      </c>
      <c r="I181" s="520" t="str">
        <f>IF(E181="","",IF(ISNA(VLOOKUP($E181,'A-1 Site Habitat Baseline'!$D$1:$O$258,7,FALSE)),"",(VLOOKUP($E181,'A-1 Site Habitat Baseline'!$D$1:$O$258,7,FALSE))))</f>
        <v/>
      </c>
      <c r="J181" s="520" t="str">
        <f>IF(E181="","",IF(ISNA(VLOOKUP($E181,'A-1 Site Habitat Baseline'!$D$1:$O$258,8,FALSE)),"",(VLOOKUP($E181,'A-1 Site Habitat Baseline'!$D$1:$O$258,8,FALSE))))</f>
        <v/>
      </c>
      <c r="K181" s="520" t="str">
        <f>IF(E181="","",IF(ISNA(VLOOKUP($E181,'A-1 Site Habitat Baseline'!$D$1:$O$258,9,FALSE)),"",(VLOOKUP($E181,'A-1 Site Habitat Baseline'!$D$1:$O$258,9,FALSE))))</f>
        <v/>
      </c>
      <c r="L181" s="520" t="str">
        <f>IF(E181="","",IF(ISNA(VLOOKUP($E181,'A-1 Site Habitat Baseline'!$D$1:$O$258,11,FALSE)),"",(VLOOKUP($E181,'A-1 Site Habitat Baseline'!$D$1:$O$258,11,FALSE))))</f>
        <v/>
      </c>
      <c r="M181" s="520" t="str">
        <f>IF(E181="","",IF(ISNA(VLOOKUP($E181,'A-1 Site Habitat Baseline'!$D$1:$O$258,12,FALSE)),"",(VLOOKUP($E181,'A-1 Site Habitat Baseline'!$D$1:$O$258,12,FALSE))))</f>
        <v/>
      </c>
      <c r="N181" s="532" t="str">
        <f>IF(E181="","",IF(ISNA(VLOOKUP($E181,'A-1 Site Habitat Baseline'!$D$1:$X$258,14,FALSE)),"",(VLOOKUP($E181,'A-1 Site Habitat Baseline'!$D$1:$X$258,14,FALSE))))</f>
        <v/>
      </c>
      <c r="O181" s="524" t="str">
        <f>IF(E181="","",IF(ISNA(VLOOKUP($E181,'A-1 Site Habitat Baseline'!$D$1:$X$258,16,FALSE)),"",(VLOOKUP($E181,'A-1 Site Habitat Baseline'!$D$1:$X$258,13,FALSE))))</f>
        <v/>
      </c>
      <c r="P181" s="237" t="str">
        <f>IFERROR(INDEX('G-1 All Habitats'!$AG$3:$AG$15,MATCH(Q181,'G-1 All Habitats'!$AF$3:$AF$15,0)),"")</f>
        <v/>
      </c>
      <c r="Q181" s="238" t="str">
        <f t="shared" si="26"/>
        <v/>
      </c>
      <c r="R181" s="238" t="str">
        <f t="shared" si="27"/>
        <v/>
      </c>
      <c r="S181" s="392" t="str">
        <f>IFERROR(INDEX('G-1 All Habitats'!$B$3:$B$129,MATCH(R181,'G-1 All Habitats'!$A$3:$A$129,0)),"")</f>
        <v/>
      </c>
      <c r="T181" s="498" t="str">
        <f t="shared" si="28"/>
        <v/>
      </c>
      <c r="U181" s="499" t="str">
        <f t="shared" si="29"/>
        <v/>
      </c>
      <c r="V181" s="537" t="str">
        <f t="shared" si="23"/>
        <v/>
      </c>
      <c r="W181" s="520" t="str">
        <f>IF(S181="","",VLOOKUP(S181,'G-1 All Habitats'!$B$2:$M$129,10,FALSE))</f>
        <v/>
      </c>
      <c r="X181" s="520" t="str">
        <f>IFERROR(VLOOKUP(W181,'G-1 All Habitats'!$V$3:$W$7,2,FALSE),"")</f>
        <v/>
      </c>
      <c r="Y181" s="79"/>
      <c r="Z181" s="524" t="str">
        <f>IFERROR(INDEX('G-8 Condition Look up'!$A$3:$H$130,MATCH(S181,'G-8 Condition Look up'!$A$3:$A$130,0),MATCH(Y181,'G-8 Condition Look up'!$A$3:$H$3,0)),"")</f>
        <v/>
      </c>
      <c r="AA181" s="71"/>
      <c r="AB181" s="520" t="str">
        <f>IF(AA181="","",IF(VLOOKUP(AA181,'G-3 Multipliers'!$L$3:$N$6,2,FALSE)=0,"Spatial Data Missing ⚠",VLOOKUP(AA181,'G-3 Multipliers'!$L$3:$N$6,2,FALSE)))</f>
        <v/>
      </c>
      <c r="AC181" s="524" t="str">
        <f>IF(AA181="","",IF(VLOOKUP(AA181,'G-3 Multipliers'!$L$3:$N$6,3,FALSE)=0,"Spatial Data Missing ⚠",VLOOKUP(AA181,'G-3 Multipliers'!$L$3:$N$6,3,FALSE)))</f>
        <v/>
      </c>
      <c r="AD181" s="539" t="str">
        <f t="shared" si="24"/>
        <v/>
      </c>
      <c r="AE181" s="82"/>
      <c r="AF181" s="82"/>
      <c r="AG181" s="507" t="str">
        <f t="shared" si="30"/>
        <v/>
      </c>
      <c r="AH181" s="521" t="str">
        <f t="shared" si="31"/>
        <v/>
      </c>
      <c r="AI181" s="522" t="str">
        <f>IF(AH181="Check Data","Check Data",IFERROR(VLOOKUP(AH181,'G-4 Temporal multipliers'!$A$4:$C$36,3,FALSE),""))</f>
        <v/>
      </c>
      <c r="AJ181" s="498" t="str">
        <f>IF(S181="","",VLOOKUP(S181,'G-3 Multipliers'!$A$2:$E$129,4,FALSE))</f>
        <v/>
      </c>
      <c r="AK181" s="507" t="str">
        <f t="shared" si="32"/>
        <v/>
      </c>
      <c r="AL181" s="507" t="str">
        <f t="shared" si="33"/>
        <v/>
      </c>
      <c r="AM181" s="540" t="str">
        <f>IFERROR(IF(F181="","",IF(AH181="Check Data ⚠","Check Data ⚠",VLOOKUP(AL181, 'G-3 Multipliers'!$P$2:$Q$6,2,FALSE))),"")</f>
        <v/>
      </c>
      <c r="AN181" s="513" t="str">
        <f t="shared" si="25"/>
        <v/>
      </c>
      <c r="AO181" s="239"/>
      <c r="AP181" s="240"/>
    </row>
    <row r="182" spans="1:42" x14ac:dyDescent="0.25">
      <c r="A182" s="47" t="str">
        <f>IF(E182="","",IF(ISNA(VLOOKUP($E182,'A-1 Site Habitat Baseline'!$D$1:$O$258,2,FALSE)),"",(VLOOKUP($E182,'A-1 Site Habitat Baseline'!$D$1:$O$258,2,FALSE))))</f>
        <v/>
      </c>
      <c r="B182" s="47" t="str">
        <f>IF(E182="","",IF(ISNA(VLOOKUP($E182,'A-1 Site Habitat Baseline'!$D$1:$O$258,3,FALSE)),"",(VLOOKUP($E182,'A-1 Site Habitat Baseline'!$D$1:$O$258,3,FALSE))))</f>
        <v/>
      </c>
      <c r="C182" s="47" t="str">
        <f>IFERROR(INDEX('G-8 Condition Look up'!$I$4:$I$130,MATCH(S182,'G-8 Condition Look up'!$A$4:$A$130,0)),"")</f>
        <v/>
      </c>
      <c r="E182" s="531" t="str">
        <f>'A-1 Site Habitat Baseline'!AL181</f>
        <v/>
      </c>
      <c r="F182" s="520" t="str">
        <f>IF(E182="","",IF(ISNA(VLOOKUP($E182,'A-1 Site Habitat Baseline'!$D$1:$O$258,4,FALSE)),"",(VLOOKUP($E182,'A-1 Site Habitat Baseline'!$D$1:$O$258,4,FALSE))))</f>
        <v/>
      </c>
      <c r="G182" s="520" t="str">
        <f>IF(E182="","",IF(ISNA(VLOOKUP($E182,'A-1 Site Habitat Baseline'!$D$1:$O$258,5,FALSE)),"",(VLOOKUP($E182,'A-1 Site Habitat Baseline'!$D$1:$O$258,5,FALSE))))</f>
        <v/>
      </c>
      <c r="H182" s="520" t="str">
        <f>IF(E182="","",IF(ISNA(VLOOKUP($E182,'A-1 Site Habitat Baseline'!$D$1:$O$258,6,FALSE)),"",(VLOOKUP($E182,'A-1 Site Habitat Baseline'!$D$1:$O$258,6,FALSE))))</f>
        <v/>
      </c>
      <c r="I182" s="520" t="str">
        <f>IF(E182="","",IF(ISNA(VLOOKUP($E182,'A-1 Site Habitat Baseline'!$D$1:$O$258,7,FALSE)),"",(VLOOKUP($E182,'A-1 Site Habitat Baseline'!$D$1:$O$258,7,FALSE))))</f>
        <v/>
      </c>
      <c r="J182" s="520" t="str">
        <f>IF(E182="","",IF(ISNA(VLOOKUP($E182,'A-1 Site Habitat Baseline'!$D$1:$O$258,8,FALSE)),"",(VLOOKUP($E182,'A-1 Site Habitat Baseline'!$D$1:$O$258,8,FALSE))))</f>
        <v/>
      </c>
      <c r="K182" s="520" t="str">
        <f>IF(E182="","",IF(ISNA(VLOOKUP($E182,'A-1 Site Habitat Baseline'!$D$1:$O$258,9,FALSE)),"",(VLOOKUP($E182,'A-1 Site Habitat Baseline'!$D$1:$O$258,9,FALSE))))</f>
        <v/>
      </c>
      <c r="L182" s="520" t="str">
        <f>IF(E182="","",IF(ISNA(VLOOKUP($E182,'A-1 Site Habitat Baseline'!$D$1:$O$258,11,FALSE)),"",(VLOOKUP($E182,'A-1 Site Habitat Baseline'!$D$1:$O$258,11,FALSE))))</f>
        <v/>
      </c>
      <c r="M182" s="520" t="str">
        <f>IF(E182="","",IF(ISNA(VLOOKUP($E182,'A-1 Site Habitat Baseline'!$D$1:$O$258,12,FALSE)),"",(VLOOKUP($E182,'A-1 Site Habitat Baseline'!$D$1:$O$258,12,FALSE))))</f>
        <v/>
      </c>
      <c r="N182" s="532" t="str">
        <f>IF(E182="","",IF(ISNA(VLOOKUP($E182,'A-1 Site Habitat Baseline'!$D$1:$X$258,14,FALSE)),"",(VLOOKUP($E182,'A-1 Site Habitat Baseline'!$D$1:$X$258,14,FALSE))))</f>
        <v/>
      </c>
      <c r="O182" s="524" t="str">
        <f>IF(E182="","",IF(ISNA(VLOOKUP($E182,'A-1 Site Habitat Baseline'!$D$1:$X$258,16,FALSE)),"",(VLOOKUP($E182,'A-1 Site Habitat Baseline'!$D$1:$X$258,13,FALSE))))</f>
        <v/>
      </c>
      <c r="P182" s="237" t="str">
        <f>IFERROR(INDEX('G-1 All Habitats'!$AG$3:$AG$15,MATCH(Q182,'G-1 All Habitats'!$AF$3:$AF$15,0)),"")</f>
        <v/>
      </c>
      <c r="Q182" s="238" t="str">
        <f t="shared" si="26"/>
        <v/>
      </c>
      <c r="R182" s="238" t="str">
        <f t="shared" si="27"/>
        <v/>
      </c>
      <c r="S182" s="392" t="str">
        <f>IFERROR(INDEX('G-1 All Habitats'!$B$3:$B$129,MATCH(R182,'G-1 All Habitats'!$A$3:$A$129,0)),"")</f>
        <v/>
      </c>
      <c r="T182" s="498" t="str">
        <f t="shared" si="28"/>
        <v/>
      </c>
      <c r="U182" s="499" t="str">
        <f t="shared" si="29"/>
        <v/>
      </c>
      <c r="V182" s="537" t="str">
        <f t="shared" si="23"/>
        <v/>
      </c>
      <c r="W182" s="520" t="str">
        <f>IF(S182="","",VLOOKUP(S182,'G-1 All Habitats'!$B$2:$M$129,10,FALSE))</f>
        <v/>
      </c>
      <c r="X182" s="520" t="str">
        <f>IFERROR(VLOOKUP(W182,'G-1 All Habitats'!$V$3:$W$7,2,FALSE),"")</f>
        <v/>
      </c>
      <c r="Y182" s="79"/>
      <c r="Z182" s="524" t="str">
        <f>IFERROR(INDEX('G-8 Condition Look up'!$A$3:$H$130,MATCH(S182,'G-8 Condition Look up'!$A$3:$A$130,0),MATCH(Y182,'G-8 Condition Look up'!$A$3:$H$3,0)),"")</f>
        <v/>
      </c>
      <c r="AA182" s="71"/>
      <c r="AB182" s="520" t="str">
        <f>IF(AA182="","",IF(VLOOKUP(AA182,'G-3 Multipliers'!$L$3:$N$6,2,FALSE)=0,"Spatial Data Missing ⚠",VLOOKUP(AA182,'G-3 Multipliers'!$L$3:$N$6,2,FALSE)))</f>
        <v/>
      </c>
      <c r="AC182" s="524" t="str">
        <f>IF(AA182="","",IF(VLOOKUP(AA182,'G-3 Multipliers'!$L$3:$N$6,3,FALSE)=0,"Spatial Data Missing ⚠",VLOOKUP(AA182,'G-3 Multipliers'!$L$3:$N$6,3,FALSE)))</f>
        <v/>
      </c>
      <c r="AD182" s="539" t="str">
        <f t="shared" si="24"/>
        <v/>
      </c>
      <c r="AE182" s="82"/>
      <c r="AF182" s="82"/>
      <c r="AG182" s="507" t="str">
        <f t="shared" si="30"/>
        <v/>
      </c>
      <c r="AH182" s="521" t="str">
        <f t="shared" si="31"/>
        <v/>
      </c>
      <c r="AI182" s="522" t="str">
        <f>IF(AH182="Check Data","Check Data",IFERROR(VLOOKUP(AH182,'G-4 Temporal multipliers'!$A$4:$C$36,3,FALSE),""))</f>
        <v/>
      </c>
      <c r="AJ182" s="498" t="str">
        <f>IF(S182="","",VLOOKUP(S182,'G-3 Multipliers'!$A$2:$E$129,4,FALSE))</f>
        <v/>
      </c>
      <c r="AK182" s="507" t="str">
        <f t="shared" si="32"/>
        <v/>
      </c>
      <c r="AL182" s="507" t="str">
        <f t="shared" si="33"/>
        <v/>
      </c>
      <c r="AM182" s="540" t="str">
        <f>IFERROR(IF(F182="","",IF(AH182="Check Data ⚠","Check Data ⚠",VLOOKUP(AL182, 'G-3 Multipliers'!$P$2:$Q$6,2,FALSE))),"")</f>
        <v/>
      </c>
      <c r="AN182" s="513" t="str">
        <f t="shared" si="25"/>
        <v/>
      </c>
      <c r="AO182" s="239"/>
      <c r="AP182" s="240"/>
    </row>
    <row r="183" spans="1:42" x14ac:dyDescent="0.25">
      <c r="A183" s="47" t="str">
        <f>IF(E183="","",IF(ISNA(VLOOKUP($E183,'A-1 Site Habitat Baseline'!$D$1:$O$258,2,FALSE)),"",(VLOOKUP($E183,'A-1 Site Habitat Baseline'!$D$1:$O$258,2,FALSE))))</f>
        <v/>
      </c>
      <c r="B183" s="47" t="str">
        <f>IF(E183="","",IF(ISNA(VLOOKUP($E183,'A-1 Site Habitat Baseline'!$D$1:$O$258,3,FALSE)),"",(VLOOKUP($E183,'A-1 Site Habitat Baseline'!$D$1:$O$258,3,FALSE))))</f>
        <v/>
      </c>
      <c r="C183" s="47" t="str">
        <f>IFERROR(INDEX('G-8 Condition Look up'!$I$4:$I$130,MATCH(S183,'G-8 Condition Look up'!$A$4:$A$130,0)),"")</f>
        <v/>
      </c>
      <c r="E183" s="531" t="str">
        <f>'A-1 Site Habitat Baseline'!AL182</f>
        <v/>
      </c>
      <c r="F183" s="520" t="str">
        <f>IF(E183="","",IF(ISNA(VLOOKUP($E183,'A-1 Site Habitat Baseline'!$D$1:$O$258,4,FALSE)),"",(VLOOKUP($E183,'A-1 Site Habitat Baseline'!$D$1:$O$258,4,FALSE))))</f>
        <v/>
      </c>
      <c r="G183" s="520" t="str">
        <f>IF(E183="","",IF(ISNA(VLOOKUP($E183,'A-1 Site Habitat Baseline'!$D$1:$O$258,5,FALSE)),"",(VLOOKUP($E183,'A-1 Site Habitat Baseline'!$D$1:$O$258,5,FALSE))))</f>
        <v/>
      </c>
      <c r="H183" s="520" t="str">
        <f>IF(E183="","",IF(ISNA(VLOOKUP($E183,'A-1 Site Habitat Baseline'!$D$1:$O$258,6,FALSE)),"",(VLOOKUP($E183,'A-1 Site Habitat Baseline'!$D$1:$O$258,6,FALSE))))</f>
        <v/>
      </c>
      <c r="I183" s="520" t="str">
        <f>IF(E183="","",IF(ISNA(VLOOKUP($E183,'A-1 Site Habitat Baseline'!$D$1:$O$258,7,FALSE)),"",(VLOOKUP($E183,'A-1 Site Habitat Baseline'!$D$1:$O$258,7,FALSE))))</f>
        <v/>
      </c>
      <c r="J183" s="520" t="str">
        <f>IF(E183="","",IF(ISNA(VLOOKUP($E183,'A-1 Site Habitat Baseline'!$D$1:$O$258,8,FALSE)),"",(VLOOKUP($E183,'A-1 Site Habitat Baseline'!$D$1:$O$258,8,FALSE))))</f>
        <v/>
      </c>
      <c r="K183" s="520" t="str">
        <f>IF(E183="","",IF(ISNA(VLOOKUP($E183,'A-1 Site Habitat Baseline'!$D$1:$O$258,9,FALSE)),"",(VLOOKUP($E183,'A-1 Site Habitat Baseline'!$D$1:$O$258,9,FALSE))))</f>
        <v/>
      </c>
      <c r="L183" s="520" t="str">
        <f>IF(E183="","",IF(ISNA(VLOOKUP($E183,'A-1 Site Habitat Baseline'!$D$1:$O$258,11,FALSE)),"",(VLOOKUP($E183,'A-1 Site Habitat Baseline'!$D$1:$O$258,11,FALSE))))</f>
        <v/>
      </c>
      <c r="M183" s="520" t="str">
        <f>IF(E183="","",IF(ISNA(VLOOKUP($E183,'A-1 Site Habitat Baseline'!$D$1:$O$258,12,FALSE)),"",(VLOOKUP($E183,'A-1 Site Habitat Baseline'!$D$1:$O$258,12,FALSE))))</f>
        <v/>
      </c>
      <c r="N183" s="532" t="str">
        <f>IF(E183="","",IF(ISNA(VLOOKUP($E183,'A-1 Site Habitat Baseline'!$D$1:$X$258,14,FALSE)),"",(VLOOKUP($E183,'A-1 Site Habitat Baseline'!$D$1:$X$258,14,FALSE))))</f>
        <v/>
      </c>
      <c r="O183" s="524" t="str">
        <f>IF(E183="","",IF(ISNA(VLOOKUP($E183,'A-1 Site Habitat Baseline'!$D$1:$X$258,16,FALSE)),"",(VLOOKUP($E183,'A-1 Site Habitat Baseline'!$D$1:$X$258,13,FALSE))))</f>
        <v/>
      </c>
      <c r="P183" s="237" t="str">
        <f>IFERROR(INDEX('G-1 All Habitats'!$AG$3:$AG$15,MATCH(Q183,'G-1 All Habitats'!$AF$3:$AF$15,0)),"")</f>
        <v/>
      </c>
      <c r="Q183" s="238" t="str">
        <f t="shared" si="26"/>
        <v/>
      </c>
      <c r="R183" s="238" t="str">
        <f t="shared" si="27"/>
        <v/>
      </c>
      <c r="S183" s="392" t="str">
        <f>IFERROR(INDEX('G-1 All Habitats'!$B$3:$B$129,MATCH(R183,'G-1 All Habitats'!$A$3:$A$129,0)),"")</f>
        <v/>
      </c>
      <c r="T183" s="498" t="str">
        <f t="shared" si="28"/>
        <v/>
      </c>
      <c r="U183" s="499" t="str">
        <f t="shared" si="29"/>
        <v/>
      </c>
      <c r="V183" s="537" t="str">
        <f t="shared" si="23"/>
        <v/>
      </c>
      <c r="W183" s="520" t="str">
        <f>IF(S183="","",VLOOKUP(S183,'G-1 All Habitats'!$B$2:$M$129,10,FALSE))</f>
        <v/>
      </c>
      <c r="X183" s="520" t="str">
        <f>IFERROR(VLOOKUP(W183,'G-1 All Habitats'!$V$3:$W$7,2,FALSE),"")</f>
        <v/>
      </c>
      <c r="Y183" s="79"/>
      <c r="Z183" s="524" t="str">
        <f>IFERROR(INDEX('G-8 Condition Look up'!$A$3:$H$130,MATCH(S183,'G-8 Condition Look up'!$A$3:$A$130,0),MATCH(Y183,'G-8 Condition Look up'!$A$3:$H$3,0)),"")</f>
        <v/>
      </c>
      <c r="AA183" s="71"/>
      <c r="AB183" s="520" t="str">
        <f>IF(AA183="","",IF(VLOOKUP(AA183,'G-3 Multipliers'!$L$3:$N$6,2,FALSE)=0,"Spatial Data Missing ⚠",VLOOKUP(AA183,'G-3 Multipliers'!$L$3:$N$6,2,FALSE)))</f>
        <v/>
      </c>
      <c r="AC183" s="524" t="str">
        <f>IF(AA183="","",IF(VLOOKUP(AA183,'G-3 Multipliers'!$L$3:$N$6,3,FALSE)=0,"Spatial Data Missing ⚠",VLOOKUP(AA183,'G-3 Multipliers'!$L$3:$N$6,3,FALSE)))</f>
        <v/>
      </c>
      <c r="AD183" s="539" t="str">
        <f t="shared" si="24"/>
        <v/>
      </c>
      <c r="AE183" s="82"/>
      <c r="AF183" s="82"/>
      <c r="AG183" s="507" t="str">
        <f t="shared" si="30"/>
        <v/>
      </c>
      <c r="AH183" s="521" t="str">
        <f t="shared" si="31"/>
        <v/>
      </c>
      <c r="AI183" s="522" t="str">
        <f>IF(AH183="Check Data","Check Data",IFERROR(VLOOKUP(AH183,'G-4 Temporal multipliers'!$A$4:$C$36,3,FALSE),""))</f>
        <v/>
      </c>
      <c r="AJ183" s="498" t="str">
        <f>IF(S183="","",VLOOKUP(S183,'G-3 Multipliers'!$A$2:$E$129,4,FALSE))</f>
        <v/>
      </c>
      <c r="AK183" s="507" t="str">
        <f t="shared" si="32"/>
        <v/>
      </c>
      <c r="AL183" s="507" t="str">
        <f t="shared" si="33"/>
        <v/>
      </c>
      <c r="AM183" s="540" t="str">
        <f>IFERROR(IF(F183="","",IF(AH183="Check Data ⚠","Check Data ⚠",VLOOKUP(AL183, 'G-3 Multipliers'!$P$2:$Q$6,2,FALSE))),"")</f>
        <v/>
      </c>
      <c r="AN183" s="513" t="str">
        <f t="shared" si="25"/>
        <v/>
      </c>
      <c r="AO183" s="239"/>
      <c r="AP183" s="240"/>
    </row>
    <row r="184" spans="1:42" x14ac:dyDescent="0.25">
      <c r="A184" s="47" t="str">
        <f>IF(E184="","",IF(ISNA(VLOOKUP($E184,'A-1 Site Habitat Baseline'!$D$1:$O$258,2,FALSE)),"",(VLOOKUP($E184,'A-1 Site Habitat Baseline'!$D$1:$O$258,2,FALSE))))</f>
        <v/>
      </c>
      <c r="B184" s="47" t="str">
        <f>IF(E184="","",IF(ISNA(VLOOKUP($E184,'A-1 Site Habitat Baseline'!$D$1:$O$258,3,FALSE)),"",(VLOOKUP($E184,'A-1 Site Habitat Baseline'!$D$1:$O$258,3,FALSE))))</f>
        <v/>
      </c>
      <c r="C184" s="47" t="str">
        <f>IFERROR(INDEX('G-8 Condition Look up'!$I$4:$I$130,MATCH(S184,'G-8 Condition Look up'!$A$4:$A$130,0)),"")</f>
        <v/>
      </c>
      <c r="E184" s="531" t="str">
        <f>'A-1 Site Habitat Baseline'!AL183</f>
        <v/>
      </c>
      <c r="F184" s="520" t="str">
        <f>IF(E184="","",IF(ISNA(VLOOKUP($E184,'A-1 Site Habitat Baseline'!$D$1:$O$258,4,FALSE)),"",(VLOOKUP($E184,'A-1 Site Habitat Baseline'!$D$1:$O$258,4,FALSE))))</f>
        <v/>
      </c>
      <c r="G184" s="520" t="str">
        <f>IF(E184="","",IF(ISNA(VLOOKUP($E184,'A-1 Site Habitat Baseline'!$D$1:$O$258,5,FALSE)),"",(VLOOKUP($E184,'A-1 Site Habitat Baseline'!$D$1:$O$258,5,FALSE))))</f>
        <v/>
      </c>
      <c r="H184" s="520" t="str">
        <f>IF(E184="","",IF(ISNA(VLOOKUP($E184,'A-1 Site Habitat Baseline'!$D$1:$O$258,6,FALSE)),"",(VLOOKUP($E184,'A-1 Site Habitat Baseline'!$D$1:$O$258,6,FALSE))))</f>
        <v/>
      </c>
      <c r="I184" s="520" t="str">
        <f>IF(E184="","",IF(ISNA(VLOOKUP($E184,'A-1 Site Habitat Baseline'!$D$1:$O$258,7,FALSE)),"",(VLOOKUP($E184,'A-1 Site Habitat Baseline'!$D$1:$O$258,7,FALSE))))</f>
        <v/>
      </c>
      <c r="J184" s="520" t="str">
        <f>IF(E184="","",IF(ISNA(VLOOKUP($E184,'A-1 Site Habitat Baseline'!$D$1:$O$258,8,FALSE)),"",(VLOOKUP($E184,'A-1 Site Habitat Baseline'!$D$1:$O$258,8,FALSE))))</f>
        <v/>
      </c>
      <c r="K184" s="520" t="str">
        <f>IF(E184="","",IF(ISNA(VLOOKUP($E184,'A-1 Site Habitat Baseline'!$D$1:$O$258,9,FALSE)),"",(VLOOKUP($E184,'A-1 Site Habitat Baseline'!$D$1:$O$258,9,FALSE))))</f>
        <v/>
      </c>
      <c r="L184" s="520" t="str">
        <f>IF(E184="","",IF(ISNA(VLOOKUP($E184,'A-1 Site Habitat Baseline'!$D$1:$O$258,11,FALSE)),"",(VLOOKUP($E184,'A-1 Site Habitat Baseline'!$D$1:$O$258,11,FALSE))))</f>
        <v/>
      </c>
      <c r="M184" s="520" t="str">
        <f>IF(E184="","",IF(ISNA(VLOOKUP($E184,'A-1 Site Habitat Baseline'!$D$1:$O$258,12,FALSE)),"",(VLOOKUP($E184,'A-1 Site Habitat Baseline'!$D$1:$O$258,12,FALSE))))</f>
        <v/>
      </c>
      <c r="N184" s="532" t="str">
        <f>IF(E184="","",IF(ISNA(VLOOKUP($E184,'A-1 Site Habitat Baseline'!$D$1:$X$258,14,FALSE)),"",(VLOOKUP($E184,'A-1 Site Habitat Baseline'!$D$1:$X$258,14,FALSE))))</f>
        <v/>
      </c>
      <c r="O184" s="524" t="str">
        <f>IF(E184="","",IF(ISNA(VLOOKUP($E184,'A-1 Site Habitat Baseline'!$D$1:$X$258,16,FALSE)),"",(VLOOKUP($E184,'A-1 Site Habitat Baseline'!$D$1:$X$258,13,FALSE))))</f>
        <v/>
      </c>
      <c r="P184" s="237" t="str">
        <f>IFERROR(INDEX('G-1 All Habitats'!$AG$3:$AG$15,MATCH(Q184,'G-1 All Habitats'!$AF$3:$AF$15,0)),"")</f>
        <v/>
      </c>
      <c r="Q184" s="238" t="str">
        <f t="shared" si="26"/>
        <v/>
      </c>
      <c r="R184" s="238" t="str">
        <f t="shared" si="27"/>
        <v/>
      </c>
      <c r="S184" s="392" t="str">
        <f>IFERROR(INDEX('G-1 All Habitats'!$B$3:$B$129,MATCH(R184,'G-1 All Habitats'!$A$3:$A$129,0)),"")</f>
        <v/>
      </c>
      <c r="T184" s="498" t="str">
        <f t="shared" si="28"/>
        <v/>
      </c>
      <c r="U184" s="499" t="str">
        <f t="shared" si="29"/>
        <v/>
      </c>
      <c r="V184" s="537" t="str">
        <f t="shared" si="23"/>
        <v/>
      </c>
      <c r="W184" s="520" t="str">
        <f>IF(S184="","",VLOOKUP(S184,'G-1 All Habitats'!$B$2:$M$129,10,FALSE))</f>
        <v/>
      </c>
      <c r="X184" s="520" t="str">
        <f>IFERROR(VLOOKUP(W184,'G-1 All Habitats'!$V$3:$W$7,2,FALSE),"")</f>
        <v/>
      </c>
      <c r="Y184" s="79"/>
      <c r="Z184" s="524" t="str">
        <f>IFERROR(INDEX('G-8 Condition Look up'!$A$3:$H$130,MATCH(S184,'G-8 Condition Look up'!$A$3:$A$130,0),MATCH(Y184,'G-8 Condition Look up'!$A$3:$H$3,0)),"")</f>
        <v/>
      </c>
      <c r="AA184" s="71"/>
      <c r="AB184" s="520" t="str">
        <f>IF(AA184="","",IF(VLOOKUP(AA184,'G-3 Multipliers'!$L$3:$N$6,2,FALSE)=0,"Spatial Data Missing ⚠",VLOOKUP(AA184,'G-3 Multipliers'!$L$3:$N$6,2,FALSE)))</f>
        <v/>
      </c>
      <c r="AC184" s="524" t="str">
        <f>IF(AA184="","",IF(VLOOKUP(AA184,'G-3 Multipliers'!$L$3:$N$6,3,FALSE)=0,"Spatial Data Missing ⚠",VLOOKUP(AA184,'G-3 Multipliers'!$L$3:$N$6,3,FALSE)))</f>
        <v/>
      </c>
      <c r="AD184" s="539" t="str">
        <f t="shared" si="24"/>
        <v/>
      </c>
      <c r="AE184" s="82"/>
      <c r="AF184" s="82"/>
      <c r="AG184" s="507" t="str">
        <f t="shared" si="30"/>
        <v/>
      </c>
      <c r="AH184" s="521" t="str">
        <f t="shared" si="31"/>
        <v/>
      </c>
      <c r="AI184" s="522" t="str">
        <f>IF(AH184="Check Data","Check Data",IFERROR(VLOOKUP(AH184,'G-4 Temporal multipliers'!$A$4:$C$36,3,FALSE),""))</f>
        <v/>
      </c>
      <c r="AJ184" s="498" t="str">
        <f>IF(S184="","",VLOOKUP(S184,'G-3 Multipliers'!$A$2:$E$129,4,FALSE))</f>
        <v/>
      </c>
      <c r="AK184" s="507" t="str">
        <f t="shared" si="32"/>
        <v/>
      </c>
      <c r="AL184" s="507" t="str">
        <f t="shared" si="33"/>
        <v/>
      </c>
      <c r="AM184" s="540" t="str">
        <f>IFERROR(IF(F184="","",IF(AH184="Check Data ⚠","Check Data ⚠",VLOOKUP(AL184, 'G-3 Multipliers'!$P$2:$Q$6,2,FALSE))),"")</f>
        <v/>
      </c>
      <c r="AN184" s="513" t="str">
        <f t="shared" si="25"/>
        <v/>
      </c>
      <c r="AO184" s="239"/>
      <c r="AP184" s="240"/>
    </row>
    <row r="185" spans="1:42" x14ac:dyDescent="0.25">
      <c r="A185" s="47" t="str">
        <f>IF(E185="","",IF(ISNA(VLOOKUP($E185,'A-1 Site Habitat Baseline'!$D$1:$O$258,2,FALSE)),"",(VLOOKUP($E185,'A-1 Site Habitat Baseline'!$D$1:$O$258,2,FALSE))))</f>
        <v/>
      </c>
      <c r="B185" s="47" t="str">
        <f>IF(E185="","",IF(ISNA(VLOOKUP($E185,'A-1 Site Habitat Baseline'!$D$1:$O$258,3,FALSE)),"",(VLOOKUP($E185,'A-1 Site Habitat Baseline'!$D$1:$O$258,3,FALSE))))</f>
        <v/>
      </c>
      <c r="C185" s="47" t="str">
        <f>IFERROR(INDEX('G-8 Condition Look up'!$I$4:$I$130,MATCH(S185,'G-8 Condition Look up'!$A$4:$A$130,0)),"")</f>
        <v/>
      </c>
      <c r="E185" s="531" t="str">
        <f>'A-1 Site Habitat Baseline'!AL184</f>
        <v/>
      </c>
      <c r="F185" s="520" t="str">
        <f>IF(E185="","",IF(ISNA(VLOOKUP($E185,'A-1 Site Habitat Baseline'!$D$1:$O$258,4,FALSE)),"",(VLOOKUP($E185,'A-1 Site Habitat Baseline'!$D$1:$O$258,4,FALSE))))</f>
        <v/>
      </c>
      <c r="G185" s="520" t="str">
        <f>IF(E185="","",IF(ISNA(VLOOKUP($E185,'A-1 Site Habitat Baseline'!$D$1:$O$258,5,FALSE)),"",(VLOOKUP($E185,'A-1 Site Habitat Baseline'!$D$1:$O$258,5,FALSE))))</f>
        <v/>
      </c>
      <c r="H185" s="520" t="str">
        <f>IF(E185="","",IF(ISNA(VLOOKUP($E185,'A-1 Site Habitat Baseline'!$D$1:$O$258,6,FALSE)),"",(VLOOKUP($E185,'A-1 Site Habitat Baseline'!$D$1:$O$258,6,FALSE))))</f>
        <v/>
      </c>
      <c r="I185" s="520" t="str">
        <f>IF(E185="","",IF(ISNA(VLOOKUP($E185,'A-1 Site Habitat Baseline'!$D$1:$O$258,7,FALSE)),"",(VLOOKUP($E185,'A-1 Site Habitat Baseline'!$D$1:$O$258,7,FALSE))))</f>
        <v/>
      </c>
      <c r="J185" s="520" t="str">
        <f>IF(E185="","",IF(ISNA(VLOOKUP($E185,'A-1 Site Habitat Baseline'!$D$1:$O$258,8,FALSE)),"",(VLOOKUP($E185,'A-1 Site Habitat Baseline'!$D$1:$O$258,8,FALSE))))</f>
        <v/>
      </c>
      <c r="K185" s="520" t="str">
        <f>IF(E185="","",IF(ISNA(VLOOKUP($E185,'A-1 Site Habitat Baseline'!$D$1:$O$258,9,FALSE)),"",(VLOOKUP($E185,'A-1 Site Habitat Baseline'!$D$1:$O$258,9,FALSE))))</f>
        <v/>
      </c>
      <c r="L185" s="520" t="str">
        <f>IF(E185="","",IF(ISNA(VLOOKUP($E185,'A-1 Site Habitat Baseline'!$D$1:$O$258,11,FALSE)),"",(VLOOKUP($E185,'A-1 Site Habitat Baseline'!$D$1:$O$258,11,FALSE))))</f>
        <v/>
      </c>
      <c r="M185" s="520" t="str">
        <f>IF(E185="","",IF(ISNA(VLOOKUP($E185,'A-1 Site Habitat Baseline'!$D$1:$O$258,12,FALSE)),"",(VLOOKUP($E185,'A-1 Site Habitat Baseline'!$D$1:$O$258,12,FALSE))))</f>
        <v/>
      </c>
      <c r="N185" s="532" t="str">
        <f>IF(E185="","",IF(ISNA(VLOOKUP($E185,'A-1 Site Habitat Baseline'!$D$1:$X$258,14,FALSE)),"",(VLOOKUP($E185,'A-1 Site Habitat Baseline'!$D$1:$X$258,14,FALSE))))</f>
        <v/>
      </c>
      <c r="O185" s="524" t="str">
        <f>IF(E185="","",IF(ISNA(VLOOKUP($E185,'A-1 Site Habitat Baseline'!$D$1:$X$258,16,FALSE)),"",(VLOOKUP($E185,'A-1 Site Habitat Baseline'!$D$1:$X$258,13,FALSE))))</f>
        <v/>
      </c>
      <c r="P185" s="237" t="str">
        <f>IFERROR(INDEX('G-1 All Habitats'!$AG$3:$AG$15,MATCH(Q185,'G-1 All Habitats'!$AF$3:$AF$15,0)),"")</f>
        <v/>
      </c>
      <c r="Q185" s="238" t="str">
        <f t="shared" si="26"/>
        <v/>
      </c>
      <c r="R185" s="238" t="str">
        <f t="shared" si="27"/>
        <v/>
      </c>
      <c r="S185" s="392" t="str">
        <f>IFERROR(INDEX('G-1 All Habitats'!$B$3:$B$129,MATCH(R185,'G-1 All Habitats'!$A$3:$A$129,0)),"")</f>
        <v/>
      </c>
      <c r="T185" s="498" t="str">
        <f t="shared" si="28"/>
        <v/>
      </c>
      <c r="U185" s="499" t="str">
        <f t="shared" si="29"/>
        <v/>
      </c>
      <c r="V185" s="537" t="str">
        <f t="shared" si="23"/>
        <v/>
      </c>
      <c r="W185" s="520" t="str">
        <f>IF(S185="","",VLOOKUP(S185,'G-1 All Habitats'!$B$2:$M$129,10,FALSE))</f>
        <v/>
      </c>
      <c r="X185" s="520" t="str">
        <f>IFERROR(VLOOKUP(W185,'G-1 All Habitats'!$V$3:$W$7,2,FALSE),"")</f>
        <v/>
      </c>
      <c r="Y185" s="79"/>
      <c r="Z185" s="524" t="str">
        <f>IFERROR(INDEX('G-8 Condition Look up'!$A$3:$H$130,MATCH(S185,'G-8 Condition Look up'!$A$3:$A$130,0),MATCH(Y185,'G-8 Condition Look up'!$A$3:$H$3,0)),"")</f>
        <v/>
      </c>
      <c r="AA185" s="71"/>
      <c r="AB185" s="520" t="str">
        <f>IF(AA185="","",IF(VLOOKUP(AA185,'G-3 Multipliers'!$L$3:$N$6,2,FALSE)=0,"Spatial Data Missing ⚠",VLOOKUP(AA185,'G-3 Multipliers'!$L$3:$N$6,2,FALSE)))</f>
        <v/>
      </c>
      <c r="AC185" s="524" t="str">
        <f>IF(AA185="","",IF(VLOOKUP(AA185,'G-3 Multipliers'!$L$3:$N$6,3,FALSE)=0,"Spatial Data Missing ⚠",VLOOKUP(AA185,'G-3 Multipliers'!$L$3:$N$6,3,FALSE)))</f>
        <v/>
      </c>
      <c r="AD185" s="539" t="str">
        <f t="shared" si="24"/>
        <v/>
      </c>
      <c r="AE185" s="82"/>
      <c r="AF185" s="82"/>
      <c r="AG185" s="507" t="str">
        <f t="shared" si="30"/>
        <v/>
      </c>
      <c r="AH185" s="521" t="str">
        <f t="shared" si="31"/>
        <v/>
      </c>
      <c r="AI185" s="522" t="str">
        <f>IF(AH185="Check Data","Check Data",IFERROR(VLOOKUP(AH185,'G-4 Temporal multipliers'!$A$4:$C$36,3,FALSE),""))</f>
        <v/>
      </c>
      <c r="AJ185" s="498" t="str">
        <f>IF(S185="","",VLOOKUP(S185,'G-3 Multipliers'!$A$2:$E$129,4,FALSE))</f>
        <v/>
      </c>
      <c r="AK185" s="507" t="str">
        <f t="shared" si="32"/>
        <v/>
      </c>
      <c r="AL185" s="507" t="str">
        <f t="shared" si="33"/>
        <v/>
      </c>
      <c r="AM185" s="540" t="str">
        <f>IFERROR(IF(F185="","",IF(AH185="Check Data ⚠","Check Data ⚠",VLOOKUP(AL185, 'G-3 Multipliers'!$P$2:$Q$6,2,FALSE))),"")</f>
        <v/>
      </c>
      <c r="AN185" s="513" t="str">
        <f t="shared" si="25"/>
        <v/>
      </c>
      <c r="AO185" s="239"/>
      <c r="AP185" s="240"/>
    </row>
    <row r="186" spans="1:42" x14ac:dyDescent="0.25">
      <c r="A186" s="47" t="str">
        <f>IF(E186="","",IF(ISNA(VLOOKUP($E186,'A-1 Site Habitat Baseline'!$D$1:$O$258,2,FALSE)),"",(VLOOKUP($E186,'A-1 Site Habitat Baseline'!$D$1:$O$258,2,FALSE))))</f>
        <v/>
      </c>
      <c r="B186" s="47" t="str">
        <f>IF(E186="","",IF(ISNA(VLOOKUP($E186,'A-1 Site Habitat Baseline'!$D$1:$O$258,3,FALSE)),"",(VLOOKUP($E186,'A-1 Site Habitat Baseline'!$D$1:$O$258,3,FALSE))))</f>
        <v/>
      </c>
      <c r="C186" s="47" t="str">
        <f>IFERROR(INDEX('G-8 Condition Look up'!$I$4:$I$130,MATCH(S186,'G-8 Condition Look up'!$A$4:$A$130,0)),"")</f>
        <v/>
      </c>
      <c r="E186" s="531" t="str">
        <f>'A-1 Site Habitat Baseline'!AL185</f>
        <v/>
      </c>
      <c r="F186" s="520" t="str">
        <f>IF(E186="","",IF(ISNA(VLOOKUP($E186,'A-1 Site Habitat Baseline'!$D$1:$O$258,4,FALSE)),"",(VLOOKUP($E186,'A-1 Site Habitat Baseline'!$D$1:$O$258,4,FALSE))))</f>
        <v/>
      </c>
      <c r="G186" s="520" t="str">
        <f>IF(E186="","",IF(ISNA(VLOOKUP($E186,'A-1 Site Habitat Baseline'!$D$1:$O$258,5,FALSE)),"",(VLOOKUP($E186,'A-1 Site Habitat Baseline'!$D$1:$O$258,5,FALSE))))</f>
        <v/>
      </c>
      <c r="H186" s="520" t="str">
        <f>IF(E186="","",IF(ISNA(VLOOKUP($E186,'A-1 Site Habitat Baseline'!$D$1:$O$258,6,FALSE)),"",(VLOOKUP($E186,'A-1 Site Habitat Baseline'!$D$1:$O$258,6,FALSE))))</f>
        <v/>
      </c>
      <c r="I186" s="520" t="str">
        <f>IF(E186="","",IF(ISNA(VLOOKUP($E186,'A-1 Site Habitat Baseline'!$D$1:$O$258,7,FALSE)),"",(VLOOKUP($E186,'A-1 Site Habitat Baseline'!$D$1:$O$258,7,FALSE))))</f>
        <v/>
      </c>
      <c r="J186" s="520" t="str">
        <f>IF(E186="","",IF(ISNA(VLOOKUP($E186,'A-1 Site Habitat Baseline'!$D$1:$O$258,8,FALSE)),"",(VLOOKUP($E186,'A-1 Site Habitat Baseline'!$D$1:$O$258,8,FALSE))))</f>
        <v/>
      </c>
      <c r="K186" s="520" t="str">
        <f>IF(E186="","",IF(ISNA(VLOOKUP($E186,'A-1 Site Habitat Baseline'!$D$1:$O$258,9,FALSE)),"",(VLOOKUP($E186,'A-1 Site Habitat Baseline'!$D$1:$O$258,9,FALSE))))</f>
        <v/>
      </c>
      <c r="L186" s="520" t="str">
        <f>IF(E186="","",IF(ISNA(VLOOKUP($E186,'A-1 Site Habitat Baseline'!$D$1:$O$258,11,FALSE)),"",(VLOOKUP($E186,'A-1 Site Habitat Baseline'!$D$1:$O$258,11,FALSE))))</f>
        <v/>
      </c>
      <c r="M186" s="520" t="str">
        <f>IF(E186="","",IF(ISNA(VLOOKUP($E186,'A-1 Site Habitat Baseline'!$D$1:$O$258,12,FALSE)),"",(VLOOKUP($E186,'A-1 Site Habitat Baseline'!$D$1:$O$258,12,FALSE))))</f>
        <v/>
      </c>
      <c r="N186" s="532" t="str">
        <f>IF(E186="","",IF(ISNA(VLOOKUP($E186,'A-1 Site Habitat Baseline'!$D$1:$X$258,14,FALSE)),"",(VLOOKUP($E186,'A-1 Site Habitat Baseline'!$D$1:$X$258,14,FALSE))))</f>
        <v/>
      </c>
      <c r="O186" s="524" t="str">
        <f>IF(E186="","",IF(ISNA(VLOOKUP($E186,'A-1 Site Habitat Baseline'!$D$1:$X$258,16,FALSE)),"",(VLOOKUP($E186,'A-1 Site Habitat Baseline'!$D$1:$X$258,13,FALSE))))</f>
        <v/>
      </c>
      <c r="P186" s="237" t="str">
        <f>IFERROR(INDEX('G-1 All Habitats'!$AG$3:$AG$15,MATCH(Q186,'G-1 All Habitats'!$AF$3:$AF$15,0)),"")</f>
        <v/>
      </c>
      <c r="Q186" s="238" t="str">
        <f t="shared" si="26"/>
        <v/>
      </c>
      <c r="R186" s="238" t="str">
        <f t="shared" si="27"/>
        <v/>
      </c>
      <c r="S186" s="392" t="str">
        <f>IFERROR(INDEX('G-1 All Habitats'!$B$3:$B$129,MATCH(R186,'G-1 All Habitats'!$A$3:$A$129,0)),"")</f>
        <v/>
      </c>
      <c r="T186" s="498" t="str">
        <f t="shared" si="28"/>
        <v/>
      </c>
      <c r="U186" s="499" t="str">
        <f t="shared" si="29"/>
        <v/>
      </c>
      <c r="V186" s="537" t="str">
        <f t="shared" si="23"/>
        <v/>
      </c>
      <c r="W186" s="520" t="str">
        <f>IF(S186="","",VLOOKUP(S186,'G-1 All Habitats'!$B$2:$M$129,10,FALSE))</f>
        <v/>
      </c>
      <c r="X186" s="520" t="str">
        <f>IFERROR(VLOOKUP(W186,'G-1 All Habitats'!$V$3:$W$7,2,FALSE),"")</f>
        <v/>
      </c>
      <c r="Y186" s="79"/>
      <c r="Z186" s="524" t="str">
        <f>IFERROR(INDEX('G-8 Condition Look up'!$A$3:$H$130,MATCH(S186,'G-8 Condition Look up'!$A$3:$A$130,0),MATCH(Y186,'G-8 Condition Look up'!$A$3:$H$3,0)),"")</f>
        <v/>
      </c>
      <c r="AA186" s="71"/>
      <c r="AB186" s="520" t="str">
        <f>IF(AA186="","",IF(VLOOKUP(AA186,'G-3 Multipliers'!$L$3:$N$6,2,FALSE)=0,"Spatial Data Missing ⚠",VLOOKUP(AA186,'G-3 Multipliers'!$L$3:$N$6,2,FALSE)))</f>
        <v/>
      </c>
      <c r="AC186" s="524" t="str">
        <f>IF(AA186="","",IF(VLOOKUP(AA186,'G-3 Multipliers'!$L$3:$N$6,3,FALSE)=0,"Spatial Data Missing ⚠",VLOOKUP(AA186,'G-3 Multipliers'!$L$3:$N$6,3,FALSE)))</f>
        <v/>
      </c>
      <c r="AD186" s="539" t="str">
        <f t="shared" si="24"/>
        <v/>
      </c>
      <c r="AE186" s="82"/>
      <c r="AF186" s="82"/>
      <c r="AG186" s="507" t="str">
        <f t="shared" si="30"/>
        <v/>
      </c>
      <c r="AH186" s="521" t="str">
        <f t="shared" si="31"/>
        <v/>
      </c>
      <c r="AI186" s="522" t="str">
        <f>IF(AH186="Check Data","Check Data",IFERROR(VLOOKUP(AH186,'G-4 Temporal multipliers'!$A$4:$C$36,3,FALSE),""))</f>
        <v/>
      </c>
      <c r="AJ186" s="498" t="str">
        <f>IF(S186="","",VLOOKUP(S186,'G-3 Multipliers'!$A$2:$E$129,4,FALSE))</f>
        <v/>
      </c>
      <c r="AK186" s="507" t="str">
        <f t="shared" si="32"/>
        <v/>
      </c>
      <c r="AL186" s="507" t="str">
        <f t="shared" si="33"/>
        <v/>
      </c>
      <c r="AM186" s="540" t="str">
        <f>IFERROR(IF(F186="","",IF(AH186="Check Data ⚠","Check Data ⚠",VLOOKUP(AL186, 'G-3 Multipliers'!$P$2:$Q$6,2,FALSE))),"")</f>
        <v/>
      </c>
      <c r="AN186" s="513" t="str">
        <f t="shared" si="25"/>
        <v/>
      </c>
      <c r="AO186" s="239"/>
      <c r="AP186" s="240"/>
    </row>
    <row r="187" spans="1:42" x14ac:dyDescent="0.25">
      <c r="A187" s="47" t="str">
        <f>IF(E187="","",IF(ISNA(VLOOKUP($E187,'A-1 Site Habitat Baseline'!$D$1:$O$258,2,FALSE)),"",(VLOOKUP($E187,'A-1 Site Habitat Baseline'!$D$1:$O$258,2,FALSE))))</f>
        <v/>
      </c>
      <c r="B187" s="47" t="str">
        <f>IF(E187="","",IF(ISNA(VLOOKUP($E187,'A-1 Site Habitat Baseline'!$D$1:$O$258,3,FALSE)),"",(VLOOKUP($E187,'A-1 Site Habitat Baseline'!$D$1:$O$258,3,FALSE))))</f>
        <v/>
      </c>
      <c r="C187" s="47" t="str">
        <f>IFERROR(INDEX('G-8 Condition Look up'!$I$4:$I$130,MATCH(S187,'G-8 Condition Look up'!$A$4:$A$130,0)),"")</f>
        <v/>
      </c>
      <c r="E187" s="531" t="str">
        <f>'A-1 Site Habitat Baseline'!AL186</f>
        <v/>
      </c>
      <c r="F187" s="520" t="str">
        <f>IF(E187="","",IF(ISNA(VLOOKUP($E187,'A-1 Site Habitat Baseline'!$D$1:$O$258,4,FALSE)),"",(VLOOKUP($E187,'A-1 Site Habitat Baseline'!$D$1:$O$258,4,FALSE))))</f>
        <v/>
      </c>
      <c r="G187" s="520" t="str">
        <f>IF(E187="","",IF(ISNA(VLOOKUP($E187,'A-1 Site Habitat Baseline'!$D$1:$O$258,5,FALSE)),"",(VLOOKUP($E187,'A-1 Site Habitat Baseline'!$D$1:$O$258,5,FALSE))))</f>
        <v/>
      </c>
      <c r="H187" s="520" t="str">
        <f>IF(E187="","",IF(ISNA(VLOOKUP($E187,'A-1 Site Habitat Baseline'!$D$1:$O$258,6,FALSE)),"",(VLOOKUP($E187,'A-1 Site Habitat Baseline'!$D$1:$O$258,6,FALSE))))</f>
        <v/>
      </c>
      <c r="I187" s="520" t="str">
        <f>IF(E187="","",IF(ISNA(VLOOKUP($E187,'A-1 Site Habitat Baseline'!$D$1:$O$258,7,FALSE)),"",(VLOOKUP($E187,'A-1 Site Habitat Baseline'!$D$1:$O$258,7,FALSE))))</f>
        <v/>
      </c>
      <c r="J187" s="520" t="str">
        <f>IF(E187="","",IF(ISNA(VLOOKUP($E187,'A-1 Site Habitat Baseline'!$D$1:$O$258,8,FALSE)),"",(VLOOKUP($E187,'A-1 Site Habitat Baseline'!$D$1:$O$258,8,FALSE))))</f>
        <v/>
      </c>
      <c r="K187" s="520" t="str">
        <f>IF(E187="","",IF(ISNA(VLOOKUP($E187,'A-1 Site Habitat Baseline'!$D$1:$O$258,9,FALSE)),"",(VLOOKUP($E187,'A-1 Site Habitat Baseline'!$D$1:$O$258,9,FALSE))))</f>
        <v/>
      </c>
      <c r="L187" s="520" t="str">
        <f>IF(E187="","",IF(ISNA(VLOOKUP($E187,'A-1 Site Habitat Baseline'!$D$1:$O$258,11,FALSE)),"",(VLOOKUP($E187,'A-1 Site Habitat Baseline'!$D$1:$O$258,11,FALSE))))</f>
        <v/>
      </c>
      <c r="M187" s="520" t="str">
        <f>IF(E187="","",IF(ISNA(VLOOKUP($E187,'A-1 Site Habitat Baseline'!$D$1:$O$258,12,FALSE)),"",(VLOOKUP($E187,'A-1 Site Habitat Baseline'!$D$1:$O$258,12,FALSE))))</f>
        <v/>
      </c>
      <c r="N187" s="532" t="str">
        <f>IF(E187="","",IF(ISNA(VLOOKUP($E187,'A-1 Site Habitat Baseline'!$D$1:$X$258,14,FALSE)),"",(VLOOKUP($E187,'A-1 Site Habitat Baseline'!$D$1:$X$258,14,FALSE))))</f>
        <v/>
      </c>
      <c r="O187" s="524" t="str">
        <f>IF(E187="","",IF(ISNA(VLOOKUP($E187,'A-1 Site Habitat Baseline'!$D$1:$X$258,16,FALSE)),"",(VLOOKUP($E187,'A-1 Site Habitat Baseline'!$D$1:$X$258,13,FALSE))))</f>
        <v/>
      </c>
      <c r="P187" s="237" t="str">
        <f>IFERROR(INDEX('G-1 All Habitats'!$AG$3:$AG$15,MATCH(Q187,'G-1 All Habitats'!$AF$3:$AF$15,0)),"")</f>
        <v/>
      </c>
      <c r="Q187" s="238" t="str">
        <f t="shared" si="26"/>
        <v/>
      </c>
      <c r="R187" s="238" t="str">
        <f t="shared" si="27"/>
        <v/>
      </c>
      <c r="S187" s="392" t="str">
        <f>IFERROR(INDEX('G-1 All Habitats'!$B$3:$B$129,MATCH(R187,'G-1 All Habitats'!$A$3:$A$129,0)),"")</f>
        <v/>
      </c>
      <c r="T187" s="498" t="str">
        <f t="shared" si="28"/>
        <v/>
      </c>
      <c r="U187" s="499" t="str">
        <f t="shared" si="29"/>
        <v/>
      </c>
      <c r="V187" s="537" t="str">
        <f t="shared" si="23"/>
        <v/>
      </c>
      <c r="W187" s="520" t="str">
        <f>IF(S187="","",VLOOKUP(S187,'G-1 All Habitats'!$B$2:$M$129,10,FALSE))</f>
        <v/>
      </c>
      <c r="X187" s="520" t="str">
        <f>IFERROR(VLOOKUP(W187,'G-1 All Habitats'!$V$3:$W$7,2,FALSE),"")</f>
        <v/>
      </c>
      <c r="Y187" s="79"/>
      <c r="Z187" s="524" t="str">
        <f>IFERROR(INDEX('G-8 Condition Look up'!$A$3:$H$130,MATCH(S187,'G-8 Condition Look up'!$A$3:$A$130,0),MATCH(Y187,'G-8 Condition Look up'!$A$3:$H$3,0)),"")</f>
        <v/>
      </c>
      <c r="AA187" s="71"/>
      <c r="AB187" s="520" t="str">
        <f>IF(AA187="","",IF(VLOOKUP(AA187,'G-3 Multipliers'!$L$3:$N$6,2,FALSE)=0,"Spatial Data Missing ⚠",VLOOKUP(AA187,'G-3 Multipliers'!$L$3:$N$6,2,FALSE)))</f>
        <v/>
      </c>
      <c r="AC187" s="524" t="str">
        <f>IF(AA187="","",IF(VLOOKUP(AA187,'G-3 Multipliers'!$L$3:$N$6,3,FALSE)=0,"Spatial Data Missing ⚠",VLOOKUP(AA187,'G-3 Multipliers'!$L$3:$N$6,3,FALSE)))</f>
        <v/>
      </c>
      <c r="AD187" s="539" t="str">
        <f t="shared" si="24"/>
        <v/>
      </c>
      <c r="AE187" s="82"/>
      <c r="AF187" s="82"/>
      <c r="AG187" s="507" t="str">
        <f t="shared" si="30"/>
        <v/>
      </c>
      <c r="AH187" s="521" t="str">
        <f t="shared" si="31"/>
        <v/>
      </c>
      <c r="AI187" s="522" t="str">
        <f>IF(AH187="Check Data","Check Data",IFERROR(VLOOKUP(AH187,'G-4 Temporal multipliers'!$A$4:$C$36,3,FALSE),""))</f>
        <v/>
      </c>
      <c r="AJ187" s="498" t="str">
        <f>IF(S187="","",VLOOKUP(S187,'G-3 Multipliers'!$A$2:$E$129,4,FALSE))</f>
        <v/>
      </c>
      <c r="AK187" s="507" t="str">
        <f t="shared" si="32"/>
        <v/>
      </c>
      <c r="AL187" s="507" t="str">
        <f t="shared" si="33"/>
        <v/>
      </c>
      <c r="AM187" s="540" t="str">
        <f>IFERROR(IF(F187="","",IF(AH187="Check Data ⚠","Check Data ⚠",VLOOKUP(AL187, 'G-3 Multipliers'!$P$2:$Q$6,2,FALSE))),"")</f>
        <v/>
      </c>
      <c r="AN187" s="513" t="str">
        <f t="shared" si="25"/>
        <v/>
      </c>
      <c r="AO187" s="239"/>
      <c r="AP187" s="240"/>
    </row>
    <row r="188" spans="1:42" x14ac:dyDescent="0.25">
      <c r="A188" s="47" t="str">
        <f>IF(E188="","",IF(ISNA(VLOOKUP($E188,'A-1 Site Habitat Baseline'!$D$1:$O$258,2,FALSE)),"",(VLOOKUP($E188,'A-1 Site Habitat Baseline'!$D$1:$O$258,2,FALSE))))</f>
        <v/>
      </c>
      <c r="B188" s="47" t="str">
        <f>IF(E188="","",IF(ISNA(VLOOKUP($E188,'A-1 Site Habitat Baseline'!$D$1:$O$258,3,FALSE)),"",(VLOOKUP($E188,'A-1 Site Habitat Baseline'!$D$1:$O$258,3,FALSE))))</f>
        <v/>
      </c>
      <c r="C188" s="47" t="str">
        <f>IFERROR(INDEX('G-8 Condition Look up'!$I$4:$I$130,MATCH(S188,'G-8 Condition Look up'!$A$4:$A$130,0)),"")</f>
        <v/>
      </c>
      <c r="E188" s="531" t="str">
        <f>'A-1 Site Habitat Baseline'!AL187</f>
        <v/>
      </c>
      <c r="F188" s="520" t="str">
        <f>IF(E188="","",IF(ISNA(VLOOKUP($E188,'A-1 Site Habitat Baseline'!$D$1:$O$258,4,FALSE)),"",(VLOOKUP($E188,'A-1 Site Habitat Baseline'!$D$1:$O$258,4,FALSE))))</f>
        <v/>
      </c>
      <c r="G188" s="520" t="str">
        <f>IF(E188="","",IF(ISNA(VLOOKUP($E188,'A-1 Site Habitat Baseline'!$D$1:$O$258,5,FALSE)),"",(VLOOKUP($E188,'A-1 Site Habitat Baseline'!$D$1:$O$258,5,FALSE))))</f>
        <v/>
      </c>
      <c r="H188" s="520" t="str">
        <f>IF(E188="","",IF(ISNA(VLOOKUP($E188,'A-1 Site Habitat Baseline'!$D$1:$O$258,6,FALSE)),"",(VLOOKUP($E188,'A-1 Site Habitat Baseline'!$D$1:$O$258,6,FALSE))))</f>
        <v/>
      </c>
      <c r="I188" s="520" t="str">
        <f>IF(E188="","",IF(ISNA(VLOOKUP($E188,'A-1 Site Habitat Baseline'!$D$1:$O$258,7,FALSE)),"",(VLOOKUP($E188,'A-1 Site Habitat Baseline'!$D$1:$O$258,7,FALSE))))</f>
        <v/>
      </c>
      <c r="J188" s="520" t="str">
        <f>IF(E188="","",IF(ISNA(VLOOKUP($E188,'A-1 Site Habitat Baseline'!$D$1:$O$258,8,FALSE)),"",(VLOOKUP($E188,'A-1 Site Habitat Baseline'!$D$1:$O$258,8,FALSE))))</f>
        <v/>
      </c>
      <c r="K188" s="520" t="str">
        <f>IF(E188="","",IF(ISNA(VLOOKUP($E188,'A-1 Site Habitat Baseline'!$D$1:$O$258,9,FALSE)),"",(VLOOKUP($E188,'A-1 Site Habitat Baseline'!$D$1:$O$258,9,FALSE))))</f>
        <v/>
      </c>
      <c r="L188" s="520" t="str">
        <f>IF(E188="","",IF(ISNA(VLOOKUP($E188,'A-1 Site Habitat Baseline'!$D$1:$O$258,11,FALSE)),"",(VLOOKUP($E188,'A-1 Site Habitat Baseline'!$D$1:$O$258,11,FALSE))))</f>
        <v/>
      </c>
      <c r="M188" s="520" t="str">
        <f>IF(E188="","",IF(ISNA(VLOOKUP($E188,'A-1 Site Habitat Baseline'!$D$1:$O$258,12,FALSE)),"",(VLOOKUP($E188,'A-1 Site Habitat Baseline'!$D$1:$O$258,12,FALSE))))</f>
        <v/>
      </c>
      <c r="N188" s="532" t="str">
        <f>IF(E188="","",IF(ISNA(VLOOKUP($E188,'A-1 Site Habitat Baseline'!$D$1:$X$258,14,FALSE)),"",(VLOOKUP($E188,'A-1 Site Habitat Baseline'!$D$1:$X$258,14,FALSE))))</f>
        <v/>
      </c>
      <c r="O188" s="524" t="str">
        <f>IF(E188="","",IF(ISNA(VLOOKUP($E188,'A-1 Site Habitat Baseline'!$D$1:$X$258,16,FALSE)),"",(VLOOKUP($E188,'A-1 Site Habitat Baseline'!$D$1:$X$258,13,FALSE))))</f>
        <v/>
      </c>
      <c r="P188" s="237" t="str">
        <f>IFERROR(INDEX('G-1 All Habitats'!$AG$3:$AG$15,MATCH(Q188,'G-1 All Habitats'!$AF$3:$AF$15,0)),"")</f>
        <v/>
      </c>
      <c r="Q188" s="238" t="str">
        <f t="shared" si="26"/>
        <v/>
      </c>
      <c r="R188" s="238" t="str">
        <f t="shared" si="27"/>
        <v/>
      </c>
      <c r="S188" s="392" t="str">
        <f>IFERROR(INDEX('G-1 All Habitats'!$B$3:$B$129,MATCH(R188,'G-1 All Habitats'!$A$3:$A$129,0)),"")</f>
        <v/>
      </c>
      <c r="T188" s="498" t="str">
        <f t="shared" si="28"/>
        <v/>
      </c>
      <c r="U188" s="499" t="str">
        <f t="shared" si="29"/>
        <v/>
      </c>
      <c r="V188" s="537" t="str">
        <f t="shared" si="23"/>
        <v/>
      </c>
      <c r="W188" s="520" t="str">
        <f>IF(S188="","",VLOOKUP(S188,'G-1 All Habitats'!$B$2:$M$129,10,FALSE))</f>
        <v/>
      </c>
      <c r="X188" s="520" t="str">
        <f>IFERROR(VLOOKUP(W188,'G-1 All Habitats'!$V$3:$W$7,2,FALSE),"")</f>
        <v/>
      </c>
      <c r="Y188" s="79"/>
      <c r="Z188" s="524" t="str">
        <f>IFERROR(INDEX('G-8 Condition Look up'!$A$3:$H$130,MATCH(S188,'G-8 Condition Look up'!$A$3:$A$130,0),MATCH(Y188,'G-8 Condition Look up'!$A$3:$H$3,0)),"")</f>
        <v/>
      </c>
      <c r="AA188" s="71"/>
      <c r="AB188" s="520" t="str">
        <f>IF(AA188="","",IF(VLOOKUP(AA188,'G-3 Multipliers'!$L$3:$N$6,2,FALSE)=0,"Spatial Data Missing ⚠",VLOOKUP(AA188,'G-3 Multipliers'!$L$3:$N$6,2,FALSE)))</f>
        <v/>
      </c>
      <c r="AC188" s="524" t="str">
        <f>IF(AA188="","",IF(VLOOKUP(AA188,'G-3 Multipliers'!$L$3:$N$6,3,FALSE)=0,"Spatial Data Missing ⚠",VLOOKUP(AA188,'G-3 Multipliers'!$L$3:$N$6,3,FALSE)))</f>
        <v/>
      </c>
      <c r="AD188" s="539" t="str">
        <f t="shared" si="24"/>
        <v/>
      </c>
      <c r="AE188" s="82"/>
      <c r="AF188" s="82"/>
      <c r="AG188" s="507" t="str">
        <f t="shared" si="30"/>
        <v/>
      </c>
      <c r="AH188" s="521" t="str">
        <f t="shared" si="31"/>
        <v/>
      </c>
      <c r="AI188" s="522" t="str">
        <f>IF(AH188="Check Data","Check Data",IFERROR(VLOOKUP(AH188,'G-4 Temporal multipliers'!$A$4:$C$36,3,FALSE),""))</f>
        <v/>
      </c>
      <c r="AJ188" s="498" t="str">
        <f>IF(S188="","",VLOOKUP(S188,'G-3 Multipliers'!$A$2:$E$129,4,FALSE))</f>
        <v/>
      </c>
      <c r="AK188" s="507" t="str">
        <f t="shared" si="32"/>
        <v/>
      </c>
      <c r="AL188" s="507" t="str">
        <f t="shared" si="33"/>
        <v/>
      </c>
      <c r="AM188" s="540" t="str">
        <f>IFERROR(IF(F188="","",IF(AH188="Check Data ⚠","Check Data ⚠",VLOOKUP(AL188, 'G-3 Multipliers'!$P$2:$Q$6,2,FALSE))),"")</f>
        <v/>
      </c>
      <c r="AN188" s="513" t="str">
        <f t="shared" si="25"/>
        <v/>
      </c>
      <c r="AO188" s="239"/>
      <c r="AP188" s="240"/>
    </row>
    <row r="189" spans="1:42" x14ac:dyDescent="0.25">
      <c r="A189" s="47" t="str">
        <f>IF(E189="","",IF(ISNA(VLOOKUP($E189,'A-1 Site Habitat Baseline'!$D$1:$O$258,2,FALSE)),"",(VLOOKUP($E189,'A-1 Site Habitat Baseline'!$D$1:$O$258,2,FALSE))))</f>
        <v/>
      </c>
      <c r="B189" s="47" t="str">
        <f>IF(E189="","",IF(ISNA(VLOOKUP($E189,'A-1 Site Habitat Baseline'!$D$1:$O$258,3,FALSE)),"",(VLOOKUP($E189,'A-1 Site Habitat Baseline'!$D$1:$O$258,3,FALSE))))</f>
        <v/>
      </c>
      <c r="C189" s="47" t="str">
        <f>IFERROR(INDEX('G-8 Condition Look up'!$I$4:$I$130,MATCH(S189,'G-8 Condition Look up'!$A$4:$A$130,0)),"")</f>
        <v/>
      </c>
      <c r="E189" s="531" t="str">
        <f>'A-1 Site Habitat Baseline'!AL188</f>
        <v/>
      </c>
      <c r="F189" s="520" t="str">
        <f>IF(E189="","",IF(ISNA(VLOOKUP($E189,'A-1 Site Habitat Baseline'!$D$1:$O$258,4,FALSE)),"",(VLOOKUP($E189,'A-1 Site Habitat Baseline'!$D$1:$O$258,4,FALSE))))</f>
        <v/>
      </c>
      <c r="G189" s="520" t="str">
        <f>IF(E189="","",IF(ISNA(VLOOKUP($E189,'A-1 Site Habitat Baseline'!$D$1:$O$258,5,FALSE)),"",(VLOOKUP($E189,'A-1 Site Habitat Baseline'!$D$1:$O$258,5,FALSE))))</f>
        <v/>
      </c>
      <c r="H189" s="520" t="str">
        <f>IF(E189="","",IF(ISNA(VLOOKUP($E189,'A-1 Site Habitat Baseline'!$D$1:$O$258,6,FALSE)),"",(VLOOKUP($E189,'A-1 Site Habitat Baseline'!$D$1:$O$258,6,FALSE))))</f>
        <v/>
      </c>
      <c r="I189" s="520" t="str">
        <f>IF(E189="","",IF(ISNA(VLOOKUP($E189,'A-1 Site Habitat Baseline'!$D$1:$O$258,7,FALSE)),"",(VLOOKUP($E189,'A-1 Site Habitat Baseline'!$D$1:$O$258,7,FALSE))))</f>
        <v/>
      </c>
      <c r="J189" s="520" t="str">
        <f>IF(E189="","",IF(ISNA(VLOOKUP($E189,'A-1 Site Habitat Baseline'!$D$1:$O$258,8,FALSE)),"",(VLOOKUP($E189,'A-1 Site Habitat Baseline'!$D$1:$O$258,8,FALSE))))</f>
        <v/>
      </c>
      <c r="K189" s="520" t="str">
        <f>IF(E189="","",IF(ISNA(VLOOKUP($E189,'A-1 Site Habitat Baseline'!$D$1:$O$258,9,FALSE)),"",(VLOOKUP($E189,'A-1 Site Habitat Baseline'!$D$1:$O$258,9,FALSE))))</f>
        <v/>
      </c>
      <c r="L189" s="520" t="str">
        <f>IF(E189="","",IF(ISNA(VLOOKUP($E189,'A-1 Site Habitat Baseline'!$D$1:$O$258,11,FALSE)),"",(VLOOKUP($E189,'A-1 Site Habitat Baseline'!$D$1:$O$258,11,FALSE))))</f>
        <v/>
      </c>
      <c r="M189" s="520" t="str">
        <f>IF(E189="","",IF(ISNA(VLOOKUP($E189,'A-1 Site Habitat Baseline'!$D$1:$O$258,12,FALSE)),"",(VLOOKUP($E189,'A-1 Site Habitat Baseline'!$D$1:$O$258,12,FALSE))))</f>
        <v/>
      </c>
      <c r="N189" s="532" t="str">
        <f>IF(E189="","",IF(ISNA(VLOOKUP($E189,'A-1 Site Habitat Baseline'!$D$1:$X$258,14,FALSE)),"",(VLOOKUP($E189,'A-1 Site Habitat Baseline'!$D$1:$X$258,14,FALSE))))</f>
        <v/>
      </c>
      <c r="O189" s="524" t="str">
        <f>IF(E189="","",IF(ISNA(VLOOKUP($E189,'A-1 Site Habitat Baseline'!$D$1:$X$258,16,FALSE)),"",(VLOOKUP($E189,'A-1 Site Habitat Baseline'!$D$1:$X$258,13,FALSE))))</f>
        <v/>
      </c>
      <c r="P189" s="237" t="str">
        <f>IFERROR(INDEX('G-1 All Habitats'!$AG$3:$AG$15,MATCH(Q189,'G-1 All Habitats'!$AF$3:$AF$15,0)),"")</f>
        <v/>
      </c>
      <c r="Q189" s="238" t="str">
        <f t="shared" si="26"/>
        <v/>
      </c>
      <c r="R189" s="238" t="str">
        <f t="shared" si="27"/>
        <v/>
      </c>
      <c r="S189" s="392" t="str">
        <f>IFERROR(INDEX('G-1 All Habitats'!$B$3:$B$129,MATCH(R189,'G-1 All Habitats'!$A$3:$A$129,0)),"")</f>
        <v/>
      </c>
      <c r="T189" s="498" t="str">
        <f t="shared" si="28"/>
        <v/>
      </c>
      <c r="U189" s="499" t="str">
        <f t="shared" si="29"/>
        <v/>
      </c>
      <c r="V189" s="537" t="str">
        <f t="shared" si="23"/>
        <v/>
      </c>
      <c r="W189" s="520" t="str">
        <f>IF(S189="","",VLOOKUP(S189,'G-1 All Habitats'!$B$2:$M$129,10,FALSE))</f>
        <v/>
      </c>
      <c r="X189" s="520" t="str">
        <f>IFERROR(VLOOKUP(W189,'G-1 All Habitats'!$V$3:$W$7,2,FALSE),"")</f>
        <v/>
      </c>
      <c r="Y189" s="79"/>
      <c r="Z189" s="524" t="str">
        <f>IFERROR(INDEX('G-8 Condition Look up'!$A$3:$H$130,MATCH(S189,'G-8 Condition Look up'!$A$3:$A$130,0),MATCH(Y189,'G-8 Condition Look up'!$A$3:$H$3,0)),"")</f>
        <v/>
      </c>
      <c r="AA189" s="71"/>
      <c r="AB189" s="520" t="str">
        <f>IF(AA189="","",IF(VLOOKUP(AA189,'G-3 Multipliers'!$L$3:$N$6,2,FALSE)=0,"Spatial Data Missing ⚠",VLOOKUP(AA189,'G-3 Multipliers'!$L$3:$N$6,2,FALSE)))</f>
        <v/>
      </c>
      <c r="AC189" s="524" t="str">
        <f>IF(AA189="","",IF(VLOOKUP(AA189,'G-3 Multipliers'!$L$3:$N$6,3,FALSE)=0,"Spatial Data Missing ⚠",VLOOKUP(AA189,'G-3 Multipliers'!$L$3:$N$6,3,FALSE)))</f>
        <v/>
      </c>
      <c r="AD189" s="539" t="str">
        <f t="shared" si="24"/>
        <v/>
      </c>
      <c r="AE189" s="82"/>
      <c r="AF189" s="82"/>
      <c r="AG189" s="507" t="str">
        <f t="shared" si="30"/>
        <v/>
      </c>
      <c r="AH189" s="521" t="str">
        <f t="shared" si="31"/>
        <v/>
      </c>
      <c r="AI189" s="522" t="str">
        <f>IF(AH189="Check Data","Check Data",IFERROR(VLOOKUP(AH189,'G-4 Temporal multipliers'!$A$4:$C$36,3,FALSE),""))</f>
        <v/>
      </c>
      <c r="AJ189" s="498" t="str">
        <f>IF(S189="","",VLOOKUP(S189,'G-3 Multipliers'!$A$2:$E$129,4,FALSE))</f>
        <v/>
      </c>
      <c r="AK189" s="507" t="str">
        <f t="shared" si="32"/>
        <v/>
      </c>
      <c r="AL189" s="507" t="str">
        <f t="shared" si="33"/>
        <v/>
      </c>
      <c r="AM189" s="540" t="str">
        <f>IFERROR(IF(F189="","",IF(AH189="Check Data ⚠","Check Data ⚠",VLOOKUP(AL189, 'G-3 Multipliers'!$P$2:$Q$6,2,FALSE))),"")</f>
        <v/>
      </c>
      <c r="AN189" s="513" t="str">
        <f t="shared" si="25"/>
        <v/>
      </c>
      <c r="AO189" s="239"/>
      <c r="AP189" s="240"/>
    </row>
    <row r="190" spans="1:42" x14ac:dyDescent="0.25">
      <c r="A190" s="47" t="str">
        <f>IF(E190="","",IF(ISNA(VLOOKUP($E190,'A-1 Site Habitat Baseline'!$D$1:$O$258,2,FALSE)),"",(VLOOKUP($E190,'A-1 Site Habitat Baseline'!$D$1:$O$258,2,FALSE))))</f>
        <v/>
      </c>
      <c r="B190" s="47" t="str">
        <f>IF(E190="","",IF(ISNA(VLOOKUP($E190,'A-1 Site Habitat Baseline'!$D$1:$O$258,3,FALSE)),"",(VLOOKUP($E190,'A-1 Site Habitat Baseline'!$D$1:$O$258,3,FALSE))))</f>
        <v/>
      </c>
      <c r="C190" s="47" t="str">
        <f>IFERROR(INDEX('G-8 Condition Look up'!$I$4:$I$130,MATCH(S190,'G-8 Condition Look up'!$A$4:$A$130,0)),"")</f>
        <v/>
      </c>
      <c r="E190" s="531" t="str">
        <f>'A-1 Site Habitat Baseline'!AL189</f>
        <v/>
      </c>
      <c r="F190" s="520" t="str">
        <f>IF(E190="","",IF(ISNA(VLOOKUP($E190,'A-1 Site Habitat Baseline'!$D$1:$O$258,4,FALSE)),"",(VLOOKUP($E190,'A-1 Site Habitat Baseline'!$D$1:$O$258,4,FALSE))))</f>
        <v/>
      </c>
      <c r="G190" s="520" t="str">
        <f>IF(E190="","",IF(ISNA(VLOOKUP($E190,'A-1 Site Habitat Baseline'!$D$1:$O$258,5,FALSE)),"",(VLOOKUP($E190,'A-1 Site Habitat Baseline'!$D$1:$O$258,5,FALSE))))</f>
        <v/>
      </c>
      <c r="H190" s="520" t="str">
        <f>IF(E190="","",IF(ISNA(VLOOKUP($E190,'A-1 Site Habitat Baseline'!$D$1:$O$258,6,FALSE)),"",(VLOOKUP($E190,'A-1 Site Habitat Baseline'!$D$1:$O$258,6,FALSE))))</f>
        <v/>
      </c>
      <c r="I190" s="520" t="str">
        <f>IF(E190="","",IF(ISNA(VLOOKUP($E190,'A-1 Site Habitat Baseline'!$D$1:$O$258,7,FALSE)),"",(VLOOKUP($E190,'A-1 Site Habitat Baseline'!$D$1:$O$258,7,FALSE))))</f>
        <v/>
      </c>
      <c r="J190" s="520" t="str">
        <f>IF(E190="","",IF(ISNA(VLOOKUP($E190,'A-1 Site Habitat Baseline'!$D$1:$O$258,8,FALSE)),"",(VLOOKUP($E190,'A-1 Site Habitat Baseline'!$D$1:$O$258,8,FALSE))))</f>
        <v/>
      </c>
      <c r="K190" s="520" t="str">
        <f>IF(E190="","",IF(ISNA(VLOOKUP($E190,'A-1 Site Habitat Baseline'!$D$1:$O$258,9,FALSE)),"",(VLOOKUP($E190,'A-1 Site Habitat Baseline'!$D$1:$O$258,9,FALSE))))</f>
        <v/>
      </c>
      <c r="L190" s="520" t="str">
        <f>IF(E190="","",IF(ISNA(VLOOKUP($E190,'A-1 Site Habitat Baseline'!$D$1:$O$258,11,FALSE)),"",(VLOOKUP($E190,'A-1 Site Habitat Baseline'!$D$1:$O$258,11,FALSE))))</f>
        <v/>
      </c>
      <c r="M190" s="520" t="str">
        <f>IF(E190="","",IF(ISNA(VLOOKUP($E190,'A-1 Site Habitat Baseline'!$D$1:$O$258,12,FALSE)),"",(VLOOKUP($E190,'A-1 Site Habitat Baseline'!$D$1:$O$258,12,FALSE))))</f>
        <v/>
      </c>
      <c r="N190" s="532" t="str">
        <f>IF(E190="","",IF(ISNA(VLOOKUP($E190,'A-1 Site Habitat Baseline'!$D$1:$X$258,14,FALSE)),"",(VLOOKUP($E190,'A-1 Site Habitat Baseline'!$D$1:$X$258,14,FALSE))))</f>
        <v/>
      </c>
      <c r="O190" s="524" t="str">
        <f>IF(E190="","",IF(ISNA(VLOOKUP($E190,'A-1 Site Habitat Baseline'!$D$1:$X$258,16,FALSE)),"",(VLOOKUP($E190,'A-1 Site Habitat Baseline'!$D$1:$X$258,13,FALSE))))</f>
        <v/>
      </c>
      <c r="P190" s="237" t="str">
        <f>IFERROR(INDEX('G-1 All Habitats'!$AG$3:$AG$15,MATCH(Q190,'G-1 All Habitats'!$AF$3:$AF$15,0)),"")</f>
        <v/>
      </c>
      <c r="Q190" s="238" t="str">
        <f t="shared" si="26"/>
        <v/>
      </c>
      <c r="R190" s="238" t="str">
        <f t="shared" si="27"/>
        <v/>
      </c>
      <c r="S190" s="392" t="str">
        <f>IFERROR(INDEX('G-1 All Habitats'!$B$3:$B$129,MATCH(R190,'G-1 All Habitats'!$A$3:$A$129,0)),"")</f>
        <v/>
      </c>
      <c r="T190" s="498" t="str">
        <f t="shared" si="28"/>
        <v/>
      </c>
      <c r="U190" s="499" t="str">
        <f t="shared" si="29"/>
        <v/>
      </c>
      <c r="V190" s="537" t="str">
        <f t="shared" si="23"/>
        <v/>
      </c>
      <c r="W190" s="520" t="str">
        <f>IF(S190="","",VLOOKUP(S190,'G-1 All Habitats'!$B$2:$M$129,10,FALSE))</f>
        <v/>
      </c>
      <c r="X190" s="520" t="str">
        <f>IFERROR(VLOOKUP(W190,'G-1 All Habitats'!$V$3:$W$7,2,FALSE),"")</f>
        <v/>
      </c>
      <c r="Y190" s="79"/>
      <c r="Z190" s="524" t="str">
        <f>IFERROR(INDEX('G-8 Condition Look up'!$A$3:$H$130,MATCH(S190,'G-8 Condition Look up'!$A$3:$A$130,0),MATCH(Y190,'G-8 Condition Look up'!$A$3:$H$3,0)),"")</f>
        <v/>
      </c>
      <c r="AA190" s="71"/>
      <c r="AB190" s="520" t="str">
        <f>IF(AA190="","",IF(VLOOKUP(AA190,'G-3 Multipliers'!$L$3:$N$6,2,FALSE)=0,"Spatial Data Missing ⚠",VLOOKUP(AA190,'G-3 Multipliers'!$L$3:$N$6,2,FALSE)))</f>
        <v/>
      </c>
      <c r="AC190" s="524" t="str">
        <f>IF(AA190="","",IF(VLOOKUP(AA190,'G-3 Multipliers'!$L$3:$N$6,3,FALSE)=0,"Spatial Data Missing ⚠",VLOOKUP(AA190,'G-3 Multipliers'!$L$3:$N$6,3,FALSE)))</f>
        <v/>
      </c>
      <c r="AD190" s="539" t="str">
        <f t="shared" si="24"/>
        <v/>
      </c>
      <c r="AE190" s="82"/>
      <c r="AF190" s="82"/>
      <c r="AG190" s="507" t="str">
        <f t="shared" si="30"/>
        <v/>
      </c>
      <c r="AH190" s="521" t="str">
        <f t="shared" si="31"/>
        <v/>
      </c>
      <c r="AI190" s="522" t="str">
        <f>IF(AH190="Check Data","Check Data",IFERROR(VLOOKUP(AH190,'G-4 Temporal multipliers'!$A$4:$C$36,3,FALSE),""))</f>
        <v/>
      </c>
      <c r="AJ190" s="498" t="str">
        <f>IF(S190="","",VLOOKUP(S190,'G-3 Multipliers'!$A$2:$E$129,4,FALSE))</f>
        <v/>
      </c>
      <c r="AK190" s="507" t="str">
        <f t="shared" si="32"/>
        <v/>
      </c>
      <c r="AL190" s="507" t="str">
        <f t="shared" si="33"/>
        <v/>
      </c>
      <c r="AM190" s="540" t="str">
        <f>IFERROR(IF(F190="","",IF(AH190="Check Data ⚠","Check Data ⚠",VLOOKUP(AL190, 'G-3 Multipliers'!$P$2:$Q$6,2,FALSE))),"")</f>
        <v/>
      </c>
      <c r="AN190" s="513" t="str">
        <f t="shared" si="25"/>
        <v/>
      </c>
      <c r="AO190" s="239"/>
      <c r="AP190" s="240"/>
    </row>
    <row r="191" spans="1:42" x14ac:dyDescent="0.25">
      <c r="A191" s="47" t="str">
        <f>IF(E191="","",IF(ISNA(VLOOKUP($E191,'A-1 Site Habitat Baseline'!$D$1:$O$258,2,FALSE)),"",(VLOOKUP($E191,'A-1 Site Habitat Baseline'!$D$1:$O$258,2,FALSE))))</f>
        <v/>
      </c>
      <c r="B191" s="47" t="str">
        <f>IF(E191="","",IF(ISNA(VLOOKUP($E191,'A-1 Site Habitat Baseline'!$D$1:$O$258,3,FALSE)),"",(VLOOKUP($E191,'A-1 Site Habitat Baseline'!$D$1:$O$258,3,FALSE))))</f>
        <v/>
      </c>
      <c r="C191" s="47" t="str">
        <f>IFERROR(INDEX('G-8 Condition Look up'!$I$4:$I$130,MATCH(S191,'G-8 Condition Look up'!$A$4:$A$130,0)),"")</f>
        <v/>
      </c>
      <c r="E191" s="531" t="str">
        <f>'A-1 Site Habitat Baseline'!AL190</f>
        <v/>
      </c>
      <c r="F191" s="520" t="str">
        <f>IF(E191="","",IF(ISNA(VLOOKUP($E191,'A-1 Site Habitat Baseline'!$D$1:$O$258,4,FALSE)),"",(VLOOKUP($E191,'A-1 Site Habitat Baseline'!$D$1:$O$258,4,FALSE))))</f>
        <v/>
      </c>
      <c r="G191" s="520" t="str">
        <f>IF(E191="","",IF(ISNA(VLOOKUP($E191,'A-1 Site Habitat Baseline'!$D$1:$O$258,5,FALSE)),"",(VLOOKUP($E191,'A-1 Site Habitat Baseline'!$D$1:$O$258,5,FALSE))))</f>
        <v/>
      </c>
      <c r="H191" s="520" t="str">
        <f>IF(E191="","",IF(ISNA(VLOOKUP($E191,'A-1 Site Habitat Baseline'!$D$1:$O$258,6,FALSE)),"",(VLOOKUP($E191,'A-1 Site Habitat Baseline'!$D$1:$O$258,6,FALSE))))</f>
        <v/>
      </c>
      <c r="I191" s="520" t="str">
        <f>IF(E191="","",IF(ISNA(VLOOKUP($E191,'A-1 Site Habitat Baseline'!$D$1:$O$258,7,FALSE)),"",(VLOOKUP($E191,'A-1 Site Habitat Baseline'!$D$1:$O$258,7,FALSE))))</f>
        <v/>
      </c>
      <c r="J191" s="520" t="str">
        <f>IF(E191="","",IF(ISNA(VLOOKUP($E191,'A-1 Site Habitat Baseline'!$D$1:$O$258,8,FALSE)),"",(VLOOKUP($E191,'A-1 Site Habitat Baseline'!$D$1:$O$258,8,FALSE))))</f>
        <v/>
      </c>
      <c r="K191" s="520" t="str">
        <f>IF(E191="","",IF(ISNA(VLOOKUP($E191,'A-1 Site Habitat Baseline'!$D$1:$O$258,9,FALSE)),"",(VLOOKUP($E191,'A-1 Site Habitat Baseline'!$D$1:$O$258,9,FALSE))))</f>
        <v/>
      </c>
      <c r="L191" s="520" t="str">
        <f>IF(E191="","",IF(ISNA(VLOOKUP($E191,'A-1 Site Habitat Baseline'!$D$1:$O$258,11,FALSE)),"",(VLOOKUP($E191,'A-1 Site Habitat Baseline'!$D$1:$O$258,11,FALSE))))</f>
        <v/>
      </c>
      <c r="M191" s="520" t="str">
        <f>IF(E191="","",IF(ISNA(VLOOKUP($E191,'A-1 Site Habitat Baseline'!$D$1:$O$258,12,FALSE)),"",(VLOOKUP($E191,'A-1 Site Habitat Baseline'!$D$1:$O$258,12,FALSE))))</f>
        <v/>
      </c>
      <c r="N191" s="532" t="str">
        <f>IF(E191="","",IF(ISNA(VLOOKUP($E191,'A-1 Site Habitat Baseline'!$D$1:$X$258,14,FALSE)),"",(VLOOKUP($E191,'A-1 Site Habitat Baseline'!$D$1:$X$258,14,FALSE))))</f>
        <v/>
      </c>
      <c r="O191" s="524" t="str">
        <f>IF(E191="","",IF(ISNA(VLOOKUP($E191,'A-1 Site Habitat Baseline'!$D$1:$X$258,16,FALSE)),"",(VLOOKUP($E191,'A-1 Site Habitat Baseline'!$D$1:$X$258,13,FALSE))))</f>
        <v/>
      </c>
      <c r="P191" s="237" t="str">
        <f>IFERROR(INDEX('G-1 All Habitats'!$AG$3:$AG$15,MATCH(Q191,'G-1 All Habitats'!$AF$3:$AF$15,0)),"")</f>
        <v/>
      </c>
      <c r="Q191" s="238" t="str">
        <f t="shared" si="26"/>
        <v/>
      </c>
      <c r="R191" s="238" t="str">
        <f t="shared" si="27"/>
        <v/>
      </c>
      <c r="S191" s="392" t="str">
        <f>IFERROR(INDEX('G-1 All Habitats'!$B$3:$B$129,MATCH(R191,'G-1 All Habitats'!$A$3:$A$129,0)),"")</f>
        <v/>
      </c>
      <c r="T191" s="498" t="str">
        <f t="shared" si="28"/>
        <v/>
      </c>
      <c r="U191" s="499" t="str">
        <f t="shared" si="29"/>
        <v/>
      </c>
      <c r="V191" s="537" t="str">
        <f t="shared" si="23"/>
        <v/>
      </c>
      <c r="W191" s="520" t="str">
        <f>IF(S191="","",VLOOKUP(S191,'G-1 All Habitats'!$B$2:$M$129,10,FALSE))</f>
        <v/>
      </c>
      <c r="X191" s="520" t="str">
        <f>IFERROR(VLOOKUP(W191,'G-1 All Habitats'!$V$3:$W$7,2,FALSE),"")</f>
        <v/>
      </c>
      <c r="Y191" s="79"/>
      <c r="Z191" s="524" t="str">
        <f>IFERROR(INDEX('G-8 Condition Look up'!$A$3:$H$130,MATCH(S191,'G-8 Condition Look up'!$A$3:$A$130,0),MATCH(Y191,'G-8 Condition Look up'!$A$3:$H$3,0)),"")</f>
        <v/>
      </c>
      <c r="AA191" s="71"/>
      <c r="AB191" s="520" t="str">
        <f>IF(AA191="","",IF(VLOOKUP(AA191,'G-3 Multipliers'!$L$3:$N$6,2,FALSE)=0,"Spatial Data Missing ⚠",VLOOKUP(AA191,'G-3 Multipliers'!$L$3:$N$6,2,FALSE)))</f>
        <v/>
      </c>
      <c r="AC191" s="524" t="str">
        <f>IF(AA191="","",IF(VLOOKUP(AA191,'G-3 Multipliers'!$L$3:$N$6,3,FALSE)=0,"Spatial Data Missing ⚠",VLOOKUP(AA191,'G-3 Multipliers'!$L$3:$N$6,3,FALSE)))</f>
        <v/>
      </c>
      <c r="AD191" s="539" t="str">
        <f t="shared" si="24"/>
        <v/>
      </c>
      <c r="AE191" s="82"/>
      <c r="AF191" s="82"/>
      <c r="AG191" s="507" t="str">
        <f t="shared" si="30"/>
        <v/>
      </c>
      <c r="AH191" s="521" t="str">
        <f t="shared" si="31"/>
        <v/>
      </c>
      <c r="AI191" s="522" t="str">
        <f>IF(AH191="Check Data","Check Data",IFERROR(VLOOKUP(AH191,'G-4 Temporal multipliers'!$A$4:$C$36,3,FALSE),""))</f>
        <v/>
      </c>
      <c r="AJ191" s="498" t="str">
        <f>IF(S191="","",VLOOKUP(S191,'G-3 Multipliers'!$A$2:$E$129,4,FALSE))</f>
        <v/>
      </c>
      <c r="AK191" s="507" t="str">
        <f t="shared" si="32"/>
        <v/>
      </c>
      <c r="AL191" s="507" t="str">
        <f t="shared" si="33"/>
        <v/>
      </c>
      <c r="AM191" s="540" t="str">
        <f>IFERROR(IF(F191="","",IF(AH191="Check Data ⚠","Check Data ⚠",VLOOKUP(AL191, 'G-3 Multipliers'!$P$2:$Q$6,2,FALSE))),"")</f>
        <v/>
      </c>
      <c r="AN191" s="513" t="str">
        <f t="shared" si="25"/>
        <v/>
      </c>
      <c r="AO191" s="239"/>
      <c r="AP191" s="240"/>
    </row>
    <row r="192" spans="1:42" x14ac:dyDescent="0.25">
      <c r="A192" s="47" t="str">
        <f>IF(E192="","",IF(ISNA(VLOOKUP($E192,'A-1 Site Habitat Baseline'!$D$1:$O$258,2,FALSE)),"",(VLOOKUP($E192,'A-1 Site Habitat Baseline'!$D$1:$O$258,2,FALSE))))</f>
        <v/>
      </c>
      <c r="B192" s="47" t="str">
        <f>IF(E192="","",IF(ISNA(VLOOKUP($E192,'A-1 Site Habitat Baseline'!$D$1:$O$258,3,FALSE)),"",(VLOOKUP($E192,'A-1 Site Habitat Baseline'!$D$1:$O$258,3,FALSE))))</f>
        <v/>
      </c>
      <c r="C192" s="47" t="str">
        <f>IFERROR(INDEX('G-8 Condition Look up'!$I$4:$I$130,MATCH(S192,'G-8 Condition Look up'!$A$4:$A$130,0)),"")</f>
        <v/>
      </c>
      <c r="E192" s="531" t="str">
        <f>'A-1 Site Habitat Baseline'!AL191</f>
        <v/>
      </c>
      <c r="F192" s="520" t="str">
        <f>IF(E192="","",IF(ISNA(VLOOKUP($E192,'A-1 Site Habitat Baseline'!$D$1:$O$258,4,FALSE)),"",(VLOOKUP($E192,'A-1 Site Habitat Baseline'!$D$1:$O$258,4,FALSE))))</f>
        <v/>
      </c>
      <c r="G192" s="520" t="str">
        <f>IF(E192="","",IF(ISNA(VLOOKUP($E192,'A-1 Site Habitat Baseline'!$D$1:$O$258,5,FALSE)),"",(VLOOKUP($E192,'A-1 Site Habitat Baseline'!$D$1:$O$258,5,FALSE))))</f>
        <v/>
      </c>
      <c r="H192" s="520" t="str">
        <f>IF(E192="","",IF(ISNA(VLOOKUP($E192,'A-1 Site Habitat Baseline'!$D$1:$O$258,6,FALSE)),"",(VLOOKUP($E192,'A-1 Site Habitat Baseline'!$D$1:$O$258,6,FALSE))))</f>
        <v/>
      </c>
      <c r="I192" s="520" t="str">
        <f>IF(E192="","",IF(ISNA(VLOOKUP($E192,'A-1 Site Habitat Baseline'!$D$1:$O$258,7,FALSE)),"",(VLOOKUP($E192,'A-1 Site Habitat Baseline'!$D$1:$O$258,7,FALSE))))</f>
        <v/>
      </c>
      <c r="J192" s="520" t="str">
        <f>IF(E192="","",IF(ISNA(VLOOKUP($E192,'A-1 Site Habitat Baseline'!$D$1:$O$258,8,FALSE)),"",(VLOOKUP($E192,'A-1 Site Habitat Baseline'!$D$1:$O$258,8,FALSE))))</f>
        <v/>
      </c>
      <c r="K192" s="520" t="str">
        <f>IF(E192="","",IF(ISNA(VLOOKUP($E192,'A-1 Site Habitat Baseline'!$D$1:$O$258,9,FALSE)),"",(VLOOKUP($E192,'A-1 Site Habitat Baseline'!$D$1:$O$258,9,FALSE))))</f>
        <v/>
      </c>
      <c r="L192" s="520" t="str">
        <f>IF(E192="","",IF(ISNA(VLOOKUP($E192,'A-1 Site Habitat Baseline'!$D$1:$O$258,11,FALSE)),"",(VLOOKUP($E192,'A-1 Site Habitat Baseline'!$D$1:$O$258,11,FALSE))))</f>
        <v/>
      </c>
      <c r="M192" s="520" t="str">
        <f>IF(E192="","",IF(ISNA(VLOOKUP($E192,'A-1 Site Habitat Baseline'!$D$1:$O$258,12,FALSE)),"",(VLOOKUP($E192,'A-1 Site Habitat Baseline'!$D$1:$O$258,12,FALSE))))</f>
        <v/>
      </c>
      <c r="N192" s="532" t="str">
        <f>IF(E192="","",IF(ISNA(VLOOKUP($E192,'A-1 Site Habitat Baseline'!$D$1:$X$258,14,FALSE)),"",(VLOOKUP($E192,'A-1 Site Habitat Baseline'!$D$1:$X$258,14,FALSE))))</f>
        <v/>
      </c>
      <c r="O192" s="524" t="str">
        <f>IF(E192="","",IF(ISNA(VLOOKUP($E192,'A-1 Site Habitat Baseline'!$D$1:$X$258,16,FALSE)),"",(VLOOKUP($E192,'A-1 Site Habitat Baseline'!$D$1:$X$258,13,FALSE))))</f>
        <v/>
      </c>
      <c r="P192" s="237" t="str">
        <f>IFERROR(INDEX('G-1 All Habitats'!$AG$3:$AG$15,MATCH(Q192,'G-1 All Habitats'!$AF$3:$AF$15,0)),"")</f>
        <v/>
      </c>
      <c r="Q192" s="238" t="str">
        <f t="shared" si="26"/>
        <v/>
      </c>
      <c r="R192" s="238" t="str">
        <f t="shared" si="27"/>
        <v/>
      </c>
      <c r="S192" s="392" t="str">
        <f>IFERROR(INDEX('G-1 All Habitats'!$B$3:$B$129,MATCH(R192,'G-1 All Habitats'!$A$3:$A$129,0)),"")</f>
        <v/>
      </c>
      <c r="T192" s="498" t="str">
        <f t="shared" si="28"/>
        <v/>
      </c>
      <c r="U192" s="499" t="str">
        <f t="shared" si="29"/>
        <v/>
      </c>
      <c r="V192" s="537" t="str">
        <f t="shared" si="23"/>
        <v/>
      </c>
      <c r="W192" s="520" t="str">
        <f>IF(S192="","",VLOOKUP(S192,'G-1 All Habitats'!$B$2:$M$129,10,FALSE))</f>
        <v/>
      </c>
      <c r="X192" s="520" t="str">
        <f>IFERROR(VLOOKUP(W192,'G-1 All Habitats'!$V$3:$W$7,2,FALSE),"")</f>
        <v/>
      </c>
      <c r="Y192" s="79"/>
      <c r="Z192" s="524" t="str">
        <f>IFERROR(INDEX('G-8 Condition Look up'!$A$3:$H$130,MATCH(S192,'G-8 Condition Look up'!$A$3:$A$130,0),MATCH(Y192,'G-8 Condition Look up'!$A$3:$H$3,0)),"")</f>
        <v/>
      </c>
      <c r="AA192" s="71"/>
      <c r="AB192" s="520" t="str">
        <f>IF(AA192="","",IF(VLOOKUP(AA192,'G-3 Multipliers'!$L$3:$N$6,2,FALSE)=0,"Spatial Data Missing ⚠",VLOOKUP(AA192,'G-3 Multipliers'!$L$3:$N$6,2,FALSE)))</f>
        <v/>
      </c>
      <c r="AC192" s="524" t="str">
        <f>IF(AA192="","",IF(VLOOKUP(AA192,'G-3 Multipliers'!$L$3:$N$6,3,FALSE)=0,"Spatial Data Missing ⚠",VLOOKUP(AA192,'G-3 Multipliers'!$L$3:$N$6,3,FALSE)))</f>
        <v/>
      </c>
      <c r="AD192" s="539" t="str">
        <f t="shared" si="24"/>
        <v/>
      </c>
      <c r="AE192" s="82"/>
      <c r="AF192" s="82"/>
      <c r="AG192" s="507" t="str">
        <f t="shared" si="30"/>
        <v/>
      </c>
      <c r="AH192" s="521" t="str">
        <f t="shared" si="31"/>
        <v/>
      </c>
      <c r="AI192" s="522" t="str">
        <f>IF(AH192="Check Data","Check Data",IFERROR(VLOOKUP(AH192,'G-4 Temporal multipliers'!$A$4:$C$36,3,FALSE),""))</f>
        <v/>
      </c>
      <c r="AJ192" s="498" t="str">
        <f>IF(S192="","",VLOOKUP(S192,'G-3 Multipliers'!$A$2:$E$129,4,FALSE))</f>
        <v/>
      </c>
      <c r="AK192" s="507" t="str">
        <f t="shared" si="32"/>
        <v/>
      </c>
      <c r="AL192" s="507" t="str">
        <f t="shared" si="33"/>
        <v/>
      </c>
      <c r="AM192" s="540" t="str">
        <f>IFERROR(IF(F192="","",IF(AH192="Check Data ⚠","Check Data ⚠",VLOOKUP(AL192, 'G-3 Multipliers'!$P$2:$Q$6,2,FALSE))),"")</f>
        <v/>
      </c>
      <c r="AN192" s="513" t="str">
        <f t="shared" si="25"/>
        <v/>
      </c>
      <c r="AO192" s="239"/>
      <c r="AP192" s="240"/>
    </row>
    <row r="193" spans="1:42" x14ac:dyDescent="0.25">
      <c r="A193" s="47" t="str">
        <f>IF(E193="","",IF(ISNA(VLOOKUP($E193,'A-1 Site Habitat Baseline'!$D$1:$O$258,2,FALSE)),"",(VLOOKUP($E193,'A-1 Site Habitat Baseline'!$D$1:$O$258,2,FALSE))))</f>
        <v/>
      </c>
      <c r="B193" s="47" t="str">
        <f>IF(E193="","",IF(ISNA(VLOOKUP($E193,'A-1 Site Habitat Baseline'!$D$1:$O$258,3,FALSE)),"",(VLOOKUP($E193,'A-1 Site Habitat Baseline'!$D$1:$O$258,3,FALSE))))</f>
        <v/>
      </c>
      <c r="C193" s="47" t="str">
        <f>IFERROR(INDEX('G-8 Condition Look up'!$I$4:$I$130,MATCH(S193,'G-8 Condition Look up'!$A$4:$A$130,0)),"")</f>
        <v/>
      </c>
      <c r="E193" s="531" t="str">
        <f>'A-1 Site Habitat Baseline'!AL192</f>
        <v/>
      </c>
      <c r="F193" s="520" t="str">
        <f>IF(E193="","",IF(ISNA(VLOOKUP($E193,'A-1 Site Habitat Baseline'!$D$1:$O$258,4,FALSE)),"",(VLOOKUP($E193,'A-1 Site Habitat Baseline'!$D$1:$O$258,4,FALSE))))</f>
        <v/>
      </c>
      <c r="G193" s="520" t="str">
        <f>IF(E193="","",IF(ISNA(VLOOKUP($E193,'A-1 Site Habitat Baseline'!$D$1:$O$258,5,FALSE)),"",(VLOOKUP($E193,'A-1 Site Habitat Baseline'!$D$1:$O$258,5,FALSE))))</f>
        <v/>
      </c>
      <c r="H193" s="520" t="str">
        <f>IF(E193="","",IF(ISNA(VLOOKUP($E193,'A-1 Site Habitat Baseline'!$D$1:$O$258,6,FALSE)),"",(VLOOKUP($E193,'A-1 Site Habitat Baseline'!$D$1:$O$258,6,FALSE))))</f>
        <v/>
      </c>
      <c r="I193" s="520" t="str">
        <f>IF(E193="","",IF(ISNA(VLOOKUP($E193,'A-1 Site Habitat Baseline'!$D$1:$O$258,7,FALSE)),"",(VLOOKUP($E193,'A-1 Site Habitat Baseline'!$D$1:$O$258,7,FALSE))))</f>
        <v/>
      </c>
      <c r="J193" s="520" t="str">
        <f>IF(E193="","",IF(ISNA(VLOOKUP($E193,'A-1 Site Habitat Baseline'!$D$1:$O$258,8,FALSE)),"",(VLOOKUP($E193,'A-1 Site Habitat Baseline'!$D$1:$O$258,8,FALSE))))</f>
        <v/>
      </c>
      <c r="K193" s="520" t="str">
        <f>IF(E193="","",IF(ISNA(VLOOKUP($E193,'A-1 Site Habitat Baseline'!$D$1:$O$258,9,FALSE)),"",(VLOOKUP($E193,'A-1 Site Habitat Baseline'!$D$1:$O$258,9,FALSE))))</f>
        <v/>
      </c>
      <c r="L193" s="520" t="str">
        <f>IF(E193="","",IF(ISNA(VLOOKUP($E193,'A-1 Site Habitat Baseline'!$D$1:$O$258,11,FALSE)),"",(VLOOKUP($E193,'A-1 Site Habitat Baseline'!$D$1:$O$258,11,FALSE))))</f>
        <v/>
      </c>
      <c r="M193" s="520" t="str">
        <f>IF(E193="","",IF(ISNA(VLOOKUP($E193,'A-1 Site Habitat Baseline'!$D$1:$O$258,12,FALSE)),"",(VLOOKUP($E193,'A-1 Site Habitat Baseline'!$D$1:$O$258,12,FALSE))))</f>
        <v/>
      </c>
      <c r="N193" s="532" t="str">
        <f>IF(E193="","",IF(ISNA(VLOOKUP($E193,'A-1 Site Habitat Baseline'!$D$1:$X$258,14,FALSE)),"",(VLOOKUP($E193,'A-1 Site Habitat Baseline'!$D$1:$X$258,14,FALSE))))</f>
        <v/>
      </c>
      <c r="O193" s="524" t="str">
        <f>IF(E193="","",IF(ISNA(VLOOKUP($E193,'A-1 Site Habitat Baseline'!$D$1:$X$258,16,FALSE)),"",(VLOOKUP($E193,'A-1 Site Habitat Baseline'!$D$1:$X$258,13,FALSE))))</f>
        <v/>
      </c>
      <c r="P193" s="237" t="str">
        <f>IFERROR(INDEX('G-1 All Habitats'!$AG$3:$AG$15,MATCH(Q193,'G-1 All Habitats'!$AF$3:$AF$15,0)),"")</f>
        <v/>
      </c>
      <c r="Q193" s="238" t="str">
        <f t="shared" si="26"/>
        <v/>
      </c>
      <c r="R193" s="238" t="str">
        <f t="shared" si="27"/>
        <v/>
      </c>
      <c r="S193" s="392" t="str">
        <f>IFERROR(INDEX('G-1 All Habitats'!$B$3:$B$129,MATCH(R193,'G-1 All Habitats'!$A$3:$A$129,0)),"")</f>
        <v/>
      </c>
      <c r="T193" s="498" t="str">
        <f t="shared" si="28"/>
        <v/>
      </c>
      <c r="U193" s="499" t="str">
        <f t="shared" si="29"/>
        <v/>
      </c>
      <c r="V193" s="537" t="str">
        <f t="shared" si="23"/>
        <v/>
      </c>
      <c r="W193" s="520" t="str">
        <f>IF(S193="","",VLOOKUP(S193,'G-1 All Habitats'!$B$2:$M$129,10,FALSE))</f>
        <v/>
      </c>
      <c r="X193" s="520" t="str">
        <f>IFERROR(VLOOKUP(W193,'G-1 All Habitats'!$V$3:$W$7,2,FALSE),"")</f>
        <v/>
      </c>
      <c r="Y193" s="79"/>
      <c r="Z193" s="524" t="str">
        <f>IFERROR(INDEX('G-8 Condition Look up'!$A$3:$H$130,MATCH(S193,'G-8 Condition Look up'!$A$3:$A$130,0),MATCH(Y193,'G-8 Condition Look up'!$A$3:$H$3,0)),"")</f>
        <v/>
      </c>
      <c r="AA193" s="71"/>
      <c r="AB193" s="520" t="str">
        <f>IF(AA193="","",IF(VLOOKUP(AA193,'G-3 Multipliers'!$L$3:$N$6,2,FALSE)=0,"Spatial Data Missing ⚠",VLOOKUP(AA193,'G-3 Multipliers'!$L$3:$N$6,2,FALSE)))</f>
        <v/>
      </c>
      <c r="AC193" s="524" t="str">
        <f>IF(AA193="","",IF(VLOOKUP(AA193,'G-3 Multipliers'!$L$3:$N$6,3,FALSE)=0,"Spatial Data Missing ⚠",VLOOKUP(AA193,'G-3 Multipliers'!$L$3:$N$6,3,FALSE)))</f>
        <v/>
      </c>
      <c r="AD193" s="539" t="str">
        <f t="shared" si="24"/>
        <v/>
      </c>
      <c r="AE193" s="82"/>
      <c r="AF193" s="82"/>
      <c r="AG193" s="507" t="str">
        <f t="shared" si="30"/>
        <v/>
      </c>
      <c r="AH193" s="521" t="str">
        <f t="shared" si="31"/>
        <v/>
      </c>
      <c r="AI193" s="522" t="str">
        <f>IF(AH193="Check Data","Check Data",IFERROR(VLOOKUP(AH193,'G-4 Temporal multipliers'!$A$4:$C$36,3,FALSE),""))</f>
        <v/>
      </c>
      <c r="AJ193" s="498" t="str">
        <f>IF(S193="","",VLOOKUP(S193,'G-3 Multipliers'!$A$2:$E$129,4,FALSE))</f>
        <v/>
      </c>
      <c r="AK193" s="507" t="str">
        <f t="shared" si="32"/>
        <v/>
      </c>
      <c r="AL193" s="507" t="str">
        <f t="shared" si="33"/>
        <v/>
      </c>
      <c r="AM193" s="540" t="str">
        <f>IFERROR(IF(F193="","",IF(AH193="Check Data ⚠","Check Data ⚠",VLOOKUP(AL193, 'G-3 Multipliers'!$P$2:$Q$6,2,FALSE))),"")</f>
        <v/>
      </c>
      <c r="AN193" s="513" t="str">
        <f t="shared" si="25"/>
        <v/>
      </c>
      <c r="AO193" s="239"/>
      <c r="AP193" s="240"/>
    </row>
    <row r="194" spans="1:42" x14ac:dyDescent="0.25">
      <c r="A194" s="47" t="str">
        <f>IF(E194="","",IF(ISNA(VLOOKUP($E194,'A-1 Site Habitat Baseline'!$D$1:$O$258,2,FALSE)),"",(VLOOKUP($E194,'A-1 Site Habitat Baseline'!$D$1:$O$258,2,FALSE))))</f>
        <v/>
      </c>
      <c r="B194" s="47" t="str">
        <f>IF(E194="","",IF(ISNA(VLOOKUP($E194,'A-1 Site Habitat Baseline'!$D$1:$O$258,3,FALSE)),"",(VLOOKUP($E194,'A-1 Site Habitat Baseline'!$D$1:$O$258,3,FALSE))))</f>
        <v/>
      </c>
      <c r="C194" s="47" t="str">
        <f>IFERROR(INDEX('G-8 Condition Look up'!$I$4:$I$130,MATCH(S194,'G-8 Condition Look up'!$A$4:$A$130,0)),"")</f>
        <v/>
      </c>
      <c r="E194" s="531" t="str">
        <f>'A-1 Site Habitat Baseline'!AL193</f>
        <v/>
      </c>
      <c r="F194" s="520" t="str">
        <f>IF(E194="","",IF(ISNA(VLOOKUP($E194,'A-1 Site Habitat Baseline'!$D$1:$O$258,4,FALSE)),"",(VLOOKUP($E194,'A-1 Site Habitat Baseline'!$D$1:$O$258,4,FALSE))))</f>
        <v/>
      </c>
      <c r="G194" s="520" t="str">
        <f>IF(E194="","",IF(ISNA(VLOOKUP($E194,'A-1 Site Habitat Baseline'!$D$1:$O$258,5,FALSE)),"",(VLOOKUP($E194,'A-1 Site Habitat Baseline'!$D$1:$O$258,5,FALSE))))</f>
        <v/>
      </c>
      <c r="H194" s="520" t="str">
        <f>IF(E194="","",IF(ISNA(VLOOKUP($E194,'A-1 Site Habitat Baseline'!$D$1:$O$258,6,FALSE)),"",(VLOOKUP($E194,'A-1 Site Habitat Baseline'!$D$1:$O$258,6,FALSE))))</f>
        <v/>
      </c>
      <c r="I194" s="520" t="str">
        <f>IF(E194="","",IF(ISNA(VLOOKUP($E194,'A-1 Site Habitat Baseline'!$D$1:$O$258,7,FALSE)),"",(VLOOKUP($E194,'A-1 Site Habitat Baseline'!$D$1:$O$258,7,FALSE))))</f>
        <v/>
      </c>
      <c r="J194" s="520" t="str">
        <f>IF(E194="","",IF(ISNA(VLOOKUP($E194,'A-1 Site Habitat Baseline'!$D$1:$O$258,8,FALSE)),"",(VLOOKUP($E194,'A-1 Site Habitat Baseline'!$D$1:$O$258,8,FALSE))))</f>
        <v/>
      </c>
      <c r="K194" s="520" t="str">
        <f>IF(E194="","",IF(ISNA(VLOOKUP($E194,'A-1 Site Habitat Baseline'!$D$1:$O$258,9,FALSE)),"",(VLOOKUP($E194,'A-1 Site Habitat Baseline'!$D$1:$O$258,9,FALSE))))</f>
        <v/>
      </c>
      <c r="L194" s="520" t="str">
        <f>IF(E194="","",IF(ISNA(VLOOKUP($E194,'A-1 Site Habitat Baseline'!$D$1:$O$258,11,FALSE)),"",(VLOOKUP($E194,'A-1 Site Habitat Baseline'!$D$1:$O$258,11,FALSE))))</f>
        <v/>
      </c>
      <c r="M194" s="520" t="str">
        <f>IF(E194="","",IF(ISNA(VLOOKUP($E194,'A-1 Site Habitat Baseline'!$D$1:$O$258,12,FALSE)),"",(VLOOKUP($E194,'A-1 Site Habitat Baseline'!$D$1:$O$258,12,FALSE))))</f>
        <v/>
      </c>
      <c r="N194" s="532" t="str">
        <f>IF(E194="","",IF(ISNA(VLOOKUP($E194,'A-1 Site Habitat Baseline'!$D$1:$X$258,14,FALSE)),"",(VLOOKUP($E194,'A-1 Site Habitat Baseline'!$D$1:$X$258,14,FALSE))))</f>
        <v/>
      </c>
      <c r="O194" s="524" t="str">
        <f>IF(E194="","",IF(ISNA(VLOOKUP($E194,'A-1 Site Habitat Baseline'!$D$1:$X$258,16,FALSE)),"",(VLOOKUP($E194,'A-1 Site Habitat Baseline'!$D$1:$X$258,13,FALSE))))</f>
        <v/>
      </c>
      <c r="P194" s="237" t="str">
        <f>IFERROR(INDEX('G-1 All Habitats'!$AG$3:$AG$15,MATCH(Q194,'G-1 All Habitats'!$AF$3:$AF$15,0)),"")</f>
        <v/>
      </c>
      <c r="Q194" s="238" t="str">
        <f t="shared" si="26"/>
        <v/>
      </c>
      <c r="R194" s="238" t="str">
        <f t="shared" si="27"/>
        <v/>
      </c>
      <c r="S194" s="392" t="str">
        <f>IFERROR(INDEX('G-1 All Habitats'!$B$3:$B$129,MATCH(R194,'G-1 All Habitats'!$A$3:$A$129,0)),"")</f>
        <v/>
      </c>
      <c r="T194" s="498" t="str">
        <f t="shared" si="28"/>
        <v/>
      </c>
      <c r="U194" s="499" t="str">
        <f t="shared" si="29"/>
        <v/>
      </c>
      <c r="V194" s="537" t="str">
        <f t="shared" si="23"/>
        <v/>
      </c>
      <c r="W194" s="520" t="str">
        <f>IF(S194="","",VLOOKUP(S194,'G-1 All Habitats'!$B$2:$M$129,10,FALSE))</f>
        <v/>
      </c>
      <c r="X194" s="520" t="str">
        <f>IFERROR(VLOOKUP(W194,'G-1 All Habitats'!$V$3:$W$7,2,FALSE),"")</f>
        <v/>
      </c>
      <c r="Y194" s="79"/>
      <c r="Z194" s="524" t="str">
        <f>IFERROR(INDEX('G-8 Condition Look up'!$A$3:$H$130,MATCH(S194,'G-8 Condition Look up'!$A$3:$A$130,0),MATCH(Y194,'G-8 Condition Look up'!$A$3:$H$3,0)),"")</f>
        <v/>
      </c>
      <c r="AA194" s="71"/>
      <c r="AB194" s="520" t="str">
        <f>IF(AA194="","",IF(VLOOKUP(AA194,'G-3 Multipliers'!$L$3:$N$6,2,FALSE)=0,"Spatial Data Missing ⚠",VLOOKUP(AA194,'G-3 Multipliers'!$L$3:$N$6,2,FALSE)))</f>
        <v/>
      </c>
      <c r="AC194" s="524" t="str">
        <f>IF(AA194="","",IF(VLOOKUP(AA194,'G-3 Multipliers'!$L$3:$N$6,3,FALSE)=0,"Spatial Data Missing ⚠",VLOOKUP(AA194,'G-3 Multipliers'!$L$3:$N$6,3,FALSE)))</f>
        <v/>
      </c>
      <c r="AD194" s="539" t="str">
        <f t="shared" si="24"/>
        <v/>
      </c>
      <c r="AE194" s="82"/>
      <c r="AF194" s="82"/>
      <c r="AG194" s="507" t="str">
        <f t="shared" si="30"/>
        <v/>
      </c>
      <c r="AH194" s="521" t="str">
        <f t="shared" si="31"/>
        <v/>
      </c>
      <c r="AI194" s="522" t="str">
        <f>IF(AH194="Check Data","Check Data",IFERROR(VLOOKUP(AH194,'G-4 Temporal multipliers'!$A$4:$C$36,3,FALSE),""))</f>
        <v/>
      </c>
      <c r="AJ194" s="498" t="str">
        <f>IF(S194="","",VLOOKUP(S194,'G-3 Multipliers'!$A$2:$E$129,4,FALSE))</f>
        <v/>
      </c>
      <c r="AK194" s="507" t="str">
        <f t="shared" si="32"/>
        <v/>
      </c>
      <c r="AL194" s="507" t="str">
        <f t="shared" si="33"/>
        <v/>
      </c>
      <c r="AM194" s="540" t="str">
        <f>IFERROR(IF(F194="","",IF(AH194="Check Data ⚠","Check Data ⚠",VLOOKUP(AL194, 'G-3 Multipliers'!$P$2:$Q$6,2,FALSE))),"")</f>
        <v/>
      </c>
      <c r="AN194" s="513" t="str">
        <f t="shared" si="25"/>
        <v/>
      </c>
      <c r="AO194" s="239"/>
      <c r="AP194" s="240"/>
    </row>
    <row r="195" spans="1:42" x14ac:dyDescent="0.25">
      <c r="A195" s="47" t="str">
        <f>IF(E195="","",IF(ISNA(VLOOKUP($E195,'A-1 Site Habitat Baseline'!$D$1:$O$258,2,FALSE)),"",(VLOOKUP($E195,'A-1 Site Habitat Baseline'!$D$1:$O$258,2,FALSE))))</f>
        <v/>
      </c>
      <c r="B195" s="47" t="str">
        <f>IF(E195="","",IF(ISNA(VLOOKUP($E195,'A-1 Site Habitat Baseline'!$D$1:$O$258,3,FALSE)),"",(VLOOKUP($E195,'A-1 Site Habitat Baseline'!$D$1:$O$258,3,FALSE))))</f>
        <v/>
      </c>
      <c r="C195" s="47" t="str">
        <f>IFERROR(INDEX('G-8 Condition Look up'!$I$4:$I$130,MATCH(S195,'G-8 Condition Look up'!$A$4:$A$130,0)),"")</f>
        <v/>
      </c>
      <c r="E195" s="531" t="str">
        <f>'A-1 Site Habitat Baseline'!AL194</f>
        <v/>
      </c>
      <c r="F195" s="520" t="str">
        <f>IF(E195="","",IF(ISNA(VLOOKUP($E195,'A-1 Site Habitat Baseline'!$D$1:$O$258,4,FALSE)),"",(VLOOKUP($E195,'A-1 Site Habitat Baseline'!$D$1:$O$258,4,FALSE))))</f>
        <v/>
      </c>
      <c r="G195" s="520" t="str">
        <f>IF(E195="","",IF(ISNA(VLOOKUP($E195,'A-1 Site Habitat Baseline'!$D$1:$O$258,5,FALSE)),"",(VLOOKUP($E195,'A-1 Site Habitat Baseline'!$D$1:$O$258,5,FALSE))))</f>
        <v/>
      </c>
      <c r="H195" s="520" t="str">
        <f>IF(E195="","",IF(ISNA(VLOOKUP($E195,'A-1 Site Habitat Baseline'!$D$1:$O$258,6,FALSE)),"",(VLOOKUP($E195,'A-1 Site Habitat Baseline'!$D$1:$O$258,6,FALSE))))</f>
        <v/>
      </c>
      <c r="I195" s="520" t="str">
        <f>IF(E195="","",IF(ISNA(VLOOKUP($E195,'A-1 Site Habitat Baseline'!$D$1:$O$258,7,FALSE)),"",(VLOOKUP($E195,'A-1 Site Habitat Baseline'!$D$1:$O$258,7,FALSE))))</f>
        <v/>
      </c>
      <c r="J195" s="520" t="str">
        <f>IF(E195="","",IF(ISNA(VLOOKUP($E195,'A-1 Site Habitat Baseline'!$D$1:$O$258,8,FALSE)),"",(VLOOKUP($E195,'A-1 Site Habitat Baseline'!$D$1:$O$258,8,FALSE))))</f>
        <v/>
      </c>
      <c r="K195" s="520" t="str">
        <f>IF(E195="","",IF(ISNA(VLOOKUP($E195,'A-1 Site Habitat Baseline'!$D$1:$O$258,9,FALSE)),"",(VLOOKUP($E195,'A-1 Site Habitat Baseline'!$D$1:$O$258,9,FALSE))))</f>
        <v/>
      </c>
      <c r="L195" s="520" t="str">
        <f>IF(E195="","",IF(ISNA(VLOOKUP($E195,'A-1 Site Habitat Baseline'!$D$1:$O$258,11,FALSE)),"",(VLOOKUP($E195,'A-1 Site Habitat Baseline'!$D$1:$O$258,11,FALSE))))</f>
        <v/>
      </c>
      <c r="M195" s="520" t="str">
        <f>IF(E195="","",IF(ISNA(VLOOKUP($E195,'A-1 Site Habitat Baseline'!$D$1:$O$258,12,FALSE)),"",(VLOOKUP($E195,'A-1 Site Habitat Baseline'!$D$1:$O$258,12,FALSE))))</f>
        <v/>
      </c>
      <c r="N195" s="532" t="str">
        <f>IF(E195="","",IF(ISNA(VLOOKUP($E195,'A-1 Site Habitat Baseline'!$D$1:$X$258,14,FALSE)),"",(VLOOKUP($E195,'A-1 Site Habitat Baseline'!$D$1:$X$258,14,FALSE))))</f>
        <v/>
      </c>
      <c r="O195" s="524" t="str">
        <f>IF(E195="","",IF(ISNA(VLOOKUP($E195,'A-1 Site Habitat Baseline'!$D$1:$X$258,16,FALSE)),"",(VLOOKUP($E195,'A-1 Site Habitat Baseline'!$D$1:$X$258,13,FALSE))))</f>
        <v/>
      </c>
      <c r="P195" s="237" t="str">
        <f>IFERROR(INDEX('G-1 All Habitats'!$AG$3:$AG$15,MATCH(Q195,'G-1 All Habitats'!$AF$3:$AF$15,0)),"")</f>
        <v/>
      </c>
      <c r="Q195" s="238" t="str">
        <f t="shared" si="26"/>
        <v/>
      </c>
      <c r="R195" s="238" t="str">
        <f t="shared" si="27"/>
        <v/>
      </c>
      <c r="S195" s="392" t="str">
        <f>IFERROR(INDEX('G-1 All Habitats'!$B$3:$B$129,MATCH(R195,'G-1 All Habitats'!$A$3:$A$129,0)),"")</f>
        <v/>
      </c>
      <c r="T195" s="498" t="str">
        <f t="shared" si="28"/>
        <v/>
      </c>
      <c r="U195" s="499" t="str">
        <f t="shared" si="29"/>
        <v/>
      </c>
      <c r="V195" s="537" t="str">
        <f t="shared" si="23"/>
        <v/>
      </c>
      <c r="W195" s="520" t="str">
        <f>IF(S195="","",VLOOKUP(S195,'G-1 All Habitats'!$B$2:$M$129,10,FALSE))</f>
        <v/>
      </c>
      <c r="X195" s="520" t="str">
        <f>IFERROR(VLOOKUP(W195,'G-1 All Habitats'!$V$3:$W$7,2,FALSE),"")</f>
        <v/>
      </c>
      <c r="Y195" s="79"/>
      <c r="Z195" s="524" t="str">
        <f>IFERROR(INDEX('G-8 Condition Look up'!$A$3:$H$130,MATCH(S195,'G-8 Condition Look up'!$A$3:$A$130,0),MATCH(Y195,'G-8 Condition Look up'!$A$3:$H$3,0)),"")</f>
        <v/>
      </c>
      <c r="AA195" s="71"/>
      <c r="AB195" s="520" t="str">
        <f>IF(AA195="","",IF(VLOOKUP(AA195,'G-3 Multipliers'!$L$3:$N$6,2,FALSE)=0,"Spatial Data Missing ⚠",VLOOKUP(AA195,'G-3 Multipliers'!$L$3:$N$6,2,FALSE)))</f>
        <v/>
      </c>
      <c r="AC195" s="524" t="str">
        <f>IF(AA195="","",IF(VLOOKUP(AA195,'G-3 Multipliers'!$L$3:$N$6,3,FALSE)=0,"Spatial Data Missing ⚠",VLOOKUP(AA195,'G-3 Multipliers'!$L$3:$N$6,3,FALSE)))</f>
        <v/>
      </c>
      <c r="AD195" s="539" t="str">
        <f t="shared" si="24"/>
        <v/>
      </c>
      <c r="AE195" s="82"/>
      <c r="AF195" s="82"/>
      <c r="AG195" s="507" t="str">
        <f t="shared" si="30"/>
        <v/>
      </c>
      <c r="AH195" s="521" t="str">
        <f t="shared" si="31"/>
        <v/>
      </c>
      <c r="AI195" s="522" t="str">
        <f>IF(AH195="Check Data","Check Data",IFERROR(VLOOKUP(AH195,'G-4 Temporal multipliers'!$A$4:$C$36,3,FALSE),""))</f>
        <v/>
      </c>
      <c r="AJ195" s="498" t="str">
        <f>IF(S195="","",VLOOKUP(S195,'G-3 Multipliers'!$A$2:$E$129,4,FALSE))</f>
        <v/>
      </c>
      <c r="AK195" s="507" t="str">
        <f t="shared" si="32"/>
        <v/>
      </c>
      <c r="AL195" s="507" t="str">
        <f t="shared" si="33"/>
        <v/>
      </c>
      <c r="AM195" s="540" t="str">
        <f>IFERROR(IF(F195="","",IF(AH195="Check Data ⚠","Check Data ⚠",VLOOKUP(AL195, 'G-3 Multipliers'!$P$2:$Q$6,2,FALSE))),"")</f>
        <v/>
      </c>
      <c r="AN195" s="513" t="str">
        <f t="shared" si="25"/>
        <v/>
      </c>
      <c r="AO195" s="239"/>
      <c r="AP195" s="240"/>
    </row>
    <row r="196" spans="1:42" x14ac:dyDescent="0.25">
      <c r="A196" s="47" t="str">
        <f>IF(E196="","",IF(ISNA(VLOOKUP($E196,'A-1 Site Habitat Baseline'!$D$1:$O$258,2,FALSE)),"",(VLOOKUP($E196,'A-1 Site Habitat Baseline'!$D$1:$O$258,2,FALSE))))</f>
        <v/>
      </c>
      <c r="B196" s="47" t="str">
        <f>IF(E196="","",IF(ISNA(VLOOKUP($E196,'A-1 Site Habitat Baseline'!$D$1:$O$258,3,FALSE)),"",(VLOOKUP($E196,'A-1 Site Habitat Baseline'!$D$1:$O$258,3,FALSE))))</f>
        <v/>
      </c>
      <c r="C196" s="47" t="str">
        <f>IFERROR(INDEX('G-8 Condition Look up'!$I$4:$I$130,MATCH(S196,'G-8 Condition Look up'!$A$4:$A$130,0)),"")</f>
        <v/>
      </c>
      <c r="E196" s="531" t="str">
        <f>'A-1 Site Habitat Baseline'!AL195</f>
        <v/>
      </c>
      <c r="F196" s="520" t="str">
        <f>IF(E196="","",IF(ISNA(VLOOKUP($E196,'A-1 Site Habitat Baseline'!$D$1:$O$258,4,FALSE)),"",(VLOOKUP($E196,'A-1 Site Habitat Baseline'!$D$1:$O$258,4,FALSE))))</f>
        <v/>
      </c>
      <c r="G196" s="520" t="str">
        <f>IF(E196="","",IF(ISNA(VLOOKUP($E196,'A-1 Site Habitat Baseline'!$D$1:$O$258,5,FALSE)),"",(VLOOKUP($E196,'A-1 Site Habitat Baseline'!$D$1:$O$258,5,FALSE))))</f>
        <v/>
      </c>
      <c r="H196" s="520" t="str">
        <f>IF(E196="","",IF(ISNA(VLOOKUP($E196,'A-1 Site Habitat Baseline'!$D$1:$O$258,6,FALSE)),"",(VLOOKUP($E196,'A-1 Site Habitat Baseline'!$D$1:$O$258,6,FALSE))))</f>
        <v/>
      </c>
      <c r="I196" s="520" t="str">
        <f>IF(E196="","",IF(ISNA(VLOOKUP($E196,'A-1 Site Habitat Baseline'!$D$1:$O$258,7,FALSE)),"",(VLOOKUP($E196,'A-1 Site Habitat Baseline'!$D$1:$O$258,7,FALSE))))</f>
        <v/>
      </c>
      <c r="J196" s="520" t="str">
        <f>IF(E196="","",IF(ISNA(VLOOKUP($E196,'A-1 Site Habitat Baseline'!$D$1:$O$258,8,FALSE)),"",(VLOOKUP($E196,'A-1 Site Habitat Baseline'!$D$1:$O$258,8,FALSE))))</f>
        <v/>
      </c>
      <c r="K196" s="520" t="str">
        <f>IF(E196="","",IF(ISNA(VLOOKUP($E196,'A-1 Site Habitat Baseline'!$D$1:$O$258,9,FALSE)),"",(VLOOKUP($E196,'A-1 Site Habitat Baseline'!$D$1:$O$258,9,FALSE))))</f>
        <v/>
      </c>
      <c r="L196" s="520" t="str">
        <f>IF(E196="","",IF(ISNA(VLOOKUP($E196,'A-1 Site Habitat Baseline'!$D$1:$O$258,11,FALSE)),"",(VLOOKUP($E196,'A-1 Site Habitat Baseline'!$D$1:$O$258,11,FALSE))))</f>
        <v/>
      </c>
      <c r="M196" s="520" t="str">
        <f>IF(E196="","",IF(ISNA(VLOOKUP($E196,'A-1 Site Habitat Baseline'!$D$1:$O$258,12,FALSE)),"",(VLOOKUP($E196,'A-1 Site Habitat Baseline'!$D$1:$O$258,12,FALSE))))</f>
        <v/>
      </c>
      <c r="N196" s="532" t="str">
        <f>IF(E196="","",IF(ISNA(VLOOKUP($E196,'A-1 Site Habitat Baseline'!$D$1:$X$258,14,FALSE)),"",(VLOOKUP($E196,'A-1 Site Habitat Baseline'!$D$1:$X$258,14,FALSE))))</f>
        <v/>
      </c>
      <c r="O196" s="524" t="str">
        <f>IF(E196="","",IF(ISNA(VLOOKUP($E196,'A-1 Site Habitat Baseline'!$D$1:$X$258,16,FALSE)),"",(VLOOKUP($E196,'A-1 Site Habitat Baseline'!$D$1:$X$258,13,FALSE))))</f>
        <v/>
      </c>
      <c r="P196" s="237" t="str">
        <f>IFERROR(INDEX('G-1 All Habitats'!$AG$3:$AG$15,MATCH(Q196,'G-1 All Habitats'!$AF$3:$AF$15,0)),"")</f>
        <v/>
      </c>
      <c r="Q196" s="238" t="str">
        <f t="shared" si="26"/>
        <v/>
      </c>
      <c r="R196" s="238" t="str">
        <f t="shared" si="27"/>
        <v/>
      </c>
      <c r="S196" s="392" t="str">
        <f>IFERROR(INDEX('G-1 All Habitats'!$B$3:$B$129,MATCH(R196,'G-1 All Habitats'!$A$3:$A$129,0)),"")</f>
        <v/>
      </c>
      <c r="T196" s="498" t="str">
        <f t="shared" si="28"/>
        <v/>
      </c>
      <c r="U196" s="499" t="str">
        <f t="shared" si="29"/>
        <v/>
      </c>
      <c r="V196" s="537" t="str">
        <f t="shared" si="23"/>
        <v/>
      </c>
      <c r="W196" s="520" t="str">
        <f>IF(S196="","",VLOOKUP(S196,'G-1 All Habitats'!$B$2:$M$129,10,FALSE))</f>
        <v/>
      </c>
      <c r="X196" s="520" t="str">
        <f>IFERROR(VLOOKUP(W196,'G-1 All Habitats'!$V$3:$W$7,2,FALSE),"")</f>
        <v/>
      </c>
      <c r="Y196" s="79"/>
      <c r="Z196" s="524" t="str">
        <f>IFERROR(INDEX('G-8 Condition Look up'!$A$3:$H$130,MATCH(S196,'G-8 Condition Look up'!$A$3:$A$130,0),MATCH(Y196,'G-8 Condition Look up'!$A$3:$H$3,0)),"")</f>
        <v/>
      </c>
      <c r="AA196" s="71"/>
      <c r="AB196" s="520" t="str">
        <f>IF(AA196="","",IF(VLOOKUP(AA196,'G-3 Multipliers'!$L$3:$N$6,2,FALSE)=0,"Spatial Data Missing ⚠",VLOOKUP(AA196,'G-3 Multipliers'!$L$3:$N$6,2,FALSE)))</f>
        <v/>
      </c>
      <c r="AC196" s="524" t="str">
        <f>IF(AA196="","",IF(VLOOKUP(AA196,'G-3 Multipliers'!$L$3:$N$6,3,FALSE)=0,"Spatial Data Missing ⚠",VLOOKUP(AA196,'G-3 Multipliers'!$L$3:$N$6,3,FALSE)))</f>
        <v/>
      </c>
      <c r="AD196" s="539" t="str">
        <f t="shared" si="24"/>
        <v/>
      </c>
      <c r="AE196" s="82"/>
      <c r="AF196" s="82"/>
      <c r="AG196" s="507" t="str">
        <f t="shared" si="30"/>
        <v/>
      </c>
      <c r="AH196" s="521" t="str">
        <f t="shared" si="31"/>
        <v/>
      </c>
      <c r="AI196" s="522" t="str">
        <f>IF(AH196="Check Data","Check Data",IFERROR(VLOOKUP(AH196,'G-4 Temporal multipliers'!$A$4:$C$36,3,FALSE),""))</f>
        <v/>
      </c>
      <c r="AJ196" s="498" t="str">
        <f>IF(S196="","",VLOOKUP(S196,'G-3 Multipliers'!$A$2:$E$129,4,FALSE))</f>
        <v/>
      </c>
      <c r="AK196" s="507" t="str">
        <f t="shared" si="32"/>
        <v/>
      </c>
      <c r="AL196" s="507" t="str">
        <f t="shared" si="33"/>
        <v/>
      </c>
      <c r="AM196" s="540" t="str">
        <f>IFERROR(IF(F196="","",IF(AH196="Check Data ⚠","Check Data ⚠",VLOOKUP(AL196, 'G-3 Multipliers'!$P$2:$Q$6,2,FALSE))),"")</f>
        <v/>
      </c>
      <c r="AN196" s="513" t="str">
        <f t="shared" si="25"/>
        <v/>
      </c>
      <c r="AO196" s="239"/>
      <c r="AP196" s="240"/>
    </row>
    <row r="197" spans="1:42" x14ac:dyDescent="0.25">
      <c r="A197" s="47" t="str">
        <f>IF(E197="","",IF(ISNA(VLOOKUP($E197,'A-1 Site Habitat Baseline'!$D$1:$O$258,2,FALSE)),"",(VLOOKUP($E197,'A-1 Site Habitat Baseline'!$D$1:$O$258,2,FALSE))))</f>
        <v/>
      </c>
      <c r="B197" s="47" t="str">
        <f>IF(E197="","",IF(ISNA(VLOOKUP($E197,'A-1 Site Habitat Baseline'!$D$1:$O$258,3,FALSE)),"",(VLOOKUP($E197,'A-1 Site Habitat Baseline'!$D$1:$O$258,3,FALSE))))</f>
        <v/>
      </c>
      <c r="C197" s="47" t="str">
        <f>IFERROR(INDEX('G-8 Condition Look up'!$I$4:$I$130,MATCH(S197,'G-8 Condition Look up'!$A$4:$A$130,0)),"")</f>
        <v/>
      </c>
      <c r="E197" s="531" t="str">
        <f>'A-1 Site Habitat Baseline'!AL196</f>
        <v/>
      </c>
      <c r="F197" s="520" t="str">
        <f>IF(E197="","",IF(ISNA(VLOOKUP($E197,'A-1 Site Habitat Baseline'!$D$1:$O$258,4,FALSE)),"",(VLOOKUP($E197,'A-1 Site Habitat Baseline'!$D$1:$O$258,4,FALSE))))</f>
        <v/>
      </c>
      <c r="G197" s="520" t="str">
        <f>IF(E197="","",IF(ISNA(VLOOKUP($E197,'A-1 Site Habitat Baseline'!$D$1:$O$258,5,FALSE)),"",(VLOOKUP($E197,'A-1 Site Habitat Baseline'!$D$1:$O$258,5,FALSE))))</f>
        <v/>
      </c>
      <c r="H197" s="520" t="str">
        <f>IF(E197="","",IF(ISNA(VLOOKUP($E197,'A-1 Site Habitat Baseline'!$D$1:$O$258,6,FALSE)),"",(VLOOKUP($E197,'A-1 Site Habitat Baseline'!$D$1:$O$258,6,FALSE))))</f>
        <v/>
      </c>
      <c r="I197" s="520" t="str">
        <f>IF(E197="","",IF(ISNA(VLOOKUP($E197,'A-1 Site Habitat Baseline'!$D$1:$O$258,7,FALSE)),"",(VLOOKUP($E197,'A-1 Site Habitat Baseline'!$D$1:$O$258,7,FALSE))))</f>
        <v/>
      </c>
      <c r="J197" s="520" t="str">
        <f>IF(E197="","",IF(ISNA(VLOOKUP($E197,'A-1 Site Habitat Baseline'!$D$1:$O$258,8,FALSE)),"",(VLOOKUP($E197,'A-1 Site Habitat Baseline'!$D$1:$O$258,8,FALSE))))</f>
        <v/>
      </c>
      <c r="K197" s="520" t="str">
        <f>IF(E197="","",IF(ISNA(VLOOKUP($E197,'A-1 Site Habitat Baseline'!$D$1:$O$258,9,FALSE)),"",(VLOOKUP($E197,'A-1 Site Habitat Baseline'!$D$1:$O$258,9,FALSE))))</f>
        <v/>
      </c>
      <c r="L197" s="520" t="str">
        <f>IF(E197="","",IF(ISNA(VLOOKUP($E197,'A-1 Site Habitat Baseline'!$D$1:$O$258,11,FALSE)),"",(VLOOKUP($E197,'A-1 Site Habitat Baseline'!$D$1:$O$258,11,FALSE))))</f>
        <v/>
      </c>
      <c r="M197" s="520" t="str">
        <f>IF(E197="","",IF(ISNA(VLOOKUP($E197,'A-1 Site Habitat Baseline'!$D$1:$O$258,12,FALSE)),"",(VLOOKUP($E197,'A-1 Site Habitat Baseline'!$D$1:$O$258,12,FALSE))))</f>
        <v/>
      </c>
      <c r="N197" s="532" t="str">
        <f>IF(E197="","",IF(ISNA(VLOOKUP($E197,'A-1 Site Habitat Baseline'!$D$1:$X$258,14,FALSE)),"",(VLOOKUP($E197,'A-1 Site Habitat Baseline'!$D$1:$X$258,14,FALSE))))</f>
        <v/>
      </c>
      <c r="O197" s="524" t="str">
        <f>IF(E197="","",IF(ISNA(VLOOKUP($E197,'A-1 Site Habitat Baseline'!$D$1:$X$258,16,FALSE)),"",(VLOOKUP($E197,'A-1 Site Habitat Baseline'!$D$1:$X$258,13,FALSE))))</f>
        <v/>
      </c>
      <c r="P197" s="237" t="str">
        <f>IFERROR(INDEX('G-1 All Habitats'!$AG$3:$AG$15,MATCH(Q197,'G-1 All Habitats'!$AF$3:$AF$15,0)),"")</f>
        <v/>
      </c>
      <c r="Q197" s="238" t="str">
        <f t="shared" si="26"/>
        <v/>
      </c>
      <c r="R197" s="238" t="str">
        <f t="shared" si="27"/>
        <v/>
      </c>
      <c r="S197" s="392" t="str">
        <f>IFERROR(INDEX('G-1 All Habitats'!$B$3:$B$129,MATCH(R197,'G-1 All Habitats'!$A$3:$A$129,0)),"")</f>
        <v/>
      </c>
      <c r="T197" s="498" t="str">
        <f t="shared" si="28"/>
        <v/>
      </c>
      <c r="U197" s="499" t="str">
        <f t="shared" si="29"/>
        <v/>
      </c>
      <c r="V197" s="537" t="str">
        <f t="shared" si="23"/>
        <v/>
      </c>
      <c r="W197" s="520" t="str">
        <f>IF(S197="","",VLOOKUP(S197,'G-1 All Habitats'!$B$2:$M$129,10,FALSE))</f>
        <v/>
      </c>
      <c r="X197" s="520" t="str">
        <f>IFERROR(VLOOKUP(W197,'G-1 All Habitats'!$V$3:$W$7,2,FALSE),"")</f>
        <v/>
      </c>
      <c r="Y197" s="79"/>
      <c r="Z197" s="524" t="str">
        <f>IFERROR(INDEX('G-8 Condition Look up'!$A$3:$H$130,MATCH(S197,'G-8 Condition Look up'!$A$3:$A$130,0),MATCH(Y197,'G-8 Condition Look up'!$A$3:$H$3,0)),"")</f>
        <v/>
      </c>
      <c r="AA197" s="71"/>
      <c r="AB197" s="520" t="str">
        <f>IF(AA197="","",IF(VLOOKUP(AA197,'G-3 Multipliers'!$L$3:$N$6,2,FALSE)=0,"Spatial Data Missing ⚠",VLOOKUP(AA197,'G-3 Multipliers'!$L$3:$N$6,2,FALSE)))</f>
        <v/>
      </c>
      <c r="AC197" s="524" t="str">
        <f>IF(AA197="","",IF(VLOOKUP(AA197,'G-3 Multipliers'!$L$3:$N$6,3,FALSE)=0,"Spatial Data Missing ⚠",VLOOKUP(AA197,'G-3 Multipliers'!$L$3:$N$6,3,FALSE)))</f>
        <v/>
      </c>
      <c r="AD197" s="539" t="str">
        <f t="shared" si="24"/>
        <v/>
      </c>
      <c r="AE197" s="82"/>
      <c r="AF197" s="82"/>
      <c r="AG197" s="507" t="str">
        <f t="shared" si="30"/>
        <v/>
      </c>
      <c r="AH197" s="521" t="str">
        <f t="shared" si="31"/>
        <v/>
      </c>
      <c r="AI197" s="522" t="str">
        <f>IF(AH197="Check Data","Check Data",IFERROR(VLOOKUP(AH197,'G-4 Temporal multipliers'!$A$4:$C$36,3,FALSE),""))</f>
        <v/>
      </c>
      <c r="AJ197" s="498" t="str">
        <f>IF(S197="","",VLOOKUP(S197,'G-3 Multipliers'!$A$2:$E$129,4,FALSE))</f>
        <v/>
      </c>
      <c r="AK197" s="507" t="str">
        <f t="shared" si="32"/>
        <v/>
      </c>
      <c r="AL197" s="507" t="str">
        <f t="shared" si="33"/>
        <v/>
      </c>
      <c r="AM197" s="540" t="str">
        <f>IFERROR(IF(F197="","",IF(AH197="Check Data ⚠","Check Data ⚠",VLOOKUP(AL197, 'G-3 Multipliers'!$P$2:$Q$6,2,FALSE))),"")</f>
        <v/>
      </c>
      <c r="AN197" s="513" t="str">
        <f t="shared" si="25"/>
        <v/>
      </c>
      <c r="AO197" s="239"/>
      <c r="AP197" s="240"/>
    </row>
    <row r="198" spans="1:42" x14ac:dyDescent="0.25">
      <c r="A198" s="47" t="str">
        <f>IF(E198="","",IF(ISNA(VLOOKUP($E198,'A-1 Site Habitat Baseline'!$D$1:$O$258,2,FALSE)),"",(VLOOKUP($E198,'A-1 Site Habitat Baseline'!$D$1:$O$258,2,FALSE))))</f>
        <v/>
      </c>
      <c r="B198" s="47" t="str">
        <f>IF(E198="","",IF(ISNA(VLOOKUP($E198,'A-1 Site Habitat Baseline'!$D$1:$O$258,3,FALSE)),"",(VLOOKUP($E198,'A-1 Site Habitat Baseline'!$D$1:$O$258,3,FALSE))))</f>
        <v/>
      </c>
      <c r="C198" s="47" t="str">
        <f>IFERROR(INDEX('G-8 Condition Look up'!$I$4:$I$130,MATCH(S198,'G-8 Condition Look up'!$A$4:$A$130,0)),"")</f>
        <v/>
      </c>
      <c r="E198" s="531" t="str">
        <f>'A-1 Site Habitat Baseline'!AL197</f>
        <v/>
      </c>
      <c r="F198" s="520" t="str">
        <f>IF(E198="","",IF(ISNA(VLOOKUP($E198,'A-1 Site Habitat Baseline'!$D$1:$O$258,4,FALSE)),"",(VLOOKUP($E198,'A-1 Site Habitat Baseline'!$D$1:$O$258,4,FALSE))))</f>
        <v/>
      </c>
      <c r="G198" s="520" t="str">
        <f>IF(E198="","",IF(ISNA(VLOOKUP($E198,'A-1 Site Habitat Baseline'!$D$1:$O$258,5,FALSE)),"",(VLOOKUP($E198,'A-1 Site Habitat Baseline'!$D$1:$O$258,5,FALSE))))</f>
        <v/>
      </c>
      <c r="H198" s="520" t="str">
        <f>IF(E198="","",IF(ISNA(VLOOKUP($E198,'A-1 Site Habitat Baseline'!$D$1:$O$258,6,FALSE)),"",(VLOOKUP($E198,'A-1 Site Habitat Baseline'!$D$1:$O$258,6,FALSE))))</f>
        <v/>
      </c>
      <c r="I198" s="520" t="str">
        <f>IF(E198="","",IF(ISNA(VLOOKUP($E198,'A-1 Site Habitat Baseline'!$D$1:$O$258,7,FALSE)),"",(VLOOKUP($E198,'A-1 Site Habitat Baseline'!$D$1:$O$258,7,FALSE))))</f>
        <v/>
      </c>
      <c r="J198" s="520" t="str">
        <f>IF(E198="","",IF(ISNA(VLOOKUP($E198,'A-1 Site Habitat Baseline'!$D$1:$O$258,8,FALSE)),"",(VLOOKUP($E198,'A-1 Site Habitat Baseline'!$D$1:$O$258,8,FALSE))))</f>
        <v/>
      </c>
      <c r="K198" s="520" t="str">
        <f>IF(E198="","",IF(ISNA(VLOOKUP($E198,'A-1 Site Habitat Baseline'!$D$1:$O$258,9,FALSE)),"",(VLOOKUP($E198,'A-1 Site Habitat Baseline'!$D$1:$O$258,9,FALSE))))</f>
        <v/>
      </c>
      <c r="L198" s="520" t="str">
        <f>IF(E198="","",IF(ISNA(VLOOKUP($E198,'A-1 Site Habitat Baseline'!$D$1:$O$258,11,FALSE)),"",(VLOOKUP($E198,'A-1 Site Habitat Baseline'!$D$1:$O$258,11,FALSE))))</f>
        <v/>
      </c>
      <c r="M198" s="520" t="str">
        <f>IF(E198="","",IF(ISNA(VLOOKUP($E198,'A-1 Site Habitat Baseline'!$D$1:$O$258,12,FALSE)),"",(VLOOKUP($E198,'A-1 Site Habitat Baseline'!$D$1:$O$258,12,FALSE))))</f>
        <v/>
      </c>
      <c r="N198" s="532" t="str">
        <f>IF(E198="","",IF(ISNA(VLOOKUP($E198,'A-1 Site Habitat Baseline'!$D$1:$X$258,14,FALSE)),"",(VLOOKUP($E198,'A-1 Site Habitat Baseline'!$D$1:$X$258,14,FALSE))))</f>
        <v/>
      </c>
      <c r="O198" s="524" t="str">
        <f>IF(E198="","",IF(ISNA(VLOOKUP($E198,'A-1 Site Habitat Baseline'!$D$1:$X$258,16,FALSE)),"",(VLOOKUP($E198,'A-1 Site Habitat Baseline'!$D$1:$X$258,13,FALSE))))</f>
        <v/>
      </c>
      <c r="P198" s="237" t="str">
        <f>IFERROR(INDEX('G-1 All Habitats'!$AG$3:$AG$15,MATCH(Q198,'G-1 All Habitats'!$AF$3:$AF$15,0)),"")</f>
        <v/>
      </c>
      <c r="Q198" s="238" t="str">
        <f t="shared" si="26"/>
        <v/>
      </c>
      <c r="R198" s="238" t="str">
        <f t="shared" si="27"/>
        <v/>
      </c>
      <c r="S198" s="392" t="str">
        <f>IFERROR(INDEX('G-1 All Habitats'!$B$3:$B$129,MATCH(R198,'G-1 All Habitats'!$A$3:$A$129,0)),"")</f>
        <v/>
      </c>
      <c r="T198" s="498" t="str">
        <f t="shared" si="28"/>
        <v/>
      </c>
      <c r="U198" s="499" t="str">
        <f t="shared" si="29"/>
        <v/>
      </c>
      <c r="V198" s="537" t="str">
        <f t="shared" si="23"/>
        <v/>
      </c>
      <c r="W198" s="520" t="str">
        <f>IF(S198="","",VLOOKUP(S198,'G-1 All Habitats'!$B$2:$M$129,10,FALSE))</f>
        <v/>
      </c>
      <c r="X198" s="520" t="str">
        <f>IFERROR(VLOOKUP(W198,'G-1 All Habitats'!$V$3:$W$7,2,FALSE),"")</f>
        <v/>
      </c>
      <c r="Y198" s="79"/>
      <c r="Z198" s="524" t="str">
        <f>IFERROR(INDEX('G-8 Condition Look up'!$A$3:$H$130,MATCH(S198,'G-8 Condition Look up'!$A$3:$A$130,0),MATCH(Y198,'G-8 Condition Look up'!$A$3:$H$3,0)),"")</f>
        <v/>
      </c>
      <c r="AA198" s="71"/>
      <c r="AB198" s="520" t="str">
        <f>IF(AA198="","",IF(VLOOKUP(AA198,'G-3 Multipliers'!$L$3:$N$6,2,FALSE)=0,"Spatial Data Missing ⚠",VLOOKUP(AA198,'G-3 Multipliers'!$L$3:$N$6,2,FALSE)))</f>
        <v/>
      </c>
      <c r="AC198" s="524" t="str">
        <f>IF(AA198="","",IF(VLOOKUP(AA198,'G-3 Multipliers'!$L$3:$N$6,3,FALSE)=0,"Spatial Data Missing ⚠",VLOOKUP(AA198,'G-3 Multipliers'!$L$3:$N$6,3,FALSE)))</f>
        <v/>
      </c>
      <c r="AD198" s="539" t="str">
        <f t="shared" si="24"/>
        <v/>
      </c>
      <c r="AE198" s="82"/>
      <c r="AF198" s="82"/>
      <c r="AG198" s="507" t="str">
        <f t="shared" si="30"/>
        <v/>
      </c>
      <c r="AH198" s="521" t="str">
        <f t="shared" si="31"/>
        <v/>
      </c>
      <c r="AI198" s="522" t="str">
        <f>IF(AH198="Check Data","Check Data",IFERROR(VLOOKUP(AH198,'G-4 Temporal multipliers'!$A$4:$C$36,3,FALSE),""))</f>
        <v/>
      </c>
      <c r="AJ198" s="498" t="str">
        <f>IF(S198="","",VLOOKUP(S198,'G-3 Multipliers'!$A$2:$E$129,4,FALSE))</f>
        <v/>
      </c>
      <c r="AK198" s="507" t="str">
        <f t="shared" si="32"/>
        <v/>
      </c>
      <c r="AL198" s="507" t="str">
        <f t="shared" si="33"/>
        <v/>
      </c>
      <c r="AM198" s="540" t="str">
        <f>IFERROR(IF(F198="","",IF(AH198="Check Data ⚠","Check Data ⚠",VLOOKUP(AL198, 'G-3 Multipliers'!$P$2:$Q$6,2,FALSE))),"")</f>
        <v/>
      </c>
      <c r="AN198" s="513" t="str">
        <f t="shared" si="25"/>
        <v/>
      </c>
      <c r="AO198" s="239"/>
      <c r="AP198" s="240"/>
    </row>
    <row r="199" spans="1:42" x14ac:dyDescent="0.25">
      <c r="A199" s="47" t="str">
        <f>IF(E199="","",IF(ISNA(VLOOKUP($E199,'A-1 Site Habitat Baseline'!$D$1:$O$258,2,FALSE)),"",(VLOOKUP($E199,'A-1 Site Habitat Baseline'!$D$1:$O$258,2,FALSE))))</f>
        <v/>
      </c>
      <c r="B199" s="47" t="str">
        <f>IF(E199="","",IF(ISNA(VLOOKUP($E199,'A-1 Site Habitat Baseline'!$D$1:$O$258,3,FALSE)),"",(VLOOKUP($E199,'A-1 Site Habitat Baseline'!$D$1:$O$258,3,FALSE))))</f>
        <v/>
      </c>
      <c r="C199" s="47" t="str">
        <f>IFERROR(INDEX('G-8 Condition Look up'!$I$4:$I$130,MATCH(S199,'G-8 Condition Look up'!$A$4:$A$130,0)),"")</f>
        <v/>
      </c>
      <c r="E199" s="531" t="str">
        <f>'A-1 Site Habitat Baseline'!AL198</f>
        <v/>
      </c>
      <c r="F199" s="520" t="str">
        <f>IF(E199="","",IF(ISNA(VLOOKUP($E199,'A-1 Site Habitat Baseline'!$D$1:$O$258,4,FALSE)),"",(VLOOKUP($E199,'A-1 Site Habitat Baseline'!$D$1:$O$258,4,FALSE))))</f>
        <v/>
      </c>
      <c r="G199" s="520" t="str">
        <f>IF(E199="","",IF(ISNA(VLOOKUP($E199,'A-1 Site Habitat Baseline'!$D$1:$O$258,5,FALSE)),"",(VLOOKUP($E199,'A-1 Site Habitat Baseline'!$D$1:$O$258,5,FALSE))))</f>
        <v/>
      </c>
      <c r="H199" s="520" t="str">
        <f>IF(E199="","",IF(ISNA(VLOOKUP($E199,'A-1 Site Habitat Baseline'!$D$1:$O$258,6,FALSE)),"",(VLOOKUP($E199,'A-1 Site Habitat Baseline'!$D$1:$O$258,6,FALSE))))</f>
        <v/>
      </c>
      <c r="I199" s="520" t="str">
        <f>IF(E199="","",IF(ISNA(VLOOKUP($E199,'A-1 Site Habitat Baseline'!$D$1:$O$258,7,FALSE)),"",(VLOOKUP($E199,'A-1 Site Habitat Baseline'!$D$1:$O$258,7,FALSE))))</f>
        <v/>
      </c>
      <c r="J199" s="520" t="str">
        <f>IF(E199="","",IF(ISNA(VLOOKUP($E199,'A-1 Site Habitat Baseline'!$D$1:$O$258,8,FALSE)),"",(VLOOKUP($E199,'A-1 Site Habitat Baseline'!$D$1:$O$258,8,FALSE))))</f>
        <v/>
      </c>
      <c r="K199" s="520" t="str">
        <f>IF(E199="","",IF(ISNA(VLOOKUP($E199,'A-1 Site Habitat Baseline'!$D$1:$O$258,9,FALSE)),"",(VLOOKUP($E199,'A-1 Site Habitat Baseline'!$D$1:$O$258,9,FALSE))))</f>
        <v/>
      </c>
      <c r="L199" s="520" t="str">
        <f>IF(E199="","",IF(ISNA(VLOOKUP($E199,'A-1 Site Habitat Baseline'!$D$1:$O$258,11,FALSE)),"",(VLOOKUP($E199,'A-1 Site Habitat Baseline'!$D$1:$O$258,11,FALSE))))</f>
        <v/>
      </c>
      <c r="M199" s="520" t="str">
        <f>IF(E199="","",IF(ISNA(VLOOKUP($E199,'A-1 Site Habitat Baseline'!$D$1:$O$258,12,FALSE)),"",(VLOOKUP($E199,'A-1 Site Habitat Baseline'!$D$1:$O$258,12,FALSE))))</f>
        <v/>
      </c>
      <c r="N199" s="532" t="str">
        <f>IF(E199="","",IF(ISNA(VLOOKUP($E199,'A-1 Site Habitat Baseline'!$D$1:$X$258,14,FALSE)),"",(VLOOKUP($E199,'A-1 Site Habitat Baseline'!$D$1:$X$258,14,FALSE))))</f>
        <v/>
      </c>
      <c r="O199" s="524" t="str">
        <f>IF(E199="","",IF(ISNA(VLOOKUP($E199,'A-1 Site Habitat Baseline'!$D$1:$X$258,16,FALSE)),"",(VLOOKUP($E199,'A-1 Site Habitat Baseline'!$D$1:$X$258,13,FALSE))))</f>
        <v/>
      </c>
      <c r="P199" s="237" t="str">
        <f>IFERROR(INDEX('G-1 All Habitats'!$AG$3:$AG$15,MATCH(Q199,'G-1 All Habitats'!$AF$3:$AF$15,0)),"")</f>
        <v/>
      </c>
      <c r="Q199" s="238" t="str">
        <f t="shared" si="26"/>
        <v/>
      </c>
      <c r="R199" s="238" t="str">
        <f t="shared" si="27"/>
        <v/>
      </c>
      <c r="S199" s="392" t="str">
        <f>IFERROR(INDEX('G-1 All Habitats'!$B$3:$B$129,MATCH(R199,'G-1 All Habitats'!$A$3:$A$129,0)),"")</f>
        <v/>
      </c>
      <c r="T199" s="498" t="str">
        <f t="shared" si="28"/>
        <v/>
      </c>
      <c r="U199" s="499" t="str">
        <f t="shared" si="29"/>
        <v/>
      </c>
      <c r="V199" s="537" t="str">
        <f t="shared" si="23"/>
        <v/>
      </c>
      <c r="W199" s="520" t="str">
        <f>IF(S199="","",VLOOKUP(S199,'G-1 All Habitats'!$B$2:$M$129,10,FALSE))</f>
        <v/>
      </c>
      <c r="X199" s="520" t="str">
        <f>IFERROR(VLOOKUP(W199,'G-1 All Habitats'!$V$3:$W$7,2,FALSE),"")</f>
        <v/>
      </c>
      <c r="Y199" s="79"/>
      <c r="Z199" s="524" t="str">
        <f>IFERROR(INDEX('G-8 Condition Look up'!$A$3:$H$130,MATCH(S199,'G-8 Condition Look up'!$A$3:$A$130,0),MATCH(Y199,'G-8 Condition Look up'!$A$3:$H$3,0)),"")</f>
        <v/>
      </c>
      <c r="AA199" s="71"/>
      <c r="AB199" s="520" t="str">
        <f>IF(AA199="","",IF(VLOOKUP(AA199,'G-3 Multipliers'!$L$3:$N$6,2,FALSE)=0,"Spatial Data Missing ⚠",VLOOKUP(AA199,'G-3 Multipliers'!$L$3:$N$6,2,FALSE)))</f>
        <v/>
      </c>
      <c r="AC199" s="524" t="str">
        <f>IF(AA199="","",IF(VLOOKUP(AA199,'G-3 Multipliers'!$L$3:$N$6,3,FALSE)=0,"Spatial Data Missing ⚠",VLOOKUP(AA199,'G-3 Multipliers'!$L$3:$N$6,3,FALSE)))</f>
        <v/>
      </c>
      <c r="AD199" s="539" t="str">
        <f t="shared" si="24"/>
        <v/>
      </c>
      <c r="AE199" s="82"/>
      <c r="AF199" s="82"/>
      <c r="AG199" s="507" t="str">
        <f t="shared" si="30"/>
        <v/>
      </c>
      <c r="AH199" s="521" t="str">
        <f t="shared" si="31"/>
        <v/>
      </c>
      <c r="AI199" s="522" t="str">
        <f>IF(AH199="Check Data","Check Data",IFERROR(VLOOKUP(AH199,'G-4 Temporal multipliers'!$A$4:$C$36,3,FALSE),""))</f>
        <v/>
      </c>
      <c r="AJ199" s="498" t="str">
        <f>IF(S199="","",VLOOKUP(S199,'G-3 Multipliers'!$A$2:$E$129,4,FALSE))</f>
        <v/>
      </c>
      <c r="AK199" s="507" t="str">
        <f t="shared" si="32"/>
        <v/>
      </c>
      <c r="AL199" s="507" t="str">
        <f t="shared" si="33"/>
        <v/>
      </c>
      <c r="AM199" s="540" t="str">
        <f>IFERROR(IF(F199="","",IF(AH199="Check Data ⚠","Check Data ⚠",VLOOKUP(AL199, 'G-3 Multipliers'!$P$2:$Q$6,2,FALSE))),"")</f>
        <v/>
      </c>
      <c r="AN199" s="513" t="str">
        <f t="shared" si="25"/>
        <v/>
      </c>
      <c r="AO199" s="239"/>
      <c r="AP199" s="240"/>
    </row>
    <row r="200" spans="1:42" x14ac:dyDescent="0.25">
      <c r="A200" s="47" t="str">
        <f>IF(E200="","",IF(ISNA(VLOOKUP($E200,'A-1 Site Habitat Baseline'!$D$1:$O$258,2,FALSE)),"",(VLOOKUP($E200,'A-1 Site Habitat Baseline'!$D$1:$O$258,2,FALSE))))</f>
        <v/>
      </c>
      <c r="B200" s="47" t="str">
        <f>IF(E200="","",IF(ISNA(VLOOKUP($E200,'A-1 Site Habitat Baseline'!$D$1:$O$258,3,FALSE)),"",(VLOOKUP($E200,'A-1 Site Habitat Baseline'!$D$1:$O$258,3,FALSE))))</f>
        <v/>
      </c>
      <c r="C200" s="47" t="str">
        <f>IFERROR(INDEX('G-8 Condition Look up'!$I$4:$I$130,MATCH(S200,'G-8 Condition Look up'!$A$4:$A$130,0)),"")</f>
        <v/>
      </c>
      <c r="E200" s="531" t="str">
        <f>'A-1 Site Habitat Baseline'!AL199</f>
        <v/>
      </c>
      <c r="F200" s="520" t="str">
        <f>IF(E200="","",IF(ISNA(VLOOKUP($E200,'A-1 Site Habitat Baseline'!$D$1:$O$258,4,FALSE)),"",(VLOOKUP($E200,'A-1 Site Habitat Baseline'!$D$1:$O$258,4,FALSE))))</f>
        <v/>
      </c>
      <c r="G200" s="520" t="str">
        <f>IF(E200="","",IF(ISNA(VLOOKUP($E200,'A-1 Site Habitat Baseline'!$D$1:$O$258,5,FALSE)),"",(VLOOKUP($E200,'A-1 Site Habitat Baseline'!$D$1:$O$258,5,FALSE))))</f>
        <v/>
      </c>
      <c r="H200" s="520" t="str">
        <f>IF(E200="","",IF(ISNA(VLOOKUP($E200,'A-1 Site Habitat Baseline'!$D$1:$O$258,6,FALSE)),"",(VLOOKUP($E200,'A-1 Site Habitat Baseline'!$D$1:$O$258,6,FALSE))))</f>
        <v/>
      </c>
      <c r="I200" s="520" t="str">
        <f>IF(E200="","",IF(ISNA(VLOOKUP($E200,'A-1 Site Habitat Baseline'!$D$1:$O$258,7,FALSE)),"",(VLOOKUP($E200,'A-1 Site Habitat Baseline'!$D$1:$O$258,7,FALSE))))</f>
        <v/>
      </c>
      <c r="J200" s="520" t="str">
        <f>IF(E200="","",IF(ISNA(VLOOKUP($E200,'A-1 Site Habitat Baseline'!$D$1:$O$258,8,FALSE)),"",(VLOOKUP($E200,'A-1 Site Habitat Baseline'!$D$1:$O$258,8,FALSE))))</f>
        <v/>
      </c>
      <c r="K200" s="520" t="str">
        <f>IF(E200="","",IF(ISNA(VLOOKUP($E200,'A-1 Site Habitat Baseline'!$D$1:$O$258,9,FALSE)),"",(VLOOKUP($E200,'A-1 Site Habitat Baseline'!$D$1:$O$258,9,FALSE))))</f>
        <v/>
      </c>
      <c r="L200" s="520" t="str">
        <f>IF(E200="","",IF(ISNA(VLOOKUP($E200,'A-1 Site Habitat Baseline'!$D$1:$O$258,11,FALSE)),"",(VLOOKUP($E200,'A-1 Site Habitat Baseline'!$D$1:$O$258,11,FALSE))))</f>
        <v/>
      </c>
      <c r="M200" s="520" t="str">
        <f>IF(E200="","",IF(ISNA(VLOOKUP($E200,'A-1 Site Habitat Baseline'!$D$1:$O$258,12,FALSE)),"",(VLOOKUP($E200,'A-1 Site Habitat Baseline'!$D$1:$O$258,12,FALSE))))</f>
        <v/>
      </c>
      <c r="N200" s="532" t="str">
        <f>IF(E200="","",IF(ISNA(VLOOKUP($E200,'A-1 Site Habitat Baseline'!$D$1:$X$258,14,FALSE)),"",(VLOOKUP($E200,'A-1 Site Habitat Baseline'!$D$1:$X$258,14,FALSE))))</f>
        <v/>
      </c>
      <c r="O200" s="524" t="str">
        <f>IF(E200="","",IF(ISNA(VLOOKUP($E200,'A-1 Site Habitat Baseline'!$D$1:$X$258,16,FALSE)),"",(VLOOKUP($E200,'A-1 Site Habitat Baseline'!$D$1:$X$258,13,FALSE))))</f>
        <v/>
      </c>
      <c r="P200" s="237" t="str">
        <f>IFERROR(INDEX('G-1 All Habitats'!$AG$3:$AG$15,MATCH(Q200,'G-1 All Habitats'!$AF$3:$AF$15,0)),"")</f>
        <v/>
      </c>
      <c r="Q200" s="238" t="str">
        <f t="shared" si="26"/>
        <v/>
      </c>
      <c r="R200" s="238" t="str">
        <f t="shared" si="27"/>
        <v/>
      </c>
      <c r="S200" s="392" t="str">
        <f>IFERROR(INDEX('G-1 All Habitats'!$B$3:$B$129,MATCH(R200,'G-1 All Habitats'!$A$3:$A$129,0)),"")</f>
        <v/>
      </c>
      <c r="T200" s="498" t="str">
        <f t="shared" si="28"/>
        <v/>
      </c>
      <c r="U200" s="499" t="str">
        <f t="shared" si="29"/>
        <v/>
      </c>
      <c r="V200" s="537" t="str">
        <f t="shared" si="23"/>
        <v/>
      </c>
      <c r="W200" s="520" t="str">
        <f>IF(S200="","",VLOOKUP(S200,'G-1 All Habitats'!$B$2:$M$129,10,FALSE))</f>
        <v/>
      </c>
      <c r="X200" s="520" t="str">
        <f>IFERROR(VLOOKUP(W200,'G-1 All Habitats'!$V$3:$W$7,2,FALSE),"")</f>
        <v/>
      </c>
      <c r="Y200" s="79"/>
      <c r="Z200" s="524" t="str">
        <f>IFERROR(INDEX('G-8 Condition Look up'!$A$3:$H$130,MATCH(S200,'G-8 Condition Look up'!$A$3:$A$130,0),MATCH(Y200,'G-8 Condition Look up'!$A$3:$H$3,0)),"")</f>
        <v/>
      </c>
      <c r="AA200" s="71"/>
      <c r="AB200" s="520" t="str">
        <f>IF(AA200="","",IF(VLOOKUP(AA200,'G-3 Multipliers'!$L$3:$N$6,2,FALSE)=0,"Spatial Data Missing ⚠",VLOOKUP(AA200,'G-3 Multipliers'!$L$3:$N$6,2,FALSE)))</f>
        <v/>
      </c>
      <c r="AC200" s="524" t="str">
        <f>IF(AA200="","",IF(VLOOKUP(AA200,'G-3 Multipliers'!$L$3:$N$6,3,FALSE)=0,"Spatial Data Missing ⚠",VLOOKUP(AA200,'G-3 Multipliers'!$L$3:$N$6,3,FALSE)))</f>
        <v/>
      </c>
      <c r="AD200" s="539" t="str">
        <f t="shared" si="24"/>
        <v/>
      </c>
      <c r="AE200" s="82"/>
      <c r="AF200" s="82"/>
      <c r="AG200" s="507" t="str">
        <f t="shared" si="30"/>
        <v/>
      </c>
      <c r="AH200" s="521" t="str">
        <f t="shared" si="31"/>
        <v/>
      </c>
      <c r="AI200" s="522" t="str">
        <f>IF(AH200="Check Data","Check Data",IFERROR(VLOOKUP(AH200,'G-4 Temporal multipliers'!$A$4:$C$36,3,FALSE),""))</f>
        <v/>
      </c>
      <c r="AJ200" s="498" t="str">
        <f>IF(S200="","",VLOOKUP(S200,'G-3 Multipliers'!$A$2:$E$129,4,FALSE))</f>
        <v/>
      </c>
      <c r="AK200" s="507" t="str">
        <f t="shared" si="32"/>
        <v/>
      </c>
      <c r="AL200" s="507" t="str">
        <f t="shared" si="33"/>
        <v/>
      </c>
      <c r="AM200" s="540" t="str">
        <f>IFERROR(IF(F200="","",IF(AH200="Check Data ⚠","Check Data ⚠",VLOOKUP(AL200, 'G-3 Multipliers'!$P$2:$Q$6,2,FALSE))),"")</f>
        <v/>
      </c>
      <c r="AN200" s="513" t="str">
        <f t="shared" si="25"/>
        <v/>
      </c>
      <c r="AO200" s="239"/>
      <c r="AP200" s="240"/>
    </row>
    <row r="201" spans="1:42" x14ac:dyDescent="0.25">
      <c r="A201" s="47" t="str">
        <f>IF(E201="","",IF(ISNA(VLOOKUP($E201,'A-1 Site Habitat Baseline'!$D$1:$O$258,2,FALSE)),"",(VLOOKUP($E201,'A-1 Site Habitat Baseline'!$D$1:$O$258,2,FALSE))))</f>
        <v/>
      </c>
      <c r="B201" s="47" t="str">
        <f>IF(E201="","",IF(ISNA(VLOOKUP($E201,'A-1 Site Habitat Baseline'!$D$1:$O$258,3,FALSE)),"",(VLOOKUP($E201,'A-1 Site Habitat Baseline'!$D$1:$O$258,3,FALSE))))</f>
        <v/>
      </c>
      <c r="C201" s="47" t="str">
        <f>IFERROR(INDEX('G-8 Condition Look up'!$I$4:$I$130,MATCH(S201,'G-8 Condition Look up'!$A$4:$A$130,0)),"")</f>
        <v/>
      </c>
      <c r="E201" s="531" t="str">
        <f>'A-1 Site Habitat Baseline'!AL200</f>
        <v/>
      </c>
      <c r="F201" s="520" t="str">
        <f>IF(E201="","",IF(ISNA(VLOOKUP($E201,'A-1 Site Habitat Baseline'!$D$1:$O$258,4,FALSE)),"",(VLOOKUP($E201,'A-1 Site Habitat Baseline'!$D$1:$O$258,4,FALSE))))</f>
        <v/>
      </c>
      <c r="G201" s="520" t="str">
        <f>IF(E201="","",IF(ISNA(VLOOKUP($E201,'A-1 Site Habitat Baseline'!$D$1:$O$258,5,FALSE)),"",(VLOOKUP($E201,'A-1 Site Habitat Baseline'!$D$1:$O$258,5,FALSE))))</f>
        <v/>
      </c>
      <c r="H201" s="520" t="str">
        <f>IF(E201="","",IF(ISNA(VLOOKUP($E201,'A-1 Site Habitat Baseline'!$D$1:$O$258,6,FALSE)),"",(VLOOKUP($E201,'A-1 Site Habitat Baseline'!$D$1:$O$258,6,FALSE))))</f>
        <v/>
      </c>
      <c r="I201" s="520" t="str">
        <f>IF(E201="","",IF(ISNA(VLOOKUP($E201,'A-1 Site Habitat Baseline'!$D$1:$O$258,7,FALSE)),"",(VLOOKUP($E201,'A-1 Site Habitat Baseline'!$D$1:$O$258,7,FALSE))))</f>
        <v/>
      </c>
      <c r="J201" s="520" t="str">
        <f>IF(E201="","",IF(ISNA(VLOOKUP($E201,'A-1 Site Habitat Baseline'!$D$1:$O$258,8,FALSE)),"",(VLOOKUP($E201,'A-1 Site Habitat Baseline'!$D$1:$O$258,8,FALSE))))</f>
        <v/>
      </c>
      <c r="K201" s="520" t="str">
        <f>IF(E201="","",IF(ISNA(VLOOKUP($E201,'A-1 Site Habitat Baseline'!$D$1:$O$258,9,FALSE)),"",(VLOOKUP($E201,'A-1 Site Habitat Baseline'!$D$1:$O$258,9,FALSE))))</f>
        <v/>
      </c>
      <c r="L201" s="520" t="str">
        <f>IF(E201="","",IF(ISNA(VLOOKUP($E201,'A-1 Site Habitat Baseline'!$D$1:$O$258,11,FALSE)),"",(VLOOKUP($E201,'A-1 Site Habitat Baseline'!$D$1:$O$258,11,FALSE))))</f>
        <v/>
      </c>
      <c r="M201" s="520" t="str">
        <f>IF(E201="","",IF(ISNA(VLOOKUP($E201,'A-1 Site Habitat Baseline'!$D$1:$O$258,12,FALSE)),"",(VLOOKUP($E201,'A-1 Site Habitat Baseline'!$D$1:$O$258,12,FALSE))))</f>
        <v/>
      </c>
      <c r="N201" s="532" t="str">
        <f>IF(E201="","",IF(ISNA(VLOOKUP($E201,'A-1 Site Habitat Baseline'!$D$1:$X$258,14,FALSE)),"",(VLOOKUP($E201,'A-1 Site Habitat Baseline'!$D$1:$X$258,14,FALSE))))</f>
        <v/>
      </c>
      <c r="O201" s="524" t="str">
        <f>IF(E201="","",IF(ISNA(VLOOKUP($E201,'A-1 Site Habitat Baseline'!$D$1:$X$258,16,FALSE)),"",(VLOOKUP($E201,'A-1 Site Habitat Baseline'!$D$1:$X$258,13,FALSE))))</f>
        <v/>
      </c>
      <c r="P201" s="237" t="str">
        <f>IFERROR(INDEX('G-1 All Habitats'!$AG$3:$AG$15,MATCH(Q201,'G-1 All Habitats'!$AF$3:$AF$15,0)),"")</f>
        <v/>
      </c>
      <c r="Q201" s="238" t="str">
        <f t="shared" si="26"/>
        <v/>
      </c>
      <c r="R201" s="238" t="str">
        <f t="shared" si="27"/>
        <v/>
      </c>
      <c r="S201" s="392" t="str">
        <f>IFERROR(INDEX('G-1 All Habitats'!$B$3:$B$129,MATCH(R201,'G-1 All Habitats'!$A$3:$A$129,0)),"")</f>
        <v/>
      </c>
      <c r="T201" s="498" t="str">
        <f t="shared" si="28"/>
        <v/>
      </c>
      <c r="U201" s="499" t="str">
        <f t="shared" si="29"/>
        <v/>
      </c>
      <c r="V201" s="537" t="str">
        <f t="shared" si="23"/>
        <v/>
      </c>
      <c r="W201" s="520" t="str">
        <f>IF(S201="","",VLOOKUP(S201,'G-1 All Habitats'!$B$2:$M$129,10,FALSE))</f>
        <v/>
      </c>
      <c r="X201" s="520" t="str">
        <f>IFERROR(VLOOKUP(W201,'G-1 All Habitats'!$V$3:$W$7,2,FALSE),"")</f>
        <v/>
      </c>
      <c r="Y201" s="79"/>
      <c r="Z201" s="524" t="str">
        <f>IFERROR(INDEX('G-8 Condition Look up'!$A$3:$H$130,MATCH(S201,'G-8 Condition Look up'!$A$3:$A$130,0),MATCH(Y201,'G-8 Condition Look up'!$A$3:$H$3,0)),"")</f>
        <v/>
      </c>
      <c r="AA201" s="71"/>
      <c r="AB201" s="520" t="str">
        <f>IF(AA201="","",IF(VLOOKUP(AA201,'G-3 Multipliers'!$L$3:$N$6,2,FALSE)=0,"Spatial Data Missing ⚠",VLOOKUP(AA201,'G-3 Multipliers'!$L$3:$N$6,2,FALSE)))</f>
        <v/>
      </c>
      <c r="AC201" s="524" t="str">
        <f>IF(AA201="","",IF(VLOOKUP(AA201,'G-3 Multipliers'!$L$3:$N$6,3,FALSE)=0,"Spatial Data Missing ⚠",VLOOKUP(AA201,'G-3 Multipliers'!$L$3:$N$6,3,FALSE)))</f>
        <v/>
      </c>
      <c r="AD201" s="539" t="str">
        <f t="shared" si="24"/>
        <v/>
      </c>
      <c r="AE201" s="82"/>
      <c r="AF201" s="82"/>
      <c r="AG201" s="507" t="str">
        <f t="shared" si="30"/>
        <v/>
      </c>
      <c r="AH201" s="521" t="str">
        <f t="shared" si="31"/>
        <v/>
      </c>
      <c r="AI201" s="522" t="str">
        <f>IF(AH201="Check Data","Check Data",IFERROR(VLOOKUP(AH201,'G-4 Temporal multipliers'!$A$4:$C$36,3,FALSE),""))</f>
        <v/>
      </c>
      <c r="AJ201" s="498" t="str">
        <f>IF(S201="","",VLOOKUP(S201,'G-3 Multipliers'!$A$2:$E$129,4,FALSE))</f>
        <v/>
      </c>
      <c r="AK201" s="507" t="str">
        <f t="shared" si="32"/>
        <v/>
      </c>
      <c r="AL201" s="507" t="str">
        <f t="shared" si="33"/>
        <v/>
      </c>
      <c r="AM201" s="540" t="str">
        <f>IFERROR(IF(F201="","",IF(AH201="Check Data ⚠","Check Data ⚠",VLOOKUP(AL201, 'G-3 Multipliers'!$P$2:$Q$6,2,FALSE))),"")</f>
        <v/>
      </c>
      <c r="AN201" s="513" t="str">
        <f t="shared" si="25"/>
        <v/>
      </c>
      <c r="AO201" s="239"/>
      <c r="AP201" s="240"/>
    </row>
    <row r="202" spans="1:42" x14ac:dyDescent="0.25">
      <c r="A202" s="47" t="str">
        <f>IF(E202="","",IF(ISNA(VLOOKUP($E202,'A-1 Site Habitat Baseline'!$D$1:$O$258,2,FALSE)),"",(VLOOKUP($E202,'A-1 Site Habitat Baseline'!$D$1:$O$258,2,FALSE))))</f>
        <v/>
      </c>
      <c r="B202" s="47" t="str">
        <f>IF(E202="","",IF(ISNA(VLOOKUP($E202,'A-1 Site Habitat Baseline'!$D$1:$O$258,3,FALSE)),"",(VLOOKUP($E202,'A-1 Site Habitat Baseline'!$D$1:$O$258,3,FALSE))))</f>
        <v/>
      </c>
      <c r="C202" s="47" t="str">
        <f>IFERROR(INDEX('G-8 Condition Look up'!$I$4:$I$130,MATCH(S202,'G-8 Condition Look up'!$A$4:$A$130,0)),"")</f>
        <v/>
      </c>
      <c r="E202" s="531" t="str">
        <f>'A-1 Site Habitat Baseline'!AL201</f>
        <v/>
      </c>
      <c r="F202" s="520" t="str">
        <f>IF(E202="","",IF(ISNA(VLOOKUP($E202,'A-1 Site Habitat Baseline'!$D$1:$O$258,4,FALSE)),"",(VLOOKUP($E202,'A-1 Site Habitat Baseline'!$D$1:$O$258,4,FALSE))))</f>
        <v/>
      </c>
      <c r="G202" s="520" t="str">
        <f>IF(E202="","",IF(ISNA(VLOOKUP($E202,'A-1 Site Habitat Baseline'!$D$1:$O$258,5,FALSE)),"",(VLOOKUP($E202,'A-1 Site Habitat Baseline'!$D$1:$O$258,5,FALSE))))</f>
        <v/>
      </c>
      <c r="H202" s="520" t="str">
        <f>IF(E202="","",IF(ISNA(VLOOKUP($E202,'A-1 Site Habitat Baseline'!$D$1:$O$258,6,FALSE)),"",(VLOOKUP($E202,'A-1 Site Habitat Baseline'!$D$1:$O$258,6,FALSE))))</f>
        <v/>
      </c>
      <c r="I202" s="520" t="str">
        <f>IF(E202="","",IF(ISNA(VLOOKUP($E202,'A-1 Site Habitat Baseline'!$D$1:$O$258,7,FALSE)),"",(VLOOKUP($E202,'A-1 Site Habitat Baseline'!$D$1:$O$258,7,FALSE))))</f>
        <v/>
      </c>
      <c r="J202" s="520" t="str">
        <f>IF(E202="","",IF(ISNA(VLOOKUP($E202,'A-1 Site Habitat Baseline'!$D$1:$O$258,8,FALSE)),"",(VLOOKUP($E202,'A-1 Site Habitat Baseline'!$D$1:$O$258,8,FALSE))))</f>
        <v/>
      </c>
      <c r="K202" s="520" t="str">
        <f>IF(E202="","",IF(ISNA(VLOOKUP($E202,'A-1 Site Habitat Baseline'!$D$1:$O$258,9,FALSE)),"",(VLOOKUP($E202,'A-1 Site Habitat Baseline'!$D$1:$O$258,9,FALSE))))</f>
        <v/>
      </c>
      <c r="L202" s="520" t="str">
        <f>IF(E202="","",IF(ISNA(VLOOKUP($E202,'A-1 Site Habitat Baseline'!$D$1:$O$258,11,FALSE)),"",(VLOOKUP($E202,'A-1 Site Habitat Baseline'!$D$1:$O$258,11,FALSE))))</f>
        <v/>
      </c>
      <c r="M202" s="520" t="str">
        <f>IF(E202="","",IF(ISNA(VLOOKUP($E202,'A-1 Site Habitat Baseline'!$D$1:$O$258,12,FALSE)),"",(VLOOKUP($E202,'A-1 Site Habitat Baseline'!$D$1:$O$258,12,FALSE))))</f>
        <v/>
      </c>
      <c r="N202" s="532" t="str">
        <f>IF(E202="","",IF(ISNA(VLOOKUP($E202,'A-1 Site Habitat Baseline'!$D$1:$X$258,14,FALSE)),"",(VLOOKUP($E202,'A-1 Site Habitat Baseline'!$D$1:$X$258,14,FALSE))))</f>
        <v/>
      </c>
      <c r="O202" s="524" t="str">
        <f>IF(E202="","",IF(ISNA(VLOOKUP($E202,'A-1 Site Habitat Baseline'!$D$1:$X$258,16,FALSE)),"",(VLOOKUP($E202,'A-1 Site Habitat Baseline'!$D$1:$X$258,13,FALSE))))</f>
        <v/>
      </c>
      <c r="P202" s="237" t="str">
        <f>IFERROR(INDEX('G-1 All Habitats'!$AG$3:$AG$15,MATCH(Q202,'G-1 All Habitats'!$AF$3:$AF$15,0)),"")</f>
        <v/>
      </c>
      <c r="Q202" s="238" t="str">
        <f t="shared" si="26"/>
        <v/>
      </c>
      <c r="R202" s="238" t="str">
        <f t="shared" si="27"/>
        <v/>
      </c>
      <c r="S202" s="392" t="str">
        <f>IFERROR(INDEX('G-1 All Habitats'!$B$3:$B$129,MATCH(R202,'G-1 All Habitats'!$A$3:$A$129,0)),"")</f>
        <v/>
      </c>
      <c r="T202" s="498" t="str">
        <f t="shared" si="28"/>
        <v/>
      </c>
      <c r="U202" s="499" t="str">
        <f t="shared" si="29"/>
        <v/>
      </c>
      <c r="V202" s="537" t="str">
        <f t="shared" si="23"/>
        <v/>
      </c>
      <c r="W202" s="520" t="str">
        <f>IF(S202="","",VLOOKUP(S202,'G-1 All Habitats'!$B$2:$M$129,10,FALSE))</f>
        <v/>
      </c>
      <c r="X202" s="520" t="str">
        <f>IFERROR(VLOOKUP(W202,'G-1 All Habitats'!$V$3:$W$7,2,FALSE),"")</f>
        <v/>
      </c>
      <c r="Y202" s="79"/>
      <c r="Z202" s="524" t="str">
        <f>IFERROR(INDEX('G-8 Condition Look up'!$A$3:$H$130,MATCH(S202,'G-8 Condition Look up'!$A$3:$A$130,0),MATCH(Y202,'G-8 Condition Look up'!$A$3:$H$3,0)),"")</f>
        <v/>
      </c>
      <c r="AA202" s="71"/>
      <c r="AB202" s="520" t="str">
        <f>IF(AA202="","",IF(VLOOKUP(AA202,'G-3 Multipliers'!$L$3:$N$6,2,FALSE)=0,"Spatial Data Missing ⚠",VLOOKUP(AA202,'G-3 Multipliers'!$L$3:$N$6,2,FALSE)))</f>
        <v/>
      </c>
      <c r="AC202" s="524" t="str">
        <f>IF(AA202="","",IF(VLOOKUP(AA202,'G-3 Multipliers'!$L$3:$N$6,3,FALSE)=0,"Spatial Data Missing ⚠",VLOOKUP(AA202,'G-3 Multipliers'!$L$3:$N$6,3,FALSE)))</f>
        <v/>
      </c>
      <c r="AD202" s="539" t="str">
        <f t="shared" si="24"/>
        <v/>
      </c>
      <c r="AE202" s="82"/>
      <c r="AF202" s="82"/>
      <c r="AG202" s="507" t="str">
        <f t="shared" si="30"/>
        <v/>
      </c>
      <c r="AH202" s="521" t="str">
        <f t="shared" si="31"/>
        <v/>
      </c>
      <c r="AI202" s="522" t="str">
        <f>IF(AH202="Check Data","Check Data",IFERROR(VLOOKUP(AH202,'G-4 Temporal multipliers'!$A$4:$C$36,3,FALSE),""))</f>
        <v/>
      </c>
      <c r="AJ202" s="498" t="str">
        <f>IF(S202="","",VLOOKUP(S202,'G-3 Multipliers'!$A$2:$E$129,4,FALSE))</f>
        <v/>
      </c>
      <c r="AK202" s="507" t="str">
        <f t="shared" si="32"/>
        <v/>
      </c>
      <c r="AL202" s="507" t="str">
        <f t="shared" si="33"/>
        <v/>
      </c>
      <c r="AM202" s="540" t="str">
        <f>IFERROR(IF(F202="","",IF(AH202="Check Data ⚠","Check Data ⚠",VLOOKUP(AL202, 'G-3 Multipliers'!$P$2:$Q$6,2,FALSE))),"")</f>
        <v/>
      </c>
      <c r="AN202" s="513" t="str">
        <f t="shared" si="25"/>
        <v/>
      </c>
      <c r="AO202" s="239"/>
      <c r="AP202" s="240"/>
    </row>
    <row r="203" spans="1:42" x14ac:dyDescent="0.25">
      <c r="A203" s="47" t="str">
        <f>IF(E203="","",IF(ISNA(VLOOKUP($E203,'A-1 Site Habitat Baseline'!$D$1:$O$258,2,FALSE)),"",(VLOOKUP($E203,'A-1 Site Habitat Baseline'!$D$1:$O$258,2,FALSE))))</f>
        <v/>
      </c>
      <c r="B203" s="47" t="str">
        <f>IF(E203="","",IF(ISNA(VLOOKUP($E203,'A-1 Site Habitat Baseline'!$D$1:$O$258,3,FALSE)),"",(VLOOKUP($E203,'A-1 Site Habitat Baseline'!$D$1:$O$258,3,FALSE))))</f>
        <v/>
      </c>
      <c r="C203" s="47" t="str">
        <f>IFERROR(INDEX('G-8 Condition Look up'!$I$4:$I$130,MATCH(S203,'G-8 Condition Look up'!$A$4:$A$130,0)),"")</f>
        <v/>
      </c>
      <c r="E203" s="531" t="str">
        <f>'A-1 Site Habitat Baseline'!AL202</f>
        <v/>
      </c>
      <c r="F203" s="520" t="str">
        <f>IF(E203="","",IF(ISNA(VLOOKUP($E203,'A-1 Site Habitat Baseline'!$D$1:$O$258,4,FALSE)),"",(VLOOKUP($E203,'A-1 Site Habitat Baseline'!$D$1:$O$258,4,FALSE))))</f>
        <v/>
      </c>
      <c r="G203" s="520" t="str">
        <f>IF(E203="","",IF(ISNA(VLOOKUP($E203,'A-1 Site Habitat Baseline'!$D$1:$O$258,5,FALSE)),"",(VLOOKUP($E203,'A-1 Site Habitat Baseline'!$D$1:$O$258,5,FALSE))))</f>
        <v/>
      </c>
      <c r="H203" s="520" t="str">
        <f>IF(E203="","",IF(ISNA(VLOOKUP($E203,'A-1 Site Habitat Baseline'!$D$1:$O$258,6,FALSE)),"",(VLOOKUP($E203,'A-1 Site Habitat Baseline'!$D$1:$O$258,6,FALSE))))</f>
        <v/>
      </c>
      <c r="I203" s="520" t="str">
        <f>IF(E203="","",IF(ISNA(VLOOKUP($E203,'A-1 Site Habitat Baseline'!$D$1:$O$258,7,FALSE)),"",(VLOOKUP($E203,'A-1 Site Habitat Baseline'!$D$1:$O$258,7,FALSE))))</f>
        <v/>
      </c>
      <c r="J203" s="520" t="str">
        <f>IF(E203="","",IF(ISNA(VLOOKUP($E203,'A-1 Site Habitat Baseline'!$D$1:$O$258,8,FALSE)),"",(VLOOKUP($E203,'A-1 Site Habitat Baseline'!$D$1:$O$258,8,FALSE))))</f>
        <v/>
      </c>
      <c r="K203" s="520" t="str">
        <f>IF(E203="","",IF(ISNA(VLOOKUP($E203,'A-1 Site Habitat Baseline'!$D$1:$O$258,9,FALSE)),"",(VLOOKUP($E203,'A-1 Site Habitat Baseline'!$D$1:$O$258,9,FALSE))))</f>
        <v/>
      </c>
      <c r="L203" s="520" t="str">
        <f>IF(E203="","",IF(ISNA(VLOOKUP($E203,'A-1 Site Habitat Baseline'!$D$1:$O$258,11,FALSE)),"",(VLOOKUP($E203,'A-1 Site Habitat Baseline'!$D$1:$O$258,11,FALSE))))</f>
        <v/>
      </c>
      <c r="M203" s="520" t="str">
        <f>IF(E203="","",IF(ISNA(VLOOKUP($E203,'A-1 Site Habitat Baseline'!$D$1:$O$258,12,FALSE)),"",(VLOOKUP($E203,'A-1 Site Habitat Baseline'!$D$1:$O$258,12,FALSE))))</f>
        <v/>
      </c>
      <c r="N203" s="532" t="str">
        <f>IF(E203="","",IF(ISNA(VLOOKUP($E203,'A-1 Site Habitat Baseline'!$D$1:$X$258,14,FALSE)),"",(VLOOKUP($E203,'A-1 Site Habitat Baseline'!$D$1:$X$258,14,FALSE))))</f>
        <v/>
      </c>
      <c r="O203" s="524" t="str">
        <f>IF(E203="","",IF(ISNA(VLOOKUP($E203,'A-1 Site Habitat Baseline'!$D$1:$X$258,16,FALSE)),"",(VLOOKUP($E203,'A-1 Site Habitat Baseline'!$D$1:$X$258,13,FALSE))))</f>
        <v/>
      </c>
      <c r="P203" s="237" t="str">
        <f>IFERROR(INDEX('G-1 All Habitats'!$AG$3:$AG$15,MATCH(Q203,'G-1 All Habitats'!$AF$3:$AF$15,0)),"")</f>
        <v/>
      </c>
      <c r="Q203" s="238" t="str">
        <f t="shared" si="26"/>
        <v/>
      </c>
      <c r="R203" s="238" t="str">
        <f t="shared" si="27"/>
        <v/>
      </c>
      <c r="S203" s="392" t="str">
        <f>IFERROR(INDEX('G-1 All Habitats'!$B$3:$B$129,MATCH(R203,'G-1 All Habitats'!$A$3:$A$129,0)),"")</f>
        <v/>
      </c>
      <c r="T203" s="498" t="str">
        <f t="shared" si="28"/>
        <v/>
      </c>
      <c r="U203" s="499" t="str">
        <f t="shared" si="29"/>
        <v/>
      </c>
      <c r="V203" s="537" t="str">
        <f t="shared" si="23"/>
        <v/>
      </c>
      <c r="W203" s="520" t="str">
        <f>IF(S203="","",VLOOKUP(S203,'G-1 All Habitats'!$B$2:$M$129,10,FALSE))</f>
        <v/>
      </c>
      <c r="X203" s="520" t="str">
        <f>IFERROR(VLOOKUP(W203,'G-1 All Habitats'!$V$3:$W$7,2,FALSE),"")</f>
        <v/>
      </c>
      <c r="Y203" s="79"/>
      <c r="Z203" s="524" t="str">
        <f>IFERROR(INDEX('G-8 Condition Look up'!$A$3:$H$130,MATCH(S203,'G-8 Condition Look up'!$A$3:$A$130,0),MATCH(Y203,'G-8 Condition Look up'!$A$3:$H$3,0)),"")</f>
        <v/>
      </c>
      <c r="AA203" s="71"/>
      <c r="AB203" s="520" t="str">
        <f>IF(AA203="","",IF(VLOOKUP(AA203,'G-3 Multipliers'!$L$3:$N$6,2,FALSE)=0,"Spatial Data Missing ⚠",VLOOKUP(AA203,'G-3 Multipliers'!$L$3:$N$6,2,FALSE)))</f>
        <v/>
      </c>
      <c r="AC203" s="524" t="str">
        <f>IF(AA203="","",IF(VLOOKUP(AA203,'G-3 Multipliers'!$L$3:$N$6,3,FALSE)=0,"Spatial Data Missing ⚠",VLOOKUP(AA203,'G-3 Multipliers'!$L$3:$N$6,3,FALSE)))</f>
        <v/>
      </c>
      <c r="AD203" s="539" t="str">
        <f t="shared" si="24"/>
        <v/>
      </c>
      <c r="AE203" s="82"/>
      <c r="AF203" s="82"/>
      <c r="AG203" s="507" t="str">
        <f t="shared" si="30"/>
        <v/>
      </c>
      <c r="AH203" s="521" t="str">
        <f t="shared" si="31"/>
        <v/>
      </c>
      <c r="AI203" s="522" t="str">
        <f>IF(AH203="Check Data","Check Data",IFERROR(VLOOKUP(AH203,'G-4 Temporal multipliers'!$A$4:$C$36,3,FALSE),""))</f>
        <v/>
      </c>
      <c r="AJ203" s="498" t="str">
        <f>IF(S203="","",VLOOKUP(S203,'G-3 Multipliers'!$A$2:$E$129,4,FALSE))</f>
        <v/>
      </c>
      <c r="AK203" s="507" t="str">
        <f t="shared" si="32"/>
        <v/>
      </c>
      <c r="AL203" s="507" t="str">
        <f t="shared" si="33"/>
        <v/>
      </c>
      <c r="AM203" s="540" t="str">
        <f>IFERROR(IF(F203="","",IF(AH203="Check Data ⚠","Check Data ⚠",VLOOKUP(AL203, 'G-3 Multipliers'!$P$2:$Q$6,2,FALSE))),"")</f>
        <v/>
      </c>
      <c r="AN203" s="513" t="str">
        <f t="shared" si="25"/>
        <v/>
      </c>
      <c r="AO203" s="239"/>
      <c r="AP203" s="240"/>
    </row>
    <row r="204" spans="1:42" x14ac:dyDescent="0.25">
      <c r="A204" s="47" t="str">
        <f>IF(E204="","",IF(ISNA(VLOOKUP($E204,'A-1 Site Habitat Baseline'!$D$1:$O$258,2,FALSE)),"",(VLOOKUP($E204,'A-1 Site Habitat Baseline'!$D$1:$O$258,2,FALSE))))</f>
        <v/>
      </c>
      <c r="B204" s="47" t="str">
        <f>IF(E204="","",IF(ISNA(VLOOKUP($E204,'A-1 Site Habitat Baseline'!$D$1:$O$258,3,FALSE)),"",(VLOOKUP($E204,'A-1 Site Habitat Baseline'!$D$1:$O$258,3,FALSE))))</f>
        <v/>
      </c>
      <c r="C204" s="47" t="str">
        <f>IFERROR(INDEX('G-8 Condition Look up'!$I$4:$I$130,MATCH(S204,'G-8 Condition Look up'!$A$4:$A$130,0)),"")</f>
        <v/>
      </c>
      <c r="E204" s="531" t="str">
        <f>'A-1 Site Habitat Baseline'!AL203</f>
        <v/>
      </c>
      <c r="F204" s="520" t="str">
        <f>IF(E204="","",IF(ISNA(VLOOKUP($E204,'A-1 Site Habitat Baseline'!$D$1:$O$258,4,FALSE)),"",(VLOOKUP($E204,'A-1 Site Habitat Baseline'!$D$1:$O$258,4,FALSE))))</f>
        <v/>
      </c>
      <c r="G204" s="520" t="str">
        <f>IF(E204="","",IF(ISNA(VLOOKUP($E204,'A-1 Site Habitat Baseline'!$D$1:$O$258,5,FALSE)),"",(VLOOKUP($E204,'A-1 Site Habitat Baseline'!$D$1:$O$258,5,FALSE))))</f>
        <v/>
      </c>
      <c r="H204" s="520" t="str">
        <f>IF(E204="","",IF(ISNA(VLOOKUP($E204,'A-1 Site Habitat Baseline'!$D$1:$O$258,6,FALSE)),"",(VLOOKUP($E204,'A-1 Site Habitat Baseline'!$D$1:$O$258,6,FALSE))))</f>
        <v/>
      </c>
      <c r="I204" s="520" t="str">
        <f>IF(E204="","",IF(ISNA(VLOOKUP($E204,'A-1 Site Habitat Baseline'!$D$1:$O$258,7,FALSE)),"",(VLOOKUP($E204,'A-1 Site Habitat Baseline'!$D$1:$O$258,7,FALSE))))</f>
        <v/>
      </c>
      <c r="J204" s="520" t="str">
        <f>IF(E204="","",IF(ISNA(VLOOKUP($E204,'A-1 Site Habitat Baseline'!$D$1:$O$258,8,FALSE)),"",(VLOOKUP($E204,'A-1 Site Habitat Baseline'!$D$1:$O$258,8,FALSE))))</f>
        <v/>
      </c>
      <c r="K204" s="520" t="str">
        <f>IF(E204="","",IF(ISNA(VLOOKUP($E204,'A-1 Site Habitat Baseline'!$D$1:$O$258,9,FALSE)),"",(VLOOKUP($E204,'A-1 Site Habitat Baseline'!$D$1:$O$258,9,FALSE))))</f>
        <v/>
      </c>
      <c r="L204" s="520" t="str">
        <f>IF(E204="","",IF(ISNA(VLOOKUP($E204,'A-1 Site Habitat Baseline'!$D$1:$O$258,11,FALSE)),"",(VLOOKUP($E204,'A-1 Site Habitat Baseline'!$D$1:$O$258,11,FALSE))))</f>
        <v/>
      </c>
      <c r="M204" s="520" t="str">
        <f>IF(E204="","",IF(ISNA(VLOOKUP($E204,'A-1 Site Habitat Baseline'!$D$1:$O$258,12,FALSE)),"",(VLOOKUP($E204,'A-1 Site Habitat Baseline'!$D$1:$O$258,12,FALSE))))</f>
        <v/>
      </c>
      <c r="N204" s="532" t="str">
        <f>IF(E204="","",IF(ISNA(VLOOKUP($E204,'A-1 Site Habitat Baseline'!$D$1:$X$258,14,FALSE)),"",(VLOOKUP($E204,'A-1 Site Habitat Baseline'!$D$1:$X$258,14,FALSE))))</f>
        <v/>
      </c>
      <c r="O204" s="524" t="str">
        <f>IF(E204="","",IF(ISNA(VLOOKUP($E204,'A-1 Site Habitat Baseline'!$D$1:$X$258,16,FALSE)),"",(VLOOKUP($E204,'A-1 Site Habitat Baseline'!$D$1:$X$258,13,FALSE))))</f>
        <v/>
      </c>
      <c r="P204" s="237" t="str">
        <f>IFERROR(INDEX('G-1 All Habitats'!$AG$3:$AG$15,MATCH(Q204,'G-1 All Habitats'!$AF$3:$AF$15,0)),"")</f>
        <v/>
      </c>
      <c r="Q204" s="238" t="str">
        <f t="shared" si="26"/>
        <v/>
      </c>
      <c r="R204" s="238" t="str">
        <f t="shared" si="27"/>
        <v/>
      </c>
      <c r="S204" s="392" t="str">
        <f>IFERROR(INDEX('G-1 All Habitats'!$B$3:$B$129,MATCH(R204,'G-1 All Habitats'!$A$3:$A$129,0)),"")</f>
        <v/>
      </c>
      <c r="T204" s="498" t="str">
        <f t="shared" si="28"/>
        <v/>
      </c>
      <c r="U204" s="499" t="str">
        <f t="shared" si="29"/>
        <v/>
      </c>
      <c r="V204" s="537" t="str">
        <f t="shared" ref="V204:V257" si="34">IF(S204="","",VLOOKUP(E204,BaselineHabSite,17,FALSE))</f>
        <v/>
      </c>
      <c r="W204" s="520" t="str">
        <f>IF(S204="","",VLOOKUP(S204,'G-1 All Habitats'!$B$2:$M$129,10,FALSE))</f>
        <v/>
      </c>
      <c r="X204" s="520" t="str">
        <f>IFERROR(VLOOKUP(W204,'G-1 All Habitats'!$V$3:$W$7,2,FALSE),"")</f>
        <v/>
      </c>
      <c r="Y204" s="79"/>
      <c r="Z204" s="524" t="str">
        <f>IFERROR(INDEX('G-8 Condition Look up'!$A$3:$H$130,MATCH(S204,'G-8 Condition Look up'!$A$3:$A$130,0),MATCH(Y204,'G-8 Condition Look up'!$A$3:$H$3,0)),"")</f>
        <v/>
      </c>
      <c r="AA204" s="71"/>
      <c r="AB204" s="520" t="str">
        <f>IF(AA204="","",IF(VLOOKUP(AA204,'G-3 Multipliers'!$L$3:$N$6,2,FALSE)=0,"Spatial Data Missing ⚠",VLOOKUP(AA204,'G-3 Multipliers'!$L$3:$N$6,2,FALSE)))</f>
        <v/>
      </c>
      <c r="AC204" s="524" t="str">
        <f>IF(AA204="","",IF(VLOOKUP(AA204,'G-3 Multipliers'!$L$3:$N$6,3,FALSE)=0,"Spatial Data Missing ⚠",VLOOKUP(AA204,'G-3 Multipliers'!$L$3:$N$6,3,FALSE)))</f>
        <v/>
      </c>
      <c r="AD204" s="539" t="str">
        <f t="shared" ref="AD204:AD257" si="35">IFERROR(IF(OR(LEFT(U204,5)="Error ▲",LEFT(T204,5)="Error ▲"),"Check Data ⚠",INDEX(EnhanceTemporal,MATCH(S204,EnhanceHabitat,0),MATCH(U204,EnhanceCondition,0))),"")</f>
        <v/>
      </c>
      <c r="AE204" s="82"/>
      <c r="AF204" s="82"/>
      <c r="AG204" s="507" t="str">
        <f t="shared" si="30"/>
        <v/>
      </c>
      <c r="AH204" s="521" t="str">
        <f t="shared" si="31"/>
        <v/>
      </c>
      <c r="AI204" s="522" t="str">
        <f>IF(AH204="Check Data","Check Data",IFERROR(VLOOKUP(AH204,'G-4 Temporal multipliers'!$A$4:$C$36,3,FALSE),""))</f>
        <v/>
      </c>
      <c r="AJ204" s="498" t="str">
        <f>IF(S204="","",VLOOKUP(S204,'G-3 Multipliers'!$A$2:$E$129,4,FALSE))</f>
        <v/>
      </c>
      <c r="AK204" s="507" t="str">
        <f t="shared" si="32"/>
        <v/>
      </c>
      <c r="AL204" s="507" t="str">
        <f t="shared" si="33"/>
        <v/>
      </c>
      <c r="AM204" s="540" t="str">
        <f>IFERROR(IF(F204="","",IF(AH204="Check Data ⚠","Check Data ⚠",VLOOKUP(AL204, 'G-3 Multipliers'!$P$2:$Q$6,2,FALSE))),"")</f>
        <v/>
      </c>
      <c r="AN204" s="513" t="str">
        <f t="shared" ref="AN204:AN257" si="36">IFERROR(((((V204*X204*Z204)-(V204*I204*K204))*(AM204*AI204))+(V204*I204*K204))*(AC204),"")</f>
        <v/>
      </c>
      <c r="AO204" s="239"/>
      <c r="AP204" s="240"/>
    </row>
    <row r="205" spans="1:42" x14ac:dyDescent="0.25">
      <c r="A205" s="47" t="str">
        <f>IF(E205="","",IF(ISNA(VLOOKUP($E205,'A-1 Site Habitat Baseline'!$D$1:$O$258,2,FALSE)),"",(VLOOKUP($E205,'A-1 Site Habitat Baseline'!$D$1:$O$258,2,FALSE))))</f>
        <v/>
      </c>
      <c r="B205" s="47" t="str">
        <f>IF(E205="","",IF(ISNA(VLOOKUP($E205,'A-1 Site Habitat Baseline'!$D$1:$O$258,3,FALSE)),"",(VLOOKUP($E205,'A-1 Site Habitat Baseline'!$D$1:$O$258,3,FALSE))))</f>
        <v/>
      </c>
      <c r="C205" s="47" t="str">
        <f>IFERROR(INDEX('G-8 Condition Look up'!$I$4:$I$130,MATCH(S205,'G-8 Condition Look up'!$A$4:$A$130,0)),"")</f>
        <v/>
      </c>
      <c r="E205" s="531" t="str">
        <f>'A-1 Site Habitat Baseline'!AL204</f>
        <v/>
      </c>
      <c r="F205" s="520" t="str">
        <f>IF(E205="","",IF(ISNA(VLOOKUP($E205,'A-1 Site Habitat Baseline'!$D$1:$O$258,4,FALSE)),"",(VLOOKUP($E205,'A-1 Site Habitat Baseline'!$D$1:$O$258,4,FALSE))))</f>
        <v/>
      </c>
      <c r="G205" s="520" t="str">
        <f>IF(E205="","",IF(ISNA(VLOOKUP($E205,'A-1 Site Habitat Baseline'!$D$1:$O$258,5,FALSE)),"",(VLOOKUP($E205,'A-1 Site Habitat Baseline'!$D$1:$O$258,5,FALSE))))</f>
        <v/>
      </c>
      <c r="H205" s="520" t="str">
        <f>IF(E205="","",IF(ISNA(VLOOKUP($E205,'A-1 Site Habitat Baseline'!$D$1:$O$258,6,FALSE)),"",(VLOOKUP($E205,'A-1 Site Habitat Baseline'!$D$1:$O$258,6,FALSE))))</f>
        <v/>
      </c>
      <c r="I205" s="520" t="str">
        <f>IF(E205="","",IF(ISNA(VLOOKUP($E205,'A-1 Site Habitat Baseline'!$D$1:$O$258,7,FALSE)),"",(VLOOKUP($E205,'A-1 Site Habitat Baseline'!$D$1:$O$258,7,FALSE))))</f>
        <v/>
      </c>
      <c r="J205" s="520" t="str">
        <f>IF(E205="","",IF(ISNA(VLOOKUP($E205,'A-1 Site Habitat Baseline'!$D$1:$O$258,8,FALSE)),"",(VLOOKUP($E205,'A-1 Site Habitat Baseline'!$D$1:$O$258,8,FALSE))))</f>
        <v/>
      </c>
      <c r="K205" s="520" t="str">
        <f>IF(E205="","",IF(ISNA(VLOOKUP($E205,'A-1 Site Habitat Baseline'!$D$1:$O$258,9,FALSE)),"",(VLOOKUP($E205,'A-1 Site Habitat Baseline'!$D$1:$O$258,9,FALSE))))</f>
        <v/>
      </c>
      <c r="L205" s="520" t="str">
        <f>IF(E205="","",IF(ISNA(VLOOKUP($E205,'A-1 Site Habitat Baseline'!$D$1:$O$258,11,FALSE)),"",(VLOOKUP($E205,'A-1 Site Habitat Baseline'!$D$1:$O$258,11,FALSE))))</f>
        <v/>
      </c>
      <c r="M205" s="520" t="str">
        <f>IF(E205="","",IF(ISNA(VLOOKUP($E205,'A-1 Site Habitat Baseline'!$D$1:$O$258,12,FALSE)),"",(VLOOKUP($E205,'A-1 Site Habitat Baseline'!$D$1:$O$258,12,FALSE))))</f>
        <v/>
      </c>
      <c r="N205" s="532" t="str">
        <f>IF(E205="","",IF(ISNA(VLOOKUP($E205,'A-1 Site Habitat Baseline'!$D$1:$X$258,14,FALSE)),"",(VLOOKUP($E205,'A-1 Site Habitat Baseline'!$D$1:$X$258,14,FALSE))))</f>
        <v/>
      </c>
      <c r="O205" s="524" t="str">
        <f>IF(E205="","",IF(ISNA(VLOOKUP($E205,'A-1 Site Habitat Baseline'!$D$1:$X$258,16,FALSE)),"",(VLOOKUP($E205,'A-1 Site Habitat Baseline'!$D$1:$X$258,13,FALSE))))</f>
        <v/>
      </c>
      <c r="P205" s="237" t="str">
        <f>IFERROR(INDEX('G-1 All Habitats'!$AG$3:$AG$15,MATCH(Q205,'G-1 All Habitats'!$AF$3:$AF$15,0)),"")</f>
        <v/>
      </c>
      <c r="Q205" s="238" t="str">
        <f t="shared" ref="Q205:Q257" si="37">A205</f>
        <v/>
      </c>
      <c r="R205" s="238" t="str">
        <f t="shared" ref="R205:R257" si="38">IF(B205="","",B205)</f>
        <v/>
      </c>
      <c r="S205" s="392" t="str">
        <f>IFERROR(INDEX('G-1 All Habitats'!$B$3:$B$129,MATCH(R205,'G-1 All Habitats'!$A$3:$A$129,0)),"")</f>
        <v/>
      </c>
      <c r="T205" s="498" t="str">
        <f t="shared" ref="T205:T256" si="39">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499" t="str">
        <f t="shared" ref="U205:U257" si="40">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37" t="str">
        <f t="shared" si="34"/>
        <v/>
      </c>
      <c r="W205" s="520" t="str">
        <f>IF(S205="","",VLOOKUP(S205,'G-1 All Habitats'!$B$2:$M$129,10,FALSE))</f>
        <v/>
      </c>
      <c r="X205" s="520" t="str">
        <f>IFERROR(VLOOKUP(W205,'G-1 All Habitats'!$V$3:$W$7,2,FALSE),"")</f>
        <v/>
      </c>
      <c r="Y205" s="79"/>
      <c r="Z205" s="524" t="str">
        <f>IFERROR(INDEX('G-8 Condition Look up'!$A$3:$H$130,MATCH(S205,'G-8 Condition Look up'!$A$3:$A$130,0),MATCH(Y205,'G-8 Condition Look up'!$A$3:$H$3,0)),"")</f>
        <v/>
      </c>
      <c r="AA205" s="71"/>
      <c r="AB205" s="520" t="str">
        <f>IF(AA205="","",IF(VLOOKUP(AA205,'G-3 Multipliers'!$L$3:$N$6,2,FALSE)=0,"Spatial Data Missing ⚠",VLOOKUP(AA205,'G-3 Multipliers'!$L$3:$N$6,2,FALSE)))</f>
        <v/>
      </c>
      <c r="AC205" s="524" t="str">
        <f>IF(AA205="","",IF(VLOOKUP(AA205,'G-3 Multipliers'!$L$3:$N$6,3,FALSE)=0,"Spatial Data Missing ⚠",VLOOKUP(AA205,'G-3 Multipliers'!$L$3:$N$6,3,FALSE)))</f>
        <v/>
      </c>
      <c r="AD205" s="539" t="str">
        <f t="shared" si="35"/>
        <v/>
      </c>
      <c r="AE205" s="82"/>
      <c r="AF205" s="82"/>
      <c r="AG205" s="507" t="str">
        <f t="shared" ref="AG205:AG257" si="41">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21" t="str">
        <f t="shared" ref="AH205:AH257" si="42">IF(LEFT(AG205,5)="Error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522" t="str">
        <f>IF(AH205="Check Data","Check Data",IFERROR(VLOOKUP(AH205,'G-4 Temporal multipliers'!$A$4:$C$36,3,FALSE),""))</f>
        <v/>
      </c>
      <c r="AJ205" s="498" t="str">
        <f>IF(S205="","",VLOOKUP(S205,'G-3 Multipliers'!$A$2:$E$129,4,FALSE))</f>
        <v/>
      </c>
      <c r="AK205" s="507" t="str">
        <f t="shared" ref="AK205:AK257" si="43">IF(E205="","",IF(AG205="Check details - Is there evidence that habitat has reached target condition? ⚠","Low Difficulty - only applicable if all habitat created before losses ⚠","Standard difficulty applied"))</f>
        <v/>
      </c>
      <c r="AL205" s="507" t="str">
        <f t="shared" ref="AL205:AL257" si="44">(IF(AND(AK205="Standard difficulty applied",AD205&gt;AE205),AJ205,IF(AND(AK205="Low Difficulty - only applicable if all habitat created before losses ⚠",AE205&gt;=AD205),"Low", AJ205)))</f>
        <v/>
      </c>
      <c r="AM205" s="540" t="str">
        <f>IFERROR(IF(F205="","",IF(AH205="Check Data ⚠","Check Data ⚠",VLOOKUP(AL205, 'G-3 Multipliers'!$P$2:$Q$6,2,FALSE))),"")</f>
        <v/>
      </c>
      <c r="AN205" s="513" t="str">
        <f t="shared" si="36"/>
        <v/>
      </c>
      <c r="AO205" s="239"/>
      <c r="AP205" s="240"/>
    </row>
    <row r="206" spans="1:42" x14ac:dyDescent="0.25">
      <c r="A206" s="47" t="str">
        <f>IF(E206="","",IF(ISNA(VLOOKUP($E206,'A-1 Site Habitat Baseline'!$D$1:$O$258,2,FALSE)),"",(VLOOKUP($E206,'A-1 Site Habitat Baseline'!$D$1:$O$258,2,FALSE))))</f>
        <v/>
      </c>
      <c r="B206" s="47" t="str">
        <f>IF(E206="","",IF(ISNA(VLOOKUP($E206,'A-1 Site Habitat Baseline'!$D$1:$O$258,3,FALSE)),"",(VLOOKUP($E206,'A-1 Site Habitat Baseline'!$D$1:$O$258,3,FALSE))))</f>
        <v/>
      </c>
      <c r="C206" s="47" t="str">
        <f>IFERROR(INDEX('G-8 Condition Look up'!$I$4:$I$130,MATCH(S206,'G-8 Condition Look up'!$A$4:$A$130,0)),"")</f>
        <v/>
      </c>
      <c r="E206" s="531" t="str">
        <f>'A-1 Site Habitat Baseline'!AL205</f>
        <v/>
      </c>
      <c r="F206" s="520" t="str">
        <f>IF(E206="","",IF(ISNA(VLOOKUP($E206,'A-1 Site Habitat Baseline'!$D$1:$O$258,4,FALSE)),"",(VLOOKUP($E206,'A-1 Site Habitat Baseline'!$D$1:$O$258,4,FALSE))))</f>
        <v/>
      </c>
      <c r="G206" s="520" t="str">
        <f>IF(E206="","",IF(ISNA(VLOOKUP($E206,'A-1 Site Habitat Baseline'!$D$1:$O$258,5,FALSE)),"",(VLOOKUP($E206,'A-1 Site Habitat Baseline'!$D$1:$O$258,5,FALSE))))</f>
        <v/>
      </c>
      <c r="H206" s="520" t="str">
        <f>IF(E206="","",IF(ISNA(VLOOKUP($E206,'A-1 Site Habitat Baseline'!$D$1:$O$258,6,FALSE)),"",(VLOOKUP($E206,'A-1 Site Habitat Baseline'!$D$1:$O$258,6,FALSE))))</f>
        <v/>
      </c>
      <c r="I206" s="520" t="str">
        <f>IF(E206="","",IF(ISNA(VLOOKUP($E206,'A-1 Site Habitat Baseline'!$D$1:$O$258,7,FALSE)),"",(VLOOKUP($E206,'A-1 Site Habitat Baseline'!$D$1:$O$258,7,FALSE))))</f>
        <v/>
      </c>
      <c r="J206" s="520" t="str">
        <f>IF(E206="","",IF(ISNA(VLOOKUP($E206,'A-1 Site Habitat Baseline'!$D$1:$O$258,8,FALSE)),"",(VLOOKUP($E206,'A-1 Site Habitat Baseline'!$D$1:$O$258,8,FALSE))))</f>
        <v/>
      </c>
      <c r="K206" s="520" t="str">
        <f>IF(E206="","",IF(ISNA(VLOOKUP($E206,'A-1 Site Habitat Baseline'!$D$1:$O$258,9,FALSE)),"",(VLOOKUP($E206,'A-1 Site Habitat Baseline'!$D$1:$O$258,9,FALSE))))</f>
        <v/>
      </c>
      <c r="L206" s="520" t="str">
        <f>IF(E206="","",IF(ISNA(VLOOKUP($E206,'A-1 Site Habitat Baseline'!$D$1:$O$258,11,FALSE)),"",(VLOOKUP($E206,'A-1 Site Habitat Baseline'!$D$1:$O$258,11,FALSE))))</f>
        <v/>
      </c>
      <c r="M206" s="520" t="str">
        <f>IF(E206="","",IF(ISNA(VLOOKUP($E206,'A-1 Site Habitat Baseline'!$D$1:$O$258,12,FALSE)),"",(VLOOKUP($E206,'A-1 Site Habitat Baseline'!$D$1:$O$258,12,FALSE))))</f>
        <v/>
      </c>
      <c r="N206" s="532" t="str">
        <f>IF(E206="","",IF(ISNA(VLOOKUP($E206,'A-1 Site Habitat Baseline'!$D$1:$X$258,14,FALSE)),"",(VLOOKUP($E206,'A-1 Site Habitat Baseline'!$D$1:$X$258,14,FALSE))))</f>
        <v/>
      </c>
      <c r="O206" s="524" t="str">
        <f>IF(E206="","",IF(ISNA(VLOOKUP($E206,'A-1 Site Habitat Baseline'!$D$1:$X$258,16,FALSE)),"",(VLOOKUP($E206,'A-1 Site Habitat Baseline'!$D$1:$X$258,13,FALSE))))</f>
        <v/>
      </c>
      <c r="P206" s="237" t="str">
        <f>IFERROR(INDEX('G-1 All Habitats'!$AG$3:$AG$15,MATCH(Q206,'G-1 All Habitats'!$AF$3:$AF$15,0)),"")</f>
        <v/>
      </c>
      <c r="Q206" s="238" t="str">
        <f t="shared" si="37"/>
        <v/>
      </c>
      <c r="R206" s="238" t="str">
        <f t="shared" si="38"/>
        <v/>
      </c>
      <c r="S206" s="392" t="str">
        <f>IFERROR(INDEX('G-1 All Habitats'!$B$3:$B$129,MATCH(R206,'G-1 All Habitats'!$A$3:$A$129,0)),"")</f>
        <v/>
      </c>
      <c r="T206" s="498" t="str">
        <f t="shared" si="39"/>
        <v/>
      </c>
      <c r="U206" s="499" t="str">
        <f t="shared" si="40"/>
        <v/>
      </c>
      <c r="V206" s="537" t="str">
        <f t="shared" si="34"/>
        <v/>
      </c>
      <c r="W206" s="520" t="str">
        <f>IF(S206="","",VLOOKUP(S206,'G-1 All Habitats'!$B$2:$M$129,10,FALSE))</f>
        <v/>
      </c>
      <c r="X206" s="520" t="str">
        <f>IFERROR(VLOOKUP(W206,'G-1 All Habitats'!$V$3:$W$7,2,FALSE),"")</f>
        <v/>
      </c>
      <c r="Y206" s="79"/>
      <c r="Z206" s="524" t="str">
        <f>IFERROR(INDEX('G-8 Condition Look up'!$A$3:$H$130,MATCH(S206,'G-8 Condition Look up'!$A$3:$A$130,0),MATCH(Y206,'G-8 Condition Look up'!$A$3:$H$3,0)),"")</f>
        <v/>
      </c>
      <c r="AA206" s="71"/>
      <c r="AB206" s="520" t="str">
        <f>IF(AA206="","",IF(VLOOKUP(AA206,'G-3 Multipliers'!$L$3:$N$6,2,FALSE)=0,"Spatial Data Missing ⚠",VLOOKUP(AA206,'G-3 Multipliers'!$L$3:$N$6,2,FALSE)))</f>
        <v/>
      </c>
      <c r="AC206" s="524" t="str">
        <f>IF(AA206="","",IF(VLOOKUP(AA206,'G-3 Multipliers'!$L$3:$N$6,3,FALSE)=0,"Spatial Data Missing ⚠",VLOOKUP(AA206,'G-3 Multipliers'!$L$3:$N$6,3,FALSE)))</f>
        <v/>
      </c>
      <c r="AD206" s="539" t="str">
        <f t="shared" si="35"/>
        <v/>
      </c>
      <c r="AE206" s="82"/>
      <c r="AF206" s="82"/>
      <c r="AG206" s="507" t="str">
        <f t="shared" si="41"/>
        <v/>
      </c>
      <c r="AH206" s="521" t="str">
        <f t="shared" si="42"/>
        <v/>
      </c>
      <c r="AI206" s="522" t="str">
        <f>IF(AH206="Check Data","Check Data",IFERROR(VLOOKUP(AH206,'G-4 Temporal multipliers'!$A$4:$C$36,3,FALSE),""))</f>
        <v/>
      </c>
      <c r="AJ206" s="498" t="str">
        <f>IF(S206="","",VLOOKUP(S206,'G-3 Multipliers'!$A$2:$E$129,4,FALSE))</f>
        <v/>
      </c>
      <c r="AK206" s="507" t="str">
        <f t="shared" si="43"/>
        <v/>
      </c>
      <c r="AL206" s="507" t="str">
        <f t="shared" si="44"/>
        <v/>
      </c>
      <c r="AM206" s="540" t="str">
        <f>IFERROR(IF(F206="","",IF(AH206="Check Data ⚠","Check Data ⚠",VLOOKUP(AL206, 'G-3 Multipliers'!$P$2:$Q$6,2,FALSE))),"")</f>
        <v/>
      </c>
      <c r="AN206" s="513" t="str">
        <f t="shared" si="36"/>
        <v/>
      </c>
      <c r="AO206" s="239"/>
      <c r="AP206" s="240"/>
    </row>
    <row r="207" spans="1:42" x14ac:dyDescent="0.25">
      <c r="A207" s="47" t="str">
        <f>IF(E207="","",IF(ISNA(VLOOKUP($E207,'A-1 Site Habitat Baseline'!$D$1:$O$258,2,FALSE)),"",(VLOOKUP($E207,'A-1 Site Habitat Baseline'!$D$1:$O$258,2,FALSE))))</f>
        <v/>
      </c>
      <c r="B207" s="47" t="str">
        <f>IF(E207="","",IF(ISNA(VLOOKUP($E207,'A-1 Site Habitat Baseline'!$D$1:$O$258,3,FALSE)),"",(VLOOKUP($E207,'A-1 Site Habitat Baseline'!$D$1:$O$258,3,FALSE))))</f>
        <v/>
      </c>
      <c r="C207" s="47" t="str">
        <f>IFERROR(INDEX('G-8 Condition Look up'!$I$4:$I$130,MATCH(S207,'G-8 Condition Look up'!$A$4:$A$130,0)),"")</f>
        <v/>
      </c>
      <c r="E207" s="531" t="str">
        <f>'A-1 Site Habitat Baseline'!AL206</f>
        <v/>
      </c>
      <c r="F207" s="520" t="str">
        <f>IF(E207="","",IF(ISNA(VLOOKUP($E207,'A-1 Site Habitat Baseline'!$D$1:$O$258,4,FALSE)),"",(VLOOKUP($E207,'A-1 Site Habitat Baseline'!$D$1:$O$258,4,FALSE))))</f>
        <v/>
      </c>
      <c r="G207" s="520" t="str">
        <f>IF(E207="","",IF(ISNA(VLOOKUP($E207,'A-1 Site Habitat Baseline'!$D$1:$O$258,5,FALSE)),"",(VLOOKUP($E207,'A-1 Site Habitat Baseline'!$D$1:$O$258,5,FALSE))))</f>
        <v/>
      </c>
      <c r="H207" s="520" t="str">
        <f>IF(E207="","",IF(ISNA(VLOOKUP($E207,'A-1 Site Habitat Baseline'!$D$1:$O$258,6,FALSE)),"",(VLOOKUP($E207,'A-1 Site Habitat Baseline'!$D$1:$O$258,6,FALSE))))</f>
        <v/>
      </c>
      <c r="I207" s="520" t="str">
        <f>IF(E207="","",IF(ISNA(VLOOKUP($E207,'A-1 Site Habitat Baseline'!$D$1:$O$258,7,FALSE)),"",(VLOOKUP($E207,'A-1 Site Habitat Baseline'!$D$1:$O$258,7,FALSE))))</f>
        <v/>
      </c>
      <c r="J207" s="520" t="str">
        <f>IF(E207="","",IF(ISNA(VLOOKUP($E207,'A-1 Site Habitat Baseline'!$D$1:$O$258,8,FALSE)),"",(VLOOKUP($E207,'A-1 Site Habitat Baseline'!$D$1:$O$258,8,FALSE))))</f>
        <v/>
      </c>
      <c r="K207" s="520" t="str">
        <f>IF(E207="","",IF(ISNA(VLOOKUP($E207,'A-1 Site Habitat Baseline'!$D$1:$O$258,9,FALSE)),"",(VLOOKUP($E207,'A-1 Site Habitat Baseline'!$D$1:$O$258,9,FALSE))))</f>
        <v/>
      </c>
      <c r="L207" s="520" t="str">
        <f>IF(E207="","",IF(ISNA(VLOOKUP($E207,'A-1 Site Habitat Baseline'!$D$1:$O$258,11,FALSE)),"",(VLOOKUP($E207,'A-1 Site Habitat Baseline'!$D$1:$O$258,11,FALSE))))</f>
        <v/>
      </c>
      <c r="M207" s="520" t="str">
        <f>IF(E207="","",IF(ISNA(VLOOKUP($E207,'A-1 Site Habitat Baseline'!$D$1:$O$258,12,FALSE)),"",(VLOOKUP($E207,'A-1 Site Habitat Baseline'!$D$1:$O$258,12,FALSE))))</f>
        <v/>
      </c>
      <c r="N207" s="532" t="str">
        <f>IF(E207="","",IF(ISNA(VLOOKUP($E207,'A-1 Site Habitat Baseline'!$D$1:$X$258,14,FALSE)),"",(VLOOKUP($E207,'A-1 Site Habitat Baseline'!$D$1:$X$258,14,FALSE))))</f>
        <v/>
      </c>
      <c r="O207" s="524" t="str">
        <f>IF(E207="","",IF(ISNA(VLOOKUP($E207,'A-1 Site Habitat Baseline'!$D$1:$X$258,16,FALSE)),"",(VLOOKUP($E207,'A-1 Site Habitat Baseline'!$D$1:$X$258,13,FALSE))))</f>
        <v/>
      </c>
      <c r="P207" s="237" t="str">
        <f>IFERROR(INDEX('G-1 All Habitats'!$AG$3:$AG$15,MATCH(Q207,'G-1 All Habitats'!$AF$3:$AF$15,0)),"")</f>
        <v/>
      </c>
      <c r="Q207" s="238" t="str">
        <f t="shared" si="37"/>
        <v/>
      </c>
      <c r="R207" s="238" t="str">
        <f t="shared" si="38"/>
        <v/>
      </c>
      <c r="S207" s="392" t="str">
        <f>IFERROR(INDEX('G-1 All Habitats'!$B$3:$B$129,MATCH(R207,'G-1 All Habitats'!$A$3:$A$129,0)),"")</f>
        <v/>
      </c>
      <c r="T207" s="498" t="str">
        <f t="shared" si="39"/>
        <v/>
      </c>
      <c r="U207" s="499" t="str">
        <f t="shared" si="40"/>
        <v/>
      </c>
      <c r="V207" s="537" t="str">
        <f t="shared" si="34"/>
        <v/>
      </c>
      <c r="W207" s="520" t="str">
        <f>IF(S207="","",VLOOKUP(S207,'G-1 All Habitats'!$B$2:$M$129,10,FALSE))</f>
        <v/>
      </c>
      <c r="X207" s="520" t="str">
        <f>IFERROR(VLOOKUP(W207,'G-1 All Habitats'!$V$3:$W$7,2,FALSE),"")</f>
        <v/>
      </c>
      <c r="Y207" s="79"/>
      <c r="Z207" s="524" t="str">
        <f>IFERROR(INDEX('G-8 Condition Look up'!$A$3:$H$130,MATCH(S207,'G-8 Condition Look up'!$A$3:$A$130,0),MATCH(Y207,'G-8 Condition Look up'!$A$3:$H$3,0)),"")</f>
        <v/>
      </c>
      <c r="AA207" s="71"/>
      <c r="AB207" s="520" t="str">
        <f>IF(AA207="","",IF(VLOOKUP(AA207,'G-3 Multipliers'!$L$3:$N$6,2,FALSE)=0,"Spatial Data Missing ⚠",VLOOKUP(AA207,'G-3 Multipliers'!$L$3:$N$6,2,FALSE)))</f>
        <v/>
      </c>
      <c r="AC207" s="524" t="str">
        <f>IF(AA207="","",IF(VLOOKUP(AA207,'G-3 Multipliers'!$L$3:$N$6,3,FALSE)=0,"Spatial Data Missing ⚠",VLOOKUP(AA207,'G-3 Multipliers'!$L$3:$N$6,3,FALSE)))</f>
        <v/>
      </c>
      <c r="AD207" s="539" t="str">
        <f t="shared" si="35"/>
        <v/>
      </c>
      <c r="AE207" s="82"/>
      <c r="AF207" s="82"/>
      <c r="AG207" s="507" t="str">
        <f t="shared" si="41"/>
        <v/>
      </c>
      <c r="AH207" s="521" t="str">
        <f t="shared" si="42"/>
        <v/>
      </c>
      <c r="AI207" s="522" t="str">
        <f>IF(AH207="Check Data","Check Data",IFERROR(VLOOKUP(AH207,'G-4 Temporal multipliers'!$A$4:$C$36,3,FALSE),""))</f>
        <v/>
      </c>
      <c r="AJ207" s="498" t="str">
        <f>IF(S207="","",VLOOKUP(S207,'G-3 Multipliers'!$A$2:$E$129,4,FALSE))</f>
        <v/>
      </c>
      <c r="AK207" s="507" t="str">
        <f t="shared" si="43"/>
        <v/>
      </c>
      <c r="AL207" s="507" t="str">
        <f t="shared" si="44"/>
        <v/>
      </c>
      <c r="AM207" s="540" t="str">
        <f>IFERROR(IF(F207="","",IF(AH207="Check Data ⚠","Check Data ⚠",VLOOKUP(AL207, 'G-3 Multipliers'!$P$2:$Q$6,2,FALSE))),"")</f>
        <v/>
      </c>
      <c r="AN207" s="513" t="str">
        <f t="shared" si="36"/>
        <v/>
      </c>
      <c r="AO207" s="239"/>
      <c r="AP207" s="240"/>
    </row>
    <row r="208" spans="1:42" x14ac:dyDescent="0.25">
      <c r="A208" s="47" t="str">
        <f>IF(E208="","",IF(ISNA(VLOOKUP($E208,'A-1 Site Habitat Baseline'!$D$1:$O$258,2,FALSE)),"",(VLOOKUP($E208,'A-1 Site Habitat Baseline'!$D$1:$O$258,2,FALSE))))</f>
        <v/>
      </c>
      <c r="B208" s="47" t="str">
        <f>IF(E208="","",IF(ISNA(VLOOKUP($E208,'A-1 Site Habitat Baseline'!$D$1:$O$258,3,FALSE)),"",(VLOOKUP($E208,'A-1 Site Habitat Baseline'!$D$1:$O$258,3,FALSE))))</f>
        <v/>
      </c>
      <c r="C208" s="47" t="str">
        <f>IFERROR(INDEX('G-8 Condition Look up'!$I$4:$I$130,MATCH(S208,'G-8 Condition Look up'!$A$4:$A$130,0)),"")</f>
        <v/>
      </c>
      <c r="E208" s="531" t="str">
        <f>'A-1 Site Habitat Baseline'!AL207</f>
        <v/>
      </c>
      <c r="F208" s="520" t="str">
        <f>IF(E208="","",IF(ISNA(VLOOKUP($E208,'A-1 Site Habitat Baseline'!$D$1:$O$258,4,FALSE)),"",(VLOOKUP($E208,'A-1 Site Habitat Baseline'!$D$1:$O$258,4,FALSE))))</f>
        <v/>
      </c>
      <c r="G208" s="520" t="str">
        <f>IF(E208="","",IF(ISNA(VLOOKUP($E208,'A-1 Site Habitat Baseline'!$D$1:$O$258,5,FALSE)),"",(VLOOKUP($E208,'A-1 Site Habitat Baseline'!$D$1:$O$258,5,FALSE))))</f>
        <v/>
      </c>
      <c r="H208" s="520" t="str">
        <f>IF(E208="","",IF(ISNA(VLOOKUP($E208,'A-1 Site Habitat Baseline'!$D$1:$O$258,6,FALSE)),"",(VLOOKUP($E208,'A-1 Site Habitat Baseline'!$D$1:$O$258,6,FALSE))))</f>
        <v/>
      </c>
      <c r="I208" s="520" t="str">
        <f>IF(E208="","",IF(ISNA(VLOOKUP($E208,'A-1 Site Habitat Baseline'!$D$1:$O$258,7,FALSE)),"",(VLOOKUP($E208,'A-1 Site Habitat Baseline'!$D$1:$O$258,7,FALSE))))</f>
        <v/>
      </c>
      <c r="J208" s="520" t="str">
        <f>IF(E208="","",IF(ISNA(VLOOKUP($E208,'A-1 Site Habitat Baseline'!$D$1:$O$258,8,FALSE)),"",(VLOOKUP($E208,'A-1 Site Habitat Baseline'!$D$1:$O$258,8,FALSE))))</f>
        <v/>
      </c>
      <c r="K208" s="520" t="str">
        <f>IF(E208="","",IF(ISNA(VLOOKUP($E208,'A-1 Site Habitat Baseline'!$D$1:$O$258,9,FALSE)),"",(VLOOKUP($E208,'A-1 Site Habitat Baseline'!$D$1:$O$258,9,FALSE))))</f>
        <v/>
      </c>
      <c r="L208" s="520" t="str">
        <f>IF(E208="","",IF(ISNA(VLOOKUP($E208,'A-1 Site Habitat Baseline'!$D$1:$O$258,11,FALSE)),"",(VLOOKUP($E208,'A-1 Site Habitat Baseline'!$D$1:$O$258,11,FALSE))))</f>
        <v/>
      </c>
      <c r="M208" s="520" t="str">
        <f>IF(E208="","",IF(ISNA(VLOOKUP($E208,'A-1 Site Habitat Baseline'!$D$1:$O$258,12,FALSE)),"",(VLOOKUP($E208,'A-1 Site Habitat Baseline'!$D$1:$O$258,12,FALSE))))</f>
        <v/>
      </c>
      <c r="N208" s="532" t="str">
        <f>IF(E208="","",IF(ISNA(VLOOKUP($E208,'A-1 Site Habitat Baseline'!$D$1:$X$258,14,FALSE)),"",(VLOOKUP($E208,'A-1 Site Habitat Baseline'!$D$1:$X$258,14,FALSE))))</f>
        <v/>
      </c>
      <c r="O208" s="524" t="str">
        <f>IF(E208="","",IF(ISNA(VLOOKUP($E208,'A-1 Site Habitat Baseline'!$D$1:$X$258,16,FALSE)),"",(VLOOKUP($E208,'A-1 Site Habitat Baseline'!$D$1:$X$258,13,FALSE))))</f>
        <v/>
      </c>
      <c r="P208" s="237" t="str">
        <f>IFERROR(INDEX('G-1 All Habitats'!$AG$3:$AG$15,MATCH(Q208,'G-1 All Habitats'!$AF$3:$AF$15,0)),"")</f>
        <v/>
      </c>
      <c r="Q208" s="238" t="str">
        <f t="shared" si="37"/>
        <v/>
      </c>
      <c r="R208" s="238" t="str">
        <f t="shared" si="38"/>
        <v/>
      </c>
      <c r="S208" s="392" t="str">
        <f>IFERROR(INDEX('G-1 All Habitats'!$B$3:$B$129,MATCH(R208,'G-1 All Habitats'!$A$3:$A$129,0)),"")</f>
        <v/>
      </c>
      <c r="T208" s="498" t="str">
        <f t="shared" si="39"/>
        <v/>
      </c>
      <c r="U208" s="499" t="str">
        <f t="shared" si="40"/>
        <v/>
      </c>
      <c r="V208" s="537" t="str">
        <f t="shared" si="34"/>
        <v/>
      </c>
      <c r="W208" s="520" t="str">
        <f>IF(S208="","",VLOOKUP(S208,'G-1 All Habitats'!$B$2:$M$129,10,FALSE))</f>
        <v/>
      </c>
      <c r="X208" s="520" t="str">
        <f>IFERROR(VLOOKUP(W208,'G-1 All Habitats'!$V$3:$W$7,2,FALSE),"")</f>
        <v/>
      </c>
      <c r="Y208" s="79"/>
      <c r="Z208" s="524" t="str">
        <f>IFERROR(INDEX('G-8 Condition Look up'!$A$3:$H$130,MATCH(S208,'G-8 Condition Look up'!$A$3:$A$130,0),MATCH(Y208,'G-8 Condition Look up'!$A$3:$H$3,0)),"")</f>
        <v/>
      </c>
      <c r="AA208" s="71"/>
      <c r="AB208" s="520" t="str">
        <f>IF(AA208="","",IF(VLOOKUP(AA208,'G-3 Multipliers'!$L$3:$N$6,2,FALSE)=0,"Spatial Data Missing ⚠",VLOOKUP(AA208,'G-3 Multipliers'!$L$3:$N$6,2,FALSE)))</f>
        <v/>
      </c>
      <c r="AC208" s="524" t="str">
        <f>IF(AA208="","",IF(VLOOKUP(AA208,'G-3 Multipliers'!$L$3:$N$6,3,FALSE)=0,"Spatial Data Missing ⚠",VLOOKUP(AA208,'G-3 Multipliers'!$L$3:$N$6,3,FALSE)))</f>
        <v/>
      </c>
      <c r="AD208" s="539" t="str">
        <f t="shared" si="35"/>
        <v/>
      </c>
      <c r="AE208" s="82"/>
      <c r="AF208" s="82"/>
      <c r="AG208" s="507" t="str">
        <f t="shared" si="41"/>
        <v/>
      </c>
      <c r="AH208" s="521" t="str">
        <f t="shared" si="42"/>
        <v/>
      </c>
      <c r="AI208" s="522" t="str">
        <f>IF(AH208="Check Data","Check Data",IFERROR(VLOOKUP(AH208,'G-4 Temporal multipliers'!$A$4:$C$36,3,FALSE),""))</f>
        <v/>
      </c>
      <c r="AJ208" s="498" t="str">
        <f>IF(S208="","",VLOOKUP(S208,'G-3 Multipliers'!$A$2:$E$129,4,FALSE))</f>
        <v/>
      </c>
      <c r="AK208" s="507" t="str">
        <f t="shared" si="43"/>
        <v/>
      </c>
      <c r="AL208" s="507" t="str">
        <f t="shared" si="44"/>
        <v/>
      </c>
      <c r="AM208" s="540" t="str">
        <f>IFERROR(IF(F208="","",IF(AH208="Check Data ⚠","Check Data ⚠",VLOOKUP(AL208, 'G-3 Multipliers'!$P$2:$Q$6,2,FALSE))),"")</f>
        <v/>
      </c>
      <c r="AN208" s="513" t="str">
        <f t="shared" si="36"/>
        <v/>
      </c>
      <c r="AO208" s="239"/>
      <c r="AP208" s="240"/>
    </row>
    <row r="209" spans="1:42" x14ac:dyDescent="0.25">
      <c r="A209" s="47" t="str">
        <f>IF(E209="","",IF(ISNA(VLOOKUP($E209,'A-1 Site Habitat Baseline'!$D$1:$O$258,2,FALSE)),"",(VLOOKUP($E209,'A-1 Site Habitat Baseline'!$D$1:$O$258,2,FALSE))))</f>
        <v/>
      </c>
      <c r="B209" s="47" t="str">
        <f>IF(E209="","",IF(ISNA(VLOOKUP($E209,'A-1 Site Habitat Baseline'!$D$1:$O$258,3,FALSE)),"",(VLOOKUP($E209,'A-1 Site Habitat Baseline'!$D$1:$O$258,3,FALSE))))</f>
        <v/>
      </c>
      <c r="C209" s="47" t="str">
        <f>IFERROR(INDEX('G-8 Condition Look up'!$I$4:$I$130,MATCH(S209,'G-8 Condition Look up'!$A$4:$A$130,0)),"")</f>
        <v/>
      </c>
      <c r="E209" s="531" t="str">
        <f>'A-1 Site Habitat Baseline'!AL208</f>
        <v/>
      </c>
      <c r="F209" s="520" t="str">
        <f>IF(E209="","",IF(ISNA(VLOOKUP($E209,'A-1 Site Habitat Baseline'!$D$1:$O$258,4,FALSE)),"",(VLOOKUP($E209,'A-1 Site Habitat Baseline'!$D$1:$O$258,4,FALSE))))</f>
        <v/>
      </c>
      <c r="G209" s="520" t="str">
        <f>IF(E209="","",IF(ISNA(VLOOKUP($E209,'A-1 Site Habitat Baseline'!$D$1:$O$258,5,FALSE)),"",(VLOOKUP($E209,'A-1 Site Habitat Baseline'!$D$1:$O$258,5,FALSE))))</f>
        <v/>
      </c>
      <c r="H209" s="520" t="str">
        <f>IF(E209="","",IF(ISNA(VLOOKUP($E209,'A-1 Site Habitat Baseline'!$D$1:$O$258,6,FALSE)),"",(VLOOKUP($E209,'A-1 Site Habitat Baseline'!$D$1:$O$258,6,FALSE))))</f>
        <v/>
      </c>
      <c r="I209" s="520" t="str">
        <f>IF(E209="","",IF(ISNA(VLOOKUP($E209,'A-1 Site Habitat Baseline'!$D$1:$O$258,7,FALSE)),"",(VLOOKUP($E209,'A-1 Site Habitat Baseline'!$D$1:$O$258,7,FALSE))))</f>
        <v/>
      </c>
      <c r="J209" s="520" t="str">
        <f>IF(E209="","",IF(ISNA(VLOOKUP($E209,'A-1 Site Habitat Baseline'!$D$1:$O$258,8,FALSE)),"",(VLOOKUP($E209,'A-1 Site Habitat Baseline'!$D$1:$O$258,8,FALSE))))</f>
        <v/>
      </c>
      <c r="K209" s="520" t="str">
        <f>IF(E209="","",IF(ISNA(VLOOKUP($E209,'A-1 Site Habitat Baseline'!$D$1:$O$258,9,FALSE)),"",(VLOOKUP($E209,'A-1 Site Habitat Baseline'!$D$1:$O$258,9,FALSE))))</f>
        <v/>
      </c>
      <c r="L209" s="520" t="str">
        <f>IF(E209="","",IF(ISNA(VLOOKUP($E209,'A-1 Site Habitat Baseline'!$D$1:$O$258,11,FALSE)),"",(VLOOKUP($E209,'A-1 Site Habitat Baseline'!$D$1:$O$258,11,FALSE))))</f>
        <v/>
      </c>
      <c r="M209" s="520" t="str">
        <f>IF(E209="","",IF(ISNA(VLOOKUP($E209,'A-1 Site Habitat Baseline'!$D$1:$O$258,12,FALSE)),"",(VLOOKUP($E209,'A-1 Site Habitat Baseline'!$D$1:$O$258,12,FALSE))))</f>
        <v/>
      </c>
      <c r="N209" s="532" t="str">
        <f>IF(E209="","",IF(ISNA(VLOOKUP($E209,'A-1 Site Habitat Baseline'!$D$1:$X$258,14,FALSE)),"",(VLOOKUP($E209,'A-1 Site Habitat Baseline'!$D$1:$X$258,14,FALSE))))</f>
        <v/>
      </c>
      <c r="O209" s="524" t="str">
        <f>IF(E209="","",IF(ISNA(VLOOKUP($E209,'A-1 Site Habitat Baseline'!$D$1:$X$258,16,FALSE)),"",(VLOOKUP($E209,'A-1 Site Habitat Baseline'!$D$1:$X$258,13,FALSE))))</f>
        <v/>
      </c>
      <c r="P209" s="237" t="str">
        <f>IFERROR(INDEX('G-1 All Habitats'!$AG$3:$AG$15,MATCH(Q209,'G-1 All Habitats'!$AF$3:$AF$15,0)),"")</f>
        <v/>
      </c>
      <c r="Q209" s="238" t="str">
        <f t="shared" si="37"/>
        <v/>
      </c>
      <c r="R209" s="238" t="str">
        <f t="shared" si="38"/>
        <v/>
      </c>
      <c r="S209" s="392" t="str">
        <f>IFERROR(INDEX('G-1 All Habitats'!$B$3:$B$129,MATCH(R209,'G-1 All Habitats'!$A$3:$A$129,0)),"")</f>
        <v/>
      </c>
      <c r="T209" s="498" t="str">
        <f t="shared" si="39"/>
        <v/>
      </c>
      <c r="U209" s="499" t="str">
        <f t="shared" si="40"/>
        <v/>
      </c>
      <c r="V209" s="537" t="str">
        <f t="shared" si="34"/>
        <v/>
      </c>
      <c r="W209" s="520" t="str">
        <f>IF(S209="","",VLOOKUP(S209,'G-1 All Habitats'!$B$2:$M$129,10,FALSE))</f>
        <v/>
      </c>
      <c r="X209" s="520" t="str">
        <f>IFERROR(VLOOKUP(W209,'G-1 All Habitats'!$V$3:$W$7,2,FALSE),"")</f>
        <v/>
      </c>
      <c r="Y209" s="79"/>
      <c r="Z209" s="524" t="str">
        <f>IFERROR(INDEX('G-8 Condition Look up'!$A$3:$H$130,MATCH(S209,'G-8 Condition Look up'!$A$3:$A$130,0),MATCH(Y209,'G-8 Condition Look up'!$A$3:$H$3,0)),"")</f>
        <v/>
      </c>
      <c r="AA209" s="71"/>
      <c r="AB209" s="520" t="str">
        <f>IF(AA209="","",IF(VLOOKUP(AA209,'G-3 Multipliers'!$L$3:$N$6,2,FALSE)=0,"Spatial Data Missing ⚠",VLOOKUP(AA209,'G-3 Multipliers'!$L$3:$N$6,2,FALSE)))</f>
        <v/>
      </c>
      <c r="AC209" s="524" t="str">
        <f>IF(AA209="","",IF(VLOOKUP(AA209,'G-3 Multipliers'!$L$3:$N$6,3,FALSE)=0,"Spatial Data Missing ⚠",VLOOKUP(AA209,'G-3 Multipliers'!$L$3:$N$6,3,FALSE)))</f>
        <v/>
      </c>
      <c r="AD209" s="539" t="str">
        <f t="shared" si="35"/>
        <v/>
      </c>
      <c r="AE209" s="82"/>
      <c r="AF209" s="82"/>
      <c r="AG209" s="507" t="str">
        <f t="shared" si="41"/>
        <v/>
      </c>
      <c r="AH209" s="521" t="str">
        <f t="shared" si="42"/>
        <v/>
      </c>
      <c r="AI209" s="522" t="str">
        <f>IF(AH209="Check Data","Check Data",IFERROR(VLOOKUP(AH209,'G-4 Temporal multipliers'!$A$4:$C$36,3,FALSE),""))</f>
        <v/>
      </c>
      <c r="AJ209" s="498" t="str">
        <f>IF(S209="","",VLOOKUP(S209,'G-3 Multipliers'!$A$2:$E$129,4,FALSE))</f>
        <v/>
      </c>
      <c r="AK209" s="507" t="str">
        <f t="shared" si="43"/>
        <v/>
      </c>
      <c r="AL209" s="507" t="str">
        <f t="shared" si="44"/>
        <v/>
      </c>
      <c r="AM209" s="540" t="str">
        <f>IFERROR(IF(F209="","",IF(AH209="Check Data ⚠","Check Data ⚠",VLOOKUP(AL209, 'G-3 Multipliers'!$P$2:$Q$6,2,FALSE))),"")</f>
        <v/>
      </c>
      <c r="AN209" s="513" t="str">
        <f t="shared" si="36"/>
        <v/>
      </c>
      <c r="AO209" s="239"/>
      <c r="AP209" s="240"/>
    </row>
    <row r="210" spans="1:42" x14ac:dyDescent="0.25">
      <c r="A210" s="47" t="str">
        <f>IF(E210="","",IF(ISNA(VLOOKUP($E210,'A-1 Site Habitat Baseline'!$D$1:$O$258,2,FALSE)),"",(VLOOKUP($E210,'A-1 Site Habitat Baseline'!$D$1:$O$258,2,FALSE))))</f>
        <v/>
      </c>
      <c r="B210" s="47" t="str">
        <f>IF(E210="","",IF(ISNA(VLOOKUP($E210,'A-1 Site Habitat Baseline'!$D$1:$O$258,3,FALSE)),"",(VLOOKUP($E210,'A-1 Site Habitat Baseline'!$D$1:$O$258,3,FALSE))))</f>
        <v/>
      </c>
      <c r="C210" s="47" t="str">
        <f>IFERROR(INDEX('G-8 Condition Look up'!$I$4:$I$130,MATCH(S210,'G-8 Condition Look up'!$A$4:$A$130,0)),"")</f>
        <v/>
      </c>
      <c r="E210" s="531" t="str">
        <f>'A-1 Site Habitat Baseline'!AL209</f>
        <v/>
      </c>
      <c r="F210" s="520" t="str">
        <f>IF(E210="","",IF(ISNA(VLOOKUP($E210,'A-1 Site Habitat Baseline'!$D$1:$O$258,4,FALSE)),"",(VLOOKUP($E210,'A-1 Site Habitat Baseline'!$D$1:$O$258,4,FALSE))))</f>
        <v/>
      </c>
      <c r="G210" s="520" t="str">
        <f>IF(E210="","",IF(ISNA(VLOOKUP($E210,'A-1 Site Habitat Baseline'!$D$1:$O$258,5,FALSE)),"",(VLOOKUP($E210,'A-1 Site Habitat Baseline'!$D$1:$O$258,5,FALSE))))</f>
        <v/>
      </c>
      <c r="H210" s="520" t="str">
        <f>IF(E210="","",IF(ISNA(VLOOKUP($E210,'A-1 Site Habitat Baseline'!$D$1:$O$258,6,FALSE)),"",(VLOOKUP($E210,'A-1 Site Habitat Baseline'!$D$1:$O$258,6,FALSE))))</f>
        <v/>
      </c>
      <c r="I210" s="520" t="str">
        <f>IF(E210="","",IF(ISNA(VLOOKUP($E210,'A-1 Site Habitat Baseline'!$D$1:$O$258,7,FALSE)),"",(VLOOKUP($E210,'A-1 Site Habitat Baseline'!$D$1:$O$258,7,FALSE))))</f>
        <v/>
      </c>
      <c r="J210" s="520" t="str">
        <f>IF(E210="","",IF(ISNA(VLOOKUP($E210,'A-1 Site Habitat Baseline'!$D$1:$O$258,8,FALSE)),"",(VLOOKUP($E210,'A-1 Site Habitat Baseline'!$D$1:$O$258,8,FALSE))))</f>
        <v/>
      </c>
      <c r="K210" s="520" t="str">
        <f>IF(E210="","",IF(ISNA(VLOOKUP($E210,'A-1 Site Habitat Baseline'!$D$1:$O$258,9,FALSE)),"",(VLOOKUP($E210,'A-1 Site Habitat Baseline'!$D$1:$O$258,9,FALSE))))</f>
        <v/>
      </c>
      <c r="L210" s="520" t="str">
        <f>IF(E210="","",IF(ISNA(VLOOKUP($E210,'A-1 Site Habitat Baseline'!$D$1:$O$258,11,FALSE)),"",(VLOOKUP($E210,'A-1 Site Habitat Baseline'!$D$1:$O$258,11,FALSE))))</f>
        <v/>
      </c>
      <c r="M210" s="520" t="str">
        <f>IF(E210="","",IF(ISNA(VLOOKUP($E210,'A-1 Site Habitat Baseline'!$D$1:$O$258,12,FALSE)),"",(VLOOKUP($E210,'A-1 Site Habitat Baseline'!$D$1:$O$258,12,FALSE))))</f>
        <v/>
      </c>
      <c r="N210" s="532" t="str">
        <f>IF(E210="","",IF(ISNA(VLOOKUP($E210,'A-1 Site Habitat Baseline'!$D$1:$X$258,14,FALSE)),"",(VLOOKUP($E210,'A-1 Site Habitat Baseline'!$D$1:$X$258,14,FALSE))))</f>
        <v/>
      </c>
      <c r="O210" s="524" t="str">
        <f>IF(E210="","",IF(ISNA(VLOOKUP($E210,'A-1 Site Habitat Baseline'!$D$1:$X$258,16,FALSE)),"",(VLOOKUP($E210,'A-1 Site Habitat Baseline'!$D$1:$X$258,13,FALSE))))</f>
        <v/>
      </c>
      <c r="P210" s="237" t="str">
        <f>IFERROR(INDEX('G-1 All Habitats'!$AG$3:$AG$15,MATCH(Q210,'G-1 All Habitats'!$AF$3:$AF$15,0)),"")</f>
        <v/>
      </c>
      <c r="Q210" s="238" t="str">
        <f t="shared" si="37"/>
        <v/>
      </c>
      <c r="R210" s="238" t="str">
        <f t="shared" si="38"/>
        <v/>
      </c>
      <c r="S210" s="392" t="str">
        <f>IFERROR(INDEX('G-1 All Habitats'!$B$3:$B$129,MATCH(R210,'G-1 All Habitats'!$A$3:$A$129,0)),"")</f>
        <v/>
      </c>
      <c r="T210" s="498" t="str">
        <f t="shared" si="39"/>
        <v/>
      </c>
      <c r="U210" s="499" t="str">
        <f t="shared" si="40"/>
        <v/>
      </c>
      <c r="V210" s="537" t="str">
        <f t="shared" si="34"/>
        <v/>
      </c>
      <c r="W210" s="520" t="str">
        <f>IF(S210="","",VLOOKUP(S210,'G-1 All Habitats'!$B$2:$M$129,10,FALSE))</f>
        <v/>
      </c>
      <c r="X210" s="520" t="str">
        <f>IFERROR(VLOOKUP(W210,'G-1 All Habitats'!$V$3:$W$7,2,FALSE),"")</f>
        <v/>
      </c>
      <c r="Y210" s="79"/>
      <c r="Z210" s="524" t="str">
        <f>IFERROR(INDEX('G-8 Condition Look up'!$A$3:$H$130,MATCH(S210,'G-8 Condition Look up'!$A$3:$A$130,0),MATCH(Y210,'G-8 Condition Look up'!$A$3:$H$3,0)),"")</f>
        <v/>
      </c>
      <c r="AA210" s="71"/>
      <c r="AB210" s="520" t="str">
        <f>IF(AA210="","",IF(VLOOKUP(AA210,'G-3 Multipliers'!$L$3:$N$6,2,FALSE)=0,"Spatial Data Missing ⚠",VLOOKUP(AA210,'G-3 Multipliers'!$L$3:$N$6,2,FALSE)))</f>
        <v/>
      </c>
      <c r="AC210" s="524" t="str">
        <f>IF(AA210="","",IF(VLOOKUP(AA210,'G-3 Multipliers'!$L$3:$N$6,3,FALSE)=0,"Spatial Data Missing ⚠",VLOOKUP(AA210,'G-3 Multipliers'!$L$3:$N$6,3,FALSE)))</f>
        <v/>
      </c>
      <c r="AD210" s="539" t="str">
        <f t="shared" si="35"/>
        <v/>
      </c>
      <c r="AE210" s="82"/>
      <c r="AF210" s="82"/>
      <c r="AG210" s="507" t="str">
        <f t="shared" si="41"/>
        <v/>
      </c>
      <c r="AH210" s="521" t="str">
        <f t="shared" si="42"/>
        <v/>
      </c>
      <c r="AI210" s="522" t="str">
        <f>IF(AH210="Check Data","Check Data",IFERROR(VLOOKUP(AH210,'G-4 Temporal multipliers'!$A$4:$C$36,3,FALSE),""))</f>
        <v/>
      </c>
      <c r="AJ210" s="498" t="str">
        <f>IF(S210="","",VLOOKUP(S210,'G-3 Multipliers'!$A$2:$E$129,4,FALSE))</f>
        <v/>
      </c>
      <c r="AK210" s="507" t="str">
        <f t="shared" si="43"/>
        <v/>
      </c>
      <c r="AL210" s="507" t="str">
        <f t="shared" si="44"/>
        <v/>
      </c>
      <c r="AM210" s="540" t="str">
        <f>IFERROR(IF(F210="","",IF(AH210="Check Data ⚠","Check Data ⚠",VLOOKUP(AL210, 'G-3 Multipliers'!$P$2:$Q$6,2,FALSE))),"")</f>
        <v/>
      </c>
      <c r="AN210" s="513" t="str">
        <f t="shared" si="36"/>
        <v/>
      </c>
      <c r="AO210" s="239"/>
      <c r="AP210" s="240"/>
    </row>
    <row r="211" spans="1:42" x14ac:dyDescent="0.25">
      <c r="A211" s="47" t="str">
        <f>IF(E211="","",IF(ISNA(VLOOKUP($E211,'A-1 Site Habitat Baseline'!$D$1:$O$258,2,FALSE)),"",(VLOOKUP($E211,'A-1 Site Habitat Baseline'!$D$1:$O$258,2,FALSE))))</f>
        <v/>
      </c>
      <c r="B211" s="47" t="str">
        <f>IF(E211="","",IF(ISNA(VLOOKUP($E211,'A-1 Site Habitat Baseline'!$D$1:$O$258,3,FALSE)),"",(VLOOKUP($E211,'A-1 Site Habitat Baseline'!$D$1:$O$258,3,FALSE))))</f>
        <v/>
      </c>
      <c r="C211" s="47" t="str">
        <f>IFERROR(INDEX('G-8 Condition Look up'!$I$4:$I$130,MATCH(S211,'G-8 Condition Look up'!$A$4:$A$130,0)),"")</f>
        <v/>
      </c>
      <c r="E211" s="531" t="str">
        <f>'A-1 Site Habitat Baseline'!AL210</f>
        <v/>
      </c>
      <c r="F211" s="520" t="str">
        <f>IF(E211="","",IF(ISNA(VLOOKUP($E211,'A-1 Site Habitat Baseline'!$D$1:$O$258,4,FALSE)),"",(VLOOKUP($E211,'A-1 Site Habitat Baseline'!$D$1:$O$258,4,FALSE))))</f>
        <v/>
      </c>
      <c r="G211" s="520" t="str">
        <f>IF(E211="","",IF(ISNA(VLOOKUP($E211,'A-1 Site Habitat Baseline'!$D$1:$O$258,5,FALSE)),"",(VLOOKUP($E211,'A-1 Site Habitat Baseline'!$D$1:$O$258,5,FALSE))))</f>
        <v/>
      </c>
      <c r="H211" s="520" t="str">
        <f>IF(E211="","",IF(ISNA(VLOOKUP($E211,'A-1 Site Habitat Baseline'!$D$1:$O$258,6,FALSE)),"",(VLOOKUP($E211,'A-1 Site Habitat Baseline'!$D$1:$O$258,6,FALSE))))</f>
        <v/>
      </c>
      <c r="I211" s="520" t="str">
        <f>IF(E211="","",IF(ISNA(VLOOKUP($E211,'A-1 Site Habitat Baseline'!$D$1:$O$258,7,FALSE)),"",(VLOOKUP($E211,'A-1 Site Habitat Baseline'!$D$1:$O$258,7,FALSE))))</f>
        <v/>
      </c>
      <c r="J211" s="520" t="str">
        <f>IF(E211="","",IF(ISNA(VLOOKUP($E211,'A-1 Site Habitat Baseline'!$D$1:$O$258,8,FALSE)),"",(VLOOKUP($E211,'A-1 Site Habitat Baseline'!$D$1:$O$258,8,FALSE))))</f>
        <v/>
      </c>
      <c r="K211" s="520" t="str">
        <f>IF(E211="","",IF(ISNA(VLOOKUP($E211,'A-1 Site Habitat Baseline'!$D$1:$O$258,9,FALSE)),"",(VLOOKUP($E211,'A-1 Site Habitat Baseline'!$D$1:$O$258,9,FALSE))))</f>
        <v/>
      </c>
      <c r="L211" s="520" t="str">
        <f>IF(E211="","",IF(ISNA(VLOOKUP($E211,'A-1 Site Habitat Baseline'!$D$1:$O$258,11,FALSE)),"",(VLOOKUP($E211,'A-1 Site Habitat Baseline'!$D$1:$O$258,11,FALSE))))</f>
        <v/>
      </c>
      <c r="M211" s="520" t="str">
        <f>IF(E211="","",IF(ISNA(VLOOKUP($E211,'A-1 Site Habitat Baseline'!$D$1:$O$258,12,FALSE)),"",(VLOOKUP($E211,'A-1 Site Habitat Baseline'!$D$1:$O$258,12,FALSE))))</f>
        <v/>
      </c>
      <c r="N211" s="532" t="str">
        <f>IF(E211="","",IF(ISNA(VLOOKUP($E211,'A-1 Site Habitat Baseline'!$D$1:$X$258,14,FALSE)),"",(VLOOKUP($E211,'A-1 Site Habitat Baseline'!$D$1:$X$258,14,FALSE))))</f>
        <v/>
      </c>
      <c r="O211" s="524" t="str">
        <f>IF(E211="","",IF(ISNA(VLOOKUP($E211,'A-1 Site Habitat Baseline'!$D$1:$X$258,16,FALSE)),"",(VLOOKUP($E211,'A-1 Site Habitat Baseline'!$D$1:$X$258,13,FALSE))))</f>
        <v/>
      </c>
      <c r="P211" s="237" t="str">
        <f>IFERROR(INDEX('G-1 All Habitats'!$AG$3:$AG$15,MATCH(Q211,'G-1 All Habitats'!$AF$3:$AF$15,0)),"")</f>
        <v/>
      </c>
      <c r="Q211" s="238" t="str">
        <f t="shared" si="37"/>
        <v/>
      </c>
      <c r="R211" s="238" t="str">
        <f t="shared" si="38"/>
        <v/>
      </c>
      <c r="S211" s="392" t="str">
        <f>IFERROR(INDEX('G-1 All Habitats'!$B$3:$B$129,MATCH(R211,'G-1 All Habitats'!$A$3:$A$129,0)),"")</f>
        <v/>
      </c>
      <c r="T211" s="498" t="str">
        <f t="shared" si="39"/>
        <v/>
      </c>
      <c r="U211" s="499" t="str">
        <f t="shared" si="40"/>
        <v/>
      </c>
      <c r="V211" s="537" t="str">
        <f t="shared" si="34"/>
        <v/>
      </c>
      <c r="W211" s="520" t="str">
        <f>IF(S211="","",VLOOKUP(S211,'G-1 All Habitats'!$B$2:$M$129,10,FALSE))</f>
        <v/>
      </c>
      <c r="X211" s="520" t="str">
        <f>IFERROR(VLOOKUP(W211,'G-1 All Habitats'!$V$3:$W$7,2,FALSE),"")</f>
        <v/>
      </c>
      <c r="Y211" s="79"/>
      <c r="Z211" s="524" t="str">
        <f>IFERROR(INDEX('G-8 Condition Look up'!$A$3:$H$130,MATCH(S211,'G-8 Condition Look up'!$A$3:$A$130,0),MATCH(Y211,'G-8 Condition Look up'!$A$3:$H$3,0)),"")</f>
        <v/>
      </c>
      <c r="AA211" s="71"/>
      <c r="AB211" s="520" t="str">
        <f>IF(AA211="","",IF(VLOOKUP(AA211,'G-3 Multipliers'!$L$3:$N$6,2,FALSE)=0,"Spatial Data Missing ⚠",VLOOKUP(AA211,'G-3 Multipliers'!$L$3:$N$6,2,FALSE)))</f>
        <v/>
      </c>
      <c r="AC211" s="524" t="str">
        <f>IF(AA211="","",IF(VLOOKUP(AA211,'G-3 Multipliers'!$L$3:$N$6,3,FALSE)=0,"Spatial Data Missing ⚠",VLOOKUP(AA211,'G-3 Multipliers'!$L$3:$N$6,3,FALSE)))</f>
        <v/>
      </c>
      <c r="AD211" s="539" t="str">
        <f t="shared" si="35"/>
        <v/>
      </c>
      <c r="AE211" s="82"/>
      <c r="AF211" s="82"/>
      <c r="AG211" s="507" t="str">
        <f t="shared" si="41"/>
        <v/>
      </c>
      <c r="AH211" s="521" t="str">
        <f t="shared" si="42"/>
        <v/>
      </c>
      <c r="AI211" s="522" t="str">
        <f>IF(AH211="Check Data","Check Data",IFERROR(VLOOKUP(AH211,'G-4 Temporal multipliers'!$A$4:$C$36,3,FALSE),""))</f>
        <v/>
      </c>
      <c r="AJ211" s="498" t="str">
        <f>IF(S211="","",VLOOKUP(S211,'G-3 Multipliers'!$A$2:$E$129,4,FALSE))</f>
        <v/>
      </c>
      <c r="AK211" s="507" t="str">
        <f t="shared" si="43"/>
        <v/>
      </c>
      <c r="AL211" s="507" t="str">
        <f t="shared" si="44"/>
        <v/>
      </c>
      <c r="AM211" s="540" t="str">
        <f>IFERROR(IF(F211="","",IF(AH211="Check Data ⚠","Check Data ⚠",VLOOKUP(AL211, 'G-3 Multipliers'!$P$2:$Q$6,2,FALSE))),"")</f>
        <v/>
      </c>
      <c r="AN211" s="513" t="str">
        <f t="shared" si="36"/>
        <v/>
      </c>
      <c r="AO211" s="239"/>
      <c r="AP211" s="240"/>
    </row>
    <row r="212" spans="1:42" x14ac:dyDescent="0.25">
      <c r="A212" s="47" t="str">
        <f>IF(E212="","",IF(ISNA(VLOOKUP($E212,'A-1 Site Habitat Baseline'!$D$1:$O$258,2,FALSE)),"",(VLOOKUP($E212,'A-1 Site Habitat Baseline'!$D$1:$O$258,2,FALSE))))</f>
        <v/>
      </c>
      <c r="B212" s="47" t="str">
        <f>IF(E212="","",IF(ISNA(VLOOKUP($E212,'A-1 Site Habitat Baseline'!$D$1:$O$258,3,FALSE)),"",(VLOOKUP($E212,'A-1 Site Habitat Baseline'!$D$1:$O$258,3,FALSE))))</f>
        <v/>
      </c>
      <c r="C212" s="47" t="str">
        <f>IFERROR(INDEX('G-8 Condition Look up'!$I$4:$I$130,MATCH(S212,'G-8 Condition Look up'!$A$4:$A$130,0)),"")</f>
        <v/>
      </c>
      <c r="E212" s="531" t="str">
        <f>'A-1 Site Habitat Baseline'!AL211</f>
        <v/>
      </c>
      <c r="F212" s="520" t="str">
        <f>IF(E212="","",IF(ISNA(VLOOKUP($E212,'A-1 Site Habitat Baseline'!$D$1:$O$258,4,FALSE)),"",(VLOOKUP($E212,'A-1 Site Habitat Baseline'!$D$1:$O$258,4,FALSE))))</f>
        <v/>
      </c>
      <c r="G212" s="520" t="str">
        <f>IF(E212="","",IF(ISNA(VLOOKUP($E212,'A-1 Site Habitat Baseline'!$D$1:$O$258,5,FALSE)),"",(VLOOKUP($E212,'A-1 Site Habitat Baseline'!$D$1:$O$258,5,FALSE))))</f>
        <v/>
      </c>
      <c r="H212" s="520" t="str">
        <f>IF(E212="","",IF(ISNA(VLOOKUP($E212,'A-1 Site Habitat Baseline'!$D$1:$O$258,6,FALSE)),"",(VLOOKUP($E212,'A-1 Site Habitat Baseline'!$D$1:$O$258,6,FALSE))))</f>
        <v/>
      </c>
      <c r="I212" s="520" t="str">
        <f>IF(E212="","",IF(ISNA(VLOOKUP($E212,'A-1 Site Habitat Baseline'!$D$1:$O$258,7,FALSE)),"",(VLOOKUP($E212,'A-1 Site Habitat Baseline'!$D$1:$O$258,7,FALSE))))</f>
        <v/>
      </c>
      <c r="J212" s="520" t="str">
        <f>IF(E212="","",IF(ISNA(VLOOKUP($E212,'A-1 Site Habitat Baseline'!$D$1:$O$258,8,FALSE)),"",(VLOOKUP($E212,'A-1 Site Habitat Baseline'!$D$1:$O$258,8,FALSE))))</f>
        <v/>
      </c>
      <c r="K212" s="520" t="str">
        <f>IF(E212="","",IF(ISNA(VLOOKUP($E212,'A-1 Site Habitat Baseline'!$D$1:$O$258,9,FALSE)),"",(VLOOKUP($E212,'A-1 Site Habitat Baseline'!$D$1:$O$258,9,FALSE))))</f>
        <v/>
      </c>
      <c r="L212" s="520" t="str">
        <f>IF(E212="","",IF(ISNA(VLOOKUP($E212,'A-1 Site Habitat Baseline'!$D$1:$O$258,11,FALSE)),"",(VLOOKUP($E212,'A-1 Site Habitat Baseline'!$D$1:$O$258,11,FALSE))))</f>
        <v/>
      </c>
      <c r="M212" s="520" t="str">
        <f>IF(E212="","",IF(ISNA(VLOOKUP($E212,'A-1 Site Habitat Baseline'!$D$1:$O$258,12,FALSE)),"",(VLOOKUP($E212,'A-1 Site Habitat Baseline'!$D$1:$O$258,12,FALSE))))</f>
        <v/>
      </c>
      <c r="N212" s="532" t="str">
        <f>IF(E212="","",IF(ISNA(VLOOKUP($E212,'A-1 Site Habitat Baseline'!$D$1:$X$258,14,FALSE)),"",(VLOOKUP($E212,'A-1 Site Habitat Baseline'!$D$1:$X$258,14,FALSE))))</f>
        <v/>
      </c>
      <c r="O212" s="524" t="str">
        <f>IF(E212="","",IF(ISNA(VLOOKUP($E212,'A-1 Site Habitat Baseline'!$D$1:$X$258,16,FALSE)),"",(VLOOKUP($E212,'A-1 Site Habitat Baseline'!$D$1:$X$258,13,FALSE))))</f>
        <v/>
      </c>
      <c r="P212" s="237" t="str">
        <f>IFERROR(INDEX('G-1 All Habitats'!$AG$3:$AG$15,MATCH(Q212,'G-1 All Habitats'!$AF$3:$AF$15,0)),"")</f>
        <v/>
      </c>
      <c r="Q212" s="238" t="str">
        <f t="shared" si="37"/>
        <v/>
      </c>
      <c r="R212" s="238" t="str">
        <f t="shared" si="38"/>
        <v/>
      </c>
      <c r="S212" s="392" t="str">
        <f>IFERROR(INDEX('G-1 All Habitats'!$B$3:$B$129,MATCH(R212,'G-1 All Habitats'!$A$3:$A$129,0)),"")</f>
        <v/>
      </c>
      <c r="T212" s="498" t="str">
        <f t="shared" si="39"/>
        <v/>
      </c>
      <c r="U212" s="499" t="str">
        <f t="shared" si="40"/>
        <v/>
      </c>
      <c r="V212" s="537" t="str">
        <f t="shared" si="34"/>
        <v/>
      </c>
      <c r="W212" s="520" t="str">
        <f>IF(S212="","",VLOOKUP(S212,'G-1 All Habitats'!$B$2:$M$129,10,FALSE))</f>
        <v/>
      </c>
      <c r="X212" s="520" t="str">
        <f>IFERROR(VLOOKUP(W212,'G-1 All Habitats'!$V$3:$W$7,2,FALSE),"")</f>
        <v/>
      </c>
      <c r="Y212" s="79"/>
      <c r="Z212" s="524" t="str">
        <f>IFERROR(INDEX('G-8 Condition Look up'!$A$3:$H$130,MATCH(S212,'G-8 Condition Look up'!$A$3:$A$130,0),MATCH(Y212,'G-8 Condition Look up'!$A$3:$H$3,0)),"")</f>
        <v/>
      </c>
      <c r="AA212" s="71"/>
      <c r="AB212" s="520" t="str">
        <f>IF(AA212="","",IF(VLOOKUP(AA212,'G-3 Multipliers'!$L$3:$N$6,2,FALSE)=0,"Spatial Data Missing ⚠",VLOOKUP(AA212,'G-3 Multipliers'!$L$3:$N$6,2,FALSE)))</f>
        <v/>
      </c>
      <c r="AC212" s="524" t="str">
        <f>IF(AA212="","",IF(VLOOKUP(AA212,'G-3 Multipliers'!$L$3:$N$6,3,FALSE)=0,"Spatial Data Missing ⚠",VLOOKUP(AA212,'G-3 Multipliers'!$L$3:$N$6,3,FALSE)))</f>
        <v/>
      </c>
      <c r="AD212" s="539" t="str">
        <f t="shared" si="35"/>
        <v/>
      </c>
      <c r="AE212" s="82"/>
      <c r="AF212" s="82"/>
      <c r="AG212" s="507" t="str">
        <f t="shared" si="41"/>
        <v/>
      </c>
      <c r="AH212" s="521" t="str">
        <f t="shared" si="42"/>
        <v/>
      </c>
      <c r="AI212" s="522" t="str">
        <f>IF(AH212="Check Data","Check Data",IFERROR(VLOOKUP(AH212,'G-4 Temporal multipliers'!$A$4:$C$36,3,FALSE),""))</f>
        <v/>
      </c>
      <c r="AJ212" s="498" t="str">
        <f>IF(S212="","",VLOOKUP(S212,'G-3 Multipliers'!$A$2:$E$129,4,FALSE))</f>
        <v/>
      </c>
      <c r="AK212" s="507" t="str">
        <f t="shared" si="43"/>
        <v/>
      </c>
      <c r="AL212" s="507" t="str">
        <f t="shared" si="44"/>
        <v/>
      </c>
      <c r="AM212" s="540" t="str">
        <f>IFERROR(IF(F212="","",IF(AH212="Check Data ⚠","Check Data ⚠",VLOOKUP(AL212, 'G-3 Multipliers'!$P$2:$Q$6,2,FALSE))),"")</f>
        <v/>
      </c>
      <c r="AN212" s="513" t="str">
        <f t="shared" si="36"/>
        <v/>
      </c>
      <c r="AO212" s="239"/>
      <c r="AP212" s="240"/>
    </row>
    <row r="213" spans="1:42" x14ac:dyDescent="0.25">
      <c r="A213" s="47" t="str">
        <f>IF(E213="","",IF(ISNA(VLOOKUP($E213,'A-1 Site Habitat Baseline'!$D$1:$O$258,2,FALSE)),"",(VLOOKUP($E213,'A-1 Site Habitat Baseline'!$D$1:$O$258,2,FALSE))))</f>
        <v/>
      </c>
      <c r="B213" s="47" t="str">
        <f>IF(E213="","",IF(ISNA(VLOOKUP($E213,'A-1 Site Habitat Baseline'!$D$1:$O$258,3,FALSE)),"",(VLOOKUP($E213,'A-1 Site Habitat Baseline'!$D$1:$O$258,3,FALSE))))</f>
        <v/>
      </c>
      <c r="C213" s="47" t="str">
        <f>IFERROR(INDEX('G-8 Condition Look up'!$I$4:$I$130,MATCH(S213,'G-8 Condition Look up'!$A$4:$A$130,0)),"")</f>
        <v/>
      </c>
      <c r="E213" s="531" t="str">
        <f>'A-1 Site Habitat Baseline'!AL212</f>
        <v/>
      </c>
      <c r="F213" s="520" t="str">
        <f>IF(E213="","",IF(ISNA(VLOOKUP($E213,'A-1 Site Habitat Baseline'!$D$1:$O$258,4,FALSE)),"",(VLOOKUP($E213,'A-1 Site Habitat Baseline'!$D$1:$O$258,4,FALSE))))</f>
        <v/>
      </c>
      <c r="G213" s="520" t="str">
        <f>IF(E213="","",IF(ISNA(VLOOKUP($E213,'A-1 Site Habitat Baseline'!$D$1:$O$258,5,FALSE)),"",(VLOOKUP($E213,'A-1 Site Habitat Baseline'!$D$1:$O$258,5,FALSE))))</f>
        <v/>
      </c>
      <c r="H213" s="520" t="str">
        <f>IF(E213="","",IF(ISNA(VLOOKUP($E213,'A-1 Site Habitat Baseline'!$D$1:$O$258,6,FALSE)),"",(VLOOKUP($E213,'A-1 Site Habitat Baseline'!$D$1:$O$258,6,FALSE))))</f>
        <v/>
      </c>
      <c r="I213" s="520" t="str">
        <f>IF(E213="","",IF(ISNA(VLOOKUP($E213,'A-1 Site Habitat Baseline'!$D$1:$O$258,7,FALSE)),"",(VLOOKUP($E213,'A-1 Site Habitat Baseline'!$D$1:$O$258,7,FALSE))))</f>
        <v/>
      </c>
      <c r="J213" s="520" t="str">
        <f>IF(E213="","",IF(ISNA(VLOOKUP($E213,'A-1 Site Habitat Baseline'!$D$1:$O$258,8,FALSE)),"",(VLOOKUP($E213,'A-1 Site Habitat Baseline'!$D$1:$O$258,8,FALSE))))</f>
        <v/>
      </c>
      <c r="K213" s="520" t="str">
        <f>IF(E213="","",IF(ISNA(VLOOKUP($E213,'A-1 Site Habitat Baseline'!$D$1:$O$258,9,FALSE)),"",(VLOOKUP($E213,'A-1 Site Habitat Baseline'!$D$1:$O$258,9,FALSE))))</f>
        <v/>
      </c>
      <c r="L213" s="520" t="str">
        <f>IF(E213="","",IF(ISNA(VLOOKUP($E213,'A-1 Site Habitat Baseline'!$D$1:$O$258,11,FALSE)),"",(VLOOKUP($E213,'A-1 Site Habitat Baseline'!$D$1:$O$258,11,FALSE))))</f>
        <v/>
      </c>
      <c r="M213" s="520" t="str">
        <f>IF(E213="","",IF(ISNA(VLOOKUP($E213,'A-1 Site Habitat Baseline'!$D$1:$O$258,12,FALSE)),"",(VLOOKUP($E213,'A-1 Site Habitat Baseline'!$D$1:$O$258,12,FALSE))))</f>
        <v/>
      </c>
      <c r="N213" s="532" t="str">
        <f>IF(E213="","",IF(ISNA(VLOOKUP($E213,'A-1 Site Habitat Baseline'!$D$1:$X$258,14,FALSE)),"",(VLOOKUP($E213,'A-1 Site Habitat Baseline'!$D$1:$X$258,14,FALSE))))</f>
        <v/>
      </c>
      <c r="O213" s="524" t="str">
        <f>IF(E213="","",IF(ISNA(VLOOKUP($E213,'A-1 Site Habitat Baseline'!$D$1:$X$258,16,FALSE)),"",(VLOOKUP($E213,'A-1 Site Habitat Baseline'!$D$1:$X$258,13,FALSE))))</f>
        <v/>
      </c>
      <c r="P213" s="237" t="str">
        <f>IFERROR(INDEX('G-1 All Habitats'!$AG$3:$AG$15,MATCH(Q213,'G-1 All Habitats'!$AF$3:$AF$15,0)),"")</f>
        <v/>
      </c>
      <c r="Q213" s="238" t="str">
        <f t="shared" si="37"/>
        <v/>
      </c>
      <c r="R213" s="238" t="str">
        <f t="shared" si="38"/>
        <v/>
      </c>
      <c r="S213" s="392" t="str">
        <f>IFERROR(INDEX('G-1 All Habitats'!$B$3:$B$129,MATCH(R213,'G-1 All Habitats'!$A$3:$A$129,0)),"")</f>
        <v/>
      </c>
      <c r="T213" s="498" t="str">
        <f t="shared" si="39"/>
        <v/>
      </c>
      <c r="U213" s="499" t="str">
        <f t="shared" si="40"/>
        <v/>
      </c>
      <c r="V213" s="537" t="str">
        <f t="shared" si="34"/>
        <v/>
      </c>
      <c r="W213" s="520" t="str">
        <f>IF(S213="","",VLOOKUP(S213,'G-1 All Habitats'!$B$2:$M$129,10,FALSE))</f>
        <v/>
      </c>
      <c r="X213" s="520" t="str">
        <f>IFERROR(VLOOKUP(W213,'G-1 All Habitats'!$V$3:$W$7,2,FALSE),"")</f>
        <v/>
      </c>
      <c r="Y213" s="79"/>
      <c r="Z213" s="524" t="str">
        <f>IFERROR(INDEX('G-8 Condition Look up'!$A$3:$H$130,MATCH(S213,'G-8 Condition Look up'!$A$3:$A$130,0),MATCH(Y213,'G-8 Condition Look up'!$A$3:$H$3,0)),"")</f>
        <v/>
      </c>
      <c r="AA213" s="71"/>
      <c r="AB213" s="520" t="str">
        <f>IF(AA213="","",IF(VLOOKUP(AA213,'G-3 Multipliers'!$L$3:$N$6,2,FALSE)=0,"Spatial Data Missing ⚠",VLOOKUP(AA213,'G-3 Multipliers'!$L$3:$N$6,2,FALSE)))</f>
        <v/>
      </c>
      <c r="AC213" s="524" t="str">
        <f>IF(AA213="","",IF(VLOOKUP(AA213,'G-3 Multipliers'!$L$3:$N$6,3,FALSE)=0,"Spatial Data Missing ⚠",VLOOKUP(AA213,'G-3 Multipliers'!$L$3:$N$6,3,FALSE)))</f>
        <v/>
      </c>
      <c r="AD213" s="539" t="str">
        <f t="shared" si="35"/>
        <v/>
      </c>
      <c r="AE213" s="82"/>
      <c r="AF213" s="82"/>
      <c r="AG213" s="507" t="str">
        <f t="shared" si="41"/>
        <v/>
      </c>
      <c r="AH213" s="521" t="str">
        <f t="shared" si="42"/>
        <v/>
      </c>
      <c r="AI213" s="522" t="str">
        <f>IF(AH213="Check Data","Check Data",IFERROR(VLOOKUP(AH213,'G-4 Temporal multipliers'!$A$4:$C$36,3,FALSE),""))</f>
        <v/>
      </c>
      <c r="AJ213" s="498" t="str">
        <f>IF(S213="","",VLOOKUP(S213,'G-3 Multipliers'!$A$2:$E$129,4,FALSE))</f>
        <v/>
      </c>
      <c r="AK213" s="507" t="str">
        <f t="shared" si="43"/>
        <v/>
      </c>
      <c r="AL213" s="507" t="str">
        <f t="shared" si="44"/>
        <v/>
      </c>
      <c r="AM213" s="540" t="str">
        <f>IFERROR(IF(F213="","",IF(AH213="Check Data ⚠","Check Data ⚠",VLOOKUP(AL213, 'G-3 Multipliers'!$P$2:$Q$6,2,FALSE))),"")</f>
        <v/>
      </c>
      <c r="AN213" s="513" t="str">
        <f t="shared" si="36"/>
        <v/>
      </c>
      <c r="AO213" s="239"/>
      <c r="AP213" s="240"/>
    </row>
    <row r="214" spans="1:42" x14ac:dyDescent="0.25">
      <c r="A214" s="47" t="str">
        <f>IF(E214="","",IF(ISNA(VLOOKUP($E214,'A-1 Site Habitat Baseline'!$D$1:$O$258,2,FALSE)),"",(VLOOKUP($E214,'A-1 Site Habitat Baseline'!$D$1:$O$258,2,FALSE))))</f>
        <v/>
      </c>
      <c r="B214" s="47" t="str">
        <f>IF(E214="","",IF(ISNA(VLOOKUP($E214,'A-1 Site Habitat Baseline'!$D$1:$O$258,3,FALSE)),"",(VLOOKUP($E214,'A-1 Site Habitat Baseline'!$D$1:$O$258,3,FALSE))))</f>
        <v/>
      </c>
      <c r="C214" s="47" t="str">
        <f>IFERROR(INDEX('G-8 Condition Look up'!$I$4:$I$130,MATCH(S214,'G-8 Condition Look up'!$A$4:$A$130,0)),"")</f>
        <v/>
      </c>
      <c r="E214" s="531" t="str">
        <f>'A-1 Site Habitat Baseline'!AL213</f>
        <v/>
      </c>
      <c r="F214" s="520" t="str">
        <f>IF(E214="","",IF(ISNA(VLOOKUP($E214,'A-1 Site Habitat Baseline'!$D$1:$O$258,4,FALSE)),"",(VLOOKUP($E214,'A-1 Site Habitat Baseline'!$D$1:$O$258,4,FALSE))))</f>
        <v/>
      </c>
      <c r="G214" s="520" t="str">
        <f>IF(E214="","",IF(ISNA(VLOOKUP($E214,'A-1 Site Habitat Baseline'!$D$1:$O$258,5,FALSE)),"",(VLOOKUP($E214,'A-1 Site Habitat Baseline'!$D$1:$O$258,5,FALSE))))</f>
        <v/>
      </c>
      <c r="H214" s="520" t="str">
        <f>IF(E214="","",IF(ISNA(VLOOKUP($E214,'A-1 Site Habitat Baseline'!$D$1:$O$258,6,FALSE)),"",(VLOOKUP($E214,'A-1 Site Habitat Baseline'!$D$1:$O$258,6,FALSE))))</f>
        <v/>
      </c>
      <c r="I214" s="520" t="str">
        <f>IF(E214="","",IF(ISNA(VLOOKUP($E214,'A-1 Site Habitat Baseline'!$D$1:$O$258,7,FALSE)),"",(VLOOKUP($E214,'A-1 Site Habitat Baseline'!$D$1:$O$258,7,FALSE))))</f>
        <v/>
      </c>
      <c r="J214" s="520" t="str">
        <f>IF(E214="","",IF(ISNA(VLOOKUP($E214,'A-1 Site Habitat Baseline'!$D$1:$O$258,8,FALSE)),"",(VLOOKUP($E214,'A-1 Site Habitat Baseline'!$D$1:$O$258,8,FALSE))))</f>
        <v/>
      </c>
      <c r="K214" s="520" t="str">
        <f>IF(E214="","",IF(ISNA(VLOOKUP($E214,'A-1 Site Habitat Baseline'!$D$1:$O$258,9,FALSE)),"",(VLOOKUP($E214,'A-1 Site Habitat Baseline'!$D$1:$O$258,9,FALSE))))</f>
        <v/>
      </c>
      <c r="L214" s="520" t="str">
        <f>IF(E214="","",IF(ISNA(VLOOKUP($E214,'A-1 Site Habitat Baseline'!$D$1:$O$258,11,FALSE)),"",(VLOOKUP($E214,'A-1 Site Habitat Baseline'!$D$1:$O$258,11,FALSE))))</f>
        <v/>
      </c>
      <c r="M214" s="520" t="str">
        <f>IF(E214="","",IF(ISNA(VLOOKUP($E214,'A-1 Site Habitat Baseline'!$D$1:$O$258,12,FALSE)),"",(VLOOKUP($E214,'A-1 Site Habitat Baseline'!$D$1:$O$258,12,FALSE))))</f>
        <v/>
      </c>
      <c r="N214" s="532" t="str">
        <f>IF(E214="","",IF(ISNA(VLOOKUP($E214,'A-1 Site Habitat Baseline'!$D$1:$X$258,14,FALSE)),"",(VLOOKUP($E214,'A-1 Site Habitat Baseline'!$D$1:$X$258,14,FALSE))))</f>
        <v/>
      </c>
      <c r="O214" s="524" t="str">
        <f>IF(E214="","",IF(ISNA(VLOOKUP($E214,'A-1 Site Habitat Baseline'!$D$1:$X$258,16,FALSE)),"",(VLOOKUP($E214,'A-1 Site Habitat Baseline'!$D$1:$X$258,13,FALSE))))</f>
        <v/>
      </c>
      <c r="P214" s="237" t="str">
        <f>IFERROR(INDEX('G-1 All Habitats'!$AG$3:$AG$15,MATCH(Q214,'G-1 All Habitats'!$AF$3:$AF$15,0)),"")</f>
        <v/>
      </c>
      <c r="Q214" s="238" t="str">
        <f t="shared" si="37"/>
        <v/>
      </c>
      <c r="R214" s="238" t="str">
        <f t="shared" si="38"/>
        <v/>
      </c>
      <c r="S214" s="392" t="str">
        <f>IFERROR(INDEX('G-1 All Habitats'!$B$3:$B$129,MATCH(R214,'G-1 All Habitats'!$A$3:$A$129,0)),"")</f>
        <v/>
      </c>
      <c r="T214" s="498" t="str">
        <f t="shared" si="39"/>
        <v/>
      </c>
      <c r="U214" s="499" t="str">
        <f t="shared" si="40"/>
        <v/>
      </c>
      <c r="V214" s="537" t="str">
        <f t="shared" si="34"/>
        <v/>
      </c>
      <c r="W214" s="520" t="str">
        <f>IF(S214="","",VLOOKUP(S214,'G-1 All Habitats'!$B$2:$M$129,10,FALSE))</f>
        <v/>
      </c>
      <c r="X214" s="520" t="str">
        <f>IFERROR(VLOOKUP(W214,'G-1 All Habitats'!$V$3:$W$7,2,FALSE),"")</f>
        <v/>
      </c>
      <c r="Y214" s="79"/>
      <c r="Z214" s="524" t="str">
        <f>IFERROR(INDEX('G-8 Condition Look up'!$A$3:$H$130,MATCH(S214,'G-8 Condition Look up'!$A$3:$A$130,0),MATCH(Y214,'G-8 Condition Look up'!$A$3:$H$3,0)),"")</f>
        <v/>
      </c>
      <c r="AA214" s="71"/>
      <c r="AB214" s="520" t="str">
        <f>IF(AA214="","",IF(VLOOKUP(AA214,'G-3 Multipliers'!$L$3:$N$6,2,FALSE)=0,"Spatial Data Missing ⚠",VLOOKUP(AA214,'G-3 Multipliers'!$L$3:$N$6,2,FALSE)))</f>
        <v/>
      </c>
      <c r="AC214" s="524" t="str">
        <f>IF(AA214="","",IF(VLOOKUP(AA214,'G-3 Multipliers'!$L$3:$N$6,3,FALSE)=0,"Spatial Data Missing ⚠",VLOOKUP(AA214,'G-3 Multipliers'!$L$3:$N$6,3,FALSE)))</f>
        <v/>
      </c>
      <c r="AD214" s="539" t="str">
        <f t="shared" si="35"/>
        <v/>
      </c>
      <c r="AE214" s="82"/>
      <c r="AF214" s="82"/>
      <c r="AG214" s="507" t="str">
        <f t="shared" si="41"/>
        <v/>
      </c>
      <c r="AH214" s="521" t="str">
        <f t="shared" si="42"/>
        <v/>
      </c>
      <c r="AI214" s="522" t="str">
        <f>IF(AH214="Check Data","Check Data",IFERROR(VLOOKUP(AH214,'G-4 Temporal multipliers'!$A$4:$C$36,3,FALSE),""))</f>
        <v/>
      </c>
      <c r="AJ214" s="498" t="str">
        <f>IF(S214="","",VLOOKUP(S214,'G-3 Multipliers'!$A$2:$E$129,4,FALSE))</f>
        <v/>
      </c>
      <c r="AK214" s="507" t="str">
        <f t="shared" si="43"/>
        <v/>
      </c>
      <c r="AL214" s="507" t="str">
        <f t="shared" si="44"/>
        <v/>
      </c>
      <c r="AM214" s="540" t="str">
        <f>IFERROR(IF(F214="","",IF(AH214="Check Data ⚠","Check Data ⚠",VLOOKUP(AL214, 'G-3 Multipliers'!$P$2:$Q$6,2,FALSE))),"")</f>
        <v/>
      </c>
      <c r="AN214" s="513" t="str">
        <f t="shared" si="36"/>
        <v/>
      </c>
      <c r="AO214" s="239"/>
      <c r="AP214" s="240"/>
    </row>
    <row r="215" spans="1:42" x14ac:dyDescent="0.25">
      <c r="A215" s="47" t="str">
        <f>IF(E215="","",IF(ISNA(VLOOKUP($E215,'A-1 Site Habitat Baseline'!$D$1:$O$258,2,FALSE)),"",(VLOOKUP($E215,'A-1 Site Habitat Baseline'!$D$1:$O$258,2,FALSE))))</f>
        <v/>
      </c>
      <c r="B215" s="47" t="str">
        <f>IF(E215="","",IF(ISNA(VLOOKUP($E215,'A-1 Site Habitat Baseline'!$D$1:$O$258,3,FALSE)),"",(VLOOKUP($E215,'A-1 Site Habitat Baseline'!$D$1:$O$258,3,FALSE))))</f>
        <v/>
      </c>
      <c r="C215" s="47" t="str">
        <f>IFERROR(INDEX('G-8 Condition Look up'!$I$4:$I$130,MATCH(S215,'G-8 Condition Look up'!$A$4:$A$130,0)),"")</f>
        <v/>
      </c>
      <c r="E215" s="531" t="str">
        <f>'A-1 Site Habitat Baseline'!AL214</f>
        <v/>
      </c>
      <c r="F215" s="520" t="str">
        <f>IF(E215="","",IF(ISNA(VLOOKUP($E215,'A-1 Site Habitat Baseline'!$D$1:$O$258,4,FALSE)),"",(VLOOKUP($E215,'A-1 Site Habitat Baseline'!$D$1:$O$258,4,FALSE))))</f>
        <v/>
      </c>
      <c r="G215" s="520" t="str">
        <f>IF(E215="","",IF(ISNA(VLOOKUP($E215,'A-1 Site Habitat Baseline'!$D$1:$O$258,5,FALSE)),"",(VLOOKUP($E215,'A-1 Site Habitat Baseline'!$D$1:$O$258,5,FALSE))))</f>
        <v/>
      </c>
      <c r="H215" s="520" t="str">
        <f>IF(E215="","",IF(ISNA(VLOOKUP($E215,'A-1 Site Habitat Baseline'!$D$1:$O$258,6,FALSE)),"",(VLOOKUP($E215,'A-1 Site Habitat Baseline'!$D$1:$O$258,6,FALSE))))</f>
        <v/>
      </c>
      <c r="I215" s="520" t="str">
        <f>IF(E215="","",IF(ISNA(VLOOKUP($E215,'A-1 Site Habitat Baseline'!$D$1:$O$258,7,FALSE)),"",(VLOOKUP($E215,'A-1 Site Habitat Baseline'!$D$1:$O$258,7,FALSE))))</f>
        <v/>
      </c>
      <c r="J215" s="520" t="str">
        <f>IF(E215="","",IF(ISNA(VLOOKUP($E215,'A-1 Site Habitat Baseline'!$D$1:$O$258,8,FALSE)),"",(VLOOKUP($E215,'A-1 Site Habitat Baseline'!$D$1:$O$258,8,FALSE))))</f>
        <v/>
      </c>
      <c r="K215" s="520" t="str">
        <f>IF(E215="","",IF(ISNA(VLOOKUP($E215,'A-1 Site Habitat Baseline'!$D$1:$O$258,9,FALSE)),"",(VLOOKUP($E215,'A-1 Site Habitat Baseline'!$D$1:$O$258,9,FALSE))))</f>
        <v/>
      </c>
      <c r="L215" s="520" t="str">
        <f>IF(E215="","",IF(ISNA(VLOOKUP($E215,'A-1 Site Habitat Baseline'!$D$1:$O$258,11,FALSE)),"",(VLOOKUP($E215,'A-1 Site Habitat Baseline'!$D$1:$O$258,11,FALSE))))</f>
        <v/>
      </c>
      <c r="M215" s="520" t="str">
        <f>IF(E215="","",IF(ISNA(VLOOKUP($E215,'A-1 Site Habitat Baseline'!$D$1:$O$258,12,FALSE)),"",(VLOOKUP($E215,'A-1 Site Habitat Baseline'!$D$1:$O$258,12,FALSE))))</f>
        <v/>
      </c>
      <c r="N215" s="532" t="str">
        <f>IF(E215="","",IF(ISNA(VLOOKUP($E215,'A-1 Site Habitat Baseline'!$D$1:$X$258,14,FALSE)),"",(VLOOKUP($E215,'A-1 Site Habitat Baseline'!$D$1:$X$258,14,FALSE))))</f>
        <v/>
      </c>
      <c r="O215" s="524" t="str">
        <f>IF(E215="","",IF(ISNA(VLOOKUP($E215,'A-1 Site Habitat Baseline'!$D$1:$X$258,16,FALSE)),"",(VLOOKUP($E215,'A-1 Site Habitat Baseline'!$D$1:$X$258,13,FALSE))))</f>
        <v/>
      </c>
      <c r="P215" s="237" t="str">
        <f>IFERROR(INDEX('G-1 All Habitats'!$AG$3:$AG$15,MATCH(Q215,'G-1 All Habitats'!$AF$3:$AF$15,0)),"")</f>
        <v/>
      </c>
      <c r="Q215" s="238" t="str">
        <f t="shared" si="37"/>
        <v/>
      </c>
      <c r="R215" s="238" t="str">
        <f t="shared" si="38"/>
        <v/>
      </c>
      <c r="S215" s="392" t="str">
        <f>IFERROR(INDEX('G-1 All Habitats'!$B$3:$B$129,MATCH(R215,'G-1 All Habitats'!$A$3:$A$129,0)),"")</f>
        <v/>
      </c>
      <c r="T215" s="498" t="str">
        <f t="shared" si="39"/>
        <v/>
      </c>
      <c r="U215" s="499" t="str">
        <f t="shared" si="40"/>
        <v/>
      </c>
      <c r="V215" s="537" t="str">
        <f t="shared" si="34"/>
        <v/>
      </c>
      <c r="W215" s="520" t="str">
        <f>IF(S215="","",VLOOKUP(S215,'G-1 All Habitats'!$B$2:$M$129,10,FALSE))</f>
        <v/>
      </c>
      <c r="X215" s="520" t="str">
        <f>IFERROR(VLOOKUP(W215,'G-1 All Habitats'!$V$3:$W$7,2,FALSE),"")</f>
        <v/>
      </c>
      <c r="Y215" s="79"/>
      <c r="Z215" s="524" t="str">
        <f>IFERROR(INDEX('G-8 Condition Look up'!$A$3:$H$130,MATCH(S215,'G-8 Condition Look up'!$A$3:$A$130,0),MATCH(Y215,'G-8 Condition Look up'!$A$3:$H$3,0)),"")</f>
        <v/>
      </c>
      <c r="AA215" s="71"/>
      <c r="AB215" s="520" t="str">
        <f>IF(AA215="","",IF(VLOOKUP(AA215,'G-3 Multipliers'!$L$3:$N$6,2,FALSE)=0,"Spatial Data Missing ⚠",VLOOKUP(AA215,'G-3 Multipliers'!$L$3:$N$6,2,FALSE)))</f>
        <v/>
      </c>
      <c r="AC215" s="524" t="str">
        <f>IF(AA215="","",IF(VLOOKUP(AA215,'G-3 Multipliers'!$L$3:$N$6,3,FALSE)=0,"Spatial Data Missing ⚠",VLOOKUP(AA215,'G-3 Multipliers'!$L$3:$N$6,3,FALSE)))</f>
        <v/>
      </c>
      <c r="AD215" s="539" t="str">
        <f t="shared" si="35"/>
        <v/>
      </c>
      <c r="AE215" s="82"/>
      <c r="AF215" s="82"/>
      <c r="AG215" s="507" t="str">
        <f t="shared" si="41"/>
        <v/>
      </c>
      <c r="AH215" s="521" t="str">
        <f t="shared" si="42"/>
        <v/>
      </c>
      <c r="AI215" s="522" t="str">
        <f>IF(AH215="Check Data","Check Data",IFERROR(VLOOKUP(AH215,'G-4 Temporal multipliers'!$A$4:$C$36,3,FALSE),""))</f>
        <v/>
      </c>
      <c r="AJ215" s="498" t="str">
        <f>IF(S215="","",VLOOKUP(S215,'G-3 Multipliers'!$A$2:$E$129,4,FALSE))</f>
        <v/>
      </c>
      <c r="AK215" s="507" t="str">
        <f t="shared" si="43"/>
        <v/>
      </c>
      <c r="AL215" s="507" t="str">
        <f t="shared" si="44"/>
        <v/>
      </c>
      <c r="AM215" s="540" t="str">
        <f>IFERROR(IF(F215="","",IF(AH215="Check Data ⚠","Check Data ⚠",VLOOKUP(AL215, 'G-3 Multipliers'!$P$2:$Q$6,2,FALSE))),"")</f>
        <v/>
      </c>
      <c r="AN215" s="513" t="str">
        <f t="shared" si="36"/>
        <v/>
      </c>
      <c r="AO215" s="239"/>
      <c r="AP215" s="240"/>
    </row>
    <row r="216" spans="1:42" x14ac:dyDescent="0.25">
      <c r="A216" s="47" t="str">
        <f>IF(E216="","",IF(ISNA(VLOOKUP($E216,'A-1 Site Habitat Baseline'!$D$1:$O$258,2,FALSE)),"",(VLOOKUP($E216,'A-1 Site Habitat Baseline'!$D$1:$O$258,2,FALSE))))</f>
        <v/>
      </c>
      <c r="B216" s="47" t="str">
        <f>IF(E216="","",IF(ISNA(VLOOKUP($E216,'A-1 Site Habitat Baseline'!$D$1:$O$258,3,FALSE)),"",(VLOOKUP($E216,'A-1 Site Habitat Baseline'!$D$1:$O$258,3,FALSE))))</f>
        <v/>
      </c>
      <c r="C216" s="47" t="str">
        <f>IFERROR(INDEX('G-8 Condition Look up'!$I$4:$I$130,MATCH(S216,'G-8 Condition Look up'!$A$4:$A$130,0)),"")</f>
        <v/>
      </c>
      <c r="E216" s="531" t="str">
        <f>'A-1 Site Habitat Baseline'!AL215</f>
        <v/>
      </c>
      <c r="F216" s="520" t="str">
        <f>IF(E216="","",IF(ISNA(VLOOKUP($E216,'A-1 Site Habitat Baseline'!$D$1:$O$258,4,FALSE)),"",(VLOOKUP($E216,'A-1 Site Habitat Baseline'!$D$1:$O$258,4,FALSE))))</f>
        <v/>
      </c>
      <c r="G216" s="520" t="str">
        <f>IF(E216="","",IF(ISNA(VLOOKUP($E216,'A-1 Site Habitat Baseline'!$D$1:$O$258,5,FALSE)),"",(VLOOKUP($E216,'A-1 Site Habitat Baseline'!$D$1:$O$258,5,FALSE))))</f>
        <v/>
      </c>
      <c r="H216" s="520" t="str">
        <f>IF(E216="","",IF(ISNA(VLOOKUP($E216,'A-1 Site Habitat Baseline'!$D$1:$O$258,6,FALSE)),"",(VLOOKUP($E216,'A-1 Site Habitat Baseline'!$D$1:$O$258,6,FALSE))))</f>
        <v/>
      </c>
      <c r="I216" s="520" t="str">
        <f>IF(E216="","",IF(ISNA(VLOOKUP($E216,'A-1 Site Habitat Baseline'!$D$1:$O$258,7,FALSE)),"",(VLOOKUP($E216,'A-1 Site Habitat Baseline'!$D$1:$O$258,7,FALSE))))</f>
        <v/>
      </c>
      <c r="J216" s="520" t="str">
        <f>IF(E216="","",IF(ISNA(VLOOKUP($E216,'A-1 Site Habitat Baseline'!$D$1:$O$258,8,FALSE)),"",(VLOOKUP($E216,'A-1 Site Habitat Baseline'!$D$1:$O$258,8,FALSE))))</f>
        <v/>
      </c>
      <c r="K216" s="520" t="str">
        <f>IF(E216="","",IF(ISNA(VLOOKUP($E216,'A-1 Site Habitat Baseline'!$D$1:$O$258,9,FALSE)),"",(VLOOKUP($E216,'A-1 Site Habitat Baseline'!$D$1:$O$258,9,FALSE))))</f>
        <v/>
      </c>
      <c r="L216" s="520" t="str">
        <f>IF(E216="","",IF(ISNA(VLOOKUP($E216,'A-1 Site Habitat Baseline'!$D$1:$O$258,11,FALSE)),"",(VLOOKUP($E216,'A-1 Site Habitat Baseline'!$D$1:$O$258,11,FALSE))))</f>
        <v/>
      </c>
      <c r="M216" s="520" t="str">
        <f>IF(E216="","",IF(ISNA(VLOOKUP($E216,'A-1 Site Habitat Baseline'!$D$1:$O$258,12,FALSE)),"",(VLOOKUP($E216,'A-1 Site Habitat Baseline'!$D$1:$O$258,12,FALSE))))</f>
        <v/>
      </c>
      <c r="N216" s="532" t="str">
        <f>IF(E216="","",IF(ISNA(VLOOKUP($E216,'A-1 Site Habitat Baseline'!$D$1:$X$258,14,FALSE)),"",(VLOOKUP($E216,'A-1 Site Habitat Baseline'!$D$1:$X$258,14,FALSE))))</f>
        <v/>
      </c>
      <c r="O216" s="524" t="str">
        <f>IF(E216="","",IF(ISNA(VLOOKUP($E216,'A-1 Site Habitat Baseline'!$D$1:$X$258,16,FALSE)),"",(VLOOKUP($E216,'A-1 Site Habitat Baseline'!$D$1:$X$258,13,FALSE))))</f>
        <v/>
      </c>
      <c r="P216" s="237" t="str">
        <f>IFERROR(INDEX('G-1 All Habitats'!$AG$3:$AG$15,MATCH(Q216,'G-1 All Habitats'!$AF$3:$AF$15,0)),"")</f>
        <v/>
      </c>
      <c r="Q216" s="238" t="str">
        <f t="shared" si="37"/>
        <v/>
      </c>
      <c r="R216" s="238" t="str">
        <f t="shared" si="38"/>
        <v/>
      </c>
      <c r="S216" s="392" t="str">
        <f>IFERROR(INDEX('G-1 All Habitats'!$B$3:$B$129,MATCH(R216,'G-1 All Habitats'!$A$3:$A$129,0)),"")</f>
        <v/>
      </c>
      <c r="T216" s="498" t="str">
        <f t="shared" si="39"/>
        <v/>
      </c>
      <c r="U216" s="499" t="str">
        <f t="shared" si="40"/>
        <v/>
      </c>
      <c r="V216" s="537" t="str">
        <f t="shared" si="34"/>
        <v/>
      </c>
      <c r="W216" s="520" t="str">
        <f>IF(S216="","",VLOOKUP(S216,'G-1 All Habitats'!$B$2:$M$129,10,FALSE))</f>
        <v/>
      </c>
      <c r="X216" s="520" t="str">
        <f>IFERROR(VLOOKUP(W216,'G-1 All Habitats'!$V$3:$W$7,2,FALSE),"")</f>
        <v/>
      </c>
      <c r="Y216" s="79"/>
      <c r="Z216" s="524" t="str">
        <f>IFERROR(INDEX('G-8 Condition Look up'!$A$3:$H$130,MATCH(S216,'G-8 Condition Look up'!$A$3:$A$130,0),MATCH(Y216,'G-8 Condition Look up'!$A$3:$H$3,0)),"")</f>
        <v/>
      </c>
      <c r="AA216" s="71"/>
      <c r="AB216" s="520" t="str">
        <f>IF(AA216="","",IF(VLOOKUP(AA216,'G-3 Multipliers'!$L$3:$N$6,2,FALSE)=0,"Spatial Data Missing ⚠",VLOOKUP(AA216,'G-3 Multipliers'!$L$3:$N$6,2,FALSE)))</f>
        <v/>
      </c>
      <c r="AC216" s="524" t="str">
        <f>IF(AA216="","",IF(VLOOKUP(AA216,'G-3 Multipliers'!$L$3:$N$6,3,FALSE)=0,"Spatial Data Missing ⚠",VLOOKUP(AA216,'G-3 Multipliers'!$L$3:$N$6,3,FALSE)))</f>
        <v/>
      </c>
      <c r="AD216" s="539" t="str">
        <f t="shared" si="35"/>
        <v/>
      </c>
      <c r="AE216" s="82"/>
      <c r="AF216" s="82"/>
      <c r="AG216" s="507" t="str">
        <f t="shared" si="41"/>
        <v/>
      </c>
      <c r="AH216" s="521" t="str">
        <f t="shared" si="42"/>
        <v/>
      </c>
      <c r="AI216" s="522" t="str">
        <f>IF(AH216="Check Data","Check Data",IFERROR(VLOOKUP(AH216,'G-4 Temporal multipliers'!$A$4:$C$36,3,FALSE),""))</f>
        <v/>
      </c>
      <c r="AJ216" s="498" t="str">
        <f>IF(S216="","",VLOOKUP(S216,'G-3 Multipliers'!$A$2:$E$129,4,FALSE))</f>
        <v/>
      </c>
      <c r="AK216" s="507" t="str">
        <f t="shared" si="43"/>
        <v/>
      </c>
      <c r="AL216" s="507" t="str">
        <f t="shared" si="44"/>
        <v/>
      </c>
      <c r="AM216" s="540" t="str">
        <f>IFERROR(IF(F216="","",IF(AH216="Check Data ⚠","Check Data ⚠",VLOOKUP(AL216, 'G-3 Multipliers'!$P$2:$Q$6,2,FALSE))),"")</f>
        <v/>
      </c>
      <c r="AN216" s="513" t="str">
        <f t="shared" si="36"/>
        <v/>
      </c>
      <c r="AO216" s="239"/>
      <c r="AP216" s="240"/>
    </row>
    <row r="217" spans="1:42" x14ac:dyDescent="0.25">
      <c r="A217" s="47" t="str">
        <f>IF(E217="","",IF(ISNA(VLOOKUP($E217,'A-1 Site Habitat Baseline'!$D$1:$O$258,2,FALSE)),"",(VLOOKUP($E217,'A-1 Site Habitat Baseline'!$D$1:$O$258,2,FALSE))))</f>
        <v/>
      </c>
      <c r="B217" s="47" t="str">
        <f>IF(E217="","",IF(ISNA(VLOOKUP($E217,'A-1 Site Habitat Baseline'!$D$1:$O$258,3,FALSE)),"",(VLOOKUP($E217,'A-1 Site Habitat Baseline'!$D$1:$O$258,3,FALSE))))</f>
        <v/>
      </c>
      <c r="C217" s="47" t="str">
        <f>IFERROR(INDEX('G-8 Condition Look up'!$I$4:$I$130,MATCH(S217,'G-8 Condition Look up'!$A$4:$A$130,0)),"")</f>
        <v/>
      </c>
      <c r="E217" s="531" t="str">
        <f>'A-1 Site Habitat Baseline'!AL216</f>
        <v/>
      </c>
      <c r="F217" s="520" t="str">
        <f>IF(E217="","",IF(ISNA(VLOOKUP($E217,'A-1 Site Habitat Baseline'!$D$1:$O$258,4,FALSE)),"",(VLOOKUP($E217,'A-1 Site Habitat Baseline'!$D$1:$O$258,4,FALSE))))</f>
        <v/>
      </c>
      <c r="G217" s="520" t="str">
        <f>IF(E217="","",IF(ISNA(VLOOKUP($E217,'A-1 Site Habitat Baseline'!$D$1:$O$258,5,FALSE)),"",(VLOOKUP($E217,'A-1 Site Habitat Baseline'!$D$1:$O$258,5,FALSE))))</f>
        <v/>
      </c>
      <c r="H217" s="520" t="str">
        <f>IF(E217="","",IF(ISNA(VLOOKUP($E217,'A-1 Site Habitat Baseline'!$D$1:$O$258,6,FALSE)),"",(VLOOKUP($E217,'A-1 Site Habitat Baseline'!$D$1:$O$258,6,FALSE))))</f>
        <v/>
      </c>
      <c r="I217" s="520" t="str">
        <f>IF(E217="","",IF(ISNA(VLOOKUP($E217,'A-1 Site Habitat Baseline'!$D$1:$O$258,7,FALSE)),"",(VLOOKUP($E217,'A-1 Site Habitat Baseline'!$D$1:$O$258,7,FALSE))))</f>
        <v/>
      </c>
      <c r="J217" s="520" t="str">
        <f>IF(E217="","",IF(ISNA(VLOOKUP($E217,'A-1 Site Habitat Baseline'!$D$1:$O$258,8,FALSE)),"",(VLOOKUP($E217,'A-1 Site Habitat Baseline'!$D$1:$O$258,8,FALSE))))</f>
        <v/>
      </c>
      <c r="K217" s="520" t="str">
        <f>IF(E217="","",IF(ISNA(VLOOKUP($E217,'A-1 Site Habitat Baseline'!$D$1:$O$258,9,FALSE)),"",(VLOOKUP($E217,'A-1 Site Habitat Baseline'!$D$1:$O$258,9,FALSE))))</f>
        <v/>
      </c>
      <c r="L217" s="520" t="str">
        <f>IF(E217="","",IF(ISNA(VLOOKUP($E217,'A-1 Site Habitat Baseline'!$D$1:$O$258,11,FALSE)),"",(VLOOKUP($E217,'A-1 Site Habitat Baseline'!$D$1:$O$258,11,FALSE))))</f>
        <v/>
      </c>
      <c r="M217" s="520" t="str">
        <f>IF(E217="","",IF(ISNA(VLOOKUP($E217,'A-1 Site Habitat Baseline'!$D$1:$O$258,12,FALSE)),"",(VLOOKUP($E217,'A-1 Site Habitat Baseline'!$D$1:$O$258,12,FALSE))))</f>
        <v/>
      </c>
      <c r="N217" s="532" t="str">
        <f>IF(E217="","",IF(ISNA(VLOOKUP($E217,'A-1 Site Habitat Baseline'!$D$1:$X$258,14,FALSE)),"",(VLOOKUP($E217,'A-1 Site Habitat Baseline'!$D$1:$X$258,14,FALSE))))</f>
        <v/>
      </c>
      <c r="O217" s="524" t="str">
        <f>IF(E217="","",IF(ISNA(VLOOKUP($E217,'A-1 Site Habitat Baseline'!$D$1:$X$258,16,FALSE)),"",(VLOOKUP($E217,'A-1 Site Habitat Baseline'!$D$1:$X$258,13,FALSE))))</f>
        <v/>
      </c>
      <c r="P217" s="237" t="str">
        <f>IFERROR(INDEX('G-1 All Habitats'!$AG$3:$AG$15,MATCH(Q217,'G-1 All Habitats'!$AF$3:$AF$15,0)),"")</f>
        <v/>
      </c>
      <c r="Q217" s="238" t="str">
        <f t="shared" si="37"/>
        <v/>
      </c>
      <c r="R217" s="238" t="str">
        <f t="shared" si="38"/>
        <v/>
      </c>
      <c r="S217" s="392" t="str">
        <f>IFERROR(INDEX('G-1 All Habitats'!$B$3:$B$129,MATCH(R217,'G-1 All Habitats'!$A$3:$A$129,0)),"")</f>
        <v/>
      </c>
      <c r="T217" s="498" t="str">
        <f t="shared" si="39"/>
        <v/>
      </c>
      <c r="U217" s="499" t="str">
        <f t="shared" si="40"/>
        <v/>
      </c>
      <c r="V217" s="537" t="str">
        <f t="shared" si="34"/>
        <v/>
      </c>
      <c r="W217" s="520" t="str">
        <f>IF(S217="","",VLOOKUP(S217,'G-1 All Habitats'!$B$2:$M$129,10,FALSE))</f>
        <v/>
      </c>
      <c r="X217" s="520" t="str">
        <f>IFERROR(VLOOKUP(W217,'G-1 All Habitats'!$V$3:$W$7,2,FALSE),"")</f>
        <v/>
      </c>
      <c r="Y217" s="79"/>
      <c r="Z217" s="524" t="str">
        <f>IFERROR(INDEX('G-8 Condition Look up'!$A$3:$H$130,MATCH(S217,'G-8 Condition Look up'!$A$3:$A$130,0),MATCH(Y217,'G-8 Condition Look up'!$A$3:$H$3,0)),"")</f>
        <v/>
      </c>
      <c r="AA217" s="71"/>
      <c r="AB217" s="520" t="str">
        <f>IF(AA217="","",IF(VLOOKUP(AA217,'G-3 Multipliers'!$L$3:$N$6,2,FALSE)=0,"Spatial Data Missing ⚠",VLOOKUP(AA217,'G-3 Multipliers'!$L$3:$N$6,2,FALSE)))</f>
        <v/>
      </c>
      <c r="AC217" s="524" t="str">
        <f>IF(AA217="","",IF(VLOOKUP(AA217,'G-3 Multipliers'!$L$3:$N$6,3,FALSE)=0,"Spatial Data Missing ⚠",VLOOKUP(AA217,'G-3 Multipliers'!$L$3:$N$6,3,FALSE)))</f>
        <v/>
      </c>
      <c r="AD217" s="539" t="str">
        <f t="shared" si="35"/>
        <v/>
      </c>
      <c r="AE217" s="82"/>
      <c r="AF217" s="82"/>
      <c r="AG217" s="507" t="str">
        <f t="shared" si="41"/>
        <v/>
      </c>
      <c r="AH217" s="521" t="str">
        <f t="shared" si="42"/>
        <v/>
      </c>
      <c r="AI217" s="522" t="str">
        <f>IF(AH217="Check Data","Check Data",IFERROR(VLOOKUP(AH217,'G-4 Temporal multipliers'!$A$4:$C$36,3,FALSE),""))</f>
        <v/>
      </c>
      <c r="AJ217" s="498" t="str">
        <f>IF(S217="","",VLOOKUP(S217,'G-3 Multipliers'!$A$2:$E$129,4,FALSE))</f>
        <v/>
      </c>
      <c r="AK217" s="507" t="str">
        <f t="shared" si="43"/>
        <v/>
      </c>
      <c r="AL217" s="507" t="str">
        <f t="shared" si="44"/>
        <v/>
      </c>
      <c r="AM217" s="540" t="str">
        <f>IFERROR(IF(F217="","",IF(AH217="Check Data ⚠","Check Data ⚠",VLOOKUP(AL217, 'G-3 Multipliers'!$P$2:$Q$6,2,FALSE))),"")</f>
        <v/>
      </c>
      <c r="AN217" s="513" t="str">
        <f t="shared" si="36"/>
        <v/>
      </c>
      <c r="AO217" s="239"/>
      <c r="AP217" s="240"/>
    </row>
    <row r="218" spans="1:42" x14ac:dyDescent="0.25">
      <c r="A218" s="47" t="str">
        <f>IF(E218="","",IF(ISNA(VLOOKUP($E218,'A-1 Site Habitat Baseline'!$D$1:$O$258,2,FALSE)),"",(VLOOKUP($E218,'A-1 Site Habitat Baseline'!$D$1:$O$258,2,FALSE))))</f>
        <v/>
      </c>
      <c r="B218" s="47" t="str">
        <f>IF(E218="","",IF(ISNA(VLOOKUP($E218,'A-1 Site Habitat Baseline'!$D$1:$O$258,3,FALSE)),"",(VLOOKUP($E218,'A-1 Site Habitat Baseline'!$D$1:$O$258,3,FALSE))))</f>
        <v/>
      </c>
      <c r="C218" s="47" t="str">
        <f>IFERROR(INDEX('G-8 Condition Look up'!$I$4:$I$130,MATCH(S218,'G-8 Condition Look up'!$A$4:$A$130,0)),"")</f>
        <v/>
      </c>
      <c r="E218" s="531" t="str">
        <f>'A-1 Site Habitat Baseline'!AL217</f>
        <v/>
      </c>
      <c r="F218" s="520" t="str">
        <f>IF(E218="","",IF(ISNA(VLOOKUP($E218,'A-1 Site Habitat Baseline'!$D$1:$O$258,4,FALSE)),"",(VLOOKUP($E218,'A-1 Site Habitat Baseline'!$D$1:$O$258,4,FALSE))))</f>
        <v/>
      </c>
      <c r="G218" s="520" t="str">
        <f>IF(E218="","",IF(ISNA(VLOOKUP($E218,'A-1 Site Habitat Baseline'!$D$1:$O$258,5,FALSE)),"",(VLOOKUP($E218,'A-1 Site Habitat Baseline'!$D$1:$O$258,5,FALSE))))</f>
        <v/>
      </c>
      <c r="H218" s="520" t="str">
        <f>IF(E218="","",IF(ISNA(VLOOKUP($E218,'A-1 Site Habitat Baseline'!$D$1:$O$258,6,FALSE)),"",(VLOOKUP($E218,'A-1 Site Habitat Baseline'!$D$1:$O$258,6,FALSE))))</f>
        <v/>
      </c>
      <c r="I218" s="520" t="str">
        <f>IF(E218="","",IF(ISNA(VLOOKUP($E218,'A-1 Site Habitat Baseline'!$D$1:$O$258,7,FALSE)),"",(VLOOKUP($E218,'A-1 Site Habitat Baseline'!$D$1:$O$258,7,FALSE))))</f>
        <v/>
      </c>
      <c r="J218" s="520" t="str">
        <f>IF(E218="","",IF(ISNA(VLOOKUP($E218,'A-1 Site Habitat Baseline'!$D$1:$O$258,8,FALSE)),"",(VLOOKUP($E218,'A-1 Site Habitat Baseline'!$D$1:$O$258,8,FALSE))))</f>
        <v/>
      </c>
      <c r="K218" s="520" t="str">
        <f>IF(E218="","",IF(ISNA(VLOOKUP($E218,'A-1 Site Habitat Baseline'!$D$1:$O$258,9,FALSE)),"",(VLOOKUP($E218,'A-1 Site Habitat Baseline'!$D$1:$O$258,9,FALSE))))</f>
        <v/>
      </c>
      <c r="L218" s="520" t="str">
        <f>IF(E218="","",IF(ISNA(VLOOKUP($E218,'A-1 Site Habitat Baseline'!$D$1:$O$258,11,FALSE)),"",(VLOOKUP($E218,'A-1 Site Habitat Baseline'!$D$1:$O$258,11,FALSE))))</f>
        <v/>
      </c>
      <c r="M218" s="520" t="str">
        <f>IF(E218="","",IF(ISNA(VLOOKUP($E218,'A-1 Site Habitat Baseline'!$D$1:$O$258,12,FALSE)),"",(VLOOKUP($E218,'A-1 Site Habitat Baseline'!$D$1:$O$258,12,FALSE))))</f>
        <v/>
      </c>
      <c r="N218" s="532" t="str">
        <f>IF(E218="","",IF(ISNA(VLOOKUP($E218,'A-1 Site Habitat Baseline'!$D$1:$X$258,14,FALSE)),"",(VLOOKUP($E218,'A-1 Site Habitat Baseline'!$D$1:$X$258,14,FALSE))))</f>
        <v/>
      </c>
      <c r="O218" s="524" t="str">
        <f>IF(E218="","",IF(ISNA(VLOOKUP($E218,'A-1 Site Habitat Baseline'!$D$1:$X$258,16,FALSE)),"",(VLOOKUP($E218,'A-1 Site Habitat Baseline'!$D$1:$X$258,13,FALSE))))</f>
        <v/>
      </c>
      <c r="P218" s="237" t="str">
        <f>IFERROR(INDEX('G-1 All Habitats'!$AG$3:$AG$15,MATCH(Q218,'G-1 All Habitats'!$AF$3:$AF$15,0)),"")</f>
        <v/>
      </c>
      <c r="Q218" s="238" t="str">
        <f t="shared" si="37"/>
        <v/>
      </c>
      <c r="R218" s="238" t="str">
        <f t="shared" si="38"/>
        <v/>
      </c>
      <c r="S218" s="392" t="str">
        <f>IFERROR(INDEX('G-1 All Habitats'!$B$3:$B$129,MATCH(R218,'G-1 All Habitats'!$A$3:$A$129,0)),"")</f>
        <v/>
      </c>
      <c r="T218" s="498" t="str">
        <f t="shared" si="39"/>
        <v/>
      </c>
      <c r="U218" s="499" t="str">
        <f t="shared" si="40"/>
        <v/>
      </c>
      <c r="V218" s="537" t="str">
        <f t="shared" si="34"/>
        <v/>
      </c>
      <c r="W218" s="520" t="str">
        <f>IF(S218="","",VLOOKUP(S218,'G-1 All Habitats'!$B$2:$M$129,10,FALSE))</f>
        <v/>
      </c>
      <c r="X218" s="520" t="str">
        <f>IFERROR(VLOOKUP(W218,'G-1 All Habitats'!$V$3:$W$7,2,FALSE),"")</f>
        <v/>
      </c>
      <c r="Y218" s="79"/>
      <c r="Z218" s="524" t="str">
        <f>IFERROR(INDEX('G-8 Condition Look up'!$A$3:$H$130,MATCH(S218,'G-8 Condition Look up'!$A$3:$A$130,0),MATCH(Y218,'G-8 Condition Look up'!$A$3:$H$3,0)),"")</f>
        <v/>
      </c>
      <c r="AA218" s="71"/>
      <c r="AB218" s="520" t="str">
        <f>IF(AA218="","",IF(VLOOKUP(AA218,'G-3 Multipliers'!$L$3:$N$6,2,FALSE)=0,"Spatial Data Missing ⚠",VLOOKUP(AA218,'G-3 Multipliers'!$L$3:$N$6,2,FALSE)))</f>
        <v/>
      </c>
      <c r="AC218" s="524" t="str">
        <f>IF(AA218="","",IF(VLOOKUP(AA218,'G-3 Multipliers'!$L$3:$N$6,3,FALSE)=0,"Spatial Data Missing ⚠",VLOOKUP(AA218,'G-3 Multipliers'!$L$3:$N$6,3,FALSE)))</f>
        <v/>
      </c>
      <c r="AD218" s="539" t="str">
        <f t="shared" si="35"/>
        <v/>
      </c>
      <c r="AE218" s="82"/>
      <c r="AF218" s="82"/>
      <c r="AG218" s="507" t="str">
        <f t="shared" si="41"/>
        <v/>
      </c>
      <c r="AH218" s="521" t="str">
        <f t="shared" si="42"/>
        <v/>
      </c>
      <c r="AI218" s="522" t="str">
        <f>IF(AH218="Check Data","Check Data",IFERROR(VLOOKUP(AH218,'G-4 Temporal multipliers'!$A$4:$C$36,3,FALSE),""))</f>
        <v/>
      </c>
      <c r="AJ218" s="498" t="str">
        <f>IF(S218="","",VLOOKUP(S218,'G-3 Multipliers'!$A$2:$E$129,4,FALSE))</f>
        <v/>
      </c>
      <c r="AK218" s="507" t="str">
        <f t="shared" si="43"/>
        <v/>
      </c>
      <c r="AL218" s="507" t="str">
        <f t="shared" si="44"/>
        <v/>
      </c>
      <c r="AM218" s="540" t="str">
        <f>IFERROR(IF(F218="","",IF(AH218="Check Data ⚠","Check Data ⚠",VLOOKUP(AL218, 'G-3 Multipliers'!$P$2:$Q$6,2,FALSE))),"")</f>
        <v/>
      </c>
      <c r="AN218" s="513" t="str">
        <f t="shared" si="36"/>
        <v/>
      </c>
      <c r="AO218" s="239"/>
      <c r="AP218" s="240"/>
    </row>
    <row r="219" spans="1:42" x14ac:dyDescent="0.25">
      <c r="A219" s="47" t="str">
        <f>IF(E219="","",IF(ISNA(VLOOKUP($E219,'A-1 Site Habitat Baseline'!$D$1:$O$258,2,FALSE)),"",(VLOOKUP($E219,'A-1 Site Habitat Baseline'!$D$1:$O$258,2,FALSE))))</f>
        <v/>
      </c>
      <c r="B219" s="47" t="str">
        <f>IF(E219="","",IF(ISNA(VLOOKUP($E219,'A-1 Site Habitat Baseline'!$D$1:$O$258,3,FALSE)),"",(VLOOKUP($E219,'A-1 Site Habitat Baseline'!$D$1:$O$258,3,FALSE))))</f>
        <v/>
      </c>
      <c r="C219" s="47" t="str">
        <f>IFERROR(INDEX('G-8 Condition Look up'!$I$4:$I$130,MATCH(S219,'G-8 Condition Look up'!$A$4:$A$130,0)),"")</f>
        <v/>
      </c>
      <c r="E219" s="531" t="str">
        <f>'A-1 Site Habitat Baseline'!AL218</f>
        <v/>
      </c>
      <c r="F219" s="520" t="str">
        <f>IF(E219="","",IF(ISNA(VLOOKUP($E219,'A-1 Site Habitat Baseline'!$D$1:$O$258,4,FALSE)),"",(VLOOKUP($E219,'A-1 Site Habitat Baseline'!$D$1:$O$258,4,FALSE))))</f>
        <v/>
      </c>
      <c r="G219" s="520" t="str">
        <f>IF(E219="","",IF(ISNA(VLOOKUP($E219,'A-1 Site Habitat Baseline'!$D$1:$O$258,5,FALSE)),"",(VLOOKUP($E219,'A-1 Site Habitat Baseline'!$D$1:$O$258,5,FALSE))))</f>
        <v/>
      </c>
      <c r="H219" s="520" t="str">
        <f>IF(E219="","",IF(ISNA(VLOOKUP($E219,'A-1 Site Habitat Baseline'!$D$1:$O$258,6,FALSE)),"",(VLOOKUP($E219,'A-1 Site Habitat Baseline'!$D$1:$O$258,6,FALSE))))</f>
        <v/>
      </c>
      <c r="I219" s="520" t="str">
        <f>IF(E219="","",IF(ISNA(VLOOKUP($E219,'A-1 Site Habitat Baseline'!$D$1:$O$258,7,FALSE)),"",(VLOOKUP($E219,'A-1 Site Habitat Baseline'!$D$1:$O$258,7,FALSE))))</f>
        <v/>
      </c>
      <c r="J219" s="520" t="str">
        <f>IF(E219="","",IF(ISNA(VLOOKUP($E219,'A-1 Site Habitat Baseline'!$D$1:$O$258,8,FALSE)),"",(VLOOKUP($E219,'A-1 Site Habitat Baseline'!$D$1:$O$258,8,FALSE))))</f>
        <v/>
      </c>
      <c r="K219" s="520" t="str">
        <f>IF(E219="","",IF(ISNA(VLOOKUP($E219,'A-1 Site Habitat Baseline'!$D$1:$O$258,9,FALSE)),"",(VLOOKUP($E219,'A-1 Site Habitat Baseline'!$D$1:$O$258,9,FALSE))))</f>
        <v/>
      </c>
      <c r="L219" s="520" t="str">
        <f>IF(E219="","",IF(ISNA(VLOOKUP($E219,'A-1 Site Habitat Baseline'!$D$1:$O$258,11,FALSE)),"",(VLOOKUP($E219,'A-1 Site Habitat Baseline'!$D$1:$O$258,11,FALSE))))</f>
        <v/>
      </c>
      <c r="M219" s="520" t="str">
        <f>IF(E219="","",IF(ISNA(VLOOKUP($E219,'A-1 Site Habitat Baseline'!$D$1:$O$258,12,FALSE)),"",(VLOOKUP($E219,'A-1 Site Habitat Baseline'!$D$1:$O$258,12,FALSE))))</f>
        <v/>
      </c>
      <c r="N219" s="532" t="str">
        <f>IF(E219="","",IF(ISNA(VLOOKUP($E219,'A-1 Site Habitat Baseline'!$D$1:$X$258,14,FALSE)),"",(VLOOKUP($E219,'A-1 Site Habitat Baseline'!$D$1:$X$258,14,FALSE))))</f>
        <v/>
      </c>
      <c r="O219" s="524" t="str">
        <f>IF(E219="","",IF(ISNA(VLOOKUP($E219,'A-1 Site Habitat Baseline'!$D$1:$X$258,16,FALSE)),"",(VLOOKUP($E219,'A-1 Site Habitat Baseline'!$D$1:$X$258,13,FALSE))))</f>
        <v/>
      </c>
      <c r="P219" s="237" t="str">
        <f>IFERROR(INDEX('G-1 All Habitats'!$AG$3:$AG$15,MATCH(Q219,'G-1 All Habitats'!$AF$3:$AF$15,0)),"")</f>
        <v/>
      </c>
      <c r="Q219" s="238" t="str">
        <f t="shared" si="37"/>
        <v/>
      </c>
      <c r="R219" s="238" t="str">
        <f t="shared" si="38"/>
        <v/>
      </c>
      <c r="S219" s="392" t="str">
        <f>IFERROR(INDEX('G-1 All Habitats'!$B$3:$B$129,MATCH(R219,'G-1 All Habitats'!$A$3:$A$129,0)),"")</f>
        <v/>
      </c>
      <c r="T219" s="498" t="str">
        <f t="shared" si="39"/>
        <v/>
      </c>
      <c r="U219" s="499" t="str">
        <f t="shared" si="40"/>
        <v/>
      </c>
      <c r="V219" s="537" t="str">
        <f t="shared" si="34"/>
        <v/>
      </c>
      <c r="W219" s="520" t="str">
        <f>IF(S219="","",VLOOKUP(S219,'G-1 All Habitats'!$B$2:$M$129,10,FALSE))</f>
        <v/>
      </c>
      <c r="X219" s="520" t="str">
        <f>IFERROR(VLOOKUP(W219,'G-1 All Habitats'!$V$3:$W$7,2,FALSE),"")</f>
        <v/>
      </c>
      <c r="Y219" s="79"/>
      <c r="Z219" s="524" t="str">
        <f>IFERROR(INDEX('G-8 Condition Look up'!$A$3:$H$130,MATCH(S219,'G-8 Condition Look up'!$A$3:$A$130,0),MATCH(Y219,'G-8 Condition Look up'!$A$3:$H$3,0)),"")</f>
        <v/>
      </c>
      <c r="AA219" s="71"/>
      <c r="AB219" s="520" t="str">
        <f>IF(AA219="","",IF(VLOOKUP(AA219,'G-3 Multipliers'!$L$3:$N$6,2,FALSE)=0,"Spatial Data Missing ⚠",VLOOKUP(AA219,'G-3 Multipliers'!$L$3:$N$6,2,FALSE)))</f>
        <v/>
      </c>
      <c r="AC219" s="524" t="str">
        <f>IF(AA219="","",IF(VLOOKUP(AA219,'G-3 Multipliers'!$L$3:$N$6,3,FALSE)=0,"Spatial Data Missing ⚠",VLOOKUP(AA219,'G-3 Multipliers'!$L$3:$N$6,3,FALSE)))</f>
        <v/>
      </c>
      <c r="AD219" s="539" t="str">
        <f t="shared" si="35"/>
        <v/>
      </c>
      <c r="AE219" s="82"/>
      <c r="AF219" s="82"/>
      <c r="AG219" s="507" t="str">
        <f t="shared" si="41"/>
        <v/>
      </c>
      <c r="AH219" s="521" t="str">
        <f t="shared" si="42"/>
        <v/>
      </c>
      <c r="AI219" s="522" t="str">
        <f>IF(AH219="Check Data","Check Data",IFERROR(VLOOKUP(AH219,'G-4 Temporal multipliers'!$A$4:$C$36,3,FALSE),""))</f>
        <v/>
      </c>
      <c r="AJ219" s="498" t="str">
        <f>IF(S219="","",VLOOKUP(S219,'G-3 Multipliers'!$A$2:$E$129,4,FALSE))</f>
        <v/>
      </c>
      <c r="AK219" s="507" t="str">
        <f t="shared" si="43"/>
        <v/>
      </c>
      <c r="AL219" s="507" t="str">
        <f t="shared" si="44"/>
        <v/>
      </c>
      <c r="AM219" s="540" t="str">
        <f>IFERROR(IF(F219="","",IF(AH219="Check Data ⚠","Check Data ⚠",VLOOKUP(AL219, 'G-3 Multipliers'!$P$2:$Q$6,2,FALSE))),"")</f>
        <v/>
      </c>
      <c r="AN219" s="513" t="str">
        <f t="shared" si="36"/>
        <v/>
      </c>
      <c r="AO219" s="239"/>
      <c r="AP219" s="240"/>
    </row>
    <row r="220" spans="1:42" x14ac:dyDescent="0.25">
      <c r="A220" s="47" t="str">
        <f>IF(E220="","",IF(ISNA(VLOOKUP($E220,'A-1 Site Habitat Baseline'!$D$1:$O$258,2,FALSE)),"",(VLOOKUP($E220,'A-1 Site Habitat Baseline'!$D$1:$O$258,2,FALSE))))</f>
        <v/>
      </c>
      <c r="B220" s="47" t="str">
        <f>IF(E220="","",IF(ISNA(VLOOKUP($E220,'A-1 Site Habitat Baseline'!$D$1:$O$258,3,FALSE)),"",(VLOOKUP($E220,'A-1 Site Habitat Baseline'!$D$1:$O$258,3,FALSE))))</f>
        <v/>
      </c>
      <c r="C220" s="47" t="str">
        <f>IFERROR(INDEX('G-8 Condition Look up'!$I$4:$I$130,MATCH(S220,'G-8 Condition Look up'!$A$4:$A$130,0)),"")</f>
        <v/>
      </c>
      <c r="E220" s="531" t="str">
        <f>'A-1 Site Habitat Baseline'!AL219</f>
        <v/>
      </c>
      <c r="F220" s="520" t="str">
        <f>IF(E220="","",IF(ISNA(VLOOKUP($E220,'A-1 Site Habitat Baseline'!$D$1:$O$258,4,FALSE)),"",(VLOOKUP($E220,'A-1 Site Habitat Baseline'!$D$1:$O$258,4,FALSE))))</f>
        <v/>
      </c>
      <c r="G220" s="520" t="str">
        <f>IF(E220="","",IF(ISNA(VLOOKUP($E220,'A-1 Site Habitat Baseline'!$D$1:$O$258,5,FALSE)),"",(VLOOKUP($E220,'A-1 Site Habitat Baseline'!$D$1:$O$258,5,FALSE))))</f>
        <v/>
      </c>
      <c r="H220" s="520" t="str">
        <f>IF(E220="","",IF(ISNA(VLOOKUP($E220,'A-1 Site Habitat Baseline'!$D$1:$O$258,6,FALSE)),"",(VLOOKUP($E220,'A-1 Site Habitat Baseline'!$D$1:$O$258,6,FALSE))))</f>
        <v/>
      </c>
      <c r="I220" s="520" t="str">
        <f>IF(E220="","",IF(ISNA(VLOOKUP($E220,'A-1 Site Habitat Baseline'!$D$1:$O$258,7,FALSE)),"",(VLOOKUP($E220,'A-1 Site Habitat Baseline'!$D$1:$O$258,7,FALSE))))</f>
        <v/>
      </c>
      <c r="J220" s="520" t="str">
        <f>IF(E220="","",IF(ISNA(VLOOKUP($E220,'A-1 Site Habitat Baseline'!$D$1:$O$258,8,FALSE)),"",(VLOOKUP($E220,'A-1 Site Habitat Baseline'!$D$1:$O$258,8,FALSE))))</f>
        <v/>
      </c>
      <c r="K220" s="520" t="str">
        <f>IF(E220="","",IF(ISNA(VLOOKUP($E220,'A-1 Site Habitat Baseline'!$D$1:$O$258,9,FALSE)),"",(VLOOKUP($E220,'A-1 Site Habitat Baseline'!$D$1:$O$258,9,FALSE))))</f>
        <v/>
      </c>
      <c r="L220" s="520" t="str">
        <f>IF(E220="","",IF(ISNA(VLOOKUP($E220,'A-1 Site Habitat Baseline'!$D$1:$O$258,11,FALSE)),"",(VLOOKUP($E220,'A-1 Site Habitat Baseline'!$D$1:$O$258,11,FALSE))))</f>
        <v/>
      </c>
      <c r="M220" s="520" t="str">
        <f>IF(E220="","",IF(ISNA(VLOOKUP($E220,'A-1 Site Habitat Baseline'!$D$1:$O$258,12,FALSE)),"",(VLOOKUP($E220,'A-1 Site Habitat Baseline'!$D$1:$O$258,12,FALSE))))</f>
        <v/>
      </c>
      <c r="N220" s="532" t="str">
        <f>IF(E220="","",IF(ISNA(VLOOKUP($E220,'A-1 Site Habitat Baseline'!$D$1:$X$258,14,FALSE)),"",(VLOOKUP($E220,'A-1 Site Habitat Baseline'!$D$1:$X$258,14,FALSE))))</f>
        <v/>
      </c>
      <c r="O220" s="524" t="str">
        <f>IF(E220="","",IF(ISNA(VLOOKUP($E220,'A-1 Site Habitat Baseline'!$D$1:$X$258,16,FALSE)),"",(VLOOKUP($E220,'A-1 Site Habitat Baseline'!$D$1:$X$258,13,FALSE))))</f>
        <v/>
      </c>
      <c r="P220" s="237" t="str">
        <f>IFERROR(INDEX('G-1 All Habitats'!$AG$3:$AG$15,MATCH(Q220,'G-1 All Habitats'!$AF$3:$AF$15,0)),"")</f>
        <v/>
      </c>
      <c r="Q220" s="238" t="str">
        <f t="shared" si="37"/>
        <v/>
      </c>
      <c r="R220" s="238" t="str">
        <f t="shared" si="38"/>
        <v/>
      </c>
      <c r="S220" s="392" t="str">
        <f>IFERROR(INDEX('G-1 All Habitats'!$B$3:$B$129,MATCH(R220,'G-1 All Habitats'!$A$3:$A$129,0)),"")</f>
        <v/>
      </c>
      <c r="T220" s="498" t="str">
        <f t="shared" si="39"/>
        <v/>
      </c>
      <c r="U220" s="499" t="str">
        <f t="shared" si="40"/>
        <v/>
      </c>
      <c r="V220" s="537" t="str">
        <f t="shared" si="34"/>
        <v/>
      </c>
      <c r="W220" s="520" t="str">
        <f>IF(S220="","",VLOOKUP(S220,'G-1 All Habitats'!$B$2:$M$129,10,FALSE))</f>
        <v/>
      </c>
      <c r="X220" s="520" t="str">
        <f>IFERROR(VLOOKUP(W220,'G-1 All Habitats'!$V$3:$W$7,2,FALSE),"")</f>
        <v/>
      </c>
      <c r="Y220" s="79"/>
      <c r="Z220" s="524" t="str">
        <f>IFERROR(INDEX('G-8 Condition Look up'!$A$3:$H$130,MATCH(S220,'G-8 Condition Look up'!$A$3:$A$130,0),MATCH(Y220,'G-8 Condition Look up'!$A$3:$H$3,0)),"")</f>
        <v/>
      </c>
      <c r="AA220" s="71"/>
      <c r="AB220" s="520" t="str">
        <f>IF(AA220="","",IF(VLOOKUP(AA220,'G-3 Multipliers'!$L$3:$N$6,2,FALSE)=0,"Spatial Data Missing ⚠",VLOOKUP(AA220,'G-3 Multipliers'!$L$3:$N$6,2,FALSE)))</f>
        <v/>
      </c>
      <c r="AC220" s="524" t="str">
        <f>IF(AA220="","",IF(VLOOKUP(AA220,'G-3 Multipliers'!$L$3:$N$6,3,FALSE)=0,"Spatial Data Missing ⚠",VLOOKUP(AA220,'G-3 Multipliers'!$L$3:$N$6,3,FALSE)))</f>
        <v/>
      </c>
      <c r="AD220" s="539" t="str">
        <f t="shared" si="35"/>
        <v/>
      </c>
      <c r="AE220" s="82"/>
      <c r="AF220" s="82"/>
      <c r="AG220" s="507" t="str">
        <f t="shared" si="41"/>
        <v/>
      </c>
      <c r="AH220" s="521" t="str">
        <f t="shared" si="42"/>
        <v/>
      </c>
      <c r="AI220" s="522" t="str">
        <f>IF(AH220="Check Data","Check Data",IFERROR(VLOOKUP(AH220,'G-4 Temporal multipliers'!$A$4:$C$36,3,FALSE),""))</f>
        <v/>
      </c>
      <c r="AJ220" s="498" t="str">
        <f>IF(S220="","",VLOOKUP(S220,'G-3 Multipliers'!$A$2:$E$129,4,FALSE))</f>
        <v/>
      </c>
      <c r="AK220" s="507" t="str">
        <f t="shared" si="43"/>
        <v/>
      </c>
      <c r="AL220" s="507" t="str">
        <f t="shared" si="44"/>
        <v/>
      </c>
      <c r="AM220" s="540" t="str">
        <f>IFERROR(IF(F220="","",IF(AH220="Check Data ⚠","Check Data ⚠",VLOOKUP(AL220, 'G-3 Multipliers'!$P$2:$Q$6,2,FALSE))),"")</f>
        <v/>
      </c>
      <c r="AN220" s="513" t="str">
        <f t="shared" si="36"/>
        <v/>
      </c>
      <c r="AO220" s="239"/>
      <c r="AP220" s="240"/>
    </row>
    <row r="221" spans="1:42" x14ac:dyDescent="0.25">
      <c r="A221" s="47" t="str">
        <f>IF(E221="","",IF(ISNA(VLOOKUP($E221,'A-1 Site Habitat Baseline'!$D$1:$O$258,2,FALSE)),"",(VLOOKUP($E221,'A-1 Site Habitat Baseline'!$D$1:$O$258,2,FALSE))))</f>
        <v/>
      </c>
      <c r="B221" s="47" t="str">
        <f>IF(E221="","",IF(ISNA(VLOOKUP($E221,'A-1 Site Habitat Baseline'!$D$1:$O$258,3,FALSE)),"",(VLOOKUP($E221,'A-1 Site Habitat Baseline'!$D$1:$O$258,3,FALSE))))</f>
        <v/>
      </c>
      <c r="C221" s="47" t="str">
        <f>IFERROR(INDEX('G-8 Condition Look up'!$I$4:$I$130,MATCH(S221,'G-8 Condition Look up'!$A$4:$A$130,0)),"")</f>
        <v/>
      </c>
      <c r="E221" s="531" t="str">
        <f>'A-1 Site Habitat Baseline'!AL220</f>
        <v/>
      </c>
      <c r="F221" s="520" t="str">
        <f>IF(E221="","",IF(ISNA(VLOOKUP($E221,'A-1 Site Habitat Baseline'!$D$1:$O$258,4,FALSE)),"",(VLOOKUP($E221,'A-1 Site Habitat Baseline'!$D$1:$O$258,4,FALSE))))</f>
        <v/>
      </c>
      <c r="G221" s="520" t="str">
        <f>IF(E221="","",IF(ISNA(VLOOKUP($E221,'A-1 Site Habitat Baseline'!$D$1:$O$258,5,FALSE)),"",(VLOOKUP($E221,'A-1 Site Habitat Baseline'!$D$1:$O$258,5,FALSE))))</f>
        <v/>
      </c>
      <c r="H221" s="520" t="str">
        <f>IF(E221="","",IF(ISNA(VLOOKUP($E221,'A-1 Site Habitat Baseline'!$D$1:$O$258,6,FALSE)),"",(VLOOKUP($E221,'A-1 Site Habitat Baseline'!$D$1:$O$258,6,FALSE))))</f>
        <v/>
      </c>
      <c r="I221" s="520" t="str">
        <f>IF(E221="","",IF(ISNA(VLOOKUP($E221,'A-1 Site Habitat Baseline'!$D$1:$O$258,7,FALSE)),"",(VLOOKUP($E221,'A-1 Site Habitat Baseline'!$D$1:$O$258,7,FALSE))))</f>
        <v/>
      </c>
      <c r="J221" s="520" t="str">
        <f>IF(E221="","",IF(ISNA(VLOOKUP($E221,'A-1 Site Habitat Baseline'!$D$1:$O$258,8,FALSE)),"",(VLOOKUP($E221,'A-1 Site Habitat Baseline'!$D$1:$O$258,8,FALSE))))</f>
        <v/>
      </c>
      <c r="K221" s="520" t="str">
        <f>IF(E221="","",IF(ISNA(VLOOKUP($E221,'A-1 Site Habitat Baseline'!$D$1:$O$258,9,FALSE)),"",(VLOOKUP($E221,'A-1 Site Habitat Baseline'!$D$1:$O$258,9,FALSE))))</f>
        <v/>
      </c>
      <c r="L221" s="520" t="str">
        <f>IF(E221="","",IF(ISNA(VLOOKUP($E221,'A-1 Site Habitat Baseline'!$D$1:$O$258,11,FALSE)),"",(VLOOKUP($E221,'A-1 Site Habitat Baseline'!$D$1:$O$258,11,FALSE))))</f>
        <v/>
      </c>
      <c r="M221" s="520" t="str">
        <f>IF(E221="","",IF(ISNA(VLOOKUP($E221,'A-1 Site Habitat Baseline'!$D$1:$O$258,12,FALSE)),"",(VLOOKUP($E221,'A-1 Site Habitat Baseline'!$D$1:$O$258,12,FALSE))))</f>
        <v/>
      </c>
      <c r="N221" s="532" t="str">
        <f>IF(E221="","",IF(ISNA(VLOOKUP($E221,'A-1 Site Habitat Baseline'!$D$1:$X$258,14,FALSE)),"",(VLOOKUP($E221,'A-1 Site Habitat Baseline'!$D$1:$X$258,14,FALSE))))</f>
        <v/>
      </c>
      <c r="O221" s="524" t="str">
        <f>IF(E221="","",IF(ISNA(VLOOKUP($E221,'A-1 Site Habitat Baseline'!$D$1:$X$258,16,FALSE)),"",(VLOOKUP($E221,'A-1 Site Habitat Baseline'!$D$1:$X$258,13,FALSE))))</f>
        <v/>
      </c>
      <c r="P221" s="237" t="str">
        <f>IFERROR(INDEX('G-1 All Habitats'!$AG$3:$AG$15,MATCH(Q221,'G-1 All Habitats'!$AF$3:$AF$15,0)),"")</f>
        <v/>
      </c>
      <c r="Q221" s="238" t="str">
        <f t="shared" si="37"/>
        <v/>
      </c>
      <c r="R221" s="238" t="str">
        <f t="shared" si="38"/>
        <v/>
      </c>
      <c r="S221" s="392" t="str">
        <f>IFERROR(INDEX('G-1 All Habitats'!$B$3:$B$129,MATCH(R221,'G-1 All Habitats'!$A$3:$A$129,0)),"")</f>
        <v/>
      </c>
      <c r="T221" s="498" t="str">
        <f t="shared" si="39"/>
        <v/>
      </c>
      <c r="U221" s="499" t="str">
        <f t="shared" si="40"/>
        <v/>
      </c>
      <c r="V221" s="537" t="str">
        <f t="shared" si="34"/>
        <v/>
      </c>
      <c r="W221" s="520" t="str">
        <f>IF(S221="","",VLOOKUP(S221,'G-1 All Habitats'!$B$2:$M$129,10,FALSE))</f>
        <v/>
      </c>
      <c r="X221" s="520" t="str">
        <f>IFERROR(VLOOKUP(W221,'G-1 All Habitats'!$V$3:$W$7,2,FALSE),"")</f>
        <v/>
      </c>
      <c r="Y221" s="79"/>
      <c r="Z221" s="524" t="str">
        <f>IFERROR(INDEX('G-8 Condition Look up'!$A$3:$H$130,MATCH(S221,'G-8 Condition Look up'!$A$3:$A$130,0),MATCH(Y221,'G-8 Condition Look up'!$A$3:$H$3,0)),"")</f>
        <v/>
      </c>
      <c r="AA221" s="71"/>
      <c r="AB221" s="520" t="str">
        <f>IF(AA221="","",IF(VLOOKUP(AA221,'G-3 Multipliers'!$L$3:$N$6,2,FALSE)=0,"Spatial Data Missing ⚠",VLOOKUP(AA221,'G-3 Multipliers'!$L$3:$N$6,2,FALSE)))</f>
        <v/>
      </c>
      <c r="AC221" s="524" t="str">
        <f>IF(AA221="","",IF(VLOOKUP(AA221,'G-3 Multipliers'!$L$3:$N$6,3,FALSE)=0,"Spatial Data Missing ⚠",VLOOKUP(AA221,'G-3 Multipliers'!$L$3:$N$6,3,FALSE)))</f>
        <v/>
      </c>
      <c r="AD221" s="539" t="str">
        <f t="shared" si="35"/>
        <v/>
      </c>
      <c r="AE221" s="82"/>
      <c r="AF221" s="82"/>
      <c r="AG221" s="507" t="str">
        <f t="shared" si="41"/>
        <v/>
      </c>
      <c r="AH221" s="521" t="str">
        <f t="shared" si="42"/>
        <v/>
      </c>
      <c r="AI221" s="522" t="str">
        <f>IF(AH221="Check Data","Check Data",IFERROR(VLOOKUP(AH221,'G-4 Temporal multipliers'!$A$4:$C$36,3,FALSE),""))</f>
        <v/>
      </c>
      <c r="AJ221" s="498" t="str">
        <f>IF(S221="","",VLOOKUP(S221,'G-3 Multipliers'!$A$2:$E$129,4,FALSE))</f>
        <v/>
      </c>
      <c r="AK221" s="507" t="str">
        <f t="shared" si="43"/>
        <v/>
      </c>
      <c r="AL221" s="507" t="str">
        <f t="shared" si="44"/>
        <v/>
      </c>
      <c r="AM221" s="540" t="str">
        <f>IFERROR(IF(F221="","",IF(AH221="Check Data ⚠","Check Data ⚠",VLOOKUP(AL221, 'G-3 Multipliers'!$P$2:$Q$6,2,FALSE))),"")</f>
        <v/>
      </c>
      <c r="AN221" s="513" t="str">
        <f t="shared" si="36"/>
        <v/>
      </c>
      <c r="AO221" s="239"/>
      <c r="AP221" s="240"/>
    </row>
    <row r="222" spans="1:42" x14ac:dyDescent="0.25">
      <c r="A222" s="47" t="str">
        <f>IF(E222="","",IF(ISNA(VLOOKUP($E222,'A-1 Site Habitat Baseline'!$D$1:$O$258,2,FALSE)),"",(VLOOKUP($E222,'A-1 Site Habitat Baseline'!$D$1:$O$258,2,FALSE))))</f>
        <v/>
      </c>
      <c r="B222" s="47" t="str">
        <f>IF(E222="","",IF(ISNA(VLOOKUP($E222,'A-1 Site Habitat Baseline'!$D$1:$O$258,3,FALSE)),"",(VLOOKUP($E222,'A-1 Site Habitat Baseline'!$D$1:$O$258,3,FALSE))))</f>
        <v/>
      </c>
      <c r="C222" s="47" t="str">
        <f>IFERROR(INDEX('G-8 Condition Look up'!$I$4:$I$130,MATCH(S222,'G-8 Condition Look up'!$A$4:$A$130,0)),"")</f>
        <v/>
      </c>
      <c r="E222" s="531" t="str">
        <f>'A-1 Site Habitat Baseline'!AL221</f>
        <v/>
      </c>
      <c r="F222" s="520" t="str">
        <f>IF(E222="","",IF(ISNA(VLOOKUP($E222,'A-1 Site Habitat Baseline'!$D$1:$O$258,4,FALSE)),"",(VLOOKUP($E222,'A-1 Site Habitat Baseline'!$D$1:$O$258,4,FALSE))))</f>
        <v/>
      </c>
      <c r="G222" s="520" t="str">
        <f>IF(E222="","",IF(ISNA(VLOOKUP($E222,'A-1 Site Habitat Baseline'!$D$1:$O$258,5,FALSE)),"",(VLOOKUP($E222,'A-1 Site Habitat Baseline'!$D$1:$O$258,5,FALSE))))</f>
        <v/>
      </c>
      <c r="H222" s="520" t="str">
        <f>IF(E222="","",IF(ISNA(VLOOKUP($E222,'A-1 Site Habitat Baseline'!$D$1:$O$258,6,FALSE)),"",(VLOOKUP($E222,'A-1 Site Habitat Baseline'!$D$1:$O$258,6,FALSE))))</f>
        <v/>
      </c>
      <c r="I222" s="520" t="str">
        <f>IF(E222="","",IF(ISNA(VLOOKUP($E222,'A-1 Site Habitat Baseline'!$D$1:$O$258,7,FALSE)),"",(VLOOKUP($E222,'A-1 Site Habitat Baseline'!$D$1:$O$258,7,FALSE))))</f>
        <v/>
      </c>
      <c r="J222" s="520" t="str">
        <f>IF(E222="","",IF(ISNA(VLOOKUP($E222,'A-1 Site Habitat Baseline'!$D$1:$O$258,8,FALSE)),"",(VLOOKUP($E222,'A-1 Site Habitat Baseline'!$D$1:$O$258,8,FALSE))))</f>
        <v/>
      </c>
      <c r="K222" s="520" t="str">
        <f>IF(E222="","",IF(ISNA(VLOOKUP($E222,'A-1 Site Habitat Baseline'!$D$1:$O$258,9,FALSE)),"",(VLOOKUP($E222,'A-1 Site Habitat Baseline'!$D$1:$O$258,9,FALSE))))</f>
        <v/>
      </c>
      <c r="L222" s="520" t="str">
        <f>IF(E222="","",IF(ISNA(VLOOKUP($E222,'A-1 Site Habitat Baseline'!$D$1:$O$258,11,FALSE)),"",(VLOOKUP($E222,'A-1 Site Habitat Baseline'!$D$1:$O$258,11,FALSE))))</f>
        <v/>
      </c>
      <c r="M222" s="520" t="str">
        <f>IF(E222="","",IF(ISNA(VLOOKUP($E222,'A-1 Site Habitat Baseline'!$D$1:$O$258,12,FALSE)),"",(VLOOKUP($E222,'A-1 Site Habitat Baseline'!$D$1:$O$258,12,FALSE))))</f>
        <v/>
      </c>
      <c r="N222" s="532" t="str">
        <f>IF(E222="","",IF(ISNA(VLOOKUP($E222,'A-1 Site Habitat Baseline'!$D$1:$X$258,14,FALSE)),"",(VLOOKUP($E222,'A-1 Site Habitat Baseline'!$D$1:$X$258,14,FALSE))))</f>
        <v/>
      </c>
      <c r="O222" s="524" t="str">
        <f>IF(E222="","",IF(ISNA(VLOOKUP($E222,'A-1 Site Habitat Baseline'!$D$1:$X$258,16,FALSE)),"",(VLOOKUP($E222,'A-1 Site Habitat Baseline'!$D$1:$X$258,13,FALSE))))</f>
        <v/>
      </c>
      <c r="P222" s="237" t="str">
        <f>IFERROR(INDEX('G-1 All Habitats'!$AG$3:$AG$15,MATCH(Q222,'G-1 All Habitats'!$AF$3:$AF$15,0)),"")</f>
        <v/>
      </c>
      <c r="Q222" s="238" t="str">
        <f t="shared" si="37"/>
        <v/>
      </c>
      <c r="R222" s="238" t="str">
        <f t="shared" si="38"/>
        <v/>
      </c>
      <c r="S222" s="392" t="str">
        <f>IFERROR(INDEX('G-1 All Habitats'!$B$3:$B$129,MATCH(R222,'G-1 All Habitats'!$A$3:$A$129,0)),"")</f>
        <v/>
      </c>
      <c r="T222" s="498" t="str">
        <f t="shared" si="39"/>
        <v/>
      </c>
      <c r="U222" s="499" t="str">
        <f t="shared" si="40"/>
        <v/>
      </c>
      <c r="V222" s="537" t="str">
        <f t="shared" si="34"/>
        <v/>
      </c>
      <c r="W222" s="520" t="str">
        <f>IF(S222="","",VLOOKUP(S222,'G-1 All Habitats'!$B$2:$M$129,10,FALSE))</f>
        <v/>
      </c>
      <c r="X222" s="520" t="str">
        <f>IFERROR(VLOOKUP(W222,'G-1 All Habitats'!$V$3:$W$7,2,FALSE),"")</f>
        <v/>
      </c>
      <c r="Y222" s="79"/>
      <c r="Z222" s="524" t="str">
        <f>IFERROR(INDEX('G-8 Condition Look up'!$A$3:$H$130,MATCH(S222,'G-8 Condition Look up'!$A$3:$A$130,0),MATCH(Y222,'G-8 Condition Look up'!$A$3:$H$3,0)),"")</f>
        <v/>
      </c>
      <c r="AA222" s="71"/>
      <c r="AB222" s="520" t="str">
        <f>IF(AA222="","",IF(VLOOKUP(AA222,'G-3 Multipliers'!$L$3:$N$6,2,FALSE)=0,"Spatial Data Missing ⚠",VLOOKUP(AA222,'G-3 Multipliers'!$L$3:$N$6,2,FALSE)))</f>
        <v/>
      </c>
      <c r="AC222" s="524" t="str">
        <f>IF(AA222="","",IF(VLOOKUP(AA222,'G-3 Multipliers'!$L$3:$N$6,3,FALSE)=0,"Spatial Data Missing ⚠",VLOOKUP(AA222,'G-3 Multipliers'!$L$3:$N$6,3,FALSE)))</f>
        <v/>
      </c>
      <c r="AD222" s="539" t="str">
        <f t="shared" si="35"/>
        <v/>
      </c>
      <c r="AE222" s="82"/>
      <c r="AF222" s="82"/>
      <c r="AG222" s="507" t="str">
        <f t="shared" si="41"/>
        <v/>
      </c>
      <c r="AH222" s="521" t="str">
        <f t="shared" si="42"/>
        <v/>
      </c>
      <c r="AI222" s="522" t="str">
        <f>IF(AH222="Check Data","Check Data",IFERROR(VLOOKUP(AH222,'G-4 Temporal multipliers'!$A$4:$C$36,3,FALSE),""))</f>
        <v/>
      </c>
      <c r="AJ222" s="498" t="str">
        <f>IF(S222="","",VLOOKUP(S222,'G-3 Multipliers'!$A$2:$E$129,4,FALSE))</f>
        <v/>
      </c>
      <c r="AK222" s="507" t="str">
        <f t="shared" si="43"/>
        <v/>
      </c>
      <c r="AL222" s="507" t="str">
        <f t="shared" si="44"/>
        <v/>
      </c>
      <c r="AM222" s="540" t="str">
        <f>IFERROR(IF(F222="","",IF(AH222="Check Data ⚠","Check Data ⚠",VLOOKUP(AL222, 'G-3 Multipliers'!$P$2:$Q$6,2,FALSE))),"")</f>
        <v/>
      </c>
      <c r="AN222" s="513" t="str">
        <f t="shared" si="36"/>
        <v/>
      </c>
      <c r="AO222" s="239"/>
      <c r="AP222" s="240"/>
    </row>
    <row r="223" spans="1:42" x14ac:dyDescent="0.25">
      <c r="A223" s="47" t="str">
        <f>IF(E223="","",IF(ISNA(VLOOKUP($E223,'A-1 Site Habitat Baseline'!$D$1:$O$258,2,FALSE)),"",(VLOOKUP($E223,'A-1 Site Habitat Baseline'!$D$1:$O$258,2,FALSE))))</f>
        <v/>
      </c>
      <c r="B223" s="47" t="str">
        <f>IF(E223="","",IF(ISNA(VLOOKUP($E223,'A-1 Site Habitat Baseline'!$D$1:$O$258,3,FALSE)),"",(VLOOKUP($E223,'A-1 Site Habitat Baseline'!$D$1:$O$258,3,FALSE))))</f>
        <v/>
      </c>
      <c r="C223" s="47" t="str">
        <f>IFERROR(INDEX('G-8 Condition Look up'!$I$4:$I$130,MATCH(S223,'G-8 Condition Look up'!$A$4:$A$130,0)),"")</f>
        <v/>
      </c>
      <c r="E223" s="531" t="str">
        <f>'A-1 Site Habitat Baseline'!AL222</f>
        <v/>
      </c>
      <c r="F223" s="520" t="str">
        <f>IF(E223="","",IF(ISNA(VLOOKUP($E223,'A-1 Site Habitat Baseline'!$D$1:$O$258,4,FALSE)),"",(VLOOKUP($E223,'A-1 Site Habitat Baseline'!$D$1:$O$258,4,FALSE))))</f>
        <v/>
      </c>
      <c r="G223" s="520" t="str">
        <f>IF(E223="","",IF(ISNA(VLOOKUP($E223,'A-1 Site Habitat Baseline'!$D$1:$O$258,5,FALSE)),"",(VLOOKUP($E223,'A-1 Site Habitat Baseline'!$D$1:$O$258,5,FALSE))))</f>
        <v/>
      </c>
      <c r="H223" s="520" t="str">
        <f>IF(E223="","",IF(ISNA(VLOOKUP($E223,'A-1 Site Habitat Baseline'!$D$1:$O$258,6,FALSE)),"",(VLOOKUP($E223,'A-1 Site Habitat Baseline'!$D$1:$O$258,6,FALSE))))</f>
        <v/>
      </c>
      <c r="I223" s="520" t="str">
        <f>IF(E223="","",IF(ISNA(VLOOKUP($E223,'A-1 Site Habitat Baseline'!$D$1:$O$258,7,FALSE)),"",(VLOOKUP($E223,'A-1 Site Habitat Baseline'!$D$1:$O$258,7,FALSE))))</f>
        <v/>
      </c>
      <c r="J223" s="520" t="str">
        <f>IF(E223="","",IF(ISNA(VLOOKUP($E223,'A-1 Site Habitat Baseline'!$D$1:$O$258,8,FALSE)),"",(VLOOKUP($E223,'A-1 Site Habitat Baseline'!$D$1:$O$258,8,FALSE))))</f>
        <v/>
      </c>
      <c r="K223" s="520" t="str">
        <f>IF(E223="","",IF(ISNA(VLOOKUP($E223,'A-1 Site Habitat Baseline'!$D$1:$O$258,9,FALSE)),"",(VLOOKUP($E223,'A-1 Site Habitat Baseline'!$D$1:$O$258,9,FALSE))))</f>
        <v/>
      </c>
      <c r="L223" s="520" t="str">
        <f>IF(E223="","",IF(ISNA(VLOOKUP($E223,'A-1 Site Habitat Baseline'!$D$1:$O$258,11,FALSE)),"",(VLOOKUP($E223,'A-1 Site Habitat Baseline'!$D$1:$O$258,11,FALSE))))</f>
        <v/>
      </c>
      <c r="M223" s="520" t="str">
        <f>IF(E223="","",IF(ISNA(VLOOKUP($E223,'A-1 Site Habitat Baseline'!$D$1:$O$258,12,FALSE)),"",(VLOOKUP($E223,'A-1 Site Habitat Baseline'!$D$1:$O$258,12,FALSE))))</f>
        <v/>
      </c>
      <c r="N223" s="532" t="str">
        <f>IF(E223="","",IF(ISNA(VLOOKUP($E223,'A-1 Site Habitat Baseline'!$D$1:$X$258,14,FALSE)),"",(VLOOKUP($E223,'A-1 Site Habitat Baseline'!$D$1:$X$258,14,FALSE))))</f>
        <v/>
      </c>
      <c r="O223" s="524" t="str">
        <f>IF(E223="","",IF(ISNA(VLOOKUP($E223,'A-1 Site Habitat Baseline'!$D$1:$X$258,16,FALSE)),"",(VLOOKUP($E223,'A-1 Site Habitat Baseline'!$D$1:$X$258,13,FALSE))))</f>
        <v/>
      </c>
      <c r="P223" s="237" t="str">
        <f>IFERROR(INDEX('G-1 All Habitats'!$AG$3:$AG$15,MATCH(Q223,'G-1 All Habitats'!$AF$3:$AF$15,0)),"")</f>
        <v/>
      </c>
      <c r="Q223" s="238" t="str">
        <f t="shared" si="37"/>
        <v/>
      </c>
      <c r="R223" s="238" t="str">
        <f t="shared" si="38"/>
        <v/>
      </c>
      <c r="S223" s="392" t="str">
        <f>IFERROR(INDEX('G-1 All Habitats'!$B$3:$B$129,MATCH(R223,'G-1 All Habitats'!$A$3:$A$129,0)),"")</f>
        <v/>
      </c>
      <c r="T223" s="498" t="str">
        <f t="shared" si="39"/>
        <v/>
      </c>
      <c r="U223" s="499" t="str">
        <f t="shared" si="40"/>
        <v/>
      </c>
      <c r="V223" s="537" t="str">
        <f t="shared" si="34"/>
        <v/>
      </c>
      <c r="W223" s="520" t="str">
        <f>IF(S223="","",VLOOKUP(S223,'G-1 All Habitats'!$B$2:$M$129,10,FALSE))</f>
        <v/>
      </c>
      <c r="X223" s="520" t="str">
        <f>IFERROR(VLOOKUP(W223,'G-1 All Habitats'!$V$3:$W$7,2,FALSE),"")</f>
        <v/>
      </c>
      <c r="Y223" s="79"/>
      <c r="Z223" s="524" t="str">
        <f>IFERROR(INDEX('G-8 Condition Look up'!$A$3:$H$130,MATCH(S223,'G-8 Condition Look up'!$A$3:$A$130,0),MATCH(Y223,'G-8 Condition Look up'!$A$3:$H$3,0)),"")</f>
        <v/>
      </c>
      <c r="AA223" s="71"/>
      <c r="AB223" s="520" t="str">
        <f>IF(AA223="","",IF(VLOOKUP(AA223,'G-3 Multipliers'!$L$3:$N$6,2,FALSE)=0,"Spatial Data Missing ⚠",VLOOKUP(AA223,'G-3 Multipliers'!$L$3:$N$6,2,FALSE)))</f>
        <v/>
      </c>
      <c r="AC223" s="524" t="str">
        <f>IF(AA223="","",IF(VLOOKUP(AA223,'G-3 Multipliers'!$L$3:$N$6,3,FALSE)=0,"Spatial Data Missing ⚠",VLOOKUP(AA223,'G-3 Multipliers'!$L$3:$N$6,3,FALSE)))</f>
        <v/>
      </c>
      <c r="AD223" s="539" t="str">
        <f t="shared" si="35"/>
        <v/>
      </c>
      <c r="AE223" s="82"/>
      <c r="AF223" s="82"/>
      <c r="AG223" s="507" t="str">
        <f t="shared" si="41"/>
        <v/>
      </c>
      <c r="AH223" s="521" t="str">
        <f t="shared" si="42"/>
        <v/>
      </c>
      <c r="AI223" s="522" t="str">
        <f>IF(AH223="Check Data","Check Data",IFERROR(VLOOKUP(AH223,'G-4 Temporal multipliers'!$A$4:$C$36,3,FALSE),""))</f>
        <v/>
      </c>
      <c r="AJ223" s="498" t="str">
        <f>IF(S223="","",VLOOKUP(S223,'G-3 Multipliers'!$A$2:$E$129,4,FALSE))</f>
        <v/>
      </c>
      <c r="AK223" s="507" t="str">
        <f t="shared" si="43"/>
        <v/>
      </c>
      <c r="AL223" s="507" t="str">
        <f t="shared" si="44"/>
        <v/>
      </c>
      <c r="AM223" s="540" t="str">
        <f>IFERROR(IF(F223="","",IF(AH223="Check Data ⚠","Check Data ⚠",VLOOKUP(AL223, 'G-3 Multipliers'!$P$2:$Q$6,2,FALSE))),"")</f>
        <v/>
      </c>
      <c r="AN223" s="513" t="str">
        <f t="shared" si="36"/>
        <v/>
      </c>
      <c r="AO223" s="239"/>
      <c r="AP223" s="240"/>
    </row>
    <row r="224" spans="1:42" x14ac:dyDescent="0.25">
      <c r="A224" s="47" t="str">
        <f>IF(E224="","",IF(ISNA(VLOOKUP($E224,'A-1 Site Habitat Baseline'!$D$1:$O$258,2,FALSE)),"",(VLOOKUP($E224,'A-1 Site Habitat Baseline'!$D$1:$O$258,2,FALSE))))</f>
        <v/>
      </c>
      <c r="B224" s="47" t="str">
        <f>IF(E224="","",IF(ISNA(VLOOKUP($E224,'A-1 Site Habitat Baseline'!$D$1:$O$258,3,FALSE)),"",(VLOOKUP($E224,'A-1 Site Habitat Baseline'!$D$1:$O$258,3,FALSE))))</f>
        <v/>
      </c>
      <c r="C224" s="47" t="str">
        <f>IFERROR(INDEX('G-8 Condition Look up'!$I$4:$I$130,MATCH(S224,'G-8 Condition Look up'!$A$4:$A$130,0)),"")</f>
        <v/>
      </c>
      <c r="E224" s="531" t="str">
        <f>'A-1 Site Habitat Baseline'!AL223</f>
        <v/>
      </c>
      <c r="F224" s="520" t="str">
        <f>IF(E224="","",IF(ISNA(VLOOKUP($E224,'A-1 Site Habitat Baseline'!$D$1:$O$258,4,FALSE)),"",(VLOOKUP($E224,'A-1 Site Habitat Baseline'!$D$1:$O$258,4,FALSE))))</f>
        <v/>
      </c>
      <c r="G224" s="520" t="str">
        <f>IF(E224="","",IF(ISNA(VLOOKUP($E224,'A-1 Site Habitat Baseline'!$D$1:$O$258,5,FALSE)),"",(VLOOKUP($E224,'A-1 Site Habitat Baseline'!$D$1:$O$258,5,FALSE))))</f>
        <v/>
      </c>
      <c r="H224" s="520" t="str">
        <f>IF(E224="","",IF(ISNA(VLOOKUP($E224,'A-1 Site Habitat Baseline'!$D$1:$O$258,6,FALSE)),"",(VLOOKUP($E224,'A-1 Site Habitat Baseline'!$D$1:$O$258,6,FALSE))))</f>
        <v/>
      </c>
      <c r="I224" s="520" t="str">
        <f>IF(E224="","",IF(ISNA(VLOOKUP($E224,'A-1 Site Habitat Baseline'!$D$1:$O$258,7,FALSE)),"",(VLOOKUP($E224,'A-1 Site Habitat Baseline'!$D$1:$O$258,7,FALSE))))</f>
        <v/>
      </c>
      <c r="J224" s="520" t="str">
        <f>IF(E224="","",IF(ISNA(VLOOKUP($E224,'A-1 Site Habitat Baseline'!$D$1:$O$258,8,FALSE)),"",(VLOOKUP($E224,'A-1 Site Habitat Baseline'!$D$1:$O$258,8,FALSE))))</f>
        <v/>
      </c>
      <c r="K224" s="520" t="str">
        <f>IF(E224="","",IF(ISNA(VLOOKUP($E224,'A-1 Site Habitat Baseline'!$D$1:$O$258,9,FALSE)),"",(VLOOKUP($E224,'A-1 Site Habitat Baseline'!$D$1:$O$258,9,FALSE))))</f>
        <v/>
      </c>
      <c r="L224" s="520" t="str">
        <f>IF(E224="","",IF(ISNA(VLOOKUP($E224,'A-1 Site Habitat Baseline'!$D$1:$O$258,11,FALSE)),"",(VLOOKUP($E224,'A-1 Site Habitat Baseline'!$D$1:$O$258,11,FALSE))))</f>
        <v/>
      </c>
      <c r="M224" s="520" t="str">
        <f>IF(E224="","",IF(ISNA(VLOOKUP($E224,'A-1 Site Habitat Baseline'!$D$1:$O$258,12,FALSE)),"",(VLOOKUP($E224,'A-1 Site Habitat Baseline'!$D$1:$O$258,12,FALSE))))</f>
        <v/>
      </c>
      <c r="N224" s="532" t="str">
        <f>IF(E224="","",IF(ISNA(VLOOKUP($E224,'A-1 Site Habitat Baseline'!$D$1:$X$258,14,FALSE)),"",(VLOOKUP($E224,'A-1 Site Habitat Baseline'!$D$1:$X$258,14,FALSE))))</f>
        <v/>
      </c>
      <c r="O224" s="524" t="str">
        <f>IF(E224="","",IF(ISNA(VLOOKUP($E224,'A-1 Site Habitat Baseline'!$D$1:$X$258,16,FALSE)),"",(VLOOKUP($E224,'A-1 Site Habitat Baseline'!$D$1:$X$258,13,FALSE))))</f>
        <v/>
      </c>
      <c r="P224" s="237" t="str">
        <f>IFERROR(INDEX('G-1 All Habitats'!$AG$3:$AG$15,MATCH(Q224,'G-1 All Habitats'!$AF$3:$AF$15,0)),"")</f>
        <v/>
      </c>
      <c r="Q224" s="238" t="str">
        <f t="shared" si="37"/>
        <v/>
      </c>
      <c r="R224" s="238" t="str">
        <f t="shared" si="38"/>
        <v/>
      </c>
      <c r="S224" s="392" t="str">
        <f>IFERROR(INDEX('G-1 All Habitats'!$B$3:$B$129,MATCH(R224,'G-1 All Habitats'!$A$3:$A$129,0)),"")</f>
        <v/>
      </c>
      <c r="T224" s="498" t="str">
        <f t="shared" si="39"/>
        <v/>
      </c>
      <c r="U224" s="499" t="str">
        <f t="shared" si="40"/>
        <v/>
      </c>
      <c r="V224" s="537" t="str">
        <f t="shared" si="34"/>
        <v/>
      </c>
      <c r="W224" s="520" t="str">
        <f>IF(S224="","",VLOOKUP(S224,'G-1 All Habitats'!$B$2:$M$129,10,FALSE))</f>
        <v/>
      </c>
      <c r="X224" s="520" t="str">
        <f>IFERROR(VLOOKUP(W224,'G-1 All Habitats'!$V$3:$W$7,2,FALSE),"")</f>
        <v/>
      </c>
      <c r="Y224" s="79"/>
      <c r="Z224" s="524" t="str">
        <f>IFERROR(INDEX('G-8 Condition Look up'!$A$3:$H$130,MATCH(S224,'G-8 Condition Look up'!$A$3:$A$130,0),MATCH(Y224,'G-8 Condition Look up'!$A$3:$H$3,0)),"")</f>
        <v/>
      </c>
      <c r="AA224" s="71"/>
      <c r="AB224" s="520" t="str">
        <f>IF(AA224="","",IF(VLOOKUP(AA224,'G-3 Multipliers'!$L$3:$N$6,2,FALSE)=0,"Spatial Data Missing ⚠",VLOOKUP(AA224,'G-3 Multipliers'!$L$3:$N$6,2,FALSE)))</f>
        <v/>
      </c>
      <c r="AC224" s="524" t="str">
        <f>IF(AA224="","",IF(VLOOKUP(AA224,'G-3 Multipliers'!$L$3:$N$6,3,FALSE)=0,"Spatial Data Missing ⚠",VLOOKUP(AA224,'G-3 Multipliers'!$L$3:$N$6,3,FALSE)))</f>
        <v/>
      </c>
      <c r="AD224" s="539" t="str">
        <f t="shared" si="35"/>
        <v/>
      </c>
      <c r="AE224" s="82"/>
      <c r="AF224" s="82"/>
      <c r="AG224" s="507" t="str">
        <f t="shared" si="41"/>
        <v/>
      </c>
      <c r="AH224" s="521" t="str">
        <f t="shared" si="42"/>
        <v/>
      </c>
      <c r="AI224" s="522" t="str">
        <f>IF(AH224="Check Data","Check Data",IFERROR(VLOOKUP(AH224,'G-4 Temporal multipliers'!$A$4:$C$36,3,FALSE),""))</f>
        <v/>
      </c>
      <c r="AJ224" s="498" t="str">
        <f>IF(S224="","",VLOOKUP(S224,'G-3 Multipliers'!$A$2:$E$129,4,FALSE))</f>
        <v/>
      </c>
      <c r="AK224" s="507" t="str">
        <f t="shared" si="43"/>
        <v/>
      </c>
      <c r="AL224" s="507" t="str">
        <f t="shared" si="44"/>
        <v/>
      </c>
      <c r="AM224" s="540" t="str">
        <f>IFERROR(IF(F224="","",IF(AH224="Check Data ⚠","Check Data ⚠",VLOOKUP(AL224, 'G-3 Multipliers'!$P$2:$Q$6,2,FALSE))),"")</f>
        <v/>
      </c>
      <c r="AN224" s="513" t="str">
        <f t="shared" si="36"/>
        <v/>
      </c>
      <c r="AO224" s="239"/>
      <c r="AP224" s="240"/>
    </row>
    <row r="225" spans="1:42" x14ac:dyDescent="0.25">
      <c r="A225" s="47" t="str">
        <f>IF(E225="","",IF(ISNA(VLOOKUP($E225,'A-1 Site Habitat Baseline'!$D$1:$O$258,2,FALSE)),"",(VLOOKUP($E225,'A-1 Site Habitat Baseline'!$D$1:$O$258,2,FALSE))))</f>
        <v/>
      </c>
      <c r="B225" s="47" t="str">
        <f>IF(E225="","",IF(ISNA(VLOOKUP($E225,'A-1 Site Habitat Baseline'!$D$1:$O$258,3,FALSE)),"",(VLOOKUP($E225,'A-1 Site Habitat Baseline'!$D$1:$O$258,3,FALSE))))</f>
        <v/>
      </c>
      <c r="C225" s="47" t="str">
        <f>IFERROR(INDEX('G-8 Condition Look up'!$I$4:$I$130,MATCH(S225,'G-8 Condition Look up'!$A$4:$A$130,0)),"")</f>
        <v/>
      </c>
      <c r="E225" s="531" t="str">
        <f>'A-1 Site Habitat Baseline'!AL224</f>
        <v/>
      </c>
      <c r="F225" s="520" t="str">
        <f>IF(E225="","",IF(ISNA(VLOOKUP($E225,'A-1 Site Habitat Baseline'!$D$1:$O$258,4,FALSE)),"",(VLOOKUP($E225,'A-1 Site Habitat Baseline'!$D$1:$O$258,4,FALSE))))</f>
        <v/>
      </c>
      <c r="G225" s="520" t="str">
        <f>IF(E225="","",IF(ISNA(VLOOKUP($E225,'A-1 Site Habitat Baseline'!$D$1:$O$258,5,FALSE)),"",(VLOOKUP($E225,'A-1 Site Habitat Baseline'!$D$1:$O$258,5,FALSE))))</f>
        <v/>
      </c>
      <c r="H225" s="520" t="str">
        <f>IF(E225="","",IF(ISNA(VLOOKUP($E225,'A-1 Site Habitat Baseline'!$D$1:$O$258,6,FALSE)),"",(VLOOKUP($E225,'A-1 Site Habitat Baseline'!$D$1:$O$258,6,FALSE))))</f>
        <v/>
      </c>
      <c r="I225" s="520" t="str">
        <f>IF(E225="","",IF(ISNA(VLOOKUP($E225,'A-1 Site Habitat Baseline'!$D$1:$O$258,7,FALSE)),"",(VLOOKUP($E225,'A-1 Site Habitat Baseline'!$D$1:$O$258,7,FALSE))))</f>
        <v/>
      </c>
      <c r="J225" s="520" t="str">
        <f>IF(E225="","",IF(ISNA(VLOOKUP($E225,'A-1 Site Habitat Baseline'!$D$1:$O$258,8,FALSE)),"",(VLOOKUP($E225,'A-1 Site Habitat Baseline'!$D$1:$O$258,8,FALSE))))</f>
        <v/>
      </c>
      <c r="K225" s="520" t="str">
        <f>IF(E225="","",IF(ISNA(VLOOKUP($E225,'A-1 Site Habitat Baseline'!$D$1:$O$258,9,FALSE)),"",(VLOOKUP($E225,'A-1 Site Habitat Baseline'!$D$1:$O$258,9,FALSE))))</f>
        <v/>
      </c>
      <c r="L225" s="520" t="str">
        <f>IF(E225="","",IF(ISNA(VLOOKUP($E225,'A-1 Site Habitat Baseline'!$D$1:$O$258,11,FALSE)),"",(VLOOKUP($E225,'A-1 Site Habitat Baseline'!$D$1:$O$258,11,FALSE))))</f>
        <v/>
      </c>
      <c r="M225" s="520" t="str">
        <f>IF(E225="","",IF(ISNA(VLOOKUP($E225,'A-1 Site Habitat Baseline'!$D$1:$O$258,12,FALSE)),"",(VLOOKUP($E225,'A-1 Site Habitat Baseline'!$D$1:$O$258,12,FALSE))))</f>
        <v/>
      </c>
      <c r="N225" s="532" t="str">
        <f>IF(E225="","",IF(ISNA(VLOOKUP($E225,'A-1 Site Habitat Baseline'!$D$1:$X$258,14,FALSE)),"",(VLOOKUP($E225,'A-1 Site Habitat Baseline'!$D$1:$X$258,14,FALSE))))</f>
        <v/>
      </c>
      <c r="O225" s="524" t="str">
        <f>IF(E225="","",IF(ISNA(VLOOKUP($E225,'A-1 Site Habitat Baseline'!$D$1:$X$258,16,FALSE)),"",(VLOOKUP($E225,'A-1 Site Habitat Baseline'!$D$1:$X$258,13,FALSE))))</f>
        <v/>
      </c>
      <c r="P225" s="237" t="str">
        <f>IFERROR(INDEX('G-1 All Habitats'!$AG$3:$AG$15,MATCH(Q225,'G-1 All Habitats'!$AF$3:$AF$15,0)),"")</f>
        <v/>
      </c>
      <c r="Q225" s="238" t="str">
        <f t="shared" si="37"/>
        <v/>
      </c>
      <c r="R225" s="238" t="str">
        <f t="shared" si="38"/>
        <v/>
      </c>
      <c r="S225" s="392" t="str">
        <f>IFERROR(INDEX('G-1 All Habitats'!$B$3:$B$129,MATCH(R225,'G-1 All Habitats'!$A$3:$A$129,0)),"")</f>
        <v/>
      </c>
      <c r="T225" s="498" t="str">
        <f t="shared" si="39"/>
        <v/>
      </c>
      <c r="U225" s="499" t="str">
        <f t="shared" si="40"/>
        <v/>
      </c>
      <c r="V225" s="537" t="str">
        <f t="shared" si="34"/>
        <v/>
      </c>
      <c r="W225" s="520" t="str">
        <f>IF(S225="","",VLOOKUP(S225,'G-1 All Habitats'!$B$2:$M$129,10,FALSE))</f>
        <v/>
      </c>
      <c r="X225" s="520" t="str">
        <f>IFERROR(VLOOKUP(W225,'G-1 All Habitats'!$V$3:$W$7,2,FALSE),"")</f>
        <v/>
      </c>
      <c r="Y225" s="79"/>
      <c r="Z225" s="524" t="str">
        <f>IFERROR(INDEX('G-8 Condition Look up'!$A$3:$H$130,MATCH(S225,'G-8 Condition Look up'!$A$3:$A$130,0),MATCH(Y225,'G-8 Condition Look up'!$A$3:$H$3,0)),"")</f>
        <v/>
      </c>
      <c r="AA225" s="71"/>
      <c r="AB225" s="520" t="str">
        <f>IF(AA225="","",IF(VLOOKUP(AA225,'G-3 Multipliers'!$L$3:$N$6,2,FALSE)=0,"Spatial Data Missing ⚠",VLOOKUP(AA225,'G-3 Multipliers'!$L$3:$N$6,2,FALSE)))</f>
        <v/>
      </c>
      <c r="AC225" s="524" t="str">
        <f>IF(AA225="","",IF(VLOOKUP(AA225,'G-3 Multipliers'!$L$3:$N$6,3,FALSE)=0,"Spatial Data Missing ⚠",VLOOKUP(AA225,'G-3 Multipliers'!$L$3:$N$6,3,FALSE)))</f>
        <v/>
      </c>
      <c r="AD225" s="539" t="str">
        <f t="shared" si="35"/>
        <v/>
      </c>
      <c r="AE225" s="82"/>
      <c r="AF225" s="82"/>
      <c r="AG225" s="507" t="str">
        <f t="shared" si="41"/>
        <v/>
      </c>
      <c r="AH225" s="521" t="str">
        <f t="shared" si="42"/>
        <v/>
      </c>
      <c r="AI225" s="522" t="str">
        <f>IF(AH225="Check Data","Check Data",IFERROR(VLOOKUP(AH225,'G-4 Temporal multipliers'!$A$4:$C$36,3,FALSE),""))</f>
        <v/>
      </c>
      <c r="AJ225" s="498" t="str">
        <f>IF(S225="","",VLOOKUP(S225,'G-3 Multipliers'!$A$2:$E$129,4,FALSE))</f>
        <v/>
      </c>
      <c r="AK225" s="507" t="str">
        <f t="shared" si="43"/>
        <v/>
      </c>
      <c r="AL225" s="507" t="str">
        <f t="shared" si="44"/>
        <v/>
      </c>
      <c r="AM225" s="540" t="str">
        <f>IFERROR(IF(F225="","",IF(AH225="Check Data ⚠","Check Data ⚠",VLOOKUP(AL225, 'G-3 Multipliers'!$P$2:$Q$6,2,FALSE))),"")</f>
        <v/>
      </c>
      <c r="AN225" s="513" t="str">
        <f t="shared" si="36"/>
        <v/>
      </c>
      <c r="AO225" s="239"/>
      <c r="AP225" s="240"/>
    </row>
    <row r="226" spans="1:42" x14ac:dyDescent="0.25">
      <c r="A226" s="47" t="str">
        <f>IF(E226="","",IF(ISNA(VLOOKUP($E226,'A-1 Site Habitat Baseline'!$D$1:$O$258,2,FALSE)),"",(VLOOKUP($E226,'A-1 Site Habitat Baseline'!$D$1:$O$258,2,FALSE))))</f>
        <v/>
      </c>
      <c r="B226" s="47" t="str">
        <f>IF(E226="","",IF(ISNA(VLOOKUP($E226,'A-1 Site Habitat Baseline'!$D$1:$O$258,3,FALSE)),"",(VLOOKUP($E226,'A-1 Site Habitat Baseline'!$D$1:$O$258,3,FALSE))))</f>
        <v/>
      </c>
      <c r="C226" s="47" t="str">
        <f>IFERROR(INDEX('G-8 Condition Look up'!$I$4:$I$130,MATCH(S226,'G-8 Condition Look up'!$A$4:$A$130,0)),"")</f>
        <v/>
      </c>
      <c r="E226" s="531" t="str">
        <f>'A-1 Site Habitat Baseline'!AL225</f>
        <v/>
      </c>
      <c r="F226" s="520" t="str">
        <f>IF(E226="","",IF(ISNA(VLOOKUP($E226,'A-1 Site Habitat Baseline'!$D$1:$O$258,4,FALSE)),"",(VLOOKUP($E226,'A-1 Site Habitat Baseline'!$D$1:$O$258,4,FALSE))))</f>
        <v/>
      </c>
      <c r="G226" s="520" t="str">
        <f>IF(E226="","",IF(ISNA(VLOOKUP($E226,'A-1 Site Habitat Baseline'!$D$1:$O$258,5,FALSE)),"",(VLOOKUP($E226,'A-1 Site Habitat Baseline'!$D$1:$O$258,5,FALSE))))</f>
        <v/>
      </c>
      <c r="H226" s="520" t="str">
        <f>IF(E226="","",IF(ISNA(VLOOKUP($E226,'A-1 Site Habitat Baseline'!$D$1:$O$258,6,FALSE)),"",(VLOOKUP($E226,'A-1 Site Habitat Baseline'!$D$1:$O$258,6,FALSE))))</f>
        <v/>
      </c>
      <c r="I226" s="520" t="str">
        <f>IF(E226="","",IF(ISNA(VLOOKUP($E226,'A-1 Site Habitat Baseline'!$D$1:$O$258,7,FALSE)),"",(VLOOKUP($E226,'A-1 Site Habitat Baseline'!$D$1:$O$258,7,FALSE))))</f>
        <v/>
      </c>
      <c r="J226" s="520" t="str">
        <f>IF(E226="","",IF(ISNA(VLOOKUP($E226,'A-1 Site Habitat Baseline'!$D$1:$O$258,8,FALSE)),"",(VLOOKUP($E226,'A-1 Site Habitat Baseline'!$D$1:$O$258,8,FALSE))))</f>
        <v/>
      </c>
      <c r="K226" s="520" t="str">
        <f>IF(E226="","",IF(ISNA(VLOOKUP($E226,'A-1 Site Habitat Baseline'!$D$1:$O$258,9,FALSE)),"",(VLOOKUP($E226,'A-1 Site Habitat Baseline'!$D$1:$O$258,9,FALSE))))</f>
        <v/>
      </c>
      <c r="L226" s="520" t="str">
        <f>IF(E226="","",IF(ISNA(VLOOKUP($E226,'A-1 Site Habitat Baseline'!$D$1:$O$258,11,FALSE)),"",(VLOOKUP($E226,'A-1 Site Habitat Baseline'!$D$1:$O$258,11,FALSE))))</f>
        <v/>
      </c>
      <c r="M226" s="520" t="str">
        <f>IF(E226="","",IF(ISNA(VLOOKUP($E226,'A-1 Site Habitat Baseline'!$D$1:$O$258,12,FALSE)),"",(VLOOKUP($E226,'A-1 Site Habitat Baseline'!$D$1:$O$258,12,FALSE))))</f>
        <v/>
      </c>
      <c r="N226" s="532" t="str">
        <f>IF(E226="","",IF(ISNA(VLOOKUP($E226,'A-1 Site Habitat Baseline'!$D$1:$X$258,14,FALSE)),"",(VLOOKUP($E226,'A-1 Site Habitat Baseline'!$D$1:$X$258,14,FALSE))))</f>
        <v/>
      </c>
      <c r="O226" s="524" t="str">
        <f>IF(E226="","",IF(ISNA(VLOOKUP($E226,'A-1 Site Habitat Baseline'!$D$1:$X$258,16,FALSE)),"",(VLOOKUP($E226,'A-1 Site Habitat Baseline'!$D$1:$X$258,13,FALSE))))</f>
        <v/>
      </c>
      <c r="P226" s="237" t="str">
        <f>IFERROR(INDEX('G-1 All Habitats'!$AG$3:$AG$15,MATCH(Q226,'G-1 All Habitats'!$AF$3:$AF$15,0)),"")</f>
        <v/>
      </c>
      <c r="Q226" s="238" t="str">
        <f t="shared" si="37"/>
        <v/>
      </c>
      <c r="R226" s="238" t="str">
        <f t="shared" si="38"/>
        <v/>
      </c>
      <c r="S226" s="392" t="str">
        <f>IFERROR(INDEX('G-1 All Habitats'!$B$3:$B$129,MATCH(R226,'G-1 All Habitats'!$A$3:$A$129,0)),"")</f>
        <v/>
      </c>
      <c r="T226" s="498" t="str">
        <f t="shared" si="39"/>
        <v/>
      </c>
      <c r="U226" s="499" t="str">
        <f t="shared" si="40"/>
        <v/>
      </c>
      <c r="V226" s="537" t="str">
        <f t="shared" si="34"/>
        <v/>
      </c>
      <c r="W226" s="520" t="str">
        <f>IF(S226="","",VLOOKUP(S226,'G-1 All Habitats'!$B$2:$M$129,10,FALSE))</f>
        <v/>
      </c>
      <c r="X226" s="520" t="str">
        <f>IFERROR(VLOOKUP(W226,'G-1 All Habitats'!$V$3:$W$7,2,FALSE),"")</f>
        <v/>
      </c>
      <c r="Y226" s="79"/>
      <c r="Z226" s="524" t="str">
        <f>IFERROR(INDEX('G-8 Condition Look up'!$A$3:$H$130,MATCH(S226,'G-8 Condition Look up'!$A$3:$A$130,0),MATCH(Y226,'G-8 Condition Look up'!$A$3:$H$3,0)),"")</f>
        <v/>
      </c>
      <c r="AA226" s="71"/>
      <c r="AB226" s="520" t="str">
        <f>IF(AA226="","",IF(VLOOKUP(AA226,'G-3 Multipliers'!$L$3:$N$6,2,FALSE)=0,"Spatial Data Missing ⚠",VLOOKUP(AA226,'G-3 Multipliers'!$L$3:$N$6,2,FALSE)))</f>
        <v/>
      </c>
      <c r="AC226" s="524" t="str">
        <f>IF(AA226="","",IF(VLOOKUP(AA226,'G-3 Multipliers'!$L$3:$N$6,3,FALSE)=0,"Spatial Data Missing ⚠",VLOOKUP(AA226,'G-3 Multipliers'!$L$3:$N$6,3,FALSE)))</f>
        <v/>
      </c>
      <c r="AD226" s="539" t="str">
        <f t="shared" si="35"/>
        <v/>
      </c>
      <c r="AE226" s="82"/>
      <c r="AF226" s="82"/>
      <c r="AG226" s="507" t="str">
        <f t="shared" si="41"/>
        <v/>
      </c>
      <c r="AH226" s="521" t="str">
        <f t="shared" si="42"/>
        <v/>
      </c>
      <c r="AI226" s="522" t="str">
        <f>IF(AH226="Check Data","Check Data",IFERROR(VLOOKUP(AH226,'G-4 Temporal multipliers'!$A$4:$C$36,3,FALSE),""))</f>
        <v/>
      </c>
      <c r="AJ226" s="498" t="str">
        <f>IF(S226="","",VLOOKUP(S226,'G-3 Multipliers'!$A$2:$E$129,4,FALSE))</f>
        <v/>
      </c>
      <c r="AK226" s="507" t="str">
        <f t="shared" si="43"/>
        <v/>
      </c>
      <c r="AL226" s="507" t="str">
        <f t="shared" si="44"/>
        <v/>
      </c>
      <c r="AM226" s="540" t="str">
        <f>IFERROR(IF(F226="","",IF(AH226="Check Data ⚠","Check Data ⚠",VLOOKUP(AL226, 'G-3 Multipliers'!$P$2:$Q$6,2,FALSE))),"")</f>
        <v/>
      </c>
      <c r="AN226" s="513" t="str">
        <f t="shared" si="36"/>
        <v/>
      </c>
      <c r="AO226" s="239"/>
      <c r="AP226" s="240"/>
    </row>
    <row r="227" spans="1:42" x14ac:dyDescent="0.25">
      <c r="A227" s="47" t="str">
        <f>IF(E227="","",IF(ISNA(VLOOKUP($E227,'A-1 Site Habitat Baseline'!$D$1:$O$258,2,FALSE)),"",(VLOOKUP($E227,'A-1 Site Habitat Baseline'!$D$1:$O$258,2,FALSE))))</f>
        <v/>
      </c>
      <c r="B227" s="47" t="str">
        <f>IF(E227="","",IF(ISNA(VLOOKUP($E227,'A-1 Site Habitat Baseline'!$D$1:$O$258,3,FALSE)),"",(VLOOKUP($E227,'A-1 Site Habitat Baseline'!$D$1:$O$258,3,FALSE))))</f>
        <v/>
      </c>
      <c r="C227" s="47" t="str">
        <f>IFERROR(INDEX('G-8 Condition Look up'!$I$4:$I$130,MATCH(S227,'G-8 Condition Look up'!$A$4:$A$130,0)),"")</f>
        <v/>
      </c>
      <c r="E227" s="531" t="str">
        <f>'A-1 Site Habitat Baseline'!AL226</f>
        <v/>
      </c>
      <c r="F227" s="520" t="str">
        <f>IF(E227="","",IF(ISNA(VLOOKUP($E227,'A-1 Site Habitat Baseline'!$D$1:$O$258,4,FALSE)),"",(VLOOKUP($E227,'A-1 Site Habitat Baseline'!$D$1:$O$258,4,FALSE))))</f>
        <v/>
      </c>
      <c r="G227" s="520" t="str">
        <f>IF(E227="","",IF(ISNA(VLOOKUP($E227,'A-1 Site Habitat Baseline'!$D$1:$O$258,5,FALSE)),"",(VLOOKUP($E227,'A-1 Site Habitat Baseline'!$D$1:$O$258,5,FALSE))))</f>
        <v/>
      </c>
      <c r="H227" s="520" t="str">
        <f>IF(E227="","",IF(ISNA(VLOOKUP($E227,'A-1 Site Habitat Baseline'!$D$1:$O$258,6,FALSE)),"",(VLOOKUP($E227,'A-1 Site Habitat Baseline'!$D$1:$O$258,6,FALSE))))</f>
        <v/>
      </c>
      <c r="I227" s="520" t="str">
        <f>IF(E227="","",IF(ISNA(VLOOKUP($E227,'A-1 Site Habitat Baseline'!$D$1:$O$258,7,FALSE)),"",(VLOOKUP($E227,'A-1 Site Habitat Baseline'!$D$1:$O$258,7,FALSE))))</f>
        <v/>
      </c>
      <c r="J227" s="520" t="str">
        <f>IF(E227="","",IF(ISNA(VLOOKUP($E227,'A-1 Site Habitat Baseline'!$D$1:$O$258,8,FALSE)),"",(VLOOKUP($E227,'A-1 Site Habitat Baseline'!$D$1:$O$258,8,FALSE))))</f>
        <v/>
      </c>
      <c r="K227" s="520" t="str">
        <f>IF(E227="","",IF(ISNA(VLOOKUP($E227,'A-1 Site Habitat Baseline'!$D$1:$O$258,9,FALSE)),"",(VLOOKUP($E227,'A-1 Site Habitat Baseline'!$D$1:$O$258,9,FALSE))))</f>
        <v/>
      </c>
      <c r="L227" s="520" t="str">
        <f>IF(E227="","",IF(ISNA(VLOOKUP($E227,'A-1 Site Habitat Baseline'!$D$1:$O$258,11,FALSE)),"",(VLOOKUP($E227,'A-1 Site Habitat Baseline'!$D$1:$O$258,11,FALSE))))</f>
        <v/>
      </c>
      <c r="M227" s="520" t="str">
        <f>IF(E227="","",IF(ISNA(VLOOKUP($E227,'A-1 Site Habitat Baseline'!$D$1:$O$258,12,FALSE)),"",(VLOOKUP($E227,'A-1 Site Habitat Baseline'!$D$1:$O$258,12,FALSE))))</f>
        <v/>
      </c>
      <c r="N227" s="532" t="str">
        <f>IF(E227="","",IF(ISNA(VLOOKUP($E227,'A-1 Site Habitat Baseline'!$D$1:$X$258,14,FALSE)),"",(VLOOKUP($E227,'A-1 Site Habitat Baseline'!$D$1:$X$258,14,FALSE))))</f>
        <v/>
      </c>
      <c r="O227" s="524" t="str">
        <f>IF(E227="","",IF(ISNA(VLOOKUP($E227,'A-1 Site Habitat Baseline'!$D$1:$X$258,16,FALSE)),"",(VLOOKUP($E227,'A-1 Site Habitat Baseline'!$D$1:$X$258,13,FALSE))))</f>
        <v/>
      </c>
      <c r="P227" s="237" t="str">
        <f>IFERROR(INDEX('G-1 All Habitats'!$AG$3:$AG$15,MATCH(Q227,'G-1 All Habitats'!$AF$3:$AF$15,0)),"")</f>
        <v/>
      </c>
      <c r="Q227" s="238" t="str">
        <f t="shared" si="37"/>
        <v/>
      </c>
      <c r="R227" s="238" t="str">
        <f t="shared" si="38"/>
        <v/>
      </c>
      <c r="S227" s="392" t="str">
        <f>IFERROR(INDEX('G-1 All Habitats'!$B$3:$B$129,MATCH(R227,'G-1 All Habitats'!$A$3:$A$129,0)),"")</f>
        <v/>
      </c>
      <c r="T227" s="498" t="str">
        <f t="shared" si="39"/>
        <v/>
      </c>
      <c r="U227" s="499" t="str">
        <f t="shared" si="40"/>
        <v/>
      </c>
      <c r="V227" s="537" t="str">
        <f t="shared" si="34"/>
        <v/>
      </c>
      <c r="W227" s="520" t="str">
        <f>IF(S227="","",VLOOKUP(S227,'G-1 All Habitats'!$B$2:$M$129,10,FALSE))</f>
        <v/>
      </c>
      <c r="X227" s="520" t="str">
        <f>IFERROR(VLOOKUP(W227,'G-1 All Habitats'!$V$3:$W$7,2,FALSE),"")</f>
        <v/>
      </c>
      <c r="Y227" s="79"/>
      <c r="Z227" s="524" t="str">
        <f>IFERROR(INDEX('G-8 Condition Look up'!$A$3:$H$130,MATCH(S227,'G-8 Condition Look up'!$A$3:$A$130,0),MATCH(Y227,'G-8 Condition Look up'!$A$3:$H$3,0)),"")</f>
        <v/>
      </c>
      <c r="AA227" s="71"/>
      <c r="AB227" s="520" t="str">
        <f>IF(AA227="","",IF(VLOOKUP(AA227,'G-3 Multipliers'!$L$3:$N$6,2,FALSE)=0,"Spatial Data Missing ⚠",VLOOKUP(AA227,'G-3 Multipliers'!$L$3:$N$6,2,FALSE)))</f>
        <v/>
      </c>
      <c r="AC227" s="524" t="str">
        <f>IF(AA227="","",IF(VLOOKUP(AA227,'G-3 Multipliers'!$L$3:$N$6,3,FALSE)=0,"Spatial Data Missing ⚠",VLOOKUP(AA227,'G-3 Multipliers'!$L$3:$N$6,3,FALSE)))</f>
        <v/>
      </c>
      <c r="AD227" s="539" t="str">
        <f t="shared" si="35"/>
        <v/>
      </c>
      <c r="AE227" s="82"/>
      <c r="AF227" s="82"/>
      <c r="AG227" s="507" t="str">
        <f>IF(AD227="","",IF(AD227="Check Data ⚠","Check Data ⚠",IF(R227="","",IF(AND(AE227&gt;0,AF227&gt;0),"Error -both advance and delayed habitat creation ▲",IF(AND(OR(AE227="Habitat already in target condition",AD227&lt;=AE227),AF227=0),"Check details - Is there evidence that habitat has reached target condition? ⚠",IF(O226="","",IF(AE227&gt;0,"Check details - Is there evidence habitat creation started/in place? ⚠",IF(AF227&gt;0,"Check details- Delay in starting habitat in required condition? ⚠","Standard time to target condition applied"))))))))</f>
        <v/>
      </c>
      <c r="AH227" s="521" t="str">
        <f>IF(LEFT(AG227,5)="Error ▲","Check Data ⚠",IF(AG227="Check Data ⚠","Check Data ⚠",IF(AD227="","",IF(AD227="Not Possible","Check Data ⚠",IF(AND(AD227="30+",AE227=0),"30+",IF(AND(AD227="30+",AE227="30+"),0,IF(AND(AD227="30+",AE227&lt;30),30-AE227,IF(AD227="30+",30-AE227,IF(AE227&gt;AD227,0,IF(AF227="30+","30+",IF(AD227+AF227&gt;30,"30+",IF(AD227+AF227&gt;30,"30+",IF(AD227-AE227&gt;30,"30+",IF(AD227+AF227-AE227&gt;0,AD227+AF227-AE227,IF(AD227-AE227&gt;0,AD227-AE227,AD227+AF227-AE227)))))))))))))))</f>
        <v/>
      </c>
      <c r="AI227" s="522" t="str">
        <f>IF(AH227="Check Data","Check Data",IFERROR(VLOOKUP(AH227,'G-4 Temporal multipliers'!$A$4:$C$36,3,FALSE),""))</f>
        <v/>
      </c>
      <c r="AJ227" s="498" t="str">
        <f>IF(S227="","",VLOOKUP(S227,'G-3 Multipliers'!$A$2:$E$129,4,FALSE))</f>
        <v/>
      </c>
      <c r="AK227" s="507" t="str">
        <f t="shared" si="43"/>
        <v/>
      </c>
      <c r="AL227" s="507" t="str">
        <f>(IF(AND(AK227="Standard difficulty applied",AD227&gt;AE227),AJ227,IF(AND(AK227="Low Difficulty - only applicable if all habitat created before losses ⚠",AE227&gt;=AD227),"Low", AJ227)))</f>
        <v/>
      </c>
      <c r="AM227" s="540" t="str">
        <f>IFERROR(IF(F227="","",IF(AH227="Check Data ⚠","Check Data ⚠",VLOOKUP(AL227, 'G-3 Multipliers'!$P$2:$Q$6,2,FALSE))),"")</f>
        <v/>
      </c>
      <c r="AN227" s="513" t="str">
        <f t="shared" si="36"/>
        <v/>
      </c>
      <c r="AO227" s="239"/>
      <c r="AP227" s="240"/>
    </row>
    <row r="228" spans="1:42" x14ac:dyDescent="0.25">
      <c r="A228" s="47" t="str">
        <f>IF(E228="","",IF(ISNA(VLOOKUP($E228,'A-1 Site Habitat Baseline'!$D$1:$O$258,2,FALSE)),"",(VLOOKUP($E228,'A-1 Site Habitat Baseline'!$D$1:$O$258,2,FALSE))))</f>
        <v/>
      </c>
      <c r="B228" s="47" t="str">
        <f>IF(E228="","",IF(ISNA(VLOOKUP($E228,'A-1 Site Habitat Baseline'!$D$1:$O$258,3,FALSE)),"",(VLOOKUP($E228,'A-1 Site Habitat Baseline'!$D$1:$O$258,3,FALSE))))</f>
        <v/>
      </c>
      <c r="C228" s="47" t="str">
        <f>IFERROR(INDEX('G-8 Condition Look up'!$I$4:$I$130,MATCH(S228,'G-8 Condition Look up'!$A$4:$A$130,0)),"")</f>
        <v/>
      </c>
      <c r="E228" s="531" t="str">
        <f>'A-1 Site Habitat Baseline'!AL227</f>
        <v/>
      </c>
      <c r="F228" s="520" t="str">
        <f>IF(E228="","",IF(ISNA(VLOOKUP($E228,'A-1 Site Habitat Baseline'!$D$1:$O$258,4,FALSE)),"",(VLOOKUP($E228,'A-1 Site Habitat Baseline'!$D$1:$O$258,4,FALSE))))</f>
        <v/>
      </c>
      <c r="G228" s="520" t="str">
        <f>IF(E228="","",IF(ISNA(VLOOKUP($E228,'A-1 Site Habitat Baseline'!$D$1:$O$258,5,FALSE)),"",(VLOOKUP($E228,'A-1 Site Habitat Baseline'!$D$1:$O$258,5,FALSE))))</f>
        <v/>
      </c>
      <c r="H228" s="520" t="str">
        <f>IF(E228="","",IF(ISNA(VLOOKUP($E228,'A-1 Site Habitat Baseline'!$D$1:$O$258,6,FALSE)),"",(VLOOKUP($E228,'A-1 Site Habitat Baseline'!$D$1:$O$258,6,FALSE))))</f>
        <v/>
      </c>
      <c r="I228" s="520" t="str">
        <f>IF(E228="","",IF(ISNA(VLOOKUP($E228,'A-1 Site Habitat Baseline'!$D$1:$O$258,7,FALSE)),"",(VLOOKUP($E228,'A-1 Site Habitat Baseline'!$D$1:$O$258,7,FALSE))))</f>
        <v/>
      </c>
      <c r="J228" s="520" t="str">
        <f>IF(E228="","",IF(ISNA(VLOOKUP($E228,'A-1 Site Habitat Baseline'!$D$1:$O$258,8,FALSE)),"",(VLOOKUP($E228,'A-1 Site Habitat Baseline'!$D$1:$O$258,8,FALSE))))</f>
        <v/>
      </c>
      <c r="K228" s="520" t="str">
        <f>IF(E228="","",IF(ISNA(VLOOKUP($E228,'A-1 Site Habitat Baseline'!$D$1:$O$258,9,FALSE)),"",(VLOOKUP($E228,'A-1 Site Habitat Baseline'!$D$1:$O$258,9,FALSE))))</f>
        <v/>
      </c>
      <c r="L228" s="520" t="str">
        <f>IF(E228="","",IF(ISNA(VLOOKUP($E228,'A-1 Site Habitat Baseline'!$D$1:$O$258,11,FALSE)),"",(VLOOKUP($E228,'A-1 Site Habitat Baseline'!$D$1:$O$258,11,FALSE))))</f>
        <v/>
      </c>
      <c r="M228" s="520" t="str">
        <f>IF(E228="","",IF(ISNA(VLOOKUP($E228,'A-1 Site Habitat Baseline'!$D$1:$O$258,12,FALSE)),"",(VLOOKUP($E228,'A-1 Site Habitat Baseline'!$D$1:$O$258,12,FALSE))))</f>
        <v/>
      </c>
      <c r="N228" s="532" t="str">
        <f>IF(E228="","",IF(ISNA(VLOOKUP($E228,'A-1 Site Habitat Baseline'!$D$1:$X$258,14,FALSE)),"",(VLOOKUP($E228,'A-1 Site Habitat Baseline'!$D$1:$X$258,14,FALSE))))</f>
        <v/>
      </c>
      <c r="O228" s="524" t="str">
        <f>IF(E228="","",IF(ISNA(VLOOKUP($E228,'A-1 Site Habitat Baseline'!$D$1:$X$258,16,FALSE)),"",(VLOOKUP($E228,'A-1 Site Habitat Baseline'!$D$1:$X$258,13,FALSE))))</f>
        <v/>
      </c>
      <c r="P228" s="237" t="str">
        <f>IFERROR(INDEX('G-1 All Habitats'!$AG$3:$AG$15,MATCH(Q228,'G-1 All Habitats'!$AF$3:$AF$15,0)),"")</f>
        <v/>
      </c>
      <c r="Q228" s="238" t="str">
        <f t="shared" si="37"/>
        <v/>
      </c>
      <c r="R228" s="238" t="str">
        <f t="shared" si="38"/>
        <v/>
      </c>
      <c r="S228" s="392" t="str">
        <f>IFERROR(INDEX('G-1 All Habitats'!$B$3:$B$129,MATCH(R228,'G-1 All Habitats'!$A$3:$A$129,0)),"")</f>
        <v/>
      </c>
      <c r="T228" s="498" t="str">
        <f t="shared" si="39"/>
        <v/>
      </c>
      <c r="U228" s="499" t="str">
        <f t="shared" si="40"/>
        <v/>
      </c>
      <c r="V228" s="537" t="str">
        <f t="shared" si="34"/>
        <v/>
      </c>
      <c r="W228" s="520" t="str">
        <f>IF(S228="","",VLOOKUP(S228,'G-1 All Habitats'!$B$2:$M$129,10,FALSE))</f>
        <v/>
      </c>
      <c r="X228" s="520" t="str">
        <f>IFERROR(VLOOKUP(W228,'G-1 All Habitats'!$V$3:$W$7,2,FALSE),"")</f>
        <v/>
      </c>
      <c r="Y228" s="79"/>
      <c r="Z228" s="524" t="str">
        <f>IFERROR(INDEX('G-8 Condition Look up'!$A$3:$H$130,MATCH(S228,'G-8 Condition Look up'!$A$3:$A$130,0),MATCH(Y228,'G-8 Condition Look up'!$A$3:$H$3,0)),"")</f>
        <v/>
      </c>
      <c r="AA228" s="71"/>
      <c r="AB228" s="520" t="str">
        <f>IF(AA228="","",IF(VLOOKUP(AA228,'G-3 Multipliers'!$L$3:$N$6,2,FALSE)=0,"Spatial Data Missing ⚠",VLOOKUP(AA228,'G-3 Multipliers'!$L$3:$N$6,2,FALSE)))</f>
        <v/>
      </c>
      <c r="AC228" s="524" t="str">
        <f>IF(AA228="","",IF(VLOOKUP(AA228,'G-3 Multipliers'!$L$3:$N$6,3,FALSE)=0,"Spatial Data Missing ⚠",VLOOKUP(AA228,'G-3 Multipliers'!$L$3:$N$6,3,FALSE)))</f>
        <v/>
      </c>
      <c r="AD228" s="539" t="str">
        <f t="shared" si="35"/>
        <v/>
      </c>
      <c r="AE228" s="82"/>
      <c r="AF228" s="82"/>
      <c r="AG228" s="507" t="str">
        <f t="shared" si="41"/>
        <v/>
      </c>
      <c r="AH228" s="521" t="str">
        <f t="shared" si="42"/>
        <v/>
      </c>
      <c r="AI228" s="522" t="str">
        <f>IF(AH228="Check Data","Check Data",IFERROR(VLOOKUP(AH228,'G-4 Temporal multipliers'!$A$4:$C$36,3,FALSE),""))</f>
        <v/>
      </c>
      <c r="AJ228" s="498" t="str">
        <f>IF(S228="","",VLOOKUP(S228,'G-3 Multipliers'!$A$2:$E$129,4,FALSE))</f>
        <v/>
      </c>
      <c r="AK228" s="507" t="str">
        <f t="shared" si="43"/>
        <v/>
      </c>
      <c r="AL228" s="507" t="str">
        <f t="shared" si="44"/>
        <v/>
      </c>
      <c r="AM228" s="540" t="str">
        <f>IFERROR(IF(F228="","",IF(AH228="Check Data ⚠","Check Data ⚠",VLOOKUP(AL228, 'G-3 Multipliers'!$P$2:$Q$6,2,FALSE))),"")</f>
        <v/>
      </c>
      <c r="AN228" s="513" t="str">
        <f t="shared" si="36"/>
        <v/>
      </c>
      <c r="AO228" s="239"/>
      <c r="AP228" s="240"/>
    </row>
    <row r="229" spans="1:42" x14ac:dyDescent="0.25">
      <c r="A229" s="47" t="str">
        <f>IF(E229="","",IF(ISNA(VLOOKUP($E229,'A-1 Site Habitat Baseline'!$D$1:$O$258,2,FALSE)),"",(VLOOKUP($E229,'A-1 Site Habitat Baseline'!$D$1:$O$258,2,FALSE))))</f>
        <v/>
      </c>
      <c r="B229" s="47" t="str">
        <f>IF(E229="","",IF(ISNA(VLOOKUP($E229,'A-1 Site Habitat Baseline'!$D$1:$O$258,3,FALSE)),"",(VLOOKUP($E229,'A-1 Site Habitat Baseline'!$D$1:$O$258,3,FALSE))))</f>
        <v/>
      </c>
      <c r="C229" s="47" t="str">
        <f>IFERROR(INDEX('G-8 Condition Look up'!$I$4:$I$130,MATCH(S229,'G-8 Condition Look up'!$A$4:$A$130,0)),"")</f>
        <v/>
      </c>
      <c r="E229" s="531" t="str">
        <f>'A-1 Site Habitat Baseline'!AL228</f>
        <v/>
      </c>
      <c r="F229" s="520" t="str">
        <f>IF(E229="","",IF(ISNA(VLOOKUP($E229,'A-1 Site Habitat Baseline'!$D$1:$O$258,4,FALSE)),"",(VLOOKUP($E229,'A-1 Site Habitat Baseline'!$D$1:$O$258,4,FALSE))))</f>
        <v/>
      </c>
      <c r="G229" s="520" t="str">
        <f>IF(E229="","",IF(ISNA(VLOOKUP($E229,'A-1 Site Habitat Baseline'!$D$1:$O$258,5,FALSE)),"",(VLOOKUP($E229,'A-1 Site Habitat Baseline'!$D$1:$O$258,5,FALSE))))</f>
        <v/>
      </c>
      <c r="H229" s="520" t="str">
        <f>IF(E229="","",IF(ISNA(VLOOKUP($E229,'A-1 Site Habitat Baseline'!$D$1:$O$258,6,FALSE)),"",(VLOOKUP($E229,'A-1 Site Habitat Baseline'!$D$1:$O$258,6,FALSE))))</f>
        <v/>
      </c>
      <c r="I229" s="520" t="str">
        <f>IF(E229="","",IF(ISNA(VLOOKUP($E229,'A-1 Site Habitat Baseline'!$D$1:$O$258,7,FALSE)),"",(VLOOKUP($E229,'A-1 Site Habitat Baseline'!$D$1:$O$258,7,FALSE))))</f>
        <v/>
      </c>
      <c r="J229" s="520" t="str">
        <f>IF(E229="","",IF(ISNA(VLOOKUP($E229,'A-1 Site Habitat Baseline'!$D$1:$O$258,8,FALSE)),"",(VLOOKUP($E229,'A-1 Site Habitat Baseline'!$D$1:$O$258,8,FALSE))))</f>
        <v/>
      </c>
      <c r="K229" s="520" t="str">
        <f>IF(E229="","",IF(ISNA(VLOOKUP($E229,'A-1 Site Habitat Baseline'!$D$1:$O$258,9,FALSE)),"",(VLOOKUP($E229,'A-1 Site Habitat Baseline'!$D$1:$O$258,9,FALSE))))</f>
        <v/>
      </c>
      <c r="L229" s="520" t="str">
        <f>IF(E229="","",IF(ISNA(VLOOKUP($E229,'A-1 Site Habitat Baseline'!$D$1:$O$258,11,FALSE)),"",(VLOOKUP($E229,'A-1 Site Habitat Baseline'!$D$1:$O$258,11,FALSE))))</f>
        <v/>
      </c>
      <c r="M229" s="520" t="str">
        <f>IF(E229="","",IF(ISNA(VLOOKUP($E229,'A-1 Site Habitat Baseline'!$D$1:$O$258,12,FALSE)),"",(VLOOKUP($E229,'A-1 Site Habitat Baseline'!$D$1:$O$258,12,FALSE))))</f>
        <v/>
      </c>
      <c r="N229" s="532" t="str">
        <f>IF(E229="","",IF(ISNA(VLOOKUP($E229,'A-1 Site Habitat Baseline'!$D$1:$X$258,14,FALSE)),"",(VLOOKUP($E229,'A-1 Site Habitat Baseline'!$D$1:$X$258,14,FALSE))))</f>
        <v/>
      </c>
      <c r="O229" s="524" t="str">
        <f>IF(E229="","",IF(ISNA(VLOOKUP($E229,'A-1 Site Habitat Baseline'!$D$1:$X$258,16,FALSE)),"",(VLOOKUP($E229,'A-1 Site Habitat Baseline'!$D$1:$X$258,13,FALSE))))</f>
        <v/>
      </c>
      <c r="P229" s="237" t="str">
        <f>IFERROR(INDEX('G-1 All Habitats'!$AG$3:$AG$15,MATCH(Q229,'G-1 All Habitats'!$AF$3:$AF$15,0)),"")</f>
        <v/>
      </c>
      <c r="Q229" s="238" t="str">
        <f t="shared" si="37"/>
        <v/>
      </c>
      <c r="R229" s="238" t="str">
        <f t="shared" si="38"/>
        <v/>
      </c>
      <c r="S229" s="392" t="str">
        <f>IFERROR(INDEX('G-1 All Habitats'!$B$3:$B$129,MATCH(R229,'G-1 All Habitats'!$A$3:$A$129,0)),"")</f>
        <v/>
      </c>
      <c r="T229" s="498" t="str">
        <f t="shared" si="39"/>
        <v/>
      </c>
      <c r="U229" s="499" t="str">
        <f t="shared" si="40"/>
        <v/>
      </c>
      <c r="V229" s="537" t="str">
        <f t="shared" si="34"/>
        <v/>
      </c>
      <c r="W229" s="520" t="str">
        <f>IF(S229="","",VLOOKUP(S229,'G-1 All Habitats'!$B$2:$M$129,10,FALSE))</f>
        <v/>
      </c>
      <c r="X229" s="520" t="str">
        <f>IFERROR(VLOOKUP(W229,'G-1 All Habitats'!$V$3:$W$7,2,FALSE),"")</f>
        <v/>
      </c>
      <c r="Y229" s="79"/>
      <c r="Z229" s="524" t="str">
        <f>IFERROR(INDEX('G-8 Condition Look up'!$A$3:$H$130,MATCH(S229,'G-8 Condition Look up'!$A$3:$A$130,0),MATCH(Y229,'G-8 Condition Look up'!$A$3:$H$3,0)),"")</f>
        <v/>
      </c>
      <c r="AA229" s="71"/>
      <c r="AB229" s="520" t="str">
        <f>IF(AA229="","",IF(VLOOKUP(AA229,'G-3 Multipliers'!$L$3:$N$6,2,FALSE)=0,"Spatial Data Missing ⚠",VLOOKUP(AA229,'G-3 Multipliers'!$L$3:$N$6,2,FALSE)))</f>
        <v/>
      </c>
      <c r="AC229" s="524" t="str">
        <f>IF(AA229="","",IF(VLOOKUP(AA229,'G-3 Multipliers'!$L$3:$N$6,3,FALSE)=0,"Spatial Data Missing ⚠",VLOOKUP(AA229,'G-3 Multipliers'!$L$3:$N$6,3,FALSE)))</f>
        <v/>
      </c>
      <c r="AD229" s="539" t="str">
        <f t="shared" si="35"/>
        <v/>
      </c>
      <c r="AE229" s="82"/>
      <c r="AF229" s="82"/>
      <c r="AG229" s="507" t="str">
        <f t="shared" si="41"/>
        <v/>
      </c>
      <c r="AH229" s="521" t="str">
        <f t="shared" si="42"/>
        <v/>
      </c>
      <c r="AI229" s="522" t="str">
        <f>IF(AH229="Check Data","Check Data",IFERROR(VLOOKUP(AH229,'G-4 Temporal multipliers'!$A$4:$C$36,3,FALSE),""))</f>
        <v/>
      </c>
      <c r="AJ229" s="498" t="str">
        <f>IF(S229="","",VLOOKUP(S229,'G-3 Multipliers'!$A$2:$E$129,4,FALSE))</f>
        <v/>
      </c>
      <c r="AK229" s="507" t="str">
        <f t="shared" si="43"/>
        <v/>
      </c>
      <c r="AL229" s="507" t="str">
        <f t="shared" si="44"/>
        <v/>
      </c>
      <c r="AM229" s="540" t="str">
        <f>IFERROR(IF(F229="","",IF(AH229="Check Data ⚠","Check Data ⚠",VLOOKUP(AL229, 'G-3 Multipliers'!$P$2:$Q$6,2,FALSE))),"")</f>
        <v/>
      </c>
      <c r="AN229" s="513" t="str">
        <f t="shared" si="36"/>
        <v/>
      </c>
      <c r="AO229" s="239"/>
      <c r="AP229" s="240"/>
    </row>
    <row r="230" spans="1:42" x14ac:dyDescent="0.25">
      <c r="A230" s="47" t="str">
        <f>IF(E230="","",IF(ISNA(VLOOKUP($E230,'A-1 Site Habitat Baseline'!$D$1:$O$258,2,FALSE)),"",(VLOOKUP($E230,'A-1 Site Habitat Baseline'!$D$1:$O$258,2,FALSE))))</f>
        <v/>
      </c>
      <c r="B230" s="47" t="str">
        <f>IF(E230="","",IF(ISNA(VLOOKUP($E230,'A-1 Site Habitat Baseline'!$D$1:$O$258,3,FALSE)),"",(VLOOKUP($E230,'A-1 Site Habitat Baseline'!$D$1:$O$258,3,FALSE))))</f>
        <v/>
      </c>
      <c r="C230" s="47" t="str">
        <f>IFERROR(INDEX('G-8 Condition Look up'!$I$4:$I$130,MATCH(S230,'G-8 Condition Look up'!$A$4:$A$130,0)),"")</f>
        <v/>
      </c>
      <c r="E230" s="531" t="str">
        <f>'A-1 Site Habitat Baseline'!AL229</f>
        <v/>
      </c>
      <c r="F230" s="520" t="str">
        <f>IF(E230="","",IF(ISNA(VLOOKUP($E230,'A-1 Site Habitat Baseline'!$D$1:$O$258,4,FALSE)),"",(VLOOKUP($E230,'A-1 Site Habitat Baseline'!$D$1:$O$258,4,FALSE))))</f>
        <v/>
      </c>
      <c r="G230" s="520" t="str">
        <f>IF(E230="","",IF(ISNA(VLOOKUP($E230,'A-1 Site Habitat Baseline'!$D$1:$O$258,5,FALSE)),"",(VLOOKUP($E230,'A-1 Site Habitat Baseline'!$D$1:$O$258,5,FALSE))))</f>
        <v/>
      </c>
      <c r="H230" s="520" t="str">
        <f>IF(E230="","",IF(ISNA(VLOOKUP($E230,'A-1 Site Habitat Baseline'!$D$1:$O$258,6,FALSE)),"",(VLOOKUP($E230,'A-1 Site Habitat Baseline'!$D$1:$O$258,6,FALSE))))</f>
        <v/>
      </c>
      <c r="I230" s="520" t="str">
        <f>IF(E230="","",IF(ISNA(VLOOKUP($E230,'A-1 Site Habitat Baseline'!$D$1:$O$258,7,FALSE)),"",(VLOOKUP($E230,'A-1 Site Habitat Baseline'!$D$1:$O$258,7,FALSE))))</f>
        <v/>
      </c>
      <c r="J230" s="520" t="str">
        <f>IF(E230="","",IF(ISNA(VLOOKUP($E230,'A-1 Site Habitat Baseline'!$D$1:$O$258,8,FALSE)),"",(VLOOKUP($E230,'A-1 Site Habitat Baseline'!$D$1:$O$258,8,FALSE))))</f>
        <v/>
      </c>
      <c r="K230" s="520" t="str">
        <f>IF(E230="","",IF(ISNA(VLOOKUP($E230,'A-1 Site Habitat Baseline'!$D$1:$O$258,9,FALSE)),"",(VLOOKUP($E230,'A-1 Site Habitat Baseline'!$D$1:$O$258,9,FALSE))))</f>
        <v/>
      </c>
      <c r="L230" s="520" t="str">
        <f>IF(E230="","",IF(ISNA(VLOOKUP($E230,'A-1 Site Habitat Baseline'!$D$1:$O$258,11,FALSE)),"",(VLOOKUP($E230,'A-1 Site Habitat Baseline'!$D$1:$O$258,11,FALSE))))</f>
        <v/>
      </c>
      <c r="M230" s="520" t="str">
        <f>IF(E230="","",IF(ISNA(VLOOKUP($E230,'A-1 Site Habitat Baseline'!$D$1:$O$258,12,FALSE)),"",(VLOOKUP($E230,'A-1 Site Habitat Baseline'!$D$1:$O$258,12,FALSE))))</f>
        <v/>
      </c>
      <c r="N230" s="532" t="str">
        <f>IF(E230="","",IF(ISNA(VLOOKUP($E230,'A-1 Site Habitat Baseline'!$D$1:$X$258,14,FALSE)),"",(VLOOKUP($E230,'A-1 Site Habitat Baseline'!$D$1:$X$258,14,FALSE))))</f>
        <v/>
      </c>
      <c r="O230" s="524" t="str">
        <f>IF(E230="","",IF(ISNA(VLOOKUP($E230,'A-1 Site Habitat Baseline'!$D$1:$X$258,16,FALSE)),"",(VLOOKUP($E230,'A-1 Site Habitat Baseline'!$D$1:$X$258,13,FALSE))))</f>
        <v/>
      </c>
      <c r="P230" s="237" t="str">
        <f>IFERROR(INDEX('G-1 All Habitats'!$AG$3:$AG$15,MATCH(Q230,'G-1 All Habitats'!$AF$3:$AF$15,0)),"")</f>
        <v/>
      </c>
      <c r="Q230" s="238" t="str">
        <f t="shared" si="37"/>
        <v/>
      </c>
      <c r="R230" s="238" t="str">
        <f t="shared" si="38"/>
        <v/>
      </c>
      <c r="S230" s="392" t="str">
        <f>IFERROR(INDEX('G-1 All Habitats'!$B$3:$B$129,MATCH(R230,'G-1 All Habitats'!$A$3:$A$129,0)),"")</f>
        <v/>
      </c>
      <c r="T230" s="498" t="str">
        <f t="shared" si="39"/>
        <v/>
      </c>
      <c r="U230" s="499" t="str">
        <f t="shared" si="40"/>
        <v/>
      </c>
      <c r="V230" s="537" t="str">
        <f t="shared" si="34"/>
        <v/>
      </c>
      <c r="W230" s="520" t="str">
        <f>IF(S230="","",VLOOKUP(S230,'G-1 All Habitats'!$B$2:$M$129,10,FALSE))</f>
        <v/>
      </c>
      <c r="X230" s="520" t="str">
        <f>IFERROR(VLOOKUP(W230,'G-1 All Habitats'!$V$3:$W$7,2,FALSE),"")</f>
        <v/>
      </c>
      <c r="Y230" s="79"/>
      <c r="Z230" s="524" t="str">
        <f>IFERROR(INDEX('G-8 Condition Look up'!$A$3:$H$130,MATCH(S230,'G-8 Condition Look up'!$A$3:$A$130,0),MATCH(Y230,'G-8 Condition Look up'!$A$3:$H$3,0)),"")</f>
        <v/>
      </c>
      <c r="AA230" s="71"/>
      <c r="AB230" s="520" t="str">
        <f>IF(AA230="","",IF(VLOOKUP(AA230,'G-3 Multipliers'!$L$3:$N$6,2,FALSE)=0,"Spatial Data Missing ⚠",VLOOKUP(AA230,'G-3 Multipliers'!$L$3:$N$6,2,FALSE)))</f>
        <v/>
      </c>
      <c r="AC230" s="524" t="str">
        <f>IF(AA230="","",IF(VLOOKUP(AA230,'G-3 Multipliers'!$L$3:$N$6,3,FALSE)=0,"Spatial Data Missing ⚠",VLOOKUP(AA230,'G-3 Multipliers'!$L$3:$N$6,3,FALSE)))</f>
        <v/>
      </c>
      <c r="AD230" s="539" t="str">
        <f t="shared" si="35"/>
        <v/>
      </c>
      <c r="AE230" s="82"/>
      <c r="AF230" s="82"/>
      <c r="AG230" s="507" t="str">
        <f t="shared" si="41"/>
        <v/>
      </c>
      <c r="AH230" s="521" t="str">
        <f t="shared" si="42"/>
        <v/>
      </c>
      <c r="AI230" s="522" t="str">
        <f>IF(AH230="Check Data","Check Data",IFERROR(VLOOKUP(AH230,'G-4 Temporal multipliers'!$A$4:$C$36,3,FALSE),""))</f>
        <v/>
      </c>
      <c r="AJ230" s="498" t="str">
        <f>IF(S230="","",VLOOKUP(S230,'G-3 Multipliers'!$A$2:$E$129,4,FALSE))</f>
        <v/>
      </c>
      <c r="AK230" s="507" t="str">
        <f t="shared" si="43"/>
        <v/>
      </c>
      <c r="AL230" s="507" t="str">
        <f t="shared" si="44"/>
        <v/>
      </c>
      <c r="AM230" s="540" t="str">
        <f>IFERROR(IF(F230="","",IF(AH230="Check Data ⚠","Check Data ⚠",VLOOKUP(AL230, 'G-3 Multipliers'!$P$2:$Q$6,2,FALSE))),"")</f>
        <v/>
      </c>
      <c r="AN230" s="513" t="str">
        <f t="shared" si="36"/>
        <v/>
      </c>
      <c r="AO230" s="239"/>
      <c r="AP230" s="240"/>
    </row>
    <row r="231" spans="1:42" x14ac:dyDescent="0.25">
      <c r="A231" s="47" t="str">
        <f>IF(E231="","",IF(ISNA(VLOOKUP($E231,'A-1 Site Habitat Baseline'!$D$1:$O$258,2,FALSE)),"",(VLOOKUP($E231,'A-1 Site Habitat Baseline'!$D$1:$O$258,2,FALSE))))</f>
        <v/>
      </c>
      <c r="B231" s="47" t="str">
        <f>IF(E231="","",IF(ISNA(VLOOKUP($E231,'A-1 Site Habitat Baseline'!$D$1:$O$258,3,FALSE)),"",(VLOOKUP($E231,'A-1 Site Habitat Baseline'!$D$1:$O$258,3,FALSE))))</f>
        <v/>
      </c>
      <c r="C231" s="47" t="str">
        <f>IFERROR(INDEX('G-8 Condition Look up'!$I$4:$I$130,MATCH(S231,'G-8 Condition Look up'!$A$4:$A$130,0)),"")</f>
        <v/>
      </c>
      <c r="E231" s="531" t="str">
        <f>'A-1 Site Habitat Baseline'!AL230</f>
        <v/>
      </c>
      <c r="F231" s="520" t="str">
        <f>IF(E231="","",IF(ISNA(VLOOKUP($E231,'A-1 Site Habitat Baseline'!$D$1:$O$258,4,FALSE)),"",(VLOOKUP($E231,'A-1 Site Habitat Baseline'!$D$1:$O$258,4,FALSE))))</f>
        <v/>
      </c>
      <c r="G231" s="520" t="str">
        <f>IF(E231="","",IF(ISNA(VLOOKUP($E231,'A-1 Site Habitat Baseline'!$D$1:$O$258,5,FALSE)),"",(VLOOKUP($E231,'A-1 Site Habitat Baseline'!$D$1:$O$258,5,FALSE))))</f>
        <v/>
      </c>
      <c r="H231" s="520" t="str">
        <f>IF(E231="","",IF(ISNA(VLOOKUP($E231,'A-1 Site Habitat Baseline'!$D$1:$O$258,6,FALSE)),"",(VLOOKUP($E231,'A-1 Site Habitat Baseline'!$D$1:$O$258,6,FALSE))))</f>
        <v/>
      </c>
      <c r="I231" s="520" t="str">
        <f>IF(E231="","",IF(ISNA(VLOOKUP($E231,'A-1 Site Habitat Baseline'!$D$1:$O$258,7,FALSE)),"",(VLOOKUP($E231,'A-1 Site Habitat Baseline'!$D$1:$O$258,7,FALSE))))</f>
        <v/>
      </c>
      <c r="J231" s="520" t="str">
        <f>IF(E231="","",IF(ISNA(VLOOKUP($E231,'A-1 Site Habitat Baseline'!$D$1:$O$258,8,FALSE)),"",(VLOOKUP($E231,'A-1 Site Habitat Baseline'!$D$1:$O$258,8,FALSE))))</f>
        <v/>
      </c>
      <c r="K231" s="520" t="str">
        <f>IF(E231="","",IF(ISNA(VLOOKUP($E231,'A-1 Site Habitat Baseline'!$D$1:$O$258,9,FALSE)),"",(VLOOKUP($E231,'A-1 Site Habitat Baseline'!$D$1:$O$258,9,FALSE))))</f>
        <v/>
      </c>
      <c r="L231" s="520" t="str">
        <f>IF(E231="","",IF(ISNA(VLOOKUP($E231,'A-1 Site Habitat Baseline'!$D$1:$O$258,11,FALSE)),"",(VLOOKUP($E231,'A-1 Site Habitat Baseline'!$D$1:$O$258,11,FALSE))))</f>
        <v/>
      </c>
      <c r="M231" s="520" t="str">
        <f>IF(E231="","",IF(ISNA(VLOOKUP($E231,'A-1 Site Habitat Baseline'!$D$1:$O$258,12,FALSE)),"",(VLOOKUP($E231,'A-1 Site Habitat Baseline'!$D$1:$O$258,12,FALSE))))</f>
        <v/>
      </c>
      <c r="N231" s="532" t="str">
        <f>IF(E231="","",IF(ISNA(VLOOKUP($E231,'A-1 Site Habitat Baseline'!$D$1:$X$258,14,FALSE)),"",(VLOOKUP($E231,'A-1 Site Habitat Baseline'!$D$1:$X$258,14,FALSE))))</f>
        <v/>
      </c>
      <c r="O231" s="524" t="str">
        <f>IF(E231="","",IF(ISNA(VLOOKUP($E231,'A-1 Site Habitat Baseline'!$D$1:$X$258,16,FALSE)),"",(VLOOKUP($E231,'A-1 Site Habitat Baseline'!$D$1:$X$258,13,FALSE))))</f>
        <v/>
      </c>
      <c r="P231" s="237" t="str">
        <f>IFERROR(INDEX('G-1 All Habitats'!$AG$3:$AG$15,MATCH(Q231,'G-1 All Habitats'!$AF$3:$AF$15,0)),"")</f>
        <v/>
      </c>
      <c r="Q231" s="238" t="str">
        <f t="shared" si="37"/>
        <v/>
      </c>
      <c r="R231" s="238" t="str">
        <f t="shared" si="38"/>
        <v/>
      </c>
      <c r="S231" s="392" t="str">
        <f>IFERROR(INDEX('G-1 All Habitats'!$B$3:$B$129,MATCH(R231,'G-1 All Habitats'!$A$3:$A$129,0)),"")</f>
        <v/>
      </c>
      <c r="T231" s="498" t="str">
        <f t="shared" si="39"/>
        <v/>
      </c>
      <c r="U231" s="499" t="str">
        <f t="shared" si="40"/>
        <v/>
      </c>
      <c r="V231" s="537" t="str">
        <f t="shared" si="34"/>
        <v/>
      </c>
      <c r="W231" s="520" t="str">
        <f>IF(S231="","",VLOOKUP(S231,'G-1 All Habitats'!$B$2:$M$129,10,FALSE))</f>
        <v/>
      </c>
      <c r="X231" s="520" t="str">
        <f>IFERROR(VLOOKUP(W231,'G-1 All Habitats'!$V$3:$W$7,2,FALSE),"")</f>
        <v/>
      </c>
      <c r="Y231" s="79"/>
      <c r="Z231" s="524" t="str">
        <f>IFERROR(INDEX('G-8 Condition Look up'!$A$3:$H$130,MATCH(S231,'G-8 Condition Look up'!$A$3:$A$130,0),MATCH(Y231,'G-8 Condition Look up'!$A$3:$H$3,0)),"")</f>
        <v/>
      </c>
      <c r="AA231" s="71"/>
      <c r="AB231" s="520" t="str">
        <f>IF(AA231="","",IF(VLOOKUP(AA231,'G-3 Multipliers'!$L$3:$N$6,2,FALSE)=0,"Spatial Data Missing ⚠",VLOOKUP(AA231,'G-3 Multipliers'!$L$3:$N$6,2,FALSE)))</f>
        <v/>
      </c>
      <c r="AC231" s="524" t="str">
        <f>IF(AA231="","",IF(VLOOKUP(AA231,'G-3 Multipliers'!$L$3:$N$6,3,FALSE)=0,"Spatial Data Missing ⚠",VLOOKUP(AA231,'G-3 Multipliers'!$L$3:$N$6,3,FALSE)))</f>
        <v/>
      </c>
      <c r="AD231" s="539" t="str">
        <f t="shared" si="35"/>
        <v/>
      </c>
      <c r="AE231" s="82"/>
      <c r="AF231" s="82"/>
      <c r="AG231" s="507" t="str">
        <f t="shared" si="41"/>
        <v/>
      </c>
      <c r="AH231" s="521" t="str">
        <f t="shared" si="42"/>
        <v/>
      </c>
      <c r="AI231" s="522" t="str">
        <f>IF(AH231="Check Data","Check Data",IFERROR(VLOOKUP(AH231,'G-4 Temporal multipliers'!$A$4:$C$36,3,FALSE),""))</f>
        <v/>
      </c>
      <c r="AJ231" s="498" t="str">
        <f>IF(S231="","",VLOOKUP(S231,'G-3 Multipliers'!$A$2:$E$129,4,FALSE))</f>
        <v/>
      </c>
      <c r="AK231" s="507" t="str">
        <f t="shared" si="43"/>
        <v/>
      </c>
      <c r="AL231" s="507" t="str">
        <f t="shared" si="44"/>
        <v/>
      </c>
      <c r="AM231" s="540" t="str">
        <f>IFERROR(IF(F231="","",IF(AH231="Check Data ⚠","Check Data ⚠",VLOOKUP(AL231, 'G-3 Multipliers'!$P$2:$Q$6,2,FALSE))),"")</f>
        <v/>
      </c>
      <c r="AN231" s="513" t="str">
        <f t="shared" si="36"/>
        <v/>
      </c>
      <c r="AO231" s="239"/>
      <c r="AP231" s="240"/>
    </row>
    <row r="232" spans="1:42" x14ac:dyDescent="0.25">
      <c r="A232" s="47" t="str">
        <f>IF(E232="","",IF(ISNA(VLOOKUP($E232,'A-1 Site Habitat Baseline'!$D$1:$O$258,2,FALSE)),"",(VLOOKUP($E232,'A-1 Site Habitat Baseline'!$D$1:$O$258,2,FALSE))))</f>
        <v/>
      </c>
      <c r="B232" s="47" t="str">
        <f>IF(E232="","",IF(ISNA(VLOOKUP($E232,'A-1 Site Habitat Baseline'!$D$1:$O$258,3,FALSE)),"",(VLOOKUP($E232,'A-1 Site Habitat Baseline'!$D$1:$O$258,3,FALSE))))</f>
        <v/>
      </c>
      <c r="C232" s="47" t="str">
        <f>IFERROR(INDEX('G-8 Condition Look up'!$I$4:$I$130,MATCH(S232,'G-8 Condition Look up'!$A$4:$A$130,0)),"")</f>
        <v/>
      </c>
      <c r="E232" s="531" t="str">
        <f>'A-1 Site Habitat Baseline'!AL231</f>
        <v/>
      </c>
      <c r="F232" s="520" t="str">
        <f>IF(E232="","",IF(ISNA(VLOOKUP($E232,'A-1 Site Habitat Baseline'!$D$1:$O$258,4,FALSE)),"",(VLOOKUP($E232,'A-1 Site Habitat Baseline'!$D$1:$O$258,4,FALSE))))</f>
        <v/>
      </c>
      <c r="G232" s="520" t="str">
        <f>IF(E232="","",IF(ISNA(VLOOKUP($E232,'A-1 Site Habitat Baseline'!$D$1:$O$258,5,FALSE)),"",(VLOOKUP($E232,'A-1 Site Habitat Baseline'!$D$1:$O$258,5,FALSE))))</f>
        <v/>
      </c>
      <c r="H232" s="520" t="str">
        <f>IF(E232="","",IF(ISNA(VLOOKUP($E232,'A-1 Site Habitat Baseline'!$D$1:$O$258,6,FALSE)),"",(VLOOKUP($E232,'A-1 Site Habitat Baseline'!$D$1:$O$258,6,FALSE))))</f>
        <v/>
      </c>
      <c r="I232" s="520" t="str">
        <f>IF(E232="","",IF(ISNA(VLOOKUP($E232,'A-1 Site Habitat Baseline'!$D$1:$O$258,7,FALSE)),"",(VLOOKUP($E232,'A-1 Site Habitat Baseline'!$D$1:$O$258,7,FALSE))))</f>
        <v/>
      </c>
      <c r="J232" s="520" t="str">
        <f>IF(E232="","",IF(ISNA(VLOOKUP($E232,'A-1 Site Habitat Baseline'!$D$1:$O$258,8,FALSE)),"",(VLOOKUP($E232,'A-1 Site Habitat Baseline'!$D$1:$O$258,8,FALSE))))</f>
        <v/>
      </c>
      <c r="K232" s="520" t="str">
        <f>IF(E232="","",IF(ISNA(VLOOKUP($E232,'A-1 Site Habitat Baseline'!$D$1:$O$258,9,FALSE)),"",(VLOOKUP($E232,'A-1 Site Habitat Baseline'!$D$1:$O$258,9,FALSE))))</f>
        <v/>
      </c>
      <c r="L232" s="520" t="str">
        <f>IF(E232="","",IF(ISNA(VLOOKUP($E232,'A-1 Site Habitat Baseline'!$D$1:$O$258,11,FALSE)),"",(VLOOKUP($E232,'A-1 Site Habitat Baseline'!$D$1:$O$258,11,FALSE))))</f>
        <v/>
      </c>
      <c r="M232" s="520" t="str">
        <f>IF(E232="","",IF(ISNA(VLOOKUP($E232,'A-1 Site Habitat Baseline'!$D$1:$O$258,12,FALSE)),"",(VLOOKUP($E232,'A-1 Site Habitat Baseline'!$D$1:$O$258,12,FALSE))))</f>
        <v/>
      </c>
      <c r="N232" s="532" t="str">
        <f>IF(E232="","",IF(ISNA(VLOOKUP($E232,'A-1 Site Habitat Baseline'!$D$1:$X$258,14,FALSE)),"",(VLOOKUP($E232,'A-1 Site Habitat Baseline'!$D$1:$X$258,14,FALSE))))</f>
        <v/>
      </c>
      <c r="O232" s="524" t="str">
        <f>IF(E232="","",IF(ISNA(VLOOKUP($E232,'A-1 Site Habitat Baseline'!$D$1:$X$258,16,FALSE)),"",(VLOOKUP($E232,'A-1 Site Habitat Baseline'!$D$1:$X$258,13,FALSE))))</f>
        <v/>
      </c>
      <c r="P232" s="237" t="str">
        <f>IFERROR(INDEX('G-1 All Habitats'!$AG$3:$AG$15,MATCH(Q232,'G-1 All Habitats'!$AF$3:$AF$15,0)),"")</f>
        <v/>
      </c>
      <c r="Q232" s="238" t="str">
        <f t="shared" si="37"/>
        <v/>
      </c>
      <c r="R232" s="238" t="str">
        <f t="shared" si="38"/>
        <v/>
      </c>
      <c r="S232" s="392" t="str">
        <f>IFERROR(INDEX('G-1 All Habitats'!$B$3:$B$129,MATCH(R232,'G-1 All Habitats'!$A$3:$A$129,0)),"")</f>
        <v/>
      </c>
      <c r="T232" s="498" t="str">
        <f t="shared" si="39"/>
        <v/>
      </c>
      <c r="U232" s="499" t="str">
        <f t="shared" si="40"/>
        <v/>
      </c>
      <c r="V232" s="537" t="str">
        <f t="shared" si="34"/>
        <v/>
      </c>
      <c r="W232" s="520" t="str">
        <f>IF(S232="","",VLOOKUP(S232,'G-1 All Habitats'!$B$2:$M$129,10,FALSE))</f>
        <v/>
      </c>
      <c r="X232" s="520" t="str">
        <f>IFERROR(VLOOKUP(W232,'G-1 All Habitats'!$V$3:$W$7,2,FALSE),"")</f>
        <v/>
      </c>
      <c r="Y232" s="79"/>
      <c r="Z232" s="524" t="str">
        <f>IFERROR(INDEX('G-8 Condition Look up'!$A$3:$H$130,MATCH(S232,'G-8 Condition Look up'!$A$3:$A$130,0),MATCH(Y232,'G-8 Condition Look up'!$A$3:$H$3,0)),"")</f>
        <v/>
      </c>
      <c r="AA232" s="71"/>
      <c r="AB232" s="520" t="str">
        <f>IF(AA232="","",IF(VLOOKUP(AA232,'G-3 Multipliers'!$L$3:$N$6,2,FALSE)=0,"Spatial Data Missing ⚠",VLOOKUP(AA232,'G-3 Multipliers'!$L$3:$N$6,2,FALSE)))</f>
        <v/>
      </c>
      <c r="AC232" s="524" t="str">
        <f>IF(AA232="","",IF(VLOOKUP(AA232,'G-3 Multipliers'!$L$3:$N$6,3,FALSE)=0,"Spatial Data Missing ⚠",VLOOKUP(AA232,'G-3 Multipliers'!$L$3:$N$6,3,FALSE)))</f>
        <v/>
      </c>
      <c r="AD232" s="539" t="str">
        <f t="shared" si="35"/>
        <v/>
      </c>
      <c r="AE232" s="82"/>
      <c r="AF232" s="82"/>
      <c r="AG232" s="507" t="str">
        <f t="shared" si="41"/>
        <v/>
      </c>
      <c r="AH232" s="521" t="str">
        <f t="shared" si="42"/>
        <v/>
      </c>
      <c r="AI232" s="522" t="str">
        <f>IF(AH232="Check Data","Check Data",IFERROR(VLOOKUP(AH232,'G-4 Temporal multipliers'!$A$4:$C$36,3,FALSE),""))</f>
        <v/>
      </c>
      <c r="AJ232" s="498" t="str">
        <f>IF(S232="","",VLOOKUP(S232,'G-3 Multipliers'!$A$2:$E$129,4,FALSE))</f>
        <v/>
      </c>
      <c r="AK232" s="507" t="str">
        <f t="shared" si="43"/>
        <v/>
      </c>
      <c r="AL232" s="507" t="str">
        <f t="shared" si="44"/>
        <v/>
      </c>
      <c r="AM232" s="540" t="str">
        <f>IFERROR(IF(F232="","",IF(AH232="Check Data ⚠","Check Data ⚠",VLOOKUP(AL232, 'G-3 Multipliers'!$P$2:$Q$6,2,FALSE))),"")</f>
        <v/>
      </c>
      <c r="AN232" s="513" t="str">
        <f t="shared" si="36"/>
        <v/>
      </c>
      <c r="AO232" s="239"/>
      <c r="AP232" s="240"/>
    </row>
    <row r="233" spans="1:42" x14ac:dyDescent="0.25">
      <c r="A233" s="47" t="str">
        <f>IF(E233="","",IF(ISNA(VLOOKUP($E233,'A-1 Site Habitat Baseline'!$D$1:$O$258,2,FALSE)),"",(VLOOKUP($E233,'A-1 Site Habitat Baseline'!$D$1:$O$258,2,FALSE))))</f>
        <v/>
      </c>
      <c r="B233" s="47" t="str">
        <f>IF(E233="","",IF(ISNA(VLOOKUP($E233,'A-1 Site Habitat Baseline'!$D$1:$O$258,3,FALSE)),"",(VLOOKUP($E233,'A-1 Site Habitat Baseline'!$D$1:$O$258,3,FALSE))))</f>
        <v/>
      </c>
      <c r="C233" s="47" t="str">
        <f>IFERROR(INDEX('G-8 Condition Look up'!$I$4:$I$130,MATCH(S233,'G-8 Condition Look up'!$A$4:$A$130,0)),"")</f>
        <v/>
      </c>
      <c r="E233" s="531" t="str">
        <f>'A-1 Site Habitat Baseline'!AL232</f>
        <v/>
      </c>
      <c r="F233" s="520" t="str">
        <f>IF(E233="","",IF(ISNA(VLOOKUP($E233,'A-1 Site Habitat Baseline'!$D$1:$O$258,4,FALSE)),"",(VLOOKUP($E233,'A-1 Site Habitat Baseline'!$D$1:$O$258,4,FALSE))))</f>
        <v/>
      </c>
      <c r="G233" s="520" t="str">
        <f>IF(E233="","",IF(ISNA(VLOOKUP($E233,'A-1 Site Habitat Baseline'!$D$1:$O$258,5,FALSE)),"",(VLOOKUP($E233,'A-1 Site Habitat Baseline'!$D$1:$O$258,5,FALSE))))</f>
        <v/>
      </c>
      <c r="H233" s="520" t="str">
        <f>IF(E233="","",IF(ISNA(VLOOKUP($E233,'A-1 Site Habitat Baseline'!$D$1:$O$258,6,FALSE)),"",(VLOOKUP($E233,'A-1 Site Habitat Baseline'!$D$1:$O$258,6,FALSE))))</f>
        <v/>
      </c>
      <c r="I233" s="520" t="str">
        <f>IF(E233="","",IF(ISNA(VLOOKUP($E233,'A-1 Site Habitat Baseline'!$D$1:$O$258,7,FALSE)),"",(VLOOKUP($E233,'A-1 Site Habitat Baseline'!$D$1:$O$258,7,FALSE))))</f>
        <v/>
      </c>
      <c r="J233" s="520" t="str">
        <f>IF(E233="","",IF(ISNA(VLOOKUP($E233,'A-1 Site Habitat Baseline'!$D$1:$O$258,8,FALSE)),"",(VLOOKUP($E233,'A-1 Site Habitat Baseline'!$D$1:$O$258,8,FALSE))))</f>
        <v/>
      </c>
      <c r="K233" s="520" t="str">
        <f>IF(E233="","",IF(ISNA(VLOOKUP($E233,'A-1 Site Habitat Baseline'!$D$1:$O$258,9,FALSE)),"",(VLOOKUP($E233,'A-1 Site Habitat Baseline'!$D$1:$O$258,9,FALSE))))</f>
        <v/>
      </c>
      <c r="L233" s="520" t="str">
        <f>IF(E233="","",IF(ISNA(VLOOKUP($E233,'A-1 Site Habitat Baseline'!$D$1:$O$258,11,FALSE)),"",(VLOOKUP($E233,'A-1 Site Habitat Baseline'!$D$1:$O$258,11,FALSE))))</f>
        <v/>
      </c>
      <c r="M233" s="520" t="str">
        <f>IF(E233="","",IF(ISNA(VLOOKUP($E233,'A-1 Site Habitat Baseline'!$D$1:$O$258,12,FALSE)),"",(VLOOKUP($E233,'A-1 Site Habitat Baseline'!$D$1:$O$258,12,FALSE))))</f>
        <v/>
      </c>
      <c r="N233" s="532" t="str">
        <f>IF(E233="","",IF(ISNA(VLOOKUP($E233,'A-1 Site Habitat Baseline'!$D$1:$X$258,14,FALSE)),"",(VLOOKUP($E233,'A-1 Site Habitat Baseline'!$D$1:$X$258,14,FALSE))))</f>
        <v/>
      </c>
      <c r="O233" s="524" t="str">
        <f>IF(E233="","",IF(ISNA(VLOOKUP($E233,'A-1 Site Habitat Baseline'!$D$1:$X$258,16,FALSE)),"",(VLOOKUP($E233,'A-1 Site Habitat Baseline'!$D$1:$X$258,13,FALSE))))</f>
        <v/>
      </c>
      <c r="P233" s="237" t="str">
        <f>IFERROR(INDEX('G-1 All Habitats'!$AG$3:$AG$15,MATCH(Q233,'G-1 All Habitats'!$AF$3:$AF$15,0)),"")</f>
        <v/>
      </c>
      <c r="Q233" s="238" t="str">
        <f t="shared" si="37"/>
        <v/>
      </c>
      <c r="R233" s="238" t="str">
        <f t="shared" si="38"/>
        <v/>
      </c>
      <c r="S233" s="392" t="str">
        <f>IFERROR(INDEX('G-1 All Habitats'!$B$3:$B$129,MATCH(R233,'G-1 All Habitats'!$A$3:$A$129,0)),"")</f>
        <v/>
      </c>
      <c r="T233" s="498" t="str">
        <f t="shared" si="39"/>
        <v/>
      </c>
      <c r="U233" s="499" t="str">
        <f t="shared" si="40"/>
        <v/>
      </c>
      <c r="V233" s="537" t="str">
        <f t="shared" si="34"/>
        <v/>
      </c>
      <c r="W233" s="520" t="str">
        <f>IF(S233="","",VLOOKUP(S233,'G-1 All Habitats'!$B$2:$M$129,10,FALSE))</f>
        <v/>
      </c>
      <c r="X233" s="520" t="str">
        <f>IFERROR(VLOOKUP(W233,'G-1 All Habitats'!$V$3:$W$7,2,FALSE),"")</f>
        <v/>
      </c>
      <c r="Y233" s="79"/>
      <c r="Z233" s="524" t="str">
        <f>IFERROR(INDEX('G-8 Condition Look up'!$A$3:$H$130,MATCH(S233,'G-8 Condition Look up'!$A$3:$A$130,0),MATCH(Y233,'G-8 Condition Look up'!$A$3:$H$3,0)),"")</f>
        <v/>
      </c>
      <c r="AA233" s="71"/>
      <c r="AB233" s="520" t="str">
        <f>IF(AA233="","",IF(VLOOKUP(AA233,'G-3 Multipliers'!$L$3:$N$6,2,FALSE)=0,"Spatial Data Missing ⚠",VLOOKUP(AA233,'G-3 Multipliers'!$L$3:$N$6,2,FALSE)))</f>
        <v/>
      </c>
      <c r="AC233" s="524" t="str">
        <f>IF(AA233="","",IF(VLOOKUP(AA233,'G-3 Multipliers'!$L$3:$N$6,3,FALSE)=0,"Spatial Data Missing ⚠",VLOOKUP(AA233,'G-3 Multipliers'!$L$3:$N$6,3,FALSE)))</f>
        <v/>
      </c>
      <c r="AD233" s="539" t="str">
        <f t="shared" si="35"/>
        <v/>
      </c>
      <c r="AE233" s="82"/>
      <c r="AF233" s="82"/>
      <c r="AG233" s="507" t="str">
        <f t="shared" si="41"/>
        <v/>
      </c>
      <c r="AH233" s="521" t="str">
        <f t="shared" si="42"/>
        <v/>
      </c>
      <c r="AI233" s="522" t="str">
        <f>IF(AH233="Check Data","Check Data",IFERROR(VLOOKUP(AH233,'G-4 Temporal multipliers'!$A$4:$C$36,3,FALSE),""))</f>
        <v/>
      </c>
      <c r="AJ233" s="498" t="str">
        <f>IF(S233="","",VLOOKUP(S233,'G-3 Multipliers'!$A$2:$E$129,4,FALSE))</f>
        <v/>
      </c>
      <c r="AK233" s="507" t="str">
        <f t="shared" si="43"/>
        <v/>
      </c>
      <c r="AL233" s="507" t="str">
        <f t="shared" si="44"/>
        <v/>
      </c>
      <c r="AM233" s="540" t="str">
        <f>IFERROR(IF(F233="","",IF(AH233="Check Data ⚠","Check Data ⚠",VLOOKUP(AL233, 'G-3 Multipliers'!$P$2:$Q$6,2,FALSE))),"")</f>
        <v/>
      </c>
      <c r="AN233" s="513" t="str">
        <f t="shared" si="36"/>
        <v/>
      </c>
      <c r="AO233" s="239"/>
      <c r="AP233" s="240"/>
    </row>
    <row r="234" spans="1:42" x14ac:dyDescent="0.25">
      <c r="A234" s="47" t="str">
        <f>IF(E234="","",IF(ISNA(VLOOKUP($E234,'A-1 Site Habitat Baseline'!$D$1:$O$258,2,FALSE)),"",(VLOOKUP($E234,'A-1 Site Habitat Baseline'!$D$1:$O$258,2,FALSE))))</f>
        <v/>
      </c>
      <c r="B234" s="47" t="str">
        <f>IF(E234="","",IF(ISNA(VLOOKUP($E234,'A-1 Site Habitat Baseline'!$D$1:$O$258,3,FALSE)),"",(VLOOKUP($E234,'A-1 Site Habitat Baseline'!$D$1:$O$258,3,FALSE))))</f>
        <v/>
      </c>
      <c r="C234" s="47" t="str">
        <f>IFERROR(INDEX('G-8 Condition Look up'!$I$4:$I$130,MATCH(S234,'G-8 Condition Look up'!$A$4:$A$130,0)),"")</f>
        <v/>
      </c>
      <c r="E234" s="531" t="str">
        <f>'A-1 Site Habitat Baseline'!AL233</f>
        <v/>
      </c>
      <c r="F234" s="520" t="str">
        <f>IF(E234="","",IF(ISNA(VLOOKUP($E234,'A-1 Site Habitat Baseline'!$D$1:$O$258,4,FALSE)),"",(VLOOKUP($E234,'A-1 Site Habitat Baseline'!$D$1:$O$258,4,FALSE))))</f>
        <v/>
      </c>
      <c r="G234" s="520" t="str">
        <f>IF(E234="","",IF(ISNA(VLOOKUP($E234,'A-1 Site Habitat Baseline'!$D$1:$O$258,5,FALSE)),"",(VLOOKUP($E234,'A-1 Site Habitat Baseline'!$D$1:$O$258,5,FALSE))))</f>
        <v/>
      </c>
      <c r="H234" s="520" t="str">
        <f>IF(E234="","",IF(ISNA(VLOOKUP($E234,'A-1 Site Habitat Baseline'!$D$1:$O$258,6,FALSE)),"",(VLOOKUP($E234,'A-1 Site Habitat Baseline'!$D$1:$O$258,6,FALSE))))</f>
        <v/>
      </c>
      <c r="I234" s="520" t="str">
        <f>IF(E234="","",IF(ISNA(VLOOKUP($E234,'A-1 Site Habitat Baseline'!$D$1:$O$258,7,FALSE)),"",(VLOOKUP($E234,'A-1 Site Habitat Baseline'!$D$1:$O$258,7,FALSE))))</f>
        <v/>
      </c>
      <c r="J234" s="520" t="str">
        <f>IF(E234="","",IF(ISNA(VLOOKUP($E234,'A-1 Site Habitat Baseline'!$D$1:$O$258,8,FALSE)),"",(VLOOKUP($E234,'A-1 Site Habitat Baseline'!$D$1:$O$258,8,FALSE))))</f>
        <v/>
      </c>
      <c r="K234" s="520" t="str">
        <f>IF(E234="","",IF(ISNA(VLOOKUP($E234,'A-1 Site Habitat Baseline'!$D$1:$O$258,9,FALSE)),"",(VLOOKUP($E234,'A-1 Site Habitat Baseline'!$D$1:$O$258,9,FALSE))))</f>
        <v/>
      </c>
      <c r="L234" s="520" t="str">
        <f>IF(E234="","",IF(ISNA(VLOOKUP($E234,'A-1 Site Habitat Baseline'!$D$1:$O$258,11,FALSE)),"",(VLOOKUP($E234,'A-1 Site Habitat Baseline'!$D$1:$O$258,11,FALSE))))</f>
        <v/>
      </c>
      <c r="M234" s="520" t="str">
        <f>IF(E234="","",IF(ISNA(VLOOKUP($E234,'A-1 Site Habitat Baseline'!$D$1:$O$258,12,FALSE)),"",(VLOOKUP($E234,'A-1 Site Habitat Baseline'!$D$1:$O$258,12,FALSE))))</f>
        <v/>
      </c>
      <c r="N234" s="532" t="str">
        <f>IF(E234="","",IF(ISNA(VLOOKUP($E234,'A-1 Site Habitat Baseline'!$D$1:$X$258,14,FALSE)),"",(VLOOKUP($E234,'A-1 Site Habitat Baseline'!$D$1:$X$258,14,FALSE))))</f>
        <v/>
      </c>
      <c r="O234" s="524" t="str">
        <f>IF(E234="","",IF(ISNA(VLOOKUP($E234,'A-1 Site Habitat Baseline'!$D$1:$X$258,16,FALSE)),"",(VLOOKUP($E234,'A-1 Site Habitat Baseline'!$D$1:$X$258,13,FALSE))))</f>
        <v/>
      </c>
      <c r="P234" s="237" t="str">
        <f>IFERROR(INDEX('G-1 All Habitats'!$AG$3:$AG$15,MATCH(Q234,'G-1 All Habitats'!$AF$3:$AF$15,0)),"")</f>
        <v/>
      </c>
      <c r="Q234" s="238" t="str">
        <f t="shared" si="37"/>
        <v/>
      </c>
      <c r="R234" s="238" t="str">
        <f t="shared" si="38"/>
        <v/>
      </c>
      <c r="S234" s="392" t="str">
        <f>IFERROR(INDEX('G-1 All Habitats'!$B$3:$B$129,MATCH(R234,'G-1 All Habitats'!$A$3:$A$129,0)),"")</f>
        <v/>
      </c>
      <c r="T234" s="498" t="str">
        <f t="shared" si="39"/>
        <v/>
      </c>
      <c r="U234" s="499" t="str">
        <f t="shared" si="40"/>
        <v/>
      </c>
      <c r="V234" s="537" t="str">
        <f t="shared" si="34"/>
        <v/>
      </c>
      <c r="W234" s="520" t="str">
        <f>IF(S234="","",VLOOKUP(S234,'G-1 All Habitats'!$B$2:$M$129,10,FALSE))</f>
        <v/>
      </c>
      <c r="X234" s="520" t="str">
        <f>IFERROR(VLOOKUP(W234,'G-1 All Habitats'!$V$3:$W$7,2,FALSE),"")</f>
        <v/>
      </c>
      <c r="Y234" s="79"/>
      <c r="Z234" s="524" t="str">
        <f>IFERROR(INDEX('G-8 Condition Look up'!$A$3:$H$130,MATCH(S234,'G-8 Condition Look up'!$A$3:$A$130,0),MATCH(Y234,'G-8 Condition Look up'!$A$3:$H$3,0)),"")</f>
        <v/>
      </c>
      <c r="AA234" s="71"/>
      <c r="AB234" s="520" t="str">
        <f>IF(AA234="","",IF(VLOOKUP(AA234,'G-3 Multipliers'!$L$3:$N$6,2,FALSE)=0,"Spatial Data Missing ⚠",VLOOKUP(AA234,'G-3 Multipliers'!$L$3:$N$6,2,FALSE)))</f>
        <v/>
      </c>
      <c r="AC234" s="524" t="str">
        <f>IF(AA234="","",IF(VLOOKUP(AA234,'G-3 Multipliers'!$L$3:$N$6,3,FALSE)=0,"Spatial Data Missing ⚠",VLOOKUP(AA234,'G-3 Multipliers'!$L$3:$N$6,3,FALSE)))</f>
        <v/>
      </c>
      <c r="AD234" s="539" t="str">
        <f t="shared" si="35"/>
        <v/>
      </c>
      <c r="AE234" s="82"/>
      <c r="AF234" s="82"/>
      <c r="AG234" s="507" t="str">
        <f t="shared" si="41"/>
        <v/>
      </c>
      <c r="AH234" s="521" t="str">
        <f t="shared" si="42"/>
        <v/>
      </c>
      <c r="AI234" s="522" t="str">
        <f>IF(AH234="Check Data","Check Data",IFERROR(VLOOKUP(AH234,'G-4 Temporal multipliers'!$A$4:$C$36,3,FALSE),""))</f>
        <v/>
      </c>
      <c r="AJ234" s="498" t="str">
        <f>IF(S234="","",VLOOKUP(S234,'G-3 Multipliers'!$A$2:$E$129,4,FALSE))</f>
        <v/>
      </c>
      <c r="AK234" s="507" t="str">
        <f t="shared" si="43"/>
        <v/>
      </c>
      <c r="AL234" s="507" t="str">
        <f t="shared" si="44"/>
        <v/>
      </c>
      <c r="AM234" s="540" t="str">
        <f>IFERROR(IF(F234="","",IF(AH234="Check Data ⚠","Check Data ⚠",VLOOKUP(AL234, 'G-3 Multipliers'!$P$2:$Q$6,2,FALSE))),"")</f>
        <v/>
      </c>
      <c r="AN234" s="513" t="str">
        <f t="shared" si="36"/>
        <v/>
      </c>
      <c r="AO234" s="239"/>
      <c r="AP234" s="240"/>
    </row>
    <row r="235" spans="1:42" x14ac:dyDescent="0.25">
      <c r="A235" s="47" t="str">
        <f>IF(E235="","",IF(ISNA(VLOOKUP($E235,'A-1 Site Habitat Baseline'!$D$1:$O$258,2,FALSE)),"",(VLOOKUP($E235,'A-1 Site Habitat Baseline'!$D$1:$O$258,2,FALSE))))</f>
        <v/>
      </c>
      <c r="B235" s="47" t="str">
        <f>IF(E235="","",IF(ISNA(VLOOKUP($E235,'A-1 Site Habitat Baseline'!$D$1:$O$258,3,FALSE)),"",(VLOOKUP($E235,'A-1 Site Habitat Baseline'!$D$1:$O$258,3,FALSE))))</f>
        <v/>
      </c>
      <c r="C235" s="47" t="str">
        <f>IFERROR(INDEX('G-8 Condition Look up'!$I$4:$I$130,MATCH(S235,'G-8 Condition Look up'!$A$4:$A$130,0)),"")</f>
        <v/>
      </c>
      <c r="E235" s="531" t="str">
        <f>'A-1 Site Habitat Baseline'!AL234</f>
        <v/>
      </c>
      <c r="F235" s="520" t="str">
        <f>IF(E235="","",IF(ISNA(VLOOKUP($E235,'A-1 Site Habitat Baseline'!$D$1:$O$258,4,FALSE)),"",(VLOOKUP($E235,'A-1 Site Habitat Baseline'!$D$1:$O$258,4,FALSE))))</f>
        <v/>
      </c>
      <c r="G235" s="520" t="str">
        <f>IF(E235="","",IF(ISNA(VLOOKUP($E235,'A-1 Site Habitat Baseline'!$D$1:$O$258,5,FALSE)),"",(VLOOKUP($E235,'A-1 Site Habitat Baseline'!$D$1:$O$258,5,FALSE))))</f>
        <v/>
      </c>
      <c r="H235" s="520" t="str">
        <f>IF(E235="","",IF(ISNA(VLOOKUP($E235,'A-1 Site Habitat Baseline'!$D$1:$O$258,6,FALSE)),"",(VLOOKUP($E235,'A-1 Site Habitat Baseline'!$D$1:$O$258,6,FALSE))))</f>
        <v/>
      </c>
      <c r="I235" s="520" t="str">
        <f>IF(E235="","",IF(ISNA(VLOOKUP($E235,'A-1 Site Habitat Baseline'!$D$1:$O$258,7,FALSE)),"",(VLOOKUP($E235,'A-1 Site Habitat Baseline'!$D$1:$O$258,7,FALSE))))</f>
        <v/>
      </c>
      <c r="J235" s="520" t="str">
        <f>IF(E235="","",IF(ISNA(VLOOKUP($E235,'A-1 Site Habitat Baseline'!$D$1:$O$258,8,FALSE)),"",(VLOOKUP($E235,'A-1 Site Habitat Baseline'!$D$1:$O$258,8,FALSE))))</f>
        <v/>
      </c>
      <c r="K235" s="520" t="str">
        <f>IF(E235="","",IF(ISNA(VLOOKUP($E235,'A-1 Site Habitat Baseline'!$D$1:$O$258,9,FALSE)),"",(VLOOKUP($E235,'A-1 Site Habitat Baseline'!$D$1:$O$258,9,FALSE))))</f>
        <v/>
      </c>
      <c r="L235" s="520" t="str">
        <f>IF(E235="","",IF(ISNA(VLOOKUP($E235,'A-1 Site Habitat Baseline'!$D$1:$O$258,11,FALSE)),"",(VLOOKUP($E235,'A-1 Site Habitat Baseline'!$D$1:$O$258,11,FALSE))))</f>
        <v/>
      </c>
      <c r="M235" s="520" t="str">
        <f>IF(E235="","",IF(ISNA(VLOOKUP($E235,'A-1 Site Habitat Baseline'!$D$1:$O$258,12,FALSE)),"",(VLOOKUP($E235,'A-1 Site Habitat Baseline'!$D$1:$O$258,12,FALSE))))</f>
        <v/>
      </c>
      <c r="N235" s="532" t="str">
        <f>IF(E235="","",IF(ISNA(VLOOKUP($E235,'A-1 Site Habitat Baseline'!$D$1:$X$258,14,FALSE)),"",(VLOOKUP($E235,'A-1 Site Habitat Baseline'!$D$1:$X$258,14,FALSE))))</f>
        <v/>
      </c>
      <c r="O235" s="524" t="str">
        <f>IF(E235="","",IF(ISNA(VLOOKUP($E235,'A-1 Site Habitat Baseline'!$D$1:$X$258,16,FALSE)),"",(VLOOKUP($E235,'A-1 Site Habitat Baseline'!$D$1:$X$258,13,FALSE))))</f>
        <v/>
      </c>
      <c r="P235" s="237" t="str">
        <f>IFERROR(INDEX('G-1 All Habitats'!$AG$3:$AG$15,MATCH(Q235,'G-1 All Habitats'!$AF$3:$AF$15,0)),"")</f>
        <v/>
      </c>
      <c r="Q235" s="238" t="str">
        <f t="shared" si="37"/>
        <v/>
      </c>
      <c r="R235" s="238" t="str">
        <f t="shared" si="38"/>
        <v/>
      </c>
      <c r="S235" s="392" t="str">
        <f>IFERROR(INDEX('G-1 All Habitats'!$B$3:$B$129,MATCH(R235,'G-1 All Habitats'!$A$3:$A$129,0)),"")</f>
        <v/>
      </c>
      <c r="T235" s="498" t="str">
        <f t="shared" si="39"/>
        <v/>
      </c>
      <c r="U235" s="499" t="str">
        <f t="shared" si="40"/>
        <v/>
      </c>
      <c r="V235" s="537" t="str">
        <f t="shared" si="34"/>
        <v/>
      </c>
      <c r="W235" s="520" t="str">
        <f>IF(S235="","",VLOOKUP(S235,'G-1 All Habitats'!$B$2:$M$129,10,FALSE))</f>
        <v/>
      </c>
      <c r="X235" s="520" t="str">
        <f>IFERROR(VLOOKUP(W235,'G-1 All Habitats'!$V$3:$W$7,2,FALSE),"")</f>
        <v/>
      </c>
      <c r="Y235" s="79"/>
      <c r="Z235" s="524" t="str">
        <f>IFERROR(INDEX('G-8 Condition Look up'!$A$3:$H$130,MATCH(S235,'G-8 Condition Look up'!$A$3:$A$130,0),MATCH(Y235,'G-8 Condition Look up'!$A$3:$H$3,0)),"")</f>
        <v/>
      </c>
      <c r="AA235" s="71"/>
      <c r="AB235" s="520" t="str">
        <f>IF(AA235="","",IF(VLOOKUP(AA235,'G-3 Multipliers'!$L$3:$N$6,2,FALSE)=0,"Spatial Data Missing ⚠",VLOOKUP(AA235,'G-3 Multipliers'!$L$3:$N$6,2,FALSE)))</f>
        <v/>
      </c>
      <c r="AC235" s="524" t="str">
        <f>IF(AA235="","",IF(VLOOKUP(AA235,'G-3 Multipliers'!$L$3:$N$6,3,FALSE)=0,"Spatial Data Missing ⚠",VLOOKUP(AA235,'G-3 Multipliers'!$L$3:$N$6,3,FALSE)))</f>
        <v/>
      </c>
      <c r="AD235" s="539" t="str">
        <f t="shared" si="35"/>
        <v/>
      </c>
      <c r="AE235" s="82"/>
      <c r="AF235" s="82"/>
      <c r="AG235" s="507" t="str">
        <f t="shared" si="41"/>
        <v/>
      </c>
      <c r="AH235" s="521" t="str">
        <f t="shared" si="42"/>
        <v/>
      </c>
      <c r="AI235" s="522" t="str">
        <f>IF(AH235="Check Data","Check Data",IFERROR(VLOOKUP(AH235,'G-4 Temporal multipliers'!$A$4:$C$36,3,FALSE),""))</f>
        <v/>
      </c>
      <c r="AJ235" s="498" t="str">
        <f>IF(S235="","",VLOOKUP(S235,'G-3 Multipliers'!$A$2:$E$129,4,FALSE))</f>
        <v/>
      </c>
      <c r="AK235" s="507" t="str">
        <f t="shared" si="43"/>
        <v/>
      </c>
      <c r="AL235" s="507" t="str">
        <f t="shared" si="44"/>
        <v/>
      </c>
      <c r="AM235" s="540" t="str">
        <f>IFERROR(IF(F235="","",IF(AH235="Check Data ⚠","Check Data ⚠",VLOOKUP(AL235, 'G-3 Multipliers'!$P$2:$Q$6,2,FALSE))),"")</f>
        <v/>
      </c>
      <c r="AN235" s="513" t="str">
        <f t="shared" si="36"/>
        <v/>
      </c>
      <c r="AO235" s="239"/>
      <c r="AP235" s="240"/>
    </row>
    <row r="236" spans="1:42" x14ac:dyDescent="0.25">
      <c r="A236" s="47" t="str">
        <f>IF(E236="","",IF(ISNA(VLOOKUP($E236,'A-1 Site Habitat Baseline'!$D$1:$O$258,2,FALSE)),"",(VLOOKUP($E236,'A-1 Site Habitat Baseline'!$D$1:$O$258,2,FALSE))))</f>
        <v/>
      </c>
      <c r="B236" s="47" t="str">
        <f>IF(E236="","",IF(ISNA(VLOOKUP($E236,'A-1 Site Habitat Baseline'!$D$1:$O$258,3,FALSE)),"",(VLOOKUP($E236,'A-1 Site Habitat Baseline'!$D$1:$O$258,3,FALSE))))</f>
        <v/>
      </c>
      <c r="C236" s="47" t="str">
        <f>IFERROR(INDEX('G-8 Condition Look up'!$I$4:$I$130,MATCH(S236,'G-8 Condition Look up'!$A$4:$A$130,0)),"")</f>
        <v/>
      </c>
      <c r="E236" s="531" t="str">
        <f>'A-1 Site Habitat Baseline'!AL235</f>
        <v/>
      </c>
      <c r="F236" s="520" t="str">
        <f>IF(E236="","",IF(ISNA(VLOOKUP($E236,'A-1 Site Habitat Baseline'!$D$1:$O$258,4,FALSE)),"",(VLOOKUP($E236,'A-1 Site Habitat Baseline'!$D$1:$O$258,4,FALSE))))</f>
        <v/>
      </c>
      <c r="G236" s="520" t="str">
        <f>IF(E236="","",IF(ISNA(VLOOKUP($E236,'A-1 Site Habitat Baseline'!$D$1:$O$258,5,FALSE)),"",(VLOOKUP($E236,'A-1 Site Habitat Baseline'!$D$1:$O$258,5,FALSE))))</f>
        <v/>
      </c>
      <c r="H236" s="520" t="str">
        <f>IF(E236="","",IF(ISNA(VLOOKUP($E236,'A-1 Site Habitat Baseline'!$D$1:$O$258,6,FALSE)),"",(VLOOKUP($E236,'A-1 Site Habitat Baseline'!$D$1:$O$258,6,FALSE))))</f>
        <v/>
      </c>
      <c r="I236" s="520" t="str">
        <f>IF(E236="","",IF(ISNA(VLOOKUP($E236,'A-1 Site Habitat Baseline'!$D$1:$O$258,7,FALSE)),"",(VLOOKUP($E236,'A-1 Site Habitat Baseline'!$D$1:$O$258,7,FALSE))))</f>
        <v/>
      </c>
      <c r="J236" s="520" t="str">
        <f>IF(E236="","",IF(ISNA(VLOOKUP($E236,'A-1 Site Habitat Baseline'!$D$1:$O$258,8,FALSE)),"",(VLOOKUP($E236,'A-1 Site Habitat Baseline'!$D$1:$O$258,8,FALSE))))</f>
        <v/>
      </c>
      <c r="K236" s="520" t="str">
        <f>IF(E236="","",IF(ISNA(VLOOKUP($E236,'A-1 Site Habitat Baseline'!$D$1:$O$258,9,FALSE)),"",(VLOOKUP($E236,'A-1 Site Habitat Baseline'!$D$1:$O$258,9,FALSE))))</f>
        <v/>
      </c>
      <c r="L236" s="520" t="str">
        <f>IF(E236="","",IF(ISNA(VLOOKUP($E236,'A-1 Site Habitat Baseline'!$D$1:$O$258,11,FALSE)),"",(VLOOKUP($E236,'A-1 Site Habitat Baseline'!$D$1:$O$258,11,FALSE))))</f>
        <v/>
      </c>
      <c r="M236" s="520" t="str">
        <f>IF(E236="","",IF(ISNA(VLOOKUP($E236,'A-1 Site Habitat Baseline'!$D$1:$O$258,12,FALSE)),"",(VLOOKUP($E236,'A-1 Site Habitat Baseline'!$D$1:$O$258,12,FALSE))))</f>
        <v/>
      </c>
      <c r="N236" s="532" t="str">
        <f>IF(E236="","",IF(ISNA(VLOOKUP($E236,'A-1 Site Habitat Baseline'!$D$1:$X$258,14,FALSE)),"",(VLOOKUP($E236,'A-1 Site Habitat Baseline'!$D$1:$X$258,14,FALSE))))</f>
        <v/>
      </c>
      <c r="O236" s="524" t="str">
        <f>IF(E236="","",IF(ISNA(VLOOKUP($E236,'A-1 Site Habitat Baseline'!$D$1:$X$258,16,FALSE)),"",(VLOOKUP($E236,'A-1 Site Habitat Baseline'!$D$1:$X$258,13,FALSE))))</f>
        <v/>
      </c>
      <c r="P236" s="237" t="str">
        <f>IFERROR(INDEX('G-1 All Habitats'!$AG$3:$AG$15,MATCH(Q236,'G-1 All Habitats'!$AF$3:$AF$15,0)),"")</f>
        <v/>
      </c>
      <c r="Q236" s="238" t="str">
        <f t="shared" si="37"/>
        <v/>
      </c>
      <c r="R236" s="238" t="str">
        <f t="shared" si="38"/>
        <v/>
      </c>
      <c r="S236" s="392" t="str">
        <f>IFERROR(INDEX('G-1 All Habitats'!$B$3:$B$129,MATCH(R236,'G-1 All Habitats'!$A$3:$A$129,0)),"")</f>
        <v/>
      </c>
      <c r="T236" s="498" t="str">
        <f t="shared" si="39"/>
        <v/>
      </c>
      <c r="U236" s="499" t="str">
        <f t="shared" si="40"/>
        <v/>
      </c>
      <c r="V236" s="537" t="str">
        <f t="shared" si="34"/>
        <v/>
      </c>
      <c r="W236" s="520" t="str">
        <f>IF(S236="","",VLOOKUP(S236,'G-1 All Habitats'!$B$2:$M$129,10,FALSE))</f>
        <v/>
      </c>
      <c r="X236" s="520" t="str">
        <f>IFERROR(VLOOKUP(W236,'G-1 All Habitats'!$V$3:$W$7,2,FALSE),"")</f>
        <v/>
      </c>
      <c r="Y236" s="79"/>
      <c r="Z236" s="524" t="str">
        <f>IFERROR(INDEX('G-8 Condition Look up'!$A$3:$H$130,MATCH(S236,'G-8 Condition Look up'!$A$3:$A$130,0),MATCH(Y236,'G-8 Condition Look up'!$A$3:$H$3,0)),"")</f>
        <v/>
      </c>
      <c r="AA236" s="71"/>
      <c r="AB236" s="520" t="str">
        <f>IF(AA236="","",IF(VLOOKUP(AA236,'G-3 Multipliers'!$L$3:$N$6,2,FALSE)=0,"Spatial Data Missing ⚠",VLOOKUP(AA236,'G-3 Multipliers'!$L$3:$N$6,2,FALSE)))</f>
        <v/>
      </c>
      <c r="AC236" s="524" t="str">
        <f>IF(AA236="","",IF(VLOOKUP(AA236,'G-3 Multipliers'!$L$3:$N$6,3,FALSE)=0,"Spatial Data Missing ⚠",VLOOKUP(AA236,'G-3 Multipliers'!$L$3:$N$6,3,FALSE)))</f>
        <v/>
      </c>
      <c r="AD236" s="539" t="str">
        <f t="shared" si="35"/>
        <v/>
      </c>
      <c r="AE236" s="82"/>
      <c r="AF236" s="82"/>
      <c r="AG236" s="507" t="str">
        <f t="shared" si="41"/>
        <v/>
      </c>
      <c r="AH236" s="521" t="str">
        <f t="shared" si="42"/>
        <v/>
      </c>
      <c r="AI236" s="522" t="str">
        <f>IF(AH236="Check Data","Check Data",IFERROR(VLOOKUP(AH236,'G-4 Temporal multipliers'!$A$4:$C$36,3,FALSE),""))</f>
        <v/>
      </c>
      <c r="AJ236" s="498" t="str">
        <f>IF(S236="","",VLOOKUP(S236,'G-3 Multipliers'!$A$2:$E$129,4,FALSE))</f>
        <v/>
      </c>
      <c r="AK236" s="507" t="str">
        <f t="shared" si="43"/>
        <v/>
      </c>
      <c r="AL236" s="507" t="str">
        <f t="shared" si="44"/>
        <v/>
      </c>
      <c r="AM236" s="540" t="str">
        <f>IFERROR(IF(F236="","",IF(AH236="Check Data ⚠","Check Data ⚠",VLOOKUP(AL236, 'G-3 Multipliers'!$P$2:$Q$6,2,FALSE))),"")</f>
        <v/>
      </c>
      <c r="AN236" s="513" t="str">
        <f t="shared" si="36"/>
        <v/>
      </c>
      <c r="AO236" s="239"/>
      <c r="AP236" s="240"/>
    </row>
    <row r="237" spans="1:42" x14ac:dyDescent="0.25">
      <c r="A237" s="47" t="str">
        <f>IF(E237="","",IF(ISNA(VLOOKUP($E237,'A-1 Site Habitat Baseline'!$D$1:$O$258,2,FALSE)),"",(VLOOKUP($E237,'A-1 Site Habitat Baseline'!$D$1:$O$258,2,FALSE))))</f>
        <v/>
      </c>
      <c r="B237" s="47" t="str">
        <f>IF(E237="","",IF(ISNA(VLOOKUP($E237,'A-1 Site Habitat Baseline'!$D$1:$O$258,3,FALSE)),"",(VLOOKUP($E237,'A-1 Site Habitat Baseline'!$D$1:$O$258,3,FALSE))))</f>
        <v/>
      </c>
      <c r="C237" s="47" t="str">
        <f>IFERROR(INDEX('G-8 Condition Look up'!$I$4:$I$130,MATCH(S237,'G-8 Condition Look up'!$A$4:$A$130,0)),"")</f>
        <v/>
      </c>
      <c r="E237" s="531" t="str">
        <f>'A-1 Site Habitat Baseline'!AL236</f>
        <v/>
      </c>
      <c r="F237" s="520" t="str">
        <f>IF(E237="","",IF(ISNA(VLOOKUP($E237,'A-1 Site Habitat Baseline'!$D$1:$O$258,4,FALSE)),"",(VLOOKUP($E237,'A-1 Site Habitat Baseline'!$D$1:$O$258,4,FALSE))))</f>
        <v/>
      </c>
      <c r="G237" s="520" t="str">
        <f>IF(E237="","",IF(ISNA(VLOOKUP($E237,'A-1 Site Habitat Baseline'!$D$1:$O$258,5,FALSE)),"",(VLOOKUP($E237,'A-1 Site Habitat Baseline'!$D$1:$O$258,5,FALSE))))</f>
        <v/>
      </c>
      <c r="H237" s="520" t="str">
        <f>IF(E237="","",IF(ISNA(VLOOKUP($E237,'A-1 Site Habitat Baseline'!$D$1:$O$258,6,FALSE)),"",(VLOOKUP($E237,'A-1 Site Habitat Baseline'!$D$1:$O$258,6,FALSE))))</f>
        <v/>
      </c>
      <c r="I237" s="520" t="str">
        <f>IF(E237="","",IF(ISNA(VLOOKUP($E237,'A-1 Site Habitat Baseline'!$D$1:$O$258,7,FALSE)),"",(VLOOKUP($E237,'A-1 Site Habitat Baseline'!$D$1:$O$258,7,FALSE))))</f>
        <v/>
      </c>
      <c r="J237" s="520" t="str">
        <f>IF(E237="","",IF(ISNA(VLOOKUP($E237,'A-1 Site Habitat Baseline'!$D$1:$O$258,8,FALSE)),"",(VLOOKUP($E237,'A-1 Site Habitat Baseline'!$D$1:$O$258,8,FALSE))))</f>
        <v/>
      </c>
      <c r="K237" s="520" t="str">
        <f>IF(E237="","",IF(ISNA(VLOOKUP($E237,'A-1 Site Habitat Baseline'!$D$1:$O$258,9,FALSE)),"",(VLOOKUP($E237,'A-1 Site Habitat Baseline'!$D$1:$O$258,9,FALSE))))</f>
        <v/>
      </c>
      <c r="L237" s="520" t="str">
        <f>IF(E237="","",IF(ISNA(VLOOKUP($E237,'A-1 Site Habitat Baseline'!$D$1:$O$258,11,FALSE)),"",(VLOOKUP($E237,'A-1 Site Habitat Baseline'!$D$1:$O$258,11,FALSE))))</f>
        <v/>
      </c>
      <c r="M237" s="520" t="str">
        <f>IF(E237="","",IF(ISNA(VLOOKUP($E237,'A-1 Site Habitat Baseline'!$D$1:$O$258,12,FALSE)),"",(VLOOKUP($E237,'A-1 Site Habitat Baseline'!$D$1:$O$258,12,FALSE))))</f>
        <v/>
      </c>
      <c r="N237" s="532" t="str">
        <f>IF(E237="","",IF(ISNA(VLOOKUP($E237,'A-1 Site Habitat Baseline'!$D$1:$X$258,14,FALSE)),"",(VLOOKUP($E237,'A-1 Site Habitat Baseline'!$D$1:$X$258,14,FALSE))))</f>
        <v/>
      </c>
      <c r="O237" s="524" t="str">
        <f>IF(E237="","",IF(ISNA(VLOOKUP($E237,'A-1 Site Habitat Baseline'!$D$1:$X$258,16,FALSE)),"",(VLOOKUP($E237,'A-1 Site Habitat Baseline'!$D$1:$X$258,13,FALSE))))</f>
        <v/>
      </c>
      <c r="P237" s="237" t="str">
        <f>IFERROR(INDEX('G-1 All Habitats'!$AG$3:$AG$15,MATCH(Q237,'G-1 All Habitats'!$AF$3:$AF$15,0)),"")</f>
        <v/>
      </c>
      <c r="Q237" s="238" t="str">
        <f t="shared" si="37"/>
        <v/>
      </c>
      <c r="R237" s="238" t="str">
        <f t="shared" si="38"/>
        <v/>
      </c>
      <c r="S237" s="392" t="str">
        <f>IFERROR(INDEX('G-1 All Habitats'!$B$3:$B$129,MATCH(R237,'G-1 All Habitats'!$A$3:$A$129,0)),"")</f>
        <v/>
      </c>
      <c r="T237" s="498" t="str">
        <f t="shared" si="39"/>
        <v/>
      </c>
      <c r="U237" s="499" t="str">
        <f t="shared" si="40"/>
        <v/>
      </c>
      <c r="V237" s="537" t="str">
        <f t="shared" si="34"/>
        <v/>
      </c>
      <c r="W237" s="520" t="str">
        <f>IF(S237="","",VLOOKUP(S237,'G-1 All Habitats'!$B$2:$M$129,10,FALSE))</f>
        <v/>
      </c>
      <c r="X237" s="520" t="str">
        <f>IFERROR(VLOOKUP(W237,'G-1 All Habitats'!$V$3:$W$7,2,FALSE),"")</f>
        <v/>
      </c>
      <c r="Y237" s="79"/>
      <c r="Z237" s="524" t="str">
        <f>IFERROR(INDEX('G-8 Condition Look up'!$A$3:$H$130,MATCH(S237,'G-8 Condition Look up'!$A$3:$A$130,0),MATCH(Y237,'G-8 Condition Look up'!$A$3:$H$3,0)),"")</f>
        <v/>
      </c>
      <c r="AA237" s="71"/>
      <c r="AB237" s="520" t="str">
        <f>IF(AA237="","",IF(VLOOKUP(AA237,'G-3 Multipliers'!$L$3:$N$6,2,FALSE)=0,"Spatial Data Missing ⚠",VLOOKUP(AA237,'G-3 Multipliers'!$L$3:$N$6,2,FALSE)))</f>
        <v/>
      </c>
      <c r="AC237" s="524" t="str">
        <f>IF(AA237="","",IF(VLOOKUP(AA237,'G-3 Multipliers'!$L$3:$N$6,3,FALSE)=0,"Spatial Data Missing ⚠",VLOOKUP(AA237,'G-3 Multipliers'!$L$3:$N$6,3,FALSE)))</f>
        <v/>
      </c>
      <c r="AD237" s="539" t="str">
        <f t="shared" si="35"/>
        <v/>
      </c>
      <c r="AE237" s="82"/>
      <c r="AF237" s="82"/>
      <c r="AG237" s="507" t="str">
        <f t="shared" si="41"/>
        <v/>
      </c>
      <c r="AH237" s="521" t="str">
        <f t="shared" si="42"/>
        <v/>
      </c>
      <c r="AI237" s="522" t="str">
        <f>IF(AH237="Check Data","Check Data",IFERROR(VLOOKUP(AH237,'G-4 Temporal multipliers'!$A$4:$C$36,3,FALSE),""))</f>
        <v/>
      </c>
      <c r="AJ237" s="498" t="str">
        <f>IF(S237="","",VLOOKUP(S237,'G-3 Multipliers'!$A$2:$E$129,4,FALSE))</f>
        <v/>
      </c>
      <c r="AK237" s="507" t="str">
        <f t="shared" si="43"/>
        <v/>
      </c>
      <c r="AL237" s="507" t="str">
        <f t="shared" si="44"/>
        <v/>
      </c>
      <c r="AM237" s="540" t="str">
        <f>IFERROR(IF(F237="","",IF(AH237="Check Data ⚠","Check Data ⚠",VLOOKUP(AL237, 'G-3 Multipliers'!$P$2:$Q$6,2,FALSE))),"")</f>
        <v/>
      </c>
      <c r="AN237" s="513" t="str">
        <f t="shared" si="36"/>
        <v/>
      </c>
      <c r="AO237" s="239"/>
      <c r="AP237" s="240"/>
    </row>
    <row r="238" spans="1:42" x14ac:dyDescent="0.25">
      <c r="A238" s="47" t="str">
        <f>IF(E238="","",IF(ISNA(VLOOKUP($E238,'A-1 Site Habitat Baseline'!$D$1:$O$258,2,FALSE)),"",(VLOOKUP($E238,'A-1 Site Habitat Baseline'!$D$1:$O$258,2,FALSE))))</f>
        <v/>
      </c>
      <c r="B238" s="47" t="str">
        <f>IF(E238="","",IF(ISNA(VLOOKUP($E238,'A-1 Site Habitat Baseline'!$D$1:$O$258,3,FALSE)),"",(VLOOKUP($E238,'A-1 Site Habitat Baseline'!$D$1:$O$258,3,FALSE))))</f>
        <v/>
      </c>
      <c r="C238" s="47" t="str">
        <f>IFERROR(INDEX('G-8 Condition Look up'!$I$4:$I$130,MATCH(S238,'G-8 Condition Look up'!$A$4:$A$130,0)),"")</f>
        <v/>
      </c>
      <c r="E238" s="531" t="str">
        <f>'A-1 Site Habitat Baseline'!AL237</f>
        <v/>
      </c>
      <c r="F238" s="520" t="str">
        <f>IF(E238="","",IF(ISNA(VLOOKUP($E238,'A-1 Site Habitat Baseline'!$D$1:$O$258,4,FALSE)),"",(VLOOKUP($E238,'A-1 Site Habitat Baseline'!$D$1:$O$258,4,FALSE))))</f>
        <v/>
      </c>
      <c r="G238" s="520" t="str">
        <f>IF(E238="","",IF(ISNA(VLOOKUP($E238,'A-1 Site Habitat Baseline'!$D$1:$O$258,5,FALSE)),"",(VLOOKUP($E238,'A-1 Site Habitat Baseline'!$D$1:$O$258,5,FALSE))))</f>
        <v/>
      </c>
      <c r="H238" s="520" t="str">
        <f>IF(E238="","",IF(ISNA(VLOOKUP($E238,'A-1 Site Habitat Baseline'!$D$1:$O$258,6,FALSE)),"",(VLOOKUP($E238,'A-1 Site Habitat Baseline'!$D$1:$O$258,6,FALSE))))</f>
        <v/>
      </c>
      <c r="I238" s="520" t="str">
        <f>IF(E238="","",IF(ISNA(VLOOKUP($E238,'A-1 Site Habitat Baseline'!$D$1:$O$258,7,FALSE)),"",(VLOOKUP($E238,'A-1 Site Habitat Baseline'!$D$1:$O$258,7,FALSE))))</f>
        <v/>
      </c>
      <c r="J238" s="520" t="str">
        <f>IF(E238="","",IF(ISNA(VLOOKUP($E238,'A-1 Site Habitat Baseline'!$D$1:$O$258,8,FALSE)),"",(VLOOKUP($E238,'A-1 Site Habitat Baseline'!$D$1:$O$258,8,FALSE))))</f>
        <v/>
      </c>
      <c r="K238" s="520" t="str">
        <f>IF(E238="","",IF(ISNA(VLOOKUP($E238,'A-1 Site Habitat Baseline'!$D$1:$O$258,9,FALSE)),"",(VLOOKUP($E238,'A-1 Site Habitat Baseline'!$D$1:$O$258,9,FALSE))))</f>
        <v/>
      </c>
      <c r="L238" s="520" t="str">
        <f>IF(E238="","",IF(ISNA(VLOOKUP($E238,'A-1 Site Habitat Baseline'!$D$1:$O$258,11,FALSE)),"",(VLOOKUP($E238,'A-1 Site Habitat Baseline'!$D$1:$O$258,11,FALSE))))</f>
        <v/>
      </c>
      <c r="M238" s="520" t="str">
        <f>IF(E238="","",IF(ISNA(VLOOKUP($E238,'A-1 Site Habitat Baseline'!$D$1:$O$258,12,FALSE)),"",(VLOOKUP($E238,'A-1 Site Habitat Baseline'!$D$1:$O$258,12,FALSE))))</f>
        <v/>
      </c>
      <c r="N238" s="532" t="str">
        <f>IF(E238="","",IF(ISNA(VLOOKUP($E238,'A-1 Site Habitat Baseline'!$D$1:$X$258,14,FALSE)),"",(VLOOKUP($E238,'A-1 Site Habitat Baseline'!$D$1:$X$258,14,FALSE))))</f>
        <v/>
      </c>
      <c r="O238" s="524" t="str">
        <f>IF(E238="","",IF(ISNA(VLOOKUP($E238,'A-1 Site Habitat Baseline'!$D$1:$X$258,16,FALSE)),"",(VLOOKUP($E238,'A-1 Site Habitat Baseline'!$D$1:$X$258,13,FALSE))))</f>
        <v/>
      </c>
      <c r="P238" s="237" t="str">
        <f>IFERROR(INDEX('G-1 All Habitats'!$AG$3:$AG$15,MATCH(Q238,'G-1 All Habitats'!$AF$3:$AF$15,0)),"")</f>
        <v/>
      </c>
      <c r="Q238" s="238" t="str">
        <f t="shared" si="37"/>
        <v/>
      </c>
      <c r="R238" s="238" t="str">
        <f t="shared" si="38"/>
        <v/>
      </c>
      <c r="S238" s="392" t="str">
        <f>IFERROR(INDEX('G-1 All Habitats'!$B$3:$B$129,MATCH(R238,'G-1 All Habitats'!$A$3:$A$129,0)),"")</f>
        <v/>
      </c>
      <c r="T238" s="498" t="str">
        <f t="shared" si="39"/>
        <v/>
      </c>
      <c r="U238" s="499" t="str">
        <f t="shared" si="40"/>
        <v/>
      </c>
      <c r="V238" s="537" t="str">
        <f t="shared" si="34"/>
        <v/>
      </c>
      <c r="W238" s="520" t="str">
        <f>IF(S238="","",VLOOKUP(S238,'G-1 All Habitats'!$B$2:$M$129,10,FALSE))</f>
        <v/>
      </c>
      <c r="X238" s="520" t="str">
        <f>IFERROR(VLOOKUP(W238,'G-1 All Habitats'!$V$3:$W$7,2,FALSE),"")</f>
        <v/>
      </c>
      <c r="Y238" s="79"/>
      <c r="Z238" s="524" t="str">
        <f>IFERROR(INDEX('G-8 Condition Look up'!$A$3:$H$130,MATCH(S238,'G-8 Condition Look up'!$A$3:$A$130,0),MATCH(Y238,'G-8 Condition Look up'!$A$3:$H$3,0)),"")</f>
        <v/>
      </c>
      <c r="AA238" s="71"/>
      <c r="AB238" s="520" t="str">
        <f>IF(AA238="","",IF(VLOOKUP(AA238,'G-3 Multipliers'!$L$3:$N$6,2,FALSE)=0,"Spatial Data Missing ⚠",VLOOKUP(AA238,'G-3 Multipliers'!$L$3:$N$6,2,FALSE)))</f>
        <v/>
      </c>
      <c r="AC238" s="524" t="str">
        <f>IF(AA238="","",IF(VLOOKUP(AA238,'G-3 Multipliers'!$L$3:$N$6,3,FALSE)=0,"Spatial Data Missing ⚠",VLOOKUP(AA238,'G-3 Multipliers'!$L$3:$N$6,3,FALSE)))</f>
        <v/>
      </c>
      <c r="AD238" s="539" t="str">
        <f t="shared" si="35"/>
        <v/>
      </c>
      <c r="AE238" s="82"/>
      <c r="AF238" s="82"/>
      <c r="AG238" s="507" t="str">
        <f t="shared" si="41"/>
        <v/>
      </c>
      <c r="AH238" s="521" t="str">
        <f t="shared" si="42"/>
        <v/>
      </c>
      <c r="AI238" s="522" t="str">
        <f>IF(AH238="Check Data","Check Data",IFERROR(VLOOKUP(AH238,'G-4 Temporal multipliers'!$A$4:$C$36,3,FALSE),""))</f>
        <v/>
      </c>
      <c r="AJ238" s="498" t="str">
        <f>IF(S238="","",VLOOKUP(S238,'G-3 Multipliers'!$A$2:$E$129,4,FALSE))</f>
        <v/>
      </c>
      <c r="AK238" s="507" t="str">
        <f t="shared" si="43"/>
        <v/>
      </c>
      <c r="AL238" s="507" t="str">
        <f t="shared" si="44"/>
        <v/>
      </c>
      <c r="AM238" s="540" t="str">
        <f>IFERROR(IF(F238="","",IF(AH238="Check Data ⚠","Check Data ⚠",VLOOKUP(AL238, 'G-3 Multipliers'!$P$2:$Q$6,2,FALSE))),"")</f>
        <v/>
      </c>
      <c r="AN238" s="513" t="str">
        <f t="shared" si="36"/>
        <v/>
      </c>
      <c r="AO238" s="239"/>
      <c r="AP238" s="240"/>
    </row>
    <row r="239" spans="1:42" x14ac:dyDescent="0.25">
      <c r="A239" s="47" t="str">
        <f>IF(E239="","",IF(ISNA(VLOOKUP($E239,'A-1 Site Habitat Baseline'!$D$1:$O$258,2,FALSE)),"",(VLOOKUP($E239,'A-1 Site Habitat Baseline'!$D$1:$O$258,2,FALSE))))</f>
        <v/>
      </c>
      <c r="B239" s="47" t="str">
        <f>IF(E239="","",IF(ISNA(VLOOKUP($E239,'A-1 Site Habitat Baseline'!$D$1:$O$258,3,FALSE)),"",(VLOOKUP($E239,'A-1 Site Habitat Baseline'!$D$1:$O$258,3,FALSE))))</f>
        <v/>
      </c>
      <c r="C239" s="47" t="str">
        <f>IFERROR(INDEX('G-8 Condition Look up'!$I$4:$I$130,MATCH(S239,'G-8 Condition Look up'!$A$4:$A$130,0)),"")</f>
        <v/>
      </c>
      <c r="E239" s="531" t="str">
        <f>'A-1 Site Habitat Baseline'!AL238</f>
        <v/>
      </c>
      <c r="F239" s="520" t="str">
        <f>IF(E239="","",IF(ISNA(VLOOKUP($E239,'A-1 Site Habitat Baseline'!$D$1:$O$258,4,FALSE)),"",(VLOOKUP($E239,'A-1 Site Habitat Baseline'!$D$1:$O$258,4,FALSE))))</f>
        <v/>
      </c>
      <c r="G239" s="520" t="str">
        <f>IF(E239="","",IF(ISNA(VLOOKUP($E239,'A-1 Site Habitat Baseline'!$D$1:$O$258,5,FALSE)),"",(VLOOKUP($E239,'A-1 Site Habitat Baseline'!$D$1:$O$258,5,FALSE))))</f>
        <v/>
      </c>
      <c r="H239" s="520" t="str">
        <f>IF(E239="","",IF(ISNA(VLOOKUP($E239,'A-1 Site Habitat Baseline'!$D$1:$O$258,6,FALSE)),"",(VLOOKUP($E239,'A-1 Site Habitat Baseline'!$D$1:$O$258,6,FALSE))))</f>
        <v/>
      </c>
      <c r="I239" s="520" t="str">
        <f>IF(E239="","",IF(ISNA(VLOOKUP($E239,'A-1 Site Habitat Baseline'!$D$1:$O$258,7,FALSE)),"",(VLOOKUP($E239,'A-1 Site Habitat Baseline'!$D$1:$O$258,7,FALSE))))</f>
        <v/>
      </c>
      <c r="J239" s="520" t="str">
        <f>IF(E239="","",IF(ISNA(VLOOKUP($E239,'A-1 Site Habitat Baseline'!$D$1:$O$258,8,FALSE)),"",(VLOOKUP($E239,'A-1 Site Habitat Baseline'!$D$1:$O$258,8,FALSE))))</f>
        <v/>
      </c>
      <c r="K239" s="520" t="str">
        <f>IF(E239="","",IF(ISNA(VLOOKUP($E239,'A-1 Site Habitat Baseline'!$D$1:$O$258,9,FALSE)),"",(VLOOKUP($E239,'A-1 Site Habitat Baseline'!$D$1:$O$258,9,FALSE))))</f>
        <v/>
      </c>
      <c r="L239" s="520" t="str">
        <f>IF(E239="","",IF(ISNA(VLOOKUP($E239,'A-1 Site Habitat Baseline'!$D$1:$O$258,11,FALSE)),"",(VLOOKUP($E239,'A-1 Site Habitat Baseline'!$D$1:$O$258,11,FALSE))))</f>
        <v/>
      </c>
      <c r="M239" s="520" t="str">
        <f>IF(E239="","",IF(ISNA(VLOOKUP($E239,'A-1 Site Habitat Baseline'!$D$1:$O$258,12,FALSE)),"",(VLOOKUP($E239,'A-1 Site Habitat Baseline'!$D$1:$O$258,12,FALSE))))</f>
        <v/>
      </c>
      <c r="N239" s="532" t="str">
        <f>IF(E239="","",IF(ISNA(VLOOKUP($E239,'A-1 Site Habitat Baseline'!$D$1:$X$258,14,FALSE)),"",(VLOOKUP($E239,'A-1 Site Habitat Baseline'!$D$1:$X$258,14,FALSE))))</f>
        <v/>
      </c>
      <c r="O239" s="524" t="str">
        <f>IF(E239="","",IF(ISNA(VLOOKUP($E239,'A-1 Site Habitat Baseline'!$D$1:$X$258,16,FALSE)),"",(VLOOKUP($E239,'A-1 Site Habitat Baseline'!$D$1:$X$258,13,FALSE))))</f>
        <v/>
      </c>
      <c r="P239" s="237" t="str">
        <f>IFERROR(INDEX('G-1 All Habitats'!$AG$3:$AG$15,MATCH(Q239,'G-1 All Habitats'!$AF$3:$AF$15,0)),"")</f>
        <v/>
      </c>
      <c r="Q239" s="238" t="str">
        <f t="shared" si="37"/>
        <v/>
      </c>
      <c r="R239" s="238" t="str">
        <f t="shared" si="38"/>
        <v/>
      </c>
      <c r="S239" s="392" t="str">
        <f>IFERROR(INDEX('G-1 All Habitats'!$B$3:$B$129,MATCH(R239,'G-1 All Habitats'!$A$3:$A$129,0)),"")</f>
        <v/>
      </c>
      <c r="T239" s="498" t="str">
        <f t="shared" si="39"/>
        <v/>
      </c>
      <c r="U239" s="499" t="str">
        <f t="shared" si="40"/>
        <v/>
      </c>
      <c r="V239" s="537" t="str">
        <f t="shared" si="34"/>
        <v/>
      </c>
      <c r="W239" s="520" t="str">
        <f>IF(S239="","",VLOOKUP(S239,'G-1 All Habitats'!$B$2:$M$129,10,FALSE))</f>
        <v/>
      </c>
      <c r="X239" s="520" t="str">
        <f>IFERROR(VLOOKUP(W239,'G-1 All Habitats'!$V$3:$W$7,2,FALSE),"")</f>
        <v/>
      </c>
      <c r="Y239" s="79"/>
      <c r="Z239" s="524" t="str">
        <f>IFERROR(INDEX('G-8 Condition Look up'!$A$3:$H$130,MATCH(S239,'G-8 Condition Look up'!$A$3:$A$130,0),MATCH(Y239,'G-8 Condition Look up'!$A$3:$H$3,0)),"")</f>
        <v/>
      </c>
      <c r="AA239" s="71"/>
      <c r="AB239" s="520" t="str">
        <f>IF(AA239="","",IF(VLOOKUP(AA239,'G-3 Multipliers'!$L$3:$N$6,2,FALSE)=0,"Spatial Data Missing ⚠",VLOOKUP(AA239,'G-3 Multipliers'!$L$3:$N$6,2,FALSE)))</f>
        <v/>
      </c>
      <c r="AC239" s="524" t="str">
        <f>IF(AA239="","",IF(VLOOKUP(AA239,'G-3 Multipliers'!$L$3:$N$6,3,FALSE)=0,"Spatial Data Missing ⚠",VLOOKUP(AA239,'G-3 Multipliers'!$L$3:$N$6,3,FALSE)))</f>
        <v/>
      </c>
      <c r="AD239" s="539" t="str">
        <f t="shared" si="35"/>
        <v/>
      </c>
      <c r="AE239" s="82"/>
      <c r="AF239" s="82"/>
      <c r="AG239" s="507" t="str">
        <f t="shared" si="41"/>
        <v/>
      </c>
      <c r="AH239" s="521" t="str">
        <f t="shared" si="42"/>
        <v/>
      </c>
      <c r="AI239" s="522" t="str">
        <f>IF(AH239="Check Data","Check Data",IFERROR(VLOOKUP(AH239,'G-4 Temporal multipliers'!$A$4:$C$36,3,FALSE),""))</f>
        <v/>
      </c>
      <c r="AJ239" s="498" t="str">
        <f>IF(S239="","",VLOOKUP(S239,'G-3 Multipliers'!$A$2:$E$129,4,FALSE))</f>
        <v/>
      </c>
      <c r="AK239" s="507" t="str">
        <f t="shared" si="43"/>
        <v/>
      </c>
      <c r="AL239" s="507" t="str">
        <f t="shared" si="44"/>
        <v/>
      </c>
      <c r="AM239" s="540" t="str">
        <f>IFERROR(IF(F239="","",IF(AH239="Check Data ⚠","Check Data ⚠",VLOOKUP(AL239, 'G-3 Multipliers'!$P$2:$Q$6,2,FALSE))),"")</f>
        <v/>
      </c>
      <c r="AN239" s="513" t="str">
        <f t="shared" si="36"/>
        <v/>
      </c>
      <c r="AO239" s="239"/>
      <c r="AP239" s="240"/>
    </row>
    <row r="240" spans="1:42" x14ac:dyDescent="0.25">
      <c r="A240" s="47" t="str">
        <f>IF(E240="","",IF(ISNA(VLOOKUP($E240,'A-1 Site Habitat Baseline'!$D$1:$O$258,2,FALSE)),"",(VLOOKUP($E240,'A-1 Site Habitat Baseline'!$D$1:$O$258,2,FALSE))))</f>
        <v/>
      </c>
      <c r="B240" s="47" t="str">
        <f>IF(E240="","",IF(ISNA(VLOOKUP($E240,'A-1 Site Habitat Baseline'!$D$1:$O$258,3,FALSE)),"",(VLOOKUP($E240,'A-1 Site Habitat Baseline'!$D$1:$O$258,3,FALSE))))</f>
        <v/>
      </c>
      <c r="C240" s="47" t="str">
        <f>IFERROR(INDEX('G-8 Condition Look up'!$I$4:$I$130,MATCH(S240,'G-8 Condition Look up'!$A$4:$A$130,0)),"")</f>
        <v/>
      </c>
      <c r="E240" s="531" t="str">
        <f>'A-1 Site Habitat Baseline'!AL239</f>
        <v/>
      </c>
      <c r="F240" s="520" t="str">
        <f>IF(E240="","",IF(ISNA(VLOOKUP($E240,'A-1 Site Habitat Baseline'!$D$1:$O$258,4,FALSE)),"",(VLOOKUP($E240,'A-1 Site Habitat Baseline'!$D$1:$O$258,4,FALSE))))</f>
        <v/>
      </c>
      <c r="G240" s="520" t="str">
        <f>IF(E240="","",IF(ISNA(VLOOKUP($E240,'A-1 Site Habitat Baseline'!$D$1:$O$258,5,FALSE)),"",(VLOOKUP($E240,'A-1 Site Habitat Baseline'!$D$1:$O$258,5,FALSE))))</f>
        <v/>
      </c>
      <c r="H240" s="520" t="str">
        <f>IF(E240="","",IF(ISNA(VLOOKUP($E240,'A-1 Site Habitat Baseline'!$D$1:$O$258,6,FALSE)),"",(VLOOKUP($E240,'A-1 Site Habitat Baseline'!$D$1:$O$258,6,FALSE))))</f>
        <v/>
      </c>
      <c r="I240" s="520" t="str">
        <f>IF(E240="","",IF(ISNA(VLOOKUP($E240,'A-1 Site Habitat Baseline'!$D$1:$O$258,7,FALSE)),"",(VLOOKUP($E240,'A-1 Site Habitat Baseline'!$D$1:$O$258,7,FALSE))))</f>
        <v/>
      </c>
      <c r="J240" s="520" t="str">
        <f>IF(E240="","",IF(ISNA(VLOOKUP($E240,'A-1 Site Habitat Baseline'!$D$1:$O$258,8,FALSE)),"",(VLOOKUP($E240,'A-1 Site Habitat Baseline'!$D$1:$O$258,8,FALSE))))</f>
        <v/>
      </c>
      <c r="K240" s="520" t="str">
        <f>IF(E240="","",IF(ISNA(VLOOKUP($E240,'A-1 Site Habitat Baseline'!$D$1:$O$258,9,FALSE)),"",(VLOOKUP($E240,'A-1 Site Habitat Baseline'!$D$1:$O$258,9,FALSE))))</f>
        <v/>
      </c>
      <c r="L240" s="520" t="str">
        <f>IF(E240="","",IF(ISNA(VLOOKUP($E240,'A-1 Site Habitat Baseline'!$D$1:$O$258,11,FALSE)),"",(VLOOKUP($E240,'A-1 Site Habitat Baseline'!$D$1:$O$258,11,FALSE))))</f>
        <v/>
      </c>
      <c r="M240" s="520" t="str">
        <f>IF(E240="","",IF(ISNA(VLOOKUP($E240,'A-1 Site Habitat Baseline'!$D$1:$O$258,12,FALSE)),"",(VLOOKUP($E240,'A-1 Site Habitat Baseline'!$D$1:$O$258,12,FALSE))))</f>
        <v/>
      </c>
      <c r="N240" s="532" t="str">
        <f>IF(E240="","",IF(ISNA(VLOOKUP($E240,'A-1 Site Habitat Baseline'!$D$1:$X$258,14,FALSE)),"",(VLOOKUP($E240,'A-1 Site Habitat Baseline'!$D$1:$X$258,14,FALSE))))</f>
        <v/>
      </c>
      <c r="O240" s="524" t="str">
        <f>IF(E240="","",IF(ISNA(VLOOKUP($E240,'A-1 Site Habitat Baseline'!$D$1:$X$258,16,FALSE)),"",(VLOOKUP($E240,'A-1 Site Habitat Baseline'!$D$1:$X$258,13,FALSE))))</f>
        <v/>
      </c>
      <c r="P240" s="237" t="str">
        <f>IFERROR(INDEX('G-1 All Habitats'!$AG$3:$AG$15,MATCH(Q240,'G-1 All Habitats'!$AF$3:$AF$15,0)),"")</f>
        <v/>
      </c>
      <c r="Q240" s="238" t="str">
        <f t="shared" si="37"/>
        <v/>
      </c>
      <c r="R240" s="238" t="str">
        <f t="shared" si="38"/>
        <v/>
      </c>
      <c r="S240" s="392" t="str">
        <f>IFERROR(INDEX('G-1 All Habitats'!$B$3:$B$129,MATCH(R240,'G-1 All Habitats'!$A$3:$A$129,0)),"")</f>
        <v/>
      </c>
      <c r="T240" s="498" t="str">
        <f t="shared" si="39"/>
        <v/>
      </c>
      <c r="U240" s="499" t="str">
        <f t="shared" si="40"/>
        <v/>
      </c>
      <c r="V240" s="537" t="str">
        <f t="shared" si="34"/>
        <v/>
      </c>
      <c r="W240" s="520" t="str">
        <f>IF(S240="","",VLOOKUP(S240,'G-1 All Habitats'!$B$2:$M$129,10,FALSE))</f>
        <v/>
      </c>
      <c r="X240" s="520" t="str">
        <f>IFERROR(VLOOKUP(W240,'G-1 All Habitats'!$V$3:$W$7,2,FALSE),"")</f>
        <v/>
      </c>
      <c r="Y240" s="79"/>
      <c r="Z240" s="524" t="str">
        <f>IFERROR(INDEX('G-8 Condition Look up'!$A$3:$H$130,MATCH(S240,'G-8 Condition Look up'!$A$3:$A$130,0),MATCH(Y240,'G-8 Condition Look up'!$A$3:$H$3,0)),"")</f>
        <v/>
      </c>
      <c r="AA240" s="71"/>
      <c r="AB240" s="520" t="str">
        <f>IF(AA240="","",IF(VLOOKUP(AA240,'G-3 Multipliers'!$L$3:$N$6,2,FALSE)=0,"Spatial Data Missing ⚠",VLOOKUP(AA240,'G-3 Multipliers'!$L$3:$N$6,2,FALSE)))</f>
        <v/>
      </c>
      <c r="AC240" s="524" t="str">
        <f>IF(AA240="","",IF(VLOOKUP(AA240,'G-3 Multipliers'!$L$3:$N$6,3,FALSE)=0,"Spatial Data Missing ⚠",VLOOKUP(AA240,'G-3 Multipliers'!$L$3:$N$6,3,FALSE)))</f>
        <v/>
      </c>
      <c r="AD240" s="539" t="str">
        <f t="shared" si="35"/>
        <v/>
      </c>
      <c r="AE240" s="82"/>
      <c r="AF240" s="82"/>
      <c r="AG240" s="507" t="str">
        <f t="shared" si="41"/>
        <v/>
      </c>
      <c r="AH240" s="521" t="str">
        <f t="shared" si="42"/>
        <v/>
      </c>
      <c r="AI240" s="522" t="str">
        <f>IF(AH240="Check Data","Check Data",IFERROR(VLOOKUP(AH240,'G-4 Temporal multipliers'!$A$4:$C$36,3,FALSE),""))</f>
        <v/>
      </c>
      <c r="AJ240" s="498" t="str">
        <f>IF(S240="","",VLOOKUP(S240,'G-3 Multipliers'!$A$2:$E$129,4,FALSE))</f>
        <v/>
      </c>
      <c r="AK240" s="507" t="str">
        <f t="shared" si="43"/>
        <v/>
      </c>
      <c r="AL240" s="507" t="str">
        <f t="shared" si="44"/>
        <v/>
      </c>
      <c r="AM240" s="540" t="str">
        <f>IFERROR(IF(F240="","",IF(AH240="Check Data ⚠","Check Data ⚠",VLOOKUP(AL240, 'G-3 Multipliers'!$P$2:$Q$6,2,FALSE))),"")</f>
        <v/>
      </c>
      <c r="AN240" s="513" t="str">
        <f t="shared" si="36"/>
        <v/>
      </c>
      <c r="AO240" s="239"/>
      <c r="AP240" s="240"/>
    </row>
    <row r="241" spans="1:42" x14ac:dyDescent="0.25">
      <c r="A241" s="47" t="str">
        <f>IF(E241="","",IF(ISNA(VLOOKUP($E241,'A-1 Site Habitat Baseline'!$D$1:$O$258,2,FALSE)),"",(VLOOKUP($E241,'A-1 Site Habitat Baseline'!$D$1:$O$258,2,FALSE))))</f>
        <v/>
      </c>
      <c r="B241" s="47" t="str">
        <f>IF(E241="","",IF(ISNA(VLOOKUP($E241,'A-1 Site Habitat Baseline'!$D$1:$O$258,3,FALSE)),"",(VLOOKUP($E241,'A-1 Site Habitat Baseline'!$D$1:$O$258,3,FALSE))))</f>
        <v/>
      </c>
      <c r="C241" s="47" t="str">
        <f>IFERROR(INDEX('G-8 Condition Look up'!$I$4:$I$130,MATCH(S241,'G-8 Condition Look up'!$A$4:$A$130,0)),"")</f>
        <v/>
      </c>
      <c r="E241" s="531" t="str">
        <f>'A-1 Site Habitat Baseline'!AL240</f>
        <v/>
      </c>
      <c r="F241" s="520" t="str">
        <f>IF(E241="","",IF(ISNA(VLOOKUP($E241,'A-1 Site Habitat Baseline'!$D$1:$O$258,4,FALSE)),"",(VLOOKUP($E241,'A-1 Site Habitat Baseline'!$D$1:$O$258,4,FALSE))))</f>
        <v/>
      </c>
      <c r="G241" s="520" t="str">
        <f>IF(E241="","",IF(ISNA(VLOOKUP($E241,'A-1 Site Habitat Baseline'!$D$1:$O$258,5,FALSE)),"",(VLOOKUP($E241,'A-1 Site Habitat Baseline'!$D$1:$O$258,5,FALSE))))</f>
        <v/>
      </c>
      <c r="H241" s="520" t="str">
        <f>IF(E241="","",IF(ISNA(VLOOKUP($E241,'A-1 Site Habitat Baseline'!$D$1:$O$258,6,FALSE)),"",(VLOOKUP($E241,'A-1 Site Habitat Baseline'!$D$1:$O$258,6,FALSE))))</f>
        <v/>
      </c>
      <c r="I241" s="520" t="str">
        <f>IF(E241="","",IF(ISNA(VLOOKUP($E241,'A-1 Site Habitat Baseline'!$D$1:$O$258,7,FALSE)),"",(VLOOKUP($E241,'A-1 Site Habitat Baseline'!$D$1:$O$258,7,FALSE))))</f>
        <v/>
      </c>
      <c r="J241" s="520" t="str">
        <f>IF(E241="","",IF(ISNA(VLOOKUP($E241,'A-1 Site Habitat Baseline'!$D$1:$O$258,8,FALSE)),"",(VLOOKUP($E241,'A-1 Site Habitat Baseline'!$D$1:$O$258,8,FALSE))))</f>
        <v/>
      </c>
      <c r="K241" s="520" t="str">
        <f>IF(E241="","",IF(ISNA(VLOOKUP($E241,'A-1 Site Habitat Baseline'!$D$1:$O$258,9,FALSE)),"",(VLOOKUP($E241,'A-1 Site Habitat Baseline'!$D$1:$O$258,9,FALSE))))</f>
        <v/>
      </c>
      <c r="L241" s="520" t="str">
        <f>IF(E241="","",IF(ISNA(VLOOKUP($E241,'A-1 Site Habitat Baseline'!$D$1:$O$258,11,FALSE)),"",(VLOOKUP($E241,'A-1 Site Habitat Baseline'!$D$1:$O$258,11,FALSE))))</f>
        <v/>
      </c>
      <c r="M241" s="520" t="str">
        <f>IF(E241="","",IF(ISNA(VLOOKUP($E241,'A-1 Site Habitat Baseline'!$D$1:$O$258,12,FALSE)),"",(VLOOKUP($E241,'A-1 Site Habitat Baseline'!$D$1:$O$258,12,FALSE))))</f>
        <v/>
      </c>
      <c r="N241" s="532" t="str">
        <f>IF(E241="","",IF(ISNA(VLOOKUP($E241,'A-1 Site Habitat Baseline'!$D$1:$X$258,14,FALSE)),"",(VLOOKUP($E241,'A-1 Site Habitat Baseline'!$D$1:$X$258,14,FALSE))))</f>
        <v/>
      </c>
      <c r="O241" s="524" t="str">
        <f>IF(E241="","",IF(ISNA(VLOOKUP($E241,'A-1 Site Habitat Baseline'!$D$1:$X$258,16,FALSE)),"",(VLOOKUP($E241,'A-1 Site Habitat Baseline'!$D$1:$X$258,13,FALSE))))</f>
        <v/>
      </c>
      <c r="P241" s="237" t="str">
        <f>IFERROR(INDEX('G-1 All Habitats'!$AG$3:$AG$15,MATCH(Q241,'G-1 All Habitats'!$AF$3:$AF$15,0)),"")</f>
        <v/>
      </c>
      <c r="Q241" s="238" t="str">
        <f t="shared" si="37"/>
        <v/>
      </c>
      <c r="R241" s="238" t="str">
        <f t="shared" si="38"/>
        <v/>
      </c>
      <c r="S241" s="392" t="str">
        <f>IFERROR(INDEX('G-1 All Habitats'!$B$3:$B$129,MATCH(R241,'G-1 All Habitats'!$A$3:$A$129,0)),"")</f>
        <v/>
      </c>
      <c r="T241" s="498" t="str">
        <f t="shared" si="39"/>
        <v/>
      </c>
      <c r="U241" s="499" t="str">
        <f t="shared" si="40"/>
        <v/>
      </c>
      <c r="V241" s="537" t="str">
        <f t="shared" si="34"/>
        <v/>
      </c>
      <c r="W241" s="520" t="str">
        <f>IF(S241="","",VLOOKUP(S241,'G-1 All Habitats'!$B$2:$M$129,10,FALSE))</f>
        <v/>
      </c>
      <c r="X241" s="520" t="str">
        <f>IFERROR(VLOOKUP(W241,'G-1 All Habitats'!$V$3:$W$7,2,FALSE),"")</f>
        <v/>
      </c>
      <c r="Y241" s="79"/>
      <c r="Z241" s="524" t="str">
        <f>IFERROR(INDEX('G-8 Condition Look up'!$A$3:$H$130,MATCH(S241,'G-8 Condition Look up'!$A$3:$A$130,0),MATCH(Y241,'G-8 Condition Look up'!$A$3:$H$3,0)),"")</f>
        <v/>
      </c>
      <c r="AA241" s="71"/>
      <c r="AB241" s="520" t="str">
        <f>IF(AA241="","",IF(VLOOKUP(AA241,'G-3 Multipliers'!$L$3:$N$6,2,FALSE)=0,"Spatial Data Missing ⚠",VLOOKUP(AA241,'G-3 Multipliers'!$L$3:$N$6,2,FALSE)))</f>
        <v/>
      </c>
      <c r="AC241" s="524" t="str">
        <f>IF(AA241="","",IF(VLOOKUP(AA241,'G-3 Multipliers'!$L$3:$N$6,3,FALSE)=0,"Spatial Data Missing ⚠",VLOOKUP(AA241,'G-3 Multipliers'!$L$3:$N$6,3,FALSE)))</f>
        <v/>
      </c>
      <c r="AD241" s="539" t="str">
        <f t="shared" si="35"/>
        <v/>
      </c>
      <c r="AE241" s="82"/>
      <c r="AF241" s="82"/>
      <c r="AG241" s="507" t="str">
        <f t="shared" si="41"/>
        <v/>
      </c>
      <c r="AH241" s="521" t="str">
        <f t="shared" si="42"/>
        <v/>
      </c>
      <c r="AI241" s="522" t="str">
        <f>IF(AH241="Check Data","Check Data",IFERROR(VLOOKUP(AH241,'G-4 Temporal multipliers'!$A$4:$C$36,3,FALSE),""))</f>
        <v/>
      </c>
      <c r="AJ241" s="498" t="str">
        <f>IF(S241="","",VLOOKUP(S241,'G-3 Multipliers'!$A$2:$E$129,4,FALSE))</f>
        <v/>
      </c>
      <c r="AK241" s="507" t="str">
        <f t="shared" si="43"/>
        <v/>
      </c>
      <c r="AL241" s="507" t="str">
        <f t="shared" si="44"/>
        <v/>
      </c>
      <c r="AM241" s="540" t="str">
        <f>IFERROR(IF(F241="","",IF(AH241="Check Data ⚠","Check Data ⚠",VLOOKUP(AL241, 'G-3 Multipliers'!$P$2:$Q$6,2,FALSE))),"")</f>
        <v/>
      </c>
      <c r="AN241" s="513" t="str">
        <f t="shared" si="36"/>
        <v/>
      </c>
      <c r="AO241" s="239"/>
      <c r="AP241" s="240"/>
    </row>
    <row r="242" spans="1:42" x14ac:dyDescent="0.25">
      <c r="A242" s="47" t="str">
        <f>IF(E242="","",IF(ISNA(VLOOKUP($E242,'A-1 Site Habitat Baseline'!$D$1:$O$258,2,FALSE)),"",(VLOOKUP($E242,'A-1 Site Habitat Baseline'!$D$1:$O$258,2,FALSE))))</f>
        <v/>
      </c>
      <c r="B242" s="47" t="str">
        <f>IF(E242="","",IF(ISNA(VLOOKUP($E242,'A-1 Site Habitat Baseline'!$D$1:$O$258,3,FALSE)),"",(VLOOKUP($E242,'A-1 Site Habitat Baseline'!$D$1:$O$258,3,FALSE))))</f>
        <v/>
      </c>
      <c r="C242" s="47" t="str">
        <f>IFERROR(INDEX('G-8 Condition Look up'!$I$4:$I$130,MATCH(S242,'G-8 Condition Look up'!$A$4:$A$130,0)),"")</f>
        <v/>
      </c>
      <c r="E242" s="531" t="str">
        <f>'A-1 Site Habitat Baseline'!AL241</f>
        <v/>
      </c>
      <c r="F242" s="520" t="str">
        <f>IF(E242="","",IF(ISNA(VLOOKUP($E242,'A-1 Site Habitat Baseline'!$D$1:$O$258,4,FALSE)),"",(VLOOKUP($E242,'A-1 Site Habitat Baseline'!$D$1:$O$258,4,FALSE))))</f>
        <v/>
      </c>
      <c r="G242" s="520" t="str">
        <f>IF(E242="","",IF(ISNA(VLOOKUP($E242,'A-1 Site Habitat Baseline'!$D$1:$O$258,5,FALSE)),"",(VLOOKUP($E242,'A-1 Site Habitat Baseline'!$D$1:$O$258,5,FALSE))))</f>
        <v/>
      </c>
      <c r="H242" s="520" t="str">
        <f>IF(E242="","",IF(ISNA(VLOOKUP($E242,'A-1 Site Habitat Baseline'!$D$1:$O$258,6,FALSE)),"",(VLOOKUP($E242,'A-1 Site Habitat Baseline'!$D$1:$O$258,6,FALSE))))</f>
        <v/>
      </c>
      <c r="I242" s="520" t="str">
        <f>IF(E242="","",IF(ISNA(VLOOKUP($E242,'A-1 Site Habitat Baseline'!$D$1:$O$258,7,FALSE)),"",(VLOOKUP($E242,'A-1 Site Habitat Baseline'!$D$1:$O$258,7,FALSE))))</f>
        <v/>
      </c>
      <c r="J242" s="520" t="str">
        <f>IF(E242="","",IF(ISNA(VLOOKUP($E242,'A-1 Site Habitat Baseline'!$D$1:$O$258,8,FALSE)),"",(VLOOKUP($E242,'A-1 Site Habitat Baseline'!$D$1:$O$258,8,FALSE))))</f>
        <v/>
      </c>
      <c r="K242" s="520" t="str">
        <f>IF(E242="","",IF(ISNA(VLOOKUP($E242,'A-1 Site Habitat Baseline'!$D$1:$O$258,9,FALSE)),"",(VLOOKUP($E242,'A-1 Site Habitat Baseline'!$D$1:$O$258,9,FALSE))))</f>
        <v/>
      </c>
      <c r="L242" s="520" t="str">
        <f>IF(E242="","",IF(ISNA(VLOOKUP($E242,'A-1 Site Habitat Baseline'!$D$1:$O$258,11,FALSE)),"",(VLOOKUP($E242,'A-1 Site Habitat Baseline'!$D$1:$O$258,11,FALSE))))</f>
        <v/>
      </c>
      <c r="M242" s="520" t="str">
        <f>IF(E242="","",IF(ISNA(VLOOKUP($E242,'A-1 Site Habitat Baseline'!$D$1:$O$258,12,FALSE)),"",(VLOOKUP($E242,'A-1 Site Habitat Baseline'!$D$1:$O$258,12,FALSE))))</f>
        <v/>
      </c>
      <c r="N242" s="532" t="str">
        <f>IF(E242="","",IF(ISNA(VLOOKUP($E242,'A-1 Site Habitat Baseline'!$D$1:$X$258,14,FALSE)),"",(VLOOKUP($E242,'A-1 Site Habitat Baseline'!$D$1:$X$258,14,FALSE))))</f>
        <v/>
      </c>
      <c r="O242" s="524" t="str">
        <f>IF(E242="","",IF(ISNA(VLOOKUP($E242,'A-1 Site Habitat Baseline'!$D$1:$X$258,16,FALSE)),"",(VLOOKUP($E242,'A-1 Site Habitat Baseline'!$D$1:$X$258,13,FALSE))))</f>
        <v/>
      </c>
      <c r="P242" s="237" t="str">
        <f>IFERROR(INDEX('G-1 All Habitats'!$AG$3:$AG$15,MATCH(Q242,'G-1 All Habitats'!$AF$3:$AF$15,0)),"")</f>
        <v/>
      </c>
      <c r="Q242" s="238" t="str">
        <f t="shared" si="37"/>
        <v/>
      </c>
      <c r="R242" s="238" t="str">
        <f t="shared" si="38"/>
        <v/>
      </c>
      <c r="S242" s="392" t="str">
        <f>IFERROR(INDEX('G-1 All Habitats'!$B$3:$B$129,MATCH(R242,'G-1 All Habitats'!$A$3:$A$129,0)),"")</f>
        <v/>
      </c>
      <c r="T242" s="498" t="str">
        <f t="shared" si="39"/>
        <v/>
      </c>
      <c r="U242" s="499" t="str">
        <f t="shared" si="40"/>
        <v/>
      </c>
      <c r="V242" s="537" t="str">
        <f t="shared" si="34"/>
        <v/>
      </c>
      <c r="W242" s="520" t="str">
        <f>IF(S242="","",VLOOKUP(S242,'G-1 All Habitats'!$B$2:$M$129,10,FALSE))</f>
        <v/>
      </c>
      <c r="X242" s="520" t="str">
        <f>IFERROR(VLOOKUP(W242,'G-1 All Habitats'!$V$3:$W$7,2,FALSE),"")</f>
        <v/>
      </c>
      <c r="Y242" s="79"/>
      <c r="Z242" s="524" t="str">
        <f>IFERROR(INDEX('G-8 Condition Look up'!$A$3:$H$130,MATCH(S242,'G-8 Condition Look up'!$A$3:$A$130,0),MATCH(Y242,'G-8 Condition Look up'!$A$3:$H$3,0)),"")</f>
        <v/>
      </c>
      <c r="AA242" s="71"/>
      <c r="AB242" s="520" t="str">
        <f>IF(AA242="","",IF(VLOOKUP(AA242,'G-3 Multipliers'!$L$3:$N$6,2,FALSE)=0,"Spatial Data Missing ⚠",VLOOKUP(AA242,'G-3 Multipliers'!$L$3:$N$6,2,FALSE)))</f>
        <v/>
      </c>
      <c r="AC242" s="524" t="str">
        <f>IF(AA242="","",IF(VLOOKUP(AA242,'G-3 Multipliers'!$L$3:$N$6,3,FALSE)=0,"Spatial Data Missing ⚠",VLOOKUP(AA242,'G-3 Multipliers'!$L$3:$N$6,3,FALSE)))</f>
        <v/>
      </c>
      <c r="AD242" s="539" t="str">
        <f t="shared" si="35"/>
        <v/>
      </c>
      <c r="AE242" s="82"/>
      <c r="AF242" s="82"/>
      <c r="AG242" s="507" t="str">
        <f t="shared" si="41"/>
        <v/>
      </c>
      <c r="AH242" s="521" t="str">
        <f t="shared" si="42"/>
        <v/>
      </c>
      <c r="AI242" s="522" t="str">
        <f>IF(AH242="Check Data","Check Data",IFERROR(VLOOKUP(AH242,'G-4 Temporal multipliers'!$A$4:$C$36,3,FALSE),""))</f>
        <v/>
      </c>
      <c r="AJ242" s="498" t="str">
        <f>IF(S242="","",VLOOKUP(S242,'G-3 Multipliers'!$A$2:$E$129,4,FALSE))</f>
        <v/>
      </c>
      <c r="AK242" s="507" t="str">
        <f t="shared" si="43"/>
        <v/>
      </c>
      <c r="AL242" s="507" t="str">
        <f t="shared" si="44"/>
        <v/>
      </c>
      <c r="AM242" s="540" t="str">
        <f>IFERROR(IF(F242="","",IF(AH242="Check Data ⚠","Check Data ⚠",VLOOKUP(AL242, 'G-3 Multipliers'!$P$2:$Q$6,2,FALSE))),"")</f>
        <v/>
      </c>
      <c r="AN242" s="513" t="str">
        <f t="shared" si="36"/>
        <v/>
      </c>
      <c r="AO242" s="239"/>
      <c r="AP242" s="240"/>
    </row>
    <row r="243" spans="1:42" x14ac:dyDescent="0.25">
      <c r="A243" s="47" t="str">
        <f>IF(E243="","",IF(ISNA(VLOOKUP($E243,'A-1 Site Habitat Baseline'!$D$1:$O$258,2,FALSE)),"",(VLOOKUP($E243,'A-1 Site Habitat Baseline'!$D$1:$O$258,2,FALSE))))</f>
        <v/>
      </c>
      <c r="B243" s="47" t="str">
        <f>IF(E243="","",IF(ISNA(VLOOKUP($E243,'A-1 Site Habitat Baseline'!$D$1:$O$258,3,FALSE)),"",(VLOOKUP($E243,'A-1 Site Habitat Baseline'!$D$1:$O$258,3,FALSE))))</f>
        <v/>
      </c>
      <c r="C243" s="47" t="str">
        <f>IFERROR(INDEX('G-8 Condition Look up'!$I$4:$I$130,MATCH(S243,'G-8 Condition Look up'!$A$4:$A$130,0)),"")</f>
        <v/>
      </c>
      <c r="E243" s="531" t="str">
        <f>'A-1 Site Habitat Baseline'!AL242</f>
        <v/>
      </c>
      <c r="F243" s="520" t="str">
        <f>IF(E243="","",IF(ISNA(VLOOKUP($E243,'A-1 Site Habitat Baseline'!$D$1:$O$258,4,FALSE)),"",(VLOOKUP($E243,'A-1 Site Habitat Baseline'!$D$1:$O$258,4,FALSE))))</f>
        <v/>
      </c>
      <c r="G243" s="520" t="str">
        <f>IF(E243="","",IF(ISNA(VLOOKUP($E243,'A-1 Site Habitat Baseline'!$D$1:$O$258,5,FALSE)),"",(VLOOKUP($E243,'A-1 Site Habitat Baseline'!$D$1:$O$258,5,FALSE))))</f>
        <v/>
      </c>
      <c r="H243" s="520" t="str">
        <f>IF(E243="","",IF(ISNA(VLOOKUP($E243,'A-1 Site Habitat Baseline'!$D$1:$O$258,6,FALSE)),"",(VLOOKUP($E243,'A-1 Site Habitat Baseline'!$D$1:$O$258,6,FALSE))))</f>
        <v/>
      </c>
      <c r="I243" s="520" t="str">
        <f>IF(E243="","",IF(ISNA(VLOOKUP($E243,'A-1 Site Habitat Baseline'!$D$1:$O$258,7,FALSE)),"",(VLOOKUP($E243,'A-1 Site Habitat Baseline'!$D$1:$O$258,7,FALSE))))</f>
        <v/>
      </c>
      <c r="J243" s="520" t="str">
        <f>IF(E243="","",IF(ISNA(VLOOKUP($E243,'A-1 Site Habitat Baseline'!$D$1:$O$258,8,FALSE)),"",(VLOOKUP($E243,'A-1 Site Habitat Baseline'!$D$1:$O$258,8,FALSE))))</f>
        <v/>
      </c>
      <c r="K243" s="520" t="str">
        <f>IF(E243="","",IF(ISNA(VLOOKUP($E243,'A-1 Site Habitat Baseline'!$D$1:$O$258,9,FALSE)),"",(VLOOKUP($E243,'A-1 Site Habitat Baseline'!$D$1:$O$258,9,FALSE))))</f>
        <v/>
      </c>
      <c r="L243" s="520" t="str">
        <f>IF(E243="","",IF(ISNA(VLOOKUP($E243,'A-1 Site Habitat Baseline'!$D$1:$O$258,11,FALSE)),"",(VLOOKUP($E243,'A-1 Site Habitat Baseline'!$D$1:$O$258,11,FALSE))))</f>
        <v/>
      </c>
      <c r="M243" s="520" t="str">
        <f>IF(E243="","",IF(ISNA(VLOOKUP($E243,'A-1 Site Habitat Baseline'!$D$1:$O$258,12,FALSE)),"",(VLOOKUP($E243,'A-1 Site Habitat Baseline'!$D$1:$O$258,12,FALSE))))</f>
        <v/>
      </c>
      <c r="N243" s="532" t="str">
        <f>IF(E243="","",IF(ISNA(VLOOKUP($E243,'A-1 Site Habitat Baseline'!$D$1:$X$258,14,FALSE)),"",(VLOOKUP($E243,'A-1 Site Habitat Baseline'!$D$1:$X$258,14,FALSE))))</f>
        <v/>
      </c>
      <c r="O243" s="524" t="str">
        <f>IF(E243="","",IF(ISNA(VLOOKUP($E243,'A-1 Site Habitat Baseline'!$D$1:$X$258,16,FALSE)),"",(VLOOKUP($E243,'A-1 Site Habitat Baseline'!$D$1:$X$258,13,FALSE))))</f>
        <v/>
      </c>
      <c r="P243" s="237" t="str">
        <f>IFERROR(INDEX('G-1 All Habitats'!$AG$3:$AG$15,MATCH(Q243,'G-1 All Habitats'!$AF$3:$AF$15,0)),"")</f>
        <v/>
      </c>
      <c r="Q243" s="238" t="str">
        <f t="shared" si="37"/>
        <v/>
      </c>
      <c r="R243" s="238" t="str">
        <f t="shared" si="38"/>
        <v/>
      </c>
      <c r="S243" s="392" t="str">
        <f>IFERROR(INDEX('G-1 All Habitats'!$B$3:$B$129,MATCH(R243,'G-1 All Habitats'!$A$3:$A$129,0)),"")</f>
        <v/>
      </c>
      <c r="T243" s="498" t="str">
        <f t="shared" si="39"/>
        <v/>
      </c>
      <c r="U243" s="499" t="str">
        <f t="shared" si="40"/>
        <v/>
      </c>
      <c r="V243" s="537" t="str">
        <f t="shared" si="34"/>
        <v/>
      </c>
      <c r="W243" s="520" t="str">
        <f>IF(S243="","",VLOOKUP(S243,'G-1 All Habitats'!$B$2:$M$129,10,FALSE))</f>
        <v/>
      </c>
      <c r="X243" s="520" t="str">
        <f>IFERROR(VLOOKUP(W243,'G-1 All Habitats'!$V$3:$W$7,2,FALSE),"")</f>
        <v/>
      </c>
      <c r="Y243" s="79"/>
      <c r="Z243" s="524" t="str">
        <f>IFERROR(INDEX('G-8 Condition Look up'!$A$3:$H$130,MATCH(S243,'G-8 Condition Look up'!$A$3:$A$130,0),MATCH(Y243,'G-8 Condition Look up'!$A$3:$H$3,0)),"")</f>
        <v/>
      </c>
      <c r="AA243" s="71"/>
      <c r="AB243" s="520" t="str">
        <f>IF(AA243="","",IF(VLOOKUP(AA243,'G-3 Multipliers'!$L$3:$N$6,2,FALSE)=0,"Spatial Data Missing ⚠",VLOOKUP(AA243,'G-3 Multipliers'!$L$3:$N$6,2,FALSE)))</f>
        <v/>
      </c>
      <c r="AC243" s="524" t="str">
        <f>IF(AA243="","",IF(VLOOKUP(AA243,'G-3 Multipliers'!$L$3:$N$6,3,FALSE)=0,"Spatial Data Missing ⚠",VLOOKUP(AA243,'G-3 Multipliers'!$L$3:$N$6,3,FALSE)))</f>
        <v/>
      </c>
      <c r="AD243" s="539" t="str">
        <f t="shared" si="35"/>
        <v/>
      </c>
      <c r="AE243" s="82"/>
      <c r="AF243" s="82"/>
      <c r="AG243" s="507" t="str">
        <f t="shared" si="41"/>
        <v/>
      </c>
      <c r="AH243" s="521" t="str">
        <f t="shared" si="42"/>
        <v/>
      </c>
      <c r="AI243" s="522" t="str">
        <f>IF(AH243="Check Data","Check Data",IFERROR(VLOOKUP(AH243,'G-4 Temporal multipliers'!$A$4:$C$36,3,FALSE),""))</f>
        <v/>
      </c>
      <c r="AJ243" s="498" t="str">
        <f>IF(S243="","",VLOOKUP(S243,'G-3 Multipliers'!$A$2:$E$129,4,FALSE))</f>
        <v/>
      </c>
      <c r="AK243" s="507" t="str">
        <f t="shared" si="43"/>
        <v/>
      </c>
      <c r="AL243" s="507" t="str">
        <f t="shared" si="44"/>
        <v/>
      </c>
      <c r="AM243" s="540" t="str">
        <f>IFERROR(IF(F243="","",IF(AH243="Check Data ⚠","Check Data ⚠",VLOOKUP(AL243, 'G-3 Multipliers'!$P$2:$Q$6,2,FALSE))),"")</f>
        <v/>
      </c>
      <c r="AN243" s="513" t="str">
        <f t="shared" si="36"/>
        <v/>
      </c>
      <c r="AO243" s="239"/>
      <c r="AP243" s="240"/>
    </row>
    <row r="244" spans="1:42" x14ac:dyDescent="0.25">
      <c r="A244" s="47" t="str">
        <f>IF(E244="","",IF(ISNA(VLOOKUP($E244,'A-1 Site Habitat Baseline'!$D$1:$O$258,2,FALSE)),"",(VLOOKUP($E244,'A-1 Site Habitat Baseline'!$D$1:$O$258,2,FALSE))))</f>
        <v/>
      </c>
      <c r="B244" s="47" t="str">
        <f>IF(E244="","",IF(ISNA(VLOOKUP($E244,'A-1 Site Habitat Baseline'!$D$1:$O$258,3,FALSE)),"",(VLOOKUP($E244,'A-1 Site Habitat Baseline'!$D$1:$O$258,3,FALSE))))</f>
        <v/>
      </c>
      <c r="C244" s="47" t="str">
        <f>IFERROR(INDEX('G-8 Condition Look up'!$I$4:$I$130,MATCH(S244,'G-8 Condition Look up'!$A$4:$A$130,0)),"")</f>
        <v/>
      </c>
      <c r="E244" s="531" t="str">
        <f>'A-1 Site Habitat Baseline'!AL243</f>
        <v/>
      </c>
      <c r="F244" s="520" t="str">
        <f>IF(E244="","",IF(ISNA(VLOOKUP($E244,'A-1 Site Habitat Baseline'!$D$1:$O$258,4,FALSE)),"",(VLOOKUP($E244,'A-1 Site Habitat Baseline'!$D$1:$O$258,4,FALSE))))</f>
        <v/>
      </c>
      <c r="G244" s="520" t="str">
        <f>IF(E244="","",IF(ISNA(VLOOKUP($E244,'A-1 Site Habitat Baseline'!$D$1:$O$258,5,FALSE)),"",(VLOOKUP($E244,'A-1 Site Habitat Baseline'!$D$1:$O$258,5,FALSE))))</f>
        <v/>
      </c>
      <c r="H244" s="520" t="str">
        <f>IF(E244="","",IF(ISNA(VLOOKUP($E244,'A-1 Site Habitat Baseline'!$D$1:$O$258,6,FALSE)),"",(VLOOKUP($E244,'A-1 Site Habitat Baseline'!$D$1:$O$258,6,FALSE))))</f>
        <v/>
      </c>
      <c r="I244" s="520" t="str">
        <f>IF(E244="","",IF(ISNA(VLOOKUP($E244,'A-1 Site Habitat Baseline'!$D$1:$O$258,7,FALSE)),"",(VLOOKUP($E244,'A-1 Site Habitat Baseline'!$D$1:$O$258,7,FALSE))))</f>
        <v/>
      </c>
      <c r="J244" s="520" t="str">
        <f>IF(E244="","",IF(ISNA(VLOOKUP($E244,'A-1 Site Habitat Baseline'!$D$1:$O$258,8,FALSE)),"",(VLOOKUP($E244,'A-1 Site Habitat Baseline'!$D$1:$O$258,8,FALSE))))</f>
        <v/>
      </c>
      <c r="K244" s="520" t="str">
        <f>IF(E244="","",IF(ISNA(VLOOKUP($E244,'A-1 Site Habitat Baseline'!$D$1:$O$258,9,FALSE)),"",(VLOOKUP($E244,'A-1 Site Habitat Baseline'!$D$1:$O$258,9,FALSE))))</f>
        <v/>
      </c>
      <c r="L244" s="520" t="str">
        <f>IF(E244="","",IF(ISNA(VLOOKUP($E244,'A-1 Site Habitat Baseline'!$D$1:$O$258,11,FALSE)),"",(VLOOKUP($E244,'A-1 Site Habitat Baseline'!$D$1:$O$258,11,FALSE))))</f>
        <v/>
      </c>
      <c r="M244" s="520" t="str">
        <f>IF(E244="","",IF(ISNA(VLOOKUP($E244,'A-1 Site Habitat Baseline'!$D$1:$O$258,12,FALSE)),"",(VLOOKUP($E244,'A-1 Site Habitat Baseline'!$D$1:$O$258,12,FALSE))))</f>
        <v/>
      </c>
      <c r="N244" s="532" t="str">
        <f>IF(E244="","",IF(ISNA(VLOOKUP($E244,'A-1 Site Habitat Baseline'!$D$1:$X$258,14,FALSE)),"",(VLOOKUP($E244,'A-1 Site Habitat Baseline'!$D$1:$X$258,14,FALSE))))</f>
        <v/>
      </c>
      <c r="O244" s="524" t="str">
        <f>IF(E244="","",IF(ISNA(VLOOKUP($E244,'A-1 Site Habitat Baseline'!$D$1:$X$258,16,FALSE)),"",(VLOOKUP($E244,'A-1 Site Habitat Baseline'!$D$1:$X$258,13,FALSE))))</f>
        <v/>
      </c>
      <c r="P244" s="237" t="str">
        <f>IFERROR(INDEX('G-1 All Habitats'!$AG$3:$AG$15,MATCH(Q244,'G-1 All Habitats'!$AF$3:$AF$15,0)),"")</f>
        <v/>
      </c>
      <c r="Q244" s="238" t="str">
        <f t="shared" si="37"/>
        <v/>
      </c>
      <c r="R244" s="238" t="str">
        <f t="shared" si="38"/>
        <v/>
      </c>
      <c r="S244" s="392" t="str">
        <f>IFERROR(INDEX('G-1 All Habitats'!$B$3:$B$129,MATCH(R244,'G-1 All Habitats'!$A$3:$A$129,0)),"")</f>
        <v/>
      </c>
      <c r="T244" s="498" t="str">
        <f t="shared" si="39"/>
        <v/>
      </c>
      <c r="U244" s="499" t="str">
        <f t="shared" si="40"/>
        <v/>
      </c>
      <c r="V244" s="537" t="str">
        <f t="shared" si="34"/>
        <v/>
      </c>
      <c r="W244" s="520" t="str">
        <f>IF(S244="","",VLOOKUP(S244,'G-1 All Habitats'!$B$2:$M$129,10,FALSE))</f>
        <v/>
      </c>
      <c r="X244" s="520" t="str">
        <f>IFERROR(VLOOKUP(W244,'G-1 All Habitats'!$V$3:$W$7,2,FALSE),"")</f>
        <v/>
      </c>
      <c r="Y244" s="79"/>
      <c r="Z244" s="524" t="str">
        <f>IFERROR(INDEX('G-8 Condition Look up'!$A$3:$H$130,MATCH(S244,'G-8 Condition Look up'!$A$3:$A$130,0),MATCH(Y244,'G-8 Condition Look up'!$A$3:$H$3,0)),"")</f>
        <v/>
      </c>
      <c r="AA244" s="71"/>
      <c r="AB244" s="520" t="str">
        <f>IF(AA244="","",IF(VLOOKUP(AA244,'G-3 Multipliers'!$L$3:$N$6,2,FALSE)=0,"Spatial Data Missing ⚠",VLOOKUP(AA244,'G-3 Multipliers'!$L$3:$N$6,2,FALSE)))</f>
        <v/>
      </c>
      <c r="AC244" s="524" t="str">
        <f>IF(AA244="","",IF(VLOOKUP(AA244,'G-3 Multipliers'!$L$3:$N$6,3,FALSE)=0,"Spatial Data Missing ⚠",VLOOKUP(AA244,'G-3 Multipliers'!$L$3:$N$6,3,FALSE)))</f>
        <v/>
      </c>
      <c r="AD244" s="539" t="str">
        <f t="shared" si="35"/>
        <v/>
      </c>
      <c r="AE244" s="82"/>
      <c r="AF244" s="82"/>
      <c r="AG244" s="507" t="str">
        <f t="shared" si="41"/>
        <v/>
      </c>
      <c r="AH244" s="521" t="str">
        <f t="shared" si="42"/>
        <v/>
      </c>
      <c r="AI244" s="522" t="str">
        <f>IF(AH244="Check Data","Check Data",IFERROR(VLOOKUP(AH244,'G-4 Temporal multipliers'!$A$4:$C$36,3,FALSE),""))</f>
        <v/>
      </c>
      <c r="AJ244" s="498" t="str">
        <f>IF(S244="","",VLOOKUP(S244,'G-3 Multipliers'!$A$2:$E$129,4,FALSE))</f>
        <v/>
      </c>
      <c r="AK244" s="507" t="str">
        <f t="shared" si="43"/>
        <v/>
      </c>
      <c r="AL244" s="507" t="str">
        <f t="shared" si="44"/>
        <v/>
      </c>
      <c r="AM244" s="540" t="str">
        <f>IFERROR(IF(F244="","",IF(AH244="Check Data ⚠","Check Data ⚠",VLOOKUP(AL244, 'G-3 Multipliers'!$P$2:$Q$6,2,FALSE))),"")</f>
        <v/>
      </c>
      <c r="AN244" s="513" t="str">
        <f t="shared" si="36"/>
        <v/>
      </c>
      <c r="AO244" s="239"/>
      <c r="AP244" s="240"/>
    </row>
    <row r="245" spans="1:42" x14ac:dyDescent="0.25">
      <c r="A245" s="47" t="str">
        <f>IF(E245="","",IF(ISNA(VLOOKUP($E245,'A-1 Site Habitat Baseline'!$D$1:$O$258,2,FALSE)),"",(VLOOKUP($E245,'A-1 Site Habitat Baseline'!$D$1:$O$258,2,FALSE))))</f>
        <v/>
      </c>
      <c r="B245" s="47" t="str">
        <f>IF(E245="","",IF(ISNA(VLOOKUP($E245,'A-1 Site Habitat Baseline'!$D$1:$O$258,3,FALSE)),"",(VLOOKUP($E245,'A-1 Site Habitat Baseline'!$D$1:$O$258,3,FALSE))))</f>
        <v/>
      </c>
      <c r="C245" s="47" t="str">
        <f>IFERROR(INDEX('G-8 Condition Look up'!$I$4:$I$130,MATCH(S245,'G-8 Condition Look up'!$A$4:$A$130,0)),"")</f>
        <v/>
      </c>
      <c r="E245" s="531" t="str">
        <f>'A-1 Site Habitat Baseline'!AL244</f>
        <v/>
      </c>
      <c r="F245" s="520" t="str">
        <f>IF(E245="","",IF(ISNA(VLOOKUP($E245,'A-1 Site Habitat Baseline'!$D$1:$O$258,4,FALSE)),"",(VLOOKUP($E245,'A-1 Site Habitat Baseline'!$D$1:$O$258,4,FALSE))))</f>
        <v/>
      </c>
      <c r="G245" s="520" t="str">
        <f>IF(E245="","",IF(ISNA(VLOOKUP($E245,'A-1 Site Habitat Baseline'!$D$1:$O$258,5,FALSE)),"",(VLOOKUP($E245,'A-1 Site Habitat Baseline'!$D$1:$O$258,5,FALSE))))</f>
        <v/>
      </c>
      <c r="H245" s="520" t="str">
        <f>IF(E245="","",IF(ISNA(VLOOKUP($E245,'A-1 Site Habitat Baseline'!$D$1:$O$258,6,FALSE)),"",(VLOOKUP($E245,'A-1 Site Habitat Baseline'!$D$1:$O$258,6,FALSE))))</f>
        <v/>
      </c>
      <c r="I245" s="520" t="str">
        <f>IF(E245="","",IF(ISNA(VLOOKUP($E245,'A-1 Site Habitat Baseline'!$D$1:$O$258,7,FALSE)),"",(VLOOKUP($E245,'A-1 Site Habitat Baseline'!$D$1:$O$258,7,FALSE))))</f>
        <v/>
      </c>
      <c r="J245" s="520" t="str">
        <f>IF(E245="","",IF(ISNA(VLOOKUP($E245,'A-1 Site Habitat Baseline'!$D$1:$O$258,8,FALSE)),"",(VLOOKUP($E245,'A-1 Site Habitat Baseline'!$D$1:$O$258,8,FALSE))))</f>
        <v/>
      </c>
      <c r="K245" s="520" t="str">
        <f>IF(E245="","",IF(ISNA(VLOOKUP($E245,'A-1 Site Habitat Baseline'!$D$1:$O$258,9,FALSE)),"",(VLOOKUP($E245,'A-1 Site Habitat Baseline'!$D$1:$O$258,9,FALSE))))</f>
        <v/>
      </c>
      <c r="L245" s="520" t="str">
        <f>IF(E245="","",IF(ISNA(VLOOKUP($E245,'A-1 Site Habitat Baseline'!$D$1:$O$258,11,FALSE)),"",(VLOOKUP($E245,'A-1 Site Habitat Baseline'!$D$1:$O$258,11,FALSE))))</f>
        <v/>
      </c>
      <c r="M245" s="520" t="str">
        <f>IF(E245="","",IF(ISNA(VLOOKUP($E245,'A-1 Site Habitat Baseline'!$D$1:$O$258,12,FALSE)),"",(VLOOKUP($E245,'A-1 Site Habitat Baseline'!$D$1:$O$258,12,FALSE))))</f>
        <v/>
      </c>
      <c r="N245" s="532" t="str">
        <f>IF(E245="","",IF(ISNA(VLOOKUP($E245,'A-1 Site Habitat Baseline'!$D$1:$X$258,14,FALSE)),"",(VLOOKUP($E245,'A-1 Site Habitat Baseline'!$D$1:$X$258,14,FALSE))))</f>
        <v/>
      </c>
      <c r="O245" s="524" t="str">
        <f>IF(E245="","",IF(ISNA(VLOOKUP($E245,'A-1 Site Habitat Baseline'!$D$1:$X$258,16,FALSE)),"",(VLOOKUP($E245,'A-1 Site Habitat Baseline'!$D$1:$X$258,13,FALSE))))</f>
        <v/>
      </c>
      <c r="P245" s="237" t="str">
        <f>IFERROR(INDEX('G-1 All Habitats'!$AG$3:$AG$15,MATCH(Q245,'G-1 All Habitats'!$AF$3:$AF$15,0)),"")</f>
        <v/>
      </c>
      <c r="Q245" s="238" t="str">
        <f t="shared" si="37"/>
        <v/>
      </c>
      <c r="R245" s="238" t="str">
        <f t="shared" si="38"/>
        <v/>
      </c>
      <c r="S245" s="392" t="str">
        <f>IFERROR(INDEX('G-1 All Habitats'!$B$3:$B$129,MATCH(R245,'G-1 All Habitats'!$A$3:$A$129,0)),"")</f>
        <v/>
      </c>
      <c r="T245" s="498" t="str">
        <f t="shared" si="39"/>
        <v/>
      </c>
      <c r="U245" s="499" t="str">
        <f t="shared" si="40"/>
        <v/>
      </c>
      <c r="V245" s="537" t="str">
        <f t="shared" si="34"/>
        <v/>
      </c>
      <c r="W245" s="520" t="str">
        <f>IF(S245="","",VLOOKUP(S245,'G-1 All Habitats'!$B$2:$M$129,10,FALSE))</f>
        <v/>
      </c>
      <c r="X245" s="520" t="str">
        <f>IFERROR(VLOOKUP(W245,'G-1 All Habitats'!$V$3:$W$7,2,FALSE),"")</f>
        <v/>
      </c>
      <c r="Y245" s="79"/>
      <c r="Z245" s="524" t="str">
        <f>IFERROR(INDEX('G-8 Condition Look up'!$A$3:$H$130,MATCH(S245,'G-8 Condition Look up'!$A$3:$A$130,0),MATCH(Y245,'G-8 Condition Look up'!$A$3:$H$3,0)),"")</f>
        <v/>
      </c>
      <c r="AA245" s="71"/>
      <c r="AB245" s="520" t="str">
        <f>IF(AA245="","",IF(VLOOKUP(AA245,'G-3 Multipliers'!$L$3:$N$6,2,FALSE)=0,"Spatial Data Missing ⚠",VLOOKUP(AA245,'G-3 Multipliers'!$L$3:$N$6,2,FALSE)))</f>
        <v/>
      </c>
      <c r="AC245" s="524" t="str">
        <f>IF(AA245="","",IF(VLOOKUP(AA245,'G-3 Multipliers'!$L$3:$N$6,3,FALSE)=0,"Spatial Data Missing ⚠",VLOOKUP(AA245,'G-3 Multipliers'!$L$3:$N$6,3,FALSE)))</f>
        <v/>
      </c>
      <c r="AD245" s="539" t="str">
        <f t="shared" si="35"/>
        <v/>
      </c>
      <c r="AE245" s="82"/>
      <c r="AF245" s="82"/>
      <c r="AG245" s="507" t="str">
        <f t="shared" si="41"/>
        <v/>
      </c>
      <c r="AH245" s="521" t="str">
        <f t="shared" si="42"/>
        <v/>
      </c>
      <c r="AI245" s="522" t="str">
        <f>IF(AH245="Check Data","Check Data",IFERROR(VLOOKUP(AH245,'G-4 Temporal multipliers'!$A$4:$C$36,3,FALSE),""))</f>
        <v/>
      </c>
      <c r="AJ245" s="498" t="str">
        <f>IF(S245="","",VLOOKUP(S245,'G-3 Multipliers'!$A$2:$E$129,4,FALSE))</f>
        <v/>
      </c>
      <c r="AK245" s="507" t="str">
        <f t="shared" si="43"/>
        <v/>
      </c>
      <c r="AL245" s="507" t="str">
        <f t="shared" si="44"/>
        <v/>
      </c>
      <c r="AM245" s="540" t="str">
        <f>IFERROR(IF(F245="","",IF(AH245="Check Data ⚠","Check Data ⚠",VLOOKUP(AL245, 'G-3 Multipliers'!$P$2:$Q$6,2,FALSE))),"")</f>
        <v/>
      </c>
      <c r="AN245" s="513" t="str">
        <f t="shared" si="36"/>
        <v/>
      </c>
      <c r="AO245" s="239"/>
      <c r="AP245" s="240"/>
    </row>
    <row r="246" spans="1:42" x14ac:dyDescent="0.25">
      <c r="A246" s="47" t="str">
        <f>IF(E246="","",IF(ISNA(VLOOKUP($E246,'A-1 Site Habitat Baseline'!$D$1:$O$258,2,FALSE)),"",(VLOOKUP($E246,'A-1 Site Habitat Baseline'!$D$1:$O$258,2,FALSE))))</f>
        <v/>
      </c>
      <c r="B246" s="47" t="str">
        <f>IF(E246="","",IF(ISNA(VLOOKUP($E246,'A-1 Site Habitat Baseline'!$D$1:$O$258,3,FALSE)),"",(VLOOKUP($E246,'A-1 Site Habitat Baseline'!$D$1:$O$258,3,FALSE))))</f>
        <v/>
      </c>
      <c r="C246" s="47" t="str">
        <f>IFERROR(INDEX('G-8 Condition Look up'!$I$4:$I$130,MATCH(S246,'G-8 Condition Look up'!$A$4:$A$130,0)),"")</f>
        <v/>
      </c>
      <c r="E246" s="531" t="str">
        <f>'A-1 Site Habitat Baseline'!AL245</f>
        <v/>
      </c>
      <c r="F246" s="520" t="str">
        <f>IF(E246="","",IF(ISNA(VLOOKUP($E246,'A-1 Site Habitat Baseline'!$D$1:$O$258,4,FALSE)),"",(VLOOKUP($E246,'A-1 Site Habitat Baseline'!$D$1:$O$258,4,FALSE))))</f>
        <v/>
      </c>
      <c r="G246" s="520" t="str">
        <f>IF(E246="","",IF(ISNA(VLOOKUP($E246,'A-1 Site Habitat Baseline'!$D$1:$O$258,5,FALSE)),"",(VLOOKUP($E246,'A-1 Site Habitat Baseline'!$D$1:$O$258,5,FALSE))))</f>
        <v/>
      </c>
      <c r="H246" s="520" t="str">
        <f>IF(E246="","",IF(ISNA(VLOOKUP($E246,'A-1 Site Habitat Baseline'!$D$1:$O$258,6,FALSE)),"",(VLOOKUP($E246,'A-1 Site Habitat Baseline'!$D$1:$O$258,6,FALSE))))</f>
        <v/>
      </c>
      <c r="I246" s="520" t="str">
        <f>IF(E246="","",IF(ISNA(VLOOKUP($E246,'A-1 Site Habitat Baseline'!$D$1:$O$258,7,FALSE)),"",(VLOOKUP($E246,'A-1 Site Habitat Baseline'!$D$1:$O$258,7,FALSE))))</f>
        <v/>
      </c>
      <c r="J246" s="520" t="str">
        <f>IF(E246="","",IF(ISNA(VLOOKUP($E246,'A-1 Site Habitat Baseline'!$D$1:$O$258,8,FALSE)),"",(VLOOKUP($E246,'A-1 Site Habitat Baseline'!$D$1:$O$258,8,FALSE))))</f>
        <v/>
      </c>
      <c r="K246" s="520" t="str">
        <f>IF(E246="","",IF(ISNA(VLOOKUP($E246,'A-1 Site Habitat Baseline'!$D$1:$O$258,9,FALSE)),"",(VLOOKUP($E246,'A-1 Site Habitat Baseline'!$D$1:$O$258,9,FALSE))))</f>
        <v/>
      </c>
      <c r="L246" s="520" t="str">
        <f>IF(E246="","",IF(ISNA(VLOOKUP($E246,'A-1 Site Habitat Baseline'!$D$1:$O$258,11,FALSE)),"",(VLOOKUP($E246,'A-1 Site Habitat Baseline'!$D$1:$O$258,11,FALSE))))</f>
        <v/>
      </c>
      <c r="M246" s="520" t="str">
        <f>IF(E246="","",IF(ISNA(VLOOKUP($E246,'A-1 Site Habitat Baseline'!$D$1:$O$258,12,FALSE)),"",(VLOOKUP($E246,'A-1 Site Habitat Baseline'!$D$1:$O$258,12,FALSE))))</f>
        <v/>
      </c>
      <c r="N246" s="532" t="str">
        <f>IF(E246="","",IF(ISNA(VLOOKUP($E246,'A-1 Site Habitat Baseline'!$D$1:$X$258,14,FALSE)),"",(VLOOKUP($E246,'A-1 Site Habitat Baseline'!$D$1:$X$258,14,FALSE))))</f>
        <v/>
      </c>
      <c r="O246" s="524" t="str">
        <f>IF(E246="","",IF(ISNA(VLOOKUP($E246,'A-1 Site Habitat Baseline'!$D$1:$X$258,16,FALSE)),"",(VLOOKUP($E246,'A-1 Site Habitat Baseline'!$D$1:$X$258,13,FALSE))))</f>
        <v/>
      </c>
      <c r="P246" s="237" t="str">
        <f>IFERROR(INDEX('G-1 All Habitats'!$AG$3:$AG$15,MATCH(Q246,'G-1 All Habitats'!$AF$3:$AF$15,0)),"")</f>
        <v/>
      </c>
      <c r="Q246" s="238" t="str">
        <f t="shared" si="37"/>
        <v/>
      </c>
      <c r="R246" s="238" t="str">
        <f t="shared" si="38"/>
        <v/>
      </c>
      <c r="S246" s="392" t="str">
        <f>IFERROR(INDEX('G-1 All Habitats'!$B$3:$B$129,MATCH(R246,'G-1 All Habitats'!$A$3:$A$129,0)),"")</f>
        <v/>
      </c>
      <c r="T246" s="498" t="str">
        <f t="shared" si="39"/>
        <v/>
      </c>
      <c r="U246" s="499" t="str">
        <f t="shared" si="40"/>
        <v/>
      </c>
      <c r="V246" s="537" t="str">
        <f t="shared" si="34"/>
        <v/>
      </c>
      <c r="W246" s="520" t="str">
        <f>IF(S246="","",VLOOKUP(S246,'G-1 All Habitats'!$B$2:$M$129,10,FALSE))</f>
        <v/>
      </c>
      <c r="X246" s="520" t="str">
        <f>IFERROR(VLOOKUP(W246,'G-1 All Habitats'!$V$3:$W$7,2,FALSE),"")</f>
        <v/>
      </c>
      <c r="Y246" s="79"/>
      <c r="Z246" s="524" t="str">
        <f>IFERROR(INDEX('G-8 Condition Look up'!$A$3:$H$130,MATCH(S246,'G-8 Condition Look up'!$A$3:$A$130,0),MATCH(Y246,'G-8 Condition Look up'!$A$3:$H$3,0)),"")</f>
        <v/>
      </c>
      <c r="AA246" s="71"/>
      <c r="AB246" s="520" t="str">
        <f>IF(AA246="","",IF(VLOOKUP(AA246,'G-3 Multipliers'!$L$3:$N$6,2,FALSE)=0,"Spatial Data Missing ⚠",VLOOKUP(AA246,'G-3 Multipliers'!$L$3:$N$6,2,FALSE)))</f>
        <v/>
      </c>
      <c r="AC246" s="524" t="str">
        <f>IF(AA246="","",IF(VLOOKUP(AA246,'G-3 Multipliers'!$L$3:$N$6,3,FALSE)=0,"Spatial Data Missing ⚠",VLOOKUP(AA246,'G-3 Multipliers'!$L$3:$N$6,3,FALSE)))</f>
        <v/>
      </c>
      <c r="AD246" s="539" t="str">
        <f t="shared" si="35"/>
        <v/>
      </c>
      <c r="AE246" s="82"/>
      <c r="AF246" s="82"/>
      <c r="AG246" s="507" t="str">
        <f t="shared" si="41"/>
        <v/>
      </c>
      <c r="AH246" s="521" t="str">
        <f t="shared" si="42"/>
        <v/>
      </c>
      <c r="AI246" s="522" t="str">
        <f>IF(AH246="Check Data","Check Data",IFERROR(VLOOKUP(AH246,'G-4 Temporal multipliers'!$A$4:$C$36,3,FALSE),""))</f>
        <v/>
      </c>
      <c r="AJ246" s="498" t="str">
        <f>IF(S246="","",VLOOKUP(S246,'G-3 Multipliers'!$A$2:$E$129,4,FALSE))</f>
        <v/>
      </c>
      <c r="AK246" s="507" t="str">
        <f t="shared" si="43"/>
        <v/>
      </c>
      <c r="AL246" s="507" t="str">
        <f t="shared" si="44"/>
        <v/>
      </c>
      <c r="AM246" s="540" t="str">
        <f>IFERROR(IF(F246="","",IF(AH246="Check Data ⚠","Check Data ⚠",VLOOKUP(AL246, 'G-3 Multipliers'!$P$2:$Q$6,2,FALSE))),"")</f>
        <v/>
      </c>
      <c r="AN246" s="513" t="str">
        <f t="shared" si="36"/>
        <v/>
      </c>
      <c r="AO246" s="239"/>
      <c r="AP246" s="240"/>
    </row>
    <row r="247" spans="1:42" x14ac:dyDescent="0.25">
      <c r="A247" s="47" t="str">
        <f>IF(E247="","",IF(ISNA(VLOOKUP($E247,'A-1 Site Habitat Baseline'!$D$1:$O$258,2,FALSE)),"",(VLOOKUP($E247,'A-1 Site Habitat Baseline'!$D$1:$O$258,2,FALSE))))</f>
        <v/>
      </c>
      <c r="B247" s="47" t="str">
        <f>IF(E247="","",IF(ISNA(VLOOKUP($E247,'A-1 Site Habitat Baseline'!$D$1:$O$258,3,FALSE)),"",(VLOOKUP($E247,'A-1 Site Habitat Baseline'!$D$1:$O$258,3,FALSE))))</f>
        <v/>
      </c>
      <c r="C247" s="47" t="str">
        <f>IFERROR(INDEX('G-8 Condition Look up'!$I$4:$I$130,MATCH(S247,'G-8 Condition Look up'!$A$4:$A$130,0)),"")</f>
        <v/>
      </c>
      <c r="E247" s="531" t="str">
        <f>'A-1 Site Habitat Baseline'!AL246</f>
        <v/>
      </c>
      <c r="F247" s="520" t="str">
        <f>IF(E247="","",IF(ISNA(VLOOKUP($E247,'A-1 Site Habitat Baseline'!$D$1:$O$258,4,FALSE)),"",(VLOOKUP($E247,'A-1 Site Habitat Baseline'!$D$1:$O$258,4,FALSE))))</f>
        <v/>
      </c>
      <c r="G247" s="520" t="str">
        <f>IF(E247="","",IF(ISNA(VLOOKUP($E247,'A-1 Site Habitat Baseline'!$D$1:$O$258,5,FALSE)),"",(VLOOKUP($E247,'A-1 Site Habitat Baseline'!$D$1:$O$258,5,FALSE))))</f>
        <v/>
      </c>
      <c r="H247" s="520" t="str">
        <f>IF(E247="","",IF(ISNA(VLOOKUP($E247,'A-1 Site Habitat Baseline'!$D$1:$O$258,6,FALSE)),"",(VLOOKUP($E247,'A-1 Site Habitat Baseline'!$D$1:$O$258,6,FALSE))))</f>
        <v/>
      </c>
      <c r="I247" s="520" t="str">
        <f>IF(E247="","",IF(ISNA(VLOOKUP($E247,'A-1 Site Habitat Baseline'!$D$1:$O$258,7,FALSE)),"",(VLOOKUP($E247,'A-1 Site Habitat Baseline'!$D$1:$O$258,7,FALSE))))</f>
        <v/>
      </c>
      <c r="J247" s="520" t="str">
        <f>IF(E247="","",IF(ISNA(VLOOKUP($E247,'A-1 Site Habitat Baseline'!$D$1:$O$258,8,FALSE)),"",(VLOOKUP($E247,'A-1 Site Habitat Baseline'!$D$1:$O$258,8,FALSE))))</f>
        <v/>
      </c>
      <c r="K247" s="520" t="str">
        <f>IF(E247="","",IF(ISNA(VLOOKUP($E247,'A-1 Site Habitat Baseline'!$D$1:$O$258,9,FALSE)),"",(VLOOKUP($E247,'A-1 Site Habitat Baseline'!$D$1:$O$258,9,FALSE))))</f>
        <v/>
      </c>
      <c r="L247" s="520" t="str">
        <f>IF(E247="","",IF(ISNA(VLOOKUP($E247,'A-1 Site Habitat Baseline'!$D$1:$O$258,11,FALSE)),"",(VLOOKUP($E247,'A-1 Site Habitat Baseline'!$D$1:$O$258,11,FALSE))))</f>
        <v/>
      </c>
      <c r="M247" s="520" t="str">
        <f>IF(E247="","",IF(ISNA(VLOOKUP($E247,'A-1 Site Habitat Baseline'!$D$1:$O$258,12,FALSE)),"",(VLOOKUP($E247,'A-1 Site Habitat Baseline'!$D$1:$O$258,12,FALSE))))</f>
        <v/>
      </c>
      <c r="N247" s="532" t="str">
        <f>IF(E247="","",IF(ISNA(VLOOKUP($E247,'A-1 Site Habitat Baseline'!$D$1:$X$258,14,FALSE)),"",(VLOOKUP($E247,'A-1 Site Habitat Baseline'!$D$1:$X$258,14,FALSE))))</f>
        <v/>
      </c>
      <c r="O247" s="524" t="str">
        <f>IF(E247="","",IF(ISNA(VLOOKUP($E247,'A-1 Site Habitat Baseline'!$D$1:$X$258,16,FALSE)),"",(VLOOKUP($E247,'A-1 Site Habitat Baseline'!$D$1:$X$258,13,FALSE))))</f>
        <v/>
      </c>
      <c r="P247" s="237" t="str">
        <f>IFERROR(INDEX('G-1 All Habitats'!$AG$3:$AG$15,MATCH(Q247,'G-1 All Habitats'!$AF$3:$AF$15,0)),"")</f>
        <v/>
      </c>
      <c r="Q247" s="238" t="str">
        <f t="shared" si="37"/>
        <v/>
      </c>
      <c r="R247" s="238" t="str">
        <f t="shared" si="38"/>
        <v/>
      </c>
      <c r="S247" s="392" t="str">
        <f>IFERROR(INDEX('G-1 All Habitats'!$B$3:$B$129,MATCH(R247,'G-1 All Habitats'!$A$3:$A$129,0)),"")</f>
        <v/>
      </c>
      <c r="T247" s="498" t="str">
        <f t="shared" si="39"/>
        <v/>
      </c>
      <c r="U247" s="499" t="str">
        <f t="shared" si="40"/>
        <v/>
      </c>
      <c r="V247" s="537" t="str">
        <f t="shared" si="34"/>
        <v/>
      </c>
      <c r="W247" s="520" t="str">
        <f>IF(S247="","",VLOOKUP(S247,'G-1 All Habitats'!$B$2:$M$129,10,FALSE))</f>
        <v/>
      </c>
      <c r="X247" s="520" t="str">
        <f>IFERROR(VLOOKUP(W247,'G-1 All Habitats'!$V$3:$W$7,2,FALSE),"")</f>
        <v/>
      </c>
      <c r="Y247" s="79"/>
      <c r="Z247" s="524" t="str">
        <f>IFERROR(INDEX('G-8 Condition Look up'!$A$3:$H$130,MATCH(S247,'G-8 Condition Look up'!$A$3:$A$130,0),MATCH(Y247,'G-8 Condition Look up'!$A$3:$H$3,0)),"")</f>
        <v/>
      </c>
      <c r="AA247" s="71"/>
      <c r="AB247" s="520" t="str">
        <f>IF(AA247="","",IF(VLOOKUP(AA247,'G-3 Multipliers'!$L$3:$N$6,2,FALSE)=0,"Spatial Data Missing ⚠",VLOOKUP(AA247,'G-3 Multipliers'!$L$3:$N$6,2,FALSE)))</f>
        <v/>
      </c>
      <c r="AC247" s="524" t="str">
        <f>IF(AA247="","",IF(VLOOKUP(AA247,'G-3 Multipliers'!$L$3:$N$6,3,FALSE)=0,"Spatial Data Missing ⚠",VLOOKUP(AA247,'G-3 Multipliers'!$L$3:$N$6,3,FALSE)))</f>
        <v/>
      </c>
      <c r="AD247" s="539" t="str">
        <f t="shared" si="35"/>
        <v/>
      </c>
      <c r="AE247" s="82"/>
      <c r="AF247" s="82"/>
      <c r="AG247" s="507" t="str">
        <f t="shared" si="41"/>
        <v/>
      </c>
      <c r="AH247" s="521" t="str">
        <f t="shared" si="42"/>
        <v/>
      </c>
      <c r="AI247" s="522" t="str">
        <f>IF(AH247="Check Data","Check Data",IFERROR(VLOOKUP(AH247,'G-4 Temporal multipliers'!$A$4:$C$36,3,FALSE),""))</f>
        <v/>
      </c>
      <c r="AJ247" s="498" t="str">
        <f>IF(S247="","",VLOOKUP(S247,'G-3 Multipliers'!$A$2:$E$129,4,FALSE))</f>
        <v/>
      </c>
      <c r="AK247" s="507" t="str">
        <f t="shared" si="43"/>
        <v/>
      </c>
      <c r="AL247" s="507" t="str">
        <f t="shared" si="44"/>
        <v/>
      </c>
      <c r="AM247" s="540" t="str">
        <f>IFERROR(IF(F247="","",IF(AH247="Check Data ⚠","Check Data ⚠",VLOOKUP(AL247, 'G-3 Multipliers'!$P$2:$Q$6,2,FALSE))),"")</f>
        <v/>
      </c>
      <c r="AN247" s="513" t="str">
        <f t="shared" si="36"/>
        <v/>
      </c>
      <c r="AO247" s="239"/>
      <c r="AP247" s="240"/>
    </row>
    <row r="248" spans="1:42" x14ac:dyDescent="0.25">
      <c r="A248" s="47" t="str">
        <f>IF(E248="","",IF(ISNA(VLOOKUP($E248,'A-1 Site Habitat Baseline'!$D$1:$O$258,2,FALSE)),"",(VLOOKUP($E248,'A-1 Site Habitat Baseline'!$D$1:$O$258,2,FALSE))))</f>
        <v/>
      </c>
      <c r="B248" s="47" t="str">
        <f>IF(E248="","",IF(ISNA(VLOOKUP($E248,'A-1 Site Habitat Baseline'!$D$1:$O$258,3,FALSE)),"",(VLOOKUP($E248,'A-1 Site Habitat Baseline'!$D$1:$O$258,3,FALSE))))</f>
        <v/>
      </c>
      <c r="C248" s="47" t="str">
        <f>IFERROR(INDEX('G-8 Condition Look up'!$I$4:$I$130,MATCH(S248,'G-8 Condition Look up'!$A$4:$A$130,0)),"")</f>
        <v/>
      </c>
      <c r="E248" s="531" t="str">
        <f>'A-1 Site Habitat Baseline'!AL247</f>
        <v/>
      </c>
      <c r="F248" s="520" t="str">
        <f>IF(E248="","",IF(ISNA(VLOOKUP($E248,'A-1 Site Habitat Baseline'!$D$1:$O$258,4,FALSE)),"",(VLOOKUP($E248,'A-1 Site Habitat Baseline'!$D$1:$O$258,4,FALSE))))</f>
        <v/>
      </c>
      <c r="G248" s="520" t="str">
        <f>IF(E248="","",IF(ISNA(VLOOKUP($E248,'A-1 Site Habitat Baseline'!$D$1:$O$258,5,FALSE)),"",(VLOOKUP($E248,'A-1 Site Habitat Baseline'!$D$1:$O$258,5,FALSE))))</f>
        <v/>
      </c>
      <c r="H248" s="520" t="str">
        <f>IF(E248="","",IF(ISNA(VLOOKUP($E248,'A-1 Site Habitat Baseline'!$D$1:$O$258,6,FALSE)),"",(VLOOKUP($E248,'A-1 Site Habitat Baseline'!$D$1:$O$258,6,FALSE))))</f>
        <v/>
      </c>
      <c r="I248" s="520" t="str">
        <f>IF(E248="","",IF(ISNA(VLOOKUP($E248,'A-1 Site Habitat Baseline'!$D$1:$O$258,7,FALSE)),"",(VLOOKUP($E248,'A-1 Site Habitat Baseline'!$D$1:$O$258,7,FALSE))))</f>
        <v/>
      </c>
      <c r="J248" s="520" t="str">
        <f>IF(E248="","",IF(ISNA(VLOOKUP($E248,'A-1 Site Habitat Baseline'!$D$1:$O$258,8,FALSE)),"",(VLOOKUP($E248,'A-1 Site Habitat Baseline'!$D$1:$O$258,8,FALSE))))</f>
        <v/>
      </c>
      <c r="K248" s="520" t="str">
        <f>IF(E248="","",IF(ISNA(VLOOKUP($E248,'A-1 Site Habitat Baseline'!$D$1:$O$258,9,FALSE)),"",(VLOOKUP($E248,'A-1 Site Habitat Baseline'!$D$1:$O$258,9,FALSE))))</f>
        <v/>
      </c>
      <c r="L248" s="520" t="str">
        <f>IF(E248="","",IF(ISNA(VLOOKUP($E248,'A-1 Site Habitat Baseline'!$D$1:$O$258,11,FALSE)),"",(VLOOKUP($E248,'A-1 Site Habitat Baseline'!$D$1:$O$258,11,FALSE))))</f>
        <v/>
      </c>
      <c r="M248" s="520" t="str">
        <f>IF(E248="","",IF(ISNA(VLOOKUP($E248,'A-1 Site Habitat Baseline'!$D$1:$O$258,12,FALSE)),"",(VLOOKUP($E248,'A-1 Site Habitat Baseline'!$D$1:$O$258,12,FALSE))))</f>
        <v/>
      </c>
      <c r="N248" s="532" t="str">
        <f>IF(E248="","",IF(ISNA(VLOOKUP($E248,'A-1 Site Habitat Baseline'!$D$1:$X$258,14,FALSE)),"",(VLOOKUP($E248,'A-1 Site Habitat Baseline'!$D$1:$X$258,14,FALSE))))</f>
        <v/>
      </c>
      <c r="O248" s="524" t="str">
        <f>IF(E248="","",IF(ISNA(VLOOKUP($E248,'A-1 Site Habitat Baseline'!$D$1:$X$258,16,FALSE)),"",(VLOOKUP($E248,'A-1 Site Habitat Baseline'!$D$1:$X$258,13,FALSE))))</f>
        <v/>
      </c>
      <c r="P248" s="237" t="str">
        <f>IFERROR(INDEX('G-1 All Habitats'!$AG$3:$AG$15,MATCH(Q248,'G-1 All Habitats'!$AF$3:$AF$15,0)),"")</f>
        <v/>
      </c>
      <c r="Q248" s="238" t="str">
        <f t="shared" si="37"/>
        <v/>
      </c>
      <c r="R248" s="238" t="str">
        <f t="shared" si="38"/>
        <v/>
      </c>
      <c r="S248" s="392" t="str">
        <f>IFERROR(INDEX('G-1 All Habitats'!$B$3:$B$129,MATCH(R248,'G-1 All Habitats'!$A$3:$A$129,0)),"")</f>
        <v/>
      </c>
      <c r="T248" s="498" t="str">
        <f t="shared" si="39"/>
        <v/>
      </c>
      <c r="U248" s="499" t="str">
        <f t="shared" si="40"/>
        <v/>
      </c>
      <c r="V248" s="537" t="str">
        <f t="shared" si="34"/>
        <v/>
      </c>
      <c r="W248" s="520" t="str">
        <f>IF(S248="","",VLOOKUP(S248,'G-1 All Habitats'!$B$2:$M$129,10,FALSE))</f>
        <v/>
      </c>
      <c r="X248" s="520" t="str">
        <f>IFERROR(VLOOKUP(W248,'G-1 All Habitats'!$V$3:$W$7,2,FALSE),"")</f>
        <v/>
      </c>
      <c r="Y248" s="79"/>
      <c r="Z248" s="524" t="str">
        <f>IFERROR(INDEX('G-8 Condition Look up'!$A$3:$H$130,MATCH(S248,'G-8 Condition Look up'!$A$3:$A$130,0),MATCH(Y248,'G-8 Condition Look up'!$A$3:$H$3,0)),"")</f>
        <v/>
      </c>
      <c r="AA248" s="71"/>
      <c r="AB248" s="520" t="str">
        <f>IF(AA248="","",IF(VLOOKUP(AA248,'G-3 Multipliers'!$L$3:$N$6,2,FALSE)=0,"Spatial Data Missing ⚠",VLOOKUP(AA248,'G-3 Multipliers'!$L$3:$N$6,2,FALSE)))</f>
        <v/>
      </c>
      <c r="AC248" s="524" t="str">
        <f>IF(AA248="","",IF(VLOOKUP(AA248,'G-3 Multipliers'!$L$3:$N$6,3,FALSE)=0,"Spatial Data Missing ⚠",VLOOKUP(AA248,'G-3 Multipliers'!$L$3:$N$6,3,FALSE)))</f>
        <v/>
      </c>
      <c r="AD248" s="539" t="str">
        <f t="shared" si="35"/>
        <v/>
      </c>
      <c r="AE248" s="82"/>
      <c r="AF248" s="82"/>
      <c r="AG248" s="507" t="str">
        <f t="shared" si="41"/>
        <v/>
      </c>
      <c r="AH248" s="521" t="str">
        <f t="shared" si="42"/>
        <v/>
      </c>
      <c r="AI248" s="522" t="str">
        <f>IF(AH248="Check Data","Check Data",IFERROR(VLOOKUP(AH248,'G-4 Temporal multipliers'!$A$4:$C$36,3,FALSE),""))</f>
        <v/>
      </c>
      <c r="AJ248" s="498" t="str">
        <f>IF(S248="","",VLOOKUP(S248,'G-3 Multipliers'!$A$2:$E$129,4,FALSE))</f>
        <v/>
      </c>
      <c r="AK248" s="507" t="str">
        <f t="shared" si="43"/>
        <v/>
      </c>
      <c r="AL248" s="507" t="str">
        <f t="shared" si="44"/>
        <v/>
      </c>
      <c r="AM248" s="540" t="str">
        <f>IFERROR(IF(F248="","",IF(AH248="Check Data ⚠","Check Data ⚠",VLOOKUP(AL248, 'G-3 Multipliers'!$P$2:$Q$6,2,FALSE))),"")</f>
        <v/>
      </c>
      <c r="AN248" s="513" t="str">
        <f t="shared" si="36"/>
        <v/>
      </c>
      <c r="AO248" s="239"/>
      <c r="AP248" s="240"/>
    </row>
    <row r="249" spans="1:42" x14ac:dyDescent="0.25">
      <c r="A249" s="47" t="str">
        <f>IF(E249="","",IF(ISNA(VLOOKUP($E249,'A-1 Site Habitat Baseline'!$D$1:$O$258,2,FALSE)),"",(VLOOKUP($E249,'A-1 Site Habitat Baseline'!$D$1:$O$258,2,FALSE))))</f>
        <v/>
      </c>
      <c r="B249" s="47" t="str">
        <f>IF(E249="","",IF(ISNA(VLOOKUP($E249,'A-1 Site Habitat Baseline'!$D$1:$O$258,3,FALSE)),"",(VLOOKUP($E249,'A-1 Site Habitat Baseline'!$D$1:$O$258,3,FALSE))))</f>
        <v/>
      </c>
      <c r="C249" s="47" t="str">
        <f>IFERROR(INDEX('G-8 Condition Look up'!$I$4:$I$130,MATCH(S249,'G-8 Condition Look up'!$A$4:$A$130,0)),"")</f>
        <v/>
      </c>
      <c r="E249" s="531" t="str">
        <f>'A-1 Site Habitat Baseline'!AL248</f>
        <v/>
      </c>
      <c r="F249" s="520" t="str">
        <f>IF(E249="","",IF(ISNA(VLOOKUP($E249,'A-1 Site Habitat Baseline'!$D$1:$O$258,4,FALSE)),"",(VLOOKUP($E249,'A-1 Site Habitat Baseline'!$D$1:$O$258,4,FALSE))))</f>
        <v/>
      </c>
      <c r="G249" s="520" t="str">
        <f>IF(E249="","",IF(ISNA(VLOOKUP($E249,'A-1 Site Habitat Baseline'!$D$1:$O$258,5,FALSE)),"",(VLOOKUP($E249,'A-1 Site Habitat Baseline'!$D$1:$O$258,5,FALSE))))</f>
        <v/>
      </c>
      <c r="H249" s="520" t="str">
        <f>IF(E249="","",IF(ISNA(VLOOKUP($E249,'A-1 Site Habitat Baseline'!$D$1:$O$258,6,FALSE)),"",(VLOOKUP($E249,'A-1 Site Habitat Baseline'!$D$1:$O$258,6,FALSE))))</f>
        <v/>
      </c>
      <c r="I249" s="520" t="str">
        <f>IF(E249="","",IF(ISNA(VLOOKUP($E249,'A-1 Site Habitat Baseline'!$D$1:$O$258,7,FALSE)),"",(VLOOKUP($E249,'A-1 Site Habitat Baseline'!$D$1:$O$258,7,FALSE))))</f>
        <v/>
      </c>
      <c r="J249" s="520" t="str">
        <f>IF(E249="","",IF(ISNA(VLOOKUP($E249,'A-1 Site Habitat Baseline'!$D$1:$O$258,8,FALSE)),"",(VLOOKUP($E249,'A-1 Site Habitat Baseline'!$D$1:$O$258,8,FALSE))))</f>
        <v/>
      </c>
      <c r="K249" s="520" t="str">
        <f>IF(E249="","",IF(ISNA(VLOOKUP($E249,'A-1 Site Habitat Baseline'!$D$1:$O$258,9,FALSE)),"",(VLOOKUP($E249,'A-1 Site Habitat Baseline'!$D$1:$O$258,9,FALSE))))</f>
        <v/>
      </c>
      <c r="L249" s="520" t="str">
        <f>IF(E249="","",IF(ISNA(VLOOKUP($E249,'A-1 Site Habitat Baseline'!$D$1:$O$258,11,FALSE)),"",(VLOOKUP($E249,'A-1 Site Habitat Baseline'!$D$1:$O$258,11,FALSE))))</f>
        <v/>
      </c>
      <c r="M249" s="520" t="str">
        <f>IF(E249="","",IF(ISNA(VLOOKUP($E249,'A-1 Site Habitat Baseline'!$D$1:$O$258,12,FALSE)),"",(VLOOKUP($E249,'A-1 Site Habitat Baseline'!$D$1:$O$258,12,FALSE))))</f>
        <v/>
      </c>
      <c r="N249" s="532" t="str">
        <f>IF(E249="","",IF(ISNA(VLOOKUP($E249,'A-1 Site Habitat Baseline'!$D$1:$X$258,14,FALSE)),"",(VLOOKUP($E249,'A-1 Site Habitat Baseline'!$D$1:$X$258,14,FALSE))))</f>
        <v/>
      </c>
      <c r="O249" s="524" t="str">
        <f>IF(E249="","",IF(ISNA(VLOOKUP($E249,'A-1 Site Habitat Baseline'!$D$1:$X$258,16,FALSE)),"",(VLOOKUP($E249,'A-1 Site Habitat Baseline'!$D$1:$X$258,13,FALSE))))</f>
        <v/>
      </c>
      <c r="P249" s="237" t="str">
        <f>IFERROR(INDEX('G-1 All Habitats'!$AG$3:$AG$15,MATCH(Q249,'G-1 All Habitats'!$AF$3:$AF$15,0)),"")</f>
        <v/>
      </c>
      <c r="Q249" s="238" t="str">
        <f t="shared" si="37"/>
        <v/>
      </c>
      <c r="R249" s="238" t="str">
        <f t="shared" si="38"/>
        <v/>
      </c>
      <c r="S249" s="392" t="str">
        <f>IFERROR(INDEX('G-1 All Habitats'!$B$3:$B$129,MATCH(R249,'G-1 All Habitats'!$A$3:$A$129,0)),"")</f>
        <v/>
      </c>
      <c r="T249" s="498" t="str">
        <f t="shared" si="39"/>
        <v/>
      </c>
      <c r="U249" s="499" t="str">
        <f t="shared" si="40"/>
        <v/>
      </c>
      <c r="V249" s="537" t="str">
        <f t="shared" si="34"/>
        <v/>
      </c>
      <c r="W249" s="520" t="str">
        <f>IF(S249="","",VLOOKUP(S249,'G-1 All Habitats'!$B$2:$M$129,10,FALSE))</f>
        <v/>
      </c>
      <c r="X249" s="520" t="str">
        <f>IFERROR(VLOOKUP(W249,'G-1 All Habitats'!$V$3:$W$7,2,FALSE),"")</f>
        <v/>
      </c>
      <c r="Y249" s="79"/>
      <c r="Z249" s="524" t="str">
        <f>IFERROR(INDEX('G-8 Condition Look up'!$A$3:$H$130,MATCH(S249,'G-8 Condition Look up'!$A$3:$A$130,0),MATCH(Y249,'G-8 Condition Look up'!$A$3:$H$3,0)),"")</f>
        <v/>
      </c>
      <c r="AA249" s="71"/>
      <c r="AB249" s="520" t="str">
        <f>IF(AA249="","",IF(VLOOKUP(AA249,'G-3 Multipliers'!$L$3:$N$6,2,FALSE)=0,"Spatial Data Missing ⚠",VLOOKUP(AA249,'G-3 Multipliers'!$L$3:$N$6,2,FALSE)))</f>
        <v/>
      </c>
      <c r="AC249" s="524" t="str">
        <f>IF(AA249="","",IF(VLOOKUP(AA249,'G-3 Multipliers'!$L$3:$N$6,3,FALSE)=0,"Spatial Data Missing ⚠",VLOOKUP(AA249,'G-3 Multipliers'!$L$3:$N$6,3,FALSE)))</f>
        <v/>
      </c>
      <c r="AD249" s="539" t="str">
        <f t="shared" si="35"/>
        <v/>
      </c>
      <c r="AE249" s="82"/>
      <c r="AF249" s="82"/>
      <c r="AG249" s="507" t="str">
        <f t="shared" si="41"/>
        <v/>
      </c>
      <c r="AH249" s="521" t="str">
        <f t="shared" si="42"/>
        <v/>
      </c>
      <c r="AI249" s="522" t="str">
        <f>IF(AH249="Check Data","Check Data",IFERROR(VLOOKUP(AH249,'G-4 Temporal multipliers'!$A$4:$C$36,3,FALSE),""))</f>
        <v/>
      </c>
      <c r="AJ249" s="498" t="str">
        <f>IF(S249="","",VLOOKUP(S249,'G-3 Multipliers'!$A$2:$E$129,4,FALSE))</f>
        <v/>
      </c>
      <c r="AK249" s="507" t="str">
        <f t="shared" si="43"/>
        <v/>
      </c>
      <c r="AL249" s="507" t="str">
        <f t="shared" si="44"/>
        <v/>
      </c>
      <c r="AM249" s="540" t="str">
        <f>IFERROR(IF(F249="","",IF(AH249="Check Data ⚠","Check Data ⚠",VLOOKUP(AL249, 'G-3 Multipliers'!$P$2:$Q$6,2,FALSE))),"")</f>
        <v/>
      </c>
      <c r="AN249" s="513" t="str">
        <f t="shared" si="36"/>
        <v/>
      </c>
      <c r="AO249" s="239"/>
      <c r="AP249" s="240"/>
    </row>
    <row r="250" spans="1:42" x14ac:dyDescent="0.25">
      <c r="A250" s="47" t="str">
        <f>IF(E250="","",IF(ISNA(VLOOKUP($E250,'A-1 Site Habitat Baseline'!$D$1:$O$258,2,FALSE)),"",(VLOOKUP($E250,'A-1 Site Habitat Baseline'!$D$1:$O$258,2,FALSE))))</f>
        <v/>
      </c>
      <c r="B250" s="47" t="str">
        <f>IF(E250="","",IF(ISNA(VLOOKUP($E250,'A-1 Site Habitat Baseline'!$D$1:$O$258,3,FALSE)),"",(VLOOKUP($E250,'A-1 Site Habitat Baseline'!$D$1:$O$258,3,FALSE))))</f>
        <v/>
      </c>
      <c r="C250" s="47" t="str">
        <f>IFERROR(INDEX('G-8 Condition Look up'!$I$4:$I$130,MATCH(S250,'G-8 Condition Look up'!$A$4:$A$130,0)),"")</f>
        <v/>
      </c>
      <c r="E250" s="531" t="str">
        <f>'A-1 Site Habitat Baseline'!AL249</f>
        <v/>
      </c>
      <c r="F250" s="520" t="str">
        <f>IF(E250="","",IF(ISNA(VLOOKUP($E250,'A-1 Site Habitat Baseline'!$D$1:$O$258,4,FALSE)),"",(VLOOKUP($E250,'A-1 Site Habitat Baseline'!$D$1:$O$258,4,FALSE))))</f>
        <v/>
      </c>
      <c r="G250" s="520" t="str">
        <f>IF(E250="","",IF(ISNA(VLOOKUP($E250,'A-1 Site Habitat Baseline'!$D$1:$O$258,5,FALSE)),"",(VLOOKUP($E250,'A-1 Site Habitat Baseline'!$D$1:$O$258,5,FALSE))))</f>
        <v/>
      </c>
      <c r="H250" s="520" t="str">
        <f>IF(E250="","",IF(ISNA(VLOOKUP($E250,'A-1 Site Habitat Baseline'!$D$1:$O$258,6,FALSE)),"",(VLOOKUP($E250,'A-1 Site Habitat Baseline'!$D$1:$O$258,6,FALSE))))</f>
        <v/>
      </c>
      <c r="I250" s="520" t="str">
        <f>IF(E250="","",IF(ISNA(VLOOKUP($E250,'A-1 Site Habitat Baseline'!$D$1:$O$258,7,FALSE)),"",(VLOOKUP($E250,'A-1 Site Habitat Baseline'!$D$1:$O$258,7,FALSE))))</f>
        <v/>
      </c>
      <c r="J250" s="520" t="str">
        <f>IF(E250="","",IF(ISNA(VLOOKUP($E250,'A-1 Site Habitat Baseline'!$D$1:$O$258,8,FALSE)),"",(VLOOKUP($E250,'A-1 Site Habitat Baseline'!$D$1:$O$258,8,FALSE))))</f>
        <v/>
      </c>
      <c r="K250" s="520" t="str">
        <f>IF(E250="","",IF(ISNA(VLOOKUP($E250,'A-1 Site Habitat Baseline'!$D$1:$O$258,9,FALSE)),"",(VLOOKUP($E250,'A-1 Site Habitat Baseline'!$D$1:$O$258,9,FALSE))))</f>
        <v/>
      </c>
      <c r="L250" s="520" t="str">
        <f>IF(E250="","",IF(ISNA(VLOOKUP($E250,'A-1 Site Habitat Baseline'!$D$1:$O$258,11,FALSE)),"",(VLOOKUP($E250,'A-1 Site Habitat Baseline'!$D$1:$O$258,11,FALSE))))</f>
        <v/>
      </c>
      <c r="M250" s="520" t="str">
        <f>IF(E250="","",IF(ISNA(VLOOKUP($E250,'A-1 Site Habitat Baseline'!$D$1:$O$258,12,FALSE)),"",(VLOOKUP($E250,'A-1 Site Habitat Baseline'!$D$1:$O$258,12,FALSE))))</f>
        <v/>
      </c>
      <c r="N250" s="532" t="str">
        <f>IF(E250="","",IF(ISNA(VLOOKUP($E250,'A-1 Site Habitat Baseline'!$D$1:$X$258,14,FALSE)),"",(VLOOKUP($E250,'A-1 Site Habitat Baseline'!$D$1:$X$258,14,FALSE))))</f>
        <v/>
      </c>
      <c r="O250" s="524" t="str">
        <f>IF(E250="","",IF(ISNA(VLOOKUP($E250,'A-1 Site Habitat Baseline'!$D$1:$X$258,16,FALSE)),"",(VLOOKUP($E250,'A-1 Site Habitat Baseline'!$D$1:$X$258,13,FALSE))))</f>
        <v/>
      </c>
      <c r="P250" s="237" t="str">
        <f>IFERROR(INDEX('G-1 All Habitats'!$AG$3:$AG$15,MATCH(Q250,'G-1 All Habitats'!$AF$3:$AF$15,0)),"")</f>
        <v/>
      </c>
      <c r="Q250" s="238" t="str">
        <f t="shared" si="37"/>
        <v/>
      </c>
      <c r="R250" s="238" t="str">
        <f t="shared" si="38"/>
        <v/>
      </c>
      <c r="S250" s="392" t="str">
        <f>IFERROR(INDEX('G-1 All Habitats'!$B$3:$B$129,MATCH(R250,'G-1 All Habitats'!$A$3:$A$129,0)),"")</f>
        <v/>
      </c>
      <c r="T250" s="498" t="str">
        <f t="shared" si="39"/>
        <v/>
      </c>
      <c r="U250" s="499" t="str">
        <f t="shared" si="40"/>
        <v/>
      </c>
      <c r="V250" s="537" t="str">
        <f t="shared" si="34"/>
        <v/>
      </c>
      <c r="W250" s="520" t="str">
        <f>IF(S250="","",VLOOKUP(S250,'G-1 All Habitats'!$B$2:$M$129,10,FALSE))</f>
        <v/>
      </c>
      <c r="X250" s="520" t="str">
        <f>IFERROR(VLOOKUP(W250,'G-1 All Habitats'!$V$3:$W$7,2,FALSE),"")</f>
        <v/>
      </c>
      <c r="Y250" s="79"/>
      <c r="Z250" s="524" t="str">
        <f>IFERROR(INDEX('G-8 Condition Look up'!$A$3:$H$130,MATCH(S250,'G-8 Condition Look up'!$A$3:$A$130,0),MATCH(Y250,'G-8 Condition Look up'!$A$3:$H$3,0)),"")</f>
        <v/>
      </c>
      <c r="AA250" s="71"/>
      <c r="AB250" s="520" t="str">
        <f>IF(AA250="","",IF(VLOOKUP(AA250,'G-3 Multipliers'!$L$3:$N$6,2,FALSE)=0,"Spatial Data Missing ⚠",VLOOKUP(AA250,'G-3 Multipliers'!$L$3:$N$6,2,FALSE)))</f>
        <v/>
      </c>
      <c r="AC250" s="524" t="str">
        <f>IF(AA250="","",IF(VLOOKUP(AA250,'G-3 Multipliers'!$L$3:$N$6,3,FALSE)=0,"Spatial Data Missing ⚠",VLOOKUP(AA250,'G-3 Multipliers'!$L$3:$N$6,3,FALSE)))</f>
        <v/>
      </c>
      <c r="AD250" s="539" t="str">
        <f t="shared" si="35"/>
        <v/>
      </c>
      <c r="AE250" s="82"/>
      <c r="AF250" s="82"/>
      <c r="AG250" s="507" t="str">
        <f t="shared" si="41"/>
        <v/>
      </c>
      <c r="AH250" s="521" t="str">
        <f t="shared" si="42"/>
        <v/>
      </c>
      <c r="AI250" s="522" t="str">
        <f>IF(AH250="Check Data","Check Data",IFERROR(VLOOKUP(AH250,'G-4 Temporal multipliers'!$A$4:$C$36,3,FALSE),""))</f>
        <v/>
      </c>
      <c r="AJ250" s="498" t="str">
        <f>IF(S250="","",VLOOKUP(S250,'G-3 Multipliers'!$A$2:$E$129,4,FALSE))</f>
        <v/>
      </c>
      <c r="AK250" s="507" t="str">
        <f t="shared" si="43"/>
        <v/>
      </c>
      <c r="AL250" s="507" t="str">
        <f t="shared" si="44"/>
        <v/>
      </c>
      <c r="AM250" s="540" t="str">
        <f>IFERROR(IF(F250="","",IF(AH250="Check Data ⚠","Check Data ⚠",VLOOKUP(AL250, 'G-3 Multipliers'!$P$2:$Q$6,2,FALSE))),"")</f>
        <v/>
      </c>
      <c r="AN250" s="513" t="str">
        <f t="shared" si="36"/>
        <v/>
      </c>
      <c r="AO250" s="239"/>
      <c r="AP250" s="240"/>
    </row>
    <row r="251" spans="1:42" x14ac:dyDescent="0.25">
      <c r="A251" s="47" t="str">
        <f>IF(E251="","",IF(ISNA(VLOOKUP($E251,'A-1 Site Habitat Baseline'!$D$1:$O$258,2,FALSE)),"",(VLOOKUP($E251,'A-1 Site Habitat Baseline'!$D$1:$O$258,2,FALSE))))</f>
        <v/>
      </c>
      <c r="B251" s="47" t="str">
        <f>IF(E251="","",IF(ISNA(VLOOKUP($E251,'A-1 Site Habitat Baseline'!$D$1:$O$258,3,FALSE)),"",(VLOOKUP($E251,'A-1 Site Habitat Baseline'!$D$1:$O$258,3,FALSE))))</f>
        <v/>
      </c>
      <c r="C251" s="47" t="str">
        <f>IFERROR(INDEX('G-8 Condition Look up'!$I$4:$I$130,MATCH(S251,'G-8 Condition Look up'!$A$4:$A$130,0)),"")</f>
        <v/>
      </c>
      <c r="E251" s="531" t="str">
        <f>'A-1 Site Habitat Baseline'!AL250</f>
        <v/>
      </c>
      <c r="F251" s="520" t="str">
        <f>IF(E251="","",IF(ISNA(VLOOKUP($E251,'A-1 Site Habitat Baseline'!$D$1:$O$258,4,FALSE)),"",(VLOOKUP($E251,'A-1 Site Habitat Baseline'!$D$1:$O$258,4,FALSE))))</f>
        <v/>
      </c>
      <c r="G251" s="520" t="str">
        <f>IF(E251="","",IF(ISNA(VLOOKUP($E251,'A-1 Site Habitat Baseline'!$D$1:$O$258,5,FALSE)),"",(VLOOKUP($E251,'A-1 Site Habitat Baseline'!$D$1:$O$258,5,FALSE))))</f>
        <v/>
      </c>
      <c r="H251" s="520" t="str">
        <f>IF(E251="","",IF(ISNA(VLOOKUP($E251,'A-1 Site Habitat Baseline'!$D$1:$O$258,6,FALSE)),"",(VLOOKUP($E251,'A-1 Site Habitat Baseline'!$D$1:$O$258,6,FALSE))))</f>
        <v/>
      </c>
      <c r="I251" s="520" t="str">
        <f>IF(E251="","",IF(ISNA(VLOOKUP($E251,'A-1 Site Habitat Baseline'!$D$1:$O$258,7,FALSE)),"",(VLOOKUP($E251,'A-1 Site Habitat Baseline'!$D$1:$O$258,7,FALSE))))</f>
        <v/>
      </c>
      <c r="J251" s="520" t="str">
        <f>IF(E251="","",IF(ISNA(VLOOKUP($E251,'A-1 Site Habitat Baseline'!$D$1:$O$258,8,FALSE)),"",(VLOOKUP($E251,'A-1 Site Habitat Baseline'!$D$1:$O$258,8,FALSE))))</f>
        <v/>
      </c>
      <c r="K251" s="520" t="str">
        <f>IF(E251="","",IF(ISNA(VLOOKUP($E251,'A-1 Site Habitat Baseline'!$D$1:$O$258,9,FALSE)),"",(VLOOKUP($E251,'A-1 Site Habitat Baseline'!$D$1:$O$258,9,FALSE))))</f>
        <v/>
      </c>
      <c r="L251" s="520" t="str">
        <f>IF(E251="","",IF(ISNA(VLOOKUP($E251,'A-1 Site Habitat Baseline'!$D$1:$O$258,11,FALSE)),"",(VLOOKUP($E251,'A-1 Site Habitat Baseline'!$D$1:$O$258,11,FALSE))))</f>
        <v/>
      </c>
      <c r="M251" s="520" t="str">
        <f>IF(E251="","",IF(ISNA(VLOOKUP($E251,'A-1 Site Habitat Baseline'!$D$1:$O$258,12,FALSE)),"",(VLOOKUP($E251,'A-1 Site Habitat Baseline'!$D$1:$O$258,12,FALSE))))</f>
        <v/>
      </c>
      <c r="N251" s="532" t="str">
        <f>IF(E251="","",IF(ISNA(VLOOKUP($E251,'A-1 Site Habitat Baseline'!$D$1:$X$258,14,FALSE)),"",(VLOOKUP($E251,'A-1 Site Habitat Baseline'!$D$1:$X$258,14,FALSE))))</f>
        <v/>
      </c>
      <c r="O251" s="524" t="str">
        <f>IF(E251="","",IF(ISNA(VLOOKUP($E251,'A-1 Site Habitat Baseline'!$D$1:$X$258,16,FALSE)),"",(VLOOKUP($E251,'A-1 Site Habitat Baseline'!$D$1:$X$258,13,FALSE))))</f>
        <v/>
      </c>
      <c r="P251" s="237" t="str">
        <f>IFERROR(INDEX('G-1 All Habitats'!$AG$3:$AG$15,MATCH(Q251,'G-1 All Habitats'!$AF$3:$AF$15,0)),"")</f>
        <v/>
      </c>
      <c r="Q251" s="238" t="str">
        <f t="shared" si="37"/>
        <v/>
      </c>
      <c r="R251" s="238" t="str">
        <f t="shared" si="38"/>
        <v/>
      </c>
      <c r="S251" s="392" t="str">
        <f>IFERROR(INDEX('G-1 All Habitats'!$B$3:$B$129,MATCH(R251,'G-1 All Habitats'!$A$3:$A$129,0)),"")</f>
        <v/>
      </c>
      <c r="T251" s="498" t="str">
        <f t="shared" si="39"/>
        <v/>
      </c>
      <c r="U251" s="499" t="str">
        <f t="shared" si="40"/>
        <v/>
      </c>
      <c r="V251" s="537" t="str">
        <f t="shared" si="34"/>
        <v/>
      </c>
      <c r="W251" s="520" t="str">
        <f>IF(S251="","",VLOOKUP(S251,'G-1 All Habitats'!$B$2:$M$129,10,FALSE))</f>
        <v/>
      </c>
      <c r="X251" s="520" t="str">
        <f>IFERROR(VLOOKUP(W251,'G-1 All Habitats'!$V$3:$W$7,2,FALSE),"")</f>
        <v/>
      </c>
      <c r="Y251" s="79"/>
      <c r="Z251" s="524" t="str">
        <f>IFERROR(INDEX('G-8 Condition Look up'!$A$3:$H$130,MATCH(S251,'G-8 Condition Look up'!$A$3:$A$130,0),MATCH(Y251,'G-8 Condition Look up'!$A$3:$H$3,0)),"")</f>
        <v/>
      </c>
      <c r="AA251" s="71"/>
      <c r="AB251" s="520" t="str">
        <f>IF(AA251="","",IF(VLOOKUP(AA251,'G-3 Multipliers'!$L$3:$N$6,2,FALSE)=0,"Spatial Data Missing ⚠",VLOOKUP(AA251,'G-3 Multipliers'!$L$3:$N$6,2,FALSE)))</f>
        <v/>
      </c>
      <c r="AC251" s="524" t="str">
        <f>IF(AA251="","",IF(VLOOKUP(AA251,'G-3 Multipliers'!$L$3:$N$6,3,FALSE)=0,"Spatial Data Missing ⚠",VLOOKUP(AA251,'G-3 Multipliers'!$L$3:$N$6,3,FALSE)))</f>
        <v/>
      </c>
      <c r="AD251" s="539" t="str">
        <f t="shared" si="35"/>
        <v/>
      </c>
      <c r="AE251" s="82"/>
      <c r="AF251" s="82"/>
      <c r="AG251" s="507" t="str">
        <f t="shared" si="41"/>
        <v/>
      </c>
      <c r="AH251" s="521" t="str">
        <f t="shared" si="42"/>
        <v/>
      </c>
      <c r="AI251" s="522" t="str">
        <f>IF(AH251="Check Data","Check Data",IFERROR(VLOOKUP(AH251,'G-4 Temporal multipliers'!$A$4:$C$36,3,FALSE),""))</f>
        <v/>
      </c>
      <c r="AJ251" s="498" t="str">
        <f>IF(S251="","",VLOOKUP(S251,'G-3 Multipliers'!$A$2:$E$129,4,FALSE))</f>
        <v/>
      </c>
      <c r="AK251" s="507" t="str">
        <f t="shared" si="43"/>
        <v/>
      </c>
      <c r="AL251" s="507" t="str">
        <f t="shared" si="44"/>
        <v/>
      </c>
      <c r="AM251" s="540" t="str">
        <f>IFERROR(IF(F251="","",IF(AH251="Check Data ⚠","Check Data ⚠",VLOOKUP(AL251, 'G-3 Multipliers'!$P$2:$Q$6,2,FALSE))),"")</f>
        <v/>
      </c>
      <c r="AN251" s="513" t="str">
        <f t="shared" si="36"/>
        <v/>
      </c>
      <c r="AO251" s="239"/>
      <c r="AP251" s="240"/>
    </row>
    <row r="252" spans="1:42" x14ac:dyDescent="0.25">
      <c r="A252" s="47" t="str">
        <f>IF(E252="","",IF(ISNA(VLOOKUP($E252,'A-1 Site Habitat Baseline'!$D$1:$O$258,2,FALSE)),"",(VLOOKUP($E252,'A-1 Site Habitat Baseline'!$D$1:$O$258,2,FALSE))))</f>
        <v/>
      </c>
      <c r="B252" s="47" t="str">
        <f>IF(E252="","",IF(ISNA(VLOOKUP($E252,'A-1 Site Habitat Baseline'!$D$1:$O$258,3,FALSE)),"",(VLOOKUP($E252,'A-1 Site Habitat Baseline'!$D$1:$O$258,3,FALSE))))</f>
        <v/>
      </c>
      <c r="C252" s="47" t="str">
        <f>IFERROR(INDEX('G-8 Condition Look up'!$I$4:$I$130,MATCH(S252,'G-8 Condition Look up'!$A$4:$A$130,0)),"")</f>
        <v/>
      </c>
      <c r="E252" s="531" t="str">
        <f>'A-1 Site Habitat Baseline'!AL251</f>
        <v/>
      </c>
      <c r="F252" s="520" t="str">
        <f>IF(E252="","",IF(ISNA(VLOOKUP($E252,'A-1 Site Habitat Baseline'!$D$1:$O$258,4,FALSE)),"",(VLOOKUP($E252,'A-1 Site Habitat Baseline'!$D$1:$O$258,4,FALSE))))</f>
        <v/>
      </c>
      <c r="G252" s="520" t="str">
        <f>IF(E252="","",IF(ISNA(VLOOKUP($E252,'A-1 Site Habitat Baseline'!$D$1:$O$258,5,FALSE)),"",(VLOOKUP($E252,'A-1 Site Habitat Baseline'!$D$1:$O$258,5,FALSE))))</f>
        <v/>
      </c>
      <c r="H252" s="520" t="str">
        <f>IF(E252="","",IF(ISNA(VLOOKUP($E252,'A-1 Site Habitat Baseline'!$D$1:$O$258,6,FALSE)),"",(VLOOKUP($E252,'A-1 Site Habitat Baseline'!$D$1:$O$258,6,FALSE))))</f>
        <v/>
      </c>
      <c r="I252" s="520" t="str">
        <f>IF(E252="","",IF(ISNA(VLOOKUP($E252,'A-1 Site Habitat Baseline'!$D$1:$O$258,7,FALSE)),"",(VLOOKUP($E252,'A-1 Site Habitat Baseline'!$D$1:$O$258,7,FALSE))))</f>
        <v/>
      </c>
      <c r="J252" s="520" t="str">
        <f>IF(E252="","",IF(ISNA(VLOOKUP($E252,'A-1 Site Habitat Baseline'!$D$1:$O$258,8,FALSE)),"",(VLOOKUP($E252,'A-1 Site Habitat Baseline'!$D$1:$O$258,8,FALSE))))</f>
        <v/>
      </c>
      <c r="K252" s="520" t="str">
        <f>IF(E252="","",IF(ISNA(VLOOKUP($E252,'A-1 Site Habitat Baseline'!$D$1:$O$258,9,FALSE)),"",(VLOOKUP($E252,'A-1 Site Habitat Baseline'!$D$1:$O$258,9,FALSE))))</f>
        <v/>
      </c>
      <c r="L252" s="520" t="str">
        <f>IF(E252="","",IF(ISNA(VLOOKUP($E252,'A-1 Site Habitat Baseline'!$D$1:$O$258,11,FALSE)),"",(VLOOKUP($E252,'A-1 Site Habitat Baseline'!$D$1:$O$258,11,FALSE))))</f>
        <v/>
      </c>
      <c r="M252" s="520" t="str">
        <f>IF(E252="","",IF(ISNA(VLOOKUP($E252,'A-1 Site Habitat Baseline'!$D$1:$O$258,12,FALSE)),"",(VLOOKUP($E252,'A-1 Site Habitat Baseline'!$D$1:$O$258,12,FALSE))))</f>
        <v/>
      </c>
      <c r="N252" s="532" t="str">
        <f>IF(E252="","",IF(ISNA(VLOOKUP($E252,'A-1 Site Habitat Baseline'!$D$1:$X$258,14,FALSE)),"",(VLOOKUP($E252,'A-1 Site Habitat Baseline'!$D$1:$X$258,14,FALSE))))</f>
        <v/>
      </c>
      <c r="O252" s="524" t="str">
        <f>IF(E252="","",IF(ISNA(VLOOKUP($E252,'A-1 Site Habitat Baseline'!$D$1:$X$258,16,FALSE)),"",(VLOOKUP($E252,'A-1 Site Habitat Baseline'!$D$1:$X$258,13,FALSE))))</f>
        <v/>
      </c>
      <c r="P252" s="237" t="str">
        <f>IFERROR(INDEX('G-1 All Habitats'!$AG$3:$AG$15,MATCH(Q252,'G-1 All Habitats'!$AF$3:$AF$15,0)),"")</f>
        <v/>
      </c>
      <c r="Q252" s="238" t="str">
        <f t="shared" si="37"/>
        <v/>
      </c>
      <c r="R252" s="238" t="str">
        <f t="shared" si="38"/>
        <v/>
      </c>
      <c r="S252" s="392" t="str">
        <f>IFERROR(INDEX('G-1 All Habitats'!$B$3:$B$129,MATCH(R252,'G-1 All Habitats'!$A$3:$A$129,0)),"")</f>
        <v/>
      </c>
      <c r="T252" s="498" t="str">
        <f t="shared" si="39"/>
        <v/>
      </c>
      <c r="U252" s="499" t="str">
        <f t="shared" si="40"/>
        <v/>
      </c>
      <c r="V252" s="537" t="str">
        <f t="shared" si="34"/>
        <v/>
      </c>
      <c r="W252" s="520" t="str">
        <f>IF(S252="","",VLOOKUP(S252,'G-1 All Habitats'!$B$2:$M$129,10,FALSE))</f>
        <v/>
      </c>
      <c r="X252" s="520" t="str">
        <f>IFERROR(VLOOKUP(W252,'G-1 All Habitats'!$V$3:$W$7,2,FALSE),"")</f>
        <v/>
      </c>
      <c r="Y252" s="79"/>
      <c r="Z252" s="524" t="str">
        <f>IFERROR(INDEX('G-8 Condition Look up'!$A$3:$H$130,MATCH(S252,'G-8 Condition Look up'!$A$3:$A$130,0),MATCH(Y252,'G-8 Condition Look up'!$A$3:$H$3,0)),"")</f>
        <v/>
      </c>
      <c r="AA252" s="71"/>
      <c r="AB252" s="520" t="str">
        <f>IF(AA252="","",IF(VLOOKUP(AA252,'G-3 Multipliers'!$L$3:$N$6,2,FALSE)=0,"Spatial Data Missing ⚠",VLOOKUP(AA252,'G-3 Multipliers'!$L$3:$N$6,2,FALSE)))</f>
        <v/>
      </c>
      <c r="AC252" s="524" t="str">
        <f>IF(AA252="","",IF(VLOOKUP(AA252,'G-3 Multipliers'!$L$3:$N$6,3,FALSE)=0,"Spatial Data Missing ⚠",VLOOKUP(AA252,'G-3 Multipliers'!$L$3:$N$6,3,FALSE)))</f>
        <v/>
      </c>
      <c r="AD252" s="539" t="str">
        <f t="shared" si="35"/>
        <v/>
      </c>
      <c r="AE252" s="82"/>
      <c r="AF252" s="82"/>
      <c r="AG252" s="507" t="str">
        <f t="shared" si="41"/>
        <v/>
      </c>
      <c r="AH252" s="521" t="str">
        <f t="shared" si="42"/>
        <v/>
      </c>
      <c r="AI252" s="522" t="str">
        <f>IF(AH252="Check Data","Check Data",IFERROR(VLOOKUP(AH252,'G-4 Temporal multipliers'!$A$4:$C$36,3,FALSE),""))</f>
        <v/>
      </c>
      <c r="AJ252" s="498" t="str">
        <f>IF(S252="","",VLOOKUP(S252,'G-3 Multipliers'!$A$2:$E$129,4,FALSE))</f>
        <v/>
      </c>
      <c r="AK252" s="507" t="str">
        <f t="shared" si="43"/>
        <v/>
      </c>
      <c r="AL252" s="507" t="str">
        <f t="shared" si="44"/>
        <v/>
      </c>
      <c r="AM252" s="540" t="str">
        <f>IFERROR(IF(F252="","",IF(AH252="Check Data ⚠","Check Data ⚠",VLOOKUP(AL252, 'G-3 Multipliers'!$P$2:$Q$6,2,FALSE))),"")</f>
        <v/>
      </c>
      <c r="AN252" s="513" t="str">
        <f t="shared" si="36"/>
        <v/>
      </c>
      <c r="AO252" s="239"/>
      <c r="AP252" s="240"/>
    </row>
    <row r="253" spans="1:42" x14ac:dyDescent="0.25">
      <c r="A253" s="47" t="str">
        <f>IF(E253="","",IF(ISNA(VLOOKUP($E253,'A-1 Site Habitat Baseline'!$D$1:$O$258,2,FALSE)),"",(VLOOKUP($E253,'A-1 Site Habitat Baseline'!$D$1:$O$258,2,FALSE))))</f>
        <v/>
      </c>
      <c r="B253" s="47" t="str">
        <f>IF(E253="","",IF(ISNA(VLOOKUP($E253,'A-1 Site Habitat Baseline'!$D$1:$O$258,3,FALSE)),"",(VLOOKUP($E253,'A-1 Site Habitat Baseline'!$D$1:$O$258,3,FALSE))))</f>
        <v/>
      </c>
      <c r="C253" s="47" t="str">
        <f>IFERROR(INDEX('G-8 Condition Look up'!$I$4:$I$130,MATCH(S253,'G-8 Condition Look up'!$A$4:$A$130,0)),"")</f>
        <v/>
      </c>
      <c r="E253" s="531" t="str">
        <f>'A-1 Site Habitat Baseline'!AL252</f>
        <v/>
      </c>
      <c r="F253" s="520" t="str">
        <f>IF(E253="","",IF(ISNA(VLOOKUP($E253,'A-1 Site Habitat Baseline'!$D$1:$O$258,4,FALSE)),"",(VLOOKUP($E253,'A-1 Site Habitat Baseline'!$D$1:$O$258,4,FALSE))))</f>
        <v/>
      </c>
      <c r="G253" s="520" t="str">
        <f>IF(E253="","",IF(ISNA(VLOOKUP($E253,'A-1 Site Habitat Baseline'!$D$1:$O$258,5,FALSE)),"",(VLOOKUP($E253,'A-1 Site Habitat Baseline'!$D$1:$O$258,5,FALSE))))</f>
        <v/>
      </c>
      <c r="H253" s="520" t="str">
        <f>IF(E253="","",IF(ISNA(VLOOKUP($E253,'A-1 Site Habitat Baseline'!$D$1:$O$258,6,FALSE)),"",(VLOOKUP($E253,'A-1 Site Habitat Baseline'!$D$1:$O$258,6,FALSE))))</f>
        <v/>
      </c>
      <c r="I253" s="520" t="str">
        <f>IF(E253="","",IF(ISNA(VLOOKUP($E253,'A-1 Site Habitat Baseline'!$D$1:$O$258,7,FALSE)),"",(VLOOKUP($E253,'A-1 Site Habitat Baseline'!$D$1:$O$258,7,FALSE))))</f>
        <v/>
      </c>
      <c r="J253" s="520" t="str">
        <f>IF(E253="","",IF(ISNA(VLOOKUP($E253,'A-1 Site Habitat Baseline'!$D$1:$O$258,8,FALSE)),"",(VLOOKUP($E253,'A-1 Site Habitat Baseline'!$D$1:$O$258,8,FALSE))))</f>
        <v/>
      </c>
      <c r="K253" s="520" t="str">
        <f>IF(E253="","",IF(ISNA(VLOOKUP($E253,'A-1 Site Habitat Baseline'!$D$1:$O$258,9,FALSE)),"",(VLOOKUP($E253,'A-1 Site Habitat Baseline'!$D$1:$O$258,9,FALSE))))</f>
        <v/>
      </c>
      <c r="L253" s="520" t="str">
        <f>IF(E253="","",IF(ISNA(VLOOKUP($E253,'A-1 Site Habitat Baseline'!$D$1:$O$258,11,FALSE)),"",(VLOOKUP($E253,'A-1 Site Habitat Baseline'!$D$1:$O$258,11,FALSE))))</f>
        <v/>
      </c>
      <c r="M253" s="520" t="str">
        <f>IF(E253="","",IF(ISNA(VLOOKUP($E253,'A-1 Site Habitat Baseline'!$D$1:$O$258,12,FALSE)),"",(VLOOKUP($E253,'A-1 Site Habitat Baseline'!$D$1:$O$258,12,FALSE))))</f>
        <v/>
      </c>
      <c r="N253" s="532" t="str">
        <f>IF(E253="","",IF(ISNA(VLOOKUP($E253,'A-1 Site Habitat Baseline'!$D$1:$X$258,14,FALSE)),"",(VLOOKUP($E253,'A-1 Site Habitat Baseline'!$D$1:$X$258,14,FALSE))))</f>
        <v/>
      </c>
      <c r="O253" s="524" t="str">
        <f>IF(E253="","",IF(ISNA(VLOOKUP($E253,'A-1 Site Habitat Baseline'!$D$1:$X$258,16,FALSE)),"",(VLOOKUP($E253,'A-1 Site Habitat Baseline'!$D$1:$X$258,13,FALSE))))</f>
        <v/>
      </c>
      <c r="P253" s="237" t="str">
        <f>IFERROR(INDEX('G-1 All Habitats'!$AG$3:$AG$15,MATCH(Q253,'G-1 All Habitats'!$AF$3:$AF$15,0)),"")</f>
        <v/>
      </c>
      <c r="Q253" s="238" t="str">
        <f t="shared" si="37"/>
        <v/>
      </c>
      <c r="R253" s="238" t="str">
        <f t="shared" si="38"/>
        <v/>
      </c>
      <c r="S253" s="392" t="str">
        <f>IFERROR(INDEX('G-1 All Habitats'!$B$3:$B$129,MATCH(R253,'G-1 All Habitats'!$A$3:$A$129,0)),"")</f>
        <v/>
      </c>
      <c r="T253" s="498" t="str">
        <f t="shared" si="39"/>
        <v/>
      </c>
      <c r="U253" s="499" t="str">
        <f t="shared" si="40"/>
        <v/>
      </c>
      <c r="V253" s="537" t="str">
        <f t="shared" si="34"/>
        <v/>
      </c>
      <c r="W253" s="520" t="str">
        <f>IF(S253="","",VLOOKUP(S253,'G-1 All Habitats'!$B$2:$M$129,10,FALSE))</f>
        <v/>
      </c>
      <c r="X253" s="520" t="str">
        <f>IFERROR(VLOOKUP(W253,'G-1 All Habitats'!$V$3:$W$7,2,FALSE),"")</f>
        <v/>
      </c>
      <c r="Y253" s="79"/>
      <c r="Z253" s="524" t="str">
        <f>IFERROR(INDEX('G-8 Condition Look up'!$A$3:$H$130,MATCH(S253,'G-8 Condition Look up'!$A$3:$A$130,0),MATCH(Y253,'G-8 Condition Look up'!$A$3:$H$3,0)),"")</f>
        <v/>
      </c>
      <c r="AA253" s="71"/>
      <c r="AB253" s="520" t="str">
        <f>IF(AA253="","",IF(VLOOKUP(AA253,'G-3 Multipliers'!$L$3:$N$6,2,FALSE)=0,"Spatial Data Missing ⚠",VLOOKUP(AA253,'G-3 Multipliers'!$L$3:$N$6,2,FALSE)))</f>
        <v/>
      </c>
      <c r="AC253" s="524" t="str">
        <f>IF(AA253="","",IF(VLOOKUP(AA253,'G-3 Multipliers'!$L$3:$N$6,3,FALSE)=0,"Spatial Data Missing ⚠",VLOOKUP(AA253,'G-3 Multipliers'!$L$3:$N$6,3,FALSE)))</f>
        <v/>
      </c>
      <c r="AD253" s="539" t="str">
        <f t="shared" si="35"/>
        <v/>
      </c>
      <c r="AE253" s="82"/>
      <c r="AF253" s="82"/>
      <c r="AG253" s="507" t="str">
        <f t="shared" si="41"/>
        <v/>
      </c>
      <c r="AH253" s="521" t="str">
        <f t="shared" si="42"/>
        <v/>
      </c>
      <c r="AI253" s="522" t="str">
        <f>IF(AH253="Check Data","Check Data",IFERROR(VLOOKUP(AH253,'G-4 Temporal multipliers'!$A$4:$C$36,3,FALSE),""))</f>
        <v/>
      </c>
      <c r="AJ253" s="498" t="str">
        <f>IF(S253="","",VLOOKUP(S253,'G-3 Multipliers'!$A$2:$E$129,4,FALSE))</f>
        <v/>
      </c>
      <c r="AK253" s="507" t="str">
        <f t="shared" si="43"/>
        <v/>
      </c>
      <c r="AL253" s="507" t="str">
        <f t="shared" si="44"/>
        <v/>
      </c>
      <c r="AM253" s="540" t="str">
        <f>IFERROR(IF(F253="","",IF(AH253="Check Data ⚠","Check Data ⚠",VLOOKUP(AL253, 'G-3 Multipliers'!$P$2:$Q$6,2,FALSE))),"")</f>
        <v/>
      </c>
      <c r="AN253" s="513" t="str">
        <f t="shared" si="36"/>
        <v/>
      </c>
      <c r="AO253" s="239"/>
      <c r="AP253" s="240"/>
    </row>
    <row r="254" spans="1:42" x14ac:dyDescent="0.25">
      <c r="A254" s="47" t="str">
        <f>IF(E254="","",IF(ISNA(VLOOKUP($E254,'A-1 Site Habitat Baseline'!$D$1:$O$258,2,FALSE)),"",(VLOOKUP($E254,'A-1 Site Habitat Baseline'!$D$1:$O$258,2,FALSE))))</f>
        <v/>
      </c>
      <c r="B254" s="47" t="str">
        <f>IF(E254="","",IF(ISNA(VLOOKUP($E254,'A-1 Site Habitat Baseline'!$D$1:$O$258,3,FALSE)),"",(VLOOKUP($E254,'A-1 Site Habitat Baseline'!$D$1:$O$258,3,FALSE))))</f>
        <v/>
      </c>
      <c r="C254" s="47" t="str">
        <f>IFERROR(INDEX('G-8 Condition Look up'!$I$4:$I$130,MATCH(S254,'G-8 Condition Look up'!$A$4:$A$130,0)),"")</f>
        <v/>
      </c>
      <c r="E254" s="531" t="str">
        <f>'A-1 Site Habitat Baseline'!AL253</f>
        <v/>
      </c>
      <c r="F254" s="520" t="str">
        <f>IF(E254="","",IF(ISNA(VLOOKUP($E254,'A-1 Site Habitat Baseline'!$D$1:$O$258,4,FALSE)),"",(VLOOKUP($E254,'A-1 Site Habitat Baseline'!$D$1:$O$258,4,FALSE))))</f>
        <v/>
      </c>
      <c r="G254" s="520" t="str">
        <f>IF(E254="","",IF(ISNA(VLOOKUP($E254,'A-1 Site Habitat Baseline'!$D$1:$O$258,5,FALSE)),"",(VLOOKUP($E254,'A-1 Site Habitat Baseline'!$D$1:$O$258,5,FALSE))))</f>
        <v/>
      </c>
      <c r="H254" s="520" t="str">
        <f>IF(E254="","",IF(ISNA(VLOOKUP($E254,'A-1 Site Habitat Baseline'!$D$1:$O$258,6,FALSE)),"",(VLOOKUP($E254,'A-1 Site Habitat Baseline'!$D$1:$O$258,6,FALSE))))</f>
        <v/>
      </c>
      <c r="I254" s="520" t="str">
        <f>IF(E254="","",IF(ISNA(VLOOKUP($E254,'A-1 Site Habitat Baseline'!$D$1:$O$258,7,FALSE)),"",(VLOOKUP($E254,'A-1 Site Habitat Baseline'!$D$1:$O$258,7,FALSE))))</f>
        <v/>
      </c>
      <c r="J254" s="520" t="str">
        <f>IF(E254="","",IF(ISNA(VLOOKUP($E254,'A-1 Site Habitat Baseline'!$D$1:$O$258,8,FALSE)),"",(VLOOKUP($E254,'A-1 Site Habitat Baseline'!$D$1:$O$258,8,FALSE))))</f>
        <v/>
      </c>
      <c r="K254" s="520" t="str">
        <f>IF(E254="","",IF(ISNA(VLOOKUP($E254,'A-1 Site Habitat Baseline'!$D$1:$O$258,9,FALSE)),"",(VLOOKUP($E254,'A-1 Site Habitat Baseline'!$D$1:$O$258,9,FALSE))))</f>
        <v/>
      </c>
      <c r="L254" s="520" t="str">
        <f>IF(E254="","",IF(ISNA(VLOOKUP($E254,'A-1 Site Habitat Baseline'!$D$1:$O$258,11,FALSE)),"",(VLOOKUP($E254,'A-1 Site Habitat Baseline'!$D$1:$O$258,11,FALSE))))</f>
        <v/>
      </c>
      <c r="M254" s="520" t="str">
        <f>IF(E254="","",IF(ISNA(VLOOKUP($E254,'A-1 Site Habitat Baseline'!$D$1:$O$258,12,FALSE)),"",(VLOOKUP($E254,'A-1 Site Habitat Baseline'!$D$1:$O$258,12,FALSE))))</f>
        <v/>
      </c>
      <c r="N254" s="532" t="str">
        <f>IF(E254="","",IF(ISNA(VLOOKUP($E254,'A-1 Site Habitat Baseline'!$D$1:$X$258,14,FALSE)),"",(VLOOKUP($E254,'A-1 Site Habitat Baseline'!$D$1:$X$258,14,FALSE))))</f>
        <v/>
      </c>
      <c r="O254" s="524" t="str">
        <f>IF(E254="","",IF(ISNA(VLOOKUP($E254,'A-1 Site Habitat Baseline'!$D$1:$X$258,16,FALSE)),"",(VLOOKUP($E254,'A-1 Site Habitat Baseline'!$D$1:$X$258,13,FALSE))))</f>
        <v/>
      </c>
      <c r="P254" s="237" t="str">
        <f>IFERROR(INDEX('G-1 All Habitats'!$AG$3:$AG$15,MATCH(Q254,'G-1 All Habitats'!$AF$3:$AF$15,0)),"")</f>
        <v/>
      </c>
      <c r="Q254" s="238" t="str">
        <f t="shared" si="37"/>
        <v/>
      </c>
      <c r="R254" s="238" t="str">
        <f t="shared" si="38"/>
        <v/>
      </c>
      <c r="S254" s="392" t="str">
        <f>IFERROR(INDEX('G-1 All Habitats'!$B$3:$B$129,MATCH(R254,'G-1 All Habitats'!$A$3:$A$129,0)),"")</f>
        <v/>
      </c>
      <c r="T254" s="498" t="str">
        <f t="shared" si="39"/>
        <v/>
      </c>
      <c r="U254" s="499" t="str">
        <f t="shared" si="40"/>
        <v/>
      </c>
      <c r="V254" s="537" t="str">
        <f t="shared" si="34"/>
        <v/>
      </c>
      <c r="W254" s="520" t="str">
        <f>IF(S254="","",VLOOKUP(S254,'G-1 All Habitats'!$B$2:$M$129,10,FALSE))</f>
        <v/>
      </c>
      <c r="X254" s="520" t="str">
        <f>IFERROR(VLOOKUP(W254,'G-1 All Habitats'!$V$3:$W$7,2,FALSE),"")</f>
        <v/>
      </c>
      <c r="Y254" s="79"/>
      <c r="Z254" s="524" t="str">
        <f>IFERROR(INDEX('G-8 Condition Look up'!$A$3:$H$130,MATCH(S254,'G-8 Condition Look up'!$A$3:$A$130,0),MATCH(Y254,'G-8 Condition Look up'!$A$3:$H$3,0)),"")</f>
        <v/>
      </c>
      <c r="AA254" s="71"/>
      <c r="AB254" s="520" t="str">
        <f>IF(AA254="","",IF(VLOOKUP(AA254,'G-3 Multipliers'!$L$3:$N$6,2,FALSE)=0,"Spatial Data Missing ⚠",VLOOKUP(AA254,'G-3 Multipliers'!$L$3:$N$6,2,FALSE)))</f>
        <v/>
      </c>
      <c r="AC254" s="524" t="str">
        <f>IF(AA254="","",IF(VLOOKUP(AA254,'G-3 Multipliers'!$L$3:$N$6,3,FALSE)=0,"Spatial Data Missing ⚠",VLOOKUP(AA254,'G-3 Multipliers'!$L$3:$N$6,3,FALSE)))</f>
        <v/>
      </c>
      <c r="AD254" s="539" t="str">
        <f t="shared" si="35"/>
        <v/>
      </c>
      <c r="AE254" s="82"/>
      <c r="AF254" s="82"/>
      <c r="AG254" s="507" t="str">
        <f t="shared" si="41"/>
        <v/>
      </c>
      <c r="AH254" s="521" t="str">
        <f t="shared" si="42"/>
        <v/>
      </c>
      <c r="AI254" s="522" t="str">
        <f>IF(AH254="Check Data","Check Data",IFERROR(VLOOKUP(AH254,'G-4 Temporal multipliers'!$A$4:$C$36,3,FALSE),""))</f>
        <v/>
      </c>
      <c r="AJ254" s="498" t="str">
        <f>IF(S254="","",VLOOKUP(S254,'G-3 Multipliers'!$A$2:$E$129,4,FALSE))</f>
        <v/>
      </c>
      <c r="AK254" s="507" t="str">
        <f t="shared" si="43"/>
        <v/>
      </c>
      <c r="AL254" s="507" t="str">
        <f t="shared" si="44"/>
        <v/>
      </c>
      <c r="AM254" s="540" t="str">
        <f>IFERROR(IF(F254="","",IF(AH254="Check Data ⚠","Check Data ⚠",VLOOKUP(AL254, 'G-3 Multipliers'!$P$2:$Q$6,2,FALSE))),"")</f>
        <v/>
      </c>
      <c r="AN254" s="513" t="str">
        <f t="shared" si="36"/>
        <v/>
      </c>
      <c r="AO254" s="239"/>
      <c r="AP254" s="240"/>
    </row>
    <row r="255" spans="1:42" x14ac:dyDescent="0.25">
      <c r="A255" s="47" t="str">
        <f>IF(E255="","",IF(ISNA(VLOOKUP($E255,'A-1 Site Habitat Baseline'!$D$1:$O$258,2,FALSE)),"",(VLOOKUP($E255,'A-1 Site Habitat Baseline'!$D$1:$O$258,2,FALSE))))</f>
        <v/>
      </c>
      <c r="B255" s="47" t="str">
        <f>IF(E255="","",IF(ISNA(VLOOKUP($E255,'A-1 Site Habitat Baseline'!$D$1:$O$258,3,FALSE)),"",(VLOOKUP($E255,'A-1 Site Habitat Baseline'!$D$1:$O$258,3,FALSE))))</f>
        <v/>
      </c>
      <c r="C255" s="47" t="str">
        <f>IFERROR(INDEX('G-8 Condition Look up'!$I$4:$I$130,MATCH(S255,'G-8 Condition Look up'!$A$4:$A$130,0)),"")</f>
        <v/>
      </c>
      <c r="E255" s="531" t="str">
        <f>'A-1 Site Habitat Baseline'!AL254</f>
        <v/>
      </c>
      <c r="F255" s="520" t="str">
        <f>IF(E255="","",IF(ISNA(VLOOKUP($E255,'A-1 Site Habitat Baseline'!$D$1:$O$258,4,FALSE)),"",(VLOOKUP($E255,'A-1 Site Habitat Baseline'!$D$1:$O$258,4,FALSE))))</f>
        <v/>
      </c>
      <c r="G255" s="520" t="str">
        <f>IF(E255="","",IF(ISNA(VLOOKUP($E255,'A-1 Site Habitat Baseline'!$D$1:$O$258,5,FALSE)),"",(VLOOKUP($E255,'A-1 Site Habitat Baseline'!$D$1:$O$258,5,FALSE))))</f>
        <v/>
      </c>
      <c r="H255" s="520" t="str">
        <f>IF(E255="","",IF(ISNA(VLOOKUP($E255,'A-1 Site Habitat Baseline'!$D$1:$O$258,6,FALSE)),"",(VLOOKUP($E255,'A-1 Site Habitat Baseline'!$D$1:$O$258,6,FALSE))))</f>
        <v/>
      </c>
      <c r="I255" s="520" t="str">
        <f>IF(E255="","",IF(ISNA(VLOOKUP($E255,'A-1 Site Habitat Baseline'!$D$1:$O$258,7,FALSE)),"",(VLOOKUP($E255,'A-1 Site Habitat Baseline'!$D$1:$O$258,7,FALSE))))</f>
        <v/>
      </c>
      <c r="J255" s="520" t="str">
        <f>IF(E255="","",IF(ISNA(VLOOKUP($E255,'A-1 Site Habitat Baseline'!$D$1:$O$258,8,FALSE)),"",(VLOOKUP($E255,'A-1 Site Habitat Baseline'!$D$1:$O$258,8,FALSE))))</f>
        <v/>
      </c>
      <c r="K255" s="520" t="str">
        <f>IF(E255="","",IF(ISNA(VLOOKUP($E255,'A-1 Site Habitat Baseline'!$D$1:$O$258,9,FALSE)),"",(VLOOKUP($E255,'A-1 Site Habitat Baseline'!$D$1:$O$258,9,FALSE))))</f>
        <v/>
      </c>
      <c r="L255" s="520" t="str">
        <f>IF(E255="","",IF(ISNA(VLOOKUP($E255,'A-1 Site Habitat Baseline'!$D$1:$O$258,11,FALSE)),"",(VLOOKUP($E255,'A-1 Site Habitat Baseline'!$D$1:$O$258,11,FALSE))))</f>
        <v/>
      </c>
      <c r="M255" s="520" t="str">
        <f>IF(E255="","",IF(ISNA(VLOOKUP($E255,'A-1 Site Habitat Baseline'!$D$1:$O$258,12,FALSE)),"",(VLOOKUP($E255,'A-1 Site Habitat Baseline'!$D$1:$O$258,12,FALSE))))</f>
        <v/>
      </c>
      <c r="N255" s="532" t="str">
        <f>IF(E255="","",IF(ISNA(VLOOKUP($E255,'A-1 Site Habitat Baseline'!$D$1:$X$258,14,FALSE)),"",(VLOOKUP($E255,'A-1 Site Habitat Baseline'!$D$1:$X$258,14,FALSE))))</f>
        <v/>
      </c>
      <c r="O255" s="524" t="str">
        <f>IF(E255="","",IF(ISNA(VLOOKUP($E255,'A-1 Site Habitat Baseline'!$D$1:$X$258,16,FALSE)),"",(VLOOKUP($E255,'A-1 Site Habitat Baseline'!$D$1:$X$258,13,FALSE))))</f>
        <v/>
      </c>
      <c r="P255" s="237" t="str">
        <f>IFERROR(INDEX('G-1 All Habitats'!$AG$3:$AG$15,MATCH(Q255,'G-1 All Habitats'!$AF$3:$AF$15,0)),"")</f>
        <v/>
      </c>
      <c r="Q255" s="238" t="str">
        <f t="shared" si="37"/>
        <v/>
      </c>
      <c r="R255" s="238" t="str">
        <f t="shared" si="38"/>
        <v/>
      </c>
      <c r="S255" s="392" t="str">
        <f>IFERROR(INDEX('G-1 All Habitats'!$B$3:$B$129,MATCH(R255,'G-1 All Habitats'!$A$3:$A$129,0)),"")</f>
        <v/>
      </c>
      <c r="T255" s="498" t="str">
        <f t="shared" si="39"/>
        <v/>
      </c>
      <c r="U255" s="499" t="str">
        <f t="shared" si="40"/>
        <v/>
      </c>
      <c r="V255" s="537" t="str">
        <f t="shared" si="34"/>
        <v/>
      </c>
      <c r="W255" s="520" t="str">
        <f>IF(S255="","",VLOOKUP(S255,'G-1 All Habitats'!$B$2:$M$129,10,FALSE))</f>
        <v/>
      </c>
      <c r="X255" s="520" t="str">
        <f>IFERROR(VLOOKUP(W255,'G-1 All Habitats'!$V$3:$W$7,2,FALSE),"")</f>
        <v/>
      </c>
      <c r="Y255" s="79"/>
      <c r="Z255" s="524" t="str">
        <f>IFERROR(INDEX('G-8 Condition Look up'!$A$3:$H$130,MATCH(S255,'G-8 Condition Look up'!$A$3:$A$130,0),MATCH(Y255,'G-8 Condition Look up'!$A$3:$H$3,0)),"")</f>
        <v/>
      </c>
      <c r="AA255" s="71"/>
      <c r="AB255" s="520" t="str">
        <f>IF(AA255="","",IF(VLOOKUP(AA255,'G-3 Multipliers'!$L$3:$N$6,2,FALSE)=0,"Spatial Data Missing ⚠",VLOOKUP(AA255,'G-3 Multipliers'!$L$3:$N$6,2,FALSE)))</f>
        <v/>
      </c>
      <c r="AC255" s="524" t="str">
        <f>IF(AA255="","",IF(VLOOKUP(AA255,'G-3 Multipliers'!$L$3:$N$6,3,FALSE)=0,"Spatial Data Missing ⚠",VLOOKUP(AA255,'G-3 Multipliers'!$L$3:$N$6,3,FALSE)))</f>
        <v/>
      </c>
      <c r="AD255" s="539" t="str">
        <f t="shared" si="35"/>
        <v/>
      </c>
      <c r="AE255" s="82"/>
      <c r="AF255" s="82"/>
      <c r="AG255" s="507" t="str">
        <f t="shared" si="41"/>
        <v/>
      </c>
      <c r="AH255" s="521" t="str">
        <f t="shared" si="42"/>
        <v/>
      </c>
      <c r="AI255" s="522" t="str">
        <f>IF(AH255="Check Data","Check Data",IFERROR(VLOOKUP(AH255,'G-4 Temporal multipliers'!$A$4:$C$36,3,FALSE),""))</f>
        <v/>
      </c>
      <c r="AJ255" s="498" t="str">
        <f>IF(S255="","",VLOOKUP(S255,'G-3 Multipliers'!$A$2:$E$129,4,FALSE))</f>
        <v/>
      </c>
      <c r="AK255" s="507" t="str">
        <f t="shared" si="43"/>
        <v/>
      </c>
      <c r="AL255" s="507" t="str">
        <f t="shared" si="44"/>
        <v/>
      </c>
      <c r="AM255" s="540" t="str">
        <f>IFERROR(IF(F255="","",IF(AH255="Check Data ⚠","Check Data ⚠",VLOOKUP(AL255, 'G-3 Multipliers'!$P$2:$Q$6,2,FALSE))),"")</f>
        <v/>
      </c>
      <c r="AN255" s="513" t="str">
        <f t="shared" si="36"/>
        <v/>
      </c>
      <c r="AO255" s="239"/>
      <c r="AP255" s="240"/>
    </row>
    <row r="256" spans="1:42" x14ac:dyDescent="0.25">
      <c r="A256" s="47" t="str">
        <f>IF(E256="","",IF(ISNA(VLOOKUP($E256,'A-1 Site Habitat Baseline'!$D$1:$O$258,2,FALSE)),"",(VLOOKUP($E256,'A-1 Site Habitat Baseline'!$D$1:$O$258,2,FALSE))))</f>
        <v/>
      </c>
      <c r="B256" s="47" t="str">
        <f>IF(E256="","",IF(ISNA(VLOOKUP($E256,'A-1 Site Habitat Baseline'!$D$1:$O$258,3,FALSE)),"",(VLOOKUP($E256,'A-1 Site Habitat Baseline'!$D$1:$O$258,3,FALSE))))</f>
        <v/>
      </c>
      <c r="C256" s="47" t="str">
        <f>IFERROR(INDEX('G-8 Condition Look up'!$I$4:$I$130,MATCH(S256,'G-8 Condition Look up'!$A$4:$A$130,0)),"")</f>
        <v/>
      </c>
      <c r="E256" s="531" t="str">
        <f>'A-1 Site Habitat Baseline'!AL255</f>
        <v/>
      </c>
      <c r="F256" s="520" t="str">
        <f>IF(E256="","",IF(ISNA(VLOOKUP($E256,'A-1 Site Habitat Baseline'!$D$1:$O$258,4,FALSE)),"",(VLOOKUP($E256,'A-1 Site Habitat Baseline'!$D$1:$O$258,4,FALSE))))</f>
        <v/>
      </c>
      <c r="G256" s="520" t="str">
        <f>IF(E256="","",IF(ISNA(VLOOKUP($E256,'A-1 Site Habitat Baseline'!$D$1:$O$258,5,FALSE)),"",(VLOOKUP($E256,'A-1 Site Habitat Baseline'!$D$1:$O$258,5,FALSE))))</f>
        <v/>
      </c>
      <c r="H256" s="520" t="str">
        <f>IF(E256="","",IF(ISNA(VLOOKUP($E256,'A-1 Site Habitat Baseline'!$D$1:$O$258,6,FALSE)),"",(VLOOKUP($E256,'A-1 Site Habitat Baseline'!$D$1:$O$258,6,FALSE))))</f>
        <v/>
      </c>
      <c r="I256" s="520" t="str">
        <f>IF(E256="","",IF(ISNA(VLOOKUP($E256,'A-1 Site Habitat Baseline'!$D$1:$O$258,7,FALSE)),"",(VLOOKUP($E256,'A-1 Site Habitat Baseline'!$D$1:$O$258,7,FALSE))))</f>
        <v/>
      </c>
      <c r="J256" s="520" t="str">
        <f>IF(E256="","",IF(ISNA(VLOOKUP($E256,'A-1 Site Habitat Baseline'!$D$1:$O$258,8,FALSE)),"",(VLOOKUP($E256,'A-1 Site Habitat Baseline'!$D$1:$O$258,8,FALSE))))</f>
        <v/>
      </c>
      <c r="K256" s="520" t="str">
        <f>IF(E256="","",IF(ISNA(VLOOKUP($E256,'A-1 Site Habitat Baseline'!$D$1:$O$258,9,FALSE)),"",(VLOOKUP($E256,'A-1 Site Habitat Baseline'!$D$1:$O$258,9,FALSE))))</f>
        <v/>
      </c>
      <c r="L256" s="520" t="str">
        <f>IF(E256="","",IF(ISNA(VLOOKUP($E256,'A-1 Site Habitat Baseline'!$D$1:$O$258,11,FALSE)),"",(VLOOKUP($E256,'A-1 Site Habitat Baseline'!$D$1:$O$258,11,FALSE))))</f>
        <v/>
      </c>
      <c r="M256" s="520" t="str">
        <f>IF(E256="","",IF(ISNA(VLOOKUP($E256,'A-1 Site Habitat Baseline'!$D$1:$O$258,12,FALSE)),"",(VLOOKUP($E256,'A-1 Site Habitat Baseline'!$D$1:$O$258,12,FALSE))))</f>
        <v/>
      </c>
      <c r="N256" s="532" t="str">
        <f>IF(E256="","",IF(ISNA(VLOOKUP($E256,'A-1 Site Habitat Baseline'!$D$1:$X$258,14,FALSE)),"",(VLOOKUP($E256,'A-1 Site Habitat Baseline'!$D$1:$X$258,14,FALSE))))</f>
        <v/>
      </c>
      <c r="O256" s="524" t="str">
        <f>IF(E256="","",IF(ISNA(VLOOKUP($E256,'A-1 Site Habitat Baseline'!$D$1:$X$258,16,FALSE)),"",(VLOOKUP($E256,'A-1 Site Habitat Baseline'!$D$1:$X$258,13,FALSE))))</f>
        <v/>
      </c>
      <c r="P256" s="237" t="str">
        <f>IFERROR(INDEX('G-1 All Habitats'!$AG$3:$AG$15,MATCH(Q256,'G-1 All Habitats'!$AF$3:$AF$15,0)),"")</f>
        <v/>
      </c>
      <c r="Q256" s="238" t="str">
        <f t="shared" si="37"/>
        <v/>
      </c>
      <c r="R256" s="238" t="str">
        <f t="shared" si="38"/>
        <v/>
      </c>
      <c r="S256" s="392" t="str">
        <f>IFERROR(INDEX('G-1 All Habitats'!$B$3:$B$129,MATCH(R256,'G-1 All Habitats'!$A$3:$A$129,0)),"")</f>
        <v/>
      </c>
      <c r="T256" s="498" t="str">
        <f t="shared" si="39"/>
        <v/>
      </c>
      <c r="U256" s="499" t="str">
        <f t="shared" si="40"/>
        <v/>
      </c>
      <c r="V256" s="537" t="str">
        <f t="shared" si="34"/>
        <v/>
      </c>
      <c r="W256" s="520" t="str">
        <f>IF(S256="","",VLOOKUP(S256,'G-1 All Habitats'!$B$2:$M$129,10,FALSE))</f>
        <v/>
      </c>
      <c r="X256" s="520" t="str">
        <f>IFERROR(VLOOKUP(W256,'G-1 All Habitats'!$V$3:$W$7,2,FALSE),"")</f>
        <v/>
      </c>
      <c r="Y256" s="79"/>
      <c r="Z256" s="524" t="str">
        <f>IFERROR(INDEX('G-8 Condition Look up'!$A$3:$H$130,MATCH(S256,'G-8 Condition Look up'!$A$3:$A$130,0),MATCH(Y256,'G-8 Condition Look up'!$A$3:$H$3,0)),"")</f>
        <v/>
      </c>
      <c r="AA256" s="71"/>
      <c r="AB256" s="520" t="str">
        <f>IF(AA256="","",IF(VLOOKUP(AA256,'G-3 Multipliers'!$L$3:$N$6,2,FALSE)=0,"Spatial Data Missing ⚠",VLOOKUP(AA256,'G-3 Multipliers'!$L$3:$N$6,2,FALSE)))</f>
        <v/>
      </c>
      <c r="AC256" s="524" t="str">
        <f>IF(AA256="","",IF(VLOOKUP(AA256,'G-3 Multipliers'!$L$3:$N$6,3,FALSE)=0,"Spatial Data Missing ⚠",VLOOKUP(AA256,'G-3 Multipliers'!$L$3:$N$6,3,FALSE)))</f>
        <v/>
      </c>
      <c r="AD256" s="539" t="str">
        <f t="shared" si="35"/>
        <v/>
      </c>
      <c r="AE256" s="82"/>
      <c r="AF256" s="82"/>
      <c r="AG256" s="507" t="str">
        <f t="shared" si="41"/>
        <v/>
      </c>
      <c r="AH256" s="521" t="str">
        <f t="shared" si="42"/>
        <v/>
      </c>
      <c r="AI256" s="522" t="str">
        <f>IF(AH256="Check Data","Check Data",IFERROR(VLOOKUP(AH256,'G-4 Temporal multipliers'!$A$4:$C$36,3,FALSE),""))</f>
        <v/>
      </c>
      <c r="AJ256" s="498" t="str">
        <f>IF(S256="","",VLOOKUP(S256,'G-3 Multipliers'!$A$2:$E$129,4,FALSE))</f>
        <v/>
      </c>
      <c r="AK256" s="507" t="str">
        <f t="shared" si="43"/>
        <v/>
      </c>
      <c r="AL256" s="507" t="str">
        <f t="shared" si="44"/>
        <v/>
      </c>
      <c r="AM256" s="540" t="str">
        <f>IFERROR(IF(F256="","",IF(AH256="Check Data ⚠","Check Data ⚠",VLOOKUP(AL256, 'G-3 Multipliers'!$P$2:$Q$6,2,FALSE))),"")</f>
        <v/>
      </c>
      <c r="AN256" s="513" t="str">
        <f t="shared" si="36"/>
        <v/>
      </c>
      <c r="AO256" s="239"/>
      <c r="AP256" s="240"/>
    </row>
    <row r="257" spans="1:42" ht="14.4" thickBot="1" x14ac:dyDescent="0.3">
      <c r="A257" s="47" t="str">
        <f>IF(E257="","",IF(ISNA(VLOOKUP($E257,'A-1 Site Habitat Baseline'!$D$1:$O$258,2,FALSE)),"",(VLOOKUP($E257,'A-1 Site Habitat Baseline'!$D$1:$O$258,2,FALSE))))</f>
        <v/>
      </c>
      <c r="B257" s="47" t="str">
        <f>IF(E257="","",IF(ISNA(VLOOKUP($E257,'A-1 Site Habitat Baseline'!$D$1:$O$258,3,FALSE)),"",(VLOOKUP($E257,'A-1 Site Habitat Baseline'!$D$1:$O$258,3,FALSE))))</f>
        <v/>
      </c>
      <c r="C257" s="47" t="str">
        <f>IFERROR(INDEX('G-8 Condition Look up'!$I$4:$I$130,MATCH(S257,'G-8 Condition Look up'!$A$4:$A$130,0)),"")</f>
        <v/>
      </c>
      <c r="E257" s="533" t="str">
        <f>'A-1 Site Habitat Baseline'!AL256</f>
        <v/>
      </c>
      <c r="F257" s="534" t="str">
        <f>IF(E257="","",IF(ISNA(VLOOKUP($E257,'A-1 Site Habitat Baseline'!$D$1:$O$258,4,FALSE)),"",(VLOOKUP($E257,'A-1 Site Habitat Baseline'!$D$1:$O$258,4,FALSE))))</f>
        <v/>
      </c>
      <c r="G257" s="534" t="str">
        <f>IF(E257="","",IF(ISNA(VLOOKUP($E257,'A-1 Site Habitat Baseline'!$D$1:$O$258,5,FALSE)),"",(VLOOKUP($E257,'A-1 Site Habitat Baseline'!$D$1:$O$258,5,FALSE))))</f>
        <v/>
      </c>
      <c r="H257" s="534" t="str">
        <f>IF(E257="","",IF(ISNA(VLOOKUP($E257,'A-1 Site Habitat Baseline'!$D$1:$O$258,6,FALSE)),"",(VLOOKUP($E257,'A-1 Site Habitat Baseline'!$D$1:$O$258,6,FALSE))))</f>
        <v/>
      </c>
      <c r="I257" s="534" t="str">
        <f>IF(E257="","",IF(ISNA(VLOOKUP($E257,'A-1 Site Habitat Baseline'!$D$1:$O$258,7,FALSE)),"",(VLOOKUP($E257,'A-1 Site Habitat Baseline'!$D$1:$O$258,7,FALSE))))</f>
        <v/>
      </c>
      <c r="J257" s="534" t="str">
        <f>IF(E257="","",IF(ISNA(VLOOKUP($E257,'A-1 Site Habitat Baseline'!$D$1:$O$258,8,FALSE)),"",(VLOOKUP($E257,'A-1 Site Habitat Baseline'!$D$1:$O$258,8,FALSE))))</f>
        <v/>
      </c>
      <c r="K257" s="534" t="str">
        <f>IF(E257="","",IF(ISNA(VLOOKUP($E257,'A-1 Site Habitat Baseline'!$D$1:$O$258,9,FALSE)),"",(VLOOKUP($E257,'A-1 Site Habitat Baseline'!$D$1:$O$258,9,FALSE))))</f>
        <v/>
      </c>
      <c r="L257" s="534" t="str">
        <f>IF(E257="","",IF(ISNA(VLOOKUP($E257,'A-1 Site Habitat Baseline'!$D$1:$O$258,11,FALSE)),"",(VLOOKUP($E257,'A-1 Site Habitat Baseline'!$D$1:$O$258,11,FALSE))))</f>
        <v/>
      </c>
      <c r="M257" s="534" t="str">
        <f>IF(E257="","",IF(ISNA(VLOOKUP($E257,'A-1 Site Habitat Baseline'!$D$1:$O$258,12,FALSE)),"",(VLOOKUP($E257,'A-1 Site Habitat Baseline'!$D$1:$O$258,12,FALSE))))</f>
        <v/>
      </c>
      <c r="N257" s="535" t="str">
        <f>IF(E257="","",IF(ISNA(VLOOKUP($E257,'A-1 Site Habitat Baseline'!$D$1:$X$258,14,FALSE)),"",(VLOOKUP($E257,'A-1 Site Habitat Baseline'!$D$1:$X$258,14,FALSE))))</f>
        <v/>
      </c>
      <c r="O257" s="536" t="str">
        <f>IF(E257="","",IF(ISNA(VLOOKUP($E257,'A-1 Site Habitat Baseline'!$D$1:$X$258,16,FALSE)),"",(VLOOKUP($E257,'A-1 Site Habitat Baseline'!$D$1:$X$258,13,FALSE))))</f>
        <v/>
      </c>
      <c r="P257" s="431" t="str">
        <f>IFERROR(INDEX('G-1 All Habitats'!$AG$3:$AG$15,MATCH(Q257,'G-1 All Habitats'!$AF$3:$AF$15,0)),"")</f>
        <v/>
      </c>
      <c r="Q257" s="432" t="str">
        <f t="shared" si="37"/>
        <v/>
      </c>
      <c r="R257" s="238" t="str">
        <f t="shared" si="38"/>
        <v/>
      </c>
      <c r="S257" s="433" t="str">
        <f>IFERROR(INDEX('G-1 All Habitats'!$B$3:$B$129,MATCH(R257,'G-1 All Habitats'!$A$3:$A$129,0)),"")</f>
        <v/>
      </c>
      <c r="T257" s="498" t="str">
        <f>IF(E257="","",IF(AND(LEFT(O257,6)="Same d",I257&gt;X257),"Error - Trading rules not satisfied ▲",IF(AND(LEFT(O257,6)="Same b",AND(LEFT(F257,5)&lt;&gt;LEFT(S257,5),I257&gt;X257)),"Error - Trading rules not satisfied ▲",IF(AND(LEFT(O257,6)="Same h",F257&lt;&gt;S257),"Error - Trading rules not satisfied ▲",IF(AND(LEFT(O257,6)="Bespok",F257&lt;&gt;S257),"Error - Trading rules not satisfied ▲",IF(X257&lt;I257,"Error Trading Down ▲",H257&amp;" - "&amp;W257))))))</f>
        <v/>
      </c>
      <c r="U257" s="499" t="str">
        <f t="shared" si="40"/>
        <v/>
      </c>
      <c r="V257" s="538" t="str">
        <f t="shared" si="34"/>
        <v/>
      </c>
      <c r="W257" s="534" t="str">
        <f>IF(S257="","",VLOOKUP(S257,'G-1 All Habitats'!$B$2:$M$129,10,FALSE))</f>
        <v/>
      </c>
      <c r="X257" s="534" t="str">
        <f>IFERROR(VLOOKUP(W257,'G-1 All Habitats'!$V$3:$W$7,2,FALSE),"")</f>
        <v/>
      </c>
      <c r="Y257" s="341"/>
      <c r="Z257" s="536" t="str">
        <f>IFERROR(INDEX('G-8 Condition Look up'!$A$3:$H$130,MATCH(S257,'G-8 Condition Look up'!$A$3:$A$130,0),MATCH(Y257,'G-8 Condition Look up'!$A$3:$H$3,0)),"")</f>
        <v/>
      </c>
      <c r="AA257" s="434"/>
      <c r="AB257" s="520" t="str">
        <f>IF(AA257="","",IF(VLOOKUP(AA257,'G-3 Multipliers'!$L$3:$N$6,2,FALSE)=0,"Spatial Data Missing ⚠",VLOOKUP(AA257,'G-3 Multipliers'!$L$3:$N$6,2,FALSE)))</f>
        <v/>
      </c>
      <c r="AC257" s="536" t="str">
        <f>IF(AA257="","",IF(VLOOKUP(AA257,'G-3 Multipliers'!$L$3:$N$6,3,FALSE)=0,"Spatial Data Missing ⚠",VLOOKUP(AA257,'G-3 Multipliers'!$L$3:$N$6,3,FALSE)))</f>
        <v/>
      </c>
      <c r="AD257" s="539" t="str">
        <f t="shared" si="35"/>
        <v/>
      </c>
      <c r="AE257" s="341"/>
      <c r="AF257" s="341"/>
      <c r="AG257" s="507" t="str">
        <f t="shared" si="41"/>
        <v/>
      </c>
      <c r="AH257" s="521" t="str">
        <f t="shared" si="42"/>
        <v/>
      </c>
      <c r="AI257" s="541" t="str">
        <f>IF(AH257="Check Data","Check Data",IFERROR(VLOOKUP(AH257,'G-4 Temporal multipliers'!$A$4:$C$36,3,FALSE),""))</f>
        <v/>
      </c>
      <c r="AJ257" s="538" t="str">
        <f>IF(S257="","",VLOOKUP(S257,'G-3 Multipliers'!$A$2:$E$129,4,FALSE))</f>
        <v/>
      </c>
      <c r="AK257" s="507" t="str">
        <f t="shared" si="43"/>
        <v/>
      </c>
      <c r="AL257" s="507" t="str">
        <f t="shared" si="44"/>
        <v/>
      </c>
      <c r="AM257" s="540" t="str">
        <f>IFERROR(IF(F257="","",IF(AH257="Check Data ⚠","Check Data ⚠",VLOOKUP(AL257, 'G-3 Multipliers'!$P$2:$Q$6,2,FALSE))),"")</f>
        <v/>
      </c>
      <c r="AN257" s="542" t="str">
        <f t="shared" si="36"/>
        <v/>
      </c>
      <c r="AO257" s="429"/>
      <c r="AP257" s="435"/>
    </row>
    <row r="258" spans="1:42" ht="14.4" thickBot="1" x14ac:dyDescent="0.3">
      <c r="E258" s="430"/>
      <c r="F258" s="430"/>
      <c r="G258" s="430"/>
      <c r="H258" s="430"/>
      <c r="I258" s="430"/>
      <c r="J258" s="430"/>
      <c r="K258" s="430"/>
      <c r="L258" s="430"/>
      <c r="M258" s="430"/>
      <c r="N258" s="430"/>
      <c r="O258" s="430"/>
      <c r="P258" s="430"/>
      <c r="Q258" s="430"/>
      <c r="R258" s="430"/>
      <c r="S258" s="430"/>
      <c r="T258" s="430"/>
      <c r="U258" s="277"/>
      <c r="V258" s="503">
        <f>SUM(V12:V257)</f>
        <v>0</v>
      </c>
      <c r="W258" s="430"/>
      <c r="X258" s="430"/>
      <c r="Y258" s="430"/>
      <c r="Z258" s="430"/>
      <c r="AA258" s="430"/>
      <c r="AB258" s="430"/>
      <c r="AC258" s="430"/>
      <c r="AD258" s="430"/>
      <c r="AE258" s="430"/>
      <c r="AF258" s="430"/>
      <c r="AG258" s="430"/>
      <c r="AH258" s="430"/>
      <c r="AI258" s="430"/>
      <c r="AJ258" s="430"/>
      <c r="AK258" s="430"/>
      <c r="AL258" s="430"/>
      <c r="AM258" s="277"/>
      <c r="AN258" s="503">
        <f>(SUM(AN12:AN257))</f>
        <v>0</v>
      </c>
      <c r="AO258" s="430"/>
      <c r="AP258" s="430"/>
    </row>
    <row r="259" spans="1:42" ht="17.399999999999999" x14ac:dyDescent="0.3">
      <c r="V259" s="922" t="str">
        <f>IF(V258&lt;&gt;'A-1 Site Habitat Baseline'!T259,"Error - Area of habitat enhancement must match the area from sheet A1 ▲","")</f>
        <v/>
      </c>
      <c r="W259" s="922"/>
      <c r="X259" s="922"/>
      <c r="Y259" s="922"/>
      <c r="Z259" s="922"/>
      <c r="AA259" s="922"/>
    </row>
    <row r="260" spans="1:42" x14ac:dyDescent="0.25"/>
    <row r="261" spans="1:42" x14ac:dyDescent="0.25"/>
    <row r="262" spans="1:42" x14ac:dyDescent="0.25"/>
    <row r="263" spans="1:42" x14ac:dyDescent="0.25"/>
    <row r="264" spans="1:42" x14ac:dyDescent="0.25"/>
    <row r="265" spans="1:42" x14ac:dyDescent="0.25"/>
    <row r="266" spans="1:42" x14ac:dyDescent="0.25"/>
  </sheetData>
  <sheetProtection algorithmName="SHA-512" hashValue="qdKEl0WQgmHHTfjygEoSn+VrYjmto566Grhl0jMM7h5XKnAR+mJ3HWCAuQl/5Wjx9gCNOWFxFJc+SqwJ/42cDg==" saltValue="PPSTPbbFmWwW8fSoUhSrZA=="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AO10:AP10"/>
    <mergeCell ref="F10:O10"/>
    <mergeCell ref="AA10:AC10"/>
    <mergeCell ref="V10:V11"/>
    <mergeCell ref="AN10:AN11"/>
    <mergeCell ref="Z10:Z11"/>
    <mergeCell ref="Y10:Y11"/>
    <mergeCell ref="X10:X11"/>
    <mergeCell ref="W10:W11"/>
    <mergeCell ref="AD10:AI10"/>
    <mergeCell ref="V259:AA259"/>
    <mergeCell ref="Q9:AM9"/>
    <mergeCell ref="AJ10:AM10"/>
    <mergeCell ref="E2:G2"/>
    <mergeCell ref="E3:G4"/>
    <mergeCell ref="Q10:R10"/>
    <mergeCell ref="T10:U10"/>
    <mergeCell ref="AD5:AI6"/>
    <mergeCell ref="AD2:AI3"/>
  </mergeCells>
  <conditionalFormatting sqref="Z12">
    <cfRule type="cellIs" dxfId="247" priority="32" operator="equal">
      <formula>"Not Possible"</formula>
    </cfRule>
  </conditionalFormatting>
  <conditionalFormatting sqref="Z13:Z257">
    <cfRule type="cellIs" dxfId="246" priority="25" operator="equal">
      <formula>"Not Possible"</formula>
    </cfRule>
  </conditionalFormatting>
  <conditionalFormatting sqref="AN12:AN257">
    <cfRule type="containsText" dxfId="245" priority="23" operator="containsText" text="Existing Value Not Required">
      <formula>NOT(ISERROR(SEARCH("Existing Value Not Required",AN12)))</formula>
    </cfRule>
    <cfRule type="containsText" dxfId="244" priority="24" operator="containsText" text="Existing Value Required">
      <formula>NOT(ISERROR(SEARCH("Existing Value Required",AN12)))</formula>
    </cfRule>
  </conditionalFormatting>
  <conditionalFormatting sqref="AN256:AN257">
    <cfRule type="containsText" dxfId="243" priority="21" operator="containsText" text="Existing Value Not Required">
      <formula>NOT(ISERROR(SEARCH("Existing Value Not Required",AN256)))</formula>
    </cfRule>
    <cfRule type="containsText" dxfId="242" priority="22" operator="containsText" text="Existing Value Required">
      <formula>NOT(ISERROR(SEARCH("Existing Value Required",AN256)))</formula>
    </cfRule>
  </conditionalFormatting>
  <conditionalFormatting sqref="AD2">
    <cfRule type="containsText" dxfId="241" priority="20" operator="containsText" text="Note">
      <formula>NOT(ISERROR(SEARCH("Note",AD2)))</formula>
    </cfRule>
  </conditionalFormatting>
  <conditionalFormatting sqref="T12:T257">
    <cfRule type="containsText" dxfId="240" priority="19" operator="containsText" text="Error">
      <formula>NOT(ISERROR(SEARCH("Error",T12)))</formula>
    </cfRule>
  </conditionalFormatting>
  <conditionalFormatting sqref="U12:U258">
    <cfRule type="containsText" dxfId="239" priority="18" operator="containsText" text="Error">
      <formula>NOT(ISERROR(SEARCH("Error",U12)))</formula>
    </cfRule>
  </conditionalFormatting>
  <conditionalFormatting sqref="AB12:AB257">
    <cfRule type="containsText" dxfId="238" priority="17" operator="containsText" text="Spatial">
      <formula>NOT(ISERROR(SEARCH("Spatial",AB12)))</formula>
    </cfRule>
  </conditionalFormatting>
  <conditionalFormatting sqref="AC12:AC257">
    <cfRule type="containsText" dxfId="237" priority="16" operator="containsText" text="Spatial">
      <formula>NOT(ISERROR(SEARCH("Spatial",AC12)))</formula>
    </cfRule>
  </conditionalFormatting>
  <conditionalFormatting sqref="AD12:AD257">
    <cfRule type="containsText" dxfId="236" priority="15" operator="containsText" text="Check Data">
      <formula>NOT(ISERROR(SEARCH("Check Data",AD12)))</formula>
    </cfRule>
  </conditionalFormatting>
  <conditionalFormatting sqref="AG12:AG257">
    <cfRule type="containsText" dxfId="235" priority="13" operator="containsText" text="Error">
      <formula>NOT(ISERROR(SEARCH("Error",AG12)))</formula>
    </cfRule>
    <cfRule type="containsText" dxfId="234" priority="14" operator="containsText" text="Check">
      <formula>NOT(ISERROR(SEARCH("Check",AG12)))</formula>
    </cfRule>
  </conditionalFormatting>
  <conditionalFormatting sqref="AH12:AH257">
    <cfRule type="containsText" dxfId="233" priority="11" operator="containsText" text="Check Data ⚠">
      <formula>NOT(ISERROR(SEARCH("Check Data ⚠",AH12)))</formula>
    </cfRule>
    <cfRule type="containsText" dxfId="232" priority="12" operator="containsText" text="Error ▲">
      <formula>NOT(ISERROR(SEARCH("Error ▲",AH12)))</formula>
    </cfRule>
  </conditionalFormatting>
  <conditionalFormatting sqref="AI12:AI257">
    <cfRule type="containsText" dxfId="231" priority="9" operator="containsText" text="Check Data ⚠">
      <formula>NOT(ISERROR(SEARCH("Check Data ⚠",AI12)))</formula>
    </cfRule>
  </conditionalFormatting>
  <conditionalFormatting sqref="AK12:AK257">
    <cfRule type="containsText" dxfId="230" priority="8"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229" priority="7" operator="containsText" text="Check Data ⚠">
      <formula>NOT(ISERROR(SEARCH("Check Data ⚠",AM12)))</formula>
    </cfRule>
  </conditionalFormatting>
  <conditionalFormatting sqref="O12:O257">
    <cfRule type="beginsWith" dxfId="228" priority="3" operator="beginsWith" text="Bespoke">
      <formula>LEFT(O12,LEN("Bespoke"))="Bespoke"</formula>
    </cfRule>
    <cfRule type="beginsWith" dxfId="227" priority="4" operator="beginsWith" text="Same distinctiveness">
      <formula>LEFT(O12,LEN("Same distinctiveness"))="Same distinctiveness"</formula>
    </cfRule>
    <cfRule type="beginsWith" dxfId="226" priority="5" operator="beginsWith" text="Same broad">
      <formula>LEFT(O12,LEN("Same broad"))="Same broad"</formula>
    </cfRule>
    <cfRule type="beginsWith" dxfId="225" priority="6" operator="beginsWith" text="Same Habitat">
      <formula>LEFT(O12,LEN("Same Habitat"))="Same Habitat"</formula>
    </cfRule>
  </conditionalFormatting>
  <conditionalFormatting sqref="V259:AA259">
    <cfRule type="containsText" dxfId="224" priority="2" operator="containsText" text="Error">
      <formula>NOT(ISERROR(SEARCH("Error",V259)))</formula>
    </cfRule>
  </conditionalFormatting>
  <conditionalFormatting sqref="AD5">
    <cfRule type="containsText" dxfId="223" priority="1" operator="containsText" text="Change">
      <formula>NOT(ISERROR(SEARCH("Change",AD5)))</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ignoredErrors>
    <ignoredError sqref="V258"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10"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multipliers'!$A$41:$A$72</xm:f>
          </x14:formula1>
          <xm:sqref>AE12:AF257</xm:sqref>
        </x14:dataValidation>
        <x14:dataValidation type="list" allowBlank="1" showInputMessage="1" showErrorMessage="1" xr:uid="{00000000-0002-0000-0D00-000005000000}">
          <x14:formula1>
            <xm:f>'G-1 All Habitats'!$AF$3:$AF$15</xm:f>
          </x14:formula1>
          <xm:sqref>Q12:Q257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AQ271"/>
  <sheetViews>
    <sheetView showGridLines="0" showRowColHeaders="0" topLeftCell="D1" zoomScaleNormal="100" workbookViewId="0">
      <pane ySplit="10" topLeftCell="A11" activePane="bottomLeft" state="frozen"/>
      <selection activeCell="S28" sqref="S28"/>
      <selection pane="bottomLeft"/>
    </sheetView>
  </sheetViews>
  <sheetFormatPr defaultColWidth="0" defaultRowHeight="13.8" zeroHeight="1" x14ac:dyDescent="0.25"/>
  <cols>
    <col min="1" max="1" width="3.6640625" style="31" hidden="1" customWidth="1"/>
    <col min="2" max="2" width="24.44140625" style="31" hidden="1" customWidth="1"/>
    <col min="3" max="3" width="39.33203125" style="31" hidden="1" customWidth="1"/>
    <col min="4" max="4" width="10.44140625" style="31" customWidth="1"/>
    <col min="5" max="5" width="22.109375" style="31" customWidth="1"/>
    <col min="6" max="6" width="70.109375" style="31" customWidth="1"/>
    <col min="7" max="7" width="76.88671875" style="31" hidden="1" customWidth="1"/>
    <col min="8" max="8" width="12.109375" style="31" customWidth="1"/>
    <col min="9" max="9" width="17.6640625" style="31" customWidth="1"/>
    <col min="10" max="10" width="7.88671875" style="31" hidden="1" customWidth="1"/>
    <col min="11" max="11" width="14.33203125" style="31" customWidth="1"/>
    <col min="12" max="12" width="9.6640625" style="31" hidden="1" customWidth="1"/>
    <col min="13" max="13" width="41.6640625" style="31" customWidth="1"/>
    <col min="14" max="14" width="20.44140625" style="31" hidden="1" customWidth="1"/>
    <col min="15" max="15" width="13.109375" style="31" hidden="1" customWidth="1"/>
    <col min="16" max="16" width="30.44140625" style="31" customWidth="1"/>
    <col min="17" max="17" width="13.44140625" style="31" customWidth="1"/>
    <col min="18" max="18" width="3.6640625" style="31" customWidth="1"/>
    <col min="19" max="19" width="11.5546875" style="31" customWidth="1"/>
    <col min="20" max="20" width="12.109375" style="31" customWidth="1"/>
    <col min="21" max="21" width="10.109375" style="31" customWidth="1"/>
    <col min="22" max="22" width="13" style="31" customWidth="1"/>
    <col min="23" max="23" width="13.109375" style="31" customWidth="1"/>
    <col min="24" max="24" width="15.5546875" style="31" customWidth="1"/>
    <col min="25" max="25" width="16.88671875" style="31" customWidth="1"/>
    <col min="26" max="27" width="50.109375" style="31" customWidth="1"/>
    <col min="28" max="28" width="8.88671875" style="31" customWidth="1"/>
    <col min="29" max="31" width="8.88671875" style="31" hidden="1" customWidth="1"/>
    <col min="32" max="32" width="14.33203125" style="31" hidden="1" customWidth="1"/>
    <col min="33" max="16384" width="8.88671875" style="31" hidden="1"/>
  </cols>
  <sheetData>
    <row r="1" spans="1:43" ht="12.75" customHeight="1" thickBot="1" x14ac:dyDescent="0.3"/>
    <row r="2" spans="1:43" ht="19.5" customHeight="1" thickBot="1" x14ac:dyDescent="0.3">
      <c r="D2" s="947" t="str">
        <f>IF(Start!F12="","",Start!F12)</f>
        <v>Land at Doncaster Road, Goldthorpe, Rotherham</v>
      </c>
      <c r="E2" s="948"/>
      <c r="F2" s="949"/>
    </row>
    <row r="3" spans="1:43" ht="15" customHeight="1" x14ac:dyDescent="0.25">
      <c r="D3" s="941" t="str">
        <f ca="1">MID(CELL("filename",C1),FIND("]",CELL("filename",C1))+1,256)</f>
        <v>D-1 Off Site Habitat Baseline</v>
      </c>
      <c r="E3" s="942"/>
      <c r="F3" s="943"/>
    </row>
    <row r="4" spans="1:43" ht="19.95" customHeight="1" thickBot="1" x14ac:dyDescent="0.3">
      <c r="D4" s="944"/>
      <c r="E4" s="945"/>
      <c r="F4" s="946"/>
    </row>
    <row r="5" spans="1:43" ht="24" customHeight="1" x14ac:dyDescent="0.25"/>
    <row r="6" spans="1:43" ht="15.75" customHeight="1" x14ac:dyDescent="0.25"/>
    <row r="7" spans="1:43" ht="16.2" customHeight="1" x14ac:dyDescent="0.25">
      <c r="D7" s="132"/>
      <c r="E7" s="132"/>
      <c r="F7" s="132"/>
      <c r="M7" s="131"/>
    </row>
    <row r="8" spans="1:43" ht="22.95" customHeight="1" thickBot="1" x14ac:dyDescent="0.3">
      <c r="D8" s="132"/>
      <c r="E8" s="132"/>
      <c r="F8" s="132"/>
    </row>
    <row r="9" spans="1:43" s="42" customFormat="1" ht="30" customHeight="1" thickBot="1" x14ac:dyDescent="0.3">
      <c r="D9" s="247"/>
      <c r="E9" s="939" t="s">
        <v>188</v>
      </c>
      <c r="F9" s="939"/>
      <c r="G9" s="939"/>
      <c r="H9" s="939"/>
      <c r="I9" s="939" t="s">
        <v>272</v>
      </c>
      <c r="J9" s="939"/>
      <c r="K9" s="939" t="s">
        <v>273</v>
      </c>
      <c r="L9" s="939"/>
      <c r="M9" s="939" t="s">
        <v>191</v>
      </c>
      <c r="N9" s="939"/>
      <c r="O9" s="939"/>
      <c r="P9" s="939" t="s">
        <v>192</v>
      </c>
      <c r="Q9" s="133" t="s">
        <v>193</v>
      </c>
      <c r="R9" s="138"/>
      <c r="S9" s="939" t="s">
        <v>194</v>
      </c>
      <c r="T9" s="939"/>
      <c r="U9" s="939"/>
      <c r="V9" s="939"/>
      <c r="W9" s="939"/>
      <c r="X9" s="939"/>
      <c r="Y9" s="939" t="s">
        <v>195</v>
      </c>
      <c r="Z9" s="939" t="s">
        <v>196</v>
      </c>
      <c r="AA9" s="939"/>
      <c r="AC9" s="42" t="s">
        <v>187</v>
      </c>
      <c r="AD9" s="42" t="s">
        <v>187</v>
      </c>
      <c r="AF9" s="248" t="s">
        <v>197</v>
      </c>
      <c r="AG9" s="248"/>
      <c r="AH9" s="248"/>
      <c r="AI9" s="248"/>
      <c r="AJ9" s="248"/>
      <c r="AK9" s="248" t="s">
        <v>198</v>
      </c>
      <c r="AL9" s="156"/>
      <c r="AM9" s="156"/>
      <c r="AN9" s="156"/>
    </row>
    <row r="10" spans="1:43" ht="57" customHeight="1" thickBot="1" x14ac:dyDescent="0.3">
      <c r="B10" s="131" t="s">
        <v>200</v>
      </c>
      <c r="D10" s="135" t="s">
        <v>254</v>
      </c>
      <c r="E10" s="136" t="s">
        <v>274</v>
      </c>
      <c r="F10" s="136" t="s">
        <v>275</v>
      </c>
      <c r="G10" s="136" t="s">
        <v>204</v>
      </c>
      <c r="H10" s="137" t="s">
        <v>205</v>
      </c>
      <c r="I10" s="135" t="s">
        <v>189</v>
      </c>
      <c r="J10" s="137" t="s">
        <v>206</v>
      </c>
      <c r="K10" s="135" t="s">
        <v>190</v>
      </c>
      <c r="L10" s="137" t="s">
        <v>206</v>
      </c>
      <c r="M10" s="135" t="s">
        <v>191</v>
      </c>
      <c r="N10" s="136" t="s">
        <v>191</v>
      </c>
      <c r="O10" s="137" t="s">
        <v>231</v>
      </c>
      <c r="P10" s="940"/>
      <c r="Q10" s="167" t="s">
        <v>208</v>
      </c>
      <c r="R10" s="138"/>
      <c r="S10" s="135" t="s">
        <v>209</v>
      </c>
      <c r="T10" s="136" t="s">
        <v>210</v>
      </c>
      <c r="U10" s="136" t="s">
        <v>211</v>
      </c>
      <c r="V10" s="136" t="s">
        <v>212</v>
      </c>
      <c r="W10" s="136" t="s">
        <v>276</v>
      </c>
      <c r="X10" s="137" t="s">
        <v>214</v>
      </c>
      <c r="Y10" s="940"/>
      <c r="Z10" s="135" t="s">
        <v>215</v>
      </c>
      <c r="AA10" s="370" t="s">
        <v>216</v>
      </c>
      <c r="AC10" s="249" t="s">
        <v>217</v>
      </c>
      <c r="AD10" s="249" t="s">
        <v>277</v>
      </c>
      <c r="AE10" s="42"/>
      <c r="AF10" s="156" t="s">
        <v>219</v>
      </c>
      <c r="AG10" s="156" t="s">
        <v>220</v>
      </c>
      <c r="AH10" s="156" t="s">
        <v>221</v>
      </c>
      <c r="AI10" s="156" t="s">
        <v>222</v>
      </c>
      <c r="AJ10" s="156"/>
      <c r="AK10" s="156" t="s">
        <v>219</v>
      </c>
      <c r="AL10" s="156" t="s">
        <v>220</v>
      </c>
      <c r="AM10" s="156" t="s">
        <v>221</v>
      </c>
      <c r="AN10" s="156"/>
      <c r="AQ10" s="31" t="s">
        <v>199</v>
      </c>
    </row>
    <row r="11" spans="1:43" x14ac:dyDescent="0.25">
      <c r="A11" s="31" t="str">
        <f>IFERROR(INDEX('G-1 All Habitats'!$AG$3:$AG$15,MATCH(E11,'G-1 All Habitats'!$AF$3:$AF$15,0)),"")</f>
        <v/>
      </c>
      <c r="B11" s="31" t="str">
        <f>IFERROR(INDEX('G-8 Condition Look up'!$I$4:$I$130,MATCH(G11,'G-8 Condition Look up'!$A$4:$A$130,0)),"")</f>
        <v/>
      </c>
      <c r="D11" s="368">
        <v>1</v>
      </c>
      <c r="E11" s="377"/>
      <c r="F11" s="377"/>
      <c r="G11" s="378" t="str">
        <f>IFERROR(INDEX('G-1 All Habitats'!$B$3:$B$129,MATCH(F11,'G-1 All Habitats'!$A$3:$A$129,0)),"")</f>
        <v/>
      </c>
      <c r="H11" s="172"/>
      <c r="I11" s="498" t="str">
        <f>IF(G11="","",VLOOKUP(G11,'G-1 All Habitats'!$B$2:$M$129,10,FALSE))</f>
        <v/>
      </c>
      <c r="J11" s="499" t="str">
        <f>IFERROR(VLOOKUP(I11,'G-1 All Habitats'!$V$3:$W$7,2,FALSE),"")</f>
        <v/>
      </c>
      <c r="K11" s="145"/>
      <c r="L11" s="499" t="str">
        <f>IFERROR(INDEX('G-8 Condition Look up'!$A$3:$H$130,MATCH(G11,'G-8 Condition Look up'!$A$3:$A$130,0),MATCH(K11,'G-8 Condition Look up'!$A$3:$H$3,0)),"")</f>
        <v/>
      </c>
      <c r="M11" s="154"/>
      <c r="N11" s="520" t="str">
        <f>IF(M11="","",IF(VLOOKUP(M11,'G-3 Multipliers'!$L$3:$N$6,2,FALSE)=0,"Spatial Data Missing ⚠",VLOOKUP(M11,'G-3 Multipliers'!$L$3:$N$6,2,FALSE)))</f>
        <v/>
      </c>
      <c r="O11" s="524" t="str">
        <f>IF(M11="","",IF(VLOOKUP(M11,'G-3 Multipliers'!$L$3:$N$6,3,FALSE)=0,"Spatial Data Missing ⚠",VLOOKUP(M11,'G-3 Multipliers'!$L$3:$N$6,3,FALSE)))</f>
        <v/>
      </c>
      <c r="P11" s="506" t="str">
        <f>IFERROR(VLOOKUP(G11,'G-1 All Habitats'!$B$2:$M$129,12,FALSE),"")</f>
        <v/>
      </c>
      <c r="Q11" s="513" t="str">
        <f>IFERROR(IF(P11="","",IF(AND(P11='G-1 All Habitats'!$X$3,T11&gt;0),U11+V11,IF(AND(P11='G-1 All Habitats'!$X$3,S11&gt;0),U11+V11,IF(AND(P11='G-1 All Habitats'!$X$3,AC11&gt;0),"Any Loss Unacceptable",IF(AND(P11='G-1 All Habitats'!$X$3,W11&gt;0),"Any Loss Unacceptable",H11*J11*L11*O11))))),"Check Data ⚠")</f>
        <v/>
      </c>
      <c r="R11" s="50"/>
      <c r="S11" s="71"/>
      <c r="T11" s="72"/>
      <c r="U11" s="511" t="str">
        <f>IFERROR(S11*J11*L11*O11,"")</f>
        <v/>
      </c>
      <c r="V11" s="511" t="str">
        <f>IFERROR(T11*J11*L11*O11,"")</f>
        <v/>
      </c>
      <c r="W11" s="511" t="str">
        <f>IF(E11="","",IF(H11&lt;S11+T11,"Error in Areas ▲",IF(P11&lt;&gt;'G-1 All Habitats'!$X$3,H11-S11-T11,IF(AND(P11='G-1 All Habitats'!$X$3,Y11="Yes"),"Unacceptable Loss ▲",IF(AND(P11='G-1 All Habitats'!$X$3,Y11="No"),AC11,IF(AND(P11='G-1 All Habitats'!$X$3,Y11=""),AC11,IF(AND(P11='G-1 All Habitats'!$X$3,AC11="None",AC11),IF(AND(P11='G-1 All Habitats'!$X$3,AC11&gt;0),H11-S11-T11))))))))</f>
        <v/>
      </c>
      <c r="X11" s="545" t="str">
        <f>IFERROR(IF(H11="","",IF(H11-S11-T11=0&lt;0,"Error in Areas ▲",IF(S11+T11&gt;H11,"Error in Areas ▲",IF(AND(P11='G-1 All Habitats'!$X$3,Y11="Yes"),"Alternative Compensation",IF(W11=0,0,IF(P11='G-1 All Habitats'!$X$3,"Unacceptable Loss",Q11-U11-V11)))))),"Check Data ⚠")</f>
        <v/>
      </c>
      <c r="Y11" s="72"/>
      <c r="Z11" s="149"/>
      <c r="AA11" s="150"/>
      <c r="AC11" s="251" t="str">
        <f>IF(P11="","",IF(P11='G-1 All Habitats'!$X$3,H11-S11-T11,"None"))</f>
        <v/>
      </c>
      <c r="AD11" s="252" t="str">
        <f>IFERROR(AC11*J11*L11*O11,IF(P11="","","None"))</f>
        <v/>
      </c>
      <c r="AF11" s="156" t="str">
        <f t="shared" ref="AF11:AF74" si="0">IF(G11="","",IF(S11&gt;0,TRUE,FALSE))</f>
        <v/>
      </c>
      <c r="AG11" s="156" t="str">
        <f t="shared" ref="AG11:AG74" si="1">IF(H11="","",IF(T11&gt;0,TRUE,FALSE))</f>
        <v/>
      </c>
      <c r="AH11" s="156" t="str">
        <f>IF(I11="","",IF(#REF!&gt;0,TRUE,FALSE))</f>
        <v/>
      </c>
      <c r="AI11" s="156">
        <v>1</v>
      </c>
      <c r="AJ11" s="156"/>
      <c r="AK11" s="156" t="str">
        <f t="array" ref="AK11">IFERROR(INDEX($AI$11:$AI$259, MATCH(0, IF(TRUE=$AF$11:$AF$259, COUNTIF($AK$10:$AK10, $AI$11:$AI$259), ""), 0)),"")</f>
        <v/>
      </c>
      <c r="AL11" s="156" t="str">
        <f t="array" ref="AL11">IFERROR(INDEX($AI$11:$AI$259, MATCH(0, IF(TRUE=$AG$11:$AG$259, COUNTIF($AL$10:$AL10, $AI$11:$AI$259), ""), 0)),"")</f>
        <v/>
      </c>
      <c r="AM11" s="156" t="str">
        <f t="array" ref="AM11">IFERROR(INDEX($AI$11:$AI$259, MATCH(0, IF(TRUE=$AH$11:$AH$259, COUNTIF($AM$10:$AM10, $AI$11:$AI$259), ""), 0)),"")</f>
        <v/>
      </c>
      <c r="AQ11" s="31">
        <f>IF(X11="Unacceptable Loss",1,0)</f>
        <v>0</v>
      </c>
    </row>
    <row r="12" spans="1:43" x14ac:dyDescent="0.25">
      <c r="A12" s="31" t="str">
        <f>IFERROR(INDEX('G-1 All Habitats'!$AG$3:$AG$15,MATCH(E12,'G-1 All Habitats'!$AF$3:$AF$15,0)),"")</f>
        <v/>
      </c>
      <c r="B12" s="31" t="str">
        <f>IFERROR(INDEX('G-8 Condition Look up'!$I$4:$I$130,MATCH(G12,'G-8 Condition Look up'!$A$4:$A$130,0)),"")</f>
        <v/>
      </c>
      <c r="D12" s="141">
        <v>2</v>
      </c>
      <c r="E12" s="203"/>
      <c r="F12" s="203"/>
      <c r="G12" s="250" t="str">
        <f>IFERROR(INDEX('G-1 All Habitats'!$B$3:$B$129,MATCH(F12,'G-1 All Habitats'!$A$3:$A$129,0)),"")</f>
        <v/>
      </c>
      <c r="H12" s="172"/>
      <c r="I12" s="498" t="str">
        <f>IF(G12="","",VLOOKUP(G12,'G-1 All Habitats'!$B$2:$M$129,10,FALSE))</f>
        <v/>
      </c>
      <c r="J12" s="499" t="str">
        <f>IFERROR(VLOOKUP(I12,'G-1 All Habitats'!$V$3:$W$7,2,FALSE),"")</f>
        <v/>
      </c>
      <c r="K12" s="145"/>
      <c r="L12" s="499" t="str">
        <f>IFERROR(INDEX('G-8 Condition Look up'!$A$3:$H$130,MATCH(G12,'G-8 Condition Look up'!$A$3:$A$130,0),MATCH(K12,'G-8 Condition Look up'!$A$3:$H$3,0)),"")</f>
        <v/>
      </c>
      <c r="M12" s="154"/>
      <c r="N12" s="520" t="str">
        <f>IF(M12="","",IF(VLOOKUP(M12,'G-3 Multipliers'!$L$3:$N$6,2,FALSE)=0,"Spatial Data Missing ⚠",VLOOKUP(M12,'G-3 Multipliers'!$L$3:$N$6,2,FALSE)))</f>
        <v/>
      </c>
      <c r="O12" s="524" t="str">
        <f>IF(M12="","",IF(VLOOKUP(M12,'G-3 Multipliers'!$L$3:$N$6,3,FALSE)=0,"Spatial Data Missing ⚠",VLOOKUP(M12,'G-3 Multipliers'!$L$3:$N$6,3,FALSE)))</f>
        <v/>
      </c>
      <c r="P12" s="506" t="str">
        <f>IFERROR(VLOOKUP(G12,'G-1 All Habitats'!$B$2:$M$129,12,FALSE),"")</f>
        <v/>
      </c>
      <c r="Q12" s="513" t="str">
        <f>IFERROR(IF(P12="","",IF(AND(P12='G-1 All Habitats'!$X$3,T12&gt;0),U12+V12,IF(AND(P12='G-1 All Habitats'!$X$3,S12&gt;0),U12+V12,IF(AND(P12='G-1 All Habitats'!$X$3,AC12&gt;0),"Any Loss Unacceptable",IF(AND(P12='G-1 All Habitats'!$X$3,W12&gt;0),"Any Loss Unacceptable",H12*J12*L12*O12))))),"Check Data ⚠")</f>
        <v/>
      </c>
      <c r="R12" s="50"/>
      <c r="S12" s="71"/>
      <c r="T12" s="72"/>
      <c r="U12" s="511" t="str">
        <f t="shared" ref="U12:U75" si="2">IFERROR(S12*J12*L12*O12,"")</f>
        <v/>
      </c>
      <c r="V12" s="511" t="str">
        <f t="shared" ref="V12:V75" si="3">IFERROR(T12*J12*L12*O12,"")</f>
        <v/>
      </c>
      <c r="W12" s="511" t="str">
        <f>IF(E12="","",IF(H12&lt;S12+T12,"Error in Areas ▲",IF(P12&lt;&gt;'G-1 All Habitats'!$X$3,H12-S12-T12,IF(AND(P12='G-1 All Habitats'!$X$3,Y12="Yes"),"Unacceptable Loss ▲",IF(AND(P12='G-1 All Habitats'!$X$3,Y12="No"),AC12,IF(AND(P12='G-1 All Habitats'!$X$3,Y12=""),AC12,IF(AND(P12='G-1 All Habitats'!$X$3,AC12="None",AC12),IF(AND(P12='G-1 All Habitats'!$X$3,AC12&gt;0),H12-S12-T12))))))))</f>
        <v/>
      </c>
      <c r="X12" s="545" t="str">
        <f>IFERROR(IF(H12="","",IF(H12-S12-T12=0&lt;0,"Error in Areas ▲",IF(S12+T12&gt;H12,"Error in Areas ▲",IF(AND(P12='G-1 All Habitats'!$X$3,Y12="Yes"),"Alternative Compensation",IF(W12=0,0,IF(P12='G-1 All Habitats'!$X$3,"Unacceptable Loss",Q12-U12-V12)))))),"Check Data ⚠")</f>
        <v/>
      </c>
      <c r="Y12" s="72"/>
      <c r="Z12" s="151"/>
      <c r="AA12" s="152"/>
      <c r="AC12" s="251" t="str">
        <f>IF(P12="","",IF(P12='G-1 All Habitats'!$X$3,H12-S12-T12,"None"))</f>
        <v/>
      </c>
      <c r="AD12" s="252" t="str">
        <f t="shared" ref="AD12:AD75" si="4">IFERROR(AC12*J12*L12*O12,IF(P12="","","None"))</f>
        <v/>
      </c>
      <c r="AF12" s="156" t="str">
        <f t="shared" si="0"/>
        <v/>
      </c>
      <c r="AG12" s="156" t="str">
        <f t="shared" si="1"/>
        <v/>
      </c>
      <c r="AH12" s="156" t="str">
        <f>IF(I12="","",IF(#REF!&gt;0,TRUE,FALSE))</f>
        <v/>
      </c>
      <c r="AI12" s="156">
        <v>2</v>
      </c>
      <c r="AJ12" s="156"/>
      <c r="AK12" s="156" t="str">
        <f t="array" ref="AK12">IFERROR(INDEX($AI$11:$AI$259, MATCH(0, IF(TRUE=$AF$11:$AF$259, COUNTIF($AK$10:$AK11, $AI$11:$AI$259), ""), 0)),"")</f>
        <v/>
      </c>
      <c r="AL12" s="156" t="str">
        <f t="array" ref="AL12">IFERROR(INDEX($AI$11:$AI$259, MATCH(0, IF(TRUE=$AG$11:$AG$259, COUNTIF($AL$10:$AL11, $AI$11:$AI$259), ""), 0)),"")</f>
        <v/>
      </c>
      <c r="AM12" s="156" t="str">
        <f t="array" ref="AM12">IFERROR(INDEX($AI$11:$AI$259, MATCH(0, IF(TRUE=$AH$11:$AH$259, COUNTIF($AM$10:$AM11, $AI$11:$AI$259), ""), 0)),"")</f>
        <v/>
      </c>
      <c r="AQ12" s="31">
        <f t="shared" ref="AQ12:AQ75" si="5">IF(X12="Unacceptable Loss",1,0)</f>
        <v>0</v>
      </c>
    </row>
    <row r="13" spans="1:43" x14ac:dyDescent="0.25">
      <c r="A13" s="31" t="str">
        <f>IFERROR(INDEX('G-1 All Habitats'!$AG$3:$AG$15,MATCH(E13,'G-1 All Habitats'!$AF$3:$AF$15,0)),"")</f>
        <v/>
      </c>
      <c r="B13" s="31" t="str">
        <f>IFERROR(INDEX('G-8 Condition Look up'!$I$4:$I$130,MATCH(G13,'G-8 Condition Look up'!$A$4:$A$130,0)),"")</f>
        <v/>
      </c>
      <c r="D13" s="141">
        <v>3</v>
      </c>
      <c r="E13" s="203"/>
      <c r="F13" s="203"/>
      <c r="G13" s="250" t="str">
        <f>IFERROR(INDEX('G-1 All Habitats'!$B$3:$B$129,MATCH(F13,'G-1 All Habitats'!$A$3:$A$129,0)),"")</f>
        <v/>
      </c>
      <c r="H13" s="172"/>
      <c r="I13" s="498" t="str">
        <f>IF(G13="","",VLOOKUP(G13,'G-1 All Habitats'!$B$2:$M$129,10,FALSE))</f>
        <v/>
      </c>
      <c r="J13" s="499" t="str">
        <f>IFERROR(VLOOKUP(I13,'G-1 All Habitats'!$V$3:$W$7,2,FALSE),"")</f>
        <v/>
      </c>
      <c r="K13" s="145"/>
      <c r="L13" s="499" t="str">
        <f>IFERROR(INDEX('G-8 Condition Look up'!$A$3:$H$130,MATCH(G13,'G-8 Condition Look up'!$A$3:$A$130,0),MATCH(K13,'G-8 Condition Look up'!$A$3:$H$3,0)),"")</f>
        <v/>
      </c>
      <c r="M13" s="154"/>
      <c r="N13" s="520" t="str">
        <f>IF(M13="","",IF(VLOOKUP(M13,'G-3 Multipliers'!$L$3:$N$6,2,FALSE)=0,"Spatial Data Missing ⚠",VLOOKUP(M13,'G-3 Multipliers'!$L$3:$N$6,2,FALSE)))</f>
        <v/>
      </c>
      <c r="O13" s="524" t="str">
        <f>IF(M13="","",IF(VLOOKUP(M13,'G-3 Multipliers'!$L$3:$N$6,3,FALSE)=0,"Spatial Data Missing ⚠",VLOOKUP(M13,'G-3 Multipliers'!$L$3:$N$6,3,FALSE)))</f>
        <v/>
      </c>
      <c r="P13" s="506" t="str">
        <f>IFERROR(VLOOKUP(G13,'G-1 All Habitats'!$B$2:$M$129,12,FALSE),"")</f>
        <v/>
      </c>
      <c r="Q13" s="513" t="str">
        <f>IFERROR(IF(P13="","",IF(AND(P13='G-1 All Habitats'!$X$3,T13&gt;0),U13+V13,IF(AND(P13='G-1 All Habitats'!$X$3,S13&gt;0),U13+V13,IF(AND(P13='G-1 All Habitats'!$X$3,AC13&gt;0),"Any Loss Unacceptable",IF(AND(P13='G-1 All Habitats'!$X$3,W13&gt;0),"Any Loss Unacceptable",H13*J13*L13*O13))))),"Check Data ⚠")</f>
        <v/>
      </c>
      <c r="R13" s="50"/>
      <c r="S13" s="71"/>
      <c r="T13" s="72"/>
      <c r="U13" s="511" t="str">
        <f t="shared" si="2"/>
        <v/>
      </c>
      <c r="V13" s="511" t="str">
        <f t="shared" si="3"/>
        <v/>
      </c>
      <c r="W13" s="511" t="str">
        <f>IF(E13="","",IF(H13&lt;S13+T13,"Error in Areas ▲",IF(P13&lt;&gt;'G-1 All Habitats'!$X$3,H13-S13-T13,IF(AND(P13='G-1 All Habitats'!$X$3,Y13="Yes"),"Unacceptable Loss ▲",IF(AND(P13='G-1 All Habitats'!$X$3,Y13="No"),AC13,IF(AND(P13='G-1 All Habitats'!$X$3,Y13=""),AC13,IF(AND(P13='G-1 All Habitats'!$X$3,AC13="None",AC13),IF(AND(P13='G-1 All Habitats'!$X$3,AC13&gt;0),H13-S13-T13))))))))</f>
        <v/>
      </c>
      <c r="X13" s="545" t="str">
        <f>IFERROR(IF(H13="","",IF(H13-S13-T13=0&lt;0,"Error in Areas ▲",IF(S13+T13&gt;H13,"Error in Areas ▲",IF(AND(P13='G-1 All Habitats'!$X$3,Y13="Yes"),"Alternative Compensation",IF(W13=0,0,IF(P13='G-1 All Habitats'!$X$3,"Unacceptable Loss",Q13-U13-V13)))))),"Check Data ⚠")</f>
        <v/>
      </c>
      <c r="Y13" s="72"/>
      <c r="Z13" s="151"/>
      <c r="AA13" s="152"/>
      <c r="AC13" s="251" t="str">
        <f>IF(P13="","",IF(P13='G-1 All Habitats'!$X$3,H13-S13-T13,"None"))</f>
        <v/>
      </c>
      <c r="AD13" s="252" t="str">
        <f t="shared" si="4"/>
        <v/>
      </c>
      <c r="AF13" s="156" t="str">
        <f t="shared" si="0"/>
        <v/>
      </c>
      <c r="AG13" s="156" t="str">
        <f t="shared" si="1"/>
        <v/>
      </c>
      <c r="AH13" s="156" t="str">
        <f>IF(I13="","",IF(#REF!&gt;0,TRUE,FALSE))</f>
        <v/>
      </c>
      <c r="AI13" s="156">
        <v>3</v>
      </c>
      <c r="AJ13" s="156"/>
      <c r="AK13" s="156" t="str">
        <f t="array" ref="AK13">IFERROR(INDEX($AI$11:$AI$259, MATCH(0, IF(TRUE=$AF$11:$AF$259, COUNTIF($AK$10:$AK12, $AI$11:$AI$259), ""), 0)),"")</f>
        <v/>
      </c>
      <c r="AL13" s="156" t="str">
        <f t="array" ref="AL13">IFERROR(INDEX($AI$11:$AI$259, MATCH(0, IF(TRUE=$AG$11:$AG$259, COUNTIF($AL$10:$AL12, $AI$11:$AI$259), ""), 0)),"")</f>
        <v/>
      </c>
      <c r="AM13" s="156" t="str">
        <f t="array" ref="AM13">IFERROR(INDEX($AI$11:$AI$259, MATCH(0, IF(TRUE=$AH$11:$AH$259, COUNTIF($AM$10:$AM12, $AI$11:$AI$259), ""), 0)),"")</f>
        <v/>
      </c>
      <c r="AQ13" s="31">
        <f t="shared" si="5"/>
        <v>0</v>
      </c>
    </row>
    <row r="14" spans="1:43" x14ac:dyDescent="0.25">
      <c r="A14" s="31" t="str">
        <f>IFERROR(INDEX('G-1 All Habitats'!$AG$3:$AG$15,MATCH(E14,'G-1 All Habitats'!$AF$3:$AF$15,0)),"")</f>
        <v/>
      </c>
      <c r="B14" s="31" t="str">
        <f>IFERROR(INDEX('G-8 Condition Look up'!$I$4:$I$130,MATCH(G14,'G-8 Condition Look up'!$A$4:$A$130,0)),"")</f>
        <v/>
      </c>
      <c r="D14" s="141">
        <v>4</v>
      </c>
      <c r="E14" s="203"/>
      <c r="F14" s="203"/>
      <c r="G14" s="250" t="str">
        <f>IFERROR(INDEX('G-1 All Habitats'!$B$3:$B$129,MATCH(F14,'G-1 All Habitats'!$A$3:$A$129,0)),"")</f>
        <v/>
      </c>
      <c r="H14" s="172"/>
      <c r="I14" s="498" t="str">
        <f>IF(G14="","",VLOOKUP(G14,'G-1 All Habitats'!$B$2:$M$129,10,FALSE))</f>
        <v/>
      </c>
      <c r="J14" s="499" t="str">
        <f>IFERROR(VLOOKUP(I14,'G-1 All Habitats'!$V$3:$W$7,2,FALSE),"")</f>
        <v/>
      </c>
      <c r="K14" s="145"/>
      <c r="L14" s="499" t="str">
        <f>IFERROR(INDEX('G-8 Condition Look up'!$A$3:$H$130,MATCH(G14,'G-8 Condition Look up'!$A$3:$A$130,0),MATCH(K14,'G-8 Condition Look up'!$A$3:$H$3,0)),"")</f>
        <v/>
      </c>
      <c r="M14" s="154"/>
      <c r="N14" s="520" t="str">
        <f>IF(M14="","",IF(VLOOKUP(M14,'G-3 Multipliers'!$L$3:$N$6,2,FALSE)=0,"Spatial Data Missing ⚠",VLOOKUP(M14,'G-3 Multipliers'!$L$3:$N$6,2,FALSE)))</f>
        <v/>
      </c>
      <c r="O14" s="524" t="str">
        <f>IF(M14="","",IF(VLOOKUP(M14,'G-3 Multipliers'!$L$3:$N$6,3,FALSE)=0,"Spatial Data Missing ⚠",VLOOKUP(M14,'G-3 Multipliers'!$L$3:$N$6,3,FALSE)))</f>
        <v/>
      </c>
      <c r="P14" s="506" t="str">
        <f>IFERROR(VLOOKUP(G14,'G-1 All Habitats'!$B$2:$M$129,12,FALSE),"")</f>
        <v/>
      </c>
      <c r="Q14" s="513" t="str">
        <f>IFERROR(IF(P14="","",IF(AND(P14='G-1 All Habitats'!$X$3,T14&gt;0),U14+V14,IF(AND(P14='G-1 All Habitats'!$X$3,S14&gt;0),U14+V14,IF(AND(P14='G-1 All Habitats'!$X$3,AC14&gt;0),"Any Loss Unacceptable",IF(AND(P14='G-1 All Habitats'!$X$3,W14&gt;0),"Any Loss Unacceptable",H14*J14*L14*O14))))),"Check Data ⚠")</f>
        <v/>
      </c>
      <c r="R14" s="50"/>
      <c r="S14" s="71"/>
      <c r="T14" s="72"/>
      <c r="U14" s="511" t="str">
        <f t="shared" si="2"/>
        <v/>
      </c>
      <c r="V14" s="511" t="str">
        <f t="shared" si="3"/>
        <v/>
      </c>
      <c r="W14" s="511" t="str">
        <f>IF(E14="","",IF(H14&lt;S14+T14,"Error in Areas ▲",IF(P14&lt;&gt;'G-1 All Habitats'!$X$3,H14-S14-T14,IF(AND(P14='G-1 All Habitats'!$X$3,Y14="Yes"),"Unacceptable Loss ▲",IF(AND(P14='G-1 All Habitats'!$X$3,Y14="No"),AC14,IF(AND(P14='G-1 All Habitats'!$X$3,Y14=""),AC14,IF(AND(P14='G-1 All Habitats'!$X$3,AC14="None",AC14),IF(AND(P14='G-1 All Habitats'!$X$3,AC14&gt;0),H14-S14-T14))))))))</f>
        <v/>
      </c>
      <c r="X14" s="545" t="str">
        <f>IFERROR(IF(H14="","",IF(H14-S14-T14=0&lt;0,"Error in Areas ▲",IF(S14+T14&gt;H14,"Error in Areas ▲",IF(AND(P14='G-1 All Habitats'!$X$3,Y14="Yes"),"Alternative Compensation",IF(W14=0,0,IF(P14='G-1 All Habitats'!$X$3,"Unacceptable Loss",Q14-U14-V14)))))),"Check Data ⚠")</f>
        <v/>
      </c>
      <c r="Y14" s="72"/>
      <c r="Z14" s="151"/>
      <c r="AA14" s="152"/>
      <c r="AC14" s="251" t="str">
        <f>IF(P14="","",IF(P14='G-1 All Habitats'!$X$3,H14-S14-T14,"None"))</f>
        <v/>
      </c>
      <c r="AD14" s="252" t="str">
        <f t="shared" si="4"/>
        <v/>
      </c>
      <c r="AF14" s="156" t="str">
        <f t="shared" si="0"/>
        <v/>
      </c>
      <c r="AG14" s="156" t="str">
        <f t="shared" si="1"/>
        <v/>
      </c>
      <c r="AH14" s="156" t="str">
        <f>IF(I14="","",IF(#REF!&gt;0,TRUE,FALSE))</f>
        <v/>
      </c>
      <c r="AI14" s="156">
        <v>4</v>
      </c>
      <c r="AJ14" s="156"/>
      <c r="AK14" s="156" t="str">
        <f t="array" ref="AK14">IFERROR(INDEX($AI$11:$AI$259, MATCH(0, IF(TRUE=$AF$11:$AF$259, COUNTIF($AK$10:$AK13, $AI$11:$AI$259), ""), 0)),"")</f>
        <v/>
      </c>
      <c r="AL14" s="156" t="str">
        <f t="array" ref="AL14">IFERROR(INDEX($AI$11:$AI$259, MATCH(0, IF(TRUE=$AG$11:$AG$259, COUNTIF($AL$10:$AL13, $AI$11:$AI$259), ""), 0)),"")</f>
        <v/>
      </c>
      <c r="AM14" s="156" t="str">
        <f t="array" ref="AM14">IFERROR(INDEX($AI$11:$AI$259, MATCH(0, IF(TRUE=$AH$11:$AH$259, COUNTIF($AM$10:$AM13, $AI$11:$AI$259), ""), 0)),"")</f>
        <v/>
      </c>
      <c r="AQ14" s="31">
        <f t="shared" si="5"/>
        <v>0</v>
      </c>
    </row>
    <row r="15" spans="1:43" x14ac:dyDescent="0.25">
      <c r="A15" s="31" t="str">
        <f>IFERROR(INDEX('G-1 All Habitats'!$AG$3:$AG$15,MATCH(E15,'G-1 All Habitats'!$AF$3:$AF$15,0)),"")</f>
        <v/>
      </c>
      <c r="B15" s="31" t="str">
        <f>IFERROR(INDEX('G-8 Condition Look up'!$I$4:$I$130,MATCH(G15,'G-8 Condition Look up'!$A$4:$A$130,0)),"")</f>
        <v/>
      </c>
      <c r="D15" s="141">
        <v>5</v>
      </c>
      <c r="E15" s="203"/>
      <c r="F15" s="203"/>
      <c r="G15" s="250" t="str">
        <f>IFERROR(INDEX('G-1 All Habitats'!$B$3:$B$129,MATCH(F15,'G-1 All Habitats'!$A$3:$A$129,0)),"")</f>
        <v/>
      </c>
      <c r="H15" s="172"/>
      <c r="I15" s="498" t="str">
        <f>IF(G15="","",VLOOKUP(G15,'G-1 All Habitats'!$B$2:$M$129,10,FALSE))</f>
        <v/>
      </c>
      <c r="J15" s="499" t="str">
        <f>IFERROR(VLOOKUP(I15,'G-1 All Habitats'!$V$3:$W$7,2,FALSE),"")</f>
        <v/>
      </c>
      <c r="K15" s="145"/>
      <c r="L15" s="499" t="str">
        <f>IFERROR(INDEX('G-8 Condition Look up'!$A$3:$H$130,MATCH(G15,'G-8 Condition Look up'!$A$3:$A$130,0),MATCH(K15,'G-8 Condition Look up'!$A$3:$H$3,0)),"")</f>
        <v/>
      </c>
      <c r="M15" s="154"/>
      <c r="N15" s="520" t="str">
        <f>IF(M15="","",IF(VLOOKUP(M15,'G-3 Multipliers'!$L$3:$N$6,2,FALSE)=0,"Spatial Data Missing ⚠",VLOOKUP(M15,'G-3 Multipliers'!$L$3:$N$6,2,FALSE)))</f>
        <v/>
      </c>
      <c r="O15" s="524" t="str">
        <f>IF(M15="","",IF(VLOOKUP(M15,'G-3 Multipliers'!$L$3:$N$6,3,FALSE)=0,"Spatial Data Missing ⚠",VLOOKUP(M15,'G-3 Multipliers'!$L$3:$N$6,3,FALSE)))</f>
        <v/>
      </c>
      <c r="P15" s="506" t="str">
        <f>IFERROR(VLOOKUP(G15,'G-1 All Habitats'!$B$2:$M$129,12,FALSE),"")</f>
        <v/>
      </c>
      <c r="Q15" s="513" t="str">
        <f>IFERROR(IF(P15="","",IF(AND(P15='G-1 All Habitats'!$X$3,T15&gt;0),U15+V15,IF(AND(P15='G-1 All Habitats'!$X$3,S15&gt;0),U15+V15,IF(AND(P15='G-1 All Habitats'!$X$3,AC15&gt;0),"Any Loss Unacceptable",IF(AND(P15='G-1 All Habitats'!$X$3,W15&gt;0),"Any Loss Unacceptable",H15*J15*L15*O15))))),"Check Data ⚠")</f>
        <v/>
      </c>
      <c r="R15" s="50"/>
      <c r="S15" s="71"/>
      <c r="T15" s="72"/>
      <c r="U15" s="511" t="str">
        <f t="shared" si="2"/>
        <v/>
      </c>
      <c r="V15" s="511" t="str">
        <f t="shared" si="3"/>
        <v/>
      </c>
      <c r="W15" s="511"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545" t="str">
        <f>IFERROR(IF(H15="","",IF(H15-S15-T15=0&lt;0,"Error in Areas ▲",IF(S15+T15&gt;H15,"Error in Areas ▲",IF(AND(P15='G-1 All Habitats'!$X$3,Y15="Yes"),"Alternative Compensation",IF(W15=0,0,IF(P15='G-1 All Habitats'!$X$3,"Unacceptable Loss",Q15-U15-V15)))))),"Check Data ⚠")</f>
        <v/>
      </c>
      <c r="Y15" s="72"/>
      <c r="Z15" s="151"/>
      <c r="AA15" s="152"/>
      <c r="AC15" s="251" t="str">
        <f>IF(P15="","",IF(P15='G-1 All Habitats'!$X$3,H15-S15-T15,"None"))</f>
        <v/>
      </c>
      <c r="AD15" s="252" t="str">
        <f t="shared" si="4"/>
        <v/>
      </c>
      <c r="AF15" s="156" t="str">
        <f t="shared" si="0"/>
        <v/>
      </c>
      <c r="AG15" s="156" t="str">
        <f t="shared" si="1"/>
        <v/>
      </c>
      <c r="AH15" s="156" t="str">
        <f>IF(I15="","",IF(#REF!&gt;0,TRUE,FALSE))</f>
        <v/>
      </c>
      <c r="AI15" s="156">
        <v>5</v>
      </c>
      <c r="AJ15" s="156"/>
      <c r="AK15" s="156" t="str">
        <f t="array" ref="AK15">IFERROR(INDEX($AI$11:$AI$259, MATCH(0, IF(TRUE=$AF$11:$AF$259, COUNTIF($AK$10:$AK14, $AI$11:$AI$259), ""), 0)),"")</f>
        <v/>
      </c>
      <c r="AL15" s="156" t="str">
        <f t="array" ref="AL15">IFERROR(INDEX($AI$11:$AI$259, MATCH(0, IF(TRUE=$AG$11:$AG$259, COUNTIF($AL$10:$AL14, $AI$11:$AI$259), ""), 0)),"")</f>
        <v/>
      </c>
      <c r="AM15" s="156" t="str">
        <f t="array" ref="AM15">IFERROR(INDEX($AI$11:$AI$259, MATCH(0, IF(TRUE=$AH$11:$AH$259, COUNTIF($AM$10:$AM14, $AI$11:$AI$259), ""), 0)),"")</f>
        <v/>
      </c>
      <c r="AQ15" s="31">
        <f t="shared" si="5"/>
        <v>0</v>
      </c>
    </row>
    <row r="16" spans="1:43" x14ac:dyDescent="0.25">
      <c r="A16" s="31" t="str">
        <f>IFERROR(INDEX('G-1 All Habitats'!$AG$3:$AG$15,MATCH(E16,'G-1 All Habitats'!$AF$3:$AF$15,0)),"")</f>
        <v/>
      </c>
      <c r="B16" s="31" t="str">
        <f>IFERROR(INDEX('G-8 Condition Look up'!$I$4:$I$130,MATCH(G16,'G-8 Condition Look up'!$A$4:$A$130,0)),"")</f>
        <v/>
      </c>
      <c r="D16" s="141">
        <v>6</v>
      </c>
      <c r="E16" s="203"/>
      <c r="F16" s="203"/>
      <c r="G16" s="250" t="str">
        <f>IFERROR(INDEX('G-1 All Habitats'!$B$3:$B$129,MATCH(F16,'G-1 All Habitats'!$A$3:$A$129,0)),"")</f>
        <v/>
      </c>
      <c r="H16" s="172"/>
      <c r="I16" s="498" t="str">
        <f>IF(G16="","",VLOOKUP(G16,'G-1 All Habitats'!$B$2:$M$129,10,FALSE))</f>
        <v/>
      </c>
      <c r="J16" s="499" t="str">
        <f>IFERROR(VLOOKUP(I16,'G-1 All Habitats'!$V$3:$W$7,2,FALSE),"")</f>
        <v/>
      </c>
      <c r="K16" s="145"/>
      <c r="L16" s="499" t="str">
        <f>IFERROR(INDEX('G-8 Condition Look up'!$A$3:$H$130,MATCH(G16,'G-8 Condition Look up'!$A$3:$A$130,0),MATCH(K16,'G-8 Condition Look up'!$A$3:$H$3,0)),"")</f>
        <v/>
      </c>
      <c r="M16" s="154"/>
      <c r="N16" s="520" t="str">
        <f>IF(M16="","",IF(VLOOKUP(M16,'G-3 Multipliers'!$L$3:$N$6,2,FALSE)=0,"Spatial Data Missing ⚠",VLOOKUP(M16,'G-3 Multipliers'!$L$3:$N$6,2,FALSE)))</f>
        <v/>
      </c>
      <c r="O16" s="524" t="str">
        <f>IF(M16="","",IF(VLOOKUP(M16,'G-3 Multipliers'!$L$3:$N$6,3,FALSE)=0,"Spatial Data Missing ⚠",VLOOKUP(M16,'G-3 Multipliers'!$L$3:$N$6,3,FALSE)))</f>
        <v/>
      </c>
      <c r="P16" s="506" t="str">
        <f>IFERROR(VLOOKUP(G16,'G-1 All Habitats'!$B$2:$M$129,12,FALSE),"")</f>
        <v/>
      </c>
      <c r="Q16" s="513" t="str">
        <f>IFERROR(IF(P16="","",IF(AND(P16='G-1 All Habitats'!$X$3,T16&gt;0),U16+V16,IF(AND(P16='G-1 All Habitats'!$X$3,S16&gt;0),U16+V16,IF(AND(P16='G-1 All Habitats'!$X$3,AC16&gt;0),"Any Loss Unacceptable",IF(AND(P16='G-1 All Habitats'!$X$3,W16&gt;0),"Any Loss Unacceptable",H16*J16*L16*O16))))),"Check Data ⚠")</f>
        <v/>
      </c>
      <c r="R16" s="50"/>
      <c r="S16" s="71"/>
      <c r="T16" s="72"/>
      <c r="U16" s="511" t="str">
        <f t="shared" si="2"/>
        <v/>
      </c>
      <c r="V16" s="511" t="str">
        <f t="shared" si="3"/>
        <v/>
      </c>
      <c r="W16" s="511"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545" t="str">
        <f>IFERROR(IF(H16="","",IF(H16-S16-T16=0&lt;0,"Error in Areas ▲",IF(S16+T16&gt;H16,"Error in Areas ▲",IF(AND(P16='G-1 All Habitats'!$X$3,Y16="Yes"),"Alternative Compensation",IF(W16=0,0,IF(P16='G-1 All Habitats'!$X$3,"Unacceptable Loss",Q16-U16-V16)))))),"Check Data ⚠")</f>
        <v/>
      </c>
      <c r="Y16" s="72"/>
      <c r="Z16" s="151"/>
      <c r="AA16" s="152"/>
      <c r="AC16" s="251" t="str">
        <f>IF(P16="","",IF(P16='G-1 All Habitats'!$X$3,H16-S16-T16,"None"))</f>
        <v/>
      </c>
      <c r="AD16" s="252" t="str">
        <f t="shared" si="4"/>
        <v/>
      </c>
      <c r="AF16" s="156" t="str">
        <f t="shared" si="0"/>
        <v/>
      </c>
      <c r="AG16" s="156" t="str">
        <f t="shared" si="1"/>
        <v/>
      </c>
      <c r="AH16" s="156" t="str">
        <f>IF(I16="","",IF(#REF!&gt;0,TRUE,FALSE))</f>
        <v/>
      </c>
      <c r="AI16" s="156">
        <v>6</v>
      </c>
      <c r="AJ16" s="156"/>
      <c r="AK16" s="156" t="str">
        <f t="array" ref="AK16">IFERROR(INDEX($AI$11:$AI$259, MATCH(0, IF(TRUE=$AF$11:$AF$259, COUNTIF($AK$10:$AK15, $AI$11:$AI$259), ""), 0)),"")</f>
        <v/>
      </c>
      <c r="AL16" s="156" t="str">
        <f t="array" ref="AL16">IFERROR(INDEX($AI$11:$AI$259, MATCH(0, IF(TRUE=$AG$11:$AG$259, COUNTIF($AL$10:$AL15, $AI$11:$AI$259), ""), 0)),"")</f>
        <v/>
      </c>
      <c r="AM16" s="156" t="str">
        <f t="array" ref="AM16">IFERROR(INDEX($AI$11:$AI$259, MATCH(0, IF(TRUE=$AH$11:$AH$259, COUNTIF($AM$10:$AM15, $AI$11:$AI$259), ""), 0)),"")</f>
        <v/>
      </c>
      <c r="AQ16" s="31">
        <f t="shared" si="5"/>
        <v>0</v>
      </c>
    </row>
    <row r="17" spans="1:43" x14ac:dyDescent="0.25">
      <c r="A17" s="31" t="str">
        <f>IFERROR(INDEX('G-1 All Habitats'!$AG$3:$AG$15,MATCH(E17,'G-1 All Habitats'!$AF$3:$AF$15,0)),"")</f>
        <v/>
      </c>
      <c r="B17" s="31" t="str">
        <f>IFERROR(INDEX('G-8 Condition Look up'!$I$4:$I$130,MATCH(G17,'G-8 Condition Look up'!$A$4:$A$130,0)),"")</f>
        <v/>
      </c>
      <c r="D17" s="141">
        <v>7</v>
      </c>
      <c r="E17" s="203"/>
      <c r="F17" s="203"/>
      <c r="G17" s="250" t="str">
        <f>IFERROR(INDEX('G-1 All Habitats'!$B$3:$B$129,MATCH(F17,'G-1 All Habitats'!$A$3:$A$129,0)),"")</f>
        <v/>
      </c>
      <c r="H17" s="172"/>
      <c r="I17" s="498" t="str">
        <f>IF(G17="","",VLOOKUP(G17,'G-1 All Habitats'!$B$2:$M$129,10,FALSE))</f>
        <v/>
      </c>
      <c r="J17" s="499" t="str">
        <f>IFERROR(VLOOKUP(I17,'G-1 All Habitats'!$V$3:$W$7,2,FALSE),"")</f>
        <v/>
      </c>
      <c r="K17" s="145"/>
      <c r="L17" s="499" t="str">
        <f>IFERROR(INDEX('G-8 Condition Look up'!$A$3:$H$130,MATCH(G17,'G-8 Condition Look up'!$A$3:$A$130,0),MATCH(K17,'G-8 Condition Look up'!$A$3:$H$3,0)),"")</f>
        <v/>
      </c>
      <c r="M17" s="154"/>
      <c r="N17" s="520" t="str">
        <f>IF(M17="","",IF(VLOOKUP(M17,'G-3 Multipliers'!$L$3:$N$6,2,FALSE)=0,"Spatial Data Missing ⚠",VLOOKUP(M17,'G-3 Multipliers'!$L$3:$N$6,2,FALSE)))</f>
        <v/>
      </c>
      <c r="O17" s="524" t="str">
        <f>IF(M17="","",IF(VLOOKUP(M17,'G-3 Multipliers'!$L$3:$N$6,3,FALSE)=0,"Spatial Data Missing ⚠",VLOOKUP(M17,'G-3 Multipliers'!$L$3:$N$6,3,FALSE)))</f>
        <v/>
      </c>
      <c r="P17" s="506" t="str">
        <f>IFERROR(VLOOKUP(G17,'G-1 All Habitats'!$B$2:$M$129,12,FALSE),"")</f>
        <v/>
      </c>
      <c r="Q17" s="513" t="str">
        <f>IFERROR(IF(P17="","",IF(AND(P17='G-1 All Habitats'!$X$3,T17&gt;0),U17+V17,IF(AND(P17='G-1 All Habitats'!$X$3,S17&gt;0),U17+V17,IF(AND(P17='G-1 All Habitats'!$X$3,AC17&gt;0),"Any Loss Unacceptable",IF(AND(P17='G-1 All Habitats'!$X$3,W17&gt;0),"Any Loss Unacceptable",H17*J17*L17*O17))))),"Check Data ⚠")</f>
        <v/>
      </c>
      <c r="R17" s="50"/>
      <c r="S17" s="71"/>
      <c r="T17" s="72"/>
      <c r="U17" s="511" t="str">
        <f t="shared" si="2"/>
        <v/>
      </c>
      <c r="V17" s="511" t="str">
        <f t="shared" si="3"/>
        <v/>
      </c>
      <c r="W17" s="511"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545" t="str">
        <f>IFERROR(IF(H17="","",IF(H17-S17-T17=0&lt;0,"Error in Areas ▲",IF(S17+T17&gt;H17,"Error in Areas ▲",IF(AND(P17='G-1 All Habitats'!$X$3,Y17="Yes"),"Alternative Compensation",IF(W17=0,0,IF(P17='G-1 All Habitats'!$X$3,"Unacceptable Loss",Q17-U17-V17)))))),"Check Data ⚠")</f>
        <v/>
      </c>
      <c r="Y17" s="72"/>
      <c r="Z17" s="151"/>
      <c r="AA17" s="152"/>
      <c r="AC17" s="251" t="str">
        <f>IF(P17="","",IF(P17='G-1 All Habitats'!$X$3,H17-S17-T17,"None"))</f>
        <v/>
      </c>
      <c r="AD17" s="252" t="str">
        <f t="shared" si="4"/>
        <v/>
      </c>
      <c r="AF17" s="156" t="str">
        <f t="shared" si="0"/>
        <v/>
      </c>
      <c r="AG17" s="156" t="str">
        <f t="shared" si="1"/>
        <v/>
      </c>
      <c r="AH17" s="156" t="str">
        <f>IF(I17="","",IF(#REF!&gt;0,TRUE,FALSE))</f>
        <v/>
      </c>
      <c r="AI17" s="156">
        <v>7</v>
      </c>
      <c r="AJ17" s="156"/>
      <c r="AK17" s="156" t="str">
        <f t="array" ref="AK17">IFERROR(INDEX($AI$11:$AI$259, MATCH(0, IF(TRUE=$AF$11:$AF$259, COUNTIF($AK$10:$AK16, $AI$11:$AI$259), ""), 0)),"")</f>
        <v/>
      </c>
      <c r="AL17" s="156" t="str">
        <f t="array" ref="AL17">IFERROR(INDEX($AI$11:$AI$259, MATCH(0, IF(TRUE=$AG$11:$AG$259, COUNTIF($AL$10:$AL16, $AI$11:$AI$259), ""), 0)),"")</f>
        <v/>
      </c>
      <c r="AM17" s="156" t="str">
        <f t="array" ref="AM17">IFERROR(INDEX($AI$11:$AI$259, MATCH(0, IF(TRUE=$AH$11:$AH$259, COUNTIF($AM$10:$AM16, $AI$11:$AI$259), ""), 0)),"")</f>
        <v/>
      </c>
      <c r="AQ17" s="31">
        <f t="shared" si="5"/>
        <v>0</v>
      </c>
    </row>
    <row r="18" spans="1:43" x14ac:dyDescent="0.25">
      <c r="A18" s="31" t="str">
        <f>IFERROR(INDEX('G-1 All Habitats'!$AG$3:$AG$15,MATCH(E18,'G-1 All Habitats'!$AF$3:$AF$15,0)),"")</f>
        <v/>
      </c>
      <c r="B18" s="31" t="str">
        <f>IFERROR(INDEX('G-8 Condition Look up'!$I$4:$I$130,MATCH(G18,'G-8 Condition Look up'!$A$4:$A$130,0)),"")</f>
        <v/>
      </c>
      <c r="D18" s="141">
        <v>8</v>
      </c>
      <c r="E18" s="203"/>
      <c r="F18" s="203"/>
      <c r="G18" s="250" t="str">
        <f>IFERROR(INDEX('G-1 All Habitats'!$B$3:$B$129,MATCH(F18,'G-1 All Habitats'!$A$3:$A$129,0)),"")</f>
        <v/>
      </c>
      <c r="H18" s="172"/>
      <c r="I18" s="498" t="str">
        <f>IF(G18="","",VLOOKUP(G18,'G-1 All Habitats'!$B$2:$M$129,10,FALSE))</f>
        <v/>
      </c>
      <c r="J18" s="499" t="str">
        <f>IFERROR(VLOOKUP(I18,'G-1 All Habitats'!$V$3:$W$7,2,FALSE),"")</f>
        <v/>
      </c>
      <c r="K18" s="145"/>
      <c r="L18" s="499" t="str">
        <f>IFERROR(INDEX('G-8 Condition Look up'!$A$3:$H$130,MATCH(G18,'G-8 Condition Look up'!$A$3:$A$130,0),MATCH(K18,'G-8 Condition Look up'!$A$3:$H$3,0)),"")</f>
        <v/>
      </c>
      <c r="M18" s="154"/>
      <c r="N18" s="520" t="str">
        <f>IF(M18="","",IF(VLOOKUP(M18,'G-3 Multipliers'!$L$3:$N$6,2,FALSE)=0,"Spatial Data Missing ⚠",VLOOKUP(M18,'G-3 Multipliers'!$L$3:$N$6,2,FALSE)))</f>
        <v/>
      </c>
      <c r="O18" s="524" t="str">
        <f>IF(M18="","",IF(VLOOKUP(M18,'G-3 Multipliers'!$L$3:$N$6,3,FALSE)=0,"Spatial Data Missing ⚠",VLOOKUP(M18,'G-3 Multipliers'!$L$3:$N$6,3,FALSE)))</f>
        <v/>
      </c>
      <c r="P18" s="506" t="str">
        <f>IFERROR(VLOOKUP(G18,'G-1 All Habitats'!$B$2:$M$129,12,FALSE),"")</f>
        <v/>
      </c>
      <c r="Q18" s="513" t="str">
        <f>IFERROR(IF(P18="","",IF(AND(P18='G-1 All Habitats'!$X$3,T18&gt;0),U18+V18,IF(AND(P18='G-1 All Habitats'!$X$3,S18&gt;0),U18+V18,IF(AND(P18='G-1 All Habitats'!$X$3,AC18&gt;0),"Any Loss Unacceptable",IF(AND(P18='G-1 All Habitats'!$X$3,W18&gt;0),"Any Loss Unacceptable",H18*J18*L18*O18))))),"Check Data ⚠")</f>
        <v/>
      </c>
      <c r="R18" s="50"/>
      <c r="S18" s="71"/>
      <c r="T18" s="72"/>
      <c r="U18" s="511" t="str">
        <f t="shared" si="2"/>
        <v/>
      </c>
      <c r="V18" s="511" t="str">
        <f t="shared" si="3"/>
        <v/>
      </c>
      <c r="W18" s="511"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545" t="str">
        <f>IFERROR(IF(H18="","",IF(H18-S18-T18=0&lt;0,"Error in Areas ▲",IF(S18+T18&gt;H18,"Error in Areas ▲",IF(AND(P18='G-1 All Habitats'!$X$3,Y18="Yes"),"Alternative Compensation",IF(W18=0,0,IF(P18='G-1 All Habitats'!$X$3,"Unacceptable Loss",Q18-U18-V18)))))),"Check Data ⚠")</f>
        <v/>
      </c>
      <c r="Y18" s="72"/>
      <c r="Z18" s="151"/>
      <c r="AA18" s="152"/>
      <c r="AC18" s="251" t="str">
        <f>IF(P18="","",IF(P18='G-1 All Habitats'!$X$3,H18-S18-T18,"None"))</f>
        <v/>
      </c>
      <c r="AD18" s="252" t="str">
        <f t="shared" si="4"/>
        <v/>
      </c>
      <c r="AF18" s="156" t="str">
        <f t="shared" si="0"/>
        <v/>
      </c>
      <c r="AG18" s="156" t="str">
        <f t="shared" si="1"/>
        <v/>
      </c>
      <c r="AH18" s="156" t="str">
        <f>IF(I18="","",IF(#REF!&gt;0,TRUE,FALSE))</f>
        <v/>
      </c>
      <c r="AI18" s="156">
        <v>8</v>
      </c>
      <c r="AJ18" s="156"/>
      <c r="AK18" s="156" t="str">
        <f t="array" ref="AK18">IFERROR(INDEX($AI$11:$AI$259, MATCH(0, IF(TRUE=$AF$11:$AF$259, COUNTIF($AK$10:$AK17, $AI$11:$AI$259), ""), 0)),"")</f>
        <v/>
      </c>
      <c r="AL18" s="156" t="str">
        <f t="array" ref="AL18">IFERROR(INDEX($AI$11:$AI$259, MATCH(0, IF(TRUE=$AG$11:$AG$259, COUNTIF($AL$10:$AL17, $AI$11:$AI$259), ""), 0)),"")</f>
        <v/>
      </c>
      <c r="AM18" s="156" t="str">
        <f t="array" ref="AM18">IFERROR(INDEX($AI$11:$AI$259, MATCH(0, IF(TRUE=$AH$11:$AH$259, COUNTIF($AM$10:$AM17, $AI$11:$AI$259), ""), 0)),"")</f>
        <v/>
      </c>
      <c r="AQ18" s="31">
        <f t="shared" si="5"/>
        <v>0</v>
      </c>
    </row>
    <row r="19" spans="1:43" x14ac:dyDescent="0.25">
      <c r="A19" s="31" t="str">
        <f>IFERROR(INDEX('G-1 All Habitats'!$AG$3:$AG$15,MATCH(E19,'G-1 All Habitats'!$AF$3:$AF$15,0)),"")</f>
        <v/>
      </c>
      <c r="B19" s="31" t="str">
        <f>IFERROR(INDEX('G-8 Condition Look up'!$I$4:$I$130,MATCH(G19,'G-8 Condition Look up'!$A$4:$A$130,0)),"")</f>
        <v/>
      </c>
      <c r="D19" s="141">
        <v>9</v>
      </c>
      <c r="E19" s="203"/>
      <c r="F19" s="203"/>
      <c r="G19" s="250" t="str">
        <f>IFERROR(INDEX('G-1 All Habitats'!$B$3:$B$129,MATCH(F19,'G-1 All Habitats'!$A$3:$A$129,0)),"")</f>
        <v/>
      </c>
      <c r="H19" s="172"/>
      <c r="I19" s="498" t="str">
        <f>IF(G19="","",VLOOKUP(G19,'G-1 All Habitats'!$B$2:$M$129,10,FALSE))</f>
        <v/>
      </c>
      <c r="J19" s="499" t="str">
        <f>IFERROR(VLOOKUP(I19,'G-1 All Habitats'!$V$3:$W$7,2,FALSE),"")</f>
        <v/>
      </c>
      <c r="K19" s="145"/>
      <c r="L19" s="499" t="str">
        <f>IFERROR(INDEX('G-8 Condition Look up'!$A$3:$H$130,MATCH(G19,'G-8 Condition Look up'!$A$3:$A$130,0),MATCH(K19,'G-8 Condition Look up'!$A$3:$H$3,0)),"")</f>
        <v/>
      </c>
      <c r="M19" s="154"/>
      <c r="N19" s="520" t="str">
        <f>IF(M19="","",IF(VLOOKUP(M19,'G-3 Multipliers'!$L$3:$N$6,2,FALSE)=0,"Spatial Data Missing ⚠",VLOOKUP(M19,'G-3 Multipliers'!$L$3:$N$6,2,FALSE)))</f>
        <v/>
      </c>
      <c r="O19" s="524" t="str">
        <f>IF(M19="","",IF(VLOOKUP(M19,'G-3 Multipliers'!$L$3:$N$6,3,FALSE)=0,"Spatial Data Missing ⚠",VLOOKUP(M19,'G-3 Multipliers'!$L$3:$N$6,3,FALSE)))</f>
        <v/>
      </c>
      <c r="P19" s="506" t="str">
        <f>IFERROR(VLOOKUP(G19,'G-1 All Habitats'!$B$2:$M$129,12,FALSE),"")</f>
        <v/>
      </c>
      <c r="Q19" s="513" t="str">
        <f>IFERROR(IF(P19="","",IF(AND(P19='G-1 All Habitats'!$X$3,T19&gt;0),U19+V19,IF(AND(P19='G-1 All Habitats'!$X$3,S19&gt;0),U19+V19,IF(AND(P19='G-1 All Habitats'!$X$3,AC19&gt;0),"Any Loss Unacceptable",IF(AND(P19='G-1 All Habitats'!$X$3,W19&gt;0),"Any Loss Unacceptable",H19*J19*L19*O19))))),"Check Data ⚠")</f>
        <v/>
      </c>
      <c r="R19" s="50"/>
      <c r="S19" s="71"/>
      <c r="T19" s="72"/>
      <c r="U19" s="511" t="str">
        <f t="shared" si="2"/>
        <v/>
      </c>
      <c r="V19" s="511" t="str">
        <f t="shared" si="3"/>
        <v/>
      </c>
      <c r="W19" s="511"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545" t="str">
        <f>IFERROR(IF(H19="","",IF(H19-S19-T19=0&lt;0,"Error in Areas ▲",IF(S19+T19&gt;H19,"Error in Areas ▲",IF(AND(P19='G-1 All Habitats'!$X$3,Y19="Yes"),"Alternative Compensation",IF(W19=0,0,IF(P19='G-1 All Habitats'!$X$3,"Unacceptable Loss",Q19-U19-V19)))))),"Check Data ⚠")</f>
        <v/>
      </c>
      <c r="Y19" s="72"/>
      <c r="Z19" s="151"/>
      <c r="AA19" s="152"/>
      <c r="AC19" s="251" t="str">
        <f>IF(P19="","",IF(P19='G-1 All Habitats'!$X$3,H19-S19-T19,"None"))</f>
        <v/>
      </c>
      <c r="AD19" s="252" t="str">
        <f t="shared" si="4"/>
        <v/>
      </c>
      <c r="AF19" s="156" t="str">
        <f t="shared" si="0"/>
        <v/>
      </c>
      <c r="AG19" s="156" t="str">
        <f t="shared" si="1"/>
        <v/>
      </c>
      <c r="AH19" s="156" t="str">
        <f>IF(I19="","",IF(#REF!&gt;0,TRUE,FALSE))</f>
        <v/>
      </c>
      <c r="AI19" s="156">
        <v>9</v>
      </c>
      <c r="AJ19" s="156"/>
      <c r="AK19" s="156" t="str">
        <f t="array" ref="AK19">IFERROR(INDEX($AI$11:$AI$259, MATCH(0, IF(TRUE=$AF$11:$AF$259, COUNTIF($AK$10:$AK18, $AI$11:$AI$259), ""), 0)),"")</f>
        <v/>
      </c>
      <c r="AL19" s="156" t="str">
        <f t="array" ref="AL19">IFERROR(INDEX($AI$11:$AI$259, MATCH(0, IF(TRUE=$AG$11:$AG$259, COUNTIF($AL$10:$AL18, $AI$11:$AI$259), ""), 0)),"")</f>
        <v/>
      </c>
      <c r="AM19" s="156" t="str">
        <f t="array" ref="AM19">IFERROR(INDEX($AI$11:$AI$259, MATCH(0, IF(TRUE=$AH$11:$AH$259, COUNTIF($AM$10:$AM18, $AI$11:$AI$259), ""), 0)),"")</f>
        <v/>
      </c>
      <c r="AQ19" s="31">
        <f t="shared" si="5"/>
        <v>0</v>
      </c>
    </row>
    <row r="20" spans="1:43" x14ac:dyDescent="0.25">
      <c r="A20" s="31" t="str">
        <f>IFERROR(INDEX('G-1 All Habitats'!$AG$3:$AG$15,MATCH(E20,'G-1 All Habitats'!$AF$3:$AF$15,0)),"")</f>
        <v/>
      </c>
      <c r="B20" s="31" t="str">
        <f>IFERROR(INDEX('G-8 Condition Look up'!$I$4:$I$130,MATCH(G20,'G-8 Condition Look up'!$A$4:$A$130,0)),"")</f>
        <v/>
      </c>
      <c r="D20" s="141">
        <v>10</v>
      </c>
      <c r="E20" s="203"/>
      <c r="F20" s="203"/>
      <c r="G20" s="250" t="str">
        <f>IFERROR(INDEX('G-1 All Habitats'!$B$3:$B$129,MATCH(F20,'G-1 All Habitats'!$A$3:$A$129,0)),"")</f>
        <v/>
      </c>
      <c r="H20" s="172"/>
      <c r="I20" s="498" t="str">
        <f>IF(G20="","",VLOOKUP(G20,'G-1 All Habitats'!$B$2:$M$129,10,FALSE))</f>
        <v/>
      </c>
      <c r="J20" s="499" t="str">
        <f>IFERROR(VLOOKUP(I20,'G-1 All Habitats'!$V$3:$W$7,2,FALSE),"")</f>
        <v/>
      </c>
      <c r="K20" s="145"/>
      <c r="L20" s="499" t="str">
        <f>IFERROR(INDEX('G-8 Condition Look up'!$A$3:$H$130,MATCH(G20,'G-8 Condition Look up'!$A$3:$A$130,0),MATCH(K20,'G-8 Condition Look up'!$A$3:$H$3,0)),"")</f>
        <v/>
      </c>
      <c r="M20" s="154"/>
      <c r="N20" s="520" t="str">
        <f>IF(M20="","",IF(VLOOKUP(M20,'G-3 Multipliers'!$L$3:$N$6,2,FALSE)=0,"Spatial Data Missing ⚠",VLOOKUP(M20,'G-3 Multipliers'!$L$3:$N$6,2,FALSE)))</f>
        <v/>
      </c>
      <c r="O20" s="524" t="str">
        <f>IF(M20="","",IF(VLOOKUP(M20,'G-3 Multipliers'!$L$3:$N$6,3,FALSE)=0,"Spatial Data Missing ⚠",VLOOKUP(M20,'G-3 Multipliers'!$L$3:$N$6,3,FALSE)))</f>
        <v/>
      </c>
      <c r="P20" s="506" t="str">
        <f>IFERROR(VLOOKUP(G20,'G-1 All Habitats'!$B$2:$M$129,12,FALSE),"")</f>
        <v/>
      </c>
      <c r="Q20" s="513" t="str">
        <f>IFERROR(IF(P20="","",IF(AND(P20='G-1 All Habitats'!$X$3,T20&gt;0),U20+V20,IF(AND(P20='G-1 All Habitats'!$X$3,S20&gt;0),U20+V20,IF(AND(P20='G-1 All Habitats'!$X$3,AC20&gt;0),"Any Loss Unacceptable",IF(AND(P20='G-1 All Habitats'!$X$3,W20&gt;0),"Any Loss Unacceptable",H20*J20*L20*O20))))),"Check Data ⚠")</f>
        <v/>
      </c>
      <c r="R20" s="50"/>
      <c r="S20" s="71"/>
      <c r="T20" s="72"/>
      <c r="U20" s="511" t="str">
        <f t="shared" si="2"/>
        <v/>
      </c>
      <c r="V20" s="511" t="str">
        <f t="shared" si="3"/>
        <v/>
      </c>
      <c r="W20" s="511"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545" t="str">
        <f>IFERROR(IF(H20="","",IF(H20-S20-T20=0&lt;0,"Error in Areas ▲",IF(S20+T20&gt;H20,"Error in Areas ▲",IF(AND(P20='G-1 All Habitats'!$X$3,Y20="Yes"),"Alternative Compensation",IF(W20=0,0,IF(P20='G-1 All Habitats'!$X$3,"Unacceptable Loss",Q20-U20-V20)))))),"Check Data ⚠")</f>
        <v/>
      </c>
      <c r="Y20" s="72"/>
      <c r="Z20" s="151"/>
      <c r="AA20" s="152"/>
      <c r="AC20" s="251" t="str">
        <f>IF(P20="","",IF(P20='G-1 All Habitats'!$X$3,H20-S20-T20,"None"))</f>
        <v/>
      </c>
      <c r="AD20" s="252" t="str">
        <f t="shared" si="4"/>
        <v/>
      </c>
      <c r="AF20" s="156" t="str">
        <f t="shared" si="0"/>
        <v/>
      </c>
      <c r="AG20" s="156" t="str">
        <f t="shared" si="1"/>
        <v/>
      </c>
      <c r="AH20" s="156" t="str">
        <f>IF(I20="","",IF(#REF!&gt;0,TRUE,FALSE))</f>
        <v/>
      </c>
      <c r="AI20" s="156">
        <v>10</v>
      </c>
      <c r="AJ20" s="156"/>
      <c r="AK20" s="156" t="str">
        <f t="array" ref="AK20">IFERROR(INDEX($AI$11:$AI$259, MATCH(0, IF(TRUE=$AF$11:$AF$259, COUNTIF($AK$10:$AK19, $AI$11:$AI$259), ""), 0)),"")</f>
        <v/>
      </c>
      <c r="AL20" s="156" t="str">
        <f t="array" ref="AL20">IFERROR(INDEX($AI$11:$AI$259, MATCH(0, IF(TRUE=$AG$11:$AG$259, COUNTIF($AL$10:$AL19, $AI$11:$AI$259), ""), 0)),"")</f>
        <v/>
      </c>
      <c r="AM20" s="156" t="str">
        <f t="array" ref="AM20">IFERROR(INDEX($AI$11:$AI$259, MATCH(0, IF(TRUE=$AH$11:$AH$259, COUNTIF($AM$10:$AM19, $AI$11:$AI$259), ""), 0)),"")</f>
        <v/>
      </c>
      <c r="AQ20" s="31">
        <f t="shared" si="5"/>
        <v>0</v>
      </c>
    </row>
    <row r="21" spans="1:43" x14ac:dyDescent="0.25">
      <c r="A21" s="31" t="str">
        <f>IFERROR(INDEX('G-1 All Habitats'!$AG$3:$AG$15,MATCH(E21,'G-1 All Habitats'!$AF$3:$AF$15,0)),"")</f>
        <v/>
      </c>
      <c r="B21" s="31" t="str">
        <f>IFERROR(INDEX('G-8 Condition Look up'!$I$4:$I$130,MATCH(G21,'G-8 Condition Look up'!$A$4:$A$130,0)),"")</f>
        <v/>
      </c>
      <c r="D21" s="141">
        <v>11</v>
      </c>
      <c r="E21" s="203"/>
      <c r="F21" s="203"/>
      <c r="G21" s="250" t="str">
        <f>IFERROR(INDEX('G-1 All Habitats'!$B$3:$B$129,MATCH(F21,'G-1 All Habitats'!$A$3:$A$129,0)),"")</f>
        <v/>
      </c>
      <c r="H21" s="172"/>
      <c r="I21" s="498" t="str">
        <f>IF(G21="","",VLOOKUP(G21,'G-1 All Habitats'!$B$2:$M$129,10,FALSE))</f>
        <v/>
      </c>
      <c r="J21" s="499" t="str">
        <f>IFERROR(VLOOKUP(I21,'G-1 All Habitats'!$V$3:$W$7,2,FALSE),"")</f>
        <v/>
      </c>
      <c r="K21" s="145"/>
      <c r="L21" s="499" t="str">
        <f>IFERROR(INDEX('G-8 Condition Look up'!$A$3:$H$130,MATCH(G21,'G-8 Condition Look up'!$A$3:$A$130,0),MATCH(K21,'G-8 Condition Look up'!$A$3:$H$3,0)),"")</f>
        <v/>
      </c>
      <c r="M21" s="154"/>
      <c r="N21" s="520" t="str">
        <f>IF(M21="","",IF(VLOOKUP(M21,'G-3 Multipliers'!$L$3:$N$6,2,FALSE)=0,"Spatial Data Missing ⚠",VLOOKUP(M21,'G-3 Multipliers'!$L$3:$N$6,2,FALSE)))</f>
        <v/>
      </c>
      <c r="O21" s="524" t="str">
        <f>IF(M21="","",IF(VLOOKUP(M21,'G-3 Multipliers'!$L$3:$N$6,3,FALSE)=0,"Spatial Data Missing ⚠",VLOOKUP(M21,'G-3 Multipliers'!$L$3:$N$6,3,FALSE)))</f>
        <v/>
      </c>
      <c r="P21" s="506" t="str">
        <f>IFERROR(VLOOKUP(G21,'G-1 All Habitats'!$B$2:$M$129,12,FALSE),"")</f>
        <v/>
      </c>
      <c r="Q21" s="513" t="str">
        <f>IFERROR(IF(P21="","",IF(AND(P21='G-1 All Habitats'!$X$3,T21&gt;0),U21+V21,IF(AND(P21='G-1 All Habitats'!$X$3,S21&gt;0),U21+V21,IF(AND(P21='G-1 All Habitats'!$X$3,AC21&gt;0),"Any Loss Unacceptable",IF(AND(P21='G-1 All Habitats'!$X$3,W21&gt;0),"Any Loss Unacceptable",H21*J21*L21*O21))))),"Check Data ⚠")</f>
        <v/>
      </c>
      <c r="R21" s="50"/>
      <c r="S21" s="71"/>
      <c r="T21" s="72"/>
      <c r="U21" s="511" t="str">
        <f t="shared" si="2"/>
        <v/>
      </c>
      <c r="V21" s="511" t="str">
        <f t="shared" si="3"/>
        <v/>
      </c>
      <c r="W21" s="511"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545" t="str">
        <f>IFERROR(IF(H21="","",IF(H21-S21-T21=0&lt;0,"Error in Areas ▲",IF(S21+T21&gt;H21,"Error in Areas ▲",IF(AND(P21='G-1 All Habitats'!$X$3,Y21="Yes"),"Alternative Compensation",IF(W21=0,0,IF(P21='G-1 All Habitats'!$X$3,"Unacceptable Loss",Q21-U21-V21)))))),"Check Data ⚠")</f>
        <v/>
      </c>
      <c r="Y21" s="72"/>
      <c r="Z21" s="151"/>
      <c r="AA21" s="152"/>
      <c r="AC21" s="251" t="str">
        <f>IF(P21="","",IF(P21='G-1 All Habitats'!$X$3,H21-S21-T21,"None"))</f>
        <v/>
      </c>
      <c r="AD21" s="252" t="str">
        <f t="shared" si="4"/>
        <v/>
      </c>
      <c r="AF21" s="156" t="str">
        <f t="shared" si="0"/>
        <v/>
      </c>
      <c r="AG21" s="156" t="str">
        <f t="shared" si="1"/>
        <v/>
      </c>
      <c r="AH21" s="156" t="str">
        <f>IF(I21="","",IF(#REF!&gt;0,TRUE,FALSE))</f>
        <v/>
      </c>
      <c r="AI21" s="156">
        <v>11</v>
      </c>
      <c r="AJ21" s="156"/>
      <c r="AK21" s="156" t="str">
        <f t="array" ref="AK21">IFERROR(INDEX($AI$11:$AI$259, MATCH(0, IF(TRUE=$AF$11:$AF$259, COUNTIF($AK$10:$AK20, $AI$11:$AI$259), ""), 0)),"")</f>
        <v/>
      </c>
      <c r="AL21" s="156" t="str">
        <f t="array" ref="AL21">IFERROR(INDEX($AI$11:$AI$259, MATCH(0, IF(TRUE=$AG$11:$AG$259, COUNTIF($AL$10:$AL20, $AI$11:$AI$259), ""), 0)),"")</f>
        <v/>
      </c>
      <c r="AM21" s="156" t="str">
        <f t="array" ref="AM21">IFERROR(INDEX($AI$11:$AI$259, MATCH(0, IF(TRUE=$AH$11:$AH$259, COUNTIF($AM$10:$AM20, $AI$11:$AI$259), ""), 0)),"")</f>
        <v/>
      </c>
      <c r="AQ21" s="31">
        <f t="shared" si="5"/>
        <v>0</v>
      </c>
    </row>
    <row r="22" spans="1:43" x14ac:dyDescent="0.25">
      <c r="A22" s="31" t="str">
        <f>IFERROR(INDEX('G-1 All Habitats'!$AG$3:$AG$15,MATCH(E22,'G-1 All Habitats'!$AF$3:$AF$15,0)),"")</f>
        <v/>
      </c>
      <c r="B22" s="31" t="str">
        <f>IFERROR(INDEX('G-8 Condition Look up'!$I$4:$I$130,MATCH(G22,'G-8 Condition Look up'!$A$4:$A$130,0)),"")</f>
        <v/>
      </c>
      <c r="D22" s="141">
        <v>12</v>
      </c>
      <c r="E22" s="203"/>
      <c r="F22" s="203"/>
      <c r="G22" s="250" t="str">
        <f>IFERROR(INDEX('G-1 All Habitats'!$B$3:$B$129,MATCH(F22,'G-1 All Habitats'!$A$3:$A$129,0)),"")</f>
        <v/>
      </c>
      <c r="H22" s="172"/>
      <c r="I22" s="498" t="str">
        <f>IF(G22="","",VLOOKUP(G22,'G-1 All Habitats'!$B$2:$M$129,10,FALSE))</f>
        <v/>
      </c>
      <c r="J22" s="499" t="str">
        <f>IFERROR(VLOOKUP(I22,'G-1 All Habitats'!$V$3:$W$7,2,FALSE),"")</f>
        <v/>
      </c>
      <c r="K22" s="145"/>
      <c r="L22" s="499" t="str">
        <f>IFERROR(INDEX('G-8 Condition Look up'!$A$3:$H$130,MATCH(G22,'G-8 Condition Look up'!$A$3:$A$130,0),MATCH(K22,'G-8 Condition Look up'!$A$3:$H$3,0)),"")</f>
        <v/>
      </c>
      <c r="M22" s="154"/>
      <c r="N22" s="520" t="str">
        <f>IF(M22="","",IF(VLOOKUP(M22,'G-3 Multipliers'!$L$3:$N$6,2,FALSE)=0,"Spatial Data Missing ⚠",VLOOKUP(M22,'G-3 Multipliers'!$L$3:$N$6,2,FALSE)))</f>
        <v/>
      </c>
      <c r="O22" s="524" t="str">
        <f>IF(M22="","",IF(VLOOKUP(M22,'G-3 Multipliers'!$L$3:$N$6,3,FALSE)=0,"Spatial Data Missing ⚠",VLOOKUP(M22,'G-3 Multipliers'!$L$3:$N$6,3,FALSE)))</f>
        <v/>
      </c>
      <c r="P22" s="506" t="str">
        <f>IFERROR(VLOOKUP(G22,'G-1 All Habitats'!$B$2:$M$129,12,FALSE),"")</f>
        <v/>
      </c>
      <c r="Q22" s="513" t="str">
        <f>IFERROR(IF(P22="","",IF(AND(P22='G-1 All Habitats'!$X$3,T22&gt;0),U22+V22,IF(AND(P22='G-1 All Habitats'!$X$3,S22&gt;0),U22+V22,IF(AND(P22='G-1 All Habitats'!$X$3,AC22&gt;0),"Any Loss Unacceptable",IF(AND(P22='G-1 All Habitats'!$X$3,W22&gt;0),"Any Loss Unacceptable",H22*J22*L22*O22))))),"Check Data ⚠")</f>
        <v/>
      </c>
      <c r="R22" s="50"/>
      <c r="S22" s="71"/>
      <c r="T22" s="72"/>
      <c r="U22" s="511" t="str">
        <f t="shared" si="2"/>
        <v/>
      </c>
      <c r="V22" s="511" t="str">
        <f t="shared" si="3"/>
        <v/>
      </c>
      <c r="W22" s="511"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545" t="str">
        <f>IFERROR(IF(H22="","",IF(H22-S22-T22=0&lt;0,"Error in Areas ▲",IF(S22+T22&gt;H22,"Error in Areas ▲",IF(AND(P22='G-1 All Habitats'!$X$3,Y22="Yes"),"Alternative Compensation",IF(W22=0,0,IF(P22='G-1 All Habitats'!$X$3,"Unacceptable Loss",Q22-U22-V22)))))),"Check Data ⚠")</f>
        <v/>
      </c>
      <c r="Y22" s="72"/>
      <c r="Z22" s="151"/>
      <c r="AA22" s="152"/>
      <c r="AC22" s="251" t="str">
        <f>IF(P22="","",IF(P22='G-1 All Habitats'!$X$3,H22-S22-T22,"None"))</f>
        <v/>
      </c>
      <c r="AD22" s="252" t="str">
        <f t="shared" si="4"/>
        <v/>
      </c>
      <c r="AF22" s="156" t="str">
        <f t="shared" si="0"/>
        <v/>
      </c>
      <c r="AG22" s="156" t="str">
        <f t="shared" si="1"/>
        <v/>
      </c>
      <c r="AH22" s="156" t="str">
        <f>IF(I22="","",IF(#REF!&gt;0,TRUE,FALSE))</f>
        <v/>
      </c>
      <c r="AI22" s="156">
        <v>12</v>
      </c>
      <c r="AJ22" s="156"/>
      <c r="AK22" s="156" t="str">
        <f t="array" ref="AK22">IFERROR(INDEX($AI$11:$AI$259, MATCH(0, IF(TRUE=$AF$11:$AF$259, COUNTIF($AK$10:$AK21, $AI$11:$AI$259), ""), 0)),"")</f>
        <v/>
      </c>
      <c r="AL22" s="156" t="str">
        <f t="array" ref="AL22">IFERROR(INDEX($AI$11:$AI$259, MATCH(0, IF(TRUE=$AG$11:$AG$259, COUNTIF($AL$10:$AL21, $AI$11:$AI$259), ""), 0)),"")</f>
        <v/>
      </c>
      <c r="AM22" s="156" t="str">
        <f t="array" ref="AM22">IFERROR(INDEX($AI$11:$AI$259, MATCH(0, IF(TRUE=$AH$11:$AH$259, COUNTIF($AM$10:$AM21, $AI$11:$AI$259), ""), 0)),"")</f>
        <v/>
      </c>
      <c r="AQ22" s="31">
        <f t="shared" si="5"/>
        <v>0</v>
      </c>
    </row>
    <row r="23" spans="1:43" x14ac:dyDescent="0.25">
      <c r="A23" s="31" t="str">
        <f>IFERROR(INDEX('G-1 All Habitats'!$AG$3:$AG$15,MATCH(E23,'G-1 All Habitats'!$AF$3:$AF$15,0)),"")</f>
        <v/>
      </c>
      <c r="B23" s="31" t="str">
        <f>IFERROR(INDEX('G-8 Condition Look up'!$I$4:$I$130,MATCH(G23,'G-8 Condition Look up'!$A$4:$A$130,0)),"")</f>
        <v/>
      </c>
      <c r="D23" s="141">
        <v>13</v>
      </c>
      <c r="E23" s="203"/>
      <c r="F23" s="203"/>
      <c r="G23" s="250" t="str">
        <f>IFERROR(INDEX('G-1 All Habitats'!$B$3:$B$129,MATCH(F23,'G-1 All Habitats'!$A$3:$A$129,0)),"")</f>
        <v/>
      </c>
      <c r="H23" s="172"/>
      <c r="I23" s="498" t="str">
        <f>IF(G23="","",VLOOKUP(G23,'G-1 All Habitats'!$B$2:$M$129,10,FALSE))</f>
        <v/>
      </c>
      <c r="J23" s="499" t="str">
        <f>IFERROR(VLOOKUP(I23,'G-1 All Habitats'!$V$3:$W$7,2,FALSE),"")</f>
        <v/>
      </c>
      <c r="K23" s="145"/>
      <c r="L23" s="499" t="str">
        <f>IFERROR(INDEX('G-8 Condition Look up'!$A$3:$H$130,MATCH(G23,'G-8 Condition Look up'!$A$3:$A$130,0),MATCH(K23,'G-8 Condition Look up'!$A$3:$H$3,0)),"")</f>
        <v/>
      </c>
      <c r="M23" s="154"/>
      <c r="N23" s="520" t="str">
        <f>IF(M23="","",IF(VLOOKUP(M23,'G-3 Multipliers'!$L$3:$N$6,2,FALSE)=0,"Spatial Data Missing ⚠",VLOOKUP(M23,'G-3 Multipliers'!$L$3:$N$6,2,FALSE)))</f>
        <v/>
      </c>
      <c r="O23" s="524" t="str">
        <f>IF(M23="","",IF(VLOOKUP(M23,'G-3 Multipliers'!$L$3:$N$6,3,FALSE)=0,"Spatial Data Missing ⚠",VLOOKUP(M23,'G-3 Multipliers'!$L$3:$N$6,3,FALSE)))</f>
        <v/>
      </c>
      <c r="P23" s="506" t="str">
        <f>IFERROR(VLOOKUP(G23,'G-1 All Habitats'!$B$2:$M$129,12,FALSE),"")</f>
        <v/>
      </c>
      <c r="Q23" s="513" t="str">
        <f>IFERROR(IF(P23="","",IF(AND(P23='G-1 All Habitats'!$X$3,T23&gt;0),U23+V23,IF(AND(P23='G-1 All Habitats'!$X$3,S23&gt;0),U23+V23,IF(AND(P23='G-1 All Habitats'!$X$3,AC23&gt;0),"Any Loss Unacceptable",IF(AND(P23='G-1 All Habitats'!$X$3,W23&gt;0),"Any Loss Unacceptable",H23*J23*L23*O23))))),"Check Data ⚠")</f>
        <v/>
      </c>
      <c r="R23" s="50"/>
      <c r="S23" s="71"/>
      <c r="T23" s="72"/>
      <c r="U23" s="511" t="str">
        <f t="shared" si="2"/>
        <v/>
      </c>
      <c r="V23" s="511" t="str">
        <f t="shared" si="3"/>
        <v/>
      </c>
      <c r="W23" s="511"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545" t="str">
        <f>IFERROR(IF(H23="","",IF(H23-S23-T23=0&lt;0,"Error in Areas ▲",IF(S23+T23&gt;H23,"Error in Areas ▲",IF(AND(P23='G-1 All Habitats'!$X$3,Y23="Yes"),"Alternative Compensation",IF(W23=0,0,IF(P23='G-1 All Habitats'!$X$3,"Unacceptable Loss",Q23-U23-V23)))))),"Check Data ⚠")</f>
        <v/>
      </c>
      <c r="Y23" s="72"/>
      <c r="Z23" s="151"/>
      <c r="AA23" s="152"/>
      <c r="AC23" s="251" t="str">
        <f>IF(P23="","",IF(P23='G-1 All Habitats'!$X$3,H23-S23-T23,"None"))</f>
        <v/>
      </c>
      <c r="AD23" s="252" t="str">
        <f t="shared" si="4"/>
        <v/>
      </c>
      <c r="AF23" s="156" t="str">
        <f t="shared" si="0"/>
        <v/>
      </c>
      <c r="AG23" s="156" t="str">
        <f t="shared" si="1"/>
        <v/>
      </c>
      <c r="AH23" s="156" t="str">
        <f>IF(I23="","",IF(#REF!&gt;0,TRUE,FALSE))</f>
        <v/>
      </c>
      <c r="AI23" s="156">
        <v>13</v>
      </c>
      <c r="AJ23" s="156"/>
      <c r="AK23" s="156" t="str">
        <f t="array" ref="AK23">IFERROR(INDEX($AI$11:$AI$259, MATCH(0, IF(TRUE=$AF$11:$AF$259, COUNTIF($AK$10:$AK22, $AI$11:$AI$259), ""), 0)),"")</f>
        <v/>
      </c>
      <c r="AL23" s="156" t="str">
        <f t="array" ref="AL23">IFERROR(INDEX($AI$11:$AI$259, MATCH(0, IF(TRUE=$AG$11:$AG$259, COUNTIF($AL$10:$AL22, $AI$11:$AI$259), ""), 0)),"")</f>
        <v/>
      </c>
      <c r="AM23" s="156" t="str">
        <f t="array" ref="AM23">IFERROR(INDEX($AI$11:$AI$259, MATCH(0, IF(TRUE=$AH$11:$AH$259, COUNTIF($AM$10:$AM22, $AI$11:$AI$259), ""), 0)),"")</f>
        <v/>
      </c>
      <c r="AQ23" s="31">
        <f t="shared" si="5"/>
        <v>0</v>
      </c>
    </row>
    <row r="24" spans="1:43" x14ac:dyDescent="0.25">
      <c r="A24" s="31" t="str">
        <f>IFERROR(INDEX('G-1 All Habitats'!$AG$3:$AG$15,MATCH(E24,'G-1 All Habitats'!$AF$3:$AF$15,0)),"")</f>
        <v/>
      </c>
      <c r="B24" s="31" t="str">
        <f>IFERROR(INDEX('G-8 Condition Look up'!$I$4:$I$130,MATCH(G24,'G-8 Condition Look up'!$A$4:$A$130,0)),"")</f>
        <v/>
      </c>
      <c r="D24" s="141">
        <v>14</v>
      </c>
      <c r="E24" s="203"/>
      <c r="F24" s="203"/>
      <c r="G24" s="250" t="str">
        <f>IFERROR(INDEX('G-1 All Habitats'!$B$3:$B$129,MATCH(F24,'G-1 All Habitats'!$A$3:$A$129,0)),"")</f>
        <v/>
      </c>
      <c r="H24" s="172"/>
      <c r="I24" s="498" t="str">
        <f>IF(G24="","",VLOOKUP(G24,'G-1 All Habitats'!$B$2:$M$129,10,FALSE))</f>
        <v/>
      </c>
      <c r="J24" s="499" t="str">
        <f>IFERROR(VLOOKUP(I24,'G-1 All Habitats'!$V$3:$W$7,2,FALSE),"")</f>
        <v/>
      </c>
      <c r="K24" s="145"/>
      <c r="L24" s="499" t="str">
        <f>IFERROR(INDEX('G-8 Condition Look up'!$A$3:$H$130,MATCH(G24,'G-8 Condition Look up'!$A$3:$A$130,0),MATCH(K24,'G-8 Condition Look up'!$A$3:$H$3,0)),"")</f>
        <v/>
      </c>
      <c r="M24" s="154"/>
      <c r="N24" s="520" t="str">
        <f>IF(M24="","",IF(VLOOKUP(M24,'G-3 Multipliers'!$L$3:$N$6,2,FALSE)=0,"Spatial Data Missing ⚠",VLOOKUP(M24,'G-3 Multipliers'!$L$3:$N$6,2,FALSE)))</f>
        <v/>
      </c>
      <c r="O24" s="524" t="str">
        <f>IF(M24="","",IF(VLOOKUP(M24,'G-3 Multipliers'!$L$3:$N$6,3,FALSE)=0,"Spatial Data Missing ⚠",VLOOKUP(M24,'G-3 Multipliers'!$L$3:$N$6,3,FALSE)))</f>
        <v/>
      </c>
      <c r="P24" s="506" t="str">
        <f>IFERROR(VLOOKUP(G24,'G-1 All Habitats'!$B$2:$M$129,12,FALSE),"")</f>
        <v/>
      </c>
      <c r="Q24" s="513" t="str">
        <f>IFERROR(IF(P24="","",IF(AND(P24='G-1 All Habitats'!$X$3,T24&gt;0),U24+V24,IF(AND(P24='G-1 All Habitats'!$X$3,S24&gt;0),U24+V24,IF(AND(P24='G-1 All Habitats'!$X$3,AC24&gt;0),"Any Loss Unacceptable",IF(AND(P24='G-1 All Habitats'!$X$3,W24&gt;0),"Any Loss Unacceptable",H24*J24*L24*O24))))),"Check Data ⚠")</f>
        <v/>
      </c>
      <c r="R24" s="50"/>
      <c r="S24" s="71"/>
      <c r="T24" s="72"/>
      <c r="U24" s="511" t="str">
        <f t="shared" si="2"/>
        <v/>
      </c>
      <c r="V24" s="511" t="str">
        <f t="shared" si="3"/>
        <v/>
      </c>
      <c r="W24" s="511"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545" t="str">
        <f>IFERROR(IF(H24="","",IF(H24-S24-T24=0&lt;0,"Error in Areas ▲",IF(S24+T24&gt;H24,"Error in Areas ▲",IF(AND(P24='G-1 All Habitats'!$X$3,Y24="Yes"),"Alternative Compensation",IF(W24=0,0,IF(P24='G-1 All Habitats'!$X$3,"Unacceptable Loss",Q24-U24-V24)))))),"Check Data ⚠")</f>
        <v/>
      </c>
      <c r="Y24" s="72"/>
      <c r="Z24" s="151"/>
      <c r="AA24" s="152"/>
      <c r="AC24" s="251" t="str">
        <f>IF(P24="","",IF(P24='G-1 All Habitats'!$X$3,H24-S24-T24,"None"))</f>
        <v/>
      </c>
      <c r="AD24" s="252" t="str">
        <f t="shared" si="4"/>
        <v/>
      </c>
      <c r="AF24" s="156" t="str">
        <f t="shared" si="0"/>
        <v/>
      </c>
      <c r="AG24" s="156" t="str">
        <f t="shared" si="1"/>
        <v/>
      </c>
      <c r="AH24" s="156" t="str">
        <f>IF(I24="","",IF(#REF!&gt;0,TRUE,FALSE))</f>
        <v/>
      </c>
      <c r="AI24" s="156">
        <v>14</v>
      </c>
      <c r="AJ24" s="156"/>
      <c r="AK24" s="156" t="str">
        <f t="array" ref="AK24">IFERROR(INDEX($AI$11:$AI$259, MATCH(0, IF(TRUE=$AF$11:$AF$259, COUNTIF($AK$10:$AK23, $AI$11:$AI$259), ""), 0)),"")</f>
        <v/>
      </c>
      <c r="AL24" s="156" t="str">
        <f t="array" ref="AL24">IFERROR(INDEX($AI$11:$AI$259, MATCH(0, IF(TRUE=$AG$11:$AG$259, COUNTIF($AL$10:$AL23, $AI$11:$AI$259), ""), 0)),"")</f>
        <v/>
      </c>
      <c r="AM24" s="156" t="str">
        <f t="array" ref="AM24">IFERROR(INDEX($AI$11:$AI$259, MATCH(0, IF(TRUE=$AH$11:$AH$259, COUNTIF($AM$10:$AM23, $AI$11:$AI$259), ""), 0)),"")</f>
        <v/>
      </c>
      <c r="AQ24" s="31">
        <f t="shared" si="5"/>
        <v>0</v>
      </c>
    </row>
    <row r="25" spans="1:43" x14ac:dyDescent="0.25">
      <c r="A25" s="31" t="str">
        <f>IFERROR(INDEX('G-1 All Habitats'!$AG$3:$AG$15,MATCH(E25,'G-1 All Habitats'!$AF$3:$AF$15,0)),"")</f>
        <v/>
      </c>
      <c r="B25" s="31" t="str">
        <f>IFERROR(INDEX('G-8 Condition Look up'!$I$4:$I$130,MATCH(G25,'G-8 Condition Look up'!$A$4:$A$130,0)),"")</f>
        <v/>
      </c>
      <c r="D25" s="141">
        <v>15</v>
      </c>
      <c r="E25" s="203"/>
      <c r="F25" s="203"/>
      <c r="G25" s="250" t="str">
        <f>IFERROR(INDEX('G-1 All Habitats'!$B$3:$B$129,MATCH(F25,'G-1 All Habitats'!$A$3:$A$129,0)),"")</f>
        <v/>
      </c>
      <c r="H25" s="172"/>
      <c r="I25" s="498" t="str">
        <f>IF(G25="","",VLOOKUP(G25,'G-1 All Habitats'!$B$2:$M$129,10,FALSE))</f>
        <v/>
      </c>
      <c r="J25" s="499" t="str">
        <f>IFERROR(VLOOKUP(I25,'G-1 All Habitats'!$V$3:$W$7,2,FALSE),"")</f>
        <v/>
      </c>
      <c r="K25" s="145"/>
      <c r="L25" s="499" t="str">
        <f>IFERROR(INDEX('G-8 Condition Look up'!$A$3:$H$130,MATCH(G25,'G-8 Condition Look up'!$A$3:$A$130,0),MATCH(K25,'G-8 Condition Look up'!$A$3:$H$3,0)),"")</f>
        <v/>
      </c>
      <c r="M25" s="154"/>
      <c r="N25" s="520" t="str">
        <f>IF(M25="","",IF(VLOOKUP(M25,'G-3 Multipliers'!$L$3:$N$6,2,FALSE)=0,"Spatial Data Missing ⚠",VLOOKUP(M25,'G-3 Multipliers'!$L$3:$N$6,2,FALSE)))</f>
        <v/>
      </c>
      <c r="O25" s="524" t="str">
        <f>IF(M25="","",IF(VLOOKUP(M25,'G-3 Multipliers'!$L$3:$N$6,3,FALSE)=0,"Spatial Data Missing ⚠",VLOOKUP(M25,'G-3 Multipliers'!$L$3:$N$6,3,FALSE)))</f>
        <v/>
      </c>
      <c r="P25" s="506" t="str">
        <f>IFERROR(VLOOKUP(G25,'G-1 All Habitats'!$B$2:$M$129,12,FALSE),"")</f>
        <v/>
      </c>
      <c r="Q25" s="513" t="str">
        <f>IFERROR(IF(P25="","",IF(AND(P25='G-1 All Habitats'!$X$3,T25&gt;0),U25+V25,IF(AND(P25='G-1 All Habitats'!$X$3,S25&gt;0),U25+V25,IF(AND(P25='G-1 All Habitats'!$X$3,AC25&gt;0),"Any Loss Unacceptable",IF(AND(P25='G-1 All Habitats'!$X$3,W25&gt;0),"Any Loss Unacceptable",H25*J25*L25*O25))))),"Check Data ⚠")</f>
        <v/>
      </c>
      <c r="R25" s="50"/>
      <c r="S25" s="71"/>
      <c r="T25" s="72"/>
      <c r="U25" s="511" t="str">
        <f t="shared" si="2"/>
        <v/>
      </c>
      <c r="V25" s="511" t="str">
        <f t="shared" si="3"/>
        <v/>
      </c>
      <c r="W25" s="511"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545" t="str">
        <f>IFERROR(IF(H25="","",IF(H25-S25-T25=0&lt;0,"Error in Areas ▲",IF(S25+T25&gt;H25,"Error in Areas ▲",IF(AND(P25='G-1 All Habitats'!$X$3,Y25="Yes"),"Alternative Compensation",IF(W25=0,0,IF(P25='G-1 All Habitats'!$X$3,"Unacceptable Loss",Q25-U25-V25)))))),"Check Data ⚠")</f>
        <v/>
      </c>
      <c r="Y25" s="72"/>
      <c r="Z25" s="151"/>
      <c r="AA25" s="152"/>
      <c r="AC25" s="251" t="str">
        <f>IF(P25="","",IF(P25='G-1 All Habitats'!$X$3,H25-S25-T25,"None"))</f>
        <v/>
      </c>
      <c r="AD25" s="252" t="str">
        <f t="shared" si="4"/>
        <v/>
      </c>
      <c r="AF25" s="156" t="str">
        <f t="shared" si="0"/>
        <v/>
      </c>
      <c r="AG25" s="156" t="str">
        <f t="shared" si="1"/>
        <v/>
      </c>
      <c r="AH25" s="156" t="str">
        <f>IF(I25="","",IF(#REF!&gt;0,TRUE,FALSE))</f>
        <v/>
      </c>
      <c r="AI25" s="156">
        <v>15</v>
      </c>
      <c r="AJ25" s="156"/>
      <c r="AK25" s="156" t="str">
        <f t="array" ref="AK25">IFERROR(INDEX($AI$11:$AI$259, MATCH(0, IF(TRUE=$AF$11:$AF$259, COUNTIF($AK$10:$AK24, $AI$11:$AI$259), ""), 0)),"")</f>
        <v/>
      </c>
      <c r="AL25" s="156" t="str">
        <f t="array" ref="AL25">IFERROR(INDEX($AI$11:$AI$259, MATCH(0, IF(TRUE=$AG$11:$AG$259, COUNTIF($AL$10:$AL24, $AI$11:$AI$259), ""), 0)),"")</f>
        <v/>
      </c>
      <c r="AM25" s="156" t="str">
        <f t="array" ref="AM25">IFERROR(INDEX($AI$11:$AI$259, MATCH(0, IF(TRUE=$AH$11:$AH$259, COUNTIF($AM$10:$AM24, $AI$11:$AI$259), ""), 0)),"")</f>
        <v/>
      </c>
      <c r="AQ25" s="31">
        <f t="shared" si="5"/>
        <v>0</v>
      </c>
    </row>
    <row r="26" spans="1:43" x14ac:dyDescent="0.25">
      <c r="A26" s="31" t="str">
        <f>IFERROR(INDEX('G-1 All Habitats'!$AG$3:$AG$15,MATCH(E26,'G-1 All Habitats'!$AF$3:$AF$15,0)),"")</f>
        <v/>
      </c>
      <c r="B26" s="31" t="str">
        <f>IFERROR(INDEX('G-8 Condition Look up'!$I$4:$I$130,MATCH(G26,'G-8 Condition Look up'!$A$4:$A$130,0)),"")</f>
        <v/>
      </c>
      <c r="D26" s="141">
        <v>16</v>
      </c>
      <c r="E26" s="203"/>
      <c r="F26" s="203"/>
      <c r="G26" s="250" t="str">
        <f>IFERROR(INDEX('G-1 All Habitats'!$B$3:$B$129,MATCH(F26,'G-1 All Habitats'!$A$3:$A$129,0)),"")</f>
        <v/>
      </c>
      <c r="H26" s="172"/>
      <c r="I26" s="498" t="str">
        <f>IF(G26="","",VLOOKUP(G26,'G-1 All Habitats'!$B$2:$M$129,10,FALSE))</f>
        <v/>
      </c>
      <c r="J26" s="499" t="str">
        <f>IFERROR(VLOOKUP(I26,'G-1 All Habitats'!$V$3:$W$7,2,FALSE),"")</f>
        <v/>
      </c>
      <c r="K26" s="145"/>
      <c r="L26" s="499" t="str">
        <f>IFERROR(INDEX('G-8 Condition Look up'!$A$3:$H$130,MATCH(G26,'G-8 Condition Look up'!$A$3:$A$130,0),MATCH(K26,'G-8 Condition Look up'!$A$3:$H$3,0)),"")</f>
        <v/>
      </c>
      <c r="M26" s="154"/>
      <c r="N26" s="520" t="str">
        <f>IF(M26="","",IF(VLOOKUP(M26,'G-3 Multipliers'!$L$3:$N$6,2,FALSE)=0,"Spatial Data Missing ⚠",VLOOKUP(M26,'G-3 Multipliers'!$L$3:$N$6,2,FALSE)))</f>
        <v/>
      </c>
      <c r="O26" s="524" t="str">
        <f>IF(M26="","",IF(VLOOKUP(M26,'G-3 Multipliers'!$L$3:$N$6,3,FALSE)=0,"Spatial Data Missing ⚠",VLOOKUP(M26,'G-3 Multipliers'!$L$3:$N$6,3,FALSE)))</f>
        <v/>
      </c>
      <c r="P26" s="506" t="str">
        <f>IFERROR(VLOOKUP(G26,'G-1 All Habitats'!$B$2:$M$129,12,FALSE),"")</f>
        <v/>
      </c>
      <c r="Q26" s="513" t="str">
        <f>IFERROR(IF(P26="","",IF(AND(P26='G-1 All Habitats'!$X$3,T26&gt;0),U26+V26,IF(AND(P26='G-1 All Habitats'!$X$3,S26&gt;0),U26+V26,IF(AND(P26='G-1 All Habitats'!$X$3,AC26&gt;0),"Any Loss Unacceptable",IF(AND(P26='G-1 All Habitats'!$X$3,W26&gt;0),"Any Loss Unacceptable",H26*J26*L26*O26))))),"Check Data ⚠")</f>
        <v/>
      </c>
      <c r="R26" s="50"/>
      <c r="S26" s="71"/>
      <c r="T26" s="72"/>
      <c r="U26" s="511" t="str">
        <f t="shared" si="2"/>
        <v/>
      </c>
      <c r="V26" s="511" t="str">
        <f t="shared" si="3"/>
        <v/>
      </c>
      <c r="W26" s="511"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545" t="str">
        <f>IFERROR(IF(H26="","",IF(H26-S26-T26=0&lt;0,"Error in Areas ▲",IF(S26+T26&gt;H26,"Error in Areas ▲",IF(AND(P26='G-1 All Habitats'!$X$3,Y26="Yes"),"Alternative Compensation",IF(W26=0,0,IF(P26='G-1 All Habitats'!$X$3,"Unacceptable Loss",Q26-U26-V26)))))),"Check Data ⚠")</f>
        <v/>
      </c>
      <c r="Y26" s="72"/>
      <c r="Z26" s="151"/>
      <c r="AA26" s="152"/>
      <c r="AC26" s="251" t="str">
        <f>IF(P26="","",IF(P26='G-1 All Habitats'!$X$3,H26-S26-T26,"None"))</f>
        <v/>
      </c>
      <c r="AD26" s="252" t="str">
        <f t="shared" si="4"/>
        <v/>
      </c>
      <c r="AF26" s="156" t="str">
        <f t="shared" si="0"/>
        <v/>
      </c>
      <c r="AG26" s="156" t="str">
        <f t="shared" si="1"/>
        <v/>
      </c>
      <c r="AH26" s="156" t="str">
        <f>IF(I26="","",IF(#REF!&gt;0,TRUE,FALSE))</f>
        <v/>
      </c>
      <c r="AI26" s="156">
        <v>16</v>
      </c>
      <c r="AJ26" s="156"/>
      <c r="AK26" s="156" t="str">
        <f t="array" ref="AK26">IFERROR(INDEX($AI$11:$AI$259, MATCH(0, IF(TRUE=$AF$11:$AF$259, COUNTIF($AK$10:$AK25, $AI$11:$AI$259), ""), 0)),"")</f>
        <v/>
      </c>
      <c r="AL26" s="156" t="str">
        <f t="array" ref="AL26">IFERROR(INDEX($AI$11:$AI$259, MATCH(0, IF(TRUE=$AG$11:$AG$259, COUNTIF($AL$10:$AL25, $AI$11:$AI$259), ""), 0)),"")</f>
        <v/>
      </c>
      <c r="AM26" s="156" t="str">
        <f t="array" ref="AM26">IFERROR(INDEX($AI$11:$AI$259, MATCH(0, IF(TRUE=$AH$11:$AH$259, COUNTIF($AM$10:$AM25, $AI$11:$AI$259), ""), 0)),"")</f>
        <v/>
      </c>
      <c r="AQ26" s="31">
        <f t="shared" si="5"/>
        <v>0</v>
      </c>
    </row>
    <row r="27" spans="1:43" x14ac:dyDescent="0.25">
      <c r="A27" s="31" t="str">
        <f>IFERROR(INDEX('G-1 All Habitats'!$AG$3:$AG$15,MATCH(E27,'G-1 All Habitats'!$AF$3:$AF$15,0)),"")</f>
        <v/>
      </c>
      <c r="B27" s="31" t="str">
        <f>IFERROR(INDEX('G-8 Condition Look up'!$I$4:$I$130,MATCH(G27,'G-8 Condition Look up'!$A$4:$A$130,0)),"")</f>
        <v/>
      </c>
      <c r="D27" s="141">
        <v>17</v>
      </c>
      <c r="E27" s="203"/>
      <c r="F27" s="203"/>
      <c r="G27" s="250" t="str">
        <f>IFERROR(INDEX('G-1 All Habitats'!$B$3:$B$129,MATCH(F27,'G-1 All Habitats'!$A$3:$A$129,0)),"")</f>
        <v/>
      </c>
      <c r="H27" s="172"/>
      <c r="I27" s="498" t="str">
        <f>IF(G27="","",VLOOKUP(G27,'G-1 All Habitats'!$B$2:$M$129,10,FALSE))</f>
        <v/>
      </c>
      <c r="J27" s="499" t="str">
        <f>IFERROR(VLOOKUP(I27,'G-1 All Habitats'!$V$3:$W$7,2,FALSE),"")</f>
        <v/>
      </c>
      <c r="K27" s="145"/>
      <c r="L27" s="499" t="str">
        <f>IFERROR(INDEX('G-8 Condition Look up'!$A$3:$H$130,MATCH(G27,'G-8 Condition Look up'!$A$3:$A$130,0),MATCH(K27,'G-8 Condition Look up'!$A$3:$H$3,0)),"")</f>
        <v/>
      </c>
      <c r="M27" s="154"/>
      <c r="N27" s="520" t="str">
        <f>IF(M27="","",IF(VLOOKUP(M27,'G-3 Multipliers'!$L$3:$N$6,2,FALSE)=0,"Spatial Data Missing ⚠",VLOOKUP(M27,'G-3 Multipliers'!$L$3:$N$6,2,FALSE)))</f>
        <v/>
      </c>
      <c r="O27" s="524" t="str">
        <f>IF(M27="","",IF(VLOOKUP(M27,'G-3 Multipliers'!$L$3:$N$6,3,FALSE)=0,"Spatial Data Missing ⚠",VLOOKUP(M27,'G-3 Multipliers'!$L$3:$N$6,3,FALSE)))</f>
        <v/>
      </c>
      <c r="P27" s="506" t="str">
        <f>IFERROR(VLOOKUP(G27,'G-1 All Habitats'!$B$2:$M$129,12,FALSE),"")</f>
        <v/>
      </c>
      <c r="Q27" s="513" t="str">
        <f>IFERROR(IF(P27="","",IF(AND(P27='G-1 All Habitats'!$X$3,T27&gt;0),U27+V27,IF(AND(P27='G-1 All Habitats'!$X$3,S27&gt;0),U27+V27,IF(AND(P27='G-1 All Habitats'!$X$3,AC27&gt;0),"Any Loss Unacceptable",IF(AND(P27='G-1 All Habitats'!$X$3,W27&gt;0),"Any Loss Unacceptable",H27*J27*L27*O27))))),"Check Data ⚠")</f>
        <v/>
      </c>
      <c r="R27" s="50"/>
      <c r="S27" s="71"/>
      <c r="T27" s="72"/>
      <c r="U27" s="511" t="str">
        <f t="shared" si="2"/>
        <v/>
      </c>
      <c r="V27" s="511" t="str">
        <f t="shared" si="3"/>
        <v/>
      </c>
      <c r="W27" s="511"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545" t="str">
        <f>IFERROR(IF(H27="","",IF(H27-S27-T27=0&lt;0,"Error in Areas ▲",IF(S27+T27&gt;H27,"Error in Areas ▲",IF(AND(P27='G-1 All Habitats'!$X$3,Y27="Yes"),"Alternative Compensation",IF(W27=0,0,IF(P27='G-1 All Habitats'!$X$3,"Unacceptable Loss",Q27-U27-V27)))))),"Check Data ⚠")</f>
        <v/>
      </c>
      <c r="Y27" s="72"/>
      <c r="Z27" s="151"/>
      <c r="AA27" s="152"/>
      <c r="AC27" s="251" t="str">
        <f>IF(P27="","",IF(P27='G-1 All Habitats'!$X$3,H27-S27-T27,"None"))</f>
        <v/>
      </c>
      <c r="AD27" s="252" t="str">
        <f t="shared" si="4"/>
        <v/>
      </c>
      <c r="AF27" s="156" t="str">
        <f t="shared" si="0"/>
        <v/>
      </c>
      <c r="AG27" s="156" t="str">
        <f t="shared" si="1"/>
        <v/>
      </c>
      <c r="AH27" s="156" t="str">
        <f>IF(I27="","",IF(#REF!&gt;0,TRUE,FALSE))</f>
        <v/>
      </c>
      <c r="AI27" s="156">
        <v>17</v>
      </c>
      <c r="AJ27" s="156"/>
      <c r="AK27" s="156" t="str">
        <f t="array" ref="AK27">IFERROR(INDEX($AI$11:$AI$259, MATCH(0, IF(TRUE=$AF$11:$AF$259, COUNTIF($AK$10:$AK26, $AI$11:$AI$259), ""), 0)),"")</f>
        <v/>
      </c>
      <c r="AL27" s="156" t="str">
        <f t="array" ref="AL27">IFERROR(INDEX($AI$11:$AI$259, MATCH(0, IF(TRUE=$AG$11:$AG$259, COUNTIF($AL$10:$AL26, $AI$11:$AI$259), ""), 0)),"")</f>
        <v/>
      </c>
      <c r="AM27" s="156" t="str">
        <f t="array" ref="AM27">IFERROR(INDEX($AI$11:$AI$259, MATCH(0, IF(TRUE=$AH$11:$AH$259, COUNTIF($AM$10:$AM26, $AI$11:$AI$259), ""), 0)),"")</f>
        <v/>
      </c>
      <c r="AQ27" s="31">
        <f t="shared" si="5"/>
        <v>0</v>
      </c>
    </row>
    <row r="28" spans="1:43" x14ac:dyDescent="0.25">
      <c r="A28" s="31" t="str">
        <f>IFERROR(INDEX('G-1 All Habitats'!$AG$3:$AG$15,MATCH(E28,'G-1 All Habitats'!$AF$3:$AF$15,0)),"")</f>
        <v/>
      </c>
      <c r="B28" s="31" t="str">
        <f>IFERROR(INDEX('G-8 Condition Look up'!$I$4:$I$130,MATCH(G28,'G-8 Condition Look up'!$A$4:$A$130,0)),"")</f>
        <v/>
      </c>
      <c r="D28" s="141">
        <v>18</v>
      </c>
      <c r="E28" s="203"/>
      <c r="F28" s="203"/>
      <c r="G28" s="250" t="str">
        <f>IFERROR(INDEX('G-1 All Habitats'!$B$3:$B$129,MATCH(F28,'G-1 All Habitats'!$A$3:$A$129,0)),"")</f>
        <v/>
      </c>
      <c r="H28" s="172"/>
      <c r="I28" s="498" t="str">
        <f>IF(G28="","",VLOOKUP(G28,'G-1 All Habitats'!$B$2:$M$129,10,FALSE))</f>
        <v/>
      </c>
      <c r="J28" s="499" t="str">
        <f>IFERROR(VLOOKUP(I28,'G-1 All Habitats'!$V$3:$W$7,2,FALSE),"")</f>
        <v/>
      </c>
      <c r="K28" s="145"/>
      <c r="L28" s="499" t="str">
        <f>IFERROR(INDEX('G-8 Condition Look up'!$A$3:$H$130,MATCH(G28,'G-8 Condition Look up'!$A$3:$A$130,0),MATCH(K28,'G-8 Condition Look up'!$A$3:$H$3,0)),"")</f>
        <v/>
      </c>
      <c r="M28" s="154"/>
      <c r="N28" s="520" t="str">
        <f>IF(M28="","",IF(VLOOKUP(M28,'G-3 Multipliers'!$L$3:$N$6,2,FALSE)=0,"Spatial Data Missing ⚠",VLOOKUP(M28,'G-3 Multipliers'!$L$3:$N$6,2,FALSE)))</f>
        <v/>
      </c>
      <c r="O28" s="524" t="str">
        <f>IF(M28="","",IF(VLOOKUP(M28,'G-3 Multipliers'!$L$3:$N$6,3,FALSE)=0,"Spatial Data Missing ⚠",VLOOKUP(M28,'G-3 Multipliers'!$L$3:$N$6,3,FALSE)))</f>
        <v/>
      </c>
      <c r="P28" s="506" t="str">
        <f>IFERROR(VLOOKUP(G28,'G-1 All Habitats'!$B$2:$M$129,12,FALSE),"")</f>
        <v/>
      </c>
      <c r="Q28" s="513" t="str">
        <f>IFERROR(IF(P28="","",IF(AND(P28='G-1 All Habitats'!$X$3,T28&gt;0),U28+V28,IF(AND(P28='G-1 All Habitats'!$X$3,S28&gt;0),U28+V28,IF(AND(P28='G-1 All Habitats'!$X$3,AC28&gt;0),"Any Loss Unacceptable",IF(AND(P28='G-1 All Habitats'!$X$3,W28&gt;0),"Any Loss Unacceptable",H28*J28*L28*O28))))),"Check Data ⚠")</f>
        <v/>
      </c>
      <c r="R28" s="50"/>
      <c r="S28" s="71"/>
      <c r="T28" s="72"/>
      <c r="U28" s="511" t="str">
        <f t="shared" si="2"/>
        <v/>
      </c>
      <c r="V28" s="511" t="str">
        <f t="shared" si="3"/>
        <v/>
      </c>
      <c r="W28" s="511"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545" t="str">
        <f>IFERROR(IF(H28="","",IF(H28-S28-T28=0&lt;0,"Error in Areas ▲",IF(S28+T28&gt;H28,"Error in Areas ▲",IF(AND(P28='G-1 All Habitats'!$X$3,Y28="Yes"),"Alternative Compensation",IF(W28=0,0,IF(P28='G-1 All Habitats'!$X$3,"Unacceptable Loss",Q28-U28-V28)))))),"Check Data ⚠")</f>
        <v/>
      </c>
      <c r="Y28" s="72"/>
      <c r="Z28" s="151"/>
      <c r="AA28" s="152"/>
      <c r="AC28" s="251" t="str">
        <f>IF(P28="","",IF(P28='G-1 All Habitats'!$X$3,H28-S28-T28,"None"))</f>
        <v/>
      </c>
      <c r="AD28" s="252" t="str">
        <f t="shared" si="4"/>
        <v/>
      </c>
      <c r="AF28" s="156" t="str">
        <f t="shared" si="0"/>
        <v/>
      </c>
      <c r="AG28" s="156" t="str">
        <f t="shared" si="1"/>
        <v/>
      </c>
      <c r="AH28" s="156" t="str">
        <f>IF(I28="","",IF(#REF!&gt;0,TRUE,FALSE))</f>
        <v/>
      </c>
      <c r="AI28" s="156">
        <v>18</v>
      </c>
      <c r="AJ28" s="156"/>
      <c r="AK28" s="156" t="str">
        <f t="array" ref="AK28">IFERROR(INDEX($AI$11:$AI$259, MATCH(0, IF(TRUE=$AF$11:$AF$259, COUNTIF($AK$10:$AK27, $AI$11:$AI$259), ""), 0)),"")</f>
        <v/>
      </c>
      <c r="AL28" s="156" t="str">
        <f t="array" ref="AL28">IFERROR(INDEX($AI$11:$AI$259, MATCH(0, IF(TRUE=$AG$11:$AG$259, COUNTIF($AL$10:$AL27, $AI$11:$AI$259), ""), 0)),"")</f>
        <v/>
      </c>
      <c r="AM28" s="156" t="str">
        <f t="array" ref="AM28">IFERROR(INDEX($AI$11:$AI$259, MATCH(0, IF(TRUE=$AH$11:$AH$259, COUNTIF($AM$10:$AM27, $AI$11:$AI$259), ""), 0)),"")</f>
        <v/>
      </c>
      <c r="AQ28" s="31">
        <f t="shared" si="5"/>
        <v>0</v>
      </c>
    </row>
    <row r="29" spans="1:43" x14ac:dyDescent="0.25">
      <c r="A29" s="31" t="str">
        <f>IFERROR(INDEX('G-1 All Habitats'!$AG$3:$AG$15,MATCH(E29,'G-1 All Habitats'!$AF$3:$AF$15,0)),"")</f>
        <v/>
      </c>
      <c r="B29" s="31" t="str">
        <f>IFERROR(INDEX('G-8 Condition Look up'!$I$4:$I$130,MATCH(G29,'G-8 Condition Look up'!$A$4:$A$130,0)),"")</f>
        <v/>
      </c>
      <c r="D29" s="141">
        <v>19</v>
      </c>
      <c r="E29" s="203"/>
      <c r="F29" s="203"/>
      <c r="G29" s="250" t="str">
        <f>IFERROR(INDEX('G-1 All Habitats'!$B$3:$B$129,MATCH(F29,'G-1 All Habitats'!$A$3:$A$129,0)),"")</f>
        <v/>
      </c>
      <c r="H29" s="172"/>
      <c r="I29" s="498" t="str">
        <f>IF(G29="","",VLOOKUP(G29,'G-1 All Habitats'!$B$2:$M$129,10,FALSE))</f>
        <v/>
      </c>
      <c r="J29" s="499" t="str">
        <f>IFERROR(VLOOKUP(I29,'G-1 All Habitats'!$V$3:$W$7,2,FALSE),"")</f>
        <v/>
      </c>
      <c r="K29" s="145"/>
      <c r="L29" s="499" t="str">
        <f>IFERROR(INDEX('G-8 Condition Look up'!$A$3:$H$130,MATCH(G29,'G-8 Condition Look up'!$A$3:$A$130,0),MATCH(K29,'G-8 Condition Look up'!$A$3:$H$3,0)),"")</f>
        <v/>
      </c>
      <c r="M29" s="154"/>
      <c r="N29" s="520" t="str">
        <f>IF(M29="","",IF(VLOOKUP(M29,'G-3 Multipliers'!$L$3:$N$6,2,FALSE)=0,"Spatial Data Missing ⚠",VLOOKUP(M29,'G-3 Multipliers'!$L$3:$N$6,2,FALSE)))</f>
        <v/>
      </c>
      <c r="O29" s="524" t="str">
        <f>IF(M29="","",IF(VLOOKUP(M29,'G-3 Multipliers'!$L$3:$N$6,3,FALSE)=0,"Spatial Data Missing ⚠",VLOOKUP(M29,'G-3 Multipliers'!$L$3:$N$6,3,FALSE)))</f>
        <v/>
      </c>
      <c r="P29" s="506" t="str">
        <f>IFERROR(VLOOKUP(G29,'G-1 All Habitats'!$B$2:$M$129,12,FALSE),"")</f>
        <v/>
      </c>
      <c r="Q29" s="513" t="str">
        <f>IFERROR(IF(P29="","",IF(AND(P29='G-1 All Habitats'!$X$3,T29&gt;0),U29+V29,IF(AND(P29='G-1 All Habitats'!$X$3,S29&gt;0),U29+V29,IF(AND(P29='G-1 All Habitats'!$X$3,AC29&gt;0),"Any Loss Unacceptable",IF(AND(P29='G-1 All Habitats'!$X$3,W29&gt;0),"Any Loss Unacceptable",H29*J29*L29*O29))))),"Check Data ⚠")</f>
        <v/>
      </c>
      <c r="R29" s="50"/>
      <c r="S29" s="71"/>
      <c r="T29" s="72"/>
      <c r="U29" s="511" t="str">
        <f t="shared" si="2"/>
        <v/>
      </c>
      <c r="V29" s="511" t="str">
        <f t="shared" si="3"/>
        <v/>
      </c>
      <c r="W29" s="511"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545" t="str">
        <f>IFERROR(IF(H29="","",IF(H29-S29-T29=0&lt;0,"Error in Areas ▲",IF(S29+T29&gt;H29,"Error in Areas ▲",IF(AND(P29='G-1 All Habitats'!$X$3,Y29="Yes"),"Alternative Compensation",IF(W29=0,0,IF(P29='G-1 All Habitats'!$X$3,"Unacceptable Loss",Q29-U29-V29)))))),"Check Data ⚠")</f>
        <v/>
      </c>
      <c r="Y29" s="72"/>
      <c r="Z29" s="151"/>
      <c r="AA29" s="152"/>
      <c r="AC29" s="251" t="str">
        <f>IF(P29="","",IF(P29='G-1 All Habitats'!$X$3,H29-S29-T29,"None"))</f>
        <v/>
      </c>
      <c r="AD29" s="252" t="str">
        <f t="shared" si="4"/>
        <v/>
      </c>
      <c r="AF29" s="156" t="str">
        <f t="shared" si="0"/>
        <v/>
      </c>
      <c r="AG29" s="156" t="str">
        <f t="shared" si="1"/>
        <v/>
      </c>
      <c r="AH29" s="156" t="str">
        <f>IF(I29="","",IF(#REF!&gt;0,TRUE,FALSE))</f>
        <v/>
      </c>
      <c r="AI29" s="156">
        <v>19</v>
      </c>
      <c r="AJ29" s="156"/>
      <c r="AK29" s="156" t="str">
        <f t="array" ref="AK29">IFERROR(INDEX($AI$11:$AI$259, MATCH(0, IF(TRUE=$AF$11:$AF$259, COUNTIF($AK$10:$AK28, $AI$11:$AI$259), ""), 0)),"")</f>
        <v/>
      </c>
      <c r="AL29" s="156" t="str">
        <f t="array" ref="AL29">IFERROR(INDEX($AI$11:$AI$259, MATCH(0, IF(TRUE=$AG$11:$AG$259, COUNTIF($AL$10:$AL28, $AI$11:$AI$259), ""), 0)),"")</f>
        <v/>
      </c>
      <c r="AM29" s="156" t="str">
        <f t="array" ref="AM29">IFERROR(INDEX($AI$11:$AI$259, MATCH(0, IF(TRUE=$AH$11:$AH$259, COUNTIF($AM$10:$AM28, $AI$11:$AI$259), ""), 0)),"")</f>
        <v/>
      </c>
      <c r="AQ29" s="31">
        <f t="shared" si="5"/>
        <v>0</v>
      </c>
    </row>
    <row r="30" spans="1:43" x14ac:dyDescent="0.25">
      <c r="A30" s="31" t="str">
        <f>IFERROR(INDEX('G-1 All Habitats'!$AG$3:$AG$15,MATCH(E30,'G-1 All Habitats'!$AF$3:$AF$15,0)),"")</f>
        <v/>
      </c>
      <c r="B30" s="31" t="str">
        <f>IFERROR(INDEX('G-8 Condition Look up'!$I$4:$I$130,MATCH(G30,'G-8 Condition Look up'!$A$4:$A$130,0)),"")</f>
        <v/>
      </c>
      <c r="D30" s="141">
        <v>20</v>
      </c>
      <c r="E30" s="203"/>
      <c r="F30" s="203"/>
      <c r="G30" s="250" t="str">
        <f>IFERROR(INDEX('G-1 All Habitats'!$B$3:$B$129,MATCH(F30,'G-1 All Habitats'!$A$3:$A$129,0)),"")</f>
        <v/>
      </c>
      <c r="H30" s="172"/>
      <c r="I30" s="498" t="str">
        <f>IF(G30="","",VLOOKUP(G30,'G-1 All Habitats'!$B$2:$M$129,10,FALSE))</f>
        <v/>
      </c>
      <c r="J30" s="499" t="str">
        <f>IFERROR(VLOOKUP(I30,'G-1 All Habitats'!$V$3:$W$7,2,FALSE),"")</f>
        <v/>
      </c>
      <c r="K30" s="145"/>
      <c r="L30" s="499" t="str">
        <f>IFERROR(INDEX('G-8 Condition Look up'!$A$3:$H$130,MATCH(G30,'G-8 Condition Look up'!$A$3:$A$130,0),MATCH(K30,'G-8 Condition Look up'!$A$3:$H$3,0)),"")</f>
        <v/>
      </c>
      <c r="M30" s="154"/>
      <c r="N30" s="520" t="str">
        <f>IF(M30="","",IF(VLOOKUP(M30,'G-3 Multipliers'!$L$3:$N$6,2,FALSE)=0,"Spatial Data Missing ⚠",VLOOKUP(M30,'G-3 Multipliers'!$L$3:$N$6,2,FALSE)))</f>
        <v/>
      </c>
      <c r="O30" s="524" t="str">
        <f>IF(M30="","",IF(VLOOKUP(M30,'G-3 Multipliers'!$L$3:$N$6,3,FALSE)=0,"Spatial Data Missing ⚠",VLOOKUP(M30,'G-3 Multipliers'!$L$3:$N$6,3,FALSE)))</f>
        <v/>
      </c>
      <c r="P30" s="506" t="str">
        <f>IFERROR(VLOOKUP(G30,'G-1 All Habitats'!$B$2:$M$129,12,FALSE),"")</f>
        <v/>
      </c>
      <c r="Q30" s="513" t="str">
        <f>IFERROR(IF(P30="","",IF(AND(P30='G-1 All Habitats'!$X$3,T30&gt;0),U30+V30,IF(AND(P30='G-1 All Habitats'!$X$3,S30&gt;0),U30+V30,IF(AND(P30='G-1 All Habitats'!$X$3,AC30&gt;0),"Any Loss Unacceptable",IF(AND(P30='G-1 All Habitats'!$X$3,W30&gt;0),"Any Loss Unacceptable",H30*J30*L30*O30))))),"Check Data ⚠")</f>
        <v/>
      </c>
      <c r="R30" s="50"/>
      <c r="S30" s="71"/>
      <c r="T30" s="72"/>
      <c r="U30" s="511" t="str">
        <f t="shared" si="2"/>
        <v/>
      </c>
      <c r="V30" s="511" t="str">
        <f t="shared" si="3"/>
        <v/>
      </c>
      <c r="W30" s="511"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545" t="str">
        <f>IFERROR(IF(H30="","",IF(H30-S30-T30=0&lt;0,"Error in Areas ▲",IF(S30+T30&gt;H30,"Error in Areas ▲",IF(AND(P30='G-1 All Habitats'!$X$3,Y30="Yes"),"Alternative Compensation",IF(W30=0,0,IF(P30='G-1 All Habitats'!$X$3,"Unacceptable Loss",Q30-U30-V30)))))),"Check Data ⚠")</f>
        <v/>
      </c>
      <c r="Y30" s="72"/>
      <c r="Z30" s="151"/>
      <c r="AA30" s="152"/>
      <c r="AC30" s="251" t="str">
        <f>IF(P30="","",IF(P30='G-1 All Habitats'!$X$3,H30-S30-T30,"None"))</f>
        <v/>
      </c>
      <c r="AD30" s="252" t="str">
        <f t="shared" si="4"/>
        <v/>
      </c>
      <c r="AF30" s="156" t="str">
        <f t="shared" si="0"/>
        <v/>
      </c>
      <c r="AG30" s="156" t="str">
        <f t="shared" si="1"/>
        <v/>
      </c>
      <c r="AH30" s="156" t="str">
        <f>IF(I30="","",IF(#REF!&gt;0,TRUE,FALSE))</f>
        <v/>
      </c>
      <c r="AI30" s="156">
        <v>20</v>
      </c>
      <c r="AJ30" s="156"/>
      <c r="AK30" s="156" t="str">
        <f t="array" ref="AK30">IFERROR(INDEX($AI$11:$AI$259, MATCH(0, IF(TRUE=$AF$11:$AF$259, COUNTIF($AK$10:$AK29, $AI$11:$AI$259), ""), 0)),"")</f>
        <v/>
      </c>
      <c r="AL30" s="156" t="str">
        <f t="array" ref="AL30">IFERROR(INDEX($AI$11:$AI$259, MATCH(0, IF(TRUE=$AG$11:$AG$259, COUNTIF($AL$10:$AL29, $AI$11:$AI$259), ""), 0)),"")</f>
        <v/>
      </c>
      <c r="AM30" s="156" t="str">
        <f t="array" ref="AM30">IFERROR(INDEX($AI$11:$AI$259, MATCH(0, IF(TRUE=$AH$11:$AH$259, COUNTIF($AM$10:$AM29, $AI$11:$AI$259), ""), 0)),"")</f>
        <v/>
      </c>
      <c r="AQ30" s="31">
        <f t="shared" si="5"/>
        <v>0</v>
      </c>
    </row>
    <row r="31" spans="1:43" x14ac:dyDescent="0.25">
      <c r="A31" s="31" t="str">
        <f>IFERROR(INDEX('G-1 All Habitats'!$AG$3:$AG$15,MATCH(E31,'G-1 All Habitats'!$AF$3:$AF$15,0)),"")</f>
        <v/>
      </c>
      <c r="B31" s="31" t="str">
        <f>IFERROR(INDEX('G-8 Condition Look up'!$I$4:$I$130,MATCH(G31,'G-8 Condition Look up'!$A$4:$A$130,0)),"")</f>
        <v/>
      </c>
      <c r="D31" s="141">
        <v>21</v>
      </c>
      <c r="E31" s="203"/>
      <c r="F31" s="203"/>
      <c r="G31" s="250" t="str">
        <f>IFERROR(INDEX('G-1 All Habitats'!$B$3:$B$129,MATCH(F31,'G-1 All Habitats'!$A$3:$A$129,0)),"")</f>
        <v/>
      </c>
      <c r="H31" s="172"/>
      <c r="I31" s="498" t="str">
        <f>IF(G31="","",VLOOKUP(G31,'G-1 All Habitats'!$B$2:$M$129,10,FALSE))</f>
        <v/>
      </c>
      <c r="J31" s="499" t="str">
        <f>IFERROR(VLOOKUP(I31,'G-1 All Habitats'!$V$3:$W$7,2,FALSE),"")</f>
        <v/>
      </c>
      <c r="K31" s="145"/>
      <c r="L31" s="499" t="str">
        <f>IFERROR(INDEX('G-8 Condition Look up'!$A$3:$H$130,MATCH(G31,'G-8 Condition Look up'!$A$3:$A$130,0),MATCH(K31,'G-8 Condition Look up'!$A$3:$H$3,0)),"")</f>
        <v/>
      </c>
      <c r="M31" s="154"/>
      <c r="N31" s="520" t="str">
        <f>IF(M31="","",IF(VLOOKUP(M31,'G-3 Multipliers'!$L$3:$N$6,2,FALSE)=0,"Spatial Data Missing ⚠",VLOOKUP(M31,'G-3 Multipliers'!$L$3:$N$6,2,FALSE)))</f>
        <v/>
      </c>
      <c r="O31" s="524" t="str">
        <f>IF(M31="","",IF(VLOOKUP(M31,'G-3 Multipliers'!$L$3:$N$6,3,FALSE)=0,"Spatial Data Missing ⚠",VLOOKUP(M31,'G-3 Multipliers'!$L$3:$N$6,3,FALSE)))</f>
        <v/>
      </c>
      <c r="P31" s="506" t="str">
        <f>IFERROR(VLOOKUP(G31,'G-1 All Habitats'!$B$2:$M$129,12,FALSE),"")</f>
        <v/>
      </c>
      <c r="Q31" s="513" t="str">
        <f>IFERROR(IF(P31="","",IF(AND(P31='G-1 All Habitats'!$X$3,T31&gt;0),U31+V31,IF(AND(P31='G-1 All Habitats'!$X$3,S31&gt;0),U31+V31,IF(AND(P31='G-1 All Habitats'!$X$3,AC31&gt;0),"Any Loss Unacceptable",IF(AND(P31='G-1 All Habitats'!$X$3,W31&gt;0),"Any Loss Unacceptable",H31*J31*L31*O31))))),"Check Data ⚠")</f>
        <v/>
      </c>
      <c r="R31" s="50"/>
      <c r="S31" s="71"/>
      <c r="T31" s="72"/>
      <c r="U31" s="511" t="str">
        <f t="shared" si="2"/>
        <v/>
      </c>
      <c r="V31" s="511" t="str">
        <f t="shared" si="3"/>
        <v/>
      </c>
      <c r="W31" s="511"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545" t="str">
        <f>IFERROR(IF(H31="","",IF(H31-S31-T31=0&lt;0,"Error in Areas ▲",IF(S31+T31&gt;H31,"Error in Areas ▲",IF(AND(P31='G-1 All Habitats'!$X$3,Y31="Yes"),"Alternative Compensation",IF(W31=0,0,IF(P31='G-1 All Habitats'!$X$3,"Unacceptable Loss",Q31-U31-V31)))))),"Check Data ⚠")</f>
        <v/>
      </c>
      <c r="Y31" s="72"/>
      <c r="Z31" s="151"/>
      <c r="AA31" s="152"/>
      <c r="AC31" s="251" t="str">
        <f>IF(P31="","",IF(P31='G-1 All Habitats'!$X$3,H31-S31-T31,"None"))</f>
        <v/>
      </c>
      <c r="AD31" s="252" t="str">
        <f t="shared" si="4"/>
        <v/>
      </c>
      <c r="AF31" s="156" t="str">
        <f t="shared" si="0"/>
        <v/>
      </c>
      <c r="AG31" s="156" t="str">
        <f t="shared" si="1"/>
        <v/>
      </c>
      <c r="AH31" s="156" t="str">
        <f>IF(I31="","",IF(#REF!&gt;0,TRUE,FALSE))</f>
        <v/>
      </c>
      <c r="AI31" s="156">
        <v>21</v>
      </c>
      <c r="AJ31" s="156"/>
      <c r="AK31" s="156" t="str">
        <f t="array" ref="AK31">IFERROR(INDEX($AI$11:$AI$259, MATCH(0, IF(TRUE=$AF$11:$AF$259, COUNTIF($AK$10:$AK30, $AI$11:$AI$259), ""), 0)),"")</f>
        <v/>
      </c>
      <c r="AL31" s="156" t="str">
        <f t="array" ref="AL31">IFERROR(INDEX($AI$11:$AI$259, MATCH(0, IF(TRUE=$AG$11:$AG$259, COUNTIF($AL$10:$AL30, $AI$11:$AI$259), ""), 0)),"")</f>
        <v/>
      </c>
      <c r="AM31" s="156" t="str">
        <f t="array" ref="AM31">IFERROR(INDEX($AI$11:$AI$259, MATCH(0, IF(TRUE=$AH$11:$AH$259, COUNTIF($AM$10:$AM30, $AI$11:$AI$259), ""), 0)),"")</f>
        <v/>
      </c>
      <c r="AQ31" s="31">
        <f t="shared" si="5"/>
        <v>0</v>
      </c>
    </row>
    <row r="32" spans="1:43" x14ac:dyDescent="0.25">
      <c r="A32" s="31" t="str">
        <f>IFERROR(INDEX('G-1 All Habitats'!$AG$3:$AG$15,MATCH(E32,'G-1 All Habitats'!$AF$3:$AF$15,0)),"")</f>
        <v/>
      </c>
      <c r="B32" s="31" t="str">
        <f>IFERROR(INDEX('G-8 Condition Look up'!$I$4:$I$130,MATCH(G32,'G-8 Condition Look up'!$A$4:$A$130,0)),"")</f>
        <v/>
      </c>
      <c r="D32" s="141">
        <v>22</v>
      </c>
      <c r="E32" s="203"/>
      <c r="F32" s="203"/>
      <c r="G32" s="250" t="str">
        <f>IFERROR(INDEX('G-1 All Habitats'!$B$3:$B$129,MATCH(F32,'G-1 All Habitats'!$A$3:$A$129,0)),"")</f>
        <v/>
      </c>
      <c r="H32" s="172"/>
      <c r="I32" s="498" t="str">
        <f>IF(G32="","",VLOOKUP(G32,'G-1 All Habitats'!$B$2:$M$129,10,FALSE))</f>
        <v/>
      </c>
      <c r="J32" s="499" t="str">
        <f>IFERROR(VLOOKUP(I32,'G-1 All Habitats'!$V$3:$W$7,2,FALSE),"")</f>
        <v/>
      </c>
      <c r="K32" s="145"/>
      <c r="L32" s="499" t="str">
        <f>IFERROR(INDEX('G-8 Condition Look up'!$A$3:$H$130,MATCH(G32,'G-8 Condition Look up'!$A$3:$A$130,0),MATCH(K32,'G-8 Condition Look up'!$A$3:$H$3,0)),"")</f>
        <v/>
      </c>
      <c r="M32" s="154"/>
      <c r="N32" s="520" t="str">
        <f>IF(M32="","",IF(VLOOKUP(M32,'G-3 Multipliers'!$L$3:$N$6,2,FALSE)=0,"Spatial Data Missing ⚠",VLOOKUP(M32,'G-3 Multipliers'!$L$3:$N$6,2,FALSE)))</f>
        <v/>
      </c>
      <c r="O32" s="524" t="str">
        <f>IF(M32="","",IF(VLOOKUP(M32,'G-3 Multipliers'!$L$3:$N$6,3,FALSE)=0,"Spatial Data Missing ⚠",VLOOKUP(M32,'G-3 Multipliers'!$L$3:$N$6,3,FALSE)))</f>
        <v/>
      </c>
      <c r="P32" s="506" t="str">
        <f>IFERROR(VLOOKUP(G32,'G-1 All Habitats'!$B$2:$M$129,12,FALSE),"")</f>
        <v/>
      </c>
      <c r="Q32" s="513" t="str">
        <f>IFERROR(IF(P32="","",IF(AND(P32='G-1 All Habitats'!$X$3,T32&gt;0),U32+V32,IF(AND(P32='G-1 All Habitats'!$X$3,S32&gt;0),U32+V32,IF(AND(P32='G-1 All Habitats'!$X$3,AC32&gt;0),"Any Loss Unacceptable",IF(AND(P32='G-1 All Habitats'!$X$3,W32&gt;0),"Any Loss Unacceptable",H32*J32*L32*O32))))),"Check Data ⚠")</f>
        <v/>
      </c>
      <c r="R32" s="50"/>
      <c r="S32" s="71"/>
      <c r="T32" s="72"/>
      <c r="U32" s="511" t="str">
        <f t="shared" si="2"/>
        <v/>
      </c>
      <c r="V32" s="511" t="str">
        <f t="shared" si="3"/>
        <v/>
      </c>
      <c r="W32" s="511"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545" t="str">
        <f>IFERROR(IF(H32="","",IF(H32-S32-T32=0&lt;0,"Error in Areas ▲",IF(S32+T32&gt;H32,"Error in Areas ▲",IF(AND(P32='G-1 All Habitats'!$X$3,Y32="Yes"),"Alternative Compensation",IF(W32=0,0,IF(P32='G-1 All Habitats'!$X$3,"Unacceptable Loss",Q32-U32-V32)))))),"Check Data ⚠")</f>
        <v/>
      </c>
      <c r="Y32" s="72"/>
      <c r="Z32" s="151"/>
      <c r="AA32" s="152"/>
      <c r="AC32" s="251" t="str">
        <f>IF(P32="","",IF(P32='G-1 All Habitats'!$X$3,H32-S32-T32,"None"))</f>
        <v/>
      </c>
      <c r="AD32" s="252" t="str">
        <f t="shared" si="4"/>
        <v/>
      </c>
      <c r="AF32" s="156" t="str">
        <f t="shared" si="0"/>
        <v/>
      </c>
      <c r="AG32" s="156" t="str">
        <f t="shared" si="1"/>
        <v/>
      </c>
      <c r="AH32" s="156" t="str">
        <f>IF(I32="","",IF(#REF!&gt;0,TRUE,FALSE))</f>
        <v/>
      </c>
      <c r="AI32" s="156">
        <v>22</v>
      </c>
      <c r="AJ32" s="156"/>
      <c r="AK32" s="156" t="str">
        <f t="array" ref="AK32">IFERROR(INDEX($AI$11:$AI$259, MATCH(0, IF(TRUE=$AF$11:$AF$259, COUNTIF($AK$10:$AK31, $AI$11:$AI$259), ""), 0)),"")</f>
        <v/>
      </c>
      <c r="AL32" s="156" t="str">
        <f t="array" ref="AL32">IFERROR(INDEX($AI$11:$AI$259, MATCH(0, IF(TRUE=$AG$11:$AG$259, COUNTIF($AL$10:$AL31, $AI$11:$AI$259), ""), 0)),"")</f>
        <v/>
      </c>
      <c r="AM32" s="156" t="str">
        <f t="array" ref="AM32">IFERROR(INDEX($AI$11:$AI$259, MATCH(0, IF(TRUE=$AH$11:$AH$259, COUNTIF($AM$10:$AM31, $AI$11:$AI$259), ""), 0)),"")</f>
        <v/>
      </c>
      <c r="AQ32" s="31">
        <f t="shared" si="5"/>
        <v>0</v>
      </c>
    </row>
    <row r="33" spans="1:43" x14ac:dyDescent="0.25">
      <c r="A33" s="31" t="str">
        <f>IFERROR(INDEX('G-1 All Habitats'!$AG$3:$AG$15,MATCH(E33,'G-1 All Habitats'!$AF$3:$AF$15,0)),"")</f>
        <v/>
      </c>
      <c r="B33" s="31" t="str">
        <f>IFERROR(INDEX('G-8 Condition Look up'!$I$4:$I$130,MATCH(G33,'G-8 Condition Look up'!$A$4:$A$130,0)),"")</f>
        <v/>
      </c>
      <c r="D33" s="141">
        <v>23</v>
      </c>
      <c r="E33" s="203"/>
      <c r="F33" s="203"/>
      <c r="G33" s="250" t="str">
        <f>IFERROR(INDEX('G-1 All Habitats'!$B$3:$B$129,MATCH(F33,'G-1 All Habitats'!$A$3:$A$129,0)),"")</f>
        <v/>
      </c>
      <c r="H33" s="172"/>
      <c r="I33" s="498" t="str">
        <f>IF(G33="","",VLOOKUP(G33,'G-1 All Habitats'!$B$2:$M$129,10,FALSE))</f>
        <v/>
      </c>
      <c r="J33" s="499" t="str">
        <f>IFERROR(VLOOKUP(I33,'G-1 All Habitats'!$V$3:$W$7,2,FALSE),"")</f>
        <v/>
      </c>
      <c r="K33" s="145"/>
      <c r="L33" s="499" t="str">
        <f>IFERROR(INDEX('G-8 Condition Look up'!$A$3:$H$130,MATCH(G33,'G-8 Condition Look up'!$A$3:$A$130,0),MATCH(K33,'G-8 Condition Look up'!$A$3:$H$3,0)),"")</f>
        <v/>
      </c>
      <c r="M33" s="154"/>
      <c r="N33" s="520" t="str">
        <f>IF(M33="","",IF(VLOOKUP(M33,'G-3 Multipliers'!$L$3:$N$6,2,FALSE)=0,"Spatial Data Missing ⚠",VLOOKUP(M33,'G-3 Multipliers'!$L$3:$N$6,2,FALSE)))</f>
        <v/>
      </c>
      <c r="O33" s="524" t="str">
        <f>IF(M33="","",IF(VLOOKUP(M33,'G-3 Multipliers'!$L$3:$N$6,3,FALSE)=0,"Spatial Data Missing ⚠",VLOOKUP(M33,'G-3 Multipliers'!$L$3:$N$6,3,FALSE)))</f>
        <v/>
      </c>
      <c r="P33" s="506" t="str">
        <f>IFERROR(VLOOKUP(G33,'G-1 All Habitats'!$B$2:$M$129,12,FALSE),"")</f>
        <v/>
      </c>
      <c r="Q33" s="513" t="str">
        <f>IFERROR(IF(P33="","",IF(AND(P33='G-1 All Habitats'!$X$3,T33&gt;0),U33+V33,IF(AND(P33='G-1 All Habitats'!$X$3,S33&gt;0),U33+V33,IF(AND(P33='G-1 All Habitats'!$X$3,AC33&gt;0),"Any Loss Unacceptable",IF(AND(P33='G-1 All Habitats'!$X$3,W33&gt;0),"Any Loss Unacceptable",H33*J33*L33*O33))))),"Check Data ⚠")</f>
        <v/>
      </c>
      <c r="R33" s="50"/>
      <c r="S33" s="71"/>
      <c r="T33" s="72"/>
      <c r="U33" s="511" t="str">
        <f t="shared" si="2"/>
        <v/>
      </c>
      <c r="V33" s="511" t="str">
        <f t="shared" si="3"/>
        <v/>
      </c>
      <c r="W33" s="511"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545" t="str">
        <f>IFERROR(IF(H33="","",IF(H33-S33-T33=0&lt;0,"Error in Areas ▲",IF(S33+T33&gt;H33,"Error in Areas ▲",IF(AND(P33='G-1 All Habitats'!$X$3,Y33="Yes"),"Alternative Compensation",IF(W33=0,0,IF(P33='G-1 All Habitats'!$X$3,"Unacceptable Loss",Q33-U33-V33)))))),"Check Data ⚠")</f>
        <v/>
      </c>
      <c r="Y33" s="72"/>
      <c r="Z33" s="151"/>
      <c r="AA33" s="152"/>
      <c r="AC33" s="251" t="str">
        <f>IF(P33="","",IF(P33='G-1 All Habitats'!$X$3,H33-S33-T33,"None"))</f>
        <v/>
      </c>
      <c r="AD33" s="252" t="str">
        <f t="shared" si="4"/>
        <v/>
      </c>
      <c r="AF33" s="156" t="str">
        <f t="shared" si="0"/>
        <v/>
      </c>
      <c r="AG33" s="156" t="str">
        <f t="shared" si="1"/>
        <v/>
      </c>
      <c r="AH33" s="156" t="str">
        <f>IF(I33="","",IF(#REF!&gt;0,TRUE,FALSE))</f>
        <v/>
      </c>
      <c r="AI33" s="156">
        <v>23</v>
      </c>
      <c r="AJ33" s="156"/>
      <c r="AK33" s="156" t="str">
        <f t="array" ref="AK33">IFERROR(INDEX($AI$11:$AI$259, MATCH(0, IF(TRUE=$AF$11:$AF$259, COUNTIF($AK$10:$AK32, $AI$11:$AI$259), ""), 0)),"")</f>
        <v/>
      </c>
      <c r="AL33" s="156" t="str">
        <f t="array" ref="AL33">IFERROR(INDEX($AI$11:$AI$259, MATCH(0, IF(TRUE=$AG$11:$AG$259, COUNTIF($AL$10:$AL32, $AI$11:$AI$259), ""), 0)),"")</f>
        <v/>
      </c>
      <c r="AM33" s="156" t="str">
        <f t="array" ref="AM33">IFERROR(INDEX($AI$11:$AI$259, MATCH(0, IF(TRUE=$AH$11:$AH$259, COUNTIF($AM$10:$AM32, $AI$11:$AI$259), ""), 0)),"")</f>
        <v/>
      </c>
      <c r="AQ33" s="31">
        <f t="shared" si="5"/>
        <v>0</v>
      </c>
    </row>
    <row r="34" spans="1:43" x14ac:dyDescent="0.25">
      <c r="A34" s="31" t="str">
        <f>IFERROR(INDEX('G-1 All Habitats'!$AG$3:$AG$15,MATCH(E34,'G-1 All Habitats'!$AF$3:$AF$15,0)),"")</f>
        <v/>
      </c>
      <c r="B34" s="31" t="str">
        <f>IFERROR(INDEX('G-8 Condition Look up'!$I$4:$I$130,MATCH(G34,'G-8 Condition Look up'!$A$4:$A$130,0)),"")</f>
        <v/>
      </c>
      <c r="D34" s="141">
        <v>24</v>
      </c>
      <c r="E34" s="203"/>
      <c r="F34" s="203"/>
      <c r="G34" s="250" t="str">
        <f>IFERROR(INDEX('G-1 All Habitats'!$B$3:$B$129,MATCH(F34,'G-1 All Habitats'!$A$3:$A$129,0)),"")</f>
        <v/>
      </c>
      <c r="H34" s="172"/>
      <c r="I34" s="498" t="str">
        <f>IF(G34="","",VLOOKUP(G34,'G-1 All Habitats'!$B$2:$M$129,10,FALSE))</f>
        <v/>
      </c>
      <c r="J34" s="499" t="str">
        <f>IFERROR(VLOOKUP(I34,'G-1 All Habitats'!$V$3:$W$7,2,FALSE),"")</f>
        <v/>
      </c>
      <c r="K34" s="145"/>
      <c r="L34" s="499" t="str">
        <f>IFERROR(INDEX('G-8 Condition Look up'!$A$3:$H$130,MATCH(G34,'G-8 Condition Look up'!$A$3:$A$130,0),MATCH(K34,'G-8 Condition Look up'!$A$3:$H$3,0)),"")</f>
        <v/>
      </c>
      <c r="M34" s="154"/>
      <c r="N34" s="520" t="str">
        <f>IF(M34="","",IF(VLOOKUP(M34,'G-3 Multipliers'!$L$3:$N$6,2,FALSE)=0,"Spatial Data Missing ⚠",VLOOKUP(M34,'G-3 Multipliers'!$L$3:$N$6,2,FALSE)))</f>
        <v/>
      </c>
      <c r="O34" s="524" t="str">
        <f>IF(M34="","",IF(VLOOKUP(M34,'G-3 Multipliers'!$L$3:$N$6,3,FALSE)=0,"Spatial Data Missing ⚠",VLOOKUP(M34,'G-3 Multipliers'!$L$3:$N$6,3,FALSE)))</f>
        <v/>
      </c>
      <c r="P34" s="506" t="str">
        <f>IFERROR(VLOOKUP(G34,'G-1 All Habitats'!$B$2:$M$129,12,FALSE),"")</f>
        <v/>
      </c>
      <c r="Q34" s="513" t="str">
        <f>IFERROR(IF(P34="","",IF(AND(P34='G-1 All Habitats'!$X$3,T34&gt;0),U34+V34,IF(AND(P34='G-1 All Habitats'!$X$3,S34&gt;0),U34+V34,IF(AND(P34='G-1 All Habitats'!$X$3,AC34&gt;0),"Any Loss Unacceptable",IF(AND(P34='G-1 All Habitats'!$X$3,W34&gt;0),"Any Loss Unacceptable",H34*J34*L34*O34))))),"Check Data ⚠")</f>
        <v/>
      </c>
      <c r="R34" s="50"/>
      <c r="S34" s="71"/>
      <c r="T34" s="72"/>
      <c r="U34" s="511" t="str">
        <f t="shared" si="2"/>
        <v/>
      </c>
      <c r="V34" s="511" t="str">
        <f t="shared" si="3"/>
        <v/>
      </c>
      <c r="W34" s="511"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545" t="str">
        <f>IFERROR(IF(H34="","",IF(H34-S34-T34=0&lt;0,"Error in Areas ▲",IF(S34+T34&gt;H34,"Error in Areas ▲",IF(AND(P34='G-1 All Habitats'!$X$3,Y34="Yes"),"Alternative Compensation",IF(W34=0,0,IF(P34='G-1 All Habitats'!$X$3,"Unacceptable Loss",Q34-U34-V34)))))),"Check Data ⚠")</f>
        <v/>
      </c>
      <c r="Y34" s="72"/>
      <c r="Z34" s="151"/>
      <c r="AA34" s="152"/>
      <c r="AC34" s="251" t="str">
        <f>IF(P34="","",IF(P34='G-1 All Habitats'!$X$3,H34-S34-T34,"None"))</f>
        <v/>
      </c>
      <c r="AD34" s="252" t="str">
        <f t="shared" si="4"/>
        <v/>
      </c>
      <c r="AF34" s="156" t="str">
        <f t="shared" si="0"/>
        <v/>
      </c>
      <c r="AG34" s="156" t="str">
        <f t="shared" si="1"/>
        <v/>
      </c>
      <c r="AH34" s="156" t="str">
        <f>IF(I34="","",IF(#REF!&gt;0,TRUE,FALSE))</f>
        <v/>
      </c>
      <c r="AI34" s="156">
        <v>24</v>
      </c>
      <c r="AJ34" s="156"/>
      <c r="AK34" s="156" t="str">
        <f t="array" ref="AK34">IFERROR(INDEX($AI$11:$AI$259, MATCH(0, IF(TRUE=$AF$11:$AF$259, COUNTIF($AK$10:$AK33, $AI$11:$AI$259), ""), 0)),"")</f>
        <v/>
      </c>
      <c r="AL34" s="156" t="str">
        <f t="array" ref="AL34">IFERROR(INDEX($AI$11:$AI$259, MATCH(0, IF(TRUE=$AG$11:$AG$259, COUNTIF($AL$10:$AL33, $AI$11:$AI$259), ""), 0)),"")</f>
        <v/>
      </c>
      <c r="AM34" s="156" t="str">
        <f t="array" ref="AM34">IFERROR(INDEX($AI$11:$AI$259, MATCH(0, IF(TRUE=$AH$11:$AH$259, COUNTIF($AM$10:$AM33, $AI$11:$AI$259), ""), 0)),"")</f>
        <v/>
      </c>
      <c r="AQ34" s="31">
        <f t="shared" si="5"/>
        <v>0</v>
      </c>
    </row>
    <row r="35" spans="1:43" x14ac:dyDescent="0.25">
      <c r="A35" s="31" t="str">
        <f>IFERROR(INDEX('G-1 All Habitats'!$AG$3:$AG$15,MATCH(E35,'G-1 All Habitats'!$AF$3:$AF$15,0)),"")</f>
        <v/>
      </c>
      <c r="B35" s="31" t="str">
        <f>IFERROR(INDEX('G-8 Condition Look up'!$I$4:$I$130,MATCH(G35,'G-8 Condition Look up'!$A$4:$A$130,0)),"")</f>
        <v/>
      </c>
      <c r="D35" s="141">
        <v>25</v>
      </c>
      <c r="E35" s="203"/>
      <c r="F35" s="203"/>
      <c r="G35" s="250" t="str">
        <f>IFERROR(INDEX('G-1 All Habitats'!$B$3:$B$129,MATCH(F35,'G-1 All Habitats'!$A$3:$A$129,0)),"")</f>
        <v/>
      </c>
      <c r="H35" s="172"/>
      <c r="I35" s="498" t="str">
        <f>IF(G35="","",VLOOKUP(G35,'G-1 All Habitats'!$B$2:$M$129,10,FALSE))</f>
        <v/>
      </c>
      <c r="J35" s="499" t="str">
        <f>IFERROR(VLOOKUP(I35,'G-1 All Habitats'!$V$3:$W$7,2,FALSE),"")</f>
        <v/>
      </c>
      <c r="K35" s="145"/>
      <c r="L35" s="499" t="str">
        <f>IFERROR(INDEX('G-8 Condition Look up'!$A$3:$H$130,MATCH(G35,'G-8 Condition Look up'!$A$3:$A$130,0),MATCH(K35,'G-8 Condition Look up'!$A$3:$H$3,0)),"")</f>
        <v/>
      </c>
      <c r="M35" s="154"/>
      <c r="N35" s="520" t="str">
        <f>IF(M35="","",IF(VLOOKUP(M35,'G-3 Multipliers'!$L$3:$N$6,2,FALSE)=0,"Spatial Data Missing ⚠",VLOOKUP(M35,'G-3 Multipliers'!$L$3:$N$6,2,FALSE)))</f>
        <v/>
      </c>
      <c r="O35" s="524" t="str">
        <f>IF(M35="","",IF(VLOOKUP(M35,'G-3 Multipliers'!$L$3:$N$6,3,FALSE)=0,"Spatial Data Missing ⚠",VLOOKUP(M35,'G-3 Multipliers'!$L$3:$N$6,3,FALSE)))</f>
        <v/>
      </c>
      <c r="P35" s="506" t="str">
        <f>IFERROR(VLOOKUP(G35,'G-1 All Habitats'!$B$2:$M$129,12,FALSE),"")</f>
        <v/>
      </c>
      <c r="Q35" s="513" t="str">
        <f>IFERROR(IF(P35="","",IF(AND(P35='G-1 All Habitats'!$X$3,T35&gt;0),U35+V35,IF(AND(P35='G-1 All Habitats'!$X$3,S35&gt;0),U35+V35,IF(AND(P35='G-1 All Habitats'!$X$3,AC35&gt;0),"Any Loss Unacceptable",IF(AND(P35='G-1 All Habitats'!$X$3,W35&gt;0),"Any Loss Unacceptable",H35*J35*L35*O35))))),"Check Data ⚠")</f>
        <v/>
      </c>
      <c r="R35" s="50"/>
      <c r="S35" s="71"/>
      <c r="T35" s="72"/>
      <c r="U35" s="511" t="str">
        <f t="shared" si="2"/>
        <v/>
      </c>
      <c r="V35" s="511" t="str">
        <f t="shared" si="3"/>
        <v/>
      </c>
      <c r="W35" s="511"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545" t="str">
        <f>IFERROR(IF(H35="","",IF(H35-S35-T35=0&lt;0,"Error in Areas ▲",IF(S35+T35&gt;H35,"Error in Areas ▲",IF(AND(P35='G-1 All Habitats'!$X$3,Y35="Yes"),"Alternative Compensation",IF(W35=0,0,IF(P35='G-1 All Habitats'!$X$3,"Unacceptable Loss",Q35-U35-V35)))))),"Check Data ⚠")</f>
        <v/>
      </c>
      <c r="Y35" s="72"/>
      <c r="Z35" s="151"/>
      <c r="AA35" s="152"/>
      <c r="AC35" s="251" t="str">
        <f>IF(P35="","",IF(P35='G-1 All Habitats'!$X$3,H35-S35-T35,"None"))</f>
        <v/>
      </c>
      <c r="AD35" s="252" t="str">
        <f t="shared" si="4"/>
        <v/>
      </c>
      <c r="AF35" s="156" t="str">
        <f t="shared" si="0"/>
        <v/>
      </c>
      <c r="AG35" s="156" t="str">
        <f t="shared" si="1"/>
        <v/>
      </c>
      <c r="AH35" s="156" t="str">
        <f>IF(I35="","",IF(#REF!&gt;0,TRUE,FALSE))</f>
        <v/>
      </c>
      <c r="AI35" s="156">
        <v>25</v>
      </c>
      <c r="AJ35" s="156"/>
      <c r="AK35" s="156" t="str">
        <f t="array" ref="AK35">IFERROR(INDEX($AI$11:$AI$259, MATCH(0, IF(TRUE=$AF$11:$AF$259, COUNTIF($AK$10:$AK34, $AI$11:$AI$259), ""), 0)),"")</f>
        <v/>
      </c>
      <c r="AL35" s="156" t="str">
        <f t="array" ref="AL35">IFERROR(INDEX($AI$11:$AI$259, MATCH(0, IF(TRUE=$AG$11:$AG$259, COUNTIF($AL$10:$AL34, $AI$11:$AI$259), ""), 0)),"")</f>
        <v/>
      </c>
      <c r="AM35" s="156" t="str">
        <f t="array" ref="AM35">IFERROR(INDEX($AI$11:$AI$259, MATCH(0, IF(TRUE=$AH$11:$AH$259, COUNTIF($AM$10:$AM34, $AI$11:$AI$259), ""), 0)),"")</f>
        <v/>
      </c>
      <c r="AQ35" s="31">
        <f t="shared" si="5"/>
        <v>0</v>
      </c>
    </row>
    <row r="36" spans="1:43" x14ac:dyDescent="0.25">
      <c r="A36" s="31" t="str">
        <f>IFERROR(INDEX('G-1 All Habitats'!$AG$3:$AG$15,MATCH(E36,'G-1 All Habitats'!$AF$3:$AF$15,0)),"")</f>
        <v/>
      </c>
      <c r="B36" s="31" t="str">
        <f>IFERROR(INDEX('G-8 Condition Look up'!$I$4:$I$130,MATCH(G36,'G-8 Condition Look up'!$A$4:$A$130,0)),"")</f>
        <v/>
      </c>
      <c r="D36" s="141">
        <v>26</v>
      </c>
      <c r="E36" s="203"/>
      <c r="F36" s="203"/>
      <c r="G36" s="250" t="str">
        <f>IFERROR(INDEX('G-1 All Habitats'!$B$3:$B$129,MATCH(F36,'G-1 All Habitats'!$A$3:$A$129,0)),"")</f>
        <v/>
      </c>
      <c r="H36" s="172"/>
      <c r="I36" s="498" t="str">
        <f>IF(G36="","",VLOOKUP(G36,'G-1 All Habitats'!$B$2:$M$129,10,FALSE))</f>
        <v/>
      </c>
      <c r="J36" s="499" t="str">
        <f>IFERROR(VLOOKUP(I36,'G-1 All Habitats'!$V$3:$W$7,2,FALSE),"")</f>
        <v/>
      </c>
      <c r="K36" s="145"/>
      <c r="L36" s="499" t="str">
        <f>IFERROR(INDEX('G-8 Condition Look up'!$A$3:$H$130,MATCH(G36,'G-8 Condition Look up'!$A$3:$A$130,0),MATCH(K36,'G-8 Condition Look up'!$A$3:$H$3,0)),"")</f>
        <v/>
      </c>
      <c r="M36" s="154"/>
      <c r="N36" s="520" t="str">
        <f>IF(M36="","",IF(VLOOKUP(M36,'G-3 Multipliers'!$L$3:$N$6,2,FALSE)=0,"Spatial Data Missing ⚠",VLOOKUP(M36,'G-3 Multipliers'!$L$3:$N$6,2,FALSE)))</f>
        <v/>
      </c>
      <c r="O36" s="524" t="str">
        <f>IF(M36="","",IF(VLOOKUP(M36,'G-3 Multipliers'!$L$3:$N$6,3,FALSE)=0,"Spatial Data Missing ⚠",VLOOKUP(M36,'G-3 Multipliers'!$L$3:$N$6,3,FALSE)))</f>
        <v/>
      </c>
      <c r="P36" s="506" t="str">
        <f>IFERROR(VLOOKUP(G36,'G-1 All Habitats'!$B$2:$M$129,12,FALSE),"")</f>
        <v/>
      </c>
      <c r="Q36" s="513" t="str">
        <f>IFERROR(IF(P36="","",IF(AND(P36='G-1 All Habitats'!$X$3,T36&gt;0),U36+V36,IF(AND(P36='G-1 All Habitats'!$X$3,S36&gt;0),U36+V36,IF(AND(P36='G-1 All Habitats'!$X$3,AC36&gt;0),"Any Loss Unacceptable",IF(AND(P36='G-1 All Habitats'!$X$3,W36&gt;0),"Any Loss Unacceptable",H36*J36*L36*O36))))),"Check Data ⚠")</f>
        <v/>
      </c>
      <c r="R36" s="50"/>
      <c r="S36" s="71"/>
      <c r="T36" s="72"/>
      <c r="U36" s="511" t="str">
        <f t="shared" si="2"/>
        <v/>
      </c>
      <c r="V36" s="511" t="str">
        <f t="shared" si="3"/>
        <v/>
      </c>
      <c r="W36" s="511"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545" t="str">
        <f>IFERROR(IF(H36="","",IF(H36-S36-T36=0&lt;0,"Error in Areas ▲",IF(S36+T36&gt;H36,"Error in Areas ▲",IF(AND(P36='G-1 All Habitats'!$X$3,Y36="Yes"),"Alternative Compensation",IF(W36=0,0,IF(P36='G-1 All Habitats'!$X$3,"Unacceptable Loss",Q36-U36-V36)))))),"Check Data ⚠")</f>
        <v/>
      </c>
      <c r="Y36" s="72"/>
      <c r="Z36" s="151"/>
      <c r="AA36" s="152"/>
      <c r="AC36" s="251" t="str">
        <f>IF(P36="","",IF(P36='G-1 All Habitats'!$X$3,H36-S36-T36,"None"))</f>
        <v/>
      </c>
      <c r="AD36" s="252" t="str">
        <f t="shared" si="4"/>
        <v/>
      </c>
      <c r="AF36" s="156" t="str">
        <f t="shared" si="0"/>
        <v/>
      </c>
      <c r="AG36" s="156" t="str">
        <f t="shared" si="1"/>
        <v/>
      </c>
      <c r="AH36" s="156" t="str">
        <f>IF(I36="","",IF(#REF!&gt;0,TRUE,FALSE))</f>
        <v/>
      </c>
      <c r="AI36" s="156">
        <v>26</v>
      </c>
      <c r="AJ36" s="156"/>
      <c r="AK36" s="156" t="str">
        <f t="array" ref="AK36">IFERROR(INDEX($AI$11:$AI$259, MATCH(0, IF(TRUE=$AF$11:$AF$259, COUNTIF($AK$10:$AK35, $AI$11:$AI$259), ""), 0)),"")</f>
        <v/>
      </c>
      <c r="AL36" s="156" t="str">
        <f t="array" ref="AL36">IFERROR(INDEX($AI$11:$AI$259, MATCH(0, IF(TRUE=$AG$11:$AG$259, COUNTIF($AL$10:$AL35, $AI$11:$AI$259), ""), 0)),"")</f>
        <v/>
      </c>
      <c r="AM36" s="156" t="str">
        <f t="array" ref="AM36">IFERROR(INDEX($AI$11:$AI$259, MATCH(0, IF(TRUE=$AH$11:$AH$259, COUNTIF($AM$10:$AM35, $AI$11:$AI$259), ""), 0)),"")</f>
        <v/>
      </c>
      <c r="AQ36" s="31">
        <f t="shared" si="5"/>
        <v>0</v>
      </c>
    </row>
    <row r="37" spans="1:43" x14ac:dyDescent="0.25">
      <c r="A37" s="31" t="str">
        <f>IFERROR(INDEX('G-1 All Habitats'!$AG$3:$AG$15,MATCH(E37,'G-1 All Habitats'!$AF$3:$AF$15,0)),"")</f>
        <v/>
      </c>
      <c r="B37" s="31" t="str">
        <f>IFERROR(INDEX('G-8 Condition Look up'!$I$4:$I$130,MATCH(G37,'G-8 Condition Look up'!$A$4:$A$130,0)),"")</f>
        <v/>
      </c>
      <c r="D37" s="141">
        <v>27</v>
      </c>
      <c r="E37" s="203"/>
      <c r="F37" s="203"/>
      <c r="G37" s="250" t="str">
        <f>IFERROR(INDEX('G-1 All Habitats'!$B$3:$B$129,MATCH(F37,'G-1 All Habitats'!$A$3:$A$129,0)),"")</f>
        <v/>
      </c>
      <c r="H37" s="172"/>
      <c r="I37" s="498" t="str">
        <f>IF(G37="","",VLOOKUP(G37,'G-1 All Habitats'!$B$2:$M$129,10,FALSE))</f>
        <v/>
      </c>
      <c r="J37" s="499" t="str">
        <f>IFERROR(VLOOKUP(I37,'G-1 All Habitats'!$V$3:$W$7,2,FALSE),"")</f>
        <v/>
      </c>
      <c r="K37" s="145"/>
      <c r="L37" s="499" t="str">
        <f>IFERROR(INDEX('G-8 Condition Look up'!$A$3:$H$130,MATCH(G37,'G-8 Condition Look up'!$A$3:$A$130,0),MATCH(K37,'G-8 Condition Look up'!$A$3:$H$3,0)),"")</f>
        <v/>
      </c>
      <c r="M37" s="154"/>
      <c r="N37" s="520" t="str">
        <f>IF(M37="","",IF(VLOOKUP(M37,'G-3 Multipliers'!$L$3:$N$6,2,FALSE)=0,"Spatial Data Missing ⚠",VLOOKUP(M37,'G-3 Multipliers'!$L$3:$N$6,2,FALSE)))</f>
        <v/>
      </c>
      <c r="O37" s="524" t="str">
        <f>IF(M37="","",IF(VLOOKUP(M37,'G-3 Multipliers'!$L$3:$N$6,3,FALSE)=0,"Spatial Data Missing ⚠",VLOOKUP(M37,'G-3 Multipliers'!$L$3:$N$6,3,FALSE)))</f>
        <v/>
      </c>
      <c r="P37" s="506" t="str">
        <f>IFERROR(VLOOKUP(G37,'G-1 All Habitats'!$B$2:$M$129,12,FALSE),"")</f>
        <v/>
      </c>
      <c r="Q37" s="513" t="str">
        <f>IFERROR(IF(P37="","",IF(AND(P37='G-1 All Habitats'!$X$3,T37&gt;0),U37+V37,IF(AND(P37='G-1 All Habitats'!$X$3,S37&gt;0),U37+V37,IF(AND(P37='G-1 All Habitats'!$X$3,AC37&gt;0),"Any Loss Unacceptable",IF(AND(P37='G-1 All Habitats'!$X$3,W37&gt;0),"Any Loss Unacceptable",H37*J37*L37*O37))))),"Check Data ⚠")</f>
        <v/>
      </c>
      <c r="R37" s="50"/>
      <c r="S37" s="71"/>
      <c r="T37" s="72"/>
      <c r="U37" s="511" t="str">
        <f t="shared" si="2"/>
        <v/>
      </c>
      <c r="V37" s="511" t="str">
        <f t="shared" si="3"/>
        <v/>
      </c>
      <c r="W37" s="511"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545" t="str">
        <f>IFERROR(IF(H37="","",IF(H37-S37-T37=0&lt;0,"Error in Areas ▲",IF(S37+T37&gt;H37,"Error in Areas ▲",IF(AND(P37='G-1 All Habitats'!$X$3,Y37="Yes"),"Alternative Compensation",IF(W37=0,0,IF(P37='G-1 All Habitats'!$X$3,"Unacceptable Loss",Q37-U37-V37)))))),"Check Data ⚠")</f>
        <v/>
      </c>
      <c r="Y37" s="72"/>
      <c r="Z37" s="151"/>
      <c r="AA37" s="152"/>
      <c r="AC37" s="251" t="str">
        <f>IF(P37="","",IF(P37='G-1 All Habitats'!$X$3,H37-S37-T37,"None"))</f>
        <v/>
      </c>
      <c r="AD37" s="252" t="str">
        <f t="shared" si="4"/>
        <v/>
      </c>
      <c r="AF37" s="156" t="str">
        <f t="shared" si="0"/>
        <v/>
      </c>
      <c r="AG37" s="156" t="str">
        <f t="shared" si="1"/>
        <v/>
      </c>
      <c r="AH37" s="156" t="str">
        <f>IF(I37="","",IF(#REF!&gt;0,TRUE,FALSE))</f>
        <v/>
      </c>
      <c r="AI37" s="156">
        <v>27</v>
      </c>
      <c r="AJ37" s="156"/>
      <c r="AK37" s="156" t="str">
        <f t="array" ref="AK37">IFERROR(INDEX($AI$11:$AI$259, MATCH(0, IF(TRUE=$AF$11:$AF$259, COUNTIF($AK$10:$AK36, $AI$11:$AI$259), ""), 0)),"")</f>
        <v/>
      </c>
      <c r="AL37" s="156" t="str">
        <f t="array" ref="AL37">IFERROR(INDEX($AI$11:$AI$259, MATCH(0, IF(TRUE=$AG$11:$AG$259, COUNTIF($AL$10:$AL36, $AI$11:$AI$259), ""), 0)),"")</f>
        <v/>
      </c>
      <c r="AM37" s="156" t="str">
        <f t="array" ref="AM37">IFERROR(INDEX($AI$11:$AI$259, MATCH(0, IF(TRUE=$AH$11:$AH$259, COUNTIF($AM$10:$AM36, $AI$11:$AI$259), ""), 0)),"")</f>
        <v/>
      </c>
      <c r="AQ37" s="31">
        <f t="shared" si="5"/>
        <v>0</v>
      </c>
    </row>
    <row r="38" spans="1:43" x14ac:dyDescent="0.25">
      <c r="A38" s="31" t="str">
        <f>IFERROR(INDEX('G-1 All Habitats'!$AG$3:$AG$15,MATCH(E38,'G-1 All Habitats'!$AF$3:$AF$15,0)),"")</f>
        <v/>
      </c>
      <c r="B38" s="31" t="str">
        <f>IFERROR(INDEX('G-8 Condition Look up'!$I$4:$I$130,MATCH(G38,'G-8 Condition Look up'!$A$4:$A$130,0)),"")</f>
        <v/>
      </c>
      <c r="D38" s="141">
        <v>28</v>
      </c>
      <c r="E38" s="203"/>
      <c r="F38" s="203"/>
      <c r="G38" s="250" t="str">
        <f>IFERROR(INDEX('G-1 All Habitats'!$B$3:$B$129,MATCH(F38,'G-1 All Habitats'!$A$3:$A$129,0)),"")</f>
        <v/>
      </c>
      <c r="H38" s="172"/>
      <c r="I38" s="498" t="str">
        <f>IF(G38="","",VLOOKUP(G38,'G-1 All Habitats'!$B$2:$M$129,10,FALSE))</f>
        <v/>
      </c>
      <c r="J38" s="499" t="str">
        <f>IFERROR(VLOOKUP(I38,'G-1 All Habitats'!$V$3:$W$7,2,FALSE),"")</f>
        <v/>
      </c>
      <c r="K38" s="145"/>
      <c r="L38" s="499" t="str">
        <f>IFERROR(INDEX('G-8 Condition Look up'!$A$3:$H$130,MATCH(G38,'G-8 Condition Look up'!$A$3:$A$130,0),MATCH(K38,'G-8 Condition Look up'!$A$3:$H$3,0)),"")</f>
        <v/>
      </c>
      <c r="M38" s="154"/>
      <c r="N38" s="520" t="str">
        <f>IF(M38="","",IF(VLOOKUP(M38,'G-3 Multipliers'!$L$3:$N$6,2,FALSE)=0,"Spatial Data Missing ⚠",VLOOKUP(M38,'G-3 Multipliers'!$L$3:$N$6,2,FALSE)))</f>
        <v/>
      </c>
      <c r="O38" s="524" t="str">
        <f>IF(M38="","",IF(VLOOKUP(M38,'G-3 Multipliers'!$L$3:$N$6,3,FALSE)=0,"Spatial Data Missing ⚠",VLOOKUP(M38,'G-3 Multipliers'!$L$3:$N$6,3,FALSE)))</f>
        <v/>
      </c>
      <c r="P38" s="506" t="str">
        <f>IFERROR(VLOOKUP(G38,'G-1 All Habitats'!$B$2:$M$129,12,FALSE),"")</f>
        <v/>
      </c>
      <c r="Q38" s="513" t="str">
        <f>IFERROR(IF(P38="","",IF(AND(P38='G-1 All Habitats'!$X$3,T38&gt;0),U38+V38,IF(AND(P38='G-1 All Habitats'!$X$3,S38&gt;0),U38+V38,IF(AND(P38='G-1 All Habitats'!$X$3,AC38&gt;0),"Any Loss Unacceptable",IF(AND(P38='G-1 All Habitats'!$X$3,W38&gt;0),"Any Loss Unacceptable",H38*J38*L38*O38))))),"Check Data ⚠")</f>
        <v/>
      </c>
      <c r="R38" s="50"/>
      <c r="S38" s="71"/>
      <c r="T38" s="72"/>
      <c r="U38" s="511" t="str">
        <f t="shared" si="2"/>
        <v/>
      </c>
      <c r="V38" s="511" t="str">
        <f t="shared" si="3"/>
        <v/>
      </c>
      <c r="W38" s="511"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545" t="str">
        <f>IFERROR(IF(H38="","",IF(H38-S38-T38=0&lt;0,"Error in Areas ▲",IF(S38+T38&gt;H38,"Error in Areas ▲",IF(AND(P38='G-1 All Habitats'!$X$3,Y38="Yes"),"Alternative Compensation",IF(W38=0,0,IF(P38='G-1 All Habitats'!$X$3,"Unacceptable Loss",Q38-U38-V38)))))),"Check Data ⚠")</f>
        <v/>
      </c>
      <c r="Y38" s="72"/>
      <c r="Z38" s="151"/>
      <c r="AA38" s="152"/>
      <c r="AC38" s="251" t="str">
        <f>IF(P38="","",IF(P38='G-1 All Habitats'!$X$3,H38-S38-T38,"None"))</f>
        <v/>
      </c>
      <c r="AD38" s="252" t="str">
        <f t="shared" si="4"/>
        <v/>
      </c>
      <c r="AF38" s="156" t="str">
        <f t="shared" si="0"/>
        <v/>
      </c>
      <c r="AG38" s="156" t="str">
        <f t="shared" si="1"/>
        <v/>
      </c>
      <c r="AH38" s="156" t="str">
        <f>IF(I38="","",IF(#REF!&gt;0,TRUE,FALSE))</f>
        <v/>
      </c>
      <c r="AI38" s="156">
        <v>28</v>
      </c>
      <c r="AJ38" s="156"/>
      <c r="AK38" s="156" t="str">
        <f t="array" ref="AK38">IFERROR(INDEX($AI$11:$AI$259, MATCH(0, IF(TRUE=$AF$11:$AF$259, COUNTIF($AK$10:$AK37, $AI$11:$AI$259), ""), 0)),"")</f>
        <v/>
      </c>
      <c r="AL38" s="156" t="str">
        <f t="array" ref="AL38">IFERROR(INDEX($AI$11:$AI$259, MATCH(0, IF(TRUE=$AG$11:$AG$259, COUNTIF($AL$10:$AL37, $AI$11:$AI$259), ""), 0)),"")</f>
        <v/>
      </c>
      <c r="AM38" s="156" t="str">
        <f t="array" ref="AM38">IFERROR(INDEX($AI$11:$AI$259, MATCH(0, IF(TRUE=$AH$11:$AH$259, COUNTIF($AM$10:$AM37, $AI$11:$AI$259), ""), 0)),"")</f>
        <v/>
      </c>
      <c r="AQ38" s="31">
        <f t="shared" si="5"/>
        <v>0</v>
      </c>
    </row>
    <row r="39" spans="1:43" x14ac:dyDescent="0.25">
      <c r="A39" s="31" t="str">
        <f>IFERROR(INDEX('G-1 All Habitats'!$AG$3:$AG$15,MATCH(E39,'G-1 All Habitats'!$AF$3:$AF$15,0)),"")</f>
        <v/>
      </c>
      <c r="B39" s="31" t="str">
        <f>IFERROR(INDEX('G-8 Condition Look up'!$I$4:$I$130,MATCH(G39,'G-8 Condition Look up'!$A$4:$A$130,0)),"")</f>
        <v/>
      </c>
      <c r="D39" s="141">
        <v>29</v>
      </c>
      <c r="E39" s="203"/>
      <c r="F39" s="203"/>
      <c r="G39" s="250" t="str">
        <f>IFERROR(INDEX('G-1 All Habitats'!$B$3:$B$129,MATCH(F39,'G-1 All Habitats'!$A$3:$A$129,0)),"")</f>
        <v/>
      </c>
      <c r="H39" s="172"/>
      <c r="I39" s="498" t="str">
        <f>IF(G39="","",VLOOKUP(G39,'G-1 All Habitats'!$B$2:$M$129,10,FALSE))</f>
        <v/>
      </c>
      <c r="J39" s="499" t="str">
        <f>IFERROR(VLOOKUP(I39,'G-1 All Habitats'!$V$3:$W$7,2,FALSE),"")</f>
        <v/>
      </c>
      <c r="K39" s="145"/>
      <c r="L39" s="499" t="str">
        <f>IFERROR(INDEX('G-8 Condition Look up'!$A$3:$H$130,MATCH(G39,'G-8 Condition Look up'!$A$3:$A$130,0),MATCH(K39,'G-8 Condition Look up'!$A$3:$H$3,0)),"")</f>
        <v/>
      </c>
      <c r="M39" s="154"/>
      <c r="N39" s="520" t="str">
        <f>IF(M39="","",IF(VLOOKUP(M39,'G-3 Multipliers'!$L$3:$N$6,2,FALSE)=0,"Spatial Data Missing ⚠",VLOOKUP(M39,'G-3 Multipliers'!$L$3:$N$6,2,FALSE)))</f>
        <v/>
      </c>
      <c r="O39" s="524" t="str">
        <f>IF(M39="","",IF(VLOOKUP(M39,'G-3 Multipliers'!$L$3:$N$6,3,FALSE)=0,"Spatial Data Missing ⚠",VLOOKUP(M39,'G-3 Multipliers'!$L$3:$N$6,3,FALSE)))</f>
        <v/>
      </c>
      <c r="P39" s="506" t="str">
        <f>IFERROR(VLOOKUP(G39,'G-1 All Habitats'!$B$2:$M$129,12,FALSE),"")</f>
        <v/>
      </c>
      <c r="Q39" s="513" t="str">
        <f>IFERROR(IF(P39="","",IF(AND(P39='G-1 All Habitats'!$X$3,T39&gt;0),U39+V39,IF(AND(P39='G-1 All Habitats'!$X$3,S39&gt;0),U39+V39,IF(AND(P39='G-1 All Habitats'!$X$3,AC39&gt;0),"Any Loss Unacceptable",IF(AND(P39='G-1 All Habitats'!$X$3,W39&gt;0),"Any Loss Unacceptable",H39*J39*L39*O39))))),"Check Data ⚠")</f>
        <v/>
      </c>
      <c r="R39" s="50"/>
      <c r="S39" s="71"/>
      <c r="T39" s="72"/>
      <c r="U39" s="511" t="str">
        <f t="shared" si="2"/>
        <v/>
      </c>
      <c r="V39" s="511" t="str">
        <f t="shared" si="3"/>
        <v/>
      </c>
      <c r="W39" s="511"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545" t="str">
        <f>IFERROR(IF(H39="","",IF(H39-S39-T39=0&lt;0,"Error in Areas ▲",IF(S39+T39&gt;H39,"Error in Areas ▲",IF(AND(P39='G-1 All Habitats'!$X$3,Y39="Yes"),"Alternative Compensation",IF(W39=0,0,IF(P39='G-1 All Habitats'!$X$3,"Unacceptable Loss",Q39-U39-V39)))))),"Check Data ⚠")</f>
        <v/>
      </c>
      <c r="Y39" s="72"/>
      <c r="Z39" s="151"/>
      <c r="AA39" s="152"/>
      <c r="AC39" s="251" t="str">
        <f>IF(P39="","",IF(P39='G-1 All Habitats'!$X$3,H39-S39-T39,"None"))</f>
        <v/>
      </c>
      <c r="AD39" s="252" t="str">
        <f t="shared" si="4"/>
        <v/>
      </c>
      <c r="AF39" s="156" t="str">
        <f t="shared" si="0"/>
        <v/>
      </c>
      <c r="AG39" s="156" t="str">
        <f t="shared" si="1"/>
        <v/>
      </c>
      <c r="AH39" s="156" t="str">
        <f>IF(I39="","",IF(#REF!&gt;0,TRUE,FALSE))</f>
        <v/>
      </c>
      <c r="AI39" s="156">
        <v>29</v>
      </c>
      <c r="AJ39" s="156"/>
      <c r="AK39" s="156" t="str">
        <f t="array" ref="AK39">IFERROR(INDEX($AI$11:$AI$259, MATCH(0, IF(TRUE=$AF$11:$AF$259, COUNTIF($AK$10:$AK38, $AI$11:$AI$259), ""), 0)),"")</f>
        <v/>
      </c>
      <c r="AL39" s="156" t="str">
        <f t="array" ref="AL39">IFERROR(INDEX($AI$11:$AI$259, MATCH(0, IF(TRUE=$AG$11:$AG$259, COUNTIF($AL$10:$AL38, $AI$11:$AI$259), ""), 0)),"")</f>
        <v/>
      </c>
      <c r="AM39" s="156" t="str">
        <f t="array" ref="AM39">IFERROR(INDEX($AI$11:$AI$259, MATCH(0, IF(TRUE=$AH$11:$AH$259, COUNTIF($AM$10:$AM38, $AI$11:$AI$259), ""), 0)),"")</f>
        <v/>
      </c>
      <c r="AQ39" s="31">
        <f t="shared" si="5"/>
        <v>0</v>
      </c>
    </row>
    <row r="40" spans="1:43" x14ac:dyDescent="0.25">
      <c r="A40" s="31" t="str">
        <f>IFERROR(INDEX('G-1 All Habitats'!$AG$3:$AG$15,MATCH(E40,'G-1 All Habitats'!$AF$3:$AF$15,0)),"")</f>
        <v/>
      </c>
      <c r="B40" s="31" t="str">
        <f>IFERROR(INDEX('G-8 Condition Look up'!$I$4:$I$130,MATCH(G40,'G-8 Condition Look up'!$A$4:$A$130,0)),"")</f>
        <v/>
      </c>
      <c r="D40" s="141">
        <v>30</v>
      </c>
      <c r="E40" s="203"/>
      <c r="F40" s="203"/>
      <c r="G40" s="250" t="str">
        <f>IFERROR(INDEX('G-1 All Habitats'!$B$3:$B$129,MATCH(F40,'G-1 All Habitats'!$A$3:$A$129,0)),"")</f>
        <v/>
      </c>
      <c r="H40" s="172"/>
      <c r="I40" s="498" t="str">
        <f>IF(G40="","",VLOOKUP(G40,'G-1 All Habitats'!$B$2:$M$129,10,FALSE))</f>
        <v/>
      </c>
      <c r="J40" s="499" t="str">
        <f>IFERROR(VLOOKUP(I40,'G-1 All Habitats'!$V$3:$W$7,2,FALSE),"")</f>
        <v/>
      </c>
      <c r="K40" s="145"/>
      <c r="L40" s="499" t="str">
        <f>IFERROR(INDEX('G-8 Condition Look up'!$A$3:$H$130,MATCH(G40,'G-8 Condition Look up'!$A$3:$A$130,0),MATCH(K40,'G-8 Condition Look up'!$A$3:$H$3,0)),"")</f>
        <v/>
      </c>
      <c r="M40" s="154"/>
      <c r="N40" s="520" t="str">
        <f>IF(M40="","",IF(VLOOKUP(M40,'G-3 Multipliers'!$L$3:$N$6,2,FALSE)=0,"Spatial Data Missing ⚠",VLOOKUP(M40,'G-3 Multipliers'!$L$3:$N$6,2,FALSE)))</f>
        <v/>
      </c>
      <c r="O40" s="524" t="str">
        <f>IF(M40="","",IF(VLOOKUP(M40,'G-3 Multipliers'!$L$3:$N$6,3,FALSE)=0,"Spatial Data Missing ⚠",VLOOKUP(M40,'G-3 Multipliers'!$L$3:$N$6,3,FALSE)))</f>
        <v/>
      </c>
      <c r="P40" s="506" t="str">
        <f>IFERROR(VLOOKUP(G40,'G-1 All Habitats'!$B$2:$M$129,12,FALSE),"")</f>
        <v/>
      </c>
      <c r="Q40" s="513" t="str">
        <f>IFERROR(IF(P40="","",IF(AND(P40='G-1 All Habitats'!$X$3,T40&gt;0),U40+V40,IF(AND(P40='G-1 All Habitats'!$X$3,S40&gt;0),U40+V40,IF(AND(P40='G-1 All Habitats'!$X$3,AC40&gt;0),"Any Loss Unacceptable",IF(AND(P40='G-1 All Habitats'!$X$3,W40&gt;0),"Any Loss Unacceptable",H40*J40*L40*O40))))),"Check Data ⚠")</f>
        <v/>
      </c>
      <c r="R40" s="50"/>
      <c r="S40" s="71"/>
      <c r="T40" s="72"/>
      <c r="U40" s="511" t="str">
        <f t="shared" si="2"/>
        <v/>
      </c>
      <c r="V40" s="511" t="str">
        <f t="shared" si="3"/>
        <v/>
      </c>
      <c r="W40" s="511"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545" t="str">
        <f>IFERROR(IF(H40="","",IF(H40-S40-T40=0&lt;0,"Error in Areas ▲",IF(S40+T40&gt;H40,"Error in Areas ▲",IF(AND(P40='G-1 All Habitats'!$X$3,Y40="Yes"),"Alternative Compensation",IF(W40=0,0,IF(P40='G-1 All Habitats'!$X$3,"Unacceptable Loss",Q40-U40-V40)))))),"Check Data ⚠")</f>
        <v/>
      </c>
      <c r="Y40" s="72"/>
      <c r="Z40" s="151"/>
      <c r="AA40" s="152"/>
      <c r="AC40" s="251" t="str">
        <f>IF(P40="","",IF(P40='G-1 All Habitats'!$X$3,H40-S40-T40,"None"))</f>
        <v/>
      </c>
      <c r="AD40" s="252" t="str">
        <f t="shared" si="4"/>
        <v/>
      </c>
      <c r="AF40" s="156" t="str">
        <f t="shared" si="0"/>
        <v/>
      </c>
      <c r="AG40" s="156" t="str">
        <f t="shared" si="1"/>
        <v/>
      </c>
      <c r="AH40" s="156" t="str">
        <f>IF(I40="","",IF(#REF!&gt;0,TRUE,FALSE))</f>
        <v/>
      </c>
      <c r="AI40" s="156">
        <v>30</v>
      </c>
      <c r="AJ40" s="156"/>
      <c r="AK40" s="156" t="str">
        <f t="array" ref="AK40">IFERROR(INDEX($AI$11:$AI$259, MATCH(0, IF(TRUE=$AF$11:$AF$259, COUNTIF($AK$10:$AK39, $AI$11:$AI$259), ""), 0)),"")</f>
        <v/>
      </c>
      <c r="AL40" s="156" t="str">
        <f t="array" ref="AL40">IFERROR(INDEX($AI$11:$AI$259, MATCH(0, IF(TRUE=$AG$11:$AG$259, COUNTIF($AL$10:$AL39, $AI$11:$AI$259), ""), 0)),"")</f>
        <v/>
      </c>
      <c r="AM40" s="156" t="str">
        <f t="array" ref="AM40">IFERROR(INDEX($AI$11:$AI$259, MATCH(0, IF(TRUE=$AH$11:$AH$259, COUNTIF($AM$10:$AM39, $AI$11:$AI$259), ""), 0)),"")</f>
        <v/>
      </c>
      <c r="AQ40" s="31">
        <f t="shared" si="5"/>
        <v>0</v>
      </c>
    </row>
    <row r="41" spans="1:43" x14ac:dyDescent="0.25">
      <c r="A41" s="31" t="str">
        <f>IFERROR(INDEX('G-1 All Habitats'!$AG$3:$AG$15,MATCH(E41,'G-1 All Habitats'!$AF$3:$AF$15,0)),"")</f>
        <v/>
      </c>
      <c r="B41" s="31" t="str">
        <f>IFERROR(INDEX('G-8 Condition Look up'!$I$4:$I$130,MATCH(G41,'G-8 Condition Look up'!$A$4:$A$130,0)),"")</f>
        <v/>
      </c>
      <c r="D41" s="141">
        <v>31</v>
      </c>
      <c r="E41" s="203"/>
      <c r="F41" s="203"/>
      <c r="G41" s="250" t="str">
        <f>IFERROR(INDEX('G-1 All Habitats'!$B$3:$B$129,MATCH(F41,'G-1 All Habitats'!$A$3:$A$129,0)),"")</f>
        <v/>
      </c>
      <c r="H41" s="172"/>
      <c r="I41" s="498" t="str">
        <f>IF(G41="","",VLOOKUP(G41,'G-1 All Habitats'!$B$2:$M$129,10,FALSE))</f>
        <v/>
      </c>
      <c r="J41" s="499" t="str">
        <f>IFERROR(VLOOKUP(I41,'G-1 All Habitats'!$V$3:$W$7,2,FALSE),"")</f>
        <v/>
      </c>
      <c r="K41" s="145"/>
      <c r="L41" s="499" t="str">
        <f>IFERROR(INDEX('G-8 Condition Look up'!$A$3:$H$130,MATCH(G41,'G-8 Condition Look up'!$A$3:$A$130,0),MATCH(K41,'G-8 Condition Look up'!$A$3:$H$3,0)),"")</f>
        <v/>
      </c>
      <c r="M41" s="154"/>
      <c r="N41" s="520" t="str">
        <f>IF(M41="","",IF(VLOOKUP(M41,'G-3 Multipliers'!$L$3:$N$6,2,FALSE)=0,"Spatial Data Missing ⚠",VLOOKUP(M41,'G-3 Multipliers'!$L$3:$N$6,2,FALSE)))</f>
        <v/>
      </c>
      <c r="O41" s="524" t="str">
        <f>IF(M41="","",IF(VLOOKUP(M41,'G-3 Multipliers'!$L$3:$N$6,3,FALSE)=0,"Spatial Data Missing ⚠",VLOOKUP(M41,'G-3 Multipliers'!$L$3:$N$6,3,FALSE)))</f>
        <v/>
      </c>
      <c r="P41" s="506" t="str">
        <f>IFERROR(VLOOKUP(G41,'G-1 All Habitats'!$B$2:$M$129,12,FALSE),"")</f>
        <v/>
      </c>
      <c r="Q41" s="513" t="str">
        <f>IFERROR(IF(P41="","",IF(AND(P41='G-1 All Habitats'!$X$3,T41&gt;0),U41+V41,IF(AND(P41='G-1 All Habitats'!$X$3,S41&gt;0),U41+V41,IF(AND(P41='G-1 All Habitats'!$X$3,AC41&gt;0),"Any Loss Unacceptable",IF(AND(P41='G-1 All Habitats'!$X$3,W41&gt;0),"Any Loss Unacceptable",H41*J41*L41*O41))))),"Check Data ⚠")</f>
        <v/>
      </c>
      <c r="R41" s="50"/>
      <c r="S41" s="71"/>
      <c r="T41" s="72"/>
      <c r="U41" s="511" t="str">
        <f t="shared" si="2"/>
        <v/>
      </c>
      <c r="V41" s="511" t="str">
        <f t="shared" si="3"/>
        <v/>
      </c>
      <c r="W41" s="511"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545" t="str">
        <f>IFERROR(IF(H41="","",IF(H41-S41-T41=0&lt;0,"Error in Areas ▲",IF(S41+T41&gt;H41,"Error in Areas ▲",IF(AND(P41='G-1 All Habitats'!$X$3,Y41="Yes"),"Alternative Compensation",IF(W41=0,0,IF(P41='G-1 All Habitats'!$X$3,"Unacceptable Loss",Q41-U41-V41)))))),"Check Data ⚠")</f>
        <v/>
      </c>
      <c r="Y41" s="72"/>
      <c r="Z41" s="151"/>
      <c r="AA41" s="152"/>
      <c r="AC41" s="251" t="str">
        <f>IF(P41="","",IF(P41='G-1 All Habitats'!$X$3,H41-S41-T41,"None"))</f>
        <v/>
      </c>
      <c r="AD41" s="252" t="str">
        <f t="shared" si="4"/>
        <v/>
      </c>
      <c r="AF41" s="156" t="str">
        <f t="shared" si="0"/>
        <v/>
      </c>
      <c r="AG41" s="156" t="str">
        <f t="shared" si="1"/>
        <v/>
      </c>
      <c r="AH41" s="156" t="str">
        <f>IF(I41="","",IF(#REF!&gt;0,TRUE,FALSE))</f>
        <v/>
      </c>
      <c r="AI41" s="156">
        <v>31</v>
      </c>
      <c r="AJ41" s="156"/>
      <c r="AK41" s="156" t="str">
        <f t="array" ref="AK41">IFERROR(INDEX($AI$11:$AI$259, MATCH(0, IF(TRUE=$AF$11:$AF$259, COUNTIF($AK$10:$AK40, $AI$11:$AI$259), ""), 0)),"")</f>
        <v/>
      </c>
      <c r="AL41" s="156" t="str">
        <f t="array" ref="AL41">IFERROR(INDEX($AI$11:$AI$259, MATCH(0, IF(TRUE=$AG$11:$AG$259, COUNTIF($AL$10:$AL40, $AI$11:$AI$259), ""), 0)),"")</f>
        <v/>
      </c>
      <c r="AM41" s="156" t="str">
        <f t="array" ref="AM41">IFERROR(INDEX($AI$11:$AI$259, MATCH(0, IF(TRUE=$AH$11:$AH$259, COUNTIF($AM$10:$AM40, $AI$11:$AI$259), ""), 0)),"")</f>
        <v/>
      </c>
      <c r="AQ41" s="31">
        <f t="shared" si="5"/>
        <v>0</v>
      </c>
    </row>
    <row r="42" spans="1:43" x14ac:dyDescent="0.25">
      <c r="A42" s="31" t="str">
        <f>IFERROR(INDEX('G-1 All Habitats'!$AG$3:$AG$15,MATCH(E42,'G-1 All Habitats'!$AF$3:$AF$15,0)),"")</f>
        <v/>
      </c>
      <c r="B42" s="31" t="str">
        <f>IFERROR(INDEX('G-8 Condition Look up'!$I$4:$I$130,MATCH(G42,'G-8 Condition Look up'!$A$4:$A$130,0)),"")</f>
        <v/>
      </c>
      <c r="D42" s="141">
        <v>32</v>
      </c>
      <c r="E42" s="203"/>
      <c r="F42" s="203"/>
      <c r="G42" s="250" t="str">
        <f>IFERROR(INDEX('G-1 All Habitats'!$B$3:$B$129,MATCH(F42,'G-1 All Habitats'!$A$3:$A$129,0)),"")</f>
        <v/>
      </c>
      <c r="H42" s="172"/>
      <c r="I42" s="498" t="str">
        <f>IF(G42="","",VLOOKUP(G42,'G-1 All Habitats'!$B$2:$M$129,10,FALSE))</f>
        <v/>
      </c>
      <c r="J42" s="499" t="str">
        <f>IFERROR(VLOOKUP(I42,'G-1 All Habitats'!$V$3:$W$7,2,FALSE),"")</f>
        <v/>
      </c>
      <c r="K42" s="145"/>
      <c r="L42" s="499" t="str">
        <f>IFERROR(INDEX('G-8 Condition Look up'!$A$3:$H$130,MATCH(G42,'G-8 Condition Look up'!$A$3:$A$130,0),MATCH(K42,'G-8 Condition Look up'!$A$3:$H$3,0)),"")</f>
        <v/>
      </c>
      <c r="M42" s="154"/>
      <c r="N42" s="520" t="str">
        <f>IF(M42="","",IF(VLOOKUP(M42,'G-3 Multipliers'!$L$3:$N$6,2,FALSE)=0,"Spatial Data Missing ⚠",VLOOKUP(M42,'G-3 Multipliers'!$L$3:$N$6,2,FALSE)))</f>
        <v/>
      </c>
      <c r="O42" s="524" t="str">
        <f>IF(M42="","",IF(VLOOKUP(M42,'G-3 Multipliers'!$L$3:$N$6,3,FALSE)=0,"Spatial Data Missing ⚠",VLOOKUP(M42,'G-3 Multipliers'!$L$3:$N$6,3,FALSE)))</f>
        <v/>
      </c>
      <c r="P42" s="506" t="str">
        <f>IFERROR(VLOOKUP(G42,'G-1 All Habitats'!$B$2:$M$129,12,FALSE),"")</f>
        <v/>
      </c>
      <c r="Q42" s="513" t="str">
        <f>IFERROR(IF(P42="","",IF(AND(P42='G-1 All Habitats'!$X$3,T42&gt;0),U42+V42,IF(AND(P42='G-1 All Habitats'!$X$3,S42&gt;0),U42+V42,IF(AND(P42='G-1 All Habitats'!$X$3,AC42&gt;0),"Any Loss Unacceptable",IF(AND(P42='G-1 All Habitats'!$X$3,W42&gt;0),"Any Loss Unacceptable",H42*J42*L42*O42))))),"Check Data ⚠")</f>
        <v/>
      </c>
      <c r="R42" s="50"/>
      <c r="S42" s="71"/>
      <c r="T42" s="72"/>
      <c r="U42" s="511" t="str">
        <f t="shared" si="2"/>
        <v/>
      </c>
      <c r="V42" s="511" t="str">
        <f t="shared" si="3"/>
        <v/>
      </c>
      <c r="W42" s="511"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545" t="str">
        <f>IFERROR(IF(H42="","",IF(H42-S42-T42=0&lt;0,"Error in Areas ▲",IF(S42+T42&gt;H42,"Error in Areas ▲",IF(AND(P42='G-1 All Habitats'!$X$3,Y42="Yes"),"Alternative Compensation",IF(W42=0,0,IF(P42='G-1 All Habitats'!$X$3,"Unacceptable Loss",Q42-U42-V42)))))),"Check Data ⚠")</f>
        <v/>
      </c>
      <c r="Y42" s="72"/>
      <c r="Z42" s="151"/>
      <c r="AA42" s="152"/>
      <c r="AC42" s="251" t="str">
        <f>IF(P42="","",IF(P42='G-1 All Habitats'!$X$3,H42-S42-T42,"None"))</f>
        <v/>
      </c>
      <c r="AD42" s="252" t="str">
        <f t="shared" si="4"/>
        <v/>
      </c>
      <c r="AF42" s="156" t="str">
        <f t="shared" si="0"/>
        <v/>
      </c>
      <c r="AG42" s="156" t="str">
        <f t="shared" si="1"/>
        <v/>
      </c>
      <c r="AH42" s="156" t="str">
        <f>IF(I42="","",IF(#REF!&gt;0,TRUE,FALSE))</f>
        <v/>
      </c>
      <c r="AI42" s="156">
        <v>32</v>
      </c>
      <c r="AJ42" s="156"/>
      <c r="AK42" s="156" t="str">
        <f t="array" ref="AK42">IFERROR(INDEX($AI$11:$AI$259, MATCH(0, IF(TRUE=$AF$11:$AF$259, COUNTIF($AK$10:$AK41, $AI$11:$AI$259), ""), 0)),"")</f>
        <v/>
      </c>
      <c r="AL42" s="156" t="str">
        <f t="array" ref="AL42">IFERROR(INDEX($AI$11:$AI$259, MATCH(0, IF(TRUE=$AG$11:$AG$259, COUNTIF($AL$10:$AL41, $AI$11:$AI$259), ""), 0)),"")</f>
        <v/>
      </c>
      <c r="AM42" s="156" t="str">
        <f t="array" ref="AM42">IFERROR(INDEX($AI$11:$AI$259, MATCH(0, IF(TRUE=$AH$11:$AH$259, COUNTIF($AM$10:$AM41, $AI$11:$AI$259), ""), 0)),"")</f>
        <v/>
      </c>
      <c r="AQ42" s="31">
        <f t="shared" si="5"/>
        <v>0</v>
      </c>
    </row>
    <row r="43" spans="1:43" x14ac:dyDescent="0.25">
      <c r="A43" s="31" t="str">
        <f>IFERROR(INDEX('G-1 All Habitats'!$AG$3:$AG$15,MATCH(E43,'G-1 All Habitats'!$AF$3:$AF$15,0)),"")</f>
        <v/>
      </c>
      <c r="B43" s="31" t="str">
        <f>IFERROR(INDEX('G-8 Condition Look up'!$I$4:$I$130,MATCH(G43,'G-8 Condition Look up'!$A$4:$A$130,0)),"")</f>
        <v/>
      </c>
      <c r="D43" s="141">
        <v>33</v>
      </c>
      <c r="E43" s="203"/>
      <c r="F43" s="203"/>
      <c r="G43" s="250" t="str">
        <f>IFERROR(INDEX('G-1 All Habitats'!$B$3:$B$129,MATCH(F43,'G-1 All Habitats'!$A$3:$A$129,0)),"")</f>
        <v/>
      </c>
      <c r="H43" s="172"/>
      <c r="I43" s="498" t="str">
        <f>IF(G43="","",VLOOKUP(G43,'G-1 All Habitats'!$B$2:$M$129,10,FALSE))</f>
        <v/>
      </c>
      <c r="J43" s="499" t="str">
        <f>IFERROR(VLOOKUP(I43,'G-1 All Habitats'!$V$3:$W$7,2,FALSE),"")</f>
        <v/>
      </c>
      <c r="K43" s="145"/>
      <c r="L43" s="499" t="str">
        <f>IFERROR(INDEX('G-8 Condition Look up'!$A$3:$H$130,MATCH(G43,'G-8 Condition Look up'!$A$3:$A$130,0),MATCH(K43,'G-8 Condition Look up'!$A$3:$H$3,0)),"")</f>
        <v/>
      </c>
      <c r="M43" s="154"/>
      <c r="N43" s="520" t="str">
        <f>IF(M43="","",IF(VLOOKUP(M43,'G-3 Multipliers'!$L$3:$N$6,2,FALSE)=0,"Spatial Data Missing ⚠",VLOOKUP(M43,'G-3 Multipliers'!$L$3:$N$6,2,FALSE)))</f>
        <v/>
      </c>
      <c r="O43" s="524" t="str">
        <f>IF(M43="","",IF(VLOOKUP(M43,'G-3 Multipliers'!$L$3:$N$6,3,FALSE)=0,"Spatial Data Missing ⚠",VLOOKUP(M43,'G-3 Multipliers'!$L$3:$N$6,3,FALSE)))</f>
        <v/>
      </c>
      <c r="P43" s="506" t="str">
        <f>IFERROR(VLOOKUP(G43,'G-1 All Habitats'!$B$2:$M$129,12,FALSE),"")</f>
        <v/>
      </c>
      <c r="Q43" s="513" t="str">
        <f>IFERROR(IF(P43="","",IF(AND(P43='G-1 All Habitats'!$X$3,T43&gt;0),U43+V43,IF(AND(P43='G-1 All Habitats'!$X$3,S43&gt;0),U43+V43,IF(AND(P43='G-1 All Habitats'!$X$3,AC43&gt;0),"Any Loss Unacceptable",IF(AND(P43='G-1 All Habitats'!$X$3,W43&gt;0),"Any Loss Unacceptable",H43*J43*L43*O43))))),"Check Data ⚠")</f>
        <v/>
      </c>
      <c r="R43" s="50"/>
      <c r="S43" s="71"/>
      <c r="T43" s="72"/>
      <c r="U43" s="511" t="str">
        <f t="shared" si="2"/>
        <v/>
      </c>
      <c r="V43" s="511" t="str">
        <f t="shared" si="3"/>
        <v/>
      </c>
      <c r="W43" s="511"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545" t="str">
        <f>IFERROR(IF(H43="","",IF(H43-S43-T43=0&lt;0,"Error in Areas ▲",IF(S43+T43&gt;H43,"Error in Areas ▲",IF(AND(P43='G-1 All Habitats'!$X$3,Y43="Yes"),"Alternative Compensation",IF(W43=0,0,IF(P43='G-1 All Habitats'!$X$3,"Unacceptable Loss",Q43-U43-V43)))))),"Check Data ⚠")</f>
        <v/>
      </c>
      <c r="Y43" s="72"/>
      <c r="Z43" s="151"/>
      <c r="AA43" s="152"/>
      <c r="AC43" s="251" t="str">
        <f>IF(P43="","",IF(P43='G-1 All Habitats'!$X$3,H43-S43-T43,"None"))</f>
        <v/>
      </c>
      <c r="AD43" s="252" t="str">
        <f t="shared" si="4"/>
        <v/>
      </c>
      <c r="AF43" s="156" t="str">
        <f t="shared" si="0"/>
        <v/>
      </c>
      <c r="AG43" s="156" t="str">
        <f t="shared" si="1"/>
        <v/>
      </c>
      <c r="AH43" s="156" t="str">
        <f>IF(I43="","",IF(#REF!&gt;0,TRUE,FALSE))</f>
        <v/>
      </c>
      <c r="AI43" s="156">
        <v>33</v>
      </c>
      <c r="AJ43" s="156"/>
      <c r="AK43" s="156" t="str">
        <f t="array" ref="AK43">IFERROR(INDEX($AI$11:$AI$259, MATCH(0, IF(TRUE=$AF$11:$AF$259, COUNTIF($AK$10:$AK42, $AI$11:$AI$259), ""), 0)),"")</f>
        <v/>
      </c>
      <c r="AL43" s="156" t="str">
        <f t="array" ref="AL43">IFERROR(INDEX($AI$11:$AI$259, MATCH(0, IF(TRUE=$AG$11:$AG$259, COUNTIF($AL$10:$AL42, $AI$11:$AI$259), ""), 0)),"")</f>
        <v/>
      </c>
      <c r="AM43" s="156" t="str">
        <f t="array" ref="AM43">IFERROR(INDEX($AI$11:$AI$259, MATCH(0, IF(TRUE=$AH$11:$AH$259, COUNTIF($AM$10:$AM42, $AI$11:$AI$259), ""), 0)),"")</f>
        <v/>
      </c>
      <c r="AQ43" s="31">
        <f t="shared" si="5"/>
        <v>0</v>
      </c>
    </row>
    <row r="44" spans="1:43" x14ac:dyDescent="0.25">
      <c r="A44" s="31" t="str">
        <f>IFERROR(INDEX('G-1 All Habitats'!$AG$3:$AG$15,MATCH(E44,'G-1 All Habitats'!$AF$3:$AF$15,0)),"")</f>
        <v/>
      </c>
      <c r="B44" s="31" t="str">
        <f>IFERROR(INDEX('G-8 Condition Look up'!$I$4:$I$130,MATCH(G44,'G-8 Condition Look up'!$A$4:$A$130,0)),"")</f>
        <v/>
      </c>
      <c r="D44" s="141">
        <v>34</v>
      </c>
      <c r="E44" s="203"/>
      <c r="F44" s="203"/>
      <c r="G44" s="250" t="str">
        <f>IFERROR(INDEX('G-1 All Habitats'!$B$3:$B$129,MATCH(F44,'G-1 All Habitats'!$A$3:$A$129,0)),"")</f>
        <v/>
      </c>
      <c r="H44" s="172"/>
      <c r="I44" s="498" t="str">
        <f>IF(G44="","",VLOOKUP(G44,'G-1 All Habitats'!$B$2:$M$129,10,FALSE))</f>
        <v/>
      </c>
      <c r="J44" s="499" t="str">
        <f>IFERROR(VLOOKUP(I44,'G-1 All Habitats'!$V$3:$W$7,2,FALSE),"")</f>
        <v/>
      </c>
      <c r="K44" s="145"/>
      <c r="L44" s="499" t="str">
        <f>IFERROR(INDEX('G-8 Condition Look up'!$A$3:$H$130,MATCH(G44,'G-8 Condition Look up'!$A$3:$A$130,0),MATCH(K44,'G-8 Condition Look up'!$A$3:$H$3,0)),"")</f>
        <v/>
      </c>
      <c r="M44" s="154"/>
      <c r="N44" s="520" t="str">
        <f>IF(M44="","",IF(VLOOKUP(M44,'G-3 Multipliers'!$L$3:$N$6,2,FALSE)=0,"Spatial Data Missing ⚠",VLOOKUP(M44,'G-3 Multipliers'!$L$3:$N$6,2,FALSE)))</f>
        <v/>
      </c>
      <c r="O44" s="524" t="str">
        <f>IF(M44="","",IF(VLOOKUP(M44,'G-3 Multipliers'!$L$3:$N$6,3,FALSE)=0,"Spatial Data Missing ⚠",VLOOKUP(M44,'G-3 Multipliers'!$L$3:$N$6,3,FALSE)))</f>
        <v/>
      </c>
      <c r="P44" s="506" t="str">
        <f>IFERROR(VLOOKUP(G44,'G-1 All Habitats'!$B$2:$M$129,12,FALSE),"")</f>
        <v/>
      </c>
      <c r="Q44" s="513" t="str">
        <f>IFERROR(IF(P44="","",IF(AND(P44='G-1 All Habitats'!$X$3,T44&gt;0),U44+V44,IF(AND(P44='G-1 All Habitats'!$X$3,S44&gt;0),U44+V44,IF(AND(P44='G-1 All Habitats'!$X$3,AC44&gt;0),"Any Loss Unacceptable",IF(AND(P44='G-1 All Habitats'!$X$3,W44&gt;0),"Any Loss Unacceptable",H44*J44*L44*O44))))),"Check Data ⚠")</f>
        <v/>
      </c>
      <c r="R44" s="50"/>
      <c r="S44" s="71"/>
      <c r="T44" s="72"/>
      <c r="U44" s="511" t="str">
        <f t="shared" si="2"/>
        <v/>
      </c>
      <c r="V44" s="511" t="str">
        <f t="shared" si="3"/>
        <v/>
      </c>
      <c r="W44" s="511"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545" t="str">
        <f>IFERROR(IF(H44="","",IF(H44-S44-T44=0&lt;0,"Error in Areas ▲",IF(S44+T44&gt;H44,"Error in Areas ▲",IF(AND(P44='G-1 All Habitats'!$X$3,Y44="Yes"),"Alternative Compensation",IF(W44=0,0,IF(P44='G-1 All Habitats'!$X$3,"Unacceptable Loss",Q44-U44-V44)))))),"Check Data ⚠")</f>
        <v/>
      </c>
      <c r="Y44" s="72"/>
      <c r="Z44" s="151"/>
      <c r="AA44" s="152"/>
      <c r="AC44" s="251" t="str">
        <f>IF(P44="","",IF(P44='G-1 All Habitats'!$X$3,H44-S44-T44,"None"))</f>
        <v/>
      </c>
      <c r="AD44" s="252" t="str">
        <f t="shared" si="4"/>
        <v/>
      </c>
      <c r="AF44" s="156" t="str">
        <f t="shared" si="0"/>
        <v/>
      </c>
      <c r="AG44" s="156" t="str">
        <f t="shared" si="1"/>
        <v/>
      </c>
      <c r="AH44" s="156" t="str">
        <f>IF(I44="","",IF(#REF!&gt;0,TRUE,FALSE))</f>
        <v/>
      </c>
      <c r="AI44" s="156">
        <v>34</v>
      </c>
      <c r="AJ44" s="156"/>
      <c r="AK44" s="156" t="str">
        <f t="array" ref="AK44">IFERROR(INDEX($AI$11:$AI$259, MATCH(0, IF(TRUE=$AF$11:$AF$259, COUNTIF($AK$10:$AK43, $AI$11:$AI$259), ""), 0)),"")</f>
        <v/>
      </c>
      <c r="AL44" s="156" t="str">
        <f t="array" ref="AL44">IFERROR(INDEX($AI$11:$AI$259, MATCH(0, IF(TRUE=$AG$11:$AG$259, COUNTIF($AL$10:$AL43, $AI$11:$AI$259), ""), 0)),"")</f>
        <v/>
      </c>
      <c r="AM44" s="156" t="str">
        <f t="array" ref="AM44">IFERROR(INDEX($AI$11:$AI$259, MATCH(0, IF(TRUE=$AH$11:$AH$259, COUNTIF($AM$10:$AM43, $AI$11:$AI$259), ""), 0)),"")</f>
        <v/>
      </c>
      <c r="AQ44" s="31">
        <f t="shared" si="5"/>
        <v>0</v>
      </c>
    </row>
    <row r="45" spans="1:43" x14ac:dyDescent="0.25">
      <c r="A45" s="31" t="str">
        <f>IFERROR(INDEX('G-1 All Habitats'!$AG$3:$AG$15,MATCH(E45,'G-1 All Habitats'!$AF$3:$AF$15,0)),"")</f>
        <v/>
      </c>
      <c r="B45" s="31" t="str">
        <f>IFERROR(INDEX('G-8 Condition Look up'!$I$4:$I$130,MATCH(G45,'G-8 Condition Look up'!$A$4:$A$130,0)),"")</f>
        <v/>
      </c>
      <c r="D45" s="141">
        <v>35</v>
      </c>
      <c r="E45" s="203"/>
      <c r="F45" s="203"/>
      <c r="G45" s="250" t="str">
        <f>IFERROR(INDEX('G-1 All Habitats'!$B$3:$B$129,MATCH(F45,'G-1 All Habitats'!$A$3:$A$129,0)),"")</f>
        <v/>
      </c>
      <c r="H45" s="172"/>
      <c r="I45" s="498" t="str">
        <f>IF(G45="","",VLOOKUP(G45,'G-1 All Habitats'!$B$2:$M$129,10,FALSE))</f>
        <v/>
      </c>
      <c r="J45" s="499" t="str">
        <f>IFERROR(VLOOKUP(I45,'G-1 All Habitats'!$V$3:$W$7,2,FALSE),"")</f>
        <v/>
      </c>
      <c r="K45" s="145"/>
      <c r="L45" s="499" t="str">
        <f>IFERROR(INDEX('G-8 Condition Look up'!$A$3:$H$130,MATCH(G45,'G-8 Condition Look up'!$A$3:$A$130,0),MATCH(K45,'G-8 Condition Look up'!$A$3:$H$3,0)),"")</f>
        <v/>
      </c>
      <c r="M45" s="154"/>
      <c r="N45" s="520" t="str">
        <f>IF(M45="","",IF(VLOOKUP(M45,'G-3 Multipliers'!$L$3:$N$6,2,FALSE)=0,"Spatial Data Missing ⚠",VLOOKUP(M45,'G-3 Multipliers'!$L$3:$N$6,2,FALSE)))</f>
        <v/>
      </c>
      <c r="O45" s="524" t="str">
        <f>IF(M45="","",IF(VLOOKUP(M45,'G-3 Multipliers'!$L$3:$N$6,3,FALSE)=0,"Spatial Data Missing ⚠",VLOOKUP(M45,'G-3 Multipliers'!$L$3:$N$6,3,FALSE)))</f>
        <v/>
      </c>
      <c r="P45" s="506" t="str">
        <f>IFERROR(VLOOKUP(G45,'G-1 All Habitats'!$B$2:$M$129,12,FALSE),"")</f>
        <v/>
      </c>
      <c r="Q45" s="513" t="str">
        <f>IFERROR(IF(P45="","",IF(AND(P45='G-1 All Habitats'!$X$3,T45&gt;0),U45+V45,IF(AND(P45='G-1 All Habitats'!$X$3,S45&gt;0),U45+V45,IF(AND(P45='G-1 All Habitats'!$X$3,AC45&gt;0),"Any Loss Unacceptable",IF(AND(P45='G-1 All Habitats'!$X$3,W45&gt;0),"Any Loss Unacceptable",H45*J45*L45*O45))))),"Check Data ⚠")</f>
        <v/>
      </c>
      <c r="R45" s="50"/>
      <c r="S45" s="71"/>
      <c r="T45" s="72"/>
      <c r="U45" s="511" t="str">
        <f t="shared" si="2"/>
        <v/>
      </c>
      <c r="V45" s="511" t="str">
        <f t="shared" si="3"/>
        <v/>
      </c>
      <c r="W45" s="511"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545" t="str">
        <f>IFERROR(IF(H45="","",IF(H45-S45-T45=0&lt;0,"Error in Areas ▲",IF(S45+T45&gt;H45,"Error in Areas ▲",IF(AND(P45='G-1 All Habitats'!$X$3,Y45="Yes"),"Alternative Compensation",IF(W45=0,0,IF(P45='G-1 All Habitats'!$X$3,"Unacceptable Loss",Q45-U45-V45)))))),"Check Data ⚠")</f>
        <v/>
      </c>
      <c r="Y45" s="72"/>
      <c r="Z45" s="151"/>
      <c r="AA45" s="152"/>
      <c r="AC45" s="251" t="str">
        <f>IF(P45="","",IF(P45='G-1 All Habitats'!$X$3,H45-S45-T45,"None"))</f>
        <v/>
      </c>
      <c r="AD45" s="252" t="str">
        <f t="shared" si="4"/>
        <v/>
      </c>
      <c r="AF45" s="156" t="str">
        <f t="shared" si="0"/>
        <v/>
      </c>
      <c r="AG45" s="156" t="str">
        <f t="shared" si="1"/>
        <v/>
      </c>
      <c r="AH45" s="156" t="str">
        <f>IF(I45="","",IF(#REF!&gt;0,TRUE,FALSE))</f>
        <v/>
      </c>
      <c r="AI45" s="156">
        <v>35</v>
      </c>
      <c r="AJ45" s="156"/>
      <c r="AK45" s="156" t="str">
        <f t="array" ref="AK45">IFERROR(INDEX($AI$11:$AI$259, MATCH(0, IF(TRUE=$AF$11:$AF$259, COUNTIF($AK$10:$AK44, $AI$11:$AI$259), ""), 0)),"")</f>
        <v/>
      </c>
      <c r="AL45" s="156" t="str">
        <f t="array" ref="AL45">IFERROR(INDEX($AI$11:$AI$259, MATCH(0, IF(TRUE=$AG$11:$AG$259, COUNTIF($AL$10:$AL44, $AI$11:$AI$259), ""), 0)),"")</f>
        <v/>
      </c>
      <c r="AM45" s="156" t="str">
        <f t="array" ref="AM45">IFERROR(INDEX($AI$11:$AI$259, MATCH(0, IF(TRUE=$AH$11:$AH$259, COUNTIF($AM$10:$AM44, $AI$11:$AI$259), ""), 0)),"")</f>
        <v/>
      </c>
      <c r="AQ45" s="31">
        <f t="shared" si="5"/>
        <v>0</v>
      </c>
    </row>
    <row r="46" spans="1:43" x14ac:dyDescent="0.25">
      <c r="A46" s="31" t="str">
        <f>IFERROR(INDEX('G-1 All Habitats'!$AG$3:$AG$15,MATCH(E46,'G-1 All Habitats'!$AF$3:$AF$15,0)),"")</f>
        <v/>
      </c>
      <c r="B46" s="31" t="str">
        <f>IFERROR(INDEX('G-8 Condition Look up'!$I$4:$I$130,MATCH(G46,'G-8 Condition Look up'!$A$4:$A$130,0)),"")</f>
        <v/>
      </c>
      <c r="D46" s="141">
        <v>36</v>
      </c>
      <c r="E46" s="203"/>
      <c r="F46" s="203"/>
      <c r="G46" s="250" t="str">
        <f>IFERROR(INDEX('G-1 All Habitats'!$B$3:$B$129,MATCH(F46,'G-1 All Habitats'!$A$3:$A$129,0)),"")</f>
        <v/>
      </c>
      <c r="H46" s="172"/>
      <c r="I46" s="498" t="str">
        <f>IF(G46="","",VLOOKUP(G46,'G-1 All Habitats'!$B$2:$M$129,10,FALSE))</f>
        <v/>
      </c>
      <c r="J46" s="499" t="str">
        <f>IFERROR(VLOOKUP(I46,'G-1 All Habitats'!$V$3:$W$7,2,FALSE),"")</f>
        <v/>
      </c>
      <c r="K46" s="145"/>
      <c r="L46" s="499" t="str">
        <f>IFERROR(INDEX('G-8 Condition Look up'!$A$3:$H$130,MATCH(G46,'G-8 Condition Look up'!$A$3:$A$130,0),MATCH(K46,'G-8 Condition Look up'!$A$3:$H$3,0)),"")</f>
        <v/>
      </c>
      <c r="M46" s="154"/>
      <c r="N46" s="520" t="str">
        <f>IF(M46="","",IF(VLOOKUP(M46,'G-3 Multipliers'!$L$3:$N$6,2,FALSE)=0,"Spatial Data Missing ⚠",VLOOKUP(M46,'G-3 Multipliers'!$L$3:$N$6,2,FALSE)))</f>
        <v/>
      </c>
      <c r="O46" s="524" t="str">
        <f>IF(M46="","",IF(VLOOKUP(M46,'G-3 Multipliers'!$L$3:$N$6,3,FALSE)=0,"Spatial Data Missing ⚠",VLOOKUP(M46,'G-3 Multipliers'!$L$3:$N$6,3,FALSE)))</f>
        <v/>
      </c>
      <c r="P46" s="506" t="str">
        <f>IFERROR(VLOOKUP(G46,'G-1 All Habitats'!$B$2:$M$129,12,FALSE),"")</f>
        <v/>
      </c>
      <c r="Q46" s="513" t="str">
        <f>IFERROR(IF(P46="","",IF(AND(P46='G-1 All Habitats'!$X$3,T46&gt;0),U46+V46,IF(AND(P46='G-1 All Habitats'!$X$3,S46&gt;0),U46+V46,IF(AND(P46='G-1 All Habitats'!$X$3,AC46&gt;0),"Any Loss Unacceptable",IF(AND(P46='G-1 All Habitats'!$X$3,W46&gt;0),"Any Loss Unacceptable",H46*J46*L46*O46))))),"Check Data ⚠")</f>
        <v/>
      </c>
      <c r="R46" s="50"/>
      <c r="S46" s="71"/>
      <c r="T46" s="72"/>
      <c r="U46" s="511" t="str">
        <f t="shared" si="2"/>
        <v/>
      </c>
      <c r="V46" s="511" t="str">
        <f t="shared" si="3"/>
        <v/>
      </c>
      <c r="W46" s="511"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545" t="str">
        <f>IFERROR(IF(H46="","",IF(H46-S46-T46=0&lt;0,"Error in Areas ▲",IF(S46+T46&gt;H46,"Error in Areas ▲",IF(AND(P46='G-1 All Habitats'!$X$3,Y46="Yes"),"Alternative Compensation",IF(W46=0,0,IF(P46='G-1 All Habitats'!$X$3,"Unacceptable Loss",Q46-U46-V46)))))),"Check Data ⚠")</f>
        <v/>
      </c>
      <c r="Y46" s="72"/>
      <c r="Z46" s="151"/>
      <c r="AA46" s="152"/>
      <c r="AC46" s="251" t="str">
        <f>IF(P46="","",IF(P46='G-1 All Habitats'!$X$3,H46-S46-T46,"None"))</f>
        <v/>
      </c>
      <c r="AD46" s="252" t="str">
        <f t="shared" si="4"/>
        <v/>
      </c>
      <c r="AF46" s="156" t="str">
        <f t="shared" si="0"/>
        <v/>
      </c>
      <c r="AG46" s="156" t="str">
        <f t="shared" si="1"/>
        <v/>
      </c>
      <c r="AH46" s="156" t="str">
        <f>IF(I46="","",IF(#REF!&gt;0,TRUE,FALSE))</f>
        <v/>
      </c>
      <c r="AI46" s="156">
        <v>36</v>
      </c>
      <c r="AJ46" s="156"/>
      <c r="AK46" s="156" t="str">
        <f t="array" ref="AK46">IFERROR(INDEX($AI$11:$AI$259, MATCH(0, IF(TRUE=$AF$11:$AF$259, COUNTIF($AK$10:$AK45, $AI$11:$AI$259), ""), 0)),"")</f>
        <v/>
      </c>
      <c r="AL46" s="156" t="str">
        <f t="array" ref="AL46">IFERROR(INDEX($AI$11:$AI$259, MATCH(0, IF(TRUE=$AG$11:$AG$259, COUNTIF($AL$10:$AL45, $AI$11:$AI$259), ""), 0)),"")</f>
        <v/>
      </c>
      <c r="AM46" s="156" t="str">
        <f t="array" ref="AM46">IFERROR(INDEX($AI$11:$AI$259, MATCH(0, IF(TRUE=$AH$11:$AH$259, COUNTIF($AM$10:$AM45, $AI$11:$AI$259), ""), 0)),"")</f>
        <v/>
      </c>
      <c r="AQ46" s="31">
        <f t="shared" si="5"/>
        <v>0</v>
      </c>
    </row>
    <row r="47" spans="1:43" x14ac:dyDescent="0.25">
      <c r="A47" s="31" t="str">
        <f>IFERROR(INDEX('G-1 All Habitats'!$AG$3:$AG$15,MATCH(E47,'G-1 All Habitats'!$AF$3:$AF$15,0)),"")</f>
        <v/>
      </c>
      <c r="B47" s="31" t="str">
        <f>IFERROR(INDEX('G-8 Condition Look up'!$I$4:$I$130,MATCH(G47,'G-8 Condition Look up'!$A$4:$A$130,0)),"")</f>
        <v/>
      </c>
      <c r="D47" s="141">
        <v>37</v>
      </c>
      <c r="E47" s="203"/>
      <c r="F47" s="203"/>
      <c r="G47" s="250" t="str">
        <f>IFERROR(INDEX('G-1 All Habitats'!$B$3:$B$129,MATCH(F47,'G-1 All Habitats'!$A$3:$A$129,0)),"")</f>
        <v/>
      </c>
      <c r="H47" s="172"/>
      <c r="I47" s="498" t="str">
        <f>IF(G47="","",VLOOKUP(G47,'G-1 All Habitats'!$B$2:$M$129,10,FALSE))</f>
        <v/>
      </c>
      <c r="J47" s="499" t="str">
        <f>IFERROR(VLOOKUP(I47,'G-1 All Habitats'!$V$3:$W$7,2,FALSE),"")</f>
        <v/>
      </c>
      <c r="K47" s="145"/>
      <c r="L47" s="499" t="str">
        <f>IFERROR(INDEX('G-8 Condition Look up'!$A$3:$H$130,MATCH(G47,'G-8 Condition Look up'!$A$3:$A$130,0),MATCH(K47,'G-8 Condition Look up'!$A$3:$H$3,0)),"")</f>
        <v/>
      </c>
      <c r="M47" s="154"/>
      <c r="N47" s="520" t="str">
        <f>IF(M47="","",IF(VLOOKUP(M47,'G-3 Multipliers'!$L$3:$N$6,2,FALSE)=0,"Spatial Data Missing ⚠",VLOOKUP(M47,'G-3 Multipliers'!$L$3:$N$6,2,FALSE)))</f>
        <v/>
      </c>
      <c r="O47" s="524" t="str">
        <f>IF(M47="","",IF(VLOOKUP(M47,'G-3 Multipliers'!$L$3:$N$6,3,FALSE)=0,"Spatial Data Missing ⚠",VLOOKUP(M47,'G-3 Multipliers'!$L$3:$N$6,3,FALSE)))</f>
        <v/>
      </c>
      <c r="P47" s="506" t="str">
        <f>IFERROR(VLOOKUP(G47,'G-1 All Habitats'!$B$2:$M$129,12,FALSE),"")</f>
        <v/>
      </c>
      <c r="Q47" s="513" t="str">
        <f>IFERROR(IF(P47="","",IF(AND(P47='G-1 All Habitats'!$X$3,T47&gt;0),U47+V47,IF(AND(P47='G-1 All Habitats'!$X$3,S47&gt;0),U47+V47,IF(AND(P47='G-1 All Habitats'!$X$3,AC47&gt;0),"Any Loss Unacceptable",IF(AND(P47='G-1 All Habitats'!$X$3,W47&gt;0),"Any Loss Unacceptable",H47*J47*L47*O47))))),"Check Data ⚠")</f>
        <v/>
      </c>
      <c r="R47" s="50"/>
      <c r="S47" s="71"/>
      <c r="T47" s="72"/>
      <c r="U47" s="511" t="str">
        <f t="shared" si="2"/>
        <v/>
      </c>
      <c r="V47" s="511" t="str">
        <f t="shared" si="3"/>
        <v/>
      </c>
      <c r="W47" s="511"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545" t="str">
        <f>IFERROR(IF(H47="","",IF(H47-S47-T47=0&lt;0,"Error in Areas ▲",IF(S47+T47&gt;H47,"Error in Areas ▲",IF(AND(P47='G-1 All Habitats'!$X$3,Y47="Yes"),"Alternative Compensation",IF(W47=0,0,IF(P47='G-1 All Habitats'!$X$3,"Unacceptable Loss",Q47-U47-V47)))))),"Check Data ⚠")</f>
        <v/>
      </c>
      <c r="Y47" s="72"/>
      <c r="Z47" s="151"/>
      <c r="AA47" s="152"/>
      <c r="AC47" s="251" t="str">
        <f>IF(P47="","",IF(P47='G-1 All Habitats'!$X$3,H47-S47-T47,"None"))</f>
        <v/>
      </c>
      <c r="AD47" s="252" t="str">
        <f t="shared" si="4"/>
        <v/>
      </c>
      <c r="AF47" s="156" t="str">
        <f t="shared" si="0"/>
        <v/>
      </c>
      <c r="AG47" s="156" t="str">
        <f t="shared" si="1"/>
        <v/>
      </c>
      <c r="AH47" s="156" t="str">
        <f>IF(I47="","",IF(#REF!&gt;0,TRUE,FALSE))</f>
        <v/>
      </c>
      <c r="AI47" s="156">
        <v>37</v>
      </c>
      <c r="AJ47" s="156"/>
      <c r="AK47" s="156" t="str">
        <f t="array" ref="AK47">IFERROR(INDEX($AI$11:$AI$259, MATCH(0, IF(TRUE=$AF$11:$AF$259, COUNTIF($AK$10:$AK46, $AI$11:$AI$259), ""), 0)),"")</f>
        <v/>
      </c>
      <c r="AL47" s="156" t="str">
        <f t="array" ref="AL47">IFERROR(INDEX($AI$11:$AI$259, MATCH(0, IF(TRUE=$AG$11:$AG$259, COUNTIF($AL$10:$AL46, $AI$11:$AI$259), ""), 0)),"")</f>
        <v/>
      </c>
      <c r="AM47" s="156" t="str">
        <f t="array" ref="AM47">IFERROR(INDEX($AI$11:$AI$259, MATCH(0, IF(TRUE=$AH$11:$AH$259, COUNTIF($AM$10:$AM46, $AI$11:$AI$259), ""), 0)),"")</f>
        <v/>
      </c>
      <c r="AQ47" s="31">
        <f t="shared" si="5"/>
        <v>0</v>
      </c>
    </row>
    <row r="48" spans="1:43" x14ac:dyDescent="0.25">
      <c r="A48" s="31" t="str">
        <f>IFERROR(INDEX('G-1 All Habitats'!$AG$3:$AG$15,MATCH(E48,'G-1 All Habitats'!$AF$3:$AF$15,0)),"")</f>
        <v/>
      </c>
      <c r="B48" s="31" t="str">
        <f>IFERROR(INDEX('G-8 Condition Look up'!$I$4:$I$130,MATCH(G48,'G-8 Condition Look up'!$A$4:$A$130,0)),"")</f>
        <v/>
      </c>
      <c r="D48" s="141">
        <v>38</v>
      </c>
      <c r="E48" s="203"/>
      <c r="F48" s="203"/>
      <c r="G48" s="250" t="str">
        <f>IFERROR(INDEX('G-1 All Habitats'!$B$3:$B$129,MATCH(F48,'G-1 All Habitats'!$A$3:$A$129,0)),"")</f>
        <v/>
      </c>
      <c r="H48" s="172"/>
      <c r="I48" s="498" t="str">
        <f>IF(G48="","",VLOOKUP(G48,'G-1 All Habitats'!$B$2:$M$129,10,FALSE))</f>
        <v/>
      </c>
      <c r="J48" s="499" t="str">
        <f>IFERROR(VLOOKUP(I48,'G-1 All Habitats'!$V$3:$W$7,2,FALSE),"")</f>
        <v/>
      </c>
      <c r="K48" s="145"/>
      <c r="L48" s="499" t="str">
        <f>IFERROR(INDEX('G-8 Condition Look up'!$A$3:$H$130,MATCH(G48,'G-8 Condition Look up'!$A$3:$A$130,0),MATCH(K48,'G-8 Condition Look up'!$A$3:$H$3,0)),"")</f>
        <v/>
      </c>
      <c r="M48" s="154"/>
      <c r="N48" s="520" t="str">
        <f>IF(M48="","",IF(VLOOKUP(M48,'G-3 Multipliers'!$L$3:$N$6,2,FALSE)=0,"Spatial Data Missing ⚠",VLOOKUP(M48,'G-3 Multipliers'!$L$3:$N$6,2,FALSE)))</f>
        <v/>
      </c>
      <c r="O48" s="524" t="str">
        <f>IF(M48="","",IF(VLOOKUP(M48,'G-3 Multipliers'!$L$3:$N$6,3,FALSE)=0,"Spatial Data Missing ⚠",VLOOKUP(M48,'G-3 Multipliers'!$L$3:$N$6,3,FALSE)))</f>
        <v/>
      </c>
      <c r="P48" s="506" t="str">
        <f>IFERROR(VLOOKUP(G48,'G-1 All Habitats'!$B$2:$M$129,12,FALSE),"")</f>
        <v/>
      </c>
      <c r="Q48" s="513" t="str">
        <f>IFERROR(IF(P48="","",IF(AND(P48='G-1 All Habitats'!$X$3,T48&gt;0),U48+V48,IF(AND(P48='G-1 All Habitats'!$X$3,S48&gt;0),U48+V48,IF(AND(P48='G-1 All Habitats'!$X$3,AC48&gt;0),"Any Loss Unacceptable",IF(AND(P48='G-1 All Habitats'!$X$3,W48&gt;0),"Any Loss Unacceptable",H48*J48*L48*O48))))),"Check Data ⚠")</f>
        <v/>
      </c>
      <c r="R48" s="50"/>
      <c r="S48" s="71"/>
      <c r="T48" s="72"/>
      <c r="U48" s="511" t="str">
        <f t="shared" si="2"/>
        <v/>
      </c>
      <c r="V48" s="511" t="str">
        <f t="shared" si="3"/>
        <v/>
      </c>
      <c r="W48" s="511"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545" t="str">
        <f>IFERROR(IF(H48="","",IF(H48-S48-T48=0&lt;0,"Error in Areas ▲",IF(S48+T48&gt;H48,"Error in Areas ▲",IF(AND(P48='G-1 All Habitats'!$X$3,Y48="Yes"),"Alternative Compensation",IF(W48=0,0,IF(P48='G-1 All Habitats'!$X$3,"Unacceptable Loss",Q48-U48-V48)))))),"Check Data ⚠")</f>
        <v/>
      </c>
      <c r="Y48" s="72"/>
      <c r="Z48" s="151"/>
      <c r="AA48" s="152"/>
      <c r="AC48" s="251" t="str">
        <f>IF(P48="","",IF(P48='G-1 All Habitats'!$X$3,H48-S48-T48,"None"))</f>
        <v/>
      </c>
      <c r="AD48" s="252" t="str">
        <f t="shared" si="4"/>
        <v/>
      </c>
      <c r="AF48" s="156" t="str">
        <f t="shared" si="0"/>
        <v/>
      </c>
      <c r="AG48" s="156" t="str">
        <f t="shared" si="1"/>
        <v/>
      </c>
      <c r="AH48" s="156" t="str">
        <f>IF(I48="","",IF(#REF!&gt;0,TRUE,FALSE))</f>
        <v/>
      </c>
      <c r="AI48" s="156">
        <v>38</v>
      </c>
      <c r="AJ48" s="156"/>
      <c r="AK48" s="156" t="str">
        <f t="array" ref="AK48">IFERROR(INDEX($AI$11:$AI$259, MATCH(0, IF(TRUE=$AF$11:$AF$259, COUNTIF($AK$10:$AK47, $AI$11:$AI$259), ""), 0)),"")</f>
        <v/>
      </c>
      <c r="AL48" s="156" t="str">
        <f t="array" ref="AL48">IFERROR(INDEX($AI$11:$AI$259, MATCH(0, IF(TRUE=$AG$11:$AG$259, COUNTIF($AL$10:$AL47, $AI$11:$AI$259), ""), 0)),"")</f>
        <v/>
      </c>
      <c r="AM48" s="156" t="str">
        <f t="array" ref="AM48">IFERROR(INDEX($AI$11:$AI$259, MATCH(0, IF(TRUE=$AH$11:$AH$259, COUNTIF($AM$10:$AM47, $AI$11:$AI$259), ""), 0)),"")</f>
        <v/>
      </c>
      <c r="AQ48" s="31">
        <f t="shared" si="5"/>
        <v>0</v>
      </c>
    </row>
    <row r="49" spans="1:43" x14ac:dyDescent="0.25">
      <c r="A49" s="31" t="str">
        <f>IFERROR(INDEX('G-1 All Habitats'!$AG$3:$AG$15,MATCH(E49,'G-1 All Habitats'!$AF$3:$AF$15,0)),"")</f>
        <v/>
      </c>
      <c r="B49" s="31" t="str">
        <f>IFERROR(INDEX('G-8 Condition Look up'!$I$4:$I$130,MATCH(G49,'G-8 Condition Look up'!$A$4:$A$130,0)),"")</f>
        <v/>
      </c>
      <c r="D49" s="141">
        <v>39</v>
      </c>
      <c r="E49" s="203"/>
      <c r="F49" s="203"/>
      <c r="G49" s="250" t="str">
        <f>IFERROR(INDEX('G-1 All Habitats'!$B$3:$B$129,MATCH(F49,'G-1 All Habitats'!$A$3:$A$129,0)),"")</f>
        <v/>
      </c>
      <c r="H49" s="172"/>
      <c r="I49" s="498" t="str">
        <f>IF(G49="","",VLOOKUP(G49,'G-1 All Habitats'!$B$2:$M$129,10,FALSE))</f>
        <v/>
      </c>
      <c r="J49" s="499" t="str">
        <f>IFERROR(VLOOKUP(I49,'G-1 All Habitats'!$V$3:$W$7,2,FALSE),"")</f>
        <v/>
      </c>
      <c r="K49" s="145"/>
      <c r="L49" s="499" t="str">
        <f>IFERROR(INDEX('G-8 Condition Look up'!$A$3:$H$130,MATCH(G49,'G-8 Condition Look up'!$A$3:$A$130,0),MATCH(K49,'G-8 Condition Look up'!$A$3:$H$3,0)),"")</f>
        <v/>
      </c>
      <c r="M49" s="154"/>
      <c r="N49" s="520" t="str">
        <f>IF(M49="","",IF(VLOOKUP(M49,'G-3 Multipliers'!$L$3:$N$6,2,FALSE)=0,"Spatial Data Missing ⚠",VLOOKUP(M49,'G-3 Multipliers'!$L$3:$N$6,2,FALSE)))</f>
        <v/>
      </c>
      <c r="O49" s="524" t="str">
        <f>IF(M49="","",IF(VLOOKUP(M49,'G-3 Multipliers'!$L$3:$N$6,3,FALSE)=0,"Spatial Data Missing ⚠",VLOOKUP(M49,'G-3 Multipliers'!$L$3:$N$6,3,FALSE)))</f>
        <v/>
      </c>
      <c r="P49" s="506" t="str">
        <f>IFERROR(VLOOKUP(G49,'G-1 All Habitats'!$B$2:$M$129,12,FALSE),"")</f>
        <v/>
      </c>
      <c r="Q49" s="513" t="str">
        <f>IFERROR(IF(P49="","",IF(AND(P49='G-1 All Habitats'!$X$3,T49&gt;0),U49+V49,IF(AND(P49='G-1 All Habitats'!$X$3,S49&gt;0),U49+V49,IF(AND(P49='G-1 All Habitats'!$X$3,AC49&gt;0),"Any Loss Unacceptable",IF(AND(P49='G-1 All Habitats'!$X$3,W49&gt;0),"Any Loss Unacceptable",H49*J49*L49*O49))))),"Check Data ⚠")</f>
        <v/>
      </c>
      <c r="R49" s="50"/>
      <c r="S49" s="71"/>
      <c r="T49" s="72"/>
      <c r="U49" s="511" t="str">
        <f t="shared" si="2"/>
        <v/>
      </c>
      <c r="V49" s="511" t="str">
        <f t="shared" si="3"/>
        <v/>
      </c>
      <c r="W49" s="511"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545" t="str">
        <f>IFERROR(IF(H49="","",IF(H49-S49-T49=0&lt;0,"Error in Areas ▲",IF(S49+T49&gt;H49,"Error in Areas ▲",IF(AND(P49='G-1 All Habitats'!$X$3,Y49="Yes"),"Alternative Compensation",IF(W49=0,0,IF(P49='G-1 All Habitats'!$X$3,"Unacceptable Loss",Q49-U49-V49)))))),"Check Data ⚠")</f>
        <v/>
      </c>
      <c r="Y49" s="72"/>
      <c r="Z49" s="151"/>
      <c r="AA49" s="152"/>
      <c r="AC49" s="251" t="str">
        <f>IF(P49="","",IF(P49='G-1 All Habitats'!$X$3,H49-S49-T49,"None"))</f>
        <v/>
      </c>
      <c r="AD49" s="252" t="str">
        <f t="shared" si="4"/>
        <v/>
      </c>
      <c r="AF49" s="156" t="str">
        <f t="shared" si="0"/>
        <v/>
      </c>
      <c r="AG49" s="156" t="str">
        <f t="shared" si="1"/>
        <v/>
      </c>
      <c r="AH49" s="156" t="str">
        <f>IF(I49="","",IF(#REF!&gt;0,TRUE,FALSE))</f>
        <v/>
      </c>
      <c r="AI49" s="156">
        <v>39</v>
      </c>
      <c r="AJ49" s="156"/>
      <c r="AK49" s="156" t="str">
        <f t="array" ref="AK49">IFERROR(INDEX($AI$11:$AI$259, MATCH(0, IF(TRUE=$AF$11:$AF$259, COUNTIF($AK$10:$AK48, $AI$11:$AI$259), ""), 0)),"")</f>
        <v/>
      </c>
      <c r="AL49" s="156" t="str">
        <f t="array" ref="AL49">IFERROR(INDEX($AI$11:$AI$259, MATCH(0, IF(TRUE=$AG$11:$AG$259, COUNTIF($AL$10:$AL48, $AI$11:$AI$259), ""), 0)),"")</f>
        <v/>
      </c>
      <c r="AM49" s="156" t="str">
        <f t="array" ref="AM49">IFERROR(INDEX($AI$11:$AI$259, MATCH(0, IF(TRUE=$AH$11:$AH$259, COUNTIF($AM$10:$AM48, $AI$11:$AI$259), ""), 0)),"")</f>
        <v/>
      </c>
      <c r="AQ49" s="31">
        <f t="shared" si="5"/>
        <v>0</v>
      </c>
    </row>
    <row r="50" spans="1:43" x14ac:dyDescent="0.25">
      <c r="A50" s="31" t="str">
        <f>IFERROR(INDEX('G-1 All Habitats'!$AG$3:$AG$15,MATCH(E50,'G-1 All Habitats'!$AF$3:$AF$15,0)),"")</f>
        <v/>
      </c>
      <c r="B50" s="31" t="str">
        <f>IFERROR(INDEX('G-8 Condition Look up'!$I$4:$I$130,MATCH(G50,'G-8 Condition Look up'!$A$4:$A$130,0)),"")</f>
        <v/>
      </c>
      <c r="D50" s="141">
        <v>40</v>
      </c>
      <c r="E50" s="203"/>
      <c r="F50" s="203"/>
      <c r="G50" s="250" t="str">
        <f>IFERROR(INDEX('G-1 All Habitats'!$B$3:$B$129,MATCH(F50,'G-1 All Habitats'!$A$3:$A$129,0)),"")</f>
        <v/>
      </c>
      <c r="H50" s="172"/>
      <c r="I50" s="498" t="str">
        <f>IF(G50="","",VLOOKUP(G50,'G-1 All Habitats'!$B$2:$M$129,10,FALSE))</f>
        <v/>
      </c>
      <c r="J50" s="499" t="str">
        <f>IFERROR(VLOOKUP(I50,'G-1 All Habitats'!$V$3:$W$7,2,FALSE),"")</f>
        <v/>
      </c>
      <c r="K50" s="145"/>
      <c r="L50" s="499" t="str">
        <f>IFERROR(INDEX('G-8 Condition Look up'!$A$3:$H$130,MATCH(G50,'G-8 Condition Look up'!$A$3:$A$130,0),MATCH(K50,'G-8 Condition Look up'!$A$3:$H$3,0)),"")</f>
        <v/>
      </c>
      <c r="M50" s="154"/>
      <c r="N50" s="520" t="str">
        <f>IF(M50="","",IF(VLOOKUP(M50,'G-3 Multipliers'!$L$3:$N$6,2,FALSE)=0,"Spatial Data Missing ⚠",VLOOKUP(M50,'G-3 Multipliers'!$L$3:$N$6,2,FALSE)))</f>
        <v/>
      </c>
      <c r="O50" s="524" t="str">
        <f>IF(M50="","",IF(VLOOKUP(M50,'G-3 Multipliers'!$L$3:$N$6,3,FALSE)=0,"Spatial Data Missing ⚠",VLOOKUP(M50,'G-3 Multipliers'!$L$3:$N$6,3,FALSE)))</f>
        <v/>
      </c>
      <c r="P50" s="506" t="str">
        <f>IFERROR(VLOOKUP(G50,'G-1 All Habitats'!$B$2:$M$129,12,FALSE),"")</f>
        <v/>
      </c>
      <c r="Q50" s="513" t="str">
        <f>IFERROR(IF(P50="","",IF(AND(P50='G-1 All Habitats'!$X$3,T50&gt;0),U50+V50,IF(AND(P50='G-1 All Habitats'!$X$3,S50&gt;0),U50+V50,IF(AND(P50='G-1 All Habitats'!$X$3,AC50&gt;0),"Any Loss Unacceptable",IF(AND(P50='G-1 All Habitats'!$X$3,W50&gt;0),"Any Loss Unacceptable",H50*J50*L50*O50))))),"Check Data ⚠")</f>
        <v/>
      </c>
      <c r="R50" s="50"/>
      <c r="S50" s="71"/>
      <c r="T50" s="72"/>
      <c r="U50" s="511" t="str">
        <f t="shared" si="2"/>
        <v/>
      </c>
      <c r="V50" s="511" t="str">
        <f t="shared" si="3"/>
        <v/>
      </c>
      <c r="W50" s="511"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545" t="str">
        <f>IFERROR(IF(H50="","",IF(H50-S50-T50=0&lt;0,"Error in Areas ▲",IF(S50+T50&gt;H50,"Error in Areas ▲",IF(AND(P50='G-1 All Habitats'!$X$3,Y50="Yes"),"Alternative Compensation",IF(W50=0,0,IF(P50='G-1 All Habitats'!$X$3,"Unacceptable Loss",Q50-U50-V50)))))),"Check Data ⚠")</f>
        <v/>
      </c>
      <c r="Y50" s="72"/>
      <c r="Z50" s="151"/>
      <c r="AA50" s="152"/>
      <c r="AC50" s="251" t="str">
        <f>IF(P50="","",IF(P50='G-1 All Habitats'!$X$3,H50-S50-T50,"None"))</f>
        <v/>
      </c>
      <c r="AD50" s="252" t="str">
        <f t="shared" si="4"/>
        <v/>
      </c>
      <c r="AF50" s="156" t="str">
        <f t="shared" si="0"/>
        <v/>
      </c>
      <c r="AG50" s="156" t="str">
        <f t="shared" si="1"/>
        <v/>
      </c>
      <c r="AH50" s="156" t="str">
        <f>IF(I50="","",IF(#REF!&gt;0,TRUE,FALSE))</f>
        <v/>
      </c>
      <c r="AI50" s="156">
        <v>40</v>
      </c>
      <c r="AJ50" s="156"/>
      <c r="AK50" s="156" t="str">
        <f t="array" ref="AK50">IFERROR(INDEX($AI$11:$AI$259, MATCH(0, IF(TRUE=$AF$11:$AF$259, COUNTIF($AK$10:$AK49, $AI$11:$AI$259), ""), 0)),"")</f>
        <v/>
      </c>
      <c r="AL50" s="156" t="str">
        <f t="array" ref="AL50">IFERROR(INDEX($AI$11:$AI$259, MATCH(0, IF(TRUE=$AG$11:$AG$259, COUNTIF($AL$10:$AL49, $AI$11:$AI$259), ""), 0)),"")</f>
        <v/>
      </c>
      <c r="AM50" s="156" t="str">
        <f t="array" ref="AM50">IFERROR(INDEX($AI$11:$AI$259, MATCH(0, IF(TRUE=$AH$11:$AH$259, COUNTIF($AM$10:$AM49, $AI$11:$AI$259), ""), 0)),"")</f>
        <v/>
      </c>
      <c r="AQ50" s="31">
        <f t="shared" si="5"/>
        <v>0</v>
      </c>
    </row>
    <row r="51" spans="1:43" x14ac:dyDescent="0.25">
      <c r="A51" s="31" t="str">
        <f>IFERROR(INDEX('G-1 All Habitats'!$AG$3:$AG$15,MATCH(E51,'G-1 All Habitats'!$AF$3:$AF$15,0)),"")</f>
        <v/>
      </c>
      <c r="B51" s="31" t="str">
        <f>IFERROR(INDEX('G-8 Condition Look up'!$I$4:$I$130,MATCH(G51,'G-8 Condition Look up'!$A$4:$A$130,0)),"")</f>
        <v/>
      </c>
      <c r="D51" s="141">
        <v>41</v>
      </c>
      <c r="E51" s="203"/>
      <c r="F51" s="203"/>
      <c r="G51" s="250" t="str">
        <f>IFERROR(INDEX('G-1 All Habitats'!$B$3:$B$129,MATCH(F51,'G-1 All Habitats'!$A$3:$A$129,0)),"")</f>
        <v/>
      </c>
      <c r="H51" s="172"/>
      <c r="I51" s="498" t="str">
        <f>IF(G51="","",VLOOKUP(G51,'G-1 All Habitats'!$B$2:$M$129,10,FALSE))</f>
        <v/>
      </c>
      <c r="J51" s="499" t="str">
        <f>IFERROR(VLOOKUP(I51,'G-1 All Habitats'!$V$3:$W$7,2,FALSE),"")</f>
        <v/>
      </c>
      <c r="K51" s="145"/>
      <c r="L51" s="499" t="str">
        <f>IFERROR(INDEX('G-8 Condition Look up'!$A$3:$H$130,MATCH(G51,'G-8 Condition Look up'!$A$3:$A$130,0),MATCH(K51,'G-8 Condition Look up'!$A$3:$H$3,0)),"")</f>
        <v/>
      </c>
      <c r="M51" s="154"/>
      <c r="N51" s="520" t="str">
        <f>IF(M51="","",IF(VLOOKUP(M51,'G-3 Multipliers'!$L$3:$N$6,2,FALSE)=0,"Spatial Data Missing ⚠",VLOOKUP(M51,'G-3 Multipliers'!$L$3:$N$6,2,FALSE)))</f>
        <v/>
      </c>
      <c r="O51" s="524" t="str">
        <f>IF(M51="","",IF(VLOOKUP(M51,'G-3 Multipliers'!$L$3:$N$6,3,FALSE)=0,"Spatial Data Missing ⚠",VLOOKUP(M51,'G-3 Multipliers'!$L$3:$N$6,3,FALSE)))</f>
        <v/>
      </c>
      <c r="P51" s="506" t="str">
        <f>IFERROR(VLOOKUP(G51,'G-1 All Habitats'!$B$2:$M$129,12,FALSE),"")</f>
        <v/>
      </c>
      <c r="Q51" s="513" t="str">
        <f>IFERROR(IF(P51="","",IF(AND(P51='G-1 All Habitats'!$X$3,T51&gt;0),U51+V51,IF(AND(P51='G-1 All Habitats'!$X$3,S51&gt;0),U51+V51,IF(AND(P51='G-1 All Habitats'!$X$3,AC51&gt;0),"Any Loss Unacceptable",IF(AND(P51='G-1 All Habitats'!$X$3,W51&gt;0),"Any Loss Unacceptable",H51*J51*L51*O51))))),"Check Data ⚠")</f>
        <v/>
      </c>
      <c r="R51" s="50"/>
      <c r="S51" s="71"/>
      <c r="T51" s="72"/>
      <c r="U51" s="511" t="str">
        <f t="shared" si="2"/>
        <v/>
      </c>
      <c r="V51" s="511" t="str">
        <f t="shared" si="3"/>
        <v/>
      </c>
      <c r="W51" s="511"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545" t="str">
        <f>IFERROR(IF(H51="","",IF(H51-S51-T51=0&lt;0,"Error in Areas ▲",IF(S51+T51&gt;H51,"Error in Areas ▲",IF(AND(P51='G-1 All Habitats'!$X$3,Y51="Yes"),"Alternative Compensation",IF(W51=0,0,IF(P51='G-1 All Habitats'!$X$3,"Unacceptable Loss",Q51-U51-V51)))))),"Check Data ⚠")</f>
        <v/>
      </c>
      <c r="Y51" s="72"/>
      <c r="Z51" s="151"/>
      <c r="AA51" s="152"/>
      <c r="AC51" s="251" t="str">
        <f>IF(P51="","",IF(P51='G-1 All Habitats'!$X$3,H51-S51-T51,"None"))</f>
        <v/>
      </c>
      <c r="AD51" s="252" t="str">
        <f t="shared" si="4"/>
        <v/>
      </c>
      <c r="AF51" s="156" t="str">
        <f t="shared" si="0"/>
        <v/>
      </c>
      <c r="AG51" s="156" t="str">
        <f t="shared" si="1"/>
        <v/>
      </c>
      <c r="AH51" s="156" t="str">
        <f>IF(I51="","",IF(#REF!&gt;0,TRUE,FALSE))</f>
        <v/>
      </c>
      <c r="AI51" s="156">
        <v>41</v>
      </c>
      <c r="AJ51" s="156"/>
      <c r="AK51" s="156" t="str">
        <f t="array" ref="AK51">IFERROR(INDEX($AI$11:$AI$259, MATCH(0, IF(TRUE=$AF$11:$AF$259, COUNTIF($AK$10:$AK50, $AI$11:$AI$259), ""), 0)),"")</f>
        <v/>
      </c>
      <c r="AL51" s="156" t="str">
        <f t="array" ref="AL51">IFERROR(INDEX($AI$11:$AI$259, MATCH(0, IF(TRUE=$AG$11:$AG$259, COUNTIF($AL$10:$AL50, $AI$11:$AI$259), ""), 0)),"")</f>
        <v/>
      </c>
      <c r="AM51" s="156" t="str">
        <f t="array" ref="AM51">IFERROR(INDEX($AI$11:$AI$259, MATCH(0, IF(TRUE=$AH$11:$AH$259, COUNTIF($AM$10:$AM50, $AI$11:$AI$259), ""), 0)),"")</f>
        <v/>
      </c>
      <c r="AQ51" s="31">
        <f t="shared" si="5"/>
        <v>0</v>
      </c>
    </row>
    <row r="52" spans="1:43" x14ac:dyDescent="0.25">
      <c r="A52" s="31" t="str">
        <f>IFERROR(INDEX('G-1 All Habitats'!$AG$3:$AG$15,MATCH(E52,'G-1 All Habitats'!$AF$3:$AF$15,0)),"")</f>
        <v/>
      </c>
      <c r="B52" s="31" t="str">
        <f>IFERROR(INDEX('G-8 Condition Look up'!$I$4:$I$130,MATCH(G52,'G-8 Condition Look up'!$A$4:$A$130,0)),"")</f>
        <v/>
      </c>
      <c r="D52" s="141">
        <v>42</v>
      </c>
      <c r="E52" s="203"/>
      <c r="F52" s="203"/>
      <c r="G52" s="250" t="str">
        <f>IFERROR(INDEX('G-1 All Habitats'!$B$3:$B$129,MATCH(F52,'G-1 All Habitats'!$A$3:$A$129,0)),"")</f>
        <v/>
      </c>
      <c r="H52" s="172"/>
      <c r="I52" s="498" t="str">
        <f>IF(G52="","",VLOOKUP(G52,'G-1 All Habitats'!$B$2:$M$129,10,FALSE))</f>
        <v/>
      </c>
      <c r="J52" s="499" t="str">
        <f>IFERROR(VLOOKUP(I52,'G-1 All Habitats'!$V$3:$W$7,2,FALSE),"")</f>
        <v/>
      </c>
      <c r="K52" s="145"/>
      <c r="L52" s="499" t="str">
        <f>IFERROR(INDEX('G-8 Condition Look up'!$A$3:$H$130,MATCH(G52,'G-8 Condition Look up'!$A$3:$A$130,0),MATCH(K52,'G-8 Condition Look up'!$A$3:$H$3,0)),"")</f>
        <v/>
      </c>
      <c r="M52" s="154"/>
      <c r="N52" s="520" t="str">
        <f>IF(M52="","",IF(VLOOKUP(M52,'G-3 Multipliers'!$L$3:$N$6,2,FALSE)=0,"Spatial Data Missing ⚠",VLOOKUP(M52,'G-3 Multipliers'!$L$3:$N$6,2,FALSE)))</f>
        <v/>
      </c>
      <c r="O52" s="524" t="str">
        <f>IF(M52="","",IF(VLOOKUP(M52,'G-3 Multipliers'!$L$3:$N$6,3,FALSE)=0,"Spatial Data Missing ⚠",VLOOKUP(M52,'G-3 Multipliers'!$L$3:$N$6,3,FALSE)))</f>
        <v/>
      </c>
      <c r="P52" s="506" t="str">
        <f>IFERROR(VLOOKUP(G52,'G-1 All Habitats'!$B$2:$M$129,12,FALSE),"")</f>
        <v/>
      </c>
      <c r="Q52" s="513" t="str">
        <f>IFERROR(IF(P52="","",IF(AND(P52='G-1 All Habitats'!$X$3,T52&gt;0),U52+V52,IF(AND(P52='G-1 All Habitats'!$X$3,S52&gt;0),U52+V52,IF(AND(P52='G-1 All Habitats'!$X$3,AC52&gt;0),"Any Loss Unacceptable",IF(AND(P52='G-1 All Habitats'!$X$3,W52&gt;0),"Any Loss Unacceptable",H52*J52*L52*O52))))),"Check Data ⚠")</f>
        <v/>
      </c>
      <c r="R52" s="50"/>
      <c r="S52" s="71"/>
      <c r="T52" s="72"/>
      <c r="U52" s="511" t="str">
        <f t="shared" si="2"/>
        <v/>
      </c>
      <c r="V52" s="511" t="str">
        <f t="shared" si="3"/>
        <v/>
      </c>
      <c r="W52" s="511"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545" t="str">
        <f>IFERROR(IF(H52="","",IF(H52-S52-T52=0&lt;0,"Error in Areas ▲",IF(S52+T52&gt;H52,"Error in Areas ▲",IF(AND(P52='G-1 All Habitats'!$X$3,Y52="Yes"),"Alternative Compensation",IF(W52=0,0,IF(P52='G-1 All Habitats'!$X$3,"Unacceptable Loss",Q52-U52-V52)))))),"Check Data ⚠")</f>
        <v/>
      </c>
      <c r="Y52" s="72"/>
      <c r="Z52" s="151"/>
      <c r="AA52" s="152"/>
      <c r="AC52" s="251" t="str">
        <f>IF(P52="","",IF(P52='G-1 All Habitats'!$X$3,H52-S52-T52,"None"))</f>
        <v/>
      </c>
      <c r="AD52" s="252" t="str">
        <f t="shared" si="4"/>
        <v/>
      </c>
      <c r="AF52" s="156" t="str">
        <f t="shared" si="0"/>
        <v/>
      </c>
      <c r="AG52" s="156" t="str">
        <f t="shared" si="1"/>
        <v/>
      </c>
      <c r="AH52" s="156" t="str">
        <f>IF(I52="","",IF(#REF!&gt;0,TRUE,FALSE))</f>
        <v/>
      </c>
      <c r="AI52" s="156">
        <v>42</v>
      </c>
      <c r="AJ52" s="156"/>
      <c r="AK52" s="156" t="str">
        <f t="array" ref="AK52">IFERROR(INDEX($AI$11:$AI$259, MATCH(0, IF(TRUE=$AF$11:$AF$259, COUNTIF($AK$10:$AK51, $AI$11:$AI$259), ""), 0)),"")</f>
        <v/>
      </c>
      <c r="AL52" s="156" t="str">
        <f t="array" ref="AL52">IFERROR(INDEX($AI$11:$AI$259, MATCH(0, IF(TRUE=$AG$11:$AG$259, COUNTIF($AL$10:$AL51, $AI$11:$AI$259), ""), 0)),"")</f>
        <v/>
      </c>
      <c r="AM52" s="156" t="str">
        <f t="array" ref="AM52">IFERROR(INDEX($AI$11:$AI$259, MATCH(0, IF(TRUE=$AH$11:$AH$259, COUNTIF($AM$10:$AM51, $AI$11:$AI$259), ""), 0)),"")</f>
        <v/>
      </c>
      <c r="AQ52" s="31">
        <f t="shared" si="5"/>
        <v>0</v>
      </c>
    </row>
    <row r="53" spans="1:43" x14ac:dyDescent="0.25">
      <c r="A53" s="31" t="str">
        <f>IFERROR(INDEX('G-1 All Habitats'!$AG$3:$AG$15,MATCH(E53,'G-1 All Habitats'!$AF$3:$AF$15,0)),"")</f>
        <v/>
      </c>
      <c r="B53" s="31" t="str">
        <f>IFERROR(INDEX('G-8 Condition Look up'!$I$4:$I$130,MATCH(G53,'G-8 Condition Look up'!$A$4:$A$130,0)),"")</f>
        <v/>
      </c>
      <c r="D53" s="141">
        <v>43</v>
      </c>
      <c r="E53" s="203"/>
      <c r="F53" s="203"/>
      <c r="G53" s="250" t="str">
        <f>IFERROR(INDEX('G-1 All Habitats'!$B$3:$B$129,MATCH(F53,'G-1 All Habitats'!$A$3:$A$129,0)),"")</f>
        <v/>
      </c>
      <c r="H53" s="172"/>
      <c r="I53" s="498" t="str">
        <f>IF(G53="","",VLOOKUP(G53,'G-1 All Habitats'!$B$2:$M$129,10,FALSE))</f>
        <v/>
      </c>
      <c r="J53" s="499" t="str">
        <f>IFERROR(VLOOKUP(I53,'G-1 All Habitats'!$V$3:$W$7,2,FALSE),"")</f>
        <v/>
      </c>
      <c r="K53" s="145"/>
      <c r="L53" s="499" t="str">
        <f>IFERROR(INDEX('G-8 Condition Look up'!$A$3:$H$130,MATCH(G53,'G-8 Condition Look up'!$A$3:$A$130,0),MATCH(K53,'G-8 Condition Look up'!$A$3:$H$3,0)),"")</f>
        <v/>
      </c>
      <c r="M53" s="154"/>
      <c r="N53" s="520" t="str">
        <f>IF(M53="","",IF(VLOOKUP(M53,'G-3 Multipliers'!$L$3:$N$6,2,FALSE)=0,"Spatial Data Missing ⚠",VLOOKUP(M53,'G-3 Multipliers'!$L$3:$N$6,2,FALSE)))</f>
        <v/>
      </c>
      <c r="O53" s="524" t="str">
        <f>IF(M53="","",IF(VLOOKUP(M53,'G-3 Multipliers'!$L$3:$N$6,3,FALSE)=0,"Spatial Data Missing ⚠",VLOOKUP(M53,'G-3 Multipliers'!$L$3:$N$6,3,FALSE)))</f>
        <v/>
      </c>
      <c r="P53" s="506" t="str">
        <f>IFERROR(VLOOKUP(G53,'G-1 All Habitats'!$B$2:$M$129,12,FALSE),"")</f>
        <v/>
      </c>
      <c r="Q53" s="513" t="str">
        <f>IFERROR(IF(P53="","",IF(AND(P53='G-1 All Habitats'!$X$3,T53&gt;0),U53+V53,IF(AND(P53='G-1 All Habitats'!$X$3,S53&gt;0),U53+V53,IF(AND(P53='G-1 All Habitats'!$X$3,AC53&gt;0),"Any Loss Unacceptable",IF(AND(P53='G-1 All Habitats'!$X$3,W53&gt;0),"Any Loss Unacceptable",H53*J53*L53*O53))))),"Check Data ⚠")</f>
        <v/>
      </c>
      <c r="R53" s="50"/>
      <c r="S53" s="71"/>
      <c r="T53" s="72"/>
      <c r="U53" s="511" t="str">
        <f t="shared" si="2"/>
        <v/>
      </c>
      <c r="V53" s="511" t="str">
        <f t="shared" si="3"/>
        <v/>
      </c>
      <c r="W53" s="511"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545" t="str">
        <f>IFERROR(IF(H53="","",IF(H53-S53-T53=0&lt;0,"Error in Areas ▲",IF(S53+T53&gt;H53,"Error in Areas ▲",IF(AND(P53='G-1 All Habitats'!$X$3,Y53="Yes"),"Alternative Compensation",IF(W53=0,0,IF(P53='G-1 All Habitats'!$X$3,"Unacceptable Loss",Q53-U53-V53)))))),"Check Data ⚠")</f>
        <v/>
      </c>
      <c r="Y53" s="72"/>
      <c r="Z53" s="151"/>
      <c r="AA53" s="152"/>
      <c r="AC53" s="251" t="str">
        <f>IF(P53="","",IF(P53='G-1 All Habitats'!$X$3,H53-S53-T53,"None"))</f>
        <v/>
      </c>
      <c r="AD53" s="252" t="str">
        <f t="shared" si="4"/>
        <v/>
      </c>
      <c r="AF53" s="156" t="str">
        <f t="shared" si="0"/>
        <v/>
      </c>
      <c r="AG53" s="156" t="str">
        <f t="shared" si="1"/>
        <v/>
      </c>
      <c r="AH53" s="156" t="str">
        <f>IF(I53="","",IF(#REF!&gt;0,TRUE,FALSE))</f>
        <v/>
      </c>
      <c r="AI53" s="156">
        <v>43</v>
      </c>
      <c r="AJ53" s="156"/>
      <c r="AK53" s="156" t="str">
        <f t="array" ref="AK53">IFERROR(INDEX($AI$11:$AI$259, MATCH(0, IF(TRUE=$AF$11:$AF$259, COUNTIF($AK$10:$AK52, $AI$11:$AI$259), ""), 0)),"")</f>
        <v/>
      </c>
      <c r="AL53" s="156" t="str">
        <f t="array" ref="AL53">IFERROR(INDEX($AI$11:$AI$259, MATCH(0, IF(TRUE=$AG$11:$AG$259, COUNTIF($AL$10:$AL52, $AI$11:$AI$259), ""), 0)),"")</f>
        <v/>
      </c>
      <c r="AM53" s="156" t="str">
        <f t="array" ref="AM53">IFERROR(INDEX($AI$11:$AI$259, MATCH(0, IF(TRUE=$AH$11:$AH$259, COUNTIF($AM$10:$AM52, $AI$11:$AI$259), ""), 0)),"")</f>
        <v/>
      </c>
      <c r="AQ53" s="31">
        <f t="shared" si="5"/>
        <v>0</v>
      </c>
    </row>
    <row r="54" spans="1:43" x14ac:dyDescent="0.25">
      <c r="A54" s="31" t="str">
        <f>IFERROR(INDEX('G-1 All Habitats'!$AG$3:$AG$15,MATCH(E54,'G-1 All Habitats'!$AF$3:$AF$15,0)),"")</f>
        <v/>
      </c>
      <c r="B54" s="31" t="str">
        <f>IFERROR(INDEX('G-8 Condition Look up'!$I$4:$I$130,MATCH(G54,'G-8 Condition Look up'!$A$4:$A$130,0)),"")</f>
        <v/>
      </c>
      <c r="D54" s="141">
        <v>44</v>
      </c>
      <c r="E54" s="203"/>
      <c r="F54" s="203"/>
      <c r="G54" s="250" t="str">
        <f>IFERROR(INDEX('G-1 All Habitats'!$B$3:$B$129,MATCH(F54,'G-1 All Habitats'!$A$3:$A$129,0)),"")</f>
        <v/>
      </c>
      <c r="H54" s="172"/>
      <c r="I54" s="498" t="str">
        <f>IF(G54="","",VLOOKUP(G54,'G-1 All Habitats'!$B$2:$M$129,10,FALSE))</f>
        <v/>
      </c>
      <c r="J54" s="499" t="str">
        <f>IFERROR(VLOOKUP(I54,'G-1 All Habitats'!$V$3:$W$7,2,FALSE),"")</f>
        <v/>
      </c>
      <c r="K54" s="145"/>
      <c r="L54" s="499" t="str">
        <f>IFERROR(INDEX('G-8 Condition Look up'!$A$3:$H$130,MATCH(G54,'G-8 Condition Look up'!$A$3:$A$130,0),MATCH(K54,'G-8 Condition Look up'!$A$3:$H$3,0)),"")</f>
        <v/>
      </c>
      <c r="M54" s="154"/>
      <c r="N54" s="520" t="str">
        <f>IF(M54="","",IF(VLOOKUP(M54,'G-3 Multipliers'!$L$3:$N$6,2,FALSE)=0,"Spatial Data Missing ⚠",VLOOKUP(M54,'G-3 Multipliers'!$L$3:$N$6,2,FALSE)))</f>
        <v/>
      </c>
      <c r="O54" s="524" t="str">
        <f>IF(M54="","",IF(VLOOKUP(M54,'G-3 Multipliers'!$L$3:$N$6,3,FALSE)=0,"Spatial Data Missing ⚠",VLOOKUP(M54,'G-3 Multipliers'!$L$3:$N$6,3,FALSE)))</f>
        <v/>
      </c>
      <c r="P54" s="506" t="str">
        <f>IFERROR(VLOOKUP(G54,'G-1 All Habitats'!$B$2:$M$129,12,FALSE),"")</f>
        <v/>
      </c>
      <c r="Q54" s="513" t="str">
        <f>IFERROR(IF(P54="","",IF(AND(P54='G-1 All Habitats'!$X$3,T54&gt;0),U54+V54,IF(AND(P54='G-1 All Habitats'!$X$3,S54&gt;0),U54+V54,IF(AND(P54='G-1 All Habitats'!$X$3,AC54&gt;0),"Any Loss Unacceptable",IF(AND(P54='G-1 All Habitats'!$X$3,W54&gt;0),"Any Loss Unacceptable",H54*J54*L54*O54))))),"Check Data ⚠")</f>
        <v/>
      </c>
      <c r="R54" s="50"/>
      <c r="S54" s="71"/>
      <c r="T54" s="72"/>
      <c r="U54" s="511" t="str">
        <f t="shared" si="2"/>
        <v/>
      </c>
      <c r="V54" s="511" t="str">
        <f t="shared" si="3"/>
        <v/>
      </c>
      <c r="W54" s="511"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545" t="str">
        <f>IFERROR(IF(H54="","",IF(H54-S54-T54=0&lt;0,"Error in Areas ▲",IF(S54+T54&gt;H54,"Error in Areas ▲",IF(AND(P54='G-1 All Habitats'!$X$3,Y54="Yes"),"Alternative Compensation",IF(W54=0,0,IF(P54='G-1 All Habitats'!$X$3,"Unacceptable Loss",Q54-U54-V54)))))),"Check Data ⚠")</f>
        <v/>
      </c>
      <c r="Y54" s="72"/>
      <c r="Z54" s="151"/>
      <c r="AA54" s="152"/>
      <c r="AC54" s="251" t="str">
        <f>IF(P54="","",IF(P54='G-1 All Habitats'!$X$3,H54-S54-T54,"None"))</f>
        <v/>
      </c>
      <c r="AD54" s="252" t="str">
        <f t="shared" si="4"/>
        <v/>
      </c>
      <c r="AF54" s="156" t="str">
        <f t="shared" si="0"/>
        <v/>
      </c>
      <c r="AG54" s="156" t="str">
        <f t="shared" si="1"/>
        <v/>
      </c>
      <c r="AH54" s="156" t="str">
        <f>IF(I54="","",IF(#REF!&gt;0,TRUE,FALSE))</f>
        <v/>
      </c>
      <c r="AI54" s="156">
        <v>44</v>
      </c>
      <c r="AJ54" s="156"/>
      <c r="AK54" s="156" t="str">
        <f t="array" ref="AK54">IFERROR(INDEX($AI$11:$AI$259, MATCH(0, IF(TRUE=$AF$11:$AF$259, COUNTIF($AK$10:$AK53, $AI$11:$AI$259), ""), 0)),"")</f>
        <v/>
      </c>
      <c r="AL54" s="156" t="str">
        <f t="array" ref="AL54">IFERROR(INDEX($AI$11:$AI$259, MATCH(0, IF(TRUE=$AG$11:$AG$259, COUNTIF($AL$10:$AL53, $AI$11:$AI$259), ""), 0)),"")</f>
        <v/>
      </c>
      <c r="AM54" s="156" t="str">
        <f t="array" ref="AM54">IFERROR(INDEX($AI$11:$AI$259, MATCH(0, IF(TRUE=$AH$11:$AH$259, COUNTIF($AM$10:$AM53, $AI$11:$AI$259), ""), 0)),"")</f>
        <v/>
      </c>
      <c r="AQ54" s="31">
        <f t="shared" si="5"/>
        <v>0</v>
      </c>
    </row>
    <row r="55" spans="1:43" x14ac:dyDescent="0.25">
      <c r="A55" s="31" t="str">
        <f>IFERROR(INDEX('G-1 All Habitats'!$AG$3:$AG$15,MATCH(E55,'G-1 All Habitats'!$AF$3:$AF$15,0)),"")</f>
        <v/>
      </c>
      <c r="B55" s="31" t="str">
        <f>IFERROR(INDEX('G-8 Condition Look up'!$I$4:$I$130,MATCH(G55,'G-8 Condition Look up'!$A$4:$A$130,0)),"")</f>
        <v/>
      </c>
      <c r="D55" s="141">
        <v>45</v>
      </c>
      <c r="E55" s="203"/>
      <c r="F55" s="203"/>
      <c r="G55" s="250" t="str">
        <f>IFERROR(INDEX('G-1 All Habitats'!$B$3:$B$129,MATCH(F55,'G-1 All Habitats'!$A$3:$A$129,0)),"")</f>
        <v/>
      </c>
      <c r="H55" s="172"/>
      <c r="I55" s="498" t="str">
        <f>IF(G55="","",VLOOKUP(G55,'G-1 All Habitats'!$B$2:$M$129,10,FALSE))</f>
        <v/>
      </c>
      <c r="J55" s="499" t="str">
        <f>IFERROR(VLOOKUP(I55,'G-1 All Habitats'!$V$3:$W$7,2,FALSE),"")</f>
        <v/>
      </c>
      <c r="K55" s="145"/>
      <c r="L55" s="499" t="str">
        <f>IFERROR(INDEX('G-8 Condition Look up'!$A$3:$H$130,MATCH(G55,'G-8 Condition Look up'!$A$3:$A$130,0),MATCH(K55,'G-8 Condition Look up'!$A$3:$H$3,0)),"")</f>
        <v/>
      </c>
      <c r="M55" s="154"/>
      <c r="N55" s="520" t="str">
        <f>IF(M55="","",IF(VLOOKUP(M55,'G-3 Multipliers'!$L$3:$N$6,2,FALSE)=0,"Spatial Data Missing ⚠",VLOOKUP(M55,'G-3 Multipliers'!$L$3:$N$6,2,FALSE)))</f>
        <v/>
      </c>
      <c r="O55" s="524" t="str">
        <f>IF(M55="","",IF(VLOOKUP(M55,'G-3 Multipliers'!$L$3:$N$6,3,FALSE)=0,"Spatial Data Missing ⚠",VLOOKUP(M55,'G-3 Multipliers'!$L$3:$N$6,3,FALSE)))</f>
        <v/>
      </c>
      <c r="P55" s="506" t="str">
        <f>IFERROR(VLOOKUP(G55,'G-1 All Habitats'!$B$2:$M$129,12,FALSE),"")</f>
        <v/>
      </c>
      <c r="Q55" s="513" t="str">
        <f>IFERROR(IF(P55="","",IF(AND(P55='G-1 All Habitats'!$X$3,T55&gt;0),U55+V55,IF(AND(P55='G-1 All Habitats'!$X$3,S55&gt;0),U55+V55,IF(AND(P55='G-1 All Habitats'!$X$3,AC55&gt;0),"Any Loss Unacceptable",IF(AND(P55='G-1 All Habitats'!$X$3,W55&gt;0),"Any Loss Unacceptable",H55*J55*L55*O55))))),"Check Data ⚠")</f>
        <v/>
      </c>
      <c r="R55" s="50"/>
      <c r="S55" s="71"/>
      <c r="T55" s="72"/>
      <c r="U55" s="511" t="str">
        <f t="shared" si="2"/>
        <v/>
      </c>
      <c r="V55" s="511" t="str">
        <f t="shared" si="3"/>
        <v/>
      </c>
      <c r="W55" s="511"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545" t="str">
        <f>IFERROR(IF(H55="","",IF(H55-S55-T55=0&lt;0,"Error in Areas ▲",IF(S55+T55&gt;H55,"Error in Areas ▲",IF(AND(P55='G-1 All Habitats'!$X$3,Y55="Yes"),"Alternative Compensation",IF(W55=0,0,IF(P55='G-1 All Habitats'!$X$3,"Unacceptable Loss",Q55-U55-V55)))))),"Check Data ⚠")</f>
        <v/>
      </c>
      <c r="Y55" s="72"/>
      <c r="Z55" s="151"/>
      <c r="AA55" s="152"/>
      <c r="AC55" s="251" t="str">
        <f>IF(P55="","",IF(P55='G-1 All Habitats'!$X$3,H55-S55-T55,"None"))</f>
        <v/>
      </c>
      <c r="AD55" s="252" t="str">
        <f t="shared" si="4"/>
        <v/>
      </c>
      <c r="AF55" s="156" t="str">
        <f t="shared" si="0"/>
        <v/>
      </c>
      <c r="AG55" s="156" t="str">
        <f t="shared" si="1"/>
        <v/>
      </c>
      <c r="AH55" s="156" t="str">
        <f>IF(I55="","",IF(#REF!&gt;0,TRUE,FALSE))</f>
        <v/>
      </c>
      <c r="AI55" s="156">
        <v>45</v>
      </c>
      <c r="AJ55" s="156"/>
      <c r="AK55" s="156" t="str">
        <f t="array" ref="AK55">IFERROR(INDEX($AI$11:$AI$259, MATCH(0, IF(TRUE=$AF$11:$AF$259, COUNTIF($AK$10:$AK54, $AI$11:$AI$259), ""), 0)),"")</f>
        <v/>
      </c>
      <c r="AL55" s="156" t="str">
        <f t="array" ref="AL55">IFERROR(INDEX($AI$11:$AI$259, MATCH(0, IF(TRUE=$AG$11:$AG$259, COUNTIF($AL$10:$AL54, $AI$11:$AI$259), ""), 0)),"")</f>
        <v/>
      </c>
      <c r="AM55" s="156" t="str">
        <f t="array" ref="AM55">IFERROR(INDEX($AI$11:$AI$259, MATCH(0, IF(TRUE=$AH$11:$AH$259, COUNTIF($AM$10:$AM54, $AI$11:$AI$259), ""), 0)),"")</f>
        <v/>
      </c>
      <c r="AQ55" s="31">
        <f t="shared" si="5"/>
        <v>0</v>
      </c>
    </row>
    <row r="56" spans="1:43" x14ac:dyDescent="0.25">
      <c r="A56" s="31" t="str">
        <f>IFERROR(INDEX('G-1 All Habitats'!$AG$3:$AG$15,MATCH(E56,'G-1 All Habitats'!$AF$3:$AF$15,0)),"")</f>
        <v/>
      </c>
      <c r="B56" s="31" t="str">
        <f>IFERROR(INDEX('G-8 Condition Look up'!$I$4:$I$130,MATCH(G56,'G-8 Condition Look up'!$A$4:$A$130,0)),"")</f>
        <v/>
      </c>
      <c r="D56" s="141">
        <v>46</v>
      </c>
      <c r="E56" s="203"/>
      <c r="F56" s="203"/>
      <c r="G56" s="250" t="str">
        <f>IFERROR(INDEX('G-1 All Habitats'!$B$3:$B$129,MATCH(F56,'G-1 All Habitats'!$A$3:$A$129,0)),"")</f>
        <v/>
      </c>
      <c r="H56" s="172"/>
      <c r="I56" s="498" t="str">
        <f>IF(G56="","",VLOOKUP(G56,'G-1 All Habitats'!$B$2:$M$129,10,FALSE))</f>
        <v/>
      </c>
      <c r="J56" s="499" t="str">
        <f>IFERROR(VLOOKUP(I56,'G-1 All Habitats'!$V$3:$W$7,2,FALSE),"")</f>
        <v/>
      </c>
      <c r="K56" s="145"/>
      <c r="L56" s="499" t="str">
        <f>IFERROR(INDEX('G-8 Condition Look up'!$A$3:$H$130,MATCH(G56,'G-8 Condition Look up'!$A$3:$A$130,0),MATCH(K56,'G-8 Condition Look up'!$A$3:$H$3,0)),"")</f>
        <v/>
      </c>
      <c r="M56" s="154"/>
      <c r="N56" s="520" t="str">
        <f>IF(M56="","",IF(VLOOKUP(M56,'G-3 Multipliers'!$L$3:$N$6,2,FALSE)=0,"Spatial Data Missing ⚠",VLOOKUP(M56,'G-3 Multipliers'!$L$3:$N$6,2,FALSE)))</f>
        <v/>
      </c>
      <c r="O56" s="524" t="str">
        <f>IF(M56="","",IF(VLOOKUP(M56,'G-3 Multipliers'!$L$3:$N$6,3,FALSE)=0,"Spatial Data Missing ⚠",VLOOKUP(M56,'G-3 Multipliers'!$L$3:$N$6,3,FALSE)))</f>
        <v/>
      </c>
      <c r="P56" s="506" t="str">
        <f>IFERROR(VLOOKUP(G56,'G-1 All Habitats'!$B$2:$M$129,12,FALSE),"")</f>
        <v/>
      </c>
      <c r="Q56" s="513" t="str">
        <f>IFERROR(IF(P56="","",IF(AND(P56='G-1 All Habitats'!$X$3,T56&gt;0),U56+V56,IF(AND(P56='G-1 All Habitats'!$X$3,S56&gt;0),U56+V56,IF(AND(P56='G-1 All Habitats'!$X$3,AC56&gt;0),"Any Loss Unacceptable",IF(AND(P56='G-1 All Habitats'!$X$3,W56&gt;0),"Any Loss Unacceptable",H56*J56*L56*O56))))),"Check Data ⚠")</f>
        <v/>
      </c>
      <c r="R56" s="50"/>
      <c r="S56" s="71"/>
      <c r="T56" s="72"/>
      <c r="U56" s="511" t="str">
        <f t="shared" si="2"/>
        <v/>
      </c>
      <c r="V56" s="511" t="str">
        <f t="shared" si="3"/>
        <v/>
      </c>
      <c r="W56" s="511"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545" t="str">
        <f>IFERROR(IF(H56="","",IF(H56-S56-T56=0&lt;0,"Error in Areas ▲",IF(S56+T56&gt;H56,"Error in Areas ▲",IF(AND(P56='G-1 All Habitats'!$X$3,Y56="Yes"),"Alternative Compensation",IF(W56=0,0,IF(P56='G-1 All Habitats'!$X$3,"Unacceptable Loss",Q56-U56-V56)))))),"Check Data ⚠")</f>
        <v/>
      </c>
      <c r="Y56" s="72"/>
      <c r="Z56" s="151"/>
      <c r="AA56" s="152"/>
      <c r="AC56" s="251" t="str">
        <f>IF(P56="","",IF(P56='G-1 All Habitats'!$X$3,H56-S56-T56,"None"))</f>
        <v/>
      </c>
      <c r="AD56" s="252" t="str">
        <f t="shared" si="4"/>
        <v/>
      </c>
      <c r="AF56" s="156" t="str">
        <f t="shared" si="0"/>
        <v/>
      </c>
      <c r="AG56" s="156" t="str">
        <f t="shared" si="1"/>
        <v/>
      </c>
      <c r="AH56" s="156" t="str">
        <f>IF(I56="","",IF(#REF!&gt;0,TRUE,FALSE))</f>
        <v/>
      </c>
      <c r="AI56" s="156">
        <v>46</v>
      </c>
      <c r="AJ56" s="156"/>
      <c r="AK56" s="156" t="str">
        <f t="array" ref="AK56">IFERROR(INDEX($AI$11:$AI$259, MATCH(0, IF(TRUE=$AF$11:$AF$259, COUNTIF($AK$10:$AK55, $AI$11:$AI$259), ""), 0)),"")</f>
        <v/>
      </c>
      <c r="AL56" s="156" t="str">
        <f t="array" ref="AL56">IFERROR(INDEX($AI$11:$AI$259, MATCH(0, IF(TRUE=$AG$11:$AG$259, COUNTIF($AL$10:$AL55, $AI$11:$AI$259), ""), 0)),"")</f>
        <v/>
      </c>
      <c r="AM56" s="156" t="str">
        <f t="array" ref="AM56">IFERROR(INDEX($AI$11:$AI$259, MATCH(0, IF(TRUE=$AH$11:$AH$259, COUNTIF($AM$10:$AM55, $AI$11:$AI$259), ""), 0)),"")</f>
        <v/>
      </c>
      <c r="AQ56" s="31">
        <f t="shared" si="5"/>
        <v>0</v>
      </c>
    </row>
    <row r="57" spans="1:43" x14ac:dyDescent="0.25">
      <c r="A57" s="31" t="str">
        <f>IFERROR(INDEX('G-1 All Habitats'!$AG$3:$AG$15,MATCH(E57,'G-1 All Habitats'!$AF$3:$AF$15,0)),"")</f>
        <v/>
      </c>
      <c r="B57" s="31" t="str">
        <f>IFERROR(INDEX('G-8 Condition Look up'!$I$4:$I$130,MATCH(G57,'G-8 Condition Look up'!$A$4:$A$130,0)),"")</f>
        <v/>
      </c>
      <c r="D57" s="141">
        <v>47</v>
      </c>
      <c r="E57" s="203"/>
      <c r="F57" s="203"/>
      <c r="G57" s="250" t="str">
        <f>IFERROR(INDEX('G-1 All Habitats'!$B$3:$B$129,MATCH(F57,'G-1 All Habitats'!$A$3:$A$129,0)),"")</f>
        <v/>
      </c>
      <c r="H57" s="172"/>
      <c r="I57" s="498" t="str">
        <f>IF(G57="","",VLOOKUP(G57,'G-1 All Habitats'!$B$2:$M$129,10,FALSE))</f>
        <v/>
      </c>
      <c r="J57" s="499" t="str">
        <f>IFERROR(VLOOKUP(I57,'G-1 All Habitats'!$V$3:$W$7,2,FALSE),"")</f>
        <v/>
      </c>
      <c r="K57" s="145"/>
      <c r="L57" s="499" t="str">
        <f>IFERROR(INDEX('G-8 Condition Look up'!$A$3:$H$130,MATCH(G57,'G-8 Condition Look up'!$A$3:$A$130,0),MATCH(K57,'G-8 Condition Look up'!$A$3:$H$3,0)),"")</f>
        <v/>
      </c>
      <c r="M57" s="154"/>
      <c r="N57" s="520" t="str">
        <f>IF(M57="","",IF(VLOOKUP(M57,'G-3 Multipliers'!$L$3:$N$6,2,FALSE)=0,"Spatial Data Missing ⚠",VLOOKUP(M57,'G-3 Multipliers'!$L$3:$N$6,2,FALSE)))</f>
        <v/>
      </c>
      <c r="O57" s="524" t="str">
        <f>IF(M57="","",IF(VLOOKUP(M57,'G-3 Multipliers'!$L$3:$N$6,3,FALSE)=0,"Spatial Data Missing ⚠",VLOOKUP(M57,'G-3 Multipliers'!$L$3:$N$6,3,FALSE)))</f>
        <v/>
      </c>
      <c r="P57" s="506" t="str">
        <f>IFERROR(VLOOKUP(G57,'G-1 All Habitats'!$B$2:$M$129,12,FALSE),"")</f>
        <v/>
      </c>
      <c r="Q57" s="513" t="str">
        <f>IFERROR(IF(P57="","",IF(AND(P57='G-1 All Habitats'!$X$3,T57&gt;0),U57+V57,IF(AND(P57='G-1 All Habitats'!$X$3,S57&gt;0),U57+V57,IF(AND(P57='G-1 All Habitats'!$X$3,AC57&gt;0),"Any Loss Unacceptable",IF(AND(P57='G-1 All Habitats'!$X$3,W57&gt;0),"Any Loss Unacceptable",H57*J57*L57*O57))))),"Check Data ⚠")</f>
        <v/>
      </c>
      <c r="R57" s="50"/>
      <c r="S57" s="71"/>
      <c r="T57" s="72"/>
      <c r="U57" s="511" t="str">
        <f t="shared" si="2"/>
        <v/>
      </c>
      <c r="V57" s="511" t="str">
        <f t="shared" si="3"/>
        <v/>
      </c>
      <c r="W57" s="511"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545" t="str">
        <f>IFERROR(IF(H57="","",IF(H57-S57-T57=0&lt;0,"Error in Areas ▲",IF(S57+T57&gt;H57,"Error in Areas ▲",IF(AND(P57='G-1 All Habitats'!$X$3,Y57="Yes"),"Alternative Compensation",IF(W57=0,0,IF(P57='G-1 All Habitats'!$X$3,"Unacceptable Loss",Q57-U57-V57)))))),"Check Data ⚠")</f>
        <v/>
      </c>
      <c r="Y57" s="72"/>
      <c r="Z57" s="151"/>
      <c r="AA57" s="152"/>
      <c r="AC57" s="251" t="str">
        <f>IF(P57="","",IF(P57='G-1 All Habitats'!$X$3,H57-S57-T57,"None"))</f>
        <v/>
      </c>
      <c r="AD57" s="252" t="str">
        <f t="shared" si="4"/>
        <v/>
      </c>
      <c r="AF57" s="156" t="str">
        <f t="shared" si="0"/>
        <v/>
      </c>
      <c r="AG57" s="156" t="str">
        <f t="shared" si="1"/>
        <v/>
      </c>
      <c r="AH57" s="156" t="str">
        <f>IF(I57="","",IF(#REF!&gt;0,TRUE,FALSE))</f>
        <v/>
      </c>
      <c r="AI57" s="156">
        <v>47</v>
      </c>
      <c r="AJ57" s="156"/>
      <c r="AK57" s="156" t="str">
        <f t="array" ref="AK57">IFERROR(INDEX($AI$11:$AI$259, MATCH(0, IF(TRUE=$AF$11:$AF$259, COUNTIF($AK$10:$AK56, $AI$11:$AI$259), ""), 0)),"")</f>
        <v/>
      </c>
      <c r="AL57" s="156" t="str">
        <f t="array" ref="AL57">IFERROR(INDEX($AI$11:$AI$259, MATCH(0, IF(TRUE=$AG$11:$AG$259, COUNTIF($AL$10:$AL56, $AI$11:$AI$259), ""), 0)),"")</f>
        <v/>
      </c>
      <c r="AM57" s="156" t="str">
        <f t="array" ref="AM57">IFERROR(INDEX($AI$11:$AI$259, MATCH(0, IF(TRUE=$AH$11:$AH$259, COUNTIF($AM$10:$AM56, $AI$11:$AI$259), ""), 0)),"")</f>
        <v/>
      </c>
      <c r="AQ57" s="31">
        <f t="shared" si="5"/>
        <v>0</v>
      </c>
    </row>
    <row r="58" spans="1:43" x14ac:dyDescent="0.25">
      <c r="A58" s="31" t="str">
        <f>IFERROR(INDEX('G-1 All Habitats'!$AG$3:$AG$15,MATCH(E58,'G-1 All Habitats'!$AF$3:$AF$15,0)),"")</f>
        <v/>
      </c>
      <c r="B58" s="31" t="str">
        <f>IFERROR(INDEX('G-8 Condition Look up'!$I$4:$I$130,MATCH(G58,'G-8 Condition Look up'!$A$4:$A$130,0)),"")</f>
        <v/>
      </c>
      <c r="D58" s="141">
        <v>48</v>
      </c>
      <c r="E58" s="203"/>
      <c r="F58" s="203"/>
      <c r="G58" s="250" t="str">
        <f>IFERROR(INDEX('G-1 All Habitats'!$B$3:$B$129,MATCH(F58,'G-1 All Habitats'!$A$3:$A$129,0)),"")</f>
        <v/>
      </c>
      <c r="H58" s="172"/>
      <c r="I58" s="498" t="str">
        <f>IF(G58="","",VLOOKUP(G58,'G-1 All Habitats'!$B$2:$M$129,10,FALSE))</f>
        <v/>
      </c>
      <c r="J58" s="499" t="str">
        <f>IFERROR(VLOOKUP(I58,'G-1 All Habitats'!$V$3:$W$7,2,FALSE),"")</f>
        <v/>
      </c>
      <c r="K58" s="145"/>
      <c r="L58" s="499" t="str">
        <f>IFERROR(INDEX('G-8 Condition Look up'!$A$3:$H$130,MATCH(G58,'G-8 Condition Look up'!$A$3:$A$130,0),MATCH(K58,'G-8 Condition Look up'!$A$3:$H$3,0)),"")</f>
        <v/>
      </c>
      <c r="M58" s="154"/>
      <c r="N58" s="520" t="str">
        <f>IF(M58="","",IF(VLOOKUP(M58,'G-3 Multipliers'!$L$3:$N$6,2,FALSE)=0,"Spatial Data Missing ⚠",VLOOKUP(M58,'G-3 Multipliers'!$L$3:$N$6,2,FALSE)))</f>
        <v/>
      </c>
      <c r="O58" s="524" t="str">
        <f>IF(M58="","",IF(VLOOKUP(M58,'G-3 Multipliers'!$L$3:$N$6,3,FALSE)=0,"Spatial Data Missing ⚠",VLOOKUP(M58,'G-3 Multipliers'!$L$3:$N$6,3,FALSE)))</f>
        <v/>
      </c>
      <c r="P58" s="506" t="str">
        <f>IFERROR(VLOOKUP(G58,'G-1 All Habitats'!$B$2:$M$129,12,FALSE),"")</f>
        <v/>
      </c>
      <c r="Q58" s="513" t="str">
        <f>IFERROR(IF(P58="","",IF(AND(P58='G-1 All Habitats'!$X$3,T58&gt;0),U58+V58,IF(AND(P58='G-1 All Habitats'!$X$3,S58&gt;0),U58+V58,IF(AND(P58='G-1 All Habitats'!$X$3,AC58&gt;0),"Any Loss Unacceptable",IF(AND(P58='G-1 All Habitats'!$X$3,W58&gt;0),"Any Loss Unacceptable",H58*J58*L58*O58))))),"Check Data ⚠")</f>
        <v/>
      </c>
      <c r="R58" s="50"/>
      <c r="S58" s="71"/>
      <c r="T58" s="72"/>
      <c r="U58" s="511" t="str">
        <f t="shared" si="2"/>
        <v/>
      </c>
      <c r="V58" s="511" t="str">
        <f t="shared" si="3"/>
        <v/>
      </c>
      <c r="W58" s="511"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545" t="str">
        <f>IFERROR(IF(H58="","",IF(H58-S58-T58=0&lt;0,"Error in Areas ▲",IF(S58+T58&gt;H58,"Error in Areas ▲",IF(AND(P58='G-1 All Habitats'!$X$3,Y58="Yes"),"Alternative Compensation",IF(W58=0,0,IF(P58='G-1 All Habitats'!$X$3,"Unacceptable Loss",Q58-U58-V58)))))),"Check Data ⚠")</f>
        <v/>
      </c>
      <c r="Y58" s="72"/>
      <c r="Z58" s="151"/>
      <c r="AA58" s="152"/>
      <c r="AC58" s="251" t="str">
        <f>IF(P58="","",IF(P58='G-1 All Habitats'!$X$3,H58-S58-T58,"None"))</f>
        <v/>
      </c>
      <c r="AD58" s="252" t="str">
        <f t="shared" si="4"/>
        <v/>
      </c>
      <c r="AF58" s="156" t="str">
        <f t="shared" si="0"/>
        <v/>
      </c>
      <c r="AG58" s="156" t="str">
        <f t="shared" si="1"/>
        <v/>
      </c>
      <c r="AH58" s="156" t="str">
        <f>IF(I58="","",IF(#REF!&gt;0,TRUE,FALSE))</f>
        <v/>
      </c>
      <c r="AI58" s="156">
        <v>48</v>
      </c>
      <c r="AJ58" s="156"/>
      <c r="AK58" s="156" t="str">
        <f t="array" ref="AK58">IFERROR(INDEX($AI$11:$AI$259, MATCH(0, IF(TRUE=$AF$11:$AF$259, COUNTIF($AK$10:$AK57, $AI$11:$AI$259), ""), 0)),"")</f>
        <v/>
      </c>
      <c r="AL58" s="156" t="str">
        <f t="array" ref="AL58">IFERROR(INDEX($AI$11:$AI$259, MATCH(0, IF(TRUE=$AG$11:$AG$259, COUNTIF($AL$10:$AL57, $AI$11:$AI$259), ""), 0)),"")</f>
        <v/>
      </c>
      <c r="AM58" s="156" t="str">
        <f t="array" ref="AM58">IFERROR(INDEX($AI$11:$AI$259, MATCH(0, IF(TRUE=$AH$11:$AH$259, COUNTIF($AM$10:$AM57, $AI$11:$AI$259), ""), 0)),"")</f>
        <v/>
      </c>
      <c r="AQ58" s="31">
        <f t="shared" si="5"/>
        <v>0</v>
      </c>
    </row>
    <row r="59" spans="1:43" x14ac:dyDescent="0.25">
      <c r="A59" s="31" t="str">
        <f>IFERROR(INDEX('G-1 All Habitats'!$AG$3:$AG$15,MATCH(E59,'G-1 All Habitats'!$AF$3:$AF$15,0)),"")</f>
        <v/>
      </c>
      <c r="B59" s="31" t="str">
        <f>IFERROR(INDEX('G-8 Condition Look up'!$I$4:$I$130,MATCH(G59,'G-8 Condition Look up'!$A$4:$A$130,0)),"")</f>
        <v/>
      </c>
      <c r="D59" s="141">
        <v>49</v>
      </c>
      <c r="E59" s="203"/>
      <c r="F59" s="203"/>
      <c r="G59" s="250" t="str">
        <f>IFERROR(INDEX('G-1 All Habitats'!$B$3:$B$129,MATCH(F59,'G-1 All Habitats'!$A$3:$A$129,0)),"")</f>
        <v/>
      </c>
      <c r="H59" s="172"/>
      <c r="I59" s="498" t="str">
        <f>IF(G59="","",VLOOKUP(G59,'G-1 All Habitats'!$B$2:$M$129,10,FALSE))</f>
        <v/>
      </c>
      <c r="J59" s="499" t="str">
        <f>IFERROR(VLOOKUP(I59,'G-1 All Habitats'!$V$3:$W$7,2,FALSE),"")</f>
        <v/>
      </c>
      <c r="K59" s="145"/>
      <c r="L59" s="499" t="str">
        <f>IFERROR(INDEX('G-8 Condition Look up'!$A$3:$H$130,MATCH(G59,'G-8 Condition Look up'!$A$3:$A$130,0),MATCH(K59,'G-8 Condition Look up'!$A$3:$H$3,0)),"")</f>
        <v/>
      </c>
      <c r="M59" s="154"/>
      <c r="N59" s="520" t="str">
        <f>IF(M59="","",IF(VLOOKUP(M59,'G-3 Multipliers'!$L$3:$N$6,2,FALSE)=0,"Spatial Data Missing ⚠",VLOOKUP(M59,'G-3 Multipliers'!$L$3:$N$6,2,FALSE)))</f>
        <v/>
      </c>
      <c r="O59" s="524" t="str">
        <f>IF(M59="","",IF(VLOOKUP(M59,'G-3 Multipliers'!$L$3:$N$6,3,FALSE)=0,"Spatial Data Missing ⚠",VLOOKUP(M59,'G-3 Multipliers'!$L$3:$N$6,3,FALSE)))</f>
        <v/>
      </c>
      <c r="P59" s="506" t="str">
        <f>IFERROR(VLOOKUP(G59,'G-1 All Habitats'!$B$2:$M$129,12,FALSE),"")</f>
        <v/>
      </c>
      <c r="Q59" s="513" t="str">
        <f>IFERROR(IF(P59="","",IF(AND(P59='G-1 All Habitats'!$X$3,T59&gt;0),U59+V59,IF(AND(P59='G-1 All Habitats'!$X$3,S59&gt;0),U59+V59,IF(AND(P59='G-1 All Habitats'!$X$3,AC59&gt;0),"Any Loss Unacceptable",IF(AND(P59='G-1 All Habitats'!$X$3,W59&gt;0),"Any Loss Unacceptable",H59*J59*L59*O59))))),"Check Data ⚠")</f>
        <v/>
      </c>
      <c r="R59" s="50"/>
      <c r="S59" s="71"/>
      <c r="T59" s="72"/>
      <c r="U59" s="511" t="str">
        <f t="shared" si="2"/>
        <v/>
      </c>
      <c r="V59" s="511" t="str">
        <f t="shared" si="3"/>
        <v/>
      </c>
      <c r="W59" s="511"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545" t="str">
        <f>IFERROR(IF(H59="","",IF(H59-S59-T59=0&lt;0,"Error in Areas ▲",IF(S59+T59&gt;H59,"Error in Areas ▲",IF(AND(P59='G-1 All Habitats'!$X$3,Y59="Yes"),"Alternative Compensation",IF(W59=0,0,IF(P59='G-1 All Habitats'!$X$3,"Unacceptable Loss",Q59-U59-V59)))))),"Check Data ⚠")</f>
        <v/>
      </c>
      <c r="Y59" s="72"/>
      <c r="Z59" s="151"/>
      <c r="AA59" s="152"/>
      <c r="AC59" s="251" t="str">
        <f>IF(P59="","",IF(P59='G-1 All Habitats'!$X$3,H59-S59-T59,"None"))</f>
        <v/>
      </c>
      <c r="AD59" s="252" t="str">
        <f t="shared" si="4"/>
        <v/>
      </c>
      <c r="AF59" s="156" t="str">
        <f t="shared" si="0"/>
        <v/>
      </c>
      <c r="AG59" s="156" t="str">
        <f t="shared" si="1"/>
        <v/>
      </c>
      <c r="AH59" s="156" t="str">
        <f>IF(I59="","",IF(#REF!&gt;0,TRUE,FALSE))</f>
        <v/>
      </c>
      <c r="AI59" s="156">
        <v>49</v>
      </c>
      <c r="AJ59" s="156"/>
      <c r="AK59" s="156" t="str">
        <f t="array" ref="AK59">IFERROR(INDEX($AI$11:$AI$259, MATCH(0, IF(TRUE=$AF$11:$AF$259, COUNTIF($AK$10:$AK58, $AI$11:$AI$259), ""), 0)),"")</f>
        <v/>
      </c>
      <c r="AL59" s="156" t="str">
        <f t="array" ref="AL59">IFERROR(INDEX($AI$11:$AI$259, MATCH(0, IF(TRUE=$AG$11:$AG$259, COUNTIF($AL$10:$AL58, $AI$11:$AI$259), ""), 0)),"")</f>
        <v/>
      </c>
      <c r="AM59" s="156" t="str">
        <f t="array" ref="AM59">IFERROR(INDEX($AI$11:$AI$259, MATCH(0, IF(TRUE=$AH$11:$AH$259, COUNTIF($AM$10:$AM58, $AI$11:$AI$259), ""), 0)),"")</f>
        <v/>
      </c>
      <c r="AQ59" s="31">
        <f t="shared" si="5"/>
        <v>0</v>
      </c>
    </row>
    <row r="60" spans="1:43" x14ac:dyDescent="0.25">
      <c r="A60" s="31" t="str">
        <f>IFERROR(INDEX('G-1 All Habitats'!$AG$3:$AG$15,MATCH(E60,'G-1 All Habitats'!$AF$3:$AF$15,0)),"")</f>
        <v/>
      </c>
      <c r="B60" s="31" t="str">
        <f>IFERROR(INDEX('G-8 Condition Look up'!$I$4:$I$130,MATCH(G60,'G-8 Condition Look up'!$A$4:$A$130,0)),"")</f>
        <v/>
      </c>
      <c r="D60" s="141">
        <v>50</v>
      </c>
      <c r="E60" s="203"/>
      <c r="F60" s="203"/>
      <c r="G60" s="250" t="str">
        <f>IFERROR(INDEX('G-1 All Habitats'!$B$3:$B$129,MATCH(F60,'G-1 All Habitats'!$A$3:$A$129,0)),"")</f>
        <v/>
      </c>
      <c r="H60" s="172"/>
      <c r="I60" s="498" t="str">
        <f>IF(G60="","",VLOOKUP(G60,'G-1 All Habitats'!$B$2:$M$129,10,FALSE))</f>
        <v/>
      </c>
      <c r="J60" s="499" t="str">
        <f>IFERROR(VLOOKUP(I60,'G-1 All Habitats'!$V$3:$W$7,2,FALSE),"")</f>
        <v/>
      </c>
      <c r="K60" s="145"/>
      <c r="L60" s="499" t="str">
        <f>IFERROR(INDEX('G-8 Condition Look up'!$A$3:$H$130,MATCH(G60,'G-8 Condition Look up'!$A$3:$A$130,0),MATCH(K60,'G-8 Condition Look up'!$A$3:$H$3,0)),"")</f>
        <v/>
      </c>
      <c r="M60" s="154"/>
      <c r="N60" s="520" t="str">
        <f>IF(M60="","",IF(VLOOKUP(M60,'G-3 Multipliers'!$L$3:$N$6,2,FALSE)=0,"Spatial Data Missing ⚠",VLOOKUP(M60,'G-3 Multipliers'!$L$3:$N$6,2,FALSE)))</f>
        <v/>
      </c>
      <c r="O60" s="524" t="str">
        <f>IF(M60="","",IF(VLOOKUP(M60,'G-3 Multipliers'!$L$3:$N$6,3,FALSE)=0,"Spatial Data Missing ⚠",VLOOKUP(M60,'G-3 Multipliers'!$L$3:$N$6,3,FALSE)))</f>
        <v/>
      </c>
      <c r="P60" s="506" t="str">
        <f>IFERROR(VLOOKUP(G60,'G-1 All Habitats'!$B$2:$M$129,12,FALSE),"")</f>
        <v/>
      </c>
      <c r="Q60" s="513" t="str">
        <f>IFERROR(IF(P60="","",IF(AND(P60='G-1 All Habitats'!$X$3,T60&gt;0),U60+V60,IF(AND(P60='G-1 All Habitats'!$X$3,S60&gt;0),U60+V60,IF(AND(P60='G-1 All Habitats'!$X$3,AC60&gt;0),"Any Loss Unacceptable",IF(AND(P60='G-1 All Habitats'!$X$3,W60&gt;0),"Any Loss Unacceptable",H60*J60*L60*O60))))),"Check Data ⚠")</f>
        <v/>
      </c>
      <c r="R60" s="50"/>
      <c r="S60" s="71"/>
      <c r="T60" s="72"/>
      <c r="U60" s="511" t="str">
        <f t="shared" si="2"/>
        <v/>
      </c>
      <c r="V60" s="511" t="str">
        <f t="shared" si="3"/>
        <v/>
      </c>
      <c r="W60" s="511"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545" t="str">
        <f>IFERROR(IF(H60="","",IF(H60-S60-T60=0&lt;0,"Error in Areas ▲",IF(S60+T60&gt;H60,"Error in Areas ▲",IF(AND(P60='G-1 All Habitats'!$X$3,Y60="Yes"),"Alternative Compensation",IF(W60=0,0,IF(P60='G-1 All Habitats'!$X$3,"Unacceptable Loss",Q60-U60-V60)))))),"Check Data ⚠")</f>
        <v/>
      </c>
      <c r="Y60" s="72"/>
      <c r="Z60" s="151"/>
      <c r="AA60" s="152"/>
      <c r="AC60" s="251" t="str">
        <f>IF(P60="","",IF(P60='G-1 All Habitats'!$X$3,H60-S60-T60,"None"))</f>
        <v/>
      </c>
      <c r="AD60" s="252" t="str">
        <f t="shared" si="4"/>
        <v/>
      </c>
      <c r="AF60" s="156" t="str">
        <f t="shared" si="0"/>
        <v/>
      </c>
      <c r="AG60" s="156" t="str">
        <f t="shared" si="1"/>
        <v/>
      </c>
      <c r="AH60" s="156" t="str">
        <f>IF(I60="","",IF(#REF!&gt;0,TRUE,FALSE))</f>
        <v/>
      </c>
      <c r="AI60" s="156">
        <v>50</v>
      </c>
      <c r="AJ60" s="156"/>
      <c r="AK60" s="156" t="str">
        <f t="array" ref="AK60">IFERROR(INDEX($AI$11:$AI$259, MATCH(0, IF(TRUE=$AF$11:$AF$259, COUNTIF($AK$10:$AK59, $AI$11:$AI$259), ""), 0)),"")</f>
        <v/>
      </c>
      <c r="AL60" s="156" t="str">
        <f t="array" ref="AL60">IFERROR(INDEX($AI$11:$AI$259, MATCH(0, IF(TRUE=$AG$11:$AG$259, COUNTIF($AL$10:$AL59, $AI$11:$AI$259), ""), 0)),"")</f>
        <v/>
      </c>
      <c r="AM60" s="156" t="str">
        <f t="array" ref="AM60">IFERROR(INDEX($AI$11:$AI$259, MATCH(0, IF(TRUE=$AH$11:$AH$259, COUNTIF($AM$10:$AM59, $AI$11:$AI$259), ""), 0)),"")</f>
        <v/>
      </c>
      <c r="AQ60" s="31">
        <f t="shared" si="5"/>
        <v>0</v>
      </c>
    </row>
    <row r="61" spans="1:43" x14ac:dyDescent="0.25">
      <c r="A61" s="31" t="str">
        <f>IFERROR(INDEX('G-1 All Habitats'!$AG$3:$AG$15,MATCH(E61,'G-1 All Habitats'!$AF$3:$AF$15,0)),"")</f>
        <v/>
      </c>
      <c r="B61" s="31" t="str">
        <f>IFERROR(INDEX('G-8 Condition Look up'!$I$4:$I$130,MATCH(G61,'G-8 Condition Look up'!$A$4:$A$130,0)),"")</f>
        <v/>
      </c>
      <c r="D61" s="141">
        <v>51</v>
      </c>
      <c r="E61" s="203"/>
      <c r="F61" s="203"/>
      <c r="G61" s="250" t="str">
        <f>IFERROR(INDEX('G-1 All Habitats'!$B$3:$B$129,MATCH(F61,'G-1 All Habitats'!$A$3:$A$129,0)),"")</f>
        <v/>
      </c>
      <c r="H61" s="172"/>
      <c r="I61" s="498" t="str">
        <f>IF(G61="","",VLOOKUP(G61,'G-1 All Habitats'!$B$2:$M$129,10,FALSE))</f>
        <v/>
      </c>
      <c r="J61" s="499" t="str">
        <f>IFERROR(VLOOKUP(I61,'G-1 All Habitats'!$V$3:$W$7,2,FALSE),"")</f>
        <v/>
      </c>
      <c r="K61" s="145"/>
      <c r="L61" s="499" t="str">
        <f>IFERROR(INDEX('G-8 Condition Look up'!$A$3:$H$130,MATCH(G61,'G-8 Condition Look up'!$A$3:$A$130,0),MATCH(K61,'G-8 Condition Look up'!$A$3:$H$3,0)),"")</f>
        <v/>
      </c>
      <c r="M61" s="154"/>
      <c r="N61" s="520" t="str">
        <f>IF(M61="","",IF(VLOOKUP(M61,'G-3 Multipliers'!$L$3:$N$6,2,FALSE)=0,"Spatial Data Missing ⚠",VLOOKUP(M61,'G-3 Multipliers'!$L$3:$N$6,2,FALSE)))</f>
        <v/>
      </c>
      <c r="O61" s="524" t="str">
        <f>IF(M61="","",IF(VLOOKUP(M61,'G-3 Multipliers'!$L$3:$N$6,3,FALSE)=0,"Spatial Data Missing ⚠",VLOOKUP(M61,'G-3 Multipliers'!$L$3:$N$6,3,FALSE)))</f>
        <v/>
      </c>
      <c r="P61" s="506" t="str">
        <f>IFERROR(VLOOKUP(G61,'G-1 All Habitats'!$B$2:$M$129,12,FALSE),"")</f>
        <v/>
      </c>
      <c r="Q61" s="513" t="str">
        <f>IFERROR(IF(P61="","",IF(AND(P61='G-1 All Habitats'!$X$3,T61&gt;0),U61+V61,IF(AND(P61='G-1 All Habitats'!$X$3,S61&gt;0),U61+V61,IF(AND(P61='G-1 All Habitats'!$X$3,AC61&gt;0),"Any Loss Unacceptable",IF(AND(P61='G-1 All Habitats'!$X$3,W61&gt;0),"Any Loss Unacceptable",H61*J61*L61*O61))))),"Check Data ⚠")</f>
        <v/>
      </c>
      <c r="R61" s="50"/>
      <c r="S61" s="71"/>
      <c r="T61" s="72"/>
      <c r="U61" s="511" t="str">
        <f t="shared" si="2"/>
        <v/>
      </c>
      <c r="V61" s="511" t="str">
        <f t="shared" si="3"/>
        <v/>
      </c>
      <c r="W61" s="511"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545" t="str">
        <f>IFERROR(IF(H61="","",IF(H61-S61-T61=0&lt;0,"Error in Areas ▲",IF(S61+T61&gt;H61,"Error in Areas ▲",IF(AND(P61='G-1 All Habitats'!$X$3,Y61="Yes"),"Alternative Compensation",IF(W61=0,0,IF(P61='G-1 All Habitats'!$X$3,"Unacceptable Loss",Q61-U61-V61)))))),"Check Data ⚠")</f>
        <v/>
      </c>
      <c r="Y61" s="72"/>
      <c r="Z61" s="151"/>
      <c r="AA61" s="152"/>
      <c r="AC61" s="251" t="str">
        <f>IF(P61="","",IF(P61='G-1 All Habitats'!$X$3,H61-S61-T61,"None"))</f>
        <v/>
      </c>
      <c r="AD61" s="252" t="str">
        <f t="shared" si="4"/>
        <v/>
      </c>
      <c r="AF61" s="156" t="str">
        <f t="shared" si="0"/>
        <v/>
      </c>
      <c r="AG61" s="156" t="str">
        <f t="shared" si="1"/>
        <v/>
      </c>
      <c r="AH61" s="156" t="str">
        <f>IF(I61="","",IF(#REF!&gt;0,TRUE,FALSE))</f>
        <v/>
      </c>
      <c r="AI61" s="156">
        <v>51</v>
      </c>
      <c r="AJ61" s="156"/>
      <c r="AK61" s="156" t="str">
        <f t="array" ref="AK61">IFERROR(INDEX($AI$11:$AI$259, MATCH(0, IF(TRUE=$AF$11:$AF$259, COUNTIF($AK$10:$AK60, $AI$11:$AI$259), ""), 0)),"")</f>
        <v/>
      </c>
      <c r="AL61" s="156" t="str">
        <f t="array" ref="AL61">IFERROR(INDEX($AI$11:$AI$259, MATCH(0, IF(TRUE=$AG$11:$AG$259, COUNTIF($AL$10:$AL60, $AI$11:$AI$259), ""), 0)),"")</f>
        <v/>
      </c>
      <c r="AM61" s="156" t="str">
        <f t="array" ref="AM61">IFERROR(INDEX($AI$11:$AI$259, MATCH(0, IF(TRUE=$AH$11:$AH$259, COUNTIF($AM$10:$AM60, $AI$11:$AI$259), ""), 0)),"")</f>
        <v/>
      </c>
      <c r="AQ61" s="31">
        <f t="shared" si="5"/>
        <v>0</v>
      </c>
    </row>
    <row r="62" spans="1:43" x14ac:dyDescent="0.25">
      <c r="A62" s="31" t="str">
        <f>IFERROR(INDEX('G-1 All Habitats'!$AG$3:$AG$15,MATCH(E62,'G-1 All Habitats'!$AF$3:$AF$15,0)),"")</f>
        <v/>
      </c>
      <c r="B62" s="31" t="str">
        <f>IFERROR(INDEX('G-8 Condition Look up'!$I$4:$I$130,MATCH(G62,'G-8 Condition Look up'!$A$4:$A$130,0)),"")</f>
        <v/>
      </c>
      <c r="D62" s="141">
        <v>52</v>
      </c>
      <c r="E62" s="203"/>
      <c r="F62" s="203"/>
      <c r="G62" s="250" t="str">
        <f>IFERROR(INDEX('G-1 All Habitats'!$B$3:$B$129,MATCH(F62,'G-1 All Habitats'!$A$3:$A$129,0)),"")</f>
        <v/>
      </c>
      <c r="H62" s="172"/>
      <c r="I62" s="498" t="str">
        <f>IF(G62="","",VLOOKUP(G62,'G-1 All Habitats'!$B$2:$M$129,10,FALSE))</f>
        <v/>
      </c>
      <c r="J62" s="499" t="str">
        <f>IFERROR(VLOOKUP(I62,'G-1 All Habitats'!$V$3:$W$7,2,FALSE),"")</f>
        <v/>
      </c>
      <c r="K62" s="145"/>
      <c r="L62" s="499" t="str">
        <f>IFERROR(INDEX('G-8 Condition Look up'!$A$3:$H$130,MATCH(G62,'G-8 Condition Look up'!$A$3:$A$130,0),MATCH(K62,'G-8 Condition Look up'!$A$3:$H$3,0)),"")</f>
        <v/>
      </c>
      <c r="M62" s="154"/>
      <c r="N62" s="520" t="str">
        <f>IF(M62="","",IF(VLOOKUP(M62,'G-3 Multipliers'!$L$3:$N$6,2,FALSE)=0,"Spatial Data Missing ⚠",VLOOKUP(M62,'G-3 Multipliers'!$L$3:$N$6,2,FALSE)))</f>
        <v/>
      </c>
      <c r="O62" s="524" t="str">
        <f>IF(M62="","",IF(VLOOKUP(M62,'G-3 Multipliers'!$L$3:$N$6,3,FALSE)=0,"Spatial Data Missing ⚠",VLOOKUP(M62,'G-3 Multipliers'!$L$3:$N$6,3,FALSE)))</f>
        <v/>
      </c>
      <c r="P62" s="506" t="str">
        <f>IFERROR(VLOOKUP(G62,'G-1 All Habitats'!$B$2:$M$129,12,FALSE),"")</f>
        <v/>
      </c>
      <c r="Q62" s="513" t="str">
        <f>IFERROR(IF(P62="","",IF(AND(P62='G-1 All Habitats'!$X$3,T62&gt;0),U62+V62,IF(AND(P62='G-1 All Habitats'!$X$3,S62&gt;0),U62+V62,IF(AND(P62='G-1 All Habitats'!$X$3,AC62&gt;0),"Any Loss Unacceptable",IF(AND(P62='G-1 All Habitats'!$X$3,W62&gt;0),"Any Loss Unacceptable",H62*J62*L62*O62))))),"Check Data ⚠")</f>
        <v/>
      </c>
      <c r="R62" s="50"/>
      <c r="S62" s="71"/>
      <c r="T62" s="72"/>
      <c r="U62" s="511" t="str">
        <f t="shared" si="2"/>
        <v/>
      </c>
      <c r="V62" s="511" t="str">
        <f t="shared" si="3"/>
        <v/>
      </c>
      <c r="W62" s="511"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545" t="str">
        <f>IFERROR(IF(H62="","",IF(H62-S62-T62=0&lt;0,"Error in Areas ▲",IF(S62+T62&gt;H62,"Error in Areas ▲",IF(AND(P62='G-1 All Habitats'!$X$3,Y62="Yes"),"Alternative Compensation",IF(W62=0,0,IF(P62='G-1 All Habitats'!$X$3,"Unacceptable Loss",Q62-U62-V62)))))),"Check Data ⚠")</f>
        <v/>
      </c>
      <c r="Y62" s="72"/>
      <c r="Z62" s="151"/>
      <c r="AA62" s="152"/>
      <c r="AC62" s="251" t="str">
        <f>IF(P62="","",IF(P62='G-1 All Habitats'!$X$3,H62-S62-T62,"None"))</f>
        <v/>
      </c>
      <c r="AD62" s="252" t="str">
        <f t="shared" si="4"/>
        <v/>
      </c>
      <c r="AF62" s="156" t="str">
        <f t="shared" si="0"/>
        <v/>
      </c>
      <c r="AG62" s="156" t="str">
        <f t="shared" si="1"/>
        <v/>
      </c>
      <c r="AH62" s="156" t="str">
        <f>IF(I62="","",IF(#REF!&gt;0,TRUE,FALSE))</f>
        <v/>
      </c>
      <c r="AI62" s="156">
        <v>52</v>
      </c>
      <c r="AJ62" s="156"/>
      <c r="AK62" s="156" t="str">
        <f t="array" ref="AK62">IFERROR(INDEX($AI$11:$AI$259, MATCH(0, IF(TRUE=$AF$11:$AF$259, COUNTIF($AK$10:$AK61, $AI$11:$AI$259), ""), 0)),"")</f>
        <v/>
      </c>
      <c r="AL62" s="156" t="str">
        <f t="array" ref="AL62">IFERROR(INDEX($AI$11:$AI$259, MATCH(0, IF(TRUE=$AG$11:$AG$259, COUNTIF($AL$10:$AL61, $AI$11:$AI$259), ""), 0)),"")</f>
        <v/>
      </c>
      <c r="AM62" s="156" t="str">
        <f t="array" ref="AM62">IFERROR(INDEX($AI$11:$AI$259, MATCH(0, IF(TRUE=$AH$11:$AH$259, COUNTIF($AM$10:$AM61, $AI$11:$AI$259), ""), 0)),"")</f>
        <v/>
      </c>
      <c r="AQ62" s="31">
        <f t="shared" si="5"/>
        <v>0</v>
      </c>
    </row>
    <row r="63" spans="1:43" x14ac:dyDescent="0.25">
      <c r="A63" s="31" t="str">
        <f>IFERROR(INDEX('G-1 All Habitats'!$AG$3:$AG$15,MATCH(E63,'G-1 All Habitats'!$AF$3:$AF$15,0)),"")</f>
        <v/>
      </c>
      <c r="B63" s="31" t="str">
        <f>IFERROR(INDEX('G-8 Condition Look up'!$I$4:$I$130,MATCH(G63,'G-8 Condition Look up'!$A$4:$A$130,0)),"")</f>
        <v/>
      </c>
      <c r="D63" s="141">
        <v>53</v>
      </c>
      <c r="E63" s="203"/>
      <c r="F63" s="203"/>
      <c r="G63" s="250" t="str">
        <f>IFERROR(INDEX('G-1 All Habitats'!$B$3:$B$129,MATCH(F63,'G-1 All Habitats'!$A$3:$A$129,0)),"")</f>
        <v/>
      </c>
      <c r="H63" s="172"/>
      <c r="I63" s="498" t="str">
        <f>IF(G63="","",VLOOKUP(G63,'G-1 All Habitats'!$B$2:$M$129,10,FALSE))</f>
        <v/>
      </c>
      <c r="J63" s="499" t="str">
        <f>IFERROR(VLOOKUP(I63,'G-1 All Habitats'!$V$3:$W$7,2,FALSE),"")</f>
        <v/>
      </c>
      <c r="K63" s="145"/>
      <c r="L63" s="499" t="str">
        <f>IFERROR(INDEX('G-8 Condition Look up'!$A$3:$H$130,MATCH(G63,'G-8 Condition Look up'!$A$3:$A$130,0),MATCH(K63,'G-8 Condition Look up'!$A$3:$H$3,0)),"")</f>
        <v/>
      </c>
      <c r="M63" s="154"/>
      <c r="N63" s="520" t="str">
        <f>IF(M63="","",IF(VLOOKUP(M63,'G-3 Multipliers'!$L$3:$N$6,2,FALSE)=0,"Spatial Data Missing ⚠",VLOOKUP(M63,'G-3 Multipliers'!$L$3:$N$6,2,FALSE)))</f>
        <v/>
      </c>
      <c r="O63" s="524" t="str">
        <f>IF(M63="","",IF(VLOOKUP(M63,'G-3 Multipliers'!$L$3:$N$6,3,FALSE)=0,"Spatial Data Missing ⚠",VLOOKUP(M63,'G-3 Multipliers'!$L$3:$N$6,3,FALSE)))</f>
        <v/>
      </c>
      <c r="P63" s="506" t="str">
        <f>IFERROR(VLOOKUP(G63,'G-1 All Habitats'!$B$2:$M$129,12,FALSE),"")</f>
        <v/>
      </c>
      <c r="Q63" s="513" t="str">
        <f>IFERROR(IF(P63="","",IF(AND(P63='G-1 All Habitats'!$X$3,T63&gt;0),U63+V63,IF(AND(P63='G-1 All Habitats'!$X$3,S63&gt;0),U63+V63,IF(AND(P63='G-1 All Habitats'!$X$3,AC63&gt;0),"Any Loss Unacceptable",IF(AND(P63='G-1 All Habitats'!$X$3,W63&gt;0),"Any Loss Unacceptable",H63*J63*L63*O63))))),"Check Data ⚠")</f>
        <v/>
      </c>
      <c r="R63" s="50"/>
      <c r="S63" s="71"/>
      <c r="T63" s="72"/>
      <c r="U63" s="511" t="str">
        <f t="shared" si="2"/>
        <v/>
      </c>
      <c r="V63" s="511" t="str">
        <f t="shared" si="3"/>
        <v/>
      </c>
      <c r="W63" s="511"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545" t="str">
        <f>IFERROR(IF(H63="","",IF(H63-S63-T63=0&lt;0,"Error in Areas ▲",IF(S63+T63&gt;H63,"Error in Areas ▲",IF(AND(P63='G-1 All Habitats'!$X$3,Y63="Yes"),"Alternative Compensation",IF(W63=0,0,IF(P63='G-1 All Habitats'!$X$3,"Unacceptable Loss",Q63-U63-V63)))))),"Check Data ⚠")</f>
        <v/>
      </c>
      <c r="Y63" s="72"/>
      <c r="Z63" s="151"/>
      <c r="AA63" s="152"/>
      <c r="AC63" s="251" t="str">
        <f>IF(P63="","",IF(P63='G-1 All Habitats'!$X$3,H63-S63-T63,"None"))</f>
        <v/>
      </c>
      <c r="AD63" s="252" t="str">
        <f t="shared" si="4"/>
        <v/>
      </c>
      <c r="AF63" s="156" t="str">
        <f t="shared" si="0"/>
        <v/>
      </c>
      <c r="AG63" s="156" t="str">
        <f t="shared" si="1"/>
        <v/>
      </c>
      <c r="AH63" s="156" t="str">
        <f>IF(I63="","",IF(#REF!&gt;0,TRUE,FALSE))</f>
        <v/>
      </c>
      <c r="AI63" s="156">
        <v>53</v>
      </c>
      <c r="AJ63" s="156"/>
      <c r="AK63" s="156" t="str">
        <f t="array" ref="AK63">IFERROR(INDEX($AI$11:$AI$259, MATCH(0, IF(TRUE=$AF$11:$AF$259, COUNTIF($AK$10:$AK62, $AI$11:$AI$259), ""), 0)),"")</f>
        <v/>
      </c>
      <c r="AL63" s="156" t="str">
        <f t="array" ref="AL63">IFERROR(INDEX($AI$11:$AI$259, MATCH(0, IF(TRUE=$AG$11:$AG$259, COUNTIF($AL$10:$AL62, $AI$11:$AI$259), ""), 0)),"")</f>
        <v/>
      </c>
      <c r="AM63" s="156" t="str">
        <f t="array" ref="AM63">IFERROR(INDEX($AI$11:$AI$259, MATCH(0, IF(TRUE=$AH$11:$AH$259, COUNTIF($AM$10:$AM62, $AI$11:$AI$259), ""), 0)),"")</f>
        <v/>
      </c>
      <c r="AQ63" s="31">
        <f t="shared" si="5"/>
        <v>0</v>
      </c>
    </row>
    <row r="64" spans="1:43" x14ac:dyDescent="0.25">
      <c r="A64" s="31" t="str">
        <f>IFERROR(INDEX('G-1 All Habitats'!$AG$3:$AG$15,MATCH(E64,'G-1 All Habitats'!$AF$3:$AF$15,0)),"")</f>
        <v/>
      </c>
      <c r="B64" s="31" t="str">
        <f>IFERROR(INDEX('G-8 Condition Look up'!$I$4:$I$130,MATCH(G64,'G-8 Condition Look up'!$A$4:$A$130,0)),"")</f>
        <v/>
      </c>
      <c r="D64" s="141">
        <v>54</v>
      </c>
      <c r="E64" s="203"/>
      <c r="F64" s="203"/>
      <c r="G64" s="250" t="str">
        <f>IFERROR(INDEX('G-1 All Habitats'!$B$3:$B$129,MATCH(F64,'G-1 All Habitats'!$A$3:$A$129,0)),"")</f>
        <v/>
      </c>
      <c r="H64" s="172"/>
      <c r="I64" s="498" t="str">
        <f>IF(G64="","",VLOOKUP(G64,'G-1 All Habitats'!$B$2:$M$129,10,FALSE))</f>
        <v/>
      </c>
      <c r="J64" s="499" t="str">
        <f>IFERROR(VLOOKUP(I64,'G-1 All Habitats'!$V$3:$W$7,2,FALSE),"")</f>
        <v/>
      </c>
      <c r="K64" s="145"/>
      <c r="L64" s="499" t="str">
        <f>IFERROR(INDEX('G-8 Condition Look up'!$A$3:$H$130,MATCH(G64,'G-8 Condition Look up'!$A$3:$A$130,0),MATCH(K64,'G-8 Condition Look up'!$A$3:$H$3,0)),"")</f>
        <v/>
      </c>
      <c r="M64" s="154"/>
      <c r="N64" s="520" t="str">
        <f>IF(M64="","",IF(VLOOKUP(M64,'G-3 Multipliers'!$L$3:$N$6,2,FALSE)=0,"Spatial Data Missing ⚠",VLOOKUP(M64,'G-3 Multipliers'!$L$3:$N$6,2,FALSE)))</f>
        <v/>
      </c>
      <c r="O64" s="524" t="str">
        <f>IF(M64="","",IF(VLOOKUP(M64,'G-3 Multipliers'!$L$3:$N$6,3,FALSE)=0,"Spatial Data Missing ⚠",VLOOKUP(M64,'G-3 Multipliers'!$L$3:$N$6,3,FALSE)))</f>
        <v/>
      </c>
      <c r="P64" s="506" t="str">
        <f>IFERROR(VLOOKUP(G64,'G-1 All Habitats'!$B$2:$M$129,12,FALSE),"")</f>
        <v/>
      </c>
      <c r="Q64" s="513" t="str">
        <f>IFERROR(IF(P64="","",IF(AND(P64='G-1 All Habitats'!$X$3,T64&gt;0),U64+V64,IF(AND(P64='G-1 All Habitats'!$X$3,S64&gt;0),U64+V64,IF(AND(P64='G-1 All Habitats'!$X$3,AC64&gt;0),"Any Loss Unacceptable",IF(AND(P64='G-1 All Habitats'!$X$3,W64&gt;0),"Any Loss Unacceptable",H64*J64*L64*O64))))),"Check Data ⚠")</f>
        <v/>
      </c>
      <c r="R64" s="50"/>
      <c r="S64" s="71"/>
      <c r="T64" s="72"/>
      <c r="U64" s="511" t="str">
        <f t="shared" si="2"/>
        <v/>
      </c>
      <c r="V64" s="511" t="str">
        <f t="shared" si="3"/>
        <v/>
      </c>
      <c r="W64" s="511"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545" t="str">
        <f>IFERROR(IF(H64="","",IF(H64-S64-T64=0&lt;0,"Error in Areas ▲",IF(S64+T64&gt;H64,"Error in Areas ▲",IF(AND(P64='G-1 All Habitats'!$X$3,Y64="Yes"),"Alternative Compensation",IF(W64=0,0,IF(P64='G-1 All Habitats'!$X$3,"Unacceptable Loss",Q64-U64-V64)))))),"Check Data ⚠")</f>
        <v/>
      </c>
      <c r="Y64" s="72"/>
      <c r="Z64" s="151"/>
      <c r="AA64" s="152"/>
      <c r="AC64" s="251" t="str">
        <f>IF(P64="","",IF(P64='G-1 All Habitats'!$X$3,H64-S64-T64,"None"))</f>
        <v/>
      </c>
      <c r="AD64" s="252" t="str">
        <f t="shared" si="4"/>
        <v/>
      </c>
      <c r="AF64" s="156" t="str">
        <f t="shared" si="0"/>
        <v/>
      </c>
      <c r="AG64" s="156" t="str">
        <f t="shared" si="1"/>
        <v/>
      </c>
      <c r="AH64" s="156" t="str">
        <f>IF(I64="","",IF(#REF!&gt;0,TRUE,FALSE))</f>
        <v/>
      </c>
      <c r="AI64" s="156">
        <v>54</v>
      </c>
      <c r="AJ64" s="156"/>
      <c r="AK64" s="156" t="str">
        <f t="array" ref="AK64">IFERROR(INDEX($AI$11:$AI$259, MATCH(0, IF(TRUE=$AF$11:$AF$259, COUNTIF($AK$10:$AK63, $AI$11:$AI$259), ""), 0)),"")</f>
        <v/>
      </c>
      <c r="AL64" s="156" t="str">
        <f t="array" ref="AL64">IFERROR(INDEX($AI$11:$AI$259, MATCH(0, IF(TRUE=$AG$11:$AG$259, COUNTIF($AL$10:$AL63, $AI$11:$AI$259), ""), 0)),"")</f>
        <v/>
      </c>
      <c r="AM64" s="156" t="str">
        <f t="array" ref="AM64">IFERROR(INDEX($AI$11:$AI$259, MATCH(0, IF(TRUE=$AH$11:$AH$259, COUNTIF($AM$10:$AM63, $AI$11:$AI$259), ""), 0)),"")</f>
        <v/>
      </c>
      <c r="AQ64" s="31">
        <f t="shared" si="5"/>
        <v>0</v>
      </c>
    </row>
    <row r="65" spans="1:43" x14ac:dyDescent="0.25">
      <c r="A65" s="31" t="str">
        <f>IFERROR(INDEX('G-1 All Habitats'!$AG$3:$AG$15,MATCH(E65,'G-1 All Habitats'!$AF$3:$AF$15,0)),"")</f>
        <v/>
      </c>
      <c r="B65" s="31" t="str">
        <f>IFERROR(INDEX('G-8 Condition Look up'!$I$4:$I$130,MATCH(G65,'G-8 Condition Look up'!$A$4:$A$130,0)),"")</f>
        <v/>
      </c>
      <c r="D65" s="141">
        <v>55</v>
      </c>
      <c r="E65" s="203"/>
      <c r="F65" s="203"/>
      <c r="G65" s="250" t="str">
        <f>IFERROR(INDEX('G-1 All Habitats'!$B$3:$B$129,MATCH(F65,'G-1 All Habitats'!$A$3:$A$129,0)),"")</f>
        <v/>
      </c>
      <c r="H65" s="172"/>
      <c r="I65" s="498" t="str">
        <f>IF(G65="","",VLOOKUP(G65,'G-1 All Habitats'!$B$2:$M$129,10,FALSE))</f>
        <v/>
      </c>
      <c r="J65" s="499" t="str">
        <f>IFERROR(VLOOKUP(I65,'G-1 All Habitats'!$V$3:$W$7,2,FALSE),"")</f>
        <v/>
      </c>
      <c r="K65" s="145"/>
      <c r="L65" s="499" t="str">
        <f>IFERROR(INDEX('G-8 Condition Look up'!$A$3:$H$130,MATCH(G65,'G-8 Condition Look up'!$A$3:$A$130,0),MATCH(K65,'G-8 Condition Look up'!$A$3:$H$3,0)),"")</f>
        <v/>
      </c>
      <c r="M65" s="154"/>
      <c r="N65" s="520" t="str">
        <f>IF(M65="","",IF(VLOOKUP(M65,'G-3 Multipliers'!$L$3:$N$6,2,FALSE)=0,"Spatial Data Missing ⚠",VLOOKUP(M65,'G-3 Multipliers'!$L$3:$N$6,2,FALSE)))</f>
        <v/>
      </c>
      <c r="O65" s="524" t="str">
        <f>IF(M65="","",IF(VLOOKUP(M65,'G-3 Multipliers'!$L$3:$N$6,3,FALSE)=0,"Spatial Data Missing ⚠",VLOOKUP(M65,'G-3 Multipliers'!$L$3:$N$6,3,FALSE)))</f>
        <v/>
      </c>
      <c r="P65" s="506" t="str">
        <f>IFERROR(VLOOKUP(G65,'G-1 All Habitats'!$B$2:$M$129,12,FALSE),"")</f>
        <v/>
      </c>
      <c r="Q65" s="513" t="str">
        <f>IFERROR(IF(P65="","",IF(AND(P65='G-1 All Habitats'!$X$3,T65&gt;0),U65+V65,IF(AND(P65='G-1 All Habitats'!$X$3,S65&gt;0),U65+V65,IF(AND(P65='G-1 All Habitats'!$X$3,AC65&gt;0),"Any Loss Unacceptable",IF(AND(P65='G-1 All Habitats'!$X$3,W65&gt;0),"Any Loss Unacceptable",H65*J65*L65*O65))))),"Check Data ⚠")</f>
        <v/>
      </c>
      <c r="R65" s="50"/>
      <c r="S65" s="71"/>
      <c r="T65" s="72"/>
      <c r="U65" s="511" t="str">
        <f t="shared" si="2"/>
        <v/>
      </c>
      <c r="V65" s="511" t="str">
        <f t="shared" si="3"/>
        <v/>
      </c>
      <c r="W65" s="511"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545" t="str">
        <f>IFERROR(IF(H65="","",IF(H65-S65-T65=0&lt;0,"Error in Areas ▲",IF(S65+T65&gt;H65,"Error in Areas ▲",IF(AND(P65='G-1 All Habitats'!$X$3,Y65="Yes"),"Alternative Compensation",IF(W65=0,0,IF(P65='G-1 All Habitats'!$X$3,"Unacceptable Loss",Q65-U65-V65)))))),"Check Data ⚠")</f>
        <v/>
      </c>
      <c r="Y65" s="72"/>
      <c r="Z65" s="151"/>
      <c r="AA65" s="152"/>
      <c r="AC65" s="251" t="str">
        <f>IF(P65="","",IF(P65='G-1 All Habitats'!$X$3,H65-S65-T65,"None"))</f>
        <v/>
      </c>
      <c r="AD65" s="252" t="str">
        <f t="shared" si="4"/>
        <v/>
      </c>
      <c r="AF65" s="156" t="str">
        <f t="shared" si="0"/>
        <v/>
      </c>
      <c r="AG65" s="156" t="str">
        <f t="shared" si="1"/>
        <v/>
      </c>
      <c r="AH65" s="156" t="str">
        <f>IF(I65="","",IF(#REF!&gt;0,TRUE,FALSE))</f>
        <v/>
      </c>
      <c r="AI65" s="156">
        <v>55</v>
      </c>
      <c r="AJ65" s="156"/>
      <c r="AK65" s="156" t="str">
        <f t="array" ref="AK65">IFERROR(INDEX($AI$11:$AI$259, MATCH(0, IF(TRUE=$AF$11:$AF$259, COUNTIF($AK$10:$AK64, $AI$11:$AI$259), ""), 0)),"")</f>
        <v/>
      </c>
      <c r="AL65" s="156" t="str">
        <f t="array" ref="AL65">IFERROR(INDEX($AI$11:$AI$259, MATCH(0, IF(TRUE=$AG$11:$AG$259, COUNTIF($AL$10:$AL64, $AI$11:$AI$259), ""), 0)),"")</f>
        <v/>
      </c>
      <c r="AM65" s="156" t="str">
        <f t="array" ref="AM65">IFERROR(INDEX($AI$11:$AI$259, MATCH(0, IF(TRUE=$AH$11:$AH$259, COUNTIF($AM$10:$AM64, $AI$11:$AI$259), ""), 0)),"")</f>
        <v/>
      </c>
      <c r="AQ65" s="31">
        <f t="shared" si="5"/>
        <v>0</v>
      </c>
    </row>
    <row r="66" spans="1:43" x14ac:dyDescent="0.25">
      <c r="A66" s="31" t="str">
        <f>IFERROR(INDEX('G-1 All Habitats'!$AG$3:$AG$15,MATCH(E66,'G-1 All Habitats'!$AF$3:$AF$15,0)),"")</f>
        <v/>
      </c>
      <c r="B66" s="31" t="str">
        <f>IFERROR(INDEX('G-8 Condition Look up'!$I$4:$I$130,MATCH(G66,'G-8 Condition Look up'!$A$4:$A$130,0)),"")</f>
        <v/>
      </c>
      <c r="D66" s="141">
        <v>56</v>
      </c>
      <c r="E66" s="203"/>
      <c r="F66" s="203"/>
      <c r="G66" s="250" t="str">
        <f>IFERROR(INDEX('G-1 All Habitats'!$B$3:$B$129,MATCH(F66,'G-1 All Habitats'!$A$3:$A$129,0)),"")</f>
        <v/>
      </c>
      <c r="H66" s="172"/>
      <c r="I66" s="498" t="str">
        <f>IF(G66="","",VLOOKUP(G66,'G-1 All Habitats'!$B$2:$M$129,10,FALSE))</f>
        <v/>
      </c>
      <c r="J66" s="499" t="str">
        <f>IFERROR(VLOOKUP(I66,'G-1 All Habitats'!$V$3:$W$7,2,FALSE),"")</f>
        <v/>
      </c>
      <c r="K66" s="145"/>
      <c r="L66" s="499" t="str">
        <f>IFERROR(INDEX('G-8 Condition Look up'!$A$3:$H$130,MATCH(G66,'G-8 Condition Look up'!$A$3:$A$130,0),MATCH(K66,'G-8 Condition Look up'!$A$3:$H$3,0)),"")</f>
        <v/>
      </c>
      <c r="M66" s="154"/>
      <c r="N66" s="520" t="str">
        <f>IF(M66="","",IF(VLOOKUP(M66,'G-3 Multipliers'!$L$3:$N$6,2,FALSE)=0,"Spatial Data Missing ⚠",VLOOKUP(M66,'G-3 Multipliers'!$L$3:$N$6,2,FALSE)))</f>
        <v/>
      </c>
      <c r="O66" s="524" t="str">
        <f>IF(M66="","",IF(VLOOKUP(M66,'G-3 Multipliers'!$L$3:$N$6,3,FALSE)=0,"Spatial Data Missing ⚠",VLOOKUP(M66,'G-3 Multipliers'!$L$3:$N$6,3,FALSE)))</f>
        <v/>
      </c>
      <c r="P66" s="506" t="str">
        <f>IFERROR(VLOOKUP(G66,'G-1 All Habitats'!$B$2:$M$129,12,FALSE),"")</f>
        <v/>
      </c>
      <c r="Q66" s="513" t="str">
        <f>IFERROR(IF(P66="","",IF(AND(P66='G-1 All Habitats'!$X$3,T66&gt;0),U66+V66,IF(AND(P66='G-1 All Habitats'!$X$3,S66&gt;0),U66+V66,IF(AND(P66='G-1 All Habitats'!$X$3,AC66&gt;0),"Any Loss Unacceptable",IF(AND(P66='G-1 All Habitats'!$X$3,W66&gt;0),"Any Loss Unacceptable",H66*J66*L66*O66))))),"Check Data ⚠")</f>
        <v/>
      </c>
      <c r="R66" s="50"/>
      <c r="S66" s="71"/>
      <c r="T66" s="72"/>
      <c r="U66" s="511" t="str">
        <f t="shared" si="2"/>
        <v/>
      </c>
      <c r="V66" s="511" t="str">
        <f t="shared" si="3"/>
        <v/>
      </c>
      <c r="W66" s="511"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545" t="str">
        <f>IFERROR(IF(H66="","",IF(H66-S66-T66=0&lt;0,"Error in Areas ▲",IF(S66+T66&gt;H66,"Error in Areas ▲",IF(AND(P66='G-1 All Habitats'!$X$3,Y66="Yes"),"Alternative Compensation",IF(W66=0,0,IF(P66='G-1 All Habitats'!$X$3,"Unacceptable Loss",Q66-U66-V66)))))),"Check Data ⚠")</f>
        <v/>
      </c>
      <c r="Y66" s="72"/>
      <c r="Z66" s="151"/>
      <c r="AA66" s="152"/>
      <c r="AC66" s="251" t="str">
        <f>IF(P66="","",IF(P66='G-1 All Habitats'!$X$3,H66-S66-T66,"None"))</f>
        <v/>
      </c>
      <c r="AD66" s="252" t="str">
        <f t="shared" si="4"/>
        <v/>
      </c>
      <c r="AF66" s="156" t="str">
        <f t="shared" si="0"/>
        <v/>
      </c>
      <c r="AG66" s="156" t="str">
        <f t="shared" si="1"/>
        <v/>
      </c>
      <c r="AH66" s="156" t="str">
        <f>IF(I66="","",IF(#REF!&gt;0,TRUE,FALSE))</f>
        <v/>
      </c>
      <c r="AI66" s="156">
        <v>56</v>
      </c>
      <c r="AJ66" s="156"/>
      <c r="AK66" s="156" t="str">
        <f t="array" ref="AK66">IFERROR(INDEX($AI$11:$AI$259, MATCH(0, IF(TRUE=$AF$11:$AF$259, COUNTIF($AK$10:$AK65, $AI$11:$AI$259), ""), 0)),"")</f>
        <v/>
      </c>
      <c r="AL66" s="156" t="str">
        <f t="array" ref="AL66">IFERROR(INDEX($AI$11:$AI$259, MATCH(0, IF(TRUE=$AG$11:$AG$259, COUNTIF($AL$10:$AL65, $AI$11:$AI$259), ""), 0)),"")</f>
        <v/>
      </c>
      <c r="AM66" s="156" t="str">
        <f t="array" ref="AM66">IFERROR(INDEX($AI$11:$AI$259, MATCH(0, IF(TRUE=$AH$11:$AH$259, COUNTIF($AM$10:$AM65, $AI$11:$AI$259), ""), 0)),"")</f>
        <v/>
      </c>
      <c r="AQ66" s="31">
        <f t="shared" si="5"/>
        <v>0</v>
      </c>
    </row>
    <row r="67" spans="1:43" x14ac:dyDescent="0.25">
      <c r="A67" s="31" t="str">
        <f>IFERROR(INDEX('G-1 All Habitats'!$AG$3:$AG$15,MATCH(E67,'G-1 All Habitats'!$AF$3:$AF$15,0)),"")</f>
        <v/>
      </c>
      <c r="B67" s="31" t="str">
        <f>IFERROR(INDEX('G-8 Condition Look up'!$I$4:$I$130,MATCH(G67,'G-8 Condition Look up'!$A$4:$A$130,0)),"")</f>
        <v/>
      </c>
      <c r="D67" s="141">
        <v>57</v>
      </c>
      <c r="E67" s="203"/>
      <c r="F67" s="203"/>
      <c r="G67" s="250" t="str">
        <f>IFERROR(INDEX('G-1 All Habitats'!$B$3:$B$129,MATCH(F67,'G-1 All Habitats'!$A$3:$A$129,0)),"")</f>
        <v/>
      </c>
      <c r="H67" s="172"/>
      <c r="I67" s="498" t="str">
        <f>IF(G67="","",VLOOKUP(G67,'G-1 All Habitats'!$B$2:$M$129,10,FALSE))</f>
        <v/>
      </c>
      <c r="J67" s="499" t="str">
        <f>IFERROR(VLOOKUP(I67,'G-1 All Habitats'!$V$3:$W$7,2,FALSE),"")</f>
        <v/>
      </c>
      <c r="K67" s="145"/>
      <c r="L67" s="499" t="str">
        <f>IFERROR(INDEX('G-8 Condition Look up'!$A$3:$H$130,MATCH(G67,'G-8 Condition Look up'!$A$3:$A$130,0),MATCH(K67,'G-8 Condition Look up'!$A$3:$H$3,0)),"")</f>
        <v/>
      </c>
      <c r="M67" s="154"/>
      <c r="N67" s="520" t="str">
        <f>IF(M67="","",IF(VLOOKUP(M67,'G-3 Multipliers'!$L$3:$N$6,2,FALSE)=0,"Spatial Data Missing ⚠",VLOOKUP(M67,'G-3 Multipliers'!$L$3:$N$6,2,FALSE)))</f>
        <v/>
      </c>
      <c r="O67" s="524" t="str">
        <f>IF(M67="","",IF(VLOOKUP(M67,'G-3 Multipliers'!$L$3:$N$6,3,FALSE)=0,"Spatial Data Missing ⚠",VLOOKUP(M67,'G-3 Multipliers'!$L$3:$N$6,3,FALSE)))</f>
        <v/>
      </c>
      <c r="P67" s="506" t="str">
        <f>IFERROR(VLOOKUP(G67,'G-1 All Habitats'!$B$2:$M$129,12,FALSE),"")</f>
        <v/>
      </c>
      <c r="Q67" s="513" t="str">
        <f>IFERROR(IF(P67="","",IF(AND(P67='G-1 All Habitats'!$X$3,T67&gt;0),U67+V67,IF(AND(P67='G-1 All Habitats'!$X$3,S67&gt;0),U67+V67,IF(AND(P67='G-1 All Habitats'!$X$3,AC67&gt;0),"Any Loss Unacceptable",IF(AND(P67='G-1 All Habitats'!$X$3,W67&gt;0),"Any Loss Unacceptable",H67*J67*L67*O67))))),"Check Data ⚠")</f>
        <v/>
      </c>
      <c r="R67" s="50"/>
      <c r="S67" s="71"/>
      <c r="T67" s="72"/>
      <c r="U67" s="511" t="str">
        <f t="shared" si="2"/>
        <v/>
      </c>
      <c r="V67" s="511" t="str">
        <f t="shared" si="3"/>
        <v/>
      </c>
      <c r="W67" s="511"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545" t="str">
        <f>IFERROR(IF(H67="","",IF(H67-S67-T67=0&lt;0,"Error in Areas ▲",IF(S67+T67&gt;H67,"Error in Areas ▲",IF(AND(P67='G-1 All Habitats'!$X$3,Y67="Yes"),"Alternative Compensation",IF(W67=0,0,IF(P67='G-1 All Habitats'!$X$3,"Unacceptable Loss",Q67-U67-V67)))))),"Check Data ⚠")</f>
        <v/>
      </c>
      <c r="Y67" s="72"/>
      <c r="Z67" s="151"/>
      <c r="AA67" s="152"/>
      <c r="AC67" s="251" t="str">
        <f>IF(P67="","",IF(P67='G-1 All Habitats'!$X$3,H67-S67-T67,"None"))</f>
        <v/>
      </c>
      <c r="AD67" s="252" t="str">
        <f t="shared" si="4"/>
        <v/>
      </c>
      <c r="AF67" s="156" t="str">
        <f t="shared" si="0"/>
        <v/>
      </c>
      <c r="AG67" s="156" t="str">
        <f t="shared" si="1"/>
        <v/>
      </c>
      <c r="AH67" s="156" t="str">
        <f>IF(I67="","",IF(#REF!&gt;0,TRUE,FALSE))</f>
        <v/>
      </c>
      <c r="AI67" s="156">
        <v>57</v>
      </c>
      <c r="AJ67" s="156"/>
      <c r="AK67" s="156" t="str">
        <f t="array" ref="AK67">IFERROR(INDEX($AI$11:$AI$259, MATCH(0, IF(TRUE=$AF$11:$AF$259, COUNTIF($AK$10:$AK66, $AI$11:$AI$259), ""), 0)),"")</f>
        <v/>
      </c>
      <c r="AL67" s="156" t="str">
        <f t="array" ref="AL67">IFERROR(INDEX($AI$11:$AI$259, MATCH(0, IF(TRUE=$AG$11:$AG$259, COUNTIF($AL$10:$AL66, $AI$11:$AI$259), ""), 0)),"")</f>
        <v/>
      </c>
      <c r="AM67" s="156" t="str">
        <f t="array" ref="AM67">IFERROR(INDEX($AI$11:$AI$259, MATCH(0, IF(TRUE=$AH$11:$AH$259, COUNTIF($AM$10:$AM66, $AI$11:$AI$259), ""), 0)),"")</f>
        <v/>
      </c>
      <c r="AQ67" s="31">
        <f t="shared" si="5"/>
        <v>0</v>
      </c>
    </row>
    <row r="68" spans="1:43" x14ac:dyDescent="0.25">
      <c r="A68" s="31" t="str">
        <f>IFERROR(INDEX('G-1 All Habitats'!$AG$3:$AG$15,MATCH(E68,'G-1 All Habitats'!$AF$3:$AF$15,0)),"")</f>
        <v/>
      </c>
      <c r="B68" s="31" t="str">
        <f>IFERROR(INDEX('G-8 Condition Look up'!$I$4:$I$130,MATCH(G68,'G-8 Condition Look up'!$A$4:$A$130,0)),"")</f>
        <v/>
      </c>
      <c r="D68" s="141">
        <v>58</v>
      </c>
      <c r="E68" s="203"/>
      <c r="F68" s="203"/>
      <c r="G68" s="250" t="str">
        <f>IFERROR(INDEX('G-1 All Habitats'!$B$3:$B$129,MATCH(F68,'G-1 All Habitats'!$A$3:$A$129,0)),"")</f>
        <v/>
      </c>
      <c r="H68" s="172"/>
      <c r="I68" s="498" t="str">
        <f>IF(G68="","",VLOOKUP(G68,'G-1 All Habitats'!$B$2:$M$129,10,FALSE))</f>
        <v/>
      </c>
      <c r="J68" s="499" t="str">
        <f>IFERROR(VLOOKUP(I68,'G-1 All Habitats'!$V$3:$W$7,2,FALSE),"")</f>
        <v/>
      </c>
      <c r="K68" s="145"/>
      <c r="L68" s="499" t="str">
        <f>IFERROR(INDEX('G-8 Condition Look up'!$A$3:$H$130,MATCH(G68,'G-8 Condition Look up'!$A$3:$A$130,0),MATCH(K68,'G-8 Condition Look up'!$A$3:$H$3,0)),"")</f>
        <v/>
      </c>
      <c r="M68" s="154"/>
      <c r="N68" s="520" t="str">
        <f>IF(M68="","",IF(VLOOKUP(M68,'G-3 Multipliers'!$L$3:$N$6,2,FALSE)=0,"Spatial Data Missing ⚠",VLOOKUP(M68,'G-3 Multipliers'!$L$3:$N$6,2,FALSE)))</f>
        <v/>
      </c>
      <c r="O68" s="524" t="str">
        <f>IF(M68="","",IF(VLOOKUP(M68,'G-3 Multipliers'!$L$3:$N$6,3,FALSE)=0,"Spatial Data Missing ⚠",VLOOKUP(M68,'G-3 Multipliers'!$L$3:$N$6,3,FALSE)))</f>
        <v/>
      </c>
      <c r="P68" s="506" t="str">
        <f>IFERROR(VLOOKUP(G68,'G-1 All Habitats'!$B$2:$M$129,12,FALSE),"")</f>
        <v/>
      </c>
      <c r="Q68" s="513" t="str">
        <f>IFERROR(IF(P68="","",IF(AND(P68='G-1 All Habitats'!$X$3,T68&gt;0),U68+V68,IF(AND(P68='G-1 All Habitats'!$X$3,S68&gt;0),U68+V68,IF(AND(P68='G-1 All Habitats'!$X$3,AC68&gt;0),"Any Loss Unacceptable",IF(AND(P68='G-1 All Habitats'!$X$3,W68&gt;0),"Any Loss Unacceptable",H68*J68*L68*O68))))),"Check Data ⚠")</f>
        <v/>
      </c>
      <c r="R68" s="50"/>
      <c r="S68" s="71"/>
      <c r="T68" s="72"/>
      <c r="U68" s="511" t="str">
        <f t="shared" si="2"/>
        <v/>
      </c>
      <c r="V68" s="511" t="str">
        <f t="shared" si="3"/>
        <v/>
      </c>
      <c r="W68" s="511"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545" t="str">
        <f>IFERROR(IF(H68="","",IF(H68-S68-T68=0&lt;0,"Error in Areas ▲",IF(S68+T68&gt;H68,"Error in Areas ▲",IF(AND(P68='G-1 All Habitats'!$X$3,Y68="Yes"),"Alternative Compensation",IF(W68=0,0,IF(P68='G-1 All Habitats'!$X$3,"Unacceptable Loss",Q68-U68-V68)))))),"Check Data ⚠")</f>
        <v/>
      </c>
      <c r="Y68" s="72"/>
      <c r="Z68" s="151"/>
      <c r="AA68" s="152"/>
      <c r="AC68" s="251" t="str">
        <f>IF(P68="","",IF(P68='G-1 All Habitats'!$X$3,H68-S68-T68,"None"))</f>
        <v/>
      </c>
      <c r="AD68" s="252" t="str">
        <f t="shared" si="4"/>
        <v/>
      </c>
      <c r="AF68" s="156" t="str">
        <f t="shared" si="0"/>
        <v/>
      </c>
      <c r="AG68" s="156" t="str">
        <f t="shared" si="1"/>
        <v/>
      </c>
      <c r="AH68" s="156" t="str">
        <f>IF(I68="","",IF(#REF!&gt;0,TRUE,FALSE))</f>
        <v/>
      </c>
      <c r="AI68" s="156">
        <v>58</v>
      </c>
      <c r="AJ68" s="156"/>
      <c r="AK68" s="156" t="str">
        <f t="array" ref="AK68">IFERROR(INDEX($AI$11:$AI$259, MATCH(0, IF(TRUE=$AF$11:$AF$259, COUNTIF($AK$10:$AK67, $AI$11:$AI$259), ""), 0)),"")</f>
        <v/>
      </c>
      <c r="AL68" s="156" t="str">
        <f t="array" ref="AL68">IFERROR(INDEX($AI$11:$AI$259, MATCH(0, IF(TRUE=$AG$11:$AG$259, COUNTIF($AL$10:$AL67, $AI$11:$AI$259), ""), 0)),"")</f>
        <v/>
      </c>
      <c r="AM68" s="156" t="str">
        <f t="array" ref="AM68">IFERROR(INDEX($AI$11:$AI$259, MATCH(0, IF(TRUE=$AH$11:$AH$259, COUNTIF($AM$10:$AM67, $AI$11:$AI$259), ""), 0)),"")</f>
        <v/>
      </c>
      <c r="AQ68" s="31">
        <f t="shared" si="5"/>
        <v>0</v>
      </c>
    </row>
    <row r="69" spans="1:43" x14ac:dyDescent="0.25">
      <c r="A69" s="31" t="str">
        <f>IFERROR(INDEX('G-1 All Habitats'!$AG$3:$AG$15,MATCH(E69,'G-1 All Habitats'!$AF$3:$AF$15,0)),"")</f>
        <v/>
      </c>
      <c r="B69" s="31" t="str">
        <f>IFERROR(INDEX('G-8 Condition Look up'!$I$4:$I$130,MATCH(G69,'G-8 Condition Look up'!$A$4:$A$130,0)),"")</f>
        <v/>
      </c>
      <c r="D69" s="141">
        <v>59</v>
      </c>
      <c r="E69" s="203"/>
      <c r="F69" s="203"/>
      <c r="G69" s="250" t="str">
        <f>IFERROR(INDEX('G-1 All Habitats'!$B$3:$B$129,MATCH(F69,'G-1 All Habitats'!$A$3:$A$129,0)),"")</f>
        <v/>
      </c>
      <c r="H69" s="172"/>
      <c r="I69" s="498" t="str">
        <f>IF(G69="","",VLOOKUP(G69,'G-1 All Habitats'!$B$2:$M$129,10,FALSE))</f>
        <v/>
      </c>
      <c r="J69" s="499" t="str">
        <f>IFERROR(VLOOKUP(I69,'G-1 All Habitats'!$V$3:$W$7,2,FALSE),"")</f>
        <v/>
      </c>
      <c r="K69" s="145"/>
      <c r="L69" s="499" t="str">
        <f>IFERROR(INDEX('G-8 Condition Look up'!$A$3:$H$130,MATCH(G69,'G-8 Condition Look up'!$A$3:$A$130,0),MATCH(K69,'G-8 Condition Look up'!$A$3:$H$3,0)),"")</f>
        <v/>
      </c>
      <c r="M69" s="154"/>
      <c r="N69" s="520" t="str">
        <f>IF(M69="","",IF(VLOOKUP(M69,'G-3 Multipliers'!$L$3:$N$6,2,FALSE)=0,"Spatial Data Missing ⚠",VLOOKUP(M69,'G-3 Multipliers'!$L$3:$N$6,2,FALSE)))</f>
        <v/>
      </c>
      <c r="O69" s="524" t="str">
        <f>IF(M69="","",IF(VLOOKUP(M69,'G-3 Multipliers'!$L$3:$N$6,3,FALSE)=0,"Spatial Data Missing ⚠",VLOOKUP(M69,'G-3 Multipliers'!$L$3:$N$6,3,FALSE)))</f>
        <v/>
      </c>
      <c r="P69" s="506" t="str">
        <f>IFERROR(VLOOKUP(G69,'G-1 All Habitats'!$B$2:$M$129,12,FALSE),"")</f>
        <v/>
      </c>
      <c r="Q69" s="513" t="str">
        <f>IFERROR(IF(P69="","",IF(AND(P69='G-1 All Habitats'!$X$3,T69&gt;0),U69+V69,IF(AND(P69='G-1 All Habitats'!$X$3,S69&gt;0),U69+V69,IF(AND(P69='G-1 All Habitats'!$X$3,AC69&gt;0),"Any Loss Unacceptable",IF(AND(P69='G-1 All Habitats'!$X$3,W69&gt;0),"Any Loss Unacceptable",H69*J69*L69*O69))))),"Check Data ⚠")</f>
        <v/>
      </c>
      <c r="R69" s="50"/>
      <c r="S69" s="71"/>
      <c r="T69" s="72"/>
      <c r="U69" s="511" t="str">
        <f t="shared" si="2"/>
        <v/>
      </c>
      <c r="V69" s="511" t="str">
        <f t="shared" si="3"/>
        <v/>
      </c>
      <c r="W69" s="511"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545" t="str">
        <f>IFERROR(IF(H69="","",IF(H69-S69-T69=0&lt;0,"Error in Areas ▲",IF(S69+T69&gt;H69,"Error in Areas ▲",IF(AND(P69='G-1 All Habitats'!$X$3,Y69="Yes"),"Alternative Compensation",IF(W69=0,0,IF(P69='G-1 All Habitats'!$X$3,"Unacceptable Loss",Q69-U69-V69)))))),"Check Data ⚠")</f>
        <v/>
      </c>
      <c r="Y69" s="72"/>
      <c r="Z69" s="151"/>
      <c r="AA69" s="152"/>
      <c r="AC69" s="251" t="str">
        <f>IF(P69="","",IF(P69='G-1 All Habitats'!$X$3,H69-S69-T69,"None"))</f>
        <v/>
      </c>
      <c r="AD69" s="252" t="str">
        <f t="shared" si="4"/>
        <v/>
      </c>
      <c r="AF69" s="156" t="str">
        <f t="shared" si="0"/>
        <v/>
      </c>
      <c r="AG69" s="156" t="str">
        <f t="shared" si="1"/>
        <v/>
      </c>
      <c r="AH69" s="156" t="str">
        <f>IF(I69="","",IF(#REF!&gt;0,TRUE,FALSE))</f>
        <v/>
      </c>
      <c r="AI69" s="156">
        <v>59</v>
      </c>
      <c r="AJ69" s="156"/>
      <c r="AK69" s="156" t="str">
        <f t="array" ref="AK69">IFERROR(INDEX($AI$11:$AI$259, MATCH(0, IF(TRUE=$AF$11:$AF$259, COUNTIF($AK$10:$AK68, $AI$11:$AI$259), ""), 0)),"")</f>
        <v/>
      </c>
      <c r="AL69" s="156" t="str">
        <f t="array" ref="AL69">IFERROR(INDEX($AI$11:$AI$259, MATCH(0, IF(TRUE=$AG$11:$AG$259, COUNTIF($AL$10:$AL68, $AI$11:$AI$259), ""), 0)),"")</f>
        <v/>
      </c>
      <c r="AM69" s="156" t="str">
        <f t="array" ref="AM69">IFERROR(INDEX($AI$11:$AI$259, MATCH(0, IF(TRUE=$AH$11:$AH$259, COUNTIF($AM$10:$AM68, $AI$11:$AI$259), ""), 0)),"")</f>
        <v/>
      </c>
      <c r="AQ69" s="31">
        <f t="shared" si="5"/>
        <v>0</v>
      </c>
    </row>
    <row r="70" spans="1:43" x14ac:dyDescent="0.25">
      <c r="A70" s="31" t="str">
        <f>IFERROR(INDEX('G-1 All Habitats'!$AG$3:$AG$15,MATCH(E70,'G-1 All Habitats'!$AF$3:$AF$15,0)),"")</f>
        <v/>
      </c>
      <c r="B70" s="31" t="str">
        <f>IFERROR(INDEX('G-8 Condition Look up'!$I$4:$I$130,MATCH(G70,'G-8 Condition Look up'!$A$4:$A$130,0)),"")</f>
        <v/>
      </c>
      <c r="D70" s="141">
        <v>60</v>
      </c>
      <c r="E70" s="203"/>
      <c r="F70" s="203"/>
      <c r="G70" s="250" t="str">
        <f>IFERROR(INDEX('G-1 All Habitats'!$B$3:$B$129,MATCH(F70,'G-1 All Habitats'!$A$3:$A$129,0)),"")</f>
        <v/>
      </c>
      <c r="H70" s="172"/>
      <c r="I70" s="498" t="str">
        <f>IF(G70="","",VLOOKUP(G70,'G-1 All Habitats'!$B$2:$M$129,10,FALSE))</f>
        <v/>
      </c>
      <c r="J70" s="499" t="str">
        <f>IFERROR(VLOOKUP(I70,'G-1 All Habitats'!$V$3:$W$7,2,FALSE),"")</f>
        <v/>
      </c>
      <c r="K70" s="145"/>
      <c r="L70" s="499" t="str">
        <f>IFERROR(INDEX('G-8 Condition Look up'!$A$3:$H$130,MATCH(G70,'G-8 Condition Look up'!$A$3:$A$130,0),MATCH(K70,'G-8 Condition Look up'!$A$3:$H$3,0)),"")</f>
        <v/>
      </c>
      <c r="M70" s="154"/>
      <c r="N70" s="520" t="str">
        <f>IF(M70="","",IF(VLOOKUP(M70,'G-3 Multipliers'!$L$3:$N$6,2,FALSE)=0,"Spatial Data Missing ⚠",VLOOKUP(M70,'G-3 Multipliers'!$L$3:$N$6,2,FALSE)))</f>
        <v/>
      </c>
      <c r="O70" s="524" t="str">
        <f>IF(M70="","",IF(VLOOKUP(M70,'G-3 Multipliers'!$L$3:$N$6,3,FALSE)=0,"Spatial Data Missing ⚠",VLOOKUP(M70,'G-3 Multipliers'!$L$3:$N$6,3,FALSE)))</f>
        <v/>
      </c>
      <c r="P70" s="506" t="str">
        <f>IFERROR(VLOOKUP(G70,'G-1 All Habitats'!$B$2:$M$129,12,FALSE),"")</f>
        <v/>
      </c>
      <c r="Q70" s="513" t="str">
        <f>IFERROR(IF(P70="","",IF(AND(P70='G-1 All Habitats'!$X$3,T70&gt;0),U70+V70,IF(AND(P70='G-1 All Habitats'!$X$3,S70&gt;0),U70+V70,IF(AND(P70='G-1 All Habitats'!$X$3,AC70&gt;0),"Any Loss Unacceptable",IF(AND(P70='G-1 All Habitats'!$X$3,W70&gt;0),"Any Loss Unacceptable",H70*J70*L70*O70))))),"Check Data ⚠")</f>
        <v/>
      </c>
      <c r="R70" s="50"/>
      <c r="S70" s="71"/>
      <c r="T70" s="72"/>
      <c r="U70" s="511" t="str">
        <f t="shared" si="2"/>
        <v/>
      </c>
      <c r="V70" s="511" t="str">
        <f t="shared" si="3"/>
        <v/>
      </c>
      <c r="W70" s="511"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545" t="str">
        <f>IFERROR(IF(H70="","",IF(H70-S70-T70=0&lt;0,"Error in Areas ▲",IF(S70+T70&gt;H70,"Error in Areas ▲",IF(AND(P70='G-1 All Habitats'!$X$3,Y70="Yes"),"Alternative Compensation",IF(W70=0,0,IF(P70='G-1 All Habitats'!$X$3,"Unacceptable Loss",Q70-U70-V70)))))),"Check Data ⚠")</f>
        <v/>
      </c>
      <c r="Y70" s="72"/>
      <c r="Z70" s="151"/>
      <c r="AA70" s="152"/>
      <c r="AC70" s="251" t="str">
        <f>IF(P70="","",IF(P70='G-1 All Habitats'!$X$3,H70-S70-T70,"None"))</f>
        <v/>
      </c>
      <c r="AD70" s="252" t="str">
        <f t="shared" si="4"/>
        <v/>
      </c>
      <c r="AF70" s="156" t="str">
        <f t="shared" si="0"/>
        <v/>
      </c>
      <c r="AG70" s="156" t="str">
        <f t="shared" si="1"/>
        <v/>
      </c>
      <c r="AH70" s="156" t="str">
        <f>IF(I70="","",IF(#REF!&gt;0,TRUE,FALSE))</f>
        <v/>
      </c>
      <c r="AI70" s="156">
        <v>60</v>
      </c>
      <c r="AJ70" s="156"/>
      <c r="AK70" s="156" t="str">
        <f t="array" ref="AK70">IFERROR(INDEX($AI$11:$AI$259, MATCH(0, IF(TRUE=$AF$11:$AF$259, COUNTIF($AK$10:$AK69, $AI$11:$AI$259), ""), 0)),"")</f>
        <v/>
      </c>
      <c r="AL70" s="156" t="str">
        <f t="array" ref="AL70">IFERROR(INDEX($AI$11:$AI$259, MATCH(0, IF(TRUE=$AG$11:$AG$259, COUNTIF($AL$10:$AL69, $AI$11:$AI$259), ""), 0)),"")</f>
        <v/>
      </c>
      <c r="AM70" s="156" t="str">
        <f t="array" ref="AM70">IFERROR(INDEX($AI$11:$AI$259, MATCH(0, IF(TRUE=$AH$11:$AH$259, COUNTIF($AM$10:$AM69, $AI$11:$AI$259), ""), 0)),"")</f>
        <v/>
      </c>
      <c r="AQ70" s="31">
        <f t="shared" si="5"/>
        <v>0</v>
      </c>
    </row>
    <row r="71" spans="1:43" x14ac:dyDescent="0.25">
      <c r="A71" s="31" t="str">
        <f>IFERROR(INDEX('G-1 All Habitats'!$AG$3:$AG$15,MATCH(E71,'G-1 All Habitats'!$AF$3:$AF$15,0)),"")</f>
        <v/>
      </c>
      <c r="B71" s="31" t="str">
        <f>IFERROR(INDEX('G-8 Condition Look up'!$I$4:$I$130,MATCH(G71,'G-8 Condition Look up'!$A$4:$A$130,0)),"")</f>
        <v/>
      </c>
      <c r="D71" s="141">
        <v>61</v>
      </c>
      <c r="E71" s="203"/>
      <c r="F71" s="203"/>
      <c r="G71" s="250" t="str">
        <f>IFERROR(INDEX('G-1 All Habitats'!$B$3:$B$129,MATCH(F71,'G-1 All Habitats'!$A$3:$A$129,0)),"")</f>
        <v/>
      </c>
      <c r="H71" s="172"/>
      <c r="I71" s="498" t="str">
        <f>IF(G71="","",VLOOKUP(G71,'G-1 All Habitats'!$B$2:$M$129,10,FALSE))</f>
        <v/>
      </c>
      <c r="J71" s="499" t="str">
        <f>IFERROR(VLOOKUP(I71,'G-1 All Habitats'!$V$3:$W$7,2,FALSE),"")</f>
        <v/>
      </c>
      <c r="K71" s="145"/>
      <c r="L71" s="499" t="str">
        <f>IFERROR(INDEX('G-8 Condition Look up'!$A$3:$H$130,MATCH(G71,'G-8 Condition Look up'!$A$3:$A$130,0),MATCH(K71,'G-8 Condition Look up'!$A$3:$H$3,0)),"")</f>
        <v/>
      </c>
      <c r="M71" s="154"/>
      <c r="N71" s="520" t="str">
        <f>IF(M71="","",IF(VLOOKUP(M71,'G-3 Multipliers'!$L$3:$N$6,2,FALSE)=0,"Spatial Data Missing ⚠",VLOOKUP(M71,'G-3 Multipliers'!$L$3:$N$6,2,FALSE)))</f>
        <v/>
      </c>
      <c r="O71" s="524" t="str">
        <f>IF(M71="","",IF(VLOOKUP(M71,'G-3 Multipliers'!$L$3:$N$6,3,FALSE)=0,"Spatial Data Missing ⚠",VLOOKUP(M71,'G-3 Multipliers'!$L$3:$N$6,3,FALSE)))</f>
        <v/>
      </c>
      <c r="P71" s="506" t="str">
        <f>IFERROR(VLOOKUP(G71,'G-1 All Habitats'!$B$2:$M$129,12,FALSE),"")</f>
        <v/>
      </c>
      <c r="Q71" s="513" t="str">
        <f>IFERROR(IF(P71="","",IF(AND(P71='G-1 All Habitats'!$X$3,T71&gt;0),U71+V71,IF(AND(P71='G-1 All Habitats'!$X$3,S71&gt;0),U71+V71,IF(AND(P71='G-1 All Habitats'!$X$3,AC71&gt;0),"Any Loss Unacceptable",IF(AND(P71='G-1 All Habitats'!$X$3,W71&gt;0),"Any Loss Unacceptable",H71*J71*L71*O71))))),"Check Data ⚠")</f>
        <v/>
      </c>
      <c r="R71" s="50"/>
      <c r="S71" s="71"/>
      <c r="T71" s="72"/>
      <c r="U71" s="511" t="str">
        <f t="shared" si="2"/>
        <v/>
      </c>
      <c r="V71" s="511" t="str">
        <f t="shared" si="3"/>
        <v/>
      </c>
      <c r="W71" s="511"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545" t="str">
        <f>IFERROR(IF(H71="","",IF(H71-S71-T71=0&lt;0,"Error in Areas ▲",IF(S71+T71&gt;H71,"Error in Areas ▲",IF(AND(P71='G-1 All Habitats'!$X$3,Y71="Yes"),"Alternative Compensation",IF(W71=0,0,IF(P71='G-1 All Habitats'!$X$3,"Unacceptable Loss",Q71-U71-V71)))))),"Check Data ⚠")</f>
        <v/>
      </c>
      <c r="Y71" s="72"/>
      <c r="Z71" s="151"/>
      <c r="AA71" s="152"/>
      <c r="AC71" s="251" t="str">
        <f>IF(P71="","",IF(P71='G-1 All Habitats'!$X$3,H71-S71-T71,"None"))</f>
        <v/>
      </c>
      <c r="AD71" s="252" t="str">
        <f t="shared" si="4"/>
        <v/>
      </c>
      <c r="AF71" s="156" t="str">
        <f t="shared" si="0"/>
        <v/>
      </c>
      <c r="AG71" s="156" t="str">
        <f t="shared" si="1"/>
        <v/>
      </c>
      <c r="AH71" s="156" t="str">
        <f>IF(I71="","",IF(#REF!&gt;0,TRUE,FALSE))</f>
        <v/>
      </c>
      <c r="AI71" s="156">
        <v>61</v>
      </c>
      <c r="AJ71" s="156"/>
      <c r="AK71" s="156" t="str">
        <f t="array" ref="AK71">IFERROR(INDEX($AI$11:$AI$259, MATCH(0, IF(TRUE=$AF$11:$AF$259, COUNTIF($AK$10:$AK70, $AI$11:$AI$259), ""), 0)),"")</f>
        <v/>
      </c>
      <c r="AL71" s="156" t="str">
        <f t="array" ref="AL71">IFERROR(INDEX($AI$11:$AI$259, MATCH(0, IF(TRUE=$AG$11:$AG$259, COUNTIF($AL$10:$AL70, $AI$11:$AI$259), ""), 0)),"")</f>
        <v/>
      </c>
      <c r="AM71" s="156" t="str">
        <f t="array" ref="AM71">IFERROR(INDEX($AI$11:$AI$259, MATCH(0, IF(TRUE=$AH$11:$AH$259, COUNTIF($AM$10:$AM70, $AI$11:$AI$259), ""), 0)),"")</f>
        <v/>
      </c>
      <c r="AQ71" s="31">
        <f t="shared" si="5"/>
        <v>0</v>
      </c>
    </row>
    <row r="72" spans="1:43" x14ac:dyDescent="0.25">
      <c r="A72" s="31" t="str">
        <f>IFERROR(INDEX('G-1 All Habitats'!$AG$3:$AG$15,MATCH(E72,'G-1 All Habitats'!$AF$3:$AF$15,0)),"")</f>
        <v/>
      </c>
      <c r="B72" s="31" t="str">
        <f>IFERROR(INDEX('G-8 Condition Look up'!$I$4:$I$130,MATCH(G72,'G-8 Condition Look up'!$A$4:$A$130,0)),"")</f>
        <v/>
      </c>
      <c r="D72" s="141">
        <v>62</v>
      </c>
      <c r="E72" s="203"/>
      <c r="F72" s="203"/>
      <c r="G72" s="250" t="str">
        <f>IFERROR(INDEX('G-1 All Habitats'!$B$3:$B$129,MATCH(F72,'G-1 All Habitats'!$A$3:$A$129,0)),"")</f>
        <v/>
      </c>
      <c r="H72" s="172"/>
      <c r="I72" s="498" t="str">
        <f>IF(G72="","",VLOOKUP(G72,'G-1 All Habitats'!$B$2:$M$129,10,FALSE))</f>
        <v/>
      </c>
      <c r="J72" s="499" t="str">
        <f>IFERROR(VLOOKUP(I72,'G-1 All Habitats'!$V$3:$W$7,2,FALSE),"")</f>
        <v/>
      </c>
      <c r="K72" s="145"/>
      <c r="L72" s="499" t="str">
        <f>IFERROR(INDEX('G-8 Condition Look up'!$A$3:$H$130,MATCH(G72,'G-8 Condition Look up'!$A$3:$A$130,0),MATCH(K72,'G-8 Condition Look up'!$A$3:$H$3,0)),"")</f>
        <v/>
      </c>
      <c r="M72" s="154"/>
      <c r="N72" s="520" t="str">
        <f>IF(M72="","",IF(VLOOKUP(M72,'G-3 Multipliers'!$L$3:$N$6,2,FALSE)=0,"Spatial Data Missing ⚠",VLOOKUP(M72,'G-3 Multipliers'!$L$3:$N$6,2,FALSE)))</f>
        <v/>
      </c>
      <c r="O72" s="524" t="str">
        <f>IF(M72="","",IF(VLOOKUP(M72,'G-3 Multipliers'!$L$3:$N$6,3,FALSE)=0,"Spatial Data Missing ⚠",VLOOKUP(M72,'G-3 Multipliers'!$L$3:$N$6,3,FALSE)))</f>
        <v/>
      </c>
      <c r="P72" s="506" t="str">
        <f>IFERROR(VLOOKUP(G72,'G-1 All Habitats'!$B$2:$M$129,12,FALSE),"")</f>
        <v/>
      </c>
      <c r="Q72" s="513" t="str">
        <f>IFERROR(IF(P72="","",IF(AND(P72='G-1 All Habitats'!$X$3,T72&gt;0),U72+V72,IF(AND(P72='G-1 All Habitats'!$X$3,S72&gt;0),U72+V72,IF(AND(P72='G-1 All Habitats'!$X$3,AC72&gt;0),"Any Loss Unacceptable",IF(AND(P72='G-1 All Habitats'!$X$3,W72&gt;0),"Any Loss Unacceptable",H72*J72*L72*O72))))),"Check Data ⚠")</f>
        <v/>
      </c>
      <c r="R72" s="50"/>
      <c r="S72" s="71"/>
      <c r="T72" s="72"/>
      <c r="U72" s="511" t="str">
        <f t="shared" si="2"/>
        <v/>
      </c>
      <c r="V72" s="511" t="str">
        <f t="shared" si="3"/>
        <v/>
      </c>
      <c r="W72" s="511"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545" t="str">
        <f>IFERROR(IF(H72="","",IF(H72-S72-T72=0&lt;0,"Error in Areas ▲",IF(S72+T72&gt;H72,"Error in Areas ▲",IF(AND(P72='G-1 All Habitats'!$X$3,Y72="Yes"),"Alternative Compensation",IF(W72=0,0,IF(P72='G-1 All Habitats'!$X$3,"Unacceptable Loss",Q72-U72-V72)))))),"Check Data ⚠")</f>
        <v/>
      </c>
      <c r="Y72" s="72"/>
      <c r="Z72" s="151"/>
      <c r="AA72" s="152"/>
      <c r="AC72" s="251" t="str">
        <f>IF(P72="","",IF(P72='G-1 All Habitats'!$X$3,H72-S72-T72,"None"))</f>
        <v/>
      </c>
      <c r="AD72" s="252" t="str">
        <f t="shared" si="4"/>
        <v/>
      </c>
      <c r="AF72" s="156" t="str">
        <f t="shared" si="0"/>
        <v/>
      </c>
      <c r="AG72" s="156" t="str">
        <f t="shared" si="1"/>
        <v/>
      </c>
      <c r="AH72" s="156" t="str">
        <f>IF(I72="","",IF(#REF!&gt;0,TRUE,FALSE))</f>
        <v/>
      </c>
      <c r="AI72" s="156">
        <v>62</v>
      </c>
      <c r="AJ72" s="156"/>
      <c r="AK72" s="156" t="str">
        <f t="array" ref="AK72">IFERROR(INDEX($AI$11:$AI$259, MATCH(0, IF(TRUE=$AF$11:$AF$259, COUNTIF($AK$10:$AK71, $AI$11:$AI$259), ""), 0)),"")</f>
        <v/>
      </c>
      <c r="AL72" s="156" t="str">
        <f t="array" ref="AL72">IFERROR(INDEX($AI$11:$AI$259, MATCH(0, IF(TRUE=$AG$11:$AG$259, COUNTIF($AL$10:$AL71, $AI$11:$AI$259), ""), 0)),"")</f>
        <v/>
      </c>
      <c r="AM72" s="156" t="str">
        <f t="array" ref="AM72">IFERROR(INDEX($AI$11:$AI$259, MATCH(0, IF(TRUE=$AH$11:$AH$259, COUNTIF($AM$10:$AM71, $AI$11:$AI$259), ""), 0)),"")</f>
        <v/>
      </c>
      <c r="AQ72" s="31">
        <f t="shared" si="5"/>
        <v>0</v>
      </c>
    </row>
    <row r="73" spans="1:43" x14ac:dyDescent="0.25">
      <c r="A73" s="31" t="str">
        <f>IFERROR(INDEX('G-1 All Habitats'!$AG$3:$AG$15,MATCH(E73,'G-1 All Habitats'!$AF$3:$AF$15,0)),"")</f>
        <v/>
      </c>
      <c r="B73" s="31" t="str">
        <f>IFERROR(INDEX('G-8 Condition Look up'!$I$4:$I$130,MATCH(G73,'G-8 Condition Look up'!$A$4:$A$130,0)),"")</f>
        <v/>
      </c>
      <c r="D73" s="141">
        <v>63</v>
      </c>
      <c r="E73" s="203"/>
      <c r="F73" s="203"/>
      <c r="G73" s="250" t="str">
        <f>IFERROR(INDEX('G-1 All Habitats'!$B$3:$B$129,MATCH(F73,'G-1 All Habitats'!$A$3:$A$129,0)),"")</f>
        <v/>
      </c>
      <c r="H73" s="172"/>
      <c r="I73" s="498" t="str">
        <f>IF(G73="","",VLOOKUP(G73,'G-1 All Habitats'!$B$2:$M$129,10,FALSE))</f>
        <v/>
      </c>
      <c r="J73" s="499" t="str">
        <f>IFERROR(VLOOKUP(I73,'G-1 All Habitats'!$V$3:$W$7,2,FALSE),"")</f>
        <v/>
      </c>
      <c r="K73" s="145"/>
      <c r="L73" s="499" t="str">
        <f>IFERROR(INDEX('G-8 Condition Look up'!$A$3:$H$130,MATCH(G73,'G-8 Condition Look up'!$A$3:$A$130,0),MATCH(K73,'G-8 Condition Look up'!$A$3:$H$3,0)),"")</f>
        <v/>
      </c>
      <c r="M73" s="154"/>
      <c r="N73" s="520" t="str">
        <f>IF(M73="","",IF(VLOOKUP(M73,'G-3 Multipliers'!$L$3:$N$6,2,FALSE)=0,"Spatial Data Missing ⚠",VLOOKUP(M73,'G-3 Multipliers'!$L$3:$N$6,2,FALSE)))</f>
        <v/>
      </c>
      <c r="O73" s="524" t="str">
        <f>IF(M73="","",IF(VLOOKUP(M73,'G-3 Multipliers'!$L$3:$N$6,3,FALSE)=0,"Spatial Data Missing ⚠",VLOOKUP(M73,'G-3 Multipliers'!$L$3:$N$6,3,FALSE)))</f>
        <v/>
      </c>
      <c r="P73" s="506" t="str">
        <f>IFERROR(VLOOKUP(G73,'G-1 All Habitats'!$B$2:$M$129,12,FALSE),"")</f>
        <v/>
      </c>
      <c r="Q73" s="513" t="str">
        <f>IFERROR(IF(P73="","",IF(AND(P73='G-1 All Habitats'!$X$3,T73&gt;0),U73+V73,IF(AND(P73='G-1 All Habitats'!$X$3,S73&gt;0),U73+V73,IF(AND(P73='G-1 All Habitats'!$X$3,AC73&gt;0),"Any Loss Unacceptable",IF(AND(P73='G-1 All Habitats'!$X$3,W73&gt;0),"Any Loss Unacceptable",H73*J73*L73*O73))))),"Check Data ⚠")</f>
        <v/>
      </c>
      <c r="R73" s="50"/>
      <c r="S73" s="71"/>
      <c r="T73" s="72"/>
      <c r="U73" s="511" t="str">
        <f t="shared" si="2"/>
        <v/>
      </c>
      <c r="V73" s="511" t="str">
        <f t="shared" si="3"/>
        <v/>
      </c>
      <c r="W73" s="511"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545" t="str">
        <f>IFERROR(IF(H73="","",IF(H73-S73-T73=0&lt;0,"Error in Areas ▲",IF(S73+T73&gt;H73,"Error in Areas ▲",IF(AND(P73='G-1 All Habitats'!$X$3,Y73="Yes"),"Alternative Compensation",IF(W73=0,0,IF(P73='G-1 All Habitats'!$X$3,"Unacceptable Loss",Q73-U73-V73)))))),"Check Data ⚠")</f>
        <v/>
      </c>
      <c r="Y73" s="72"/>
      <c r="Z73" s="151"/>
      <c r="AA73" s="152"/>
      <c r="AC73" s="251" t="str">
        <f>IF(P73="","",IF(P73='G-1 All Habitats'!$X$3,H73-S73-T73,"None"))</f>
        <v/>
      </c>
      <c r="AD73" s="252" t="str">
        <f t="shared" si="4"/>
        <v/>
      </c>
      <c r="AF73" s="156" t="str">
        <f t="shared" si="0"/>
        <v/>
      </c>
      <c r="AG73" s="156" t="str">
        <f t="shared" si="1"/>
        <v/>
      </c>
      <c r="AH73" s="156" t="str">
        <f>IF(I73="","",IF(#REF!&gt;0,TRUE,FALSE))</f>
        <v/>
      </c>
      <c r="AI73" s="156">
        <v>63</v>
      </c>
      <c r="AJ73" s="156"/>
      <c r="AK73" s="156" t="str">
        <f t="array" ref="AK73">IFERROR(INDEX($AI$11:$AI$259, MATCH(0, IF(TRUE=$AF$11:$AF$259, COUNTIF($AK$10:$AK72, $AI$11:$AI$259), ""), 0)),"")</f>
        <v/>
      </c>
      <c r="AL73" s="156" t="str">
        <f t="array" ref="AL73">IFERROR(INDEX($AI$11:$AI$259, MATCH(0, IF(TRUE=$AG$11:$AG$259, COUNTIF($AL$10:$AL72, $AI$11:$AI$259), ""), 0)),"")</f>
        <v/>
      </c>
      <c r="AM73" s="156" t="str">
        <f t="array" ref="AM73">IFERROR(INDEX($AI$11:$AI$259, MATCH(0, IF(TRUE=$AH$11:$AH$259, COUNTIF($AM$10:$AM72, $AI$11:$AI$259), ""), 0)),"")</f>
        <v/>
      </c>
      <c r="AQ73" s="31">
        <f t="shared" si="5"/>
        <v>0</v>
      </c>
    </row>
    <row r="74" spans="1:43" x14ac:dyDescent="0.25">
      <c r="A74" s="31" t="str">
        <f>IFERROR(INDEX('G-1 All Habitats'!$AG$3:$AG$15,MATCH(E74,'G-1 All Habitats'!$AF$3:$AF$15,0)),"")</f>
        <v/>
      </c>
      <c r="B74" s="31" t="str">
        <f>IFERROR(INDEX('G-8 Condition Look up'!$I$4:$I$130,MATCH(G74,'G-8 Condition Look up'!$A$4:$A$130,0)),"")</f>
        <v/>
      </c>
      <c r="D74" s="141">
        <v>64</v>
      </c>
      <c r="E74" s="203"/>
      <c r="F74" s="203"/>
      <c r="G74" s="250" t="str">
        <f>IFERROR(INDEX('G-1 All Habitats'!$B$3:$B$129,MATCH(F74,'G-1 All Habitats'!$A$3:$A$129,0)),"")</f>
        <v/>
      </c>
      <c r="H74" s="172"/>
      <c r="I74" s="498" t="str">
        <f>IF(G74="","",VLOOKUP(G74,'G-1 All Habitats'!$B$2:$M$129,10,FALSE))</f>
        <v/>
      </c>
      <c r="J74" s="499" t="str">
        <f>IFERROR(VLOOKUP(I74,'G-1 All Habitats'!$V$3:$W$7,2,FALSE),"")</f>
        <v/>
      </c>
      <c r="K74" s="145"/>
      <c r="L74" s="499" t="str">
        <f>IFERROR(INDEX('G-8 Condition Look up'!$A$3:$H$130,MATCH(G74,'G-8 Condition Look up'!$A$3:$A$130,0),MATCH(K74,'G-8 Condition Look up'!$A$3:$H$3,0)),"")</f>
        <v/>
      </c>
      <c r="M74" s="154"/>
      <c r="N74" s="520" t="str">
        <f>IF(M74="","",IF(VLOOKUP(M74,'G-3 Multipliers'!$L$3:$N$6,2,FALSE)=0,"Spatial Data Missing ⚠",VLOOKUP(M74,'G-3 Multipliers'!$L$3:$N$6,2,FALSE)))</f>
        <v/>
      </c>
      <c r="O74" s="524" t="str">
        <f>IF(M74="","",IF(VLOOKUP(M74,'G-3 Multipliers'!$L$3:$N$6,3,FALSE)=0,"Spatial Data Missing ⚠",VLOOKUP(M74,'G-3 Multipliers'!$L$3:$N$6,3,FALSE)))</f>
        <v/>
      </c>
      <c r="P74" s="506" t="str">
        <f>IFERROR(VLOOKUP(G74,'G-1 All Habitats'!$B$2:$M$129,12,FALSE),"")</f>
        <v/>
      </c>
      <c r="Q74" s="513" t="str">
        <f>IFERROR(IF(P74="","",IF(AND(P74='G-1 All Habitats'!$X$3,T74&gt;0),U74+V74,IF(AND(P74='G-1 All Habitats'!$X$3,S74&gt;0),U74+V74,IF(AND(P74='G-1 All Habitats'!$X$3,AC74&gt;0),"Any Loss Unacceptable",IF(AND(P74='G-1 All Habitats'!$X$3,W74&gt;0),"Any Loss Unacceptable",H74*J74*L74*O74))))),"Check Data ⚠")</f>
        <v/>
      </c>
      <c r="R74" s="50"/>
      <c r="S74" s="71"/>
      <c r="T74" s="72"/>
      <c r="U74" s="511" t="str">
        <f t="shared" si="2"/>
        <v/>
      </c>
      <c r="V74" s="511" t="str">
        <f t="shared" si="3"/>
        <v/>
      </c>
      <c r="W74" s="511"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545" t="str">
        <f>IFERROR(IF(H74="","",IF(H74-S74-T74=0&lt;0,"Error in Areas ▲",IF(S74+T74&gt;H74,"Error in Areas ▲",IF(AND(P74='G-1 All Habitats'!$X$3,Y74="Yes"),"Alternative Compensation",IF(W74=0,0,IF(P74='G-1 All Habitats'!$X$3,"Unacceptable Loss",Q74-U74-V74)))))),"Check Data ⚠")</f>
        <v/>
      </c>
      <c r="Y74" s="72"/>
      <c r="Z74" s="151"/>
      <c r="AA74" s="152"/>
      <c r="AC74" s="251" t="str">
        <f>IF(P74="","",IF(P74='G-1 All Habitats'!$X$3,H74-S74-T74,"None"))</f>
        <v/>
      </c>
      <c r="AD74" s="252" t="str">
        <f t="shared" si="4"/>
        <v/>
      </c>
      <c r="AF74" s="156" t="str">
        <f t="shared" si="0"/>
        <v/>
      </c>
      <c r="AG74" s="156" t="str">
        <f t="shared" si="1"/>
        <v/>
      </c>
      <c r="AH74" s="156" t="str">
        <f>IF(I74="","",IF(#REF!&gt;0,TRUE,FALSE))</f>
        <v/>
      </c>
      <c r="AI74" s="156">
        <v>64</v>
      </c>
      <c r="AJ74" s="156"/>
      <c r="AK74" s="156" t="str">
        <f t="array" ref="AK74">IFERROR(INDEX($AI$11:$AI$259, MATCH(0, IF(TRUE=$AF$11:$AF$259, COUNTIF($AK$10:$AK73, $AI$11:$AI$259), ""), 0)),"")</f>
        <v/>
      </c>
      <c r="AL74" s="156" t="str">
        <f t="array" ref="AL74">IFERROR(INDEX($AI$11:$AI$259, MATCH(0, IF(TRUE=$AG$11:$AG$259, COUNTIF($AL$10:$AL73, $AI$11:$AI$259), ""), 0)),"")</f>
        <v/>
      </c>
      <c r="AM74" s="156" t="str">
        <f t="array" ref="AM74">IFERROR(INDEX($AI$11:$AI$259, MATCH(0, IF(TRUE=$AH$11:$AH$259, COUNTIF($AM$10:$AM73, $AI$11:$AI$259), ""), 0)),"")</f>
        <v/>
      </c>
      <c r="AQ74" s="31">
        <f t="shared" si="5"/>
        <v>0</v>
      </c>
    </row>
    <row r="75" spans="1:43" x14ac:dyDescent="0.25">
      <c r="A75" s="31" t="str">
        <f>IFERROR(INDEX('G-1 All Habitats'!$AG$3:$AG$15,MATCH(E75,'G-1 All Habitats'!$AF$3:$AF$15,0)),"")</f>
        <v/>
      </c>
      <c r="B75" s="31" t="str">
        <f>IFERROR(INDEX('G-8 Condition Look up'!$I$4:$I$130,MATCH(G75,'G-8 Condition Look up'!$A$4:$A$130,0)),"")</f>
        <v/>
      </c>
      <c r="D75" s="141">
        <v>65</v>
      </c>
      <c r="E75" s="203"/>
      <c r="F75" s="203"/>
      <c r="G75" s="250" t="str">
        <f>IFERROR(INDEX('G-1 All Habitats'!$B$3:$B$129,MATCH(F75,'G-1 All Habitats'!$A$3:$A$129,0)),"")</f>
        <v/>
      </c>
      <c r="H75" s="172"/>
      <c r="I75" s="498" t="str">
        <f>IF(G75="","",VLOOKUP(G75,'G-1 All Habitats'!$B$2:$M$129,10,FALSE))</f>
        <v/>
      </c>
      <c r="J75" s="499" t="str">
        <f>IFERROR(VLOOKUP(I75,'G-1 All Habitats'!$V$3:$W$7,2,FALSE),"")</f>
        <v/>
      </c>
      <c r="K75" s="145"/>
      <c r="L75" s="499" t="str">
        <f>IFERROR(INDEX('G-8 Condition Look up'!$A$3:$H$130,MATCH(G75,'G-8 Condition Look up'!$A$3:$A$130,0),MATCH(K75,'G-8 Condition Look up'!$A$3:$H$3,0)),"")</f>
        <v/>
      </c>
      <c r="M75" s="154"/>
      <c r="N75" s="520" t="str">
        <f>IF(M75="","",IF(VLOOKUP(M75,'G-3 Multipliers'!$L$3:$N$6,2,FALSE)=0,"Spatial Data Missing ⚠",VLOOKUP(M75,'G-3 Multipliers'!$L$3:$N$6,2,FALSE)))</f>
        <v/>
      </c>
      <c r="O75" s="524" t="str">
        <f>IF(M75="","",IF(VLOOKUP(M75,'G-3 Multipliers'!$L$3:$N$6,3,FALSE)=0,"Spatial Data Missing ⚠",VLOOKUP(M75,'G-3 Multipliers'!$L$3:$N$6,3,FALSE)))</f>
        <v/>
      </c>
      <c r="P75" s="506" t="str">
        <f>IFERROR(VLOOKUP(G75,'G-1 All Habitats'!$B$2:$M$129,12,FALSE),"")</f>
        <v/>
      </c>
      <c r="Q75" s="513" t="str">
        <f>IFERROR(IF(P75="","",IF(AND(P75='G-1 All Habitats'!$X$3,T75&gt;0),U75+V75,IF(AND(P75='G-1 All Habitats'!$X$3,S75&gt;0),U75+V75,IF(AND(P75='G-1 All Habitats'!$X$3,AC75&gt;0),"Any Loss Unacceptable",IF(AND(P75='G-1 All Habitats'!$X$3,W75&gt;0),"Any Loss Unacceptable",H75*J75*L75*O75))))),"Check Data ⚠")</f>
        <v/>
      </c>
      <c r="R75" s="50"/>
      <c r="S75" s="71"/>
      <c r="T75" s="72"/>
      <c r="U75" s="511" t="str">
        <f t="shared" si="2"/>
        <v/>
      </c>
      <c r="V75" s="511" t="str">
        <f t="shared" si="3"/>
        <v/>
      </c>
      <c r="W75" s="511"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545" t="str">
        <f>IFERROR(IF(H75="","",IF(H75-S75-T75=0&lt;0,"Error in Areas ▲",IF(S75+T75&gt;H75,"Error in Areas ▲",IF(AND(P75='G-1 All Habitats'!$X$3,Y75="Yes"),"Alternative Compensation",IF(W75=0,0,IF(P75='G-1 All Habitats'!$X$3,"Unacceptable Loss",Q75-U75-V75)))))),"Check Data ⚠")</f>
        <v/>
      </c>
      <c r="Y75" s="72"/>
      <c r="Z75" s="151"/>
      <c r="AA75" s="152"/>
      <c r="AC75" s="251" t="str">
        <f>IF(P75="","",IF(P75='G-1 All Habitats'!$X$3,H75-S75-T75,"None"))</f>
        <v/>
      </c>
      <c r="AD75" s="252" t="str">
        <f t="shared" si="4"/>
        <v/>
      </c>
      <c r="AF75" s="156" t="str">
        <f t="shared" ref="AF75:AF138" si="6">IF(G75="","",IF(S75&gt;0,TRUE,FALSE))</f>
        <v/>
      </c>
      <c r="AG75" s="156" t="str">
        <f t="shared" ref="AG75:AG138" si="7">IF(H75="","",IF(T75&gt;0,TRUE,FALSE))</f>
        <v/>
      </c>
      <c r="AH75" s="156" t="str">
        <f>IF(I75="","",IF(#REF!&gt;0,TRUE,FALSE))</f>
        <v/>
      </c>
      <c r="AI75" s="156">
        <v>65</v>
      </c>
      <c r="AJ75" s="156"/>
      <c r="AK75" s="156" t="str">
        <f t="array" ref="AK75">IFERROR(INDEX($AI$11:$AI$259, MATCH(0, IF(TRUE=$AF$11:$AF$259, COUNTIF($AK$10:$AK74, $AI$11:$AI$259), ""), 0)),"")</f>
        <v/>
      </c>
      <c r="AL75" s="156" t="str">
        <f t="array" ref="AL75">IFERROR(INDEX($AI$11:$AI$259, MATCH(0, IF(TRUE=$AG$11:$AG$259, COUNTIF($AL$10:$AL74, $AI$11:$AI$259), ""), 0)),"")</f>
        <v/>
      </c>
      <c r="AM75" s="156" t="str">
        <f t="array" ref="AM75">IFERROR(INDEX($AI$11:$AI$259, MATCH(0, IF(TRUE=$AH$11:$AH$259, COUNTIF($AM$10:$AM74, $AI$11:$AI$259), ""), 0)),"")</f>
        <v/>
      </c>
      <c r="AQ75" s="31">
        <f t="shared" si="5"/>
        <v>0</v>
      </c>
    </row>
    <row r="76" spans="1:43" x14ac:dyDescent="0.25">
      <c r="A76" s="31" t="str">
        <f>IFERROR(INDEX('G-1 All Habitats'!$AG$3:$AG$15,MATCH(E76,'G-1 All Habitats'!$AF$3:$AF$15,0)),"")</f>
        <v/>
      </c>
      <c r="B76" s="31" t="str">
        <f>IFERROR(INDEX('G-8 Condition Look up'!$I$4:$I$130,MATCH(G76,'G-8 Condition Look up'!$A$4:$A$130,0)),"")</f>
        <v/>
      </c>
      <c r="D76" s="141">
        <v>66</v>
      </c>
      <c r="E76" s="203"/>
      <c r="F76" s="203"/>
      <c r="G76" s="250" t="str">
        <f>IFERROR(INDEX('G-1 All Habitats'!$B$3:$B$129,MATCH(F76,'G-1 All Habitats'!$A$3:$A$129,0)),"")</f>
        <v/>
      </c>
      <c r="H76" s="172"/>
      <c r="I76" s="498" t="str">
        <f>IF(G76="","",VLOOKUP(G76,'G-1 All Habitats'!$B$2:$M$129,10,FALSE))</f>
        <v/>
      </c>
      <c r="J76" s="499" t="str">
        <f>IFERROR(VLOOKUP(I76,'G-1 All Habitats'!$V$3:$W$7,2,FALSE),"")</f>
        <v/>
      </c>
      <c r="K76" s="145"/>
      <c r="L76" s="499" t="str">
        <f>IFERROR(INDEX('G-8 Condition Look up'!$A$3:$H$130,MATCH(G76,'G-8 Condition Look up'!$A$3:$A$130,0),MATCH(K76,'G-8 Condition Look up'!$A$3:$H$3,0)),"")</f>
        <v/>
      </c>
      <c r="M76" s="154"/>
      <c r="N76" s="520" t="str">
        <f>IF(M76="","",IF(VLOOKUP(M76,'G-3 Multipliers'!$L$3:$N$6,2,FALSE)=0,"Spatial Data Missing ⚠",VLOOKUP(M76,'G-3 Multipliers'!$L$3:$N$6,2,FALSE)))</f>
        <v/>
      </c>
      <c r="O76" s="524" t="str">
        <f>IF(M76="","",IF(VLOOKUP(M76,'G-3 Multipliers'!$L$3:$N$6,3,FALSE)=0,"Spatial Data Missing ⚠",VLOOKUP(M76,'G-3 Multipliers'!$L$3:$N$6,3,FALSE)))</f>
        <v/>
      </c>
      <c r="P76" s="506" t="str">
        <f>IFERROR(VLOOKUP(G76,'G-1 All Habitats'!$B$2:$M$129,12,FALSE),"")</f>
        <v/>
      </c>
      <c r="Q76" s="513" t="str">
        <f>IFERROR(IF(P76="","",IF(AND(P76='G-1 All Habitats'!$X$3,T76&gt;0),U76+V76,IF(AND(P76='G-1 All Habitats'!$X$3,S76&gt;0),U76+V76,IF(AND(P76='G-1 All Habitats'!$X$3,AC76&gt;0),"Any Loss Unacceptable",IF(AND(P76='G-1 All Habitats'!$X$3,W76&gt;0),"Any Loss Unacceptable",H76*J76*L76*O76))))),"Check Data ⚠")</f>
        <v/>
      </c>
      <c r="R76" s="50"/>
      <c r="S76" s="71"/>
      <c r="T76" s="72"/>
      <c r="U76" s="511" t="str">
        <f t="shared" ref="U76:U139" si="8">IFERROR(S76*J76*L76*O76,"")</f>
        <v/>
      </c>
      <c r="V76" s="511" t="str">
        <f t="shared" ref="V76:V139" si="9">IFERROR(T76*J76*L76*O76,"")</f>
        <v/>
      </c>
      <c r="W76" s="511"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545" t="str">
        <f>IFERROR(IF(H76="","",IF(H76-S76-T76=0&lt;0,"Error in Areas ▲",IF(S76+T76&gt;H76,"Error in Areas ▲",IF(AND(P76='G-1 All Habitats'!$X$3,Y76="Yes"),"Alternative Compensation",IF(W76=0,0,IF(P76='G-1 All Habitats'!$X$3,"Unacceptable Loss",Q76-U76-V76)))))),"Check Data ⚠")</f>
        <v/>
      </c>
      <c r="Y76" s="72"/>
      <c r="Z76" s="151"/>
      <c r="AA76" s="152"/>
      <c r="AC76" s="251" t="str">
        <f>IF(P76="","",IF(P76='G-1 All Habitats'!$X$3,H76-S76-T76,"None"))</f>
        <v/>
      </c>
      <c r="AD76" s="252" t="str">
        <f t="shared" ref="AD76:AD139" si="10">IFERROR(AC76*J76*L76*O76,IF(P76="","","None"))</f>
        <v/>
      </c>
      <c r="AF76" s="156" t="str">
        <f t="shared" si="6"/>
        <v/>
      </c>
      <c r="AG76" s="156" t="str">
        <f t="shared" si="7"/>
        <v/>
      </c>
      <c r="AH76" s="156" t="str">
        <f>IF(I76="","",IF(#REF!&gt;0,TRUE,FALSE))</f>
        <v/>
      </c>
      <c r="AI76" s="156">
        <v>66</v>
      </c>
      <c r="AJ76" s="156"/>
      <c r="AK76" s="156" t="str">
        <f t="array" ref="AK76">IFERROR(INDEX($AI$11:$AI$259, MATCH(0, IF(TRUE=$AF$11:$AF$259, COUNTIF($AK$10:$AK75, $AI$11:$AI$259), ""), 0)),"")</f>
        <v/>
      </c>
      <c r="AL76" s="156" t="str">
        <f t="array" ref="AL76">IFERROR(INDEX($AI$11:$AI$259, MATCH(0, IF(TRUE=$AG$11:$AG$259, COUNTIF($AL$10:$AL75, $AI$11:$AI$259), ""), 0)),"")</f>
        <v/>
      </c>
      <c r="AM76" s="156" t="str">
        <f t="array" ref="AM76">IFERROR(INDEX($AI$11:$AI$259, MATCH(0, IF(TRUE=$AH$11:$AH$259, COUNTIF($AM$10:$AM75, $AI$11:$AI$259), ""), 0)),"")</f>
        <v/>
      </c>
      <c r="AQ76" s="31">
        <f t="shared" ref="AQ76:AQ139" si="11">IF(X76="Unacceptable Loss",1,0)</f>
        <v>0</v>
      </c>
    </row>
    <row r="77" spans="1:43" x14ac:dyDescent="0.25">
      <c r="A77" s="31" t="str">
        <f>IFERROR(INDEX('G-1 All Habitats'!$AG$3:$AG$15,MATCH(E77,'G-1 All Habitats'!$AF$3:$AF$15,0)),"")</f>
        <v/>
      </c>
      <c r="B77" s="31" t="str">
        <f>IFERROR(INDEX('G-8 Condition Look up'!$I$4:$I$130,MATCH(G77,'G-8 Condition Look up'!$A$4:$A$130,0)),"")</f>
        <v/>
      </c>
      <c r="D77" s="141">
        <v>67</v>
      </c>
      <c r="E77" s="203"/>
      <c r="F77" s="203"/>
      <c r="G77" s="250" t="str">
        <f>IFERROR(INDEX('G-1 All Habitats'!$B$3:$B$129,MATCH(F77,'G-1 All Habitats'!$A$3:$A$129,0)),"")</f>
        <v/>
      </c>
      <c r="H77" s="172"/>
      <c r="I77" s="498" t="str">
        <f>IF(G77="","",VLOOKUP(G77,'G-1 All Habitats'!$B$2:$M$129,10,FALSE))</f>
        <v/>
      </c>
      <c r="J77" s="499" t="str">
        <f>IFERROR(VLOOKUP(I77,'G-1 All Habitats'!$V$3:$W$7,2,FALSE),"")</f>
        <v/>
      </c>
      <c r="K77" s="145"/>
      <c r="L77" s="499" t="str">
        <f>IFERROR(INDEX('G-8 Condition Look up'!$A$3:$H$130,MATCH(G77,'G-8 Condition Look up'!$A$3:$A$130,0),MATCH(K77,'G-8 Condition Look up'!$A$3:$H$3,0)),"")</f>
        <v/>
      </c>
      <c r="M77" s="154"/>
      <c r="N77" s="520" t="str">
        <f>IF(M77="","",IF(VLOOKUP(M77,'G-3 Multipliers'!$L$3:$N$6,2,FALSE)=0,"Spatial Data Missing ⚠",VLOOKUP(M77,'G-3 Multipliers'!$L$3:$N$6,2,FALSE)))</f>
        <v/>
      </c>
      <c r="O77" s="524" t="str">
        <f>IF(M77="","",IF(VLOOKUP(M77,'G-3 Multipliers'!$L$3:$N$6,3,FALSE)=0,"Spatial Data Missing ⚠",VLOOKUP(M77,'G-3 Multipliers'!$L$3:$N$6,3,FALSE)))</f>
        <v/>
      </c>
      <c r="P77" s="506" t="str">
        <f>IFERROR(VLOOKUP(G77,'G-1 All Habitats'!$B$2:$M$129,12,FALSE),"")</f>
        <v/>
      </c>
      <c r="Q77" s="513" t="str">
        <f>IFERROR(IF(P77="","",IF(AND(P77='G-1 All Habitats'!$X$3,T77&gt;0),U77+V77,IF(AND(P77='G-1 All Habitats'!$X$3,S77&gt;0),U77+V77,IF(AND(P77='G-1 All Habitats'!$X$3,AC77&gt;0),"Any Loss Unacceptable",IF(AND(P77='G-1 All Habitats'!$X$3,W77&gt;0),"Any Loss Unacceptable",H77*J77*L77*O77))))),"Check Data ⚠")</f>
        <v/>
      </c>
      <c r="R77" s="50"/>
      <c r="S77" s="71"/>
      <c r="T77" s="72"/>
      <c r="U77" s="511" t="str">
        <f t="shared" si="8"/>
        <v/>
      </c>
      <c r="V77" s="511" t="str">
        <f t="shared" si="9"/>
        <v/>
      </c>
      <c r="W77" s="511"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545" t="str">
        <f>IFERROR(IF(H77="","",IF(H77-S77-T77=0&lt;0,"Error in Areas ▲",IF(S77+T77&gt;H77,"Error in Areas ▲",IF(AND(P77='G-1 All Habitats'!$X$3,Y77="Yes"),"Alternative Compensation",IF(W77=0,0,IF(P77='G-1 All Habitats'!$X$3,"Unacceptable Loss",Q77-U77-V77)))))),"Check Data ⚠")</f>
        <v/>
      </c>
      <c r="Y77" s="72"/>
      <c r="Z77" s="151"/>
      <c r="AA77" s="152"/>
      <c r="AC77" s="251" t="str">
        <f>IF(P77="","",IF(P77='G-1 All Habitats'!$X$3,H77-S77-T77,"None"))</f>
        <v/>
      </c>
      <c r="AD77" s="252" t="str">
        <f t="shared" si="10"/>
        <v/>
      </c>
      <c r="AF77" s="156" t="str">
        <f t="shared" si="6"/>
        <v/>
      </c>
      <c r="AG77" s="156" t="str">
        <f t="shared" si="7"/>
        <v/>
      </c>
      <c r="AH77" s="156" t="str">
        <f>IF(I77="","",IF(#REF!&gt;0,TRUE,FALSE))</f>
        <v/>
      </c>
      <c r="AI77" s="156">
        <v>67</v>
      </c>
      <c r="AJ77" s="156"/>
      <c r="AK77" s="156" t="str">
        <f t="array" ref="AK77">IFERROR(INDEX($AI$11:$AI$259, MATCH(0, IF(TRUE=$AF$11:$AF$259, COUNTIF($AK$10:$AK76, $AI$11:$AI$259), ""), 0)),"")</f>
        <v/>
      </c>
      <c r="AL77" s="156" t="str">
        <f t="array" ref="AL77">IFERROR(INDEX($AI$11:$AI$259, MATCH(0, IF(TRUE=$AG$11:$AG$259, COUNTIF($AL$10:$AL76, $AI$11:$AI$259), ""), 0)),"")</f>
        <v/>
      </c>
      <c r="AM77" s="156" t="str">
        <f t="array" ref="AM77">IFERROR(INDEX($AI$11:$AI$259, MATCH(0, IF(TRUE=$AH$11:$AH$259, COUNTIF($AM$10:$AM76, $AI$11:$AI$259), ""), 0)),"")</f>
        <v/>
      </c>
      <c r="AQ77" s="31">
        <f t="shared" si="11"/>
        <v>0</v>
      </c>
    </row>
    <row r="78" spans="1:43" x14ac:dyDescent="0.25">
      <c r="A78" s="31" t="str">
        <f>IFERROR(INDEX('G-1 All Habitats'!$AG$3:$AG$15,MATCH(E78,'G-1 All Habitats'!$AF$3:$AF$15,0)),"")</f>
        <v/>
      </c>
      <c r="B78" s="31" t="str">
        <f>IFERROR(INDEX('G-8 Condition Look up'!$I$4:$I$130,MATCH(G78,'G-8 Condition Look up'!$A$4:$A$130,0)),"")</f>
        <v/>
      </c>
      <c r="D78" s="141">
        <v>68</v>
      </c>
      <c r="E78" s="203"/>
      <c r="F78" s="203"/>
      <c r="G78" s="250" t="str">
        <f>IFERROR(INDEX('G-1 All Habitats'!$B$3:$B$129,MATCH(F78,'G-1 All Habitats'!$A$3:$A$129,0)),"")</f>
        <v/>
      </c>
      <c r="H78" s="172"/>
      <c r="I78" s="498" t="str">
        <f>IF(G78="","",VLOOKUP(G78,'G-1 All Habitats'!$B$2:$M$129,10,FALSE))</f>
        <v/>
      </c>
      <c r="J78" s="499" t="str">
        <f>IFERROR(VLOOKUP(I78,'G-1 All Habitats'!$V$3:$W$7,2,FALSE),"")</f>
        <v/>
      </c>
      <c r="K78" s="145"/>
      <c r="L78" s="499" t="str">
        <f>IFERROR(INDEX('G-8 Condition Look up'!$A$3:$H$130,MATCH(G78,'G-8 Condition Look up'!$A$3:$A$130,0),MATCH(K78,'G-8 Condition Look up'!$A$3:$H$3,0)),"")</f>
        <v/>
      </c>
      <c r="M78" s="154"/>
      <c r="N78" s="520" t="str">
        <f>IF(M78="","",IF(VLOOKUP(M78,'G-3 Multipliers'!$L$3:$N$6,2,FALSE)=0,"Spatial Data Missing ⚠",VLOOKUP(M78,'G-3 Multipliers'!$L$3:$N$6,2,FALSE)))</f>
        <v/>
      </c>
      <c r="O78" s="524" t="str">
        <f>IF(M78="","",IF(VLOOKUP(M78,'G-3 Multipliers'!$L$3:$N$6,3,FALSE)=0,"Spatial Data Missing ⚠",VLOOKUP(M78,'G-3 Multipliers'!$L$3:$N$6,3,FALSE)))</f>
        <v/>
      </c>
      <c r="P78" s="506" t="str">
        <f>IFERROR(VLOOKUP(G78,'G-1 All Habitats'!$B$2:$M$129,12,FALSE),"")</f>
        <v/>
      </c>
      <c r="Q78" s="513" t="str">
        <f>IFERROR(IF(P78="","",IF(AND(P78='G-1 All Habitats'!$X$3,T78&gt;0),U78+V78,IF(AND(P78='G-1 All Habitats'!$X$3,S78&gt;0),U78+V78,IF(AND(P78='G-1 All Habitats'!$X$3,AC78&gt;0),"Any Loss Unacceptable",IF(AND(P78='G-1 All Habitats'!$X$3,W78&gt;0),"Any Loss Unacceptable",H78*J78*L78*O78))))),"Check Data ⚠")</f>
        <v/>
      </c>
      <c r="R78" s="50"/>
      <c r="S78" s="71"/>
      <c r="T78" s="72"/>
      <c r="U78" s="511" t="str">
        <f t="shared" si="8"/>
        <v/>
      </c>
      <c r="V78" s="511" t="str">
        <f t="shared" si="9"/>
        <v/>
      </c>
      <c r="W78" s="511"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545" t="str">
        <f>IFERROR(IF(H78="","",IF(H78-S78-T78=0&lt;0,"Error in Areas ▲",IF(S78+T78&gt;H78,"Error in Areas ▲",IF(AND(P78='G-1 All Habitats'!$X$3,Y78="Yes"),"Alternative Compensation",IF(W78=0,0,IF(P78='G-1 All Habitats'!$X$3,"Unacceptable Loss",Q78-U78-V78)))))),"Check Data ⚠")</f>
        <v/>
      </c>
      <c r="Y78" s="72"/>
      <c r="Z78" s="151"/>
      <c r="AA78" s="152"/>
      <c r="AC78" s="251" t="str">
        <f>IF(P78="","",IF(P78='G-1 All Habitats'!$X$3,H78-S78-T78,"None"))</f>
        <v/>
      </c>
      <c r="AD78" s="252" t="str">
        <f t="shared" si="10"/>
        <v/>
      </c>
      <c r="AF78" s="156" t="str">
        <f t="shared" si="6"/>
        <v/>
      </c>
      <c r="AG78" s="156" t="str">
        <f t="shared" si="7"/>
        <v/>
      </c>
      <c r="AH78" s="156" t="str">
        <f>IF(I78="","",IF(#REF!&gt;0,TRUE,FALSE))</f>
        <v/>
      </c>
      <c r="AI78" s="156">
        <v>68</v>
      </c>
      <c r="AJ78" s="156"/>
      <c r="AK78" s="156" t="str">
        <f t="array" ref="AK78">IFERROR(INDEX($AI$11:$AI$259, MATCH(0, IF(TRUE=$AF$11:$AF$259, COUNTIF($AK$10:$AK77, $AI$11:$AI$259), ""), 0)),"")</f>
        <v/>
      </c>
      <c r="AL78" s="156" t="str">
        <f t="array" ref="AL78">IFERROR(INDEX($AI$11:$AI$259, MATCH(0, IF(TRUE=$AG$11:$AG$259, COUNTIF($AL$10:$AL77, $AI$11:$AI$259), ""), 0)),"")</f>
        <v/>
      </c>
      <c r="AM78" s="156" t="str">
        <f t="array" ref="AM78">IFERROR(INDEX($AI$11:$AI$259, MATCH(0, IF(TRUE=$AH$11:$AH$259, COUNTIF($AM$10:$AM77, $AI$11:$AI$259), ""), 0)),"")</f>
        <v/>
      </c>
      <c r="AQ78" s="31">
        <f t="shared" si="11"/>
        <v>0</v>
      </c>
    </row>
    <row r="79" spans="1:43" x14ac:dyDescent="0.25">
      <c r="A79" s="31" t="str">
        <f>IFERROR(INDEX('G-1 All Habitats'!$AG$3:$AG$15,MATCH(E79,'G-1 All Habitats'!$AF$3:$AF$15,0)),"")</f>
        <v/>
      </c>
      <c r="B79" s="31" t="str">
        <f>IFERROR(INDEX('G-8 Condition Look up'!$I$4:$I$130,MATCH(G79,'G-8 Condition Look up'!$A$4:$A$130,0)),"")</f>
        <v/>
      </c>
      <c r="D79" s="141">
        <v>69</v>
      </c>
      <c r="E79" s="203"/>
      <c r="F79" s="203"/>
      <c r="G79" s="250" t="str">
        <f>IFERROR(INDEX('G-1 All Habitats'!$B$3:$B$129,MATCH(F79,'G-1 All Habitats'!$A$3:$A$129,0)),"")</f>
        <v/>
      </c>
      <c r="H79" s="172"/>
      <c r="I79" s="498" t="str">
        <f>IF(G79="","",VLOOKUP(G79,'G-1 All Habitats'!$B$2:$M$129,10,FALSE))</f>
        <v/>
      </c>
      <c r="J79" s="499" t="str">
        <f>IFERROR(VLOOKUP(I79,'G-1 All Habitats'!$V$3:$W$7,2,FALSE),"")</f>
        <v/>
      </c>
      <c r="K79" s="145"/>
      <c r="L79" s="499" t="str">
        <f>IFERROR(INDEX('G-8 Condition Look up'!$A$3:$H$130,MATCH(G79,'G-8 Condition Look up'!$A$3:$A$130,0),MATCH(K79,'G-8 Condition Look up'!$A$3:$H$3,0)),"")</f>
        <v/>
      </c>
      <c r="M79" s="154"/>
      <c r="N79" s="520" t="str">
        <f>IF(M79="","",IF(VLOOKUP(M79,'G-3 Multipliers'!$L$3:$N$6,2,FALSE)=0,"Spatial Data Missing ⚠",VLOOKUP(M79,'G-3 Multipliers'!$L$3:$N$6,2,FALSE)))</f>
        <v/>
      </c>
      <c r="O79" s="524" t="str">
        <f>IF(M79="","",IF(VLOOKUP(M79,'G-3 Multipliers'!$L$3:$N$6,3,FALSE)=0,"Spatial Data Missing ⚠",VLOOKUP(M79,'G-3 Multipliers'!$L$3:$N$6,3,FALSE)))</f>
        <v/>
      </c>
      <c r="P79" s="506" t="str">
        <f>IFERROR(VLOOKUP(G79,'G-1 All Habitats'!$B$2:$M$129,12,FALSE),"")</f>
        <v/>
      </c>
      <c r="Q79" s="513" t="str">
        <f>IFERROR(IF(P79="","",IF(AND(P79='G-1 All Habitats'!$X$3,T79&gt;0),U79+V79,IF(AND(P79='G-1 All Habitats'!$X$3,S79&gt;0),U79+V79,IF(AND(P79='G-1 All Habitats'!$X$3,AC79&gt;0),"Any Loss Unacceptable",IF(AND(P79='G-1 All Habitats'!$X$3,W79&gt;0),"Any Loss Unacceptable",H79*J79*L79*O79))))),"Check Data ⚠")</f>
        <v/>
      </c>
      <c r="R79" s="50"/>
      <c r="S79" s="71"/>
      <c r="T79" s="72"/>
      <c r="U79" s="511" t="str">
        <f t="shared" si="8"/>
        <v/>
      </c>
      <c r="V79" s="511" t="str">
        <f t="shared" si="9"/>
        <v/>
      </c>
      <c r="W79" s="511"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545" t="str">
        <f>IFERROR(IF(H79="","",IF(H79-S79-T79=0&lt;0,"Error in Areas ▲",IF(S79+T79&gt;H79,"Error in Areas ▲",IF(AND(P79='G-1 All Habitats'!$X$3,Y79="Yes"),"Alternative Compensation",IF(W79=0,0,IF(P79='G-1 All Habitats'!$X$3,"Unacceptable Loss",Q79-U79-V79)))))),"Check Data ⚠")</f>
        <v/>
      </c>
      <c r="Y79" s="72"/>
      <c r="Z79" s="151"/>
      <c r="AA79" s="152"/>
      <c r="AC79" s="251" t="str">
        <f>IF(P79="","",IF(P79='G-1 All Habitats'!$X$3,H79-S79-T79,"None"))</f>
        <v/>
      </c>
      <c r="AD79" s="252" t="str">
        <f t="shared" si="10"/>
        <v/>
      </c>
      <c r="AF79" s="156" t="str">
        <f t="shared" si="6"/>
        <v/>
      </c>
      <c r="AG79" s="156" t="str">
        <f t="shared" si="7"/>
        <v/>
      </c>
      <c r="AH79" s="156" t="str">
        <f>IF(I79="","",IF(#REF!&gt;0,TRUE,FALSE))</f>
        <v/>
      </c>
      <c r="AI79" s="156">
        <v>69</v>
      </c>
      <c r="AJ79" s="156"/>
      <c r="AK79" s="156" t="str">
        <f t="array" ref="AK79">IFERROR(INDEX($AI$11:$AI$259, MATCH(0, IF(TRUE=$AF$11:$AF$259, COUNTIF($AK$10:$AK78, $AI$11:$AI$259), ""), 0)),"")</f>
        <v/>
      </c>
      <c r="AL79" s="156" t="str">
        <f t="array" ref="AL79">IFERROR(INDEX($AI$11:$AI$259, MATCH(0, IF(TRUE=$AG$11:$AG$259, COUNTIF($AL$10:$AL78, $AI$11:$AI$259), ""), 0)),"")</f>
        <v/>
      </c>
      <c r="AM79" s="156" t="str">
        <f t="array" ref="AM79">IFERROR(INDEX($AI$11:$AI$259, MATCH(0, IF(TRUE=$AH$11:$AH$259, COUNTIF($AM$10:$AM78, $AI$11:$AI$259), ""), 0)),"")</f>
        <v/>
      </c>
      <c r="AQ79" s="31">
        <f t="shared" si="11"/>
        <v>0</v>
      </c>
    </row>
    <row r="80" spans="1:43" x14ac:dyDescent="0.25">
      <c r="A80" s="31" t="str">
        <f>IFERROR(INDEX('G-1 All Habitats'!$AG$3:$AG$15,MATCH(E80,'G-1 All Habitats'!$AF$3:$AF$15,0)),"")</f>
        <v/>
      </c>
      <c r="B80" s="31" t="str">
        <f>IFERROR(INDEX('G-8 Condition Look up'!$I$4:$I$130,MATCH(G80,'G-8 Condition Look up'!$A$4:$A$130,0)),"")</f>
        <v/>
      </c>
      <c r="D80" s="141">
        <v>70</v>
      </c>
      <c r="E80" s="203"/>
      <c r="F80" s="203"/>
      <c r="G80" s="250" t="str">
        <f>IFERROR(INDEX('G-1 All Habitats'!$B$3:$B$129,MATCH(F80,'G-1 All Habitats'!$A$3:$A$129,0)),"")</f>
        <v/>
      </c>
      <c r="H80" s="172"/>
      <c r="I80" s="498" t="str">
        <f>IF(G80="","",VLOOKUP(G80,'G-1 All Habitats'!$B$2:$M$129,10,FALSE))</f>
        <v/>
      </c>
      <c r="J80" s="499" t="str">
        <f>IFERROR(VLOOKUP(I80,'G-1 All Habitats'!$V$3:$W$7,2,FALSE),"")</f>
        <v/>
      </c>
      <c r="K80" s="145"/>
      <c r="L80" s="499" t="str">
        <f>IFERROR(INDEX('G-8 Condition Look up'!$A$3:$H$130,MATCH(G80,'G-8 Condition Look up'!$A$3:$A$130,0),MATCH(K80,'G-8 Condition Look up'!$A$3:$H$3,0)),"")</f>
        <v/>
      </c>
      <c r="M80" s="154"/>
      <c r="N80" s="520" t="str">
        <f>IF(M80="","",IF(VLOOKUP(M80,'G-3 Multipliers'!$L$3:$N$6,2,FALSE)=0,"Spatial Data Missing ⚠",VLOOKUP(M80,'G-3 Multipliers'!$L$3:$N$6,2,FALSE)))</f>
        <v/>
      </c>
      <c r="O80" s="524" t="str">
        <f>IF(M80="","",IF(VLOOKUP(M80,'G-3 Multipliers'!$L$3:$N$6,3,FALSE)=0,"Spatial Data Missing ⚠",VLOOKUP(M80,'G-3 Multipliers'!$L$3:$N$6,3,FALSE)))</f>
        <v/>
      </c>
      <c r="P80" s="506" t="str">
        <f>IFERROR(VLOOKUP(G80,'G-1 All Habitats'!$B$2:$M$129,12,FALSE),"")</f>
        <v/>
      </c>
      <c r="Q80" s="513" t="str">
        <f>IFERROR(IF(P80="","",IF(AND(P80='G-1 All Habitats'!$X$3,T80&gt;0),U80+V80,IF(AND(P80='G-1 All Habitats'!$X$3,S80&gt;0),U80+V80,IF(AND(P80='G-1 All Habitats'!$X$3,AC80&gt;0),"Any Loss Unacceptable",IF(AND(P80='G-1 All Habitats'!$X$3,W80&gt;0),"Any Loss Unacceptable",H80*J80*L80*O80))))),"Check Data ⚠")</f>
        <v/>
      </c>
      <c r="R80" s="50"/>
      <c r="S80" s="71"/>
      <c r="T80" s="72"/>
      <c r="U80" s="511" t="str">
        <f t="shared" si="8"/>
        <v/>
      </c>
      <c r="V80" s="511" t="str">
        <f t="shared" si="9"/>
        <v/>
      </c>
      <c r="W80" s="511"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545" t="str">
        <f>IFERROR(IF(H80="","",IF(H80-S80-T80=0&lt;0,"Error in Areas ▲",IF(S80+T80&gt;H80,"Error in Areas ▲",IF(AND(P80='G-1 All Habitats'!$X$3,Y80="Yes"),"Alternative Compensation",IF(W80=0,0,IF(P80='G-1 All Habitats'!$X$3,"Unacceptable Loss",Q80-U80-V80)))))),"Check Data ⚠")</f>
        <v/>
      </c>
      <c r="Y80" s="72"/>
      <c r="Z80" s="151"/>
      <c r="AA80" s="152"/>
      <c r="AC80" s="251" t="str">
        <f>IF(P80="","",IF(P80='G-1 All Habitats'!$X$3,H80-S80-T80,"None"))</f>
        <v/>
      </c>
      <c r="AD80" s="252" t="str">
        <f t="shared" si="10"/>
        <v/>
      </c>
      <c r="AF80" s="156" t="str">
        <f t="shared" si="6"/>
        <v/>
      </c>
      <c r="AG80" s="156" t="str">
        <f t="shared" si="7"/>
        <v/>
      </c>
      <c r="AH80" s="156" t="str">
        <f>IF(I80="","",IF(#REF!&gt;0,TRUE,FALSE))</f>
        <v/>
      </c>
      <c r="AI80" s="156">
        <v>70</v>
      </c>
      <c r="AJ80" s="156"/>
      <c r="AK80" s="156" t="str">
        <f t="array" ref="AK80">IFERROR(INDEX($AI$11:$AI$259, MATCH(0, IF(TRUE=$AF$11:$AF$259, COUNTIF($AK$10:$AK79, $AI$11:$AI$259), ""), 0)),"")</f>
        <v/>
      </c>
      <c r="AL80" s="156" t="str">
        <f t="array" ref="AL80">IFERROR(INDEX($AI$11:$AI$259, MATCH(0, IF(TRUE=$AG$11:$AG$259, COUNTIF($AL$10:$AL79, $AI$11:$AI$259), ""), 0)),"")</f>
        <v/>
      </c>
      <c r="AM80" s="156" t="str">
        <f t="array" ref="AM80">IFERROR(INDEX($AI$11:$AI$259, MATCH(0, IF(TRUE=$AH$11:$AH$259, COUNTIF($AM$10:$AM79, $AI$11:$AI$259), ""), 0)),"")</f>
        <v/>
      </c>
      <c r="AQ80" s="31">
        <f t="shared" si="11"/>
        <v>0</v>
      </c>
    </row>
    <row r="81" spans="1:43" x14ac:dyDescent="0.25">
      <c r="A81" s="31" t="str">
        <f>IFERROR(INDEX('G-1 All Habitats'!$AG$3:$AG$15,MATCH(E81,'G-1 All Habitats'!$AF$3:$AF$15,0)),"")</f>
        <v/>
      </c>
      <c r="B81" s="31" t="str">
        <f>IFERROR(INDEX('G-8 Condition Look up'!$I$4:$I$130,MATCH(G81,'G-8 Condition Look up'!$A$4:$A$130,0)),"")</f>
        <v/>
      </c>
      <c r="D81" s="141">
        <v>71</v>
      </c>
      <c r="E81" s="203"/>
      <c r="F81" s="203"/>
      <c r="G81" s="250" t="str">
        <f>IFERROR(INDEX('G-1 All Habitats'!$B$3:$B$129,MATCH(F81,'G-1 All Habitats'!$A$3:$A$129,0)),"")</f>
        <v/>
      </c>
      <c r="H81" s="172"/>
      <c r="I81" s="498" t="str">
        <f>IF(G81="","",VLOOKUP(G81,'G-1 All Habitats'!$B$2:$M$129,10,FALSE))</f>
        <v/>
      </c>
      <c r="J81" s="499" t="str">
        <f>IFERROR(VLOOKUP(I81,'G-1 All Habitats'!$V$3:$W$7,2,FALSE),"")</f>
        <v/>
      </c>
      <c r="K81" s="145"/>
      <c r="L81" s="499" t="str">
        <f>IFERROR(INDEX('G-8 Condition Look up'!$A$3:$H$130,MATCH(G81,'G-8 Condition Look up'!$A$3:$A$130,0),MATCH(K81,'G-8 Condition Look up'!$A$3:$H$3,0)),"")</f>
        <v/>
      </c>
      <c r="M81" s="154"/>
      <c r="N81" s="520" t="str">
        <f>IF(M81="","",IF(VLOOKUP(M81,'G-3 Multipliers'!$L$3:$N$6,2,FALSE)=0,"Spatial Data Missing ⚠",VLOOKUP(M81,'G-3 Multipliers'!$L$3:$N$6,2,FALSE)))</f>
        <v/>
      </c>
      <c r="O81" s="524" t="str">
        <f>IF(M81="","",IF(VLOOKUP(M81,'G-3 Multipliers'!$L$3:$N$6,3,FALSE)=0,"Spatial Data Missing ⚠",VLOOKUP(M81,'G-3 Multipliers'!$L$3:$N$6,3,FALSE)))</f>
        <v/>
      </c>
      <c r="P81" s="506" t="str">
        <f>IFERROR(VLOOKUP(G81,'G-1 All Habitats'!$B$2:$M$129,12,FALSE),"")</f>
        <v/>
      </c>
      <c r="Q81" s="513" t="str">
        <f>IFERROR(IF(P81="","",IF(AND(P81='G-1 All Habitats'!$X$3,T81&gt;0),U81+V81,IF(AND(P81='G-1 All Habitats'!$X$3,S81&gt;0),U81+V81,IF(AND(P81='G-1 All Habitats'!$X$3,AC81&gt;0),"Any Loss Unacceptable",IF(AND(P81='G-1 All Habitats'!$X$3,W81&gt;0),"Any Loss Unacceptable",H81*J81*L81*O81))))),"Check Data ⚠")</f>
        <v/>
      </c>
      <c r="R81" s="50"/>
      <c r="S81" s="71"/>
      <c r="T81" s="72"/>
      <c r="U81" s="511" t="str">
        <f t="shared" si="8"/>
        <v/>
      </c>
      <c r="V81" s="511" t="str">
        <f t="shared" si="9"/>
        <v/>
      </c>
      <c r="W81" s="511"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545" t="str">
        <f>IFERROR(IF(H81="","",IF(H81-S81-T81=0&lt;0,"Error in Areas ▲",IF(S81+T81&gt;H81,"Error in Areas ▲",IF(AND(P81='G-1 All Habitats'!$X$3,Y81="Yes"),"Alternative Compensation",IF(W81=0,0,IF(P81='G-1 All Habitats'!$X$3,"Unacceptable Loss",Q81-U81-V81)))))),"Check Data ⚠")</f>
        <v/>
      </c>
      <c r="Y81" s="72"/>
      <c r="Z81" s="151"/>
      <c r="AA81" s="152"/>
      <c r="AC81" s="251" t="str">
        <f>IF(P81="","",IF(P81='G-1 All Habitats'!$X$3,H81-S81-T81,"None"))</f>
        <v/>
      </c>
      <c r="AD81" s="252" t="str">
        <f t="shared" si="10"/>
        <v/>
      </c>
      <c r="AF81" s="156" t="str">
        <f t="shared" si="6"/>
        <v/>
      </c>
      <c r="AG81" s="156" t="str">
        <f t="shared" si="7"/>
        <v/>
      </c>
      <c r="AH81" s="156" t="str">
        <f>IF(I81="","",IF(#REF!&gt;0,TRUE,FALSE))</f>
        <v/>
      </c>
      <c r="AI81" s="156">
        <v>71</v>
      </c>
      <c r="AJ81" s="156"/>
      <c r="AK81" s="156" t="str">
        <f t="array" ref="AK81">IFERROR(INDEX($AI$11:$AI$259, MATCH(0, IF(TRUE=$AF$11:$AF$259, COUNTIF($AK$10:$AK80, $AI$11:$AI$259), ""), 0)),"")</f>
        <v/>
      </c>
      <c r="AL81" s="156" t="str">
        <f t="array" ref="AL81">IFERROR(INDEX($AI$11:$AI$259, MATCH(0, IF(TRUE=$AG$11:$AG$259, COUNTIF($AL$10:$AL80, $AI$11:$AI$259), ""), 0)),"")</f>
        <v/>
      </c>
      <c r="AM81" s="156" t="str">
        <f t="array" ref="AM81">IFERROR(INDEX($AI$11:$AI$259, MATCH(0, IF(TRUE=$AH$11:$AH$259, COUNTIF($AM$10:$AM80, $AI$11:$AI$259), ""), 0)),"")</f>
        <v/>
      </c>
      <c r="AQ81" s="31">
        <f t="shared" si="11"/>
        <v>0</v>
      </c>
    </row>
    <row r="82" spans="1:43" x14ac:dyDescent="0.25">
      <c r="A82" s="31" t="str">
        <f>IFERROR(INDEX('G-1 All Habitats'!$AG$3:$AG$15,MATCH(E82,'G-1 All Habitats'!$AF$3:$AF$15,0)),"")</f>
        <v/>
      </c>
      <c r="B82" s="31" t="str">
        <f>IFERROR(INDEX('G-8 Condition Look up'!$I$4:$I$130,MATCH(G82,'G-8 Condition Look up'!$A$4:$A$130,0)),"")</f>
        <v/>
      </c>
      <c r="D82" s="141">
        <v>72</v>
      </c>
      <c r="E82" s="203"/>
      <c r="F82" s="203"/>
      <c r="G82" s="250" t="str">
        <f>IFERROR(INDEX('G-1 All Habitats'!$B$3:$B$129,MATCH(F82,'G-1 All Habitats'!$A$3:$A$129,0)),"")</f>
        <v/>
      </c>
      <c r="H82" s="172"/>
      <c r="I82" s="498" t="str">
        <f>IF(G82="","",VLOOKUP(G82,'G-1 All Habitats'!$B$2:$M$129,10,FALSE))</f>
        <v/>
      </c>
      <c r="J82" s="499" t="str">
        <f>IFERROR(VLOOKUP(I82,'G-1 All Habitats'!$V$3:$W$7,2,FALSE),"")</f>
        <v/>
      </c>
      <c r="K82" s="145"/>
      <c r="L82" s="499" t="str">
        <f>IFERROR(INDEX('G-8 Condition Look up'!$A$3:$H$130,MATCH(G82,'G-8 Condition Look up'!$A$3:$A$130,0),MATCH(K82,'G-8 Condition Look up'!$A$3:$H$3,0)),"")</f>
        <v/>
      </c>
      <c r="M82" s="154"/>
      <c r="N82" s="520" t="str">
        <f>IF(M82="","",IF(VLOOKUP(M82,'G-3 Multipliers'!$L$3:$N$6,2,FALSE)=0,"Spatial Data Missing ⚠",VLOOKUP(M82,'G-3 Multipliers'!$L$3:$N$6,2,FALSE)))</f>
        <v/>
      </c>
      <c r="O82" s="524" t="str">
        <f>IF(M82="","",IF(VLOOKUP(M82,'G-3 Multipliers'!$L$3:$N$6,3,FALSE)=0,"Spatial Data Missing ⚠",VLOOKUP(M82,'G-3 Multipliers'!$L$3:$N$6,3,FALSE)))</f>
        <v/>
      </c>
      <c r="P82" s="506" t="str">
        <f>IFERROR(VLOOKUP(G82,'G-1 All Habitats'!$B$2:$M$129,12,FALSE),"")</f>
        <v/>
      </c>
      <c r="Q82" s="513" t="str">
        <f>IFERROR(IF(P82="","",IF(AND(P82='G-1 All Habitats'!$X$3,T82&gt;0),U82+V82,IF(AND(P82='G-1 All Habitats'!$X$3,S82&gt;0),U82+V82,IF(AND(P82='G-1 All Habitats'!$X$3,AC82&gt;0),"Any Loss Unacceptable",IF(AND(P82='G-1 All Habitats'!$X$3,W82&gt;0),"Any Loss Unacceptable",H82*J82*L82*O82))))),"Check Data ⚠")</f>
        <v/>
      </c>
      <c r="R82" s="50"/>
      <c r="S82" s="71"/>
      <c r="T82" s="72"/>
      <c r="U82" s="511" t="str">
        <f t="shared" si="8"/>
        <v/>
      </c>
      <c r="V82" s="511" t="str">
        <f t="shared" si="9"/>
        <v/>
      </c>
      <c r="W82" s="511"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545" t="str">
        <f>IFERROR(IF(H82="","",IF(H82-S82-T82=0&lt;0,"Error in Areas ▲",IF(S82+T82&gt;H82,"Error in Areas ▲",IF(AND(P82='G-1 All Habitats'!$X$3,Y82="Yes"),"Alternative Compensation",IF(W82=0,0,IF(P82='G-1 All Habitats'!$X$3,"Unacceptable Loss",Q82-U82-V82)))))),"Check Data ⚠")</f>
        <v/>
      </c>
      <c r="Y82" s="72"/>
      <c r="Z82" s="151"/>
      <c r="AA82" s="152"/>
      <c r="AC82" s="251" t="str">
        <f>IF(P82="","",IF(P82='G-1 All Habitats'!$X$3,H82-S82-T82,"None"))</f>
        <v/>
      </c>
      <c r="AD82" s="252" t="str">
        <f t="shared" si="10"/>
        <v/>
      </c>
      <c r="AF82" s="156" t="str">
        <f t="shared" si="6"/>
        <v/>
      </c>
      <c r="AG82" s="156" t="str">
        <f t="shared" si="7"/>
        <v/>
      </c>
      <c r="AH82" s="156" t="str">
        <f>IF(I82="","",IF(#REF!&gt;0,TRUE,FALSE))</f>
        <v/>
      </c>
      <c r="AI82" s="156">
        <v>72</v>
      </c>
      <c r="AJ82" s="156"/>
      <c r="AK82" s="156" t="str">
        <f t="array" ref="AK82">IFERROR(INDEX($AI$11:$AI$259, MATCH(0, IF(TRUE=$AF$11:$AF$259, COUNTIF($AK$10:$AK81, $AI$11:$AI$259), ""), 0)),"")</f>
        <v/>
      </c>
      <c r="AL82" s="156" t="str">
        <f t="array" ref="AL82">IFERROR(INDEX($AI$11:$AI$259, MATCH(0, IF(TRUE=$AG$11:$AG$259, COUNTIF($AL$10:$AL81, $AI$11:$AI$259), ""), 0)),"")</f>
        <v/>
      </c>
      <c r="AM82" s="156" t="str">
        <f t="array" ref="AM82">IFERROR(INDEX($AI$11:$AI$259, MATCH(0, IF(TRUE=$AH$11:$AH$259, COUNTIF($AM$10:$AM81, $AI$11:$AI$259), ""), 0)),"")</f>
        <v/>
      </c>
      <c r="AQ82" s="31">
        <f t="shared" si="11"/>
        <v>0</v>
      </c>
    </row>
    <row r="83" spans="1:43" x14ac:dyDescent="0.25">
      <c r="A83" s="31" t="str">
        <f>IFERROR(INDEX('G-1 All Habitats'!$AG$3:$AG$15,MATCH(E83,'G-1 All Habitats'!$AF$3:$AF$15,0)),"")</f>
        <v/>
      </c>
      <c r="B83" s="31" t="str">
        <f>IFERROR(INDEX('G-8 Condition Look up'!$I$4:$I$130,MATCH(G83,'G-8 Condition Look up'!$A$4:$A$130,0)),"")</f>
        <v/>
      </c>
      <c r="D83" s="141">
        <v>73</v>
      </c>
      <c r="E83" s="203"/>
      <c r="F83" s="203"/>
      <c r="G83" s="250" t="str">
        <f>IFERROR(INDEX('G-1 All Habitats'!$B$3:$B$129,MATCH(F83,'G-1 All Habitats'!$A$3:$A$129,0)),"")</f>
        <v/>
      </c>
      <c r="H83" s="172"/>
      <c r="I83" s="498" t="str">
        <f>IF(G83="","",VLOOKUP(G83,'G-1 All Habitats'!$B$2:$M$129,10,FALSE))</f>
        <v/>
      </c>
      <c r="J83" s="499" t="str">
        <f>IFERROR(VLOOKUP(I83,'G-1 All Habitats'!$V$3:$W$7,2,FALSE),"")</f>
        <v/>
      </c>
      <c r="K83" s="145"/>
      <c r="L83" s="499" t="str">
        <f>IFERROR(INDEX('G-8 Condition Look up'!$A$3:$H$130,MATCH(G83,'G-8 Condition Look up'!$A$3:$A$130,0),MATCH(K83,'G-8 Condition Look up'!$A$3:$H$3,0)),"")</f>
        <v/>
      </c>
      <c r="M83" s="154"/>
      <c r="N83" s="520" t="str">
        <f>IF(M83="","",IF(VLOOKUP(M83,'G-3 Multipliers'!$L$3:$N$6,2,FALSE)=0,"Spatial Data Missing ⚠",VLOOKUP(M83,'G-3 Multipliers'!$L$3:$N$6,2,FALSE)))</f>
        <v/>
      </c>
      <c r="O83" s="524" t="str">
        <f>IF(M83="","",IF(VLOOKUP(M83,'G-3 Multipliers'!$L$3:$N$6,3,FALSE)=0,"Spatial Data Missing ⚠",VLOOKUP(M83,'G-3 Multipliers'!$L$3:$N$6,3,FALSE)))</f>
        <v/>
      </c>
      <c r="P83" s="506" t="str">
        <f>IFERROR(VLOOKUP(G83,'G-1 All Habitats'!$B$2:$M$129,12,FALSE),"")</f>
        <v/>
      </c>
      <c r="Q83" s="513" t="str">
        <f>IFERROR(IF(P83="","",IF(AND(P83='G-1 All Habitats'!$X$3,T83&gt;0),U83+V83,IF(AND(P83='G-1 All Habitats'!$X$3,S83&gt;0),U83+V83,IF(AND(P83='G-1 All Habitats'!$X$3,AC83&gt;0),"Any Loss Unacceptable",IF(AND(P83='G-1 All Habitats'!$X$3,W83&gt;0),"Any Loss Unacceptable",H83*J83*L83*O83))))),"Check Data ⚠")</f>
        <v/>
      </c>
      <c r="R83" s="50"/>
      <c r="S83" s="71"/>
      <c r="T83" s="72"/>
      <c r="U83" s="511" t="str">
        <f t="shared" si="8"/>
        <v/>
      </c>
      <c r="V83" s="511" t="str">
        <f t="shared" si="9"/>
        <v/>
      </c>
      <c r="W83" s="511"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545" t="str">
        <f>IFERROR(IF(H83="","",IF(H83-S83-T83=0&lt;0,"Error in Areas ▲",IF(S83+T83&gt;H83,"Error in Areas ▲",IF(AND(P83='G-1 All Habitats'!$X$3,Y83="Yes"),"Alternative Compensation",IF(W83=0,0,IF(P83='G-1 All Habitats'!$X$3,"Unacceptable Loss",Q83-U83-V83)))))),"Check Data ⚠")</f>
        <v/>
      </c>
      <c r="Y83" s="72"/>
      <c r="Z83" s="151"/>
      <c r="AA83" s="152"/>
      <c r="AC83" s="251" t="str">
        <f>IF(P83="","",IF(P83='G-1 All Habitats'!$X$3,H83-S83-T83,"None"))</f>
        <v/>
      </c>
      <c r="AD83" s="252" t="str">
        <f t="shared" si="10"/>
        <v/>
      </c>
      <c r="AF83" s="156" t="str">
        <f t="shared" si="6"/>
        <v/>
      </c>
      <c r="AG83" s="156" t="str">
        <f t="shared" si="7"/>
        <v/>
      </c>
      <c r="AH83" s="156" t="str">
        <f>IF(I83="","",IF(#REF!&gt;0,TRUE,FALSE))</f>
        <v/>
      </c>
      <c r="AI83" s="156">
        <v>73</v>
      </c>
      <c r="AJ83" s="156"/>
      <c r="AK83" s="156" t="str">
        <f t="array" ref="AK83">IFERROR(INDEX($AI$11:$AI$259, MATCH(0, IF(TRUE=$AF$11:$AF$259, COUNTIF($AK$10:$AK82, $AI$11:$AI$259), ""), 0)),"")</f>
        <v/>
      </c>
      <c r="AL83" s="156" t="str">
        <f t="array" ref="AL83">IFERROR(INDEX($AI$11:$AI$259, MATCH(0, IF(TRUE=$AG$11:$AG$259, COUNTIF($AL$10:$AL82, $AI$11:$AI$259), ""), 0)),"")</f>
        <v/>
      </c>
      <c r="AM83" s="156" t="str">
        <f t="array" ref="AM83">IFERROR(INDEX($AI$11:$AI$259, MATCH(0, IF(TRUE=$AH$11:$AH$259, COUNTIF($AM$10:$AM82, $AI$11:$AI$259), ""), 0)),"")</f>
        <v/>
      </c>
      <c r="AQ83" s="31">
        <f t="shared" si="11"/>
        <v>0</v>
      </c>
    </row>
    <row r="84" spans="1:43" x14ac:dyDescent="0.25">
      <c r="A84" s="31" t="str">
        <f>IFERROR(INDEX('G-1 All Habitats'!$AG$3:$AG$15,MATCH(E84,'G-1 All Habitats'!$AF$3:$AF$15,0)),"")</f>
        <v/>
      </c>
      <c r="B84" s="31" t="str">
        <f>IFERROR(INDEX('G-8 Condition Look up'!$I$4:$I$130,MATCH(G84,'G-8 Condition Look up'!$A$4:$A$130,0)),"")</f>
        <v/>
      </c>
      <c r="D84" s="141">
        <v>74</v>
      </c>
      <c r="E84" s="203"/>
      <c r="F84" s="203"/>
      <c r="G84" s="250" t="str">
        <f>IFERROR(INDEX('G-1 All Habitats'!$B$3:$B$129,MATCH(F84,'G-1 All Habitats'!$A$3:$A$129,0)),"")</f>
        <v/>
      </c>
      <c r="H84" s="172"/>
      <c r="I84" s="498" t="str">
        <f>IF(G84="","",VLOOKUP(G84,'G-1 All Habitats'!$B$2:$M$129,10,FALSE))</f>
        <v/>
      </c>
      <c r="J84" s="499" t="str">
        <f>IFERROR(VLOOKUP(I84,'G-1 All Habitats'!$V$3:$W$7,2,FALSE),"")</f>
        <v/>
      </c>
      <c r="K84" s="145"/>
      <c r="L84" s="499" t="str">
        <f>IFERROR(INDEX('G-8 Condition Look up'!$A$3:$H$130,MATCH(G84,'G-8 Condition Look up'!$A$3:$A$130,0),MATCH(K84,'G-8 Condition Look up'!$A$3:$H$3,0)),"")</f>
        <v/>
      </c>
      <c r="M84" s="154"/>
      <c r="N84" s="520" t="str">
        <f>IF(M84="","",IF(VLOOKUP(M84,'G-3 Multipliers'!$L$3:$N$6,2,FALSE)=0,"Spatial Data Missing ⚠",VLOOKUP(M84,'G-3 Multipliers'!$L$3:$N$6,2,FALSE)))</f>
        <v/>
      </c>
      <c r="O84" s="524" t="str">
        <f>IF(M84="","",IF(VLOOKUP(M84,'G-3 Multipliers'!$L$3:$N$6,3,FALSE)=0,"Spatial Data Missing ⚠",VLOOKUP(M84,'G-3 Multipliers'!$L$3:$N$6,3,FALSE)))</f>
        <v/>
      </c>
      <c r="P84" s="506" t="str">
        <f>IFERROR(VLOOKUP(G84,'G-1 All Habitats'!$B$2:$M$129,12,FALSE),"")</f>
        <v/>
      </c>
      <c r="Q84" s="513" t="str">
        <f>IFERROR(IF(P84="","",IF(AND(P84='G-1 All Habitats'!$X$3,T84&gt;0),U84+V84,IF(AND(P84='G-1 All Habitats'!$X$3,S84&gt;0),U84+V84,IF(AND(P84='G-1 All Habitats'!$X$3,AC84&gt;0),"Any Loss Unacceptable",IF(AND(P84='G-1 All Habitats'!$X$3,W84&gt;0),"Any Loss Unacceptable",H84*J84*L84*O84))))),"Check Data ⚠")</f>
        <v/>
      </c>
      <c r="R84" s="50"/>
      <c r="S84" s="71"/>
      <c r="T84" s="72"/>
      <c r="U84" s="511" t="str">
        <f t="shared" si="8"/>
        <v/>
      </c>
      <c r="V84" s="511" t="str">
        <f t="shared" si="9"/>
        <v/>
      </c>
      <c r="W84" s="511"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545" t="str">
        <f>IFERROR(IF(H84="","",IF(H84-S84-T84=0&lt;0,"Error in Areas ▲",IF(S84+T84&gt;H84,"Error in Areas ▲",IF(AND(P84='G-1 All Habitats'!$X$3,Y84="Yes"),"Alternative Compensation",IF(W84=0,0,IF(P84='G-1 All Habitats'!$X$3,"Unacceptable Loss",Q84-U84-V84)))))),"Check Data ⚠")</f>
        <v/>
      </c>
      <c r="Y84" s="72"/>
      <c r="Z84" s="151"/>
      <c r="AA84" s="152"/>
      <c r="AC84" s="251" t="str">
        <f>IF(P84="","",IF(P84='G-1 All Habitats'!$X$3,H84-S84-T84,"None"))</f>
        <v/>
      </c>
      <c r="AD84" s="252" t="str">
        <f t="shared" si="10"/>
        <v/>
      </c>
      <c r="AF84" s="156" t="str">
        <f t="shared" si="6"/>
        <v/>
      </c>
      <c r="AG84" s="156" t="str">
        <f t="shared" si="7"/>
        <v/>
      </c>
      <c r="AH84" s="156" t="str">
        <f>IF(I84="","",IF(#REF!&gt;0,TRUE,FALSE))</f>
        <v/>
      </c>
      <c r="AI84" s="156">
        <v>74</v>
      </c>
      <c r="AJ84" s="156"/>
      <c r="AK84" s="156" t="str">
        <f t="array" ref="AK84">IFERROR(INDEX($AI$11:$AI$259, MATCH(0, IF(TRUE=$AF$11:$AF$259, COUNTIF($AK$10:$AK83, $AI$11:$AI$259), ""), 0)),"")</f>
        <v/>
      </c>
      <c r="AL84" s="156" t="str">
        <f t="array" ref="AL84">IFERROR(INDEX($AI$11:$AI$259, MATCH(0, IF(TRUE=$AG$11:$AG$259, COUNTIF($AL$10:$AL83, $AI$11:$AI$259), ""), 0)),"")</f>
        <v/>
      </c>
      <c r="AM84" s="156" t="str">
        <f t="array" ref="AM84">IFERROR(INDEX($AI$11:$AI$259, MATCH(0, IF(TRUE=$AH$11:$AH$259, COUNTIF($AM$10:$AM83, $AI$11:$AI$259), ""), 0)),"")</f>
        <v/>
      </c>
      <c r="AQ84" s="31">
        <f t="shared" si="11"/>
        <v>0</v>
      </c>
    </row>
    <row r="85" spans="1:43" x14ac:dyDescent="0.25">
      <c r="A85" s="31" t="str">
        <f>IFERROR(INDEX('G-1 All Habitats'!$AG$3:$AG$15,MATCH(E85,'G-1 All Habitats'!$AF$3:$AF$15,0)),"")</f>
        <v/>
      </c>
      <c r="B85" s="31" t="str">
        <f>IFERROR(INDEX('G-8 Condition Look up'!$I$4:$I$130,MATCH(G85,'G-8 Condition Look up'!$A$4:$A$130,0)),"")</f>
        <v/>
      </c>
      <c r="D85" s="141">
        <v>75</v>
      </c>
      <c r="E85" s="203"/>
      <c r="F85" s="203"/>
      <c r="G85" s="250" t="str">
        <f>IFERROR(INDEX('G-1 All Habitats'!$B$3:$B$129,MATCH(F85,'G-1 All Habitats'!$A$3:$A$129,0)),"")</f>
        <v/>
      </c>
      <c r="H85" s="172"/>
      <c r="I85" s="498" t="str">
        <f>IF(G85="","",VLOOKUP(G85,'G-1 All Habitats'!$B$2:$M$129,10,FALSE))</f>
        <v/>
      </c>
      <c r="J85" s="499" t="str">
        <f>IFERROR(VLOOKUP(I85,'G-1 All Habitats'!$V$3:$W$7,2,FALSE),"")</f>
        <v/>
      </c>
      <c r="K85" s="145"/>
      <c r="L85" s="499" t="str">
        <f>IFERROR(INDEX('G-8 Condition Look up'!$A$3:$H$130,MATCH(G85,'G-8 Condition Look up'!$A$3:$A$130,0),MATCH(K85,'G-8 Condition Look up'!$A$3:$H$3,0)),"")</f>
        <v/>
      </c>
      <c r="M85" s="154"/>
      <c r="N85" s="520" t="str">
        <f>IF(M85="","",IF(VLOOKUP(M85,'G-3 Multipliers'!$L$3:$N$6,2,FALSE)=0,"Spatial Data Missing ⚠",VLOOKUP(M85,'G-3 Multipliers'!$L$3:$N$6,2,FALSE)))</f>
        <v/>
      </c>
      <c r="O85" s="524" t="str">
        <f>IF(M85="","",IF(VLOOKUP(M85,'G-3 Multipliers'!$L$3:$N$6,3,FALSE)=0,"Spatial Data Missing ⚠",VLOOKUP(M85,'G-3 Multipliers'!$L$3:$N$6,3,FALSE)))</f>
        <v/>
      </c>
      <c r="P85" s="506" t="str">
        <f>IFERROR(VLOOKUP(G85,'G-1 All Habitats'!$B$2:$M$129,12,FALSE),"")</f>
        <v/>
      </c>
      <c r="Q85" s="513" t="str">
        <f>IFERROR(IF(P85="","",IF(AND(P85='G-1 All Habitats'!$X$3,T85&gt;0),U85+V85,IF(AND(P85='G-1 All Habitats'!$X$3,S85&gt;0),U85+V85,IF(AND(P85='G-1 All Habitats'!$X$3,AC85&gt;0),"Any Loss Unacceptable",IF(AND(P85='G-1 All Habitats'!$X$3,W85&gt;0),"Any Loss Unacceptable",H85*J85*L85*O85))))),"Check Data ⚠")</f>
        <v/>
      </c>
      <c r="R85" s="50"/>
      <c r="S85" s="71"/>
      <c r="T85" s="72"/>
      <c r="U85" s="511" t="str">
        <f t="shared" si="8"/>
        <v/>
      </c>
      <c r="V85" s="511" t="str">
        <f t="shared" si="9"/>
        <v/>
      </c>
      <c r="W85" s="511"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545" t="str">
        <f>IFERROR(IF(H85="","",IF(H85-S85-T85=0&lt;0,"Error in Areas ▲",IF(S85+T85&gt;H85,"Error in Areas ▲",IF(AND(P85='G-1 All Habitats'!$X$3,Y85="Yes"),"Alternative Compensation",IF(W85=0,0,IF(P85='G-1 All Habitats'!$X$3,"Unacceptable Loss",Q85-U85-V85)))))),"Check Data ⚠")</f>
        <v/>
      </c>
      <c r="Y85" s="72"/>
      <c r="Z85" s="151"/>
      <c r="AA85" s="152"/>
      <c r="AC85" s="251" t="str">
        <f>IF(P85="","",IF(P85='G-1 All Habitats'!$X$3,H85-S85-T85,"None"))</f>
        <v/>
      </c>
      <c r="AD85" s="252" t="str">
        <f t="shared" si="10"/>
        <v/>
      </c>
      <c r="AF85" s="156" t="str">
        <f t="shared" si="6"/>
        <v/>
      </c>
      <c r="AG85" s="156" t="str">
        <f t="shared" si="7"/>
        <v/>
      </c>
      <c r="AH85" s="156" t="str">
        <f>IF(I85="","",IF(#REF!&gt;0,TRUE,FALSE))</f>
        <v/>
      </c>
      <c r="AI85" s="156">
        <v>75</v>
      </c>
      <c r="AJ85" s="156"/>
      <c r="AK85" s="156" t="str">
        <f t="array" ref="AK85">IFERROR(INDEX($AI$11:$AI$259, MATCH(0, IF(TRUE=$AF$11:$AF$259, COUNTIF($AK$10:$AK84, $AI$11:$AI$259), ""), 0)),"")</f>
        <v/>
      </c>
      <c r="AL85" s="156" t="str">
        <f t="array" ref="AL85">IFERROR(INDEX($AI$11:$AI$259, MATCH(0, IF(TRUE=$AG$11:$AG$259, COUNTIF($AL$10:$AL84, $AI$11:$AI$259), ""), 0)),"")</f>
        <v/>
      </c>
      <c r="AM85" s="156" t="str">
        <f t="array" ref="AM85">IFERROR(INDEX($AI$11:$AI$259, MATCH(0, IF(TRUE=$AH$11:$AH$259, COUNTIF($AM$10:$AM84, $AI$11:$AI$259), ""), 0)),"")</f>
        <v/>
      </c>
      <c r="AQ85" s="31">
        <f t="shared" si="11"/>
        <v>0</v>
      </c>
    </row>
    <row r="86" spans="1:43" x14ac:dyDescent="0.25">
      <c r="A86" s="31" t="str">
        <f>IFERROR(INDEX('G-1 All Habitats'!$AG$3:$AG$15,MATCH(E86,'G-1 All Habitats'!$AF$3:$AF$15,0)),"")</f>
        <v/>
      </c>
      <c r="B86" s="31" t="str">
        <f>IFERROR(INDEX('G-8 Condition Look up'!$I$4:$I$130,MATCH(G86,'G-8 Condition Look up'!$A$4:$A$130,0)),"")</f>
        <v/>
      </c>
      <c r="D86" s="141">
        <v>76</v>
      </c>
      <c r="E86" s="203"/>
      <c r="F86" s="203"/>
      <c r="G86" s="250" t="str">
        <f>IFERROR(INDEX('G-1 All Habitats'!$B$3:$B$129,MATCH(F86,'G-1 All Habitats'!$A$3:$A$129,0)),"")</f>
        <v/>
      </c>
      <c r="H86" s="172"/>
      <c r="I86" s="498" t="str">
        <f>IF(G86="","",VLOOKUP(G86,'G-1 All Habitats'!$B$2:$M$129,10,FALSE))</f>
        <v/>
      </c>
      <c r="J86" s="499" t="str">
        <f>IFERROR(VLOOKUP(I86,'G-1 All Habitats'!$V$3:$W$7,2,FALSE),"")</f>
        <v/>
      </c>
      <c r="K86" s="145"/>
      <c r="L86" s="499" t="str">
        <f>IFERROR(INDEX('G-8 Condition Look up'!$A$3:$H$130,MATCH(G86,'G-8 Condition Look up'!$A$3:$A$130,0),MATCH(K86,'G-8 Condition Look up'!$A$3:$H$3,0)),"")</f>
        <v/>
      </c>
      <c r="M86" s="154"/>
      <c r="N86" s="520" t="str">
        <f>IF(M86="","",IF(VLOOKUP(M86,'G-3 Multipliers'!$L$3:$N$6,2,FALSE)=0,"Spatial Data Missing ⚠",VLOOKUP(M86,'G-3 Multipliers'!$L$3:$N$6,2,FALSE)))</f>
        <v/>
      </c>
      <c r="O86" s="524" t="str">
        <f>IF(M86="","",IF(VLOOKUP(M86,'G-3 Multipliers'!$L$3:$N$6,3,FALSE)=0,"Spatial Data Missing ⚠",VLOOKUP(M86,'G-3 Multipliers'!$L$3:$N$6,3,FALSE)))</f>
        <v/>
      </c>
      <c r="P86" s="506" t="str">
        <f>IFERROR(VLOOKUP(G86,'G-1 All Habitats'!$B$2:$M$129,12,FALSE),"")</f>
        <v/>
      </c>
      <c r="Q86" s="513" t="str">
        <f>IFERROR(IF(P86="","",IF(AND(P86='G-1 All Habitats'!$X$3,T86&gt;0),U86+V86,IF(AND(P86='G-1 All Habitats'!$X$3,S86&gt;0),U86+V86,IF(AND(P86='G-1 All Habitats'!$X$3,AC86&gt;0),"Any Loss Unacceptable",IF(AND(P86='G-1 All Habitats'!$X$3,W86&gt;0),"Any Loss Unacceptable",H86*J86*L86*O86))))),"Check Data ⚠")</f>
        <v/>
      </c>
      <c r="R86" s="50"/>
      <c r="S86" s="71"/>
      <c r="T86" s="72"/>
      <c r="U86" s="511" t="str">
        <f t="shared" si="8"/>
        <v/>
      </c>
      <c r="V86" s="511" t="str">
        <f t="shared" si="9"/>
        <v/>
      </c>
      <c r="W86" s="511"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545" t="str">
        <f>IFERROR(IF(H86="","",IF(H86-S86-T86=0&lt;0,"Error in Areas ▲",IF(S86+T86&gt;H86,"Error in Areas ▲",IF(AND(P86='G-1 All Habitats'!$X$3,Y86="Yes"),"Alternative Compensation",IF(W86=0,0,IF(P86='G-1 All Habitats'!$X$3,"Unacceptable Loss",Q86-U86-V86)))))),"Check Data ⚠")</f>
        <v/>
      </c>
      <c r="Y86" s="72"/>
      <c r="Z86" s="151"/>
      <c r="AA86" s="152"/>
      <c r="AC86" s="251" t="str">
        <f>IF(P86="","",IF(P86='G-1 All Habitats'!$X$3,H86-S86-T86,"None"))</f>
        <v/>
      </c>
      <c r="AD86" s="252" t="str">
        <f t="shared" si="10"/>
        <v/>
      </c>
      <c r="AF86" s="156" t="str">
        <f t="shared" si="6"/>
        <v/>
      </c>
      <c r="AG86" s="156" t="str">
        <f t="shared" si="7"/>
        <v/>
      </c>
      <c r="AH86" s="156" t="str">
        <f>IF(I86="","",IF(#REF!&gt;0,TRUE,FALSE))</f>
        <v/>
      </c>
      <c r="AI86" s="156">
        <v>76</v>
      </c>
      <c r="AJ86" s="156"/>
      <c r="AK86" s="156" t="str">
        <f t="array" ref="AK86">IFERROR(INDEX($AI$11:$AI$259, MATCH(0, IF(TRUE=$AF$11:$AF$259, COUNTIF($AK$10:$AK85, $AI$11:$AI$259), ""), 0)),"")</f>
        <v/>
      </c>
      <c r="AL86" s="156" t="str">
        <f t="array" ref="AL86">IFERROR(INDEX($AI$11:$AI$259, MATCH(0, IF(TRUE=$AG$11:$AG$259, COUNTIF($AL$10:$AL85, $AI$11:$AI$259), ""), 0)),"")</f>
        <v/>
      </c>
      <c r="AM86" s="156" t="str">
        <f t="array" ref="AM86">IFERROR(INDEX($AI$11:$AI$259, MATCH(0, IF(TRUE=$AH$11:$AH$259, COUNTIF($AM$10:$AM85, $AI$11:$AI$259), ""), 0)),"")</f>
        <v/>
      </c>
      <c r="AQ86" s="31">
        <f t="shared" si="11"/>
        <v>0</v>
      </c>
    </row>
    <row r="87" spans="1:43" x14ac:dyDescent="0.25">
      <c r="A87" s="31" t="str">
        <f>IFERROR(INDEX('G-1 All Habitats'!$AG$3:$AG$15,MATCH(E87,'G-1 All Habitats'!$AF$3:$AF$15,0)),"")</f>
        <v/>
      </c>
      <c r="B87" s="31" t="str">
        <f>IFERROR(INDEX('G-8 Condition Look up'!$I$4:$I$130,MATCH(G87,'G-8 Condition Look up'!$A$4:$A$130,0)),"")</f>
        <v/>
      </c>
      <c r="D87" s="141">
        <v>77</v>
      </c>
      <c r="E87" s="203"/>
      <c r="F87" s="203"/>
      <c r="G87" s="250" t="str">
        <f>IFERROR(INDEX('G-1 All Habitats'!$B$3:$B$129,MATCH(F87,'G-1 All Habitats'!$A$3:$A$129,0)),"")</f>
        <v/>
      </c>
      <c r="H87" s="172"/>
      <c r="I87" s="498" t="str">
        <f>IF(G87="","",VLOOKUP(G87,'G-1 All Habitats'!$B$2:$M$129,10,FALSE))</f>
        <v/>
      </c>
      <c r="J87" s="499" t="str">
        <f>IFERROR(VLOOKUP(I87,'G-1 All Habitats'!$V$3:$W$7,2,FALSE),"")</f>
        <v/>
      </c>
      <c r="K87" s="145"/>
      <c r="L87" s="499" t="str">
        <f>IFERROR(INDEX('G-8 Condition Look up'!$A$3:$H$130,MATCH(G87,'G-8 Condition Look up'!$A$3:$A$130,0),MATCH(K87,'G-8 Condition Look up'!$A$3:$H$3,0)),"")</f>
        <v/>
      </c>
      <c r="M87" s="154"/>
      <c r="N87" s="520" t="str">
        <f>IF(M87="","",IF(VLOOKUP(M87,'G-3 Multipliers'!$L$3:$N$6,2,FALSE)=0,"Spatial Data Missing ⚠",VLOOKUP(M87,'G-3 Multipliers'!$L$3:$N$6,2,FALSE)))</f>
        <v/>
      </c>
      <c r="O87" s="524" t="str">
        <f>IF(M87="","",IF(VLOOKUP(M87,'G-3 Multipliers'!$L$3:$N$6,3,FALSE)=0,"Spatial Data Missing ⚠",VLOOKUP(M87,'G-3 Multipliers'!$L$3:$N$6,3,FALSE)))</f>
        <v/>
      </c>
      <c r="P87" s="506" t="str">
        <f>IFERROR(VLOOKUP(G87,'G-1 All Habitats'!$B$2:$M$129,12,FALSE),"")</f>
        <v/>
      </c>
      <c r="Q87" s="513" t="str">
        <f>IFERROR(IF(P87="","",IF(AND(P87='G-1 All Habitats'!$X$3,T87&gt;0),U87+V87,IF(AND(P87='G-1 All Habitats'!$X$3,S87&gt;0),U87+V87,IF(AND(P87='G-1 All Habitats'!$X$3,AC87&gt;0),"Any Loss Unacceptable",IF(AND(P87='G-1 All Habitats'!$X$3,W87&gt;0),"Any Loss Unacceptable",H87*J87*L87*O87))))),"Check Data ⚠")</f>
        <v/>
      </c>
      <c r="R87" s="50"/>
      <c r="S87" s="71"/>
      <c r="T87" s="72"/>
      <c r="U87" s="511" t="str">
        <f t="shared" si="8"/>
        <v/>
      </c>
      <c r="V87" s="511" t="str">
        <f t="shared" si="9"/>
        <v/>
      </c>
      <c r="W87" s="511"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545" t="str">
        <f>IFERROR(IF(H87="","",IF(H87-S87-T87=0&lt;0,"Error in Areas ▲",IF(S87+T87&gt;H87,"Error in Areas ▲",IF(AND(P87='G-1 All Habitats'!$X$3,Y87="Yes"),"Alternative Compensation",IF(W87=0,0,IF(P87='G-1 All Habitats'!$X$3,"Unacceptable Loss",Q87-U87-V87)))))),"Check Data ⚠")</f>
        <v/>
      </c>
      <c r="Y87" s="72"/>
      <c r="Z87" s="151"/>
      <c r="AA87" s="152"/>
      <c r="AC87" s="251" t="str">
        <f>IF(P87="","",IF(P87='G-1 All Habitats'!$X$3,H87-S87-T87,"None"))</f>
        <v/>
      </c>
      <c r="AD87" s="252" t="str">
        <f t="shared" si="10"/>
        <v/>
      </c>
      <c r="AF87" s="156" t="str">
        <f t="shared" si="6"/>
        <v/>
      </c>
      <c r="AG87" s="156" t="str">
        <f t="shared" si="7"/>
        <v/>
      </c>
      <c r="AH87" s="156" t="str">
        <f>IF(I87="","",IF(#REF!&gt;0,TRUE,FALSE))</f>
        <v/>
      </c>
      <c r="AI87" s="156">
        <v>77</v>
      </c>
      <c r="AJ87" s="156"/>
      <c r="AK87" s="156" t="str">
        <f t="array" ref="AK87">IFERROR(INDEX($AI$11:$AI$259, MATCH(0, IF(TRUE=$AF$11:$AF$259, COUNTIF($AK$10:$AK86, $AI$11:$AI$259), ""), 0)),"")</f>
        <v/>
      </c>
      <c r="AL87" s="156" t="str">
        <f t="array" ref="AL87">IFERROR(INDEX($AI$11:$AI$259, MATCH(0, IF(TRUE=$AG$11:$AG$259, COUNTIF($AL$10:$AL86, $AI$11:$AI$259), ""), 0)),"")</f>
        <v/>
      </c>
      <c r="AM87" s="156" t="str">
        <f t="array" ref="AM87">IFERROR(INDEX($AI$11:$AI$259, MATCH(0, IF(TRUE=$AH$11:$AH$259, COUNTIF($AM$10:$AM86, $AI$11:$AI$259), ""), 0)),"")</f>
        <v/>
      </c>
      <c r="AQ87" s="31">
        <f t="shared" si="11"/>
        <v>0</v>
      </c>
    </row>
    <row r="88" spans="1:43" x14ac:dyDescent="0.25">
      <c r="A88" s="31" t="str">
        <f>IFERROR(INDEX('G-1 All Habitats'!$AG$3:$AG$15,MATCH(E88,'G-1 All Habitats'!$AF$3:$AF$15,0)),"")</f>
        <v/>
      </c>
      <c r="B88" s="31" t="str">
        <f>IFERROR(INDEX('G-8 Condition Look up'!$I$4:$I$130,MATCH(G88,'G-8 Condition Look up'!$A$4:$A$130,0)),"")</f>
        <v/>
      </c>
      <c r="D88" s="141">
        <v>78</v>
      </c>
      <c r="E88" s="203"/>
      <c r="F88" s="203"/>
      <c r="G88" s="250" t="str">
        <f>IFERROR(INDEX('G-1 All Habitats'!$B$3:$B$129,MATCH(F88,'G-1 All Habitats'!$A$3:$A$129,0)),"")</f>
        <v/>
      </c>
      <c r="H88" s="172"/>
      <c r="I88" s="498" t="str">
        <f>IF(G88="","",VLOOKUP(G88,'G-1 All Habitats'!$B$2:$M$129,10,FALSE))</f>
        <v/>
      </c>
      <c r="J88" s="499" t="str">
        <f>IFERROR(VLOOKUP(I88,'G-1 All Habitats'!$V$3:$W$7,2,FALSE),"")</f>
        <v/>
      </c>
      <c r="K88" s="145"/>
      <c r="L88" s="499" t="str">
        <f>IFERROR(INDEX('G-8 Condition Look up'!$A$3:$H$130,MATCH(G88,'G-8 Condition Look up'!$A$3:$A$130,0),MATCH(K88,'G-8 Condition Look up'!$A$3:$H$3,0)),"")</f>
        <v/>
      </c>
      <c r="M88" s="154"/>
      <c r="N88" s="520" t="str">
        <f>IF(M88="","",IF(VLOOKUP(M88,'G-3 Multipliers'!$L$3:$N$6,2,FALSE)=0,"Spatial Data Missing ⚠",VLOOKUP(M88,'G-3 Multipliers'!$L$3:$N$6,2,FALSE)))</f>
        <v/>
      </c>
      <c r="O88" s="524" t="str">
        <f>IF(M88="","",IF(VLOOKUP(M88,'G-3 Multipliers'!$L$3:$N$6,3,FALSE)=0,"Spatial Data Missing ⚠",VLOOKUP(M88,'G-3 Multipliers'!$L$3:$N$6,3,FALSE)))</f>
        <v/>
      </c>
      <c r="P88" s="506" t="str">
        <f>IFERROR(VLOOKUP(G88,'G-1 All Habitats'!$B$2:$M$129,12,FALSE),"")</f>
        <v/>
      </c>
      <c r="Q88" s="513" t="str">
        <f>IFERROR(IF(P88="","",IF(AND(P88='G-1 All Habitats'!$X$3,T88&gt;0),U88+V88,IF(AND(P88='G-1 All Habitats'!$X$3,S88&gt;0),U88+V88,IF(AND(P88='G-1 All Habitats'!$X$3,AC88&gt;0),"Any Loss Unacceptable",IF(AND(P88='G-1 All Habitats'!$X$3,W88&gt;0),"Any Loss Unacceptable",H88*J88*L88*O88))))),"Check Data ⚠")</f>
        <v/>
      </c>
      <c r="R88" s="50"/>
      <c r="S88" s="71"/>
      <c r="T88" s="72"/>
      <c r="U88" s="511" t="str">
        <f t="shared" si="8"/>
        <v/>
      </c>
      <c r="V88" s="511" t="str">
        <f t="shared" si="9"/>
        <v/>
      </c>
      <c r="W88" s="511"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545" t="str">
        <f>IFERROR(IF(H88="","",IF(H88-S88-T88=0&lt;0,"Error in Areas ▲",IF(S88+T88&gt;H88,"Error in Areas ▲",IF(AND(P88='G-1 All Habitats'!$X$3,Y88="Yes"),"Alternative Compensation",IF(W88=0,0,IF(P88='G-1 All Habitats'!$X$3,"Unacceptable Loss",Q88-U88-V88)))))),"Check Data ⚠")</f>
        <v/>
      </c>
      <c r="Y88" s="72"/>
      <c r="Z88" s="151"/>
      <c r="AA88" s="152"/>
      <c r="AC88" s="251" t="str">
        <f>IF(P88="","",IF(P88='G-1 All Habitats'!$X$3,H88-S88-T88,"None"))</f>
        <v/>
      </c>
      <c r="AD88" s="252" t="str">
        <f t="shared" si="10"/>
        <v/>
      </c>
      <c r="AF88" s="156" t="str">
        <f t="shared" si="6"/>
        <v/>
      </c>
      <c r="AG88" s="156" t="str">
        <f t="shared" si="7"/>
        <v/>
      </c>
      <c r="AH88" s="156" t="str">
        <f>IF(I88="","",IF(#REF!&gt;0,TRUE,FALSE))</f>
        <v/>
      </c>
      <c r="AI88" s="156">
        <v>78</v>
      </c>
      <c r="AJ88" s="156"/>
      <c r="AK88" s="156" t="str">
        <f t="array" ref="AK88">IFERROR(INDEX($AI$11:$AI$259, MATCH(0, IF(TRUE=$AF$11:$AF$259, COUNTIF($AK$10:$AK87, $AI$11:$AI$259), ""), 0)),"")</f>
        <v/>
      </c>
      <c r="AL88" s="156" t="str">
        <f t="array" ref="AL88">IFERROR(INDEX($AI$11:$AI$259, MATCH(0, IF(TRUE=$AG$11:$AG$259, COUNTIF($AL$10:$AL87, $AI$11:$AI$259), ""), 0)),"")</f>
        <v/>
      </c>
      <c r="AM88" s="156" t="str">
        <f t="array" ref="AM88">IFERROR(INDEX($AI$11:$AI$259, MATCH(0, IF(TRUE=$AH$11:$AH$259, COUNTIF($AM$10:$AM87, $AI$11:$AI$259), ""), 0)),"")</f>
        <v/>
      </c>
      <c r="AQ88" s="31">
        <f t="shared" si="11"/>
        <v>0</v>
      </c>
    </row>
    <row r="89" spans="1:43" x14ac:dyDescent="0.25">
      <c r="A89" s="31" t="str">
        <f>IFERROR(INDEX('G-1 All Habitats'!$AG$3:$AG$15,MATCH(E89,'G-1 All Habitats'!$AF$3:$AF$15,0)),"")</f>
        <v/>
      </c>
      <c r="B89" s="31" t="str">
        <f>IFERROR(INDEX('G-8 Condition Look up'!$I$4:$I$130,MATCH(G89,'G-8 Condition Look up'!$A$4:$A$130,0)),"")</f>
        <v/>
      </c>
      <c r="D89" s="141">
        <v>79</v>
      </c>
      <c r="E89" s="203"/>
      <c r="F89" s="203"/>
      <c r="G89" s="250" t="str">
        <f>IFERROR(INDEX('G-1 All Habitats'!$B$3:$B$129,MATCH(F89,'G-1 All Habitats'!$A$3:$A$129,0)),"")</f>
        <v/>
      </c>
      <c r="H89" s="172"/>
      <c r="I89" s="498" t="str">
        <f>IF(G89="","",VLOOKUP(G89,'G-1 All Habitats'!$B$2:$M$129,10,FALSE))</f>
        <v/>
      </c>
      <c r="J89" s="499" t="str">
        <f>IFERROR(VLOOKUP(I89,'G-1 All Habitats'!$V$3:$W$7,2,FALSE),"")</f>
        <v/>
      </c>
      <c r="K89" s="145"/>
      <c r="L89" s="499" t="str">
        <f>IFERROR(INDEX('G-8 Condition Look up'!$A$3:$H$130,MATCH(G89,'G-8 Condition Look up'!$A$3:$A$130,0),MATCH(K89,'G-8 Condition Look up'!$A$3:$H$3,0)),"")</f>
        <v/>
      </c>
      <c r="M89" s="154"/>
      <c r="N89" s="520" t="str">
        <f>IF(M89="","",IF(VLOOKUP(M89,'G-3 Multipliers'!$L$3:$N$6,2,FALSE)=0,"Spatial Data Missing ⚠",VLOOKUP(M89,'G-3 Multipliers'!$L$3:$N$6,2,FALSE)))</f>
        <v/>
      </c>
      <c r="O89" s="524" t="str">
        <f>IF(M89="","",IF(VLOOKUP(M89,'G-3 Multipliers'!$L$3:$N$6,3,FALSE)=0,"Spatial Data Missing ⚠",VLOOKUP(M89,'G-3 Multipliers'!$L$3:$N$6,3,FALSE)))</f>
        <v/>
      </c>
      <c r="P89" s="506" t="str">
        <f>IFERROR(VLOOKUP(G89,'G-1 All Habitats'!$B$2:$M$129,12,FALSE),"")</f>
        <v/>
      </c>
      <c r="Q89" s="513" t="str">
        <f>IFERROR(IF(P89="","",IF(AND(P89='G-1 All Habitats'!$X$3,T89&gt;0),U89+V89,IF(AND(P89='G-1 All Habitats'!$X$3,S89&gt;0),U89+V89,IF(AND(P89='G-1 All Habitats'!$X$3,AC89&gt;0),"Any Loss Unacceptable",IF(AND(P89='G-1 All Habitats'!$X$3,W89&gt;0),"Any Loss Unacceptable",H89*J89*L89*O89))))),"Check Data ⚠")</f>
        <v/>
      </c>
      <c r="R89" s="50"/>
      <c r="S89" s="71"/>
      <c r="T89" s="72"/>
      <c r="U89" s="511" t="str">
        <f t="shared" si="8"/>
        <v/>
      </c>
      <c r="V89" s="511" t="str">
        <f t="shared" si="9"/>
        <v/>
      </c>
      <c r="W89" s="511"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545" t="str">
        <f>IFERROR(IF(H89="","",IF(H89-S89-T89=0&lt;0,"Error in Areas ▲",IF(S89+T89&gt;H89,"Error in Areas ▲",IF(AND(P89='G-1 All Habitats'!$X$3,Y89="Yes"),"Alternative Compensation",IF(W89=0,0,IF(P89='G-1 All Habitats'!$X$3,"Unacceptable Loss",Q89-U89-V89)))))),"Check Data ⚠")</f>
        <v/>
      </c>
      <c r="Y89" s="72"/>
      <c r="Z89" s="151"/>
      <c r="AA89" s="152"/>
      <c r="AC89" s="251" t="str">
        <f>IF(P89="","",IF(P89='G-1 All Habitats'!$X$3,H89-S89-T89,"None"))</f>
        <v/>
      </c>
      <c r="AD89" s="252" t="str">
        <f t="shared" si="10"/>
        <v/>
      </c>
      <c r="AF89" s="156" t="str">
        <f t="shared" si="6"/>
        <v/>
      </c>
      <c r="AG89" s="156" t="str">
        <f t="shared" si="7"/>
        <v/>
      </c>
      <c r="AH89" s="156" t="str">
        <f>IF(I89="","",IF(#REF!&gt;0,TRUE,FALSE))</f>
        <v/>
      </c>
      <c r="AI89" s="156">
        <v>79</v>
      </c>
      <c r="AJ89" s="156"/>
      <c r="AK89" s="156" t="str">
        <f t="array" ref="AK89">IFERROR(INDEX($AI$11:$AI$259, MATCH(0, IF(TRUE=$AF$11:$AF$259, COUNTIF($AK$10:$AK88, $AI$11:$AI$259), ""), 0)),"")</f>
        <v/>
      </c>
      <c r="AL89" s="156" t="str">
        <f t="array" ref="AL89">IFERROR(INDEX($AI$11:$AI$259, MATCH(0, IF(TRUE=$AG$11:$AG$259, COUNTIF($AL$10:$AL88, $AI$11:$AI$259), ""), 0)),"")</f>
        <v/>
      </c>
      <c r="AM89" s="156" t="str">
        <f t="array" ref="AM89">IFERROR(INDEX($AI$11:$AI$259, MATCH(0, IF(TRUE=$AH$11:$AH$259, COUNTIF($AM$10:$AM88, $AI$11:$AI$259), ""), 0)),"")</f>
        <v/>
      </c>
      <c r="AQ89" s="31">
        <f t="shared" si="11"/>
        <v>0</v>
      </c>
    </row>
    <row r="90" spans="1:43" x14ac:dyDescent="0.25">
      <c r="A90" s="31" t="str">
        <f>IFERROR(INDEX('G-1 All Habitats'!$AG$3:$AG$15,MATCH(E90,'G-1 All Habitats'!$AF$3:$AF$15,0)),"")</f>
        <v/>
      </c>
      <c r="B90" s="31" t="str">
        <f>IFERROR(INDEX('G-8 Condition Look up'!$I$4:$I$130,MATCH(G90,'G-8 Condition Look up'!$A$4:$A$130,0)),"")</f>
        <v/>
      </c>
      <c r="D90" s="141">
        <v>80</v>
      </c>
      <c r="E90" s="203"/>
      <c r="F90" s="203"/>
      <c r="G90" s="250" t="str">
        <f>IFERROR(INDEX('G-1 All Habitats'!$B$3:$B$129,MATCH(F90,'G-1 All Habitats'!$A$3:$A$129,0)),"")</f>
        <v/>
      </c>
      <c r="H90" s="172"/>
      <c r="I90" s="498" t="str">
        <f>IF(G90="","",VLOOKUP(G90,'G-1 All Habitats'!$B$2:$M$129,10,FALSE))</f>
        <v/>
      </c>
      <c r="J90" s="499" t="str">
        <f>IFERROR(VLOOKUP(I90,'G-1 All Habitats'!$V$3:$W$7,2,FALSE),"")</f>
        <v/>
      </c>
      <c r="K90" s="145"/>
      <c r="L90" s="499" t="str">
        <f>IFERROR(INDEX('G-8 Condition Look up'!$A$3:$H$130,MATCH(G90,'G-8 Condition Look up'!$A$3:$A$130,0),MATCH(K90,'G-8 Condition Look up'!$A$3:$H$3,0)),"")</f>
        <v/>
      </c>
      <c r="M90" s="154"/>
      <c r="N90" s="520" t="str">
        <f>IF(M90="","",IF(VLOOKUP(M90,'G-3 Multipliers'!$L$3:$N$6,2,FALSE)=0,"Spatial Data Missing ⚠",VLOOKUP(M90,'G-3 Multipliers'!$L$3:$N$6,2,FALSE)))</f>
        <v/>
      </c>
      <c r="O90" s="524" t="str">
        <f>IF(M90="","",IF(VLOOKUP(M90,'G-3 Multipliers'!$L$3:$N$6,3,FALSE)=0,"Spatial Data Missing ⚠",VLOOKUP(M90,'G-3 Multipliers'!$L$3:$N$6,3,FALSE)))</f>
        <v/>
      </c>
      <c r="P90" s="506" t="str">
        <f>IFERROR(VLOOKUP(G90,'G-1 All Habitats'!$B$2:$M$129,12,FALSE),"")</f>
        <v/>
      </c>
      <c r="Q90" s="513" t="str">
        <f>IFERROR(IF(P90="","",IF(AND(P90='G-1 All Habitats'!$X$3,T90&gt;0),U90+V90,IF(AND(P90='G-1 All Habitats'!$X$3,S90&gt;0),U90+V90,IF(AND(P90='G-1 All Habitats'!$X$3,AC90&gt;0),"Any Loss Unacceptable",IF(AND(P90='G-1 All Habitats'!$X$3,W90&gt;0),"Any Loss Unacceptable",H90*J90*L90*O90))))),"Check Data ⚠")</f>
        <v/>
      </c>
      <c r="R90" s="50"/>
      <c r="S90" s="71"/>
      <c r="T90" s="72"/>
      <c r="U90" s="511" t="str">
        <f t="shared" si="8"/>
        <v/>
      </c>
      <c r="V90" s="511" t="str">
        <f t="shared" si="9"/>
        <v/>
      </c>
      <c r="W90" s="511"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545" t="str">
        <f>IFERROR(IF(H90="","",IF(H90-S90-T90=0&lt;0,"Error in Areas ▲",IF(S90+T90&gt;H90,"Error in Areas ▲",IF(AND(P90='G-1 All Habitats'!$X$3,Y90="Yes"),"Alternative Compensation",IF(W90=0,0,IF(P90='G-1 All Habitats'!$X$3,"Unacceptable Loss",Q90-U90-V90)))))),"Check Data ⚠")</f>
        <v/>
      </c>
      <c r="Y90" s="72"/>
      <c r="Z90" s="151"/>
      <c r="AA90" s="152"/>
      <c r="AC90" s="251" t="str">
        <f>IF(P90="","",IF(P90='G-1 All Habitats'!$X$3,H90-S90-T90,"None"))</f>
        <v/>
      </c>
      <c r="AD90" s="252" t="str">
        <f t="shared" si="10"/>
        <v/>
      </c>
      <c r="AF90" s="156" t="str">
        <f t="shared" si="6"/>
        <v/>
      </c>
      <c r="AG90" s="156" t="str">
        <f t="shared" si="7"/>
        <v/>
      </c>
      <c r="AH90" s="156" t="str">
        <f>IF(I90="","",IF(#REF!&gt;0,TRUE,FALSE))</f>
        <v/>
      </c>
      <c r="AI90" s="156">
        <v>80</v>
      </c>
      <c r="AJ90" s="156"/>
      <c r="AK90" s="156" t="str">
        <f t="array" ref="AK90">IFERROR(INDEX($AI$11:$AI$259, MATCH(0, IF(TRUE=$AF$11:$AF$259, COUNTIF($AK$10:$AK89, $AI$11:$AI$259), ""), 0)),"")</f>
        <v/>
      </c>
      <c r="AL90" s="156" t="str">
        <f t="array" ref="AL90">IFERROR(INDEX($AI$11:$AI$259, MATCH(0, IF(TRUE=$AG$11:$AG$259, COUNTIF($AL$10:$AL89, $AI$11:$AI$259), ""), 0)),"")</f>
        <v/>
      </c>
      <c r="AM90" s="156" t="str">
        <f t="array" ref="AM90">IFERROR(INDEX($AI$11:$AI$259, MATCH(0, IF(TRUE=$AH$11:$AH$259, COUNTIF($AM$10:$AM89, $AI$11:$AI$259), ""), 0)),"")</f>
        <v/>
      </c>
      <c r="AQ90" s="31">
        <f t="shared" si="11"/>
        <v>0</v>
      </c>
    </row>
    <row r="91" spans="1:43" x14ac:dyDescent="0.25">
      <c r="A91" s="31" t="str">
        <f>IFERROR(INDEX('G-1 All Habitats'!$AG$3:$AG$15,MATCH(E91,'G-1 All Habitats'!$AF$3:$AF$15,0)),"")</f>
        <v/>
      </c>
      <c r="B91" s="31" t="str">
        <f>IFERROR(INDEX('G-8 Condition Look up'!$I$4:$I$130,MATCH(G91,'G-8 Condition Look up'!$A$4:$A$130,0)),"")</f>
        <v/>
      </c>
      <c r="D91" s="141">
        <v>81</v>
      </c>
      <c r="E91" s="203"/>
      <c r="F91" s="203"/>
      <c r="G91" s="250" t="str">
        <f>IFERROR(INDEX('G-1 All Habitats'!$B$3:$B$129,MATCH(F91,'G-1 All Habitats'!$A$3:$A$129,0)),"")</f>
        <v/>
      </c>
      <c r="H91" s="172"/>
      <c r="I91" s="498" t="str">
        <f>IF(G91="","",VLOOKUP(G91,'G-1 All Habitats'!$B$2:$M$129,10,FALSE))</f>
        <v/>
      </c>
      <c r="J91" s="499" t="str">
        <f>IFERROR(VLOOKUP(I91,'G-1 All Habitats'!$V$3:$W$7,2,FALSE),"")</f>
        <v/>
      </c>
      <c r="K91" s="145"/>
      <c r="L91" s="499" t="str">
        <f>IFERROR(INDEX('G-8 Condition Look up'!$A$3:$H$130,MATCH(G91,'G-8 Condition Look up'!$A$3:$A$130,0),MATCH(K91,'G-8 Condition Look up'!$A$3:$H$3,0)),"")</f>
        <v/>
      </c>
      <c r="M91" s="154"/>
      <c r="N91" s="520" t="str">
        <f>IF(M91="","",IF(VLOOKUP(M91,'G-3 Multipliers'!$L$3:$N$6,2,FALSE)=0,"Spatial Data Missing ⚠",VLOOKUP(M91,'G-3 Multipliers'!$L$3:$N$6,2,FALSE)))</f>
        <v/>
      </c>
      <c r="O91" s="524" t="str">
        <f>IF(M91="","",IF(VLOOKUP(M91,'G-3 Multipliers'!$L$3:$N$6,3,FALSE)=0,"Spatial Data Missing ⚠",VLOOKUP(M91,'G-3 Multipliers'!$L$3:$N$6,3,FALSE)))</f>
        <v/>
      </c>
      <c r="P91" s="506" t="str">
        <f>IFERROR(VLOOKUP(G91,'G-1 All Habitats'!$B$2:$M$129,12,FALSE),"")</f>
        <v/>
      </c>
      <c r="Q91" s="513" t="str">
        <f>IFERROR(IF(P91="","",IF(AND(P91='G-1 All Habitats'!$X$3,T91&gt;0),U91+V91,IF(AND(P91='G-1 All Habitats'!$X$3,S91&gt;0),U91+V91,IF(AND(P91='G-1 All Habitats'!$X$3,AC91&gt;0),"Any Loss Unacceptable",IF(AND(P91='G-1 All Habitats'!$X$3,W91&gt;0),"Any Loss Unacceptable",H91*J91*L91*O91))))),"Check Data ⚠")</f>
        <v/>
      </c>
      <c r="R91" s="50"/>
      <c r="S91" s="71"/>
      <c r="T91" s="72"/>
      <c r="U91" s="511" t="str">
        <f t="shared" si="8"/>
        <v/>
      </c>
      <c r="V91" s="511" t="str">
        <f t="shared" si="9"/>
        <v/>
      </c>
      <c r="W91" s="511"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545" t="str">
        <f>IFERROR(IF(H91="","",IF(H91-S91-T91=0&lt;0,"Error in Areas ▲",IF(S91+T91&gt;H91,"Error in Areas ▲",IF(AND(P91='G-1 All Habitats'!$X$3,Y91="Yes"),"Alternative Compensation",IF(W91=0,0,IF(P91='G-1 All Habitats'!$X$3,"Unacceptable Loss",Q91-U91-V91)))))),"Check Data ⚠")</f>
        <v/>
      </c>
      <c r="Y91" s="72"/>
      <c r="Z91" s="151"/>
      <c r="AA91" s="152"/>
      <c r="AC91" s="251" t="str">
        <f>IF(P91="","",IF(P91='G-1 All Habitats'!$X$3,H91-S91-T91,"None"))</f>
        <v/>
      </c>
      <c r="AD91" s="252" t="str">
        <f t="shared" si="10"/>
        <v/>
      </c>
      <c r="AF91" s="156" t="str">
        <f t="shared" si="6"/>
        <v/>
      </c>
      <c r="AG91" s="156" t="str">
        <f t="shared" si="7"/>
        <v/>
      </c>
      <c r="AH91" s="156" t="str">
        <f>IF(I91="","",IF(#REF!&gt;0,TRUE,FALSE))</f>
        <v/>
      </c>
      <c r="AI91" s="156">
        <v>81</v>
      </c>
      <c r="AJ91" s="156"/>
      <c r="AK91" s="156" t="str">
        <f t="array" ref="AK91">IFERROR(INDEX($AI$11:$AI$259, MATCH(0, IF(TRUE=$AF$11:$AF$259, COUNTIF($AK$10:$AK90, $AI$11:$AI$259), ""), 0)),"")</f>
        <v/>
      </c>
      <c r="AL91" s="156" t="str">
        <f t="array" ref="AL91">IFERROR(INDEX($AI$11:$AI$259, MATCH(0, IF(TRUE=$AG$11:$AG$259, COUNTIF($AL$10:$AL90, $AI$11:$AI$259), ""), 0)),"")</f>
        <v/>
      </c>
      <c r="AM91" s="156" t="str">
        <f t="array" ref="AM91">IFERROR(INDEX($AI$11:$AI$259, MATCH(0, IF(TRUE=$AH$11:$AH$259, COUNTIF($AM$10:$AM90, $AI$11:$AI$259), ""), 0)),"")</f>
        <v/>
      </c>
      <c r="AQ91" s="31">
        <f t="shared" si="11"/>
        <v>0</v>
      </c>
    </row>
    <row r="92" spans="1:43" x14ac:dyDescent="0.25">
      <c r="A92" s="31" t="str">
        <f>IFERROR(INDEX('G-1 All Habitats'!$AG$3:$AG$15,MATCH(E92,'G-1 All Habitats'!$AF$3:$AF$15,0)),"")</f>
        <v/>
      </c>
      <c r="B92" s="31" t="str">
        <f>IFERROR(INDEX('G-8 Condition Look up'!$I$4:$I$130,MATCH(G92,'G-8 Condition Look up'!$A$4:$A$130,0)),"")</f>
        <v/>
      </c>
      <c r="D92" s="141">
        <v>82</v>
      </c>
      <c r="E92" s="203"/>
      <c r="F92" s="203"/>
      <c r="G92" s="250" t="str">
        <f>IFERROR(INDEX('G-1 All Habitats'!$B$3:$B$129,MATCH(F92,'G-1 All Habitats'!$A$3:$A$129,0)),"")</f>
        <v/>
      </c>
      <c r="H92" s="172"/>
      <c r="I92" s="498" t="str">
        <f>IF(G92="","",VLOOKUP(G92,'G-1 All Habitats'!$B$2:$M$129,10,FALSE))</f>
        <v/>
      </c>
      <c r="J92" s="499" t="str">
        <f>IFERROR(VLOOKUP(I92,'G-1 All Habitats'!$V$3:$W$7,2,FALSE),"")</f>
        <v/>
      </c>
      <c r="K92" s="145"/>
      <c r="L92" s="499" t="str">
        <f>IFERROR(INDEX('G-8 Condition Look up'!$A$3:$H$130,MATCH(G92,'G-8 Condition Look up'!$A$3:$A$130,0),MATCH(K92,'G-8 Condition Look up'!$A$3:$H$3,0)),"")</f>
        <v/>
      </c>
      <c r="M92" s="154"/>
      <c r="N92" s="520" t="str">
        <f>IF(M92="","",IF(VLOOKUP(M92,'G-3 Multipliers'!$L$3:$N$6,2,FALSE)=0,"Spatial Data Missing ⚠",VLOOKUP(M92,'G-3 Multipliers'!$L$3:$N$6,2,FALSE)))</f>
        <v/>
      </c>
      <c r="O92" s="524" t="str">
        <f>IF(M92="","",IF(VLOOKUP(M92,'G-3 Multipliers'!$L$3:$N$6,3,FALSE)=0,"Spatial Data Missing ⚠",VLOOKUP(M92,'G-3 Multipliers'!$L$3:$N$6,3,FALSE)))</f>
        <v/>
      </c>
      <c r="P92" s="506" t="str">
        <f>IFERROR(VLOOKUP(G92,'G-1 All Habitats'!$B$2:$M$129,12,FALSE),"")</f>
        <v/>
      </c>
      <c r="Q92" s="513" t="str">
        <f>IFERROR(IF(P92="","",IF(AND(P92='G-1 All Habitats'!$X$3,T92&gt;0),U92+V92,IF(AND(P92='G-1 All Habitats'!$X$3,S92&gt;0),U92+V92,IF(AND(P92='G-1 All Habitats'!$X$3,AC92&gt;0),"Any Loss Unacceptable",IF(AND(P92='G-1 All Habitats'!$X$3,W92&gt;0),"Any Loss Unacceptable",H92*J92*L92*O92))))),"Check Data ⚠")</f>
        <v/>
      </c>
      <c r="R92" s="50"/>
      <c r="S92" s="71"/>
      <c r="T92" s="72"/>
      <c r="U92" s="511" t="str">
        <f t="shared" si="8"/>
        <v/>
      </c>
      <c r="V92" s="511" t="str">
        <f t="shared" si="9"/>
        <v/>
      </c>
      <c r="W92" s="511"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545" t="str">
        <f>IFERROR(IF(H92="","",IF(H92-S92-T92=0&lt;0,"Error in Areas ▲",IF(S92+T92&gt;H92,"Error in Areas ▲",IF(AND(P92='G-1 All Habitats'!$X$3,Y92="Yes"),"Alternative Compensation",IF(W92=0,0,IF(P92='G-1 All Habitats'!$X$3,"Unacceptable Loss",Q92-U92-V92)))))),"Check Data ⚠")</f>
        <v/>
      </c>
      <c r="Y92" s="72"/>
      <c r="Z92" s="151"/>
      <c r="AA92" s="152"/>
      <c r="AC92" s="251" t="str">
        <f>IF(P92="","",IF(P92='G-1 All Habitats'!$X$3,H92-S92-T92,"None"))</f>
        <v/>
      </c>
      <c r="AD92" s="252" t="str">
        <f t="shared" si="10"/>
        <v/>
      </c>
      <c r="AF92" s="156" t="str">
        <f t="shared" si="6"/>
        <v/>
      </c>
      <c r="AG92" s="156" t="str">
        <f t="shared" si="7"/>
        <v/>
      </c>
      <c r="AH92" s="156" t="str">
        <f>IF(I92="","",IF(#REF!&gt;0,TRUE,FALSE))</f>
        <v/>
      </c>
      <c r="AI92" s="156">
        <v>82</v>
      </c>
      <c r="AJ92" s="156"/>
      <c r="AK92" s="156" t="str">
        <f t="array" ref="AK92">IFERROR(INDEX($AI$11:$AI$259, MATCH(0, IF(TRUE=$AF$11:$AF$259, COUNTIF($AK$10:$AK91, $AI$11:$AI$259), ""), 0)),"")</f>
        <v/>
      </c>
      <c r="AL92" s="156" t="str">
        <f t="array" ref="AL92">IFERROR(INDEX($AI$11:$AI$259, MATCH(0, IF(TRUE=$AG$11:$AG$259, COUNTIF($AL$10:$AL91, $AI$11:$AI$259), ""), 0)),"")</f>
        <v/>
      </c>
      <c r="AM92" s="156" t="str">
        <f t="array" ref="AM92">IFERROR(INDEX($AI$11:$AI$259, MATCH(0, IF(TRUE=$AH$11:$AH$259, COUNTIF($AM$10:$AM91, $AI$11:$AI$259), ""), 0)),"")</f>
        <v/>
      </c>
      <c r="AQ92" s="31">
        <f t="shared" si="11"/>
        <v>0</v>
      </c>
    </row>
    <row r="93" spans="1:43" x14ac:dyDescent="0.25">
      <c r="A93" s="31" t="str">
        <f>IFERROR(INDEX('G-1 All Habitats'!$AG$3:$AG$15,MATCH(E93,'G-1 All Habitats'!$AF$3:$AF$15,0)),"")</f>
        <v/>
      </c>
      <c r="B93" s="31" t="str">
        <f>IFERROR(INDEX('G-8 Condition Look up'!$I$4:$I$130,MATCH(G93,'G-8 Condition Look up'!$A$4:$A$130,0)),"")</f>
        <v/>
      </c>
      <c r="D93" s="141">
        <v>83</v>
      </c>
      <c r="E93" s="203"/>
      <c r="F93" s="203"/>
      <c r="G93" s="250" t="str">
        <f>IFERROR(INDEX('G-1 All Habitats'!$B$3:$B$129,MATCH(F93,'G-1 All Habitats'!$A$3:$A$129,0)),"")</f>
        <v/>
      </c>
      <c r="H93" s="172"/>
      <c r="I93" s="498" t="str">
        <f>IF(G93="","",VLOOKUP(G93,'G-1 All Habitats'!$B$2:$M$129,10,FALSE))</f>
        <v/>
      </c>
      <c r="J93" s="499" t="str">
        <f>IFERROR(VLOOKUP(I93,'G-1 All Habitats'!$V$3:$W$7,2,FALSE),"")</f>
        <v/>
      </c>
      <c r="K93" s="145"/>
      <c r="L93" s="499" t="str">
        <f>IFERROR(INDEX('G-8 Condition Look up'!$A$3:$H$130,MATCH(G93,'G-8 Condition Look up'!$A$3:$A$130,0),MATCH(K93,'G-8 Condition Look up'!$A$3:$H$3,0)),"")</f>
        <v/>
      </c>
      <c r="M93" s="154"/>
      <c r="N93" s="520" t="str">
        <f>IF(M93="","",IF(VLOOKUP(M93,'G-3 Multipliers'!$L$3:$N$6,2,FALSE)=0,"Spatial Data Missing ⚠",VLOOKUP(M93,'G-3 Multipliers'!$L$3:$N$6,2,FALSE)))</f>
        <v/>
      </c>
      <c r="O93" s="524" t="str">
        <f>IF(M93="","",IF(VLOOKUP(M93,'G-3 Multipliers'!$L$3:$N$6,3,FALSE)=0,"Spatial Data Missing ⚠",VLOOKUP(M93,'G-3 Multipliers'!$L$3:$N$6,3,FALSE)))</f>
        <v/>
      </c>
      <c r="P93" s="506" t="str">
        <f>IFERROR(VLOOKUP(G93,'G-1 All Habitats'!$B$2:$M$129,12,FALSE),"")</f>
        <v/>
      </c>
      <c r="Q93" s="513" t="str">
        <f>IFERROR(IF(P93="","",IF(AND(P93='G-1 All Habitats'!$X$3,T93&gt;0),U93+V93,IF(AND(P93='G-1 All Habitats'!$X$3,S93&gt;0),U93+V93,IF(AND(P93='G-1 All Habitats'!$X$3,AC93&gt;0),"Any Loss Unacceptable",IF(AND(P93='G-1 All Habitats'!$X$3,W93&gt;0),"Any Loss Unacceptable",H93*J93*L93*O93))))),"Check Data ⚠")</f>
        <v/>
      </c>
      <c r="R93" s="50"/>
      <c r="S93" s="71"/>
      <c r="T93" s="72"/>
      <c r="U93" s="511" t="str">
        <f t="shared" si="8"/>
        <v/>
      </c>
      <c r="V93" s="511" t="str">
        <f t="shared" si="9"/>
        <v/>
      </c>
      <c r="W93" s="511"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545" t="str">
        <f>IFERROR(IF(H93="","",IF(H93-S93-T93=0&lt;0,"Error in Areas ▲",IF(S93+T93&gt;H93,"Error in Areas ▲",IF(AND(P93='G-1 All Habitats'!$X$3,Y93="Yes"),"Alternative Compensation",IF(W93=0,0,IF(P93='G-1 All Habitats'!$X$3,"Unacceptable Loss",Q93-U93-V93)))))),"Check Data ⚠")</f>
        <v/>
      </c>
      <c r="Y93" s="72"/>
      <c r="Z93" s="151"/>
      <c r="AA93" s="152"/>
      <c r="AC93" s="251" t="str">
        <f>IF(P93="","",IF(P93='G-1 All Habitats'!$X$3,H93-S93-T93,"None"))</f>
        <v/>
      </c>
      <c r="AD93" s="252" t="str">
        <f t="shared" si="10"/>
        <v/>
      </c>
      <c r="AF93" s="156" t="str">
        <f t="shared" si="6"/>
        <v/>
      </c>
      <c r="AG93" s="156" t="str">
        <f t="shared" si="7"/>
        <v/>
      </c>
      <c r="AH93" s="156" t="str">
        <f>IF(I93="","",IF(#REF!&gt;0,TRUE,FALSE))</f>
        <v/>
      </c>
      <c r="AI93" s="156">
        <v>83</v>
      </c>
      <c r="AJ93" s="156"/>
      <c r="AK93" s="156" t="str">
        <f t="array" ref="AK93">IFERROR(INDEX($AI$11:$AI$259, MATCH(0, IF(TRUE=$AF$11:$AF$259, COUNTIF($AK$10:$AK92, $AI$11:$AI$259), ""), 0)),"")</f>
        <v/>
      </c>
      <c r="AL93" s="156" t="str">
        <f t="array" ref="AL93">IFERROR(INDEX($AI$11:$AI$259, MATCH(0, IF(TRUE=$AG$11:$AG$259, COUNTIF($AL$10:$AL92, $AI$11:$AI$259), ""), 0)),"")</f>
        <v/>
      </c>
      <c r="AM93" s="156" t="str">
        <f t="array" ref="AM93">IFERROR(INDEX($AI$11:$AI$259, MATCH(0, IF(TRUE=$AH$11:$AH$259, COUNTIF($AM$10:$AM92, $AI$11:$AI$259), ""), 0)),"")</f>
        <v/>
      </c>
      <c r="AQ93" s="31">
        <f t="shared" si="11"/>
        <v>0</v>
      </c>
    </row>
    <row r="94" spans="1:43" x14ac:dyDescent="0.25">
      <c r="A94" s="31" t="str">
        <f>IFERROR(INDEX('G-1 All Habitats'!$AG$3:$AG$15,MATCH(E94,'G-1 All Habitats'!$AF$3:$AF$15,0)),"")</f>
        <v/>
      </c>
      <c r="B94" s="31" t="str">
        <f>IFERROR(INDEX('G-8 Condition Look up'!$I$4:$I$130,MATCH(G94,'G-8 Condition Look up'!$A$4:$A$130,0)),"")</f>
        <v/>
      </c>
      <c r="D94" s="141">
        <v>84</v>
      </c>
      <c r="E94" s="203"/>
      <c r="F94" s="203"/>
      <c r="G94" s="250" t="str">
        <f>IFERROR(INDEX('G-1 All Habitats'!$B$3:$B$129,MATCH(F94,'G-1 All Habitats'!$A$3:$A$129,0)),"")</f>
        <v/>
      </c>
      <c r="H94" s="172"/>
      <c r="I94" s="498" t="str">
        <f>IF(G94="","",VLOOKUP(G94,'G-1 All Habitats'!$B$2:$M$129,10,FALSE))</f>
        <v/>
      </c>
      <c r="J94" s="499" t="str">
        <f>IFERROR(VLOOKUP(I94,'G-1 All Habitats'!$V$3:$W$7,2,FALSE),"")</f>
        <v/>
      </c>
      <c r="K94" s="145"/>
      <c r="L94" s="499" t="str">
        <f>IFERROR(INDEX('G-8 Condition Look up'!$A$3:$H$130,MATCH(G94,'G-8 Condition Look up'!$A$3:$A$130,0),MATCH(K94,'G-8 Condition Look up'!$A$3:$H$3,0)),"")</f>
        <v/>
      </c>
      <c r="M94" s="154"/>
      <c r="N94" s="520" t="str">
        <f>IF(M94="","",IF(VLOOKUP(M94,'G-3 Multipliers'!$L$3:$N$6,2,FALSE)=0,"Spatial Data Missing ⚠",VLOOKUP(M94,'G-3 Multipliers'!$L$3:$N$6,2,FALSE)))</f>
        <v/>
      </c>
      <c r="O94" s="524" t="str">
        <f>IF(M94="","",IF(VLOOKUP(M94,'G-3 Multipliers'!$L$3:$N$6,3,FALSE)=0,"Spatial Data Missing ⚠",VLOOKUP(M94,'G-3 Multipliers'!$L$3:$N$6,3,FALSE)))</f>
        <v/>
      </c>
      <c r="P94" s="506" t="str">
        <f>IFERROR(VLOOKUP(G94,'G-1 All Habitats'!$B$2:$M$129,12,FALSE),"")</f>
        <v/>
      </c>
      <c r="Q94" s="513" t="str">
        <f>IFERROR(IF(P94="","",IF(AND(P94='G-1 All Habitats'!$X$3,T94&gt;0),U94+V94,IF(AND(P94='G-1 All Habitats'!$X$3,S94&gt;0),U94+V94,IF(AND(P94='G-1 All Habitats'!$X$3,AC94&gt;0),"Any Loss Unacceptable",IF(AND(P94='G-1 All Habitats'!$X$3,W94&gt;0),"Any Loss Unacceptable",H94*J94*L94*O94))))),"Check Data ⚠")</f>
        <v/>
      </c>
      <c r="R94" s="50"/>
      <c r="S94" s="71"/>
      <c r="T94" s="72"/>
      <c r="U94" s="511" t="str">
        <f t="shared" si="8"/>
        <v/>
      </c>
      <c r="V94" s="511" t="str">
        <f t="shared" si="9"/>
        <v/>
      </c>
      <c r="W94" s="511"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545" t="str">
        <f>IFERROR(IF(H94="","",IF(H94-S94-T94=0&lt;0,"Error in Areas ▲",IF(S94+T94&gt;H94,"Error in Areas ▲",IF(AND(P94='G-1 All Habitats'!$X$3,Y94="Yes"),"Alternative Compensation",IF(W94=0,0,IF(P94='G-1 All Habitats'!$X$3,"Unacceptable Loss",Q94-U94-V94)))))),"Check Data ⚠")</f>
        <v/>
      </c>
      <c r="Y94" s="72"/>
      <c r="Z94" s="151"/>
      <c r="AA94" s="152"/>
      <c r="AC94" s="251" t="str">
        <f>IF(P94="","",IF(P94='G-1 All Habitats'!$X$3,H94-S94-T94,"None"))</f>
        <v/>
      </c>
      <c r="AD94" s="252" t="str">
        <f t="shared" si="10"/>
        <v/>
      </c>
      <c r="AF94" s="156" t="str">
        <f t="shared" si="6"/>
        <v/>
      </c>
      <c r="AG94" s="156" t="str">
        <f t="shared" si="7"/>
        <v/>
      </c>
      <c r="AH94" s="156" t="str">
        <f>IF(I94="","",IF(#REF!&gt;0,TRUE,FALSE))</f>
        <v/>
      </c>
      <c r="AI94" s="156">
        <v>84</v>
      </c>
      <c r="AJ94" s="156"/>
      <c r="AK94" s="156" t="str">
        <f t="array" ref="AK94">IFERROR(INDEX($AI$11:$AI$259, MATCH(0, IF(TRUE=$AF$11:$AF$259, COUNTIF($AK$10:$AK93, $AI$11:$AI$259), ""), 0)),"")</f>
        <v/>
      </c>
      <c r="AL94" s="156" t="str">
        <f t="array" ref="AL94">IFERROR(INDEX($AI$11:$AI$259, MATCH(0, IF(TRUE=$AG$11:$AG$259, COUNTIF($AL$10:$AL93, $AI$11:$AI$259), ""), 0)),"")</f>
        <v/>
      </c>
      <c r="AM94" s="156" t="str">
        <f t="array" ref="AM94">IFERROR(INDEX($AI$11:$AI$259, MATCH(0, IF(TRUE=$AH$11:$AH$259, COUNTIF($AM$10:$AM93, $AI$11:$AI$259), ""), 0)),"")</f>
        <v/>
      </c>
      <c r="AQ94" s="31">
        <f t="shared" si="11"/>
        <v>0</v>
      </c>
    </row>
    <row r="95" spans="1:43" x14ac:dyDescent="0.25">
      <c r="A95" s="31" t="str">
        <f>IFERROR(INDEX('G-1 All Habitats'!$AG$3:$AG$15,MATCH(E95,'G-1 All Habitats'!$AF$3:$AF$15,0)),"")</f>
        <v/>
      </c>
      <c r="B95" s="31" t="str">
        <f>IFERROR(INDEX('G-8 Condition Look up'!$I$4:$I$130,MATCH(G95,'G-8 Condition Look up'!$A$4:$A$130,0)),"")</f>
        <v/>
      </c>
      <c r="D95" s="141">
        <v>85</v>
      </c>
      <c r="E95" s="203"/>
      <c r="F95" s="203"/>
      <c r="G95" s="250" t="str">
        <f>IFERROR(INDEX('G-1 All Habitats'!$B$3:$B$129,MATCH(F95,'G-1 All Habitats'!$A$3:$A$129,0)),"")</f>
        <v/>
      </c>
      <c r="H95" s="172"/>
      <c r="I95" s="498" t="str">
        <f>IF(G95="","",VLOOKUP(G95,'G-1 All Habitats'!$B$2:$M$129,10,FALSE))</f>
        <v/>
      </c>
      <c r="J95" s="499" t="str">
        <f>IFERROR(VLOOKUP(I95,'G-1 All Habitats'!$V$3:$W$7,2,FALSE),"")</f>
        <v/>
      </c>
      <c r="K95" s="145"/>
      <c r="L95" s="499" t="str">
        <f>IFERROR(INDEX('G-8 Condition Look up'!$A$3:$H$130,MATCH(G95,'G-8 Condition Look up'!$A$3:$A$130,0),MATCH(K95,'G-8 Condition Look up'!$A$3:$H$3,0)),"")</f>
        <v/>
      </c>
      <c r="M95" s="154"/>
      <c r="N95" s="520" t="str">
        <f>IF(M95="","",IF(VLOOKUP(M95,'G-3 Multipliers'!$L$3:$N$6,2,FALSE)=0,"Spatial Data Missing ⚠",VLOOKUP(M95,'G-3 Multipliers'!$L$3:$N$6,2,FALSE)))</f>
        <v/>
      </c>
      <c r="O95" s="524" t="str">
        <f>IF(M95="","",IF(VLOOKUP(M95,'G-3 Multipliers'!$L$3:$N$6,3,FALSE)=0,"Spatial Data Missing ⚠",VLOOKUP(M95,'G-3 Multipliers'!$L$3:$N$6,3,FALSE)))</f>
        <v/>
      </c>
      <c r="P95" s="506" t="str">
        <f>IFERROR(VLOOKUP(G95,'G-1 All Habitats'!$B$2:$M$129,12,FALSE),"")</f>
        <v/>
      </c>
      <c r="Q95" s="513" t="str">
        <f>IFERROR(IF(P95="","",IF(AND(P95='G-1 All Habitats'!$X$3,T95&gt;0),U95+V95,IF(AND(P95='G-1 All Habitats'!$X$3,S95&gt;0),U95+V95,IF(AND(P95='G-1 All Habitats'!$X$3,AC95&gt;0),"Any Loss Unacceptable",IF(AND(P95='G-1 All Habitats'!$X$3,W95&gt;0),"Any Loss Unacceptable",H95*J95*L95*O95))))),"Check Data ⚠")</f>
        <v/>
      </c>
      <c r="R95" s="50"/>
      <c r="S95" s="71"/>
      <c r="T95" s="72"/>
      <c r="U95" s="511" t="str">
        <f t="shared" si="8"/>
        <v/>
      </c>
      <c r="V95" s="511" t="str">
        <f t="shared" si="9"/>
        <v/>
      </c>
      <c r="W95" s="511"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545" t="str">
        <f>IFERROR(IF(H95="","",IF(H95-S95-T95=0&lt;0,"Error in Areas ▲",IF(S95+T95&gt;H95,"Error in Areas ▲",IF(AND(P95='G-1 All Habitats'!$X$3,Y95="Yes"),"Alternative Compensation",IF(W95=0,0,IF(P95='G-1 All Habitats'!$X$3,"Unacceptable Loss",Q95-U95-V95)))))),"Check Data ⚠")</f>
        <v/>
      </c>
      <c r="Y95" s="72"/>
      <c r="Z95" s="151"/>
      <c r="AA95" s="152"/>
      <c r="AC95" s="251" t="str">
        <f>IF(P95="","",IF(P95='G-1 All Habitats'!$X$3,H95-S95-T95,"None"))</f>
        <v/>
      </c>
      <c r="AD95" s="252" t="str">
        <f t="shared" si="10"/>
        <v/>
      </c>
      <c r="AF95" s="156" t="str">
        <f t="shared" si="6"/>
        <v/>
      </c>
      <c r="AG95" s="156" t="str">
        <f t="shared" si="7"/>
        <v/>
      </c>
      <c r="AH95" s="156" t="str">
        <f>IF(I95="","",IF(#REF!&gt;0,TRUE,FALSE))</f>
        <v/>
      </c>
      <c r="AI95" s="156">
        <v>85</v>
      </c>
      <c r="AJ95" s="156"/>
      <c r="AK95" s="156" t="str">
        <f t="array" ref="AK95">IFERROR(INDEX($AI$11:$AI$259, MATCH(0, IF(TRUE=$AF$11:$AF$259, COUNTIF($AK$10:$AK94, $AI$11:$AI$259), ""), 0)),"")</f>
        <v/>
      </c>
      <c r="AL95" s="156" t="str">
        <f t="array" ref="AL95">IFERROR(INDEX($AI$11:$AI$259, MATCH(0, IF(TRUE=$AG$11:$AG$259, COUNTIF($AL$10:$AL94, $AI$11:$AI$259), ""), 0)),"")</f>
        <v/>
      </c>
      <c r="AM95" s="156" t="str">
        <f t="array" ref="AM95">IFERROR(INDEX($AI$11:$AI$259, MATCH(0, IF(TRUE=$AH$11:$AH$259, COUNTIF($AM$10:$AM94, $AI$11:$AI$259), ""), 0)),"")</f>
        <v/>
      </c>
      <c r="AQ95" s="31">
        <f t="shared" si="11"/>
        <v>0</v>
      </c>
    </row>
    <row r="96" spans="1:43" x14ac:dyDescent="0.25">
      <c r="A96" s="31" t="str">
        <f>IFERROR(INDEX('G-1 All Habitats'!$AG$3:$AG$15,MATCH(E96,'G-1 All Habitats'!$AF$3:$AF$15,0)),"")</f>
        <v/>
      </c>
      <c r="B96" s="31" t="str">
        <f>IFERROR(INDEX('G-8 Condition Look up'!$I$4:$I$130,MATCH(G96,'G-8 Condition Look up'!$A$4:$A$130,0)),"")</f>
        <v/>
      </c>
      <c r="D96" s="141">
        <v>86</v>
      </c>
      <c r="E96" s="203"/>
      <c r="F96" s="203"/>
      <c r="G96" s="250" t="str">
        <f>IFERROR(INDEX('G-1 All Habitats'!$B$3:$B$129,MATCH(F96,'G-1 All Habitats'!$A$3:$A$129,0)),"")</f>
        <v/>
      </c>
      <c r="H96" s="172"/>
      <c r="I96" s="498" t="str">
        <f>IF(G96="","",VLOOKUP(G96,'G-1 All Habitats'!$B$2:$M$129,10,FALSE))</f>
        <v/>
      </c>
      <c r="J96" s="499" t="str">
        <f>IFERROR(VLOOKUP(I96,'G-1 All Habitats'!$V$3:$W$7,2,FALSE),"")</f>
        <v/>
      </c>
      <c r="K96" s="145"/>
      <c r="L96" s="499" t="str">
        <f>IFERROR(INDEX('G-8 Condition Look up'!$A$3:$H$130,MATCH(G96,'G-8 Condition Look up'!$A$3:$A$130,0),MATCH(K96,'G-8 Condition Look up'!$A$3:$H$3,0)),"")</f>
        <v/>
      </c>
      <c r="M96" s="154"/>
      <c r="N96" s="520" t="str">
        <f>IF(M96="","",IF(VLOOKUP(M96,'G-3 Multipliers'!$L$3:$N$6,2,FALSE)=0,"Spatial Data Missing ⚠",VLOOKUP(M96,'G-3 Multipliers'!$L$3:$N$6,2,FALSE)))</f>
        <v/>
      </c>
      <c r="O96" s="524" t="str">
        <f>IF(M96="","",IF(VLOOKUP(M96,'G-3 Multipliers'!$L$3:$N$6,3,FALSE)=0,"Spatial Data Missing ⚠",VLOOKUP(M96,'G-3 Multipliers'!$L$3:$N$6,3,FALSE)))</f>
        <v/>
      </c>
      <c r="P96" s="506" t="str">
        <f>IFERROR(VLOOKUP(G96,'G-1 All Habitats'!$B$2:$M$129,12,FALSE),"")</f>
        <v/>
      </c>
      <c r="Q96" s="513" t="str">
        <f>IFERROR(IF(P96="","",IF(AND(P96='G-1 All Habitats'!$X$3,T96&gt;0),U96+V96,IF(AND(P96='G-1 All Habitats'!$X$3,S96&gt;0),U96+V96,IF(AND(P96='G-1 All Habitats'!$X$3,AC96&gt;0),"Any Loss Unacceptable",IF(AND(P96='G-1 All Habitats'!$X$3,W96&gt;0),"Any Loss Unacceptable",H96*J96*L96*O96))))),"Check Data ⚠")</f>
        <v/>
      </c>
      <c r="R96" s="50"/>
      <c r="S96" s="71"/>
      <c r="T96" s="72"/>
      <c r="U96" s="511" t="str">
        <f t="shared" si="8"/>
        <v/>
      </c>
      <c r="V96" s="511" t="str">
        <f t="shared" si="9"/>
        <v/>
      </c>
      <c r="W96" s="511"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545" t="str">
        <f>IFERROR(IF(H96="","",IF(H96-S96-T96=0&lt;0,"Error in Areas ▲",IF(S96+T96&gt;H96,"Error in Areas ▲",IF(AND(P96='G-1 All Habitats'!$X$3,Y96="Yes"),"Alternative Compensation",IF(W96=0,0,IF(P96='G-1 All Habitats'!$X$3,"Unacceptable Loss",Q96-U96-V96)))))),"Check Data ⚠")</f>
        <v/>
      </c>
      <c r="Y96" s="72"/>
      <c r="Z96" s="151"/>
      <c r="AA96" s="152"/>
      <c r="AC96" s="251" t="str">
        <f>IF(P96="","",IF(P96='G-1 All Habitats'!$X$3,H96-S96-T96,"None"))</f>
        <v/>
      </c>
      <c r="AD96" s="252" t="str">
        <f t="shared" si="10"/>
        <v/>
      </c>
      <c r="AF96" s="156" t="str">
        <f t="shared" si="6"/>
        <v/>
      </c>
      <c r="AG96" s="156" t="str">
        <f t="shared" si="7"/>
        <v/>
      </c>
      <c r="AH96" s="156" t="str">
        <f>IF(I96="","",IF(#REF!&gt;0,TRUE,FALSE))</f>
        <v/>
      </c>
      <c r="AI96" s="156">
        <v>86</v>
      </c>
      <c r="AJ96" s="156"/>
      <c r="AK96" s="156" t="str">
        <f t="array" ref="AK96">IFERROR(INDEX($AI$11:$AI$259, MATCH(0, IF(TRUE=$AF$11:$AF$259, COUNTIF($AK$10:$AK95, $AI$11:$AI$259), ""), 0)),"")</f>
        <v/>
      </c>
      <c r="AL96" s="156" t="str">
        <f t="array" ref="AL96">IFERROR(INDEX($AI$11:$AI$259, MATCH(0, IF(TRUE=$AG$11:$AG$259, COUNTIF($AL$10:$AL95, $AI$11:$AI$259), ""), 0)),"")</f>
        <v/>
      </c>
      <c r="AM96" s="156" t="str">
        <f t="array" ref="AM96">IFERROR(INDEX($AI$11:$AI$259, MATCH(0, IF(TRUE=$AH$11:$AH$259, COUNTIF($AM$10:$AM95, $AI$11:$AI$259), ""), 0)),"")</f>
        <v/>
      </c>
      <c r="AQ96" s="31">
        <f t="shared" si="11"/>
        <v>0</v>
      </c>
    </row>
    <row r="97" spans="1:43" x14ac:dyDescent="0.25">
      <c r="A97" s="31" t="str">
        <f>IFERROR(INDEX('G-1 All Habitats'!$AG$3:$AG$15,MATCH(E97,'G-1 All Habitats'!$AF$3:$AF$15,0)),"")</f>
        <v/>
      </c>
      <c r="B97" s="31" t="str">
        <f>IFERROR(INDEX('G-8 Condition Look up'!$I$4:$I$130,MATCH(G97,'G-8 Condition Look up'!$A$4:$A$130,0)),"")</f>
        <v/>
      </c>
      <c r="D97" s="141">
        <v>87</v>
      </c>
      <c r="E97" s="203"/>
      <c r="F97" s="203"/>
      <c r="G97" s="250" t="str">
        <f>IFERROR(INDEX('G-1 All Habitats'!$B$3:$B$129,MATCH(F97,'G-1 All Habitats'!$A$3:$A$129,0)),"")</f>
        <v/>
      </c>
      <c r="H97" s="172"/>
      <c r="I97" s="498" t="str">
        <f>IF(G97="","",VLOOKUP(G97,'G-1 All Habitats'!$B$2:$M$129,10,FALSE))</f>
        <v/>
      </c>
      <c r="J97" s="499" t="str">
        <f>IFERROR(VLOOKUP(I97,'G-1 All Habitats'!$V$3:$W$7,2,FALSE),"")</f>
        <v/>
      </c>
      <c r="K97" s="145"/>
      <c r="L97" s="499" t="str">
        <f>IFERROR(INDEX('G-8 Condition Look up'!$A$3:$H$130,MATCH(G97,'G-8 Condition Look up'!$A$3:$A$130,0),MATCH(K97,'G-8 Condition Look up'!$A$3:$H$3,0)),"")</f>
        <v/>
      </c>
      <c r="M97" s="154"/>
      <c r="N97" s="520" t="str">
        <f>IF(M97="","",IF(VLOOKUP(M97,'G-3 Multipliers'!$L$3:$N$6,2,FALSE)=0,"Spatial Data Missing ⚠",VLOOKUP(M97,'G-3 Multipliers'!$L$3:$N$6,2,FALSE)))</f>
        <v/>
      </c>
      <c r="O97" s="524" t="str">
        <f>IF(M97="","",IF(VLOOKUP(M97,'G-3 Multipliers'!$L$3:$N$6,3,FALSE)=0,"Spatial Data Missing ⚠",VLOOKUP(M97,'G-3 Multipliers'!$L$3:$N$6,3,FALSE)))</f>
        <v/>
      </c>
      <c r="P97" s="506" t="str">
        <f>IFERROR(VLOOKUP(G97,'G-1 All Habitats'!$B$2:$M$129,12,FALSE),"")</f>
        <v/>
      </c>
      <c r="Q97" s="513" t="str">
        <f>IFERROR(IF(P97="","",IF(AND(P97='G-1 All Habitats'!$X$3,T97&gt;0),U97+V97,IF(AND(P97='G-1 All Habitats'!$X$3,S97&gt;0),U97+V97,IF(AND(P97='G-1 All Habitats'!$X$3,AC97&gt;0),"Any Loss Unacceptable",IF(AND(P97='G-1 All Habitats'!$X$3,W97&gt;0),"Any Loss Unacceptable",H97*J97*L97*O97))))),"Check Data ⚠")</f>
        <v/>
      </c>
      <c r="R97" s="50"/>
      <c r="S97" s="71"/>
      <c r="T97" s="72"/>
      <c r="U97" s="511" t="str">
        <f t="shared" si="8"/>
        <v/>
      </c>
      <c r="V97" s="511" t="str">
        <f t="shared" si="9"/>
        <v/>
      </c>
      <c r="W97" s="511"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545" t="str">
        <f>IFERROR(IF(H97="","",IF(H97-S97-T97=0&lt;0,"Error in Areas ▲",IF(S97+T97&gt;H97,"Error in Areas ▲",IF(AND(P97='G-1 All Habitats'!$X$3,Y97="Yes"),"Alternative Compensation",IF(W97=0,0,IF(P97='G-1 All Habitats'!$X$3,"Unacceptable Loss",Q97-U97-V97)))))),"Check Data ⚠")</f>
        <v/>
      </c>
      <c r="Y97" s="72"/>
      <c r="Z97" s="151"/>
      <c r="AA97" s="152"/>
      <c r="AC97" s="251" t="str">
        <f>IF(P97="","",IF(P97='G-1 All Habitats'!$X$3,H97-S97-T97,"None"))</f>
        <v/>
      </c>
      <c r="AD97" s="252" t="str">
        <f t="shared" si="10"/>
        <v/>
      </c>
      <c r="AF97" s="156" t="str">
        <f t="shared" si="6"/>
        <v/>
      </c>
      <c r="AG97" s="156" t="str">
        <f t="shared" si="7"/>
        <v/>
      </c>
      <c r="AH97" s="156" t="str">
        <f>IF(I97="","",IF(#REF!&gt;0,TRUE,FALSE))</f>
        <v/>
      </c>
      <c r="AI97" s="156">
        <v>87</v>
      </c>
      <c r="AJ97" s="156"/>
      <c r="AK97" s="156" t="str">
        <f t="array" ref="AK97">IFERROR(INDEX($AI$11:$AI$259, MATCH(0, IF(TRUE=$AF$11:$AF$259, COUNTIF($AK$10:$AK96, $AI$11:$AI$259), ""), 0)),"")</f>
        <v/>
      </c>
      <c r="AL97" s="156" t="str">
        <f t="array" ref="AL97">IFERROR(INDEX($AI$11:$AI$259, MATCH(0, IF(TRUE=$AG$11:$AG$259, COUNTIF($AL$10:$AL96, $AI$11:$AI$259), ""), 0)),"")</f>
        <v/>
      </c>
      <c r="AM97" s="156" t="str">
        <f t="array" ref="AM97">IFERROR(INDEX($AI$11:$AI$259, MATCH(0, IF(TRUE=$AH$11:$AH$259, COUNTIF($AM$10:$AM96, $AI$11:$AI$259), ""), 0)),"")</f>
        <v/>
      </c>
      <c r="AQ97" s="31">
        <f t="shared" si="11"/>
        <v>0</v>
      </c>
    </row>
    <row r="98" spans="1:43" x14ac:dyDescent="0.25">
      <c r="A98" s="31" t="str">
        <f>IFERROR(INDEX('G-1 All Habitats'!$AG$3:$AG$15,MATCH(E98,'G-1 All Habitats'!$AF$3:$AF$15,0)),"")</f>
        <v/>
      </c>
      <c r="B98" s="31" t="str">
        <f>IFERROR(INDEX('G-8 Condition Look up'!$I$4:$I$130,MATCH(G98,'G-8 Condition Look up'!$A$4:$A$130,0)),"")</f>
        <v/>
      </c>
      <c r="D98" s="141">
        <v>88</v>
      </c>
      <c r="E98" s="203"/>
      <c r="F98" s="203"/>
      <c r="G98" s="250" t="str">
        <f>IFERROR(INDEX('G-1 All Habitats'!$B$3:$B$129,MATCH(F98,'G-1 All Habitats'!$A$3:$A$129,0)),"")</f>
        <v/>
      </c>
      <c r="H98" s="172"/>
      <c r="I98" s="498" t="str">
        <f>IF(G98="","",VLOOKUP(G98,'G-1 All Habitats'!$B$2:$M$129,10,FALSE))</f>
        <v/>
      </c>
      <c r="J98" s="499" t="str">
        <f>IFERROR(VLOOKUP(I98,'G-1 All Habitats'!$V$3:$W$7,2,FALSE),"")</f>
        <v/>
      </c>
      <c r="K98" s="145"/>
      <c r="L98" s="499" t="str">
        <f>IFERROR(INDEX('G-8 Condition Look up'!$A$3:$H$130,MATCH(G98,'G-8 Condition Look up'!$A$3:$A$130,0),MATCH(K98,'G-8 Condition Look up'!$A$3:$H$3,0)),"")</f>
        <v/>
      </c>
      <c r="M98" s="154"/>
      <c r="N98" s="520" t="str">
        <f>IF(M98="","",IF(VLOOKUP(M98,'G-3 Multipliers'!$L$3:$N$6,2,FALSE)=0,"Spatial Data Missing ⚠",VLOOKUP(M98,'G-3 Multipliers'!$L$3:$N$6,2,FALSE)))</f>
        <v/>
      </c>
      <c r="O98" s="524" t="str">
        <f>IF(M98="","",IF(VLOOKUP(M98,'G-3 Multipliers'!$L$3:$N$6,3,FALSE)=0,"Spatial Data Missing ⚠",VLOOKUP(M98,'G-3 Multipliers'!$L$3:$N$6,3,FALSE)))</f>
        <v/>
      </c>
      <c r="P98" s="506" t="str">
        <f>IFERROR(VLOOKUP(G98,'G-1 All Habitats'!$B$2:$M$129,12,FALSE),"")</f>
        <v/>
      </c>
      <c r="Q98" s="513" t="str">
        <f>IFERROR(IF(P98="","",IF(AND(P98='G-1 All Habitats'!$X$3,T98&gt;0),U98+V98,IF(AND(P98='G-1 All Habitats'!$X$3,S98&gt;0),U98+V98,IF(AND(P98='G-1 All Habitats'!$X$3,AC98&gt;0),"Any Loss Unacceptable",IF(AND(P98='G-1 All Habitats'!$X$3,W98&gt;0),"Any Loss Unacceptable",H98*J98*L98*O98))))),"Check Data ⚠")</f>
        <v/>
      </c>
      <c r="R98" s="50"/>
      <c r="S98" s="71"/>
      <c r="T98" s="72"/>
      <c r="U98" s="511" t="str">
        <f t="shared" si="8"/>
        <v/>
      </c>
      <c r="V98" s="511" t="str">
        <f t="shared" si="9"/>
        <v/>
      </c>
      <c r="W98" s="511"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545" t="str">
        <f>IFERROR(IF(H98="","",IF(H98-S98-T98=0&lt;0,"Error in Areas ▲",IF(S98+T98&gt;H98,"Error in Areas ▲",IF(AND(P98='G-1 All Habitats'!$X$3,Y98="Yes"),"Alternative Compensation",IF(W98=0,0,IF(P98='G-1 All Habitats'!$X$3,"Unacceptable Loss",Q98-U98-V98)))))),"Check Data ⚠")</f>
        <v/>
      </c>
      <c r="Y98" s="72"/>
      <c r="Z98" s="151"/>
      <c r="AA98" s="152"/>
      <c r="AC98" s="251" t="str">
        <f>IF(P98="","",IF(P98='G-1 All Habitats'!$X$3,H98-S98-T98,"None"))</f>
        <v/>
      </c>
      <c r="AD98" s="252" t="str">
        <f t="shared" si="10"/>
        <v/>
      </c>
      <c r="AF98" s="156" t="str">
        <f t="shared" si="6"/>
        <v/>
      </c>
      <c r="AG98" s="156" t="str">
        <f t="shared" si="7"/>
        <v/>
      </c>
      <c r="AH98" s="156" t="str">
        <f>IF(I98="","",IF(#REF!&gt;0,TRUE,FALSE))</f>
        <v/>
      </c>
      <c r="AI98" s="156">
        <v>88</v>
      </c>
      <c r="AJ98" s="156"/>
      <c r="AK98" s="156" t="str">
        <f t="array" ref="AK98">IFERROR(INDEX($AI$11:$AI$259, MATCH(0, IF(TRUE=$AF$11:$AF$259, COUNTIF($AK$10:$AK97, $AI$11:$AI$259), ""), 0)),"")</f>
        <v/>
      </c>
      <c r="AL98" s="156" t="str">
        <f t="array" ref="AL98">IFERROR(INDEX($AI$11:$AI$259, MATCH(0, IF(TRUE=$AG$11:$AG$259, COUNTIF($AL$10:$AL97, $AI$11:$AI$259), ""), 0)),"")</f>
        <v/>
      </c>
      <c r="AM98" s="156" t="str">
        <f t="array" ref="AM98">IFERROR(INDEX($AI$11:$AI$259, MATCH(0, IF(TRUE=$AH$11:$AH$259, COUNTIF($AM$10:$AM97, $AI$11:$AI$259), ""), 0)),"")</f>
        <v/>
      </c>
      <c r="AQ98" s="31">
        <f t="shared" si="11"/>
        <v>0</v>
      </c>
    </row>
    <row r="99" spans="1:43" x14ac:dyDescent="0.25">
      <c r="A99" s="31" t="str">
        <f>IFERROR(INDEX('G-1 All Habitats'!$AG$3:$AG$15,MATCH(E99,'G-1 All Habitats'!$AF$3:$AF$15,0)),"")</f>
        <v/>
      </c>
      <c r="B99" s="31" t="str">
        <f>IFERROR(INDEX('G-8 Condition Look up'!$I$4:$I$130,MATCH(G99,'G-8 Condition Look up'!$A$4:$A$130,0)),"")</f>
        <v/>
      </c>
      <c r="D99" s="141">
        <v>89</v>
      </c>
      <c r="E99" s="203"/>
      <c r="F99" s="203"/>
      <c r="G99" s="250" t="str">
        <f>IFERROR(INDEX('G-1 All Habitats'!$B$3:$B$129,MATCH(F99,'G-1 All Habitats'!$A$3:$A$129,0)),"")</f>
        <v/>
      </c>
      <c r="H99" s="172"/>
      <c r="I99" s="498" t="str">
        <f>IF(G99="","",VLOOKUP(G99,'G-1 All Habitats'!$B$2:$M$129,10,FALSE))</f>
        <v/>
      </c>
      <c r="J99" s="499" t="str">
        <f>IFERROR(VLOOKUP(I99,'G-1 All Habitats'!$V$3:$W$7,2,FALSE),"")</f>
        <v/>
      </c>
      <c r="K99" s="145"/>
      <c r="L99" s="499" t="str">
        <f>IFERROR(INDEX('G-8 Condition Look up'!$A$3:$H$130,MATCH(G99,'G-8 Condition Look up'!$A$3:$A$130,0),MATCH(K99,'G-8 Condition Look up'!$A$3:$H$3,0)),"")</f>
        <v/>
      </c>
      <c r="M99" s="154"/>
      <c r="N99" s="520" t="str">
        <f>IF(M99="","",IF(VLOOKUP(M99,'G-3 Multipliers'!$L$3:$N$6,2,FALSE)=0,"Spatial Data Missing ⚠",VLOOKUP(M99,'G-3 Multipliers'!$L$3:$N$6,2,FALSE)))</f>
        <v/>
      </c>
      <c r="O99" s="524" t="str">
        <f>IF(M99="","",IF(VLOOKUP(M99,'G-3 Multipliers'!$L$3:$N$6,3,FALSE)=0,"Spatial Data Missing ⚠",VLOOKUP(M99,'G-3 Multipliers'!$L$3:$N$6,3,FALSE)))</f>
        <v/>
      </c>
      <c r="P99" s="506" t="str">
        <f>IFERROR(VLOOKUP(G99,'G-1 All Habitats'!$B$2:$M$129,12,FALSE),"")</f>
        <v/>
      </c>
      <c r="Q99" s="513" t="str">
        <f>IFERROR(IF(P99="","",IF(AND(P99='G-1 All Habitats'!$X$3,T99&gt;0),U99+V99,IF(AND(P99='G-1 All Habitats'!$X$3,S99&gt;0),U99+V99,IF(AND(P99='G-1 All Habitats'!$X$3,AC99&gt;0),"Any Loss Unacceptable",IF(AND(P99='G-1 All Habitats'!$X$3,W99&gt;0),"Any Loss Unacceptable",H99*J99*L99*O99))))),"Check Data ⚠")</f>
        <v/>
      </c>
      <c r="R99" s="50"/>
      <c r="S99" s="71"/>
      <c r="T99" s="72"/>
      <c r="U99" s="511" t="str">
        <f t="shared" si="8"/>
        <v/>
      </c>
      <c r="V99" s="511" t="str">
        <f t="shared" si="9"/>
        <v/>
      </c>
      <c r="W99" s="511"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545" t="str">
        <f>IFERROR(IF(H99="","",IF(H99-S99-T99=0&lt;0,"Error in Areas ▲",IF(S99+T99&gt;H99,"Error in Areas ▲",IF(AND(P99='G-1 All Habitats'!$X$3,Y99="Yes"),"Alternative Compensation",IF(W99=0,0,IF(P99='G-1 All Habitats'!$X$3,"Unacceptable Loss",Q99-U99-V99)))))),"Check Data ⚠")</f>
        <v/>
      </c>
      <c r="Y99" s="72"/>
      <c r="Z99" s="151"/>
      <c r="AA99" s="152"/>
      <c r="AC99" s="251" t="str">
        <f>IF(P99="","",IF(P99='G-1 All Habitats'!$X$3,H99-S99-T99,"None"))</f>
        <v/>
      </c>
      <c r="AD99" s="252" t="str">
        <f t="shared" si="10"/>
        <v/>
      </c>
      <c r="AF99" s="156" t="str">
        <f t="shared" si="6"/>
        <v/>
      </c>
      <c r="AG99" s="156" t="str">
        <f t="shared" si="7"/>
        <v/>
      </c>
      <c r="AH99" s="156" t="str">
        <f>IF(I99="","",IF(#REF!&gt;0,TRUE,FALSE))</f>
        <v/>
      </c>
      <c r="AI99" s="156">
        <v>89</v>
      </c>
      <c r="AJ99" s="156"/>
      <c r="AK99" s="156" t="str">
        <f t="array" ref="AK99">IFERROR(INDEX($AI$11:$AI$259, MATCH(0, IF(TRUE=$AF$11:$AF$259, COUNTIF($AK$10:$AK98, $AI$11:$AI$259), ""), 0)),"")</f>
        <v/>
      </c>
      <c r="AL99" s="156" t="str">
        <f t="array" ref="AL99">IFERROR(INDEX($AI$11:$AI$259, MATCH(0, IF(TRUE=$AG$11:$AG$259, COUNTIF($AL$10:$AL98, $AI$11:$AI$259), ""), 0)),"")</f>
        <v/>
      </c>
      <c r="AM99" s="156" t="str">
        <f t="array" ref="AM99">IFERROR(INDEX($AI$11:$AI$259, MATCH(0, IF(TRUE=$AH$11:$AH$259, COUNTIF($AM$10:$AM98, $AI$11:$AI$259), ""), 0)),"")</f>
        <v/>
      </c>
      <c r="AQ99" s="31">
        <f t="shared" si="11"/>
        <v>0</v>
      </c>
    </row>
    <row r="100" spans="1:43" x14ac:dyDescent="0.25">
      <c r="A100" s="31" t="str">
        <f>IFERROR(INDEX('G-1 All Habitats'!$AG$3:$AG$15,MATCH(E100,'G-1 All Habitats'!$AF$3:$AF$15,0)),"")</f>
        <v/>
      </c>
      <c r="B100" s="31" t="str">
        <f>IFERROR(INDEX('G-8 Condition Look up'!$I$4:$I$130,MATCH(G100,'G-8 Condition Look up'!$A$4:$A$130,0)),"")</f>
        <v/>
      </c>
      <c r="D100" s="141">
        <v>90</v>
      </c>
      <c r="E100" s="203"/>
      <c r="F100" s="203"/>
      <c r="G100" s="250" t="str">
        <f>IFERROR(INDEX('G-1 All Habitats'!$B$3:$B$129,MATCH(F100,'G-1 All Habitats'!$A$3:$A$129,0)),"")</f>
        <v/>
      </c>
      <c r="H100" s="172"/>
      <c r="I100" s="498" t="str">
        <f>IF(G100="","",VLOOKUP(G100,'G-1 All Habitats'!$B$2:$M$129,10,FALSE))</f>
        <v/>
      </c>
      <c r="J100" s="499" t="str">
        <f>IFERROR(VLOOKUP(I100,'G-1 All Habitats'!$V$3:$W$7,2,FALSE),"")</f>
        <v/>
      </c>
      <c r="K100" s="145"/>
      <c r="L100" s="499" t="str">
        <f>IFERROR(INDEX('G-8 Condition Look up'!$A$3:$H$130,MATCH(G100,'G-8 Condition Look up'!$A$3:$A$130,0),MATCH(K100,'G-8 Condition Look up'!$A$3:$H$3,0)),"")</f>
        <v/>
      </c>
      <c r="M100" s="154"/>
      <c r="N100" s="520" t="str">
        <f>IF(M100="","",IF(VLOOKUP(M100,'G-3 Multipliers'!$L$3:$N$6,2,FALSE)=0,"Spatial Data Missing ⚠",VLOOKUP(M100,'G-3 Multipliers'!$L$3:$N$6,2,FALSE)))</f>
        <v/>
      </c>
      <c r="O100" s="524" t="str">
        <f>IF(M100="","",IF(VLOOKUP(M100,'G-3 Multipliers'!$L$3:$N$6,3,FALSE)=0,"Spatial Data Missing ⚠",VLOOKUP(M100,'G-3 Multipliers'!$L$3:$N$6,3,FALSE)))</f>
        <v/>
      </c>
      <c r="P100" s="506" t="str">
        <f>IFERROR(VLOOKUP(G100,'G-1 All Habitats'!$B$2:$M$129,12,FALSE),"")</f>
        <v/>
      </c>
      <c r="Q100" s="513" t="str">
        <f>IFERROR(IF(P100="","",IF(AND(P100='G-1 All Habitats'!$X$3,T100&gt;0),U100+V100,IF(AND(P100='G-1 All Habitats'!$X$3,S100&gt;0),U100+V100,IF(AND(P100='G-1 All Habitats'!$X$3,AC100&gt;0),"Any Loss Unacceptable",IF(AND(P100='G-1 All Habitats'!$X$3,W100&gt;0),"Any Loss Unacceptable",H100*J100*L100*O100))))),"Check Data ⚠")</f>
        <v/>
      </c>
      <c r="R100" s="50"/>
      <c r="S100" s="71"/>
      <c r="T100" s="72"/>
      <c r="U100" s="511" t="str">
        <f t="shared" si="8"/>
        <v/>
      </c>
      <c r="V100" s="511" t="str">
        <f t="shared" si="9"/>
        <v/>
      </c>
      <c r="W100" s="511"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545" t="str">
        <f>IFERROR(IF(H100="","",IF(H100-S100-T100=0&lt;0,"Error in Areas ▲",IF(S100+T100&gt;H100,"Error in Areas ▲",IF(AND(P100='G-1 All Habitats'!$X$3,Y100="Yes"),"Alternative Compensation",IF(W100=0,0,IF(P100='G-1 All Habitats'!$X$3,"Unacceptable Loss",Q100-U100-V100)))))),"Check Data ⚠")</f>
        <v/>
      </c>
      <c r="Y100" s="72"/>
      <c r="Z100" s="151"/>
      <c r="AA100" s="152"/>
      <c r="AC100" s="251" t="str">
        <f>IF(P100="","",IF(P100='G-1 All Habitats'!$X$3,H100-S100-T100,"None"))</f>
        <v/>
      </c>
      <c r="AD100" s="252" t="str">
        <f t="shared" si="10"/>
        <v/>
      </c>
      <c r="AF100" s="156" t="str">
        <f t="shared" si="6"/>
        <v/>
      </c>
      <c r="AG100" s="156" t="str">
        <f t="shared" si="7"/>
        <v/>
      </c>
      <c r="AH100" s="156" t="str">
        <f>IF(I100="","",IF(#REF!&gt;0,TRUE,FALSE))</f>
        <v/>
      </c>
      <c r="AI100" s="156">
        <v>90</v>
      </c>
      <c r="AJ100" s="156"/>
      <c r="AK100" s="156" t="str">
        <f t="array" ref="AK100">IFERROR(INDEX($AI$11:$AI$259, MATCH(0, IF(TRUE=$AF$11:$AF$259, COUNTIF($AK$10:$AK99, $AI$11:$AI$259), ""), 0)),"")</f>
        <v/>
      </c>
      <c r="AL100" s="156" t="str">
        <f t="array" ref="AL100">IFERROR(INDEX($AI$11:$AI$259, MATCH(0, IF(TRUE=$AG$11:$AG$259, COUNTIF($AL$10:$AL99, $AI$11:$AI$259), ""), 0)),"")</f>
        <v/>
      </c>
      <c r="AM100" s="156" t="str">
        <f t="array" ref="AM100">IFERROR(INDEX($AI$11:$AI$259, MATCH(0, IF(TRUE=$AH$11:$AH$259, COUNTIF($AM$10:$AM99, $AI$11:$AI$259), ""), 0)),"")</f>
        <v/>
      </c>
      <c r="AQ100" s="31">
        <f t="shared" si="11"/>
        <v>0</v>
      </c>
    </row>
    <row r="101" spans="1:43" x14ac:dyDescent="0.25">
      <c r="A101" s="31" t="str">
        <f>IFERROR(INDEX('G-1 All Habitats'!$AG$3:$AG$15,MATCH(E101,'G-1 All Habitats'!$AF$3:$AF$15,0)),"")</f>
        <v/>
      </c>
      <c r="B101" s="31" t="str">
        <f>IFERROR(INDEX('G-8 Condition Look up'!$I$4:$I$130,MATCH(G101,'G-8 Condition Look up'!$A$4:$A$130,0)),"")</f>
        <v/>
      </c>
      <c r="D101" s="141">
        <v>91</v>
      </c>
      <c r="E101" s="203"/>
      <c r="F101" s="203"/>
      <c r="G101" s="250" t="str">
        <f>IFERROR(INDEX('G-1 All Habitats'!$B$3:$B$129,MATCH(F101,'G-1 All Habitats'!$A$3:$A$129,0)),"")</f>
        <v/>
      </c>
      <c r="H101" s="172"/>
      <c r="I101" s="498" t="str">
        <f>IF(G101="","",VLOOKUP(G101,'G-1 All Habitats'!$B$2:$M$129,10,FALSE))</f>
        <v/>
      </c>
      <c r="J101" s="499" t="str">
        <f>IFERROR(VLOOKUP(I101,'G-1 All Habitats'!$V$3:$W$7,2,FALSE),"")</f>
        <v/>
      </c>
      <c r="K101" s="145"/>
      <c r="L101" s="499" t="str">
        <f>IFERROR(INDEX('G-8 Condition Look up'!$A$3:$H$130,MATCH(G101,'G-8 Condition Look up'!$A$3:$A$130,0),MATCH(K101,'G-8 Condition Look up'!$A$3:$H$3,0)),"")</f>
        <v/>
      </c>
      <c r="M101" s="154"/>
      <c r="N101" s="520" t="str">
        <f>IF(M101="","",IF(VLOOKUP(M101,'G-3 Multipliers'!$L$3:$N$6,2,FALSE)=0,"Spatial Data Missing ⚠",VLOOKUP(M101,'G-3 Multipliers'!$L$3:$N$6,2,FALSE)))</f>
        <v/>
      </c>
      <c r="O101" s="524" t="str">
        <f>IF(M101="","",IF(VLOOKUP(M101,'G-3 Multipliers'!$L$3:$N$6,3,FALSE)=0,"Spatial Data Missing ⚠",VLOOKUP(M101,'G-3 Multipliers'!$L$3:$N$6,3,FALSE)))</f>
        <v/>
      </c>
      <c r="P101" s="506" t="str">
        <f>IFERROR(VLOOKUP(G101,'G-1 All Habitats'!$B$2:$M$129,12,FALSE),"")</f>
        <v/>
      </c>
      <c r="Q101" s="513" t="str">
        <f>IFERROR(IF(P101="","",IF(AND(P101='G-1 All Habitats'!$X$3,T101&gt;0),U101+V101,IF(AND(P101='G-1 All Habitats'!$X$3,S101&gt;0),U101+V101,IF(AND(P101='G-1 All Habitats'!$X$3,AC101&gt;0),"Any Loss Unacceptable",IF(AND(P101='G-1 All Habitats'!$X$3,W101&gt;0),"Any Loss Unacceptable",H101*J101*L101*O101))))),"Check Data ⚠")</f>
        <v/>
      </c>
      <c r="R101" s="50"/>
      <c r="S101" s="71"/>
      <c r="T101" s="72"/>
      <c r="U101" s="511" t="str">
        <f t="shared" si="8"/>
        <v/>
      </c>
      <c r="V101" s="511" t="str">
        <f t="shared" si="9"/>
        <v/>
      </c>
      <c r="W101" s="511"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545" t="str">
        <f>IFERROR(IF(H101="","",IF(H101-S101-T101=0&lt;0,"Error in Areas ▲",IF(S101+T101&gt;H101,"Error in Areas ▲",IF(AND(P101='G-1 All Habitats'!$X$3,Y101="Yes"),"Alternative Compensation",IF(W101=0,0,IF(P101='G-1 All Habitats'!$X$3,"Unacceptable Loss",Q101-U101-V101)))))),"Check Data ⚠")</f>
        <v/>
      </c>
      <c r="Y101" s="72"/>
      <c r="Z101" s="151"/>
      <c r="AA101" s="152"/>
      <c r="AC101" s="251" t="str">
        <f>IF(P101="","",IF(P101='G-1 All Habitats'!$X$3,H101-S101-T101,"None"))</f>
        <v/>
      </c>
      <c r="AD101" s="252" t="str">
        <f t="shared" si="10"/>
        <v/>
      </c>
      <c r="AF101" s="156" t="str">
        <f t="shared" si="6"/>
        <v/>
      </c>
      <c r="AG101" s="156" t="str">
        <f t="shared" si="7"/>
        <v/>
      </c>
      <c r="AH101" s="156" t="str">
        <f>IF(I101="","",IF(#REF!&gt;0,TRUE,FALSE))</f>
        <v/>
      </c>
      <c r="AI101" s="156">
        <v>91</v>
      </c>
      <c r="AJ101" s="156"/>
      <c r="AK101" s="156" t="str">
        <f t="array" ref="AK101">IFERROR(INDEX($AI$11:$AI$259, MATCH(0, IF(TRUE=$AF$11:$AF$259, COUNTIF($AK$10:$AK100, $AI$11:$AI$259), ""), 0)),"")</f>
        <v/>
      </c>
      <c r="AL101" s="156" t="str">
        <f t="array" ref="AL101">IFERROR(INDEX($AI$11:$AI$259, MATCH(0, IF(TRUE=$AG$11:$AG$259, COUNTIF($AL$10:$AL100, $AI$11:$AI$259), ""), 0)),"")</f>
        <v/>
      </c>
      <c r="AM101" s="156" t="str">
        <f t="array" ref="AM101">IFERROR(INDEX($AI$11:$AI$259, MATCH(0, IF(TRUE=$AH$11:$AH$259, COUNTIF($AM$10:$AM100, $AI$11:$AI$259), ""), 0)),"")</f>
        <v/>
      </c>
      <c r="AQ101" s="31">
        <f t="shared" si="11"/>
        <v>0</v>
      </c>
    </row>
    <row r="102" spans="1:43" x14ac:dyDescent="0.25">
      <c r="A102" s="31" t="str">
        <f>IFERROR(INDEX('G-1 All Habitats'!$AG$3:$AG$15,MATCH(E102,'G-1 All Habitats'!$AF$3:$AF$15,0)),"")</f>
        <v/>
      </c>
      <c r="B102" s="31" t="str">
        <f>IFERROR(INDEX('G-8 Condition Look up'!$I$4:$I$130,MATCH(G102,'G-8 Condition Look up'!$A$4:$A$130,0)),"")</f>
        <v/>
      </c>
      <c r="D102" s="141">
        <v>92</v>
      </c>
      <c r="E102" s="203"/>
      <c r="F102" s="203"/>
      <c r="G102" s="250" t="str">
        <f>IFERROR(INDEX('G-1 All Habitats'!$B$3:$B$129,MATCH(F102,'G-1 All Habitats'!$A$3:$A$129,0)),"")</f>
        <v/>
      </c>
      <c r="H102" s="172"/>
      <c r="I102" s="498" t="str">
        <f>IF(G102="","",VLOOKUP(G102,'G-1 All Habitats'!$B$2:$M$129,10,FALSE))</f>
        <v/>
      </c>
      <c r="J102" s="499" t="str">
        <f>IFERROR(VLOOKUP(I102,'G-1 All Habitats'!$V$3:$W$7,2,FALSE),"")</f>
        <v/>
      </c>
      <c r="K102" s="145"/>
      <c r="L102" s="499" t="str">
        <f>IFERROR(INDEX('G-8 Condition Look up'!$A$3:$H$130,MATCH(G102,'G-8 Condition Look up'!$A$3:$A$130,0),MATCH(K102,'G-8 Condition Look up'!$A$3:$H$3,0)),"")</f>
        <v/>
      </c>
      <c r="M102" s="154"/>
      <c r="N102" s="520" t="str">
        <f>IF(M102="","",IF(VLOOKUP(M102,'G-3 Multipliers'!$L$3:$N$6,2,FALSE)=0,"Spatial Data Missing ⚠",VLOOKUP(M102,'G-3 Multipliers'!$L$3:$N$6,2,FALSE)))</f>
        <v/>
      </c>
      <c r="O102" s="524" t="str">
        <f>IF(M102="","",IF(VLOOKUP(M102,'G-3 Multipliers'!$L$3:$N$6,3,FALSE)=0,"Spatial Data Missing ⚠",VLOOKUP(M102,'G-3 Multipliers'!$L$3:$N$6,3,FALSE)))</f>
        <v/>
      </c>
      <c r="P102" s="506" t="str">
        <f>IFERROR(VLOOKUP(G102,'G-1 All Habitats'!$B$2:$M$129,12,FALSE),"")</f>
        <v/>
      </c>
      <c r="Q102" s="513" t="str">
        <f>IFERROR(IF(P102="","",IF(AND(P102='G-1 All Habitats'!$X$3,T102&gt;0),U102+V102,IF(AND(P102='G-1 All Habitats'!$X$3,S102&gt;0),U102+V102,IF(AND(P102='G-1 All Habitats'!$X$3,AC102&gt;0),"Any Loss Unacceptable",IF(AND(P102='G-1 All Habitats'!$X$3,W102&gt;0),"Any Loss Unacceptable",H102*J102*L102*O102))))),"Check Data ⚠")</f>
        <v/>
      </c>
      <c r="R102" s="50"/>
      <c r="S102" s="71"/>
      <c r="T102" s="72"/>
      <c r="U102" s="511" t="str">
        <f t="shared" si="8"/>
        <v/>
      </c>
      <c r="V102" s="511" t="str">
        <f t="shared" si="9"/>
        <v/>
      </c>
      <c r="W102" s="511"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545" t="str">
        <f>IFERROR(IF(H102="","",IF(H102-S102-T102=0&lt;0,"Error in Areas ▲",IF(S102+T102&gt;H102,"Error in Areas ▲",IF(AND(P102='G-1 All Habitats'!$X$3,Y102="Yes"),"Alternative Compensation",IF(W102=0,0,IF(P102='G-1 All Habitats'!$X$3,"Unacceptable Loss",Q102-U102-V102)))))),"Check Data ⚠")</f>
        <v/>
      </c>
      <c r="Y102" s="72"/>
      <c r="Z102" s="151"/>
      <c r="AA102" s="152"/>
      <c r="AC102" s="251" t="str">
        <f>IF(P102="","",IF(P102='G-1 All Habitats'!$X$3,H102-S102-T102,"None"))</f>
        <v/>
      </c>
      <c r="AD102" s="252" t="str">
        <f t="shared" si="10"/>
        <v/>
      </c>
      <c r="AF102" s="156" t="str">
        <f t="shared" si="6"/>
        <v/>
      </c>
      <c r="AG102" s="156" t="str">
        <f t="shared" si="7"/>
        <v/>
      </c>
      <c r="AH102" s="156" t="str">
        <f>IF(I102="","",IF(#REF!&gt;0,TRUE,FALSE))</f>
        <v/>
      </c>
      <c r="AI102" s="156">
        <v>92</v>
      </c>
      <c r="AJ102" s="156"/>
      <c r="AK102" s="156" t="str">
        <f t="array" ref="AK102">IFERROR(INDEX($AI$11:$AI$259, MATCH(0, IF(TRUE=$AF$11:$AF$259, COUNTIF($AK$10:$AK101, $AI$11:$AI$259), ""), 0)),"")</f>
        <v/>
      </c>
      <c r="AL102" s="156" t="str">
        <f t="array" ref="AL102">IFERROR(INDEX($AI$11:$AI$259, MATCH(0, IF(TRUE=$AG$11:$AG$259, COUNTIF($AL$10:$AL101, $AI$11:$AI$259), ""), 0)),"")</f>
        <v/>
      </c>
      <c r="AM102" s="156" t="str">
        <f t="array" ref="AM102">IFERROR(INDEX($AI$11:$AI$259, MATCH(0, IF(TRUE=$AH$11:$AH$259, COUNTIF($AM$10:$AM101, $AI$11:$AI$259), ""), 0)),"")</f>
        <v/>
      </c>
      <c r="AQ102" s="31">
        <f t="shared" si="11"/>
        <v>0</v>
      </c>
    </row>
    <row r="103" spans="1:43" x14ac:dyDescent="0.25">
      <c r="A103" s="31" t="str">
        <f>IFERROR(INDEX('G-1 All Habitats'!$AG$3:$AG$15,MATCH(E103,'G-1 All Habitats'!$AF$3:$AF$15,0)),"")</f>
        <v/>
      </c>
      <c r="B103" s="31" t="str">
        <f>IFERROR(INDEX('G-8 Condition Look up'!$I$4:$I$130,MATCH(G103,'G-8 Condition Look up'!$A$4:$A$130,0)),"")</f>
        <v/>
      </c>
      <c r="D103" s="141">
        <v>93</v>
      </c>
      <c r="E103" s="203"/>
      <c r="F103" s="203"/>
      <c r="G103" s="250" t="str">
        <f>IFERROR(INDEX('G-1 All Habitats'!$B$3:$B$129,MATCH(F103,'G-1 All Habitats'!$A$3:$A$129,0)),"")</f>
        <v/>
      </c>
      <c r="H103" s="172"/>
      <c r="I103" s="498" t="str">
        <f>IF(G103="","",VLOOKUP(G103,'G-1 All Habitats'!$B$2:$M$129,10,FALSE))</f>
        <v/>
      </c>
      <c r="J103" s="499" t="str">
        <f>IFERROR(VLOOKUP(I103,'G-1 All Habitats'!$V$3:$W$7,2,FALSE),"")</f>
        <v/>
      </c>
      <c r="K103" s="145"/>
      <c r="L103" s="499" t="str">
        <f>IFERROR(INDEX('G-8 Condition Look up'!$A$3:$H$130,MATCH(G103,'G-8 Condition Look up'!$A$3:$A$130,0),MATCH(K103,'G-8 Condition Look up'!$A$3:$H$3,0)),"")</f>
        <v/>
      </c>
      <c r="M103" s="154"/>
      <c r="N103" s="520" t="str">
        <f>IF(M103="","",IF(VLOOKUP(M103,'G-3 Multipliers'!$L$3:$N$6,2,FALSE)=0,"Spatial Data Missing ⚠",VLOOKUP(M103,'G-3 Multipliers'!$L$3:$N$6,2,FALSE)))</f>
        <v/>
      </c>
      <c r="O103" s="524" t="str">
        <f>IF(M103="","",IF(VLOOKUP(M103,'G-3 Multipliers'!$L$3:$N$6,3,FALSE)=0,"Spatial Data Missing ⚠",VLOOKUP(M103,'G-3 Multipliers'!$L$3:$N$6,3,FALSE)))</f>
        <v/>
      </c>
      <c r="P103" s="506" t="str">
        <f>IFERROR(VLOOKUP(G103,'G-1 All Habitats'!$B$2:$M$129,12,FALSE),"")</f>
        <v/>
      </c>
      <c r="Q103" s="513" t="str">
        <f>IFERROR(IF(P103="","",IF(AND(P103='G-1 All Habitats'!$X$3,T103&gt;0),U103+V103,IF(AND(P103='G-1 All Habitats'!$X$3,S103&gt;0),U103+V103,IF(AND(P103='G-1 All Habitats'!$X$3,AC103&gt;0),"Any Loss Unacceptable",IF(AND(P103='G-1 All Habitats'!$X$3,W103&gt;0),"Any Loss Unacceptable",H103*J103*L103*O103))))),"Check Data ⚠")</f>
        <v/>
      </c>
      <c r="R103" s="50"/>
      <c r="S103" s="71"/>
      <c r="T103" s="72"/>
      <c r="U103" s="511" t="str">
        <f t="shared" si="8"/>
        <v/>
      </c>
      <c r="V103" s="511" t="str">
        <f t="shared" si="9"/>
        <v/>
      </c>
      <c r="W103" s="511"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545" t="str">
        <f>IFERROR(IF(H103="","",IF(H103-S103-T103=0&lt;0,"Error in Areas ▲",IF(S103+T103&gt;H103,"Error in Areas ▲",IF(AND(P103='G-1 All Habitats'!$X$3,Y103="Yes"),"Alternative Compensation",IF(W103=0,0,IF(P103='G-1 All Habitats'!$X$3,"Unacceptable Loss",Q103-U103-V103)))))),"Check Data ⚠")</f>
        <v/>
      </c>
      <c r="Y103" s="72"/>
      <c r="Z103" s="151"/>
      <c r="AA103" s="152"/>
      <c r="AC103" s="251" t="str">
        <f>IF(P103="","",IF(P103='G-1 All Habitats'!$X$3,H103-S103-T103,"None"))</f>
        <v/>
      </c>
      <c r="AD103" s="252" t="str">
        <f t="shared" si="10"/>
        <v/>
      </c>
      <c r="AF103" s="156" t="str">
        <f t="shared" si="6"/>
        <v/>
      </c>
      <c r="AG103" s="156" t="str">
        <f t="shared" si="7"/>
        <v/>
      </c>
      <c r="AH103" s="156" t="str">
        <f>IF(I103="","",IF(#REF!&gt;0,TRUE,FALSE))</f>
        <v/>
      </c>
      <c r="AI103" s="156">
        <v>93</v>
      </c>
      <c r="AJ103" s="156"/>
      <c r="AK103" s="156" t="str">
        <f t="array" ref="AK103">IFERROR(INDEX($AI$11:$AI$259, MATCH(0, IF(TRUE=$AF$11:$AF$259, COUNTIF($AK$10:$AK102, $AI$11:$AI$259), ""), 0)),"")</f>
        <v/>
      </c>
      <c r="AL103" s="156" t="str">
        <f t="array" ref="AL103">IFERROR(INDEX($AI$11:$AI$259, MATCH(0, IF(TRUE=$AG$11:$AG$259, COUNTIF($AL$10:$AL102, $AI$11:$AI$259), ""), 0)),"")</f>
        <v/>
      </c>
      <c r="AM103" s="156" t="str">
        <f t="array" ref="AM103">IFERROR(INDEX($AI$11:$AI$259, MATCH(0, IF(TRUE=$AH$11:$AH$259, COUNTIF($AM$10:$AM102, $AI$11:$AI$259), ""), 0)),"")</f>
        <v/>
      </c>
      <c r="AQ103" s="31">
        <f t="shared" si="11"/>
        <v>0</v>
      </c>
    </row>
    <row r="104" spans="1:43" x14ac:dyDescent="0.25">
      <c r="A104" s="31" t="str">
        <f>IFERROR(INDEX('G-1 All Habitats'!$AG$3:$AG$15,MATCH(E104,'G-1 All Habitats'!$AF$3:$AF$15,0)),"")</f>
        <v/>
      </c>
      <c r="B104" s="31" t="str">
        <f>IFERROR(INDEX('G-8 Condition Look up'!$I$4:$I$130,MATCH(G104,'G-8 Condition Look up'!$A$4:$A$130,0)),"")</f>
        <v/>
      </c>
      <c r="D104" s="141">
        <v>94</v>
      </c>
      <c r="E104" s="203"/>
      <c r="F104" s="203"/>
      <c r="G104" s="250" t="str">
        <f>IFERROR(INDEX('G-1 All Habitats'!$B$3:$B$129,MATCH(F104,'G-1 All Habitats'!$A$3:$A$129,0)),"")</f>
        <v/>
      </c>
      <c r="H104" s="172"/>
      <c r="I104" s="498" t="str">
        <f>IF(G104="","",VLOOKUP(G104,'G-1 All Habitats'!$B$2:$M$129,10,FALSE))</f>
        <v/>
      </c>
      <c r="J104" s="499" t="str">
        <f>IFERROR(VLOOKUP(I104,'G-1 All Habitats'!$V$3:$W$7,2,FALSE),"")</f>
        <v/>
      </c>
      <c r="K104" s="145"/>
      <c r="L104" s="499" t="str">
        <f>IFERROR(INDEX('G-8 Condition Look up'!$A$3:$H$130,MATCH(G104,'G-8 Condition Look up'!$A$3:$A$130,0),MATCH(K104,'G-8 Condition Look up'!$A$3:$H$3,0)),"")</f>
        <v/>
      </c>
      <c r="M104" s="154"/>
      <c r="N104" s="520" t="str">
        <f>IF(M104="","",IF(VLOOKUP(M104,'G-3 Multipliers'!$L$3:$N$6,2,FALSE)=0,"Spatial Data Missing ⚠",VLOOKUP(M104,'G-3 Multipliers'!$L$3:$N$6,2,FALSE)))</f>
        <v/>
      </c>
      <c r="O104" s="524" t="str">
        <f>IF(M104="","",IF(VLOOKUP(M104,'G-3 Multipliers'!$L$3:$N$6,3,FALSE)=0,"Spatial Data Missing ⚠",VLOOKUP(M104,'G-3 Multipliers'!$L$3:$N$6,3,FALSE)))</f>
        <v/>
      </c>
      <c r="P104" s="506" t="str">
        <f>IFERROR(VLOOKUP(G104,'G-1 All Habitats'!$B$2:$M$129,12,FALSE),"")</f>
        <v/>
      </c>
      <c r="Q104" s="513" t="str">
        <f>IFERROR(IF(P104="","",IF(AND(P104='G-1 All Habitats'!$X$3,T104&gt;0),U104+V104,IF(AND(P104='G-1 All Habitats'!$X$3,S104&gt;0),U104+V104,IF(AND(P104='G-1 All Habitats'!$X$3,AC104&gt;0),"Any Loss Unacceptable",IF(AND(P104='G-1 All Habitats'!$X$3,W104&gt;0),"Any Loss Unacceptable",H104*J104*L104*O104))))),"Check Data ⚠")</f>
        <v/>
      </c>
      <c r="R104" s="50"/>
      <c r="S104" s="71"/>
      <c r="T104" s="72"/>
      <c r="U104" s="511" t="str">
        <f t="shared" si="8"/>
        <v/>
      </c>
      <c r="V104" s="511" t="str">
        <f t="shared" si="9"/>
        <v/>
      </c>
      <c r="W104" s="511"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545" t="str">
        <f>IFERROR(IF(H104="","",IF(H104-S104-T104=0&lt;0,"Error in Areas ▲",IF(S104+T104&gt;H104,"Error in Areas ▲",IF(AND(P104='G-1 All Habitats'!$X$3,Y104="Yes"),"Alternative Compensation",IF(W104=0,0,IF(P104='G-1 All Habitats'!$X$3,"Unacceptable Loss",Q104-U104-V104)))))),"Check Data ⚠")</f>
        <v/>
      </c>
      <c r="Y104" s="72"/>
      <c r="Z104" s="151"/>
      <c r="AA104" s="152"/>
      <c r="AC104" s="251" t="str">
        <f>IF(P104="","",IF(P104='G-1 All Habitats'!$X$3,H104-S104-T104,"None"))</f>
        <v/>
      </c>
      <c r="AD104" s="252" t="str">
        <f t="shared" si="10"/>
        <v/>
      </c>
      <c r="AF104" s="156" t="str">
        <f t="shared" si="6"/>
        <v/>
      </c>
      <c r="AG104" s="156" t="str">
        <f t="shared" si="7"/>
        <v/>
      </c>
      <c r="AH104" s="156" t="str">
        <f>IF(I104="","",IF(#REF!&gt;0,TRUE,FALSE))</f>
        <v/>
      </c>
      <c r="AI104" s="156">
        <v>94</v>
      </c>
      <c r="AJ104" s="156"/>
      <c r="AK104" s="156" t="str">
        <f t="array" ref="AK104">IFERROR(INDEX($AI$11:$AI$259, MATCH(0, IF(TRUE=$AF$11:$AF$259, COUNTIF($AK$10:$AK103, $AI$11:$AI$259), ""), 0)),"")</f>
        <v/>
      </c>
      <c r="AL104" s="156" t="str">
        <f t="array" ref="AL104">IFERROR(INDEX($AI$11:$AI$259, MATCH(0, IF(TRUE=$AG$11:$AG$259, COUNTIF($AL$10:$AL103, $AI$11:$AI$259), ""), 0)),"")</f>
        <v/>
      </c>
      <c r="AM104" s="156" t="str">
        <f t="array" ref="AM104">IFERROR(INDEX($AI$11:$AI$259, MATCH(0, IF(TRUE=$AH$11:$AH$259, COUNTIF($AM$10:$AM103, $AI$11:$AI$259), ""), 0)),"")</f>
        <v/>
      </c>
      <c r="AQ104" s="31">
        <f t="shared" si="11"/>
        <v>0</v>
      </c>
    </row>
    <row r="105" spans="1:43" x14ac:dyDescent="0.25">
      <c r="A105" s="31" t="str">
        <f>IFERROR(INDEX('G-1 All Habitats'!$AG$3:$AG$15,MATCH(E105,'G-1 All Habitats'!$AF$3:$AF$15,0)),"")</f>
        <v/>
      </c>
      <c r="B105" s="31" t="str">
        <f>IFERROR(INDEX('G-8 Condition Look up'!$I$4:$I$130,MATCH(G105,'G-8 Condition Look up'!$A$4:$A$130,0)),"")</f>
        <v/>
      </c>
      <c r="D105" s="141">
        <v>95</v>
      </c>
      <c r="E105" s="203"/>
      <c r="F105" s="203"/>
      <c r="G105" s="250" t="str">
        <f>IFERROR(INDEX('G-1 All Habitats'!$B$3:$B$129,MATCH(F105,'G-1 All Habitats'!$A$3:$A$129,0)),"")</f>
        <v/>
      </c>
      <c r="H105" s="172"/>
      <c r="I105" s="498" t="str">
        <f>IF(G105="","",VLOOKUP(G105,'G-1 All Habitats'!$B$2:$M$129,10,FALSE))</f>
        <v/>
      </c>
      <c r="J105" s="499" t="str">
        <f>IFERROR(VLOOKUP(I105,'G-1 All Habitats'!$V$3:$W$7,2,FALSE),"")</f>
        <v/>
      </c>
      <c r="K105" s="145"/>
      <c r="L105" s="499" t="str">
        <f>IFERROR(INDEX('G-8 Condition Look up'!$A$3:$H$130,MATCH(G105,'G-8 Condition Look up'!$A$3:$A$130,0),MATCH(K105,'G-8 Condition Look up'!$A$3:$H$3,0)),"")</f>
        <v/>
      </c>
      <c r="M105" s="154"/>
      <c r="N105" s="520" t="str">
        <f>IF(M105="","",IF(VLOOKUP(M105,'G-3 Multipliers'!$L$3:$N$6,2,FALSE)=0,"Spatial Data Missing ⚠",VLOOKUP(M105,'G-3 Multipliers'!$L$3:$N$6,2,FALSE)))</f>
        <v/>
      </c>
      <c r="O105" s="524" t="str">
        <f>IF(M105="","",IF(VLOOKUP(M105,'G-3 Multipliers'!$L$3:$N$6,3,FALSE)=0,"Spatial Data Missing ⚠",VLOOKUP(M105,'G-3 Multipliers'!$L$3:$N$6,3,FALSE)))</f>
        <v/>
      </c>
      <c r="P105" s="506" t="str">
        <f>IFERROR(VLOOKUP(G105,'G-1 All Habitats'!$B$2:$M$129,12,FALSE),"")</f>
        <v/>
      </c>
      <c r="Q105" s="513" t="str">
        <f>IFERROR(IF(P105="","",IF(AND(P105='G-1 All Habitats'!$X$3,T105&gt;0),U105+V105,IF(AND(P105='G-1 All Habitats'!$X$3,S105&gt;0),U105+V105,IF(AND(P105='G-1 All Habitats'!$X$3,AC105&gt;0),"Any Loss Unacceptable",IF(AND(P105='G-1 All Habitats'!$X$3,W105&gt;0),"Any Loss Unacceptable",H105*J105*L105*O105))))),"Check Data ⚠")</f>
        <v/>
      </c>
      <c r="R105" s="50"/>
      <c r="S105" s="71"/>
      <c r="T105" s="72"/>
      <c r="U105" s="511" t="str">
        <f t="shared" si="8"/>
        <v/>
      </c>
      <c r="V105" s="511" t="str">
        <f t="shared" si="9"/>
        <v/>
      </c>
      <c r="W105" s="511"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545" t="str">
        <f>IFERROR(IF(H105="","",IF(H105-S105-T105=0&lt;0,"Error in Areas ▲",IF(S105+T105&gt;H105,"Error in Areas ▲",IF(AND(P105='G-1 All Habitats'!$X$3,Y105="Yes"),"Alternative Compensation",IF(W105=0,0,IF(P105='G-1 All Habitats'!$X$3,"Unacceptable Loss",Q105-U105-V105)))))),"Check Data ⚠")</f>
        <v/>
      </c>
      <c r="Y105" s="72"/>
      <c r="Z105" s="151"/>
      <c r="AA105" s="152"/>
      <c r="AC105" s="251" t="str">
        <f>IF(P105="","",IF(P105='G-1 All Habitats'!$X$3,H105-S105-T105,"None"))</f>
        <v/>
      </c>
      <c r="AD105" s="252" t="str">
        <f t="shared" si="10"/>
        <v/>
      </c>
      <c r="AF105" s="156" t="str">
        <f t="shared" si="6"/>
        <v/>
      </c>
      <c r="AG105" s="156" t="str">
        <f t="shared" si="7"/>
        <v/>
      </c>
      <c r="AH105" s="156" t="str">
        <f>IF(I105="","",IF(#REF!&gt;0,TRUE,FALSE))</f>
        <v/>
      </c>
      <c r="AI105" s="156">
        <v>95</v>
      </c>
      <c r="AJ105" s="156"/>
      <c r="AK105" s="156" t="str">
        <f t="array" ref="AK105">IFERROR(INDEX($AI$11:$AI$259, MATCH(0, IF(TRUE=$AF$11:$AF$259, COUNTIF($AK$10:$AK104, $AI$11:$AI$259), ""), 0)),"")</f>
        <v/>
      </c>
      <c r="AL105" s="156" t="str">
        <f t="array" ref="AL105">IFERROR(INDEX($AI$11:$AI$259, MATCH(0, IF(TRUE=$AG$11:$AG$259, COUNTIF($AL$10:$AL104, $AI$11:$AI$259), ""), 0)),"")</f>
        <v/>
      </c>
      <c r="AM105" s="156" t="str">
        <f t="array" ref="AM105">IFERROR(INDEX($AI$11:$AI$259, MATCH(0, IF(TRUE=$AH$11:$AH$259, COUNTIF($AM$10:$AM104, $AI$11:$AI$259), ""), 0)),"")</f>
        <v/>
      </c>
      <c r="AQ105" s="31">
        <f t="shared" si="11"/>
        <v>0</v>
      </c>
    </row>
    <row r="106" spans="1:43" x14ac:dyDescent="0.25">
      <c r="A106" s="31" t="str">
        <f>IFERROR(INDEX('G-1 All Habitats'!$AG$3:$AG$15,MATCH(E106,'G-1 All Habitats'!$AF$3:$AF$15,0)),"")</f>
        <v/>
      </c>
      <c r="B106" s="31" t="str">
        <f>IFERROR(INDEX('G-8 Condition Look up'!$I$4:$I$130,MATCH(G106,'G-8 Condition Look up'!$A$4:$A$130,0)),"")</f>
        <v/>
      </c>
      <c r="D106" s="141">
        <v>96</v>
      </c>
      <c r="E106" s="203"/>
      <c r="F106" s="203"/>
      <c r="G106" s="250" t="str">
        <f>IFERROR(INDEX('G-1 All Habitats'!$B$3:$B$129,MATCH(F106,'G-1 All Habitats'!$A$3:$A$129,0)),"")</f>
        <v/>
      </c>
      <c r="H106" s="172"/>
      <c r="I106" s="498" t="str">
        <f>IF(G106="","",VLOOKUP(G106,'G-1 All Habitats'!$B$2:$M$129,10,FALSE))</f>
        <v/>
      </c>
      <c r="J106" s="499" t="str">
        <f>IFERROR(VLOOKUP(I106,'G-1 All Habitats'!$V$3:$W$7,2,FALSE),"")</f>
        <v/>
      </c>
      <c r="K106" s="145"/>
      <c r="L106" s="499" t="str">
        <f>IFERROR(INDEX('G-8 Condition Look up'!$A$3:$H$130,MATCH(G106,'G-8 Condition Look up'!$A$3:$A$130,0),MATCH(K106,'G-8 Condition Look up'!$A$3:$H$3,0)),"")</f>
        <v/>
      </c>
      <c r="M106" s="154"/>
      <c r="N106" s="520" t="str">
        <f>IF(M106="","",IF(VLOOKUP(M106,'G-3 Multipliers'!$L$3:$N$6,2,FALSE)=0,"Spatial Data Missing ⚠",VLOOKUP(M106,'G-3 Multipliers'!$L$3:$N$6,2,FALSE)))</f>
        <v/>
      </c>
      <c r="O106" s="524" t="str">
        <f>IF(M106="","",IF(VLOOKUP(M106,'G-3 Multipliers'!$L$3:$N$6,3,FALSE)=0,"Spatial Data Missing ⚠",VLOOKUP(M106,'G-3 Multipliers'!$L$3:$N$6,3,FALSE)))</f>
        <v/>
      </c>
      <c r="P106" s="506" t="str">
        <f>IFERROR(VLOOKUP(G106,'G-1 All Habitats'!$B$2:$M$129,12,FALSE),"")</f>
        <v/>
      </c>
      <c r="Q106" s="513" t="str">
        <f>IFERROR(IF(P106="","",IF(AND(P106='G-1 All Habitats'!$X$3,T106&gt;0),U106+V106,IF(AND(P106='G-1 All Habitats'!$X$3,S106&gt;0),U106+V106,IF(AND(P106='G-1 All Habitats'!$X$3,AC106&gt;0),"Any Loss Unacceptable",IF(AND(P106='G-1 All Habitats'!$X$3,W106&gt;0),"Any Loss Unacceptable",H106*J106*L106*O106))))),"Check Data ⚠")</f>
        <v/>
      </c>
      <c r="R106" s="50"/>
      <c r="S106" s="71"/>
      <c r="T106" s="72"/>
      <c r="U106" s="511" t="str">
        <f t="shared" si="8"/>
        <v/>
      </c>
      <c r="V106" s="511" t="str">
        <f t="shared" si="9"/>
        <v/>
      </c>
      <c r="W106" s="511"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545" t="str">
        <f>IFERROR(IF(H106="","",IF(H106-S106-T106=0&lt;0,"Error in Areas ▲",IF(S106+T106&gt;H106,"Error in Areas ▲",IF(AND(P106='G-1 All Habitats'!$X$3,Y106="Yes"),"Alternative Compensation",IF(W106=0,0,IF(P106='G-1 All Habitats'!$X$3,"Unacceptable Loss",Q106-U106-V106)))))),"Check Data ⚠")</f>
        <v/>
      </c>
      <c r="Y106" s="72"/>
      <c r="Z106" s="151"/>
      <c r="AA106" s="152"/>
      <c r="AC106" s="251" t="str">
        <f>IF(P106="","",IF(P106='G-1 All Habitats'!$X$3,H106-S106-T106,"None"))</f>
        <v/>
      </c>
      <c r="AD106" s="252" t="str">
        <f t="shared" si="10"/>
        <v/>
      </c>
      <c r="AF106" s="156" t="str">
        <f t="shared" si="6"/>
        <v/>
      </c>
      <c r="AG106" s="156" t="str">
        <f t="shared" si="7"/>
        <v/>
      </c>
      <c r="AH106" s="156" t="str">
        <f>IF(I106="","",IF(#REF!&gt;0,TRUE,FALSE))</f>
        <v/>
      </c>
      <c r="AI106" s="156">
        <v>96</v>
      </c>
      <c r="AJ106" s="156"/>
      <c r="AK106" s="156" t="str">
        <f t="array" ref="AK106">IFERROR(INDEX($AI$11:$AI$259, MATCH(0, IF(TRUE=$AF$11:$AF$259, COUNTIF($AK$10:$AK105, $AI$11:$AI$259), ""), 0)),"")</f>
        <v/>
      </c>
      <c r="AL106" s="156" t="str">
        <f t="array" ref="AL106">IFERROR(INDEX($AI$11:$AI$259, MATCH(0, IF(TRUE=$AG$11:$AG$259, COUNTIF($AL$10:$AL105, $AI$11:$AI$259), ""), 0)),"")</f>
        <v/>
      </c>
      <c r="AM106" s="156" t="str">
        <f t="array" ref="AM106">IFERROR(INDEX($AI$11:$AI$259, MATCH(0, IF(TRUE=$AH$11:$AH$259, COUNTIF($AM$10:$AM105, $AI$11:$AI$259), ""), 0)),"")</f>
        <v/>
      </c>
      <c r="AQ106" s="31">
        <f t="shared" si="11"/>
        <v>0</v>
      </c>
    </row>
    <row r="107" spans="1:43" x14ac:dyDescent="0.25">
      <c r="A107" s="31" t="str">
        <f>IFERROR(INDEX('G-1 All Habitats'!$AG$3:$AG$15,MATCH(E107,'G-1 All Habitats'!$AF$3:$AF$15,0)),"")</f>
        <v/>
      </c>
      <c r="B107" s="31" t="str">
        <f>IFERROR(INDEX('G-8 Condition Look up'!$I$4:$I$130,MATCH(G107,'G-8 Condition Look up'!$A$4:$A$130,0)),"")</f>
        <v/>
      </c>
      <c r="D107" s="141">
        <v>97</v>
      </c>
      <c r="E107" s="203"/>
      <c r="F107" s="203"/>
      <c r="G107" s="250" t="str">
        <f>IFERROR(INDEX('G-1 All Habitats'!$B$3:$B$129,MATCH(F107,'G-1 All Habitats'!$A$3:$A$129,0)),"")</f>
        <v/>
      </c>
      <c r="H107" s="172"/>
      <c r="I107" s="498" t="str">
        <f>IF(G107="","",VLOOKUP(G107,'G-1 All Habitats'!$B$2:$M$129,10,FALSE))</f>
        <v/>
      </c>
      <c r="J107" s="499" t="str">
        <f>IFERROR(VLOOKUP(I107,'G-1 All Habitats'!$V$3:$W$7,2,FALSE),"")</f>
        <v/>
      </c>
      <c r="K107" s="145"/>
      <c r="L107" s="499" t="str">
        <f>IFERROR(INDEX('G-8 Condition Look up'!$A$3:$H$130,MATCH(G107,'G-8 Condition Look up'!$A$3:$A$130,0),MATCH(K107,'G-8 Condition Look up'!$A$3:$H$3,0)),"")</f>
        <v/>
      </c>
      <c r="M107" s="154"/>
      <c r="N107" s="520" t="str">
        <f>IF(M107="","",IF(VLOOKUP(M107,'G-3 Multipliers'!$L$3:$N$6,2,FALSE)=0,"Spatial Data Missing ⚠",VLOOKUP(M107,'G-3 Multipliers'!$L$3:$N$6,2,FALSE)))</f>
        <v/>
      </c>
      <c r="O107" s="524" t="str">
        <f>IF(M107="","",IF(VLOOKUP(M107,'G-3 Multipliers'!$L$3:$N$6,3,FALSE)=0,"Spatial Data Missing ⚠",VLOOKUP(M107,'G-3 Multipliers'!$L$3:$N$6,3,FALSE)))</f>
        <v/>
      </c>
      <c r="P107" s="506" t="str">
        <f>IFERROR(VLOOKUP(G107,'G-1 All Habitats'!$B$2:$M$129,12,FALSE),"")</f>
        <v/>
      </c>
      <c r="Q107" s="513" t="str">
        <f>IFERROR(IF(P107="","",IF(AND(P107='G-1 All Habitats'!$X$3,T107&gt;0),U107+V107,IF(AND(P107='G-1 All Habitats'!$X$3,S107&gt;0),U107+V107,IF(AND(P107='G-1 All Habitats'!$X$3,AC107&gt;0),"Any Loss Unacceptable",IF(AND(P107='G-1 All Habitats'!$X$3,W107&gt;0),"Any Loss Unacceptable",H107*J107*L107*O107))))),"Check Data ⚠")</f>
        <v/>
      </c>
      <c r="R107" s="50"/>
      <c r="S107" s="71"/>
      <c r="T107" s="72"/>
      <c r="U107" s="511" t="str">
        <f t="shared" si="8"/>
        <v/>
      </c>
      <c r="V107" s="511" t="str">
        <f t="shared" si="9"/>
        <v/>
      </c>
      <c r="W107" s="511"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545" t="str">
        <f>IFERROR(IF(H107="","",IF(H107-S107-T107=0&lt;0,"Error in Areas ▲",IF(S107+T107&gt;H107,"Error in Areas ▲",IF(AND(P107='G-1 All Habitats'!$X$3,Y107="Yes"),"Alternative Compensation",IF(W107=0,0,IF(P107='G-1 All Habitats'!$X$3,"Unacceptable Loss",Q107-U107-V107)))))),"Check Data ⚠")</f>
        <v/>
      </c>
      <c r="Y107" s="72"/>
      <c r="Z107" s="151"/>
      <c r="AA107" s="152"/>
      <c r="AC107" s="251" t="str">
        <f>IF(P107="","",IF(P107='G-1 All Habitats'!$X$3,H107-S107-T107,"None"))</f>
        <v/>
      </c>
      <c r="AD107" s="252" t="str">
        <f t="shared" si="10"/>
        <v/>
      </c>
      <c r="AF107" s="156" t="str">
        <f t="shared" si="6"/>
        <v/>
      </c>
      <c r="AG107" s="156" t="str">
        <f t="shared" si="7"/>
        <v/>
      </c>
      <c r="AH107" s="156" t="str">
        <f>IF(I107="","",IF(#REF!&gt;0,TRUE,FALSE))</f>
        <v/>
      </c>
      <c r="AI107" s="156">
        <v>97</v>
      </c>
      <c r="AJ107" s="156"/>
      <c r="AK107" s="156" t="str">
        <f t="array" ref="AK107">IFERROR(INDEX($AI$11:$AI$259, MATCH(0, IF(TRUE=$AF$11:$AF$259, COUNTIF($AK$10:$AK106, $AI$11:$AI$259), ""), 0)),"")</f>
        <v/>
      </c>
      <c r="AL107" s="156" t="str">
        <f t="array" ref="AL107">IFERROR(INDEX($AI$11:$AI$259, MATCH(0, IF(TRUE=$AG$11:$AG$259, COUNTIF($AL$10:$AL106, $AI$11:$AI$259), ""), 0)),"")</f>
        <v/>
      </c>
      <c r="AM107" s="156" t="str">
        <f t="array" ref="AM107">IFERROR(INDEX($AI$11:$AI$259, MATCH(0, IF(TRUE=$AH$11:$AH$259, COUNTIF($AM$10:$AM106, $AI$11:$AI$259), ""), 0)),"")</f>
        <v/>
      </c>
      <c r="AQ107" s="31">
        <f t="shared" si="11"/>
        <v>0</v>
      </c>
    </row>
    <row r="108" spans="1:43" x14ac:dyDescent="0.25">
      <c r="A108" s="31" t="str">
        <f>IFERROR(INDEX('G-1 All Habitats'!$AG$3:$AG$15,MATCH(E108,'G-1 All Habitats'!$AF$3:$AF$15,0)),"")</f>
        <v/>
      </c>
      <c r="B108" s="31" t="str">
        <f>IFERROR(INDEX('G-8 Condition Look up'!$I$4:$I$130,MATCH(G108,'G-8 Condition Look up'!$A$4:$A$130,0)),"")</f>
        <v/>
      </c>
      <c r="D108" s="141">
        <v>98</v>
      </c>
      <c r="E108" s="203"/>
      <c r="F108" s="203"/>
      <c r="G108" s="250" t="str">
        <f>IFERROR(INDEX('G-1 All Habitats'!$B$3:$B$129,MATCH(F108,'G-1 All Habitats'!$A$3:$A$129,0)),"")</f>
        <v/>
      </c>
      <c r="H108" s="172"/>
      <c r="I108" s="498" t="str">
        <f>IF(G108="","",VLOOKUP(G108,'G-1 All Habitats'!$B$2:$M$129,10,FALSE))</f>
        <v/>
      </c>
      <c r="J108" s="499" t="str">
        <f>IFERROR(VLOOKUP(I108,'G-1 All Habitats'!$V$3:$W$7,2,FALSE),"")</f>
        <v/>
      </c>
      <c r="K108" s="145"/>
      <c r="L108" s="499" t="str">
        <f>IFERROR(INDEX('G-8 Condition Look up'!$A$3:$H$130,MATCH(G108,'G-8 Condition Look up'!$A$3:$A$130,0),MATCH(K108,'G-8 Condition Look up'!$A$3:$H$3,0)),"")</f>
        <v/>
      </c>
      <c r="M108" s="154"/>
      <c r="N108" s="520" t="str">
        <f>IF(M108="","",IF(VLOOKUP(M108,'G-3 Multipliers'!$L$3:$N$6,2,FALSE)=0,"Spatial Data Missing ⚠",VLOOKUP(M108,'G-3 Multipliers'!$L$3:$N$6,2,FALSE)))</f>
        <v/>
      </c>
      <c r="O108" s="524" t="str">
        <f>IF(M108="","",IF(VLOOKUP(M108,'G-3 Multipliers'!$L$3:$N$6,3,FALSE)=0,"Spatial Data Missing ⚠",VLOOKUP(M108,'G-3 Multipliers'!$L$3:$N$6,3,FALSE)))</f>
        <v/>
      </c>
      <c r="P108" s="506" t="str">
        <f>IFERROR(VLOOKUP(G108,'G-1 All Habitats'!$B$2:$M$129,12,FALSE),"")</f>
        <v/>
      </c>
      <c r="Q108" s="513" t="str">
        <f>IFERROR(IF(P108="","",IF(AND(P108='G-1 All Habitats'!$X$3,T108&gt;0),U108+V108,IF(AND(P108='G-1 All Habitats'!$X$3,S108&gt;0),U108+V108,IF(AND(P108='G-1 All Habitats'!$X$3,AC108&gt;0),"Any Loss Unacceptable",IF(AND(P108='G-1 All Habitats'!$X$3,W108&gt;0),"Any Loss Unacceptable",H108*J108*L108*O108))))),"Check Data ⚠")</f>
        <v/>
      </c>
      <c r="R108" s="50"/>
      <c r="S108" s="71"/>
      <c r="T108" s="72"/>
      <c r="U108" s="511" t="str">
        <f t="shared" si="8"/>
        <v/>
      </c>
      <c r="V108" s="511" t="str">
        <f t="shared" si="9"/>
        <v/>
      </c>
      <c r="W108" s="511"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545" t="str">
        <f>IFERROR(IF(H108="","",IF(H108-S108-T108=0&lt;0,"Error in Areas ▲",IF(S108+T108&gt;H108,"Error in Areas ▲",IF(AND(P108='G-1 All Habitats'!$X$3,Y108="Yes"),"Alternative Compensation",IF(W108=0,0,IF(P108='G-1 All Habitats'!$X$3,"Unacceptable Loss",Q108-U108-V108)))))),"Check Data ⚠")</f>
        <v/>
      </c>
      <c r="Y108" s="72"/>
      <c r="Z108" s="151"/>
      <c r="AA108" s="152"/>
      <c r="AC108" s="251" t="str">
        <f>IF(P108="","",IF(P108='G-1 All Habitats'!$X$3,H108-S108-T108,"None"))</f>
        <v/>
      </c>
      <c r="AD108" s="252" t="str">
        <f t="shared" si="10"/>
        <v/>
      </c>
      <c r="AF108" s="156" t="str">
        <f t="shared" si="6"/>
        <v/>
      </c>
      <c r="AG108" s="156" t="str">
        <f t="shared" si="7"/>
        <v/>
      </c>
      <c r="AH108" s="156" t="str">
        <f>IF(I108="","",IF(#REF!&gt;0,TRUE,FALSE))</f>
        <v/>
      </c>
      <c r="AI108" s="156">
        <v>98</v>
      </c>
      <c r="AJ108" s="156"/>
      <c r="AK108" s="156" t="str">
        <f t="array" ref="AK108">IFERROR(INDEX($AI$11:$AI$259, MATCH(0, IF(TRUE=$AF$11:$AF$259, COUNTIF($AK$10:$AK107, $AI$11:$AI$259), ""), 0)),"")</f>
        <v/>
      </c>
      <c r="AL108" s="156" t="str">
        <f t="array" ref="AL108">IFERROR(INDEX($AI$11:$AI$259, MATCH(0, IF(TRUE=$AG$11:$AG$259, COUNTIF($AL$10:$AL107, $AI$11:$AI$259), ""), 0)),"")</f>
        <v/>
      </c>
      <c r="AM108" s="156" t="str">
        <f t="array" ref="AM108">IFERROR(INDEX($AI$11:$AI$259, MATCH(0, IF(TRUE=$AH$11:$AH$259, COUNTIF($AM$10:$AM107, $AI$11:$AI$259), ""), 0)),"")</f>
        <v/>
      </c>
      <c r="AQ108" s="31">
        <f t="shared" si="11"/>
        <v>0</v>
      </c>
    </row>
    <row r="109" spans="1:43" x14ac:dyDescent="0.25">
      <c r="A109" s="31" t="str">
        <f>IFERROR(INDEX('G-1 All Habitats'!$AG$3:$AG$15,MATCH(E109,'G-1 All Habitats'!$AF$3:$AF$15,0)),"")</f>
        <v/>
      </c>
      <c r="B109" s="31" t="str">
        <f>IFERROR(INDEX('G-8 Condition Look up'!$I$4:$I$130,MATCH(G109,'G-8 Condition Look up'!$A$4:$A$130,0)),"")</f>
        <v/>
      </c>
      <c r="D109" s="141">
        <v>99</v>
      </c>
      <c r="E109" s="203"/>
      <c r="F109" s="203"/>
      <c r="G109" s="250" t="str">
        <f>IFERROR(INDEX('G-1 All Habitats'!$B$3:$B$129,MATCH(F109,'G-1 All Habitats'!$A$3:$A$129,0)),"")</f>
        <v/>
      </c>
      <c r="H109" s="172"/>
      <c r="I109" s="498" t="str">
        <f>IF(G109="","",VLOOKUP(G109,'G-1 All Habitats'!$B$2:$M$129,10,FALSE))</f>
        <v/>
      </c>
      <c r="J109" s="499" t="str">
        <f>IFERROR(VLOOKUP(I109,'G-1 All Habitats'!$V$3:$W$7,2,FALSE),"")</f>
        <v/>
      </c>
      <c r="K109" s="145"/>
      <c r="L109" s="499" t="str">
        <f>IFERROR(INDEX('G-8 Condition Look up'!$A$3:$H$130,MATCH(G109,'G-8 Condition Look up'!$A$3:$A$130,0),MATCH(K109,'G-8 Condition Look up'!$A$3:$H$3,0)),"")</f>
        <v/>
      </c>
      <c r="M109" s="154"/>
      <c r="N109" s="520" t="str">
        <f>IF(M109="","",IF(VLOOKUP(M109,'G-3 Multipliers'!$L$3:$N$6,2,FALSE)=0,"Spatial Data Missing ⚠",VLOOKUP(M109,'G-3 Multipliers'!$L$3:$N$6,2,FALSE)))</f>
        <v/>
      </c>
      <c r="O109" s="524" t="str">
        <f>IF(M109="","",IF(VLOOKUP(M109,'G-3 Multipliers'!$L$3:$N$6,3,FALSE)=0,"Spatial Data Missing ⚠",VLOOKUP(M109,'G-3 Multipliers'!$L$3:$N$6,3,FALSE)))</f>
        <v/>
      </c>
      <c r="P109" s="506" t="str">
        <f>IFERROR(VLOOKUP(G109,'G-1 All Habitats'!$B$2:$M$129,12,FALSE),"")</f>
        <v/>
      </c>
      <c r="Q109" s="513" t="str">
        <f>IFERROR(IF(P109="","",IF(AND(P109='G-1 All Habitats'!$X$3,T109&gt;0),U109+V109,IF(AND(P109='G-1 All Habitats'!$X$3,S109&gt;0),U109+V109,IF(AND(P109='G-1 All Habitats'!$X$3,AC109&gt;0),"Any Loss Unacceptable",IF(AND(P109='G-1 All Habitats'!$X$3,W109&gt;0),"Any Loss Unacceptable",H109*J109*L109*O109))))),"Check Data ⚠")</f>
        <v/>
      </c>
      <c r="R109" s="50"/>
      <c r="S109" s="71"/>
      <c r="T109" s="72"/>
      <c r="U109" s="511" t="str">
        <f t="shared" si="8"/>
        <v/>
      </c>
      <c r="V109" s="511" t="str">
        <f t="shared" si="9"/>
        <v/>
      </c>
      <c r="W109" s="511"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545" t="str">
        <f>IFERROR(IF(H109="","",IF(H109-S109-T109=0&lt;0,"Error in Areas ▲",IF(S109+T109&gt;H109,"Error in Areas ▲",IF(AND(P109='G-1 All Habitats'!$X$3,Y109="Yes"),"Alternative Compensation",IF(W109=0,0,IF(P109='G-1 All Habitats'!$X$3,"Unacceptable Loss",Q109-U109-V109)))))),"Check Data ⚠")</f>
        <v/>
      </c>
      <c r="Y109" s="72"/>
      <c r="Z109" s="151"/>
      <c r="AA109" s="152"/>
      <c r="AC109" s="251" t="str">
        <f>IF(P109="","",IF(P109='G-1 All Habitats'!$X$3,H109-S109-T109,"None"))</f>
        <v/>
      </c>
      <c r="AD109" s="252" t="str">
        <f t="shared" si="10"/>
        <v/>
      </c>
      <c r="AF109" s="156" t="str">
        <f t="shared" si="6"/>
        <v/>
      </c>
      <c r="AG109" s="156" t="str">
        <f t="shared" si="7"/>
        <v/>
      </c>
      <c r="AH109" s="156" t="str">
        <f>IF(I109="","",IF(#REF!&gt;0,TRUE,FALSE))</f>
        <v/>
      </c>
      <c r="AI109" s="156">
        <v>99</v>
      </c>
      <c r="AJ109" s="156"/>
      <c r="AK109" s="156" t="str">
        <f t="array" ref="AK109">IFERROR(INDEX($AI$11:$AI$259, MATCH(0, IF(TRUE=$AF$11:$AF$259, COUNTIF($AK$10:$AK108, $AI$11:$AI$259), ""), 0)),"")</f>
        <v/>
      </c>
      <c r="AL109" s="156" t="str">
        <f t="array" ref="AL109">IFERROR(INDEX($AI$11:$AI$259, MATCH(0, IF(TRUE=$AG$11:$AG$259, COUNTIF($AL$10:$AL108, $AI$11:$AI$259), ""), 0)),"")</f>
        <v/>
      </c>
      <c r="AM109" s="156" t="str">
        <f t="array" ref="AM109">IFERROR(INDEX($AI$11:$AI$259, MATCH(0, IF(TRUE=$AH$11:$AH$259, COUNTIF($AM$10:$AM108, $AI$11:$AI$259), ""), 0)),"")</f>
        <v/>
      </c>
      <c r="AQ109" s="31">
        <f t="shared" si="11"/>
        <v>0</v>
      </c>
    </row>
    <row r="110" spans="1:43" x14ac:dyDescent="0.25">
      <c r="A110" s="31" t="str">
        <f>IFERROR(INDEX('G-1 All Habitats'!$AG$3:$AG$15,MATCH(E110,'G-1 All Habitats'!$AF$3:$AF$15,0)),"")</f>
        <v/>
      </c>
      <c r="B110" s="31" t="str">
        <f>IFERROR(INDEX('G-8 Condition Look up'!$I$4:$I$130,MATCH(G110,'G-8 Condition Look up'!$A$4:$A$130,0)),"")</f>
        <v/>
      </c>
      <c r="D110" s="141">
        <v>100</v>
      </c>
      <c r="E110" s="203"/>
      <c r="F110" s="203"/>
      <c r="G110" s="250" t="str">
        <f>IFERROR(INDEX('G-1 All Habitats'!$B$3:$B$129,MATCH(F110,'G-1 All Habitats'!$A$3:$A$129,0)),"")</f>
        <v/>
      </c>
      <c r="H110" s="172"/>
      <c r="I110" s="498" t="str">
        <f>IF(G110="","",VLOOKUP(G110,'G-1 All Habitats'!$B$2:$M$129,10,FALSE))</f>
        <v/>
      </c>
      <c r="J110" s="499" t="str">
        <f>IFERROR(VLOOKUP(I110,'G-1 All Habitats'!$V$3:$W$7,2,FALSE),"")</f>
        <v/>
      </c>
      <c r="K110" s="145"/>
      <c r="L110" s="499" t="str">
        <f>IFERROR(INDEX('G-8 Condition Look up'!$A$3:$H$130,MATCH(G110,'G-8 Condition Look up'!$A$3:$A$130,0),MATCH(K110,'G-8 Condition Look up'!$A$3:$H$3,0)),"")</f>
        <v/>
      </c>
      <c r="M110" s="154"/>
      <c r="N110" s="520" t="str">
        <f>IF(M110="","",IF(VLOOKUP(M110,'G-3 Multipliers'!$L$3:$N$6,2,FALSE)=0,"Spatial Data Missing ⚠",VLOOKUP(M110,'G-3 Multipliers'!$L$3:$N$6,2,FALSE)))</f>
        <v/>
      </c>
      <c r="O110" s="524" t="str">
        <f>IF(M110="","",IF(VLOOKUP(M110,'G-3 Multipliers'!$L$3:$N$6,3,FALSE)=0,"Spatial Data Missing ⚠",VLOOKUP(M110,'G-3 Multipliers'!$L$3:$N$6,3,FALSE)))</f>
        <v/>
      </c>
      <c r="P110" s="506" t="str">
        <f>IFERROR(VLOOKUP(G110,'G-1 All Habitats'!$B$2:$M$129,12,FALSE),"")</f>
        <v/>
      </c>
      <c r="Q110" s="513" t="str">
        <f>IFERROR(IF(P110="","",IF(AND(P110='G-1 All Habitats'!$X$3,T110&gt;0),U110+V110,IF(AND(P110='G-1 All Habitats'!$X$3,S110&gt;0),U110+V110,IF(AND(P110='G-1 All Habitats'!$X$3,AC110&gt;0),"Any Loss Unacceptable",IF(AND(P110='G-1 All Habitats'!$X$3,W110&gt;0),"Any Loss Unacceptable",H110*J110*L110*O110))))),"Check Data ⚠")</f>
        <v/>
      </c>
      <c r="R110" s="50"/>
      <c r="S110" s="71"/>
      <c r="T110" s="72"/>
      <c r="U110" s="511" t="str">
        <f t="shared" si="8"/>
        <v/>
      </c>
      <c r="V110" s="511" t="str">
        <f t="shared" si="9"/>
        <v/>
      </c>
      <c r="W110" s="511"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545" t="str">
        <f>IFERROR(IF(H110="","",IF(H110-S110-T110=0&lt;0,"Error in Areas ▲",IF(S110+T110&gt;H110,"Error in Areas ▲",IF(AND(P110='G-1 All Habitats'!$X$3,Y110="Yes"),"Alternative Compensation",IF(W110=0,0,IF(P110='G-1 All Habitats'!$X$3,"Unacceptable Loss",Q110-U110-V110)))))),"Check Data ⚠")</f>
        <v/>
      </c>
      <c r="Y110" s="72"/>
      <c r="Z110" s="151"/>
      <c r="AA110" s="152"/>
      <c r="AC110" s="251" t="str">
        <f>IF(P110="","",IF(P110='G-1 All Habitats'!$X$3,H110-S110-T110,"None"))</f>
        <v/>
      </c>
      <c r="AD110" s="252" t="str">
        <f t="shared" si="10"/>
        <v/>
      </c>
      <c r="AF110" s="156" t="str">
        <f t="shared" si="6"/>
        <v/>
      </c>
      <c r="AG110" s="156" t="str">
        <f t="shared" si="7"/>
        <v/>
      </c>
      <c r="AH110" s="156" t="str">
        <f>IF(I110="","",IF(#REF!&gt;0,TRUE,FALSE))</f>
        <v/>
      </c>
      <c r="AI110" s="156">
        <v>100</v>
      </c>
      <c r="AJ110" s="156"/>
      <c r="AK110" s="156" t="str">
        <f t="array" ref="AK110">IFERROR(INDEX($AI$11:$AI$259, MATCH(0, IF(TRUE=$AF$11:$AF$259, COUNTIF($AK$10:$AK109, $AI$11:$AI$259), ""), 0)),"")</f>
        <v/>
      </c>
      <c r="AL110" s="156" t="str">
        <f t="array" ref="AL110">IFERROR(INDEX($AI$11:$AI$259, MATCH(0, IF(TRUE=$AG$11:$AG$259, COUNTIF($AL$10:$AL109, $AI$11:$AI$259), ""), 0)),"")</f>
        <v/>
      </c>
      <c r="AM110" s="156" t="str">
        <f t="array" ref="AM110">IFERROR(INDEX($AI$11:$AI$259, MATCH(0, IF(TRUE=$AH$11:$AH$259, COUNTIF($AM$10:$AM109, $AI$11:$AI$259), ""), 0)),"")</f>
        <v/>
      </c>
      <c r="AQ110" s="31">
        <f t="shared" si="11"/>
        <v>0</v>
      </c>
    </row>
    <row r="111" spans="1:43" x14ac:dyDescent="0.25">
      <c r="A111" s="31" t="str">
        <f>IFERROR(INDEX('G-1 All Habitats'!$AG$3:$AG$15,MATCH(E111,'G-1 All Habitats'!$AF$3:$AF$15,0)),"")</f>
        <v/>
      </c>
      <c r="B111" s="31" t="str">
        <f>IFERROR(INDEX('G-8 Condition Look up'!$I$4:$I$130,MATCH(G111,'G-8 Condition Look up'!$A$4:$A$130,0)),"")</f>
        <v/>
      </c>
      <c r="D111" s="141">
        <v>101</v>
      </c>
      <c r="E111" s="203"/>
      <c r="F111" s="203"/>
      <c r="G111" s="250" t="str">
        <f>IFERROR(INDEX('G-1 All Habitats'!$B$3:$B$129,MATCH(F111,'G-1 All Habitats'!$A$3:$A$129,0)),"")</f>
        <v/>
      </c>
      <c r="H111" s="172"/>
      <c r="I111" s="498" t="str">
        <f>IF(G111="","",VLOOKUP(G111,'G-1 All Habitats'!$B$2:$M$129,10,FALSE))</f>
        <v/>
      </c>
      <c r="J111" s="499" t="str">
        <f>IFERROR(VLOOKUP(I111,'G-1 All Habitats'!$V$3:$W$7,2,FALSE),"")</f>
        <v/>
      </c>
      <c r="K111" s="145"/>
      <c r="L111" s="499" t="str">
        <f>IFERROR(INDEX('G-8 Condition Look up'!$A$3:$H$130,MATCH(G111,'G-8 Condition Look up'!$A$3:$A$130,0),MATCH(K111,'G-8 Condition Look up'!$A$3:$H$3,0)),"")</f>
        <v/>
      </c>
      <c r="M111" s="154"/>
      <c r="N111" s="520" t="str">
        <f>IF(M111="","",IF(VLOOKUP(M111,'G-3 Multipliers'!$L$3:$N$6,2,FALSE)=0,"Spatial Data Missing ⚠",VLOOKUP(M111,'G-3 Multipliers'!$L$3:$N$6,2,FALSE)))</f>
        <v/>
      </c>
      <c r="O111" s="524" t="str">
        <f>IF(M111="","",IF(VLOOKUP(M111,'G-3 Multipliers'!$L$3:$N$6,3,FALSE)=0,"Spatial Data Missing ⚠",VLOOKUP(M111,'G-3 Multipliers'!$L$3:$N$6,3,FALSE)))</f>
        <v/>
      </c>
      <c r="P111" s="506" t="str">
        <f>IFERROR(VLOOKUP(G111,'G-1 All Habitats'!$B$2:$M$129,12,FALSE),"")</f>
        <v/>
      </c>
      <c r="Q111" s="513" t="str">
        <f>IFERROR(IF(P111="","",IF(AND(P111='G-1 All Habitats'!$X$3,T111&gt;0),U111+V111,IF(AND(P111='G-1 All Habitats'!$X$3,S111&gt;0),U111+V111,IF(AND(P111='G-1 All Habitats'!$X$3,AC111&gt;0),"Any Loss Unacceptable",IF(AND(P111='G-1 All Habitats'!$X$3,W111&gt;0),"Any Loss Unacceptable",H111*J111*L111*O111))))),"Check Data ⚠")</f>
        <v/>
      </c>
      <c r="R111" s="50"/>
      <c r="S111" s="71"/>
      <c r="T111" s="72"/>
      <c r="U111" s="511" t="str">
        <f t="shared" si="8"/>
        <v/>
      </c>
      <c r="V111" s="511" t="str">
        <f t="shared" si="9"/>
        <v/>
      </c>
      <c r="W111" s="511"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545" t="str">
        <f>IFERROR(IF(H111="","",IF(H111-S111-T111=0&lt;0,"Error in Areas ▲",IF(S111+T111&gt;H111,"Error in Areas ▲",IF(AND(P111='G-1 All Habitats'!$X$3,Y111="Yes"),"Alternative Compensation",IF(W111=0,0,IF(P111='G-1 All Habitats'!$X$3,"Unacceptable Loss",Q111-U111-V111)))))),"Check Data ⚠")</f>
        <v/>
      </c>
      <c r="Y111" s="72"/>
      <c r="Z111" s="151"/>
      <c r="AA111" s="152"/>
      <c r="AC111" s="251" t="str">
        <f>IF(P111="","",IF(P111='G-1 All Habitats'!$X$3,H111-S111-T111,"None"))</f>
        <v/>
      </c>
      <c r="AD111" s="252" t="str">
        <f t="shared" si="10"/>
        <v/>
      </c>
      <c r="AF111" s="156" t="str">
        <f t="shared" si="6"/>
        <v/>
      </c>
      <c r="AG111" s="156" t="str">
        <f t="shared" si="7"/>
        <v/>
      </c>
      <c r="AH111" s="156" t="str">
        <f>IF(I111="","",IF(#REF!&gt;0,TRUE,FALSE))</f>
        <v/>
      </c>
      <c r="AI111" s="156">
        <v>101</v>
      </c>
      <c r="AJ111" s="156"/>
      <c r="AK111" s="156" t="str">
        <f t="array" ref="AK111">IFERROR(INDEX($AI$11:$AI$259, MATCH(0, IF(TRUE=$AF$11:$AF$259, COUNTIF($AK$10:$AK110, $AI$11:$AI$259), ""), 0)),"")</f>
        <v/>
      </c>
      <c r="AL111" s="156" t="str">
        <f t="array" ref="AL111">IFERROR(INDEX($AI$11:$AI$259, MATCH(0, IF(TRUE=$AG$11:$AG$259, COUNTIF($AL$10:$AL110, $AI$11:$AI$259), ""), 0)),"")</f>
        <v/>
      </c>
      <c r="AM111" s="156" t="str">
        <f t="array" ref="AM111">IFERROR(INDEX($AI$11:$AI$259, MATCH(0, IF(TRUE=$AH$11:$AH$259, COUNTIF($AM$10:$AM110, $AI$11:$AI$259), ""), 0)),"")</f>
        <v/>
      </c>
      <c r="AQ111" s="31">
        <f t="shared" si="11"/>
        <v>0</v>
      </c>
    </row>
    <row r="112" spans="1:43" x14ac:dyDescent="0.25">
      <c r="A112" s="31" t="str">
        <f>IFERROR(INDEX('G-1 All Habitats'!$AG$3:$AG$15,MATCH(E112,'G-1 All Habitats'!$AF$3:$AF$15,0)),"")</f>
        <v/>
      </c>
      <c r="B112" s="31" t="str">
        <f>IFERROR(INDEX('G-8 Condition Look up'!$I$4:$I$130,MATCH(G112,'G-8 Condition Look up'!$A$4:$A$130,0)),"")</f>
        <v/>
      </c>
      <c r="D112" s="141">
        <v>102</v>
      </c>
      <c r="E112" s="203"/>
      <c r="F112" s="203"/>
      <c r="G112" s="250" t="str">
        <f>IFERROR(INDEX('G-1 All Habitats'!$B$3:$B$129,MATCH(F112,'G-1 All Habitats'!$A$3:$A$129,0)),"")</f>
        <v/>
      </c>
      <c r="H112" s="172"/>
      <c r="I112" s="498" t="str">
        <f>IF(G112="","",VLOOKUP(G112,'G-1 All Habitats'!$B$2:$M$129,10,FALSE))</f>
        <v/>
      </c>
      <c r="J112" s="499" t="str">
        <f>IFERROR(VLOOKUP(I112,'G-1 All Habitats'!$V$3:$W$7,2,FALSE),"")</f>
        <v/>
      </c>
      <c r="K112" s="145"/>
      <c r="L112" s="499" t="str">
        <f>IFERROR(INDEX('G-8 Condition Look up'!$A$3:$H$130,MATCH(G112,'G-8 Condition Look up'!$A$3:$A$130,0),MATCH(K112,'G-8 Condition Look up'!$A$3:$H$3,0)),"")</f>
        <v/>
      </c>
      <c r="M112" s="154"/>
      <c r="N112" s="520" t="str">
        <f>IF(M112="","",IF(VLOOKUP(M112,'G-3 Multipliers'!$L$3:$N$6,2,FALSE)=0,"Spatial Data Missing ⚠",VLOOKUP(M112,'G-3 Multipliers'!$L$3:$N$6,2,FALSE)))</f>
        <v/>
      </c>
      <c r="O112" s="524" t="str">
        <f>IF(M112="","",IF(VLOOKUP(M112,'G-3 Multipliers'!$L$3:$N$6,3,FALSE)=0,"Spatial Data Missing ⚠",VLOOKUP(M112,'G-3 Multipliers'!$L$3:$N$6,3,FALSE)))</f>
        <v/>
      </c>
      <c r="P112" s="506" t="str">
        <f>IFERROR(VLOOKUP(G112,'G-1 All Habitats'!$B$2:$M$129,12,FALSE),"")</f>
        <v/>
      </c>
      <c r="Q112" s="513" t="str">
        <f>IFERROR(IF(P112="","",IF(AND(P112='G-1 All Habitats'!$X$3,T112&gt;0),U112+V112,IF(AND(P112='G-1 All Habitats'!$X$3,S112&gt;0),U112+V112,IF(AND(P112='G-1 All Habitats'!$X$3,AC112&gt;0),"Any Loss Unacceptable",IF(AND(P112='G-1 All Habitats'!$X$3,W112&gt;0),"Any Loss Unacceptable",H112*J112*L112*O112))))),"Check Data ⚠")</f>
        <v/>
      </c>
      <c r="R112" s="50"/>
      <c r="S112" s="71"/>
      <c r="T112" s="72"/>
      <c r="U112" s="511" t="str">
        <f t="shared" si="8"/>
        <v/>
      </c>
      <c r="V112" s="511" t="str">
        <f t="shared" si="9"/>
        <v/>
      </c>
      <c r="W112" s="511"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545" t="str">
        <f>IFERROR(IF(H112="","",IF(H112-S112-T112=0&lt;0,"Error in Areas ▲",IF(S112+T112&gt;H112,"Error in Areas ▲",IF(AND(P112='G-1 All Habitats'!$X$3,Y112="Yes"),"Alternative Compensation",IF(W112=0,0,IF(P112='G-1 All Habitats'!$X$3,"Unacceptable Loss",Q112-U112-V112)))))),"Check Data ⚠")</f>
        <v/>
      </c>
      <c r="Y112" s="72"/>
      <c r="Z112" s="151"/>
      <c r="AA112" s="152"/>
      <c r="AC112" s="251" t="str">
        <f>IF(P112="","",IF(P112='G-1 All Habitats'!$X$3,H112-S112-T112,"None"))</f>
        <v/>
      </c>
      <c r="AD112" s="252" t="str">
        <f t="shared" si="10"/>
        <v/>
      </c>
      <c r="AF112" s="156" t="str">
        <f t="shared" si="6"/>
        <v/>
      </c>
      <c r="AG112" s="156" t="str">
        <f t="shared" si="7"/>
        <v/>
      </c>
      <c r="AH112" s="156" t="str">
        <f>IF(I112="","",IF(#REF!&gt;0,TRUE,FALSE))</f>
        <v/>
      </c>
      <c r="AI112" s="156">
        <v>102</v>
      </c>
      <c r="AJ112" s="156"/>
      <c r="AK112" s="156" t="str">
        <f t="array" ref="AK112">IFERROR(INDEX($AI$11:$AI$259, MATCH(0, IF(TRUE=$AF$11:$AF$259, COUNTIF($AK$10:$AK111, $AI$11:$AI$259), ""), 0)),"")</f>
        <v/>
      </c>
      <c r="AL112" s="156" t="str">
        <f t="array" ref="AL112">IFERROR(INDEX($AI$11:$AI$259, MATCH(0, IF(TRUE=$AG$11:$AG$259, COUNTIF($AL$10:$AL111, $AI$11:$AI$259), ""), 0)),"")</f>
        <v/>
      </c>
      <c r="AM112" s="156" t="str">
        <f t="array" ref="AM112">IFERROR(INDEX($AI$11:$AI$259, MATCH(0, IF(TRUE=$AH$11:$AH$259, COUNTIF($AM$10:$AM111, $AI$11:$AI$259), ""), 0)),"")</f>
        <v/>
      </c>
      <c r="AQ112" s="31">
        <f t="shared" si="11"/>
        <v>0</v>
      </c>
    </row>
    <row r="113" spans="1:43" x14ac:dyDescent="0.25">
      <c r="A113" s="31" t="str">
        <f>IFERROR(INDEX('G-1 All Habitats'!$AG$3:$AG$15,MATCH(E113,'G-1 All Habitats'!$AF$3:$AF$15,0)),"")</f>
        <v/>
      </c>
      <c r="B113" s="31" t="str">
        <f>IFERROR(INDEX('G-8 Condition Look up'!$I$4:$I$130,MATCH(G113,'G-8 Condition Look up'!$A$4:$A$130,0)),"")</f>
        <v/>
      </c>
      <c r="D113" s="141">
        <v>103</v>
      </c>
      <c r="E113" s="203"/>
      <c r="F113" s="203"/>
      <c r="G113" s="250" t="str">
        <f>IFERROR(INDEX('G-1 All Habitats'!$B$3:$B$129,MATCH(F113,'G-1 All Habitats'!$A$3:$A$129,0)),"")</f>
        <v/>
      </c>
      <c r="H113" s="172"/>
      <c r="I113" s="498" t="str">
        <f>IF(G113="","",VLOOKUP(G113,'G-1 All Habitats'!$B$2:$M$129,10,FALSE))</f>
        <v/>
      </c>
      <c r="J113" s="499" t="str">
        <f>IFERROR(VLOOKUP(I113,'G-1 All Habitats'!$V$3:$W$7,2,FALSE),"")</f>
        <v/>
      </c>
      <c r="K113" s="145"/>
      <c r="L113" s="499" t="str">
        <f>IFERROR(INDEX('G-8 Condition Look up'!$A$3:$H$130,MATCH(G113,'G-8 Condition Look up'!$A$3:$A$130,0),MATCH(K113,'G-8 Condition Look up'!$A$3:$H$3,0)),"")</f>
        <v/>
      </c>
      <c r="M113" s="154"/>
      <c r="N113" s="520" t="str">
        <f>IF(M113="","",IF(VLOOKUP(M113,'G-3 Multipliers'!$L$3:$N$6,2,FALSE)=0,"Spatial Data Missing ⚠",VLOOKUP(M113,'G-3 Multipliers'!$L$3:$N$6,2,FALSE)))</f>
        <v/>
      </c>
      <c r="O113" s="524" t="str">
        <f>IF(M113="","",IF(VLOOKUP(M113,'G-3 Multipliers'!$L$3:$N$6,3,FALSE)=0,"Spatial Data Missing ⚠",VLOOKUP(M113,'G-3 Multipliers'!$L$3:$N$6,3,FALSE)))</f>
        <v/>
      </c>
      <c r="P113" s="506" t="str">
        <f>IFERROR(VLOOKUP(G113,'G-1 All Habitats'!$B$2:$M$129,12,FALSE),"")</f>
        <v/>
      </c>
      <c r="Q113" s="513" t="str">
        <f>IFERROR(IF(P113="","",IF(AND(P113='G-1 All Habitats'!$X$3,T113&gt;0),U113+V113,IF(AND(P113='G-1 All Habitats'!$X$3,S113&gt;0),U113+V113,IF(AND(P113='G-1 All Habitats'!$X$3,AC113&gt;0),"Any Loss Unacceptable",IF(AND(P113='G-1 All Habitats'!$X$3,W113&gt;0),"Any Loss Unacceptable",H113*J113*L113*O113))))),"Check Data ⚠")</f>
        <v/>
      </c>
      <c r="R113" s="50"/>
      <c r="S113" s="71"/>
      <c r="T113" s="72"/>
      <c r="U113" s="511" t="str">
        <f t="shared" si="8"/>
        <v/>
      </c>
      <c r="V113" s="511" t="str">
        <f t="shared" si="9"/>
        <v/>
      </c>
      <c r="W113" s="511"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545" t="str">
        <f>IFERROR(IF(H113="","",IF(H113-S113-T113=0&lt;0,"Error in Areas ▲",IF(S113+T113&gt;H113,"Error in Areas ▲",IF(AND(P113='G-1 All Habitats'!$X$3,Y113="Yes"),"Alternative Compensation",IF(W113=0,0,IF(P113='G-1 All Habitats'!$X$3,"Unacceptable Loss",Q113-U113-V113)))))),"Check Data ⚠")</f>
        <v/>
      </c>
      <c r="Y113" s="72"/>
      <c r="Z113" s="151"/>
      <c r="AA113" s="152"/>
      <c r="AC113" s="251" t="str">
        <f>IF(P113="","",IF(P113='G-1 All Habitats'!$X$3,H113-S113-T113,"None"))</f>
        <v/>
      </c>
      <c r="AD113" s="252" t="str">
        <f t="shared" si="10"/>
        <v/>
      </c>
      <c r="AF113" s="156" t="str">
        <f t="shared" si="6"/>
        <v/>
      </c>
      <c r="AG113" s="156" t="str">
        <f t="shared" si="7"/>
        <v/>
      </c>
      <c r="AH113" s="156" t="str">
        <f>IF(I113="","",IF(#REF!&gt;0,TRUE,FALSE))</f>
        <v/>
      </c>
      <c r="AI113" s="156">
        <v>103</v>
      </c>
      <c r="AJ113" s="156"/>
      <c r="AK113" s="156" t="str">
        <f t="array" ref="AK113">IFERROR(INDEX($AI$11:$AI$259, MATCH(0, IF(TRUE=$AF$11:$AF$259, COUNTIF($AK$10:$AK112, $AI$11:$AI$259), ""), 0)),"")</f>
        <v/>
      </c>
      <c r="AL113" s="156" t="str">
        <f t="array" ref="AL113">IFERROR(INDEX($AI$11:$AI$259, MATCH(0, IF(TRUE=$AG$11:$AG$259, COUNTIF($AL$10:$AL112, $AI$11:$AI$259), ""), 0)),"")</f>
        <v/>
      </c>
      <c r="AM113" s="156" t="str">
        <f t="array" ref="AM113">IFERROR(INDEX($AI$11:$AI$259, MATCH(0, IF(TRUE=$AH$11:$AH$259, COUNTIF($AM$10:$AM112, $AI$11:$AI$259), ""), 0)),"")</f>
        <v/>
      </c>
      <c r="AQ113" s="31">
        <f t="shared" si="11"/>
        <v>0</v>
      </c>
    </row>
    <row r="114" spans="1:43" x14ac:dyDescent="0.25">
      <c r="A114" s="31" t="str">
        <f>IFERROR(INDEX('G-1 All Habitats'!$AG$3:$AG$15,MATCH(E114,'G-1 All Habitats'!$AF$3:$AF$15,0)),"")</f>
        <v/>
      </c>
      <c r="B114" s="31" t="str">
        <f>IFERROR(INDEX('G-8 Condition Look up'!$I$4:$I$130,MATCH(G114,'G-8 Condition Look up'!$A$4:$A$130,0)),"")</f>
        <v/>
      </c>
      <c r="D114" s="141">
        <v>104</v>
      </c>
      <c r="E114" s="203"/>
      <c r="F114" s="203"/>
      <c r="G114" s="250" t="str">
        <f>IFERROR(INDEX('G-1 All Habitats'!$B$3:$B$129,MATCH(F114,'G-1 All Habitats'!$A$3:$A$129,0)),"")</f>
        <v/>
      </c>
      <c r="H114" s="172"/>
      <c r="I114" s="498" t="str">
        <f>IF(G114="","",VLOOKUP(G114,'G-1 All Habitats'!$B$2:$M$129,10,FALSE))</f>
        <v/>
      </c>
      <c r="J114" s="499" t="str">
        <f>IFERROR(VLOOKUP(I114,'G-1 All Habitats'!$V$3:$W$7,2,FALSE),"")</f>
        <v/>
      </c>
      <c r="K114" s="145"/>
      <c r="L114" s="499" t="str">
        <f>IFERROR(INDEX('G-8 Condition Look up'!$A$3:$H$130,MATCH(G114,'G-8 Condition Look up'!$A$3:$A$130,0),MATCH(K114,'G-8 Condition Look up'!$A$3:$H$3,0)),"")</f>
        <v/>
      </c>
      <c r="M114" s="154"/>
      <c r="N114" s="520" t="str">
        <f>IF(M114="","",IF(VLOOKUP(M114,'G-3 Multipliers'!$L$3:$N$6,2,FALSE)=0,"Spatial Data Missing ⚠",VLOOKUP(M114,'G-3 Multipliers'!$L$3:$N$6,2,FALSE)))</f>
        <v/>
      </c>
      <c r="O114" s="524" t="str">
        <f>IF(M114="","",IF(VLOOKUP(M114,'G-3 Multipliers'!$L$3:$N$6,3,FALSE)=0,"Spatial Data Missing ⚠",VLOOKUP(M114,'G-3 Multipliers'!$L$3:$N$6,3,FALSE)))</f>
        <v/>
      </c>
      <c r="P114" s="506" t="str">
        <f>IFERROR(VLOOKUP(G114,'G-1 All Habitats'!$B$2:$M$129,12,FALSE),"")</f>
        <v/>
      </c>
      <c r="Q114" s="513" t="str">
        <f>IFERROR(IF(P114="","",IF(AND(P114='G-1 All Habitats'!$X$3,T114&gt;0),U114+V114,IF(AND(P114='G-1 All Habitats'!$X$3,S114&gt;0),U114+V114,IF(AND(P114='G-1 All Habitats'!$X$3,AC114&gt;0),"Any Loss Unacceptable",IF(AND(P114='G-1 All Habitats'!$X$3,W114&gt;0),"Any Loss Unacceptable",H114*J114*L114*O114))))),"Check Data ⚠")</f>
        <v/>
      </c>
      <c r="R114" s="50"/>
      <c r="S114" s="71"/>
      <c r="T114" s="72"/>
      <c r="U114" s="511" t="str">
        <f t="shared" si="8"/>
        <v/>
      </c>
      <c r="V114" s="511" t="str">
        <f t="shared" si="9"/>
        <v/>
      </c>
      <c r="W114" s="511"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545" t="str">
        <f>IFERROR(IF(H114="","",IF(H114-S114-T114=0&lt;0,"Error in Areas ▲",IF(S114+T114&gt;H114,"Error in Areas ▲",IF(AND(P114='G-1 All Habitats'!$X$3,Y114="Yes"),"Alternative Compensation",IF(W114=0,0,IF(P114='G-1 All Habitats'!$X$3,"Unacceptable Loss",Q114-U114-V114)))))),"Check Data ⚠")</f>
        <v/>
      </c>
      <c r="Y114" s="72"/>
      <c r="Z114" s="151"/>
      <c r="AA114" s="152"/>
      <c r="AC114" s="251" t="str">
        <f>IF(P114="","",IF(P114='G-1 All Habitats'!$X$3,H114-S114-T114,"None"))</f>
        <v/>
      </c>
      <c r="AD114" s="252" t="str">
        <f t="shared" si="10"/>
        <v/>
      </c>
      <c r="AF114" s="156" t="str">
        <f t="shared" si="6"/>
        <v/>
      </c>
      <c r="AG114" s="156" t="str">
        <f t="shared" si="7"/>
        <v/>
      </c>
      <c r="AH114" s="156" t="str">
        <f>IF(I114="","",IF(#REF!&gt;0,TRUE,FALSE))</f>
        <v/>
      </c>
      <c r="AI114" s="156">
        <v>104</v>
      </c>
      <c r="AJ114" s="156"/>
      <c r="AK114" s="156" t="str">
        <f t="array" ref="AK114">IFERROR(INDEX($AI$11:$AI$259, MATCH(0, IF(TRUE=$AF$11:$AF$259, COUNTIF($AK$10:$AK113, $AI$11:$AI$259), ""), 0)),"")</f>
        <v/>
      </c>
      <c r="AL114" s="156" t="str">
        <f t="array" ref="AL114">IFERROR(INDEX($AI$11:$AI$259, MATCH(0, IF(TRUE=$AG$11:$AG$259, COUNTIF($AL$10:$AL113, $AI$11:$AI$259), ""), 0)),"")</f>
        <v/>
      </c>
      <c r="AM114" s="156" t="str">
        <f t="array" ref="AM114">IFERROR(INDEX($AI$11:$AI$259, MATCH(0, IF(TRUE=$AH$11:$AH$259, COUNTIF($AM$10:$AM113, $AI$11:$AI$259), ""), 0)),"")</f>
        <v/>
      </c>
      <c r="AQ114" s="31">
        <f t="shared" si="11"/>
        <v>0</v>
      </c>
    </row>
    <row r="115" spans="1:43" x14ac:dyDescent="0.25">
      <c r="A115" s="31" t="str">
        <f>IFERROR(INDEX('G-1 All Habitats'!$AG$3:$AG$15,MATCH(E115,'G-1 All Habitats'!$AF$3:$AF$15,0)),"")</f>
        <v/>
      </c>
      <c r="B115" s="31" t="str">
        <f>IFERROR(INDEX('G-8 Condition Look up'!$I$4:$I$130,MATCH(G115,'G-8 Condition Look up'!$A$4:$A$130,0)),"")</f>
        <v/>
      </c>
      <c r="D115" s="141">
        <v>105</v>
      </c>
      <c r="E115" s="203"/>
      <c r="F115" s="203"/>
      <c r="G115" s="250" t="str">
        <f>IFERROR(INDEX('G-1 All Habitats'!$B$3:$B$129,MATCH(F115,'G-1 All Habitats'!$A$3:$A$129,0)),"")</f>
        <v/>
      </c>
      <c r="H115" s="172"/>
      <c r="I115" s="498" t="str">
        <f>IF(G115="","",VLOOKUP(G115,'G-1 All Habitats'!$B$2:$M$129,10,FALSE))</f>
        <v/>
      </c>
      <c r="J115" s="499" t="str">
        <f>IFERROR(VLOOKUP(I115,'G-1 All Habitats'!$V$3:$W$7,2,FALSE),"")</f>
        <v/>
      </c>
      <c r="K115" s="145"/>
      <c r="L115" s="499" t="str">
        <f>IFERROR(INDEX('G-8 Condition Look up'!$A$3:$H$130,MATCH(G115,'G-8 Condition Look up'!$A$3:$A$130,0),MATCH(K115,'G-8 Condition Look up'!$A$3:$H$3,0)),"")</f>
        <v/>
      </c>
      <c r="M115" s="154"/>
      <c r="N115" s="520" t="str">
        <f>IF(M115="","",IF(VLOOKUP(M115,'G-3 Multipliers'!$L$3:$N$6,2,FALSE)=0,"Spatial Data Missing ⚠",VLOOKUP(M115,'G-3 Multipliers'!$L$3:$N$6,2,FALSE)))</f>
        <v/>
      </c>
      <c r="O115" s="524" t="str">
        <f>IF(M115="","",IF(VLOOKUP(M115,'G-3 Multipliers'!$L$3:$N$6,3,FALSE)=0,"Spatial Data Missing ⚠",VLOOKUP(M115,'G-3 Multipliers'!$L$3:$N$6,3,FALSE)))</f>
        <v/>
      </c>
      <c r="P115" s="506" t="str">
        <f>IFERROR(VLOOKUP(G115,'G-1 All Habitats'!$B$2:$M$129,12,FALSE),"")</f>
        <v/>
      </c>
      <c r="Q115" s="513" t="str">
        <f>IFERROR(IF(P115="","",IF(AND(P115='G-1 All Habitats'!$X$3,T115&gt;0),U115+V115,IF(AND(P115='G-1 All Habitats'!$X$3,S115&gt;0),U115+V115,IF(AND(P115='G-1 All Habitats'!$X$3,AC115&gt;0),"Any Loss Unacceptable",IF(AND(P115='G-1 All Habitats'!$X$3,W115&gt;0),"Any Loss Unacceptable",H115*J115*L115*O115))))),"Check Data ⚠")</f>
        <v/>
      </c>
      <c r="R115" s="50"/>
      <c r="S115" s="71"/>
      <c r="T115" s="72"/>
      <c r="U115" s="511" t="str">
        <f t="shared" si="8"/>
        <v/>
      </c>
      <c r="V115" s="511" t="str">
        <f t="shared" si="9"/>
        <v/>
      </c>
      <c r="W115" s="511"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545" t="str">
        <f>IFERROR(IF(H115="","",IF(H115-S115-T115=0&lt;0,"Error in Areas ▲",IF(S115+T115&gt;H115,"Error in Areas ▲",IF(AND(P115='G-1 All Habitats'!$X$3,Y115="Yes"),"Alternative Compensation",IF(W115=0,0,IF(P115='G-1 All Habitats'!$X$3,"Unacceptable Loss",Q115-U115-V115)))))),"Check Data ⚠")</f>
        <v/>
      </c>
      <c r="Y115" s="72"/>
      <c r="Z115" s="151"/>
      <c r="AA115" s="152"/>
      <c r="AC115" s="251" t="str">
        <f>IF(P115="","",IF(P115='G-1 All Habitats'!$X$3,H115-S115-T115,"None"))</f>
        <v/>
      </c>
      <c r="AD115" s="252" t="str">
        <f t="shared" si="10"/>
        <v/>
      </c>
      <c r="AF115" s="156" t="str">
        <f t="shared" si="6"/>
        <v/>
      </c>
      <c r="AG115" s="156" t="str">
        <f t="shared" si="7"/>
        <v/>
      </c>
      <c r="AH115" s="156" t="str">
        <f>IF(I115="","",IF(#REF!&gt;0,TRUE,FALSE))</f>
        <v/>
      </c>
      <c r="AI115" s="156">
        <v>105</v>
      </c>
      <c r="AJ115" s="156"/>
      <c r="AK115" s="156" t="str">
        <f t="array" ref="AK115">IFERROR(INDEX($AI$11:$AI$259, MATCH(0, IF(TRUE=$AF$11:$AF$259, COUNTIF($AK$10:$AK114, $AI$11:$AI$259), ""), 0)),"")</f>
        <v/>
      </c>
      <c r="AL115" s="156" t="str">
        <f t="array" ref="AL115">IFERROR(INDEX($AI$11:$AI$259, MATCH(0, IF(TRUE=$AG$11:$AG$259, COUNTIF($AL$10:$AL114, $AI$11:$AI$259), ""), 0)),"")</f>
        <v/>
      </c>
      <c r="AM115" s="156" t="str">
        <f t="array" ref="AM115">IFERROR(INDEX($AI$11:$AI$259, MATCH(0, IF(TRUE=$AH$11:$AH$259, COUNTIF($AM$10:$AM114, $AI$11:$AI$259), ""), 0)),"")</f>
        <v/>
      </c>
      <c r="AQ115" s="31">
        <f t="shared" si="11"/>
        <v>0</v>
      </c>
    </row>
    <row r="116" spans="1:43" x14ac:dyDescent="0.25">
      <c r="A116" s="31" t="str">
        <f>IFERROR(INDEX('G-1 All Habitats'!$AG$3:$AG$15,MATCH(E116,'G-1 All Habitats'!$AF$3:$AF$15,0)),"")</f>
        <v/>
      </c>
      <c r="B116" s="31" t="str">
        <f>IFERROR(INDEX('G-8 Condition Look up'!$I$4:$I$130,MATCH(G116,'G-8 Condition Look up'!$A$4:$A$130,0)),"")</f>
        <v/>
      </c>
      <c r="D116" s="141">
        <v>106</v>
      </c>
      <c r="E116" s="203"/>
      <c r="F116" s="203"/>
      <c r="G116" s="250" t="str">
        <f>IFERROR(INDEX('G-1 All Habitats'!$B$3:$B$129,MATCH(F116,'G-1 All Habitats'!$A$3:$A$129,0)),"")</f>
        <v/>
      </c>
      <c r="H116" s="172"/>
      <c r="I116" s="498" t="str">
        <f>IF(G116="","",VLOOKUP(G116,'G-1 All Habitats'!$B$2:$M$129,10,FALSE))</f>
        <v/>
      </c>
      <c r="J116" s="499" t="str">
        <f>IFERROR(VLOOKUP(I116,'G-1 All Habitats'!$V$3:$W$7,2,FALSE),"")</f>
        <v/>
      </c>
      <c r="K116" s="145"/>
      <c r="L116" s="499" t="str">
        <f>IFERROR(INDEX('G-8 Condition Look up'!$A$3:$H$130,MATCH(G116,'G-8 Condition Look up'!$A$3:$A$130,0),MATCH(K116,'G-8 Condition Look up'!$A$3:$H$3,0)),"")</f>
        <v/>
      </c>
      <c r="M116" s="154"/>
      <c r="N116" s="520" t="str">
        <f>IF(M116="","",IF(VLOOKUP(M116,'G-3 Multipliers'!$L$3:$N$6,2,FALSE)=0,"Spatial Data Missing ⚠",VLOOKUP(M116,'G-3 Multipliers'!$L$3:$N$6,2,FALSE)))</f>
        <v/>
      </c>
      <c r="O116" s="524" t="str">
        <f>IF(M116="","",IF(VLOOKUP(M116,'G-3 Multipliers'!$L$3:$N$6,3,FALSE)=0,"Spatial Data Missing ⚠",VLOOKUP(M116,'G-3 Multipliers'!$L$3:$N$6,3,FALSE)))</f>
        <v/>
      </c>
      <c r="P116" s="506" t="str">
        <f>IFERROR(VLOOKUP(G116,'G-1 All Habitats'!$B$2:$M$129,12,FALSE),"")</f>
        <v/>
      </c>
      <c r="Q116" s="513" t="str">
        <f>IFERROR(IF(P116="","",IF(AND(P116='G-1 All Habitats'!$X$3,T116&gt;0),U116+V116,IF(AND(P116='G-1 All Habitats'!$X$3,S116&gt;0),U116+V116,IF(AND(P116='G-1 All Habitats'!$X$3,AC116&gt;0),"Any Loss Unacceptable",IF(AND(P116='G-1 All Habitats'!$X$3,W116&gt;0),"Any Loss Unacceptable",H116*J116*L116*O116))))),"Check Data ⚠")</f>
        <v/>
      </c>
      <c r="R116" s="50"/>
      <c r="S116" s="71"/>
      <c r="T116" s="72"/>
      <c r="U116" s="511" t="str">
        <f t="shared" si="8"/>
        <v/>
      </c>
      <c r="V116" s="511" t="str">
        <f t="shared" si="9"/>
        <v/>
      </c>
      <c r="W116" s="511"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545" t="str">
        <f>IFERROR(IF(H116="","",IF(H116-S116-T116=0&lt;0,"Error in Areas ▲",IF(S116+T116&gt;H116,"Error in Areas ▲",IF(AND(P116='G-1 All Habitats'!$X$3,Y116="Yes"),"Alternative Compensation",IF(W116=0,0,IF(P116='G-1 All Habitats'!$X$3,"Unacceptable Loss",Q116-U116-V116)))))),"Check Data ⚠")</f>
        <v/>
      </c>
      <c r="Y116" s="72"/>
      <c r="Z116" s="151"/>
      <c r="AA116" s="152"/>
      <c r="AC116" s="251" t="str">
        <f>IF(P116="","",IF(P116='G-1 All Habitats'!$X$3,H116-S116-T116,"None"))</f>
        <v/>
      </c>
      <c r="AD116" s="252" t="str">
        <f t="shared" si="10"/>
        <v/>
      </c>
      <c r="AF116" s="156" t="str">
        <f t="shared" si="6"/>
        <v/>
      </c>
      <c r="AG116" s="156" t="str">
        <f t="shared" si="7"/>
        <v/>
      </c>
      <c r="AH116" s="156" t="str">
        <f>IF(I116="","",IF(#REF!&gt;0,TRUE,FALSE))</f>
        <v/>
      </c>
      <c r="AI116" s="156">
        <v>106</v>
      </c>
      <c r="AJ116" s="156"/>
      <c r="AK116" s="156" t="str">
        <f t="array" ref="AK116">IFERROR(INDEX($AI$11:$AI$259, MATCH(0, IF(TRUE=$AF$11:$AF$259, COUNTIF($AK$10:$AK115, $AI$11:$AI$259), ""), 0)),"")</f>
        <v/>
      </c>
      <c r="AL116" s="156" t="str">
        <f t="array" ref="AL116">IFERROR(INDEX($AI$11:$AI$259, MATCH(0, IF(TRUE=$AG$11:$AG$259, COUNTIF($AL$10:$AL115, $AI$11:$AI$259), ""), 0)),"")</f>
        <v/>
      </c>
      <c r="AM116" s="156" t="str">
        <f t="array" ref="AM116">IFERROR(INDEX($AI$11:$AI$259, MATCH(0, IF(TRUE=$AH$11:$AH$259, COUNTIF($AM$10:$AM115, $AI$11:$AI$259), ""), 0)),"")</f>
        <v/>
      </c>
      <c r="AQ116" s="31">
        <f t="shared" si="11"/>
        <v>0</v>
      </c>
    </row>
    <row r="117" spans="1:43" x14ac:dyDescent="0.25">
      <c r="A117" s="31" t="str">
        <f>IFERROR(INDEX('G-1 All Habitats'!$AG$3:$AG$15,MATCH(E117,'G-1 All Habitats'!$AF$3:$AF$15,0)),"")</f>
        <v/>
      </c>
      <c r="B117" s="31" t="str">
        <f>IFERROR(INDEX('G-8 Condition Look up'!$I$4:$I$130,MATCH(G117,'G-8 Condition Look up'!$A$4:$A$130,0)),"")</f>
        <v/>
      </c>
      <c r="D117" s="141">
        <v>107</v>
      </c>
      <c r="E117" s="203"/>
      <c r="F117" s="203"/>
      <c r="G117" s="250" t="str">
        <f>IFERROR(INDEX('G-1 All Habitats'!$B$3:$B$129,MATCH(F117,'G-1 All Habitats'!$A$3:$A$129,0)),"")</f>
        <v/>
      </c>
      <c r="H117" s="172"/>
      <c r="I117" s="498" t="str">
        <f>IF(G117="","",VLOOKUP(G117,'G-1 All Habitats'!$B$2:$M$129,10,FALSE))</f>
        <v/>
      </c>
      <c r="J117" s="499" t="str">
        <f>IFERROR(VLOOKUP(I117,'G-1 All Habitats'!$V$3:$W$7,2,FALSE),"")</f>
        <v/>
      </c>
      <c r="K117" s="145"/>
      <c r="L117" s="499" t="str">
        <f>IFERROR(INDEX('G-8 Condition Look up'!$A$3:$H$130,MATCH(G117,'G-8 Condition Look up'!$A$3:$A$130,0),MATCH(K117,'G-8 Condition Look up'!$A$3:$H$3,0)),"")</f>
        <v/>
      </c>
      <c r="M117" s="154"/>
      <c r="N117" s="520" t="str">
        <f>IF(M117="","",IF(VLOOKUP(M117,'G-3 Multipliers'!$L$3:$N$6,2,FALSE)=0,"Spatial Data Missing ⚠",VLOOKUP(M117,'G-3 Multipliers'!$L$3:$N$6,2,FALSE)))</f>
        <v/>
      </c>
      <c r="O117" s="524" t="str">
        <f>IF(M117="","",IF(VLOOKUP(M117,'G-3 Multipliers'!$L$3:$N$6,3,FALSE)=0,"Spatial Data Missing ⚠",VLOOKUP(M117,'G-3 Multipliers'!$L$3:$N$6,3,FALSE)))</f>
        <v/>
      </c>
      <c r="P117" s="506" t="str">
        <f>IFERROR(VLOOKUP(G117,'G-1 All Habitats'!$B$2:$M$129,12,FALSE),"")</f>
        <v/>
      </c>
      <c r="Q117" s="513" t="str">
        <f>IFERROR(IF(P117="","",IF(AND(P117='G-1 All Habitats'!$X$3,T117&gt;0),U117+V117,IF(AND(P117='G-1 All Habitats'!$X$3,S117&gt;0),U117+V117,IF(AND(P117='G-1 All Habitats'!$X$3,AC117&gt;0),"Any Loss Unacceptable",IF(AND(P117='G-1 All Habitats'!$X$3,W117&gt;0),"Any Loss Unacceptable",H117*J117*L117*O117))))),"Check Data ⚠")</f>
        <v/>
      </c>
      <c r="R117" s="50"/>
      <c r="S117" s="71"/>
      <c r="T117" s="72"/>
      <c r="U117" s="511" t="str">
        <f t="shared" si="8"/>
        <v/>
      </c>
      <c r="V117" s="511" t="str">
        <f t="shared" si="9"/>
        <v/>
      </c>
      <c r="W117" s="511"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545" t="str">
        <f>IFERROR(IF(H117="","",IF(H117-S117-T117=0&lt;0,"Error in Areas ▲",IF(S117+T117&gt;H117,"Error in Areas ▲",IF(AND(P117='G-1 All Habitats'!$X$3,Y117="Yes"),"Alternative Compensation",IF(W117=0,0,IF(P117='G-1 All Habitats'!$X$3,"Unacceptable Loss",Q117-U117-V117)))))),"Check Data ⚠")</f>
        <v/>
      </c>
      <c r="Y117" s="72"/>
      <c r="Z117" s="151"/>
      <c r="AA117" s="152"/>
      <c r="AC117" s="251" t="str">
        <f>IF(P117="","",IF(P117='G-1 All Habitats'!$X$3,H117-S117-T117,"None"))</f>
        <v/>
      </c>
      <c r="AD117" s="252" t="str">
        <f t="shared" si="10"/>
        <v/>
      </c>
      <c r="AF117" s="156" t="str">
        <f t="shared" si="6"/>
        <v/>
      </c>
      <c r="AG117" s="156" t="str">
        <f t="shared" si="7"/>
        <v/>
      </c>
      <c r="AH117" s="156" t="str">
        <f>IF(I117="","",IF(#REF!&gt;0,TRUE,FALSE))</f>
        <v/>
      </c>
      <c r="AI117" s="156">
        <v>107</v>
      </c>
      <c r="AJ117" s="156"/>
      <c r="AK117" s="156" t="str">
        <f t="array" ref="AK117">IFERROR(INDEX($AI$11:$AI$259, MATCH(0, IF(TRUE=$AF$11:$AF$259, COUNTIF($AK$10:$AK116, $AI$11:$AI$259), ""), 0)),"")</f>
        <v/>
      </c>
      <c r="AL117" s="156" t="str">
        <f t="array" ref="AL117">IFERROR(INDEX($AI$11:$AI$259, MATCH(0, IF(TRUE=$AG$11:$AG$259, COUNTIF($AL$10:$AL116, $AI$11:$AI$259), ""), 0)),"")</f>
        <v/>
      </c>
      <c r="AM117" s="156" t="str">
        <f t="array" ref="AM117">IFERROR(INDEX($AI$11:$AI$259, MATCH(0, IF(TRUE=$AH$11:$AH$259, COUNTIF($AM$10:$AM116, $AI$11:$AI$259), ""), 0)),"")</f>
        <v/>
      </c>
      <c r="AQ117" s="31">
        <f t="shared" si="11"/>
        <v>0</v>
      </c>
    </row>
    <row r="118" spans="1:43" x14ac:dyDescent="0.25">
      <c r="A118" s="31" t="str">
        <f>IFERROR(INDEX('G-1 All Habitats'!$AG$3:$AG$15,MATCH(E118,'G-1 All Habitats'!$AF$3:$AF$15,0)),"")</f>
        <v/>
      </c>
      <c r="B118" s="31" t="str">
        <f>IFERROR(INDEX('G-8 Condition Look up'!$I$4:$I$130,MATCH(G118,'G-8 Condition Look up'!$A$4:$A$130,0)),"")</f>
        <v/>
      </c>
      <c r="D118" s="141">
        <v>108</v>
      </c>
      <c r="E118" s="203"/>
      <c r="F118" s="203"/>
      <c r="G118" s="250" t="str">
        <f>IFERROR(INDEX('G-1 All Habitats'!$B$3:$B$129,MATCH(F118,'G-1 All Habitats'!$A$3:$A$129,0)),"")</f>
        <v/>
      </c>
      <c r="H118" s="172"/>
      <c r="I118" s="498" t="str">
        <f>IF(G118="","",VLOOKUP(G118,'G-1 All Habitats'!$B$2:$M$129,10,FALSE))</f>
        <v/>
      </c>
      <c r="J118" s="499" t="str">
        <f>IFERROR(VLOOKUP(I118,'G-1 All Habitats'!$V$3:$W$7,2,FALSE),"")</f>
        <v/>
      </c>
      <c r="K118" s="145"/>
      <c r="L118" s="499" t="str">
        <f>IFERROR(INDEX('G-8 Condition Look up'!$A$3:$H$130,MATCH(G118,'G-8 Condition Look up'!$A$3:$A$130,0),MATCH(K118,'G-8 Condition Look up'!$A$3:$H$3,0)),"")</f>
        <v/>
      </c>
      <c r="M118" s="154"/>
      <c r="N118" s="520" t="str">
        <f>IF(M118="","",IF(VLOOKUP(M118,'G-3 Multipliers'!$L$3:$N$6,2,FALSE)=0,"Spatial Data Missing ⚠",VLOOKUP(M118,'G-3 Multipliers'!$L$3:$N$6,2,FALSE)))</f>
        <v/>
      </c>
      <c r="O118" s="524" t="str">
        <f>IF(M118="","",IF(VLOOKUP(M118,'G-3 Multipliers'!$L$3:$N$6,3,FALSE)=0,"Spatial Data Missing ⚠",VLOOKUP(M118,'G-3 Multipliers'!$L$3:$N$6,3,FALSE)))</f>
        <v/>
      </c>
      <c r="P118" s="506" t="str">
        <f>IFERROR(VLOOKUP(G118,'G-1 All Habitats'!$B$2:$M$129,12,FALSE),"")</f>
        <v/>
      </c>
      <c r="Q118" s="513" t="str">
        <f>IFERROR(IF(P118="","",IF(AND(P118='G-1 All Habitats'!$X$3,T118&gt;0),U118+V118,IF(AND(P118='G-1 All Habitats'!$X$3,S118&gt;0),U118+V118,IF(AND(P118='G-1 All Habitats'!$X$3,AC118&gt;0),"Any Loss Unacceptable",IF(AND(P118='G-1 All Habitats'!$X$3,W118&gt;0),"Any Loss Unacceptable",H118*J118*L118*O118))))),"Check Data ⚠")</f>
        <v/>
      </c>
      <c r="R118" s="50"/>
      <c r="S118" s="71"/>
      <c r="T118" s="72"/>
      <c r="U118" s="511" t="str">
        <f t="shared" si="8"/>
        <v/>
      </c>
      <c r="V118" s="511" t="str">
        <f t="shared" si="9"/>
        <v/>
      </c>
      <c r="W118" s="511"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545" t="str">
        <f>IFERROR(IF(H118="","",IF(H118-S118-T118=0&lt;0,"Error in Areas ▲",IF(S118+T118&gt;H118,"Error in Areas ▲",IF(AND(P118='G-1 All Habitats'!$X$3,Y118="Yes"),"Alternative Compensation",IF(W118=0,0,IF(P118='G-1 All Habitats'!$X$3,"Unacceptable Loss",Q118-U118-V118)))))),"Check Data ⚠")</f>
        <v/>
      </c>
      <c r="Y118" s="72"/>
      <c r="Z118" s="151"/>
      <c r="AA118" s="152"/>
      <c r="AC118" s="251" t="str">
        <f>IF(P118="","",IF(P118='G-1 All Habitats'!$X$3,H118-S118-T118,"None"))</f>
        <v/>
      </c>
      <c r="AD118" s="252" t="str">
        <f t="shared" si="10"/>
        <v/>
      </c>
      <c r="AF118" s="156" t="str">
        <f t="shared" si="6"/>
        <v/>
      </c>
      <c r="AG118" s="156" t="str">
        <f t="shared" si="7"/>
        <v/>
      </c>
      <c r="AH118" s="156" t="str">
        <f>IF(I118="","",IF(#REF!&gt;0,TRUE,FALSE))</f>
        <v/>
      </c>
      <c r="AI118" s="156">
        <v>108</v>
      </c>
      <c r="AJ118" s="156"/>
      <c r="AK118" s="156" t="str">
        <f t="array" ref="AK118">IFERROR(INDEX($AI$11:$AI$259, MATCH(0, IF(TRUE=$AF$11:$AF$259, COUNTIF($AK$10:$AK117, $AI$11:$AI$259), ""), 0)),"")</f>
        <v/>
      </c>
      <c r="AL118" s="156" t="str">
        <f t="array" ref="AL118">IFERROR(INDEX($AI$11:$AI$259, MATCH(0, IF(TRUE=$AG$11:$AG$259, COUNTIF($AL$10:$AL117, $AI$11:$AI$259), ""), 0)),"")</f>
        <v/>
      </c>
      <c r="AM118" s="156" t="str">
        <f t="array" ref="AM118">IFERROR(INDEX($AI$11:$AI$259, MATCH(0, IF(TRUE=$AH$11:$AH$259, COUNTIF($AM$10:$AM117, $AI$11:$AI$259), ""), 0)),"")</f>
        <v/>
      </c>
      <c r="AQ118" s="31">
        <f t="shared" si="11"/>
        <v>0</v>
      </c>
    </row>
    <row r="119" spans="1:43" x14ac:dyDescent="0.25">
      <c r="A119" s="31" t="str">
        <f>IFERROR(INDEX('G-1 All Habitats'!$AG$3:$AG$15,MATCH(E119,'G-1 All Habitats'!$AF$3:$AF$15,0)),"")</f>
        <v/>
      </c>
      <c r="B119" s="31" t="str">
        <f>IFERROR(INDEX('G-8 Condition Look up'!$I$4:$I$130,MATCH(G119,'G-8 Condition Look up'!$A$4:$A$130,0)),"")</f>
        <v/>
      </c>
      <c r="D119" s="141">
        <v>109</v>
      </c>
      <c r="E119" s="203"/>
      <c r="F119" s="203"/>
      <c r="G119" s="250" t="str">
        <f>IFERROR(INDEX('G-1 All Habitats'!$B$3:$B$129,MATCH(F119,'G-1 All Habitats'!$A$3:$A$129,0)),"")</f>
        <v/>
      </c>
      <c r="H119" s="172"/>
      <c r="I119" s="498" t="str">
        <f>IF(G119="","",VLOOKUP(G119,'G-1 All Habitats'!$B$2:$M$129,10,FALSE))</f>
        <v/>
      </c>
      <c r="J119" s="499" t="str">
        <f>IFERROR(VLOOKUP(I119,'G-1 All Habitats'!$V$3:$W$7,2,FALSE),"")</f>
        <v/>
      </c>
      <c r="K119" s="145"/>
      <c r="L119" s="499" t="str">
        <f>IFERROR(INDEX('G-8 Condition Look up'!$A$3:$H$130,MATCH(G119,'G-8 Condition Look up'!$A$3:$A$130,0),MATCH(K119,'G-8 Condition Look up'!$A$3:$H$3,0)),"")</f>
        <v/>
      </c>
      <c r="M119" s="154"/>
      <c r="N119" s="520" t="str">
        <f>IF(M119="","",IF(VLOOKUP(M119,'G-3 Multipliers'!$L$3:$N$6,2,FALSE)=0,"Spatial Data Missing ⚠",VLOOKUP(M119,'G-3 Multipliers'!$L$3:$N$6,2,FALSE)))</f>
        <v/>
      </c>
      <c r="O119" s="524" t="str">
        <f>IF(M119="","",IF(VLOOKUP(M119,'G-3 Multipliers'!$L$3:$N$6,3,FALSE)=0,"Spatial Data Missing ⚠",VLOOKUP(M119,'G-3 Multipliers'!$L$3:$N$6,3,FALSE)))</f>
        <v/>
      </c>
      <c r="P119" s="506" t="str">
        <f>IFERROR(VLOOKUP(G119,'G-1 All Habitats'!$B$2:$M$129,12,FALSE),"")</f>
        <v/>
      </c>
      <c r="Q119" s="513" t="str">
        <f>IFERROR(IF(P119="","",IF(AND(P119='G-1 All Habitats'!$X$3,T119&gt;0),U119+V119,IF(AND(P119='G-1 All Habitats'!$X$3,S119&gt;0),U119+V119,IF(AND(P119='G-1 All Habitats'!$X$3,AC119&gt;0),"Any Loss Unacceptable",IF(AND(P119='G-1 All Habitats'!$X$3,W119&gt;0),"Any Loss Unacceptable",H119*J119*L119*O119))))),"Check Data ⚠")</f>
        <v/>
      </c>
      <c r="R119" s="50"/>
      <c r="S119" s="71"/>
      <c r="T119" s="72"/>
      <c r="U119" s="511" t="str">
        <f t="shared" si="8"/>
        <v/>
      </c>
      <c r="V119" s="511" t="str">
        <f t="shared" si="9"/>
        <v/>
      </c>
      <c r="W119" s="511"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545" t="str">
        <f>IFERROR(IF(H119="","",IF(H119-S119-T119=0&lt;0,"Error in Areas ▲",IF(S119+T119&gt;H119,"Error in Areas ▲",IF(AND(P119='G-1 All Habitats'!$X$3,Y119="Yes"),"Alternative Compensation",IF(W119=0,0,IF(P119='G-1 All Habitats'!$X$3,"Unacceptable Loss",Q119-U119-V119)))))),"Check Data ⚠")</f>
        <v/>
      </c>
      <c r="Y119" s="72"/>
      <c r="Z119" s="151"/>
      <c r="AA119" s="152"/>
      <c r="AC119" s="251" t="str">
        <f>IF(P119="","",IF(P119='G-1 All Habitats'!$X$3,H119-S119-T119,"None"))</f>
        <v/>
      </c>
      <c r="AD119" s="252" t="str">
        <f t="shared" si="10"/>
        <v/>
      </c>
      <c r="AF119" s="156" t="str">
        <f t="shared" si="6"/>
        <v/>
      </c>
      <c r="AG119" s="156" t="str">
        <f t="shared" si="7"/>
        <v/>
      </c>
      <c r="AH119" s="156" t="str">
        <f>IF(I119="","",IF(#REF!&gt;0,TRUE,FALSE))</f>
        <v/>
      </c>
      <c r="AI119" s="156">
        <v>109</v>
      </c>
      <c r="AJ119" s="156"/>
      <c r="AK119" s="156" t="str">
        <f t="array" ref="AK119">IFERROR(INDEX($AI$11:$AI$259, MATCH(0, IF(TRUE=$AF$11:$AF$259, COUNTIF($AK$10:$AK118, $AI$11:$AI$259), ""), 0)),"")</f>
        <v/>
      </c>
      <c r="AL119" s="156" t="str">
        <f t="array" ref="AL119">IFERROR(INDEX($AI$11:$AI$259, MATCH(0, IF(TRUE=$AG$11:$AG$259, COUNTIF($AL$10:$AL118, $AI$11:$AI$259), ""), 0)),"")</f>
        <v/>
      </c>
      <c r="AM119" s="156" t="str">
        <f t="array" ref="AM119">IFERROR(INDEX($AI$11:$AI$259, MATCH(0, IF(TRUE=$AH$11:$AH$259, COUNTIF($AM$10:$AM118, $AI$11:$AI$259), ""), 0)),"")</f>
        <v/>
      </c>
      <c r="AQ119" s="31">
        <f t="shared" si="11"/>
        <v>0</v>
      </c>
    </row>
    <row r="120" spans="1:43" x14ac:dyDescent="0.25">
      <c r="A120" s="31" t="str">
        <f>IFERROR(INDEX('G-1 All Habitats'!$AG$3:$AG$15,MATCH(E120,'G-1 All Habitats'!$AF$3:$AF$15,0)),"")</f>
        <v/>
      </c>
      <c r="B120" s="31" t="str">
        <f>IFERROR(INDEX('G-8 Condition Look up'!$I$4:$I$130,MATCH(G120,'G-8 Condition Look up'!$A$4:$A$130,0)),"")</f>
        <v/>
      </c>
      <c r="D120" s="141">
        <v>110</v>
      </c>
      <c r="E120" s="203"/>
      <c r="F120" s="203"/>
      <c r="G120" s="250" t="str">
        <f>IFERROR(INDEX('G-1 All Habitats'!$B$3:$B$129,MATCH(F120,'G-1 All Habitats'!$A$3:$A$129,0)),"")</f>
        <v/>
      </c>
      <c r="H120" s="172"/>
      <c r="I120" s="498" t="str">
        <f>IF(G120="","",VLOOKUP(G120,'G-1 All Habitats'!$B$2:$M$129,10,FALSE))</f>
        <v/>
      </c>
      <c r="J120" s="499" t="str">
        <f>IFERROR(VLOOKUP(I120,'G-1 All Habitats'!$V$3:$W$7,2,FALSE),"")</f>
        <v/>
      </c>
      <c r="K120" s="145"/>
      <c r="L120" s="499" t="str">
        <f>IFERROR(INDEX('G-8 Condition Look up'!$A$3:$H$130,MATCH(G120,'G-8 Condition Look up'!$A$3:$A$130,0),MATCH(K120,'G-8 Condition Look up'!$A$3:$H$3,0)),"")</f>
        <v/>
      </c>
      <c r="M120" s="154"/>
      <c r="N120" s="520" t="str">
        <f>IF(M120="","",IF(VLOOKUP(M120,'G-3 Multipliers'!$L$3:$N$6,2,FALSE)=0,"Spatial Data Missing ⚠",VLOOKUP(M120,'G-3 Multipliers'!$L$3:$N$6,2,FALSE)))</f>
        <v/>
      </c>
      <c r="O120" s="524" t="str">
        <f>IF(M120="","",IF(VLOOKUP(M120,'G-3 Multipliers'!$L$3:$N$6,3,FALSE)=0,"Spatial Data Missing ⚠",VLOOKUP(M120,'G-3 Multipliers'!$L$3:$N$6,3,FALSE)))</f>
        <v/>
      </c>
      <c r="P120" s="506" t="str">
        <f>IFERROR(VLOOKUP(G120,'G-1 All Habitats'!$B$2:$M$129,12,FALSE),"")</f>
        <v/>
      </c>
      <c r="Q120" s="513" t="str">
        <f>IFERROR(IF(P120="","",IF(AND(P120='G-1 All Habitats'!$X$3,T120&gt;0),U120+V120,IF(AND(P120='G-1 All Habitats'!$X$3,S120&gt;0),U120+V120,IF(AND(P120='G-1 All Habitats'!$X$3,AC120&gt;0),"Any Loss Unacceptable",IF(AND(P120='G-1 All Habitats'!$X$3,W120&gt;0),"Any Loss Unacceptable",H120*J120*L120*O120))))),"Check Data ⚠")</f>
        <v/>
      </c>
      <c r="R120" s="50"/>
      <c r="S120" s="71"/>
      <c r="T120" s="72"/>
      <c r="U120" s="511" t="str">
        <f t="shared" si="8"/>
        <v/>
      </c>
      <c r="V120" s="511" t="str">
        <f t="shared" si="9"/>
        <v/>
      </c>
      <c r="W120" s="511"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545" t="str">
        <f>IFERROR(IF(H120="","",IF(H120-S120-T120=0&lt;0,"Error in Areas ▲",IF(S120+T120&gt;H120,"Error in Areas ▲",IF(AND(P120='G-1 All Habitats'!$X$3,Y120="Yes"),"Alternative Compensation",IF(W120=0,0,IF(P120='G-1 All Habitats'!$X$3,"Unacceptable Loss",Q120-U120-V120)))))),"Check Data ⚠")</f>
        <v/>
      </c>
      <c r="Y120" s="72"/>
      <c r="Z120" s="151"/>
      <c r="AA120" s="152"/>
      <c r="AC120" s="251" t="str">
        <f>IF(P120="","",IF(P120='G-1 All Habitats'!$X$3,H120-S120-T120,"None"))</f>
        <v/>
      </c>
      <c r="AD120" s="252" t="str">
        <f t="shared" si="10"/>
        <v/>
      </c>
      <c r="AF120" s="156" t="str">
        <f t="shared" si="6"/>
        <v/>
      </c>
      <c r="AG120" s="156" t="str">
        <f t="shared" si="7"/>
        <v/>
      </c>
      <c r="AH120" s="156" t="str">
        <f>IF(I120="","",IF(#REF!&gt;0,TRUE,FALSE))</f>
        <v/>
      </c>
      <c r="AI120" s="156">
        <v>110</v>
      </c>
      <c r="AJ120" s="156"/>
      <c r="AK120" s="156" t="str">
        <f t="array" ref="AK120">IFERROR(INDEX($AI$11:$AI$259, MATCH(0, IF(TRUE=$AF$11:$AF$259, COUNTIF($AK$10:$AK119, $AI$11:$AI$259), ""), 0)),"")</f>
        <v/>
      </c>
      <c r="AL120" s="156" t="str">
        <f t="array" ref="AL120">IFERROR(INDEX($AI$11:$AI$259, MATCH(0, IF(TRUE=$AG$11:$AG$259, COUNTIF($AL$10:$AL119, $AI$11:$AI$259), ""), 0)),"")</f>
        <v/>
      </c>
      <c r="AM120" s="156" t="str">
        <f t="array" ref="AM120">IFERROR(INDEX($AI$11:$AI$259, MATCH(0, IF(TRUE=$AH$11:$AH$259, COUNTIF($AM$10:$AM119, $AI$11:$AI$259), ""), 0)),"")</f>
        <v/>
      </c>
      <c r="AQ120" s="31">
        <f t="shared" si="11"/>
        <v>0</v>
      </c>
    </row>
    <row r="121" spans="1:43" x14ac:dyDescent="0.25">
      <c r="A121" s="31" t="str">
        <f>IFERROR(INDEX('G-1 All Habitats'!$AG$3:$AG$15,MATCH(E121,'G-1 All Habitats'!$AF$3:$AF$15,0)),"")</f>
        <v/>
      </c>
      <c r="B121" s="31" t="str">
        <f>IFERROR(INDEX('G-8 Condition Look up'!$I$4:$I$130,MATCH(G121,'G-8 Condition Look up'!$A$4:$A$130,0)),"")</f>
        <v/>
      </c>
      <c r="D121" s="141">
        <v>111</v>
      </c>
      <c r="E121" s="203"/>
      <c r="F121" s="203"/>
      <c r="G121" s="250" t="str">
        <f>IFERROR(INDEX('G-1 All Habitats'!$B$3:$B$129,MATCH(F121,'G-1 All Habitats'!$A$3:$A$129,0)),"")</f>
        <v/>
      </c>
      <c r="H121" s="172"/>
      <c r="I121" s="498" t="str">
        <f>IF(G121="","",VLOOKUP(G121,'G-1 All Habitats'!$B$2:$M$129,10,FALSE))</f>
        <v/>
      </c>
      <c r="J121" s="499" t="str">
        <f>IFERROR(VLOOKUP(I121,'G-1 All Habitats'!$V$3:$W$7,2,FALSE),"")</f>
        <v/>
      </c>
      <c r="K121" s="145"/>
      <c r="L121" s="499" t="str">
        <f>IFERROR(INDEX('G-8 Condition Look up'!$A$3:$H$130,MATCH(G121,'G-8 Condition Look up'!$A$3:$A$130,0),MATCH(K121,'G-8 Condition Look up'!$A$3:$H$3,0)),"")</f>
        <v/>
      </c>
      <c r="M121" s="154"/>
      <c r="N121" s="520" t="str">
        <f>IF(M121="","",IF(VLOOKUP(M121,'G-3 Multipliers'!$L$3:$N$6,2,FALSE)=0,"Spatial Data Missing ⚠",VLOOKUP(M121,'G-3 Multipliers'!$L$3:$N$6,2,FALSE)))</f>
        <v/>
      </c>
      <c r="O121" s="524" t="str">
        <f>IF(M121="","",IF(VLOOKUP(M121,'G-3 Multipliers'!$L$3:$N$6,3,FALSE)=0,"Spatial Data Missing ⚠",VLOOKUP(M121,'G-3 Multipliers'!$L$3:$N$6,3,FALSE)))</f>
        <v/>
      </c>
      <c r="P121" s="506" t="str">
        <f>IFERROR(VLOOKUP(G121,'G-1 All Habitats'!$B$2:$M$129,12,FALSE),"")</f>
        <v/>
      </c>
      <c r="Q121" s="513" t="str">
        <f>IFERROR(IF(P121="","",IF(AND(P121='G-1 All Habitats'!$X$3,T121&gt;0),U121+V121,IF(AND(P121='G-1 All Habitats'!$X$3,S121&gt;0),U121+V121,IF(AND(P121='G-1 All Habitats'!$X$3,AC121&gt;0),"Any Loss Unacceptable",IF(AND(P121='G-1 All Habitats'!$X$3,W121&gt;0),"Any Loss Unacceptable",H121*J121*L121*O121))))),"Check Data ⚠")</f>
        <v/>
      </c>
      <c r="R121" s="50"/>
      <c r="S121" s="71"/>
      <c r="T121" s="72"/>
      <c r="U121" s="511" t="str">
        <f t="shared" si="8"/>
        <v/>
      </c>
      <c r="V121" s="511" t="str">
        <f t="shared" si="9"/>
        <v/>
      </c>
      <c r="W121" s="511"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545" t="str">
        <f>IFERROR(IF(H121="","",IF(H121-S121-T121=0&lt;0,"Error in Areas ▲",IF(S121+T121&gt;H121,"Error in Areas ▲",IF(AND(P121='G-1 All Habitats'!$X$3,Y121="Yes"),"Alternative Compensation",IF(W121=0,0,IF(P121='G-1 All Habitats'!$X$3,"Unacceptable Loss",Q121-U121-V121)))))),"Check Data ⚠")</f>
        <v/>
      </c>
      <c r="Y121" s="72"/>
      <c r="Z121" s="151"/>
      <c r="AA121" s="152"/>
      <c r="AC121" s="251" t="str">
        <f>IF(P121="","",IF(P121='G-1 All Habitats'!$X$3,H121-S121-T121,"None"))</f>
        <v/>
      </c>
      <c r="AD121" s="252" t="str">
        <f t="shared" si="10"/>
        <v/>
      </c>
      <c r="AF121" s="156" t="str">
        <f t="shared" si="6"/>
        <v/>
      </c>
      <c r="AG121" s="156" t="str">
        <f t="shared" si="7"/>
        <v/>
      </c>
      <c r="AH121" s="156" t="str">
        <f>IF(I121="","",IF(#REF!&gt;0,TRUE,FALSE))</f>
        <v/>
      </c>
      <c r="AI121" s="156">
        <v>111</v>
      </c>
      <c r="AJ121" s="156"/>
      <c r="AK121" s="156" t="str">
        <f t="array" ref="AK121">IFERROR(INDEX($AI$11:$AI$259, MATCH(0, IF(TRUE=$AF$11:$AF$259, COUNTIF($AK$10:$AK120, $AI$11:$AI$259), ""), 0)),"")</f>
        <v/>
      </c>
      <c r="AL121" s="156" t="str">
        <f t="array" ref="AL121">IFERROR(INDEX($AI$11:$AI$259, MATCH(0, IF(TRUE=$AG$11:$AG$259, COUNTIF($AL$10:$AL120, $AI$11:$AI$259), ""), 0)),"")</f>
        <v/>
      </c>
      <c r="AM121" s="156" t="str">
        <f t="array" ref="AM121">IFERROR(INDEX($AI$11:$AI$259, MATCH(0, IF(TRUE=$AH$11:$AH$259, COUNTIF($AM$10:$AM120, $AI$11:$AI$259), ""), 0)),"")</f>
        <v/>
      </c>
      <c r="AQ121" s="31">
        <f t="shared" si="11"/>
        <v>0</v>
      </c>
    </row>
    <row r="122" spans="1:43" x14ac:dyDescent="0.25">
      <c r="A122" s="31" t="str">
        <f>IFERROR(INDEX('G-1 All Habitats'!$AG$3:$AG$15,MATCH(E122,'G-1 All Habitats'!$AF$3:$AF$15,0)),"")</f>
        <v/>
      </c>
      <c r="B122" s="31" t="str">
        <f>IFERROR(INDEX('G-8 Condition Look up'!$I$4:$I$130,MATCH(G122,'G-8 Condition Look up'!$A$4:$A$130,0)),"")</f>
        <v/>
      </c>
      <c r="D122" s="141">
        <v>112</v>
      </c>
      <c r="E122" s="203"/>
      <c r="F122" s="203"/>
      <c r="G122" s="250" t="str">
        <f>IFERROR(INDEX('G-1 All Habitats'!$B$3:$B$129,MATCH(F122,'G-1 All Habitats'!$A$3:$A$129,0)),"")</f>
        <v/>
      </c>
      <c r="H122" s="172"/>
      <c r="I122" s="498" t="str">
        <f>IF(G122="","",VLOOKUP(G122,'G-1 All Habitats'!$B$2:$M$129,10,FALSE))</f>
        <v/>
      </c>
      <c r="J122" s="499" t="str">
        <f>IFERROR(VLOOKUP(I122,'G-1 All Habitats'!$V$3:$W$7,2,FALSE),"")</f>
        <v/>
      </c>
      <c r="K122" s="145"/>
      <c r="L122" s="499" t="str">
        <f>IFERROR(INDEX('G-8 Condition Look up'!$A$3:$H$130,MATCH(G122,'G-8 Condition Look up'!$A$3:$A$130,0),MATCH(K122,'G-8 Condition Look up'!$A$3:$H$3,0)),"")</f>
        <v/>
      </c>
      <c r="M122" s="154"/>
      <c r="N122" s="520" t="str">
        <f>IF(M122="","",IF(VLOOKUP(M122,'G-3 Multipliers'!$L$3:$N$6,2,FALSE)=0,"Spatial Data Missing ⚠",VLOOKUP(M122,'G-3 Multipliers'!$L$3:$N$6,2,FALSE)))</f>
        <v/>
      </c>
      <c r="O122" s="524" t="str">
        <f>IF(M122="","",IF(VLOOKUP(M122,'G-3 Multipliers'!$L$3:$N$6,3,FALSE)=0,"Spatial Data Missing ⚠",VLOOKUP(M122,'G-3 Multipliers'!$L$3:$N$6,3,FALSE)))</f>
        <v/>
      </c>
      <c r="P122" s="506" t="str">
        <f>IFERROR(VLOOKUP(G122,'G-1 All Habitats'!$B$2:$M$129,12,FALSE),"")</f>
        <v/>
      </c>
      <c r="Q122" s="513" t="str">
        <f>IFERROR(IF(P122="","",IF(AND(P122='G-1 All Habitats'!$X$3,T122&gt;0),U122+V122,IF(AND(P122='G-1 All Habitats'!$X$3,S122&gt;0),U122+V122,IF(AND(P122='G-1 All Habitats'!$X$3,AC122&gt;0),"Any Loss Unacceptable",IF(AND(P122='G-1 All Habitats'!$X$3,W122&gt;0),"Any Loss Unacceptable",H122*J122*L122*O122))))),"Check Data ⚠")</f>
        <v/>
      </c>
      <c r="R122" s="50"/>
      <c r="S122" s="71"/>
      <c r="T122" s="72"/>
      <c r="U122" s="511" t="str">
        <f t="shared" si="8"/>
        <v/>
      </c>
      <c r="V122" s="511" t="str">
        <f t="shared" si="9"/>
        <v/>
      </c>
      <c r="W122" s="511"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545" t="str">
        <f>IFERROR(IF(H122="","",IF(H122-S122-T122=0&lt;0,"Error in Areas ▲",IF(S122+T122&gt;H122,"Error in Areas ▲",IF(AND(P122='G-1 All Habitats'!$X$3,Y122="Yes"),"Alternative Compensation",IF(W122=0,0,IF(P122='G-1 All Habitats'!$X$3,"Unacceptable Loss",Q122-U122-V122)))))),"Check Data ⚠")</f>
        <v/>
      </c>
      <c r="Y122" s="72"/>
      <c r="Z122" s="151"/>
      <c r="AA122" s="152"/>
      <c r="AC122" s="251" t="str">
        <f>IF(P122="","",IF(P122='G-1 All Habitats'!$X$3,H122-S122-T122,"None"))</f>
        <v/>
      </c>
      <c r="AD122" s="252" t="str">
        <f t="shared" si="10"/>
        <v/>
      </c>
      <c r="AF122" s="156" t="str">
        <f t="shared" si="6"/>
        <v/>
      </c>
      <c r="AG122" s="156" t="str">
        <f t="shared" si="7"/>
        <v/>
      </c>
      <c r="AH122" s="156" t="str">
        <f>IF(I122="","",IF(#REF!&gt;0,TRUE,FALSE))</f>
        <v/>
      </c>
      <c r="AI122" s="156">
        <v>112</v>
      </c>
      <c r="AJ122" s="156"/>
      <c r="AK122" s="156" t="str">
        <f t="array" ref="AK122">IFERROR(INDEX($AI$11:$AI$259, MATCH(0, IF(TRUE=$AF$11:$AF$259, COUNTIF($AK$10:$AK121, $AI$11:$AI$259), ""), 0)),"")</f>
        <v/>
      </c>
      <c r="AL122" s="156" t="str">
        <f t="array" ref="AL122">IFERROR(INDEX($AI$11:$AI$259, MATCH(0, IF(TRUE=$AG$11:$AG$259, COUNTIF($AL$10:$AL121, $AI$11:$AI$259), ""), 0)),"")</f>
        <v/>
      </c>
      <c r="AM122" s="156" t="str">
        <f t="array" ref="AM122">IFERROR(INDEX($AI$11:$AI$259, MATCH(0, IF(TRUE=$AH$11:$AH$259, COUNTIF($AM$10:$AM121, $AI$11:$AI$259), ""), 0)),"")</f>
        <v/>
      </c>
      <c r="AQ122" s="31">
        <f t="shared" si="11"/>
        <v>0</v>
      </c>
    </row>
    <row r="123" spans="1:43" x14ac:dyDescent="0.25">
      <c r="A123" s="31" t="str">
        <f>IFERROR(INDEX('G-1 All Habitats'!$AG$3:$AG$15,MATCH(E123,'G-1 All Habitats'!$AF$3:$AF$15,0)),"")</f>
        <v/>
      </c>
      <c r="B123" s="31" t="str">
        <f>IFERROR(INDEX('G-8 Condition Look up'!$I$4:$I$130,MATCH(G123,'G-8 Condition Look up'!$A$4:$A$130,0)),"")</f>
        <v/>
      </c>
      <c r="D123" s="141">
        <v>113</v>
      </c>
      <c r="E123" s="203"/>
      <c r="F123" s="203"/>
      <c r="G123" s="250" t="str">
        <f>IFERROR(INDEX('G-1 All Habitats'!$B$3:$B$129,MATCH(F123,'G-1 All Habitats'!$A$3:$A$129,0)),"")</f>
        <v/>
      </c>
      <c r="H123" s="172"/>
      <c r="I123" s="498" t="str">
        <f>IF(G123="","",VLOOKUP(G123,'G-1 All Habitats'!$B$2:$M$129,10,FALSE))</f>
        <v/>
      </c>
      <c r="J123" s="499" t="str">
        <f>IFERROR(VLOOKUP(I123,'G-1 All Habitats'!$V$3:$W$7,2,FALSE),"")</f>
        <v/>
      </c>
      <c r="K123" s="145"/>
      <c r="L123" s="499" t="str">
        <f>IFERROR(INDEX('G-8 Condition Look up'!$A$3:$H$130,MATCH(G123,'G-8 Condition Look up'!$A$3:$A$130,0),MATCH(K123,'G-8 Condition Look up'!$A$3:$H$3,0)),"")</f>
        <v/>
      </c>
      <c r="M123" s="154"/>
      <c r="N123" s="520" t="str">
        <f>IF(M123="","",IF(VLOOKUP(M123,'G-3 Multipliers'!$L$3:$N$6,2,FALSE)=0,"Spatial Data Missing ⚠",VLOOKUP(M123,'G-3 Multipliers'!$L$3:$N$6,2,FALSE)))</f>
        <v/>
      </c>
      <c r="O123" s="524" t="str">
        <f>IF(M123="","",IF(VLOOKUP(M123,'G-3 Multipliers'!$L$3:$N$6,3,FALSE)=0,"Spatial Data Missing ⚠",VLOOKUP(M123,'G-3 Multipliers'!$L$3:$N$6,3,FALSE)))</f>
        <v/>
      </c>
      <c r="P123" s="506" t="str">
        <f>IFERROR(VLOOKUP(G123,'G-1 All Habitats'!$B$2:$M$129,12,FALSE),"")</f>
        <v/>
      </c>
      <c r="Q123" s="513" t="str">
        <f>IFERROR(IF(P123="","",IF(AND(P123='G-1 All Habitats'!$X$3,T123&gt;0),U123+V123,IF(AND(P123='G-1 All Habitats'!$X$3,S123&gt;0),U123+V123,IF(AND(P123='G-1 All Habitats'!$X$3,AC123&gt;0),"Any Loss Unacceptable",IF(AND(P123='G-1 All Habitats'!$X$3,W123&gt;0),"Any Loss Unacceptable",H123*J123*L123*O123))))),"Check Data ⚠")</f>
        <v/>
      </c>
      <c r="R123" s="50"/>
      <c r="S123" s="71"/>
      <c r="T123" s="72"/>
      <c r="U123" s="511" t="str">
        <f t="shared" si="8"/>
        <v/>
      </c>
      <c r="V123" s="511" t="str">
        <f t="shared" si="9"/>
        <v/>
      </c>
      <c r="W123" s="511"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545" t="str">
        <f>IFERROR(IF(H123="","",IF(H123-S123-T123=0&lt;0,"Error in Areas ▲",IF(S123+T123&gt;H123,"Error in Areas ▲",IF(AND(P123='G-1 All Habitats'!$X$3,Y123="Yes"),"Alternative Compensation",IF(W123=0,0,IF(P123='G-1 All Habitats'!$X$3,"Unacceptable Loss",Q123-U123-V123)))))),"Check Data ⚠")</f>
        <v/>
      </c>
      <c r="Y123" s="72"/>
      <c r="Z123" s="151"/>
      <c r="AA123" s="152"/>
      <c r="AC123" s="251" t="str">
        <f>IF(P123="","",IF(P123='G-1 All Habitats'!$X$3,H123-S123-T123,"None"))</f>
        <v/>
      </c>
      <c r="AD123" s="252" t="str">
        <f t="shared" si="10"/>
        <v/>
      </c>
      <c r="AF123" s="156" t="str">
        <f t="shared" si="6"/>
        <v/>
      </c>
      <c r="AG123" s="156" t="str">
        <f t="shared" si="7"/>
        <v/>
      </c>
      <c r="AH123" s="156" t="str">
        <f>IF(I123="","",IF(#REF!&gt;0,TRUE,FALSE))</f>
        <v/>
      </c>
      <c r="AI123" s="156">
        <v>113</v>
      </c>
      <c r="AJ123" s="156"/>
      <c r="AK123" s="156" t="str">
        <f t="array" ref="AK123">IFERROR(INDEX($AI$11:$AI$259, MATCH(0, IF(TRUE=$AF$11:$AF$259, COUNTIF($AK$10:$AK122, $AI$11:$AI$259), ""), 0)),"")</f>
        <v/>
      </c>
      <c r="AL123" s="156" t="str">
        <f t="array" ref="AL123">IFERROR(INDEX($AI$11:$AI$259, MATCH(0, IF(TRUE=$AG$11:$AG$259, COUNTIF($AL$10:$AL122, $AI$11:$AI$259), ""), 0)),"")</f>
        <v/>
      </c>
      <c r="AM123" s="156" t="str">
        <f t="array" ref="AM123">IFERROR(INDEX($AI$11:$AI$259, MATCH(0, IF(TRUE=$AH$11:$AH$259, COUNTIF($AM$10:$AM122, $AI$11:$AI$259), ""), 0)),"")</f>
        <v/>
      </c>
      <c r="AQ123" s="31">
        <f t="shared" si="11"/>
        <v>0</v>
      </c>
    </row>
    <row r="124" spans="1:43" x14ac:dyDescent="0.25">
      <c r="A124" s="31" t="str">
        <f>IFERROR(INDEX('G-1 All Habitats'!$AG$3:$AG$15,MATCH(E124,'G-1 All Habitats'!$AF$3:$AF$15,0)),"")</f>
        <v/>
      </c>
      <c r="B124" s="31" t="str">
        <f>IFERROR(INDEX('G-8 Condition Look up'!$I$4:$I$130,MATCH(G124,'G-8 Condition Look up'!$A$4:$A$130,0)),"")</f>
        <v/>
      </c>
      <c r="D124" s="141">
        <v>114</v>
      </c>
      <c r="E124" s="203"/>
      <c r="F124" s="203"/>
      <c r="G124" s="250" t="str">
        <f>IFERROR(INDEX('G-1 All Habitats'!$B$3:$B$129,MATCH(F124,'G-1 All Habitats'!$A$3:$A$129,0)),"")</f>
        <v/>
      </c>
      <c r="H124" s="172"/>
      <c r="I124" s="498" t="str">
        <f>IF(G124="","",VLOOKUP(G124,'G-1 All Habitats'!$B$2:$M$129,10,FALSE))</f>
        <v/>
      </c>
      <c r="J124" s="499" t="str">
        <f>IFERROR(VLOOKUP(I124,'G-1 All Habitats'!$V$3:$W$7,2,FALSE),"")</f>
        <v/>
      </c>
      <c r="K124" s="145"/>
      <c r="L124" s="499" t="str">
        <f>IFERROR(INDEX('G-8 Condition Look up'!$A$3:$H$130,MATCH(G124,'G-8 Condition Look up'!$A$3:$A$130,0),MATCH(K124,'G-8 Condition Look up'!$A$3:$H$3,0)),"")</f>
        <v/>
      </c>
      <c r="M124" s="154"/>
      <c r="N124" s="520" t="str">
        <f>IF(M124="","",IF(VLOOKUP(M124,'G-3 Multipliers'!$L$3:$N$6,2,FALSE)=0,"Spatial Data Missing ⚠",VLOOKUP(M124,'G-3 Multipliers'!$L$3:$N$6,2,FALSE)))</f>
        <v/>
      </c>
      <c r="O124" s="524" t="str">
        <f>IF(M124="","",IF(VLOOKUP(M124,'G-3 Multipliers'!$L$3:$N$6,3,FALSE)=0,"Spatial Data Missing ⚠",VLOOKUP(M124,'G-3 Multipliers'!$L$3:$N$6,3,FALSE)))</f>
        <v/>
      </c>
      <c r="P124" s="506" t="str">
        <f>IFERROR(VLOOKUP(G124,'G-1 All Habitats'!$B$2:$M$129,12,FALSE),"")</f>
        <v/>
      </c>
      <c r="Q124" s="513" t="str">
        <f>IFERROR(IF(P124="","",IF(AND(P124='G-1 All Habitats'!$X$3,T124&gt;0),U124+V124,IF(AND(P124='G-1 All Habitats'!$X$3,S124&gt;0),U124+V124,IF(AND(P124='G-1 All Habitats'!$X$3,AC124&gt;0),"Any Loss Unacceptable",IF(AND(P124='G-1 All Habitats'!$X$3,W124&gt;0),"Any Loss Unacceptable",H124*J124*L124*O124))))),"Check Data ⚠")</f>
        <v/>
      </c>
      <c r="R124" s="50"/>
      <c r="S124" s="71"/>
      <c r="T124" s="72"/>
      <c r="U124" s="511" t="str">
        <f t="shared" si="8"/>
        <v/>
      </c>
      <c r="V124" s="511" t="str">
        <f t="shared" si="9"/>
        <v/>
      </c>
      <c r="W124" s="511"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545" t="str">
        <f>IFERROR(IF(H124="","",IF(H124-S124-T124=0&lt;0,"Error in Areas ▲",IF(S124+T124&gt;H124,"Error in Areas ▲",IF(AND(P124='G-1 All Habitats'!$X$3,Y124="Yes"),"Alternative Compensation",IF(W124=0,0,IF(P124='G-1 All Habitats'!$X$3,"Unacceptable Loss",Q124-U124-V124)))))),"Check Data ⚠")</f>
        <v/>
      </c>
      <c r="Y124" s="72"/>
      <c r="Z124" s="151"/>
      <c r="AA124" s="152"/>
      <c r="AC124" s="251" t="str">
        <f>IF(P124="","",IF(P124='G-1 All Habitats'!$X$3,H124-S124-T124,"None"))</f>
        <v/>
      </c>
      <c r="AD124" s="252" t="str">
        <f t="shared" si="10"/>
        <v/>
      </c>
      <c r="AF124" s="156" t="str">
        <f t="shared" si="6"/>
        <v/>
      </c>
      <c r="AG124" s="156" t="str">
        <f t="shared" si="7"/>
        <v/>
      </c>
      <c r="AH124" s="156" t="str">
        <f>IF(I124="","",IF(#REF!&gt;0,TRUE,FALSE))</f>
        <v/>
      </c>
      <c r="AI124" s="156">
        <v>114</v>
      </c>
      <c r="AJ124" s="156"/>
      <c r="AK124" s="156" t="str">
        <f t="array" ref="AK124">IFERROR(INDEX($AI$11:$AI$259, MATCH(0, IF(TRUE=$AF$11:$AF$259, COUNTIF($AK$10:$AK123, $AI$11:$AI$259), ""), 0)),"")</f>
        <v/>
      </c>
      <c r="AL124" s="156" t="str">
        <f t="array" ref="AL124">IFERROR(INDEX($AI$11:$AI$259, MATCH(0, IF(TRUE=$AG$11:$AG$259, COUNTIF($AL$10:$AL123, $AI$11:$AI$259), ""), 0)),"")</f>
        <v/>
      </c>
      <c r="AM124" s="156" t="str">
        <f t="array" ref="AM124">IFERROR(INDEX($AI$11:$AI$259, MATCH(0, IF(TRUE=$AH$11:$AH$259, COUNTIF($AM$10:$AM123, $AI$11:$AI$259), ""), 0)),"")</f>
        <v/>
      </c>
      <c r="AQ124" s="31">
        <f t="shared" si="11"/>
        <v>0</v>
      </c>
    </row>
    <row r="125" spans="1:43" x14ac:dyDescent="0.25">
      <c r="A125" s="31" t="str">
        <f>IFERROR(INDEX('G-1 All Habitats'!$AG$3:$AG$15,MATCH(E125,'G-1 All Habitats'!$AF$3:$AF$15,0)),"")</f>
        <v/>
      </c>
      <c r="B125" s="31" t="str">
        <f>IFERROR(INDEX('G-8 Condition Look up'!$I$4:$I$130,MATCH(G125,'G-8 Condition Look up'!$A$4:$A$130,0)),"")</f>
        <v/>
      </c>
      <c r="D125" s="141">
        <v>115</v>
      </c>
      <c r="E125" s="203"/>
      <c r="F125" s="203"/>
      <c r="G125" s="250" t="str">
        <f>IFERROR(INDEX('G-1 All Habitats'!$B$3:$B$129,MATCH(F125,'G-1 All Habitats'!$A$3:$A$129,0)),"")</f>
        <v/>
      </c>
      <c r="H125" s="172"/>
      <c r="I125" s="498" t="str">
        <f>IF(G125="","",VLOOKUP(G125,'G-1 All Habitats'!$B$2:$M$129,10,FALSE))</f>
        <v/>
      </c>
      <c r="J125" s="499" t="str">
        <f>IFERROR(VLOOKUP(I125,'G-1 All Habitats'!$V$3:$W$7,2,FALSE),"")</f>
        <v/>
      </c>
      <c r="K125" s="145"/>
      <c r="L125" s="499" t="str">
        <f>IFERROR(INDEX('G-8 Condition Look up'!$A$3:$H$130,MATCH(G125,'G-8 Condition Look up'!$A$3:$A$130,0),MATCH(K125,'G-8 Condition Look up'!$A$3:$H$3,0)),"")</f>
        <v/>
      </c>
      <c r="M125" s="154"/>
      <c r="N125" s="520" t="str">
        <f>IF(M125="","",IF(VLOOKUP(M125,'G-3 Multipliers'!$L$3:$N$6,2,FALSE)=0,"Spatial Data Missing ⚠",VLOOKUP(M125,'G-3 Multipliers'!$L$3:$N$6,2,FALSE)))</f>
        <v/>
      </c>
      <c r="O125" s="524" t="str">
        <f>IF(M125="","",IF(VLOOKUP(M125,'G-3 Multipliers'!$L$3:$N$6,3,FALSE)=0,"Spatial Data Missing ⚠",VLOOKUP(M125,'G-3 Multipliers'!$L$3:$N$6,3,FALSE)))</f>
        <v/>
      </c>
      <c r="P125" s="506" t="str">
        <f>IFERROR(VLOOKUP(G125,'G-1 All Habitats'!$B$2:$M$129,12,FALSE),"")</f>
        <v/>
      </c>
      <c r="Q125" s="513" t="str">
        <f>IFERROR(IF(P125="","",IF(AND(P125='G-1 All Habitats'!$X$3,T125&gt;0),U125+V125,IF(AND(P125='G-1 All Habitats'!$X$3,S125&gt;0),U125+V125,IF(AND(P125='G-1 All Habitats'!$X$3,AC125&gt;0),"Any Loss Unacceptable",IF(AND(P125='G-1 All Habitats'!$X$3,W125&gt;0),"Any Loss Unacceptable",H125*J125*L125*O125))))),"Check Data ⚠")</f>
        <v/>
      </c>
      <c r="R125" s="50"/>
      <c r="S125" s="71"/>
      <c r="T125" s="72"/>
      <c r="U125" s="511" t="str">
        <f t="shared" si="8"/>
        <v/>
      </c>
      <c r="V125" s="511" t="str">
        <f t="shared" si="9"/>
        <v/>
      </c>
      <c r="W125" s="511"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545" t="str">
        <f>IFERROR(IF(H125="","",IF(H125-S125-T125=0&lt;0,"Error in Areas ▲",IF(S125+T125&gt;H125,"Error in Areas ▲",IF(AND(P125='G-1 All Habitats'!$X$3,Y125="Yes"),"Alternative Compensation",IF(W125=0,0,IF(P125='G-1 All Habitats'!$X$3,"Unacceptable Loss",Q125-U125-V125)))))),"Check Data ⚠")</f>
        <v/>
      </c>
      <c r="Y125" s="72"/>
      <c r="Z125" s="151"/>
      <c r="AA125" s="152"/>
      <c r="AC125" s="251" t="str">
        <f>IF(P125="","",IF(P125='G-1 All Habitats'!$X$3,H125-S125-T125,"None"))</f>
        <v/>
      </c>
      <c r="AD125" s="252" t="str">
        <f t="shared" si="10"/>
        <v/>
      </c>
      <c r="AF125" s="156" t="str">
        <f t="shared" si="6"/>
        <v/>
      </c>
      <c r="AG125" s="156" t="str">
        <f t="shared" si="7"/>
        <v/>
      </c>
      <c r="AH125" s="156" t="str">
        <f>IF(I125="","",IF(#REF!&gt;0,TRUE,FALSE))</f>
        <v/>
      </c>
      <c r="AI125" s="156">
        <v>115</v>
      </c>
      <c r="AJ125" s="156"/>
      <c r="AK125" s="156" t="str">
        <f t="array" ref="AK125">IFERROR(INDEX($AI$11:$AI$259, MATCH(0, IF(TRUE=$AF$11:$AF$259, COUNTIF($AK$10:$AK124, $AI$11:$AI$259), ""), 0)),"")</f>
        <v/>
      </c>
      <c r="AL125" s="156" t="str">
        <f t="array" ref="AL125">IFERROR(INDEX($AI$11:$AI$259, MATCH(0, IF(TRUE=$AG$11:$AG$259, COUNTIF($AL$10:$AL124, $AI$11:$AI$259), ""), 0)),"")</f>
        <v/>
      </c>
      <c r="AM125" s="156" t="str">
        <f t="array" ref="AM125">IFERROR(INDEX($AI$11:$AI$259, MATCH(0, IF(TRUE=$AH$11:$AH$259, COUNTIF($AM$10:$AM124, $AI$11:$AI$259), ""), 0)),"")</f>
        <v/>
      </c>
      <c r="AQ125" s="31">
        <f t="shared" si="11"/>
        <v>0</v>
      </c>
    </row>
    <row r="126" spans="1:43" x14ac:dyDescent="0.25">
      <c r="A126" s="31" t="str">
        <f>IFERROR(INDEX('G-1 All Habitats'!$AG$3:$AG$15,MATCH(E126,'G-1 All Habitats'!$AF$3:$AF$15,0)),"")</f>
        <v/>
      </c>
      <c r="B126" s="31" t="str">
        <f>IFERROR(INDEX('G-8 Condition Look up'!$I$4:$I$130,MATCH(G126,'G-8 Condition Look up'!$A$4:$A$130,0)),"")</f>
        <v/>
      </c>
      <c r="D126" s="141">
        <v>116</v>
      </c>
      <c r="E126" s="203"/>
      <c r="F126" s="203"/>
      <c r="G126" s="250" t="str">
        <f>IFERROR(INDEX('G-1 All Habitats'!$B$3:$B$129,MATCH(F126,'G-1 All Habitats'!$A$3:$A$129,0)),"")</f>
        <v/>
      </c>
      <c r="H126" s="172"/>
      <c r="I126" s="498" t="str">
        <f>IF(G126="","",VLOOKUP(G126,'G-1 All Habitats'!$B$2:$M$129,10,FALSE))</f>
        <v/>
      </c>
      <c r="J126" s="499" t="str">
        <f>IFERROR(VLOOKUP(I126,'G-1 All Habitats'!$V$3:$W$7,2,FALSE),"")</f>
        <v/>
      </c>
      <c r="K126" s="145"/>
      <c r="L126" s="499" t="str">
        <f>IFERROR(INDEX('G-8 Condition Look up'!$A$3:$H$130,MATCH(G126,'G-8 Condition Look up'!$A$3:$A$130,0),MATCH(K126,'G-8 Condition Look up'!$A$3:$H$3,0)),"")</f>
        <v/>
      </c>
      <c r="M126" s="154"/>
      <c r="N126" s="520" t="str">
        <f>IF(M126="","",IF(VLOOKUP(M126,'G-3 Multipliers'!$L$3:$N$6,2,FALSE)=0,"Spatial Data Missing ⚠",VLOOKUP(M126,'G-3 Multipliers'!$L$3:$N$6,2,FALSE)))</f>
        <v/>
      </c>
      <c r="O126" s="524" t="str">
        <f>IF(M126="","",IF(VLOOKUP(M126,'G-3 Multipliers'!$L$3:$N$6,3,FALSE)=0,"Spatial Data Missing ⚠",VLOOKUP(M126,'G-3 Multipliers'!$L$3:$N$6,3,FALSE)))</f>
        <v/>
      </c>
      <c r="P126" s="506" t="str">
        <f>IFERROR(VLOOKUP(G126,'G-1 All Habitats'!$B$2:$M$129,12,FALSE),"")</f>
        <v/>
      </c>
      <c r="Q126" s="513" t="str">
        <f>IFERROR(IF(P126="","",IF(AND(P126='G-1 All Habitats'!$X$3,T126&gt;0),U126+V126,IF(AND(P126='G-1 All Habitats'!$X$3,S126&gt;0),U126+V126,IF(AND(P126='G-1 All Habitats'!$X$3,AC126&gt;0),"Any Loss Unacceptable",IF(AND(P126='G-1 All Habitats'!$X$3,W126&gt;0),"Any Loss Unacceptable",H126*J126*L126*O126))))),"Check Data ⚠")</f>
        <v/>
      </c>
      <c r="R126" s="50"/>
      <c r="S126" s="71"/>
      <c r="T126" s="72"/>
      <c r="U126" s="511" t="str">
        <f t="shared" si="8"/>
        <v/>
      </c>
      <c r="V126" s="511" t="str">
        <f t="shared" si="9"/>
        <v/>
      </c>
      <c r="W126" s="511"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545" t="str">
        <f>IFERROR(IF(H126="","",IF(H126-S126-T126=0&lt;0,"Error in Areas ▲",IF(S126+T126&gt;H126,"Error in Areas ▲",IF(AND(P126='G-1 All Habitats'!$X$3,Y126="Yes"),"Alternative Compensation",IF(W126=0,0,IF(P126='G-1 All Habitats'!$X$3,"Unacceptable Loss",Q126-U126-V126)))))),"Check Data ⚠")</f>
        <v/>
      </c>
      <c r="Y126" s="72"/>
      <c r="Z126" s="151"/>
      <c r="AA126" s="152"/>
      <c r="AC126" s="251" t="str">
        <f>IF(P126="","",IF(P126='G-1 All Habitats'!$X$3,H126-S126-T126,"None"))</f>
        <v/>
      </c>
      <c r="AD126" s="252" t="str">
        <f t="shared" si="10"/>
        <v/>
      </c>
      <c r="AF126" s="156" t="str">
        <f t="shared" si="6"/>
        <v/>
      </c>
      <c r="AG126" s="156" t="str">
        <f t="shared" si="7"/>
        <v/>
      </c>
      <c r="AH126" s="156" t="str">
        <f>IF(I126="","",IF(#REF!&gt;0,TRUE,FALSE))</f>
        <v/>
      </c>
      <c r="AI126" s="156">
        <v>116</v>
      </c>
      <c r="AJ126" s="156"/>
      <c r="AK126" s="156" t="str">
        <f t="array" ref="AK126">IFERROR(INDEX($AI$11:$AI$259, MATCH(0, IF(TRUE=$AF$11:$AF$259, COUNTIF($AK$10:$AK125, $AI$11:$AI$259), ""), 0)),"")</f>
        <v/>
      </c>
      <c r="AL126" s="156" t="str">
        <f t="array" ref="AL126">IFERROR(INDEX($AI$11:$AI$259, MATCH(0, IF(TRUE=$AG$11:$AG$259, COUNTIF($AL$10:$AL125, $AI$11:$AI$259), ""), 0)),"")</f>
        <v/>
      </c>
      <c r="AM126" s="156" t="str">
        <f t="array" ref="AM126">IFERROR(INDEX($AI$11:$AI$259, MATCH(0, IF(TRUE=$AH$11:$AH$259, COUNTIF($AM$10:$AM125, $AI$11:$AI$259), ""), 0)),"")</f>
        <v/>
      </c>
      <c r="AQ126" s="31">
        <f t="shared" si="11"/>
        <v>0</v>
      </c>
    </row>
    <row r="127" spans="1:43" x14ac:dyDescent="0.25">
      <c r="A127" s="31" t="str">
        <f>IFERROR(INDEX('G-1 All Habitats'!$AG$3:$AG$15,MATCH(E127,'G-1 All Habitats'!$AF$3:$AF$15,0)),"")</f>
        <v/>
      </c>
      <c r="B127" s="31" t="str">
        <f>IFERROR(INDEX('G-8 Condition Look up'!$I$4:$I$130,MATCH(G127,'G-8 Condition Look up'!$A$4:$A$130,0)),"")</f>
        <v/>
      </c>
      <c r="D127" s="141">
        <v>117</v>
      </c>
      <c r="E127" s="203"/>
      <c r="F127" s="203"/>
      <c r="G127" s="250" t="str">
        <f>IFERROR(INDEX('G-1 All Habitats'!$B$3:$B$129,MATCH(F127,'G-1 All Habitats'!$A$3:$A$129,0)),"")</f>
        <v/>
      </c>
      <c r="H127" s="172"/>
      <c r="I127" s="498" t="str">
        <f>IF(G127="","",VLOOKUP(G127,'G-1 All Habitats'!$B$2:$M$129,10,FALSE))</f>
        <v/>
      </c>
      <c r="J127" s="499" t="str">
        <f>IFERROR(VLOOKUP(I127,'G-1 All Habitats'!$V$3:$W$7,2,FALSE),"")</f>
        <v/>
      </c>
      <c r="K127" s="145"/>
      <c r="L127" s="499" t="str">
        <f>IFERROR(INDEX('G-8 Condition Look up'!$A$3:$H$130,MATCH(G127,'G-8 Condition Look up'!$A$3:$A$130,0),MATCH(K127,'G-8 Condition Look up'!$A$3:$H$3,0)),"")</f>
        <v/>
      </c>
      <c r="M127" s="154"/>
      <c r="N127" s="520" t="str">
        <f>IF(M127="","",IF(VLOOKUP(M127,'G-3 Multipliers'!$L$3:$N$6,2,FALSE)=0,"Spatial Data Missing ⚠",VLOOKUP(M127,'G-3 Multipliers'!$L$3:$N$6,2,FALSE)))</f>
        <v/>
      </c>
      <c r="O127" s="524" t="str">
        <f>IF(M127="","",IF(VLOOKUP(M127,'G-3 Multipliers'!$L$3:$N$6,3,FALSE)=0,"Spatial Data Missing ⚠",VLOOKUP(M127,'G-3 Multipliers'!$L$3:$N$6,3,FALSE)))</f>
        <v/>
      </c>
      <c r="P127" s="506" t="str">
        <f>IFERROR(VLOOKUP(G127,'G-1 All Habitats'!$B$2:$M$129,12,FALSE),"")</f>
        <v/>
      </c>
      <c r="Q127" s="513" t="str">
        <f>IFERROR(IF(P127="","",IF(AND(P127='G-1 All Habitats'!$X$3,T127&gt;0),U127+V127,IF(AND(P127='G-1 All Habitats'!$X$3,S127&gt;0),U127+V127,IF(AND(P127='G-1 All Habitats'!$X$3,AC127&gt;0),"Any Loss Unacceptable",IF(AND(P127='G-1 All Habitats'!$X$3,W127&gt;0),"Any Loss Unacceptable",H127*J127*L127*O127))))),"Check Data ⚠")</f>
        <v/>
      </c>
      <c r="R127" s="50"/>
      <c r="S127" s="71"/>
      <c r="T127" s="72"/>
      <c r="U127" s="511" t="str">
        <f t="shared" si="8"/>
        <v/>
      </c>
      <c r="V127" s="511" t="str">
        <f t="shared" si="9"/>
        <v/>
      </c>
      <c r="W127" s="511"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545" t="str">
        <f>IFERROR(IF(H127="","",IF(H127-S127-T127=0&lt;0,"Error in Areas ▲",IF(S127+T127&gt;H127,"Error in Areas ▲",IF(AND(P127='G-1 All Habitats'!$X$3,Y127="Yes"),"Alternative Compensation",IF(W127=0,0,IF(P127='G-1 All Habitats'!$X$3,"Unacceptable Loss",Q127-U127-V127)))))),"Check Data ⚠")</f>
        <v/>
      </c>
      <c r="Y127" s="72"/>
      <c r="Z127" s="151"/>
      <c r="AA127" s="152"/>
      <c r="AC127" s="251" t="str">
        <f>IF(P127="","",IF(P127='G-1 All Habitats'!$X$3,H127-S127-T127,"None"))</f>
        <v/>
      </c>
      <c r="AD127" s="252" t="str">
        <f t="shared" si="10"/>
        <v/>
      </c>
      <c r="AF127" s="156" t="str">
        <f t="shared" si="6"/>
        <v/>
      </c>
      <c r="AG127" s="156" t="str">
        <f t="shared" si="7"/>
        <v/>
      </c>
      <c r="AH127" s="156" t="str">
        <f>IF(I127="","",IF(#REF!&gt;0,TRUE,FALSE))</f>
        <v/>
      </c>
      <c r="AI127" s="156">
        <v>117</v>
      </c>
      <c r="AJ127" s="156"/>
      <c r="AK127" s="156" t="str">
        <f t="array" ref="AK127">IFERROR(INDEX($AI$11:$AI$259, MATCH(0, IF(TRUE=$AF$11:$AF$259, COUNTIF($AK$10:$AK126, $AI$11:$AI$259), ""), 0)),"")</f>
        <v/>
      </c>
      <c r="AL127" s="156" t="str">
        <f t="array" ref="AL127">IFERROR(INDEX($AI$11:$AI$259, MATCH(0, IF(TRUE=$AG$11:$AG$259, COUNTIF($AL$10:$AL126, $AI$11:$AI$259), ""), 0)),"")</f>
        <v/>
      </c>
      <c r="AM127" s="156" t="str">
        <f t="array" ref="AM127">IFERROR(INDEX($AI$11:$AI$259, MATCH(0, IF(TRUE=$AH$11:$AH$259, COUNTIF($AM$10:$AM126, $AI$11:$AI$259), ""), 0)),"")</f>
        <v/>
      </c>
      <c r="AQ127" s="31">
        <f t="shared" si="11"/>
        <v>0</v>
      </c>
    </row>
    <row r="128" spans="1:43" x14ac:dyDescent="0.25">
      <c r="A128" s="31" t="str">
        <f>IFERROR(INDEX('G-1 All Habitats'!$AG$3:$AG$15,MATCH(E128,'G-1 All Habitats'!$AF$3:$AF$15,0)),"")</f>
        <v/>
      </c>
      <c r="B128" s="31" t="str">
        <f>IFERROR(INDEX('G-8 Condition Look up'!$I$4:$I$130,MATCH(G128,'G-8 Condition Look up'!$A$4:$A$130,0)),"")</f>
        <v/>
      </c>
      <c r="D128" s="141">
        <v>118</v>
      </c>
      <c r="E128" s="203"/>
      <c r="F128" s="203"/>
      <c r="G128" s="250" t="str">
        <f>IFERROR(INDEX('G-1 All Habitats'!$B$3:$B$129,MATCH(F128,'G-1 All Habitats'!$A$3:$A$129,0)),"")</f>
        <v/>
      </c>
      <c r="H128" s="172"/>
      <c r="I128" s="498" t="str">
        <f>IF(G128="","",VLOOKUP(G128,'G-1 All Habitats'!$B$2:$M$129,10,FALSE))</f>
        <v/>
      </c>
      <c r="J128" s="499" t="str">
        <f>IFERROR(VLOOKUP(I128,'G-1 All Habitats'!$V$3:$W$7,2,FALSE),"")</f>
        <v/>
      </c>
      <c r="K128" s="145"/>
      <c r="L128" s="499" t="str">
        <f>IFERROR(INDEX('G-8 Condition Look up'!$A$3:$H$130,MATCH(G128,'G-8 Condition Look up'!$A$3:$A$130,0),MATCH(K128,'G-8 Condition Look up'!$A$3:$H$3,0)),"")</f>
        <v/>
      </c>
      <c r="M128" s="154"/>
      <c r="N128" s="520" t="str">
        <f>IF(M128="","",IF(VLOOKUP(M128,'G-3 Multipliers'!$L$3:$N$6,2,FALSE)=0,"Spatial Data Missing ⚠",VLOOKUP(M128,'G-3 Multipliers'!$L$3:$N$6,2,FALSE)))</f>
        <v/>
      </c>
      <c r="O128" s="524" t="str">
        <f>IF(M128="","",IF(VLOOKUP(M128,'G-3 Multipliers'!$L$3:$N$6,3,FALSE)=0,"Spatial Data Missing ⚠",VLOOKUP(M128,'G-3 Multipliers'!$L$3:$N$6,3,FALSE)))</f>
        <v/>
      </c>
      <c r="P128" s="506" t="str">
        <f>IFERROR(VLOOKUP(G128,'G-1 All Habitats'!$B$2:$M$129,12,FALSE),"")</f>
        <v/>
      </c>
      <c r="Q128" s="513" t="str">
        <f>IFERROR(IF(P128="","",IF(AND(P128='G-1 All Habitats'!$X$3,T128&gt;0),U128+V128,IF(AND(P128='G-1 All Habitats'!$X$3,S128&gt;0),U128+V128,IF(AND(P128='G-1 All Habitats'!$X$3,AC128&gt;0),"Any Loss Unacceptable",IF(AND(P128='G-1 All Habitats'!$X$3,W128&gt;0),"Any Loss Unacceptable",H128*J128*L128*O128))))),"Check Data ⚠")</f>
        <v/>
      </c>
      <c r="R128" s="50"/>
      <c r="S128" s="71"/>
      <c r="T128" s="72"/>
      <c r="U128" s="511" t="str">
        <f t="shared" si="8"/>
        <v/>
      </c>
      <c r="V128" s="511" t="str">
        <f t="shared" si="9"/>
        <v/>
      </c>
      <c r="W128" s="511"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545" t="str">
        <f>IFERROR(IF(H128="","",IF(H128-S128-T128=0&lt;0,"Error in Areas ▲",IF(S128+T128&gt;H128,"Error in Areas ▲",IF(AND(P128='G-1 All Habitats'!$X$3,Y128="Yes"),"Alternative Compensation",IF(W128=0,0,IF(P128='G-1 All Habitats'!$X$3,"Unacceptable Loss",Q128-U128-V128)))))),"Check Data ⚠")</f>
        <v/>
      </c>
      <c r="Y128" s="72"/>
      <c r="Z128" s="151"/>
      <c r="AA128" s="152"/>
      <c r="AC128" s="251" t="str">
        <f>IF(P128="","",IF(P128='G-1 All Habitats'!$X$3,H128-S128-T128,"None"))</f>
        <v/>
      </c>
      <c r="AD128" s="252" t="str">
        <f t="shared" si="10"/>
        <v/>
      </c>
      <c r="AF128" s="156" t="str">
        <f t="shared" si="6"/>
        <v/>
      </c>
      <c r="AG128" s="156" t="str">
        <f t="shared" si="7"/>
        <v/>
      </c>
      <c r="AH128" s="156" t="str">
        <f>IF(I128="","",IF(#REF!&gt;0,TRUE,FALSE))</f>
        <v/>
      </c>
      <c r="AI128" s="156">
        <v>118</v>
      </c>
      <c r="AJ128" s="156"/>
      <c r="AK128" s="156" t="str">
        <f t="array" ref="AK128">IFERROR(INDEX($AI$11:$AI$259, MATCH(0, IF(TRUE=$AF$11:$AF$259, COUNTIF($AK$10:$AK127, $AI$11:$AI$259), ""), 0)),"")</f>
        <v/>
      </c>
      <c r="AL128" s="156" t="str">
        <f t="array" ref="AL128">IFERROR(INDEX($AI$11:$AI$259, MATCH(0, IF(TRUE=$AG$11:$AG$259, COUNTIF($AL$10:$AL127, $AI$11:$AI$259), ""), 0)),"")</f>
        <v/>
      </c>
      <c r="AM128" s="156" t="str">
        <f t="array" ref="AM128">IFERROR(INDEX($AI$11:$AI$259, MATCH(0, IF(TRUE=$AH$11:$AH$259, COUNTIF($AM$10:$AM127, $AI$11:$AI$259), ""), 0)),"")</f>
        <v/>
      </c>
      <c r="AQ128" s="31">
        <f t="shared" si="11"/>
        <v>0</v>
      </c>
    </row>
    <row r="129" spans="1:43" x14ac:dyDescent="0.25">
      <c r="A129" s="31" t="str">
        <f>IFERROR(INDEX('G-1 All Habitats'!$AG$3:$AG$15,MATCH(E129,'G-1 All Habitats'!$AF$3:$AF$15,0)),"")</f>
        <v/>
      </c>
      <c r="B129" s="31" t="str">
        <f>IFERROR(INDEX('G-8 Condition Look up'!$I$4:$I$130,MATCH(G129,'G-8 Condition Look up'!$A$4:$A$130,0)),"")</f>
        <v/>
      </c>
      <c r="D129" s="141">
        <v>119</v>
      </c>
      <c r="E129" s="203"/>
      <c r="F129" s="203"/>
      <c r="G129" s="250" t="str">
        <f>IFERROR(INDEX('G-1 All Habitats'!$B$3:$B$129,MATCH(F129,'G-1 All Habitats'!$A$3:$A$129,0)),"")</f>
        <v/>
      </c>
      <c r="H129" s="172"/>
      <c r="I129" s="498" t="str">
        <f>IF(G129="","",VLOOKUP(G129,'G-1 All Habitats'!$B$2:$M$129,10,FALSE))</f>
        <v/>
      </c>
      <c r="J129" s="499" t="str">
        <f>IFERROR(VLOOKUP(I129,'G-1 All Habitats'!$V$3:$W$7,2,FALSE),"")</f>
        <v/>
      </c>
      <c r="K129" s="145"/>
      <c r="L129" s="499" t="str">
        <f>IFERROR(INDEX('G-8 Condition Look up'!$A$3:$H$130,MATCH(G129,'G-8 Condition Look up'!$A$3:$A$130,0),MATCH(K129,'G-8 Condition Look up'!$A$3:$H$3,0)),"")</f>
        <v/>
      </c>
      <c r="M129" s="154"/>
      <c r="N129" s="520" t="str">
        <f>IF(M129="","",IF(VLOOKUP(M129,'G-3 Multipliers'!$L$3:$N$6,2,FALSE)=0,"Spatial Data Missing ⚠",VLOOKUP(M129,'G-3 Multipliers'!$L$3:$N$6,2,FALSE)))</f>
        <v/>
      </c>
      <c r="O129" s="524" t="str">
        <f>IF(M129="","",IF(VLOOKUP(M129,'G-3 Multipliers'!$L$3:$N$6,3,FALSE)=0,"Spatial Data Missing ⚠",VLOOKUP(M129,'G-3 Multipliers'!$L$3:$N$6,3,FALSE)))</f>
        <v/>
      </c>
      <c r="P129" s="506" t="str">
        <f>IFERROR(VLOOKUP(G129,'G-1 All Habitats'!$B$2:$M$129,12,FALSE),"")</f>
        <v/>
      </c>
      <c r="Q129" s="513" t="str">
        <f>IFERROR(IF(P129="","",IF(AND(P129='G-1 All Habitats'!$X$3,T129&gt;0),U129+V129,IF(AND(P129='G-1 All Habitats'!$X$3,S129&gt;0),U129+V129,IF(AND(P129='G-1 All Habitats'!$X$3,AC129&gt;0),"Any Loss Unacceptable",IF(AND(P129='G-1 All Habitats'!$X$3,W129&gt;0),"Any Loss Unacceptable",H129*J129*L129*O129))))),"Check Data ⚠")</f>
        <v/>
      </c>
      <c r="R129" s="50"/>
      <c r="S129" s="71"/>
      <c r="T129" s="72"/>
      <c r="U129" s="511" t="str">
        <f t="shared" si="8"/>
        <v/>
      </c>
      <c r="V129" s="511" t="str">
        <f t="shared" si="9"/>
        <v/>
      </c>
      <c r="W129" s="511"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545" t="str">
        <f>IFERROR(IF(H129="","",IF(H129-S129-T129=0&lt;0,"Error in Areas ▲",IF(S129+T129&gt;H129,"Error in Areas ▲",IF(AND(P129='G-1 All Habitats'!$X$3,Y129="Yes"),"Alternative Compensation",IF(W129=0,0,IF(P129='G-1 All Habitats'!$X$3,"Unacceptable Loss",Q129-U129-V129)))))),"Check Data ⚠")</f>
        <v/>
      </c>
      <c r="Y129" s="72"/>
      <c r="Z129" s="151"/>
      <c r="AA129" s="152"/>
      <c r="AC129" s="251" t="str">
        <f>IF(P129="","",IF(P129='G-1 All Habitats'!$X$3,H129-S129-T129,"None"))</f>
        <v/>
      </c>
      <c r="AD129" s="252" t="str">
        <f t="shared" si="10"/>
        <v/>
      </c>
      <c r="AF129" s="156" t="str">
        <f t="shared" si="6"/>
        <v/>
      </c>
      <c r="AG129" s="156" t="str">
        <f t="shared" si="7"/>
        <v/>
      </c>
      <c r="AH129" s="156" t="str">
        <f>IF(I129="","",IF(#REF!&gt;0,TRUE,FALSE))</f>
        <v/>
      </c>
      <c r="AI129" s="156">
        <v>119</v>
      </c>
      <c r="AJ129" s="156"/>
      <c r="AK129" s="156" t="str">
        <f t="array" ref="AK129">IFERROR(INDEX($AI$11:$AI$259, MATCH(0, IF(TRUE=$AF$11:$AF$259, COUNTIF($AK$10:$AK128, $AI$11:$AI$259), ""), 0)),"")</f>
        <v/>
      </c>
      <c r="AL129" s="156" t="str">
        <f t="array" ref="AL129">IFERROR(INDEX($AI$11:$AI$259, MATCH(0, IF(TRUE=$AG$11:$AG$259, COUNTIF($AL$10:$AL128, $AI$11:$AI$259), ""), 0)),"")</f>
        <v/>
      </c>
      <c r="AM129" s="156" t="str">
        <f t="array" ref="AM129">IFERROR(INDEX($AI$11:$AI$259, MATCH(0, IF(TRUE=$AH$11:$AH$259, COUNTIF($AM$10:$AM128, $AI$11:$AI$259), ""), 0)),"")</f>
        <v/>
      </c>
      <c r="AQ129" s="31">
        <f t="shared" si="11"/>
        <v>0</v>
      </c>
    </row>
    <row r="130" spans="1:43" x14ac:dyDescent="0.25">
      <c r="A130" s="31" t="str">
        <f>IFERROR(INDEX('G-1 All Habitats'!$AG$3:$AG$15,MATCH(E130,'G-1 All Habitats'!$AF$3:$AF$15,0)),"")</f>
        <v/>
      </c>
      <c r="B130" s="31" t="str">
        <f>IFERROR(INDEX('G-8 Condition Look up'!$I$4:$I$130,MATCH(G130,'G-8 Condition Look up'!$A$4:$A$130,0)),"")</f>
        <v/>
      </c>
      <c r="D130" s="141">
        <v>120</v>
      </c>
      <c r="E130" s="203"/>
      <c r="F130" s="203"/>
      <c r="G130" s="250" t="str">
        <f>IFERROR(INDEX('G-1 All Habitats'!$B$3:$B$129,MATCH(F130,'G-1 All Habitats'!$A$3:$A$129,0)),"")</f>
        <v/>
      </c>
      <c r="H130" s="172"/>
      <c r="I130" s="498" t="str">
        <f>IF(G130="","",VLOOKUP(G130,'G-1 All Habitats'!$B$2:$M$129,10,FALSE))</f>
        <v/>
      </c>
      <c r="J130" s="499" t="str">
        <f>IFERROR(VLOOKUP(I130,'G-1 All Habitats'!$V$3:$W$7,2,FALSE),"")</f>
        <v/>
      </c>
      <c r="K130" s="145"/>
      <c r="L130" s="499" t="str">
        <f>IFERROR(INDEX('G-8 Condition Look up'!$A$3:$H$130,MATCH(G130,'G-8 Condition Look up'!$A$3:$A$130,0),MATCH(K130,'G-8 Condition Look up'!$A$3:$H$3,0)),"")</f>
        <v/>
      </c>
      <c r="M130" s="154"/>
      <c r="N130" s="520" t="str">
        <f>IF(M130="","",IF(VLOOKUP(M130,'G-3 Multipliers'!$L$3:$N$6,2,FALSE)=0,"Spatial Data Missing ⚠",VLOOKUP(M130,'G-3 Multipliers'!$L$3:$N$6,2,FALSE)))</f>
        <v/>
      </c>
      <c r="O130" s="524" t="str">
        <f>IF(M130="","",IF(VLOOKUP(M130,'G-3 Multipliers'!$L$3:$N$6,3,FALSE)=0,"Spatial Data Missing ⚠",VLOOKUP(M130,'G-3 Multipliers'!$L$3:$N$6,3,FALSE)))</f>
        <v/>
      </c>
      <c r="P130" s="506" t="str">
        <f>IFERROR(VLOOKUP(G130,'G-1 All Habitats'!$B$2:$M$129,12,FALSE),"")</f>
        <v/>
      </c>
      <c r="Q130" s="513" t="str">
        <f>IFERROR(IF(P130="","",IF(AND(P130='G-1 All Habitats'!$X$3,T130&gt;0),U130+V130,IF(AND(P130='G-1 All Habitats'!$X$3,S130&gt;0),U130+V130,IF(AND(P130='G-1 All Habitats'!$X$3,AC130&gt;0),"Any Loss Unacceptable",IF(AND(P130='G-1 All Habitats'!$X$3,W130&gt;0),"Any Loss Unacceptable",H130*J130*L130*O130))))),"Check Data ⚠")</f>
        <v/>
      </c>
      <c r="R130" s="50"/>
      <c r="S130" s="71"/>
      <c r="T130" s="72"/>
      <c r="U130" s="511" t="str">
        <f t="shared" si="8"/>
        <v/>
      </c>
      <c r="V130" s="511" t="str">
        <f t="shared" si="9"/>
        <v/>
      </c>
      <c r="W130" s="511"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545" t="str">
        <f>IFERROR(IF(H130="","",IF(H130-S130-T130=0&lt;0,"Error in Areas ▲",IF(S130+T130&gt;H130,"Error in Areas ▲",IF(AND(P130='G-1 All Habitats'!$X$3,Y130="Yes"),"Alternative Compensation",IF(W130=0,0,IF(P130='G-1 All Habitats'!$X$3,"Unacceptable Loss",Q130-U130-V130)))))),"Check Data ⚠")</f>
        <v/>
      </c>
      <c r="Y130" s="72"/>
      <c r="Z130" s="151"/>
      <c r="AA130" s="152"/>
      <c r="AC130" s="251" t="str">
        <f>IF(P130="","",IF(P130='G-1 All Habitats'!$X$3,H130-S130-T130,"None"))</f>
        <v/>
      </c>
      <c r="AD130" s="252" t="str">
        <f t="shared" si="10"/>
        <v/>
      </c>
      <c r="AF130" s="156" t="str">
        <f t="shared" si="6"/>
        <v/>
      </c>
      <c r="AG130" s="156" t="str">
        <f t="shared" si="7"/>
        <v/>
      </c>
      <c r="AH130" s="156" t="str">
        <f>IF(I130="","",IF(#REF!&gt;0,TRUE,FALSE))</f>
        <v/>
      </c>
      <c r="AI130" s="156">
        <v>120</v>
      </c>
      <c r="AJ130" s="156"/>
      <c r="AK130" s="156" t="str">
        <f t="array" ref="AK130">IFERROR(INDEX($AI$11:$AI$259, MATCH(0, IF(TRUE=$AF$11:$AF$259, COUNTIF($AK$10:$AK129, $AI$11:$AI$259), ""), 0)),"")</f>
        <v/>
      </c>
      <c r="AL130" s="156" t="str">
        <f t="array" ref="AL130">IFERROR(INDEX($AI$11:$AI$259, MATCH(0, IF(TRUE=$AG$11:$AG$259, COUNTIF($AL$10:$AL129, $AI$11:$AI$259), ""), 0)),"")</f>
        <v/>
      </c>
      <c r="AM130" s="156" t="str">
        <f t="array" ref="AM130">IFERROR(INDEX($AI$11:$AI$259, MATCH(0, IF(TRUE=$AH$11:$AH$259, COUNTIF($AM$10:$AM129, $AI$11:$AI$259), ""), 0)),"")</f>
        <v/>
      </c>
      <c r="AQ130" s="31">
        <f t="shared" si="11"/>
        <v>0</v>
      </c>
    </row>
    <row r="131" spans="1:43" x14ac:dyDescent="0.25">
      <c r="A131" s="31" t="str">
        <f>IFERROR(INDEX('G-1 All Habitats'!$AG$3:$AG$15,MATCH(E131,'G-1 All Habitats'!$AF$3:$AF$15,0)),"")</f>
        <v/>
      </c>
      <c r="B131" s="31" t="str">
        <f>IFERROR(INDEX('G-8 Condition Look up'!$I$4:$I$130,MATCH(G131,'G-8 Condition Look up'!$A$4:$A$130,0)),"")</f>
        <v/>
      </c>
      <c r="D131" s="141">
        <v>121</v>
      </c>
      <c r="E131" s="203"/>
      <c r="F131" s="203"/>
      <c r="G131" s="250" t="str">
        <f>IFERROR(INDEX('G-1 All Habitats'!$B$3:$B$129,MATCH(F131,'G-1 All Habitats'!$A$3:$A$129,0)),"")</f>
        <v/>
      </c>
      <c r="H131" s="172"/>
      <c r="I131" s="498" t="str">
        <f>IF(G131="","",VLOOKUP(G131,'G-1 All Habitats'!$B$2:$M$129,10,FALSE))</f>
        <v/>
      </c>
      <c r="J131" s="499" t="str">
        <f>IFERROR(VLOOKUP(I131,'G-1 All Habitats'!$V$3:$W$7,2,FALSE),"")</f>
        <v/>
      </c>
      <c r="K131" s="145"/>
      <c r="L131" s="499" t="str">
        <f>IFERROR(INDEX('G-8 Condition Look up'!$A$3:$H$130,MATCH(G131,'G-8 Condition Look up'!$A$3:$A$130,0),MATCH(K131,'G-8 Condition Look up'!$A$3:$H$3,0)),"")</f>
        <v/>
      </c>
      <c r="M131" s="154"/>
      <c r="N131" s="520" t="str">
        <f>IF(M131="","",IF(VLOOKUP(M131,'G-3 Multipliers'!$L$3:$N$6,2,FALSE)=0,"Spatial Data Missing ⚠",VLOOKUP(M131,'G-3 Multipliers'!$L$3:$N$6,2,FALSE)))</f>
        <v/>
      </c>
      <c r="O131" s="524" t="str">
        <f>IF(M131="","",IF(VLOOKUP(M131,'G-3 Multipliers'!$L$3:$N$6,3,FALSE)=0,"Spatial Data Missing ⚠",VLOOKUP(M131,'G-3 Multipliers'!$L$3:$N$6,3,FALSE)))</f>
        <v/>
      </c>
      <c r="P131" s="506" t="str">
        <f>IFERROR(VLOOKUP(G131,'G-1 All Habitats'!$B$2:$M$129,12,FALSE),"")</f>
        <v/>
      </c>
      <c r="Q131" s="513" t="str">
        <f>IFERROR(IF(P131="","",IF(AND(P131='G-1 All Habitats'!$X$3,T131&gt;0),U131+V131,IF(AND(P131='G-1 All Habitats'!$X$3,S131&gt;0),U131+V131,IF(AND(P131='G-1 All Habitats'!$X$3,AC131&gt;0),"Any Loss Unacceptable",IF(AND(P131='G-1 All Habitats'!$X$3,W131&gt;0),"Any Loss Unacceptable",H131*J131*L131*O131))))),"Check Data ⚠")</f>
        <v/>
      </c>
      <c r="R131" s="50"/>
      <c r="S131" s="71"/>
      <c r="T131" s="72"/>
      <c r="U131" s="511" t="str">
        <f t="shared" si="8"/>
        <v/>
      </c>
      <c r="V131" s="511" t="str">
        <f t="shared" si="9"/>
        <v/>
      </c>
      <c r="W131" s="511"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545" t="str">
        <f>IFERROR(IF(H131="","",IF(H131-S131-T131=0&lt;0,"Error in Areas ▲",IF(S131+T131&gt;H131,"Error in Areas ▲",IF(AND(P131='G-1 All Habitats'!$X$3,Y131="Yes"),"Alternative Compensation",IF(W131=0,0,IF(P131='G-1 All Habitats'!$X$3,"Unacceptable Loss",Q131-U131-V131)))))),"Check Data ⚠")</f>
        <v/>
      </c>
      <c r="Y131" s="72"/>
      <c r="Z131" s="151"/>
      <c r="AA131" s="152"/>
      <c r="AC131" s="251" t="str">
        <f>IF(P131="","",IF(P131='G-1 All Habitats'!$X$3,H131-S131-T131,"None"))</f>
        <v/>
      </c>
      <c r="AD131" s="252" t="str">
        <f t="shared" si="10"/>
        <v/>
      </c>
      <c r="AF131" s="156" t="str">
        <f t="shared" si="6"/>
        <v/>
      </c>
      <c r="AG131" s="156" t="str">
        <f t="shared" si="7"/>
        <v/>
      </c>
      <c r="AH131" s="156" t="str">
        <f>IF(I131="","",IF(#REF!&gt;0,TRUE,FALSE))</f>
        <v/>
      </c>
      <c r="AI131" s="156">
        <v>121</v>
      </c>
      <c r="AJ131" s="156"/>
      <c r="AK131" s="156" t="str">
        <f t="array" ref="AK131">IFERROR(INDEX($AI$11:$AI$259, MATCH(0, IF(TRUE=$AF$11:$AF$259, COUNTIF($AK$10:$AK130, $AI$11:$AI$259), ""), 0)),"")</f>
        <v/>
      </c>
      <c r="AL131" s="156" t="str">
        <f t="array" ref="AL131">IFERROR(INDEX($AI$11:$AI$259, MATCH(0, IF(TRUE=$AG$11:$AG$259, COUNTIF($AL$10:$AL130, $AI$11:$AI$259), ""), 0)),"")</f>
        <v/>
      </c>
      <c r="AM131" s="156" t="str">
        <f t="array" ref="AM131">IFERROR(INDEX($AI$11:$AI$259, MATCH(0, IF(TRUE=$AH$11:$AH$259, COUNTIF($AM$10:$AM130, $AI$11:$AI$259), ""), 0)),"")</f>
        <v/>
      </c>
      <c r="AQ131" s="31">
        <f t="shared" si="11"/>
        <v>0</v>
      </c>
    </row>
    <row r="132" spans="1:43" x14ac:dyDescent="0.25">
      <c r="A132" s="31" t="str">
        <f>IFERROR(INDEX('G-1 All Habitats'!$AG$3:$AG$15,MATCH(E132,'G-1 All Habitats'!$AF$3:$AF$15,0)),"")</f>
        <v/>
      </c>
      <c r="B132" s="31" t="str">
        <f>IFERROR(INDEX('G-8 Condition Look up'!$I$4:$I$130,MATCH(G132,'G-8 Condition Look up'!$A$4:$A$130,0)),"")</f>
        <v/>
      </c>
      <c r="D132" s="141">
        <v>122</v>
      </c>
      <c r="E132" s="203"/>
      <c r="F132" s="203"/>
      <c r="G132" s="250" t="str">
        <f>IFERROR(INDEX('G-1 All Habitats'!$B$3:$B$129,MATCH(F132,'G-1 All Habitats'!$A$3:$A$129,0)),"")</f>
        <v/>
      </c>
      <c r="H132" s="172"/>
      <c r="I132" s="498" t="str">
        <f>IF(G132="","",VLOOKUP(G132,'G-1 All Habitats'!$B$2:$M$129,10,FALSE))</f>
        <v/>
      </c>
      <c r="J132" s="499" t="str">
        <f>IFERROR(VLOOKUP(I132,'G-1 All Habitats'!$V$3:$W$7,2,FALSE),"")</f>
        <v/>
      </c>
      <c r="K132" s="145"/>
      <c r="L132" s="499" t="str">
        <f>IFERROR(INDEX('G-8 Condition Look up'!$A$3:$H$130,MATCH(G132,'G-8 Condition Look up'!$A$3:$A$130,0),MATCH(K132,'G-8 Condition Look up'!$A$3:$H$3,0)),"")</f>
        <v/>
      </c>
      <c r="M132" s="154"/>
      <c r="N132" s="520" t="str">
        <f>IF(M132="","",IF(VLOOKUP(M132,'G-3 Multipliers'!$L$3:$N$6,2,FALSE)=0,"Spatial Data Missing ⚠",VLOOKUP(M132,'G-3 Multipliers'!$L$3:$N$6,2,FALSE)))</f>
        <v/>
      </c>
      <c r="O132" s="524" t="str">
        <f>IF(M132="","",IF(VLOOKUP(M132,'G-3 Multipliers'!$L$3:$N$6,3,FALSE)=0,"Spatial Data Missing ⚠",VLOOKUP(M132,'G-3 Multipliers'!$L$3:$N$6,3,FALSE)))</f>
        <v/>
      </c>
      <c r="P132" s="506" t="str">
        <f>IFERROR(VLOOKUP(G132,'G-1 All Habitats'!$B$2:$M$129,12,FALSE),"")</f>
        <v/>
      </c>
      <c r="Q132" s="513" t="str">
        <f>IFERROR(IF(P132="","",IF(AND(P132='G-1 All Habitats'!$X$3,T132&gt;0),U132+V132,IF(AND(P132='G-1 All Habitats'!$X$3,S132&gt;0),U132+V132,IF(AND(P132='G-1 All Habitats'!$X$3,AC132&gt;0),"Any Loss Unacceptable",IF(AND(P132='G-1 All Habitats'!$X$3,W132&gt;0),"Any Loss Unacceptable",H132*J132*L132*O132))))),"Check Data ⚠")</f>
        <v/>
      </c>
      <c r="R132" s="50"/>
      <c r="S132" s="71"/>
      <c r="T132" s="72"/>
      <c r="U132" s="511" t="str">
        <f t="shared" si="8"/>
        <v/>
      </c>
      <c r="V132" s="511" t="str">
        <f t="shared" si="9"/>
        <v/>
      </c>
      <c r="W132" s="511"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545" t="str">
        <f>IFERROR(IF(H132="","",IF(H132-S132-T132=0&lt;0,"Error in Areas ▲",IF(S132+T132&gt;H132,"Error in Areas ▲",IF(AND(P132='G-1 All Habitats'!$X$3,Y132="Yes"),"Alternative Compensation",IF(W132=0,0,IF(P132='G-1 All Habitats'!$X$3,"Unacceptable Loss",Q132-U132-V132)))))),"Check Data ⚠")</f>
        <v/>
      </c>
      <c r="Y132" s="72"/>
      <c r="Z132" s="151"/>
      <c r="AA132" s="152"/>
      <c r="AC132" s="251" t="str">
        <f>IF(P132="","",IF(P132='G-1 All Habitats'!$X$3,H132-S132-T132,"None"))</f>
        <v/>
      </c>
      <c r="AD132" s="252" t="str">
        <f t="shared" si="10"/>
        <v/>
      </c>
      <c r="AF132" s="156" t="str">
        <f t="shared" si="6"/>
        <v/>
      </c>
      <c r="AG132" s="156" t="str">
        <f t="shared" si="7"/>
        <v/>
      </c>
      <c r="AH132" s="156" t="str">
        <f>IF(I132="","",IF(#REF!&gt;0,TRUE,FALSE))</f>
        <v/>
      </c>
      <c r="AI132" s="156">
        <v>122</v>
      </c>
      <c r="AJ132" s="156"/>
      <c r="AK132" s="156" t="str">
        <f t="array" ref="AK132">IFERROR(INDEX($AI$11:$AI$259, MATCH(0, IF(TRUE=$AF$11:$AF$259, COUNTIF($AK$10:$AK131, $AI$11:$AI$259), ""), 0)),"")</f>
        <v/>
      </c>
      <c r="AL132" s="156" t="str">
        <f t="array" ref="AL132">IFERROR(INDEX($AI$11:$AI$259, MATCH(0, IF(TRUE=$AG$11:$AG$259, COUNTIF($AL$10:$AL131, $AI$11:$AI$259), ""), 0)),"")</f>
        <v/>
      </c>
      <c r="AM132" s="156" t="str">
        <f t="array" ref="AM132">IFERROR(INDEX($AI$11:$AI$259, MATCH(0, IF(TRUE=$AH$11:$AH$259, COUNTIF($AM$10:$AM131, $AI$11:$AI$259), ""), 0)),"")</f>
        <v/>
      </c>
      <c r="AQ132" s="31">
        <f t="shared" si="11"/>
        <v>0</v>
      </c>
    </row>
    <row r="133" spans="1:43" x14ac:dyDescent="0.25">
      <c r="A133" s="31" t="str">
        <f>IFERROR(INDEX('G-1 All Habitats'!$AG$3:$AG$15,MATCH(E133,'G-1 All Habitats'!$AF$3:$AF$15,0)),"")</f>
        <v/>
      </c>
      <c r="B133" s="31" t="str">
        <f>IFERROR(INDEX('G-8 Condition Look up'!$I$4:$I$130,MATCH(G133,'G-8 Condition Look up'!$A$4:$A$130,0)),"")</f>
        <v/>
      </c>
      <c r="D133" s="141">
        <v>123</v>
      </c>
      <c r="E133" s="203"/>
      <c r="F133" s="203"/>
      <c r="G133" s="250" t="str">
        <f>IFERROR(INDEX('G-1 All Habitats'!$B$3:$B$129,MATCH(F133,'G-1 All Habitats'!$A$3:$A$129,0)),"")</f>
        <v/>
      </c>
      <c r="H133" s="172"/>
      <c r="I133" s="498" t="str">
        <f>IF(G133="","",VLOOKUP(G133,'G-1 All Habitats'!$B$2:$M$129,10,FALSE))</f>
        <v/>
      </c>
      <c r="J133" s="499" t="str">
        <f>IFERROR(VLOOKUP(I133,'G-1 All Habitats'!$V$3:$W$7,2,FALSE),"")</f>
        <v/>
      </c>
      <c r="K133" s="145"/>
      <c r="L133" s="499" t="str">
        <f>IFERROR(INDEX('G-8 Condition Look up'!$A$3:$H$130,MATCH(G133,'G-8 Condition Look up'!$A$3:$A$130,0),MATCH(K133,'G-8 Condition Look up'!$A$3:$H$3,0)),"")</f>
        <v/>
      </c>
      <c r="M133" s="154"/>
      <c r="N133" s="520" t="str">
        <f>IF(M133="","",IF(VLOOKUP(M133,'G-3 Multipliers'!$L$3:$N$6,2,FALSE)=0,"Spatial Data Missing ⚠",VLOOKUP(M133,'G-3 Multipliers'!$L$3:$N$6,2,FALSE)))</f>
        <v/>
      </c>
      <c r="O133" s="524" t="str">
        <f>IF(M133="","",IF(VLOOKUP(M133,'G-3 Multipliers'!$L$3:$N$6,3,FALSE)=0,"Spatial Data Missing ⚠",VLOOKUP(M133,'G-3 Multipliers'!$L$3:$N$6,3,FALSE)))</f>
        <v/>
      </c>
      <c r="P133" s="506" t="str">
        <f>IFERROR(VLOOKUP(G133,'G-1 All Habitats'!$B$2:$M$129,12,FALSE),"")</f>
        <v/>
      </c>
      <c r="Q133" s="513" t="str">
        <f>IFERROR(IF(P133="","",IF(AND(P133='G-1 All Habitats'!$X$3,T133&gt;0),U133+V133,IF(AND(P133='G-1 All Habitats'!$X$3,S133&gt;0),U133+V133,IF(AND(P133='G-1 All Habitats'!$X$3,AC133&gt;0),"Any Loss Unacceptable",IF(AND(P133='G-1 All Habitats'!$X$3,W133&gt;0),"Any Loss Unacceptable",H133*J133*L133*O133))))),"Check Data ⚠")</f>
        <v/>
      </c>
      <c r="R133" s="50"/>
      <c r="S133" s="71"/>
      <c r="T133" s="72"/>
      <c r="U133" s="511" t="str">
        <f t="shared" si="8"/>
        <v/>
      </c>
      <c r="V133" s="511" t="str">
        <f t="shared" si="9"/>
        <v/>
      </c>
      <c r="W133" s="511"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545" t="str">
        <f>IFERROR(IF(H133="","",IF(H133-S133-T133=0&lt;0,"Error in Areas ▲",IF(S133+T133&gt;H133,"Error in Areas ▲",IF(AND(P133='G-1 All Habitats'!$X$3,Y133="Yes"),"Alternative Compensation",IF(W133=0,0,IF(P133='G-1 All Habitats'!$X$3,"Unacceptable Loss",Q133-U133-V133)))))),"Check Data ⚠")</f>
        <v/>
      </c>
      <c r="Y133" s="72"/>
      <c r="Z133" s="151"/>
      <c r="AA133" s="152"/>
      <c r="AC133" s="251" t="str">
        <f>IF(P133="","",IF(P133='G-1 All Habitats'!$X$3,H133-S133-T133,"None"))</f>
        <v/>
      </c>
      <c r="AD133" s="252" t="str">
        <f t="shared" si="10"/>
        <v/>
      </c>
      <c r="AF133" s="156" t="str">
        <f t="shared" si="6"/>
        <v/>
      </c>
      <c r="AG133" s="156" t="str">
        <f t="shared" si="7"/>
        <v/>
      </c>
      <c r="AH133" s="156" t="str">
        <f>IF(I133="","",IF(#REF!&gt;0,TRUE,FALSE))</f>
        <v/>
      </c>
      <c r="AI133" s="156">
        <v>123</v>
      </c>
      <c r="AJ133" s="156"/>
      <c r="AK133" s="156" t="str">
        <f t="array" ref="AK133">IFERROR(INDEX($AI$11:$AI$259, MATCH(0, IF(TRUE=$AF$11:$AF$259, COUNTIF($AK$10:$AK132, $AI$11:$AI$259), ""), 0)),"")</f>
        <v/>
      </c>
      <c r="AL133" s="156" t="str">
        <f t="array" ref="AL133">IFERROR(INDEX($AI$11:$AI$259, MATCH(0, IF(TRUE=$AG$11:$AG$259, COUNTIF($AL$10:$AL132, $AI$11:$AI$259), ""), 0)),"")</f>
        <v/>
      </c>
      <c r="AM133" s="156" t="str">
        <f t="array" ref="AM133">IFERROR(INDEX($AI$11:$AI$259, MATCH(0, IF(TRUE=$AH$11:$AH$259, COUNTIF($AM$10:$AM132, $AI$11:$AI$259), ""), 0)),"")</f>
        <v/>
      </c>
      <c r="AQ133" s="31">
        <f t="shared" si="11"/>
        <v>0</v>
      </c>
    </row>
    <row r="134" spans="1:43" x14ac:dyDescent="0.25">
      <c r="A134" s="31" t="str">
        <f>IFERROR(INDEX('G-1 All Habitats'!$AG$3:$AG$15,MATCH(E134,'G-1 All Habitats'!$AF$3:$AF$15,0)),"")</f>
        <v/>
      </c>
      <c r="B134" s="31" t="str">
        <f>IFERROR(INDEX('G-8 Condition Look up'!$I$4:$I$130,MATCH(G134,'G-8 Condition Look up'!$A$4:$A$130,0)),"")</f>
        <v/>
      </c>
      <c r="D134" s="141">
        <v>124</v>
      </c>
      <c r="E134" s="203"/>
      <c r="F134" s="203"/>
      <c r="G134" s="250" t="str">
        <f>IFERROR(INDEX('G-1 All Habitats'!$B$3:$B$129,MATCH(F134,'G-1 All Habitats'!$A$3:$A$129,0)),"")</f>
        <v/>
      </c>
      <c r="H134" s="172"/>
      <c r="I134" s="498" t="str">
        <f>IF(G134="","",VLOOKUP(G134,'G-1 All Habitats'!$B$2:$M$129,10,FALSE))</f>
        <v/>
      </c>
      <c r="J134" s="499" t="str">
        <f>IFERROR(VLOOKUP(I134,'G-1 All Habitats'!$V$3:$W$7,2,FALSE),"")</f>
        <v/>
      </c>
      <c r="K134" s="145"/>
      <c r="L134" s="499" t="str">
        <f>IFERROR(INDEX('G-8 Condition Look up'!$A$3:$H$130,MATCH(G134,'G-8 Condition Look up'!$A$3:$A$130,0),MATCH(K134,'G-8 Condition Look up'!$A$3:$H$3,0)),"")</f>
        <v/>
      </c>
      <c r="M134" s="154"/>
      <c r="N134" s="520" t="str">
        <f>IF(M134="","",IF(VLOOKUP(M134,'G-3 Multipliers'!$L$3:$N$6,2,FALSE)=0,"Spatial Data Missing ⚠",VLOOKUP(M134,'G-3 Multipliers'!$L$3:$N$6,2,FALSE)))</f>
        <v/>
      </c>
      <c r="O134" s="524" t="str">
        <f>IF(M134="","",IF(VLOOKUP(M134,'G-3 Multipliers'!$L$3:$N$6,3,FALSE)=0,"Spatial Data Missing ⚠",VLOOKUP(M134,'G-3 Multipliers'!$L$3:$N$6,3,FALSE)))</f>
        <v/>
      </c>
      <c r="P134" s="506" t="str">
        <f>IFERROR(VLOOKUP(G134,'G-1 All Habitats'!$B$2:$M$129,12,FALSE),"")</f>
        <v/>
      </c>
      <c r="Q134" s="513" t="str">
        <f>IFERROR(IF(P134="","",IF(AND(P134='G-1 All Habitats'!$X$3,T134&gt;0),U134+V134,IF(AND(P134='G-1 All Habitats'!$X$3,S134&gt;0),U134+V134,IF(AND(P134='G-1 All Habitats'!$X$3,AC134&gt;0),"Any Loss Unacceptable",IF(AND(P134='G-1 All Habitats'!$X$3,W134&gt;0),"Any Loss Unacceptable",H134*J134*L134*O134))))),"Check Data ⚠")</f>
        <v/>
      </c>
      <c r="R134" s="50"/>
      <c r="S134" s="71"/>
      <c r="T134" s="72"/>
      <c r="U134" s="511" t="str">
        <f t="shared" si="8"/>
        <v/>
      </c>
      <c r="V134" s="511" t="str">
        <f t="shared" si="9"/>
        <v/>
      </c>
      <c r="W134" s="511"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545" t="str">
        <f>IFERROR(IF(H134="","",IF(H134-S134-T134=0&lt;0,"Error in Areas ▲",IF(S134+T134&gt;H134,"Error in Areas ▲",IF(AND(P134='G-1 All Habitats'!$X$3,Y134="Yes"),"Alternative Compensation",IF(W134=0,0,IF(P134='G-1 All Habitats'!$X$3,"Unacceptable Loss",Q134-U134-V134)))))),"Check Data ⚠")</f>
        <v/>
      </c>
      <c r="Y134" s="72"/>
      <c r="Z134" s="151"/>
      <c r="AA134" s="152"/>
      <c r="AC134" s="251" t="str">
        <f>IF(P134="","",IF(P134='G-1 All Habitats'!$X$3,H134-S134-T134,"None"))</f>
        <v/>
      </c>
      <c r="AD134" s="252" t="str">
        <f t="shared" si="10"/>
        <v/>
      </c>
      <c r="AF134" s="156" t="str">
        <f t="shared" si="6"/>
        <v/>
      </c>
      <c r="AG134" s="156" t="str">
        <f t="shared" si="7"/>
        <v/>
      </c>
      <c r="AH134" s="156" t="str">
        <f>IF(I134="","",IF(#REF!&gt;0,TRUE,FALSE))</f>
        <v/>
      </c>
      <c r="AI134" s="156">
        <v>124</v>
      </c>
      <c r="AJ134" s="156"/>
      <c r="AK134" s="156" t="str">
        <f t="array" ref="AK134">IFERROR(INDEX($AI$11:$AI$259, MATCH(0, IF(TRUE=$AF$11:$AF$259, COUNTIF($AK$10:$AK133, $AI$11:$AI$259), ""), 0)),"")</f>
        <v/>
      </c>
      <c r="AL134" s="156" t="str">
        <f t="array" ref="AL134">IFERROR(INDEX($AI$11:$AI$259, MATCH(0, IF(TRUE=$AG$11:$AG$259, COUNTIF($AL$10:$AL133, $AI$11:$AI$259), ""), 0)),"")</f>
        <v/>
      </c>
      <c r="AM134" s="156" t="str">
        <f t="array" ref="AM134">IFERROR(INDEX($AI$11:$AI$259, MATCH(0, IF(TRUE=$AH$11:$AH$259, COUNTIF($AM$10:$AM133, $AI$11:$AI$259), ""), 0)),"")</f>
        <v/>
      </c>
      <c r="AQ134" s="31">
        <f t="shared" si="11"/>
        <v>0</v>
      </c>
    </row>
    <row r="135" spans="1:43" x14ac:dyDescent="0.25">
      <c r="A135" s="31" t="str">
        <f>IFERROR(INDEX('G-1 All Habitats'!$AG$3:$AG$15,MATCH(E135,'G-1 All Habitats'!$AF$3:$AF$15,0)),"")</f>
        <v/>
      </c>
      <c r="B135" s="31" t="str">
        <f>IFERROR(INDEX('G-8 Condition Look up'!$I$4:$I$130,MATCH(G135,'G-8 Condition Look up'!$A$4:$A$130,0)),"")</f>
        <v/>
      </c>
      <c r="D135" s="141">
        <v>125</v>
      </c>
      <c r="E135" s="203"/>
      <c r="F135" s="203"/>
      <c r="G135" s="250" t="str">
        <f>IFERROR(INDEX('G-1 All Habitats'!$B$3:$B$129,MATCH(F135,'G-1 All Habitats'!$A$3:$A$129,0)),"")</f>
        <v/>
      </c>
      <c r="H135" s="172"/>
      <c r="I135" s="498" t="str">
        <f>IF(G135="","",VLOOKUP(G135,'G-1 All Habitats'!$B$2:$M$129,10,FALSE))</f>
        <v/>
      </c>
      <c r="J135" s="499" t="str">
        <f>IFERROR(VLOOKUP(I135,'G-1 All Habitats'!$V$3:$W$7,2,FALSE),"")</f>
        <v/>
      </c>
      <c r="K135" s="145"/>
      <c r="L135" s="499" t="str">
        <f>IFERROR(INDEX('G-8 Condition Look up'!$A$3:$H$130,MATCH(G135,'G-8 Condition Look up'!$A$3:$A$130,0),MATCH(K135,'G-8 Condition Look up'!$A$3:$H$3,0)),"")</f>
        <v/>
      </c>
      <c r="M135" s="154"/>
      <c r="N135" s="520" t="str">
        <f>IF(M135="","",IF(VLOOKUP(M135,'G-3 Multipliers'!$L$3:$N$6,2,FALSE)=0,"Spatial Data Missing ⚠",VLOOKUP(M135,'G-3 Multipliers'!$L$3:$N$6,2,FALSE)))</f>
        <v/>
      </c>
      <c r="O135" s="524" t="str">
        <f>IF(M135="","",IF(VLOOKUP(M135,'G-3 Multipliers'!$L$3:$N$6,3,FALSE)=0,"Spatial Data Missing ⚠",VLOOKUP(M135,'G-3 Multipliers'!$L$3:$N$6,3,FALSE)))</f>
        <v/>
      </c>
      <c r="P135" s="506" t="str">
        <f>IFERROR(VLOOKUP(G135,'G-1 All Habitats'!$B$2:$M$129,12,FALSE),"")</f>
        <v/>
      </c>
      <c r="Q135" s="513" t="str">
        <f>IFERROR(IF(P135="","",IF(AND(P135='G-1 All Habitats'!$X$3,T135&gt;0),U135+V135,IF(AND(P135='G-1 All Habitats'!$X$3,S135&gt;0),U135+V135,IF(AND(P135='G-1 All Habitats'!$X$3,AC135&gt;0),"Any Loss Unacceptable",IF(AND(P135='G-1 All Habitats'!$X$3,W135&gt;0),"Any Loss Unacceptable",H135*J135*L135*O135))))),"Check Data ⚠")</f>
        <v/>
      </c>
      <c r="R135" s="50"/>
      <c r="S135" s="71"/>
      <c r="T135" s="72"/>
      <c r="U135" s="511" t="str">
        <f t="shared" si="8"/>
        <v/>
      </c>
      <c r="V135" s="511" t="str">
        <f t="shared" si="9"/>
        <v/>
      </c>
      <c r="W135" s="511"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545" t="str">
        <f>IFERROR(IF(H135="","",IF(H135-S135-T135=0&lt;0,"Error in Areas ▲",IF(S135+T135&gt;H135,"Error in Areas ▲",IF(AND(P135='G-1 All Habitats'!$X$3,Y135="Yes"),"Alternative Compensation",IF(W135=0,0,IF(P135='G-1 All Habitats'!$X$3,"Unacceptable Loss",Q135-U135-V135)))))),"Check Data ⚠")</f>
        <v/>
      </c>
      <c r="Y135" s="72"/>
      <c r="Z135" s="151"/>
      <c r="AA135" s="152"/>
      <c r="AC135" s="251" t="str">
        <f>IF(P135="","",IF(P135='G-1 All Habitats'!$X$3,H135-S135-T135,"None"))</f>
        <v/>
      </c>
      <c r="AD135" s="252" t="str">
        <f t="shared" si="10"/>
        <v/>
      </c>
      <c r="AF135" s="156" t="str">
        <f t="shared" si="6"/>
        <v/>
      </c>
      <c r="AG135" s="156" t="str">
        <f t="shared" si="7"/>
        <v/>
      </c>
      <c r="AH135" s="156" t="str">
        <f>IF(I135="","",IF(#REF!&gt;0,TRUE,FALSE))</f>
        <v/>
      </c>
      <c r="AI135" s="156">
        <v>125</v>
      </c>
      <c r="AJ135" s="156"/>
      <c r="AK135" s="156" t="str">
        <f t="array" ref="AK135">IFERROR(INDEX($AI$11:$AI$259, MATCH(0, IF(TRUE=$AF$11:$AF$259, COUNTIF($AK$10:$AK134, $AI$11:$AI$259), ""), 0)),"")</f>
        <v/>
      </c>
      <c r="AL135" s="156" t="str">
        <f t="array" ref="AL135">IFERROR(INDEX($AI$11:$AI$259, MATCH(0, IF(TRUE=$AG$11:$AG$259, COUNTIF($AL$10:$AL134, $AI$11:$AI$259), ""), 0)),"")</f>
        <v/>
      </c>
      <c r="AM135" s="156" t="str">
        <f t="array" ref="AM135">IFERROR(INDEX($AI$11:$AI$259, MATCH(0, IF(TRUE=$AH$11:$AH$259, COUNTIF($AM$10:$AM134, $AI$11:$AI$259), ""), 0)),"")</f>
        <v/>
      </c>
      <c r="AQ135" s="31">
        <f t="shared" si="11"/>
        <v>0</v>
      </c>
    </row>
    <row r="136" spans="1:43" x14ac:dyDescent="0.25">
      <c r="A136" s="31" t="str">
        <f>IFERROR(INDEX('G-1 All Habitats'!$AG$3:$AG$15,MATCH(E136,'G-1 All Habitats'!$AF$3:$AF$15,0)),"")</f>
        <v/>
      </c>
      <c r="B136" s="31" t="str">
        <f>IFERROR(INDEX('G-8 Condition Look up'!$I$4:$I$130,MATCH(G136,'G-8 Condition Look up'!$A$4:$A$130,0)),"")</f>
        <v/>
      </c>
      <c r="D136" s="141">
        <v>126</v>
      </c>
      <c r="E136" s="203"/>
      <c r="F136" s="203"/>
      <c r="G136" s="250" t="str">
        <f>IFERROR(INDEX('G-1 All Habitats'!$B$3:$B$129,MATCH(F136,'G-1 All Habitats'!$A$3:$A$129,0)),"")</f>
        <v/>
      </c>
      <c r="H136" s="172"/>
      <c r="I136" s="498" t="str">
        <f>IF(G136="","",VLOOKUP(G136,'G-1 All Habitats'!$B$2:$M$129,10,FALSE))</f>
        <v/>
      </c>
      <c r="J136" s="499" t="str">
        <f>IFERROR(VLOOKUP(I136,'G-1 All Habitats'!$V$3:$W$7,2,FALSE),"")</f>
        <v/>
      </c>
      <c r="K136" s="145"/>
      <c r="L136" s="499" t="str">
        <f>IFERROR(INDEX('G-8 Condition Look up'!$A$3:$H$130,MATCH(G136,'G-8 Condition Look up'!$A$3:$A$130,0),MATCH(K136,'G-8 Condition Look up'!$A$3:$H$3,0)),"")</f>
        <v/>
      </c>
      <c r="M136" s="154"/>
      <c r="N136" s="520" t="str">
        <f>IF(M136="","",IF(VLOOKUP(M136,'G-3 Multipliers'!$L$3:$N$6,2,FALSE)=0,"Spatial Data Missing ⚠",VLOOKUP(M136,'G-3 Multipliers'!$L$3:$N$6,2,FALSE)))</f>
        <v/>
      </c>
      <c r="O136" s="524" t="str">
        <f>IF(M136="","",IF(VLOOKUP(M136,'G-3 Multipliers'!$L$3:$N$6,3,FALSE)=0,"Spatial Data Missing ⚠",VLOOKUP(M136,'G-3 Multipliers'!$L$3:$N$6,3,FALSE)))</f>
        <v/>
      </c>
      <c r="P136" s="506" t="str">
        <f>IFERROR(VLOOKUP(G136,'G-1 All Habitats'!$B$2:$M$129,12,FALSE),"")</f>
        <v/>
      </c>
      <c r="Q136" s="513" t="str">
        <f>IFERROR(IF(P136="","",IF(AND(P136='G-1 All Habitats'!$X$3,T136&gt;0),U136+V136,IF(AND(P136='G-1 All Habitats'!$X$3,S136&gt;0),U136+V136,IF(AND(P136='G-1 All Habitats'!$X$3,AC136&gt;0),"Any Loss Unacceptable",IF(AND(P136='G-1 All Habitats'!$X$3,W136&gt;0),"Any Loss Unacceptable",H136*J136*L136*O136))))),"Check Data ⚠")</f>
        <v/>
      </c>
      <c r="R136" s="50"/>
      <c r="S136" s="71"/>
      <c r="T136" s="72"/>
      <c r="U136" s="511" t="str">
        <f t="shared" si="8"/>
        <v/>
      </c>
      <c r="V136" s="511" t="str">
        <f t="shared" si="9"/>
        <v/>
      </c>
      <c r="W136" s="511"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545" t="str">
        <f>IFERROR(IF(H136="","",IF(H136-S136-T136=0&lt;0,"Error in Areas ▲",IF(S136+T136&gt;H136,"Error in Areas ▲",IF(AND(P136='G-1 All Habitats'!$X$3,Y136="Yes"),"Alternative Compensation",IF(W136=0,0,IF(P136='G-1 All Habitats'!$X$3,"Unacceptable Loss",Q136-U136-V136)))))),"Check Data ⚠")</f>
        <v/>
      </c>
      <c r="Y136" s="72"/>
      <c r="Z136" s="151"/>
      <c r="AA136" s="152"/>
      <c r="AC136" s="251" t="str">
        <f>IF(P136="","",IF(P136='G-1 All Habitats'!$X$3,H136-S136-T136,"None"))</f>
        <v/>
      </c>
      <c r="AD136" s="252" t="str">
        <f t="shared" si="10"/>
        <v/>
      </c>
      <c r="AF136" s="156" t="str">
        <f t="shared" si="6"/>
        <v/>
      </c>
      <c r="AG136" s="156" t="str">
        <f t="shared" si="7"/>
        <v/>
      </c>
      <c r="AH136" s="156" t="str">
        <f>IF(I136="","",IF(#REF!&gt;0,TRUE,FALSE))</f>
        <v/>
      </c>
      <c r="AI136" s="156">
        <v>126</v>
      </c>
      <c r="AJ136" s="156"/>
      <c r="AK136" s="156" t="str">
        <f t="array" ref="AK136">IFERROR(INDEX($AI$11:$AI$259, MATCH(0, IF(TRUE=$AF$11:$AF$259, COUNTIF($AK$10:$AK135, $AI$11:$AI$259), ""), 0)),"")</f>
        <v/>
      </c>
      <c r="AL136" s="156" t="str">
        <f t="array" ref="AL136">IFERROR(INDEX($AI$11:$AI$259, MATCH(0, IF(TRUE=$AG$11:$AG$259, COUNTIF($AL$10:$AL135, $AI$11:$AI$259), ""), 0)),"")</f>
        <v/>
      </c>
      <c r="AM136" s="156" t="str">
        <f t="array" ref="AM136">IFERROR(INDEX($AI$11:$AI$259, MATCH(0, IF(TRUE=$AH$11:$AH$259, COUNTIF($AM$10:$AM135, $AI$11:$AI$259), ""), 0)),"")</f>
        <v/>
      </c>
      <c r="AQ136" s="31">
        <f t="shared" si="11"/>
        <v>0</v>
      </c>
    </row>
    <row r="137" spans="1:43" x14ac:dyDescent="0.25">
      <c r="A137" s="31" t="str">
        <f>IFERROR(INDEX('G-1 All Habitats'!$AG$3:$AG$15,MATCH(E137,'G-1 All Habitats'!$AF$3:$AF$15,0)),"")</f>
        <v/>
      </c>
      <c r="B137" s="31" t="str">
        <f>IFERROR(INDEX('G-8 Condition Look up'!$I$4:$I$130,MATCH(G137,'G-8 Condition Look up'!$A$4:$A$130,0)),"")</f>
        <v/>
      </c>
      <c r="D137" s="141">
        <v>127</v>
      </c>
      <c r="E137" s="203"/>
      <c r="F137" s="203"/>
      <c r="G137" s="250" t="str">
        <f>IFERROR(INDEX('G-1 All Habitats'!$B$3:$B$129,MATCH(F137,'G-1 All Habitats'!$A$3:$A$129,0)),"")</f>
        <v/>
      </c>
      <c r="H137" s="172"/>
      <c r="I137" s="498" t="str">
        <f>IF(G137="","",VLOOKUP(G137,'G-1 All Habitats'!$B$2:$M$129,10,FALSE))</f>
        <v/>
      </c>
      <c r="J137" s="499" t="str">
        <f>IFERROR(VLOOKUP(I137,'G-1 All Habitats'!$V$3:$W$7,2,FALSE),"")</f>
        <v/>
      </c>
      <c r="K137" s="145"/>
      <c r="L137" s="499" t="str">
        <f>IFERROR(INDEX('G-8 Condition Look up'!$A$3:$H$130,MATCH(G137,'G-8 Condition Look up'!$A$3:$A$130,0),MATCH(K137,'G-8 Condition Look up'!$A$3:$H$3,0)),"")</f>
        <v/>
      </c>
      <c r="M137" s="154"/>
      <c r="N137" s="520" t="str">
        <f>IF(M137="","",IF(VLOOKUP(M137,'G-3 Multipliers'!$L$3:$N$6,2,FALSE)=0,"Spatial Data Missing ⚠",VLOOKUP(M137,'G-3 Multipliers'!$L$3:$N$6,2,FALSE)))</f>
        <v/>
      </c>
      <c r="O137" s="524" t="str">
        <f>IF(M137="","",IF(VLOOKUP(M137,'G-3 Multipliers'!$L$3:$N$6,3,FALSE)=0,"Spatial Data Missing ⚠",VLOOKUP(M137,'G-3 Multipliers'!$L$3:$N$6,3,FALSE)))</f>
        <v/>
      </c>
      <c r="P137" s="506" t="str">
        <f>IFERROR(VLOOKUP(G137,'G-1 All Habitats'!$B$2:$M$129,12,FALSE),"")</f>
        <v/>
      </c>
      <c r="Q137" s="513" t="str">
        <f>IFERROR(IF(P137="","",IF(AND(P137='G-1 All Habitats'!$X$3,T137&gt;0),U137+V137,IF(AND(P137='G-1 All Habitats'!$X$3,S137&gt;0),U137+V137,IF(AND(P137='G-1 All Habitats'!$X$3,AC137&gt;0),"Any Loss Unacceptable",IF(AND(P137='G-1 All Habitats'!$X$3,W137&gt;0),"Any Loss Unacceptable",H137*J137*L137*O137))))),"Check Data ⚠")</f>
        <v/>
      </c>
      <c r="R137" s="50"/>
      <c r="S137" s="71"/>
      <c r="T137" s="72"/>
      <c r="U137" s="511" t="str">
        <f t="shared" si="8"/>
        <v/>
      </c>
      <c r="V137" s="511" t="str">
        <f t="shared" si="9"/>
        <v/>
      </c>
      <c r="W137" s="511"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545" t="str">
        <f>IFERROR(IF(H137="","",IF(H137-S137-T137=0&lt;0,"Error in Areas ▲",IF(S137+T137&gt;H137,"Error in Areas ▲",IF(AND(P137='G-1 All Habitats'!$X$3,Y137="Yes"),"Alternative Compensation",IF(W137=0,0,IF(P137='G-1 All Habitats'!$X$3,"Unacceptable Loss",Q137-U137-V137)))))),"Check Data ⚠")</f>
        <v/>
      </c>
      <c r="Y137" s="72"/>
      <c r="Z137" s="151"/>
      <c r="AA137" s="152"/>
      <c r="AC137" s="251" t="str">
        <f>IF(P137="","",IF(P137='G-1 All Habitats'!$X$3,H137-S137-T137,"None"))</f>
        <v/>
      </c>
      <c r="AD137" s="252" t="str">
        <f t="shared" si="10"/>
        <v/>
      </c>
      <c r="AF137" s="156" t="str">
        <f t="shared" si="6"/>
        <v/>
      </c>
      <c r="AG137" s="156" t="str">
        <f t="shared" si="7"/>
        <v/>
      </c>
      <c r="AH137" s="156" t="str">
        <f>IF(I137="","",IF(#REF!&gt;0,TRUE,FALSE))</f>
        <v/>
      </c>
      <c r="AI137" s="156">
        <v>127</v>
      </c>
      <c r="AJ137" s="156"/>
      <c r="AK137" s="156" t="str">
        <f t="array" ref="AK137">IFERROR(INDEX($AI$11:$AI$259, MATCH(0, IF(TRUE=$AF$11:$AF$259, COUNTIF($AK$10:$AK136, $AI$11:$AI$259), ""), 0)),"")</f>
        <v/>
      </c>
      <c r="AL137" s="156" t="str">
        <f t="array" ref="AL137">IFERROR(INDEX($AI$11:$AI$259, MATCH(0, IF(TRUE=$AG$11:$AG$259, COUNTIF($AL$10:$AL136, $AI$11:$AI$259), ""), 0)),"")</f>
        <v/>
      </c>
      <c r="AM137" s="156" t="str">
        <f t="array" ref="AM137">IFERROR(INDEX($AI$11:$AI$259, MATCH(0, IF(TRUE=$AH$11:$AH$259, COUNTIF($AM$10:$AM136, $AI$11:$AI$259), ""), 0)),"")</f>
        <v/>
      </c>
      <c r="AQ137" s="31">
        <f t="shared" si="11"/>
        <v>0</v>
      </c>
    </row>
    <row r="138" spans="1:43" x14ac:dyDescent="0.25">
      <c r="A138" s="31" t="str">
        <f>IFERROR(INDEX('G-1 All Habitats'!$AG$3:$AG$15,MATCH(E138,'G-1 All Habitats'!$AF$3:$AF$15,0)),"")</f>
        <v/>
      </c>
      <c r="B138" s="31" t="str">
        <f>IFERROR(INDEX('G-8 Condition Look up'!$I$4:$I$130,MATCH(G138,'G-8 Condition Look up'!$A$4:$A$130,0)),"")</f>
        <v/>
      </c>
      <c r="D138" s="141">
        <v>128</v>
      </c>
      <c r="E138" s="203"/>
      <c r="F138" s="203"/>
      <c r="G138" s="250" t="str">
        <f>IFERROR(INDEX('G-1 All Habitats'!$B$3:$B$129,MATCH(F138,'G-1 All Habitats'!$A$3:$A$129,0)),"")</f>
        <v/>
      </c>
      <c r="H138" s="172"/>
      <c r="I138" s="498" t="str">
        <f>IF(G138="","",VLOOKUP(G138,'G-1 All Habitats'!$B$2:$M$129,10,FALSE))</f>
        <v/>
      </c>
      <c r="J138" s="499" t="str">
        <f>IFERROR(VLOOKUP(I138,'G-1 All Habitats'!$V$3:$W$7,2,FALSE),"")</f>
        <v/>
      </c>
      <c r="K138" s="145"/>
      <c r="L138" s="499" t="str">
        <f>IFERROR(INDEX('G-8 Condition Look up'!$A$3:$H$130,MATCH(G138,'G-8 Condition Look up'!$A$3:$A$130,0),MATCH(K138,'G-8 Condition Look up'!$A$3:$H$3,0)),"")</f>
        <v/>
      </c>
      <c r="M138" s="154"/>
      <c r="N138" s="520" t="str">
        <f>IF(M138="","",IF(VLOOKUP(M138,'G-3 Multipliers'!$L$3:$N$6,2,FALSE)=0,"Spatial Data Missing ⚠",VLOOKUP(M138,'G-3 Multipliers'!$L$3:$N$6,2,FALSE)))</f>
        <v/>
      </c>
      <c r="O138" s="524" t="str">
        <f>IF(M138="","",IF(VLOOKUP(M138,'G-3 Multipliers'!$L$3:$N$6,3,FALSE)=0,"Spatial Data Missing ⚠",VLOOKUP(M138,'G-3 Multipliers'!$L$3:$N$6,3,FALSE)))</f>
        <v/>
      </c>
      <c r="P138" s="506" t="str">
        <f>IFERROR(VLOOKUP(G138,'G-1 All Habitats'!$B$2:$M$129,12,FALSE),"")</f>
        <v/>
      </c>
      <c r="Q138" s="513" t="str">
        <f>IFERROR(IF(P138="","",IF(AND(P138='G-1 All Habitats'!$X$3,T138&gt;0),U138+V138,IF(AND(P138='G-1 All Habitats'!$X$3,S138&gt;0),U138+V138,IF(AND(P138='G-1 All Habitats'!$X$3,AC138&gt;0),"Any Loss Unacceptable",IF(AND(P138='G-1 All Habitats'!$X$3,W138&gt;0),"Any Loss Unacceptable",H138*J138*L138*O138))))),"Check Data ⚠")</f>
        <v/>
      </c>
      <c r="R138" s="50"/>
      <c r="S138" s="71"/>
      <c r="T138" s="72"/>
      <c r="U138" s="511" t="str">
        <f t="shared" si="8"/>
        <v/>
      </c>
      <c r="V138" s="511" t="str">
        <f t="shared" si="9"/>
        <v/>
      </c>
      <c r="W138" s="511"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545" t="str">
        <f>IFERROR(IF(H138="","",IF(H138-S138-T138=0&lt;0,"Error in Areas ▲",IF(S138+T138&gt;H138,"Error in Areas ▲",IF(AND(P138='G-1 All Habitats'!$X$3,Y138="Yes"),"Alternative Compensation",IF(W138=0,0,IF(P138='G-1 All Habitats'!$X$3,"Unacceptable Loss",Q138-U138-V138)))))),"Check Data ⚠")</f>
        <v/>
      </c>
      <c r="Y138" s="72"/>
      <c r="Z138" s="151"/>
      <c r="AA138" s="152"/>
      <c r="AC138" s="251" t="str">
        <f>IF(P138="","",IF(P138='G-1 All Habitats'!$X$3,H138-S138-T138,"None"))</f>
        <v/>
      </c>
      <c r="AD138" s="252" t="str">
        <f t="shared" si="10"/>
        <v/>
      </c>
      <c r="AF138" s="156" t="str">
        <f t="shared" si="6"/>
        <v/>
      </c>
      <c r="AG138" s="156" t="str">
        <f t="shared" si="7"/>
        <v/>
      </c>
      <c r="AH138" s="156" t="str">
        <f>IF(I138="","",IF(#REF!&gt;0,TRUE,FALSE))</f>
        <v/>
      </c>
      <c r="AI138" s="156">
        <v>128</v>
      </c>
      <c r="AJ138" s="156"/>
      <c r="AK138" s="156" t="str">
        <f t="array" ref="AK138">IFERROR(INDEX($AI$11:$AI$259, MATCH(0, IF(TRUE=$AF$11:$AF$259, COUNTIF($AK$10:$AK137, $AI$11:$AI$259), ""), 0)),"")</f>
        <v/>
      </c>
      <c r="AL138" s="156" t="str">
        <f t="array" ref="AL138">IFERROR(INDEX($AI$11:$AI$259, MATCH(0, IF(TRUE=$AG$11:$AG$259, COUNTIF($AL$10:$AL137, $AI$11:$AI$259), ""), 0)),"")</f>
        <v/>
      </c>
      <c r="AM138" s="156" t="str">
        <f t="array" ref="AM138">IFERROR(INDEX($AI$11:$AI$259, MATCH(0, IF(TRUE=$AH$11:$AH$259, COUNTIF($AM$10:$AM137, $AI$11:$AI$259), ""), 0)),"")</f>
        <v/>
      </c>
      <c r="AQ138" s="31">
        <f t="shared" si="11"/>
        <v>0</v>
      </c>
    </row>
    <row r="139" spans="1:43" x14ac:dyDescent="0.25">
      <c r="A139" s="31" t="str">
        <f>IFERROR(INDEX('G-1 All Habitats'!$AG$3:$AG$15,MATCH(E139,'G-1 All Habitats'!$AF$3:$AF$15,0)),"")</f>
        <v/>
      </c>
      <c r="B139" s="31" t="str">
        <f>IFERROR(INDEX('G-8 Condition Look up'!$I$4:$I$130,MATCH(G139,'G-8 Condition Look up'!$A$4:$A$130,0)),"")</f>
        <v/>
      </c>
      <c r="D139" s="141">
        <v>129</v>
      </c>
      <c r="E139" s="203"/>
      <c r="F139" s="203"/>
      <c r="G139" s="250" t="str">
        <f>IFERROR(INDEX('G-1 All Habitats'!$B$3:$B$129,MATCH(F139,'G-1 All Habitats'!$A$3:$A$129,0)),"")</f>
        <v/>
      </c>
      <c r="H139" s="172"/>
      <c r="I139" s="498" t="str">
        <f>IF(G139="","",VLOOKUP(G139,'G-1 All Habitats'!$B$2:$M$129,10,FALSE))</f>
        <v/>
      </c>
      <c r="J139" s="499" t="str">
        <f>IFERROR(VLOOKUP(I139,'G-1 All Habitats'!$V$3:$W$7,2,FALSE),"")</f>
        <v/>
      </c>
      <c r="K139" s="145"/>
      <c r="L139" s="499" t="str">
        <f>IFERROR(INDEX('G-8 Condition Look up'!$A$3:$H$130,MATCH(G139,'G-8 Condition Look up'!$A$3:$A$130,0),MATCH(K139,'G-8 Condition Look up'!$A$3:$H$3,0)),"")</f>
        <v/>
      </c>
      <c r="M139" s="154"/>
      <c r="N139" s="520" t="str">
        <f>IF(M139="","",IF(VLOOKUP(M139,'G-3 Multipliers'!$L$3:$N$6,2,FALSE)=0,"Spatial Data Missing ⚠",VLOOKUP(M139,'G-3 Multipliers'!$L$3:$N$6,2,FALSE)))</f>
        <v/>
      </c>
      <c r="O139" s="524" t="str">
        <f>IF(M139="","",IF(VLOOKUP(M139,'G-3 Multipliers'!$L$3:$N$6,3,FALSE)=0,"Spatial Data Missing ⚠",VLOOKUP(M139,'G-3 Multipliers'!$L$3:$N$6,3,FALSE)))</f>
        <v/>
      </c>
      <c r="P139" s="506" t="str">
        <f>IFERROR(VLOOKUP(G139,'G-1 All Habitats'!$B$2:$M$129,12,FALSE),"")</f>
        <v/>
      </c>
      <c r="Q139" s="513" t="str">
        <f>IFERROR(IF(P139="","",IF(AND(P139='G-1 All Habitats'!$X$3,T139&gt;0),U139+V139,IF(AND(P139='G-1 All Habitats'!$X$3,S139&gt;0),U139+V139,IF(AND(P139='G-1 All Habitats'!$X$3,AC139&gt;0),"Any Loss Unacceptable",IF(AND(P139='G-1 All Habitats'!$X$3,W139&gt;0),"Any Loss Unacceptable",H139*J139*L139*O139))))),"Check Data ⚠")</f>
        <v/>
      </c>
      <c r="R139" s="50"/>
      <c r="S139" s="71"/>
      <c r="T139" s="72"/>
      <c r="U139" s="511" t="str">
        <f t="shared" si="8"/>
        <v/>
      </c>
      <c r="V139" s="511" t="str">
        <f t="shared" si="9"/>
        <v/>
      </c>
      <c r="W139" s="511"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545" t="str">
        <f>IFERROR(IF(H139="","",IF(H139-S139-T139=0&lt;0,"Error in Areas ▲",IF(S139+T139&gt;H139,"Error in Areas ▲",IF(AND(P139='G-1 All Habitats'!$X$3,Y139="Yes"),"Alternative Compensation",IF(W139=0,0,IF(P139='G-1 All Habitats'!$X$3,"Unacceptable Loss",Q139-U139-V139)))))),"Check Data ⚠")</f>
        <v/>
      </c>
      <c r="Y139" s="72"/>
      <c r="Z139" s="151"/>
      <c r="AA139" s="152"/>
      <c r="AC139" s="251" t="str">
        <f>IF(P139="","",IF(P139='G-1 All Habitats'!$X$3,H139-S139-T139,"None"))</f>
        <v/>
      </c>
      <c r="AD139" s="252" t="str">
        <f t="shared" si="10"/>
        <v/>
      </c>
      <c r="AF139" s="156" t="str">
        <f t="shared" ref="AF139:AF202" si="12">IF(G139="","",IF(S139&gt;0,TRUE,FALSE))</f>
        <v/>
      </c>
      <c r="AG139" s="156" t="str">
        <f t="shared" ref="AG139:AG202" si="13">IF(H139="","",IF(T139&gt;0,TRUE,FALSE))</f>
        <v/>
      </c>
      <c r="AH139" s="156" t="str">
        <f>IF(I139="","",IF(#REF!&gt;0,TRUE,FALSE))</f>
        <v/>
      </c>
      <c r="AI139" s="156">
        <v>129</v>
      </c>
      <c r="AJ139" s="156"/>
      <c r="AK139" s="156" t="str">
        <f t="array" ref="AK139">IFERROR(INDEX($AI$11:$AI$259, MATCH(0, IF(TRUE=$AF$11:$AF$259, COUNTIF($AK$10:$AK138, $AI$11:$AI$259), ""), 0)),"")</f>
        <v/>
      </c>
      <c r="AL139" s="156" t="str">
        <f t="array" ref="AL139">IFERROR(INDEX($AI$11:$AI$259, MATCH(0, IF(TRUE=$AG$11:$AG$259, COUNTIF($AL$10:$AL138, $AI$11:$AI$259), ""), 0)),"")</f>
        <v/>
      </c>
      <c r="AM139" s="156" t="str">
        <f t="array" ref="AM139">IFERROR(INDEX($AI$11:$AI$259, MATCH(0, IF(TRUE=$AH$11:$AH$259, COUNTIF($AM$10:$AM138, $AI$11:$AI$259), ""), 0)),"")</f>
        <v/>
      </c>
      <c r="AQ139" s="31">
        <f t="shared" si="11"/>
        <v>0</v>
      </c>
    </row>
    <row r="140" spans="1:43" x14ac:dyDescent="0.25">
      <c r="A140" s="31" t="str">
        <f>IFERROR(INDEX('G-1 All Habitats'!$AG$3:$AG$15,MATCH(E140,'G-1 All Habitats'!$AF$3:$AF$15,0)),"")</f>
        <v/>
      </c>
      <c r="B140" s="31" t="str">
        <f>IFERROR(INDEX('G-8 Condition Look up'!$I$4:$I$130,MATCH(G140,'G-8 Condition Look up'!$A$4:$A$130,0)),"")</f>
        <v/>
      </c>
      <c r="D140" s="141">
        <v>130</v>
      </c>
      <c r="E140" s="203"/>
      <c r="F140" s="203"/>
      <c r="G140" s="250" t="str">
        <f>IFERROR(INDEX('G-1 All Habitats'!$B$3:$B$129,MATCH(F140,'G-1 All Habitats'!$A$3:$A$129,0)),"")</f>
        <v/>
      </c>
      <c r="H140" s="172"/>
      <c r="I140" s="498" t="str">
        <f>IF(G140="","",VLOOKUP(G140,'G-1 All Habitats'!$B$2:$M$129,10,FALSE))</f>
        <v/>
      </c>
      <c r="J140" s="499" t="str">
        <f>IFERROR(VLOOKUP(I140,'G-1 All Habitats'!$V$3:$W$7,2,FALSE),"")</f>
        <v/>
      </c>
      <c r="K140" s="145"/>
      <c r="L140" s="499" t="str">
        <f>IFERROR(INDEX('G-8 Condition Look up'!$A$3:$H$130,MATCH(G140,'G-8 Condition Look up'!$A$3:$A$130,0),MATCH(K140,'G-8 Condition Look up'!$A$3:$H$3,0)),"")</f>
        <v/>
      </c>
      <c r="M140" s="154"/>
      <c r="N140" s="520" t="str">
        <f>IF(M140="","",IF(VLOOKUP(M140,'G-3 Multipliers'!$L$3:$N$6,2,FALSE)=0,"Spatial Data Missing ⚠",VLOOKUP(M140,'G-3 Multipliers'!$L$3:$N$6,2,FALSE)))</f>
        <v/>
      </c>
      <c r="O140" s="524" t="str">
        <f>IF(M140="","",IF(VLOOKUP(M140,'G-3 Multipliers'!$L$3:$N$6,3,FALSE)=0,"Spatial Data Missing ⚠",VLOOKUP(M140,'G-3 Multipliers'!$L$3:$N$6,3,FALSE)))</f>
        <v/>
      </c>
      <c r="P140" s="506" t="str">
        <f>IFERROR(VLOOKUP(G140,'G-1 All Habitats'!$B$2:$M$129,12,FALSE),"")</f>
        <v/>
      </c>
      <c r="Q140" s="513" t="str">
        <f>IFERROR(IF(P140="","",IF(AND(P140='G-1 All Habitats'!$X$3,T140&gt;0),U140+V140,IF(AND(P140='G-1 All Habitats'!$X$3,S140&gt;0),U140+V140,IF(AND(P140='G-1 All Habitats'!$X$3,AC140&gt;0),"Any Loss Unacceptable",IF(AND(P140='G-1 All Habitats'!$X$3,W140&gt;0),"Any Loss Unacceptable",H140*J140*L140*O140))))),"Check Data ⚠")</f>
        <v/>
      </c>
      <c r="R140" s="50"/>
      <c r="S140" s="71"/>
      <c r="T140" s="72"/>
      <c r="U140" s="511" t="str">
        <f t="shared" ref="U140:U203" si="14">IFERROR(S140*J140*L140*O140,"")</f>
        <v/>
      </c>
      <c r="V140" s="511" t="str">
        <f t="shared" ref="V140:V203" si="15">IFERROR(T140*J140*L140*O140,"")</f>
        <v/>
      </c>
      <c r="W140" s="511"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545" t="str">
        <f>IFERROR(IF(H140="","",IF(H140-S140-T140=0&lt;0,"Error in Areas ▲",IF(S140+T140&gt;H140,"Error in Areas ▲",IF(AND(P140='G-1 All Habitats'!$X$3,Y140="Yes"),"Alternative Compensation",IF(W140=0,0,IF(P140='G-1 All Habitats'!$X$3,"Unacceptable Loss",Q140-U140-V140)))))),"Check Data ⚠")</f>
        <v/>
      </c>
      <c r="Y140" s="72"/>
      <c r="Z140" s="151"/>
      <c r="AA140" s="152"/>
      <c r="AC140" s="251" t="str">
        <f>IF(P140="","",IF(P140='G-1 All Habitats'!$X$3,H140-S140-T140,"None"))</f>
        <v/>
      </c>
      <c r="AD140" s="252" t="str">
        <f t="shared" ref="AD140:AD203" si="16">IFERROR(AC140*J140*L140*O140,IF(P140="","","None"))</f>
        <v/>
      </c>
      <c r="AF140" s="156" t="str">
        <f t="shared" si="12"/>
        <v/>
      </c>
      <c r="AG140" s="156" t="str">
        <f t="shared" si="13"/>
        <v/>
      </c>
      <c r="AH140" s="156" t="str">
        <f>IF(I140="","",IF(#REF!&gt;0,TRUE,FALSE))</f>
        <v/>
      </c>
      <c r="AI140" s="156">
        <v>130</v>
      </c>
      <c r="AJ140" s="156"/>
      <c r="AK140" s="156" t="str">
        <f t="array" ref="AK140">IFERROR(INDEX($AI$11:$AI$259, MATCH(0, IF(TRUE=$AF$11:$AF$259, COUNTIF($AK$10:$AK139, $AI$11:$AI$259), ""), 0)),"")</f>
        <v/>
      </c>
      <c r="AL140" s="156" t="str">
        <f t="array" ref="AL140">IFERROR(INDEX($AI$11:$AI$259, MATCH(0, IF(TRUE=$AG$11:$AG$259, COUNTIF($AL$10:$AL139, $AI$11:$AI$259), ""), 0)),"")</f>
        <v/>
      </c>
      <c r="AM140" s="156" t="str">
        <f t="array" ref="AM140">IFERROR(INDEX($AI$11:$AI$259, MATCH(0, IF(TRUE=$AH$11:$AH$259, COUNTIF($AM$10:$AM139, $AI$11:$AI$259), ""), 0)),"")</f>
        <v/>
      </c>
      <c r="AQ140" s="31">
        <f t="shared" ref="AQ140:AQ203" si="17">IF(X140="Unacceptable Loss",1,0)</f>
        <v>0</v>
      </c>
    </row>
    <row r="141" spans="1:43" x14ac:dyDescent="0.25">
      <c r="A141" s="31" t="str">
        <f>IFERROR(INDEX('G-1 All Habitats'!$AG$3:$AG$15,MATCH(E141,'G-1 All Habitats'!$AF$3:$AF$15,0)),"")</f>
        <v/>
      </c>
      <c r="B141" s="31" t="str">
        <f>IFERROR(INDEX('G-8 Condition Look up'!$I$4:$I$130,MATCH(G141,'G-8 Condition Look up'!$A$4:$A$130,0)),"")</f>
        <v/>
      </c>
      <c r="D141" s="141">
        <v>131</v>
      </c>
      <c r="E141" s="203"/>
      <c r="F141" s="203"/>
      <c r="G141" s="250" t="str">
        <f>IFERROR(INDEX('G-1 All Habitats'!$B$3:$B$129,MATCH(F141,'G-1 All Habitats'!$A$3:$A$129,0)),"")</f>
        <v/>
      </c>
      <c r="H141" s="172"/>
      <c r="I141" s="498" t="str">
        <f>IF(G141="","",VLOOKUP(G141,'G-1 All Habitats'!$B$2:$M$129,10,FALSE))</f>
        <v/>
      </c>
      <c r="J141" s="499" t="str">
        <f>IFERROR(VLOOKUP(I141,'G-1 All Habitats'!$V$3:$W$7,2,FALSE),"")</f>
        <v/>
      </c>
      <c r="K141" s="145"/>
      <c r="L141" s="499" t="str">
        <f>IFERROR(INDEX('G-8 Condition Look up'!$A$3:$H$130,MATCH(G141,'G-8 Condition Look up'!$A$3:$A$130,0),MATCH(K141,'G-8 Condition Look up'!$A$3:$H$3,0)),"")</f>
        <v/>
      </c>
      <c r="M141" s="154"/>
      <c r="N141" s="520" t="str">
        <f>IF(M141="","",IF(VLOOKUP(M141,'G-3 Multipliers'!$L$3:$N$6,2,FALSE)=0,"Spatial Data Missing ⚠",VLOOKUP(M141,'G-3 Multipliers'!$L$3:$N$6,2,FALSE)))</f>
        <v/>
      </c>
      <c r="O141" s="524" t="str">
        <f>IF(M141="","",IF(VLOOKUP(M141,'G-3 Multipliers'!$L$3:$N$6,3,FALSE)=0,"Spatial Data Missing ⚠",VLOOKUP(M141,'G-3 Multipliers'!$L$3:$N$6,3,FALSE)))</f>
        <v/>
      </c>
      <c r="P141" s="506" t="str">
        <f>IFERROR(VLOOKUP(G141,'G-1 All Habitats'!$B$2:$M$129,12,FALSE),"")</f>
        <v/>
      </c>
      <c r="Q141" s="513" t="str">
        <f>IFERROR(IF(P141="","",IF(AND(P141='G-1 All Habitats'!$X$3,T141&gt;0),U141+V141,IF(AND(P141='G-1 All Habitats'!$X$3,S141&gt;0),U141+V141,IF(AND(P141='G-1 All Habitats'!$X$3,AC141&gt;0),"Any Loss Unacceptable",IF(AND(P141='G-1 All Habitats'!$X$3,W141&gt;0),"Any Loss Unacceptable",H141*J141*L141*O141))))),"Check Data ⚠")</f>
        <v/>
      </c>
      <c r="R141" s="50"/>
      <c r="S141" s="71"/>
      <c r="T141" s="72"/>
      <c r="U141" s="511" t="str">
        <f t="shared" si="14"/>
        <v/>
      </c>
      <c r="V141" s="511" t="str">
        <f t="shared" si="15"/>
        <v/>
      </c>
      <c r="W141" s="511"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545" t="str">
        <f>IFERROR(IF(H141="","",IF(H141-S141-T141=0&lt;0,"Error in Areas ▲",IF(S141+T141&gt;H141,"Error in Areas ▲",IF(AND(P141='G-1 All Habitats'!$X$3,Y141="Yes"),"Alternative Compensation",IF(W141=0,0,IF(P141='G-1 All Habitats'!$X$3,"Unacceptable Loss",Q141-U141-V141)))))),"Check Data ⚠")</f>
        <v/>
      </c>
      <c r="Y141" s="72"/>
      <c r="Z141" s="151"/>
      <c r="AA141" s="152"/>
      <c r="AC141" s="251" t="str">
        <f>IF(P141="","",IF(P141='G-1 All Habitats'!$X$3,H141-S141-T141,"None"))</f>
        <v/>
      </c>
      <c r="AD141" s="252" t="str">
        <f t="shared" si="16"/>
        <v/>
      </c>
      <c r="AF141" s="156" t="str">
        <f t="shared" si="12"/>
        <v/>
      </c>
      <c r="AG141" s="156" t="str">
        <f t="shared" si="13"/>
        <v/>
      </c>
      <c r="AH141" s="156" t="str">
        <f>IF(I141="","",IF(#REF!&gt;0,TRUE,FALSE))</f>
        <v/>
      </c>
      <c r="AI141" s="156">
        <v>131</v>
      </c>
      <c r="AJ141" s="156"/>
      <c r="AK141" s="156" t="str">
        <f t="array" ref="AK141">IFERROR(INDEX($AI$11:$AI$259, MATCH(0, IF(TRUE=$AF$11:$AF$259, COUNTIF($AK$10:$AK140, $AI$11:$AI$259), ""), 0)),"")</f>
        <v/>
      </c>
      <c r="AL141" s="156" t="str">
        <f t="array" ref="AL141">IFERROR(INDEX($AI$11:$AI$259, MATCH(0, IF(TRUE=$AG$11:$AG$259, COUNTIF($AL$10:$AL140, $AI$11:$AI$259), ""), 0)),"")</f>
        <v/>
      </c>
      <c r="AM141" s="156" t="str">
        <f t="array" ref="AM141">IFERROR(INDEX($AI$11:$AI$259, MATCH(0, IF(TRUE=$AH$11:$AH$259, COUNTIF($AM$10:$AM140, $AI$11:$AI$259), ""), 0)),"")</f>
        <v/>
      </c>
      <c r="AQ141" s="31">
        <f t="shared" si="17"/>
        <v>0</v>
      </c>
    </row>
    <row r="142" spans="1:43" x14ac:dyDescent="0.25">
      <c r="A142" s="31" t="str">
        <f>IFERROR(INDEX('G-1 All Habitats'!$AG$3:$AG$15,MATCH(E142,'G-1 All Habitats'!$AF$3:$AF$15,0)),"")</f>
        <v/>
      </c>
      <c r="B142" s="31" t="str">
        <f>IFERROR(INDEX('G-8 Condition Look up'!$I$4:$I$130,MATCH(G142,'G-8 Condition Look up'!$A$4:$A$130,0)),"")</f>
        <v/>
      </c>
      <c r="D142" s="141">
        <v>132</v>
      </c>
      <c r="E142" s="203"/>
      <c r="F142" s="203"/>
      <c r="G142" s="250" t="str">
        <f>IFERROR(INDEX('G-1 All Habitats'!$B$3:$B$129,MATCH(F142,'G-1 All Habitats'!$A$3:$A$129,0)),"")</f>
        <v/>
      </c>
      <c r="H142" s="172"/>
      <c r="I142" s="498" t="str">
        <f>IF(G142="","",VLOOKUP(G142,'G-1 All Habitats'!$B$2:$M$129,10,FALSE))</f>
        <v/>
      </c>
      <c r="J142" s="499" t="str">
        <f>IFERROR(VLOOKUP(I142,'G-1 All Habitats'!$V$3:$W$7,2,FALSE),"")</f>
        <v/>
      </c>
      <c r="K142" s="145"/>
      <c r="L142" s="499" t="str">
        <f>IFERROR(INDEX('G-8 Condition Look up'!$A$3:$H$130,MATCH(G142,'G-8 Condition Look up'!$A$3:$A$130,0),MATCH(K142,'G-8 Condition Look up'!$A$3:$H$3,0)),"")</f>
        <v/>
      </c>
      <c r="M142" s="154"/>
      <c r="N142" s="520" t="str">
        <f>IF(M142="","",IF(VLOOKUP(M142,'G-3 Multipliers'!$L$3:$N$6,2,FALSE)=0,"Spatial Data Missing ⚠",VLOOKUP(M142,'G-3 Multipliers'!$L$3:$N$6,2,FALSE)))</f>
        <v/>
      </c>
      <c r="O142" s="524" t="str">
        <f>IF(M142="","",IF(VLOOKUP(M142,'G-3 Multipliers'!$L$3:$N$6,3,FALSE)=0,"Spatial Data Missing ⚠",VLOOKUP(M142,'G-3 Multipliers'!$L$3:$N$6,3,FALSE)))</f>
        <v/>
      </c>
      <c r="P142" s="506" t="str">
        <f>IFERROR(VLOOKUP(G142,'G-1 All Habitats'!$B$2:$M$129,12,FALSE),"")</f>
        <v/>
      </c>
      <c r="Q142" s="513" t="str">
        <f>IFERROR(IF(P142="","",IF(AND(P142='G-1 All Habitats'!$X$3,T142&gt;0),U142+V142,IF(AND(P142='G-1 All Habitats'!$X$3,S142&gt;0),U142+V142,IF(AND(P142='G-1 All Habitats'!$X$3,AC142&gt;0),"Any Loss Unacceptable",IF(AND(P142='G-1 All Habitats'!$X$3,W142&gt;0),"Any Loss Unacceptable",H142*J142*L142*O142))))),"Check Data ⚠")</f>
        <v/>
      </c>
      <c r="R142" s="50"/>
      <c r="S142" s="71"/>
      <c r="T142" s="72"/>
      <c r="U142" s="511" t="str">
        <f t="shared" si="14"/>
        <v/>
      </c>
      <c r="V142" s="511" t="str">
        <f t="shared" si="15"/>
        <v/>
      </c>
      <c r="W142" s="511"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545" t="str">
        <f>IFERROR(IF(H142="","",IF(H142-S142-T142=0&lt;0,"Error in Areas ▲",IF(S142+T142&gt;H142,"Error in Areas ▲",IF(AND(P142='G-1 All Habitats'!$X$3,Y142="Yes"),"Alternative Compensation",IF(W142=0,0,IF(P142='G-1 All Habitats'!$X$3,"Unacceptable Loss",Q142-U142-V142)))))),"Check Data ⚠")</f>
        <v/>
      </c>
      <c r="Y142" s="72"/>
      <c r="Z142" s="151"/>
      <c r="AA142" s="152"/>
      <c r="AC142" s="251" t="str">
        <f>IF(P142="","",IF(P142='G-1 All Habitats'!$X$3,H142-S142-T142,"None"))</f>
        <v/>
      </c>
      <c r="AD142" s="252" t="str">
        <f t="shared" si="16"/>
        <v/>
      </c>
      <c r="AF142" s="156" t="str">
        <f t="shared" si="12"/>
        <v/>
      </c>
      <c r="AG142" s="156" t="str">
        <f t="shared" si="13"/>
        <v/>
      </c>
      <c r="AH142" s="156" t="str">
        <f>IF(I142="","",IF(#REF!&gt;0,TRUE,FALSE))</f>
        <v/>
      </c>
      <c r="AI142" s="156">
        <v>132</v>
      </c>
      <c r="AJ142" s="156"/>
      <c r="AK142" s="156" t="str">
        <f t="array" ref="AK142">IFERROR(INDEX($AI$11:$AI$259, MATCH(0, IF(TRUE=$AF$11:$AF$259, COUNTIF($AK$10:$AK141, $AI$11:$AI$259), ""), 0)),"")</f>
        <v/>
      </c>
      <c r="AL142" s="156" t="str">
        <f t="array" ref="AL142">IFERROR(INDEX($AI$11:$AI$259, MATCH(0, IF(TRUE=$AG$11:$AG$259, COUNTIF($AL$10:$AL141, $AI$11:$AI$259), ""), 0)),"")</f>
        <v/>
      </c>
      <c r="AM142" s="156" t="str">
        <f t="array" ref="AM142">IFERROR(INDEX($AI$11:$AI$259, MATCH(0, IF(TRUE=$AH$11:$AH$259, COUNTIF($AM$10:$AM141, $AI$11:$AI$259), ""), 0)),"")</f>
        <v/>
      </c>
      <c r="AQ142" s="31">
        <f t="shared" si="17"/>
        <v>0</v>
      </c>
    </row>
    <row r="143" spans="1:43" x14ac:dyDescent="0.25">
      <c r="A143" s="31" t="str">
        <f>IFERROR(INDEX('G-1 All Habitats'!$AG$3:$AG$15,MATCH(E143,'G-1 All Habitats'!$AF$3:$AF$15,0)),"")</f>
        <v/>
      </c>
      <c r="B143" s="31" t="str">
        <f>IFERROR(INDEX('G-8 Condition Look up'!$I$4:$I$130,MATCH(G143,'G-8 Condition Look up'!$A$4:$A$130,0)),"")</f>
        <v/>
      </c>
      <c r="D143" s="141">
        <v>133</v>
      </c>
      <c r="E143" s="203"/>
      <c r="F143" s="203"/>
      <c r="G143" s="250" t="str">
        <f>IFERROR(INDEX('G-1 All Habitats'!$B$3:$B$129,MATCH(F143,'G-1 All Habitats'!$A$3:$A$129,0)),"")</f>
        <v/>
      </c>
      <c r="H143" s="172"/>
      <c r="I143" s="498" t="str">
        <f>IF(G143="","",VLOOKUP(G143,'G-1 All Habitats'!$B$2:$M$129,10,FALSE))</f>
        <v/>
      </c>
      <c r="J143" s="499" t="str">
        <f>IFERROR(VLOOKUP(I143,'G-1 All Habitats'!$V$3:$W$7,2,FALSE),"")</f>
        <v/>
      </c>
      <c r="K143" s="145"/>
      <c r="L143" s="499" t="str">
        <f>IFERROR(INDEX('G-8 Condition Look up'!$A$3:$H$130,MATCH(G143,'G-8 Condition Look up'!$A$3:$A$130,0),MATCH(K143,'G-8 Condition Look up'!$A$3:$H$3,0)),"")</f>
        <v/>
      </c>
      <c r="M143" s="154"/>
      <c r="N143" s="520" t="str">
        <f>IF(M143="","",IF(VLOOKUP(M143,'G-3 Multipliers'!$L$3:$N$6,2,FALSE)=0,"Spatial Data Missing ⚠",VLOOKUP(M143,'G-3 Multipliers'!$L$3:$N$6,2,FALSE)))</f>
        <v/>
      </c>
      <c r="O143" s="524" t="str">
        <f>IF(M143="","",IF(VLOOKUP(M143,'G-3 Multipliers'!$L$3:$N$6,3,FALSE)=0,"Spatial Data Missing ⚠",VLOOKUP(M143,'G-3 Multipliers'!$L$3:$N$6,3,FALSE)))</f>
        <v/>
      </c>
      <c r="P143" s="506" t="str">
        <f>IFERROR(VLOOKUP(G143,'G-1 All Habitats'!$B$2:$M$129,12,FALSE),"")</f>
        <v/>
      </c>
      <c r="Q143" s="513" t="str">
        <f>IFERROR(IF(P143="","",IF(AND(P143='G-1 All Habitats'!$X$3,T143&gt;0),U143+V143,IF(AND(P143='G-1 All Habitats'!$X$3,S143&gt;0),U143+V143,IF(AND(P143='G-1 All Habitats'!$X$3,AC143&gt;0),"Any Loss Unacceptable",IF(AND(P143='G-1 All Habitats'!$X$3,W143&gt;0),"Any Loss Unacceptable",H143*J143*L143*O143))))),"Check Data ⚠")</f>
        <v/>
      </c>
      <c r="R143" s="50"/>
      <c r="S143" s="71"/>
      <c r="T143" s="72"/>
      <c r="U143" s="511" t="str">
        <f t="shared" si="14"/>
        <v/>
      </c>
      <c r="V143" s="511" t="str">
        <f t="shared" si="15"/>
        <v/>
      </c>
      <c r="W143" s="511"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545" t="str">
        <f>IFERROR(IF(H143="","",IF(H143-S143-T143=0&lt;0,"Error in Areas ▲",IF(S143+T143&gt;H143,"Error in Areas ▲",IF(AND(P143='G-1 All Habitats'!$X$3,Y143="Yes"),"Alternative Compensation",IF(W143=0,0,IF(P143='G-1 All Habitats'!$X$3,"Unacceptable Loss",Q143-U143-V143)))))),"Check Data ⚠")</f>
        <v/>
      </c>
      <c r="Y143" s="72"/>
      <c r="Z143" s="151"/>
      <c r="AA143" s="152"/>
      <c r="AC143" s="251" t="str">
        <f>IF(P143="","",IF(P143='G-1 All Habitats'!$X$3,H143-S143-T143,"None"))</f>
        <v/>
      </c>
      <c r="AD143" s="252" t="str">
        <f t="shared" si="16"/>
        <v/>
      </c>
      <c r="AF143" s="156" t="str">
        <f t="shared" si="12"/>
        <v/>
      </c>
      <c r="AG143" s="156" t="str">
        <f t="shared" si="13"/>
        <v/>
      </c>
      <c r="AH143" s="156" t="str">
        <f>IF(I143="","",IF(#REF!&gt;0,TRUE,FALSE))</f>
        <v/>
      </c>
      <c r="AI143" s="156">
        <v>133</v>
      </c>
      <c r="AJ143" s="156"/>
      <c r="AK143" s="156" t="str">
        <f t="array" ref="AK143">IFERROR(INDEX($AI$11:$AI$259, MATCH(0, IF(TRUE=$AF$11:$AF$259, COUNTIF($AK$10:$AK142, $AI$11:$AI$259), ""), 0)),"")</f>
        <v/>
      </c>
      <c r="AL143" s="156" t="str">
        <f t="array" ref="AL143">IFERROR(INDEX($AI$11:$AI$259, MATCH(0, IF(TRUE=$AG$11:$AG$259, COUNTIF($AL$10:$AL142, $AI$11:$AI$259), ""), 0)),"")</f>
        <v/>
      </c>
      <c r="AM143" s="156" t="str">
        <f t="array" ref="AM143">IFERROR(INDEX($AI$11:$AI$259, MATCH(0, IF(TRUE=$AH$11:$AH$259, COUNTIF($AM$10:$AM142, $AI$11:$AI$259), ""), 0)),"")</f>
        <v/>
      </c>
      <c r="AQ143" s="31">
        <f t="shared" si="17"/>
        <v>0</v>
      </c>
    </row>
    <row r="144" spans="1:43" x14ac:dyDescent="0.25">
      <c r="A144" s="31" t="str">
        <f>IFERROR(INDEX('G-1 All Habitats'!$AG$3:$AG$15,MATCH(E144,'G-1 All Habitats'!$AF$3:$AF$15,0)),"")</f>
        <v/>
      </c>
      <c r="B144" s="31" t="str">
        <f>IFERROR(INDEX('G-8 Condition Look up'!$I$4:$I$130,MATCH(G144,'G-8 Condition Look up'!$A$4:$A$130,0)),"")</f>
        <v/>
      </c>
      <c r="D144" s="141">
        <v>134</v>
      </c>
      <c r="E144" s="203"/>
      <c r="F144" s="203"/>
      <c r="G144" s="250" t="str">
        <f>IFERROR(INDEX('G-1 All Habitats'!$B$3:$B$129,MATCH(F144,'G-1 All Habitats'!$A$3:$A$129,0)),"")</f>
        <v/>
      </c>
      <c r="H144" s="172"/>
      <c r="I144" s="498" t="str">
        <f>IF(G144="","",VLOOKUP(G144,'G-1 All Habitats'!$B$2:$M$129,10,FALSE))</f>
        <v/>
      </c>
      <c r="J144" s="499" t="str">
        <f>IFERROR(VLOOKUP(I144,'G-1 All Habitats'!$V$3:$W$7,2,FALSE),"")</f>
        <v/>
      </c>
      <c r="K144" s="145"/>
      <c r="L144" s="499" t="str">
        <f>IFERROR(INDEX('G-8 Condition Look up'!$A$3:$H$130,MATCH(G144,'G-8 Condition Look up'!$A$3:$A$130,0),MATCH(K144,'G-8 Condition Look up'!$A$3:$H$3,0)),"")</f>
        <v/>
      </c>
      <c r="M144" s="154"/>
      <c r="N144" s="520" t="str">
        <f>IF(M144="","",IF(VLOOKUP(M144,'G-3 Multipliers'!$L$3:$N$6,2,FALSE)=0,"Spatial Data Missing ⚠",VLOOKUP(M144,'G-3 Multipliers'!$L$3:$N$6,2,FALSE)))</f>
        <v/>
      </c>
      <c r="O144" s="524" t="str">
        <f>IF(M144="","",IF(VLOOKUP(M144,'G-3 Multipliers'!$L$3:$N$6,3,FALSE)=0,"Spatial Data Missing ⚠",VLOOKUP(M144,'G-3 Multipliers'!$L$3:$N$6,3,FALSE)))</f>
        <v/>
      </c>
      <c r="P144" s="506" t="str">
        <f>IFERROR(VLOOKUP(G144,'G-1 All Habitats'!$B$2:$M$129,12,FALSE),"")</f>
        <v/>
      </c>
      <c r="Q144" s="513" t="str">
        <f>IFERROR(IF(P144="","",IF(AND(P144='G-1 All Habitats'!$X$3,T144&gt;0),U144+V144,IF(AND(P144='G-1 All Habitats'!$X$3,S144&gt;0),U144+V144,IF(AND(P144='G-1 All Habitats'!$X$3,AC144&gt;0),"Any Loss Unacceptable",IF(AND(P144='G-1 All Habitats'!$X$3,W144&gt;0),"Any Loss Unacceptable",H144*J144*L144*O144))))),"Check Data ⚠")</f>
        <v/>
      </c>
      <c r="R144" s="50"/>
      <c r="S144" s="71"/>
      <c r="T144" s="72"/>
      <c r="U144" s="511" t="str">
        <f t="shared" si="14"/>
        <v/>
      </c>
      <c r="V144" s="511" t="str">
        <f t="shared" si="15"/>
        <v/>
      </c>
      <c r="W144" s="511"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545" t="str">
        <f>IFERROR(IF(H144="","",IF(H144-S144-T144=0&lt;0,"Error in Areas ▲",IF(S144+T144&gt;H144,"Error in Areas ▲",IF(AND(P144='G-1 All Habitats'!$X$3,Y144="Yes"),"Alternative Compensation",IF(W144=0,0,IF(P144='G-1 All Habitats'!$X$3,"Unacceptable Loss",Q144-U144-V144)))))),"Check Data ⚠")</f>
        <v/>
      </c>
      <c r="Y144" s="72"/>
      <c r="Z144" s="151"/>
      <c r="AA144" s="152"/>
      <c r="AC144" s="251" t="str">
        <f>IF(P144="","",IF(P144='G-1 All Habitats'!$X$3,H144-S144-T144,"None"))</f>
        <v/>
      </c>
      <c r="AD144" s="252" t="str">
        <f t="shared" si="16"/>
        <v/>
      </c>
      <c r="AF144" s="156" t="str">
        <f t="shared" si="12"/>
        <v/>
      </c>
      <c r="AG144" s="156" t="str">
        <f t="shared" si="13"/>
        <v/>
      </c>
      <c r="AH144" s="156" t="str">
        <f>IF(I144="","",IF(#REF!&gt;0,TRUE,FALSE))</f>
        <v/>
      </c>
      <c r="AI144" s="156">
        <v>134</v>
      </c>
      <c r="AJ144" s="156"/>
      <c r="AK144" s="156" t="str">
        <f t="array" ref="AK144">IFERROR(INDEX($AI$11:$AI$259, MATCH(0, IF(TRUE=$AF$11:$AF$259, COUNTIF($AK$10:$AK143, $AI$11:$AI$259), ""), 0)),"")</f>
        <v/>
      </c>
      <c r="AL144" s="156" t="str">
        <f t="array" ref="AL144">IFERROR(INDEX($AI$11:$AI$259, MATCH(0, IF(TRUE=$AG$11:$AG$259, COUNTIF($AL$10:$AL143, $AI$11:$AI$259), ""), 0)),"")</f>
        <v/>
      </c>
      <c r="AM144" s="156" t="str">
        <f t="array" ref="AM144">IFERROR(INDEX($AI$11:$AI$259, MATCH(0, IF(TRUE=$AH$11:$AH$259, COUNTIF($AM$10:$AM143, $AI$11:$AI$259), ""), 0)),"")</f>
        <v/>
      </c>
      <c r="AQ144" s="31">
        <f t="shared" si="17"/>
        <v>0</v>
      </c>
    </row>
    <row r="145" spans="1:43" x14ac:dyDescent="0.25">
      <c r="A145" s="31" t="str">
        <f>IFERROR(INDEX('G-1 All Habitats'!$AG$3:$AG$15,MATCH(E145,'G-1 All Habitats'!$AF$3:$AF$15,0)),"")</f>
        <v/>
      </c>
      <c r="B145" s="31" t="str">
        <f>IFERROR(INDEX('G-8 Condition Look up'!$I$4:$I$130,MATCH(G145,'G-8 Condition Look up'!$A$4:$A$130,0)),"")</f>
        <v/>
      </c>
      <c r="D145" s="141">
        <v>135</v>
      </c>
      <c r="E145" s="203"/>
      <c r="F145" s="203"/>
      <c r="G145" s="250" t="str">
        <f>IFERROR(INDEX('G-1 All Habitats'!$B$3:$B$129,MATCH(F145,'G-1 All Habitats'!$A$3:$A$129,0)),"")</f>
        <v/>
      </c>
      <c r="H145" s="172"/>
      <c r="I145" s="498" t="str">
        <f>IF(G145="","",VLOOKUP(G145,'G-1 All Habitats'!$B$2:$M$129,10,FALSE))</f>
        <v/>
      </c>
      <c r="J145" s="499" t="str">
        <f>IFERROR(VLOOKUP(I145,'G-1 All Habitats'!$V$3:$W$7,2,FALSE),"")</f>
        <v/>
      </c>
      <c r="K145" s="145"/>
      <c r="L145" s="499" t="str">
        <f>IFERROR(INDEX('G-8 Condition Look up'!$A$3:$H$130,MATCH(G145,'G-8 Condition Look up'!$A$3:$A$130,0),MATCH(K145,'G-8 Condition Look up'!$A$3:$H$3,0)),"")</f>
        <v/>
      </c>
      <c r="M145" s="154"/>
      <c r="N145" s="520" t="str">
        <f>IF(M145="","",IF(VLOOKUP(M145,'G-3 Multipliers'!$L$3:$N$6,2,FALSE)=0,"Spatial Data Missing ⚠",VLOOKUP(M145,'G-3 Multipliers'!$L$3:$N$6,2,FALSE)))</f>
        <v/>
      </c>
      <c r="O145" s="524" t="str">
        <f>IF(M145="","",IF(VLOOKUP(M145,'G-3 Multipliers'!$L$3:$N$6,3,FALSE)=0,"Spatial Data Missing ⚠",VLOOKUP(M145,'G-3 Multipliers'!$L$3:$N$6,3,FALSE)))</f>
        <v/>
      </c>
      <c r="P145" s="506" t="str">
        <f>IFERROR(VLOOKUP(G145,'G-1 All Habitats'!$B$2:$M$129,12,FALSE),"")</f>
        <v/>
      </c>
      <c r="Q145" s="513" t="str">
        <f>IFERROR(IF(P145="","",IF(AND(P145='G-1 All Habitats'!$X$3,T145&gt;0),U145+V145,IF(AND(P145='G-1 All Habitats'!$X$3,S145&gt;0),U145+V145,IF(AND(P145='G-1 All Habitats'!$X$3,AC145&gt;0),"Any Loss Unacceptable",IF(AND(P145='G-1 All Habitats'!$X$3,W145&gt;0),"Any Loss Unacceptable",H145*J145*L145*O145))))),"Check Data ⚠")</f>
        <v/>
      </c>
      <c r="R145" s="50"/>
      <c r="S145" s="71"/>
      <c r="T145" s="72"/>
      <c r="U145" s="511" t="str">
        <f t="shared" si="14"/>
        <v/>
      </c>
      <c r="V145" s="511" t="str">
        <f t="shared" si="15"/>
        <v/>
      </c>
      <c r="W145" s="511"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545" t="str">
        <f>IFERROR(IF(H145="","",IF(H145-S145-T145=0&lt;0,"Error in Areas ▲",IF(S145+T145&gt;H145,"Error in Areas ▲",IF(AND(P145='G-1 All Habitats'!$X$3,Y145="Yes"),"Alternative Compensation",IF(W145=0,0,IF(P145='G-1 All Habitats'!$X$3,"Unacceptable Loss",Q145-U145-V145)))))),"Check Data ⚠")</f>
        <v/>
      </c>
      <c r="Y145" s="72"/>
      <c r="Z145" s="151"/>
      <c r="AA145" s="152"/>
      <c r="AC145" s="251" t="str">
        <f>IF(P145="","",IF(P145='G-1 All Habitats'!$X$3,H145-S145-T145,"None"))</f>
        <v/>
      </c>
      <c r="AD145" s="252" t="str">
        <f t="shared" si="16"/>
        <v/>
      </c>
      <c r="AF145" s="156" t="str">
        <f t="shared" si="12"/>
        <v/>
      </c>
      <c r="AG145" s="156" t="str">
        <f t="shared" si="13"/>
        <v/>
      </c>
      <c r="AH145" s="156" t="str">
        <f>IF(I145="","",IF(#REF!&gt;0,TRUE,FALSE))</f>
        <v/>
      </c>
      <c r="AI145" s="156">
        <v>135</v>
      </c>
      <c r="AJ145" s="156"/>
      <c r="AK145" s="156" t="str">
        <f t="array" ref="AK145">IFERROR(INDEX($AI$11:$AI$259, MATCH(0, IF(TRUE=$AF$11:$AF$259, COUNTIF($AK$10:$AK144, $AI$11:$AI$259), ""), 0)),"")</f>
        <v/>
      </c>
      <c r="AL145" s="156" t="str">
        <f t="array" ref="AL145">IFERROR(INDEX($AI$11:$AI$259, MATCH(0, IF(TRUE=$AG$11:$AG$259, COUNTIF($AL$10:$AL144, $AI$11:$AI$259), ""), 0)),"")</f>
        <v/>
      </c>
      <c r="AM145" s="156" t="str">
        <f t="array" ref="AM145">IFERROR(INDEX($AI$11:$AI$259, MATCH(0, IF(TRUE=$AH$11:$AH$259, COUNTIF($AM$10:$AM144, $AI$11:$AI$259), ""), 0)),"")</f>
        <v/>
      </c>
      <c r="AQ145" s="31">
        <f t="shared" si="17"/>
        <v>0</v>
      </c>
    </row>
    <row r="146" spans="1:43" x14ac:dyDescent="0.25">
      <c r="A146" s="31" t="str">
        <f>IFERROR(INDEX('G-1 All Habitats'!$AG$3:$AG$15,MATCH(E146,'G-1 All Habitats'!$AF$3:$AF$15,0)),"")</f>
        <v/>
      </c>
      <c r="B146" s="31" t="str">
        <f>IFERROR(INDEX('G-8 Condition Look up'!$I$4:$I$130,MATCH(G146,'G-8 Condition Look up'!$A$4:$A$130,0)),"")</f>
        <v/>
      </c>
      <c r="D146" s="141">
        <v>136</v>
      </c>
      <c r="E146" s="203"/>
      <c r="F146" s="203"/>
      <c r="G146" s="250" t="str">
        <f>IFERROR(INDEX('G-1 All Habitats'!$B$3:$B$129,MATCH(F146,'G-1 All Habitats'!$A$3:$A$129,0)),"")</f>
        <v/>
      </c>
      <c r="H146" s="172"/>
      <c r="I146" s="498" t="str">
        <f>IF(G146="","",VLOOKUP(G146,'G-1 All Habitats'!$B$2:$M$129,10,FALSE))</f>
        <v/>
      </c>
      <c r="J146" s="499" t="str">
        <f>IFERROR(VLOOKUP(I146,'G-1 All Habitats'!$V$3:$W$7,2,FALSE),"")</f>
        <v/>
      </c>
      <c r="K146" s="145"/>
      <c r="L146" s="499" t="str">
        <f>IFERROR(INDEX('G-8 Condition Look up'!$A$3:$H$130,MATCH(G146,'G-8 Condition Look up'!$A$3:$A$130,0),MATCH(K146,'G-8 Condition Look up'!$A$3:$H$3,0)),"")</f>
        <v/>
      </c>
      <c r="M146" s="154"/>
      <c r="N146" s="520" t="str">
        <f>IF(M146="","",IF(VLOOKUP(M146,'G-3 Multipliers'!$L$3:$N$6,2,FALSE)=0,"Spatial Data Missing ⚠",VLOOKUP(M146,'G-3 Multipliers'!$L$3:$N$6,2,FALSE)))</f>
        <v/>
      </c>
      <c r="O146" s="524" t="str">
        <f>IF(M146="","",IF(VLOOKUP(M146,'G-3 Multipliers'!$L$3:$N$6,3,FALSE)=0,"Spatial Data Missing ⚠",VLOOKUP(M146,'G-3 Multipliers'!$L$3:$N$6,3,FALSE)))</f>
        <v/>
      </c>
      <c r="P146" s="506" t="str">
        <f>IFERROR(VLOOKUP(G146,'G-1 All Habitats'!$B$2:$M$129,12,FALSE),"")</f>
        <v/>
      </c>
      <c r="Q146" s="513" t="str">
        <f>IFERROR(IF(P146="","",IF(AND(P146='G-1 All Habitats'!$X$3,T146&gt;0),U146+V146,IF(AND(P146='G-1 All Habitats'!$X$3,S146&gt;0),U146+V146,IF(AND(P146='G-1 All Habitats'!$X$3,AC146&gt;0),"Any Loss Unacceptable",IF(AND(P146='G-1 All Habitats'!$X$3,W146&gt;0),"Any Loss Unacceptable",H146*J146*L146*O146))))),"Check Data ⚠")</f>
        <v/>
      </c>
      <c r="R146" s="50"/>
      <c r="S146" s="71"/>
      <c r="T146" s="72"/>
      <c r="U146" s="511" t="str">
        <f t="shared" si="14"/>
        <v/>
      </c>
      <c r="V146" s="511" t="str">
        <f t="shared" si="15"/>
        <v/>
      </c>
      <c r="W146" s="511"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545" t="str">
        <f>IFERROR(IF(H146="","",IF(H146-S146-T146=0&lt;0,"Error in Areas ▲",IF(S146+T146&gt;H146,"Error in Areas ▲",IF(AND(P146='G-1 All Habitats'!$X$3,Y146="Yes"),"Alternative Compensation",IF(W146=0,0,IF(P146='G-1 All Habitats'!$X$3,"Unacceptable Loss",Q146-U146-V146)))))),"Check Data ⚠")</f>
        <v/>
      </c>
      <c r="Y146" s="72"/>
      <c r="Z146" s="151"/>
      <c r="AA146" s="152"/>
      <c r="AC146" s="251" t="str">
        <f>IF(P146="","",IF(P146='G-1 All Habitats'!$X$3,H146-S146-T146,"None"))</f>
        <v/>
      </c>
      <c r="AD146" s="252" t="str">
        <f t="shared" si="16"/>
        <v/>
      </c>
      <c r="AF146" s="156" t="str">
        <f t="shared" si="12"/>
        <v/>
      </c>
      <c r="AG146" s="156" t="str">
        <f t="shared" si="13"/>
        <v/>
      </c>
      <c r="AH146" s="156" t="str">
        <f>IF(I146="","",IF(#REF!&gt;0,TRUE,FALSE))</f>
        <v/>
      </c>
      <c r="AI146" s="156">
        <v>136</v>
      </c>
      <c r="AJ146" s="156"/>
      <c r="AK146" s="156" t="str">
        <f t="array" ref="AK146">IFERROR(INDEX($AI$11:$AI$259, MATCH(0, IF(TRUE=$AF$11:$AF$259, COUNTIF($AK$10:$AK145, $AI$11:$AI$259), ""), 0)),"")</f>
        <v/>
      </c>
      <c r="AL146" s="156" t="str">
        <f t="array" ref="AL146">IFERROR(INDEX($AI$11:$AI$259, MATCH(0, IF(TRUE=$AG$11:$AG$259, COUNTIF($AL$10:$AL145, $AI$11:$AI$259), ""), 0)),"")</f>
        <v/>
      </c>
      <c r="AM146" s="156" t="str">
        <f t="array" ref="AM146">IFERROR(INDEX($AI$11:$AI$259, MATCH(0, IF(TRUE=$AH$11:$AH$259, COUNTIF($AM$10:$AM145, $AI$11:$AI$259), ""), 0)),"")</f>
        <v/>
      </c>
      <c r="AQ146" s="31">
        <f t="shared" si="17"/>
        <v>0</v>
      </c>
    </row>
    <row r="147" spans="1:43" x14ac:dyDescent="0.25">
      <c r="A147" s="31" t="str">
        <f>IFERROR(INDEX('G-1 All Habitats'!$AG$3:$AG$15,MATCH(E147,'G-1 All Habitats'!$AF$3:$AF$15,0)),"")</f>
        <v/>
      </c>
      <c r="B147" s="31" t="str">
        <f>IFERROR(INDEX('G-8 Condition Look up'!$I$4:$I$130,MATCH(G147,'G-8 Condition Look up'!$A$4:$A$130,0)),"")</f>
        <v/>
      </c>
      <c r="D147" s="141">
        <v>137</v>
      </c>
      <c r="E147" s="203"/>
      <c r="F147" s="203"/>
      <c r="G147" s="250" t="str">
        <f>IFERROR(INDEX('G-1 All Habitats'!$B$3:$B$129,MATCH(F147,'G-1 All Habitats'!$A$3:$A$129,0)),"")</f>
        <v/>
      </c>
      <c r="H147" s="172"/>
      <c r="I147" s="498" t="str">
        <f>IF(G147="","",VLOOKUP(G147,'G-1 All Habitats'!$B$2:$M$129,10,FALSE))</f>
        <v/>
      </c>
      <c r="J147" s="499" t="str">
        <f>IFERROR(VLOOKUP(I147,'G-1 All Habitats'!$V$3:$W$7,2,FALSE),"")</f>
        <v/>
      </c>
      <c r="K147" s="145"/>
      <c r="L147" s="499" t="str">
        <f>IFERROR(INDEX('G-8 Condition Look up'!$A$3:$H$130,MATCH(G147,'G-8 Condition Look up'!$A$3:$A$130,0),MATCH(K147,'G-8 Condition Look up'!$A$3:$H$3,0)),"")</f>
        <v/>
      </c>
      <c r="M147" s="154"/>
      <c r="N147" s="520" t="str">
        <f>IF(M147="","",IF(VLOOKUP(M147,'G-3 Multipliers'!$L$3:$N$6,2,FALSE)=0,"Spatial Data Missing ⚠",VLOOKUP(M147,'G-3 Multipliers'!$L$3:$N$6,2,FALSE)))</f>
        <v/>
      </c>
      <c r="O147" s="524" t="str">
        <f>IF(M147="","",IF(VLOOKUP(M147,'G-3 Multipliers'!$L$3:$N$6,3,FALSE)=0,"Spatial Data Missing ⚠",VLOOKUP(M147,'G-3 Multipliers'!$L$3:$N$6,3,FALSE)))</f>
        <v/>
      </c>
      <c r="P147" s="506" t="str">
        <f>IFERROR(VLOOKUP(G147,'G-1 All Habitats'!$B$2:$M$129,12,FALSE),"")</f>
        <v/>
      </c>
      <c r="Q147" s="513" t="str">
        <f>IFERROR(IF(P147="","",IF(AND(P147='G-1 All Habitats'!$X$3,T147&gt;0),U147+V147,IF(AND(P147='G-1 All Habitats'!$X$3,S147&gt;0),U147+V147,IF(AND(P147='G-1 All Habitats'!$X$3,AC147&gt;0),"Any Loss Unacceptable",IF(AND(P147='G-1 All Habitats'!$X$3,W147&gt;0),"Any Loss Unacceptable",H147*J147*L147*O147))))),"Check Data ⚠")</f>
        <v/>
      </c>
      <c r="R147" s="50"/>
      <c r="S147" s="71"/>
      <c r="T147" s="72"/>
      <c r="U147" s="511" t="str">
        <f t="shared" si="14"/>
        <v/>
      </c>
      <c r="V147" s="511" t="str">
        <f t="shared" si="15"/>
        <v/>
      </c>
      <c r="W147" s="511"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545" t="str">
        <f>IFERROR(IF(H147="","",IF(H147-S147-T147=0&lt;0,"Error in Areas ▲",IF(S147+T147&gt;H147,"Error in Areas ▲",IF(AND(P147='G-1 All Habitats'!$X$3,Y147="Yes"),"Alternative Compensation",IF(W147=0,0,IF(P147='G-1 All Habitats'!$X$3,"Unacceptable Loss",Q147-U147-V147)))))),"Check Data ⚠")</f>
        <v/>
      </c>
      <c r="Y147" s="72"/>
      <c r="Z147" s="151"/>
      <c r="AA147" s="152"/>
      <c r="AC147" s="251" t="str">
        <f>IF(P147="","",IF(P147='G-1 All Habitats'!$X$3,H147-S147-T147,"None"))</f>
        <v/>
      </c>
      <c r="AD147" s="252" t="str">
        <f t="shared" si="16"/>
        <v/>
      </c>
      <c r="AF147" s="156" t="str">
        <f t="shared" si="12"/>
        <v/>
      </c>
      <c r="AG147" s="156" t="str">
        <f t="shared" si="13"/>
        <v/>
      </c>
      <c r="AH147" s="156" t="str">
        <f>IF(I147="","",IF(#REF!&gt;0,TRUE,FALSE))</f>
        <v/>
      </c>
      <c r="AI147" s="156">
        <v>137</v>
      </c>
      <c r="AJ147" s="156"/>
      <c r="AK147" s="156" t="str">
        <f t="array" ref="AK147">IFERROR(INDEX($AI$11:$AI$259, MATCH(0, IF(TRUE=$AF$11:$AF$259, COUNTIF($AK$10:$AK146, $AI$11:$AI$259), ""), 0)),"")</f>
        <v/>
      </c>
      <c r="AL147" s="156" t="str">
        <f t="array" ref="AL147">IFERROR(INDEX($AI$11:$AI$259, MATCH(0, IF(TRUE=$AG$11:$AG$259, COUNTIF($AL$10:$AL146, $AI$11:$AI$259), ""), 0)),"")</f>
        <v/>
      </c>
      <c r="AM147" s="156" t="str">
        <f t="array" ref="AM147">IFERROR(INDEX($AI$11:$AI$259, MATCH(0, IF(TRUE=$AH$11:$AH$259, COUNTIF($AM$10:$AM146, $AI$11:$AI$259), ""), 0)),"")</f>
        <v/>
      </c>
      <c r="AQ147" s="31">
        <f t="shared" si="17"/>
        <v>0</v>
      </c>
    </row>
    <row r="148" spans="1:43" x14ac:dyDescent="0.25">
      <c r="A148" s="31" t="str">
        <f>IFERROR(INDEX('G-1 All Habitats'!$AG$3:$AG$15,MATCH(E148,'G-1 All Habitats'!$AF$3:$AF$15,0)),"")</f>
        <v/>
      </c>
      <c r="B148" s="31" t="str">
        <f>IFERROR(INDEX('G-8 Condition Look up'!$I$4:$I$130,MATCH(G148,'G-8 Condition Look up'!$A$4:$A$130,0)),"")</f>
        <v/>
      </c>
      <c r="D148" s="141">
        <v>138</v>
      </c>
      <c r="E148" s="203"/>
      <c r="F148" s="203"/>
      <c r="G148" s="250" t="str">
        <f>IFERROR(INDEX('G-1 All Habitats'!$B$3:$B$129,MATCH(F148,'G-1 All Habitats'!$A$3:$A$129,0)),"")</f>
        <v/>
      </c>
      <c r="H148" s="172"/>
      <c r="I148" s="498" t="str">
        <f>IF(G148="","",VLOOKUP(G148,'G-1 All Habitats'!$B$2:$M$129,10,FALSE))</f>
        <v/>
      </c>
      <c r="J148" s="499" t="str">
        <f>IFERROR(VLOOKUP(I148,'G-1 All Habitats'!$V$3:$W$7,2,FALSE),"")</f>
        <v/>
      </c>
      <c r="K148" s="145"/>
      <c r="L148" s="499" t="str">
        <f>IFERROR(INDEX('G-8 Condition Look up'!$A$3:$H$130,MATCH(G148,'G-8 Condition Look up'!$A$3:$A$130,0),MATCH(K148,'G-8 Condition Look up'!$A$3:$H$3,0)),"")</f>
        <v/>
      </c>
      <c r="M148" s="154"/>
      <c r="N148" s="520" t="str">
        <f>IF(M148="","",IF(VLOOKUP(M148,'G-3 Multipliers'!$L$3:$N$6,2,FALSE)=0,"Spatial Data Missing ⚠",VLOOKUP(M148,'G-3 Multipliers'!$L$3:$N$6,2,FALSE)))</f>
        <v/>
      </c>
      <c r="O148" s="524" t="str">
        <f>IF(M148="","",IF(VLOOKUP(M148,'G-3 Multipliers'!$L$3:$N$6,3,FALSE)=0,"Spatial Data Missing ⚠",VLOOKUP(M148,'G-3 Multipliers'!$L$3:$N$6,3,FALSE)))</f>
        <v/>
      </c>
      <c r="P148" s="506" t="str">
        <f>IFERROR(VLOOKUP(G148,'G-1 All Habitats'!$B$2:$M$129,12,FALSE),"")</f>
        <v/>
      </c>
      <c r="Q148" s="513" t="str">
        <f>IFERROR(IF(P148="","",IF(AND(P148='G-1 All Habitats'!$X$3,T148&gt;0),U148+V148,IF(AND(P148='G-1 All Habitats'!$X$3,S148&gt;0),U148+V148,IF(AND(P148='G-1 All Habitats'!$X$3,AC148&gt;0),"Any Loss Unacceptable",IF(AND(P148='G-1 All Habitats'!$X$3,W148&gt;0),"Any Loss Unacceptable",H148*J148*L148*O148))))),"Check Data ⚠")</f>
        <v/>
      </c>
      <c r="R148" s="50"/>
      <c r="S148" s="71"/>
      <c r="T148" s="72"/>
      <c r="U148" s="511" t="str">
        <f t="shared" si="14"/>
        <v/>
      </c>
      <c r="V148" s="511" t="str">
        <f t="shared" si="15"/>
        <v/>
      </c>
      <c r="W148" s="511"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545" t="str">
        <f>IFERROR(IF(H148="","",IF(H148-S148-T148=0&lt;0,"Error in Areas ▲",IF(S148+T148&gt;H148,"Error in Areas ▲",IF(AND(P148='G-1 All Habitats'!$X$3,Y148="Yes"),"Alternative Compensation",IF(W148=0,0,IF(P148='G-1 All Habitats'!$X$3,"Unacceptable Loss",Q148-U148-V148)))))),"Check Data ⚠")</f>
        <v/>
      </c>
      <c r="Y148" s="72"/>
      <c r="Z148" s="151"/>
      <c r="AA148" s="152"/>
      <c r="AC148" s="251" t="str">
        <f>IF(P148="","",IF(P148='G-1 All Habitats'!$X$3,H148-S148-T148,"None"))</f>
        <v/>
      </c>
      <c r="AD148" s="252" t="str">
        <f t="shared" si="16"/>
        <v/>
      </c>
      <c r="AF148" s="156" t="str">
        <f t="shared" si="12"/>
        <v/>
      </c>
      <c r="AG148" s="156" t="str">
        <f t="shared" si="13"/>
        <v/>
      </c>
      <c r="AH148" s="156" t="str">
        <f>IF(I148="","",IF(#REF!&gt;0,TRUE,FALSE))</f>
        <v/>
      </c>
      <c r="AI148" s="156">
        <v>138</v>
      </c>
      <c r="AJ148" s="156"/>
      <c r="AK148" s="156" t="str">
        <f t="array" ref="AK148">IFERROR(INDEX($AI$11:$AI$259, MATCH(0, IF(TRUE=$AF$11:$AF$259, COUNTIF($AK$10:$AK147, $AI$11:$AI$259), ""), 0)),"")</f>
        <v/>
      </c>
      <c r="AL148" s="156" t="str">
        <f t="array" ref="AL148">IFERROR(INDEX($AI$11:$AI$259, MATCH(0, IF(TRUE=$AG$11:$AG$259, COUNTIF($AL$10:$AL147, $AI$11:$AI$259), ""), 0)),"")</f>
        <v/>
      </c>
      <c r="AM148" s="156" t="str">
        <f t="array" ref="AM148">IFERROR(INDEX($AI$11:$AI$259, MATCH(0, IF(TRUE=$AH$11:$AH$259, COUNTIF($AM$10:$AM147, $AI$11:$AI$259), ""), 0)),"")</f>
        <v/>
      </c>
      <c r="AQ148" s="31">
        <f t="shared" si="17"/>
        <v>0</v>
      </c>
    </row>
    <row r="149" spans="1:43" x14ac:dyDescent="0.25">
      <c r="A149" s="31" t="str">
        <f>IFERROR(INDEX('G-1 All Habitats'!$AG$3:$AG$15,MATCH(E149,'G-1 All Habitats'!$AF$3:$AF$15,0)),"")</f>
        <v/>
      </c>
      <c r="B149" s="31" t="str">
        <f>IFERROR(INDEX('G-8 Condition Look up'!$I$4:$I$130,MATCH(G149,'G-8 Condition Look up'!$A$4:$A$130,0)),"")</f>
        <v/>
      </c>
      <c r="D149" s="141">
        <v>139</v>
      </c>
      <c r="E149" s="203"/>
      <c r="F149" s="203"/>
      <c r="G149" s="250" t="str">
        <f>IFERROR(INDEX('G-1 All Habitats'!$B$3:$B$129,MATCH(F149,'G-1 All Habitats'!$A$3:$A$129,0)),"")</f>
        <v/>
      </c>
      <c r="H149" s="172"/>
      <c r="I149" s="498" t="str">
        <f>IF(G149="","",VLOOKUP(G149,'G-1 All Habitats'!$B$2:$M$129,10,FALSE))</f>
        <v/>
      </c>
      <c r="J149" s="499" t="str">
        <f>IFERROR(VLOOKUP(I149,'G-1 All Habitats'!$V$3:$W$7,2,FALSE),"")</f>
        <v/>
      </c>
      <c r="K149" s="145"/>
      <c r="L149" s="499" t="str">
        <f>IFERROR(INDEX('G-8 Condition Look up'!$A$3:$H$130,MATCH(G149,'G-8 Condition Look up'!$A$3:$A$130,0),MATCH(K149,'G-8 Condition Look up'!$A$3:$H$3,0)),"")</f>
        <v/>
      </c>
      <c r="M149" s="154"/>
      <c r="N149" s="520" t="str">
        <f>IF(M149="","",IF(VLOOKUP(M149,'G-3 Multipliers'!$L$3:$N$6,2,FALSE)=0,"Spatial Data Missing ⚠",VLOOKUP(M149,'G-3 Multipliers'!$L$3:$N$6,2,FALSE)))</f>
        <v/>
      </c>
      <c r="O149" s="524" t="str">
        <f>IF(M149="","",IF(VLOOKUP(M149,'G-3 Multipliers'!$L$3:$N$6,3,FALSE)=0,"Spatial Data Missing ⚠",VLOOKUP(M149,'G-3 Multipliers'!$L$3:$N$6,3,FALSE)))</f>
        <v/>
      </c>
      <c r="P149" s="506" t="str">
        <f>IFERROR(VLOOKUP(G149,'G-1 All Habitats'!$B$2:$M$129,12,FALSE),"")</f>
        <v/>
      </c>
      <c r="Q149" s="513" t="str">
        <f>IFERROR(IF(P149="","",IF(AND(P149='G-1 All Habitats'!$X$3,T149&gt;0),U149+V149,IF(AND(P149='G-1 All Habitats'!$X$3,S149&gt;0),U149+V149,IF(AND(P149='G-1 All Habitats'!$X$3,AC149&gt;0),"Any Loss Unacceptable",IF(AND(P149='G-1 All Habitats'!$X$3,W149&gt;0),"Any Loss Unacceptable",H149*J149*L149*O149))))),"Check Data ⚠")</f>
        <v/>
      </c>
      <c r="R149" s="50"/>
      <c r="S149" s="71"/>
      <c r="T149" s="72"/>
      <c r="U149" s="511" t="str">
        <f t="shared" si="14"/>
        <v/>
      </c>
      <c r="V149" s="511" t="str">
        <f t="shared" si="15"/>
        <v/>
      </c>
      <c r="W149" s="511"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545" t="str">
        <f>IFERROR(IF(H149="","",IF(H149-S149-T149=0&lt;0,"Error in Areas ▲",IF(S149+T149&gt;H149,"Error in Areas ▲",IF(AND(P149='G-1 All Habitats'!$X$3,Y149="Yes"),"Alternative Compensation",IF(W149=0,0,IF(P149='G-1 All Habitats'!$X$3,"Unacceptable Loss",Q149-U149-V149)))))),"Check Data ⚠")</f>
        <v/>
      </c>
      <c r="Y149" s="72"/>
      <c r="Z149" s="151"/>
      <c r="AA149" s="152"/>
      <c r="AC149" s="251" t="str">
        <f>IF(P149="","",IF(P149='G-1 All Habitats'!$X$3,H149-S149-T149,"None"))</f>
        <v/>
      </c>
      <c r="AD149" s="252" t="str">
        <f t="shared" si="16"/>
        <v/>
      </c>
      <c r="AF149" s="156" t="str">
        <f t="shared" si="12"/>
        <v/>
      </c>
      <c r="AG149" s="156" t="str">
        <f t="shared" si="13"/>
        <v/>
      </c>
      <c r="AH149" s="156" t="str">
        <f>IF(I149="","",IF(#REF!&gt;0,TRUE,FALSE))</f>
        <v/>
      </c>
      <c r="AI149" s="156">
        <v>139</v>
      </c>
      <c r="AJ149" s="156"/>
      <c r="AK149" s="156" t="str">
        <f t="array" ref="AK149">IFERROR(INDEX($AI$11:$AI$259, MATCH(0, IF(TRUE=$AF$11:$AF$259, COUNTIF($AK$10:$AK148, $AI$11:$AI$259), ""), 0)),"")</f>
        <v/>
      </c>
      <c r="AL149" s="156" t="str">
        <f t="array" ref="AL149">IFERROR(INDEX($AI$11:$AI$259, MATCH(0, IF(TRUE=$AG$11:$AG$259, COUNTIF($AL$10:$AL148, $AI$11:$AI$259), ""), 0)),"")</f>
        <v/>
      </c>
      <c r="AM149" s="156" t="str">
        <f t="array" ref="AM149">IFERROR(INDEX($AI$11:$AI$259, MATCH(0, IF(TRUE=$AH$11:$AH$259, COUNTIF($AM$10:$AM148, $AI$11:$AI$259), ""), 0)),"")</f>
        <v/>
      </c>
      <c r="AQ149" s="31">
        <f t="shared" si="17"/>
        <v>0</v>
      </c>
    </row>
    <row r="150" spans="1:43" x14ac:dyDescent="0.25">
      <c r="A150" s="31" t="str">
        <f>IFERROR(INDEX('G-1 All Habitats'!$AG$3:$AG$15,MATCH(E150,'G-1 All Habitats'!$AF$3:$AF$15,0)),"")</f>
        <v/>
      </c>
      <c r="B150" s="31" t="str">
        <f>IFERROR(INDEX('G-8 Condition Look up'!$I$4:$I$130,MATCH(G150,'G-8 Condition Look up'!$A$4:$A$130,0)),"")</f>
        <v/>
      </c>
      <c r="D150" s="141">
        <v>140</v>
      </c>
      <c r="E150" s="203"/>
      <c r="F150" s="203"/>
      <c r="G150" s="250" t="str">
        <f>IFERROR(INDEX('G-1 All Habitats'!$B$3:$B$129,MATCH(F150,'G-1 All Habitats'!$A$3:$A$129,0)),"")</f>
        <v/>
      </c>
      <c r="H150" s="172"/>
      <c r="I150" s="498" t="str">
        <f>IF(G150="","",VLOOKUP(G150,'G-1 All Habitats'!$B$2:$M$129,10,FALSE))</f>
        <v/>
      </c>
      <c r="J150" s="499" t="str">
        <f>IFERROR(VLOOKUP(I150,'G-1 All Habitats'!$V$3:$W$7,2,FALSE),"")</f>
        <v/>
      </c>
      <c r="K150" s="145"/>
      <c r="L150" s="499" t="str">
        <f>IFERROR(INDEX('G-8 Condition Look up'!$A$3:$H$130,MATCH(G150,'G-8 Condition Look up'!$A$3:$A$130,0),MATCH(K150,'G-8 Condition Look up'!$A$3:$H$3,0)),"")</f>
        <v/>
      </c>
      <c r="M150" s="154"/>
      <c r="N150" s="520" t="str">
        <f>IF(M150="","",IF(VLOOKUP(M150,'G-3 Multipliers'!$L$3:$N$6,2,FALSE)=0,"Spatial Data Missing ⚠",VLOOKUP(M150,'G-3 Multipliers'!$L$3:$N$6,2,FALSE)))</f>
        <v/>
      </c>
      <c r="O150" s="524" t="str">
        <f>IF(M150="","",IF(VLOOKUP(M150,'G-3 Multipliers'!$L$3:$N$6,3,FALSE)=0,"Spatial Data Missing ⚠",VLOOKUP(M150,'G-3 Multipliers'!$L$3:$N$6,3,FALSE)))</f>
        <v/>
      </c>
      <c r="P150" s="506" t="str">
        <f>IFERROR(VLOOKUP(G150,'G-1 All Habitats'!$B$2:$M$129,12,FALSE),"")</f>
        <v/>
      </c>
      <c r="Q150" s="513" t="str">
        <f>IFERROR(IF(P150="","",IF(AND(P150='G-1 All Habitats'!$X$3,T150&gt;0),U150+V150,IF(AND(P150='G-1 All Habitats'!$X$3,S150&gt;0),U150+V150,IF(AND(P150='G-1 All Habitats'!$X$3,AC150&gt;0),"Any Loss Unacceptable",IF(AND(P150='G-1 All Habitats'!$X$3,W150&gt;0),"Any Loss Unacceptable",H150*J150*L150*O150))))),"Check Data ⚠")</f>
        <v/>
      </c>
      <c r="R150" s="50"/>
      <c r="S150" s="71"/>
      <c r="T150" s="72"/>
      <c r="U150" s="511" t="str">
        <f t="shared" si="14"/>
        <v/>
      </c>
      <c r="V150" s="511" t="str">
        <f t="shared" si="15"/>
        <v/>
      </c>
      <c r="W150" s="511"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545" t="str">
        <f>IFERROR(IF(H150="","",IF(H150-S150-T150=0&lt;0,"Error in Areas ▲",IF(S150+T150&gt;H150,"Error in Areas ▲",IF(AND(P150='G-1 All Habitats'!$X$3,Y150="Yes"),"Alternative Compensation",IF(W150=0,0,IF(P150='G-1 All Habitats'!$X$3,"Unacceptable Loss",Q150-U150-V150)))))),"Check Data ⚠")</f>
        <v/>
      </c>
      <c r="Y150" s="72"/>
      <c r="Z150" s="151"/>
      <c r="AA150" s="152"/>
      <c r="AC150" s="251" t="str">
        <f>IF(P150="","",IF(P150='G-1 All Habitats'!$X$3,H150-S150-T150,"None"))</f>
        <v/>
      </c>
      <c r="AD150" s="252" t="str">
        <f t="shared" si="16"/>
        <v/>
      </c>
      <c r="AF150" s="156" t="str">
        <f t="shared" si="12"/>
        <v/>
      </c>
      <c r="AG150" s="156" t="str">
        <f t="shared" si="13"/>
        <v/>
      </c>
      <c r="AH150" s="156" t="str">
        <f>IF(I150="","",IF(#REF!&gt;0,TRUE,FALSE))</f>
        <v/>
      </c>
      <c r="AI150" s="156">
        <v>140</v>
      </c>
      <c r="AJ150" s="156"/>
      <c r="AK150" s="156" t="str">
        <f t="array" ref="AK150">IFERROR(INDEX($AI$11:$AI$259, MATCH(0, IF(TRUE=$AF$11:$AF$259, COUNTIF($AK$10:$AK149, $AI$11:$AI$259), ""), 0)),"")</f>
        <v/>
      </c>
      <c r="AL150" s="156" t="str">
        <f t="array" ref="AL150">IFERROR(INDEX($AI$11:$AI$259, MATCH(0, IF(TRUE=$AG$11:$AG$259, COUNTIF($AL$10:$AL149, $AI$11:$AI$259), ""), 0)),"")</f>
        <v/>
      </c>
      <c r="AM150" s="156" t="str">
        <f t="array" ref="AM150">IFERROR(INDEX($AI$11:$AI$259, MATCH(0, IF(TRUE=$AH$11:$AH$259, COUNTIF($AM$10:$AM149, $AI$11:$AI$259), ""), 0)),"")</f>
        <v/>
      </c>
      <c r="AQ150" s="31">
        <f t="shared" si="17"/>
        <v>0</v>
      </c>
    </row>
    <row r="151" spans="1:43" x14ac:dyDescent="0.25">
      <c r="A151" s="31" t="str">
        <f>IFERROR(INDEX('G-1 All Habitats'!$AG$3:$AG$15,MATCH(E151,'G-1 All Habitats'!$AF$3:$AF$15,0)),"")</f>
        <v/>
      </c>
      <c r="B151" s="31" t="str">
        <f>IFERROR(INDEX('G-8 Condition Look up'!$I$4:$I$130,MATCH(G151,'G-8 Condition Look up'!$A$4:$A$130,0)),"")</f>
        <v/>
      </c>
      <c r="D151" s="141">
        <v>141</v>
      </c>
      <c r="E151" s="203"/>
      <c r="F151" s="203"/>
      <c r="G151" s="250" t="str">
        <f>IFERROR(INDEX('G-1 All Habitats'!$B$3:$B$129,MATCH(F151,'G-1 All Habitats'!$A$3:$A$129,0)),"")</f>
        <v/>
      </c>
      <c r="H151" s="172"/>
      <c r="I151" s="498" t="str">
        <f>IF(G151="","",VLOOKUP(G151,'G-1 All Habitats'!$B$2:$M$129,10,FALSE))</f>
        <v/>
      </c>
      <c r="J151" s="499" t="str">
        <f>IFERROR(VLOOKUP(I151,'G-1 All Habitats'!$V$3:$W$7,2,FALSE),"")</f>
        <v/>
      </c>
      <c r="K151" s="145"/>
      <c r="L151" s="499" t="str">
        <f>IFERROR(INDEX('G-8 Condition Look up'!$A$3:$H$130,MATCH(G151,'G-8 Condition Look up'!$A$3:$A$130,0),MATCH(K151,'G-8 Condition Look up'!$A$3:$H$3,0)),"")</f>
        <v/>
      </c>
      <c r="M151" s="154"/>
      <c r="N151" s="520" t="str">
        <f>IF(M151="","",IF(VLOOKUP(M151,'G-3 Multipliers'!$L$3:$N$6,2,FALSE)=0,"Spatial Data Missing ⚠",VLOOKUP(M151,'G-3 Multipliers'!$L$3:$N$6,2,FALSE)))</f>
        <v/>
      </c>
      <c r="O151" s="524" t="str">
        <f>IF(M151="","",IF(VLOOKUP(M151,'G-3 Multipliers'!$L$3:$N$6,3,FALSE)=0,"Spatial Data Missing ⚠",VLOOKUP(M151,'G-3 Multipliers'!$L$3:$N$6,3,FALSE)))</f>
        <v/>
      </c>
      <c r="P151" s="506" t="str">
        <f>IFERROR(VLOOKUP(G151,'G-1 All Habitats'!$B$2:$M$129,12,FALSE),"")</f>
        <v/>
      </c>
      <c r="Q151" s="513" t="str">
        <f>IFERROR(IF(P151="","",IF(AND(P151='G-1 All Habitats'!$X$3,T151&gt;0),U151+V151,IF(AND(P151='G-1 All Habitats'!$X$3,S151&gt;0),U151+V151,IF(AND(P151='G-1 All Habitats'!$X$3,AC151&gt;0),"Any Loss Unacceptable",IF(AND(P151='G-1 All Habitats'!$X$3,W151&gt;0),"Any Loss Unacceptable",H151*J151*L151*O151))))),"Check Data ⚠")</f>
        <v/>
      </c>
      <c r="R151" s="50"/>
      <c r="S151" s="71"/>
      <c r="T151" s="72"/>
      <c r="U151" s="511" t="str">
        <f t="shared" si="14"/>
        <v/>
      </c>
      <c r="V151" s="511" t="str">
        <f t="shared" si="15"/>
        <v/>
      </c>
      <c r="W151" s="511"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545" t="str">
        <f>IFERROR(IF(H151="","",IF(H151-S151-T151=0&lt;0,"Error in Areas ▲",IF(S151+T151&gt;H151,"Error in Areas ▲",IF(AND(P151='G-1 All Habitats'!$X$3,Y151="Yes"),"Alternative Compensation",IF(W151=0,0,IF(P151='G-1 All Habitats'!$X$3,"Unacceptable Loss",Q151-U151-V151)))))),"Check Data ⚠")</f>
        <v/>
      </c>
      <c r="Y151" s="72"/>
      <c r="Z151" s="151"/>
      <c r="AA151" s="152"/>
      <c r="AC151" s="251" t="str">
        <f>IF(P151="","",IF(P151='G-1 All Habitats'!$X$3,H151-S151-T151,"None"))</f>
        <v/>
      </c>
      <c r="AD151" s="252" t="str">
        <f t="shared" si="16"/>
        <v/>
      </c>
      <c r="AF151" s="156" t="str">
        <f t="shared" si="12"/>
        <v/>
      </c>
      <c r="AG151" s="156" t="str">
        <f t="shared" si="13"/>
        <v/>
      </c>
      <c r="AH151" s="156" t="str">
        <f>IF(I151="","",IF(#REF!&gt;0,TRUE,FALSE))</f>
        <v/>
      </c>
      <c r="AI151" s="156">
        <v>141</v>
      </c>
      <c r="AJ151" s="156"/>
      <c r="AK151" s="156" t="str">
        <f t="array" ref="AK151">IFERROR(INDEX($AI$11:$AI$259, MATCH(0, IF(TRUE=$AF$11:$AF$259, COUNTIF($AK$10:$AK150, $AI$11:$AI$259), ""), 0)),"")</f>
        <v/>
      </c>
      <c r="AL151" s="156" t="str">
        <f t="array" ref="AL151">IFERROR(INDEX($AI$11:$AI$259, MATCH(0, IF(TRUE=$AG$11:$AG$259, COUNTIF($AL$10:$AL150, $AI$11:$AI$259), ""), 0)),"")</f>
        <v/>
      </c>
      <c r="AM151" s="156" t="str">
        <f t="array" ref="AM151">IFERROR(INDEX($AI$11:$AI$259, MATCH(0, IF(TRUE=$AH$11:$AH$259, COUNTIF($AM$10:$AM150, $AI$11:$AI$259), ""), 0)),"")</f>
        <v/>
      </c>
      <c r="AQ151" s="31">
        <f t="shared" si="17"/>
        <v>0</v>
      </c>
    </row>
    <row r="152" spans="1:43" x14ac:dyDescent="0.25">
      <c r="A152" s="31" t="str">
        <f>IFERROR(INDEX('G-1 All Habitats'!$AG$3:$AG$15,MATCH(E152,'G-1 All Habitats'!$AF$3:$AF$15,0)),"")</f>
        <v/>
      </c>
      <c r="B152" s="31" t="str">
        <f>IFERROR(INDEX('G-8 Condition Look up'!$I$4:$I$130,MATCH(G152,'G-8 Condition Look up'!$A$4:$A$130,0)),"")</f>
        <v/>
      </c>
      <c r="D152" s="141">
        <v>142</v>
      </c>
      <c r="E152" s="203"/>
      <c r="F152" s="203"/>
      <c r="G152" s="250" t="str">
        <f>IFERROR(INDEX('G-1 All Habitats'!$B$3:$B$129,MATCH(F152,'G-1 All Habitats'!$A$3:$A$129,0)),"")</f>
        <v/>
      </c>
      <c r="H152" s="172"/>
      <c r="I152" s="498" t="str">
        <f>IF(G152="","",VLOOKUP(G152,'G-1 All Habitats'!$B$2:$M$129,10,FALSE))</f>
        <v/>
      </c>
      <c r="J152" s="499" t="str">
        <f>IFERROR(VLOOKUP(I152,'G-1 All Habitats'!$V$3:$W$7,2,FALSE),"")</f>
        <v/>
      </c>
      <c r="K152" s="145"/>
      <c r="L152" s="499" t="str">
        <f>IFERROR(INDEX('G-8 Condition Look up'!$A$3:$H$130,MATCH(G152,'G-8 Condition Look up'!$A$3:$A$130,0),MATCH(K152,'G-8 Condition Look up'!$A$3:$H$3,0)),"")</f>
        <v/>
      </c>
      <c r="M152" s="154"/>
      <c r="N152" s="520" t="str">
        <f>IF(M152="","",IF(VLOOKUP(M152,'G-3 Multipliers'!$L$3:$N$6,2,FALSE)=0,"Spatial Data Missing ⚠",VLOOKUP(M152,'G-3 Multipliers'!$L$3:$N$6,2,FALSE)))</f>
        <v/>
      </c>
      <c r="O152" s="524" t="str">
        <f>IF(M152="","",IF(VLOOKUP(M152,'G-3 Multipliers'!$L$3:$N$6,3,FALSE)=0,"Spatial Data Missing ⚠",VLOOKUP(M152,'G-3 Multipliers'!$L$3:$N$6,3,FALSE)))</f>
        <v/>
      </c>
      <c r="P152" s="506" t="str">
        <f>IFERROR(VLOOKUP(G152,'G-1 All Habitats'!$B$2:$M$129,12,FALSE),"")</f>
        <v/>
      </c>
      <c r="Q152" s="513" t="str">
        <f>IFERROR(IF(P152="","",IF(AND(P152='G-1 All Habitats'!$X$3,T152&gt;0),U152+V152,IF(AND(P152='G-1 All Habitats'!$X$3,S152&gt;0),U152+V152,IF(AND(P152='G-1 All Habitats'!$X$3,AC152&gt;0),"Any Loss Unacceptable",IF(AND(P152='G-1 All Habitats'!$X$3,W152&gt;0),"Any Loss Unacceptable",H152*J152*L152*O152))))),"Check Data ⚠")</f>
        <v/>
      </c>
      <c r="R152" s="50"/>
      <c r="S152" s="71"/>
      <c r="T152" s="72"/>
      <c r="U152" s="511" t="str">
        <f t="shared" si="14"/>
        <v/>
      </c>
      <c r="V152" s="511" t="str">
        <f t="shared" si="15"/>
        <v/>
      </c>
      <c r="W152" s="511"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545" t="str">
        <f>IFERROR(IF(H152="","",IF(H152-S152-T152=0&lt;0,"Error in Areas ▲",IF(S152+T152&gt;H152,"Error in Areas ▲",IF(AND(P152='G-1 All Habitats'!$X$3,Y152="Yes"),"Alternative Compensation",IF(W152=0,0,IF(P152='G-1 All Habitats'!$X$3,"Unacceptable Loss",Q152-U152-V152)))))),"Check Data ⚠")</f>
        <v/>
      </c>
      <c r="Y152" s="72"/>
      <c r="Z152" s="151"/>
      <c r="AA152" s="152"/>
      <c r="AC152" s="251" t="str">
        <f>IF(P152="","",IF(P152='G-1 All Habitats'!$X$3,H152-S152-T152,"None"))</f>
        <v/>
      </c>
      <c r="AD152" s="252" t="str">
        <f t="shared" si="16"/>
        <v/>
      </c>
      <c r="AF152" s="156" t="str">
        <f t="shared" si="12"/>
        <v/>
      </c>
      <c r="AG152" s="156" t="str">
        <f t="shared" si="13"/>
        <v/>
      </c>
      <c r="AH152" s="156" t="str">
        <f>IF(I152="","",IF(#REF!&gt;0,TRUE,FALSE))</f>
        <v/>
      </c>
      <c r="AI152" s="156">
        <v>142</v>
      </c>
      <c r="AJ152" s="156"/>
      <c r="AK152" s="156" t="str">
        <f t="array" ref="AK152">IFERROR(INDEX($AI$11:$AI$259, MATCH(0, IF(TRUE=$AF$11:$AF$259, COUNTIF($AK$10:$AK151, $AI$11:$AI$259), ""), 0)),"")</f>
        <v/>
      </c>
      <c r="AL152" s="156" t="str">
        <f t="array" ref="AL152">IFERROR(INDEX($AI$11:$AI$259, MATCH(0, IF(TRUE=$AG$11:$AG$259, COUNTIF($AL$10:$AL151, $AI$11:$AI$259), ""), 0)),"")</f>
        <v/>
      </c>
      <c r="AM152" s="156" t="str">
        <f t="array" ref="AM152">IFERROR(INDEX($AI$11:$AI$259, MATCH(0, IF(TRUE=$AH$11:$AH$259, COUNTIF($AM$10:$AM151, $AI$11:$AI$259), ""), 0)),"")</f>
        <v/>
      </c>
      <c r="AQ152" s="31">
        <f t="shared" si="17"/>
        <v>0</v>
      </c>
    </row>
    <row r="153" spans="1:43" x14ac:dyDescent="0.25">
      <c r="A153" s="31" t="str">
        <f>IFERROR(INDEX('G-1 All Habitats'!$AG$3:$AG$15,MATCH(E153,'G-1 All Habitats'!$AF$3:$AF$15,0)),"")</f>
        <v/>
      </c>
      <c r="B153" s="31" t="str">
        <f>IFERROR(INDEX('G-8 Condition Look up'!$I$4:$I$130,MATCH(G153,'G-8 Condition Look up'!$A$4:$A$130,0)),"")</f>
        <v/>
      </c>
      <c r="D153" s="141">
        <v>143</v>
      </c>
      <c r="E153" s="203"/>
      <c r="F153" s="203"/>
      <c r="G153" s="250" t="str">
        <f>IFERROR(INDEX('G-1 All Habitats'!$B$3:$B$129,MATCH(F153,'G-1 All Habitats'!$A$3:$A$129,0)),"")</f>
        <v/>
      </c>
      <c r="H153" s="172"/>
      <c r="I153" s="498" t="str">
        <f>IF(G153="","",VLOOKUP(G153,'G-1 All Habitats'!$B$2:$M$129,10,FALSE))</f>
        <v/>
      </c>
      <c r="J153" s="499" t="str">
        <f>IFERROR(VLOOKUP(I153,'G-1 All Habitats'!$V$3:$W$7,2,FALSE),"")</f>
        <v/>
      </c>
      <c r="K153" s="145"/>
      <c r="L153" s="499" t="str">
        <f>IFERROR(INDEX('G-8 Condition Look up'!$A$3:$H$130,MATCH(G153,'G-8 Condition Look up'!$A$3:$A$130,0),MATCH(K153,'G-8 Condition Look up'!$A$3:$H$3,0)),"")</f>
        <v/>
      </c>
      <c r="M153" s="154"/>
      <c r="N153" s="520" t="str">
        <f>IF(M153="","",IF(VLOOKUP(M153,'G-3 Multipliers'!$L$3:$N$6,2,FALSE)=0,"Spatial Data Missing ⚠",VLOOKUP(M153,'G-3 Multipliers'!$L$3:$N$6,2,FALSE)))</f>
        <v/>
      </c>
      <c r="O153" s="524" t="str">
        <f>IF(M153="","",IF(VLOOKUP(M153,'G-3 Multipliers'!$L$3:$N$6,3,FALSE)=0,"Spatial Data Missing ⚠",VLOOKUP(M153,'G-3 Multipliers'!$L$3:$N$6,3,FALSE)))</f>
        <v/>
      </c>
      <c r="P153" s="506" t="str">
        <f>IFERROR(VLOOKUP(G153,'G-1 All Habitats'!$B$2:$M$129,12,FALSE),"")</f>
        <v/>
      </c>
      <c r="Q153" s="513" t="str">
        <f>IFERROR(IF(P153="","",IF(AND(P153='G-1 All Habitats'!$X$3,T153&gt;0),U153+V153,IF(AND(P153='G-1 All Habitats'!$X$3,S153&gt;0),U153+V153,IF(AND(P153='G-1 All Habitats'!$X$3,AC153&gt;0),"Any Loss Unacceptable",IF(AND(P153='G-1 All Habitats'!$X$3,W153&gt;0),"Any Loss Unacceptable",H153*J153*L153*O153))))),"Check Data ⚠")</f>
        <v/>
      </c>
      <c r="R153" s="50"/>
      <c r="S153" s="71"/>
      <c r="T153" s="72"/>
      <c r="U153" s="511" t="str">
        <f t="shared" si="14"/>
        <v/>
      </c>
      <c r="V153" s="511" t="str">
        <f t="shared" si="15"/>
        <v/>
      </c>
      <c r="W153" s="511"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545" t="str">
        <f>IFERROR(IF(H153="","",IF(H153-S153-T153=0&lt;0,"Error in Areas ▲",IF(S153+T153&gt;H153,"Error in Areas ▲",IF(AND(P153='G-1 All Habitats'!$X$3,Y153="Yes"),"Alternative Compensation",IF(W153=0,0,IF(P153='G-1 All Habitats'!$X$3,"Unacceptable Loss",Q153-U153-V153)))))),"Check Data ⚠")</f>
        <v/>
      </c>
      <c r="Y153" s="72"/>
      <c r="Z153" s="151"/>
      <c r="AA153" s="152"/>
      <c r="AC153" s="251" t="str">
        <f>IF(P153="","",IF(P153='G-1 All Habitats'!$X$3,H153-S153-T153,"None"))</f>
        <v/>
      </c>
      <c r="AD153" s="252" t="str">
        <f t="shared" si="16"/>
        <v/>
      </c>
      <c r="AF153" s="156" t="str">
        <f t="shared" si="12"/>
        <v/>
      </c>
      <c r="AG153" s="156" t="str">
        <f t="shared" si="13"/>
        <v/>
      </c>
      <c r="AH153" s="156" t="str">
        <f>IF(I153="","",IF(#REF!&gt;0,TRUE,FALSE))</f>
        <v/>
      </c>
      <c r="AI153" s="156">
        <v>143</v>
      </c>
      <c r="AJ153" s="156"/>
      <c r="AK153" s="156" t="str">
        <f t="array" ref="AK153">IFERROR(INDEX($AI$11:$AI$259, MATCH(0, IF(TRUE=$AF$11:$AF$259, COUNTIF($AK$10:$AK152, $AI$11:$AI$259), ""), 0)),"")</f>
        <v/>
      </c>
      <c r="AL153" s="156" t="str">
        <f t="array" ref="AL153">IFERROR(INDEX($AI$11:$AI$259, MATCH(0, IF(TRUE=$AG$11:$AG$259, COUNTIF($AL$10:$AL152, $AI$11:$AI$259), ""), 0)),"")</f>
        <v/>
      </c>
      <c r="AM153" s="156" t="str">
        <f t="array" ref="AM153">IFERROR(INDEX($AI$11:$AI$259, MATCH(0, IF(TRUE=$AH$11:$AH$259, COUNTIF($AM$10:$AM152, $AI$11:$AI$259), ""), 0)),"")</f>
        <v/>
      </c>
      <c r="AQ153" s="31">
        <f t="shared" si="17"/>
        <v>0</v>
      </c>
    </row>
    <row r="154" spans="1:43" x14ac:dyDescent="0.25">
      <c r="A154" s="31" t="str">
        <f>IFERROR(INDEX('G-1 All Habitats'!$AG$3:$AG$15,MATCH(E154,'G-1 All Habitats'!$AF$3:$AF$15,0)),"")</f>
        <v/>
      </c>
      <c r="B154" s="31" t="str">
        <f>IFERROR(INDEX('G-8 Condition Look up'!$I$4:$I$130,MATCH(G154,'G-8 Condition Look up'!$A$4:$A$130,0)),"")</f>
        <v/>
      </c>
      <c r="D154" s="141">
        <v>144</v>
      </c>
      <c r="E154" s="203"/>
      <c r="F154" s="203"/>
      <c r="G154" s="250" t="str">
        <f>IFERROR(INDEX('G-1 All Habitats'!$B$3:$B$129,MATCH(F154,'G-1 All Habitats'!$A$3:$A$129,0)),"")</f>
        <v/>
      </c>
      <c r="H154" s="172"/>
      <c r="I154" s="498" t="str">
        <f>IF(G154="","",VLOOKUP(G154,'G-1 All Habitats'!$B$2:$M$129,10,FALSE))</f>
        <v/>
      </c>
      <c r="J154" s="499" t="str">
        <f>IFERROR(VLOOKUP(I154,'G-1 All Habitats'!$V$3:$W$7,2,FALSE),"")</f>
        <v/>
      </c>
      <c r="K154" s="145"/>
      <c r="L154" s="499" t="str">
        <f>IFERROR(INDEX('G-8 Condition Look up'!$A$3:$H$130,MATCH(G154,'G-8 Condition Look up'!$A$3:$A$130,0),MATCH(K154,'G-8 Condition Look up'!$A$3:$H$3,0)),"")</f>
        <v/>
      </c>
      <c r="M154" s="154"/>
      <c r="N154" s="520" t="str">
        <f>IF(M154="","",IF(VLOOKUP(M154,'G-3 Multipliers'!$L$3:$N$6,2,FALSE)=0,"Spatial Data Missing ⚠",VLOOKUP(M154,'G-3 Multipliers'!$L$3:$N$6,2,FALSE)))</f>
        <v/>
      </c>
      <c r="O154" s="524" t="str">
        <f>IF(M154="","",IF(VLOOKUP(M154,'G-3 Multipliers'!$L$3:$N$6,3,FALSE)=0,"Spatial Data Missing ⚠",VLOOKUP(M154,'G-3 Multipliers'!$L$3:$N$6,3,FALSE)))</f>
        <v/>
      </c>
      <c r="P154" s="506" t="str">
        <f>IFERROR(VLOOKUP(G154,'G-1 All Habitats'!$B$2:$M$129,12,FALSE),"")</f>
        <v/>
      </c>
      <c r="Q154" s="513" t="str">
        <f>IFERROR(IF(P154="","",IF(AND(P154='G-1 All Habitats'!$X$3,T154&gt;0),U154+V154,IF(AND(P154='G-1 All Habitats'!$X$3,S154&gt;0),U154+V154,IF(AND(P154='G-1 All Habitats'!$X$3,AC154&gt;0),"Any Loss Unacceptable",IF(AND(P154='G-1 All Habitats'!$X$3,W154&gt;0),"Any Loss Unacceptable",H154*J154*L154*O154))))),"Check Data ⚠")</f>
        <v/>
      </c>
      <c r="R154" s="50"/>
      <c r="S154" s="71"/>
      <c r="T154" s="72"/>
      <c r="U154" s="511" t="str">
        <f t="shared" si="14"/>
        <v/>
      </c>
      <c r="V154" s="511" t="str">
        <f t="shared" si="15"/>
        <v/>
      </c>
      <c r="W154" s="511"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545" t="str">
        <f>IFERROR(IF(H154="","",IF(H154-S154-T154=0&lt;0,"Error in Areas ▲",IF(S154+T154&gt;H154,"Error in Areas ▲",IF(AND(P154='G-1 All Habitats'!$X$3,Y154="Yes"),"Alternative Compensation",IF(W154=0,0,IF(P154='G-1 All Habitats'!$X$3,"Unacceptable Loss",Q154-U154-V154)))))),"Check Data ⚠")</f>
        <v/>
      </c>
      <c r="Y154" s="72"/>
      <c r="Z154" s="151"/>
      <c r="AA154" s="152"/>
      <c r="AC154" s="251" t="str">
        <f>IF(P154="","",IF(P154='G-1 All Habitats'!$X$3,H154-S154-T154,"None"))</f>
        <v/>
      </c>
      <c r="AD154" s="252" t="str">
        <f t="shared" si="16"/>
        <v/>
      </c>
      <c r="AF154" s="156" t="str">
        <f t="shared" si="12"/>
        <v/>
      </c>
      <c r="AG154" s="156" t="str">
        <f t="shared" si="13"/>
        <v/>
      </c>
      <c r="AH154" s="156" t="str">
        <f>IF(I154="","",IF(#REF!&gt;0,TRUE,FALSE))</f>
        <v/>
      </c>
      <c r="AI154" s="156">
        <v>144</v>
      </c>
      <c r="AJ154" s="156"/>
      <c r="AK154" s="156" t="str">
        <f t="array" ref="AK154">IFERROR(INDEX($AI$11:$AI$259, MATCH(0, IF(TRUE=$AF$11:$AF$259, COUNTIF($AK$10:$AK153, $AI$11:$AI$259), ""), 0)),"")</f>
        <v/>
      </c>
      <c r="AL154" s="156" t="str">
        <f t="array" ref="AL154">IFERROR(INDEX($AI$11:$AI$259, MATCH(0, IF(TRUE=$AG$11:$AG$259, COUNTIF($AL$10:$AL153, $AI$11:$AI$259), ""), 0)),"")</f>
        <v/>
      </c>
      <c r="AM154" s="156" t="str">
        <f t="array" ref="AM154">IFERROR(INDEX($AI$11:$AI$259, MATCH(0, IF(TRUE=$AH$11:$AH$259, COUNTIF($AM$10:$AM153, $AI$11:$AI$259), ""), 0)),"")</f>
        <v/>
      </c>
      <c r="AQ154" s="31">
        <f t="shared" si="17"/>
        <v>0</v>
      </c>
    </row>
    <row r="155" spans="1:43" x14ac:dyDescent="0.25">
      <c r="A155" s="31" t="str">
        <f>IFERROR(INDEX('G-1 All Habitats'!$AG$3:$AG$15,MATCH(E155,'G-1 All Habitats'!$AF$3:$AF$15,0)),"")</f>
        <v/>
      </c>
      <c r="B155" s="31" t="str">
        <f>IFERROR(INDEX('G-8 Condition Look up'!$I$4:$I$130,MATCH(G155,'G-8 Condition Look up'!$A$4:$A$130,0)),"")</f>
        <v/>
      </c>
      <c r="D155" s="141">
        <v>145</v>
      </c>
      <c r="E155" s="203"/>
      <c r="F155" s="203"/>
      <c r="G155" s="250" t="str">
        <f>IFERROR(INDEX('G-1 All Habitats'!$B$3:$B$129,MATCH(F155,'G-1 All Habitats'!$A$3:$A$129,0)),"")</f>
        <v/>
      </c>
      <c r="H155" s="172"/>
      <c r="I155" s="498" t="str">
        <f>IF(G155="","",VLOOKUP(G155,'G-1 All Habitats'!$B$2:$M$129,10,FALSE))</f>
        <v/>
      </c>
      <c r="J155" s="499" t="str">
        <f>IFERROR(VLOOKUP(I155,'G-1 All Habitats'!$V$3:$W$7,2,FALSE),"")</f>
        <v/>
      </c>
      <c r="K155" s="145"/>
      <c r="L155" s="499" t="str">
        <f>IFERROR(INDEX('G-8 Condition Look up'!$A$3:$H$130,MATCH(G155,'G-8 Condition Look up'!$A$3:$A$130,0),MATCH(K155,'G-8 Condition Look up'!$A$3:$H$3,0)),"")</f>
        <v/>
      </c>
      <c r="M155" s="154"/>
      <c r="N155" s="520" t="str">
        <f>IF(M155="","",IF(VLOOKUP(M155,'G-3 Multipliers'!$L$3:$N$6,2,FALSE)=0,"Spatial Data Missing ⚠",VLOOKUP(M155,'G-3 Multipliers'!$L$3:$N$6,2,FALSE)))</f>
        <v/>
      </c>
      <c r="O155" s="524" t="str">
        <f>IF(M155="","",IF(VLOOKUP(M155,'G-3 Multipliers'!$L$3:$N$6,3,FALSE)=0,"Spatial Data Missing ⚠",VLOOKUP(M155,'G-3 Multipliers'!$L$3:$N$6,3,FALSE)))</f>
        <v/>
      </c>
      <c r="P155" s="506" t="str">
        <f>IFERROR(VLOOKUP(G155,'G-1 All Habitats'!$B$2:$M$129,12,FALSE),"")</f>
        <v/>
      </c>
      <c r="Q155" s="513" t="str">
        <f>IFERROR(IF(P155="","",IF(AND(P155='G-1 All Habitats'!$X$3,T155&gt;0),U155+V155,IF(AND(P155='G-1 All Habitats'!$X$3,S155&gt;0),U155+V155,IF(AND(P155='G-1 All Habitats'!$X$3,AC155&gt;0),"Any Loss Unacceptable",IF(AND(P155='G-1 All Habitats'!$X$3,W155&gt;0),"Any Loss Unacceptable",H155*J155*L155*O155))))),"Check Data ⚠")</f>
        <v/>
      </c>
      <c r="R155" s="50"/>
      <c r="S155" s="71"/>
      <c r="T155" s="72"/>
      <c r="U155" s="511" t="str">
        <f t="shared" si="14"/>
        <v/>
      </c>
      <c r="V155" s="511" t="str">
        <f t="shared" si="15"/>
        <v/>
      </c>
      <c r="W155" s="511"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545" t="str">
        <f>IFERROR(IF(H155="","",IF(H155-S155-T155=0&lt;0,"Error in Areas ▲",IF(S155+T155&gt;H155,"Error in Areas ▲",IF(AND(P155='G-1 All Habitats'!$X$3,Y155="Yes"),"Alternative Compensation",IF(W155=0,0,IF(P155='G-1 All Habitats'!$X$3,"Unacceptable Loss",Q155-U155-V155)))))),"Check Data ⚠")</f>
        <v/>
      </c>
      <c r="Y155" s="72"/>
      <c r="Z155" s="151"/>
      <c r="AA155" s="152"/>
      <c r="AC155" s="251" t="str">
        <f>IF(P155="","",IF(P155='G-1 All Habitats'!$X$3,H155-S155-T155,"None"))</f>
        <v/>
      </c>
      <c r="AD155" s="252" t="str">
        <f t="shared" si="16"/>
        <v/>
      </c>
      <c r="AF155" s="156" t="str">
        <f t="shared" si="12"/>
        <v/>
      </c>
      <c r="AG155" s="156" t="str">
        <f t="shared" si="13"/>
        <v/>
      </c>
      <c r="AH155" s="156" t="str">
        <f>IF(I155="","",IF(#REF!&gt;0,TRUE,FALSE))</f>
        <v/>
      </c>
      <c r="AI155" s="156">
        <v>145</v>
      </c>
      <c r="AJ155" s="156"/>
      <c r="AK155" s="156" t="str">
        <f t="array" ref="AK155">IFERROR(INDEX($AI$11:$AI$259, MATCH(0, IF(TRUE=$AF$11:$AF$259, COUNTIF($AK$10:$AK154, $AI$11:$AI$259), ""), 0)),"")</f>
        <v/>
      </c>
      <c r="AL155" s="156" t="str">
        <f t="array" ref="AL155">IFERROR(INDEX($AI$11:$AI$259, MATCH(0, IF(TRUE=$AG$11:$AG$259, COUNTIF($AL$10:$AL154, $AI$11:$AI$259), ""), 0)),"")</f>
        <v/>
      </c>
      <c r="AM155" s="156" t="str">
        <f t="array" ref="AM155">IFERROR(INDEX($AI$11:$AI$259, MATCH(0, IF(TRUE=$AH$11:$AH$259, COUNTIF($AM$10:$AM154, $AI$11:$AI$259), ""), 0)),"")</f>
        <v/>
      </c>
      <c r="AQ155" s="31">
        <f t="shared" si="17"/>
        <v>0</v>
      </c>
    </row>
    <row r="156" spans="1:43" x14ac:dyDescent="0.25">
      <c r="A156" s="31" t="str">
        <f>IFERROR(INDEX('G-1 All Habitats'!$AG$3:$AG$15,MATCH(E156,'G-1 All Habitats'!$AF$3:$AF$15,0)),"")</f>
        <v/>
      </c>
      <c r="B156" s="31" t="str">
        <f>IFERROR(INDEX('G-8 Condition Look up'!$I$4:$I$130,MATCH(G156,'G-8 Condition Look up'!$A$4:$A$130,0)),"")</f>
        <v/>
      </c>
      <c r="D156" s="141">
        <v>146</v>
      </c>
      <c r="E156" s="203"/>
      <c r="F156" s="203"/>
      <c r="G156" s="250" t="str">
        <f>IFERROR(INDEX('G-1 All Habitats'!$B$3:$B$129,MATCH(F156,'G-1 All Habitats'!$A$3:$A$129,0)),"")</f>
        <v/>
      </c>
      <c r="H156" s="172"/>
      <c r="I156" s="498" t="str">
        <f>IF(G156="","",VLOOKUP(G156,'G-1 All Habitats'!$B$2:$M$129,10,FALSE))</f>
        <v/>
      </c>
      <c r="J156" s="499" t="str">
        <f>IFERROR(VLOOKUP(I156,'G-1 All Habitats'!$V$3:$W$7,2,FALSE),"")</f>
        <v/>
      </c>
      <c r="K156" s="145"/>
      <c r="L156" s="499" t="str">
        <f>IFERROR(INDEX('G-8 Condition Look up'!$A$3:$H$130,MATCH(G156,'G-8 Condition Look up'!$A$3:$A$130,0),MATCH(K156,'G-8 Condition Look up'!$A$3:$H$3,0)),"")</f>
        <v/>
      </c>
      <c r="M156" s="154"/>
      <c r="N156" s="520" t="str">
        <f>IF(M156="","",IF(VLOOKUP(M156,'G-3 Multipliers'!$L$3:$N$6,2,FALSE)=0,"Spatial Data Missing ⚠",VLOOKUP(M156,'G-3 Multipliers'!$L$3:$N$6,2,FALSE)))</f>
        <v/>
      </c>
      <c r="O156" s="524" t="str">
        <f>IF(M156="","",IF(VLOOKUP(M156,'G-3 Multipliers'!$L$3:$N$6,3,FALSE)=0,"Spatial Data Missing ⚠",VLOOKUP(M156,'G-3 Multipliers'!$L$3:$N$6,3,FALSE)))</f>
        <v/>
      </c>
      <c r="P156" s="506" t="str">
        <f>IFERROR(VLOOKUP(G156,'G-1 All Habitats'!$B$2:$M$129,12,FALSE),"")</f>
        <v/>
      </c>
      <c r="Q156" s="513" t="str">
        <f>IFERROR(IF(P156="","",IF(AND(P156='G-1 All Habitats'!$X$3,T156&gt;0),U156+V156,IF(AND(P156='G-1 All Habitats'!$X$3,S156&gt;0),U156+V156,IF(AND(P156='G-1 All Habitats'!$X$3,AC156&gt;0),"Any Loss Unacceptable",IF(AND(P156='G-1 All Habitats'!$X$3,W156&gt;0),"Any Loss Unacceptable",H156*J156*L156*O156))))),"Check Data ⚠")</f>
        <v/>
      </c>
      <c r="R156" s="50"/>
      <c r="S156" s="71"/>
      <c r="T156" s="72"/>
      <c r="U156" s="511" t="str">
        <f t="shared" si="14"/>
        <v/>
      </c>
      <c r="V156" s="511" t="str">
        <f t="shared" si="15"/>
        <v/>
      </c>
      <c r="W156" s="511"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545" t="str">
        <f>IFERROR(IF(H156="","",IF(H156-S156-T156=0&lt;0,"Error in Areas ▲",IF(S156+T156&gt;H156,"Error in Areas ▲",IF(AND(P156='G-1 All Habitats'!$X$3,Y156="Yes"),"Alternative Compensation",IF(W156=0,0,IF(P156='G-1 All Habitats'!$X$3,"Unacceptable Loss",Q156-U156-V156)))))),"Check Data ⚠")</f>
        <v/>
      </c>
      <c r="Y156" s="72"/>
      <c r="Z156" s="151"/>
      <c r="AA156" s="152"/>
      <c r="AC156" s="251" t="str">
        <f>IF(P156="","",IF(P156='G-1 All Habitats'!$X$3,H156-S156-T156,"None"))</f>
        <v/>
      </c>
      <c r="AD156" s="252" t="str">
        <f t="shared" si="16"/>
        <v/>
      </c>
      <c r="AF156" s="156" t="str">
        <f t="shared" si="12"/>
        <v/>
      </c>
      <c r="AG156" s="156" t="str">
        <f t="shared" si="13"/>
        <v/>
      </c>
      <c r="AH156" s="156" t="str">
        <f>IF(I156="","",IF(#REF!&gt;0,TRUE,FALSE))</f>
        <v/>
      </c>
      <c r="AI156" s="156">
        <v>146</v>
      </c>
      <c r="AJ156" s="156"/>
      <c r="AK156" s="156" t="str">
        <f t="array" ref="AK156">IFERROR(INDEX($AI$11:$AI$259, MATCH(0, IF(TRUE=$AF$11:$AF$259, COUNTIF($AK$10:$AK155, $AI$11:$AI$259), ""), 0)),"")</f>
        <v/>
      </c>
      <c r="AL156" s="156" t="str">
        <f t="array" ref="AL156">IFERROR(INDEX($AI$11:$AI$259, MATCH(0, IF(TRUE=$AG$11:$AG$259, COUNTIF($AL$10:$AL155, $AI$11:$AI$259), ""), 0)),"")</f>
        <v/>
      </c>
      <c r="AM156" s="156" t="str">
        <f t="array" ref="AM156">IFERROR(INDEX($AI$11:$AI$259, MATCH(0, IF(TRUE=$AH$11:$AH$259, COUNTIF($AM$10:$AM155, $AI$11:$AI$259), ""), 0)),"")</f>
        <v/>
      </c>
      <c r="AQ156" s="31">
        <f t="shared" si="17"/>
        <v>0</v>
      </c>
    </row>
    <row r="157" spans="1:43" x14ac:dyDescent="0.25">
      <c r="A157" s="31" t="str">
        <f>IFERROR(INDEX('G-1 All Habitats'!$AG$3:$AG$15,MATCH(E157,'G-1 All Habitats'!$AF$3:$AF$15,0)),"")</f>
        <v/>
      </c>
      <c r="B157" s="31" t="str">
        <f>IFERROR(INDEX('G-8 Condition Look up'!$I$4:$I$130,MATCH(G157,'G-8 Condition Look up'!$A$4:$A$130,0)),"")</f>
        <v/>
      </c>
      <c r="D157" s="141">
        <v>147</v>
      </c>
      <c r="E157" s="203"/>
      <c r="F157" s="203"/>
      <c r="G157" s="250" t="str">
        <f>IFERROR(INDEX('G-1 All Habitats'!$B$3:$B$129,MATCH(F157,'G-1 All Habitats'!$A$3:$A$129,0)),"")</f>
        <v/>
      </c>
      <c r="H157" s="172"/>
      <c r="I157" s="498" t="str">
        <f>IF(G157="","",VLOOKUP(G157,'G-1 All Habitats'!$B$2:$M$129,10,FALSE))</f>
        <v/>
      </c>
      <c r="J157" s="499" t="str">
        <f>IFERROR(VLOOKUP(I157,'G-1 All Habitats'!$V$3:$W$7,2,FALSE),"")</f>
        <v/>
      </c>
      <c r="K157" s="145"/>
      <c r="L157" s="499" t="str">
        <f>IFERROR(INDEX('G-8 Condition Look up'!$A$3:$H$130,MATCH(G157,'G-8 Condition Look up'!$A$3:$A$130,0),MATCH(K157,'G-8 Condition Look up'!$A$3:$H$3,0)),"")</f>
        <v/>
      </c>
      <c r="M157" s="154"/>
      <c r="N157" s="520" t="str">
        <f>IF(M157="","",IF(VLOOKUP(M157,'G-3 Multipliers'!$L$3:$N$6,2,FALSE)=0,"Spatial Data Missing ⚠",VLOOKUP(M157,'G-3 Multipliers'!$L$3:$N$6,2,FALSE)))</f>
        <v/>
      </c>
      <c r="O157" s="524" t="str">
        <f>IF(M157="","",IF(VLOOKUP(M157,'G-3 Multipliers'!$L$3:$N$6,3,FALSE)=0,"Spatial Data Missing ⚠",VLOOKUP(M157,'G-3 Multipliers'!$L$3:$N$6,3,FALSE)))</f>
        <v/>
      </c>
      <c r="P157" s="506" t="str">
        <f>IFERROR(VLOOKUP(G157,'G-1 All Habitats'!$B$2:$M$129,12,FALSE),"")</f>
        <v/>
      </c>
      <c r="Q157" s="513" t="str">
        <f>IFERROR(IF(P157="","",IF(AND(P157='G-1 All Habitats'!$X$3,T157&gt;0),U157+V157,IF(AND(P157='G-1 All Habitats'!$X$3,S157&gt;0),U157+V157,IF(AND(P157='G-1 All Habitats'!$X$3,AC157&gt;0),"Any Loss Unacceptable",IF(AND(P157='G-1 All Habitats'!$X$3,W157&gt;0),"Any Loss Unacceptable",H157*J157*L157*O157))))),"Check Data ⚠")</f>
        <v/>
      </c>
      <c r="R157" s="50"/>
      <c r="S157" s="71"/>
      <c r="T157" s="72"/>
      <c r="U157" s="511" t="str">
        <f t="shared" si="14"/>
        <v/>
      </c>
      <c r="V157" s="511" t="str">
        <f t="shared" si="15"/>
        <v/>
      </c>
      <c r="W157" s="511"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545" t="str">
        <f>IFERROR(IF(H157="","",IF(H157-S157-T157=0&lt;0,"Error in Areas ▲",IF(S157+T157&gt;H157,"Error in Areas ▲",IF(AND(P157='G-1 All Habitats'!$X$3,Y157="Yes"),"Alternative Compensation",IF(W157=0,0,IF(P157='G-1 All Habitats'!$X$3,"Unacceptable Loss",Q157-U157-V157)))))),"Check Data ⚠")</f>
        <v/>
      </c>
      <c r="Y157" s="72"/>
      <c r="Z157" s="151"/>
      <c r="AA157" s="152"/>
      <c r="AC157" s="251" t="str">
        <f>IF(P157="","",IF(P157='G-1 All Habitats'!$X$3,H157-S157-T157,"None"))</f>
        <v/>
      </c>
      <c r="AD157" s="252" t="str">
        <f t="shared" si="16"/>
        <v/>
      </c>
      <c r="AF157" s="156" t="str">
        <f t="shared" si="12"/>
        <v/>
      </c>
      <c r="AG157" s="156" t="str">
        <f t="shared" si="13"/>
        <v/>
      </c>
      <c r="AH157" s="156" t="str">
        <f>IF(I157="","",IF(#REF!&gt;0,TRUE,FALSE))</f>
        <v/>
      </c>
      <c r="AI157" s="156">
        <v>147</v>
      </c>
      <c r="AJ157" s="156"/>
      <c r="AK157" s="156" t="str">
        <f t="array" ref="AK157">IFERROR(INDEX($AI$11:$AI$259, MATCH(0, IF(TRUE=$AF$11:$AF$259, COUNTIF($AK$10:$AK156, $AI$11:$AI$259), ""), 0)),"")</f>
        <v/>
      </c>
      <c r="AL157" s="156" t="str">
        <f t="array" ref="AL157">IFERROR(INDEX($AI$11:$AI$259, MATCH(0, IF(TRUE=$AG$11:$AG$259, COUNTIF($AL$10:$AL156, $AI$11:$AI$259), ""), 0)),"")</f>
        <v/>
      </c>
      <c r="AM157" s="156" t="str">
        <f t="array" ref="AM157">IFERROR(INDEX($AI$11:$AI$259, MATCH(0, IF(TRUE=$AH$11:$AH$259, COUNTIF($AM$10:$AM156, $AI$11:$AI$259), ""), 0)),"")</f>
        <v/>
      </c>
      <c r="AQ157" s="31">
        <f t="shared" si="17"/>
        <v>0</v>
      </c>
    </row>
    <row r="158" spans="1:43" x14ac:dyDescent="0.25">
      <c r="A158" s="31" t="str">
        <f>IFERROR(INDEX('G-1 All Habitats'!$AG$3:$AG$15,MATCH(E158,'G-1 All Habitats'!$AF$3:$AF$15,0)),"")</f>
        <v/>
      </c>
      <c r="B158" s="31" t="str">
        <f>IFERROR(INDEX('G-8 Condition Look up'!$I$4:$I$130,MATCH(G158,'G-8 Condition Look up'!$A$4:$A$130,0)),"")</f>
        <v/>
      </c>
      <c r="D158" s="141">
        <v>148</v>
      </c>
      <c r="E158" s="203"/>
      <c r="F158" s="203"/>
      <c r="G158" s="250" t="str">
        <f>IFERROR(INDEX('G-1 All Habitats'!$B$3:$B$129,MATCH(F158,'G-1 All Habitats'!$A$3:$A$129,0)),"")</f>
        <v/>
      </c>
      <c r="H158" s="172"/>
      <c r="I158" s="498" t="str">
        <f>IF(G158="","",VLOOKUP(G158,'G-1 All Habitats'!$B$2:$M$129,10,FALSE))</f>
        <v/>
      </c>
      <c r="J158" s="499" t="str">
        <f>IFERROR(VLOOKUP(I158,'G-1 All Habitats'!$V$3:$W$7,2,FALSE),"")</f>
        <v/>
      </c>
      <c r="K158" s="145"/>
      <c r="L158" s="499" t="str">
        <f>IFERROR(INDEX('G-8 Condition Look up'!$A$3:$H$130,MATCH(G158,'G-8 Condition Look up'!$A$3:$A$130,0),MATCH(K158,'G-8 Condition Look up'!$A$3:$H$3,0)),"")</f>
        <v/>
      </c>
      <c r="M158" s="154"/>
      <c r="N158" s="520" t="str">
        <f>IF(M158="","",IF(VLOOKUP(M158,'G-3 Multipliers'!$L$3:$N$6,2,FALSE)=0,"Spatial Data Missing ⚠",VLOOKUP(M158,'G-3 Multipliers'!$L$3:$N$6,2,FALSE)))</f>
        <v/>
      </c>
      <c r="O158" s="524" t="str">
        <f>IF(M158="","",IF(VLOOKUP(M158,'G-3 Multipliers'!$L$3:$N$6,3,FALSE)=0,"Spatial Data Missing ⚠",VLOOKUP(M158,'G-3 Multipliers'!$L$3:$N$6,3,FALSE)))</f>
        <v/>
      </c>
      <c r="P158" s="506" t="str">
        <f>IFERROR(VLOOKUP(G158,'G-1 All Habitats'!$B$2:$M$129,12,FALSE),"")</f>
        <v/>
      </c>
      <c r="Q158" s="513" t="str">
        <f>IFERROR(IF(P158="","",IF(AND(P158='G-1 All Habitats'!$X$3,T158&gt;0),U158+V158,IF(AND(P158='G-1 All Habitats'!$X$3,S158&gt;0),U158+V158,IF(AND(P158='G-1 All Habitats'!$X$3,AC158&gt;0),"Any Loss Unacceptable",IF(AND(P158='G-1 All Habitats'!$X$3,W158&gt;0),"Any Loss Unacceptable",H158*J158*L158*O158))))),"Check Data ⚠")</f>
        <v/>
      </c>
      <c r="R158" s="50"/>
      <c r="S158" s="71"/>
      <c r="T158" s="72"/>
      <c r="U158" s="511" t="str">
        <f t="shared" si="14"/>
        <v/>
      </c>
      <c r="V158" s="511" t="str">
        <f t="shared" si="15"/>
        <v/>
      </c>
      <c r="W158" s="511"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545" t="str">
        <f>IFERROR(IF(H158="","",IF(H158-S158-T158=0&lt;0,"Error in Areas ▲",IF(S158+T158&gt;H158,"Error in Areas ▲",IF(AND(P158='G-1 All Habitats'!$X$3,Y158="Yes"),"Alternative Compensation",IF(W158=0,0,IF(P158='G-1 All Habitats'!$X$3,"Unacceptable Loss",Q158-U158-V158)))))),"Check Data ⚠")</f>
        <v/>
      </c>
      <c r="Y158" s="72"/>
      <c r="Z158" s="151"/>
      <c r="AA158" s="152"/>
      <c r="AC158" s="251" t="str">
        <f>IF(P158="","",IF(P158='G-1 All Habitats'!$X$3,H158-S158-T158,"None"))</f>
        <v/>
      </c>
      <c r="AD158" s="252" t="str">
        <f t="shared" si="16"/>
        <v/>
      </c>
      <c r="AF158" s="156" t="str">
        <f t="shared" si="12"/>
        <v/>
      </c>
      <c r="AG158" s="156" t="str">
        <f t="shared" si="13"/>
        <v/>
      </c>
      <c r="AH158" s="156" t="str">
        <f>IF(I158="","",IF(#REF!&gt;0,TRUE,FALSE))</f>
        <v/>
      </c>
      <c r="AI158" s="156">
        <v>148</v>
      </c>
      <c r="AJ158" s="156"/>
      <c r="AK158" s="156" t="str">
        <f t="array" ref="AK158">IFERROR(INDEX($AI$11:$AI$259, MATCH(0, IF(TRUE=$AF$11:$AF$259, COUNTIF($AK$10:$AK157, $AI$11:$AI$259), ""), 0)),"")</f>
        <v/>
      </c>
      <c r="AL158" s="156" t="str">
        <f t="array" ref="AL158">IFERROR(INDEX($AI$11:$AI$259, MATCH(0, IF(TRUE=$AG$11:$AG$259, COUNTIF($AL$10:$AL157, $AI$11:$AI$259), ""), 0)),"")</f>
        <v/>
      </c>
      <c r="AM158" s="156" t="str">
        <f t="array" ref="AM158">IFERROR(INDEX($AI$11:$AI$259, MATCH(0, IF(TRUE=$AH$11:$AH$259, COUNTIF($AM$10:$AM157, $AI$11:$AI$259), ""), 0)),"")</f>
        <v/>
      </c>
      <c r="AQ158" s="31">
        <f t="shared" si="17"/>
        <v>0</v>
      </c>
    </row>
    <row r="159" spans="1:43" x14ac:dyDescent="0.25">
      <c r="A159" s="31" t="str">
        <f>IFERROR(INDEX('G-1 All Habitats'!$AG$3:$AG$15,MATCH(E159,'G-1 All Habitats'!$AF$3:$AF$15,0)),"")</f>
        <v/>
      </c>
      <c r="B159" s="31" t="str">
        <f>IFERROR(INDEX('G-8 Condition Look up'!$I$4:$I$130,MATCH(G159,'G-8 Condition Look up'!$A$4:$A$130,0)),"")</f>
        <v/>
      </c>
      <c r="D159" s="141">
        <v>149</v>
      </c>
      <c r="E159" s="203"/>
      <c r="F159" s="203"/>
      <c r="G159" s="250" t="str">
        <f>IFERROR(INDEX('G-1 All Habitats'!$B$3:$B$129,MATCH(F159,'G-1 All Habitats'!$A$3:$A$129,0)),"")</f>
        <v/>
      </c>
      <c r="H159" s="172"/>
      <c r="I159" s="498" t="str">
        <f>IF(G159="","",VLOOKUP(G159,'G-1 All Habitats'!$B$2:$M$129,10,FALSE))</f>
        <v/>
      </c>
      <c r="J159" s="499" t="str">
        <f>IFERROR(VLOOKUP(I159,'G-1 All Habitats'!$V$3:$W$7,2,FALSE),"")</f>
        <v/>
      </c>
      <c r="K159" s="145"/>
      <c r="L159" s="499" t="str">
        <f>IFERROR(INDEX('G-8 Condition Look up'!$A$3:$H$130,MATCH(G159,'G-8 Condition Look up'!$A$3:$A$130,0),MATCH(K159,'G-8 Condition Look up'!$A$3:$H$3,0)),"")</f>
        <v/>
      </c>
      <c r="M159" s="154"/>
      <c r="N159" s="520" t="str">
        <f>IF(M159="","",IF(VLOOKUP(M159,'G-3 Multipliers'!$L$3:$N$6,2,FALSE)=0,"Spatial Data Missing ⚠",VLOOKUP(M159,'G-3 Multipliers'!$L$3:$N$6,2,FALSE)))</f>
        <v/>
      </c>
      <c r="O159" s="524" t="str">
        <f>IF(M159="","",IF(VLOOKUP(M159,'G-3 Multipliers'!$L$3:$N$6,3,FALSE)=0,"Spatial Data Missing ⚠",VLOOKUP(M159,'G-3 Multipliers'!$L$3:$N$6,3,FALSE)))</f>
        <v/>
      </c>
      <c r="P159" s="506" t="str">
        <f>IFERROR(VLOOKUP(G159,'G-1 All Habitats'!$B$2:$M$129,12,FALSE),"")</f>
        <v/>
      </c>
      <c r="Q159" s="513" t="str">
        <f>IFERROR(IF(P159="","",IF(AND(P159='G-1 All Habitats'!$X$3,T159&gt;0),U159+V159,IF(AND(P159='G-1 All Habitats'!$X$3,S159&gt;0),U159+V159,IF(AND(P159='G-1 All Habitats'!$X$3,AC159&gt;0),"Any Loss Unacceptable",IF(AND(P159='G-1 All Habitats'!$X$3,W159&gt;0),"Any Loss Unacceptable",H159*J159*L159*O159))))),"Check Data ⚠")</f>
        <v/>
      </c>
      <c r="R159" s="50"/>
      <c r="S159" s="71"/>
      <c r="T159" s="72"/>
      <c r="U159" s="511" t="str">
        <f t="shared" si="14"/>
        <v/>
      </c>
      <c r="V159" s="511" t="str">
        <f t="shared" si="15"/>
        <v/>
      </c>
      <c r="W159" s="511"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545" t="str">
        <f>IFERROR(IF(H159="","",IF(H159-S159-T159=0&lt;0,"Error in Areas ▲",IF(S159+T159&gt;H159,"Error in Areas ▲",IF(AND(P159='G-1 All Habitats'!$X$3,Y159="Yes"),"Alternative Compensation",IF(W159=0,0,IF(P159='G-1 All Habitats'!$X$3,"Unacceptable Loss",Q159-U159-V159)))))),"Check Data ⚠")</f>
        <v/>
      </c>
      <c r="Y159" s="72"/>
      <c r="Z159" s="151"/>
      <c r="AA159" s="152"/>
      <c r="AC159" s="251" t="str">
        <f>IF(P159="","",IF(P159='G-1 All Habitats'!$X$3,H159-S159-T159,"None"))</f>
        <v/>
      </c>
      <c r="AD159" s="252" t="str">
        <f t="shared" si="16"/>
        <v/>
      </c>
      <c r="AF159" s="156" t="str">
        <f t="shared" si="12"/>
        <v/>
      </c>
      <c r="AG159" s="156" t="str">
        <f t="shared" si="13"/>
        <v/>
      </c>
      <c r="AH159" s="156" t="str">
        <f>IF(I159="","",IF(#REF!&gt;0,TRUE,FALSE))</f>
        <v/>
      </c>
      <c r="AI159" s="156">
        <v>149</v>
      </c>
      <c r="AJ159" s="156"/>
      <c r="AK159" s="156" t="str">
        <f t="array" ref="AK159">IFERROR(INDEX($AI$11:$AI$259, MATCH(0, IF(TRUE=$AF$11:$AF$259, COUNTIF($AK$10:$AK158, $AI$11:$AI$259), ""), 0)),"")</f>
        <v/>
      </c>
      <c r="AL159" s="156" t="str">
        <f t="array" ref="AL159">IFERROR(INDEX($AI$11:$AI$259, MATCH(0, IF(TRUE=$AG$11:$AG$259, COUNTIF($AL$10:$AL158, $AI$11:$AI$259), ""), 0)),"")</f>
        <v/>
      </c>
      <c r="AM159" s="156" t="str">
        <f t="array" ref="AM159">IFERROR(INDEX($AI$11:$AI$259, MATCH(0, IF(TRUE=$AH$11:$AH$259, COUNTIF($AM$10:$AM158, $AI$11:$AI$259), ""), 0)),"")</f>
        <v/>
      </c>
      <c r="AQ159" s="31">
        <f t="shared" si="17"/>
        <v>0</v>
      </c>
    </row>
    <row r="160" spans="1:43" x14ac:dyDescent="0.25">
      <c r="A160" s="31" t="str">
        <f>IFERROR(INDEX('G-1 All Habitats'!$AG$3:$AG$15,MATCH(E160,'G-1 All Habitats'!$AF$3:$AF$15,0)),"")</f>
        <v/>
      </c>
      <c r="B160" s="31" t="str">
        <f>IFERROR(INDEX('G-8 Condition Look up'!$I$4:$I$130,MATCH(G160,'G-8 Condition Look up'!$A$4:$A$130,0)),"")</f>
        <v/>
      </c>
      <c r="D160" s="141">
        <v>150</v>
      </c>
      <c r="E160" s="203"/>
      <c r="F160" s="203"/>
      <c r="G160" s="250" t="str">
        <f>IFERROR(INDEX('G-1 All Habitats'!$B$3:$B$129,MATCH(F160,'G-1 All Habitats'!$A$3:$A$129,0)),"")</f>
        <v/>
      </c>
      <c r="H160" s="172"/>
      <c r="I160" s="498" t="str">
        <f>IF(G160="","",VLOOKUP(G160,'G-1 All Habitats'!$B$2:$M$129,10,FALSE))</f>
        <v/>
      </c>
      <c r="J160" s="499" t="str">
        <f>IFERROR(VLOOKUP(I160,'G-1 All Habitats'!$V$3:$W$7,2,FALSE),"")</f>
        <v/>
      </c>
      <c r="K160" s="145"/>
      <c r="L160" s="499" t="str">
        <f>IFERROR(INDEX('G-8 Condition Look up'!$A$3:$H$130,MATCH(G160,'G-8 Condition Look up'!$A$3:$A$130,0),MATCH(K160,'G-8 Condition Look up'!$A$3:$H$3,0)),"")</f>
        <v/>
      </c>
      <c r="M160" s="154"/>
      <c r="N160" s="520" t="str">
        <f>IF(M160="","",IF(VLOOKUP(M160,'G-3 Multipliers'!$L$3:$N$6,2,FALSE)=0,"Spatial Data Missing ⚠",VLOOKUP(M160,'G-3 Multipliers'!$L$3:$N$6,2,FALSE)))</f>
        <v/>
      </c>
      <c r="O160" s="524" t="str">
        <f>IF(M160="","",IF(VLOOKUP(M160,'G-3 Multipliers'!$L$3:$N$6,3,FALSE)=0,"Spatial Data Missing ⚠",VLOOKUP(M160,'G-3 Multipliers'!$L$3:$N$6,3,FALSE)))</f>
        <v/>
      </c>
      <c r="P160" s="506" t="str">
        <f>IFERROR(VLOOKUP(G160,'G-1 All Habitats'!$B$2:$M$129,12,FALSE),"")</f>
        <v/>
      </c>
      <c r="Q160" s="513" t="str">
        <f>IFERROR(IF(P160="","",IF(AND(P160='G-1 All Habitats'!$X$3,T160&gt;0),U160+V160,IF(AND(P160='G-1 All Habitats'!$X$3,S160&gt;0),U160+V160,IF(AND(P160='G-1 All Habitats'!$X$3,AC160&gt;0),"Any Loss Unacceptable",IF(AND(P160='G-1 All Habitats'!$X$3,W160&gt;0),"Any Loss Unacceptable",H160*J160*L160*O160))))),"Check Data ⚠")</f>
        <v/>
      </c>
      <c r="R160" s="50"/>
      <c r="S160" s="71"/>
      <c r="T160" s="72"/>
      <c r="U160" s="511" t="str">
        <f t="shared" si="14"/>
        <v/>
      </c>
      <c r="V160" s="511" t="str">
        <f t="shared" si="15"/>
        <v/>
      </c>
      <c r="W160" s="511"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545" t="str">
        <f>IFERROR(IF(H160="","",IF(H160-S160-T160=0&lt;0,"Error in Areas ▲",IF(S160+T160&gt;H160,"Error in Areas ▲",IF(AND(P160='G-1 All Habitats'!$X$3,Y160="Yes"),"Alternative Compensation",IF(W160=0,0,IF(P160='G-1 All Habitats'!$X$3,"Unacceptable Loss",Q160-U160-V160)))))),"Check Data ⚠")</f>
        <v/>
      </c>
      <c r="Y160" s="72"/>
      <c r="Z160" s="151"/>
      <c r="AA160" s="152"/>
      <c r="AC160" s="251" t="str">
        <f>IF(P160="","",IF(P160='G-1 All Habitats'!$X$3,H160-S160-T160,"None"))</f>
        <v/>
      </c>
      <c r="AD160" s="252" t="str">
        <f t="shared" si="16"/>
        <v/>
      </c>
      <c r="AF160" s="156" t="str">
        <f t="shared" si="12"/>
        <v/>
      </c>
      <c r="AG160" s="156" t="str">
        <f t="shared" si="13"/>
        <v/>
      </c>
      <c r="AH160" s="156" t="str">
        <f>IF(I160="","",IF(#REF!&gt;0,TRUE,FALSE))</f>
        <v/>
      </c>
      <c r="AI160" s="156">
        <v>150</v>
      </c>
      <c r="AJ160" s="156"/>
      <c r="AK160" s="156" t="str">
        <f t="array" ref="AK160">IFERROR(INDEX($AI$11:$AI$259, MATCH(0, IF(TRUE=$AF$11:$AF$259, COUNTIF($AK$10:$AK159, $AI$11:$AI$259), ""), 0)),"")</f>
        <v/>
      </c>
      <c r="AL160" s="156" t="str">
        <f t="array" ref="AL160">IFERROR(INDEX($AI$11:$AI$259, MATCH(0, IF(TRUE=$AG$11:$AG$259, COUNTIF($AL$10:$AL159, $AI$11:$AI$259), ""), 0)),"")</f>
        <v/>
      </c>
      <c r="AM160" s="156" t="str">
        <f t="array" ref="AM160">IFERROR(INDEX($AI$11:$AI$259, MATCH(0, IF(TRUE=$AH$11:$AH$259, COUNTIF($AM$10:$AM159, $AI$11:$AI$259), ""), 0)),"")</f>
        <v/>
      </c>
      <c r="AQ160" s="31">
        <f t="shared" si="17"/>
        <v>0</v>
      </c>
    </row>
    <row r="161" spans="1:43" x14ac:dyDescent="0.25">
      <c r="A161" s="31" t="str">
        <f>IFERROR(INDEX('G-1 All Habitats'!$AG$3:$AG$15,MATCH(E161,'G-1 All Habitats'!$AF$3:$AF$15,0)),"")</f>
        <v/>
      </c>
      <c r="B161" s="31" t="str">
        <f>IFERROR(INDEX('G-8 Condition Look up'!$I$4:$I$130,MATCH(G161,'G-8 Condition Look up'!$A$4:$A$130,0)),"")</f>
        <v/>
      </c>
      <c r="D161" s="141">
        <v>151</v>
      </c>
      <c r="E161" s="203"/>
      <c r="F161" s="203"/>
      <c r="G161" s="250" t="str">
        <f>IFERROR(INDEX('G-1 All Habitats'!$B$3:$B$129,MATCH(F161,'G-1 All Habitats'!$A$3:$A$129,0)),"")</f>
        <v/>
      </c>
      <c r="H161" s="172"/>
      <c r="I161" s="498" t="str">
        <f>IF(G161="","",VLOOKUP(G161,'G-1 All Habitats'!$B$2:$M$129,10,FALSE))</f>
        <v/>
      </c>
      <c r="J161" s="499" t="str">
        <f>IFERROR(VLOOKUP(I161,'G-1 All Habitats'!$V$3:$W$7,2,FALSE),"")</f>
        <v/>
      </c>
      <c r="K161" s="145"/>
      <c r="L161" s="499" t="str">
        <f>IFERROR(INDEX('G-8 Condition Look up'!$A$3:$H$130,MATCH(G161,'G-8 Condition Look up'!$A$3:$A$130,0),MATCH(K161,'G-8 Condition Look up'!$A$3:$H$3,0)),"")</f>
        <v/>
      </c>
      <c r="M161" s="154"/>
      <c r="N161" s="520" t="str">
        <f>IF(M161="","",IF(VLOOKUP(M161,'G-3 Multipliers'!$L$3:$N$6,2,FALSE)=0,"Spatial Data Missing ⚠",VLOOKUP(M161,'G-3 Multipliers'!$L$3:$N$6,2,FALSE)))</f>
        <v/>
      </c>
      <c r="O161" s="524" t="str">
        <f>IF(M161="","",IF(VLOOKUP(M161,'G-3 Multipliers'!$L$3:$N$6,3,FALSE)=0,"Spatial Data Missing ⚠",VLOOKUP(M161,'G-3 Multipliers'!$L$3:$N$6,3,FALSE)))</f>
        <v/>
      </c>
      <c r="P161" s="506" t="str">
        <f>IFERROR(VLOOKUP(G161,'G-1 All Habitats'!$B$2:$M$129,12,FALSE),"")</f>
        <v/>
      </c>
      <c r="Q161" s="513" t="str">
        <f>IFERROR(IF(P161="","",IF(AND(P161='G-1 All Habitats'!$X$3,T161&gt;0),U161+V161,IF(AND(P161='G-1 All Habitats'!$X$3,S161&gt;0),U161+V161,IF(AND(P161='G-1 All Habitats'!$X$3,AC161&gt;0),"Any Loss Unacceptable",IF(AND(P161='G-1 All Habitats'!$X$3,W161&gt;0),"Any Loss Unacceptable",H161*J161*L161*O161))))),"Check Data ⚠")</f>
        <v/>
      </c>
      <c r="R161" s="50"/>
      <c r="S161" s="71"/>
      <c r="T161" s="72"/>
      <c r="U161" s="511" t="str">
        <f t="shared" si="14"/>
        <v/>
      </c>
      <c r="V161" s="511" t="str">
        <f t="shared" si="15"/>
        <v/>
      </c>
      <c r="W161" s="511"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545" t="str">
        <f>IFERROR(IF(H161="","",IF(H161-S161-T161=0&lt;0,"Error in Areas ▲",IF(S161+T161&gt;H161,"Error in Areas ▲",IF(AND(P161='G-1 All Habitats'!$X$3,Y161="Yes"),"Alternative Compensation",IF(W161=0,0,IF(P161='G-1 All Habitats'!$X$3,"Unacceptable Loss",Q161-U161-V161)))))),"Check Data ⚠")</f>
        <v/>
      </c>
      <c r="Y161" s="72"/>
      <c r="Z161" s="151"/>
      <c r="AA161" s="152"/>
      <c r="AC161" s="251" t="str">
        <f>IF(P161="","",IF(P161='G-1 All Habitats'!$X$3,H161-S161-T161,"None"))</f>
        <v/>
      </c>
      <c r="AD161" s="252" t="str">
        <f t="shared" si="16"/>
        <v/>
      </c>
      <c r="AF161" s="156" t="str">
        <f t="shared" si="12"/>
        <v/>
      </c>
      <c r="AG161" s="156" t="str">
        <f t="shared" si="13"/>
        <v/>
      </c>
      <c r="AH161" s="156" t="str">
        <f>IF(I161="","",IF(#REF!&gt;0,TRUE,FALSE))</f>
        <v/>
      </c>
      <c r="AI161" s="156">
        <v>151</v>
      </c>
      <c r="AJ161" s="156"/>
      <c r="AK161" s="156" t="str">
        <f t="array" ref="AK161">IFERROR(INDEX($AI$11:$AI$259, MATCH(0, IF(TRUE=$AF$11:$AF$259, COUNTIF($AK$10:$AK160, $AI$11:$AI$259), ""), 0)),"")</f>
        <v/>
      </c>
      <c r="AL161" s="156" t="str">
        <f t="array" ref="AL161">IFERROR(INDEX($AI$11:$AI$259, MATCH(0, IF(TRUE=$AG$11:$AG$259, COUNTIF($AL$10:$AL160, $AI$11:$AI$259), ""), 0)),"")</f>
        <v/>
      </c>
      <c r="AM161" s="156" t="str">
        <f t="array" ref="AM161">IFERROR(INDEX($AI$11:$AI$259, MATCH(0, IF(TRUE=$AH$11:$AH$259, COUNTIF($AM$10:$AM160, $AI$11:$AI$259), ""), 0)),"")</f>
        <v/>
      </c>
      <c r="AQ161" s="31">
        <f t="shared" si="17"/>
        <v>0</v>
      </c>
    </row>
    <row r="162" spans="1:43" x14ac:dyDescent="0.25">
      <c r="A162" s="31" t="str">
        <f>IFERROR(INDEX('G-1 All Habitats'!$AG$3:$AG$15,MATCH(E162,'G-1 All Habitats'!$AF$3:$AF$15,0)),"")</f>
        <v/>
      </c>
      <c r="B162" s="31" t="str">
        <f>IFERROR(INDEX('G-8 Condition Look up'!$I$4:$I$130,MATCH(G162,'G-8 Condition Look up'!$A$4:$A$130,0)),"")</f>
        <v/>
      </c>
      <c r="D162" s="141">
        <v>152</v>
      </c>
      <c r="E162" s="203"/>
      <c r="F162" s="203"/>
      <c r="G162" s="250" t="str">
        <f>IFERROR(INDEX('G-1 All Habitats'!$B$3:$B$129,MATCH(F162,'G-1 All Habitats'!$A$3:$A$129,0)),"")</f>
        <v/>
      </c>
      <c r="H162" s="172"/>
      <c r="I162" s="498" t="str">
        <f>IF(G162="","",VLOOKUP(G162,'G-1 All Habitats'!$B$2:$M$129,10,FALSE))</f>
        <v/>
      </c>
      <c r="J162" s="499" t="str">
        <f>IFERROR(VLOOKUP(I162,'G-1 All Habitats'!$V$3:$W$7,2,FALSE),"")</f>
        <v/>
      </c>
      <c r="K162" s="145"/>
      <c r="L162" s="499" t="str">
        <f>IFERROR(INDEX('G-8 Condition Look up'!$A$3:$H$130,MATCH(G162,'G-8 Condition Look up'!$A$3:$A$130,0),MATCH(K162,'G-8 Condition Look up'!$A$3:$H$3,0)),"")</f>
        <v/>
      </c>
      <c r="M162" s="154"/>
      <c r="N162" s="520" t="str">
        <f>IF(M162="","",IF(VLOOKUP(M162,'G-3 Multipliers'!$L$3:$N$6,2,FALSE)=0,"Spatial Data Missing ⚠",VLOOKUP(M162,'G-3 Multipliers'!$L$3:$N$6,2,FALSE)))</f>
        <v/>
      </c>
      <c r="O162" s="524" t="str">
        <f>IF(M162="","",IF(VLOOKUP(M162,'G-3 Multipliers'!$L$3:$N$6,3,FALSE)=0,"Spatial Data Missing ⚠",VLOOKUP(M162,'G-3 Multipliers'!$L$3:$N$6,3,FALSE)))</f>
        <v/>
      </c>
      <c r="P162" s="506" t="str">
        <f>IFERROR(VLOOKUP(G162,'G-1 All Habitats'!$B$2:$M$129,12,FALSE),"")</f>
        <v/>
      </c>
      <c r="Q162" s="513" t="str">
        <f>IFERROR(IF(P162="","",IF(AND(P162='G-1 All Habitats'!$X$3,T162&gt;0),U162+V162,IF(AND(P162='G-1 All Habitats'!$X$3,S162&gt;0),U162+V162,IF(AND(P162='G-1 All Habitats'!$X$3,AC162&gt;0),"Any Loss Unacceptable",IF(AND(P162='G-1 All Habitats'!$X$3,W162&gt;0),"Any Loss Unacceptable",H162*J162*L162*O162))))),"Check Data ⚠")</f>
        <v/>
      </c>
      <c r="R162" s="50"/>
      <c r="S162" s="71"/>
      <c r="T162" s="72"/>
      <c r="U162" s="511" t="str">
        <f t="shared" si="14"/>
        <v/>
      </c>
      <c r="V162" s="511" t="str">
        <f t="shared" si="15"/>
        <v/>
      </c>
      <c r="W162" s="511"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545" t="str">
        <f>IFERROR(IF(H162="","",IF(H162-S162-T162=0&lt;0,"Error in Areas ▲",IF(S162+T162&gt;H162,"Error in Areas ▲",IF(AND(P162='G-1 All Habitats'!$X$3,Y162="Yes"),"Alternative Compensation",IF(W162=0,0,IF(P162='G-1 All Habitats'!$X$3,"Unacceptable Loss",Q162-U162-V162)))))),"Check Data ⚠")</f>
        <v/>
      </c>
      <c r="Y162" s="72"/>
      <c r="Z162" s="151"/>
      <c r="AA162" s="152"/>
      <c r="AC162" s="251" t="str">
        <f>IF(P162="","",IF(P162='G-1 All Habitats'!$X$3,H162-S162-T162,"None"))</f>
        <v/>
      </c>
      <c r="AD162" s="252" t="str">
        <f t="shared" si="16"/>
        <v/>
      </c>
      <c r="AF162" s="156" t="str">
        <f t="shared" si="12"/>
        <v/>
      </c>
      <c r="AG162" s="156" t="str">
        <f t="shared" si="13"/>
        <v/>
      </c>
      <c r="AH162" s="156" t="str">
        <f>IF(I162="","",IF(#REF!&gt;0,TRUE,FALSE))</f>
        <v/>
      </c>
      <c r="AI162" s="156">
        <v>152</v>
      </c>
      <c r="AJ162" s="156"/>
      <c r="AK162" s="156" t="str">
        <f t="array" ref="AK162">IFERROR(INDEX($AI$11:$AI$259, MATCH(0, IF(TRUE=$AF$11:$AF$259, COUNTIF($AK$10:$AK161, $AI$11:$AI$259), ""), 0)),"")</f>
        <v/>
      </c>
      <c r="AL162" s="156" t="str">
        <f t="array" ref="AL162">IFERROR(INDEX($AI$11:$AI$259, MATCH(0, IF(TRUE=$AG$11:$AG$259, COUNTIF($AL$10:$AL161, $AI$11:$AI$259), ""), 0)),"")</f>
        <v/>
      </c>
      <c r="AM162" s="156" t="str">
        <f t="array" ref="AM162">IFERROR(INDEX($AI$11:$AI$259, MATCH(0, IF(TRUE=$AH$11:$AH$259, COUNTIF($AM$10:$AM161, $AI$11:$AI$259), ""), 0)),"")</f>
        <v/>
      </c>
      <c r="AQ162" s="31">
        <f t="shared" si="17"/>
        <v>0</v>
      </c>
    </row>
    <row r="163" spans="1:43" x14ac:dyDescent="0.25">
      <c r="A163" s="31" t="str">
        <f>IFERROR(INDEX('G-1 All Habitats'!$AG$3:$AG$15,MATCH(E163,'G-1 All Habitats'!$AF$3:$AF$15,0)),"")</f>
        <v/>
      </c>
      <c r="B163" s="31" t="str">
        <f>IFERROR(INDEX('G-8 Condition Look up'!$I$4:$I$130,MATCH(G163,'G-8 Condition Look up'!$A$4:$A$130,0)),"")</f>
        <v/>
      </c>
      <c r="D163" s="141">
        <v>153</v>
      </c>
      <c r="E163" s="203"/>
      <c r="F163" s="203"/>
      <c r="G163" s="250" t="str">
        <f>IFERROR(INDEX('G-1 All Habitats'!$B$3:$B$129,MATCH(F163,'G-1 All Habitats'!$A$3:$A$129,0)),"")</f>
        <v/>
      </c>
      <c r="H163" s="172"/>
      <c r="I163" s="498" t="str">
        <f>IF(G163="","",VLOOKUP(G163,'G-1 All Habitats'!$B$2:$M$129,10,FALSE))</f>
        <v/>
      </c>
      <c r="J163" s="499" t="str">
        <f>IFERROR(VLOOKUP(I163,'G-1 All Habitats'!$V$3:$W$7,2,FALSE),"")</f>
        <v/>
      </c>
      <c r="K163" s="145"/>
      <c r="L163" s="499" t="str">
        <f>IFERROR(INDEX('G-8 Condition Look up'!$A$3:$H$130,MATCH(G163,'G-8 Condition Look up'!$A$3:$A$130,0),MATCH(K163,'G-8 Condition Look up'!$A$3:$H$3,0)),"")</f>
        <v/>
      </c>
      <c r="M163" s="154"/>
      <c r="N163" s="520" t="str">
        <f>IF(M163="","",IF(VLOOKUP(M163,'G-3 Multipliers'!$L$3:$N$6,2,FALSE)=0,"Spatial Data Missing ⚠",VLOOKUP(M163,'G-3 Multipliers'!$L$3:$N$6,2,FALSE)))</f>
        <v/>
      </c>
      <c r="O163" s="524" t="str">
        <f>IF(M163="","",IF(VLOOKUP(M163,'G-3 Multipliers'!$L$3:$N$6,3,FALSE)=0,"Spatial Data Missing ⚠",VLOOKUP(M163,'G-3 Multipliers'!$L$3:$N$6,3,FALSE)))</f>
        <v/>
      </c>
      <c r="P163" s="506" t="str">
        <f>IFERROR(VLOOKUP(G163,'G-1 All Habitats'!$B$2:$M$129,12,FALSE),"")</f>
        <v/>
      </c>
      <c r="Q163" s="513" t="str">
        <f>IFERROR(IF(P163="","",IF(AND(P163='G-1 All Habitats'!$X$3,T163&gt;0),U163+V163,IF(AND(P163='G-1 All Habitats'!$X$3,S163&gt;0),U163+V163,IF(AND(P163='G-1 All Habitats'!$X$3,AC163&gt;0),"Any Loss Unacceptable",IF(AND(P163='G-1 All Habitats'!$X$3,W163&gt;0),"Any Loss Unacceptable",H163*J163*L163*O163))))),"Check Data ⚠")</f>
        <v/>
      </c>
      <c r="R163" s="50"/>
      <c r="S163" s="71"/>
      <c r="T163" s="72"/>
      <c r="U163" s="511" t="str">
        <f t="shared" si="14"/>
        <v/>
      </c>
      <c r="V163" s="511" t="str">
        <f t="shared" si="15"/>
        <v/>
      </c>
      <c r="W163" s="511"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545" t="str">
        <f>IFERROR(IF(H163="","",IF(H163-S163-T163=0&lt;0,"Error in Areas ▲",IF(S163+T163&gt;H163,"Error in Areas ▲",IF(AND(P163='G-1 All Habitats'!$X$3,Y163="Yes"),"Alternative Compensation",IF(W163=0,0,IF(P163='G-1 All Habitats'!$X$3,"Unacceptable Loss",Q163-U163-V163)))))),"Check Data ⚠")</f>
        <v/>
      </c>
      <c r="Y163" s="72"/>
      <c r="Z163" s="151"/>
      <c r="AA163" s="152"/>
      <c r="AC163" s="251" t="str">
        <f>IF(P163="","",IF(P163='G-1 All Habitats'!$X$3,H163-S163-T163,"None"))</f>
        <v/>
      </c>
      <c r="AD163" s="252" t="str">
        <f t="shared" si="16"/>
        <v/>
      </c>
      <c r="AF163" s="156" t="str">
        <f t="shared" si="12"/>
        <v/>
      </c>
      <c r="AG163" s="156" t="str">
        <f t="shared" si="13"/>
        <v/>
      </c>
      <c r="AH163" s="156" t="str">
        <f>IF(I163="","",IF(#REF!&gt;0,TRUE,FALSE))</f>
        <v/>
      </c>
      <c r="AI163" s="156">
        <v>153</v>
      </c>
      <c r="AJ163" s="156"/>
      <c r="AK163" s="156" t="str">
        <f t="array" ref="AK163">IFERROR(INDEX($AI$11:$AI$259, MATCH(0, IF(TRUE=$AF$11:$AF$259, COUNTIF($AK$10:$AK162, $AI$11:$AI$259), ""), 0)),"")</f>
        <v/>
      </c>
      <c r="AL163" s="156" t="str">
        <f t="array" ref="AL163">IFERROR(INDEX($AI$11:$AI$259, MATCH(0, IF(TRUE=$AG$11:$AG$259, COUNTIF($AL$10:$AL162, $AI$11:$AI$259), ""), 0)),"")</f>
        <v/>
      </c>
      <c r="AM163" s="156" t="str">
        <f t="array" ref="AM163">IFERROR(INDEX($AI$11:$AI$259, MATCH(0, IF(TRUE=$AH$11:$AH$259, COUNTIF($AM$10:$AM162, $AI$11:$AI$259), ""), 0)),"")</f>
        <v/>
      </c>
      <c r="AQ163" s="31">
        <f t="shared" si="17"/>
        <v>0</v>
      </c>
    </row>
    <row r="164" spans="1:43" x14ac:dyDescent="0.25">
      <c r="A164" s="31" t="str">
        <f>IFERROR(INDEX('G-1 All Habitats'!$AG$3:$AG$15,MATCH(E164,'G-1 All Habitats'!$AF$3:$AF$15,0)),"")</f>
        <v/>
      </c>
      <c r="B164" s="31" t="str">
        <f>IFERROR(INDEX('G-8 Condition Look up'!$I$4:$I$130,MATCH(G164,'G-8 Condition Look up'!$A$4:$A$130,0)),"")</f>
        <v/>
      </c>
      <c r="D164" s="141">
        <v>154</v>
      </c>
      <c r="E164" s="203"/>
      <c r="F164" s="203"/>
      <c r="G164" s="250" t="str">
        <f>IFERROR(INDEX('G-1 All Habitats'!$B$3:$B$129,MATCH(F164,'G-1 All Habitats'!$A$3:$A$129,0)),"")</f>
        <v/>
      </c>
      <c r="H164" s="172"/>
      <c r="I164" s="498" t="str">
        <f>IF(G164="","",VLOOKUP(G164,'G-1 All Habitats'!$B$2:$M$129,10,FALSE))</f>
        <v/>
      </c>
      <c r="J164" s="499" t="str">
        <f>IFERROR(VLOOKUP(I164,'G-1 All Habitats'!$V$3:$W$7,2,FALSE),"")</f>
        <v/>
      </c>
      <c r="K164" s="145"/>
      <c r="L164" s="499" t="str">
        <f>IFERROR(INDEX('G-8 Condition Look up'!$A$3:$H$130,MATCH(G164,'G-8 Condition Look up'!$A$3:$A$130,0),MATCH(K164,'G-8 Condition Look up'!$A$3:$H$3,0)),"")</f>
        <v/>
      </c>
      <c r="M164" s="154"/>
      <c r="N164" s="520" t="str">
        <f>IF(M164="","",IF(VLOOKUP(M164,'G-3 Multipliers'!$L$3:$N$6,2,FALSE)=0,"Spatial Data Missing ⚠",VLOOKUP(M164,'G-3 Multipliers'!$L$3:$N$6,2,FALSE)))</f>
        <v/>
      </c>
      <c r="O164" s="524" t="str">
        <f>IF(M164="","",IF(VLOOKUP(M164,'G-3 Multipliers'!$L$3:$N$6,3,FALSE)=0,"Spatial Data Missing ⚠",VLOOKUP(M164,'G-3 Multipliers'!$L$3:$N$6,3,FALSE)))</f>
        <v/>
      </c>
      <c r="P164" s="506" t="str">
        <f>IFERROR(VLOOKUP(G164,'G-1 All Habitats'!$B$2:$M$129,12,FALSE),"")</f>
        <v/>
      </c>
      <c r="Q164" s="513" t="str">
        <f>IFERROR(IF(P164="","",IF(AND(P164='G-1 All Habitats'!$X$3,T164&gt;0),U164+V164,IF(AND(P164='G-1 All Habitats'!$X$3,S164&gt;0),U164+V164,IF(AND(P164='G-1 All Habitats'!$X$3,AC164&gt;0),"Any Loss Unacceptable",IF(AND(P164='G-1 All Habitats'!$X$3,W164&gt;0),"Any Loss Unacceptable",H164*J164*L164*O164))))),"Check Data ⚠")</f>
        <v/>
      </c>
      <c r="R164" s="50"/>
      <c r="S164" s="71"/>
      <c r="T164" s="72"/>
      <c r="U164" s="511" t="str">
        <f t="shared" si="14"/>
        <v/>
      </c>
      <c r="V164" s="511" t="str">
        <f t="shared" si="15"/>
        <v/>
      </c>
      <c r="W164" s="511"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545" t="str">
        <f>IFERROR(IF(H164="","",IF(H164-S164-T164=0&lt;0,"Error in Areas ▲",IF(S164+T164&gt;H164,"Error in Areas ▲",IF(AND(P164='G-1 All Habitats'!$X$3,Y164="Yes"),"Alternative Compensation",IF(W164=0,0,IF(P164='G-1 All Habitats'!$X$3,"Unacceptable Loss",Q164-U164-V164)))))),"Check Data ⚠")</f>
        <v/>
      </c>
      <c r="Y164" s="72"/>
      <c r="Z164" s="151"/>
      <c r="AA164" s="152"/>
      <c r="AC164" s="251" t="str">
        <f>IF(P164="","",IF(P164='G-1 All Habitats'!$X$3,H164-S164-T164,"None"))</f>
        <v/>
      </c>
      <c r="AD164" s="252" t="str">
        <f t="shared" si="16"/>
        <v/>
      </c>
      <c r="AF164" s="156" t="str">
        <f t="shared" si="12"/>
        <v/>
      </c>
      <c r="AG164" s="156" t="str">
        <f t="shared" si="13"/>
        <v/>
      </c>
      <c r="AH164" s="156" t="str">
        <f>IF(I164="","",IF(#REF!&gt;0,TRUE,FALSE))</f>
        <v/>
      </c>
      <c r="AI164" s="156">
        <v>154</v>
      </c>
      <c r="AJ164" s="156"/>
      <c r="AK164" s="156" t="str">
        <f t="array" ref="AK164">IFERROR(INDEX($AI$11:$AI$259, MATCH(0, IF(TRUE=$AF$11:$AF$259, COUNTIF($AK$10:$AK163, $AI$11:$AI$259), ""), 0)),"")</f>
        <v/>
      </c>
      <c r="AL164" s="156" t="str">
        <f t="array" ref="AL164">IFERROR(INDEX($AI$11:$AI$259, MATCH(0, IF(TRUE=$AG$11:$AG$259, COUNTIF($AL$10:$AL163, $AI$11:$AI$259), ""), 0)),"")</f>
        <v/>
      </c>
      <c r="AM164" s="156" t="str">
        <f t="array" ref="AM164">IFERROR(INDEX($AI$11:$AI$259, MATCH(0, IF(TRUE=$AH$11:$AH$259, COUNTIF($AM$10:$AM163, $AI$11:$AI$259), ""), 0)),"")</f>
        <v/>
      </c>
      <c r="AQ164" s="31">
        <f t="shared" si="17"/>
        <v>0</v>
      </c>
    </row>
    <row r="165" spans="1:43" x14ac:dyDescent="0.25">
      <c r="A165" s="31" t="str">
        <f>IFERROR(INDEX('G-1 All Habitats'!$AG$3:$AG$15,MATCH(E165,'G-1 All Habitats'!$AF$3:$AF$15,0)),"")</f>
        <v/>
      </c>
      <c r="B165" s="31" t="str">
        <f>IFERROR(INDEX('G-8 Condition Look up'!$I$4:$I$130,MATCH(G165,'G-8 Condition Look up'!$A$4:$A$130,0)),"")</f>
        <v/>
      </c>
      <c r="D165" s="141">
        <v>155</v>
      </c>
      <c r="E165" s="203"/>
      <c r="F165" s="203"/>
      <c r="G165" s="250" t="str">
        <f>IFERROR(INDEX('G-1 All Habitats'!$B$3:$B$129,MATCH(F165,'G-1 All Habitats'!$A$3:$A$129,0)),"")</f>
        <v/>
      </c>
      <c r="H165" s="172"/>
      <c r="I165" s="498" t="str">
        <f>IF(G165="","",VLOOKUP(G165,'G-1 All Habitats'!$B$2:$M$129,10,FALSE))</f>
        <v/>
      </c>
      <c r="J165" s="499" t="str">
        <f>IFERROR(VLOOKUP(I165,'G-1 All Habitats'!$V$3:$W$7,2,FALSE),"")</f>
        <v/>
      </c>
      <c r="K165" s="145"/>
      <c r="L165" s="499" t="str">
        <f>IFERROR(INDEX('G-8 Condition Look up'!$A$3:$H$130,MATCH(G165,'G-8 Condition Look up'!$A$3:$A$130,0),MATCH(K165,'G-8 Condition Look up'!$A$3:$H$3,0)),"")</f>
        <v/>
      </c>
      <c r="M165" s="154"/>
      <c r="N165" s="520" t="str">
        <f>IF(M165="","",IF(VLOOKUP(M165,'G-3 Multipliers'!$L$3:$N$6,2,FALSE)=0,"Spatial Data Missing ⚠",VLOOKUP(M165,'G-3 Multipliers'!$L$3:$N$6,2,FALSE)))</f>
        <v/>
      </c>
      <c r="O165" s="524" t="str">
        <f>IF(M165="","",IF(VLOOKUP(M165,'G-3 Multipliers'!$L$3:$N$6,3,FALSE)=0,"Spatial Data Missing ⚠",VLOOKUP(M165,'G-3 Multipliers'!$L$3:$N$6,3,FALSE)))</f>
        <v/>
      </c>
      <c r="P165" s="506" t="str">
        <f>IFERROR(VLOOKUP(G165,'G-1 All Habitats'!$B$2:$M$129,12,FALSE),"")</f>
        <v/>
      </c>
      <c r="Q165" s="513" t="str">
        <f>IFERROR(IF(P165="","",IF(AND(P165='G-1 All Habitats'!$X$3,T165&gt;0),U165+V165,IF(AND(P165='G-1 All Habitats'!$X$3,S165&gt;0),U165+V165,IF(AND(P165='G-1 All Habitats'!$X$3,AC165&gt;0),"Any Loss Unacceptable",IF(AND(P165='G-1 All Habitats'!$X$3,W165&gt;0),"Any Loss Unacceptable",H165*J165*L165*O165))))),"Check Data ⚠")</f>
        <v/>
      </c>
      <c r="R165" s="50"/>
      <c r="S165" s="71"/>
      <c r="T165" s="72"/>
      <c r="U165" s="511" t="str">
        <f t="shared" si="14"/>
        <v/>
      </c>
      <c r="V165" s="511" t="str">
        <f t="shared" si="15"/>
        <v/>
      </c>
      <c r="W165" s="511"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545" t="str">
        <f>IFERROR(IF(H165="","",IF(H165-S165-T165=0&lt;0,"Error in Areas ▲",IF(S165+T165&gt;H165,"Error in Areas ▲",IF(AND(P165='G-1 All Habitats'!$X$3,Y165="Yes"),"Alternative Compensation",IF(W165=0,0,IF(P165='G-1 All Habitats'!$X$3,"Unacceptable Loss",Q165-U165-V165)))))),"Check Data ⚠")</f>
        <v/>
      </c>
      <c r="Y165" s="72"/>
      <c r="Z165" s="151"/>
      <c r="AA165" s="152"/>
      <c r="AC165" s="251" t="str">
        <f>IF(P165="","",IF(P165='G-1 All Habitats'!$X$3,H165-S165-T165,"None"))</f>
        <v/>
      </c>
      <c r="AD165" s="252" t="str">
        <f t="shared" si="16"/>
        <v/>
      </c>
      <c r="AF165" s="156" t="str">
        <f t="shared" si="12"/>
        <v/>
      </c>
      <c r="AG165" s="156" t="str">
        <f t="shared" si="13"/>
        <v/>
      </c>
      <c r="AH165" s="156" t="str">
        <f>IF(I165="","",IF(#REF!&gt;0,TRUE,FALSE))</f>
        <v/>
      </c>
      <c r="AI165" s="156">
        <v>155</v>
      </c>
      <c r="AJ165" s="156"/>
      <c r="AK165" s="156" t="str">
        <f t="array" ref="AK165">IFERROR(INDEX($AI$11:$AI$259, MATCH(0, IF(TRUE=$AF$11:$AF$259, COUNTIF($AK$10:$AK164, $AI$11:$AI$259), ""), 0)),"")</f>
        <v/>
      </c>
      <c r="AL165" s="156" t="str">
        <f t="array" ref="AL165">IFERROR(INDEX($AI$11:$AI$259, MATCH(0, IF(TRUE=$AG$11:$AG$259, COUNTIF($AL$10:$AL164, $AI$11:$AI$259), ""), 0)),"")</f>
        <v/>
      </c>
      <c r="AM165" s="156" t="str">
        <f t="array" ref="AM165">IFERROR(INDEX($AI$11:$AI$259, MATCH(0, IF(TRUE=$AH$11:$AH$259, COUNTIF($AM$10:$AM164, $AI$11:$AI$259), ""), 0)),"")</f>
        <v/>
      </c>
      <c r="AQ165" s="31">
        <f t="shared" si="17"/>
        <v>0</v>
      </c>
    </row>
    <row r="166" spans="1:43" x14ac:dyDescent="0.25">
      <c r="A166" s="31" t="str">
        <f>IFERROR(INDEX('G-1 All Habitats'!$AG$3:$AG$15,MATCH(E166,'G-1 All Habitats'!$AF$3:$AF$15,0)),"")</f>
        <v/>
      </c>
      <c r="B166" s="31" t="str">
        <f>IFERROR(INDEX('G-8 Condition Look up'!$I$4:$I$130,MATCH(G166,'G-8 Condition Look up'!$A$4:$A$130,0)),"")</f>
        <v/>
      </c>
      <c r="D166" s="141">
        <v>156</v>
      </c>
      <c r="E166" s="203"/>
      <c r="F166" s="203"/>
      <c r="G166" s="250" t="str">
        <f>IFERROR(INDEX('G-1 All Habitats'!$B$3:$B$129,MATCH(F166,'G-1 All Habitats'!$A$3:$A$129,0)),"")</f>
        <v/>
      </c>
      <c r="H166" s="172"/>
      <c r="I166" s="498" t="str">
        <f>IF(G166="","",VLOOKUP(G166,'G-1 All Habitats'!$B$2:$M$129,10,FALSE))</f>
        <v/>
      </c>
      <c r="J166" s="499" t="str">
        <f>IFERROR(VLOOKUP(I166,'G-1 All Habitats'!$V$3:$W$7,2,FALSE),"")</f>
        <v/>
      </c>
      <c r="K166" s="145"/>
      <c r="L166" s="499" t="str">
        <f>IFERROR(INDEX('G-8 Condition Look up'!$A$3:$H$130,MATCH(G166,'G-8 Condition Look up'!$A$3:$A$130,0),MATCH(K166,'G-8 Condition Look up'!$A$3:$H$3,0)),"")</f>
        <v/>
      </c>
      <c r="M166" s="154"/>
      <c r="N166" s="520" t="str">
        <f>IF(M166="","",IF(VLOOKUP(M166,'G-3 Multipliers'!$L$3:$N$6,2,FALSE)=0,"Spatial Data Missing ⚠",VLOOKUP(M166,'G-3 Multipliers'!$L$3:$N$6,2,FALSE)))</f>
        <v/>
      </c>
      <c r="O166" s="524" t="str">
        <f>IF(M166="","",IF(VLOOKUP(M166,'G-3 Multipliers'!$L$3:$N$6,3,FALSE)=0,"Spatial Data Missing ⚠",VLOOKUP(M166,'G-3 Multipliers'!$L$3:$N$6,3,FALSE)))</f>
        <v/>
      </c>
      <c r="P166" s="506" t="str">
        <f>IFERROR(VLOOKUP(G166,'G-1 All Habitats'!$B$2:$M$129,12,FALSE),"")</f>
        <v/>
      </c>
      <c r="Q166" s="513" t="str">
        <f>IFERROR(IF(P166="","",IF(AND(P166='G-1 All Habitats'!$X$3,T166&gt;0),U166+V166,IF(AND(P166='G-1 All Habitats'!$X$3,S166&gt;0),U166+V166,IF(AND(P166='G-1 All Habitats'!$X$3,AC166&gt;0),"Any Loss Unacceptable",IF(AND(P166='G-1 All Habitats'!$X$3,W166&gt;0),"Any Loss Unacceptable",H166*J166*L166*O166))))),"Check Data ⚠")</f>
        <v/>
      </c>
      <c r="R166" s="50"/>
      <c r="S166" s="71"/>
      <c r="T166" s="72"/>
      <c r="U166" s="511" t="str">
        <f t="shared" si="14"/>
        <v/>
      </c>
      <c r="V166" s="511" t="str">
        <f t="shared" si="15"/>
        <v/>
      </c>
      <c r="W166" s="511"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545" t="str">
        <f>IFERROR(IF(H166="","",IF(H166-S166-T166=0&lt;0,"Error in Areas ▲",IF(S166+T166&gt;H166,"Error in Areas ▲",IF(AND(P166='G-1 All Habitats'!$X$3,Y166="Yes"),"Alternative Compensation",IF(W166=0,0,IF(P166='G-1 All Habitats'!$X$3,"Unacceptable Loss",Q166-U166-V166)))))),"Check Data ⚠")</f>
        <v/>
      </c>
      <c r="Y166" s="72"/>
      <c r="Z166" s="151"/>
      <c r="AA166" s="152"/>
      <c r="AC166" s="251" t="str">
        <f>IF(P166="","",IF(P166='G-1 All Habitats'!$X$3,H166-S166-T166,"None"))</f>
        <v/>
      </c>
      <c r="AD166" s="252" t="str">
        <f t="shared" si="16"/>
        <v/>
      </c>
      <c r="AF166" s="156" t="str">
        <f t="shared" si="12"/>
        <v/>
      </c>
      <c r="AG166" s="156" t="str">
        <f t="shared" si="13"/>
        <v/>
      </c>
      <c r="AH166" s="156" t="str">
        <f>IF(I166="","",IF(#REF!&gt;0,TRUE,FALSE))</f>
        <v/>
      </c>
      <c r="AI166" s="156">
        <v>156</v>
      </c>
      <c r="AJ166" s="156"/>
      <c r="AK166" s="156" t="str">
        <f t="array" ref="AK166">IFERROR(INDEX($AI$11:$AI$259, MATCH(0, IF(TRUE=$AF$11:$AF$259, COUNTIF($AK$10:$AK165, $AI$11:$AI$259), ""), 0)),"")</f>
        <v/>
      </c>
      <c r="AL166" s="156" t="str">
        <f t="array" ref="AL166">IFERROR(INDEX($AI$11:$AI$259, MATCH(0, IF(TRUE=$AG$11:$AG$259, COUNTIF($AL$10:$AL165, $AI$11:$AI$259), ""), 0)),"")</f>
        <v/>
      </c>
      <c r="AM166" s="156" t="str">
        <f t="array" ref="AM166">IFERROR(INDEX($AI$11:$AI$259, MATCH(0, IF(TRUE=$AH$11:$AH$259, COUNTIF($AM$10:$AM165, $AI$11:$AI$259), ""), 0)),"")</f>
        <v/>
      </c>
      <c r="AQ166" s="31">
        <f t="shared" si="17"/>
        <v>0</v>
      </c>
    </row>
    <row r="167" spans="1:43" x14ac:dyDescent="0.25">
      <c r="A167" s="31" t="str">
        <f>IFERROR(INDEX('G-1 All Habitats'!$AG$3:$AG$15,MATCH(E167,'G-1 All Habitats'!$AF$3:$AF$15,0)),"")</f>
        <v/>
      </c>
      <c r="B167" s="31" t="str">
        <f>IFERROR(INDEX('G-8 Condition Look up'!$I$4:$I$130,MATCH(G167,'G-8 Condition Look up'!$A$4:$A$130,0)),"")</f>
        <v/>
      </c>
      <c r="D167" s="141">
        <v>157</v>
      </c>
      <c r="E167" s="203"/>
      <c r="F167" s="203"/>
      <c r="G167" s="250" t="str">
        <f>IFERROR(INDEX('G-1 All Habitats'!$B$3:$B$129,MATCH(F167,'G-1 All Habitats'!$A$3:$A$129,0)),"")</f>
        <v/>
      </c>
      <c r="H167" s="172"/>
      <c r="I167" s="498" t="str">
        <f>IF(G167="","",VLOOKUP(G167,'G-1 All Habitats'!$B$2:$M$129,10,FALSE))</f>
        <v/>
      </c>
      <c r="J167" s="499" t="str">
        <f>IFERROR(VLOOKUP(I167,'G-1 All Habitats'!$V$3:$W$7,2,FALSE),"")</f>
        <v/>
      </c>
      <c r="K167" s="145"/>
      <c r="L167" s="499" t="str">
        <f>IFERROR(INDEX('G-8 Condition Look up'!$A$3:$H$130,MATCH(G167,'G-8 Condition Look up'!$A$3:$A$130,0),MATCH(K167,'G-8 Condition Look up'!$A$3:$H$3,0)),"")</f>
        <v/>
      </c>
      <c r="M167" s="154"/>
      <c r="N167" s="520" t="str">
        <f>IF(M167="","",IF(VLOOKUP(M167,'G-3 Multipliers'!$L$3:$N$6,2,FALSE)=0,"Spatial Data Missing ⚠",VLOOKUP(M167,'G-3 Multipliers'!$L$3:$N$6,2,FALSE)))</f>
        <v/>
      </c>
      <c r="O167" s="524" t="str">
        <f>IF(M167="","",IF(VLOOKUP(M167,'G-3 Multipliers'!$L$3:$N$6,3,FALSE)=0,"Spatial Data Missing ⚠",VLOOKUP(M167,'G-3 Multipliers'!$L$3:$N$6,3,FALSE)))</f>
        <v/>
      </c>
      <c r="P167" s="506" t="str">
        <f>IFERROR(VLOOKUP(G167,'G-1 All Habitats'!$B$2:$M$129,12,FALSE),"")</f>
        <v/>
      </c>
      <c r="Q167" s="513" t="str">
        <f>IFERROR(IF(P167="","",IF(AND(P167='G-1 All Habitats'!$X$3,T167&gt;0),U167+V167,IF(AND(P167='G-1 All Habitats'!$X$3,S167&gt;0),U167+V167,IF(AND(P167='G-1 All Habitats'!$X$3,AC167&gt;0),"Any Loss Unacceptable",IF(AND(P167='G-1 All Habitats'!$X$3,W167&gt;0),"Any Loss Unacceptable",H167*J167*L167*O167))))),"Check Data ⚠")</f>
        <v/>
      </c>
      <c r="R167" s="50"/>
      <c r="S167" s="71"/>
      <c r="T167" s="72"/>
      <c r="U167" s="511" t="str">
        <f t="shared" si="14"/>
        <v/>
      </c>
      <c r="V167" s="511" t="str">
        <f t="shared" si="15"/>
        <v/>
      </c>
      <c r="W167" s="511"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545" t="str">
        <f>IFERROR(IF(H167="","",IF(H167-S167-T167=0&lt;0,"Error in Areas ▲",IF(S167+T167&gt;H167,"Error in Areas ▲",IF(AND(P167='G-1 All Habitats'!$X$3,Y167="Yes"),"Alternative Compensation",IF(W167=0,0,IF(P167='G-1 All Habitats'!$X$3,"Unacceptable Loss",Q167-U167-V167)))))),"Check Data ⚠")</f>
        <v/>
      </c>
      <c r="Y167" s="72"/>
      <c r="Z167" s="151"/>
      <c r="AA167" s="152"/>
      <c r="AC167" s="251" t="str">
        <f>IF(P167="","",IF(P167='G-1 All Habitats'!$X$3,H167-S167-T167,"None"))</f>
        <v/>
      </c>
      <c r="AD167" s="252" t="str">
        <f t="shared" si="16"/>
        <v/>
      </c>
      <c r="AF167" s="156" t="str">
        <f t="shared" si="12"/>
        <v/>
      </c>
      <c r="AG167" s="156" t="str">
        <f t="shared" si="13"/>
        <v/>
      </c>
      <c r="AH167" s="156" t="str">
        <f>IF(I167="","",IF(#REF!&gt;0,TRUE,FALSE))</f>
        <v/>
      </c>
      <c r="AI167" s="156">
        <v>157</v>
      </c>
      <c r="AJ167" s="156"/>
      <c r="AK167" s="156" t="str">
        <f t="array" ref="AK167">IFERROR(INDEX($AI$11:$AI$259, MATCH(0, IF(TRUE=$AF$11:$AF$259, COUNTIF($AK$10:$AK166, $AI$11:$AI$259), ""), 0)),"")</f>
        <v/>
      </c>
      <c r="AL167" s="156" t="str">
        <f t="array" ref="AL167">IFERROR(INDEX($AI$11:$AI$259, MATCH(0, IF(TRUE=$AG$11:$AG$259, COUNTIF($AL$10:$AL166, $AI$11:$AI$259), ""), 0)),"")</f>
        <v/>
      </c>
      <c r="AM167" s="156" t="str">
        <f t="array" ref="AM167">IFERROR(INDEX($AI$11:$AI$259, MATCH(0, IF(TRUE=$AH$11:$AH$259, COUNTIF($AM$10:$AM166, $AI$11:$AI$259), ""), 0)),"")</f>
        <v/>
      </c>
      <c r="AQ167" s="31">
        <f t="shared" si="17"/>
        <v>0</v>
      </c>
    </row>
    <row r="168" spans="1:43" x14ac:dyDescent="0.25">
      <c r="A168" s="31" t="str">
        <f>IFERROR(INDEX('G-1 All Habitats'!$AG$3:$AG$15,MATCH(E168,'G-1 All Habitats'!$AF$3:$AF$15,0)),"")</f>
        <v/>
      </c>
      <c r="B168" s="31" t="str">
        <f>IFERROR(INDEX('G-8 Condition Look up'!$I$4:$I$130,MATCH(G168,'G-8 Condition Look up'!$A$4:$A$130,0)),"")</f>
        <v/>
      </c>
      <c r="D168" s="141">
        <v>158</v>
      </c>
      <c r="E168" s="203"/>
      <c r="F168" s="203"/>
      <c r="G168" s="250" t="str">
        <f>IFERROR(INDEX('G-1 All Habitats'!$B$3:$B$129,MATCH(F168,'G-1 All Habitats'!$A$3:$A$129,0)),"")</f>
        <v/>
      </c>
      <c r="H168" s="172"/>
      <c r="I168" s="498" t="str">
        <f>IF(G168="","",VLOOKUP(G168,'G-1 All Habitats'!$B$2:$M$129,10,FALSE))</f>
        <v/>
      </c>
      <c r="J168" s="499" t="str">
        <f>IFERROR(VLOOKUP(I168,'G-1 All Habitats'!$V$3:$W$7,2,FALSE),"")</f>
        <v/>
      </c>
      <c r="K168" s="145"/>
      <c r="L168" s="499" t="str">
        <f>IFERROR(INDEX('G-8 Condition Look up'!$A$3:$H$130,MATCH(G168,'G-8 Condition Look up'!$A$3:$A$130,0),MATCH(K168,'G-8 Condition Look up'!$A$3:$H$3,0)),"")</f>
        <v/>
      </c>
      <c r="M168" s="154"/>
      <c r="N168" s="520" t="str">
        <f>IF(M168="","",IF(VLOOKUP(M168,'G-3 Multipliers'!$L$3:$N$6,2,FALSE)=0,"Spatial Data Missing ⚠",VLOOKUP(M168,'G-3 Multipliers'!$L$3:$N$6,2,FALSE)))</f>
        <v/>
      </c>
      <c r="O168" s="524" t="str">
        <f>IF(M168="","",IF(VLOOKUP(M168,'G-3 Multipliers'!$L$3:$N$6,3,FALSE)=0,"Spatial Data Missing ⚠",VLOOKUP(M168,'G-3 Multipliers'!$L$3:$N$6,3,FALSE)))</f>
        <v/>
      </c>
      <c r="P168" s="506" t="str">
        <f>IFERROR(VLOOKUP(G168,'G-1 All Habitats'!$B$2:$M$129,12,FALSE),"")</f>
        <v/>
      </c>
      <c r="Q168" s="513" t="str">
        <f>IFERROR(IF(P168="","",IF(AND(P168='G-1 All Habitats'!$X$3,T168&gt;0),U168+V168,IF(AND(P168='G-1 All Habitats'!$X$3,S168&gt;0),U168+V168,IF(AND(P168='G-1 All Habitats'!$X$3,AC168&gt;0),"Any Loss Unacceptable",IF(AND(P168='G-1 All Habitats'!$X$3,W168&gt;0),"Any Loss Unacceptable",H168*J168*L168*O168))))),"Check Data ⚠")</f>
        <v/>
      </c>
      <c r="R168" s="50"/>
      <c r="S168" s="71"/>
      <c r="T168" s="72"/>
      <c r="U168" s="511" t="str">
        <f t="shared" si="14"/>
        <v/>
      </c>
      <c r="V168" s="511" t="str">
        <f t="shared" si="15"/>
        <v/>
      </c>
      <c r="W168" s="511"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545" t="str">
        <f>IFERROR(IF(H168="","",IF(H168-S168-T168=0&lt;0,"Error in Areas ▲",IF(S168+T168&gt;H168,"Error in Areas ▲",IF(AND(P168='G-1 All Habitats'!$X$3,Y168="Yes"),"Alternative Compensation",IF(W168=0,0,IF(P168='G-1 All Habitats'!$X$3,"Unacceptable Loss",Q168-U168-V168)))))),"Check Data ⚠")</f>
        <v/>
      </c>
      <c r="Y168" s="72"/>
      <c r="Z168" s="151"/>
      <c r="AA168" s="152"/>
      <c r="AC168" s="251" t="str">
        <f>IF(P168="","",IF(P168='G-1 All Habitats'!$X$3,H168-S168-T168,"None"))</f>
        <v/>
      </c>
      <c r="AD168" s="252" t="str">
        <f t="shared" si="16"/>
        <v/>
      </c>
      <c r="AF168" s="156" t="str">
        <f t="shared" si="12"/>
        <v/>
      </c>
      <c r="AG168" s="156" t="str">
        <f t="shared" si="13"/>
        <v/>
      </c>
      <c r="AH168" s="156" t="str">
        <f>IF(I168="","",IF(#REF!&gt;0,TRUE,FALSE))</f>
        <v/>
      </c>
      <c r="AI168" s="156">
        <v>158</v>
      </c>
      <c r="AJ168" s="156"/>
      <c r="AK168" s="156" t="str">
        <f t="array" ref="AK168">IFERROR(INDEX($AI$11:$AI$259, MATCH(0, IF(TRUE=$AF$11:$AF$259, COUNTIF($AK$10:$AK167, $AI$11:$AI$259), ""), 0)),"")</f>
        <v/>
      </c>
      <c r="AL168" s="156" t="str">
        <f t="array" ref="AL168">IFERROR(INDEX($AI$11:$AI$259, MATCH(0, IF(TRUE=$AG$11:$AG$259, COUNTIF($AL$10:$AL167, $AI$11:$AI$259), ""), 0)),"")</f>
        <v/>
      </c>
      <c r="AM168" s="156" t="str">
        <f t="array" ref="AM168">IFERROR(INDEX($AI$11:$AI$259, MATCH(0, IF(TRUE=$AH$11:$AH$259, COUNTIF($AM$10:$AM167, $AI$11:$AI$259), ""), 0)),"")</f>
        <v/>
      </c>
      <c r="AQ168" s="31">
        <f t="shared" si="17"/>
        <v>0</v>
      </c>
    </row>
    <row r="169" spans="1:43" x14ac:dyDescent="0.25">
      <c r="A169" s="31" t="str">
        <f>IFERROR(INDEX('G-1 All Habitats'!$AG$3:$AG$15,MATCH(E169,'G-1 All Habitats'!$AF$3:$AF$15,0)),"")</f>
        <v/>
      </c>
      <c r="B169" s="31" t="str">
        <f>IFERROR(INDEX('G-8 Condition Look up'!$I$4:$I$130,MATCH(G169,'G-8 Condition Look up'!$A$4:$A$130,0)),"")</f>
        <v/>
      </c>
      <c r="D169" s="141">
        <v>159</v>
      </c>
      <c r="E169" s="203"/>
      <c r="F169" s="203"/>
      <c r="G169" s="250" t="str">
        <f>IFERROR(INDEX('G-1 All Habitats'!$B$3:$B$129,MATCH(F169,'G-1 All Habitats'!$A$3:$A$129,0)),"")</f>
        <v/>
      </c>
      <c r="H169" s="172"/>
      <c r="I169" s="498" t="str">
        <f>IF(G169="","",VLOOKUP(G169,'G-1 All Habitats'!$B$2:$M$129,10,FALSE))</f>
        <v/>
      </c>
      <c r="J169" s="499" t="str">
        <f>IFERROR(VLOOKUP(I169,'G-1 All Habitats'!$V$3:$W$7,2,FALSE),"")</f>
        <v/>
      </c>
      <c r="K169" s="145"/>
      <c r="L169" s="499" t="str">
        <f>IFERROR(INDEX('G-8 Condition Look up'!$A$3:$H$130,MATCH(G169,'G-8 Condition Look up'!$A$3:$A$130,0),MATCH(K169,'G-8 Condition Look up'!$A$3:$H$3,0)),"")</f>
        <v/>
      </c>
      <c r="M169" s="154"/>
      <c r="N169" s="520" t="str">
        <f>IF(M169="","",IF(VLOOKUP(M169,'G-3 Multipliers'!$L$3:$N$6,2,FALSE)=0,"Spatial Data Missing ⚠",VLOOKUP(M169,'G-3 Multipliers'!$L$3:$N$6,2,FALSE)))</f>
        <v/>
      </c>
      <c r="O169" s="524" t="str">
        <f>IF(M169="","",IF(VLOOKUP(M169,'G-3 Multipliers'!$L$3:$N$6,3,FALSE)=0,"Spatial Data Missing ⚠",VLOOKUP(M169,'G-3 Multipliers'!$L$3:$N$6,3,FALSE)))</f>
        <v/>
      </c>
      <c r="P169" s="506" t="str">
        <f>IFERROR(VLOOKUP(G169,'G-1 All Habitats'!$B$2:$M$129,12,FALSE),"")</f>
        <v/>
      </c>
      <c r="Q169" s="513" t="str">
        <f>IFERROR(IF(P169="","",IF(AND(P169='G-1 All Habitats'!$X$3,T169&gt;0),U169+V169,IF(AND(P169='G-1 All Habitats'!$X$3,S169&gt;0),U169+V169,IF(AND(P169='G-1 All Habitats'!$X$3,AC169&gt;0),"Any Loss Unacceptable",IF(AND(P169='G-1 All Habitats'!$X$3,W169&gt;0),"Any Loss Unacceptable",H169*J169*L169*O169))))),"Check Data ⚠")</f>
        <v/>
      </c>
      <c r="R169" s="50"/>
      <c r="S169" s="71"/>
      <c r="T169" s="72"/>
      <c r="U169" s="511" t="str">
        <f t="shared" si="14"/>
        <v/>
      </c>
      <c r="V169" s="511" t="str">
        <f t="shared" si="15"/>
        <v/>
      </c>
      <c r="W169" s="511"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545" t="str">
        <f>IFERROR(IF(H169="","",IF(H169-S169-T169=0&lt;0,"Error in Areas ▲",IF(S169+T169&gt;H169,"Error in Areas ▲",IF(AND(P169='G-1 All Habitats'!$X$3,Y169="Yes"),"Alternative Compensation",IF(W169=0,0,IF(P169='G-1 All Habitats'!$X$3,"Unacceptable Loss",Q169-U169-V169)))))),"Check Data ⚠")</f>
        <v/>
      </c>
      <c r="Y169" s="72"/>
      <c r="Z169" s="151"/>
      <c r="AA169" s="152"/>
      <c r="AC169" s="251" t="str">
        <f>IF(P169="","",IF(P169='G-1 All Habitats'!$X$3,H169-S169-T169,"None"))</f>
        <v/>
      </c>
      <c r="AD169" s="252" t="str">
        <f t="shared" si="16"/>
        <v/>
      </c>
      <c r="AF169" s="156" t="str">
        <f t="shared" si="12"/>
        <v/>
      </c>
      <c r="AG169" s="156" t="str">
        <f t="shared" si="13"/>
        <v/>
      </c>
      <c r="AH169" s="156" t="str">
        <f>IF(I169="","",IF(#REF!&gt;0,TRUE,FALSE))</f>
        <v/>
      </c>
      <c r="AI169" s="156">
        <v>159</v>
      </c>
      <c r="AJ169" s="156"/>
      <c r="AK169" s="156" t="str">
        <f t="array" ref="AK169">IFERROR(INDEX($AI$11:$AI$259, MATCH(0, IF(TRUE=$AF$11:$AF$259, COUNTIF($AK$10:$AK168, $AI$11:$AI$259), ""), 0)),"")</f>
        <v/>
      </c>
      <c r="AL169" s="156" t="str">
        <f t="array" ref="AL169">IFERROR(INDEX($AI$11:$AI$259, MATCH(0, IF(TRUE=$AG$11:$AG$259, COUNTIF($AL$10:$AL168, $AI$11:$AI$259), ""), 0)),"")</f>
        <v/>
      </c>
      <c r="AM169" s="156" t="str">
        <f t="array" ref="AM169">IFERROR(INDEX($AI$11:$AI$259, MATCH(0, IF(TRUE=$AH$11:$AH$259, COUNTIF($AM$10:$AM168, $AI$11:$AI$259), ""), 0)),"")</f>
        <v/>
      </c>
      <c r="AQ169" s="31">
        <f t="shared" si="17"/>
        <v>0</v>
      </c>
    </row>
    <row r="170" spans="1:43" x14ac:dyDescent="0.25">
      <c r="A170" s="31" t="str">
        <f>IFERROR(INDEX('G-1 All Habitats'!$AG$3:$AG$15,MATCH(E170,'G-1 All Habitats'!$AF$3:$AF$15,0)),"")</f>
        <v/>
      </c>
      <c r="B170" s="31" t="str">
        <f>IFERROR(INDEX('G-8 Condition Look up'!$I$4:$I$130,MATCH(G170,'G-8 Condition Look up'!$A$4:$A$130,0)),"")</f>
        <v/>
      </c>
      <c r="D170" s="141">
        <v>160</v>
      </c>
      <c r="E170" s="203"/>
      <c r="F170" s="203"/>
      <c r="G170" s="250" t="str">
        <f>IFERROR(INDEX('G-1 All Habitats'!$B$3:$B$129,MATCH(F170,'G-1 All Habitats'!$A$3:$A$129,0)),"")</f>
        <v/>
      </c>
      <c r="H170" s="172"/>
      <c r="I170" s="498" t="str">
        <f>IF(G170="","",VLOOKUP(G170,'G-1 All Habitats'!$B$2:$M$129,10,FALSE))</f>
        <v/>
      </c>
      <c r="J170" s="499" t="str">
        <f>IFERROR(VLOOKUP(I170,'G-1 All Habitats'!$V$3:$W$7,2,FALSE),"")</f>
        <v/>
      </c>
      <c r="K170" s="145"/>
      <c r="L170" s="499" t="str">
        <f>IFERROR(INDEX('G-8 Condition Look up'!$A$3:$H$130,MATCH(G170,'G-8 Condition Look up'!$A$3:$A$130,0),MATCH(K170,'G-8 Condition Look up'!$A$3:$H$3,0)),"")</f>
        <v/>
      </c>
      <c r="M170" s="154"/>
      <c r="N170" s="520" t="str">
        <f>IF(M170="","",IF(VLOOKUP(M170,'G-3 Multipliers'!$L$3:$N$6,2,FALSE)=0,"Spatial Data Missing ⚠",VLOOKUP(M170,'G-3 Multipliers'!$L$3:$N$6,2,FALSE)))</f>
        <v/>
      </c>
      <c r="O170" s="524" t="str">
        <f>IF(M170="","",IF(VLOOKUP(M170,'G-3 Multipliers'!$L$3:$N$6,3,FALSE)=0,"Spatial Data Missing ⚠",VLOOKUP(M170,'G-3 Multipliers'!$L$3:$N$6,3,FALSE)))</f>
        <v/>
      </c>
      <c r="P170" s="506" t="str">
        <f>IFERROR(VLOOKUP(G170,'G-1 All Habitats'!$B$2:$M$129,12,FALSE),"")</f>
        <v/>
      </c>
      <c r="Q170" s="513" t="str">
        <f>IFERROR(IF(P170="","",IF(AND(P170='G-1 All Habitats'!$X$3,T170&gt;0),U170+V170,IF(AND(P170='G-1 All Habitats'!$X$3,S170&gt;0),U170+V170,IF(AND(P170='G-1 All Habitats'!$X$3,AC170&gt;0),"Any Loss Unacceptable",IF(AND(P170='G-1 All Habitats'!$X$3,W170&gt;0),"Any Loss Unacceptable",H170*J170*L170*O170))))),"Check Data ⚠")</f>
        <v/>
      </c>
      <c r="R170" s="50"/>
      <c r="S170" s="71"/>
      <c r="T170" s="72"/>
      <c r="U170" s="511" t="str">
        <f t="shared" si="14"/>
        <v/>
      </c>
      <c r="V170" s="511" t="str">
        <f t="shared" si="15"/>
        <v/>
      </c>
      <c r="W170" s="511"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545" t="str">
        <f>IFERROR(IF(H170="","",IF(H170-S170-T170=0&lt;0,"Error in Areas ▲",IF(S170+T170&gt;H170,"Error in Areas ▲",IF(AND(P170='G-1 All Habitats'!$X$3,Y170="Yes"),"Alternative Compensation",IF(W170=0,0,IF(P170='G-1 All Habitats'!$X$3,"Unacceptable Loss",Q170-U170-V170)))))),"Check Data ⚠")</f>
        <v/>
      </c>
      <c r="Y170" s="72"/>
      <c r="Z170" s="151"/>
      <c r="AA170" s="152"/>
      <c r="AC170" s="251" t="str">
        <f>IF(P170="","",IF(P170='G-1 All Habitats'!$X$3,H170-S170-T170,"None"))</f>
        <v/>
      </c>
      <c r="AD170" s="252" t="str">
        <f t="shared" si="16"/>
        <v/>
      </c>
      <c r="AF170" s="156" t="str">
        <f t="shared" si="12"/>
        <v/>
      </c>
      <c r="AG170" s="156" t="str">
        <f t="shared" si="13"/>
        <v/>
      </c>
      <c r="AH170" s="156" t="str">
        <f>IF(I170="","",IF(#REF!&gt;0,TRUE,FALSE))</f>
        <v/>
      </c>
      <c r="AI170" s="156">
        <v>160</v>
      </c>
      <c r="AJ170" s="156"/>
      <c r="AK170" s="156" t="str">
        <f t="array" ref="AK170">IFERROR(INDEX($AI$11:$AI$259, MATCH(0, IF(TRUE=$AF$11:$AF$259, COUNTIF($AK$10:$AK169, $AI$11:$AI$259), ""), 0)),"")</f>
        <v/>
      </c>
      <c r="AL170" s="156" t="str">
        <f t="array" ref="AL170">IFERROR(INDEX($AI$11:$AI$259, MATCH(0, IF(TRUE=$AG$11:$AG$259, COUNTIF($AL$10:$AL169, $AI$11:$AI$259), ""), 0)),"")</f>
        <v/>
      </c>
      <c r="AM170" s="156" t="str">
        <f t="array" ref="AM170">IFERROR(INDEX($AI$11:$AI$259, MATCH(0, IF(TRUE=$AH$11:$AH$259, COUNTIF($AM$10:$AM169, $AI$11:$AI$259), ""), 0)),"")</f>
        <v/>
      </c>
      <c r="AQ170" s="31">
        <f t="shared" si="17"/>
        <v>0</v>
      </c>
    </row>
    <row r="171" spans="1:43" x14ac:dyDescent="0.25">
      <c r="A171" s="31" t="str">
        <f>IFERROR(INDEX('G-1 All Habitats'!$AG$3:$AG$15,MATCH(E171,'G-1 All Habitats'!$AF$3:$AF$15,0)),"")</f>
        <v/>
      </c>
      <c r="B171" s="31" t="str">
        <f>IFERROR(INDEX('G-8 Condition Look up'!$I$4:$I$130,MATCH(G171,'G-8 Condition Look up'!$A$4:$A$130,0)),"")</f>
        <v/>
      </c>
      <c r="D171" s="141">
        <v>161</v>
      </c>
      <c r="E171" s="203"/>
      <c r="F171" s="203"/>
      <c r="G171" s="250" t="str">
        <f>IFERROR(INDEX('G-1 All Habitats'!$B$3:$B$129,MATCH(F171,'G-1 All Habitats'!$A$3:$A$129,0)),"")</f>
        <v/>
      </c>
      <c r="H171" s="172"/>
      <c r="I171" s="498" t="str">
        <f>IF(G171="","",VLOOKUP(G171,'G-1 All Habitats'!$B$2:$M$129,10,FALSE))</f>
        <v/>
      </c>
      <c r="J171" s="499" t="str">
        <f>IFERROR(VLOOKUP(I171,'G-1 All Habitats'!$V$3:$W$7,2,FALSE),"")</f>
        <v/>
      </c>
      <c r="K171" s="145"/>
      <c r="L171" s="499" t="str">
        <f>IFERROR(INDEX('G-8 Condition Look up'!$A$3:$H$130,MATCH(G171,'G-8 Condition Look up'!$A$3:$A$130,0),MATCH(K171,'G-8 Condition Look up'!$A$3:$H$3,0)),"")</f>
        <v/>
      </c>
      <c r="M171" s="154"/>
      <c r="N171" s="520" t="str">
        <f>IF(M171="","",IF(VLOOKUP(M171,'G-3 Multipliers'!$L$3:$N$6,2,FALSE)=0,"Spatial Data Missing ⚠",VLOOKUP(M171,'G-3 Multipliers'!$L$3:$N$6,2,FALSE)))</f>
        <v/>
      </c>
      <c r="O171" s="524" t="str">
        <f>IF(M171="","",IF(VLOOKUP(M171,'G-3 Multipliers'!$L$3:$N$6,3,FALSE)=0,"Spatial Data Missing ⚠",VLOOKUP(M171,'G-3 Multipliers'!$L$3:$N$6,3,FALSE)))</f>
        <v/>
      </c>
      <c r="P171" s="506" t="str">
        <f>IFERROR(VLOOKUP(G171,'G-1 All Habitats'!$B$2:$M$129,12,FALSE),"")</f>
        <v/>
      </c>
      <c r="Q171" s="513" t="str">
        <f>IFERROR(IF(P171="","",IF(AND(P171='G-1 All Habitats'!$X$3,T171&gt;0),U171+V171,IF(AND(P171='G-1 All Habitats'!$X$3,S171&gt;0),U171+V171,IF(AND(P171='G-1 All Habitats'!$X$3,AC171&gt;0),"Any Loss Unacceptable",IF(AND(P171='G-1 All Habitats'!$X$3,W171&gt;0),"Any Loss Unacceptable",H171*J171*L171*O171))))),"Check Data ⚠")</f>
        <v/>
      </c>
      <c r="R171" s="50"/>
      <c r="S171" s="71"/>
      <c r="T171" s="72"/>
      <c r="U171" s="511" t="str">
        <f t="shared" si="14"/>
        <v/>
      </c>
      <c r="V171" s="511" t="str">
        <f t="shared" si="15"/>
        <v/>
      </c>
      <c r="W171" s="511"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545" t="str">
        <f>IFERROR(IF(H171="","",IF(H171-S171-T171=0&lt;0,"Error in Areas ▲",IF(S171+T171&gt;H171,"Error in Areas ▲",IF(AND(P171='G-1 All Habitats'!$X$3,Y171="Yes"),"Alternative Compensation",IF(W171=0,0,IF(P171='G-1 All Habitats'!$X$3,"Unacceptable Loss",Q171-U171-V171)))))),"Check Data ⚠")</f>
        <v/>
      </c>
      <c r="Y171" s="72"/>
      <c r="Z171" s="151"/>
      <c r="AA171" s="152"/>
      <c r="AC171" s="251" t="str">
        <f>IF(P171="","",IF(P171='G-1 All Habitats'!$X$3,H171-S171-T171,"None"))</f>
        <v/>
      </c>
      <c r="AD171" s="252" t="str">
        <f t="shared" si="16"/>
        <v/>
      </c>
      <c r="AF171" s="156" t="str">
        <f t="shared" si="12"/>
        <v/>
      </c>
      <c r="AG171" s="156" t="str">
        <f t="shared" si="13"/>
        <v/>
      </c>
      <c r="AH171" s="156" t="str">
        <f>IF(I171="","",IF(#REF!&gt;0,TRUE,FALSE))</f>
        <v/>
      </c>
      <c r="AI171" s="156">
        <v>161</v>
      </c>
      <c r="AJ171" s="156"/>
      <c r="AK171" s="156" t="str">
        <f t="array" ref="AK171">IFERROR(INDEX($AI$11:$AI$259, MATCH(0, IF(TRUE=$AF$11:$AF$259, COUNTIF($AK$10:$AK170, $AI$11:$AI$259), ""), 0)),"")</f>
        <v/>
      </c>
      <c r="AL171" s="156" t="str">
        <f t="array" ref="AL171">IFERROR(INDEX($AI$11:$AI$259, MATCH(0, IF(TRUE=$AG$11:$AG$259, COUNTIF($AL$10:$AL170, $AI$11:$AI$259), ""), 0)),"")</f>
        <v/>
      </c>
      <c r="AM171" s="156" t="str">
        <f t="array" ref="AM171">IFERROR(INDEX($AI$11:$AI$259, MATCH(0, IF(TRUE=$AH$11:$AH$259, COUNTIF($AM$10:$AM170, $AI$11:$AI$259), ""), 0)),"")</f>
        <v/>
      </c>
      <c r="AQ171" s="31">
        <f t="shared" si="17"/>
        <v>0</v>
      </c>
    </row>
    <row r="172" spans="1:43" x14ac:dyDescent="0.25">
      <c r="A172" s="31" t="str">
        <f>IFERROR(INDEX('G-1 All Habitats'!$AG$3:$AG$15,MATCH(E172,'G-1 All Habitats'!$AF$3:$AF$15,0)),"")</f>
        <v/>
      </c>
      <c r="B172" s="31" t="str">
        <f>IFERROR(INDEX('G-8 Condition Look up'!$I$4:$I$130,MATCH(G172,'G-8 Condition Look up'!$A$4:$A$130,0)),"")</f>
        <v/>
      </c>
      <c r="D172" s="141">
        <v>162</v>
      </c>
      <c r="E172" s="203"/>
      <c r="F172" s="203"/>
      <c r="G172" s="250" t="str">
        <f>IFERROR(INDEX('G-1 All Habitats'!$B$3:$B$129,MATCH(F172,'G-1 All Habitats'!$A$3:$A$129,0)),"")</f>
        <v/>
      </c>
      <c r="H172" s="172"/>
      <c r="I172" s="498" t="str">
        <f>IF(G172="","",VLOOKUP(G172,'G-1 All Habitats'!$B$2:$M$129,10,FALSE))</f>
        <v/>
      </c>
      <c r="J172" s="499" t="str">
        <f>IFERROR(VLOOKUP(I172,'G-1 All Habitats'!$V$3:$W$7,2,FALSE),"")</f>
        <v/>
      </c>
      <c r="K172" s="145"/>
      <c r="L172" s="499" t="str">
        <f>IFERROR(INDEX('G-8 Condition Look up'!$A$3:$H$130,MATCH(G172,'G-8 Condition Look up'!$A$3:$A$130,0),MATCH(K172,'G-8 Condition Look up'!$A$3:$H$3,0)),"")</f>
        <v/>
      </c>
      <c r="M172" s="154"/>
      <c r="N172" s="520" t="str">
        <f>IF(M172="","",IF(VLOOKUP(M172,'G-3 Multipliers'!$L$3:$N$6,2,FALSE)=0,"Spatial Data Missing ⚠",VLOOKUP(M172,'G-3 Multipliers'!$L$3:$N$6,2,FALSE)))</f>
        <v/>
      </c>
      <c r="O172" s="524" t="str">
        <f>IF(M172="","",IF(VLOOKUP(M172,'G-3 Multipliers'!$L$3:$N$6,3,FALSE)=0,"Spatial Data Missing ⚠",VLOOKUP(M172,'G-3 Multipliers'!$L$3:$N$6,3,FALSE)))</f>
        <v/>
      </c>
      <c r="P172" s="506" t="str">
        <f>IFERROR(VLOOKUP(G172,'G-1 All Habitats'!$B$2:$M$129,12,FALSE),"")</f>
        <v/>
      </c>
      <c r="Q172" s="513" t="str">
        <f>IFERROR(IF(P172="","",IF(AND(P172='G-1 All Habitats'!$X$3,T172&gt;0),U172+V172,IF(AND(P172='G-1 All Habitats'!$X$3,S172&gt;0),U172+V172,IF(AND(P172='G-1 All Habitats'!$X$3,AC172&gt;0),"Any Loss Unacceptable",IF(AND(P172='G-1 All Habitats'!$X$3,W172&gt;0),"Any Loss Unacceptable",H172*J172*L172*O172))))),"Check Data ⚠")</f>
        <v/>
      </c>
      <c r="R172" s="50"/>
      <c r="S172" s="71"/>
      <c r="T172" s="72"/>
      <c r="U172" s="511" t="str">
        <f t="shared" si="14"/>
        <v/>
      </c>
      <c r="V172" s="511" t="str">
        <f t="shared" si="15"/>
        <v/>
      </c>
      <c r="W172" s="511"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545" t="str">
        <f>IFERROR(IF(H172="","",IF(H172-S172-T172=0&lt;0,"Error in Areas ▲",IF(S172+T172&gt;H172,"Error in Areas ▲",IF(AND(P172='G-1 All Habitats'!$X$3,Y172="Yes"),"Alternative Compensation",IF(W172=0,0,IF(P172='G-1 All Habitats'!$X$3,"Unacceptable Loss",Q172-U172-V172)))))),"Check Data ⚠")</f>
        <v/>
      </c>
      <c r="Y172" s="72"/>
      <c r="Z172" s="151"/>
      <c r="AA172" s="152"/>
      <c r="AC172" s="251" t="str">
        <f>IF(P172="","",IF(P172='G-1 All Habitats'!$X$3,H172-S172-T172,"None"))</f>
        <v/>
      </c>
      <c r="AD172" s="252" t="str">
        <f t="shared" si="16"/>
        <v/>
      </c>
      <c r="AF172" s="156" t="str">
        <f t="shared" si="12"/>
        <v/>
      </c>
      <c r="AG172" s="156" t="str">
        <f t="shared" si="13"/>
        <v/>
      </c>
      <c r="AH172" s="156" t="str">
        <f>IF(I172="","",IF(#REF!&gt;0,TRUE,FALSE))</f>
        <v/>
      </c>
      <c r="AI172" s="156">
        <v>162</v>
      </c>
      <c r="AJ172" s="156"/>
      <c r="AK172" s="156" t="str">
        <f t="array" ref="AK172">IFERROR(INDEX($AI$11:$AI$259, MATCH(0, IF(TRUE=$AF$11:$AF$259, COUNTIF($AK$10:$AK171, $AI$11:$AI$259), ""), 0)),"")</f>
        <v/>
      </c>
      <c r="AL172" s="156" t="str">
        <f t="array" ref="AL172">IFERROR(INDEX($AI$11:$AI$259, MATCH(0, IF(TRUE=$AG$11:$AG$259, COUNTIF($AL$10:$AL171, $AI$11:$AI$259), ""), 0)),"")</f>
        <v/>
      </c>
      <c r="AM172" s="156" t="str">
        <f t="array" ref="AM172">IFERROR(INDEX($AI$11:$AI$259, MATCH(0, IF(TRUE=$AH$11:$AH$259, COUNTIF($AM$10:$AM171, $AI$11:$AI$259), ""), 0)),"")</f>
        <v/>
      </c>
      <c r="AQ172" s="31">
        <f t="shared" si="17"/>
        <v>0</v>
      </c>
    </row>
    <row r="173" spans="1:43" x14ac:dyDescent="0.25">
      <c r="A173" s="31" t="str">
        <f>IFERROR(INDEX('G-1 All Habitats'!$AG$3:$AG$15,MATCH(E173,'G-1 All Habitats'!$AF$3:$AF$15,0)),"")</f>
        <v/>
      </c>
      <c r="B173" s="31" t="str">
        <f>IFERROR(INDEX('G-8 Condition Look up'!$I$4:$I$130,MATCH(G173,'G-8 Condition Look up'!$A$4:$A$130,0)),"")</f>
        <v/>
      </c>
      <c r="D173" s="141">
        <v>163</v>
      </c>
      <c r="E173" s="203"/>
      <c r="F173" s="203"/>
      <c r="G173" s="250" t="str">
        <f>IFERROR(INDEX('G-1 All Habitats'!$B$3:$B$129,MATCH(F173,'G-1 All Habitats'!$A$3:$A$129,0)),"")</f>
        <v/>
      </c>
      <c r="H173" s="172"/>
      <c r="I173" s="498" t="str">
        <f>IF(G173="","",VLOOKUP(G173,'G-1 All Habitats'!$B$2:$M$129,10,FALSE))</f>
        <v/>
      </c>
      <c r="J173" s="499" t="str">
        <f>IFERROR(VLOOKUP(I173,'G-1 All Habitats'!$V$3:$W$7,2,FALSE),"")</f>
        <v/>
      </c>
      <c r="K173" s="145"/>
      <c r="L173" s="499" t="str">
        <f>IFERROR(INDEX('G-8 Condition Look up'!$A$3:$H$130,MATCH(G173,'G-8 Condition Look up'!$A$3:$A$130,0),MATCH(K173,'G-8 Condition Look up'!$A$3:$H$3,0)),"")</f>
        <v/>
      </c>
      <c r="M173" s="154"/>
      <c r="N173" s="520" t="str">
        <f>IF(M173="","",IF(VLOOKUP(M173,'G-3 Multipliers'!$L$3:$N$6,2,FALSE)=0,"Spatial Data Missing ⚠",VLOOKUP(M173,'G-3 Multipliers'!$L$3:$N$6,2,FALSE)))</f>
        <v/>
      </c>
      <c r="O173" s="524" t="str">
        <f>IF(M173="","",IF(VLOOKUP(M173,'G-3 Multipliers'!$L$3:$N$6,3,FALSE)=0,"Spatial Data Missing ⚠",VLOOKUP(M173,'G-3 Multipliers'!$L$3:$N$6,3,FALSE)))</f>
        <v/>
      </c>
      <c r="P173" s="506" t="str">
        <f>IFERROR(VLOOKUP(G173,'G-1 All Habitats'!$B$2:$M$129,12,FALSE),"")</f>
        <v/>
      </c>
      <c r="Q173" s="513" t="str">
        <f>IFERROR(IF(P173="","",IF(AND(P173='G-1 All Habitats'!$X$3,T173&gt;0),U173+V173,IF(AND(P173='G-1 All Habitats'!$X$3,S173&gt;0),U173+V173,IF(AND(P173='G-1 All Habitats'!$X$3,AC173&gt;0),"Any Loss Unacceptable",IF(AND(P173='G-1 All Habitats'!$X$3,W173&gt;0),"Any Loss Unacceptable",H173*J173*L173*O173))))),"Check Data ⚠")</f>
        <v/>
      </c>
      <c r="R173" s="50"/>
      <c r="S173" s="71"/>
      <c r="T173" s="72"/>
      <c r="U173" s="511" t="str">
        <f t="shared" si="14"/>
        <v/>
      </c>
      <c r="V173" s="511" t="str">
        <f t="shared" si="15"/>
        <v/>
      </c>
      <c r="W173" s="511"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545" t="str">
        <f>IFERROR(IF(H173="","",IF(H173-S173-T173=0&lt;0,"Error in Areas ▲",IF(S173+T173&gt;H173,"Error in Areas ▲",IF(AND(P173='G-1 All Habitats'!$X$3,Y173="Yes"),"Alternative Compensation",IF(W173=0,0,IF(P173='G-1 All Habitats'!$X$3,"Unacceptable Loss",Q173-U173-V173)))))),"Check Data ⚠")</f>
        <v/>
      </c>
      <c r="Y173" s="72"/>
      <c r="Z173" s="151"/>
      <c r="AA173" s="152"/>
      <c r="AC173" s="251" t="str">
        <f>IF(P173="","",IF(P173='G-1 All Habitats'!$X$3,H173-S173-T173,"None"))</f>
        <v/>
      </c>
      <c r="AD173" s="252" t="str">
        <f t="shared" si="16"/>
        <v/>
      </c>
      <c r="AF173" s="156" t="str">
        <f t="shared" si="12"/>
        <v/>
      </c>
      <c r="AG173" s="156" t="str">
        <f t="shared" si="13"/>
        <v/>
      </c>
      <c r="AH173" s="156" t="str">
        <f>IF(I173="","",IF(#REF!&gt;0,TRUE,FALSE))</f>
        <v/>
      </c>
      <c r="AI173" s="156">
        <v>163</v>
      </c>
      <c r="AJ173" s="156"/>
      <c r="AK173" s="156" t="str">
        <f t="array" ref="AK173">IFERROR(INDEX($AI$11:$AI$259, MATCH(0, IF(TRUE=$AF$11:$AF$259, COUNTIF($AK$10:$AK172, $AI$11:$AI$259), ""), 0)),"")</f>
        <v/>
      </c>
      <c r="AL173" s="156" t="str">
        <f t="array" ref="AL173">IFERROR(INDEX($AI$11:$AI$259, MATCH(0, IF(TRUE=$AG$11:$AG$259, COUNTIF($AL$10:$AL172, $AI$11:$AI$259), ""), 0)),"")</f>
        <v/>
      </c>
      <c r="AM173" s="156" t="str">
        <f t="array" ref="AM173">IFERROR(INDEX($AI$11:$AI$259, MATCH(0, IF(TRUE=$AH$11:$AH$259, COUNTIF($AM$10:$AM172, $AI$11:$AI$259), ""), 0)),"")</f>
        <v/>
      </c>
      <c r="AQ173" s="31">
        <f t="shared" si="17"/>
        <v>0</v>
      </c>
    </row>
    <row r="174" spans="1:43" x14ac:dyDescent="0.25">
      <c r="A174" s="31" t="str">
        <f>IFERROR(INDEX('G-1 All Habitats'!$AG$3:$AG$15,MATCH(E174,'G-1 All Habitats'!$AF$3:$AF$15,0)),"")</f>
        <v/>
      </c>
      <c r="B174" s="31" t="str">
        <f>IFERROR(INDEX('G-8 Condition Look up'!$I$4:$I$130,MATCH(G174,'G-8 Condition Look up'!$A$4:$A$130,0)),"")</f>
        <v/>
      </c>
      <c r="D174" s="141">
        <v>164</v>
      </c>
      <c r="E174" s="203"/>
      <c r="F174" s="203"/>
      <c r="G174" s="250" t="str">
        <f>IFERROR(INDEX('G-1 All Habitats'!$B$3:$B$129,MATCH(F174,'G-1 All Habitats'!$A$3:$A$129,0)),"")</f>
        <v/>
      </c>
      <c r="H174" s="172"/>
      <c r="I174" s="498" t="str">
        <f>IF(G174="","",VLOOKUP(G174,'G-1 All Habitats'!$B$2:$M$129,10,FALSE))</f>
        <v/>
      </c>
      <c r="J174" s="499" t="str">
        <f>IFERROR(VLOOKUP(I174,'G-1 All Habitats'!$V$3:$W$7,2,FALSE),"")</f>
        <v/>
      </c>
      <c r="K174" s="145"/>
      <c r="L174" s="499" t="str">
        <f>IFERROR(INDEX('G-8 Condition Look up'!$A$3:$H$130,MATCH(G174,'G-8 Condition Look up'!$A$3:$A$130,0),MATCH(K174,'G-8 Condition Look up'!$A$3:$H$3,0)),"")</f>
        <v/>
      </c>
      <c r="M174" s="154"/>
      <c r="N174" s="520" t="str">
        <f>IF(M174="","",IF(VLOOKUP(M174,'G-3 Multipliers'!$L$3:$N$6,2,FALSE)=0,"Spatial Data Missing ⚠",VLOOKUP(M174,'G-3 Multipliers'!$L$3:$N$6,2,FALSE)))</f>
        <v/>
      </c>
      <c r="O174" s="524" t="str">
        <f>IF(M174="","",IF(VLOOKUP(M174,'G-3 Multipliers'!$L$3:$N$6,3,FALSE)=0,"Spatial Data Missing ⚠",VLOOKUP(M174,'G-3 Multipliers'!$L$3:$N$6,3,FALSE)))</f>
        <v/>
      </c>
      <c r="P174" s="506" t="str">
        <f>IFERROR(VLOOKUP(G174,'G-1 All Habitats'!$B$2:$M$129,12,FALSE),"")</f>
        <v/>
      </c>
      <c r="Q174" s="513" t="str">
        <f>IFERROR(IF(P174="","",IF(AND(P174='G-1 All Habitats'!$X$3,T174&gt;0),U174+V174,IF(AND(P174='G-1 All Habitats'!$X$3,S174&gt;0),U174+V174,IF(AND(P174='G-1 All Habitats'!$X$3,AC174&gt;0),"Any Loss Unacceptable",IF(AND(P174='G-1 All Habitats'!$X$3,W174&gt;0),"Any Loss Unacceptable",H174*J174*L174*O174))))),"Check Data ⚠")</f>
        <v/>
      </c>
      <c r="R174" s="50"/>
      <c r="S174" s="71"/>
      <c r="T174" s="72"/>
      <c r="U174" s="511" t="str">
        <f t="shared" si="14"/>
        <v/>
      </c>
      <c r="V174" s="511" t="str">
        <f t="shared" si="15"/>
        <v/>
      </c>
      <c r="W174" s="511"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545" t="str">
        <f>IFERROR(IF(H174="","",IF(H174-S174-T174=0&lt;0,"Error in Areas ▲",IF(S174+T174&gt;H174,"Error in Areas ▲",IF(AND(P174='G-1 All Habitats'!$X$3,Y174="Yes"),"Alternative Compensation",IF(W174=0,0,IF(P174='G-1 All Habitats'!$X$3,"Unacceptable Loss",Q174-U174-V174)))))),"Check Data ⚠")</f>
        <v/>
      </c>
      <c r="Y174" s="72"/>
      <c r="Z174" s="151"/>
      <c r="AA174" s="152"/>
      <c r="AC174" s="251" t="str">
        <f>IF(P174="","",IF(P174='G-1 All Habitats'!$X$3,H174-S174-T174,"None"))</f>
        <v/>
      </c>
      <c r="AD174" s="252" t="str">
        <f t="shared" si="16"/>
        <v/>
      </c>
      <c r="AF174" s="156" t="str">
        <f t="shared" si="12"/>
        <v/>
      </c>
      <c r="AG174" s="156" t="str">
        <f t="shared" si="13"/>
        <v/>
      </c>
      <c r="AH174" s="156" t="str">
        <f>IF(I174="","",IF(#REF!&gt;0,TRUE,FALSE))</f>
        <v/>
      </c>
      <c r="AI174" s="156">
        <v>164</v>
      </c>
      <c r="AJ174" s="156"/>
      <c r="AK174" s="156" t="str">
        <f t="array" ref="AK174">IFERROR(INDEX($AI$11:$AI$259, MATCH(0, IF(TRUE=$AF$11:$AF$259, COUNTIF($AK$10:$AK173, $AI$11:$AI$259), ""), 0)),"")</f>
        <v/>
      </c>
      <c r="AL174" s="156" t="str">
        <f t="array" ref="AL174">IFERROR(INDEX($AI$11:$AI$259, MATCH(0, IF(TRUE=$AG$11:$AG$259, COUNTIF($AL$10:$AL173, $AI$11:$AI$259), ""), 0)),"")</f>
        <v/>
      </c>
      <c r="AM174" s="156" t="str">
        <f t="array" ref="AM174">IFERROR(INDEX($AI$11:$AI$259, MATCH(0, IF(TRUE=$AH$11:$AH$259, COUNTIF($AM$10:$AM173, $AI$11:$AI$259), ""), 0)),"")</f>
        <v/>
      </c>
      <c r="AQ174" s="31">
        <f t="shared" si="17"/>
        <v>0</v>
      </c>
    </row>
    <row r="175" spans="1:43" x14ac:dyDescent="0.25">
      <c r="A175" s="31" t="str">
        <f>IFERROR(INDEX('G-1 All Habitats'!$AG$3:$AG$15,MATCH(E175,'G-1 All Habitats'!$AF$3:$AF$15,0)),"")</f>
        <v/>
      </c>
      <c r="B175" s="31" t="str">
        <f>IFERROR(INDEX('G-8 Condition Look up'!$I$4:$I$130,MATCH(G175,'G-8 Condition Look up'!$A$4:$A$130,0)),"")</f>
        <v/>
      </c>
      <c r="D175" s="141">
        <v>165</v>
      </c>
      <c r="E175" s="203"/>
      <c r="F175" s="203"/>
      <c r="G175" s="250" t="str">
        <f>IFERROR(INDEX('G-1 All Habitats'!$B$3:$B$129,MATCH(F175,'G-1 All Habitats'!$A$3:$A$129,0)),"")</f>
        <v/>
      </c>
      <c r="H175" s="172"/>
      <c r="I175" s="498" t="str">
        <f>IF(G175="","",VLOOKUP(G175,'G-1 All Habitats'!$B$2:$M$129,10,FALSE))</f>
        <v/>
      </c>
      <c r="J175" s="499" t="str">
        <f>IFERROR(VLOOKUP(I175,'G-1 All Habitats'!$V$3:$W$7,2,FALSE),"")</f>
        <v/>
      </c>
      <c r="K175" s="145"/>
      <c r="L175" s="499" t="str">
        <f>IFERROR(INDEX('G-8 Condition Look up'!$A$3:$H$130,MATCH(G175,'G-8 Condition Look up'!$A$3:$A$130,0),MATCH(K175,'G-8 Condition Look up'!$A$3:$H$3,0)),"")</f>
        <v/>
      </c>
      <c r="M175" s="154"/>
      <c r="N175" s="520" t="str">
        <f>IF(M175="","",IF(VLOOKUP(M175,'G-3 Multipliers'!$L$3:$N$6,2,FALSE)=0,"Spatial Data Missing ⚠",VLOOKUP(M175,'G-3 Multipliers'!$L$3:$N$6,2,FALSE)))</f>
        <v/>
      </c>
      <c r="O175" s="524" t="str">
        <f>IF(M175="","",IF(VLOOKUP(M175,'G-3 Multipliers'!$L$3:$N$6,3,FALSE)=0,"Spatial Data Missing ⚠",VLOOKUP(M175,'G-3 Multipliers'!$L$3:$N$6,3,FALSE)))</f>
        <v/>
      </c>
      <c r="P175" s="506" t="str">
        <f>IFERROR(VLOOKUP(G175,'G-1 All Habitats'!$B$2:$M$129,12,FALSE),"")</f>
        <v/>
      </c>
      <c r="Q175" s="513" t="str">
        <f>IFERROR(IF(P175="","",IF(AND(P175='G-1 All Habitats'!$X$3,T175&gt;0),U175+V175,IF(AND(P175='G-1 All Habitats'!$X$3,S175&gt;0),U175+V175,IF(AND(P175='G-1 All Habitats'!$X$3,AC175&gt;0),"Any Loss Unacceptable",IF(AND(P175='G-1 All Habitats'!$X$3,W175&gt;0),"Any Loss Unacceptable",H175*J175*L175*O175))))),"Check Data ⚠")</f>
        <v/>
      </c>
      <c r="R175" s="50"/>
      <c r="S175" s="71"/>
      <c r="T175" s="72"/>
      <c r="U175" s="511" t="str">
        <f t="shared" si="14"/>
        <v/>
      </c>
      <c r="V175" s="511" t="str">
        <f t="shared" si="15"/>
        <v/>
      </c>
      <c r="W175" s="511"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545" t="str">
        <f>IFERROR(IF(H175="","",IF(H175-S175-T175=0&lt;0,"Error in Areas ▲",IF(S175+T175&gt;H175,"Error in Areas ▲",IF(AND(P175='G-1 All Habitats'!$X$3,Y175="Yes"),"Alternative Compensation",IF(W175=0,0,IF(P175='G-1 All Habitats'!$X$3,"Unacceptable Loss",Q175-U175-V175)))))),"Check Data ⚠")</f>
        <v/>
      </c>
      <c r="Y175" s="72"/>
      <c r="Z175" s="151"/>
      <c r="AA175" s="152"/>
      <c r="AC175" s="251" t="str">
        <f>IF(P175="","",IF(P175='G-1 All Habitats'!$X$3,H175-S175-T175,"None"))</f>
        <v/>
      </c>
      <c r="AD175" s="252" t="str">
        <f t="shared" si="16"/>
        <v/>
      </c>
      <c r="AF175" s="156" t="str">
        <f t="shared" si="12"/>
        <v/>
      </c>
      <c r="AG175" s="156" t="str">
        <f t="shared" si="13"/>
        <v/>
      </c>
      <c r="AH175" s="156" t="str">
        <f>IF(I175="","",IF(#REF!&gt;0,TRUE,FALSE))</f>
        <v/>
      </c>
      <c r="AI175" s="156">
        <v>165</v>
      </c>
      <c r="AJ175" s="156"/>
      <c r="AK175" s="156" t="str">
        <f t="array" ref="AK175">IFERROR(INDEX($AI$11:$AI$259, MATCH(0, IF(TRUE=$AF$11:$AF$259, COUNTIF($AK$10:$AK174, $AI$11:$AI$259), ""), 0)),"")</f>
        <v/>
      </c>
      <c r="AL175" s="156" t="str">
        <f t="array" ref="AL175">IFERROR(INDEX($AI$11:$AI$259, MATCH(0, IF(TRUE=$AG$11:$AG$259, COUNTIF($AL$10:$AL174, $AI$11:$AI$259), ""), 0)),"")</f>
        <v/>
      </c>
      <c r="AM175" s="156" t="str">
        <f t="array" ref="AM175">IFERROR(INDEX($AI$11:$AI$259, MATCH(0, IF(TRUE=$AH$11:$AH$259, COUNTIF($AM$10:$AM174, $AI$11:$AI$259), ""), 0)),"")</f>
        <v/>
      </c>
      <c r="AQ175" s="31">
        <f t="shared" si="17"/>
        <v>0</v>
      </c>
    </row>
    <row r="176" spans="1:43" x14ac:dyDescent="0.25">
      <c r="A176" s="31" t="str">
        <f>IFERROR(INDEX('G-1 All Habitats'!$AG$3:$AG$15,MATCH(E176,'G-1 All Habitats'!$AF$3:$AF$15,0)),"")</f>
        <v/>
      </c>
      <c r="B176" s="31" t="str">
        <f>IFERROR(INDEX('G-8 Condition Look up'!$I$4:$I$130,MATCH(G176,'G-8 Condition Look up'!$A$4:$A$130,0)),"")</f>
        <v/>
      </c>
      <c r="D176" s="141">
        <v>166</v>
      </c>
      <c r="E176" s="203"/>
      <c r="F176" s="203"/>
      <c r="G176" s="250" t="str">
        <f>IFERROR(INDEX('G-1 All Habitats'!$B$3:$B$129,MATCH(F176,'G-1 All Habitats'!$A$3:$A$129,0)),"")</f>
        <v/>
      </c>
      <c r="H176" s="172"/>
      <c r="I176" s="498" t="str">
        <f>IF(G176="","",VLOOKUP(G176,'G-1 All Habitats'!$B$2:$M$129,10,FALSE))</f>
        <v/>
      </c>
      <c r="J176" s="499" t="str">
        <f>IFERROR(VLOOKUP(I176,'G-1 All Habitats'!$V$3:$W$7,2,FALSE),"")</f>
        <v/>
      </c>
      <c r="K176" s="145"/>
      <c r="L176" s="499" t="str">
        <f>IFERROR(INDEX('G-8 Condition Look up'!$A$3:$H$130,MATCH(G176,'G-8 Condition Look up'!$A$3:$A$130,0),MATCH(K176,'G-8 Condition Look up'!$A$3:$H$3,0)),"")</f>
        <v/>
      </c>
      <c r="M176" s="154"/>
      <c r="N176" s="520" t="str">
        <f>IF(M176="","",IF(VLOOKUP(M176,'G-3 Multipliers'!$L$3:$N$6,2,FALSE)=0,"Spatial Data Missing ⚠",VLOOKUP(M176,'G-3 Multipliers'!$L$3:$N$6,2,FALSE)))</f>
        <v/>
      </c>
      <c r="O176" s="524" t="str">
        <f>IF(M176="","",IF(VLOOKUP(M176,'G-3 Multipliers'!$L$3:$N$6,3,FALSE)=0,"Spatial Data Missing ⚠",VLOOKUP(M176,'G-3 Multipliers'!$L$3:$N$6,3,FALSE)))</f>
        <v/>
      </c>
      <c r="P176" s="506" t="str">
        <f>IFERROR(VLOOKUP(G176,'G-1 All Habitats'!$B$2:$M$129,12,FALSE),"")</f>
        <v/>
      </c>
      <c r="Q176" s="513" t="str">
        <f>IFERROR(IF(P176="","",IF(AND(P176='G-1 All Habitats'!$X$3,T176&gt;0),U176+V176,IF(AND(P176='G-1 All Habitats'!$X$3,S176&gt;0),U176+V176,IF(AND(P176='G-1 All Habitats'!$X$3,AC176&gt;0),"Any Loss Unacceptable",IF(AND(P176='G-1 All Habitats'!$X$3,W176&gt;0),"Any Loss Unacceptable",H176*J176*L176*O176))))),"Check Data ⚠")</f>
        <v/>
      </c>
      <c r="R176" s="50"/>
      <c r="S176" s="71"/>
      <c r="T176" s="72"/>
      <c r="U176" s="511" t="str">
        <f t="shared" si="14"/>
        <v/>
      </c>
      <c r="V176" s="511" t="str">
        <f t="shared" si="15"/>
        <v/>
      </c>
      <c r="W176" s="511"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545" t="str">
        <f>IFERROR(IF(H176="","",IF(H176-S176-T176=0&lt;0,"Error in Areas ▲",IF(S176+T176&gt;H176,"Error in Areas ▲",IF(AND(P176='G-1 All Habitats'!$X$3,Y176="Yes"),"Alternative Compensation",IF(W176=0,0,IF(P176='G-1 All Habitats'!$X$3,"Unacceptable Loss",Q176-U176-V176)))))),"Check Data ⚠")</f>
        <v/>
      </c>
      <c r="Y176" s="72"/>
      <c r="Z176" s="151"/>
      <c r="AA176" s="152"/>
      <c r="AC176" s="251" t="str">
        <f>IF(P176="","",IF(P176='G-1 All Habitats'!$X$3,H176-S176-T176,"None"))</f>
        <v/>
      </c>
      <c r="AD176" s="252" t="str">
        <f t="shared" si="16"/>
        <v/>
      </c>
      <c r="AF176" s="156" t="str">
        <f t="shared" si="12"/>
        <v/>
      </c>
      <c r="AG176" s="156" t="str">
        <f t="shared" si="13"/>
        <v/>
      </c>
      <c r="AH176" s="156" t="str">
        <f>IF(I176="","",IF(#REF!&gt;0,TRUE,FALSE))</f>
        <v/>
      </c>
      <c r="AI176" s="156">
        <v>166</v>
      </c>
      <c r="AJ176" s="156"/>
      <c r="AK176" s="156" t="str">
        <f t="array" ref="AK176">IFERROR(INDEX($AI$11:$AI$259, MATCH(0, IF(TRUE=$AF$11:$AF$259, COUNTIF($AK$10:$AK175, $AI$11:$AI$259), ""), 0)),"")</f>
        <v/>
      </c>
      <c r="AL176" s="156" t="str">
        <f t="array" ref="AL176">IFERROR(INDEX($AI$11:$AI$259, MATCH(0, IF(TRUE=$AG$11:$AG$259, COUNTIF($AL$10:$AL175, $AI$11:$AI$259), ""), 0)),"")</f>
        <v/>
      </c>
      <c r="AM176" s="156" t="str">
        <f t="array" ref="AM176">IFERROR(INDEX($AI$11:$AI$259, MATCH(0, IF(TRUE=$AH$11:$AH$259, COUNTIF($AM$10:$AM175, $AI$11:$AI$259), ""), 0)),"")</f>
        <v/>
      </c>
      <c r="AQ176" s="31">
        <f t="shared" si="17"/>
        <v>0</v>
      </c>
    </row>
    <row r="177" spans="1:43" x14ac:dyDescent="0.25">
      <c r="A177" s="31" t="str">
        <f>IFERROR(INDEX('G-1 All Habitats'!$AG$3:$AG$15,MATCH(E177,'G-1 All Habitats'!$AF$3:$AF$15,0)),"")</f>
        <v/>
      </c>
      <c r="B177" s="31" t="str">
        <f>IFERROR(INDEX('G-8 Condition Look up'!$I$4:$I$130,MATCH(G177,'G-8 Condition Look up'!$A$4:$A$130,0)),"")</f>
        <v/>
      </c>
      <c r="D177" s="141">
        <v>167</v>
      </c>
      <c r="E177" s="203"/>
      <c r="F177" s="203"/>
      <c r="G177" s="250" t="str">
        <f>IFERROR(INDEX('G-1 All Habitats'!$B$3:$B$129,MATCH(F177,'G-1 All Habitats'!$A$3:$A$129,0)),"")</f>
        <v/>
      </c>
      <c r="H177" s="172"/>
      <c r="I177" s="498" t="str">
        <f>IF(G177="","",VLOOKUP(G177,'G-1 All Habitats'!$B$2:$M$129,10,FALSE))</f>
        <v/>
      </c>
      <c r="J177" s="499" t="str">
        <f>IFERROR(VLOOKUP(I177,'G-1 All Habitats'!$V$3:$W$7,2,FALSE),"")</f>
        <v/>
      </c>
      <c r="K177" s="145"/>
      <c r="L177" s="499" t="str">
        <f>IFERROR(INDEX('G-8 Condition Look up'!$A$3:$H$130,MATCH(G177,'G-8 Condition Look up'!$A$3:$A$130,0),MATCH(K177,'G-8 Condition Look up'!$A$3:$H$3,0)),"")</f>
        <v/>
      </c>
      <c r="M177" s="154"/>
      <c r="N177" s="520" t="str">
        <f>IF(M177="","",IF(VLOOKUP(M177,'G-3 Multipliers'!$L$3:$N$6,2,FALSE)=0,"Spatial Data Missing ⚠",VLOOKUP(M177,'G-3 Multipliers'!$L$3:$N$6,2,FALSE)))</f>
        <v/>
      </c>
      <c r="O177" s="524" t="str">
        <f>IF(M177="","",IF(VLOOKUP(M177,'G-3 Multipliers'!$L$3:$N$6,3,FALSE)=0,"Spatial Data Missing ⚠",VLOOKUP(M177,'G-3 Multipliers'!$L$3:$N$6,3,FALSE)))</f>
        <v/>
      </c>
      <c r="P177" s="506" t="str">
        <f>IFERROR(VLOOKUP(G177,'G-1 All Habitats'!$B$2:$M$129,12,FALSE),"")</f>
        <v/>
      </c>
      <c r="Q177" s="513" t="str">
        <f>IFERROR(IF(P177="","",IF(AND(P177='G-1 All Habitats'!$X$3,T177&gt;0),U177+V177,IF(AND(P177='G-1 All Habitats'!$X$3,S177&gt;0),U177+V177,IF(AND(P177='G-1 All Habitats'!$X$3,AC177&gt;0),"Any Loss Unacceptable",IF(AND(P177='G-1 All Habitats'!$X$3,W177&gt;0),"Any Loss Unacceptable",H177*J177*L177*O177))))),"Check Data ⚠")</f>
        <v/>
      </c>
      <c r="R177" s="50"/>
      <c r="S177" s="71"/>
      <c r="T177" s="72"/>
      <c r="U177" s="511" t="str">
        <f t="shared" si="14"/>
        <v/>
      </c>
      <c r="V177" s="511" t="str">
        <f t="shared" si="15"/>
        <v/>
      </c>
      <c r="W177" s="511"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545" t="str">
        <f>IFERROR(IF(H177="","",IF(H177-S177-T177=0&lt;0,"Error in Areas ▲",IF(S177+T177&gt;H177,"Error in Areas ▲",IF(AND(P177='G-1 All Habitats'!$X$3,Y177="Yes"),"Alternative Compensation",IF(W177=0,0,IF(P177='G-1 All Habitats'!$X$3,"Unacceptable Loss",Q177-U177-V177)))))),"Check Data ⚠")</f>
        <v/>
      </c>
      <c r="Y177" s="72"/>
      <c r="Z177" s="151"/>
      <c r="AA177" s="152"/>
      <c r="AC177" s="251" t="str">
        <f>IF(P177="","",IF(P177='G-1 All Habitats'!$X$3,H177-S177-T177,"None"))</f>
        <v/>
      </c>
      <c r="AD177" s="252" t="str">
        <f t="shared" si="16"/>
        <v/>
      </c>
      <c r="AF177" s="156" t="str">
        <f t="shared" si="12"/>
        <v/>
      </c>
      <c r="AG177" s="156" t="str">
        <f t="shared" si="13"/>
        <v/>
      </c>
      <c r="AH177" s="156" t="str">
        <f>IF(I177="","",IF(#REF!&gt;0,TRUE,FALSE))</f>
        <v/>
      </c>
      <c r="AI177" s="156">
        <v>167</v>
      </c>
      <c r="AJ177" s="156"/>
      <c r="AK177" s="156" t="str">
        <f t="array" ref="AK177">IFERROR(INDEX($AI$11:$AI$259, MATCH(0, IF(TRUE=$AF$11:$AF$259, COUNTIF($AK$10:$AK176, $AI$11:$AI$259), ""), 0)),"")</f>
        <v/>
      </c>
      <c r="AL177" s="156" t="str">
        <f t="array" ref="AL177">IFERROR(INDEX($AI$11:$AI$259, MATCH(0, IF(TRUE=$AG$11:$AG$259, COUNTIF($AL$10:$AL176, $AI$11:$AI$259), ""), 0)),"")</f>
        <v/>
      </c>
      <c r="AM177" s="156" t="str">
        <f t="array" ref="AM177">IFERROR(INDEX($AI$11:$AI$259, MATCH(0, IF(TRUE=$AH$11:$AH$259, COUNTIF($AM$10:$AM176, $AI$11:$AI$259), ""), 0)),"")</f>
        <v/>
      </c>
      <c r="AQ177" s="31">
        <f t="shared" si="17"/>
        <v>0</v>
      </c>
    </row>
    <row r="178" spans="1:43" x14ac:dyDescent="0.25">
      <c r="A178" s="31" t="str">
        <f>IFERROR(INDEX('G-1 All Habitats'!$AG$3:$AG$15,MATCH(E178,'G-1 All Habitats'!$AF$3:$AF$15,0)),"")</f>
        <v/>
      </c>
      <c r="B178" s="31" t="str">
        <f>IFERROR(INDEX('G-8 Condition Look up'!$I$4:$I$130,MATCH(G178,'G-8 Condition Look up'!$A$4:$A$130,0)),"")</f>
        <v/>
      </c>
      <c r="D178" s="141">
        <v>168</v>
      </c>
      <c r="E178" s="203"/>
      <c r="F178" s="203"/>
      <c r="G178" s="250" t="str">
        <f>IFERROR(INDEX('G-1 All Habitats'!$B$3:$B$129,MATCH(F178,'G-1 All Habitats'!$A$3:$A$129,0)),"")</f>
        <v/>
      </c>
      <c r="H178" s="172"/>
      <c r="I178" s="498" t="str">
        <f>IF(G178="","",VLOOKUP(G178,'G-1 All Habitats'!$B$2:$M$129,10,FALSE))</f>
        <v/>
      </c>
      <c r="J178" s="499" t="str">
        <f>IFERROR(VLOOKUP(I178,'G-1 All Habitats'!$V$3:$W$7,2,FALSE),"")</f>
        <v/>
      </c>
      <c r="K178" s="145"/>
      <c r="L178" s="499" t="str">
        <f>IFERROR(INDEX('G-8 Condition Look up'!$A$3:$H$130,MATCH(G178,'G-8 Condition Look up'!$A$3:$A$130,0),MATCH(K178,'G-8 Condition Look up'!$A$3:$H$3,0)),"")</f>
        <v/>
      </c>
      <c r="M178" s="154"/>
      <c r="N178" s="520" t="str">
        <f>IF(M178="","",IF(VLOOKUP(M178,'G-3 Multipliers'!$L$3:$N$6,2,FALSE)=0,"Spatial Data Missing ⚠",VLOOKUP(M178,'G-3 Multipliers'!$L$3:$N$6,2,FALSE)))</f>
        <v/>
      </c>
      <c r="O178" s="524" t="str">
        <f>IF(M178="","",IF(VLOOKUP(M178,'G-3 Multipliers'!$L$3:$N$6,3,FALSE)=0,"Spatial Data Missing ⚠",VLOOKUP(M178,'G-3 Multipliers'!$L$3:$N$6,3,FALSE)))</f>
        <v/>
      </c>
      <c r="P178" s="506" t="str">
        <f>IFERROR(VLOOKUP(G178,'G-1 All Habitats'!$B$2:$M$129,12,FALSE),"")</f>
        <v/>
      </c>
      <c r="Q178" s="513" t="str">
        <f>IFERROR(IF(P178="","",IF(AND(P178='G-1 All Habitats'!$X$3,T178&gt;0),U178+V178,IF(AND(P178='G-1 All Habitats'!$X$3,S178&gt;0),U178+V178,IF(AND(P178='G-1 All Habitats'!$X$3,AC178&gt;0),"Any Loss Unacceptable",IF(AND(P178='G-1 All Habitats'!$X$3,W178&gt;0),"Any Loss Unacceptable",H178*J178*L178*O178))))),"Check Data ⚠")</f>
        <v/>
      </c>
      <c r="R178" s="50"/>
      <c r="S178" s="71"/>
      <c r="T178" s="72"/>
      <c r="U178" s="511" t="str">
        <f t="shared" si="14"/>
        <v/>
      </c>
      <c r="V178" s="511" t="str">
        <f t="shared" si="15"/>
        <v/>
      </c>
      <c r="W178" s="511"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545" t="str">
        <f>IFERROR(IF(H178="","",IF(H178-S178-T178=0&lt;0,"Error in Areas ▲",IF(S178+T178&gt;H178,"Error in Areas ▲",IF(AND(P178='G-1 All Habitats'!$X$3,Y178="Yes"),"Alternative Compensation",IF(W178=0,0,IF(P178='G-1 All Habitats'!$X$3,"Unacceptable Loss",Q178-U178-V178)))))),"Check Data ⚠")</f>
        <v/>
      </c>
      <c r="Y178" s="72"/>
      <c r="Z178" s="151"/>
      <c r="AA178" s="152"/>
      <c r="AC178" s="251" t="str">
        <f>IF(P178="","",IF(P178='G-1 All Habitats'!$X$3,H178-S178-T178,"None"))</f>
        <v/>
      </c>
      <c r="AD178" s="252" t="str">
        <f t="shared" si="16"/>
        <v/>
      </c>
      <c r="AF178" s="156" t="str">
        <f t="shared" si="12"/>
        <v/>
      </c>
      <c r="AG178" s="156" t="str">
        <f t="shared" si="13"/>
        <v/>
      </c>
      <c r="AH178" s="156" t="str">
        <f>IF(I178="","",IF(#REF!&gt;0,TRUE,FALSE))</f>
        <v/>
      </c>
      <c r="AI178" s="156">
        <v>168</v>
      </c>
      <c r="AJ178" s="156"/>
      <c r="AK178" s="156" t="str">
        <f t="array" ref="AK178">IFERROR(INDEX($AI$11:$AI$259, MATCH(0, IF(TRUE=$AF$11:$AF$259, COUNTIF($AK$10:$AK177, $AI$11:$AI$259), ""), 0)),"")</f>
        <v/>
      </c>
      <c r="AL178" s="156" t="str">
        <f t="array" ref="AL178">IFERROR(INDEX($AI$11:$AI$259, MATCH(0, IF(TRUE=$AG$11:$AG$259, COUNTIF($AL$10:$AL177, $AI$11:$AI$259), ""), 0)),"")</f>
        <v/>
      </c>
      <c r="AM178" s="156" t="str">
        <f t="array" ref="AM178">IFERROR(INDEX($AI$11:$AI$259, MATCH(0, IF(TRUE=$AH$11:$AH$259, COUNTIF($AM$10:$AM177, $AI$11:$AI$259), ""), 0)),"")</f>
        <v/>
      </c>
      <c r="AQ178" s="31">
        <f t="shared" si="17"/>
        <v>0</v>
      </c>
    </row>
    <row r="179" spans="1:43" x14ac:dyDescent="0.25">
      <c r="A179" s="31" t="str">
        <f>IFERROR(INDEX('G-1 All Habitats'!$AG$3:$AG$15,MATCH(E179,'G-1 All Habitats'!$AF$3:$AF$15,0)),"")</f>
        <v/>
      </c>
      <c r="B179" s="31" t="str">
        <f>IFERROR(INDEX('G-8 Condition Look up'!$I$4:$I$130,MATCH(G179,'G-8 Condition Look up'!$A$4:$A$130,0)),"")</f>
        <v/>
      </c>
      <c r="D179" s="141">
        <v>169</v>
      </c>
      <c r="E179" s="203"/>
      <c r="F179" s="203"/>
      <c r="G179" s="250" t="str">
        <f>IFERROR(INDEX('G-1 All Habitats'!$B$3:$B$129,MATCH(F179,'G-1 All Habitats'!$A$3:$A$129,0)),"")</f>
        <v/>
      </c>
      <c r="H179" s="172"/>
      <c r="I179" s="498" t="str">
        <f>IF(G179="","",VLOOKUP(G179,'G-1 All Habitats'!$B$2:$M$129,10,FALSE))</f>
        <v/>
      </c>
      <c r="J179" s="499" t="str">
        <f>IFERROR(VLOOKUP(I179,'G-1 All Habitats'!$V$3:$W$7,2,FALSE),"")</f>
        <v/>
      </c>
      <c r="K179" s="145"/>
      <c r="L179" s="499" t="str">
        <f>IFERROR(INDEX('G-8 Condition Look up'!$A$3:$H$130,MATCH(G179,'G-8 Condition Look up'!$A$3:$A$130,0),MATCH(K179,'G-8 Condition Look up'!$A$3:$H$3,0)),"")</f>
        <v/>
      </c>
      <c r="M179" s="154"/>
      <c r="N179" s="520" t="str">
        <f>IF(M179="","",IF(VLOOKUP(M179,'G-3 Multipliers'!$L$3:$N$6,2,FALSE)=0,"Spatial Data Missing ⚠",VLOOKUP(M179,'G-3 Multipliers'!$L$3:$N$6,2,FALSE)))</f>
        <v/>
      </c>
      <c r="O179" s="524" t="str">
        <f>IF(M179="","",IF(VLOOKUP(M179,'G-3 Multipliers'!$L$3:$N$6,3,FALSE)=0,"Spatial Data Missing ⚠",VLOOKUP(M179,'G-3 Multipliers'!$L$3:$N$6,3,FALSE)))</f>
        <v/>
      </c>
      <c r="P179" s="506" t="str">
        <f>IFERROR(VLOOKUP(G179,'G-1 All Habitats'!$B$2:$M$129,12,FALSE),"")</f>
        <v/>
      </c>
      <c r="Q179" s="513" t="str">
        <f>IFERROR(IF(P179="","",IF(AND(P179='G-1 All Habitats'!$X$3,T179&gt;0),U179+V179,IF(AND(P179='G-1 All Habitats'!$X$3,S179&gt;0),U179+V179,IF(AND(P179='G-1 All Habitats'!$X$3,AC179&gt;0),"Any Loss Unacceptable",IF(AND(P179='G-1 All Habitats'!$X$3,W179&gt;0),"Any Loss Unacceptable",H179*J179*L179*O179))))),"Check Data ⚠")</f>
        <v/>
      </c>
      <c r="R179" s="50"/>
      <c r="S179" s="71"/>
      <c r="T179" s="72"/>
      <c r="U179" s="511" t="str">
        <f t="shared" si="14"/>
        <v/>
      </c>
      <c r="V179" s="511" t="str">
        <f t="shared" si="15"/>
        <v/>
      </c>
      <c r="W179" s="511"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545" t="str">
        <f>IFERROR(IF(H179="","",IF(H179-S179-T179=0&lt;0,"Error in Areas ▲",IF(S179+T179&gt;H179,"Error in Areas ▲",IF(AND(P179='G-1 All Habitats'!$X$3,Y179="Yes"),"Alternative Compensation",IF(W179=0,0,IF(P179='G-1 All Habitats'!$X$3,"Unacceptable Loss",Q179-U179-V179)))))),"Check Data ⚠")</f>
        <v/>
      </c>
      <c r="Y179" s="72"/>
      <c r="Z179" s="151"/>
      <c r="AA179" s="152"/>
      <c r="AC179" s="251" t="str">
        <f>IF(P179="","",IF(P179='G-1 All Habitats'!$X$3,H179-S179-T179,"None"))</f>
        <v/>
      </c>
      <c r="AD179" s="252" t="str">
        <f t="shared" si="16"/>
        <v/>
      </c>
      <c r="AF179" s="156" t="str">
        <f t="shared" si="12"/>
        <v/>
      </c>
      <c r="AG179" s="156" t="str">
        <f t="shared" si="13"/>
        <v/>
      </c>
      <c r="AH179" s="156" t="str">
        <f>IF(I179="","",IF(#REF!&gt;0,TRUE,FALSE))</f>
        <v/>
      </c>
      <c r="AI179" s="156">
        <v>169</v>
      </c>
      <c r="AJ179" s="156"/>
      <c r="AK179" s="156" t="str">
        <f t="array" ref="AK179">IFERROR(INDEX($AI$11:$AI$259, MATCH(0, IF(TRUE=$AF$11:$AF$259, COUNTIF($AK$10:$AK178, $AI$11:$AI$259), ""), 0)),"")</f>
        <v/>
      </c>
      <c r="AL179" s="156" t="str">
        <f t="array" ref="AL179">IFERROR(INDEX($AI$11:$AI$259, MATCH(0, IF(TRUE=$AG$11:$AG$259, COUNTIF($AL$10:$AL178, $AI$11:$AI$259), ""), 0)),"")</f>
        <v/>
      </c>
      <c r="AM179" s="156" t="str">
        <f t="array" ref="AM179">IFERROR(INDEX($AI$11:$AI$259, MATCH(0, IF(TRUE=$AH$11:$AH$259, COUNTIF($AM$10:$AM178, $AI$11:$AI$259), ""), 0)),"")</f>
        <v/>
      </c>
      <c r="AQ179" s="31">
        <f t="shared" si="17"/>
        <v>0</v>
      </c>
    </row>
    <row r="180" spans="1:43" x14ac:dyDescent="0.25">
      <c r="A180" s="31" t="str">
        <f>IFERROR(INDEX('G-1 All Habitats'!$AG$3:$AG$15,MATCH(E180,'G-1 All Habitats'!$AF$3:$AF$15,0)),"")</f>
        <v/>
      </c>
      <c r="B180" s="31" t="str">
        <f>IFERROR(INDEX('G-8 Condition Look up'!$I$4:$I$130,MATCH(G180,'G-8 Condition Look up'!$A$4:$A$130,0)),"")</f>
        <v/>
      </c>
      <c r="D180" s="141">
        <v>170</v>
      </c>
      <c r="E180" s="203"/>
      <c r="F180" s="203"/>
      <c r="G180" s="250" t="str">
        <f>IFERROR(INDEX('G-1 All Habitats'!$B$3:$B$129,MATCH(F180,'G-1 All Habitats'!$A$3:$A$129,0)),"")</f>
        <v/>
      </c>
      <c r="H180" s="172"/>
      <c r="I180" s="498" t="str">
        <f>IF(G180="","",VLOOKUP(G180,'G-1 All Habitats'!$B$2:$M$129,10,FALSE))</f>
        <v/>
      </c>
      <c r="J180" s="499" t="str">
        <f>IFERROR(VLOOKUP(I180,'G-1 All Habitats'!$V$3:$W$7,2,FALSE),"")</f>
        <v/>
      </c>
      <c r="K180" s="145"/>
      <c r="L180" s="499" t="str">
        <f>IFERROR(INDEX('G-8 Condition Look up'!$A$3:$H$130,MATCH(G180,'G-8 Condition Look up'!$A$3:$A$130,0),MATCH(K180,'G-8 Condition Look up'!$A$3:$H$3,0)),"")</f>
        <v/>
      </c>
      <c r="M180" s="154"/>
      <c r="N180" s="520" t="str">
        <f>IF(M180="","",IF(VLOOKUP(M180,'G-3 Multipliers'!$L$3:$N$6,2,FALSE)=0,"Spatial Data Missing ⚠",VLOOKUP(M180,'G-3 Multipliers'!$L$3:$N$6,2,FALSE)))</f>
        <v/>
      </c>
      <c r="O180" s="524" t="str">
        <f>IF(M180="","",IF(VLOOKUP(M180,'G-3 Multipliers'!$L$3:$N$6,3,FALSE)=0,"Spatial Data Missing ⚠",VLOOKUP(M180,'G-3 Multipliers'!$L$3:$N$6,3,FALSE)))</f>
        <v/>
      </c>
      <c r="P180" s="506" t="str">
        <f>IFERROR(VLOOKUP(G180,'G-1 All Habitats'!$B$2:$M$129,12,FALSE),"")</f>
        <v/>
      </c>
      <c r="Q180" s="513" t="str">
        <f>IFERROR(IF(P180="","",IF(AND(P180='G-1 All Habitats'!$X$3,T180&gt;0),U180+V180,IF(AND(P180='G-1 All Habitats'!$X$3,S180&gt;0),U180+V180,IF(AND(P180='G-1 All Habitats'!$X$3,AC180&gt;0),"Any Loss Unacceptable",IF(AND(P180='G-1 All Habitats'!$X$3,W180&gt;0),"Any Loss Unacceptable",H180*J180*L180*O180))))),"Check Data ⚠")</f>
        <v/>
      </c>
      <c r="R180" s="50"/>
      <c r="S180" s="71"/>
      <c r="T180" s="72"/>
      <c r="U180" s="511" t="str">
        <f t="shared" si="14"/>
        <v/>
      </c>
      <c r="V180" s="511" t="str">
        <f t="shared" si="15"/>
        <v/>
      </c>
      <c r="W180" s="511"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545" t="str">
        <f>IFERROR(IF(H180="","",IF(H180-S180-T180=0&lt;0,"Error in Areas ▲",IF(S180+T180&gt;H180,"Error in Areas ▲",IF(AND(P180='G-1 All Habitats'!$X$3,Y180="Yes"),"Alternative Compensation",IF(W180=0,0,IF(P180='G-1 All Habitats'!$X$3,"Unacceptable Loss",Q180-U180-V180)))))),"Check Data ⚠")</f>
        <v/>
      </c>
      <c r="Y180" s="72"/>
      <c r="Z180" s="151"/>
      <c r="AA180" s="152"/>
      <c r="AC180" s="251" t="str">
        <f>IF(P180="","",IF(P180='G-1 All Habitats'!$X$3,H180-S180-T180,"None"))</f>
        <v/>
      </c>
      <c r="AD180" s="252" t="str">
        <f t="shared" si="16"/>
        <v/>
      </c>
      <c r="AF180" s="156" t="str">
        <f t="shared" si="12"/>
        <v/>
      </c>
      <c r="AG180" s="156" t="str">
        <f t="shared" si="13"/>
        <v/>
      </c>
      <c r="AH180" s="156" t="str">
        <f>IF(I180="","",IF(#REF!&gt;0,TRUE,FALSE))</f>
        <v/>
      </c>
      <c r="AI180" s="156">
        <v>170</v>
      </c>
      <c r="AJ180" s="156"/>
      <c r="AK180" s="156" t="str">
        <f t="array" ref="AK180">IFERROR(INDEX($AI$11:$AI$259, MATCH(0, IF(TRUE=$AF$11:$AF$259, COUNTIF($AK$10:$AK179, $AI$11:$AI$259), ""), 0)),"")</f>
        <v/>
      </c>
      <c r="AL180" s="156" t="str">
        <f t="array" ref="AL180">IFERROR(INDEX($AI$11:$AI$259, MATCH(0, IF(TRUE=$AG$11:$AG$259, COUNTIF($AL$10:$AL179, $AI$11:$AI$259), ""), 0)),"")</f>
        <v/>
      </c>
      <c r="AM180" s="156" t="str">
        <f t="array" ref="AM180">IFERROR(INDEX($AI$11:$AI$259, MATCH(0, IF(TRUE=$AH$11:$AH$259, COUNTIF($AM$10:$AM179, $AI$11:$AI$259), ""), 0)),"")</f>
        <v/>
      </c>
      <c r="AQ180" s="31">
        <f t="shared" si="17"/>
        <v>0</v>
      </c>
    </row>
    <row r="181" spans="1:43" x14ac:dyDescent="0.25">
      <c r="A181" s="31" t="str">
        <f>IFERROR(INDEX('G-1 All Habitats'!$AG$3:$AG$15,MATCH(E181,'G-1 All Habitats'!$AF$3:$AF$15,0)),"")</f>
        <v/>
      </c>
      <c r="B181" s="31" t="str">
        <f>IFERROR(INDEX('G-8 Condition Look up'!$I$4:$I$130,MATCH(G181,'G-8 Condition Look up'!$A$4:$A$130,0)),"")</f>
        <v/>
      </c>
      <c r="D181" s="141">
        <v>171</v>
      </c>
      <c r="E181" s="203"/>
      <c r="F181" s="203"/>
      <c r="G181" s="250" t="str">
        <f>IFERROR(INDEX('G-1 All Habitats'!$B$3:$B$129,MATCH(F181,'G-1 All Habitats'!$A$3:$A$129,0)),"")</f>
        <v/>
      </c>
      <c r="H181" s="172"/>
      <c r="I181" s="498" t="str">
        <f>IF(G181="","",VLOOKUP(G181,'G-1 All Habitats'!$B$2:$M$129,10,FALSE))</f>
        <v/>
      </c>
      <c r="J181" s="499" t="str">
        <f>IFERROR(VLOOKUP(I181,'G-1 All Habitats'!$V$3:$W$7,2,FALSE),"")</f>
        <v/>
      </c>
      <c r="K181" s="145"/>
      <c r="L181" s="499" t="str">
        <f>IFERROR(INDEX('G-8 Condition Look up'!$A$3:$H$130,MATCH(G181,'G-8 Condition Look up'!$A$3:$A$130,0),MATCH(K181,'G-8 Condition Look up'!$A$3:$H$3,0)),"")</f>
        <v/>
      </c>
      <c r="M181" s="154"/>
      <c r="N181" s="520" t="str">
        <f>IF(M181="","",IF(VLOOKUP(M181,'G-3 Multipliers'!$L$3:$N$6,2,FALSE)=0,"Spatial Data Missing ⚠",VLOOKUP(M181,'G-3 Multipliers'!$L$3:$N$6,2,FALSE)))</f>
        <v/>
      </c>
      <c r="O181" s="524" t="str">
        <f>IF(M181="","",IF(VLOOKUP(M181,'G-3 Multipliers'!$L$3:$N$6,3,FALSE)=0,"Spatial Data Missing ⚠",VLOOKUP(M181,'G-3 Multipliers'!$L$3:$N$6,3,FALSE)))</f>
        <v/>
      </c>
      <c r="P181" s="506" t="str">
        <f>IFERROR(VLOOKUP(G181,'G-1 All Habitats'!$B$2:$M$129,12,FALSE),"")</f>
        <v/>
      </c>
      <c r="Q181" s="513" t="str">
        <f>IFERROR(IF(P181="","",IF(AND(P181='G-1 All Habitats'!$X$3,T181&gt;0),U181+V181,IF(AND(P181='G-1 All Habitats'!$X$3,S181&gt;0),U181+V181,IF(AND(P181='G-1 All Habitats'!$X$3,AC181&gt;0),"Any Loss Unacceptable",IF(AND(P181='G-1 All Habitats'!$X$3,W181&gt;0),"Any Loss Unacceptable",H181*J181*L181*O181))))),"Check Data ⚠")</f>
        <v/>
      </c>
      <c r="R181" s="50"/>
      <c r="S181" s="71"/>
      <c r="T181" s="72"/>
      <c r="U181" s="511" t="str">
        <f t="shared" si="14"/>
        <v/>
      </c>
      <c r="V181" s="511" t="str">
        <f t="shared" si="15"/>
        <v/>
      </c>
      <c r="W181" s="511"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545" t="str">
        <f>IFERROR(IF(H181="","",IF(H181-S181-T181=0&lt;0,"Error in Areas ▲",IF(S181+T181&gt;H181,"Error in Areas ▲",IF(AND(P181='G-1 All Habitats'!$X$3,Y181="Yes"),"Alternative Compensation",IF(W181=0,0,IF(P181='G-1 All Habitats'!$X$3,"Unacceptable Loss",Q181-U181-V181)))))),"Check Data ⚠")</f>
        <v/>
      </c>
      <c r="Y181" s="72"/>
      <c r="Z181" s="151"/>
      <c r="AA181" s="152"/>
      <c r="AC181" s="251" t="str">
        <f>IF(P181="","",IF(P181='G-1 All Habitats'!$X$3,H181-S181-T181,"None"))</f>
        <v/>
      </c>
      <c r="AD181" s="252" t="str">
        <f t="shared" si="16"/>
        <v/>
      </c>
      <c r="AF181" s="156" t="str">
        <f t="shared" si="12"/>
        <v/>
      </c>
      <c r="AG181" s="156" t="str">
        <f t="shared" si="13"/>
        <v/>
      </c>
      <c r="AH181" s="156" t="str">
        <f>IF(I181="","",IF(#REF!&gt;0,TRUE,FALSE))</f>
        <v/>
      </c>
      <c r="AI181" s="156">
        <v>171</v>
      </c>
      <c r="AJ181" s="156"/>
      <c r="AK181" s="156" t="str">
        <f t="array" ref="AK181">IFERROR(INDEX($AI$11:$AI$259, MATCH(0, IF(TRUE=$AF$11:$AF$259, COUNTIF($AK$10:$AK180, $AI$11:$AI$259), ""), 0)),"")</f>
        <v/>
      </c>
      <c r="AL181" s="156" t="str">
        <f t="array" ref="AL181">IFERROR(INDEX($AI$11:$AI$259, MATCH(0, IF(TRUE=$AG$11:$AG$259, COUNTIF($AL$10:$AL180, $AI$11:$AI$259), ""), 0)),"")</f>
        <v/>
      </c>
      <c r="AM181" s="156" t="str">
        <f t="array" ref="AM181">IFERROR(INDEX($AI$11:$AI$259, MATCH(0, IF(TRUE=$AH$11:$AH$259, COUNTIF($AM$10:$AM180, $AI$11:$AI$259), ""), 0)),"")</f>
        <v/>
      </c>
      <c r="AQ181" s="31">
        <f t="shared" si="17"/>
        <v>0</v>
      </c>
    </row>
    <row r="182" spans="1:43" x14ac:dyDescent="0.25">
      <c r="A182" s="31" t="str">
        <f>IFERROR(INDEX('G-1 All Habitats'!$AG$3:$AG$15,MATCH(E182,'G-1 All Habitats'!$AF$3:$AF$15,0)),"")</f>
        <v/>
      </c>
      <c r="B182" s="31" t="str">
        <f>IFERROR(INDEX('G-8 Condition Look up'!$I$4:$I$130,MATCH(G182,'G-8 Condition Look up'!$A$4:$A$130,0)),"")</f>
        <v/>
      </c>
      <c r="D182" s="141">
        <v>172</v>
      </c>
      <c r="E182" s="203"/>
      <c r="F182" s="203"/>
      <c r="G182" s="250" t="str">
        <f>IFERROR(INDEX('G-1 All Habitats'!$B$3:$B$129,MATCH(F182,'G-1 All Habitats'!$A$3:$A$129,0)),"")</f>
        <v/>
      </c>
      <c r="H182" s="172"/>
      <c r="I182" s="498" t="str">
        <f>IF(G182="","",VLOOKUP(G182,'G-1 All Habitats'!$B$2:$M$129,10,FALSE))</f>
        <v/>
      </c>
      <c r="J182" s="499" t="str">
        <f>IFERROR(VLOOKUP(I182,'G-1 All Habitats'!$V$3:$W$7,2,FALSE),"")</f>
        <v/>
      </c>
      <c r="K182" s="145"/>
      <c r="L182" s="499" t="str">
        <f>IFERROR(INDEX('G-8 Condition Look up'!$A$3:$H$130,MATCH(G182,'G-8 Condition Look up'!$A$3:$A$130,0),MATCH(K182,'G-8 Condition Look up'!$A$3:$H$3,0)),"")</f>
        <v/>
      </c>
      <c r="M182" s="154"/>
      <c r="N182" s="520" t="str">
        <f>IF(M182="","",IF(VLOOKUP(M182,'G-3 Multipliers'!$L$3:$N$6,2,FALSE)=0,"Spatial Data Missing ⚠",VLOOKUP(M182,'G-3 Multipliers'!$L$3:$N$6,2,FALSE)))</f>
        <v/>
      </c>
      <c r="O182" s="524" t="str">
        <f>IF(M182="","",IF(VLOOKUP(M182,'G-3 Multipliers'!$L$3:$N$6,3,FALSE)=0,"Spatial Data Missing ⚠",VLOOKUP(M182,'G-3 Multipliers'!$L$3:$N$6,3,FALSE)))</f>
        <v/>
      </c>
      <c r="P182" s="506" t="str">
        <f>IFERROR(VLOOKUP(G182,'G-1 All Habitats'!$B$2:$M$129,12,FALSE),"")</f>
        <v/>
      </c>
      <c r="Q182" s="513" t="str">
        <f>IFERROR(IF(P182="","",IF(AND(P182='G-1 All Habitats'!$X$3,T182&gt;0),U182+V182,IF(AND(P182='G-1 All Habitats'!$X$3,S182&gt;0),U182+V182,IF(AND(P182='G-1 All Habitats'!$X$3,AC182&gt;0),"Any Loss Unacceptable",IF(AND(P182='G-1 All Habitats'!$X$3,W182&gt;0),"Any Loss Unacceptable",H182*J182*L182*O182))))),"Check Data ⚠")</f>
        <v/>
      </c>
      <c r="R182" s="50"/>
      <c r="S182" s="71"/>
      <c r="T182" s="72"/>
      <c r="U182" s="511" t="str">
        <f t="shared" si="14"/>
        <v/>
      </c>
      <c r="V182" s="511" t="str">
        <f t="shared" si="15"/>
        <v/>
      </c>
      <c r="W182" s="511"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545" t="str">
        <f>IFERROR(IF(H182="","",IF(H182-S182-T182=0&lt;0,"Error in Areas ▲",IF(S182+T182&gt;H182,"Error in Areas ▲",IF(AND(P182='G-1 All Habitats'!$X$3,Y182="Yes"),"Alternative Compensation",IF(W182=0,0,IF(P182='G-1 All Habitats'!$X$3,"Unacceptable Loss",Q182-U182-V182)))))),"Check Data ⚠")</f>
        <v/>
      </c>
      <c r="Y182" s="72"/>
      <c r="Z182" s="151"/>
      <c r="AA182" s="152"/>
      <c r="AC182" s="251" t="str">
        <f>IF(P182="","",IF(P182='G-1 All Habitats'!$X$3,H182-S182-T182,"None"))</f>
        <v/>
      </c>
      <c r="AD182" s="252" t="str">
        <f t="shared" si="16"/>
        <v/>
      </c>
      <c r="AF182" s="156" t="str">
        <f t="shared" si="12"/>
        <v/>
      </c>
      <c r="AG182" s="156" t="str">
        <f t="shared" si="13"/>
        <v/>
      </c>
      <c r="AH182" s="156" t="str">
        <f>IF(I182="","",IF(#REF!&gt;0,TRUE,FALSE))</f>
        <v/>
      </c>
      <c r="AI182" s="156">
        <v>172</v>
      </c>
      <c r="AJ182" s="156"/>
      <c r="AK182" s="156" t="str">
        <f t="array" ref="AK182">IFERROR(INDEX($AI$11:$AI$259, MATCH(0, IF(TRUE=$AF$11:$AF$259, COUNTIF($AK$10:$AK181, $AI$11:$AI$259), ""), 0)),"")</f>
        <v/>
      </c>
      <c r="AL182" s="156" t="str">
        <f t="array" ref="AL182">IFERROR(INDEX($AI$11:$AI$259, MATCH(0, IF(TRUE=$AG$11:$AG$259, COUNTIF($AL$10:$AL181, $AI$11:$AI$259), ""), 0)),"")</f>
        <v/>
      </c>
      <c r="AM182" s="156" t="str">
        <f t="array" ref="AM182">IFERROR(INDEX($AI$11:$AI$259, MATCH(0, IF(TRUE=$AH$11:$AH$259, COUNTIF($AM$10:$AM181, $AI$11:$AI$259), ""), 0)),"")</f>
        <v/>
      </c>
      <c r="AQ182" s="31">
        <f t="shared" si="17"/>
        <v>0</v>
      </c>
    </row>
    <row r="183" spans="1:43" x14ac:dyDescent="0.25">
      <c r="A183" s="31" t="str">
        <f>IFERROR(INDEX('G-1 All Habitats'!$AG$3:$AG$15,MATCH(E183,'G-1 All Habitats'!$AF$3:$AF$15,0)),"")</f>
        <v/>
      </c>
      <c r="B183" s="31" t="str">
        <f>IFERROR(INDEX('G-8 Condition Look up'!$I$4:$I$130,MATCH(G183,'G-8 Condition Look up'!$A$4:$A$130,0)),"")</f>
        <v/>
      </c>
      <c r="D183" s="141">
        <v>173</v>
      </c>
      <c r="E183" s="203"/>
      <c r="F183" s="203"/>
      <c r="G183" s="250" t="str">
        <f>IFERROR(INDEX('G-1 All Habitats'!$B$3:$B$129,MATCH(F183,'G-1 All Habitats'!$A$3:$A$129,0)),"")</f>
        <v/>
      </c>
      <c r="H183" s="172"/>
      <c r="I183" s="498" t="str">
        <f>IF(G183="","",VLOOKUP(G183,'G-1 All Habitats'!$B$2:$M$129,10,FALSE))</f>
        <v/>
      </c>
      <c r="J183" s="499" t="str">
        <f>IFERROR(VLOOKUP(I183,'G-1 All Habitats'!$V$3:$W$7,2,FALSE),"")</f>
        <v/>
      </c>
      <c r="K183" s="145"/>
      <c r="L183" s="499" t="str">
        <f>IFERROR(INDEX('G-8 Condition Look up'!$A$3:$H$130,MATCH(G183,'G-8 Condition Look up'!$A$3:$A$130,0),MATCH(K183,'G-8 Condition Look up'!$A$3:$H$3,0)),"")</f>
        <v/>
      </c>
      <c r="M183" s="154"/>
      <c r="N183" s="520" t="str">
        <f>IF(M183="","",IF(VLOOKUP(M183,'G-3 Multipliers'!$L$3:$N$6,2,FALSE)=0,"Spatial Data Missing ⚠",VLOOKUP(M183,'G-3 Multipliers'!$L$3:$N$6,2,FALSE)))</f>
        <v/>
      </c>
      <c r="O183" s="524" t="str">
        <f>IF(M183="","",IF(VLOOKUP(M183,'G-3 Multipliers'!$L$3:$N$6,3,FALSE)=0,"Spatial Data Missing ⚠",VLOOKUP(M183,'G-3 Multipliers'!$L$3:$N$6,3,FALSE)))</f>
        <v/>
      </c>
      <c r="P183" s="506" t="str">
        <f>IFERROR(VLOOKUP(G183,'G-1 All Habitats'!$B$2:$M$129,12,FALSE),"")</f>
        <v/>
      </c>
      <c r="Q183" s="513" t="str">
        <f>IFERROR(IF(P183="","",IF(AND(P183='G-1 All Habitats'!$X$3,T183&gt;0),U183+V183,IF(AND(P183='G-1 All Habitats'!$X$3,S183&gt;0),U183+V183,IF(AND(P183='G-1 All Habitats'!$X$3,AC183&gt;0),"Any Loss Unacceptable",IF(AND(P183='G-1 All Habitats'!$X$3,W183&gt;0),"Any Loss Unacceptable",H183*J183*L183*O183))))),"Check Data ⚠")</f>
        <v/>
      </c>
      <c r="R183" s="50"/>
      <c r="S183" s="71"/>
      <c r="T183" s="72"/>
      <c r="U183" s="511" t="str">
        <f t="shared" si="14"/>
        <v/>
      </c>
      <c r="V183" s="511" t="str">
        <f t="shared" si="15"/>
        <v/>
      </c>
      <c r="W183" s="511"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545" t="str">
        <f>IFERROR(IF(H183="","",IF(H183-S183-T183=0&lt;0,"Error in Areas ▲",IF(S183+T183&gt;H183,"Error in Areas ▲",IF(AND(P183='G-1 All Habitats'!$X$3,Y183="Yes"),"Alternative Compensation",IF(W183=0,0,IF(P183='G-1 All Habitats'!$X$3,"Unacceptable Loss",Q183-U183-V183)))))),"Check Data ⚠")</f>
        <v/>
      </c>
      <c r="Y183" s="72"/>
      <c r="Z183" s="151"/>
      <c r="AA183" s="152"/>
      <c r="AC183" s="251" t="str">
        <f>IF(P183="","",IF(P183='G-1 All Habitats'!$X$3,H183-S183-T183,"None"))</f>
        <v/>
      </c>
      <c r="AD183" s="252" t="str">
        <f t="shared" si="16"/>
        <v/>
      </c>
      <c r="AF183" s="156" t="str">
        <f t="shared" si="12"/>
        <v/>
      </c>
      <c r="AG183" s="156" t="str">
        <f t="shared" si="13"/>
        <v/>
      </c>
      <c r="AH183" s="156" t="str">
        <f>IF(I183="","",IF(#REF!&gt;0,TRUE,FALSE))</f>
        <v/>
      </c>
      <c r="AI183" s="156">
        <v>173</v>
      </c>
      <c r="AJ183" s="156"/>
      <c r="AK183" s="156" t="str">
        <f t="array" ref="AK183">IFERROR(INDEX($AI$11:$AI$259, MATCH(0, IF(TRUE=$AF$11:$AF$259, COUNTIF($AK$10:$AK182, $AI$11:$AI$259), ""), 0)),"")</f>
        <v/>
      </c>
      <c r="AL183" s="156" t="str">
        <f t="array" ref="AL183">IFERROR(INDEX($AI$11:$AI$259, MATCH(0, IF(TRUE=$AG$11:$AG$259, COUNTIF($AL$10:$AL182, $AI$11:$AI$259), ""), 0)),"")</f>
        <v/>
      </c>
      <c r="AM183" s="156" t="str">
        <f t="array" ref="AM183">IFERROR(INDEX($AI$11:$AI$259, MATCH(0, IF(TRUE=$AH$11:$AH$259, COUNTIF($AM$10:$AM182, $AI$11:$AI$259), ""), 0)),"")</f>
        <v/>
      </c>
      <c r="AQ183" s="31">
        <f t="shared" si="17"/>
        <v>0</v>
      </c>
    </row>
    <row r="184" spans="1:43" x14ac:dyDescent="0.25">
      <c r="A184" s="31" t="str">
        <f>IFERROR(INDEX('G-1 All Habitats'!$AG$3:$AG$15,MATCH(E184,'G-1 All Habitats'!$AF$3:$AF$15,0)),"")</f>
        <v/>
      </c>
      <c r="B184" s="31" t="str">
        <f>IFERROR(INDEX('G-8 Condition Look up'!$I$4:$I$130,MATCH(G184,'G-8 Condition Look up'!$A$4:$A$130,0)),"")</f>
        <v/>
      </c>
      <c r="D184" s="141">
        <v>174</v>
      </c>
      <c r="E184" s="203"/>
      <c r="F184" s="203"/>
      <c r="G184" s="250" t="str">
        <f>IFERROR(INDEX('G-1 All Habitats'!$B$3:$B$129,MATCH(F184,'G-1 All Habitats'!$A$3:$A$129,0)),"")</f>
        <v/>
      </c>
      <c r="H184" s="172"/>
      <c r="I184" s="498" t="str">
        <f>IF(G184="","",VLOOKUP(G184,'G-1 All Habitats'!$B$2:$M$129,10,FALSE))</f>
        <v/>
      </c>
      <c r="J184" s="499" t="str">
        <f>IFERROR(VLOOKUP(I184,'G-1 All Habitats'!$V$3:$W$7,2,FALSE),"")</f>
        <v/>
      </c>
      <c r="K184" s="145"/>
      <c r="L184" s="499" t="str">
        <f>IFERROR(INDEX('G-8 Condition Look up'!$A$3:$H$130,MATCH(G184,'G-8 Condition Look up'!$A$3:$A$130,0),MATCH(K184,'G-8 Condition Look up'!$A$3:$H$3,0)),"")</f>
        <v/>
      </c>
      <c r="M184" s="154"/>
      <c r="N184" s="520" t="str">
        <f>IF(M184="","",IF(VLOOKUP(M184,'G-3 Multipliers'!$L$3:$N$6,2,FALSE)=0,"Spatial Data Missing ⚠",VLOOKUP(M184,'G-3 Multipliers'!$L$3:$N$6,2,FALSE)))</f>
        <v/>
      </c>
      <c r="O184" s="524" t="str">
        <f>IF(M184="","",IF(VLOOKUP(M184,'G-3 Multipliers'!$L$3:$N$6,3,FALSE)=0,"Spatial Data Missing ⚠",VLOOKUP(M184,'G-3 Multipliers'!$L$3:$N$6,3,FALSE)))</f>
        <v/>
      </c>
      <c r="P184" s="506" t="str">
        <f>IFERROR(VLOOKUP(G184,'G-1 All Habitats'!$B$2:$M$129,12,FALSE),"")</f>
        <v/>
      </c>
      <c r="Q184" s="513" t="str">
        <f>IFERROR(IF(P184="","",IF(AND(P184='G-1 All Habitats'!$X$3,T184&gt;0),U184+V184,IF(AND(P184='G-1 All Habitats'!$X$3,S184&gt;0),U184+V184,IF(AND(P184='G-1 All Habitats'!$X$3,AC184&gt;0),"Any Loss Unacceptable",IF(AND(P184='G-1 All Habitats'!$X$3,W184&gt;0),"Any Loss Unacceptable",H184*J184*L184*O184))))),"Check Data ⚠")</f>
        <v/>
      </c>
      <c r="R184" s="50"/>
      <c r="S184" s="71"/>
      <c r="T184" s="72"/>
      <c r="U184" s="511" t="str">
        <f t="shared" si="14"/>
        <v/>
      </c>
      <c r="V184" s="511" t="str">
        <f t="shared" si="15"/>
        <v/>
      </c>
      <c r="W184" s="511"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545" t="str">
        <f>IFERROR(IF(H184="","",IF(H184-S184-T184=0&lt;0,"Error in Areas ▲",IF(S184+T184&gt;H184,"Error in Areas ▲",IF(AND(P184='G-1 All Habitats'!$X$3,Y184="Yes"),"Alternative Compensation",IF(W184=0,0,IF(P184='G-1 All Habitats'!$X$3,"Unacceptable Loss",Q184-U184-V184)))))),"Check Data ⚠")</f>
        <v/>
      </c>
      <c r="Y184" s="72"/>
      <c r="Z184" s="151"/>
      <c r="AA184" s="152"/>
      <c r="AC184" s="251" t="str">
        <f>IF(P184="","",IF(P184='G-1 All Habitats'!$X$3,H184-S184-T184,"None"))</f>
        <v/>
      </c>
      <c r="AD184" s="252" t="str">
        <f t="shared" si="16"/>
        <v/>
      </c>
      <c r="AF184" s="156" t="str">
        <f t="shared" si="12"/>
        <v/>
      </c>
      <c r="AG184" s="156" t="str">
        <f t="shared" si="13"/>
        <v/>
      </c>
      <c r="AH184" s="156" t="str">
        <f>IF(I184="","",IF(#REF!&gt;0,TRUE,FALSE))</f>
        <v/>
      </c>
      <c r="AI184" s="156">
        <v>174</v>
      </c>
      <c r="AJ184" s="156"/>
      <c r="AK184" s="156" t="str">
        <f t="array" ref="AK184">IFERROR(INDEX($AI$11:$AI$259, MATCH(0, IF(TRUE=$AF$11:$AF$259, COUNTIF($AK$10:$AK183, $AI$11:$AI$259), ""), 0)),"")</f>
        <v/>
      </c>
      <c r="AL184" s="156" t="str">
        <f t="array" ref="AL184">IFERROR(INDEX($AI$11:$AI$259, MATCH(0, IF(TRUE=$AG$11:$AG$259, COUNTIF($AL$10:$AL183, $AI$11:$AI$259), ""), 0)),"")</f>
        <v/>
      </c>
      <c r="AM184" s="156" t="str">
        <f t="array" ref="AM184">IFERROR(INDEX($AI$11:$AI$259, MATCH(0, IF(TRUE=$AH$11:$AH$259, COUNTIF($AM$10:$AM183, $AI$11:$AI$259), ""), 0)),"")</f>
        <v/>
      </c>
      <c r="AQ184" s="31">
        <f t="shared" si="17"/>
        <v>0</v>
      </c>
    </row>
    <row r="185" spans="1:43" x14ac:dyDescent="0.25">
      <c r="A185" s="31" t="str">
        <f>IFERROR(INDEX('G-1 All Habitats'!$AG$3:$AG$15,MATCH(E185,'G-1 All Habitats'!$AF$3:$AF$15,0)),"")</f>
        <v/>
      </c>
      <c r="B185" s="31" t="str">
        <f>IFERROR(INDEX('G-8 Condition Look up'!$I$4:$I$130,MATCH(G185,'G-8 Condition Look up'!$A$4:$A$130,0)),"")</f>
        <v/>
      </c>
      <c r="D185" s="141">
        <v>175</v>
      </c>
      <c r="E185" s="203"/>
      <c r="F185" s="203"/>
      <c r="G185" s="250" t="str">
        <f>IFERROR(INDEX('G-1 All Habitats'!$B$3:$B$129,MATCH(F185,'G-1 All Habitats'!$A$3:$A$129,0)),"")</f>
        <v/>
      </c>
      <c r="H185" s="172"/>
      <c r="I185" s="498" t="str">
        <f>IF(G185="","",VLOOKUP(G185,'G-1 All Habitats'!$B$2:$M$129,10,FALSE))</f>
        <v/>
      </c>
      <c r="J185" s="499" t="str">
        <f>IFERROR(VLOOKUP(I185,'G-1 All Habitats'!$V$3:$W$7,2,FALSE),"")</f>
        <v/>
      </c>
      <c r="K185" s="145"/>
      <c r="L185" s="499" t="str">
        <f>IFERROR(INDEX('G-8 Condition Look up'!$A$3:$H$130,MATCH(G185,'G-8 Condition Look up'!$A$3:$A$130,0),MATCH(K185,'G-8 Condition Look up'!$A$3:$H$3,0)),"")</f>
        <v/>
      </c>
      <c r="M185" s="154"/>
      <c r="N185" s="520" t="str">
        <f>IF(M185="","",IF(VLOOKUP(M185,'G-3 Multipliers'!$L$3:$N$6,2,FALSE)=0,"Spatial Data Missing ⚠",VLOOKUP(M185,'G-3 Multipliers'!$L$3:$N$6,2,FALSE)))</f>
        <v/>
      </c>
      <c r="O185" s="524" t="str">
        <f>IF(M185="","",IF(VLOOKUP(M185,'G-3 Multipliers'!$L$3:$N$6,3,FALSE)=0,"Spatial Data Missing ⚠",VLOOKUP(M185,'G-3 Multipliers'!$L$3:$N$6,3,FALSE)))</f>
        <v/>
      </c>
      <c r="P185" s="506" t="str">
        <f>IFERROR(VLOOKUP(G185,'G-1 All Habitats'!$B$2:$M$129,12,FALSE),"")</f>
        <v/>
      </c>
      <c r="Q185" s="513" t="str">
        <f>IFERROR(IF(P185="","",IF(AND(P185='G-1 All Habitats'!$X$3,T185&gt;0),U185+V185,IF(AND(P185='G-1 All Habitats'!$X$3,S185&gt;0),U185+V185,IF(AND(P185='G-1 All Habitats'!$X$3,AC185&gt;0),"Any Loss Unacceptable",IF(AND(P185='G-1 All Habitats'!$X$3,W185&gt;0),"Any Loss Unacceptable",H185*J185*L185*O185))))),"Check Data ⚠")</f>
        <v/>
      </c>
      <c r="R185" s="50"/>
      <c r="S185" s="71"/>
      <c r="T185" s="72"/>
      <c r="U185" s="511" t="str">
        <f t="shared" si="14"/>
        <v/>
      </c>
      <c r="V185" s="511" t="str">
        <f t="shared" si="15"/>
        <v/>
      </c>
      <c r="W185" s="511"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545" t="str">
        <f>IFERROR(IF(H185="","",IF(H185-S185-T185=0&lt;0,"Error in Areas ▲",IF(S185+T185&gt;H185,"Error in Areas ▲",IF(AND(P185='G-1 All Habitats'!$X$3,Y185="Yes"),"Alternative Compensation",IF(W185=0,0,IF(P185='G-1 All Habitats'!$X$3,"Unacceptable Loss",Q185-U185-V185)))))),"Check Data ⚠")</f>
        <v/>
      </c>
      <c r="Y185" s="72"/>
      <c r="Z185" s="151"/>
      <c r="AA185" s="152"/>
      <c r="AC185" s="251" t="str">
        <f>IF(P185="","",IF(P185='G-1 All Habitats'!$X$3,H185-S185-T185,"None"))</f>
        <v/>
      </c>
      <c r="AD185" s="252" t="str">
        <f t="shared" si="16"/>
        <v/>
      </c>
      <c r="AF185" s="156" t="str">
        <f t="shared" si="12"/>
        <v/>
      </c>
      <c r="AG185" s="156" t="str">
        <f t="shared" si="13"/>
        <v/>
      </c>
      <c r="AH185" s="156" t="str">
        <f>IF(I185="","",IF(#REF!&gt;0,TRUE,FALSE))</f>
        <v/>
      </c>
      <c r="AI185" s="156">
        <v>175</v>
      </c>
      <c r="AJ185" s="156"/>
      <c r="AK185" s="156" t="str">
        <f t="array" ref="AK185">IFERROR(INDEX($AI$11:$AI$259, MATCH(0, IF(TRUE=$AF$11:$AF$259, COUNTIF($AK$10:$AK184, $AI$11:$AI$259), ""), 0)),"")</f>
        <v/>
      </c>
      <c r="AL185" s="156" t="str">
        <f t="array" ref="AL185">IFERROR(INDEX($AI$11:$AI$259, MATCH(0, IF(TRUE=$AG$11:$AG$259, COUNTIF($AL$10:$AL184, $AI$11:$AI$259), ""), 0)),"")</f>
        <v/>
      </c>
      <c r="AM185" s="156" t="str">
        <f t="array" ref="AM185">IFERROR(INDEX($AI$11:$AI$259, MATCH(0, IF(TRUE=$AH$11:$AH$259, COUNTIF($AM$10:$AM184, $AI$11:$AI$259), ""), 0)),"")</f>
        <v/>
      </c>
      <c r="AQ185" s="31">
        <f t="shared" si="17"/>
        <v>0</v>
      </c>
    </row>
    <row r="186" spans="1:43" x14ac:dyDescent="0.25">
      <c r="A186" s="31" t="str">
        <f>IFERROR(INDEX('G-1 All Habitats'!$AG$3:$AG$15,MATCH(E186,'G-1 All Habitats'!$AF$3:$AF$15,0)),"")</f>
        <v/>
      </c>
      <c r="B186" s="31" t="str">
        <f>IFERROR(INDEX('G-8 Condition Look up'!$I$4:$I$130,MATCH(G186,'G-8 Condition Look up'!$A$4:$A$130,0)),"")</f>
        <v/>
      </c>
      <c r="D186" s="141">
        <v>176</v>
      </c>
      <c r="E186" s="203"/>
      <c r="F186" s="203"/>
      <c r="G186" s="250" t="str">
        <f>IFERROR(INDEX('G-1 All Habitats'!$B$3:$B$129,MATCH(F186,'G-1 All Habitats'!$A$3:$A$129,0)),"")</f>
        <v/>
      </c>
      <c r="H186" s="172"/>
      <c r="I186" s="498" t="str">
        <f>IF(G186="","",VLOOKUP(G186,'G-1 All Habitats'!$B$2:$M$129,10,FALSE))</f>
        <v/>
      </c>
      <c r="J186" s="499" t="str">
        <f>IFERROR(VLOOKUP(I186,'G-1 All Habitats'!$V$3:$W$7,2,FALSE),"")</f>
        <v/>
      </c>
      <c r="K186" s="145"/>
      <c r="L186" s="499" t="str">
        <f>IFERROR(INDEX('G-8 Condition Look up'!$A$3:$H$130,MATCH(G186,'G-8 Condition Look up'!$A$3:$A$130,0),MATCH(K186,'G-8 Condition Look up'!$A$3:$H$3,0)),"")</f>
        <v/>
      </c>
      <c r="M186" s="154"/>
      <c r="N186" s="520" t="str">
        <f>IF(M186="","",IF(VLOOKUP(M186,'G-3 Multipliers'!$L$3:$N$6,2,FALSE)=0,"Spatial Data Missing ⚠",VLOOKUP(M186,'G-3 Multipliers'!$L$3:$N$6,2,FALSE)))</f>
        <v/>
      </c>
      <c r="O186" s="524" t="str">
        <f>IF(M186="","",IF(VLOOKUP(M186,'G-3 Multipliers'!$L$3:$N$6,3,FALSE)=0,"Spatial Data Missing ⚠",VLOOKUP(M186,'G-3 Multipliers'!$L$3:$N$6,3,FALSE)))</f>
        <v/>
      </c>
      <c r="P186" s="506" t="str">
        <f>IFERROR(VLOOKUP(G186,'G-1 All Habitats'!$B$2:$M$129,12,FALSE),"")</f>
        <v/>
      </c>
      <c r="Q186" s="513" t="str">
        <f>IFERROR(IF(P186="","",IF(AND(P186='G-1 All Habitats'!$X$3,T186&gt;0),U186+V186,IF(AND(P186='G-1 All Habitats'!$X$3,S186&gt;0),U186+V186,IF(AND(P186='G-1 All Habitats'!$X$3,AC186&gt;0),"Any Loss Unacceptable",IF(AND(P186='G-1 All Habitats'!$X$3,W186&gt;0),"Any Loss Unacceptable",H186*J186*L186*O186))))),"Check Data ⚠")</f>
        <v/>
      </c>
      <c r="R186" s="50"/>
      <c r="S186" s="71"/>
      <c r="T186" s="72"/>
      <c r="U186" s="511" t="str">
        <f t="shared" si="14"/>
        <v/>
      </c>
      <c r="V186" s="511" t="str">
        <f t="shared" si="15"/>
        <v/>
      </c>
      <c r="W186" s="511"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545" t="str">
        <f>IFERROR(IF(H186="","",IF(H186-S186-T186=0&lt;0,"Error in Areas ▲",IF(S186+T186&gt;H186,"Error in Areas ▲",IF(AND(P186='G-1 All Habitats'!$X$3,Y186="Yes"),"Alternative Compensation",IF(W186=0,0,IF(P186='G-1 All Habitats'!$X$3,"Unacceptable Loss",Q186-U186-V186)))))),"Check Data ⚠")</f>
        <v/>
      </c>
      <c r="Y186" s="72"/>
      <c r="Z186" s="151"/>
      <c r="AA186" s="152"/>
      <c r="AC186" s="251" t="str">
        <f>IF(P186="","",IF(P186='G-1 All Habitats'!$X$3,H186-S186-T186,"None"))</f>
        <v/>
      </c>
      <c r="AD186" s="252" t="str">
        <f t="shared" si="16"/>
        <v/>
      </c>
      <c r="AF186" s="156" t="str">
        <f t="shared" si="12"/>
        <v/>
      </c>
      <c r="AG186" s="156" t="str">
        <f t="shared" si="13"/>
        <v/>
      </c>
      <c r="AH186" s="156" t="str">
        <f>IF(I186="","",IF(#REF!&gt;0,TRUE,FALSE))</f>
        <v/>
      </c>
      <c r="AI186" s="156">
        <v>176</v>
      </c>
      <c r="AJ186" s="156"/>
      <c r="AK186" s="156" t="str">
        <f t="array" ref="AK186">IFERROR(INDEX($AI$11:$AI$259, MATCH(0, IF(TRUE=$AF$11:$AF$259, COUNTIF($AK$10:$AK185, $AI$11:$AI$259), ""), 0)),"")</f>
        <v/>
      </c>
      <c r="AL186" s="156" t="str">
        <f t="array" ref="AL186">IFERROR(INDEX($AI$11:$AI$259, MATCH(0, IF(TRUE=$AG$11:$AG$259, COUNTIF($AL$10:$AL185, $AI$11:$AI$259), ""), 0)),"")</f>
        <v/>
      </c>
      <c r="AM186" s="156" t="str">
        <f t="array" ref="AM186">IFERROR(INDEX($AI$11:$AI$259, MATCH(0, IF(TRUE=$AH$11:$AH$259, COUNTIF($AM$10:$AM185, $AI$11:$AI$259), ""), 0)),"")</f>
        <v/>
      </c>
      <c r="AQ186" s="31">
        <f t="shared" si="17"/>
        <v>0</v>
      </c>
    </row>
    <row r="187" spans="1:43" x14ac:dyDescent="0.25">
      <c r="A187" s="31" t="str">
        <f>IFERROR(INDEX('G-1 All Habitats'!$AG$3:$AG$15,MATCH(E187,'G-1 All Habitats'!$AF$3:$AF$15,0)),"")</f>
        <v/>
      </c>
      <c r="B187" s="31" t="str">
        <f>IFERROR(INDEX('G-8 Condition Look up'!$I$4:$I$130,MATCH(G187,'G-8 Condition Look up'!$A$4:$A$130,0)),"")</f>
        <v/>
      </c>
      <c r="D187" s="141">
        <v>177</v>
      </c>
      <c r="E187" s="203"/>
      <c r="F187" s="203"/>
      <c r="G187" s="250" t="str">
        <f>IFERROR(INDEX('G-1 All Habitats'!$B$3:$B$129,MATCH(F187,'G-1 All Habitats'!$A$3:$A$129,0)),"")</f>
        <v/>
      </c>
      <c r="H187" s="172"/>
      <c r="I187" s="498" t="str">
        <f>IF(G187="","",VLOOKUP(G187,'G-1 All Habitats'!$B$2:$M$129,10,FALSE))</f>
        <v/>
      </c>
      <c r="J187" s="499" t="str">
        <f>IFERROR(VLOOKUP(I187,'G-1 All Habitats'!$V$3:$W$7,2,FALSE),"")</f>
        <v/>
      </c>
      <c r="K187" s="145"/>
      <c r="L187" s="499" t="str">
        <f>IFERROR(INDEX('G-8 Condition Look up'!$A$3:$H$130,MATCH(G187,'G-8 Condition Look up'!$A$3:$A$130,0),MATCH(K187,'G-8 Condition Look up'!$A$3:$H$3,0)),"")</f>
        <v/>
      </c>
      <c r="M187" s="154"/>
      <c r="N187" s="520" t="str">
        <f>IF(M187="","",IF(VLOOKUP(M187,'G-3 Multipliers'!$L$3:$N$6,2,FALSE)=0,"Spatial Data Missing ⚠",VLOOKUP(M187,'G-3 Multipliers'!$L$3:$N$6,2,FALSE)))</f>
        <v/>
      </c>
      <c r="O187" s="524" t="str">
        <f>IF(M187="","",IF(VLOOKUP(M187,'G-3 Multipliers'!$L$3:$N$6,3,FALSE)=0,"Spatial Data Missing ⚠",VLOOKUP(M187,'G-3 Multipliers'!$L$3:$N$6,3,FALSE)))</f>
        <v/>
      </c>
      <c r="P187" s="506" t="str">
        <f>IFERROR(VLOOKUP(G187,'G-1 All Habitats'!$B$2:$M$129,12,FALSE),"")</f>
        <v/>
      </c>
      <c r="Q187" s="513" t="str">
        <f>IFERROR(IF(P187="","",IF(AND(P187='G-1 All Habitats'!$X$3,T187&gt;0),U187+V187,IF(AND(P187='G-1 All Habitats'!$X$3,S187&gt;0),U187+V187,IF(AND(P187='G-1 All Habitats'!$X$3,AC187&gt;0),"Any Loss Unacceptable",IF(AND(P187='G-1 All Habitats'!$X$3,W187&gt;0),"Any Loss Unacceptable",H187*J187*L187*O187))))),"Check Data ⚠")</f>
        <v/>
      </c>
      <c r="R187" s="50"/>
      <c r="S187" s="71"/>
      <c r="T187" s="72"/>
      <c r="U187" s="511" t="str">
        <f t="shared" si="14"/>
        <v/>
      </c>
      <c r="V187" s="511" t="str">
        <f t="shared" si="15"/>
        <v/>
      </c>
      <c r="W187" s="511"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545" t="str">
        <f>IFERROR(IF(H187="","",IF(H187-S187-T187=0&lt;0,"Error in Areas ▲",IF(S187+T187&gt;H187,"Error in Areas ▲",IF(AND(P187='G-1 All Habitats'!$X$3,Y187="Yes"),"Alternative Compensation",IF(W187=0,0,IF(P187='G-1 All Habitats'!$X$3,"Unacceptable Loss",Q187-U187-V187)))))),"Check Data ⚠")</f>
        <v/>
      </c>
      <c r="Y187" s="72"/>
      <c r="Z187" s="151"/>
      <c r="AA187" s="152"/>
      <c r="AC187" s="251" t="str">
        <f>IF(P187="","",IF(P187='G-1 All Habitats'!$X$3,H187-S187-T187,"None"))</f>
        <v/>
      </c>
      <c r="AD187" s="252" t="str">
        <f t="shared" si="16"/>
        <v/>
      </c>
      <c r="AF187" s="156" t="str">
        <f t="shared" si="12"/>
        <v/>
      </c>
      <c r="AG187" s="156" t="str">
        <f t="shared" si="13"/>
        <v/>
      </c>
      <c r="AH187" s="156" t="str">
        <f>IF(I187="","",IF(#REF!&gt;0,TRUE,FALSE))</f>
        <v/>
      </c>
      <c r="AI187" s="156">
        <v>177</v>
      </c>
      <c r="AJ187" s="156"/>
      <c r="AK187" s="156" t="str">
        <f t="array" ref="AK187">IFERROR(INDEX($AI$11:$AI$259, MATCH(0, IF(TRUE=$AF$11:$AF$259, COUNTIF($AK$10:$AK186, $AI$11:$AI$259), ""), 0)),"")</f>
        <v/>
      </c>
      <c r="AL187" s="156" t="str">
        <f t="array" ref="AL187">IFERROR(INDEX($AI$11:$AI$259, MATCH(0, IF(TRUE=$AG$11:$AG$259, COUNTIF($AL$10:$AL186, $AI$11:$AI$259), ""), 0)),"")</f>
        <v/>
      </c>
      <c r="AM187" s="156" t="str">
        <f t="array" ref="AM187">IFERROR(INDEX($AI$11:$AI$259, MATCH(0, IF(TRUE=$AH$11:$AH$259, COUNTIF($AM$10:$AM186, $AI$11:$AI$259), ""), 0)),"")</f>
        <v/>
      </c>
      <c r="AQ187" s="31">
        <f t="shared" si="17"/>
        <v>0</v>
      </c>
    </row>
    <row r="188" spans="1:43" x14ac:dyDescent="0.25">
      <c r="A188" s="31" t="str">
        <f>IFERROR(INDEX('G-1 All Habitats'!$AG$3:$AG$15,MATCH(E188,'G-1 All Habitats'!$AF$3:$AF$15,0)),"")</f>
        <v/>
      </c>
      <c r="B188" s="31" t="str">
        <f>IFERROR(INDEX('G-8 Condition Look up'!$I$4:$I$130,MATCH(G188,'G-8 Condition Look up'!$A$4:$A$130,0)),"")</f>
        <v/>
      </c>
      <c r="D188" s="141">
        <v>178</v>
      </c>
      <c r="E188" s="203"/>
      <c r="F188" s="203"/>
      <c r="G188" s="250" t="str">
        <f>IFERROR(INDEX('G-1 All Habitats'!$B$3:$B$129,MATCH(F188,'G-1 All Habitats'!$A$3:$A$129,0)),"")</f>
        <v/>
      </c>
      <c r="H188" s="172"/>
      <c r="I188" s="498" t="str">
        <f>IF(G188="","",VLOOKUP(G188,'G-1 All Habitats'!$B$2:$M$129,10,FALSE))</f>
        <v/>
      </c>
      <c r="J188" s="499" t="str">
        <f>IFERROR(VLOOKUP(I188,'G-1 All Habitats'!$V$3:$W$7,2,FALSE),"")</f>
        <v/>
      </c>
      <c r="K188" s="145"/>
      <c r="L188" s="499" t="str">
        <f>IFERROR(INDEX('G-8 Condition Look up'!$A$3:$H$130,MATCH(G188,'G-8 Condition Look up'!$A$3:$A$130,0),MATCH(K188,'G-8 Condition Look up'!$A$3:$H$3,0)),"")</f>
        <v/>
      </c>
      <c r="M188" s="154"/>
      <c r="N188" s="520" t="str">
        <f>IF(M188="","",IF(VLOOKUP(M188,'G-3 Multipliers'!$L$3:$N$6,2,FALSE)=0,"Spatial Data Missing ⚠",VLOOKUP(M188,'G-3 Multipliers'!$L$3:$N$6,2,FALSE)))</f>
        <v/>
      </c>
      <c r="O188" s="524" t="str">
        <f>IF(M188="","",IF(VLOOKUP(M188,'G-3 Multipliers'!$L$3:$N$6,3,FALSE)=0,"Spatial Data Missing ⚠",VLOOKUP(M188,'G-3 Multipliers'!$L$3:$N$6,3,FALSE)))</f>
        <v/>
      </c>
      <c r="P188" s="506" t="str">
        <f>IFERROR(VLOOKUP(G188,'G-1 All Habitats'!$B$2:$M$129,12,FALSE),"")</f>
        <v/>
      </c>
      <c r="Q188" s="513" t="str">
        <f>IFERROR(IF(P188="","",IF(AND(P188='G-1 All Habitats'!$X$3,T188&gt;0),U188+V188,IF(AND(P188='G-1 All Habitats'!$X$3,S188&gt;0),U188+V188,IF(AND(P188='G-1 All Habitats'!$X$3,AC188&gt;0),"Any Loss Unacceptable",IF(AND(P188='G-1 All Habitats'!$X$3,W188&gt;0),"Any Loss Unacceptable",H188*J188*L188*O188))))),"Check Data ⚠")</f>
        <v/>
      </c>
      <c r="R188" s="50"/>
      <c r="S188" s="71"/>
      <c r="T188" s="72"/>
      <c r="U188" s="511" t="str">
        <f t="shared" si="14"/>
        <v/>
      </c>
      <c r="V188" s="511" t="str">
        <f t="shared" si="15"/>
        <v/>
      </c>
      <c r="W188" s="511"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545" t="str">
        <f>IFERROR(IF(H188="","",IF(H188-S188-T188=0&lt;0,"Error in Areas ▲",IF(S188+T188&gt;H188,"Error in Areas ▲",IF(AND(P188='G-1 All Habitats'!$X$3,Y188="Yes"),"Alternative Compensation",IF(W188=0,0,IF(P188='G-1 All Habitats'!$X$3,"Unacceptable Loss",Q188-U188-V188)))))),"Check Data ⚠")</f>
        <v/>
      </c>
      <c r="Y188" s="72"/>
      <c r="Z188" s="151"/>
      <c r="AA188" s="152"/>
      <c r="AC188" s="251" t="str">
        <f>IF(P188="","",IF(P188='G-1 All Habitats'!$X$3,H188-S188-T188,"None"))</f>
        <v/>
      </c>
      <c r="AD188" s="252" t="str">
        <f t="shared" si="16"/>
        <v/>
      </c>
      <c r="AF188" s="156" t="str">
        <f t="shared" si="12"/>
        <v/>
      </c>
      <c r="AG188" s="156" t="str">
        <f t="shared" si="13"/>
        <v/>
      </c>
      <c r="AH188" s="156" t="str">
        <f>IF(I188="","",IF(#REF!&gt;0,TRUE,FALSE))</f>
        <v/>
      </c>
      <c r="AI188" s="156">
        <v>178</v>
      </c>
      <c r="AJ188" s="156"/>
      <c r="AK188" s="156" t="str">
        <f t="array" ref="AK188">IFERROR(INDEX($AI$11:$AI$259, MATCH(0, IF(TRUE=$AF$11:$AF$259, COUNTIF($AK$10:$AK187, $AI$11:$AI$259), ""), 0)),"")</f>
        <v/>
      </c>
      <c r="AL188" s="156" t="str">
        <f t="array" ref="AL188">IFERROR(INDEX($AI$11:$AI$259, MATCH(0, IF(TRUE=$AG$11:$AG$259, COUNTIF($AL$10:$AL187, $AI$11:$AI$259), ""), 0)),"")</f>
        <v/>
      </c>
      <c r="AM188" s="156" t="str">
        <f t="array" ref="AM188">IFERROR(INDEX($AI$11:$AI$259, MATCH(0, IF(TRUE=$AH$11:$AH$259, COUNTIF($AM$10:$AM187, $AI$11:$AI$259), ""), 0)),"")</f>
        <v/>
      </c>
      <c r="AQ188" s="31">
        <f t="shared" si="17"/>
        <v>0</v>
      </c>
    </row>
    <row r="189" spans="1:43" x14ac:dyDescent="0.25">
      <c r="A189" s="31" t="str">
        <f>IFERROR(INDEX('G-1 All Habitats'!$AG$3:$AG$15,MATCH(E189,'G-1 All Habitats'!$AF$3:$AF$15,0)),"")</f>
        <v/>
      </c>
      <c r="B189" s="31" t="str">
        <f>IFERROR(INDEX('G-8 Condition Look up'!$I$4:$I$130,MATCH(G189,'G-8 Condition Look up'!$A$4:$A$130,0)),"")</f>
        <v/>
      </c>
      <c r="D189" s="141">
        <v>179</v>
      </c>
      <c r="E189" s="203"/>
      <c r="F189" s="203"/>
      <c r="G189" s="250" t="str">
        <f>IFERROR(INDEX('G-1 All Habitats'!$B$3:$B$129,MATCH(F189,'G-1 All Habitats'!$A$3:$A$129,0)),"")</f>
        <v/>
      </c>
      <c r="H189" s="172"/>
      <c r="I189" s="498" t="str">
        <f>IF(G189="","",VLOOKUP(G189,'G-1 All Habitats'!$B$2:$M$129,10,FALSE))</f>
        <v/>
      </c>
      <c r="J189" s="499" t="str">
        <f>IFERROR(VLOOKUP(I189,'G-1 All Habitats'!$V$3:$W$7,2,FALSE),"")</f>
        <v/>
      </c>
      <c r="K189" s="145"/>
      <c r="L189" s="499" t="str">
        <f>IFERROR(INDEX('G-8 Condition Look up'!$A$3:$H$130,MATCH(G189,'G-8 Condition Look up'!$A$3:$A$130,0),MATCH(K189,'G-8 Condition Look up'!$A$3:$H$3,0)),"")</f>
        <v/>
      </c>
      <c r="M189" s="154"/>
      <c r="N189" s="520" t="str">
        <f>IF(M189="","",IF(VLOOKUP(M189,'G-3 Multipliers'!$L$3:$N$6,2,FALSE)=0,"Spatial Data Missing ⚠",VLOOKUP(M189,'G-3 Multipliers'!$L$3:$N$6,2,FALSE)))</f>
        <v/>
      </c>
      <c r="O189" s="524" t="str">
        <f>IF(M189="","",IF(VLOOKUP(M189,'G-3 Multipliers'!$L$3:$N$6,3,FALSE)=0,"Spatial Data Missing ⚠",VLOOKUP(M189,'G-3 Multipliers'!$L$3:$N$6,3,FALSE)))</f>
        <v/>
      </c>
      <c r="P189" s="506" t="str">
        <f>IFERROR(VLOOKUP(G189,'G-1 All Habitats'!$B$2:$M$129,12,FALSE),"")</f>
        <v/>
      </c>
      <c r="Q189" s="513" t="str">
        <f>IFERROR(IF(P189="","",IF(AND(P189='G-1 All Habitats'!$X$3,T189&gt;0),U189+V189,IF(AND(P189='G-1 All Habitats'!$X$3,S189&gt;0),U189+V189,IF(AND(P189='G-1 All Habitats'!$X$3,AC189&gt;0),"Any Loss Unacceptable",IF(AND(P189='G-1 All Habitats'!$X$3,W189&gt;0),"Any Loss Unacceptable",H189*J189*L189*O189))))),"Check Data ⚠")</f>
        <v/>
      </c>
      <c r="R189" s="50"/>
      <c r="S189" s="71"/>
      <c r="T189" s="72"/>
      <c r="U189" s="511" t="str">
        <f t="shared" si="14"/>
        <v/>
      </c>
      <c r="V189" s="511" t="str">
        <f t="shared" si="15"/>
        <v/>
      </c>
      <c r="W189" s="511"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545" t="str">
        <f>IFERROR(IF(H189="","",IF(H189-S189-T189=0&lt;0,"Error in Areas ▲",IF(S189+T189&gt;H189,"Error in Areas ▲",IF(AND(P189='G-1 All Habitats'!$X$3,Y189="Yes"),"Alternative Compensation",IF(W189=0,0,IF(P189='G-1 All Habitats'!$X$3,"Unacceptable Loss",Q189-U189-V189)))))),"Check Data ⚠")</f>
        <v/>
      </c>
      <c r="Y189" s="72"/>
      <c r="Z189" s="151"/>
      <c r="AA189" s="152"/>
      <c r="AC189" s="251" t="str">
        <f>IF(P189="","",IF(P189='G-1 All Habitats'!$X$3,H189-S189-T189,"None"))</f>
        <v/>
      </c>
      <c r="AD189" s="252" t="str">
        <f t="shared" si="16"/>
        <v/>
      </c>
      <c r="AF189" s="156" t="str">
        <f t="shared" si="12"/>
        <v/>
      </c>
      <c r="AG189" s="156" t="str">
        <f t="shared" si="13"/>
        <v/>
      </c>
      <c r="AH189" s="156" t="str">
        <f>IF(I189="","",IF(#REF!&gt;0,TRUE,FALSE))</f>
        <v/>
      </c>
      <c r="AI189" s="156">
        <v>179</v>
      </c>
      <c r="AJ189" s="156"/>
      <c r="AK189" s="156" t="str">
        <f t="array" ref="AK189">IFERROR(INDEX($AI$11:$AI$259, MATCH(0, IF(TRUE=$AF$11:$AF$259, COUNTIF($AK$10:$AK188, $AI$11:$AI$259), ""), 0)),"")</f>
        <v/>
      </c>
      <c r="AL189" s="156" t="str">
        <f t="array" ref="AL189">IFERROR(INDEX($AI$11:$AI$259, MATCH(0, IF(TRUE=$AG$11:$AG$259, COUNTIF($AL$10:$AL188, $AI$11:$AI$259), ""), 0)),"")</f>
        <v/>
      </c>
      <c r="AM189" s="156" t="str">
        <f t="array" ref="AM189">IFERROR(INDEX($AI$11:$AI$259, MATCH(0, IF(TRUE=$AH$11:$AH$259, COUNTIF($AM$10:$AM188, $AI$11:$AI$259), ""), 0)),"")</f>
        <v/>
      </c>
      <c r="AQ189" s="31">
        <f t="shared" si="17"/>
        <v>0</v>
      </c>
    </row>
    <row r="190" spans="1:43" x14ac:dyDescent="0.25">
      <c r="A190" s="31" t="str">
        <f>IFERROR(INDEX('G-1 All Habitats'!$AG$3:$AG$15,MATCH(E190,'G-1 All Habitats'!$AF$3:$AF$15,0)),"")</f>
        <v/>
      </c>
      <c r="B190" s="31" t="str">
        <f>IFERROR(INDEX('G-8 Condition Look up'!$I$4:$I$130,MATCH(G190,'G-8 Condition Look up'!$A$4:$A$130,0)),"")</f>
        <v/>
      </c>
      <c r="D190" s="141">
        <v>180</v>
      </c>
      <c r="E190" s="203"/>
      <c r="F190" s="203"/>
      <c r="G190" s="250" t="str">
        <f>IFERROR(INDEX('G-1 All Habitats'!$B$3:$B$129,MATCH(F190,'G-1 All Habitats'!$A$3:$A$129,0)),"")</f>
        <v/>
      </c>
      <c r="H190" s="172"/>
      <c r="I190" s="498" t="str">
        <f>IF(G190="","",VLOOKUP(G190,'G-1 All Habitats'!$B$2:$M$129,10,FALSE))</f>
        <v/>
      </c>
      <c r="J190" s="499" t="str">
        <f>IFERROR(VLOOKUP(I190,'G-1 All Habitats'!$V$3:$W$7,2,FALSE),"")</f>
        <v/>
      </c>
      <c r="K190" s="145"/>
      <c r="L190" s="499" t="str">
        <f>IFERROR(INDEX('G-8 Condition Look up'!$A$3:$H$130,MATCH(G190,'G-8 Condition Look up'!$A$3:$A$130,0),MATCH(K190,'G-8 Condition Look up'!$A$3:$H$3,0)),"")</f>
        <v/>
      </c>
      <c r="M190" s="154"/>
      <c r="N190" s="520" t="str">
        <f>IF(M190="","",IF(VLOOKUP(M190,'G-3 Multipliers'!$L$3:$N$6,2,FALSE)=0,"Spatial Data Missing ⚠",VLOOKUP(M190,'G-3 Multipliers'!$L$3:$N$6,2,FALSE)))</f>
        <v/>
      </c>
      <c r="O190" s="524" t="str">
        <f>IF(M190="","",IF(VLOOKUP(M190,'G-3 Multipliers'!$L$3:$N$6,3,FALSE)=0,"Spatial Data Missing ⚠",VLOOKUP(M190,'G-3 Multipliers'!$L$3:$N$6,3,FALSE)))</f>
        <v/>
      </c>
      <c r="P190" s="506" t="str">
        <f>IFERROR(VLOOKUP(G190,'G-1 All Habitats'!$B$2:$M$129,12,FALSE),"")</f>
        <v/>
      </c>
      <c r="Q190" s="513" t="str">
        <f>IFERROR(IF(P190="","",IF(AND(P190='G-1 All Habitats'!$X$3,T190&gt;0),U190+V190,IF(AND(P190='G-1 All Habitats'!$X$3,S190&gt;0),U190+V190,IF(AND(P190='G-1 All Habitats'!$X$3,AC190&gt;0),"Any Loss Unacceptable",IF(AND(P190='G-1 All Habitats'!$X$3,W190&gt;0),"Any Loss Unacceptable",H190*J190*L190*O190))))),"Check Data ⚠")</f>
        <v/>
      </c>
      <c r="R190" s="50"/>
      <c r="S190" s="71"/>
      <c r="T190" s="72"/>
      <c r="U190" s="511" t="str">
        <f t="shared" si="14"/>
        <v/>
      </c>
      <c r="V190" s="511" t="str">
        <f t="shared" si="15"/>
        <v/>
      </c>
      <c r="W190" s="511"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545" t="str">
        <f>IFERROR(IF(H190="","",IF(H190-S190-T190=0&lt;0,"Error in Areas ▲",IF(S190+T190&gt;H190,"Error in Areas ▲",IF(AND(P190='G-1 All Habitats'!$X$3,Y190="Yes"),"Alternative Compensation",IF(W190=0,0,IF(P190='G-1 All Habitats'!$X$3,"Unacceptable Loss",Q190-U190-V190)))))),"Check Data ⚠")</f>
        <v/>
      </c>
      <c r="Y190" s="72"/>
      <c r="Z190" s="151"/>
      <c r="AA190" s="152"/>
      <c r="AC190" s="251" t="str">
        <f>IF(P190="","",IF(P190='G-1 All Habitats'!$X$3,H190-S190-T190,"None"))</f>
        <v/>
      </c>
      <c r="AD190" s="252" t="str">
        <f t="shared" si="16"/>
        <v/>
      </c>
      <c r="AF190" s="156" t="str">
        <f t="shared" si="12"/>
        <v/>
      </c>
      <c r="AG190" s="156" t="str">
        <f t="shared" si="13"/>
        <v/>
      </c>
      <c r="AH190" s="156" t="str">
        <f>IF(I190="","",IF(#REF!&gt;0,TRUE,FALSE))</f>
        <v/>
      </c>
      <c r="AI190" s="156">
        <v>180</v>
      </c>
      <c r="AJ190" s="156"/>
      <c r="AK190" s="156" t="str">
        <f t="array" ref="AK190">IFERROR(INDEX($AI$11:$AI$259, MATCH(0, IF(TRUE=$AF$11:$AF$259, COUNTIF($AK$10:$AK189, $AI$11:$AI$259), ""), 0)),"")</f>
        <v/>
      </c>
      <c r="AL190" s="156" t="str">
        <f t="array" ref="AL190">IFERROR(INDEX($AI$11:$AI$259, MATCH(0, IF(TRUE=$AG$11:$AG$259, COUNTIF($AL$10:$AL189, $AI$11:$AI$259), ""), 0)),"")</f>
        <v/>
      </c>
      <c r="AM190" s="156" t="str">
        <f t="array" ref="AM190">IFERROR(INDEX($AI$11:$AI$259, MATCH(0, IF(TRUE=$AH$11:$AH$259, COUNTIF($AM$10:$AM189, $AI$11:$AI$259), ""), 0)),"")</f>
        <v/>
      </c>
      <c r="AQ190" s="31">
        <f t="shared" si="17"/>
        <v>0</v>
      </c>
    </row>
    <row r="191" spans="1:43" x14ac:dyDescent="0.25">
      <c r="A191" s="31" t="str">
        <f>IFERROR(INDEX('G-1 All Habitats'!$AG$3:$AG$15,MATCH(E191,'G-1 All Habitats'!$AF$3:$AF$15,0)),"")</f>
        <v/>
      </c>
      <c r="B191" s="31" t="str">
        <f>IFERROR(INDEX('G-8 Condition Look up'!$I$4:$I$130,MATCH(G191,'G-8 Condition Look up'!$A$4:$A$130,0)),"")</f>
        <v/>
      </c>
      <c r="D191" s="141">
        <v>181</v>
      </c>
      <c r="E191" s="203"/>
      <c r="F191" s="203"/>
      <c r="G191" s="250" t="str">
        <f>IFERROR(INDEX('G-1 All Habitats'!$B$3:$B$129,MATCH(F191,'G-1 All Habitats'!$A$3:$A$129,0)),"")</f>
        <v/>
      </c>
      <c r="H191" s="172"/>
      <c r="I191" s="498" t="str">
        <f>IF(G191="","",VLOOKUP(G191,'G-1 All Habitats'!$B$2:$M$129,10,FALSE))</f>
        <v/>
      </c>
      <c r="J191" s="499" t="str">
        <f>IFERROR(VLOOKUP(I191,'G-1 All Habitats'!$V$3:$W$7,2,FALSE),"")</f>
        <v/>
      </c>
      <c r="K191" s="145"/>
      <c r="L191" s="499" t="str">
        <f>IFERROR(INDEX('G-8 Condition Look up'!$A$3:$H$130,MATCH(G191,'G-8 Condition Look up'!$A$3:$A$130,0),MATCH(K191,'G-8 Condition Look up'!$A$3:$H$3,0)),"")</f>
        <v/>
      </c>
      <c r="M191" s="154"/>
      <c r="N191" s="520" t="str">
        <f>IF(M191="","",IF(VLOOKUP(M191,'G-3 Multipliers'!$L$3:$N$6,2,FALSE)=0,"Spatial Data Missing ⚠",VLOOKUP(M191,'G-3 Multipliers'!$L$3:$N$6,2,FALSE)))</f>
        <v/>
      </c>
      <c r="O191" s="524" t="str">
        <f>IF(M191="","",IF(VLOOKUP(M191,'G-3 Multipliers'!$L$3:$N$6,3,FALSE)=0,"Spatial Data Missing ⚠",VLOOKUP(M191,'G-3 Multipliers'!$L$3:$N$6,3,FALSE)))</f>
        <v/>
      </c>
      <c r="P191" s="506" t="str">
        <f>IFERROR(VLOOKUP(G191,'G-1 All Habitats'!$B$2:$M$129,12,FALSE),"")</f>
        <v/>
      </c>
      <c r="Q191" s="513" t="str">
        <f>IFERROR(IF(P191="","",IF(AND(P191='G-1 All Habitats'!$X$3,T191&gt;0),U191+V191,IF(AND(P191='G-1 All Habitats'!$X$3,S191&gt;0),U191+V191,IF(AND(P191='G-1 All Habitats'!$X$3,AC191&gt;0),"Any Loss Unacceptable",IF(AND(P191='G-1 All Habitats'!$X$3,W191&gt;0),"Any Loss Unacceptable",H191*J191*L191*O191))))),"Check Data ⚠")</f>
        <v/>
      </c>
      <c r="R191" s="50"/>
      <c r="S191" s="71"/>
      <c r="T191" s="72"/>
      <c r="U191" s="511" t="str">
        <f t="shared" si="14"/>
        <v/>
      </c>
      <c r="V191" s="511" t="str">
        <f t="shared" si="15"/>
        <v/>
      </c>
      <c r="W191" s="511"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545" t="str">
        <f>IFERROR(IF(H191="","",IF(H191-S191-T191=0&lt;0,"Error in Areas ▲",IF(S191+T191&gt;H191,"Error in Areas ▲",IF(AND(P191='G-1 All Habitats'!$X$3,Y191="Yes"),"Alternative Compensation",IF(W191=0,0,IF(P191='G-1 All Habitats'!$X$3,"Unacceptable Loss",Q191-U191-V191)))))),"Check Data ⚠")</f>
        <v/>
      </c>
      <c r="Y191" s="72"/>
      <c r="Z191" s="151"/>
      <c r="AA191" s="152"/>
      <c r="AC191" s="251" t="str">
        <f>IF(P191="","",IF(P191='G-1 All Habitats'!$X$3,H191-S191-T191,"None"))</f>
        <v/>
      </c>
      <c r="AD191" s="252" t="str">
        <f t="shared" si="16"/>
        <v/>
      </c>
      <c r="AF191" s="156" t="str">
        <f t="shared" si="12"/>
        <v/>
      </c>
      <c r="AG191" s="156" t="str">
        <f t="shared" si="13"/>
        <v/>
      </c>
      <c r="AH191" s="156" t="str">
        <f>IF(I191="","",IF(#REF!&gt;0,TRUE,FALSE))</f>
        <v/>
      </c>
      <c r="AI191" s="156">
        <v>181</v>
      </c>
      <c r="AJ191" s="156"/>
      <c r="AK191" s="156" t="str">
        <f t="array" ref="AK191">IFERROR(INDEX($AI$11:$AI$259, MATCH(0, IF(TRUE=$AF$11:$AF$259, COUNTIF($AK$10:$AK190, $AI$11:$AI$259), ""), 0)),"")</f>
        <v/>
      </c>
      <c r="AL191" s="156" t="str">
        <f t="array" ref="AL191">IFERROR(INDEX($AI$11:$AI$259, MATCH(0, IF(TRUE=$AG$11:$AG$259, COUNTIF($AL$10:$AL190, $AI$11:$AI$259), ""), 0)),"")</f>
        <v/>
      </c>
      <c r="AM191" s="156" t="str">
        <f t="array" ref="AM191">IFERROR(INDEX($AI$11:$AI$259, MATCH(0, IF(TRUE=$AH$11:$AH$259, COUNTIF($AM$10:$AM190, $AI$11:$AI$259), ""), 0)),"")</f>
        <v/>
      </c>
      <c r="AQ191" s="31">
        <f t="shared" si="17"/>
        <v>0</v>
      </c>
    </row>
    <row r="192" spans="1:43" x14ac:dyDescent="0.25">
      <c r="A192" s="31" t="str">
        <f>IFERROR(INDEX('G-1 All Habitats'!$AG$3:$AG$15,MATCH(E192,'G-1 All Habitats'!$AF$3:$AF$15,0)),"")</f>
        <v/>
      </c>
      <c r="B192" s="31" t="str">
        <f>IFERROR(INDEX('G-8 Condition Look up'!$I$4:$I$130,MATCH(G192,'G-8 Condition Look up'!$A$4:$A$130,0)),"")</f>
        <v/>
      </c>
      <c r="D192" s="141">
        <v>182</v>
      </c>
      <c r="E192" s="203"/>
      <c r="F192" s="203"/>
      <c r="G192" s="250" t="str">
        <f>IFERROR(INDEX('G-1 All Habitats'!$B$3:$B$129,MATCH(F192,'G-1 All Habitats'!$A$3:$A$129,0)),"")</f>
        <v/>
      </c>
      <c r="H192" s="172"/>
      <c r="I192" s="498" t="str">
        <f>IF(G192="","",VLOOKUP(G192,'G-1 All Habitats'!$B$2:$M$129,10,FALSE))</f>
        <v/>
      </c>
      <c r="J192" s="499" t="str">
        <f>IFERROR(VLOOKUP(I192,'G-1 All Habitats'!$V$3:$W$7,2,FALSE),"")</f>
        <v/>
      </c>
      <c r="K192" s="145"/>
      <c r="L192" s="499" t="str">
        <f>IFERROR(INDEX('G-8 Condition Look up'!$A$3:$H$130,MATCH(G192,'G-8 Condition Look up'!$A$3:$A$130,0),MATCH(K192,'G-8 Condition Look up'!$A$3:$H$3,0)),"")</f>
        <v/>
      </c>
      <c r="M192" s="154"/>
      <c r="N192" s="520" t="str">
        <f>IF(M192="","",IF(VLOOKUP(M192,'G-3 Multipliers'!$L$3:$N$6,2,FALSE)=0,"Spatial Data Missing ⚠",VLOOKUP(M192,'G-3 Multipliers'!$L$3:$N$6,2,FALSE)))</f>
        <v/>
      </c>
      <c r="O192" s="524" t="str">
        <f>IF(M192="","",IF(VLOOKUP(M192,'G-3 Multipliers'!$L$3:$N$6,3,FALSE)=0,"Spatial Data Missing ⚠",VLOOKUP(M192,'G-3 Multipliers'!$L$3:$N$6,3,FALSE)))</f>
        <v/>
      </c>
      <c r="P192" s="506" t="str">
        <f>IFERROR(VLOOKUP(G192,'G-1 All Habitats'!$B$2:$M$129,12,FALSE),"")</f>
        <v/>
      </c>
      <c r="Q192" s="513" t="str">
        <f>IFERROR(IF(P192="","",IF(AND(P192='G-1 All Habitats'!$X$3,T192&gt;0),U192+V192,IF(AND(P192='G-1 All Habitats'!$X$3,S192&gt;0),U192+V192,IF(AND(P192='G-1 All Habitats'!$X$3,AC192&gt;0),"Any Loss Unacceptable",IF(AND(P192='G-1 All Habitats'!$X$3,W192&gt;0),"Any Loss Unacceptable",H192*J192*L192*O192))))),"Check Data ⚠")</f>
        <v/>
      </c>
      <c r="R192" s="50"/>
      <c r="S192" s="71"/>
      <c r="T192" s="72"/>
      <c r="U192" s="511" t="str">
        <f t="shared" si="14"/>
        <v/>
      </c>
      <c r="V192" s="511" t="str">
        <f t="shared" si="15"/>
        <v/>
      </c>
      <c r="W192" s="511"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545" t="str">
        <f>IFERROR(IF(H192="","",IF(H192-S192-T192=0&lt;0,"Error in Areas ▲",IF(S192+T192&gt;H192,"Error in Areas ▲",IF(AND(P192='G-1 All Habitats'!$X$3,Y192="Yes"),"Alternative Compensation",IF(W192=0,0,IF(P192='G-1 All Habitats'!$X$3,"Unacceptable Loss",Q192-U192-V192)))))),"Check Data ⚠")</f>
        <v/>
      </c>
      <c r="Y192" s="72"/>
      <c r="Z192" s="151"/>
      <c r="AA192" s="152"/>
      <c r="AC192" s="251" t="str">
        <f>IF(P192="","",IF(P192='G-1 All Habitats'!$X$3,H192-S192-T192,"None"))</f>
        <v/>
      </c>
      <c r="AD192" s="252" t="str">
        <f t="shared" si="16"/>
        <v/>
      </c>
      <c r="AF192" s="156" t="str">
        <f t="shared" si="12"/>
        <v/>
      </c>
      <c r="AG192" s="156" t="str">
        <f t="shared" si="13"/>
        <v/>
      </c>
      <c r="AH192" s="156" t="str">
        <f>IF(I192="","",IF(#REF!&gt;0,TRUE,FALSE))</f>
        <v/>
      </c>
      <c r="AI192" s="156">
        <v>182</v>
      </c>
      <c r="AJ192" s="156"/>
      <c r="AK192" s="156" t="str">
        <f t="array" ref="AK192">IFERROR(INDEX($AI$11:$AI$259, MATCH(0, IF(TRUE=$AF$11:$AF$259, COUNTIF($AK$10:$AK191, $AI$11:$AI$259), ""), 0)),"")</f>
        <v/>
      </c>
      <c r="AL192" s="156" t="str">
        <f t="array" ref="AL192">IFERROR(INDEX($AI$11:$AI$259, MATCH(0, IF(TRUE=$AG$11:$AG$259, COUNTIF($AL$10:$AL191, $AI$11:$AI$259), ""), 0)),"")</f>
        <v/>
      </c>
      <c r="AM192" s="156" t="str">
        <f t="array" ref="AM192">IFERROR(INDEX($AI$11:$AI$259, MATCH(0, IF(TRUE=$AH$11:$AH$259, COUNTIF($AM$10:$AM191, $AI$11:$AI$259), ""), 0)),"")</f>
        <v/>
      </c>
      <c r="AQ192" s="31">
        <f t="shared" si="17"/>
        <v>0</v>
      </c>
    </row>
    <row r="193" spans="1:43" x14ac:dyDescent="0.25">
      <c r="A193" s="31" t="str">
        <f>IFERROR(INDEX('G-1 All Habitats'!$AG$3:$AG$15,MATCH(E193,'G-1 All Habitats'!$AF$3:$AF$15,0)),"")</f>
        <v/>
      </c>
      <c r="B193" s="31" t="str">
        <f>IFERROR(INDEX('G-8 Condition Look up'!$I$4:$I$130,MATCH(G193,'G-8 Condition Look up'!$A$4:$A$130,0)),"")</f>
        <v/>
      </c>
      <c r="D193" s="141">
        <v>183</v>
      </c>
      <c r="E193" s="203"/>
      <c r="F193" s="203"/>
      <c r="G193" s="250" t="str">
        <f>IFERROR(INDEX('G-1 All Habitats'!$B$3:$B$129,MATCH(F193,'G-1 All Habitats'!$A$3:$A$129,0)),"")</f>
        <v/>
      </c>
      <c r="H193" s="172"/>
      <c r="I193" s="498" t="str">
        <f>IF(G193="","",VLOOKUP(G193,'G-1 All Habitats'!$B$2:$M$129,10,FALSE))</f>
        <v/>
      </c>
      <c r="J193" s="499" t="str">
        <f>IFERROR(VLOOKUP(I193,'G-1 All Habitats'!$V$3:$W$7,2,FALSE),"")</f>
        <v/>
      </c>
      <c r="K193" s="145"/>
      <c r="L193" s="499" t="str">
        <f>IFERROR(INDEX('G-8 Condition Look up'!$A$3:$H$130,MATCH(G193,'G-8 Condition Look up'!$A$3:$A$130,0),MATCH(K193,'G-8 Condition Look up'!$A$3:$H$3,0)),"")</f>
        <v/>
      </c>
      <c r="M193" s="154"/>
      <c r="N193" s="520" t="str">
        <f>IF(M193="","",IF(VLOOKUP(M193,'G-3 Multipliers'!$L$3:$N$6,2,FALSE)=0,"Spatial Data Missing ⚠",VLOOKUP(M193,'G-3 Multipliers'!$L$3:$N$6,2,FALSE)))</f>
        <v/>
      </c>
      <c r="O193" s="524" t="str">
        <f>IF(M193="","",IF(VLOOKUP(M193,'G-3 Multipliers'!$L$3:$N$6,3,FALSE)=0,"Spatial Data Missing ⚠",VLOOKUP(M193,'G-3 Multipliers'!$L$3:$N$6,3,FALSE)))</f>
        <v/>
      </c>
      <c r="P193" s="506" t="str">
        <f>IFERROR(VLOOKUP(G193,'G-1 All Habitats'!$B$2:$M$129,12,FALSE),"")</f>
        <v/>
      </c>
      <c r="Q193" s="513" t="str">
        <f>IFERROR(IF(P193="","",IF(AND(P193='G-1 All Habitats'!$X$3,T193&gt;0),U193+V193,IF(AND(P193='G-1 All Habitats'!$X$3,S193&gt;0),U193+V193,IF(AND(P193='G-1 All Habitats'!$X$3,AC193&gt;0),"Any Loss Unacceptable",IF(AND(P193='G-1 All Habitats'!$X$3,W193&gt;0),"Any Loss Unacceptable",H193*J193*L193*O193))))),"Check Data ⚠")</f>
        <v/>
      </c>
      <c r="R193" s="50"/>
      <c r="S193" s="71"/>
      <c r="T193" s="72"/>
      <c r="U193" s="511" t="str">
        <f t="shared" si="14"/>
        <v/>
      </c>
      <c r="V193" s="511" t="str">
        <f t="shared" si="15"/>
        <v/>
      </c>
      <c r="W193" s="511"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545" t="str">
        <f>IFERROR(IF(H193="","",IF(H193-S193-T193=0&lt;0,"Error in Areas ▲",IF(S193+T193&gt;H193,"Error in Areas ▲",IF(AND(P193='G-1 All Habitats'!$X$3,Y193="Yes"),"Alternative Compensation",IF(W193=0,0,IF(P193='G-1 All Habitats'!$X$3,"Unacceptable Loss",Q193-U193-V193)))))),"Check Data ⚠")</f>
        <v/>
      </c>
      <c r="Y193" s="72"/>
      <c r="Z193" s="151"/>
      <c r="AA193" s="152"/>
      <c r="AC193" s="251" t="str">
        <f>IF(P193="","",IF(P193='G-1 All Habitats'!$X$3,H193-S193-T193,"None"))</f>
        <v/>
      </c>
      <c r="AD193" s="252" t="str">
        <f t="shared" si="16"/>
        <v/>
      </c>
      <c r="AF193" s="156" t="str">
        <f t="shared" si="12"/>
        <v/>
      </c>
      <c r="AG193" s="156" t="str">
        <f t="shared" si="13"/>
        <v/>
      </c>
      <c r="AH193" s="156" t="str">
        <f>IF(I193="","",IF(#REF!&gt;0,TRUE,FALSE))</f>
        <v/>
      </c>
      <c r="AI193" s="156">
        <v>183</v>
      </c>
      <c r="AJ193" s="156"/>
      <c r="AK193" s="156" t="str">
        <f t="array" ref="AK193">IFERROR(INDEX($AI$11:$AI$259, MATCH(0, IF(TRUE=$AF$11:$AF$259, COUNTIF($AK$10:$AK192, $AI$11:$AI$259), ""), 0)),"")</f>
        <v/>
      </c>
      <c r="AL193" s="156" t="str">
        <f t="array" ref="AL193">IFERROR(INDEX($AI$11:$AI$259, MATCH(0, IF(TRUE=$AG$11:$AG$259, COUNTIF($AL$10:$AL192, $AI$11:$AI$259), ""), 0)),"")</f>
        <v/>
      </c>
      <c r="AM193" s="156" t="str">
        <f t="array" ref="AM193">IFERROR(INDEX($AI$11:$AI$259, MATCH(0, IF(TRUE=$AH$11:$AH$259, COUNTIF($AM$10:$AM192, $AI$11:$AI$259), ""), 0)),"")</f>
        <v/>
      </c>
      <c r="AQ193" s="31">
        <f t="shared" si="17"/>
        <v>0</v>
      </c>
    </row>
    <row r="194" spans="1:43" x14ac:dyDescent="0.25">
      <c r="A194" s="31" t="str">
        <f>IFERROR(INDEX('G-1 All Habitats'!$AG$3:$AG$15,MATCH(E194,'G-1 All Habitats'!$AF$3:$AF$15,0)),"")</f>
        <v/>
      </c>
      <c r="B194" s="31" t="str">
        <f>IFERROR(INDEX('G-8 Condition Look up'!$I$4:$I$130,MATCH(G194,'G-8 Condition Look up'!$A$4:$A$130,0)),"")</f>
        <v/>
      </c>
      <c r="D194" s="141">
        <v>184</v>
      </c>
      <c r="E194" s="203"/>
      <c r="F194" s="203"/>
      <c r="G194" s="250" t="str">
        <f>IFERROR(INDEX('G-1 All Habitats'!$B$3:$B$129,MATCH(F194,'G-1 All Habitats'!$A$3:$A$129,0)),"")</f>
        <v/>
      </c>
      <c r="H194" s="172"/>
      <c r="I194" s="498" t="str">
        <f>IF(G194="","",VLOOKUP(G194,'G-1 All Habitats'!$B$2:$M$129,10,FALSE))</f>
        <v/>
      </c>
      <c r="J194" s="499" t="str">
        <f>IFERROR(VLOOKUP(I194,'G-1 All Habitats'!$V$3:$W$7,2,FALSE),"")</f>
        <v/>
      </c>
      <c r="K194" s="145"/>
      <c r="L194" s="499" t="str">
        <f>IFERROR(INDEX('G-8 Condition Look up'!$A$3:$H$130,MATCH(G194,'G-8 Condition Look up'!$A$3:$A$130,0),MATCH(K194,'G-8 Condition Look up'!$A$3:$H$3,0)),"")</f>
        <v/>
      </c>
      <c r="M194" s="154"/>
      <c r="N194" s="520" t="str">
        <f>IF(M194="","",IF(VLOOKUP(M194,'G-3 Multipliers'!$L$3:$N$6,2,FALSE)=0,"Spatial Data Missing ⚠",VLOOKUP(M194,'G-3 Multipliers'!$L$3:$N$6,2,FALSE)))</f>
        <v/>
      </c>
      <c r="O194" s="524" t="str">
        <f>IF(M194="","",IF(VLOOKUP(M194,'G-3 Multipliers'!$L$3:$N$6,3,FALSE)=0,"Spatial Data Missing ⚠",VLOOKUP(M194,'G-3 Multipliers'!$L$3:$N$6,3,FALSE)))</f>
        <v/>
      </c>
      <c r="P194" s="506" t="str">
        <f>IFERROR(VLOOKUP(G194,'G-1 All Habitats'!$B$2:$M$129,12,FALSE),"")</f>
        <v/>
      </c>
      <c r="Q194" s="513" t="str">
        <f>IFERROR(IF(P194="","",IF(AND(P194='G-1 All Habitats'!$X$3,T194&gt;0),U194+V194,IF(AND(P194='G-1 All Habitats'!$X$3,S194&gt;0),U194+V194,IF(AND(P194='G-1 All Habitats'!$X$3,AC194&gt;0),"Any Loss Unacceptable",IF(AND(P194='G-1 All Habitats'!$X$3,W194&gt;0),"Any Loss Unacceptable",H194*J194*L194*O194))))),"Check Data ⚠")</f>
        <v/>
      </c>
      <c r="R194" s="50"/>
      <c r="S194" s="71"/>
      <c r="T194" s="72"/>
      <c r="U194" s="511" t="str">
        <f t="shared" si="14"/>
        <v/>
      </c>
      <c r="V194" s="511" t="str">
        <f t="shared" si="15"/>
        <v/>
      </c>
      <c r="W194" s="511"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545" t="str">
        <f>IFERROR(IF(H194="","",IF(H194-S194-T194=0&lt;0,"Error in Areas ▲",IF(S194+T194&gt;H194,"Error in Areas ▲",IF(AND(P194='G-1 All Habitats'!$X$3,Y194="Yes"),"Alternative Compensation",IF(W194=0,0,IF(P194='G-1 All Habitats'!$X$3,"Unacceptable Loss",Q194-U194-V194)))))),"Check Data ⚠")</f>
        <v/>
      </c>
      <c r="Y194" s="72"/>
      <c r="Z194" s="151"/>
      <c r="AA194" s="152"/>
      <c r="AC194" s="251" t="str">
        <f>IF(P194="","",IF(P194='G-1 All Habitats'!$X$3,H194-S194-T194,"None"))</f>
        <v/>
      </c>
      <c r="AD194" s="252" t="str">
        <f t="shared" si="16"/>
        <v/>
      </c>
      <c r="AF194" s="156" t="str">
        <f t="shared" si="12"/>
        <v/>
      </c>
      <c r="AG194" s="156" t="str">
        <f t="shared" si="13"/>
        <v/>
      </c>
      <c r="AH194" s="156" t="str">
        <f>IF(I194="","",IF(#REF!&gt;0,TRUE,FALSE))</f>
        <v/>
      </c>
      <c r="AI194" s="156">
        <v>184</v>
      </c>
      <c r="AJ194" s="156"/>
      <c r="AK194" s="156" t="str">
        <f t="array" ref="AK194">IFERROR(INDEX($AI$11:$AI$259, MATCH(0, IF(TRUE=$AF$11:$AF$259, COUNTIF($AK$10:$AK193, $AI$11:$AI$259), ""), 0)),"")</f>
        <v/>
      </c>
      <c r="AL194" s="156" t="str">
        <f t="array" ref="AL194">IFERROR(INDEX($AI$11:$AI$259, MATCH(0, IF(TRUE=$AG$11:$AG$259, COUNTIF($AL$10:$AL193, $AI$11:$AI$259), ""), 0)),"")</f>
        <v/>
      </c>
      <c r="AM194" s="156" t="str">
        <f t="array" ref="AM194">IFERROR(INDEX($AI$11:$AI$259, MATCH(0, IF(TRUE=$AH$11:$AH$259, COUNTIF($AM$10:$AM193, $AI$11:$AI$259), ""), 0)),"")</f>
        <v/>
      </c>
      <c r="AQ194" s="31">
        <f t="shared" si="17"/>
        <v>0</v>
      </c>
    </row>
    <row r="195" spans="1:43" x14ac:dyDescent="0.25">
      <c r="A195" s="31" t="str">
        <f>IFERROR(INDEX('G-1 All Habitats'!$AG$3:$AG$15,MATCH(E195,'G-1 All Habitats'!$AF$3:$AF$15,0)),"")</f>
        <v/>
      </c>
      <c r="B195" s="31" t="str">
        <f>IFERROR(INDEX('G-8 Condition Look up'!$I$4:$I$130,MATCH(G195,'G-8 Condition Look up'!$A$4:$A$130,0)),"")</f>
        <v/>
      </c>
      <c r="D195" s="141">
        <v>185</v>
      </c>
      <c r="E195" s="203"/>
      <c r="F195" s="203"/>
      <c r="G195" s="250" t="str">
        <f>IFERROR(INDEX('G-1 All Habitats'!$B$3:$B$129,MATCH(F195,'G-1 All Habitats'!$A$3:$A$129,0)),"")</f>
        <v/>
      </c>
      <c r="H195" s="172"/>
      <c r="I195" s="498" t="str">
        <f>IF(G195="","",VLOOKUP(G195,'G-1 All Habitats'!$B$2:$M$129,10,FALSE))</f>
        <v/>
      </c>
      <c r="J195" s="499" t="str">
        <f>IFERROR(VLOOKUP(I195,'G-1 All Habitats'!$V$3:$W$7,2,FALSE),"")</f>
        <v/>
      </c>
      <c r="K195" s="145"/>
      <c r="L195" s="499" t="str">
        <f>IFERROR(INDEX('G-8 Condition Look up'!$A$3:$H$130,MATCH(G195,'G-8 Condition Look up'!$A$3:$A$130,0),MATCH(K195,'G-8 Condition Look up'!$A$3:$H$3,0)),"")</f>
        <v/>
      </c>
      <c r="M195" s="154"/>
      <c r="N195" s="520" t="str">
        <f>IF(M195="","",IF(VLOOKUP(M195,'G-3 Multipliers'!$L$3:$N$6,2,FALSE)=0,"Spatial Data Missing ⚠",VLOOKUP(M195,'G-3 Multipliers'!$L$3:$N$6,2,FALSE)))</f>
        <v/>
      </c>
      <c r="O195" s="524" t="str">
        <f>IF(M195="","",IF(VLOOKUP(M195,'G-3 Multipliers'!$L$3:$N$6,3,FALSE)=0,"Spatial Data Missing ⚠",VLOOKUP(M195,'G-3 Multipliers'!$L$3:$N$6,3,FALSE)))</f>
        <v/>
      </c>
      <c r="P195" s="506" t="str">
        <f>IFERROR(VLOOKUP(G195,'G-1 All Habitats'!$B$2:$M$129,12,FALSE),"")</f>
        <v/>
      </c>
      <c r="Q195" s="513" t="str">
        <f>IFERROR(IF(P195="","",IF(AND(P195='G-1 All Habitats'!$X$3,T195&gt;0),U195+V195,IF(AND(P195='G-1 All Habitats'!$X$3,S195&gt;0),U195+V195,IF(AND(P195='G-1 All Habitats'!$X$3,AC195&gt;0),"Any Loss Unacceptable",IF(AND(P195='G-1 All Habitats'!$X$3,W195&gt;0),"Any Loss Unacceptable",H195*J195*L195*O195))))),"Check Data ⚠")</f>
        <v/>
      </c>
      <c r="R195" s="50"/>
      <c r="S195" s="71"/>
      <c r="T195" s="72"/>
      <c r="U195" s="511" t="str">
        <f t="shared" si="14"/>
        <v/>
      </c>
      <c r="V195" s="511" t="str">
        <f t="shared" si="15"/>
        <v/>
      </c>
      <c r="W195" s="511"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545" t="str">
        <f>IFERROR(IF(H195="","",IF(H195-S195-T195=0&lt;0,"Error in Areas ▲",IF(S195+T195&gt;H195,"Error in Areas ▲",IF(AND(P195='G-1 All Habitats'!$X$3,Y195="Yes"),"Alternative Compensation",IF(W195=0,0,IF(P195='G-1 All Habitats'!$X$3,"Unacceptable Loss",Q195-U195-V195)))))),"Check Data ⚠")</f>
        <v/>
      </c>
      <c r="Y195" s="72"/>
      <c r="Z195" s="151"/>
      <c r="AA195" s="152"/>
      <c r="AC195" s="251" t="str">
        <f>IF(P195="","",IF(P195='G-1 All Habitats'!$X$3,H195-S195-T195,"None"))</f>
        <v/>
      </c>
      <c r="AD195" s="252" t="str">
        <f t="shared" si="16"/>
        <v/>
      </c>
      <c r="AF195" s="156" t="str">
        <f t="shared" si="12"/>
        <v/>
      </c>
      <c r="AG195" s="156" t="str">
        <f t="shared" si="13"/>
        <v/>
      </c>
      <c r="AH195" s="156" t="str">
        <f>IF(I195="","",IF(#REF!&gt;0,TRUE,FALSE))</f>
        <v/>
      </c>
      <c r="AI195" s="156">
        <v>185</v>
      </c>
      <c r="AJ195" s="156"/>
      <c r="AK195" s="156" t="str">
        <f t="array" ref="AK195">IFERROR(INDEX($AI$11:$AI$259, MATCH(0, IF(TRUE=$AF$11:$AF$259, COUNTIF($AK$10:$AK194, $AI$11:$AI$259), ""), 0)),"")</f>
        <v/>
      </c>
      <c r="AL195" s="156" t="str">
        <f t="array" ref="AL195">IFERROR(INDEX($AI$11:$AI$259, MATCH(0, IF(TRUE=$AG$11:$AG$259, COUNTIF($AL$10:$AL194, $AI$11:$AI$259), ""), 0)),"")</f>
        <v/>
      </c>
      <c r="AM195" s="156" t="str">
        <f t="array" ref="AM195">IFERROR(INDEX($AI$11:$AI$259, MATCH(0, IF(TRUE=$AH$11:$AH$259, COUNTIF($AM$10:$AM194, $AI$11:$AI$259), ""), 0)),"")</f>
        <v/>
      </c>
      <c r="AQ195" s="31">
        <f t="shared" si="17"/>
        <v>0</v>
      </c>
    </row>
    <row r="196" spans="1:43" x14ac:dyDescent="0.25">
      <c r="A196" s="31" t="str">
        <f>IFERROR(INDEX('G-1 All Habitats'!$AG$3:$AG$15,MATCH(E196,'G-1 All Habitats'!$AF$3:$AF$15,0)),"")</f>
        <v/>
      </c>
      <c r="B196" s="31" t="str">
        <f>IFERROR(INDEX('G-8 Condition Look up'!$I$4:$I$130,MATCH(G196,'G-8 Condition Look up'!$A$4:$A$130,0)),"")</f>
        <v/>
      </c>
      <c r="D196" s="141">
        <v>186</v>
      </c>
      <c r="E196" s="203"/>
      <c r="F196" s="203"/>
      <c r="G196" s="250" t="str">
        <f>IFERROR(INDEX('G-1 All Habitats'!$B$3:$B$129,MATCH(F196,'G-1 All Habitats'!$A$3:$A$129,0)),"")</f>
        <v/>
      </c>
      <c r="H196" s="172"/>
      <c r="I196" s="498" t="str">
        <f>IF(G196="","",VLOOKUP(G196,'G-1 All Habitats'!$B$2:$M$129,10,FALSE))</f>
        <v/>
      </c>
      <c r="J196" s="499" t="str">
        <f>IFERROR(VLOOKUP(I196,'G-1 All Habitats'!$V$3:$W$7,2,FALSE),"")</f>
        <v/>
      </c>
      <c r="K196" s="145"/>
      <c r="L196" s="499" t="str">
        <f>IFERROR(INDEX('G-8 Condition Look up'!$A$3:$H$130,MATCH(G196,'G-8 Condition Look up'!$A$3:$A$130,0),MATCH(K196,'G-8 Condition Look up'!$A$3:$H$3,0)),"")</f>
        <v/>
      </c>
      <c r="M196" s="154"/>
      <c r="N196" s="520" t="str">
        <f>IF(M196="","",IF(VLOOKUP(M196,'G-3 Multipliers'!$L$3:$N$6,2,FALSE)=0,"Spatial Data Missing ⚠",VLOOKUP(M196,'G-3 Multipliers'!$L$3:$N$6,2,FALSE)))</f>
        <v/>
      </c>
      <c r="O196" s="524" t="str">
        <f>IF(M196="","",IF(VLOOKUP(M196,'G-3 Multipliers'!$L$3:$N$6,3,FALSE)=0,"Spatial Data Missing ⚠",VLOOKUP(M196,'G-3 Multipliers'!$L$3:$N$6,3,FALSE)))</f>
        <v/>
      </c>
      <c r="P196" s="506" t="str">
        <f>IFERROR(VLOOKUP(G196,'G-1 All Habitats'!$B$2:$M$129,12,FALSE),"")</f>
        <v/>
      </c>
      <c r="Q196" s="513" t="str">
        <f>IFERROR(IF(P196="","",IF(AND(P196='G-1 All Habitats'!$X$3,T196&gt;0),U196+V196,IF(AND(P196='G-1 All Habitats'!$X$3,S196&gt;0),U196+V196,IF(AND(P196='G-1 All Habitats'!$X$3,AC196&gt;0),"Any Loss Unacceptable",IF(AND(P196='G-1 All Habitats'!$X$3,W196&gt;0),"Any Loss Unacceptable",H196*J196*L196*O196))))),"Check Data ⚠")</f>
        <v/>
      </c>
      <c r="R196" s="50"/>
      <c r="S196" s="71"/>
      <c r="T196" s="72"/>
      <c r="U196" s="511" t="str">
        <f t="shared" si="14"/>
        <v/>
      </c>
      <c r="V196" s="511" t="str">
        <f t="shared" si="15"/>
        <v/>
      </c>
      <c r="W196" s="511"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545" t="str">
        <f>IFERROR(IF(H196="","",IF(H196-S196-T196=0&lt;0,"Error in Areas ▲",IF(S196+T196&gt;H196,"Error in Areas ▲",IF(AND(P196='G-1 All Habitats'!$X$3,Y196="Yes"),"Alternative Compensation",IF(W196=0,0,IF(P196='G-1 All Habitats'!$X$3,"Unacceptable Loss",Q196-U196-V196)))))),"Check Data ⚠")</f>
        <v/>
      </c>
      <c r="Y196" s="72"/>
      <c r="Z196" s="151"/>
      <c r="AA196" s="152"/>
      <c r="AC196" s="251" t="str">
        <f>IF(P196="","",IF(P196='G-1 All Habitats'!$X$3,H196-S196-T196,"None"))</f>
        <v/>
      </c>
      <c r="AD196" s="252" t="str">
        <f t="shared" si="16"/>
        <v/>
      </c>
      <c r="AF196" s="156" t="str">
        <f t="shared" si="12"/>
        <v/>
      </c>
      <c r="AG196" s="156" t="str">
        <f t="shared" si="13"/>
        <v/>
      </c>
      <c r="AH196" s="156" t="str">
        <f>IF(I196="","",IF(#REF!&gt;0,TRUE,FALSE))</f>
        <v/>
      </c>
      <c r="AI196" s="156">
        <v>186</v>
      </c>
      <c r="AJ196" s="156"/>
      <c r="AK196" s="156" t="str">
        <f t="array" ref="AK196">IFERROR(INDEX($AI$11:$AI$259, MATCH(0, IF(TRUE=$AF$11:$AF$259, COUNTIF($AK$10:$AK195, $AI$11:$AI$259), ""), 0)),"")</f>
        <v/>
      </c>
      <c r="AL196" s="156" t="str">
        <f t="array" ref="AL196">IFERROR(INDEX($AI$11:$AI$259, MATCH(0, IF(TRUE=$AG$11:$AG$259, COUNTIF($AL$10:$AL195, $AI$11:$AI$259), ""), 0)),"")</f>
        <v/>
      </c>
      <c r="AM196" s="156" t="str">
        <f t="array" ref="AM196">IFERROR(INDEX($AI$11:$AI$259, MATCH(0, IF(TRUE=$AH$11:$AH$259, COUNTIF($AM$10:$AM195, $AI$11:$AI$259), ""), 0)),"")</f>
        <v/>
      </c>
      <c r="AQ196" s="31">
        <f t="shared" si="17"/>
        <v>0</v>
      </c>
    </row>
    <row r="197" spans="1:43" x14ac:dyDescent="0.25">
      <c r="A197" s="31" t="str">
        <f>IFERROR(INDEX('G-1 All Habitats'!$AG$3:$AG$15,MATCH(E197,'G-1 All Habitats'!$AF$3:$AF$15,0)),"")</f>
        <v/>
      </c>
      <c r="B197" s="31" t="str">
        <f>IFERROR(INDEX('G-8 Condition Look up'!$I$4:$I$130,MATCH(G197,'G-8 Condition Look up'!$A$4:$A$130,0)),"")</f>
        <v/>
      </c>
      <c r="D197" s="141">
        <v>187</v>
      </c>
      <c r="E197" s="203"/>
      <c r="F197" s="203"/>
      <c r="G197" s="250" t="str">
        <f>IFERROR(INDEX('G-1 All Habitats'!$B$3:$B$129,MATCH(F197,'G-1 All Habitats'!$A$3:$A$129,0)),"")</f>
        <v/>
      </c>
      <c r="H197" s="172"/>
      <c r="I197" s="498" t="str">
        <f>IF(G197="","",VLOOKUP(G197,'G-1 All Habitats'!$B$2:$M$129,10,FALSE))</f>
        <v/>
      </c>
      <c r="J197" s="499" t="str">
        <f>IFERROR(VLOOKUP(I197,'G-1 All Habitats'!$V$3:$W$7,2,FALSE),"")</f>
        <v/>
      </c>
      <c r="K197" s="145"/>
      <c r="L197" s="499" t="str">
        <f>IFERROR(INDEX('G-8 Condition Look up'!$A$3:$H$130,MATCH(G197,'G-8 Condition Look up'!$A$3:$A$130,0),MATCH(K197,'G-8 Condition Look up'!$A$3:$H$3,0)),"")</f>
        <v/>
      </c>
      <c r="M197" s="154"/>
      <c r="N197" s="520" t="str">
        <f>IF(M197="","",IF(VLOOKUP(M197,'G-3 Multipliers'!$L$3:$N$6,2,FALSE)=0,"Spatial Data Missing ⚠",VLOOKUP(M197,'G-3 Multipliers'!$L$3:$N$6,2,FALSE)))</f>
        <v/>
      </c>
      <c r="O197" s="524" t="str">
        <f>IF(M197="","",IF(VLOOKUP(M197,'G-3 Multipliers'!$L$3:$N$6,3,FALSE)=0,"Spatial Data Missing ⚠",VLOOKUP(M197,'G-3 Multipliers'!$L$3:$N$6,3,FALSE)))</f>
        <v/>
      </c>
      <c r="P197" s="506" t="str">
        <f>IFERROR(VLOOKUP(G197,'G-1 All Habitats'!$B$2:$M$129,12,FALSE),"")</f>
        <v/>
      </c>
      <c r="Q197" s="513" t="str">
        <f>IFERROR(IF(P197="","",IF(AND(P197='G-1 All Habitats'!$X$3,T197&gt;0),U197+V197,IF(AND(P197='G-1 All Habitats'!$X$3,S197&gt;0),U197+V197,IF(AND(P197='G-1 All Habitats'!$X$3,AC197&gt;0),"Any Loss Unacceptable",IF(AND(P197='G-1 All Habitats'!$X$3,W197&gt;0),"Any Loss Unacceptable",H197*J197*L197*O197))))),"Check Data ⚠")</f>
        <v/>
      </c>
      <c r="R197" s="50"/>
      <c r="S197" s="71"/>
      <c r="T197" s="72"/>
      <c r="U197" s="511" t="str">
        <f t="shared" si="14"/>
        <v/>
      </c>
      <c r="V197" s="511" t="str">
        <f t="shared" si="15"/>
        <v/>
      </c>
      <c r="W197" s="511"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545" t="str">
        <f>IFERROR(IF(H197="","",IF(H197-S197-T197=0&lt;0,"Error in Areas ▲",IF(S197+T197&gt;H197,"Error in Areas ▲",IF(AND(P197='G-1 All Habitats'!$X$3,Y197="Yes"),"Alternative Compensation",IF(W197=0,0,IF(P197='G-1 All Habitats'!$X$3,"Unacceptable Loss",Q197-U197-V197)))))),"Check Data ⚠")</f>
        <v/>
      </c>
      <c r="Y197" s="72"/>
      <c r="Z197" s="151"/>
      <c r="AA197" s="152"/>
      <c r="AC197" s="251" t="str">
        <f>IF(P197="","",IF(P197='G-1 All Habitats'!$X$3,H197-S197-T197,"None"))</f>
        <v/>
      </c>
      <c r="AD197" s="252" t="str">
        <f t="shared" si="16"/>
        <v/>
      </c>
      <c r="AF197" s="156" t="str">
        <f t="shared" si="12"/>
        <v/>
      </c>
      <c r="AG197" s="156" t="str">
        <f t="shared" si="13"/>
        <v/>
      </c>
      <c r="AH197" s="156" t="str">
        <f>IF(I197="","",IF(#REF!&gt;0,TRUE,FALSE))</f>
        <v/>
      </c>
      <c r="AI197" s="156">
        <v>187</v>
      </c>
      <c r="AJ197" s="156"/>
      <c r="AK197" s="156" t="str">
        <f t="array" ref="AK197">IFERROR(INDEX($AI$11:$AI$259, MATCH(0, IF(TRUE=$AF$11:$AF$259, COUNTIF($AK$10:$AK196, $AI$11:$AI$259), ""), 0)),"")</f>
        <v/>
      </c>
      <c r="AL197" s="156" t="str">
        <f t="array" ref="AL197">IFERROR(INDEX($AI$11:$AI$259, MATCH(0, IF(TRUE=$AG$11:$AG$259, COUNTIF($AL$10:$AL196, $AI$11:$AI$259), ""), 0)),"")</f>
        <v/>
      </c>
      <c r="AM197" s="156" t="str">
        <f t="array" ref="AM197">IFERROR(INDEX($AI$11:$AI$259, MATCH(0, IF(TRUE=$AH$11:$AH$259, COUNTIF($AM$10:$AM196, $AI$11:$AI$259), ""), 0)),"")</f>
        <v/>
      </c>
      <c r="AQ197" s="31">
        <f t="shared" si="17"/>
        <v>0</v>
      </c>
    </row>
    <row r="198" spans="1:43" x14ac:dyDescent="0.25">
      <c r="A198" s="31" t="str">
        <f>IFERROR(INDEX('G-1 All Habitats'!$AG$3:$AG$15,MATCH(E198,'G-1 All Habitats'!$AF$3:$AF$15,0)),"")</f>
        <v/>
      </c>
      <c r="B198" s="31" t="str">
        <f>IFERROR(INDEX('G-8 Condition Look up'!$I$4:$I$130,MATCH(G198,'G-8 Condition Look up'!$A$4:$A$130,0)),"")</f>
        <v/>
      </c>
      <c r="D198" s="141">
        <v>188</v>
      </c>
      <c r="E198" s="203"/>
      <c r="F198" s="203"/>
      <c r="G198" s="250" t="str">
        <f>IFERROR(INDEX('G-1 All Habitats'!$B$3:$B$129,MATCH(F198,'G-1 All Habitats'!$A$3:$A$129,0)),"")</f>
        <v/>
      </c>
      <c r="H198" s="172"/>
      <c r="I198" s="498" t="str">
        <f>IF(G198="","",VLOOKUP(G198,'G-1 All Habitats'!$B$2:$M$129,10,FALSE))</f>
        <v/>
      </c>
      <c r="J198" s="499" t="str">
        <f>IFERROR(VLOOKUP(I198,'G-1 All Habitats'!$V$3:$W$7,2,FALSE),"")</f>
        <v/>
      </c>
      <c r="K198" s="145"/>
      <c r="L198" s="499" t="str">
        <f>IFERROR(INDEX('G-8 Condition Look up'!$A$3:$H$130,MATCH(G198,'G-8 Condition Look up'!$A$3:$A$130,0),MATCH(K198,'G-8 Condition Look up'!$A$3:$H$3,0)),"")</f>
        <v/>
      </c>
      <c r="M198" s="154"/>
      <c r="N198" s="520" t="str">
        <f>IF(M198="","",IF(VLOOKUP(M198,'G-3 Multipliers'!$L$3:$N$6,2,FALSE)=0,"Spatial Data Missing ⚠",VLOOKUP(M198,'G-3 Multipliers'!$L$3:$N$6,2,FALSE)))</f>
        <v/>
      </c>
      <c r="O198" s="524" t="str">
        <f>IF(M198="","",IF(VLOOKUP(M198,'G-3 Multipliers'!$L$3:$N$6,3,FALSE)=0,"Spatial Data Missing ⚠",VLOOKUP(M198,'G-3 Multipliers'!$L$3:$N$6,3,FALSE)))</f>
        <v/>
      </c>
      <c r="P198" s="506" t="str">
        <f>IFERROR(VLOOKUP(G198,'G-1 All Habitats'!$B$2:$M$129,12,FALSE),"")</f>
        <v/>
      </c>
      <c r="Q198" s="513" t="str">
        <f>IFERROR(IF(P198="","",IF(AND(P198='G-1 All Habitats'!$X$3,T198&gt;0),U198+V198,IF(AND(P198='G-1 All Habitats'!$X$3,S198&gt;0),U198+V198,IF(AND(P198='G-1 All Habitats'!$X$3,AC198&gt;0),"Any Loss Unacceptable",IF(AND(P198='G-1 All Habitats'!$X$3,W198&gt;0),"Any Loss Unacceptable",H198*J198*L198*O198))))),"Check Data ⚠")</f>
        <v/>
      </c>
      <c r="R198" s="50"/>
      <c r="S198" s="71"/>
      <c r="T198" s="72"/>
      <c r="U198" s="511" t="str">
        <f t="shared" si="14"/>
        <v/>
      </c>
      <c r="V198" s="511" t="str">
        <f t="shared" si="15"/>
        <v/>
      </c>
      <c r="W198" s="511"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545" t="str">
        <f>IFERROR(IF(H198="","",IF(H198-S198-T198=0&lt;0,"Error in Areas ▲",IF(S198+T198&gt;H198,"Error in Areas ▲",IF(AND(P198='G-1 All Habitats'!$X$3,Y198="Yes"),"Alternative Compensation",IF(W198=0,0,IF(P198='G-1 All Habitats'!$X$3,"Unacceptable Loss",Q198-U198-V198)))))),"Check Data ⚠")</f>
        <v/>
      </c>
      <c r="Y198" s="72"/>
      <c r="Z198" s="151"/>
      <c r="AA198" s="152"/>
      <c r="AC198" s="251" t="str">
        <f>IF(P198="","",IF(P198='G-1 All Habitats'!$X$3,H198-S198-T198,"None"))</f>
        <v/>
      </c>
      <c r="AD198" s="252" t="str">
        <f t="shared" si="16"/>
        <v/>
      </c>
      <c r="AF198" s="156" t="str">
        <f t="shared" si="12"/>
        <v/>
      </c>
      <c r="AG198" s="156" t="str">
        <f t="shared" si="13"/>
        <v/>
      </c>
      <c r="AH198" s="156" t="str">
        <f>IF(I198="","",IF(#REF!&gt;0,TRUE,FALSE))</f>
        <v/>
      </c>
      <c r="AI198" s="156">
        <v>188</v>
      </c>
      <c r="AJ198" s="156"/>
      <c r="AK198" s="156" t="str">
        <f t="array" ref="AK198">IFERROR(INDEX($AI$11:$AI$259, MATCH(0, IF(TRUE=$AF$11:$AF$259, COUNTIF($AK$10:$AK197, $AI$11:$AI$259), ""), 0)),"")</f>
        <v/>
      </c>
      <c r="AL198" s="156" t="str">
        <f t="array" ref="AL198">IFERROR(INDEX($AI$11:$AI$259, MATCH(0, IF(TRUE=$AG$11:$AG$259, COUNTIF($AL$10:$AL197, $AI$11:$AI$259), ""), 0)),"")</f>
        <v/>
      </c>
      <c r="AM198" s="156" t="str">
        <f t="array" ref="AM198">IFERROR(INDEX($AI$11:$AI$259, MATCH(0, IF(TRUE=$AH$11:$AH$259, COUNTIF($AM$10:$AM197, $AI$11:$AI$259), ""), 0)),"")</f>
        <v/>
      </c>
      <c r="AQ198" s="31">
        <f t="shared" si="17"/>
        <v>0</v>
      </c>
    </row>
    <row r="199" spans="1:43" x14ac:dyDescent="0.25">
      <c r="A199" s="31" t="str">
        <f>IFERROR(INDEX('G-1 All Habitats'!$AG$3:$AG$15,MATCH(E199,'G-1 All Habitats'!$AF$3:$AF$15,0)),"")</f>
        <v/>
      </c>
      <c r="B199" s="31" t="str">
        <f>IFERROR(INDEX('G-8 Condition Look up'!$I$4:$I$130,MATCH(G199,'G-8 Condition Look up'!$A$4:$A$130,0)),"")</f>
        <v/>
      </c>
      <c r="D199" s="141">
        <v>189</v>
      </c>
      <c r="E199" s="203"/>
      <c r="F199" s="203"/>
      <c r="G199" s="250" t="str">
        <f>IFERROR(INDEX('G-1 All Habitats'!$B$3:$B$129,MATCH(F199,'G-1 All Habitats'!$A$3:$A$129,0)),"")</f>
        <v/>
      </c>
      <c r="H199" s="172"/>
      <c r="I199" s="498" t="str">
        <f>IF(G199="","",VLOOKUP(G199,'G-1 All Habitats'!$B$2:$M$129,10,FALSE))</f>
        <v/>
      </c>
      <c r="J199" s="499" t="str">
        <f>IFERROR(VLOOKUP(I199,'G-1 All Habitats'!$V$3:$W$7,2,FALSE),"")</f>
        <v/>
      </c>
      <c r="K199" s="145"/>
      <c r="L199" s="499" t="str">
        <f>IFERROR(INDEX('G-8 Condition Look up'!$A$3:$H$130,MATCH(G199,'G-8 Condition Look up'!$A$3:$A$130,0),MATCH(K199,'G-8 Condition Look up'!$A$3:$H$3,0)),"")</f>
        <v/>
      </c>
      <c r="M199" s="154"/>
      <c r="N199" s="520" t="str">
        <f>IF(M199="","",IF(VLOOKUP(M199,'G-3 Multipliers'!$L$3:$N$6,2,FALSE)=0,"Spatial Data Missing ⚠",VLOOKUP(M199,'G-3 Multipliers'!$L$3:$N$6,2,FALSE)))</f>
        <v/>
      </c>
      <c r="O199" s="524" t="str">
        <f>IF(M199="","",IF(VLOOKUP(M199,'G-3 Multipliers'!$L$3:$N$6,3,FALSE)=0,"Spatial Data Missing ⚠",VLOOKUP(M199,'G-3 Multipliers'!$L$3:$N$6,3,FALSE)))</f>
        <v/>
      </c>
      <c r="P199" s="506" t="str">
        <f>IFERROR(VLOOKUP(G199,'G-1 All Habitats'!$B$2:$M$129,12,FALSE),"")</f>
        <v/>
      </c>
      <c r="Q199" s="513" t="str">
        <f>IFERROR(IF(P199="","",IF(AND(P199='G-1 All Habitats'!$X$3,T199&gt;0),U199+V199,IF(AND(P199='G-1 All Habitats'!$X$3,S199&gt;0),U199+V199,IF(AND(P199='G-1 All Habitats'!$X$3,AC199&gt;0),"Any Loss Unacceptable",IF(AND(P199='G-1 All Habitats'!$X$3,W199&gt;0),"Any Loss Unacceptable",H199*J199*L199*O199))))),"Check Data ⚠")</f>
        <v/>
      </c>
      <c r="R199" s="50"/>
      <c r="S199" s="71"/>
      <c r="T199" s="72"/>
      <c r="U199" s="511" t="str">
        <f t="shared" si="14"/>
        <v/>
      </c>
      <c r="V199" s="511" t="str">
        <f t="shared" si="15"/>
        <v/>
      </c>
      <c r="W199" s="511"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545" t="str">
        <f>IFERROR(IF(H199="","",IF(H199-S199-T199=0&lt;0,"Error in Areas ▲",IF(S199+T199&gt;H199,"Error in Areas ▲",IF(AND(P199='G-1 All Habitats'!$X$3,Y199="Yes"),"Alternative Compensation",IF(W199=0,0,IF(P199='G-1 All Habitats'!$X$3,"Unacceptable Loss",Q199-U199-V199)))))),"Check Data ⚠")</f>
        <v/>
      </c>
      <c r="Y199" s="72"/>
      <c r="Z199" s="151"/>
      <c r="AA199" s="152"/>
      <c r="AC199" s="251" t="str">
        <f>IF(P199="","",IF(P199='G-1 All Habitats'!$X$3,H199-S199-T199,"None"))</f>
        <v/>
      </c>
      <c r="AD199" s="252" t="str">
        <f t="shared" si="16"/>
        <v/>
      </c>
      <c r="AF199" s="156" t="str">
        <f t="shared" si="12"/>
        <v/>
      </c>
      <c r="AG199" s="156" t="str">
        <f t="shared" si="13"/>
        <v/>
      </c>
      <c r="AH199" s="156" t="str">
        <f>IF(I199="","",IF(#REF!&gt;0,TRUE,FALSE))</f>
        <v/>
      </c>
      <c r="AI199" s="156">
        <v>189</v>
      </c>
      <c r="AJ199" s="156"/>
      <c r="AK199" s="156" t="str">
        <f t="array" ref="AK199">IFERROR(INDEX($AI$11:$AI$259, MATCH(0, IF(TRUE=$AF$11:$AF$259, COUNTIF($AK$10:$AK198, $AI$11:$AI$259), ""), 0)),"")</f>
        <v/>
      </c>
      <c r="AL199" s="156" t="str">
        <f t="array" ref="AL199">IFERROR(INDEX($AI$11:$AI$259, MATCH(0, IF(TRUE=$AG$11:$AG$259, COUNTIF($AL$10:$AL198, $AI$11:$AI$259), ""), 0)),"")</f>
        <v/>
      </c>
      <c r="AM199" s="156" t="str">
        <f t="array" ref="AM199">IFERROR(INDEX($AI$11:$AI$259, MATCH(0, IF(TRUE=$AH$11:$AH$259, COUNTIF($AM$10:$AM198, $AI$11:$AI$259), ""), 0)),"")</f>
        <v/>
      </c>
      <c r="AQ199" s="31">
        <f t="shared" si="17"/>
        <v>0</v>
      </c>
    </row>
    <row r="200" spans="1:43" x14ac:dyDescent="0.25">
      <c r="A200" s="31" t="str">
        <f>IFERROR(INDEX('G-1 All Habitats'!$AG$3:$AG$15,MATCH(E200,'G-1 All Habitats'!$AF$3:$AF$15,0)),"")</f>
        <v/>
      </c>
      <c r="B200" s="31" t="str">
        <f>IFERROR(INDEX('G-8 Condition Look up'!$I$4:$I$130,MATCH(G200,'G-8 Condition Look up'!$A$4:$A$130,0)),"")</f>
        <v/>
      </c>
      <c r="D200" s="141">
        <v>190</v>
      </c>
      <c r="E200" s="203"/>
      <c r="F200" s="203"/>
      <c r="G200" s="250" t="str">
        <f>IFERROR(INDEX('G-1 All Habitats'!$B$3:$B$129,MATCH(F200,'G-1 All Habitats'!$A$3:$A$129,0)),"")</f>
        <v/>
      </c>
      <c r="H200" s="172"/>
      <c r="I200" s="498" t="str">
        <f>IF(G200="","",VLOOKUP(G200,'G-1 All Habitats'!$B$2:$M$129,10,FALSE))</f>
        <v/>
      </c>
      <c r="J200" s="499" t="str">
        <f>IFERROR(VLOOKUP(I200,'G-1 All Habitats'!$V$3:$W$7,2,FALSE),"")</f>
        <v/>
      </c>
      <c r="K200" s="145"/>
      <c r="L200" s="499" t="str">
        <f>IFERROR(INDEX('G-8 Condition Look up'!$A$3:$H$130,MATCH(G200,'G-8 Condition Look up'!$A$3:$A$130,0),MATCH(K200,'G-8 Condition Look up'!$A$3:$H$3,0)),"")</f>
        <v/>
      </c>
      <c r="M200" s="154"/>
      <c r="N200" s="520" t="str">
        <f>IF(M200="","",IF(VLOOKUP(M200,'G-3 Multipliers'!$L$3:$N$6,2,FALSE)=0,"Spatial Data Missing ⚠",VLOOKUP(M200,'G-3 Multipliers'!$L$3:$N$6,2,FALSE)))</f>
        <v/>
      </c>
      <c r="O200" s="524" t="str">
        <f>IF(M200="","",IF(VLOOKUP(M200,'G-3 Multipliers'!$L$3:$N$6,3,FALSE)=0,"Spatial Data Missing ⚠",VLOOKUP(M200,'G-3 Multipliers'!$L$3:$N$6,3,FALSE)))</f>
        <v/>
      </c>
      <c r="P200" s="506" t="str">
        <f>IFERROR(VLOOKUP(G200,'G-1 All Habitats'!$B$2:$M$129,12,FALSE),"")</f>
        <v/>
      </c>
      <c r="Q200" s="513" t="str">
        <f>IFERROR(IF(P200="","",IF(AND(P200='G-1 All Habitats'!$X$3,T200&gt;0),U200+V200,IF(AND(P200='G-1 All Habitats'!$X$3,S200&gt;0),U200+V200,IF(AND(P200='G-1 All Habitats'!$X$3,AC200&gt;0),"Any Loss Unacceptable",IF(AND(P200='G-1 All Habitats'!$X$3,W200&gt;0),"Any Loss Unacceptable",H200*J200*L200*O200))))),"Check Data ⚠")</f>
        <v/>
      </c>
      <c r="R200" s="50"/>
      <c r="S200" s="71"/>
      <c r="T200" s="72"/>
      <c r="U200" s="511" t="str">
        <f t="shared" si="14"/>
        <v/>
      </c>
      <c r="V200" s="511" t="str">
        <f t="shared" si="15"/>
        <v/>
      </c>
      <c r="W200" s="511"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545" t="str">
        <f>IFERROR(IF(H200="","",IF(H200-S200-T200=0&lt;0,"Error in Areas ▲",IF(S200+T200&gt;H200,"Error in Areas ▲",IF(AND(P200='G-1 All Habitats'!$X$3,Y200="Yes"),"Alternative Compensation",IF(W200=0,0,IF(P200='G-1 All Habitats'!$X$3,"Unacceptable Loss",Q200-U200-V200)))))),"Check Data ⚠")</f>
        <v/>
      </c>
      <c r="Y200" s="72"/>
      <c r="Z200" s="151"/>
      <c r="AA200" s="152"/>
      <c r="AC200" s="251" t="str">
        <f>IF(P200="","",IF(P200='G-1 All Habitats'!$X$3,H200-S200-T200,"None"))</f>
        <v/>
      </c>
      <c r="AD200" s="252" t="str">
        <f t="shared" si="16"/>
        <v/>
      </c>
      <c r="AF200" s="156" t="str">
        <f t="shared" si="12"/>
        <v/>
      </c>
      <c r="AG200" s="156" t="str">
        <f t="shared" si="13"/>
        <v/>
      </c>
      <c r="AH200" s="156" t="str">
        <f>IF(I200="","",IF(#REF!&gt;0,TRUE,FALSE))</f>
        <v/>
      </c>
      <c r="AI200" s="156">
        <v>190</v>
      </c>
      <c r="AJ200" s="156"/>
      <c r="AK200" s="156" t="str">
        <f t="array" ref="AK200">IFERROR(INDEX($AI$11:$AI$259, MATCH(0, IF(TRUE=$AF$11:$AF$259, COUNTIF($AK$10:$AK199, $AI$11:$AI$259), ""), 0)),"")</f>
        <v/>
      </c>
      <c r="AL200" s="156" t="str">
        <f t="array" ref="AL200">IFERROR(INDEX($AI$11:$AI$259, MATCH(0, IF(TRUE=$AG$11:$AG$259, COUNTIF($AL$10:$AL199, $AI$11:$AI$259), ""), 0)),"")</f>
        <v/>
      </c>
      <c r="AM200" s="156" t="str">
        <f t="array" ref="AM200">IFERROR(INDEX($AI$11:$AI$259, MATCH(0, IF(TRUE=$AH$11:$AH$259, COUNTIF($AM$10:$AM199, $AI$11:$AI$259), ""), 0)),"")</f>
        <v/>
      </c>
      <c r="AQ200" s="31">
        <f t="shared" si="17"/>
        <v>0</v>
      </c>
    </row>
    <row r="201" spans="1:43" x14ac:dyDescent="0.25">
      <c r="A201" s="31" t="str">
        <f>IFERROR(INDEX('G-1 All Habitats'!$AG$3:$AG$15,MATCH(E201,'G-1 All Habitats'!$AF$3:$AF$15,0)),"")</f>
        <v/>
      </c>
      <c r="B201" s="31" t="str">
        <f>IFERROR(INDEX('G-8 Condition Look up'!$I$4:$I$130,MATCH(G201,'G-8 Condition Look up'!$A$4:$A$130,0)),"")</f>
        <v/>
      </c>
      <c r="D201" s="141">
        <v>191</v>
      </c>
      <c r="E201" s="203"/>
      <c r="F201" s="203"/>
      <c r="G201" s="250" t="str">
        <f>IFERROR(INDEX('G-1 All Habitats'!$B$3:$B$129,MATCH(F201,'G-1 All Habitats'!$A$3:$A$129,0)),"")</f>
        <v/>
      </c>
      <c r="H201" s="172"/>
      <c r="I201" s="498" t="str">
        <f>IF(G201="","",VLOOKUP(G201,'G-1 All Habitats'!$B$2:$M$129,10,FALSE))</f>
        <v/>
      </c>
      <c r="J201" s="499" t="str">
        <f>IFERROR(VLOOKUP(I201,'G-1 All Habitats'!$V$3:$W$7,2,FALSE),"")</f>
        <v/>
      </c>
      <c r="K201" s="145"/>
      <c r="L201" s="499" t="str">
        <f>IFERROR(INDEX('G-8 Condition Look up'!$A$3:$H$130,MATCH(G201,'G-8 Condition Look up'!$A$3:$A$130,0),MATCH(K201,'G-8 Condition Look up'!$A$3:$H$3,0)),"")</f>
        <v/>
      </c>
      <c r="M201" s="154"/>
      <c r="N201" s="520" t="str">
        <f>IF(M201="","",IF(VLOOKUP(M201,'G-3 Multipliers'!$L$3:$N$6,2,FALSE)=0,"Spatial Data Missing ⚠",VLOOKUP(M201,'G-3 Multipliers'!$L$3:$N$6,2,FALSE)))</f>
        <v/>
      </c>
      <c r="O201" s="524" t="str">
        <f>IF(M201="","",IF(VLOOKUP(M201,'G-3 Multipliers'!$L$3:$N$6,3,FALSE)=0,"Spatial Data Missing ⚠",VLOOKUP(M201,'G-3 Multipliers'!$L$3:$N$6,3,FALSE)))</f>
        <v/>
      </c>
      <c r="P201" s="506" t="str">
        <f>IFERROR(VLOOKUP(G201,'G-1 All Habitats'!$B$2:$M$129,12,FALSE),"")</f>
        <v/>
      </c>
      <c r="Q201" s="513" t="str">
        <f>IFERROR(IF(P201="","",IF(AND(P201='G-1 All Habitats'!$X$3,T201&gt;0),U201+V201,IF(AND(P201='G-1 All Habitats'!$X$3,S201&gt;0),U201+V201,IF(AND(P201='G-1 All Habitats'!$X$3,AC201&gt;0),"Any Loss Unacceptable",IF(AND(P201='G-1 All Habitats'!$X$3,W201&gt;0),"Any Loss Unacceptable",H201*J201*L201*O201))))),"Check Data ⚠")</f>
        <v/>
      </c>
      <c r="R201" s="50"/>
      <c r="S201" s="71"/>
      <c r="T201" s="72"/>
      <c r="U201" s="511" t="str">
        <f t="shared" si="14"/>
        <v/>
      </c>
      <c r="V201" s="511" t="str">
        <f t="shared" si="15"/>
        <v/>
      </c>
      <c r="W201" s="511"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545" t="str">
        <f>IFERROR(IF(H201="","",IF(H201-S201-T201=0&lt;0,"Error in Areas ▲",IF(S201+T201&gt;H201,"Error in Areas ▲",IF(AND(P201='G-1 All Habitats'!$X$3,Y201="Yes"),"Alternative Compensation",IF(W201=0,0,IF(P201='G-1 All Habitats'!$X$3,"Unacceptable Loss",Q201-U201-V201)))))),"Check Data ⚠")</f>
        <v/>
      </c>
      <c r="Y201" s="72"/>
      <c r="Z201" s="151"/>
      <c r="AA201" s="152"/>
      <c r="AC201" s="251" t="str">
        <f>IF(P201="","",IF(P201='G-1 All Habitats'!$X$3,H201-S201-T201,"None"))</f>
        <v/>
      </c>
      <c r="AD201" s="252" t="str">
        <f t="shared" si="16"/>
        <v/>
      </c>
      <c r="AF201" s="156" t="str">
        <f t="shared" si="12"/>
        <v/>
      </c>
      <c r="AG201" s="156" t="str">
        <f t="shared" si="13"/>
        <v/>
      </c>
      <c r="AH201" s="156" t="str">
        <f>IF(I201="","",IF(#REF!&gt;0,TRUE,FALSE))</f>
        <v/>
      </c>
      <c r="AI201" s="156">
        <v>191</v>
      </c>
      <c r="AJ201" s="156"/>
      <c r="AK201" s="156" t="str">
        <f t="array" ref="AK201">IFERROR(INDEX($AI$11:$AI$259, MATCH(0, IF(TRUE=$AF$11:$AF$259, COUNTIF($AK$10:$AK200, $AI$11:$AI$259), ""), 0)),"")</f>
        <v/>
      </c>
      <c r="AL201" s="156" t="str">
        <f t="array" ref="AL201">IFERROR(INDEX($AI$11:$AI$259, MATCH(0, IF(TRUE=$AG$11:$AG$259, COUNTIF($AL$10:$AL200, $AI$11:$AI$259), ""), 0)),"")</f>
        <v/>
      </c>
      <c r="AM201" s="156" t="str">
        <f t="array" ref="AM201">IFERROR(INDEX($AI$11:$AI$259, MATCH(0, IF(TRUE=$AH$11:$AH$259, COUNTIF($AM$10:$AM200, $AI$11:$AI$259), ""), 0)),"")</f>
        <v/>
      </c>
      <c r="AQ201" s="31">
        <f t="shared" si="17"/>
        <v>0</v>
      </c>
    </row>
    <row r="202" spans="1:43" x14ac:dyDescent="0.25">
      <c r="A202" s="31" t="str">
        <f>IFERROR(INDEX('G-1 All Habitats'!$AG$3:$AG$15,MATCH(E202,'G-1 All Habitats'!$AF$3:$AF$15,0)),"")</f>
        <v/>
      </c>
      <c r="B202" s="31" t="str">
        <f>IFERROR(INDEX('G-8 Condition Look up'!$I$4:$I$130,MATCH(G202,'G-8 Condition Look up'!$A$4:$A$130,0)),"")</f>
        <v/>
      </c>
      <c r="D202" s="141">
        <v>192</v>
      </c>
      <c r="E202" s="203"/>
      <c r="F202" s="203"/>
      <c r="G202" s="250" t="str">
        <f>IFERROR(INDEX('G-1 All Habitats'!$B$3:$B$129,MATCH(F202,'G-1 All Habitats'!$A$3:$A$129,0)),"")</f>
        <v/>
      </c>
      <c r="H202" s="172"/>
      <c r="I202" s="498" t="str">
        <f>IF(G202="","",VLOOKUP(G202,'G-1 All Habitats'!$B$2:$M$129,10,FALSE))</f>
        <v/>
      </c>
      <c r="J202" s="499" t="str">
        <f>IFERROR(VLOOKUP(I202,'G-1 All Habitats'!$V$3:$W$7,2,FALSE),"")</f>
        <v/>
      </c>
      <c r="K202" s="145"/>
      <c r="L202" s="499" t="str">
        <f>IFERROR(INDEX('G-8 Condition Look up'!$A$3:$H$130,MATCH(G202,'G-8 Condition Look up'!$A$3:$A$130,0),MATCH(K202,'G-8 Condition Look up'!$A$3:$H$3,0)),"")</f>
        <v/>
      </c>
      <c r="M202" s="154"/>
      <c r="N202" s="520" t="str">
        <f>IF(M202="","",IF(VLOOKUP(M202,'G-3 Multipliers'!$L$3:$N$6,2,FALSE)=0,"Spatial Data Missing ⚠",VLOOKUP(M202,'G-3 Multipliers'!$L$3:$N$6,2,FALSE)))</f>
        <v/>
      </c>
      <c r="O202" s="524" t="str">
        <f>IF(M202="","",IF(VLOOKUP(M202,'G-3 Multipliers'!$L$3:$N$6,3,FALSE)=0,"Spatial Data Missing ⚠",VLOOKUP(M202,'G-3 Multipliers'!$L$3:$N$6,3,FALSE)))</f>
        <v/>
      </c>
      <c r="P202" s="506" t="str">
        <f>IFERROR(VLOOKUP(G202,'G-1 All Habitats'!$B$2:$M$129,12,FALSE),"")</f>
        <v/>
      </c>
      <c r="Q202" s="513" t="str">
        <f>IFERROR(IF(P202="","",IF(AND(P202='G-1 All Habitats'!$X$3,T202&gt;0),U202+V202,IF(AND(P202='G-1 All Habitats'!$X$3,S202&gt;0),U202+V202,IF(AND(P202='G-1 All Habitats'!$X$3,AC202&gt;0),"Any Loss Unacceptable",IF(AND(P202='G-1 All Habitats'!$X$3,W202&gt;0),"Any Loss Unacceptable",H202*J202*L202*O202))))),"Check Data ⚠")</f>
        <v/>
      </c>
      <c r="R202" s="50"/>
      <c r="S202" s="71"/>
      <c r="T202" s="72"/>
      <c r="U202" s="511" t="str">
        <f t="shared" si="14"/>
        <v/>
      </c>
      <c r="V202" s="511" t="str">
        <f t="shared" si="15"/>
        <v/>
      </c>
      <c r="W202" s="511"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545" t="str">
        <f>IFERROR(IF(H202="","",IF(H202-S202-T202=0&lt;0,"Error in Areas ▲",IF(S202+T202&gt;H202,"Error in Areas ▲",IF(AND(P202='G-1 All Habitats'!$X$3,Y202="Yes"),"Alternative Compensation",IF(W202=0,0,IF(P202='G-1 All Habitats'!$X$3,"Unacceptable Loss",Q202-U202-V202)))))),"Check Data ⚠")</f>
        <v/>
      </c>
      <c r="Y202" s="72"/>
      <c r="Z202" s="151"/>
      <c r="AA202" s="152"/>
      <c r="AC202" s="251" t="str">
        <f>IF(P202="","",IF(P202='G-1 All Habitats'!$X$3,H202-S202-T202,"None"))</f>
        <v/>
      </c>
      <c r="AD202" s="252" t="str">
        <f t="shared" si="16"/>
        <v/>
      </c>
      <c r="AF202" s="156" t="str">
        <f t="shared" si="12"/>
        <v/>
      </c>
      <c r="AG202" s="156" t="str">
        <f t="shared" si="13"/>
        <v/>
      </c>
      <c r="AH202" s="156" t="str">
        <f>IF(I202="","",IF(#REF!&gt;0,TRUE,FALSE))</f>
        <v/>
      </c>
      <c r="AI202" s="156">
        <v>192</v>
      </c>
      <c r="AJ202" s="156"/>
      <c r="AK202" s="156" t="str">
        <f t="array" ref="AK202">IFERROR(INDEX($AI$11:$AI$259, MATCH(0, IF(TRUE=$AF$11:$AF$259, COUNTIF($AK$10:$AK201, $AI$11:$AI$259), ""), 0)),"")</f>
        <v/>
      </c>
      <c r="AL202" s="156" t="str">
        <f t="array" ref="AL202">IFERROR(INDEX($AI$11:$AI$259, MATCH(0, IF(TRUE=$AG$11:$AG$259, COUNTIF($AL$10:$AL201, $AI$11:$AI$259), ""), 0)),"")</f>
        <v/>
      </c>
      <c r="AM202" s="156" t="str">
        <f t="array" ref="AM202">IFERROR(INDEX($AI$11:$AI$259, MATCH(0, IF(TRUE=$AH$11:$AH$259, COUNTIF($AM$10:$AM201, $AI$11:$AI$259), ""), 0)),"")</f>
        <v/>
      </c>
      <c r="AQ202" s="31">
        <f t="shared" si="17"/>
        <v>0</v>
      </c>
    </row>
    <row r="203" spans="1:43" x14ac:dyDescent="0.25">
      <c r="A203" s="31" t="str">
        <f>IFERROR(INDEX('G-1 All Habitats'!$AG$3:$AG$15,MATCH(E203,'G-1 All Habitats'!$AF$3:$AF$15,0)),"")</f>
        <v/>
      </c>
      <c r="B203" s="31" t="str">
        <f>IFERROR(INDEX('G-8 Condition Look up'!$I$4:$I$130,MATCH(G203,'G-8 Condition Look up'!$A$4:$A$130,0)),"")</f>
        <v/>
      </c>
      <c r="D203" s="141">
        <v>193</v>
      </c>
      <c r="E203" s="203"/>
      <c r="F203" s="203"/>
      <c r="G203" s="250" t="str">
        <f>IFERROR(INDEX('G-1 All Habitats'!$B$3:$B$129,MATCH(F203,'G-1 All Habitats'!$A$3:$A$129,0)),"")</f>
        <v/>
      </c>
      <c r="H203" s="172"/>
      <c r="I203" s="498" t="str">
        <f>IF(G203="","",VLOOKUP(G203,'G-1 All Habitats'!$B$2:$M$129,10,FALSE))</f>
        <v/>
      </c>
      <c r="J203" s="499" t="str">
        <f>IFERROR(VLOOKUP(I203,'G-1 All Habitats'!$V$3:$W$7,2,FALSE),"")</f>
        <v/>
      </c>
      <c r="K203" s="145"/>
      <c r="L203" s="499" t="str">
        <f>IFERROR(INDEX('G-8 Condition Look up'!$A$3:$H$130,MATCH(G203,'G-8 Condition Look up'!$A$3:$A$130,0),MATCH(K203,'G-8 Condition Look up'!$A$3:$H$3,0)),"")</f>
        <v/>
      </c>
      <c r="M203" s="154"/>
      <c r="N203" s="520" t="str">
        <f>IF(M203="","",IF(VLOOKUP(M203,'G-3 Multipliers'!$L$3:$N$6,2,FALSE)=0,"Spatial Data Missing ⚠",VLOOKUP(M203,'G-3 Multipliers'!$L$3:$N$6,2,FALSE)))</f>
        <v/>
      </c>
      <c r="O203" s="524" t="str">
        <f>IF(M203="","",IF(VLOOKUP(M203,'G-3 Multipliers'!$L$3:$N$6,3,FALSE)=0,"Spatial Data Missing ⚠",VLOOKUP(M203,'G-3 Multipliers'!$L$3:$N$6,3,FALSE)))</f>
        <v/>
      </c>
      <c r="P203" s="506" t="str">
        <f>IFERROR(VLOOKUP(G203,'G-1 All Habitats'!$B$2:$M$129,12,FALSE),"")</f>
        <v/>
      </c>
      <c r="Q203" s="513" t="str">
        <f>IFERROR(IF(P203="","",IF(AND(P203='G-1 All Habitats'!$X$3,T203&gt;0),U203+V203,IF(AND(P203='G-1 All Habitats'!$X$3,S203&gt;0),U203+V203,IF(AND(P203='G-1 All Habitats'!$X$3,AC203&gt;0),"Any Loss Unacceptable",IF(AND(P203='G-1 All Habitats'!$X$3,W203&gt;0),"Any Loss Unacceptable",H203*J203*L203*O203))))),"Check Data ⚠")</f>
        <v/>
      </c>
      <c r="R203" s="50"/>
      <c r="S203" s="71"/>
      <c r="T203" s="72"/>
      <c r="U203" s="511" t="str">
        <f t="shared" si="14"/>
        <v/>
      </c>
      <c r="V203" s="511" t="str">
        <f t="shared" si="15"/>
        <v/>
      </c>
      <c r="W203" s="511"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545" t="str">
        <f>IFERROR(IF(H203="","",IF(H203-S203-T203=0&lt;0,"Error in Areas ▲",IF(S203+T203&gt;H203,"Error in Areas ▲",IF(AND(P203='G-1 All Habitats'!$X$3,Y203="Yes"),"Alternative Compensation",IF(W203=0,0,IF(P203='G-1 All Habitats'!$X$3,"Unacceptable Loss",Q203-U203-V203)))))),"Check Data ⚠")</f>
        <v/>
      </c>
      <c r="Y203" s="72"/>
      <c r="Z203" s="151"/>
      <c r="AA203" s="152"/>
      <c r="AC203" s="251" t="str">
        <f>IF(P203="","",IF(P203='G-1 All Habitats'!$X$3,H203-S203-T203,"None"))</f>
        <v/>
      </c>
      <c r="AD203" s="252" t="str">
        <f t="shared" si="16"/>
        <v/>
      </c>
      <c r="AF203" s="156" t="str">
        <f t="shared" ref="AF203:AF258" si="18">IF(G203="","",IF(S203&gt;0,TRUE,FALSE))</f>
        <v/>
      </c>
      <c r="AG203" s="156" t="str">
        <f t="shared" ref="AG203:AG258" si="19">IF(H203="","",IF(T203&gt;0,TRUE,FALSE))</f>
        <v/>
      </c>
      <c r="AH203" s="156" t="str">
        <f>IF(I203="","",IF(#REF!&gt;0,TRUE,FALSE))</f>
        <v/>
      </c>
      <c r="AI203" s="156">
        <v>193</v>
      </c>
      <c r="AJ203" s="156"/>
      <c r="AK203" s="156" t="str">
        <f t="array" ref="AK203">IFERROR(INDEX($AI$11:$AI$259, MATCH(0, IF(TRUE=$AF$11:$AF$259, COUNTIF($AK$10:$AK202, $AI$11:$AI$259), ""), 0)),"")</f>
        <v/>
      </c>
      <c r="AL203" s="156" t="str">
        <f t="array" ref="AL203">IFERROR(INDEX($AI$11:$AI$259, MATCH(0, IF(TRUE=$AG$11:$AG$259, COUNTIF($AL$10:$AL202, $AI$11:$AI$259), ""), 0)),"")</f>
        <v/>
      </c>
      <c r="AM203" s="156" t="str">
        <f t="array" ref="AM203">IFERROR(INDEX($AI$11:$AI$259, MATCH(0, IF(TRUE=$AH$11:$AH$259, COUNTIF($AM$10:$AM202, $AI$11:$AI$259), ""), 0)),"")</f>
        <v/>
      </c>
      <c r="AQ203" s="31">
        <f t="shared" si="17"/>
        <v>0</v>
      </c>
    </row>
    <row r="204" spans="1:43" x14ac:dyDescent="0.25">
      <c r="A204" s="31" t="str">
        <f>IFERROR(INDEX('G-1 All Habitats'!$AG$3:$AG$15,MATCH(E204,'G-1 All Habitats'!$AF$3:$AF$15,0)),"")</f>
        <v/>
      </c>
      <c r="B204" s="31" t="str">
        <f>IFERROR(INDEX('G-8 Condition Look up'!$I$4:$I$130,MATCH(G204,'G-8 Condition Look up'!$A$4:$A$130,0)),"")</f>
        <v/>
      </c>
      <c r="D204" s="141">
        <v>194</v>
      </c>
      <c r="E204" s="203"/>
      <c r="F204" s="203"/>
      <c r="G204" s="250" t="str">
        <f>IFERROR(INDEX('G-1 All Habitats'!$B$3:$B$129,MATCH(F204,'G-1 All Habitats'!$A$3:$A$129,0)),"")</f>
        <v/>
      </c>
      <c r="H204" s="172"/>
      <c r="I204" s="498" t="str">
        <f>IF(G204="","",VLOOKUP(G204,'G-1 All Habitats'!$B$2:$M$129,10,FALSE))</f>
        <v/>
      </c>
      <c r="J204" s="499" t="str">
        <f>IFERROR(VLOOKUP(I204,'G-1 All Habitats'!$V$3:$W$7,2,FALSE),"")</f>
        <v/>
      </c>
      <c r="K204" s="145"/>
      <c r="L204" s="499" t="str">
        <f>IFERROR(INDEX('G-8 Condition Look up'!$A$3:$H$130,MATCH(G204,'G-8 Condition Look up'!$A$3:$A$130,0),MATCH(K204,'G-8 Condition Look up'!$A$3:$H$3,0)),"")</f>
        <v/>
      </c>
      <c r="M204" s="154"/>
      <c r="N204" s="520" t="str">
        <f>IF(M204="","",IF(VLOOKUP(M204,'G-3 Multipliers'!$L$3:$N$6,2,FALSE)=0,"Spatial Data Missing ⚠",VLOOKUP(M204,'G-3 Multipliers'!$L$3:$N$6,2,FALSE)))</f>
        <v/>
      </c>
      <c r="O204" s="524" t="str">
        <f>IF(M204="","",IF(VLOOKUP(M204,'G-3 Multipliers'!$L$3:$N$6,3,FALSE)=0,"Spatial Data Missing ⚠",VLOOKUP(M204,'G-3 Multipliers'!$L$3:$N$6,3,FALSE)))</f>
        <v/>
      </c>
      <c r="P204" s="506" t="str">
        <f>IFERROR(VLOOKUP(G204,'G-1 All Habitats'!$B$2:$M$129,12,FALSE),"")</f>
        <v/>
      </c>
      <c r="Q204" s="513" t="str">
        <f>IFERROR(IF(P204="","",IF(AND(P204='G-1 All Habitats'!$X$3,T204&gt;0),U204+V204,IF(AND(P204='G-1 All Habitats'!$X$3,S204&gt;0),U204+V204,IF(AND(P204='G-1 All Habitats'!$X$3,AC204&gt;0),"Any Loss Unacceptable",IF(AND(P204='G-1 All Habitats'!$X$3,W204&gt;0),"Any Loss Unacceptable",H204*J204*L204*O204))))),"Check Data ⚠")</f>
        <v/>
      </c>
      <c r="R204" s="50"/>
      <c r="S204" s="71"/>
      <c r="T204" s="72"/>
      <c r="U204" s="511" t="str">
        <f t="shared" ref="U204:U258" si="20">IFERROR(S204*J204*L204*O204,"")</f>
        <v/>
      </c>
      <c r="V204" s="511" t="str">
        <f t="shared" ref="V204:V258" si="21">IFERROR(T204*J204*L204*O204,"")</f>
        <v/>
      </c>
      <c r="W204" s="511"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545" t="str">
        <f>IFERROR(IF(H204="","",IF(H204-S204-T204=0&lt;0,"Error in Areas ▲",IF(S204+T204&gt;H204,"Error in Areas ▲",IF(AND(P204='G-1 All Habitats'!$X$3,Y204="Yes"),"Alternative Compensation",IF(W204=0,0,IF(P204='G-1 All Habitats'!$X$3,"Unacceptable Loss",Q204-U204-V204)))))),"Check Data ⚠")</f>
        <v/>
      </c>
      <c r="Y204" s="72"/>
      <c r="Z204" s="151"/>
      <c r="AA204" s="152"/>
      <c r="AC204" s="251" t="str">
        <f>IF(P204="","",IF(P204='G-1 All Habitats'!$X$3,H204-S204-T204,"None"))</f>
        <v/>
      </c>
      <c r="AD204" s="252" t="str">
        <f t="shared" ref="AD204:AD258" si="22">IFERROR(AC204*J204*L204*O204,IF(P204="","","None"))</f>
        <v/>
      </c>
      <c r="AF204" s="156" t="str">
        <f t="shared" si="18"/>
        <v/>
      </c>
      <c r="AG204" s="156" t="str">
        <f t="shared" si="19"/>
        <v/>
      </c>
      <c r="AH204" s="156" t="str">
        <f>IF(I204="","",IF(#REF!&gt;0,TRUE,FALSE))</f>
        <v/>
      </c>
      <c r="AI204" s="156">
        <v>194</v>
      </c>
      <c r="AJ204" s="156"/>
      <c r="AK204" s="156" t="str">
        <f t="array" ref="AK204">IFERROR(INDEX($AI$11:$AI$259, MATCH(0, IF(TRUE=$AF$11:$AF$259, COUNTIF($AK$10:$AK203, $AI$11:$AI$259), ""), 0)),"")</f>
        <v/>
      </c>
      <c r="AL204" s="156" t="str">
        <f t="array" ref="AL204">IFERROR(INDEX($AI$11:$AI$259, MATCH(0, IF(TRUE=$AG$11:$AG$259, COUNTIF($AL$10:$AL203, $AI$11:$AI$259), ""), 0)),"")</f>
        <v/>
      </c>
      <c r="AM204" s="156" t="str">
        <f t="array" ref="AM204">IFERROR(INDEX($AI$11:$AI$259, MATCH(0, IF(TRUE=$AH$11:$AH$259, COUNTIF($AM$10:$AM203, $AI$11:$AI$259), ""), 0)),"")</f>
        <v/>
      </c>
      <c r="AQ204" s="31">
        <f t="shared" ref="AQ204:AQ258" si="23">IF(X204="Unacceptable Loss",1,0)</f>
        <v>0</v>
      </c>
    </row>
    <row r="205" spans="1:43" x14ac:dyDescent="0.25">
      <c r="A205" s="31" t="str">
        <f>IFERROR(INDEX('G-1 All Habitats'!$AG$3:$AG$15,MATCH(E205,'G-1 All Habitats'!$AF$3:$AF$15,0)),"")</f>
        <v/>
      </c>
      <c r="B205" s="31" t="str">
        <f>IFERROR(INDEX('G-8 Condition Look up'!$I$4:$I$130,MATCH(G205,'G-8 Condition Look up'!$A$4:$A$130,0)),"")</f>
        <v/>
      </c>
      <c r="D205" s="141">
        <v>195</v>
      </c>
      <c r="E205" s="203"/>
      <c r="F205" s="203"/>
      <c r="G205" s="250" t="str">
        <f>IFERROR(INDEX('G-1 All Habitats'!$B$3:$B$129,MATCH(F205,'G-1 All Habitats'!$A$3:$A$129,0)),"")</f>
        <v/>
      </c>
      <c r="H205" s="172"/>
      <c r="I205" s="498" t="str">
        <f>IF(G205="","",VLOOKUP(G205,'G-1 All Habitats'!$B$2:$M$129,10,FALSE))</f>
        <v/>
      </c>
      <c r="J205" s="499" t="str">
        <f>IFERROR(VLOOKUP(I205,'G-1 All Habitats'!$V$3:$W$7,2,FALSE),"")</f>
        <v/>
      </c>
      <c r="K205" s="145"/>
      <c r="L205" s="499" t="str">
        <f>IFERROR(INDEX('G-8 Condition Look up'!$A$3:$H$130,MATCH(G205,'G-8 Condition Look up'!$A$3:$A$130,0),MATCH(K205,'G-8 Condition Look up'!$A$3:$H$3,0)),"")</f>
        <v/>
      </c>
      <c r="M205" s="154"/>
      <c r="N205" s="520" t="str">
        <f>IF(M205="","",IF(VLOOKUP(M205,'G-3 Multipliers'!$L$3:$N$6,2,FALSE)=0,"Spatial Data Missing ⚠",VLOOKUP(M205,'G-3 Multipliers'!$L$3:$N$6,2,FALSE)))</f>
        <v/>
      </c>
      <c r="O205" s="524" t="str">
        <f>IF(M205="","",IF(VLOOKUP(M205,'G-3 Multipliers'!$L$3:$N$6,3,FALSE)=0,"Spatial Data Missing ⚠",VLOOKUP(M205,'G-3 Multipliers'!$L$3:$N$6,3,FALSE)))</f>
        <v/>
      </c>
      <c r="P205" s="506" t="str">
        <f>IFERROR(VLOOKUP(G205,'G-1 All Habitats'!$B$2:$M$129,12,FALSE),"")</f>
        <v/>
      </c>
      <c r="Q205" s="513" t="str">
        <f>IFERROR(IF(P205="","",IF(AND(P205='G-1 All Habitats'!$X$3,T205&gt;0),U205+V205,IF(AND(P205='G-1 All Habitats'!$X$3,S205&gt;0),U205+V205,IF(AND(P205='G-1 All Habitats'!$X$3,AC205&gt;0),"Any Loss Unacceptable",IF(AND(P205='G-1 All Habitats'!$X$3,W205&gt;0),"Any Loss Unacceptable",H205*J205*L205*O205))))),"Check Data ⚠")</f>
        <v/>
      </c>
      <c r="R205" s="50"/>
      <c r="S205" s="71"/>
      <c r="T205" s="72"/>
      <c r="U205" s="511" t="str">
        <f t="shared" si="20"/>
        <v/>
      </c>
      <c r="V205" s="511" t="str">
        <f t="shared" si="21"/>
        <v/>
      </c>
      <c r="W205" s="511"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545" t="str">
        <f>IFERROR(IF(H205="","",IF(H205-S205-T205=0&lt;0,"Error in Areas ▲",IF(S205+T205&gt;H205,"Error in Areas ▲",IF(AND(P205='G-1 All Habitats'!$X$3,Y205="Yes"),"Alternative Compensation",IF(W205=0,0,IF(P205='G-1 All Habitats'!$X$3,"Unacceptable Loss",Q205-U205-V205)))))),"Check Data ⚠")</f>
        <v/>
      </c>
      <c r="Y205" s="72"/>
      <c r="Z205" s="151"/>
      <c r="AA205" s="152"/>
      <c r="AC205" s="251" t="str">
        <f>IF(P205="","",IF(P205='G-1 All Habitats'!$X$3,H205-S205-T205,"None"))</f>
        <v/>
      </c>
      <c r="AD205" s="252" t="str">
        <f t="shared" si="22"/>
        <v/>
      </c>
      <c r="AF205" s="156" t="str">
        <f t="shared" si="18"/>
        <v/>
      </c>
      <c r="AG205" s="156" t="str">
        <f t="shared" si="19"/>
        <v/>
      </c>
      <c r="AH205" s="156" t="str">
        <f>IF(I205="","",IF(#REF!&gt;0,TRUE,FALSE))</f>
        <v/>
      </c>
      <c r="AI205" s="156">
        <v>195</v>
      </c>
      <c r="AJ205" s="156"/>
      <c r="AK205" s="156" t="str">
        <f t="array" ref="AK205">IFERROR(INDEX($AI$11:$AI$259, MATCH(0, IF(TRUE=$AF$11:$AF$259, COUNTIF($AK$10:$AK204, $AI$11:$AI$259), ""), 0)),"")</f>
        <v/>
      </c>
      <c r="AL205" s="156" t="str">
        <f t="array" ref="AL205">IFERROR(INDEX($AI$11:$AI$259, MATCH(0, IF(TRUE=$AG$11:$AG$259, COUNTIF($AL$10:$AL204, $AI$11:$AI$259), ""), 0)),"")</f>
        <v/>
      </c>
      <c r="AM205" s="156" t="str">
        <f t="array" ref="AM205">IFERROR(INDEX($AI$11:$AI$259, MATCH(0, IF(TRUE=$AH$11:$AH$259, COUNTIF($AM$10:$AM204, $AI$11:$AI$259), ""), 0)),"")</f>
        <v/>
      </c>
      <c r="AQ205" s="31">
        <f t="shared" si="23"/>
        <v>0</v>
      </c>
    </row>
    <row r="206" spans="1:43" x14ac:dyDescent="0.25">
      <c r="A206" s="31" t="str">
        <f>IFERROR(INDEX('G-1 All Habitats'!$AG$3:$AG$15,MATCH(E206,'G-1 All Habitats'!$AF$3:$AF$15,0)),"")</f>
        <v/>
      </c>
      <c r="B206" s="31" t="str">
        <f>IFERROR(INDEX('G-8 Condition Look up'!$I$4:$I$130,MATCH(G206,'G-8 Condition Look up'!$A$4:$A$130,0)),"")</f>
        <v/>
      </c>
      <c r="D206" s="141">
        <v>196</v>
      </c>
      <c r="E206" s="203"/>
      <c r="F206" s="203"/>
      <c r="G206" s="250" t="str">
        <f>IFERROR(INDEX('G-1 All Habitats'!$B$3:$B$129,MATCH(F206,'G-1 All Habitats'!$A$3:$A$129,0)),"")</f>
        <v/>
      </c>
      <c r="H206" s="172"/>
      <c r="I206" s="498" t="str">
        <f>IF(G206="","",VLOOKUP(G206,'G-1 All Habitats'!$B$2:$M$129,10,FALSE))</f>
        <v/>
      </c>
      <c r="J206" s="499" t="str">
        <f>IFERROR(VLOOKUP(I206,'G-1 All Habitats'!$V$3:$W$7,2,FALSE),"")</f>
        <v/>
      </c>
      <c r="K206" s="145"/>
      <c r="L206" s="499" t="str">
        <f>IFERROR(INDEX('G-8 Condition Look up'!$A$3:$H$130,MATCH(G206,'G-8 Condition Look up'!$A$3:$A$130,0),MATCH(K206,'G-8 Condition Look up'!$A$3:$H$3,0)),"")</f>
        <v/>
      </c>
      <c r="M206" s="154"/>
      <c r="N206" s="520" t="str">
        <f>IF(M206="","",IF(VLOOKUP(M206,'G-3 Multipliers'!$L$3:$N$6,2,FALSE)=0,"Spatial Data Missing ⚠",VLOOKUP(M206,'G-3 Multipliers'!$L$3:$N$6,2,FALSE)))</f>
        <v/>
      </c>
      <c r="O206" s="524" t="str">
        <f>IF(M206="","",IF(VLOOKUP(M206,'G-3 Multipliers'!$L$3:$N$6,3,FALSE)=0,"Spatial Data Missing ⚠",VLOOKUP(M206,'G-3 Multipliers'!$L$3:$N$6,3,FALSE)))</f>
        <v/>
      </c>
      <c r="P206" s="506" t="str">
        <f>IFERROR(VLOOKUP(G206,'G-1 All Habitats'!$B$2:$M$129,12,FALSE),"")</f>
        <v/>
      </c>
      <c r="Q206" s="513" t="str">
        <f>IFERROR(IF(P206="","",IF(AND(P206='G-1 All Habitats'!$X$3,T206&gt;0),U206+V206,IF(AND(P206='G-1 All Habitats'!$X$3,S206&gt;0),U206+V206,IF(AND(P206='G-1 All Habitats'!$X$3,AC206&gt;0),"Any Loss Unacceptable",IF(AND(P206='G-1 All Habitats'!$X$3,W206&gt;0),"Any Loss Unacceptable",H206*J206*L206*O206))))),"Check Data ⚠")</f>
        <v/>
      </c>
      <c r="R206" s="50"/>
      <c r="S206" s="71"/>
      <c r="T206" s="72"/>
      <c r="U206" s="511" t="str">
        <f t="shared" si="20"/>
        <v/>
      </c>
      <c r="V206" s="511" t="str">
        <f t="shared" si="21"/>
        <v/>
      </c>
      <c r="W206" s="511"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545" t="str">
        <f>IFERROR(IF(H206="","",IF(H206-S206-T206=0&lt;0,"Error in Areas ▲",IF(S206+T206&gt;H206,"Error in Areas ▲",IF(AND(P206='G-1 All Habitats'!$X$3,Y206="Yes"),"Alternative Compensation",IF(W206=0,0,IF(P206='G-1 All Habitats'!$X$3,"Unacceptable Loss",Q206-U206-V206)))))),"Check Data ⚠")</f>
        <v/>
      </c>
      <c r="Y206" s="72"/>
      <c r="Z206" s="151"/>
      <c r="AA206" s="152"/>
      <c r="AC206" s="251" t="str">
        <f>IF(P206="","",IF(P206='G-1 All Habitats'!$X$3,H206-S206-T206,"None"))</f>
        <v/>
      </c>
      <c r="AD206" s="252" t="str">
        <f t="shared" si="22"/>
        <v/>
      </c>
      <c r="AF206" s="156" t="str">
        <f t="shared" si="18"/>
        <v/>
      </c>
      <c r="AG206" s="156" t="str">
        <f t="shared" si="19"/>
        <v/>
      </c>
      <c r="AH206" s="156" t="str">
        <f>IF(I206="","",IF(#REF!&gt;0,TRUE,FALSE))</f>
        <v/>
      </c>
      <c r="AI206" s="156">
        <v>196</v>
      </c>
      <c r="AJ206" s="156"/>
      <c r="AK206" s="156" t="str">
        <f t="array" ref="AK206">IFERROR(INDEX($AI$11:$AI$259, MATCH(0, IF(TRUE=$AF$11:$AF$259, COUNTIF($AK$10:$AK205, $AI$11:$AI$259), ""), 0)),"")</f>
        <v/>
      </c>
      <c r="AL206" s="156" t="str">
        <f t="array" ref="AL206">IFERROR(INDEX($AI$11:$AI$259, MATCH(0, IF(TRUE=$AG$11:$AG$259, COUNTIF($AL$10:$AL205, $AI$11:$AI$259), ""), 0)),"")</f>
        <v/>
      </c>
      <c r="AM206" s="156" t="str">
        <f t="array" ref="AM206">IFERROR(INDEX($AI$11:$AI$259, MATCH(0, IF(TRUE=$AH$11:$AH$259, COUNTIF($AM$10:$AM205, $AI$11:$AI$259), ""), 0)),"")</f>
        <v/>
      </c>
      <c r="AQ206" s="31">
        <f t="shared" si="23"/>
        <v>0</v>
      </c>
    </row>
    <row r="207" spans="1:43" x14ac:dyDescent="0.25">
      <c r="A207" s="31" t="str">
        <f>IFERROR(INDEX('G-1 All Habitats'!$AG$3:$AG$15,MATCH(E207,'G-1 All Habitats'!$AF$3:$AF$15,0)),"")</f>
        <v/>
      </c>
      <c r="B207" s="31" t="str">
        <f>IFERROR(INDEX('G-8 Condition Look up'!$I$4:$I$130,MATCH(G207,'G-8 Condition Look up'!$A$4:$A$130,0)),"")</f>
        <v/>
      </c>
      <c r="D207" s="141">
        <v>197</v>
      </c>
      <c r="E207" s="203"/>
      <c r="F207" s="203"/>
      <c r="G207" s="250" t="str">
        <f>IFERROR(INDEX('G-1 All Habitats'!$B$3:$B$129,MATCH(F207,'G-1 All Habitats'!$A$3:$A$129,0)),"")</f>
        <v/>
      </c>
      <c r="H207" s="172"/>
      <c r="I207" s="498" t="str">
        <f>IF(G207="","",VLOOKUP(G207,'G-1 All Habitats'!$B$2:$M$129,10,FALSE))</f>
        <v/>
      </c>
      <c r="J207" s="499" t="str">
        <f>IFERROR(VLOOKUP(I207,'G-1 All Habitats'!$V$3:$W$7,2,FALSE),"")</f>
        <v/>
      </c>
      <c r="K207" s="145"/>
      <c r="L207" s="499" t="str">
        <f>IFERROR(INDEX('G-8 Condition Look up'!$A$3:$H$130,MATCH(G207,'G-8 Condition Look up'!$A$3:$A$130,0),MATCH(K207,'G-8 Condition Look up'!$A$3:$H$3,0)),"")</f>
        <v/>
      </c>
      <c r="M207" s="154"/>
      <c r="N207" s="520" t="str">
        <f>IF(M207="","",IF(VLOOKUP(M207,'G-3 Multipliers'!$L$3:$N$6,2,FALSE)=0,"Spatial Data Missing ⚠",VLOOKUP(M207,'G-3 Multipliers'!$L$3:$N$6,2,FALSE)))</f>
        <v/>
      </c>
      <c r="O207" s="524" t="str">
        <f>IF(M207="","",IF(VLOOKUP(M207,'G-3 Multipliers'!$L$3:$N$6,3,FALSE)=0,"Spatial Data Missing ⚠",VLOOKUP(M207,'G-3 Multipliers'!$L$3:$N$6,3,FALSE)))</f>
        <v/>
      </c>
      <c r="P207" s="506" t="str">
        <f>IFERROR(VLOOKUP(G207,'G-1 All Habitats'!$B$2:$M$129,12,FALSE),"")</f>
        <v/>
      </c>
      <c r="Q207" s="513" t="str">
        <f>IFERROR(IF(P207="","",IF(AND(P207='G-1 All Habitats'!$X$3,T207&gt;0),U207+V207,IF(AND(P207='G-1 All Habitats'!$X$3,S207&gt;0),U207+V207,IF(AND(P207='G-1 All Habitats'!$X$3,AC207&gt;0),"Any Loss Unacceptable",IF(AND(P207='G-1 All Habitats'!$X$3,W207&gt;0),"Any Loss Unacceptable",H207*J207*L207*O207))))),"Check Data ⚠")</f>
        <v/>
      </c>
      <c r="R207" s="50"/>
      <c r="S207" s="71"/>
      <c r="T207" s="72"/>
      <c r="U207" s="511" t="str">
        <f t="shared" si="20"/>
        <v/>
      </c>
      <c r="V207" s="511" t="str">
        <f t="shared" si="21"/>
        <v/>
      </c>
      <c r="W207" s="511"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545" t="str">
        <f>IFERROR(IF(H207="","",IF(H207-S207-T207=0&lt;0,"Error in Areas ▲",IF(S207+T207&gt;H207,"Error in Areas ▲",IF(AND(P207='G-1 All Habitats'!$X$3,Y207="Yes"),"Alternative Compensation",IF(W207=0,0,IF(P207='G-1 All Habitats'!$X$3,"Unacceptable Loss",Q207-U207-V207)))))),"Check Data ⚠")</f>
        <v/>
      </c>
      <c r="Y207" s="72"/>
      <c r="Z207" s="151"/>
      <c r="AA207" s="152"/>
      <c r="AC207" s="251" t="str">
        <f>IF(P207="","",IF(P207='G-1 All Habitats'!$X$3,H207-S207-T207,"None"))</f>
        <v/>
      </c>
      <c r="AD207" s="252" t="str">
        <f t="shared" si="22"/>
        <v/>
      </c>
      <c r="AF207" s="156" t="str">
        <f t="shared" si="18"/>
        <v/>
      </c>
      <c r="AG207" s="156" t="str">
        <f t="shared" si="19"/>
        <v/>
      </c>
      <c r="AH207" s="156" t="str">
        <f>IF(I207="","",IF(#REF!&gt;0,TRUE,FALSE))</f>
        <v/>
      </c>
      <c r="AI207" s="156">
        <v>197</v>
      </c>
      <c r="AJ207" s="156"/>
      <c r="AK207" s="156" t="str">
        <f t="array" ref="AK207">IFERROR(INDEX($AI$11:$AI$259, MATCH(0, IF(TRUE=$AF$11:$AF$259, COUNTIF($AK$10:$AK206, $AI$11:$AI$259), ""), 0)),"")</f>
        <v/>
      </c>
      <c r="AL207" s="156" t="str">
        <f t="array" ref="AL207">IFERROR(INDEX($AI$11:$AI$259, MATCH(0, IF(TRUE=$AG$11:$AG$259, COUNTIF($AL$10:$AL206, $AI$11:$AI$259), ""), 0)),"")</f>
        <v/>
      </c>
      <c r="AM207" s="156" t="str">
        <f t="array" ref="AM207">IFERROR(INDEX($AI$11:$AI$259, MATCH(0, IF(TRUE=$AH$11:$AH$259, COUNTIF($AM$10:$AM206, $AI$11:$AI$259), ""), 0)),"")</f>
        <v/>
      </c>
      <c r="AQ207" s="31">
        <f t="shared" si="23"/>
        <v>0</v>
      </c>
    </row>
    <row r="208" spans="1:43" x14ac:dyDescent="0.25">
      <c r="A208" s="31" t="str">
        <f>IFERROR(INDEX('G-1 All Habitats'!$AG$3:$AG$15,MATCH(E208,'G-1 All Habitats'!$AF$3:$AF$15,0)),"")</f>
        <v/>
      </c>
      <c r="B208" s="31" t="str">
        <f>IFERROR(INDEX('G-8 Condition Look up'!$I$4:$I$130,MATCH(G208,'G-8 Condition Look up'!$A$4:$A$130,0)),"")</f>
        <v/>
      </c>
      <c r="D208" s="141">
        <v>198</v>
      </c>
      <c r="E208" s="203"/>
      <c r="F208" s="203"/>
      <c r="G208" s="250" t="str">
        <f>IFERROR(INDEX('G-1 All Habitats'!$B$3:$B$129,MATCH(F208,'G-1 All Habitats'!$A$3:$A$129,0)),"")</f>
        <v/>
      </c>
      <c r="H208" s="172"/>
      <c r="I208" s="498" t="str">
        <f>IF(G208="","",VLOOKUP(G208,'G-1 All Habitats'!$B$2:$M$129,10,FALSE))</f>
        <v/>
      </c>
      <c r="J208" s="499" t="str">
        <f>IFERROR(VLOOKUP(I208,'G-1 All Habitats'!$V$3:$W$7,2,FALSE),"")</f>
        <v/>
      </c>
      <c r="K208" s="145"/>
      <c r="L208" s="499" t="str">
        <f>IFERROR(INDEX('G-8 Condition Look up'!$A$3:$H$130,MATCH(G208,'G-8 Condition Look up'!$A$3:$A$130,0),MATCH(K208,'G-8 Condition Look up'!$A$3:$H$3,0)),"")</f>
        <v/>
      </c>
      <c r="M208" s="154"/>
      <c r="N208" s="520" t="str">
        <f>IF(M208="","",IF(VLOOKUP(M208,'G-3 Multipliers'!$L$3:$N$6,2,FALSE)=0,"Spatial Data Missing ⚠",VLOOKUP(M208,'G-3 Multipliers'!$L$3:$N$6,2,FALSE)))</f>
        <v/>
      </c>
      <c r="O208" s="524" t="str">
        <f>IF(M208="","",IF(VLOOKUP(M208,'G-3 Multipliers'!$L$3:$N$6,3,FALSE)=0,"Spatial Data Missing ⚠",VLOOKUP(M208,'G-3 Multipliers'!$L$3:$N$6,3,FALSE)))</f>
        <v/>
      </c>
      <c r="P208" s="506" t="str">
        <f>IFERROR(VLOOKUP(G208,'G-1 All Habitats'!$B$2:$M$129,12,FALSE),"")</f>
        <v/>
      </c>
      <c r="Q208" s="513" t="str">
        <f>IFERROR(IF(P208="","",IF(AND(P208='G-1 All Habitats'!$X$3,T208&gt;0),U208+V208,IF(AND(P208='G-1 All Habitats'!$X$3,S208&gt;0),U208+V208,IF(AND(P208='G-1 All Habitats'!$X$3,AC208&gt;0),"Any Loss Unacceptable",IF(AND(P208='G-1 All Habitats'!$X$3,W208&gt;0),"Any Loss Unacceptable",H208*J208*L208*O208))))),"Check Data ⚠")</f>
        <v/>
      </c>
      <c r="R208" s="50"/>
      <c r="S208" s="71"/>
      <c r="T208" s="72"/>
      <c r="U208" s="511" t="str">
        <f t="shared" si="20"/>
        <v/>
      </c>
      <c r="V208" s="511" t="str">
        <f t="shared" si="21"/>
        <v/>
      </c>
      <c r="W208" s="511"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545" t="str">
        <f>IFERROR(IF(H208="","",IF(H208-S208-T208=0&lt;0,"Error in Areas ▲",IF(S208+T208&gt;H208,"Error in Areas ▲",IF(AND(P208='G-1 All Habitats'!$X$3,Y208="Yes"),"Alternative Compensation",IF(W208=0,0,IF(P208='G-1 All Habitats'!$X$3,"Unacceptable Loss",Q208-U208-V208)))))),"Check Data ⚠")</f>
        <v/>
      </c>
      <c r="Y208" s="72"/>
      <c r="Z208" s="151"/>
      <c r="AA208" s="152"/>
      <c r="AC208" s="251" t="str">
        <f>IF(P208="","",IF(P208='G-1 All Habitats'!$X$3,H208-S208-T208,"None"))</f>
        <v/>
      </c>
      <c r="AD208" s="252" t="str">
        <f t="shared" si="22"/>
        <v/>
      </c>
      <c r="AF208" s="156" t="str">
        <f t="shared" si="18"/>
        <v/>
      </c>
      <c r="AG208" s="156" t="str">
        <f t="shared" si="19"/>
        <v/>
      </c>
      <c r="AH208" s="156" t="str">
        <f>IF(I208="","",IF(#REF!&gt;0,TRUE,FALSE))</f>
        <v/>
      </c>
      <c r="AI208" s="156">
        <v>198</v>
      </c>
      <c r="AJ208" s="156"/>
      <c r="AK208" s="156" t="str">
        <f t="array" ref="AK208">IFERROR(INDEX($AI$11:$AI$259, MATCH(0, IF(TRUE=$AF$11:$AF$259, COUNTIF($AK$10:$AK207, $AI$11:$AI$259), ""), 0)),"")</f>
        <v/>
      </c>
      <c r="AL208" s="156" t="str">
        <f t="array" ref="AL208">IFERROR(INDEX($AI$11:$AI$259, MATCH(0, IF(TRUE=$AG$11:$AG$259, COUNTIF($AL$10:$AL207, $AI$11:$AI$259), ""), 0)),"")</f>
        <v/>
      </c>
      <c r="AM208" s="156" t="str">
        <f t="array" ref="AM208">IFERROR(INDEX($AI$11:$AI$259, MATCH(0, IF(TRUE=$AH$11:$AH$259, COUNTIF($AM$10:$AM207, $AI$11:$AI$259), ""), 0)),"")</f>
        <v/>
      </c>
      <c r="AQ208" s="31">
        <f t="shared" si="23"/>
        <v>0</v>
      </c>
    </row>
    <row r="209" spans="1:43" x14ac:dyDescent="0.25">
      <c r="A209" s="31" t="str">
        <f>IFERROR(INDEX('G-1 All Habitats'!$AG$3:$AG$15,MATCH(E209,'G-1 All Habitats'!$AF$3:$AF$15,0)),"")</f>
        <v/>
      </c>
      <c r="B209" s="31" t="str">
        <f>IFERROR(INDEX('G-8 Condition Look up'!$I$4:$I$130,MATCH(G209,'G-8 Condition Look up'!$A$4:$A$130,0)),"")</f>
        <v/>
      </c>
      <c r="D209" s="141">
        <v>199</v>
      </c>
      <c r="E209" s="203"/>
      <c r="F209" s="203"/>
      <c r="G209" s="250" t="str">
        <f>IFERROR(INDEX('G-1 All Habitats'!$B$3:$B$129,MATCH(F209,'G-1 All Habitats'!$A$3:$A$129,0)),"")</f>
        <v/>
      </c>
      <c r="H209" s="172"/>
      <c r="I209" s="498" t="str">
        <f>IF(G209="","",VLOOKUP(G209,'G-1 All Habitats'!$B$2:$M$129,10,FALSE))</f>
        <v/>
      </c>
      <c r="J209" s="499" t="str">
        <f>IFERROR(VLOOKUP(I209,'G-1 All Habitats'!$V$3:$W$7,2,FALSE),"")</f>
        <v/>
      </c>
      <c r="K209" s="145"/>
      <c r="L209" s="499" t="str">
        <f>IFERROR(INDEX('G-8 Condition Look up'!$A$3:$H$130,MATCH(G209,'G-8 Condition Look up'!$A$3:$A$130,0),MATCH(K209,'G-8 Condition Look up'!$A$3:$H$3,0)),"")</f>
        <v/>
      </c>
      <c r="M209" s="154"/>
      <c r="N209" s="520" t="str">
        <f>IF(M209="","",IF(VLOOKUP(M209,'G-3 Multipliers'!$L$3:$N$6,2,FALSE)=0,"Spatial Data Missing ⚠",VLOOKUP(M209,'G-3 Multipliers'!$L$3:$N$6,2,FALSE)))</f>
        <v/>
      </c>
      <c r="O209" s="524" t="str">
        <f>IF(M209="","",IF(VLOOKUP(M209,'G-3 Multipliers'!$L$3:$N$6,3,FALSE)=0,"Spatial Data Missing ⚠",VLOOKUP(M209,'G-3 Multipliers'!$L$3:$N$6,3,FALSE)))</f>
        <v/>
      </c>
      <c r="P209" s="506" t="str">
        <f>IFERROR(VLOOKUP(G209,'G-1 All Habitats'!$B$2:$M$129,12,FALSE),"")</f>
        <v/>
      </c>
      <c r="Q209" s="513" t="str">
        <f>IFERROR(IF(P209="","",IF(AND(P209='G-1 All Habitats'!$X$3,T209&gt;0),U209+V209,IF(AND(P209='G-1 All Habitats'!$X$3,S209&gt;0),U209+V209,IF(AND(P209='G-1 All Habitats'!$X$3,AC209&gt;0),"Any Loss Unacceptable",IF(AND(P209='G-1 All Habitats'!$X$3,W209&gt;0),"Any Loss Unacceptable",H209*J209*L209*O209))))),"Check Data ⚠")</f>
        <v/>
      </c>
      <c r="R209" s="50"/>
      <c r="S209" s="71"/>
      <c r="T209" s="72"/>
      <c r="U209" s="511" t="str">
        <f t="shared" si="20"/>
        <v/>
      </c>
      <c r="V209" s="511" t="str">
        <f t="shared" si="21"/>
        <v/>
      </c>
      <c r="W209" s="511"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545" t="str">
        <f>IFERROR(IF(H209="","",IF(H209-S209-T209=0&lt;0,"Error in Areas ▲",IF(S209+T209&gt;H209,"Error in Areas ▲",IF(AND(P209='G-1 All Habitats'!$X$3,Y209="Yes"),"Alternative Compensation",IF(W209=0,0,IF(P209='G-1 All Habitats'!$X$3,"Unacceptable Loss",Q209-U209-V209)))))),"Check Data ⚠")</f>
        <v/>
      </c>
      <c r="Y209" s="72"/>
      <c r="Z209" s="151"/>
      <c r="AA209" s="152"/>
      <c r="AC209" s="251" t="str">
        <f>IF(P209="","",IF(P209='G-1 All Habitats'!$X$3,H209-S209-T209,"None"))</f>
        <v/>
      </c>
      <c r="AD209" s="252" t="str">
        <f t="shared" si="22"/>
        <v/>
      </c>
      <c r="AF209" s="156" t="str">
        <f t="shared" si="18"/>
        <v/>
      </c>
      <c r="AG209" s="156" t="str">
        <f t="shared" si="19"/>
        <v/>
      </c>
      <c r="AH209" s="156" t="str">
        <f>IF(I209="","",IF(#REF!&gt;0,TRUE,FALSE))</f>
        <v/>
      </c>
      <c r="AI209" s="156">
        <v>199</v>
      </c>
      <c r="AJ209" s="156"/>
      <c r="AK209" s="156" t="str">
        <f t="array" ref="AK209">IFERROR(INDEX($AI$11:$AI$259, MATCH(0, IF(TRUE=$AF$11:$AF$259, COUNTIF($AK$10:$AK208, $AI$11:$AI$259), ""), 0)),"")</f>
        <v/>
      </c>
      <c r="AL209" s="156" t="str">
        <f t="array" ref="AL209">IFERROR(INDEX($AI$11:$AI$259, MATCH(0, IF(TRUE=$AG$11:$AG$259, COUNTIF($AL$10:$AL208, $AI$11:$AI$259), ""), 0)),"")</f>
        <v/>
      </c>
      <c r="AM209" s="156" t="str">
        <f t="array" ref="AM209">IFERROR(INDEX($AI$11:$AI$259, MATCH(0, IF(TRUE=$AH$11:$AH$259, COUNTIF($AM$10:$AM208, $AI$11:$AI$259), ""), 0)),"")</f>
        <v/>
      </c>
      <c r="AQ209" s="31">
        <f t="shared" si="23"/>
        <v>0</v>
      </c>
    </row>
    <row r="210" spans="1:43" x14ac:dyDescent="0.25">
      <c r="A210" s="31" t="str">
        <f>IFERROR(INDEX('G-1 All Habitats'!$AG$3:$AG$15,MATCH(E210,'G-1 All Habitats'!$AF$3:$AF$15,0)),"")</f>
        <v/>
      </c>
      <c r="B210" s="31" t="str">
        <f>IFERROR(INDEX('G-8 Condition Look up'!$I$4:$I$130,MATCH(G210,'G-8 Condition Look up'!$A$4:$A$130,0)),"")</f>
        <v/>
      </c>
      <c r="D210" s="141">
        <v>200</v>
      </c>
      <c r="E210" s="203"/>
      <c r="F210" s="203"/>
      <c r="G210" s="250" t="str">
        <f>IFERROR(INDEX('G-1 All Habitats'!$B$3:$B$129,MATCH(F210,'G-1 All Habitats'!$A$3:$A$129,0)),"")</f>
        <v/>
      </c>
      <c r="H210" s="172"/>
      <c r="I210" s="498" t="str">
        <f>IF(G210="","",VLOOKUP(G210,'G-1 All Habitats'!$B$2:$M$129,10,FALSE))</f>
        <v/>
      </c>
      <c r="J210" s="499" t="str">
        <f>IFERROR(VLOOKUP(I210,'G-1 All Habitats'!$V$3:$W$7,2,FALSE),"")</f>
        <v/>
      </c>
      <c r="K210" s="145"/>
      <c r="L210" s="499" t="str">
        <f>IFERROR(INDEX('G-8 Condition Look up'!$A$3:$H$130,MATCH(G210,'G-8 Condition Look up'!$A$3:$A$130,0),MATCH(K210,'G-8 Condition Look up'!$A$3:$H$3,0)),"")</f>
        <v/>
      </c>
      <c r="M210" s="154"/>
      <c r="N210" s="520" t="str">
        <f>IF(M210="","",IF(VLOOKUP(M210,'G-3 Multipliers'!$L$3:$N$6,2,FALSE)=0,"Spatial Data Missing ⚠",VLOOKUP(M210,'G-3 Multipliers'!$L$3:$N$6,2,FALSE)))</f>
        <v/>
      </c>
      <c r="O210" s="524" t="str">
        <f>IF(M210="","",IF(VLOOKUP(M210,'G-3 Multipliers'!$L$3:$N$6,3,FALSE)=0,"Spatial Data Missing ⚠",VLOOKUP(M210,'G-3 Multipliers'!$L$3:$N$6,3,FALSE)))</f>
        <v/>
      </c>
      <c r="P210" s="506" t="str">
        <f>IFERROR(VLOOKUP(G210,'G-1 All Habitats'!$B$2:$M$129,12,FALSE),"")</f>
        <v/>
      </c>
      <c r="Q210" s="513" t="str">
        <f>IFERROR(IF(P210="","",IF(AND(P210='G-1 All Habitats'!$X$3,T210&gt;0),U210+V210,IF(AND(P210='G-1 All Habitats'!$X$3,S210&gt;0),U210+V210,IF(AND(P210='G-1 All Habitats'!$X$3,AC210&gt;0),"Any Loss Unacceptable",IF(AND(P210='G-1 All Habitats'!$X$3,W210&gt;0),"Any Loss Unacceptable",H210*J210*L210*O210))))),"Check Data ⚠")</f>
        <v/>
      </c>
      <c r="R210" s="50"/>
      <c r="S210" s="71"/>
      <c r="T210" s="72"/>
      <c r="U210" s="511" t="str">
        <f t="shared" si="20"/>
        <v/>
      </c>
      <c r="V210" s="511" t="str">
        <f t="shared" si="21"/>
        <v/>
      </c>
      <c r="W210" s="511"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545" t="str">
        <f>IFERROR(IF(H210="","",IF(H210-S210-T210=0&lt;0,"Error in Areas ▲",IF(S210+T210&gt;H210,"Error in Areas ▲",IF(AND(P210='G-1 All Habitats'!$X$3,Y210="Yes"),"Alternative Compensation",IF(W210=0,0,IF(P210='G-1 All Habitats'!$X$3,"Unacceptable Loss",Q210-U210-V210)))))),"Check Data ⚠")</f>
        <v/>
      </c>
      <c r="Y210" s="72"/>
      <c r="Z210" s="151"/>
      <c r="AA210" s="152"/>
      <c r="AC210" s="251" t="str">
        <f>IF(P210="","",IF(P210='G-1 All Habitats'!$X$3,H210-S210-T210,"None"))</f>
        <v/>
      </c>
      <c r="AD210" s="252" t="str">
        <f t="shared" si="22"/>
        <v/>
      </c>
      <c r="AF210" s="156" t="str">
        <f t="shared" si="18"/>
        <v/>
      </c>
      <c r="AG210" s="156" t="str">
        <f t="shared" si="19"/>
        <v/>
      </c>
      <c r="AH210" s="156" t="str">
        <f>IF(I210="","",IF(#REF!&gt;0,TRUE,FALSE))</f>
        <v/>
      </c>
      <c r="AI210" s="156">
        <v>200</v>
      </c>
      <c r="AJ210" s="156"/>
      <c r="AK210" s="156" t="str">
        <f t="array" ref="AK210">IFERROR(INDEX($AI$11:$AI$259, MATCH(0, IF(TRUE=$AF$11:$AF$259, COUNTIF($AK$10:$AK209, $AI$11:$AI$259), ""), 0)),"")</f>
        <v/>
      </c>
      <c r="AL210" s="156" t="str">
        <f t="array" ref="AL210">IFERROR(INDEX($AI$11:$AI$259, MATCH(0, IF(TRUE=$AG$11:$AG$259, COUNTIF($AL$10:$AL209, $AI$11:$AI$259), ""), 0)),"")</f>
        <v/>
      </c>
      <c r="AM210" s="156" t="str">
        <f t="array" ref="AM210">IFERROR(INDEX($AI$11:$AI$259, MATCH(0, IF(TRUE=$AH$11:$AH$259, COUNTIF($AM$10:$AM209, $AI$11:$AI$259), ""), 0)),"")</f>
        <v/>
      </c>
      <c r="AQ210" s="31">
        <f t="shared" si="23"/>
        <v>0</v>
      </c>
    </row>
    <row r="211" spans="1:43" x14ac:dyDescent="0.25">
      <c r="A211" s="31" t="str">
        <f>IFERROR(INDEX('G-1 All Habitats'!$AG$3:$AG$15,MATCH(E211,'G-1 All Habitats'!$AF$3:$AF$15,0)),"")</f>
        <v/>
      </c>
      <c r="B211" s="31" t="str">
        <f>IFERROR(INDEX('G-8 Condition Look up'!$I$4:$I$130,MATCH(G211,'G-8 Condition Look up'!$A$4:$A$130,0)),"")</f>
        <v/>
      </c>
      <c r="D211" s="141">
        <v>201</v>
      </c>
      <c r="E211" s="203"/>
      <c r="F211" s="203"/>
      <c r="G211" s="250" t="str">
        <f>IFERROR(INDEX('G-1 All Habitats'!$B$3:$B$129,MATCH(F211,'G-1 All Habitats'!$A$3:$A$129,0)),"")</f>
        <v/>
      </c>
      <c r="H211" s="172"/>
      <c r="I211" s="498" t="str">
        <f>IF(G211="","",VLOOKUP(G211,'G-1 All Habitats'!$B$2:$M$129,10,FALSE))</f>
        <v/>
      </c>
      <c r="J211" s="499" t="str">
        <f>IFERROR(VLOOKUP(I211,'G-1 All Habitats'!$V$3:$W$7,2,FALSE),"")</f>
        <v/>
      </c>
      <c r="K211" s="145"/>
      <c r="L211" s="499" t="str">
        <f>IFERROR(INDEX('G-8 Condition Look up'!$A$3:$H$130,MATCH(G211,'G-8 Condition Look up'!$A$3:$A$130,0),MATCH(K211,'G-8 Condition Look up'!$A$3:$H$3,0)),"")</f>
        <v/>
      </c>
      <c r="M211" s="154"/>
      <c r="N211" s="520" t="str">
        <f>IF(M211="","",IF(VLOOKUP(M211,'G-3 Multipliers'!$L$3:$N$6,2,FALSE)=0,"Spatial Data Missing ⚠",VLOOKUP(M211,'G-3 Multipliers'!$L$3:$N$6,2,FALSE)))</f>
        <v/>
      </c>
      <c r="O211" s="524" t="str">
        <f>IF(M211="","",IF(VLOOKUP(M211,'G-3 Multipliers'!$L$3:$N$6,3,FALSE)=0,"Spatial Data Missing ⚠",VLOOKUP(M211,'G-3 Multipliers'!$L$3:$N$6,3,FALSE)))</f>
        <v/>
      </c>
      <c r="P211" s="506" t="str">
        <f>IFERROR(VLOOKUP(G211,'G-1 All Habitats'!$B$2:$M$129,12,FALSE),"")</f>
        <v/>
      </c>
      <c r="Q211" s="513" t="str">
        <f>IFERROR(IF(P211="","",IF(AND(P211='G-1 All Habitats'!$X$3,T211&gt;0),U211+V211,IF(AND(P211='G-1 All Habitats'!$X$3,S211&gt;0),U211+V211,IF(AND(P211='G-1 All Habitats'!$X$3,AC211&gt;0),"Any Loss Unacceptable",IF(AND(P211='G-1 All Habitats'!$X$3,W211&gt;0),"Any Loss Unacceptable",H211*J211*L211*O211))))),"Check Data ⚠")</f>
        <v/>
      </c>
      <c r="R211" s="50"/>
      <c r="S211" s="71"/>
      <c r="T211" s="72"/>
      <c r="U211" s="511" t="str">
        <f t="shared" si="20"/>
        <v/>
      </c>
      <c r="V211" s="511" t="str">
        <f t="shared" si="21"/>
        <v/>
      </c>
      <c r="W211" s="511"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545" t="str">
        <f>IFERROR(IF(H211="","",IF(H211-S211-T211=0&lt;0,"Error in Areas ▲",IF(S211+T211&gt;H211,"Error in Areas ▲",IF(AND(P211='G-1 All Habitats'!$X$3,Y211="Yes"),"Alternative Compensation",IF(W211=0,0,IF(P211='G-1 All Habitats'!$X$3,"Unacceptable Loss",Q211-U211-V211)))))),"Check Data ⚠")</f>
        <v/>
      </c>
      <c r="Y211" s="72"/>
      <c r="Z211" s="151"/>
      <c r="AA211" s="152"/>
      <c r="AC211" s="251" t="str">
        <f>IF(P211="","",IF(P211='G-1 All Habitats'!$X$3,H211-S211-T211,"None"))</f>
        <v/>
      </c>
      <c r="AD211" s="252" t="str">
        <f t="shared" si="22"/>
        <v/>
      </c>
      <c r="AF211" s="156" t="str">
        <f t="shared" si="18"/>
        <v/>
      </c>
      <c r="AG211" s="156" t="str">
        <f t="shared" si="19"/>
        <v/>
      </c>
      <c r="AH211" s="156" t="str">
        <f>IF(I211="","",IF(#REF!&gt;0,TRUE,FALSE))</f>
        <v/>
      </c>
      <c r="AI211" s="156">
        <v>201</v>
      </c>
      <c r="AJ211" s="156"/>
      <c r="AK211" s="156" t="str">
        <f t="array" ref="AK211">IFERROR(INDEX($AI$11:$AI$259, MATCH(0, IF(TRUE=$AF$11:$AF$259, COUNTIF($AK$10:$AK210, $AI$11:$AI$259), ""), 0)),"")</f>
        <v/>
      </c>
      <c r="AL211" s="156" t="str">
        <f t="array" ref="AL211">IFERROR(INDEX($AI$11:$AI$259, MATCH(0, IF(TRUE=$AG$11:$AG$259, COUNTIF($AL$10:$AL210, $AI$11:$AI$259), ""), 0)),"")</f>
        <v/>
      </c>
      <c r="AM211" s="156" t="str">
        <f t="array" ref="AM211">IFERROR(INDEX($AI$11:$AI$259, MATCH(0, IF(TRUE=$AH$11:$AH$259, COUNTIF($AM$10:$AM210, $AI$11:$AI$259), ""), 0)),"")</f>
        <v/>
      </c>
      <c r="AQ211" s="31">
        <f t="shared" si="23"/>
        <v>0</v>
      </c>
    </row>
    <row r="212" spans="1:43" x14ac:dyDescent="0.25">
      <c r="A212" s="31" t="str">
        <f>IFERROR(INDEX('G-1 All Habitats'!$AG$3:$AG$15,MATCH(E212,'G-1 All Habitats'!$AF$3:$AF$15,0)),"")</f>
        <v/>
      </c>
      <c r="B212" s="31" t="str">
        <f>IFERROR(INDEX('G-8 Condition Look up'!$I$4:$I$130,MATCH(G212,'G-8 Condition Look up'!$A$4:$A$130,0)),"")</f>
        <v/>
      </c>
      <c r="D212" s="141">
        <v>202</v>
      </c>
      <c r="E212" s="203"/>
      <c r="F212" s="203"/>
      <c r="G212" s="250" t="str">
        <f>IFERROR(INDEX('G-1 All Habitats'!$B$3:$B$129,MATCH(F212,'G-1 All Habitats'!$A$3:$A$129,0)),"")</f>
        <v/>
      </c>
      <c r="H212" s="172"/>
      <c r="I212" s="498" t="str">
        <f>IF(G212="","",VLOOKUP(G212,'G-1 All Habitats'!$B$2:$M$129,10,FALSE))</f>
        <v/>
      </c>
      <c r="J212" s="499" t="str">
        <f>IFERROR(VLOOKUP(I212,'G-1 All Habitats'!$V$3:$W$7,2,FALSE),"")</f>
        <v/>
      </c>
      <c r="K212" s="145"/>
      <c r="L212" s="499" t="str">
        <f>IFERROR(INDEX('G-8 Condition Look up'!$A$3:$H$130,MATCH(G212,'G-8 Condition Look up'!$A$3:$A$130,0),MATCH(K212,'G-8 Condition Look up'!$A$3:$H$3,0)),"")</f>
        <v/>
      </c>
      <c r="M212" s="154"/>
      <c r="N212" s="520" t="str">
        <f>IF(M212="","",IF(VLOOKUP(M212,'G-3 Multipliers'!$L$3:$N$6,2,FALSE)=0,"Spatial Data Missing ⚠",VLOOKUP(M212,'G-3 Multipliers'!$L$3:$N$6,2,FALSE)))</f>
        <v/>
      </c>
      <c r="O212" s="524" t="str">
        <f>IF(M212="","",IF(VLOOKUP(M212,'G-3 Multipliers'!$L$3:$N$6,3,FALSE)=0,"Spatial Data Missing ⚠",VLOOKUP(M212,'G-3 Multipliers'!$L$3:$N$6,3,FALSE)))</f>
        <v/>
      </c>
      <c r="P212" s="506" t="str">
        <f>IFERROR(VLOOKUP(G212,'G-1 All Habitats'!$B$2:$M$129,12,FALSE),"")</f>
        <v/>
      </c>
      <c r="Q212" s="513" t="str">
        <f>IFERROR(IF(P212="","",IF(AND(P212='G-1 All Habitats'!$X$3,T212&gt;0),U212+V212,IF(AND(P212='G-1 All Habitats'!$X$3,S212&gt;0),U212+V212,IF(AND(P212='G-1 All Habitats'!$X$3,AC212&gt;0),"Any Loss Unacceptable",IF(AND(P212='G-1 All Habitats'!$X$3,W212&gt;0),"Any Loss Unacceptable",H212*J212*L212*O212))))),"Check Data ⚠")</f>
        <v/>
      </c>
      <c r="R212" s="50"/>
      <c r="S212" s="71"/>
      <c r="T212" s="72"/>
      <c r="U212" s="511" t="str">
        <f t="shared" si="20"/>
        <v/>
      </c>
      <c r="V212" s="511" t="str">
        <f t="shared" si="21"/>
        <v/>
      </c>
      <c r="W212" s="511"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545" t="str">
        <f>IFERROR(IF(H212="","",IF(H212-S212-T212=0&lt;0,"Error in Areas ▲",IF(S212+T212&gt;H212,"Error in Areas ▲",IF(AND(P212='G-1 All Habitats'!$X$3,Y212="Yes"),"Alternative Compensation",IF(W212=0,0,IF(P212='G-1 All Habitats'!$X$3,"Unacceptable Loss",Q212-U212-V212)))))),"Check Data ⚠")</f>
        <v/>
      </c>
      <c r="Y212" s="72"/>
      <c r="Z212" s="151"/>
      <c r="AA212" s="152"/>
      <c r="AC212" s="251" t="str">
        <f>IF(P212="","",IF(P212='G-1 All Habitats'!$X$3,H212-S212-T212,"None"))</f>
        <v/>
      </c>
      <c r="AD212" s="252" t="str">
        <f t="shared" si="22"/>
        <v/>
      </c>
      <c r="AF212" s="156" t="str">
        <f t="shared" si="18"/>
        <v/>
      </c>
      <c r="AG212" s="156" t="str">
        <f t="shared" si="19"/>
        <v/>
      </c>
      <c r="AH212" s="156" t="str">
        <f>IF(I212="","",IF(#REF!&gt;0,TRUE,FALSE))</f>
        <v/>
      </c>
      <c r="AI212" s="156">
        <v>202</v>
      </c>
      <c r="AJ212" s="156"/>
      <c r="AK212" s="156" t="str">
        <f t="array" ref="AK212">IFERROR(INDEX($AI$11:$AI$259, MATCH(0, IF(TRUE=$AF$11:$AF$259, COUNTIF($AK$10:$AK211, $AI$11:$AI$259), ""), 0)),"")</f>
        <v/>
      </c>
      <c r="AL212" s="156" t="str">
        <f t="array" ref="AL212">IFERROR(INDEX($AI$11:$AI$259, MATCH(0, IF(TRUE=$AG$11:$AG$259, COUNTIF($AL$10:$AL211, $AI$11:$AI$259), ""), 0)),"")</f>
        <v/>
      </c>
      <c r="AM212" s="156" t="str">
        <f t="array" ref="AM212">IFERROR(INDEX($AI$11:$AI$259, MATCH(0, IF(TRUE=$AH$11:$AH$259, COUNTIF($AM$10:$AM211, $AI$11:$AI$259), ""), 0)),"")</f>
        <v/>
      </c>
      <c r="AQ212" s="31">
        <f t="shared" si="23"/>
        <v>0</v>
      </c>
    </row>
    <row r="213" spans="1:43" x14ac:dyDescent="0.25">
      <c r="A213" s="31" t="str">
        <f>IFERROR(INDEX('G-1 All Habitats'!$AG$3:$AG$15,MATCH(E213,'G-1 All Habitats'!$AF$3:$AF$15,0)),"")</f>
        <v/>
      </c>
      <c r="B213" s="31" t="str">
        <f>IFERROR(INDEX('G-8 Condition Look up'!$I$4:$I$130,MATCH(G213,'G-8 Condition Look up'!$A$4:$A$130,0)),"")</f>
        <v/>
      </c>
      <c r="D213" s="141">
        <v>203</v>
      </c>
      <c r="E213" s="203"/>
      <c r="F213" s="203"/>
      <c r="G213" s="250" t="str">
        <f>IFERROR(INDEX('G-1 All Habitats'!$B$3:$B$129,MATCH(F213,'G-1 All Habitats'!$A$3:$A$129,0)),"")</f>
        <v/>
      </c>
      <c r="H213" s="172"/>
      <c r="I213" s="498" t="str">
        <f>IF(G213="","",VLOOKUP(G213,'G-1 All Habitats'!$B$2:$M$129,10,FALSE))</f>
        <v/>
      </c>
      <c r="J213" s="499" t="str">
        <f>IFERROR(VLOOKUP(I213,'G-1 All Habitats'!$V$3:$W$7,2,FALSE),"")</f>
        <v/>
      </c>
      <c r="K213" s="145"/>
      <c r="L213" s="499" t="str">
        <f>IFERROR(INDEX('G-8 Condition Look up'!$A$3:$H$130,MATCH(G213,'G-8 Condition Look up'!$A$3:$A$130,0),MATCH(K213,'G-8 Condition Look up'!$A$3:$H$3,0)),"")</f>
        <v/>
      </c>
      <c r="M213" s="154"/>
      <c r="N213" s="520" t="str">
        <f>IF(M213="","",IF(VLOOKUP(M213,'G-3 Multipliers'!$L$3:$N$6,2,FALSE)=0,"Spatial Data Missing ⚠",VLOOKUP(M213,'G-3 Multipliers'!$L$3:$N$6,2,FALSE)))</f>
        <v/>
      </c>
      <c r="O213" s="524" t="str">
        <f>IF(M213="","",IF(VLOOKUP(M213,'G-3 Multipliers'!$L$3:$N$6,3,FALSE)=0,"Spatial Data Missing ⚠",VLOOKUP(M213,'G-3 Multipliers'!$L$3:$N$6,3,FALSE)))</f>
        <v/>
      </c>
      <c r="P213" s="506" t="str">
        <f>IFERROR(VLOOKUP(G213,'G-1 All Habitats'!$B$2:$M$129,12,FALSE),"")</f>
        <v/>
      </c>
      <c r="Q213" s="513" t="str">
        <f>IFERROR(IF(P213="","",IF(AND(P213='G-1 All Habitats'!$X$3,T213&gt;0),U213+V213,IF(AND(P213='G-1 All Habitats'!$X$3,S213&gt;0),U213+V213,IF(AND(P213='G-1 All Habitats'!$X$3,AC213&gt;0),"Any Loss Unacceptable",IF(AND(P213='G-1 All Habitats'!$X$3,W213&gt;0),"Any Loss Unacceptable",H213*J213*L213*O213))))),"Check Data ⚠")</f>
        <v/>
      </c>
      <c r="R213" s="50"/>
      <c r="S213" s="71"/>
      <c r="T213" s="72"/>
      <c r="U213" s="511" t="str">
        <f t="shared" si="20"/>
        <v/>
      </c>
      <c r="V213" s="511" t="str">
        <f t="shared" si="21"/>
        <v/>
      </c>
      <c r="W213" s="511"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545" t="str">
        <f>IFERROR(IF(H213="","",IF(H213-S213-T213=0&lt;0,"Error in Areas ▲",IF(S213+T213&gt;H213,"Error in Areas ▲",IF(AND(P213='G-1 All Habitats'!$X$3,Y213="Yes"),"Alternative Compensation",IF(W213=0,0,IF(P213='G-1 All Habitats'!$X$3,"Unacceptable Loss",Q213-U213-V213)))))),"Check Data ⚠")</f>
        <v/>
      </c>
      <c r="Y213" s="72"/>
      <c r="Z213" s="151"/>
      <c r="AA213" s="152"/>
      <c r="AC213" s="251" t="str">
        <f>IF(P213="","",IF(P213='G-1 All Habitats'!$X$3,H213-S213-T213,"None"))</f>
        <v/>
      </c>
      <c r="AD213" s="252" t="str">
        <f t="shared" si="22"/>
        <v/>
      </c>
      <c r="AF213" s="156" t="str">
        <f t="shared" si="18"/>
        <v/>
      </c>
      <c r="AG213" s="156" t="str">
        <f t="shared" si="19"/>
        <v/>
      </c>
      <c r="AH213" s="156" t="str">
        <f>IF(I213="","",IF(#REF!&gt;0,TRUE,FALSE))</f>
        <v/>
      </c>
      <c r="AI213" s="156">
        <v>203</v>
      </c>
      <c r="AJ213" s="156"/>
      <c r="AK213" s="156" t="str">
        <f t="array" ref="AK213">IFERROR(INDEX($AI$11:$AI$259, MATCH(0, IF(TRUE=$AF$11:$AF$259, COUNTIF($AK$10:$AK212, $AI$11:$AI$259), ""), 0)),"")</f>
        <v/>
      </c>
      <c r="AL213" s="156" t="str">
        <f t="array" ref="AL213">IFERROR(INDEX($AI$11:$AI$259, MATCH(0, IF(TRUE=$AG$11:$AG$259, COUNTIF($AL$10:$AL212, $AI$11:$AI$259), ""), 0)),"")</f>
        <v/>
      </c>
      <c r="AM213" s="156" t="str">
        <f t="array" ref="AM213">IFERROR(INDEX($AI$11:$AI$259, MATCH(0, IF(TRUE=$AH$11:$AH$259, COUNTIF($AM$10:$AM212, $AI$11:$AI$259), ""), 0)),"")</f>
        <v/>
      </c>
      <c r="AQ213" s="31">
        <f t="shared" si="23"/>
        <v>0</v>
      </c>
    </row>
    <row r="214" spans="1:43" x14ac:dyDescent="0.25">
      <c r="A214" s="31" t="str">
        <f>IFERROR(INDEX('G-1 All Habitats'!$AG$3:$AG$15,MATCH(E214,'G-1 All Habitats'!$AF$3:$AF$15,0)),"")</f>
        <v/>
      </c>
      <c r="B214" s="31" t="str">
        <f>IFERROR(INDEX('G-8 Condition Look up'!$I$4:$I$130,MATCH(G214,'G-8 Condition Look up'!$A$4:$A$130,0)),"")</f>
        <v/>
      </c>
      <c r="D214" s="141">
        <v>204</v>
      </c>
      <c r="E214" s="203"/>
      <c r="F214" s="203"/>
      <c r="G214" s="250" t="str">
        <f>IFERROR(INDEX('G-1 All Habitats'!$B$3:$B$129,MATCH(F214,'G-1 All Habitats'!$A$3:$A$129,0)),"")</f>
        <v/>
      </c>
      <c r="H214" s="172"/>
      <c r="I214" s="498" t="str">
        <f>IF(G214="","",VLOOKUP(G214,'G-1 All Habitats'!$B$2:$M$129,10,FALSE))</f>
        <v/>
      </c>
      <c r="J214" s="499" t="str">
        <f>IFERROR(VLOOKUP(I214,'G-1 All Habitats'!$V$3:$W$7,2,FALSE),"")</f>
        <v/>
      </c>
      <c r="K214" s="145"/>
      <c r="L214" s="499" t="str">
        <f>IFERROR(INDEX('G-8 Condition Look up'!$A$3:$H$130,MATCH(G214,'G-8 Condition Look up'!$A$3:$A$130,0),MATCH(K214,'G-8 Condition Look up'!$A$3:$H$3,0)),"")</f>
        <v/>
      </c>
      <c r="M214" s="154"/>
      <c r="N214" s="520" t="str">
        <f>IF(M214="","",IF(VLOOKUP(M214,'G-3 Multipliers'!$L$3:$N$6,2,FALSE)=0,"Spatial Data Missing ⚠",VLOOKUP(M214,'G-3 Multipliers'!$L$3:$N$6,2,FALSE)))</f>
        <v/>
      </c>
      <c r="O214" s="524" t="str">
        <f>IF(M214="","",IF(VLOOKUP(M214,'G-3 Multipliers'!$L$3:$N$6,3,FALSE)=0,"Spatial Data Missing ⚠",VLOOKUP(M214,'G-3 Multipliers'!$L$3:$N$6,3,FALSE)))</f>
        <v/>
      </c>
      <c r="P214" s="506" t="str">
        <f>IFERROR(VLOOKUP(G214,'G-1 All Habitats'!$B$2:$M$129,12,FALSE),"")</f>
        <v/>
      </c>
      <c r="Q214" s="513" t="str">
        <f>IFERROR(IF(P214="","",IF(AND(P214='G-1 All Habitats'!$X$3,T214&gt;0),U214+V214,IF(AND(P214='G-1 All Habitats'!$X$3,S214&gt;0),U214+V214,IF(AND(P214='G-1 All Habitats'!$X$3,AC214&gt;0),"Any Loss Unacceptable",IF(AND(P214='G-1 All Habitats'!$X$3,W214&gt;0),"Any Loss Unacceptable",H214*J214*L214*O214))))),"Check Data ⚠")</f>
        <v/>
      </c>
      <c r="R214" s="50"/>
      <c r="S214" s="71"/>
      <c r="T214" s="72"/>
      <c r="U214" s="511" t="str">
        <f t="shared" si="20"/>
        <v/>
      </c>
      <c r="V214" s="511" t="str">
        <f t="shared" si="21"/>
        <v/>
      </c>
      <c r="W214" s="511"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545" t="str">
        <f>IFERROR(IF(H214="","",IF(H214-S214-T214=0&lt;0,"Error in Areas ▲",IF(S214+T214&gt;H214,"Error in Areas ▲",IF(AND(P214='G-1 All Habitats'!$X$3,Y214="Yes"),"Alternative Compensation",IF(W214=0,0,IF(P214='G-1 All Habitats'!$X$3,"Unacceptable Loss",Q214-U214-V214)))))),"Check Data ⚠")</f>
        <v/>
      </c>
      <c r="Y214" s="72"/>
      <c r="Z214" s="151"/>
      <c r="AA214" s="152"/>
      <c r="AC214" s="251" t="str">
        <f>IF(P214="","",IF(P214='G-1 All Habitats'!$X$3,H214-S214-T214,"None"))</f>
        <v/>
      </c>
      <c r="AD214" s="252" t="str">
        <f t="shared" si="22"/>
        <v/>
      </c>
      <c r="AF214" s="156" t="str">
        <f t="shared" si="18"/>
        <v/>
      </c>
      <c r="AG214" s="156" t="str">
        <f t="shared" si="19"/>
        <v/>
      </c>
      <c r="AH214" s="156" t="str">
        <f>IF(I214="","",IF(#REF!&gt;0,TRUE,FALSE))</f>
        <v/>
      </c>
      <c r="AI214" s="156">
        <v>204</v>
      </c>
      <c r="AJ214" s="156"/>
      <c r="AK214" s="156" t="str">
        <f t="array" ref="AK214">IFERROR(INDEX($AI$11:$AI$259, MATCH(0, IF(TRUE=$AF$11:$AF$259, COUNTIF($AK$10:$AK213, $AI$11:$AI$259), ""), 0)),"")</f>
        <v/>
      </c>
      <c r="AL214" s="156" t="str">
        <f t="array" ref="AL214">IFERROR(INDEX($AI$11:$AI$259, MATCH(0, IF(TRUE=$AG$11:$AG$259, COUNTIF($AL$10:$AL213, $AI$11:$AI$259), ""), 0)),"")</f>
        <v/>
      </c>
      <c r="AM214" s="156" t="str">
        <f t="array" ref="AM214">IFERROR(INDEX($AI$11:$AI$259, MATCH(0, IF(TRUE=$AH$11:$AH$259, COUNTIF($AM$10:$AM213, $AI$11:$AI$259), ""), 0)),"")</f>
        <v/>
      </c>
      <c r="AQ214" s="31">
        <f t="shared" si="23"/>
        <v>0</v>
      </c>
    </row>
    <row r="215" spans="1:43" x14ac:dyDescent="0.25">
      <c r="A215" s="31" t="str">
        <f>IFERROR(INDEX('G-1 All Habitats'!$AG$3:$AG$15,MATCH(E215,'G-1 All Habitats'!$AF$3:$AF$15,0)),"")</f>
        <v/>
      </c>
      <c r="B215" s="31" t="str">
        <f>IFERROR(INDEX('G-8 Condition Look up'!$I$4:$I$130,MATCH(G215,'G-8 Condition Look up'!$A$4:$A$130,0)),"")</f>
        <v/>
      </c>
      <c r="D215" s="141">
        <v>205</v>
      </c>
      <c r="E215" s="203"/>
      <c r="F215" s="203"/>
      <c r="G215" s="250" t="str">
        <f>IFERROR(INDEX('G-1 All Habitats'!$B$3:$B$129,MATCH(F215,'G-1 All Habitats'!$A$3:$A$129,0)),"")</f>
        <v/>
      </c>
      <c r="H215" s="172"/>
      <c r="I215" s="498" t="str">
        <f>IF(G215="","",VLOOKUP(G215,'G-1 All Habitats'!$B$2:$M$129,10,FALSE))</f>
        <v/>
      </c>
      <c r="J215" s="499" t="str">
        <f>IFERROR(VLOOKUP(I215,'G-1 All Habitats'!$V$3:$W$7,2,FALSE),"")</f>
        <v/>
      </c>
      <c r="K215" s="145"/>
      <c r="L215" s="499" t="str">
        <f>IFERROR(INDEX('G-8 Condition Look up'!$A$3:$H$130,MATCH(G215,'G-8 Condition Look up'!$A$3:$A$130,0),MATCH(K215,'G-8 Condition Look up'!$A$3:$H$3,0)),"")</f>
        <v/>
      </c>
      <c r="M215" s="154"/>
      <c r="N215" s="520" t="str">
        <f>IF(M215="","",IF(VLOOKUP(M215,'G-3 Multipliers'!$L$3:$N$6,2,FALSE)=0,"Spatial Data Missing ⚠",VLOOKUP(M215,'G-3 Multipliers'!$L$3:$N$6,2,FALSE)))</f>
        <v/>
      </c>
      <c r="O215" s="524" t="str">
        <f>IF(M215="","",IF(VLOOKUP(M215,'G-3 Multipliers'!$L$3:$N$6,3,FALSE)=0,"Spatial Data Missing ⚠",VLOOKUP(M215,'G-3 Multipliers'!$L$3:$N$6,3,FALSE)))</f>
        <v/>
      </c>
      <c r="P215" s="506" t="str">
        <f>IFERROR(VLOOKUP(G215,'G-1 All Habitats'!$B$2:$M$129,12,FALSE),"")</f>
        <v/>
      </c>
      <c r="Q215" s="513" t="str">
        <f>IFERROR(IF(P215="","",IF(AND(P215='G-1 All Habitats'!$X$3,T215&gt;0),U215+V215,IF(AND(P215='G-1 All Habitats'!$X$3,S215&gt;0),U215+V215,IF(AND(P215='G-1 All Habitats'!$X$3,AC215&gt;0),"Any Loss Unacceptable",IF(AND(P215='G-1 All Habitats'!$X$3,W215&gt;0),"Any Loss Unacceptable",H215*J215*L215*O215))))),"Check Data ⚠")</f>
        <v/>
      </c>
      <c r="R215" s="50"/>
      <c r="S215" s="71"/>
      <c r="T215" s="72"/>
      <c r="U215" s="511" t="str">
        <f t="shared" si="20"/>
        <v/>
      </c>
      <c r="V215" s="511" t="str">
        <f t="shared" si="21"/>
        <v/>
      </c>
      <c r="W215" s="511"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545" t="str">
        <f>IFERROR(IF(H215="","",IF(H215-S215-T215=0&lt;0,"Error in Areas ▲",IF(S215+T215&gt;H215,"Error in Areas ▲",IF(AND(P215='G-1 All Habitats'!$X$3,Y215="Yes"),"Alternative Compensation",IF(W215=0,0,IF(P215='G-1 All Habitats'!$X$3,"Unacceptable Loss",Q215-U215-V215)))))),"Check Data ⚠")</f>
        <v/>
      </c>
      <c r="Y215" s="72"/>
      <c r="Z215" s="151"/>
      <c r="AA215" s="152"/>
      <c r="AC215" s="251" t="str">
        <f>IF(P215="","",IF(P215='G-1 All Habitats'!$X$3,H215-S215-T215,"None"))</f>
        <v/>
      </c>
      <c r="AD215" s="252" t="str">
        <f t="shared" si="22"/>
        <v/>
      </c>
      <c r="AF215" s="156" t="str">
        <f t="shared" si="18"/>
        <v/>
      </c>
      <c r="AG215" s="156" t="str">
        <f t="shared" si="19"/>
        <v/>
      </c>
      <c r="AH215" s="156" t="str">
        <f>IF(I215="","",IF(#REF!&gt;0,TRUE,FALSE))</f>
        <v/>
      </c>
      <c r="AI215" s="156">
        <v>205</v>
      </c>
      <c r="AJ215" s="156"/>
      <c r="AK215" s="156" t="str">
        <f t="array" ref="AK215">IFERROR(INDEX($AI$11:$AI$259, MATCH(0, IF(TRUE=$AF$11:$AF$259, COUNTIF($AK$10:$AK214, $AI$11:$AI$259), ""), 0)),"")</f>
        <v/>
      </c>
      <c r="AL215" s="156" t="str">
        <f t="array" ref="AL215">IFERROR(INDEX($AI$11:$AI$259, MATCH(0, IF(TRUE=$AG$11:$AG$259, COUNTIF($AL$10:$AL214, $AI$11:$AI$259), ""), 0)),"")</f>
        <v/>
      </c>
      <c r="AM215" s="156" t="str">
        <f t="array" ref="AM215">IFERROR(INDEX($AI$11:$AI$259, MATCH(0, IF(TRUE=$AH$11:$AH$259, COUNTIF($AM$10:$AM214, $AI$11:$AI$259), ""), 0)),"")</f>
        <v/>
      </c>
      <c r="AQ215" s="31">
        <f t="shared" si="23"/>
        <v>0</v>
      </c>
    </row>
    <row r="216" spans="1:43" x14ac:dyDescent="0.25">
      <c r="A216" s="31" t="str">
        <f>IFERROR(INDEX('G-1 All Habitats'!$AG$3:$AG$15,MATCH(E216,'G-1 All Habitats'!$AF$3:$AF$15,0)),"")</f>
        <v/>
      </c>
      <c r="B216" s="31" t="str">
        <f>IFERROR(INDEX('G-8 Condition Look up'!$I$4:$I$130,MATCH(G216,'G-8 Condition Look up'!$A$4:$A$130,0)),"")</f>
        <v/>
      </c>
      <c r="D216" s="141">
        <v>206</v>
      </c>
      <c r="E216" s="203"/>
      <c r="F216" s="203"/>
      <c r="G216" s="250" t="str">
        <f>IFERROR(INDEX('G-1 All Habitats'!$B$3:$B$129,MATCH(F216,'G-1 All Habitats'!$A$3:$A$129,0)),"")</f>
        <v/>
      </c>
      <c r="H216" s="172"/>
      <c r="I216" s="498" t="str">
        <f>IF(G216="","",VLOOKUP(G216,'G-1 All Habitats'!$B$2:$M$129,10,FALSE))</f>
        <v/>
      </c>
      <c r="J216" s="499" t="str">
        <f>IFERROR(VLOOKUP(I216,'G-1 All Habitats'!$V$3:$W$7,2,FALSE),"")</f>
        <v/>
      </c>
      <c r="K216" s="145"/>
      <c r="L216" s="499" t="str">
        <f>IFERROR(INDEX('G-8 Condition Look up'!$A$3:$H$130,MATCH(G216,'G-8 Condition Look up'!$A$3:$A$130,0),MATCH(K216,'G-8 Condition Look up'!$A$3:$H$3,0)),"")</f>
        <v/>
      </c>
      <c r="M216" s="154"/>
      <c r="N216" s="520" t="str">
        <f>IF(M216="","",IF(VLOOKUP(M216,'G-3 Multipliers'!$L$3:$N$6,2,FALSE)=0,"Spatial Data Missing ⚠",VLOOKUP(M216,'G-3 Multipliers'!$L$3:$N$6,2,FALSE)))</f>
        <v/>
      </c>
      <c r="O216" s="524" t="str">
        <f>IF(M216="","",IF(VLOOKUP(M216,'G-3 Multipliers'!$L$3:$N$6,3,FALSE)=0,"Spatial Data Missing ⚠",VLOOKUP(M216,'G-3 Multipliers'!$L$3:$N$6,3,FALSE)))</f>
        <v/>
      </c>
      <c r="P216" s="506" t="str">
        <f>IFERROR(VLOOKUP(G216,'G-1 All Habitats'!$B$2:$M$129,12,FALSE),"")</f>
        <v/>
      </c>
      <c r="Q216" s="513" t="str">
        <f>IFERROR(IF(P216="","",IF(AND(P216='G-1 All Habitats'!$X$3,T216&gt;0),U216+V216,IF(AND(P216='G-1 All Habitats'!$X$3,S216&gt;0),U216+V216,IF(AND(P216='G-1 All Habitats'!$X$3,AC216&gt;0),"Any Loss Unacceptable",IF(AND(P216='G-1 All Habitats'!$X$3,W216&gt;0),"Any Loss Unacceptable",H216*J216*L216*O216))))),"Check Data ⚠")</f>
        <v/>
      </c>
      <c r="R216" s="50"/>
      <c r="S216" s="71"/>
      <c r="T216" s="72"/>
      <c r="U216" s="511" t="str">
        <f t="shared" si="20"/>
        <v/>
      </c>
      <c r="V216" s="511" t="str">
        <f t="shared" si="21"/>
        <v/>
      </c>
      <c r="W216" s="511"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545" t="str">
        <f>IFERROR(IF(H216="","",IF(H216-S216-T216=0&lt;0,"Error in Areas ▲",IF(S216+T216&gt;H216,"Error in Areas ▲",IF(AND(P216='G-1 All Habitats'!$X$3,Y216="Yes"),"Alternative Compensation",IF(W216=0,0,IF(P216='G-1 All Habitats'!$X$3,"Unacceptable Loss",Q216-U216-V216)))))),"Check Data ⚠")</f>
        <v/>
      </c>
      <c r="Y216" s="72"/>
      <c r="Z216" s="151"/>
      <c r="AA216" s="152"/>
      <c r="AC216" s="251" t="str">
        <f>IF(P216="","",IF(P216='G-1 All Habitats'!$X$3,H216-S216-T216,"None"))</f>
        <v/>
      </c>
      <c r="AD216" s="252" t="str">
        <f t="shared" si="22"/>
        <v/>
      </c>
      <c r="AF216" s="156" t="str">
        <f t="shared" si="18"/>
        <v/>
      </c>
      <c r="AG216" s="156" t="str">
        <f t="shared" si="19"/>
        <v/>
      </c>
      <c r="AH216" s="156" t="str">
        <f>IF(I216="","",IF(#REF!&gt;0,TRUE,FALSE))</f>
        <v/>
      </c>
      <c r="AI216" s="156">
        <v>206</v>
      </c>
      <c r="AJ216" s="156"/>
      <c r="AK216" s="156" t="str">
        <f t="array" ref="AK216">IFERROR(INDEX($AI$11:$AI$259, MATCH(0, IF(TRUE=$AF$11:$AF$259, COUNTIF($AK$10:$AK215, $AI$11:$AI$259), ""), 0)),"")</f>
        <v/>
      </c>
      <c r="AL216" s="156" t="str">
        <f t="array" ref="AL216">IFERROR(INDEX($AI$11:$AI$259, MATCH(0, IF(TRUE=$AG$11:$AG$259, COUNTIF($AL$10:$AL215, $AI$11:$AI$259), ""), 0)),"")</f>
        <v/>
      </c>
      <c r="AM216" s="156" t="str">
        <f t="array" ref="AM216">IFERROR(INDEX($AI$11:$AI$259, MATCH(0, IF(TRUE=$AH$11:$AH$259, COUNTIF($AM$10:$AM215, $AI$11:$AI$259), ""), 0)),"")</f>
        <v/>
      </c>
      <c r="AQ216" s="31">
        <f t="shared" si="23"/>
        <v>0</v>
      </c>
    </row>
    <row r="217" spans="1:43" x14ac:dyDescent="0.25">
      <c r="A217" s="31" t="str">
        <f>IFERROR(INDEX('G-1 All Habitats'!$AG$3:$AG$15,MATCH(E217,'G-1 All Habitats'!$AF$3:$AF$15,0)),"")</f>
        <v/>
      </c>
      <c r="B217" s="31" t="str">
        <f>IFERROR(INDEX('G-8 Condition Look up'!$I$4:$I$130,MATCH(G217,'G-8 Condition Look up'!$A$4:$A$130,0)),"")</f>
        <v/>
      </c>
      <c r="D217" s="141">
        <v>207</v>
      </c>
      <c r="E217" s="203"/>
      <c r="F217" s="203"/>
      <c r="G217" s="250" t="str">
        <f>IFERROR(INDEX('G-1 All Habitats'!$B$3:$B$129,MATCH(F217,'G-1 All Habitats'!$A$3:$A$129,0)),"")</f>
        <v/>
      </c>
      <c r="H217" s="172"/>
      <c r="I217" s="498" t="str">
        <f>IF(G217="","",VLOOKUP(G217,'G-1 All Habitats'!$B$2:$M$129,10,FALSE))</f>
        <v/>
      </c>
      <c r="J217" s="499" t="str">
        <f>IFERROR(VLOOKUP(I217,'G-1 All Habitats'!$V$3:$W$7,2,FALSE),"")</f>
        <v/>
      </c>
      <c r="K217" s="145"/>
      <c r="L217" s="499" t="str">
        <f>IFERROR(INDEX('G-8 Condition Look up'!$A$3:$H$130,MATCH(G217,'G-8 Condition Look up'!$A$3:$A$130,0),MATCH(K217,'G-8 Condition Look up'!$A$3:$H$3,0)),"")</f>
        <v/>
      </c>
      <c r="M217" s="154"/>
      <c r="N217" s="520" t="str">
        <f>IF(M217="","",IF(VLOOKUP(M217,'G-3 Multipliers'!$L$3:$N$6,2,FALSE)=0,"Spatial Data Missing ⚠",VLOOKUP(M217,'G-3 Multipliers'!$L$3:$N$6,2,FALSE)))</f>
        <v/>
      </c>
      <c r="O217" s="524" t="str">
        <f>IF(M217="","",IF(VLOOKUP(M217,'G-3 Multipliers'!$L$3:$N$6,3,FALSE)=0,"Spatial Data Missing ⚠",VLOOKUP(M217,'G-3 Multipliers'!$L$3:$N$6,3,FALSE)))</f>
        <v/>
      </c>
      <c r="P217" s="506" t="str">
        <f>IFERROR(VLOOKUP(G217,'G-1 All Habitats'!$B$2:$M$129,12,FALSE),"")</f>
        <v/>
      </c>
      <c r="Q217" s="513" t="str">
        <f>IFERROR(IF(P217="","",IF(AND(P217='G-1 All Habitats'!$X$3,T217&gt;0),U217+V217,IF(AND(P217='G-1 All Habitats'!$X$3,S217&gt;0),U217+V217,IF(AND(P217='G-1 All Habitats'!$X$3,AC217&gt;0),"Any Loss Unacceptable",IF(AND(P217='G-1 All Habitats'!$X$3,W217&gt;0),"Any Loss Unacceptable",H217*J217*L217*O217))))),"Check Data ⚠")</f>
        <v/>
      </c>
      <c r="R217" s="50"/>
      <c r="S217" s="71"/>
      <c r="T217" s="72"/>
      <c r="U217" s="511" t="str">
        <f t="shared" si="20"/>
        <v/>
      </c>
      <c r="V217" s="511" t="str">
        <f t="shared" si="21"/>
        <v/>
      </c>
      <c r="W217" s="511"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545" t="str">
        <f>IFERROR(IF(H217="","",IF(H217-S217-T217=0&lt;0,"Error in Areas ▲",IF(S217+T217&gt;H217,"Error in Areas ▲",IF(AND(P217='G-1 All Habitats'!$X$3,Y217="Yes"),"Alternative Compensation",IF(W217=0,0,IF(P217='G-1 All Habitats'!$X$3,"Unacceptable Loss",Q217-U217-V217)))))),"Check Data ⚠")</f>
        <v/>
      </c>
      <c r="Y217" s="72"/>
      <c r="Z217" s="151"/>
      <c r="AA217" s="152"/>
      <c r="AC217" s="251" t="str">
        <f>IF(P217="","",IF(P217='G-1 All Habitats'!$X$3,H217-S217-T217,"None"))</f>
        <v/>
      </c>
      <c r="AD217" s="252" t="str">
        <f t="shared" si="22"/>
        <v/>
      </c>
      <c r="AF217" s="156" t="str">
        <f t="shared" si="18"/>
        <v/>
      </c>
      <c r="AG217" s="156" t="str">
        <f t="shared" si="19"/>
        <v/>
      </c>
      <c r="AH217" s="156" t="str">
        <f>IF(I217="","",IF(#REF!&gt;0,TRUE,FALSE))</f>
        <v/>
      </c>
      <c r="AI217" s="156">
        <v>207</v>
      </c>
      <c r="AJ217" s="156"/>
      <c r="AK217" s="156" t="str">
        <f t="array" ref="AK217">IFERROR(INDEX($AI$11:$AI$259, MATCH(0, IF(TRUE=$AF$11:$AF$259, COUNTIF($AK$10:$AK216, $AI$11:$AI$259), ""), 0)),"")</f>
        <v/>
      </c>
      <c r="AL217" s="156" t="str">
        <f t="array" ref="AL217">IFERROR(INDEX($AI$11:$AI$259, MATCH(0, IF(TRUE=$AG$11:$AG$259, COUNTIF($AL$10:$AL216, $AI$11:$AI$259), ""), 0)),"")</f>
        <v/>
      </c>
      <c r="AM217" s="156" t="str">
        <f t="array" ref="AM217">IFERROR(INDEX($AI$11:$AI$259, MATCH(0, IF(TRUE=$AH$11:$AH$259, COUNTIF($AM$10:$AM216, $AI$11:$AI$259), ""), 0)),"")</f>
        <v/>
      </c>
      <c r="AQ217" s="31">
        <f t="shared" si="23"/>
        <v>0</v>
      </c>
    </row>
    <row r="218" spans="1:43" x14ac:dyDescent="0.25">
      <c r="A218" s="31" t="str">
        <f>IFERROR(INDEX('G-1 All Habitats'!$AG$3:$AG$15,MATCH(E218,'G-1 All Habitats'!$AF$3:$AF$15,0)),"")</f>
        <v/>
      </c>
      <c r="B218" s="31" t="str">
        <f>IFERROR(INDEX('G-8 Condition Look up'!$I$4:$I$130,MATCH(G218,'G-8 Condition Look up'!$A$4:$A$130,0)),"")</f>
        <v/>
      </c>
      <c r="D218" s="141">
        <v>208</v>
      </c>
      <c r="E218" s="203"/>
      <c r="F218" s="203"/>
      <c r="G218" s="250" t="str">
        <f>IFERROR(INDEX('G-1 All Habitats'!$B$3:$B$129,MATCH(F218,'G-1 All Habitats'!$A$3:$A$129,0)),"")</f>
        <v/>
      </c>
      <c r="H218" s="172"/>
      <c r="I218" s="498" t="str">
        <f>IF(G218="","",VLOOKUP(G218,'G-1 All Habitats'!$B$2:$M$129,10,FALSE))</f>
        <v/>
      </c>
      <c r="J218" s="499" t="str">
        <f>IFERROR(VLOOKUP(I218,'G-1 All Habitats'!$V$3:$W$7,2,FALSE),"")</f>
        <v/>
      </c>
      <c r="K218" s="145"/>
      <c r="L218" s="499" t="str">
        <f>IFERROR(INDEX('G-8 Condition Look up'!$A$3:$H$130,MATCH(G218,'G-8 Condition Look up'!$A$3:$A$130,0),MATCH(K218,'G-8 Condition Look up'!$A$3:$H$3,0)),"")</f>
        <v/>
      </c>
      <c r="M218" s="154"/>
      <c r="N218" s="520" t="str">
        <f>IF(M218="","",IF(VLOOKUP(M218,'G-3 Multipliers'!$L$3:$N$6,2,FALSE)=0,"Spatial Data Missing ⚠",VLOOKUP(M218,'G-3 Multipliers'!$L$3:$N$6,2,FALSE)))</f>
        <v/>
      </c>
      <c r="O218" s="524" t="str">
        <f>IF(M218="","",IF(VLOOKUP(M218,'G-3 Multipliers'!$L$3:$N$6,3,FALSE)=0,"Spatial Data Missing ⚠",VLOOKUP(M218,'G-3 Multipliers'!$L$3:$N$6,3,FALSE)))</f>
        <v/>
      </c>
      <c r="P218" s="506" t="str">
        <f>IFERROR(VLOOKUP(G218,'G-1 All Habitats'!$B$2:$M$129,12,FALSE),"")</f>
        <v/>
      </c>
      <c r="Q218" s="513" t="str">
        <f>IFERROR(IF(P218="","",IF(AND(P218='G-1 All Habitats'!$X$3,T218&gt;0),U218+V218,IF(AND(P218='G-1 All Habitats'!$X$3,S218&gt;0),U218+V218,IF(AND(P218='G-1 All Habitats'!$X$3,AC218&gt;0),"Any Loss Unacceptable",IF(AND(P218='G-1 All Habitats'!$X$3,W218&gt;0),"Any Loss Unacceptable",H218*J218*L218*O218))))),"Check Data ⚠")</f>
        <v/>
      </c>
      <c r="R218" s="50"/>
      <c r="S218" s="71"/>
      <c r="T218" s="72"/>
      <c r="U218" s="511" t="str">
        <f t="shared" si="20"/>
        <v/>
      </c>
      <c r="V218" s="511" t="str">
        <f t="shared" si="21"/>
        <v/>
      </c>
      <c r="W218" s="511"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545" t="str">
        <f>IFERROR(IF(H218="","",IF(H218-S218-T218=0&lt;0,"Error in Areas ▲",IF(S218+T218&gt;H218,"Error in Areas ▲",IF(AND(P218='G-1 All Habitats'!$X$3,Y218="Yes"),"Alternative Compensation",IF(W218=0,0,IF(P218='G-1 All Habitats'!$X$3,"Unacceptable Loss",Q218-U218-V218)))))),"Check Data ⚠")</f>
        <v/>
      </c>
      <c r="Y218" s="72"/>
      <c r="Z218" s="151"/>
      <c r="AA218" s="152"/>
      <c r="AC218" s="251" t="str">
        <f>IF(P218="","",IF(P218='G-1 All Habitats'!$X$3,H218-S218-T218,"None"))</f>
        <v/>
      </c>
      <c r="AD218" s="252" t="str">
        <f t="shared" si="22"/>
        <v/>
      </c>
      <c r="AF218" s="156" t="str">
        <f t="shared" si="18"/>
        <v/>
      </c>
      <c r="AG218" s="156" t="str">
        <f t="shared" si="19"/>
        <v/>
      </c>
      <c r="AH218" s="156" t="str">
        <f>IF(I218="","",IF(#REF!&gt;0,TRUE,FALSE))</f>
        <v/>
      </c>
      <c r="AI218" s="156">
        <v>208</v>
      </c>
      <c r="AJ218" s="156"/>
      <c r="AK218" s="156" t="str">
        <f t="array" ref="AK218">IFERROR(INDEX($AI$11:$AI$259, MATCH(0, IF(TRUE=$AF$11:$AF$259, COUNTIF($AK$10:$AK217, $AI$11:$AI$259), ""), 0)),"")</f>
        <v/>
      </c>
      <c r="AL218" s="156" t="str">
        <f t="array" ref="AL218">IFERROR(INDEX($AI$11:$AI$259, MATCH(0, IF(TRUE=$AG$11:$AG$259, COUNTIF($AL$10:$AL217, $AI$11:$AI$259), ""), 0)),"")</f>
        <v/>
      </c>
      <c r="AM218" s="156" t="str">
        <f t="array" ref="AM218">IFERROR(INDEX($AI$11:$AI$259, MATCH(0, IF(TRUE=$AH$11:$AH$259, COUNTIF($AM$10:$AM217, $AI$11:$AI$259), ""), 0)),"")</f>
        <v/>
      </c>
      <c r="AQ218" s="31">
        <f t="shared" si="23"/>
        <v>0</v>
      </c>
    </row>
    <row r="219" spans="1:43" x14ac:dyDescent="0.25">
      <c r="A219" s="31" t="str">
        <f>IFERROR(INDEX('G-1 All Habitats'!$AG$3:$AG$15,MATCH(E219,'G-1 All Habitats'!$AF$3:$AF$15,0)),"")</f>
        <v/>
      </c>
      <c r="B219" s="31" t="str">
        <f>IFERROR(INDEX('G-8 Condition Look up'!$I$4:$I$130,MATCH(G219,'G-8 Condition Look up'!$A$4:$A$130,0)),"")</f>
        <v/>
      </c>
      <c r="D219" s="141">
        <v>209</v>
      </c>
      <c r="E219" s="203"/>
      <c r="F219" s="203"/>
      <c r="G219" s="250" t="str">
        <f>IFERROR(INDEX('G-1 All Habitats'!$B$3:$B$129,MATCH(F219,'G-1 All Habitats'!$A$3:$A$129,0)),"")</f>
        <v/>
      </c>
      <c r="H219" s="172"/>
      <c r="I219" s="498" t="str">
        <f>IF(G219="","",VLOOKUP(G219,'G-1 All Habitats'!$B$2:$M$129,10,FALSE))</f>
        <v/>
      </c>
      <c r="J219" s="499" t="str">
        <f>IFERROR(VLOOKUP(I219,'G-1 All Habitats'!$V$3:$W$7,2,FALSE),"")</f>
        <v/>
      </c>
      <c r="K219" s="145"/>
      <c r="L219" s="499" t="str">
        <f>IFERROR(INDEX('G-8 Condition Look up'!$A$3:$H$130,MATCH(G219,'G-8 Condition Look up'!$A$3:$A$130,0),MATCH(K219,'G-8 Condition Look up'!$A$3:$H$3,0)),"")</f>
        <v/>
      </c>
      <c r="M219" s="154"/>
      <c r="N219" s="520" t="str">
        <f>IF(M219="","",IF(VLOOKUP(M219,'G-3 Multipliers'!$L$3:$N$6,2,FALSE)=0,"Spatial Data Missing ⚠",VLOOKUP(M219,'G-3 Multipliers'!$L$3:$N$6,2,FALSE)))</f>
        <v/>
      </c>
      <c r="O219" s="524" t="str">
        <f>IF(M219="","",IF(VLOOKUP(M219,'G-3 Multipliers'!$L$3:$N$6,3,FALSE)=0,"Spatial Data Missing ⚠",VLOOKUP(M219,'G-3 Multipliers'!$L$3:$N$6,3,FALSE)))</f>
        <v/>
      </c>
      <c r="P219" s="506" t="str">
        <f>IFERROR(VLOOKUP(G219,'G-1 All Habitats'!$B$2:$M$129,12,FALSE),"")</f>
        <v/>
      </c>
      <c r="Q219" s="513" t="str">
        <f>IFERROR(IF(P219="","",IF(AND(P219='G-1 All Habitats'!$X$3,T219&gt;0),U219+V219,IF(AND(P219='G-1 All Habitats'!$X$3,S219&gt;0),U219+V219,IF(AND(P219='G-1 All Habitats'!$X$3,AC219&gt;0),"Any Loss Unacceptable",IF(AND(P219='G-1 All Habitats'!$X$3,W219&gt;0),"Any Loss Unacceptable",H219*J219*L219*O219))))),"Check Data ⚠")</f>
        <v/>
      </c>
      <c r="R219" s="50"/>
      <c r="S219" s="71"/>
      <c r="T219" s="72"/>
      <c r="U219" s="511" t="str">
        <f t="shared" si="20"/>
        <v/>
      </c>
      <c r="V219" s="511" t="str">
        <f t="shared" si="21"/>
        <v/>
      </c>
      <c r="W219" s="511"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545" t="str">
        <f>IFERROR(IF(H219="","",IF(H219-S219-T219=0&lt;0,"Error in Areas ▲",IF(S219+T219&gt;H219,"Error in Areas ▲",IF(AND(P219='G-1 All Habitats'!$X$3,Y219="Yes"),"Alternative Compensation",IF(W219=0,0,IF(P219='G-1 All Habitats'!$X$3,"Unacceptable Loss",Q219-U219-V219)))))),"Check Data ⚠")</f>
        <v/>
      </c>
      <c r="Y219" s="72"/>
      <c r="Z219" s="151"/>
      <c r="AA219" s="152"/>
      <c r="AC219" s="251" t="str">
        <f>IF(P219="","",IF(P219='G-1 All Habitats'!$X$3,H219-S219-T219,"None"))</f>
        <v/>
      </c>
      <c r="AD219" s="252" t="str">
        <f t="shared" si="22"/>
        <v/>
      </c>
      <c r="AF219" s="156" t="str">
        <f t="shared" si="18"/>
        <v/>
      </c>
      <c r="AG219" s="156" t="str">
        <f t="shared" si="19"/>
        <v/>
      </c>
      <c r="AH219" s="156" t="str">
        <f>IF(I219="","",IF(#REF!&gt;0,TRUE,FALSE))</f>
        <v/>
      </c>
      <c r="AI219" s="156">
        <v>209</v>
      </c>
      <c r="AJ219" s="156"/>
      <c r="AK219" s="156" t="str">
        <f t="array" ref="AK219">IFERROR(INDEX($AI$11:$AI$259, MATCH(0, IF(TRUE=$AF$11:$AF$259, COUNTIF($AK$10:$AK218, $AI$11:$AI$259), ""), 0)),"")</f>
        <v/>
      </c>
      <c r="AL219" s="156" t="str">
        <f t="array" ref="AL219">IFERROR(INDEX($AI$11:$AI$259, MATCH(0, IF(TRUE=$AG$11:$AG$259, COUNTIF($AL$10:$AL218, $AI$11:$AI$259), ""), 0)),"")</f>
        <v/>
      </c>
      <c r="AM219" s="156" t="str">
        <f t="array" ref="AM219">IFERROR(INDEX($AI$11:$AI$259, MATCH(0, IF(TRUE=$AH$11:$AH$259, COUNTIF($AM$10:$AM218, $AI$11:$AI$259), ""), 0)),"")</f>
        <v/>
      </c>
      <c r="AQ219" s="31">
        <f t="shared" si="23"/>
        <v>0</v>
      </c>
    </row>
    <row r="220" spans="1:43" x14ac:dyDescent="0.25">
      <c r="A220" s="31" t="str">
        <f>IFERROR(INDEX('G-1 All Habitats'!$AG$3:$AG$15,MATCH(E220,'G-1 All Habitats'!$AF$3:$AF$15,0)),"")</f>
        <v/>
      </c>
      <c r="B220" s="31" t="str">
        <f>IFERROR(INDEX('G-8 Condition Look up'!$I$4:$I$130,MATCH(G220,'G-8 Condition Look up'!$A$4:$A$130,0)),"")</f>
        <v/>
      </c>
      <c r="D220" s="141">
        <v>210</v>
      </c>
      <c r="E220" s="203"/>
      <c r="F220" s="203"/>
      <c r="G220" s="250" t="str">
        <f>IFERROR(INDEX('G-1 All Habitats'!$B$3:$B$129,MATCH(F220,'G-1 All Habitats'!$A$3:$A$129,0)),"")</f>
        <v/>
      </c>
      <c r="H220" s="172"/>
      <c r="I220" s="498" t="str">
        <f>IF(G220="","",VLOOKUP(G220,'G-1 All Habitats'!$B$2:$M$129,10,FALSE))</f>
        <v/>
      </c>
      <c r="J220" s="499" t="str">
        <f>IFERROR(VLOOKUP(I220,'G-1 All Habitats'!$V$3:$W$7,2,FALSE),"")</f>
        <v/>
      </c>
      <c r="K220" s="145"/>
      <c r="L220" s="499" t="str">
        <f>IFERROR(INDEX('G-8 Condition Look up'!$A$3:$H$130,MATCH(G220,'G-8 Condition Look up'!$A$3:$A$130,0),MATCH(K220,'G-8 Condition Look up'!$A$3:$H$3,0)),"")</f>
        <v/>
      </c>
      <c r="M220" s="154"/>
      <c r="N220" s="520" t="str">
        <f>IF(M220="","",IF(VLOOKUP(M220,'G-3 Multipliers'!$L$3:$N$6,2,FALSE)=0,"Spatial Data Missing ⚠",VLOOKUP(M220,'G-3 Multipliers'!$L$3:$N$6,2,FALSE)))</f>
        <v/>
      </c>
      <c r="O220" s="524" t="str">
        <f>IF(M220="","",IF(VLOOKUP(M220,'G-3 Multipliers'!$L$3:$N$6,3,FALSE)=0,"Spatial Data Missing ⚠",VLOOKUP(M220,'G-3 Multipliers'!$L$3:$N$6,3,FALSE)))</f>
        <v/>
      </c>
      <c r="P220" s="506" t="str">
        <f>IFERROR(VLOOKUP(G220,'G-1 All Habitats'!$B$2:$M$129,12,FALSE),"")</f>
        <v/>
      </c>
      <c r="Q220" s="513" t="str">
        <f>IFERROR(IF(P220="","",IF(AND(P220='G-1 All Habitats'!$X$3,T220&gt;0),U220+V220,IF(AND(P220='G-1 All Habitats'!$X$3,S220&gt;0),U220+V220,IF(AND(P220='G-1 All Habitats'!$X$3,AC220&gt;0),"Any Loss Unacceptable",IF(AND(P220='G-1 All Habitats'!$X$3,W220&gt;0),"Any Loss Unacceptable",H220*J220*L220*O220))))),"Check Data ⚠")</f>
        <v/>
      </c>
      <c r="R220" s="50"/>
      <c r="S220" s="71"/>
      <c r="T220" s="72"/>
      <c r="U220" s="511" t="str">
        <f t="shared" si="20"/>
        <v/>
      </c>
      <c r="V220" s="511" t="str">
        <f t="shared" si="21"/>
        <v/>
      </c>
      <c r="W220" s="511"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545" t="str">
        <f>IFERROR(IF(H220="","",IF(H220-S220-T220=0&lt;0,"Error in Areas ▲",IF(S220+T220&gt;H220,"Error in Areas ▲",IF(AND(P220='G-1 All Habitats'!$X$3,Y220="Yes"),"Alternative Compensation",IF(W220=0,0,IF(P220='G-1 All Habitats'!$X$3,"Unacceptable Loss",Q220-U220-V220)))))),"Check Data ⚠")</f>
        <v/>
      </c>
      <c r="Y220" s="72"/>
      <c r="Z220" s="151"/>
      <c r="AA220" s="152"/>
      <c r="AC220" s="251" t="str">
        <f>IF(P220="","",IF(P220='G-1 All Habitats'!$X$3,H220-S220-T220,"None"))</f>
        <v/>
      </c>
      <c r="AD220" s="252" t="str">
        <f t="shared" si="22"/>
        <v/>
      </c>
      <c r="AF220" s="156" t="str">
        <f t="shared" si="18"/>
        <v/>
      </c>
      <c r="AG220" s="156" t="str">
        <f t="shared" si="19"/>
        <v/>
      </c>
      <c r="AH220" s="156" t="str">
        <f>IF(I220="","",IF(#REF!&gt;0,TRUE,FALSE))</f>
        <v/>
      </c>
      <c r="AI220" s="156">
        <v>210</v>
      </c>
      <c r="AJ220" s="156"/>
      <c r="AK220" s="156" t="str">
        <f t="array" ref="AK220">IFERROR(INDEX($AI$11:$AI$259, MATCH(0, IF(TRUE=$AF$11:$AF$259, COUNTIF($AK$10:$AK219, $AI$11:$AI$259), ""), 0)),"")</f>
        <v/>
      </c>
      <c r="AL220" s="156" t="str">
        <f t="array" ref="AL220">IFERROR(INDEX($AI$11:$AI$259, MATCH(0, IF(TRUE=$AG$11:$AG$259, COUNTIF($AL$10:$AL219, $AI$11:$AI$259), ""), 0)),"")</f>
        <v/>
      </c>
      <c r="AM220" s="156" t="str">
        <f t="array" ref="AM220">IFERROR(INDEX($AI$11:$AI$259, MATCH(0, IF(TRUE=$AH$11:$AH$259, COUNTIF($AM$10:$AM219, $AI$11:$AI$259), ""), 0)),"")</f>
        <v/>
      </c>
      <c r="AQ220" s="31">
        <f t="shared" si="23"/>
        <v>0</v>
      </c>
    </row>
    <row r="221" spans="1:43" x14ac:dyDescent="0.25">
      <c r="A221" s="31" t="str">
        <f>IFERROR(INDEX('G-1 All Habitats'!$AG$3:$AG$15,MATCH(E221,'G-1 All Habitats'!$AF$3:$AF$15,0)),"")</f>
        <v/>
      </c>
      <c r="B221" s="31" t="str">
        <f>IFERROR(INDEX('G-8 Condition Look up'!$I$4:$I$130,MATCH(G221,'G-8 Condition Look up'!$A$4:$A$130,0)),"")</f>
        <v/>
      </c>
      <c r="D221" s="141">
        <v>211</v>
      </c>
      <c r="E221" s="203"/>
      <c r="F221" s="203"/>
      <c r="G221" s="250" t="str">
        <f>IFERROR(INDEX('G-1 All Habitats'!$B$3:$B$129,MATCH(F221,'G-1 All Habitats'!$A$3:$A$129,0)),"")</f>
        <v/>
      </c>
      <c r="H221" s="172"/>
      <c r="I221" s="498" t="str">
        <f>IF(G221="","",VLOOKUP(G221,'G-1 All Habitats'!$B$2:$M$129,10,FALSE))</f>
        <v/>
      </c>
      <c r="J221" s="499" t="str">
        <f>IFERROR(VLOOKUP(I221,'G-1 All Habitats'!$V$3:$W$7,2,FALSE),"")</f>
        <v/>
      </c>
      <c r="K221" s="145"/>
      <c r="L221" s="499" t="str">
        <f>IFERROR(INDEX('G-8 Condition Look up'!$A$3:$H$130,MATCH(G221,'G-8 Condition Look up'!$A$3:$A$130,0),MATCH(K221,'G-8 Condition Look up'!$A$3:$H$3,0)),"")</f>
        <v/>
      </c>
      <c r="M221" s="154"/>
      <c r="N221" s="520" t="str">
        <f>IF(M221="","",IF(VLOOKUP(M221,'G-3 Multipliers'!$L$3:$N$6,2,FALSE)=0,"Spatial Data Missing ⚠",VLOOKUP(M221,'G-3 Multipliers'!$L$3:$N$6,2,FALSE)))</f>
        <v/>
      </c>
      <c r="O221" s="524" t="str">
        <f>IF(M221="","",IF(VLOOKUP(M221,'G-3 Multipliers'!$L$3:$N$6,3,FALSE)=0,"Spatial Data Missing ⚠",VLOOKUP(M221,'G-3 Multipliers'!$L$3:$N$6,3,FALSE)))</f>
        <v/>
      </c>
      <c r="P221" s="506" t="str">
        <f>IFERROR(VLOOKUP(G221,'G-1 All Habitats'!$B$2:$M$129,12,FALSE),"")</f>
        <v/>
      </c>
      <c r="Q221" s="513" t="str">
        <f>IFERROR(IF(P221="","",IF(AND(P221='G-1 All Habitats'!$X$3,T221&gt;0),U221+V221,IF(AND(P221='G-1 All Habitats'!$X$3,S221&gt;0),U221+V221,IF(AND(P221='G-1 All Habitats'!$X$3,AC221&gt;0),"Any Loss Unacceptable",IF(AND(P221='G-1 All Habitats'!$X$3,W221&gt;0),"Any Loss Unacceptable",H221*J221*L221*O221))))),"Check Data ⚠")</f>
        <v/>
      </c>
      <c r="R221" s="50"/>
      <c r="S221" s="71"/>
      <c r="T221" s="72"/>
      <c r="U221" s="511" t="str">
        <f t="shared" si="20"/>
        <v/>
      </c>
      <c r="V221" s="511" t="str">
        <f t="shared" si="21"/>
        <v/>
      </c>
      <c r="W221" s="511"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545" t="str">
        <f>IFERROR(IF(H221="","",IF(H221-S221-T221=0&lt;0,"Error in Areas ▲",IF(S221+T221&gt;H221,"Error in Areas ▲",IF(AND(P221='G-1 All Habitats'!$X$3,Y221="Yes"),"Alternative Compensation",IF(W221=0,0,IF(P221='G-1 All Habitats'!$X$3,"Unacceptable Loss",Q221-U221-V221)))))),"Check Data ⚠")</f>
        <v/>
      </c>
      <c r="Y221" s="72"/>
      <c r="Z221" s="151"/>
      <c r="AA221" s="152"/>
      <c r="AC221" s="251" t="str">
        <f>IF(P221="","",IF(P221='G-1 All Habitats'!$X$3,H221-S221-T221,"None"))</f>
        <v/>
      </c>
      <c r="AD221" s="252" t="str">
        <f t="shared" si="22"/>
        <v/>
      </c>
      <c r="AF221" s="156" t="str">
        <f t="shared" si="18"/>
        <v/>
      </c>
      <c r="AG221" s="156" t="str">
        <f t="shared" si="19"/>
        <v/>
      </c>
      <c r="AH221" s="156" t="str">
        <f>IF(I221="","",IF(#REF!&gt;0,TRUE,FALSE))</f>
        <v/>
      </c>
      <c r="AI221" s="156">
        <v>211</v>
      </c>
      <c r="AJ221" s="156"/>
      <c r="AK221" s="156" t="str">
        <f t="array" ref="AK221">IFERROR(INDEX($AI$11:$AI$259, MATCH(0, IF(TRUE=$AF$11:$AF$259, COUNTIF($AK$10:$AK220, $AI$11:$AI$259), ""), 0)),"")</f>
        <v/>
      </c>
      <c r="AL221" s="156" t="str">
        <f t="array" ref="AL221">IFERROR(INDEX($AI$11:$AI$259, MATCH(0, IF(TRUE=$AG$11:$AG$259, COUNTIF($AL$10:$AL220, $AI$11:$AI$259), ""), 0)),"")</f>
        <v/>
      </c>
      <c r="AM221" s="156" t="str">
        <f t="array" ref="AM221">IFERROR(INDEX($AI$11:$AI$259, MATCH(0, IF(TRUE=$AH$11:$AH$259, COUNTIF($AM$10:$AM220, $AI$11:$AI$259), ""), 0)),"")</f>
        <v/>
      </c>
      <c r="AQ221" s="31">
        <f t="shared" si="23"/>
        <v>0</v>
      </c>
    </row>
    <row r="222" spans="1:43" x14ac:dyDescent="0.25">
      <c r="A222" s="31" t="str">
        <f>IFERROR(INDEX('G-1 All Habitats'!$AG$3:$AG$15,MATCH(E222,'G-1 All Habitats'!$AF$3:$AF$15,0)),"")</f>
        <v/>
      </c>
      <c r="B222" s="31" t="str">
        <f>IFERROR(INDEX('G-8 Condition Look up'!$I$4:$I$130,MATCH(G222,'G-8 Condition Look up'!$A$4:$A$130,0)),"")</f>
        <v/>
      </c>
      <c r="D222" s="141">
        <v>212</v>
      </c>
      <c r="E222" s="203"/>
      <c r="F222" s="203"/>
      <c r="G222" s="250" t="str">
        <f>IFERROR(INDEX('G-1 All Habitats'!$B$3:$B$129,MATCH(F222,'G-1 All Habitats'!$A$3:$A$129,0)),"")</f>
        <v/>
      </c>
      <c r="H222" s="172"/>
      <c r="I222" s="498" t="str">
        <f>IF(G222="","",VLOOKUP(G222,'G-1 All Habitats'!$B$2:$M$129,10,FALSE))</f>
        <v/>
      </c>
      <c r="J222" s="499" t="str">
        <f>IFERROR(VLOOKUP(I222,'G-1 All Habitats'!$V$3:$W$7,2,FALSE),"")</f>
        <v/>
      </c>
      <c r="K222" s="145"/>
      <c r="L222" s="499" t="str">
        <f>IFERROR(INDEX('G-8 Condition Look up'!$A$3:$H$130,MATCH(G222,'G-8 Condition Look up'!$A$3:$A$130,0),MATCH(K222,'G-8 Condition Look up'!$A$3:$H$3,0)),"")</f>
        <v/>
      </c>
      <c r="M222" s="154"/>
      <c r="N222" s="520" t="str">
        <f>IF(M222="","",IF(VLOOKUP(M222,'G-3 Multipliers'!$L$3:$N$6,2,FALSE)=0,"Spatial Data Missing ⚠",VLOOKUP(M222,'G-3 Multipliers'!$L$3:$N$6,2,FALSE)))</f>
        <v/>
      </c>
      <c r="O222" s="524" t="str">
        <f>IF(M222="","",IF(VLOOKUP(M222,'G-3 Multipliers'!$L$3:$N$6,3,FALSE)=0,"Spatial Data Missing ⚠",VLOOKUP(M222,'G-3 Multipliers'!$L$3:$N$6,3,FALSE)))</f>
        <v/>
      </c>
      <c r="P222" s="506" t="str">
        <f>IFERROR(VLOOKUP(G222,'G-1 All Habitats'!$B$2:$M$129,12,FALSE),"")</f>
        <v/>
      </c>
      <c r="Q222" s="513" t="str">
        <f>IFERROR(IF(P222="","",IF(AND(P222='G-1 All Habitats'!$X$3,T222&gt;0),U222+V222,IF(AND(P222='G-1 All Habitats'!$X$3,S222&gt;0),U222+V222,IF(AND(P222='G-1 All Habitats'!$X$3,AC222&gt;0),"Any Loss Unacceptable",IF(AND(P222='G-1 All Habitats'!$X$3,W222&gt;0),"Any Loss Unacceptable",H222*J222*L222*O222))))),"Check Data ⚠")</f>
        <v/>
      </c>
      <c r="R222" s="50"/>
      <c r="S222" s="71"/>
      <c r="T222" s="72"/>
      <c r="U222" s="511" t="str">
        <f t="shared" si="20"/>
        <v/>
      </c>
      <c r="V222" s="511" t="str">
        <f t="shared" si="21"/>
        <v/>
      </c>
      <c r="W222" s="511"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545" t="str">
        <f>IFERROR(IF(H222="","",IF(H222-S222-T222=0&lt;0,"Error in Areas ▲",IF(S222+T222&gt;H222,"Error in Areas ▲",IF(AND(P222='G-1 All Habitats'!$X$3,Y222="Yes"),"Alternative Compensation",IF(W222=0,0,IF(P222='G-1 All Habitats'!$X$3,"Unacceptable Loss",Q222-U222-V222)))))),"Check Data ⚠")</f>
        <v/>
      </c>
      <c r="Y222" s="72"/>
      <c r="Z222" s="151"/>
      <c r="AA222" s="152"/>
      <c r="AC222" s="251" t="str">
        <f>IF(P222="","",IF(P222='G-1 All Habitats'!$X$3,H222-S222-T222,"None"))</f>
        <v/>
      </c>
      <c r="AD222" s="252" t="str">
        <f t="shared" si="22"/>
        <v/>
      </c>
      <c r="AF222" s="156" t="str">
        <f t="shared" si="18"/>
        <v/>
      </c>
      <c r="AG222" s="156" t="str">
        <f t="shared" si="19"/>
        <v/>
      </c>
      <c r="AH222" s="156" t="str">
        <f>IF(I222="","",IF(#REF!&gt;0,TRUE,FALSE))</f>
        <v/>
      </c>
      <c r="AI222" s="156">
        <v>212</v>
      </c>
      <c r="AJ222" s="156"/>
      <c r="AK222" s="156" t="str">
        <f t="array" ref="AK222">IFERROR(INDEX($AI$11:$AI$259, MATCH(0, IF(TRUE=$AF$11:$AF$259, COUNTIF($AK$10:$AK221, $AI$11:$AI$259), ""), 0)),"")</f>
        <v/>
      </c>
      <c r="AL222" s="156" t="str">
        <f t="array" ref="AL222">IFERROR(INDEX($AI$11:$AI$259, MATCH(0, IF(TRUE=$AG$11:$AG$259, COUNTIF($AL$10:$AL221, $AI$11:$AI$259), ""), 0)),"")</f>
        <v/>
      </c>
      <c r="AM222" s="156" t="str">
        <f t="array" ref="AM222">IFERROR(INDEX($AI$11:$AI$259, MATCH(0, IF(TRUE=$AH$11:$AH$259, COUNTIF($AM$10:$AM221, $AI$11:$AI$259), ""), 0)),"")</f>
        <v/>
      </c>
      <c r="AQ222" s="31">
        <f t="shared" si="23"/>
        <v>0</v>
      </c>
    </row>
    <row r="223" spans="1:43" x14ac:dyDescent="0.25">
      <c r="A223" s="31" t="str">
        <f>IFERROR(INDEX('G-1 All Habitats'!$AG$3:$AG$15,MATCH(E223,'G-1 All Habitats'!$AF$3:$AF$15,0)),"")</f>
        <v/>
      </c>
      <c r="B223" s="31" t="str">
        <f>IFERROR(INDEX('G-8 Condition Look up'!$I$4:$I$130,MATCH(G223,'G-8 Condition Look up'!$A$4:$A$130,0)),"")</f>
        <v/>
      </c>
      <c r="D223" s="141">
        <v>213</v>
      </c>
      <c r="E223" s="203"/>
      <c r="F223" s="203"/>
      <c r="G223" s="250" t="str">
        <f>IFERROR(INDEX('G-1 All Habitats'!$B$3:$B$129,MATCH(F223,'G-1 All Habitats'!$A$3:$A$129,0)),"")</f>
        <v/>
      </c>
      <c r="H223" s="172"/>
      <c r="I223" s="498" t="str">
        <f>IF(G223="","",VLOOKUP(G223,'G-1 All Habitats'!$B$2:$M$129,10,FALSE))</f>
        <v/>
      </c>
      <c r="J223" s="499" t="str">
        <f>IFERROR(VLOOKUP(I223,'G-1 All Habitats'!$V$3:$W$7,2,FALSE),"")</f>
        <v/>
      </c>
      <c r="K223" s="145"/>
      <c r="L223" s="499" t="str">
        <f>IFERROR(INDEX('G-8 Condition Look up'!$A$3:$H$130,MATCH(G223,'G-8 Condition Look up'!$A$3:$A$130,0),MATCH(K223,'G-8 Condition Look up'!$A$3:$H$3,0)),"")</f>
        <v/>
      </c>
      <c r="M223" s="154"/>
      <c r="N223" s="520" t="str">
        <f>IF(M223="","",IF(VLOOKUP(M223,'G-3 Multipliers'!$L$3:$N$6,2,FALSE)=0,"Spatial Data Missing ⚠",VLOOKUP(M223,'G-3 Multipliers'!$L$3:$N$6,2,FALSE)))</f>
        <v/>
      </c>
      <c r="O223" s="524" t="str">
        <f>IF(M223="","",IF(VLOOKUP(M223,'G-3 Multipliers'!$L$3:$N$6,3,FALSE)=0,"Spatial Data Missing ⚠",VLOOKUP(M223,'G-3 Multipliers'!$L$3:$N$6,3,FALSE)))</f>
        <v/>
      </c>
      <c r="P223" s="506" t="str">
        <f>IFERROR(VLOOKUP(G223,'G-1 All Habitats'!$B$2:$M$129,12,FALSE),"")</f>
        <v/>
      </c>
      <c r="Q223" s="513" t="str">
        <f>IFERROR(IF(P223="","",IF(AND(P223='G-1 All Habitats'!$X$3,T223&gt;0),U223+V223,IF(AND(P223='G-1 All Habitats'!$X$3,S223&gt;0),U223+V223,IF(AND(P223='G-1 All Habitats'!$X$3,AC223&gt;0),"Any Loss Unacceptable",IF(AND(P223='G-1 All Habitats'!$X$3,W223&gt;0),"Any Loss Unacceptable",H223*J223*L223*O223))))),"Check Data ⚠")</f>
        <v/>
      </c>
      <c r="R223" s="50"/>
      <c r="S223" s="71"/>
      <c r="T223" s="72"/>
      <c r="U223" s="511" t="str">
        <f t="shared" si="20"/>
        <v/>
      </c>
      <c r="V223" s="511" t="str">
        <f t="shared" si="21"/>
        <v/>
      </c>
      <c r="W223" s="511"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545" t="str">
        <f>IFERROR(IF(H223="","",IF(H223-S223-T223=0&lt;0,"Error in Areas ▲",IF(S223+T223&gt;H223,"Error in Areas ▲",IF(AND(P223='G-1 All Habitats'!$X$3,Y223="Yes"),"Alternative Compensation",IF(W223=0,0,IF(P223='G-1 All Habitats'!$X$3,"Unacceptable Loss",Q223-U223-V223)))))),"Check Data ⚠")</f>
        <v/>
      </c>
      <c r="Y223" s="72"/>
      <c r="Z223" s="151"/>
      <c r="AA223" s="152"/>
      <c r="AC223" s="251" t="str">
        <f>IF(P223="","",IF(P223='G-1 All Habitats'!$X$3,H223-S223-T223,"None"))</f>
        <v/>
      </c>
      <c r="AD223" s="252" t="str">
        <f t="shared" si="22"/>
        <v/>
      </c>
      <c r="AF223" s="156" t="str">
        <f t="shared" si="18"/>
        <v/>
      </c>
      <c r="AG223" s="156" t="str">
        <f t="shared" si="19"/>
        <v/>
      </c>
      <c r="AH223" s="156" t="str">
        <f>IF(I223="","",IF(#REF!&gt;0,TRUE,FALSE))</f>
        <v/>
      </c>
      <c r="AI223" s="156">
        <v>213</v>
      </c>
      <c r="AJ223" s="156"/>
      <c r="AK223" s="156" t="str">
        <f t="array" ref="AK223">IFERROR(INDEX($AI$11:$AI$259, MATCH(0, IF(TRUE=$AF$11:$AF$259, COUNTIF($AK$10:$AK222, $AI$11:$AI$259), ""), 0)),"")</f>
        <v/>
      </c>
      <c r="AL223" s="156" t="str">
        <f t="array" ref="AL223">IFERROR(INDEX($AI$11:$AI$259, MATCH(0, IF(TRUE=$AG$11:$AG$259, COUNTIF($AL$10:$AL222, $AI$11:$AI$259), ""), 0)),"")</f>
        <v/>
      </c>
      <c r="AM223" s="156" t="str">
        <f t="array" ref="AM223">IFERROR(INDEX($AI$11:$AI$259, MATCH(0, IF(TRUE=$AH$11:$AH$259, COUNTIF($AM$10:$AM222, $AI$11:$AI$259), ""), 0)),"")</f>
        <v/>
      </c>
      <c r="AQ223" s="31">
        <f t="shared" si="23"/>
        <v>0</v>
      </c>
    </row>
    <row r="224" spans="1:43" x14ac:dyDescent="0.25">
      <c r="A224" s="31" t="str">
        <f>IFERROR(INDEX('G-1 All Habitats'!$AG$3:$AG$15,MATCH(E224,'G-1 All Habitats'!$AF$3:$AF$15,0)),"")</f>
        <v/>
      </c>
      <c r="B224" s="31" t="str">
        <f>IFERROR(INDEX('G-8 Condition Look up'!$I$4:$I$130,MATCH(G224,'G-8 Condition Look up'!$A$4:$A$130,0)),"")</f>
        <v/>
      </c>
      <c r="D224" s="141">
        <v>214</v>
      </c>
      <c r="E224" s="203"/>
      <c r="F224" s="203"/>
      <c r="G224" s="250" t="str">
        <f>IFERROR(INDEX('G-1 All Habitats'!$B$3:$B$129,MATCH(F224,'G-1 All Habitats'!$A$3:$A$129,0)),"")</f>
        <v/>
      </c>
      <c r="H224" s="172"/>
      <c r="I224" s="498" t="str">
        <f>IF(G224="","",VLOOKUP(G224,'G-1 All Habitats'!$B$2:$M$129,10,FALSE))</f>
        <v/>
      </c>
      <c r="J224" s="499" t="str">
        <f>IFERROR(VLOOKUP(I224,'G-1 All Habitats'!$V$3:$W$7,2,FALSE),"")</f>
        <v/>
      </c>
      <c r="K224" s="145"/>
      <c r="L224" s="499" t="str">
        <f>IFERROR(INDEX('G-8 Condition Look up'!$A$3:$H$130,MATCH(G224,'G-8 Condition Look up'!$A$3:$A$130,0),MATCH(K224,'G-8 Condition Look up'!$A$3:$H$3,0)),"")</f>
        <v/>
      </c>
      <c r="M224" s="154"/>
      <c r="N224" s="520" t="str">
        <f>IF(M224="","",IF(VLOOKUP(M224,'G-3 Multipliers'!$L$3:$N$6,2,FALSE)=0,"Spatial Data Missing ⚠",VLOOKUP(M224,'G-3 Multipliers'!$L$3:$N$6,2,FALSE)))</f>
        <v/>
      </c>
      <c r="O224" s="524" t="str">
        <f>IF(M224="","",IF(VLOOKUP(M224,'G-3 Multipliers'!$L$3:$N$6,3,FALSE)=0,"Spatial Data Missing ⚠",VLOOKUP(M224,'G-3 Multipliers'!$L$3:$N$6,3,FALSE)))</f>
        <v/>
      </c>
      <c r="P224" s="506" t="str">
        <f>IFERROR(VLOOKUP(G224,'G-1 All Habitats'!$B$2:$M$129,12,FALSE),"")</f>
        <v/>
      </c>
      <c r="Q224" s="513" t="str">
        <f>IFERROR(IF(P224="","",IF(AND(P224='G-1 All Habitats'!$X$3,T224&gt;0),U224+V224,IF(AND(P224='G-1 All Habitats'!$X$3,S224&gt;0),U224+V224,IF(AND(P224='G-1 All Habitats'!$X$3,AC224&gt;0),"Any Loss Unacceptable",IF(AND(P224='G-1 All Habitats'!$X$3,W224&gt;0),"Any Loss Unacceptable",H224*J224*L224*O224))))),"Check Data ⚠")</f>
        <v/>
      </c>
      <c r="R224" s="50"/>
      <c r="S224" s="71"/>
      <c r="T224" s="72"/>
      <c r="U224" s="511" t="str">
        <f t="shared" si="20"/>
        <v/>
      </c>
      <c r="V224" s="511" t="str">
        <f t="shared" si="21"/>
        <v/>
      </c>
      <c r="W224" s="511"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545" t="str">
        <f>IFERROR(IF(H224="","",IF(H224-S224-T224=0&lt;0,"Error in Areas ▲",IF(S224+T224&gt;H224,"Error in Areas ▲",IF(AND(P224='G-1 All Habitats'!$X$3,Y224="Yes"),"Alternative Compensation",IF(W224=0,0,IF(P224='G-1 All Habitats'!$X$3,"Unacceptable Loss",Q224-U224-V224)))))),"Check Data ⚠")</f>
        <v/>
      </c>
      <c r="Y224" s="72"/>
      <c r="Z224" s="151"/>
      <c r="AA224" s="152"/>
      <c r="AC224" s="251" t="str">
        <f>IF(P224="","",IF(P224='G-1 All Habitats'!$X$3,H224-S224-T224,"None"))</f>
        <v/>
      </c>
      <c r="AD224" s="252" t="str">
        <f t="shared" si="22"/>
        <v/>
      </c>
      <c r="AF224" s="156" t="str">
        <f t="shared" si="18"/>
        <v/>
      </c>
      <c r="AG224" s="156" t="str">
        <f t="shared" si="19"/>
        <v/>
      </c>
      <c r="AH224" s="156" t="str">
        <f>IF(I224="","",IF(#REF!&gt;0,TRUE,FALSE))</f>
        <v/>
      </c>
      <c r="AI224" s="156">
        <v>214</v>
      </c>
      <c r="AJ224" s="156"/>
      <c r="AK224" s="156" t="str">
        <f t="array" ref="AK224">IFERROR(INDEX($AI$11:$AI$259, MATCH(0, IF(TRUE=$AF$11:$AF$259, COUNTIF($AK$10:$AK223, $AI$11:$AI$259), ""), 0)),"")</f>
        <v/>
      </c>
      <c r="AL224" s="156" t="str">
        <f t="array" ref="AL224">IFERROR(INDEX($AI$11:$AI$259, MATCH(0, IF(TRUE=$AG$11:$AG$259, COUNTIF($AL$10:$AL223, $AI$11:$AI$259), ""), 0)),"")</f>
        <v/>
      </c>
      <c r="AM224" s="156" t="str">
        <f t="array" ref="AM224">IFERROR(INDEX($AI$11:$AI$259, MATCH(0, IF(TRUE=$AH$11:$AH$259, COUNTIF($AM$10:$AM223, $AI$11:$AI$259), ""), 0)),"")</f>
        <v/>
      </c>
      <c r="AQ224" s="31">
        <f t="shared" si="23"/>
        <v>0</v>
      </c>
    </row>
    <row r="225" spans="1:43" x14ac:dyDescent="0.25">
      <c r="A225" s="31" t="str">
        <f>IFERROR(INDEX('G-1 All Habitats'!$AG$3:$AG$15,MATCH(E225,'G-1 All Habitats'!$AF$3:$AF$15,0)),"")</f>
        <v/>
      </c>
      <c r="B225" s="31" t="str">
        <f>IFERROR(INDEX('G-8 Condition Look up'!$I$4:$I$130,MATCH(G225,'G-8 Condition Look up'!$A$4:$A$130,0)),"")</f>
        <v/>
      </c>
      <c r="D225" s="141">
        <v>215</v>
      </c>
      <c r="E225" s="203"/>
      <c r="F225" s="203"/>
      <c r="G225" s="250" t="str">
        <f>IFERROR(INDEX('G-1 All Habitats'!$B$3:$B$129,MATCH(F225,'G-1 All Habitats'!$A$3:$A$129,0)),"")</f>
        <v/>
      </c>
      <c r="H225" s="172"/>
      <c r="I225" s="498" t="str">
        <f>IF(G225="","",VLOOKUP(G225,'G-1 All Habitats'!$B$2:$M$129,10,FALSE))</f>
        <v/>
      </c>
      <c r="J225" s="499" t="str">
        <f>IFERROR(VLOOKUP(I225,'G-1 All Habitats'!$V$3:$W$7,2,FALSE),"")</f>
        <v/>
      </c>
      <c r="K225" s="145"/>
      <c r="L225" s="499" t="str">
        <f>IFERROR(INDEX('G-8 Condition Look up'!$A$3:$H$130,MATCH(G225,'G-8 Condition Look up'!$A$3:$A$130,0),MATCH(K225,'G-8 Condition Look up'!$A$3:$H$3,0)),"")</f>
        <v/>
      </c>
      <c r="M225" s="154"/>
      <c r="N225" s="520" t="str">
        <f>IF(M225="","",IF(VLOOKUP(M225,'G-3 Multipliers'!$L$3:$N$6,2,FALSE)=0,"Spatial Data Missing ⚠",VLOOKUP(M225,'G-3 Multipliers'!$L$3:$N$6,2,FALSE)))</f>
        <v/>
      </c>
      <c r="O225" s="524" t="str">
        <f>IF(M225="","",IF(VLOOKUP(M225,'G-3 Multipliers'!$L$3:$N$6,3,FALSE)=0,"Spatial Data Missing ⚠",VLOOKUP(M225,'G-3 Multipliers'!$L$3:$N$6,3,FALSE)))</f>
        <v/>
      </c>
      <c r="P225" s="506" t="str">
        <f>IFERROR(VLOOKUP(G225,'G-1 All Habitats'!$B$2:$M$129,12,FALSE),"")</f>
        <v/>
      </c>
      <c r="Q225" s="513" t="str">
        <f>IFERROR(IF(P225="","",IF(AND(P225='G-1 All Habitats'!$X$3,T225&gt;0),U225+V225,IF(AND(P225='G-1 All Habitats'!$X$3,S225&gt;0),U225+V225,IF(AND(P225='G-1 All Habitats'!$X$3,AC225&gt;0),"Any Loss Unacceptable",IF(AND(P225='G-1 All Habitats'!$X$3,W225&gt;0),"Any Loss Unacceptable",H225*J225*L225*O225))))),"Check Data ⚠")</f>
        <v/>
      </c>
      <c r="R225" s="50"/>
      <c r="S225" s="71"/>
      <c r="T225" s="72"/>
      <c r="U225" s="511" t="str">
        <f t="shared" si="20"/>
        <v/>
      </c>
      <c r="V225" s="511" t="str">
        <f t="shared" si="21"/>
        <v/>
      </c>
      <c r="W225" s="511"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545" t="str">
        <f>IFERROR(IF(H225="","",IF(H225-S225-T225=0&lt;0,"Error in Areas ▲",IF(S225+T225&gt;H225,"Error in Areas ▲",IF(AND(P225='G-1 All Habitats'!$X$3,Y225="Yes"),"Alternative Compensation",IF(W225=0,0,IF(P225='G-1 All Habitats'!$X$3,"Unacceptable Loss",Q225-U225-V225)))))),"Check Data ⚠")</f>
        <v/>
      </c>
      <c r="Y225" s="72"/>
      <c r="Z225" s="151"/>
      <c r="AA225" s="152"/>
      <c r="AC225" s="251" t="str">
        <f>IF(P225="","",IF(P225='G-1 All Habitats'!$X$3,H225-S225-T225,"None"))</f>
        <v/>
      </c>
      <c r="AD225" s="252" t="str">
        <f t="shared" si="22"/>
        <v/>
      </c>
      <c r="AF225" s="156" t="str">
        <f t="shared" si="18"/>
        <v/>
      </c>
      <c r="AG225" s="156" t="str">
        <f t="shared" si="19"/>
        <v/>
      </c>
      <c r="AH225" s="156" t="str">
        <f>IF(I225="","",IF(#REF!&gt;0,TRUE,FALSE))</f>
        <v/>
      </c>
      <c r="AI225" s="156">
        <v>215</v>
      </c>
      <c r="AJ225" s="156"/>
      <c r="AK225" s="156" t="str">
        <f t="array" ref="AK225">IFERROR(INDEX($AI$11:$AI$259, MATCH(0, IF(TRUE=$AF$11:$AF$259, COUNTIF($AK$10:$AK224, $AI$11:$AI$259), ""), 0)),"")</f>
        <v/>
      </c>
      <c r="AL225" s="156" t="str">
        <f t="array" ref="AL225">IFERROR(INDEX($AI$11:$AI$259, MATCH(0, IF(TRUE=$AG$11:$AG$259, COUNTIF($AL$10:$AL224, $AI$11:$AI$259), ""), 0)),"")</f>
        <v/>
      </c>
      <c r="AM225" s="156" t="str">
        <f t="array" ref="AM225">IFERROR(INDEX($AI$11:$AI$259, MATCH(0, IF(TRUE=$AH$11:$AH$259, COUNTIF($AM$10:$AM224, $AI$11:$AI$259), ""), 0)),"")</f>
        <v/>
      </c>
      <c r="AQ225" s="31">
        <f t="shared" si="23"/>
        <v>0</v>
      </c>
    </row>
    <row r="226" spans="1:43" x14ac:dyDescent="0.25">
      <c r="A226" s="31" t="str">
        <f>IFERROR(INDEX('G-1 All Habitats'!$AG$3:$AG$15,MATCH(E226,'G-1 All Habitats'!$AF$3:$AF$15,0)),"")</f>
        <v/>
      </c>
      <c r="B226" s="31" t="str">
        <f>IFERROR(INDEX('G-8 Condition Look up'!$I$4:$I$130,MATCH(G226,'G-8 Condition Look up'!$A$4:$A$130,0)),"")</f>
        <v/>
      </c>
      <c r="D226" s="141">
        <v>216</v>
      </c>
      <c r="E226" s="203"/>
      <c r="F226" s="203"/>
      <c r="G226" s="250" t="str">
        <f>IFERROR(INDEX('G-1 All Habitats'!$B$3:$B$129,MATCH(F226,'G-1 All Habitats'!$A$3:$A$129,0)),"")</f>
        <v/>
      </c>
      <c r="H226" s="172"/>
      <c r="I226" s="498" t="str">
        <f>IF(G226="","",VLOOKUP(G226,'G-1 All Habitats'!$B$2:$M$129,10,FALSE))</f>
        <v/>
      </c>
      <c r="J226" s="499" t="str">
        <f>IFERROR(VLOOKUP(I226,'G-1 All Habitats'!$V$3:$W$7,2,FALSE),"")</f>
        <v/>
      </c>
      <c r="K226" s="145"/>
      <c r="L226" s="499" t="str">
        <f>IFERROR(INDEX('G-8 Condition Look up'!$A$3:$H$130,MATCH(G226,'G-8 Condition Look up'!$A$3:$A$130,0),MATCH(K226,'G-8 Condition Look up'!$A$3:$H$3,0)),"")</f>
        <v/>
      </c>
      <c r="M226" s="154"/>
      <c r="N226" s="520" t="str">
        <f>IF(M226="","",IF(VLOOKUP(M226,'G-3 Multipliers'!$L$3:$N$6,2,FALSE)=0,"Spatial Data Missing ⚠",VLOOKUP(M226,'G-3 Multipliers'!$L$3:$N$6,2,FALSE)))</f>
        <v/>
      </c>
      <c r="O226" s="524" t="str">
        <f>IF(M226="","",IF(VLOOKUP(M226,'G-3 Multipliers'!$L$3:$N$6,3,FALSE)=0,"Spatial Data Missing ⚠",VLOOKUP(M226,'G-3 Multipliers'!$L$3:$N$6,3,FALSE)))</f>
        <v/>
      </c>
      <c r="P226" s="506" t="str">
        <f>IFERROR(VLOOKUP(G226,'G-1 All Habitats'!$B$2:$M$129,12,FALSE),"")</f>
        <v/>
      </c>
      <c r="Q226" s="513" t="str">
        <f>IFERROR(IF(P226="","",IF(AND(P226='G-1 All Habitats'!$X$3,T226&gt;0),U226+V226,IF(AND(P226='G-1 All Habitats'!$X$3,S226&gt;0),U226+V226,IF(AND(P226='G-1 All Habitats'!$X$3,AC226&gt;0),"Any Loss Unacceptable",IF(AND(P226='G-1 All Habitats'!$X$3,W226&gt;0),"Any Loss Unacceptable",H226*J226*L226*O226))))),"Check Data ⚠")</f>
        <v/>
      </c>
      <c r="R226" s="50"/>
      <c r="S226" s="71"/>
      <c r="T226" s="72"/>
      <c r="U226" s="511" t="str">
        <f t="shared" si="20"/>
        <v/>
      </c>
      <c r="V226" s="511" t="str">
        <f t="shared" si="21"/>
        <v/>
      </c>
      <c r="W226" s="511"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545" t="str">
        <f>IFERROR(IF(H226="","",IF(H226-S226-T226=0&lt;0,"Error in Areas ▲",IF(S226+T226&gt;H226,"Error in Areas ▲",IF(AND(P226='G-1 All Habitats'!$X$3,Y226="Yes"),"Alternative Compensation",IF(W226=0,0,IF(P226='G-1 All Habitats'!$X$3,"Unacceptable Loss",Q226-U226-V226)))))),"Check Data ⚠")</f>
        <v/>
      </c>
      <c r="Y226" s="72"/>
      <c r="Z226" s="151"/>
      <c r="AA226" s="152"/>
      <c r="AC226" s="251" t="str">
        <f>IF(P226="","",IF(P226='G-1 All Habitats'!$X$3,H226-S226-T226,"None"))</f>
        <v/>
      </c>
      <c r="AD226" s="252" t="str">
        <f t="shared" si="22"/>
        <v/>
      </c>
      <c r="AF226" s="156" t="str">
        <f t="shared" si="18"/>
        <v/>
      </c>
      <c r="AG226" s="156" t="str">
        <f t="shared" si="19"/>
        <v/>
      </c>
      <c r="AH226" s="156" t="str">
        <f>IF(I226="","",IF(#REF!&gt;0,TRUE,FALSE))</f>
        <v/>
      </c>
      <c r="AI226" s="156">
        <v>216</v>
      </c>
      <c r="AJ226" s="156"/>
      <c r="AK226" s="156" t="str">
        <f t="array" ref="AK226">IFERROR(INDEX($AI$11:$AI$259, MATCH(0, IF(TRUE=$AF$11:$AF$259, COUNTIF($AK$10:$AK225, $AI$11:$AI$259), ""), 0)),"")</f>
        <v/>
      </c>
      <c r="AL226" s="156" t="str">
        <f t="array" ref="AL226">IFERROR(INDEX($AI$11:$AI$259, MATCH(0, IF(TRUE=$AG$11:$AG$259, COUNTIF($AL$10:$AL225, $AI$11:$AI$259), ""), 0)),"")</f>
        <v/>
      </c>
      <c r="AM226" s="156" t="str">
        <f t="array" ref="AM226">IFERROR(INDEX($AI$11:$AI$259, MATCH(0, IF(TRUE=$AH$11:$AH$259, COUNTIF($AM$10:$AM225, $AI$11:$AI$259), ""), 0)),"")</f>
        <v/>
      </c>
      <c r="AQ226" s="31">
        <f t="shared" si="23"/>
        <v>0</v>
      </c>
    </row>
    <row r="227" spans="1:43" x14ac:dyDescent="0.25">
      <c r="A227" s="31" t="str">
        <f>IFERROR(INDEX('G-1 All Habitats'!$AG$3:$AG$15,MATCH(E227,'G-1 All Habitats'!$AF$3:$AF$15,0)),"")</f>
        <v/>
      </c>
      <c r="B227" s="31" t="str">
        <f>IFERROR(INDEX('G-8 Condition Look up'!$I$4:$I$130,MATCH(G227,'G-8 Condition Look up'!$A$4:$A$130,0)),"")</f>
        <v/>
      </c>
      <c r="D227" s="141">
        <v>217</v>
      </c>
      <c r="E227" s="203"/>
      <c r="F227" s="203"/>
      <c r="G227" s="250" t="str">
        <f>IFERROR(INDEX('G-1 All Habitats'!$B$3:$B$129,MATCH(F227,'G-1 All Habitats'!$A$3:$A$129,0)),"")</f>
        <v/>
      </c>
      <c r="H227" s="172"/>
      <c r="I227" s="498" t="str">
        <f>IF(G227="","",VLOOKUP(G227,'G-1 All Habitats'!$B$2:$M$129,10,FALSE))</f>
        <v/>
      </c>
      <c r="J227" s="499" t="str">
        <f>IFERROR(VLOOKUP(I227,'G-1 All Habitats'!$V$3:$W$7,2,FALSE),"")</f>
        <v/>
      </c>
      <c r="K227" s="145"/>
      <c r="L227" s="499" t="str">
        <f>IFERROR(INDEX('G-8 Condition Look up'!$A$3:$H$130,MATCH(G227,'G-8 Condition Look up'!$A$3:$A$130,0),MATCH(K227,'G-8 Condition Look up'!$A$3:$H$3,0)),"")</f>
        <v/>
      </c>
      <c r="M227" s="154"/>
      <c r="N227" s="520" t="str">
        <f>IF(M227="","",IF(VLOOKUP(M227,'G-3 Multipliers'!$L$3:$N$6,2,FALSE)=0,"Spatial Data Missing ⚠",VLOOKUP(M227,'G-3 Multipliers'!$L$3:$N$6,2,FALSE)))</f>
        <v/>
      </c>
      <c r="O227" s="524" t="str">
        <f>IF(M227="","",IF(VLOOKUP(M227,'G-3 Multipliers'!$L$3:$N$6,3,FALSE)=0,"Spatial Data Missing ⚠",VLOOKUP(M227,'G-3 Multipliers'!$L$3:$N$6,3,FALSE)))</f>
        <v/>
      </c>
      <c r="P227" s="506" t="str">
        <f>IFERROR(VLOOKUP(G227,'G-1 All Habitats'!$B$2:$M$129,12,FALSE),"")</f>
        <v/>
      </c>
      <c r="Q227" s="513" t="str">
        <f>IFERROR(IF(P227="","",IF(AND(P227='G-1 All Habitats'!$X$3,T227&gt;0),U227+V227,IF(AND(P227='G-1 All Habitats'!$X$3,S227&gt;0),U227+V227,IF(AND(P227='G-1 All Habitats'!$X$3,AC227&gt;0),"Any Loss Unacceptable",IF(AND(P227='G-1 All Habitats'!$X$3,W227&gt;0),"Any Loss Unacceptable",H227*J227*L227*O227))))),"Check Data ⚠")</f>
        <v/>
      </c>
      <c r="R227" s="50"/>
      <c r="S227" s="71"/>
      <c r="T227" s="72"/>
      <c r="U227" s="511" t="str">
        <f t="shared" si="20"/>
        <v/>
      </c>
      <c r="V227" s="511" t="str">
        <f t="shared" si="21"/>
        <v/>
      </c>
      <c r="W227" s="511"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545" t="str">
        <f>IFERROR(IF(H227="","",IF(H227-S227-T227=0&lt;0,"Error in Areas ▲",IF(S227+T227&gt;H227,"Error in Areas ▲",IF(AND(P227='G-1 All Habitats'!$X$3,Y227="Yes"),"Alternative Compensation",IF(W227=0,0,IF(P227='G-1 All Habitats'!$X$3,"Unacceptable Loss",Q227-U227-V227)))))),"Check Data ⚠")</f>
        <v/>
      </c>
      <c r="Y227" s="72"/>
      <c r="Z227" s="151"/>
      <c r="AA227" s="152"/>
      <c r="AC227" s="251" t="str">
        <f>IF(P227="","",IF(P227='G-1 All Habitats'!$X$3,H227-S227-T227,"None"))</f>
        <v/>
      </c>
      <c r="AD227" s="252" t="str">
        <f t="shared" si="22"/>
        <v/>
      </c>
      <c r="AF227" s="156" t="str">
        <f t="shared" si="18"/>
        <v/>
      </c>
      <c r="AG227" s="156" t="str">
        <f t="shared" si="19"/>
        <v/>
      </c>
      <c r="AH227" s="156" t="str">
        <f>IF(I227="","",IF(#REF!&gt;0,TRUE,FALSE))</f>
        <v/>
      </c>
      <c r="AI227" s="156">
        <v>217</v>
      </c>
      <c r="AJ227" s="156"/>
      <c r="AK227" s="156" t="str">
        <f t="array" ref="AK227">IFERROR(INDEX($AI$11:$AI$259, MATCH(0, IF(TRUE=$AF$11:$AF$259, COUNTIF($AK$10:$AK226, $AI$11:$AI$259), ""), 0)),"")</f>
        <v/>
      </c>
      <c r="AL227" s="156" t="str">
        <f t="array" ref="AL227">IFERROR(INDEX($AI$11:$AI$259, MATCH(0, IF(TRUE=$AG$11:$AG$259, COUNTIF($AL$10:$AL226, $AI$11:$AI$259), ""), 0)),"")</f>
        <v/>
      </c>
      <c r="AM227" s="156" t="str">
        <f t="array" ref="AM227">IFERROR(INDEX($AI$11:$AI$259, MATCH(0, IF(TRUE=$AH$11:$AH$259, COUNTIF($AM$10:$AM226, $AI$11:$AI$259), ""), 0)),"")</f>
        <v/>
      </c>
      <c r="AQ227" s="31">
        <f t="shared" si="23"/>
        <v>0</v>
      </c>
    </row>
    <row r="228" spans="1:43" x14ac:dyDescent="0.25">
      <c r="A228" s="31" t="str">
        <f>IFERROR(INDEX('G-1 All Habitats'!$AG$3:$AG$15,MATCH(E228,'G-1 All Habitats'!$AF$3:$AF$15,0)),"")</f>
        <v/>
      </c>
      <c r="B228" s="31" t="str">
        <f>IFERROR(INDEX('G-8 Condition Look up'!$I$4:$I$130,MATCH(G228,'G-8 Condition Look up'!$A$4:$A$130,0)),"")</f>
        <v/>
      </c>
      <c r="D228" s="141">
        <v>218</v>
      </c>
      <c r="E228" s="203"/>
      <c r="F228" s="203"/>
      <c r="G228" s="250" t="str">
        <f>IFERROR(INDEX('G-1 All Habitats'!$B$3:$B$129,MATCH(F228,'G-1 All Habitats'!$A$3:$A$129,0)),"")</f>
        <v/>
      </c>
      <c r="H228" s="172"/>
      <c r="I228" s="498" t="str">
        <f>IF(G228="","",VLOOKUP(G228,'G-1 All Habitats'!$B$2:$M$129,10,FALSE))</f>
        <v/>
      </c>
      <c r="J228" s="499" t="str">
        <f>IFERROR(VLOOKUP(I228,'G-1 All Habitats'!$V$3:$W$7,2,FALSE),"")</f>
        <v/>
      </c>
      <c r="K228" s="145"/>
      <c r="L228" s="499" t="str">
        <f>IFERROR(INDEX('G-8 Condition Look up'!$A$3:$H$130,MATCH(G228,'G-8 Condition Look up'!$A$3:$A$130,0),MATCH(K228,'G-8 Condition Look up'!$A$3:$H$3,0)),"")</f>
        <v/>
      </c>
      <c r="M228" s="154"/>
      <c r="N228" s="520" t="str">
        <f>IF(M228="","",IF(VLOOKUP(M228,'G-3 Multipliers'!$L$3:$N$6,2,FALSE)=0,"Spatial Data Missing ⚠",VLOOKUP(M228,'G-3 Multipliers'!$L$3:$N$6,2,FALSE)))</f>
        <v/>
      </c>
      <c r="O228" s="524" t="str">
        <f>IF(M228="","",IF(VLOOKUP(M228,'G-3 Multipliers'!$L$3:$N$6,3,FALSE)=0,"Spatial Data Missing ⚠",VLOOKUP(M228,'G-3 Multipliers'!$L$3:$N$6,3,FALSE)))</f>
        <v/>
      </c>
      <c r="P228" s="506" t="str">
        <f>IFERROR(VLOOKUP(G228,'G-1 All Habitats'!$B$2:$M$129,12,FALSE),"")</f>
        <v/>
      </c>
      <c r="Q228" s="513" t="str">
        <f>IFERROR(IF(P228="","",IF(AND(P228='G-1 All Habitats'!$X$3,T228&gt;0),U228+V228,IF(AND(P228='G-1 All Habitats'!$X$3,S228&gt;0),U228+V228,IF(AND(P228='G-1 All Habitats'!$X$3,AC228&gt;0),"Any Loss Unacceptable",IF(AND(P228='G-1 All Habitats'!$X$3,W228&gt;0),"Any Loss Unacceptable",H228*J228*L228*O228))))),"Check Data ⚠")</f>
        <v/>
      </c>
      <c r="R228" s="50"/>
      <c r="S228" s="71"/>
      <c r="T228" s="72"/>
      <c r="U228" s="511" t="str">
        <f t="shared" si="20"/>
        <v/>
      </c>
      <c r="V228" s="511" t="str">
        <f t="shared" si="21"/>
        <v/>
      </c>
      <c r="W228" s="511"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545" t="str">
        <f>IFERROR(IF(H228="","",IF(H228-S228-T228=0&lt;0,"Error in Areas ▲",IF(S228+T228&gt;H228,"Error in Areas ▲",IF(AND(P228='G-1 All Habitats'!$X$3,Y228="Yes"),"Alternative Compensation",IF(W228=0,0,IF(P228='G-1 All Habitats'!$X$3,"Unacceptable Loss",Q228-U228-V228)))))),"Check Data ⚠")</f>
        <v/>
      </c>
      <c r="Y228" s="72"/>
      <c r="Z228" s="151"/>
      <c r="AA228" s="152"/>
      <c r="AC228" s="251" t="str">
        <f>IF(P228="","",IF(P228='G-1 All Habitats'!$X$3,H228-S228-T228,"None"))</f>
        <v/>
      </c>
      <c r="AD228" s="252" t="str">
        <f t="shared" si="22"/>
        <v/>
      </c>
      <c r="AF228" s="156" t="str">
        <f t="shared" si="18"/>
        <v/>
      </c>
      <c r="AG228" s="156" t="str">
        <f t="shared" si="19"/>
        <v/>
      </c>
      <c r="AH228" s="156" t="str">
        <f>IF(I228="","",IF(#REF!&gt;0,TRUE,FALSE))</f>
        <v/>
      </c>
      <c r="AI228" s="156">
        <v>218</v>
      </c>
      <c r="AJ228" s="156"/>
      <c r="AK228" s="156" t="str">
        <f t="array" ref="AK228">IFERROR(INDEX($AI$11:$AI$259, MATCH(0, IF(TRUE=$AF$11:$AF$259, COUNTIF($AK$10:$AK227, $AI$11:$AI$259), ""), 0)),"")</f>
        <v/>
      </c>
      <c r="AL228" s="156" t="str">
        <f t="array" ref="AL228">IFERROR(INDEX($AI$11:$AI$259, MATCH(0, IF(TRUE=$AG$11:$AG$259, COUNTIF($AL$10:$AL227, $AI$11:$AI$259), ""), 0)),"")</f>
        <v/>
      </c>
      <c r="AM228" s="156" t="str">
        <f t="array" ref="AM228">IFERROR(INDEX($AI$11:$AI$259, MATCH(0, IF(TRUE=$AH$11:$AH$259, COUNTIF($AM$10:$AM227, $AI$11:$AI$259), ""), 0)),"")</f>
        <v/>
      </c>
      <c r="AQ228" s="31">
        <f t="shared" si="23"/>
        <v>0</v>
      </c>
    </row>
    <row r="229" spans="1:43" x14ac:dyDescent="0.25">
      <c r="A229" s="31" t="str">
        <f>IFERROR(INDEX('G-1 All Habitats'!$AG$3:$AG$15,MATCH(E229,'G-1 All Habitats'!$AF$3:$AF$15,0)),"")</f>
        <v/>
      </c>
      <c r="B229" s="31" t="str">
        <f>IFERROR(INDEX('G-8 Condition Look up'!$I$4:$I$130,MATCH(G229,'G-8 Condition Look up'!$A$4:$A$130,0)),"")</f>
        <v/>
      </c>
      <c r="D229" s="141">
        <v>219</v>
      </c>
      <c r="E229" s="203"/>
      <c r="F229" s="203"/>
      <c r="G229" s="250" t="str">
        <f>IFERROR(INDEX('G-1 All Habitats'!$B$3:$B$129,MATCH(F229,'G-1 All Habitats'!$A$3:$A$129,0)),"")</f>
        <v/>
      </c>
      <c r="H229" s="172"/>
      <c r="I229" s="498" t="str">
        <f>IF(G229="","",VLOOKUP(G229,'G-1 All Habitats'!$B$2:$M$129,10,FALSE))</f>
        <v/>
      </c>
      <c r="J229" s="499" t="str">
        <f>IFERROR(VLOOKUP(I229,'G-1 All Habitats'!$V$3:$W$7,2,FALSE),"")</f>
        <v/>
      </c>
      <c r="K229" s="145"/>
      <c r="L229" s="499" t="str">
        <f>IFERROR(INDEX('G-8 Condition Look up'!$A$3:$H$130,MATCH(G229,'G-8 Condition Look up'!$A$3:$A$130,0),MATCH(K229,'G-8 Condition Look up'!$A$3:$H$3,0)),"")</f>
        <v/>
      </c>
      <c r="M229" s="154"/>
      <c r="N229" s="520" t="str">
        <f>IF(M229="","",IF(VLOOKUP(M229,'G-3 Multipliers'!$L$3:$N$6,2,FALSE)=0,"Spatial Data Missing ⚠",VLOOKUP(M229,'G-3 Multipliers'!$L$3:$N$6,2,FALSE)))</f>
        <v/>
      </c>
      <c r="O229" s="524" t="str">
        <f>IF(M229="","",IF(VLOOKUP(M229,'G-3 Multipliers'!$L$3:$N$6,3,FALSE)=0,"Spatial Data Missing ⚠",VLOOKUP(M229,'G-3 Multipliers'!$L$3:$N$6,3,FALSE)))</f>
        <v/>
      </c>
      <c r="P229" s="506" t="str">
        <f>IFERROR(VLOOKUP(G229,'G-1 All Habitats'!$B$2:$M$129,12,FALSE),"")</f>
        <v/>
      </c>
      <c r="Q229" s="513" t="str">
        <f>IFERROR(IF(P229="","",IF(AND(P229='G-1 All Habitats'!$X$3,T229&gt;0),U229+V229,IF(AND(P229='G-1 All Habitats'!$X$3,S229&gt;0),U229+V229,IF(AND(P229='G-1 All Habitats'!$X$3,AC229&gt;0),"Any Loss Unacceptable",IF(AND(P229='G-1 All Habitats'!$X$3,W229&gt;0),"Any Loss Unacceptable",H229*J229*L229*O229))))),"Check Data ⚠")</f>
        <v/>
      </c>
      <c r="R229" s="50"/>
      <c r="S229" s="71"/>
      <c r="T229" s="72"/>
      <c r="U229" s="511" t="str">
        <f t="shared" si="20"/>
        <v/>
      </c>
      <c r="V229" s="511" t="str">
        <f t="shared" si="21"/>
        <v/>
      </c>
      <c r="W229" s="511"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545" t="str">
        <f>IFERROR(IF(H229="","",IF(H229-S229-T229=0&lt;0,"Error in Areas ▲",IF(S229+T229&gt;H229,"Error in Areas ▲",IF(AND(P229='G-1 All Habitats'!$X$3,Y229="Yes"),"Alternative Compensation",IF(W229=0,0,IF(P229='G-1 All Habitats'!$X$3,"Unacceptable Loss",Q229-U229-V229)))))),"Check Data ⚠")</f>
        <v/>
      </c>
      <c r="Y229" s="72"/>
      <c r="Z229" s="151"/>
      <c r="AA229" s="152"/>
      <c r="AC229" s="251" t="str">
        <f>IF(P229="","",IF(P229='G-1 All Habitats'!$X$3,H229-S229-T229,"None"))</f>
        <v/>
      </c>
      <c r="AD229" s="252" t="str">
        <f t="shared" si="22"/>
        <v/>
      </c>
      <c r="AF229" s="156" t="str">
        <f t="shared" si="18"/>
        <v/>
      </c>
      <c r="AG229" s="156" t="str">
        <f t="shared" si="19"/>
        <v/>
      </c>
      <c r="AH229" s="156" t="str">
        <f>IF(I229="","",IF(#REF!&gt;0,TRUE,FALSE))</f>
        <v/>
      </c>
      <c r="AI229" s="156">
        <v>219</v>
      </c>
      <c r="AJ229" s="156"/>
      <c r="AK229" s="156" t="str">
        <f t="array" ref="AK229">IFERROR(INDEX($AI$11:$AI$259, MATCH(0, IF(TRUE=$AF$11:$AF$259, COUNTIF($AK$10:$AK228, $AI$11:$AI$259), ""), 0)),"")</f>
        <v/>
      </c>
      <c r="AL229" s="156" t="str">
        <f t="array" ref="AL229">IFERROR(INDEX($AI$11:$AI$259, MATCH(0, IF(TRUE=$AG$11:$AG$259, COUNTIF($AL$10:$AL228, $AI$11:$AI$259), ""), 0)),"")</f>
        <v/>
      </c>
      <c r="AM229" s="156" t="str">
        <f t="array" ref="AM229">IFERROR(INDEX($AI$11:$AI$259, MATCH(0, IF(TRUE=$AH$11:$AH$259, COUNTIF($AM$10:$AM228, $AI$11:$AI$259), ""), 0)),"")</f>
        <v/>
      </c>
      <c r="AQ229" s="31">
        <f t="shared" si="23"/>
        <v>0</v>
      </c>
    </row>
    <row r="230" spans="1:43" x14ac:dyDescent="0.25">
      <c r="A230" s="31" t="str">
        <f>IFERROR(INDEX('G-1 All Habitats'!$AG$3:$AG$15,MATCH(E230,'G-1 All Habitats'!$AF$3:$AF$15,0)),"")</f>
        <v/>
      </c>
      <c r="B230" s="31" t="str">
        <f>IFERROR(INDEX('G-8 Condition Look up'!$I$4:$I$130,MATCH(G230,'G-8 Condition Look up'!$A$4:$A$130,0)),"")</f>
        <v/>
      </c>
      <c r="D230" s="141">
        <v>220</v>
      </c>
      <c r="E230" s="203"/>
      <c r="F230" s="203"/>
      <c r="G230" s="250" t="str">
        <f>IFERROR(INDEX('G-1 All Habitats'!$B$3:$B$129,MATCH(F230,'G-1 All Habitats'!$A$3:$A$129,0)),"")</f>
        <v/>
      </c>
      <c r="H230" s="172"/>
      <c r="I230" s="498" t="str">
        <f>IF(G230="","",VLOOKUP(G230,'G-1 All Habitats'!$B$2:$M$129,10,FALSE))</f>
        <v/>
      </c>
      <c r="J230" s="499" t="str">
        <f>IFERROR(VLOOKUP(I230,'G-1 All Habitats'!$V$3:$W$7,2,FALSE),"")</f>
        <v/>
      </c>
      <c r="K230" s="145"/>
      <c r="L230" s="499" t="str">
        <f>IFERROR(INDEX('G-8 Condition Look up'!$A$3:$H$130,MATCH(G230,'G-8 Condition Look up'!$A$3:$A$130,0),MATCH(K230,'G-8 Condition Look up'!$A$3:$H$3,0)),"")</f>
        <v/>
      </c>
      <c r="M230" s="154"/>
      <c r="N230" s="520" t="str">
        <f>IF(M230="","",IF(VLOOKUP(M230,'G-3 Multipliers'!$L$3:$N$6,2,FALSE)=0,"Spatial Data Missing ⚠",VLOOKUP(M230,'G-3 Multipliers'!$L$3:$N$6,2,FALSE)))</f>
        <v/>
      </c>
      <c r="O230" s="524" t="str">
        <f>IF(M230="","",IF(VLOOKUP(M230,'G-3 Multipliers'!$L$3:$N$6,3,FALSE)=0,"Spatial Data Missing ⚠",VLOOKUP(M230,'G-3 Multipliers'!$L$3:$N$6,3,FALSE)))</f>
        <v/>
      </c>
      <c r="P230" s="506" t="str">
        <f>IFERROR(VLOOKUP(G230,'G-1 All Habitats'!$B$2:$M$129,12,FALSE),"")</f>
        <v/>
      </c>
      <c r="Q230" s="513" t="str">
        <f>IFERROR(IF(P230="","",IF(AND(P230='G-1 All Habitats'!$X$3,T230&gt;0),U230+V230,IF(AND(P230='G-1 All Habitats'!$X$3,S230&gt;0),U230+V230,IF(AND(P230='G-1 All Habitats'!$X$3,AC230&gt;0),"Any Loss Unacceptable",IF(AND(P230='G-1 All Habitats'!$X$3,W230&gt;0),"Any Loss Unacceptable",H230*J230*L230*O230))))),"Check Data ⚠")</f>
        <v/>
      </c>
      <c r="R230" s="50"/>
      <c r="S230" s="71"/>
      <c r="T230" s="72"/>
      <c r="U230" s="511" t="str">
        <f t="shared" si="20"/>
        <v/>
      </c>
      <c r="V230" s="511" t="str">
        <f t="shared" si="21"/>
        <v/>
      </c>
      <c r="W230" s="511"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545" t="str">
        <f>IFERROR(IF(H230="","",IF(H230-S230-T230=0&lt;0,"Error in Areas ▲",IF(S230+T230&gt;H230,"Error in Areas ▲",IF(AND(P230='G-1 All Habitats'!$X$3,Y230="Yes"),"Alternative Compensation",IF(W230=0,0,IF(P230='G-1 All Habitats'!$X$3,"Unacceptable Loss",Q230-U230-V230)))))),"Check Data ⚠")</f>
        <v/>
      </c>
      <c r="Y230" s="72"/>
      <c r="Z230" s="151"/>
      <c r="AA230" s="152"/>
      <c r="AC230" s="251" t="str">
        <f>IF(P230="","",IF(P230='G-1 All Habitats'!$X$3,H230-S230-T230,"None"))</f>
        <v/>
      </c>
      <c r="AD230" s="252" t="str">
        <f t="shared" si="22"/>
        <v/>
      </c>
      <c r="AF230" s="156" t="str">
        <f t="shared" si="18"/>
        <v/>
      </c>
      <c r="AG230" s="156" t="str">
        <f t="shared" si="19"/>
        <v/>
      </c>
      <c r="AH230" s="156" t="str">
        <f>IF(I230="","",IF(#REF!&gt;0,TRUE,FALSE))</f>
        <v/>
      </c>
      <c r="AI230" s="156">
        <v>220</v>
      </c>
      <c r="AJ230" s="156"/>
      <c r="AK230" s="156" t="str">
        <f t="array" ref="AK230">IFERROR(INDEX($AI$11:$AI$259, MATCH(0, IF(TRUE=$AF$11:$AF$259, COUNTIF($AK$10:$AK229, $AI$11:$AI$259), ""), 0)),"")</f>
        <v/>
      </c>
      <c r="AL230" s="156" t="str">
        <f t="array" ref="AL230">IFERROR(INDEX($AI$11:$AI$259, MATCH(0, IF(TRUE=$AG$11:$AG$259, COUNTIF($AL$10:$AL229, $AI$11:$AI$259), ""), 0)),"")</f>
        <v/>
      </c>
      <c r="AM230" s="156" t="str">
        <f t="array" ref="AM230">IFERROR(INDEX($AI$11:$AI$259, MATCH(0, IF(TRUE=$AH$11:$AH$259, COUNTIF($AM$10:$AM229, $AI$11:$AI$259), ""), 0)),"")</f>
        <v/>
      </c>
      <c r="AQ230" s="31">
        <f t="shared" si="23"/>
        <v>0</v>
      </c>
    </row>
    <row r="231" spans="1:43" x14ac:dyDescent="0.25">
      <c r="A231" s="31" t="str">
        <f>IFERROR(INDEX('G-1 All Habitats'!$AG$3:$AG$15,MATCH(E231,'G-1 All Habitats'!$AF$3:$AF$15,0)),"")</f>
        <v/>
      </c>
      <c r="B231" s="31" t="str">
        <f>IFERROR(INDEX('G-8 Condition Look up'!$I$4:$I$130,MATCH(G231,'G-8 Condition Look up'!$A$4:$A$130,0)),"")</f>
        <v/>
      </c>
      <c r="D231" s="141">
        <v>221</v>
      </c>
      <c r="E231" s="203"/>
      <c r="F231" s="203"/>
      <c r="G231" s="250" t="str">
        <f>IFERROR(INDEX('G-1 All Habitats'!$B$3:$B$129,MATCH(F231,'G-1 All Habitats'!$A$3:$A$129,0)),"")</f>
        <v/>
      </c>
      <c r="H231" s="172"/>
      <c r="I231" s="498" t="str">
        <f>IF(G231="","",VLOOKUP(G231,'G-1 All Habitats'!$B$2:$M$129,10,FALSE))</f>
        <v/>
      </c>
      <c r="J231" s="499" t="str">
        <f>IFERROR(VLOOKUP(I231,'G-1 All Habitats'!$V$3:$W$7,2,FALSE),"")</f>
        <v/>
      </c>
      <c r="K231" s="145"/>
      <c r="L231" s="499" t="str">
        <f>IFERROR(INDEX('G-8 Condition Look up'!$A$3:$H$130,MATCH(G231,'G-8 Condition Look up'!$A$3:$A$130,0),MATCH(K231,'G-8 Condition Look up'!$A$3:$H$3,0)),"")</f>
        <v/>
      </c>
      <c r="M231" s="154"/>
      <c r="N231" s="520" t="str">
        <f>IF(M231="","",IF(VLOOKUP(M231,'G-3 Multipliers'!$L$3:$N$6,2,FALSE)=0,"Spatial Data Missing ⚠",VLOOKUP(M231,'G-3 Multipliers'!$L$3:$N$6,2,FALSE)))</f>
        <v/>
      </c>
      <c r="O231" s="524" t="str">
        <f>IF(M231="","",IF(VLOOKUP(M231,'G-3 Multipliers'!$L$3:$N$6,3,FALSE)=0,"Spatial Data Missing ⚠",VLOOKUP(M231,'G-3 Multipliers'!$L$3:$N$6,3,FALSE)))</f>
        <v/>
      </c>
      <c r="P231" s="506" t="str">
        <f>IFERROR(VLOOKUP(G231,'G-1 All Habitats'!$B$2:$M$129,12,FALSE),"")</f>
        <v/>
      </c>
      <c r="Q231" s="513" t="str">
        <f>IFERROR(IF(P231="","",IF(AND(P231='G-1 All Habitats'!$X$3,T231&gt;0),U231+V231,IF(AND(P231='G-1 All Habitats'!$X$3,S231&gt;0),U231+V231,IF(AND(P231='G-1 All Habitats'!$X$3,AC231&gt;0),"Any Loss Unacceptable",IF(AND(P231='G-1 All Habitats'!$X$3,W231&gt;0),"Any Loss Unacceptable",H231*J231*L231*O231))))),"Check Data ⚠")</f>
        <v/>
      </c>
      <c r="R231" s="50"/>
      <c r="S231" s="71"/>
      <c r="T231" s="72"/>
      <c r="U231" s="511" t="str">
        <f t="shared" si="20"/>
        <v/>
      </c>
      <c r="V231" s="511" t="str">
        <f t="shared" si="21"/>
        <v/>
      </c>
      <c r="W231" s="511"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545" t="str">
        <f>IFERROR(IF(H231="","",IF(H231-S231-T231=0&lt;0,"Error in Areas ▲",IF(S231+T231&gt;H231,"Error in Areas ▲",IF(AND(P231='G-1 All Habitats'!$X$3,Y231="Yes"),"Alternative Compensation",IF(W231=0,0,IF(P231='G-1 All Habitats'!$X$3,"Unacceptable Loss",Q231-U231-V231)))))),"Check Data ⚠")</f>
        <v/>
      </c>
      <c r="Y231" s="72"/>
      <c r="Z231" s="151"/>
      <c r="AA231" s="152"/>
      <c r="AC231" s="251" t="str">
        <f>IF(P231="","",IF(P231='G-1 All Habitats'!$X$3,H231-S231-T231,"None"))</f>
        <v/>
      </c>
      <c r="AD231" s="252" t="str">
        <f t="shared" si="22"/>
        <v/>
      </c>
      <c r="AF231" s="156" t="str">
        <f t="shared" si="18"/>
        <v/>
      </c>
      <c r="AG231" s="156" t="str">
        <f t="shared" si="19"/>
        <v/>
      </c>
      <c r="AH231" s="156" t="str">
        <f>IF(I231="","",IF(#REF!&gt;0,TRUE,FALSE))</f>
        <v/>
      </c>
      <c r="AI231" s="156">
        <v>221</v>
      </c>
      <c r="AJ231" s="156"/>
      <c r="AK231" s="156" t="str">
        <f t="array" ref="AK231">IFERROR(INDEX($AI$11:$AI$259, MATCH(0, IF(TRUE=$AF$11:$AF$259, COUNTIF($AK$10:$AK230, $AI$11:$AI$259), ""), 0)),"")</f>
        <v/>
      </c>
      <c r="AL231" s="156" t="str">
        <f t="array" ref="AL231">IFERROR(INDEX($AI$11:$AI$259, MATCH(0, IF(TRUE=$AG$11:$AG$259, COUNTIF($AL$10:$AL230, $AI$11:$AI$259), ""), 0)),"")</f>
        <v/>
      </c>
      <c r="AM231" s="156" t="str">
        <f t="array" ref="AM231">IFERROR(INDEX($AI$11:$AI$259, MATCH(0, IF(TRUE=$AH$11:$AH$259, COUNTIF($AM$10:$AM230, $AI$11:$AI$259), ""), 0)),"")</f>
        <v/>
      </c>
      <c r="AQ231" s="31">
        <f t="shared" si="23"/>
        <v>0</v>
      </c>
    </row>
    <row r="232" spans="1:43" x14ac:dyDescent="0.25">
      <c r="A232" s="31" t="str">
        <f>IFERROR(INDEX('G-1 All Habitats'!$AG$3:$AG$15,MATCH(E232,'G-1 All Habitats'!$AF$3:$AF$15,0)),"")</f>
        <v/>
      </c>
      <c r="B232" s="31" t="str">
        <f>IFERROR(INDEX('G-8 Condition Look up'!$I$4:$I$130,MATCH(G232,'G-8 Condition Look up'!$A$4:$A$130,0)),"")</f>
        <v/>
      </c>
      <c r="D232" s="141">
        <v>222</v>
      </c>
      <c r="E232" s="203"/>
      <c r="F232" s="203"/>
      <c r="G232" s="250" t="str">
        <f>IFERROR(INDEX('G-1 All Habitats'!$B$3:$B$129,MATCH(F232,'G-1 All Habitats'!$A$3:$A$129,0)),"")</f>
        <v/>
      </c>
      <c r="H232" s="172"/>
      <c r="I232" s="498" t="str">
        <f>IF(G232="","",VLOOKUP(G232,'G-1 All Habitats'!$B$2:$M$129,10,FALSE))</f>
        <v/>
      </c>
      <c r="J232" s="499" t="str">
        <f>IFERROR(VLOOKUP(I232,'G-1 All Habitats'!$V$3:$W$7,2,FALSE),"")</f>
        <v/>
      </c>
      <c r="K232" s="145"/>
      <c r="L232" s="499" t="str">
        <f>IFERROR(INDEX('G-8 Condition Look up'!$A$3:$H$130,MATCH(G232,'G-8 Condition Look up'!$A$3:$A$130,0),MATCH(K232,'G-8 Condition Look up'!$A$3:$H$3,0)),"")</f>
        <v/>
      </c>
      <c r="M232" s="154"/>
      <c r="N232" s="520" t="str">
        <f>IF(M232="","",IF(VLOOKUP(M232,'G-3 Multipliers'!$L$3:$N$6,2,FALSE)=0,"Spatial Data Missing ⚠",VLOOKUP(M232,'G-3 Multipliers'!$L$3:$N$6,2,FALSE)))</f>
        <v/>
      </c>
      <c r="O232" s="524" t="str">
        <f>IF(M232="","",IF(VLOOKUP(M232,'G-3 Multipliers'!$L$3:$N$6,3,FALSE)=0,"Spatial Data Missing ⚠",VLOOKUP(M232,'G-3 Multipliers'!$L$3:$N$6,3,FALSE)))</f>
        <v/>
      </c>
      <c r="P232" s="506" t="str">
        <f>IFERROR(VLOOKUP(G232,'G-1 All Habitats'!$B$2:$M$129,12,FALSE),"")</f>
        <v/>
      </c>
      <c r="Q232" s="513" t="str">
        <f>IFERROR(IF(P232="","",IF(AND(P232='G-1 All Habitats'!$X$3,T232&gt;0),U232+V232,IF(AND(P232='G-1 All Habitats'!$X$3,S232&gt;0),U232+V232,IF(AND(P232='G-1 All Habitats'!$X$3,AC232&gt;0),"Any Loss Unacceptable",IF(AND(P232='G-1 All Habitats'!$X$3,W232&gt;0),"Any Loss Unacceptable",H232*J232*L232*O232))))),"Check Data ⚠")</f>
        <v/>
      </c>
      <c r="R232" s="50"/>
      <c r="S232" s="71"/>
      <c r="T232" s="72"/>
      <c r="U232" s="511" t="str">
        <f t="shared" si="20"/>
        <v/>
      </c>
      <c r="V232" s="511" t="str">
        <f t="shared" si="21"/>
        <v/>
      </c>
      <c r="W232" s="511"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545" t="str">
        <f>IFERROR(IF(H232="","",IF(H232-S232-T232=0&lt;0,"Error in Areas ▲",IF(S232+T232&gt;H232,"Error in Areas ▲",IF(AND(P232='G-1 All Habitats'!$X$3,Y232="Yes"),"Alternative Compensation",IF(W232=0,0,IF(P232='G-1 All Habitats'!$X$3,"Unacceptable Loss",Q232-U232-V232)))))),"Check Data ⚠")</f>
        <v/>
      </c>
      <c r="Y232" s="72"/>
      <c r="Z232" s="151"/>
      <c r="AA232" s="152"/>
      <c r="AC232" s="251" t="str">
        <f>IF(P232="","",IF(P232='G-1 All Habitats'!$X$3,H232-S232-T232,"None"))</f>
        <v/>
      </c>
      <c r="AD232" s="252" t="str">
        <f t="shared" si="22"/>
        <v/>
      </c>
      <c r="AF232" s="156" t="str">
        <f t="shared" si="18"/>
        <v/>
      </c>
      <c r="AG232" s="156" t="str">
        <f t="shared" si="19"/>
        <v/>
      </c>
      <c r="AH232" s="156" t="str">
        <f>IF(I232="","",IF(#REF!&gt;0,TRUE,FALSE))</f>
        <v/>
      </c>
      <c r="AI232" s="156">
        <v>222</v>
      </c>
      <c r="AJ232" s="156"/>
      <c r="AK232" s="156" t="str">
        <f t="array" ref="AK232">IFERROR(INDEX($AI$11:$AI$259, MATCH(0, IF(TRUE=$AF$11:$AF$259, COUNTIF($AK$10:$AK231, $AI$11:$AI$259), ""), 0)),"")</f>
        <v/>
      </c>
      <c r="AL232" s="156" t="str">
        <f t="array" ref="AL232">IFERROR(INDEX($AI$11:$AI$259, MATCH(0, IF(TRUE=$AG$11:$AG$259, COUNTIF($AL$10:$AL231, $AI$11:$AI$259), ""), 0)),"")</f>
        <v/>
      </c>
      <c r="AM232" s="156" t="str">
        <f t="array" ref="AM232">IFERROR(INDEX($AI$11:$AI$259, MATCH(0, IF(TRUE=$AH$11:$AH$259, COUNTIF($AM$10:$AM231, $AI$11:$AI$259), ""), 0)),"")</f>
        <v/>
      </c>
      <c r="AQ232" s="31">
        <f t="shared" si="23"/>
        <v>0</v>
      </c>
    </row>
    <row r="233" spans="1:43" x14ac:dyDescent="0.25">
      <c r="A233" s="31" t="str">
        <f>IFERROR(INDEX('G-1 All Habitats'!$AG$3:$AG$15,MATCH(E233,'G-1 All Habitats'!$AF$3:$AF$15,0)),"")</f>
        <v/>
      </c>
      <c r="B233" s="31" t="str">
        <f>IFERROR(INDEX('G-8 Condition Look up'!$I$4:$I$130,MATCH(G233,'G-8 Condition Look up'!$A$4:$A$130,0)),"")</f>
        <v/>
      </c>
      <c r="D233" s="141">
        <v>223</v>
      </c>
      <c r="E233" s="203"/>
      <c r="F233" s="203"/>
      <c r="G233" s="250" t="str">
        <f>IFERROR(INDEX('G-1 All Habitats'!$B$3:$B$129,MATCH(F233,'G-1 All Habitats'!$A$3:$A$129,0)),"")</f>
        <v/>
      </c>
      <c r="H233" s="172"/>
      <c r="I233" s="498" t="str">
        <f>IF(G233="","",VLOOKUP(G233,'G-1 All Habitats'!$B$2:$M$129,10,FALSE))</f>
        <v/>
      </c>
      <c r="J233" s="499" t="str">
        <f>IFERROR(VLOOKUP(I233,'G-1 All Habitats'!$V$3:$W$7,2,FALSE),"")</f>
        <v/>
      </c>
      <c r="K233" s="145"/>
      <c r="L233" s="499" t="str">
        <f>IFERROR(INDEX('G-8 Condition Look up'!$A$3:$H$130,MATCH(G233,'G-8 Condition Look up'!$A$3:$A$130,0),MATCH(K233,'G-8 Condition Look up'!$A$3:$H$3,0)),"")</f>
        <v/>
      </c>
      <c r="M233" s="154"/>
      <c r="N233" s="520" t="str">
        <f>IF(M233="","",IF(VLOOKUP(M233,'G-3 Multipliers'!$L$3:$N$6,2,FALSE)=0,"Spatial Data Missing ⚠",VLOOKUP(M233,'G-3 Multipliers'!$L$3:$N$6,2,FALSE)))</f>
        <v/>
      </c>
      <c r="O233" s="524" t="str">
        <f>IF(M233="","",IF(VLOOKUP(M233,'G-3 Multipliers'!$L$3:$N$6,3,FALSE)=0,"Spatial Data Missing ⚠",VLOOKUP(M233,'G-3 Multipliers'!$L$3:$N$6,3,FALSE)))</f>
        <v/>
      </c>
      <c r="P233" s="506" t="str">
        <f>IFERROR(VLOOKUP(G233,'G-1 All Habitats'!$B$2:$M$129,12,FALSE),"")</f>
        <v/>
      </c>
      <c r="Q233" s="513" t="str">
        <f>IFERROR(IF(P233="","",IF(AND(P233='G-1 All Habitats'!$X$3,T233&gt;0),U233+V233,IF(AND(P233='G-1 All Habitats'!$X$3,S233&gt;0),U233+V233,IF(AND(P233='G-1 All Habitats'!$X$3,AC233&gt;0),"Any Loss Unacceptable",IF(AND(P233='G-1 All Habitats'!$X$3,W233&gt;0),"Any Loss Unacceptable",H233*J233*L233*O233))))),"Check Data ⚠")</f>
        <v/>
      </c>
      <c r="R233" s="50"/>
      <c r="S233" s="71"/>
      <c r="T233" s="72"/>
      <c r="U233" s="511" t="str">
        <f t="shared" si="20"/>
        <v/>
      </c>
      <c r="V233" s="511" t="str">
        <f t="shared" si="21"/>
        <v/>
      </c>
      <c r="W233" s="511"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545" t="str">
        <f>IFERROR(IF(H233="","",IF(H233-S233-T233=0&lt;0,"Error in Areas ▲",IF(S233+T233&gt;H233,"Error in Areas ▲",IF(AND(P233='G-1 All Habitats'!$X$3,Y233="Yes"),"Alternative Compensation",IF(W233=0,0,IF(P233='G-1 All Habitats'!$X$3,"Unacceptable Loss",Q233-U233-V233)))))),"Check Data ⚠")</f>
        <v/>
      </c>
      <c r="Y233" s="72"/>
      <c r="Z233" s="151"/>
      <c r="AA233" s="152"/>
      <c r="AC233" s="251" t="str">
        <f>IF(P233="","",IF(P233='G-1 All Habitats'!$X$3,H233-S233-T233,"None"))</f>
        <v/>
      </c>
      <c r="AD233" s="252" t="str">
        <f t="shared" si="22"/>
        <v/>
      </c>
      <c r="AF233" s="156" t="str">
        <f t="shared" si="18"/>
        <v/>
      </c>
      <c r="AG233" s="156" t="str">
        <f t="shared" si="19"/>
        <v/>
      </c>
      <c r="AH233" s="156" t="str">
        <f>IF(I233="","",IF(#REF!&gt;0,TRUE,FALSE))</f>
        <v/>
      </c>
      <c r="AI233" s="156">
        <v>223</v>
      </c>
      <c r="AJ233" s="156"/>
      <c r="AK233" s="156" t="str">
        <f t="array" ref="AK233">IFERROR(INDEX($AI$11:$AI$259, MATCH(0, IF(TRUE=$AF$11:$AF$259, COUNTIF($AK$10:$AK232, $AI$11:$AI$259), ""), 0)),"")</f>
        <v/>
      </c>
      <c r="AL233" s="156" t="str">
        <f t="array" ref="AL233">IFERROR(INDEX($AI$11:$AI$259, MATCH(0, IF(TRUE=$AG$11:$AG$259, COUNTIF($AL$10:$AL232, $AI$11:$AI$259), ""), 0)),"")</f>
        <v/>
      </c>
      <c r="AM233" s="156" t="str">
        <f t="array" ref="AM233">IFERROR(INDEX($AI$11:$AI$259, MATCH(0, IF(TRUE=$AH$11:$AH$259, COUNTIF($AM$10:$AM232, $AI$11:$AI$259), ""), 0)),"")</f>
        <v/>
      </c>
      <c r="AQ233" s="31">
        <f t="shared" si="23"/>
        <v>0</v>
      </c>
    </row>
    <row r="234" spans="1:43" x14ac:dyDescent="0.25">
      <c r="A234" s="31" t="str">
        <f>IFERROR(INDEX('G-1 All Habitats'!$AG$3:$AG$15,MATCH(E234,'G-1 All Habitats'!$AF$3:$AF$15,0)),"")</f>
        <v/>
      </c>
      <c r="B234" s="31" t="str">
        <f>IFERROR(INDEX('G-8 Condition Look up'!$I$4:$I$130,MATCH(G234,'G-8 Condition Look up'!$A$4:$A$130,0)),"")</f>
        <v/>
      </c>
      <c r="D234" s="141">
        <v>224</v>
      </c>
      <c r="E234" s="203"/>
      <c r="F234" s="203"/>
      <c r="G234" s="250" t="str">
        <f>IFERROR(INDEX('G-1 All Habitats'!$B$3:$B$129,MATCH(F234,'G-1 All Habitats'!$A$3:$A$129,0)),"")</f>
        <v/>
      </c>
      <c r="H234" s="172"/>
      <c r="I234" s="498" t="str">
        <f>IF(G234="","",VLOOKUP(G234,'G-1 All Habitats'!$B$2:$M$129,10,FALSE))</f>
        <v/>
      </c>
      <c r="J234" s="499" t="str">
        <f>IFERROR(VLOOKUP(I234,'G-1 All Habitats'!$V$3:$W$7,2,FALSE),"")</f>
        <v/>
      </c>
      <c r="K234" s="145"/>
      <c r="L234" s="499" t="str">
        <f>IFERROR(INDEX('G-8 Condition Look up'!$A$3:$H$130,MATCH(G234,'G-8 Condition Look up'!$A$3:$A$130,0),MATCH(K234,'G-8 Condition Look up'!$A$3:$H$3,0)),"")</f>
        <v/>
      </c>
      <c r="M234" s="154"/>
      <c r="N234" s="520" t="str">
        <f>IF(M234="","",IF(VLOOKUP(M234,'G-3 Multipliers'!$L$3:$N$6,2,FALSE)=0,"Spatial Data Missing ⚠",VLOOKUP(M234,'G-3 Multipliers'!$L$3:$N$6,2,FALSE)))</f>
        <v/>
      </c>
      <c r="O234" s="524" t="str">
        <f>IF(M234="","",IF(VLOOKUP(M234,'G-3 Multipliers'!$L$3:$N$6,3,FALSE)=0,"Spatial Data Missing ⚠",VLOOKUP(M234,'G-3 Multipliers'!$L$3:$N$6,3,FALSE)))</f>
        <v/>
      </c>
      <c r="P234" s="506" t="str">
        <f>IFERROR(VLOOKUP(G234,'G-1 All Habitats'!$B$2:$M$129,12,FALSE),"")</f>
        <v/>
      </c>
      <c r="Q234" s="513" t="str">
        <f>IFERROR(IF(P234="","",IF(AND(P234='G-1 All Habitats'!$X$3,T234&gt;0),U234+V234,IF(AND(P234='G-1 All Habitats'!$X$3,S234&gt;0),U234+V234,IF(AND(P234='G-1 All Habitats'!$X$3,AC234&gt;0),"Any Loss Unacceptable",IF(AND(P234='G-1 All Habitats'!$X$3,W234&gt;0),"Any Loss Unacceptable",H234*J234*L234*O234))))),"Check Data ⚠")</f>
        <v/>
      </c>
      <c r="R234" s="50"/>
      <c r="S234" s="71"/>
      <c r="T234" s="72"/>
      <c r="U234" s="511" t="str">
        <f t="shared" si="20"/>
        <v/>
      </c>
      <c r="V234" s="511" t="str">
        <f t="shared" si="21"/>
        <v/>
      </c>
      <c r="W234" s="511"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545" t="str">
        <f>IFERROR(IF(H234="","",IF(H234-S234-T234=0&lt;0,"Error in Areas ▲",IF(S234+T234&gt;H234,"Error in Areas ▲",IF(AND(P234='G-1 All Habitats'!$X$3,Y234="Yes"),"Alternative Compensation",IF(W234=0,0,IF(P234='G-1 All Habitats'!$X$3,"Unacceptable Loss",Q234-U234-V234)))))),"Check Data ⚠")</f>
        <v/>
      </c>
      <c r="Y234" s="72"/>
      <c r="Z234" s="151"/>
      <c r="AA234" s="152"/>
      <c r="AC234" s="251" t="str">
        <f>IF(P234="","",IF(P234='G-1 All Habitats'!$X$3,H234-S234-T234,"None"))</f>
        <v/>
      </c>
      <c r="AD234" s="252" t="str">
        <f t="shared" si="22"/>
        <v/>
      </c>
      <c r="AF234" s="156" t="str">
        <f t="shared" si="18"/>
        <v/>
      </c>
      <c r="AG234" s="156" t="str">
        <f t="shared" si="19"/>
        <v/>
      </c>
      <c r="AH234" s="156" t="str">
        <f>IF(I234="","",IF(#REF!&gt;0,TRUE,FALSE))</f>
        <v/>
      </c>
      <c r="AI234" s="156">
        <v>224</v>
      </c>
      <c r="AJ234" s="156"/>
      <c r="AK234" s="156" t="str">
        <f t="array" ref="AK234">IFERROR(INDEX($AI$11:$AI$259, MATCH(0, IF(TRUE=$AF$11:$AF$259, COUNTIF($AK$10:$AK233, $AI$11:$AI$259), ""), 0)),"")</f>
        <v/>
      </c>
      <c r="AL234" s="156" t="str">
        <f t="array" ref="AL234">IFERROR(INDEX($AI$11:$AI$259, MATCH(0, IF(TRUE=$AG$11:$AG$259, COUNTIF($AL$10:$AL233, $AI$11:$AI$259), ""), 0)),"")</f>
        <v/>
      </c>
      <c r="AM234" s="156" t="str">
        <f t="array" ref="AM234">IFERROR(INDEX($AI$11:$AI$259, MATCH(0, IF(TRUE=$AH$11:$AH$259, COUNTIF($AM$10:$AM233, $AI$11:$AI$259), ""), 0)),"")</f>
        <v/>
      </c>
      <c r="AQ234" s="31">
        <f t="shared" si="23"/>
        <v>0</v>
      </c>
    </row>
    <row r="235" spans="1:43" x14ac:dyDescent="0.25">
      <c r="A235" s="31" t="str">
        <f>IFERROR(INDEX('G-1 All Habitats'!$AG$3:$AG$15,MATCH(E235,'G-1 All Habitats'!$AF$3:$AF$15,0)),"")</f>
        <v/>
      </c>
      <c r="B235" s="31" t="str">
        <f>IFERROR(INDEX('G-8 Condition Look up'!$I$4:$I$130,MATCH(G235,'G-8 Condition Look up'!$A$4:$A$130,0)),"")</f>
        <v/>
      </c>
      <c r="D235" s="141">
        <v>225</v>
      </c>
      <c r="E235" s="203"/>
      <c r="F235" s="203"/>
      <c r="G235" s="250" t="str">
        <f>IFERROR(INDEX('G-1 All Habitats'!$B$3:$B$129,MATCH(F235,'G-1 All Habitats'!$A$3:$A$129,0)),"")</f>
        <v/>
      </c>
      <c r="H235" s="172"/>
      <c r="I235" s="498" t="str">
        <f>IF(G235="","",VLOOKUP(G235,'G-1 All Habitats'!$B$2:$M$129,10,FALSE))</f>
        <v/>
      </c>
      <c r="J235" s="499" t="str">
        <f>IFERROR(VLOOKUP(I235,'G-1 All Habitats'!$V$3:$W$7,2,FALSE),"")</f>
        <v/>
      </c>
      <c r="K235" s="145"/>
      <c r="L235" s="499" t="str">
        <f>IFERROR(INDEX('G-8 Condition Look up'!$A$3:$H$130,MATCH(G235,'G-8 Condition Look up'!$A$3:$A$130,0),MATCH(K235,'G-8 Condition Look up'!$A$3:$H$3,0)),"")</f>
        <v/>
      </c>
      <c r="M235" s="154"/>
      <c r="N235" s="520" t="str">
        <f>IF(M235="","",IF(VLOOKUP(M235,'G-3 Multipliers'!$L$3:$N$6,2,FALSE)=0,"Spatial Data Missing ⚠",VLOOKUP(M235,'G-3 Multipliers'!$L$3:$N$6,2,FALSE)))</f>
        <v/>
      </c>
      <c r="O235" s="524" t="str">
        <f>IF(M235="","",IF(VLOOKUP(M235,'G-3 Multipliers'!$L$3:$N$6,3,FALSE)=0,"Spatial Data Missing ⚠",VLOOKUP(M235,'G-3 Multipliers'!$L$3:$N$6,3,FALSE)))</f>
        <v/>
      </c>
      <c r="P235" s="506" t="str">
        <f>IFERROR(VLOOKUP(G235,'G-1 All Habitats'!$B$2:$M$129,12,FALSE),"")</f>
        <v/>
      </c>
      <c r="Q235" s="513" t="str">
        <f>IFERROR(IF(P235="","",IF(AND(P235='G-1 All Habitats'!$X$3,T235&gt;0),U235+V235,IF(AND(P235='G-1 All Habitats'!$X$3,S235&gt;0),U235+V235,IF(AND(P235='G-1 All Habitats'!$X$3,AC235&gt;0),"Any Loss Unacceptable",IF(AND(P235='G-1 All Habitats'!$X$3,W235&gt;0),"Any Loss Unacceptable",H235*J235*L235*O235))))),"Check Data ⚠")</f>
        <v/>
      </c>
      <c r="R235" s="50"/>
      <c r="S235" s="71"/>
      <c r="T235" s="72"/>
      <c r="U235" s="511" t="str">
        <f t="shared" si="20"/>
        <v/>
      </c>
      <c r="V235" s="511" t="str">
        <f t="shared" si="21"/>
        <v/>
      </c>
      <c r="W235" s="511"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545" t="str">
        <f>IFERROR(IF(H235="","",IF(H235-S235-T235=0&lt;0,"Error in Areas ▲",IF(S235+T235&gt;H235,"Error in Areas ▲",IF(AND(P235='G-1 All Habitats'!$X$3,Y235="Yes"),"Alternative Compensation",IF(W235=0,0,IF(P235='G-1 All Habitats'!$X$3,"Unacceptable Loss",Q235-U235-V235)))))),"Check Data ⚠")</f>
        <v/>
      </c>
      <c r="Y235" s="72"/>
      <c r="Z235" s="151"/>
      <c r="AA235" s="152"/>
      <c r="AC235" s="251" t="str">
        <f>IF(P235="","",IF(P235='G-1 All Habitats'!$X$3,H235-S235-T235,"None"))</f>
        <v/>
      </c>
      <c r="AD235" s="252" t="str">
        <f t="shared" si="22"/>
        <v/>
      </c>
      <c r="AF235" s="156" t="str">
        <f t="shared" si="18"/>
        <v/>
      </c>
      <c r="AG235" s="156" t="str">
        <f t="shared" si="19"/>
        <v/>
      </c>
      <c r="AH235" s="156" t="str">
        <f>IF(I235="","",IF(#REF!&gt;0,TRUE,FALSE))</f>
        <v/>
      </c>
      <c r="AI235" s="156">
        <v>225</v>
      </c>
      <c r="AJ235" s="156"/>
      <c r="AK235" s="156" t="str">
        <f t="array" ref="AK235">IFERROR(INDEX($AI$11:$AI$259, MATCH(0, IF(TRUE=$AF$11:$AF$259, COUNTIF($AK$10:$AK234, $AI$11:$AI$259), ""), 0)),"")</f>
        <v/>
      </c>
      <c r="AL235" s="156" t="str">
        <f t="array" ref="AL235">IFERROR(INDEX($AI$11:$AI$259, MATCH(0, IF(TRUE=$AG$11:$AG$259, COUNTIF($AL$10:$AL234, $AI$11:$AI$259), ""), 0)),"")</f>
        <v/>
      </c>
      <c r="AM235" s="156" t="str">
        <f t="array" ref="AM235">IFERROR(INDEX($AI$11:$AI$259, MATCH(0, IF(TRUE=$AH$11:$AH$259, COUNTIF($AM$10:$AM234, $AI$11:$AI$259), ""), 0)),"")</f>
        <v/>
      </c>
      <c r="AQ235" s="31">
        <f t="shared" si="23"/>
        <v>0</v>
      </c>
    </row>
    <row r="236" spans="1:43" x14ac:dyDescent="0.25">
      <c r="A236" s="31" t="str">
        <f>IFERROR(INDEX('G-1 All Habitats'!$AG$3:$AG$15,MATCH(E236,'G-1 All Habitats'!$AF$3:$AF$15,0)),"")</f>
        <v/>
      </c>
      <c r="B236" s="31" t="str">
        <f>IFERROR(INDEX('G-8 Condition Look up'!$I$4:$I$130,MATCH(G236,'G-8 Condition Look up'!$A$4:$A$130,0)),"")</f>
        <v/>
      </c>
      <c r="D236" s="141">
        <v>226</v>
      </c>
      <c r="E236" s="203"/>
      <c r="F236" s="203"/>
      <c r="G236" s="250" t="str">
        <f>IFERROR(INDEX('G-1 All Habitats'!$B$3:$B$129,MATCH(F236,'G-1 All Habitats'!$A$3:$A$129,0)),"")</f>
        <v/>
      </c>
      <c r="H236" s="172"/>
      <c r="I236" s="498" t="str">
        <f>IF(G236="","",VLOOKUP(G236,'G-1 All Habitats'!$B$2:$M$129,10,FALSE))</f>
        <v/>
      </c>
      <c r="J236" s="499" t="str">
        <f>IFERROR(VLOOKUP(I236,'G-1 All Habitats'!$V$3:$W$7,2,FALSE),"")</f>
        <v/>
      </c>
      <c r="K236" s="145"/>
      <c r="L236" s="499" t="str">
        <f>IFERROR(INDEX('G-8 Condition Look up'!$A$3:$H$130,MATCH(G236,'G-8 Condition Look up'!$A$3:$A$130,0),MATCH(K236,'G-8 Condition Look up'!$A$3:$H$3,0)),"")</f>
        <v/>
      </c>
      <c r="M236" s="154"/>
      <c r="N236" s="520" t="str">
        <f>IF(M236="","",IF(VLOOKUP(M236,'G-3 Multipliers'!$L$3:$N$6,2,FALSE)=0,"Spatial Data Missing ⚠",VLOOKUP(M236,'G-3 Multipliers'!$L$3:$N$6,2,FALSE)))</f>
        <v/>
      </c>
      <c r="O236" s="524" t="str">
        <f>IF(M236="","",IF(VLOOKUP(M236,'G-3 Multipliers'!$L$3:$N$6,3,FALSE)=0,"Spatial Data Missing ⚠",VLOOKUP(M236,'G-3 Multipliers'!$L$3:$N$6,3,FALSE)))</f>
        <v/>
      </c>
      <c r="P236" s="506" t="str">
        <f>IFERROR(VLOOKUP(G236,'G-1 All Habitats'!$B$2:$M$129,12,FALSE),"")</f>
        <v/>
      </c>
      <c r="Q236" s="513" t="str">
        <f>IFERROR(IF(P236="","",IF(AND(P236='G-1 All Habitats'!$X$3,T236&gt;0),U236+V236,IF(AND(P236='G-1 All Habitats'!$X$3,S236&gt;0),U236+V236,IF(AND(P236='G-1 All Habitats'!$X$3,AC236&gt;0),"Any Loss Unacceptable",IF(AND(P236='G-1 All Habitats'!$X$3,W236&gt;0),"Any Loss Unacceptable",H236*J236*L236*O236))))),"Check Data ⚠")</f>
        <v/>
      </c>
      <c r="R236" s="50"/>
      <c r="S236" s="71"/>
      <c r="T236" s="72"/>
      <c r="U236" s="511" t="str">
        <f t="shared" si="20"/>
        <v/>
      </c>
      <c r="V236" s="511" t="str">
        <f t="shared" si="21"/>
        <v/>
      </c>
      <c r="W236" s="511"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545" t="str">
        <f>IFERROR(IF(H236="","",IF(H236-S236-T236=0&lt;0,"Error in Areas ▲",IF(S236+T236&gt;H236,"Error in Areas ▲",IF(AND(P236='G-1 All Habitats'!$X$3,Y236="Yes"),"Alternative Compensation",IF(W236=0,0,IF(P236='G-1 All Habitats'!$X$3,"Unacceptable Loss",Q236-U236-V236)))))),"Check Data ⚠")</f>
        <v/>
      </c>
      <c r="Y236" s="72"/>
      <c r="Z236" s="151"/>
      <c r="AA236" s="152"/>
      <c r="AC236" s="251" t="str">
        <f>IF(P236="","",IF(P236='G-1 All Habitats'!$X$3,H236-S236-T236,"None"))</f>
        <v/>
      </c>
      <c r="AD236" s="252" t="str">
        <f t="shared" si="22"/>
        <v/>
      </c>
      <c r="AF236" s="156" t="str">
        <f t="shared" si="18"/>
        <v/>
      </c>
      <c r="AG236" s="156" t="str">
        <f t="shared" si="19"/>
        <v/>
      </c>
      <c r="AH236" s="156" t="str">
        <f>IF(I236="","",IF(#REF!&gt;0,TRUE,FALSE))</f>
        <v/>
      </c>
      <c r="AI236" s="156">
        <v>226</v>
      </c>
      <c r="AJ236" s="156"/>
      <c r="AK236" s="156" t="str">
        <f t="array" ref="AK236">IFERROR(INDEX($AI$11:$AI$259, MATCH(0, IF(TRUE=$AF$11:$AF$259, COUNTIF($AK$10:$AK235, $AI$11:$AI$259), ""), 0)),"")</f>
        <v/>
      </c>
      <c r="AL236" s="156" t="str">
        <f t="array" ref="AL236">IFERROR(INDEX($AI$11:$AI$259, MATCH(0, IF(TRUE=$AG$11:$AG$259, COUNTIF($AL$10:$AL235, $AI$11:$AI$259), ""), 0)),"")</f>
        <v/>
      </c>
      <c r="AM236" s="156" t="str">
        <f t="array" ref="AM236">IFERROR(INDEX($AI$11:$AI$259, MATCH(0, IF(TRUE=$AH$11:$AH$259, COUNTIF($AM$10:$AM235, $AI$11:$AI$259), ""), 0)),"")</f>
        <v/>
      </c>
      <c r="AQ236" s="31">
        <f t="shared" si="23"/>
        <v>0</v>
      </c>
    </row>
    <row r="237" spans="1:43" x14ac:dyDescent="0.25">
      <c r="A237" s="31" t="str">
        <f>IFERROR(INDEX('G-1 All Habitats'!$AG$3:$AG$15,MATCH(E237,'G-1 All Habitats'!$AF$3:$AF$15,0)),"")</f>
        <v/>
      </c>
      <c r="B237" s="31" t="str">
        <f>IFERROR(INDEX('G-8 Condition Look up'!$I$4:$I$130,MATCH(G237,'G-8 Condition Look up'!$A$4:$A$130,0)),"")</f>
        <v/>
      </c>
      <c r="D237" s="141">
        <v>227</v>
      </c>
      <c r="E237" s="203"/>
      <c r="F237" s="203"/>
      <c r="G237" s="250" t="str">
        <f>IFERROR(INDEX('G-1 All Habitats'!$B$3:$B$129,MATCH(F237,'G-1 All Habitats'!$A$3:$A$129,0)),"")</f>
        <v/>
      </c>
      <c r="H237" s="172"/>
      <c r="I237" s="498" t="str">
        <f>IF(G237="","",VLOOKUP(G237,'G-1 All Habitats'!$B$2:$M$129,10,FALSE))</f>
        <v/>
      </c>
      <c r="J237" s="499" t="str">
        <f>IFERROR(VLOOKUP(I237,'G-1 All Habitats'!$V$3:$W$7,2,FALSE),"")</f>
        <v/>
      </c>
      <c r="K237" s="145"/>
      <c r="L237" s="499" t="str">
        <f>IFERROR(INDEX('G-8 Condition Look up'!$A$3:$H$130,MATCH(G237,'G-8 Condition Look up'!$A$3:$A$130,0),MATCH(K237,'G-8 Condition Look up'!$A$3:$H$3,0)),"")</f>
        <v/>
      </c>
      <c r="M237" s="154"/>
      <c r="N237" s="520" t="str">
        <f>IF(M237="","",IF(VLOOKUP(M237,'G-3 Multipliers'!$L$3:$N$6,2,FALSE)=0,"Spatial Data Missing ⚠",VLOOKUP(M237,'G-3 Multipliers'!$L$3:$N$6,2,FALSE)))</f>
        <v/>
      </c>
      <c r="O237" s="524" t="str">
        <f>IF(M237="","",IF(VLOOKUP(M237,'G-3 Multipliers'!$L$3:$N$6,3,FALSE)=0,"Spatial Data Missing ⚠",VLOOKUP(M237,'G-3 Multipliers'!$L$3:$N$6,3,FALSE)))</f>
        <v/>
      </c>
      <c r="P237" s="506" t="str">
        <f>IFERROR(VLOOKUP(G237,'G-1 All Habitats'!$B$2:$M$129,12,FALSE),"")</f>
        <v/>
      </c>
      <c r="Q237" s="513" t="str">
        <f>IFERROR(IF(P237="","",IF(AND(P237='G-1 All Habitats'!$X$3,T237&gt;0),U237+V237,IF(AND(P237='G-1 All Habitats'!$X$3,S237&gt;0),U237+V237,IF(AND(P237='G-1 All Habitats'!$X$3,AC237&gt;0),"Any Loss Unacceptable",IF(AND(P237='G-1 All Habitats'!$X$3,W237&gt;0),"Any Loss Unacceptable",H237*J237*L237*O237))))),"Check Data ⚠")</f>
        <v/>
      </c>
      <c r="R237" s="50"/>
      <c r="S237" s="71"/>
      <c r="T237" s="72"/>
      <c r="U237" s="511" t="str">
        <f t="shared" si="20"/>
        <v/>
      </c>
      <c r="V237" s="511" t="str">
        <f t="shared" si="21"/>
        <v/>
      </c>
      <c r="W237" s="511"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545" t="str">
        <f>IFERROR(IF(H237="","",IF(H237-S237-T237=0&lt;0,"Error in Areas ▲",IF(S237+T237&gt;H237,"Error in Areas ▲",IF(AND(P237='G-1 All Habitats'!$X$3,Y237="Yes"),"Alternative Compensation",IF(W237=0,0,IF(P237='G-1 All Habitats'!$X$3,"Unacceptable Loss",Q237-U237-V237)))))),"Check Data ⚠")</f>
        <v/>
      </c>
      <c r="Y237" s="72"/>
      <c r="Z237" s="151"/>
      <c r="AA237" s="152"/>
      <c r="AC237" s="251" t="str">
        <f>IF(P237="","",IF(P237='G-1 All Habitats'!$X$3,H237-S237-T237,"None"))</f>
        <v/>
      </c>
      <c r="AD237" s="252" t="str">
        <f t="shared" si="22"/>
        <v/>
      </c>
      <c r="AF237" s="156" t="str">
        <f t="shared" si="18"/>
        <v/>
      </c>
      <c r="AG237" s="156" t="str">
        <f t="shared" si="19"/>
        <v/>
      </c>
      <c r="AH237" s="156" t="str">
        <f>IF(I237="","",IF(#REF!&gt;0,TRUE,FALSE))</f>
        <v/>
      </c>
      <c r="AI237" s="156">
        <v>227</v>
      </c>
      <c r="AJ237" s="156"/>
      <c r="AK237" s="156" t="str">
        <f t="array" ref="AK237">IFERROR(INDEX($AI$11:$AI$259, MATCH(0, IF(TRUE=$AF$11:$AF$259, COUNTIF($AK$10:$AK236, $AI$11:$AI$259), ""), 0)),"")</f>
        <v/>
      </c>
      <c r="AL237" s="156" t="str">
        <f t="array" ref="AL237">IFERROR(INDEX($AI$11:$AI$259, MATCH(0, IF(TRUE=$AG$11:$AG$259, COUNTIF($AL$10:$AL236, $AI$11:$AI$259), ""), 0)),"")</f>
        <v/>
      </c>
      <c r="AM237" s="156" t="str">
        <f t="array" ref="AM237">IFERROR(INDEX($AI$11:$AI$259, MATCH(0, IF(TRUE=$AH$11:$AH$259, COUNTIF($AM$10:$AM236, $AI$11:$AI$259), ""), 0)),"")</f>
        <v/>
      </c>
      <c r="AQ237" s="31">
        <f t="shared" si="23"/>
        <v>0</v>
      </c>
    </row>
    <row r="238" spans="1:43" x14ac:dyDescent="0.25">
      <c r="A238" s="31" t="str">
        <f>IFERROR(INDEX('G-1 All Habitats'!$AG$3:$AG$15,MATCH(E238,'G-1 All Habitats'!$AF$3:$AF$15,0)),"")</f>
        <v/>
      </c>
      <c r="B238" s="31" t="str">
        <f>IFERROR(INDEX('G-8 Condition Look up'!$I$4:$I$130,MATCH(G238,'G-8 Condition Look up'!$A$4:$A$130,0)),"")</f>
        <v/>
      </c>
      <c r="D238" s="141">
        <v>228</v>
      </c>
      <c r="E238" s="203"/>
      <c r="F238" s="203"/>
      <c r="G238" s="250" t="str">
        <f>IFERROR(INDEX('G-1 All Habitats'!$B$3:$B$129,MATCH(F238,'G-1 All Habitats'!$A$3:$A$129,0)),"")</f>
        <v/>
      </c>
      <c r="H238" s="172"/>
      <c r="I238" s="498" t="str">
        <f>IF(G238="","",VLOOKUP(G238,'G-1 All Habitats'!$B$2:$M$129,10,FALSE))</f>
        <v/>
      </c>
      <c r="J238" s="499" t="str">
        <f>IFERROR(VLOOKUP(I238,'G-1 All Habitats'!$V$3:$W$7,2,FALSE),"")</f>
        <v/>
      </c>
      <c r="K238" s="145"/>
      <c r="L238" s="499" t="str">
        <f>IFERROR(INDEX('G-8 Condition Look up'!$A$3:$H$130,MATCH(G238,'G-8 Condition Look up'!$A$3:$A$130,0),MATCH(K238,'G-8 Condition Look up'!$A$3:$H$3,0)),"")</f>
        <v/>
      </c>
      <c r="M238" s="154"/>
      <c r="N238" s="520" t="str">
        <f>IF(M238="","",IF(VLOOKUP(M238,'G-3 Multipliers'!$L$3:$N$6,2,FALSE)=0,"Spatial Data Missing ⚠",VLOOKUP(M238,'G-3 Multipliers'!$L$3:$N$6,2,FALSE)))</f>
        <v/>
      </c>
      <c r="O238" s="524" t="str">
        <f>IF(M238="","",IF(VLOOKUP(M238,'G-3 Multipliers'!$L$3:$N$6,3,FALSE)=0,"Spatial Data Missing ⚠",VLOOKUP(M238,'G-3 Multipliers'!$L$3:$N$6,3,FALSE)))</f>
        <v/>
      </c>
      <c r="P238" s="506" t="str">
        <f>IFERROR(VLOOKUP(G238,'G-1 All Habitats'!$B$2:$M$129,12,FALSE),"")</f>
        <v/>
      </c>
      <c r="Q238" s="513" t="str">
        <f>IFERROR(IF(P238="","",IF(AND(P238='G-1 All Habitats'!$X$3,T238&gt;0),U238+V238,IF(AND(P238='G-1 All Habitats'!$X$3,S238&gt;0),U238+V238,IF(AND(P238='G-1 All Habitats'!$X$3,AC238&gt;0),"Any Loss Unacceptable",IF(AND(P238='G-1 All Habitats'!$X$3,W238&gt;0),"Any Loss Unacceptable",H238*J238*L238*O238))))),"Check Data ⚠")</f>
        <v/>
      </c>
      <c r="R238" s="50"/>
      <c r="S238" s="71"/>
      <c r="T238" s="72"/>
      <c r="U238" s="511" t="str">
        <f t="shared" si="20"/>
        <v/>
      </c>
      <c r="V238" s="511" t="str">
        <f t="shared" si="21"/>
        <v/>
      </c>
      <c r="W238" s="511"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545" t="str">
        <f>IFERROR(IF(H238="","",IF(H238-S238-T238=0&lt;0,"Error in Areas ▲",IF(S238+T238&gt;H238,"Error in Areas ▲",IF(AND(P238='G-1 All Habitats'!$X$3,Y238="Yes"),"Alternative Compensation",IF(W238=0,0,IF(P238='G-1 All Habitats'!$X$3,"Unacceptable Loss",Q238-U238-V238)))))),"Check Data ⚠")</f>
        <v/>
      </c>
      <c r="Y238" s="72"/>
      <c r="Z238" s="151"/>
      <c r="AA238" s="152"/>
      <c r="AC238" s="251" t="str">
        <f>IF(P238="","",IF(P238='G-1 All Habitats'!$X$3,H238-S238-T238,"None"))</f>
        <v/>
      </c>
      <c r="AD238" s="252" t="str">
        <f t="shared" si="22"/>
        <v/>
      </c>
      <c r="AF238" s="156" t="str">
        <f t="shared" si="18"/>
        <v/>
      </c>
      <c r="AG238" s="156" t="str">
        <f t="shared" si="19"/>
        <v/>
      </c>
      <c r="AH238" s="156" t="str">
        <f>IF(I238="","",IF(#REF!&gt;0,TRUE,FALSE))</f>
        <v/>
      </c>
      <c r="AI238" s="156">
        <v>228</v>
      </c>
      <c r="AJ238" s="156"/>
      <c r="AK238" s="156" t="str">
        <f t="array" ref="AK238">IFERROR(INDEX($AI$11:$AI$259, MATCH(0, IF(TRUE=$AF$11:$AF$259, COUNTIF($AK$10:$AK237, $AI$11:$AI$259), ""), 0)),"")</f>
        <v/>
      </c>
      <c r="AL238" s="156" t="str">
        <f t="array" ref="AL238">IFERROR(INDEX($AI$11:$AI$259, MATCH(0, IF(TRUE=$AG$11:$AG$259, COUNTIF($AL$10:$AL237, $AI$11:$AI$259), ""), 0)),"")</f>
        <v/>
      </c>
      <c r="AM238" s="156" t="str">
        <f t="array" ref="AM238">IFERROR(INDEX($AI$11:$AI$259, MATCH(0, IF(TRUE=$AH$11:$AH$259, COUNTIF($AM$10:$AM237, $AI$11:$AI$259), ""), 0)),"")</f>
        <v/>
      </c>
      <c r="AQ238" s="31">
        <f t="shared" si="23"/>
        <v>0</v>
      </c>
    </row>
    <row r="239" spans="1:43" x14ac:dyDescent="0.25">
      <c r="A239" s="31" t="str">
        <f>IFERROR(INDEX('G-1 All Habitats'!$AG$3:$AG$15,MATCH(E239,'G-1 All Habitats'!$AF$3:$AF$15,0)),"")</f>
        <v/>
      </c>
      <c r="B239" s="31" t="str">
        <f>IFERROR(INDEX('G-8 Condition Look up'!$I$4:$I$130,MATCH(G239,'G-8 Condition Look up'!$A$4:$A$130,0)),"")</f>
        <v/>
      </c>
      <c r="D239" s="141">
        <v>229</v>
      </c>
      <c r="E239" s="203"/>
      <c r="F239" s="203"/>
      <c r="G239" s="250" t="str">
        <f>IFERROR(INDEX('G-1 All Habitats'!$B$3:$B$129,MATCH(F239,'G-1 All Habitats'!$A$3:$A$129,0)),"")</f>
        <v/>
      </c>
      <c r="H239" s="172"/>
      <c r="I239" s="498" t="str">
        <f>IF(G239="","",VLOOKUP(G239,'G-1 All Habitats'!$B$2:$M$129,10,FALSE))</f>
        <v/>
      </c>
      <c r="J239" s="499" t="str">
        <f>IFERROR(VLOOKUP(I239,'G-1 All Habitats'!$V$3:$W$7,2,FALSE),"")</f>
        <v/>
      </c>
      <c r="K239" s="145"/>
      <c r="L239" s="499" t="str">
        <f>IFERROR(INDEX('G-8 Condition Look up'!$A$3:$H$130,MATCH(G239,'G-8 Condition Look up'!$A$3:$A$130,0),MATCH(K239,'G-8 Condition Look up'!$A$3:$H$3,0)),"")</f>
        <v/>
      </c>
      <c r="M239" s="154"/>
      <c r="N239" s="520" t="str">
        <f>IF(M239="","",IF(VLOOKUP(M239,'G-3 Multipliers'!$L$3:$N$6,2,FALSE)=0,"Spatial Data Missing ⚠",VLOOKUP(M239,'G-3 Multipliers'!$L$3:$N$6,2,FALSE)))</f>
        <v/>
      </c>
      <c r="O239" s="524" t="str">
        <f>IF(M239="","",IF(VLOOKUP(M239,'G-3 Multipliers'!$L$3:$N$6,3,FALSE)=0,"Spatial Data Missing ⚠",VLOOKUP(M239,'G-3 Multipliers'!$L$3:$N$6,3,FALSE)))</f>
        <v/>
      </c>
      <c r="P239" s="506" t="str">
        <f>IFERROR(VLOOKUP(G239,'G-1 All Habitats'!$B$2:$M$129,12,FALSE),"")</f>
        <v/>
      </c>
      <c r="Q239" s="513" t="str">
        <f>IFERROR(IF(P239="","",IF(AND(P239='G-1 All Habitats'!$X$3,T239&gt;0),U239+V239,IF(AND(P239='G-1 All Habitats'!$X$3,S239&gt;0),U239+V239,IF(AND(P239='G-1 All Habitats'!$X$3,AC239&gt;0),"Any Loss Unacceptable",IF(AND(P239='G-1 All Habitats'!$X$3,W239&gt;0),"Any Loss Unacceptable",H239*J239*L239*O239))))),"Check Data ⚠")</f>
        <v/>
      </c>
      <c r="R239" s="50"/>
      <c r="S239" s="71"/>
      <c r="T239" s="72"/>
      <c r="U239" s="511" t="str">
        <f t="shared" si="20"/>
        <v/>
      </c>
      <c r="V239" s="511" t="str">
        <f t="shared" si="21"/>
        <v/>
      </c>
      <c r="W239" s="511"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545" t="str">
        <f>IFERROR(IF(H239="","",IF(H239-S239-T239=0&lt;0,"Error in Areas ▲",IF(S239+T239&gt;H239,"Error in Areas ▲",IF(AND(P239='G-1 All Habitats'!$X$3,Y239="Yes"),"Alternative Compensation",IF(W239=0,0,IF(P239='G-1 All Habitats'!$X$3,"Unacceptable Loss",Q239-U239-V239)))))),"Check Data ⚠")</f>
        <v/>
      </c>
      <c r="Y239" s="72"/>
      <c r="Z239" s="151"/>
      <c r="AA239" s="152"/>
      <c r="AC239" s="251" t="str">
        <f>IF(P239="","",IF(P239='G-1 All Habitats'!$X$3,H239-S239-T239,"None"))</f>
        <v/>
      </c>
      <c r="AD239" s="252" t="str">
        <f t="shared" si="22"/>
        <v/>
      </c>
      <c r="AF239" s="156" t="str">
        <f t="shared" si="18"/>
        <v/>
      </c>
      <c r="AG239" s="156" t="str">
        <f t="shared" si="19"/>
        <v/>
      </c>
      <c r="AH239" s="156" t="str">
        <f>IF(I239="","",IF(#REF!&gt;0,TRUE,FALSE))</f>
        <v/>
      </c>
      <c r="AI239" s="156">
        <v>229</v>
      </c>
      <c r="AJ239" s="156"/>
      <c r="AK239" s="156" t="str">
        <f t="array" ref="AK239">IFERROR(INDEX($AI$11:$AI$259, MATCH(0, IF(TRUE=$AF$11:$AF$259, COUNTIF($AK$10:$AK238, $AI$11:$AI$259), ""), 0)),"")</f>
        <v/>
      </c>
      <c r="AL239" s="156" t="str">
        <f t="array" ref="AL239">IFERROR(INDEX($AI$11:$AI$259, MATCH(0, IF(TRUE=$AG$11:$AG$259, COUNTIF($AL$10:$AL238, $AI$11:$AI$259), ""), 0)),"")</f>
        <v/>
      </c>
      <c r="AM239" s="156" t="str">
        <f t="array" ref="AM239">IFERROR(INDEX($AI$11:$AI$259, MATCH(0, IF(TRUE=$AH$11:$AH$259, COUNTIF($AM$10:$AM238, $AI$11:$AI$259), ""), 0)),"")</f>
        <v/>
      </c>
      <c r="AQ239" s="31">
        <f t="shared" si="23"/>
        <v>0</v>
      </c>
    </row>
    <row r="240" spans="1:43" x14ac:dyDescent="0.25">
      <c r="A240" s="31" t="str">
        <f>IFERROR(INDEX('G-1 All Habitats'!$AG$3:$AG$15,MATCH(E240,'G-1 All Habitats'!$AF$3:$AF$15,0)),"")</f>
        <v/>
      </c>
      <c r="B240" s="31" t="str">
        <f>IFERROR(INDEX('G-8 Condition Look up'!$I$4:$I$130,MATCH(G240,'G-8 Condition Look up'!$A$4:$A$130,0)),"")</f>
        <v/>
      </c>
      <c r="D240" s="141">
        <v>230</v>
      </c>
      <c r="E240" s="203"/>
      <c r="F240" s="203"/>
      <c r="G240" s="250" t="str">
        <f>IFERROR(INDEX('G-1 All Habitats'!$B$3:$B$129,MATCH(F240,'G-1 All Habitats'!$A$3:$A$129,0)),"")</f>
        <v/>
      </c>
      <c r="H240" s="172"/>
      <c r="I240" s="498" t="str">
        <f>IF(G240="","",VLOOKUP(G240,'G-1 All Habitats'!$B$2:$M$129,10,FALSE))</f>
        <v/>
      </c>
      <c r="J240" s="499" t="str">
        <f>IFERROR(VLOOKUP(I240,'G-1 All Habitats'!$V$3:$W$7,2,FALSE),"")</f>
        <v/>
      </c>
      <c r="K240" s="145"/>
      <c r="L240" s="499" t="str">
        <f>IFERROR(INDEX('G-8 Condition Look up'!$A$3:$H$130,MATCH(G240,'G-8 Condition Look up'!$A$3:$A$130,0),MATCH(K240,'G-8 Condition Look up'!$A$3:$H$3,0)),"")</f>
        <v/>
      </c>
      <c r="M240" s="154"/>
      <c r="N240" s="520" t="str">
        <f>IF(M240="","",IF(VLOOKUP(M240,'G-3 Multipliers'!$L$3:$N$6,2,FALSE)=0,"Spatial Data Missing ⚠",VLOOKUP(M240,'G-3 Multipliers'!$L$3:$N$6,2,FALSE)))</f>
        <v/>
      </c>
      <c r="O240" s="524" t="str">
        <f>IF(M240="","",IF(VLOOKUP(M240,'G-3 Multipliers'!$L$3:$N$6,3,FALSE)=0,"Spatial Data Missing ⚠",VLOOKUP(M240,'G-3 Multipliers'!$L$3:$N$6,3,FALSE)))</f>
        <v/>
      </c>
      <c r="P240" s="506" t="str">
        <f>IFERROR(VLOOKUP(G240,'G-1 All Habitats'!$B$2:$M$129,12,FALSE),"")</f>
        <v/>
      </c>
      <c r="Q240" s="513" t="str">
        <f>IFERROR(IF(P240="","",IF(AND(P240='G-1 All Habitats'!$X$3,T240&gt;0),U240+V240,IF(AND(P240='G-1 All Habitats'!$X$3,S240&gt;0),U240+V240,IF(AND(P240='G-1 All Habitats'!$X$3,AC240&gt;0),"Any Loss Unacceptable",IF(AND(P240='G-1 All Habitats'!$X$3,W240&gt;0),"Any Loss Unacceptable",H240*J240*L240*O240))))),"Check Data ⚠")</f>
        <v/>
      </c>
      <c r="R240" s="50"/>
      <c r="S240" s="71"/>
      <c r="T240" s="72"/>
      <c r="U240" s="511" t="str">
        <f t="shared" si="20"/>
        <v/>
      </c>
      <c r="V240" s="511" t="str">
        <f t="shared" si="21"/>
        <v/>
      </c>
      <c r="W240" s="511"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545" t="str">
        <f>IFERROR(IF(H240="","",IF(H240-S240-T240=0&lt;0,"Error in Areas ▲",IF(S240+T240&gt;H240,"Error in Areas ▲",IF(AND(P240='G-1 All Habitats'!$X$3,Y240="Yes"),"Alternative Compensation",IF(W240=0,0,IF(P240='G-1 All Habitats'!$X$3,"Unacceptable Loss",Q240-U240-V240)))))),"Check Data ⚠")</f>
        <v/>
      </c>
      <c r="Y240" s="72"/>
      <c r="Z240" s="151"/>
      <c r="AA240" s="152"/>
      <c r="AC240" s="251" t="str">
        <f>IF(P240="","",IF(P240='G-1 All Habitats'!$X$3,H240-S240-T240,"None"))</f>
        <v/>
      </c>
      <c r="AD240" s="252" t="str">
        <f t="shared" si="22"/>
        <v/>
      </c>
      <c r="AF240" s="156" t="str">
        <f t="shared" si="18"/>
        <v/>
      </c>
      <c r="AG240" s="156" t="str">
        <f t="shared" si="19"/>
        <v/>
      </c>
      <c r="AH240" s="156" t="str">
        <f>IF(I240="","",IF(#REF!&gt;0,TRUE,FALSE))</f>
        <v/>
      </c>
      <c r="AI240" s="156">
        <v>230</v>
      </c>
      <c r="AJ240" s="156"/>
      <c r="AK240" s="156" t="str">
        <f t="array" ref="AK240">IFERROR(INDEX($AI$11:$AI$259, MATCH(0, IF(TRUE=$AF$11:$AF$259, COUNTIF($AK$10:$AK239, $AI$11:$AI$259), ""), 0)),"")</f>
        <v/>
      </c>
      <c r="AL240" s="156" t="str">
        <f t="array" ref="AL240">IFERROR(INDEX($AI$11:$AI$259, MATCH(0, IF(TRUE=$AG$11:$AG$259, COUNTIF($AL$10:$AL239, $AI$11:$AI$259), ""), 0)),"")</f>
        <v/>
      </c>
      <c r="AM240" s="156" t="str">
        <f t="array" ref="AM240">IFERROR(INDEX($AI$11:$AI$259, MATCH(0, IF(TRUE=$AH$11:$AH$259, COUNTIF($AM$10:$AM239, $AI$11:$AI$259), ""), 0)),"")</f>
        <v/>
      </c>
      <c r="AQ240" s="31">
        <f t="shared" si="23"/>
        <v>0</v>
      </c>
    </row>
    <row r="241" spans="1:43" x14ac:dyDescent="0.25">
      <c r="A241" s="31" t="str">
        <f>IFERROR(INDEX('G-1 All Habitats'!$AG$3:$AG$15,MATCH(E241,'G-1 All Habitats'!$AF$3:$AF$15,0)),"")</f>
        <v/>
      </c>
      <c r="B241" s="31" t="str">
        <f>IFERROR(INDEX('G-8 Condition Look up'!$I$4:$I$130,MATCH(G241,'G-8 Condition Look up'!$A$4:$A$130,0)),"")</f>
        <v/>
      </c>
      <c r="D241" s="141">
        <v>231</v>
      </c>
      <c r="E241" s="203"/>
      <c r="F241" s="203"/>
      <c r="G241" s="250" t="str">
        <f>IFERROR(INDEX('G-1 All Habitats'!$B$3:$B$129,MATCH(F241,'G-1 All Habitats'!$A$3:$A$129,0)),"")</f>
        <v/>
      </c>
      <c r="H241" s="172"/>
      <c r="I241" s="498" t="str">
        <f>IF(G241="","",VLOOKUP(G241,'G-1 All Habitats'!$B$2:$M$129,10,FALSE))</f>
        <v/>
      </c>
      <c r="J241" s="499" t="str">
        <f>IFERROR(VLOOKUP(I241,'G-1 All Habitats'!$V$3:$W$7,2,FALSE),"")</f>
        <v/>
      </c>
      <c r="K241" s="145"/>
      <c r="L241" s="499" t="str">
        <f>IFERROR(INDEX('G-8 Condition Look up'!$A$3:$H$130,MATCH(G241,'G-8 Condition Look up'!$A$3:$A$130,0),MATCH(K241,'G-8 Condition Look up'!$A$3:$H$3,0)),"")</f>
        <v/>
      </c>
      <c r="M241" s="154"/>
      <c r="N241" s="520" t="str">
        <f>IF(M241="","",IF(VLOOKUP(M241,'G-3 Multipliers'!$L$3:$N$6,2,FALSE)=0,"Spatial Data Missing ⚠",VLOOKUP(M241,'G-3 Multipliers'!$L$3:$N$6,2,FALSE)))</f>
        <v/>
      </c>
      <c r="O241" s="524" t="str">
        <f>IF(M241="","",IF(VLOOKUP(M241,'G-3 Multipliers'!$L$3:$N$6,3,FALSE)=0,"Spatial Data Missing ⚠",VLOOKUP(M241,'G-3 Multipliers'!$L$3:$N$6,3,FALSE)))</f>
        <v/>
      </c>
      <c r="P241" s="506" t="str">
        <f>IFERROR(VLOOKUP(G241,'G-1 All Habitats'!$B$2:$M$129,12,FALSE),"")</f>
        <v/>
      </c>
      <c r="Q241" s="513" t="str">
        <f>IFERROR(IF(P241="","",IF(AND(P241='G-1 All Habitats'!$X$3,T241&gt;0),U241+V241,IF(AND(P241='G-1 All Habitats'!$X$3,S241&gt;0),U241+V241,IF(AND(P241='G-1 All Habitats'!$X$3,AC241&gt;0),"Any Loss Unacceptable",IF(AND(P241='G-1 All Habitats'!$X$3,W241&gt;0),"Any Loss Unacceptable",H241*J241*L241*O241))))),"Check Data ⚠")</f>
        <v/>
      </c>
      <c r="R241" s="50"/>
      <c r="S241" s="71"/>
      <c r="T241" s="72"/>
      <c r="U241" s="511" t="str">
        <f t="shared" si="20"/>
        <v/>
      </c>
      <c r="V241" s="511" t="str">
        <f t="shared" si="21"/>
        <v/>
      </c>
      <c r="W241" s="511"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545" t="str">
        <f>IFERROR(IF(H241="","",IF(H241-S241-T241=0&lt;0,"Error in Areas ▲",IF(S241+T241&gt;H241,"Error in Areas ▲",IF(AND(P241='G-1 All Habitats'!$X$3,Y241="Yes"),"Alternative Compensation",IF(W241=0,0,IF(P241='G-1 All Habitats'!$X$3,"Unacceptable Loss",Q241-U241-V241)))))),"Check Data ⚠")</f>
        <v/>
      </c>
      <c r="Y241" s="72"/>
      <c r="Z241" s="151"/>
      <c r="AA241" s="152"/>
      <c r="AC241" s="251" t="str">
        <f>IF(P241="","",IF(P241='G-1 All Habitats'!$X$3,H241-S241-T241,"None"))</f>
        <v/>
      </c>
      <c r="AD241" s="252" t="str">
        <f t="shared" si="22"/>
        <v/>
      </c>
      <c r="AF241" s="156" t="str">
        <f t="shared" si="18"/>
        <v/>
      </c>
      <c r="AG241" s="156" t="str">
        <f t="shared" si="19"/>
        <v/>
      </c>
      <c r="AH241" s="156" t="str">
        <f>IF(I241="","",IF(#REF!&gt;0,TRUE,FALSE))</f>
        <v/>
      </c>
      <c r="AI241" s="156">
        <v>231</v>
      </c>
      <c r="AJ241" s="156"/>
      <c r="AK241" s="156" t="str">
        <f t="array" ref="AK241">IFERROR(INDEX($AI$11:$AI$259, MATCH(0, IF(TRUE=$AF$11:$AF$259, COUNTIF($AK$10:$AK240, $AI$11:$AI$259), ""), 0)),"")</f>
        <v/>
      </c>
      <c r="AL241" s="156" t="str">
        <f t="array" ref="AL241">IFERROR(INDEX($AI$11:$AI$259, MATCH(0, IF(TRUE=$AG$11:$AG$259, COUNTIF($AL$10:$AL240, $AI$11:$AI$259), ""), 0)),"")</f>
        <v/>
      </c>
      <c r="AM241" s="156" t="str">
        <f t="array" ref="AM241">IFERROR(INDEX($AI$11:$AI$259, MATCH(0, IF(TRUE=$AH$11:$AH$259, COUNTIF($AM$10:$AM240, $AI$11:$AI$259), ""), 0)),"")</f>
        <v/>
      </c>
      <c r="AQ241" s="31">
        <f t="shared" si="23"/>
        <v>0</v>
      </c>
    </row>
    <row r="242" spans="1:43" x14ac:dyDescent="0.25">
      <c r="A242" s="31" t="str">
        <f>IFERROR(INDEX('G-1 All Habitats'!$AG$3:$AG$15,MATCH(E242,'G-1 All Habitats'!$AF$3:$AF$15,0)),"")</f>
        <v/>
      </c>
      <c r="B242" s="31" t="str">
        <f>IFERROR(INDEX('G-8 Condition Look up'!$I$4:$I$130,MATCH(G242,'G-8 Condition Look up'!$A$4:$A$130,0)),"")</f>
        <v/>
      </c>
      <c r="D242" s="141">
        <v>232</v>
      </c>
      <c r="E242" s="203"/>
      <c r="F242" s="203"/>
      <c r="G242" s="250" t="str">
        <f>IFERROR(INDEX('G-1 All Habitats'!$B$3:$B$129,MATCH(F242,'G-1 All Habitats'!$A$3:$A$129,0)),"")</f>
        <v/>
      </c>
      <c r="H242" s="172"/>
      <c r="I242" s="498" t="str">
        <f>IF(G242="","",VLOOKUP(G242,'G-1 All Habitats'!$B$2:$M$129,10,FALSE))</f>
        <v/>
      </c>
      <c r="J242" s="499" t="str">
        <f>IFERROR(VLOOKUP(I242,'G-1 All Habitats'!$V$3:$W$7,2,FALSE),"")</f>
        <v/>
      </c>
      <c r="K242" s="145"/>
      <c r="L242" s="499" t="str">
        <f>IFERROR(INDEX('G-8 Condition Look up'!$A$3:$H$130,MATCH(G242,'G-8 Condition Look up'!$A$3:$A$130,0),MATCH(K242,'G-8 Condition Look up'!$A$3:$H$3,0)),"")</f>
        <v/>
      </c>
      <c r="M242" s="154"/>
      <c r="N242" s="520" t="str">
        <f>IF(M242="","",IF(VLOOKUP(M242,'G-3 Multipliers'!$L$3:$N$6,2,FALSE)=0,"Spatial Data Missing ⚠",VLOOKUP(M242,'G-3 Multipliers'!$L$3:$N$6,2,FALSE)))</f>
        <v/>
      </c>
      <c r="O242" s="524" t="str">
        <f>IF(M242="","",IF(VLOOKUP(M242,'G-3 Multipliers'!$L$3:$N$6,3,FALSE)=0,"Spatial Data Missing ⚠",VLOOKUP(M242,'G-3 Multipliers'!$L$3:$N$6,3,FALSE)))</f>
        <v/>
      </c>
      <c r="P242" s="506" t="str">
        <f>IFERROR(VLOOKUP(G242,'G-1 All Habitats'!$B$2:$M$129,12,FALSE),"")</f>
        <v/>
      </c>
      <c r="Q242" s="513" t="str">
        <f>IFERROR(IF(P242="","",IF(AND(P242='G-1 All Habitats'!$X$3,T242&gt;0),U242+V242,IF(AND(P242='G-1 All Habitats'!$X$3,S242&gt;0),U242+V242,IF(AND(P242='G-1 All Habitats'!$X$3,AC242&gt;0),"Any Loss Unacceptable",IF(AND(P242='G-1 All Habitats'!$X$3,W242&gt;0),"Any Loss Unacceptable",H242*J242*L242*O242))))),"Check Data ⚠")</f>
        <v/>
      </c>
      <c r="R242" s="50"/>
      <c r="S242" s="71"/>
      <c r="T242" s="72"/>
      <c r="U242" s="511" t="str">
        <f t="shared" si="20"/>
        <v/>
      </c>
      <c r="V242" s="511" t="str">
        <f t="shared" si="21"/>
        <v/>
      </c>
      <c r="W242" s="511"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545" t="str">
        <f>IFERROR(IF(H242="","",IF(H242-S242-T242=0&lt;0,"Error in Areas ▲",IF(S242+T242&gt;H242,"Error in Areas ▲",IF(AND(P242='G-1 All Habitats'!$X$3,Y242="Yes"),"Alternative Compensation",IF(W242=0,0,IF(P242='G-1 All Habitats'!$X$3,"Unacceptable Loss",Q242-U242-V242)))))),"Check Data ⚠")</f>
        <v/>
      </c>
      <c r="Y242" s="72"/>
      <c r="Z242" s="151"/>
      <c r="AA242" s="152"/>
      <c r="AC242" s="251" t="str">
        <f>IF(P242="","",IF(P242='G-1 All Habitats'!$X$3,H242-S242-T242,"None"))</f>
        <v/>
      </c>
      <c r="AD242" s="252" t="str">
        <f t="shared" si="22"/>
        <v/>
      </c>
      <c r="AF242" s="156" t="str">
        <f t="shared" si="18"/>
        <v/>
      </c>
      <c r="AG242" s="156" t="str">
        <f t="shared" si="19"/>
        <v/>
      </c>
      <c r="AH242" s="156" t="str">
        <f>IF(I242="","",IF(#REF!&gt;0,TRUE,FALSE))</f>
        <v/>
      </c>
      <c r="AI242" s="156">
        <v>232</v>
      </c>
      <c r="AJ242" s="156"/>
      <c r="AK242" s="156" t="str">
        <f t="array" ref="AK242">IFERROR(INDEX($AI$11:$AI$259, MATCH(0, IF(TRUE=$AF$11:$AF$259, COUNTIF($AK$10:$AK241, $AI$11:$AI$259), ""), 0)),"")</f>
        <v/>
      </c>
      <c r="AL242" s="156" t="str">
        <f t="array" ref="AL242">IFERROR(INDEX($AI$11:$AI$259, MATCH(0, IF(TRUE=$AG$11:$AG$259, COUNTIF($AL$10:$AL241, $AI$11:$AI$259), ""), 0)),"")</f>
        <v/>
      </c>
      <c r="AM242" s="156" t="str">
        <f t="array" ref="AM242">IFERROR(INDEX($AI$11:$AI$259, MATCH(0, IF(TRUE=$AH$11:$AH$259, COUNTIF($AM$10:$AM241, $AI$11:$AI$259), ""), 0)),"")</f>
        <v/>
      </c>
      <c r="AQ242" s="31">
        <f t="shared" si="23"/>
        <v>0</v>
      </c>
    </row>
    <row r="243" spans="1:43" x14ac:dyDescent="0.25">
      <c r="A243" s="31" t="str">
        <f>IFERROR(INDEX('G-1 All Habitats'!$AG$3:$AG$15,MATCH(E243,'G-1 All Habitats'!$AF$3:$AF$15,0)),"")</f>
        <v/>
      </c>
      <c r="B243" s="31" t="str">
        <f>IFERROR(INDEX('G-8 Condition Look up'!$I$4:$I$130,MATCH(G243,'G-8 Condition Look up'!$A$4:$A$130,0)),"")</f>
        <v/>
      </c>
      <c r="D243" s="141">
        <v>233</v>
      </c>
      <c r="E243" s="203"/>
      <c r="F243" s="203"/>
      <c r="G243" s="250" t="str">
        <f>IFERROR(INDEX('G-1 All Habitats'!$B$3:$B$129,MATCH(F243,'G-1 All Habitats'!$A$3:$A$129,0)),"")</f>
        <v/>
      </c>
      <c r="H243" s="172"/>
      <c r="I243" s="498" t="str">
        <f>IF(G243="","",VLOOKUP(G243,'G-1 All Habitats'!$B$2:$M$129,10,FALSE))</f>
        <v/>
      </c>
      <c r="J243" s="499" t="str">
        <f>IFERROR(VLOOKUP(I243,'G-1 All Habitats'!$V$3:$W$7,2,FALSE),"")</f>
        <v/>
      </c>
      <c r="K243" s="145"/>
      <c r="L243" s="499" t="str">
        <f>IFERROR(INDEX('G-8 Condition Look up'!$A$3:$H$130,MATCH(G243,'G-8 Condition Look up'!$A$3:$A$130,0),MATCH(K243,'G-8 Condition Look up'!$A$3:$H$3,0)),"")</f>
        <v/>
      </c>
      <c r="M243" s="154"/>
      <c r="N243" s="520" t="str">
        <f>IF(M243="","",IF(VLOOKUP(M243,'G-3 Multipliers'!$L$3:$N$6,2,FALSE)=0,"Spatial Data Missing ⚠",VLOOKUP(M243,'G-3 Multipliers'!$L$3:$N$6,2,FALSE)))</f>
        <v/>
      </c>
      <c r="O243" s="524" t="str">
        <f>IF(M243="","",IF(VLOOKUP(M243,'G-3 Multipliers'!$L$3:$N$6,3,FALSE)=0,"Spatial Data Missing ⚠",VLOOKUP(M243,'G-3 Multipliers'!$L$3:$N$6,3,FALSE)))</f>
        <v/>
      </c>
      <c r="P243" s="506" t="str">
        <f>IFERROR(VLOOKUP(G243,'G-1 All Habitats'!$B$2:$M$129,12,FALSE),"")</f>
        <v/>
      </c>
      <c r="Q243" s="513" t="str">
        <f>IFERROR(IF(P243="","",IF(AND(P243='G-1 All Habitats'!$X$3,T243&gt;0),U243+V243,IF(AND(P243='G-1 All Habitats'!$X$3,S243&gt;0),U243+V243,IF(AND(P243='G-1 All Habitats'!$X$3,AC243&gt;0),"Any Loss Unacceptable",IF(AND(P243='G-1 All Habitats'!$X$3,W243&gt;0),"Any Loss Unacceptable",H243*J243*L243*O243))))),"Check Data ⚠")</f>
        <v/>
      </c>
      <c r="R243" s="50"/>
      <c r="S243" s="71"/>
      <c r="T243" s="72"/>
      <c r="U243" s="511" t="str">
        <f t="shared" si="20"/>
        <v/>
      </c>
      <c r="V243" s="511" t="str">
        <f t="shared" si="21"/>
        <v/>
      </c>
      <c r="W243" s="511"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545" t="str">
        <f>IFERROR(IF(H243="","",IF(H243-S243-T243=0&lt;0,"Error in Areas ▲",IF(S243+T243&gt;H243,"Error in Areas ▲",IF(AND(P243='G-1 All Habitats'!$X$3,Y243="Yes"),"Alternative Compensation",IF(W243=0,0,IF(P243='G-1 All Habitats'!$X$3,"Unacceptable Loss",Q243-U243-V243)))))),"Check Data ⚠")</f>
        <v/>
      </c>
      <c r="Y243" s="72"/>
      <c r="Z243" s="151"/>
      <c r="AA243" s="152"/>
      <c r="AC243" s="251" t="str">
        <f>IF(P243="","",IF(P243='G-1 All Habitats'!$X$3,H243-S243-T243,"None"))</f>
        <v/>
      </c>
      <c r="AD243" s="252" t="str">
        <f t="shared" si="22"/>
        <v/>
      </c>
      <c r="AF243" s="156" t="str">
        <f t="shared" si="18"/>
        <v/>
      </c>
      <c r="AG243" s="156" t="str">
        <f t="shared" si="19"/>
        <v/>
      </c>
      <c r="AH243" s="156" t="str">
        <f>IF(I243="","",IF(#REF!&gt;0,TRUE,FALSE))</f>
        <v/>
      </c>
      <c r="AI243" s="156">
        <v>233</v>
      </c>
      <c r="AJ243" s="156"/>
      <c r="AK243" s="156" t="str">
        <f t="array" ref="AK243">IFERROR(INDEX($AI$11:$AI$259, MATCH(0, IF(TRUE=$AF$11:$AF$259, COUNTIF($AK$10:$AK242, $AI$11:$AI$259), ""), 0)),"")</f>
        <v/>
      </c>
      <c r="AL243" s="156" t="str">
        <f t="array" ref="AL243">IFERROR(INDEX($AI$11:$AI$259, MATCH(0, IF(TRUE=$AG$11:$AG$259, COUNTIF($AL$10:$AL242, $AI$11:$AI$259), ""), 0)),"")</f>
        <v/>
      </c>
      <c r="AM243" s="156" t="str">
        <f t="array" ref="AM243">IFERROR(INDEX($AI$11:$AI$259, MATCH(0, IF(TRUE=$AH$11:$AH$259, COUNTIF($AM$10:$AM242, $AI$11:$AI$259), ""), 0)),"")</f>
        <v/>
      </c>
      <c r="AQ243" s="31">
        <f t="shared" si="23"/>
        <v>0</v>
      </c>
    </row>
    <row r="244" spans="1:43" x14ac:dyDescent="0.25">
      <c r="A244" s="31" t="str">
        <f>IFERROR(INDEX('G-1 All Habitats'!$AG$3:$AG$15,MATCH(E244,'G-1 All Habitats'!$AF$3:$AF$15,0)),"")</f>
        <v/>
      </c>
      <c r="B244" s="31" t="str">
        <f>IFERROR(INDEX('G-8 Condition Look up'!$I$4:$I$130,MATCH(G244,'G-8 Condition Look up'!$A$4:$A$130,0)),"")</f>
        <v/>
      </c>
      <c r="D244" s="141">
        <v>234</v>
      </c>
      <c r="E244" s="203"/>
      <c r="F244" s="203"/>
      <c r="G244" s="250" t="str">
        <f>IFERROR(INDEX('G-1 All Habitats'!$B$3:$B$129,MATCH(F244,'G-1 All Habitats'!$A$3:$A$129,0)),"")</f>
        <v/>
      </c>
      <c r="H244" s="172"/>
      <c r="I244" s="498" t="str">
        <f>IF(G244="","",VLOOKUP(G244,'G-1 All Habitats'!$B$2:$M$129,10,FALSE))</f>
        <v/>
      </c>
      <c r="J244" s="499" t="str">
        <f>IFERROR(VLOOKUP(I244,'G-1 All Habitats'!$V$3:$W$7,2,FALSE),"")</f>
        <v/>
      </c>
      <c r="K244" s="145"/>
      <c r="L244" s="499" t="str">
        <f>IFERROR(INDEX('G-8 Condition Look up'!$A$3:$H$130,MATCH(G244,'G-8 Condition Look up'!$A$3:$A$130,0),MATCH(K244,'G-8 Condition Look up'!$A$3:$H$3,0)),"")</f>
        <v/>
      </c>
      <c r="M244" s="154"/>
      <c r="N244" s="520" t="str">
        <f>IF(M244="","",IF(VLOOKUP(M244,'G-3 Multipliers'!$L$3:$N$6,2,FALSE)=0,"Spatial Data Missing ⚠",VLOOKUP(M244,'G-3 Multipliers'!$L$3:$N$6,2,FALSE)))</f>
        <v/>
      </c>
      <c r="O244" s="524" t="str">
        <f>IF(M244="","",IF(VLOOKUP(M244,'G-3 Multipliers'!$L$3:$N$6,3,FALSE)=0,"Spatial Data Missing ⚠",VLOOKUP(M244,'G-3 Multipliers'!$L$3:$N$6,3,FALSE)))</f>
        <v/>
      </c>
      <c r="P244" s="506" t="str">
        <f>IFERROR(VLOOKUP(G244,'G-1 All Habitats'!$B$2:$M$129,12,FALSE),"")</f>
        <v/>
      </c>
      <c r="Q244" s="513" t="str">
        <f>IFERROR(IF(P244="","",IF(AND(P244='G-1 All Habitats'!$X$3,T244&gt;0),U244+V244,IF(AND(P244='G-1 All Habitats'!$X$3,S244&gt;0),U244+V244,IF(AND(P244='G-1 All Habitats'!$X$3,AC244&gt;0),"Any Loss Unacceptable",IF(AND(P244='G-1 All Habitats'!$X$3,W244&gt;0),"Any Loss Unacceptable",H244*J244*L244*O244))))),"Check Data ⚠")</f>
        <v/>
      </c>
      <c r="R244" s="50"/>
      <c r="S244" s="71"/>
      <c r="T244" s="72"/>
      <c r="U244" s="511" t="str">
        <f t="shared" si="20"/>
        <v/>
      </c>
      <c r="V244" s="511" t="str">
        <f t="shared" si="21"/>
        <v/>
      </c>
      <c r="W244" s="511"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545" t="str">
        <f>IFERROR(IF(H244="","",IF(H244-S244-T244=0&lt;0,"Error in Areas ▲",IF(S244+T244&gt;H244,"Error in Areas ▲",IF(AND(P244='G-1 All Habitats'!$X$3,Y244="Yes"),"Alternative Compensation",IF(W244=0,0,IF(P244='G-1 All Habitats'!$X$3,"Unacceptable Loss",Q244-U244-V244)))))),"Check Data ⚠")</f>
        <v/>
      </c>
      <c r="Y244" s="72"/>
      <c r="Z244" s="151"/>
      <c r="AA244" s="152"/>
      <c r="AC244" s="251" t="str">
        <f>IF(P244="","",IF(P244='G-1 All Habitats'!$X$3,H244-S244-T244,"None"))</f>
        <v/>
      </c>
      <c r="AD244" s="252" t="str">
        <f t="shared" si="22"/>
        <v/>
      </c>
      <c r="AF244" s="156" t="str">
        <f t="shared" si="18"/>
        <v/>
      </c>
      <c r="AG244" s="156" t="str">
        <f t="shared" si="19"/>
        <v/>
      </c>
      <c r="AH244" s="156" t="str">
        <f>IF(I244="","",IF(#REF!&gt;0,TRUE,FALSE))</f>
        <v/>
      </c>
      <c r="AI244" s="156">
        <v>234</v>
      </c>
      <c r="AJ244" s="156"/>
      <c r="AK244" s="156" t="str">
        <f t="array" ref="AK244">IFERROR(INDEX($AI$11:$AI$259, MATCH(0, IF(TRUE=$AF$11:$AF$259, COUNTIF($AK$10:$AK243, $AI$11:$AI$259), ""), 0)),"")</f>
        <v/>
      </c>
      <c r="AL244" s="156" t="str">
        <f t="array" ref="AL244">IFERROR(INDEX($AI$11:$AI$259, MATCH(0, IF(TRUE=$AG$11:$AG$259, COUNTIF($AL$10:$AL243, $AI$11:$AI$259), ""), 0)),"")</f>
        <v/>
      </c>
      <c r="AM244" s="156" t="str">
        <f t="array" ref="AM244">IFERROR(INDEX($AI$11:$AI$259, MATCH(0, IF(TRUE=$AH$11:$AH$259, COUNTIF($AM$10:$AM243, $AI$11:$AI$259), ""), 0)),"")</f>
        <v/>
      </c>
      <c r="AQ244" s="31">
        <f t="shared" si="23"/>
        <v>0</v>
      </c>
    </row>
    <row r="245" spans="1:43" x14ac:dyDescent="0.25">
      <c r="A245" s="31" t="str">
        <f>IFERROR(INDEX('G-1 All Habitats'!$AG$3:$AG$15,MATCH(E245,'G-1 All Habitats'!$AF$3:$AF$15,0)),"")</f>
        <v/>
      </c>
      <c r="B245" s="31" t="str">
        <f>IFERROR(INDEX('G-8 Condition Look up'!$I$4:$I$130,MATCH(G245,'G-8 Condition Look up'!$A$4:$A$130,0)),"")</f>
        <v/>
      </c>
      <c r="D245" s="141">
        <v>235</v>
      </c>
      <c r="E245" s="203"/>
      <c r="F245" s="203"/>
      <c r="G245" s="250" t="str">
        <f>IFERROR(INDEX('G-1 All Habitats'!$B$3:$B$129,MATCH(F245,'G-1 All Habitats'!$A$3:$A$129,0)),"")</f>
        <v/>
      </c>
      <c r="H245" s="172"/>
      <c r="I245" s="498" t="str">
        <f>IF(G245="","",VLOOKUP(G245,'G-1 All Habitats'!$B$2:$M$129,10,FALSE))</f>
        <v/>
      </c>
      <c r="J245" s="499" t="str">
        <f>IFERROR(VLOOKUP(I245,'G-1 All Habitats'!$V$3:$W$7,2,FALSE),"")</f>
        <v/>
      </c>
      <c r="K245" s="145"/>
      <c r="L245" s="499" t="str">
        <f>IFERROR(INDEX('G-8 Condition Look up'!$A$3:$H$130,MATCH(G245,'G-8 Condition Look up'!$A$3:$A$130,0),MATCH(K245,'G-8 Condition Look up'!$A$3:$H$3,0)),"")</f>
        <v/>
      </c>
      <c r="M245" s="154"/>
      <c r="N245" s="520" t="str">
        <f>IF(M245="","",IF(VLOOKUP(M245,'G-3 Multipliers'!$L$3:$N$6,2,FALSE)=0,"Spatial Data Missing ⚠",VLOOKUP(M245,'G-3 Multipliers'!$L$3:$N$6,2,FALSE)))</f>
        <v/>
      </c>
      <c r="O245" s="524" t="str">
        <f>IF(M245="","",IF(VLOOKUP(M245,'G-3 Multipliers'!$L$3:$N$6,3,FALSE)=0,"Spatial Data Missing ⚠",VLOOKUP(M245,'G-3 Multipliers'!$L$3:$N$6,3,FALSE)))</f>
        <v/>
      </c>
      <c r="P245" s="506" t="str">
        <f>IFERROR(VLOOKUP(G245,'G-1 All Habitats'!$B$2:$M$129,12,FALSE),"")</f>
        <v/>
      </c>
      <c r="Q245" s="513" t="str">
        <f>IFERROR(IF(P245="","",IF(AND(P245='G-1 All Habitats'!$X$3,T245&gt;0),U245+V245,IF(AND(P245='G-1 All Habitats'!$X$3,S245&gt;0),U245+V245,IF(AND(P245='G-1 All Habitats'!$X$3,AC245&gt;0),"Any Loss Unacceptable",IF(AND(P245='G-1 All Habitats'!$X$3,W245&gt;0),"Any Loss Unacceptable",H245*J245*L245*O245))))),"Check Data ⚠")</f>
        <v/>
      </c>
      <c r="R245" s="50"/>
      <c r="S245" s="71"/>
      <c r="T245" s="72"/>
      <c r="U245" s="511" t="str">
        <f t="shared" si="20"/>
        <v/>
      </c>
      <c r="V245" s="511" t="str">
        <f t="shared" si="21"/>
        <v/>
      </c>
      <c r="W245" s="511"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545" t="str">
        <f>IFERROR(IF(H245="","",IF(H245-S245-T245=0&lt;0,"Error in Areas ▲",IF(S245+T245&gt;H245,"Error in Areas ▲",IF(AND(P245='G-1 All Habitats'!$X$3,Y245="Yes"),"Alternative Compensation",IF(W245=0,0,IF(P245='G-1 All Habitats'!$X$3,"Unacceptable Loss",Q245-U245-V245)))))),"Check Data ⚠")</f>
        <v/>
      </c>
      <c r="Y245" s="72"/>
      <c r="Z245" s="151"/>
      <c r="AA245" s="152"/>
      <c r="AC245" s="251" t="str">
        <f>IF(P245="","",IF(P245='G-1 All Habitats'!$X$3,H245-S245-T245,"None"))</f>
        <v/>
      </c>
      <c r="AD245" s="252" t="str">
        <f t="shared" si="22"/>
        <v/>
      </c>
      <c r="AF245" s="156" t="str">
        <f t="shared" si="18"/>
        <v/>
      </c>
      <c r="AG245" s="156" t="str">
        <f t="shared" si="19"/>
        <v/>
      </c>
      <c r="AH245" s="156" t="str">
        <f>IF(I245="","",IF(#REF!&gt;0,TRUE,FALSE))</f>
        <v/>
      </c>
      <c r="AI245" s="156">
        <v>235</v>
      </c>
      <c r="AJ245" s="156"/>
      <c r="AK245" s="156" t="str">
        <f t="array" ref="AK245">IFERROR(INDEX($AI$11:$AI$259, MATCH(0, IF(TRUE=$AF$11:$AF$259, COUNTIF($AK$10:$AK244, $AI$11:$AI$259), ""), 0)),"")</f>
        <v/>
      </c>
      <c r="AL245" s="156" t="str">
        <f t="array" ref="AL245">IFERROR(INDEX($AI$11:$AI$259, MATCH(0, IF(TRUE=$AG$11:$AG$259, COUNTIF($AL$10:$AL244, $AI$11:$AI$259), ""), 0)),"")</f>
        <v/>
      </c>
      <c r="AM245" s="156" t="str">
        <f t="array" ref="AM245">IFERROR(INDEX($AI$11:$AI$259, MATCH(0, IF(TRUE=$AH$11:$AH$259, COUNTIF($AM$10:$AM244, $AI$11:$AI$259), ""), 0)),"")</f>
        <v/>
      </c>
      <c r="AQ245" s="31">
        <f t="shared" si="23"/>
        <v>0</v>
      </c>
    </row>
    <row r="246" spans="1:43" x14ac:dyDescent="0.25">
      <c r="A246" s="31" t="str">
        <f>IFERROR(INDEX('G-1 All Habitats'!$AG$3:$AG$15,MATCH(E246,'G-1 All Habitats'!$AF$3:$AF$15,0)),"")</f>
        <v/>
      </c>
      <c r="B246" s="31" t="str">
        <f>IFERROR(INDEX('G-8 Condition Look up'!$I$4:$I$130,MATCH(G246,'G-8 Condition Look up'!$A$4:$A$130,0)),"")</f>
        <v/>
      </c>
      <c r="D246" s="141">
        <v>236</v>
      </c>
      <c r="E246" s="203"/>
      <c r="F246" s="203"/>
      <c r="G246" s="250" t="str">
        <f>IFERROR(INDEX('G-1 All Habitats'!$B$3:$B$129,MATCH(F246,'G-1 All Habitats'!$A$3:$A$129,0)),"")</f>
        <v/>
      </c>
      <c r="H246" s="172"/>
      <c r="I246" s="498" t="str">
        <f>IF(G246="","",VLOOKUP(G246,'G-1 All Habitats'!$B$2:$M$129,10,FALSE))</f>
        <v/>
      </c>
      <c r="J246" s="499" t="str">
        <f>IFERROR(VLOOKUP(I246,'G-1 All Habitats'!$V$3:$W$7,2,FALSE),"")</f>
        <v/>
      </c>
      <c r="K246" s="145"/>
      <c r="L246" s="499" t="str">
        <f>IFERROR(INDEX('G-8 Condition Look up'!$A$3:$H$130,MATCH(G246,'G-8 Condition Look up'!$A$3:$A$130,0),MATCH(K246,'G-8 Condition Look up'!$A$3:$H$3,0)),"")</f>
        <v/>
      </c>
      <c r="M246" s="154"/>
      <c r="N246" s="520" t="str">
        <f>IF(M246="","",IF(VLOOKUP(M246,'G-3 Multipliers'!$L$3:$N$6,2,FALSE)=0,"Spatial Data Missing ⚠",VLOOKUP(M246,'G-3 Multipliers'!$L$3:$N$6,2,FALSE)))</f>
        <v/>
      </c>
      <c r="O246" s="524" t="str">
        <f>IF(M246="","",IF(VLOOKUP(M246,'G-3 Multipliers'!$L$3:$N$6,3,FALSE)=0,"Spatial Data Missing ⚠",VLOOKUP(M246,'G-3 Multipliers'!$L$3:$N$6,3,FALSE)))</f>
        <v/>
      </c>
      <c r="P246" s="506" t="str">
        <f>IFERROR(VLOOKUP(G246,'G-1 All Habitats'!$B$2:$M$129,12,FALSE),"")</f>
        <v/>
      </c>
      <c r="Q246" s="513" t="str">
        <f>IFERROR(IF(P246="","",IF(AND(P246='G-1 All Habitats'!$X$3,T246&gt;0),U246+V246,IF(AND(P246='G-1 All Habitats'!$X$3,S246&gt;0),U246+V246,IF(AND(P246='G-1 All Habitats'!$X$3,AC246&gt;0),"Any Loss Unacceptable",IF(AND(P246='G-1 All Habitats'!$X$3,W246&gt;0),"Any Loss Unacceptable",H246*J246*L246*O246))))),"Check Data ⚠")</f>
        <v/>
      </c>
      <c r="R246" s="50"/>
      <c r="S246" s="71"/>
      <c r="T246" s="72"/>
      <c r="U246" s="511" t="str">
        <f t="shared" si="20"/>
        <v/>
      </c>
      <c r="V246" s="511" t="str">
        <f t="shared" si="21"/>
        <v/>
      </c>
      <c r="W246" s="511"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545" t="str">
        <f>IFERROR(IF(H246="","",IF(H246-S246-T246=0&lt;0,"Error in Areas ▲",IF(S246+T246&gt;H246,"Error in Areas ▲",IF(AND(P246='G-1 All Habitats'!$X$3,Y246="Yes"),"Alternative Compensation",IF(W246=0,0,IF(P246='G-1 All Habitats'!$X$3,"Unacceptable Loss",Q246-U246-V246)))))),"Check Data ⚠")</f>
        <v/>
      </c>
      <c r="Y246" s="72"/>
      <c r="Z246" s="151"/>
      <c r="AA246" s="152"/>
      <c r="AC246" s="251" t="str">
        <f>IF(P246="","",IF(P246='G-1 All Habitats'!$X$3,H246-S246-T246,"None"))</f>
        <v/>
      </c>
      <c r="AD246" s="252" t="str">
        <f t="shared" si="22"/>
        <v/>
      </c>
      <c r="AF246" s="156" t="str">
        <f t="shared" si="18"/>
        <v/>
      </c>
      <c r="AG246" s="156" t="str">
        <f t="shared" si="19"/>
        <v/>
      </c>
      <c r="AH246" s="156" t="str">
        <f>IF(I246="","",IF(#REF!&gt;0,TRUE,FALSE))</f>
        <v/>
      </c>
      <c r="AI246" s="156">
        <v>236</v>
      </c>
      <c r="AJ246" s="156"/>
      <c r="AK246" s="156" t="str">
        <f t="array" ref="AK246">IFERROR(INDEX($AI$11:$AI$259, MATCH(0, IF(TRUE=$AF$11:$AF$259, COUNTIF($AK$10:$AK245, $AI$11:$AI$259), ""), 0)),"")</f>
        <v/>
      </c>
      <c r="AL246" s="156" t="str">
        <f t="array" ref="AL246">IFERROR(INDEX($AI$11:$AI$259, MATCH(0, IF(TRUE=$AG$11:$AG$259, COUNTIF($AL$10:$AL245, $AI$11:$AI$259), ""), 0)),"")</f>
        <v/>
      </c>
      <c r="AM246" s="156" t="str">
        <f t="array" ref="AM246">IFERROR(INDEX($AI$11:$AI$259, MATCH(0, IF(TRUE=$AH$11:$AH$259, COUNTIF($AM$10:$AM245, $AI$11:$AI$259), ""), 0)),"")</f>
        <v/>
      </c>
      <c r="AQ246" s="31">
        <f t="shared" si="23"/>
        <v>0</v>
      </c>
    </row>
    <row r="247" spans="1:43" x14ac:dyDescent="0.25">
      <c r="A247" s="31" t="str">
        <f>IFERROR(INDEX('G-1 All Habitats'!$AG$3:$AG$15,MATCH(E247,'G-1 All Habitats'!$AF$3:$AF$15,0)),"")</f>
        <v/>
      </c>
      <c r="B247" s="31" t="str">
        <f>IFERROR(INDEX('G-8 Condition Look up'!$I$4:$I$130,MATCH(G247,'G-8 Condition Look up'!$A$4:$A$130,0)),"")</f>
        <v/>
      </c>
      <c r="D247" s="141">
        <v>237</v>
      </c>
      <c r="E247" s="203"/>
      <c r="F247" s="203"/>
      <c r="G247" s="250" t="str">
        <f>IFERROR(INDEX('G-1 All Habitats'!$B$3:$B$129,MATCH(F247,'G-1 All Habitats'!$A$3:$A$129,0)),"")</f>
        <v/>
      </c>
      <c r="H247" s="172"/>
      <c r="I247" s="498" t="str">
        <f>IF(G247="","",VLOOKUP(G247,'G-1 All Habitats'!$B$2:$M$129,10,FALSE))</f>
        <v/>
      </c>
      <c r="J247" s="499" t="str">
        <f>IFERROR(VLOOKUP(I247,'G-1 All Habitats'!$V$3:$W$7,2,FALSE),"")</f>
        <v/>
      </c>
      <c r="K247" s="145"/>
      <c r="L247" s="499" t="str">
        <f>IFERROR(INDEX('G-8 Condition Look up'!$A$3:$H$130,MATCH(G247,'G-8 Condition Look up'!$A$3:$A$130,0),MATCH(K247,'G-8 Condition Look up'!$A$3:$H$3,0)),"")</f>
        <v/>
      </c>
      <c r="M247" s="154"/>
      <c r="N247" s="520" t="str">
        <f>IF(M247="","",IF(VLOOKUP(M247,'G-3 Multipliers'!$L$3:$N$6,2,FALSE)=0,"Spatial Data Missing ⚠",VLOOKUP(M247,'G-3 Multipliers'!$L$3:$N$6,2,FALSE)))</f>
        <v/>
      </c>
      <c r="O247" s="524" t="str">
        <f>IF(M247="","",IF(VLOOKUP(M247,'G-3 Multipliers'!$L$3:$N$6,3,FALSE)=0,"Spatial Data Missing ⚠",VLOOKUP(M247,'G-3 Multipliers'!$L$3:$N$6,3,FALSE)))</f>
        <v/>
      </c>
      <c r="P247" s="506" t="str">
        <f>IFERROR(VLOOKUP(G247,'G-1 All Habitats'!$B$2:$M$129,12,FALSE),"")</f>
        <v/>
      </c>
      <c r="Q247" s="513" t="str">
        <f>IFERROR(IF(P247="","",IF(AND(P247='G-1 All Habitats'!$X$3,T247&gt;0),U247+V247,IF(AND(P247='G-1 All Habitats'!$X$3,S247&gt;0),U247+V247,IF(AND(P247='G-1 All Habitats'!$X$3,AC247&gt;0),"Any Loss Unacceptable",IF(AND(P247='G-1 All Habitats'!$X$3,W247&gt;0),"Any Loss Unacceptable",H247*J247*L247*O247))))),"Check Data ⚠")</f>
        <v/>
      </c>
      <c r="R247" s="50"/>
      <c r="S247" s="71"/>
      <c r="T247" s="72"/>
      <c r="U247" s="511" t="str">
        <f t="shared" si="20"/>
        <v/>
      </c>
      <c r="V247" s="511" t="str">
        <f t="shared" si="21"/>
        <v/>
      </c>
      <c r="W247" s="511"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545" t="str">
        <f>IFERROR(IF(H247="","",IF(H247-S247-T247=0&lt;0,"Error in Areas ▲",IF(S247+T247&gt;H247,"Error in Areas ▲",IF(AND(P247='G-1 All Habitats'!$X$3,Y247="Yes"),"Alternative Compensation",IF(W247=0,0,IF(P247='G-1 All Habitats'!$X$3,"Unacceptable Loss",Q247-U247-V247)))))),"Check Data ⚠")</f>
        <v/>
      </c>
      <c r="Y247" s="72"/>
      <c r="Z247" s="151"/>
      <c r="AA247" s="152"/>
      <c r="AC247" s="251" t="str">
        <f>IF(P247="","",IF(P247='G-1 All Habitats'!$X$3,H247-S247-T247,"None"))</f>
        <v/>
      </c>
      <c r="AD247" s="252" t="str">
        <f t="shared" si="22"/>
        <v/>
      </c>
      <c r="AF247" s="156" t="str">
        <f t="shared" si="18"/>
        <v/>
      </c>
      <c r="AG247" s="156" t="str">
        <f t="shared" si="19"/>
        <v/>
      </c>
      <c r="AH247" s="156" t="str">
        <f>IF(I247="","",IF(#REF!&gt;0,TRUE,FALSE))</f>
        <v/>
      </c>
      <c r="AI247" s="156">
        <v>237</v>
      </c>
      <c r="AJ247" s="156"/>
      <c r="AK247" s="156" t="str">
        <f t="array" ref="AK247">IFERROR(INDEX($AI$11:$AI$259, MATCH(0, IF(TRUE=$AF$11:$AF$259, COUNTIF($AK$10:$AK246, $AI$11:$AI$259), ""), 0)),"")</f>
        <v/>
      </c>
      <c r="AL247" s="156" t="str">
        <f t="array" ref="AL247">IFERROR(INDEX($AI$11:$AI$259, MATCH(0, IF(TRUE=$AG$11:$AG$259, COUNTIF($AL$10:$AL246, $AI$11:$AI$259), ""), 0)),"")</f>
        <v/>
      </c>
      <c r="AM247" s="156" t="str">
        <f t="array" ref="AM247">IFERROR(INDEX($AI$11:$AI$259, MATCH(0, IF(TRUE=$AH$11:$AH$259, COUNTIF($AM$10:$AM246, $AI$11:$AI$259), ""), 0)),"")</f>
        <v/>
      </c>
      <c r="AQ247" s="31">
        <f t="shared" si="23"/>
        <v>0</v>
      </c>
    </row>
    <row r="248" spans="1:43" x14ac:dyDescent="0.25">
      <c r="A248" s="31" t="str">
        <f>IFERROR(INDEX('G-1 All Habitats'!$AG$3:$AG$15,MATCH(E248,'G-1 All Habitats'!$AF$3:$AF$15,0)),"")</f>
        <v/>
      </c>
      <c r="B248" s="31" t="str">
        <f>IFERROR(INDEX('G-8 Condition Look up'!$I$4:$I$130,MATCH(G248,'G-8 Condition Look up'!$A$4:$A$130,0)),"")</f>
        <v/>
      </c>
      <c r="D248" s="141">
        <v>238</v>
      </c>
      <c r="E248" s="203"/>
      <c r="F248" s="203"/>
      <c r="G248" s="250" t="str">
        <f>IFERROR(INDEX('G-1 All Habitats'!$B$3:$B$129,MATCH(F248,'G-1 All Habitats'!$A$3:$A$129,0)),"")</f>
        <v/>
      </c>
      <c r="H248" s="172"/>
      <c r="I248" s="498" t="str">
        <f>IF(G248="","",VLOOKUP(G248,'G-1 All Habitats'!$B$2:$M$129,10,FALSE))</f>
        <v/>
      </c>
      <c r="J248" s="499" t="str">
        <f>IFERROR(VLOOKUP(I248,'G-1 All Habitats'!$V$3:$W$7,2,FALSE),"")</f>
        <v/>
      </c>
      <c r="K248" s="145"/>
      <c r="L248" s="499" t="str">
        <f>IFERROR(INDEX('G-8 Condition Look up'!$A$3:$H$130,MATCH(G248,'G-8 Condition Look up'!$A$3:$A$130,0),MATCH(K248,'G-8 Condition Look up'!$A$3:$H$3,0)),"")</f>
        <v/>
      </c>
      <c r="M248" s="154"/>
      <c r="N248" s="520" t="str">
        <f>IF(M248="","",IF(VLOOKUP(M248,'G-3 Multipliers'!$L$3:$N$6,2,FALSE)=0,"Spatial Data Missing ⚠",VLOOKUP(M248,'G-3 Multipliers'!$L$3:$N$6,2,FALSE)))</f>
        <v/>
      </c>
      <c r="O248" s="524" t="str">
        <f>IF(M248="","",IF(VLOOKUP(M248,'G-3 Multipliers'!$L$3:$N$6,3,FALSE)=0,"Spatial Data Missing ⚠",VLOOKUP(M248,'G-3 Multipliers'!$L$3:$N$6,3,FALSE)))</f>
        <v/>
      </c>
      <c r="P248" s="506" t="str">
        <f>IFERROR(VLOOKUP(G248,'G-1 All Habitats'!$B$2:$M$129,12,FALSE),"")</f>
        <v/>
      </c>
      <c r="Q248" s="513" t="str">
        <f>IFERROR(IF(P248="","",IF(AND(P248='G-1 All Habitats'!$X$3,T248&gt;0),U248+V248,IF(AND(P248='G-1 All Habitats'!$X$3,S248&gt;0),U248+V248,IF(AND(P248='G-1 All Habitats'!$X$3,AC248&gt;0),"Any Loss Unacceptable",IF(AND(P248='G-1 All Habitats'!$X$3,W248&gt;0),"Any Loss Unacceptable",H248*J248*L248*O248))))),"Check Data ⚠")</f>
        <v/>
      </c>
      <c r="R248" s="50"/>
      <c r="S248" s="71"/>
      <c r="T248" s="72"/>
      <c r="U248" s="511" t="str">
        <f t="shared" si="20"/>
        <v/>
      </c>
      <c r="V248" s="511" t="str">
        <f t="shared" si="21"/>
        <v/>
      </c>
      <c r="W248" s="511"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545" t="str">
        <f>IFERROR(IF(H248="","",IF(H248-S248-T248=0&lt;0,"Error in Areas ▲",IF(S248+T248&gt;H248,"Error in Areas ▲",IF(AND(P248='G-1 All Habitats'!$X$3,Y248="Yes"),"Alternative Compensation",IF(W248=0,0,IF(P248='G-1 All Habitats'!$X$3,"Unacceptable Loss",Q248-U248-V248)))))),"Check Data ⚠")</f>
        <v/>
      </c>
      <c r="Y248" s="72"/>
      <c r="Z248" s="151"/>
      <c r="AA248" s="152"/>
      <c r="AC248" s="251" t="str">
        <f>IF(P248="","",IF(P248='G-1 All Habitats'!$X$3,H248-S248-T248,"None"))</f>
        <v/>
      </c>
      <c r="AD248" s="252" t="str">
        <f t="shared" si="22"/>
        <v/>
      </c>
      <c r="AF248" s="156" t="str">
        <f t="shared" si="18"/>
        <v/>
      </c>
      <c r="AG248" s="156" t="str">
        <f t="shared" si="19"/>
        <v/>
      </c>
      <c r="AH248" s="156" t="str">
        <f>IF(I248="","",IF(#REF!&gt;0,TRUE,FALSE))</f>
        <v/>
      </c>
      <c r="AI248" s="156">
        <v>238</v>
      </c>
      <c r="AJ248" s="156"/>
      <c r="AK248" s="156" t="str">
        <f t="array" ref="AK248">IFERROR(INDEX($AI$11:$AI$259, MATCH(0, IF(TRUE=$AF$11:$AF$259, COUNTIF($AK$10:$AK247, $AI$11:$AI$259), ""), 0)),"")</f>
        <v/>
      </c>
      <c r="AL248" s="156" t="str">
        <f t="array" ref="AL248">IFERROR(INDEX($AI$11:$AI$259, MATCH(0, IF(TRUE=$AG$11:$AG$259, COUNTIF($AL$10:$AL247, $AI$11:$AI$259), ""), 0)),"")</f>
        <v/>
      </c>
      <c r="AM248" s="156" t="str">
        <f t="array" ref="AM248">IFERROR(INDEX($AI$11:$AI$259, MATCH(0, IF(TRUE=$AH$11:$AH$259, COUNTIF($AM$10:$AM247, $AI$11:$AI$259), ""), 0)),"")</f>
        <v/>
      </c>
      <c r="AQ248" s="31">
        <f t="shared" si="23"/>
        <v>0</v>
      </c>
    </row>
    <row r="249" spans="1:43" x14ac:dyDescent="0.25">
      <c r="A249" s="31" t="str">
        <f>IFERROR(INDEX('G-1 All Habitats'!$AG$3:$AG$15,MATCH(E249,'G-1 All Habitats'!$AF$3:$AF$15,0)),"")</f>
        <v/>
      </c>
      <c r="B249" s="31" t="str">
        <f>IFERROR(INDEX('G-8 Condition Look up'!$I$4:$I$130,MATCH(G249,'G-8 Condition Look up'!$A$4:$A$130,0)),"")</f>
        <v/>
      </c>
      <c r="D249" s="141">
        <v>239</v>
      </c>
      <c r="E249" s="203"/>
      <c r="F249" s="203"/>
      <c r="G249" s="250" t="str">
        <f>IFERROR(INDEX('G-1 All Habitats'!$B$3:$B$129,MATCH(F249,'G-1 All Habitats'!$A$3:$A$129,0)),"")</f>
        <v/>
      </c>
      <c r="H249" s="172"/>
      <c r="I249" s="498" t="str">
        <f>IF(G249="","",VLOOKUP(G249,'G-1 All Habitats'!$B$2:$M$129,10,FALSE))</f>
        <v/>
      </c>
      <c r="J249" s="499" t="str">
        <f>IFERROR(VLOOKUP(I249,'G-1 All Habitats'!$V$3:$W$7,2,FALSE),"")</f>
        <v/>
      </c>
      <c r="K249" s="145"/>
      <c r="L249" s="499" t="str">
        <f>IFERROR(INDEX('G-8 Condition Look up'!$A$3:$H$130,MATCH(G249,'G-8 Condition Look up'!$A$3:$A$130,0),MATCH(K249,'G-8 Condition Look up'!$A$3:$H$3,0)),"")</f>
        <v/>
      </c>
      <c r="M249" s="154"/>
      <c r="N249" s="520" t="str">
        <f>IF(M249="","",IF(VLOOKUP(M249,'G-3 Multipliers'!$L$3:$N$6,2,FALSE)=0,"Spatial Data Missing ⚠",VLOOKUP(M249,'G-3 Multipliers'!$L$3:$N$6,2,FALSE)))</f>
        <v/>
      </c>
      <c r="O249" s="524" t="str">
        <f>IF(M249="","",IF(VLOOKUP(M249,'G-3 Multipliers'!$L$3:$N$6,3,FALSE)=0,"Spatial Data Missing ⚠",VLOOKUP(M249,'G-3 Multipliers'!$L$3:$N$6,3,FALSE)))</f>
        <v/>
      </c>
      <c r="P249" s="506" t="str">
        <f>IFERROR(VLOOKUP(G249,'G-1 All Habitats'!$B$2:$M$129,12,FALSE),"")</f>
        <v/>
      </c>
      <c r="Q249" s="513" t="str">
        <f>IFERROR(IF(P249="","",IF(AND(P249='G-1 All Habitats'!$X$3,T249&gt;0),U249+V249,IF(AND(P249='G-1 All Habitats'!$X$3,S249&gt;0),U249+V249,IF(AND(P249='G-1 All Habitats'!$X$3,AC249&gt;0),"Any Loss Unacceptable",IF(AND(P249='G-1 All Habitats'!$X$3,W249&gt;0),"Any Loss Unacceptable",H249*J249*L249*O249))))),"Check Data ⚠")</f>
        <v/>
      </c>
      <c r="R249" s="50"/>
      <c r="S249" s="71"/>
      <c r="T249" s="72"/>
      <c r="U249" s="511" t="str">
        <f t="shared" si="20"/>
        <v/>
      </c>
      <c r="V249" s="511" t="str">
        <f t="shared" si="21"/>
        <v/>
      </c>
      <c r="W249" s="511"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545" t="str">
        <f>IFERROR(IF(H249="","",IF(H249-S249-T249=0&lt;0,"Error in Areas ▲",IF(S249+T249&gt;H249,"Error in Areas ▲",IF(AND(P249='G-1 All Habitats'!$X$3,Y249="Yes"),"Alternative Compensation",IF(W249=0,0,IF(P249='G-1 All Habitats'!$X$3,"Unacceptable Loss",Q249-U249-V249)))))),"Check Data ⚠")</f>
        <v/>
      </c>
      <c r="Y249" s="72"/>
      <c r="Z249" s="151"/>
      <c r="AA249" s="152"/>
      <c r="AC249" s="251" t="str">
        <f>IF(P249="","",IF(P249='G-1 All Habitats'!$X$3,H249-S249-T249,"None"))</f>
        <v/>
      </c>
      <c r="AD249" s="252" t="str">
        <f t="shared" si="22"/>
        <v/>
      </c>
      <c r="AF249" s="156" t="str">
        <f t="shared" si="18"/>
        <v/>
      </c>
      <c r="AG249" s="156" t="str">
        <f t="shared" si="19"/>
        <v/>
      </c>
      <c r="AH249" s="156" t="str">
        <f>IF(I249="","",IF(#REF!&gt;0,TRUE,FALSE))</f>
        <v/>
      </c>
      <c r="AI249" s="156">
        <v>239</v>
      </c>
      <c r="AJ249" s="156"/>
      <c r="AK249" s="156" t="str">
        <f t="array" ref="AK249">IFERROR(INDEX($AI$11:$AI$259, MATCH(0, IF(TRUE=$AF$11:$AF$259, COUNTIF($AK$10:$AK248, $AI$11:$AI$259), ""), 0)),"")</f>
        <v/>
      </c>
      <c r="AL249" s="156" t="str">
        <f t="array" ref="AL249">IFERROR(INDEX($AI$11:$AI$259, MATCH(0, IF(TRUE=$AG$11:$AG$259, COUNTIF($AL$10:$AL248, $AI$11:$AI$259), ""), 0)),"")</f>
        <v/>
      </c>
      <c r="AM249" s="156" t="str">
        <f t="array" ref="AM249">IFERROR(INDEX($AI$11:$AI$259, MATCH(0, IF(TRUE=$AH$11:$AH$259, COUNTIF($AM$10:$AM248, $AI$11:$AI$259), ""), 0)),"")</f>
        <v/>
      </c>
      <c r="AQ249" s="31">
        <f t="shared" si="23"/>
        <v>0</v>
      </c>
    </row>
    <row r="250" spans="1:43" x14ac:dyDescent="0.25">
      <c r="A250" s="31" t="str">
        <f>IFERROR(INDEX('G-1 All Habitats'!$AG$3:$AG$15,MATCH(E250,'G-1 All Habitats'!$AF$3:$AF$15,0)),"")</f>
        <v/>
      </c>
      <c r="B250" s="31" t="str">
        <f>IFERROR(INDEX('G-8 Condition Look up'!$I$4:$I$130,MATCH(G250,'G-8 Condition Look up'!$A$4:$A$130,0)),"")</f>
        <v/>
      </c>
      <c r="D250" s="141">
        <v>240</v>
      </c>
      <c r="E250" s="203"/>
      <c r="F250" s="203"/>
      <c r="G250" s="250" t="str">
        <f>IFERROR(INDEX('G-1 All Habitats'!$B$3:$B$129,MATCH(F250,'G-1 All Habitats'!$A$3:$A$129,0)),"")</f>
        <v/>
      </c>
      <c r="H250" s="172"/>
      <c r="I250" s="498" t="str">
        <f>IF(G250="","",VLOOKUP(G250,'G-1 All Habitats'!$B$2:$M$129,10,FALSE))</f>
        <v/>
      </c>
      <c r="J250" s="499" t="str">
        <f>IFERROR(VLOOKUP(I250,'G-1 All Habitats'!$V$3:$W$7,2,FALSE),"")</f>
        <v/>
      </c>
      <c r="K250" s="145"/>
      <c r="L250" s="499" t="str">
        <f>IFERROR(INDEX('G-8 Condition Look up'!$A$3:$H$130,MATCH(G250,'G-8 Condition Look up'!$A$3:$A$130,0),MATCH(K250,'G-8 Condition Look up'!$A$3:$H$3,0)),"")</f>
        <v/>
      </c>
      <c r="M250" s="154"/>
      <c r="N250" s="520" t="str">
        <f>IF(M250="","",IF(VLOOKUP(M250,'G-3 Multipliers'!$L$3:$N$6,2,FALSE)=0,"Spatial Data Missing ⚠",VLOOKUP(M250,'G-3 Multipliers'!$L$3:$N$6,2,FALSE)))</f>
        <v/>
      </c>
      <c r="O250" s="524" t="str">
        <f>IF(M250="","",IF(VLOOKUP(M250,'G-3 Multipliers'!$L$3:$N$6,3,FALSE)=0,"Spatial Data Missing ⚠",VLOOKUP(M250,'G-3 Multipliers'!$L$3:$N$6,3,FALSE)))</f>
        <v/>
      </c>
      <c r="P250" s="506" t="str">
        <f>IFERROR(VLOOKUP(G250,'G-1 All Habitats'!$B$2:$M$129,12,FALSE),"")</f>
        <v/>
      </c>
      <c r="Q250" s="513" t="str">
        <f>IFERROR(IF(P250="","",IF(AND(P250='G-1 All Habitats'!$X$3,T250&gt;0),U250+V250,IF(AND(P250='G-1 All Habitats'!$X$3,S250&gt;0),U250+V250,IF(AND(P250='G-1 All Habitats'!$X$3,AC250&gt;0),"Any Loss Unacceptable",IF(AND(P250='G-1 All Habitats'!$X$3,W250&gt;0),"Any Loss Unacceptable",H250*J250*L250*O250))))),"Check Data ⚠")</f>
        <v/>
      </c>
      <c r="R250" s="50"/>
      <c r="S250" s="71"/>
      <c r="T250" s="72"/>
      <c r="U250" s="511" t="str">
        <f t="shared" si="20"/>
        <v/>
      </c>
      <c r="V250" s="511" t="str">
        <f t="shared" si="21"/>
        <v/>
      </c>
      <c r="W250" s="511"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545" t="str">
        <f>IFERROR(IF(H250="","",IF(H250-S250-T250=0&lt;0,"Error in Areas ▲",IF(S250+T250&gt;H250,"Error in Areas ▲",IF(AND(P250='G-1 All Habitats'!$X$3,Y250="Yes"),"Alternative Compensation",IF(W250=0,0,IF(P250='G-1 All Habitats'!$X$3,"Unacceptable Loss",Q250-U250-V250)))))),"Check Data ⚠")</f>
        <v/>
      </c>
      <c r="Y250" s="72"/>
      <c r="Z250" s="151"/>
      <c r="AA250" s="152"/>
      <c r="AC250" s="251" t="str">
        <f>IF(P250="","",IF(P250='G-1 All Habitats'!$X$3,H250-S250-T250,"None"))</f>
        <v/>
      </c>
      <c r="AD250" s="252" t="str">
        <f t="shared" si="22"/>
        <v/>
      </c>
      <c r="AF250" s="156" t="str">
        <f t="shared" si="18"/>
        <v/>
      </c>
      <c r="AG250" s="156" t="str">
        <f t="shared" si="19"/>
        <v/>
      </c>
      <c r="AH250" s="156" t="str">
        <f>IF(I250="","",IF(#REF!&gt;0,TRUE,FALSE))</f>
        <v/>
      </c>
      <c r="AI250" s="156">
        <v>240</v>
      </c>
      <c r="AJ250" s="156"/>
      <c r="AK250" s="156" t="str">
        <f t="array" ref="AK250">IFERROR(INDEX($AI$11:$AI$259, MATCH(0, IF(TRUE=$AF$11:$AF$259, COUNTIF($AK$10:$AK249, $AI$11:$AI$259), ""), 0)),"")</f>
        <v/>
      </c>
      <c r="AL250" s="156" t="str">
        <f t="array" ref="AL250">IFERROR(INDEX($AI$11:$AI$259, MATCH(0, IF(TRUE=$AG$11:$AG$259, COUNTIF($AL$10:$AL249, $AI$11:$AI$259), ""), 0)),"")</f>
        <v/>
      </c>
      <c r="AM250" s="156" t="str">
        <f t="array" ref="AM250">IFERROR(INDEX($AI$11:$AI$259, MATCH(0, IF(TRUE=$AH$11:$AH$259, COUNTIF($AM$10:$AM249, $AI$11:$AI$259), ""), 0)),"")</f>
        <v/>
      </c>
      <c r="AQ250" s="31">
        <f t="shared" si="23"/>
        <v>0</v>
      </c>
    </row>
    <row r="251" spans="1:43" x14ac:dyDescent="0.25">
      <c r="A251" s="31" t="str">
        <f>IFERROR(INDEX('G-1 All Habitats'!$AG$3:$AG$15,MATCH(E251,'G-1 All Habitats'!$AF$3:$AF$15,0)),"")</f>
        <v/>
      </c>
      <c r="B251" s="31" t="str">
        <f>IFERROR(INDEX('G-8 Condition Look up'!$I$4:$I$130,MATCH(G251,'G-8 Condition Look up'!$A$4:$A$130,0)),"")</f>
        <v/>
      </c>
      <c r="D251" s="141">
        <v>241</v>
      </c>
      <c r="E251" s="203"/>
      <c r="F251" s="203"/>
      <c r="G251" s="250" t="str">
        <f>IFERROR(INDEX('G-1 All Habitats'!$B$3:$B$129,MATCH(F251,'G-1 All Habitats'!$A$3:$A$129,0)),"")</f>
        <v/>
      </c>
      <c r="H251" s="172"/>
      <c r="I251" s="498" t="str">
        <f>IF(G251="","",VLOOKUP(G251,'G-1 All Habitats'!$B$2:$M$129,10,FALSE))</f>
        <v/>
      </c>
      <c r="J251" s="499" t="str">
        <f>IFERROR(VLOOKUP(I251,'G-1 All Habitats'!$V$3:$W$7,2,FALSE),"")</f>
        <v/>
      </c>
      <c r="K251" s="145"/>
      <c r="L251" s="499" t="str">
        <f>IFERROR(INDEX('G-8 Condition Look up'!$A$3:$H$130,MATCH(G251,'G-8 Condition Look up'!$A$3:$A$130,0),MATCH(K251,'G-8 Condition Look up'!$A$3:$H$3,0)),"")</f>
        <v/>
      </c>
      <c r="M251" s="154"/>
      <c r="N251" s="520" t="str">
        <f>IF(M251="","",IF(VLOOKUP(M251,'G-3 Multipliers'!$L$3:$N$6,2,FALSE)=0,"Spatial Data Missing ⚠",VLOOKUP(M251,'G-3 Multipliers'!$L$3:$N$6,2,FALSE)))</f>
        <v/>
      </c>
      <c r="O251" s="524" t="str">
        <f>IF(M251="","",IF(VLOOKUP(M251,'G-3 Multipliers'!$L$3:$N$6,3,FALSE)=0,"Spatial Data Missing ⚠",VLOOKUP(M251,'G-3 Multipliers'!$L$3:$N$6,3,FALSE)))</f>
        <v/>
      </c>
      <c r="P251" s="506" t="str">
        <f>IFERROR(VLOOKUP(G251,'G-1 All Habitats'!$B$2:$M$129,12,FALSE),"")</f>
        <v/>
      </c>
      <c r="Q251" s="513" t="str">
        <f>IFERROR(IF(P251="","",IF(AND(P251='G-1 All Habitats'!$X$3,T251&gt;0),U251+V251,IF(AND(P251='G-1 All Habitats'!$X$3,S251&gt;0),U251+V251,IF(AND(P251='G-1 All Habitats'!$X$3,AC251&gt;0),"Any Loss Unacceptable",IF(AND(P251='G-1 All Habitats'!$X$3,W251&gt;0),"Any Loss Unacceptable",H251*J251*L251*O251))))),"Check Data ⚠")</f>
        <v/>
      </c>
      <c r="R251" s="50"/>
      <c r="S251" s="71"/>
      <c r="T251" s="72"/>
      <c r="U251" s="511" t="str">
        <f t="shared" si="20"/>
        <v/>
      </c>
      <c r="V251" s="511" t="str">
        <f t="shared" si="21"/>
        <v/>
      </c>
      <c r="W251" s="511"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545" t="str">
        <f>IFERROR(IF(H251="","",IF(H251-S251-T251=0&lt;0,"Error in Areas ▲",IF(S251+T251&gt;H251,"Error in Areas ▲",IF(AND(P251='G-1 All Habitats'!$X$3,Y251="Yes"),"Alternative Compensation",IF(W251=0,0,IF(P251='G-1 All Habitats'!$X$3,"Unacceptable Loss",Q251-U251-V251)))))),"Check Data ⚠")</f>
        <v/>
      </c>
      <c r="Y251" s="72"/>
      <c r="Z251" s="151"/>
      <c r="AA251" s="152"/>
      <c r="AC251" s="251" t="str">
        <f>IF(P251="","",IF(P251='G-1 All Habitats'!$X$3,H251-S251-T251,"None"))</f>
        <v/>
      </c>
      <c r="AD251" s="252" t="str">
        <f t="shared" si="22"/>
        <v/>
      </c>
      <c r="AF251" s="156" t="str">
        <f t="shared" si="18"/>
        <v/>
      </c>
      <c r="AG251" s="156" t="str">
        <f t="shared" si="19"/>
        <v/>
      </c>
      <c r="AH251" s="156" t="str">
        <f>IF(I251="","",IF(#REF!&gt;0,TRUE,FALSE))</f>
        <v/>
      </c>
      <c r="AI251" s="156">
        <v>241</v>
      </c>
      <c r="AJ251" s="156"/>
      <c r="AK251" s="156" t="str">
        <f t="array" ref="AK251">IFERROR(INDEX($AI$11:$AI$259, MATCH(0, IF(TRUE=$AF$11:$AF$259, COUNTIF($AK$10:$AK250, $AI$11:$AI$259), ""), 0)),"")</f>
        <v/>
      </c>
      <c r="AL251" s="156" t="str">
        <f t="array" ref="AL251">IFERROR(INDEX($AI$11:$AI$259, MATCH(0, IF(TRUE=$AG$11:$AG$259, COUNTIF($AL$10:$AL250, $AI$11:$AI$259), ""), 0)),"")</f>
        <v/>
      </c>
      <c r="AM251" s="156" t="str">
        <f t="array" ref="AM251">IFERROR(INDEX($AI$11:$AI$259, MATCH(0, IF(TRUE=$AH$11:$AH$259, COUNTIF($AM$10:$AM250, $AI$11:$AI$259), ""), 0)),"")</f>
        <v/>
      </c>
      <c r="AQ251" s="31">
        <f t="shared" si="23"/>
        <v>0</v>
      </c>
    </row>
    <row r="252" spans="1:43" x14ac:dyDescent="0.25">
      <c r="A252" s="31" t="str">
        <f>IFERROR(INDEX('G-1 All Habitats'!$AG$3:$AG$15,MATCH(E252,'G-1 All Habitats'!$AF$3:$AF$15,0)),"")</f>
        <v/>
      </c>
      <c r="B252" s="31" t="str">
        <f>IFERROR(INDEX('G-8 Condition Look up'!$I$4:$I$130,MATCH(G252,'G-8 Condition Look up'!$A$4:$A$130,0)),"")</f>
        <v/>
      </c>
      <c r="D252" s="141">
        <v>242</v>
      </c>
      <c r="E252" s="203"/>
      <c r="F252" s="203"/>
      <c r="G252" s="250" t="str">
        <f>IFERROR(INDEX('G-1 All Habitats'!$B$3:$B$129,MATCH(F252,'G-1 All Habitats'!$A$3:$A$129,0)),"")</f>
        <v/>
      </c>
      <c r="H252" s="172"/>
      <c r="I252" s="498" t="str">
        <f>IF(G252="","",VLOOKUP(G252,'G-1 All Habitats'!$B$2:$M$129,10,FALSE))</f>
        <v/>
      </c>
      <c r="J252" s="499" t="str">
        <f>IFERROR(VLOOKUP(I252,'G-1 All Habitats'!$V$3:$W$7,2,FALSE),"")</f>
        <v/>
      </c>
      <c r="K252" s="145"/>
      <c r="L252" s="499" t="str">
        <f>IFERROR(INDEX('G-8 Condition Look up'!$A$3:$H$130,MATCH(G252,'G-8 Condition Look up'!$A$3:$A$130,0),MATCH(K252,'G-8 Condition Look up'!$A$3:$H$3,0)),"")</f>
        <v/>
      </c>
      <c r="M252" s="154"/>
      <c r="N252" s="520" t="str">
        <f>IF(M252="","",IF(VLOOKUP(M252,'G-3 Multipliers'!$L$3:$N$6,2,FALSE)=0,"Spatial Data Missing ⚠",VLOOKUP(M252,'G-3 Multipliers'!$L$3:$N$6,2,FALSE)))</f>
        <v/>
      </c>
      <c r="O252" s="524" t="str">
        <f>IF(M252="","",IF(VLOOKUP(M252,'G-3 Multipliers'!$L$3:$N$6,3,FALSE)=0,"Spatial Data Missing ⚠",VLOOKUP(M252,'G-3 Multipliers'!$L$3:$N$6,3,FALSE)))</f>
        <v/>
      </c>
      <c r="P252" s="506" t="str">
        <f>IFERROR(VLOOKUP(G252,'G-1 All Habitats'!$B$2:$M$129,12,FALSE),"")</f>
        <v/>
      </c>
      <c r="Q252" s="513" t="str">
        <f>IFERROR(IF(P252="","",IF(AND(P252='G-1 All Habitats'!$X$3,T252&gt;0),U252+V252,IF(AND(P252='G-1 All Habitats'!$X$3,S252&gt;0),U252+V252,IF(AND(P252='G-1 All Habitats'!$X$3,AC252&gt;0),"Any Loss Unacceptable",IF(AND(P252='G-1 All Habitats'!$X$3,W252&gt;0),"Any Loss Unacceptable",H252*J252*L252*O252))))),"Check Data ⚠")</f>
        <v/>
      </c>
      <c r="R252" s="50"/>
      <c r="S252" s="71"/>
      <c r="T252" s="72"/>
      <c r="U252" s="511" t="str">
        <f t="shared" si="20"/>
        <v/>
      </c>
      <c r="V252" s="511" t="str">
        <f t="shared" si="21"/>
        <v/>
      </c>
      <c r="W252" s="511"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545" t="str">
        <f>IFERROR(IF(H252="","",IF(H252-S252-T252=0&lt;0,"Error in Areas ▲",IF(S252+T252&gt;H252,"Error in Areas ▲",IF(AND(P252='G-1 All Habitats'!$X$3,Y252="Yes"),"Alternative Compensation",IF(W252=0,0,IF(P252='G-1 All Habitats'!$X$3,"Unacceptable Loss",Q252-U252-V252)))))),"Check Data ⚠")</f>
        <v/>
      </c>
      <c r="Y252" s="72"/>
      <c r="Z252" s="151"/>
      <c r="AA252" s="152"/>
      <c r="AC252" s="251" t="str">
        <f>IF(P252="","",IF(P252='G-1 All Habitats'!$X$3,H252-S252-T252,"None"))</f>
        <v/>
      </c>
      <c r="AD252" s="252" t="str">
        <f t="shared" si="22"/>
        <v/>
      </c>
      <c r="AF252" s="156" t="str">
        <f t="shared" si="18"/>
        <v/>
      </c>
      <c r="AG252" s="156" t="str">
        <f t="shared" si="19"/>
        <v/>
      </c>
      <c r="AH252" s="156" t="str">
        <f>IF(I252="","",IF(#REF!&gt;0,TRUE,FALSE))</f>
        <v/>
      </c>
      <c r="AI252" s="156">
        <v>242</v>
      </c>
      <c r="AJ252" s="156"/>
      <c r="AK252" s="156" t="str">
        <f t="array" ref="AK252">IFERROR(INDEX($AI$11:$AI$259, MATCH(0, IF(TRUE=$AF$11:$AF$259, COUNTIF($AK$10:$AK251, $AI$11:$AI$259), ""), 0)),"")</f>
        <v/>
      </c>
      <c r="AL252" s="156" t="str">
        <f t="array" ref="AL252">IFERROR(INDEX($AI$11:$AI$259, MATCH(0, IF(TRUE=$AG$11:$AG$259, COUNTIF($AL$10:$AL251, $AI$11:$AI$259), ""), 0)),"")</f>
        <v/>
      </c>
      <c r="AM252" s="156" t="str">
        <f t="array" ref="AM252">IFERROR(INDEX($AI$11:$AI$259, MATCH(0, IF(TRUE=$AH$11:$AH$259, COUNTIF($AM$10:$AM251, $AI$11:$AI$259), ""), 0)),"")</f>
        <v/>
      </c>
      <c r="AQ252" s="31">
        <f t="shared" si="23"/>
        <v>0</v>
      </c>
    </row>
    <row r="253" spans="1:43" x14ac:dyDescent="0.25">
      <c r="A253" s="31" t="str">
        <f>IFERROR(INDEX('G-1 All Habitats'!$AG$3:$AG$15,MATCH(E253,'G-1 All Habitats'!$AF$3:$AF$15,0)),"")</f>
        <v/>
      </c>
      <c r="B253" s="31" t="str">
        <f>IFERROR(INDEX('G-8 Condition Look up'!$I$4:$I$130,MATCH(G253,'G-8 Condition Look up'!$A$4:$A$130,0)),"")</f>
        <v/>
      </c>
      <c r="D253" s="141">
        <v>243</v>
      </c>
      <c r="E253" s="203"/>
      <c r="F253" s="203"/>
      <c r="G253" s="250" t="str">
        <f>IFERROR(INDEX('G-1 All Habitats'!$B$3:$B$129,MATCH(F253,'G-1 All Habitats'!$A$3:$A$129,0)),"")</f>
        <v/>
      </c>
      <c r="H253" s="172"/>
      <c r="I253" s="498" t="str">
        <f>IF(G253="","",VLOOKUP(G253,'G-1 All Habitats'!$B$2:$M$129,10,FALSE))</f>
        <v/>
      </c>
      <c r="J253" s="499" t="str">
        <f>IFERROR(VLOOKUP(I253,'G-1 All Habitats'!$V$3:$W$7,2,FALSE),"")</f>
        <v/>
      </c>
      <c r="K253" s="145"/>
      <c r="L253" s="499" t="str">
        <f>IFERROR(INDEX('G-8 Condition Look up'!$A$3:$H$130,MATCH(G253,'G-8 Condition Look up'!$A$3:$A$130,0),MATCH(K253,'G-8 Condition Look up'!$A$3:$H$3,0)),"")</f>
        <v/>
      </c>
      <c r="M253" s="154"/>
      <c r="N253" s="520" t="str">
        <f>IF(M253="","",IF(VLOOKUP(M253,'G-3 Multipliers'!$L$3:$N$6,2,FALSE)=0,"Spatial Data Missing ⚠",VLOOKUP(M253,'G-3 Multipliers'!$L$3:$N$6,2,FALSE)))</f>
        <v/>
      </c>
      <c r="O253" s="524" t="str">
        <f>IF(M253="","",IF(VLOOKUP(M253,'G-3 Multipliers'!$L$3:$N$6,3,FALSE)=0,"Spatial Data Missing ⚠",VLOOKUP(M253,'G-3 Multipliers'!$L$3:$N$6,3,FALSE)))</f>
        <v/>
      </c>
      <c r="P253" s="506" t="str">
        <f>IFERROR(VLOOKUP(G253,'G-1 All Habitats'!$B$2:$M$129,12,FALSE),"")</f>
        <v/>
      </c>
      <c r="Q253" s="513" t="str">
        <f>IFERROR(IF(P253="","",IF(AND(P253='G-1 All Habitats'!$X$3,T253&gt;0),U253+V253,IF(AND(P253='G-1 All Habitats'!$X$3,S253&gt;0),U253+V253,IF(AND(P253='G-1 All Habitats'!$X$3,AC253&gt;0),"Any Loss Unacceptable",IF(AND(P253='G-1 All Habitats'!$X$3,W253&gt;0),"Any Loss Unacceptable",H253*J253*L253*O253))))),"Check Data ⚠")</f>
        <v/>
      </c>
      <c r="R253" s="50"/>
      <c r="S253" s="71"/>
      <c r="T253" s="72"/>
      <c r="U253" s="511" t="str">
        <f t="shared" si="20"/>
        <v/>
      </c>
      <c r="V253" s="511" t="str">
        <f t="shared" si="21"/>
        <v/>
      </c>
      <c r="W253" s="511"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545" t="str">
        <f>IFERROR(IF(H253="","",IF(H253-S253-T253=0&lt;0,"Error in Areas ▲",IF(S253+T253&gt;H253,"Error in Areas ▲",IF(AND(P253='G-1 All Habitats'!$X$3,Y253="Yes"),"Alternative Compensation",IF(W253=0,0,IF(P253='G-1 All Habitats'!$X$3,"Unacceptable Loss",Q253-U253-V253)))))),"Check Data ⚠")</f>
        <v/>
      </c>
      <c r="Y253" s="72"/>
      <c r="Z253" s="151"/>
      <c r="AA253" s="152"/>
      <c r="AC253" s="251" t="str">
        <f>IF(P253="","",IF(P253='G-1 All Habitats'!$X$3,H253-S253-T253,"None"))</f>
        <v/>
      </c>
      <c r="AD253" s="252" t="str">
        <f t="shared" si="22"/>
        <v/>
      </c>
      <c r="AF253" s="156" t="str">
        <f t="shared" si="18"/>
        <v/>
      </c>
      <c r="AG253" s="156" t="str">
        <f t="shared" si="19"/>
        <v/>
      </c>
      <c r="AH253" s="156" t="str">
        <f>IF(I253="","",IF(#REF!&gt;0,TRUE,FALSE))</f>
        <v/>
      </c>
      <c r="AI253" s="156">
        <v>243</v>
      </c>
      <c r="AJ253" s="156"/>
      <c r="AK253" s="156" t="str">
        <f t="array" ref="AK253">IFERROR(INDEX($AI$11:$AI$259, MATCH(0, IF(TRUE=$AF$11:$AF$259, COUNTIF($AK$10:$AK252, $AI$11:$AI$259), ""), 0)),"")</f>
        <v/>
      </c>
      <c r="AL253" s="156" t="str">
        <f t="array" ref="AL253">IFERROR(INDEX($AI$11:$AI$259, MATCH(0, IF(TRUE=$AG$11:$AG$259, COUNTIF($AL$10:$AL252, $AI$11:$AI$259), ""), 0)),"")</f>
        <v/>
      </c>
      <c r="AM253" s="156" t="str">
        <f t="array" ref="AM253">IFERROR(INDEX($AI$11:$AI$259, MATCH(0, IF(TRUE=$AH$11:$AH$259, COUNTIF($AM$10:$AM252, $AI$11:$AI$259), ""), 0)),"")</f>
        <v/>
      </c>
      <c r="AQ253" s="31">
        <f t="shared" si="23"/>
        <v>0</v>
      </c>
    </row>
    <row r="254" spans="1:43" x14ac:dyDescent="0.25">
      <c r="A254" s="31" t="str">
        <f>IFERROR(INDEX('G-1 All Habitats'!$AG$3:$AG$15,MATCH(E254,'G-1 All Habitats'!$AF$3:$AF$15,0)),"")</f>
        <v/>
      </c>
      <c r="B254" s="31" t="str">
        <f>IFERROR(INDEX('G-8 Condition Look up'!$I$4:$I$130,MATCH(G254,'G-8 Condition Look up'!$A$4:$A$130,0)),"")</f>
        <v/>
      </c>
      <c r="D254" s="141">
        <v>244</v>
      </c>
      <c r="E254" s="203"/>
      <c r="F254" s="203"/>
      <c r="G254" s="250" t="str">
        <f>IFERROR(INDEX('G-1 All Habitats'!$B$3:$B$129,MATCH(F254,'G-1 All Habitats'!$A$3:$A$129,0)),"")</f>
        <v/>
      </c>
      <c r="H254" s="172"/>
      <c r="I254" s="498" t="str">
        <f>IF(G254="","",VLOOKUP(G254,'G-1 All Habitats'!$B$2:$M$129,10,FALSE))</f>
        <v/>
      </c>
      <c r="J254" s="499" t="str">
        <f>IFERROR(VLOOKUP(I254,'G-1 All Habitats'!$V$3:$W$7,2,FALSE),"")</f>
        <v/>
      </c>
      <c r="K254" s="145"/>
      <c r="L254" s="499" t="str">
        <f>IFERROR(INDEX('G-8 Condition Look up'!$A$3:$H$130,MATCH(G254,'G-8 Condition Look up'!$A$3:$A$130,0),MATCH(K254,'G-8 Condition Look up'!$A$3:$H$3,0)),"")</f>
        <v/>
      </c>
      <c r="M254" s="154"/>
      <c r="N254" s="520" t="str">
        <f>IF(M254="","",IF(VLOOKUP(M254,'G-3 Multipliers'!$L$3:$N$6,2,FALSE)=0,"Spatial Data Missing ⚠",VLOOKUP(M254,'G-3 Multipliers'!$L$3:$N$6,2,FALSE)))</f>
        <v/>
      </c>
      <c r="O254" s="524" t="str">
        <f>IF(M254="","",IF(VLOOKUP(M254,'G-3 Multipliers'!$L$3:$N$6,3,FALSE)=0,"Spatial Data Missing ⚠",VLOOKUP(M254,'G-3 Multipliers'!$L$3:$N$6,3,FALSE)))</f>
        <v/>
      </c>
      <c r="P254" s="506" t="str">
        <f>IFERROR(VLOOKUP(G254,'G-1 All Habitats'!$B$2:$M$129,12,FALSE),"")</f>
        <v/>
      </c>
      <c r="Q254" s="513" t="str">
        <f>IFERROR(IF(P254="","",IF(AND(P254='G-1 All Habitats'!$X$3,T254&gt;0),U254+V254,IF(AND(P254='G-1 All Habitats'!$X$3,S254&gt;0),U254+V254,IF(AND(P254='G-1 All Habitats'!$X$3,AC254&gt;0),"Any Loss Unacceptable",IF(AND(P254='G-1 All Habitats'!$X$3,W254&gt;0),"Any Loss Unacceptable",H254*J254*L254*O254))))),"Check Data ⚠")</f>
        <v/>
      </c>
      <c r="R254" s="50"/>
      <c r="S254" s="71"/>
      <c r="T254" s="72"/>
      <c r="U254" s="511" t="str">
        <f t="shared" si="20"/>
        <v/>
      </c>
      <c r="V254" s="511" t="str">
        <f t="shared" si="21"/>
        <v/>
      </c>
      <c r="W254" s="511"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545" t="str">
        <f>IFERROR(IF(H254="","",IF(H254-S254-T254=0&lt;0,"Error in Areas ▲",IF(S254+T254&gt;H254,"Error in Areas ▲",IF(AND(P254='G-1 All Habitats'!$X$3,Y254="Yes"),"Alternative Compensation",IF(W254=0,0,IF(P254='G-1 All Habitats'!$X$3,"Unacceptable Loss",Q254-U254-V254)))))),"Check Data ⚠")</f>
        <v/>
      </c>
      <c r="Y254" s="72"/>
      <c r="Z254" s="151"/>
      <c r="AA254" s="152"/>
      <c r="AC254" s="251" t="str">
        <f>IF(P254="","",IF(P254='G-1 All Habitats'!$X$3,H254-S254-T254,"None"))</f>
        <v/>
      </c>
      <c r="AD254" s="252" t="str">
        <f t="shared" si="22"/>
        <v/>
      </c>
      <c r="AF254" s="156" t="str">
        <f t="shared" si="18"/>
        <v/>
      </c>
      <c r="AG254" s="156" t="str">
        <f t="shared" si="19"/>
        <v/>
      </c>
      <c r="AH254" s="156" t="str">
        <f>IF(I254="","",IF(#REF!&gt;0,TRUE,FALSE))</f>
        <v/>
      </c>
      <c r="AI254" s="156">
        <v>244</v>
      </c>
      <c r="AJ254" s="156"/>
      <c r="AK254" s="156" t="str">
        <f t="array" ref="AK254">IFERROR(INDEX($AI$11:$AI$259, MATCH(0, IF(TRUE=$AF$11:$AF$259, COUNTIF($AK$10:$AK253, $AI$11:$AI$259), ""), 0)),"")</f>
        <v/>
      </c>
      <c r="AL254" s="156" t="str">
        <f t="array" ref="AL254">IFERROR(INDEX($AI$11:$AI$259, MATCH(0, IF(TRUE=$AG$11:$AG$259, COUNTIF($AL$10:$AL253, $AI$11:$AI$259), ""), 0)),"")</f>
        <v/>
      </c>
      <c r="AM254" s="156" t="str">
        <f t="array" ref="AM254">IFERROR(INDEX($AI$11:$AI$259, MATCH(0, IF(TRUE=$AH$11:$AH$259, COUNTIF($AM$10:$AM253, $AI$11:$AI$259), ""), 0)),"")</f>
        <v/>
      </c>
      <c r="AQ254" s="31">
        <f t="shared" si="23"/>
        <v>0</v>
      </c>
    </row>
    <row r="255" spans="1:43" x14ac:dyDescent="0.25">
      <c r="A255" s="31" t="str">
        <f>IFERROR(INDEX('G-1 All Habitats'!$AG$3:$AG$15,MATCH(E255,'G-1 All Habitats'!$AF$3:$AF$15,0)),"")</f>
        <v/>
      </c>
      <c r="B255" s="31" t="str">
        <f>IFERROR(INDEX('G-8 Condition Look up'!$I$4:$I$130,MATCH(G255,'G-8 Condition Look up'!$A$4:$A$130,0)),"")</f>
        <v/>
      </c>
      <c r="D255" s="141">
        <v>245</v>
      </c>
      <c r="E255" s="203"/>
      <c r="F255" s="203"/>
      <c r="G255" s="250" t="str">
        <f>IFERROR(INDEX('G-1 All Habitats'!$B$3:$B$129,MATCH(F255,'G-1 All Habitats'!$A$3:$A$129,0)),"")</f>
        <v/>
      </c>
      <c r="H255" s="172"/>
      <c r="I255" s="498" t="str">
        <f>IF(G255="","",VLOOKUP(G255,'G-1 All Habitats'!$B$2:$M$129,10,FALSE))</f>
        <v/>
      </c>
      <c r="J255" s="499" t="str">
        <f>IFERROR(VLOOKUP(I255,'G-1 All Habitats'!$V$3:$W$7,2,FALSE),"")</f>
        <v/>
      </c>
      <c r="K255" s="145"/>
      <c r="L255" s="499" t="str">
        <f>IFERROR(INDEX('G-8 Condition Look up'!$A$3:$H$130,MATCH(G255,'G-8 Condition Look up'!$A$3:$A$130,0),MATCH(K255,'G-8 Condition Look up'!$A$3:$H$3,0)),"")</f>
        <v/>
      </c>
      <c r="M255" s="154"/>
      <c r="N255" s="520" t="str">
        <f>IF(M255="","",IF(VLOOKUP(M255,'G-3 Multipliers'!$L$3:$N$6,2,FALSE)=0,"Spatial Data Missing ⚠",VLOOKUP(M255,'G-3 Multipliers'!$L$3:$N$6,2,FALSE)))</f>
        <v/>
      </c>
      <c r="O255" s="524" t="str">
        <f>IF(M255="","",IF(VLOOKUP(M255,'G-3 Multipliers'!$L$3:$N$6,3,FALSE)=0,"Spatial Data Missing ⚠",VLOOKUP(M255,'G-3 Multipliers'!$L$3:$N$6,3,FALSE)))</f>
        <v/>
      </c>
      <c r="P255" s="506" t="str">
        <f>IFERROR(VLOOKUP(G255,'G-1 All Habitats'!$B$2:$M$129,12,FALSE),"")</f>
        <v/>
      </c>
      <c r="Q255" s="513" t="str">
        <f>IFERROR(IF(P255="","",IF(AND(P255='G-1 All Habitats'!$X$3,T255&gt;0),U255+V255,IF(AND(P255='G-1 All Habitats'!$X$3,S255&gt;0),U255+V255,IF(AND(P255='G-1 All Habitats'!$X$3,AC255&gt;0),"Any Loss Unacceptable",IF(AND(P255='G-1 All Habitats'!$X$3,W255&gt;0),"Any Loss Unacceptable",H255*J255*L255*O255))))),"Check Data ⚠")</f>
        <v/>
      </c>
      <c r="R255" s="50"/>
      <c r="S255" s="71"/>
      <c r="T255" s="72"/>
      <c r="U255" s="511" t="str">
        <f t="shared" si="20"/>
        <v/>
      </c>
      <c r="V255" s="511" t="str">
        <f t="shared" si="21"/>
        <v/>
      </c>
      <c r="W255" s="511"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545" t="str">
        <f>IFERROR(IF(H255="","",IF(H255-S255-T255=0&lt;0,"Error in Areas ▲",IF(S255+T255&gt;H255,"Error in Areas ▲",IF(AND(P255='G-1 All Habitats'!$X$3,Y255="Yes"),"Alternative Compensation",IF(W255=0,0,IF(P255='G-1 All Habitats'!$X$3,"Unacceptable Loss",Q255-U255-V255)))))),"Check Data ⚠")</f>
        <v/>
      </c>
      <c r="Y255" s="72"/>
      <c r="Z255" s="151"/>
      <c r="AA255" s="152"/>
      <c r="AC255" s="251" t="str">
        <f>IF(P255="","",IF(P255='G-1 All Habitats'!$X$3,H255-S255-T255,"None"))</f>
        <v/>
      </c>
      <c r="AD255" s="252" t="str">
        <f t="shared" si="22"/>
        <v/>
      </c>
      <c r="AF255" s="156" t="str">
        <f t="shared" si="18"/>
        <v/>
      </c>
      <c r="AG255" s="156" t="str">
        <f t="shared" si="19"/>
        <v/>
      </c>
      <c r="AH255" s="156" t="str">
        <f>IF(I255="","",IF(#REF!&gt;0,TRUE,FALSE))</f>
        <v/>
      </c>
      <c r="AI255" s="156">
        <v>245</v>
      </c>
      <c r="AJ255" s="156"/>
      <c r="AK255" s="156" t="str">
        <f t="array" ref="AK255">IFERROR(INDEX($AI$11:$AI$259, MATCH(0, IF(TRUE=$AF$11:$AF$259, COUNTIF($AK$10:$AK254, $AI$11:$AI$259), ""), 0)),"")</f>
        <v/>
      </c>
      <c r="AL255" s="156" t="str">
        <f t="array" ref="AL255">IFERROR(INDEX($AI$11:$AI$259, MATCH(0, IF(TRUE=$AG$11:$AG$259, COUNTIF($AL$10:$AL254, $AI$11:$AI$259), ""), 0)),"")</f>
        <v/>
      </c>
      <c r="AM255" s="156" t="str">
        <f t="array" ref="AM255">IFERROR(INDEX($AI$11:$AI$259, MATCH(0, IF(TRUE=$AH$11:$AH$259, COUNTIF($AM$10:$AM254, $AI$11:$AI$259), ""), 0)),"")</f>
        <v/>
      </c>
      <c r="AQ255" s="31">
        <f t="shared" si="23"/>
        <v>0</v>
      </c>
    </row>
    <row r="256" spans="1:43" x14ac:dyDescent="0.25">
      <c r="A256" s="31" t="str">
        <f>IFERROR(INDEX('G-1 All Habitats'!$AG$3:$AG$15,MATCH(E256,'G-1 All Habitats'!$AF$3:$AF$15,0)),"")</f>
        <v/>
      </c>
      <c r="B256" s="31" t="str">
        <f>IFERROR(INDEX('G-8 Condition Look up'!$I$4:$I$130,MATCH(G256,'G-8 Condition Look up'!$A$4:$A$130,0)),"")</f>
        <v/>
      </c>
      <c r="D256" s="141">
        <v>246</v>
      </c>
      <c r="E256" s="203"/>
      <c r="F256" s="203"/>
      <c r="G256" s="250" t="str">
        <f>IFERROR(INDEX('G-1 All Habitats'!$B$3:$B$129,MATCH(F256,'G-1 All Habitats'!$A$3:$A$129,0)),"")</f>
        <v/>
      </c>
      <c r="H256" s="172"/>
      <c r="I256" s="498" t="str">
        <f>IF(G256="","",VLOOKUP(G256,'G-1 All Habitats'!$B$2:$M$129,10,FALSE))</f>
        <v/>
      </c>
      <c r="J256" s="499" t="str">
        <f>IFERROR(VLOOKUP(I256,'G-1 All Habitats'!$V$3:$W$7,2,FALSE),"")</f>
        <v/>
      </c>
      <c r="K256" s="145"/>
      <c r="L256" s="499" t="str">
        <f>IFERROR(INDEX('G-8 Condition Look up'!$A$3:$H$130,MATCH(G256,'G-8 Condition Look up'!$A$3:$A$130,0),MATCH(K256,'G-8 Condition Look up'!$A$3:$H$3,0)),"")</f>
        <v/>
      </c>
      <c r="M256" s="154"/>
      <c r="N256" s="520" t="str">
        <f>IF(M256="","",IF(VLOOKUP(M256,'G-3 Multipliers'!$L$3:$N$6,2,FALSE)=0,"Spatial Data Missing ⚠",VLOOKUP(M256,'G-3 Multipliers'!$L$3:$N$6,2,FALSE)))</f>
        <v/>
      </c>
      <c r="O256" s="524" t="str">
        <f>IF(M256="","",IF(VLOOKUP(M256,'G-3 Multipliers'!$L$3:$N$6,3,FALSE)=0,"Spatial Data Missing ⚠",VLOOKUP(M256,'G-3 Multipliers'!$L$3:$N$6,3,FALSE)))</f>
        <v/>
      </c>
      <c r="P256" s="506" t="str">
        <f>IFERROR(VLOOKUP(G256,'G-1 All Habitats'!$B$2:$M$129,12,FALSE),"")</f>
        <v/>
      </c>
      <c r="Q256" s="513" t="str">
        <f>IFERROR(IF(P256="","",IF(AND(P256='G-1 All Habitats'!$X$3,T256&gt;0),U256+V256,IF(AND(P256='G-1 All Habitats'!$X$3,S256&gt;0),U256+V256,IF(AND(P256='G-1 All Habitats'!$X$3,AC256&gt;0),"Any Loss Unacceptable",IF(AND(P256='G-1 All Habitats'!$X$3,W256&gt;0),"Any Loss Unacceptable",H256*J256*L256*O256))))),"Check Data ⚠")</f>
        <v/>
      </c>
      <c r="R256" s="50"/>
      <c r="S256" s="71"/>
      <c r="T256" s="72"/>
      <c r="U256" s="511" t="str">
        <f t="shared" si="20"/>
        <v/>
      </c>
      <c r="V256" s="511" t="str">
        <f t="shared" si="21"/>
        <v/>
      </c>
      <c r="W256" s="511"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545" t="str">
        <f>IFERROR(IF(H256="","",IF(H256-S256-T256=0&lt;0,"Error in Areas ▲",IF(S256+T256&gt;H256,"Error in Areas ▲",IF(AND(P256='G-1 All Habitats'!$X$3,Y256="Yes"),"Alternative Compensation",IF(W256=0,0,IF(P256='G-1 All Habitats'!$X$3,"Unacceptable Loss",Q256-U256-V256)))))),"Check Data ⚠")</f>
        <v/>
      </c>
      <c r="Y256" s="72"/>
      <c r="Z256" s="151"/>
      <c r="AA256" s="152"/>
      <c r="AC256" s="251" t="str">
        <f>IF(P256="","",IF(P256='G-1 All Habitats'!$X$3,H256-S256-T256,"None"))</f>
        <v/>
      </c>
      <c r="AD256" s="252" t="str">
        <f t="shared" si="22"/>
        <v/>
      </c>
      <c r="AF256" s="156" t="str">
        <f t="shared" si="18"/>
        <v/>
      </c>
      <c r="AG256" s="156" t="str">
        <f t="shared" si="19"/>
        <v/>
      </c>
      <c r="AH256" s="156" t="str">
        <f>IF(I256="","",IF(#REF!&gt;0,TRUE,FALSE))</f>
        <v/>
      </c>
      <c r="AI256" s="156">
        <v>246</v>
      </c>
      <c r="AJ256" s="156"/>
      <c r="AK256" s="156" t="str">
        <f t="array" ref="AK256">IFERROR(INDEX($AI$11:$AI$259, MATCH(0, IF(TRUE=$AF$11:$AF$259, COUNTIF($AK$10:$AK255, $AI$11:$AI$259), ""), 0)),"")</f>
        <v/>
      </c>
      <c r="AL256" s="156" t="str">
        <f t="array" ref="AL256">IFERROR(INDEX($AI$11:$AI$259, MATCH(0, IF(TRUE=$AG$11:$AG$259, COUNTIF($AL$10:$AL255, $AI$11:$AI$259), ""), 0)),"")</f>
        <v/>
      </c>
      <c r="AM256" s="156" t="str">
        <f t="array" ref="AM256">IFERROR(INDEX($AI$11:$AI$259, MATCH(0, IF(TRUE=$AH$11:$AH$259, COUNTIF($AM$10:$AM255, $AI$11:$AI$259), ""), 0)),"")</f>
        <v/>
      </c>
      <c r="AQ256" s="31">
        <f t="shared" si="23"/>
        <v>0</v>
      </c>
    </row>
    <row r="257" spans="1:43" x14ac:dyDescent="0.25">
      <c r="A257" s="31" t="str">
        <f>IFERROR(INDEX('G-1 All Habitats'!$AG$3:$AG$15,MATCH(E257,'G-1 All Habitats'!$AF$3:$AF$15,0)),"")</f>
        <v/>
      </c>
      <c r="B257" s="31" t="str">
        <f>IFERROR(INDEX('G-8 Condition Look up'!$I$4:$I$130,MATCH(G257,'G-8 Condition Look up'!$A$4:$A$130,0)),"")</f>
        <v/>
      </c>
      <c r="D257" s="141">
        <v>247</v>
      </c>
      <c r="E257" s="203"/>
      <c r="F257" s="203"/>
      <c r="G257" s="250" t="str">
        <f>IFERROR(INDEX('G-1 All Habitats'!$B$3:$B$129,MATCH(F257,'G-1 All Habitats'!$A$3:$A$129,0)),"")</f>
        <v/>
      </c>
      <c r="H257" s="172"/>
      <c r="I257" s="498" t="str">
        <f>IF(G257="","",VLOOKUP(G257,'G-1 All Habitats'!$B$2:$M$129,10,FALSE))</f>
        <v/>
      </c>
      <c r="J257" s="499" t="str">
        <f>IFERROR(VLOOKUP(I257,'G-1 All Habitats'!$V$3:$W$7,2,FALSE),"")</f>
        <v/>
      </c>
      <c r="K257" s="145"/>
      <c r="L257" s="499" t="str">
        <f>IFERROR(INDEX('G-8 Condition Look up'!$A$3:$H$130,MATCH(G257,'G-8 Condition Look up'!$A$3:$A$130,0),MATCH(K257,'G-8 Condition Look up'!$A$3:$H$3,0)),"")</f>
        <v/>
      </c>
      <c r="M257" s="154"/>
      <c r="N257" s="520" t="str">
        <f>IF(M257="","",IF(VLOOKUP(M257,'G-3 Multipliers'!$L$3:$N$6,2,FALSE)=0,"Spatial Data Missing ⚠",VLOOKUP(M257,'G-3 Multipliers'!$L$3:$N$6,2,FALSE)))</f>
        <v/>
      </c>
      <c r="O257" s="524" t="str">
        <f>IF(M257="","",IF(VLOOKUP(M257,'G-3 Multipliers'!$L$3:$N$6,3,FALSE)=0,"Spatial Data Missing ⚠",VLOOKUP(M257,'G-3 Multipliers'!$L$3:$N$6,3,FALSE)))</f>
        <v/>
      </c>
      <c r="P257" s="506" t="str">
        <f>IFERROR(VLOOKUP(G257,'G-1 All Habitats'!$B$2:$M$129,12,FALSE),"")</f>
        <v/>
      </c>
      <c r="Q257" s="513" t="str">
        <f>IFERROR(IF(P257="","",IF(AND(P257='G-1 All Habitats'!$X$3,T257&gt;0),U257+V257,IF(AND(P257='G-1 All Habitats'!$X$3,S257&gt;0),U257+V257,IF(AND(P257='G-1 All Habitats'!$X$3,AC257&gt;0),"Any Loss Unacceptable",IF(AND(P257='G-1 All Habitats'!$X$3,W257&gt;0),"Any Loss Unacceptable",H257*J257*L257*O257))))),"Check Data ⚠")</f>
        <v/>
      </c>
      <c r="R257" s="50"/>
      <c r="S257" s="71"/>
      <c r="T257" s="72"/>
      <c r="U257" s="511" t="str">
        <f t="shared" si="20"/>
        <v/>
      </c>
      <c r="V257" s="511" t="str">
        <f t="shared" si="21"/>
        <v/>
      </c>
      <c r="W257" s="511"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545" t="str">
        <f>IFERROR(IF(H257="","",IF(H257-S257-T257=0&lt;0,"Error in Areas ▲",IF(S257+T257&gt;H257,"Error in Areas ▲",IF(AND(P257='G-1 All Habitats'!$X$3,Y257="Yes"),"Alternative Compensation",IF(W257=0,0,IF(P257='G-1 All Habitats'!$X$3,"Unacceptable Loss",Q257-U257-V257)))))),"Check Data ⚠")</f>
        <v/>
      </c>
      <c r="Y257" s="72"/>
      <c r="Z257" s="151"/>
      <c r="AA257" s="152"/>
      <c r="AC257" s="251" t="str">
        <f>IF(P257="","",IF(P257='G-1 All Habitats'!$X$3,H257-S257-T257,"None"))</f>
        <v/>
      </c>
      <c r="AD257" s="252" t="str">
        <f t="shared" si="22"/>
        <v/>
      </c>
      <c r="AF257" s="156" t="str">
        <f t="shared" si="18"/>
        <v/>
      </c>
      <c r="AG257" s="156" t="str">
        <f t="shared" si="19"/>
        <v/>
      </c>
      <c r="AH257" s="156" t="str">
        <f>IF(I257="","",IF(#REF!&gt;0,TRUE,FALSE))</f>
        <v/>
      </c>
      <c r="AI257" s="156">
        <v>247</v>
      </c>
      <c r="AJ257" s="156"/>
      <c r="AK257" s="156" t="str">
        <f t="array" ref="AK257">IFERROR(INDEX($AI$11:$AI$259, MATCH(0, IF(TRUE=$AF$11:$AF$259, COUNTIF($AK$10:$AK256, $AI$11:$AI$259), ""), 0)),"")</f>
        <v/>
      </c>
      <c r="AL257" s="156" t="str">
        <f t="array" ref="AL257">IFERROR(INDEX($AI$11:$AI$259, MATCH(0, IF(TRUE=$AG$11:$AG$259, COUNTIF($AL$10:$AL256, $AI$11:$AI$259), ""), 0)),"")</f>
        <v/>
      </c>
      <c r="AM257" s="156" t="str">
        <f t="array" ref="AM257">IFERROR(INDEX($AI$11:$AI$259, MATCH(0, IF(TRUE=$AH$11:$AH$259, COUNTIF($AM$10:$AM256, $AI$11:$AI$259), ""), 0)),"")</f>
        <v/>
      </c>
      <c r="AQ257" s="31">
        <f t="shared" si="23"/>
        <v>0</v>
      </c>
    </row>
    <row r="258" spans="1:43" ht="14.4" thickBot="1" x14ac:dyDescent="0.3">
      <c r="A258" s="31" t="str">
        <f>IFERROR(INDEX('G-1 All Habitats'!$AG$3:$AG$15,MATCH(E258,'G-1 All Habitats'!$AF$3:$AF$15,0)),"")</f>
        <v/>
      </c>
      <c r="B258" s="31" t="str">
        <f>IFERROR(INDEX('G-8 Condition Look up'!$I$4:$I$130,MATCH(G258,'G-8 Condition Look up'!$A$4:$A$130,0)),"")</f>
        <v/>
      </c>
      <c r="D258" s="158">
        <v>248</v>
      </c>
      <c r="E258" s="206"/>
      <c r="F258" s="206"/>
      <c r="G258" s="376" t="str">
        <f>IFERROR(INDEX('G-1 All Habitats'!$B$3:$B$129,MATCH(F258,'G-1 All Habitats'!$A$3:$A$129,0)),"")</f>
        <v/>
      </c>
      <c r="H258" s="160"/>
      <c r="I258" s="500" t="str">
        <f>IF(G258="","",VLOOKUP(G258,'G-1 All Habitats'!$B$2:$M$129,10,FALSE))</f>
        <v/>
      </c>
      <c r="J258" s="501" t="str">
        <f>IFERROR(VLOOKUP(I258,'G-1 All Habitats'!$V$3:$W$7,2,FALSE),"")</f>
        <v/>
      </c>
      <c r="K258" s="161"/>
      <c r="L258" s="501" t="str">
        <f>IFERROR(INDEX('G-8 Condition Look up'!$A$3:$H$130,MATCH(G258,'G-8 Condition Look up'!$A$3:$A$130,0),MATCH(K258,'G-8 Condition Look up'!$A$3:$H$3,0)),"")</f>
        <v/>
      </c>
      <c r="M258" s="161"/>
      <c r="N258" s="520" t="str">
        <f>IF(M258="","",IF(VLOOKUP(M258,'G-3 Multipliers'!$L$3:$N$6,2,FALSE)=0,"Spatial Data Missing ⚠",VLOOKUP(M258,'G-3 Multipliers'!$L$3:$N$6,2,FALSE)))</f>
        <v/>
      </c>
      <c r="O258" s="524" t="str">
        <f>IF(M258="","",IF(VLOOKUP(M258,'G-3 Multipliers'!$L$3:$N$6,3,FALSE)=0,"Spatial Data Missing ⚠",VLOOKUP(M258,'G-3 Multipliers'!$L$3:$N$6,3,FALSE)))</f>
        <v/>
      </c>
      <c r="P258" s="510" t="str">
        <f>IFERROR(VLOOKUP(G258,'G-1 All Habitats'!$B$2:$M$129,12,FALSE),"")</f>
        <v/>
      </c>
      <c r="Q258" s="513" t="str">
        <f>IFERROR(IF(P258="","",IF(AND(P258='G-1 All Habitats'!$X$3,T258&gt;0),U258+V258,IF(AND(P258='G-1 All Habitats'!$X$3,S258&gt;0),U258+V258,IF(AND(P258='G-1 All Habitats'!$X$3,AC258&gt;0),"Any Loss Unacceptable",IF(AND(P258='G-1 All Habitats'!$X$3,W258&gt;0),"Any Loss Unacceptable",H258*J258*L258*O258))))),"Check Data ⚠")</f>
        <v/>
      </c>
      <c r="R258" s="50"/>
      <c r="S258" s="373"/>
      <c r="T258" s="374"/>
      <c r="U258" s="619" t="str">
        <f t="shared" si="20"/>
        <v/>
      </c>
      <c r="V258" s="619" t="str">
        <f t="shared" si="21"/>
        <v/>
      </c>
      <c r="W258" s="511"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545" t="str">
        <f>IFERROR(IF(H258="","",IF(H258-S258-T258=0&lt;0,"Error in Areas ▲",IF(S258+T258&gt;H258,"Error in Areas ▲",IF(AND(P258='G-1 All Habitats'!$X$3,Y258="Yes"),"Alternative Compensation",IF(W258=0,0,IF(P258='G-1 All Habitats'!$X$3,"Unacceptable Loss",Q258-U258-V258)))))),"Check Data ⚠")</f>
        <v/>
      </c>
      <c r="Y258" s="375"/>
      <c r="Z258" s="163"/>
      <c r="AA258" s="164"/>
      <c r="AC258" s="251" t="str">
        <f>IF(P258="","",IF(P258='G-1 All Habitats'!$X$3,H258-S258-T258,"None"))</f>
        <v/>
      </c>
      <c r="AD258" s="252" t="str">
        <f t="shared" si="22"/>
        <v/>
      </c>
      <c r="AF258" s="156" t="str">
        <f t="shared" si="18"/>
        <v/>
      </c>
      <c r="AG258" s="156" t="str">
        <f t="shared" si="19"/>
        <v/>
      </c>
      <c r="AH258" s="156" t="str">
        <f>IF(I258="","",IF(#REF!&gt;0,TRUE,FALSE))</f>
        <v/>
      </c>
      <c r="AI258" s="156">
        <v>248</v>
      </c>
      <c r="AJ258" s="156"/>
      <c r="AK258" s="156" t="str">
        <f t="array" ref="AK258">IFERROR(INDEX($AI$11:$AI$259, MATCH(0, IF(TRUE=$AF$11:$AF$259, COUNTIF($AK$10:$AK257, $AI$11:$AI$259), ""), 0)),"")</f>
        <v/>
      </c>
      <c r="AL258" s="156" t="str">
        <f t="array" ref="AL258">IFERROR(INDEX($AI$11:$AI$259, MATCH(0, IF(TRUE=$AG$11:$AG$259, COUNTIF($AL$10:$AL257, $AI$11:$AI$259), ""), 0)),"")</f>
        <v/>
      </c>
      <c r="AM258" s="156" t="str">
        <f t="array" ref="AM258">IFERROR(INDEX($AI$11:$AI$259, MATCH(0, IF(TRUE=$AH$11:$AH$259, COUNTIF($AM$10:$AM257, $AI$11:$AI$259), ""), 0)),"")</f>
        <v/>
      </c>
      <c r="AQ258" s="31">
        <f t="shared" si="23"/>
        <v>0</v>
      </c>
    </row>
    <row r="259" spans="1:43" ht="14.4" thickBot="1" x14ac:dyDescent="0.3">
      <c r="G259" s="322" t="s">
        <v>278</v>
      </c>
      <c r="H259" s="503">
        <f>IF('Detailed Results'!$K$40&gt;0,"Error ▲",SUMIFS($H$11:$H$258,$G$11:$G$258,"&lt;&gt;"&amp;'G-1 All Habitats'!B65,$G$11:$G$258,"&lt;&gt;"&amp;'G-1 All Habitats'!B66,$G$11:$G$258,"&lt;&gt;"&amp;'G-1 All Habitats'!B73))</f>
        <v>0</v>
      </c>
      <c r="N259" s="40"/>
      <c r="P259" s="173" t="s">
        <v>279</v>
      </c>
      <c r="Q259" s="618">
        <f>IF('Detailed Results'!$K$40&gt;0,"Error ▲",SUM(Q11:Q258))</f>
        <v>0</v>
      </c>
      <c r="R259" s="85"/>
      <c r="S259" s="517">
        <f>IF('Detailed Results'!$K$40&gt;0,"Error ▲",SUM(S11:S258))</f>
        <v>0</v>
      </c>
      <c r="T259" s="518">
        <f>IF('Detailed Results'!$K$40&gt;0,"Error ▲",SUM(T11:T258))</f>
        <v>0</v>
      </c>
      <c r="U259" s="518">
        <f>IF('Detailed Results'!$K$40&gt;0,"Error ▲",SUM(U11:U258))</f>
        <v>0</v>
      </c>
      <c r="V259" s="518">
        <f>IF('Detailed Results'!$K$40&gt;0,"Error ▲",SUM(V11:V258))</f>
        <v>0</v>
      </c>
      <c r="W259" s="518">
        <f>IF('Detailed Results'!$K$40&gt;0,"Error ▲",SUM(W11:W258))</f>
        <v>0</v>
      </c>
      <c r="X259" s="514">
        <f>IF('Detailed Results'!$K$40&gt;0,"Error ▲",SUM(X11:X258))</f>
        <v>0</v>
      </c>
      <c r="Y259" s="253"/>
      <c r="AQ259" s="131">
        <f>SUM(AQ11:AQ258)</f>
        <v>0</v>
      </c>
    </row>
    <row r="260" spans="1:43" ht="14.4" thickBot="1" x14ac:dyDescent="0.3">
      <c r="R260" s="166"/>
      <c r="S260" s="166"/>
      <c r="T260" s="166"/>
      <c r="U260" s="166"/>
      <c r="V260" s="166"/>
      <c r="W260" s="166"/>
      <c r="X260" s="166"/>
    </row>
    <row r="261" spans="1:43" ht="35.25" customHeight="1" thickBot="1" x14ac:dyDescent="0.3">
      <c r="D261" s="132"/>
      <c r="E261" s="132"/>
      <c r="F261" s="132"/>
      <c r="S261" s="888" t="s">
        <v>224</v>
      </c>
      <c r="T261" s="889"/>
      <c r="U261" s="889"/>
      <c r="V261" s="890"/>
      <c r="W261" s="503">
        <f>IF('Detailed Results'!$K$40&gt;0,"Error",SUMIFS($W$11:$W$258,$G$11:$G$258,"&lt;&gt;"&amp;'G-1 All Habitats'!B65,$G$11:$G$258,"&lt;&gt;"&amp;'G-1 All Habitats'!B66,$G$11:$G$258,"&lt;&gt;"&amp;'G-1 All Habitats'!B73))</f>
        <v>0</v>
      </c>
    </row>
    <row r="262" spans="1:43" x14ac:dyDescent="0.25">
      <c r="D262" s="132"/>
      <c r="E262" s="132"/>
      <c r="F262" s="132"/>
    </row>
    <row r="263" spans="1:43" x14ac:dyDescent="0.25">
      <c r="D263" s="132"/>
      <c r="E263" s="132"/>
      <c r="F263" s="132"/>
    </row>
    <row r="264" spans="1:43" x14ac:dyDescent="0.25">
      <c r="D264" s="132"/>
      <c r="E264" s="132"/>
      <c r="F264" s="132"/>
    </row>
    <row r="265" spans="1:43" x14ac:dyDescent="0.25">
      <c r="D265" s="132"/>
      <c r="E265" s="132"/>
      <c r="F265" s="132"/>
    </row>
    <row r="266" spans="1:43" x14ac:dyDescent="0.25">
      <c r="D266" s="132"/>
      <c r="E266" s="132"/>
      <c r="F266" s="132"/>
    </row>
    <row r="267" spans="1:43" x14ac:dyDescent="0.25">
      <c r="D267" s="132"/>
      <c r="E267" s="132"/>
      <c r="F267" s="132"/>
    </row>
    <row r="268" spans="1:43" x14ac:dyDescent="0.25">
      <c r="D268" s="132"/>
      <c r="E268" s="132"/>
      <c r="F268" s="132"/>
    </row>
    <row r="269" spans="1:43" x14ac:dyDescent="0.25">
      <c r="D269" s="132"/>
      <c r="E269" s="132"/>
      <c r="F269" s="132"/>
    </row>
    <row r="270" spans="1:43" x14ac:dyDescent="0.25">
      <c r="D270" s="132"/>
      <c r="E270" s="132"/>
      <c r="F270" s="132"/>
    </row>
    <row r="271" spans="1:43" x14ac:dyDescent="0.25">
      <c r="D271" s="132"/>
      <c r="E271" s="132"/>
      <c r="F271" s="132"/>
    </row>
  </sheetData>
  <sheetProtection algorithmName="SHA-512" hashValue="WOKJXOBxQs4ZW/F2/8qrn8SQkHl+wWBe1A6D64j7PRqm+rFQkonkgwPVPxKHK4R9u7Zpmhc4sewC0wbZcNHHww==" saltValue="5RFAEhV/MXB/XtWb4OBEhw=="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E9:H9"/>
    <mergeCell ref="I9:J9"/>
    <mergeCell ref="K9:L9"/>
    <mergeCell ref="D3:F4"/>
    <mergeCell ref="D2:F2"/>
    <mergeCell ref="S261:V261"/>
    <mergeCell ref="P9:P10"/>
    <mergeCell ref="Y9:Y10"/>
    <mergeCell ref="Z9:AA9"/>
    <mergeCell ref="M9:O9"/>
    <mergeCell ref="S9:X9"/>
  </mergeCells>
  <conditionalFormatting sqref="AC11:AC258">
    <cfRule type="cellIs" dxfId="222" priority="119" operator="equal">
      <formula>""</formula>
    </cfRule>
    <cfRule type="cellIs" dxfId="221" priority="120" operator="equal">
      <formula>"None"</formula>
    </cfRule>
    <cfRule type="cellIs" dxfId="220" priority="122" operator="greaterThan">
      <formula>0</formula>
    </cfRule>
  </conditionalFormatting>
  <conditionalFormatting sqref="AD12">
    <cfRule type="cellIs" dxfId="219" priority="115" operator="equal">
      <formula>"None"</formula>
    </cfRule>
    <cfRule type="cellIs" dxfId="218" priority="118" operator="equal">
      <formula>""</formula>
    </cfRule>
    <cfRule type="cellIs" dxfId="217" priority="121" operator="greaterThan">
      <formula>0</formula>
    </cfRule>
  </conditionalFormatting>
  <conditionalFormatting sqref="AC11">
    <cfRule type="cellIs" dxfId="216" priority="106" operator="equal">
      <formula>""</formula>
    </cfRule>
    <cfRule type="cellIs" dxfId="215" priority="107" operator="equal">
      <formula>"None"</formula>
    </cfRule>
    <cfRule type="cellIs" dxfId="214" priority="109" operator="greaterThan">
      <formula>0</formula>
    </cfRule>
  </conditionalFormatting>
  <conditionalFormatting sqref="AD11:AD258">
    <cfRule type="cellIs" dxfId="213" priority="102" operator="equal">
      <formula>"None"</formula>
    </cfRule>
    <cfRule type="cellIs" dxfId="212" priority="105" operator="equal">
      <formula>""</formula>
    </cfRule>
    <cfRule type="cellIs" dxfId="211" priority="108" operator="greaterThan">
      <formula>0</formula>
    </cfRule>
  </conditionalFormatting>
  <conditionalFormatting sqref="AC11:AC258">
    <cfRule type="cellIs" dxfId="210" priority="93" operator="equal">
      <formula>""</formula>
    </cfRule>
    <cfRule type="cellIs" dxfId="209" priority="94" operator="equal">
      <formula>"None"</formula>
    </cfRule>
    <cfRule type="cellIs" dxfId="208" priority="96" operator="greaterThan">
      <formula>0</formula>
    </cfRule>
  </conditionalFormatting>
  <conditionalFormatting sqref="AD13:AD258">
    <cfRule type="cellIs" dxfId="207" priority="89" operator="equal">
      <formula>"None"</formula>
    </cfRule>
    <cfRule type="cellIs" dxfId="206" priority="92" operator="equal">
      <formula>""</formula>
    </cfRule>
    <cfRule type="cellIs" dxfId="205" priority="95" operator="greaterThan">
      <formula>0</formula>
    </cfRule>
  </conditionalFormatting>
  <conditionalFormatting sqref="AC11:AC258">
    <cfRule type="cellIs" dxfId="204" priority="87" operator="equal">
      <formula>0</formula>
    </cfRule>
  </conditionalFormatting>
  <conditionalFormatting sqref="L11">
    <cfRule type="containsText" dxfId="203" priority="82" operator="containsText" text="Not Possible">
      <formula>NOT(ISERROR(SEARCH("Not Possible",L11)))</formula>
    </cfRule>
  </conditionalFormatting>
  <conditionalFormatting sqref="L12:L258">
    <cfRule type="containsText" dxfId="202" priority="70" operator="containsText" text="Not Possible">
      <formula>NOT(ISERROR(SEARCH("Not Possible",L12)))</formula>
    </cfRule>
  </conditionalFormatting>
  <conditionalFormatting sqref="N11:O258">
    <cfRule type="containsText" dxfId="201" priority="34" operator="containsText" text="Spatial">
      <formula>NOT(ISERROR(SEARCH("Spatial",N11)))</formula>
    </cfRule>
  </conditionalFormatting>
  <conditionalFormatting sqref="W11:W258">
    <cfRule type="cellIs" dxfId="200" priority="21" operator="equal">
      <formula>"Error in Areas ▲"</formula>
    </cfRule>
    <cfRule type="cellIs" dxfId="199" priority="29" operator="equal">
      <formula>"Unacceptable Loss ▲"</formula>
    </cfRule>
  </conditionalFormatting>
  <conditionalFormatting sqref="Q11:Q258">
    <cfRule type="cellIs" dxfId="198" priority="26" operator="equal">
      <formula>"Any loss Unacceptable"</formula>
    </cfRule>
  </conditionalFormatting>
  <conditionalFormatting sqref="Q11:Q258">
    <cfRule type="expression" dxfId="197" priority="28">
      <formula>"p18=""Avoid"""</formula>
    </cfRule>
  </conditionalFormatting>
  <conditionalFormatting sqref="Q11:Q258">
    <cfRule type="cellIs" dxfId="196" priority="27" operator="equal">
      <formula>"Any loss Unacceptable"</formula>
    </cfRule>
  </conditionalFormatting>
  <conditionalFormatting sqref="Q11:Q258">
    <cfRule type="cellIs" dxfId="195" priority="23" operator="equal">
      <formula>"Any loss Unacceptable"</formula>
    </cfRule>
  </conditionalFormatting>
  <conditionalFormatting sqref="Q11:Q258">
    <cfRule type="expression" dxfId="194" priority="25">
      <formula>"p18=""Avoid"""</formula>
    </cfRule>
  </conditionalFormatting>
  <conditionalFormatting sqref="Q11:Q258">
    <cfRule type="cellIs" dxfId="193" priority="24" operator="equal">
      <formula>"Any loss Unacceptable"</formula>
    </cfRule>
  </conditionalFormatting>
  <conditionalFormatting sqref="Q11:Q258">
    <cfRule type="cellIs" dxfId="192" priority="22" operator="equal">
      <formula>"Check Data ⚠"</formula>
    </cfRule>
  </conditionalFormatting>
  <conditionalFormatting sqref="Y11">
    <cfRule type="cellIs" dxfId="191" priority="30" operator="equal">
      <formula>"No"</formula>
    </cfRule>
    <cfRule type="cellIs" dxfId="190" priority="31" operator="equal">
      <formula>"Yes"</formula>
    </cfRule>
  </conditionalFormatting>
  <conditionalFormatting sqref="X11:X258">
    <cfRule type="cellIs" dxfId="189" priority="18" operator="equal">
      <formula>"Alternative Compensation"</formula>
    </cfRule>
    <cfRule type="cellIs" dxfId="188" priority="19" operator="equal">
      <formula>"Error in Areas ▲"</formula>
    </cfRule>
  </conditionalFormatting>
  <conditionalFormatting sqref="X11:X258">
    <cfRule type="cellIs" dxfId="187" priority="20" operator="equal">
      <formula>"Unacceptable Loss"</formula>
    </cfRule>
  </conditionalFormatting>
  <conditionalFormatting sqref="Y12:Y258">
    <cfRule type="cellIs" dxfId="186" priority="16" operator="equal">
      <formula>"No"</formula>
    </cfRule>
    <cfRule type="cellIs" dxfId="185" priority="17" operator="equal">
      <formula>"Yes"</formula>
    </cfRule>
  </conditionalFormatting>
  <conditionalFormatting sqref="H259">
    <cfRule type="cellIs" dxfId="184" priority="3" operator="equal">
      <formula>"Error ▲"</formula>
    </cfRule>
  </conditionalFormatting>
  <conditionalFormatting sqref="Q259">
    <cfRule type="cellIs" dxfId="183" priority="2" operator="equal">
      <formula>"Error ▲"</formula>
    </cfRule>
  </conditionalFormatting>
  <conditionalFormatting sqref="S259:X259">
    <cfRule type="cellIs" dxfId="182" priority="1" operator="equal">
      <formula>"Error ▲"</formula>
    </cfRule>
  </conditionalFormatting>
  <dataValidations count="3">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84" operator="equal" id="{99574D18-7AB8-41B9-8EC8-21122B53A41A}">
            <xm:f>'G-1 All Habitats'!$X$6</xm:f>
            <x14:dxf>
              <fill>
                <patternFill>
                  <bgColor theme="8" tint="0.59996337778862885"/>
                </patternFill>
              </fill>
            </x14:dxf>
          </x14:cfRule>
          <x14:cfRule type="cellIs" priority="131" operator="equal" id="{BC7093FB-615B-4E34-83D8-491F2586965E}">
            <xm:f>'G-1 All Habitats'!$X$5</xm:f>
            <x14:dxf>
              <fill>
                <patternFill>
                  <bgColor theme="8" tint="-0.24994659260841701"/>
                </patternFill>
              </fill>
            </x14:dxf>
          </x14:cfRule>
          <x14:cfRule type="cellIs" priority="132" operator="equal" id="{AD663CE7-2BF5-4FE8-9C44-A8F78E6556CC}">
            <xm:f>'G-1 All Habitats'!$X$4</xm:f>
            <x14:dxf>
              <fill>
                <patternFill>
                  <bgColor theme="6"/>
                </patternFill>
              </fill>
            </x14:dxf>
          </x14:cfRule>
          <x14:cfRule type="cellIs" priority="133" operator="equal" id="{5D93FC52-1B91-43E8-B3CB-E3717EE8B034}">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Y11:Y258</xm:sqref>
        </x14:dataValidation>
        <x14:dataValidation type="list" allowBlank="1" showInputMessage="1" showErrorMessage="1" xr:uid="{00000000-0002-0000-0A00-000005000000}">
          <x14:formula1>
            <xm:f>'G-1 All Habitats'!$AF$3:$AF$15</xm:f>
          </x14:formula1>
          <xm:sqref>E11:E258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I270"/>
  <sheetViews>
    <sheetView showGridLines="0" showRowColHeaders="0" topLeftCell="D1" zoomScaleNormal="100" workbookViewId="0">
      <pane ySplit="10" topLeftCell="A11" activePane="bottomLeft" state="frozen"/>
      <selection activeCell="S28" sqref="S28"/>
      <selection pane="bottomLeft" activeCell="X11" sqref="X11"/>
    </sheetView>
  </sheetViews>
  <sheetFormatPr defaultColWidth="0" defaultRowHeight="0" customHeight="1" zeroHeight="1" x14ac:dyDescent="0.25"/>
  <cols>
    <col min="1" max="1" width="18" style="31" hidden="1" customWidth="1"/>
    <col min="2" max="2" width="2.44140625" style="31" hidden="1" customWidth="1"/>
    <col min="3" max="3" width="23.44140625" style="31" hidden="1" customWidth="1"/>
    <col min="4" max="4" width="22.5546875" style="31" bestFit="1" customWidth="1"/>
    <col min="5" max="5" width="71" style="31" customWidth="1"/>
    <col min="6" max="6" width="74.109375" style="31" hidden="1" customWidth="1"/>
    <col min="7" max="7" width="13.109375" style="31" customWidth="1"/>
    <col min="8" max="8" width="18" style="31" customWidth="1"/>
    <col min="9" max="9" width="13.109375" style="31" customWidth="1"/>
    <col min="10" max="11" width="12.5546875" style="31" customWidth="1"/>
    <col min="12" max="12" width="41.33203125" style="31" customWidth="1"/>
    <col min="13" max="13" width="15.44140625" style="31" customWidth="1"/>
    <col min="14" max="14" width="12.33203125" style="31" customWidth="1"/>
    <col min="15" max="17" width="17.6640625" style="31" customWidth="1"/>
    <col min="18" max="18" width="31.109375" style="31" customWidth="1"/>
    <col min="19" max="19" width="17.6640625" style="31" customWidth="1"/>
    <col min="20" max="20" width="15.33203125" style="31" customWidth="1"/>
    <col min="21" max="21" width="13.6640625" style="31" customWidth="1"/>
    <col min="22" max="22" width="35.33203125" style="31" customWidth="1"/>
    <col min="23" max="23" width="13.6640625" style="31" customWidth="1"/>
    <col min="24" max="24" width="14.33203125" style="31" customWidth="1"/>
    <col min="25" max="25" width="91.44140625" style="31" customWidth="1"/>
    <col min="26" max="26" width="14.33203125" style="31" customWidth="1"/>
    <col min="27" max="27" width="12.6640625" style="31" customWidth="1"/>
    <col min="28" max="29" width="34.88671875" style="31" customWidth="1"/>
    <col min="30" max="30" width="12.44140625" style="31" customWidth="1"/>
    <col min="31" max="31" width="11.5546875" style="31" hidden="1" customWidth="1"/>
    <col min="32" max="32" width="11.33203125" style="31" hidden="1" customWidth="1"/>
    <col min="33" max="33" width="14.5546875" style="31" hidden="1" customWidth="1"/>
    <col min="34" max="35" width="8.88671875" style="31" hidden="1" customWidth="1"/>
    <col min="36" max="16384" width="0" style="31" hidden="1"/>
  </cols>
  <sheetData>
    <row r="1" spans="1:29" ht="14.4" thickBot="1" x14ac:dyDescent="0.3"/>
    <row r="2" spans="1:29" ht="25.95" customHeight="1" thickBot="1" x14ac:dyDescent="0.3">
      <c r="D2" s="947" t="str">
        <f>IF(Start!F12="","",Start!F12)</f>
        <v>Land at Doncaster Road, Goldthorpe, Rotherham</v>
      </c>
      <c r="E2" s="948"/>
      <c r="G2" s="242"/>
      <c r="O2" s="919" t="str">
        <f>IF(OR(COUNTIF($O$11:O256,"*30+*")&gt;0,COUNTIF($S$11:S256,"*30+*")&gt;0),"Note; Habitat selected has a time to target condition greater than 30 years. Non standard agreement may be required. ⚠","")</f>
        <v/>
      </c>
      <c r="P2" s="919"/>
      <c r="Q2" s="919"/>
      <c r="R2" s="919"/>
      <c r="S2" s="919"/>
      <c r="T2" s="919"/>
    </row>
    <row r="3" spans="1:29" ht="19.95" customHeight="1" x14ac:dyDescent="0.25">
      <c r="D3" s="941" t="str">
        <f ca="1">MID(CELL("filename",C1),FIND("]",CELL("filename",C1))+1,256)</f>
        <v>D-2 Off Site Habitat Creation</v>
      </c>
      <c r="E3" s="942"/>
      <c r="G3" s="242"/>
      <c r="O3" s="919"/>
      <c r="P3" s="919"/>
      <c r="Q3" s="919"/>
      <c r="R3" s="919"/>
      <c r="S3" s="919"/>
      <c r="T3" s="919"/>
    </row>
    <row r="4" spans="1:29" ht="15.75" customHeight="1" thickBot="1" x14ac:dyDescent="0.3">
      <c r="D4" s="944"/>
      <c r="E4" s="945"/>
      <c r="G4" s="242"/>
      <c r="M4" s="131"/>
      <c r="O4" s="399"/>
      <c r="P4" s="399"/>
      <c r="Q4" s="399"/>
      <c r="R4" s="399"/>
      <c r="S4" s="399"/>
    </row>
    <row r="5" spans="1:29" ht="29.4" customHeight="1" x14ac:dyDescent="0.3">
      <c r="M5" s="33"/>
      <c r="N5" s="193"/>
      <c r="O5" s="919" t="str">
        <f>IFERROR(IF(OR((G259-'D-1 Off Site Habitat Baseline'!W261)&gt;0.01,(G259-'D-1 Off Site Habitat Baseline'!W261)&lt;-0.01),"Check Areas - Area cross check failed (Baseline habitat lost does not match area of new habitat creation)",""),"")</f>
        <v/>
      </c>
      <c r="P5" s="919"/>
      <c r="Q5" s="919"/>
      <c r="R5" s="919"/>
      <c r="S5" s="919"/>
      <c r="T5" s="919"/>
      <c r="U5" s="400"/>
      <c r="V5" s="400"/>
    </row>
    <row r="6" spans="1:29" ht="31.2" customHeight="1" x14ac:dyDescent="0.25">
      <c r="O6" s="919"/>
      <c r="P6" s="919"/>
      <c r="Q6" s="919"/>
      <c r="R6" s="919"/>
      <c r="S6" s="919"/>
      <c r="T6" s="919"/>
    </row>
    <row r="7" spans="1:29" ht="14.4" thickBot="1" x14ac:dyDescent="0.3"/>
    <row r="8" spans="1:29" ht="14.4" thickBot="1" x14ac:dyDescent="0.3">
      <c r="D8" s="951" t="s">
        <v>225</v>
      </c>
      <c r="E8" s="952"/>
      <c r="F8" s="952"/>
      <c r="G8" s="952"/>
      <c r="H8" s="952"/>
      <c r="I8" s="952"/>
      <c r="J8" s="952"/>
      <c r="K8" s="952"/>
      <c r="L8" s="952"/>
      <c r="M8" s="952"/>
      <c r="N8" s="952"/>
      <c r="O8" s="952"/>
      <c r="P8" s="952"/>
      <c r="Q8" s="952"/>
      <c r="R8" s="952"/>
      <c r="S8" s="952"/>
      <c r="T8" s="952"/>
      <c r="U8" s="952"/>
      <c r="V8" s="952"/>
      <c r="W8" s="952"/>
      <c r="X8" s="953"/>
    </row>
    <row r="9" spans="1:29" s="42" customFormat="1" ht="15" customHeight="1" thickBot="1" x14ac:dyDescent="0.3">
      <c r="B9" s="31"/>
      <c r="C9" s="31"/>
      <c r="D9" s="880" t="s">
        <v>202</v>
      </c>
      <c r="E9" s="882" t="s">
        <v>227</v>
      </c>
      <c r="F9" s="882" t="s">
        <v>227</v>
      </c>
      <c r="G9" s="954" t="s">
        <v>205</v>
      </c>
      <c r="H9" s="880" t="s">
        <v>189</v>
      </c>
      <c r="I9" s="878" t="s">
        <v>206</v>
      </c>
      <c r="J9" s="956" t="s">
        <v>190</v>
      </c>
      <c r="K9" s="878" t="s">
        <v>206</v>
      </c>
      <c r="L9" s="940" t="s">
        <v>191</v>
      </c>
      <c r="M9" s="940"/>
      <c r="N9" s="940"/>
      <c r="O9" s="940" t="s">
        <v>251</v>
      </c>
      <c r="P9" s="940"/>
      <c r="Q9" s="940"/>
      <c r="R9" s="940"/>
      <c r="S9" s="940"/>
      <c r="T9" s="940"/>
      <c r="U9" s="940" t="s">
        <v>252</v>
      </c>
      <c r="V9" s="940"/>
      <c r="W9" s="940"/>
      <c r="X9" s="940"/>
      <c r="Y9" s="950" t="s">
        <v>280</v>
      </c>
      <c r="Z9" s="950"/>
      <c r="AA9" s="939" t="s">
        <v>230</v>
      </c>
      <c r="AB9" s="939" t="s">
        <v>196</v>
      </c>
      <c r="AC9" s="939"/>
    </row>
    <row r="10" spans="1:29" ht="41.4" x14ac:dyDescent="0.25">
      <c r="A10" s="131" t="s">
        <v>200</v>
      </c>
      <c r="C10" s="31" t="s">
        <v>281</v>
      </c>
      <c r="D10" s="881"/>
      <c r="E10" s="883"/>
      <c r="F10" s="883"/>
      <c r="G10" s="955"/>
      <c r="H10" s="881"/>
      <c r="I10" s="879"/>
      <c r="J10" s="957"/>
      <c r="K10" s="879"/>
      <c r="L10" s="368" t="s">
        <v>191</v>
      </c>
      <c r="M10" s="201" t="s">
        <v>191</v>
      </c>
      <c r="N10" s="202" t="s">
        <v>231</v>
      </c>
      <c r="O10" s="368" t="s">
        <v>232</v>
      </c>
      <c r="P10" s="201" t="s">
        <v>233</v>
      </c>
      <c r="Q10" s="201" t="s">
        <v>234</v>
      </c>
      <c r="R10" s="201" t="s">
        <v>235</v>
      </c>
      <c r="S10" s="201" t="s">
        <v>236</v>
      </c>
      <c r="T10" s="202" t="s">
        <v>237</v>
      </c>
      <c r="U10" s="368" t="s">
        <v>238</v>
      </c>
      <c r="V10" s="201" t="s">
        <v>282</v>
      </c>
      <c r="W10" s="201" t="s">
        <v>240</v>
      </c>
      <c r="X10" s="202" t="s">
        <v>241</v>
      </c>
      <c r="Y10" s="404" t="s">
        <v>283</v>
      </c>
      <c r="Z10" s="405" t="s">
        <v>280</v>
      </c>
      <c r="AA10" s="940"/>
      <c r="AB10" s="135" t="s">
        <v>215</v>
      </c>
      <c r="AC10" s="137" t="s">
        <v>216</v>
      </c>
    </row>
    <row r="11" spans="1:29" ht="13.8" x14ac:dyDescent="0.25">
      <c r="A11" s="31" t="str">
        <f>IFERROR(INDEX('G-8 Condition Look up'!$I$4:$I$130,MATCH(F11,'G-8 Condition Look up'!$A$4:$A$130,0)),"")</f>
        <v/>
      </c>
      <c r="C11" s="98" t="str">
        <f>IFERROR(INDEX('G-1 All Habitats'!$AG$3:$AG$15,MATCH(D11,'G-1 All Habitats'!$AF$3:$AF$15,0)),"")</f>
        <v/>
      </c>
      <c r="D11" s="154"/>
      <c r="E11" s="203"/>
      <c r="F11" s="243" t="str">
        <f>IFERROR(INDEX('G-1 All Habitats'!$B$3:$B$129,MATCH(E11,'G-1 All Habitats'!$A$3:$A$129,0)),"")</f>
        <v/>
      </c>
      <c r="G11" s="386"/>
      <c r="H11" s="537" t="str">
        <f>IF(F11="","",VLOOKUP(F11,'G-1 All Habitats'!$B$2:$M$129,10,FALSE))</f>
        <v/>
      </c>
      <c r="I11" s="524" t="str">
        <f>IFERROR(VLOOKUP(H11,'G-1 All Habitats'!$V$3:$W$7,2,FALSE),"")</f>
        <v/>
      </c>
      <c r="J11" s="199"/>
      <c r="K11" s="524" t="str">
        <f>IFERROR(INDEX('G-8 Condition Look up'!$A$3:$H$130,MATCH(F11,'G-8 Condition Look up'!$A$3:$A$130,0),MATCH(J11,'G-8 Condition Look up'!$A$3:$H$3,0)),"")</f>
        <v/>
      </c>
      <c r="L11" s="145"/>
      <c r="M11" s="540" t="str">
        <f>IF(L11="","",IF(VLOOKUP(L11,'G-3 Multipliers'!$L$3:$N$6,2,FALSE)=0,"Spatial Data Missing ⚠",VLOOKUP(L11,'G-3 Multipliers'!$L$3:$N$6,2,FALSE)))</f>
        <v/>
      </c>
      <c r="N11" s="499" t="str">
        <f>IF(L11="","",IF(VLOOKUP(L11,'G-3 Multipliers'!$L$3:$N$6,3,FALSE)=0,"Spatial Data Missing ⚠",VLOOKUP(L11,'G-3 Multipliers'!$L$3:$N$6,3,FALSE)))</f>
        <v/>
      </c>
      <c r="O11" s="498" t="str">
        <f>IFERROR(INDEX(TemporalData,MATCH(F11,TemporalHabitats,0),MATCH(J11,TemporalConditions,0)),"")</f>
        <v/>
      </c>
      <c r="P11" s="195"/>
      <c r="Q11" s="195"/>
      <c r="R11" s="520" t="str">
        <f>IF(E11="","",IF(AND(P11&gt;0,Q11&gt;0),"Error -both advance and delayed habitat creation ▲",IF(AND(OR(P11="Habitat already in target condition",O11&lt;=P11),Q11=0,I11&gt;0),"Check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544" t="str">
        <f>IF(R11="Error -both advance and delayed habitat creation ▲","Check Data ⚠",IF(O11="Not Possible","Check Data ⚠",IF(O11="","",IF(AND(O11="30+",P11=0),"30+ ⚠",IF(AND(O11="30+",P11="30+ ⚠"),0,IF(AND(O11="30+",P11&lt;32),30-P11,IF(O11="30+",30-P11,IF(P11&gt;O11,0,IF(Q11="30+","30+ ⚠",IF(O11+Q11&gt;30,"30+ ⚠",IF(O11+Q11&gt;30,"30+ ⚠",IF(O11-P11&gt;30,"30+ ⚠",IF(O11+Q11-P11&gt;0,O11+Q11-P11,IF(O11-P11&gt;0,O11-P11,O11+Q11-P11))))))))))))))</f>
        <v/>
      </c>
      <c r="T11" s="525" t="str">
        <f>IFERROR(IF(S11="Check Data ⚠","Check Data ⚠",VLOOKUP(S11,'G-4 Temporal multipliers'!$A$4:$C$37,3,FALSE)),"")</f>
        <v/>
      </c>
      <c r="U11" s="523" t="str">
        <f>IF(F11="","",VLOOKUP(F11,'G-3 Multipliers'!$A$2:$E$129,2,FALSE))</f>
        <v/>
      </c>
      <c r="V11" s="520"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520" t="str">
        <f>IF(E11="","",IF(AND(V11="Standard difficulty applied",O11&gt;P11),U11,IF(AND(V11="Low Difficulty - only applicable if all habitat created before losses ⚠",P11&gt;=O11),"Low",VLOOKUP(F11,'G-3 Multipliers'!$A$2:$E$129,4,FALSE))))</f>
        <v/>
      </c>
      <c r="X11" s="524" t="str">
        <f>IFERROR(IF(E11="","",VLOOKUP(W11, 'G-3 Multipliers'!$P$2:$Q$6,2,FALSE)),"")</f>
        <v/>
      </c>
      <c r="Y11" s="197"/>
      <c r="Z11" s="499" t="str">
        <f>IF(Y11="","",IF(VLOOKUP(Y11,'G-3 Multipliers'!$S$3:$T$9,2,FALSE)=0,"Spatial Data Missing ⚠",VLOOKUP(Y11,'G-3 Multipliers'!$S$3:$T$9,2,FALSE)))</f>
        <v/>
      </c>
      <c r="AA11" s="545" t="str">
        <f t="shared" ref="AA11:AA75" si="0">IFERROR(G11*I11*K11*N11*T11*X11*Z11,"")</f>
        <v/>
      </c>
      <c r="AB11" s="149"/>
      <c r="AC11" s="150"/>
    </row>
    <row r="12" spans="1:29" ht="13.8" x14ac:dyDescent="0.25">
      <c r="A12" s="31" t="str">
        <f>IFERROR(INDEX('G-8 Condition Look up'!$I$4:$I$130,MATCH(F12,'G-8 Condition Look up'!$A$4:$A$130,0)),"")</f>
        <v/>
      </c>
      <c r="C12" s="244" t="str">
        <f>IFERROR(INDEX('G-1 All Habitats'!$AG$3:$AG$15,MATCH(D12,'G-1 All Habitats'!$AF$3:$AF$15,0)),"")</f>
        <v/>
      </c>
      <c r="D12" s="154"/>
      <c r="E12" s="203"/>
      <c r="F12" s="243" t="str">
        <f>IFERROR(INDEX('G-1 All Habitats'!$B$3:$B$129,MATCH(E12,'G-1 All Habitats'!$A$3:$A$129,0)),"")</f>
        <v/>
      </c>
      <c r="G12" s="386"/>
      <c r="H12" s="537" t="str">
        <f>IF(F12="","",VLOOKUP(F12,'G-1 All Habitats'!$B$2:$M$129,10,FALSE))</f>
        <v/>
      </c>
      <c r="I12" s="524" t="str">
        <f>IFERROR(VLOOKUP(H12,'G-1 All Habitats'!$V$3:$W$7,2,FALSE),"")</f>
        <v/>
      </c>
      <c r="J12" s="199"/>
      <c r="K12" s="524" t="str">
        <f>IFERROR(INDEX('G-8 Condition Look up'!$A$3:$H$130,MATCH(F12,'G-8 Condition Look up'!$A$3:$A$130,0),MATCH(J12,'G-8 Condition Look up'!$A$3:$H$3,0)),"")</f>
        <v/>
      </c>
      <c r="L12" s="145"/>
      <c r="M12" s="540" t="str">
        <f>IF(L12="","",IF(VLOOKUP(L12,'G-3 Multipliers'!$L$3:$N$6,2,FALSE)=0,"Spatial Data Missing ⚠",VLOOKUP(L12,'G-3 Multipliers'!$L$3:$N$6,2,FALSE)))</f>
        <v/>
      </c>
      <c r="N12" s="499" t="str">
        <f>IF(L12="","",IF(VLOOKUP(L12,'G-3 Multipliers'!$L$3:$N$6,3,FALSE)=0,"Spatial Data Missing ⚠",VLOOKUP(L12,'G-3 Multipliers'!$L$3:$N$6,3,FALSE)))</f>
        <v/>
      </c>
      <c r="O12" s="498" t="str">
        <f t="shared" ref="O12:O74" si="1">IFERROR(INDEX(TemporalData,MATCH(F12,TemporalHabitats,0),MATCH(J12,TemporalConditions,0)),"")</f>
        <v/>
      </c>
      <c r="P12" s="195"/>
      <c r="Q12" s="195"/>
      <c r="R12" s="520" t="str">
        <f t="shared" ref="R12:R75" si="2">IF(E12="","",IF(AND(P12&gt;0,Q12&gt;0),"Error -both advance and delayed habitat creation ▲",IF(AND(OR(P12="Habitat already in target condition",O12&lt;=P12),Q12=0,I12&gt;0),"Check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544" t="str">
        <f t="shared" ref="S12:S75" si="3">IF(R12="Error -both advance and delayed habitat creation ▲","Check Data ⚠",IF(O12="Not Possible","Check Data ⚠",IF(O12="","",IF(AND(O12="30+",P12=0),"30+ ⚠",IF(AND(O12="30+",P12="30+ ⚠"),0,IF(AND(O12="30+",P12&lt;32),30-P12,IF(O12="30+",30-P12,IF(P12&gt;O12,0,IF(Q12="30+","30+ ⚠",IF(O12+Q12&gt;30,"30+ ⚠",IF(O12+Q12&gt;30,"30+ ⚠",IF(O12-P12&gt;30,"30+ ⚠",IF(O12+Q12-P12&gt;0,O12+Q12-P12,IF(O12-P12&gt;0,O12-P12,O12+Q12-P12))))))))))))))</f>
        <v/>
      </c>
      <c r="T12" s="525" t="str">
        <f>IFERROR(IF(S12="Check Data ⚠","Check Data ⚠",VLOOKUP(S12,'G-4 Temporal multipliers'!$A$4:$C$37,3,FALSE)),"")</f>
        <v/>
      </c>
      <c r="U12" s="523" t="str">
        <f>IF(F12="","",VLOOKUP(F12,'G-3 Multipliers'!$A$2:$E$129,2,FALSE))</f>
        <v/>
      </c>
      <c r="V12" s="520"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520" t="str">
        <f>IF(E12="","",IF(AND(V12="Standard difficulty applied",O12&gt;P12),U12,IF(AND(V12="Low Difficulty - only applicable if all habitat created before losses ⚠",P12&gt;=O12),"Low",VLOOKUP(F12,'G-3 Multipliers'!$A$2:$E$129,4,FALSE))))</f>
        <v/>
      </c>
      <c r="X12" s="524" t="str">
        <f>IFERROR(IF(E12="","",VLOOKUP(W12, 'G-3 Multipliers'!$P$2:$Q$6,2,FALSE)),"")</f>
        <v/>
      </c>
      <c r="Y12" s="197"/>
      <c r="Z12" s="499" t="str">
        <f>IF(Y12="","",IF(VLOOKUP(Y12,'G-3 Multipliers'!$S$3:$T$9,2,FALSE)=0,"Spatial Data Missing ⚠",VLOOKUP(Y12,'G-3 Multipliers'!$S$3:$T$9,2,FALSE)))</f>
        <v/>
      </c>
      <c r="AA12" s="545" t="str">
        <f t="shared" si="0"/>
        <v/>
      </c>
      <c r="AB12" s="149"/>
      <c r="AC12" s="150"/>
    </row>
    <row r="13" spans="1:29" ht="13.8" x14ac:dyDescent="0.25">
      <c r="A13" s="31" t="str">
        <f>IFERROR(INDEX('G-8 Condition Look up'!$I$4:$I$130,MATCH(F13,'G-8 Condition Look up'!$A$4:$A$130,0)),"")</f>
        <v/>
      </c>
      <c r="C13" s="244" t="str">
        <f>IFERROR(INDEX('G-1 All Habitats'!$AG$3:$AG$15,MATCH(D13,'G-1 All Habitats'!$AF$3:$AF$15,0)),"")</f>
        <v/>
      </c>
      <c r="D13" s="154"/>
      <c r="E13" s="203"/>
      <c r="F13" s="243" t="str">
        <f>IFERROR(INDEX('G-1 All Habitats'!$B$3:$B$129,MATCH(E13,'G-1 All Habitats'!$A$3:$A$129,0)),"")</f>
        <v/>
      </c>
      <c r="G13" s="386"/>
      <c r="H13" s="537" t="str">
        <f>IF(F13="","",VLOOKUP(F13,'G-1 All Habitats'!$B$2:$M$129,10,FALSE))</f>
        <v/>
      </c>
      <c r="I13" s="524" t="str">
        <f>IFERROR(VLOOKUP(H13,'G-1 All Habitats'!$V$3:$W$7,2,FALSE),"")</f>
        <v/>
      </c>
      <c r="J13" s="199"/>
      <c r="K13" s="524" t="str">
        <f>IFERROR(INDEX('G-8 Condition Look up'!$A$3:$H$130,MATCH(F13,'G-8 Condition Look up'!$A$3:$A$130,0),MATCH(J13,'G-8 Condition Look up'!$A$3:$H$3,0)),"")</f>
        <v/>
      </c>
      <c r="L13" s="145"/>
      <c r="M13" s="540" t="str">
        <f>IF(L13="","",IF(VLOOKUP(L13,'G-3 Multipliers'!$L$3:$N$6,2,FALSE)=0,"Spatial Data Missing ⚠",VLOOKUP(L13,'G-3 Multipliers'!$L$3:$N$6,2,FALSE)))</f>
        <v/>
      </c>
      <c r="N13" s="499" t="str">
        <f>IF(L13="","",IF(VLOOKUP(L13,'G-3 Multipliers'!$L$3:$N$6,3,FALSE)=0,"Spatial Data Missing ⚠",VLOOKUP(L13,'G-3 Multipliers'!$L$3:$N$6,3,FALSE)))</f>
        <v/>
      </c>
      <c r="O13" s="498" t="str">
        <f t="shared" si="1"/>
        <v/>
      </c>
      <c r="P13" s="195"/>
      <c r="Q13" s="195"/>
      <c r="R13" s="520" t="str">
        <f t="shared" si="2"/>
        <v/>
      </c>
      <c r="S13" s="544" t="str">
        <f t="shared" si="3"/>
        <v/>
      </c>
      <c r="T13" s="525" t="str">
        <f>IFERROR(IF(S13="Check Data ⚠","Check Data ⚠",VLOOKUP(S13,'G-4 Temporal multipliers'!$A$4:$C$37,3,FALSE)),"")</f>
        <v/>
      </c>
      <c r="U13" s="523" t="str">
        <f>IF(F13="","",VLOOKUP(F13,'G-3 Multipliers'!$A$2:$E$129,2,FALSE))</f>
        <v/>
      </c>
      <c r="V13" s="520" t="str">
        <f t="shared" ref="V13:V76" si="4">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520" t="str">
        <f>IF(E13="","",IF(AND(V13="Standard difficulty applied",O13&gt;P13),U13,IF(AND(V13="Low Difficulty - only applicable if all habitat created before losses ⚠",P13&gt;=O13),"Low",VLOOKUP(F13,'G-3 Multipliers'!$A$2:$E$129,4,FALSE))))</f>
        <v/>
      </c>
      <c r="X13" s="524" t="str">
        <f>IFERROR(IF(E13="","",VLOOKUP(W13, 'G-3 Multipliers'!$P$2:$Q$6,2,FALSE)),"")</f>
        <v/>
      </c>
      <c r="Y13" s="197"/>
      <c r="Z13" s="499" t="str">
        <f>IF(Y13="","",IF(VLOOKUP(Y13,'G-3 Multipliers'!$S$3:$T$9,2,FALSE)=0,"Spatial Data Missing ⚠",VLOOKUP(Y13,'G-3 Multipliers'!$S$3:$T$9,2,FALSE)))</f>
        <v/>
      </c>
      <c r="AA13" s="545" t="str">
        <f t="shared" si="0"/>
        <v/>
      </c>
      <c r="AB13" s="149"/>
      <c r="AC13" s="150"/>
    </row>
    <row r="14" spans="1:29" ht="13.8" x14ac:dyDescent="0.25">
      <c r="A14" s="31" t="str">
        <f>IFERROR(INDEX('G-8 Condition Look up'!$I$4:$I$130,MATCH(F14,'G-8 Condition Look up'!$A$4:$A$130,0)),"")</f>
        <v/>
      </c>
      <c r="C14" s="244" t="str">
        <f>IFERROR(INDEX('G-1 All Habitats'!$AG$3:$AG$15,MATCH(D14,'G-1 All Habitats'!$AF$3:$AF$15,0)),"")</f>
        <v/>
      </c>
      <c r="D14" s="154"/>
      <c r="E14" s="203"/>
      <c r="F14" s="243" t="str">
        <f>IFERROR(INDEX('G-1 All Habitats'!$B$3:$B$129,MATCH(E14,'G-1 All Habitats'!$A$3:$A$129,0)),"")</f>
        <v/>
      </c>
      <c r="G14" s="386"/>
      <c r="H14" s="537" t="str">
        <f>IF(F14="","",VLOOKUP(F14,'G-1 All Habitats'!$B$2:$M$129,10,FALSE))</f>
        <v/>
      </c>
      <c r="I14" s="524" t="str">
        <f>IFERROR(VLOOKUP(H14,'G-1 All Habitats'!$V$3:$W$7,2,FALSE),"")</f>
        <v/>
      </c>
      <c r="J14" s="199"/>
      <c r="K14" s="524" t="str">
        <f>IFERROR(INDEX('G-8 Condition Look up'!$A$3:$H$130,MATCH(F14,'G-8 Condition Look up'!$A$3:$A$130,0),MATCH(J14,'G-8 Condition Look up'!$A$3:$H$3,0)),"")</f>
        <v/>
      </c>
      <c r="L14" s="145"/>
      <c r="M14" s="540" t="str">
        <f>IF(L14="","",IF(VLOOKUP(L14,'G-3 Multipliers'!$L$3:$N$6,2,FALSE)=0,"Spatial Data Missing ⚠",VLOOKUP(L14,'G-3 Multipliers'!$L$3:$N$6,2,FALSE)))</f>
        <v/>
      </c>
      <c r="N14" s="499" t="str">
        <f>IF(L14="","",IF(VLOOKUP(L14,'G-3 Multipliers'!$L$3:$N$6,3,FALSE)=0,"Spatial Data Missing ⚠",VLOOKUP(L14,'G-3 Multipliers'!$L$3:$N$6,3,FALSE)))</f>
        <v/>
      </c>
      <c r="O14" s="498" t="str">
        <f t="shared" si="1"/>
        <v/>
      </c>
      <c r="P14" s="195"/>
      <c r="Q14" s="195"/>
      <c r="R14" s="520" t="str">
        <f t="shared" si="2"/>
        <v/>
      </c>
      <c r="S14" s="544" t="str">
        <f t="shared" si="3"/>
        <v/>
      </c>
      <c r="T14" s="525" t="str">
        <f>IFERROR(IF(S14="Check Data ⚠","Check Data ⚠",VLOOKUP(S14,'G-4 Temporal multipliers'!$A$4:$C$37,3,FALSE)),"")</f>
        <v/>
      </c>
      <c r="U14" s="523" t="str">
        <f>IF(F14="","",VLOOKUP(F14,'G-3 Multipliers'!$A$2:$E$129,2,FALSE))</f>
        <v/>
      </c>
      <c r="V14" s="520" t="str">
        <f t="shared" si="4"/>
        <v/>
      </c>
      <c r="W14" s="520" t="str">
        <f>IF(E14="","",IF(AND(V14="Standard difficulty applied",O14&gt;P14),U14,IF(AND(V14="Low Difficulty - only applicable if all habitat created before losses ⚠",P14&gt;=O14),"Low",VLOOKUP(F14,'G-3 Multipliers'!$A$2:$E$129,4,FALSE))))</f>
        <v/>
      </c>
      <c r="X14" s="524" t="str">
        <f>IFERROR(IF(E14="","",VLOOKUP(W14, 'G-3 Multipliers'!$P$2:$Q$6,2,FALSE)),"")</f>
        <v/>
      </c>
      <c r="Y14" s="197"/>
      <c r="Z14" s="499" t="str">
        <f>IF(Y14="","",IF(VLOOKUP(Y14,'G-3 Multipliers'!$S$3:$T$9,2,FALSE)=0,"Spatial Data Missing ⚠",VLOOKUP(Y14,'G-3 Multipliers'!$S$3:$T$9,2,FALSE)))</f>
        <v/>
      </c>
      <c r="AA14" s="545" t="str">
        <f t="shared" si="0"/>
        <v/>
      </c>
      <c r="AB14" s="149"/>
      <c r="AC14" s="150"/>
    </row>
    <row r="15" spans="1:29" ht="13.8" x14ac:dyDescent="0.25">
      <c r="A15" s="31" t="str">
        <f>IFERROR(INDEX('G-8 Condition Look up'!$I$4:$I$130,MATCH(F15,'G-8 Condition Look up'!$A$4:$A$130,0)),"")</f>
        <v/>
      </c>
      <c r="C15" s="244" t="str">
        <f>IFERROR(INDEX('G-1 All Habitats'!$AG$3:$AG$15,MATCH(D15,'G-1 All Habitats'!$AF$3:$AF$15,0)),"")</f>
        <v/>
      </c>
      <c r="D15" s="154"/>
      <c r="E15" s="203"/>
      <c r="F15" s="243" t="str">
        <f>IFERROR(INDEX('G-1 All Habitats'!$B$3:$B$129,MATCH(E15,'G-1 All Habitats'!$A$3:$A$129,0)),"")</f>
        <v/>
      </c>
      <c r="G15" s="386"/>
      <c r="H15" s="537" t="str">
        <f>IF(F15="","",VLOOKUP(F15,'G-1 All Habitats'!$B$2:$M$129,10,FALSE))</f>
        <v/>
      </c>
      <c r="I15" s="524" t="str">
        <f>IFERROR(VLOOKUP(H15,'G-1 All Habitats'!$V$3:$W$7,2,FALSE),"")</f>
        <v/>
      </c>
      <c r="J15" s="199"/>
      <c r="K15" s="524" t="str">
        <f>IFERROR(INDEX('G-8 Condition Look up'!$A$3:$H$130,MATCH(F15,'G-8 Condition Look up'!$A$3:$A$130,0),MATCH(J15,'G-8 Condition Look up'!$A$3:$H$3,0)),"")</f>
        <v/>
      </c>
      <c r="L15" s="145"/>
      <c r="M15" s="540" t="str">
        <f>IF(L15="","",IF(VLOOKUP(L15,'G-3 Multipliers'!$L$3:$N$6,2,FALSE)=0,"Spatial Data Missing ⚠",VLOOKUP(L15,'G-3 Multipliers'!$L$3:$N$6,2,FALSE)))</f>
        <v/>
      </c>
      <c r="N15" s="499" t="str">
        <f>IF(L15="","",IF(VLOOKUP(L15,'G-3 Multipliers'!$L$3:$N$6,3,FALSE)=0,"Spatial Data Missing ⚠",VLOOKUP(L15,'G-3 Multipliers'!$L$3:$N$6,3,FALSE)))</f>
        <v/>
      </c>
      <c r="O15" s="498" t="str">
        <f t="shared" si="1"/>
        <v/>
      </c>
      <c r="P15" s="195"/>
      <c r="Q15" s="195"/>
      <c r="R15" s="520" t="str">
        <f t="shared" si="2"/>
        <v/>
      </c>
      <c r="S15" s="544" t="str">
        <f t="shared" si="3"/>
        <v/>
      </c>
      <c r="T15" s="525" t="str">
        <f>IFERROR(IF(S15="Check Data ⚠","Check Data ⚠",VLOOKUP(S15,'G-4 Temporal multipliers'!$A$4:$C$37,3,FALSE)),"")</f>
        <v/>
      </c>
      <c r="U15" s="523" t="str">
        <f>IF(F15="","",VLOOKUP(F15,'G-3 Multipliers'!$A$2:$E$129,2,FALSE))</f>
        <v/>
      </c>
      <c r="V15" s="520" t="str">
        <f t="shared" si="4"/>
        <v/>
      </c>
      <c r="W15" s="520" t="str">
        <f>IF(E15="","",IF(AND(V15="Standard difficulty applied",O15&gt;P15),U15,IF(AND(V15="Low Difficulty - only applicable if all habitat created before losses ⚠",P15&gt;=O15),"Low",VLOOKUP(F15,'G-3 Multipliers'!$A$2:$E$129,4,FALSE))))</f>
        <v/>
      </c>
      <c r="X15" s="524" t="str">
        <f>IFERROR(IF(E15="","",VLOOKUP(W15, 'G-3 Multipliers'!$P$2:$Q$6,2,FALSE)),"")</f>
        <v/>
      </c>
      <c r="Y15" s="197"/>
      <c r="Z15" s="499" t="str">
        <f>IF(Y15="","",IF(VLOOKUP(Y15,'G-3 Multipliers'!$S$3:$T$9,2,FALSE)=0,"Spatial Data Missing ⚠",VLOOKUP(Y15,'G-3 Multipliers'!$S$3:$T$9,2,FALSE)))</f>
        <v/>
      </c>
      <c r="AA15" s="545" t="str">
        <f t="shared" si="0"/>
        <v/>
      </c>
      <c r="AB15" s="149"/>
      <c r="AC15" s="150"/>
    </row>
    <row r="16" spans="1:29" ht="13.8" x14ac:dyDescent="0.25">
      <c r="A16" s="31" t="str">
        <f>IFERROR(INDEX('G-8 Condition Look up'!$I$4:$I$130,MATCH(F16,'G-8 Condition Look up'!$A$4:$A$130,0)),"")</f>
        <v/>
      </c>
      <c r="C16" s="244" t="str">
        <f>IFERROR(INDEX('G-1 All Habitats'!$AG$3:$AG$15,MATCH(D16,'G-1 All Habitats'!$AF$3:$AF$15,0)),"")</f>
        <v/>
      </c>
      <c r="D16" s="154"/>
      <c r="E16" s="203"/>
      <c r="F16" s="243" t="str">
        <f>IFERROR(INDEX('G-1 All Habitats'!$B$3:$B$129,MATCH(E16,'G-1 All Habitats'!$A$3:$A$129,0)),"")</f>
        <v/>
      </c>
      <c r="G16" s="386"/>
      <c r="H16" s="537" t="str">
        <f>IF(F16="","",VLOOKUP(F16,'G-1 All Habitats'!$B$2:$M$129,10,FALSE))</f>
        <v/>
      </c>
      <c r="I16" s="524" t="str">
        <f>IFERROR(VLOOKUP(H16,'G-1 All Habitats'!$V$3:$W$7,2,FALSE),"")</f>
        <v/>
      </c>
      <c r="J16" s="199"/>
      <c r="K16" s="524" t="str">
        <f>IFERROR(INDEX('G-8 Condition Look up'!$A$3:$H$130,MATCH(F16,'G-8 Condition Look up'!$A$3:$A$130,0),MATCH(J16,'G-8 Condition Look up'!$A$3:$H$3,0)),"")</f>
        <v/>
      </c>
      <c r="L16" s="145"/>
      <c r="M16" s="540" t="str">
        <f>IF(L16="","",IF(VLOOKUP(L16,'G-3 Multipliers'!$L$3:$N$6,2,FALSE)=0,"Spatial Data Missing ⚠",VLOOKUP(L16,'G-3 Multipliers'!$L$3:$N$6,2,FALSE)))</f>
        <v/>
      </c>
      <c r="N16" s="499" t="str">
        <f>IF(L16="","",IF(VLOOKUP(L16,'G-3 Multipliers'!$L$3:$N$6,3,FALSE)=0,"Spatial Data Missing ⚠",VLOOKUP(L16,'G-3 Multipliers'!$L$3:$N$6,3,FALSE)))</f>
        <v/>
      </c>
      <c r="O16" s="498" t="str">
        <f t="shared" si="1"/>
        <v/>
      </c>
      <c r="P16" s="195"/>
      <c r="Q16" s="195"/>
      <c r="R16" s="520" t="str">
        <f t="shared" si="2"/>
        <v/>
      </c>
      <c r="S16" s="544" t="str">
        <f t="shared" si="3"/>
        <v/>
      </c>
      <c r="T16" s="525" t="str">
        <f>IFERROR(IF(S16="Check Data ⚠","Check Data ⚠",VLOOKUP(S16,'G-4 Temporal multipliers'!$A$4:$C$37,3,FALSE)),"")</f>
        <v/>
      </c>
      <c r="U16" s="523" t="str">
        <f>IF(F16="","",VLOOKUP(F16,'G-3 Multipliers'!$A$2:$E$129,2,FALSE))</f>
        <v/>
      </c>
      <c r="V16" s="520" t="str">
        <f t="shared" si="4"/>
        <v/>
      </c>
      <c r="W16" s="520" t="str">
        <f>IF(E16="","",IF(AND(V16="Standard difficulty applied",O16&gt;P16),U16,IF(AND(V16="Low Difficulty - only applicable if all habitat created before losses ⚠",P16&gt;=O16),"Low",VLOOKUP(F16,'G-3 Multipliers'!$A$2:$E$129,4,FALSE))))</f>
        <v/>
      </c>
      <c r="X16" s="524" t="str">
        <f>IFERROR(IF(E16="","",VLOOKUP(W16, 'G-3 Multipliers'!$P$2:$Q$6,2,FALSE)),"")</f>
        <v/>
      </c>
      <c r="Y16" s="197"/>
      <c r="Z16" s="499" t="str">
        <f>IF(Y16="","",IF(VLOOKUP(Y16,'G-3 Multipliers'!$S$3:$T$9,2,FALSE)=0,"Spatial Data Missing ⚠",VLOOKUP(Y16,'G-3 Multipliers'!$S$3:$T$9,2,FALSE)))</f>
        <v/>
      </c>
      <c r="AA16" s="545" t="str">
        <f t="shared" si="0"/>
        <v/>
      </c>
      <c r="AB16" s="149"/>
      <c r="AC16" s="150"/>
    </row>
    <row r="17" spans="1:29" ht="13.8" x14ac:dyDescent="0.25">
      <c r="A17" s="31" t="str">
        <f>IFERROR(INDEX('G-8 Condition Look up'!$I$4:$I$130,MATCH(F17,'G-8 Condition Look up'!$A$4:$A$130,0)),"")</f>
        <v/>
      </c>
      <c r="C17" s="244" t="str">
        <f>IFERROR(INDEX('G-1 All Habitats'!$AG$3:$AG$15,MATCH(D17,'G-1 All Habitats'!$AF$3:$AF$15,0)),"")</f>
        <v/>
      </c>
      <c r="D17" s="154"/>
      <c r="E17" s="203"/>
      <c r="F17" s="243" t="str">
        <f>IFERROR(INDEX('G-1 All Habitats'!$B$3:$B$129,MATCH(E17,'G-1 All Habitats'!$A$3:$A$129,0)),"")</f>
        <v/>
      </c>
      <c r="G17" s="386"/>
      <c r="H17" s="537" t="str">
        <f>IF(F17="","",VLOOKUP(F17,'G-1 All Habitats'!$B$2:$M$129,10,FALSE))</f>
        <v/>
      </c>
      <c r="I17" s="524" t="str">
        <f>IFERROR(VLOOKUP(H17,'G-1 All Habitats'!$V$3:$W$7,2,FALSE),"")</f>
        <v/>
      </c>
      <c r="J17" s="199"/>
      <c r="K17" s="524" t="str">
        <f>IFERROR(INDEX('G-8 Condition Look up'!$A$3:$H$130,MATCH(F17,'G-8 Condition Look up'!$A$3:$A$130,0),MATCH(J17,'G-8 Condition Look up'!$A$3:$H$3,0)),"")</f>
        <v/>
      </c>
      <c r="L17" s="145"/>
      <c r="M17" s="540" t="str">
        <f>IF(L17="","",IF(VLOOKUP(L17,'G-3 Multipliers'!$L$3:$N$6,2,FALSE)=0,"Spatial Data Missing ⚠",VLOOKUP(L17,'G-3 Multipliers'!$L$3:$N$6,2,FALSE)))</f>
        <v/>
      </c>
      <c r="N17" s="499" t="str">
        <f>IF(L17="","",IF(VLOOKUP(L17,'G-3 Multipliers'!$L$3:$N$6,3,FALSE)=0,"Spatial Data Missing ⚠",VLOOKUP(L17,'G-3 Multipliers'!$L$3:$N$6,3,FALSE)))</f>
        <v/>
      </c>
      <c r="O17" s="498" t="str">
        <f t="shared" si="1"/>
        <v/>
      </c>
      <c r="P17" s="195"/>
      <c r="Q17" s="195"/>
      <c r="R17" s="520" t="str">
        <f t="shared" si="2"/>
        <v/>
      </c>
      <c r="S17" s="544" t="str">
        <f t="shared" si="3"/>
        <v/>
      </c>
      <c r="T17" s="525" t="str">
        <f>IFERROR(IF(S17="Check Data ⚠","Check Data ⚠",VLOOKUP(S17,'G-4 Temporal multipliers'!$A$4:$C$37,3,FALSE)),"")</f>
        <v/>
      </c>
      <c r="U17" s="523" t="str">
        <f>IF(F17="","",VLOOKUP(F17,'G-3 Multipliers'!$A$2:$E$129,2,FALSE))</f>
        <v/>
      </c>
      <c r="V17" s="520" t="str">
        <f t="shared" si="4"/>
        <v/>
      </c>
      <c r="W17" s="520" t="str">
        <f>IF(E17="","",IF(AND(V17="Standard difficulty applied",O17&gt;P17),U17,IF(AND(V17="Low Difficulty - only applicable if all habitat created before losses ⚠",P17&gt;=O17),"Low",VLOOKUP(F17,'G-3 Multipliers'!$A$2:$E$129,4,FALSE))))</f>
        <v/>
      </c>
      <c r="X17" s="524" t="str">
        <f>IFERROR(IF(E17="","",VLOOKUP(W17, 'G-3 Multipliers'!$P$2:$Q$6,2,FALSE)),"")</f>
        <v/>
      </c>
      <c r="Y17" s="197"/>
      <c r="Z17" s="499" t="str">
        <f>IF(Y17="","",IF(VLOOKUP(Y17,'G-3 Multipliers'!$S$3:$T$9,2,FALSE)=0,"Spatial Data Missing ⚠",VLOOKUP(Y17,'G-3 Multipliers'!$S$3:$T$9,2,FALSE)))</f>
        <v/>
      </c>
      <c r="AA17" s="545" t="str">
        <f t="shared" si="0"/>
        <v/>
      </c>
      <c r="AB17" s="149"/>
      <c r="AC17" s="150"/>
    </row>
    <row r="18" spans="1:29" ht="13.8" x14ac:dyDescent="0.25">
      <c r="A18" s="31" t="str">
        <f>IFERROR(INDEX('G-8 Condition Look up'!$I$4:$I$130,MATCH(F18,'G-8 Condition Look up'!$A$4:$A$130,0)),"")</f>
        <v/>
      </c>
      <c r="C18" s="244" t="str">
        <f>IFERROR(INDEX('G-1 All Habitats'!$AG$3:$AG$15,MATCH(D18,'G-1 All Habitats'!$AF$3:$AF$15,0)),"")</f>
        <v/>
      </c>
      <c r="D18" s="154"/>
      <c r="E18" s="203"/>
      <c r="F18" s="243" t="str">
        <f>IFERROR(INDEX('G-1 All Habitats'!$B$3:$B$129,MATCH(E18,'G-1 All Habitats'!$A$3:$A$129,0)),"")</f>
        <v/>
      </c>
      <c r="G18" s="386"/>
      <c r="H18" s="537" t="str">
        <f>IF(F18="","",VLOOKUP(F18,'G-1 All Habitats'!$B$2:$M$129,10,FALSE))</f>
        <v/>
      </c>
      <c r="I18" s="524" t="str">
        <f>IFERROR(VLOOKUP(H18,'G-1 All Habitats'!$V$3:$W$7,2,FALSE),"")</f>
        <v/>
      </c>
      <c r="J18" s="199"/>
      <c r="K18" s="524" t="str">
        <f>IFERROR(INDEX('G-8 Condition Look up'!$A$3:$H$130,MATCH(F18,'G-8 Condition Look up'!$A$3:$A$130,0),MATCH(J18,'G-8 Condition Look up'!$A$3:$H$3,0)),"")</f>
        <v/>
      </c>
      <c r="L18" s="145"/>
      <c r="M18" s="540" t="str">
        <f>IF(L18="","",IF(VLOOKUP(L18,'G-3 Multipliers'!$L$3:$N$6,2,FALSE)=0,"Spatial Data Missing ⚠",VLOOKUP(L18,'G-3 Multipliers'!$L$3:$N$6,2,FALSE)))</f>
        <v/>
      </c>
      <c r="N18" s="499" t="str">
        <f>IF(L18="","",IF(VLOOKUP(L18,'G-3 Multipliers'!$L$3:$N$6,3,FALSE)=0,"Spatial Data Missing ⚠",VLOOKUP(L18,'G-3 Multipliers'!$L$3:$N$6,3,FALSE)))</f>
        <v/>
      </c>
      <c r="O18" s="498" t="str">
        <f t="shared" si="1"/>
        <v/>
      </c>
      <c r="P18" s="195"/>
      <c r="Q18" s="195"/>
      <c r="R18" s="520" t="str">
        <f t="shared" si="2"/>
        <v/>
      </c>
      <c r="S18" s="544" t="str">
        <f t="shared" si="3"/>
        <v/>
      </c>
      <c r="T18" s="525" t="str">
        <f>IFERROR(IF(S18="Check Data ⚠","Check Data ⚠",VLOOKUP(S18,'G-4 Temporal multipliers'!$A$4:$C$37,3,FALSE)),"")</f>
        <v/>
      </c>
      <c r="U18" s="523" t="str">
        <f>IF(F18="","",VLOOKUP(F18,'G-3 Multipliers'!$A$2:$E$129,2,FALSE))</f>
        <v/>
      </c>
      <c r="V18" s="520" t="str">
        <f t="shared" si="4"/>
        <v/>
      </c>
      <c r="W18" s="520" t="str">
        <f>IF(E18="","",IF(AND(V18="Standard difficulty applied",O18&gt;P18),U18,IF(AND(V18="Low Difficulty - only applicable if all habitat created before losses ⚠",P18&gt;=O18),"Low",VLOOKUP(F18,'G-3 Multipliers'!$A$2:$E$129,4,FALSE))))</f>
        <v/>
      </c>
      <c r="X18" s="524" t="str">
        <f>IFERROR(IF(E18="","",VLOOKUP(W18, 'G-3 Multipliers'!$P$2:$Q$6,2,FALSE)),"")</f>
        <v/>
      </c>
      <c r="Y18" s="197"/>
      <c r="Z18" s="499" t="str">
        <f>IF(Y18="","",IF(VLOOKUP(Y18,'G-3 Multipliers'!$S$3:$T$9,2,FALSE)=0,"Spatial Data Missing ⚠",VLOOKUP(Y18,'G-3 Multipliers'!$S$3:$T$9,2,FALSE)))</f>
        <v/>
      </c>
      <c r="AA18" s="545" t="str">
        <f t="shared" si="0"/>
        <v/>
      </c>
      <c r="AB18" s="149"/>
      <c r="AC18" s="150"/>
    </row>
    <row r="19" spans="1:29" ht="13.8" x14ac:dyDescent="0.25">
      <c r="A19" s="31" t="str">
        <f>IFERROR(INDEX('G-8 Condition Look up'!$I$4:$I$130,MATCH(F19,'G-8 Condition Look up'!$A$4:$A$130,0)),"")</f>
        <v/>
      </c>
      <c r="C19" s="244" t="str">
        <f>IFERROR(INDEX('G-1 All Habitats'!$AG$3:$AG$15,MATCH(D19,'G-1 All Habitats'!$AF$3:$AF$15,0)),"")</f>
        <v/>
      </c>
      <c r="D19" s="154"/>
      <c r="E19" s="203"/>
      <c r="F19" s="243" t="str">
        <f>IFERROR(INDEX('G-1 All Habitats'!$B$3:$B$129,MATCH(E19,'G-1 All Habitats'!$A$3:$A$129,0)),"")</f>
        <v/>
      </c>
      <c r="G19" s="386"/>
      <c r="H19" s="537" t="str">
        <f>IF(F19="","",VLOOKUP(F19,'G-1 All Habitats'!$B$2:$M$129,10,FALSE))</f>
        <v/>
      </c>
      <c r="I19" s="524" t="str">
        <f>IFERROR(VLOOKUP(H19,'G-1 All Habitats'!$V$3:$W$7,2,FALSE),"")</f>
        <v/>
      </c>
      <c r="J19" s="199"/>
      <c r="K19" s="524" t="str">
        <f>IFERROR(INDEX('G-8 Condition Look up'!$A$3:$H$130,MATCH(F19,'G-8 Condition Look up'!$A$3:$A$130,0),MATCH(J19,'G-8 Condition Look up'!$A$3:$H$3,0)),"")</f>
        <v/>
      </c>
      <c r="L19" s="145"/>
      <c r="M19" s="540" t="str">
        <f>IF(L19="","",IF(VLOOKUP(L19,'G-3 Multipliers'!$L$3:$N$6,2,FALSE)=0,"Spatial Data Missing ⚠",VLOOKUP(L19,'G-3 Multipliers'!$L$3:$N$6,2,FALSE)))</f>
        <v/>
      </c>
      <c r="N19" s="499" t="str">
        <f>IF(L19="","",IF(VLOOKUP(L19,'G-3 Multipliers'!$L$3:$N$6,3,FALSE)=0,"Spatial Data Missing ⚠",VLOOKUP(L19,'G-3 Multipliers'!$L$3:$N$6,3,FALSE)))</f>
        <v/>
      </c>
      <c r="O19" s="498" t="str">
        <f t="shared" si="1"/>
        <v/>
      </c>
      <c r="P19" s="195"/>
      <c r="Q19" s="195"/>
      <c r="R19" s="520" t="str">
        <f t="shared" si="2"/>
        <v/>
      </c>
      <c r="S19" s="544" t="str">
        <f t="shared" si="3"/>
        <v/>
      </c>
      <c r="T19" s="525" t="str">
        <f>IFERROR(IF(S19="Check Data ⚠","Check Data ⚠",VLOOKUP(S19,'G-4 Temporal multipliers'!$A$4:$C$37,3,FALSE)),"")</f>
        <v/>
      </c>
      <c r="U19" s="523" t="str">
        <f>IF(F19="","",VLOOKUP(F19,'G-3 Multipliers'!$A$2:$E$129,2,FALSE))</f>
        <v/>
      </c>
      <c r="V19" s="520" t="str">
        <f t="shared" si="4"/>
        <v/>
      </c>
      <c r="W19" s="520" t="str">
        <f>IF(E19="","",IF(AND(V19="Standard difficulty applied",O19&gt;P19),U19,IF(AND(V19="Low Difficulty - only applicable if all habitat created before losses ⚠",P19&gt;=O19),"Low",VLOOKUP(F19,'G-3 Multipliers'!$A$2:$E$129,4,FALSE))))</f>
        <v/>
      </c>
      <c r="X19" s="524" t="str">
        <f>IFERROR(IF(E19="","",VLOOKUP(W19, 'G-3 Multipliers'!$P$2:$Q$6,2,FALSE)),"")</f>
        <v/>
      </c>
      <c r="Y19" s="197"/>
      <c r="Z19" s="499" t="str">
        <f>IF(Y19="","",IF(VLOOKUP(Y19,'G-3 Multipliers'!$S$3:$T$9,2,FALSE)=0,"Spatial Data Missing ⚠",VLOOKUP(Y19,'G-3 Multipliers'!$S$3:$T$9,2,FALSE)))</f>
        <v/>
      </c>
      <c r="AA19" s="545" t="str">
        <f t="shared" si="0"/>
        <v/>
      </c>
      <c r="AB19" s="149"/>
      <c r="AC19" s="150"/>
    </row>
    <row r="20" spans="1:29" ht="13.8" x14ac:dyDescent="0.25">
      <c r="A20" s="31" t="str">
        <f>IFERROR(INDEX('G-8 Condition Look up'!$I$4:$I$130,MATCH(F20,'G-8 Condition Look up'!$A$4:$A$130,0)),"")</f>
        <v/>
      </c>
      <c r="C20" s="244" t="str">
        <f>IFERROR(INDEX('G-1 All Habitats'!$AG$3:$AG$15,MATCH(D20,'G-1 All Habitats'!$AF$3:$AF$15,0)),"")</f>
        <v/>
      </c>
      <c r="D20" s="154"/>
      <c r="E20" s="203"/>
      <c r="F20" s="243" t="str">
        <f>IFERROR(INDEX('G-1 All Habitats'!$B$3:$B$129,MATCH(E20,'G-1 All Habitats'!$A$3:$A$129,0)),"")</f>
        <v/>
      </c>
      <c r="G20" s="386"/>
      <c r="H20" s="537" t="str">
        <f>IF(F20="","",VLOOKUP(F20,'G-1 All Habitats'!$B$2:$M$129,10,FALSE))</f>
        <v/>
      </c>
      <c r="I20" s="524" t="str">
        <f>IFERROR(VLOOKUP(H20,'G-1 All Habitats'!$V$3:$W$7,2,FALSE),"")</f>
        <v/>
      </c>
      <c r="J20" s="199"/>
      <c r="K20" s="524" t="str">
        <f>IFERROR(INDEX('G-8 Condition Look up'!$A$3:$H$130,MATCH(F20,'G-8 Condition Look up'!$A$3:$A$130,0),MATCH(J20,'G-8 Condition Look up'!$A$3:$H$3,0)),"")</f>
        <v/>
      </c>
      <c r="L20" s="145"/>
      <c r="M20" s="540" t="str">
        <f>IF(L20="","",IF(VLOOKUP(L20,'G-3 Multipliers'!$L$3:$N$6,2,FALSE)=0,"Spatial Data Missing ⚠",VLOOKUP(L20,'G-3 Multipliers'!$L$3:$N$6,2,FALSE)))</f>
        <v/>
      </c>
      <c r="N20" s="499" t="str">
        <f>IF(L20="","",IF(VLOOKUP(L20,'G-3 Multipliers'!$L$3:$N$6,3,FALSE)=0,"Spatial Data Missing ⚠",VLOOKUP(L20,'G-3 Multipliers'!$L$3:$N$6,3,FALSE)))</f>
        <v/>
      </c>
      <c r="O20" s="498" t="str">
        <f t="shared" si="1"/>
        <v/>
      </c>
      <c r="P20" s="195"/>
      <c r="Q20" s="195"/>
      <c r="R20" s="520" t="str">
        <f t="shared" si="2"/>
        <v/>
      </c>
      <c r="S20" s="544" t="str">
        <f t="shared" si="3"/>
        <v/>
      </c>
      <c r="T20" s="525" t="str">
        <f>IFERROR(IF(S20="Check Data ⚠","Check Data ⚠",VLOOKUP(S20,'G-4 Temporal multipliers'!$A$4:$C$37,3,FALSE)),"")</f>
        <v/>
      </c>
      <c r="U20" s="523" t="str">
        <f>IF(F20="","",VLOOKUP(F20,'G-3 Multipliers'!$A$2:$E$129,2,FALSE))</f>
        <v/>
      </c>
      <c r="V20" s="520" t="str">
        <f t="shared" si="4"/>
        <v/>
      </c>
      <c r="W20" s="520" t="str">
        <f>IF(E20="","",IF(AND(V20="Standard difficulty applied",O20&gt;P20),U20,IF(AND(V20="Low Difficulty - only applicable if all habitat created before losses ⚠",P20&gt;=O20),"Low",VLOOKUP(F20,'G-3 Multipliers'!$A$2:$E$129,4,FALSE))))</f>
        <v/>
      </c>
      <c r="X20" s="524" t="str">
        <f>IFERROR(IF(E20="","",VLOOKUP(W20, 'G-3 Multipliers'!$P$2:$Q$6,2,FALSE)),"")</f>
        <v/>
      </c>
      <c r="Y20" s="197"/>
      <c r="Z20" s="499" t="str">
        <f>IF(Y20="","",IF(VLOOKUP(Y20,'G-3 Multipliers'!$S$3:$T$9,2,FALSE)=0,"Spatial Data Missing ⚠",VLOOKUP(Y20,'G-3 Multipliers'!$S$3:$T$9,2,FALSE)))</f>
        <v/>
      </c>
      <c r="AA20" s="545" t="str">
        <f t="shared" si="0"/>
        <v/>
      </c>
      <c r="AB20" s="149"/>
      <c r="AC20" s="150"/>
    </row>
    <row r="21" spans="1:29" ht="13.8" x14ac:dyDescent="0.25">
      <c r="A21" s="31" t="str">
        <f>IFERROR(INDEX('G-8 Condition Look up'!$I$4:$I$130,MATCH(F21,'G-8 Condition Look up'!$A$4:$A$130,0)),"")</f>
        <v/>
      </c>
      <c r="C21" s="244" t="str">
        <f>IFERROR(INDEX('G-1 All Habitats'!$AG$3:$AG$15,MATCH(D21,'G-1 All Habitats'!$AF$3:$AF$15,0)),"")</f>
        <v/>
      </c>
      <c r="D21" s="154"/>
      <c r="E21" s="203"/>
      <c r="F21" s="243" t="str">
        <f>IFERROR(INDEX('G-1 All Habitats'!$B$3:$B$129,MATCH(E21,'G-1 All Habitats'!$A$3:$A$129,0)),"")</f>
        <v/>
      </c>
      <c r="G21" s="386"/>
      <c r="H21" s="537" t="str">
        <f>IF(F21="","",VLOOKUP(F21,'G-1 All Habitats'!$B$2:$M$129,10,FALSE))</f>
        <v/>
      </c>
      <c r="I21" s="524" t="str">
        <f>IFERROR(VLOOKUP(H21,'G-1 All Habitats'!$V$3:$W$7,2,FALSE),"")</f>
        <v/>
      </c>
      <c r="J21" s="199"/>
      <c r="K21" s="524" t="str">
        <f>IFERROR(INDEX('G-8 Condition Look up'!$A$3:$H$130,MATCH(F21,'G-8 Condition Look up'!$A$3:$A$130,0),MATCH(J21,'G-8 Condition Look up'!$A$3:$H$3,0)),"")</f>
        <v/>
      </c>
      <c r="L21" s="145"/>
      <c r="M21" s="540" t="str">
        <f>IF(L21="","",IF(VLOOKUP(L21,'G-3 Multipliers'!$L$3:$N$6,2,FALSE)=0,"Spatial Data Missing ⚠",VLOOKUP(L21,'G-3 Multipliers'!$L$3:$N$6,2,FALSE)))</f>
        <v/>
      </c>
      <c r="N21" s="499" t="str">
        <f>IF(L21="","",IF(VLOOKUP(L21,'G-3 Multipliers'!$L$3:$N$6,3,FALSE)=0,"Spatial Data Missing ⚠",VLOOKUP(L21,'G-3 Multipliers'!$L$3:$N$6,3,FALSE)))</f>
        <v/>
      </c>
      <c r="O21" s="498" t="str">
        <f t="shared" si="1"/>
        <v/>
      </c>
      <c r="P21" s="195"/>
      <c r="Q21" s="195"/>
      <c r="R21" s="520" t="str">
        <f t="shared" si="2"/>
        <v/>
      </c>
      <c r="S21" s="544" t="str">
        <f t="shared" si="3"/>
        <v/>
      </c>
      <c r="T21" s="525" t="str">
        <f>IFERROR(IF(S21="Check Data ⚠","Check Data ⚠",VLOOKUP(S21,'G-4 Temporal multipliers'!$A$4:$C$37,3,FALSE)),"")</f>
        <v/>
      </c>
      <c r="U21" s="523" t="str">
        <f>IF(F21="","",VLOOKUP(F21,'G-3 Multipliers'!$A$2:$E$129,2,FALSE))</f>
        <v/>
      </c>
      <c r="V21" s="520" t="str">
        <f t="shared" si="4"/>
        <v/>
      </c>
      <c r="W21" s="520" t="str">
        <f>IF(E21="","",IF(AND(V21="Standard difficulty applied",O21&gt;P21),U21,IF(AND(V21="Low Difficulty - only applicable if all habitat created before losses ⚠",P21&gt;=O21),"Low",VLOOKUP(F21,'G-3 Multipliers'!$A$2:$E$129,4,FALSE))))</f>
        <v/>
      </c>
      <c r="X21" s="524" t="str">
        <f>IFERROR(IF(E21="","",VLOOKUP(W21, 'G-3 Multipliers'!$P$2:$Q$6,2,FALSE)),"")</f>
        <v/>
      </c>
      <c r="Y21" s="197"/>
      <c r="Z21" s="499" t="str">
        <f>IF(Y21="","",IF(VLOOKUP(Y21,'G-3 Multipliers'!$S$3:$T$9,2,FALSE)=0,"Spatial Data Missing ⚠",VLOOKUP(Y21,'G-3 Multipliers'!$S$3:$T$9,2,FALSE)))</f>
        <v/>
      </c>
      <c r="AA21" s="545" t="str">
        <f t="shared" si="0"/>
        <v/>
      </c>
      <c r="AB21" s="149"/>
      <c r="AC21" s="150"/>
    </row>
    <row r="22" spans="1:29" ht="13.8" x14ac:dyDescent="0.25">
      <c r="A22" s="31" t="str">
        <f>IFERROR(INDEX('G-8 Condition Look up'!$I$4:$I$130,MATCH(F22,'G-8 Condition Look up'!$A$4:$A$130,0)),"")</f>
        <v/>
      </c>
      <c r="C22" s="244" t="str">
        <f>IFERROR(INDEX('G-1 All Habitats'!$AG$3:$AG$15,MATCH(D22,'G-1 All Habitats'!$AF$3:$AF$15,0)),"")</f>
        <v/>
      </c>
      <c r="D22" s="154"/>
      <c r="E22" s="203"/>
      <c r="F22" s="243" t="str">
        <f>IFERROR(INDEX('G-1 All Habitats'!$B$3:$B$129,MATCH(E22,'G-1 All Habitats'!$A$3:$A$129,0)),"")</f>
        <v/>
      </c>
      <c r="G22" s="386"/>
      <c r="H22" s="537" t="str">
        <f>IF(F22="","",VLOOKUP(F22,'G-1 All Habitats'!$B$2:$M$129,10,FALSE))</f>
        <v/>
      </c>
      <c r="I22" s="524" t="str">
        <f>IFERROR(VLOOKUP(H22,'G-1 All Habitats'!$V$3:$W$7,2,FALSE),"")</f>
        <v/>
      </c>
      <c r="J22" s="199"/>
      <c r="K22" s="524" t="str">
        <f>IFERROR(INDEX('G-8 Condition Look up'!$A$3:$H$130,MATCH(F22,'G-8 Condition Look up'!$A$3:$A$130,0),MATCH(J22,'G-8 Condition Look up'!$A$3:$H$3,0)),"")</f>
        <v/>
      </c>
      <c r="L22" s="145"/>
      <c r="M22" s="540" t="str">
        <f>IF(L22="","",IF(VLOOKUP(L22,'G-3 Multipliers'!$L$3:$N$6,2,FALSE)=0,"Spatial Data Missing ⚠",VLOOKUP(L22,'G-3 Multipliers'!$L$3:$N$6,2,FALSE)))</f>
        <v/>
      </c>
      <c r="N22" s="499" t="str">
        <f>IF(L22="","",IF(VLOOKUP(L22,'G-3 Multipliers'!$L$3:$N$6,3,FALSE)=0,"Spatial Data Missing ⚠",VLOOKUP(L22,'G-3 Multipliers'!$L$3:$N$6,3,FALSE)))</f>
        <v/>
      </c>
      <c r="O22" s="498" t="str">
        <f t="shared" si="1"/>
        <v/>
      </c>
      <c r="P22" s="195"/>
      <c r="Q22" s="195"/>
      <c r="R22" s="520" t="str">
        <f t="shared" si="2"/>
        <v/>
      </c>
      <c r="S22" s="544" t="str">
        <f t="shared" si="3"/>
        <v/>
      </c>
      <c r="T22" s="525" t="str">
        <f>IFERROR(IF(S22="Check Data ⚠","Check Data ⚠",VLOOKUP(S22,'G-4 Temporal multipliers'!$A$4:$C$37,3,FALSE)),"")</f>
        <v/>
      </c>
      <c r="U22" s="523" t="str">
        <f>IF(F22="","",VLOOKUP(F22,'G-3 Multipliers'!$A$2:$E$129,2,FALSE))</f>
        <v/>
      </c>
      <c r="V22" s="520" t="str">
        <f t="shared" si="4"/>
        <v/>
      </c>
      <c r="W22" s="520" t="str">
        <f>IF(E22="","",IF(AND(V22="Standard difficulty applied",O22&gt;P22),U22,IF(AND(V22="Low Difficulty - only applicable if all habitat created before losses ⚠",P22&gt;=O22),"Low",VLOOKUP(F22,'G-3 Multipliers'!$A$2:$E$129,4,FALSE))))</f>
        <v/>
      </c>
      <c r="X22" s="524" t="str">
        <f>IFERROR(IF(E22="","",VLOOKUP(W22, 'G-3 Multipliers'!$P$2:$Q$6,2,FALSE)),"")</f>
        <v/>
      </c>
      <c r="Y22" s="197"/>
      <c r="Z22" s="499" t="str">
        <f>IF(Y22="","",IF(VLOOKUP(Y22,'G-3 Multipliers'!$S$3:$T$9,2,FALSE)=0,"Spatial Data Missing ⚠",VLOOKUP(Y22,'G-3 Multipliers'!$S$3:$T$9,2,FALSE)))</f>
        <v/>
      </c>
      <c r="AA22" s="545" t="str">
        <f t="shared" si="0"/>
        <v/>
      </c>
      <c r="AB22" s="149"/>
      <c r="AC22" s="150"/>
    </row>
    <row r="23" spans="1:29" ht="13.8" x14ac:dyDescent="0.25">
      <c r="A23" s="31" t="str">
        <f>IFERROR(INDEX('G-8 Condition Look up'!$I$4:$I$130,MATCH(F23,'G-8 Condition Look up'!$A$4:$A$130,0)),"")</f>
        <v/>
      </c>
      <c r="C23" s="244" t="str">
        <f>IFERROR(INDEX('G-1 All Habitats'!$AG$3:$AG$15,MATCH(D23,'G-1 All Habitats'!$AF$3:$AF$15,0)),"")</f>
        <v/>
      </c>
      <c r="D23" s="154"/>
      <c r="E23" s="203"/>
      <c r="F23" s="243" t="str">
        <f>IFERROR(INDEX('G-1 All Habitats'!$B$3:$B$129,MATCH(E23,'G-1 All Habitats'!$A$3:$A$129,0)),"")</f>
        <v/>
      </c>
      <c r="G23" s="386"/>
      <c r="H23" s="537" t="str">
        <f>IF(F23="","",VLOOKUP(F23,'G-1 All Habitats'!$B$2:$M$129,10,FALSE))</f>
        <v/>
      </c>
      <c r="I23" s="524" t="str">
        <f>IFERROR(VLOOKUP(H23,'G-1 All Habitats'!$V$3:$W$7,2,FALSE),"")</f>
        <v/>
      </c>
      <c r="J23" s="199"/>
      <c r="K23" s="524" t="str">
        <f>IFERROR(INDEX('G-8 Condition Look up'!$A$3:$H$130,MATCH(F23,'G-8 Condition Look up'!$A$3:$A$130,0),MATCH(J23,'G-8 Condition Look up'!$A$3:$H$3,0)),"")</f>
        <v/>
      </c>
      <c r="L23" s="145"/>
      <c r="M23" s="540" t="str">
        <f>IF(L23="","",IF(VLOOKUP(L23,'G-3 Multipliers'!$L$3:$N$6,2,FALSE)=0,"Spatial Data Missing ⚠",VLOOKUP(L23,'G-3 Multipliers'!$L$3:$N$6,2,FALSE)))</f>
        <v/>
      </c>
      <c r="N23" s="499" t="str">
        <f>IF(L23="","",IF(VLOOKUP(L23,'G-3 Multipliers'!$L$3:$N$6,3,FALSE)=0,"Spatial Data Missing ⚠",VLOOKUP(L23,'G-3 Multipliers'!$L$3:$N$6,3,FALSE)))</f>
        <v/>
      </c>
      <c r="O23" s="498" t="str">
        <f t="shared" si="1"/>
        <v/>
      </c>
      <c r="P23" s="195"/>
      <c r="Q23" s="195"/>
      <c r="R23" s="520" t="str">
        <f t="shared" si="2"/>
        <v/>
      </c>
      <c r="S23" s="544" t="str">
        <f t="shared" si="3"/>
        <v/>
      </c>
      <c r="T23" s="525" t="str">
        <f>IFERROR(IF(S23="Check Data ⚠","Check Data ⚠",VLOOKUP(S23,'G-4 Temporal multipliers'!$A$4:$C$37,3,FALSE)),"")</f>
        <v/>
      </c>
      <c r="U23" s="523" t="str">
        <f>IF(F23="","",VLOOKUP(F23,'G-3 Multipliers'!$A$2:$E$129,2,FALSE))</f>
        <v/>
      </c>
      <c r="V23" s="520" t="str">
        <f t="shared" si="4"/>
        <v/>
      </c>
      <c r="W23" s="520" t="str">
        <f>IF(E23="","",IF(AND(V23="Standard difficulty applied",O23&gt;P23),U23,IF(AND(V23="Low Difficulty - only applicable if all habitat created before losses ⚠",P23&gt;=O23),"Low",VLOOKUP(F23,'G-3 Multipliers'!$A$2:$E$129,4,FALSE))))</f>
        <v/>
      </c>
      <c r="X23" s="524" t="str">
        <f>IFERROR(IF(E23="","",VLOOKUP(W23, 'G-3 Multipliers'!$P$2:$Q$6,2,FALSE)),"")</f>
        <v/>
      </c>
      <c r="Y23" s="197"/>
      <c r="Z23" s="499" t="str">
        <f>IF(Y23="","",IF(VLOOKUP(Y23,'G-3 Multipliers'!$S$3:$T$9,2,FALSE)=0,"Spatial Data Missing ⚠",VLOOKUP(Y23,'G-3 Multipliers'!$S$3:$T$9,2,FALSE)))</f>
        <v/>
      </c>
      <c r="AA23" s="545" t="str">
        <f t="shared" si="0"/>
        <v/>
      </c>
      <c r="AB23" s="149"/>
      <c r="AC23" s="150"/>
    </row>
    <row r="24" spans="1:29" ht="13.8" x14ac:dyDescent="0.25">
      <c r="A24" s="31" t="str">
        <f>IFERROR(INDEX('G-8 Condition Look up'!$I$4:$I$130,MATCH(F24,'G-8 Condition Look up'!$A$4:$A$130,0)),"")</f>
        <v/>
      </c>
      <c r="C24" s="244" t="str">
        <f>IFERROR(INDEX('G-1 All Habitats'!$AG$3:$AG$15,MATCH(D24,'G-1 All Habitats'!$AF$3:$AF$15,0)),"")</f>
        <v/>
      </c>
      <c r="D24" s="154"/>
      <c r="E24" s="203"/>
      <c r="F24" s="243" t="str">
        <f>IFERROR(INDEX('G-1 All Habitats'!$B$3:$B$129,MATCH(E24,'G-1 All Habitats'!$A$3:$A$129,0)),"")</f>
        <v/>
      </c>
      <c r="G24" s="386"/>
      <c r="H24" s="537" t="str">
        <f>IF(F24="","",VLOOKUP(F24,'G-1 All Habitats'!$B$2:$M$129,10,FALSE))</f>
        <v/>
      </c>
      <c r="I24" s="524" t="str">
        <f>IFERROR(VLOOKUP(H24,'G-1 All Habitats'!$V$3:$W$7,2,FALSE),"")</f>
        <v/>
      </c>
      <c r="J24" s="199"/>
      <c r="K24" s="524" t="str">
        <f>IFERROR(INDEX('G-8 Condition Look up'!$A$3:$H$130,MATCH(F24,'G-8 Condition Look up'!$A$3:$A$130,0),MATCH(J24,'G-8 Condition Look up'!$A$3:$H$3,0)),"")</f>
        <v/>
      </c>
      <c r="L24" s="145"/>
      <c r="M24" s="540" t="str">
        <f>IF(L24="","",IF(VLOOKUP(L24,'G-3 Multipliers'!$L$3:$N$6,2,FALSE)=0,"Spatial Data Missing ⚠",VLOOKUP(L24,'G-3 Multipliers'!$L$3:$N$6,2,FALSE)))</f>
        <v/>
      </c>
      <c r="N24" s="499" t="str">
        <f>IF(L24="","",IF(VLOOKUP(L24,'G-3 Multipliers'!$L$3:$N$6,3,FALSE)=0,"Spatial Data Missing ⚠",VLOOKUP(L24,'G-3 Multipliers'!$L$3:$N$6,3,FALSE)))</f>
        <v/>
      </c>
      <c r="O24" s="498" t="str">
        <f t="shared" si="1"/>
        <v/>
      </c>
      <c r="P24" s="195"/>
      <c r="Q24" s="195"/>
      <c r="R24" s="520" t="str">
        <f t="shared" si="2"/>
        <v/>
      </c>
      <c r="S24" s="544" t="str">
        <f t="shared" si="3"/>
        <v/>
      </c>
      <c r="T24" s="525" t="str">
        <f>IFERROR(IF(S24="Check Data ⚠","Check Data ⚠",VLOOKUP(S24,'G-4 Temporal multipliers'!$A$4:$C$37,3,FALSE)),"")</f>
        <v/>
      </c>
      <c r="U24" s="523" t="str">
        <f>IF(F24="","",VLOOKUP(F24,'G-3 Multipliers'!$A$2:$E$129,2,FALSE))</f>
        <v/>
      </c>
      <c r="V24" s="520" t="str">
        <f t="shared" si="4"/>
        <v/>
      </c>
      <c r="W24" s="520" t="str">
        <f>IF(E24="","",IF(AND(V24="Standard difficulty applied",O24&gt;P24),U24,IF(AND(V24="Low Difficulty - only applicable if all habitat created before losses ⚠",P24&gt;=O24),"Low",VLOOKUP(F24,'G-3 Multipliers'!$A$2:$E$129,4,FALSE))))</f>
        <v/>
      </c>
      <c r="X24" s="524" t="str">
        <f>IFERROR(IF(E24="","",VLOOKUP(W24, 'G-3 Multipliers'!$P$2:$Q$6,2,FALSE)),"")</f>
        <v/>
      </c>
      <c r="Y24" s="197"/>
      <c r="Z24" s="499" t="str">
        <f>IF(Y24="","",IF(VLOOKUP(Y24,'G-3 Multipliers'!$S$3:$T$9,2,FALSE)=0,"Spatial Data Missing ⚠",VLOOKUP(Y24,'G-3 Multipliers'!$S$3:$T$9,2,FALSE)))</f>
        <v/>
      </c>
      <c r="AA24" s="545" t="str">
        <f t="shared" si="0"/>
        <v/>
      </c>
      <c r="AB24" s="149"/>
      <c r="AC24" s="150"/>
    </row>
    <row r="25" spans="1:29" ht="13.8" x14ac:dyDescent="0.25">
      <c r="A25" s="31" t="str">
        <f>IFERROR(INDEX('G-8 Condition Look up'!$I$4:$I$130,MATCH(F25,'G-8 Condition Look up'!$A$4:$A$130,0)),"")</f>
        <v/>
      </c>
      <c r="C25" s="244" t="str">
        <f>IFERROR(INDEX('G-1 All Habitats'!$AG$3:$AG$15,MATCH(D25,'G-1 All Habitats'!$AF$3:$AF$15,0)),"")</f>
        <v/>
      </c>
      <c r="D25" s="154"/>
      <c r="E25" s="203"/>
      <c r="F25" s="243" t="str">
        <f>IFERROR(INDEX('G-1 All Habitats'!$B$3:$B$129,MATCH(E25,'G-1 All Habitats'!$A$3:$A$129,0)),"")</f>
        <v/>
      </c>
      <c r="G25" s="386"/>
      <c r="H25" s="537" t="str">
        <f>IF(F25="","",VLOOKUP(F25,'G-1 All Habitats'!$B$2:$M$129,10,FALSE))</f>
        <v/>
      </c>
      <c r="I25" s="524" t="str">
        <f>IFERROR(VLOOKUP(H25,'G-1 All Habitats'!$V$3:$W$7,2,FALSE),"")</f>
        <v/>
      </c>
      <c r="J25" s="199"/>
      <c r="K25" s="524" t="str">
        <f>IFERROR(INDEX('G-8 Condition Look up'!$A$3:$H$130,MATCH(F25,'G-8 Condition Look up'!$A$3:$A$130,0),MATCH(J25,'G-8 Condition Look up'!$A$3:$H$3,0)),"")</f>
        <v/>
      </c>
      <c r="L25" s="145"/>
      <c r="M25" s="540" t="str">
        <f>IF(L25="","",IF(VLOOKUP(L25,'G-3 Multipliers'!$L$3:$N$6,2,FALSE)=0,"Spatial Data Missing ⚠",VLOOKUP(L25,'G-3 Multipliers'!$L$3:$N$6,2,FALSE)))</f>
        <v/>
      </c>
      <c r="N25" s="499" t="str">
        <f>IF(L25="","",IF(VLOOKUP(L25,'G-3 Multipliers'!$L$3:$N$6,3,FALSE)=0,"Spatial Data Missing ⚠",VLOOKUP(L25,'G-3 Multipliers'!$L$3:$N$6,3,FALSE)))</f>
        <v/>
      </c>
      <c r="O25" s="498" t="str">
        <f t="shared" si="1"/>
        <v/>
      </c>
      <c r="P25" s="195"/>
      <c r="Q25" s="195"/>
      <c r="R25" s="520" t="str">
        <f t="shared" si="2"/>
        <v/>
      </c>
      <c r="S25" s="544" t="str">
        <f t="shared" si="3"/>
        <v/>
      </c>
      <c r="T25" s="525" t="str">
        <f>IFERROR(IF(S25="Check Data ⚠","Check Data ⚠",VLOOKUP(S25,'G-4 Temporal multipliers'!$A$4:$C$37,3,FALSE)),"")</f>
        <v/>
      </c>
      <c r="U25" s="523" t="str">
        <f>IF(F25="","",VLOOKUP(F25,'G-3 Multipliers'!$A$2:$E$129,2,FALSE))</f>
        <v/>
      </c>
      <c r="V25" s="520" t="str">
        <f t="shared" si="4"/>
        <v/>
      </c>
      <c r="W25" s="520" t="str">
        <f>IF(E25="","",IF(AND(V25="Standard difficulty applied",O25&gt;P25),U25,IF(AND(V25="Low Difficulty - only applicable if all habitat created before losses ⚠",P25&gt;=O25),"Low",VLOOKUP(F25,'G-3 Multipliers'!$A$2:$E$129,4,FALSE))))</f>
        <v/>
      </c>
      <c r="X25" s="524" t="str">
        <f>IFERROR(IF(E25="","",VLOOKUP(W25, 'G-3 Multipliers'!$P$2:$Q$6,2,FALSE)),"")</f>
        <v/>
      </c>
      <c r="Y25" s="197"/>
      <c r="Z25" s="499" t="str">
        <f>IF(Y25="","",IF(VLOOKUP(Y25,'G-3 Multipliers'!$S$3:$T$9,2,FALSE)=0,"Spatial Data Missing ⚠",VLOOKUP(Y25,'G-3 Multipliers'!$S$3:$T$9,2,FALSE)))</f>
        <v/>
      </c>
      <c r="AA25" s="545" t="str">
        <f t="shared" si="0"/>
        <v/>
      </c>
      <c r="AB25" s="149"/>
      <c r="AC25" s="150"/>
    </row>
    <row r="26" spans="1:29" ht="13.8" x14ac:dyDescent="0.25">
      <c r="A26" s="31" t="str">
        <f>IFERROR(INDEX('G-8 Condition Look up'!$I$4:$I$130,MATCH(F26,'G-8 Condition Look up'!$A$4:$A$130,0)),"")</f>
        <v/>
      </c>
      <c r="C26" s="244" t="str">
        <f>IFERROR(INDEX('G-1 All Habitats'!$AG$3:$AG$15,MATCH(D26,'G-1 All Habitats'!$AF$3:$AF$15,0)),"")</f>
        <v/>
      </c>
      <c r="D26" s="154"/>
      <c r="E26" s="203"/>
      <c r="F26" s="243" t="str">
        <f>IFERROR(INDEX('G-1 All Habitats'!$B$3:$B$129,MATCH(E26,'G-1 All Habitats'!$A$3:$A$129,0)),"")</f>
        <v/>
      </c>
      <c r="G26" s="386"/>
      <c r="H26" s="537" t="str">
        <f>IF(F26="","",VLOOKUP(F26,'G-1 All Habitats'!$B$2:$M$129,10,FALSE))</f>
        <v/>
      </c>
      <c r="I26" s="524" t="str">
        <f>IFERROR(VLOOKUP(H26,'G-1 All Habitats'!$V$3:$W$7,2,FALSE),"")</f>
        <v/>
      </c>
      <c r="J26" s="199"/>
      <c r="K26" s="524" t="str">
        <f>IFERROR(INDEX('G-8 Condition Look up'!$A$3:$H$130,MATCH(F26,'G-8 Condition Look up'!$A$3:$A$130,0),MATCH(J26,'G-8 Condition Look up'!$A$3:$H$3,0)),"")</f>
        <v/>
      </c>
      <c r="L26" s="145"/>
      <c r="M26" s="540" t="str">
        <f>IF(L26="","",IF(VLOOKUP(L26,'G-3 Multipliers'!$L$3:$N$6,2,FALSE)=0,"Spatial Data Missing ⚠",VLOOKUP(L26,'G-3 Multipliers'!$L$3:$N$6,2,FALSE)))</f>
        <v/>
      </c>
      <c r="N26" s="499" t="str">
        <f>IF(L26="","",IF(VLOOKUP(L26,'G-3 Multipliers'!$L$3:$N$6,3,FALSE)=0,"Spatial Data Missing ⚠",VLOOKUP(L26,'G-3 Multipliers'!$L$3:$N$6,3,FALSE)))</f>
        <v/>
      </c>
      <c r="O26" s="498" t="str">
        <f t="shared" si="1"/>
        <v/>
      </c>
      <c r="P26" s="195"/>
      <c r="Q26" s="195"/>
      <c r="R26" s="520" t="str">
        <f t="shared" si="2"/>
        <v/>
      </c>
      <c r="S26" s="544" t="str">
        <f t="shared" si="3"/>
        <v/>
      </c>
      <c r="T26" s="525" t="str">
        <f>IFERROR(IF(S26="Check Data ⚠","Check Data ⚠",VLOOKUP(S26,'G-4 Temporal multipliers'!$A$4:$C$37,3,FALSE)),"")</f>
        <v/>
      </c>
      <c r="U26" s="523" t="str">
        <f>IF(F26="","",VLOOKUP(F26,'G-3 Multipliers'!$A$2:$E$129,2,FALSE))</f>
        <v/>
      </c>
      <c r="V26" s="520" t="str">
        <f t="shared" si="4"/>
        <v/>
      </c>
      <c r="W26" s="520" t="str">
        <f>IF(E26="","",IF(AND(V26="Standard difficulty applied",O26&gt;P26),U26,IF(AND(V26="Low Difficulty - only applicable if all habitat created before losses ⚠",P26&gt;=O26),"Low",VLOOKUP(F26,'G-3 Multipliers'!$A$2:$E$129,4,FALSE))))</f>
        <v/>
      </c>
      <c r="X26" s="524" t="str">
        <f>IFERROR(IF(E26="","",VLOOKUP(W26, 'G-3 Multipliers'!$P$2:$Q$6,2,FALSE)),"")</f>
        <v/>
      </c>
      <c r="Y26" s="197"/>
      <c r="Z26" s="499" t="str">
        <f>IF(Y26="","",IF(VLOOKUP(Y26,'G-3 Multipliers'!$S$3:$T$9,2,FALSE)=0,"Spatial Data Missing ⚠",VLOOKUP(Y26,'G-3 Multipliers'!$S$3:$T$9,2,FALSE)))</f>
        <v/>
      </c>
      <c r="AA26" s="545" t="str">
        <f t="shared" si="0"/>
        <v/>
      </c>
      <c r="AB26" s="149"/>
      <c r="AC26" s="150"/>
    </row>
    <row r="27" spans="1:29" ht="13.8" x14ac:dyDescent="0.25">
      <c r="A27" s="31" t="str">
        <f>IFERROR(INDEX('G-8 Condition Look up'!$I$4:$I$130,MATCH(F27,'G-8 Condition Look up'!$A$4:$A$130,0)),"")</f>
        <v/>
      </c>
      <c r="C27" s="244" t="str">
        <f>IFERROR(INDEX('G-1 All Habitats'!$AG$3:$AG$15,MATCH(D27,'G-1 All Habitats'!$AF$3:$AF$15,0)),"")</f>
        <v/>
      </c>
      <c r="D27" s="154"/>
      <c r="E27" s="203"/>
      <c r="F27" s="243" t="str">
        <f>IFERROR(INDEX('G-1 All Habitats'!$B$3:$B$129,MATCH(E27,'G-1 All Habitats'!$A$3:$A$129,0)),"")</f>
        <v/>
      </c>
      <c r="G27" s="386"/>
      <c r="H27" s="537" t="str">
        <f>IF(F27="","",VLOOKUP(F27,'G-1 All Habitats'!$B$2:$M$129,10,FALSE))</f>
        <v/>
      </c>
      <c r="I27" s="524" t="str">
        <f>IFERROR(VLOOKUP(H27,'G-1 All Habitats'!$V$3:$W$7,2,FALSE),"")</f>
        <v/>
      </c>
      <c r="J27" s="199"/>
      <c r="K27" s="524" t="str">
        <f>IFERROR(INDEX('G-8 Condition Look up'!$A$3:$H$130,MATCH(F27,'G-8 Condition Look up'!$A$3:$A$130,0),MATCH(J27,'G-8 Condition Look up'!$A$3:$H$3,0)),"")</f>
        <v/>
      </c>
      <c r="L27" s="145"/>
      <c r="M27" s="540" t="str">
        <f>IF(L27="","",IF(VLOOKUP(L27,'G-3 Multipliers'!$L$3:$N$6,2,FALSE)=0,"Spatial Data Missing ⚠",VLOOKUP(L27,'G-3 Multipliers'!$L$3:$N$6,2,FALSE)))</f>
        <v/>
      </c>
      <c r="N27" s="499" t="str">
        <f>IF(L27="","",IF(VLOOKUP(L27,'G-3 Multipliers'!$L$3:$N$6,3,FALSE)=0,"Spatial Data Missing ⚠",VLOOKUP(L27,'G-3 Multipliers'!$L$3:$N$6,3,FALSE)))</f>
        <v/>
      </c>
      <c r="O27" s="498" t="str">
        <f t="shared" si="1"/>
        <v/>
      </c>
      <c r="P27" s="195"/>
      <c r="Q27" s="195"/>
      <c r="R27" s="520" t="str">
        <f t="shared" si="2"/>
        <v/>
      </c>
      <c r="S27" s="544" t="str">
        <f t="shared" si="3"/>
        <v/>
      </c>
      <c r="T27" s="525" t="str">
        <f>IFERROR(IF(S27="Check Data ⚠","Check Data ⚠",VLOOKUP(S27,'G-4 Temporal multipliers'!$A$4:$C$37,3,FALSE)),"")</f>
        <v/>
      </c>
      <c r="U27" s="523" t="str">
        <f>IF(F27="","",VLOOKUP(F27,'G-3 Multipliers'!$A$2:$E$129,2,FALSE))</f>
        <v/>
      </c>
      <c r="V27" s="520" t="str">
        <f t="shared" si="4"/>
        <v/>
      </c>
      <c r="W27" s="520" t="str">
        <f>IF(E27="","",IF(AND(V27="Standard difficulty applied",O27&gt;P27),U27,IF(AND(V27="Low Difficulty - only applicable if all habitat created before losses ⚠",P27&gt;=O27),"Low",VLOOKUP(F27,'G-3 Multipliers'!$A$2:$E$129,4,FALSE))))</f>
        <v/>
      </c>
      <c r="X27" s="524" t="str">
        <f>IFERROR(IF(E27="","",VLOOKUP(W27, 'G-3 Multipliers'!$P$2:$Q$6,2,FALSE)),"")</f>
        <v/>
      </c>
      <c r="Y27" s="197"/>
      <c r="Z27" s="499" t="str">
        <f>IF(Y27="","",IF(VLOOKUP(Y27,'G-3 Multipliers'!$S$3:$T$9,2,FALSE)=0,"Spatial Data Missing ⚠",VLOOKUP(Y27,'G-3 Multipliers'!$S$3:$T$9,2,FALSE)))</f>
        <v/>
      </c>
      <c r="AA27" s="545" t="str">
        <f t="shared" si="0"/>
        <v/>
      </c>
      <c r="AB27" s="149"/>
      <c r="AC27" s="150"/>
    </row>
    <row r="28" spans="1:29" ht="13.8" x14ac:dyDescent="0.25">
      <c r="A28" s="31" t="str">
        <f>IFERROR(INDEX('G-8 Condition Look up'!$I$4:$I$130,MATCH(F28,'G-8 Condition Look up'!$A$4:$A$130,0)),"")</f>
        <v/>
      </c>
      <c r="C28" s="244" t="str">
        <f>IFERROR(INDEX('G-1 All Habitats'!$AG$3:$AG$15,MATCH(D28,'G-1 All Habitats'!$AF$3:$AF$15,0)),"")</f>
        <v/>
      </c>
      <c r="D28" s="154"/>
      <c r="E28" s="203"/>
      <c r="F28" s="243" t="str">
        <f>IFERROR(INDEX('G-1 All Habitats'!$B$3:$B$129,MATCH(E28,'G-1 All Habitats'!$A$3:$A$129,0)),"")</f>
        <v/>
      </c>
      <c r="G28" s="386"/>
      <c r="H28" s="537" t="str">
        <f>IF(F28="","",VLOOKUP(F28,'G-1 All Habitats'!$B$2:$M$129,10,FALSE))</f>
        <v/>
      </c>
      <c r="I28" s="524" t="str">
        <f>IFERROR(VLOOKUP(H28,'G-1 All Habitats'!$V$3:$W$7,2,FALSE),"")</f>
        <v/>
      </c>
      <c r="J28" s="199"/>
      <c r="K28" s="524" t="str">
        <f>IFERROR(INDEX('G-8 Condition Look up'!$A$3:$H$130,MATCH(F28,'G-8 Condition Look up'!$A$3:$A$130,0),MATCH(J28,'G-8 Condition Look up'!$A$3:$H$3,0)),"")</f>
        <v/>
      </c>
      <c r="L28" s="145"/>
      <c r="M28" s="540" t="str">
        <f>IF(L28="","",IF(VLOOKUP(L28,'G-3 Multipliers'!$L$3:$N$6,2,FALSE)=0,"Spatial Data Missing ⚠",VLOOKUP(L28,'G-3 Multipliers'!$L$3:$N$6,2,FALSE)))</f>
        <v/>
      </c>
      <c r="N28" s="499" t="str">
        <f>IF(L28="","",IF(VLOOKUP(L28,'G-3 Multipliers'!$L$3:$N$6,3,FALSE)=0,"Spatial Data Missing ⚠",VLOOKUP(L28,'G-3 Multipliers'!$L$3:$N$6,3,FALSE)))</f>
        <v/>
      </c>
      <c r="O28" s="498" t="str">
        <f t="shared" si="1"/>
        <v/>
      </c>
      <c r="P28" s="195"/>
      <c r="Q28" s="195"/>
      <c r="R28" s="520" t="str">
        <f t="shared" si="2"/>
        <v/>
      </c>
      <c r="S28" s="544" t="str">
        <f t="shared" si="3"/>
        <v/>
      </c>
      <c r="T28" s="525" t="str">
        <f>IFERROR(IF(S28="Check Data ⚠","Check Data ⚠",VLOOKUP(S28,'G-4 Temporal multipliers'!$A$4:$C$37,3,FALSE)),"")</f>
        <v/>
      </c>
      <c r="U28" s="523" t="str">
        <f>IF(F28="","",VLOOKUP(F28,'G-3 Multipliers'!$A$2:$E$129,2,FALSE))</f>
        <v/>
      </c>
      <c r="V28" s="520" t="str">
        <f t="shared" si="4"/>
        <v/>
      </c>
      <c r="W28" s="520" t="str">
        <f>IF(E28="","",IF(AND(V28="Standard difficulty applied",O28&gt;P28),U28,IF(AND(V28="Low Difficulty - only applicable if all habitat created before losses ⚠",P28&gt;=O28),"Low",VLOOKUP(F28,'G-3 Multipliers'!$A$2:$E$129,4,FALSE))))</f>
        <v/>
      </c>
      <c r="X28" s="524" t="str">
        <f>IFERROR(IF(E28="","",VLOOKUP(W28, 'G-3 Multipliers'!$P$2:$Q$6,2,FALSE)),"")</f>
        <v/>
      </c>
      <c r="Y28" s="197"/>
      <c r="Z28" s="499" t="str">
        <f>IF(Y28="","",IF(VLOOKUP(Y28,'G-3 Multipliers'!$S$3:$T$9,2,FALSE)=0,"Spatial Data Missing ⚠",VLOOKUP(Y28,'G-3 Multipliers'!$S$3:$T$9,2,FALSE)))</f>
        <v/>
      </c>
      <c r="AA28" s="545" t="str">
        <f t="shared" si="0"/>
        <v/>
      </c>
      <c r="AB28" s="149"/>
      <c r="AC28" s="150"/>
    </row>
    <row r="29" spans="1:29" ht="13.8" x14ac:dyDescent="0.25">
      <c r="A29" s="31" t="str">
        <f>IFERROR(INDEX('G-8 Condition Look up'!$I$4:$I$130,MATCH(F29,'G-8 Condition Look up'!$A$4:$A$130,0)),"")</f>
        <v/>
      </c>
      <c r="C29" s="244" t="str">
        <f>IFERROR(INDEX('G-1 All Habitats'!$AG$3:$AG$15,MATCH(D29,'G-1 All Habitats'!$AF$3:$AF$15,0)),"")</f>
        <v/>
      </c>
      <c r="D29" s="154"/>
      <c r="E29" s="203"/>
      <c r="F29" s="243" t="str">
        <f>IFERROR(INDEX('G-1 All Habitats'!$B$3:$B$129,MATCH(E29,'G-1 All Habitats'!$A$3:$A$129,0)),"")</f>
        <v/>
      </c>
      <c r="G29" s="386"/>
      <c r="H29" s="537" t="str">
        <f>IF(F29="","",VLOOKUP(F29,'G-1 All Habitats'!$B$2:$M$129,10,FALSE))</f>
        <v/>
      </c>
      <c r="I29" s="524" t="str">
        <f>IFERROR(VLOOKUP(H29,'G-1 All Habitats'!$V$3:$W$7,2,FALSE),"")</f>
        <v/>
      </c>
      <c r="J29" s="199"/>
      <c r="K29" s="524" t="str">
        <f>IFERROR(INDEX('G-8 Condition Look up'!$A$3:$H$130,MATCH(F29,'G-8 Condition Look up'!$A$3:$A$130,0),MATCH(J29,'G-8 Condition Look up'!$A$3:$H$3,0)),"")</f>
        <v/>
      </c>
      <c r="L29" s="145"/>
      <c r="M29" s="540" t="str">
        <f>IF(L29="","",IF(VLOOKUP(L29,'G-3 Multipliers'!$L$3:$N$6,2,FALSE)=0,"Spatial Data Missing ⚠",VLOOKUP(L29,'G-3 Multipliers'!$L$3:$N$6,2,FALSE)))</f>
        <v/>
      </c>
      <c r="N29" s="499" t="str">
        <f>IF(L29="","",IF(VLOOKUP(L29,'G-3 Multipliers'!$L$3:$N$6,3,FALSE)=0,"Spatial Data Missing ⚠",VLOOKUP(L29,'G-3 Multipliers'!$L$3:$N$6,3,FALSE)))</f>
        <v/>
      </c>
      <c r="O29" s="498" t="str">
        <f t="shared" si="1"/>
        <v/>
      </c>
      <c r="P29" s="195"/>
      <c r="Q29" s="195"/>
      <c r="R29" s="520" t="str">
        <f t="shared" si="2"/>
        <v/>
      </c>
      <c r="S29" s="544" t="str">
        <f t="shared" si="3"/>
        <v/>
      </c>
      <c r="T29" s="525" t="str">
        <f>IFERROR(IF(S29="Check Data ⚠","Check Data ⚠",VLOOKUP(S29,'G-4 Temporal multipliers'!$A$4:$C$37,3,FALSE)),"")</f>
        <v/>
      </c>
      <c r="U29" s="523" t="str">
        <f>IF(F29="","",VLOOKUP(F29,'G-3 Multipliers'!$A$2:$E$129,2,FALSE))</f>
        <v/>
      </c>
      <c r="V29" s="520" t="str">
        <f t="shared" si="4"/>
        <v/>
      </c>
      <c r="W29" s="520" t="str">
        <f>IF(E29="","",IF(AND(V29="Standard difficulty applied",O29&gt;P29),U29,IF(AND(V29="Low Difficulty - only applicable if all habitat created before losses ⚠",P29&gt;=O29),"Low",VLOOKUP(F29,'G-3 Multipliers'!$A$2:$E$129,4,FALSE))))</f>
        <v/>
      </c>
      <c r="X29" s="524" t="str">
        <f>IFERROR(IF(E29="","",VLOOKUP(W29, 'G-3 Multipliers'!$P$2:$Q$6,2,FALSE)),"")</f>
        <v/>
      </c>
      <c r="Y29" s="197"/>
      <c r="Z29" s="499" t="str">
        <f>IF(Y29="","",IF(VLOOKUP(Y29,'G-3 Multipliers'!$S$3:$T$9,2,FALSE)=0,"Spatial Data Missing ⚠",VLOOKUP(Y29,'G-3 Multipliers'!$S$3:$T$9,2,FALSE)))</f>
        <v/>
      </c>
      <c r="AA29" s="545" t="str">
        <f t="shared" si="0"/>
        <v/>
      </c>
      <c r="AB29" s="149"/>
      <c r="AC29" s="150"/>
    </row>
    <row r="30" spans="1:29" ht="13.8" x14ac:dyDescent="0.25">
      <c r="A30" s="31" t="str">
        <f>IFERROR(INDEX('G-8 Condition Look up'!$I$4:$I$130,MATCH(F30,'G-8 Condition Look up'!$A$4:$A$130,0)),"")</f>
        <v/>
      </c>
      <c r="C30" s="244" t="str">
        <f>IFERROR(INDEX('G-1 All Habitats'!$AG$3:$AG$15,MATCH(D30,'G-1 All Habitats'!$AF$3:$AF$15,0)),"")</f>
        <v/>
      </c>
      <c r="D30" s="154"/>
      <c r="E30" s="203"/>
      <c r="F30" s="243" t="str">
        <f>IFERROR(INDEX('G-1 All Habitats'!$B$3:$B$129,MATCH(E30,'G-1 All Habitats'!$A$3:$A$129,0)),"")</f>
        <v/>
      </c>
      <c r="G30" s="386"/>
      <c r="H30" s="537" t="str">
        <f>IF(F30="","",VLOOKUP(F30,'G-1 All Habitats'!$B$2:$M$129,10,FALSE))</f>
        <v/>
      </c>
      <c r="I30" s="524" t="str">
        <f>IFERROR(VLOOKUP(H30,'G-1 All Habitats'!$V$3:$W$7,2,FALSE),"")</f>
        <v/>
      </c>
      <c r="J30" s="199"/>
      <c r="K30" s="524" t="str">
        <f>IFERROR(INDEX('G-8 Condition Look up'!$A$3:$H$130,MATCH(F30,'G-8 Condition Look up'!$A$3:$A$130,0),MATCH(J30,'G-8 Condition Look up'!$A$3:$H$3,0)),"")</f>
        <v/>
      </c>
      <c r="L30" s="145"/>
      <c r="M30" s="540" t="str">
        <f>IF(L30="","",IF(VLOOKUP(L30,'G-3 Multipliers'!$L$3:$N$6,2,FALSE)=0,"Spatial Data Missing ⚠",VLOOKUP(L30,'G-3 Multipliers'!$L$3:$N$6,2,FALSE)))</f>
        <v/>
      </c>
      <c r="N30" s="499" t="str">
        <f>IF(L30="","",IF(VLOOKUP(L30,'G-3 Multipliers'!$L$3:$N$6,3,FALSE)=0,"Spatial Data Missing ⚠",VLOOKUP(L30,'G-3 Multipliers'!$L$3:$N$6,3,FALSE)))</f>
        <v/>
      </c>
      <c r="O30" s="498" t="str">
        <f t="shared" si="1"/>
        <v/>
      </c>
      <c r="P30" s="195"/>
      <c r="Q30" s="195"/>
      <c r="R30" s="520" t="str">
        <f t="shared" si="2"/>
        <v/>
      </c>
      <c r="S30" s="544" t="str">
        <f t="shared" si="3"/>
        <v/>
      </c>
      <c r="T30" s="525" t="str">
        <f>IFERROR(IF(S30="Check Data ⚠","Check Data ⚠",VLOOKUP(S30,'G-4 Temporal multipliers'!$A$4:$C$37,3,FALSE)),"")</f>
        <v/>
      </c>
      <c r="U30" s="523" t="str">
        <f>IF(F30="","",VLOOKUP(F30,'G-3 Multipliers'!$A$2:$E$129,2,FALSE))</f>
        <v/>
      </c>
      <c r="V30" s="520" t="str">
        <f t="shared" si="4"/>
        <v/>
      </c>
      <c r="W30" s="520" t="str">
        <f>IF(E30="","",IF(AND(V30="Standard difficulty applied",O30&gt;P30),U30,IF(AND(V30="Low Difficulty - only applicable if all habitat created before losses ⚠",P30&gt;=O30),"Low",VLOOKUP(F30,'G-3 Multipliers'!$A$2:$E$129,4,FALSE))))</f>
        <v/>
      </c>
      <c r="X30" s="524" t="str">
        <f>IFERROR(IF(E30="","",VLOOKUP(W30, 'G-3 Multipliers'!$P$2:$Q$6,2,FALSE)),"")</f>
        <v/>
      </c>
      <c r="Y30" s="197"/>
      <c r="Z30" s="499" t="str">
        <f>IF(Y30="","",IF(VLOOKUP(Y30,'G-3 Multipliers'!$S$3:$T$9,2,FALSE)=0,"Spatial Data Missing ⚠",VLOOKUP(Y30,'G-3 Multipliers'!$S$3:$T$9,2,FALSE)))</f>
        <v/>
      </c>
      <c r="AA30" s="545" t="str">
        <f t="shared" si="0"/>
        <v/>
      </c>
      <c r="AB30" s="149"/>
      <c r="AC30" s="150"/>
    </row>
    <row r="31" spans="1:29" ht="13.8" x14ac:dyDescent="0.25">
      <c r="A31" s="31" t="str">
        <f>IFERROR(INDEX('G-8 Condition Look up'!$I$4:$I$130,MATCH(F31,'G-8 Condition Look up'!$A$4:$A$130,0)),"")</f>
        <v/>
      </c>
      <c r="C31" s="244" t="str">
        <f>IFERROR(INDEX('G-1 All Habitats'!$AG$3:$AG$15,MATCH(D31,'G-1 All Habitats'!$AF$3:$AF$15,0)),"")</f>
        <v/>
      </c>
      <c r="D31" s="154"/>
      <c r="E31" s="203"/>
      <c r="F31" s="243" t="str">
        <f>IFERROR(INDEX('G-1 All Habitats'!$B$3:$B$129,MATCH(E31,'G-1 All Habitats'!$A$3:$A$129,0)),"")</f>
        <v/>
      </c>
      <c r="G31" s="386"/>
      <c r="H31" s="537" t="str">
        <f>IF(F31="","",VLOOKUP(F31,'G-1 All Habitats'!$B$2:$M$129,10,FALSE))</f>
        <v/>
      </c>
      <c r="I31" s="524" t="str">
        <f>IFERROR(VLOOKUP(H31,'G-1 All Habitats'!$V$3:$W$7,2,FALSE),"")</f>
        <v/>
      </c>
      <c r="J31" s="199"/>
      <c r="K31" s="524" t="str">
        <f>IFERROR(INDEX('G-8 Condition Look up'!$A$3:$H$130,MATCH(F31,'G-8 Condition Look up'!$A$3:$A$130,0),MATCH(J31,'G-8 Condition Look up'!$A$3:$H$3,0)),"")</f>
        <v/>
      </c>
      <c r="L31" s="145"/>
      <c r="M31" s="540" t="str">
        <f>IF(L31="","",IF(VLOOKUP(L31,'G-3 Multipliers'!$L$3:$N$6,2,FALSE)=0,"Spatial Data Missing ⚠",VLOOKUP(L31,'G-3 Multipliers'!$L$3:$N$6,2,FALSE)))</f>
        <v/>
      </c>
      <c r="N31" s="499" t="str">
        <f>IF(L31="","",IF(VLOOKUP(L31,'G-3 Multipliers'!$L$3:$N$6,3,FALSE)=0,"Spatial Data Missing ⚠",VLOOKUP(L31,'G-3 Multipliers'!$L$3:$N$6,3,FALSE)))</f>
        <v/>
      </c>
      <c r="O31" s="498" t="str">
        <f t="shared" si="1"/>
        <v/>
      </c>
      <c r="P31" s="195"/>
      <c r="Q31" s="195"/>
      <c r="R31" s="520" t="str">
        <f t="shared" si="2"/>
        <v/>
      </c>
      <c r="S31" s="544" t="str">
        <f t="shared" si="3"/>
        <v/>
      </c>
      <c r="T31" s="525" t="str">
        <f>IFERROR(IF(S31="Check Data ⚠","Check Data ⚠",VLOOKUP(S31,'G-4 Temporal multipliers'!$A$4:$C$37,3,FALSE)),"")</f>
        <v/>
      </c>
      <c r="U31" s="523" t="str">
        <f>IF(F31="","",VLOOKUP(F31,'G-3 Multipliers'!$A$2:$E$129,2,FALSE))</f>
        <v/>
      </c>
      <c r="V31" s="520" t="str">
        <f t="shared" si="4"/>
        <v/>
      </c>
      <c r="W31" s="520" t="str">
        <f>IF(E31="","",IF(AND(V31="Standard difficulty applied",O31&gt;P31),U31,IF(AND(V31="Low Difficulty - only applicable if all habitat created before losses ⚠",P31&gt;=O31),"Low",VLOOKUP(F31,'G-3 Multipliers'!$A$2:$E$129,4,FALSE))))</f>
        <v/>
      </c>
      <c r="X31" s="524" t="str">
        <f>IFERROR(IF(E31="","",VLOOKUP(W31, 'G-3 Multipliers'!$P$2:$Q$6,2,FALSE)),"")</f>
        <v/>
      </c>
      <c r="Y31" s="197"/>
      <c r="Z31" s="499" t="str">
        <f>IF(Y31="","",IF(VLOOKUP(Y31,'G-3 Multipliers'!$S$3:$T$9,2,FALSE)=0,"Spatial Data Missing ⚠",VLOOKUP(Y31,'G-3 Multipliers'!$S$3:$T$9,2,FALSE)))</f>
        <v/>
      </c>
      <c r="AA31" s="545" t="str">
        <f t="shared" si="0"/>
        <v/>
      </c>
      <c r="AB31" s="149"/>
      <c r="AC31" s="150"/>
    </row>
    <row r="32" spans="1:29" ht="13.8" x14ac:dyDescent="0.25">
      <c r="A32" s="31" t="str">
        <f>IFERROR(INDEX('G-8 Condition Look up'!$I$4:$I$130,MATCH(F32,'G-8 Condition Look up'!$A$4:$A$130,0)),"")</f>
        <v/>
      </c>
      <c r="C32" s="244" t="str">
        <f>IFERROR(INDEX('G-1 All Habitats'!$AG$3:$AG$15,MATCH(D32,'G-1 All Habitats'!$AF$3:$AF$15,0)),"")</f>
        <v/>
      </c>
      <c r="D32" s="154"/>
      <c r="E32" s="203"/>
      <c r="F32" s="243" t="str">
        <f>IFERROR(INDEX('G-1 All Habitats'!$B$3:$B$129,MATCH(E32,'G-1 All Habitats'!$A$3:$A$129,0)),"")</f>
        <v/>
      </c>
      <c r="G32" s="386"/>
      <c r="H32" s="537" t="str">
        <f>IF(F32="","",VLOOKUP(F32,'G-1 All Habitats'!$B$2:$M$129,10,FALSE))</f>
        <v/>
      </c>
      <c r="I32" s="524" t="str">
        <f>IFERROR(VLOOKUP(H32,'G-1 All Habitats'!$V$3:$W$7,2,FALSE),"")</f>
        <v/>
      </c>
      <c r="J32" s="199"/>
      <c r="K32" s="524" t="str">
        <f>IFERROR(INDEX('G-8 Condition Look up'!$A$3:$H$130,MATCH(F32,'G-8 Condition Look up'!$A$3:$A$130,0),MATCH(J32,'G-8 Condition Look up'!$A$3:$H$3,0)),"")</f>
        <v/>
      </c>
      <c r="L32" s="145"/>
      <c r="M32" s="540" t="str">
        <f>IF(L32="","",IF(VLOOKUP(L32,'G-3 Multipliers'!$L$3:$N$6,2,FALSE)=0,"Spatial Data Missing ⚠",VLOOKUP(L32,'G-3 Multipliers'!$L$3:$N$6,2,FALSE)))</f>
        <v/>
      </c>
      <c r="N32" s="499" t="str">
        <f>IF(L32="","",IF(VLOOKUP(L32,'G-3 Multipliers'!$L$3:$N$6,3,FALSE)=0,"Spatial Data Missing ⚠",VLOOKUP(L32,'G-3 Multipliers'!$L$3:$N$6,3,FALSE)))</f>
        <v/>
      </c>
      <c r="O32" s="498" t="str">
        <f t="shared" si="1"/>
        <v/>
      </c>
      <c r="P32" s="195"/>
      <c r="Q32" s="195"/>
      <c r="R32" s="520" t="str">
        <f t="shared" si="2"/>
        <v/>
      </c>
      <c r="S32" s="544" t="str">
        <f t="shared" si="3"/>
        <v/>
      </c>
      <c r="T32" s="525" t="str">
        <f>IFERROR(IF(S32="Check Data ⚠","Check Data ⚠",VLOOKUP(S32,'G-4 Temporal multipliers'!$A$4:$C$37,3,FALSE)),"")</f>
        <v/>
      </c>
      <c r="U32" s="523" t="str">
        <f>IF(F32="","",VLOOKUP(F32,'G-3 Multipliers'!$A$2:$E$129,2,FALSE))</f>
        <v/>
      </c>
      <c r="V32" s="520" t="str">
        <f t="shared" si="4"/>
        <v/>
      </c>
      <c r="W32" s="520" t="str">
        <f>IF(E32="","",IF(AND(V32="Standard difficulty applied",O32&gt;P32),U32,IF(AND(V32="Low Difficulty - only applicable if all habitat created before losses ⚠",P32&gt;=O32),"Low",VLOOKUP(F32,'G-3 Multipliers'!$A$2:$E$129,4,FALSE))))</f>
        <v/>
      </c>
      <c r="X32" s="524" t="str">
        <f>IFERROR(IF(E32="","",VLOOKUP(W32, 'G-3 Multipliers'!$P$2:$Q$6,2,FALSE)),"")</f>
        <v/>
      </c>
      <c r="Y32" s="197"/>
      <c r="Z32" s="499" t="str">
        <f>IF(Y32="","",IF(VLOOKUP(Y32,'G-3 Multipliers'!$S$3:$T$9,2,FALSE)=0,"Spatial Data Missing ⚠",VLOOKUP(Y32,'G-3 Multipliers'!$S$3:$T$9,2,FALSE)))</f>
        <v/>
      </c>
      <c r="AA32" s="545" t="str">
        <f t="shared" si="0"/>
        <v/>
      </c>
      <c r="AB32" s="149"/>
      <c r="AC32" s="150"/>
    </row>
    <row r="33" spans="1:29" ht="13.8" x14ac:dyDescent="0.25">
      <c r="A33" s="31" t="str">
        <f>IFERROR(INDEX('G-8 Condition Look up'!$I$4:$I$130,MATCH(F33,'G-8 Condition Look up'!$A$4:$A$130,0)),"")</f>
        <v/>
      </c>
      <c r="C33" s="244" t="str">
        <f>IFERROR(INDEX('G-1 All Habitats'!$AG$3:$AG$15,MATCH(D33,'G-1 All Habitats'!$AF$3:$AF$15,0)),"")</f>
        <v/>
      </c>
      <c r="D33" s="154"/>
      <c r="E33" s="203"/>
      <c r="F33" s="243" t="str">
        <f>IFERROR(INDEX('G-1 All Habitats'!$B$3:$B$129,MATCH(E33,'G-1 All Habitats'!$A$3:$A$129,0)),"")</f>
        <v/>
      </c>
      <c r="G33" s="386"/>
      <c r="H33" s="537" t="str">
        <f>IF(F33="","",VLOOKUP(F33,'G-1 All Habitats'!$B$2:$M$129,10,FALSE))</f>
        <v/>
      </c>
      <c r="I33" s="524" t="str">
        <f>IFERROR(VLOOKUP(H33,'G-1 All Habitats'!$V$3:$W$7,2,FALSE),"")</f>
        <v/>
      </c>
      <c r="J33" s="199"/>
      <c r="K33" s="524" t="str">
        <f>IFERROR(INDEX('G-8 Condition Look up'!$A$3:$H$130,MATCH(F33,'G-8 Condition Look up'!$A$3:$A$130,0),MATCH(J33,'G-8 Condition Look up'!$A$3:$H$3,0)),"")</f>
        <v/>
      </c>
      <c r="L33" s="145"/>
      <c r="M33" s="540" t="str">
        <f>IF(L33="","",IF(VLOOKUP(L33,'G-3 Multipliers'!$L$3:$N$6,2,FALSE)=0,"Spatial Data Missing ⚠",VLOOKUP(L33,'G-3 Multipliers'!$L$3:$N$6,2,FALSE)))</f>
        <v/>
      </c>
      <c r="N33" s="499" t="str">
        <f>IF(L33="","",IF(VLOOKUP(L33,'G-3 Multipliers'!$L$3:$N$6,3,FALSE)=0,"Spatial Data Missing ⚠",VLOOKUP(L33,'G-3 Multipliers'!$L$3:$N$6,3,FALSE)))</f>
        <v/>
      </c>
      <c r="O33" s="498" t="str">
        <f t="shared" si="1"/>
        <v/>
      </c>
      <c r="P33" s="195"/>
      <c r="Q33" s="195"/>
      <c r="R33" s="520" t="str">
        <f t="shared" si="2"/>
        <v/>
      </c>
      <c r="S33" s="544" t="str">
        <f t="shared" si="3"/>
        <v/>
      </c>
      <c r="T33" s="525" t="str">
        <f>IFERROR(IF(S33="Check Data ⚠","Check Data ⚠",VLOOKUP(S33,'G-4 Temporal multipliers'!$A$4:$C$37,3,FALSE)),"")</f>
        <v/>
      </c>
      <c r="U33" s="523" t="str">
        <f>IF(F33="","",VLOOKUP(F33,'G-3 Multipliers'!$A$2:$E$129,2,FALSE))</f>
        <v/>
      </c>
      <c r="V33" s="520" t="str">
        <f t="shared" si="4"/>
        <v/>
      </c>
      <c r="W33" s="520" t="str">
        <f>IF(E33="","",IF(AND(V33="Standard difficulty applied",O33&gt;P33),U33,IF(AND(V33="Low Difficulty - only applicable if all habitat created before losses ⚠",P33&gt;=O33),"Low",VLOOKUP(F33,'G-3 Multipliers'!$A$2:$E$129,4,FALSE))))</f>
        <v/>
      </c>
      <c r="X33" s="524" t="str">
        <f>IFERROR(IF(E33="","",VLOOKUP(W33, 'G-3 Multipliers'!$P$2:$Q$6,2,FALSE)),"")</f>
        <v/>
      </c>
      <c r="Y33" s="197"/>
      <c r="Z33" s="499" t="str">
        <f>IF(Y33="","",IF(VLOOKUP(Y33,'G-3 Multipliers'!$S$3:$T$9,2,FALSE)=0,"Spatial Data Missing ⚠",VLOOKUP(Y33,'G-3 Multipliers'!$S$3:$T$9,2,FALSE)))</f>
        <v/>
      </c>
      <c r="AA33" s="545" t="str">
        <f t="shared" si="0"/>
        <v/>
      </c>
      <c r="AB33" s="149"/>
      <c r="AC33" s="150"/>
    </row>
    <row r="34" spans="1:29" ht="13.8" x14ac:dyDescent="0.25">
      <c r="A34" s="31" t="str">
        <f>IFERROR(INDEX('G-8 Condition Look up'!$I$4:$I$130,MATCH(F34,'G-8 Condition Look up'!$A$4:$A$130,0)),"")</f>
        <v/>
      </c>
      <c r="C34" s="244" t="str">
        <f>IFERROR(INDEX('G-1 All Habitats'!$AG$3:$AG$15,MATCH(D34,'G-1 All Habitats'!$AF$3:$AF$15,0)),"")</f>
        <v/>
      </c>
      <c r="D34" s="154"/>
      <c r="E34" s="203"/>
      <c r="F34" s="243" t="str">
        <f>IFERROR(INDEX('G-1 All Habitats'!$B$3:$B$129,MATCH(E34,'G-1 All Habitats'!$A$3:$A$129,0)),"")</f>
        <v/>
      </c>
      <c r="G34" s="386"/>
      <c r="H34" s="537" t="str">
        <f>IF(F34="","",VLOOKUP(F34,'G-1 All Habitats'!$B$2:$M$129,10,FALSE))</f>
        <v/>
      </c>
      <c r="I34" s="524" t="str">
        <f>IFERROR(VLOOKUP(H34,'G-1 All Habitats'!$V$3:$W$7,2,FALSE),"")</f>
        <v/>
      </c>
      <c r="J34" s="199"/>
      <c r="K34" s="524" t="str">
        <f>IFERROR(INDEX('G-8 Condition Look up'!$A$3:$H$130,MATCH(F34,'G-8 Condition Look up'!$A$3:$A$130,0),MATCH(J34,'G-8 Condition Look up'!$A$3:$H$3,0)),"")</f>
        <v/>
      </c>
      <c r="L34" s="145"/>
      <c r="M34" s="540" t="str">
        <f>IF(L34="","",IF(VLOOKUP(L34,'G-3 Multipliers'!$L$3:$N$6,2,FALSE)=0,"Spatial Data Missing ⚠",VLOOKUP(L34,'G-3 Multipliers'!$L$3:$N$6,2,FALSE)))</f>
        <v/>
      </c>
      <c r="N34" s="499" t="str">
        <f>IF(L34="","",IF(VLOOKUP(L34,'G-3 Multipliers'!$L$3:$N$6,3,FALSE)=0,"Spatial Data Missing ⚠",VLOOKUP(L34,'G-3 Multipliers'!$L$3:$N$6,3,FALSE)))</f>
        <v/>
      </c>
      <c r="O34" s="498" t="str">
        <f t="shared" si="1"/>
        <v/>
      </c>
      <c r="P34" s="195"/>
      <c r="Q34" s="195"/>
      <c r="R34" s="520" t="str">
        <f t="shared" si="2"/>
        <v/>
      </c>
      <c r="S34" s="544" t="str">
        <f t="shared" si="3"/>
        <v/>
      </c>
      <c r="T34" s="525" t="str">
        <f>IFERROR(IF(S34="Check Data ⚠","Check Data ⚠",VLOOKUP(S34,'G-4 Temporal multipliers'!$A$4:$C$37,3,FALSE)),"")</f>
        <v/>
      </c>
      <c r="U34" s="523" t="str">
        <f>IF(F34="","",VLOOKUP(F34,'G-3 Multipliers'!$A$2:$E$129,2,FALSE))</f>
        <v/>
      </c>
      <c r="V34" s="520" t="str">
        <f t="shared" si="4"/>
        <v/>
      </c>
      <c r="W34" s="520" t="str">
        <f>IF(E34="","",IF(AND(V34="Standard difficulty applied",O34&gt;P34),U34,IF(AND(V34="Low Difficulty - only applicable if all habitat created before losses ⚠",P34&gt;=O34),"Low",VLOOKUP(F34,'G-3 Multipliers'!$A$2:$E$129,4,FALSE))))</f>
        <v/>
      </c>
      <c r="X34" s="524" t="str">
        <f>IFERROR(IF(E34="","",VLOOKUP(W34, 'G-3 Multipliers'!$P$2:$Q$6,2,FALSE)),"")</f>
        <v/>
      </c>
      <c r="Y34" s="197"/>
      <c r="Z34" s="499" t="str">
        <f>IF(Y34="","",IF(VLOOKUP(Y34,'G-3 Multipliers'!$S$3:$T$9,2,FALSE)=0,"Spatial Data Missing ⚠",VLOOKUP(Y34,'G-3 Multipliers'!$S$3:$T$9,2,FALSE)))</f>
        <v/>
      </c>
      <c r="AA34" s="545" t="str">
        <f t="shared" si="0"/>
        <v/>
      </c>
      <c r="AB34" s="149"/>
      <c r="AC34" s="150"/>
    </row>
    <row r="35" spans="1:29" ht="13.8" x14ac:dyDescent="0.25">
      <c r="A35" s="31" t="str">
        <f>IFERROR(INDEX('G-8 Condition Look up'!$I$4:$I$130,MATCH(F35,'G-8 Condition Look up'!$A$4:$A$130,0)),"")</f>
        <v/>
      </c>
      <c r="C35" s="244" t="str">
        <f>IFERROR(INDEX('G-1 All Habitats'!$AG$3:$AG$15,MATCH(D35,'G-1 All Habitats'!$AF$3:$AF$15,0)),"")</f>
        <v/>
      </c>
      <c r="D35" s="154"/>
      <c r="E35" s="203"/>
      <c r="F35" s="243" t="str">
        <f>IFERROR(INDEX('G-1 All Habitats'!$B$3:$B$129,MATCH(E35,'G-1 All Habitats'!$A$3:$A$129,0)),"")</f>
        <v/>
      </c>
      <c r="G35" s="386"/>
      <c r="H35" s="537" t="str">
        <f>IF(F35="","",VLOOKUP(F35,'G-1 All Habitats'!$B$2:$M$129,10,FALSE))</f>
        <v/>
      </c>
      <c r="I35" s="524" t="str">
        <f>IFERROR(VLOOKUP(H35,'G-1 All Habitats'!$V$3:$W$7,2,FALSE),"")</f>
        <v/>
      </c>
      <c r="J35" s="199"/>
      <c r="K35" s="524" t="str">
        <f>IFERROR(INDEX('G-8 Condition Look up'!$A$3:$H$130,MATCH(F35,'G-8 Condition Look up'!$A$3:$A$130,0),MATCH(J35,'G-8 Condition Look up'!$A$3:$H$3,0)),"")</f>
        <v/>
      </c>
      <c r="L35" s="145"/>
      <c r="M35" s="540" t="str">
        <f>IF(L35="","",IF(VLOOKUP(L35,'G-3 Multipliers'!$L$3:$N$6,2,FALSE)=0,"Spatial Data Missing ⚠",VLOOKUP(L35,'G-3 Multipliers'!$L$3:$N$6,2,FALSE)))</f>
        <v/>
      </c>
      <c r="N35" s="499" t="str">
        <f>IF(L35="","",IF(VLOOKUP(L35,'G-3 Multipliers'!$L$3:$N$6,3,FALSE)=0,"Spatial Data Missing ⚠",VLOOKUP(L35,'G-3 Multipliers'!$L$3:$N$6,3,FALSE)))</f>
        <v/>
      </c>
      <c r="O35" s="498" t="str">
        <f t="shared" si="1"/>
        <v/>
      </c>
      <c r="P35" s="195"/>
      <c r="Q35" s="195"/>
      <c r="R35" s="520" t="str">
        <f t="shared" si="2"/>
        <v/>
      </c>
      <c r="S35" s="544" t="str">
        <f t="shared" si="3"/>
        <v/>
      </c>
      <c r="T35" s="525" t="str">
        <f>IFERROR(IF(S35="Check Data ⚠","Check Data ⚠",VLOOKUP(S35,'G-4 Temporal multipliers'!$A$4:$C$37,3,FALSE)),"")</f>
        <v/>
      </c>
      <c r="U35" s="523" t="str">
        <f>IF(F35="","",VLOOKUP(F35,'G-3 Multipliers'!$A$2:$E$129,2,FALSE))</f>
        <v/>
      </c>
      <c r="V35" s="520" t="str">
        <f t="shared" si="4"/>
        <v/>
      </c>
      <c r="W35" s="520" t="str">
        <f>IF(E35="","",IF(AND(V35="Standard difficulty applied",O35&gt;P35),U35,IF(AND(V35="Low Difficulty - only applicable if all habitat created before losses ⚠",P35&gt;=O35),"Low",VLOOKUP(F35,'G-3 Multipliers'!$A$2:$E$129,4,FALSE))))</f>
        <v/>
      </c>
      <c r="X35" s="524" t="str">
        <f>IFERROR(IF(E35="","",VLOOKUP(W35, 'G-3 Multipliers'!$P$2:$Q$6,2,FALSE)),"")</f>
        <v/>
      </c>
      <c r="Y35" s="197"/>
      <c r="Z35" s="499" t="str">
        <f>IF(Y35="","",IF(VLOOKUP(Y35,'G-3 Multipliers'!$S$3:$T$9,2,FALSE)=0,"Spatial Data Missing ⚠",VLOOKUP(Y35,'G-3 Multipliers'!$S$3:$T$9,2,FALSE)))</f>
        <v/>
      </c>
      <c r="AA35" s="545" t="str">
        <f t="shared" si="0"/>
        <v/>
      </c>
      <c r="AB35" s="149"/>
      <c r="AC35" s="150"/>
    </row>
    <row r="36" spans="1:29" ht="13.8" x14ac:dyDescent="0.25">
      <c r="A36" s="31" t="str">
        <f>IFERROR(INDEX('G-8 Condition Look up'!$I$4:$I$130,MATCH(F36,'G-8 Condition Look up'!$A$4:$A$130,0)),"")</f>
        <v/>
      </c>
      <c r="C36" s="244" t="str">
        <f>IFERROR(INDEX('G-1 All Habitats'!$AG$3:$AG$15,MATCH(D36,'G-1 All Habitats'!$AF$3:$AF$15,0)),"")</f>
        <v/>
      </c>
      <c r="D36" s="154"/>
      <c r="E36" s="203"/>
      <c r="F36" s="243" t="str">
        <f>IFERROR(INDEX('G-1 All Habitats'!$B$3:$B$129,MATCH(E36,'G-1 All Habitats'!$A$3:$A$129,0)),"")</f>
        <v/>
      </c>
      <c r="G36" s="386"/>
      <c r="H36" s="537" t="str">
        <f>IF(F36="","",VLOOKUP(F36,'G-1 All Habitats'!$B$2:$M$129,10,FALSE))</f>
        <v/>
      </c>
      <c r="I36" s="524" t="str">
        <f>IFERROR(VLOOKUP(H36,'G-1 All Habitats'!$V$3:$W$7,2,FALSE),"")</f>
        <v/>
      </c>
      <c r="J36" s="199"/>
      <c r="K36" s="524" t="str">
        <f>IFERROR(INDEX('G-8 Condition Look up'!$A$3:$H$130,MATCH(F36,'G-8 Condition Look up'!$A$3:$A$130,0),MATCH(J36,'G-8 Condition Look up'!$A$3:$H$3,0)),"")</f>
        <v/>
      </c>
      <c r="L36" s="145"/>
      <c r="M36" s="540" t="str">
        <f>IF(L36="","",IF(VLOOKUP(L36,'G-3 Multipliers'!$L$3:$N$6,2,FALSE)=0,"Spatial Data Missing ⚠",VLOOKUP(L36,'G-3 Multipliers'!$L$3:$N$6,2,FALSE)))</f>
        <v/>
      </c>
      <c r="N36" s="499" t="str">
        <f>IF(L36="","",IF(VLOOKUP(L36,'G-3 Multipliers'!$L$3:$N$6,3,FALSE)=0,"Spatial Data Missing ⚠",VLOOKUP(L36,'G-3 Multipliers'!$L$3:$N$6,3,FALSE)))</f>
        <v/>
      </c>
      <c r="O36" s="498" t="str">
        <f t="shared" si="1"/>
        <v/>
      </c>
      <c r="P36" s="195"/>
      <c r="Q36" s="195"/>
      <c r="R36" s="520" t="str">
        <f t="shared" si="2"/>
        <v/>
      </c>
      <c r="S36" s="544" t="str">
        <f t="shared" si="3"/>
        <v/>
      </c>
      <c r="T36" s="525" t="str">
        <f>IFERROR(IF(S36="Check Data ⚠","Check Data ⚠",VLOOKUP(S36,'G-4 Temporal multipliers'!$A$4:$C$37,3,FALSE)),"")</f>
        <v/>
      </c>
      <c r="U36" s="523" t="str">
        <f>IF(F36="","",VLOOKUP(F36,'G-3 Multipliers'!$A$2:$E$129,2,FALSE))</f>
        <v/>
      </c>
      <c r="V36" s="520" t="str">
        <f t="shared" si="4"/>
        <v/>
      </c>
      <c r="W36" s="520" t="str">
        <f>IF(E36="","",IF(AND(V36="Standard difficulty applied",O36&gt;P36),U36,IF(AND(V36="Low Difficulty - only applicable if all habitat created before losses ⚠",P36&gt;=O36),"Low",VLOOKUP(F36,'G-3 Multipliers'!$A$2:$E$129,4,FALSE))))</f>
        <v/>
      </c>
      <c r="X36" s="524" t="str">
        <f>IFERROR(IF(E36="","",VLOOKUP(W36, 'G-3 Multipliers'!$P$2:$Q$6,2,FALSE)),"")</f>
        <v/>
      </c>
      <c r="Y36" s="197"/>
      <c r="Z36" s="499" t="str">
        <f>IF(Y36="","",IF(VLOOKUP(Y36,'G-3 Multipliers'!$S$3:$T$9,2,FALSE)=0,"Spatial Data Missing ⚠",VLOOKUP(Y36,'G-3 Multipliers'!$S$3:$T$9,2,FALSE)))</f>
        <v/>
      </c>
      <c r="AA36" s="545" t="str">
        <f t="shared" si="0"/>
        <v/>
      </c>
      <c r="AB36" s="149"/>
      <c r="AC36" s="150"/>
    </row>
    <row r="37" spans="1:29" ht="13.8" x14ac:dyDescent="0.25">
      <c r="A37" s="31" t="str">
        <f>IFERROR(INDEX('G-8 Condition Look up'!$I$4:$I$130,MATCH(F37,'G-8 Condition Look up'!$A$4:$A$130,0)),"")</f>
        <v/>
      </c>
      <c r="C37" s="244" t="str">
        <f>IFERROR(INDEX('G-1 All Habitats'!$AG$3:$AG$15,MATCH(D37,'G-1 All Habitats'!$AF$3:$AF$15,0)),"")</f>
        <v/>
      </c>
      <c r="D37" s="154"/>
      <c r="E37" s="203"/>
      <c r="F37" s="243" t="str">
        <f>IFERROR(INDEX('G-1 All Habitats'!$B$3:$B$129,MATCH(E37,'G-1 All Habitats'!$A$3:$A$129,0)),"")</f>
        <v/>
      </c>
      <c r="G37" s="386"/>
      <c r="H37" s="537" t="str">
        <f>IF(F37="","",VLOOKUP(F37,'G-1 All Habitats'!$B$2:$M$129,10,FALSE))</f>
        <v/>
      </c>
      <c r="I37" s="524" t="str">
        <f>IFERROR(VLOOKUP(H37,'G-1 All Habitats'!$V$3:$W$7,2,FALSE),"")</f>
        <v/>
      </c>
      <c r="J37" s="199"/>
      <c r="K37" s="524" t="str">
        <f>IFERROR(INDEX('G-8 Condition Look up'!$A$3:$H$130,MATCH(F37,'G-8 Condition Look up'!$A$3:$A$130,0),MATCH(J37,'G-8 Condition Look up'!$A$3:$H$3,0)),"")</f>
        <v/>
      </c>
      <c r="L37" s="145"/>
      <c r="M37" s="540" t="str">
        <f>IF(L37="","",IF(VLOOKUP(L37,'G-3 Multipliers'!$L$3:$N$6,2,FALSE)=0,"Spatial Data Missing ⚠",VLOOKUP(L37,'G-3 Multipliers'!$L$3:$N$6,2,FALSE)))</f>
        <v/>
      </c>
      <c r="N37" s="499" t="str">
        <f>IF(L37="","",IF(VLOOKUP(L37,'G-3 Multipliers'!$L$3:$N$6,3,FALSE)=0,"Spatial Data Missing ⚠",VLOOKUP(L37,'G-3 Multipliers'!$L$3:$N$6,3,FALSE)))</f>
        <v/>
      </c>
      <c r="O37" s="498" t="str">
        <f t="shared" si="1"/>
        <v/>
      </c>
      <c r="P37" s="195"/>
      <c r="Q37" s="195"/>
      <c r="R37" s="520" t="str">
        <f t="shared" si="2"/>
        <v/>
      </c>
      <c r="S37" s="544" t="str">
        <f t="shared" si="3"/>
        <v/>
      </c>
      <c r="T37" s="525" t="str">
        <f>IFERROR(IF(S37="Check Data ⚠","Check Data ⚠",VLOOKUP(S37,'G-4 Temporal multipliers'!$A$4:$C$37,3,FALSE)),"")</f>
        <v/>
      </c>
      <c r="U37" s="523" t="str">
        <f>IF(F37="","",VLOOKUP(F37,'G-3 Multipliers'!$A$2:$E$129,2,FALSE))</f>
        <v/>
      </c>
      <c r="V37" s="520" t="str">
        <f t="shared" si="4"/>
        <v/>
      </c>
      <c r="W37" s="520" t="str">
        <f>IF(E37="","",IF(AND(V37="Standard difficulty applied",O37&gt;P37),U37,IF(AND(V37="Low Difficulty - only applicable if all habitat created before losses ⚠",P37&gt;=O37),"Low",VLOOKUP(F37,'G-3 Multipliers'!$A$2:$E$129,4,FALSE))))</f>
        <v/>
      </c>
      <c r="X37" s="524" t="str">
        <f>IFERROR(IF(E37="","",VLOOKUP(W37, 'G-3 Multipliers'!$P$2:$Q$6,2,FALSE)),"")</f>
        <v/>
      </c>
      <c r="Y37" s="197"/>
      <c r="Z37" s="499" t="str">
        <f>IF(Y37="","",IF(VLOOKUP(Y37,'G-3 Multipliers'!$S$3:$T$9,2,FALSE)=0,"Spatial Data Missing ⚠",VLOOKUP(Y37,'G-3 Multipliers'!$S$3:$T$9,2,FALSE)))</f>
        <v/>
      </c>
      <c r="AA37" s="545" t="str">
        <f t="shared" si="0"/>
        <v/>
      </c>
      <c r="AB37" s="149"/>
      <c r="AC37" s="150"/>
    </row>
    <row r="38" spans="1:29" ht="13.8" x14ac:dyDescent="0.25">
      <c r="A38" s="31" t="str">
        <f>IFERROR(INDEX('G-8 Condition Look up'!$I$4:$I$130,MATCH(F38,'G-8 Condition Look up'!$A$4:$A$130,0)),"")</f>
        <v/>
      </c>
      <c r="C38" s="244" t="str">
        <f>IFERROR(INDEX('G-1 All Habitats'!$AG$3:$AG$15,MATCH(D38,'G-1 All Habitats'!$AF$3:$AF$15,0)),"")</f>
        <v/>
      </c>
      <c r="D38" s="154"/>
      <c r="E38" s="203"/>
      <c r="F38" s="243" t="str">
        <f>IFERROR(INDEX('G-1 All Habitats'!$B$3:$B$129,MATCH(E38,'G-1 All Habitats'!$A$3:$A$129,0)),"")</f>
        <v/>
      </c>
      <c r="G38" s="386"/>
      <c r="H38" s="537" t="str">
        <f>IF(F38="","",VLOOKUP(F38,'G-1 All Habitats'!$B$2:$M$129,10,FALSE))</f>
        <v/>
      </c>
      <c r="I38" s="524" t="str">
        <f>IFERROR(VLOOKUP(H38,'G-1 All Habitats'!$V$3:$W$7,2,FALSE),"")</f>
        <v/>
      </c>
      <c r="J38" s="199"/>
      <c r="K38" s="524" t="str">
        <f>IFERROR(INDEX('G-8 Condition Look up'!$A$3:$H$130,MATCH(F38,'G-8 Condition Look up'!$A$3:$A$130,0),MATCH(J38,'G-8 Condition Look up'!$A$3:$H$3,0)),"")</f>
        <v/>
      </c>
      <c r="L38" s="145"/>
      <c r="M38" s="540" t="str">
        <f>IF(L38="","",IF(VLOOKUP(L38,'G-3 Multipliers'!$L$3:$N$6,2,FALSE)=0,"Spatial Data Missing ⚠",VLOOKUP(L38,'G-3 Multipliers'!$L$3:$N$6,2,FALSE)))</f>
        <v/>
      </c>
      <c r="N38" s="499" t="str">
        <f>IF(L38="","",IF(VLOOKUP(L38,'G-3 Multipliers'!$L$3:$N$6,3,FALSE)=0,"Spatial Data Missing ⚠",VLOOKUP(L38,'G-3 Multipliers'!$L$3:$N$6,3,FALSE)))</f>
        <v/>
      </c>
      <c r="O38" s="498" t="str">
        <f t="shared" si="1"/>
        <v/>
      </c>
      <c r="P38" s="195"/>
      <c r="Q38" s="195"/>
      <c r="R38" s="520" t="str">
        <f t="shared" si="2"/>
        <v/>
      </c>
      <c r="S38" s="544" t="str">
        <f t="shared" si="3"/>
        <v/>
      </c>
      <c r="T38" s="525" t="str">
        <f>IFERROR(IF(S38="Check Data ⚠","Check Data ⚠",VLOOKUP(S38,'G-4 Temporal multipliers'!$A$4:$C$37,3,FALSE)),"")</f>
        <v/>
      </c>
      <c r="U38" s="523" t="str">
        <f>IF(F38="","",VLOOKUP(F38,'G-3 Multipliers'!$A$2:$E$129,2,FALSE))</f>
        <v/>
      </c>
      <c r="V38" s="520" t="str">
        <f t="shared" si="4"/>
        <v/>
      </c>
      <c r="W38" s="520" t="str">
        <f>IF(E38="","",IF(AND(V38="Standard difficulty applied",O38&gt;P38),U38,IF(AND(V38="Low Difficulty - only applicable if all habitat created before losses ⚠",P38&gt;=O38),"Low",VLOOKUP(F38,'G-3 Multipliers'!$A$2:$E$129,4,FALSE))))</f>
        <v/>
      </c>
      <c r="X38" s="524" t="str">
        <f>IFERROR(IF(E38="","",VLOOKUP(W38, 'G-3 Multipliers'!$P$2:$Q$6,2,FALSE)),"")</f>
        <v/>
      </c>
      <c r="Y38" s="197"/>
      <c r="Z38" s="499" t="str">
        <f>IF(Y38="","",IF(VLOOKUP(Y38,'G-3 Multipliers'!$S$3:$T$9,2,FALSE)=0,"Spatial Data Missing ⚠",VLOOKUP(Y38,'G-3 Multipliers'!$S$3:$T$9,2,FALSE)))</f>
        <v/>
      </c>
      <c r="AA38" s="545" t="str">
        <f t="shared" si="0"/>
        <v/>
      </c>
      <c r="AB38" s="149"/>
      <c r="AC38" s="150"/>
    </row>
    <row r="39" spans="1:29" ht="13.8" x14ac:dyDescent="0.25">
      <c r="A39" s="31" t="str">
        <f>IFERROR(INDEX('G-8 Condition Look up'!$I$4:$I$130,MATCH(F39,'G-8 Condition Look up'!$A$4:$A$130,0)),"")</f>
        <v/>
      </c>
      <c r="C39" s="244" t="str">
        <f>IFERROR(INDEX('G-1 All Habitats'!$AG$3:$AG$15,MATCH(D39,'G-1 All Habitats'!$AF$3:$AF$15,0)),"")</f>
        <v/>
      </c>
      <c r="D39" s="154"/>
      <c r="E39" s="203"/>
      <c r="F39" s="243" t="str">
        <f>IFERROR(INDEX('G-1 All Habitats'!$B$3:$B$129,MATCH(E39,'G-1 All Habitats'!$A$3:$A$129,0)),"")</f>
        <v/>
      </c>
      <c r="G39" s="386"/>
      <c r="H39" s="537" t="str">
        <f>IF(F39="","",VLOOKUP(F39,'G-1 All Habitats'!$B$2:$M$129,10,FALSE))</f>
        <v/>
      </c>
      <c r="I39" s="524" t="str">
        <f>IFERROR(VLOOKUP(H39,'G-1 All Habitats'!$V$3:$W$7,2,FALSE),"")</f>
        <v/>
      </c>
      <c r="J39" s="199"/>
      <c r="K39" s="524" t="str">
        <f>IFERROR(INDEX('G-8 Condition Look up'!$A$3:$H$130,MATCH(F39,'G-8 Condition Look up'!$A$3:$A$130,0),MATCH(J39,'G-8 Condition Look up'!$A$3:$H$3,0)),"")</f>
        <v/>
      </c>
      <c r="L39" s="145"/>
      <c r="M39" s="540" t="str">
        <f>IF(L39="","",IF(VLOOKUP(L39,'G-3 Multipliers'!$L$3:$N$6,2,FALSE)=0,"Spatial Data Missing ⚠",VLOOKUP(L39,'G-3 Multipliers'!$L$3:$N$6,2,FALSE)))</f>
        <v/>
      </c>
      <c r="N39" s="499" t="str">
        <f>IF(L39="","",IF(VLOOKUP(L39,'G-3 Multipliers'!$L$3:$N$6,3,FALSE)=0,"Spatial Data Missing ⚠",VLOOKUP(L39,'G-3 Multipliers'!$L$3:$N$6,3,FALSE)))</f>
        <v/>
      </c>
      <c r="O39" s="498" t="str">
        <f t="shared" si="1"/>
        <v/>
      </c>
      <c r="P39" s="195"/>
      <c r="Q39" s="195"/>
      <c r="R39" s="520" t="str">
        <f t="shared" si="2"/>
        <v/>
      </c>
      <c r="S39" s="544" t="str">
        <f t="shared" si="3"/>
        <v/>
      </c>
      <c r="T39" s="525" t="str">
        <f>IFERROR(IF(S39="Check Data ⚠","Check Data ⚠",VLOOKUP(S39,'G-4 Temporal multipliers'!$A$4:$C$37,3,FALSE)),"")</f>
        <v/>
      </c>
      <c r="U39" s="523" t="str">
        <f>IF(F39="","",VLOOKUP(F39,'G-3 Multipliers'!$A$2:$E$129,2,FALSE))</f>
        <v/>
      </c>
      <c r="V39" s="520" t="str">
        <f t="shared" si="4"/>
        <v/>
      </c>
      <c r="W39" s="520" t="str">
        <f>IF(E39="","",IF(AND(V39="Standard difficulty applied",O39&gt;P39),U39,IF(AND(V39="Low Difficulty - only applicable if all habitat created before losses ⚠",P39&gt;=O39),"Low",VLOOKUP(F39,'G-3 Multipliers'!$A$2:$E$129,4,FALSE))))</f>
        <v/>
      </c>
      <c r="X39" s="524" t="str">
        <f>IFERROR(IF(E39="","",VLOOKUP(W39, 'G-3 Multipliers'!$P$2:$Q$6,2,FALSE)),"")</f>
        <v/>
      </c>
      <c r="Y39" s="197"/>
      <c r="Z39" s="499" t="str">
        <f>IF(Y39="","",IF(VLOOKUP(Y39,'G-3 Multipliers'!$S$3:$T$9,2,FALSE)=0,"Spatial Data Missing ⚠",VLOOKUP(Y39,'G-3 Multipliers'!$S$3:$T$9,2,FALSE)))</f>
        <v/>
      </c>
      <c r="AA39" s="545" t="str">
        <f t="shared" si="0"/>
        <v/>
      </c>
      <c r="AB39" s="149"/>
      <c r="AC39" s="150"/>
    </row>
    <row r="40" spans="1:29" ht="13.8" x14ac:dyDescent="0.25">
      <c r="A40" s="31" t="str">
        <f>IFERROR(INDEX('G-8 Condition Look up'!$I$4:$I$130,MATCH(F40,'G-8 Condition Look up'!$A$4:$A$130,0)),"")</f>
        <v/>
      </c>
      <c r="C40" s="244" t="str">
        <f>IFERROR(INDEX('G-1 All Habitats'!$AG$3:$AG$15,MATCH(D40,'G-1 All Habitats'!$AF$3:$AF$15,0)),"")</f>
        <v/>
      </c>
      <c r="D40" s="154"/>
      <c r="E40" s="203"/>
      <c r="F40" s="243" t="str">
        <f>IFERROR(INDEX('G-1 All Habitats'!$B$3:$B$129,MATCH(E40,'G-1 All Habitats'!$A$3:$A$129,0)),"")</f>
        <v/>
      </c>
      <c r="G40" s="386"/>
      <c r="H40" s="537" t="str">
        <f>IF(F40="","",VLOOKUP(F40,'G-1 All Habitats'!$B$2:$M$129,10,FALSE))</f>
        <v/>
      </c>
      <c r="I40" s="524" t="str">
        <f>IFERROR(VLOOKUP(H40,'G-1 All Habitats'!$V$3:$W$7,2,FALSE),"")</f>
        <v/>
      </c>
      <c r="J40" s="199"/>
      <c r="K40" s="524" t="str">
        <f>IFERROR(INDEX('G-8 Condition Look up'!$A$3:$H$130,MATCH(F40,'G-8 Condition Look up'!$A$3:$A$130,0),MATCH(J40,'G-8 Condition Look up'!$A$3:$H$3,0)),"")</f>
        <v/>
      </c>
      <c r="L40" s="145"/>
      <c r="M40" s="540" t="str">
        <f>IF(L40="","",IF(VLOOKUP(L40,'G-3 Multipliers'!$L$3:$N$6,2,FALSE)=0,"Spatial Data Missing ⚠",VLOOKUP(L40,'G-3 Multipliers'!$L$3:$N$6,2,FALSE)))</f>
        <v/>
      </c>
      <c r="N40" s="499" t="str">
        <f>IF(L40="","",IF(VLOOKUP(L40,'G-3 Multipliers'!$L$3:$N$6,3,FALSE)=0,"Spatial Data Missing ⚠",VLOOKUP(L40,'G-3 Multipliers'!$L$3:$N$6,3,FALSE)))</f>
        <v/>
      </c>
      <c r="O40" s="498" t="str">
        <f t="shared" si="1"/>
        <v/>
      </c>
      <c r="P40" s="195"/>
      <c r="Q40" s="195"/>
      <c r="R40" s="520" t="str">
        <f t="shared" si="2"/>
        <v/>
      </c>
      <c r="S40" s="544" t="str">
        <f t="shared" si="3"/>
        <v/>
      </c>
      <c r="T40" s="525" t="str">
        <f>IFERROR(IF(S40="Check Data ⚠","Check Data ⚠",VLOOKUP(S40,'G-4 Temporal multipliers'!$A$4:$C$37,3,FALSE)),"")</f>
        <v/>
      </c>
      <c r="U40" s="523" t="str">
        <f>IF(F40="","",VLOOKUP(F40,'G-3 Multipliers'!$A$2:$E$129,2,FALSE))</f>
        <v/>
      </c>
      <c r="V40" s="520" t="str">
        <f t="shared" si="4"/>
        <v/>
      </c>
      <c r="W40" s="520" t="str">
        <f>IF(E40="","",IF(AND(V40="Standard difficulty applied",O40&gt;P40),U40,IF(AND(V40="Low Difficulty - only applicable if all habitat created before losses ⚠",P40&gt;=O40),"Low",VLOOKUP(F40,'G-3 Multipliers'!$A$2:$E$129,4,FALSE))))</f>
        <v/>
      </c>
      <c r="X40" s="524" t="str">
        <f>IFERROR(IF(E40="","",VLOOKUP(W40, 'G-3 Multipliers'!$P$2:$Q$6,2,FALSE)),"")</f>
        <v/>
      </c>
      <c r="Y40" s="197"/>
      <c r="Z40" s="499" t="str">
        <f>IF(Y40="","",IF(VLOOKUP(Y40,'G-3 Multipliers'!$S$3:$T$9,2,FALSE)=0,"Spatial Data Missing ⚠",VLOOKUP(Y40,'G-3 Multipliers'!$S$3:$T$9,2,FALSE)))</f>
        <v/>
      </c>
      <c r="AA40" s="545" t="str">
        <f t="shared" si="0"/>
        <v/>
      </c>
      <c r="AB40" s="149"/>
      <c r="AC40" s="150"/>
    </row>
    <row r="41" spans="1:29" ht="13.8" x14ac:dyDescent="0.25">
      <c r="A41" s="31" t="str">
        <f>IFERROR(INDEX('G-8 Condition Look up'!$I$4:$I$130,MATCH(F41,'G-8 Condition Look up'!$A$4:$A$130,0)),"")</f>
        <v/>
      </c>
      <c r="C41" s="244" t="str">
        <f>IFERROR(INDEX('G-1 All Habitats'!$AG$3:$AG$15,MATCH(D41,'G-1 All Habitats'!$AF$3:$AF$15,0)),"")</f>
        <v/>
      </c>
      <c r="D41" s="154"/>
      <c r="E41" s="203"/>
      <c r="F41" s="243" t="str">
        <f>IFERROR(INDEX('G-1 All Habitats'!$B$3:$B$129,MATCH(E41,'G-1 All Habitats'!$A$3:$A$129,0)),"")</f>
        <v/>
      </c>
      <c r="G41" s="386"/>
      <c r="H41" s="537" t="str">
        <f>IF(F41="","",VLOOKUP(F41,'G-1 All Habitats'!$B$2:$M$129,10,FALSE))</f>
        <v/>
      </c>
      <c r="I41" s="524" t="str">
        <f>IFERROR(VLOOKUP(H41,'G-1 All Habitats'!$V$3:$W$7,2,FALSE),"")</f>
        <v/>
      </c>
      <c r="J41" s="199"/>
      <c r="K41" s="524" t="str">
        <f>IFERROR(INDEX('G-8 Condition Look up'!$A$3:$H$130,MATCH(F41,'G-8 Condition Look up'!$A$3:$A$130,0),MATCH(J41,'G-8 Condition Look up'!$A$3:$H$3,0)),"")</f>
        <v/>
      </c>
      <c r="L41" s="145"/>
      <c r="M41" s="540" t="str">
        <f>IF(L41="","",IF(VLOOKUP(L41,'G-3 Multipliers'!$L$3:$N$6,2,FALSE)=0,"Spatial Data Missing ⚠",VLOOKUP(L41,'G-3 Multipliers'!$L$3:$N$6,2,FALSE)))</f>
        <v/>
      </c>
      <c r="N41" s="499" t="str">
        <f>IF(L41="","",IF(VLOOKUP(L41,'G-3 Multipliers'!$L$3:$N$6,3,FALSE)=0,"Spatial Data Missing ⚠",VLOOKUP(L41,'G-3 Multipliers'!$L$3:$N$6,3,FALSE)))</f>
        <v/>
      </c>
      <c r="O41" s="498" t="str">
        <f t="shared" si="1"/>
        <v/>
      </c>
      <c r="P41" s="195"/>
      <c r="Q41" s="195"/>
      <c r="R41" s="520" t="str">
        <f t="shared" si="2"/>
        <v/>
      </c>
      <c r="S41" s="544" t="str">
        <f t="shared" si="3"/>
        <v/>
      </c>
      <c r="T41" s="525" t="str">
        <f>IFERROR(IF(S41="Check Data ⚠","Check Data ⚠",VLOOKUP(S41,'G-4 Temporal multipliers'!$A$4:$C$37,3,FALSE)),"")</f>
        <v/>
      </c>
      <c r="U41" s="523" t="str">
        <f>IF(F41="","",VLOOKUP(F41,'G-3 Multipliers'!$A$2:$E$129,2,FALSE))</f>
        <v/>
      </c>
      <c r="V41" s="520" t="str">
        <f t="shared" si="4"/>
        <v/>
      </c>
      <c r="W41" s="520" t="str">
        <f>IF(E41="","",IF(AND(V41="Standard difficulty applied",O41&gt;P41),U41,IF(AND(V41="Low Difficulty - only applicable if all habitat created before losses ⚠",P41&gt;=O41),"Low",VLOOKUP(F41,'G-3 Multipliers'!$A$2:$E$129,4,FALSE))))</f>
        <v/>
      </c>
      <c r="X41" s="524" t="str">
        <f>IFERROR(IF(E41="","",VLOOKUP(W41, 'G-3 Multipliers'!$P$2:$Q$6,2,FALSE)),"")</f>
        <v/>
      </c>
      <c r="Y41" s="197"/>
      <c r="Z41" s="499" t="str">
        <f>IF(Y41="","",IF(VLOOKUP(Y41,'G-3 Multipliers'!$S$3:$T$9,2,FALSE)=0,"Spatial Data Missing ⚠",VLOOKUP(Y41,'G-3 Multipliers'!$S$3:$T$9,2,FALSE)))</f>
        <v/>
      </c>
      <c r="AA41" s="545" t="str">
        <f t="shared" si="0"/>
        <v/>
      </c>
      <c r="AB41" s="149"/>
      <c r="AC41" s="150"/>
    </row>
    <row r="42" spans="1:29" ht="13.8" x14ac:dyDescent="0.25">
      <c r="A42" s="31" t="str">
        <f>IFERROR(INDEX('G-8 Condition Look up'!$I$4:$I$130,MATCH(F42,'G-8 Condition Look up'!$A$4:$A$130,0)),"")</f>
        <v/>
      </c>
      <c r="C42" s="244" t="str">
        <f>IFERROR(INDEX('G-1 All Habitats'!$AG$3:$AG$15,MATCH(D42,'G-1 All Habitats'!$AF$3:$AF$15,0)),"")</f>
        <v/>
      </c>
      <c r="D42" s="154"/>
      <c r="E42" s="203"/>
      <c r="F42" s="243" t="str">
        <f>IFERROR(INDEX('G-1 All Habitats'!$B$3:$B$129,MATCH(E42,'G-1 All Habitats'!$A$3:$A$129,0)),"")</f>
        <v/>
      </c>
      <c r="G42" s="386"/>
      <c r="H42" s="537" t="str">
        <f>IF(F42="","",VLOOKUP(F42,'G-1 All Habitats'!$B$2:$M$129,10,FALSE))</f>
        <v/>
      </c>
      <c r="I42" s="524" t="str">
        <f>IFERROR(VLOOKUP(H42,'G-1 All Habitats'!$V$3:$W$7,2,FALSE),"")</f>
        <v/>
      </c>
      <c r="J42" s="199"/>
      <c r="K42" s="524" t="str">
        <f>IFERROR(INDEX('G-8 Condition Look up'!$A$3:$H$130,MATCH(F42,'G-8 Condition Look up'!$A$3:$A$130,0),MATCH(J42,'G-8 Condition Look up'!$A$3:$H$3,0)),"")</f>
        <v/>
      </c>
      <c r="L42" s="145"/>
      <c r="M42" s="540" t="str">
        <f>IF(L42="","",IF(VLOOKUP(L42,'G-3 Multipliers'!$L$3:$N$6,2,FALSE)=0,"Spatial Data Missing ⚠",VLOOKUP(L42,'G-3 Multipliers'!$L$3:$N$6,2,FALSE)))</f>
        <v/>
      </c>
      <c r="N42" s="499" t="str">
        <f>IF(L42="","",IF(VLOOKUP(L42,'G-3 Multipliers'!$L$3:$N$6,3,FALSE)=0,"Spatial Data Missing ⚠",VLOOKUP(L42,'G-3 Multipliers'!$L$3:$N$6,3,FALSE)))</f>
        <v/>
      </c>
      <c r="O42" s="498" t="str">
        <f t="shared" si="1"/>
        <v/>
      </c>
      <c r="P42" s="195"/>
      <c r="Q42" s="195"/>
      <c r="R42" s="520" t="str">
        <f t="shared" si="2"/>
        <v/>
      </c>
      <c r="S42" s="544" t="str">
        <f t="shared" si="3"/>
        <v/>
      </c>
      <c r="T42" s="525" t="str">
        <f>IFERROR(IF(S42="Check Data ⚠","Check Data ⚠",VLOOKUP(S42,'G-4 Temporal multipliers'!$A$4:$C$37,3,FALSE)),"")</f>
        <v/>
      </c>
      <c r="U42" s="523" t="str">
        <f>IF(F42="","",VLOOKUP(F42,'G-3 Multipliers'!$A$2:$E$129,2,FALSE))</f>
        <v/>
      </c>
      <c r="V42" s="520" t="str">
        <f t="shared" si="4"/>
        <v/>
      </c>
      <c r="W42" s="520" t="str">
        <f>IF(E42="","",IF(AND(V42="Standard difficulty applied",O42&gt;P42),U42,IF(AND(V42="Low Difficulty - only applicable if all habitat created before losses ⚠",P42&gt;=O42),"Low",VLOOKUP(F42,'G-3 Multipliers'!$A$2:$E$129,4,FALSE))))</f>
        <v/>
      </c>
      <c r="X42" s="524" t="str">
        <f>IFERROR(IF(E42="","",VLOOKUP(W42, 'G-3 Multipliers'!$P$2:$Q$6,2,FALSE)),"")</f>
        <v/>
      </c>
      <c r="Y42" s="197"/>
      <c r="Z42" s="499" t="str">
        <f>IF(Y42="","",IF(VLOOKUP(Y42,'G-3 Multipliers'!$S$3:$T$9,2,FALSE)=0,"Spatial Data Missing ⚠",VLOOKUP(Y42,'G-3 Multipliers'!$S$3:$T$9,2,FALSE)))</f>
        <v/>
      </c>
      <c r="AA42" s="545" t="str">
        <f t="shared" si="0"/>
        <v/>
      </c>
      <c r="AB42" s="149"/>
      <c r="AC42" s="150"/>
    </row>
    <row r="43" spans="1:29" ht="13.8" x14ac:dyDescent="0.25">
      <c r="A43" s="31" t="str">
        <f>IFERROR(INDEX('G-8 Condition Look up'!$I$4:$I$130,MATCH(F43,'G-8 Condition Look up'!$A$4:$A$130,0)),"")</f>
        <v/>
      </c>
      <c r="C43" s="244" t="str">
        <f>IFERROR(INDEX('G-1 All Habitats'!$AG$3:$AG$15,MATCH(D43,'G-1 All Habitats'!$AF$3:$AF$15,0)),"")</f>
        <v/>
      </c>
      <c r="D43" s="154"/>
      <c r="E43" s="203"/>
      <c r="F43" s="243" t="str">
        <f>IFERROR(INDEX('G-1 All Habitats'!$B$3:$B$129,MATCH(E43,'G-1 All Habitats'!$A$3:$A$129,0)),"")</f>
        <v/>
      </c>
      <c r="G43" s="386"/>
      <c r="H43" s="537" t="str">
        <f>IF(F43="","",VLOOKUP(F43,'G-1 All Habitats'!$B$2:$M$129,10,FALSE))</f>
        <v/>
      </c>
      <c r="I43" s="524" t="str">
        <f>IFERROR(VLOOKUP(H43,'G-1 All Habitats'!$V$3:$W$7,2,FALSE),"")</f>
        <v/>
      </c>
      <c r="J43" s="199"/>
      <c r="K43" s="524" t="str">
        <f>IFERROR(INDEX('G-8 Condition Look up'!$A$3:$H$130,MATCH(F43,'G-8 Condition Look up'!$A$3:$A$130,0),MATCH(J43,'G-8 Condition Look up'!$A$3:$H$3,0)),"")</f>
        <v/>
      </c>
      <c r="L43" s="145"/>
      <c r="M43" s="540" t="str">
        <f>IF(L43="","",IF(VLOOKUP(L43,'G-3 Multipliers'!$L$3:$N$6,2,FALSE)=0,"Spatial Data Missing ⚠",VLOOKUP(L43,'G-3 Multipliers'!$L$3:$N$6,2,FALSE)))</f>
        <v/>
      </c>
      <c r="N43" s="499" t="str">
        <f>IF(L43="","",IF(VLOOKUP(L43,'G-3 Multipliers'!$L$3:$N$6,3,FALSE)=0,"Spatial Data Missing ⚠",VLOOKUP(L43,'G-3 Multipliers'!$L$3:$N$6,3,FALSE)))</f>
        <v/>
      </c>
      <c r="O43" s="498" t="str">
        <f t="shared" si="1"/>
        <v/>
      </c>
      <c r="P43" s="195"/>
      <c r="Q43" s="195"/>
      <c r="R43" s="520" t="str">
        <f t="shared" si="2"/>
        <v/>
      </c>
      <c r="S43" s="544" t="str">
        <f t="shared" si="3"/>
        <v/>
      </c>
      <c r="T43" s="525" t="str">
        <f>IFERROR(IF(S43="Check Data ⚠","Check Data ⚠",VLOOKUP(S43,'G-4 Temporal multipliers'!$A$4:$C$37,3,FALSE)),"")</f>
        <v/>
      </c>
      <c r="U43" s="523" t="str">
        <f>IF(F43="","",VLOOKUP(F43,'G-3 Multipliers'!$A$2:$E$129,2,FALSE))</f>
        <v/>
      </c>
      <c r="V43" s="520" t="str">
        <f t="shared" si="4"/>
        <v/>
      </c>
      <c r="W43" s="520" t="str">
        <f>IF(E43="","",IF(AND(V43="Standard difficulty applied",O43&gt;P43),U43,IF(AND(V43="Low Difficulty - only applicable if all habitat created before losses ⚠",P43&gt;=O43),"Low",VLOOKUP(F43,'G-3 Multipliers'!$A$2:$E$129,4,FALSE))))</f>
        <v/>
      </c>
      <c r="X43" s="524" t="str">
        <f>IFERROR(IF(E43="","",VLOOKUP(W43, 'G-3 Multipliers'!$P$2:$Q$6,2,FALSE)),"")</f>
        <v/>
      </c>
      <c r="Y43" s="197"/>
      <c r="Z43" s="499" t="str">
        <f>IF(Y43="","",IF(VLOOKUP(Y43,'G-3 Multipliers'!$S$3:$T$9,2,FALSE)=0,"Spatial Data Missing ⚠",VLOOKUP(Y43,'G-3 Multipliers'!$S$3:$T$9,2,FALSE)))</f>
        <v/>
      </c>
      <c r="AA43" s="545" t="str">
        <f t="shared" si="0"/>
        <v/>
      </c>
      <c r="AB43" s="149"/>
      <c r="AC43" s="150"/>
    </row>
    <row r="44" spans="1:29" ht="13.8" x14ac:dyDescent="0.25">
      <c r="A44" s="31" t="str">
        <f>IFERROR(INDEX('G-8 Condition Look up'!$I$4:$I$130,MATCH(F44,'G-8 Condition Look up'!$A$4:$A$130,0)),"")</f>
        <v/>
      </c>
      <c r="C44" s="244" t="str">
        <f>IFERROR(INDEX('G-1 All Habitats'!$AG$3:$AG$15,MATCH(D44,'G-1 All Habitats'!$AF$3:$AF$15,0)),"")</f>
        <v/>
      </c>
      <c r="D44" s="154"/>
      <c r="E44" s="203"/>
      <c r="F44" s="243" t="str">
        <f>IFERROR(INDEX('G-1 All Habitats'!$B$3:$B$129,MATCH(E44,'G-1 All Habitats'!$A$3:$A$129,0)),"")</f>
        <v/>
      </c>
      <c r="G44" s="386"/>
      <c r="H44" s="537" t="str">
        <f>IF(F44="","",VLOOKUP(F44,'G-1 All Habitats'!$B$2:$M$129,10,FALSE))</f>
        <v/>
      </c>
      <c r="I44" s="524" t="str">
        <f>IFERROR(VLOOKUP(H44,'G-1 All Habitats'!$V$3:$W$7,2,FALSE),"")</f>
        <v/>
      </c>
      <c r="J44" s="199"/>
      <c r="K44" s="524" t="str">
        <f>IFERROR(INDEX('G-8 Condition Look up'!$A$3:$H$130,MATCH(F44,'G-8 Condition Look up'!$A$3:$A$130,0),MATCH(J44,'G-8 Condition Look up'!$A$3:$H$3,0)),"")</f>
        <v/>
      </c>
      <c r="L44" s="145"/>
      <c r="M44" s="540" t="str">
        <f>IF(L44="","",IF(VLOOKUP(L44,'G-3 Multipliers'!$L$3:$N$6,2,FALSE)=0,"Spatial Data Missing ⚠",VLOOKUP(L44,'G-3 Multipliers'!$L$3:$N$6,2,FALSE)))</f>
        <v/>
      </c>
      <c r="N44" s="499" t="str">
        <f>IF(L44="","",IF(VLOOKUP(L44,'G-3 Multipliers'!$L$3:$N$6,3,FALSE)=0,"Spatial Data Missing ⚠",VLOOKUP(L44,'G-3 Multipliers'!$L$3:$N$6,3,FALSE)))</f>
        <v/>
      </c>
      <c r="O44" s="498" t="str">
        <f t="shared" si="1"/>
        <v/>
      </c>
      <c r="P44" s="195"/>
      <c r="Q44" s="195"/>
      <c r="R44" s="520" t="str">
        <f t="shared" si="2"/>
        <v/>
      </c>
      <c r="S44" s="544" t="str">
        <f t="shared" si="3"/>
        <v/>
      </c>
      <c r="T44" s="525" t="str">
        <f>IFERROR(IF(S44="Check Data ⚠","Check Data ⚠",VLOOKUP(S44,'G-4 Temporal multipliers'!$A$4:$C$37,3,FALSE)),"")</f>
        <v/>
      </c>
      <c r="U44" s="523" t="str">
        <f>IF(F44="","",VLOOKUP(F44,'G-3 Multipliers'!$A$2:$E$129,2,FALSE))</f>
        <v/>
      </c>
      <c r="V44" s="520" t="str">
        <f t="shared" si="4"/>
        <v/>
      </c>
      <c r="W44" s="520" t="str">
        <f>IF(E44="","",IF(AND(V44="Standard difficulty applied",O44&gt;P44),U44,IF(AND(V44="Low Difficulty - only applicable if all habitat created before losses ⚠",P44&gt;=O44),"Low",VLOOKUP(F44,'G-3 Multipliers'!$A$2:$E$129,4,FALSE))))</f>
        <v/>
      </c>
      <c r="X44" s="524" t="str">
        <f>IFERROR(IF(E44="","",VLOOKUP(W44, 'G-3 Multipliers'!$P$2:$Q$6,2,FALSE)),"")</f>
        <v/>
      </c>
      <c r="Y44" s="197"/>
      <c r="Z44" s="499" t="str">
        <f>IF(Y44="","",IF(VLOOKUP(Y44,'G-3 Multipliers'!$S$3:$T$9,2,FALSE)=0,"Spatial Data Missing ⚠",VLOOKUP(Y44,'G-3 Multipliers'!$S$3:$T$9,2,FALSE)))</f>
        <v/>
      </c>
      <c r="AA44" s="545" t="str">
        <f t="shared" si="0"/>
        <v/>
      </c>
      <c r="AB44" s="149"/>
      <c r="AC44" s="150"/>
    </row>
    <row r="45" spans="1:29" ht="13.8" x14ac:dyDescent="0.25">
      <c r="A45" s="31" t="str">
        <f>IFERROR(INDEX('G-8 Condition Look up'!$I$4:$I$130,MATCH(F45,'G-8 Condition Look up'!$A$4:$A$130,0)),"")</f>
        <v/>
      </c>
      <c r="C45" s="244" t="str">
        <f>IFERROR(INDEX('G-1 All Habitats'!$AG$3:$AG$15,MATCH(D45,'G-1 All Habitats'!$AF$3:$AF$15,0)),"")</f>
        <v/>
      </c>
      <c r="D45" s="154"/>
      <c r="E45" s="203"/>
      <c r="F45" s="243" t="str">
        <f>IFERROR(INDEX('G-1 All Habitats'!$B$3:$B$129,MATCH(E45,'G-1 All Habitats'!$A$3:$A$129,0)),"")</f>
        <v/>
      </c>
      <c r="G45" s="386"/>
      <c r="H45" s="537" t="str">
        <f>IF(F45="","",VLOOKUP(F45,'G-1 All Habitats'!$B$2:$M$129,10,FALSE))</f>
        <v/>
      </c>
      <c r="I45" s="524" t="str">
        <f>IFERROR(VLOOKUP(H45,'G-1 All Habitats'!$V$3:$W$7,2,FALSE),"")</f>
        <v/>
      </c>
      <c r="J45" s="199"/>
      <c r="K45" s="524" t="str">
        <f>IFERROR(INDEX('G-8 Condition Look up'!$A$3:$H$130,MATCH(F45,'G-8 Condition Look up'!$A$3:$A$130,0),MATCH(J45,'G-8 Condition Look up'!$A$3:$H$3,0)),"")</f>
        <v/>
      </c>
      <c r="L45" s="145"/>
      <c r="M45" s="540" t="str">
        <f>IF(L45="","",IF(VLOOKUP(L45,'G-3 Multipliers'!$L$3:$N$6,2,FALSE)=0,"Spatial Data Missing ⚠",VLOOKUP(L45,'G-3 Multipliers'!$L$3:$N$6,2,FALSE)))</f>
        <v/>
      </c>
      <c r="N45" s="499" t="str">
        <f>IF(L45="","",IF(VLOOKUP(L45,'G-3 Multipliers'!$L$3:$N$6,3,FALSE)=0,"Spatial Data Missing ⚠",VLOOKUP(L45,'G-3 Multipliers'!$L$3:$N$6,3,FALSE)))</f>
        <v/>
      </c>
      <c r="O45" s="498" t="str">
        <f t="shared" si="1"/>
        <v/>
      </c>
      <c r="P45" s="195"/>
      <c r="Q45" s="195"/>
      <c r="R45" s="520" t="str">
        <f t="shared" si="2"/>
        <v/>
      </c>
      <c r="S45" s="544" t="str">
        <f t="shared" si="3"/>
        <v/>
      </c>
      <c r="T45" s="525" t="str">
        <f>IFERROR(IF(S45="Check Data ⚠","Check Data ⚠",VLOOKUP(S45,'G-4 Temporal multipliers'!$A$4:$C$37,3,FALSE)),"")</f>
        <v/>
      </c>
      <c r="U45" s="523" t="str">
        <f>IF(F45="","",VLOOKUP(F45,'G-3 Multipliers'!$A$2:$E$129,2,FALSE))</f>
        <v/>
      </c>
      <c r="V45" s="520" t="str">
        <f t="shared" si="4"/>
        <v/>
      </c>
      <c r="W45" s="520" t="str">
        <f>IF(E45="","",IF(AND(V45="Standard difficulty applied",O45&gt;P45),U45,IF(AND(V45="Low Difficulty - only applicable if all habitat created before losses ⚠",P45&gt;=O45),"Low",VLOOKUP(F45,'G-3 Multipliers'!$A$2:$E$129,4,FALSE))))</f>
        <v/>
      </c>
      <c r="X45" s="524" t="str">
        <f>IFERROR(IF(E45="","",VLOOKUP(W45, 'G-3 Multipliers'!$P$2:$Q$6,2,FALSE)),"")</f>
        <v/>
      </c>
      <c r="Y45" s="197"/>
      <c r="Z45" s="499" t="str">
        <f>IF(Y45="","",IF(VLOOKUP(Y45,'G-3 Multipliers'!$S$3:$T$9,2,FALSE)=0,"Spatial Data Missing ⚠",VLOOKUP(Y45,'G-3 Multipliers'!$S$3:$T$9,2,FALSE)))</f>
        <v/>
      </c>
      <c r="AA45" s="545" t="str">
        <f t="shared" si="0"/>
        <v/>
      </c>
      <c r="AB45" s="149"/>
      <c r="AC45" s="150"/>
    </row>
    <row r="46" spans="1:29" ht="13.8" x14ac:dyDescent="0.25">
      <c r="A46" s="31" t="str">
        <f>IFERROR(INDEX('G-8 Condition Look up'!$I$4:$I$130,MATCH(F46,'G-8 Condition Look up'!$A$4:$A$130,0)),"")</f>
        <v/>
      </c>
      <c r="C46" s="244" t="str">
        <f>IFERROR(INDEX('G-1 All Habitats'!$AG$3:$AG$15,MATCH(D46,'G-1 All Habitats'!$AF$3:$AF$15,0)),"")</f>
        <v/>
      </c>
      <c r="D46" s="154"/>
      <c r="E46" s="203"/>
      <c r="F46" s="243" t="str">
        <f>IFERROR(INDEX('G-1 All Habitats'!$B$3:$B$129,MATCH(E46,'G-1 All Habitats'!$A$3:$A$129,0)),"")</f>
        <v/>
      </c>
      <c r="G46" s="386"/>
      <c r="H46" s="537" t="str">
        <f>IF(F46="","",VLOOKUP(F46,'G-1 All Habitats'!$B$2:$M$129,10,FALSE))</f>
        <v/>
      </c>
      <c r="I46" s="524" t="str">
        <f>IFERROR(VLOOKUP(H46,'G-1 All Habitats'!$V$3:$W$7,2,FALSE),"")</f>
        <v/>
      </c>
      <c r="J46" s="199"/>
      <c r="K46" s="524" t="str">
        <f>IFERROR(INDEX('G-8 Condition Look up'!$A$3:$H$130,MATCH(F46,'G-8 Condition Look up'!$A$3:$A$130,0),MATCH(J46,'G-8 Condition Look up'!$A$3:$H$3,0)),"")</f>
        <v/>
      </c>
      <c r="L46" s="145"/>
      <c r="M46" s="540" t="str">
        <f>IF(L46="","",IF(VLOOKUP(L46,'G-3 Multipliers'!$L$3:$N$6,2,FALSE)=0,"Spatial Data Missing ⚠",VLOOKUP(L46,'G-3 Multipliers'!$L$3:$N$6,2,FALSE)))</f>
        <v/>
      </c>
      <c r="N46" s="499" t="str">
        <f>IF(L46="","",IF(VLOOKUP(L46,'G-3 Multipliers'!$L$3:$N$6,3,FALSE)=0,"Spatial Data Missing ⚠",VLOOKUP(L46,'G-3 Multipliers'!$L$3:$N$6,3,FALSE)))</f>
        <v/>
      </c>
      <c r="O46" s="498" t="str">
        <f t="shared" si="1"/>
        <v/>
      </c>
      <c r="P46" s="195"/>
      <c r="Q46" s="195"/>
      <c r="R46" s="520" t="str">
        <f t="shared" si="2"/>
        <v/>
      </c>
      <c r="S46" s="544" t="str">
        <f t="shared" si="3"/>
        <v/>
      </c>
      <c r="T46" s="525" t="str">
        <f>IFERROR(IF(S46="Check Data ⚠","Check Data ⚠",VLOOKUP(S46,'G-4 Temporal multipliers'!$A$4:$C$37,3,FALSE)),"")</f>
        <v/>
      </c>
      <c r="U46" s="523" t="str">
        <f>IF(F46="","",VLOOKUP(F46,'G-3 Multipliers'!$A$2:$E$129,2,FALSE))</f>
        <v/>
      </c>
      <c r="V46" s="520" t="str">
        <f t="shared" si="4"/>
        <v/>
      </c>
      <c r="W46" s="520" t="str">
        <f>IF(E46="","",IF(AND(V46="Standard difficulty applied",O46&gt;P46),U46,IF(AND(V46="Low Difficulty - only applicable if all habitat created before losses ⚠",P46&gt;=O46),"Low",VLOOKUP(F46,'G-3 Multipliers'!$A$2:$E$129,4,FALSE))))</f>
        <v/>
      </c>
      <c r="X46" s="524" t="str">
        <f>IFERROR(IF(E46="","",VLOOKUP(W46, 'G-3 Multipliers'!$P$2:$Q$6,2,FALSE)),"")</f>
        <v/>
      </c>
      <c r="Y46" s="197"/>
      <c r="Z46" s="499" t="str">
        <f>IF(Y46="","",IF(VLOOKUP(Y46,'G-3 Multipliers'!$S$3:$T$9,2,FALSE)=0,"Spatial Data Missing ⚠",VLOOKUP(Y46,'G-3 Multipliers'!$S$3:$T$9,2,FALSE)))</f>
        <v/>
      </c>
      <c r="AA46" s="545" t="str">
        <f t="shared" si="0"/>
        <v/>
      </c>
      <c r="AB46" s="149"/>
      <c r="AC46" s="150"/>
    </row>
    <row r="47" spans="1:29" ht="13.8" x14ac:dyDescent="0.25">
      <c r="A47" s="31" t="str">
        <f>IFERROR(INDEX('G-8 Condition Look up'!$I$4:$I$130,MATCH(F47,'G-8 Condition Look up'!$A$4:$A$130,0)),"")</f>
        <v/>
      </c>
      <c r="C47" s="244" t="str">
        <f>IFERROR(INDEX('G-1 All Habitats'!$AG$3:$AG$15,MATCH(D47,'G-1 All Habitats'!$AF$3:$AF$15,0)),"")</f>
        <v/>
      </c>
      <c r="D47" s="154"/>
      <c r="E47" s="203"/>
      <c r="F47" s="243" t="str">
        <f>IFERROR(INDEX('G-1 All Habitats'!$B$3:$B$129,MATCH(E47,'G-1 All Habitats'!$A$3:$A$129,0)),"")</f>
        <v/>
      </c>
      <c r="G47" s="386"/>
      <c r="H47" s="537" t="str">
        <f>IF(F47="","",VLOOKUP(F47,'G-1 All Habitats'!$B$2:$M$129,10,FALSE))</f>
        <v/>
      </c>
      <c r="I47" s="524" t="str">
        <f>IFERROR(VLOOKUP(H47,'G-1 All Habitats'!$V$3:$W$7,2,FALSE),"")</f>
        <v/>
      </c>
      <c r="J47" s="199"/>
      <c r="K47" s="524" t="str">
        <f>IFERROR(INDEX('G-8 Condition Look up'!$A$3:$H$130,MATCH(F47,'G-8 Condition Look up'!$A$3:$A$130,0),MATCH(J47,'G-8 Condition Look up'!$A$3:$H$3,0)),"")</f>
        <v/>
      </c>
      <c r="L47" s="145"/>
      <c r="M47" s="540" t="str">
        <f>IF(L47="","",IF(VLOOKUP(L47,'G-3 Multipliers'!$L$3:$N$6,2,FALSE)=0,"Spatial Data Missing ⚠",VLOOKUP(L47,'G-3 Multipliers'!$L$3:$N$6,2,FALSE)))</f>
        <v/>
      </c>
      <c r="N47" s="499" t="str">
        <f>IF(L47="","",IF(VLOOKUP(L47,'G-3 Multipliers'!$L$3:$N$6,3,FALSE)=0,"Spatial Data Missing ⚠",VLOOKUP(L47,'G-3 Multipliers'!$L$3:$N$6,3,FALSE)))</f>
        <v/>
      </c>
      <c r="O47" s="498" t="str">
        <f t="shared" si="1"/>
        <v/>
      </c>
      <c r="P47" s="195"/>
      <c r="Q47" s="195"/>
      <c r="R47" s="520" t="str">
        <f t="shared" si="2"/>
        <v/>
      </c>
      <c r="S47" s="544" t="str">
        <f t="shared" si="3"/>
        <v/>
      </c>
      <c r="T47" s="525" t="str">
        <f>IFERROR(IF(S47="Check Data ⚠","Check Data ⚠",VLOOKUP(S47,'G-4 Temporal multipliers'!$A$4:$C$37,3,FALSE)),"")</f>
        <v/>
      </c>
      <c r="U47" s="523" t="str">
        <f>IF(F47="","",VLOOKUP(F47,'G-3 Multipliers'!$A$2:$E$129,2,FALSE))</f>
        <v/>
      </c>
      <c r="V47" s="520" t="str">
        <f t="shared" si="4"/>
        <v/>
      </c>
      <c r="W47" s="520" t="str">
        <f>IF(E47="","",IF(AND(V47="Standard difficulty applied",O47&gt;P47),U47,IF(AND(V47="Low Difficulty - only applicable if all habitat created before losses ⚠",P47&gt;=O47),"Low",VLOOKUP(F47,'G-3 Multipliers'!$A$2:$E$129,4,FALSE))))</f>
        <v/>
      </c>
      <c r="X47" s="524" t="str">
        <f>IFERROR(IF(E47="","",VLOOKUP(W47, 'G-3 Multipliers'!$P$2:$Q$6,2,FALSE)),"")</f>
        <v/>
      </c>
      <c r="Y47" s="197"/>
      <c r="Z47" s="499" t="str">
        <f>IF(Y47="","",IF(VLOOKUP(Y47,'G-3 Multipliers'!$S$3:$T$9,2,FALSE)=0,"Spatial Data Missing ⚠",VLOOKUP(Y47,'G-3 Multipliers'!$S$3:$T$9,2,FALSE)))</f>
        <v/>
      </c>
      <c r="AA47" s="545" t="str">
        <f t="shared" si="0"/>
        <v/>
      </c>
      <c r="AB47" s="149"/>
      <c r="AC47" s="150"/>
    </row>
    <row r="48" spans="1:29" ht="13.8" x14ac:dyDescent="0.25">
      <c r="A48" s="31" t="str">
        <f>IFERROR(INDEX('G-8 Condition Look up'!$I$4:$I$130,MATCH(F48,'G-8 Condition Look up'!$A$4:$A$130,0)),"")</f>
        <v/>
      </c>
      <c r="C48" s="244" t="str">
        <f>IFERROR(INDEX('G-1 All Habitats'!$AG$3:$AG$15,MATCH(D48,'G-1 All Habitats'!$AF$3:$AF$15,0)),"")</f>
        <v/>
      </c>
      <c r="D48" s="154"/>
      <c r="E48" s="203"/>
      <c r="F48" s="243" t="str">
        <f>IFERROR(INDEX('G-1 All Habitats'!$B$3:$B$129,MATCH(E48,'G-1 All Habitats'!$A$3:$A$129,0)),"")</f>
        <v/>
      </c>
      <c r="G48" s="386"/>
      <c r="H48" s="537" t="str">
        <f>IF(F48="","",VLOOKUP(F48,'G-1 All Habitats'!$B$2:$M$129,10,FALSE))</f>
        <v/>
      </c>
      <c r="I48" s="524" t="str">
        <f>IFERROR(VLOOKUP(H48,'G-1 All Habitats'!$V$3:$W$7,2,FALSE),"")</f>
        <v/>
      </c>
      <c r="J48" s="199"/>
      <c r="K48" s="524" t="str">
        <f>IFERROR(INDEX('G-8 Condition Look up'!$A$3:$H$130,MATCH(F48,'G-8 Condition Look up'!$A$3:$A$130,0),MATCH(J48,'G-8 Condition Look up'!$A$3:$H$3,0)),"")</f>
        <v/>
      </c>
      <c r="L48" s="145"/>
      <c r="M48" s="540" t="str">
        <f>IF(L48="","",IF(VLOOKUP(L48,'G-3 Multipliers'!$L$3:$N$6,2,FALSE)=0,"Spatial Data Missing ⚠",VLOOKUP(L48,'G-3 Multipliers'!$L$3:$N$6,2,FALSE)))</f>
        <v/>
      </c>
      <c r="N48" s="499" t="str">
        <f>IF(L48="","",IF(VLOOKUP(L48,'G-3 Multipliers'!$L$3:$N$6,3,FALSE)=0,"Spatial Data Missing ⚠",VLOOKUP(L48,'G-3 Multipliers'!$L$3:$N$6,3,FALSE)))</f>
        <v/>
      </c>
      <c r="O48" s="498" t="str">
        <f t="shared" si="1"/>
        <v/>
      </c>
      <c r="P48" s="195"/>
      <c r="Q48" s="195"/>
      <c r="R48" s="520" t="str">
        <f t="shared" si="2"/>
        <v/>
      </c>
      <c r="S48" s="544" t="str">
        <f t="shared" si="3"/>
        <v/>
      </c>
      <c r="T48" s="525" t="str">
        <f>IFERROR(IF(S48="Check Data ⚠","Check Data ⚠",VLOOKUP(S48,'G-4 Temporal multipliers'!$A$4:$C$37,3,FALSE)),"")</f>
        <v/>
      </c>
      <c r="U48" s="523" t="str">
        <f>IF(F48="","",VLOOKUP(F48,'G-3 Multipliers'!$A$2:$E$129,2,FALSE))</f>
        <v/>
      </c>
      <c r="V48" s="520" t="str">
        <f t="shared" si="4"/>
        <v/>
      </c>
      <c r="W48" s="520" t="str">
        <f>IF(E48="","",IF(AND(V48="Standard difficulty applied",O48&gt;P48),U48,IF(AND(V48="Low Difficulty - only applicable if all habitat created before losses ⚠",P48&gt;=O48),"Low",VLOOKUP(F48,'G-3 Multipliers'!$A$2:$E$129,4,FALSE))))</f>
        <v/>
      </c>
      <c r="X48" s="524" t="str">
        <f>IFERROR(IF(E48="","",VLOOKUP(W48, 'G-3 Multipliers'!$P$2:$Q$6,2,FALSE)),"")</f>
        <v/>
      </c>
      <c r="Y48" s="197"/>
      <c r="Z48" s="499" t="str">
        <f>IF(Y48="","",IF(VLOOKUP(Y48,'G-3 Multipliers'!$S$3:$T$9,2,FALSE)=0,"Spatial Data Missing ⚠",VLOOKUP(Y48,'G-3 Multipliers'!$S$3:$T$9,2,FALSE)))</f>
        <v/>
      </c>
      <c r="AA48" s="545" t="str">
        <f t="shared" si="0"/>
        <v/>
      </c>
      <c r="AB48" s="149"/>
      <c r="AC48" s="150"/>
    </row>
    <row r="49" spans="1:29" ht="13.8" x14ac:dyDescent="0.25">
      <c r="A49" s="31" t="str">
        <f>IFERROR(INDEX('G-8 Condition Look up'!$I$4:$I$130,MATCH(F49,'G-8 Condition Look up'!$A$4:$A$130,0)),"")</f>
        <v/>
      </c>
      <c r="C49" s="244" t="str">
        <f>IFERROR(INDEX('G-1 All Habitats'!$AG$3:$AG$15,MATCH(D49,'G-1 All Habitats'!$AF$3:$AF$15,0)),"")</f>
        <v/>
      </c>
      <c r="D49" s="154"/>
      <c r="E49" s="203"/>
      <c r="F49" s="243" t="str">
        <f>IFERROR(INDEX('G-1 All Habitats'!$B$3:$B$129,MATCH(E49,'G-1 All Habitats'!$A$3:$A$129,0)),"")</f>
        <v/>
      </c>
      <c r="G49" s="386"/>
      <c r="H49" s="537" t="str">
        <f>IF(F49="","",VLOOKUP(F49,'G-1 All Habitats'!$B$2:$M$129,10,FALSE))</f>
        <v/>
      </c>
      <c r="I49" s="524" t="str">
        <f>IFERROR(VLOOKUP(H49,'G-1 All Habitats'!$V$3:$W$7,2,FALSE),"")</f>
        <v/>
      </c>
      <c r="J49" s="199"/>
      <c r="K49" s="524" t="str">
        <f>IFERROR(INDEX('G-8 Condition Look up'!$A$3:$H$130,MATCH(F49,'G-8 Condition Look up'!$A$3:$A$130,0),MATCH(J49,'G-8 Condition Look up'!$A$3:$H$3,0)),"")</f>
        <v/>
      </c>
      <c r="L49" s="145"/>
      <c r="M49" s="540" t="str">
        <f>IF(L49="","",IF(VLOOKUP(L49,'G-3 Multipliers'!$L$3:$N$6,2,FALSE)=0,"Spatial Data Missing ⚠",VLOOKUP(L49,'G-3 Multipliers'!$L$3:$N$6,2,FALSE)))</f>
        <v/>
      </c>
      <c r="N49" s="499" t="str">
        <f>IF(L49="","",IF(VLOOKUP(L49,'G-3 Multipliers'!$L$3:$N$6,3,FALSE)=0,"Spatial Data Missing ⚠",VLOOKUP(L49,'G-3 Multipliers'!$L$3:$N$6,3,FALSE)))</f>
        <v/>
      </c>
      <c r="O49" s="498" t="str">
        <f t="shared" si="1"/>
        <v/>
      </c>
      <c r="P49" s="195"/>
      <c r="Q49" s="195"/>
      <c r="R49" s="520" t="str">
        <f t="shared" si="2"/>
        <v/>
      </c>
      <c r="S49" s="544" t="str">
        <f t="shared" si="3"/>
        <v/>
      </c>
      <c r="T49" s="525" t="str">
        <f>IFERROR(IF(S49="Check Data ⚠","Check Data ⚠",VLOOKUP(S49,'G-4 Temporal multipliers'!$A$4:$C$37,3,FALSE)),"")</f>
        <v/>
      </c>
      <c r="U49" s="523" t="str">
        <f>IF(F49="","",VLOOKUP(F49,'G-3 Multipliers'!$A$2:$E$129,2,FALSE))</f>
        <v/>
      </c>
      <c r="V49" s="520" t="str">
        <f t="shared" si="4"/>
        <v/>
      </c>
      <c r="W49" s="520" t="str">
        <f>IF(E49="","",IF(AND(V49="Standard difficulty applied",O49&gt;P49),U49,IF(AND(V49="Low Difficulty - only applicable if all habitat created before losses ⚠",P49&gt;=O49),"Low",VLOOKUP(F49,'G-3 Multipliers'!$A$2:$E$129,4,FALSE))))</f>
        <v/>
      </c>
      <c r="X49" s="524" t="str">
        <f>IFERROR(IF(E49="","",VLOOKUP(W49, 'G-3 Multipliers'!$P$2:$Q$6,2,FALSE)),"")</f>
        <v/>
      </c>
      <c r="Y49" s="197"/>
      <c r="Z49" s="499" t="str">
        <f>IF(Y49="","",IF(VLOOKUP(Y49,'G-3 Multipliers'!$S$3:$T$9,2,FALSE)=0,"Spatial Data Missing ⚠",VLOOKUP(Y49,'G-3 Multipliers'!$S$3:$T$9,2,FALSE)))</f>
        <v/>
      </c>
      <c r="AA49" s="545" t="str">
        <f t="shared" si="0"/>
        <v/>
      </c>
      <c r="AB49" s="149"/>
      <c r="AC49" s="150"/>
    </row>
    <row r="50" spans="1:29" ht="13.8" x14ac:dyDescent="0.25">
      <c r="A50" s="31" t="str">
        <f>IFERROR(INDEX('G-8 Condition Look up'!$I$4:$I$130,MATCH(F50,'G-8 Condition Look up'!$A$4:$A$130,0)),"")</f>
        <v/>
      </c>
      <c r="C50" s="244" t="str">
        <f>IFERROR(INDEX('G-1 All Habitats'!$AG$3:$AG$15,MATCH(D50,'G-1 All Habitats'!$AF$3:$AF$15,0)),"")</f>
        <v/>
      </c>
      <c r="D50" s="154"/>
      <c r="E50" s="203"/>
      <c r="F50" s="243" t="str">
        <f>IFERROR(INDEX('G-1 All Habitats'!$B$3:$B$129,MATCH(E50,'G-1 All Habitats'!$A$3:$A$129,0)),"")</f>
        <v/>
      </c>
      <c r="G50" s="386"/>
      <c r="H50" s="537" t="str">
        <f>IF(F50="","",VLOOKUP(F50,'G-1 All Habitats'!$B$2:$M$129,10,FALSE))</f>
        <v/>
      </c>
      <c r="I50" s="524" t="str">
        <f>IFERROR(VLOOKUP(H50,'G-1 All Habitats'!$V$3:$W$7,2,FALSE),"")</f>
        <v/>
      </c>
      <c r="J50" s="199"/>
      <c r="K50" s="524" t="str">
        <f>IFERROR(INDEX('G-8 Condition Look up'!$A$3:$H$130,MATCH(F50,'G-8 Condition Look up'!$A$3:$A$130,0),MATCH(J50,'G-8 Condition Look up'!$A$3:$H$3,0)),"")</f>
        <v/>
      </c>
      <c r="L50" s="145"/>
      <c r="M50" s="540" t="str">
        <f>IF(L50="","",IF(VLOOKUP(L50,'G-3 Multipliers'!$L$3:$N$6,2,FALSE)=0,"Spatial Data Missing ⚠",VLOOKUP(L50,'G-3 Multipliers'!$L$3:$N$6,2,FALSE)))</f>
        <v/>
      </c>
      <c r="N50" s="499" t="str">
        <f>IF(L50="","",IF(VLOOKUP(L50,'G-3 Multipliers'!$L$3:$N$6,3,FALSE)=0,"Spatial Data Missing ⚠",VLOOKUP(L50,'G-3 Multipliers'!$L$3:$N$6,3,FALSE)))</f>
        <v/>
      </c>
      <c r="O50" s="498" t="str">
        <f t="shared" si="1"/>
        <v/>
      </c>
      <c r="P50" s="195"/>
      <c r="Q50" s="195"/>
      <c r="R50" s="520" t="str">
        <f t="shared" si="2"/>
        <v/>
      </c>
      <c r="S50" s="544" t="str">
        <f t="shared" si="3"/>
        <v/>
      </c>
      <c r="T50" s="525" t="str">
        <f>IFERROR(IF(S50="Check Data ⚠","Check Data ⚠",VLOOKUP(S50,'G-4 Temporal multipliers'!$A$4:$C$37,3,FALSE)),"")</f>
        <v/>
      </c>
      <c r="U50" s="523" t="str">
        <f>IF(F50="","",VLOOKUP(F50,'G-3 Multipliers'!$A$2:$E$129,2,FALSE))</f>
        <v/>
      </c>
      <c r="V50" s="520" t="str">
        <f t="shared" si="4"/>
        <v/>
      </c>
      <c r="W50" s="520" t="str">
        <f>IF(E50="","",IF(AND(V50="Standard difficulty applied",O50&gt;P50),U50,IF(AND(V50="Low Difficulty - only applicable if all habitat created before losses ⚠",P50&gt;=O50),"Low",VLOOKUP(F50,'G-3 Multipliers'!$A$2:$E$129,4,FALSE))))</f>
        <v/>
      </c>
      <c r="X50" s="524" t="str">
        <f>IFERROR(IF(E50="","",VLOOKUP(W50, 'G-3 Multipliers'!$P$2:$Q$6,2,FALSE)),"")</f>
        <v/>
      </c>
      <c r="Y50" s="197"/>
      <c r="Z50" s="499" t="str">
        <f>IF(Y50="","",IF(VLOOKUP(Y50,'G-3 Multipliers'!$S$3:$T$9,2,FALSE)=0,"Spatial Data Missing ⚠",VLOOKUP(Y50,'G-3 Multipliers'!$S$3:$T$9,2,FALSE)))</f>
        <v/>
      </c>
      <c r="AA50" s="545" t="str">
        <f t="shared" si="0"/>
        <v/>
      </c>
      <c r="AB50" s="149"/>
      <c r="AC50" s="150"/>
    </row>
    <row r="51" spans="1:29" ht="13.8" x14ac:dyDescent="0.25">
      <c r="A51" s="31" t="str">
        <f>IFERROR(INDEX('G-8 Condition Look up'!$I$4:$I$130,MATCH(F51,'G-8 Condition Look up'!$A$4:$A$130,0)),"")</f>
        <v/>
      </c>
      <c r="C51" s="244" t="str">
        <f>IFERROR(INDEX('G-1 All Habitats'!$AG$3:$AG$15,MATCH(D51,'G-1 All Habitats'!$AF$3:$AF$15,0)),"")</f>
        <v/>
      </c>
      <c r="D51" s="154"/>
      <c r="E51" s="203"/>
      <c r="F51" s="243" t="str">
        <f>IFERROR(INDEX('G-1 All Habitats'!$B$3:$B$129,MATCH(E51,'G-1 All Habitats'!$A$3:$A$129,0)),"")</f>
        <v/>
      </c>
      <c r="G51" s="386"/>
      <c r="H51" s="537" t="str">
        <f>IF(F51="","",VLOOKUP(F51,'G-1 All Habitats'!$B$2:$M$129,10,FALSE))</f>
        <v/>
      </c>
      <c r="I51" s="524" t="str">
        <f>IFERROR(VLOOKUP(H51,'G-1 All Habitats'!$V$3:$W$7,2,FALSE),"")</f>
        <v/>
      </c>
      <c r="J51" s="199"/>
      <c r="K51" s="524" t="str">
        <f>IFERROR(INDEX('G-8 Condition Look up'!$A$3:$H$130,MATCH(F51,'G-8 Condition Look up'!$A$3:$A$130,0),MATCH(J51,'G-8 Condition Look up'!$A$3:$H$3,0)),"")</f>
        <v/>
      </c>
      <c r="L51" s="145"/>
      <c r="M51" s="540" t="str">
        <f>IF(L51="","",IF(VLOOKUP(L51,'G-3 Multipliers'!$L$3:$N$6,2,FALSE)=0,"Spatial Data Missing ⚠",VLOOKUP(L51,'G-3 Multipliers'!$L$3:$N$6,2,FALSE)))</f>
        <v/>
      </c>
      <c r="N51" s="499" t="str">
        <f>IF(L51="","",IF(VLOOKUP(L51,'G-3 Multipliers'!$L$3:$N$6,3,FALSE)=0,"Spatial Data Missing ⚠",VLOOKUP(L51,'G-3 Multipliers'!$L$3:$N$6,3,FALSE)))</f>
        <v/>
      </c>
      <c r="O51" s="498" t="str">
        <f t="shared" si="1"/>
        <v/>
      </c>
      <c r="P51" s="195"/>
      <c r="Q51" s="195"/>
      <c r="R51" s="520" t="str">
        <f t="shared" si="2"/>
        <v/>
      </c>
      <c r="S51" s="544" t="str">
        <f t="shared" si="3"/>
        <v/>
      </c>
      <c r="T51" s="525" t="str">
        <f>IFERROR(IF(S51="Check Data ⚠","Check Data ⚠",VLOOKUP(S51,'G-4 Temporal multipliers'!$A$4:$C$37,3,FALSE)),"")</f>
        <v/>
      </c>
      <c r="U51" s="523" t="str">
        <f>IF(F51="","",VLOOKUP(F51,'G-3 Multipliers'!$A$2:$E$129,2,FALSE))</f>
        <v/>
      </c>
      <c r="V51" s="520" t="str">
        <f t="shared" si="4"/>
        <v/>
      </c>
      <c r="W51" s="520" t="str">
        <f>IF(E51="","",IF(AND(V51="Standard difficulty applied",O51&gt;P51),U51,IF(AND(V51="Low Difficulty - only applicable if all habitat created before losses ⚠",P51&gt;=O51),"Low",VLOOKUP(F51,'G-3 Multipliers'!$A$2:$E$129,4,FALSE))))</f>
        <v/>
      </c>
      <c r="X51" s="524" t="str">
        <f>IFERROR(IF(E51="","",VLOOKUP(W51, 'G-3 Multipliers'!$P$2:$Q$6,2,FALSE)),"")</f>
        <v/>
      </c>
      <c r="Y51" s="197"/>
      <c r="Z51" s="499" t="str">
        <f>IF(Y51="","",IF(VLOOKUP(Y51,'G-3 Multipliers'!$S$3:$T$9,2,FALSE)=0,"Spatial Data Missing ⚠",VLOOKUP(Y51,'G-3 Multipliers'!$S$3:$T$9,2,FALSE)))</f>
        <v/>
      </c>
      <c r="AA51" s="545" t="str">
        <f t="shared" si="0"/>
        <v/>
      </c>
      <c r="AB51" s="149"/>
      <c r="AC51" s="150"/>
    </row>
    <row r="52" spans="1:29" ht="13.8" x14ac:dyDescent="0.25">
      <c r="A52" s="31" t="str">
        <f>IFERROR(INDEX('G-8 Condition Look up'!$I$4:$I$130,MATCH(F52,'G-8 Condition Look up'!$A$4:$A$130,0)),"")</f>
        <v/>
      </c>
      <c r="C52" s="244" t="str">
        <f>IFERROR(INDEX('G-1 All Habitats'!$AG$3:$AG$15,MATCH(D52,'G-1 All Habitats'!$AF$3:$AF$15,0)),"")</f>
        <v/>
      </c>
      <c r="D52" s="154"/>
      <c r="E52" s="203"/>
      <c r="F52" s="243" t="str">
        <f>IFERROR(INDEX('G-1 All Habitats'!$B$3:$B$129,MATCH(E52,'G-1 All Habitats'!$A$3:$A$129,0)),"")</f>
        <v/>
      </c>
      <c r="G52" s="386"/>
      <c r="H52" s="537" t="str">
        <f>IF(F52="","",VLOOKUP(F52,'G-1 All Habitats'!$B$2:$M$129,10,FALSE))</f>
        <v/>
      </c>
      <c r="I52" s="524" t="str">
        <f>IFERROR(VLOOKUP(H52,'G-1 All Habitats'!$V$3:$W$7,2,FALSE),"")</f>
        <v/>
      </c>
      <c r="J52" s="199"/>
      <c r="K52" s="524" t="str">
        <f>IFERROR(INDEX('G-8 Condition Look up'!$A$3:$H$130,MATCH(F52,'G-8 Condition Look up'!$A$3:$A$130,0),MATCH(J52,'G-8 Condition Look up'!$A$3:$H$3,0)),"")</f>
        <v/>
      </c>
      <c r="L52" s="145"/>
      <c r="M52" s="540" t="str">
        <f>IF(L52="","",IF(VLOOKUP(L52,'G-3 Multipliers'!$L$3:$N$6,2,FALSE)=0,"Spatial Data Missing ⚠",VLOOKUP(L52,'G-3 Multipliers'!$L$3:$N$6,2,FALSE)))</f>
        <v/>
      </c>
      <c r="N52" s="499" t="str">
        <f>IF(L52="","",IF(VLOOKUP(L52,'G-3 Multipliers'!$L$3:$N$6,3,FALSE)=0,"Spatial Data Missing ⚠",VLOOKUP(L52,'G-3 Multipliers'!$L$3:$N$6,3,FALSE)))</f>
        <v/>
      </c>
      <c r="O52" s="498" t="str">
        <f t="shared" si="1"/>
        <v/>
      </c>
      <c r="P52" s="195"/>
      <c r="Q52" s="195"/>
      <c r="R52" s="520" t="str">
        <f t="shared" si="2"/>
        <v/>
      </c>
      <c r="S52" s="544" t="str">
        <f t="shared" si="3"/>
        <v/>
      </c>
      <c r="T52" s="525" t="str">
        <f>IFERROR(IF(S52="Check Data ⚠","Check Data ⚠",VLOOKUP(S52,'G-4 Temporal multipliers'!$A$4:$C$37,3,FALSE)),"")</f>
        <v/>
      </c>
      <c r="U52" s="523" t="str">
        <f>IF(F52="","",VLOOKUP(F52,'G-3 Multipliers'!$A$2:$E$129,2,FALSE))</f>
        <v/>
      </c>
      <c r="V52" s="520" t="str">
        <f t="shared" si="4"/>
        <v/>
      </c>
      <c r="W52" s="520" t="str">
        <f>IF(E52="","",IF(AND(V52="Standard difficulty applied",O52&gt;P52),U52,IF(AND(V52="Low Difficulty - only applicable if all habitat created before losses ⚠",P52&gt;=O52),"Low",VLOOKUP(F52,'G-3 Multipliers'!$A$2:$E$129,4,FALSE))))</f>
        <v/>
      </c>
      <c r="X52" s="524" t="str">
        <f>IFERROR(IF(E52="","",VLOOKUP(W52, 'G-3 Multipliers'!$P$2:$Q$6,2,FALSE)),"")</f>
        <v/>
      </c>
      <c r="Y52" s="197"/>
      <c r="Z52" s="499" t="str">
        <f>IF(Y52="","",IF(VLOOKUP(Y52,'G-3 Multipliers'!$S$3:$T$9,2,FALSE)=0,"Spatial Data Missing ⚠",VLOOKUP(Y52,'G-3 Multipliers'!$S$3:$T$9,2,FALSE)))</f>
        <v/>
      </c>
      <c r="AA52" s="545" t="str">
        <f t="shared" si="0"/>
        <v/>
      </c>
      <c r="AB52" s="149"/>
      <c r="AC52" s="150"/>
    </row>
    <row r="53" spans="1:29" ht="13.8" x14ac:dyDescent="0.25">
      <c r="A53" s="31" t="str">
        <f>IFERROR(INDEX('G-8 Condition Look up'!$I$4:$I$130,MATCH(F53,'G-8 Condition Look up'!$A$4:$A$130,0)),"")</f>
        <v/>
      </c>
      <c r="C53" s="244" t="str">
        <f>IFERROR(INDEX('G-1 All Habitats'!$AG$3:$AG$15,MATCH(D53,'G-1 All Habitats'!$AF$3:$AF$15,0)),"")</f>
        <v/>
      </c>
      <c r="D53" s="154"/>
      <c r="E53" s="203"/>
      <c r="F53" s="243" t="str">
        <f>IFERROR(INDEX('G-1 All Habitats'!$B$3:$B$129,MATCH(E53,'G-1 All Habitats'!$A$3:$A$129,0)),"")</f>
        <v/>
      </c>
      <c r="G53" s="386"/>
      <c r="H53" s="537" t="str">
        <f>IF(F53="","",VLOOKUP(F53,'G-1 All Habitats'!$B$2:$M$129,10,FALSE))</f>
        <v/>
      </c>
      <c r="I53" s="524" t="str">
        <f>IFERROR(VLOOKUP(H53,'G-1 All Habitats'!$V$3:$W$7,2,FALSE),"")</f>
        <v/>
      </c>
      <c r="J53" s="199"/>
      <c r="K53" s="524" t="str">
        <f>IFERROR(INDEX('G-8 Condition Look up'!$A$3:$H$130,MATCH(F53,'G-8 Condition Look up'!$A$3:$A$130,0),MATCH(J53,'G-8 Condition Look up'!$A$3:$H$3,0)),"")</f>
        <v/>
      </c>
      <c r="L53" s="145"/>
      <c r="M53" s="540" t="str">
        <f>IF(L53="","",IF(VLOOKUP(L53,'G-3 Multipliers'!$L$3:$N$6,2,FALSE)=0,"Spatial Data Missing ⚠",VLOOKUP(L53,'G-3 Multipliers'!$L$3:$N$6,2,FALSE)))</f>
        <v/>
      </c>
      <c r="N53" s="499" t="str">
        <f>IF(L53="","",IF(VLOOKUP(L53,'G-3 Multipliers'!$L$3:$N$6,3,FALSE)=0,"Spatial Data Missing ⚠",VLOOKUP(L53,'G-3 Multipliers'!$L$3:$N$6,3,FALSE)))</f>
        <v/>
      </c>
      <c r="O53" s="498" t="str">
        <f t="shared" si="1"/>
        <v/>
      </c>
      <c r="P53" s="195"/>
      <c r="Q53" s="195"/>
      <c r="R53" s="520" t="str">
        <f t="shared" si="2"/>
        <v/>
      </c>
      <c r="S53" s="544" t="str">
        <f t="shared" si="3"/>
        <v/>
      </c>
      <c r="T53" s="525" t="str">
        <f>IFERROR(IF(S53="Check Data ⚠","Check Data ⚠",VLOOKUP(S53,'G-4 Temporal multipliers'!$A$4:$C$37,3,FALSE)),"")</f>
        <v/>
      </c>
      <c r="U53" s="523" t="str">
        <f>IF(F53="","",VLOOKUP(F53,'G-3 Multipliers'!$A$2:$E$129,2,FALSE))</f>
        <v/>
      </c>
      <c r="V53" s="520" t="str">
        <f t="shared" si="4"/>
        <v/>
      </c>
      <c r="W53" s="520" t="str">
        <f>IF(E53="","",IF(AND(V53="Standard difficulty applied",O53&gt;P53),U53,IF(AND(V53="Low Difficulty - only applicable if all habitat created before losses ⚠",P53&gt;=O53),"Low",VLOOKUP(F53,'G-3 Multipliers'!$A$2:$E$129,4,FALSE))))</f>
        <v/>
      </c>
      <c r="X53" s="524" t="str">
        <f>IFERROR(IF(E53="","",VLOOKUP(W53, 'G-3 Multipliers'!$P$2:$Q$6,2,FALSE)),"")</f>
        <v/>
      </c>
      <c r="Y53" s="197"/>
      <c r="Z53" s="499" t="str">
        <f>IF(Y53="","",IF(VLOOKUP(Y53,'G-3 Multipliers'!$S$3:$T$9,2,FALSE)=0,"Spatial Data Missing ⚠",VLOOKUP(Y53,'G-3 Multipliers'!$S$3:$T$9,2,FALSE)))</f>
        <v/>
      </c>
      <c r="AA53" s="545" t="str">
        <f t="shared" si="0"/>
        <v/>
      </c>
      <c r="AB53" s="149"/>
      <c r="AC53" s="150"/>
    </row>
    <row r="54" spans="1:29" ht="13.8" x14ac:dyDescent="0.25">
      <c r="A54" s="31" t="str">
        <f>IFERROR(INDEX('G-8 Condition Look up'!$I$4:$I$130,MATCH(F54,'G-8 Condition Look up'!$A$4:$A$130,0)),"")</f>
        <v/>
      </c>
      <c r="C54" s="244" t="str">
        <f>IFERROR(INDEX('G-1 All Habitats'!$AG$3:$AG$15,MATCH(D54,'G-1 All Habitats'!$AF$3:$AF$15,0)),"")</f>
        <v/>
      </c>
      <c r="D54" s="154"/>
      <c r="E54" s="203"/>
      <c r="F54" s="243" t="str">
        <f>IFERROR(INDEX('G-1 All Habitats'!$B$3:$B$129,MATCH(E54,'G-1 All Habitats'!$A$3:$A$129,0)),"")</f>
        <v/>
      </c>
      <c r="G54" s="386"/>
      <c r="H54" s="537" t="str">
        <f>IF(F54="","",VLOOKUP(F54,'G-1 All Habitats'!$B$2:$M$129,10,FALSE))</f>
        <v/>
      </c>
      <c r="I54" s="524" t="str">
        <f>IFERROR(VLOOKUP(H54,'G-1 All Habitats'!$V$3:$W$7,2,FALSE),"")</f>
        <v/>
      </c>
      <c r="J54" s="199"/>
      <c r="K54" s="524" t="str">
        <f>IFERROR(INDEX('G-8 Condition Look up'!$A$3:$H$130,MATCH(F54,'G-8 Condition Look up'!$A$3:$A$130,0),MATCH(J54,'G-8 Condition Look up'!$A$3:$H$3,0)),"")</f>
        <v/>
      </c>
      <c r="L54" s="145"/>
      <c r="M54" s="540" t="str">
        <f>IF(L54="","",IF(VLOOKUP(L54,'G-3 Multipliers'!$L$3:$N$6,2,FALSE)=0,"Spatial Data Missing ⚠",VLOOKUP(L54,'G-3 Multipliers'!$L$3:$N$6,2,FALSE)))</f>
        <v/>
      </c>
      <c r="N54" s="499" t="str">
        <f>IF(L54="","",IF(VLOOKUP(L54,'G-3 Multipliers'!$L$3:$N$6,3,FALSE)=0,"Spatial Data Missing ⚠",VLOOKUP(L54,'G-3 Multipliers'!$L$3:$N$6,3,FALSE)))</f>
        <v/>
      </c>
      <c r="O54" s="498" t="str">
        <f t="shared" si="1"/>
        <v/>
      </c>
      <c r="P54" s="195"/>
      <c r="Q54" s="195"/>
      <c r="R54" s="520" t="str">
        <f t="shared" si="2"/>
        <v/>
      </c>
      <c r="S54" s="544" t="str">
        <f t="shared" si="3"/>
        <v/>
      </c>
      <c r="T54" s="525" t="str">
        <f>IFERROR(IF(S54="Check Data ⚠","Check Data ⚠",VLOOKUP(S54,'G-4 Temporal multipliers'!$A$4:$C$37,3,FALSE)),"")</f>
        <v/>
      </c>
      <c r="U54" s="523" t="str">
        <f>IF(F54="","",VLOOKUP(F54,'G-3 Multipliers'!$A$2:$E$129,2,FALSE))</f>
        <v/>
      </c>
      <c r="V54" s="520" t="str">
        <f t="shared" si="4"/>
        <v/>
      </c>
      <c r="W54" s="520" t="str">
        <f>IF(E54="","",IF(AND(V54="Standard difficulty applied",O54&gt;P54),U54,IF(AND(V54="Low Difficulty - only applicable if all habitat created before losses ⚠",P54&gt;=O54),"Low",VLOOKUP(F54,'G-3 Multipliers'!$A$2:$E$129,4,FALSE))))</f>
        <v/>
      </c>
      <c r="X54" s="524" t="str">
        <f>IFERROR(IF(E54="","",VLOOKUP(W54, 'G-3 Multipliers'!$P$2:$Q$6,2,FALSE)),"")</f>
        <v/>
      </c>
      <c r="Y54" s="197"/>
      <c r="Z54" s="499" t="str">
        <f>IF(Y54="","",IF(VLOOKUP(Y54,'G-3 Multipliers'!$S$3:$T$9,2,FALSE)=0,"Spatial Data Missing ⚠",VLOOKUP(Y54,'G-3 Multipliers'!$S$3:$T$9,2,FALSE)))</f>
        <v/>
      </c>
      <c r="AA54" s="545" t="str">
        <f t="shared" si="0"/>
        <v/>
      </c>
      <c r="AB54" s="149"/>
      <c r="AC54" s="150"/>
    </row>
    <row r="55" spans="1:29" ht="13.8" x14ac:dyDescent="0.25">
      <c r="A55" s="31" t="str">
        <f>IFERROR(INDEX('G-8 Condition Look up'!$I$4:$I$130,MATCH(F55,'G-8 Condition Look up'!$A$4:$A$130,0)),"")</f>
        <v/>
      </c>
      <c r="C55" s="244" t="str">
        <f>IFERROR(INDEX('G-1 All Habitats'!$AG$3:$AG$15,MATCH(D55,'G-1 All Habitats'!$AF$3:$AF$15,0)),"")</f>
        <v/>
      </c>
      <c r="D55" s="154"/>
      <c r="E55" s="203"/>
      <c r="F55" s="243" t="str">
        <f>IFERROR(INDEX('G-1 All Habitats'!$B$3:$B$129,MATCH(E55,'G-1 All Habitats'!$A$3:$A$129,0)),"")</f>
        <v/>
      </c>
      <c r="G55" s="386"/>
      <c r="H55" s="537" t="str">
        <f>IF(F55="","",VLOOKUP(F55,'G-1 All Habitats'!$B$2:$M$129,10,FALSE))</f>
        <v/>
      </c>
      <c r="I55" s="524" t="str">
        <f>IFERROR(VLOOKUP(H55,'G-1 All Habitats'!$V$3:$W$7,2,FALSE),"")</f>
        <v/>
      </c>
      <c r="J55" s="199"/>
      <c r="K55" s="524" t="str">
        <f>IFERROR(INDEX('G-8 Condition Look up'!$A$3:$H$130,MATCH(F55,'G-8 Condition Look up'!$A$3:$A$130,0),MATCH(J55,'G-8 Condition Look up'!$A$3:$H$3,0)),"")</f>
        <v/>
      </c>
      <c r="L55" s="145"/>
      <c r="M55" s="540" t="str">
        <f>IF(L55="","",IF(VLOOKUP(L55,'G-3 Multipliers'!$L$3:$N$6,2,FALSE)=0,"Spatial Data Missing ⚠",VLOOKUP(L55,'G-3 Multipliers'!$L$3:$N$6,2,FALSE)))</f>
        <v/>
      </c>
      <c r="N55" s="499" t="str">
        <f>IF(L55="","",IF(VLOOKUP(L55,'G-3 Multipliers'!$L$3:$N$6,3,FALSE)=0,"Spatial Data Missing ⚠",VLOOKUP(L55,'G-3 Multipliers'!$L$3:$N$6,3,FALSE)))</f>
        <v/>
      </c>
      <c r="O55" s="498" t="str">
        <f t="shared" si="1"/>
        <v/>
      </c>
      <c r="P55" s="195"/>
      <c r="Q55" s="195"/>
      <c r="R55" s="520" t="str">
        <f t="shared" si="2"/>
        <v/>
      </c>
      <c r="S55" s="544" t="str">
        <f t="shared" si="3"/>
        <v/>
      </c>
      <c r="T55" s="525" t="str">
        <f>IFERROR(IF(S55="Check Data ⚠","Check Data ⚠",VLOOKUP(S55,'G-4 Temporal multipliers'!$A$4:$C$37,3,FALSE)),"")</f>
        <v/>
      </c>
      <c r="U55" s="523" t="str">
        <f>IF(F55="","",VLOOKUP(F55,'G-3 Multipliers'!$A$2:$E$129,2,FALSE))</f>
        <v/>
      </c>
      <c r="V55" s="520" t="str">
        <f t="shared" si="4"/>
        <v/>
      </c>
      <c r="W55" s="520" t="str">
        <f>IF(E55="","",IF(AND(V55="Standard difficulty applied",O55&gt;P55),U55,IF(AND(V55="Low Difficulty - only applicable if all habitat created before losses ⚠",P55&gt;=O55),"Low",VLOOKUP(F55,'G-3 Multipliers'!$A$2:$E$129,4,FALSE))))</f>
        <v/>
      </c>
      <c r="X55" s="524" t="str">
        <f>IFERROR(IF(E55="","",VLOOKUP(W55, 'G-3 Multipliers'!$P$2:$Q$6,2,FALSE)),"")</f>
        <v/>
      </c>
      <c r="Y55" s="197"/>
      <c r="Z55" s="499" t="str">
        <f>IF(Y55="","",IF(VLOOKUP(Y55,'G-3 Multipliers'!$S$3:$T$9,2,FALSE)=0,"Spatial Data Missing ⚠",VLOOKUP(Y55,'G-3 Multipliers'!$S$3:$T$9,2,FALSE)))</f>
        <v/>
      </c>
      <c r="AA55" s="545" t="str">
        <f t="shared" si="0"/>
        <v/>
      </c>
      <c r="AB55" s="149"/>
      <c r="AC55" s="150"/>
    </row>
    <row r="56" spans="1:29" ht="13.8" x14ac:dyDescent="0.25">
      <c r="A56" s="31" t="str">
        <f>IFERROR(INDEX('G-8 Condition Look up'!$I$4:$I$130,MATCH(F56,'G-8 Condition Look up'!$A$4:$A$130,0)),"")</f>
        <v/>
      </c>
      <c r="C56" s="244" t="str">
        <f>IFERROR(INDEX('G-1 All Habitats'!$AG$3:$AG$15,MATCH(D56,'G-1 All Habitats'!$AF$3:$AF$15,0)),"")</f>
        <v/>
      </c>
      <c r="D56" s="154"/>
      <c r="E56" s="203"/>
      <c r="F56" s="243" t="str">
        <f>IFERROR(INDEX('G-1 All Habitats'!$B$3:$B$129,MATCH(E56,'G-1 All Habitats'!$A$3:$A$129,0)),"")</f>
        <v/>
      </c>
      <c r="G56" s="386"/>
      <c r="H56" s="537" t="str">
        <f>IF(F56="","",VLOOKUP(F56,'G-1 All Habitats'!$B$2:$M$129,10,FALSE))</f>
        <v/>
      </c>
      <c r="I56" s="524" t="str">
        <f>IFERROR(VLOOKUP(H56,'G-1 All Habitats'!$V$3:$W$7,2,FALSE),"")</f>
        <v/>
      </c>
      <c r="J56" s="199"/>
      <c r="K56" s="524" t="str">
        <f>IFERROR(INDEX('G-8 Condition Look up'!$A$3:$H$130,MATCH(F56,'G-8 Condition Look up'!$A$3:$A$130,0),MATCH(J56,'G-8 Condition Look up'!$A$3:$H$3,0)),"")</f>
        <v/>
      </c>
      <c r="L56" s="145"/>
      <c r="M56" s="540" t="str">
        <f>IF(L56="","",IF(VLOOKUP(L56,'G-3 Multipliers'!$L$3:$N$6,2,FALSE)=0,"Spatial Data Missing ⚠",VLOOKUP(L56,'G-3 Multipliers'!$L$3:$N$6,2,FALSE)))</f>
        <v/>
      </c>
      <c r="N56" s="499" t="str">
        <f>IF(L56="","",IF(VLOOKUP(L56,'G-3 Multipliers'!$L$3:$N$6,3,FALSE)=0,"Spatial Data Missing ⚠",VLOOKUP(L56,'G-3 Multipliers'!$L$3:$N$6,3,FALSE)))</f>
        <v/>
      </c>
      <c r="O56" s="498" t="str">
        <f t="shared" si="1"/>
        <v/>
      </c>
      <c r="P56" s="195"/>
      <c r="Q56" s="195"/>
      <c r="R56" s="520" t="str">
        <f t="shared" si="2"/>
        <v/>
      </c>
      <c r="S56" s="544" t="str">
        <f t="shared" si="3"/>
        <v/>
      </c>
      <c r="T56" s="525" t="str">
        <f>IFERROR(IF(S56="Check Data ⚠","Check Data ⚠",VLOOKUP(S56,'G-4 Temporal multipliers'!$A$4:$C$37,3,FALSE)),"")</f>
        <v/>
      </c>
      <c r="U56" s="523" t="str">
        <f>IF(F56="","",VLOOKUP(F56,'G-3 Multipliers'!$A$2:$E$129,2,FALSE))</f>
        <v/>
      </c>
      <c r="V56" s="520" t="str">
        <f t="shared" si="4"/>
        <v/>
      </c>
      <c r="W56" s="520" t="str">
        <f>IF(E56="","",IF(AND(V56="Standard difficulty applied",O56&gt;P56),U56,IF(AND(V56="Low Difficulty - only applicable if all habitat created before losses ⚠",P56&gt;=O56),"Low",VLOOKUP(F56,'G-3 Multipliers'!$A$2:$E$129,4,FALSE))))</f>
        <v/>
      </c>
      <c r="X56" s="524" t="str">
        <f>IFERROR(IF(E56="","",VLOOKUP(W56, 'G-3 Multipliers'!$P$2:$Q$6,2,FALSE)),"")</f>
        <v/>
      </c>
      <c r="Y56" s="197"/>
      <c r="Z56" s="499" t="str">
        <f>IF(Y56="","",IF(VLOOKUP(Y56,'G-3 Multipliers'!$S$3:$T$9,2,FALSE)=0,"Spatial Data Missing ⚠",VLOOKUP(Y56,'G-3 Multipliers'!$S$3:$T$9,2,FALSE)))</f>
        <v/>
      </c>
      <c r="AA56" s="545" t="str">
        <f t="shared" si="0"/>
        <v/>
      </c>
      <c r="AB56" s="149"/>
      <c r="AC56" s="150"/>
    </row>
    <row r="57" spans="1:29" ht="13.8" x14ac:dyDescent="0.25">
      <c r="A57" s="31" t="str">
        <f>IFERROR(INDEX('G-8 Condition Look up'!$I$4:$I$130,MATCH(F57,'G-8 Condition Look up'!$A$4:$A$130,0)),"")</f>
        <v/>
      </c>
      <c r="C57" s="244" t="str">
        <f>IFERROR(INDEX('G-1 All Habitats'!$AG$3:$AG$15,MATCH(D57,'G-1 All Habitats'!$AF$3:$AF$15,0)),"")</f>
        <v/>
      </c>
      <c r="D57" s="154"/>
      <c r="E57" s="203"/>
      <c r="F57" s="243" t="str">
        <f>IFERROR(INDEX('G-1 All Habitats'!$B$3:$B$129,MATCH(E57,'G-1 All Habitats'!$A$3:$A$129,0)),"")</f>
        <v/>
      </c>
      <c r="G57" s="386"/>
      <c r="H57" s="537" t="str">
        <f>IF(F57="","",VLOOKUP(F57,'G-1 All Habitats'!$B$2:$M$129,10,FALSE))</f>
        <v/>
      </c>
      <c r="I57" s="524" t="str">
        <f>IFERROR(VLOOKUP(H57,'G-1 All Habitats'!$V$3:$W$7,2,FALSE),"")</f>
        <v/>
      </c>
      <c r="J57" s="199"/>
      <c r="K57" s="524" t="str">
        <f>IFERROR(INDEX('G-8 Condition Look up'!$A$3:$H$130,MATCH(F57,'G-8 Condition Look up'!$A$3:$A$130,0),MATCH(J57,'G-8 Condition Look up'!$A$3:$H$3,0)),"")</f>
        <v/>
      </c>
      <c r="L57" s="145"/>
      <c r="M57" s="540" t="str">
        <f>IF(L57="","",IF(VLOOKUP(L57,'G-3 Multipliers'!$L$3:$N$6,2,FALSE)=0,"Spatial Data Missing ⚠",VLOOKUP(L57,'G-3 Multipliers'!$L$3:$N$6,2,FALSE)))</f>
        <v/>
      </c>
      <c r="N57" s="499" t="str">
        <f>IF(L57="","",IF(VLOOKUP(L57,'G-3 Multipliers'!$L$3:$N$6,3,FALSE)=0,"Spatial Data Missing ⚠",VLOOKUP(L57,'G-3 Multipliers'!$L$3:$N$6,3,FALSE)))</f>
        <v/>
      </c>
      <c r="O57" s="498" t="str">
        <f t="shared" si="1"/>
        <v/>
      </c>
      <c r="P57" s="195"/>
      <c r="Q57" s="195"/>
      <c r="R57" s="520" t="str">
        <f t="shared" si="2"/>
        <v/>
      </c>
      <c r="S57" s="544" t="str">
        <f t="shared" si="3"/>
        <v/>
      </c>
      <c r="T57" s="525" t="str">
        <f>IFERROR(IF(S57="Check Data ⚠","Check Data ⚠",VLOOKUP(S57,'G-4 Temporal multipliers'!$A$4:$C$37,3,FALSE)),"")</f>
        <v/>
      </c>
      <c r="U57" s="523" t="str">
        <f>IF(F57="","",VLOOKUP(F57,'G-3 Multipliers'!$A$2:$E$129,2,FALSE))</f>
        <v/>
      </c>
      <c r="V57" s="520" t="str">
        <f t="shared" si="4"/>
        <v/>
      </c>
      <c r="W57" s="520" t="str">
        <f>IF(E57="","",IF(AND(V57="Standard difficulty applied",O57&gt;P57),U57,IF(AND(V57="Low Difficulty - only applicable if all habitat created before losses ⚠",P57&gt;=O57),"Low",VLOOKUP(F57,'G-3 Multipliers'!$A$2:$E$129,4,FALSE))))</f>
        <v/>
      </c>
      <c r="X57" s="524" t="str">
        <f>IFERROR(IF(E57="","",VLOOKUP(W57, 'G-3 Multipliers'!$P$2:$Q$6,2,FALSE)),"")</f>
        <v/>
      </c>
      <c r="Y57" s="197"/>
      <c r="Z57" s="499" t="str">
        <f>IF(Y57="","",IF(VLOOKUP(Y57,'G-3 Multipliers'!$S$3:$T$9,2,FALSE)=0,"Spatial Data Missing ⚠",VLOOKUP(Y57,'G-3 Multipliers'!$S$3:$T$9,2,FALSE)))</f>
        <v/>
      </c>
      <c r="AA57" s="545" t="str">
        <f t="shared" si="0"/>
        <v/>
      </c>
      <c r="AB57" s="149"/>
      <c r="AC57" s="150"/>
    </row>
    <row r="58" spans="1:29" ht="13.8" x14ac:dyDescent="0.25">
      <c r="A58" s="31" t="str">
        <f>IFERROR(INDEX('G-8 Condition Look up'!$I$4:$I$130,MATCH(F58,'G-8 Condition Look up'!$A$4:$A$130,0)),"")</f>
        <v/>
      </c>
      <c r="C58" s="244" t="str">
        <f>IFERROR(INDEX('G-1 All Habitats'!$AG$3:$AG$15,MATCH(D58,'G-1 All Habitats'!$AF$3:$AF$15,0)),"")</f>
        <v/>
      </c>
      <c r="D58" s="154"/>
      <c r="E58" s="203"/>
      <c r="F58" s="243" t="str">
        <f>IFERROR(INDEX('G-1 All Habitats'!$B$3:$B$129,MATCH(E58,'G-1 All Habitats'!$A$3:$A$129,0)),"")</f>
        <v/>
      </c>
      <c r="G58" s="386"/>
      <c r="H58" s="537" t="str">
        <f>IF(F58="","",VLOOKUP(F58,'G-1 All Habitats'!$B$2:$M$129,10,FALSE))</f>
        <v/>
      </c>
      <c r="I58" s="524" t="str">
        <f>IFERROR(VLOOKUP(H58,'G-1 All Habitats'!$V$3:$W$7,2,FALSE),"")</f>
        <v/>
      </c>
      <c r="J58" s="199"/>
      <c r="K58" s="524" t="str">
        <f>IFERROR(INDEX('G-8 Condition Look up'!$A$3:$H$130,MATCH(F58,'G-8 Condition Look up'!$A$3:$A$130,0),MATCH(J58,'G-8 Condition Look up'!$A$3:$H$3,0)),"")</f>
        <v/>
      </c>
      <c r="L58" s="145"/>
      <c r="M58" s="540" t="str">
        <f>IF(L58="","",IF(VLOOKUP(L58,'G-3 Multipliers'!$L$3:$N$6,2,FALSE)=0,"Spatial Data Missing ⚠",VLOOKUP(L58,'G-3 Multipliers'!$L$3:$N$6,2,FALSE)))</f>
        <v/>
      </c>
      <c r="N58" s="499" t="str">
        <f>IF(L58="","",IF(VLOOKUP(L58,'G-3 Multipliers'!$L$3:$N$6,3,FALSE)=0,"Spatial Data Missing ⚠",VLOOKUP(L58,'G-3 Multipliers'!$L$3:$N$6,3,FALSE)))</f>
        <v/>
      </c>
      <c r="O58" s="498" t="str">
        <f t="shared" si="1"/>
        <v/>
      </c>
      <c r="P58" s="195"/>
      <c r="Q58" s="195"/>
      <c r="R58" s="520" t="str">
        <f t="shared" si="2"/>
        <v/>
      </c>
      <c r="S58" s="544" t="str">
        <f t="shared" si="3"/>
        <v/>
      </c>
      <c r="T58" s="525" t="str">
        <f>IFERROR(IF(S58="Check Data ⚠","Check Data ⚠",VLOOKUP(S58,'G-4 Temporal multipliers'!$A$4:$C$37,3,FALSE)),"")</f>
        <v/>
      </c>
      <c r="U58" s="523" t="str">
        <f>IF(F58="","",VLOOKUP(F58,'G-3 Multipliers'!$A$2:$E$129,2,FALSE))</f>
        <v/>
      </c>
      <c r="V58" s="520" t="str">
        <f t="shared" si="4"/>
        <v/>
      </c>
      <c r="W58" s="520" t="str">
        <f>IF(E58="","",IF(AND(V58="Standard difficulty applied",O58&gt;P58),U58,IF(AND(V58="Low Difficulty - only applicable if all habitat created before losses ⚠",P58&gt;=O58),"Low",VLOOKUP(F58,'G-3 Multipliers'!$A$2:$E$129,4,FALSE))))</f>
        <v/>
      </c>
      <c r="X58" s="524" t="str">
        <f>IFERROR(IF(E58="","",VLOOKUP(W58, 'G-3 Multipliers'!$P$2:$Q$6,2,FALSE)),"")</f>
        <v/>
      </c>
      <c r="Y58" s="197"/>
      <c r="Z58" s="499" t="str">
        <f>IF(Y58="","",IF(VLOOKUP(Y58,'G-3 Multipliers'!$S$3:$T$9,2,FALSE)=0,"Spatial Data Missing ⚠",VLOOKUP(Y58,'G-3 Multipliers'!$S$3:$T$9,2,FALSE)))</f>
        <v/>
      </c>
      <c r="AA58" s="545" t="str">
        <f t="shared" si="0"/>
        <v/>
      </c>
      <c r="AB58" s="149"/>
      <c r="AC58" s="150"/>
    </row>
    <row r="59" spans="1:29" ht="13.8" x14ac:dyDescent="0.25">
      <c r="A59" s="31" t="str">
        <f>IFERROR(INDEX('G-8 Condition Look up'!$I$4:$I$130,MATCH(F59,'G-8 Condition Look up'!$A$4:$A$130,0)),"")</f>
        <v/>
      </c>
      <c r="C59" s="244" t="str">
        <f>IFERROR(INDEX('G-1 All Habitats'!$AG$3:$AG$15,MATCH(D59,'G-1 All Habitats'!$AF$3:$AF$15,0)),"")</f>
        <v/>
      </c>
      <c r="D59" s="154"/>
      <c r="E59" s="203"/>
      <c r="F59" s="243" t="str">
        <f>IFERROR(INDEX('G-1 All Habitats'!$B$3:$B$129,MATCH(E59,'G-1 All Habitats'!$A$3:$A$129,0)),"")</f>
        <v/>
      </c>
      <c r="G59" s="386"/>
      <c r="H59" s="537" t="str">
        <f>IF(F59="","",VLOOKUP(F59,'G-1 All Habitats'!$B$2:$M$129,10,FALSE))</f>
        <v/>
      </c>
      <c r="I59" s="524" t="str">
        <f>IFERROR(VLOOKUP(H59,'G-1 All Habitats'!$V$3:$W$7,2,FALSE),"")</f>
        <v/>
      </c>
      <c r="J59" s="199"/>
      <c r="K59" s="524" t="str">
        <f>IFERROR(INDEX('G-8 Condition Look up'!$A$3:$H$130,MATCH(F59,'G-8 Condition Look up'!$A$3:$A$130,0),MATCH(J59,'G-8 Condition Look up'!$A$3:$H$3,0)),"")</f>
        <v/>
      </c>
      <c r="L59" s="145"/>
      <c r="M59" s="540" t="str">
        <f>IF(L59="","",IF(VLOOKUP(L59,'G-3 Multipliers'!$L$3:$N$6,2,FALSE)=0,"Spatial Data Missing ⚠",VLOOKUP(L59,'G-3 Multipliers'!$L$3:$N$6,2,FALSE)))</f>
        <v/>
      </c>
      <c r="N59" s="499" t="str">
        <f>IF(L59="","",IF(VLOOKUP(L59,'G-3 Multipliers'!$L$3:$N$6,3,FALSE)=0,"Spatial Data Missing ⚠",VLOOKUP(L59,'G-3 Multipliers'!$L$3:$N$6,3,FALSE)))</f>
        <v/>
      </c>
      <c r="O59" s="498" t="str">
        <f t="shared" si="1"/>
        <v/>
      </c>
      <c r="P59" s="195"/>
      <c r="Q59" s="195"/>
      <c r="R59" s="520" t="str">
        <f t="shared" si="2"/>
        <v/>
      </c>
      <c r="S59" s="544" t="str">
        <f t="shared" si="3"/>
        <v/>
      </c>
      <c r="T59" s="525" t="str">
        <f>IFERROR(IF(S59="Check Data ⚠","Check Data ⚠",VLOOKUP(S59,'G-4 Temporal multipliers'!$A$4:$C$37,3,FALSE)),"")</f>
        <v/>
      </c>
      <c r="U59" s="523" t="str">
        <f>IF(F59="","",VLOOKUP(F59,'G-3 Multipliers'!$A$2:$E$129,2,FALSE))</f>
        <v/>
      </c>
      <c r="V59" s="520" t="str">
        <f t="shared" si="4"/>
        <v/>
      </c>
      <c r="W59" s="520" t="str">
        <f>IF(E59="","",IF(AND(V59="Standard difficulty applied",O59&gt;P59),U59,IF(AND(V59="Low Difficulty - only applicable if all habitat created before losses ⚠",P59&gt;=O59),"Low",VLOOKUP(F59,'G-3 Multipliers'!$A$2:$E$129,4,FALSE))))</f>
        <v/>
      </c>
      <c r="X59" s="524" t="str">
        <f>IFERROR(IF(E59="","",VLOOKUP(W59, 'G-3 Multipliers'!$P$2:$Q$6,2,FALSE)),"")</f>
        <v/>
      </c>
      <c r="Y59" s="197"/>
      <c r="Z59" s="499" t="str">
        <f>IF(Y59="","",IF(VLOOKUP(Y59,'G-3 Multipliers'!$S$3:$T$9,2,FALSE)=0,"Spatial Data Missing ⚠",VLOOKUP(Y59,'G-3 Multipliers'!$S$3:$T$9,2,FALSE)))</f>
        <v/>
      </c>
      <c r="AA59" s="545" t="str">
        <f t="shared" si="0"/>
        <v/>
      </c>
      <c r="AB59" s="149"/>
      <c r="AC59" s="150"/>
    </row>
    <row r="60" spans="1:29" ht="13.8" x14ac:dyDescent="0.25">
      <c r="A60" s="31" t="str">
        <f>IFERROR(INDEX('G-8 Condition Look up'!$I$4:$I$130,MATCH(F60,'G-8 Condition Look up'!$A$4:$A$130,0)),"")</f>
        <v/>
      </c>
      <c r="C60" s="244" t="str">
        <f>IFERROR(INDEX('G-1 All Habitats'!$AG$3:$AG$15,MATCH(D60,'G-1 All Habitats'!$AF$3:$AF$15,0)),"")</f>
        <v/>
      </c>
      <c r="D60" s="154"/>
      <c r="E60" s="203"/>
      <c r="F60" s="243" t="str">
        <f>IFERROR(INDEX('G-1 All Habitats'!$B$3:$B$129,MATCH(E60,'G-1 All Habitats'!$A$3:$A$129,0)),"")</f>
        <v/>
      </c>
      <c r="G60" s="386"/>
      <c r="H60" s="537" t="str">
        <f>IF(F60="","",VLOOKUP(F60,'G-1 All Habitats'!$B$2:$M$129,10,FALSE))</f>
        <v/>
      </c>
      <c r="I60" s="524" t="str">
        <f>IFERROR(VLOOKUP(H60,'G-1 All Habitats'!$V$3:$W$7,2,FALSE),"")</f>
        <v/>
      </c>
      <c r="J60" s="199"/>
      <c r="K60" s="524" t="str">
        <f>IFERROR(INDEX('G-8 Condition Look up'!$A$3:$H$130,MATCH(F60,'G-8 Condition Look up'!$A$3:$A$130,0),MATCH(J60,'G-8 Condition Look up'!$A$3:$H$3,0)),"")</f>
        <v/>
      </c>
      <c r="L60" s="145"/>
      <c r="M60" s="540" t="str">
        <f>IF(L60="","",IF(VLOOKUP(L60,'G-3 Multipliers'!$L$3:$N$6,2,FALSE)=0,"Spatial Data Missing ⚠",VLOOKUP(L60,'G-3 Multipliers'!$L$3:$N$6,2,FALSE)))</f>
        <v/>
      </c>
      <c r="N60" s="499" t="str">
        <f>IF(L60="","",IF(VLOOKUP(L60,'G-3 Multipliers'!$L$3:$N$6,3,FALSE)=0,"Spatial Data Missing ⚠",VLOOKUP(L60,'G-3 Multipliers'!$L$3:$N$6,3,FALSE)))</f>
        <v/>
      </c>
      <c r="O60" s="498" t="str">
        <f t="shared" si="1"/>
        <v/>
      </c>
      <c r="P60" s="195"/>
      <c r="Q60" s="195"/>
      <c r="R60" s="520" t="str">
        <f t="shared" si="2"/>
        <v/>
      </c>
      <c r="S60" s="544" t="str">
        <f t="shared" si="3"/>
        <v/>
      </c>
      <c r="T60" s="525" t="str">
        <f>IFERROR(IF(S60="Check Data ⚠","Check Data ⚠",VLOOKUP(S60,'G-4 Temporal multipliers'!$A$4:$C$37,3,FALSE)),"")</f>
        <v/>
      </c>
      <c r="U60" s="523" t="str">
        <f>IF(F60="","",VLOOKUP(F60,'G-3 Multipliers'!$A$2:$E$129,2,FALSE))</f>
        <v/>
      </c>
      <c r="V60" s="520" t="str">
        <f t="shared" si="4"/>
        <v/>
      </c>
      <c r="W60" s="520" t="str">
        <f>IF(E60="","",IF(AND(V60="Standard difficulty applied",O60&gt;P60),U60,IF(AND(V60="Low Difficulty - only applicable if all habitat created before losses ⚠",P60&gt;=O60),"Low",VLOOKUP(F60,'G-3 Multipliers'!$A$2:$E$129,4,FALSE))))</f>
        <v/>
      </c>
      <c r="X60" s="524" t="str">
        <f>IFERROR(IF(E60="","",VLOOKUP(W60, 'G-3 Multipliers'!$P$2:$Q$6,2,FALSE)),"")</f>
        <v/>
      </c>
      <c r="Y60" s="197"/>
      <c r="Z60" s="499" t="str">
        <f>IF(Y60="","",IF(VLOOKUP(Y60,'G-3 Multipliers'!$S$3:$T$9,2,FALSE)=0,"Spatial Data Missing ⚠",VLOOKUP(Y60,'G-3 Multipliers'!$S$3:$T$9,2,FALSE)))</f>
        <v/>
      </c>
      <c r="AA60" s="545" t="str">
        <f t="shared" si="0"/>
        <v/>
      </c>
      <c r="AB60" s="149"/>
      <c r="AC60" s="150"/>
    </row>
    <row r="61" spans="1:29" ht="13.8" x14ac:dyDescent="0.25">
      <c r="A61" s="31" t="str">
        <f>IFERROR(INDEX('G-8 Condition Look up'!$I$4:$I$130,MATCH(F61,'G-8 Condition Look up'!$A$4:$A$130,0)),"")</f>
        <v/>
      </c>
      <c r="C61" s="244" t="str">
        <f>IFERROR(INDEX('G-1 All Habitats'!$AG$3:$AG$15,MATCH(D61,'G-1 All Habitats'!$AF$3:$AF$15,0)),"")</f>
        <v/>
      </c>
      <c r="D61" s="154"/>
      <c r="E61" s="203"/>
      <c r="F61" s="243" t="str">
        <f>IFERROR(INDEX('G-1 All Habitats'!$B$3:$B$129,MATCH(E61,'G-1 All Habitats'!$A$3:$A$129,0)),"")</f>
        <v/>
      </c>
      <c r="G61" s="386"/>
      <c r="H61" s="537" t="str">
        <f>IF(F61="","",VLOOKUP(F61,'G-1 All Habitats'!$B$2:$M$129,10,FALSE))</f>
        <v/>
      </c>
      <c r="I61" s="524" t="str">
        <f>IFERROR(VLOOKUP(H61,'G-1 All Habitats'!$V$3:$W$7,2,FALSE),"")</f>
        <v/>
      </c>
      <c r="J61" s="199"/>
      <c r="K61" s="524" t="str">
        <f>IFERROR(INDEX('G-8 Condition Look up'!$A$3:$H$130,MATCH(F61,'G-8 Condition Look up'!$A$3:$A$130,0),MATCH(J61,'G-8 Condition Look up'!$A$3:$H$3,0)),"")</f>
        <v/>
      </c>
      <c r="L61" s="145"/>
      <c r="M61" s="540" t="str">
        <f>IF(L61="","",IF(VLOOKUP(L61,'G-3 Multipliers'!$L$3:$N$6,2,FALSE)=0,"Spatial Data Missing ⚠",VLOOKUP(L61,'G-3 Multipliers'!$L$3:$N$6,2,FALSE)))</f>
        <v/>
      </c>
      <c r="N61" s="499" t="str">
        <f>IF(L61="","",IF(VLOOKUP(L61,'G-3 Multipliers'!$L$3:$N$6,3,FALSE)=0,"Spatial Data Missing ⚠",VLOOKUP(L61,'G-3 Multipliers'!$L$3:$N$6,3,FALSE)))</f>
        <v/>
      </c>
      <c r="O61" s="498" t="str">
        <f t="shared" si="1"/>
        <v/>
      </c>
      <c r="P61" s="195"/>
      <c r="Q61" s="195"/>
      <c r="R61" s="520" t="str">
        <f t="shared" si="2"/>
        <v/>
      </c>
      <c r="S61" s="544" t="str">
        <f t="shared" si="3"/>
        <v/>
      </c>
      <c r="T61" s="525" t="str">
        <f>IFERROR(IF(S61="Check Data ⚠","Check Data ⚠",VLOOKUP(S61,'G-4 Temporal multipliers'!$A$4:$C$37,3,FALSE)),"")</f>
        <v/>
      </c>
      <c r="U61" s="523" t="str">
        <f>IF(F61="","",VLOOKUP(F61,'G-3 Multipliers'!$A$2:$E$129,2,FALSE))</f>
        <v/>
      </c>
      <c r="V61" s="520" t="str">
        <f t="shared" si="4"/>
        <v/>
      </c>
      <c r="W61" s="520" t="str">
        <f>IF(E61="","",IF(AND(V61="Standard difficulty applied",O61&gt;P61),U61,IF(AND(V61="Low Difficulty - only applicable if all habitat created before losses ⚠",P61&gt;=O61),"Low",VLOOKUP(F61,'G-3 Multipliers'!$A$2:$E$129,4,FALSE))))</f>
        <v/>
      </c>
      <c r="X61" s="524" t="str">
        <f>IFERROR(IF(E61="","",VLOOKUP(W61, 'G-3 Multipliers'!$P$2:$Q$6,2,FALSE)),"")</f>
        <v/>
      </c>
      <c r="Y61" s="197"/>
      <c r="Z61" s="499" t="str">
        <f>IF(Y61="","",IF(VLOOKUP(Y61,'G-3 Multipliers'!$S$3:$T$9,2,FALSE)=0,"Spatial Data Missing ⚠",VLOOKUP(Y61,'G-3 Multipliers'!$S$3:$T$9,2,FALSE)))</f>
        <v/>
      </c>
      <c r="AA61" s="545" t="str">
        <f t="shared" si="0"/>
        <v/>
      </c>
      <c r="AB61" s="149"/>
      <c r="AC61" s="150"/>
    </row>
    <row r="62" spans="1:29" ht="13.8" x14ac:dyDescent="0.25">
      <c r="A62" s="31" t="str">
        <f>IFERROR(INDEX('G-8 Condition Look up'!$I$4:$I$130,MATCH(F62,'G-8 Condition Look up'!$A$4:$A$130,0)),"")</f>
        <v/>
      </c>
      <c r="C62" s="244" t="str">
        <f>IFERROR(INDEX('G-1 All Habitats'!$AG$3:$AG$15,MATCH(D62,'G-1 All Habitats'!$AF$3:$AF$15,0)),"")</f>
        <v/>
      </c>
      <c r="D62" s="154"/>
      <c r="E62" s="203"/>
      <c r="F62" s="243" t="str">
        <f>IFERROR(INDEX('G-1 All Habitats'!$B$3:$B$129,MATCH(E62,'G-1 All Habitats'!$A$3:$A$129,0)),"")</f>
        <v/>
      </c>
      <c r="G62" s="386"/>
      <c r="H62" s="537" t="str">
        <f>IF(F62="","",VLOOKUP(F62,'G-1 All Habitats'!$B$2:$M$129,10,FALSE))</f>
        <v/>
      </c>
      <c r="I62" s="524" t="str">
        <f>IFERROR(VLOOKUP(H62,'G-1 All Habitats'!$V$3:$W$7,2,FALSE),"")</f>
        <v/>
      </c>
      <c r="J62" s="199"/>
      <c r="K62" s="524" t="str">
        <f>IFERROR(INDEX('G-8 Condition Look up'!$A$3:$H$130,MATCH(F62,'G-8 Condition Look up'!$A$3:$A$130,0),MATCH(J62,'G-8 Condition Look up'!$A$3:$H$3,0)),"")</f>
        <v/>
      </c>
      <c r="L62" s="145"/>
      <c r="M62" s="540" t="str">
        <f>IF(L62="","",IF(VLOOKUP(L62,'G-3 Multipliers'!$L$3:$N$6,2,FALSE)=0,"Spatial Data Missing ⚠",VLOOKUP(L62,'G-3 Multipliers'!$L$3:$N$6,2,FALSE)))</f>
        <v/>
      </c>
      <c r="N62" s="499" t="str">
        <f>IF(L62="","",IF(VLOOKUP(L62,'G-3 Multipliers'!$L$3:$N$6,3,FALSE)=0,"Spatial Data Missing ⚠",VLOOKUP(L62,'G-3 Multipliers'!$L$3:$N$6,3,FALSE)))</f>
        <v/>
      </c>
      <c r="O62" s="498" t="str">
        <f t="shared" si="1"/>
        <v/>
      </c>
      <c r="P62" s="195"/>
      <c r="Q62" s="195"/>
      <c r="R62" s="520" t="str">
        <f t="shared" si="2"/>
        <v/>
      </c>
      <c r="S62" s="544" t="str">
        <f t="shared" si="3"/>
        <v/>
      </c>
      <c r="T62" s="525" t="str">
        <f>IFERROR(IF(S62="Check Data ⚠","Check Data ⚠",VLOOKUP(S62,'G-4 Temporal multipliers'!$A$4:$C$37,3,FALSE)),"")</f>
        <v/>
      </c>
      <c r="U62" s="523" t="str">
        <f>IF(F62="","",VLOOKUP(F62,'G-3 Multipliers'!$A$2:$E$129,2,FALSE))</f>
        <v/>
      </c>
      <c r="V62" s="520" t="str">
        <f t="shared" si="4"/>
        <v/>
      </c>
      <c r="W62" s="520" t="str">
        <f>IF(E62="","",IF(AND(V62="Standard difficulty applied",O62&gt;P62),U62,IF(AND(V62="Low Difficulty - only applicable if all habitat created before losses ⚠",P62&gt;=O62),"Low",VLOOKUP(F62,'G-3 Multipliers'!$A$2:$E$129,4,FALSE))))</f>
        <v/>
      </c>
      <c r="X62" s="524" t="str">
        <f>IFERROR(IF(E62="","",VLOOKUP(W62, 'G-3 Multipliers'!$P$2:$Q$6,2,FALSE)),"")</f>
        <v/>
      </c>
      <c r="Y62" s="197"/>
      <c r="Z62" s="499" t="str">
        <f>IF(Y62="","",IF(VLOOKUP(Y62,'G-3 Multipliers'!$S$3:$T$9,2,FALSE)=0,"Spatial Data Missing ⚠",VLOOKUP(Y62,'G-3 Multipliers'!$S$3:$T$9,2,FALSE)))</f>
        <v/>
      </c>
      <c r="AA62" s="545" t="str">
        <f t="shared" si="0"/>
        <v/>
      </c>
      <c r="AB62" s="149"/>
      <c r="AC62" s="150"/>
    </row>
    <row r="63" spans="1:29" ht="13.8" x14ac:dyDescent="0.25">
      <c r="A63" s="31" t="str">
        <f>IFERROR(INDEX('G-8 Condition Look up'!$I$4:$I$130,MATCH(F63,'G-8 Condition Look up'!$A$4:$A$130,0)),"")</f>
        <v/>
      </c>
      <c r="C63" s="244" t="str">
        <f>IFERROR(INDEX('G-1 All Habitats'!$AG$3:$AG$15,MATCH(D63,'G-1 All Habitats'!$AF$3:$AF$15,0)),"")</f>
        <v/>
      </c>
      <c r="D63" s="154"/>
      <c r="E63" s="203"/>
      <c r="F63" s="243" t="str">
        <f>IFERROR(INDEX('G-1 All Habitats'!$B$3:$B$129,MATCH(E63,'G-1 All Habitats'!$A$3:$A$129,0)),"")</f>
        <v/>
      </c>
      <c r="G63" s="386"/>
      <c r="H63" s="537" t="str">
        <f>IF(F63="","",VLOOKUP(F63,'G-1 All Habitats'!$B$2:$M$129,10,FALSE))</f>
        <v/>
      </c>
      <c r="I63" s="524" t="str">
        <f>IFERROR(VLOOKUP(H63,'G-1 All Habitats'!$V$3:$W$7,2,FALSE),"")</f>
        <v/>
      </c>
      <c r="J63" s="199"/>
      <c r="K63" s="524" t="str">
        <f>IFERROR(INDEX('G-8 Condition Look up'!$A$3:$H$130,MATCH(F63,'G-8 Condition Look up'!$A$3:$A$130,0),MATCH(J63,'G-8 Condition Look up'!$A$3:$H$3,0)),"")</f>
        <v/>
      </c>
      <c r="L63" s="145"/>
      <c r="M63" s="540" t="str">
        <f>IF(L63="","",IF(VLOOKUP(L63,'G-3 Multipliers'!$L$3:$N$6,2,FALSE)=0,"Spatial Data Missing ⚠",VLOOKUP(L63,'G-3 Multipliers'!$L$3:$N$6,2,FALSE)))</f>
        <v/>
      </c>
      <c r="N63" s="499" t="str">
        <f>IF(L63="","",IF(VLOOKUP(L63,'G-3 Multipliers'!$L$3:$N$6,3,FALSE)=0,"Spatial Data Missing ⚠",VLOOKUP(L63,'G-3 Multipliers'!$L$3:$N$6,3,FALSE)))</f>
        <v/>
      </c>
      <c r="O63" s="498" t="str">
        <f t="shared" si="1"/>
        <v/>
      </c>
      <c r="P63" s="195"/>
      <c r="Q63" s="195"/>
      <c r="R63" s="520" t="str">
        <f t="shared" si="2"/>
        <v/>
      </c>
      <c r="S63" s="544" t="str">
        <f t="shared" si="3"/>
        <v/>
      </c>
      <c r="T63" s="525" t="str">
        <f>IFERROR(IF(S63="Check Data ⚠","Check Data ⚠",VLOOKUP(S63,'G-4 Temporal multipliers'!$A$4:$C$37,3,FALSE)),"")</f>
        <v/>
      </c>
      <c r="U63" s="523" t="str">
        <f>IF(F63="","",VLOOKUP(F63,'G-3 Multipliers'!$A$2:$E$129,2,FALSE))</f>
        <v/>
      </c>
      <c r="V63" s="520" t="str">
        <f t="shared" si="4"/>
        <v/>
      </c>
      <c r="W63" s="520" t="str">
        <f>IF(E63="","",IF(AND(V63="Standard difficulty applied",O63&gt;P63),U63,IF(AND(V63="Low Difficulty - only applicable if all habitat created before losses ⚠",P63&gt;=O63),"Low",VLOOKUP(F63,'G-3 Multipliers'!$A$2:$E$129,4,FALSE))))</f>
        <v/>
      </c>
      <c r="X63" s="524" t="str">
        <f>IFERROR(IF(E63="","",VLOOKUP(W63, 'G-3 Multipliers'!$P$2:$Q$6,2,FALSE)),"")</f>
        <v/>
      </c>
      <c r="Y63" s="197"/>
      <c r="Z63" s="499" t="str">
        <f>IF(Y63="","",IF(VLOOKUP(Y63,'G-3 Multipliers'!$S$3:$T$9,2,FALSE)=0,"Spatial Data Missing ⚠",VLOOKUP(Y63,'G-3 Multipliers'!$S$3:$T$9,2,FALSE)))</f>
        <v/>
      </c>
      <c r="AA63" s="545" t="str">
        <f t="shared" si="0"/>
        <v/>
      </c>
      <c r="AB63" s="149"/>
      <c r="AC63" s="150"/>
    </row>
    <row r="64" spans="1:29" ht="13.8" x14ac:dyDescent="0.25">
      <c r="A64" s="31" t="str">
        <f>IFERROR(INDEX('G-8 Condition Look up'!$I$4:$I$130,MATCH(F64,'G-8 Condition Look up'!$A$4:$A$130,0)),"")</f>
        <v/>
      </c>
      <c r="C64" s="244" t="str">
        <f>IFERROR(INDEX('G-1 All Habitats'!$AG$3:$AG$15,MATCH(D64,'G-1 All Habitats'!$AF$3:$AF$15,0)),"")</f>
        <v/>
      </c>
      <c r="D64" s="154"/>
      <c r="E64" s="203"/>
      <c r="F64" s="243" t="str">
        <f>IFERROR(INDEX('G-1 All Habitats'!$B$3:$B$129,MATCH(E64,'G-1 All Habitats'!$A$3:$A$129,0)),"")</f>
        <v/>
      </c>
      <c r="G64" s="386"/>
      <c r="H64" s="537" t="str">
        <f>IF(F64="","",VLOOKUP(F64,'G-1 All Habitats'!$B$2:$M$129,10,FALSE))</f>
        <v/>
      </c>
      <c r="I64" s="524" t="str">
        <f>IFERROR(VLOOKUP(H64,'G-1 All Habitats'!$V$3:$W$7,2,FALSE),"")</f>
        <v/>
      </c>
      <c r="J64" s="199"/>
      <c r="K64" s="524" t="str">
        <f>IFERROR(INDEX('G-8 Condition Look up'!$A$3:$H$130,MATCH(F64,'G-8 Condition Look up'!$A$3:$A$130,0),MATCH(J64,'G-8 Condition Look up'!$A$3:$H$3,0)),"")</f>
        <v/>
      </c>
      <c r="L64" s="145"/>
      <c r="M64" s="540" t="str">
        <f>IF(L64="","",IF(VLOOKUP(L64,'G-3 Multipliers'!$L$3:$N$6,2,FALSE)=0,"Spatial Data Missing ⚠",VLOOKUP(L64,'G-3 Multipliers'!$L$3:$N$6,2,FALSE)))</f>
        <v/>
      </c>
      <c r="N64" s="499" t="str">
        <f>IF(L64="","",IF(VLOOKUP(L64,'G-3 Multipliers'!$L$3:$N$6,3,FALSE)=0,"Spatial Data Missing ⚠",VLOOKUP(L64,'G-3 Multipliers'!$L$3:$N$6,3,FALSE)))</f>
        <v/>
      </c>
      <c r="O64" s="498" t="str">
        <f t="shared" si="1"/>
        <v/>
      </c>
      <c r="P64" s="195"/>
      <c r="Q64" s="195"/>
      <c r="R64" s="520" t="str">
        <f t="shared" si="2"/>
        <v/>
      </c>
      <c r="S64" s="544" t="str">
        <f t="shared" si="3"/>
        <v/>
      </c>
      <c r="T64" s="525" t="str">
        <f>IFERROR(IF(S64="Check Data ⚠","Check Data ⚠",VLOOKUP(S64,'G-4 Temporal multipliers'!$A$4:$C$37,3,FALSE)),"")</f>
        <v/>
      </c>
      <c r="U64" s="523" t="str">
        <f>IF(F64="","",VLOOKUP(F64,'G-3 Multipliers'!$A$2:$E$129,2,FALSE))</f>
        <v/>
      </c>
      <c r="V64" s="520" t="str">
        <f t="shared" si="4"/>
        <v/>
      </c>
      <c r="W64" s="520" t="str">
        <f>IF(E64="","",IF(AND(V64="Standard difficulty applied",O64&gt;P64),U64,IF(AND(V64="Low Difficulty - only applicable if all habitat created before losses ⚠",P64&gt;=O64),"Low",VLOOKUP(F64,'G-3 Multipliers'!$A$2:$E$129,4,FALSE))))</f>
        <v/>
      </c>
      <c r="X64" s="524" t="str">
        <f>IFERROR(IF(E64="","",VLOOKUP(W64, 'G-3 Multipliers'!$P$2:$Q$6,2,FALSE)),"")</f>
        <v/>
      </c>
      <c r="Y64" s="197"/>
      <c r="Z64" s="499" t="str">
        <f>IF(Y64="","",IF(VLOOKUP(Y64,'G-3 Multipliers'!$S$3:$T$9,2,FALSE)=0,"Spatial Data Missing ⚠",VLOOKUP(Y64,'G-3 Multipliers'!$S$3:$T$9,2,FALSE)))</f>
        <v/>
      </c>
      <c r="AA64" s="545" t="str">
        <f t="shared" si="0"/>
        <v/>
      </c>
      <c r="AB64" s="149"/>
      <c r="AC64" s="150"/>
    </row>
    <row r="65" spans="1:29" ht="13.8" x14ac:dyDescent="0.25">
      <c r="A65" s="31" t="str">
        <f>IFERROR(INDEX('G-8 Condition Look up'!$I$4:$I$130,MATCH(F65,'G-8 Condition Look up'!$A$4:$A$130,0)),"")</f>
        <v/>
      </c>
      <c r="C65" s="244" t="str">
        <f>IFERROR(INDEX('G-1 All Habitats'!$AG$3:$AG$15,MATCH(D65,'G-1 All Habitats'!$AF$3:$AF$15,0)),"")</f>
        <v/>
      </c>
      <c r="D65" s="154"/>
      <c r="E65" s="203"/>
      <c r="F65" s="243" t="str">
        <f>IFERROR(INDEX('G-1 All Habitats'!$B$3:$B$129,MATCH(E65,'G-1 All Habitats'!$A$3:$A$129,0)),"")</f>
        <v/>
      </c>
      <c r="G65" s="386"/>
      <c r="H65" s="537" t="str">
        <f>IF(F65="","",VLOOKUP(F65,'G-1 All Habitats'!$B$2:$M$129,10,FALSE))</f>
        <v/>
      </c>
      <c r="I65" s="524" t="str">
        <f>IFERROR(VLOOKUP(H65,'G-1 All Habitats'!$V$3:$W$7,2,FALSE),"")</f>
        <v/>
      </c>
      <c r="J65" s="199"/>
      <c r="K65" s="524" t="str">
        <f>IFERROR(INDEX('G-8 Condition Look up'!$A$3:$H$130,MATCH(F65,'G-8 Condition Look up'!$A$3:$A$130,0),MATCH(J65,'G-8 Condition Look up'!$A$3:$H$3,0)),"")</f>
        <v/>
      </c>
      <c r="L65" s="145"/>
      <c r="M65" s="540" t="str">
        <f>IF(L65="","",IF(VLOOKUP(L65,'G-3 Multipliers'!$L$3:$N$6,2,FALSE)=0,"Spatial Data Missing ⚠",VLOOKUP(L65,'G-3 Multipliers'!$L$3:$N$6,2,FALSE)))</f>
        <v/>
      </c>
      <c r="N65" s="499" t="str">
        <f>IF(L65="","",IF(VLOOKUP(L65,'G-3 Multipliers'!$L$3:$N$6,3,FALSE)=0,"Spatial Data Missing ⚠",VLOOKUP(L65,'G-3 Multipliers'!$L$3:$N$6,3,FALSE)))</f>
        <v/>
      </c>
      <c r="O65" s="498" t="str">
        <f t="shared" si="1"/>
        <v/>
      </c>
      <c r="P65" s="195"/>
      <c r="Q65" s="195"/>
      <c r="R65" s="520" t="str">
        <f t="shared" si="2"/>
        <v/>
      </c>
      <c r="S65" s="544" t="str">
        <f t="shared" si="3"/>
        <v/>
      </c>
      <c r="T65" s="525" t="str">
        <f>IFERROR(IF(S65="Check Data ⚠","Check Data ⚠",VLOOKUP(S65,'G-4 Temporal multipliers'!$A$4:$C$37,3,FALSE)),"")</f>
        <v/>
      </c>
      <c r="U65" s="523" t="str">
        <f>IF(F65="","",VLOOKUP(F65,'G-3 Multipliers'!$A$2:$E$129,2,FALSE))</f>
        <v/>
      </c>
      <c r="V65" s="520" t="str">
        <f t="shared" si="4"/>
        <v/>
      </c>
      <c r="W65" s="520" t="str">
        <f>IF(E65="","",IF(AND(V65="Standard difficulty applied",O65&gt;P65),U65,IF(AND(V65="Low Difficulty - only applicable if all habitat created before losses ⚠",P65&gt;=O65),"Low",VLOOKUP(F65,'G-3 Multipliers'!$A$2:$E$129,4,FALSE))))</f>
        <v/>
      </c>
      <c r="X65" s="524" t="str">
        <f>IFERROR(IF(E65="","",VLOOKUP(W65, 'G-3 Multipliers'!$P$2:$Q$6,2,FALSE)),"")</f>
        <v/>
      </c>
      <c r="Y65" s="197"/>
      <c r="Z65" s="499" t="str">
        <f>IF(Y65="","",IF(VLOOKUP(Y65,'G-3 Multipliers'!$S$3:$T$9,2,FALSE)=0,"Spatial Data Missing ⚠",VLOOKUP(Y65,'G-3 Multipliers'!$S$3:$T$9,2,FALSE)))</f>
        <v/>
      </c>
      <c r="AA65" s="545" t="str">
        <f t="shared" si="0"/>
        <v/>
      </c>
      <c r="AB65" s="149"/>
      <c r="AC65" s="150"/>
    </row>
    <row r="66" spans="1:29" ht="13.8" x14ac:dyDescent="0.25">
      <c r="A66" s="31" t="str">
        <f>IFERROR(INDEX('G-8 Condition Look up'!$I$4:$I$130,MATCH(F66,'G-8 Condition Look up'!$A$4:$A$130,0)),"")</f>
        <v/>
      </c>
      <c r="C66" s="244" t="str">
        <f>IFERROR(INDEX('G-1 All Habitats'!$AG$3:$AG$15,MATCH(D66,'G-1 All Habitats'!$AF$3:$AF$15,0)),"")</f>
        <v/>
      </c>
      <c r="D66" s="154"/>
      <c r="E66" s="203"/>
      <c r="F66" s="243" t="str">
        <f>IFERROR(INDEX('G-1 All Habitats'!$B$3:$B$129,MATCH(E66,'G-1 All Habitats'!$A$3:$A$129,0)),"")</f>
        <v/>
      </c>
      <c r="G66" s="386"/>
      <c r="H66" s="537" t="str">
        <f>IF(F66="","",VLOOKUP(F66,'G-1 All Habitats'!$B$2:$M$129,10,FALSE))</f>
        <v/>
      </c>
      <c r="I66" s="524" t="str">
        <f>IFERROR(VLOOKUP(H66,'G-1 All Habitats'!$V$3:$W$7,2,FALSE),"")</f>
        <v/>
      </c>
      <c r="J66" s="199"/>
      <c r="K66" s="524" t="str">
        <f>IFERROR(INDEX('G-8 Condition Look up'!$A$3:$H$130,MATCH(F66,'G-8 Condition Look up'!$A$3:$A$130,0),MATCH(J66,'G-8 Condition Look up'!$A$3:$H$3,0)),"")</f>
        <v/>
      </c>
      <c r="L66" s="145"/>
      <c r="M66" s="540" t="str">
        <f>IF(L66="","",IF(VLOOKUP(L66,'G-3 Multipliers'!$L$3:$N$6,2,FALSE)=0,"Spatial Data Missing ⚠",VLOOKUP(L66,'G-3 Multipliers'!$L$3:$N$6,2,FALSE)))</f>
        <v/>
      </c>
      <c r="N66" s="499" t="str">
        <f>IF(L66="","",IF(VLOOKUP(L66,'G-3 Multipliers'!$L$3:$N$6,3,FALSE)=0,"Spatial Data Missing ⚠",VLOOKUP(L66,'G-3 Multipliers'!$L$3:$N$6,3,FALSE)))</f>
        <v/>
      </c>
      <c r="O66" s="498" t="str">
        <f t="shared" si="1"/>
        <v/>
      </c>
      <c r="P66" s="195"/>
      <c r="Q66" s="195"/>
      <c r="R66" s="520" t="str">
        <f t="shared" si="2"/>
        <v/>
      </c>
      <c r="S66" s="544" t="str">
        <f t="shared" si="3"/>
        <v/>
      </c>
      <c r="T66" s="525" t="str">
        <f>IFERROR(IF(S66="Check Data ⚠","Check Data ⚠",VLOOKUP(S66,'G-4 Temporal multipliers'!$A$4:$C$37,3,FALSE)),"")</f>
        <v/>
      </c>
      <c r="U66" s="523" t="str">
        <f>IF(F66="","",VLOOKUP(F66,'G-3 Multipliers'!$A$2:$E$129,2,FALSE))</f>
        <v/>
      </c>
      <c r="V66" s="520" t="str">
        <f t="shared" si="4"/>
        <v/>
      </c>
      <c r="W66" s="520" t="str">
        <f>IF(E66="","",IF(AND(V66="Standard difficulty applied",O66&gt;P66),U66,IF(AND(V66="Low Difficulty - only applicable if all habitat created before losses ⚠",P66&gt;=O66),"Low",VLOOKUP(F66,'G-3 Multipliers'!$A$2:$E$129,4,FALSE))))</f>
        <v/>
      </c>
      <c r="X66" s="524" t="str">
        <f>IFERROR(IF(E66="","",VLOOKUP(W66, 'G-3 Multipliers'!$P$2:$Q$6,2,FALSE)),"")</f>
        <v/>
      </c>
      <c r="Y66" s="197"/>
      <c r="Z66" s="499" t="str">
        <f>IF(Y66="","",IF(VLOOKUP(Y66,'G-3 Multipliers'!$S$3:$T$9,2,FALSE)=0,"Spatial Data Missing ⚠",VLOOKUP(Y66,'G-3 Multipliers'!$S$3:$T$9,2,FALSE)))</f>
        <v/>
      </c>
      <c r="AA66" s="545" t="str">
        <f t="shared" si="0"/>
        <v/>
      </c>
      <c r="AB66" s="149"/>
      <c r="AC66" s="150"/>
    </row>
    <row r="67" spans="1:29" ht="13.8" x14ac:dyDescent="0.25">
      <c r="A67" s="31" t="str">
        <f>IFERROR(INDEX('G-8 Condition Look up'!$I$4:$I$130,MATCH(F67,'G-8 Condition Look up'!$A$4:$A$130,0)),"")</f>
        <v/>
      </c>
      <c r="C67" s="244" t="str">
        <f>IFERROR(INDEX('G-1 All Habitats'!$AG$3:$AG$15,MATCH(D67,'G-1 All Habitats'!$AF$3:$AF$15,0)),"")</f>
        <v/>
      </c>
      <c r="D67" s="154"/>
      <c r="E67" s="203"/>
      <c r="F67" s="243" t="str">
        <f>IFERROR(INDEX('G-1 All Habitats'!$B$3:$B$129,MATCH(E67,'G-1 All Habitats'!$A$3:$A$129,0)),"")</f>
        <v/>
      </c>
      <c r="G67" s="386"/>
      <c r="H67" s="537" t="str">
        <f>IF(F67="","",VLOOKUP(F67,'G-1 All Habitats'!$B$2:$M$129,10,FALSE))</f>
        <v/>
      </c>
      <c r="I67" s="524" t="str">
        <f>IFERROR(VLOOKUP(H67,'G-1 All Habitats'!$V$3:$W$7,2,FALSE),"")</f>
        <v/>
      </c>
      <c r="J67" s="199"/>
      <c r="K67" s="524" t="str">
        <f>IFERROR(INDEX('G-8 Condition Look up'!$A$3:$H$130,MATCH(F67,'G-8 Condition Look up'!$A$3:$A$130,0),MATCH(J67,'G-8 Condition Look up'!$A$3:$H$3,0)),"")</f>
        <v/>
      </c>
      <c r="L67" s="145"/>
      <c r="M67" s="540" t="str">
        <f>IF(L67="","",IF(VLOOKUP(L67,'G-3 Multipliers'!$L$3:$N$6,2,FALSE)=0,"Spatial Data Missing ⚠",VLOOKUP(L67,'G-3 Multipliers'!$L$3:$N$6,2,FALSE)))</f>
        <v/>
      </c>
      <c r="N67" s="499" t="str">
        <f>IF(L67="","",IF(VLOOKUP(L67,'G-3 Multipliers'!$L$3:$N$6,3,FALSE)=0,"Spatial Data Missing ⚠",VLOOKUP(L67,'G-3 Multipliers'!$L$3:$N$6,3,FALSE)))</f>
        <v/>
      </c>
      <c r="O67" s="498" t="str">
        <f t="shared" si="1"/>
        <v/>
      </c>
      <c r="P67" s="195"/>
      <c r="Q67" s="195"/>
      <c r="R67" s="520" t="str">
        <f t="shared" si="2"/>
        <v/>
      </c>
      <c r="S67" s="544" t="str">
        <f t="shared" si="3"/>
        <v/>
      </c>
      <c r="T67" s="525" t="str">
        <f>IFERROR(IF(S67="Check Data ⚠","Check Data ⚠",VLOOKUP(S67,'G-4 Temporal multipliers'!$A$4:$C$37,3,FALSE)),"")</f>
        <v/>
      </c>
      <c r="U67" s="523" t="str">
        <f>IF(F67="","",VLOOKUP(F67,'G-3 Multipliers'!$A$2:$E$129,2,FALSE))</f>
        <v/>
      </c>
      <c r="V67" s="520" t="str">
        <f t="shared" si="4"/>
        <v/>
      </c>
      <c r="W67" s="520" t="str">
        <f>IF(E67="","",IF(AND(V67="Standard difficulty applied",O67&gt;P67),U67,IF(AND(V67="Low Difficulty - only applicable if all habitat created before losses ⚠",P67&gt;=O67),"Low",VLOOKUP(F67,'G-3 Multipliers'!$A$2:$E$129,4,FALSE))))</f>
        <v/>
      </c>
      <c r="X67" s="524" t="str">
        <f>IFERROR(IF(E67="","",VLOOKUP(W67, 'G-3 Multipliers'!$P$2:$Q$6,2,FALSE)),"")</f>
        <v/>
      </c>
      <c r="Y67" s="197"/>
      <c r="Z67" s="499" t="str">
        <f>IF(Y67="","",IF(VLOOKUP(Y67,'G-3 Multipliers'!$S$3:$T$9,2,FALSE)=0,"Spatial Data Missing ⚠",VLOOKUP(Y67,'G-3 Multipliers'!$S$3:$T$9,2,FALSE)))</f>
        <v/>
      </c>
      <c r="AA67" s="545" t="str">
        <f t="shared" si="0"/>
        <v/>
      </c>
      <c r="AB67" s="149"/>
      <c r="AC67" s="150"/>
    </row>
    <row r="68" spans="1:29" ht="13.8" x14ac:dyDescent="0.25">
      <c r="A68" s="31" t="str">
        <f>IFERROR(INDEX('G-8 Condition Look up'!$I$4:$I$130,MATCH(F68,'G-8 Condition Look up'!$A$4:$A$130,0)),"")</f>
        <v/>
      </c>
      <c r="C68" s="244" t="str">
        <f>IFERROR(INDEX('G-1 All Habitats'!$AG$3:$AG$15,MATCH(D68,'G-1 All Habitats'!$AF$3:$AF$15,0)),"")</f>
        <v/>
      </c>
      <c r="D68" s="154"/>
      <c r="E68" s="203"/>
      <c r="F68" s="243" t="str">
        <f>IFERROR(INDEX('G-1 All Habitats'!$B$3:$B$129,MATCH(E68,'G-1 All Habitats'!$A$3:$A$129,0)),"")</f>
        <v/>
      </c>
      <c r="G68" s="386"/>
      <c r="H68" s="537" t="str">
        <f>IF(F68="","",VLOOKUP(F68,'G-1 All Habitats'!$B$2:$M$129,10,FALSE))</f>
        <v/>
      </c>
      <c r="I68" s="524" t="str">
        <f>IFERROR(VLOOKUP(H68,'G-1 All Habitats'!$V$3:$W$7,2,FALSE),"")</f>
        <v/>
      </c>
      <c r="J68" s="199"/>
      <c r="K68" s="524" t="str">
        <f>IFERROR(INDEX('G-8 Condition Look up'!$A$3:$H$130,MATCH(F68,'G-8 Condition Look up'!$A$3:$A$130,0),MATCH(J68,'G-8 Condition Look up'!$A$3:$H$3,0)),"")</f>
        <v/>
      </c>
      <c r="L68" s="145"/>
      <c r="M68" s="540" t="str">
        <f>IF(L68="","",IF(VLOOKUP(L68,'G-3 Multipliers'!$L$3:$N$6,2,FALSE)=0,"Spatial Data Missing ⚠",VLOOKUP(L68,'G-3 Multipliers'!$L$3:$N$6,2,FALSE)))</f>
        <v/>
      </c>
      <c r="N68" s="499" t="str">
        <f>IF(L68="","",IF(VLOOKUP(L68,'G-3 Multipliers'!$L$3:$N$6,3,FALSE)=0,"Spatial Data Missing ⚠",VLOOKUP(L68,'G-3 Multipliers'!$L$3:$N$6,3,FALSE)))</f>
        <v/>
      </c>
      <c r="O68" s="498" t="str">
        <f t="shared" si="1"/>
        <v/>
      </c>
      <c r="P68" s="195"/>
      <c r="Q68" s="195"/>
      <c r="R68" s="520" t="str">
        <f t="shared" si="2"/>
        <v/>
      </c>
      <c r="S68" s="544" t="str">
        <f t="shared" si="3"/>
        <v/>
      </c>
      <c r="T68" s="525" t="str">
        <f>IFERROR(IF(S68="Check Data ⚠","Check Data ⚠",VLOOKUP(S68,'G-4 Temporal multipliers'!$A$4:$C$37,3,FALSE)),"")</f>
        <v/>
      </c>
      <c r="U68" s="523" t="str">
        <f>IF(F68="","",VLOOKUP(F68,'G-3 Multipliers'!$A$2:$E$129,2,FALSE))</f>
        <v/>
      </c>
      <c r="V68" s="520" t="str">
        <f t="shared" si="4"/>
        <v/>
      </c>
      <c r="W68" s="520" t="str">
        <f>IF(E68="","",IF(AND(V68="Standard difficulty applied",O68&gt;P68),U68,IF(AND(V68="Low Difficulty - only applicable if all habitat created before losses ⚠",P68&gt;=O68),"Low",VLOOKUP(F68,'G-3 Multipliers'!$A$2:$E$129,4,FALSE))))</f>
        <v/>
      </c>
      <c r="X68" s="524" t="str">
        <f>IFERROR(IF(E68="","",VLOOKUP(W68, 'G-3 Multipliers'!$P$2:$Q$6,2,FALSE)),"")</f>
        <v/>
      </c>
      <c r="Y68" s="197"/>
      <c r="Z68" s="499" t="str">
        <f>IF(Y68="","",IF(VLOOKUP(Y68,'G-3 Multipliers'!$S$3:$T$9,2,FALSE)=0,"Spatial Data Missing ⚠",VLOOKUP(Y68,'G-3 Multipliers'!$S$3:$T$9,2,FALSE)))</f>
        <v/>
      </c>
      <c r="AA68" s="545" t="str">
        <f t="shared" si="0"/>
        <v/>
      </c>
      <c r="AB68" s="149"/>
      <c r="AC68" s="150"/>
    </row>
    <row r="69" spans="1:29" ht="13.8" x14ac:dyDescent="0.25">
      <c r="A69" s="31" t="str">
        <f>IFERROR(INDEX('G-8 Condition Look up'!$I$4:$I$130,MATCH(F69,'G-8 Condition Look up'!$A$4:$A$130,0)),"")</f>
        <v/>
      </c>
      <c r="C69" s="244" t="str">
        <f>IFERROR(INDEX('G-1 All Habitats'!$AG$3:$AG$15,MATCH(D69,'G-1 All Habitats'!$AF$3:$AF$15,0)),"")</f>
        <v/>
      </c>
      <c r="D69" s="154"/>
      <c r="E69" s="203"/>
      <c r="F69" s="243" t="str">
        <f>IFERROR(INDEX('G-1 All Habitats'!$B$3:$B$129,MATCH(E69,'G-1 All Habitats'!$A$3:$A$129,0)),"")</f>
        <v/>
      </c>
      <c r="G69" s="386"/>
      <c r="H69" s="537" t="str">
        <f>IF(F69="","",VLOOKUP(F69,'G-1 All Habitats'!$B$2:$M$129,10,FALSE))</f>
        <v/>
      </c>
      <c r="I69" s="524" t="str">
        <f>IFERROR(VLOOKUP(H69,'G-1 All Habitats'!$V$3:$W$7,2,FALSE),"")</f>
        <v/>
      </c>
      <c r="J69" s="199"/>
      <c r="K69" s="524" t="str">
        <f>IFERROR(INDEX('G-8 Condition Look up'!$A$3:$H$130,MATCH(F69,'G-8 Condition Look up'!$A$3:$A$130,0),MATCH(J69,'G-8 Condition Look up'!$A$3:$H$3,0)),"")</f>
        <v/>
      </c>
      <c r="L69" s="145"/>
      <c r="M69" s="540" t="str">
        <f>IF(L69="","",IF(VLOOKUP(L69,'G-3 Multipliers'!$L$3:$N$6,2,FALSE)=0,"Spatial Data Missing ⚠",VLOOKUP(L69,'G-3 Multipliers'!$L$3:$N$6,2,FALSE)))</f>
        <v/>
      </c>
      <c r="N69" s="499" t="str">
        <f>IF(L69="","",IF(VLOOKUP(L69,'G-3 Multipliers'!$L$3:$N$6,3,FALSE)=0,"Spatial Data Missing ⚠",VLOOKUP(L69,'G-3 Multipliers'!$L$3:$N$6,3,FALSE)))</f>
        <v/>
      </c>
      <c r="O69" s="498" t="str">
        <f t="shared" si="1"/>
        <v/>
      </c>
      <c r="P69" s="195"/>
      <c r="Q69" s="195"/>
      <c r="R69" s="520" t="str">
        <f t="shared" si="2"/>
        <v/>
      </c>
      <c r="S69" s="544" t="str">
        <f t="shared" si="3"/>
        <v/>
      </c>
      <c r="T69" s="525" t="str">
        <f>IFERROR(IF(S69="Check Data ⚠","Check Data ⚠",VLOOKUP(S69,'G-4 Temporal multipliers'!$A$4:$C$37,3,FALSE)),"")</f>
        <v/>
      </c>
      <c r="U69" s="523" t="str">
        <f>IF(F69="","",VLOOKUP(F69,'G-3 Multipliers'!$A$2:$E$129,2,FALSE))</f>
        <v/>
      </c>
      <c r="V69" s="520" t="str">
        <f t="shared" si="4"/>
        <v/>
      </c>
      <c r="W69" s="520" t="str">
        <f>IF(E69="","",IF(AND(V69="Standard difficulty applied",O69&gt;P69),U69,IF(AND(V69="Low Difficulty - only applicable if all habitat created before losses ⚠",P69&gt;=O69),"Low",VLOOKUP(F69,'G-3 Multipliers'!$A$2:$E$129,4,FALSE))))</f>
        <v/>
      </c>
      <c r="X69" s="524" t="str">
        <f>IFERROR(IF(E69="","",VLOOKUP(W69, 'G-3 Multipliers'!$P$2:$Q$6,2,FALSE)),"")</f>
        <v/>
      </c>
      <c r="Y69" s="197"/>
      <c r="Z69" s="499" t="str">
        <f>IF(Y69="","",IF(VLOOKUP(Y69,'G-3 Multipliers'!$S$3:$T$9,2,FALSE)=0,"Spatial Data Missing ⚠",VLOOKUP(Y69,'G-3 Multipliers'!$S$3:$T$9,2,FALSE)))</f>
        <v/>
      </c>
      <c r="AA69" s="545" t="str">
        <f t="shared" si="0"/>
        <v/>
      </c>
      <c r="AB69" s="149"/>
      <c r="AC69" s="150"/>
    </row>
    <row r="70" spans="1:29" ht="13.8" x14ac:dyDescent="0.25">
      <c r="A70" s="31" t="str">
        <f>IFERROR(INDEX('G-8 Condition Look up'!$I$4:$I$130,MATCH(F70,'G-8 Condition Look up'!$A$4:$A$130,0)),"")</f>
        <v/>
      </c>
      <c r="C70" s="244" t="str">
        <f>IFERROR(INDEX('G-1 All Habitats'!$AG$3:$AG$15,MATCH(D70,'G-1 All Habitats'!$AF$3:$AF$15,0)),"")</f>
        <v/>
      </c>
      <c r="D70" s="154"/>
      <c r="E70" s="203"/>
      <c r="F70" s="243" t="str">
        <f>IFERROR(INDEX('G-1 All Habitats'!$B$3:$B$129,MATCH(E70,'G-1 All Habitats'!$A$3:$A$129,0)),"")</f>
        <v/>
      </c>
      <c r="G70" s="386"/>
      <c r="H70" s="537" t="str">
        <f>IF(F70="","",VLOOKUP(F70,'G-1 All Habitats'!$B$2:$M$129,10,FALSE))</f>
        <v/>
      </c>
      <c r="I70" s="524" t="str">
        <f>IFERROR(VLOOKUP(H70,'G-1 All Habitats'!$V$3:$W$7,2,FALSE),"")</f>
        <v/>
      </c>
      <c r="J70" s="199"/>
      <c r="K70" s="524" t="str">
        <f>IFERROR(INDEX('G-8 Condition Look up'!$A$3:$H$130,MATCH(F70,'G-8 Condition Look up'!$A$3:$A$130,0),MATCH(J70,'G-8 Condition Look up'!$A$3:$H$3,0)),"")</f>
        <v/>
      </c>
      <c r="L70" s="145"/>
      <c r="M70" s="540" t="str">
        <f>IF(L70="","",IF(VLOOKUP(L70,'G-3 Multipliers'!$L$3:$N$6,2,FALSE)=0,"Spatial Data Missing ⚠",VLOOKUP(L70,'G-3 Multipliers'!$L$3:$N$6,2,FALSE)))</f>
        <v/>
      </c>
      <c r="N70" s="499" t="str">
        <f>IF(L70="","",IF(VLOOKUP(L70,'G-3 Multipliers'!$L$3:$N$6,3,FALSE)=0,"Spatial Data Missing ⚠",VLOOKUP(L70,'G-3 Multipliers'!$L$3:$N$6,3,FALSE)))</f>
        <v/>
      </c>
      <c r="O70" s="498" t="str">
        <f t="shared" si="1"/>
        <v/>
      </c>
      <c r="P70" s="195"/>
      <c r="Q70" s="195"/>
      <c r="R70" s="520" t="str">
        <f t="shared" si="2"/>
        <v/>
      </c>
      <c r="S70" s="544" t="str">
        <f t="shared" si="3"/>
        <v/>
      </c>
      <c r="T70" s="525" t="str">
        <f>IFERROR(IF(S70="Check Data ⚠","Check Data ⚠",VLOOKUP(S70,'G-4 Temporal multipliers'!$A$4:$C$37,3,FALSE)),"")</f>
        <v/>
      </c>
      <c r="U70" s="523" t="str">
        <f>IF(F70="","",VLOOKUP(F70,'G-3 Multipliers'!$A$2:$E$129,2,FALSE))</f>
        <v/>
      </c>
      <c r="V70" s="520" t="str">
        <f t="shared" si="4"/>
        <v/>
      </c>
      <c r="W70" s="520" t="str">
        <f>IF(E70="","",IF(AND(V70="Standard difficulty applied",O70&gt;P70),U70,IF(AND(V70="Low Difficulty - only applicable if all habitat created before losses ⚠",P70&gt;=O70),"Low",VLOOKUP(F70,'G-3 Multipliers'!$A$2:$E$129,4,FALSE))))</f>
        <v/>
      </c>
      <c r="X70" s="524" t="str">
        <f>IFERROR(IF(E70="","",VLOOKUP(W70, 'G-3 Multipliers'!$P$2:$Q$6,2,FALSE)),"")</f>
        <v/>
      </c>
      <c r="Y70" s="197"/>
      <c r="Z70" s="499" t="str">
        <f>IF(Y70="","",IF(VLOOKUP(Y70,'G-3 Multipliers'!$S$3:$T$9,2,FALSE)=0,"Spatial Data Missing ⚠",VLOOKUP(Y70,'G-3 Multipliers'!$S$3:$T$9,2,FALSE)))</f>
        <v/>
      </c>
      <c r="AA70" s="545" t="str">
        <f t="shared" si="0"/>
        <v/>
      </c>
      <c r="AB70" s="149"/>
      <c r="AC70" s="150"/>
    </row>
    <row r="71" spans="1:29" ht="13.8" x14ac:dyDescent="0.25">
      <c r="A71" s="31" t="str">
        <f>IFERROR(INDEX('G-8 Condition Look up'!$I$4:$I$130,MATCH(F71,'G-8 Condition Look up'!$A$4:$A$130,0)),"")</f>
        <v/>
      </c>
      <c r="C71" s="244" t="str">
        <f>IFERROR(INDEX('G-1 All Habitats'!$AG$3:$AG$15,MATCH(D71,'G-1 All Habitats'!$AF$3:$AF$15,0)),"")</f>
        <v/>
      </c>
      <c r="D71" s="154"/>
      <c r="E71" s="203"/>
      <c r="F71" s="243" t="str">
        <f>IFERROR(INDEX('G-1 All Habitats'!$B$3:$B$129,MATCH(E71,'G-1 All Habitats'!$A$3:$A$129,0)),"")</f>
        <v/>
      </c>
      <c r="G71" s="386"/>
      <c r="H71" s="537" t="str">
        <f>IF(F71="","",VLOOKUP(F71,'G-1 All Habitats'!$B$2:$M$129,10,FALSE))</f>
        <v/>
      </c>
      <c r="I71" s="524" t="str">
        <f>IFERROR(VLOOKUP(H71,'G-1 All Habitats'!$V$3:$W$7,2,FALSE),"")</f>
        <v/>
      </c>
      <c r="J71" s="199"/>
      <c r="K71" s="524" t="str">
        <f>IFERROR(INDEX('G-8 Condition Look up'!$A$3:$H$130,MATCH(F71,'G-8 Condition Look up'!$A$3:$A$130,0),MATCH(J71,'G-8 Condition Look up'!$A$3:$H$3,0)),"")</f>
        <v/>
      </c>
      <c r="L71" s="145"/>
      <c r="M71" s="540" t="str">
        <f>IF(L71="","",IF(VLOOKUP(L71,'G-3 Multipliers'!$L$3:$N$6,2,FALSE)=0,"Spatial Data Missing ⚠",VLOOKUP(L71,'G-3 Multipliers'!$L$3:$N$6,2,FALSE)))</f>
        <v/>
      </c>
      <c r="N71" s="499" t="str">
        <f>IF(L71="","",IF(VLOOKUP(L71,'G-3 Multipliers'!$L$3:$N$6,3,FALSE)=0,"Spatial Data Missing ⚠",VLOOKUP(L71,'G-3 Multipliers'!$L$3:$N$6,3,FALSE)))</f>
        <v/>
      </c>
      <c r="O71" s="498" t="str">
        <f t="shared" si="1"/>
        <v/>
      </c>
      <c r="P71" s="195"/>
      <c r="Q71" s="195"/>
      <c r="R71" s="520" t="str">
        <f t="shared" si="2"/>
        <v/>
      </c>
      <c r="S71" s="544" t="str">
        <f t="shared" si="3"/>
        <v/>
      </c>
      <c r="T71" s="525" t="str">
        <f>IFERROR(IF(S71="Check Data ⚠","Check Data ⚠",VLOOKUP(S71,'G-4 Temporal multipliers'!$A$4:$C$37,3,FALSE)),"")</f>
        <v/>
      </c>
      <c r="U71" s="523" t="str">
        <f>IF(F71="","",VLOOKUP(F71,'G-3 Multipliers'!$A$2:$E$129,2,FALSE))</f>
        <v/>
      </c>
      <c r="V71" s="520" t="str">
        <f t="shared" si="4"/>
        <v/>
      </c>
      <c r="W71" s="520" t="str">
        <f>IF(E71="","",IF(AND(V71="Standard difficulty applied",O71&gt;P71),U71,IF(AND(V71="Low Difficulty - only applicable if all habitat created before losses ⚠",P71&gt;=O71),"Low",VLOOKUP(F71,'G-3 Multipliers'!$A$2:$E$129,4,FALSE))))</f>
        <v/>
      </c>
      <c r="X71" s="524" t="str">
        <f>IFERROR(IF(E71="","",VLOOKUP(W71, 'G-3 Multipliers'!$P$2:$Q$6,2,FALSE)),"")</f>
        <v/>
      </c>
      <c r="Y71" s="197"/>
      <c r="Z71" s="499" t="str">
        <f>IF(Y71="","",IF(VLOOKUP(Y71,'G-3 Multipliers'!$S$3:$T$9,2,FALSE)=0,"Spatial Data Missing ⚠",VLOOKUP(Y71,'G-3 Multipliers'!$S$3:$T$9,2,FALSE)))</f>
        <v/>
      </c>
      <c r="AA71" s="545" t="str">
        <f t="shared" si="0"/>
        <v/>
      </c>
      <c r="AB71" s="149"/>
      <c r="AC71" s="150"/>
    </row>
    <row r="72" spans="1:29" ht="13.8" x14ac:dyDescent="0.25">
      <c r="A72" s="31" t="str">
        <f>IFERROR(INDEX('G-8 Condition Look up'!$I$4:$I$130,MATCH(F72,'G-8 Condition Look up'!$A$4:$A$130,0)),"")</f>
        <v/>
      </c>
      <c r="C72" s="244" t="str">
        <f>IFERROR(INDEX('G-1 All Habitats'!$AG$3:$AG$15,MATCH(D72,'G-1 All Habitats'!$AF$3:$AF$15,0)),"")</f>
        <v/>
      </c>
      <c r="D72" s="154"/>
      <c r="E72" s="203"/>
      <c r="F72" s="243" t="str">
        <f>IFERROR(INDEX('G-1 All Habitats'!$B$3:$B$129,MATCH(E72,'G-1 All Habitats'!$A$3:$A$129,0)),"")</f>
        <v/>
      </c>
      <c r="G72" s="386"/>
      <c r="H72" s="537" t="str">
        <f>IF(F72="","",VLOOKUP(F72,'G-1 All Habitats'!$B$2:$M$129,10,FALSE))</f>
        <v/>
      </c>
      <c r="I72" s="524" t="str">
        <f>IFERROR(VLOOKUP(H72,'G-1 All Habitats'!$V$3:$W$7,2,FALSE),"")</f>
        <v/>
      </c>
      <c r="J72" s="199"/>
      <c r="K72" s="524" t="str">
        <f>IFERROR(INDEX('G-8 Condition Look up'!$A$3:$H$130,MATCH(F72,'G-8 Condition Look up'!$A$3:$A$130,0),MATCH(J72,'G-8 Condition Look up'!$A$3:$H$3,0)),"")</f>
        <v/>
      </c>
      <c r="L72" s="145"/>
      <c r="M72" s="540" t="str">
        <f>IF(L72="","",IF(VLOOKUP(L72,'G-3 Multipliers'!$L$3:$N$6,2,FALSE)=0,"Spatial Data Missing ⚠",VLOOKUP(L72,'G-3 Multipliers'!$L$3:$N$6,2,FALSE)))</f>
        <v/>
      </c>
      <c r="N72" s="499" t="str">
        <f>IF(L72="","",IF(VLOOKUP(L72,'G-3 Multipliers'!$L$3:$N$6,3,FALSE)=0,"Spatial Data Missing ⚠",VLOOKUP(L72,'G-3 Multipliers'!$L$3:$N$6,3,FALSE)))</f>
        <v/>
      </c>
      <c r="O72" s="498" t="str">
        <f t="shared" si="1"/>
        <v/>
      </c>
      <c r="P72" s="195"/>
      <c r="Q72" s="195"/>
      <c r="R72" s="520" t="str">
        <f t="shared" si="2"/>
        <v/>
      </c>
      <c r="S72" s="544" t="str">
        <f t="shared" si="3"/>
        <v/>
      </c>
      <c r="T72" s="525" t="str">
        <f>IFERROR(IF(S72="Check Data ⚠","Check Data ⚠",VLOOKUP(S72,'G-4 Temporal multipliers'!$A$4:$C$37,3,FALSE)),"")</f>
        <v/>
      </c>
      <c r="U72" s="523" t="str">
        <f>IF(F72="","",VLOOKUP(F72,'G-3 Multipliers'!$A$2:$E$129,2,FALSE))</f>
        <v/>
      </c>
      <c r="V72" s="520" t="str">
        <f t="shared" si="4"/>
        <v/>
      </c>
      <c r="W72" s="520" t="str">
        <f>IF(E72="","",IF(AND(V72="Standard difficulty applied",O72&gt;P72),U72,IF(AND(V72="Low Difficulty - only applicable if all habitat created before losses ⚠",P72&gt;=O72),"Low",VLOOKUP(F72,'G-3 Multipliers'!$A$2:$E$129,4,FALSE))))</f>
        <v/>
      </c>
      <c r="X72" s="524" t="str">
        <f>IFERROR(IF(E72="","",VLOOKUP(W72, 'G-3 Multipliers'!$P$2:$Q$6,2,FALSE)),"")</f>
        <v/>
      </c>
      <c r="Y72" s="197"/>
      <c r="Z72" s="499" t="str">
        <f>IF(Y72="","",IF(VLOOKUP(Y72,'G-3 Multipliers'!$S$3:$T$9,2,FALSE)=0,"Spatial Data Missing ⚠",VLOOKUP(Y72,'G-3 Multipliers'!$S$3:$T$9,2,FALSE)))</f>
        <v/>
      </c>
      <c r="AA72" s="545" t="str">
        <f t="shared" si="0"/>
        <v/>
      </c>
      <c r="AB72" s="149"/>
      <c r="AC72" s="150"/>
    </row>
    <row r="73" spans="1:29" ht="13.8" x14ac:dyDescent="0.25">
      <c r="A73" s="31" t="str">
        <f>IFERROR(INDEX('G-8 Condition Look up'!$I$4:$I$130,MATCH(F73,'G-8 Condition Look up'!$A$4:$A$130,0)),"")</f>
        <v/>
      </c>
      <c r="C73" s="244" t="str">
        <f>IFERROR(INDEX('G-1 All Habitats'!$AG$3:$AG$15,MATCH(D73,'G-1 All Habitats'!$AF$3:$AF$15,0)),"")</f>
        <v/>
      </c>
      <c r="D73" s="154"/>
      <c r="E73" s="203"/>
      <c r="F73" s="243" t="str">
        <f>IFERROR(INDEX('G-1 All Habitats'!$B$3:$B$129,MATCH(E73,'G-1 All Habitats'!$A$3:$A$129,0)),"")</f>
        <v/>
      </c>
      <c r="G73" s="386"/>
      <c r="H73" s="537" t="str">
        <f>IF(F73="","",VLOOKUP(F73,'G-1 All Habitats'!$B$2:$M$129,10,FALSE))</f>
        <v/>
      </c>
      <c r="I73" s="524" t="str">
        <f>IFERROR(VLOOKUP(H73,'G-1 All Habitats'!$V$3:$W$7,2,FALSE),"")</f>
        <v/>
      </c>
      <c r="J73" s="199"/>
      <c r="K73" s="524" t="str">
        <f>IFERROR(INDEX('G-8 Condition Look up'!$A$3:$H$130,MATCH(F73,'G-8 Condition Look up'!$A$3:$A$130,0),MATCH(J73,'G-8 Condition Look up'!$A$3:$H$3,0)),"")</f>
        <v/>
      </c>
      <c r="L73" s="145"/>
      <c r="M73" s="540" t="str">
        <f>IF(L73="","",IF(VLOOKUP(L73,'G-3 Multipliers'!$L$3:$N$6,2,FALSE)=0,"Spatial Data Missing ⚠",VLOOKUP(L73,'G-3 Multipliers'!$L$3:$N$6,2,FALSE)))</f>
        <v/>
      </c>
      <c r="N73" s="499" t="str">
        <f>IF(L73="","",IF(VLOOKUP(L73,'G-3 Multipliers'!$L$3:$N$6,3,FALSE)=0,"Spatial Data Missing ⚠",VLOOKUP(L73,'G-3 Multipliers'!$L$3:$N$6,3,FALSE)))</f>
        <v/>
      </c>
      <c r="O73" s="498" t="str">
        <f t="shared" si="1"/>
        <v/>
      </c>
      <c r="P73" s="195"/>
      <c r="Q73" s="195"/>
      <c r="R73" s="520" t="str">
        <f t="shared" si="2"/>
        <v/>
      </c>
      <c r="S73" s="544" t="str">
        <f t="shared" si="3"/>
        <v/>
      </c>
      <c r="T73" s="525" t="str">
        <f>IFERROR(IF(S73="Check Data ⚠","Check Data ⚠",VLOOKUP(S73,'G-4 Temporal multipliers'!$A$4:$C$37,3,FALSE)),"")</f>
        <v/>
      </c>
      <c r="U73" s="523" t="str">
        <f>IF(F73="","",VLOOKUP(F73,'G-3 Multipliers'!$A$2:$E$129,2,FALSE))</f>
        <v/>
      </c>
      <c r="V73" s="520" t="str">
        <f t="shared" si="4"/>
        <v/>
      </c>
      <c r="W73" s="520" t="str">
        <f>IF(E73="","",IF(AND(V73="Standard difficulty applied",O73&gt;P73),U73,IF(AND(V73="Low Difficulty - only applicable if all habitat created before losses ⚠",P73&gt;=O73),"Low",VLOOKUP(F73,'G-3 Multipliers'!$A$2:$E$129,4,FALSE))))</f>
        <v/>
      </c>
      <c r="X73" s="524" t="str">
        <f>IFERROR(IF(E73="","",VLOOKUP(W73, 'G-3 Multipliers'!$P$2:$Q$6,2,FALSE)),"")</f>
        <v/>
      </c>
      <c r="Y73" s="197"/>
      <c r="Z73" s="499" t="str">
        <f>IF(Y73="","",IF(VLOOKUP(Y73,'G-3 Multipliers'!$S$3:$T$9,2,FALSE)=0,"Spatial Data Missing ⚠",VLOOKUP(Y73,'G-3 Multipliers'!$S$3:$T$9,2,FALSE)))</f>
        <v/>
      </c>
      <c r="AA73" s="545" t="str">
        <f t="shared" si="0"/>
        <v/>
      </c>
      <c r="AB73" s="149"/>
      <c r="AC73" s="150"/>
    </row>
    <row r="74" spans="1:29" ht="13.8" x14ac:dyDescent="0.25">
      <c r="A74" s="31" t="str">
        <f>IFERROR(INDEX('G-8 Condition Look up'!$I$4:$I$130,MATCH(F74,'G-8 Condition Look up'!$A$4:$A$130,0)),"")</f>
        <v/>
      </c>
      <c r="C74" s="244" t="str">
        <f>IFERROR(INDEX('G-1 All Habitats'!$AG$3:$AG$15,MATCH(D74,'G-1 All Habitats'!$AF$3:$AF$15,0)),"")</f>
        <v/>
      </c>
      <c r="D74" s="154"/>
      <c r="E74" s="203"/>
      <c r="F74" s="243" t="str">
        <f>IFERROR(INDEX('G-1 All Habitats'!$B$3:$B$129,MATCH(E74,'G-1 All Habitats'!$A$3:$A$129,0)),"")</f>
        <v/>
      </c>
      <c r="G74" s="386"/>
      <c r="H74" s="537" t="str">
        <f>IF(F74="","",VLOOKUP(F74,'G-1 All Habitats'!$B$2:$M$129,10,FALSE))</f>
        <v/>
      </c>
      <c r="I74" s="524" t="str">
        <f>IFERROR(VLOOKUP(H74,'G-1 All Habitats'!$V$3:$W$7,2,FALSE),"")</f>
        <v/>
      </c>
      <c r="J74" s="199"/>
      <c r="K74" s="524" t="str">
        <f>IFERROR(INDEX('G-8 Condition Look up'!$A$3:$H$130,MATCH(F74,'G-8 Condition Look up'!$A$3:$A$130,0),MATCH(J74,'G-8 Condition Look up'!$A$3:$H$3,0)),"")</f>
        <v/>
      </c>
      <c r="L74" s="145"/>
      <c r="M74" s="540" t="str">
        <f>IF(L74="","",IF(VLOOKUP(L74,'G-3 Multipliers'!$L$3:$N$6,2,FALSE)=0,"Spatial Data Missing ⚠",VLOOKUP(L74,'G-3 Multipliers'!$L$3:$N$6,2,FALSE)))</f>
        <v/>
      </c>
      <c r="N74" s="499" t="str">
        <f>IF(L74="","",IF(VLOOKUP(L74,'G-3 Multipliers'!$L$3:$N$6,3,FALSE)=0,"Spatial Data Missing ⚠",VLOOKUP(L74,'G-3 Multipliers'!$L$3:$N$6,3,FALSE)))</f>
        <v/>
      </c>
      <c r="O74" s="498" t="str">
        <f t="shared" si="1"/>
        <v/>
      </c>
      <c r="P74" s="195"/>
      <c r="Q74" s="195"/>
      <c r="R74" s="520" t="str">
        <f t="shared" si="2"/>
        <v/>
      </c>
      <c r="S74" s="544" t="str">
        <f t="shared" si="3"/>
        <v/>
      </c>
      <c r="T74" s="525" t="str">
        <f>IFERROR(IF(S74="Check Data ⚠","Check Data ⚠",VLOOKUP(S74,'G-4 Temporal multipliers'!$A$4:$C$37,3,FALSE)),"")</f>
        <v/>
      </c>
      <c r="U74" s="523" t="str">
        <f>IF(F74="","",VLOOKUP(F74,'G-3 Multipliers'!$A$2:$E$129,2,FALSE))</f>
        <v/>
      </c>
      <c r="V74" s="520" t="str">
        <f t="shared" si="4"/>
        <v/>
      </c>
      <c r="W74" s="520" t="str">
        <f>IF(E74="","",IF(AND(V74="Standard difficulty applied",O74&gt;P74),U74,IF(AND(V74="Low Difficulty - only applicable if all habitat created before losses ⚠",P74&gt;=O74),"Low",VLOOKUP(F74,'G-3 Multipliers'!$A$2:$E$129,4,FALSE))))</f>
        <v/>
      </c>
      <c r="X74" s="524" t="str">
        <f>IFERROR(IF(E74="","",VLOOKUP(W74, 'G-3 Multipliers'!$P$2:$Q$6,2,FALSE)),"")</f>
        <v/>
      </c>
      <c r="Y74" s="197"/>
      <c r="Z74" s="499" t="str">
        <f>IF(Y74="","",IF(VLOOKUP(Y74,'G-3 Multipliers'!$S$3:$T$9,2,FALSE)=0,"Spatial Data Missing ⚠",VLOOKUP(Y74,'G-3 Multipliers'!$S$3:$T$9,2,FALSE)))</f>
        <v/>
      </c>
      <c r="AA74" s="545" t="str">
        <f t="shared" si="0"/>
        <v/>
      </c>
      <c r="AB74" s="149"/>
      <c r="AC74" s="150"/>
    </row>
    <row r="75" spans="1:29" ht="13.8" x14ac:dyDescent="0.25">
      <c r="A75" s="31" t="str">
        <f>IFERROR(INDEX('G-8 Condition Look up'!$I$4:$I$130,MATCH(F75,'G-8 Condition Look up'!$A$4:$A$130,0)),"")</f>
        <v/>
      </c>
      <c r="C75" s="244" t="str">
        <f>IFERROR(INDEX('G-1 All Habitats'!$AG$3:$AG$15,MATCH(D75,'G-1 All Habitats'!$AF$3:$AF$15,0)),"")</f>
        <v/>
      </c>
      <c r="D75" s="154"/>
      <c r="E75" s="203"/>
      <c r="F75" s="243" t="str">
        <f>IFERROR(INDEX('G-1 All Habitats'!$B$3:$B$129,MATCH(E75,'G-1 All Habitats'!$A$3:$A$129,0)),"")</f>
        <v/>
      </c>
      <c r="G75" s="386"/>
      <c r="H75" s="537" t="str">
        <f>IF(F75="","",VLOOKUP(F75,'G-1 All Habitats'!$B$2:$M$129,10,FALSE))</f>
        <v/>
      </c>
      <c r="I75" s="524" t="str">
        <f>IFERROR(VLOOKUP(H75,'G-1 All Habitats'!$V$3:$W$7,2,FALSE),"")</f>
        <v/>
      </c>
      <c r="J75" s="199"/>
      <c r="K75" s="524" t="str">
        <f>IFERROR(INDEX('G-8 Condition Look up'!$A$3:$H$130,MATCH(F75,'G-8 Condition Look up'!$A$3:$A$130,0),MATCH(J75,'G-8 Condition Look up'!$A$3:$H$3,0)),"")</f>
        <v/>
      </c>
      <c r="L75" s="145"/>
      <c r="M75" s="540" t="str">
        <f>IF(L75="","",IF(VLOOKUP(L75,'G-3 Multipliers'!$L$3:$N$6,2,FALSE)=0,"Spatial Data Missing ⚠",VLOOKUP(L75,'G-3 Multipliers'!$L$3:$N$6,2,FALSE)))</f>
        <v/>
      </c>
      <c r="N75" s="499" t="str">
        <f>IF(L75="","",IF(VLOOKUP(L75,'G-3 Multipliers'!$L$3:$N$6,3,FALSE)=0,"Spatial Data Missing ⚠",VLOOKUP(L75,'G-3 Multipliers'!$L$3:$N$6,3,FALSE)))</f>
        <v/>
      </c>
      <c r="O75" s="498" t="str">
        <f t="shared" ref="O75:O138" si="5">IFERROR(INDEX(TemporalData,MATCH(F75,TemporalHabitats,0),MATCH(J75,TemporalConditions,0)),"")</f>
        <v/>
      </c>
      <c r="P75" s="195"/>
      <c r="Q75" s="195"/>
      <c r="R75" s="520" t="str">
        <f t="shared" si="2"/>
        <v/>
      </c>
      <c r="S75" s="544" t="str">
        <f t="shared" si="3"/>
        <v/>
      </c>
      <c r="T75" s="525" t="str">
        <f>IFERROR(IF(S75="Check Data ⚠","Check Data ⚠",VLOOKUP(S75,'G-4 Temporal multipliers'!$A$4:$C$37,3,FALSE)),"")</f>
        <v/>
      </c>
      <c r="U75" s="523" t="str">
        <f>IF(F75="","",VLOOKUP(F75,'G-3 Multipliers'!$A$2:$E$129,2,FALSE))</f>
        <v/>
      </c>
      <c r="V75" s="520" t="str">
        <f t="shared" si="4"/>
        <v/>
      </c>
      <c r="W75" s="520" t="str">
        <f>IF(E75="","",IF(AND(V75="Standard difficulty applied",O75&gt;P75),U75,IF(AND(V75="Low Difficulty - only applicable if all habitat created before losses ⚠",P75&gt;=O75),"Low",VLOOKUP(F75,'G-3 Multipliers'!$A$2:$E$129,4,FALSE))))</f>
        <v/>
      </c>
      <c r="X75" s="524" t="str">
        <f>IFERROR(IF(E75="","",VLOOKUP(W75, 'G-3 Multipliers'!$P$2:$Q$6,2,FALSE)),"")</f>
        <v/>
      </c>
      <c r="Y75" s="197"/>
      <c r="Z75" s="499" t="str">
        <f>IF(Y75="","",IF(VLOOKUP(Y75,'G-3 Multipliers'!$S$3:$T$9,2,FALSE)=0,"Spatial Data Missing ⚠",VLOOKUP(Y75,'G-3 Multipliers'!$S$3:$T$9,2,FALSE)))</f>
        <v/>
      </c>
      <c r="AA75" s="545" t="str">
        <f t="shared" si="0"/>
        <v/>
      </c>
      <c r="AB75" s="149"/>
      <c r="AC75" s="150"/>
    </row>
    <row r="76" spans="1:29" ht="13.8" x14ac:dyDescent="0.25">
      <c r="A76" s="31" t="str">
        <f>IFERROR(INDEX('G-8 Condition Look up'!$I$4:$I$130,MATCH(F76,'G-8 Condition Look up'!$A$4:$A$130,0)),"")</f>
        <v/>
      </c>
      <c r="C76" s="244" t="str">
        <f>IFERROR(INDEX('G-1 All Habitats'!$AG$3:$AG$15,MATCH(D76,'G-1 All Habitats'!$AF$3:$AF$15,0)),"")</f>
        <v/>
      </c>
      <c r="D76" s="154"/>
      <c r="E76" s="203"/>
      <c r="F76" s="243" t="str">
        <f>IFERROR(INDEX('G-1 All Habitats'!$B$3:$B$129,MATCH(E76,'G-1 All Habitats'!$A$3:$A$129,0)),"")</f>
        <v/>
      </c>
      <c r="G76" s="386"/>
      <c r="H76" s="537" t="str">
        <f>IF(F76="","",VLOOKUP(F76,'G-1 All Habitats'!$B$2:$M$129,10,FALSE))</f>
        <v/>
      </c>
      <c r="I76" s="524" t="str">
        <f>IFERROR(VLOOKUP(H76,'G-1 All Habitats'!$V$3:$W$7,2,FALSE),"")</f>
        <v/>
      </c>
      <c r="J76" s="199"/>
      <c r="K76" s="524" t="str">
        <f>IFERROR(INDEX('G-8 Condition Look up'!$A$3:$H$130,MATCH(F76,'G-8 Condition Look up'!$A$3:$A$130,0),MATCH(J76,'G-8 Condition Look up'!$A$3:$H$3,0)),"")</f>
        <v/>
      </c>
      <c r="L76" s="145"/>
      <c r="M76" s="540" t="str">
        <f>IF(L76="","",IF(VLOOKUP(L76,'G-3 Multipliers'!$L$3:$N$6,2,FALSE)=0,"Spatial Data Missing ⚠",VLOOKUP(L76,'G-3 Multipliers'!$L$3:$N$6,2,FALSE)))</f>
        <v/>
      </c>
      <c r="N76" s="499" t="str">
        <f>IF(L76="","",IF(VLOOKUP(L76,'G-3 Multipliers'!$L$3:$N$6,3,FALSE)=0,"Spatial Data Missing ⚠",VLOOKUP(L76,'G-3 Multipliers'!$L$3:$N$6,3,FALSE)))</f>
        <v/>
      </c>
      <c r="O76" s="498" t="str">
        <f t="shared" si="5"/>
        <v/>
      </c>
      <c r="P76" s="195"/>
      <c r="Q76" s="195"/>
      <c r="R76" s="520" t="str">
        <f t="shared" ref="R76:R139" si="6">IF(E76="","",IF(AND(P76&gt;0,Q76&gt;0),"Error -both advance and delayed habitat creation ▲",IF(AND(OR(P76="Habitat already in target condition",O76&lt;=P76),Q76=0,I76&gt;0),"Check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44" t="str">
        <f t="shared" ref="S76:S139" si="7">IF(R76="Error -both advance and delayed habitat creation ▲","Check Data ⚠",IF(O76="Not Possible","Check Data ⚠",IF(O76="","",IF(AND(O76="30+",P76=0),"30+ ⚠",IF(AND(O76="30+",P76="30+ ⚠"),0,IF(AND(O76="30+",P76&lt;32),30-P76,IF(O76="30+",30-P76,IF(P76&gt;O76,0,IF(Q76="30+","30+ ⚠",IF(O76+Q76&gt;30,"30+ ⚠",IF(O76+Q76&gt;30,"30+ ⚠",IF(O76-P76&gt;30,"30+ ⚠",IF(O76+Q76-P76&gt;0,O76+Q76-P76,IF(O76-P76&gt;0,O76-P76,O76+Q76-P76))))))))))))))</f>
        <v/>
      </c>
      <c r="T76" s="525" t="str">
        <f>IFERROR(IF(S76="Check Data ⚠","Check Data ⚠",VLOOKUP(S76,'G-4 Temporal multipliers'!$A$4:$C$37,3,FALSE)),"")</f>
        <v/>
      </c>
      <c r="U76" s="523" t="str">
        <f>IF(F76="","",VLOOKUP(F76,'G-3 Multipliers'!$A$2:$E$129,2,FALSE))</f>
        <v/>
      </c>
      <c r="V76" s="520" t="str">
        <f t="shared" si="4"/>
        <v/>
      </c>
      <c r="W76" s="520" t="str">
        <f>IF(E76="","",IF(AND(V76="Standard difficulty applied",O76&gt;P76),U76,IF(AND(V76="Low Difficulty - only applicable if all habitat created before losses ⚠",P76&gt;=O76),"Low",VLOOKUP(F76,'G-3 Multipliers'!$A$2:$E$129,4,FALSE))))</f>
        <v/>
      </c>
      <c r="X76" s="524" t="str">
        <f>IFERROR(IF(E76="","",VLOOKUP(W76, 'G-3 Multipliers'!$P$2:$Q$6,2,FALSE)),"")</f>
        <v/>
      </c>
      <c r="Y76" s="197"/>
      <c r="Z76" s="499" t="str">
        <f>IF(Y76="","",IF(VLOOKUP(Y76,'G-3 Multipliers'!$S$3:$T$9,2,FALSE)=0,"Spatial Data Missing ⚠",VLOOKUP(Y76,'G-3 Multipliers'!$S$3:$T$9,2,FALSE)))</f>
        <v/>
      </c>
      <c r="AA76" s="545" t="str">
        <f t="shared" ref="AA76:AA139" si="8">IFERROR(G76*I76*K76*N76*T76*X76*Z76,"")</f>
        <v/>
      </c>
      <c r="AB76" s="149"/>
      <c r="AC76" s="150"/>
    </row>
    <row r="77" spans="1:29" ht="13.8" x14ac:dyDescent="0.25">
      <c r="A77" s="31" t="str">
        <f>IFERROR(INDEX('G-8 Condition Look up'!$I$4:$I$130,MATCH(F77,'G-8 Condition Look up'!$A$4:$A$130,0)),"")</f>
        <v/>
      </c>
      <c r="C77" s="244" t="str">
        <f>IFERROR(INDEX('G-1 All Habitats'!$AG$3:$AG$15,MATCH(D77,'G-1 All Habitats'!$AF$3:$AF$15,0)),"")</f>
        <v/>
      </c>
      <c r="D77" s="154"/>
      <c r="E77" s="203"/>
      <c r="F77" s="243" t="str">
        <f>IFERROR(INDEX('G-1 All Habitats'!$B$3:$B$129,MATCH(E77,'G-1 All Habitats'!$A$3:$A$129,0)),"")</f>
        <v/>
      </c>
      <c r="G77" s="386"/>
      <c r="H77" s="537" t="str">
        <f>IF(F77="","",VLOOKUP(F77,'G-1 All Habitats'!$B$2:$M$129,10,FALSE))</f>
        <v/>
      </c>
      <c r="I77" s="524" t="str">
        <f>IFERROR(VLOOKUP(H77,'G-1 All Habitats'!$V$3:$W$7,2,FALSE),"")</f>
        <v/>
      </c>
      <c r="J77" s="199"/>
      <c r="K77" s="524" t="str">
        <f>IFERROR(INDEX('G-8 Condition Look up'!$A$3:$H$130,MATCH(F77,'G-8 Condition Look up'!$A$3:$A$130,0),MATCH(J77,'G-8 Condition Look up'!$A$3:$H$3,0)),"")</f>
        <v/>
      </c>
      <c r="L77" s="145"/>
      <c r="M77" s="540" t="str">
        <f>IF(L77="","",IF(VLOOKUP(L77,'G-3 Multipliers'!$L$3:$N$6,2,FALSE)=0,"Spatial Data Missing ⚠",VLOOKUP(L77,'G-3 Multipliers'!$L$3:$N$6,2,FALSE)))</f>
        <v/>
      </c>
      <c r="N77" s="499" t="str">
        <f>IF(L77="","",IF(VLOOKUP(L77,'G-3 Multipliers'!$L$3:$N$6,3,FALSE)=0,"Spatial Data Missing ⚠",VLOOKUP(L77,'G-3 Multipliers'!$L$3:$N$6,3,FALSE)))</f>
        <v/>
      </c>
      <c r="O77" s="498" t="str">
        <f t="shared" si="5"/>
        <v/>
      </c>
      <c r="P77" s="195"/>
      <c r="Q77" s="195"/>
      <c r="R77" s="520" t="str">
        <f t="shared" si="6"/>
        <v/>
      </c>
      <c r="S77" s="544" t="str">
        <f t="shared" si="7"/>
        <v/>
      </c>
      <c r="T77" s="525" t="str">
        <f>IFERROR(IF(S77="Check Data ⚠","Check Data ⚠",VLOOKUP(S77,'G-4 Temporal multipliers'!$A$4:$C$37,3,FALSE)),"")</f>
        <v/>
      </c>
      <c r="U77" s="523" t="str">
        <f>IF(F77="","",VLOOKUP(F77,'G-3 Multipliers'!$A$2:$E$129,2,FALSE))</f>
        <v/>
      </c>
      <c r="V77" s="520" t="str">
        <f t="shared" ref="V77:V140" si="9">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520" t="str">
        <f>IF(E77="","",IF(AND(V77="Standard difficulty applied",O77&gt;P77),U77,IF(AND(V77="Low Difficulty - only applicable if all habitat created before losses ⚠",P77&gt;=O77),"Low",VLOOKUP(F77,'G-3 Multipliers'!$A$2:$E$129,4,FALSE))))</f>
        <v/>
      </c>
      <c r="X77" s="524" t="str">
        <f>IFERROR(IF(E77="","",VLOOKUP(W77, 'G-3 Multipliers'!$P$2:$Q$6,2,FALSE)),"")</f>
        <v/>
      </c>
      <c r="Y77" s="197"/>
      <c r="Z77" s="499" t="str">
        <f>IF(Y77="","",IF(VLOOKUP(Y77,'G-3 Multipliers'!$S$3:$T$9,2,FALSE)=0,"Spatial Data Missing ⚠",VLOOKUP(Y77,'G-3 Multipliers'!$S$3:$T$9,2,FALSE)))</f>
        <v/>
      </c>
      <c r="AA77" s="545" t="str">
        <f t="shared" si="8"/>
        <v/>
      </c>
      <c r="AB77" s="149"/>
      <c r="AC77" s="150"/>
    </row>
    <row r="78" spans="1:29" ht="13.8" x14ac:dyDescent="0.25">
      <c r="A78" s="31" t="str">
        <f>IFERROR(INDEX('G-8 Condition Look up'!$I$4:$I$130,MATCH(F78,'G-8 Condition Look up'!$A$4:$A$130,0)),"")</f>
        <v/>
      </c>
      <c r="C78" s="244" t="str">
        <f>IFERROR(INDEX('G-1 All Habitats'!$AG$3:$AG$15,MATCH(D78,'G-1 All Habitats'!$AF$3:$AF$15,0)),"")</f>
        <v/>
      </c>
      <c r="D78" s="154"/>
      <c r="E78" s="203"/>
      <c r="F78" s="243" t="str">
        <f>IFERROR(INDEX('G-1 All Habitats'!$B$3:$B$129,MATCH(E78,'G-1 All Habitats'!$A$3:$A$129,0)),"")</f>
        <v/>
      </c>
      <c r="G78" s="386"/>
      <c r="H78" s="537" t="str">
        <f>IF(F78="","",VLOOKUP(F78,'G-1 All Habitats'!$B$2:$M$129,10,FALSE))</f>
        <v/>
      </c>
      <c r="I78" s="524" t="str">
        <f>IFERROR(VLOOKUP(H78,'G-1 All Habitats'!$V$3:$W$7,2,FALSE),"")</f>
        <v/>
      </c>
      <c r="J78" s="199"/>
      <c r="K78" s="524" t="str">
        <f>IFERROR(INDEX('G-8 Condition Look up'!$A$3:$H$130,MATCH(F78,'G-8 Condition Look up'!$A$3:$A$130,0),MATCH(J78,'G-8 Condition Look up'!$A$3:$H$3,0)),"")</f>
        <v/>
      </c>
      <c r="L78" s="145"/>
      <c r="M78" s="540" t="str">
        <f>IF(L78="","",IF(VLOOKUP(L78,'G-3 Multipliers'!$L$3:$N$6,2,FALSE)=0,"Spatial Data Missing ⚠",VLOOKUP(L78,'G-3 Multipliers'!$L$3:$N$6,2,FALSE)))</f>
        <v/>
      </c>
      <c r="N78" s="499" t="str">
        <f>IF(L78="","",IF(VLOOKUP(L78,'G-3 Multipliers'!$L$3:$N$6,3,FALSE)=0,"Spatial Data Missing ⚠",VLOOKUP(L78,'G-3 Multipliers'!$L$3:$N$6,3,FALSE)))</f>
        <v/>
      </c>
      <c r="O78" s="498" t="str">
        <f t="shared" si="5"/>
        <v/>
      </c>
      <c r="P78" s="195"/>
      <c r="Q78" s="195"/>
      <c r="R78" s="520" t="str">
        <f t="shared" si="6"/>
        <v/>
      </c>
      <c r="S78" s="544" t="str">
        <f t="shared" si="7"/>
        <v/>
      </c>
      <c r="T78" s="525" t="str">
        <f>IFERROR(IF(S78="Check Data ⚠","Check Data ⚠",VLOOKUP(S78,'G-4 Temporal multipliers'!$A$4:$C$37,3,FALSE)),"")</f>
        <v/>
      </c>
      <c r="U78" s="523" t="str">
        <f>IF(F78="","",VLOOKUP(F78,'G-3 Multipliers'!$A$2:$E$129,2,FALSE))</f>
        <v/>
      </c>
      <c r="V78" s="520" t="str">
        <f t="shared" si="9"/>
        <v/>
      </c>
      <c r="W78" s="520" t="str">
        <f>IF(E78="","",IF(AND(V78="Standard difficulty applied",O78&gt;P78),U78,IF(AND(V78="Low Difficulty - only applicable if all habitat created before losses ⚠",P78&gt;=O78),"Low",VLOOKUP(F78,'G-3 Multipliers'!$A$2:$E$129,4,FALSE))))</f>
        <v/>
      </c>
      <c r="X78" s="524" t="str">
        <f>IFERROR(IF(E78="","",VLOOKUP(W78, 'G-3 Multipliers'!$P$2:$Q$6,2,FALSE)),"")</f>
        <v/>
      </c>
      <c r="Y78" s="197"/>
      <c r="Z78" s="499" t="str">
        <f>IF(Y78="","",IF(VLOOKUP(Y78,'G-3 Multipliers'!$S$3:$T$9,2,FALSE)=0,"Spatial Data Missing ⚠",VLOOKUP(Y78,'G-3 Multipliers'!$S$3:$T$9,2,FALSE)))</f>
        <v/>
      </c>
      <c r="AA78" s="545" t="str">
        <f t="shared" si="8"/>
        <v/>
      </c>
      <c r="AB78" s="149"/>
      <c r="AC78" s="150"/>
    </row>
    <row r="79" spans="1:29" ht="13.8" x14ac:dyDescent="0.25">
      <c r="A79" s="31" t="str">
        <f>IFERROR(INDEX('G-8 Condition Look up'!$I$4:$I$130,MATCH(F79,'G-8 Condition Look up'!$A$4:$A$130,0)),"")</f>
        <v/>
      </c>
      <c r="C79" s="244" t="str">
        <f>IFERROR(INDEX('G-1 All Habitats'!$AG$3:$AG$15,MATCH(D79,'G-1 All Habitats'!$AF$3:$AF$15,0)),"")</f>
        <v/>
      </c>
      <c r="D79" s="154"/>
      <c r="E79" s="203"/>
      <c r="F79" s="243" t="str">
        <f>IFERROR(INDEX('G-1 All Habitats'!$B$3:$B$129,MATCH(E79,'G-1 All Habitats'!$A$3:$A$129,0)),"")</f>
        <v/>
      </c>
      <c r="G79" s="386"/>
      <c r="H79" s="537" t="str">
        <f>IF(F79="","",VLOOKUP(F79,'G-1 All Habitats'!$B$2:$M$129,10,FALSE))</f>
        <v/>
      </c>
      <c r="I79" s="524" t="str">
        <f>IFERROR(VLOOKUP(H79,'G-1 All Habitats'!$V$3:$W$7,2,FALSE),"")</f>
        <v/>
      </c>
      <c r="J79" s="199"/>
      <c r="K79" s="524" t="str">
        <f>IFERROR(INDEX('G-8 Condition Look up'!$A$3:$H$130,MATCH(F79,'G-8 Condition Look up'!$A$3:$A$130,0),MATCH(J79,'G-8 Condition Look up'!$A$3:$H$3,0)),"")</f>
        <v/>
      </c>
      <c r="L79" s="145"/>
      <c r="M79" s="540" t="str">
        <f>IF(L79="","",IF(VLOOKUP(L79,'G-3 Multipliers'!$L$3:$N$6,2,FALSE)=0,"Spatial Data Missing ⚠",VLOOKUP(L79,'G-3 Multipliers'!$L$3:$N$6,2,FALSE)))</f>
        <v/>
      </c>
      <c r="N79" s="499" t="str">
        <f>IF(L79="","",IF(VLOOKUP(L79,'G-3 Multipliers'!$L$3:$N$6,3,FALSE)=0,"Spatial Data Missing ⚠",VLOOKUP(L79,'G-3 Multipliers'!$L$3:$N$6,3,FALSE)))</f>
        <v/>
      </c>
      <c r="O79" s="498" t="str">
        <f t="shared" si="5"/>
        <v/>
      </c>
      <c r="P79" s="195"/>
      <c r="Q79" s="195"/>
      <c r="R79" s="520" t="str">
        <f t="shared" si="6"/>
        <v/>
      </c>
      <c r="S79" s="544" t="str">
        <f t="shared" si="7"/>
        <v/>
      </c>
      <c r="T79" s="525" t="str">
        <f>IFERROR(IF(S79="Check Data ⚠","Check Data ⚠",VLOOKUP(S79,'G-4 Temporal multipliers'!$A$4:$C$37,3,FALSE)),"")</f>
        <v/>
      </c>
      <c r="U79" s="523" t="str">
        <f>IF(F79="","",VLOOKUP(F79,'G-3 Multipliers'!$A$2:$E$129,2,FALSE))</f>
        <v/>
      </c>
      <c r="V79" s="520" t="str">
        <f t="shared" si="9"/>
        <v/>
      </c>
      <c r="W79" s="520" t="str">
        <f>IF(E79="","",IF(AND(V79="Standard difficulty applied",O79&gt;P79),U79,IF(AND(V79="Low Difficulty - only applicable if all habitat created before losses ⚠",P79&gt;=O79),"Low",VLOOKUP(F79,'G-3 Multipliers'!$A$2:$E$129,4,FALSE))))</f>
        <v/>
      </c>
      <c r="X79" s="524" t="str">
        <f>IFERROR(IF(E79="","",VLOOKUP(W79, 'G-3 Multipliers'!$P$2:$Q$6,2,FALSE)),"")</f>
        <v/>
      </c>
      <c r="Y79" s="197"/>
      <c r="Z79" s="499" t="str">
        <f>IF(Y79="","",IF(VLOOKUP(Y79,'G-3 Multipliers'!$S$3:$T$9,2,FALSE)=0,"Spatial Data Missing ⚠",VLOOKUP(Y79,'G-3 Multipliers'!$S$3:$T$9,2,FALSE)))</f>
        <v/>
      </c>
      <c r="AA79" s="545" t="str">
        <f t="shared" si="8"/>
        <v/>
      </c>
      <c r="AB79" s="149"/>
      <c r="AC79" s="150"/>
    </row>
    <row r="80" spans="1:29" ht="13.8" x14ac:dyDescent="0.25">
      <c r="A80" s="31" t="str">
        <f>IFERROR(INDEX('G-8 Condition Look up'!$I$4:$I$130,MATCH(F80,'G-8 Condition Look up'!$A$4:$A$130,0)),"")</f>
        <v/>
      </c>
      <c r="C80" s="244" t="str">
        <f>IFERROR(INDEX('G-1 All Habitats'!$AG$3:$AG$15,MATCH(D80,'G-1 All Habitats'!$AF$3:$AF$15,0)),"")</f>
        <v/>
      </c>
      <c r="D80" s="154"/>
      <c r="E80" s="203"/>
      <c r="F80" s="243" t="str">
        <f>IFERROR(INDEX('G-1 All Habitats'!$B$3:$B$129,MATCH(E80,'G-1 All Habitats'!$A$3:$A$129,0)),"")</f>
        <v/>
      </c>
      <c r="G80" s="386"/>
      <c r="H80" s="537" t="str">
        <f>IF(F80="","",VLOOKUP(F80,'G-1 All Habitats'!$B$2:$M$129,10,FALSE))</f>
        <v/>
      </c>
      <c r="I80" s="524" t="str">
        <f>IFERROR(VLOOKUP(H80,'G-1 All Habitats'!$V$3:$W$7,2,FALSE),"")</f>
        <v/>
      </c>
      <c r="J80" s="199"/>
      <c r="K80" s="524" t="str">
        <f>IFERROR(INDEX('G-8 Condition Look up'!$A$3:$H$130,MATCH(F80,'G-8 Condition Look up'!$A$3:$A$130,0),MATCH(J80,'G-8 Condition Look up'!$A$3:$H$3,0)),"")</f>
        <v/>
      </c>
      <c r="L80" s="145"/>
      <c r="M80" s="540" t="str">
        <f>IF(L80="","",IF(VLOOKUP(L80,'G-3 Multipliers'!$L$3:$N$6,2,FALSE)=0,"Spatial Data Missing ⚠",VLOOKUP(L80,'G-3 Multipliers'!$L$3:$N$6,2,FALSE)))</f>
        <v/>
      </c>
      <c r="N80" s="499" t="str">
        <f>IF(L80="","",IF(VLOOKUP(L80,'G-3 Multipliers'!$L$3:$N$6,3,FALSE)=0,"Spatial Data Missing ⚠",VLOOKUP(L80,'G-3 Multipliers'!$L$3:$N$6,3,FALSE)))</f>
        <v/>
      </c>
      <c r="O80" s="498" t="str">
        <f t="shared" si="5"/>
        <v/>
      </c>
      <c r="P80" s="195"/>
      <c r="Q80" s="195"/>
      <c r="R80" s="520" t="str">
        <f t="shared" si="6"/>
        <v/>
      </c>
      <c r="S80" s="544" t="str">
        <f t="shared" si="7"/>
        <v/>
      </c>
      <c r="T80" s="525" t="str">
        <f>IFERROR(IF(S80="Check Data ⚠","Check Data ⚠",VLOOKUP(S80,'G-4 Temporal multipliers'!$A$4:$C$37,3,FALSE)),"")</f>
        <v/>
      </c>
      <c r="U80" s="523" t="str">
        <f>IF(F80="","",VLOOKUP(F80,'G-3 Multipliers'!$A$2:$E$129,2,FALSE))</f>
        <v/>
      </c>
      <c r="V80" s="520" t="str">
        <f t="shared" si="9"/>
        <v/>
      </c>
      <c r="W80" s="520" t="str">
        <f>IF(E80="","",IF(AND(V80="Standard difficulty applied",O80&gt;P80),U80,IF(AND(V80="Low Difficulty - only applicable if all habitat created before losses ⚠",P80&gt;=O80),"Low",VLOOKUP(F80,'G-3 Multipliers'!$A$2:$E$129,4,FALSE))))</f>
        <v/>
      </c>
      <c r="X80" s="524" t="str">
        <f>IFERROR(IF(E80="","",VLOOKUP(W80, 'G-3 Multipliers'!$P$2:$Q$6,2,FALSE)),"")</f>
        <v/>
      </c>
      <c r="Y80" s="197"/>
      <c r="Z80" s="499" t="str">
        <f>IF(Y80="","",IF(VLOOKUP(Y80,'G-3 Multipliers'!$S$3:$T$9,2,FALSE)=0,"Spatial Data Missing ⚠",VLOOKUP(Y80,'G-3 Multipliers'!$S$3:$T$9,2,FALSE)))</f>
        <v/>
      </c>
      <c r="AA80" s="545" t="str">
        <f t="shared" si="8"/>
        <v/>
      </c>
      <c r="AB80" s="149"/>
      <c r="AC80" s="150"/>
    </row>
    <row r="81" spans="1:29" ht="13.8" x14ac:dyDescent="0.25">
      <c r="A81" s="31" t="str">
        <f>IFERROR(INDEX('G-8 Condition Look up'!$I$4:$I$130,MATCH(F81,'G-8 Condition Look up'!$A$4:$A$130,0)),"")</f>
        <v/>
      </c>
      <c r="C81" s="244" t="str">
        <f>IFERROR(INDEX('G-1 All Habitats'!$AG$3:$AG$15,MATCH(D81,'G-1 All Habitats'!$AF$3:$AF$15,0)),"")</f>
        <v/>
      </c>
      <c r="D81" s="154"/>
      <c r="E81" s="203"/>
      <c r="F81" s="243" t="str">
        <f>IFERROR(INDEX('G-1 All Habitats'!$B$3:$B$129,MATCH(E81,'G-1 All Habitats'!$A$3:$A$129,0)),"")</f>
        <v/>
      </c>
      <c r="G81" s="386"/>
      <c r="H81" s="537" t="str">
        <f>IF(F81="","",VLOOKUP(F81,'G-1 All Habitats'!$B$2:$M$129,10,FALSE))</f>
        <v/>
      </c>
      <c r="I81" s="524" t="str">
        <f>IFERROR(VLOOKUP(H81,'G-1 All Habitats'!$V$3:$W$7,2,FALSE),"")</f>
        <v/>
      </c>
      <c r="J81" s="199"/>
      <c r="K81" s="524" t="str">
        <f>IFERROR(INDEX('G-8 Condition Look up'!$A$3:$H$130,MATCH(F81,'G-8 Condition Look up'!$A$3:$A$130,0),MATCH(J81,'G-8 Condition Look up'!$A$3:$H$3,0)),"")</f>
        <v/>
      </c>
      <c r="L81" s="145"/>
      <c r="M81" s="540" t="str">
        <f>IF(L81="","",IF(VLOOKUP(L81,'G-3 Multipliers'!$L$3:$N$6,2,FALSE)=0,"Spatial Data Missing ⚠",VLOOKUP(L81,'G-3 Multipliers'!$L$3:$N$6,2,FALSE)))</f>
        <v/>
      </c>
      <c r="N81" s="499" t="str">
        <f>IF(L81="","",IF(VLOOKUP(L81,'G-3 Multipliers'!$L$3:$N$6,3,FALSE)=0,"Spatial Data Missing ⚠",VLOOKUP(L81,'G-3 Multipliers'!$L$3:$N$6,3,FALSE)))</f>
        <v/>
      </c>
      <c r="O81" s="498" t="str">
        <f t="shared" si="5"/>
        <v/>
      </c>
      <c r="P81" s="195"/>
      <c r="Q81" s="195"/>
      <c r="R81" s="520" t="str">
        <f t="shared" si="6"/>
        <v/>
      </c>
      <c r="S81" s="544" t="str">
        <f t="shared" si="7"/>
        <v/>
      </c>
      <c r="T81" s="525" t="str">
        <f>IFERROR(IF(S81="Check Data ⚠","Check Data ⚠",VLOOKUP(S81,'G-4 Temporal multipliers'!$A$4:$C$37,3,FALSE)),"")</f>
        <v/>
      </c>
      <c r="U81" s="523" t="str">
        <f>IF(F81="","",VLOOKUP(F81,'G-3 Multipliers'!$A$2:$E$129,2,FALSE))</f>
        <v/>
      </c>
      <c r="V81" s="520" t="str">
        <f t="shared" si="9"/>
        <v/>
      </c>
      <c r="W81" s="520" t="str">
        <f>IF(E81="","",IF(AND(V81="Standard difficulty applied",O81&gt;P81),U81,IF(AND(V81="Low Difficulty - only applicable if all habitat created before losses ⚠",P81&gt;=O81),"Low",VLOOKUP(F81,'G-3 Multipliers'!$A$2:$E$129,4,FALSE))))</f>
        <v/>
      </c>
      <c r="X81" s="524" t="str">
        <f>IFERROR(IF(E81="","",VLOOKUP(W81, 'G-3 Multipliers'!$P$2:$Q$6,2,FALSE)),"")</f>
        <v/>
      </c>
      <c r="Y81" s="197"/>
      <c r="Z81" s="499" t="str">
        <f>IF(Y81="","",IF(VLOOKUP(Y81,'G-3 Multipliers'!$S$3:$T$9,2,FALSE)=0,"Spatial Data Missing ⚠",VLOOKUP(Y81,'G-3 Multipliers'!$S$3:$T$9,2,FALSE)))</f>
        <v/>
      </c>
      <c r="AA81" s="545" t="str">
        <f t="shared" si="8"/>
        <v/>
      </c>
      <c r="AB81" s="149"/>
      <c r="AC81" s="150"/>
    </row>
    <row r="82" spans="1:29" ht="13.8" x14ac:dyDescent="0.25">
      <c r="A82" s="31" t="str">
        <f>IFERROR(INDEX('G-8 Condition Look up'!$I$4:$I$130,MATCH(F82,'G-8 Condition Look up'!$A$4:$A$130,0)),"")</f>
        <v/>
      </c>
      <c r="C82" s="244" t="str">
        <f>IFERROR(INDEX('G-1 All Habitats'!$AG$3:$AG$15,MATCH(D82,'G-1 All Habitats'!$AF$3:$AF$15,0)),"")</f>
        <v/>
      </c>
      <c r="D82" s="154"/>
      <c r="E82" s="203"/>
      <c r="F82" s="243" t="str">
        <f>IFERROR(INDEX('G-1 All Habitats'!$B$3:$B$129,MATCH(E82,'G-1 All Habitats'!$A$3:$A$129,0)),"")</f>
        <v/>
      </c>
      <c r="G82" s="386"/>
      <c r="H82" s="537" t="str">
        <f>IF(F82="","",VLOOKUP(F82,'G-1 All Habitats'!$B$2:$M$129,10,FALSE))</f>
        <v/>
      </c>
      <c r="I82" s="524" t="str">
        <f>IFERROR(VLOOKUP(H82,'G-1 All Habitats'!$V$3:$W$7,2,FALSE),"")</f>
        <v/>
      </c>
      <c r="J82" s="199"/>
      <c r="K82" s="524" t="str">
        <f>IFERROR(INDEX('G-8 Condition Look up'!$A$3:$H$130,MATCH(F82,'G-8 Condition Look up'!$A$3:$A$130,0),MATCH(J82,'G-8 Condition Look up'!$A$3:$H$3,0)),"")</f>
        <v/>
      </c>
      <c r="L82" s="145"/>
      <c r="M82" s="540" t="str">
        <f>IF(L82="","",IF(VLOOKUP(L82,'G-3 Multipliers'!$L$3:$N$6,2,FALSE)=0,"Spatial Data Missing ⚠",VLOOKUP(L82,'G-3 Multipliers'!$L$3:$N$6,2,FALSE)))</f>
        <v/>
      </c>
      <c r="N82" s="499" t="str">
        <f>IF(L82="","",IF(VLOOKUP(L82,'G-3 Multipliers'!$L$3:$N$6,3,FALSE)=0,"Spatial Data Missing ⚠",VLOOKUP(L82,'G-3 Multipliers'!$L$3:$N$6,3,FALSE)))</f>
        <v/>
      </c>
      <c r="O82" s="498" t="str">
        <f t="shared" si="5"/>
        <v/>
      </c>
      <c r="P82" s="195"/>
      <c r="Q82" s="195"/>
      <c r="R82" s="520" t="str">
        <f t="shared" si="6"/>
        <v/>
      </c>
      <c r="S82" s="544" t="str">
        <f t="shared" si="7"/>
        <v/>
      </c>
      <c r="T82" s="525" t="str">
        <f>IFERROR(IF(S82="Check Data ⚠","Check Data ⚠",VLOOKUP(S82,'G-4 Temporal multipliers'!$A$4:$C$37,3,FALSE)),"")</f>
        <v/>
      </c>
      <c r="U82" s="523" t="str">
        <f>IF(F82="","",VLOOKUP(F82,'G-3 Multipliers'!$A$2:$E$129,2,FALSE))</f>
        <v/>
      </c>
      <c r="V82" s="520" t="str">
        <f t="shared" si="9"/>
        <v/>
      </c>
      <c r="W82" s="520" t="str">
        <f>IF(E82="","",IF(AND(V82="Standard difficulty applied",O82&gt;P82),U82,IF(AND(V82="Low Difficulty - only applicable if all habitat created before losses ⚠",P82&gt;=O82),"Low",VLOOKUP(F82,'G-3 Multipliers'!$A$2:$E$129,4,FALSE))))</f>
        <v/>
      </c>
      <c r="X82" s="524" t="str">
        <f>IFERROR(IF(E82="","",VLOOKUP(W82, 'G-3 Multipliers'!$P$2:$Q$6,2,FALSE)),"")</f>
        <v/>
      </c>
      <c r="Y82" s="197"/>
      <c r="Z82" s="499" t="str">
        <f>IF(Y82="","",IF(VLOOKUP(Y82,'G-3 Multipliers'!$S$3:$T$9,2,FALSE)=0,"Spatial Data Missing ⚠",VLOOKUP(Y82,'G-3 Multipliers'!$S$3:$T$9,2,FALSE)))</f>
        <v/>
      </c>
      <c r="AA82" s="545" t="str">
        <f t="shared" si="8"/>
        <v/>
      </c>
      <c r="AB82" s="149"/>
      <c r="AC82" s="150"/>
    </row>
    <row r="83" spans="1:29" ht="13.8" x14ac:dyDescent="0.25">
      <c r="A83" s="31" t="str">
        <f>IFERROR(INDEX('G-8 Condition Look up'!$I$4:$I$130,MATCH(F83,'G-8 Condition Look up'!$A$4:$A$130,0)),"")</f>
        <v/>
      </c>
      <c r="C83" s="244" t="str">
        <f>IFERROR(INDEX('G-1 All Habitats'!$AG$3:$AG$15,MATCH(D83,'G-1 All Habitats'!$AF$3:$AF$15,0)),"")</f>
        <v/>
      </c>
      <c r="D83" s="154"/>
      <c r="E83" s="203"/>
      <c r="F83" s="243" t="str">
        <f>IFERROR(INDEX('G-1 All Habitats'!$B$3:$B$129,MATCH(E83,'G-1 All Habitats'!$A$3:$A$129,0)),"")</f>
        <v/>
      </c>
      <c r="G83" s="386"/>
      <c r="H83" s="537" t="str">
        <f>IF(F83="","",VLOOKUP(F83,'G-1 All Habitats'!$B$2:$M$129,10,FALSE))</f>
        <v/>
      </c>
      <c r="I83" s="524" t="str">
        <f>IFERROR(VLOOKUP(H83,'G-1 All Habitats'!$V$3:$W$7,2,FALSE),"")</f>
        <v/>
      </c>
      <c r="J83" s="199"/>
      <c r="K83" s="524" t="str">
        <f>IFERROR(INDEX('G-8 Condition Look up'!$A$3:$H$130,MATCH(F83,'G-8 Condition Look up'!$A$3:$A$130,0),MATCH(J83,'G-8 Condition Look up'!$A$3:$H$3,0)),"")</f>
        <v/>
      </c>
      <c r="L83" s="145"/>
      <c r="M83" s="540" t="str">
        <f>IF(L83="","",IF(VLOOKUP(L83,'G-3 Multipliers'!$L$3:$N$6,2,FALSE)=0,"Spatial Data Missing ⚠",VLOOKUP(L83,'G-3 Multipliers'!$L$3:$N$6,2,FALSE)))</f>
        <v/>
      </c>
      <c r="N83" s="499" t="str">
        <f>IF(L83="","",IF(VLOOKUP(L83,'G-3 Multipliers'!$L$3:$N$6,3,FALSE)=0,"Spatial Data Missing ⚠",VLOOKUP(L83,'G-3 Multipliers'!$L$3:$N$6,3,FALSE)))</f>
        <v/>
      </c>
      <c r="O83" s="498" t="str">
        <f t="shared" si="5"/>
        <v/>
      </c>
      <c r="P83" s="195"/>
      <c r="Q83" s="195"/>
      <c r="R83" s="520" t="str">
        <f t="shared" si="6"/>
        <v/>
      </c>
      <c r="S83" s="544" t="str">
        <f t="shared" si="7"/>
        <v/>
      </c>
      <c r="T83" s="525" t="str">
        <f>IFERROR(IF(S83="Check Data ⚠","Check Data ⚠",VLOOKUP(S83,'G-4 Temporal multipliers'!$A$4:$C$37,3,FALSE)),"")</f>
        <v/>
      </c>
      <c r="U83" s="523" t="str">
        <f>IF(F83="","",VLOOKUP(F83,'G-3 Multipliers'!$A$2:$E$129,2,FALSE))</f>
        <v/>
      </c>
      <c r="V83" s="520" t="str">
        <f t="shared" si="9"/>
        <v/>
      </c>
      <c r="W83" s="520" t="str">
        <f>IF(E83="","",IF(AND(V83="Standard difficulty applied",O83&gt;P83),U83,IF(AND(V83="Low Difficulty - only applicable if all habitat created before losses ⚠",P83&gt;=O83),"Low",VLOOKUP(F83,'G-3 Multipliers'!$A$2:$E$129,4,FALSE))))</f>
        <v/>
      </c>
      <c r="X83" s="524" t="str">
        <f>IFERROR(IF(E83="","",VLOOKUP(W83, 'G-3 Multipliers'!$P$2:$Q$6,2,FALSE)),"")</f>
        <v/>
      </c>
      <c r="Y83" s="197"/>
      <c r="Z83" s="499" t="str">
        <f>IF(Y83="","",IF(VLOOKUP(Y83,'G-3 Multipliers'!$S$3:$T$9,2,FALSE)=0,"Spatial Data Missing ⚠",VLOOKUP(Y83,'G-3 Multipliers'!$S$3:$T$9,2,FALSE)))</f>
        <v/>
      </c>
      <c r="AA83" s="545" t="str">
        <f t="shared" si="8"/>
        <v/>
      </c>
      <c r="AB83" s="149"/>
      <c r="AC83" s="150"/>
    </row>
    <row r="84" spans="1:29" ht="13.8" x14ac:dyDescent="0.25">
      <c r="A84" s="31" t="str">
        <f>IFERROR(INDEX('G-8 Condition Look up'!$I$4:$I$130,MATCH(F84,'G-8 Condition Look up'!$A$4:$A$130,0)),"")</f>
        <v/>
      </c>
      <c r="C84" s="244" t="str">
        <f>IFERROR(INDEX('G-1 All Habitats'!$AG$3:$AG$15,MATCH(D84,'G-1 All Habitats'!$AF$3:$AF$15,0)),"")</f>
        <v/>
      </c>
      <c r="D84" s="154"/>
      <c r="E84" s="203"/>
      <c r="F84" s="243" t="str">
        <f>IFERROR(INDEX('G-1 All Habitats'!$B$3:$B$129,MATCH(E84,'G-1 All Habitats'!$A$3:$A$129,0)),"")</f>
        <v/>
      </c>
      <c r="G84" s="386"/>
      <c r="H84" s="537" t="str">
        <f>IF(F84="","",VLOOKUP(F84,'G-1 All Habitats'!$B$2:$M$129,10,FALSE))</f>
        <v/>
      </c>
      <c r="I84" s="524" t="str">
        <f>IFERROR(VLOOKUP(H84,'G-1 All Habitats'!$V$3:$W$7,2,FALSE),"")</f>
        <v/>
      </c>
      <c r="J84" s="199"/>
      <c r="K84" s="524" t="str">
        <f>IFERROR(INDEX('G-8 Condition Look up'!$A$3:$H$130,MATCH(F84,'G-8 Condition Look up'!$A$3:$A$130,0),MATCH(J84,'G-8 Condition Look up'!$A$3:$H$3,0)),"")</f>
        <v/>
      </c>
      <c r="L84" s="145"/>
      <c r="M84" s="540" t="str">
        <f>IF(L84="","",IF(VLOOKUP(L84,'G-3 Multipliers'!$L$3:$N$6,2,FALSE)=0,"Spatial Data Missing ⚠",VLOOKUP(L84,'G-3 Multipliers'!$L$3:$N$6,2,FALSE)))</f>
        <v/>
      </c>
      <c r="N84" s="499" t="str">
        <f>IF(L84="","",IF(VLOOKUP(L84,'G-3 Multipliers'!$L$3:$N$6,3,FALSE)=0,"Spatial Data Missing ⚠",VLOOKUP(L84,'G-3 Multipliers'!$L$3:$N$6,3,FALSE)))</f>
        <v/>
      </c>
      <c r="O84" s="498" t="str">
        <f t="shared" si="5"/>
        <v/>
      </c>
      <c r="P84" s="195"/>
      <c r="Q84" s="195"/>
      <c r="R84" s="520" t="str">
        <f t="shared" si="6"/>
        <v/>
      </c>
      <c r="S84" s="544" t="str">
        <f t="shared" si="7"/>
        <v/>
      </c>
      <c r="T84" s="525" t="str">
        <f>IFERROR(IF(S84="Check Data ⚠","Check Data ⚠",VLOOKUP(S84,'G-4 Temporal multipliers'!$A$4:$C$37,3,FALSE)),"")</f>
        <v/>
      </c>
      <c r="U84" s="523" t="str">
        <f>IF(F84="","",VLOOKUP(F84,'G-3 Multipliers'!$A$2:$E$129,2,FALSE))</f>
        <v/>
      </c>
      <c r="V84" s="520" t="str">
        <f t="shared" si="9"/>
        <v/>
      </c>
      <c r="W84" s="520" t="str">
        <f>IF(E84="","",IF(AND(V84="Standard difficulty applied",O84&gt;P84),U84,IF(AND(V84="Low Difficulty - only applicable if all habitat created before losses ⚠",P84&gt;=O84),"Low",VLOOKUP(F84,'G-3 Multipliers'!$A$2:$E$129,4,FALSE))))</f>
        <v/>
      </c>
      <c r="X84" s="524" t="str">
        <f>IFERROR(IF(E84="","",VLOOKUP(W84, 'G-3 Multipliers'!$P$2:$Q$6,2,FALSE)),"")</f>
        <v/>
      </c>
      <c r="Y84" s="197"/>
      <c r="Z84" s="499" t="str">
        <f>IF(Y84="","",IF(VLOOKUP(Y84,'G-3 Multipliers'!$S$3:$T$9,2,FALSE)=0,"Spatial Data Missing ⚠",VLOOKUP(Y84,'G-3 Multipliers'!$S$3:$T$9,2,FALSE)))</f>
        <v/>
      </c>
      <c r="AA84" s="545" t="str">
        <f t="shared" si="8"/>
        <v/>
      </c>
      <c r="AB84" s="149"/>
      <c r="AC84" s="150"/>
    </row>
    <row r="85" spans="1:29" ht="13.8" x14ac:dyDescent="0.25">
      <c r="A85" s="31" t="str">
        <f>IFERROR(INDEX('G-8 Condition Look up'!$I$4:$I$130,MATCH(F85,'G-8 Condition Look up'!$A$4:$A$130,0)),"")</f>
        <v/>
      </c>
      <c r="C85" s="244" t="str">
        <f>IFERROR(INDEX('G-1 All Habitats'!$AG$3:$AG$15,MATCH(D85,'G-1 All Habitats'!$AF$3:$AF$15,0)),"")</f>
        <v/>
      </c>
      <c r="D85" s="154"/>
      <c r="E85" s="203"/>
      <c r="F85" s="243" t="str">
        <f>IFERROR(INDEX('G-1 All Habitats'!$B$3:$B$129,MATCH(E85,'G-1 All Habitats'!$A$3:$A$129,0)),"")</f>
        <v/>
      </c>
      <c r="G85" s="386"/>
      <c r="H85" s="537" t="str">
        <f>IF(F85="","",VLOOKUP(F85,'G-1 All Habitats'!$B$2:$M$129,10,FALSE))</f>
        <v/>
      </c>
      <c r="I85" s="524" t="str">
        <f>IFERROR(VLOOKUP(H85,'G-1 All Habitats'!$V$3:$W$7,2,FALSE),"")</f>
        <v/>
      </c>
      <c r="J85" s="199"/>
      <c r="K85" s="524" t="str">
        <f>IFERROR(INDEX('G-8 Condition Look up'!$A$3:$H$130,MATCH(F85,'G-8 Condition Look up'!$A$3:$A$130,0),MATCH(J85,'G-8 Condition Look up'!$A$3:$H$3,0)),"")</f>
        <v/>
      </c>
      <c r="L85" s="145"/>
      <c r="M85" s="540" t="str">
        <f>IF(L85="","",IF(VLOOKUP(L85,'G-3 Multipliers'!$L$3:$N$6,2,FALSE)=0,"Spatial Data Missing ⚠",VLOOKUP(L85,'G-3 Multipliers'!$L$3:$N$6,2,FALSE)))</f>
        <v/>
      </c>
      <c r="N85" s="499" t="str">
        <f>IF(L85="","",IF(VLOOKUP(L85,'G-3 Multipliers'!$L$3:$N$6,3,FALSE)=0,"Spatial Data Missing ⚠",VLOOKUP(L85,'G-3 Multipliers'!$L$3:$N$6,3,FALSE)))</f>
        <v/>
      </c>
      <c r="O85" s="498" t="str">
        <f t="shared" si="5"/>
        <v/>
      </c>
      <c r="P85" s="195"/>
      <c r="Q85" s="195"/>
      <c r="R85" s="520" t="str">
        <f t="shared" si="6"/>
        <v/>
      </c>
      <c r="S85" s="544" t="str">
        <f t="shared" si="7"/>
        <v/>
      </c>
      <c r="T85" s="525" t="str">
        <f>IFERROR(IF(S85="Check Data ⚠","Check Data ⚠",VLOOKUP(S85,'G-4 Temporal multipliers'!$A$4:$C$37,3,FALSE)),"")</f>
        <v/>
      </c>
      <c r="U85" s="523" t="str">
        <f>IF(F85="","",VLOOKUP(F85,'G-3 Multipliers'!$A$2:$E$129,2,FALSE))</f>
        <v/>
      </c>
      <c r="V85" s="520" t="str">
        <f t="shared" si="9"/>
        <v/>
      </c>
      <c r="W85" s="520" t="str">
        <f>IF(E85="","",IF(AND(V85="Standard difficulty applied",O85&gt;P85),U85,IF(AND(V85="Low Difficulty - only applicable if all habitat created before losses ⚠",P85&gt;=O85),"Low",VLOOKUP(F85,'G-3 Multipliers'!$A$2:$E$129,4,FALSE))))</f>
        <v/>
      </c>
      <c r="X85" s="524" t="str">
        <f>IFERROR(IF(E85="","",VLOOKUP(W85, 'G-3 Multipliers'!$P$2:$Q$6,2,FALSE)),"")</f>
        <v/>
      </c>
      <c r="Y85" s="197"/>
      <c r="Z85" s="499" t="str">
        <f>IF(Y85="","",IF(VLOOKUP(Y85,'G-3 Multipliers'!$S$3:$T$9,2,FALSE)=0,"Spatial Data Missing ⚠",VLOOKUP(Y85,'G-3 Multipliers'!$S$3:$T$9,2,FALSE)))</f>
        <v/>
      </c>
      <c r="AA85" s="545" t="str">
        <f t="shared" si="8"/>
        <v/>
      </c>
      <c r="AB85" s="149"/>
      <c r="AC85" s="150"/>
    </row>
    <row r="86" spans="1:29" ht="13.8" x14ac:dyDescent="0.25">
      <c r="A86" s="31" t="str">
        <f>IFERROR(INDEX('G-8 Condition Look up'!$I$4:$I$130,MATCH(F86,'G-8 Condition Look up'!$A$4:$A$130,0)),"")</f>
        <v/>
      </c>
      <c r="C86" s="244" t="str">
        <f>IFERROR(INDEX('G-1 All Habitats'!$AG$3:$AG$15,MATCH(D86,'G-1 All Habitats'!$AF$3:$AF$15,0)),"")</f>
        <v/>
      </c>
      <c r="D86" s="154"/>
      <c r="E86" s="203"/>
      <c r="F86" s="243" t="str">
        <f>IFERROR(INDEX('G-1 All Habitats'!$B$3:$B$129,MATCH(E86,'G-1 All Habitats'!$A$3:$A$129,0)),"")</f>
        <v/>
      </c>
      <c r="G86" s="386"/>
      <c r="H86" s="537" t="str">
        <f>IF(F86="","",VLOOKUP(F86,'G-1 All Habitats'!$B$2:$M$129,10,FALSE))</f>
        <v/>
      </c>
      <c r="I86" s="524" t="str">
        <f>IFERROR(VLOOKUP(H86,'G-1 All Habitats'!$V$3:$W$7,2,FALSE),"")</f>
        <v/>
      </c>
      <c r="J86" s="199"/>
      <c r="K86" s="524" t="str">
        <f>IFERROR(INDEX('G-8 Condition Look up'!$A$3:$H$130,MATCH(F86,'G-8 Condition Look up'!$A$3:$A$130,0),MATCH(J86,'G-8 Condition Look up'!$A$3:$H$3,0)),"")</f>
        <v/>
      </c>
      <c r="L86" s="145"/>
      <c r="M86" s="540" t="str">
        <f>IF(L86="","",IF(VLOOKUP(L86,'G-3 Multipliers'!$L$3:$N$6,2,FALSE)=0,"Spatial Data Missing ⚠",VLOOKUP(L86,'G-3 Multipliers'!$L$3:$N$6,2,FALSE)))</f>
        <v/>
      </c>
      <c r="N86" s="499" t="str">
        <f>IF(L86="","",IF(VLOOKUP(L86,'G-3 Multipliers'!$L$3:$N$6,3,FALSE)=0,"Spatial Data Missing ⚠",VLOOKUP(L86,'G-3 Multipliers'!$L$3:$N$6,3,FALSE)))</f>
        <v/>
      </c>
      <c r="O86" s="498" t="str">
        <f t="shared" si="5"/>
        <v/>
      </c>
      <c r="P86" s="195"/>
      <c r="Q86" s="195"/>
      <c r="R86" s="520" t="str">
        <f t="shared" si="6"/>
        <v/>
      </c>
      <c r="S86" s="544" t="str">
        <f t="shared" si="7"/>
        <v/>
      </c>
      <c r="T86" s="525" t="str">
        <f>IFERROR(IF(S86="Check Data ⚠","Check Data ⚠",VLOOKUP(S86,'G-4 Temporal multipliers'!$A$4:$C$37,3,FALSE)),"")</f>
        <v/>
      </c>
      <c r="U86" s="523" t="str">
        <f>IF(F86="","",VLOOKUP(F86,'G-3 Multipliers'!$A$2:$E$129,2,FALSE))</f>
        <v/>
      </c>
      <c r="V86" s="520" t="str">
        <f t="shared" si="9"/>
        <v/>
      </c>
      <c r="W86" s="520" t="str">
        <f>IF(E86="","",IF(AND(V86="Standard difficulty applied",O86&gt;P86),U86,IF(AND(V86="Low Difficulty - only applicable if all habitat created before losses ⚠",P86&gt;=O86),"Low",VLOOKUP(F86,'G-3 Multipliers'!$A$2:$E$129,4,FALSE))))</f>
        <v/>
      </c>
      <c r="X86" s="524" t="str">
        <f>IFERROR(IF(E86="","",VLOOKUP(W86, 'G-3 Multipliers'!$P$2:$Q$6,2,FALSE)),"")</f>
        <v/>
      </c>
      <c r="Y86" s="197"/>
      <c r="Z86" s="499" t="str">
        <f>IF(Y86="","",IF(VLOOKUP(Y86,'G-3 Multipliers'!$S$3:$T$9,2,FALSE)=0,"Spatial Data Missing ⚠",VLOOKUP(Y86,'G-3 Multipliers'!$S$3:$T$9,2,FALSE)))</f>
        <v/>
      </c>
      <c r="AA86" s="545" t="str">
        <f t="shared" si="8"/>
        <v/>
      </c>
      <c r="AB86" s="149"/>
      <c r="AC86" s="150"/>
    </row>
    <row r="87" spans="1:29" ht="13.8" x14ac:dyDescent="0.25">
      <c r="A87" s="31" t="str">
        <f>IFERROR(INDEX('G-8 Condition Look up'!$I$4:$I$130,MATCH(F87,'G-8 Condition Look up'!$A$4:$A$130,0)),"")</f>
        <v/>
      </c>
      <c r="C87" s="244" t="str">
        <f>IFERROR(INDEX('G-1 All Habitats'!$AG$3:$AG$15,MATCH(D87,'G-1 All Habitats'!$AF$3:$AF$15,0)),"")</f>
        <v/>
      </c>
      <c r="D87" s="154"/>
      <c r="E87" s="203"/>
      <c r="F87" s="243" t="str">
        <f>IFERROR(INDEX('G-1 All Habitats'!$B$3:$B$129,MATCH(E87,'G-1 All Habitats'!$A$3:$A$129,0)),"")</f>
        <v/>
      </c>
      <c r="G87" s="386"/>
      <c r="H87" s="537" t="str">
        <f>IF(F87="","",VLOOKUP(F87,'G-1 All Habitats'!$B$2:$M$129,10,FALSE))</f>
        <v/>
      </c>
      <c r="I87" s="524" t="str">
        <f>IFERROR(VLOOKUP(H87,'G-1 All Habitats'!$V$3:$W$7,2,FALSE),"")</f>
        <v/>
      </c>
      <c r="J87" s="199"/>
      <c r="K87" s="524" t="str">
        <f>IFERROR(INDEX('G-8 Condition Look up'!$A$3:$H$130,MATCH(F87,'G-8 Condition Look up'!$A$3:$A$130,0),MATCH(J87,'G-8 Condition Look up'!$A$3:$H$3,0)),"")</f>
        <v/>
      </c>
      <c r="L87" s="145"/>
      <c r="M87" s="540" t="str">
        <f>IF(L87="","",IF(VLOOKUP(L87,'G-3 Multipliers'!$L$3:$N$6,2,FALSE)=0,"Spatial Data Missing ⚠",VLOOKUP(L87,'G-3 Multipliers'!$L$3:$N$6,2,FALSE)))</f>
        <v/>
      </c>
      <c r="N87" s="499" t="str">
        <f>IF(L87="","",IF(VLOOKUP(L87,'G-3 Multipliers'!$L$3:$N$6,3,FALSE)=0,"Spatial Data Missing ⚠",VLOOKUP(L87,'G-3 Multipliers'!$L$3:$N$6,3,FALSE)))</f>
        <v/>
      </c>
      <c r="O87" s="498" t="str">
        <f t="shared" si="5"/>
        <v/>
      </c>
      <c r="P87" s="195"/>
      <c r="Q87" s="195"/>
      <c r="R87" s="520" t="str">
        <f t="shared" si="6"/>
        <v/>
      </c>
      <c r="S87" s="544" t="str">
        <f t="shared" si="7"/>
        <v/>
      </c>
      <c r="T87" s="525" t="str">
        <f>IFERROR(IF(S87="Check Data ⚠","Check Data ⚠",VLOOKUP(S87,'G-4 Temporal multipliers'!$A$4:$C$37,3,FALSE)),"")</f>
        <v/>
      </c>
      <c r="U87" s="523" t="str">
        <f>IF(F87="","",VLOOKUP(F87,'G-3 Multipliers'!$A$2:$E$129,2,FALSE))</f>
        <v/>
      </c>
      <c r="V87" s="520" t="str">
        <f t="shared" si="9"/>
        <v/>
      </c>
      <c r="W87" s="520" t="str">
        <f>IF(E87="","",IF(AND(V87="Standard difficulty applied",O87&gt;P87),U87,IF(AND(V87="Low Difficulty - only applicable if all habitat created before losses ⚠",P87&gt;=O87),"Low",VLOOKUP(F87,'G-3 Multipliers'!$A$2:$E$129,4,FALSE))))</f>
        <v/>
      </c>
      <c r="X87" s="524" t="str">
        <f>IFERROR(IF(E87="","",VLOOKUP(W87, 'G-3 Multipliers'!$P$2:$Q$6,2,FALSE)),"")</f>
        <v/>
      </c>
      <c r="Y87" s="197"/>
      <c r="Z87" s="499" t="str">
        <f>IF(Y87="","",IF(VLOOKUP(Y87,'G-3 Multipliers'!$S$3:$T$9,2,FALSE)=0,"Spatial Data Missing ⚠",VLOOKUP(Y87,'G-3 Multipliers'!$S$3:$T$9,2,FALSE)))</f>
        <v/>
      </c>
      <c r="AA87" s="545" t="str">
        <f t="shared" si="8"/>
        <v/>
      </c>
      <c r="AB87" s="149"/>
      <c r="AC87" s="150"/>
    </row>
    <row r="88" spans="1:29" ht="13.8" x14ac:dyDescent="0.25">
      <c r="A88" s="31" t="str">
        <f>IFERROR(INDEX('G-8 Condition Look up'!$I$4:$I$130,MATCH(F88,'G-8 Condition Look up'!$A$4:$A$130,0)),"")</f>
        <v/>
      </c>
      <c r="C88" s="244" t="str">
        <f>IFERROR(INDEX('G-1 All Habitats'!$AG$3:$AG$15,MATCH(D88,'G-1 All Habitats'!$AF$3:$AF$15,0)),"")</f>
        <v/>
      </c>
      <c r="D88" s="154"/>
      <c r="E88" s="203"/>
      <c r="F88" s="243" t="str">
        <f>IFERROR(INDEX('G-1 All Habitats'!$B$3:$B$129,MATCH(E88,'G-1 All Habitats'!$A$3:$A$129,0)),"")</f>
        <v/>
      </c>
      <c r="G88" s="386"/>
      <c r="H88" s="537" t="str">
        <f>IF(F88="","",VLOOKUP(F88,'G-1 All Habitats'!$B$2:$M$129,10,FALSE))</f>
        <v/>
      </c>
      <c r="I88" s="524" t="str">
        <f>IFERROR(VLOOKUP(H88,'G-1 All Habitats'!$V$3:$W$7,2,FALSE),"")</f>
        <v/>
      </c>
      <c r="J88" s="199"/>
      <c r="K88" s="524" t="str">
        <f>IFERROR(INDEX('G-8 Condition Look up'!$A$3:$H$130,MATCH(F88,'G-8 Condition Look up'!$A$3:$A$130,0),MATCH(J88,'G-8 Condition Look up'!$A$3:$H$3,0)),"")</f>
        <v/>
      </c>
      <c r="L88" s="145"/>
      <c r="M88" s="540" t="str">
        <f>IF(L88="","",IF(VLOOKUP(L88,'G-3 Multipliers'!$L$3:$N$6,2,FALSE)=0,"Spatial Data Missing ⚠",VLOOKUP(L88,'G-3 Multipliers'!$L$3:$N$6,2,FALSE)))</f>
        <v/>
      </c>
      <c r="N88" s="499" t="str">
        <f>IF(L88="","",IF(VLOOKUP(L88,'G-3 Multipliers'!$L$3:$N$6,3,FALSE)=0,"Spatial Data Missing ⚠",VLOOKUP(L88,'G-3 Multipliers'!$L$3:$N$6,3,FALSE)))</f>
        <v/>
      </c>
      <c r="O88" s="498" t="str">
        <f t="shared" si="5"/>
        <v/>
      </c>
      <c r="P88" s="195"/>
      <c r="Q88" s="195"/>
      <c r="R88" s="520" t="str">
        <f t="shared" si="6"/>
        <v/>
      </c>
      <c r="S88" s="544" t="str">
        <f t="shared" si="7"/>
        <v/>
      </c>
      <c r="T88" s="525" t="str">
        <f>IFERROR(IF(S88="Check Data ⚠","Check Data ⚠",VLOOKUP(S88,'G-4 Temporal multipliers'!$A$4:$C$37,3,FALSE)),"")</f>
        <v/>
      </c>
      <c r="U88" s="523" t="str">
        <f>IF(F88="","",VLOOKUP(F88,'G-3 Multipliers'!$A$2:$E$129,2,FALSE))</f>
        <v/>
      </c>
      <c r="V88" s="520" t="str">
        <f t="shared" si="9"/>
        <v/>
      </c>
      <c r="W88" s="520" t="str">
        <f>IF(E88="","",IF(AND(V88="Standard difficulty applied",O88&gt;P88),U88,IF(AND(V88="Low Difficulty - only applicable if all habitat created before losses ⚠",P88&gt;=O88),"Low",VLOOKUP(F88,'G-3 Multipliers'!$A$2:$E$129,4,FALSE))))</f>
        <v/>
      </c>
      <c r="X88" s="524" t="str">
        <f>IFERROR(IF(E88="","",VLOOKUP(W88, 'G-3 Multipliers'!$P$2:$Q$6,2,FALSE)),"")</f>
        <v/>
      </c>
      <c r="Y88" s="197"/>
      <c r="Z88" s="499" t="str">
        <f>IF(Y88="","",IF(VLOOKUP(Y88,'G-3 Multipliers'!$S$3:$T$9,2,FALSE)=0,"Spatial Data Missing ⚠",VLOOKUP(Y88,'G-3 Multipliers'!$S$3:$T$9,2,FALSE)))</f>
        <v/>
      </c>
      <c r="AA88" s="545" t="str">
        <f t="shared" si="8"/>
        <v/>
      </c>
      <c r="AB88" s="149"/>
      <c r="AC88" s="150"/>
    </row>
    <row r="89" spans="1:29" ht="13.8" x14ac:dyDescent="0.25">
      <c r="A89" s="31" t="str">
        <f>IFERROR(INDEX('G-8 Condition Look up'!$I$4:$I$130,MATCH(F89,'G-8 Condition Look up'!$A$4:$A$130,0)),"")</f>
        <v/>
      </c>
      <c r="C89" s="244" t="str">
        <f>IFERROR(INDEX('G-1 All Habitats'!$AG$3:$AG$15,MATCH(D89,'G-1 All Habitats'!$AF$3:$AF$15,0)),"")</f>
        <v/>
      </c>
      <c r="D89" s="154"/>
      <c r="E89" s="203"/>
      <c r="F89" s="243" t="str">
        <f>IFERROR(INDEX('G-1 All Habitats'!$B$3:$B$129,MATCH(E89,'G-1 All Habitats'!$A$3:$A$129,0)),"")</f>
        <v/>
      </c>
      <c r="G89" s="386"/>
      <c r="H89" s="537" t="str">
        <f>IF(F89="","",VLOOKUP(F89,'G-1 All Habitats'!$B$2:$M$129,10,FALSE))</f>
        <v/>
      </c>
      <c r="I89" s="524" t="str">
        <f>IFERROR(VLOOKUP(H89,'G-1 All Habitats'!$V$3:$W$7,2,FALSE),"")</f>
        <v/>
      </c>
      <c r="J89" s="199"/>
      <c r="K89" s="524" t="str">
        <f>IFERROR(INDEX('G-8 Condition Look up'!$A$3:$H$130,MATCH(F89,'G-8 Condition Look up'!$A$3:$A$130,0),MATCH(J89,'G-8 Condition Look up'!$A$3:$H$3,0)),"")</f>
        <v/>
      </c>
      <c r="L89" s="145"/>
      <c r="M89" s="540" t="str">
        <f>IF(L89="","",IF(VLOOKUP(L89,'G-3 Multipliers'!$L$3:$N$6,2,FALSE)=0,"Spatial Data Missing ⚠",VLOOKUP(L89,'G-3 Multipliers'!$L$3:$N$6,2,FALSE)))</f>
        <v/>
      </c>
      <c r="N89" s="499" t="str">
        <f>IF(L89="","",IF(VLOOKUP(L89,'G-3 Multipliers'!$L$3:$N$6,3,FALSE)=0,"Spatial Data Missing ⚠",VLOOKUP(L89,'G-3 Multipliers'!$L$3:$N$6,3,FALSE)))</f>
        <v/>
      </c>
      <c r="O89" s="498" t="str">
        <f t="shared" si="5"/>
        <v/>
      </c>
      <c r="P89" s="195"/>
      <c r="Q89" s="195"/>
      <c r="R89" s="520" t="str">
        <f t="shared" si="6"/>
        <v/>
      </c>
      <c r="S89" s="544" t="str">
        <f t="shared" si="7"/>
        <v/>
      </c>
      <c r="T89" s="525" t="str">
        <f>IFERROR(IF(S89="Check Data ⚠","Check Data ⚠",VLOOKUP(S89,'G-4 Temporal multipliers'!$A$4:$C$37,3,FALSE)),"")</f>
        <v/>
      </c>
      <c r="U89" s="523" t="str">
        <f>IF(F89="","",VLOOKUP(F89,'G-3 Multipliers'!$A$2:$E$129,2,FALSE))</f>
        <v/>
      </c>
      <c r="V89" s="520" t="str">
        <f t="shared" si="9"/>
        <v/>
      </c>
      <c r="W89" s="520" t="str">
        <f>IF(E89="","",IF(AND(V89="Standard difficulty applied",O89&gt;P89),U89,IF(AND(V89="Low Difficulty - only applicable if all habitat created before losses ⚠",P89&gt;=O89),"Low",VLOOKUP(F89,'G-3 Multipliers'!$A$2:$E$129,4,FALSE))))</f>
        <v/>
      </c>
      <c r="X89" s="524" t="str">
        <f>IFERROR(IF(E89="","",VLOOKUP(W89, 'G-3 Multipliers'!$P$2:$Q$6,2,FALSE)),"")</f>
        <v/>
      </c>
      <c r="Y89" s="197"/>
      <c r="Z89" s="499" t="str">
        <f>IF(Y89="","",IF(VLOOKUP(Y89,'G-3 Multipliers'!$S$3:$T$9,2,FALSE)=0,"Spatial Data Missing ⚠",VLOOKUP(Y89,'G-3 Multipliers'!$S$3:$T$9,2,FALSE)))</f>
        <v/>
      </c>
      <c r="AA89" s="545" t="str">
        <f t="shared" si="8"/>
        <v/>
      </c>
      <c r="AB89" s="149"/>
      <c r="AC89" s="150"/>
    </row>
    <row r="90" spans="1:29" ht="13.8" x14ac:dyDescent="0.25">
      <c r="A90" s="31" t="str">
        <f>IFERROR(INDEX('G-8 Condition Look up'!$I$4:$I$130,MATCH(F90,'G-8 Condition Look up'!$A$4:$A$130,0)),"")</f>
        <v/>
      </c>
      <c r="C90" s="244" t="str">
        <f>IFERROR(INDEX('G-1 All Habitats'!$AG$3:$AG$15,MATCH(D90,'G-1 All Habitats'!$AF$3:$AF$15,0)),"")</f>
        <v/>
      </c>
      <c r="D90" s="154"/>
      <c r="E90" s="203"/>
      <c r="F90" s="243" t="str">
        <f>IFERROR(INDEX('G-1 All Habitats'!$B$3:$B$129,MATCH(E90,'G-1 All Habitats'!$A$3:$A$129,0)),"")</f>
        <v/>
      </c>
      <c r="G90" s="386"/>
      <c r="H90" s="537" t="str">
        <f>IF(F90="","",VLOOKUP(F90,'G-1 All Habitats'!$B$2:$M$129,10,FALSE))</f>
        <v/>
      </c>
      <c r="I90" s="524" t="str">
        <f>IFERROR(VLOOKUP(H90,'G-1 All Habitats'!$V$3:$W$7,2,FALSE),"")</f>
        <v/>
      </c>
      <c r="J90" s="199"/>
      <c r="K90" s="524" t="str">
        <f>IFERROR(INDEX('G-8 Condition Look up'!$A$3:$H$130,MATCH(F90,'G-8 Condition Look up'!$A$3:$A$130,0),MATCH(J90,'G-8 Condition Look up'!$A$3:$H$3,0)),"")</f>
        <v/>
      </c>
      <c r="L90" s="145"/>
      <c r="M90" s="540" t="str">
        <f>IF(L90="","",IF(VLOOKUP(L90,'G-3 Multipliers'!$L$3:$N$6,2,FALSE)=0,"Spatial Data Missing ⚠",VLOOKUP(L90,'G-3 Multipliers'!$L$3:$N$6,2,FALSE)))</f>
        <v/>
      </c>
      <c r="N90" s="499" t="str">
        <f>IF(L90="","",IF(VLOOKUP(L90,'G-3 Multipliers'!$L$3:$N$6,3,FALSE)=0,"Spatial Data Missing ⚠",VLOOKUP(L90,'G-3 Multipliers'!$L$3:$N$6,3,FALSE)))</f>
        <v/>
      </c>
      <c r="O90" s="498" t="str">
        <f t="shared" si="5"/>
        <v/>
      </c>
      <c r="P90" s="195"/>
      <c r="Q90" s="195"/>
      <c r="R90" s="520" t="str">
        <f t="shared" si="6"/>
        <v/>
      </c>
      <c r="S90" s="544" t="str">
        <f t="shared" si="7"/>
        <v/>
      </c>
      <c r="T90" s="525" t="str">
        <f>IFERROR(IF(S90="Check Data ⚠","Check Data ⚠",VLOOKUP(S90,'G-4 Temporal multipliers'!$A$4:$C$37,3,FALSE)),"")</f>
        <v/>
      </c>
      <c r="U90" s="523" t="str">
        <f>IF(F90="","",VLOOKUP(F90,'G-3 Multipliers'!$A$2:$E$129,2,FALSE))</f>
        <v/>
      </c>
      <c r="V90" s="520" t="str">
        <f t="shared" si="9"/>
        <v/>
      </c>
      <c r="W90" s="520" t="str">
        <f>IF(E90="","",IF(AND(V90="Standard difficulty applied",O90&gt;P90),U90,IF(AND(V90="Low Difficulty - only applicable if all habitat created before losses ⚠",P90&gt;=O90),"Low",VLOOKUP(F90,'G-3 Multipliers'!$A$2:$E$129,4,FALSE))))</f>
        <v/>
      </c>
      <c r="X90" s="524" t="str">
        <f>IFERROR(IF(E90="","",VLOOKUP(W90, 'G-3 Multipliers'!$P$2:$Q$6,2,FALSE)),"")</f>
        <v/>
      </c>
      <c r="Y90" s="197"/>
      <c r="Z90" s="499" t="str">
        <f>IF(Y90="","",IF(VLOOKUP(Y90,'G-3 Multipliers'!$S$3:$T$9,2,FALSE)=0,"Spatial Data Missing ⚠",VLOOKUP(Y90,'G-3 Multipliers'!$S$3:$T$9,2,FALSE)))</f>
        <v/>
      </c>
      <c r="AA90" s="545" t="str">
        <f t="shared" si="8"/>
        <v/>
      </c>
      <c r="AB90" s="149"/>
      <c r="AC90" s="150"/>
    </row>
    <row r="91" spans="1:29" ht="13.8" x14ac:dyDescent="0.25">
      <c r="A91" s="31" t="str">
        <f>IFERROR(INDEX('G-8 Condition Look up'!$I$4:$I$130,MATCH(F91,'G-8 Condition Look up'!$A$4:$A$130,0)),"")</f>
        <v/>
      </c>
      <c r="C91" s="244" t="str">
        <f>IFERROR(INDEX('G-1 All Habitats'!$AG$3:$AG$15,MATCH(D91,'G-1 All Habitats'!$AF$3:$AF$15,0)),"")</f>
        <v/>
      </c>
      <c r="D91" s="154"/>
      <c r="E91" s="203"/>
      <c r="F91" s="243" t="str">
        <f>IFERROR(INDEX('G-1 All Habitats'!$B$3:$B$129,MATCH(E91,'G-1 All Habitats'!$A$3:$A$129,0)),"")</f>
        <v/>
      </c>
      <c r="G91" s="386"/>
      <c r="H91" s="537" t="str">
        <f>IF(F91="","",VLOOKUP(F91,'G-1 All Habitats'!$B$2:$M$129,10,FALSE))</f>
        <v/>
      </c>
      <c r="I91" s="524" t="str">
        <f>IFERROR(VLOOKUP(H91,'G-1 All Habitats'!$V$3:$W$7,2,FALSE),"")</f>
        <v/>
      </c>
      <c r="J91" s="199"/>
      <c r="K91" s="524" t="str">
        <f>IFERROR(INDEX('G-8 Condition Look up'!$A$3:$H$130,MATCH(F91,'G-8 Condition Look up'!$A$3:$A$130,0),MATCH(J91,'G-8 Condition Look up'!$A$3:$H$3,0)),"")</f>
        <v/>
      </c>
      <c r="L91" s="145"/>
      <c r="M91" s="540" t="str">
        <f>IF(L91="","",IF(VLOOKUP(L91,'G-3 Multipliers'!$L$3:$N$6,2,FALSE)=0,"Spatial Data Missing ⚠",VLOOKUP(L91,'G-3 Multipliers'!$L$3:$N$6,2,FALSE)))</f>
        <v/>
      </c>
      <c r="N91" s="499" t="str">
        <f>IF(L91="","",IF(VLOOKUP(L91,'G-3 Multipliers'!$L$3:$N$6,3,FALSE)=0,"Spatial Data Missing ⚠",VLOOKUP(L91,'G-3 Multipliers'!$L$3:$N$6,3,FALSE)))</f>
        <v/>
      </c>
      <c r="O91" s="498" t="str">
        <f t="shared" si="5"/>
        <v/>
      </c>
      <c r="P91" s="195"/>
      <c r="Q91" s="195"/>
      <c r="R91" s="520" t="str">
        <f t="shared" si="6"/>
        <v/>
      </c>
      <c r="S91" s="544" t="str">
        <f t="shared" si="7"/>
        <v/>
      </c>
      <c r="T91" s="525" t="str">
        <f>IFERROR(IF(S91="Check Data ⚠","Check Data ⚠",VLOOKUP(S91,'G-4 Temporal multipliers'!$A$4:$C$37,3,FALSE)),"")</f>
        <v/>
      </c>
      <c r="U91" s="523" t="str">
        <f>IF(F91="","",VLOOKUP(F91,'G-3 Multipliers'!$A$2:$E$129,2,FALSE))</f>
        <v/>
      </c>
      <c r="V91" s="520" t="str">
        <f t="shared" si="9"/>
        <v/>
      </c>
      <c r="W91" s="520" t="str">
        <f>IF(E91="","",IF(AND(V91="Standard difficulty applied",O91&gt;P91),U91,IF(AND(V91="Low Difficulty - only applicable if all habitat created before losses ⚠",P91&gt;=O91),"Low",VLOOKUP(F91,'G-3 Multipliers'!$A$2:$E$129,4,FALSE))))</f>
        <v/>
      </c>
      <c r="X91" s="524" t="str">
        <f>IFERROR(IF(E91="","",VLOOKUP(W91, 'G-3 Multipliers'!$P$2:$Q$6,2,FALSE)),"")</f>
        <v/>
      </c>
      <c r="Y91" s="197"/>
      <c r="Z91" s="499" t="str">
        <f>IF(Y91="","",IF(VLOOKUP(Y91,'G-3 Multipliers'!$S$3:$T$9,2,FALSE)=0,"Spatial Data Missing ⚠",VLOOKUP(Y91,'G-3 Multipliers'!$S$3:$T$9,2,FALSE)))</f>
        <v/>
      </c>
      <c r="AA91" s="545" t="str">
        <f t="shared" si="8"/>
        <v/>
      </c>
      <c r="AB91" s="149"/>
      <c r="AC91" s="150"/>
    </row>
    <row r="92" spans="1:29" ht="13.8" x14ac:dyDescent="0.25">
      <c r="A92" s="31" t="str">
        <f>IFERROR(INDEX('G-8 Condition Look up'!$I$4:$I$130,MATCH(F92,'G-8 Condition Look up'!$A$4:$A$130,0)),"")</f>
        <v/>
      </c>
      <c r="C92" s="244" t="str">
        <f>IFERROR(INDEX('G-1 All Habitats'!$AG$3:$AG$15,MATCH(D92,'G-1 All Habitats'!$AF$3:$AF$15,0)),"")</f>
        <v/>
      </c>
      <c r="D92" s="154"/>
      <c r="E92" s="203"/>
      <c r="F92" s="243" t="str">
        <f>IFERROR(INDEX('G-1 All Habitats'!$B$3:$B$129,MATCH(E92,'G-1 All Habitats'!$A$3:$A$129,0)),"")</f>
        <v/>
      </c>
      <c r="G92" s="386"/>
      <c r="H92" s="537" t="str">
        <f>IF(F92="","",VLOOKUP(F92,'G-1 All Habitats'!$B$2:$M$129,10,FALSE))</f>
        <v/>
      </c>
      <c r="I92" s="524" t="str">
        <f>IFERROR(VLOOKUP(H92,'G-1 All Habitats'!$V$3:$W$7,2,FALSE),"")</f>
        <v/>
      </c>
      <c r="J92" s="199"/>
      <c r="K92" s="524" t="str">
        <f>IFERROR(INDEX('G-8 Condition Look up'!$A$3:$H$130,MATCH(F92,'G-8 Condition Look up'!$A$3:$A$130,0),MATCH(J92,'G-8 Condition Look up'!$A$3:$H$3,0)),"")</f>
        <v/>
      </c>
      <c r="L92" s="145"/>
      <c r="M92" s="540" t="str">
        <f>IF(L92="","",IF(VLOOKUP(L92,'G-3 Multipliers'!$L$3:$N$6,2,FALSE)=0,"Spatial Data Missing ⚠",VLOOKUP(L92,'G-3 Multipliers'!$L$3:$N$6,2,FALSE)))</f>
        <v/>
      </c>
      <c r="N92" s="499" t="str">
        <f>IF(L92="","",IF(VLOOKUP(L92,'G-3 Multipliers'!$L$3:$N$6,3,FALSE)=0,"Spatial Data Missing ⚠",VLOOKUP(L92,'G-3 Multipliers'!$L$3:$N$6,3,FALSE)))</f>
        <v/>
      </c>
      <c r="O92" s="498" t="str">
        <f t="shared" si="5"/>
        <v/>
      </c>
      <c r="P92" s="195"/>
      <c r="Q92" s="195"/>
      <c r="R92" s="520" t="str">
        <f t="shared" si="6"/>
        <v/>
      </c>
      <c r="S92" s="544" t="str">
        <f t="shared" si="7"/>
        <v/>
      </c>
      <c r="T92" s="525" t="str">
        <f>IFERROR(IF(S92="Check Data ⚠","Check Data ⚠",VLOOKUP(S92,'G-4 Temporal multipliers'!$A$4:$C$37,3,FALSE)),"")</f>
        <v/>
      </c>
      <c r="U92" s="523" t="str">
        <f>IF(F92="","",VLOOKUP(F92,'G-3 Multipliers'!$A$2:$E$129,2,FALSE))</f>
        <v/>
      </c>
      <c r="V92" s="520" t="str">
        <f t="shared" si="9"/>
        <v/>
      </c>
      <c r="W92" s="520" t="str">
        <f>IF(E92="","",IF(AND(V92="Standard difficulty applied",O92&gt;P92),U92,IF(AND(V92="Low Difficulty - only applicable if all habitat created before losses ⚠",P92&gt;=O92),"Low",VLOOKUP(F92,'G-3 Multipliers'!$A$2:$E$129,4,FALSE))))</f>
        <v/>
      </c>
      <c r="X92" s="524" t="str">
        <f>IFERROR(IF(E92="","",VLOOKUP(W92, 'G-3 Multipliers'!$P$2:$Q$6,2,FALSE)),"")</f>
        <v/>
      </c>
      <c r="Y92" s="197"/>
      <c r="Z92" s="499" t="str">
        <f>IF(Y92="","",IF(VLOOKUP(Y92,'G-3 Multipliers'!$S$3:$T$9,2,FALSE)=0,"Spatial Data Missing ⚠",VLOOKUP(Y92,'G-3 Multipliers'!$S$3:$T$9,2,FALSE)))</f>
        <v/>
      </c>
      <c r="AA92" s="545" t="str">
        <f t="shared" si="8"/>
        <v/>
      </c>
      <c r="AB92" s="149"/>
      <c r="AC92" s="150"/>
    </row>
    <row r="93" spans="1:29" ht="13.8" x14ac:dyDescent="0.25">
      <c r="A93" s="31" t="str">
        <f>IFERROR(INDEX('G-8 Condition Look up'!$I$4:$I$130,MATCH(F93,'G-8 Condition Look up'!$A$4:$A$130,0)),"")</f>
        <v/>
      </c>
      <c r="C93" s="244" t="str">
        <f>IFERROR(INDEX('G-1 All Habitats'!$AG$3:$AG$15,MATCH(D93,'G-1 All Habitats'!$AF$3:$AF$15,0)),"")</f>
        <v/>
      </c>
      <c r="D93" s="154"/>
      <c r="E93" s="203"/>
      <c r="F93" s="243" t="str">
        <f>IFERROR(INDEX('G-1 All Habitats'!$B$3:$B$129,MATCH(E93,'G-1 All Habitats'!$A$3:$A$129,0)),"")</f>
        <v/>
      </c>
      <c r="G93" s="386"/>
      <c r="H93" s="537" t="str">
        <f>IF(F93="","",VLOOKUP(F93,'G-1 All Habitats'!$B$2:$M$129,10,FALSE))</f>
        <v/>
      </c>
      <c r="I93" s="524" t="str">
        <f>IFERROR(VLOOKUP(H93,'G-1 All Habitats'!$V$3:$W$7,2,FALSE),"")</f>
        <v/>
      </c>
      <c r="J93" s="199"/>
      <c r="K93" s="524" t="str">
        <f>IFERROR(INDEX('G-8 Condition Look up'!$A$3:$H$130,MATCH(F93,'G-8 Condition Look up'!$A$3:$A$130,0),MATCH(J93,'G-8 Condition Look up'!$A$3:$H$3,0)),"")</f>
        <v/>
      </c>
      <c r="L93" s="145"/>
      <c r="M93" s="540" t="str">
        <f>IF(L93="","",IF(VLOOKUP(L93,'G-3 Multipliers'!$L$3:$N$6,2,FALSE)=0,"Spatial Data Missing ⚠",VLOOKUP(L93,'G-3 Multipliers'!$L$3:$N$6,2,FALSE)))</f>
        <v/>
      </c>
      <c r="N93" s="499" t="str">
        <f>IF(L93="","",IF(VLOOKUP(L93,'G-3 Multipliers'!$L$3:$N$6,3,FALSE)=0,"Spatial Data Missing ⚠",VLOOKUP(L93,'G-3 Multipliers'!$L$3:$N$6,3,FALSE)))</f>
        <v/>
      </c>
      <c r="O93" s="498" t="str">
        <f t="shared" si="5"/>
        <v/>
      </c>
      <c r="P93" s="195"/>
      <c r="Q93" s="195"/>
      <c r="R93" s="520" t="str">
        <f t="shared" si="6"/>
        <v/>
      </c>
      <c r="S93" s="544" t="str">
        <f t="shared" si="7"/>
        <v/>
      </c>
      <c r="T93" s="525" t="str">
        <f>IFERROR(IF(S93="Check Data ⚠","Check Data ⚠",VLOOKUP(S93,'G-4 Temporal multipliers'!$A$4:$C$37,3,FALSE)),"")</f>
        <v/>
      </c>
      <c r="U93" s="523" t="str">
        <f>IF(F93="","",VLOOKUP(F93,'G-3 Multipliers'!$A$2:$E$129,2,FALSE))</f>
        <v/>
      </c>
      <c r="V93" s="520" t="str">
        <f t="shared" si="9"/>
        <v/>
      </c>
      <c r="W93" s="520" t="str">
        <f>IF(E93="","",IF(AND(V93="Standard difficulty applied",O93&gt;P93),U93,IF(AND(V93="Low Difficulty - only applicable if all habitat created before losses ⚠",P93&gt;=O93),"Low",VLOOKUP(F93,'G-3 Multipliers'!$A$2:$E$129,4,FALSE))))</f>
        <v/>
      </c>
      <c r="X93" s="524" t="str">
        <f>IFERROR(IF(E93="","",VLOOKUP(W93, 'G-3 Multipliers'!$P$2:$Q$6,2,FALSE)),"")</f>
        <v/>
      </c>
      <c r="Y93" s="197"/>
      <c r="Z93" s="499" t="str">
        <f>IF(Y93="","",IF(VLOOKUP(Y93,'G-3 Multipliers'!$S$3:$T$9,2,FALSE)=0,"Spatial Data Missing ⚠",VLOOKUP(Y93,'G-3 Multipliers'!$S$3:$T$9,2,FALSE)))</f>
        <v/>
      </c>
      <c r="AA93" s="545" t="str">
        <f t="shared" si="8"/>
        <v/>
      </c>
      <c r="AB93" s="149"/>
      <c r="AC93" s="150"/>
    </row>
    <row r="94" spans="1:29" ht="13.8" x14ac:dyDescent="0.25">
      <c r="A94" s="31" t="str">
        <f>IFERROR(INDEX('G-8 Condition Look up'!$I$4:$I$130,MATCH(F94,'G-8 Condition Look up'!$A$4:$A$130,0)),"")</f>
        <v/>
      </c>
      <c r="C94" s="244" t="str">
        <f>IFERROR(INDEX('G-1 All Habitats'!$AG$3:$AG$15,MATCH(D94,'G-1 All Habitats'!$AF$3:$AF$15,0)),"")</f>
        <v/>
      </c>
      <c r="D94" s="154"/>
      <c r="E94" s="203"/>
      <c r="F94" s="243" t="str">
        <f>IFERROR(INDEX('G-1 All Habitats'!$B$3:$B$129,MATCH(E94,'G-1 All Habitats'!$A$3:$A$129,0)),"")</f>
        <v/>
      </c>
      <c r="G94" s="386"/>
      <c r="H94" s="537" t="str">
        <f>IF(F94="","",VLOOKUP(F94,'G-1 All Habitats'!$B$2:$M$129,10,FALSE))</f>
        <v/>
      </c>
      <c r="I94" s="524" t="str">
        <f>IFERROR(VLOOKUP(H94,'G-1 All Habitats'!$V$3:$W$7,2,FALSE),"")</f>
        <v/>
      </c>
      <c r="J94" s="199"/>
      <c r="K94" s="524" t="str">
        <f>IFERROR(INDEX('G-8 Condition Look up'!$A$3:$H$130,MATCH(F94,'G-8 Condition Look up'!$A$3:$A$130,0),MATCH(J94,'G-8 Condition Look up'!$A$3:$H$3,0)),"")</f>
        <v/>
      </c>
      <c r="L94" s="145"/>
      <c r="M94" s="540" t="str">
        <f>IF(L94="","",IF(VLOOKUP(L94,'G-3 Multipliers'!$L$3:$N$6,2,FALSE)=0,"Spatial Data Missing ⚠",VLOOKUP(L94,'G-3 Multipliers'!$L$3:$N$6,2,FALSE)))</f>
        <v/>
      </c>
      <c r="N94" s="499" t="str">
        <f>IF(L94="","",IF(VLOOKUP(L94,'G-3 Multipliers'!$L$3:$N$6,3,FALSE)=0,"Spatial Data Missing ⚠",VLOOKUP(L94,'G-3 Multipliers'!$L$3:$N$6,3,FALSE)))</f>
        <v/>
      </c>
      <c r="O94" s="498" t="str">
        <f t="shared" si="5"/>
        <v/>
      </c>
      <c r="P94" s="195"/>
      <c r="Q94" s="195"/>
      <c r="R94" s="520" t="str">
        <f t="shared" si="6"/>
        <v/>
      </c>
      <c r="S94" s="544" t="str">
        <f t="shared" si="7"/>
        <v/>
      </c>
      <c r="T94" s="525" t="str">
        <f>IFERROR(IF(S94="Check Data ⚠","Check Data ⚠",VLOOKUP(S94,'G-4 Temporal multipliers'!$A$4:$C$37,3,FALSE)),"")</f>
        <v/>
      </c>
      <c r="U94" s="523" t="str">
        <f>IF(F94="","",VLOOKUP(F94,'G-3 Multipliers'!$A$2:$E$129,2,FALSE))</f>
        <v/>
      </c>
      <c r="V94" s="520" t="str">
        <f t="shared" si="9"/>
        <v/>
      </c>
      <c r="W94" s="520" t="str">
        <f>IF(E94="","",IF(AND(V94="Standard difficulty applied",O94&gt;P94),U94,IF(AND(V94="Low Difficulty - only applicable if all habitat created before losses ⚠",P94&gt;=O94),"Low",VLOOKUP(F94,'G-3 Multipliers'!$A$2:$E$129,4,FALSE))))</f>
        <v/>
      </c>
      <c r="X94" s="524" t="str">
        <f>IFERROR(IF(E94="","",VLOOKUP(W94, 'G-3 Multipliers'!$P$2:$Q$6,2,FALSE)),"")</f>
        <v/>
      </c>
      <c r="Y94" s="197"/>
      <c r="Z94" s="499" t="str">
        <f>IF(Y94="","",IF(VLOOKUP(Y94,'G-3 Multipliers'!$S$3:$T$9,2,FALSE)=0,"Spatial Data Missing ⚠",VLOOKUP(Y94,'G-3 Multipliers'!$S$3:$T$9,2,FALSE)))</f>
        <v/>
      </c>
      <c r="AA94" s="545" t="str">
        <f t="shared" si="8"/>
        <v/>
      </c>
      <c r="AB94" s="149"/>
      <c r="AC94" s="150"/>
    </row>
    <row r="95" spans="1:29" ht="13.8" x14ac:dyDescent="0.25">
      <c r="A95" s="31" t="str">
        <f>IFERROR(INDEX('G-8 Condition Look up'!$I$4:$I$130,MATCH(F95,'G-8 Condition Look up'!$A$4:$A$130,0)),"")</f>
        <v/>
      </c>
      <c r="C95" s="244" t="str">
        <f>IFERROR(INDEX('G-1 All Habitats'!$AG$3:$AG$15,MATCH(D95,'G-1 All Habitats'!$AF$3:$AF$15,0)),"")</f>
        <v/>
      </c>
      <c r="D95" s="154"/>
      <c r="E95" s="203"/>
      <c r="F95" s="243" t="str">
        <f>IFERROR(INDEX('G-1 All Habitats'!$B$3:$B$129,MATCH(E95,'G-1 All Habitats'!$A$3:$A$129,0)),"")</f>
        <v/>
      </c>
      <c r="G95" s="386"/>
      <c r="H95" s="537" t="str">
        <f>IF(F95="","",VLOOKUP(F95,'G-1 All Habitats'!$B$2:$M$129,10,FALSE))</f>
        <v/>
      </c>
      <c r="I95" s="524" t="str">
        <f>IFERROR(VLOOKUP(H95,'G-1 All Habitats'!$V$3:$W$7,2,FALSE),"")</f>
        <v/>
      </c>
      <c r="J95" s="199"/>
      <c r="K95" s="524" t="str">
        <f>IFERROR(INDEX('G-8 Condition Look up'!$A$3:$H$130,MATCH(F95,'G-8 Condition Look up'!$A$3:$A$130,0),MATCH(J95,'G-8 Condition Look up'!$A$3:$H$3,0)),"")</f>
        <v/>
      </c>
      <c r="L95" s="145"/>
      <c r="M95" s="540" t="str">
        <f>IF(L95="","",IF(VLOOKUP(L95,'G-3 Multipliers'!$L$3:$N$6,2,FALSE)=0,"Spatial Data Missing ⚠",VLOOKUP(L95,'G-3 Multipliers'!$L$3:$N$6,2,FALSE)))</f>
        <v/>
      </c>
      <c r="N95" s="499" t="str">
        <f>IF(L95="","",IF(VLOOKUP(L95,'G-3 Multipliers'!$L$3:$N$6,3,FALSE)=0,"Spatial Data Missing ⚠",VLOOKUP(L95,'G-3 Multipliers'!$L$3:$N$6,3,FALSE)))</f>
        <v/>
      </c>
      <c r="O95" s="498" t="str">
        <f t="shared" si="5"/>
        <v/>
      </c>
      <c r="P95" s="195"/>
      <c r="Q95" s="195"/>
      <c r="R95" s="520" t="str">
        <f t="shared" si="6"/>
        <v/>
      </c>
      <c r="S95" s="544" t="str">
        <f t="shared" si="7"/>
        <v/>
      </c>
      <c r="T95" s="525" t="str">
        <f>IFERROR(IF(S95="Check Data ⚠","Check Data ⚠",VLOOKUP(S95,'G-4 Temporal multipliers'!$A$4:$C$37,3,FALSE)),"")</f>
        <v/>
      </c>
      <c r="U95" s="523" t="str">
        <f>IF(F95="","",VLOOKUP(F95,'G-3 Multipliers'!$A$2:$E$129,2,FALSE))</f>
        <v/>
      </c>
      <c r="V95" s="520" t="str">
        <f t="shared" si="9"/>
        <v/>
      </c>
      <c r="W95" s="520" t="str">
        <f>IF(E95="","",IF(AND(V95="Standard difficulty applied",O95&gt;P95),U95,IF(AND(V95="Low Difficulty - only applicable if all habitat created before losses ⚠",P95&gt;=O95),"Low",VLOOKUP(F95,'G-3 Multipliers'!$A$2:$E$129,4,FALSE))))</f>
        <v/>
      </c>
      <c r="X95" s="524" t="str">
        <f>IFERROR(IF(E95="","",VLOOKUP(W95, 'G-3 Multipliers'!$P$2:$Q$6,2,FALSE)),"")</f>
        <v/>
      </c>
      <c r="Y95" s="197"/>
      <c r="Z95" s="499" t="str">
        <f>IF(Y95="","",IF(VLOOKUP(Y95,'G-3 Multipliers'!$S$3:$T$9,2,FALSE)=0,"Spatial Data Missing ⚠",VLOOKUP(Y95,'G-3 Multipliers'!$S$3:$T$9,2,FALSE)))</f>
        <v/>
      </c>
      <c r="AA95" s="545" t="str">
        <f t="shared" si="8"/>
        <v/>
      </c>
      <c r="AB95" s="149"/>
      <c r="AC95" s="150"/>
    </row>
    <row r="96" spans="1:29" ht="13.8" x14ac:dyDescent="0.25">
      <c r="A96" s="31" t="str">
        <f>IFERROR(INDEX('G-8 Condition Look up'!$I$4:$I$130,MATCH(F96,'G-8 Condition Look up'!$A$4:$A$130,0)),"")</f>
        <v/>
      </c>
      <c r="C96" s="244" t="str">
        <f>IFERROR(INDEX('G-1 All Habitats'!$AG$3:$AG$15,MATCH(D96,'G-1 All Habitats'!$AF$3:$AF$15,0)),"")</f>
        <v/>
      </c>
      <c r="D96" s="154"/>
      <c r="E96" s="203"/>
      <c r="F96" s="243" t="str">
        <f>IFERROR(INDEX('G-1 All Habitats'!$B$3:$B$129,MATCH(E96,'G-1 All Habitats'!$A$3:$A$129,0)),"")</f>
        <v/>
      </c>
      <c r="G96" s="386"/>
      <c r="H96" s="537" t="str">
        <f>IF(F96="","",VLOOKUP(F96,'G-1 All Habitats'!$B$2:$M$129,10,FALSE))</f>
        <v/>
      </c>
      <c r="I96" s="524" t="str">
        <f>IFERROR(VLOOKUP(H96,'G-1 All Habitats'!$V$3:$W$7,2,FALSE),"")</f>
        <v/>
      </c>
      <c r="J96" s="199"/>
      <c r="K96" s="524" t="str">
        <f>IFERROR(INDEX('G-8 Condition Look up'!$A$3:$H$130,MATCH(F96,'G-8 Condition Look up'!$A$3:$A$130,0),MATCH(J96,'G-8 Condition Look up'!$A$3:$H$3,0)),"")</f>
        <v/>
      </c>
      <c r="L96" s="145"/>
      <c r="M96" s="540" t="str">
        <f>IF(L96="","",IF(VLOOKUP(L96,'G-3 Multipliers'!$L$3:$N$6,2,FALSE)=0,"Spatial Data Missing ⚠",VLOOKUP(L96,'G-3 Multipliers'!$L$3:$N$6,2,FALSE)))</f>
        <v/>
      </c>
      <c r="N96" s="499" t="str">
        <f>IF(L96="","",IF(VLOOKUP(L96,'G-3 Multipliers'!$L$3:$N$6,3,FALSE)=0,"Spatial Data Missing ⚠",VLOOKUP(L96,'G-3 Multipliers'!$L$3:$N$6,3,FALSE)))</f>
        <v/>
      </c>
      <c r="O96" s="498" t="str">
        <f t="shared" si="5"/>
        <v/>
      </c>
      <c r="P96" s="195"/>
      <c r="Q96" s="195"/>
      <c r="R96" s="520" t="str">
        <f t="shared" si="6"/>
        <v/>
      </c>
      <c r="S96" s="544" t="str">
        <f t="shared" si="7"/>
        <v/>
      </c>
      <c r="T96" s="525" t="str">
        <f>IFERROR(IF(S96="Check Data ⚠","Check Data ⚠",VLOOKUP(S96,'G-4 Temporal multipliers'!$A$4:$C$37,3,FALSE)),"")</f>
        <v/>
      </c>
      <c r="U96" s="523" t="str">
        <f>IF(F96="","",VLOOKUP(F96,'G-3 Multipliers'!$A$2:$E$129,2,FALSE))</f>
        <v/>
      </c>
      <c r="V96" s="520" t="str">
        <f t="shared" si="9"/>
        <v/>
      </c>
      <c r="W96" s="520" t="str">
        <f>IF(E96="","",IF(AND(V96="Standard difficulty applied",O96&gt;P96),U96,IF(AND(V96="Low Difficulty - only applicable if all habitat created before losses ⚠",P96&gt;=O96),"Low",VLOOKUP(F96,'G-3 Multipliers'!$A$2:$E$129,4,FALSE))))</f>
        <v/>
      </c>
      <c r="X96" s="524" t="str">
        <f>IFERROR(IF(E96="","",VLOOKUP(W96, 'G-3 Multipliers'!$P$2:$Q$6,2,FALSE)),"")</f>
        <v/>
      </c>
      <c r="Y96" s="197"/>
      <c r="Z96" s="499" t="str">
        <f>IF(Y96="","",IF(VLOOKUP(Y96,'G-3 Multipliers'!$S$3:$T$9,2,FALSE)=0,"Spatial Data Missing ⚠",VLOOKUP(Y96,'G-3 Multipliers'!$S$3:$T$9,2,FALSE)))</f>
        <v/>
      </c>
      <c r="AA96" s="545" t="str">
        <f t="shared" si="8"/>
        <v/>
      </c>
      <c r="AB96" s="149"/>
      <c r="AC96" s="150"/>
    </row>
    <row r="97" spans="1:29" ht="13.8" x14ac:dyDescent="0.25">
      <c r="A97" s="31" t="str">
        <f>IFERROR(INDEX('G-8 Condition Look up'!$I$4:$I$130,MATCH(F97,'G-8 Condition Look up'!$A$4:$A$130,0)),"")</f>
        <v/>
      </c>
      <c r="C97" s="244" t="str">
        <f>IFERROR(INDEX('G-1 All Habitats'!$AG$3:$AG$15,MATCH(D97,'G-1 All Habitats'!$AF$3:$AF$15,0)),"")</f>
        <v/>
      </c>
      <c r="D97" s="154"/>
      <c r="E97" s="203"/>
      <c r="F97" s="243" t="str">
        <f>IFERROR(INDEX('G-1 All Habitats'!$B$3:$B$129,MATCH(E97,'G-1 All Habitats'!$A$3:$A$129,0)),"")</f>
        <v/>
      </c>
      <c r="G97" s="386"/>
      <c r="H97" s="537" t="str">
        <f>IF(F97="","",VLOOKUP(F97,'G-1 All Habitats'!$B$2:$M$129,10,FALSE))</f>
        <v/>
      </c>
      <c r="I97" s="524" t="str">
        <f>IFERROR(VLOOKUP(H97,'G-1 All Habitats'!$V$3:$W$7,2,FALSE),"")</f>
        <v/>
      </c>
      <c r="J97" s="199"/>
      <c r="K97" s="524" t="str">
        <f>IFERROR(INDEX('G-8 Condition Look up'!$A$3:$H$130,MATCH(F97,'G-8 Condition Look up'!$A$3:$A$130,0),MATCH(J97,'G-8 Condition Look up'!$A$3:$H$3,0)),"")</f>
        <v/>
      </c>
      <c r="L97" s="145"/>
      <c r="M97" s="540" t="str">
        <f>IF(L97="","",IF(VLOOKUP(L97,'G-3 Multipliers'!$L$3:$N$6,2,FALSE)=0,"Spatial Data Missing ⚠",VLOOKUP(L97,'G-3 Multipliers'!$L$3:$N$6,2,FALSE)))</f>
        <v/>
      </c>
      <c r="N97" s="499" t="str">
        <f>IF(L97="","",IF(VLOOKUP(L97,'G-3 Multipliers'!$L$3:$N$6,3,FALSE)=0,"Spatial Data Missing ⚠",VLOOKUP(L97,'G-3 Multipliers'!$L$3:$N$6,3,FALSE)))</f>
        <v/>
      </c>
      <c r="O97" s="498" t="str">
        <f t="shared" si="5"/>
        <v/>
      </c>
      <c r="P97" s="195"/>
      <c r="Q97" s="195"/>
      <c r="R97" s="520" t="str">
        <f t="shared" si="6"/>
        <v/>
      </c>
      <c r="S97" s="544" t="str">
        <f t="shared" si="7"/>
        <v/>
      </c>
      <c r="T97" s="525" t="str">
        <f>IFERROR(IF(S97="Check Data ⚠","Check Data ⚠",VLOOKUP(S97,'G-4 Temporal multipliers'!$A$4:$C$37,3,FALSE)),"")</f>
        <v/>
      </c>
      <c r="U97" s="523" t="str">
        <f>IF(F97="","",VLOOKUP(F97,'G-3 Multipliers'!$A$2:$E$129,2,FALSE))</f>
        <v/>
      </c>
      <c r="V97" s="520" t="str">
        <f t="shared" si="9"/>
        <v/>
      </c>
      <c r="W97" s="520" t="str">
        <f>IF(E97="","",IF(AND(V97="Standard difficulty applied",O97&gt;P97),U97,IF(AND(V97="Low Difficulty - only applicable if all habitat created before losses ⚠",P97&gt;=O97),"Low",VLOOKUP(F97,'G-3 Multipliers'!$A$2:$E$129,4,FALSE))))</f>
        <v/>
      </c>
      <c r="X97" s="524" t="str">
        <f>IFERROR(IF(E97="","",VLOOKUP(W97, 'G-3 Multipliers'!$P$2:$Q$6,2,FALSE)),"")</f>
        <v/>
      </c>
      <c r="Y97" s="197"/>
      <c r="Z97" s="499" t="str">
        <f>IF(Y97="","",IF(VLOOKUP(Y97,'G-3 Multipliers'!$S$3:$T$9,2,FALSE)=0,"Spatial Data Missing ⚠",VLOOKUP(Y97,'G-3 Multipliers'!$S$3:$T$9,2,FALSE)))</f>
        <v/>
      </c>
      <c r="AA97" s="545" t="str">
        <f t="shared" si="8"/>
        <v/>
      </c>
      <c r="AB97" s="149"/>
      <c r="AC97" s="150"/>
    </row>
    <row r="98" spans="1:29" ht="13.8" x14ac:dyDescent="0.25">
      <c r="A98" s="31" t="str">
        <f>IFERROR(INDEX('G-8 Condition Look up'!$I$4:$I$130,MATCH(F98,'G-8 Condition Look up'!$A$4:$A$130,0)),"")</f>
        <v/>
      </c>
      <c r="C98" s="244" t="str">
        <f>IFERROR(INDEX('G-1 All Habitats'!$AG$3:$AG$15,MATCH(D98,'G-1 All Habitats'!$AF$3:$AF$15,0)),"")</f>
        <v/>
      </c>
      <c r="D98" s="154"/>
      <c r="E98" s="203"/>
      <c r="F98" s="243" t="str">
        <f>IFERROR(INDEX('G-1 All Habitats'!$B$3:$B$129,MATCH(E98,'G-1 All Habitats'!$A$3:$A$129,0)),"")</f>
        <v/>
      </c>
      <c r="G98" s="386"/>
      <c r="H98" s="537" t="str">
        <f>IF(F98="","",VLOOKUP(F98,'G-1 All Habitats'!$B$2:$M$129,10,FALSE))</f>
        <v/>
      </c>
      <c r="I98" s="524" t="str">
        <f>IFERROR(VLOOKUP(H98,'G-1 All Habitats'!$V$3:$W$7,2,FALSE),"")</f>
        <v/>
      </c>
      <c r="J98" s="199"/>
      <c r="K98" s="524" t="str">
        <f>IFERROR(INDEX('G-8 Condition Look up'!$A$3:$H$130,MATCH(F98,'G-8 Condition Look up'!$A$3:$A$130,0),MATCH(J98,'G-8 Condition Look up'!$A$3:$H$3,0)),"")</f>
        <v/>
      </c>
      <c r="L98" s="145"/>
      <c r="M98" s="540" t="str">
        <f>IF(L98="","",IF(VLOOKUP(L98,'G-3 Multipliers'!$L$3:$N$6,2,FALSE)=0,"Spatial Data Missing ⚠",VLOOKUP(L98,'G-3 Multipliers'!$L$3:$N$6,2,FALSE)))</f>
        <v/>
      </c>
      <c r="N98" s="499" t="str">
        <f>IF(L98="","",IF(VLOOKUP(L98,'G-3 Multipliers'!$L$3:$N$6,3,FALSE)=0,"Spatial Data Missing ⚠",VLOOKUP(L98,'G-3 Multipliers'!$L$3:$N$6,3,FALSE)))</f>
        <v/>
      </c>
      <c r="O98" s="498" t="str">
        <f t="shared" si="5"/>
        <v/>
      </c>
      <c r="P98" s="195"/>
      <c r="Q98" s="195"/>
      <c r="R98" s="520" t="str">
        <f t="shared" si="6"/>
        <v/>
      </c>
      <c r="S98" s="544" t="str">
        <f t="shared" si="7"/>
        <v/>
      </c>
      <c r="T98" s="525" t="str">
        <f>IFERROR(IF(S98="Check Data ⚠","Check Data ⚠",VLOOKUP(S98,'G-4 Temporal multipliers'!$A$4:$C$37,3,FALSE)),"")</f>
        <v/>
      </c>
      <c r="U98" s="523" t="str">
        <f>IF(F98="","",VLOOKUP(F98,'G-3 Multipliers'!$A$2:$E$129,2,FALSE))</f>
        <v/>
      </c>
      <c r="V98" s="520" t="str">
        <f t="shared" si="9"/>
        <v/>
      </c>
      <c r="W98" s="520" t="str">
        <f>IF(E98="","",IF(AND(V98="Standard difficulty applied",O98&gt;P98),U98,IF(AND(V98="Low Difficulty - only applicable if all habitat created before losses ⚠",P98&gt;=O98),"Low",VLOOKUP(F98,'G-3 Multipliers'!$A$2:$E$129,4,FALSE))))</f>
        <v/>
      </c>
      <c r="X98" s="524" t="str">
        <f>IFERROR(IF(E98="","",VLOOKUP(W98, 'G-3 Multipliers'!$P$2:$Q$6,2,FALSE)),"")</f>
        <v/>
      </c>
      <c r="Y98" s="197"/>
      <c r="Z98" s="499" t="str">
        <f>IF(Y98="","",IF(VLOOKUP(Y98,'G-3 Multipliers'!$S$3:$T$9,2,FALSE)=0,"Spatial Data Missing ⚠",VLOOKUP(Y98,'G-3 Multipliers'!$S$3:$T$9,2,FALSE)))</f>
        <v/>
      </c>
      <c r="AA98" s="545" t="str">
        <f t="shared" si="8"/>
        <v/>
      </c>
      <c r="AB98" s="149"/>
      <c r="AC98" s="150"/>
    </row>
    <row r="99" spans="1:29" ht="13.8" x14ac:dyDescent="0.25">
      <c r="A99" s="31" t="str">
        <f>IFERROR(INDEX('G-8 Condition Look up'!$I$4:$I$130,MATCH(F99,'G-8 Condition Look up'!$A$4:$A$130,0)),"")</f>
        <v/>
      </c>
      <c r="C99" s="244" t="str">
        <f>IFERROR(INDEX('G-1 All Habitats'!$AG$3:$AG$15,MATCH(D99,'G-1 All Habitats'!$AF$3:$AF$15,0)),"")</f>
        <v/>
      </c>
      <c r="D99" s="154"/>
      <c r="E99" s="203"/>
      <c r="F99" s="243" t="str">
        <f>IFERROR(INDEX('G-1 All Habitats'!$B$3:$B$129,MATCH(E99,'G-1 All Habitats'!$A$3:$A$129,0)),"")</f>
        <v/>
      </c>
      <c r="G99" s="386"/>
      <c r="H99" s="537" t="str">
        <f>IF(F99="","",VLOOKUP(F99,'G-1 All Habitats'!$B$2:$M$129,10,FALSE))</f>
        <v/>
      </c>
      <c r="I99" s="524" t="str">
        <f>IFERROR(VLOOKUP(H99,'G-1 All Habitats'!$V$3:$W$7,2,FALSE),"")</f>
        <v/>
      </c>
      <c r="J99" s="199"/>
      <c r="K99" s="524" t="str">
        <f>IFERROR(INDEX('G-8 Condition Look up'!$A$3:$H$130,MATCH(F99,'G-8 Condition Look up'!$A$3:$A$130,0),MATCH(J99,'G-8 Condition Look up'!$A$3:$H$3,0)),"")</f>
        <v/>
      </c>
      <c r="L99" s="145"/>
      <c r="M99" s="540" t="str">
        <f>IF(L99="","",IF(VLOOKUP(L99,'G-3 Multipliers'!$L$3:$N$6,2,FALSE)=0,"Spatial Data Missing ⚠",VLOOKUP(L99,'G-3 Multipliers'!$L$3:$N$6,2,FALSE)))</f>
        <v/>
      </c>
      <c r="N99" s="499" t="str">
        <f>IF(L99="","",IF(VLOOKUP(L99,'G-3 Multipliers'!$L$3:$N$6,3,FALSE)=0,"Spatial Data Missing ⚠",VLOOKUP(L99,'G-3 Multipliers'!$L$3:$N$6,3,FALSE)))</f>
        <v/>
      </c>
      <c r="O99" s="498" t="str">
        <f t="shared" si="5"/>
        <v/>
      </c>
      <c r="P99" s="195"/>
      <c r="Q99" s="195"/>
      <c r="R99" s="520" t="str">
        <f t="shared" si="6"/>
        <v/>
      </c>
      <c r="S99" s="544" t="str">
        <f t="shared" si="7"/>
        <v/>
      </c>
      <c r="T99" s="525" t="str">
        <f>IFERROR(IF(S99="Check Data ⚠","Check Data ⚠",VLOOKUP(S99,'G-4 Temporal multipliers'!$A$4:$C$37,3,FALSE)),"")</f>
        <v/>
      </c>
      <c r="U99" s="523" t="str">
        <f>IF(F99="","",VLOOKUP(F99,'G-3 Multipliers'!$A$2:$E$129,2,FALSE))</f>
        <v/>
      </c>
      <c r="V99" s="520" t="str">
        <f t="shared" si="9"/>
        <v/>
      </c>
      <c r="W99" s="520" t="str">
        <f>IF(E99="","",IF(AND(V99="Standard difficulty applied",O99&gt;P99),U99,IF(AND(V99="Low Difficulty - only applicable if all habitat created before losses ⚠",P99&gt;=O99),"Low",VLOOKUP(F99,'G-3 Multipliers'!$A$2:$E$129,4,FALSE))))</f>
        <v/>
      </c>
      <c r="X99" s="524" t="str">
        <f>IFERROR(IF(E99="","",VLOOKUP(W99, 'G-3 Multipliers'!$P$2:$Q$6,2,FALSE)),"")</f>
        <v/>
      </c>
      <c r="Y99" s="197"/>
      <c r="Z99" s="499" t="str">
        <f>IF(Y99="","",IF(VLOOKUP(Y99,'G-3 Multipliers'!$S$3:$T$9,2,FALSE)=0,"Spatial Data Missing ⚠",VLOOKUP(Y99,'G-3 Multipliers'!$S$3:$T$9,2,FALSE)))</f>
        <v/>
      </c>
      <c r="AA99" s="545" t="str">
        <f t="shared" si="8"/>
        <v/>
      </c>
      <c r="AB99" s="149"/>
      <c r="AC99" s="150"/>
    </row>
    <row r="100" spans="1:29" ht="13.8" x14ac:dyDescent="0.25">
      <c r="A100" s="31" t="str">
        <f>IFERROR(INDEX('G-8 Condition Look up'!$I$4:$I$130,MATCH(F100,'G-8 Condition Look up'!$A$4:$A$130,0)),"")</f>
        <v/>
      </c>
      <c r="C100" s="244" t="str">
        <f>IFERROR(INDEX('G-1 All Habitats'!$AG$3:$AG$15,MATCH(D100,'G-1 All Habitats'!$AF$3:$AF$15,0)),"")</f>
        <v/>
      </c>
      <c r="D100" s="154"/>
      <c r="E100" s="203"/>
      <c r="F100" s="243" t="str">
        <f>IFERROR(INDEX('G-1 All Habitats'!$B$3:$B$129,MATCH(E100,'G-1 All Habitats'!$A$3:$A$129,0)),"")</f>
        <v/>
      </c>
      <c r="G100" s="386"/>
      <c r="H100" s="537" t="str">
        <f>IF(F100="","",VLOOKUP(F100,'G-1 All Habitats'!$B$2:$M$129,10,FALSE))</f>
        <v/>
      </c>
      <c r="I100" s="524" t="str">
        <f>IFERROR(VLOOKUP(H100,'G-1 All Habitats'!$V$3:$W$7,2,FALSE),"")</f>
        <v/>
      </c>
      <c r="J100" s="199"/>
      <c r="K100" s="524" t="str">
        <f>IFERROR(INDEX('G-8 Condition Look up'!$A$3:$H$130,MATCH(F100,'G-8 Condition Look up'!$A$3:$A$130,0),MATCH(J100,'G-8 Condition Look up'!$A$3:$H$3,0)),"")</f>
        <v/>
      </c>
      <c r="L100" s="145"/>
      <c r="M100" s="540" t="str">
        <f>IF(L100="","",IF(VLOOKUP(L100,'G-3 Multipliers'!$L$3:$N$6,2,FALSE)=0,"Spatial Data Missing ⚠",VLOOKUP(L100,'G-3 Multipliers'!$L$3:$N$6,2,FALSE)))</f>
        <v/>
      </c>
      <c r="N100" s="499" t="str">
        <f>IF(L100="","",IF(VLOOKUP(L100,'G-3 Multipliers'!$L$3:$N$6,3,FALSE)=0,"Spatial Data Missing ⚠",VLOOKUP(L100,'G-3 Multipliers'!$L$3:$N$6,3,FALSE)))</f>
        <v/>
      </c>
      <c r="O100" s="498" t="str">
        <f t="shared" si="5"/>
        <v/>
      </c>
      <c r="P100" s="195"/>
      <c r="Q100" s="195"/>
      <c r="R100" s="520" t="str">
        <f t="shared" si="6"/>
        <v/>
      </c>
      <c r="S100" s="544" t="str">
        <f t="shared" si="7"/>
        <v/>
      </c>
      <c r="T100" s="525" t="str">
        <f>IFERROR(IF(S100="Check Data ⚠","Check Data ⚠",VLOOKUP(S100,'G-4 Temporal multipliers'!$A$4:$C$37,3,FALSE)),"")</f>
        <v/>
      </c>
      <c r="U100" s="523" t="str">
        <f>IF(F100="","",VLOOKUP(F100,'G-3 Multipliers'!$A$2:$E$129,2,FALSE))</f>
        <v/>
      </c>
      <c r="V100" s="520" t="str">
        <f t="shared" si="9"/>
        <v/>
      </c>
      <c r="W100" s="520" t="str">
        <f>IF(E100="","",IF(AND(V100="Standard difficulty applied",O100&gt;P100),U100,IF(AND(V100="Low Difficulty - only applicable if all habitat created before losses ⚠",P100&gt;=O100),"Low",VLOOKUP(F100,'G-3 Multipliers'!$A$2:$E$129,4,FALSE))))</f>
        <v/>
      </c>
      <c r="X100" s="524" t="str">
        <f>IFERROR(IF(E100="","",VLOOKUP(W100, 'G-3 Multipliers'!$P$2:$Q$6,2,FALSE)),"")</f>
        <v/>
      </c>
      <c r="Y100" s="197"/>
      <c r="Z100" s="499" t="str">
        <f>IF(Y100="","",IF(VLOOKUP(Y100,'G-3 Multipliers'!$S$3:$T$9,2,FALSE)=0,"Spatial Data Missing ⚠",VLOOKUP(Y100,'G-3 Multipliers'!$S$3:$T$9,2,FALSE)))</f>
        <v/>
      </c>
      <c r="AA100" s="545" t="str">
        <f t="shared" si="8"/>
        <v/>
      </c>
      <c r="AB100" s="149"/>
      <c r="AC100" s="150"/>
    </row>
    <row r="101" spans="1:29" ht="13.8" x14ac:dyDescent="0.25">
      <c r="A101" s="31" t="str">
        <f>IFERROR(INDEX('G-8 Condition Look up'!$I$4:$I$130,MATCH(F101,'G-8 Condition Look up'!$A$4:$A$130,0)),"")</f>
        <v/>
      </c>
      <c r="C101" s="244" t="str">
        <f>IFERROR(INDEX('G-1 All Habitats'!$AG$3:$AG$15,MATCH(D101,'G-1 All Habitats'!$AF$3:$AF$15,0)),"")</f>
        <v/>
      </c>
      <c r="D101" s="154"/>
      <c r="E101" s="203"/>
      <c r="F101" s="243" t="str">
        <f>IFERROR(INDEX('G-1 All Habitats'!$B$3:$B$129,MATCH(E101,'G-1 All Habitats'!$A$3:$A$129,0)),"")</f>
        <v/>
      </c>
      <c r="G101" s="386"/>
      <c r="H101" s="537" t="str">
        <f>IF(F101="","",VLOOKUP(F101,'G-1 All Habitats'!$B$2:$M$129,10,FALSE))</f>
        <v/>
      </c>
      <c r="I101" s="524" t="str">
        <f>IFERROR(VLOOKUP(H101,'G-1 All Habitats'!$V$3:$W$7,2,FALSE),"")</f>
        <v/>
      </c>
      <c r="J101" s="199"/>
      <c r="K101" s="524" t="str">
        <f>IFERROR(INDEX('G-8 Condition Look up'!$A$3:$H$130,MATCH(F101,'G-8 Condition Look up'!$A$3:$A$130,0),MATCH(J101,'G-8 Condition Look up'!$A$3:$H$3,0)),"")</f>
        <v/>
      </c>
      <c r="L101" s="145"/>
      <c r="M101" s="540" t="str">
        <f>IF(L101="","",IF(VLOOKUP(L101,'G-3 Multipliers'!$L$3:$N$6,2,FALSE)=0,"Spatial Data Missing ⚠",VLOOKUP(L101,'G-3 Multipliers'!$L$3:$N$6,2,FALSE)))</f>
        <v/>
      </c>
      <c r="N101" s="499" t="str">
        <f>IF(L101="","",IF(VLOOKUP(L101,'G-3 Multipliers'!$L$3:$N$6,3,FALSE)=0,"Spatial Data Missing ⚠",VLOOKUP(L101,'G-3 Multipliers'!$L$3:$N$6,3,FALSE)))</f>
        <v/>
      </c>
      <c r="O101" s="498" t="str">
        <f t="shared" si="5"/>
        <v/>
      </c>
      <c r="P101" s="195"/>
      <c r="Q101" s="195"/>
      <c r="R101" s="520" t="str">
        <f t="shared" si="6"/>
        <v/>
      </c>
      <c r="S101" s="544" t="str">
        <f t="shared" si="7"/>
        <v/>
      </c>
      <c r="T101" s="525" t="str">
        <f>IFERROR(IF(S101="Check Data ⚠","Check Data ⚠",VLOOKUP(S101,'G-4 Temporal multipliers'!$A$4:$C$37,3,FALSE)),"")</f>
        <v/>
      </c>
      <c r="U101" s="523" t="str">
        <f>IF(F101="","",VLOOKUP(F101,'G-3 Multipliers'!$A$2:$E$129,2,FALSE))</f>
        <v/>
      </c>
      <c r="V101" s="520" t="str">
        <f t="shared" si="9"/>
        <v/>
      </c>
      <c r="W101" s="520" t="str">
        <f>IF(E101="","",IF(AND(V101="Standard difficulty applied",O101&gt;P101),U101,IF(AND(V101="Low Difficulty - only applicable if all habitat created before losses ⚠",P101&gt;=O101),"Low",VLOOKUP(F101,'G-3 Multipliers'!$A$2:$E$129,4,FALSE))))</f>
        <v/>
      </c>
      <c r="X101" s="524" t="str">
        <f>IFERROR(IF(E101="","",VLOOKUP(W101, 'G-3 Multipliers'!$P$2:$Q$6,2,FALSE)),"")</f>
        <v/>
      </c>
      <c r="Y101" s="197"/>
      <c r="Z101" s="499" t="str">
        <f>IF(Y101="","",IF(VLOOKUP(Y101,'G-3 Multipliers'!$S$3:$T$9,2,FALSE)=0,"Spatial Data Missing ⚠",VLOOKUP(Y101,'G-3 Multipliers'!$S$3:$T$9,2,FALSE)))</f>
        <v/>
      </c>
      <c r="AA101" s="545" t="str">
        <f t="shared" si="8"/>
        <v/>
      </c>
      <c r="AB101" s="149"/>
      <c r="AC101" s="150"/>
    </row>
    <row r="102" spans="1:29" ht="13.8" x14ac:dyDescent="0.25">
      <c r="A102" s="31" t="str">
        <f>IFERROR(INDEX('G-8 Condition Look up'!$I$4:$I$130,MATCH(F102,'G-8 Condition Look up'!$A$4:$A$130,0)),"")</f>
        <v/>
      </c>
      <c r="C102" s="244" t="str">
        <f>IFERROR(INDEX('G-1 All Habitats'!$AG$3:$AG$15,MATCH(D102,'G-1 All Habitats'!$AF$3:$AF$15,0)),"")</f>
        <v/>
      </c>
      <c r="D102" s="154"/>
      <c r="E102" s="203"/>
      <c r="F102" s="243" t="str">
        <f>IFERROR(INDEX('G-1 All Habitats'!$B$3:$B$129,MATCH(E102,'G-1 All Habitats'!$A$3:$A$129,0)),"")</f>
        <v/>
      </c>
      <c r="G102" s="386"/>
      <c r="H102" s="537" t="str">
        <f>IF(F102="","",VLOOKUP(F102,'G-1 All Habitats'!$B$2:$M$129,10,FALSE))</f>
        <v/>
      </c>
      <c r="I102" s="524" t="str">
        <f>IFERROR(VLOOKUP(H102,'G-1 All Habitats'!$V$3:$W$7,2,FALSE),"")</f>
        <v/>
      </c>
      <c r="J102" s="199"/>
      <c r="K102" s="524" t="str">
        <f>IFERROR(INDEX('G-8 Condition Look up'!$A$3:$H$130,MATCH(F102,'G-8 Condition Look up'!$A$3:$A$130,0),MATCH(J102,'G-8 Condition Look up'!$A$3:$H$3,0)),"")</f>
        <v/>
      </c>
      <c r="L102" s="145"/>
      <c r="M102" s="540" t="str">
        <f>IF(L102="","",IF(VLOOKUP(L102,'G-3 Multipliers'!$L$3:$N$6,2,FALSE)=0,"Spatial Data Missing ⚠",VLOOKUP(L102,'G-3 Multipliers'!$L$3:$N$6,2,FALSE)))</f>
        <v/>
      </c>
      <c r="N102" s="499" t="str">
        <f>IF(L102="","",IF(VLOOKUP(L102,'G-3 Multipliers'!$L$3:$N$6,3,FALSE)=0,"Spatial Data Missing ⚠",VLOOKUP(L102,'G-3 Multipliers'!$L$3:$N$6,3,FALSE)))</f>
        <v/>
      </c>
      <c r="O102" s="498" t="str">
        <f t="shared" si="5"/>
        <v/>
      </c>
      <c r="P102" s="195"/>
      <c r="Q102" s="195"/>
      <c r="R102" s="520" t="str">
        <f t="shared" si="6"/>
        <v/>
      </c>
      <c r="S102" s="544" t="str">
        <f t="shared" si="7"/>
        <v/>
      </c>
      <c r="T102" s="525" t="str">
        <f>IFERROR(IF(S102="Check Data ⚠","Check Data ⚠",VLOOKUP(S102,'G-4 Temporal multipliers'!$A$4:$C$37,3,FALSE)),"")</f>
        <v/>
      </c>
      <c r="U102" s="523" t="str">
        <f>IF(F102="","",VLOOKUP(F102,'G-3 Multipliers'!$A$2:$E$129,2,FALSE))</f>
        <v/>
      </c>
      <c r="V102" s="520" t="str">
        <f t="shared" si="9"/>
        <v/>
      </c>
      <c r="W102" s="520" t="str">
        <f>IF(E102="","",IF(AND(V102="Standard difficulty applied",O102&gt;P102),U102,IF(AND(V102="Low Difficulty - only applicable if all habitat created before losses ⚠",P102&gt;=O102),"Low",VLOOKUP(F102,'G-3 Multipliers'!$A$2:$E$129,4,FALSE))))</f>
        <v/>
      </c>
      <c r="X102" s="524" t="str">
        <f>IFERROR(IF(E102="","",VLOOKUP(W102, 'G-3 Multipliers'!$P$2:$Q$6,2,FALSE)),"")</f>
        <v/>
      </c>
      <c r="Y102" s="197"/>
      <c r="Z102" s="499" t="str">
        <f>IF(Y102="","",IF(VLOOKUP(Y102,'G-3 Multipliers'!$S$3:$T$9,2,FALSE)=0,"Spatial Data Missing ⚠",VLOOKUP(Y102,'G-3 Multipliers'!$S$3:$T$9,2,FALSE)))</f>
        <v/>
      </c>
      <c r="AA102" s="545" t="str">
        <f t="shared" si="8"/>
        <v/>
      </c>
      <c r="AB102" s="149"/>
      <c r="AC102" s="150"/>
    </row>
    <row r="103" spans="1:29" ht="13.8" x14ac:dyDescent="0.25">
      <c r="A103" s="31" t="str">
        <f>IFERROR(INDEX('G-8 Condition Look up'!$I$4:$I$130,MATCH(F103,'G-8 Condition Look up'!$A$4:$A$130,0)),"")</f>
        <v/>
      </c>
      <c r="C103" s="244" t="str">
        <f>IFERROR(INDEX('G-1 All Habitats'!$AG$3:$AG$15,MATCH(D103,'G-1 All Habitats'!$AF$3:$AF$15,0)),"")</f>
        <v/>
      </c>
      <c r="D103" s="154"/>
      <c r="E103" s="203"/>
      <c r="F103" s="243" t="str">
        <f>IFERROR(INDEX('G-1 All Habitats'!$B$3:$B$129,MATCH(E103,'G-1 All Habitats'!$A$3:$A$129,0)),"")</f>
        <v/>
      </c>
      <c r="G103" s="386"/>
      <c r="H103" s="537" t="str">
        <f>IF(F103="","",VLOOKUP(F103,'G-1 All Habitats'!$B$2:$M$129,10,FALSE))</f>
        <v/>
      </c>
      <c r="I103" s="524" t="str">
        <f>IFERROR(VLOOKUP(H103,'G-1 All Habitats'!$V$3:$W$7,2,FALSE),"")</f>
        <v/>
      </c>
      <c r="J103" s="199"/>
      <c r="K103" s="524" t="str">
        <f>IFERROR(INDEX('G-8 Condition Look up'!$A$3:$H$130,MATCH(F103,'G-8 Condition Look up'!$A$3:$A$130,0),MATCH(J103,'G-8 Condition Look up'!$A$3:$H$3,0)),"")</f>
        <v/>
      </c>
      <c r="L103" s="145"/>
      <c r="M103" s="540" t="str">
        <f>IF(L103="","",IF(VLOOKUP(L103,'G-3 Multipliers'!$L$3:$N$6,2,FALSE)=0,"Spatial Data Missing ⚠",VLOOKUP(L103,'G-3 Multipliers'!$L$3:$N$6,2,FALSE)))</f>
        <v/>
      </c>
      <c r="N103" s="499" t="str">
        <f>IF(L103="","",IF(VLOOKUP(L103,'G-3 Multipliers'!$L$3:$N$6,3,FALSE)=0,"Spatial Data Missing ⚠",VLOOKUP(L103,'G-3 Multipliers'!$L$3:$N$6,3,FALSE)))</f>
        <v/>
      </c>
      <c r="O103" s="498" t="str">
        <f t="shared" si="5"/>
        <v/>
      </c>
      <c r="P103" s="195"/>
      <c r="Q103" s="195"/>
      <c r="R103" s="520" t="str">
        <f t="shared" si="6"/>
        <v/>
      </c>
      <c r="S103" s="544" t="str">
        <f t="shared" si="7"/>
        <v/>
      </c>
      <c r="T103" s="525" t="str">
        <f>IFERROR(IF(S103="Check Data ⚠","Check Data ⚠",VLOOKUP(S103,'G-4 Temporal multipliers'!$A$4:$C$37,3,FALSE)),"")</f>
        <v/>
      </c>
      <c r="U103" s="523" t="str">
        <f>IF(F103="","",VLOOKUP(F103,'G-3 Multipliers'!$A$2:$E$129,2,FALSE))</f>
        <v/>
      </c>
      <c r="V103" s="520" t="str">
        <f t="shared" si="9"/>
        <v/>
      </c>
      <c r="W103" s="520" t="str">
        <f>IF(E103="","",IF(AND(V103="Standard difficulty applied",O103&gt;P103),U103,IF(AND(V103="Low Difficulty - only applicable if all habitat created before losses ⚠",P103&gt;=O103),"Low",VLOOKUP(F103,'G-3 Multipliers'!$A$2:$E$129,4,FALSE))))</f>
        <v/>
      </c>
      <c r="X103" s="524" t="str">
        <f>IFERROR(IF(E103="","",VLOOKUP(W103, 'G-3 Multipliers'!$P$2:$Q$6,2,FALSE)),"")</f>
        <v/>
      </c>
      <c r="Y103" s="197"/>
      <c r="Z103" s="499" t="str">
        <f>IF(Y103="","",IF(VLOOKUP(Y103,'G-3 Multipliers'!$S$3:$T$9,2,FALSE)=0,"Spatial Data Missing ⚠",VLOOKUP(Y103,'G-3 Multipliers'!$S$3:$T$9,2,FALSE)))</f>
        <v/>
      </c>
      <c r="AA103" s="545" t="str">
        <f t="shared" si="8"/>
        <v/>
      </c>
      <c r="AB103" s="149"/>
      <c r="AC103" s="150"/>
    </row>
    <row r="104" spans="1:29" ht="13.8" x14ac:dyDescent="0.25">
      <c r="A104" s="31" t="str">
        <f>IFERROR(INDEX('G-8 Condition Look up'!$I$4:$I$130,MATCH(F104,'G-8 Condition Look up'!$A$4:$A$130,0)),"")</f>
        <v/>
      </c>
      <c r="C104" s="244" t="str">
        <f>IFERROR(INDEX('G-1 All Habitats'!$AG$3:$AG$15,MATCH(D104,'G-1 All Habitats'!$AF$3:$AF$15,0)),"")</f>
        <v/>
      </c>
      <c r="D104" s="154"/>
      <c r="E104" s="203"/>
      <c r="F104" s="243" t="str">
        <f>IFERROR(INDEX('G-1 All Habitats'!$B$3:$B$129,MATCH(E104,'G-1 All Habitats'!$A$3:$A$129,0)),"")</f>
        <v/>
      </c>
      <c r="G104" s="386"/>
      <c r="H104" s="537" t="str">
        <f>IF(F104="","",VLOOKUP(F104,'G-1 All Habitats'!$B$2:$M$129,10,FALSE))</f>
        <v/>
      </c>
      <c r="I104" s="524" t="str">
        <f>IFERROR(VLOOKUP(H104,'G-1 All Habitats'!$V$3:$W$7,2,FALSE),"")</f>
        <v/>
      </c>
      <c r="J104" s="199"/>
      <c r="K104" s="524" t="str">
        <f>IFERROR(INDEX('G-8 Condition Look up'!$A$3:$H$130,MATCH(F104,'G-8 Condition Look up'!$A$3:$A$130,0),MATCH(J104,'G-8 Condition Look up'!$A$3:$H$3,0)),"")</f>
        <v/>
      </c>
      <c r="L104" s="145"/>
      <c r="M104" s="540" t="str">
        <f>IF(L104="","",IF(VLOOKUP(L104,'G-3 Multipliers'!$L$3:$N$6,2,FALSE)=0,"Spatial Data Missing ⚠",VLOOKUP(L104,'G-3 Multipliers'!$L$3:$N$6,2,FALSE)))</f>
        <v/>
      </c>
      <c r="N104" s="499" t="str">
        <f>IF(L104="","",IF(VLOOKUP(L104,'G-3 Multipliers'!$L$3:$N$6,3,FALSE)=0,"Spatial Data Missing ⚠",VLOOKUP(L104,'G-3 Multipliers'!$L$3:$N$6,3,FALSE)))</f>
        <v/>
      </c>
      <c r="O104" s="498" t="str">
        <f t="shared" si="5"/>
        <v/>
      </c>
      <c r="P104" s="195"/>
      <c r="Q104" s="195"/>
      <c r="R104" s="520" t="str">
        <f t="shared" si="6"/>
        <v/>
      </c>
      <c r="S104" s="544" t="str">
        <f t="shared" si="7"/>
        <v/>
      </c>
      <c r="T104" s="525" t="str">
        <f>IFERROR(IF(S104="Check Data ⚠","Check Data ⚠",VLOOKUP(S104,'G-4 Temporal multipliers'!$A$4:$C$37,3,FALSE)),"")</f>
        <v/>
      </c>
      <c r="U104" s="523" t="str">
        <f>IF(F104="","",VLOOKUP(F104,'G-3 Multipliers'!$A$2:$E$129,2,FALSE))</f>
        <v/>
      </c>
      <c r="V104" s="520" t="str">
        <f t="shared" si="9"/>
        <v/>
      </c>
      <c r="W104" s="520" t="str">
        <f>IF(E104="","",IF(AND(V104="Standard difficulty applied",O104&gt;P104),U104,IF(AND(V104="Low Difficulty - only applicable if all habitat created before losses ⚠",P104&gt;=O104),"Low",VLOOKUP(F104,'G-3 Multipliers'!$A$2:$E$129,4,FALSE))))</f>
        <v/>
      </c>
      <c r="X104" s="524" t="str">
        <f>IFERROR(IF(E104="","",VLOOKUP(W104, 'G-3 Multipliers'!$P$2:$Q$6,2,FALSE)),"")</f>
        <v/>
      </c>
      <c r="Y104" s="197"/>
      <c r="Z104" s="499" t="str">
        <f>IF(Y104="","",IF(VLOOKUP(Y104,'G-3 Multipliers'!$S$3:$T$9,2,FALSE)=0,"Spatial Data Missing ⚠",VLOOKUP(Y104,'G-3 Multipliers'!$S$3:$T$9,2,FALSE)))</f>
        <v/>
      </c>
      <c r="AA104" s="545" t="str">
        <f t="shared" si="8"/>
        <v/>
      </c>
      <c r="AB104" s="149"/>
      <c r="AC104" s="150"/>
    </row>
    <row r="105" spans="1:29" ht="13.8" x14ac:dyDescent="0.25">
      <c r="A105" s="31" t="str">
        <f>IFERROR(INDEX('G-8 Condition Look up'!$I$4:$I$130,MATCH(F105,'G-8 Condition Look up'!$A$4:$A$130,0)),"")</f>
        <v/>
      </c>
      <c r="C105" s="244" t="str">
        <f>IFERROR(INDEX('G-1 All Habitats'!$AG$3:$AG$15,MATCH(D105,'G-1 All Habitats'!$AF$3:$AF$15,0)),"")</f>
        <v/>
      </c>
      <c r="D105" s="154"/>
      <c r="E105" s="203"/>
      <c r="F105" s="243" t="str">
        <f>IFERROR(INDEX('G-1 All Habitats'!$B$3:$B$129,MATCH(E105,'G-1 All Habitats'!$A$3:$A$129,0)),"")</f>
        <v/>
      </c>
      <c r="G105" s="386"/>
      <c r="H105" s="537" t="str">
        <f>IF(F105="","",VLOOKUP(F105,'G-1 All Habitats'!$B$2:$M$129,10,FALSE))</f>
        <v/>
      </c>
      <c r="I105" s="524" t="str">
        <f>IFERROR(VLOOKUP(H105,'G-1 All Habitats'!$V$3:$W$7,2,FALSE),"")</f>
        <v/>
      </c>
      <c r="J105" s="199"/>
      <c r="K105" s="524" t="str">
        <f>IFERROR(INDEX('G-8 Condition Look up'!$A$3:$H$130,MATCH(F105,'G-8 Condition Look up'!$A$3:$A$130,0),MATCH(J105,'G-8 Condition Look up'!$A$3:$H$3,0)),"")</f>
        <v/>
      </c>
      <c r="L105" s="145"/>
      <c r="M105" s="540" t="str">
        <f>IF(L105="","",IF(VLOOKUP(L105,'G-3 Multipliers'!$L$3:$N$6,2,FALSE)=0,"Spatial Data Missing ⚠",VLOOKUP(L105,'G-3 Multipliers'!$L$3:$N$6,2,FALSE)))</f>
        <v/>
      </c>
      <c r="N105" s="499" t="str">
        <f>IF(L105="","",IF(VLOOKUP(L105,'G-3 Multipliers'!$L$3:$N$6,3,FALSE)=0,"Spatial Data Missing ⚠",VLOOKUP(L105,'G-3 Multipliers'!$L$3:$N$6,3,FALSE)))</f>
        <v/>
      </c>
      <c r="O105" s="498" t="str">
        <f t="shared" si="5"/>
        <v/>
      </c>
      <c r="P105" s="195"/>
      <c r="Q105" s="195"/>
      <c r="R105" s="520" t="str">
        <f t="shared" si="6"/>
        <v/>
      </c>
      <c r="S105" s="544" t="str">
        <f t="shared" si="7"/>
        <v/>
      </c>
      <c r="T105" s="525" t="str">
        <f>IFERROR(IF(S105="Check Data ⚠","Check Data ⚠",VLOOKUP(S105,'G-4 Temporal multipliers'!$A$4:$C$37,3,FALSE)),"")</f>
        <v/>
      </c>
      <c r="U105" s="523" t="str">
        <f>IF(F105="","",VLOOKUP(F105,'G-3 Multipliers'!$A$2:$E$129,2,FALSE))</f>
        <v/>
      </c>
      <c r="V105" s="520" t="str">
        <f t="shared" si="9"/>
        <v/>
      </c>
      <c r="W105" s="520" t="str">
        <f>IF(E105="","",IF(AND(V105="Standard difficulty applied",O105&gt;P105),U105,IF(AND(V105="Low Difficulty - only applicable if all habitat created before losses ⚠",P105&gt;=O105),"Low",VLOOKUP(F105,'G-3 Multipliers'!$A$2:$E$129,4,FALSE))))</f>
        <v/>
      </c>
      <c r="X105" s="524" t="str">
        <f>IFERROR(IF(E105="","",VLOOKUP(W105, 'G-3 Multipliers'!$P$2:$Q$6,2,FALSE)),"")</f>
        <v/>
      </c>
      <c r="Y105" s="197"/>
      <c r="Z105" s="499" t="str">
        <f>IF(Y105="","",IF(VLOOKUP(Y105,'G-3 Multipliers'!$S$3:$T$9,2,FALSE)=0,"Spatial Data Missing ⚠",VLOOKUP(Y105,'G-3 Multipliers'!$S$3:$T$9,2,FALSE)))</f>
        <v/>
      </c>
      <c r="AA105" s="545" t="str">
        <f t="shared" si="8"/>
        <v/>
      </c>
      <c r="AB105" s="149"/>
      <c r="AC105" s="150"/>
    </row>
    <row r="106" spans="1:29" ht="13.8" x14ac:dyDescent="0.25">
      <c r="A106" s="31" t="str">
        <f>IFERROR(INDEX('G-8 Condition Look up'!$I$4:$I$130,MATCH(F106,'G-8 Condition Look up'!$A$4:$A$130,0)),"")</f>
        <v/>
      </c>
      <c r="C106" s="244" t="str">
        <f>IFERROR(INDEX('G-1 All Habitats'!$AG$3:$AG$15,MATCH(D106,'G-1 All Habitats'!$AF$3:$AF$15,0)),"")</f>
        <v/>
      </c>
      <c r="D106" s="154"/>
      <c r="E106" s="203"/>
      <c r="F106" s="243" t="str">
        <f>IFERROR(INDEX('G-1 All Habitats'!$B$3:$B$129,MATCH(E106,'G-1 All Habitats'!$A$3:$A$129,0)),"")</f>
        <v/>
      </c>
      <c r="G106" s="386"/>
      <c r="H106" s="537" t="str">
        <f>IF(F106="","",VLOOKUP(F106,'G-1 All Habitats'!$B$2:$M$129,10,FALSE))</f>
        <v/>
      </c>
      <c r="I106" s="524" t="str">
        <f>IFERROR(VLOOKUP(H106,'G-1 All Habitats'!$V$3:$W$7,2,FALSE),"")</f>
        <v/>
      </c>
      <c r="J106" s="199"/>
      <c r="K106" s="524" t="str">
        <f>IFERROR(INDEX('G-8 Condition Look up'!$A$3:$H$130,MATCH(F106,'G-8 Condition Look up'!$A$3:$A$130,0),MATCH(J106,'G-8 Condition Look up'!$A$3:$H$3,0)),"")</f>
        <v/>
      </c>
      <c r="L106" s="145"/>
      <c r="M106" s="540" t="str">
        <f>IF(L106="","",IF(VLOOKUP(L106,'G-3 Multipliers'!$L$3:$N$6,2,FALSE)=0,"Spatial Data Missing ⚠",VLOOKUP(L106,'G-3 Multipliers'!$L$3:$N$6,2,FALSE)))</f>
        <v/>
      </c>
      <c r="N106" s="499" t="str">
        <f>IF(L106="","",IF(VLOOKUP(L106,'G-3 Multipliers'!$L$3:$N$6,3,FALSE)=0,"Spatial Data Missing ⚠",VLOOKUP(L106,'G-3 Multipliers'!$L$3:$N$6,3,FALSE)))</f>
        <v/>
      </c>
      <c r="O106" s="498" t="str">
        <f t="shared" si="5"/>
        <v/>
      </c>
      <c r="P106" s="195"/>
      <c r="Q106" s="195"/>
      <c r="R106" s="520" t="str">
        <f t="shared" si="6"/>
        <v/>
      </c>
      <c r="S106" s="544" t="str">
        <f t="shared" si="7"/>
        <v/>
      </c>
      <c r="T106" s="525" t="str">
        <f>IFERROR(IF(S106="Check Data ⚠","Check Data ⚠",VLOOKUP(S106,'G-4 Temporal multipliers'!$A$4:$C$37,3,FALSE)),"")</f>
        <v/>
      </c>
      <c r="U106" s="523" t="str">
        <f>IF(F106="","",VLOOKUP(F106,'G-3 Multipliers'!$A$2:$E$129,2,FALSE))</f>
        <v/>
      </c>
      <c r="V106" s="520" t="str">
        <f t="shared" si="9"/>
        <v/>
      </c>
      <c r="W106" s="520" t="str">
        <f>IF(E106="","",IF(AND(V106="Standard difficulty applied",O106&gt;P106),U106,IF(AND(V106="Low Difficulty - only applicable if all habitat created before losses ⚠",P106&gt;=O106),"Low",VLOOKUP(F106,'G-3 Multipliers'!$A$2:$E$129,4,FALSE))))</f>
        <v/>
      </c>
      <c r="X106" s="524" t="str">
        <f>IFERROR(IF(E106="","",VLOOKUP(W106, 'G-3 Multipliers'!$P$2:$Q$6,2,FALSE)),"")</f>
        <v/>
      </c>
      <c r="Y106" s="197"/>
      <c r="Z106" s="499" t="str">
        <f>IF(Y106="","",IF(VLOOKUP(Y106,'G-3 Multipliers'!$S$3:$T$9,2,FALSE)=0,"Spatial Data Missing ⚠",VLOOKUP(Y106,'G-3 Multipliers'!$S$3:$T$9,2,FALSE)))</f>
        <v/>
      </c>
      <c r="AA106" s="545" t="str">
        <f t="shared" si="8"/>
        <v/>
      </c>
      <c r="AB106" s="149"/>
      <c r="AC106" s="150"/>
    </row>
    <row r="107" spans="1:29" ht="13.8" x14ac:dyDescent="0.25">
      <c r="A107" s="31" t="str">
        <f>IFERROR(INDEX('G-8 Condition Look up'!$I$4:$I$130,MATCH(F107,'G-8 Condition Look up'!$A$4:$A$130,0)),"")</f>
        <v/>
      </c>
      <c r="C107" s="244" t="str">
        <f>IFERROR(INDEX('G-1 All Habitats'!$AG$3:$AG$15,MATCH(D107,'G-1 All Habitats'!$AF$3:$AF$15,0)),"")</f>
        <v/>
      </c>
      <c r="D107" s="154"/>
      <c r="E107" s="203"/>
      <c r="F107" s="243" t="str">
        <f>IFERROR(INDEX('G-1 All Habitats'!$B$3:$B$129,MATCH(E107,'G-1 All Habitats'!$A$3:$A$129,0)),"")</f>
        <v/>
      </c>
      <c r="G107" s="386"/>
      <c r="H107" s="537" t="str">
        <f>IF(F107="","",VLOOKUP(F107,'G-1 All Habitats'!$B$2:$M$129,10,FALSE))</f>
        <v/>
      </c>
      <c r="I107" s="524" t="str">
        <f>IFERROR(VLOOKUP(H107,'G-1 All Habitats'!$V$3:$W$7,2,FALSE),"")</f>
        <v/>
      </c>
      <c r="J107" s="199"/>
      <c r="K107" s="524" t="str">
        <f>IFERROR(INDEX('G-8 Condition Look up'!$A$3:$H$130,MATCH(F107,'G-8 Condition Look up'!$A$3:$A$130,0),MATCH(J107,'G-8 Condition Look up'!$A$3:$H$3,0)),"")</f>
        <v/>
      </c>
      <c r="L107" s="145"/>
      <c r="M107" s="540" t="str">
        <f>IF(L107="","",IF(VLOOKUP(L107,'G-3 Multipliers'!$L$3:$N$6,2,FALSE)=0,"Spatial Data Missing ⚠",VLOOKUP(L107,'G-3 Multipliers'!$L$3:$N$6,2,FALSE)))</f>
        <v/>
      </c>
      <c r="N107" s="499" t="str">
        <f>IF(L107="","",IF(VLOOKUP(L107,'G-3 Multipliers'!$L$3:$N$6,3,FALSE)=0,"Spatial Data Missing ⚠",VLOOKUP(L107,'G-3 Multipliers'!$L$3:$N$6,3,FALSE)))</f>
        <v/>
      </c>
      <c r="O107" s="498" t="str">
        <f t="shared" si="5"/>
        <v/>
      </c>
      <c r="P107" s="195"/>
      <c r="Q107" s="195"/>
      <c r="R107" s="520" t="str">
        <f t="shared" si="6"/>
        <v/>
      </c>
      <c r="S107" s="544" t="str">
        <f t="shared" si="7"/>
        <v/>
      </c>
      <c r="T107" s="525" t="str">
        <f>IFERROR(IF(S107="Check Data ⚠","Check Data ⚠",VLOOKUP(S107,'G-4 Temporal multipliers'!$A$4:$C$37,3,FALSE)),"")</f>
        <v/>
      </c>
      <c r="U107" s="523" t="str">
        <f>IF(F107="","",VLOOKUP(F107,'G-3 Multipliers'!$A$2:$E$129,2,FALSE))</f>
        <v/>
      </c>
      <c r="V107" s="520" t="str">
        <f t="shared" si="9"/>
        <v/>
      </c>
      <c r="W107" s="520" t="str">
        <f>IF(E107="","",IF(AND(V107="Standard difficulty applied",O107&gt;P107),U107,IF(AND(V107="Low Difficulty - only applicable if all habitat created before losses ⚠",P107&gt;=O107),"Low",VLOOKUP(F107,'G-3 Multipliers'!$A$2:$E$129,4,FALSE))))</f>
        <v/>
      </c>
      <c r="X107" s="524" t="str">
        <f>IFERROR(IF(E107="","",VLOOKUP(W107, 'G-3 Multipliers'!$P$2:$Q$6,2,FALSE)),"")</f>
        <v/>
      </c>
      <c r="Y107" s="197"/>
      <c r="Z107" s="499" t="str">
        <f>IF(Y107="","",IF(VLOOKUP(Y107,'G-3 Multipliers'!$S$3:$T$9,2,FALSE)=0,"Spatial Data Missing ⚠",VLOOKUP(Y107,'G-3 Multipliers'!$S$3:$T$9,2,FALSE)))</f>
        <v/>
      </c>
      <c r="AA107" s="545" t="str">
        <f t="shared" si="8"/>
        <v/>
      </c>
      <c r="AB107" s="149"/>
      <c r="AC107" s="150"/>
    </row>
    <row r="108" spans="1:29" ht="13.8" x14ac:dyDescent="0.25">
      <c r="A108" s="31" t="str">
        <f>IFERROR(INDEX('G-8 Condition Look up'!$I$4:$I$130,MATCH(F108,'G-8 Condition Look up'!$A$4:$A$130,0)),"")</f>
        <v/>
      </c>
      <c r="C108" s="244" t="str">
        <f>IFERROR(INDEX('G-1 All Habitats'!$AG$3:$AG$15,MATCH(D108,'G-1 All Habitats'!$AF$3:$AF$15,0)),"")</f>
        <v/>
      </c>
      <c r="D108" s="154"/>
      <c r="E108" s="203"/>
      <c r="F108" s="243" t="str">
        <f>IFERROR(INDEX('G-1 All Habitats'!$B$3:$B$129,MATCH(E108,'G-1 All Habitats'!$A$3:$A$129,0)),"")</f>
        <v/>
      </c>
      <c r="G108" s="386"/>
      <c r="H108" s="537" t="str">
        <f>IF(F108="","",VLOOKUP(F108,'G-1 All Habitats'!$B$2:$M$129,10,FALSE))</f>
        <v/>
      </c>
      <c r="I108" s="524" t="str">
        <f>IFERROR(VLOOKUP(H108,'G-1 All Habitats'!$V$3:$W$7,2,FALSE),"")</f>
        <v/>
      </c>
      <c r="J108" s="199"/>
      <c r="K108" s="524" t="str">
        <f>IFERROR(INDEX('G-8 Condition Look up'!$A$3:$H$130,MATCH(F108,'G-8 Condition Look up'!$A$3:$A$130,0),MATCH(J108,'G-8 Condition Look up'!$A$3:$H$3,0)),"")</f>
        <v/>
      </c>
      <c r="L108" s="145"/>
      <c r="M108" s="540" t="str">
        <f>IF(L108="","",IF(VLOOKUP(L108,'G-3 Multipliers'!$L$3:$N$6,2,FALSE)=0,"Spatial Data Missing ⚠",VLOOKUP(L108,'G-3 Multipliers'!$L$3:$N$6,2,FALSE)))</f>
        <v/>
      </c>
      <c r="N108" s="499" t="str">
        <f>IF(L108="","",IF(VLOOKUP(L108,'G-3 Multipliers'!$L$3:$N$6,3,FALSE)=0,"Spatial Data Missing ⚠",VLOOKUP(L108,'G-3 Multipliers'!$L$3:$N$6,3,FALSE)))</f>
        <v/>
      </c>
      <c r="O108" s="498" t="str">
        <f t="shared" si="5"/>
        <v/>
      </c>
      <c r="P108" s="195"/>
      <c r="Q108" s="195"/>
      <c r="R108" s="520" t="str">
        <f t="shared" si="6"/>
        <v/>
      </c>
      <c r="S108" s="544" t="str">
        <f t="shared" si="7"/>
        <v/>
      </c>
      <c r="T108" s="525" t="str">
        <f>IFERROR(IF(S108="Check Data ⚠","Check Data ⚠",VLOOKUP(S108,'G-4 Temporal multipliers'!$A$4:$C$37,3,FALSE)),"")</f>
        <v/>
      </c>
      <c r="U108" s="523" t="str">
        <f>IF(F108="","",VLOOKUP(F108,'G-3 Multipliers'!$A$2:$E$129,2,FALSE))</f>
        <v/>
      </c>
      <c r="V108" s="520" t="str">
        <f t="shared" si="9"/>
        <v/>
      </c>
      <c r="W108" s="520" t="str">
        <f>IF(E108="","",IF(AND(V108="Standard difficulty applied",O108&gt;P108),U108,IF(AND(V108="Low Difficulty - only applicable if all habitat created before losses ⚠",P108&gt;=O108),"Low",VLOOKUP(F108,'G-3 Multipliers'!$A$2:$E$129,4,FALSE))))</f>
        <v/>
      </c>
      <c r="X108" s="524" t="str">
        <f>IFERROR(IF(E108="","",VLOOKUP(W108, 'G-3 Multipliers'!$P$2:$Q$6,2,FALSE)),"")</f>
        <v/>
      </c>
      <c r="Y108" s="197"/>
      <c r="Z108" s="499" t="str">
        <f>IF(Y108="","",IF(VLOOKUP(Y108,'G-3 Multipliers'!$S$3:$T$9,2,FALSE)=0,"Spatial Data Missing ⚠",VLOOKUP(Y108,'G-3 Multipliers'!$S$3:$T$9,2,FALSE)))</f>
        <v/>
      </c>
      <c r="AA108" s="545" t="str">
        <f t="shared" si="8"/>
        <v/>
      </c>
      <c r="AB108" s="149"/>
      <c r="AC108" s="150"/>
    </row>
    <row r="109" spans="1:29" ht="13.8" x14ac:dyDescent="0.25">
      <c r="A109" s="31" t="str">
        <f>IFERROR(INDEX('G-8 Condition Look up'!$I$4:$I$130,MATCH(F109,'G-8 Condition Look up'!$A$4:$A$130,0)),"")</f>
        <v/>
      </c>
      <c r="C109" s="244" t="str">
        <f>IFERROR(INDEX('G-1 All Habitats'!$AG$3:$AG$15,MATCH(D109,'G-1 All Habitats'!$AF$3:$AF$15,0)),"")</f>
        <v/>
      </c>
      <c r="D109" s="154"/>
      <c r="E109" s="203"/>
      <c r="F109" s="243" t="str">
        <f>IFERROR(INDEX('G-1 All Habitats'!$B$3:$B$129,MATCH(E109,'G-1 All Habitats'!$A$3:$A$129,0)),"")</f>
        <v/>
      </c>
      <c r="G109" s="386"/>
      <c r="H109" s="537" t="str">
        <f>IF(F109="","",VLOOKUP(F109,'G-1 All Habitats'!$B$2:$M$129,10,FALSE))</f>
        <v/>
      </c>
      <c r="I109" s="524" t="str">
        <f>IFERROR(VLOOKUP(H109,'G-1 All Habitats'!$V$3:$W$7,2,FALSE),"")</f>
        <v/>
      </c>
      <c r="J109" s="199"/>
      <c r="K109" s="524" t="str">
        <f>IFERROR(INDEX('G-8 Condition Look up'!$A$3:$H$130,MATCH(F109,'G-8 Condition Look up'!$A$3:$A$130,0),MATCH(J109,'G-8 Condition Look up'!$A$3:$H$3,0)),"")</f>
        <v/>
      </c>
      <c r="L109" s="145"/>
      <c r="M109" s="540" t="str">
        <f>IF(L109="","",IF(VLOOKUP(L109,'G-3 Multipliers'!$L$3:$N$6,2,FALSE)=0,"Spatial Data Missing ⚠",VLOOKUP(L109,'G-3 Multipliers'!$L$3:$N$6,2,FALSE)))</f>
        <v/>
      </c>
      <c r="N109" s="499" t="str">
        <f>IF(L109="","",IF(VLOOKUP(L109,'G-3 Multipliers'!$L$3:$N$6,3,FALSE)=0,"Spatial Data Missing ⚠",VLOOKUP(L109,'G-3 Multipliers'!$L$3:$N$6,3,FALSE)))</f>
        <v/>
      </c>
      <c r="O109" s="498" t="str">
        <f t="shared" si="5"/>
        <v/>
      </c>
      <c r="P109" s="195"/>
      <c r="Q109" s="195"/>
      <c r="R109" s="520" t="str">
        <f t="shared" si="6"/>
        <v/>
      </c>
      <c r="S109" s="544" t="str">
        <f t="shared" si="7"/>
        <v/>
      </c>
      <c r="T109" s="525" t="str">
        <f>IFERROR(IF(S109="Check Data ⚠","Check Data ⚠",VLOOKUP(S109,'G-4 Temporal multipliers'!$A$4:$C$37,3,FALSE)),"")</f>
        <v/>
      </c>
      <c r="U109" s="523" t="str">
        <f>IF(F109="","",VLOOKUP(F109,'G-3 Multipliers'!$A$2:$E$129,2,FALSE))</f>
        <v/>
      </c>
      <c r="V109" s="520" t="str">
        <f t="shared" si="9"/>
        <v/>
      </c>
      <c r="W109" s="520" t="str">
        <f>IF(E109="","",IF(AND(V109="Standard difficulty applied",O109&gt;P109),U109,IF(AND(V109="Low Difficulty - only applicable if all habitat created before losses ⚠",P109&gt;=O109),"Low",VLOOKUP(F109,'G-3 Multipliers'!$A$2:$E$129,4,FALSE))))</f>
        <v/>
      </c>
      <c r="X109" s="524" t="str">
        <f>IFERROR(IF(E109="","",VLOOKUP(W109, 'G-3 Multipliers'!$P$2:$Q$6,2,FALSE)),"")</f>
        <v/>
      </c>
      <c r="Y109" s="197"/>
      <c r="Z109" s="499" t="str">
        <f>IF(Y109="","",IF(VLOOKUP(Y109,'G-3 Multipliers'!$S$3:$T$9,2,FALSE)=0,"Spatial Data Missing ⚠",VLOOKUP(Y109,'G-3 Multipliers'!$S$3:$T$9,2,FALSE)))</f>
        <v/>
      </c>
      <c r="AA109" s="545" t="str">
        <f t="shared" si="8"/>
        <v/>
      </c>
      <c r="AB109" s="149"/>
      <c r="AC109" s="150"/>
    </row>
    <row r="110" spans="1:29" ht="13.8" x14ac:dyDescent="0.25">
      <c r="A110" s="31" t="str">
        <f>IFERROR(INDEX('G-8 Condition Look up'!$I$4:$I$130,MATCH(F110,'G-8 Condition Look up'!$A$4:$A$130,0)),"")</f>
        <v/>
      </c>
      <c r="C110" s="244" t="str">
        <f>IFERROR(INDEX('G-1 All Habitats'!$AG$3:$AG$15,MATCH(D110,'G-1 All Habitats'!$AF$3:$AF$15,0)),"")</f>
        <v/>
      </c>
      <c r="D110" s="154"/>
      <c r="E110" s="203"/>
      <c r="F110" s="243" t="str">
        <f>IFERROR(INDEX('G-1 All Habitats'!$B$3:$B$129,MATCH(E110,'G-1 All Habitats'!$A$3:$A$129,0)),"")</f>
        <v/>
      </c>
      <c r="G110" s="386"/>
      <c r="H110" s="537" t="str">
        <f>IF(F110="","",VLOOKUP(F110,'G-1 All Habitats'!$B$2:$M$129,10,FALSE))</f>
        <v/>
      </c>
      <c r="I110" s="524" t="str">
        <f>IFERROR(VLOOKUP(H110,'G-1 All Habitats'!$V$3:$W$7,2,FALSE),"")</f>
        <v/>
      </c>
      <c r="J110" s="199"/>
      <c r="K110" s="524" t="str">
        <f>IFERROR(INDEX('G-8 Condition Look up'!$A$3:$H$130,MATCH(F110,'G-8 Condition Look up'!$A$3:$A$130,0),MATCH(J110,'G-8 Condition Look up'!$A$3:$H$3,0)),"")</f>
        <v/>
      </c>
      <c r="L110" s="145"/>
      <c r="M110" s="540" t="str">
        <f>IF(L110="","",IF(VLOOKUP(L110,'G-3 Multipliers'!$L$3:$N$6,2,FALSE)=0,"Spatial Data Missing ⚠",VLOOKUP(L110,'G-3 Multipliers'!$L$3:$N$6,2,FALSE)))</f>
        <v/>
      </c>
      <c r="N110" s="499" t="str">
        <f>IF(L110="","",IF(VLOOKUP(L110,'G-3 Multipliers'!$L$3:$N$6,3,FALSE)=0,"Spatial Data Missing ⚠",VLOOKUP(L110,'G-3 Multipliers'!$L$3:$N$6,3,FALSE)))</f>
        <v/>
      </c>
      <c r="O110" s="498" t="str">
        <f t="shared" si="5"/>
        <v/>
      </c>
      <c r="P110" s="195"/>
      <c r="Q110" s="195"/>
      <c r="R110" s="520" t="str">
        <f t="shared" si="6"/>
        <v/>
      </c>
      <c r="S110" s="544" t="str">
        <f t="shared" si="7"/>
        <v/>
      </c>
      <c r="T110" s="525" t="str">
        <f>IFERROR(IF(S110="Check Data ⚠","Check Data ⚠",VLOOKUP(S110,'G-4 Temporal multipliers'!$A$4:$C$37,3,FALSE)),"")</f>
        <v/>
      </c>
      <c r="U110" s="523" t="str">
        <f>IF(F110="","",VLOOKUP(F110,'G-3 Multipliers'!$A$2:$E$129,2,FALSE))</f>
        <v/>
      </c>
      <c r="V110" s="520" t="str">
        <f t="shared" si="9"/>
        <v/>
      </c>
      <c r="W110" s="520" t="str">
        <f>IF(E110="","",IF(AND(V110="Standard difficulty applied",O110&gt;P110),U110,IF(AND(V110="Low Difficulty - only applicable if all habitat created before losses ⚠",P110&gt;=O110),"Low",VLOOKUP(F110,'G-3 Multipliers'!$A$2:$E$129,4,FALSE))))</f>
        <v/>
      </c>
      <c r="X110" s="524" t="str">
        <f>IFERROR(IF(E110="","",VLOOKUP(W110, 'G-3 Multipliers'!$P$2:$Q$6,2,FALSE)),"")</f>
        <v/>
      </c>
      <c r="Y110" s="197"/>
      <c r="Z110" s="499" t="str">
        <f>IF(Y110="","",IF(VLOOKUP(Y110,'G-3 Multipliers'!$S$3:$T$9,2,FALSE)=0,"Spatial Data Missing ⚠",VLOOKUP(Y110,'G-3 Multipliers'!$S$3:$T$9,2,FALSE)))</f>
        <v/>
      </c>
      <c r="AA110" s="545" t="str">
        <f t="shared" si="8"/>
        <v/>
      </c>
      <c r="AB110" s="149"/>
      <c r="AC110" s="150"/>
    </row>
    <row r="111" spans="1:29" ht="13.8" x14ac:dyDescent="0.25">
      <c r="A111" s="31" t="str">
        <f>IFERROR(INDEX('G-8 Condition Look up'!$I$4:$I$130,MATCH(F111,'G-8 Condition Look up'!$A$4:$A$130,0)),"")</f>
        <v/>
      </c>
      <c r="C111" s="244" t="str">
        <f>IFERROR(INDEX('G-1 All Habitats'!$AG$3:$AG$15,MATCH(D111,'G-1 All Habitats'!$AF$3:$AF$15,0)),"")</f>
        <v/>
      </c>
      <c r="D111" s="154"/>
      <c r="E111" s="203"/>
      <c r="F111" s="243" t="str">
        <f>IFERROR(INDEX('G-1 All Habitats'!$B$3:$B$129,MATCH(E111,'G-1 All Habitats'!$A$3:$A$129,0)),"")</f>
        <v/>
      </c>
      <c r="G111" s="386"/>
      <c r="H111" s="537" t="str">
        <f>IF(F111="","",VLOOKUP(F111,'G-1 All Habitats'!$B$2:$M$129,10,FALSE))</f>
        <v/>
      </c>
      <c r="I111" s="524" t="str">
        <f>IFERROR(VLOOKUP(H111,'G-1 All Habitats'!$V$3:$W$7,2,FALSE),"")</f>
        <v/>
      </c>
      <c r="J111" s="199"/>
      <c r="K111" s="524" t="str">
        <f>IFERROR(INDEX('G-8 Condition Look up'!$A$3:$H$130,MATCH(F111,'G-8 Condition Look up'!$A$3:$A$130,0),MATCH(J111,'G-8 Condition Look up'!$A$3:$H$3,0)),"")</f>
        <v/>
      </c>
      <c r="L111" s="145"/>
      <c r="M111" s="540" t="str">
        <f>IF(L111="","",IF(VLOOKUP(L111,'G-3 Multipliers'!$L$3:$N$6,2,FALSE)=0,"Spatial Data Missing ⚠",VLOOKUP(L111,'G-3 Multipliers'!$L$3:$N$6,2,FALSE)))</f>
        <v/>
      </c>
      <c r="N111" s="499" t="str">
        <f>IF(L111="","",IF(VLOOKUP(L111,'G-3 Multipliers'!$L$3:$N$6,3,FALSE)=0,"Spatial Data Missing ⚠",VLOOKUP(L111,'G-3 Multipliers'!$L$3:$N$6,3,FALSE)))</f>
        <v/>
      </c>
      <c r="O111" s="498" t="str">
        <f t="shared" si="5"/>
        <v/>
      </c>
      <c r="P111" s="195"/>
      <c r="Q111" s="195"/>
      <c r="R111" s="520" t="str">
        <f t="shared" si="6"/>
        <v/>
      </c>
      <c r="S111" s="544" t="str">
        <f t="shared" si="7"/>
        <v/>
      </c>
      <c r="T111" s="525" t="str">
        <f>IFERROR(IF(S111="Check Data ⚠","Check Data ⚠",VLOOKUP(S111,'G-4 Temporal multipliers'!$A$4:$C$37,3,FALSE)),"")</f>
        <v/>
      </c>
      <c r="U111" s="523" t="str">
        <f>IF(F111="","",VLOOKUP(F111,'G-3 Multipliers'!$A$2:$E$129,2,FALSE))</f>
        <v/>
      </c>
      <c r="V111" s="520" t="str">
        <f t="shared" si="9"/>
        <v/>
      </c>
      <c r="W111" s="520" t="str">
        <f>IF(E111="","",IF(AND(V111="Standard difficulty applied",O111&gt;P111),U111,IF(AND(V111="Low Difficulty - only applicable if all habitat created before losses ⚠",P111&gt;=O111),"Low",VLOOKUP(F111,'G-3 Multipliers'!$A$2:$E$129,4,FALSE))))</f>
        <v/>
      </c>
      <c r="X111" s="524" t="str">
        <f>IFERROR(IF(E111="","",VLOOKUP(W111, 'G-3 Multipliers'!$P$2:$Q$6,2,FALSE)),"")</f>
        <v/>
      </c>
      <c r="Y111" s="197"/>
      <c r="Z111" s="499" t="str">
        <f>IF(Y111="","",IF(VLOOKUP(Y111,'G-3 Multipliers'!$S$3:$T$9,2,FALSE)=0,"Spatial Data Missing ⚠",VLOOKUP(Y111,'G-3 Multipliers'!$S$3:$T$9,2,FALSE)))</f>
        <v/>
      </c>
      <c r="AA111" s="545" t="str">
        <f t="shared" si="8"/>
        <v/>
      </c>
      <c r="AB111" s="149"/>
      <c r="AC111" s="150"/>
    </row>
    <row r="112" spans="1:29" ht="13.8" x14ac:dyDescent="0.25">
      <c r="A112" s="31" t="str">
        <f>IFERROR(INDEX('G-8 Condition Look up'!$I$4:$I$130,MATCH(F112,'G-8 Condition Look up'!$A$4:$A$130,0)),"")</f>
        <v/>
      </c>
      <c r="C112" s="244" t="str">
        <f>IFERROR(INDEX('G-1 All Habitats'!$AG$3:$AG$15,MATCH(D112,'G-1 All Habitats'!$AF$3:$AF$15,0)),"")</f>
        <v/>
      </c>
      <c r="D112" s="154"/>
      <c r="E112" s="203"/>
      <c r="F112" s="243" t="str">
        <f>IFERROR(INDEX('G-1 All Habitats'!$B$3:$B$129,MATCH(E112,'G-1 All Habitats'!$A$3:$A$129,0)),"")</f>
        <v/>
      </c>
      <c r="G112" s="386"/>
      <c r="H112" s="537" t="str">
        <f>IF(F112="","",VLOOKUP(F112,'G-1 All Habitats'!$B$2:$M$129,10,FALSE))</f>
        <v/>
      </c>
      <c r="I112" s="524" t="str">
        <f>IFERROR(VLOOKUP(H112,'G-1 All Habitats'!$V$3:$W$7,2,FALSE),"")</f>
        <v/>
      </c>
      <c r="J112" s="199"/>
      <c r="K112" s="524" t="str">
        <f>IFERROR(INDEX('G-8 Condition Look up'!$A$3:$H$130,MATCH(F112,'G-8 Condition Look up'!$A$3:$A$130,0),MATCH(J112,'G-8 Condition Look up'!$A$3:$H$3,0)),"")</f>
        <v/>
      </c>
      <c r="L112" s="145"/>
      <c r="M112" s="540" t="str">
        <f>IF(L112="","",IF(VLOOKUP(L112,'G-3 Multipliers'!$L$3:$N$6,2,FALSE)=0,"Spatial Data Missing ⚠",VLOOKUP(L112,'G-3 Multipliers'!$L$3:$N$6,2,FALSE)))</f>
        <v/>
      </c>
      <c r="N112" s="499" t="str">
        <f>IF(L112="","",IF(VLOOKUP(L112,'G-3 Multipliers'!$L$3:$N$6,3,FALSE)=0,"Spatial Data Missing ⚠",VLOOKUP(L112,'G-3 Multipliers'!$L$3:$N$6,3,FALSE)))</f>
        <v/>
      </c>
      <c r="O112" s="498" t="str">
        <f t="shared" si="5"/>
        <v/>
      </c>
      <c r="P112" s="195"/>
      <c r="Q112" s="195"/>
      <c r="R112" s="520" t="str">
        <f t="shared" si="6"/>
        <v/>
      </c>
      <c r="S112" s="544" t="str">
        <f t="shared" si="7"/>
        <v/>
      </c>
      <c r="T112" s="525" t="str">
        <f>IFERROR(IF(S112="Check Data ⚠","Check Data ⚠",VLOOKUP(S112,'G-4 Temporal multipliers'!$A$4:$C$37,3,FALSE)),"")</f>
        <v/>
      </c>
      <c r="U112" s="523" t="str">
        <f>IF(F112="","",VLOOKUP(F112,'G-3 Multipliers'!$A$2:$E$129,2,FALSE))</f>
        <v/>
      </c>
      <c r="V112" s="520" t="str">
        <f t="shared" si="9"/>
        <v/>
      </c>
      <c r="W112" s="520" t="str">
        <f>IF(E112="","",IF(AND(V112="Standard difficulty applied",O112&gt;P112),U112,IF(AND(V112="Low Difficulty - only applicable if all habitat created before losses ⚠",P112&gt;=O112),"Low",VLOOKUP(F112,'G-3 Multipliers'!$A$2:$E$129,4,FALSE))))</f>
        <v/>
      </c>
      <c r="X112" s="524" t="str">
        <f>IFERROR(IF(E112="","",VLOOKUP(W112, 'G-3 Multipliers'!$P$2:$Q$6,2,FALSE)),"")</f>
        <v/>
      </c>
      <c r="Y112" s="197"/>
      <c r="Z112" s="499" t="str">
        <f>IF(Y112="","",IF(VLOOKUP(Y112,'G-3 Multipliers'!$S$3:$T$9,2,FALSE)=0,"Spatial Data Missing ⚠",VLOOKUP(Y112,'G-3 Multipliers'!$S$3:$T$9,2,FALSE)))</f>
        <v/>
      </c>
      <c r="AA112" s="545" t="str">
        <f t="shared" si="8"/>
        <v/>
      </c>
      <c r="AB112" s="149"/>
      <c r="AC112" s="150"/>
    </row>
    <row r="113" spans="1:29" ht="13.8" x14ac:dyDescent="0.25">
      <c r="A113" s="31" t="str">
        <f>IFERROR(INDEX('G-8 Condition Look up'!$I$4:$I$130,MATCH(F113,'G-8 Condition Look up'!$A$4:$A$130,0)),"")</f>
        <v/>
      </c>
      <c r="C113" s="244" t="str">
        <f>IFERROR(INDEX('G-1 All Habitats'!$AG$3:$AG$15,MATCH(D113,'G-1 All Habitats'!$AF$3:$AF$15,0)),"")</f>
        <v/>
      </c>
      <c r="D113" s="154"/>
      <c r="E113" s="203"/>
      <c r="F113" s="243" t="str">
        <f>IFERROR(INDEX('G-1 All Habitats'!$B$3:$B$129,MATCH(E113,'G-1 All Habitats'!$A$3:$A$129,0)),"")</f>
        <v/>
      </c>
      <c r="G113" s="386"/>
      <c r="H113" s="537" t="str">
        <f>IF(F113="","",VLOOKUP(F113,'G-1 All Habitats'!$B$2:$M$129,10,FALSE))</f>
        <v/>
      </c>
      <c r="I113" s="524" t="str">
        <f>IFERROR(VLOOKUP(H113,'G-1 All Habitats'!$V$3:$W$7,2,FALSE),"")</f>
        <v/>
      </c>
      <c r="J113" s="199"/>
      <c r="K113" s="524" t="str">
        <f>IFERROR(INDEX('G-8 Condition Look up'!$A$3:$H$130,MATCH(F113,'G-8 Condition Look up'!$A$3:$A$130,0),MATCH(J113,'G-8 Condition Look up'!$A$3:$H$3,0)),"")</f>
        <v/>
      </c>
      <c r="L113" s="145"/>
      <c r="M113" s="540" t="str">
        <f>IF(L113="","",IF(VLOOKUP(L113,'G-3 Multipliers'!$L$3:$N$6,2,FALSE)=0,"Spatial Data Missing ⚠",VLOOKUP(L113,'G-3 Multipliers'!$L$3:$N$6,2,FALSE)))</f>
        <v/>
      </c>
      <c r="N113" s="499" t="str">
        <f>IF(L113="","",IF(VLOOKUP(L113,'G-3 Multipliers'!$L$3:$N$6,3,FALSE)=0,"Spatial Data Missing ⚠",VLOOKUP(L113,'G-3 Multipliers'!$L$3:$N$6,3,FALSE)))</f>
        <v/>
      </c>
      <c r="O113" s="498" t="str">
        <f t="shared" si="5"/>
        <v/>
      </c>
      <c r="P113" s="195"/>
      <c r="Q113" s="195"/>
      <c r="R113" s="520" t="str">
        <f t="shared" si="6"/>
        <v/>
      </c>
      <c r="S113" s="544" t="str">
        <f t="shared" si="7"/>
        <v/>
      </c>
      <c r="T113" s="525" t="str">
        <f>IFERROR(IF(S113="Check Data ⚠","Check Data ⚠",VLOOKUP(S113,'G-4 Temporal multipliers'!$A$4:$C$37,3,FALSE)),"")</f>
        <v/>
      </c>
      <c r="U113" s="523" t="str">
        <f>IF(F113="","",VLOOKUP(F113,'G-3 Multipliers'!$A$2:$E$129,2,FALSE))</f>
        <v/>
      </c>
      <c r="V113" s="520" t="str">
        <f t="shared" si="9"/>
        <v/>
      </c>
      <c r="W113" s="520" t="str">
        <f>IF(E113="","",IF(AND(V113="Standard difficulty applied",O113&gt;P113),U113,IF(AND(V113="Low Difficulty - only applicable if all habitat created before losses ⚠",P113&gt;=O113),"Low",VLOOKUP(F113,'G-3 Multipliers'!$A$2:$E$129,4,FALSE))))</f>
        <v/>
      </c>
      <c r="X113" s="524" t="str">
        <f>IFERROR(IF(E113="","",VLOOKUP(W113, 'G-3 Multipliers'!$P$2:$Q$6,2,FALSE)),"")</f>
        <v/>
      </c>
      <c r="Y113" s="197"/>
      <c r="Z113" s="499" t="str">
        <f>IF(Y113="","",IF(VLOOKUP(Y113,'G-3 Multipliers'!$S$3:$T$9,2,FALSE)=0,"Spatial Data Missing ⚠",VLOOKUP(Y113,'G-3 Multipliers'!$S$3:$T$9,2,FALSE)))</f>
        <v/>
      </c>
      <c r="AA113" s="545" t="str">
        <f t="shared" si="8"/>
        <v/>
      </c>
      <c r="AB113" s="149"/>
      <c r="AC113" s="150"/>
    </row>
    <row r="114" spans="1:29" ht="13.8" x14ac:dyDescent="0.25">
      <c r="A114" s="31" t="str">
        <f>IFERROR(INDEX('G-8 Condition Look up'!$I$4:$I$130,MATCH(F114,'G-8 Condition Look up'!$A$4:$A$130,0)),"")</f>
        <v/>
      </c>
      <c r="C114" s="244" t="str">
        <f>IFERROR(INDEX('G-1 All Habitats'!$AG$3:$AG$15,MATCH(D114,'G-1 All Habitats'!$AF$3:$AF$15,0)),"")</f>
        <v/>
      </c>
      <c r="D114" s="154"/>
      <c r="E114" s="203"/>
      <c r="F114" s="243" t="str">
        <f>IFERROR(INDEX('G-1 All Habitats'!$B$3:$B$129,MATCH(E114,'G-1 All Habitats'!$A$3:$A$129,0)),"")</f>
        <v/>
      </c>
      <c r="G114" s="386"/>
      <c r="H114" s="537" t="str">
        <f>IF(F114="","",VLOOKUP(F114,'G-1 All Habitats'!$B$2:$M$129,10,FALSE))</f>
        <v/>
      </c>
      <c r="I114" s="524" t="str">
        <f>IFERROR(VLOOKUP(H114,'G-1 All Habitats'!$V$3:$W$7,2,FALSE),"")</f>
        <v/>
      </c>
      <c r="J114" s="199"/>
      <c r="K114" s="524" t="str">
        <f>IFERROR(INDEX('G-8 Condition Look up'!$A$3:$H$130,MATCH(F114,'G-8 Condition Look up'!$A$3:$A$130,0),MATCH(J114,'G-8 Condition Look up'!$A$3:$H$3,0)),"")</f>
        <v/>
      </c>
      <c r="L114" s="145"/>
      <c r="M114" s="540" t="str">
        <f>IF(L114="","",IF(VLOOKUP(L114,'G-3 Multipliers'!$L$3:$N$6,2,FALSE)=0,"Spatial Data Missing ⚠",VLOOKUP(L114,'G-3 Multipliers'!$L$3:$N$6,2,FALSE)))</f>
        <v/>
      </c>
      <c r="N114" s="499" t="str">
        <f>IF(L114="","",IF(VLOOKUP(L114,'G-3 Multipliers'!$L$3:$N$6,3,FALSE)=0,"Spatial Data Missing ⚠",VLOOKUP(L114,'G-3 Multipliers'!$L$3:$N$6,3,FALSE)))</f>
        <v/>
      </c>
      <c r="O114" s="498" t="str">
        <f t="shared" si="5"/>
        <v/>
      </c>
      <c r="P114" s="195"/>
      <c r="Q114" s="195"/>
      <c r="R114" s="520" t="str">
        <f t="shared" si="6"/>
        <v/>
      </c>
      <c r="S114" s="544" t="str">
        <f t="shared" si="7"/>
        <v/>
      </c>
      <c r="T114" s="525" t="str">
        <f>IFERROR(IF(S114="Check Data ⚠","Check Data ⚠",VLOOKUP(S114,'G-4 Temporal multipliers'!$A$4:$C$37,3,FALSE)),"")</f>
        <v/>
      </c>
      <c r="U114" s="523" t="str">
        <f>IF(F114="","",VLOOKUP(F114,'G-3 Multipliers'!$A$2:$E$129,2,FALSE))</f>
        <v/>
      </c>
      <c r="V114" s="520" t="str">
        <f t="shared" si="9"/>
        <v/>
      </c>
      <c r="W114" s="520" t="str">
        <f>IF(E114="","",IF(AND(V114="Standard difficulty applied",O114&gt;P114),U114,IF(AND(V114="Low Difficulty - only applicable if all habitat created before losses ⚠",P114&gt;=O114),"Low",VLOOKUP(F114,'G-3 Multipliers'!$A$2:$E$129,4,FALSE))))</f>
        <v/>
      </c>
      <c r="X114" s="524" t="str">
        <f>IFERROR(IF(E114="","",VLOOKUP(W114, 'G-3 Multipliers'!$P$2:$Q$6,2,FALSE)),"")</f>
        <v/>
      </c>
      <c r="Y114" s="197"/>
      <c r="Z114" s="499" t="str">
        <f>IF(Y114="","",IF(VLOOKUP(Y114,'G-3 Multipliers'!$S$3:$T$9,2,FALSE)=0,"Spatial Data Missing ⚠",VLOOKUP(Y114,'G-3 Multipliers'!$S$3:$T$9,2,FALSE)))</f>
        <v/>
      </c>
      <c r="AA114" s="545" t="str">
        <f t="shared" si="8"/>
        <v/>
      </c>
      <c r="AB114" s="149"/>
      <c r="AC114" s="150"/>
    </row>
    <row r="115" spans="1:29" ht="13.8" x14ac:dyDescent="0.25">
      <c r="A115" s="31" t="str">
        <f>IFERROR(INDEX('G-8 Condition Look up'!$I$4:$I$130,MATCH(F115,'G-8 Condition Look up'!$A$4:$A$130,0)),"")</f>
        <v/>
      </c>
      <c r="C115" s="244" t="str">
        <f>IFERROR(INDEX('G-1 All Habitats'!$AG$3:$AG$15,MATCH(D115,'G-1 All Habitats'!$AF$3:$AF$15,0)),"")</f>
        <v/>
      </c>
      <c r="D115" s="154"/>
      <c r="E115" s="203"/>
      <c r="F115" s="243" t="str">
        <f>IFERROR(INDEX('G-1 All Habitats'!$B$3:$B$129,MATCH(E115,'G-1 All Habitats'!$A$3:$A$129,0)),"")</f>
        <v/>
      </c>
      <c r="G115" s="386"/>
      <c r="H115" s="537" t="str">
        <f>IF(F115="","",VLOOKUP(F115,'G-1 All Habitats'!$B$2:$M$129,10,FALSE))</f>
        <v/>
      </c>
      <c r="I115" s="524" t="str">
        <f>IFERROR(VLOOKUP(H115,'G-1 All Habitats'!$V$3:$W$7,2,FALSE),"")</f>
        <v/>
      </c>
      <c r="J115" s="199"/>
      <c r="K115" s="524" t="str">
        <f>IFERROR(INDEX('G-8 Condition Look up'!$A$3:$H$130,MATCH(F115,'G-8 Condition Look up'!$A$3:$A$130,0),MATCH(J115,'G-8 Condition Look up'!$A$3:$H$3,0)),"")</f>
        <v/>
      </c>
      <c r="L115" s="145"/>
      <c r="M115" s="540" t="str">
        <f>IF(L115="","",IF(VLOOKUP(L115,'G-3 Multipliers'!$L$3:$N$6,2,FALSE)=0,"Spatial Data Missing ⚠",VLOOKUP(L115,'G-3 Multipliers'!$L$3:$N$6,2,FALSE)))</f>
        <v/>
      </c>
      <c r="N115" s="499" t="str">
        <f>IF(L115="","",IF(VLOOKUP(L115,'G-3 Multipliers'!$L$3:$N$6,3,FALSE)=0,"Spatial Data Missing ⚠",VLOOKUP(L115,'G-3 Multipliers'!$L$3:$N$6,3,FALSE)))</f>
        <v/>
      </c>
      <c r="O115" s="498" t="str">
        <f t="shared" si="5"/>
        <v/>
      </c>
      <c r="P115" s="195"/>
      <c r="Q115" s="195"/>
      <c r="R115" s="520" t="str">
        <f t="shared" si="6"/>
        <v/>
      </c>
      <c r="S115" s="544" t="str">
        <f t="shared" si="7"/>
        <v/>
      </c>
      <c r="T115" s="525" t="str">
        <f>IFERROR(IF(S115="Check Data ⚠","Check Data ⚠",VLOOKUP(S115,'G-4 Temporal multipliers'!$A$4:$C$37,3,FALSE)),"")</f>
        <v/>
      </c>
      <c r="U115" s="523" t="str">
        <f>IF(F115="","",VLOOKUP(F115,'G-3 Multipliers'!$A$2:$E$129,2,FALSE))</f>
        <v/>
      </c>
      <c r="V115" s="520" t="str">
        <f t="shared" si="9"/>
        <v/>
      </c>
      <c r="W115" s="520" t="str">
        <f>IF(E115="","",IF(AND(V115="Standard difficulty applied",O115&gt;P115),U115,IF(AND(V115="Low Difficulty - only applicable if all habitat created before losses ⚠",P115&gt;=O115),"Low",VLOOKUP(F115,'G-3 Multipliers'!$A$2:$E$129,4,FALSE))))</f>
        <v/>
      </c>
      <c r="X115" s="524" t="str">
        <f>IFERROR(IF(E115="","",VLOOKUP(W115, 'G-3 Multipliers'!$P$2:$Q$6,2,FALSE)),"")</f>
        <v/>
      </c>
      <c r="Y115" s="197"/>
      <c r="Z115" s="499" t="str">
        <f>IF(Y115="","",IF(VLOOKUP(Y115,'G-3 Multipliers'!$S$3:$T$9,2,FALSE)=0,"Spatial Data Missing ⚠",VLOOKUP(Y115,'G-3 Multipliers'!$S$3:$T$9,2,FALSE)))</f>
        <v/>
      </c>
      <c r="AA115" s="545" t="str">
        <f t="shared" si="8"/>
        <v/>
      </c>
      <c r="AB115" s="149"/>
      <c r="AC115" s="150"/>
    </row>
    <row r="116" spans="1:29" ht="13.8" x14ac:dyDescent="0.25">
      <c r="A116" s="31" t="str">
        <f>IFERROR(INDEX('G-8 Condition Look up'!$I$4:$I$130,MATCH(F116,'G-8 Condition Look up'!$A$4:$A$130,0)),"")</f>
        <v/>
      </c>
      <c r="C116" s="244" t="str">
        <f>IFERROR(INDEX('G-1 All Habitats'!$AG$3:$AG$15,MATCH(D116,'G-1 All Habitats'!$AF$3:$AF$15,0)),"")</f>
        <v/>
      </c>
      <c r="D116" s="154"/>
      <c r="E116" s="203"/>
      <c r="F116" s="243" t="str">
        <f>IFERROR(INDEX('G-1 All Habitats'!$B$3:$B$129,MATCH(E116,'G-1 All Habitats'!$A$3:$A$129,0)),"")</f>
        <v/>
      </c>
      <c r="G116" s="386"/>
      <c r="H116" s="537" t="str">
        <f>IF(F116="","",VLOOKUP(F116,'G-1 All Habitats'!$B$2:$M$129,10,FALSE))</f>
        <v/>
      </c>
      <c r="I116" s="524" t="str">
        <f>IFERROR(VLOOKUP(H116,'G-1 All Habitats'!$V$3:$W$7,2,FALSE),"")</f>
        <v/>
      </c>
      <c r="J116" s="199"/>
      <c r="K116" s="524" t="str">
        <f>IFERROR(INDEX('G-8 Condition Look up'!$A$3:$H$130,MATCH(F116,'G-8 Condition Look up'!$A$3:$A$130,0),MATCH(J116,'G-8 Condition Look up'!$A$3:$H$3,0)),"")</f>
        <v/>
      </c>
      <c r="L116" s="145"/>
      <c r="M116" s="540" t="str">
        <f>IF(L116="","",IF(VLOOKUP(L116,'G-3 Multipliers'!$L$3:$N$6,2,FALSE)=0,"Spatial Data Missing ⚠",VLOOKUP(L116,'G-3 Multipliers'!$L$3:$N$6,2,FALSE)))</f>
        <v/>
      </c>
      <c r="N116" s="499" t="str">
        <f>IF(L116="","",IF(VLOOKUP(L116,'G-3 Multipliers'!$L$3:$N$6,3,FALSE)=0,"Spatial Data Missing ⚠",VLOOKUP(L116,'G-3 Multipliers'!$L$3:$N$6,3,FALSE)))</f>
        <v/>
      </c>
      <c r="O116" s="498" t="str">
        <f t="shared" si="5"/>
        <v/>
      </c>
      <c r="P116" s="195"/>
      <c r="Q116" s="195"/>
      <c r="R116" s="520" t="str">
        <f t="shared" si="6"/>
        <v/>
      </c>
      <c r="S116" s="544" t="str">
        <f t="shared" si="7"/>
        <v/>
      </c>
      <c r="T116" s="525" t="str">
        <f>IFERROR(IF(S116="Check Data ⚠","Check Data ⚠",VLOOKUP(S116,'G-4 Temporal multipliers'!$A$4:$C$37,3,FALSE)),"")</f>
        <v/>
      </c>
      <c r="U116" s="523" t="str">
        <f>IF(F116="","",VLOOKUP(F116,'G-3 Multipliers'!$A$2:$E$129,2,FALSE))</f>
        <v/>
      </c>
      <c r="V116" s="520" t="str">
        <f t="shared" si="9"/>
        <v/>
      </c>
      <c r="W116" s="520" t="str">
        <f>IF(E116="","",IF(AND(V116="Standard difficulty applied",O116&gt;P116),U116,IF(AND(V116="Low Difficulty - only applicable if all habitat created before losses ⚠",P116&gt;=O116),"Low",VLOOKUP(F116,'G-3 Multipliers'!$A$2:$E$129,4,FALSE))))</f>
        <v/>
      </c>
      <c r="X116" s="524" t="str">
        <f>IFERROR(IF(E116="","",VLOOKUP(W116, 'G-3 Multipliers'!$P$2:$Q$6,2,FALSE)),"")</f>
        <v/>
      </c>
      <c r="Y116" s="197"/>
      <c r="Z116" s="499" t="str">
        <f>IF(Y116="","",IF(VLOOKUP(Y116,'G-3 Multipliers'!$S$3:$T$9,2,FALSE)=0,"Spatial Data Missing ⚠",VLOOKUP(Y116,'G-3 Multipliers'!$S$3:$T$9,2,FALSE)))</f>
        <v/>
      </c>
      <c r="AA116" s="545" t="str">
        <f t="shared" si="8"/>
        <v/>
      </c>
      <c r="AB116" s="149"/>
      <c r="AC116" s="150"/>
    </row>
    <row r="117" spans="1:29" ht="13.8" x14ac:dyDescent="0.25">
      <c r="A117" s="31" t="str">
        <f>IFERROR(INDEX('G-8 Condition Look up'!$I$4:$I$130,MATCH(F117,'G-8 Condition Look up'!$A$4:$A$130,0)),"")</f>
        <v/>
      </c>
      <c r="C117" s="244" t="str">
        <f>IFERROR(INDEX('G-1 All Habitats'!$AG$3:$AG$15,MATCH(D117,'G-1 All Habitats'!$AF$3:$AF$15,0)),"")</f>
        <v/>
      </c>
      <c r="D117" s="154"/>
      <c r="E117" s="203"/>
      <c r="F117" s="243" t="str">
        <f>IFERROR(INDEX('G-1 All Habitats'!$B$3:$B$129,MATCH(E117,'G-1 All Habitats'!$A$3:$A$129,0)),"")</f>
        <v/>
      </c>
      <c r="G117" s="386"/>
      <c r="H117" s="537" t="str">
        <f>IF(F117="","",VLOOKUP(F117,'G-1 All Habitats'!$B$2:$M$129,10,FALSE))</f>
        <v/>
      </c>
      <c r="I117" s="524" t="str">
        <f>IFERROR(VLOOKUP(H117,'G-1 All Habitats'!$V$3:$W$7,2,FALSE),"")</f>
        <v/>
      </c>
      <c r="J117" s="199"/>
      <c r="K117" s="524" t="str">
        <f>IFERROR(INDEX('G-8 Condition Look up'!$A$3:$H$130,MATCH(F117,'G-8 Condition Look up'!$A$3:$A$130,0),MATCH(J117,'G-8 Condition Look up'!$A$3:$H$3,0)),"")</f>
        <v/>
      </c>
      <c r="L117" s="145"/>
      <c r="M117" s="540" t="str">
        <f>IF(L117="","",IF(VLOOKUP(L117,'G-3 Multipliers'!$L$3:$N$6,2,FALSE)=0,"Spatial Data Missing ⚠",VLOOKUP(L117,'G-3 Multipliers'!$L$3:$N$6,2,FALSE)))</f>
        <v/>
      </c>
      <c r="N117" s="499" t="str">
        <f>IF(L117="","",IF(VLOOKUP(L117,'G-3 Multipliers'!$L$3:$N$6,3,FALSE)=0,"Spatial Data Missing ⚠",VLOOKUP(L117,'G-3 Multipliers'!$L$3:$N$6,3,FALSE)))</f>
        <v/>
      </c>
      <c r="O117" s="498" t="str">
        <f t="shared" si="5"/>
        <v/>
      </c>
      <c r="P117" s="195"/>
      <c r="Q117" s="195"/>
      <c r="R117" s="520" t="str">
        <f t="shared" si="6"/>
        <v/>
      </c>
      <c r="S117" s="544" t="str">
        <f t="shared" si="7"/>
        <v/>
      </c>
      <c r="T117" s="525" t="str">
        <f>IFERROR(IF(S117="Check Data ⚠","Check Data ⚠",VLOOKUP(S117,'G-4 Temporal multipliers'!$A$4:$C$37,3,FALSE)),"")</f>
        <v/>
      </c>
      <c r="U117" s="523" t="str">
        <f>IF(F117="","",VLOOKUP(F117,'G-3 Multipliers'!$A$2:$E$129,2,FALSE))</f>
        <v/>
      </c>
      <c r="V117" s="520" t="str">
        <f t="shared" si="9"/>
        <v/>
      </c>
      <c r="W117" s="520" t="str">
        <f>IF(E117="","",IF(AND(V117="Standard difficulty applied",O117&gt;P117),U117,IF(AND(V117="Low Difficulty - only applicable if all habitat created before losses ⚠",P117&gt;=O117),"Low",VLOOKUP(F117,'G-3 Multipliers'!$A$2:$E$129,4,FALSE))))</f>
        <v/>
      </c>
      <c r="X117" s="524" t="str">
        <f>IFERROR(IF(E117="","",VLOOKUP(W117, 'G-3 Multipliers'!$P$2:$Q$6,2,FALSE)),"")</f>
        <v/>
      </c>
      <c r="Y117" s="197"/>
      <c r="Z117" s="499" t="str">
        <f>IF(Y117="","",IF(VLOOKUP(Y117,'G-3 Multipliers'!$S$3:$T$9,2,FALSE)=0,"Spatial Data Missing ⚠",VLOOKUP(Y117,'G-3 Multipliers'!$S$3:$T$9,2,FALSE)))</f>
        <v/>
      </c>
      <c r="AA117" s="545" t="str">
        <f t="shared" si="8"/>
        <v/>
      </c>
      <c r="AB117" s="149"/>
      <c r="AC117" s="150"/>
    </row>
    <row r="118" spans="1:29" ht="13.8" x14ac:dyDescent="0.25">
      <c r="A118" s="31" t="str">
        <f>IFERROR(INDEX('G-8 Condition Look up'!$I$4:$I$130,MATCH(F118,'G-8 Condition Look up'!$A$4:$A$130,0)),"")</f>
        <v/>
      </c>
      <c r="C118" s="244" t="str">
        <f>IFERROR(INDEX('G-1 All Habitats'!$AG$3:$AG$15,MATCH(D118,'G-1 All Habitats'!$AF$3:$AF$15,0)),"")</f>
        <v/>
      </c>
      <c r="D118" s="154"/>
      <c r="E118" s="203"/>
      <c r="F118" s="243" t="str">
        <f>IFERROR(INDEX('G-1 All Habitats'!$B$3:$B$129,MATCH(E118,'G-1 All Habitats'!$A$3:$A$129,0)),"")</f>
        <v/>
      </c>
      <c r="G118" s="386"/>
      <c r="H118" s="537" t="str">
        <f>IF(F118="","",VLOOKUP(F118,'G-1 All Habitats'!$B$2:$M$129,10,FALSE))</f>
        <v/>
      </c>
      <c r="I118" s="524" t="str">
        <f>IFERROR(VLOOKUP(H118,'G-1 All Habitats'!$V$3:$W$7,2,FALSE),"")</f>
        <v/>
      </c>
      <c r="J118" s="199"/>
      <c r="K118" s="524" t="str">
        <f>IFERROR(INDEX('G-8 Condition Look up'!$A$3:$H$130,MATCH(F118,'G-8 Condition Look up'!$A$3:$A$130,0),MATCH(J118,'G-8 Condition Look up'!$A$3:$H$3,0)),"")</f>
        <v/>
      </c>
      <c r="L118" s="145"/>
      <c r="M118" s="540" t="str">
        <f>IF(L118="","",IF(VLOOKUP(L118,'G-3 Multipliers'!$L$3:$N$6,2,FALSE)=0,"Spatial Data Missing ⚠",VLOOKUP(L118,'G-3 Multipliers'!$L$3:$N$6,2,FALSE)))</f>
        <v/>
      </c>
      <c r="N118" s="499" t="str">
        <f>IF(L118="","",IF(VLOOKUP(L118,'G-3 Multipliers'!$L$3:$N$6,3,FALSE)=0,"Spatial Data Missing ⚠",VLOOKUP(L118,'G-3 Multipliers'!$L$3:$N$6,3,FALSE)))</f>
        <v/>
      </c>
      <c r="O118" s="498" t="str">
        <f t="shared" si="5"/>
        <v/>
      </c>
      <c r="P118" s="195"/>
      <c r="Q118" s="195"/>
      <c r="R118" s="520" t="str">
        <f t="shared" si="6"/>
        <v/>
      </c>
      <c r="S118" s="544" t="str">
        <f t="shared" si="7"/>
        <v/>
      </c>
      <c r="T118" s="525" t="str">
        <f>IFERROR(IF(S118="Check Data ⚠","Check Data ⚠",VLOOKUP(S118,'G-4 Temporal multipliers'!$A$4:$C$37,3,FALSE)),"")</f>
        <v/>
      </c>
      <c r="U118" s="523" t="str">
        <f>IF(F118="","",VLOOKUP(F118,'G-3 Multipliers'!$A$2:$E$129,2,FALSE))</f>
        <v/>
      </c>
      <c r="V118" s="520" t="str">
        <f t="shared" si="9"/>
        <v/>
      </c>
      <c r="W118" s="520" t="str">
        <f>IF(E118="","",IF(AND(V118="Standard difficulty applied",O118&gt;P118),U118,IF(AND(V118="Low Difficulty - only applicable if all habitat created before losses ⚠",P118&gt;=O118),"Low",VLOOKUP(F118,'G-3 Multipliers'!$A$2:$E$129,4,FALSE))))</f>
        <v/>
      </c>
      <c r="X118" s="524" t="str">
        <f>IFERROR(IF(E118="","",VLOOKUP(W118, 'G-3 Multipliers'!$P$2:$Q$6,2,FALSE)),"")</f>
        <v/>
      </c>
      <c r="Y118" s="197"/>
      <c r="Z118" s="499" t="str">
        <f>IF(Y118="","",IF(VLOOKUP(Y118,'G-3 Multipliers'!$S$3:$T$9,2,FALSE)=0,"Spatial Data Missing ⚠",VLOOKUP(Y118,'G-3 Multipliers'!$S$3:$T$9,2,FALSE)))</f>
        <v/>
      </c>
      <c r="AA118" s="545" t="str">
        <f t="shared" si="8"/>
        <v/>
      </c>
      <c r="AB118" s="149"/>
      <c r="AC118" s="150"/>
    </row>
    <row r="119" spans="1:29" ht="13.8" x14ac:dyDescent="0.25">
      <c r="A119" s="31" t="str">
        <f>IFERROR(INDEX('G-8 Condition Look up'!$I$4:$I$130,MATCH(F119,'G-8 Condition Look up'!$A$4:$A$130,0)),"")</f>
        <v/>
      </c>
      <c r="C119" s="244" t="str">
        <f>IFERROR(INDEX('G-1 All Habitats'!$AG$3:$AG$15,MATCH(D119,'G-1 All Habitats'!$AF$3:$AF$15,0)),"")</f>
        <v/>
      </c>
      <c r="D119" s="154"/>
      <c r="E119" s="203"/>
      <c r="F119" s="243" t="str">
        <f>IFERROR(INDEX('G-1 All Habitats'!$B$3:$B$129,MATCH(E119,'G-1 All Habitats'!$A$3:$A$129,0)),"")</f>
        <v/>
      </c>
      <c r="G119" s="386"/>
      <c r="H119" s="537" t="str">
        <f>IF(F119="","",VLOOKUP(F119,'G-1 All Habitats'!$B$2:$M$129,10,FALSE))</f>
        <v/>
      </c>
      <c r="I119" s="524" t="str">
        <f>IFERROR(VLOOKUP(H119,'G-1 All Habitats'!$V$3:$W$7,2,FALSE),"")</f>
        <v/>
      </c>
      <c r="J119" s="199"/>
      <c r="K119" s="524" t="str">
        <f>IFERROR(INDEX('G-8 Condition Look up'!$A$3:$H$130,MATCH(F119,'G-8 Condition Look up'!$A$3:$A$130,0),MATCH(J119,'G-8 Condition Look up'!$A$3:$H$3,0)),"")</f>
        <v/>
      </c>
      <c r="L119" s="145"/>
      <c r="M119" s="540" t="str">
        <f>IF(L119="","",IF(VLOOKUP(L119,'G-3 Multipliers'!$L$3:$N$6,2,FALSE)=0,"Spatial Data Missing ⚠",VLOOKUP(L119,'G-3 Multipliers'!$L$3:$N$6,2,FALSE)))</f>
        <v/>
      </c>
      <c r="N119" s="499" t="str">
        <f>IF(L119="","",IF(VLOOKUP(L119,'G-3 Multipliers'!$L$3:$N$6,3,FALSE)=0,"Spatial Data Missing ⚠",VLOOKUP(L119,'G-3 Multipliers'!$L$3:$N$6,3,FALSE)))</f>
        <v/>
      </c>
      <c r="O119" s="498" t="str">
        <f t="shared" si="5"/>
        <v/>
      </c>
      <c r="P119" s="195"/>
      <c r="Q119" s="195"/>
      <c r="R119" s="520" t="str">
        <f t="shared" si="6"/>
        <v/>
      </c>
      <c r="S119" s="544" t="str">
        <f t="shared" si="7"/>
        <v/>
      </c>
      <c r="T119" s="525" t="str">
        <f>IFERROR(IF(S119="Check Data ⚠","Check Data ⚠",VLOOKUP(S119,'G-4 Temporal multipliers'!$A$4:$C$37,3,FALSE)),"")</f>
        <v/>
      </c>
      <c r="U119" s="523" t="str">
        <f>IF(F119="","",VLOOKUP(F119,'G-3 Multipliers'!$A$2:$E$129,2,FALSE))</f>
        <v/>
      </c>
      <c r="V119" s="520" t="str">
        <f t="shared" si="9"/>
        <v/>
      </c>
      <c r="W119" s="520" t="str">
        <f>IF(E119="","",IF(AND(V119="Standard difficulty applied",O119&gt;P119),U119,IF(AND(V119="Low Difficulty - only applicable if all habitat created before losses ⚠",P119&gt;=O119),"Low",VLOOKUP(F119,'G-3 Multipliers'!$A$2:$E$129,4,FALSE))))</f>
        <v/>
      </c>
      <c r="X119" s="524" t="str">
        <f>IFERROR(IF(E119="","",VLOOKUP(W119, 'G-3 Multipliers'!$P$2:$Q$6,2,FALSE)),"")</f>
        <v/>
      </c>
      <c r="Y119" s="197"/>
      <c r="Z119" s="499" t="str">
        <f>IF(Y119="","",IF(VLOOKUP(Y119,'G-3 Multipliers'!$S$3:$T$9,2,FALSE)=0,"Spatial Data Missing ⚠",VLOOKUP(Y119,'G-3 Multipliers'!$S$3:$T$9,2,FALSE)))</f>
        <v/>
      </c>
      <c r="AA119" s="545" t="str">
        <f t="shared" si="8"/>
        <v/>
      </c>
      <c r="AB119" s="149"/>
      <c r="AC119" s="150"/>
    </row>
    <row r="120" spans="1:29" ht="13.8" x14ac:dyDescent="0.25">
      <c r="A120" s="31" t="str">
        <f>IFERROR(INDEX('G-8 Condition Look up'!$I$4:$I$130,MATCH(F120,'G-8 Condition Look up'!$A$4:$A$130,0)),"")</f>
        <v/>
      </c>
      <c r="C120" s="244" t="str">
        <f>IFERROR(INDEX('G-1 All Habitats'!$AG$3:$AG$15,MATCH(D120,'G-1 All Habitats'!$AF$3:$AF$15,0)),"")</f>
        <v/>
      </c>
      <c r="D120" s="154"/>
      <c r="E120" s="203"/>
      <c r="F120" s="243" t="str">
        <f>IFERROR(INDEX('G-1 All Habitats'!$B$3:$B$129,MATCH(E120,'G-1 All Habitats'!$A$3:$A$129,0)),"")</f>
        <v/>
      </c>
      <c r="G120" s="386"/>
      <c r="H120" s="537" t="str">
        <f>IF(F120="","",VLOOKUP(F120,'G-1 All Habitats'!$B$2:$M$129,10,FALSE))</f>
        <v/>
      </c>
      <c r="I120" s="524" t="str">
        <f>IFERROR(VLOOKUP(H120,'G-1 All Habitats'!$V$3:$W$7,2,FALSE),"")</f>
        <v/>
      </c>
      <c r="J120" s="199"/>
      <c r="K120" s="524" t="str">
        <f>IFERROR(INDEX('G-8 Condition Look up'!$A$3:$H$130,MATCH(F120,'G-8 Condition Look up'!$A$3:$A$130,0),MATCH(J120,'G-8 Condition Look up'!$A$3:$H$3,0)),"")</f>
        <v/>
      </c>
      <c r="L120" s="145"/>
      <c r="M120" s="540" t="str">
        <f>IF(L120="","",IF(VLOOKUP(L120,'G-3 Multipliers'!$L$3:$N$6,2,FALSE)=0,"Spatial Data Missing ⚠",VLOOKUP(L120,'G-3 Multipliers'!$L$3:$N$6,2,FALSE)))</f>
        <v/>
      </c>
      <c r="N120" s="499" t="str">
        <f>IF(L120="","",IF(VLOOKUP(L120,'G-3 Multipliers'!$L$3:$N$6,3,FALSE)=0,"Spatial Data Missing ⚠",VLOOKUP(L120,'G-3 Multipliers'!$L$3:$N$6,3,FALSE)))</f>
        <v/>
      </c>
      <c r="O120" s="498" t="str">
        <f t="shared" si="5"/>
        <v/>
      </c>
      <c r="P120" s="195"/>
      <c r="Q120" s="195"/>
      <c r="R120" s="520" t="str">
        <f t="shared" si="6"/>
        <v/>
      </c>
      <c r="S120" s="544" t="str">
        <f t="shared" si="7"/>
        <v/>
      </c>
      <c r="T120" s="525" t="str">
        <f>IFERROR(IF(S120="Check Data ⚠","Check Data ⚠",VLOOKUP(S120,'G-4 Temporal multipliers'!$A$4:$C$37,3,FALSE)),"")</f>
        <v/>
      </c>
      <c r="U120" s="523" t="str">
        <f>IF(F120="","",VLOOKUP(F120,'G-3 Multipliers'!$A$2:$E$129,2,FALSE))</f>
        <v/>
      </c>
      <c r="V120" s="520" t="str">
        <f t="shared" si="9"/>
        <v/>
      </c>
      <c r="W120" s="520" t="str">
        <f>IF(E120="","",IF(AND(V120="Standard difficulty applied",O120&gt;P120),U120,IF(AND(V120="Low Difficulty - only applicable if all habitat created before losses ⚠",P120&gt;=O120),"Low",VLOOKUP(F120,'G-3 Multipliers'!$A$2:$E$129,4,FALSE))))</f>
        <v/>
      </c>
      <c r="X120" s="524" t="str">
        <f>IFERROR(IF(E120="","",VLOOKUP(W120, 'G-3 Multipliers'!$P$2:$Q$6,2,FALSE)),"")</f>
        <v/>
      </c>
      <c r="Y120" s="197"/>
      <c r="Z120" s="499" t="str">
        <f>IF(Y120="","",IF(VLOOKUP(Y120,'G-3 Multipliers'!$S$3:$T$9,2,FALSE)=0,"Spatial Data Missing ⚠",VLOOKUP(Y120,'G-3 Multipliers'!$S$3:$T$9,2,FALSE)))</f>
        <v/>
      </c>
      <c r="AA120" s="545" t="str">
        <f t="shared" si="8"/>
        <v/>
      </c>
      <c r="AB120" s="149"/>
      <c r="AC120" s="150"/>
    </row>
    <row r="121" spans="1:29" ht="13.8" x14ac:dyDescent="0.25">
      <c r="A121" s="31" t="str">
        <f>IFERROR(INDEX('G-8 Condition Look up'!$I$4:$I$130,MATCH(F121,'G-8 Condition Look up'!$A$4:$A$130,0)),"")</f>
        <v/>
      </c>
      <c r="C121" s="244" t="str">
        <f>IFERROR(INDEX('G-1 All Habitats'!$AG$3:$AG$15,MATCH(D121,'G-1 All Habitats'!$AF$3:$AF$15,0)),"")</f>
        <v/>
      </c>
      <c r="D121" s="154"/>
      <c r="E121" s="203"/>
      <c r="F121" s="243" t="str">
        <f>IFERROR(INDEX('G-1 All Habitats'!$B$3:$B$129,MATCH(E121,'G-1 All Habitats'!$A$3:$A$129,0)),"")</f>
        <v/>
      </c>
      <c r="G121" s="386"/>
      <c r="H121" s="537" t="str">
        <f>IF(F121="","",VLOOKUP(F121,'G-1 All Habitats'!$B$2:$M$129,10,FALSE))</f>
        <v/>
      </c>
      <c r="I121" s="524" t="str">
        <f>IFERROR(VLOOKUP(H121,'G-1 All Habitats'!$V$3:$W$7,2,FALSE),"")</f>
        <v/>
      </c>
      <c r="J121" s="199"/>
      <c r="K121" s="524" t="str">
        <f>IFERROR(INDEX('G-8 Condition Look up'!$A$3:$H$130,MATCH(F121,'G-8 Condition Look up'!$A$3:$A$130,0),MATCH(J121,'G-8 Condition Look up'!$A$3:$H$3,0)),"")</f>
        <v/>
      </c>
      <c r="L121" s="145"/>
      <c r="M121" s="540" t="str">
        <f>IF(L121="","",IF(VLOOKUP(L121,'G-3 Multipliers'!$L$3:$N$6,2,FALSE)=0,"Spatial Data Missing ⚠",VLOOKUP(L121,'G-3 Multipliers'!$L$3:$N$6,2,FALSE)))</f>
        <v/>
      </c>
      <c r="N121" s="499" t="str">
        <f>IF(L121="","",IF(VLOOKUP(L121,'G-3 Multipliers'!$L$3:$N$6,3,FALSE)=0,"Spatial Data Missing ⚠",VLOOKUP(L121,'G-3 Multipliers'!$L$3:$N$6,3,FALSE)))</f>
        <v/>
      </c>
      <c r="O121" s="498" t="str">
        <f t="shared" si="5"/>
        <v/>
      </c>
      <c r="P121" s="195"/>
      <c r="Q121" s="195"/>
      <c r="R121" s="520" t="str">
        <f t="shared" si="6"/>
        <v/>
      </c>
      <c r="S121" s="544" t="str">
        <f t="shared" si="7"/>
        <v/>
      </c>
      <c r="T121" s="525" t="str">
        <f>IFERROR(IF(S121="Check Data ⚠","Check Data ⚠",VLOOKUP(S121,'G-4 Temporal multipliers'!$A$4:$C$37,3,FALSE)),"")</f>
        <v/>
      </c>
      <c r="U121" s="523" t="str">
        <f>IF(F121="","",VLOOKUP(F121,'G-3 Multipliers'!$A$2:$E$129,2,FALSE))</f>
        <v/>
      </c>
      <c r="V121" s="520" t="str">
        <f t="shared" si="9"/>
        <v/>
      </c>
      <c r="W121" s="520" t="str">
        <f>IF(E121="","",IF(AND(V121="Standard difficulty applied",O121&gt;P121),U121,IF(AND(V121="Low Difficulty - only applicable if all habitat created before losses ⚠",P121&gt;=O121),"Low",VLOOKUP(F121,'G-3 Multipliers'!$A$2:$E$129,4,FALSE))))</f>
        <v/>
      </c>
      <c r="X121" s="524" t="str">
        <f>IFERROR(IF(E121="","",VLOOKUP(W121, 'G-3 Multipliers'!$P$2:$Q$6,2,FALSE)),"")</f>
        <v/>
      </c>
      <c r="Y121" s="197"/>
      <c r="Z121" s="499" t="str">
        <f>IF(Y121="","",IF(VLOOKUP(Y121,'G-3 Multipliers'!$S$3:$T$9,2,FALSE)=0,"Spatial Data Missing ⚠",VLOOKUP(Y121,'G-3 Multipliers'!$S$3:$T$9,2,FALSE)))</f>
        <v/>
      </c>
      <c r="AA121" s="545" t="str">
        <f t="shared" si="8"/>
        <v/>
      </c>
      <c r="AB121" s="149"/>
      <c r="AC121" s="150"/>
    </row>
    <row r="122" spans="1:29" ht="13.8" x14ac:dyDescent="0.25">
      <c r="A122" s="31" t="str">
        <f>IFERROR(INDEX('G-8 Condition Look up'!$I$4:$I$130,MATCH(F122,'G-8 Condition Look up'!$A$4:$A$130,0)),"")</f>
        <v/>
      </c>
      <c r="C122" s="244" t="str">
        <f>IFERROR(INDEX('G-1 All Habitats'!$AG$3:$AG$15,MATCH(D122,'G-1 All Habitats'!$AF$3:$AF$15,0)),"")</f>
        <v/>
      </c>
      <c r="D122" s="154"/>
      <c r="E122" s="203"/>
      <c r="F122" s="243" t="str">
        <f>IFERROR(INDEX('G-1 All Habitats'!$B$3:$B$129,MATCH(E122,'G-1 All Habitats'!$A$3:$A$129,0)),"")</f>
        <v/>
      </c>
      <c r="G122" s="386"/>
      <c r="H122" s="537" t="str">
        <f>IF(F122="","",VLOOKUP(F122,'G-1 All Habitats'!$B$2:$M$129,10,FALSE))</f>
        <v/>
      </c>
      <c r="I122" s="524" t="str">
        <f>IFERROR(VLOOKUP(H122,'G-1 All Habitats'!$V$3:$W$7,2,FALSE),"")</f>
        <v/>
      </c>
      <c r="J122" s="199"/>
      <c r="K122" s="524" t="str">
        <f>IFERROR(INDEX('G-8 Condition Look up'!$A$3:$H$130,MATCH(F122,'G-8 Condition Look up'!$A$3:$A$130,0),MATCH(J122,'G-8 Condition Look up'!$A$3:$H$3,0)),"")</f>
        <v/>
      </c>
      <c r="L122" s="145"/>
      <c r="M122" s="540" t="str">
        <f>IF(L122="","",IF(VLOOKUP(L122,'G-3 Multipliers'!$L$3:$N$6,2,FALSE)=0,"Spatial Data Missing ⚠",VLOOKUP(L122,'G-3 Multipliers'!$L$3:$N$6,2,FALSE)))</f>
        <v/>
      </c>
      <c r="N122" s="499" t="str">
        <f>IF(L122="","",IF(VLOOKUP(L122,'G-3 Multipliers'!$L$3:$N$6,3,FALSE)=0,"Spatial Data Missing ⚠",VLOOKUP(L122,'G-3 Multipliers'!$L$3:$N$6,3,FALSE)))</f>
        <v/>
      </c>
      <c r="O122" s="498" t="str">
        <f t="shared" si="5"/>
        <v/>
      </c>
      <c r="P122" s="195"/>
      <c r="Q122" s="195"/>
      <c r="R122" s="520" t="str">
        <f t="shared" si="6"/>
        <v/>
      </c>
      <c r="S122" s="544" t="str">
        <f t="shared" si="7"/>
        <v/>
      </c>
      <c r="T122" s="525" t="str">
        <f>IFERROR(IF(S122="Check Data ⚠","Check Data ⚠",VLOOKUP(S122,'G-4 Temporal multipliers'!$A$4:$C$37,3,FALSE)),"")</f>
        <v/>
      </c>
      <c r="U122" s="523" t="str">
        <f>IF(F122="","",VLOOKUP(F122,'G-3 Multipliers'!$A$2:$E$129,2,FALSE))</f>
        <v/>
      </c>
      <c r="V122" s="520" t="str">
        <f t="shared" si="9"/>
        <v/>
      </c>
      <c r="W122" s="520" t="str">
        <f>IF(E122="","",IF(AND(V122="Standard difficulty applied",O122&gt;P122),U122,IF(AND(V122="Low Difficulty - only applicable if all habitat created before losses ⚠",P122&gt;=O122),"Low",VLOOKUP(F122,'G-3 Multipliers'!$A$2:$E$129,4,FALSE))))</f>
        <v/>
      </c>
      <c r="X122" s="524" t="str">
        <f>IFERROR(IF(E122="","",VLOOKUP(W122, 'G-3 Multipliers'!$P$2:$Q$6,2,FALSE)),"")</f>
        <v/>
      </c>
      <c r="Y122" s="197"/>
      <c r="Z122" s="499" t="str">
        <f>IF(Y122="","",IF(VLOOKUP(Y122,'G-3 Multipliers'!$S$3:$T$9,2,FALSE)=0,"Spatial Data Missing ⚠",VLOOKUP(Y122,'G-3 Multipliers'!$S$3:$T$9,2,FALSE)))</f>
        <v/>
      </c>
      <c r="AA122" s="545" t="str">
        <f t="shared" si="8"/>
        <v/>
      </c>
      <c r="AB122" s="149"/>
      <c r="AC122" s="150"/>
    </row>
    <row r="123" spans="1:29" ht="13.8" x14ac:dyDescent="0.25">
      <c r="A123" s="31" t="str">
        <f>IFERROR(INDEX('G-8 Condition Look up'!$I$4:$I$130,MATCH(F123,'G-8 Condition Look up'!$A$4:$A$130,0)),"")</f>
        <v/>
      </c>
      <c r="C123" s="244" t="str">
        <f>IFERROR(INDEX('G-1 All Habitats'!$AG$3:$AG$15,MATCH(D123,'G-1 All Habitats'!$AF$3:$AF$15,0)),"")</f>
        <v/>
      </c>
      <c r="D123" s="154"/>
      <c r="E123" s="203"/>
      <c r="F123" s="243" t="str">
        <f>IFERROR(INDEX('G-1 All Habitats'!$B$3:$B$129,MATCH(E123,'G-1 All Habitats'!$A$3:$A$129,0)),"")</f>
        <v/>
      </c>
      <c r="G123" s="386"/>
      <c r="H123" s="537" t="str">
        <f>IF(F123="","",VLOOKUP(F123,'G-1 All Habitats'!$B$2:$M$129,10,FALSE))</f>
        <v/>
      </c>
      <c r="I123" s="524" t="str">
        <f>IFERROR(VLOOKUP(H123,'G-1 All Habitats'!$V$3:$W$7,2,FALSE),"")</f>
        <v/>
      </c>
      <c r="J123" s="199"/>
      <c r="K123" s="524" t="str">
        <f>IFERROR(INDEX('G-8 Condition Look up'!$A$3:$H$130,MATCH(F123,'G-8 Condition Look up'!$A$3:$A$130,0),MATCH(J123,'G-8 Condition Look up'!$A$3:$H$3,0)),"")</f>
        <v/>
      </c>
      <c r="L123" s="145"/>
      <c r="M123" s="540" t="str">
        <f>IF(L123="","",IF(VLOOKUP(L123,'G-3 Multipliers'!$L$3:$N$6,2,FALSE)=0,"Spatial Data Missing ⚠",VLOOKUP(L123,'G-3 Multipliers'!$L$3:$N$6,2,FALSE)))</f>
        <v/>
      </c>
      <c r="N123" s="499" t="str">
        <f>IF(L123="","",IF(VLOOKUP(L123,'G-3 Multipliers'!$L$3:$N$6,3,FALSE)=0,"Spatial Data Missing ⚠",VLOOKUP(L123,'G-3 Multipliers'!$L$3:$N$6,3,FALSE)))</f>
        <v/>
      </c>
      <c r="O123" s="498" t="str">
        <f t="shared" si="5"/>
        <v/>
      </c>
      <c r="P123" s="195"/>
      <c r="Q123" s="195"/>
      <c r="R123" s="520" t="str">
        <f t="shared" si="6"/>
        <v/>
      </c>
      <c r="S123" s="544" t="str">
        <f t="shared" si="7"/>
        <v/>
      </c>
      <c r="T123" s="525" t="str">
        <f>IFERROR(IF(S123="Check Data ⚠","Check Data ⚠",VLOOKUP(S123,'G-4 Temporal multipliers'!$A$4:$C$37,3,FALSE)),"")</f>
        <v/>
      </c>
      <c r="U123" s="523" t="str">
        <f>IF(F123="","",VLOOKUP(F123,'G-3 Multipliers'!$A$2:$E$129,2,FALSE))</f>
        <v/>
      </c>
      <c r="V123" s="520" t="str">
        <f t="shared" si="9"/>
        <v/>
      </c>
      <c r="W123" s="520" t="str">
        <f>IF(E123="","",IF(AND(V123="Standard difficulty applied",O123&gt;P123),U123,IF(AND(V123="Low Difficulty - only applicable if all habitat created before losses ⚠",P123&gt;=O123),"Low",VLOOKUP(F123,'G-3 Multipliers'!$A$2:$E$129,4,FALSE))))</f>
        <v/>
      </c>
      <c r="X123" s="524" t="str">
        <f>IFERROR(IF(E123="","",VLOOKUP(W123, 'G-3 Multipliers'!$P$2:$Q$6,2,FALSE)),"")</f>
        <v/>
      </c>
      <c r="Y123" s="197"/>
      <c r="Z123" s="499" t="str">
        <f>IF(Y123="","",IF(VLOOKUP(Y123,'G-3 Multipliers'!$S$3:$T$9,2,FALSE)=0,"Spatial Data Missing ⚠",VLOOKUP(Y123,'G-3 Multipliers'!$S$3:$T$9,2,FALSE)))</f>
        <v/>
      </c>
      <c r="AA123" s="545" t="str">
        <f t="shared" si="8"/>
        <v/>
      </c>
      <c r="AB123" s="149"/>
      <c r="AC123" s="150"/>
    </row>
    <row r="124" spans="1:29" ht="13.8" x14ac:dyDescent="0.25">
      <c r="A124" s="31" t="str">
        <f>IFERROR(INDEX('G-8 Condition Look up'!$I$4:$I$130,MATCH(F124,'G-8 Condition Look up'!$A$4:$A$130,0)),"")</f>
        <v/>
      </c>
      <c r="C124" s="244" t="str">
        <f>IFERROR(INDEX('G-1 All Habitats'!$AG$3:$AG$15,MATCH(D124,'G-1 All Habitats'!$AF$3:$AF$15,0)),"")</f>
        <v/>
      </c>
      <c r="D124" s="154"/>
      <c r="E124" s="203"/>
      <c r="F124" s="243" t="str">
        <f>IFERROR(INDEX('G-1 All Habitats'!$B$3:$B$129,MATCH(E124,'G-1 All Habitats'!$A$3:$A$129,0)),"")</f>
        <v/>
      </c>
      <c r="G124" s="386"/>
      <c r="H124" s="537" t="str">
        <f>IF(F124="","",VLOOKUP(F124,'G-1 All Habitats'!$B$2:$M$129,10,FALSE))</f>
        <v/>
      </c>
      <c r="I124" s="524" t="str">
        <f>IFERROR(VLOOKUP(H124,'G-1 All Habitats'!$V$3:$W$7,2,FALSE),"")</f>
        <v/>
      </c>
      <c r="J124" s="199"/>
      <c r="K124" s="524" t="str">
        <f>IFERROR(INDEX('G-8 Condition Look up'!$A$3:$H$130,MATCH(F124,'G-8 Condition Look up'!$A$3:$A$130,0),MATCH(J124,'G-8 Condition Look up'!$A$3:$H$3,0)),"")</f>
        <v/>
      </c>
      <c r="L124" s="145"/>
      <c r="M124" s="540" t="str">
        <f>IF(L124="","",IF(VLOOKUP(L124,'G-3 Multipliers'!$L$3:$N$6,2,FALSE)=0,"Spatial Data Missing ⚠",VLOOKUP(L124,'G-3 Multipliers'!$L$3:$N$6,2,FALSE)))</f>
        <v/>
      </c>
      <c r="N124" s="499" t="str">
        <f>IF(L124="","",IF(VLOOKUP(L124,'G-3 Multipliers'!$L$3:$N$6,3,FALSE)=0,"Spatial Data Missing ⚠",VLOOKUP(L124,'G-3 Multipliers'!$L$3:$N$6,3,FALSE)))</f>
        <v/>
      </c>
      <c r="O124" s="498" t="str">
        <f t="shared" si="5"/>
        <v/>
      </c>
      <c r="P124" s="195"/>
      <c r="Q124" s="195"/>
      <c r="R124" s="520" t="str">
        <f t="shared" si="6"/>
        <v/>
      </c>
      <c r="S124" s="544" t="str">
        <f t="shared" si="7"/>
        <v/>
      </c>
      <c r="T124" s="525" t="str">
        <f>IFERROR(IF(S124="Check Data ⚠","Check Data ⚠",VLOOKUP(S124,'G-4 Temporal multipliers'!$A$4:$C$37,3,FALSE)),"")</f>
        <v/>
      </c>
      <c r="U124" s="523" t="str">
        <f>IF(F124="","",VLOOKUP(F124,'G-3 Multipliers'!$A$2:$E$129,2,FALSE))</f>
        <v/>
      </c>
      <c r="V124" s="520" t="str">
        <f t="shared" si="9"/>
        <v/>
      </c>
      <c r="W124" s="520" t="str">
        <f>IF(E124="","",IF(AND(V124="Standard difficulty applied",O124&gt;P124),U124,IF(AND(V124="Low Difficulty - only applicable if all habitat created before losses ⚠",P124&gt;=O124),"Low",VLOOKUP(F124,'G-3 Multipliers'!$A$2:$E$129,4,FALSE))))</f>
        <v/>
      </c>
      <c r="X124" s="524" t="str">
        <f>IFERROR(IF(E124="","",VLOOKUP(W124, 'G-3 Multipliers'!$P$2:$Q$6,2,FALSE)),"")</f>
        <v/>
      </c>
      <c r="Y124" s="197"/>
      <c r="Z124" s="499" t="str">
        <f>IF(Y124="","",IF(VLOOKUP(Y124,'G-3 Multipliers'!$S$3:$T$9,2,FALSE)=0,"Spatial Data Missing ⚠",VLOOKUP(Y124,'G-3 Multipliers'!$S$3:$T$9,2,FALSE)))</f>
        <v/>
      </c>
      <c r="AA124" s="545" t="str">
        <f t="shared" si="8"/>
        <v/>
      </c>
      <c r="AB124" s="149"/>
      <c r="AC124" s="150"/>
    </row>
    <row r="125" spans="1:29" ht="13.8" x14ac:dyDescent="0.25">
      <c r="A125" s="31" t="str">
        <f>IFERROR(INDEX('G-8 Condition Look up'!$I$4:$I$130,MATCH(F125,'G-8 Condition Look up'!$A$4:$A$130,0)),"")</f>
        <v/>
      </c>
      <c r="C125" s="244" t="str">
        <f>IFERROR(INDEX('G-1 All Habitats'!$AG$3:$AG$15,MATCH(D125,'G-1 All Habitats'!$AF$3:$AF$15,0)),"")</f>
        <v/>
      </c>
      <c r="D125" s="154"/>
      <c r="E125" s="203"/>
      <c r="F125" s="243" t="str">
        <f>IFERROR(INDEX('G-1 All Habitats'!$B$3:$B$129,MATCH(E125,'G-1 All Habitats'!$A$3:$A$129,0)),"")</f>
        <v/>
      </c>
      <c r="G125" s="386"/>
      <c r="H125" s="537" t="str">
        <f>IF(F125="","",VLOOKUP(F125,'G-1 All Habitats'!$B$2:$M$129,10,FALSE))</f>
        <v/>
      </c>
      <c r="I125" s="524" t="str">
        <f>IFERROR(VLOOKUP(H125,'G-1 All Habitats'!$V$3:$W$7,2,FALSE),"")</f>
        <v/>
      </c>
      <c r="J125" s="199"/>
      <c r="K125" s="524" t="str">
        <f>IFERROR(INDEX('G-8 Condition Look up'!$A$3:$H$130,MATCH(F125,'G-8 Condition Look up'!$A$3:$A$130,0),MATCH(J125,'G-8 Condition Look up'!$A$3:$H$3,0)),"")</f>
        <v/>
      </c>
      <c r="L125" s="145"/>
      <c r="M125" s="540" t="str">
        <f>IF(L125="","",IF(VLOOKUP(L125,'G-3 Multipliers'!$L$3:$N$6,2,FALSE)=0,"Spatial Data Missing ⚠",VLOOKUP(L125,'G-3 Multipliers'!$L$3:$N$6,2,FALSE)))</f>
        <v/>
      </c>
      <c r="N125" s="499" t="str">
        <f>IF(L125="","",IF(VLOOKUP(L125,'G-3 Multipliers'!$L$3:$N$6,3,FALSE)=0,"Spatial Data Missing ⚠",VLOOKUP(L125,'G-3 Multipliers'!$L$3:$N$6,3,FALSE)))</f>
        <v/>
      </c>
      <c r="O125" s="498" t="str">
        <f t="shared" si="5"/>
        <v/>
      </c>
      <c r="P125" s="195"/>
      <c r="Q125" s="195"/>
      <c r="R125" s="520" t="str">
        <f t="shared" si="6"/>
        <v/>
      </c>
      <c r="S125" s="544" t="str">
        <f t="shared" si="7"/>
        <v/>
      </c>
      <c r="T125" s="525" t="str">
        <f>IFERROR(IF(S125="Check Data ⚠","Check Data ⚠",VLOOKUP(S125,'G-4 Temporal multipliers'!$A$4:$C$37,3,FALSE)),"")</f>
        <v/>
      </c>
      <c r="U125" s="523" t="str">
        <f>IF(F125="","",VLOOKUP(F125,'G-3 Multipliers'!$A$2:$E$129,2,FALSE))</f>
        <v/>
      </c>
      <c r="V125" s="520" t="str">
        <f t="shared" si="9"/>
        <v/>
      </c>
      <c r="W125" s="520" t="str">
        <f>IF(E125="","",IF(AND(V125="Standard difficulty applied",O125&gt;P125),U125,IF(AND(V125="Low Difficulty - only applicable if all habitat created before losses ⚠",P125&gt;=O125),"Low",VLOOKUP(F125,'G-3 Multipliers'!$A$2:$E$129,4,FALSE))))</f>
        <v/>
      </c>
      <c r="X125" s="524" t="str">
        <f>IFERROR(IF(E125="","",VLOOKUP(W125, 'G-3 Multipliers'!$P$2:$Q$6,2,FALSE)),"")</f>
        <v/>
      </c>
      <c r="Y125" s="197"/>
      <c r="Z125" s="499" t="str">
        <f>IF(Y125="","",IF(VLOOKUP(Y125,'G-3 Multipliers'!$S$3:$T$9,2,FALSE)=0,"Spatial Data Missing ⚠",VLOOKUP(Y125,'G-3 Multipliers'!$S$3:$T$9,2,FALSE)))</f>
        <v/>
      </c>
      <c r="AA125" s="545" t="str">
        <f t="shared" si="8"/>
        <v/>
      </c>
      <c r="AB125" s="149"/>
      <c r="AC125" s="150"/>
    </row>
    <row r="126" spans="1:29" ht="13.8" x14ac:dyDescent="0.25">
      <c r="A126" s="31" t="str">
        <f>IFERROR(INDEX('G-8 Condition Look up'!$I$4:$I$130,MATCH(F126,'G-8 Condition Look up'!$A$4:$A$130,0)),"")</f>
        <v/>
      </c>
      <c r="C126" s="244" t="str">
        <f>IFERROR(INDEX('G-1 All Habitats'!$AG$3:$AG$15,MATCH(D126,'G-1 All Habitats'!$AF$3:$AF$15,0)),"")</f>
        <v/>
      </c>
      <c r="D126" s="154"/>
      <c r="E126" s="203"/>
      <c r="F126" s="243" t="str">
        <f>IFERROR(INDEX('G-1 All Habitats'!$B$3:$B$129,MATCH(E126,'G-1 All Habitats'!$A$3:$A$129,0)),"")</f>
        <v/>
      </c>
      <c r="G126" s="386"/>
      <c r="H126" s="537" t="str">
        <f>IF(F126="","",VLOOKUP(F126,'G-1 All Habitats'!$B$2:$M$129,10,FALSE))</f>
        <v/>
      </c>
      <c r="I126" s="524" t="str">
        <f>IFERROR(VLOOKUP(H126,'G-1 All Habitats'!$V$3:$W$7,2,FALSE),"")</f>
        <v/>
      </c>
      <c r="J126" s="199"/>
      <c r="K126" s="524" t="str">
        <f>IFERROR(INDEX('G-8 Condition Look up'!$A$3:$H$130,MATCH(F126,'G-8 Condition Look up'!$A$3:$A$130,0),MATCH(J126,'G-8 Condition Look up'!$A$3:$H$3,0)),"")</f>
        <v/>
      </c>
      <c r="L126" s="145"/>
      <c r="M126" s="540" t="str">
        <f>IF(L126="","",IF(VLOOKUP(L126,'G-3 Multipliers'!$L$3:$N$6,2,FALSE)=0,"Spatial Data Missing ⚠",VLOOKUP(L126,'G-3 Multipliers'!$L$3:$N$6,2,FALSE)))</f>
        <v/>
      </c>
      <c r="N126" s="499" t="str">
        <f>IF(L126="","",IF(VLOOKUP(L126,'G-3 Multipliers'!$L$3:$N$6,3,FALSE)=0,"Spatial Data Missing ⚠",VLOOKUP(L126,'G-3 Multipliers'!$L$3:$N$6,3,FALSE)))</f>
        <v/>
      </c>
      <c r="O126" s="498" t="str">
        <f t="shared" si="5"/>
        <v/>
      </c>
      <c r="P126" s="195"/>
      <c r="Q126" s="195"/>
      <c r="R126" s="520" t="str">
        <f t="shared" si="6"/>
        <v/>
      </c>
      <c r="S126" s="544" t="str">
        <f t="shared" si="7"/>
        <v/>
      </c>
      <c r="T126" s="525" t="str">
        <f>IFERROR(IF(S126="Check Data ⚠","Check Data ⚠",VLOOKUP(S126,'G-4 Temporal multipliers'!$A$4:$C$37,3,FALSE)),"")</f>
        <v/>
      </c>
      <c r="U126" s="523" t="str">
        <f>IF(F126="","",VLOOKUP(F126,'G-3 Multipliers'!$A$2:$E$129,2,FALSE))</f>
        <v/>
      </c>
      <c r="V126" s="520" t="str">
        <f t="shared" si="9"/>
        <v/>
      </c>
      <c r="W126" s="520" t="str">
        <f>IF(E126="","",IF(AND(V126="Standard difficulty applied",O126&gt;P126),U126,IF(AND(V126="Low Difficulty - only applicable if all habitat created before losses ⚠",P126&gt;=O126),"Low",VLOOKUP(F126,'G-3 Multipliers'!$A$2:$E$129,4,FALSE))))</f>
        <v/>
      </c>
      <c r="X126" s="524" t="str">
        <f>IFERROR(IF(E126="","",VLOOKUP(W126, 'G-3 Multipliers'!$P$2:$Q$6,2,FALSE)),"")</f>
        <v/>
      </c>
      <c r="Y126" s="197"/>
      <c r="Z126" s="499" t="str">
        <f>IF(Y126="","",IF(VLOOKUP(Y126,'G-3 Multipliers'!$S$3:$T$9,2,FALSE)=0,"Spatial Data Missing ⚠",VLOOKUP(Y126,'G-3 Multipliers'!$S$3:$T$9,2,FALSE)))</f>
        <v/>
      </c>
      <c r="AA126" s="545" t="str">
        <f t="shared" si="8"/>
        <v/>
      </c>
      <c r="AB126" s="149"/>
      <c r="AC126" s="150"/>
    </row>
    <row r="127" spans="1:29" ht="13.8" x14ac:dyDescent="0.25">
      <c r="A127" s="31" t="str">
        <f>IFERROR(INDEX('G-8 Condition Look up'!$I$4:$I$130,MATCH(F127,'G-8 Condition Look up'!$A$4:$A$130,0)),"")</f>
        <v/>
      </c>
      <c r="C127" s="244" t="str">
        <f>IFERROR(INDEX('G-1 All Habitats'!$AG$3:$AG$15,MATCH(D127,'G-1 All Habitats'!$AF$3:$AF$15,0)),"")</f>
        <v/>
      </c>
      <c r="D127" s="154"/>
      <c r="E127" s="203"/>
      <c r="F127" s="243" t="str">
        <f>IFERROR(INDEX('G-1 All Habitats'!$B$3:$B$129,MATCH(E127,'G-1 All Habitats'!$A$3:$A$129,0)),"")</f>
        <v/>
      </c>
      <c r="G127" s="386"/>
      <c r="H127" s="537" t="str">
        <f>IF(F127="","",VLOOKUP(F127,'G-1 All Habitats'!$B$2:$M$129,10,FALSE))</f>
        <v/>
      </c>
      <c r="I127" s="524" t="str">
        <f>IFERROR(VLOOKUP(H127,'G-1 All Habitats'!$V$3:$W$7,2,FALSE),"")</f>
        <v/>
      </c>
      <c r="J127" s="199"/>
      <c r="K127" s="524" t="str">
        <f>IFERROR(INDEX('G-8 Condition Look up'!$A$3:$H$130,MATCH(F127,'G-8 Condition Look up'!$A$3:$A$130,0),MATCH(J127,'G-8 Condition Look up'!$A$3:$H$3,0)),"")</f>
        <v/>
      </c>
      <c r="L127" s="145"/>
      <c r="M127" s="540" t="str">
        <f>IF(L127="","",IF(VLOOKUP(L127,'G-3 Multipliers'!$L$3:$N$6,2,FALSE)=0,"Spatial Data Missing ⚠",VLOOKUP(L127,'G-3 Multipliers'!$L$3:$N$6,2,FALSE)))</f>
        <v/>
      </c>
      <c r="N127" s="499" t="str">
        <f>IF(L127="","",IF(VLOOKUP(L127,'G-3 Multipliers'!$L$3:$N$6,3,FALSE)=0,"Spatial Data Missing ⚠",VLOOKUP(L127,'G-3 Multipliers'!$L$3:$N$6,3,FALSE)))</f>
        <v/>
      </c>
      <c r="O127" s="498" t="str">
        <f t="shared" si="5"/>
        <v/>
      </c>
      <c r="P127" s="195"/>
      <c r="Q127" s="195"/>
      <c r="R127" s="520" t="str">
        <f t="shared" si="6"/>
        <v/>
      </c>
      <c r="S127" s="544" t="str">
        <f t="shared" si="7"/>
        <v/>
      </c>
      <c r="T127" s="525" t="str">
        <f>IFERROR(IF(S127="Check Data ⚠","Check Data ⚠",VLOOKUP(S127,'G-4 Temporal multipliers'!$A$4:$C$37,3,FALSE)),"")</f>
        <v/>
      </c>
      <c r="U127" s="523" t="str">
        <f>IF(F127="","",VLOOKUP(F127,'G-3 Multipliers'!$A$2:$E$129,2,FALSE))</f>
        <v/>
      </c>
      <c r="V127" s="520" t="str">
        <f t="shared" si="9"/>
        <v/>
      </c>
      <c r="W127" s="520" t="str">
        <f>IF(E127="","",IF(AND(V127="Standard difficulty applied",O127&gt;P127),U127,IF(AND(V127="Low Difficulty - only applicable if all habitat created before losses ⚠",P127&gt;=O127),"Low",VLOOKUP(F127,'G-3 Multipliers'!$A$2:$E$129,4,FALSE))))</f>
        <v/>
      </c>
      <c r="X127" s="524" t="str">
        <f>IFERROR(IF(E127="","",VLOOKUP(W127, 'G-3 Multipliers'!$P$2:$Q$6,2,FALSE)),"")</f>
        <v/>
      </c>
      <c r="Y127" s="197"/>
      <c r="Z127" s="499" t="str">
        <f>IF(Y127="","",IF(VLOOKUP(Y127,'G-3 Multipliers'!$S$3:$T$9,2,FALSE)=0,"Spatial Data Missing ⚠",VLOOKUP(Y127,'G-3 Multipliers'!$S$3:$T$9,2,FALSE)))</f>
        <v/>
      </c>
      <c r="AA127" s="545" t="str">
        <f t="shared" si="8"/>
        <v/>
      </c>
      <c r="AB127" s="149"/>
      <c r="AC127" s="150"/>
    </row>
    <row r="128" spans="1:29" ht="13.8" x14ac:dyDescent="0.25">
      <c r="A128" s="31" t="str">
        <f>IFERROR(INDEX('G-8 Condition Look up'!$I$4:$I$130,MATCH(F128,'G-8 Condition Look up'!$A$4:$A$130,0)),"")</f>
        <v/>
      </c>
      <c r="C128" s="244" t="str">
        <f>IFERROR(INDEX('G-1 All Habitats'!$AG$3:$AG$15,MATCH(D128,'G-1 All Habitats'!$AF$3:$AF$15,0)),"")</f>
        <v/>
      </c>
      <c r="D128" s="154"/>
      <c r="E128" s="203"/>
      <c r="F128" s="243" t="str">
        <f>IFERROR(INDEX('G-1 All Habitats'!$B$3:$B$129,MATCH(E128,'G-1 All Habitats'!$A$3:$A$129,0)),"")</f>
        <v/>
      </c>
      <c r="G128" s="386"/>
      <c r="H128" s="537" t="str">
        <f>IF(F128="","",VLOOKUP(F128,'G-1 All Habitats'!$B$2:$M$129,10,FALSE))</f>
        <v/>
      </c>
      <c r="I128" s="524" t="str">
        <f>IFERROR(VLOOKUP(H128,'G-1 All Habitats'!$V$3:$W$7,2,FALSE),"")</f>
        <v/>
      </c>
      <c r="J128" s="199"/>
      <c r="K128" s="524" t="str">
        <f>IFERROR(INDEX('G-8 Condition Look up'!$A$3:$H$130,MATCH(F128,'G-8 Condition Look up'!$A$3:$A$130,0),MATCH(J128,'G-8 Condition Look up'!$A$3:$H$3,0)),"")</f>
        <v/>
      </c>
      <c r="L128" s="145"/>
      <c r="M128" s="540" t="str">
        <f>IF(L128="","",IF(VLOOKUP(L128,'G-3 Multipliers'!$L$3:$N$6,2,FALSE)=0,"Spatial Data Missing ⚠",VLOOKUP(L128,'G-3 Multipliers'!$L$3:$N$6,2,FALSE)))</f>
        <v/>
      </c>
      <c r="N128" s="499" t="str">
        <f>IF(L128="","",IF(VLOOKUP(L128,'G-3 Multipliers'!$L$3:$N$6,3,FALSE)=0,"Spatial Data Missing ⚠",VLOOKUP(L128,'G-3 Multipliers'!$L$3:$N$6,3,FALSE)))</f>
        <v/>
      </c>
      <c r="O128" s="498" t="str">
        <f t="shared" si="5"/>
        <v/>
      </c>
      <c r="P128" s="195"/>
      <c r="Q128" s="195"/>
      <c r="R128" s="520" t="str">
        <f t="shared" si="6"/>
        <v/>
      </c>
      <c r="S128" s="544" t="str">
        <f t="shared" si="7"/>
        <v/>
      </c>
      <c r="T128" s="525" t="str">
        <f>IFERROR(IF(S128="Check Data ⚠","Check Data ⚠",VLOOKUP(S128,'G-4 Temporal multipliers'!$A$4:$C$37,3,FALSE)),"")</f>
        <v/>
      </c>
      <c r="U128" s="523" t="str">
        <f>IF(F128="","",VLOOKUP(F128,'G-3 Multipliers'!$A$2:$E$129,2,FALSE))</f>
        <v/>
      </c>
      <c r="V128" s="520" t="str">
        <f t="shared" si="9"/>
        <v/>
      </c>
      <c r="W128" s="520" t="str">
        <f>IF(E128="","",IF(AND(V128="Standard difficulty applied",O128&gt;P128),U128,IF(AND(V128="Low Difficulty - only applicable if all habitat created before losses ⚠",P128&gt;=O128),"Low",VLOOKUP(F128,'G-3 Multipliers'!$A$2:$E$129,4,FALSE))))</f>
        <v/>
      </c>
      <c r="X128" s="524" t="str">
        <f>IFERROR(IF(E128="","",VLOOKUP(W128, 'G-3 Multipliers'!$P$2:$Q$6,2,FALSE)),"")</f>
        <v/>
      </c>
      <c r="Y128" s="197"/>
      <c r="Z128" s="499" t="str">
        <f>IF(Y128="","",IF(VLOOKUP(Y128,'G-3 Multipliers'!$S$3:$T$9,2,FALSE)=0,"Spatial Data Missing ⚠",VLOOKUP(Y128,'G-3 Multipliers'!$S$3:$T$9,2,FALSE)))</f>
        <v/>
      </c>
      <c r="AA128" s="545" t="str">
        <f t="shared" si="8"/>
        <v/>
      </c>
      <c r="AB128" s="149"/>
      <c r="AC128" s="150"/>
    </row>
    <row r="129" spans="1:29" ht="13.8" x14ac:dyDescent="0.25">
      <c r="A129" s="31" t="str">
        <f>IFERROR(INDEX('G-8 Condition Look up'!$I$4:$I$130,MATCH(F129,'G-8 Condition Look up'!$A$4:$A$130,0)),"")</f>
        <v/>
      </c>
      <c r="C129" s="244" t="str">
        <f>IFERROR(INDEX('G-1 All Habitats'!$AG$3:$AG$15,MATCH(D129,'G-1 All Habitats'!$AF$3:$AF$15,0)),"")</f>
        <v/>
      </c>
      <c r="D129" s="154"/>
      <c r="E129" s="203"/>
      <c r="F129" s="243" t="str">
        <f>IFERROR(INDEX('G-1 All Habitats'!$B$3:$B$129,MATCH(E129,'G-1 All Habitats'!$A$3:$A$129,0)),"")</f>
        <v/>
      </c>
      <c r="G129" s="386"/>
      <c r="H129" s="537" t="str">
        <f>IF(F129="","",VLOOKUP(F129,'G-1 All Habitats'!$B$2:$M$129,10,FALSE))</f>
        <v/>
      </c>
      <c r="I129" s="524" t="str">
        <f>IFERROR(VLOOKUP(H129,'G-1 All Habitats'!$V$3:$W$7,2,FALSE),"")</f>
        <v/>
      </c>
      <c r="J129" s="199"/>
      <c r="K129" s="524" t="str">
        <f>IFERROR(INDEX('G-8 Condition Look up'!$A$3:$H$130,MATCH(F129,'G-8 Condition Look up'!$A$3:$A$130,0),MATCH(J129,'G-8 Condition Look up'!$A$3:$H$3,0)),"")</f>
        <v/>
      </c>
      <c r="L129" s="145"/>
      <c r="M129" s="540" t="str">
        <f>IF(L129="","",IF(VLOOKUP(L129,'G-3 Multipliers'!$L$3:$N$6,2,FALSE)=0,"Spatial Data Missing ⚠",VLOOKUP(L129,'G-3 Multipliers'!$L$3:$N$6,2,FALSE)))</f>
        <v/>
      </c>
      <c r="N129" s="499" t="str">
        <f>IF(L129="","",IF(VLOOKUP(L129,'G-3 Multipliers'!$L$3:$N$6,3,FALSE)=0,"Spatial Data Missing ⚠",VLOOKUP(L129,'G-3 Multipliers'!$L$3:$N$6,3,FALSE)))</f>
        <v/>
      </c>
      <c r="O129" s="498" t="str">
        <f t="shared" si="5"/>
        <v/>
      </c>
      <c r="P129" s="195"/>
      <c r="Q129" s="195"/>
      <c r="R129" s="520" t="str">
        <f t="shared" si="6"/>
        <v/>
      </c>
      <c r="S129" s="544" t="str">
        <f t="shared" si="7"/>
        <v/>
      </c>
      <c r="T129" s="525" t="str">
        <f>IFERROR(IF(S129="Check Data ⚠","Check Data ⚠",VLOOKUP(S129,'G-4 Temporal multipliers'!$A$4:$C$37,3,FALSE)),"")</f>
        <v/>
      </c>
      <c r="U129" s="523" t="str">
        <f>IF(F129="","",VLOOKUP(F129,'G-3 Multipliers'!$A$2:$E$129,2,FALSE))</f>
        <v/>
      </c>
      <c r="V129" s="520" t="str">
        <f t="shared" si="9"/>
        <v/>
      </c>
      <c r="W129" s="520" t="str">
        <f>IF(E129="","",IF(AND(V129="Standard difficulty applied",O129&gt;P129),U129,IF(AND(V129="Low Difficulty - only applicable if all habitat created before losses ⚠",P129&gt;=O129),"Low",VLOOKUP(F129,'G-3 Multipliers'!$A$2:$E$129,4,FALSE))))</f>
        <v/>
      </c>
      <c r="X129" s="524" t="str">
        <f>IFERROR(IF(E129="","",VLOOKUP(W129, 'G-3 Multipliers'!$P$2:$Q$6,2,FALSE)),"")</f>
        <v/>
      </c>
      <c r="Y129" s="197"/>
      <c r="Z129" s="499" t="str">
        <f>IF(Y129="","",IF(VLOOKUP(Y129,'G-3 Multipliers'!$S$3:$T$9,2,FALSE)=0,"Spatial Data Missing ⚠",VLOOKUP(Y129,'G-3 Multipliers'!$S$3:$T$9,2,FALSE)))</f>
        <v/>
      </c>
      <c r="AA129" s="545" t="str">
        <f t="shared" si="8"/>
        <v/>
      </c>
      <c r="AB129" s="149"/>
      <c r="AC129" s="150"/>
    </row>
    <row r="130" spans="1:29" ht="13.8" x14ac:dyDescent="0.25">
      <c r="A130" s="31" t="str">
        <f>IFERROR(INDEX('G-8 Condition Look up'!$I$4:$I$130,MATCH(F130,'G-8 Condition Look up'!$A$4:$A$130,0)),"")</f>
        <v/>
      </c>
      <c r="C130" s="244" t="str">
        <f>IFERROR(INDEX('G-1 All Habitats'!$AG$3:$AG$15,MATCH(D130,'G-1 All Habitats'!$AF$3:$AF$15,0)),"")</f>
        <v/>
      </c>
      <c r="D130" s="154"/>
      <c r="E130" s="203"/>
      <c r="F130" s="243" t="str">
        <f>IFERROR(INDEX('G-1 All Habitats'!$B$3:$B$129,MATCH(E130,'G-1 All Habitats'!$A$3:$A$129,0)),"")</f>
        <v/>
      </c>
      <c r="G130" s="386"/>
      <c r="H130" s="537" t="str">
        <f>IF(F130="","",VLOOKUP(F130,'G-1 All Habitats'!$B$2:$M$129,10,FALSE))</f>
        <v/>
      </c>
      <c r="I130" s="524" t="str">
        <f>IFERROR(VLOOKUP(H130,'G-1 All Habitats'!$V$3:$W$7,2,FALSE),"")</f>
        <v/>
      </c>
      <c r="J130" s="199"/>
      <c r="K130" s="524" t="str">
        <f>IFERROR(INDEX('G-8 Condition Look up'!$A$3:$H$130,MATCH(F130,'G-8 Condition Look up'!$A$3:$A$130,0),MATCH(J130,'G-8 Condition Look up'!$A$3:$H$3,0)),"")</f>
        <v/>
      </c>
      <c r="L130" s="145"/>
      <c r="M130" s="540" t="str">
        <f>IF(L130="","",IF(VLOOKUP(L130,'G-3 Multipliers'!$L$3:$N$6,2,FALSE)=0,"Spatial Data Missing ⚠",VLOOKUP(L130,'G-3 Multipliers'!$L$3:$N$6,2,FALSE)))</f>
        <v/>
      </c>
      <c r="N130" s="499" t="str">
        <f>IF(L130="","",IF(VLOOKUP(L130,'G-3 Multipliers'!$L$3:$N$6,3,FALSE)=0,"Spatial Data Missing ⚠",VLOOKUP(L130,'G-3 Multipliers'!$L$3:$N$6,3,FALSE)))</f>
        <v/>
      </c>
      <c r="O130" s="498" t="str">
        <f t="shared" si="5"/>
        <v/>
      </c>
      <c r="P130" s="195"/>
      <c r="Q130" s="195"/>
      <c r="R130" s="520" t="str">
        <f t="shared" si="6"/>
        <v/>
      </c>
      <c r="S130" s="544" t="str">
        <f t="shared" si="7"/>
        <v/>
      </c>
      <c r="T130" s="525" t="str">
        <f>IFERROR(IF(S130="Check Data ⚠","Check Data ⚠",VLOOKUP(S130,'G-4 Temporal multipliers'!$A$4:$C$37,3,FALSE)),"")</f>
        <v/>
      </c>
      <c r="U130" s="523" t="str">
        <f>IF(F130="","",VLOOKUP(F130,'G-3 Multipliers'!$A$2:$E$129,2,FALSE))</f>
        <v/>
      </c>
      <c r="V130" s="520" t="str">
        <f t="shared" si="9"/>
        <v/>
      </c>
      <c r="W130" s="520" t="str">
        <f>IF(E130="","",IF(AND(V130="Standard difficulty applied",O130&gt;P130),U130,IF(AND(V130="Low Difficulty - only applicable if all habitat created before losses ⚠",P130&gt;=O130),"Low",VLOOKUP(F130,'G-3 Multipliers'!$A$2:$E$129,4,FALSE))))</f>
        <v/>
      </c>
      <c r="X130" s="524" t="str">
        <f>IFERROR(IF(E130="","",VLOOKUP(W130, 'G-3 Multipliers'!$P$2:$Q$6,2,FALSE)),"")</f>
        <v/>
      </c>
      <c r="Y130" s="197"/>
      <c r="Z130" s="499" t="str">
        <f>IF(Y130="","",IF(VLOOKUP(Y130,'G-3 Multipliers'!$S$3:$T$9,2,FALSE)=0,"Spatial Data Missing ⚠",VLOOKUP(Y130,'G-3 Multipliers'!$S$3:$T$9,2,FALSE)))</f>
        <v/>
      </c>
      <c r="AA130" s="545" t="str">
        <f t="shared" si="8"/>
        <v/>
      </c>
      <c r="AB130" s="149"/>
      <c r="AC130" s="150"/>
    </row>
    <row r="131" spans="1:29" ht="13.8" x14ac:dyDescent="0.25">
      <c r="A131" s="31" t="str">
        <f>IFERROR(INDEX('G-8 Condition Look up'!$I$4:$I$130,MATCH(F131,'G-8 Condition Look up'!$A$4:$A$130,0)),"")</f>
        <v/>
      </c>
      <c r="C131" s="244" t="str">
        <f>IFERROR(INDEX('G-1 All Habitats'!$AG$3:$AG$15,MATCH(D131,'G-1 All Habitats'!$AF$3:$AF$15,0)),"")</f>
        <v/>
      </c>
      <c r="D131" s="154"/>
      <c r="E131" s="203"/>
      <c r="F131" s="243" t="str">
        <f>IFERROR(INDEX('G-1 All Habitats'!$B$3:$B$129,MATCH(E131,'G-1 All Habitats'!$A$3:$A$129,0)),"")</f>
        <v/>
      </c>
      <c r="G131" s="386"/>
      <c r="H131" s="537" t="str">
        <f>IF(F131="","",VLOOKUP(F131,'G-1 All Habitats'!$B$2:$M$129,10,FALSE))</f>
        <v/>
      </c>
      <c r="I131" s="524" t="str">
        <f>IFERROR(VLOOKUP(H131,'G-1 All Habitats'!$V$3:$W$7,2,FALSE),"")</f>
        <v/>
      </c>
      <c r="J131" s="199"/>
      <c r="K131" s="524" t="str">
        <f>IFERROR(INDEX('G-8 Condition Look up'!$A$3:$H$130,MATCH(F131,'G-8 Condition Look up'!$A$3:$A$130,0),MATCH(J131,'G-8 Condition Look up'!$A$3:$H$3,0)),"")</f>
        <v/>
      </c>
      <c r="L131" s="145"/>
      <c r="M131" s="540" t="str">
        <f>IF(L131="","",IF(VLOOKUP(L131,'G-3 Multipliers'!$L$3:$N$6,2,FALSE)=0,"Spatial Data Missing ⚠",VLOOKUP(L131,'G-3 Multipliers'!$L$3:$N$6,2,FALSE)))</f>
        <v/>
      </c>
      <c r="N131" s="499" t="str">
        <f>IF(L131="","",IF(VLOOKUP(L131,'G-3 Multipliers'!$L$3:$N$6,3,FALSE)=0,"Spatial Data Missing ⚠",VLOOKUP(L131,'G-3 Multipliers'!$L$3:$N$6,3,FALSE)))</f>
        <v/>
      </c>
      <c r="O131" s="498" t="str">
        <f t="shared" si="5"/>
        <v/>
      </c>
      <c r="P131" s="195"/>
      <c r="Q131" s="195"/>
      <c r="R131" s="520" t="str">
        <f t="shared" si="6"/>
        <v/>
      </c>
      <c r="S131" s="544" t="str">
        <f t="shared" si="7"/>
        <v/>
      </c>
      <c r="T131" s="525" t="str">
        <f>IFERROR(IF(S131="Check Data ⚠","Check Data ⚠",VLOOKUP(S131,'G-4 Temporal multipliers'!$A$4:$C$37,3,FALSE)),"")</f>
        <v/>
      </c>
      <c r="U131" s="523" t="str">
        <f>IF(F131="","",VLOOKUP(F131,'G-3 Multipliers'!$A$2:$E$129,2,FALSE))</f>
        <v/>
      </c>
      <c r="V131" s="520" t="str">
        <f t="shared" si="9"/>
        <v/>
      </c>
      <c r="W131" s="520" t="str">
        <f>IF(E131="","",IF(AND(V131="Standard difficulty applied",O131&gt;P131),U131,IF(AND(V131="Low Difficulty - only applicable if all habitat created before losses ⚠",P131&gt;=O131),"Low",VLOOKUP(F131,'G-3 Multipliers'!$A$2:$E$129,4,FALSE))))</f>
        <v/>
      </c>
      <c r="X131" s="524" t="str">
        <f>IFERROR(IF(E131="","",VLOOKUP(W131, 'G-3 Multipliers'!$P$2:$Q$6,2,FALSE)),"")</f>
        <v/>
      </c>
      <c r="Y131" s="197"/>
      <c r="Z131" s="499" t="str">
        <f>IF(Y131="","",IF(VLOOKUP(Y131,'G-3 Multipliers'!$S$3:$T$9,2,FALSE)=0,"Spatial Data Missing ⚠",VLOOKUP(Y131,'G-3 Multipliers'!$S$3:$T$9,2,FALSE)))</f>
        <v/>
      </c>
      <c r="AA131" s="545" t="str">
        <f t="shared" si="8"/>
        <v/>
      </c>
      <c r="AB131" s="149"/>
      <c r="AC131" s="150"/>
    </row>
    <row r="132" spans="1:29" ht="13.8" x14ac:dyDescent="0.25">
      <c r="A132" s="31" t="str">
        <f>IFERROR(INDEX('G-8 Condition Look up'!$I$4:$I$130,MATCH(F132,'G-8 Condition Look up'!$A$4:$A$130,0)),"")</f>
        <v/>
      </c>
      <c r="C132" s="244" t="str">
        <f>IFERROR(INDEX('G-1 All Habitats'!$AG$3:$AG$15,MATCH(D132,'G-1 All Habitats'!$AF$3:$AF$15,0)),"")</f>
        <v/>
      </c>
      <c r="D132" s="154"/>
      <c r="E132" s="203"/>
      <c r="F132" s="243" t="str">
        <f>IFERROR(INDEX('G-1 All Habitats'!$B$3:$B$129,MATCH(E132,'G-1 All Habitats'!$A$3:$A$129,0)),"")</f>
        <v/>
      </c>
      <c r="G132" s="386"/>
      <c r="H132" s="537" t="str">
        <f>IF(F132="","",VLOOKUP(F132,'G-1 All Habitats'!$B$2:$M$129,10,FALSE))</f>
        <v/>
      </c>
      <c r="I132" s="524" t="str">
        <f>IFERROR(VLOOKUP(H132,'G-1 All Habitats'!$V$3:$W$7,2,FALSE),"")</f>
        <v/>
      </c>
      <c r="J132" s="199"/>
      <c r="K132" s="524" t="str">
        <f>IFERROR(INDEX('G-8 Condition Look up'!$A$3:$H$130,MATCH(F132,'G-8 Condition Look up'!$A$3:$A$130,0),MATCH(J132,'G-8 Condition Look up'!$A$3:$H$3,0)),"")</f>
        <v/>
      </c>
      <c r="L132" s="145"/>
      <c r="M132" s="540" t="str">
        <f>IF(L132="","",IF(VLOOKUP(L132,'G-3 Multipliers'!$L$3:$N$6,2,FALSE)=0,"Spatial Data Missing ⚠",VLOOKUP(L132,'G-3 Multipliers'!$L$3:$N$6,2,FALSE)))</f>
        <v/>
      </c>
      <c r="N132" s="499" t="str">
        <f>IF(L132="","",IF(VLOOKUP(L132,'G-3 Multipliers'!$L$3:$N$6,3,FALSE)=0,"Spatial Data Missing ⚠",VLOOKUP(L132,'G-3 Multipliers'!$L$3:$N$6,3,FALSE)))</f>
        <v/>
      </c>
      <c r="O132" s="498" t="str">
        <f t="shared" si="5"/>
        <v/>
      </c>
      <c r="P132" s="195"/>
      <c r="Q132" s="195"/>
      <c r="R132" s="520" t="str">
        <f t="shared" si="6"/>
        <v/>
      </c>
      <c r="S132" s="544" t="str">
        <f t="shared" si="7"/>
        <v/>
      </c>
      <c r="T132" s="525" t="str">
        <f>IFERROR(IF(S132="Check Data ⚠","Check Data ⚠",VLOOKUP(S132,'G-4 Temporal multipliers'!$A$4:$C$37,3,FALSE)),"")</f>
        <v/>
      </c>
      <c r="U132" s="523" t="str">
        <f>IF(F132="","",VLOOKUP(F132,'G-3 Multipliers'!$A$2:$E$129,2,FALSE))</f>
        <v/>
      </c>
      <c r="V132" s="520" t="str">
        <f t="shared" si="9"/>
        <v/>
      </c>
      <c r="W132" s="520" t="str">
        <f>IF(E132="","",IF(AND(V132="Standard difficulty applied",O132&gt;P132),U132,IF(AND(V132="Low Difficulty - only applicable if all habitat created before losses ⚠",P132&gt;=O132),"Low",VLOOKUP(F132,'G-3 Multipliers'!$A$2:$E$129,4,FALSE))))</f>
        <v/>
      </c>
      <c r="X132" s="524" t="str">
        <f>IFERROR(IF(E132="","",VLOOKUP(W132, 'G-3 Multipliers'!$P$2:$Q$6,2,FALSE)),"")</f>
        <v/>
      </c>
      <c r="Y132" s="197"/>
      <c r="Z132" s="499" t="str">
        <f>IF(Y132="","",IF(VLOOKUP(Y132,'G-3 Multipliers'!$S$3:$T$9,2,FALSE)=0,"Spatial Data Missing ⚠",VLOOKUP(Y132,'G-3 Multipliers'!$S$3:$T$9,2,FALSE)))</f>
        <v/>
      </c>
      <c r="AA132" s="545" t="str">
        <f t="shared" si="8"/>
        <v/>
      </c>
      <c r="AB132" s="149"/>
      <c r="AC132" s="150"/>
    </row>
    <row r="133" spans="1:29" ht="13.8" x14ac:dyDescent="0.25">
      <c r="A133" s="31" t="str">
        <f>IFERROR(INDEX('G-8 Condition Look up'!$I$4:$I$130,MATCH(F133,'G-8 Condition Look up'!$A$4:$A$130,0)),"")</f>
        <v/>
      </c>
      <c r="C133" s="244" t="str">
        <f>IFERROR(INDEX('G-1 All Habitats'!$AG$3:$AG$15,MATCH(D133,'G-1 All Habitats'!$AF$3:$AF$15,0)),"")</f>
        <v/>
      </c>
      <c r="D133" s="154"/>
      <c r="E133" s="203"/>
      <c r="F133" s="243" t="str">
        <f>IFERROR(INDEX('G-1 All Habitats'!$B$3:$B$129,MATCH(E133,'G-1 All Habitats'!$A$3:$A$129,0)),"")</f>
        <v/>
      </c>
      <c r="G133" s="386"/>
      <c r="H133" s="537" t="str">
        <f>IF(F133="","",VLOOKUP(F133,'G-1 All Habitats'!$B$2:$M$129,10,FALSE))</f>
        <v/>
      </c>
      <c r="I133" s="524" t="str">
        <f>IFERROR(VLOOKUP(H133,'G-1 All Habitats'!$V$3:$W$7,2,FALSE),"")</f>
        <v/>
      </c>
      <c r="J133" s="199"/>
      <c r="K133" s="524" t="str">
        <f>IFERROR(INDEX('G-8 Condition Look up'!$A$3:$H$130,MATCH(F133,'G-8 Condition Look up'!$A$3:$A$130,0),MATCH(J133,'G-8 Condition Look up'!$A$3:$H$3,0)),"")</f>
        <v/>
      </c>
      <c r="L133" s="145"/>
      <c r="M133" s="540" t="str">
        <f>IF(L133="","",IF(VLOOKUP(L133,'G-3 Multipliers'!$L$3:$N$6,2,FALSE)=0,"Spatial Data Missing ⚠",VLOOKUP(L133,'G-3 Multipliers'!$L$3:$N$6,2,FALSE)))</f>
        <v/>
      </c>
      <c r="N133" s="499" t="str">
        <f>IF(L133="","",IF(VLOOKUP(L133,'G-3 Multipliers'!$L$3:$N$6,3,FALSE)=0,"Spatial Data Missing ⚠",VLOOKUP(L133,'G-3 Multipliers'!$L$3:$N$6,3,FALSE)))</f>
        <v/>
      </c>
      <c r="O133" s="498" t="str">
        <f t="shared" si="5"/>
        <v/>
      </c>
      <c r="P133" s="195"/>
      <c r="Q133" s="195"/>
      <c r="R133" s="520" t="str">
        <f t="shared" si="6"/>
        <v/>
      </c>
      <c r="S133" s="544" t="str">
        <f t="shared" si="7"/>
        <v/>
      </c>
      <c r="T133" s="525" t="str">
        <f>IFERROR(IF(S133="Check Data ⚠","Check Data ⚠",VLOOKUP(S133,'G-4 Temporal multipliers'!$A$4:$C$37,3,FALSE)),"")</f>
        <v/>
      </c>
      <c r="U133" s="523" t="str">
        <f>IF(F133="","",VLOOKUP(F133,'G-3 Multipliers'!$A$2:$E$129,2,FALSE))</f>
        <v/>
      </c>
      <c r="V133" s="520" t="str">
        <f t="shared" si="9"/>
        <v/>
      </c>
      <c r="W133" s="520" t="str">
        <f>IF(E133="","",IF(AND(V133="Standard difficulty applied",O133&gt;P133),U133,IF(AND(V133="Low Difficulty - only applicable if all habitat created before losses ⚠",P133&gt;=O133),"Low",VLOOKUP(F133,'G-3 Multipliers'!$A$2:$E$129,4,FALSE))))</f>
        <v/>
      </c>
      <c r="X133" s="524" t="str">
        <f>IFERROR(IF(E133="","",VLOOKUP(W133, 'G-3 Multipliers'!$P$2:$Q$6,2,FALSE)),"")</f>
        <v/>
      </c>
      <c r="Y133" s="197"/>
      <c r="Z133" s="499" t="str">
        <f>IF(Y133="","",IF(VLOOKUP(Y133,'G-3 Multipliers'!$S$3:$T$9,2,FALSE)=0,"Spatial Data Missing ⚠",VLOOKUP(Y133,'G-3 Multipliers'!$S$3:$T$9,2,FALSE)))</f>
        <v/>
      </c>
      <c r="AA133" s="545" t="str">
        <f t="shared" si="8"/>
        <v/>
      </c>
      <c r="AB133" s="149"/>
      <c r="AC133" s="150"/>
    </row>
    <row r="134" spans="1:29" ht="13.8" x14ac:dyDescent="0.25">
      <c r="A134" s="31" t="str">
        <f>IFERROR(INDEX('G-8 Condition Look up'!$I$4:$I$130,MATCH(F134,'G-8 Condition Look up'!$A$4:$A$130,0)),"")</f>
        <v/>
      </c>
      <c r="C134" s="244" t="str">
        <f>IFERROR(INDEX('G-1 All Habitats'!$AG$3:$AG$15,MATCH(D134,'G-1 All Habitats'!$AF$3:$AF$15,0)),"")</f>
        <v/>
      </c>
      <c r="D134" s="154"/>
      <c r="E134" s="203"/>
      <c r="F134" s="243" t="str">
        <f>IFERROR(INDEX('G-1 All Habitats'!$B$3:$B$129,MATCH(E134,'G-1 All Habitats'!$A$3:$A$129,0)),"")</f>
        <v/>
      </c>
      <c r="G134" s="386"/>
      <c r="H134" s="537" t="str">
        <f>IF(F134="","",VLOOKUP(F134,'G-1 All Habitats'!$B$2:$M$129,10,FALSE))</f>
        <v/>
      </c>
      <c r="I134" s="524" t="str">
        <f>IFERROR(VLOOKUP(H134,'G-1 All Habitats'!$V$3:$W$7,2,FALSE),"")</f>
        <v/>
      </c>
      <c r="J134" s="199"/>
      <c r="K134" s="524" t="str">
        <f>IFERROR(INDEX('G-8 Condition Look up'!$A$3:$H$130,MATCH(F134,'G-8 Condition Look up'!$A$3:$A$130,0),MATCH(J134,'G-8 Condition Look up'!$A$3:$H$3,0)),"")</f>
        <v/>
      </c>
      <c r="L134" s="145"/>
      <c r="M134" s="540" t="str">
        <f>IF(L134="","",IF(VLOOKUP(L134,'G-3 Multipliers'!$L$3:$N$6,2,FALSE)=0,"Spatial Data Missing ⚠",VLOOKUP(L134,'G-3 Multipliers'!$L$3:$N$6,2,FALSE)))</f>
        <v/>
      </c>
      <c r="N134" s="499" t="str">
        <f>IF(L134="","",IF(VLOOKUP(L134,'G-3 Multipliers'!$L$3:$N$6,3,FALSE)=0,"Spatial Data Missing ⚠",VLOOKUP(L134,'G-3 Multipliers'!$L$3:$N$6,3,FALSE)))</f>
        <v/>
      </c>
      <c r="O134" s="498" t="str">
        <f t="shared" si="5"/>
        <v/>
      </c>
      <c r="P134" s="195"/>
      <c r="Q134" s="195"/>
      <c r="R134" s="520" t="str">
        <f t="shared" si="6"/>
        <v/>
      </c>
      <c r="S134" s="544" t="str">
        <f t="shared" si="7"/>
        <v/>
      </c>
      <c r="T134" s="525" t="str">
        <f>IFERROR(IF(S134="Check Data ⚠","Check Data ⚠",VLOOKUP(S134,'G-4 Temporal multipliers'!$A$4:$C$37,3,FALSE)),"")</f>
        <v/>
      </c>
      <c r="U134" s="523" t="str">
        <f>IF(F134="","",VLOOKUP(F134,'G-3 Multipliers'!$A$2:$E$129,2,FALSE))</f>
        <v/>
      </c>
      <c r="V134" s="520" t="str">
        <f t="shared" si="9"/>
        <v/>
      </c>
      <c r="W134" s="520" t="str">
        <f>IF(E134="","",IF(AND(V134="Standard difficulty applied",O134&gt;P134),U134,IF(AND(V134="Low Difficulty - only applicable if all habitat created before losses ⚠",P134&gt;=O134),"Low",VLOOKUP(F134,'G-3 Multipliers'!$A$2:$E$129,4,FALSE))))</f>
        <v/>
      </c>
      <c r="X134" s="524" t="str">
        <f>IFERROR(IF(E134="","",VLOOKUP(W134, 'G-3 Multipliers'!$P$2:$Q$6,2,FALSE)),"")</f>
        <v/>
      </c>
      <c r="Y134" s="197"/>
      <c r="Z134" s="499" t="str">
        <f>IF(Y134="","",IF(VLOOKUP(Y134,'G-3 Multipliers'!$S$3:$T$9,2,FALSE)=0,"Spatial Data Missing ⚠",VLOOKUP(Y134,'G-3 Multipliers'!$S$3:$T$9,2,FALSE)))</f>
        <v/>
      </c>
      <c r="AA134" s="545" t="str">
        <f t="shared" si="8"/>
        <v/>
      </c>
      <c r="AB134" s="149"/>
      <c r="AC134" s="150"/>
    </row>
    <row r="135" spans="1:29" ht="13.8" x14ac:dyDescent="0.25">
      <c r="A135" s="31" t="str">
        <f>IFERROR(INDEX('G-8 Condition Look up'!$I$4:$I$130,MATCH(F135,'G-8 Condition Look up'!$A$4:$A$130,0)),"")</f>
        <v/>
      </c>
      <c r="C135" s="244" t="str">
        <f>IFERROR(INDEX('G-1 All Habitats'!$AG$3:$AG$15,MATCH(D135,'G-1 All Habitats'!$AF$3:$AF$15,0)),"")</f>
        <v/>
      </c>
      <c r="D135" s="154"/>
      <c r="E135" s="203"/>
      <c r="F135" s="243" t="str">
        <f>IFERROR(INDEX('G-1 All Habitats'!$B$3:$B$129,MATCH(E135,'G-1 All Habitats'!$A$3:$A$129,0)),"")</f>
        <v/>
      </c>
      <c r="G135" s="386"/>
      <c r="H135" s="537" t="str">
        <f>IF(F135="","",VLOOKUP(F135,'G-1 All Habitats'!$B$2:$M$129,10,FALSE))</f>
        <v/>
      </c>
      <c r="I135" s="524" t="str">
        <f>IFERROR(VLOOKUP(H135,'G-1 All Habitats'!$V$3:$W$7,2,FALSE),"")</f>
        <v/>
      </c>
      <c r="J135" s="199"/>
      <c r="K135" s="524" t="str">
        <f>IFERROR(INDEX('G-8 Condition Look up'!$A$3:$H$130,MATCH(F135,'G-8 Condition Look up'!$A$3:$A$130,0),MATCH(J135,'G-8 Condition Look up'!$A$3:$H$3,0)),"")</f>
        <v/>
      </c>
      <c r="L135" s="145"/>
      <c r="M135" s="540" t="str">
        <f>IF(L135="","",IF(VLOOKUP(L135,'G-3 Multipliers'!$L$3:$N$6,2,FALSE)=0,"Spatial Data Missing ⚠",VLOOKUP(L135,'G-3 Multipliers'!$L$3:$N$6,2,FALSE)))</f>
        <v/>
      </c>
      <c r="N135" s="499" t="str">
        <f>IF(L135="","",IF(VLOOKUP(L135,'G-3 Multipliers'!$L$3:$N$6,3,FALSE)=0,"Spatial Data Missing ⚠",VLOOKUP(L135,'G-3 Multipliers'!$L$3:$N$6,3,FALSE)))</f>
        <v/>
      </c>
      <c r="O135" s="498" t="str">
        <f t="shared" si="5"/>
        <v/>
      </c>
      <c r="P135" s="195"/>
      <c r="Q135" s="195"/>
      <c r="R135" s="520" t="str">
        <f t="shared" si="6"/>
        <v/>
      </c>
      <c r="S135" s="544" t="str">
        <f t="shared" si="7"/>
        <v/>
      </c>
      <c r="T135" s="525" t="str">
        <f>IFERROR(IF(S135="Check Data ⚠","Check Data ⚠",VLOOKUP(S135,'G-4 Temporal multipliers'!$A$4:$C$37,3,FALSE)),"")</f>
        <v/>
      </c>
      <c r="U135" s="523" t="str">
        <f>IF(F135="","",VLOOKUP(F135,'G-3 Multipliers'!$A$2:$E$129,2,FALSE))</f>
        <v/>
      </c>
      <c r="V135" s="520" t="str">
        <f t="shared" si="9"/>
        <v/>
      </c>
      <c r="W135" s="520" t="str">
        <f>IF(E135="","",IF(AND(V135="Standard difficulty applied",O135&gt;P135),U135,IF(AND(V135="Low Difficulty - only applicable if all habitat created before losses ⚠",P135&gt;=O135),"Low",VLOOKUP(F135,'G-3 Multipliers'!$A$2:$E$129,4,FALSE))))</f>
        <v/>
      </c>
      <c r="X135" s="524" t="str">
        <f>IFERROR(IF(E135="","",VLOOKUP(W135, 'G-3 Multipliers'!$P$2:$Q$6,2,FALSE)),"")</f>
        <v/>
      </c>
      <c r="Y135" s="197"/>
      <c r="Z135" s="499" t="str">
        <f>IF(Y135="","",IF(VLOOKUP(Y135,'G-3 Multipliers'!$S$3:$T$9,2,FALSE)=0,"Spatial Data Missing ⚠",VLOOKUP(Y135,'G-3 Multipliers'!$S$3:$T$9,2,FALSE)))</f>
        <v/>
      </c>
      <c r="AA135" s="545" t="str">
        <f t="shared" si="8"/>
        <v/>
      </c>
      <c r="AB135" s="149"/>
      <c r="AC135" s="150"/>
    </row>
    <row r="136" spans="1:29" ht="13.8" x14ac:dyDescent="0.25">
      <c r="A136" s="31" t="str">
        <f>IFERROR(INDEX('G-8 Condition Look up'!$I$4:$I$130,MATCH(F136,'G-8 Condition Look up'!$A$4:$A$130,0)),"")</f>
        <v/>
      </c>
      <c r="C136" s="244" t="str">
        <f>IFERROR(INDEX('G-1 All Habitats'!$AG$3:$AG$15,MATCH(D136,'G-1 All Habitats'!$AF$3:$AF$15,0)),"")</f>
        <v/>
      </c>
      <c r="D136" s="154"/>
      <c r="E136" s="203"/>
      <c r="F136" s="243" t="str">
        <f>IFERROR(INDEX('G-1 All Habitats'!$B$3:$B$129,MATCH(E136,'G-1 All Habitats'!$A$3:$A$129,0)),"")</f>
        <v/>
      </c>
      <c r="G136" s="386"/>
      <c r="H136" s="537" t="str">
        <f>IF(F136="","",VLOOKUP(F136,'G-1 All Habitats'!$B$2:$M$129,10,FALSE))</f>
        <v/>
      </c>
      <c r="I136" s="524" t="str">
        <f>IFERROR(VLOOKUP(H136,'G-1 All Habitats'!$V$3:$W$7,2,FALSE),"")</f>
        <v/>
      </c>
      <c r="J136" s="199"/>
      <c r="K136" s="524" t="str">
        <f>IFERROR(INDEX('G-8 Condition Look up'!$A$3:$H$130,MATCH(F136,'G-8 Condition Look up'!$A$3:$A$130,0),MATCH(J136,'G-8 Condition Look up'!$A$3:$H$3,0)),"")</f>
        <v/>
      </c>
      <c r="L136" s="145"/>
      <c r="M136" s="540" t="str">
        <f>IF(L136="","",IF(VLOOKUP(L136,'G-3 Multipliers'!$L$3:$N$6,2,FALSE)=0,"Spatial Data Missing ⚠",VLOOKUP(L136,'G-3 Multipliers'!$L$3:$N$6,2,FALSE)))</f>
        <v/>
      </c>
      <c r="N136" s="499" t="str">
        <f>IF(L136="","",IF(VLOOKUP(L136,'G-3 Multipliers'!$L$3:$N$6,3,FALSE)=0,"Spatial Data Missing ⚠",VLOOKUP(L136,'G-3 Multipliers'!$L$3:$N$6,3,FALSE)))</f>
        <v/>
      </c>
      <c r="O136" s="498" t="str">
        <f t="shared" si="5"/>
        <v/>
      </c>
      <c r="P136" s="195"/>
      <c r="Q136" s="195"/>
      <c r="R136" s="520" t="str">
        <f t="shared" si="6"/>
        <v/>
      </c>
      <c r="S136" s="544" t="str">
        <f t="shared" si="7"/>
        <v/>
      </c>
      <c r="T136" s="525" t="str">
        <f>IFERROR(IF(S136="Check Data ⚠","Check Data ⚠",VLOOKUP(S136,'G-4 Temporal multipliers'!$A$4:$C$37,3,FALSE)),"")</f>
        <v/>
      </c>
      <c r="U136" s="523" t="str">
        <f>IF(F136="","",VLOOKUP(F136,'G-3 Multipliers'!$A$2:$E$129,2,FALSE))</f>
        <v/>
      </c>
      <c r="V136" s="520" t="str">
        <f t="shared" si="9"/>
        <v/>
      </c>
      <c r="W136" s="520" t="str">
        <f>IF(E136="","",IF(AND(V136="Standard difficulty applied",O136&gt;P136),U136,IF(AND(V136="Low Difficulty - only applicable if all habitat created before losses ⚠",P136&gt;=O136),"Low",VLOOKUP(F136,'G-3 Multipliers'!$A$2:$E$129,4,FALSE))))</f>
        <v/>
      </c>
      <c r="X136" s="524" t="str">
        <f>IFERROR(IF(E136="","",VLOOKUP(W136, 'G-3 Multipliers'!$P$2:$Q$6,2,FALSE)),"")</f>
        <v/>
      </c>
      <c r="Y136" s="197"/>
      <c r="Z136" s="499" t="str">
        <f>IF(Y136="","",IF(VLOOKUP(Y136,'G-3 Multipliers'!$S$3:$T$9,2,FALSE)=0,"Spatial Data Missing ⚠",VLOOKUP(Y136,'G-3 Multipliers'!$S$3:$T$9,2,FALSE)))</f>
        <v/>
      </c>
      <c r="AA136" s="545" t="str">
        <f t="shared" si="8"/>
        <v/>
      </c>
      <c r="AB136" s="149"/>
      <c r="AC136" s="150"/>
    </row>
    <row r="137" spans="1:29" ht="13.8" x14ac:dyDescent="0.25">
      <c r="A137" s="31" t="str">
        <f>IFERROR(INDEX('G-8 Condition Look up'!$I$4:$I$130,MATCH(F137,'G-8 Condition Look up'!$A$4:$A$130,0)),"")</f>
        <v/>
      </c>
      <c r="C137" s="244" t="str">
        <f>IFERROR(INDEX('G-1 All Habitats'!$AG$3:$AG$15,MATCH(D137,'G-1 All Habitats'!$AF$3:$AF$15,0)),"")</f>
        <v/>
      </c>
      <c r="D137" s="154"/>
      <c r="E137" s="203"/>
      <c r="F137" s="243" t="str">
        <f>IFERROR(INDEX('G-1 All Habitats'!$B$3:$B$129,MATCH(E137,'G-1 All Habitats'!$A$3:$A$129,0)),"")</f>
        <v/>
      </c>
      <c r="G137" s="386"/>
      <c r="H137" s="537" t="str">
        <f>IF(F137="","",VLOOKUP(F137,'G-1 All Habitats'!$B$2:$M$129,10,FALSE))</f>
        <v/>
      </c>
      <c r="I137" s="524" t="str">
        <f>IFERROR(VLOOKUP(H137,'G-1 All Habitats'!$V$3:$W$7,2,FALSE),"")</f>
        <v/>
      </c>
      <c r="J137" s="199"/>
      <c r="K137" s="524" t="str">
        <f>IFERROR(INDEX('G-8 Condition Look up'!$A$3:$H$130,MATCH(F137,'G-8 Condition Look up'!$A$3:$A$130,0),MATCH(J137,'G-8 Condition Look up'!$A$3:$H$3,0)),"")</f>
        <v/>
      </c>
      <c r="L137" s="145"/>
      <c r="M137" s="540" t="str">
        <f>IF(L137="","",IF(VLOOKUP(L137,'G-3 Multipliers'!$L$3:$N$6,2,FALSE)=0,"Spatial Data Missing ⚠",VLOOKUP(L137,'G-3 Multipliers'!$L$3:$N$6,2,FALSE)))</f>
        <v/>
      </c>
      <c r="N137" s="499" t="str">
        <f>IF(L137="","",IF(VLOOKUP(L137,'G-3 Multipliers'!$L$3:$N$6,3,FALSE)=0,"Spatial Data Missing ⚠",VLOOKUP(L137,'G-3 Multipliers'!$L$3:$N$6,3,FALSE)))</f>
        <v/>
      </c>
      <c r="O137" s="498" t="str">
        <f t="shared" si="5"/>
        <v/>
      </c>
      <c r="P137" s="195"/>
      <c r="Q137" s="195"/>
      <c r="R137" s="520" t="str">
        <f t="shared" si="6"/>
        <v/>
      </c>
      <c r="S137" s="544" t="str">
        <f t="shared" si="7"/>
        <v/>
      </c>
      <c r="T137" s="525" t="str">
        <f>IFERROR(IF(S137="Check Data ⚠","Check Data ⚠",VLOOKUP(S137,'G-4 Temporal multipliers'!$A$4:$C$37,3,FALSE)),"")</f>
        <v/>
      </c>
      <c r="U137" s="523" t="str">
        <f>IF(F137="","",VLOOKUP(F137,'G-3 Multipliers'!$A$2:$E$129,2,FALSE))</f>
        <v/>
      </c>
      <c r="V137" s="520" t="str">
        <f t="shared" si="9"/>
        <v/>
      </c>
      <c r="W137" s="520" t="str">
        <f>IF(E137="","",IF(AND(V137="Standard difficulty applied",O137&gt;P137),U137,IF(AND(V137="Low Difficulty - only applicable if all habitat created before losses ⚠",P137&gt;=O137),"Low",VLOOKUP(F137,'G-3 Multipliers'!$A$2:$E$129,4,FALSE))))</f>
        <v/>
      </c>
      <c r="X137" s="524" t="str">
        <f>IFERROR(IF(E137="","",VLOOKUP(W137, 'G-3 Multipliers'!$P$2:$Q$6,2,FALSE)),"")</f>
        <v/>
      </c>
      <c r="Y137" s="197"/>
      <c r="Z137" s="499" t="str">
        <f>IF(Y137="","",IF(VLOOKUP(Y137,'G-3 Multipliers'!$S$3:$T$9,2,FALSE)=0,"Spatial Data Missing ⚠",VLOOKUP(Y137,'G-3 Multipliers'!$S$3:$T$9,2,FALSE)))</f>
        <v/>
      </c>
      <c r="AA137" s="545" t="str">
        <f t="shared" si="8"/>
        <v/>
      </c>
      <c r="AB137" s="149"/>
      <c r="AC137" s="150"/>
    </row>
    <row r="138" spans="1:29" ht="13.8" x14ac:dyDescent="0.25">
      <c r="A138" s="31" t="str">
        <f>IFERROR(INDEX('G-8 Condition Look up'!$I$4:$I$130,MATCH(F138,'G-8 Condition Look up'!$A$4:$A$130,0)),"")</f>
        <v/>
      </c>
      <c r="C138" s="244" t="str">
        <f>IFERROR(INDEX('G-1 All Habitats'!$AG$3:$AG$15,MATCH(D138,'G-1 All Habitats'!$AF$3:$AF$15,0)),"")</f>
        <v/>
      </c>
      <c r="D138" s="154"/>
      <c r="E138" s="203"/>
      <c r="F138" s="243" t="str">
        <f>IFERROR(INDEX('G-1 All Habitats'!$B$3:$B$129,MATCH(E138,'G-1 All Habitats'!$A$3:$A$129,0)),"")</f>
        <v/>
      </c>
      <c r="G138" s="386"/>
      <c r="H138" s="537" t="str">
        <f>IF(F138="","",VLOOKUP(F138,'G-1 All Habitats'!$B$2:$M$129,10,FALSE))</f>
        <v/>
      </c>
      <c r="I138" s="524" t="str">
        <f>IFERROR(VLOOKUP(H138,'G-1 All Habitats'!$V$3:$W$7,2,FALSE),"")</f>
        <v/>
      </c>
      <c r="J138" s="199"/>
      <c r="K138" s="524" t="str">
        <f>IFERROR(INDEX('G-8 Condition Look up'!$A$3:$H$130,MATCH(F138,'G-8 Condition Look up'!$A$3:$A$130,0),MATCH(J138,'G-8 Condition Look up'!$A$3:$H$3,0)),"")</f>
        <v/>
      </c>
      <c r="L138" s="145"/>
      <c r="M138" s="540" t="str">
        <f>IF(L138="","",IF(VLOOKUP(L138,'G-3 Multipliers'!$L$3:$N$6,2,FALSE)=0,"Spatial Data Missing ⚠",VLOOKUP(L138,'G-3 Multipliers'!$L$3:$N$6,2,FALSE)))</f>
        <v/>
      </c>
      <c r="N138" s="499" t="str">
        <f>IF(L138="","",IF(VLOOKUP(L138,'G-3 Multipliers'!$L$3:$N$6,3,FALSE)=0,"Spatial Data Missing ⚠",VLOOKUP(L138,'G-3 Multipliers'!$L$3:$N$6,3,FALSE)))</f>
        <v/>
      </c>
      <c r="O138" s="498" t="str">
        <f t="shared" si="5"/>
        <v/>
      </c>
      <c r="P138" s="195"/>
      <c r="Q138" s="195"/>
      <c r="R138" s="520" t="str">
        <f t="shared" si="6"/>
        <v/>
      </c>
      <c r="S138" s="544" t="str">
        <f t="shared" si="7"/>
        <v/>
      </c>
      <c r="T138" s="525" t="str">
        <f>IFERROR(IF(S138="Check Data ⚠","Check Data ⚠",VLOOKUP(S138,'G-4 Temporal multipliers'!$A$4:$C$37,3,FALSE)),"")</f>
        <v/>
      </c>
      <c r="U138" s="523" t="str">
        <f>IF(F138="","",VLOOKUP(F138,'G-3 Multipliers'!$A$2:$E$129,2,FALSE))</f>
        <v/>
      </c>
      <c r="V138" s="520" t="str">
        <f t="shared" si="9"/>
        <v/>
      </c>
      <c r="W138" s="520" t="str">
        <f>IF(E138="","",IF(AND(V138="Standard difficulty applied",O138&gt;P138),U138,IF(AND(V138="Low Difficulty - only applicable if all habitat created before losses ⚠",P138&gt;=O138),"Low",VLOOKUP(F138,'G-3 Multipliers'!$A$2:$E$129,4,FALSE))))</f>
        <v/>
      </c>
      <c r="X138" s="524" t="str">
        <f>IFERROR(IF(E138="","",VLOOKUP(W138, 'G-3 Multipliers'!$P$2:$Q$6,2,FALSE)),"")</f>
        <v/>
      </c>
      <c r="Y138" s="197"/>
      <c r="Z138" s="499" t="str">
        <f>IF(Y138="","",IF(VLOOKUP(Y138,'G-3 Multipliers'!$S$3:$T$9,2,FALSE)=0,"Spatial Data Missing ⚠",VLOOKUP(Y138,'G-3 Multipliers'!$S$3:$T$9,2,FALSE)))</f>
        <v/>
      </c>
      <c r="AA138" s="545" t="str">
        <f t="shared" si="8"/>
        <v/>
      </c>
      <c r="AB138" s="149"/>
      <c r="AC138" s="150"/>
    </row>
    <row r="139" spans="1:29" ht="13.8" x14ac:dyDescent="0.25">
      <c r="A139" s="31" t="str">
        <f>IFERROR(INDEX('G-8 Condition Look up'!$I$4:$I$130,MATCH(F139,'G-8 Condition Look up'!$A$4:$A$130,0)),"")</f>
        <v/>
      </c>
      <c r="C139" s="244" t="str">
        <f>IFERROR(INDEX('G-1 All Habitats'!$AG$3:$AG$15,MATCH(D139,'G-1 All Habitats'!$AF$3:$AF$15,0)),"")</f>
        <v/>
      </c>
      <c r="D139" s="154"/>
      <c r="E139" s="203"/>
      <c r="F139" s="243" t="str">
        <f>IFERROR(INDEX('G-1 All Habitats'!$B$3:$B$129,MATCH(E139,'G-1 All Habitats'!$A$3:$A$129,0)),"")</f>
        <v/>
      </c>
      <c r="G139" s="386"/>
      <c r="H139" s="537" t="str">
        <f>IF(F139="","",VLOOKUP(F139,'G-1 All Habitats'!$B$2:$M$129,10,FALSE))</f>
        <v/>
      </c>
      <c r="I139" s="524" t="str">
        <f>IFERROR(VLOOKUP(H139,'G-1 All Habitats'!$V$3:$W$7,2,FALSE),"")</f>
        <v/>
      </c>
      <c r="J139" s="199"/>
      <c r="K139" s="524" t="str">
        <f>IFERROR(INDEX('G-8 Condition Look up'!$A$3:$H$130,MATCH(F139,'G-8 Condition Look up'!$A$3:$A$130,0),MATCH(J139,'G-8 Condition Look up'!$A$3:$H$3,0)),"")</f>
        <v/>
      </c>
      <c r="L139" s="145"/>
      <c r="M139" s="540" t="str">
        <f>IF(L139="","",IF(VLOOKUP(L139,'G-3 Multipliers'!$L$3:$N$6,2,FALSE)=0,"Spatial Data Missing ⚠",VLOOKUP(L139,'G-3 Multipliers'!$L$3:$N$6,2,FALSE)))</f>
        <v/>
      </c>
      <c r="N139" s="499" t="str">
        <f>IF(L139="","",IF(VLOOKUP(L139,'G-3 Multipliers'!$L$3:$N$6,3,FALSE)=0,"Spatial Data Missing ⚠",VLOOKUP(L139,'G-3 Multipliers'!$L$3:$N$6,3,FALSE)))</f>
        <v/>
      </c>
      <c r="O139" s="498" t="str">
        <f t="shared" ref="O139:O202" si="10">IFERROR(INDEX(TemporalData,MATCH(F139,TemporalHabitats,0),MATCH(J139,TemporalConditions,0)),"")</f>
        <v/>
      </c>
      <c r="P139" s="195"/>
      <c r="Q139" s="195"/>
      <c r="R139" s="520" t="str">
        <f t="shared" si="6"/>
        <v/>
      </c>
      <c r="S139" s="544" t="str">
        <f t="shared" si="7"/>
        <v/>
      </c>
      <c r="T139" s="525" t="str">
        <f>IFERROR(IF(S139="Check Data ⚠","Check Data ⚠",VLOOKUP(S139,'G-4 Temporal multipliers'!$A$4:$C$37,3,FALSE)),"")</f>
        <v/>
      </c>
      <c r="U139" s="523" t="str">
        <f>IF(F139="","",VLOOKUP(F139,'G-3 Multipliers'!$A$2:$E$129,2,FALSE))</f>
        <v/>
      </c>
      <c r="V139" s="520" t="str">
        <f t="shared" si="9"/>
        <v/>
      </c>
      <c r="W139" s="520" t="str">
        <f>IF(E139="","",IF(AND(V139="Standard difficulty applied",O139&gt;P139),U139,IF(AND(V139="Low Difficulty - only applicable if all habitat created before losses ⚠",P139&gt;=O139),"Low",VLOOKUP(F139,'G-3 Multipliers'!$A$2:$E$129,4,FALSE))))</f>
        <v/>
      </c>
      <c r="X139" s="524" t="str">
        <f>IFERROR(IF(E139="","",VLOOKUP(W139, 'G-3 Multipliers'!$P$2:$Q$6,2,FALSE)),"")</f>
        <v/>
      </c>
      <c r="Y139" s="197"/>
      <c r="Z139" s="499" t="str">
        <f>IF(Y139="","",IF(VLOOKUP(Y139,'G-3 Multipliers'!$S$3:$T$9,2,FALSE)=0,"Spatial Data Missing ⚠",VLOOKUP(Y139,'G-3 Multipliers'!$S$3:$T$9,2,FALSE)))</f>
        <v/>
      </c>
      <c r="AA139" s="545" t="str">
        <f t="shared" si="8"/>
        <v/>
      </c>
      <c r="AB139" s="149"/>
      <c r="AC139" s="150"/>
    </row>
    <row r="140" spans="1:29" ht="13.8" x14ac:dyDescent="0.25">
      <c r="A140" s="31" t="str">
        <f>IFERROR(INDEX('G-8 Condition Look up'!$I$4:$I$130,MATCH(F140,'G-8 Condition Look up'!$A$4:$A$130,0)),"")</f>
        <v/>
      </c>
      <c r="C140" s="244" t="str">
        <f>IFERROR(INDEX('G-1 All Habitats'!$AG$3:$AG$15,MATCH(D140,'G-1 All Habitats'!$AF$3:$AF$15,0)),"")</f>
        <v/>
      </c>
      <c r="D140" s="154"/>
      <c r="E140" s="203"/>
      <c r="F140" s="243" t="str">
        <f>IFERROR(INDEX('G-1 All Habitats'!$B$3:$B$129,MATCH(E140,'G-1 All Habitats'!$A$3:$A$129,0)),"")</f>
        <v/>
      </c>
      <c r="G140" s="386"/>
      <c r="H140" s="537" t="str">
        <f>IF(F140="","",VLOOKUP(F140,'G-1 All Habitats'!$B$2:$M$129,10,FALSE))</f>
        <v/>
      </c>
      <c r="I140" s="524" t="str">
        <f>IFERROR(VLOOKUP(H140,'G-1 All Habitats'!$V$3:$W$7,2,FALSE),"")</f>
        <v/>
      </c>
      <c r="J140" s="199"/>
      <c r="K140" s="524" t="str">
        <f>IFERROR(INDEX('G-8 Condition Look up'!$A$3:$H$130,MATCH(F140,'G-8 Condition Look up'!$A$3:$A$130,0),MATCH(J140,'G-8 Condition Look up'!$A$3:$H$3,0)),"")</f>
        <v/>
      </c>
      <c r="L140" s="145"/>
      <c r="M140" s="540" t="str">
        <f>IF(L140="","",IF(VLOOKUP(L140,'G-3 Multipliers'!$L$3:$N$6,2,FALSE)=0,"Spatial Data Missing ⚠",VLOOKUP(L140,'G-3 Multipliers'!$L$3:$N$6,2,FALSE)))</f>
        <v/>
      </c>
      <c r="N140" s="499" t="str">
        <f>IF(L140="","",IF(VLOOKUP(L140,'G-3 Multipliers'!$L$3:$N$6,3,FALSE)=0,"Spatial Data Missing ⚠",VLOOKUP(L140,'G-3 Multipliers'!$L$3:$N$6,3,FALSE)))</f>
        <v/>
      </c>
      <c r="O140" s="498" t="str">
        <f t="shared" si="10"/>
        <v/>
      </c>
      <c r="P140" s="195"/>
      <c r="Q140" s="195"/>
      <c r="R140" s="520" t="str">
        <f t="shared" ref="R140:R203" si="11">IF(E140="","",IF(AND(P140&gt;0,Q140&gt;0),"Error -both advance and delayed habitat creation ▲",IF(AND(OR(P140="Habitat already in target condition",O140&lt;=P140),Q140=0,I140&gt;0),"Check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44" t="str">
        <f t="shared" ref="S140:S203" si="12">IF(R140="Error -both advance and delayed habitat creation ▲","Check Data ⚠",IF(O140="Not Possible","Check Data ⚠",IF(O140="","",IF(AND(O140="30+",P140=0),"30+ ⚠",IF(AND(O140="30+",P140="30+ ⚠"),0,IF(AND(O140="30+",P140&lt;32),30-P140,IF(O140="30+",30-P140,IF(P140&gt;O140,0,IF(Q140="30+","30+ ⚠",IF(O140+Q140&gt;30,"30+ ⚠",IF(O140+Q140&gt;30,"30+ ⚠",IF(O140-P140&gt;30,"30+ ⚠",IF(O140+Q140-P140&gt;0,O140+Q140-P140,IF(O140-P140&gt;0,O140-P140,O140+Q140-P140))))))))))))))</f>
        <v/>
      </c>
      <c r="T140" s="525" t="str">
        <f>IFERROR(IF(S140="Check Data ⚠","Check Data ⚠",VLOOKUP(S140,'G-4 Temporal multipliers'!$A$4:$C$37,3,FALSE)),"")</f>
        <v/>
      </c>
      <c r="U140" s="523" t="str">
        <f>IF(F140="","",VLOOKUP(F140,'G-3 Multipliers'!$A$2:$E$129,2,FALSE))</f>
        <v/>
      </c>
      <c r="V140" s="520" t="str">
        <f t="shared" si="9"/>
        <v/>
      </c>
      <c r="W140" s="520" t="str">
        <f>IF(E140="","",IF(AND(V140="Standard difficulty applied",O140&gt;P140),U140,IF(AND(V140="Low Difficulty - only applicable if all habitat created before losses ⚠",P140&gt;=O140),"Low",VLOOKUP(F140,'G-3 Multipliers'!$A$2:$E$129,4,FALSE))))</f>
        <v/>
      </c>
      <c r="X140" s="524" t="str">
        <f>IFERROR(IF(E140="","",VLOOKUP(W140, 'G-3 Multipliers'!$P$2:$Q$6,2,FALSE)),"")</f>
        <v/>
      </c>
      <c r="Y140" s="197"/>
      <c r="Z140" s="499" t="str">
        <f>IF(Y140="","",IF(VLOOKUP(Y140,'G-3 Multipliers'!$S$3:$T$9,2,FALSE)=0,"Spatial Data Missing ⚠",VLOOKUP(Y140,'G-3 Multipliers'!$S$3:$T$9,2,FALSE)))</f>
        <v/>
      </c>
      <c r="AA140" s="545" t="str">
        <f t="shared" ref="AA140:AA203" si="13">IFERROR(G140*I140*K140*N140*T140*X140*Z140,"")</f>
        <v/>
      </c>
      <c r="AB140" s="149"/>
      <c r="AC140" s="150"/>
    </row>
    <row r="141" spans="1:29" ht="13.8" x14ac:dyDescent="0.25">
      <c r="A141" s="31" t="str">
        <f>IFERROR(INDEX('G-8 Condition Look up'!$I$4:$I$130,MATCH(F141,'G-8 Condition Look up'!$A$4:$A$130,0)),"")</f>
        <v/>
      </c>
      <c r="C141" s="244" t="str">
        <f>IFERROR(INDEX('G-1 All Habitats'!$AG$3:$AG$15,MATCH(D141,'G-1 All Habitats'!$AF$3:$AF$15,0)),"")</f>
        <v/>
      </c>
      <c r="D141" s="154"/>
      <c r="E141" s="203"/>
      <c r="F141" s="243" t="str">
        <f>IFERROR(INDEX('G-1 All Habitats'!$B$3:$B$129,MATCH(E141,'G-1 All Habitats'!$A$3:$A$129,0)),"")</f>
        <v/>
      </c>
      <c r="G141" s="386"/>
      <c r="H141" s="537" t="str">
        <f>IF(F141="","",VLOOKUP(F141,'G-1 All Habitats'!$B$2:$M$129,10,FALSE))</f>
        <v/>
      </c>
      <c r="I141" s="524" t="str">
        <f>IFERROR(VLOOKUP(H141,'G-1 All Habitats'!$V$3:$W$7,2,FALSE),"")</f>
        <v/>
      </c>
      <c r="J141" s="199"/>
      <c r="K141" s="524" t="str">
        <f>IFERROR(INDEX('G-8 Condition Look up'!$A$3:$H$130,MATCH(F141,'G-8 Condition Look up'!$A$3:$A$130,0),MATCH(J141,'G-8 Condition Look up'!$A$3:$H$3,0)),"")</f>
        <v/>
      </c>
      <c r="L141" s="145"/>
      <c r="M141" s="540" t="str">
        <f>IF(L141="","",IF(VLOOKUP(L141,'G-3 Multipliers'!$L$3:$N$6,2,FALSE)=0,"Spatial Data Missing ⚠",VLOOKUP(L141,'G-3 Multipliers'!$L$3:$N$6,2,FALSE)))</f>
        <v/>
      </c>
      <c r="N141" s="499" t="str">
        <f>IF(L141="","",IF(VLOOKUP(L141,'G-3 Multipliers'!$L$3:$N$6,3,FALSE)=0,"Spatial Data Missing ⚠",VLOOKUP(L141,'G-3 Multipliers'!$L$3:$N$6,3,FALSE)))</f>
        <v/>
      </c>
      <c r="O141" s="498" t="str">
        <f t="shared" si="10"/>
        <v/>
      </c>
      <c r="P141" s="195"/>
      <c r="Q141" s="195"/>
      <c r="R141" s="520" t="str">
        <f t="shared" si="11"/>
        <v/>
      </c>
      <c r="S141" s="544" t="str">
        <f t="shared" si="12"/>
        <v/>
      </c>
      <c r="T141" s="525" t="str">
        <f>IFERROR(IF(S141="Check Data ⚠","Check Data ⚠",VLOOKUP(S141,'G-4 Temporal multipliers'!$A$4:$C$37,3,FALSE)),"")</f>
        <v/>
      </c>
      <c r="U141" s="523" t="str">
        <f>IF(F141="","",VLOOKUP(F141,'G-3 Multipliers'!$A$2:$E$129,2,FALSE))</f>
        <v/>
      </c>
      <c r="V141" s="520" t="str">
        <f t="shared" ref="V141:V204" si="14">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520" t="str">
        <f>IF(E141="","",IF(AND(V141="Standard difficulty applied",O141&gt;P141),U141,IF(AND(V141="Low Difficulty - only applicable if all habitat created before losses ⚠",P141&gt;=O141),"Low",VLOOKUP(F141,'G-3 Multipliers'!$A$2:$E$129,4,FALSE))))</f>
        <v/>
      </c>
      <c r="X141" s="524" t="str">
        <f>IFERROR(IF(E141="","",VLOOKUP(W141, 'G-3 Multipliers'!$P$2:$Q$6,2,FALSE)),"")</f>
        <v/>
      </c>
      <c r="Y141" s="197"/>
      <c r="Z141" s="499" t="str">
        <f>IF(Y141="","",IF(VLOOKUP(Y141,'G-3 Multipliers'!$S$3:$T$9,2,FALSE)=0,"Spatial Data Missing ⚠",VLOOKUP(Y141,'G-3 Multipliers'!$S$3:$T$9,2,FALSE)))</f>
        <v/>
      </c>
      <c r="AA141" s="545" t="str">
        <f t="shared" si="13"/>
        <v/>
      </c>
      <c r="AB141" s="149"/>
      <c r="AC141" s="150"/>
    </row>
    <row r="142" spans="1:29" ht="13.8" x14ac:dyDescent="0.25">
      <c r="A142" s="31" t="str">
        <f>IFERROR(INDEX('G-8 Condition Look up'!$I$4:$I$130,MATCH(F142,'G-8 Condition Look up'!$A$4:$A$130,0)),"")</f>
        <v/>
      </c>
      <c r="C142" s="244" t="str">
        <f>IFERROR(INDEX('G-1 All Habitats'!$AG$3:$AG$15,MATCH(D142,'G-1 All Habitats'!$AF$3:$AF$15,0)),"")</f>
        <v/>
      </c>
      <c r="D142" s="154"/>
      <c r="E142" s="203"/>
      <c r="F142" s="243" t="str">
        <f>IFERROR(INDEX('G-1 All Habitats'!$B$3:$B$129,MATCH(E142,'G-1 All Habitats'!$A$3:$A$129,0)),"")</f>
        <v/>
      </c>
      <c r="G142" s="386"/>
      <c r="H142" s="537" t="str">
        <f>IF(F142="","",VLOOKUP(F142,'G-1 All Habitats'!$B$2:$M$129,10,FALSE))</f>
        <v/>
      </c>
      <c r="I142" s="524" t="str">
        <f>IFERROR(VLOOKUP(H142,'G-1 All Habitats'!$V$3:$W$7,2,FALSE),"")</f>
        <v/>
      </c>
      <c r="J142" s="199"/>
      <c r="K142" s="524" t="str">
        <f>IFERROR(INDEX('G-8 Condition Look up'!$A$3:$H$130,MATCH(F142,'G-8 Condition Look up'!$A$3:$A$130,0),MATCH(J142,'G-8 Condition Look up'!$A$3:$H$3,0)),"")</f>
        <v/>
      </c>
      <c r="L142" s="145"/>
      <c r="M142" s="540" t="str">
        <f>IF(L142="","",IF(VLOOKUP(L142,'G-3 Multipliers'!$L$3:$N$6,2,FALSE)=0,"Spatial Data Missing ⚠",VLOOKUP(L142,'G-3 Multipliers'!$L$3:$N$6,2,FALSE)))</f>
        <v/>
      </c>
      <c r="N142" s="499" t="str">
        <f>IF(L142="","",IF(VLOOKUP(L142,'G-3 Multipliers'!$L$3:$N$6,3,FALSE)=0,"Spatial Data Missing ⚠",VLOOKUP(L142,'G-3 Multipliers'!$L$3:$N$6,3,FALSE)))</f>
        <v/>
      </c>
      <c r="O142" s="498" t="str">
        <f t="shared" si="10"/>
        <v/>
      </c>
      <c r="P142" s="195"/>
      <c r="Q142" s="195"/>
      <c r="R142" s="520" t="str">
        <f t="shared" si="11"/>
        <v/>
      </c>
      <c r="S142" s="544" t="str">
        <f t="shared" si="12"/>
        <v/>
      </c>
      <c r="T142" s="525" t="str">
        <f>IFERROR(IF(S142="Check Data ⚠","Check Data ⚠",VLOOKUP(S142,'G-4 Temporal multipliers'!$A$4:$C$37,3,FALSE)),"")</f>
        <v/>
      </c>
      <c r="U142" s="523" t="str">
        <f>IF(F142="","",VLOOKUP(F142,'G-3 Multipliers'!$A$2:$E$129,2,FALSE))</f>
        <v/>
      </c>
      <c r="V142" s="520" t="str">
        <f t="shared" si="14"/>
        <v/>
      </c>
      <c r="W142" s="520" t="str">
        <f>IF(E142="","",IF(AND(V142="Standard difficulty applied",O142&gt;P142),U142,IF(AND(V142="Low Difficulty - only applicable if all habitat created before losses ⚠",P142&gt;=O142),"Low",VLOOKUP(F142,'G-3 Multipliers'!$A$2:$E$129,4,FALSE))))</f>
        <v/>
      </c>
      <c r="X142" s="524" t="str">
        <f>IFERROR(IF(E142="","",VLOOKUP(W142, 'G-3 Multipliers'!$P$2:$Q$6,2,FALSE)),"")</f>
        <v/>
      </c>
      <c r="Y142" s="197"/>
      <c r="Z142" s="499" t="str">
        <f>IF(Y142="","",IF(VLOOKUP(Y142,'G-3 Multipliers'!$S$3:$T$9,2,FALSE)=0,"Spatial Data Missing ⚠",VLOOKUP(Y142,'G-3 Multipliers'!$S$3:$T$9,2,FALSE)))</f>
        <v/>
      </c>
      <c r="AA142" s="545" t="str">
        <f t="shared" si="13"/>
        <v/>
      </c>
      <c r="AB142" s="149"/>
      <c r="AC142" s="150"/>
    </row>
    <row r="143" spans="1:29" ht="13.8" x14ac:dyDescent="0.25">
      <c r="A143" s="31" t="str">
        <f>IFERROR(INDEX('G-8 Condition Look up'!$I$4:$I$130,MATCH(F143,'G-8 Condition Look up'!$A$4:$A$130,0)),"")</f>
        <v/>
      </c>
      <c r="C143" s="244" t="str">
        <f>IFERROR(INDEX('G-1 All Habitats'!$AG$3:$AG$15,MATCH(D143,'G-1 All Habitats'!$AF$3:$AF$15,0)),"")</f>
        <v/>
      </c>
      <c r="D143" s="154"/>
      <c r="E143" s="203"/>
      <c r="F143" s="243" t="str">
        <f>IFERROR(INDEX('G-1 All Habitats'!$B$3:$B$129,MATCH(E143,'G-1 All Habitats'!$A$3:$A$129,0)),"")</f>
        <v/>
      </c>
      <c r="G143" s="386"/>
      <c r="H143" s="537" t="str">
        <f>IF(F143="","",VLOOKUP(F143,'G-1 All Habitats'!$B$2:$M$129,10,FALSE))</f>
        <v/>
      </c>
      <c r="I143" s="524" t="str">
        <f>IFERROR(VLOOKUP(H143,'G-1 All Habitats'!$V$3:$W$7,2,FALSE),"")</f>
        <v/>
      </c>
      <c r="J143" s="199"/>
      <c r="K143" s="524" t="str">
        <f>IFERROR(INDEX('G-8 Condition Look up'!$A$3:$H$130,MATCH(F143,'G-8 Condition Look up'!$A$3:$A$130,0),MATCH(J143,'G-8 Condition Look up'!$A$3:$H$3,0)),"")</f>
        <v/>
      </c>
      <c r="L143" s="145"/>
      <c r="M143" s="540" t="str">
        <f>IF(L143="","",IF(VLOOKUP(L143,'G-3 Multipliers'!$L$3:$N$6,2,FALSE)=0,"Spatial Data Missing ⚠",VLOOKUP(L143,'G-3 Multipliers'!$L$3:$N$6,2,FALSE)))</f>
        <v/>
      </c>
      <c r="N143" s="499" t="str">
        <f>IF(L143="","",IF(VLOOKUP(L143,'G-3 Multipliers'!$L$3:$N$6,3,FALSE)=0,"Spatial Data Missing ⚠",VLOOKUP(L143,'G-3 Multipliers'!$L$3:$N$6,3,FALSE)))</f>
        <v/>
      </c>
      <c r="O143" s="498" t="str">
        <f t="shared" si="10"/>
        <v/>
      </c>
      <c r="P143" s="195"/>
      <c r="Q143" s="195"/>
      <c r="R143" s="520" t="str">
        <f t="shared" si="11"/>
        <v/>
      </c>
      <c r="S143" s="544" t="str">
        <f t="shared" si="12"/>
        <v/>
      </c>
      <c r="T143" s="525" t="str">
        <f>IFERROR(IF(S143="Check Data ⚠","Check Data ⚠",VLOOKUP(S143,'G-4 Temporal multipliers'!$A$4:$C$37,3,FALSE)),"")</f>
        <v/>
      </c>
      <c r="U143" s="523" t="str">
        <f>IF(F143="","",VLOOKUP(F143,'G-3 Multipliers'!$A$2:$E$129,2,FALSE))</f>
        <v/>
      </c>
      <c r="V143" s="520" t="str">
        <f t="shared" si="14"/>
        <v/>
      </c>
      <c r="W143" s="520" t="str">
        <f>IF(E143="","",IF(AND(V143="Standard difficulty applied",O143&gt;P143),U143,IF(AND(V143="Low Difficulty - only applicable if all habitat created before losses ⚠",P143&gt;=O143),"Low",VLOOKUP(F143,'G-3 Multipliers'!$A$2:$E$129,4,FALSE))))</f>
        <v/>
      </c>
      <c r="X143" s="524" t="str">
        <f>IFERROR(IF(E143="","",VLOOKUP(W143, 'G-3 Multipliers'!$P$2:$Q$6,2,FALSE)),"")</f>
        <v/>
      </c>
      <c r="Y143" s="197"/>
      <c r="Z143" s="499" t="str">
        <f>IF(Y143="","",IF(VLOOKUP(Y143,'G-3 Multipliers'!$S$3:$T$9,2,FALSE)=0,"Spatial Data Missing ⚠",VLOOKUP(Y143,'G-3 Multipliers'!$S$3:$T$9,2,FALSE)))</f>
        <v/>
      </c>
      <c r="AA143" s="545" t="str">
        <f t="shared" si="13"/>
        <v/>
      </c>
      <c r="AB143" s="149"/>
      <c r="AC143" s="150"/>
    </row>
    <row r="144" spans="1:29" ht="13.8" x14ac:dyDescent="0.25">
      <c r="A144" s="31" t="str">
        <f>IFERROR(INDEX('G-8 Condition Look up'!$I$4:$I$130,MATCH(F144,'G-8 Condition Look up'!$A$4:$A$130,0)),"")</f>
        <v/>
      </c>
      <c r="C144" s="244" t="str">
        <f>IFERROR(INDEX('G-1 All Habitats'!$AG$3:$AG$15,MATCH(D144,'G-1 All Habitats'!$AF$3:$AF$15,0)),"")</f>
        <v/>
      </c>
      <c r="D144" s="154"/>
      <c r="E144" s="203"/>
      <c r="F144" s="243" t="str">
        <f>IFERROR(INDEX('G-1 All Habitats'!$B$3:$B$129,MATCH(E144,'G-1 All Habitats'!$A$3:$A$129,0)),"")</f>
        <v/>
      </c>
      <c r="G144" s="386"/>
      <c r="H144" s="537" t="str">
        <f>IF(F144="","",VLOOKUP(F144,'G-1 All Habitats'!$B$2:$M$129,10,FALSE))</f>
        <v/>
      </c>
      <c r="I144" s="524" t="str">
        <f>IFERROR(VLOOKUP(H144,'G-1 All Habitats'!$V$3:$W$7,2,FALSE),"")</f>
        <v/>
      </c>
      <c r="J144" s="199"/>
      <c r="K144" s="524" t="str">
        <f>IFERROR(INDEX('G-8 Condition Look up'!$A$3:$H$130,MATCH(F144,'G-8 Condition Look up'!$A$3:$A$130,0),MATCH(J144,'G-8 Condition Look up'!$A$3:$H$3,0)),"")</f>
        <v/>
      </c>
      <c r="L144" s="145"/>
      <c r="M144" s="540" t="str">
        <f>IF(L144="","",IF(VLOOKUP(L144,'G-3 Multipliers'!$L$3:$N$6,2,FALSE)=0,"Spatial Data Missing ⚠",VLOOKUP(L144,'G-3 Multipliers'!$L$3:$N$6,2,FALSE)))</f>
        <v/>
      </c>
      <c r="N144" s="499" t="str">
        <f>IF(L144="","",IF(VLOOKUP(L144,'G-3 Multipliers'!$L$3:$N$6,3,FALSE)=0,"Spatial Data Missing ⚠",VLOOKUP(L144,'G-3 Multipliers'!$L$3:$N$6,3,FALSE)))</f>
        <v/>
      </c>
      <c r="O144" s="498" t="str">
        <f t="shared" si="10"/>
        <v/>
      </c>
      <c r="P144" s="195"/>
      <c r="Q144" s="195"/>
      <c r="R144" s="520" t="str">
        <f t="shared" si="11"/>
        <v/>
      </c>
      <c r="S144" s="544" t="str">
        <f t="shared" si="12"/>
        <v/>
      </c>
      <c r="T144" s="525" t="str">
        <f>IFERROR(IF(S144="Check Data ⚠","Check Data ⚠",VLOOKUP(S144,'G-4 Temporal multipliers'!$A$4:$C$37,3,FALSE)),"")</f>
        <v/>
      </c>
      <c r="U144" s="523" t="str">
        <f>IF(F144="","",VLOOKUP(F144,'G-3 Multipliers'!$A$2:$E$129,2,FALSE))</f>
        <v/>
      </c>
      <c r="V144" s="520" t="str">
        <f t="shared" si="14"/>
        <v/>
      </c>
      <c r="W144" s="520" t="str">
        <f>IF(E144="","",IF(AND(V144="Standard difficulty applied",O144&gt;P144),U144,IF(AND(V144="Low Difficulty - only applicable if all habitat created before losses ⚠",P144&gt;=O144),"Low",VLOOKUP(F144,'G-3 Multipliers'!$A$2:$E$129,4,FALSE))))</f>
        <v/>
      </c>
      <c r="X144" s="524" t="str">
        <f>IFERROR(IF(E144="","",VLOOKUP(W144, 'G-3 Multipliers'!$P$2:$Q$6,2,FALSE)),"")</f>
        <v/>
      </c>
      <c r="Y144" s="197"/>
      <c r="Z144" s="499" t="str">
        <f>IF(Y144="","",IF(VLOOKUP(Y144,'G-3 Multipliers'!$S$3:$T$9,2,FALSE)=0,"Spatial Data Missing ⚠",VLOOKUP(Y144,'G-3 Multipliers'!$S$3:$T$9,2,FALSE)))</f>
        <v/>
      </c>
      <c r="AA144" s="545" t="str">
        <f t="shared" si="13"/>
        <v/>
      </c>
      <c r="AB144" s="149"/>
      <c r="AC144" s="150"/>
    </row>
    <row r="145" spans="1:29" ht="13.8" x14ac:dyDescent="0.25">
      <c r="A145" s="31" t="str">
        <f>IFERROR(INDEX('G-8 Condition Look up'!$I$4:$I$130,MATCH(F145,'G-8 Condition Look up'!$A$4:$A$130,0)),"")</f>
        <v/>
      </c>
      <c r="C145" s="244" t="str">
        <f>IFERROR(INDEX('G-1 All Habitats'!$AG$3:$AG$15,MATCH(D145,'G-1 All Habitats'!$AF$3:$AF$15,0)),"")</f>
        <v/>
      </c>
      <c r="D145" s="154"/>
      <c r="E145" s="203"/>
      <c r="F145" s="243" t="str">
        <f>IFERROR(INDEX('G-1 All Habitats'!$B$3:$B$129,MATCH(E145,'G-1 All Habitats'!$A$3:$A$129,0)),"")</f>
        <v/>
      </c>
      <c r="G145" s="386"/>
      <c r="H145" s="537" t="str">
        <f>IF(F145="","",VLOOKUP(F145,'G-1 All Habitats'!$B$2:$M$129,10,FALSE))</f>
        <v/>
      </c>
      <c r="I145" s="524" t="str">
        <f>IFERROR(VLOOKUP(H145,'G-1 All Habitats'!$V$3:$W$7,2,FALSE),"")</f>
        <v/>
      </c>
      <c r="J145" s="199"/>
      <c r="K145" s="524" t="str">
        <f>IFERROR(INDEX('G-8 Condition Look up'!$A$3:$H$130,MATCH(F145,'G-8 Condition Look up'!$A$3:$A$130,0),MATCH(J145,'G-8 Condition Look up'!$A$3:$H$3,0)),"")</f>
        <v/>
      </c>
      <c r="L145" s="145"/>
      <c r="M145" s="540" t="str">
        <f>IF(L145="","",IF(VLOOKUP(L145,'G-3 Multipliers'!$L$3:$N$6,2,FALSE)=0,"Spatial Data Missing ⚠",VLOOKUP(L145,'G-3 Multipliers'!$L$3:$N$6,2,FALSE)))</f>
        <v/>
      </c>
      <c r="N145" s="499" t="str">
        <f>IF(L145="","",IF(VLOOKUP(L145,'G-3 Multipliers'!$L$3:$N$6,3,FALSE)=0,"Spatial Data Missing ⚠",VLOOKUP(L145,'G-3 Multipliers'!$L$3:$N$6,3,FALSE)))</f>
        <v/>
      </c>
      <c r="O145" s="498" t="str">
        <f t="shared" si="10"/>
        <v/>
      </c>
      <c r="P145" s="195"/>
      <c r="Q145" s="195"/>
      <c r="R145" s="520" t="str">
        <f t="shared" si="11"/>
        <v/>
      </c>
      <c r="S145" s="544" t="str">
        <f t="shared" si="12"/>
        <v/>
      </c>
      <c r="T145" s="525" t="str">
        <f>IFERROR(IF(S145="Check Data ⚠","Check Data ⚠",VLOOKUP(S145,'G-4 Temporal multipliers'!$A$4:$C$37,3,FALSE)),"")</f>
        <v/>
      </c>
      <c r="U145" s="523" t="str">
        <f>IF(F145="","",VLOOKUP(F145,'G-3 Multipliers'!$A$2:$E$129,2,FALSE))</f>
        <v/>
      </c>
      <c r="V145" s="520" t="str">
        <f t="shared" si="14"/>
        <v/>
      </c>
      <c r="W145" s="520" t="str">
        <f>IF(E145="","",IF(AND(V145="Standard difficulty applied",O145&gt;P145),U145,IF(AND(V145="Low Difficulty - only applicable if all habitat created before losses ⚠",P145&gt;=O145),"Low",VLOOKUP(F145,'G-3 Multipliers'!$A$2:$E$129,4,FALSE))))</f>
        <v/>
      </c>
      <c r="X145" s="524" t="str">
        <f>IFERROR(IF(E145="","",VLOOKUP(W145, 'G-3 Multipliers'!$P$2:$Q$6,2,FALSE)),"")</f>
        <v/>
      </c>
      <c r="Y145" s="197"/>
      <c r="Z145" s="499" t="str">
        <f>IF(Y145="","",IF(VLOOKUP(Y145,'G-3 Multipliers'!$S$3:$T$9,2,FALSE)=0,"Spatial Data Missing ⚠",VLOOKUP(Y145,'G-3 Multipliers'!$S$3:$T$9,2,FALSE)))</f>
        <v/>
      </c>
      <c r="AA145" s="545" t="str">
        <f t="shared" si="13"/>
        <v/>
      </c>
      <c r="AB145" s="149"/>
      <c r="AC145" s="150"/>
    </row>
    <row r="146" spans="1:29" ht="13.8" x14ac:dyDescent="0.25">
      <c r="A146" s="31" t="str">
        <f>IFERROR(INDEX('G-8 Condition Look up'!$I$4:$I$130,MATCH(F146,'G-8 Condition Look up'!$A$4:$A$130,0)),"")</f>
        <v/>
      </c>
      <c r="C146" s="244" t="str">
        <f>IFERROR(INDEX('G-1 All Habitats'!$AG$3:$AG$15,MATCH(D146,'G-1 All Habitats'!$AF$3:$AF$15,0)),"")</f>
        <v/>
      </c>
      <c r="D146" s="154"/>
      <c r="E146" s="203"/>
      <c r="F146" s="243" t="str">
        <f>IFERROR(INDEX('G-1 All Habitats'!$B$3:$B$129,MATCH(E146,'G-1 All Habitats'!$A$3:$A$129,0)),"")</f>
        <v/>
      </c>
      <c r="G146" s="386"/>
      <c r="H146" s="537" t="str">
        <f>IF(F146="","",VLOOKUP(F146,'G-1 All Habitats'!$B$2:$M$129,10,FALSE))</f>
        <v/>
      </c>
      <c r="I146" s="524" t="str">
        <f>IFERROR(VLOOKUP(H146,'G-1 All Habitats'!$V$3:$W$7,2,FALSE),"")</f>
        <v/>
      </c>
      <c r="J146" s="199"/>
      <c r="K146" s="524" t="str">
        <f>IFERROR(INDEX('G-8 Condition Look up'!$A$3:$H$130,MATCH(F146,'G-8 Condition Look up'!$A$3:$A$130,0),MATCH(J146,'G-8 Condition Look up'!$A$3:$H$3,0)),"")</f>
        <v/>
      </c>
      <c r="L146" s="145"/>
      <c r="M146" s="540" t="str">
        <f>IF(L146="","",IF(VLOOKUP(L146,'G-3 Multipliers'!$L$3:$N$6,2,FALSE)=0,"Spatial Data Missing ⚠",VLOOKUP(L146,'G-3 Multipliers'!$L$3:$N$6,2,FALSE)))</f>
        <v/>
      </c>
      <c r="N146" s="499" t="str">
        <f>IF(L146="","",IF(VLOOKUP(L146,'G-3 Multipliers'!$L$3:$N$6,3,FALSE)=0,"Spatial Data Missing ⚠",VLOOKUP(L146,'G-3 Multipliers'!$L$3:$N$6,3,FALSE)))</f>
        <v/>
      </c>
      <c r="O146" s="498" t="str">
        <f t="shared" si="10"/>
        <v/>
      </c>
      <c r="P146" s="195"/>
      <c r="Q146" s="195"/>
      <c r="R146" s="520" t="str">
        <f t="shared" si="11"/>
        <v/>
      </c>
      <c r="S146" s="544" t="str">
        <f t="shared" si="12"/>
        <v/>
      </c>
      <c r="T146" s="525" t="str">
        <f>IFERROR(IF(S146="Check Data ⚠","Check Data ⚠",VLOOKUP(S146,'G-4 Temporal multipliers'!$A$4:$C$37,3,FALSE)),"")</f>
        <v/>
      </c>
      <c r="U146" s="523" t="str">
        <f>IF(F146="","",VLOOKUP(F146,'G-3 Multipliers'!$A$2:$E$129,2,FALSE))</f>
        <v/>
      </c>
      <c r="V146" s="520" t="str">
        <f t="shared" si="14"/>
        <v/>
      </c>
      <c r="W146" s="520" t="str">
        <f>IF(E146="","",IF(AND(V146="Standard difficulty applied",O146&gt;P146),U146,IF(AND(V146="Low Difficulty - only applicable if all habitat created before losses ⚠",P146&gt;=O146),"Low",VLOOKUP(F146,'G-3 Multipliers'!$A$2:$E$129,4,FALSE))))</f>
        <v/>
      </c>
      <c r="X146" s="524" t="str">
        <f>IFERROR(IF(E146="","",VLOOKUP(W146, 'G-3 Multipliers'!$P$2:$Q$6,2,FALSE)),"")</f>
        <v/>
      </c>
      <c r="Y146" s="197"/>
      <c r="Z146" s="499" t="str">
        <f>IF(Y146="","",IF(VLOOKUP(Y146,'G-3 Multipliers'!$S$3:$T$9,2,FALSE)=0,"Spatial Data Missing ⚠",VLOOKUP(Y146,'G-3 Multipliers'!$S$3:$T$9,2,FALSE)))</f>
        <v/>
      </c>
      <c r="AA146" s="545" t="str">
        <f t="shared" si="13"/>
        <v/>
      </c>
      <c r="AB146" s="149"/>
      <c r="AC146" s="150"/>
    </row>
    <row r="147" spans="1:29" ht="13.8" x14ac:dyDescent="0.25">
      <c r="A147" s="31" t="str">
        <f>IFERROR(INDEX('G-8 Condition Look up'!$I$4:$I$130,MATCH(F147,'G-8 Condition Look up'!$A$4:$A$130,0)),"")</f>
        <v/>
      </c>
      <c r="C147" s="244" t="str">
        <f>IFERROR(INDEX('G-1 All Habitats'!$AG$3:$AG$15,MATCH(D147,'G-1 All Habitats'!$AF$3:$AF$15,0)),"")</f>
        <v/>
      </c>
      <c r="D147" s="154"/>
      <c r="E147" s="203"/>
      <c r="F147" s="243" t="str">
        <f>IFERROR(INDEX('G-1 All Habitats'!$B$3:$B$129,MATCH(E147,'G-1 All Habitats'!$A$3:$A$129,0)),"")</f>
        <v/>
      </c>
      <c r="G147" s="386"/>
      <c r="H147" s="537" t="str">
        <f>IF(F147="","",VLOOKUP(F147,'G-1 All Habitats'!$B$2:$M$129,10,FALSE))</f>
        <v/>
      </c>
      <c r="I147" s="524" t="str">
        <f>IFERROR(VLOOKUP(H147,'G-1 All Habitats'!$V$3:$W$7,2,FALSE),"")</f>
        <v/>
      </c>
      <c r="J147" s="199"/>
      <c r="K147" s="524" t="str">
        <f>IFERROR(INDEX('G-8 Condition Look up'!$A$3:$H$130,MATCH(F147,'G-8 Condition Look up'!$A$3:$A$130,0),MATCH(J147,'G-8 Condition Look up'!$A$3:$H$3,0)),"")</f>
        <v/>
      </c>
      <c r="L147" s="145"/>
      <c r="M147" s="540" t="str">
        <f>IF(L147="","",IF(VLOOKUP(L147,'G-3 Multipliers'!$L$3:$N$6,2,FALSE)=0,"Spatial Data Missing ⚠",VLOOKUP(L147,'G-3 Multipliers'!$L$3:$N$6,2,FALSE)))</f>
        <v/>
      </c>
      <c r="N147" s="499" t="str">
        <f>IF(L147="","",IF(VLOOKUP(L147,'G-3 Multipliers'!$L$3:$N$6,3,FALSE)=0,"Spatial Data Missing ⚠",VLOOKUP(L147,'G-3 Multipliers'!$L$3:$N$6,3,FALSE)))</f>
        <v/>
      </c>
      <c r="O147" s="498" t="str">
        <f t="shared" si="10"/>
        <v/>
      </c>
      <c r="P147" s="195"/>
      <c r="Q147" s="195"/>
      <c r="R147" s="520" t="str">
        <f t="shared" si="11"/>
        <v/>
      </c>
      <c r="S147" s="544" t="str">
        <f t="shared" si="12"/>
        <v/>
      </c>
      <c r="T147" s="525" t="str">
        <f>IFERROR(IF(S147="Check Data ⚠","Check Data ⚠",VLOOKUP(S147,'G-4 Temporal multipliers'!$A$4:$C$37,3,FALSE)),"")</f>
        <v/>
      </c>
      <c r="U147" s="523" t="str">
        <f>IF(F147="","",VLOOKUP(F147,'G-3 Multipliers'!$A$2:$E$129,2,FALSE))</f>
        <v/>
      </c>
      <c r="V147" s="520" t="str">
        <f t="shared" si="14"/>
        <v/>
      </c>
      <c r="W147" s="520" t="str">
        <f>IF(E147="","",IF(AND(V147="Standard difficulty applied",O147&gt;P147),U147,IF(AND(V147="Low Difficulty - only applicable if all habitat created before losses ⚠",P147&gt;=O147),"Low",VLOOKUP(F147,'G-3 Multipliers'!$A$2:$E$129,4,FALSE))))</f>
        <v/>
      </c>
      <c r="X147" s="524" t="str">
        <f>IFERROR(IF(E147="","",VLOOKUP(W147, 'G-3 Multipliers'!$P$2:$Q$6,2,FALSE)),"")</f>
        <v/>
      </c>
      <c r="Y147" s="197"/>
      <c r="Z147" s="499" t="str">
        <f>IF(Y147="","",IF(VLOOKUP(Y147,'G-3 Multipliers'!$S$3:$T$9,2,FALSE)=0,"Spatial Data Missing ⚠",VLOOKUP(Y147,'G-3 Multipliers'!$S$3:$T$9,2,FALSE)))</f>
        <v/>
      </c>
      <c r="AA147" s="545" t="str">
        <f t="shared" si="13"/>
        <v/>
      </c>
      <c r="AB147" s="149"/>
      <c r="AC147" s="150"/>
    </row>
    <row r="148" spans="1:29" ht="13.8" x14ac:dyDescent="0.25">
      <c r="A148" s="31" t="str">
        <f>IFERROR(INDEX('G-8 Condition Look up'!$I$4:$I$130,MATCH(F148,'G-8 Condition Look up'!$A$4:$A$130,0)),"")</f>
        <v/>
      </c>
      <c r="C148" s="244" t="str">
        <f>IFERROR(INDEX('G-1 All Habitats'!$AG$3:$AG$15,MATCH(D148,'G-1 All Habitats'!$AF$3:$AF$15,0)),"")</f>
        <v/>
      </c>
      <c r="D148" s="154"/>
      <c r="E148" s="203"/>
      <c r="F148" s="243" t="str">
        <f>IFERROR(INDEX('G-1 All Habitats'!$B$3:$B$129,MATCH(E148,'G-1 All Habitats'!$A$3:$A$129,0)),"")</f>
        <v/>
      </c>
      <c r="G148" s="386"/>
      <c r="H148" s="537" t="str">
        <f>IF(F148="","",VLOOKUP(F148,'G-1 All Habitats'!$B$2:$M$129,10,FALSE))</f>
        <v/>
      </c>
      <c r="I148" s="524" t="str">
        <f>IFERROR(VLOOKUP(H148,'G-1 All Habitats'!$V$3:$W$7,2,FALSE),"")</f>
        <v/>
      </c>
      <c r="J148" s="199"/>
      <c r="K148" s="524" t="str">
        <f>IFERROR(INDEX('G-8 Condition Look up'!$A$3:$H$130,MATCH(F148,'G-8 Condition Look up'!$A$3:$A$130,0),MATCH(J148,'G-8 Condition Look up'!$A$3:$H$3,0)),"")</f>
        <v/>
      </c>
      <c r="L148" s="145"/>
      <c r="M148" s="540" t="str">
        <f>IF(L148="","",IF(VLOOKUP(L148,'G-3 Multipliers'!$L$3:$N$6,2,FALSE)=0,"Spatial Data Missing ⚠",VLOOKUP(L148,'G-3 Multipliers'!$L$3:$N$6,2,FALSE)))</f>
        <v/>
      </c>
      <c r="N148" s="499" t="str">
        <f>IF(L148="","",IF(VLOOKUP(L148,'G-3 Multipliers'!$L$3:$N$6,3,FALSE)=0,"Spatial Data Missing ⚠",VLOOKUP(L148,'G-3 Multipliers'!$L$3:$N$6,3,FALSE)))</f>
        <v/>
      </c>
      <c r="O148" s="498" t="str">
        <f t="shared" si="10"/>
        <v/>
      </c>
      <c r="P148" s="195"/>
      <c r="Q148" s="195"/>
      <c r="R148" s="520" t="str">
        <f t="shared" si="11"/>
        <v/>
      </c>
      <c r="S148" s="544" t="str">
        <f t="shared" si="12"/>
        <v/>
      </c>
      <c r="T148" s="525" t="str">
        <f>IFERROR(IF(S148="Check Data ⚠","Check Data ⚠",VLOOKUP(S148,'G-4 Temporal multipliers'!$A$4:$C$37,3,FALSE)),"")</f>
        <v/>
      </c>
      <c r="U148" s="523" t="str">
        <f>IF(F148="","",VLOOKUP(F148,'G-3 Multipliers'!$A$2:$E$129,2,FALSE))</f>
        <v/>
      </c>
      <c r="V148" s="520" t="str">
        <f t="shared" si="14"/>
        <v/>
      </c>
      <c r="W148" s="520" t="str">
        <f>IF(E148="","",IF(AND(V148="Standard difficulty applied",O148&gt;P148),U148,IF(AND(V148="Low Difficulty - only applicable if all habitat created before losses ⚠",P148&gt;=O148),"Low",VLOOKUP(F148,'G-3 Multipliers'!$A$2:$E$129,4,FALSE))))</f>
        <v/>
      </c>
      <c r="X148" s="524" t="str">
        <f>IFERROR(IF(E148="","",VLOOKUP(W148, 'G-3 Multipliers'!$P$2:$Q$6,2,FALSE)),"")</f>
        <v/>
      </c>
      <c r="Y148" s="197"/>
      <c r="Z148" s="499" t="str">
        <f>IF(Y148="","",IF(VLOOKUP(Y148,'G-3 Multipliers'!$S$3:$T$9,2,FALSE)=0,"Spatial Data Missing ⚠",VLOOKUP(Y148,'G-3 Multipliers'!$S$3:$T$9,2,FALSE)))</f>
        <v/>
      </c>
      <c r="AA148" s="545" t="str">
        <f t="shared" si="13"/>
        <v/>
      </c>
      <c r="AB148" s="149"/>
      <c r="AC148" s="150"/>
    </row>
    <row r="149" spans="1:29" ht="13.8" x14ac:dyDescent="0.25">
      <c r="A149" s="31" t="str">
        <f>IFERROR(INDEX('G-8 Condition Look up'!$I$4:$I$130,MATCH(F149,'G-8 Condition Look up'!$A$4:$A$130,0)),"")</f>
        <v/>
      </c>
      <c r="C149" s="244" t="str">
        <f>IFERROR(INDEX('G-1 All Habitats'!$AG$3:$AG$15,MATCH(D149,'G-1 All Habitats'!$AF$3:$AF$15,0)),"")</f>
        <v/>
      </c>
      <c r="D149" s="154"/>
      <c r="E149" s="203"/>
      <c r="F149" s="243" t="str">
        <f>IFERROR(INDEX('G-1 All Habitats'!$B$3:$B$129,MATCH(E149,'G-1 All Habitats'!$A$3:$A$129,0)),"")</f>
        <v/>
      </c>
      <c r="G149" s="386"/>
      <c r="H149" s="537" t="str">
        <f>IF(F149="","",VLOOKUP(F149,'G-1 All Habitats'!$B$2:$M$129,10,FALSE))</f>
        <v/>
      </c>
      <c r="I149" s="524" t="str">
        <f>IFERROR(VLOOKUP(H149,'G-1 All Habitats'!$V$3:$W$7,2,FALSE),"")</f>
        <v/>
      </c>
      <c r="J149" s="199"/>
      <c r="K149" s="524" t="str">
        <f>IFERROR(INDEX('G-8 Condition Look up'!$A$3:$H$130,MATCH(F149,'G-8 Condition Look up'!$A$3:$A$130,0),MATCH(J149,'G-8 Condition Look up'!$A$3:$H$3,0)),"")</f>
        <v/>
      </c>
      <c r="L149" s="145"/>
      <c r="M149" s="540" t="str">
        <f>IF(L149="","",IF(VLOOKUP(L149,'G-3 Multipliers'!$L$3:$N$6,2,FALSE)=0,"Spatial Data Missing ⚠",VLOOKUP(L149,'G-3 Multipliers'!$L$3:$N$6,2,FALSE)))</f>
        <v/>
      </c>
      <c r="N149" s="499" t="str">
        <f>IF(L149="","",IF(VLOOKUP(L149,'G-3 Multipliers'!$L$3:$N$6,3,FALSE)=0,"Spatial Data Missing ⚠",VLOOKUP(L149,'G-3 Multipliers'!$L$3:$N$6,3,FALSE)))</f>
        <v/>
      </c>
      <c r="O149" s="498" t="str">
        <f t="shared" si="10"/>
        <v/>
      </c>
      <c r="P149" s="195"/>
      <c r="Q149" s="195"/>
      <c r="R149" s="520" t="str">
        <f t="shared" si="11"/>
        <v/>
      </c>
      <c r="S149" s="544" t="str">
        <f t="shared" si="12"/>
        <v/>
      </c>
      <c r="T149" s="525" t="str">
        <f>IFERROR(IF(S149="Check Data ⚠","Check Data ⚠",VLOOKUP(S149,'G-4 Temporal multipliers'!$A$4:$C$37,3,FALSE)),"")</f>
        <v/>
      </c>
      <c r="U149" s="523" t="str">
        <f>IF(F149="","",VLOOKUP(F149,'G-3 Multipliers'!$A$2:$E$129,2,FALSE))</f>
        <v/>
      </c>
      <c r="V149" s="520" t="str">
        <f t="shared" si="14"/>
        <v/>
      </c>
      <c r="W149" s="520" t="str">
        <f>IF(E149="","",IF(AND(V149="Standard difficulty applied",O149&gt;P149),U149,IF(AND(V149="Low Difficulty - only applicable if all habitat created before losses ⚠",P149&gt;=O149),"Low",VLOOKUP(F149,'G-3 Multipliers'!$A$2:$E$129,4,FALSE))))</f>
        <v/>
      </c>
      <c r="X149" s="524" t="str">
        <f>IFERROR(IF(E149="","",VLOOKUP(W149, 'G-3 Multipliers'!$P$2:$Q$6,2,FALSE)),"")</f>
        <v/>
      </c>
      <c r="Y149" s="197"/>
      <c r="Z149" s="499" t="str">
        <f>IF(Y149="","",IF(VLOOKUP(Y149,'G-3 Multipliers'!$S$3:$T$9,2,FALSE)=0,"Spatial Data Missing ⚠",VLOOKUP(Y149,'G-3 Multipliers'!$S$3:$T$9,2,FALSE)))</f>
        <v/>
      </c>
      <c r="AA149" s="545" t="str">
        <f t="shared" si="13"/>
        <v/>
      </c>
      <c r="AB149" s="149"/>
      <c r="AC149" s="150"/>
    </row>
    <row r="150" spans="1:29" ht="13.8" x14ac:dyDescent="0.25">
      <c r="A150" s="31" t="str">
        <f>IFERROR(INDEX('G-8 Condition Look up'!$I$4:$I$130,MATCH(F150,'G-8 Condition Look up'!$A$4:$A$130,0)),"")</f>
        <v/>
      </c>
      <c r="C150" s="244" t="str">
        <f>IFERROR(INDEX('G-1 All Habitats'!$AG$3:$AG$15,MATCH(D150,'G-1 All Habitats'!$AF$3:$AF$15,0)),"")</f>
        <v/>
      </c>
      <c r="D150" s="154"/>
      <c r="E150" s="203"/>
      <c r="F150" s="243" t="str">
        <f>IFERROR(INDEX('G-1 All Habitats'!$B$3:$B$129,MATCH(E150,'G-1 All Habitats'!$A$3:$A$129,0)),"")</f>
        <v/>
      </c>
      <c r="G150" s="386"/>
      <c r="H150" s="537" t="str">
        <f>IF(F150="","",VLOOKUP(F150,'G-1 All Habitats'!$B$2:$M$129,10,FALSE))</f>
        <v/>
      </c>
      <c r="I150" s="524" t="str">
        <f>IFERROR(VLOOKUP(H150,'G-1 All Habitats'!$V$3:$W$7,2,FALSE),"")</f>
        <v/>
      </c>
      <c r="J150" s="199"/>
      <c r="K150" s="524" t="str">
        <f>IFERROR(INDEX('G-8 Condition Look up'!$A$3:$H$130,MATCH(F150,'G-8 Condition Look up'!$A$3:$A$130,0),MATCH(J150,'G-8 Condition Look up'!$A$3:$H$3,0)),"")</f>
        <v/>
      </c>
      <c r="L150" s="145"/>
      <c r="M150" s="540" t="str">
        <f>IF(L150="","",IF(VLOOKUP(L150,'G-3 Multipliers'!$L$3:$N$6,2,FALSE)=0,"Spatial Data Missing ⚠",VLOOKUP(L150,'G-3 Multipliers'!$L$3:$N$6,2,FALSE)))</f>
        <v/>
      </c>
      <c r="N150" s="499" t="str">
        <f>IF(L150="","",IF(VLOOKUP(L150,'G-3 Multipliers'!$L$3:$N$6,3,FALSE)=0,"Spatial Data Missing ⚠",VLOOKUP(L150,'G-3 Multipliers'!$L$3:$N$6,3,FALSE)))</f>
        <v/>
      </c>
      <c r="O150" s="498" t="str">
        <f t="shared" si="10"/>
        <v/>
      </c>
      <c r="P150" s="195"/>
      <c r="Q150" s="195"/>
      <c r="R150" s="520" t="str">
        <f t="shared" si="11"/>
        <v/>
      </c>
      <c r="S150" s="544" t="str">
        <f t="shared" si="12"/>
        <v/>
      </c>
      <c r="T150" s="525" t="str">
        <f>IFERROR(IF(S150="Check Data ⚠","Check Data ⚠",VLOOKUP(S150,'G-4 Temporal multipliers'!$A$4:$C$37,3,FALSE)),"")</f>
        <v/>
      </c>
      <c r="U150" s="523" t="str">
        <f>IF(F150="","",VLOOKUP(F150,'G-3 Multipliers'!$A$2:$E$129,2,FALSE))</f>
        <v/>
      </c>
      <c r="V150" s="520" t="str">
        <f t="shared" si="14"/>
        <v/>
      </c>
      <c r="W150" s="520" t="str">
        <f>IF(E150="","",IF(AND(V150="Standard difficulty applied",O150&gt;P150),U150,IF(AND(V150="Low Difficulty - only applicable if all habitat created before losses ⚠",P150&gt;=O150),"Low",VLOOKUP(F150,'G-3 Multipliers'!$A$2:$E$129,4,FALSE))))</f>
        <v/>
      </c>
      <c r="X150" s="524" t="str">
        <f>IFERROR(IF(E150="","",VLOOKUP(W150, 'G-3 Multipliers'!$P$2:$Q$6,2,FALSE)),"")</f>
        <v/>
      </c>
      <c r="Y150" s="197"/>
      <c r="Z150" s="499" t="str">
        <f>IF(Y150="","",IF(VLOOKUP(Y150,'G-3 Multipliers'!$S$3:$T$9,2,FALSE)=0,"Spatial Data Missing ⚠",VLOOKUP(Y150,'G-3 Multipliers'!$S$3:$T$9,2,FALSE)))</f>
        <v/>
      </c>
      <c r="AA150" s="545" t="str">
        <f t="shared" si="13"/>
        <v/>
      </c>
      <c r="AB150" s="149"/>
      <c r="AC150" s="150"/>
    </row>
    <row r="151" spans="1:29" ht="13.8" x14ac:dyDescent="0.25">
      <c r="A151" s="31" t="str">
        <f>IFERROR(INDEX('G-8 Condition Look up'!$I$4:$I$130,MATCH(F151,'G-8 Condition Look up'!$A$4:$A$130,0)),"")</f>
        <v/>
      </c>
      <c r="C151" s="244" t="str">
        <f>IFERROR(INDEX('G-1 All Habitats'!$AG$3:$AG$15,MATCH(D151,'G-1 All Habitats'!$AF$3:$AF$15,0)),"")</f>
        <v/>
      </c>
      <c r="D151" s="154"/>
      <c r="E151" s="203"/>
      <c r="F151" s="243" t="str">
        <f>IFERROR(INDEX('G-1 All Habitats'!$B$3:$B$129,MATCH(E151,'G-1 All Habitats'!$A$3:$A$129,0)),"")</f>
        <v/>
      </c>
      <c r="G151" s="386"/>
      <c r="H151" s="537" t="str">
        <f>IF(F151="","",VLOOKUP(F151,'G-1 All Habitats'!$B$2:$M$129,10,FALSE))</f>
        <v/>
      </c>
      <c r="I151" s="524" t="str">
        <f>IFERROR(VLOOKUP(H151,'G-1 All Habitats'!$V$3:$W$7,2,FALSE),"")</f>
        <v/>
      </c>
      <c r="J151" s="199"/>
      <c r="K151" s="524" t="str">
        <f>IFERROR(INDEX('G-8 Condition Look up'!$A$3:$H$130,MATCH(F151,'G-8 Condition Look up'!$A$3:$A$130,0),MATCH(J151,'G-8 Condition Look up'!$A$3:$H$3,0)),"")</f>
        <v/>
      </c>
      <c r="L151" s="145"/>
      <c r="M151" s="540" t="str">
        <f>IF(L151="","",IF(VLOOKUP(L151,'G-3 Multipliers'!$L$3:$N$6,2,FALSE)=0,"Spatial Data Missing ⚠",VLOOKUP(L151,'G-3 Multipliers'!$L$3:$N$6,2,FALSE)))</f>
        <v/>
      </c>
      <c r="N151" s="499" t="str">
        <f>IF(L151="","",IF(VLOOKUP(L151,'G-3 Multipliers'!$L$3:$N$6,3,FALSE)=0,"Spatial Data Missing ⚠",VLOOKUP(L151,'G-3 Multipliers'!$L$3:$N$6,3,FALSE)))</f>
        <v/>
      </c>
      <c r="O151" s="498" t="str">
        <f t="shared" si="10"/>
        <v/>
      </c>
      <c r="P151" s="195"/>
      <c r="Q151" s="195"/>
      <c r="R151" s="520" t="str">
        <f t="shared" si="11"/>
        <v/>
      </c>
      <c r="S151" s="544" t="str">
        <f t="shared" si="12"/>
        <v/>
      </c>
      <c r="T151" s="525" t="str">
        <f>IFERROR(IF(S151="Check Data ⚠","Check Data ⚠",VLOOKUP(S151,'G-4 Temporal multipliers'!$A$4:$C$37,3,FALSE)),"")</f>
        <v/>
      </c>
      <c r="U151" s="523" t="str">
        <f>IF(F151="","",VLOOKUP(F151,'G-3 Multipliers'!$A$2:$E$129,2,FALSE))</f>
        <v/>
      </c>
      <c r="V151" s="520" t="str">
        <f t="shared" si="14"/>
        <v/>
      </c>
      <c r="W151" s="520" t="str">
        <f>IF(E151="","",IF(AND(V151="Standard difficulty applied",O151&gt;P151),U151,IF(AND(V151="Low Difficulty - only applicable if all habitat created before losses ⚠",P151&gt;=O151),"Low",VLOOKUP(F151,'G-3 Multipliers'!$A$2:$E$129,4,FALSE))))</f>
        <v/>
      </c>
      <c r="X151" s="524" t="str">
        <f>IFERROR(IF(E151="","",VLOOKUP(W151, 'G-3 Multipliers'!$P$2:$Q$6,2,FALSE)),"")</f>
        <v/>
      </c>
      <c r="Y151" s="197"/>
      <c r="Z151" s="499" t="str">
        <f>IF(Y151="","",IF(VLOOKUP(Y151,'G-3 Multipliers'!$S$3:$T$9,2,FALSE)=0,"Spatial Data Missing ⚠",VLOOKUP(Y151,'G-3 Multipliers'!$S$3:$T$9,2,FALSE)))</f>
        <v/>
      </c>
      <c r="AA151" s="545" t="str">
        <f t="shared" si="13"/>
        <v/>
      </c>
      <c r="AB151" s="149"/>
      <c r="AC151" s="150"/>
    </row>
    <row r="152" spans="1:29" ht="13.8" x14ac:dyDescent="0.25">
      <c r="A152" s="31" t="str">
        <f>IFERROR(INDEX('G-8 Condition Look up'!$I$4:$I$130,MATCH(F152,'G-8 Condition Look up'!$A$4:$A$130,0)),"")</f>
        <v/>
      </c>
      <c r="C152" s="244" t="str">
        <f>IFERROR(INDEX('G-1 All Habitats'!$AG$3:$AG$15,MATCH(D152,'G-1 All Habitats'!$AF$3:$AF$15,0)),"")</f>
        <v/>
      </c>
      <c r="D152" s="154"/>
      <c r="E152" s="203"/>
      <c r="F152" s="243" t="str">
        <f>IFERROR(INDEX('G-1 All Habitats'!$B$3:$B$129,MATCH(E152,'G-1 All Habitats'!$A$3:$A$129,0)),"")</f>
        <v/>
      </c>
      <c r="G152" s="386"/>
      <c r="H152" s="537" t="str">
        <f>IF(F152="","",VLOOKUP(F152,'G-1 All Habitats'!$B$2:$M$129,10,FALSE))</f>
        <v/>
      </c>
      <c r="I152" s="524" t="str">
        <f>IFERROR(VLOOKUP(H152,'G-1 All Habitats'!$V$3:$W$7,2,FALSE),"")</f>
        <v/>
      </c>
      <c r="J152" s="199"/>
      <c r="K152" s="524" t="str">
        <f>IFERROR(INDEX('G-8 Condition Look up'!$A$3:$H$130,MATCH(F152,'G-8 Condition Look up'!$A$3:$A$130,0),MATCH(J152,'G-8 Condition Look up'!$A$3:$H$3,0)),"")</f>
        <v/>
      </c>
      <c r="L152" s="145"/>
      <c r="M152" s="540" t="str">
        <f>IF(L152="","",IF(VLOOKUP(L152,'G-3 Multipliers'!$L$3:$N$6,2,FALSE)=0,"Spatial Data Missing ⚠",VLOOKUP(L152,'G-3 Multipliers'!$L$3:$N$6,2,FALSE)))</f>
        <v/>
      </c>
      <c r="N152" s="499" t="str">
        <f>IF(L152="","",IF(VLOOKUP(L152,'G-3 Multipliers'!$L$3:$N$6,3,FALSE)=0,"Spatial Data Missing ⚠",VLOOKUP(L152,'G-3 Multipliers'!$L$3:$N$6,3,FALSE)))</f>
        <v/>
      </c>
      <c r="O152" s="498" t="str">
        <f t="shared" si="10"/>
        <v/>
      </c>
      <c r="P152" s="195"/>
      <c r="Q152" s="195"/>
      <c r="R152" s="520" t="str">
        <f t="shared" si="11"/>
        <v/>
      </c>
      <c r="S152" s="544" t="str">
        <f t="shared" si="12"/>
        <v/>
      </c>
      <c r="T152" s="525" t="str">
        <f>IFERROR(IF(S152="Check Data ⚠","Check Data ⚠",VLOOKUP(S152,'G-4 Temporal multipliers'!$A$4:$C$37,3,FALSE)),"")</f>
        <v/>
      </c>
      <c r="U152" s="523" t="str">
        <f>IF(F152="","",VLOOKUP(F152,'G-3 Multipliers'!$A$2:$E$129,2,FALSE))</f>
        <v/>
      </c>
      <c r="V152" s="520" t="str">
        <f t="shared" si="14"/>
        <v/>
      </c>
      <c r="W152" s="520" t="str">
        <f>IF(E152="","",IF(AND(V152="Standard difficulty applied",O152&gt;P152),U152,IF(AND(V152="Low Difficulty - only applicable if all habitat created before losses ⚠",P152&gt;=O152),"Low",VLOOKUP(F152,'G-3 Multipliers'!$A$2:$E$129,4,FALSE))))</f>
        <v/>
      </c>
      <c r="X152" s="524" t="str">
        <f>IFERROR(IF(E152="","",VLOOKUP(W152, 'G-3 Multipliers'!$P$2:$Q$6,2,FALSE)),"")</f>
        <v/>
      </c>
      <c r="Y152" s="197"/>
      <c r="Z152" s="499" t="str">
        <f>IF(Y152="","",IF(VLOOKUP(Y152,'G-3 Multipliers'!$S$3:$T$9,2,FALSE)=0,"Spatial Data Missing ⚠",VLOOKUP(Y152,'G-3 Multipliers'!$S$3:$T$9,2,FALSE)))</f>
        <v/>
      </c>
      <c r="AA152" s="545" t="str">
        <f t="shared" si="13"/>
        <v/>
      </c>
      <c r="AB152" s="149"/>
      <c r="AC152" s="150"/>
    </row>
    <row r="153" spans="1:29" ht="13.8" x14ac:dyDescent="0.25">
      <c r="A153" s="31" t="str">
        <f>IFERROR(INDEX('G-8 Condition Look up'!$I$4:$I$130,MATCH(F153,'G-8 Condition Look up'!$A$4:$A$130,0)),"")</f>
        <v/>
      </c>
      <c r="C153" s="244" t="str">
        <f>IFERROR(INDEX('G-1 All Habitats'!$AG$3:$AG$15,MATCH(D153,'G-1 All Habitats'!$AF$3:$AF$15,0)),"")</f>
        <v/>
      </c>
      <c r="D153" s="154"/>
      <c r="E153" s="203"/>
      <c r="F153" s="243" t="str">
        <f>IFERROR(INDEX('G-1 All Habitats'!$B$3:$B$129,MATCH(E153,'G-1 All Habitats'!$A$3:$A$129,0)),"")</f>
        <v/>
      </c>
      <c r="G153" s="386"/>
      <c r="H153" s="537" t="str">
        <f>IF(F153="","",VLOOKUP(F153,'G-1 All Habitats'!$B$2:$M$129,10,FALSE))</f>
        <v/>
      </c>
      <c r="I153" s="524" t="str">
        <f>IFERROR(VLOOKUP(H153,'G-1 All Habitats'!$V$3:$W$7,2,FALSE),"")</f>
        <v/>
      </c>
      <c r="J153" s="199"/>
      <c r="K153" s="524" t="str">
        <f>IFERROR(INDEX('G-8 Condition Look up'!$A$3:$H$130,MATCH(F153,'G-8 Condition Look up'!$A$3:$A$130,0),MATCH(J153,'G-8 Condition Look up'!$A$3:$H$3,0)),"")</f>
        <v/>
      </c>
      <c r="L153" s="145"/>
      <c r="M153" s="540" t="str">
        <f>IF(L153="","",IF(VLOOKUP(L153,'G-3 Multipliers'!$L$3:$N$6,2,FALSE)=0,"Spatial Data Missing ⚠",VLOOKUP(L153,'G-3 Multipliers'!$L$3:$N$6,2,FALSE)))</f>
        <v/>
      </c>
      <c r="N153" s="499" t="str">
        <f>IF(L153="","",IF(VLOOKUP(L153,'G-3 Multipliers'!$L$3:$N$6,3,FALSE)=0,"Spatial Data Missing ⚠",VLOOKUP(L153,'G-3 Multipliers'!$L$3:$N$6,3,FALSE)))</f>
        <v/>
      </c>
      <c r="O153" s="498" t="str">
        <f t="shared" si="10"/>
        <v/>
      </c>
      <c r="P153" s="195"/>
      <c r="Q153" s="195"/>
      <c r="R153" s="520" t="str">
        <f t="shared" si="11"/>
        <v/>
      </c>
      <c r="S153" s="544" t="str">
        <f t="shared" si="12"/>
        <v/>
      </c>
      <c r="T153" s="525" t="str">
        <f>IFERROR(IF(S153="Check Data ⚠","Check Data ⚠",VLOOKUP(S153,'G-4 Temporal multipliers'!$A$4:$C$37,3,FALSE)),"")</f>
        <v/>
      </c>
      <c r="U153" s="523" t="str">
        <f>IF(F153="","",VLOOKUP(F153,'G-3 Multipliers'!$A$2:$E$129,2,FALSE))</f>
        <v/>
      </c>
      <c r="V153" s="520" t="str">
        <f t="shared" si="14"/>
        <v/>
      </c>
      <c r="W153" s="520" t="str">
        <f>IF(E153="","",IF(AND(V153="Standard difficulty applied",O153&gt;P153),U153,IF(AND(V153="Low Difficulty - only applicable if all habitat created before losses ⚠",P153&gt;=O153),"Low",VLOOKUP(F153,'G-3 Multipliers'!$A$2:$E$129,4,FALSE))))</f>
        <v/>
      </c>
      <c r="X153" s="524" t="str">
        <f>IFERROR(IF(E153="","",VLOOKUP(W153, 'G-3 Multipliers'!$P$2:$Q$6,2,FALSE)),"")</f>
        <v/>
      </c>
      <c r="Y153" s="197"/>
      <c r="Z153" s="499" t="str">
        <f>IF(Y153="","",IF(VLOOKUP(Y153,'G-3 Multipliers'!$S$3:$T$9,2,FALSE)=0,"Spatial Data Missing ⚠",VLOOKUP(Y153,'G-3 Multipliers'!$S$3:$T$9,2,FALSE)))</f>
        <v/>
      </c>
      <c r="AA153" s="545" t="str">
        <f t="shared" si="13"/>
        <v/>
      </c>
      <c r="AB153" s="149"/>
      <c r="AC153" s="150"/>
    </row>
    <row r="154" spans="1:29" ht="13.8" x14ac:dyDescent="0.25">
      <c r="A154" s="31" t="str">
        <f>IFERROR(INDEX('G-8 Condition Look up'!$I$4:$I$130,MATCH(F154,'G-8 Condition Look up'!$A$4:$A$130,0)),"")</f>
        <v/>
      </c>
      <c r="C154" s="244" t="str">
        <f>IFERROR(INDEX('G-1 All Habitats'!$AG$3:$AG$15,MATCH(D154,'G-1 All Habitats'!$AF$3:$AF$15,0)),"")</f>
        <v/>
      </c>
      <c r="D154" s="154"/>
      <c r="E154" s="203"/>
      <c r="F154" s="243" t="str">
        <f>IFERROR(INDEX('G-1 All Habitats'!$B$3:$B$129,MATCH(E154,'G-1 All Habitats'!$A$3:$A$129,0)),"")</f>
        <v/>
      </c>
      <c r="G154" s="386"/>
      <c r="H154" s="537" t="str">
        <f>IF(F154="","",VLOOKUP(F154,'G-1 All Habitats'!$B$2:$M$129,10,FALSE))</f>
        <v/>
      </c>
      <c r="I154" s="524" t="str">
        <f>IFERROR(VLOOKUP(H154,'G-1 All Habitats'!$V$3:$W$7,2,FALSE),"")</f>
        <v/>
      </c>
      <c r="J154" s="199"/>
      <c r="K154" s="524" t="str">
        <f>IFERROR(INDEX('G-8 Condition Look up'!$A$3:$H$130,MATCH(F154,'G-8 Condition Look up'!$A$3:$A$130,0),MATCH(J154,'G-8 Condition Look up'!$A$3:$H$3,0)),"")</f>
        <v/>
      </c>
      <c r="L154" s="145"/>
      <c r="M154" s="540" t="str">
        <f>IF(L154="","",IF(VLOOKUP(L154,'G-3 Multipliers'!$L$3:$N$6,2,FALSE)=0,"Spatial Data Missing ⚠",VLOOKUP(L154,'G-3 Multipliers'!$L$3:$N$6,2,FALSE)))</f>
        <v/>
      </c>
      <c r="N154" s="499" t="str">
        <f>IF(L154="","",IF(VLOOKUP(L154,'G-3 Multipliers'!$L$3:$N$6,3,FALSE)=0,"Spatial Data Missing ⚠",VLOOKUP(L154,'G-3 Multipliers'!$L$3:$N$6,3,FALSE)))</f>
        <v/>
      </c>
      <c r="O154" s="498" t="str">
        <f t="shared" si="10"/>
        <v/>
      </c>
      <c r="P154" s="195"/>
      <c r="Q154" s="195"/>
      <c r="R154" s="520" t="str">
        <f t="shared" si="11"/>
        <v/>
      </c>
      <c r="S154" s="544" t="str">
        <f t="shared" si="12"/>
        <v/>
      </c>
      <c r="T154" s="525" t="str">
        <f>IFERROR(IF(S154="Check Data ⚠","Check Data ⚠",VLOOKUP(S154,'G-4 Temporal multipliers'!$A$4:$C$37,3,FALSE)),"")</f>
        <v/>
      </c>
      <c r="U154" s="523" t="str">
        <f>IF(F154="","",VLOOKUP(F154,'G-3 Multipliers'!$A$2:$E$129,2,FALSE))</f>
        <v/>
      </c>
      <c r="V154" s="520" t="str">
        <f t="shared" si="14"/>
        <v/>
      </c>
      <c r="W154" s="520" t="str">
        <f>IF(E154="","",IF(AND(V154="Standard difficulty applied",O154&gt;P154),U154,IF(AND(V154="Low Difficulty - only applicable if all habitat created before losses ⚠",P154&gt;=O154),"Low",VLOOKUP(F154,'G-3 Multipliers'!$A$2:$E$129,4,FALSE))))</f>
        <v/>
      </c>
      <c r="X154" s="524" t="str">
        <f>IFERROR(IF(E154="","",VLOOKUP(W154, 'G-3 Multipliers'!$P$2:$Q$6,2,FALSE)),"")</f>
        <v/>
      </c>
      <c r="Y154" s="197"/>
      <c r="Z154" s="499" t="str">
        <f>IF(Y154="","",IF(VLOOKUP(Y154,'G-3 Multipliers'!$S$3:$T$9,2,FALSE)=0,"Spatial Data Missing ⚠",VLOOKUP(Y154,'G-3 Multipliers'!$S$3:$T$9,2,FALSE)))</f>
        <v/>
      </c>
      <c r="AA154" s="545" t="str">
        <f t="shared" si="13"/>
        <v/>
      </c>
      <c r="AB154" s="149"/>
      <c r="AC154" s="150"/>
    </row>
    <row r="155" spans="1:29" ht="13.8" x14ac:dyDescent="0.25">
      <c r="A155" s="31" t="str">
        <f>IFERROR(INDEX('G-8 Condition Look up'!$I$4:$I$130,MATCH(F155,'G-8 Condition Look up'!$A$4:$A$130,0)),"")</f>
        <v/>
      </c>
      <c r="C155" s="244" t="str">
        <f>IFERROR(INDEX('G-1 All Habitats'!$AG$3:$AG$15,MATCH(D155,'G-1 All Habitats'!$AF$3:$AF$15,0)),"")</f>
        <v/>
      </c>
      <c r="D155" s="154"/>
      <c r="E155" s="203"/>
      <c r="F155" s="243" t="str">
        <f>IFERROR(INDEX('G-1 All Habitats'!$B$3:$B$129,MATCH(E155,'G-1 All Habitats'!$A$3:$A$129,0)),"")</f>
        <v/>
      </c>
      <c r="G155" s="386"/>
      <c r="H155" s="537" t="str">
        <f>IF(F155="","",VLOOKUP(F155,'G-1 All Habitats'!$B$2:$M$129,10,FALSE))</f>
        <v/>
      </c>
      <c r="I155" s="524" t="str">
        <f>IFERROR(VLOOKUP(H155,'G-1 All Habitats'!$V$3:$W$7,2,FALSE),"")</f>
        <v/>
      </c>
      <c r="J155" s="199"/>
      <c r="K155" s="524" t="str">
        <f>IFERROR(INDEX('G-8 Condition Look up'!$A$3:$H$130,MATCH(F155,'G-8 Condition Look up'!$A$3:$A$130,0),MATCH(J155,'G-8 Condition Look up'!$A$3:$H$3,0)),"")</f>
        <v/>
      </c>
      <c r="L155" s="145"/>
      <c r="M155" s="540" t="str">
        <f>IF(L155="","",IF(VLOOKUP(L155,'G-3 Multipliers'!$L$3:$N$6,2,FALSE)=0,"Spatial Data Missing ⚠",VLOOKUP(L155,'G-3 Multipliers'!$L$3:$N$6,2,FALSE)))</f>
        <v/>
      </c>
      <c r="N155" s="499" t="str">
        <f>IF(L155="","",IF(VLOOKUP(L155,'G-3 Multipliers'!$L$3:$N$6,3,FALSE)=0,"Spatial Data Missing ⚠",VLOOKUP(L155,'G-3 Multipliers'!$L$3:$N$6,3,FALSE)))</f>
        <v/>
      </c>
      <c r="O155" s="498" t="str">
        <f t="shared" si="10"/>
        <v/>
      </c>
      <c r="P155" s="195"/>
      <c r="Q155" s="195"/>
      <c r="R155" s="520" t="str">
        <f t="shared" si="11"/>
        <v/>
      </c>
      <c r="S155" s="544" t="str">
        <f t="shared" si="12"/>
        <v/>
      </c>
      <c r="T155" s="525" t="str">
        <f>IFERROR(IF(S155="Check Data ⚠","Check Data ⚠",VLOOKUP(S155,'G-4 Temporal multipliers'!$A$4:$C$37,3,FALSE)),"")</f>
        <v/>
      </c>
      <c r="U155" s="523" t="str">
        <f>IF(F155="","",VLOOKUP(F155,'G-3 Multipliers'!$A$2:$E$129,2,FALSE))</f>
        <v/>
      </c>
      <c r="V155" s="520" t="str">
        <f t="shared" si="14"/>
        <v/>
      </c>
      <c r="W155" s="520" t="str">
        <f>IF(E155="","",IF(AND(V155="Standard difficulty applied",O155&gt;P155),U155,IF(AND(V155="Low Difficulty - only applicable if all habitat created before losses ⚠",P155&gt;=O155),"Low",VLOOKUP(F155,'G-3 Multipliers'!$A$2:$E$129,4,FALSE))))</f>
        <v/>
      </c>
      <c r="X155" s="524" t="str">
        <f>IFERROR(IF(E155="","",VLOOKUP(W155, 'G-3 Multipliers'!$P$2:$Q$6,2,FALSE)),"")</f>
        <v/>
      </c>
      <c r="Y155" s="197"/>
      <c r="Z155" s="499" t="str">
        <f>IF(Y155="","",IF(VLOOKUP(Y155,'G-3 Multipliers'!$S$3:$T$9,2,FALSE)=0,"Spatial Data Missing ⚠",VLOOKUP(Y155,'G-3 Multipliers'!$S$3:$T$9,2,FALSE)))</f>
        <v/>
      </c>
      <c r="AA155" s="545" t="str">
        <f t="shared" si="13"/>
        <v/>
      </c>
      <c r="AB155" s="149"/>
      <c r="AC155" s="150"/>
    </row>
    <row r="156" spans="1:29" ht="13.8" x14ac:dyDescent="0.25">
      <c r="A156" s="31" t="str">
        <f>IFERROR(INDEX('G-8 Condition Look up'!$I$4:$I$130,MATCH(F156,'G-8 Condition Look up'!$A$4:$A$130,0)),"")</f>
        <v/>
      </c>
      <c r="C156" s="244" t="str">
        <f>IFERROR(INDEX('G-1 All Habitats'!$AG$3:$AG$15,MATCH(D156,'G-1 All Habitats'!$AF$3:$AF$15,0)),"")</f>
        <v/>
      </c>
      <c r="D156" s="154"/>
      <c r="E156" s="203"/>
      <c r="F156" s="243" t="str">
        <f>IFERROR(INDEX('G-1 All Habitats'!$B$3:$B$129,MATCH(E156,'G-1 All Habitats'!$A$3:$A$129,0)),"")</f>
        <v/>
      </c>
      <c r="G156" s="386"/>
      <c r="H156" s="537" t="str">
        <f>IF(F156="","",VLOOKUP(F156,'G-1 All Habitats'!$B$2:$M$129,10,FALSE))</f>
        <v/>
      </c>
      <c r="I156" s="524" t="str">
        <f>IFERROR(VLOOKUP(H156,'G-1 All Habitats'!$V$3:$W$7,2,FALSE),"")</f>
        <v/>
      </c>
      <c r="J156" s="199"/>
      <c r="K156" s="524" t="str">
        <f>IFERROR(INDEX('G-8 Condition Look up'!$A$3:$H$130,MATCH(F156,'G-8 Condition Look up'!$A$3:$A$130,0),MATCH(J156,'G-8 Condition Look up'!$A$3:$H$3,0)),"")</f>
        <v/>
      </c>
      <c r="L156" s="145"/>
      <c r="M156" s="540" t="str">
        <f>IF(L156="","",IF(VLOOKUP(L156,'G-3 Multipliers'!$L$3:$N$6,2,FALSE)=0,"Spatial Data Missing ⚠",VLOOKUP(L156,'G-3 Multipliers'!$L$3:$N$6,2,FALSE)))</f>
        <v/>
      </c>
      <c r="N156" s="499" t="str">
        <f>IF(L156="","",IF(VLOOKUP(L156,'G-3 Multipliers'!$L$3:$N$6,3,FALSE)=0,"Spatial Data Missing ⚠",VLOOKUP(L156,'G-3 Multipliers'!$L$3:$N$6,3,FALSE)))</f>
        <v/>
      </c>
      <c r="O156" s="498" t="str">
        <f t="shared" si="10"/>
        <v/>
      </c>
      <c r="P156" s="195"/>
      <c r="Q156" s="195"/>
      <c r="R156" s="520" t="str">
        <f t="shared" si="11"/>
        <v/>
      </c>
      <c r="S156" s="544" t="str">
        <f t="shared" si="12"/>
        <v/>
      </c>
      <c r="T156" s="525" t="str">
        <f>IFERROR(IF(S156="Check Data ⚠","Check Data ⚠",VLOOKUP(S156,'G-4 Temporal multipliers'!$A$4:$C$37,3,FALSE)),"")</f>
        <v/>
      </c>
      <c r="U156" s="523" t="str">
        <f>IF(F156="","",VLOOKUP(F156,'G-3 Multipliers'!$A$2:$E$129,2,FALSE))</f>
        <v/>
      </c>
      <c r="V156" s="520" t="str">
        <f t="shared" si="14"/>
        <v/>
      </c>
      <c r="W156" s="520" t="str">
        <f>IF(E156="","",IF(AND(V156="Standard difficulty applied",O156&gt;P156),U156,IF(AND(V156="Low Difficulty - only applicable if all habitat created before losses ⚠",P156&gt;=O156),"Low",VLOOKUP(F156,'G-3 Multipliers'!$A$2:$E$129,4,FALSE))))</f>
        <v/>
      </c>
      <c r="X156" s="524" t="str">
        <f>IFERROR(IF(E156="","",VLOOKUP(W156, 'G-3 Multipliers'!$P$2:$Q$6,2,FALSE)),"")</f>
        <v/>
      </c>
      <c r="Y156" s="197"/>
      <c r="Z156" s="499" t="str">
        <f>IF(Y156="","",IF(VLOOKUP(Y156,'G-3 Multipliers'!$S$3:$T$9,2,FALSE)=0,"Spatial Data Missing ⚠",VLOOKUP(Y156,'G-3 Multipliers'!$S$3:$T$9,2,FALSE)))</f>
        <v/>
      </c>
      <c r="AA156" s="545" t="str">
        <f t="shared" si="13"/>
        <v/>
      </c>
      <c r="AB156" s="149"/>
      <c r="AC156" s="150"/>
    </row>
    <row r="157" spans="1:29" ht="13.8" x14ac:dyDescent="0.25">
      <c r="A157" s="31" t="str">
        <f>IFERROR(INDEX('G-8 Condition Look up'!$I$4:$I$130,MATCH(F157,'G-8 Condition Look up'!$A$4:$A$130,0)),"")</f>
        <v/>
      </c>
      <c r="C157" s="244" t="str">
        <f>IFERROR(INDEX('G-1 All Habitats'!$AG$3:$AG$15,MATCH(D157,'G-1 All Habitats'!$AF$3:$AF$15,0)),"")</f>
        <v/>
      </c>
      <c r="D157" s="154"/>
      <c r="E157" s="203"/>
      <c r="F157" s="243" t="str">
        <f>IFERROR(INDEX('G-1 All Habitats'!$B$3:$B$129,MATCH(E157,'G-1 All Habitats'!$A$3:$A$129,0)),"")</f>
        <v/>
      </c>
      <c r="G157" s="386"/>
      <c r="H157" s="537" t="str">
        <f>IF(F157="","",VLOOKUP(F157,'G-1 All Habitats'!$B$2:$M$129,10,FALSE))</f>
        <v/>
      </c>
      <c r="I157" s="524" t="str">
        <f>IFERROR(VLOOKUP(H157,'G-1 All Habitats'!$V$3:$W$7,2,FALSE),"")</f>
        <v/>
      </c>
      <c r="J157" s="199"/>
      <c r="K157" s="524" t="str">
        <f>IFERROR(INDEX('G-8 Condition Look up'!$A$3:$H$130,MATCH(F157,'G-8 Condition Look up'!$A$3:$A$130,0),MATCH(J157,'G-8 Condition Look up'!$A$3:$H$3,0)),"")</f>
        <v/>
      </c>
      <c r="L157" s="145"/>
      <c r="M157" s="540" t="str">
        <f>IF(L157="","",IF(VLOOKUP(L157,'G-3 Multipliers'!$L$3:$N$6,2,FALSE)=0,"Spatial Data Missing ⚠",VLOOKUP(L157,'G-3 Multipliers'!$L$3:$N$6,2,FALSE)))</f>
        <v/>
      </c>
      <c r="N157" s="499" t="str">
        <f>IF(L157="","",IF(VLOOKUP(L157,'G-3 Multipliers'!$L$3:$N$6,3,FALSE)=0,"Spatial Data Missing ⚠",VLOOKUP(L157,'G-3 Multipliers'!$L$3:$N$6,3,FALSE)))</f>
        <v/>
      </c>
      <c r="O157" s="498" t="str">
        <f t="shared" si="10"/>
        <v/>
      </c>
      <c r="P157" s="195"/>
      <c r="Q157" s="195"/>
      <c r="R157" s="520" t="str">
        <f t="shared" si="11"/>
        <v/>
      </c>
      <c r="S157" s="544" t="str">
        <f t="shared" si="12"/>
        <v/>
      </c>
      <c r="T157" s="525" t="str">
        <f>IFERROR(IF(S157="Check Data ⚠","Check Data ⚠",VLOOKUP(S157,'G-4 Temporal multipliers'!$A$4:$C$37,3,FALSE)),"")</f>
        <v/>
      </c>
      <c r="U157" s="523" t="str">
        <f>IF(F157="","",VLOOKUP(F157,'G-3 Multipliers'!$A$2:$E$129,2,FALSE))</f>
        <v/>
      </c>
      <c r="V157" s="520" t="str">
        <f t="shared" si="14"/>
        <v/>
      </c>
      <c r="W157" s="520" t="str">
        <f>IF(E157="","",IF(AND(V157="Standard difficulty applied",O157&gt;P157),U157,IF(AND(V157="Low Difficulty - only applicable if all habitat created before losses ⚠",P157&gt;=O157),"Low",VLOOKUP(F157,'G-3 Multipliers'!$A$2:$E$129,4,FALSE))))</f>
        <v/>
      </c>
      <c r="X157" s="524" t="str">
        <f>IFERROR(IF(E157="","",VLOOKUP(W157, 'G-3 Multipliers'!$P$2:$Q$6,2,FALSE)),"")</f>
        <v/>
      </c>
      <c r="Y157" s="197"/>
      <c r="Z157" s="499" t="str">
        <f>IF(Y157="","",IF(VLOOKUP(Y157,'G-3 Multipliers'!$S$3:$T$9,2,FALSE)=0,"Spatial Data Missing ⚠",VLOOKUP(Y157,'G-3 Multipliers'!$S$3:$T$9,2,FALSE)))</f>
        <v/>
      </c>
      <c r="AA157" s="545" t="str">
        <f t="shared" si="13"/>
        <v/>
      </c>
      <c r="AB157" s="149"/>
      <c r="AC157" s="150"/>
    </row>
    <row r="158" spans="1:29" ht="13.8" x14ac:dyDescent="0.25">
      <c r="A158" s="31" t="str">
        <f>IFERROR(INDEX('G-8 Condition Look up'!$I$4:$I$130,MATCH(F158,'G-8 Condition Look up'!$A$4:$A$130,0)),"")</f>
        <v/>
      </c>
      <c r="C158" s="244" t="str">
        <f>IFERROR(INDEX('G-1 All Habitats'!$AG$3:$AG$15,MATCH(D158,'G-1 All Habitats'!$AF$3:$AF$15,0)),"")</f>
        <v/>
      </c>
      <c r="D158" s="154"/>
      <c r="E158" s="203"/>
      <c r="F158" s="243" t="str">
        <f>IFERROR(INDEX('G-1 All Habitats'!$B$3:$B$129,MATCH(E158,'G-1 All Habitats'!$A$3:$A$129,0)),"")</f>
        <v/>
      </c>
      <c r="G158" s="386"/>
      <c r="H158" s="537" t="str">
        <f>IF(F158="","",VLOOKUP(F158,'G-1 All Habitats'!$B$2:$M$129,10,FALSE))</f>
        <v/>
      </c>
      <c r="I158" s="524" t="str">
        <f>IFERROR(VLOOKUP(H158,'G-1 All Habitats'!$V$3:$W$7,2,FALSE),"")</f>
        <v/>
      </c>
      <c r="J158" s="199"/>
      <c r="K158" s="524" t="str">
        <f>IFERROR(INDEX('G-8 Condition Look up'!$A$3:$H$130,MATCH(F158,'G-8 Condition Look up'!$A$3:$A$130,0),MATCH(J158,'G-8 Condition Look up'!$A$3:$H$3,0)),"")</f>
        <v/>
      </c>
      <c r="L158" s="145"/>
      <c r="M158" s="540" t="str">
        <f>IF(L158="","",IF(VLOOKUP(L158,'G-3 Multipliers'!$L$3:$N$6,2,FALSE)=0,"Spatial Data Missing ⚠",VLOOKUP(L158,'G-3 Multipliers'!$L$3:$N$6,2,FALSE)))</f>
        <v/>
      </c>
      <c r="N158" s="499" t="str">
        <f>IF(L158="","",IF(VLOOKUP(L158,'G-3 Multipliers'!$L$3:$N$6,3,FALSE)=0,"Spatial Data Missing ⚠",VLOOKUP(L158,'G-3 Multipliers'!$L$3:$N$6,3,FALSE)))</f>
        <v/>
      </c>
      <c r="O158" s="498" t="str">
        <f t="shared" si="10"/>
        <v/>
      </c>
      <c r="P158" s="195"/>
      <c r="Q158" s="195"/>
      <c r="R158" s="520" t="str">
        <f t="shared" si="11"/>
        <v/>
      </c>
      <c r="S158" s="544" t="str">
        <f t="shared" si="12"/>
        <v/>
      </c>
      <c r="T158" s="525" t="str">
        <f>IFERROR(IF(S158="Check Data ⚠","Check Data ⚠",VLOOKUP(S158,'G-4 Temporal multipliers'!$A$4:$C$37,3,FALSE)),"")</f>
        <v/>
      </c>
      <c r="U158" s="523" t="str">
        <f>IF(F158="","",VLOOKUP(F158,'G-3 Multipliers'!$A$2:$E$129,2,FALSE))</f>
        <v/>
      </c>
      <c r="V158" s="520" t="str">
        <f t="shared" si="14"/>
        <v/>
      </c>
      <c r="W158" s="520" t="str">
        <f>IF(E158="","",IF(AND(V158="Standard difficulty applied",O158&gt;P158),U158,IF(AND(V158="Low Difficulty - only applicable if all habitat created before losses ⚠",P158&gt;=O158),"Low",VLOOKUP(F158,'G-3 Multipliers'!$A$2:$E$129,4,FALSE))))</f>
        <v/>
      </c>
      <c r="X158" s="524" t="str">
        <f>IFERROR(IF(E158="","",VLOOKUP(W158, 'G-3 Multipliers'!$P$2:$Q$6,2,FALSE)),"")</f>
        <v/>
      </c>
      <c r="Y158" s="197"/>
      <c r="Z158" s="499" t="str">
        <f>IF(Y158="","",IF(VLOOKUP(Y158,'G-3 Multipliers'!$S$3:$T$9,2,FALSE)=0,"Spatial Data Missing ⚠",VLOOKUP(Y158,'G-3 Multipliers'!$S$3:$T$9,2,FALSE)))</f>
        <v/>
      </c>
      <c r="AA158" s="545" t="str">
        <f t="shared" si="13"/>
        <v/>
      </c>
      <c r="AB158" s="149"/>
      <c r="AC158" s="150"/>
    </row>
    <row r="159" spans="1:29" ht="13.8" x14ac:dyDescent="0.25">
      <c r="A159" s="31" t="str">
        <f>IFERROR(INDEX('G-8 Condition Look up'!$I$4:$I$130,MATCH(F159,'G-8 Condition Look up'!$A$4:$A$130,0)),"")</f>
        <v/>
      </c>
      <c r="C159" s="244" t="str">
        <f>IFERROR(INDEX('G-1 All Habitats'!$AG$3:$AG$15,MATCH(D159,'G-1 All Habitats'!$AF$3:$AF$15,0)),"")</f>
        <v/>
      </c>
      <c r="D159" s="154"/>
      <c r="E159" s="203"/>
      <c r="F159" s="243" t="str">
        <f>IFERROR(INDEX('G-1 All Habitats'!$B$3:$B$129,MATCH(E159,'G-1 All Habitats'!$A$3:$A$129,0)),"")</f>
        <v/>
      </c>
      <c r="G159" s="386"/>
      <c r="H159" s="537" t="str">
        <f>IF(F159="","",VLOOKUP(F159,'G-1 All Habitats'!$B$2:$M$129,10,FALSE))</f>
        <v/>
      </c>
      <c r="I159" s="524" t="str">
        <f>IFERROR(VLOOKUP(H159,'G-1 All Habitats'!$V$3:$W$7,2,FALSE),"")</f>
        <v/>
      </c>
      <c r="J159" s="199"/>
      <c r="K159" s="524" t="str">
        <f>IFERROR(INDEX('G-8 Condition Look up'!$A$3:$H$130,MATCH(F159,'G-8 Condition Look up'!$A$3:$A$130,0),MATCH(J159,'G-8 Condition Look up'!$A$3:$H$3,0)),"")</f>
        <v/>
      </c>
      <c r="L159" s="145"/>
      <c r="M159" s="540" t="str">
        <f>IF(L159="","",IF(VLOOKUP(L159,'G-3 Multipliers'!$L$3:$N$6,2,FALSE)=0,"Spatial Data Missing ⚠",VLOOKUP(L159,'G-3 Multipliers'!$L$3:$N$6,2,FALSE)))</f>
        <v/>
      </c>
      <c r="N159" s="499" t="str">
        <f>IF(L159="","",IF(VLOOKUP(L159,'G-3 Multipliers'!$L$3:$N$6,3,FALSE)=0,"Spatial Data Missing ⚠",VLOOKUP(L159,'G-3 Multipliers'!$L$3:$N$6,3,FALSE)))</f>
        <v/>
      </c>
      <c r="O159" s="498" t="str">
        <f t="shared" si="10"/>
        <v/>
      </c>
      <c r="P159" s="195"/>
      <c r="Q159" s="195"/>
      <c r="R159" s="520" t="str">
        <f t="shared" si="11"/>
        <v/>
      </c>
      <c r="S159" s="544" t="str">
        <f t="shared" si="12"/>
        <v/>
      </c>
      <c r="T159" s="525" t="str">
        <f>IFERROR(IF(S159="Check Data ⚠","Check Data ⚠",VLOOKUP(S159,'G-4 Temporal multipliers'!$A$4:$C$37,3,FALSE)),"")</f>
        <v/>
      </c>
      <c r="U159" s="523" t="str">
        <f>IF(F159="","",VLOOKUP(F159,'G-3 Multipliers'!$A$2:$E$129,2,FALSE))</f>
        <v/>
      </c>
      <c r="V159" s="520" t="str">
        <f t="shared" si="14"/>
        <v/>
      </c>
      <c r="W159" s="520" t="str">
        <f>IF(E159="","",IF(AND(V159="Standard difficulty applied",O159&gt;P159),U159,IF(AND(V159="Low Difficulty - only applicable if all habitat created before losses ⚠",P159&gt;=O159),"Low",VLOOKUP(F159,'G-3 Multipliers'!$A$2:$E$129,4,FALSE))))</f>
        <v/>
      </c>
      <c r="X159" s="524" t="str">
        <f>IFERROR(IF(E159="","",VLOOKUP(W159, 'G-3 Multipliers'!$P$2:$Q$6,2,FALSE)),"")</f>
        <v/>
      </c>
      <c r="Y159" s="197"/>
      <c r="Z159" s="499" t="str">
        <f>IF(Y159="","",IF(VLOOKUP(Y159,'G-3 Multipliers'!$S$3:$T$9,2,FALSE)=0,"Spatial Data Missing ⚠",VLOOKUP(Y159,'G-3 Multipliers'!$S$3:$T$9,2,FALSE)))</f>
        <v/>
      </c>
      <c r="AA159" s="545" t="str">
        <f t="shared" si="13"/>
        <v/>
      </c>
      <c r="AB159" s="149"/>
      <c r="AC159" s="150"/>
    </row>
    <row r="160" spans="1:29" ht="13.8" x14ac:dyDescent="0.25">
      <c r="A160" s="31" t="str">
        <f>IFERROR(INDEX('G-8 Condition Look up'!$I$4:$I$130,MATCH(F160,'G-8 Condition Look up'!$A$4:$A$130,0)),"")</f>
        <v/>
      </c>
      <c r="C160" s="244" t="str">
        <f>IFERROR(INDEX('G-1 All Habitats'!$AG$3:$AG$15,MATCH(D160,'G-1 All Habitats'!$AF$3:$AF$15,0)),"")</f>
        <v/>
      </c>
      <c r="D160" s="154"/>
      <c r="E160" s="203"/>
      <c r="F160" s="243" t="str">
        <f>IFERROR(INDEX('G-1 All Habitats'!$B$3:$B$129,MATCH(E160,'G-1 All Habitats'!$A$3:$A$129,0)),"")</f>
        <v/>
      </c>
      <c r="G160" s="386"/>
      <c r="H160" s="537" t="str">
        <f>IF(F160="","",VLOOKUP(F160,'G-1 All Habitats'!$B$2:$M$129,10,FALSE))</f>
        <v/>
      </c>
      <c r="I160" s="524" t="str">
        <f>IFERROR(VLOOKUP(H160,'G-1 All Habitats'!$V$3:$W$7,2,FALSE),"")</f>
        <v/>
      </c>
      <c r="J160" s="199"/>
      <c r="K160" s="524" t="str">
        <f>IFERROR(INDEX('G-8 Condition Look up'!$A$3:$H$130,MATCH(F160,'G-8 Condition Look up'!$A$3:$A$130,0),MATCH(J160,'G-8 Condition Look up'!$A$3:$H$3,0)),"")</f>
        <v/>
      </c>
      <c r="L160" s="145"/>
      <c r="M160" s="540" t="str">
        <f>IF(L160="","",IF(VLOOKUP(L160,'G-3 Multipliers'!$L$3:$N$6,2,FALSE)=0,"Spatial Data Missing ⚠",VLOOKUP(L160,'G-3 Multipliers'!$L$3:$N$6,2,FALSE)))</f>
        <v/>
      </c>
      <c r="N160" s="499" t="str">
        <f>IF(L160="","",IF(VLOOKUP(L160,'G-3 Multipliers'!$L$3:$N$6,3,FALSE)=0,"Spatial Data Missing ⚠",VLOOKUP(L160,'G-3 Multipliers'!$L$3:$N$6,3,FALSE)))</f>
        <v/>
      </c>
      <c r="O160" s="498" t="str">
        <f t="shared" si="10"/>
        <v/>
      </c>
      <c r="P160" s="195"/>
      <c r="Q160" s="195"/>
      <c r="R160" s="520" t="str">
        <f t="shared" si="11"/>
        <v/>
      </c>
      <c r="S160" s="544" t="str">
        <f t="shared" si="12"/>
        <v/>
      </c>
      <c r="T160" s="525" t="str">
        <f>IFERROR(IF(S160="Check Data ⚠","Check Data ⚠",VLOOKUP(S160,'G-4 Temporal multipliers'!$A$4:$C$37,3,FALSE)),"")</f>
        <v/>
      </c>
      <c r="U160" s="523" t="str">
        <f>IF(F160="","",VLOOKUP(F160,'G-3 Multipliers'!$A$2:$E$129,2,FALSE))</f>
        <v/>
      </c>
      <c r="V160" s="520" t="str">
        <f t="shared" si="14"/>
        <v/>
      </c>
      <c r="W160" s="520" t="str">
        <f>IF(E160="","",IF(AND(V160="Standard difficulty applied",O160&gt;P160),U160,IF(AND(V160="Low Difficulty - only applicable if all habitat created before losses ⚠",P160&gt;=O160),"Low",VLOOKUP(F160,'G-3 Multipliers'!$A$2:$E$129,4,FALSE))))</f>
        <v/>
      </c>
      <c r="X160" s="524" t="str">
        <f>IFERROR(IF(E160="","",VLOOKUP(W160, 'G-3 Multipliers'!$P$2:$Q$6,2,FALSE)),"")</f>
        <v/>
      </c>
      <c r="Y160" s="197"/>
      <c r="Z160" s="499" t="str">
        <f>IF(Y160="","",IF(VLOOKUP(Y160,'G-3 Multipliers'!$S$3:$T$9,2,FALSE)=0,"Spatial Data Missing ⚠",VLOOKUP(Y160,'G-3 Multipliers'!$S$3:$T$9,2,FALSE)))</f>
        <v/>
      </c>
      <c r="AA160" s="545" t="str">
        <f t="shared" si="13"/>
        <v/>
      </c>
      <c r="AB160" s="149"/>
      <c r="AC160" s="150"/>
    </row>
    <row r="161" spans="1:29" ht="13.8" x14ac:dyDescent="0.25">
      <c r="A161" s="31" t="str">
        <f>IFERROR(INDEX('G-8 Condition Look up'!$I$4:$I$130,MATCH(F161,'G-8 Condition Look up'!$A$4:$A$130,0)),"")</f>
        <v/>
      </c>
      <c r="C161" s="244" t="str">
        <f>IFERROR(INDEX('G-1 All Habitats'!$AG$3:$AG$15,MATCH(D161,'G-1 All Habitats'!$AF$3:$AF$15,0)),"")</f>
        <v/>
      </c>
      <c r="D161" s="154"/>
      <c r="E161" s="203"/>
      <c r="F161" s="243" t="str">
        <f>IFERROR(INDEX('G-1 All Habitats'!$B$3:$B$129,MATCH(E161,'G-1 All Habitats'!$A$3:$A$129,0)),"")</f>
        <v/>
      </c>
      <c r="G161" s="386"/>
      <c r="H161" s="537" t="str">
        <f>IF(F161="","",VLOOKUP(F161,'G-1 All Habitats'!$B$2:$M$129,10,FALSE))</f>
        <v/>
      </c>
      <c r="I161" s="524" t="str">
        <f>IFERROR(VLOOKUP(H161,'G-1 All Habitats'!$V$3:$W$7,2,FALSE),"")</f>
        <v/>
      </c>
      <c r="J161" s="199"/>
      <c r="K161" s="524" t="str">
        <f>IFERROR(INDEX('G-8 Condition Look up'!$A$3:$H$130,MATCH(F161,'G-8 Condition Look up'!$A$3:$A$130,0),MATCH(J161,'G-8 Condition Look up'!$A$3:$H$3,0)),"")</f>
        <v/>
      </c>
      <c r="L161" s="145"/>
      <c r="M161" s="540" t="str">
        <f>IF(L161="","",IF(VLOOKUP(L161,'G-3 Multipliers'!$L$3:$N$6,2,FALSE)=0,"Spatial Data Missing ⚠",VLOOKUP(L161,'G-3 Multipliers'!$L$3:$N$6,2,FALSE)))</f>
        <v/>
      </c>
      <c r="N161" s="499" t="str">
        <f>IF(L161="","",IF(VLOOKUP(L161,'G-3 Multipliers'!$L$3:$N$6,3,FALSE)=0,"Spatial Data Missing ⚠",VLOOKUP(L161,'G-3 Multipliers'!$L$3:$N$6,3,FALSE)))</f>
        <v/>
      </c>
      <c r="O161" s="498" t="str">
        <f t="shared" si="10"/>
        <v/>
      </c>
      <c r="P161" s="195"/>
      <c r="Q161" s="195"/>
      <c r="R161" s="520" t="str">
        <f t="shared" si="11"/>
        <v/>
      </c>
      <c r="S161" s="544" t="str">
        <f t="shared" si="12"/>
        <v/>
      </c>
      <c r="T161" s="525" t="str">
        <f>IFERROR(IF(S161="Check Data ⚠","Check Data ⚠",VLOOKUP(S161,'G-4 Temporal multipliers'!$A$4:$C$37,3,FALSE)),"")</f>
        <v/>
      </c>
      <c r="U161" s="523" t="str">
        <f>IF(F161="","",VLOOKUP(F161,'G-3 Multipliers'!$A$2:$E$129,2,FALSE))</f>
        <v/>
      </c>
      <c r="V161" s="520" t="str">
        <f t="shared" si="14"/>
        <v/>
      </c>
      <c r="W161" s="520" t="str">
        <f>IF(E161="","",IF(AND(V161="Standard difficulty applied",O161&gt;P161),U161,IF(AND(V161="Low Difficulty - only applicable if all habitat created before losses ⚠",P161&gt;=O161),"Low",VLOOKUP(F161,'G-3 Multipliers'!$A$2:$E$129,4,FALSE))))</f>
        <v/>
      </c>
      <c r="X161" s="524" t="str">
        <f>IFERROR(IF(E161="","",VLOOKUP(W161, 'G-3 Multipliers'!$P$2:$Q$6,2,FALSE)),"")</f>
        <v/>
      </c>
      <c r="Y161" s="197"/>
      <c r="Z161" s="499" t="str">
        <f>IF(Y161="","",IF(VLOOKUP(Y161,'G-3 Multipliers'!$S$3:$T$9,2,FALSE)=0,"Spatial Data Missing ⚠",VLOOKUP(Y161,'G-3 Multipliers'!$S$3:$T$9,2,FALSE)))</f>
        <v/>
      </c>
      <c r="AA161" s="545" t="str">
        <f t="shared" si="13"/>
        <v/>
      </c>
      <c r="AB161" s="149"/>
      <c r="AC161" s="150"/>
    </row>
    <row r="162" spans="1:29" ht="13.8" x14ac:dyDescent="0.25">
      <c r="A162" s="31" t="str">
        <f>IFERROR(INDEX('G-8 Condition Look up'!$I$4:$I$130,MATCH(F162,'G-8 Condition Look up'!$A$4:$A$130,0)),"")</f>
        <v/>
      </c>
      <c r="C162" s="244" t="str">
        <f>IFERROR(INDEX('G-1 All Habitats'!$AG$3:$AG$15,MATCH(D162,'G-1 All Habitats'!$AF$3:$AF$15,0)),"")</f>
        <v/>
      </c>
      <c r="D162" s="154"/>
      <c r="E162" s="203"/>
      <c r="F162" s="243" t="str">
        <f>IFERROR(INDEX('G-1 All Habitats'!$B$3:$B$129,MATCH(E162,'G-1 All Habitats'!$A$3:$A$129,0)),"")</f>
        <v/>
      </c>
      <c r="G162" s="386"/>
      <c r="H162" s="537" t="str">
        <f>IF(F162="","",VLOOKUP(F162,'G-1 All Habitats'!$B$2:$M$129,10,FALSE))</f>
        <v/>
      </c>
      <c r="I162" s="524" t="str">
        <f>IFERROR(VLOOKUP(H162,'G-1 All Habitats'!$V$3:$W$7,2,FALSE),"")</f>
        <v/>
      </c>
      <c r="J162" s="199"/>
      <c r="K162" s="524" t="str">
        <f>IFERROR(INDEX('G-8 Condition Look up'!$A$3:$H$130,MATCH(F162,'G-8 Condition Look up'!$A$3:$A$130,0),MATCH(J162,'G-8 Condition Look up'!$A$3:$H$3,0)),"")</f>
        <v/>
      </c>
      <c r="L162" s="145"/>
      <c r="M162" s="540" t="str">
        <f>IF(L162="","",IF(VLOOKUP(L162,'G-3 Multipliers'!$L$3:$N$6,2,FALSE)=0,"Spatial Data Missing ⚠",VLOOKUP(L162,'G-3 Multipliers'!$L$3:$N$6,2,FALSE)))</f>
        <v/>
      </c>
      <c r="N162" s="499" t="str">
        <f>IF(L162="","",IF(VLOOKUP(L162,'G-3 Multipliers'!$L$3:$N$6,3,FALSE)=0,"Spatial Data Missing ⚠",VLOOKUP(L162,'G-3 Multipliers'!$L$3:$N$6,3,FALSE)))</f>
        <v/>
      </c>
      <c r="O162" s="498" t="str">
        <f t="shared" si="10"/>
        <v/>
      </c>
      <c r="P162" s="195"/>
      <c r="Q162" s="195"/>
      <c r="R162" s="520" t="str">
        <f t="shared" si="11"/>
        <v/>
      </c>
      <c r="S162" s="544" t="str">
        <f t="shared" si="12"/>
        <v/>
      </c>
      <c r="T162" s="525" t="str">
        <f>IFERROR(IF(S162="Check Data ⚠","Check Data ⚠",VLOOKUP(S162,'G-4 Temporal multipliers'!$A$4:$C$37,3,FALSE)),"")</f>
        <v/>
      </c>
      <c r="U162" s="523" t="str">
        <f>IF(F162="","",VLOOKUP(F162,'G-3 Multipliers'!$A$2:$E$129,2,FALSE))</f>
        <v/>
      </c>
      <c r="V162" s="520" t="str">
        <f t="shared" si="14"/>
        <v/>
      </c>
      <c r="W162" s="520" t="str">
        <f>IF(E162="","",IF(AND(V162="Standard difficulty applied",O162&gt;P162),U162,IF(AND(V162="Low Difficulty - only applicable if all habitat created before losses ⚠",P162&gt;=O162),"Low",VLOOKUP(F162,'G-3 Multipliers'!$A$2:$E$129,4,FALSE))))</f>
        <v/>
      </c>
      <c r="X162" s="524" t="str">
        <f>IFERROR(IF(E162="","",VLOOKUP(W162, 'G-3 Multipliers'!$P$2:$Q$6,2,FALSE)),"")</f>
        <v/>
      </c>
      <c r="Y162" s="197"/>
      <c r="Z162" s="499" t="str">
        <f>IF(Y162="","",IF(VLOOKUP(Y162,'G-3 Multipliers'!$S$3:$T$9,2,FALSE)=0,"Spatial Data Missing ⚠",VLOOKUP(Y162,'G-3 Multipliers'!$S$3:$T$9,2,FALSE)))</f>
        <v/>
      </c>
      <c r="AA162" s="545" t="str">
        <f t="shared" si="13"/>
        <v/>
      </c>
      <c r="AB162" s="149"/>
      <c r="AC162" s="150"/>
    </row>
    <row r="163" spans="1:29" ht="13.8" x14ac:dyDescent="0.25">
      <c r="A163" s="31" t="str">
        <f>IFERROR(INDEX('G-8 Condition Look up'!$I$4:$I$130,MATCH(F163,'G-8 Condition Look up'!$A$4:$A$130,0)),"")</f>
        <v/>
      </c>
      <c r="C163" s="244" t="str">
        <f>IFERROR(INDEX('G-1 All Habitats'!$AG$3:$AG$15,MATCH(D163,'G-1 All Habitats'!$AF$3:$AF$15,0)),"")</f>
        <v/>
      </c>
      <c r="D163" s="154"/>
      <c r="E163" s="203"/>
      <c r="F163" s="243" t="str">
        <f>IFERROR(INDEX('G-1 All Habitats'!$B$3:$B$129,MATCH(E163,'G-1 All Habitats'!$A$3:$A$129,0)),"")</f>
        <v/>
      </c>
      <c r="G163" s="386"/>
      <c r="H163" s="537" t="str">
        <f>IF(F163="","",VLOOKUP(F163,'G-1 All Habitats'!$B$2:$M$129,10,FALSE))</f>
        <v/>
      </c>
      <c r="I163" s="524" t="str">
        <f>IFERROR(VLOOKUP(H163,'G-1 All Habitats'!$V$3:$W$7,2,FALSE),"")</f>
        <v/>
      </c>
      <c r="J163" s="199"/>
      <c r="K163" s="524" t="str">
        <f>IFERROR(INDEX('G-8 Condition Look up'!$A$3:$H$130,MATCH(F163,'G-8 Condition Look up'!$A$3:$A$130,0),MATCH(J163,'G-8 Condition Look up'!$A$3:$H$3,0)),"")</f>
        <v/>
      </c>
      <c r="L163" s="145"/>
      <c r="M163" s="540" t="str">
        <f>IF(L163="","",IF(VLOOKUP(L163,'G-3 Multipliers'!$L$3:$N$6,2,FALSE)=0,"Spatial Data Missing ⚠",VLOOKUP(L163,'G-3 Multipliers'!$L$3:$N$6,2,FALSE)))</f>
        <v/>
      </c>
      <c r="N163" s="499" t="str">
        <f>IF(L163="","",IF(VLOOKUP(L163,'G-3 Multipliers'!$L$3:$N$6,3,FALSE)=0,"Spatial Data Missing ⚠",VLOOKUP(L163,'G-3 Multipliers'!$L$3:$N$6,3,FALSE)))</f>
        <v/>
      </c>
      <c r="O163" s="498" t="str">
        <f t="shared" si="10"/>
        <v/>
      </c>
      <c r="P163" s="195"/>
      <c r="Q163" s="195"/>
      <c r="R163" s="520" t="str">
        <f t="shared" si="11"/>
        <v/>
      </c>
      <c r="S163" s="544" t="str">
        <f t="shared" si="12"/>
        <v/>
      </c>
      <c r="T163" s="525" t="str">
        <f>IFERROR(IF(S163="Check Data ⚠","Check Data ⚠",VLOOKUP(S163,'G-4 Temporal multipliers'!$A$4:$C$37,3,FALSE)),"")</f>
        <v/>
      </c>
      <c r="U163" s="523" t="str">
        <f>IF(F163="","",VLOOKUP(F163,'G-3 Multipliers'!$A$2:$E$129,2,FALSE))</f>
        <v/>
      </c>
      <c r="V163" s="520" t="str">
        <f t="shared" si="14"/>
        <v/>
      </c>
      <c r="W163" s="520" t="str">
        <f>IF(E163="","",IF(AND(V163="Standard difficulty applied",O163&gt;P163),U163,IF(AND(V163="Low Difficulty - only applicable if all habitat created before losses ⚠",P163&gt;=O163),"Low",VLOOKUP(F163,'G-3 Multipliers'!$A$2:$E$129,4,FALSE))))</f>
        <v/>
      </c>
      <c r="X163" s="524" t="str">
        <f>IFERROR(IF(E163="","",VLOOKUP(W163, 'G-3 Multipliers'!$P$2:$Q$6,2,FALSE)),"")</f>
        <v/>
      </c>
      <c r="Y163" s="197"/>
      <c r="Z163" s="499" t="str">
        <f>IF(Y163="","",IF(VLOOKUP(Y163,'G-3 Multipliers'!$S$3:$T$9,2,FALSE)=0,"Spatial Data Missing ⚠",VLOOKUP(Y163,'G-3 Multipliers'!$S$3:$T$9,2,FALSE)))</f>
        <v/>
      </c>
      <c r="AA163" s="545" t="str">
        <f t="shared" si="13"/>
        <v/>
      </c>
      <c r="AB163" s="149"/>
      <c r="AC163" s="150"/>
    </row>
    <row r="164" spans="1:29" ht="13.8" x14ac:dyDescent="0.25">
      <c r="A164" s="31" t="str">
        <f>IFERROR(INDEX('G-8 Condition Look up'!$I$4:$I$130,MATCH(F164,'G-8 Condition Look up'!$A$4:$A$130,0)),"")</f>
        <v/>
      </c>
      <c r="C164" s="244" t="str">
        <f>IFERROR(INDEX('G-1 All Habitats'!$AG$3:$AG$15,MATCH(D164,'G-1 All Habitats'!$AF$3:$AF$15,0)),"")</f>
        <v/>
      </c>
      <c r="D164" s="154"/>
      <c r="E164" s="203"/>
      <c r="F164" s="243" t="str">
        <f>IFERROR(INDEX('G-1 All Habitats'!$B$3:$B$129,MATCH(E164,'G-1 All Habitats'!$A$3:$A$129,0)),"")</f>
        <v/>
      </c>
      <c r="G164" s="386"/>
      <c r="H164" s="537" t="str">
        <f>IF(F164="","",VLOOKUP(F164,'G-1 All Habitats'!$B$2:$M$129,10,FALSE))</f>
        <v/>
      </c>
      <c r="I164" s="524" t="str">
        <f>IFERROR(VLOOKUP(H164,'G-1 All Habitats'!$V$3:$W$7,2,FALSE),"")</f>
        <v/>
      </c>
      <c r="J164" s="199"/>
      <c r="K164" s="524" t="str">
        <f>IFERROR(INDEX('G-8 Condition Look up'!$A$3:$H$130,MATCH(F164,'G-8 Condition Look up'!$A$3:$A$130,0),MATCH(J164,'G-8 Condition Look up'!$A$3:$H$3,0)),"")</f>
        <v/>
      </c>
      <c r="L164" s="145"/>
      <c r="M164" s="540" t="str">
        <f>IF(L164="","",IF(VLOOKUP(L164,'G-3 Multipliers'!$L$3:$N$6,2,FALSE)=0,"Spatial Data Missing ⚠",VLOOKUP(L164,'G-3 Multipliers'!$L$3:$N$6,2,FALSE)))</f>
        <v/>
      </c>
      <c r="N164" s="499" t="str">
        <f>IF(L164="","",IF(VLOOKUP(L164,'G-3 Multipliers'!$L$3:$N$6,3,FALSE)=0,"Spatial Data Missing ⚠",VLOOKUP(L164,'G-3 Multipliers'!$L$3:$N$6,3,FALSE)))</f>
        <v/>
      </c>
      <c r="O164" s="498" t="str">
        <f t="shared" si="10"/>
        <v/>
      </c>
      <c r="P164" s="195"/>
      <c r="Q164" s="195"/>
      <c r="R164" s="520" t="str">
        <f t="shared" si="11"/>
        <v/>
      </c>
      <c r="S164" s="544" t="str">
        <f t="shared" si="12"/>
        <v/>
      </c>
      <c r="T164" s="525" t="str">
        <f>IFERROR(IF(S164="Check Data ⚠","Check Data ⚠",VLOOKUP(S164,'G-4 Temporal multipliers'!$A$4:$C$37,3,FALSE)),"")</f>
        <v/>
      </c>
      <c r="U164" s="523" t="str">
        <f>IF(F164="","",VLOOKUP(F164,'G-3 Multipliers'!$A$2:$E$129,2,FALSE))</f>
        <v/>
      </c>
      <c r="V164" s="520" t="str">
        <f t="shared" si="14"/>
        <v/>
      </c>
      <c r="W164" s="520" t="str">
        <f>IF(E164="","",IF(AND(V164="Standard difficulty applied",O164&gt;P164),U164,IF(AND(V164="Low Difficulty - only applicable if all habitat created before losses ⚠",P164&gt;=O164),"Low",VLOOKUP(F164,'G-3 Multipliers'!$A$2:$E$129,4,FALSE))))</f>
        <v/>
      </c>
      <c r="X164" s="524" t="str">
        <f>IFERROR(IF(E164="","",VLOOKUP(W164, 'G-3 Multipliers'!$P$2:$Q$6,2,FALSE)),"")</f>
        <v/>
      </c>
      <c r="Y164" s="197"/>
      <c r="Z164" s="499" t="str">
        <f>IF(Y164="","",IF(VLOOKUP(Y164,'G-3 Multipliers'!$S$3:$T$9,2,FALSE)=0,"Spatial Data Missing ⚠",VLOOKUP(Y164,'G-3 Multipliers'!$S$3:$T$9,2,FALSE)))</f>
        <v/>
      </c>
      <c r="AA164" s="545" t="str">
        <f t="shared" si="13"/>
        <v/>
      </c>
      <c r="AB164" s="149"/>
      <c r="AC164" s="150"/>
    </row>
    <row r="165" spans="1:29" ht="13.8" x14ac:dyDescent="0.25">
      <c r="A165" s="31" t="str">
        <f>IFERROR(INDEX('G-8 Condition Look up'!$I$4:$I$130,MATCH(F165,'G-8 Condition Look up'!$A$4:$A$130,0)),"")</f>
        <v/>
      </c>
      <c r="C165" s="244" t="str">
        <f>IFERROR(INDEX('G-1 All Habitats'!$AG$3:$AG$15,MATCH(D165,'G-1 All Habitats'!$AF$3:$AF$15,0)),"")</f>
        <v/>
      </c>
      <c r="D165" s="154"/>
      <c r="E165" s="203"/>
      <c r="F165" s="243" t="str">
        <f>IFERROR(INDEX('G-1 All Habitats'!$B$3:$B$129,MATCH(E165,'G-1 All Habitats'!$A$3:$A$129,0)),"")</f>
        <v/>
      </c>
      <c r="G165" s="386"/>
      <c r="H165" s="537" t="str">
        <f>IF(F165="","",VLOOKUP(F165,'G-1 All Habitats'!$B$2:$M$129,10,FALSE))</f>
        <v/>
      </c>
      <c r="I165" s="524" t="str">
        <f>IFERROR(VLOOKUP(H165,'G-1 All Habitats'!$V$3:$W$7,2,FALSE),"")</f>
        <v/>
      </c>
      <c r="J165" s="199"/>
      <c r="K165" s="524" t="str">
        <f>IFERROR(INDEX('G-8 Condition Look up'!$A$3:$H$130,MATCH(F165,'G-8 Condition Look up'!$A$3:$A$130,0),MATCH(J165,'G-8 Condition Look up'!$A$3:$H$3,0)),"")</f>
        <v/>
      </c>
      <c r="L165" s="145"/>
      <c r="M165" s="540" t="str">
        <f>IF(L165="","",IF(VLOOKUP(L165,'G-3 Multipliers'!$L$3:$N$6,2,FALSE)=0,"Spatial Data Missing ⚠",VLOOKUP(L165,'G-3 Multipliers'!$L$3:$N$6,2,FALSE)))</f>
        <v/>
      </c>
      <c r="N165" s="499" t="str">
        <f>IF(L165="","",IF(VLOOKUP(L165,'G-3 Multipliers'!$L$3:$N$6,3,FALSE)=0,"Spatial Data Missing ⚠",VLOOKUP(L165,'G-3 Multipliers'!$L$3:$N$6,3,FALSE)))</f>
        <v/>
      </c>
      <c r="O165" s="498" t="str">
        <f t="shared" si="10"/>
        <v/>
      </c>
      <c r="P165" s="195"/>
      <c r="Q165" s="195"/>
      <c r="R165" s="520" t="str">
        <f t="shared" si="11"/>
        <v/>
      </c>
      <c r="S165" s="544" t="str">
        <f t="shared" si="12"/>
        <v/>
      </c>
      <c r="T165" s="525" t="str">
        <f>IFERROR(IF(S165="Check Data ⚠","Check Data ⚠",VLOOKUP(S165,'G-4 Temporal multipliers'!$A$4:$C$37,3,FALSE)),"")</f>
        <v/>
      </c>
      <c r="U165" s="523" t="str">
        <f>IF(F165="","",VLOOKUP(F165,'G-3 Multipliers'!$A$2:$E$129,2,FALSE))</f>
        <v/>
      </c>
      <c r="V165" s="520" t="str">
        <f t="shared" si="14"/>
        <v/>
      </c>
      <c r="W165" s="520" t="str">
        <f>IF(E165="","",IF(AND(V165="Standard difficulty applied",O165&gt;P165),U165,IF(AND(V165="Low Difficulty - only applicable if all habitat created before losses ⚠",P165&gt;=O165),"Low",VLOOKUP(F165,'G-3 Multipliers'!$A$2:$E$129,4,FALSE))))</f>
        <v/>
      </c>
      <c r="X165" s="524" t="str">
        <f>IFERROR(IF(E165="","",VLOOKUP(W165, 'G-3 Multipliers'!$P$2:$Q$6,2,FALSE)),"")</f>
        <v/>
      </c>
      <c r="Y165" s="197"/>
      <c r="Z165" s="499" t="str">
        <f>IF(Y165="","",IF(VLOOKUP(Y165,'G-3 Multipliers'!$S$3:$T$9,2,FALSE)=0,"Spatial Data Missing ⚠",VLOOKUP(Y165,'G-3 Multipliers'!$S$3:$T$9,2,FALSE)))</f>
        <v/>
      </c>
      <c r="AA165" s="545" t="str">
        <f t="shared" si="13"/>
        <v/>
      </c>
      <c r="AB165" s="149"/>
      <c r="AC165" s="150"/>
    </row>
    <row r="166" spans="1:29" ht="13.8" x14ac:dyDescent="0.25">
      <c r="A166" s="31" t="str">
        <f>IFERROR(INDEX('G-8 Condition Look up'!$I$4:$I$130,MATCH(F166,'G-8 Condition Look up'!$A$4:$A$130,0)),"")</f>
        <v/>
      </c>
      <c r="C166" s="244" t="str">
        <f>IFERROR(INDEX('G-1 All Habitats'!$AG$3:$AG$15,MATCH(D166,'G-1 All Habitats'!$AF$3:$AF$15,0)),"")</f>
        <v/>
      </c>
      <c r="D166" s="154"/>
      <c r="E166" s="203"/>
      <c r="F166" s="243" t="str">
        <f>IFERROR(INDEX('G-1 All Habitats'!$B$3:$B$129,MATCH(E166,'G-1 All Habitats'!$A$3:$A$129,0)),"")</f>
        <v/>
      </c>
      <c r="G166" s="386"/>
      <c r="H166" s="537" t="str">
        <f>IF(F166="","",VLOOKUP(F166,'G-1 All Habitats'!$B$2:$M$129,10,FALSE))</f>
        <v/>
      </c>
      <c r="I166" s="524" t="str">
        <f>IFERROR(VLOOKUP(H166,'G-1 All Habitats'!$V$3:$W$7,2,FALSE),"")</f>
        <v/>
      </c>
      <c r="J166" s="199"/>
      <c r="K166" s="524" t="str">
        <f>IFERROR(INDEX('G-8 Condition Look up'!$A$3:$H$130,MATCH(F166,'G-8 Condition Look up'!$A$3:$A$130,0),MATCH(J166,'G-8 Condition Look up'!$A$3:$H$3,0)),"")</f>
        <v/>
      </c>
      <c r="L166" s="145"/>
      <c r="M166" s="540" t="str">
        <f>IF(L166="","",IF(VLOOKUP(L166,'G-3 Multipliers'!$L$3:$N$6,2,FALSE)=0,"Spatial Data Missing ⚠",VLOOKUP(L166,'G-3 Multipliers'!$L$3:$N$6,2,FALSE)))</f>
        <v/>
      </c>
      <c r="N166" s="499" t="str">
        <f>IF(L166="","",IF(VLOOKUP(L166,'G-3 Multipliers'!$L$3:$N$6,3,FALSE)=0,"Spatial Data Missing ⚠",VLOOKUP(L166,'G-3 Multipliers'!$L$3:$N$6,3,FALSE)))</f>
        <v/>
      </c>
      <c r="O166" s="498" t="str">
        <f t="shared" si="10"/>
        <v/>
      </c>
      <c r="P166" s="195"/>
      <c r="Q166" s="195"/>
      <c r="R166" s="520" t="str">
        <f t="shared" si="11"/>
        <v/>
      </c>
      <c r="S166" s="544" t="str">
        <f t="shared" si="12"/>
        <v/>
      </c>
      <c r="T166" s="525" t="str">
        <f>IFERROR(IF(S166="Check Data ⚠","Check Data ⚠",VLOOKUP(S166,'G-4 Temporal multipliers'!$A$4:$C$37,3,FALSE)),"")</f>
        <v/>
      </c>
      <c r="U166" s="523" t="str">
        <f>IF(F166="","",VLOOKUP(F166,'G-3 Multipliers'!$A$2:$E$129,2,FALSE))</f>
        <v/>
      </c>
      <c r="V166" s="520" t="str">
        <f t="shared" si="14"/>
        <v/>
      </c>
      <c r="W166" s="520" t="str">
        <f>IF(E166="","",IF(AND(V166="Standard difficulty applied",O166&gt;P166),U166,IF(AND(V166="Low Difficulty - only applicable if all habitat created before losses ⚠",P166&gt;=O166),"Low",VLOOKUP(F166,'G-3 Multipliers'!$A$2:$E$129,4,FALSE))))</f>
        <v/>
      </c>
      <c r="X166" s="524" t="str">
        <f>IFERROR(IF(E166="","",VLOOKUP(W166, 'G-3 Multipliers'!$P$2:$Q$6,2,FALSE)),"")</f>
        <v/>
      </c>
      <c r="Y166" s="197"/>
      <c r="Z166" s="499" t="str">
        <f>IF(Y166="","",IF(VLOOKUP(Y166,'G-3 Multipliers'!$S$3:$T$9,2,FALSE)=0,"Spatial Data Missing ⚠",VLOOKUP(Y166,'G-3 Multipliers'!$S$3:$T$9,2,FALSE)))</f>
        <v/>
      </c>
      <c r="AA166" s="545" t="str">
        <f t="shared" si="13"/>
        <v/>
      </c>
      <c r="AB166" s="149"/>
      <c r="AC166" s="150"/>
    </row>
    <row r="167" spans="1:29" ht="13.8" x14ac:dyDescent="0.25">
      <c r="A167" s="31" t="str">
        <f>IFERROR(INDEX('G-8 Condition Look up'!$I$4:$I$130,MATCH(F167,'G-8 Condition Look up'!$A$4:$A$130,0)),"")</f>
        <v/>
      </c>
      <c r="C167" s="244" t="str">
        <f>IFERROR(INDEX('G-1 All Habitats'!$AG$3:$AG$15,MATCH(D167,'G-1 All Habitats'!$AF$3:$AF$15,0)),"")</f>
        <v/>
      </c>
      <c r="D167" s="154"/>
      <c r="E167" s="203"/>
      <c r="F167" s="243" t="str">
        <f>IFERROR(INDEX('G-1 All Habitats'!$B$3:$B$129,MATCH(E167,'G-1 All Habitats'!$A$3:$A$129,0)),"")</f>
        <v/>
      </c>
      <c r="G167" s="386"/>
      <c r="H167" s="537" t="str">
        <f>IF(F167="","",VLOOKUP(F167,'G-1 All Habitats'!$B$2:$M$129,10,FALSE))</f>
        <v/>
      </c>
      <c r="I167" s="524" t="str">
        <f>IFERROR(VLOOKUP(H167,'G-1 All Habitats'!$V$3:$W$7,2,FALSE),"")</f>
        <v/>
      </c>
      <c r="J167" s="199"/>
      <c r="K167" s="524" t="str">
        <f>IFERROR(INDEX('G-8 Condition Look up'!$A$3:$H$130,MATCH(F167,'G-8 Condition Look up'!$A$3:$A$130,0),MATCH(J167,'G-8 Condition Look up'!$A$3:$H$3,0)),"")</f>
        <v/>
      </c>
      <c r="L167" s="145"/>
      <c r="M167" s="540" t="str">
        <f>IF(L167="","",IF(VLOOKUP(L167,'G-3 Multipliers'!$L$3:$N$6,2,FALSE)=0,"Spatial Data Missing ⚠",VLOOKUP(L167,'G-3 Multipliers'!$L$3:$N$6,2,FALSE)))</f>
        <v/>
      </c>
      <c r="N167" s="499" t="str">
        <f>IF(L167="","",IF(VLOOKUP(L167,'G-3 Multipliers'!$L$3:$N$6,3,FALSE)=0,"Spatial Data Missing ⚠",VLOOKUP(L167,'G-3 Multipliers'!$L$3:$N$6,3,FALSE)))</f>
        <v/>
      </c>
      <c r="O167" s="498" t="str">
        <f t="shared" si="10"/>
        <v/>
      </c>
      <c r="P167" s="195"/>
      <c r="Q167" s="195"/>
      <c r="R167" s="520" t="str">
        <f t="shared" si="11"/>
        <v/>
      </c>
      <c r="S167" s="544" t="str">
        <f t="shared" si="12"/>
        <v/>
      </c>
      <c r="T167" s="525" t="str">
        <f>IFERROR(IF(S167="Check Data ⚠","Check Data ⚠",VLOOKUP(S167,'G-4 Temporal multipliers'!$A$4:$C$37,3,FALSE)),"")</f>
        <v/>
      </c>
      <c r="U167" s="523" t="str">
        <f>IF(F167="","",VLOOKUP(F167,'G-3 Multipliers'!$A$2:$E$129,2,FALSE))</f>
        <v/>
      </c>
      <c r="V167" s="520" t="str">
        <f t="shared" si="14"/>
        <v/>
      </c>
      <c r="W167" s="520" t="str">
        <f>IF(E167="","",IF(AND(V167="Standard difficulty applied",O167&gt;P167),U167,IF(AND(V167="Low Difficulty - only applicable if all habitat created before losses ⚠",P167&gt;=O167),"Low",VLOOKUP(F167,'G-3 Multipliers'!$A$2:$E$129,4,FALSE))))</f>
        <v/>
      </c>
      <c r="X167" s="524" t="str">
        <f>IFERROR(IF(E167="","",VLOOKUP(W167, 'G-3 Multipliers'!$P$2:$Q$6,2,FALSE)),"")</f>
        <v/>
      </c>
      <c r="Y167" s="197"/>
      <c r="Z167" s="499" t="str">
        <f>IF(Y167="","",IF(VLOOKUP(Y167,'G-3 Multipliers'!$S$3:$T$9,2,FALSE)=0,"Spatial Data Missing ⚠",VLOOKUP(Y167,'G-3 Multipliers'!$S$3:$T$9,2,FALSE)))</f>
        <v/>
      </c>
      <c r="AA167" s="545" t="str">
        <f t="shared" si="13"/>
        <v/>
      </c>
      <c r="AB167" s="149"/>
      <c r="AC167" s="150"/>
    </row>
    <row r="168" spans="1:29" ht="13.8" x14ac:dyDescent="0.25">
      <c r="A168" s="31" t="str">
        <f>IFERROR(INDEX('G-8 Condition Look up'!$I$4:$I$130,MATCH(F168,'G-8 Condition Look up'!$A$4:$A$130,0)),"")</f>
        <v/>
      </c>
      <c r="C168" s="244" t="str">
        <f>IFERROR(INDEX('G-1 All Habitats'!$AG$3:$AG$15,MATCH(D168,'G-1 All Habitats'!$AF$3:$AF$15,0)),"")</f>
        <v/>
      </c>
      <c r="D168" s="154"/>
      <c r="E168" s="203"/>
      <c r="F168" s="243" t="str">
        <f>IFERROR(INDEX('G-1 All Habitats'!$B$3:$B$129,MATCH(E168,'G-1 All Habitats'!$A$3:$A$129,0)),"")</f>
        <v/>
      </c>
      <c r="G168" s="386"/>
      <c r="H168" s="537" t="str">
        <f>IF(F168="","",VLOOKUP(F168,'G-1 All Habitats'!$B$2:$M$129,10,FALSE))</f>
        <v/>
      </c>
      <c r="I168" s="524" t="str">
        <f>IFERROR(VLOOKUP(H168,'G-1 All Habitats'!$V$3:$W$7,2,FALSE),"")</f>
        <v/>
      </c>
      <c r="J168" s="199"/>
      <c r="K168" s="524" t="str">
        <f>IFERROR(INDEX('G-8 Condition Look up'!$A$3:$H$130,MATCH(F168,'G-8 Condition Look up'!$A$3:$A$130,0),MATCH(J168,'G-8 Condition Look up'!$A$3:$H$3,0)),"")</f>
        <v/>
      </c>
      <c r="L168" s="145"/>
      <c r="M168" s="540" t="str">
        <f>IF(L168="","",IF(VLOOKUP(L168,'G-3 Multipliers'!$L$3:$N$6,2,FALSE)=0,"Spatial Data Missing ⚠",VLOOKUP(L168,'G-3 Multipliers'!$L$3:$N$6,2,FALSE)))</f>
        <v/>
      </c>
      <c r="N168" s="499" t="str">
        <f>IF(L168="","",IF(VLOOKUP(L168,'G-3 Multipliers'!$L$3:$N$6,3,FALSE)=0,"Spatial Data Missing ⚠",VLOOKUP(L168,'G-3 Multipliers'!$L$3:$N$6,3,FALSE)))</f>
        <v/>
      </c>
      <c r="O168" s="498" t="str">
        <f t="shared" si="10"/>
        <v/>
      </c>
      <c r="P168" s="195"/>
      <c r="Q168" s="195"/>
      <c r="R168" s="520" t="str">
        <f t="shared" si="11"/>
        <v/>
      </c>
      <c r="S168" s="544" t="str">
        <f t="shared" si="12"/>
        <v/>
      </c>
      <c r="T168" s="525" t="str">
        <f>IFERROR(IF(S168="Check Data ⚠","Check Data ⚠",VLOOKUP(S168,'G-4 Temporal multipliers'!$A$4:$C$37,3,FALSE)),"")</f>
        <v/>
      </c>
      <c r="U168" s="523" t="str">
        <f>IF(F168="","",VLOOKUP(F168,'G-3 Multipliers'!$A$2:$E$129,2,FALSE))</f>
        <v/>
      </c>
      <c r="V168" s="520" t="str">
        <f t="shared" si="14"/>
        <v/>
      </c>
      <c r="W168" s="520" t="str">
        <f>IF(E168="","",IF(AND(V168="Standard difficulty applied",O168&gt;P168),U168,IF(AND(V168="Low Difficulty - only applicable if all habitat created before losses ⚠",P168&gt;=O168),"Low",VLOOKUP(F168,'G-3 Multipliers'!$A$2:$E$129,4,FALSE))))</f>
        <v/>
      </c>
      <c r="X168" s="524" t="str">
        <f>IFERROR(IF(E168="","",VLOOKUP(W168, 'G-3 Multipliers'!$P$2:$Q$6,2,FALSE)),"")</f>
        <v/>
      </c>
      <c r="Y168" s="197"/>
      <c r="Z168" s="499" t="str">
        <f>IF(Y168="","",IF(VLOOKUP(Y168,'G-3 Multipliers'!$S$3:$T$9,2,FALSE)=0,"Spatial Data Missing ⚠",VLOOKUP(Y168,'G-3 Multipliers'!$S$3:$T$9,2,FALSE)))</f>
        <v/>
      </c>
      <c r="AA168" s="545" t="str">
        <f t="shared" si="13"/>
        <v/>
      </c>
      <c r="AB168" s="149"/>
      <c r="AC168" s="150"/>
    </row>
    <row r="169" spans="1:29" ht="13.8" x14ac:dyDescent="0.25">
      <c r="A169" s="31" t="str">
        <f>IFERROR(INDEX('G-8 Condition Look up'!$I$4:$I$130,MATCH(F169,'G-8 Condition Look up'!$A$4:$A$130,0)),"")</f>
        <v/>
      </c>
      <c r="C169" s="244" t="str">
        <f>IFERROR(INDEX('G-1 All Habitats'!$AG$3:$AG$15,MATCH(D169,'G-1 All Habitats'!$AF$3:$AF$15,0)),"")</f>
        <v/>
      </c>
      <c r="D169" s="154"/>
      <c r="E169" s="203"/>
      <c r="F169" s="243" t="str">
        <f>IFERROR(INDEX('G-1 All Habitats'!$B$3:$B$129,MATCH(E169,'G-1 All Habitats'!$A$3:$A$129,0)),"")</f>
        <v/>
      </c>
      <c r="G169" s="386"/>
      <c r="H169" s="537" t="str">
        <f>IF(F169="","",VLOOKUP(F169,'G-1 All Habitats'!$B$2:$M$129,10,FALSE))</f>
        <v/>
      </c>
      <c r="I169" s="524" t="str">
        <f>IFERROR(VLOOKUP(H169,'G-1 All Habitats'!$V$3:$W$7,2,FALSE),"")</f>
        <v/>
      </c>
      <c r="J169" s="199"/>
      <c r="K169" s="524" t="str">
        <f>IFERROR(INDEX('G-8 Condition Look up'!$A$3:$H$130,MATCH(F169,'G-8 Condition Look up'!$A$3:$A$130,0),MATCH(J169,'G-8 Condition Look up'!$A$3:$H$3,0)),"")</f>
        <v/>
      </c>
      <c r="L169" s="145"/>
      <c r="M169" s="540" t="str">
        <f>IF(L169="","",IF(VLOOKUP(L169,'G-3 Multipliers'!$L$3:$N$6,2,FALSE)=0,"Spatial Data Missing ⚠",VLOOKUP(L169,'G-3 Multipliers'!$L$3:$N$6,2,FALSE)))</f>
        <v/>
      </c>
      <c r="N169" s="499" t="str">
        <f>IF(L169="","",IF(VLOOKUP(L169,'G-3 Multipliers'!$L$3:$N$6,3,FALSE)=0,"Spatial Data Missing ⚠",VLOOKUP(L169,'G-3 Multipliers'!$L$3:$N$6,3,FALSE)))</f>
        <v/>
      </c>
      <c r="O169" s="498" t="str">
        <f t="shared" si="10"/>
        <v/>
      </c>
      <c r="P169" s="195"/>
      <c r="Q169" s="195"/>
      <c r="R169" s="520" t="str">
        <f t="shared" si="11"/>
        <v/>
      </c>
      <c r="S169" s="544" t="str">
        <f t="shared" si="12"/>
        <v/>
      </c>
      <c r="T169" s="525" t="str">
        <f>IFERROR(IF(S169="Check Data ⚠","Check Data ⚠",VLOOKUP(S169,'G-4 Temporal multipliers'!$A$4:$C$37,3,FALSE)),"")</f>
        <v/>
      </c>
      <c r="U169" s="523" t="str">
        <f>IF(F169="","",VLOOKUP(F169,'G-3 Multipliers'!$A$2:$E$129,2,FALSE))</f>
        <v/>
      </c>
      <c r="V169" s="520" t="str">
        <f t="shared" si="14"/>
        <v/>
      </c>
      <c r="W169" s="520" t="str">
        <f>IF(E169="","",IF(AND(V169="Standard difficulty applied",O169&gt;P169),U169,IF(AND(V169="Low Difficulty - only applicable if all habitat created before losses ⚠",P169&gt;=O169),"Low",VLOOKUP(F169,'G-3 Multipliers'!$A$2:$E$129,4,FALSE))))</f>
        <v/>
      </c>
      <c r="X169" s="524" t="str">
        <f>IFERROR(IF(E169="","",VLOOKUP(W169, 'G-3 Multipliers'!$P$2:$Q$6,2,FALSE)),"")</f>
        <v/>
      </c>
      <c r="Y169" s="197"/>
      <c r="Z169" s="499" t="str">
        <f>IF(Y169="","",IF(VLOOKUP(Y169,'G-3 Multipliers'!$S$3:$T$9,2,FALSE)=0,"Spatial Data Missing ⚠",VLOOKUP(Y169,'G-3 Multipliers'!$S$3:$T$9,2,FALSE)))</f>
        <v/>
      </c>
      <c r="AA169" s="545" t="str">
        <f t="shared" si="13"/>
        <v/>
      </c>
      <c r="AB169" s="149"/>
      <c r="AC169" s="150"/>
    </row>
    <row r="170" spans="1:29" ht="13.8" x14ac:dyDescent="0.25">
      <c r="A170" s="31" t="str">
        <f>IFERROR(INDEX('G-8 Condition Look up'!$I$4:$I$130,MATCH(F170,'G-8 Condition Look up'!$A$4:$A$130,0)),"")</f>
        <v/>
      </c>
      <c r="C170" s="244" t="str">
        <f>IFERROR(INDEX('G-1 All Habitats'!$AG$3:$AG$15,MATCH(D170,'G-1 All Habitats'!$AF$3:$AF$15,0)),"")</f>
        <v/>
      </c>
      <c r="D170" s="154"/>
      <c r="E170" s="203"/>
      <c r="F170" s="243" t="str">
        <f>IFERROR(INDEX('G-1 All Habitats'!$B$3:$B$129,MATCH(E170,'G-1 All Habitats'!$A$3:$A$129,0)),"")</f>
        <v/>
      </c>
      <c r="G170" s="386"/>
      <c r="H170" s="537" t="str">
        <f>IF(F170="","",VLOOKUP(F170,'G-1 All Habitats'!$B$2:$M$129,10,FALSE))</f>
        <v/>
      </c>
      <c r="I170" s="524" t="str">
        <f>IFERROR(VLOOKUP(H170,'G-1 All Habitats'!$V$3:$W$7,2,FALSE),"")</f>
        <v/>
      </c>
      <c r="J170" s="199"/>
      <c r="K170" s="524" t="str">
        <f>IFERROR(INDEX('G-8 Condition Look up'!$A$3:$H$130,MATCH(F170,'G-8 Condition Look up'!$A$3:$A$130,0),MATCH(J170,'G-8 Condition Look up'!$A$3:$H$3,0)),"")</f>
        <v/>
      </c>
      <c r="L170" s="145"/>
      <c r="M170" s="540" t="str">
        <f>IF(L170="","",IF(VLOOKUP(L170,'G-3 Multipliers'!$L$3:$N$6,2,FALSE)=0,"Spatial Data Missing ⚠",VLOOKUP(L170,'G-3 Multipliers'!$L$3:$N$6,2,FALSE)))</f>
        <v/>
      </c>
      <c r="N170" s="499" t="str">
        <f>IF(L170="","",IF(VLOOKUP(L170,'G-3 Multipliers'!$L$3:$N$6,3,FALSE)=0,"Spatial Data Missing ⚠",VLOOKUP(L170,'G-3 Multipliers'!$L$3:$N$6,3,FALSE)))</f>
        <v/>
      </c>
      <c r="O170" s="498" t="str">
        <f t="shared" si="10"/>
        <v/>
      </c>
      <c r="P170" s="195"/>
      <c r="Q170" s="195"/>
      <c r="R170" s="520" t="str">
        <f t="shared" si="11"/>
        <v/>
      </c>
      <c r="S170" s="544" t="str">
        <f t="shared" si="12"/>
        <v/>
      </c>
      <c r="T170" s="525" t="str">
        <f>IFERROR(IF(S170="Check Data ⚠","Check Data ⚠",VLOOKUP(S170,'G-4 Temporal multipliers'!$A$4:$C$37,3,FALSE)),"")</f>
        <v/>
      </c>
      <c r="U170" s="523" t="str">
        <f>IF(F170="","",VLOOKUP(F170,'G-3 Multipliers'!$A$2:$E$129,2,FALSE))</f>
        <v/>
      </c>
      <c r="V170" s="520" t="str">
        <f t="shared" si="14"/>
        <v/>
      </c>
      <c r="W170" s="520" t="str">
        <f>IF(E170="","",IF(AND(V170="Standard difficulty applied",O170&gt;P170),U170,IF(AND(V170="Low Difficulty - only applicable if all habitat created before losses ⚠",P170&gt;=O170),"Low",VLOOKUP(F170,'G-3 Multipliers'!$A$2:$E$129,4,FALSE))))</f>
        <v/>
      </c>
      <c r="X170" s="524" t="str">
        <f>IFERROR(IF(E170="","",VLOOKUP(W170, 'G-3 Multipliers'!$P$2:$Q$6,2,FALSE)),"")</f>
        <v/>
      </c>
      <c r="Y170" s="197"/>
      <c r="Z170" s="499" t="str">
        <f>IF(Y170="","",IF(VLOOKUP(Y170,'G-3 Multipliers'!$S$3:$T$9,2,FALSE)=0,"Spatial Data Missing ⚠",VLOOKUP(Y170,'G-3 Multipliers'!$S$3:$T$9,2,FALSE)))</f>
        <v/>
      </c>
      <c r="AA170" s="545" t="str">
        <f t="shared" si="13"/>
        <v/>
      </c>
      <c r="AB170" s="149"/>
      <c r="AC170" s="150"/>
    </row>
    <row r="171" spans="1:29" ht="13.8" x14ac:dyDescent="0.25">
      <c r="A171" s="31" t="str">
        <f>IFERROR(INDEX('G-8 Condition Look up'!$I$4:$I$130,MATCH(F171,'G-8 Condition Look up'!$A$4:$A$130,0)),"")</f>
        <v/>
      </c>
      <c r="C171" s="244" t="str">
        <f>IFERROR(INDEX('G-1 All Habitats'!$AG$3:$AG$15,MATCH(D171,'G-1 All Habitats'!$AF$3:$AF$15,0)),"")</f>
        <v/>
      </c>
      <c r="D171" s="154"/>
      <c r="E171" s="203"/>
      <c r="F171" s="243" t="str">
        <f>IFERROR(INDEX('G-1 All Habitats'!$B$3:$B$129,MATCH(E171,'G-1 All Habitats'!$A$3:$A$129,0)),"")</f>
        <v/>
      </c>
      <c r="G171" s="386"/>
      <c r="H171" s="537" t="str">
        <f>IF(F171="","",VLOOKUP(F171,'G-1 All Habitats'!$B$2:$M$129,10,FALSE))</f>
        <v/>
      </c>
      <c r="I171" s="524" t="str">
        <f>IFERROR(VLOOKUP(H171,'G-1 All Habitats'!$V$3:$W$7,2,FALSE),"")</f>
        <v/>
      </c>
      <c r="J171" s="199"/>
      <c r="K171" s="524" t="str">
        <f>IFERROR(INDEX('G-8 Condition Look up'!$A$3:$H$130,MATCH(F171,'G-8 Condition Look up'!$A$3:$A$130,0),MATCH(J171,'G-8 Condition Look up'!$A$3:$H$3,0)),"")</f>
        <v/>
      </c>
      <c r="L171" s="145"/>
      <c r="M171" s="540" t="str">
        <f>IF(L171="","",IF(VLOOKUP(L171,'G-3 Multipliers'!$L$3:$N$6,2,FALSE)=0,"Spatial Data Missing ⚠",VLOOKUP(L171,'G-3 Multipliers'!$L$3:$N$6,2,FALSE)))</f>
        <v/>
      </c>
      <c r="N171" s="499" t="str">
        <f>IF(L171="","",IF(VLOOKUP(L171,'G-3 Multipliers'!$L$3:$N$6,3,FALSE)=0,"Spatial Data Missing ⚠",VLOOKUP(L171,'G-3 Multipliers'!$L$3:$N$6,3,FALSE)))</f>
        <v/>
      </c>
      <c r="O171" s="498" t="str">
        <f t="shared" si="10"/>
        <v/>
      </c>
      <c r="P171" s="195"/>
      <c r="Q171" s="195"/>
      <c r="R171" s="520" t="str">
        <f t="shared" si="11"/>
        <v/>
      </c>
      <c r="S171" s="544" t="str">
        <f t="shared" si="12"/>
        <v/>
      </c>
      <c r="T171" s="525" t="str">
        <f>IFERROR(IF(S171="Check Data ⚠","Check Data ⚠",VLOOKUP(S171,'G-4 Temporal multipliers'!$A$4:$C$37,3,FALSE)),"")</f>
        <v/>
      </c>
      <c r="U171" s="523" t="str">
        <f>IF(F171="","",VLOOKUP(F171,'G-3 Multipliers'!$A$2:$E$129,2,FALSE))</f>
        <v/>
      </c>
      <c r="V171" s="520" t="str">
        <f t="shared" si="14"/>
        <v/>
      </c>
      <c r="W171" s="520" t="str">
        <f>IF(E171="","",IF(AND(V171="Standard difficulty applied",O171&gt;P171),U171,IF(AND(V171="Low Difficulty - only applicable if all habitat created before losses ⚠",P171&gt;=O171),"Low",VLOOKUP(F171,'G-3 Multipliers'!$A$2:$E$129,4,FALSE))))</f>
        <v/>
      </c>
      <c r="X171" s="524" t="str">
        <f>IFERROR(IF(E171="","",VLOOKUP(W171, 'G-3 Multipliers'!$P$2:$Q$6,2,FALSE)),"")</f>
        <v/>
      </c>
      <c r="Y171" s="197"/>
      <c r="Z171" s="499" t="str">
        <f>IF(Y171="","",IF(VLOOKUP(Y171,'G-3 Multipliers'!$S$3:$T$9,2,FALSE)=0,"Spatial Data Missing ⚠",VLOOKUP(Y171,'G-3 Multipliers'!$S$3:$T$9,2,FALSE)))</f>
        <v/>
      </c>
      <c r="AA171" s="545" t="str">
        <f t="shared" si="13"/>
        <v/>
      </c>
      <c r="AB171" s="149"/>
      <c r="AC171" s="150"/>
    </row>
    <row r="172" spans="1:29" ht="13.8" x14ac:dyDescent="0.25">
      <c r="A172" s="31" t="str">
        <f>IFERROR(INDEX('G-8 Condition Look up'!$I$4:$I$130,MATCH(F172,'G-8 Condition Look up'!$A$4:$A$130,0)),"")</f>
        <v/>
      </c>
      <c r="C172" s="244" t="str">
        <f>IFERROR(INDEX('G-1 All Habitats'!$AG$3:$AG$15,MATCH(D172,'G-1 All Habitats'!$AF$3:$AF$15,0)),"")</f>
        <v/>
      </c>
      <c r="D172" s="154"/>
      <c r="E172" s="203"/>
      <c r="F172" s="243" t="str">
        <f>IFERROR(INDEX('G-1 All Habitats'!$B$3:$B$129,MATCH(E172,'G-1 All Habitats'!$A$3:$A$129,0)),"")</f>
        <v/>
      </c>
      <c r="G172" s="386"/>
      <c r="H172" s="537" t="str">
        <f>IF(F172="","",VLOOKUP(F172,'G-1 All Habitats'!$B$2:$M$129,10,FALSE))</f>
        <v/>
      </c>
      <c r="I172" s="524" t="str">
        <f>IFERROR(VLOOKUP(H172,'G-1 All Habitats'!$V$3:$W$7,2,FALSE),"")</f>
        <v/>
      </c>
      <c r="J172" s="199"/>
      <c r="K172" s="524" t="str">
        <f>IFERROR(INDEX('G-8 Condition Look up'!$A$3:$H$130,MATCH(F172,'G-8 Condition Look up'!$A$3:$A$130,0),MATCH(J172,'G-8 Condition Look up'!$A$3:$H$3,0)),"")</f>
        <v/>
      </c>
      <c r="L172" s="145"/>
      <c r="M172" s="540" t="str">
        <f>IF(L172="","",IF(VLOOKUP(L172,'G-3 Multipliers'!$L$3:$N$6,2,FALSE)=0,"Spatial Data Missing ⚠",VLOOKUP(L172,'G-3 Multipliers'!$L$3:$N$6,2,FALSE)))</f>
        <v/>
      </c>
      <c r="N172" s="499" t="str">
        <f>IF(L172="","",IF(VLOOKUP(L172,'G-3 Multipliers'!$L$3:$N$6,3,FALSE)=0,"Spatial Data Missing ⚠",VLOOKUP(L172,'G-3 Multipliers'!$L$3:$N$6,3,FALSE)))</f>
        <v/>
      </c>
      <c r="O172" s="498" t="str">
        <f t="shared" si="10"/>
        <v/>
      </c>
      <c r="P172" s="195"/>
      <c r="Q172" s="195"/>
      <c r="R172" s="520" t="str">
        <f t="shared" si="11"/>
        <v/>
      </c>
      <c r="S172" s="544" t="str">
        <f t="shared" si="12"/>
        <v/>
      </c>
      <c r="T172" s="525" t="str">
        <f>IFERROR(IF(S172="Check Data ⚠","Check Data ⚠",VLOOKUP(S172,'G-4 Temporal multipliers'!$A$4:$C$37,3,FALSE)),"")</f>
        <v/>
      </c>
      <c r="U172" s="523" t="str">
        <f>IF(F172="","",VLOOKUP(F172,'G-3 Multipliers'!$A$2:$E$129,2,FALSE))</f>
        <v/>
      </c>
      <c r="V172" s="520" t="str">
        <f t="shared" si="14"/>
        <v/>
      </c>
      <c r="W172" s="520" t="str">
        <f>IF(E172="","",IF(AND(V172="Standard difficulty applied",O172&gt;P172),U172,IF(AND(V172="Low Difficulty - only applicable if all habitat created before losses ⚠",P172&gt;=O172),"Low",VLOOKUP(F172,'G-3 Multipliers'!$A$2:$E$129,4,FALSE))))</f>
        <v/>
      </c>
      <c r="X172" s="524" t="str">
        <f>IFERROR(IF(E172="","",VLOOKUP(W172, 'G-3 Multipliers'!$P$2:$Q$6,2,FALSE)),"")</f>
        <v/>
      </c>
      <c r="Y172" s="197"/>
      <c r="Z172" s="499" t="str">
        <f>IF(Y172="","",IF(VLOOKUP(Y172,'G-3 Multipliers'!$S$3:$T$9,2,FALSE)=0,"Spatial Data Missing ⚠",VLOOKUP(Y172,'G-3 Multipliers'!$S$3:$T$9,2,FALSE)))</f>
        <v/>
      </c>
      <c r="AA172" s="545" t="str">
        <f t="shared" si="13"/>
        <v/>
      </c>
      <c r="AB172" s="149"/>
      <c r="AC172" s="150"/>
    </row>
    <row r="173" spans="1:29" ht="13.8" x14ac:dyDescent="0.25">
      <c r="A173" s="31" t="str">
        <f>IFERROR(INDEX('G-8 Condition Look up'!$I$4:$I$130,MATCH(F173,'G-8 Condition Look up'!$A$4:$A$130,0)),"")</f>
        <v/>
      </c>
      <c r="C173" s="244" t="str">
        <f>IFERROR(INDEX('G-1 All Habitats'!$AG$3:$AG$15,MATCH(D173,'G-1 All Habitats'!$AF$3:$AF$15,0)),"")</f>
        <v/>
      </c>
      <c r="D173" s="154"/>
      <c r="E173" s="203"/>
      <c r="F173" s="243" t="str">
        <f>IFERROR(INDEX('G-1 All Habitats'!$B$3:$B$129,MATCH(E173,'G-1 All Habitats'!$A$3:$A$129,0)),"")</f>
        <v/>
      </c>
      <c r="G173" s="386"/>
      <c r="H173" s="537" t="str">
        <f>IF(F173="","",VLOOKUP(F173,'G-1 All Habitats'!$B$2:$M$129,10,FALSE))</f>
        <v/>
      </c>
      <c r="I173" s="524" t="str">
        <f>IFERROR(VLOOKUP(H173,'G-1 All Habitats'!$V$3:$W$7,2,FALSE),"")</f>
        <v/>
      </c>
      <c r="J173" s="199"/>
      <c r="K173" s="524" t="str">
        <f>IFERROR(INDEX('G-8 Condition Look up'!$A$3:$H$130,MATCH(F173,'G-8 Condition Look up'!$A$3:$A$130,0),MATCH(J173,'G-8 Condition Look up'!$A$3:$H$3,0)),"")</f>
        <v/>
      </c>
      <c r="L173" s="145"/>
      <c r="M173" s="540" t="str">
        <f>IF(L173="","",IF(VLOOKUP(L173,'G-3 Multipliers'!$L$3:$N$6,2,FALSE)=0,"Spatial Data Missing ⚠",VLOOKUP(L173,'G-3 Multipliers'!$L$3:$N$6,2,FALSE)))</f>
        <v/>
      </c>
      <c r="N173" s="499" t="str">
        <f>IF(L173="","",IF(VLOOKUP(L173,'G-3 Multipliers'!$L$3:$N$6,3,FALSE)=0,"Spatial Data Missing ⚠",VLOOKUP(L173,'G-3 Multipliers'!$L$3:$N$6,3,FALSE)))</f>
        <v/>
      </c>
      <c r="O173" s="498" t="str">
        <f t="shared" si="10"/>
        <v/>
      </c>
      <c r="P173" s="195"/>
      <c r="Q173" s="195"/>
      <c r="R173" s="520" t="str">
        <f t="shared" si="11"/>
        <v/>
      </c>
      <c r="S173" s="544" t="str">
        <f t="shared" si="12"/>
        <v/>
      </c>
      <c r="T173" s="525" t="str">
        <f>IFERROR(IF(S173="Check Data ⚠","Check Data ⚠",VLOOKUP(S173,'G-4 Temporal multipliers'!$A$4:$C$37,3,FALSE)),"")</f>
        <v/>
      </c>
      <c r="U173" s="523" t="str">
        <f>IF(F173="","",VLOOKUP(F173,'G-3 Multipliers'!$A$2:$E$129,2,FALSE))</f>
        <v/>
      </c>
      <c r="V173" s="520" t="str">
        <f t="shared" si="14"/>
        <v/>
      </c>
      <c r="W173" s="520" t="str">
        <f>IF(E173="","",IF(AND(V173="Standard difficulty applied",O173&gt;P173),U173,IF(AND(V173="Low Difficulty - only applicable if all habitat created before losses ⚠",P173&gt;=O173),"Low",VLOOKUP(F173,'G-3 Multipliers'!$A$2:$E$129,4,FALSE))))</f>
        <v/>
      </c>
      <c r="X173" s="524" t="str">
        <f>IFERROR(IF(E173="","",VLOOKUP(W173, 'G-3 Multipliers'!$P$2:$Q$6,2,FALSE)),"")</f>
        <v/>
      </c>
      <c r="Y173" s="197"/>
      <c r="Z173" s="499" t="str">
        <f>IF(Y173="","",IF(VLOOKUP(Y173,'G-3 Multipliers'!$S$3:$T$9,2,FALSE)=0,"Spatial Data Missing ⚠",VLOOKUP(Y173,'G-3 Multipliers'!$S$3:$T$9,2,FALSE)))</f>
        <v/>
      </c>
      <c r="AA173" s="545" t="str">
        <f t="shared" si="13"/>
        <v/>
      </c>
      <c r="AB173" s="149"/>
      <c r="AC173" s="150"/>
    </row>
    <row r="174" spans="1:29" ht="13.8" x14ac:dyDescent="0.25">
      <c r="A174" s="31" t="str">
        <f>IFERROR(INDEX('G-8 Condition Look up'!$I$4:$I$130,MATCH(F174,'G-8 Condition Look up'!$A$4:$A$130,0)),"")</f>
        <v/>
      </c>
      <c r="C174" s="244" t="str">
        <f>IFERROR(INDEX('G-1 All Habitats'!$AG$3:$AG$15,MATCH(D174,'G-1 All Habitats'!$AF$3:$AF$15,0)),"")</f>
        <v/>
      </c>
      <c r="D174" s="154"/>
      <c r="E174" s="203"/>
      <c r="F174" s="243" t="str">
        <f>IFERROR(INDEX('G-1 All Habitats'!$B$3:$B$129,MATCH(E174,'G-1 All Habitats'!$A$3:$A$129,0)),"")</f>
        <v/>
      </c>
      <c r="G174" s="386"/>
      <c r="H174" s="537" t="str">
        <f>IF(F174="","",VLOOKUP(F174,'G-1 All Habitats'!$B$2:$M$129,10,FALSE))</f>
        <v/>
      </c>
      <c r="I174" s="524" t="str">
        <f>IFERROR(VLOOKUP(H174,'G-1 All Habitats'!$V$3:$W$7,2,FALSE),"")</f>
        <v/>
      </c>
      <c r="J174" s="199"/>
      <c r="K174" s="524" t="str">
        <f>IFERROR(INDEX('G-8 Condition Look up'!$A$3:$H$130,MATCH(F174,'G-8 Condition Look up'!$A$3:$A$130,0),MATCH(J174,'G-8 Condition Look up'!$A$3:$H$3,0)),"")</f>
        <v/>
      </c>
      <c r="L174" s="145"/>
      <c r="M174" s="540" t="str">
        <f>IF(L174="","",IF(VLOOKUP(L174,'G-3 Multipliers'!$L$3:$N$6,2,FALSE)=0,"Spatial Data Missing ⚠",VLOOKUP(L174,'G-3 Multipliers'!$L$3:$N$6,2,FALSE)))</f>
        <v/>
      </c>
      <c r="N174" s="499" t="str">
        <f>IF(L174="","",IF(VLOOKUP(L174,'G-3 Multipliers'!$L$3:$N$6,3,FALSE)=0,"Spatial Data Missing ⚠",VLOOKUP(L174,'G-3 Multipliers'!$L$3:$N$6,3,FALSE)))</f>
        <v/>
      </c>
      <c r="O174" s="498" t="str">
        <f t="shared" si="10"/>
        <v/>
      </c>
      <c r="P174" s="195"/>
      <c r="Q174" s="195"/>
      <c r="R174" s="520" t="str">
        <f t="shared" si="11"/>
        <v/>
      </c>
      <c r="S174" s="544" t="str">
        <f t="shared" si="12"/>
        <v/>
      </c>
      <c r="T174" s="525" t="str">
        <f>IFERROR(IF(S174="Check Data ⚠","Check Data ⚠",VLOOKUP(S174,'G-4 Temporal multipliers'!$A$4:$C$37,3,FALSE)),"")</f>
        <v/>
      </c>
      <c r="U174" s="523" t="str">
        <f>IF(F174="","",VLOOKUP(F174,'G-3 Multipliers'!$A$2:$E$129,2,FALSE))</f>
        <v/>
      </c>
      <c r="V174" s="520" t="str">
        <f t="shared" si="14"/>
        <v/>
      </c>
      <c r="W174" s="520" t="str">
        <f>IF(E174="","",IF(AND(V174="Standard difficulty applied",O174&gt;P174),U174,IF(AND(V174="Low Difficulty - only applicable if all habitat created before losses ⚠",P174&gt;=O174),"Low",VLOOKUP(F174,'G-3 Multipliers'!$A$2:$E$129,4,FALSE))))</f>
        <v/>
      </c>
      <c r="X174" s="524" t="str">
        <f>IFERROR(IF(E174="","",VLOOKUP(W174, 'G-3 Multipliers'!$P$2:$Q$6,2,FALSE)),"")</f>
        <v/>
      </c>
      <c r="Y174" s="197"/>
      <c r="Z174" s="499" t="str">
        <f>IF(Y174="","",IF(VLOOKUP(Y174,'G-3 Multipliers'!$S$3:$T$9,2,FALSE)=0,"Spatial Data Missing ⚠",VLOOKUP(Y174,'G-3 Multipliers'!$S$3:$T$9,2,FALSE)))</f>
        <v/>
      </c>
      <c r="AA174" s="545" t="str">
        <f t="shared" si="13"/>
        <v/>
      </c>
      <c r="AB174" s="149"/>
      <c r="AC174" s="150"/>
    </row>
    <row r="175" spans="1:29" ht="13.8" x14ac:dyDescent="0.25">
      <c r="A175" s="31" t="str">
        <f>IFERROR(INDEX('G-8 Condition Look up'!$I$4:$I$130,MATCH(F175,'G-8 Condition Look up'!$A$4:$A$130,0)),"")</f>
        <v/>
      </c>
      <c r="C175" s="244" t="str">
        <f>IFERROR(INDEX('G-1 All Habitats'!$AG$3:$AG$15,MATCH(D175,'G-1 All Habitats'!$AF$3:$AF$15,0)),"")</f>
        <v/>
      </c>
      <c r="D175" s="154"/>
      <c r="E175" s="203"/>
      <c r="F175" s="243" t="str">
        <f>IFERROR(INDEX('G-1 All Habitats'!$B$3:$B$129,MATCH(E175,'G-1 All Habitats'!$A$3:$A$129,0)),"")</f>
        <v/>
      </c>
      <c r="G175" s="386"/>
      <c r="H175" s="537" t="str">
        <f>IF(F175="","",VLOOKUP(F175,'G-1 All Habitats'!$B$2:$M$129,10,FALSE))</f>
        <v/>
      </c>
      <c r="I175" s="524" t="str">
        <f>IFERROR(VLOOKUP(H175,'G-1 All Habitats'!$V$3:$W$7,2,FALSE),"")</f>
        <v/>
      </c>
      <c r="J175" s="199"/>
      <c r="K175" s="524" t="str">
        <f>IFERROR(INDEX('G-8 Condition Look up'!$A$3:$H$130,MATCH(F175,'G-8 Condition Look up'!$A$3:$A$130,0),MATCH(J175,'G-8 Condition Look up'!$A$3:$H$3,0)),"")</f>
        <v/>
      </c>
      <c r="L175" s="145"/>
      <c r="M175" s="540" t="str">
        <f>IF(L175="","",IF(VLOOKUP(L175,'G-3 Multipliers'!$L$3:$N$6,2,FALSE)=0,"Spatial Data Missing ⚠",VLOOKUP(L175,'G-3 Multipliers'!$L$3:$N$6,2,FALSE)))</f>
        <v/>
      </c>
      <c r="N175" s="499" t="str">
        <f>IF(L175="","",IF(VLOOKUP(L175,'G-3 Multipliers'!$L$3:$N$6,3,FALSE)=0,"Spatial Data Missing ⚠",VLOOKUP(L175,'G-3 Multipliers'!$L$3:$N$6,3,FALSE)))</f>
        <v/>
      </c>
      <c r="O175" s="498" t="str">
        <f t="shared" si="10"/>
        <v/>
      </c>
      <c r="P175" s="195"/>
      <c r="Q175" s="195"/>
      <c r="R175" s="520" t="str">
        <f t="shared" si="11"/>
        <v/>
      </c>
      <c r="S175" s="544" t="str">
        <f t="shared" si="12"/>
        <v/>
      </c>
      <c r="T175" s="525" t="str">
        <f>IFERROR(IF(S175="Check Data ⚠","Check Data ⚠",VLOOKUP(S175,'G-4 Temporal multipliers'!$A$4:$C$37,3,FALSE)),"")</f>
        <v/>
      </c>
      <c r="U175" s="523" t="str">
        <f>IF(F175="","",VLOOKUP(F175,'G-3 Multipliers'!$A$2:$E$129,2,FALSE))</f>
        <v/>
      </c>
      <c r="V175" s="520" t="str">
        <f t="shared" si="14"/>
        <v/>
      </c>
      <c r="W175" s="520" t="str">
        <f>IF(E175="","",IF(AND(V175="Standard difficulty applied",O175&gt;P175),U175,IF(AND(V175="Low Difficulty - only applicable if all habitat created before losses ⚠",P175&gt;=O175),"Low",VLOOKUP(F175,'G-3 Multipliers'!$A$2:$E$129,4,FALSE))))</f>
        <v/>
      </c>
      <c r="X175" s="524" t="str">
        <f>IFERROR(IF(E175="","",VLOOKUP(W175, 'G-3 Multipliers'!$P$2:$Q$6,2,FALSE)),"")</f>
        <v/>
      </c>
      <c r="Y175" s="197"/>
      <c r="Z175" s="499" t="str">
        <f>IF(Y175="","",IF(VLOOKUP(Y175,'G-3 Multipliers'!$S$3:$T$9,2,FALSE)=0,"Spatial Data Missing ⚠",VLOOKUP(Y175,'G-3 Multipliers'!$S$3:$T$9,2,FALSE)))</f>
        <v/>
      </c>
      <c r="AA175" s="545" t="str">
        <f t="shared" si="13"/>
        <v/>
      </c>
      <c r="AB175" s="149"/>
      <c r="AC175" s="150"/>
    </row>
    <row r="176" spans="1:29" ht="13.8" x14ac:dyDescent="0.25">
      <c r="A176" s="31" t="str">
        <f>IFERROR(INDEX('G-8 Condition Look up'!$I$4:$I$130,MATCH(F176,'G-8 Condition Look up'!$A$4:$A$130,0)),"")</f>
        <v/>
      </c>
      <c r="C176" s="244" t="str">
        <f>IFERROR(INDEX('G-1 All Habitats'!$AG$3:$AG$15,MATCH(D176,'G-1 All Habitats'!$AF$3:$AF$15,0)),"")</f>
        <v/>
      </c>
      <c r="D176" s="154"/>
      <c r="E176" s="203"/>
      <c r="F176" s="243" t="str">
        <f>IFERROR(INDEX('G-1 All Habitats'!$B$3:$B$129,MATCH(E176,'G-1 All Habitats'!$A$3:$A$129,0)),"")</f>
        <v/>
      </c>
      <c r="G176" s="386"/>
      <c r="H176" s="537" t="str">
        <f>IF(F176="","",VLOOKUP(F176,'G-1 All Habitats'!$B$2:$M$129,10,FALSE))</f>
        <v/>
      </c>
      <c r="I176" s="524" t="str">
        <f>IFERROR(VLOOKUP(H176,'G-1 All Habitats'!$V$3:$W$7,2,FALSE),"")</f>
        <v/>
      </c>
      <c r="J176" s="199"/>
      <c r="K176" s="524" t="str">
        <f>IFERROR(INDEX('G-8 Condition Look up'!$A$3:$H$130,MATCH(F176,'G-8 Condition Look up'!$A$3:$A$130,0),MATCH(J176,'G-8 Condition Look up'!$A$3:$H$3,0)),"")</f>
        <v/>
      </c>
      <c r="L176" s="145"/>
      <c r="M176" s="540" t="str">
        <f>IF(L176="","",IF(VLOOKUP(L176,'G-3 Multipliers'!$L$3:$N$6,2,FALSE)=0,"Spatial Data Missing ⚠",VLOOKUP(L176,'G-3 Multipliers'!$L$3:$N$6,2,FALSE)))</f>
        <v/>
      </c>
      <c r="N176" s="499" t="str">
        <f>IF(L176="","",IF(VLOOKUP(L176,'G-3 Multipliers'!$L$3:$N$6,3,FALSE)=0,"Spatial Data Missing ⚠",VLOOKUP(L176,'G-3 Multipliers'!$L$3:$N$6,3,FALSE)))</f>
        <v/>
      </c>
      <c r="O176" s="498" t="str">
        <f t="shared" si="10"/>
        <v/>
      </c>
      <c r="P176" s="195"/>
      <c r="Q176" s="195"/>
      <c r="R176" s="520" t="str">
        <f t="shared" si="11"/>
        <v/>
      </c>
      <c r="S176" s="544" t="str">
        <f t="shared" si="12"/>
        <v/>
      </c>
      <c r="T176" s="525" t="str">
        <f>IFERROR(IF(S176="Check Data ⚠","Check Data ⚠",VLOOKUP(S176,'G-4 Temporal multipliers'!$A$4:$C$37,3,FALSE)),"")</f>
        <v/>
      </c>
      <c r="U176" s="523" t="str">
        <f>IF(F176="","",VLOOKUP(F176,'G-3 Multipliers'!$A$2:$E$129,2,FALSE))</f>
        <v/>
      </c>
      <c r="V176" s="520" t="str">
        <f t="shared" si="14"/>
        <v/>
      </c>
      <c r="W176" s="520" t="str">
        <f>IF(E176="","",IF(AND(V176="Standard difficulty applied",O176&gt;P176),U176,IF(AND(V176="Low Difficulty - only applicable if all habitat created before losses ⚠",P176&gt;=O176),"Low",VLOOKUP(F176,'G-3 Multipliers'!$A$2:$E$129,4,FALSE))))</f>
        <v/>
      </c>
      <c r="X176" s="524" t="str">
        <f>IFERROR(IF(E176="","",VLOOKUP(W176, 'G-3 Multipliers'!$P$2:$Q$6,2,FALSE)),"")</f>
        <v/>
      </c>
      <c r="Y176" s="197"/>
      <c r="Z176" s="499" t="str">
        <f>IF(Y176="","",IF(VLOOKUP(Y176,'G-3 Multipliers'!$S$3:$T$9,2,FALSE)=0,"Spatial Data Missing ⚠",VLOOKUP(Y176,'G-3 Multipliers'!$S$3:$T$9,2,FALSE)))</f>
        <v/>
      </c>
      <c r="AA176" s="545" t="str">
        <f t="shared" si="13"/>
        <v/>
      </c>
      <c r="AB176" s="149"/>
      <c r="AC176" s="150"/>
    </row>
    <row r="177" spans="1:29" ht="13.8" x14ac:dyDescent="0.25">
      <c r="A177" s="31" t="str">
        <f>IFERROR(INDEX('G-8 Condition Look up'!$I$4:$I$130,MATCH(F177,'G-8 Condition Look up'!$A$4:$A$130,0)),"")</f>
        <v/>
      </c>
      <c r="C177" s="244" t="str">
        <f>IFERROR(INDEX('G-1 All Habitats'!$AG$3:$AG$15,MATCH(D177,'G-1 All Habitats'!$AF$3:$AF$15,0)),"")</f>
        <v/>
      </c>
      <c r="D177" s="154"/>
      <c r="E177" s="203"/>
      <c r="F177" s="243" t="str">
        <f>IFERROR(INDEX('G-1 All Habitats'!$B$3:$B$129,MATCH(E177,'G-1 All Habitats'!$A$3:$A$129,0)),"")</f>
        <v/>
      </c>
      <c r="G177" s="386"/>
      <c r="H177" s="537" t="str">
        <f>IF(F177="","",VLOOKUP(F177,'G-1 All Habitats'!$B$2:$M$129,10,FALSE))</f>
        <v/>
      </c>
      <c r="I177" s="524" t="str">
        <f>IFERROR(VLOOKUP(H177,'G-1 All Habitats'!$V$3:$W$7,2,FALSE),"")</f>
        <v/>
      </c>
      <c r="J177" s="199"/>
      <c r="K177" s="524" t="str">
        <f>IFERROR(INDEX('G-8 Condition Look up'!$A$3:$H$130,MATCH(F177,'G-8 Condition Look up'!$A$3:$A$130,0),MATCH(J177,'G-8 Condition Look up'!$A$3:$H$3,0)),"")</f>
        <v/>
      </c>
      <c r="L177" s="145"/>
      <c r="M177" s="540" t="str">
        <f>IF(L177="","",IF(VLOOKUP(L177,'G-3 Multipliers'!$L$3:$N$6,2,FALSE)=0,"Spatial Data Missing ⚠",VLOOKUP(L177,'G-3 Multipliers'!$L$3:$N$6,2,FALSE)))</f>
        <v/>
      </c>
      <c r="N177" s="499" t="str">
        <f>IF(L177="","",IF(VLOOKUP(L177,'G-3 Multipliers'!$L$3:$N$6,3,FALSE)=0,"Spatial Data Missing ⚠",VLOOKUP(L177,'G-3 Multipliers'!$L$3:$N$6,3,FALSE)))</f>
        <v/>
      </c>
      <c r="O177" s="498" t="str">
        <f t="shared" si="10"/>
        <v/>
      </c>
      <c r="P177" s="195"/>
      <c r="Q177" s="195"/>
      <c r="R177" s="520" t="str">
        <f t="shared" si="11"/>
        <v/>
      </c>
      <c r="S177" s="544" t="str">
        <f t="shared" si="12"/>
        <v/>
      </c>
      <c r="T177" s="525" t="str">
        <f>IFERROR(IF(S177="Check Data ⚠","Check Data ⚠",VLOOKUP(S177,'G-4 Temporal multipliers'!$A$4:$C$37,3,FALSE)),"")</f>
        <v/>
      </c>
      <c r="U177" s="523" t="str">
        <f>IF(F177="","",VLOOKUP(F177,'G-3 Multipliers'!$A$2:$E$129,2,FALSE))</f>
        <v/>
      </c>
      <c r="V177" s="520" t="str">
        <f t="shared" si="14"/>
        <v/>
      </c>
      <c r="W177" s="520" t="str">
        <f>IF(E177="","",IF(AND(V177="Standard difficulty applied",O177&gt;P177),U177,IF(AND(V177="Low Difficulty - only applicable if all habitat created before losses ⚠",P177&gt;=O177),"Low",VLOOKUP(F177,'G-3 Multipliers'!$A$2:$E$129,4,FALSE))))</f>
        <v/>
      </c>
      <c r="X177" s="524" t="str">
        <f>IFERROR(IF(E177="","",VLOOKUP(W177, 'G-3 Multipliers'!$P$2:$Q$6,2,FALSE)),"")</f>
        <v/>
      </c>
      <c r="Y177" s="197"/>
      <c r="Z177" s="499" t="str">
        <f>IF(Y177="","",IF(VLOOKUP(Y177,'G-3 Multipliers'!$S$3:$T$9,2,FALSE)=0,"Spatial Data Missing ⚠",VLOOKUP(Y177,'G-3 Multipliers'!$S$3:$T$9,2,FALSE)))</f>
        <v/>
      </c>
      <c r="AA177" s="545" t="str">
        <f t="shared" si="13"/>
        <v/>
      </c>
      <c r="AB177" s="149"/>
      <c r="AC177" s="150"/>
    </row>
    <row r="178" spans="1:29" ht="13.8" x14ac:dyDescent="0.25">
      <c r="A178" s="31" t="str">
        <f>IFERROR(INDEX('G-8 Condition Look up'!$I$4:$I$130,MATCH(F178,'G-8 Condition Look up'!$A$4:$A$130,0)),"")</f>
        <v/>
      </c>
      <c r="C178" s="244" t="str">
        <f>IFERROR(INDEX('G-1 All Habitats'!$AG$3:$AG$15,MATCH(D178,'G-1 All Habitats'!$AF$3:$AF$15,0)),"")</f>
        <v/>
      </c>
      <c r="D178" s="154"/>
      <c r="E178" s="203"/>
      <c r="F178" s="243" t="str">
        <f>IFERROR(INDEX('G-1 All Habitats'!$B$3:$B$129,MATCH(E178,'G-1 All Habitats'!$A$3:$A$129,0)),"")</f>
        <v/>
      </c>
      <c r="G178" s="386"/>
      <c r="H178" s="537" t="str">
        <f>IF(F178="","",VLOOKUP(F178,'G-1 All Habitats'!$B$2:$M$129,10,FALSE))</f>
        <v/>
      </c>
      <c r="I178" s="524" t="str">
        <f>IFERROR(VLOOKUP(H178,'G-1 All Habitats'!$V$3:$W$7,2,FALSE),"")</f>
        <v/>
      </c>
      <c r="J178" s="199"/>
      <c r="K178" s="524" t="str">
        <f>IFERROR(INDEX('G-8 Condition Look up'!$A$3:$H$130,MATCH(F178,'G-8 Condition Look up'!$A$3:$A$130,0),MATCH(J178,'G-8 Condition Look up'!$A$3:$H$3,0)),"")</f>
        <v/>
      </c>
      <c r="L178" s="145"/>
      <c r="M178" s="540" t="str">
        <f>IF(L178="","",IF(VLOOKUP(L178,'G-3 Multipliers'!$L$3:$N$6,2,FALSE)=0,"Spatial Data Missing ⚠",VLOOKUP(L178,'G-3 Multipliers'!$L$3:$N$6,2,FALSE)))</f>
        <v/>
      </c>
      <c r="N178" s="499" t="str">
        <f>IF(L178="","",IF(VLOOKUP(L178,'G-3 Multipliers'!$L$3:$N$6,3,FALSE)=0,"Spatial Data Missing ⚠",VLOOKUP(L178,'G-3 Multipliers'!$L$3:$N$6,3,FALSE)))</f>
        <v/>
      </c>
      <c r="O178" s="498" t="str">
        <f t="shared" si="10"/>
        <v/>
      </c>
      <c r="P178" s="195"/>
      <c r="Q178" s="195"/>
      <c r="R178" s="520" t="str">
        <f t="shared" si="11"/>
        <v/>
      </c>
      <c r="S178" s="544" t="str">
        <f t="shared" si="12"/>
        <v/>
      </c>
      <c r="T178" s="525" t="str">
        <f>IFERROR(IF(S178="Check Data ⚠","Check Data ⚠",VLOOKUP(S178,'G-4 Temporal multipliers'!$A$4:$C$37,3,FALSE)),"")</f>
        <v/>
      </c>
      <c r="U178" s="523" t="str">
        <f>IF(F178="","",VLOOKUP(F178,'G-3 Multipliers'!$A$2:$E$129,2,FALSE))</f>
        <v/>
      </c>
      <c r="V178" s="520" t="str">
        <f t="shared" si="14"/>
        <v/>
      </c>
      <c r="W178" s="520" t="str">
        <f>IF(E178="","",IF(AND(V178="Standard difficulty applied",O178&gt;P178),U178,IF(AND(V178="Low Difficulty - only applicable if all habitat created before losses ⚠",P178&gt;=O178),"Low",VLOOKUP(F178,'G-3 Multipliers'!$A$2:$E$129,4,FALSE))))</f>
        <v/>
      </c>
      <c r="X178" s="524" t="str">
        <f>IFERROR(IF(E178="","",VLOOKUP(W178, 'G-3 Multipliers'!$P$2:$Q$6,2,FALSE)),"")</f>
        <v/>
      </c>
      <c r="Y178" s="197"/>
      <c r="Z178" s="499" t="str">
        <f>IF(Y178="","",IF(VLOOKUP(Y178,'G-3 Multipliers'!$S$3:$T$9,2,FALSE)=0,"Spatial Data Missing ⚠",VLOOKUP(Y178,'G-3 Multipliers'!$S$3:$T$9,2,FALSE)))</f>
        <v/>
      </c>
      <c r="AA178" s="545" t="str">
        <f t="shared" si="13"/>
        <v/>
      </c>
      <c r="AB178" s="149"/>
      <c r="AC178" s="150"/>
    </row>
    <row r="179" spans="1:29" ht="13.8" x14ac:dyDescent="0.25">
      <c r="A179" s="31" t="str">
        <f>IFERROR(INDEX('G-8 Condition Look up'!$I$4:$I$130,MATCH(F179,'G-8 Condition Look up'!$A$4:$A$130,0)),"")</f>
        <v/>
      </c>
      <c r="C179" s="244" t="str">
        <f>IFERROR(INDEX('G-1 All Habitats'!$AG$3:$AG$15,MATCH(D179,'G-1 All Habitats'!$AF$3:$AF$15,0)),"")</f>
        <v/>
      </c>
      <c r="D179" s="154"/>
      <c r="E179" s="203"/>
      <c r="F179" s="243" t="str">
        <f>IFERROR(INDEX('G-1 All Habitats'!$B$3:$B$129,MATCH(E179,'G-1 All Habitats'!$A$3:$A$129,0)),"")</f>
        <v/>
      </c>
      <c r="G179" s="386"/>
      <c r="H179" s="537" t="str">
        <f>IF(F179="","",VLOOKUP(F179,'G-1 All Habitats'!$B$2:$M$129,10,FALSE))</f>
        <v/>
      </c>
      <c r="I179" s="524" t="str">
        <f>IFERROR(VLOOKUP(H179,'G-1 All Habitats'!$V$3:$W$7,2,FALSE),"")</f>
        <v/>
      </c>
      <c r="J179" s="199"/>
      <c r="K179" s="524" t="str">
        <f>IFERROR(INDEX('G-8 Condition Look up'!$A$3:$H$130,MATCH(F179,'G-8 Condition Look up'!$A$3:$A$130,0),MATCH(J179,'G-8 Condition Look up'!$A$3:$H$3,0)),"")</f>
        <v/>
      </c>
      <c r="L179" s="145"/>
      <c r="M179" s="540" t="str">
        <f>IF(L179="","",IF(VLOOKUP(L179,'G-3 Multipliers'!$L$3:$N$6,2,FALSE)=0,"Spatial Data Missing ⚠",VLOOKUP(L179,'G-3 Multipliers'!$L$3:$N$6,2,FALSE)))</f>
        <v/>
      </c>
      <c r="N179" s="499" t="str">
        <f>IF(L179="","",IF(VLOOKUP(L179,'G-3 Multipliers'!$L$3:$N$6,3,FALSE)=0,"Spatial Data Missing ⚠",VLOOKUP(L179,'G-3 Multipliers'!$L$3:$N$6,3,FALSE)))</f>
        <v/>
      </c>
      <c r="O179" s="498" t="str">
        <f t="shared" si="10"/>
        <v/>
      </c>
      <c r="P179" s="195"/>
      <c r="Q179" s="195"/>
      <c r="R179" s="520" t="str">
        <f t="shared" si="11"/>
        <v/>
      </c>
      <c r="S179" s="544" t="str">
        <f t="shared" si="12"/>
        <v/>
      </c>
      <c r="T179" s="525" t="str">
        <f>IFERROR(IF(S179="Check Data ⚠","Check Data ⚠",VLOOKUP(S179,'G-4 Temporal multipliers'!$A$4:$C$37,3,FALSE)),"")</f>
        <v/>
      </c>
      <c r="U179" s="523" t="str">
        <f>IF(F179="","",VLOOKUP(F179,'G-3 Multipliers'!$A$2:$E$129,2,FALSE))</f>
        <v/>
      </c>
      <c r="V179" s="520" t="str">
        <f t="shared" si="14"/>
        <v/>
      </c>
      <c r="W179" s="520" t="str">
        <f>IF(E179="","",IF(AND(V179="Standard difficulty applied",O179&gt;P179),U179,IF(AND(V179="Low Difficulty - only applicable if all habitat created before losses ⚠",P179&gt;=O179),"Low",VLOOKUP(F179,'G-3 Multipliers'!$A$2:$E$129,4,FALSE))))</f>
        <v/>
      </c>
      <c r="X179" s="524" t="str">
        <f>IFERROR(IF(E179="","",VLOOKUP(W179, 'G-3 Multipliers'!$P$2:$Q$6,2,FALSE)),"")</f>
        <v/>
      </c>
      <c r="Y179" s="197"/>
      <c r="Z179" s="499" t="str">
        <f>IF(Y179="","",IF(VLOOKUP(Y179,'G-3 Multipliers'!$S$3:$T$9,2,FALSE)=0,"Spatial Data Missing ⚠",VLOOKUP(Y179,'G-3 Multipliers'!$S$3:$T$9,2,FALSE)))</f>
        <v/>
      </c>
      <c r="AA179" s="545" t="str">
        <f t="shared" si="13"/>
        <v/>
      </c>
      <c r="AB179" s="149"/>
      <c r="AC179" s="150"/>
    </row>
    <row r="180" spans="1:29" ht="13.8" x14ac:dyDescent="0.25">
      <c r="A180" s="31" t="str">
        <f>IFERROR(INDEX('G-8 Condition Look up'!$I$4:$I$130,MATCH(F180,'G-8 Condition Look up'!$A$4:$A$130,0)),"")</f>
        <v/>
      </c>
      <c r="C180" s="244" t="str">
        <f>IFERROR(INDEX('G-1 All Habitats'!$AG$3:$AG$15,MATCH(D180,'G-1 All Habitats'!$AF$3:$AF$15,0)),"")</f>
        <v/>
      </c>
      <c r="D180" s="154"/>
      <c r="E180" s="203"/>
      <c r="F180" s="243" t="str">
        <f>IFERROR(INDEX('G-1 All Habitats'!$B$3:$B$129,MATCH(E180,'G-1 All Habitats'!$A$3:$A$129,0)),"")</f>
        <v/>
      </c>
      <c r="G180" s="386"/>
      <c r="H180" s="537" t="str">
        <f>IF(F180="","",VLOOKUP(F180,'G-1 All Habitats'!$B$2:$M$129,10,FALSE))</f>
        <v/>
      </c>
      <c r="I180" s="524" t="str">
        <f>IFERROR(VLOOKUP(H180,'G-1 All Habitats'!$V$3:$W$7,2,FALSE),"")</f>
        <v/>
      </c>
      <c r="J180" s="199"/>
      <c r="K180" s="524" t="str">
        <f>IFERROR(INDEX('G-8 Condition Look up'!$A$3:$H$130,MATCH(F180,'G-8 Condition Look up'!$A$3:$A$130,0),MATCH(J180,'G-8 Condition Look up'!$A$3:$H$3,0)),"")</f>
        <v/>
      </c>
      <c r="L180" s="145"/>
      <c r="M180" s="540" t="str">
        <f>IF(L180="","",IF(VLOOKUP(L180,'G-3 Multipliers'!$L$3:$N$6,2,FALSE)=0,"Spatial Data Missing ⚠",VLOOKUP(L180,'G-3 Multipliers'!$L$3:$N$6,2,FALSE)))</f>
        <v/>
      </c>
      <c r="N180" s="499" t="str">
        <f>IF(L180="","",IF(VLOOKUP(L180,'G-3 Multipliers'!$L$3:$N$6,3,FALSE)=0,"Spatial Data Missing ⚠",VLOOKUP(L180,'G-3 Multipliers'!$L$3:$N$6,3,FALSE)))</f>
        <v/>
      </c>
      <c r="O180" s="498" t="str">
        <f t="shared" si="10"/>
        <v/>
      </c>
      <c r="P180" s="195"/>
      <c r="Q180" s="195"/>
      <c r="R180" s="520" t="str">
        <f t="shared" si="11"/>
        <v/>
      </c>
      <c r="S180" s="544" t="str">
        <f t="shared" si="12"/>
        <v/>
      </c>
      <c r="T180" s="525" t="str">
        <f>IFERROR(IF(S180="Check Data ⚠","Check Data ⚠",VLOOKUP(S180,'G-4 Temporal multipliers'!$A$4:$C$37,3,FALSE)),"")</f>
        <v/>
      </c>
      <c r="U180" s="523" t="str">
        <f>IF(F180="","",VLOOKUP(F180,'G-3 Multipliers'!$A$2:$E$129,2,FALSE))</f>
        <v/>
      </c>
      <c r="V180" s="520" t="str">
        <f t="shared" si="14"/>
        <v/>
      </c>
      <c r="W180" s="520" t="str">
        <f>IF(E180="","",IF(AND(V180="Standard difficulty applied",O180&gt;P180),U180,IF(AND(V180="Low Difficulty - only applicable if all habitat created before losses ⚠",P180&gt;=O180),"Low",VLOOKUP(F180,'G-3 Multipliers'!$A$2:$E$129,4,FALSE))))</f>
        <v/>
      </c>
      <c r="X180" s="524" t="str">
        <f>IFERROR(IF(E180="","",VLOOKUP(W180, 'G-3 Multipliers'!$P$2:$Q$6,2,FALSE)),"")</f>
        <v/>
      </c>
      <c r="Y180" s="197"/>
      <c r="Z180" s="499" t="str">
        <f>IF(Y180="","",IF(VLOOKUP(Y180,'G-3 Multipliers'!$S$3:$T$9,2,FALSE)=0,"Spatial Data Missing ⚠",VLOOKUP(Y180,'G-3 Multipliers'!$S$3:$T$9,2,FALSE)))</f>
        <v/>
      </c>
      <c r="AA180" s="545" t="str">
        <f t="shared" si="13"/>
        <v/>
      </c>
      <c r="AB180" s="149"/>
      <c r="AC180" s="150"/>
    </row>
    <row r="181" spans="1:29" ht="13.8" x14ac:dyDescent="0.25">
      <c r="A181" s="31" t="str">
        <f>IFERROR(INDEX('G-8 Condition Look up'!$I$4:$I$130,MATCH(F181,'G-8 Condition Look up'!$A$4:$A$130,0)),"")</f>
        <v/>
      </c>
      <c r="C181" s="244" t="str">
        <f>IFERROR(INDEX('G-1 All Habitats'!$AG$3:$AG$15,MATCH(D181,'G-1 All Habitats'!$AF$3:$AF$15,0)),"")</f>
        <v/>
      </c>
      <c r="D181" s="154"/>
      <c r="E181" s="203"/>
      <c r="F181" s="243" t="str">
        <f>IFERROR(INDEX('G-1 All Habitats'!$B$3:$B$129,MATCH(E181,'G-1 All Habitats'!$A$3:$A$129,0)),"")</f>
        <v/>
      </c>
      <c r="G181" s="386"/>
      <c r="H181" s="537" t="str">
        <f>IF(F181="","",VLOOKUP(F181,'G-1 All Habitats'!$B$2:$M$129,10,FALSE))</f>
        <v/>
      </c>
      <c r="I181" s="524" t="str">
        <f>IFERROR(VLOOKUP(H181,'G-1 All Habitats'!$V$3:$W$7,2,FALSE),"")</f>
        <v/>
      </c>
      <c r="J181" s="199"/>
      <c r="K181" s="524" t="str">
        <f>IFERROR(INDEX('G-8 Condition Look up'!$A$3:$H$130,MATCH(F181,'G-8 Condition Look up'!$A$3:$A$130,0),MATCH(J181,'G-8 Condition Look up'!$A$3:$H$3,0)),"")</f>
        <v/>
      </c>
      <c r="L181" s="145"/>
      <c r="M181" s="540" t="str">
        <f>IF(L181="","",IF(VLOOKUP(L181,'G-3 Multipliers'!$L$3:$N$6,2,FALSE)=0,"Spatial Data Missing ⚠",VLOOKUP(L181,'G-3 Multipliers'!$L$3:$N$6,2,FALSE)))</f>
        <v/>
      </c>
      <c r="N181" s="499" t="str">
        <f>IF(L181="","",IF(VLOOKUP(L181,'G-3 Multipliers'!$L$3:$N$6,3,FALSE)=0,"Spatial Data Missing ⚠",VLOOKUP(L181,'G-3 Multipliers'!$L$3:$N$6,3,FALSE)))</f>
        <v/>
      </c>
      <c r="O181" s="498" t="str">
        <f t="shared" si="10"/>
        <v/>
      </c>
      <c r="P181" s="195"/>
      <c r="Q181" s="195"/>
      <c r="R181" s="520" t="str">
        <f t="shared" si="11"/>
        <v/>
      </c>
      <c r="S181" s="544" t="str">
        <f t="shared" si="12"/>
        <v/>
      </c>
      <c r="T181" s="525" t="str">
        <f>IFERROR(IF(S181="Check Data ⚠","Check Data ⚠",VLOOKUP(S181,'G-4 Temporal multipliers'!$A$4:$C$37,3,FALSE)),"")</f>
        <v/>
      </c>
      <c r="U181" s="523" t="str">
        <f>IF(F181="","",VLOOKUP(F181,'G-3 Multipliers'!$A$2:$E$129,2,FALSE))</f>
        <v/>
      </c>
      <c r="V181" s="520" t="str">
        <f t="shared" si="14"/>
        <v/>
      </c>
      <c r="W181" s="520" t="str">
        <f>IF(E181="","",IF(AND(V181="Standard difficulty applied",O181&gt;P181),U181,IF(AND(V181="Low Difficulty - only applicable if all habitat created before losses ⚠",P181&gt;=O181),"Low",VLOOKUP(F181,'G-3 Multipliers'!$A$2:$E$129,4,FALSE))))</f>
        <v/>
      </c>
      <c r="X181" s="524" t="str">
        <f>IFERROR(IF(E181="","",VLOOKUP(W181, 'G-3 Multipliers'!$P$2:$Q$6,2,FALSE)),"")</f>
        <v/>
      </c>
      <c r="Y181" s="197"/>
      <c r="Z181" s="499" t="str">
        <f>IF(Y181="","",IF(VLOOKUP(Y181,'G-3 Multipliers'!$S$3:$T$9,2,FALSE)=0,"Spatial Data Missing ⚠",VLOOKUP(Y181,'G-3 Multipliers'!$S$3:$T$9,2,FALSE)))</f>
        <v/>
      </c>
      <c r="AA181" s="545" t="str">
        <f t="shared" si="13"/>
        <v/>
      </c>
      <c r="AB181" s="149"/>
      <c r="AC181" s="150"/>
    </row>
    <row r="182" spans="1:29" ht="13.8" x14ac:dyDescent="0.25">
      <c r="A182" s="31" t="str">
        <f>IFERROR(INDEX('G-8 Condition Look up'!$I$4:$I$130,MATCH(F182,'G-8 Condition Look up'!$A$4:$A$130,0)),"")</f>
        <v/>
      </c>
      <c r="C182" s="244" t="str">
        <f>IFERROR(INDEX('G-1 All Habitats'!$AG$3:$AG$15,MATCH(D182,'G-1 All Habitats'!$AF$3:$AF$15,0)),"")</f>
        <v/>
      </c>
      <c r="D182" s="154"/>
      <c r="E182" s="203"/>
      <c r="F182" s="243" t="str">
        <f>IFERROR(INDEX('G-1 All Habitats'!$B$3:$B$129,MATCH(E182,'G-1 All Habitats'!$A$3:$A$129,0)),"")</f>
        <v/>
      </c>
      <c r="G182" s="386"/>
      <c r="H182" s="537" t="str">
        <f>IF(F182="","",VLOOKUP(F182,'G-1 All Habitats'!$B$2:$M$129,10,FALSE))</f>
        <v/>
      </c>
      <c r="I182" s="524" t="str">
        <f>IFERROR(VLOOKUP(H182,'G-1 All Habitats'!$V$3:$W$7,2,FALSE),"")</f>
        <v/>
      </c>
      <c r="J182" s="199"/>
      <c r="K182" s="524" t="str">
        <f>IFERROR(INDEX('G-8 Condition Look up'!$A$3:$H$130,MATCH(F182,'G-8 Condition Look up'!$A$3:$A$130,0),MATCH(J182,'G-8 Condition Look up'!$A$3:$H$3,0)),"")</f>
        <v/>
      </c>
      <c r="L182" s="145"/>
      <c r="M182" s="540" t="str">
        <f>IF(L182="","",IF(VLOOKUP(L182,'G-3 Multipliers'!$L$3:$N$6,2,FALSE)=0,"Spatial Data Missing ⚠",VLOOKUP(L182,'G-3 Multipliers'!$L$3:$N$6,2,FALSE)))</f>
        <v/>
      </c>
      <c r="N182" s="499" t="str">
        <f>IF(L182="","",IF(VLOOKUP(L182,'G-3 Multipliers'!$L$3:$N$6,3,FALSE)=0,"Spatial Data Missing ⚠",VLOOKUP(L182,'G-3 Multipliers'!$L$3:$N$6,3,FALSE)))</f>
        <v/>
      </c>
      <c r="O182" s="498" t="str">
        <f t="shared" si="10"/>
        <v/>
      </c>
      <c r="P182" s="195"/>
      <c r="Q182" s="195"/>
      <c r="R182" s="520" t="str">
        <f t="shared" si="11"/>
        <v/>
      </c>
      <c r="S182" s="544" t="str">
        <f t="shared" si="12"/>
        <v/>
      </c>
      <c r="T182" s="525" t="str">
        <f>IFERROR(IF(S182="Check Data ⚠","Check Data ⚠",VLOOKUP(S182,'G-4 Temporal multipliers'!$A$4:$C$37,3,FALSE)),"")</f>
        <v/>
      </c>
      <c r="U182" s="523" t="str">
        <f>IF(F182="","",VLOOKUP(F182,'G-3 Multipliers'!$A$2:$E$129,2,FALSE))</f>
        <v/>
      </c>
      <c r="V182" s="520" t="str">
        <f t="shared" si="14"/>
        <v/>
      </c>
      <c r="W182" s="520" t="str">
        <f>IF(E182="","",IF(AND(V182="Standard difficulty applied",O182&gt;P182),U182,IF(AND(V182="Low Difficulty - only applicable if all habitat created before losses ⚠",P182&gt;=O182),"Low",VLOOKUP(F182,'G-3 Multipliers'!$A$2:$E$129,4,FALSE))))</f>
        <v/>
      </c>
      <c r="X182" s="524" t="str">
        <f>IFERROR(IF(E182="","",VLOOKUP(W182, 'G-3 Multipliers'!$P$2:$Q$6,2,FALSE)),"")</f>
        <v/>
      </c>
      <c r="Y182" s="197"/>
      <c r="Z182" s="499" t="str">
        <f>IF(Y182="","",IF(VLOOKUP(Y182,'G-3 Multipliers'!$S$3:$T$9,2,FALSE)=0,"Spatial Data Missing ⚠",VLOOKUP(Y182,'G-3 Multipliers'!$S$3:$T$9,2,FALSE)))</f>
        <v/>
      </c>
      <c r="AA182" s="545" t="str">
        <f t="shared" si="13"/>
        <v/>
      </c>
      <c r="AB182" s="149"/>
      <c r="AC182" s="150"/>
    </row>
    <row r="183" spans="1:29" ht="13.8" x14ac:dyDescent="0.25">
      <c r="A183" s="31" t="str">
        <f>IFERROR(INDEX('G-8 Condition Look up'!$I$4:$I$130,MATCH(F183,'G-8 Condition Look up'!$A$4:$A$130,0)),"")</f>
        <v/>
      </c>
      <c r="C183" s="244" t="str">
        <f>IFERROR(INDEX('G-1 All Habitats'!$AG$3:$AG$15,MATCH(D183,'G-1 All Habitats'!$AF$3:$AF$15,0)),"")</f>
        <v/>
      </c>
      <c r="D183" s="154"/>
      <c r="E183" s="203"/>
      <c r="F183" s="243" t="str">
        <f>IFERROR(INDEX('G-1 All Habitats'!$B$3:$B$129,MATCH(E183,'G-1 All Habitats'!$A$3:$A$129,0)),"")</f>
        <v/>
      </c>
      <c r="G183" s="386"/>
      <c r="H183" s="537" t="str">
        <f>IF(F183="","",VLOOKUP(F183,'G-1 All Habitats'!$B$2:$M$129,10,FALSE))</f>
        <v/>
      </c>
      <c r="I183" s="524" t="str">
        <f>IFERROR(VLOOKUP(H183,'G-1 All Habitats'!$V$3:$W$7,2,FALSE),"")</f>
        <v/>
      </c>
      <c r="J183" s="199"/>
      <c r="K183" s="524" t="str">
        <f>IFERROR(INDEX('G-8 Condition Look up'!$A$3:$H$130,MATCH(F183,'G-8 Condition Look up'!$A$3:$A$130,0),MATCH(J183,'G-8 Condition Look up'!$A$3:$H$3,0)),"")</f>
        <v/>
      </c>
      <c r="L183" s="145"/>
      <c r="M183" s="540" t="str">
        <f>IF(L183="","",IF(VLOOKUP(L183,'G-3 Multipliers'!$L$3:$N$6,2,FALSE)=0,"Spatial Data Missing ⚠",VLOOKUP(L183,'G-3 Multipliers'!$L$3:$N$6,2,FALSE)))</f>
        <v/>
      </c>
      <c r="N183" s="499" t="str">
        <f>IF(L183="","",IF(VLOOKUP(L183,'G-3 Multipliers'!$L$3:$N$6,3,FALSE)=0,"Spatial Data Missing ⚠",VLOOKUP(L183,'G-3 Multipliers'!$L$3:$N$6,3,FALSE)))</f>
        <v/>
      </c>
      <c r="O183" s="498" t="str">
        <f t="shared" si="10"/>
        <v/>
      </c>
      <c r="P183" s="195"/>
      <c r="Q183" s="195"/>
      <c r="R183" s="520" t="str">
        <f t="shared" si="11"/>
        <v/>
      </c>
      <c r="S183" s="544" t="str">
        <f t="shared" si="12"/>
        <v/>
      </c>
      <c r="T183" s="525" t="str">
        <f>IFERROR(IF(S183="Check Data ⚠","Check Data ⚠",VLOOKUP(S183,'G-4 Temporal multipliers'!$A$4:$C$37,3,FALSE)),"")</f>
        <v/>
      </c>
      <c r="U183" s="523" t="str">
        <f>IF(F183="","",VLOOKUP(F183,'G-3 Multipliers'!$A$2:$E$129,2,FALSE))</f>
        <v/>
      </c>
      <c r="V183" s="520" t="str">
        <f t="shared" si="14"/>
        <v/>
      </c>
      <c r="W183" s="520" t="str">
        <f>IF(E183="","",IF(AND(V183="Standard difficulty applied",O183&gt;P183),U183,IF(AND(V183="Low Difficulty - only applicable if all habitat created before losses ⚠",P183&gt;=O183),"Low",VLOOKUP(F183,'G-3 Multipliers'!$A$2:$E$129,4,FALSE))))</f>
        <v/>
      </c>
      <c r="X183" s="524" t="str">
        <f>IFERROR(IF(E183="","",VLOOKUP(W183, 'G-3 Multipliers'!$P$2:$Q$6,2,FALSE)),"")</f>
        <v/>
      </c>
      <c r="Y183" s="197"/>
      <c r="Z183" s="499" t="str">
        <f>IF(Y183="","",IF(VLOOKUP(Y183,'G-3 Multipliers'!$S$3:$T$9,2,FALSE)=0,"Spatial Data Missing ⚠",VLOOKUP(Y183,'G-3 Multipliers'!$S$3:$T$9,2,FALSE)))</f>
        <v/>
      </c>
      <c r="AA183" s="545" t="str">
        <f t="shared" si="13"/>
        <v/>
      </c>
      <c r="AB183" s="149"/>
      <c r="AC183" s="150"/>
    </row>
    <row r="184" spans="1:29" ht="13.8" x14ac:dyDescent="0.25">
      <c r="A184" s="31" t="str">
        <f>IFERROR(INDEX('G-8 Condition Look up'!$I$4:$I$130,MATCH(F184,'G-8 Condition Look up'!$A$4:$A$130,0)),"")</f>
        <v/>
      </c>
      <c r="C184" s="244" t="str">
        <f>IFERROR(INDEX('G-1 All Habitats'!$AG$3:$AG$15,MATCH(D184,'G-1 All Habitats'!$AF$3:$AF$15,0)),"")</f>
        <v/>
      </c>
      <c r="D184" s="154"/>
      <c r="E184" s="203"/>
      <c r="F184" s="243" t="str">
        <f>IFERROR(INDEX('G-1 All Habitats'!$B$3:$B$129,MATCH(E184,'G-1 All Habitats'!$A$3:$A$129,0)),"")</f>
        <v/>
      </c>
      <c r="G184" s="386"/>
      <c r="H184" s="537" t="str">
        <f>IF(F184="","",VLOOKUP(F184,'G-1 All Habitats'!$B$2:$M$129,10,FALSE))</f>
        <v/>
      </c>
      <c r="I184" s="524" t="str">
        <f>IFERROR(VLOOKUP(H184,'G-1 All Habitats'!$V$3:$W$7,2,FALSE),"")</f>
        <v/>
      </c>
      <c r="J184" s="199"/>
      <c r="K184" s="524" t="str">
        <f>IFERROR(INDEX('G-8 Condition Look up'!$A$3:$H$130,MATCH(F184,'G-8 Condition Look up'!$A$3:$A$130,0),MATCH(J184,'G-8 Condition Look up'!$A$3:$H$3,0)),"")</f>
        <v/>
      </c>
      <c r="L184" s="145"/>
      <c r="M184" s="540" t="str">
        <f>IF(L184="","",IF(VLOOKUP(L184,'G-3 Multipliers'!$L$3:$N$6,2,FALSE)=0,"Spatial Data Missing ⚠",VLOOKUP(L184,'G-3 Multipliers'!$L$3:$N$6,2,FALSE)))</f>
        <v/>
      </c>
      <c r="N184" s="499" t="str">
        <f>IF(L184="","",IF(VLOOKUP(L184,'G-3 Multipliers'!$L$3:$N$6,3,FALSE)=0,"Spatial Data Missing ⚠",VLOOKUP(L184,'G-3 Multipliers'!$L$3:$N$6,3,FALSE)))</f>
        <v/>
      </c>
      <c r="O184" s="498" t="str">
        <f t="shared" si="10"/>
        <v/>
      </c>
      <c r="P184" s="195"/>
      <c r="Q184" s="195"/>
      <c r="R184" s="520" t="str">
        <f t="shared" si="11"/>
        <v/>
      </c>
      <c r="S184" s="544" t="str">
        <f t="shared" si="12"/>
        <v/>
      </c>
      <c r="T184" s="525" t="str">
        <f>IFERROR(IF(S184="Check Data ⚠","Check Data ⚠",VLOOKUP(S184,'G-4 Temporal multipliers'!$A$4:$C$37,3,FALSE)),"")</f>
        <v/>
      </c>
      <c r="U184" s="523" t="str">
        <f>IF(F184="","",VLOOKUP(F184,'G-3 Multipliers'!$A$2:$E$129,2,FALSE))</f>
        <v/>
      </c>
      <c r="V184" s="520" t="str">
        <f t="shared" si="14"/>
        <v/>
      </c>
      <c r="W184" s="520" t="str">
        <f>IF(E184="","",IF(AND(V184="Standard difficulty applied",O184&gt;P184),U184,IF(AND(V184="Low Difficulty - only applicable if all habitat created before losses ⚠",P184&gt;=O184),"Low",VLOOKUP(F184,'G-3 Multipliers'!$A$2:$E$129,4,FALSE))))</f>
        <v/>
      </c>
      <c r="X184" s="524" t="str">
        <f>IFERROR(IF(E184="","",VLOOKUP(W184, 'G-3 Multipliers'!$P$2:$Q$6,2,FALSE)),"")</f>
        <v/>
      </c>
      <c r="Y184" s="197"/>
      <c r="Z184" s="499" t="str">
        <f>IF(Y184="","",IF(VLOOKUP(Y184,'G-3 Multipliers'!$S$3:$T$9,2,FALSE)=0,"Spatial Data Missing ⚠",VLOOKUP(Y184,'G-3 Multipliers'!$S$3:$T$9,2,FALSE)))</f>
        <v/>
      </c>
      <c r="AA184" s="545" t="str">
        <f t="shared" si="13"/>
        <v/>
      </c>
      <c r="AB184" s="149"/>
      <c r="AC184" s="150"/>
    </row>
    <row r="185" spans="1:29" ht="13.8" x14ac:dyDescent="0.25">
      <c r="A185" s="31" t="str">
        <f>IFERROR(INDEX('G-8 Condition Look up'!$I$4:$I$130,MATCH(F185,'G-8 Condition Look up'!$A$4:$A$130,0)),"")</f>
        <v/>
      </c>
      <c r="C185" s="244" t="str">
        <f>IFERROR(INDEX('G-1 All Habitats'!$AG$3:$AG$15,MATCH(D185,'G-1 All Habitats'!$AF$3:$AF$15,0)),"")</f>
        <v/>
      </c>
      <c r="D185" s="154"/>
      <c r="E185" s="203"/>
      <c r="F185" s="243" t="str">
        <f>IFERROR(INDEX('G-1 All Habitats'!$B$3:$B$129,MATCH(E185,'G-1 All Habitats'!$A$3:$A$129,0)),"")</f>
        <v/>
      </c>
      <c r="G185" s="386"/>
      <c r="H185" s="537" t="str">
        <f>IF(F185="","",VLOOKUP(F185,'G-1 All Habitats'!$B$2:$M$129,10,FALSE))</f>
        <v/>
      </c>
      <c r="I185" s="524" t="str">
        <f>IFERROR(VLOOKUP(H185,'G-1 All Habitats'!$V$3:$W$7,2,FALSE),"")</f>
        <v/>
      </c>
      <c r="J185" s="199"/>
      <c r="K185" s="524" t="str">
        <f>IFERROR(INDEX('G-8 Condition Look up'!$A$3:$H$130,MATCH(F185,'G-8 Condition Look up'!$A$3:$A$130,0),MATCH(J185,'G-8 Condition Look up'!$A$3:$H$3,0)),"")</f>
        <v/>
      </c>
      <c r="L185" s="145"/>
      <c r="M185" s="540" t="str">
        <f>IF(L185="","",IF(VLOOKUP(L185,'G-3 Multipliers'!$L$3:$N$6,2,FALSE)=0,"Spatial Data Missing ⚠",VLOOKUP(L185,'G-3 Multipliers'!$L$3:$N$6,2,FALSE)))</f>
        <v/>
      </c>
      <c r="N185" s="499" t="str">
        <f>IF(L185="","",IF(VLOOKUP(L185,'G-3 Multipliers'!$L$3:$N$6,3,FALSE)=0,"Spatial Data Missing ⚠",VLOOKUP(L185,'G-3 Multipliers'!$L$3:$N$6,3,FALSE)))</f>
        <v/>
      </c>
      <c r="O185" s="498" t="str">
        <f t="shared" si="10"/>
        <v/>
      </c>
      <c r="P185" s="195"/>
      <c r="Q185" s="195"/>
      <c r="R185" s="520" t="str">
        <f t="shared" si="11"/>
        <v/>
      </c>
      <c r="S185" s="544" t="str">
        <f t="shared" si="12"/>
        <v/>
      </c>
      <c r="T185" s="525" t="str">
        <f>IFERROR(IF(S185="Check Data ⚠","Check Data ⚠",VLOOKUP(S185,'G-4 Temporal multipliers'!$A$4:$C$37,3,FALSE)),"")</f>
        <v/>
      </c>
      <c r="U185" s="523" t="str">
        <f>IF(F185="","",VLOOKUP(F185,'G-3 Multipliers'!$A$2:$E$129,2,FALSE))</f>
        <v/>
      </c>
      <c r="V185" s="520" t="str">
        <f t="shared" si="14"/>
        <v/>
      </c>
      <c r="W185" s="520" t="str">
        <f>IF(E185="","",IF(AND(V185="Standard difficulty applied",O185&gt;P185),U185,IF(AND(V185="Low Difficulty - only applicable if all habitat created before losses ⚠",P185&gt;=O185),"Low",VLOOKUP(F185,'G-3 Multipliers'!$A$2:$E$129,4,FALSE))))</f>
        <v/>
      </c>
      <c r="X185" s="524" t="str">
        <f>IFERROR(IF(E185="","",VLOOKUP(W185, 'G-3 Multipliers'!$P$2:$Q$6,2,FALSE)),"")</f>
        <v/>
      </c>
      <c r="Y185" s="197"/>
      <c r="Z185" s="499" t="str">
        <f>IF(Y185="","",IF(VLOOKUP(Y185,'G-3 Multipliers'!$S$3:$T$9,2,FALSE)=0,"Spatial Data Missing ⚠",VLOOKUP(Y185,'G-3 Multipliers'!$S$3:$T$9,2,FALSE)))</f>
        <v/>
      </c>
      <c r="AA185" s="545" t="str">
        <f t="shared" si="13"/>
        <v/>
      </c>
      <c r="AB185" s="149"/>
      <c r="AC185" s="150"/>
    </row>
    <row r="186" spans="1:29" ht="13.8" x14ac:dyDescent="0.25">
      <c r="A186" s="31" t="str">
        <f>IFERROR(INDEX('G-8 Condition Look up'!$I$4:$I$130,MATCH(F186,'G-8 Condition Look up'!$A$4:$A$130,0)),"")</f>
        <v/>
      </c>
      <c r="C186" s="244" t="str">
        <f>IFERROR(INDEX('G-1 All Habitats'!$AG$3:$AG$15,MATCH(D186,'G-1 All Habitats'!$AF$3:$AF$15,0)),"")</f>
        <v/>
      </c>
      <c r="D186" s="154"/>
      <c r="E186" s="203"/>
      <c r="F186" s="243" t="str">
        <f>IFERROR(INDEX('G-1 All Habitats'!$B$3:$B$129,MATCH(E186,'G-1 All Habitats'!$A$3:$A$129,0)),"")</f>
        <v/>
      </c>
      <c r="G186" s="386"/>
      <c r="H186" s="537" t="str">
        <f>IF(F186="","",VLOOKUP(F186,'G-1 All Habitats'!$B$2:$M$129,10,FALSE))</f>
        <v/>
      </c>
      <c r="I186" s="524" t="str">
        <f>IFERROR(VLOOKUP(H186,'G-1 All Habitats'!$V$3:$W$7,2,FALSE),"")</f>
        <v/>
      </c>
      <c r="J186" s="199"/>
      <c r="K186" s="524" t="str">
        <f>IFERROR(INDEX('G-8 Condition Look up'!$A$3:$H$130,MATCH(F186,'G-8 Condition Look up'!$A$3:$A$130,0),MATCH(J186,'G-8 Condition Look up'!$A$3:$H$3,0)),"")</f>
        <v/>
      </c>
      <c r="L186" s="145"/>
      <c r="M186" s="540" t="str">
        <f>IF(L186="","",IF(VLOOKUP(L186,'G-3 Multipliers'!$L$3:$N$6,2,FALSE)=0,"Spatial Data Missing ⚠",VLOOKUP(L186,'G-3 Multipliers'!$L$3:$N$6,2,FALSE)))</f>
        <v/>
      </c>
      <c r="N186" s="499" t="str">
        <f>IF(L186="","",IF(VLOOKUP(L186,'G-3 Multipliers'!$L$3:$N$6,3,FALSE)=0,"Spatial Data Missing ⚠",VLOOKUP(L186,'G-3 Multipliers'!$L$3:$N$6,3,FALSE)))</f>
        <v/>
      </c>
      <c r="O186" s="498" t="str">
        <f t="shared" si="10"/>
        <v/>
      </c>
      <c r="P186" s="195"/>
      <c r="Q186" s="195"/>
      <c r="R186" s="520" t="str">
        <f t="shared" si="11"/>
        <v/>
      </c>
      <c r="S186" s="544" t="str">
        <f t="shared" si="12"/>
        <v/>
      </c>
      <c r="T186" s="525" t="str">
        <f>IFERROR(IF(S186="Check Data ⚠","Check Data ⚠",VLOOKUP(S186,'G-4 Temporal multipliers'!$A$4:$C$37,3,FALSE)),"")</f>
        <v/>
      </c>
      <c r="U186" s="523" t="str">
        <f>IF(F186="","",VLOOKUP(F186,'G-3 Multipliers'!$A$2:$E$129,2,FALSE))</f>
        <v/>
      </c>
      <c r="V186" s="520" t="str">
        <f t="shared" si="14"/>
        <v/>
      </c>
      <c r="W186" s="520" t="str">
        <f>IF(E186="","",IF(AND(V186="Standard difficulty applied",O186&gt;P186),U186,IF(AND(V186="Low Difficulty - only applicable if all habitat created before losses ⚠",P186&gt;=O186),"Low",VLOOKUP(F186,'G-3 Multipliers'!$A$2:$E$129,4,FALSE))))</f>
        <v/>
      </c>
      <c r="X186" s="524" t="str">
        <f>IFERROR(IF(E186="","",VLOOKUP(W186, 'G-3 Multipliers'!$P$2:$Q$6,2,FALSE)),"")</f>
        <v/>
      </c>
      <c r="Y186" s="197"/>
      <c r="Z186" s="499" t="str">
        <f>IF(Y186="","",IF(VLOOKUP(Y186,'G-3 Multipliers'!$S$3:$T$9,2,FALSE)=0,"Spatial Data Missing ⚠",VLOOKUP(Y186,'G-3 Multipliers'!$S$3:$T$9,2,FALSE)))</f>
        <v/>
      </c>
      <c r="AA186" s="545" t="str">
        <f t="shared" si="13"/>
        <v/>
      </c>
      <c r="AB186" s="149"/>
      <c r="AC186" s="150"/>
    </row>
    <row r="187" spans="1:29" ht="13.8" x14ac:dyDescent="0.25">
      <c r="A187" s="31" t="str">
        <f>IFERROR(INDEX('G-8 Condition Look up'!$I$4:$I$130,MATCH(F187,'G-8 Condition Look up'!$A$4:$A$130,0)),"")</f>
        <v/>
      </c>
      <c r="C187" s="244" t="str">
        <f>IFERROR(INDEX('G-1 All Habitats'!$AG$3:$AG$15,MATCH(D187,'G-1 All Habitats'!$AF$3:$AF$15,0)),"")</f>
        <v/>
      </c>
      <c r="D187" s="154"/>
      <c r="E187" s="203"/>
      <c r="F187" s="243" t="str">
        <f>IFERROR(INDEX('G-1 All Habitats'!$B$3:$B$129,MATCH(E187,'G-1 All Habitats'!$A$3:$A$129,0)),"")</f>
        <v/>
      </c>
      <c r="G187" s="386"/>
      <c r="H187" s="537" t="str">
        <f>IF(F187="","",VLOOKUP(F187,'G-1 All Habitats'!$B$2:$M$129,10,FALSE))</f>
        <v/>
      </c>
      <c r="I187" s="524" t="str">
        <f>IFERROR(VLOOKUP(H187,'G-1 All Habitats'!$V$3:$W$7,2,FALSE),"")</f>
        <v/>
      </c>
      <c r="J187" s="199"/>
      <c r="K187" s="524" t="str">
        <f>IFERROR(INDEX('G-8 Condition Look up'!$A$3:$H$130,MATCH(F187,'G-8 Condition Look up'!$A$3:$A$130,0),MATCH(J187,'G-8 Condition Look up'!$A$3:$H$3,0)),"")</f>
        <v/>
      </c>
      <c r="L187" s="145"/>
      <c r="M187" s="540" t="str">
        <f>IF(L187="","",IF(VLOOKUP(L187,'G-3 Multipliers'!$L$3:$N$6,2,FALSE)=0,"Spatial Data Missing ⚠",VLOOKUP(L187,'G-3 Multipliers'!$L$3:$N$6,2,FALSE)))</f>
        <v/>
      </c>
      <c r="N187" s="499" t="str">
        <f>IF(L187="","",IF(VLOOKUP(L187,'G-3 Multipliers'!$L$3:$N$6,3,FALSE)=0,"Spatial Data Missing ⚠",VLOOKUP(L187,'G-3 Multipliers'!$L$3:$N$6,3,FALSE)))</f>
        <v/>
      </c>
      <c r="O187" s="498" t="str">
        <f t="shared" si="10"/>
        <v/>
      </c>
      <c r="P187" s="195"/>
      <c r="Q187" s="195"/>
      <c r="R187" s="520" t="str">
        <f t="shared" si="11"/>
        <v/>
      </c>
      <c r="S187" s="544" t="str">
        <f t="shared" si="12"/>
        <v/>
      </c>
      <c r="T187" s="525" t="str">
        <f>IFERROR(IF(S187="Check Data ⚠","Check Data ⚠",VLOOKUP(S187,'G-4 Temporal multipliers'!$A$4:$C$37,3,FALSE)),"")</f>
        <v/>
      </c>
      <c r="U187" s="523" t="str">
        <f>IF(F187="","",VLOOKUP(F187,'G-3 Multipliers'!$A$2:$E$129,2,FALSE))</f>
        <v/>
      </c>
      <c r="V187" s="520" t="str">
        <f t="shared" si="14"/>
        <v/>
      </c>
      <c r="W187" s="520" t="str">
        <f>IF(E187="","",IF(AND(V187="Standard difficulty applied",O187&gt;P187),U187,IF(AND(V187="Low Difficulty - only applicable if all habitat created before losses ⚠",P187&gt;=O187),"Low",VLOOKUP(F187,'G-3 Multipliers'!$A$2:$E$129,4,FALSE))))</f>
        <v/>
      </c>
      <c r="X187" s="524" t="str">
        <f>IFERROR(IF(E187="","",VLOOKUP(W187, 'G-3 Multipliers'!$P$2:$Q$6,2,FALSE)),"")</f>
        <v/>
      </c>
      <c r="Y187" s="197"/>
      <c r="Z187" s="499" t="str">
        <f>IF(Y187="","",IF(VLOOKUP(Y187,'G-3 Multipliers'!$S$3:$T$9,2,FALSE)=0,"Spatial Data Missing ⚠",VLOOKUP(Y187,'G-3 Multipliers'!$S$3:$T$9,2,FALSE)))</f>
        <v/>
      </c>
      <c r="AA187" s="545" t="str">
        <f t="shared" si="13"/>
        <v/>
      </c>
      <c r="AB187" s="149"/>
      <c r="AC187" s="150"/>
    </row>
    <row r="188" spans="1:29" ht="13.8" x14ac:dyDescent="0.25">
      <c r="A188" s="31" t="str">
        <f>IFERROR(INDEX('G-8 Condition Look up'!$I$4:$I$130,MATCH(F188,'G-8 Condition Look up'!$A$4:$A$130,0)),"")</f>
        <v/>
      </c>
      <c r="C188" s="244" t="str">
        <f>IFERROR(INDEX('G-1 All Habitats'!$AG$3:$AG$15,MATCH(D188,'G-1 All Habitats'!$AF$3:$AF$15,0)),"")</f>
        <v/>
      </c>
      <c r="D188" s="154"/>
      <c r="E188" s="203"/>
      <c r="F188" s="243" t="str">
        <f>IFERROR(INDEX('G-1 All Habitats'!$B$3:$B$129,MATCH(E188,'G-1 All Habitats'!$A$3:$A$129,0)),"")</f>
        <v/>
      </c>
      <c r="G188" s="386"/>
      <c r="H188" s="537" t="str">
        <f>IF(F188="","",VLOOKUP(F188,'G-1 All Habitats'!$B$2:$M$129,10,FALSE))</f>
        <v/>
      </c>
      <c r="I188" s="524" t="str">
        <f>IFERROR(VLOOKUP(H188,'G-1 All Habitats'!$V$3:$W$7,2,FALSE),"")</f>
        <v/>
      </c>
      <c r="J188" s="199"/>
      <c r="K188" s="524" t="str">
        <f>IFERROR(INDEX('G-8 Condition Look up'!$A$3:$H$130,MATCH(F188,'G-8 Condition Look up'!$A$3:$A$130,0),MATCH(J188,'G-8 Condition Look up'!$A$3:$H$3,0)),"")</f>
        <v/>
      </c>
      <c r="L188" s="145"/>
      <c r="M188" s="540" t="str">
        <f>IF(L188="","",IF(VLOOKUP(L188,'G-3 Multipliers'!$L$3:$N$6,2,FALSE)=0,"Spatial Data Missing ⚠",VLOOKUP(L188,'G-3 Multipliers'!$L$3:$N$6,2,FALSE)))</f>
        <v/>
      </c>
      <c r="N188" s="499" t="str">
        <f>IF(L188="","",IF(VLOOKUP(L188,'G-3 Multipliers'!$L$3:$N$6,3,FALSE)=0,"Spatial Data Missing ⚠",VLOOKUP(L188,'G-3 Multipliers'!$L$3:$N$6,3,FALSE)))</f>
        <v/>
      </c>
      <c r="O188" s="498" t="str">
        <f t="shared" si="10"/>
        <v/>
      </c>
      <c r="P188" s="195"/>
      <c r="Q188" s="195"/>
      <c r="R188" s="520" t="str">
        <f t="shared" si="11"/>
        <v/>
      </c>
      <c r="S188" s="544" t="str">
        <f t="shared" si="12"/>
        <v/>
      </c>
      <c r="T188" s="525" t="str">
        <f>IFERROR(IF(S188="Check Data ⚠","Check Data ⚠",VLOOKUP(S188,'G-4 Temporal multipliers'!$A$4:$C$37,3,FALSE)),"")</f>
        <v/>
      </c>
      <c r="U188" s="523" t="str">
        <f>IF(F188="","",VLOOKUP(F188,'G-3 Multipliers'!$A$2:$E$129,2,FALSE))</f>
        <v/>
      </c>
      <c r="V188" s="520" t="str">
        <f t="shared" si="14"/>
        <v/>
      </c>
      <c r="W188" s="520" t="str">
        <f>IF(E188="","",IF(AND(V188="Standard difficulty applied",O188&gt;P188),U188,IF(AND(V188="Low Difficulty - only applicable if all habitat created before losses ⚠",P188&gt;=O188),"Low",VLOOKUP(F188,'G-3 Multipliers'!$A$2:$E$129,4,FALSE))))</f>
        <v/>
      </c>
      <c r="X188" s="524" t="str">
        <f>IFERROR(IF(E188="","",VLOOKUP(W188, 'G-3 Multipliers'!$P$2:$Q$6,2,FALSE)),"")</f>
        <v/>
      </c>
      <c r="Y188" s="197"/>
      <c r="Z188" s="499" t="str">
        <f>IF(Y188="","",IF(VLOOKUP(Y188,'G-3 Multipliers'!$S$3:$T$9,2,FALSE)=0,"Spatial Data Missing ⚠",VLOOKUP(Y188,'G-3 Multipliers'!$S$3:$T$9,2,FALSE)))</f>
        <v/>
      </c>
      <c r="AA188" s="545" t="str">
        <f t="shared" si="13"/>
        <v/>
      </c>
      <c r="AB188" s="149"/>
      <c r="AC188" s="150"/>
    </row>
    <row r="189" spans="1:29" ht="13.8" x14ac:dyDescent="0.25">
      <c r="A189" s="31" t="str">
        <f>IFERROR(INDEX('G-8 Condition Look up'!$I$4:$I$130,MATCH(F189,'G-8 Condition Look up'!$A$4:$A$130,0)),"")</f>
        <v/>
      </c>
      <c r="C189" s="244" t="str">
        <f>IFERROR(INDEX('G-1 All Habitats'!$AG$3:$AG$15,MATCH(D189,'G-1 All Habitats'!$AF$3:$AF$15,0)),"")</f>
        <v/>
      </c>
      <c r="D189" s="154"/>
      <c r="E189" s="203"/>
      <c r="F189" s="243" t="str">
        <f>IFERROR(INDEX('G-1 All Habitats'!$B$3:$B$129,MATCH(E189,'G-1 All Habitats'!$A$3:$A$129,0)),"")</f>
        <v/>
      </c>
      <c r="G189" s="386"/>
      <c r="H189" s="537" t="str">
        <f>IF(F189="","",VLOOKUP(F189,'G-1 All Habitats'!$B$2:$M$129,10,FALSE))</f>
        <v/>
      </c>
      <c r="I189" s="524" t="str">
        <f>IFERROR(VLOOKUP(H189,'G-1 All Habitats'!$V$3:$W$7,2,FALSE),"")</f>
        <v/>
      </c>
      <c r="J189" s="199"/>
      <c r="K189" s="524" t="str">
        <f>IFERROR(INDEX('G-8 Condition Look up'!$A$3:$H$130,MATCH(F189,'G-8 Condition Look up'!$A$3:$A$130,0),MATCH(J189,'G-8 Condition Look up'!$A$3:$H$3,0)),"")</f>
        <v/>
      </c>
      <c r="L189" s="145"/>
      <c r="M189" s="540" t="str">
        <f>IF(L189="","",IF(VLOOKUP(L189,'G-3 Multipliers'!$L$3:$N$6,2,FALSE)=0,"Spatial Data Missing ⚠",VLOOKUP(L189,'G-3 Multipliers'!$L$3:$N$6,2,FALSE)))</f>
        <v/>
      </c>
      <c r="N189" s="499" t="str">
        <f>IF(L189="","",IF(VLOOKUP(L189,'G-3 Multipliers'!$L$3:$N$6,3,FALSE)=0,"Spatial Data Missing ⚠",VLOOKUP(L189,'G-3 Multipliers'!$L$3:$N$6,3,FALSE)))</f>
        <v/>
      </c>
      <c r="O189" s="498" t="str">
        <f t="shared" si="10"/>
        <v/>
      </c>
      <c r="P189" s="195"/>
      <c r="Q189" s="195"/>
      <c r="R189" s="520" t="str">
        <f t="shared" si="11"/>
        <v/>
      </c>
      <c r="S189" s="544" t="str">
        <f t="shared" si="12"/>
        <v/>
      </c>
      <c r="T189" s="525" t="str">
        <f>IFERROR(IF(S189="Check Data ⚠","Check Data ⚠",VLOOKUP(S189,'G-4 Temporal multipliers'!$A$4:$C$37,3,FALSE)),"")</f>
        <v/>
      </c>
      <c r="U189" s="523" t="str">
        <f>IF(F189="","",VLOOKUP(F189,'G-3 Multipliers'!$A$2:$E$129,2,FALSE))</f>
        <v/>
      </c>
      <c r="V189" s="520" t="str">
        <f t="shared" si="14"/>
        <v/>
      </c>
      <c r="W189" s="520" t="str">
        <f>IF(E189="","",IF(AND(V189="Standard difficulty applied",O189&gt;P189),U189,IF(AND(V189="Low Difficulty - only applicable if all habitat created before losses ⚠",P189&gt;=O189),"Low",VLOOKUP(F189,'G-3 Multipliers'!$A$2:$E$129,4,FALSE))))</f>
        <v/>
      </c>
      <c r="X189" s="524" t="str">
        <f>IFERROR(IF(E189="","",VLOOKUP(W189, 'G-3 Multipliers'!$P$2:$Q$6,2,FALSE)),"")</f>
        <v/>
      </c>
      <c r="Y189" s="197"/>
      <c r="Z189" s="499" t="str">
        <f>IF(Y189="","",IF(VLOOKUP(Y189,'G-3 Multipliers'!$S$3:$T$9,2,FALSE)=0,"Spatial Data Missing ⚠",VLOOKUP(Y189,'G-3 Multipliers'!$S$3:$T$9,2,FALSE)))</f>
        <v/>
      </c>
      <c r="AA189" s="545" t="str">
        <f t="shared" si="13"/>
        <v/>
      </c>
      <c r="AB189" s="149"/>
      <c r="AC189" s="150"/>
    </row>
    <row r="190" spans="1:29" ht="13.8" x14ac:dyDescent="0.25">
      <c r="A190" s="31" t="str">
        <f>IFERROR(INDEX('G-8 Condition Look up'!$I$4:$I$130,MATCH(F190,'G-8 Condition Look up'!$A$4:$A$130,0)),"")</f>
        <v/>
      </c>
      <c r="C190" s="244" t="str">
        <f>IFERROR(INDEX('G-1 All Habitats'!$AG$3:$AG$15,MATCH(D190,'G-1 All Habitats'!$AF$3:$AF$15,0)),"")</f>
        <v/>
      </c>
      <c r="D190" s="154"/>
      <c r="E190" s="203"/>
      <c r="F190" s="243" t="str">
        <f>IFERROR(INDEX('G-1 All Habitats'!$B$3:$B$129,MATCH(E190,'G-1 All Habitats'!$A$3:$A$129,0)),"")</f>
        <v/>
      </c>
      <c r="G190" s="386"/>
      <c r="H190" s="537" t="str">
        <f>IF(F190="","",VLOOKUP(F190,'G-1 All Habitats'!$B$2:$M$129,10,FALSE))</f>
        <v/>
      </c>
      <c r="I190" s="524" t="str">
        <f>IFERROR(VLOOKUP(H190,'G-1 All Habitats'!$V$3:$W$7,2,FALSE),"")</f>
        <v/>
      </c>
      <c r="J190" s="199"/>
      <c r="K190" s="524" t="str">
        <f>IFERROR(INDEX('G-8 Condition Look up'!$A$3:$H$130,MATCH(F190,'G-8 Condition Look up'!$A$3:$A$130,0),MATCH(J190,'G-8 Condition Look up'!$A$3:$H$3,0)),"")</f>
        <v/>
      </c>
      <c r="L190" s="145"/>
      <c r="M190" s="540" t="str">
        <f>IF(L190="","",IF(VLOOKUP(L190,'G-3 Multipliers'!$L$3:$N$6,2,FALSE)=0,"Spatial Data Missing ⚠",VLOOKUP(L190,'G-3 Multipliers'!$L$3:$N$6,2,FALSE)))</f>
        <v/>
      </c>
      <c r="N190" s="499" t="str">
        <f>IF(L190="","",IF(VLOOKUP(L190,'G-3 Multipliers'!$L$3:$N$6,3,FALSE)=0,"Spatial Data Missing ⚠",VLOOKUP(L190,'G-3 Multipliers'!$L$3:$N$6,3,FALSE)))</f>
        <v/>
      </c>
      <c r="O190" s="498" t="str">
        <f t="shared" si="10"/>
        <v/>
      </c>
      <c r="P190" s="195"/>
      <c r="Q190" s="195"/>
      <c r="R190" s="520" t="str">
        <f t="shared" si="11"/>
        <v/>
      </c>
      <c r="S190" s="544" t="str">
        <f t="shared" si="12"/>
        <v/>
      </c>
      <c r="T190" s="525" t="str">
        <f>IFERROR(IF(S190="Check Data ⚠","Check Data ⚠",VLOOKUP(S190,'G-4 Temporal multipliers'!$A$4:$C$37,3,FALSE)),"")</f>
        <v/>
      </c>
      <c r="U190" s="523" t="str">
        <f>IF(F190="","",VLOOKUP(F190,'G-3 Multipliers'!$A$2:$E$129,2,FALSE))</f>
        <v/>
      </c>
      <c r="V190" s="520" t="str">
        <f t="shared" si="14"/>
        <v/>
      </c>
      <c r="W190" s="520" t="str">
        <f>IF(E190="","",IF(AND(V190="Standard difficulty applied",O190&gt;P190),U190,IF(AND(V190="Low Difficulty - only applicable if all habitat created before losses ⚠",P190&gt;=O190),"Low",VLOOKUP(F190,'G-3 Multipliers'!$A$2:$E$129,4,FALSE))))</f>
        <v/>
      </c>
      <c r="X190" s="524" t="str">
        <f>IFERROR(IF(E190="","",VLOOKUP(W190, 'G-3 Multipliers'!$P$2:$Q$6,2,FALSE)),"")</f>
        <v/>
      </c>
      <c r="Y190" s="197"/>
      <c r="Z190" s="499" t="str">
        <f>IF(Y190="","",IF(VLOOKUP(Y190,'G-3 Multipliers'!$S$3:$T$9,2,FALSE)=0,"Spatial Data Missing ⚠",VLOOKUP(Y190,'G-3 Multipliers'!$S$3:$T$9,2,FALSE)))</f>
        <v/>
      </c>
      <c r="AA190" s="545" t="str">
        <f t="shared" si="13"/>
        <v/>
      </c>
      <c r="AB190" s="149"/>
      <c r="AC190" s="150"/>
    </row>
    <row r="191" spans="1:29" ht="13.8" x14ac:dyDescent="0.25">
      <c r="A191" s="31" t="str">
        <f>IFERROR(INDEX('G-8 Condition Look up'!$I$4:$I$130,MATCH(F191,'G-8 Condition Look up'!$A$4:$A$130,0)),"")</f>
        <v/>
      </c>
      <c r="C191" s="244" t="str">
        <f>IFERROR(INDEX('G-1 All Habitats'!$AG$3:$AG$15,MATCH(D191,'G-1 All Habitats'!$AF$3:$AF$15,0)),"")</f>
        <v/>
      </c>
      <c r="D191" s="154"/>
      <c r="E191" s="203"/>
      <c r="F191" s="243" t="str">
        <f>IFERROR(INDEX('G-1 All Habitats'!$B$3:$B$129,MATCH(E191,'G-1 All Habitats'!$A$3:$A$129,0)),"")</f>
        <v/>
      </c>
      <c r="G191" s="386"/>
      <c r="H191" s="537" t="str">
        <f>IF(F191="","",VLOOKUP(F191,'G-1 All Habitats'!$B$2:$M$129,10,FALSE))</f>
        <v/>
      </c>
      <c r="I191" s="524" t="str">
        <f>IFERROR(VLOOKUP(H191,'G-1 All Habitats'!$V$3:$W$7,2,FALSE),"")</f>
        <v/>
      </c>
      <c r="J191" s="199"/>
      <c r="K191" s="524" t="str">
        <f>IFERROR(INDEX('G-8 Condition Look up'!$A$3:$H$130,MATCH(F191,'G-8 Condition Look up'!$A$3:$A$130,0),MATCH(J191,'G-8 Condition Look up'!$A$3:$H$3,0)),"")</f>
        <v/>
      </c>
      <c r="L191" s="145"/>
      <c r="M191" s="540" t="str">
        <f>IF(L191="","",IF(VLOOKUP(L191,'G-3 Multipliers'!$L$3:$N$6,2,FALSE)=0,"Spatial Data Missing ⚠",VLOOKUP(L191,'G-3 Multipliers'!$L$3:$N$6,2,FALSE)))</f>
        <v/>
      </c>
      <c r="N191" s="499" t="str">
        <f>IF(L191="","",IF(VLOOKUP(L191,'G-3 Multipliers'!$L$3:$N$6,3,FALSE)=0,"Spatial Data Missing ⚠",VLOOKUP(L191,'G-3 Multipliers'!$L$3:$N$6,3,FALSE)))</f>
        <v/>
      </c>
      <c r="O191" s="498" t="str">
        <f t="shared" si="10"/>
        <v/>
      </c>
      <c r="P191" s="195"/>
      <c r="Q191" s="195"/>
      <c r="R191" s="520" t="str">
        <f t="shared" si="11"/>
        <v/>
      </c>
      <c r="S191" s="544" t="str">
        <f t="shared" si="12"/>
        <v/>
      </c>
      <c r="T191" s="525" t="str">
        <f>IFERROR(IF(S191="Check Data ⚠","Check Data ⚠",VLOOKUP(S191,'G-4 Temporal multipliers'!$A$4:$C$37,3,FALSE)),"")</f>
        <v/>
      </c>
      <c r="U191" s="523" t="str">
        <f>IF(F191="","",VLOOKUP(F191,'G-3 Multipliers'!$A$2:$E$129,2,FALSE))</f>
        <v/>
      </c>
      <c r="V191" s="520" t="str">
        <f t="shared" si="14"/>
        <v/>
      </c>
      <c r="W191" s="520" t="str">
        <f>IF(E191="","",IF(AND(V191="Standard difficulty applied",O191&gt;P191),U191,IF(AND(V191="Low Difficulty - only applicable if all habitat created before losses ⚠",P191&gt;=O191),"Low",VLOOKUP(F191,'G-3 Multipliers'!$A$2:$E$129,4,FALSE))))</f>
        <v/>
      </c>
      <c r="X191" s="524" t="str">
        <f>IFERROR(IF(E191="","",VLOOKUP(W191, 'G-3 Multipliers'!$P$2:$Q$6,2,FALSE)),"")</f>
        <v/>
      </c>
      <c r="Y191" s="197"/>
      <c r="Z191" s="499" t="str">
        <f>IF(Y191="","",IF(VLOOKUP(Y191,'G-3 Multipliers'!$S$3:$T$9,2,FALSE)=0,"Spatial Data Missing ⚠",VLOOKUP(Y191,'G-3 Multipliers'!$S$3:$T$9,2,FALSE)))</f>
        <v/>
      </c>
      <c r="AA191" s="545" t="str">
        <f t="shared" si="13"/>
        <v/>
      </c>
      <c r="AB191" s="149"/>
      <c r="AC191" s="150"/>
    </row>
    <row r="192" spans="1:29" ht="13.8" x14ac:dyDescent="0.25">
      <c r="A192" s="31" t="str">
        <f>IFERROR(INDEX('G-8 Condition Look up'!$I$4:$I$130,MATCH(F192,'G-8 Condition Look up'!$A$4:$A$130,0)),"")</f>
        <v/>
      </c>
      <c r="C192" s="244" t="str">
        <f>IFERROR(INDEX('G-1 All Habitats'!$AG$3:$AG$15,MATCH(D192,'G-1 All Habitats'!$AF$3:$AF$15,0)),"")</f>
        <v/>
      </c>
      <c r="D192" s="154"/>
      <c r="E192" s="203"/>
      <c r="F192" s="243" t="str">
        <f>IFERROR(INDEX('G-1 All Habitats'!$B$3:$B$129,MATCH(E192,'G-1 All Habitats'!$A$3:$A$129,0)),"")</f>
        <v/>
      </c>
      <c r="G192" s="386"/>
      <c r="H192" s="537" t="str">
        <f>IF(F192="","",VLOOKUP(F192,'G-1 All Habitats'!$B$2:$M$129,10,FALSE))</f>
        <v/>
      </c>
      <c r="I192" s="524" t="str">
        <f>IFERROR(VLOOKUP(H192,'G-1 All Habitats'!$V$3:$W$7,2,FALSE),"")</f>
        <v/>
      </c>
      <c r="J192" s="199"/>
      <c r="K192" s="524" t="str">
        <f>IFERROR(INDEX('G-8 Condition Look up'!$A$3:$H$130,MATCH(F192,'G-8 Condition Look up'!$A$3:$A$130,0),MATCH(J192,'G-8 Condition Look up'!$A$3:$H$3,0)),"")</f>
        <v/>
      </c>
      <c r="L192" s="145"/>
      <c r="M192" s="540" t="str">
        <f>IF(L192="","",IF(VLOOKUP(L192,'G-3 Multipliers'!$L$3:$N$6,2,FALSE)=0,"Spatial Data Missing ⚠",VLOOKUP(L192,'G-3 Multipliers'!$L$3:$N$6,2,FALSE)))</f>
        <v/>
      </c>
      <c r="N192" s="499" t="str">
        <f>IF(L192="","",IF(VLOOKUP(L192,'G-3 Multipliers'!$L$3:$N$6,3,FALSE)=0,"Spatial Data Missing ⚠",VLOOKUP(L192,'G-3 Multipliers'!$L$3:$N$6,3,FALSE)))</f>
        <v/>
      </c>
      <c r="O192" s="498" t="str">
        <f t="shared" si="10"/>
        <v/>
      </c>
      <c r="P192" s="195"/>
      <c r="Q192" s="195"/>
      <c r="R192" s="520" t="str">
        <f t="shared" si="11"/>
        <v/>
      </c>
      <c r="S192" s="544" t="str">
        <f t="shared" si="12"/>
        <v/>
      </c>
      <c r="T192" s="525" t="str">
        <f>IFERROR(IF(S192="Check Data ⚠","Check Data ⚠",VLOOKUP(S192,'G-4 Temporal multipliers'!$A$4:$C$37,3,FALSE)),"")</f>
        <v/>
      </c>
      <c r="U192" s="523" t="str">
        <f>IF(F192="","",VLOOKUP(F192,'G-3 Multipliers'!$A$2:$E$129,2,FALSE))</f>
        <v/>
      </c>
      <c r="V192" s="520" t="str">
        <f t="shared" si="14"/>
        <v/>
      </c>
      <c r="W192" s="520" t="str">
        <f>IF(E192="","",IF(AND(V192="Standard difficulty applied",O192&gt;P192),U192,IF(AND(V192="Low Difficulty - only applicable if all habitat created before losses ⚠",P192&gt;=O192),"Low",VLOOKUP(F192,'G-3 Multipliers'!$A$2:$E$129,4,FALSE))))</f>
        <v/>
      </c>
      <c r="X192" s="524" t="str">
        <f>IFERROR(IF(E192="","",VLOOKUP(W192, 'G-3 Multipliers'!$P$2:$Q$6,2,FALSE)),"")</f>
        <v/>
      </c>
      <c r="Y192" s="197"/>
      <c r="Z192" s="499" t="str">
        <f>IF(Y192="","",IF(VLOOKUP(Y192,'G-3 Multipliers'!$S$3:$T$9,2,FALSE)=0,"Spatial Data Missing ⚠",VLOOKUP(Y192,'G-3 Multipliers'!$S$3:$T$9,2,FALSE)))</f>
        <v/>
      </c>
      <c r="AA192" s="545" t="str">
        <f t="shared" si="13"/>
        <v/>
      </c>
      <c r="AB192" s="149"/>
      <c r="AC192" s="150"/>
    </row>
    <row r="193" spans="1:29" ht="13.8" x14ac:dyDescent="0.25">
      <c r="A193" s="31" t="str">
        <f>IFERROR(INDEX('G-8 Condition Look up'!$I$4:$I$130,MATCH(F193,'G-8 Condition Look up'!$A$4:$A$130,0)),"")</f>
        <v/>
      </c>
      <c r="C193" s="244" t="str">
        <f>IFERROR(INDEX('G-1 All Habitats'!$AG$3:$AG$15,MATCH(D193,'G-1 All Habitats'!$AF$3:$AF$15,0)),"")</f>
        <v/>
      </c>
      <c r="D193" s="154"/>
      <c r="E193" s="203"/>
      <c r="F193" s="243" t="str">
        <f>IFERROR(INDEX('G-1 All Habitats'!$B$3:$B$129,MATCH(E193,'G-1 All Habitats'!$A$3:$A$129,0)),"")</f>
        <v/>
      </c>
      <c r="G193" s="386"/>
      <c r="H193" s="537" t="str">
        <f>IF(F193="","",VLOOKUP(F193,'G-1 All Habitats'!$B$2:$M$129,10,FALSE))</f>
        <v/>
      </c>
      <c r="I193" s="524" t="str">
        <f>IFERROR(VLOOKUP(H193,'G-1 All Habitats'!$V$3:$W$7,2,FALSE),"")</f>
        <v/>
      </c>
      <c r="J193" s="199"/>
      <c r="K193" s="524" t="str">
        <f>IFERROR(INDEX('G-8 Condition Look up'!$A$3:$H$130,MATCH(F193,'G-8 Condition Look up'!$A$3:$A$130,0),MATCH(J193,'G-8 Condition Look up'!$A$3:$H$3,0)),"")</f>
        <v/>
      </c>
      <c r="L193" s="145"/>
      <c r="M193" s="540" t="str">
        <f>IF(L193="","",IF(VLOOKUP(L193,'G-3 Multipliers'!$L$3:$N$6,2,FALSE)=0,"Spatial Data Missing ⚠",VLOOKUP(L193,'G-3 Multipliers'!$L$3:$N$6,2,FALSE)))</f>
        <v/>
      </c>
      <c r="N193" s="499" t="str">
        <f>IF(L193="","",IF(VLOOKUP(L193,'G-3 Multipliers'!$L$3:$N$6,3,FALSE)=0,"Spatial Data Missing ⚠",VLOOKUP(L193,'G-3 Multipliers'!$L$3:$N$6,3,FALSE)))</f>
        <v/>
      </c>
      <c r="O193" s="498" t="str">
        <f t="shared" si="10"/>
        <v/>
      </c>
      <c r="P193" s="195"/>
      <c r="Q193" s="195"/>
      <c r="R193" s="520" t="str">
        <f t="shared" si="11"/>
        <v/>
      </c>
      <c r="S193" s="544" t="str">
        <f t="shared" si="12"/>
        <v/>
      </c>
      <c r="T193" s="525" t="str">
        <f>IFERROR(IF(S193="Check Data ⚠","Check Data ⚠",VLOOKUP(S193,'G-4 Temporal multipliers'!$A$4:$C$37,3,FALSE)),"")</f>
        <v/>
      </c>
      <c r="U193" s="523" t="str">
        <f>IF(F193="","",VLOOKUP(F193,'G-3 Multipliers'!$A$2:$E$129,2,FALSE))</f>
        <v/>
      </c>
      <c r="V193" s="520" t="str">
        <f t="shared" si="14"/>
        <v/>
      </c>
      <c r="W193" s="520" t="str">
        <f>IF(E193="","",IF(AND(V193="Standard difficulty applied",O193&gt;P193),U193,IF(AND(V193="Low Difficulty - only applicable if all habitat created before losses ⚠",P193&gt;=O193),"Low",VLOOKUP(F193,'G-3 Multipliers'!$A$2:$E$129,4,FALSE))))</f>
        <v/>
      </c>
      <c r="X193" s="524" t="str">
        <f>IFERROR(IF(E193="","",VLOOKUP(W193, 'G-3 Multipliers'!$P$2:$Q$6,2,FALSE)),"")</f>
        <v/>
      </c>
      <c r="Y193" s="197"/>
      <c r="Z193" s="499" t="str">
        <f>IF(Y193="","",IF(VLOOKUP(Y193,'G-3 Multipliers'!$S$3:$T$9,2,FALSE)=0,"Spatial Data Missing ⚠",VLOOKUP(Y193,'G-3 Multipliers'!$S$3:$T$9,2,FALSE)))</f>
        <v/>
      </c>
      <c r="AA193" s="545" t="str">
        <f t="shared" si="13"/>
        <v/>
      </c>
      <c r="AB193" s="149"/>
      <c r="AC193" s="150"/>
    </row>
    <row r="194" spans="1:29" ht="13.8" x14ac:dyDescent="0.25">
      <c r="A194" s="31" t="str">
        <f>IFERROR(INDEX('G-8 Condition Look up'!$I$4:$I$130,MATCH(F194,'G-8 Condition Look up'!$A$4:$A$130,0)),"")</f>
        <v/>
      </c>
      <c r="C194" s="244" t="str">
        <f>IFERROR(INDEX('G-1 All Habitats'!$AG$3:$AG$15,MATCH(D194,'G-1 All Habitats'!$AF$3:$AF$15,0)),"")</f>
        <v/>
      </c>
      <c r="D194" s="154"/>
      <c r="E194" s="203"/>
      <c r="F194" s="243" t="str">
        <f>IFERROR(INDEX('G-1 All Habitats'!$B$3:$B$129,MATCH(E194,'G-1 All Habitats'!$A$3:$A$129,0)),"")</f>
        <v/>
      </c>
      <c r="G194" s="386"/>
      <c r="H194" s="537" t="str">
        <f>IF(F194="","",VLOOKUP(F194,'G-1 All Habitats'!$B$2:$M$129,10,FALSE))</f>
        <v/>
      </c>
      <c r="I194" s="524" t="str">
        <f>IFERROR(VLOOKUP(H194,'G-1 All Habitats'!$V$3:$W$7,2,FALSE),"")</f>
        <v/>
      </c>
      <c r="J194" s="199"/>
      <c r="K194" s="524" t="str">
        <f>IFERROR(INDEX('G-8 Condition Look up'!$A$3:$H$130,MATCH(F194,'G-8 Condition Look up'!$A$3:$A$130,0),MATCH(J194,'G-8 Condition Look up'!$A$3:$H$3,0)),"")</f>
        <v/>
      </c>
      <c r="L194" s="145"/>
      <c r="M194" s="540" t="str">
        <f>IF(L194="","",IF(VLOOKUP(L194,'G-3 Multipliers'!$L$3:$N$6,2,FALSE)=0,"Spatial Data Missing ⚠",VLOOKUP(L194,'G-3 Multipliers'!$L$3:$N$6,2,FALSE)))</f>
        <v/>
      </c>
      <c r="N194" s="499" t="str">
        <f>IF(L194="","",IF(VLOOKUP(L194,'G-3 Multipliers'!$L$3:$N$6,3,FALSE)=0,"Spatial Data Missing ⚠",VLOOKUP(L194,'G-3 Multipliers'!$L$3:$N$6,3,FALSE)))</f>
        <v/>
      </c>
      <c r="O194" s="498" t="str">
        <f t="shared" si="10"/>
        <v/>
      </c>
      <c r="P194" s="195"/>
      <c r="Q194" s="195"/>
      <c r="R194" s="520" t="str">
        <f t="shared" si="11"/>
        <v/>
      </c>
      <c r="S194" s="544" t="str">
        <f t="shared" si="12"/>
        <v/>
      </c>
      <c r="T194" s="525" t="str">
        <f>IFERROR(IF(S194="Check Data ⚠","Check Data ⚠",VLOOKUP(S194,'G-4 Temporal multipliers'!$A$4:$C$37,3,FALSE)),"")</f>
        <v/>
      </c>
      <c r="U194" s="523" t="str">
        <f>IF(F194="","",VLOOKUP(F194,'G-3 Multipliers'!$A$2:$E$129,2,FALSE))</f>
        <v/>
      </c>
      <c r="V194" s="520" t="str">
        <f t="shared" si="14"/>
        <v/>
      </c>
      <c r="W194" s="520" t="str">
        <f>IF(E194="","",IF(AND(V194="Standard difficulty applied",O194&gt;P194),U194,IF(AND(V194="Low Difficulty - only applicable if all habitat created before losses ⚠",P194&gt;=O194),"Low",VLOOKUP(F194,'G-3 Multipliers'!$A$2:$E$129,4,FALSE))))</f>
        <v/>
      </c>
      <c r="X194" s="524" t="str">
        <f>IFERROR(IF(E194="","",VLOOKUP(W194, 'G-3 Multipliers'!$P$2:$Q$6,2,FALSE)),"")</f>
        <v/>
      </c>
      <c r="Y194" s="197"/>
      <c r="Z194" s="499" t="str">
        <f>IF(Y194="","",IF(VLOOKUP(Y194,'G-3 Multipliers'!$S$3:$T$9,2,FALSE)=0,"Spatial Data Missing ⚠",VLOOKUP(Y194,'G-3 Multipliers'!$S$3:$T$9,2,FALSE)))</f>
        <v/>
      </c>
      <c r="AA194" s="545" t="str">
        <f t="shared" si="13"/>
        <v/>
      </c>
      <c r="AB194" s="149"/>
      <c r="AC194" s="150"/>
    </row>
    <row r="195" spans="1:29" ht="13.8" x14ac:dyDescent="0.25">
      <c r="A195" s="31" t="str">
        <f>IFERROR(INDEX('G-8 Condition Look up'!$I$4:$I$130,MATCH(F195,'G-8 Condition Look up'!$A$4:$A$130,0)),"")</f>
        <v/>
      </c>
      <c r="C195" s="244" t="str">
        <f>IFERROR(INDEX('G-1 All Habitats'!$AG$3:$AG$15,MATCH(D195,'G-1 All Habitats'!$AF$3:$AF$15,0)),"")</f>
        <v/>
      </c>
      <c r="D195" s="154"/>
      <c r="E195" s="203"/>
      <c r="F195" s="243" t="str">
        <f>IFERROR(INDEX('G-1 All Habitats'!$B$3:$B$129,MATCH(E195,'G-1 All Habitats'!$A$3:$A$129,0)),"")</f>
        <v/>
      </c>
      <c r="G195" s="386"/>
      <c r="H195" s="537" t="str">
        <f>IF(F195="","",VLOOKUP(F195,'G-1 All Habitats'!$B$2:$M$129,10,FALSE))</f>
        <v/>
      </c>
      <c r="I195" s="524" t="str">
        <f>IFERROR(VLOOKUP(H195,'G-1 All Habitats'!$V$3:$W$7,2,FALSE),"")</f>
        <v/>
      </c>
      <c r="J195" s="199"/>
      <c r="K195" s="524" t="str">
        <f>IFERROR(INDEX('G-8 Condition Look up'!$A$3:$H$130,MATCH(F195,'G-8 Condition Look up'!$A$3:$A$130,0),MATCH(J195,'G-8 Condition Look up'!$A$3:$H$3,0)),"")</f>
        <v/>
      </c>
      <c r="L195" s="145"/>
      <c r="M195" s="540" t="str">
        <f>IF(L195="","",IF(VLOOKUP(L195,'G-3 Multipliers'!$L$3:$N$6,2,FALSE)=0,"Spatial Data Missing ⚠",VLOOKUP(L195,'G-3 Multipliers'!$L$3:$N$6,2,FALSE)))</f>
        <v/>
      </c>
      <c r="N195" s="499" t="str">
        <f>IF(L195="","",IF(VLOOKUP(L195,'G-3 Multipliers'!$L$3:$N$6,3,FALSE)=0,"Spatial Data Missing ⚠",VLOOKUP(L195,'G-3 Multipliers'!$L$3:$N$6,3,FALSE)))</f>
        <v/>
      </c>
      <c r="O195" s="498" t="str">
        <f t="shared" si="10"/>
        <v/>
      </c>
      <c r="P195" s="195"/>
      <c r="Q195" s="195"/>
      <c r="R195" s="520" t="str">
        <f t="shared" si="11"/>
        <v/>
      </c>
      <c r="S195" s="544" t="str">
        <f t="shared" si="12"/>
        <v/>
      </c>
      <c r="T195" s="525" t="str">
        <f>IFERROR(IF(S195="Check Data ⚠","Check Data ⚠",VLOOKUP(S195,'G-4 Temporal multipliers'!$A$4:$C$37,3,FALSE)),"")</f>
        <v/>
      </c>
      <c r="U195" s="523" t="str">
        <f>IF(F195="","",VLOOKUP(F195,'G-3 Multipliers'!$A$2:$E$129,2,FALSE))</f>
        <v/>
      </c>
      <c r="V195" s="520" t="str">
        <f t="shared" si="14"/>
        <v/>
      </c>
      <c r="W195" s="520" t="str">
        <f>IF(E195="","",IF(AND(V195="Standard difficulty applied",O195&gt;P195),U195,IF(AND(V195="Low Difficulty - only applicable if all habitat created before losses ⚠",P195&gt;=O195),"Low",VLOOKUP(F195,'G-3 Multipliers'!$A$2:$E$129,4,FALSE))))</f>
        <v/>
      </c>
      <c r="X195" s="524" t="str">
        <f>IFERROR(IF(E195="","",VLOOKUP(W195, 'G-3 Multipliers'!$P$2:$Q$6,2,FALSE)),"")</f>
        <v/>
      </c>
      <c r="Y195" s="197"/>
      <c r="Z195" s="499" t="str">
        <f>IF(Y195="","",IF(VLOOKUP(Y195,'G-3 Multipliers'!$S$3:$T$9,2,FALSE)=0,"Spatial Data Missing ⚠",VLOOKUP(Y195,'G-3 Multipliers'!$S$3:$T$9,2,FALSE)))</f>
        <v/>
      </c>
      <c r="AA195" s="545" t="str">
        <f t="shared" si="13"/>
        <v/>
      </c>
      <c r="AB195" s="149"/>
      <c r="AC195" s="150"/>
    </row>
    <row r="196" spans="1:29" ht="13.8" x14ac:dyDescent="0.25">
      <c r="A196" s="31" t="str">
        <f>IFERROR(INDEX('G-8 Condition Look up'!$I$4:$I$130,MATCH(F196,'G-8 Condition Look up'!$A$4:$A$130,0)),"")</f>
        <v/>
      </c>
      <c r="C196" s="244" t="str">
        <f>IFERROR(INDEX('G-1 All Habitats'!$AG$3:$AG$15,MATCH(D196,'G-1 All Habitats'!$AF$3:$AF$15,0)),"")</f>
        <v/>
      </c>
      <c r="D196" s="154"/>
      <c r="E196" s="203"/>
      <c r="F196" s="243" t="str">
        <f>IFERROR(INDEX('G-1 All Habitats'!$B$3:$B$129,MATCH(E196,'G-1 All Habitats'!$A$3:$A$129,0)),"")</f>
        <v/>
      </c>
      <c r="G196" s="386"/>
      <c r="H196" s="537" t="str">
        <f>IF(F196="","",VLOOKUP(F196,'G-1 All Habitats'!$B$2:$M$129,10,FALSE))</f>
        <v/>
      </c>
      <c r="I196" s="524" t="str">
        <f>IFERROR(VLOOKUP(H196,'G-1 All Habitats'!$V$3:$W$7,2,FALSE),"")</f>
        <v/>
      </c>
      <c r="J196" s="199"/>
      <c r="K196" s="524" t="str">
        <f>IFERROR(INDEX('G-8 Condition Look up'!$A$3:$H$130,MATCH(F196,'G-8 Condition Look up'!$A$3:$A$130,0),MATCH(J196,'G-8 Condition Look up'!$A$3:$H$3,0)),"")</f>
        <v/>
      </c>
      <c r="L196" s="145"/>
      <c r="M196" s="540" t="str">
        <f>IF(L196="","",IF(VLOOKUP(L196,'G-3 Multipliers'!$L$3:$N$6,2,FALSE)=0,"Spatial Data Missing ⚠",VLOOKUP(L196,'G-3 Multipliers'!$L$3:$N$6,2,FALSE)))</f>
        <v/>
      </c>
      <c r="N196" s="499" t="str">
        <f>IF(L196="","",IF(VLOOKUP(L196,'G-3 Multipliers'!$L$3:$N$6,3,FALSE)=0,"Spatial Data Missing ⚠",VLOOKUP(L196,'G-3 Multipliers'!$L$3:$N$6,3,FALSE)))</f>
        <v/>
      </c>
      <c r="O196" s="498" t="str">
        <f t="shared" si="10"/>
        <v/>
      </c>
      <c r="P196" s="195"/>
      <c r="Q196" s="195"/>
      <c r="R196" s="520" t="str">
        <f t="shared" si="11"/>
        <v/>
      </c>
      <c r="S196" s="544" t="str">
        <f t="shared" si="12"/>
        <v/>
      </c>
      <c r="T196" s="525" t="str">
        <f>IFERROR(IF(S196="Check Data ⚠","Check Data ⚠",VLOOKUP(S196,'G-4 Temporal multipliers'!$A$4:$C$37,3,FALSE)),"")</f>
        <v/>
      </c>
      <c r="U196" s="523" t="str">
        <f>IF(F196="","",VLOOKUP(F196,'G-3 Multipliers'!$A$2:$E$129,2,FALSE))</f>
        <v/>
      </c>
      <c r="V196" s="520" t="str">
        <f t="shared" si="14"/>
        <v/>
      </c>
      <c r="W196" s="520" t="str">
        <f>IF(E196="","",IF(AND(V196="Standard difficulty applied",O196&gt;P196),U196,IF(AND(V196="Low Difficulty - only applicable if all habitat created before losses ⚠",P196&gt;=O196),"Low",VLOOKUP(F196,'G-3 Multipliers'!$A$2:$E$129,4,FALSE))))</f>
        <v/>
      </c>
      <c r="X196" s="524" t="str">
        <f>IFERROR(IF(E196="","",VLOOKUP(W196, 'G-3 Multipliers'!$P$2:$Q$6,2,FALSE)),"")</f>
        <v/>
      </c>
      <c r="Y196" s="197"/>
      <c r="Z196" s="499" t="str">
        <f>IF(Y196="","",IF(VLOOKUP(Y196,'G-3 Multipliers'!$S$3:$T$9,2,FALSE)=0,"Spatial Data Missing ⚠",VLOOKUP(Y196,'G-3 Multipliers'!$S$3:$T$9,2,FALSE)))</f>
        <v/>
      </c>
      <c r="AA196" s="545" t="str">
        <f t="shared" si="13"/>
        <v/>
      </c>
      <c r="AB196" s="149"/>
      <c r="AC196" s="150"/>
    </row>
    <row r="197" spans="1:29" ht="13.8" x14ac:dyDescent="0.25">
      <c r="A197" s="31" t="str">
        <f>IFERROR(INDEX('G-8 Condition Look up'!$I$4:$I$130,MATCH(F197,'G-8 Condition Look up'!$A$4:$A$130,0)),"")</f>
        <v/>
      </c>
      <c r="C197" s="244" t="str">
        <f>IFERROR(INDEX('G-1 All Habitats'!$AG$3:$AG$15,MATCH(D197,'G-1 All Habitats'!$AF$3:$AF$15,0)),"")</f>
        <v/>
      </c>
      <c r="D197" s="154"/>
      <c r="E197" s="203"/>
      <c r="F197" s="243" t="str">
        <f>IFERROR(INDEX('G-1 All Habitats'!$B$3:$B$129,MATCH(E197,'G-1 All Habitats'!$A$3:$A$129,0)),"")</f>
        <v/>
      </c>
      <c r="G197" s="386"/>
      <c r="H197" s="537" t="str">
        <f>IF(F197="","",VLOOKUP(F197,'G-1 All Habitats'!$B$2:$M$129,10,FALSE))</f>
        <v/>
      </c>
      <c r="I197" s="524" t="str">
        <f>IFERROR(VLOOKUP(H197,'G-1 All Habitats'!$V$3:$W$7,2,FALSE),"")</f>
        <v/>
      </c>
      <c r="J197" s="199"/>
      <c r="K197" s="524" t="str">
        <f>IFERROR(INDEX('G-8 Condition Look up'!$A$3:$H$130,MATCH(F197,'G-8 Condition Look up'!$A$3:$A$130,0),MATCH(J197,'G-8 Condition Look up'!$A$3:$H$3,0)),"")</f>
        <v/>
      </c>
      <c r="L197" s="145"/>
      <c r="M197" s="540" t="str">
        <f>IF(L197="","",IF(VLOOKUP(L197,'G-3 Multipliers'!$L$3:$N$6,2,FALSE)=0,"Spatial Data Missing ⚠",VLOOKUP(L197,'G-3 Multipliers'!$L$3:$N$6,2,FALSE)))</f>
        <v/>
      </c>
      <c r="N197" s="499" t="str">
        <f>IF(L197="","",IF(VLOOKUP(L197,'G-3 Multipliers'!$L$3:$N$6,3,FALSE)=0,"Spatial Data Missing ⚠",VLOOKUP(L197,'G-3 Multipliers'!$L$3:$N$6,3,FALSE)))</f>
        <v/>
      </c>
      <c r="O197" s="498" t="str">
        <f t="shared" si="10"/>
        <v/>
      </c>
      <c r="P197" s="195"/>
      <c r="Q197" s="195"/>
      <c r="R197" s="520" t="str">
        <f t="shared" si="11"/>
        <v/>
      </c>
      <c r="S197" s="544" t="str">
        <f t="shared" si="12"/>
        <v/>
      </c>
      <c r="T197" s="525" t="str">
        <f>IFERROR(IF(S197="Check Data ⚠","Check Data ⚠",VLOOKUP(S197,'G-4 Temporal multipliers'!$A$4:$C$37,3,FALSE)),"")</f>
        <v/>
      </c>
      <c r="U197" s="523" t="str">
        <f>IF(F197="","",VLOOKUP(F197,'G-3 Multipliers'!$A$2:$E$129,2,FALSE))</f>
        <v/>
      </c>
      <c r="V197" s="520" t="str">
        <f t="shared" si="14"/>
        <v/>
      </c>
      <c r="W197" s="520" t="str">
        <f>IF(E197="","",IF(AND(V197="Standard difficulty applied",O197&gt;P197),U197,IF(AND(V197="Low Difficulty - only applicable if all habitat created before losses ⚠",P197&gt;=O197),"Low",VLOOKUP(F197,'G-3 Multipliers'!$A$2:$E$129,4,FALSE))))</f>
        <v/>
      </c>
      <c r="X197" s="524" t="str">
        <f>IFERROR(IF(E197="","",VLOOKUP(W197, 'G-3 Multipliers'!$P$2:$Q$6,2,FALSE)),"")</f>
        <v/>
      </c>
      <c r="Y197" s="197"/>
      <c r="Z197" s="499" t="str">
        <f>IF(Y197="","",IF(VLOOKUP(Y197,'G-3 Multipliers'!$S$3:$T$9,2,FALSE)=0,"Spatial Data Missing ⚠",VLOOKUP(Y197,'G-3 Multipliers'!$S$3:$T$9,2,FALSE)))</f>
        <v/>
      </c>
      <c r="AA197" s="545" t="str">
        <f t="shared" si="13"/>
        <v/>
      </c>
      <c r="AB197" s="149"/>
      <c r="AC197" s="150"/>
    </row>
    <row r="198" spans="1:29" ht="13.8" x14ac:dyDescent="0.25">
      <c r="A198" s="31" t="str">
        <f>IFERROR(INDEX('G-8 Condition Look up'!$I$4:$I$130,MATCH(F198,'G-8 Condition Look up'!$A$4:$A$130,0)),"")</f>
        <v/>
      </c>
      <c r="C198" s="244" t="str">
        <f>IFERROR(INDEX('G-1 All Habitats'!$AG$3:$AG$15,MATCH(D198,'G-1 All Habitats'!$AF$3:$AF$15,0)),"")</f>
        <v/>
      </c>
      <c r="D198" s="154"/>
      <c r="E198" s="203"/>
      <c r="F198" s="243" t="str">
        <f>IFERROR(INDEX('G-1 All Habitats'!$B$3:$B$129,MATCH(E198,'G-1 All Habitats'!$A$3:$A$129,0)),"")</f>
        <v/>
      </c>
      <c r="G198" s="386"/>
      <c r="H198" s="537" t="str">
        <f>IF(F198="","",VLOOKUP(F198,'G-1 All Habitats'!$B$2:$M$129,10,FALSE))</f>
        <v/>
      </c>
      <c r="I198" s="524" t="str">
        <f>IFERROR(VLOOKUP(H198,'G-1 All Habitats'!$V$3:$W$7,2,FALSE),"")</f>
        <v/>
      </c>
      <c r="J198" s="199"/>
      <c r="K198" s="524" t="str">
        <f>IFERROR(INDEX('G-8 Condition Look up'!$A$3:$H$130,MATCH(F198,'G-8 Condition Look up'!$A$3:$A$130,0),MATCH(J198,'G-8 Condition Look up'!$A$3:$H$3,0)),"")</f>
        <v/>
      </c>
      <c r="L198" s="145"/>
      <c r="M198" s="540" t="str">
        <f>IF(L198="","",IF(VLOOKUP(L198,'G-3 Multipliers'!$L$3:$N$6,2,FALSE)=0,"Spatial Data Missing ⚠",VLOOKUP(L198,'G-3 Multipliers'!$L$3:$N$6,2,FALSE)))</f>
        <v/>
      </c>
      <c r="N198" s="499" t="str">
        <f>IF(L198="","",IF(VLOOKUP(L198,'G-3 Multipliers'!$L$3:$N$6,3,FALSE)=0,"Spatial Data Missing ⚠",VLOOKUP(L198,'G-3 Multipliers'!$L$3:$N$6,3,FALSE)))</f>
        <v/>
      </c>
      <c r="O198" s="498" t="str">
        <f t="shared" si="10"/>
        <v/>
      </c>
      <c r="P198" s="195"/>
      <c r="Q198" s="195"/>
      <c r="R198" s="520" t="str">
        <f t="shared" si="11"/>
        <v/>
      </c>
      <c r="S198" s="544" t="str">
        <f t="shared" si="12"/>
        <v/>
      </c>
      <c r="T198" s="525" t="str">
        <f>IFERROR(IF(S198="Check Data ⚠","Check Data ⚠",VLOOKUP(S198,'G-4 Temporal multipliers'!$A$4:$C$37,3,FALSE)),"")</f>
        <v/>
      </c>
      <c r="U198" s="523" t="str">
        <f>IF(F198="","",VLOOKUP(F198,'G-3 Multipliers'!$A$2:$E$129,2,FALSE))</f>
        <v/>
      </c>
      <c r="V198" s="520" t="str">
        <f t="shared" si="14"/>
        <v/>
      </c>
      <c r="W198" s="520" t="str">
        <f>IF(E198="","",IF(AND(V198="Standard difficulty applied",O198&gt;P198),U198,IF(AND(V198="Low Difficulty - only applicable if all habitat created before losses ⚠",P198&gt;=O198),"Low",VLOOKUP(F198,'G-3 Multipliers'!$A$2:$E$129,4,FALSE))))</f>
        <v/>
      </c>
      <c r="X198" s="524" t="str">
        <f>IFERROR(IF(E198="","",VLOOKUP(W198, 'G-3 Multipliers'!$P$2:$Q$6,2,FALSE)),"")</f>
        <v/>
      </c>
      <c r="Y198" s="197"/>
      <c r="Z198" s="499" t="str">
        <f>IF(Y198="","",IF(VLOOKUP(Y198,'G-3 Multipliers'!$S$3:$T$9,2,FALSE)=0,"Spatial Data Missing ⚠",VLOOKUP(Y198,'G-3 Multipliers'!$S$3:$T$9,2,FALSE)))</f>
        <v/>
      </c>
      <c r="AA198" s="545" t="str">
        <f t="shared" si="13"/>
        <v/>
      </c>
      <c r="AB198" s="149"/>
      <c r="AC198" s="150"/>
    </row>
    <row r="199" spans="1:29" ht="13.8" x14ac:dyDescent="0.25">
      <c r="A199" s="31" t="str">
        <f>IFERROR(INDEX('G-8 Condition Look up'!$I$4:$I$130,MATCH(F199,'G-8 Condition Look up'!$A$4:$A$130,0)),"")</f>
        <v/>
      </c>
      <c r="C199" s="244" t="str">
        <f>IFERROR(INDEX('G-1 All Habitats'!$AG$3:$AG$15,MATCH(D199,'G-1 All Habitats'!$AF$3:$AF$15,0)),"")</f>
        <v/>
      </c>
      <c r="D199" s="154"/>
      <c r="E199" s="203"/>
      <c r="F199" s="243" t="str">
        <f>IFERROR(INDEX('G-1 All Habitats'!$B$3:$B$129,MATCH(E199,'G-1 All Habitats'!$A$3:$A$129,0)),"")</f>
        <v/>
      </c>
      <c r="G199" s="386"/>
      <c r="H199" s="537" t="str">
        <f>IF(F199="","",VLOOKUP(F199,'G-1 All Habitats'!$B$2:$M$129,10,FALSE))</f>
        <v/>
      </c>
      <c r="I199" s="524" t="str">
        <f>IFERROR(VLOOKUP(H199,'G-1 All Habitats'!$V$3:$W$7,2,FALSE),"")</f>
        <v/>
      </c>
      <c r="J199" s="199"/>
      <c r="K199" s="524" t="str">
        <f>IFERROR(INDEX('G-8 Condition Look up'!$A$3:$H$130,MATCH(F199,'G-8 Condition Look up'!$A$3:$A$130,0),MATCH(J199,'G-8 Condition Look up'!$A$3:$H$3,0)),"")</f>
        <v/>
      </c>
      <c r="L199" s="145"/>
      <c r="M199" s="540" t="str">
        <f>IF(L199="","",IF(VLOOKUP(L199,'G-3 Multipliers'!$L$3:$N$6,2,FALSE)=0,"Spatial Data Missing ⚠",VLOOKUP(L199,'G-3 Multipliers'!$L$3:$N$6,2,FALSE)))</f>
        <v/>
      </c>
      <c r="N199" s="499" t="str">
        <f>IF(L199="","",IF(VLOOKUP(L199,'G-3 Multipliers'!$L$3:$N$6,3,FALSE)=0,"Spatial Data Missing ⚠",VLOOKUP(L199,'G-3 Multipliers'!$L$3:$N$6,3,FALSE)))</f>
        <v/>
      </c>
      <c r="O199" s="498" t="str">
        <f t="shared" si="10"/>
        <v/>
      </c>
      <c r="P199" s="195"/>
      <c r="Q199" s="195"/>
      <c r="R199" s="520" t="str">
        <f t="shared" si="11"/>
        <v/>
      </c>
      <c r="S199" s="544" t="str">
        <f t="shared" si="12"/>
        <v/>
      </c>
      <c r="T199" s="525" t="str">
        <f>IFERROR(IF(S199="Check Data ⚠","Check Data ⚠",VLOOKUP(S199,'G-4 Temporal multipliers'!$A$4:$C$37,3,FALSE)),"")</f>
        <v/>
      </c>
      <c r="U199" s="523" t="str">
        <f>IF(F199="","",VLOOKUP(F199,'G-3 Multipliers'!$A$2:$E$129,2,FALSE))</f>
        <v/>
      </c>
      <c r="V199" s="520" t="str">
        <f t="shared" si="14"/>
        <v/>
      </c>
      <c r="W199" s="520" t="str">
        <f>IF(E199="","",IF(AND(V199="Standard difficulty applied",O199&gt;P199),U199,IF(AND(V199="Low Difficulty - only applicable if all habitat created before losses ⚠",P199&gt;=O199),"Low",VLOOKUP(F199,'G-3 Multipliers'!$A$2:$E$129,4,FALSE))))</f>
        <v/>
      </c>
      <c r="X199" s="524" t="str">
        <f>IFERROR(IF(E199="","",VLOOKUP(W199, 'G-3 Multipliers'!$P$2:$Q$6,2,FALSE)),"")</f>
        <v/>
      </c>
      <c r="Y199" s="197"/>
      <c r="Z199" s="499" t="str">
        <f>IF(Y199="","",IF(VLOOKUP(Y199,'G-3 Multipliers'!$S$3:$T$9,2,FALSE)=0,"Spatial Data Missing ⚠",VLOOKUP(Y199,'G-3 Multipliers'!$S$3:$T$9,2,FALSE)))</f>
        <v/>
      </c>
      <c r="AA199" s="545" t="str">
        <f t="shared" si="13"/>
        <v/>
      </c>
      <c r="AB199" s="149"/>
      <c r="AC199" s="150"/>
    </row>
    <row r="200" spans="1:29" ht="13.8" x14ac:dyDescent="0.25">
      <c r="A200" s="31" t="str">
        <f>IFERROR(INDEX('G-8 Condition Look up'!$I$4:$I$130,MATCH(F200,'G-8 Condition Look up'!$A$4:$A$130,0)),"")</f>
        <v/>
      </c>
      <c r="C200" s="244" t="str">
        <f>IFERROR(INDEX('G-1 All Habitats'!$AG$3:$AG$15,MATCH(D200,'G-1 All Habitats'!$AF$3:$AF$15,0)),"")</f>
        <v/>
      </c>
      <c r="D200" s="154"/>
      <c r="E200" s="203"/>
      <c r="F200" s="243" t="str">
        <f>IFERROR(INDEX('G-1 All Habitats'!$B$3:$B$129,MATCH(E200,'G-1 All Habitats'!$A$3:$A$129,0)),"")</f>
        <v/>
      </c>
      <c r="G200" s="386"/>
      <c r="H200" s="537" t="str">
        <f>IF(F200="","",VLOOKUP(F200,'G-1 All Habitats'!$B$2:$M$129,10,FALSE))</f>
        <v/>
      </c>
      <c r="I200" s="524" t="str">
        <f>IFERROR(VLOOKUP(H200,'G-1 All Habitats'!$V$3:$W$7,2,FALSE),"")</f>
        <v/>
      </c>
      <c r="J200" s="199"/>
      <c r="K200" s="524" t="str">
        <f>IFERROR(INDEX('G-8 Condition Look up'!$A$3:$H$130,MATCH(F200,'G-8 Condition Look up'!$A$3:$A$130,0),MATCH(J200,'G-8 Condition Look up'!$A$3:$H$3,0)),"")</f>
        <v/>
      </c>
      <c r="L200" s="145"/>
      <c r="M200" s="540" t="str">
        <f>IF(L200="","",IF(VLOOKUP(L200,'G-3 Multipliers'!$L$3:$N$6,2,FALSE)=0,"Spatial Data Missing ⚠",VLOOKUP(L200,'G-3 Multipliers'!$L$3:$N$6,2,FALSE)))</f>
        <v/>
      </c>
      <c r="N200" s="499" t="str">
        <f>IF(L200="","",IF(VLOOKUP(L200,'G-3 Multipliers'!$L$3:$N$6,3,FALSE)=0,"Spatial Data Missing ⚠",VLOOKUP(L200,'G-3 Multipliers'!$L$3:$N$6,3,FALSE)))</f>
        <v/>
      </c>
      <c r="O200" s="498" t="str">
        <f t="shared" si="10"/>
        <v/>
      </c>
      <c r="P200" s="195"/>
      <c r="Q200" s="195"/>
      <c r="R200" s="520" t="str">
        <f t="shared" si="11"/>
        <v/>
      </c>
      <c r="S200" s="544" t="str">
        <f t="shared" si="12"/>
        <v/>
      </c>
      <c r="T200" s="525" t="str">
        <f>IFERROR(IF(S200="Check Data ⚠","Check Data ⚠",VLOOKUP(S200,'G-4 Temporal multipliers'!$A$4:$C$37,3,FALSE)),"")</f>
        <v/>
      </c>
      <c r="U200" s="523" t="str">
        <f>IF(F200="","",VLOOKUP(F200,'G-3 Multipliers'!$A$2:$E$129,2,FALSE))</f>
        <v/>
      </c>
      <c r="V200" s="520" t="str">
        <f t="shared" si="14"/>
        <v/>
      </c>
      <c r="W200" s="520" t="str">
        <f>IF(E200="","",IF(AND(V200="Standard difficulty applied",O200&gt;P200),U200,IF(AND(V200="Low Difficulty - only applicable if all habitat created before losses ⚠",P200&gt;=O200),"Low",VLOOKUP(F200,'G-3 Multipliers'!$A$2:$E$129,4,FALSE))))</f>
        <v/>
      </c>
      <c r="X200" s="524" t="str">
        <f>IFERROR(IF(E200="","",VLOOKUP(W200, 'G-3 Multipliers'!$P$2:$Q$6,2,FALSE)),"")</f>
        <v/>
      </c>
      <c r="Y200" s="197"/>
      <c r="Z200" s="499" t="str">
        <f>IF(Y200="","",IF(VLOOKUP(Y200,'G-3 Multipliers'!$S$3:$T$9,2,FALSE)=0,"Spatial Data Missing ⚠",VLOOKUP(Y200,'G-3 Multipliers'!$S$3:$T$9,2,FALSE)))</f>
        <v/>
      </c>
      <c r="AA200" s="545" t="str">
        <f t="shared" si="13"/>
        <v/>
      </c>
      <c r="AB200" s="149"/>
      <c r="AC200" s="150"/>
    </row>
    <row r="201" spans="1:29" ht="13.8" x14ac:dyDescent="0.25">
      <c r="A201" s="31" t="str">
        <f>IFERROR(INDEX('G-8 Condition Look up'!$I$4:$I$130,MATCH(F201,'G-8 Condition Look up'!$A$4:$A$130,0)),"")</f>
        <v/>
      </c>
      <c r="C201" s="244" t="str">
        <f>IFERROR(INDEX('G-1 All Habitats'!$AG$3:$AG$15,MATCH(D201,'G-1 All Habitats'!$AF$3:$AF$15,0)),"")</f>
        <v/>
      </c>
      <c r="D201" s="154"/>
      <c r="E201" s="203"/>
      <c r="F201" s="243" t="str">
        <f>IFERROR(INDEX('G-1 All Habitats'!$B$3:$B$129,MATCH(E201,'G-1 All Habitats'!$A$3:$A$129,0)),"")</f>
        <v/>
      </c>
      <c r="G201" s="386"/>
      <c r="H201" s="537" t="str">
        <f>IF(F201="","",VLOOKUP(F201,'G-1 All Habitats'!$B$2:$M$129,10,FALSE))</f>
        <v/>
      </c>
      <c r="I201" s="524" t="str">
        <f>IFERROR(VLOOKUP(H201,'G-1 All Habitats'!$V$3:$W$7,2,FALSE),"")</f>
        <v/>
      </c>
      <c r="J201" s="199"/>
      <c r="K201" s="524" t="str">
        <f>IFERROR(INDEX('G-8 Condition Look up'!$A$3:$H$130,MATCH(F201,'G-8 Condition Look up'!$A$3:$A$130,0),MATCH(J201,'G-8 Condition Look up'!$A$3:$H$3,0)),"")</f>
        <v/>
      </c>
      <c r="L201" s="145"/>
      <c r="M201" s="540" t="str">
        <f>IF(L201="","",IF(VLOOKUP(L201,'G-3 Multipliers'!$L$3:$N$6,2,FALSE)=0,"Spatial Data Missing ⚠",VLOOKUP(L201,'G-3 Multipliers'!$L$3:$N$6,2,FALSE)))</f>
        <v/>
      </c>
      <c r="N201" s="499" t="str">
        <f>IF(L201="","",IF(VLOOKUP(L201,'G-3 Multipliers'!$L$3:$N$6,3,FALSE)=0,"Spatial Data Missing ⚠",VLOOKUP(L201,'G-3 Multipliers'!$L$3:$N$6,3,FALSE)))</f>
        <v/>
      </c>
      <c r="O201" s="498" t="str">
        <f t="shared" si="10"/>
        <v/>
      </c>
      <c r="P201" s="195"/>
      <c r="Q201" s="195"/>
      <c r="R201" s="520" t="str">
        <f t="shared" si="11"/>
        <v/>
      </c>
      <c r="S201" s="544" t="str">
        <f t="shared" si="12"/>
        <v/>
      </c>
      <c r="T201" s="525" t="str">
        <f>IFERROR(IF(S201="Check Data ⚠","Check Data ⚠",VLOOKUP(S201,'G-4 Temporal multipliers'!$A$4:$C$37,3,FALSE)),"")</f>
        <v/>
      </c>
      <c r="U201" s="523" t="str">
        <f>IF(F201="","",VLOOKUP(F201,'G-3 Multipliers'!$A$2:$E$129,2,FALSE))</f>
        <v/>
      </c>
      <c r="V201" s="520" t="str">
        <f t="shared" si="14"/>
        <v/>
      </c>
      <c r="W201" s="520" t="str">
        <f>IF(E201="","",IF(AND(V201="Standard difficulty applied",O201&gt;P201),U201,IF(AND(V201="Low Difficulty - only applicable if all habitat created before losses ⚠",P201&gt;=O201),"Low",VLOOKUP(F201,'G-3 Multipliers'!$A$2:$E$129,4,FALSE))))</f>
        <v/>
      </c>
      <c r="X201" s="524" t="str">
        <f>IFERROR(IF(E201="","",VLOOKUP(W201, 'G-3 Multipliers'!$P$2:$Q$6,2,FALSE)),"")</f>
        <v/>
      </c>
      <c r="Y201" s="197"/>
      <c r="Z201" s="499" t="str">
        <f>IF(Y201="","",IF(VLOOKUP(Y201,'G-3 Multipliers'!$S$3:$T$9,2,FALSE)=0,"Spatial Data Missing ⚠",VLOOKUP(Y201,'G-3 Multipliers'!$S$3:$T$9,2,FALSE)))</f>
        <v/>
      </c>
      <c r="AA201" s="545" t="str">
        <f t="shared" si="13"/>
        <v/>
      </c>
      <c r="AB201" s="149"/>
      <c r="AC201" s="150"/>
    </row>
    <row r="202" spans="1:29" ht="13.8" x14ac:dyDescent="0.25">
      <c r="A202" s="31" t="str">
        <f>IFERROR(INDEX('G-8 Condition Look up'!$I$4:$I$130,MATCH(F202,'G-8 Condition Look up'!$A$4:$A$130,0)),"")</f>
        <v/>
      </c>
      <c r="C202" s="244" t="str">
        <f>IFERROR(INDEX('G-1 All Habitats'!$AG$3:$AG$15,MATCH(D202,'G-1 All Habitats'!$AF$3:$AF$15,0)),"")</f>
        <v/>
      </c>
      <c r="D202" s="154"/>
      <c r="E202" s="203"/>
      <c r="F202" s="243" t="str">
        <f>IFERROR(INDEX('G-1 All Habitats'!$B$3:$B$129,MATCH(E202,'G-1 All Habitats'!$A$3:$A$129,0)),"")</f>
        <v/>
      </c>
      <c r="G202" s="386"/>
      <c r="H202" s="537" t="str">
        <f>IF(F202="","",VLOOKUP(F202,'G-1 All Habitats'!$B$2:$M$129,10,FALSE))</f>
        <v/>
      </c>
      <c r="I202" s="524" t="str">
        <f>IFERROR(VLOOKUP(H202,'G-1 All Habitats'!$V$3:$W$7,2,FALSE),"")</f>
        <v/>
      </c>
      <c r="J202" s="199"/>
      <c r="K202" s="524" t="str">
        <f>IFERROR(INDEX('G-8 Condition Look up'!$A$3:$H$130,MATCH(F202,'G-8 Condition Look up'!$A$3:$A$130,0),MATCH(J202,'G-8 Condition Look up'!$A$3:$H$3,0)),"")</f>
        <v/>
      </c>
      <c r="L202" s="145"/>
      <c r="M202" s="540" t="str">
        <f>IF(L202="","",IF(VLOOKUP(L202,'G-3 Multipliers'!$L$3:$N$6,2,FALSE)=0,"Spatial Data Missing ⚠",VLOOKUP(L202,'G-3 Multipliers'!$L$3:$N$6,2,FALSE)))</f>
        <v/>
      </c>
      <c r="N202" s="499" t="str">
        <f>IF(L202="","",IF(VLOOKUP(L202,'G-3 Multipliers'!$L$3:$N$6,3,FALSE)=0,"Spatial Data Missing ⚠",VLOOKUP(L202,'G-3 Multipliers'!$L$3:$N$6,3,FALSE)))</f>
        <v/>
      </c>
      <c r="O202" s="498" t="str">
        <f t="shared" si="10"/>
        <v/>
      </c>
      <c r="P202" s="195"/>
      <c r="Q202" s="195"/>
      <c r="R202" s="520" t="str">
        <f t="shared" si="11"/>
        <v/>
      </c>
      <c r="S202" s="544" t="str">
        <f t="shared" si="12"/>
        <v/>
      </c>
      <c r="T202" s="525" t="str">
        <f>IFERROR(IF(S202="Check Data ⚠","Check Data ⚠",VLOOKUP(S202,'G-4 Temporal multipliers'!$A$4:$C$37,3,FALSE)),"")</f>
        <v/>
      </c>
      <c r="U202" s="523" t="str">
        <f>IF(F202="","",VLOOKUP(F202,'G-3 Multipliers'!$A$2:$E$129,2,FALSE))</f>
        <v/>
      </c>
      <c r="V202" s="520" t="str">
        <f t="shared" si="14"/>
        <v/>
      </c>
      <c r="W202" s="520" t="str">
        <f>IF(E202="","",IF(AND(V202="Standard difficulty applied",O202&gt;P202),U202,IF(AND(V202="Low Difficulty - only applicable if all habitat created before losses ⚠",P202&gt;=O202),"Low",VLOOKUP(F202,'G-3 Multipliers'!$A$2:$E$129,4,FALSE))))</f>
        <v/>
      </c>
      <c r="X202" s="524" t="str">
        <f>IFERROR(IF(E202="","",VLOOKUP(W202, 'G-3 Multipliers'!$P$2:$Q$6,2,FALSE)),"")</f>
        <v/>
      </c>
      <c r="Y202" s="197"/>
      <c r="Z202" s="499" t="str">
        <f>IF(Y202="","",IF(VLOOKUP(Y202,'G-3 Multipliers'!$S$3:$T$9,2,FALSE)=0,"Spatial Data Missing ⚠",VLOOKUP(Y202,'G-3 Multipliers'!$S$3:$T$9,2,FALSE)))</f>
        <v/>
      </c>
      <c r="AA202" s="545" t="str">
        <f t="shared" si="13"/>
        <v/>
      </c>
      <c r="AB202" s="149"/>
      <c r="AC202" s="150"/>
    </row>
    <row r="203" spans="1:29" ht="13.8" x14ac:dyDescent="0.25">
      <c r="A203" s="31" t="str">
        <f>IFERROR(INDEX('G-8 Condition Look up'!$I$4:$I$130,MATCH(F203,'G-8 Condition Look up'!$A$4:$A$130,0)),"")</f>
        <v/>
      </c>
      <c r="C203" s="244" t="str">
        <f>IFERROR(INDEX('G-1 All Habitats'!$AG$3:$AG$15,MATCH(D203,'G-1 All Habitats'!$AF$3:$AF$15,0)),"")</f>
        <v/>
      </c>
      <c r="D203" s="154"/>
      <c r="E203" s="203"/>
      <c r="F203" s="243" t="str">
        <f>IFERROR(INDEX('G-1 All Habitats'!$B$3:$B$129,MATCH(E203,'G-1 All Habitats'!$A$3:$A$129,0)),"")</f>
        <v/>
      </c>
      <c r="G203" s="386"/>
      <c r="H203" s="537" t="str">
        <f>IF(F203="","",VLOOKUP(F203,'G-1 All Habitats'!$B$2:$M$129,10,FALSE))</f>
        <v/>
      </c>
      <c r="I203" s="524" t="str">
        <f>IFERROR(VLOOKUP(H203,'G-1 All Habitats'!$V$3:$W$7,2,FALSE),"")</f>
        <v/>
      </c>
      <c r="J203" s="199"/>
      <c r="K203" s="524" t="str">
        <f>IFERROR(INDEX('G-8 Condition Look up'!$A$3:$H$130,MATCH(F203,'G-8 Condition Look up'!$A$3:$A$130,0),MATCH(J203,'G-8 Condition Look up'!$A$3:$H$3,0)),"")</f>
        <v/>
      </c>
      <c r="L203" s="145"/>
      <c r="M203" s="540" t="str">
        <f>IF(L203="","",IF(VLOOKUP(L203,'G-3 Multipliers'!$L$3:$N$6,2,FALSE)=0,"Spatial Data Missing ⚠",VLOOKUP(L203,'G-3 Multipliers'!$L$3:$N$6,2,FALSE)))</f>
        <v/>
      </c>
      <c r="N203" s="499" t="str">
        <f>IF(L203="","",IF(VLOOKUP(L203,'G-3 Multipliers'!$L$3:$N$6,3,FALSE)=0,"Spatial Data Missing ⚠",VLOOKUP(L203,'G-3 Multipliers'!$L$3:$N$6,3,FALSE)))</f>
        <v/>
      </c>
      <c r="O203" s="498" t="str">
        <f t="shared" ref="O203:O256" si="15">IFERROR(INDEX(TemporalData,MATCH(F203,TemporalHabitats,0),MATCH(J203,TemporalConditions,0)),"")</f>
        <v/>
      </c>
      <c r="P203" s="195"/>
      <c r="Q203" s="195"/>
      <c r="R203" s="520" t="str">
        <f t="shared" si="11"/>
        <v/>
      </c>
      <c r="S203" s="544" t="str">
        <f t="shared" si="12"/>
        <v/>
      </c>
      <c r="T203" s="525" t="str">
        <f>IFERROR(IF(S203="Check Data ⚠","Check Data ⚠",VLOOKUP(S203,'G-4 Temporal multipliers'!$A$4:$C$37,3,FALSE)),"")</f>
        <v/>
      </c>
      <c r="U203" s="523" t="str">
        <f>IF(F203="","",VLOOKUP(F203,'G-3 Multipliers'!$A$2:$E$129,2,FALSE))</f>
        <v/>
      </c>
      <c r="V203" s="520" t="str">
        <f t="shared" si="14"/>
        <v/>
      </c>
      <c r="W203" s="520" t="str">
        <f>IF(E203="","",IF(AND(V203="Standard difficulty applied",O203&gt;P203),U203,IF(AND(V203="Low Difficulty - only applicable if all habitat created before losses ⚠",P203&gt;=O203),"Low",VLOOKUP(F203,'G-3 Multipliers'!$A$2:$E$129,4,FALSE))))</f>
        <v/>
      </c>
      <c r="X203" s="524" t="str">
        <f>IFERROR(IF(E203="","",VLOOKUP(W203, 'G-3 Multipliers'!$P$2:$Q$6,2,FALSE)),"")</f>
        <v/>
      </c>
      <c r="Y203" s="197"/>
      <c r="Z203" s="499" t="str">
        <f>IF(Y203="","",IF(VLOOKUP(Y203,'G-3 Multipliers'!$S$3:$T$9,2,FALSE)=0,"Spatial Data Missing ⚠",VLOOKUP(Y203,'G-3 Multipliers'!$S$3:$T$9,2,FALSE)))</f>
        <v/>
      </c>
      <c r="AA203" s="545" t="str">
        <f t="shared" si="13"/>
        <v/>
      </c>
      <c r="AB203" s="149"/>
      <c r="AC203" s="150"/>
    </row>
    <row r="204" spans="1:29" ht="13.8" x14ac:dyDescent="0.25">
      <c r="A204" s="31" t="str">
        <f>IFERROR(INDEX('G-8 Condition Look up'!$I$4:$I$130,MATCH(F204,'G-8 Condition Look up'!$A$4:$A$130,0)),"")</f>
        <v/>
      </c>
      <c r="C204" s="244" t="str">
        <f>IFERROR(INDEX('G-1 All Habitats'!$AG$3:$AG$15,MATCH(D204,'G-1 All Habitats'!$AF$3:$AF$15,0)),"")</f>
        <v/>
      </c>
      <c r="D204" s="154"/>
      <c r="E204" s="203"/>
      <c r="F204" s="243" t="str">
        <f>IFERROR(INDEX('G-1 All Habitats'!$B$3:$B$129,MATCH(E204,'G-1 All Habitats'!$A$3:$A$129,0)),"")</f>
        <v/>
      </c>
      <c r="G204" s="386"/>
      <c r="H204" s="537" t="str">
        <f>IF(F204="","",VLOOKUP(F204,'G-1 All Habitats'!$B$2:$M$129,10,FALSE))</f>
        <v/>
      </c>
      <c r="I204" s="524" t="str">
        <f>IFERROR(VLOOKUP(H204,'G-1 All Habitats'!$V$3:$W$7,2,FALSE),"")</f>
        <v/>
      </c>
      <c r="J204" s="199"/>
      <c r="K204" s="524" t="str">
        <f>IFERROR(INDEX('G-8 Condition Look up'!$A$3:$H$130,MATCH(F204,'G-8 Condition Look up'!$A$3:$A$130,0),MATCH(J204,'G-8 Condition Look up'!$A$3:$H$3,0)),"")</f>
        <v/>
      </c>
      <c r="L204" s="145"/>
      <c r="M204" s="540" t="str">
        <f>IF(L204="","",IF(VLOOKUP(L204,'G-3 Multipliers'!$L$3:$N$6,2,FALSE)=0,"Spatial Data Missing ⚠",VLOOKUP(L204,'G-3 Multipliers'!$L$3:$N$6,2,FALSE)))</f>
        <v/>
      </c>
      <c r="N204" s="499" t="str">
        <f>IF(L204="","",IF(VLOOKUP(L204,'G-3 Multipliers'!$L$3:$N$6,3,FALSE)=0,"Spatial Data Missing ⚠",VLOOKUP(L204,'G-3 Multipliers'!$L$3:$N$6,3,FALSE)))</f>
        <v/>
      </c>
      <c r="O204" s="498" t="str">
        <f t="shared" si="15"/>
        <v/>
      </c>
      <c r="P204" s="195"/>
      <c r="Q204" s="195"/>
      <c r="R204" s="520" t="str">
        <f t="shared" ref="R204:R256" si="16">IF(E204="","",IF(AND(P204&gt;0,Q204&gt;0),"Error -both advance and delayed habitat creation ▲",IF(AND(OR(P204="Habitat already in target condition",O204&lt;=P204),Q204=0,I204&gt;0),"Check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44" t="str">
        <f t="shared" ref="S204:S256" si="17">IF(R204="Error -both advance and delayed habitat creation ▲","Check Data ⚠",IF(O204="Not Possible","Check Data ⚠",IF(O204="","",IF(AND(O204="30+",P204=0),"30+ ⚠",IF(AND(O204="30+",P204="30+ ⚠"),0,IF(AND(O204="30+",P204&lt;32),30-P204,IF(O204="30+",30-P204,IF(P204&gt;O204,0,IF(Q204="30+","30+ ⚠",IF(O204+Q204&gt;30,"30+ ⚠",IF(O204+Q204&gt;30,"30+ ⚠",IF(O204-P204&gt;30,"30+ ⚠",IF(O204+Q204-P204&gt;0,O204+Q204-P204,IF(O204-P204&gt;0,O204-P204,O204+Q204-P204))))))))))))))</f>
        <v/>
      </c>
      <c r="T204" s="525" t="str">
        <f>IFERROR(IF(S204="Check Data ⚠","Check Data ⚠",VLOOKUP(S204,'G-4 Temporal multipliers'!$A$4:$C$37,3,FALSE)),"")</f>
        <v/>
      </c>
      <c r="U204" s="523" t="str">
        <f>IF(F204="","",VLOOKUP(F204,'G-3 Multipliers'!$A$2:$E$129,2,FALSE))</f>
        <v/>
      </c>
      <c r="V204" s="520" t="str">
        <f t="shared" si="14"/>
        <v/>
      </c>
      <c r="W204" s="520" t="str">
        <f>IF(E204="","",IF(AND(V204="Standard difficulty applied",O204&gt;P204),U204,IF(AND(V204="Low Difficulty - only applicable if all habitat created before losses ⚠",P204&gt;=O204),"Low",VLOOKUP(F204,'G-3 Multipliers'!$A$2:$E$129,4,FALSE))))</f>
        <v/>
      </c>
      <c r="X204" s="524" t="str">
        <f>IFERROR(IF(E204="","",VLOOKUP(W204, 'G-3 Multipliers'!$P$2:$Q$6,2,FALSE)),"")</f>
        <v/>
      </c>
      <c r="Y204" s="197"/>
      <c r="Z204" s="499" t="str">
        <f>IF(Y204="","",IF(VLOOKUP(Y204,'G-3 Multipliers'!$S$3:$T$9,2,FALSE)=0,"Spatial Data Missing ⚠",VLOOKUP(Y204,'G-3 Multipliers'!$S$3:$T$9,2,FALSE)))</f>
        <v/>
      </c>
      <c r="AA204" s="545" t="str">
        <f t="shared" ref="AA204:AA256" si="18">IFERROR(G204*I204*K204*N204*T204*X204*Z204,"")</f>
        <v/>
      </c>
      <c r="AB204" s="149"/>
      <c r="AC204" s="150"/>
    </row>
    <row r="205" spans="1:29" ht="13.8" x14ac:dyDescent="0.25">
      <c r="A205" s="31" t="str">
        <f>IFERROR(INDEX('G-8 Condition Look up'!$I$4:$I$130,MATCH(F205,'G-8 Condition Look up'!$A$4:$A$130,0)),"")</f>
        <v/>
      </c>
      <c r="C205" s="244" t="str">
        <f>IFERROR(INDEX('G-1 All Habitats'!$AG$3:$AG$15,MATCH(D205,'G-1 All Habitats'!$AF$3:$AF$15,0)),"")</f>
        <v/>
      </c>
      <c r="D205" s="154"/>
      <c r="E205" s="203"/>
      <c r="F205" s="243" t="str">
        <f>IFERROR(INDEX('G-1 All Habitats'!$B$3:$B$129,MATCH(E205,'G-1 All Habitats'!$A$3:$A$129,0)),"")</f>
        <v/>
      </c>
      <c r="G205" s="386"/>
      <c r="H205" s="537" t="str">
        <f>IF(F205="","",VLOOKUP(F205,'G-1 All Habitats'!$B$2:$M$129,10,FALSE))</f>
        <v/>
      </c>
      <c r="I205" s="524" t="str">
        <f>IFERROR(VLOOKUP(H205,'G-1 All Habitats'!$V$3:$W$7,2,FALSE),"")</f>
        <v/>
      </c>
      <c r="J205" s="199"/>
      <c r="K205" s="524" t="str">
        <f>IFERROR(INDEX('G-8 Condition Look up'!$A$3:$H$130,MATCH(F205,'G-8 Condition Look up'!$A$3:$A$130,0),MATCH(J205,'G-8 Condition Look up'!$A$3:$H$3,0)),"")</f>
        <v/>
      </c>
      <c r="L205" s="145"/>
      <c r="M205" s="540" t="str">
        <f>IF(L205="","",IF(VLOOKUP(L205,'G-3 Multipliers'!$L$3:$N$6,2,FALSE)=0,"Spatial Data Missing ⚠",VLOOKUP(L205,'G-3 Multipliers'!$L$3:$N$6,2,FALSE)))</f>
        <v/>
      </c>
      <c r="N205" s="499" t="str">
        <f>IF(L205="","",IF(VLOOKUP(L205,'G-3 Multipliers'!$L$3:$N$6,3,FALSE)=0,"Spatial Data Missing ⚠",VLOOKUP(L205,'G-3 Multipliers'!$L$3:$N$6,3,FALSE)))</f>
        <v/>
      </c>
      <c r="O205" s="498" t="str">
        <f t="shared" si="15"/>
        <v/>
      </c>
      <c r="P205" s="195"/>
      <c r="Q205" s="195"/>
      <c r="R205" s="520" t="str">
        <f t="shared" si="16"/>
        <v/>
      </c>
      <c r="S205" s="544" t="str">
        <f t="shared" si="17"/>
        <v/>
      </c>
      <c r="T205" s="525" t="str">
        <f>IFERROR(IF(S205="Check Data ⚠","Check Data ⚠",VLOOKUP(S205,'G-4 Temporal multipliers'!$A$4:$C$37,3,FALSE)),"")</f>
        <v/>
      </c>
      <c r="U205" s="523" t="str">
        <f>IF(F205="","",VLOOKUP(F205,'G-3 Multipliers'!$A$2:$E$129,2,FALSE))</f>
        <v/>
      </c>
      <c r="V205" s="520" t="str">
        <f t="shared" ref="V205:V256" si="19">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520" t="str">
        <f>IF(E205="","",IF(AND(V205="Standard difficulty applied",O205&gt;P205),U205,IF(AND(V205="Low Difficulty - only applicable if all habitat created before losses ⚠",P205&gt;=O205),"Low",VLOOKUP(F205,'G-3 Multipliers'!$A$2:$E$129,4,FALSE))))</f>
        <v/>
      </c>
      <c r="X205" s="524" t="str">
        <f>IFERROR(IF(E205="","",VLOOKUP(W205, 'G-3 Multipliers'!$P$2:$Q$6,2,FALSE)),"")</f>
        <v/>
      </c>
      <c r="Y205" s="197"/>
      <c r="Z205" s="499" t="str">
        <f>IF(Y205="","",IF(VLOOKUP(Y205,'G-3 Multipliers'!$S$3:$T$9,2,FALSE)=0,"Spatial Data Missing ⚠",VLOOKUP(Y205,'G-3 Multipliers'!$S$3:$T$9,2,FALSE)))</f>
        <v/>
      </c>
      <c r="AA205" s="545" t="str">
        <f t="shared" si="18"/>
        <v/>
      </c>
      <c r="AB205" s="149"/>
      <c r="AC205" s="150"/>
    </row>
    <row r="206" spans="1:29" ht="13.8" x14ac:dyDescent="0.25">
      <c r="A206" s="31" t="str">
        <f>IFERROR(INDEX('G-8 Condition Look up'!$I$4:$I$130,MATCH(F206,'G-8 Condition Look up'!$A$4:$A$130,0)),"")</f>
        <v/>
      </c>
      <c r="C206" s="244" t="str">
        <f>IFERROR(INDEX('G-1 All Habitats'!$AG$3:$AG$15,MATCH(D206,'G-1 All Habitats'!$AF$3:$AF$15,0)),"")</f>
        <v/>
      </c>
      <c r="D206" s="154"/>
      <c r="E206" s="203"/>
      <c r="F206" s="243" t="str">
        <f>IFERROR(INDEX('G-1 All Habitats'!$B$3:$B$129,MATCH(E206,'G-1 All Habitats'!$A$3:$A$129,0)),"")</f>
        <v/>
      </c>
      <c r="G206" s="386"/>
      <c r="H206" s="537" t="str">
        <f>IF(F206="","",VLOOKUP(F206,'G-1 All Habitats'!$B$2:$M$129,10,FALSE))</f>
        <v/>
      </c>
      <c r="I206" s="524" t="str">
        <f>IFERROR(VLOOKUP(H206,'G-1 All Habitats'!$V$3:$W$7,2,FALSE),"")</f>
        <v/>
      </c>
      <c r="J206" s="199"/>
      <c r="K206" s="524" t="str">
        <f>IFERROR(INDEX('G-8 Condition Look up'!$A$3:$H$130,MATCH(F206,'G-8 Condition Look up'!$A$3:$A$130,0),MATCH(J206,'G-8 Condition Look up'!$A$3:$H$3,0)),"")</f>
        <v/>
      </c>
      <c r="L206" s="145"/>
      <c r="M206" s="540" t="str">
        <f>IF(L206="","",IF(VLOOKUP(L206,'G-3 Multipliers'!$L$3:$N$6,2,FALSE)=0,"Spatial Data Missing ⚠",VLOOKUP(L206,'G-3 Multipliers'!$L$3:$N$6,2,FALSE)))</f>
        <v/>
      </c>
      <c r="N206" s="499" t="str">
        <f>IF(L206="","",IF(VLOOKUP(L206,'G-3 Multipliers'!$L$3:$N$6,3,FALSE)=0,"Spatial Data Missing ⚠",VLOOKUP(L206,'G-3 Multipliers'!$L$3:$N$6,3,FALSE)))</f>
        <v/>
      </c>
      <c r="O206" s="498" t="str">
        <f t="shared" si="15"/>
        <v/>
      </c>
      <c r="P206" s="195"/>
      <c r="Q206" s="195"/>
      <c r="R206" s="520" t="str">
        <f t="shared" si="16"/>
        <v/>
      </c>
      <c r="S206" s="544" t="str">
        <f t="shared" si="17"/>
        <v/>
      </c>
      <c r="T206" s="525" t="str">
        <f>IFERROR(IF(S206="Check Data ⚠","Check Data ⚠",VLOOKUP(S206,'G-4 Temporal multipliers'!$A$4:$C$37,3,FALSE)),"")</f>
        <v/>
      </c>
      <c r="U206" s="523" t="str">
        <f>IF(F206="","",VLOOKUP(F206,'G-3 Multipliers'!$A$2:$E$129,2,FALSE))</f>
        <v/>
      </c>
      <c r="V206" s="520" t="str">
        <f t="shared" si="19"/>
        <v/>
      </c>
      <c r="W206" s="520" t="str">
        <f>IF(E206="","",IF(AND(V206="Standard difficulty applied",O206&gt;P206),U206,IF(AND(V206="Low Difficulty - only applicable if all habitat created before losses ⚠",P206&gt;=O206),"Low",VLOOKUP(F206,'G-3 Multipliers'!$A$2:$E$129,4,FALSE))))</f>
        <v/>
      </c>
      <c r="X206" s="524" t="str">
        <f>IFERROR(IF(E206="","",VLOOKUP(W206, 'G-3 Multipliers'!$P$2:$Q$6,2,FALSE)),"")</f>
        <v/>
      </c>
      <c r="Y206" s="197"/>
      <c r="Z206" s="499" t="str">
        <f>IF(Y206="","",IF(VLOOKUP(Y206,'G-3 Multipliers'!$S$3:$T$9,2,FALSE)=0,"Spatial Data Missing ⚠",VLOOKUP(Y206,'G-3 Multipliers'!$S$3:$T$9,2,FALSE)))</f>
        <v/>
      </c>
      <c r="AA206" s="545" t="str">
        <f t="shared" si="18"/>
        <v/>
      </c>
      <c r="AB206" s="149"/>
      <c r="AC206" s="150"/>
    </row>
    <row r="207" spans="1:29" ht="13.8" x14ac:dyDescent="0.25">
      <c r="A207" s="31" t="str">
        <f>IFERROR(INDEX('G-8 Condition Look up'!$I$4:$I$130,MATCH(F207,'G-8 Condition Look up'!$A$4:$A$130,0)),"")</f>
        <v/>
      </c>
      <c r="C207" s="244" t="str">
        <f>IFERROR(INDEX('G-1 All Habitats'!$AG$3:$AG$15,MATCH(D207,'G-1 All Habitats'!$AF$3:$AF$15,0)),"")</f>
        <v/>
      </c>
      <c r="D207" s="154"/>
      <c r="E207" s="203"/>
      <c r="F207" s="243" t="str">
        <f>IFERROR(INDEX('G-1 All Habitats'!$B$3:$B$129,MATCH(E207,'G-1 All Habitats'!$A$3:$A$129,0)),"")</f>
        <v/>
      </c>
      <c r="G207" s="386"/>
      <c r="H207" s="537" t="str">
        <f>IF(F207="","",VLOOKUP(F207,'G-1 All Habitats'!$B$2:$M$129,10,FALSE))</f>
        <v/>
      </c>
      <c r="I207" s="524" t="str">
        <f>IFERROR(VLOOKUP(H207,'G-1 All Habitats'!$V$3:$W$7,2,FALSE),"")</f>
        <v/>
      </c>
      <c r="J207" s="199"/>
      <c r="K207" s="524" t="str">
        <f>IFERROR(INDEX('G-8 Condition Look up'!$A$3:$H$130,MATCH(F207,'G-8 Condition Look up'!$A$3:$A$130,0),MATCH(J207,'G-8 Condition Look up'!$A$3:$H$3,0)),"")</f>
        <v/>
      </c>
      <c r="L207" s="145"/>
      <c r="M207" s="540" t="str">
        <f>IF(L207="","",IF(VLOOKUP(L207,'G-3 Multipliers'!$L$3:$N$6,2,FALSE)=0,"Spatial Data Missing ⚠",VLOOKUP(L207,'G-3 Multipliers'!$L$3:$N$6,2,FALSE)))</f>
        <v/>
      </c>
      <c r="N207" s="499" t="str">
        <f>IF(L207="","",IF(VLOOKUP(L207,'G-3 Multipliers'!$L$3:$N$6,3,FALSE)=0,"Spatial Data Missing ⚠",VLOOKUP(L207,'G-3 Multipliers'!$L$3:$N$6,3,FALSE)))</f>
        <v/>
      </c>
      <c r="O207" s="498" t="str">
        <f t="shared" si="15"/>
        <v/>
      </c>
      <c r="P207" s="195"/>
      <c r="Q207" s="195"/>
      <c r="R207" s="520" t="str">
        <f t="shared" si="16"/>
        <v/>
      </c>
      <c r="S207" s="544" t="str">
        <f t="shared" si="17"/>
        <v/>
      </c>
      <c r="T207" s="525" t="str">
        <f>IFERROR(IF(S207="Check Data ⚠","Check Data ⚠",VLOOKUP(S207,'G-4 Temporal multipliers'!$A$4:$C$37,3,FALSE)),"")</f>
        <v/>
      </c>
      <c r="U207" s="523" t="str">
        <f>IF(F207="","",VLOOKUP(F207,'G-3 Multipliers'!$A$2:$E$129,2,FALSE))</f>
        <v/>
      </c>
      <c r="V207" s="520" t="str">
        <f t="shared" si="19"/>
        <v/>
      </c>
      <c r="W207" s="520" t="str">
        <f>IF(E207="","",IF(AND(V207="Standard difficulty applied",O207&gt;P207),U207,IF(AND(V207="Low Difficulty - only applicable if all habitat created before losses ⚠",P207&gt;=O207),"Low",VLOOKUP(F207,'G-3 Multipliers'!$A$2:$E$129,4,FALSE))))</f>
        <v/>
      </c>
      <c r="X207" s="524" t="str">
        <f>IFERROR(IF(E207="","",VLOOKUP(W207, 'G-3 Multipliers'!$P$2:$Q$6,2,FALSE)),"")</f>
        <v/>
      </c>
      <c r="Y207" s="197"/>
      <c r="Z207" s="499" t="str">
        <f>IF(Y207="","",IF(VLOOKUP(Y207,'G-3 Multipliers'!$S$3:$T$9,2,FALSE)=0,"Spatial Data Missing ⚠",VLOOKUP(Y207,'G-3 Multipliers'!$S$3:$T$9,2,FALSE)))</f>
        <v/>
      </c>
      <c r="AA207" s="545" t="str">
        <f t="shared" si="18"/>
        <v/>
      </c>
      <c r="AB207" s="149"/>
      <c r="AC207" s="150"/>
    </row>
    <row r="208" spans="1:29" ht="13.8" x14ac:dyDescent="0.25">
      <c r="A208" s="31" t="str">
        <f>IFERROR(INDEX('G-8 Condition Look up'!$I$4:$I$130,MATCH(F208,'G-8 Condition Look up'!$A$4:$A$130,0)),"")</f>
        <v/>
      </c>
      <c r="C208" s="244" t="str">
        <f>IFERROR(INDEX('G-1 All Habitats'!$AG$3:$AG$15,MATCH(D208,'G-1 All Habitats'!$AF$3:$AF$15,0)),"")</f>
        <v/>
      </c>
      <c r="D208" s="154"/>
      <c r="E208" s="203"/>
      <c r="F208" s="243" t="str">
        <f>IFERROR(INDEX('G-1 All Habitats'!$B$3:$B$129,MATCH(E208,'G-1 All Habitats'!$A$3:$A$129,0)),"")</f>
        <v/>
      </c>
      <c r="G208" s="386"/>
      <c r="H208" s="537" t="str">
        <f>IF(F208="","",VLOOKUP(F208,'G-1 All Habitats'!$B$2:$M$129,10,FALSE))</f>
        <v/>
      </c>
      <c r="I208" s="524" t="str">
        <f>IFERROR(VLOOKUP(H208,'G-1 All Habitats'!$V$3:$W$7,2,FALSE),"")</f>
        <v/>
      </c>
      <c r="J208" s="199"/>
      <c r="K208" s="524" t="str">
        <f>IFERROR(INDEX('G-8 Condition Look up'!$A$3:$H$130,MATCH(F208,'G-8 Condition Look up'!$A$3:$A$130,0),MATCH(J208,'G-8 Condition Look up'!$A$3:$H$3,0)),"")</f>
        <v/>
      </c>
      <c r="L208" s="145"/>
      <c r="M208" s="540" t="str">
        <f>IF(L208="","",IF(VLOOKUP(L208,'G-3 Multipliers'!$L$3:$N$6,2,FALSE)=0,"Spatial Data Missing ⚠",VLOOKUP(L208,'G-3 Multipliers'!$L$3:$N$6,2,FALSE)))</f>
        <v/>
      </c>
      <c r="N208" s="499" t="str">
        <f>IF(L208="","",IF(VLOOKUP(L208,'G-3 Multipliers'!$L$3:$N$6,3,FALSE)=0,"Spatial Data Missing ⚠",VLOOKUP(L208,'G-3 Multipliers'!$L$3:$N$6,3,FALSE)))</f>
        <v/>
      </c>
      <c r="O208" s="498" t="str">
        <f t="shared" si="15"/>
        <v/>
      </c>
      <c r="P208" s="195"/>
      <c r="Q208" s="195"/>
      <c r="R208" s="520" t="str">
        <f t="shared" si="16"/>
        <v/>
      </c>
      <c r="S208" s="544" t="str">
        <f t="shared" si="17"/>
        <v/>
      </c>
      <c r="T208" s="525" t="str">
        <f>IFERROR(IF(S208="Check Data ⚠","Check Data ⚠",VLOOKUP(S208,'G-4 Temporal multipliers'!$A$4:$C$37,3,FALSE)),"")</f>
        <v/>
      </c>
      <c r="U208" s="523" t="str">
        <f>IF(F208="","",VLOOKUP(F208,'G-3 Multipliers'!$A$2:$E$129,2,FALSE))</f>
        <v/>
      </c>
      <c r="V208" s="520" t="str">
        <f t="shared" si="19"/>
        <v/>
      </c>
      <c r="W208" s="520" t="str">
        <f>IF(E208="","",IF(AND(V208="Standard difficulty applied",O208&gt;P208),U208,IF(AND(V208="Low Difficulty - only applicable if all habitat created before losses ⚠",P208&gt;=O208),"Low",VLOOKUP(F208,'G-3 Multipliers'!$A$2:$E$129,4,FALSE))))</f>
        <v/>
      </c>
      <c r="X208" s="524" t="str">
        <f>IFERROR(IF(E208="","",VLOOKUP(W208, 'G-3 Multipliers'!$P$2:$Q$6,2,FALSE)),"")</f>
        <v/>
      </c>
      <c r="Y208" s="197"/>
      <c r="Z208" s="499" t="str">
        <f>IF(Y208="","",IF(VLOOKUP(Y208,'G-3 Multipliers'!$S$3:$T$9,2,FALSE)=0,"Spatial Data Missing ⚠",VLOOKUP(Y208,'G-3 Multipliers'!$S$3:$T$9,2,FALSE)))</f>
        <v/>
      </c>
      <c r="AA208" s="545" t="str">
        <f t="shared" si="18"/>
        <v/>
      </c>
      <c r="AB208" s="149"/>
      <c r="AC208" s="150"/>
    </row>
    <row r="209" spans="1:29" ht="13.8" x14ac:dyDescent="0.25">
      <c r="A209" s="31" t="str">
        <f>IFERROR(INDEX('G-8 Condition Look up'!$I$4:$I$130,MATCH(F209,'G-8 Condition Look up'!$A$4:$A$130,0)),"")</f>
        <v/>
      </c>
      <c r="C209" s="244" t="str">
        <f>IFERROR(INDEX('G-1 All Habitats'!$AG$3:$AG$15,MATCH(D209,'G-1 All Habitats'!$AF$3:$AF$15,0)),"")</f>
        <v/>
      </c>
      <c r="D209" s="154"/>
      <c r="E209" s="203"/>
      <c r="F209" s="243" t="str">
        <f>IFERROR(INDEX('G-1 All Habitats'!$B$3:$B$129,MATCH(E209,'G-1 All Habitats'!$A$3:$A$129,0)),"")</f>
        <v/>
      </c>
      <c r="G209" s="386"/>
      <c r="H209" s="537" t="str">
        <f>IF(F209="","",VLOOKUP(F209,'G-1 All Habitats'!$B$2:$M$129,10,FALSE))</f>
        <v/>
      </c>
      <c r="I209" s="524" t="str">
        <f>IFERROR(VLOOKUP(H209,'G-1 All Habitats'!$V$3:$W$7,2,FALSE),"")</f>
        <v/>
      </c>
      <c r="J209" s="199"/>
      <c r="K209" s="524" t="str">
        <f>IFERROR(INDEX('G-8 Condition Look up'!$A$3:$H$130,MATCH(F209,'G-8 Condition Look up'!$A$3:$A$130,0),MATCH(J209,'G-8 Condition Look up'!$A$3:$H$3,0)),"")</f>
        <v/>
      </c>
      <c r="L209" s="145"/>
      <c r="M209" s="540" t="str">
        <f>IF(L209="","",IF(VLOOKUP(L209,'G-3 Multipliers'!$L$3:$N$6,2,FALSE)=0,"Spatial Data Missing ⚠",VLOOKUP(L209,'G-3 Multipliers'!$L$3:$N$6,2,FALSE)))</f>
        <v/>
      </c>
      <c r="N209" s="499" t="str">
        <f>IF(L209="","",IF(VLOOKUP(L209,'G-3 Multipliers'!$L$3:$N$6,3,FALSE)=0,"Spatial Data Missing ⚠",VLOOKUP(L209,'G-3 Multipliers'!$L$3:$N$6,3,FALSE)))</f>
        <v/>
      </c>
      <c r="O209" s="498" t="str">
        <f t="shared" si="15"/>
        <v/>
      </c>
      <c r="P209" s="195"/>
      <c r="Q209" s="195"/>
      <c r="R209" s="520" t="str">
        <f t="shared" si="16"/>
        <v/>
      </c>
      <c r="S209" s="544" t="str">
        <f t="shared" si="17"/>
        <v/>
      </c>
      <c r="T209" s="525" t="str">
        <f>IFERROR(IF(S209="Check Data ⚠","Check Data ⚠",VLOOKUP(S209,'G-4 Temporal multipliers'!$A$4:$C$37,3,FALSE)),"")</f>
        <v/>
      </c>
      <c r="U209" s="523" t="str">
        <f>IF(F209="","",VLOOKUP(F209,'G-3 Multipliers'!$A$2:$E$129,2,FALSE))</f>
        <v/>
      </c>
      <c r="V209" s="520" t="str">
        <f t="shared" si="19"/>
        <v/>
      </c>
      <c r="W209" s="520" t="str">
        <f>IF(E209="","",IF(AND(V209="Standard difficulty applied",O209&gt;P209),U209,IF(AND(V209="Low Difficulty - only applicable if all habitat created before losses ⚠",P209&gt;=O209),"Low",VLOOKUP(F209,'G-3 Multipliers'!$A$2:$E$129,4,FALSE))))</f>
        <v/>
      </c>
      <c r="X209" s="524" t="str">
        <f>IFERROR(IF(E209="","",VLOOKUP(W209, 'G-3 Multipliers'!$P$2:$Q$6,2,FALSE)),"")</f>
        <v/>
      </c>
      <c r="Y209" s="197"/>
      <c r="Z209" s="499" t="str">
        <f>IF(Y209="","",IF(VLOOKUP(Y209,'G-3 Multipliers'!$S$3:$T$9,2,FALSE)=0,"Spatial Data Missing ⚠",VLOOKUP(Y209,'G-3 Multipliers'!$S$3:$T$9,2,FALSE)))</f>
        <v/>
      </c>
      <c r="AA209" s="545" t="str">
        <f t="shared" si="18"/>
        <v/>
      </c>
      <c r="AB209" s="149"/>
      <c r="AC209" s="150"/>
    </row>
    <row r="210" spans="1:29" ht="13.8" x14ac:dyDescent="0.25">
      <c r="A210" s="31" t="str">
        <f>IFERROR(INDEX('G-8 Condition Look up'!$I$4:$I$130,MATCH(F210,'G-8 Condition Look up'!$A$4:$A$130,0)),"")</f>
        <v/>
      </c>
      <c r="C210" s="244" t="str">
        <f>IFERROR(INDEX('G-1 All Habitats'!$AG$3:$AG$15,MATCH(D210,'G-1 All Habitats'!$AF$3:$AF$15,0)),"")</f>
        <v/>
      </c>
      <c r="D210" s="154"/>
      <c r="E210" s="203"/>
      <c r="F210" s="243" t="str">
        <f>IFERROR(INDEX('G-1 All Habitats'!$B$3:$B$129,MATCH(E210,'G-1 All Habitats'!$A$3:$A$129,0)),"")</f>
        <v/>
      </c>
      <c r="G210" s="386"/>
      <c r="H210" s="537" t="str">
        <f>IF(F210="","",VLOOKUP(F210,'G-1 All Habitats'!$B$2:$M$129,10,FALSE))</f>
        <v/>
      </c>
      <c r="I210" s="524" t="str">
        <f>IFERROR(VLOOKUP(H210,'G-1 All Habitats'!$V$3:$W$7,2,FALSE),"")</f>
        <v/>
      </c>
      <c r="J210" s="199"/>
      <c r="K210" s="524" t="str">
        <f>IFERROR(INDEX('G-8 Condition Look up'!$A$3:$H$130,MATCH(F210,'G-8 Condition Look up'!$A$3:$A$130,0),MATCH(J210,'G-8 Condition Look up'!$A$3:$H$3,0)),"")</f>
        <v/>
      </c>
      <c r="L210" s="145"/>
      <c r="M210" s="540" t="str">
        <f>IF(L210="","",IF(VLOOKUP(L210,'G-3 Multipliers'!$L$3:$N$6,2,FALSE)=0,"Spatial Data Missing ⚠",VLOOKUP(L210,'G-3 Multipliers'!$L$3:$N$6,2,FALSE)))</f>
        <v/>
      </c>
      <c r="N210" s="499" t="str">
        <f>IF(L210="","",IF(VLOOKUP(L210,'G-3 Multipliers'!$L$3:$N$6,3,FALSE)=0,"Spatial Data Missing ⚠",VLOOKUP(L210,'G-3 Multipliers'!$L$3:$N$6,3,FALSE)))</f>
        <v/>
      </c>
      <c r="O210" s="498" t="str">
        <f t="shared" si="15"/>
        <v/>
      </c>
      <c r="P210" s="195"/>
      <c r="Q210" s="195"/>
      <c r="R210" s="520" t="str">
        <f t="shared" si="16"/>
        <v/>
      </c>
      <c r="S210" s="544" t="str">
        <f t="shared" si="17"/>
        <v/>
      </c>
      <c r="T210" s="525" t="str">
        <f>IFERROR(IF(S210="Check Data ⚠","Check Data ⚠",VLOOKUP(S210,'G-4 Temporal multipliers'!$A$4:$C$37,3,FALSE)),"")</f>
        <v/>
      </c>
      <c r="U210" s="523" t="str">
        <f>IF(F210="","",VLOOKUP(F210,'G-3 Multipliers'!$A$2:$E$129,2,FALSE))</f>
        <v/>
      </c>
      <c r="V210" s="520" t="str">
        <f t="shared" si="19"/>
        <v/>
      </c>
      <c r="W210" s="520" t="str">
        <f>IF(E210="","",IF(AND(V210="Standard difficulty applied",O210&gt;P210),U210,IF(AND(V210="Low Difficulty - only applicable if all habitat created before losses ⚠",P210&gt;=O210),"Low",VLOOKUP(F210,'G-3 Multipliers'!$A$2:$E$129,4,FALSE))))</f>
        <v/>
      </c>
      <c r="X210" s="524" t="str">
        <f>IFERROR(IF(E210="","",VLOOKUP(W210, 'G-3 Multipliers'!$P$2:$Q$6,2,FALSE)),"")</f>
        <v/>
      </c>
      <c r="Y210" s="197"/>
      <c r="Z210" s="499" t="str">
        <f>IF(Y210="","",IF(VLOOKUP(Y210,'G-3 Multipliers'!$S$3:$T$9,2,FALSE)=0,"Spatial Data Missing ⚠",VLOOKUP(Y210,'G-3 Multipliers'!$S$3:$T$9,2,FALSE)))</f>
        <v/>
      </c>
      <c r="AA210" s="545" t="str">
        <f t="shared" si="18"/>
        <v/>
      </c>
      <c r="AB210" s="149"/>
      <c r="AC210" s="150"/>
    </row>
    <row r="211" spans="1:29" ht="13.8" x14ac:dyDescent="0.25">
      <c r="A211" s="31" t="str">
        <f>IFERROR(INDEX('G-8 Condition Look up'!$I$4:$I$130,MATCH(F211,'G-8 Condition Look up'!$A$4:$A$130,0)),"")</f>
        <v/>
      </c>
      <c r="C211" s="244" t="str">
        <f>IFERROR(INDEX('G-1 All Habitats'!$AG$3:$AG$15,MATCH(D211,'G-1 All Habitats'!$AF$3:$AF$15,0)),"")</f>
        <v/>
      </c>
      <c r="D211" s="154"/>
      <c r="E211" s="203"/>
      <c r="F211" s="243" t="str">
        <f>IFERROR(INDEX('G-1 All Habitats'!$B$3:$B$129,MATCH(E211,'G-1 All Habitats'!$A$3:$A$129,0)),"")</f>
        <v/>
      </c>
      <c r="G211" s="386"/>
      <c r="H211" s="537" t="str">
        <f>IF(F211="","",VLOOKUP(F211,'G-1 All Habitats'!$B$2:$M$129,10,FALSE))</f>
        <v/>
      </c>
      <c r="I211" s="524" t="str">
        <f>IFERROR(VLOOKUP(H211,'G-1 All Habitats'!$V$3:$W$7,2,FALSE),"")</f>
        <v/>
      </c>
      <c r="J211" s="199"/>
      <c r="K211" s="524" t="str">
        <f>IFERROR(INDEX('G-8 Condition Look up'!$A$3:$H$130,MATCH(F211,'G-8 Condition Look up'!$A$3:$A$130,0),MATCH(J211,'G-8 Condition Look up'!$A$3:$H$3,0)),"")</f>
        <v/>
      </c>
      <c r="L211" s="145"/>
      <c r="M211" s="540" t="str">
        <f>IF(L211="","",IF(VLOOKUP(L211,'G-3 Multipliers'!$L$3:$N$6,2,FALSE)=0,"Spatial Data Missing ⚠",VLOOKUP(L211,'G-3 Multipliers'!$L$3:$N$6,2,FALSE)))</f>
        <v/>
      </c>
      <c r="N211" s="499" t="str">
        <f>IF(L211="","",IF(VLOOKUP(L211,'G-3 Multipliers'!$L$3:$N$6,3,FALSE)=0,"Spatial Data Missing ⚠",VLOOKUP(L211,'G-3 Multipliers'!$L$3:$N$6,3,FALSE)))</f>
        <v/>
      </c>
      <c r="O211" s="498" t="str">
        <f t="shared" si="15"/>
        <v/>
      </c>
      <c r="P211" s="195"/>
      <c r="Q211" s="195"/>
      <c r="R211" s="520" t="str">
        <f t="shared" si="16"/>
        <v/>
      </c>
      <c r="S211" s="544" t="str">
        <f t="shared" si="17"/>
        <v/>
      </c>
      <c r="T211" s="525" t="str">
        <f>IFERROR(IF(S211="Check Data ⚠","Check Data ⚠",VLOOKUP(S211,'G-4 Temporal multipliers'!$A$4:$C$37,3,FALSE)),"")</f>
        <v/>
      </c>
      <c r="U211" s="523" t="str">
        <f>IF(F211="","",VLOOKUP(F211,'G-3 Multipliers'!$A$2:$E$129,2,FALSE))</f>
        <v/>
      </c>
      <c r="V211" s="520" t="str">
        <f t="shared" si="19"/>
        <v/>
      </c>
      <c r="W211" s="520" t="str">
        <f>IF(E211="","",IF(AND(V211="Standard difficulty applied",O211&gt;P211),U211,IF(AND(V211="Low Difficulty - only applicable if all habitat created before losses ⚠",P211&gt;=O211),"Low",VLOOKUP(F211,'G-3 Multipliers'!$A$2:$E$129,4,FALSE))))</f>
        <v/>
      </c>
      <c r="X211" s="524" t="str">
        <f>IFERROR(IF(E211="","",VLOOKUP(W211, 'G-3 Multipliers'!$P$2:$Q$6,2,FALSE)),"")</f>
        <v/>
      </c>
      <c r="Y211" s="197"/>
      <c r="Z211" s="499" t="str">
        <f>IF(Y211="","",IF(VLOOKUP(Y211,'G-3 Multipliers'!$S$3:$T$9,2,FALSE)=0,"Spatial Data Missing ⚠",VLOOKUP(Y211,'G-3 Multipliers'!$S$3:$T$9,2,FALSE)))</f>
        <v/>
      </c>
      <c r="AA211" s="545" t="str">
        <f t="shared" si="18"/>
        <v/>
      </c>
      <c r="AB211" s="149"/>
      <c r="AC211" s="150"/>
    </row>
    <row r="212" spans="1:29" ht="13.8" x14ac:dyDescent="0.25">
      <c r="A212" s="31" t="str">
        <f>IFERROR(INDEX('G-8 Condition Look up'!$I$4:$I$130,MATCH(F212,'G-8 Condition Look up'!$A$4:$A$130,0)),"")</f>
        <v/>
      </c>
      <c r="C212" s="244" t="str">
        <f>IFERROR(INDEX('G-1 All Habitats'!$AG$3:$AG$15,MATCH(D212,'G-1 All Habitats'!$AF$3:$AF$15,0)),"")</f>
        <v/>
      </c>
      <c r="D212" s="154"/>
      <c r="E212" s="203"/>
      <c r="F212" s="243" t="str">
        <f>IFERROR(INDEX('G-1 All Habitats'!$B$3:$B$129,MATCH(E212,'G-1 All Habitats'!$A$3:$A$129,0)),"")</f>
        <v/>
      </c>
      <c r="G212" s="386"/>
      <c r="H212" s="537" t="str">
        <f>IF(F212="","",VLOOKUP(F212,'G-1 All Habitats'!$B$2:$M$129,10,FALSE))</f>
        <v/>
      </c>
      <c r="I212" s="524" t="str">
        <f>IFERROR(VLOOKUP(H212,'G-1 All Habitats'!$V$3:$W$7,2,FALSE),"")</f>
        <v/>
      </c>
      <c r="J212" s="199"/>
      <c r="K212" s="524" t="str">
        <f>IFERROR(INDEX('G-8 Condition Look up'!$A$3:$H$130,MATCH(F212,'G-8 Condition Look up'!$A$3:$A$130,0),MATCH(J212,'G-8 Condition Look up'!$A$3:$H$3,0)),"")</f>
        <v/>
      </c>
      <c r="L212" s="145"/>
      <c r="M212" s="540" t="str">
        <f>IF(L212="","",IF(VLOOKUP(L212,'G-3 Multipliers'!$L$3:$N$6,2,FALSE)=0,"Spatial Data Missing ⚠",VLOOKUP(L212,'G-3 Multipliers'!$L$3:$N$6,2,FALSE)))</f>
        <v/>
      </c>
      <c r="N212" s="499" t="str">
        <f>IF(L212="","",IF(VLOOKUP(L212,'G-3 Multipliers'!$L$3:$N$6,3,FALSE)=0,"Spatial Data Missing ⚠",VLOOKUP(L212,'G-3 Multipliers'!$L$3:$N$6,3,FALSE)))</f>
        <v/>
      </c>
      <c r="O212" s="498" t="str">
        <f t="shared" si="15"/>
        <v/>
      </c>
      <c r="P212" s="195"/>
      <c r="Q212" s="195"/>
      <c r="R212" s="520" t="str">
        <f t="shared" si="16"/>
        <v/>
      </c>
      <c r="S212" s="544" t="str">
        <f t="shared" si="17"/>
        <v/>
      </c>
      <c r="T212" s="525" t="str">
        <f>IFERROR(IF(S212="Check Data ⚠","Check Data ⚠",VLOOKUP(S212,'G-4 Temporal multipliers'!$A$4:$C$37,3,FALSE)),"")</f>
        <v/>
      </c>
      <c r="U212" s="523" t="str">
        <f>IF(F212="","",VLOOKUP(F212,'G-3 Multipliers'!$A$2:$E$129,2,FALSE))</f>
        <v/>
      </c>
      <c r="V212" s="520" t="str">
        <f t="shared" si="19"/>
        <v/>
      </c>
      <c r="W212" s="520" t="str">
        <f>IF(E212="","",IF(AND(V212="Standard difficulty applied",O212&gt;P212),U212,IF(AND(V212="Low Difficulty - only applicable if all habitat created before losses ⚠",P212&gt;=O212),"Low",VLOOKUP(F212,'G-3 Multipliers'!$A$2:$E$129,4,FALSE))))</f>
        <v/>
      </c>
      <c r="X212" s="524" t="str">
        <f>IFERROR(IF(E212="","",VLOOKUP(W212, 'G-3 Multipliers'!$P$2:$Q$6,2,FALSE)),"")</f>
        <v/>
      </c>
      <c r="Y212" s="197"/>
      <c r="Z212" s="499" t="str">
        <f>IF(Y212="","",IF(VLOOKUP(Y212,'G-3 Multipliers'!$S$3:$T$9,2,FALSE)=0,"Spatial Data Missing ⚠",VLOOKUP(Y212,'G-3 Multipliers'!$S$3:$T$9,2,FALSE)))</f>
        <v/>
      </c>
      <c r="AA212" s="545" t="str">
        <f t="shared" si="18"/>
        <v/>
      </c>
      <c r="AB212" s="149"/>
      <c r="AC212" s="150"/>
    </row>
    <row r="213" spans="1:29" ht="13.8" x14ac:dyDescent="0.25">
      <c r="A213" s="31" t="str">
        <f>IFERROR(INDEX('G-8 Condition Look up'!$I$4:$I$130,MATCH(F213,'G-8 Condition Look up'!$A$4:$A$130,0)),"")</f>
        <v/>
      </c>
      <c r="C213" s="244" t="str">
        <f>IFERROR(INDEX('G-1 All Habitats'!$AG$3:$AG$15,MATCH(D213,'G-1 All Habitats'!$AF$3:$AF$15,0)),"")</f>
        <v/>
      </c>
      <c r="D213" s="154"/>
      <c r="E213" s="203"/>
      <c r="F213" s="243" t="str">
        <f>IFERROR(INDEX('G-1 All Habitats'!$B$3:$B$129,MATCH(E213,'G-1 All Habitats'!$A$3:$A$129,0)),"")</f>
        <v/>
      </c>
      <c r="G213" s="386"/>
      <c r="H213" s="537" t="str">
        <f>IF(F213="","",VLOOKUP(F213,'G-1 All Habitats'!$B$2:$M$129,10,FALSE))</f>
        <v/>
      </c>
      <c r="I213" s="524" t="str">
        <f>IFERROR(VLOOKUP(H213,'G-1 All Habitats'!$V$3:$W$7,2,FALSE),"")</f>
        <v/>
      </c>
      <c r="J213" s="199"/>
      <c r="K213" s="524" t="str">
        <f>IFERROR(INDEX('G-8 Condition Look up'!$A$3:$H$130,MATCH(F213,'G-8 Condition Look up'!$A$3:$A$130,0),MATCH(J213,'G-8 Condition Look up'!$A$3:$H$3,0)),"")</f>
        <v/>
      </c>
      <c r="L213" s="145"/>
      <c r="M213" s="540" t="str">
        <f>IF(L213="","",IF(VLOOKUP(L213,'G-3 Multipliers'!$L$3:$N$6,2,FALSE)=0,"Spatial Data Missing ⚠",VLOOKUP(L213,'G-3 Multipliers'!$L$3:$N$6,2,FALSE)))</f>
        <v/>
      </c>
      <c r="N213" s="499" t="str">
        <f>IF(L213="","",IF(VLOOKUP(L213,'G-3 Multipliers'!$L$3:$N$6,3,FALSE)=0,"Spatial Data Missing ⚠",VLOOKUP(L213,'G-3 Multipliers'!$L$3:$N$6,3,FALSE)))</f>
        <v/>
      </c>
      <c r="O213" s="498" t="str">
        <f t="shared" si="15"/>
        <v/>
      </c>
      <c r="P213" s="195"/>
      <c r="Q213" s="195"/>
      <c r="R213" s="520" t="str">
        <f t="shared" si="16"/>
        <v/>
      </c>
      <c r="S213" s="544" t="str">
        <f t="shared" si="17"/>
        <v/>
      </c>
      <c r="T213" s="525" t="str">
        <f>IFERROR(IF(S213="Check Data ⚠","Check Data ⚠",VLOOKUP(S213,'G-4 Temporal multipliers'!$A$4:$C$37,3,FALSE)),"")</f>
        <v/>
      </c>
      <c r="U213" s="523" t="str">
        <f>IF(F213="","",VLOOKUP(F213,'G-3 Multipliers'!$A$2:$E$129,2,FALSE))</f>
        <v/>
      </c>
      <c r="V213" s="520" t="str">
        <f t="shared" si="19"/>
        <v/>
      </c>
      <c r="W213" s="520" t="str">
        <f>IF(E213="","",IF(AND(V213="Standard difficulty applied",O213&gt;P213),U213,IF(AND(V213="Low Difficulty - only applicable if all habitat created before losses ⚠",P213&gt;=O213),"Low",VLOOKUP(F213,'G-3 Multipliers'!$A$2:$E$129,4,FALSE))))</f>
        <v/>
      </c>
      <c r="X213" s="524" t="str">
        <f>IFERROR(IF(E213="","",VLOOKUP(W213, 'G-3 Multipliers'!$P$2:$Q$6,2,FALSE)),"")</f>
        <v/>
      </c>
      <c r="Y213" s="197"/>
      <c r="Z213" s="499" t="str">
        <f>IF(Y213="","",IF(VLOOKUP(Y213,'G-3 Multipliers'!$S$3:$T$9,2,FALSE)=0,"Spatial Data Missing ⚠",VLOOKUP(Y213,'G-3 Multipliers'!$S$3:$T$9,2,FALSE)))</f>
        <v/>
      </c>
      <c r="AA213" s="545" t="str">
        <f t="shared" si="18"/>
        <v/>
      </c>
      <c r="AB213" s="149"/>
      <c r="AC213" s="150"/>
    </row>
    <row r="214" spans="1:29" ht="13.8" x14ac:dyDescent="0.25">
      <c r="A214" s="31" t="str">
        <f>IFERROR(INDEX('G-8 Condition Look up'!$I$4:$I$130,MATCH(F214,'G-8 Condition Look up'!$A$4:$A$130,0)),"")</f>
        <v/>
      </c>
      <c r="C214" s="244" t="str">
        <f>IFERROR(INDEX('G-1 All Habitats'!$AG$3:$AG$15,MATCH(D214,'G-1 All Habitats'!$AF$3:$AF$15,0)),"")</f>
        <v/>
      </c>
      <c r="D214" s="154"/>
      <c r="E214" s="203"/>
      <c r="F214" s="243" t="str">
        <f>IFERROR(INDEX('G-1 All Habitats'!$B$3:$B$129,MATCH(E214,'G-1 All Habitats'!$A$3:$A$129,0)),"")</f>
        <v/>
      </c>
      <c r="G214" s="386"/>
      <c r="H214" s="537" t="str">
        <f>IF(F214="","",VLOOKUP(F214,'G-1 All Habitats'!$B$2:$M$129,10,FALSE))</f>
        <v/>
      </c>
      <c r="I214" s="524" t="str">
        <f>IFERROR(VLOOKUP(H214,'G-1 All Habitats'!$V$3:$W$7,2,FALSE),"")</f>
        <v/>
      </c>
      <c r="J214" s="199"/>
      <c r="K214" s="524" t="str">
        <f>IFERROR(INDEX('G-8 Condition Look up'!$A$3:$H$130,MATCH(F214,'G-8 Condition Look up'!$A$3:$A$130,0),MATCH(J214,'G-8 Condition Look up'!$A$3:$H$3,0)),"")</f>
        <v/>
      </c>
      <c r="L214" s="145"/>
      <c r="M214" s="540" t="str">
        <f>IF(L214="","",IF(VLOOKUP(L214,'G-3 Multipliers'!$L$3:$N$6,2,FALSE)=0,"Spatial Data Missing ⚠",VLOOKUP(L214,'G-3 Multipliers'!$L$3:$N$6,2,FALSE)))</f>
        <v/>
      </c>
      <c r="N214" s="499" t="str">
        <f>IF(L214="","",IF(VLOOKUP(L214,'G-3 Multipliers'!$L$3:$N$6,3,FALSE)=0,"Spatial Data Missing ⚠",VLOOKUP(L214,'G-3 Multipliers'!$L$3:$N$6,3,FALSE)))</f>
        <v/>
      </c>
      <c r="O214" s="498" t="str">
        <f t="shared" si="15"/>
        <v/>
      </c>
      <c r="P214" s="195"/>
      <c r="Q214" s="195"/>
      <c r="R214" s="520" t="str">
        <f t="shared" si="16"/>
        <v/>
      </c>
      <c r="S214" s="544" t="str">
        <f t="shared" si="17"/>
        <v/>
      </c>
      <c r="T214" s="525" t="str">
        <f>IFERROR(IF(S214="Check Data ⚠","Check Data ⚠",VLOOKUP(S214,'G-4 Temporal multipliers'!$A$4:$C$37,3,FALSE)),"")</f>
        <v/>
      </c>
      <c r="U214" s="523" t="str">
        <f>IF(F214="","",VLOOKUP(F214,'G-3 Multipliers'!$A$2:$E$129,2,FALSE))</f>
        <v/>
      </c>
      <c r="V214" s="520" t="str">
        <f t="shared" si="19"/>
        <v/>
      </c>
      <c r="W214" s="520" t="str">
        <f>IF(E214="","",IF(AND(V214="Standard difficulty applied",O214&gt;P214),U214,IF(AND(V214="Low Difficulty - only applicable if all habitat created before losses ⚠",P214&gt;=O214),"Low",VLOOKUP(F214,'G-3 Multipliers'!$A$2:$E$129,4,FALSE))))</f>
        <v/>
      </c>
      <c r="X214" s="524" t="str">
        <f>IFERROR(IF(E214="","",VLOOKUP(W214, 'G-3 Multipliers'!$P$2:$Q$6,2,FALSE)),"")</f>
        <v/>
      </c>
      <c r="Y214" s="197"/>
      <c r="Z214" s="499" t="str">
        <f>IF(Y214="","",IF(VLOOKUP(Y214,'G-3 Multipliers'!$S$3:$T$9,2,FALSE)=0,"Spatial Data Missing ⚠",VLOOKUP(Y214,'G-3 Multipliers'!$S$3:$T$9,2,FALSE)))</f>
        <v/>
      </c>
      <c r="AA214" s="545" t="str">
        <f t="shared" si="18"/>
        <v/>
      </c>
      <c r="AB214" s="149"/>
      <c r="AC214" s="150"/>
    </row>
    <row r="215" spans="1:29" ht="13.8" x14ac:dyDescent="0.25">
      <c r="A215" s="31" t="str">
        <f>IFERROR(INDEX('G-8 Condition Look up'!$I$4:$I$130,MATCH(F215,'G-8 Condition Look up'!$A$4:$A$130,0)),"")</f>
        <v/>
      </c>
      <c r="C215" s="244" t="str">
        <f>IFERROR(INDEX('G-1 All Habitats'!$AG$3:$AG$15,MATCH(D215,'G-1 All Habitats'!$AF$3:$AF$15,0)),"")</f>
        <v/>
      </c>
      <c r="D215" s="154"/>
      <c r="E215" s="203"/>
      <c r="F215" s="243" t="str">
        <f>IFERROR(INDEX('G-1 All Habitats'!$B$3:$B$129,MATCH(E215,'G-1 All Habitats'!$A$3:$A$129,0)),"")</f>
        <v/>
      </c>
      <c r="G215" s="386"/>
      <c r="H215" s="537" t="str">
        <f>IF(F215="","",VLOOKUP(F215,'G-1 All Habitats'!$B$2:$M$129,10,FALSE))</f>
        <v/>
      </c>
      <c r="I215" s="524" t="str">
        <f>IFERROR(VLOOKUP(H215,'G-1 All Habitats'!$V$3:$W$7,2,FALSE),"")</f>
        <v/>
      </c>
      <c r="J215" s="199"/>
      <c r="K215" s="524" t="str">
        <f>IFERROR(INDEX('G-8 Condition Look up'!$A$3:$H$130,MATCH(F215,'G-8 Condition Look up'!$A$3:$A$130,0),MATCH(J215,'G-8 Condition Look up'!$A$3:$H$3,0)),"")</f>
        <v/>
      </c>
      <c r="L215" s="145"/>
      <c r="M215" s="540" t="str">
        <f>IF(L215="","",IF(VLOOKUP(L215,'G-3 Multipliers'!$L$3:$N$6,2,FALSE)=0,"Spatial Data Missing ⚠",VLOOKUP(L215,'G-3 Multipliers'!$L$3:$N$6,2,FALSE)))</f>
        <v/>
      </c>
      <c r="N215" s="499" t="str">
        <f>IF(L215="","",IF(VLOOKUP(L215,'G-3 Multipliers'!$L$3:$N$6,3,FALSE)=0,"Spatial Data Missing ⚠",VLOOKUP(L215,'G-3 Multipliers'!$L$3:$N$6,3,FALSE)))</f>
        <v/>
      </c>
      <c r="O215" s="498" t="str">
        <f t="shared" si="15"/>
        <v/>
      </c>
      <c r="P215" s="195"/>
      <c r="Q215" s="195"/>
      <c r="R215" s="520" t="str">
        <f t="shared" si="16"/>
        <v/>
      </c>
      <c r="S215" s="544" t="str">
        <f t="shared" si="17"/>
        <v/>
      </c>
      <c r="T215" s="525" t="str">
        <f>IFERROR(IF(S215="Check Data ⚠","Check Data ⚠",VLOOKUP(S215,'G-4 Temporal multipliers'!$A$4:$C$37,3,FALSE)),"")</f>
        <v/>
      </c>
      <c r="U215" s="523" t="str">
        <f>IF(F215="","",VLOOKUP(F215,'G-3 Multipliers'!$A$2:$E$129,2,FALSE))</f>
        <v/>
      </c>
      <c r="V215" s="520" t="str">
        <f t="shared" si="19"/>
        <v/>
      </c>
      <c r="W215" s="520" t="str">
        <f>IF(E215="","",IF(AND(V215="Standard difficulty applied",O215&gt;P215),U215,IF(AND(V215="Low Difficulty - only applicable if all habitat created before losses ⚠",P215&gt;=O215),"Low",VLOOKUP(F215,'G-3 Multipliers'!$A$2:$E$129,4,FALSE))))</f>
        <v/>
      </c>
      <c r="X215" s="524" t="str">
        <f>IFERROR(IF(E215="","",VLOOKUP(W215, 'G-3 Multipliers'!$P$2:$Q$6,2,FALSE)),"")</f>
        <v/>
      </c>
      <c r="Y215" s="197"/>
      <c r="Z215" s="499" t="str">
        <f>IF(Y215="","",IF(VLOOKUP(Y215,'G-3 Multipliers'!$S$3:$T$9,2,FALSE)=0,"Spatial Data Missing ⚠",VLOOKUP(Y215,'G-3 Multipliers'!$S$3:$T$9,2,FALSE)))</f>
        <v/>
      </c>
      <c r="AA215" s="545" t="str">
        <f t="shared" si="18"/>
        <v/>
      </c>
      <c r="AB215" s="149"/>
      <c r="AC215" s="150"/>
    </row>
    <row r="216" spans="1:29" ht="13.8" x14ac:dyDescent="0.25">
      <c r="A216" s="31" t="str">
        <f>IFERROR(INDEX('G-8 Condition Look up'!$I$4:$I$130,MATCH(F216,'G-8 Condition Look up'!$A$4:$A$130,0)),"")</f>
        <v/>
      </c>
      <c r="C216" s="244" t="str">
        <f>IFERROR(INDEX('G-1 All Habitats'!$AG$3:$AG$15,MATCH(D216,'G-1 All Habitats'!$AF$3:$AF$15,0)),"")</f>
        <v/>
      </c>
      <c r="D216" s="154"/>
      <c r="E216" s="203"/>
      <c r="F216" s="243" t="str">
        <f>IFERROR(INDEX('G-1 All Habitats'!$B$3:$B$129,MATCH(E216,'G-1 All Habitats'!$A$3:$A$129,0)),"")</f>
        <v/>
      </c>
      <c r="G216" s="386"/>
      <c r="H216" s="537" t="str">
        <f>IF(F216="","",VLOOKUP(F216,'G-1 All Habitats'!$B$2:$M$129,10,FALSE))</f>
        <v/>
      </c>
      <c r="I216" s="524" t="str">
        <f>IFERROR(VLOOKUP(H216,'G-1 All Habitats'!$V$3:$W$7,2,FALSE),"")</f>
        <v/>
      </c>
      <c r="J216" s="199"/>
      <c r="K216" s="524" t="str">
        <f>IFERROR(INDEX('G-8 Condition Look up'!$A$3:$H$130,MATCH(F216,'G-8 Condition Look up'!$A$3:$A$130,0),MATCH(J216,'G-8 Condition Look up'!$A$3:$H$3,0)),"")</f>
        <v/>
      </c>
      <c r="L216" s="145"/>
      <c r="M216" s="540" t="str">
        <f>IF(L216="","",IF(VLOOKUP(L216,'G-3 Multipliers'!$L$3:$N$6,2,FALSE)=0,"Spatial Data Missing ⚠",VLOOKUP(L216,'G-3 Multipliers'!$L$3:$N$6,2,FALSE)))</f>
        <v/>
      </c>
      <c r="N216" s="499" t="str">
        <f>IF(L216="","",IF(VLOOKUP(L216,'G-3 Multipliers'!$L$3:$N$6,3,FALSE)=0,"Spatial Data Missing ⚠",VLOOKUP(L216,'G-3 Multipliers'!$L$3:$N$6,3,FALSE)))</f>
        <v/>
      </c>
      <c r="O216" s="498" t="str">
        <f t="shared" si="15"/>
        <v/>
      </c>
      <c r="P216" s="195"/>
      <c r="Q216" s="195"/>
      <c r="R216" s="520" t="str">
        <f t="shared" si="16"/>
        <v/>
      </c>
      <c r="S216" s="544" t="str">
        <f t="shared" si="17"/>
        <v/>
      </c>
      <c r="T216" s="525" t="str">
        <f>IFERROR(IF(S216="Check Data ⚠","Check Data ⚠",VLOOKUP(S216,'G-4 Temporal multipliers'!$A$4:$C$37,3,FALSE)),"")</f>
        <v/>
      </c>
      <c r="U216" s="523" t="str">
        <f>IF(F216="","",VLOOKUP(F216,'G-3 Multipliers'!$A$2:$E$129,2,FALSE))</f>
        <v/>
      </c>
      <c r="V216" s="520" t="str">
        <f t="shared" si="19"/>
        <v/>
      </c>
      <c r="W216" s="520" t="str">
        <f>IF(E216="","",IF(AND(V216="Standard difficulty applied",O216&gt;P216),U216,IF(AND(V216="Low Difficulty - only applicable if all habitat created before losses ⚠",P216&gt;=O216),"Low",VLOOKUP(F216,'G-3 Multipliers'!$A$2:$E$129,4,FALSE))))</f>
        <v/>
      </c>
      <c r="X216" s="524" t="str">
        <f>IFERROR(IF(E216="","",VLOOKUP(W216, 'G-3 Multipliers'!$P$2:$Q$6,2,FALSE)),"")</f>
        <v/>
      </c>
      <c r="Y216" s="197"/>
      <c r="Z216" s="499" t="str">
        <f>IF(Y216="","",IF(VLOOKUP(Y216,'G-3 Multipliers'!$S$3:$T$9,2,FALSE)=0,"Spatial Data Missing ⚠",VLOOKUP(Y216,'G-3 Multipliers'!$S$3:$T$9,2,FALSE)))</f>
        <v/>
      </c>
      <c r="AA216" s="545" t="str">
        <f t="shared" si="18"/>
        <v/>
      </c>
      <c r="AB216" s="149"/>
      <c r="AC216" s="150"/>
    </row>
    <row r="217" spans="1:29" ht="13.8" x14ac:dyDescent="0.25">
      <c r="A217" s="31" t="str">
        <f>IFERROR(INDEX('G-8 Condition Look up'!$I$4:$I$130,MATCH(F217,'G-8 Condition Look up'!$A$4:$A$130,0)),"")</f>
        <v/>
      </c>
      <c r="C217" s="244" t="str">
        <f>IFERROR(INDEX('G-1 All Habitats'!$AG$3:$AG$15,MATCH(D217,'G-1 All Habitats'!$AF$3:$AF$15,0)),"")</f>
        <v/>
      </c>
      <c r="D217" s="154"/>
      <c r="E217" s="203"/>
      <c r="F217" s="243" t="str">
        <f>IFERROR(INDEX('G-1 All Habitats'!$B$3:$B$129,MATCH(E217,'G-1 All Habitats'!$A$3:$A$129,0)),"")</f>
        <v/>
      </c>
      <c r="G217" s="386"/>
      <c r="H217" s="537" t="str">
        <f>IF(F217="","",VLOOKUP(F217,'G-1 All Habitats'!$B$2:$M$129,10,FALSE))</f>
        <v/>
      </c>
      <c r="I217" s="524" t="str">
        <f>IFERROR(VLOOKUP(H217,'G-1 All Habitats'!$V$3:$W$7,2,FALSE),"")</f>
        <v/>
      </c>
      <c r="J217" s="199"/>
      <c r="K217" s="524" t="str">
        <f>IFERROR(INDEX('G-8 Condition Look up'!$A$3:$H$130,MATCH(F217,'G-8 Condition Look up'!$A$3:$A$130,0),MATCH(J217,'G-8 Condition Look up'!$A$3:$H$3,0)),"")</f>
        <v/>
      </c>
      <c r="L217" s="145"/>
      <c r="M217" s="540" t="str">
        <f>IF(L217="","",IF(VLOOKUP(L217,'G-3 Multipliers'!$L$3:$N$6,2,FALSE)=0,"Spatial Data Missing ⚠",VLOOKUP(L217,'G-3 Multipliers'!$L$3:$N$6,2,FALSE)))</f>
        <v/>
      </c>
      <c r="N217" s="499" t="str">
        <f>IF(L217="","",IF(VLOOKUP(L217,'G-3 Multipliers'!$L$3:$N$6,3,FALSE)=0,"Spatial Data Missing ⚠",VLOOKUP(L217,'G-3 Multipliers'!$L$3:$N$6,3,FALSE)))</f>
        <v/>
      </c>
      <c r="O217" s="498" t="str">
        <f t="shared" si="15"/>
        <v/>
      </c>
      <c r="P217" s="195"/>
      <c r="Q217" s="195"/>
      <c r="R217" s="520" t="str">
        <f t="shared" si="16"/>
        <v/>
      </c>
      <c r="S217" s="544" t="str">
        <f t="shared" si="17"/>
        <v/>
      </c>
      <c r="T217" s="525" t="str">
        <f>IFERROR(IF(S217="Check Data ⚠","Check Data ⚠",VLOOKUP(S217,'G-4 Temporal multipliers'!$A$4:$C$37,3,FALSE)),"")</f>
        <v/>
      </c>
      <c r="U217" s="523" t="str">
        <f>IF(F217="","",VLOOKUP(F217,'G-3 Multipliers'!$A$2:$E$129,2,FALSE))</f>
        <v/>
      </c>
      <c r="V217" s="520" t="str">
        <f t="shared" si="19"/>
        <v/>
      </c>
      <c r="W217" s="520" t="str">
        <f>IF(E217="","",IF(AND(V217="Standard difficulty applied",O217&gt;P217),U217,IF(AND(V217="Low Difficulty - only applicable if all habitat created before losses ⚠",P217&gt;=O217),"Low",VLOOKUP(F217,'G-3 Multipliers'!$A$2:$E$129,4,FALSE))))</f>
        <v/>
      </c>
      <c r="X217" s="524" t="str">
        <f>IFERROR(IF(E217="","",VLOOKUP(W217, 'G-3 Multipliers'!$P$2:$Q$6,2,FALSE)),"")</f>
        <v/>
      </c>
      <c r="Y217" s="197"/>
      <c r="Z217" s="499" t="str">
        <f>IF(Y217="","",IF(VLOOKUP(Y217,'G-3 Multipliers'!$S$3:$T$9,2,FALSE)=0,"Spatial Data Missing ⚠",VLOOKUP(Y217,'G-3 Multipliers'!$S$3:$T$9,2,FALSE)))</f>
        <v/>
      </c>
      <c r="AA217" s="545" t="str">
        <f t="shared" si="18"/>
        <v/>
      </c>
      <c r="AB217" s="149"/>
      <c r="AC217" s="150"/>
    </row>
    <row r="218" spans="1:29" ht="13.8" x14ac:dyDescent="0.25">
      <c r="A218" s="31" t="str">
        <f>IFERROR(INDEX('G-8 Condition Look up'!$I$4:$I$130,MATCH(F218,'G-8 Condition Look up'!$A$4:$A$130,0)),"")</f>
        <v/>
      </c>
      <c r="C218" s="244" t="str">
        <f>IFERROR(INDEX('G-1 All Habitats'!$AG$3:$AG$15,MATCH(D218,'G-1 All Habitats'!$AF$3:$AF$15,0)),"")</f>
        <v/>
      </c>
      <c r="D218" s="154"/>
      <c r="E218" s="203"/>
      <c r="F218" s="243" t="str">
        <f>IFERROR(INDEX('G-1 All Habitats'!$B$3:$B$129,MATCH(E218,'G-1 All Habitats'!$A$3:$A$129,0)),"")</f>
        <v/>
      </c>
      <c r="G218" s="386"/>
      <c r="H218" s="537" t="str">
        <f>IF(F218="","",VLOOKUP(F218,'G-1 All Habitats'!$B$2:$M$129,10,FALSE))</f>
        <v/>
      </c>
      <c r="I218" s="524" t="str">
        <f>IFERROR(VLOOKUP(H218,'G-1 All Habitats'!$V$3:$W$7,2,FALSE),"")</f>
        <v/>
      </c>
      <c r="J218" s="199"/>
      <c r="K218" s="524" t="str">
        <f>IFERROR(INDEX('G-8 Condition Look up'!$A$3:$H$130,MATCH(F218,'G-8 Condition Look up'!$A$3:$A$130,0),MATCH(J218,'G-8 Condition Look up'!$A$3:$H$3,0)),"")</f>
        <v/>
      </c>
      <c r="L218" s="145"/>
      <c r="M218" s="540" t="str">
        <f>IF(L218="","",IF(VLOOKUP(L218,'G-3 Multipliers'!$L$3:$N$6,2,FALSE)=0,"Spatial Data Missing ⚠",VLOOKUP(L218,'G-3 Multipliers'!$L$3:$N$6,2,FALSE)))</f>
        <v/>
      </c>
      <c r="N218" s="499" t="str">
        <f>IF(L218="","",IF(VLOOKUP(L218,'G-3 Multipliers'!$L$3:$N$6,3,FALSE)=0,"Spatial Data Missing ⚠",VLOOKUP(L218,'G-3 Multipliers'!$L$3:$N$6,3,FALSE)))</f>
        <v/>
      </c>
      <c r="O218" s="498" t="str">
        <f t="shared" si="15"/>
        <v/>
      </c>
      <c r="P218" s="195"/>
      <c r="Q218" s="195"/>
      <c r="R218" s="520" t="str">
        <f t="shared" si="16"/>
        <v/>
      </c>
      <c r="S218" s="544" t="str">
        <f t="shared" si="17"/>
        <v/>
      </c>
      <c r="T218" s="525" t="str">
        <f>IFERROR(IF(S218="Check Data ⚠","Check Data ⚠",VLOOKUP(S218,'G-4 Temporal multipliers'!$A$4:$C$37,3,FALSE)),"")</f>
        <v/>
      </c>
      <c r="U218" s="523" t="str">
        <f>IF(F218="","",VLOOKUP(F218,'G-3 Multipliers'!$A$2:$E$129,2,FALSE))</f>
        <v/>
      </c>
      <c r="V218" s="520" t="str">
        <f t="shared" si="19"/>
        <v/>
      </c>
      <c r="W218" s="520" t="str">
        <f>IF(E218="","",IF(AND(V218="Standard difficulty applied",O218&gt;P218),U218,IF(AND(V218="Low Difficulty - only applicable if all habitat created before losses ⚠",P218&gt;=O218),"Low",VLOOKUP(F218,'G-3 Multipliers'!$A$2:$E$129,4,FALSE))))</f>
        <v/>
      </c>
      <c r="X218" s="524" t="str">
        <f>IFERROR(IF(E218="","",VLOOKUP(W218, 'G-3 Multipliers'!$P$2:$Q$6,2,FALSE)),"")</f>
        <v/>
      </c>
      <c r="Y218" s="197"/>
      <c r="Z218" s="499" t="str">
        <f>IF(Y218="","",IF(VLOOKUP(Y218,'G-3 Multipliers'!$S$3:$T$9,2,FALSE)=0,"Spatial Data Missing ⚠",VLOOKUP(Y218,'G-3 Multipliers'!$S$3:$T$9,2,FALSE)))</f>
        <v/>
      </c>
      <c r="AA218" s="545" t="str">
        <f t="shared" si="18"/>
        <v/>
      </c>
      <c r="AB218" s="149"/>
      <c r="AC218" s="150"/>
    </row>
    <row r="219" spans="1:29" ht="13.8" x14ac:dyDescent="0.25">
      <c r="A219" s="31" t="str">
        <f>IFERROR(INDEX('G-8 Condition Look up'!$I$4:$I$130,MATCH(F219,'G-8 Condition Look up'!$A$4:$A$130,0)),"")</f>
        <v/>
      </c>
      <c r="C219" s="244" t="str">
        <f>IFERROR(INDEX('G-1 All Habitats'!$AG$3:$AG$15,MATCH(D219,'G-1 All Habitats'!$AF$3:$AF$15,0)),"")</f>
        <v/>
      </c>
      <c r="D219" s="154"/>
      <c r="E219" s="203"/>
      <c r="F219" s="243" t="str">
        <f>IFERROR(INDEX('G-1 All Habitats'!$B$3:$B$129,MATCH(E219,'G-1 All Habitats'!$A$3:$A$129,0)),"")</f>
        <v/>
      </c>
      <c r="G219" s="386"/>
      <c r="H219" s="537" t="str">
        <f>IF(F219="","",VLOOKUP(F219,'G-1 All Habitats'!$B$2:$M$129,10,FALSE))</f>
        <v/>
      </c>
      <c r="I219" s="524" t="str">
        <f>IFERROR(VLOOKUP(H219,'G-1 All Habitats'!$V$3:$W$7,2,FALSE),"")</f>
        <v/>
      </c>
      <c r="J219" s="199"/>
      <c r="K219" s="524" t="str">
        <f>IFERROR(INDEX('G-8 Condition Look up'!$A$3:$H$130,MATCH(F219,'G-8 Condition Look up'!$A$3:$A$130,0),MATCH(J219,'G-8 Condition Look up'!$A$3:$H$3,0)),"")</f>
        <v/>
      </c>
      <c r="L219" s="145"/>
      <c r="M219" s="540" t="str">
        <f>IF(L219="","",IF(VLOOKUP(L219,'G-3 Multipliers'!$L$3:$N$6,2,FALSE)=0,"Spatial Data Missing ⚠",VLOOKUP(L219,'G-3 Multipliers'!$L$3:$N$6,2,FALSE)))</f>
        <v/>
      </c>
      <c r="N219" s="499" t="str">
        <f>IF(L219="","",IF(VLOOKUP(L219,'G-3 Multipliers'!$L$3:$N$6,3,FALSE)=0,"Spatial Data Missing ⚠",VLOOKUP(L219,'G-3 Multipliers'!$L$3:$N$6,3,FALSE)))</f>
        <v/>
      </c>
      <c r="O219" s="498" t="str">
        <f t="shared" si="15"/>
        <v/>
      </c>
      <c r="P219" s="195"/>
      <c r="Q219" s="195"/>
      <c r="R219" s="520" t="str">
        <f t="shared" si="16"/>
        <v/>
      </c>
      <c r="S219" s="544" t="str">
        <f t="shared" si="17"/>
        <v/>
      </c>
      <c r="T219" s="525" t="str">
        <f>IFERROR(IF(S219="Check Data ⚠","Check Data ⚠",VLOOKUP(S219,'G-4 Temporal multipliers'!$A$4:$C$37,3,FALSE)),"")</f>
        <v/>
      </c>
      <c r="U219" s="523" t="str">
        <f>IF(F219="","",VLOOKUP(F219,'G-3 Multipliers'!$A$2:$E$129,2,FALSE))</f>
        <v/>
      </c>
      <c r="V219" s="520" t="str">
        <f t="shared" si="19"/>
        <v/>
      </c>
      <c r="W219" s="520" t="str">
        <f>IF(E219="","",IF(AND(V219="Standard difficulty applied",O219&gt;P219),U219,IF(AND(V219="Low Difficulty - only applicable if all habitat created before losses ⚠",P219&gt;=O219),"Low",VLOOKUP(F219,'G-3 Multipliers'!$A$2:$E$129,4,FALSE))))</f>
        <v/>
      </c>
      <c r="X219" s="524" t="str">
        <f>IFERROR(IF(E219="","",VLOOKUP(W219, 'G-3 Multipliers'!$P$2:$Q$6,2,FALSE)),"")</f>
        <v/>
      </c>
      <c r="Y219" s="197"/>
      <c r="Z219" s="499" t="str">
        <f>IF(Y219="","",IF(VLOOKUP(Y219,'G-3 Multipliers'!$S$3:$T$9,2,FALSE)=0,"Spatial Data Missing ⚠",VLOOKUP(Y219,'G-3 Multipliers'!$S$3:$T$9,2,FALSE)))</f>
        <v/>
      </c>
      <c r="AA219" s="545" t="str">
        <f t="shared" si="18"/>
        <v/>
      </c>
      <c r="AB219" s="149"/>
      <c r="AC219" s="150"/>
    </row>
    <row r="220" spans="1:29" ht="13.8" x14ac:dyDescent="0.25">
      <c r="A220" s="31" t="str">
        <f>IFERROR(INDEX('G-8 Condition Look up'!$I$4:$I$130,MATCH(F220,'G-8 Condition Look up'!$A$4:$A$130,0)),"")</f>
        <v/>
      </c>
      <c r="C220" s="244" t="str">
        <f>IFERROR(INDEX('G-1 All Habitats'!$AG$3:$AG$15,MATCH(D220,'G-1 All Habitats'!$AF$3:$AF$15,0)),"")</f>
        <v/>
      </c>
      <c r="D220" s="154"/>
      <c r="E220" s="203"/>
      <c r="F220" s="243" t="str">
        <f>IFERROR(INDEX('G-1 All Habitats'!$B$3:$B$129,MATCH(E220,'G-1 All Habitats'!$A$3:$A$129,0)),"")</f>
        <v/>
      </c>
      <c r="G220" s="386"/>
      <c r="H220" s="537" t="str">
        <f>IF(F220="","",VLOOKUP(F220,'G-1 All Habitats'!$B$2:$M$129,10,FALSE))</f>
        <v/>
      </c>
      <c r="I220" s="524" t="str">
        <f>IFERROR(VLOOKUP(H220,'G-1 All Habitats'!$V$3:$W$7,2,FALSE),"")</f>
        <v/>
      </c>
      <c r="J220" s="199"/>
      <c r="K220" s="524" t="str">
        <f>IFERROR(INDEX('G-8 Condition Look up'!$A$3:$H$130,MATCH(F220,'G-8 Condition Look up'!$A$3:$A$130,0),MATCH(J220,'G-8 Condition Look up'!$A$3:$H$3,0)),"")</f>
        <v/>
      </c>
      <c r="L220" s="145"/>
      <c r="M220" s="540" t="str">
        <f>IF(L220="","",IF(VLOOKUP(L220,'G-3 Multipliers'!$L$3:$N$6,2,FALSE)=0,"Spatial Data Missing ⚠",VLOOKUP(L220,'G-3 Multipliers'!$L$3:$N$6,2,FALSE)))</f>
        <v/>
      </c>
      <c r="N220" s="499" t="str">
        <f>IF(L220="","",IF(VLOOKUP(L220,'G-3 Multipliers'!$L$3:$N$6,3,FALSE)=0,"Spatial Data Missing ⚠",VLOOKUP(L220,'G-3 Multipliers'!$L$3:$N$6,3,FALSE)))</f>
        <v/>
      </c>
      <c r="O220" s="498" t="str">
        <f t="shared" si="15"/>
        <v/>
      </c>
      <c r="P220" s="195"/>
      <c r="Q220" s="195"/>
      <c r="R220" s="520" t="str">
        <f t="shared" si="16"/>
        <v/>
      </c>
      <c r="S220" s="544" t="str">
        <f t="shared" si="17"/>
        <v/>
      </c>
      <c r="T220" s="525" t="str">
        <f>IFERROR(IF(S220="Check Data ⚠","Check Data ⚠",VLOOKUP(S220,'G-4 Temporal multipliers'!$A$4:$C$37,3,FALSE)),"")</f>
        <v/>
      </c>
      <c r="U220" s="523" t="str">
        <f>IF(F220="","",VLOOKUP(F220,'G-3 Multipliers'!$A$2:$E$129,2,FALSE))</f>
        <v/>
      </c>
      <c r="V220" s="520" t="str">
        <f t="shared" si="19"/>
        <v/>
      </c>
      <c r="W220" s="520" t="str">
        <f>IF(E220="","",IF(AND(V220="Standard difficulty applied",O220&gt;P220),U220,IF(AND(V220="Low Difficulty - only applicable if all habitat created before losses ⚠",P220&gt;=O220),"Low",VLOOKUP(F220,'G-3 Multipliers'!$A$2:$E$129,4,FALSE))))</f>
        <v/>
      </c>
      <c r="X220" s="524" t="str">
        <f>IFERROR(IF(E220="","",VLOOKUP(W220, 'G-3 Multipliers'!$P$2:$Q$6,2,FALSE)),"")</f>
        <v/>
      </c>
      <c r="Y220" s="197"/>
      <c r="Z220" s="499" t="str">
        <f>IF(Y220="","",IF(VLOOKUP(Y220,'G-3 Multipliers'!$S$3:$T$9,2,FALSE)=0,"Spatial Data Missing ⚠",VLOOKUP(Y220,'G-3 Multipliers'!$S$3:$T$9,2,FALSE)))</f>
        <v/>
      </c>
      <c r="AA220" s="545" t="str">
        <f t="shared" si="18"/>
        <v/>
      </c>
      <c r="AB220" s="149"/>
      <c r="AC220" s="150"/>
    </row>
    <row r="221" spans="1:29" ht="13.8" x14ac:dyDescent="0.25">
      <c r="A221" s="31" t="str">
        <f>IFERROR(INDEX('G-8 Condition Look up'!$I$4:$I$130,MATCH(F221,'G-8 Condition Look up'!$A$4:$A$130,0)),"")</f>
        <v/>
      </c>
      <c r="C221" s="244" t="str">
        <f>IFERROR(INDEX('G-1 All Habitats'!$AG$3:$AG$15,MATCH(D221,'G-1 All Habitats'!$AF$3:$AF$15,0)),"")</f>
        <v/>
      </c>
      <c r="D221" s="154"/>
      <c r="E221" s="203"/>
      <c r="F221" s="243" t="str">
        <f>IFERROR(INDEX('G-1 All Habitats'!$B$3:$B$129,MATCH(E221,'G-1 All Habitats'!$A$3:$A$129,0)),"")</f>
        <v/>
      </c>
      <c r="G221" s="386"/>
      <c r="H221" s="537" t="str">
        <f>IF(F221="","",VLOOKUP(F221,'G-1 All Habitats'!$B$2:$M$129,10,FALSE))</f>
        <v/>
      </c>
      <c r="I221" s="524" t="str">
        <f>IFERROR(VLOOKUP(H221,'G-1 All Habitats'!$V$3:$W$7,2,FALSE),"")</f>
        <v/>
      </c>
      <c r="J221" s="199"/>
      <c r="K221" s="524" t="str">
        <f>IFERROR(INDEX('G-8 Condition Look up'!$A$3:$H$130,MATCH(F221,'G-8 Condition Look up'!$A$3:$A$130,0),MATCH(J221,'G-8 Condition Look up'!$A$3:$H$3,0)),"")</f>
        <v/>
      </c>
      <c r="L221" s="145"/>
      <c r="M221" s="540" t="str">
        <f>IF(L221="","",IF(VLOOKUP(L221,'G-3 Multipliers'!$L$3:$N$6,2,FALSE)=0,"Spatial Data Missing ⚠",VLOOKUP(L221,'G-3 Multipliers'!$L$3:$N$6,2,FALSE)))</f>
        <v/>
      </c>
      <c r="N221" s="499" t="str">
        <f>IF(L221="","",IF(VLOOKUP(L221,'G-3 Multipliers'!$L$3:$N$6,3,FALSE)=0,"Spatial Data Missing ⚠",VLOOKUP(L221,'G-3 Multipliers'!$L$3:$N$6,3,FALSE)))</f>
        <v/>
      </c>
      <c r="O221" s="498" t="str">
        <f t="shared" si="15"/>
        <v/>
      </c>
      <c r="P221" s="195"/>
      <c r="Q221" s="195"/>
      <c r="R221" s="520" t="str">
        <f t="shared" si="16"/>
        <v/>
      </c>
      <c r="S221" s="544" t="str">
        <f t="shared" si="17"/>
        <v/>
      </c>
      <c r="T221" s="525" t="str">
        <f>IFERROR(IF(S221="Check Data ⚠","Check Data ⚠",VLOOKUP(S221,'G-4 Temporal multipliers'!$A$4:$C$37,3,FALSE)),"")</f>
        <v/>
      </c>
      <c r="U221" s="523" t="str">
        <f>IF(F221="","",VLOOKUP(F221,'G-3 Multipliers'!$A$2:$E$129,2,FALSE))</f>
        <v/>
      </c>
      <c r="V221" s="520" t="str">
        <f t="shared" si="19"/>
        <v/>
      </c>
      <c r="W221" s="520" t="str">
        <f>IF(E221="","",IF(AND(V221="Standard difficulty applied",O221&gt;P221),U221,IF(AND(V221="Low Difficulty - only applicable if all habitat created before losses ⚠",P221&gt;=O221),"Low",VLOOKUP(F221,'G-3 Multipliers'!$A$2:$E$129,4,FALSE))))</f>
        <v/>
      </c>
      <c r="X221" s="524" t="str">
        <f>IFERROR(IF(E221="","",VLOOKUP(W221, 'G-3 Multipliers'!$P$2:$Q$6,2,FALSE)),"")</f>
        <v/>
      </c>
      <c r="Y221" s="197"/>
      <c r="Z221" s="499" t="str">
        <f>IF(Y221="","",IF(VLOOKUP(Y221,'G-3 Multipliers'!$S$3:$T$9,2,FALSE)=0,"Spatial Data Missing ⚠",VLOOKUP(Y221,'G-3 Multipliers'!$S$3:$T$9,2,FALSE)))</f>
        <v/>
      </c>
      <c r="AA221" s="545" t="str">
        <f t="shared" si="18"/>
        <v/>
      </c>
      <c r="AB221" s="149"/>
      <c r="AC221" s="150"/>
    </row>
    <row r="222" spans="1:29" ht="13.8" x14ac:dyDescent="0.25">
      <c r="A222" s="31" t="str">
        <f>IFERROR(INDEX('G-8 Condition Look up'!$I$4:$I$130,MATCH(F222,'G-8 Condition Look up'!$A$4:$A$130,0)),"")</f>
        <v/>
      </c>
      <c r="C222" s="244" t="str">
        <f>IFERROR(INDEX('G-1 All Habitats'!$AG$3:$AG$15,MATCH(D222,'G-1 All Habitats'!$AF$3:$AF$15,0)),"")</f>
        <v/>
      </c>
      <c r="D222" s="154"/>
      <c r="E222" s="203"/>
      <c r="F222" s="243" t="str">
        <f>IFERROR(INDEX('G-1 All Habitats'!$B$3:$B$129,MATCH(E222,'G-1 All Habitats'!$A$3:$A$129,0)),"")</f>
        <v/>
      </c>
      <c r="G222" s="386"/>
      <c r="H222" s="537" t="str">
        <f>IF(F222="","",VLOOKUP(F222,'G-1 All Habitats'!$B$2:$M$129,10,FALSE))</f>
        <v/>
      </c>
      <c r="I222" s="524" t="str">
        <f>IFERROR(VLOOKUP(H222,'G-1 All Habitats'!$V$3:$W$7,2,FALSE),"")</f>
        <v/>
      </c>
      <c r="J222" s="199"/>
      <c r="K222" s="524" t="str">
        <f>IFERROR(INDEX('G-8 Condition Look up'!$A$3:$H$130,MATCH(F222,'G-8 Condition Look up'!$A$3:$A$130,0),MATCH(J222,'G-8 Condition Look up'!$A$3:$H$3,0)),"")</f>
        <v/>
      </c>
      <c r="L222" s="145"/>
      <c r="M222" s="540" t="str">
        <f>IF(L222="","",IF(VLOOKUP(L222,'G-3 Multipliers'!$L$3:$N$6,2,FALSE)=0,"Spatial Data Missing ⚠",VLOOKUP(L222,'G-3 Multipliers'!$L$3:$N$6,2,FALSE)))</f>
        <v/>
      </c>
      <c r="N222" s="499" t="str">
        <f>IF(L222="","",IF(VLOOKUP(L222,'G-3 Multipliers'!$L$3:$N$6,3,FALSE)=0,"Spatial Data Missing ⚠",VLOOKUP(L222,'G-3 Multipliers'!$L$3:$N$6,3,FALSE)))</f>
        <v/>
      </c>
      <c r="O222" s="498" t="str">
        <f t="shared" si="15"/>
        <v/>
      </c>
      <c r="P222" s="195"/>
      <c r="Q222" s="195"/>
      <c r="R222" s="520" t="str">
        <f t="shared" si="16"/>
        <v/>
      </c>
      <c r="S222" s="544" t="str">
        <f t="shared" si="17"/>
        <v/>
      </c>
      <c r="T222" s="525" t="str">
        <f>IFERROR(IF(S222="Check Data ⚠","Check Data ⚠",VLOOKUP(S222,'G-4 Temporal multipliers'!$A$4:$C$37,3,FALSE)),"")</f>
        <v/>
      </c>
      <c r="U222" s="523" t="str">
        <f>IF(F222="","",VLOOKUP(F222,'G-3 Multipliers'!$A$2:$E$129,2,FALSE))</f>
        <v/>
      </c>
      <c r="V222" s="520" t="str">
        <f t="shared" si="19"/>
        <v/>
      </c>
      <c r="W222" s="520" t="str">
        <f>IF(E222="","",IF(AND(V222="Standard difficulty applied",O222&gt;P222),U222,IF(AND(V222="Low Difficulty - only applicable if all habitat created before losses ⚠",P222&gt;=O222),"Low",VLOOKUP(F222,'G-3 Multipliers'!$A$2:$E$129,4,FALSE))))</f>
        <v/>
      </c>
      <c r="X222" s="524" t="str">
        <f>IFERROR(IF(E222="","",VLOOKUP(W222, 'G-3 Multipliers'!$P$2:$Q$6,2,FALSE)),"")</f>
        <v/>
      </c>
      <c r="Y222" s="197"/>
      <c r="Z222" s="499" t="str">
        <f>IF(Y222="","",IF(VLOOKUP(Y222,'G-3 Multipliers'!$S$3:$T$9,2,FALSE)=0,"Spatial Data Missing ⚠",VLOOKUP(Y222,'G-3 Multipliers'!$S$3:$T$9,2,FALSE)))</f>
        <v/>
      </c>
      <c r="AA222" s="545" t="str">
        <f t="shared" si="18"/>
        <v/>
      </c>
      <c r="AB222" s="149"/>
      <c r="AC222" s="150"/>
    </row>
    <row r="223" spans="1:29" ht="13.8" x14ac:dyDescent="0.25">
      <c r="A223" s="31" t="str">
        <f>IFERROR(INDEX('G-8 Condition Look up'!$I$4:$I$130,MATCH(F223,'G-8 Condition Look up'!$A$4:$A$130,0)),"")</f>
        <v/>
      </c>
      <c r="C223" s="244" t="str">
        <f>IFERROR(INDEX('G-1 All Habitats'!$AG$3:$AG$15,MATCH(D223,'G-1 All Habitats'!$AF$3:$AF$15,0)),"")</f>
        <v/>
      </c>
      <c r="D223" s="154"/>
      <c r="E223" s="203"/>
      <c r="F223" s="243" t="str">
        <f>IFERROR(INDEX('G-1 All Habitats'!$B$3:$B$129,MATCH(E223,'G-1 All Habitats'!$A$3:$A$129,0)),"")</f>
        <v/>
      </c>
      <c r="G223" s="386"/>
      <c r="H223" s="537" t="str">
        <f>IF(F223="","",VLOOKUP(F223,'G-1 All Habitats'!$B$2:$M$129,10,FALSE))</f>
        <v/>
      </c>
      <c r="I223" s="524" t="str">
        <f>IFERROR(VLOOKUP(H223,'G-1 All Habitats'!$V$3:$W$7,2,FALSE),"")</f>
        <v/>
      </c>
      <c r="J223" s="199"/>
      <c r="K223" s="524" t="str">
        <f>IFERROR(INDEX('G-8 Condition Look up'!$A$3:$H$130,MATCH(F223,'G-8 Condition Look up'!$A$3:$A$130,0),MATCH(J223,'G-8 Condition Look up'!$A$3:$H$3,0)),"")</f>
        <v/>
      </c>
      <c r="L223" s="145"/>
      <c r="M223" s="540" t="str">
        <f>IF(L223="","",IF(VLOOKUP(L223,'G-3 Multipliers'!$L$3:$N$6,2,FALSE)=0,"Spatial Data Missing ⚠",VLOOKUP(L223,'G-3 Multipliers'!$L$3:$N$6,2,FALSE)))</f>
        <v/>
      </c>
      <c r="N223" s="499" t="str">
        <f>IF(L223="","",IF(VLOOKUP(L223,'G-3 Multipliers'!$L$3:$N$6,3,FALSE)=0,"Spatial Data Missing ⚠",VLOOKUP(L223,'G-3 Multipliers'!$L$3:$N$6,3,FALSE)))</f>
        <v/>
      </c>
      <c r="O223" s="498" t="str">
        <f t="shared" si="15"/>
        <v/>
      </c>
      <c r="P223" s="195"/>
      <c r="Q223" s="195"/>
      <c r="R223" s="520" t="str">
        <f t="shared" si="16"/>
        <v/>
      </c>
      <c r="S223" s="544" t="str">
        <f t="shared" si="17"/>
        <v/>
      </c>
      <c r="T223" s="525" t="str">
        <f>IFERROR(IF(S223="Check Data ⚠","Check Data ⚠",VLOOKUP(S223,'G-4 Temporal multipliers'!$A$4:$C$37,3,FALSE)),"")</f>
        <v/>
      </c>
      <c r="U223" s="523" t="str">
        <f>IF(F223="","",VLOOKUP(F223,'G-3 Multipliers'!$A$2:$E$129,2,FALSE))</f>
        <v/>
      </c>
      <c r="V223" s="520" t="str">
        <f t="shared" si="19"/>
        <v/>
      </c>
      <c r="W223" s="520" t="str">
        <f>IF(E223="","",IF(AND(V223="Standard difficulty applied",O223&gt;P223),U223,IF(AND(V223="Low Difficulty - only applicable if all habitat created before losses ⚠",P223&gt;=O223),"Low",VLOOKUP(F223,'G-3 Multipliers'!$A$2:$E$129,4,FALSE))))</f>
        <v/>
      </c>
      <c r="X223" s="524" t="str">
        <f>IFERROR(IF(E223="","",VLOOKUP(W223, 'G-3 Multipliers'!$P$2:$Q$6,2,FALSE)),"")</f>
        <v/>
      </c>
      <c r="Y223" s="197"/>
      <c r="Z223" s="499" t="str">
        <f>IF(Y223="","",IF(VLOOKUP(Y223,'G-3 Multipliers'!$S$3:$T$9,2,FALSE)=0,"Spatial Data Missing ⚠",VLOOKUP(Y223,'G-3 Multipliers'!$S$3:$T$9,2,FALSE)))</f>
        <v/>
      </c>
      <c r="AA223" s="545" t="str">
        <f t="shared" si="18"/>
        <v/>
      </c>
      <c r="AB223" s="149"/>
      <c r="AC223" s="150"/>
    </row>
    <row r="224" spans="1:29" ht="13.8" x14ac:dyDescent="0.25">
      <c r="A224" s="31" t="str">
        <f>IFERROR(INDEX('G-8 Condition Look up'!$I$4:$I$130,MATCH(F224,'G-8 Condition Look up'!$A$4:$A$130,0)),"")</f>
        <v/>
      </c>
      <c r="C224" s="244" t="str">
        <f>IFERROR(INDEX('G-1 All Habitats'!$AG$3:$AG$15,MATCH(D224,'G-1 All Habitats'!$AF$3:$AF$15,0)),"")</f>
        <v/>
      </c>
      <c r="D224" s="154"/>
      <c r="E224" s="203"/>
      <c r="F224" s="243" t="str">
        <f>IFERROR(INDEX('G-1 All Habitats'!$B$3:$B$129,MATCH(E224,'G-1 All Habitats'!$A$3:$A$129,0)),"")</f>
        <v/>
      </c>
      <c r="G224" s="386"/>
      <c r="H224" s="537" t="str">
        <f>IF(F224="","",VLOOKUP(F224,'G-1 All Habitats'!$B$2:$M$129,10,FALSE))</f>
        <v/>
      </c>
      <c r="I224" s="524" t="str">
        <f>IFERROR(VLOOKUP(H224,'G-1 All Habitats'!$V$3:$W$7,2,FALSE),"")</f>
        <v/>
      </c>
      <c r="J224" s="199"/>
      <c r="K224" s="524" t="str">
        <f>IFERROR(INDEX('G-8 Condition Look up'!$A$3:$H$130,MATCH(F224,'G-8 Condition Look up'!$A$3:$A$130,0),MATCH(J224,'G-8 Condition Look up'!$A$3:$H$3,0)),"")</f>
        <v/>
      </c>
      <c r="L224" s="145"/>
      <c r="M224" s="540" t="str">
        <f>IF(L224="","",IF(VLOOKUP(L224,'G-3 Multipliers'!$L$3:$N$6,2,FALSE)=0,"Spatial Data Missing ⚠",VLOOKUP(L224,'G-3 Multipliers'!$L$3:$N$6,2,FALSE)))</f>
        <v/>
      </c>
      <c r="N224" s="499" t="str">
        <f>IF(L224="","",IF(VLOOKUP(L224,'G-3 Multipliers'!$L$3:$N$6,3,FALSE)=0,"Spatial Data Missing ⚠",VLOOKUP(L224,'G-3 Multipliers'!$L$3:$N$6,3,FALSE)))</f>
        <v/>
      </c>
      <c r="O224" s="498" t="str">
        <f t="shared" si="15"/>
        <v/>
      </c>
      <c r="P224" s="195"/>
      <c r="Q224" s="195"/>
      <c r="R224" s="520" t="str">
        <f t="shared" si="16"/>
        <v/>
      </c>
      <c r="S224" s="544" t="str">
        <f t="shared" si="17"/>
        <v/>
      </c>
      <c r="T224" s="525" t="str">
        <f>IFERROR(IF(S224="Check Data ⚠","Check Data ⚠",VLOOKUP(S224,'G-4 Temporal multipliers'!$A$4:$C$37,3,FALSE)),"")</f>
        <v/>
      </c>
      <c r="U224" s="523" t="str">
        <f>IF(F224="","",VLOOKUP(F224,'G-3 Multipliers'!$A$2:$E$129,2,FALSE))</f>
        <v/>
      </c>
      <c r="V224" s="520" t="str">
        <f t="shared" si="19"/>
        <v/>
      </c>
      <c r="W224" s="520" t="str">
        <f>IF(E224="","",IF(AND(V224="Standard difficulty applied",O224&gt;P224),U224,IF(AND(V224="Low Difficulty - only applicable if all habitat created before losses ⚠",P224&gt;=O224),"Low",VLOOKUP(F224,'G-3 Multipliers'!$A$2:$E$129,4,FALSE))))</f>
        <v/>
      </c>
      <c r="X224" s="524" t="str">
        <f>IFERROR(IF(E224="","",VLOOKUP(W224, 'G-3 Multipliers'!$P$2:$Q$6,2,FALSE)),"")</f>
        <v/>
      </c>
      <c r="Y224" s="197"/>
      <c r="Z224" s="499" t="str">
        <f>IF(Y224="","",IF(VLOOKUP(Y224,'G-3 Multipliers'!$S$3:$T$9,2,FALSE)=0,"Spatial Data Missing ⚠",VLOOKUP(Y224,'G-3 Multipliers'!$S$3:$T$9,2,FALSE)))</f>
        <v/>
      </c>
      <c r="AA224" s="545" t="str">
        <f t="shared" si="18"/>
        <v/>
      </c>
      <c r="AB224" s="149"/>
      <c r="AC224" s="150"/>
    </row>
    <row r="225" spans="1:29" ht="13.8" x14ac:dyDescent="0.25">
      <c r="A225" s="31" t="str">
        <f>IFERROR(INDEX('G-8 Condition Look up'!$I$4:$I$130,MATCH(F225,'G-8 Condition Look up'!$A$4:$A$130,0)),"")</f>
        <v/>
      </c>
      <c r="C225" s="244" t="str">
        <f>IFERROR(INDEX('G-1 All Habitats'!$AG$3:$AG$15,MATCH(D225,'G-1 All Habitats'!$AF$3:$AF$15,0)),"")</f>
        <v/>
      </c>
      <c r="D225" s="154"/>
      <c r="E225" s="203"/>
      <c r="F225" s="243" t="str">
        <f>IFERROR(INDEX('G-1 All Habitats'!$B$3:$B$129,MATCH(E225,'G-1 All Habitats'!$A$3:$A$129,0)),"")</f>
        <v/>
      </c>
      <c r="G225" s="386"/>
      <c r="H225" s="537" t="str">
        <f>IF(F225="","",VLOOKUP(F225,'G-1 All Habitats'!$B$2:$M$129,10,FALSE))</f>
        <v/>
      </c>
      <c r="I225" s="524" t="str">
        <f>IFERROR(VLOOKUP(H225,'G-1 All Habitats'!$V$3:$W$7,2,FALSE),"")</f>
        <v/>
      </c>
      <c r="J225" s="199"/>
      <c r="K225" s="524" t="str">
        <f>IFERROR(INDEX('G-8 Condition Look up'!$A$3:$H$130,MATCH(F225,'G-8 Condition Look up'!$A$3:$A$130,0),MATCH(J225,'G-8 Condition Look up'!$A$3:$H$3,0)),"")</f>
        <v/>
      </c>
      <c r="L225" s="145"/>
      <c r="M225" s="540" t="str">
        <f>IF(L225="","",IF(VLOOKUP(L225,'G-3 Multipliers'!$L$3:$N$6,2,FALSE)=0,"Spatial Data Missing ⚠",VLOOKUP(L225,'G-3 Multipliers'!$L$3:$N$6,2,FALSE)))</f>
        <v/>
      </c>
      <c r="N225" s="499" t="str">
        <f>IF(L225="","",IF(VLOOKUP(L225,'G-3 Multipliers'!$L$3:$N$6,3,FALSE)=0,"Spatial Data Missing ⚠",VLOOKUP(L225,'G-3 Multipliers'!$L$3:$N$6,3,FALSE)))</f>
        <v/>
      </c>
      <c r="O225" s="498" t="str">
        <f t="shared" si="15"/>
        <v/>
      </c>
      <c r="P225" s="195"/>
      <c r="Q225" s="195"/>
      <c r="R225" s="520" t="str">
        <f t="shared" si="16"/>
        <v/>
      </c>
      <c r="S225" s="544" t="str">
        <f t="shared" si="17"/>
        <v/>
      </c>
      <c r="T225" s="525" t="str">
        <f>IFERROR(IF(S225="Check Data ⚠","Check Data ⚠",VLOOKUP(S225,'G-4 Temporal multipliers'!$A$4:$C$37,3,FALSE)),"")</f>
        <v/>
      </c>
      <c r="U225" s="523" t="str">
        <f>IF(F225="","",VLOOKUP(F225,'G-3 Multipliers'!$A$2:$E$129,2,FALSE))</f>
        <v/>
      </c>
      <c r="V225" s="520" t="str">
        <f t="shared" si="19"/>
        <v/>
      </c>
      <c r="W225" s="520" t="str">
        <f>IF(E225="","",IF(AND(V225="Standard difficulty applied",O225&gt;P225),U225,IF(AND(V225="Low Difficulty - only applicable if all habitat created before losses ⚠",P225&gt;=O225),"Low",VLOOKUP(F225,'G-3 Multipliers'!$A$2:$E$129,4,FALSE))))</f>
        <v/>
      </c>
      <c r="X225" s="524" t="str">
        <f>IFERROR(IF(E225="","",VLOOKUP(W225, 'G-3 Multipliers'!$P$2:$Q$6,2,FALSE)),"")</f>
        <v/>
      </c>
      <c r="Y225" s="197"/>
      <c r="Z225" s="499" t="str">
        <f>IF(Y225="","",IF(VLOOKUP(Y225,'G-3 Multipliers'!$S$3:$T$9,2,FALSE)=0,"Spatial Data Missing ⚠",VLOOKUP(Y225,'G-3 Multipliers'!$S$3:$T$9,2,FALSE)))</f>
        <v/>
      </c>
      <c r="AA225" s="545" t="str">
        <f t="shared" si="18"/>
        <v/>
      </c>
      <c r="AB225" s="149"/>
      <c r="AC225" s="150"/>
    </row>
    <row r="226" spans="1:29" ht="13.8" x14ac:dyDescent="0.25">
      <c r="A226" s="31" t="str">
        <f>IFERROR(INDEX('G-8 Condition Look up'!$I$4:$I$130,MATCH(F226,'G-8 Condition Look up'!$A$4:$A$130,0)),"")</f>
        <v/>
      </c>
      <c r="C226" s="244" t="str">
        <f>IFERROR(INDEX('G-1 All Habitats'!$AG$3:$AG$15,MATCH(D226,'G-1 All Habitats'!$AF$3:$AF$15,0)),"")</f>
        <v/>
      </c>
      <c r="D226" s="154"/>
      <c r="E226" s="203"/>
      <c r="F226" s="243" t="str">
        <f>IFERROR(INDEX('G-1 All Habitats'!$B$3:$B$129,MATCH(E226,'G-1 All Habitats'!$A$3:$A$129,0)),"")</f>
        <v/>
      </c>
      <c r="G226" s="386"/>
      <c r="H226" s="537" t="str">
        <f>IF(F226="","",VLOOKUP(F226,'G-1 All Habitats'!$B$2:$M$129,10,FALSE))</f>
        <v/>
      </c>
      <c r="I226" s="524" t="str">
        <f>IFERROR(VLOOKUP(H226,'G-1 All Habitats'!$V$3:$W$7,2,FALSE),"")</f>
        <v/>
      </c>
      <c r="J226" s="199"/>
      <c r="K226" s="524" t="str">
        <f>IFERROR(INDEX('G-8 Condition Look up'!$A$3:$H$130,MATCH(F226,'G-8 Condition Look up'!$A$3:$A$130,0),MATCH(J226,'G-8 Condition Look up'!$A$3:$H$3,0)),"")</f>
        <v/>
      </c>
      <c r="L226" s="145"/>
      <c r="M226" s="540" t="str">
        <f>IF(L226="","",IF(VLOOKUP(L226,'G-3 Multipliers'!$L$3:$N$6,2,FALSE)=0,"Spatial Data Missing ⚠",VLOOKUP(L226,'G-3 Multipliers'!$L$3:$N$6,2,FALSE)))</f>
        <v/>
      </c>
      <c r="N226" s="499" t="str">
        <f>IF(L226="","",IF(VLOOKUP(L226,'G-3 Multipliers'!$L$3:$N$6,3,FALSE)=0,"Spatial Data Missing ⚠",VLOOKUP(L226,'G-3 Multipliers'!$L$3:$N$6,3,FALSE)))</f>
        <v/>
      </c>
      <c r="O226" s="498" t="str">
        <f t="shared" si="15"/>
        <v/>
      </c>
      <c r="P226" s="195"/>
      <c r="Q226" s="195"/>
      <c r="R226" s="520" t="str">
        <f t="shared" si="16"/>
        <v/>
      </c>
      <c r="S226" s="544" t="str">
        <f t="shared" si="17"/>
        <v/>
      </c>
      <c r="T226" s="525" t="str">
        <f>IFERROR(IF(S226="Check Data ⚠","Check Data ⚠",VLOOKUP(S226,'G-4 Temporal multipliers'!$A$4:$C$37,3,FALSE)),"")</f>
        <v/>
      </c>
      <c r="U226" s="523" t="str">
        <f>IF(F226="","",VLOOKUP(F226,'G-3 Multipliers'!$A$2:$E$129,2,FALSE))</f>
        <v/>
      </c>
      <c r="V226" s="520" t="str">
        <f t="shared" si="19"/>
        <v/>
      </c>
      <c r="W226" s="520" t="str">
        <f>IF(E226="","",IF(AND(V226="Standard difficulty applied",O226&gt;P226),U226,IF(AND(V226="Low Difficulty - only applicable if all habitat created before losses ⚠",P226&gt;=O226),"Low",VLOOKUP(F226,'G-3 Multipliers'!$A$2:$E$129,4,FALSE))))</f>
        <v/>
      </c>
      <c r="X226" s="524" t="str">
        <f>IFERROR(IF(E226="","",VLOOKUP(W226, 'G-3 Multipliers'!$P$2:$Q$6,2,FALSE)),"")</f>
        <v/>
      </c>
      <c r="Y226" s="197"/>
      <c r="Z226" s="499" t="str">
        <f>IF(Y226="","",IF(VLOOKUP(Y226,'G-3 Multipliers'!$S$3:$T$9,2,FALSE)=0,"Spatial Data Missing ⚠",VLOOKUP(Y226,'G-3 Multipliers'!$S$3:$T$9,2,FALSE)))</f>
        <v/>
      </c>
      <c r="AA226" s="545" t="str">
        <f t="shared" si="18"/>
        <v/>
      </c>
      <c r="AB226" s="149"/>
      <c r="AC226" s="150"/>
    </row>
    <row r="227" spans="1:29" ht="13.8" x14ac:dyDescent="0.25">
      <c r="A227" s="31" t="str">
        <f>IFERROR(INDEX('G-8 Condition Look up'!$I$4:$I$130,MATCH(F227,'G-8 Condition Look up'!$A$4:$A$130,0)),"")</f>
        <v/>
      </c>
      <c r="C227" s="244" t="str">
        <f>IFERROR(INDEX('G-1 All Habitats'!$AG$3:$AG$15,MATCH(D227,'G-1 All Habitats'!$AF$3:$AF$15,0)),"")</f>
        <v/>
      </c>
      <c r="D227" s="154"/>
      <c r="E227" s="203"/>
      <c r="F227" s="243" t="str">
        <f>IFERROR(INDEX('G-1 All Habitats'!$B$3:$B$129,MATCH(E227,'G-1 All Habitats'!$A$3:$A$129,0)),"")</f>
        <v/>
      </c>
      <c r="G227" s="386"/>
      <c r="H227" s="537" t="str">
        <f>IF(F227="","",VLOOKUP(F227,'G-1 All Habitats'!$B$2:$M$129,10,FALSE))</f>
        <v/>
      </c>
      <c r="I227" s="524" t="str">
        <f>IFERROR(VLOOKUP(H227,'G-1 All Habitats'!$V$3:$W$7,2,FALSE),"")</f>
        <v/>
      </c>
      <c r="J227" s="199"/>
      <c r="K227" s="524" t="str">
        <f>IFERROR(INDEX('G-8 Condition Look up'!$A$3:$H$130,MATCH(F227,'G-8 Condition Look up'!$A$3:$A$130,0),MATCH(J227,'G-8 Condition Look up'!$A$3:$H$3,0)),"")</f>
        <v/>
      </c>
      <c r="L227" s="145"/>
      <c r="M227" s="540" t="str">
        <f>IF(L227="","",IF(VLOOKUP(L227,'G-3 Multipliers'!$L$3:$N$6,2,FALSE)=0,"Spatial Data Missing ⚠",VLOOKUP(L227,'G-3 Multipliers'!$L$3:$N$6,2,FALSE)))</f>
        <v/>
      </c>
      <c r="N227" s="499" t="str">
        <f>IF(L227="","",IF(VLOOKUP(L227,'G-3 Multipliers'!$L$3:$N$6,3,FALSE)=0,"Spatial Data Missing ⚠",VLOOKUP(L227,'G-3 Multipliers'!$L$3:$N$6,3,FALSE)))</f>
        <v/>
      </c>
      <c r="O227" s="498" t="str">
        <f t="shared" si="15"/>
        <v/>
      </c>
      <c r="P227" s="195"/>
      <c r="Q227" s="195"/>
      <c r="R227" s="520" t="str">
        <f t="shared" si="16"/>
        <v/>
      </c>
      <c r="S227" s="544" t="str">
        <f t="shared" si="17"/>
        <v/>
      </c>
      <c r="T227" s="525" t="str">
        <f>IFERROR(IF(S227="Check Data ⚠","Check Data ⚠",VLOOKUP(S227,'G-4 Temporal multipliers'!$A$4:$C$37,3,FALSE)),"")</f>
        <v/>
      </c>
      <c r="U227" s="523" t="str">
        <f>IF(F227="","",VLOOKUP(F227,'G-3 Multipliers'!$A$2:$E$129,2,FALSE))</f>
        <v/>
      </c>
      <c r="V227" s="520" t="str">
        <f t="shared" si="19"/>
        <v/>
      </c>
      <c r="W227" s="520" t="str">
        <f>IF(E227="","",IF(AND(V227="Standard difficulty applied",O227&gt;P227),U227,IF(AND(V227="Low Difficulty - only applicable if all habitat created before losses ⚠",P227&gt;=O227),"Low",VLOOKUP(F227,'G-3 Multipliers'!$A$2:$E$129,4,FALSE))))</f>
        <v/>
      </c>
      <c r="X227" s="524" t="str">
        <f>IFERROR(IF(E227="","",VLOOKUP(W227, 'G-3 Multipliers'!$P$2:$Q$6,2,FALSE)),"")</f>
        <v/>
      </c>
      <c r="Y227" s="197"/>
      <c r="Z227" s="499" t="str">
        <f>IF(Y227="","",IF(VLOOKUP(Y227,'G-3 Multipliers'!$S$3:$T$9,2,FALSE)=0,"Spatial Data Missing ⚠",VLOOKUP(Y227,'G-3 Multipliers'!$S$3:$T$9,2,FALSE)))</f>
        <v/>
      </c>
      <c r="AA227" s="545" t="str">
        <f t="shared" si="18"/>
        <v/>
      </c>
      <c r="AB227" s="149"/>
      <c r="AC227" s="150"/>
    </row>
    <row r="228" spans="1:29" ht="13.8" x14ac:dyDescent="0.25">
      <c r="A228" s="31" t="str">
        <f>IFERROR(INDEX('G-8 Condition Look up'!$I$4:$I$130,MATCH(F228,'G-8 Condition Look up'!$A$4:$A$130,0)),"")</f>
        <v/>
      </c>
      <c r="C228" s="244" t="str">
        <f>IFERROR(INDEX('G-1 All Habitats'!$AG$3:$AG$15,MATCH(D228,'G-1 All Habitats'!$AF$3:$AF$15,0)),"")</f>
        <v/>
      </c>
      <c r="D228" s="154"/>
      <c r="E228" s="203"/>
      <c r="F228" s="243" t="str">
        <f>IFERROR(INDEX('G-1 All Habitats'!$B$3:$B$129,MATCH(E228,'G-1 All Habitats'!$A$3:$A$129,0)),"")</f>
        <v/>
      </c>
      <c r="G228" s="386"/>
      <c r="H228" s="537" t="str">
        <f>IF(F228="","",VLOOKUP(F228,'G-1 All Habitats'!$B$2:$M$129,10,FALSE))</f>
        <v/>
      </c>
      <c r="I228" s="524" t="str">
        <f>IFERROR(VLOOKUP(H228,'G-1 All Habitats'!$V$3:$W$7,2,FALSE),"")</f>
        <v/>
      </c>
      <c r="J228" s="199"/>
      <c r="K228" s="524" t="str">
        <f>IFERROR(INDEX('G-8 Condition Look up'!$A$3:$H$130,MATCH(F228,'G-8 Condition Look up'!$A$3:$A$130,0),MATCH(J228,'G-8 Condition Look up'!$A$3:$H$3,0)),"")</f>
        <v/>
      </c>
      <c r="L228" s="145"/>
      <c r="M228" s="540" t="str">
        <f>IF(L228="","",IF(VLOOKUP(L228,'G-3 Multipliers'!$L$3:$N$6,2,FALSE)=0,"Spatial Data Missing ⚠",VLOOKUP(L228,'G-3 Multipliers'!$L$3:$N$6,2,FALSE)))</f>
        <v/>
      </c>
      <c r="N228" s="499" t="str">
        <f>IF(L228="","",IF(VLOOKUP(L228,'G-3 Multipliers'!$L$3:$N$6,3,FALSE)=0,"Spatial Data Missing ⚠",VLOOKUP(L228,'G-3 Multipliers'!$L$3:$N$6,3,FALSE)))</f>
        <v/>
      </c>
      <c r="O228" s="498" t="str">
        <f t="shared" si="15"/>
        <v/>
      </c>
      <c r="P228" s="195"/>
      <c r="Q228" s="195"/>
      <c r="R228" s="520" t="str">
        <f t="shared" si="16"/>
        <v/>
      </c>
      <c r="S228" s="544" t="str">
        <f t="shared" si="17"/>
        <v/>
      </c>
      <c r="T228" s="525" t="str">
        <f>IFERROR(IF(S228="Check Data ⚠","Check Data ⚠",VLOOKUP(S228,'G-4 Temporal multipliers'!$A$4:$C$37,3,FALSE)),"")</f>
        <v/>
      </c>
      <c r="U228" s="523" t="str">
        <f>IF(F228="","",VLOOKUP(F228,'G-3 Multipliers'!$A$2:$E$129,2,FALSE))</f>
        <v/>
      </c>
      <c r="V228" s="520" t="str">
        <f t="shared" si="19"/>
        <v/>
      </c>
      <c r="W228" s="520" t="str">
        <f>IF(E228="","",IF(AND(V228="Standard difficulty applied",O228&gt;P228),U228,IF(AND(V228="Low Difficulty - only applicable if all habitat created before losses ⚠",P228&gt;=O228),"Low",VLOOKUP(F228,'G-3 Multipliers'!$A$2:$E$129,4,FALSE))))</f>
        <v/>
      </c>
      <c r="X228" s="524" t="str">
        <f>IFERROR(IF(E228="","",VLOOKUP(W228, 'G-3 Multipliers'!$P$2:$Q$6,2,FALSE)),"")</f>
        <v/>
      </c>
      <c r="Y228" s="197"/>
      <c r="Z228" s="499" t="str">
        <f>IF(Y228="","",IF(VLOOKUP(Y228,'G-3 Multipliers'!$S$3:$T$9,2,FALSE)=0,"Spatial Data Missing ⚠",VLOOKUP(Y228,'G-3 Multipliers'!$S$3:$T$9,2,FALSE)))</f>
        <v/>
      </c>
      <c r="AA228" s="545" t="str">
        <f t="shared" si="18"/>
        <v/>
      </c>
      <c r="AB228" s="149"/>
      <c r="AC228" s="150"/>
    </row>
    <row r="229" spans="1:29" ht="13.8" x14ac:dyDescent="0.25">
      <c r="A229" s="31" t="str">
        <f>IFERROR(INDEX('G-8 Condition Look up'!$I$4:$I$130,MATCH(F229,'G-8 Condition Look up'!$A$4:$A$130,0)),"")</f>
        <v/>
      </c>
      <c r="C229" s="244" t="str">
        <f>IFERROR(INDEX('G-1 All Habitats'!$AG$3:$AG$15,MATCH(D229,'G-1 All Habitats'!$AF$3:$AF$15,0)),"")</f>
        <v/>
      </c>
      <c r="D229" s="154"/>
      <c r="E229" s="203"/>
      <c r="F229" s="243" t="str">
        <f>IFERROR(INDEX('G-1 All Habitats'!$B$3:$B$129,MATCH(E229,'G-1 All Habitats'!$A$3:$A$129,0)),"")</f>
        <v/>
      </c>
      <c r="G229" s="386"/>
      <c r="H229" s="537" t="str">
        <f>IF(F229="","",VLOOKUP(F229,'G-1 All Habitats'!$B$2:$M$129,10,FALSE))</f>
        <v/>
      </c>
      <c r="I229" s="524" t="str">
        <f>IFERROR(VLOOKUP(H229,'G-1 All Habitats'!$V$3:$W$7,2,FALSE),"")</f>
        <v/>
      </c>
      <c r="J229" s="199"/>
      <c r="K229" s="524" t="str">
        <f>IFERROR(INDEX('G-8 Condition Look up'!$A$3:$H$130,MATCH(F229,'G-8 Condition Look up'!$A$3:$A$130,0),MATCH(J229,'G-8 Condition Look up'!$A$3:$H$3,0)),"")</f>
        <v/>
      </c>
      <c r="L229" s="145"/>
      <c r="M229" s="540" t="str">
        <f>IF(L229="","",IF(VLOOKUP(L229,'G-3 Multipliers'!$L$3:$N$6,2,FALSE)=0,"Spatial Data Missing ⚠",VLOOKUP(L229,'G-3 Multipliers'!$L$3:$N$6,2,FALSE)))</f>
        <v/>
      </c>
      <c r="N229" s="499" t="str">
        <f>IF(L229="","",IF(VLOOKUP(L229,'G-3 Multipliers'!$L$3:$N$6,3,FALSE)=0,"Spatial Data Missing ⚠",VLOOKUP(L229,'G-3 Multipliers'!$L$3:$N$6,3,FALSE)))</f>
        <v/>
      </c>
      <c r="O229" s="498" t="str">
        <f t="shared" si="15"/>
        <v/>
      </c>
      <c r="P229" s="195"/>
      <c r="Q229" s="195"/>
      <c r="R229" s="520" t="str">
        <f t="shared" si="16"/>
        <v/>
      </c>
      <c r="S229" s="544" t="str">
        <f t="shared" si="17"/>
        <v/>
      </c>
      <c r="T229" s="525" t="str">
        <f>IFERROR(IF(S229="Check Data ⚠","Check Data ⚠",VLOOKUP(S229,'G-4 Temporal multipliers'!$A$4:$C$37,3,FALSE)),"")</f>
        <v/>
      </c>
      <c r="U229" s="523" t="str">
        <f>IF(F229="","",VLOOKUP(F229,'G-3 Multipliers'!$A$2:$E$129,2,FALSE))</f>
        <v/>
      </c>
      <c r="V229" s="520" t="str">
        <f t="shared" si="19"/>
        <v/>
      </c>
      <c r="W229" s="520" t="str">
        <f>IF(E229="","",IF(AND(V229="Standard difficulty applied",O229&gt;P229),U229,IF(AND(V229="Low Difficulty - only applicable if all habitat created before losses ⚠",P229&gt;=O229),"Low",VLOOKUP(F229,'G-3 Multipliers'!$A$2:$E$129,4,FALSE))))</f>
        <v/>
      </c>
      <c r="X229" s="524" t="str">
        <f>IFERROR(IF(E229="","",VLOOKUP(W229, 'G-3 Multipliers'!$P$2:$Q$6,2,FALSE)),"")</f>
        <v/>
      </c>
      <c r="Y229" s="197"/>
      <c r="Z229" s="499" t="str">
        <f>IF(Y229="","",IF(VLOOKUP(Y229,'G-3 Multipliers'!$S$3:$T$9,2,FALSE)=0,"Spatial Data Missing ⚠",VLOOKUP(Y229,'G-3 Multipliers'!$S$3:$T$9,2,FALSE)))</f>
        <v/>
      </c>
      <c r="AA229" s="545" t="str">
        <f t="shared" si="18"/>
        <v/>
      </c>
      <c r="AB229" s="149"/>
      <c r="AC229" s="150"/>
    </row>
    <row r="230" spans="1:29" ht="13.8" x14ac:dyDescent="0.25">
      <c r="A230" s="31" t="str">
        <f>IFERROR(INDEX('G-8 Condition Look up'!$I$4:$I$130,MATCH(F230,'G-8 Condition Look up'!$A$4:$A$130,0)),"")</f>
        <v/>
      </c>
      <c r="C230" s="244" t="str">
        <f>IFERROR(INDEX('G-1 All Habitats'!$AG$3:$AG$15,MATCH(D230,'G-1 All Habitats'!$AF$3:$AF$15,0)),"")</f>
        <v/>
      </c>
      <c r="D230" s="154"/>
      <c r="E230" s="203"/>
      <c r="F230" s="243" t="str">
        <f>IFERROR(INDEX('G-1 All Habitats'!$B$3:$B$129,MATCH(E230,'G-1 All Habitats'!$A$3:$A$129,0)),"")</f>
        <v/>
      </c>
      <c r="G230" s="386"/>
      <c r="H230" s="537" t="str">
        <f>IF(F230="","",VLOOKUP(F230,'G-1 All Habitats'!$B$2:$M$129,10,FALSE))</f>
        <v/>
      </c>
      <c r="I230" s="524" t="str">
        <f>IFERROR(VLOOKUP(H230,'G-1 All Habitats'!$V$3:$W$7,2,FALSE),"")</f>
        <v/>
      </c>
      <c r="J230" s="199"/>
      <c r="K230" s="524" t="str">
        <f>IFERROR(INDEX('G-8 Condition Look up'!$A$3:$H$130,MATCH(F230,'G-8 Condition Look up'!$A$3:$A$130,0),MATCH(J230,'G-8 Condition Look up'!$A$3:$H$3,0)),"")</f>
        <v/>
      </c>
      <c r="L230" s="145"/>
      <c r="M230" s="540" t="str">
        <f>IF(L230="","",IF(VLOOKUP(L230,'G-3 Multipliers'!$L$3:$N$6,2,FALSE)=0,"Spatial Data Missing ⚠",VLOOKUP(L230,'G-3 Multipliers'!$L$3:$N$6,2,FALSE)))</f>
        <v/>
      </c>
      <c r="N230" s="499" t="str">
        <f>IF(L230="","",IF(VLOOKUP(L230,'G-3 Multipliers'!$L$3:$N$6,3,FALSE)=0,"Spatial Data Missing ⚠",VLOOKUP(L230,'G-3 Multipliers'!$L$3:$N$6,3,FALSE)))</f>
        <v/>
      </c>
      <c r="O230" s="498" t="str">
        <f t="shared" si="15"/>
        <v/>
      </c>
      <c r="P230" s="195"/>
      <c r="Q230" s="195"/>
      <c r="R230" s="520" t="str">
        <f t="shared" si="16"/>
        <v/>
      </c>
      <c r="S230" s="544" t="str">
        <f t="shared" si="17"/>
        <v/>
      </c>
      <c r="T230" s="525" t="str">
        <f>IFERROR(IF(S230="Check Data ⚠","Check Data ⚠",VLOOKUP(S230,'G-4 Temporal multipliers'!$A$4:$C$37,3,FALSE)),"")</f>
        <v/>
      </c>
      <c r="U230" s="523" t="str">
        <f>IF(F230="","",VLOOKUP(F230,'G-3 Multipliers'!$A$2:$E$129,2,FALSE))</f>
        <v/>
      </c>
      <c r="V230" s="520" t="str">
        <f t="shared" si="19"/>
        <v/>
      </c>
      <c r="W230" s="520" t="str">
        <f>IF(E230="","",IF(AND(V230="Standard difficulty applied",O230&gt;P230),U230,IF(AND(V230="Low Difficulty - only applicable if all habitat created before losses ⚠",P230&gt;=O230),"Low",VLOOKUP(F230,'G-3 Multipliers'!$A$2:$E$129,4,FALSE))))</f>
        <v/>
      </c>
      <c r="X230" s="524" t="str">
        <f>IFERROR(IF(E230="","",VLOOKUP(W230, 'G-3 Multipliers'!$P$2:$Q$6,2,FALSE)),"")</f>
        <v/>
      </c>
      <c r="Y230" s="197"/>
      <c r="Z230" s="499" t="str">
        <f>IF(Y230="","",IF(VLOOKUP(Y230,'G-3 Multipliers'!$S$3:$T$9,2,FALSE)=0,"Spatial Data Missing ⚠",VLOOKUP(Y230,'G-3 Multipliers'!$S$3:$T$9,2,FALSE)))</f>
        <v/>
      </c>
      <c r="AA230" s="545" t="str">
        <f t="shared" si="18"/>
        <v/>
      </c>
      <c r="AB230" s="149"/>
      <c r="AC230" s="150"/>
    </row>
    <row r="231" spans="1:29" ht="13.8" x14ac:dyDescent="0.25">
      <c r="A231" s="31" t="str">
        <f>IFERROR(INDEX('G-8 Condition Look up'!$I$4:$I$130,MATCH(F231,'G-8 Condition Look up'!$A$4:$A$130,0)),"")</f>
        <v/>
      </c>
      <c r="C231" s="244" t="str">
        <f>IFERROR(INDEX('G-1 All Habitats'!$AG$3:$AG$15,MATCH(D231,'G-1 All Habitats'!$AF$3:$AF$15,0)),"")</f>
        <v/>
      </c>
      <c r="D231" s="154"/>
      <c r="E231" s="203"/>
      <c r="F231" s="243" t="str">
        <f>IFERROR(INDEX('G-1 All Habitats'!$B$3:$B$129,MATCH(E231,'G-1 All Habitats'!$A$3:$A$129,0)),"")</f>
        <v/>
      </c>
      <c r="G231" s="386"/>
      <c r="H231" s="537" t="str">
        <f>IF(F231="","",VLOOKUP(F231,'G-1 All Habitats'!$B$2:$M$129,10,FALSE))</f>
        <v/>
      </c>
      <c r="I231" s="524" t="str">
        <f>IFERROR(VLOOKUP(H231,'G-1 All Habitats'!$V$3:$W$7,2,FALSE),"")</f>
        <v/>
      </c>
      <c r="J231" s="199"/>
      <c r="K231" s="524" t="str">
        <f>IFERROR(INDEX('G-8 Condition Look up'!$A$3:$H$130,MATCH(F231,'G-8 Condition Look up'!$A$3:$A$130,0),MATCH(J231,'G-8 Condition Look up'!$A$3:$H$3,0)),"")</f>
        <v/>
      </c>
      <c r="L231" s="145"/>
      <c r="M231" s="540" t="str">
        <f>IF(L231="","",IF(VLOOKUP(L231,'G-3 Multipliers'!$L$3:$N$6,2,FALSE)=0,"Spatial Data Missing ⚠",VLOOKUP(L231,'G-3 Multipliers'!$L$3:$N$6,2,FALSE)))</f>
        <v/>
      </c>
      <c r="N231" s="499" t="str">
        <f>IF(L231="","",IF(VLOOKUP(L231,'G-3 Multipliers'!$L$3:$N$6,3,FALSE)=0,"Spatial Data Missing ⚠",VLOOKUP(L231,'G-3 Multipliers'!$L$3:$N$6,3,FALSE)))</f>
        <v/>
      </c>
      <c r="O231" s="498" t="str">
        <f t="shared" si="15"/>
        <v/>
      </c>
      <c r="P231" s="195"/>
      <c r="Q231" s="195"/>
      <c r="R231" s="520" t="str">
        <f t="shared" si="16"/>
        <v/>
      </c>
      <c r="S231" s="544" t="str">
        <f t="shared" si="17"/>
        <v/>
      </c>
      <c r="T231" s="525" t="str">
        <f>IFERROR(IF(S231="Check Data ⚠","Check Data ⚠",VLOOKUP(S231,'G-4 Temporal multipliers'!$A$4:$C$37,3,FALSE)),"")</f>
        <v/>
      </c>
      <c r="U231" s="523" t="str">
        <f>IF(F231="","",VLOOKUP(F231,'G-3 Multipliers'!$A$2:$E$129,2,FALSE))</f>
        <v/>
      </c>
      <c r="V231" s="520" t="str">
        <f t="shared" si="19"/>
        <v/>
      </c>
      <c r="W231" s="520" t="str">
        <f>IF(E231="","",IF(AND(V231="Standard difficulty applied",O231&gt;P231),U231,IF(AND(V231="Low Difficulty - only applicable if all habitat created before losses ⚠",P231&gt;=O231),"Low",VLOOKUP(F231,'G-3 Multipliers'!$A$2:$E$129,4,FALSE))))</f>
        <v/>
      </c>
      <c r="X231" s="524" t="str">
        <f>IFERROR(IF(E231="","",VLOOKUP(W231, 'G-3 Multipliers'!$P$2:$Q$6,2,FALSE)),"")</f>
        <v/>
      </c>
      <c r="Y231" s="197"/>
      <c r="Z231" s="499" t="str">
        <f>IF(Y231="","",IF(VLOOKUP(Y231,'G-3 Multipliers'!$S$3:$T$9,2,FALSE)=0,"Spatial Data Missing ⚠",VLOOKUP(Y231,'G-3 Multipliers'!$S$3:$T$9,2,FALSE)))</f>
        <v/>
      </c>
      <c r="AA231" s="545" t="str">
        <f t="shared" si="18"/>
        <v/>
      </c>
      <c r="AB231" s="149"/>
      <c r="AC231" s="150"/>
    </row>
    <row r="232" spans="1:29" ht="13.8" x14ac:dyDescent="0.25">
      <c r="A232" s="31" t="str">
        <f>IFERROR(INDEX('G-8 Condition Look up'!$I$4:$I$130,MATCH(F232,'G-8 Condition Look up'!$A$4:$A$130,0)),"")</f>
        <v/>
      </c>
      <c r="C232" s="244" t="str">
        <f>IFERROR(INDEX('G-1 All Habitats'!$AG$3:$AG$15,MATCH(D232,'G-1 All Habitats'!$AF$3:$AF$15,0)),"")</f>
        <v/>
      </c>
      <c r="D232" s="154"/>
      <c r="E232" s="203"/>
      <c r="F232" s="243" t="str">
        <f>IFERROR(INDEX('G-1 All Habitats'!$B$3:$B$129,MATCH(E232,'G-1 All Habitats'!$A$3:$A$129,0)),"")</f>
        <v/>
      </c>
      <c r="G232" s="386"/>
      <c r="H232" s="537" t="str">
        <f>IF(F232="","",VLOOKUP(F232,'G-1 All Habitats'!$B$2:$M$129,10,FALSE))</f>
        <v/>
      </c>
      <c r="I232" s="524" t="str">
        <f>IFERROR(VLOOKUP(H232,'G-1 All Habitats'!$V$3:$W$7,2,FALSE),"")</f>
        <v/>
      </c>
      <c r="J232" s="199"/>
      <c r="K232" s="524" t="str">
        <f>IFERROR(INDEX('G-8 Condition Look up'!$A$3:$H$130,MATCH(F232,'G-8 Condition Look up'!$A$3:$A$130,0),MATCH(J232,'G-8 Condition Look up'!$A$3:$H$3,0)),"")</f>
        <v/>
      </c>
      <c r="L232" s="145"/>
      <c r="M232" s="540" t="str">
        <f>IF(L232="","",IF(VLOOKUP(L232,'G-3 Multipliers'!$L$3:$N$6,2,FALSE)=0,"Spatial Data Missing ⚠",VLOOKUP(L232,'G-3 Multipliers'!$L$3:$N$6,2,FALSE)))</f>
        <v/>
      </c>
      <c r="N232" s="499" t="str">
        <f>IF(L232="","",IF(VLOOKUP(L232,'G-3 Multipliers'!$L$3:$N$6,3,FALSE)=0,"Spatial Data Missing ⚠",VLOOKUP(L232,'G-3 Multipliers'!$L$3:$N$6,3,FALSE)))</f>
        <v/>
      </c>
      <c r="O232" s="498" t="str">
        <f t="shared" si="15"/>
        <v/>
      </c>
      <c r="P232" s="195"/>
      <c r="Q232" s="195"/>
      <c r="R232" s="520" t="str">
        <f t="shared" si="16"/>
        <v/>
      </c>
      <c r="S232" s="544" t="str">
        <f t="shared" si="17"/>
        <v/>
      </c>
      <c r="T232" s="525" t="str">
        <f>IFERROR(IF(S232="Check Data ⚠","Check Data ⚠",VLOOKUP(S232,'G-4 Temporal multipliers'!$A$4:$C$37,3,FALSE)),"")</f>
        <v/>
      </c>
      <c r="U232" s="523" t="str">
        <f>IF(F232="","",VLOOKUP(F232,'G-3 Multipliers'!$A$2:$E$129,2,FALSE))</f>
        <v/>
      </c>
      <c r="V232" s="520" t="str">
        <f t="shared" si="19"/>
        <v/>
      </c>
      <c r="W232" s="520" t="str">
        <f>IF(E232="","",IF(AND(V232="Standard difficulty applied",O232&gt;P232),U232,IF(AND(V232="Low Difficulty - only applicable if all habitat created before losses ⚠",P232&gt;=O232),"Low",VLOOKUP(F232,'G-3 Multipliers'!$A$2:$E$129,4,FALSE))))</f>
        <v/>
      </c>
      <c r="X232" s="524" t="str">
        <f>IFERROR(IF(E232="","",VLOOKUP(W232, 'G-3 Multipliers'!$P$2:$Q$6,2,FALSE)),"")</f>
        <v/>
      </c>
      <c r="Y232" s="197"/>
      <c r="Z232" s="499" t="str">
        <f>IF(Y232="","",IF(VLOOKUP(Y232,'G-3 Multipliers'!$S$3:$T$9,2,FALSE)=0,"Spatial Data Missing ⚠",VLOOKUP(Y232,'G-3 Multipliers'!$S$3:$T$9,2,FALSE)))</f>
        <v/>
      </c>
      <c r="AA232" s="545" t="str">
        <f t="shared" si="18"/>
        <v/>
      </c>
      <c r="AB232" s="149"/>
      <c r="AC232" s="150"/>
    </row>
    <row r="233" spans="1:29" ht="13.8" x14ac:dyDescent="0.25">
      <c r="A233" s="31" t="str">
        <f>IFERROR(INDEX('G-8 Condition Look up'!$I$4:$I$130,MATCH(F233,'G-8 Condition Look up'!$A$4:$A$130,0)),"")</f>
        <v/>
      </c>
      <c r="C233" s="244" t="str">
        <f>IFERROR(INDEX('G-1 All Habitats'!$AG$3:$AG$15,MATCH(D233,'G-1 All Habitats'!$AF$3:$AF$15,0)),"")</f>
        <v/>
      </c>
      <c r="D233" s="154"/>
      <c r="E233" s="203"/>
      <c r="F233" s="243" t="str">
        <f>IFERROR(INDEX('G-1 All Habitats'!$B$3:$B$129,MATCH(E233,'G-1 All Habitats'!$A$3:$A$129,0)),"")</f>
        <v/>
      </c>
      <c r="G233" s="386"/>
      <c r="H233" s="537" t="str">
        <f>IF(F233="","",VLOOKUP(F233,'G-1 All Habitats'!$B$2:$M$129,10,FALSE))</f>
        <v/>
      </c>
      <c r="I233" s="524" t="str">
        <f>IFERROR(VLOOKUP(H233,'G-1 All Habitats'!$V$3:$W$7,2,FALSE),"")</f>
        <v/>
      </c>
      <c r="J233" s="199"/>
      <c r="K233" s="524" t="str">
        <f>IFERROR(INDEX('G-8 Condition Look up'!$A$3:$H$130,MATCH(F233,'G-8 Condition Look up'!$A$3:$A$130,0),MATCH(J233,'G-8 Condition Look up'!$A$3:$H$3,0)),"")</f>
        <v/>
      </c>
      <c r="L233" s="145"/>
      <c r="M233" s="540" t="str">
        <f>IF(L233="","",IF(VLOOKUP(L233,'G-3 Multipliers'!$L$3:$N$6,2,FALSE)=0,"Spatial Data Missing ⚠",VLOOKUP(L233,'G-3 Multipliers'!$L$3:$N$6,2,FALSE)))</f>
        <v/>
      </c>
      <c r="N233" s="499" t="str">
        <f>IF(L233="","",IF(VLOOKUP(L233,'G-3 Multipliers'!$L$3:$N$6,3,FALSE)=0,"Spatial Data Missing ⚠",VLOOKUP(L233,'G-3 Multipliers'!$L$3:$N$6,3,FALSE)))</f>
        <v/>
      </c>
      <c r="O233" s="498" t="str">
        <f t="shared" si="15"/>
        <v/>
      </c>
      <c r="P233" s="195"/>
      <c r="Q233" s="195"/>
      <c r="R233" s="520" t="str">
        <f t="shared" si="16"/>
        <v/>
      </c>
      <c r="S233" s="544" t="str">
        <f t="shared" si="17"/>
        <v/>
      </c>
      <c r="T233" s="525" t="str">
        <f>IFERROR(IF(S233="Check Data ⚠","Check Data ⚠",VLOOKUP(S233,'G-4 Temporal multipliers'!$A$4:$C$37,3,FALSE)),"")</f>
        <v/>
      </c>
      <c r="U233" s="523" t="str">
        <f>IF(F233="","",VLOOKUP(F233,'G-3 Multipliers'!$A$2:$E$129,2,FALSE))</f>
        <v/>
      </c>
      <c r="V233" s="520" t="str">
        <f t="shared" si="19"/>
        <v/>
      </c>
      <c r="W233" s="520" t="str">
        <f>IF(E233="","",IF(AND(V233="Standard difficulty applied",O233&gt;P233),U233,IF(AND(V233="Low Difficulty - only applicable if all habitat created before losses ⚠",P233&gt;=O233),"Low",VLOOKUP(F233,'G-3 Multipliers'!$A$2:$E$129,4,FALSE))))</f>
        <v/>
      </c>
      <c r="X233" s="524" t="str">
        <f>IFERROR(IF(E233="","",VLOOKUP(W233, 'G-3 Multipliers'!$P$2:$Q$6,2,FALSE)),"")</f>
        <v/>
      </c>
      <c r="Y233" s="197"/>
      <c r="Z233" s="499" t="str">
        <f>IF(Y233="","",IF(VLOOKUP(Y233,'G-3 Multipliers'!$S$3:$T$9,2,FALSE)=0,"Spatial Data Missing ⚠",VLOOKUP(Y233,'G-3 Multipliers'!$S$3:$T$9,2,FALSE)))</f>
        <v/>
      </c>
      <c r="AA233" s="545" t="str">
        <f t="shared" si="18"/>
        <v/>
      </c>
      <c r="AB233" s="149"/>
      <c r="AC233" s="150"/>
    </row>
    <row r="234" spans="1:29" ht="13.8" x14ac:dyDescent="0.25">
      <c r="A234" s="31" t="str">
        <f>IFERROR(INDEX('G-8 Condition Look up'!$I$4:$I$130,MATCH(F234,'G-8 Condition Look up'!$A$4:$A$130,0)),"")</f>
        <v/>
      </c>
      <c r="C234" s="244" t="str">
        <f>IFERROR(INDEX('G-1 All Habitats'!$AG$3:$AG$15,MATCH(D234,'G-1 All Habitats'!$AF$3:$AF$15,0)),"")</f>
        <v/>
      </c>
      <c r="D234" s="154"/>
      <c r="E234" s="203"/>
      <c r="F234" s="243" t="str">
        <f>IFERROR(INDEX('G-1 All Habitats'!$B$3:$B$129,MATCH(E234,'G-1 All Habitats'!$A$3:$A$129,0)),"")</f>
        <v/>
      </c>
      <c r="G234" s="386"/>
      <c r="H234" s="537" t="str">
        <f>IF(F234="","",VLOOKUP(F234,'G-1 All Habitats'!$B$2:$M$129,10,FALSE))</f>
        <v/>
      </c>
      <c r="I234" s="524" t="str">
        <f>IFERROR(VLOOKUP(H234,'G-1 All Habitats'!$V$3:$W$7,2,FALSE),"")</f>
        <v/>
      </c>
      <c r="J234" s="199"/>
      <c r="K234" s="524" t="str">
        <f>IFERROR(INDEX('G-8 Condition Look up'!$A$3:$H$130,MATCH(F234,'G-8 Condition Look up'!$A$3:$A$130,0),MATCH(J234,'G-8 Condition Look up'!$A$3:$H$3,0)),"")</f>
        <v/>
      </c>
      <c r="L234" s="145"/>
      <c r="M234" s="540" t="str">
        <f>IF(L234="","",IF(VLOOKUP(L234,'G-3 Multipliers'!$L$3:$N$6,2,FALSE)=0,"Spatial Data Missing ⚠",VLOOKUP(L234,'G-3 Multipliers'!$L$3:$N$6,2,FALSE)))</f>
        <v/>
      </c>
      <c r="N234" s="499" t="str">
        <f>IF(L234="","",IF(VLOOKUP(L234,'G-3 Multipliers'!$L$3:$N$6,3,FALSE)=0,"Spatial Data Missing ⚠",VLOOKUP(L234,'G-3 Multipliers'!$L$3:$N$6,3,FALSE)))</f>
        <v/>
      </c>
      <c r="O234" s="498" t="str">
        <f t="shared" si="15"/>
        <v/>
      </c>
      <c r="P234" s="195"/>
      <c r="Q234" s="195"/>
      <c r="R234" s="520" t="str">
        <f t="shared" si="16"/>
        <v/>
      </c>
      <c r="S234" s="544" t="str">
        <f t="shared" si="17"/>
        <v/>
      </c>
      <c r="T234" s="525" t="str">
        <f>IFERROR(IF(S234="Check Data ⚠","Check Data ⚠",VLOOKUP(S234,'G-4 Temporal multipliers'!$A$4:$C$37,3,FALSE)),"")</f>
        <v/>
      </c>
      <c r="U234" s="523" t="str">
        <f>IF(F234="","",VLOOKUP(F234,'G-3 Multipliers'!$A$2:$E$129,2,FALSE))</f>
        <v/>
      </c>
      <c r="V234" s="520" t="str">
        <f t="shared" si="19"/>
        <v/>
      </c>
      <c r="W234" s="520" t="str">
        <f>IF(E234="","",IF(AND(V234="Standard difficulty applied",O234&gt;P234),U234,IF(AND(V234="Low Difficulty - only applicable if all habitat created before losses ⚠",P234&gt;=O234),"Low",VLOOKUP(F234,'G-3 Multipliers'!$A$2:$E$129,4,FALSE))))</f>
        <v/>
      </c>
      <c r="X234" s="524" t="str">
        <f>IFERROR(IF(E234="","",VLOOKUP(W234, 'G-3 Multipliers'!$P$2:$Q$6,2,FALSE)),"")</f>
        <v/>
      </c>
      <c r="Y234" s="197"/>
      <c r="Z234" s="499" t="str">
        <f>IF(Y234="","",IF(VLOOKUP(Y234,'G-3 Multipliers'!$S$3:$T$9,2,FALSE)=0,"Spatial Data Missing ⚠",VLOOKUP(Y234,'G-3 Multipliers'!$S$3:$T$9,2,FALSE)))</f>
        <v/>
      </c>
      <c r="AA234" s="545" t="str">
        <f t="shared" si="18"/>
        <v/>
      </c>
      <c r="AB234" s="149"/>
      <c r="AC234" s="150"/>
    </row>
    <row r="235" spans="1:29" ht="13.8" x14ac:dyDescent="0.25">
      <c r="A235" s="31" t="str">
        <f>IFERROR(INDEX('G-8 Condition Look up'!$I$4:$I$130,MATCH(F235,'G-8 Condition Look up'!$A$4:$A$130,0)),"")</f>
        <v/>
      </c>
      <c r="C235" s="244" t="str">
        <f>IFERROR(INDEX('G-1 All Habitats'!$AG$3:$AG$15,MATCH(D235,'G-1 All Habitats'!$AF$3:$AF$15,0)),"")</f>
        <v/>
      </c>
      <c r="D235" s="154"/>
      <c r="E235" s="203"/>
      <c r="F235" s="243" t="str">
        <f>IFERROR(INDEX('G-1 All Habitats'!$B$3:$B$129,MATCH(E235,'G-1 All Habitats'!$A$3:$A$129,0)),"")</f>
        <v/>
      </c>
      <c r="G235" s="386"/>
      <c r="H235" s="537" t="str">
        <f>IF(F235="","",VLOOKUP(F235,'G-1 All Habitats'!$B$2:$M$129,10,FALSE))</f>
        <v/>
      </c>
      <c r="I235" s="524" t="str">
        <f>IFERROR(VLOOKUP(H235,'G-1 All Habitats'!$V$3:$W$7,2,FALSE),"")</f>
        <v/>
      </c>
      <c r="J235" s="199"/>
      <c r="K235" s="524" t="str">
        <f>IFERROR(INDEX('G-8 Condition Look up'!$A$3:$H$130,MATCH(F235,'G-8 Condition Look up'!$A$3:$A$130,0),MATCH(J235,'G-8 Condition Look up'!$A$3:$H$3,0)),"")</f>
        <v/>
      </c>
      <c r="L235" s="145"/>
      <c r="M235" s="540" t="str">
        <f>IF(L235="","",IF(VLOOKUP(L235,'G-3 Multipliers'!$L$3:$N$6,2,FALSE)=0,"Spatial Data Missing ⚠",VLOOKUP(L235,'G-3 Multipliers'!$L$3:$N$6,2,FALSE)))</f>
        <v/>
      </c>
      <c r="N235" s="499" t="str">
        <f>IF(L235="","",IF(VLOOKUP(L235,'G-3 Multipliers'!$L$3:$N$6,3,FALSE)=0,"Spatial Data Missing ⚠",VLOOKUP(L235,'G-3 Multipliers'!$L$3:$N$6,3,FALSE)))</f>
        <v/>
      </c>
      <c r="O235" s="498" t="str">
        <f t="shared" si="15"/>
        <v/>
      </c>
      <c r="P235" s="195"/>
      <c r="Q235" s="195"/>
      <c r="R235" s="520" t="str">
        <f t="shared" si="16"/>
        <v/>
      </c>
      <c r="S235" s="544" t="str">
        <f t="shared" si="17"/>
        <v/>
      </c>
      <c r="T235" s="525" t="str">
        <f>IFERROR(IF(S235="Check Data ⚠","Check Data ⚠",VLOOKUP(S235,'G-4 Temporal multipliers'!$A$4:$C$37,3,FALSE)),"")</f>
        <v/>
      </c>
      <c r="U235" s="523" t="str">
        <f>IF(F235="","",VLOOKUP(F235,'G-3 Multipliers'!$A$2:$E$129,2,FALSE))</f>
        <v/>
      </c>
      <c r="V235" s="520" t="str">
        <f t="shared" si="19"/>
        <v/>
      </c>
      <c r="W235" s="520" t="str">
        <f>IF(E235="","",IF(AND(V235="Standard difficulty applied",O235&gt;P235),U235,IF(AND(V235="Low Difficulty - only applicable if all habitat created before losses ⚠",P235&gt;=O235),"Low",VLOOKUP(F235,'G-3 Multipliers'!$A$2:$E$129,4,FALSE))))</f>
        <v/>
      </c>
      <c r="X235" s="524" t="str">
        <f>IFERROR(IF(E235="","",VLOOKUP(W235, 'G-3 Multipliers'!$P$2:$Q$6,2,FALSE)),"")</f>
        <v/>
      </c>
      <c r="Y235" s="197"/>
      <c r="Z235" s="499" t="str">
        <f>IF(Y235="","",IF(VLOOKUP(Y235,'G-3 Multipliers'!$S$3:$T$9,2,FALSE)=0,"Spatial Data Missing ⚠",VLOOKUP(Y235,'G-3 Multipliers'!$S$3:$T$9,2,FALSE)))</f>
        <v/>
      </c>
      <c r="AA235" s="545" t="str">
        <f t="shared" si="18"/>
        <v/>
      </c>
      <c r="AB235" s="149"/>
      <c r="AC235" s="150"/>
    </row>
    <row r="236" spans="1:29" ht="13.8" x14ac:dyDescent="0.25">
      <c r="A236" s="31" t="str">
        <f>IFERROR(INDEX('G-8 Condition Look up'!$I$4:$I$130,MATCH(F236,'G-8 Condition Look up'!$A$4:$A$130,0)),"")</f>
        <v/>
      </c>
      <c r="C236" s="244" t="str">
        <f>IFERROR(INDEX('G-1 All Habitats'!$AG$3:$AG$15,MATCH(D236,'G-1 All Habitats'!$AF$3:$AF$15,0)),"")</f>
        <v/>
      </c>
      <c r="D236" s="154"/>
      <c r="E236" s="203"/>
      <c r="F236" s="243" t="str">
        <f>IFERROR(INDEX('G-1 All Habitats'!$B$3:$B$129,MATCH(E236,'G-1 All Habitats'!$A$3:$A$129,0)),"")</f>
        <v/>
      </c>
      <c r="G236" s="386"/>
      <c r="H236" s="537" t="str">
        <f>IF(F236="","",VLOOKUP(F236,'G-1 All Habitats'!$B$2:$M$129,10,FALSE))</f>
        <v/>
      </c>
      <c r="I236" s="524" t="str">
        <f>IFERROR(VLOOKUP(H236,'G-1 All Habitats'!$V$3:$W$7,2,FALSE),"")</f>
        <v/>
      </c>
      <c r="J236" s="199"/>
      <c r="K236" s="524" t="str">
        <f>IFERROR(INDEX('G-8 Condition Look up'!$A$3:$H$130,MATCH(F236,'G-8 Condition Look up'!$A$3:$A$130,0),MATCH(J236,'G-8 Condition Look up'!$A$3:$H$3,0)),"")</f>
        <v/>
      </c>
      <c r="L236" s="145"/>
      <c r="M236" s="540" t="str">
        <f>IF(L236="","",IF(VLOOKUP(L236,'G-3 Multipliers'!$L$3:$N$6,2,FALSE)=0,"Spatial Data Missing ⚠",VLOOKUP(L236,'G-3 Multipliers'!$L$3:$N$6,2,FALSE)))</f>
        <v/>
      </c>
      <c r="N236" s="499" t="str">
        <f>IF(L236="","",IF(VLOOKUP(L236,'G-3 Multipliers'!$L$3:$N$6,3,FALSE)=0,"Spatial Data Missing ⚠",VLOOKUP(L236,'G-3 Multipliers'!$L$3:$N$6,3,FALSE)))</f>
        <v/>
      </c>
      <c r="O236" s="498" t="str">
        <f t="shared" si="15"/>
        <v/>
      </c>
      <c r="P236" s="195"/>
      <c r="Q236" s="195"/>
      <c r="R236" s="520" t="str">
        <f t="shared" si="16"/>
        <v/>
      </c>
      <c r="S236" s="544" t="str">
        <f t="shared" si="17"/>
        <v/>
      </c>
      <c r="T236" s="525" t="str">
        <f>IFERROR(IF(S236="Check Data ⚠","Check Data ⚠",VLOOKUP(S236,'G-4 Temporal multipliers'!$A$4:$C$37,3,FALSE)),"")</f>
        <v/>
      </c>
      <c r="U236" s="523" t="str">
        <f>IF(F236="","",VLOOKUP(F236,'G-3 Multipliers'!$A$2:$E$129,2,FALSE))</f>
        <v/>
      </c>
      <c r="V236" s="520" t="str">
        <f t="shared" si="19"/>
        <v/>
      </c>
      <c r="W236" s="520" t="str">
        <f>IF(E236="","",IF(AND(V236="Standard difficulty applied",O236&gt;P236),U236,IF(AND(V236="Low Difficulty - only applicable if all habitat created before losses ⚠",P236&gt;=O236),"Low",VLOOKUP(F236,'G-3 Multipliers'!$A$2:$E$129,4,FALSE))))</f>
        <v/>
      </c>
      <c r="X236" s="524" t="str">
        <f>IFERROR(IF(E236="","",VLOOKUP(W236, 'G-3 Multipliers'!$P$2:$Q$6,2,FALSE)),"")</f>
        <v/>
      </c>
      <c r="Y236" s="197"/>
      <c r="Z236" s="499" t="str">
        <f>IF(Y236="","",IF(VLOOKUP(Y236,'G-3 Multipliers'!$S$3:$T$9,2,FALSE)=0,"Spatial Data Missing ⚠",VLOOKUP(Y236,'G-3 Multipliers'!$S$3:$T$9,2,FALSE)))</f>
        <v/>
      </c>
      <c r="AA236" s="545" t="str">
        <f t="shared" si="18"/>
        <v/>
      </c>
      <c r="AB236" s="149"/>
      <c r="AC236" s="150"/>
    </row>
    <row r="237" spans="1:29" ht="13.8" x14ac:dyDescent="0.25">
      <c r="A237" s="31" t="str">
        <f>IFERROR(INDEX('G-8 Condition Look up'!$I$4:$I$130,MATCH(F237,'G-8 Condition Look up'!$A$4:$A$130,0)),"")</f>
        <v/>
      </c>
      <c r="C237" s="244" t="str">
        <f>IFERROR(INDEX('G-1 All Habitats'!$AG$3:$AG$15,MATCH(D237,'G-1 All Habitats'!$AF$3:$AF$15,0)),"")</f>
        <v/>
      </c>
      <c r="D237" s="154"/>
      <c r="E237" s="203"/>
      <c r="F237" s="243" t="str">
        <f>IFERROR(INDEX('G-1 All Habitats'!$B$3:$B$129,MATCH(E237,'G-1 All Habitats'!$A$3:$A$129,0)),"")</f>
        <v/>
      </c>
      <c r="G237" s="386"/>
      <c r="H237" s="537" t="str">
        <f>IF(F237="","",VLOOKUP(F237,'G-1 All Habitats'!$B$2:$M$129,10,FALSE))</f>
        <v/>
      </c>
      <c r="I237" s="524" t="str">
        <f>IFERROR(VLOOKUP(H237,'G-1 All Habitats'!$V$3:$W$7,2,FALSE),"")</f>
        <v/>
      </c>
      <c r="J237" s="199"/>
      <c r="K237" s="524" t="str">
        <f>IFERROR(INDEX('G-8 Condition Look up'!$A$3:$H$130,MATCH(F237,'G-8 Condition Look up'!$A$3:$A$130,0),MATCH(J237,'G-8 Condition Look up'!$A$3:$H$3,0)),"")</f>
        <v/>
      </c>
      <c r="L237" s="145"/>
      <c r="M237" s="540" t="str">
        <f>IF(L237="","",IF(VLOOKUP(L237,'G-3 Multipliers'!$L$3:$N$6,2,FALSE)=0,"Spatial Data Missing ⚠",VLOOKUP(L237,'G-3 Multipliers'!$L$3:$N$6,2,FALSE)))</f>
        <v/>
      </c>
      <c r="N237" s="499" t="str">
        <f>IF(L237="","",IF(VLOOKUP(L237,'G-3 Multipliers'!$L$3:$N$6,3,FALSE)=0,"Spatial Data Missing ⚠",VLOOKUP(L237,'G-3 Multipliers'!$L$3:$N$6,3,FALSE)))</f>
        <v/>
      </c>
      <c r="O237" s="498" t="str">
        <f t="shared" si="15"/>
        <v/>
      </c>
      <c r="P237" s="195"/>
      <c r="Q237" s="195"/>
      <c r="R237" s="520" t="str">
        <f t="shared" si="16"/>
        <v/>
      </c>
      <c r="S237" s="544" t="str">
        <f t="shared" si="17"/>
        <v/>
      </c>
      <c r="T237" s="525" t="str">
        <f>IFERROR(IF(S237="Check Data ⚠","Check Data ⚠",VLOOKUP(S237,'G-4 Temporal multipliers'!$A$4:$C$37,3,FALSE)),"")</f>
        <v/>
      </c>
      <c r="U237" s="523" t="str">
        <f>IF(F237="","",VLOOKUP(F237,'G-3 Multipliers'!$A$2:$E$129,2,FALSE))</f>
        <v/>
      </c>
      <c r="V237" s="520" t="str">
        <f t="shared" si="19"/>
        <v/>
      </c>
      <c r="W237" s="520" t="str">
        <f>IF(E237="","",IF(AND(V237="Standard difficulty applied",O237&gt;P237),U237,IF(AND(V237="Low Difficulty - only applicable if all habitat created before losses ⚠",P237&gt;=O237),"Low",VLOOKUP(F237,'G-3 Multipliers'!$A$2:$E$129,4,FALSE))))</f>
        <v/>
      </c>
      <c r="X237" s="524" t="str">
        <f>IFERROR(IF(E237="","",VLOOKUP(W237, 'G-3 Multipliers'!$P$2:$Q$6,2,FALSE)),"")</f>
        <v/>
      </c>
      <c r="Y237" s="197"/>
      <c r="Z237" s="499" t="str">
        <f>IF(Y237="","",IF(VLOOKUP(Y237,'G-3 Multipliers'!$S$3:$T$9,2,FALSE)=0,"Spatial Data Missing ⚠",VLOOKUP(Y237,'G-3 Multipliers'!$S$3:$T$9,2,FALSE)))</f>
        <v/>
      </c>
      <c r="AA237" s="545" t="str">
        <f t="shared" si="18"/>
        <v/>
      </c>
      <c r="AB237" s="149"/>
      <c r="AC237" s="150"/>
    </row>
    <row r="238" spans="1:29" ht="13.8" x14ac:dyDescent="0.25">
      <c r="A238" s="31" t="str">
        <f>IFERROR(INDEX('G-8 Condition Look up'!$I$4:$I$130,MATCH(F238,'G-8 Condition Look up'!$A$4:$A$130,0)),"")</f>
        <v/>
      </c>
      <c r="C238" s="244" t="str">
        <f>IFERROR(INDEX('G-1 All Habitats'!$AG$3:$AG$15,MATCH(D238,'G-1 All Habitats'!$AF$3:$AF$15,0)),"")</f>
        <v/>
      </c>
      <c r="D238" s="154"/>
      <c r="E238" s="203"/>
      <c r="F238" s="243" t="str">
        <f>IFERROR(INDEX('G-1 All Habitats'!$B$3:$B$129,MATCH(E238,'G-1 All Habitats'!$A$3:$A$129,0)),"")</f>
        <v/>
      </c>
      <c r="G238" s="386"/>
      <c r="H238" s="537" t="str">
        <f>IF(F238="","",VLOOKUP(F238,'G-1 All Habitats'!$B$2:$M$129,10,FALSE))</f>
        <v/>
      </c>
      <c r="I238" s="524" t="str">
        <f>IFERROR(VLOOKUP(H238,'G-1 All Habitats'!$V$3:$W$7,2,FALSE),"")</f>
        <v/>
      </c>
      <c r="J238" s="199"/>
      <c r="K238" s="524" t="str">
        <f>IFERROR(INDEX('G-8 Condition Look up'!$A$3:$H$130,MATCH(F238,'G-8 Condition Look up'!$A$3:$A$130,0),MATCH(J238,'G-8 Condition Look up'!$A$3:$H$3,0)),"")</f>
        <v/>
      </c>
      <c r="L238" s="145"/>
      <c r="M238" s="540" t="str">
        <f>IF(L238="","",IF(VLOOKUP(L238,'G-3 Multipliers'!$L$3:$N$6,2,FALSE)=0,"Spatial Data Missing ⚠",VLOOKUP(L238,'G-3 Multipliers'!$L$3:$N$6,2,FALSE)))</f>
        <v/>
      </c>
      <c r="N238" s="499" t="str">
        <f>IF(L238="","",IF(VLOOKUP(L238,'G-3 Multipliers'!$L$3:$N$6,3,FALSE)=0,"Spatial Data Missing ⚠",VLOOKUP(L238,'G-3 Multipliers'!$L$3:$N$6,3,FALSE)))</f>
        <v/>
      </c>
      <c r="O238" s="498" t="str">
        <f t="shared" si="15"/>
        <v/>
      </c>
      <c r="P238" s="195"/>
      <c r="Q238" s="195"/>
      <c r="R238" s="520" t="str">
        <f t="shared" si="16"/>
        <v/>
      </c>
      <c r="S238" s="544" t="str">
        <f t="shared" si="17"/>
        <v/>
      </c>
      <c r="T238" s="525" t="str">
        <f>IFERROR(IF(S238="Check Data ⚠","Check Data ⚠",VLOOKUP(S238,'G-4 Temporal multipliers'!$A$4:$C$37,3,FALSE)),"")</f>
        <v/>
      </c>
      <c r="U238" s="523" t="str">
        <f>IF(F238="","",VLOOKUP(F238,'G-3 Multipliers'!$A$2:$E$129,2,FALSE))</f>
        <v/>
      </c>
      <c r="V238" s="520" t="str">
        <f t="shared" si="19"/>
        <v/>
      </c>
      <c r="W238" s="520" t="str">
        <f>IF(E238="","",IF(AND(V238="Standard difficulty applied",O238&gt;P238),U238,IF(AND(V238="Low Difficulty - only applicable if all habitat created before losses ⚠",P238&gt;=O238),"Low",VLOOKUP(F238,'G-3 Multipliers'!$A$2:$E$129,4,FALSE))))</f>
        <v/>
      </c>
      <c r="X238" s="524" t="str">
        <f>IFERROR(IF(E238="","",VLOOKUP(W238, 'G-3 Multipliers'!$P$2:$Q$6,2,FALSE)),"")</f>
        <v/>
      </c>
      <c r="Y238" s="197"/>
      <c r="Z238" s="499" t="str">
        <f>IF(Y238="","",IF(VLOOKUP(Y238,'G-3 Multipliers'!$S$3:$T$9,2,FALSE)=0,"Spatial Data Missing ⚠",VLOOKUP(Y238,'G-3 Multipliers'!$S$3:$T$9,2,FALSE)))</f>
        <v/>
      </c>
      <c r="AA238" s="545" t="str">
        <f t="shared" si="18"/>
        <v/>
      </c>
      <c r="AB238" s="149"/>
      <c r="AC238" s="150"/>
    </row>
    <row r="239" spans="1:29" ht="13.8" x14ac:dyDescent="0.25">
      <c r="A239" s="31" t="str">
        <f>IFERROR(INDEX('G-8 Condition Look up'!$I$4:$I$130,MATCH(F239,'G-8 Condition Look up'!$A$4:$A$130,0)),"")</f>
        <v/>
      </c>
      <c r="C239" s="244" t="str">
        <f>IFERROR(INDEX('G-1 All Habitats'!$AG$3:$AG$15,MATCH(D239,'G-1 All Habitats'!$AF$3:$AF$15,0)),"")</f>
        <v/>
      </c>
      <c r="D239" s="154"/>
      <c r="E239" s="203"/>
      <c r="F239" s="243" t="str">
        <f>IFERROR(INDEX('G-1 All Habitats'!$B$3:$B$129,MATCH(E239,'G-1 All Habitats'!$A$3:$A$129,0)),"")</f>
        <v/>
      </c>
      <c r="G239" s="386"/>
      <c r="H239" s="537" t="str">
        <f>IF(F239="","",VLOOKUP(F239,'G-1 All Habitats'!$B$2:$M$129,10,FALSE))</f>
        <v/>
      </c>
      <c r="I239" s="524" t="str">
        <f>IFERROR(VLOOKUP(H239,'G-1 All Habitats'!$V$3:$W$7,2,FALSE),"")</f>
        <v/>
      </c>
      <c r="J239" s="199"/>
      <c r="K239" s="524" t="str">
        <f>IFERROR(INDEX('G-8 Condition Look up'!$A$3:$H$130,MATCH(F239,'G-8 Condition Look up'!$A$3:$A$130,0),MATCH(J239,'G-8 Condition Look up'!$A$3:$H$3,0)),"")</f>
        <v/>
      </c>
      <c r="L239" s="145"/>
      <c r="M239" s="540" t="str">
        <f>IF(L239="","",IF(VLOOKUP(L239,'G-3 Multipliers'!$L$3:$N$6,2,FALSE)=0,"Spatial Data Missing ⚠",VLOOKUP(L239,'G-3 Multipliers'!$L$3:$N$6,2,FALSE)))</f>
        <v/>
      </c>
      <c r="N239" s="499" t="str">
        <f>IF(L239="","",IF(VLOOKUP(L239,'G-3 Multipliers'!$L$3:$N$6,3,FALSE)=0,"Spatial Data Missing ⚠",VLOOKUP(L239,'G-3 Multipliers'!$L$3:$N$6,3,FALSE)))</f>
        <v/>
      </c>
      <c r="O239" s="498" t="str">
        <f t="shared" si="15"/>
        <v/>
      </c>
      <c r="P239" s="195"/>
      <c r="Q239" s="195"/>
      <c r="R239" s="520" t="str">
        <f t="shared" si="16"/>
        <v/>
      </c>
      <c r="S239" s="544" t="str">
        <f t="shared" si="17"/>
        <v/>
      </c>
      <c r="T239" s="525" t="str">
        <f>IFERROR(IF(S239="Check Data ⚠","Check Data ⚠",VLOOKUP(S239,'G-4 Temporal multipliers'!$A$4:$C$37,3,FALSE)),"")</f>
        <v/>
      </c>
      <c r="U239" s="523" t="str">
        <f>IF(F239="","",VLOOKUP(F239,'G-3 Multipliers'!$A$2:$E$129,2,FALSE))</f>
        <v/>
      </c>
      <c r="V239" s="520" t="str">
        <f t="shared" si="19"/>
        <v/>
      </c>
      <c r="W239" s="520" t="str">
        <f>IF(E239="","",IF(AND(V239="Standard difficulty applied",O239&gt;P239),U239,IF(AND(V239="Low Difficulty - only applicable if all habitat created before losses ⚠",P239&gt;=O239),"Low",VLOOKUP(F239,'G-3 Multipliers'!$A$2:$E$129,4,FALSE))))</f>
        <v/>
      </c>
      <c r="X239" s="524" t="str">
        <f>IFERROR(IF(E239="","",VLOOKUP(W239, 'G-3 Multipliers'!$P$2:$Q$6,2,FALSE)),"")</f>
        <v/>
      </c>
      <c r="Y239" s="197"/>
      <c r="Z239" s="499" t="str">
        <f>IF(Y239="","",IF(VLOOKUP(Y239,'G-3 Multipliers'!$S$3:$T$9,2,FALSE)=0,"Spatial Data Missing ⚠",VLOOKUP(Y239,'G-3 Multipliers'!$S$3:$T$9,2,FALSE)))</f>
        <v/>
      </c>
      <c r="AA239" s="545" t="str">
        <f t="shared" si="18"/>
        <v/>
      </c>
      <c r="AB239" s="149"/>
      <c r="AC239" s="150"/>
    </row>
    <row r="240" spans="1:29" ht="13.8" x14ac:dyDescent="0.25">
      <c r="A240" s="31" t="str">
        <f>IFERROR(INDEX('G-8 Condition Look up'!$I$4:$I$130,MATCH(F240,'G-8 Condition Look up'!$A$4:$A$130,0)),"")</f>
        <v/>
      </c>
      <c r="C240" s="244" t="str">
        <f>IFERROR(INDEX('G-1 All Habitats'!$AG$3:$AG$15,MATCH(D240,'G-1 All Habitats'!$AF$3:$AF$15,0)),"")</f>
        <v/>
      </c>
      <c r="D240" s="154"/>
      <c r="E240" s="203"/>
      <c r="F240" s="243" t="str">
        <f>IFERROR(INDEX('G-1 All Habitats'!$B$3:$B$129,MATCH(E240,'G-1 All Habitats'!$A$3:$A$129,0)),"")</f>
        <v/>
      </c>
      <c r="G240" s="386"/>
      <c r="H240" s="537" t="str">
        <f>IF(F240="","",VLOOKUP(F240,'G-1 All Habitats'!$B$2:$M$129,10,FALSE))</f>
        <v/>
      </c>
      <c r="I240" s="524" t="str">
        <f>IFERROR(VLOOKUP(H240,'G-1 All Habitats'!$V$3:$W$7,2,FALSE),"")</f>
        <v/>
      </c>
      <c r="J240" s="199"/>
      <c r="K240" s="524" t="str">
        <f>IFERROR(INDEX('G-8 Condition Look up'!$A$3:$H$130,MATCH(F240,'G-8 Condition Look up'!$A$3:$A$130,0),MATCH(J240,'G-8 Condition Look up'!$A$3:$H$3,0)),"")</f>
        <v/>
      </c>
      <c r="L240" s="145"/>
      <c r="M240" s="540" t="str">
        <f>IF(L240="","",IF(VLOOKUP(L240,'G-3 Multipliers'!$L$3:$N$6,2,FALSE)=0,"Spatial Data Missing ⚠",VLOOKUP(L240,'G-3 Multipliers'!$L$3:$N$6,2,FALSE)))</f>
        <v/>
      </c>
      <c r="N240" s="499" t="str">
        <f>IF(L240="","",IF(VLOOKUP(L240,'G-3 Multipliers'!$L$3:$N$6,3,FALSE)=0,"Spatial Data Missing ⚠",VLOOKUP(L240,'G-3 Multipliers'!$L$3:$N$6,3,FALSE)))</f>
        <v/>
      </c>
      <c r="O240" s="498" t="str">
        <f t="shared" si="15"/>
        <v/>
      </c>
      <c r="P240" s="195"/>
      <c r="Q240" s="195"/>
      <c r="R240" s="520" t="str">
        <f t="shared" si="16"/>
        <v/>
      </c>
      <c r="S240" s="544" t="str">
        <f t="shared" si="17"/>
        <v/>
      </c>
      <c r="T240" s="525" t="str">
        <f>IFERROR(IF(S240="Check Data ⚠","Check Data ⚠",VLOOKUP(S240,'G-4 Temporal multipliers'!$A$4:$C$37,3,FALSE)),"")</f>
        <v/>
      </c>
      <c r="U240" s="523" t="str">
        <f>IF(F240="","",VLOOKUP(F240,'G-3 Multipliers'!$A$2:$E$129,2,FALSE))</f>
        <v/>
      </c>
      <c r="V240" s="520" t="str">
        <f t="shared" si="19"/>
        <v/>
      </c>
      <c r="W240" s="520" t="str">
        <f>IF(E240="","",IF(AND(V240="Standard difficulty applied",O240&gt;P240),U240,IF(AND(V240="Low Difficulty - only applicable if all habitat created before losses ⚠",P240&gt;=O240),"Low",VLOOKUP(F240,'G-3 Multipliers'!$A$2:$E$129,4,FALSE))))</f>
        <v/>
      </c>
      <c r="X240" s="524" t="str">
        <f>IFERROR(IF(E240="","",VLOOKUP(W240, 'G-3 Multipliers'!$P$2:$Q$6,2,FALSE)),"")</f>
        <v/>
      </c>
      <c r="Y240" s="197"/>
      <c r="Z240" s="499" t="str">
        <f>IF(Y240="","",IF(VLOOKUP(Y240,'G-3 Multipliers'!$S$3:$T$9,2,FALSE)=0,"Spatial Data Missing ⚠",VLOOKUP(Y240,'G-3 Multipliers'!$S$3:$T$9,2,FALSE)))</f>
        <v/>
      </c>
      <c r="AA240" s="545" t="str">
        <f t="shared" si="18"/>
        <v/>
      </c>
      <c r="AB240" s="149"/>
      <c r="AC240" s="150"/>
    </row>
    <row r="241" spans="1:29" ht="13.8" x14ac:dyDescent="0.25">
      <c r="A241" s="31" t="str">
        <f>IFERROR(INDEX('G-8 Condition Look up'!$I$4:$I$130,MATCH(F241,'G-8 Condition Look up'!$A$4:$A$130,0)),"")</f>
        <v/>
      </c>
      <c r="C241" s="244" t="str">
        <f>IFERROR(INDEX('G-1 All Habitats'!$AG$3:$AG$15,MATCH(D241,'G-1 All Habitats'!$AF$3:$AF$15,0)),"")</f>
        <v/>
      </c>
      <c r="D241" s="154"/>
      <c r="E241" s="203"/>
      <c r="F241" s="243" t="str">
        <f>IFERROR(INDEX('G-1 All Habitats'!$B$3:$B$129,MATCH(E241,'G-1 All Habitats'!$A$3:$A$129,0)),"")</f>
        <v/>
      </c>
      <c r="G241" s="386"/>
      <c r="H241" s="537" t="str">
        <f>IF(F241="","",VLOOKUP(F241,'G-1 All Habitats'!$B$2:$M$129,10,FALSE))</f>
        <v/>
      </c>
      <c r="I241" s="524" t="str">
        <f>IFERROR(VLOOKUP(H241,'G-1 All Habitats'!$V$3:$W$7,2,FALSE),"")</f>
        <v/>
      </c>
      <c r="J241" s="199"/>
      <c r="K241" s="524" t="str">
        <f>IFERROR(INDEX('G-8 Condition Look up'!$A$3:$H$130,MATCH(F241,'G-8 Condition Look up'!$A$3:$A$130,0),MATCH(J241,'G-8 Condition Look up'!$A$3:$H$3,0)),"")</f>
        <v/>
      </c>
      <c r="L241" s="145"/>
      <c r="M241" s="540" t="str">
        <f>IF(L241="","",IF(VLOOKUP(L241,'G-3 Multipliers'!$L$3:$N$6,2,FALSE)=0,"Spatial Data Missing ⚠",VLOOKUP(L241,'G-3 Multipliers'!$L$3:$N$6,2,FALSE)))</f>
        <v/>
      </c>
      <c r="N241" s="499" t="str">
        <f>IF(L241="","",IF(VLOOKUP(L241,'G-3 Multipliers'!$L$3:$N$6,3,FALSE)=0,"Spatial Data Missing ⚠",VLOOKUP(L241,'G-3 Multipliers'!$L$3:$N$6,3,FALSE)))</f>
        <v/>
      </c>
      <c r="O241" s="498" t="str">
        <f t="shared" si="15"/>
        <v/>
      </c>
      <c r="P241" s="195"/>
      <c r="Q241" s="195"/>
      <c r="R241" s="520" t="str">
        <f t="shared" si="16"/>
        <v/>
      </c>
      <c r="S241" s="544" t="str">
        <f t="shared" si="17"/>
        <v/>
      </c>
      <c r="T241" s="525" t="str">
        <f>IFERROR(IF(S241="Check Data ⚠","Check Data ⚠",VLOOKUP(S241,'G-4 Temporal multipliers'!$A$4:$C$37,3,FALSE)),"")</f>
        <v/>
      </c>
      <c r="U241" s="523" t="str">
        <f>IF(F241="","",VLOOKUP(F241,'G-3 Multipliers'!$A$2:$E$129,2,FALSE))</f>
        <v/>
      </c>
      <c r="V241" s="520" t="str">
        <f t="shared" si="19"/>
        <v/>
      </c>
      <c r="W241" s="520" t="str">
        <f>IF(E241="","",IF(AND(V241="Standard difficulty applied",O241&gt;P241),U241,IF(AND(V241="Low Difficulty - only applicable if all habitat created before losses ⚠",P241&gt;=O241),"Low",VLOOKUP(F241,'G-3 Multipliers'!$A$2:$E$129,4,FALSE))))</f>
        <v/>
      </c>
      <c r="X241" s="524" t="str">
        <f>IFERROR(IF(E241="","",VLOOKUP(W241, 'G-3 Multipliers'!$P$2:$Q$6,2,FALSE)),"")</f>
        <v/>
      </c>
      <c r="Y241" s="197"/>
      <c r="Z241" s="499" t="str">
        <f>IF(Y241="","",IF(VLOOKUP(Y241,'G-3 Multipliers'!$S$3:$T$9,2,FALSE)=0,"Spatial Data Missing ⚠",VLOOKUP(Y241,'G-3 Multipliers'!$S$3:$T$9,2,FALSE)))</f>
        <v/>
      </c>
      <c r="AA241" s="545" t="str">
        <f t="shared" si="18"/>
        <v/>
      </c>
      <c r="AB241" s="149"/>
      <c r="AC241" s="150"/>
    </row>
    <row r="242" spans="1:29" ht="13.8" x14ac:dyDescent="0.25">
      <c r="A242" s="31" t="str">
        <f>IFERROR(INDEX('G-8 Condition Look up'!$I$4:$I$130,MATCH(F242,'G-8 Condition Look up'!$A$4:$A$130,0)),"")</f>
        <v/>
      </c>
      <c r="C242" s="244" t="str">
        <f>IFERROR(INDEX('G-1 All Habitats'!$AG$3:$AG$15,MATCH(D242,'G-1 All Habitats'!$AF$3:$AF$15,0)),"")</f>
        <v/>
      </c>
      <c r="D242" s="154"/>
      <c r="E242" s="203"/>
      <c r="F242" s="243" t="str">
        <f>IFERROR(INDEX('G-1 All Habitats'!$B$3:$B$129,MATCH(E242,'G-1 All Habitats'!$A$3:$A$129,0)),"")</f>
        <v/>
      </c>
      <c r="G242" s="386"/>
      <c r="H242" s="537" t="str">
        <f>IF(F242="","",VLOOKUP(F242,'G-1 All Habitats'!$B$2:$M$129,10,FALSE))</f>
        <v/>
      </c>
      <c r="I242" s="524" t="str">
        <f>IFERROR(VLOOKUP(H242,'G-1 All Habitats'!$V$3:$W$7,2,FALSE),"")</f>
        <v/>
      </c>
      <c r="J242" s="199"/>
      <c r="K242" s="524" t="str">
        <f>IFERROR(INDEX('G-8 Condition Look up'!$A$3:$H$130,MATCH(F242,'G-8 Condition Look up'!$A$3:$A$130,0),MATCH(J242,'G-8 Condition Look up'!$A$3:$H$3,0)),"")</f>
        <v/>
      </c>
      <c r="L242" s="145"/>
      <c r="M242" s="540" t="str">
        <f>IF(L242="","",IF(VLOOKUP(L242,'G-3 Multipliers'!$L$3:$N$6,2,FALSE)=0,"Spatial Data Missing ⚠",VLOOKUP(L242,'G-3 Multipliers'!$L$3:$N$6,2,FALSE)))</f>
        <v/>
      </c>
      <c r="N242" s="499" t="str">
        <f>IF(L242="","",IF(VLOOKUP(L242,'G-3 Multipliers'!$L$3:$N$6,3,FALSE)=0,"Spatial Data Missing ⚠",VLOOKUP(L242,'G-3 Multipliers'!$L$3:$N$6,3,FALSE)))</f>
        <v/>
      </c>
      <c r="O242" s="498" t="str">
        <f t="shared" si="15"/>
        <v/>
      </c>
      <c r="P242" s="195"/>
      <c r="Q242" s="195"/>
      <c r="R242" s="520" t="str">
        <f t="shared" si="16"/>
        <v/>
      </c>
      <c r="S242" s="544" t="str">
        <f t="shared" si="17"/>
        <v/>
      </c>
      <c r="T242" s="525" t="str">
        <f>IFERROR(IF(S242="Check Data ⚠","Check Data ⚠",VLOOKUP(S242,'G-4 Temporal multipliers'!$A$4:$C$37,3,FALSE)),"")</f>
        <v/>
      </c>
      <c r="U242" s="523" t="str">
        <f>IF(F242="","",VLOOKUP(F242,'G-3 Multipliers'!$A$2:$E$129,2,FALSE))</f>
        <v/>
      </c>
      <c r="V242" s="520" t="str">
        <f t="shared" si="19"/>
        <v/>
      </c>
      <c r="W242" s="520" t="str">
        <f>IF(E242="","",IF(AND(V242="Standard difficulty applied",O242&gt;P242),U242,IF(AND(V242="Low Difficulty - only applicable if all habitat created before losses ⚠",P242&gt;=O242),"Low",VLOOKUP(F242,'G-3 Multipliers'!$A$2:$E$129,4,FALSE))))</f>
        <v/>
      </c>
      <c r="X242" s="524" t="str">
        <f>IFERROR(IF(E242="","",VLOOKUP(W242, 'G-3 Multipliers'!$P$2:$Q$6,2,FALSE)),"")</f>
        <v/>
      </c>
      <c r="Y242" s="197"/>
      <c r="Z242" s="499" t="str">
        <f>IF(Y242="","",IF(VLOOKUP(Y242,'G-3 Multipliers'!$S$3:$T$9,2,FALSE)=0,"Spatial Data Missing ⚠",VLOOKUP(Y242,'G-3 Multipliers'!$S$3:$T$9,2,FALSE)))</f>
        <v/>
      </c>
      <c r="AA242" s="545" t="str">
        <f t="shared" si="18"/>
        <v/>
      </c>
      <c r="AB242" s="149"/>
      <c r="AC242" s="150"/>
    </row>
    <row r="243" spans="1:29" ht="13.8" x14ac:dyDescent="0.25">
      <c r="A243" s="31" t="str">
        <f>IFERROR(INDEX('G-8 Condition Look up'!$I$4:$I$130,MATCH(F243,'G-8 Condition Look up'!$A$4:$A$130,0)),"")</f>
        <v/>
      </c>
      <c r="C243" s="244" t="str">
        <f>IFERROR(INDEX('G-1 All Habitats'!$AG$3:$AG$15,MATCH(D243,'G-1 All Habitats'!$AF$3:$AF$15,0)),"")</f>
        <v/>
      </c>
      <c r="D243" s="154"/>
      <c r="E243" s="203"/>
      <c r="F243" s="243" t="str">
        <f>IFERROR(INDEX('G-1 All Habitats'!$B$3:$B$129,MATCH(E243,'G-1 All Habitats'!$A$3:$A$129,0)),"")</f>
        <v/>
      </c>
      <c r="G243" s="386"/>
      <c r="H243" s="537" t="str">
        <f>IF(F243="","",VLOOKUP(F243,'G-1 All Habitats'!$B$2:$M$129,10,FALSE))</f>
        <v/>
      </c>
      <c r="I243" s="524" t="str">
        <f>IFERROR(VLOOKUP(H243,'G-1 All Habitats'!$V$3:$W$7,2,FALSE),"")</f>
        <v/>
      </c>
      <c r="J243" s="199"/>
      <c r="K243" s="524" t="str">
        <f>IFERROR(INDEX('G-8 Condition Look up'!$A$3:$H$130,MATCH(F243,'G-8 Condition Look up'!$A$3:$A$130,0),MATCH(J243,'G-8 Condition Look up'!$A$3:$H$3,0)),"")</f>
        <v/>
      </c>
      <c r="L243" s="145"/>
      <c r="M243" s="540" t="str">
        <f>IF(L243="","",IF(VLOOKUP(L243,'G-3 Multipliers'!$L$3:$N$6,2,FALSE)=0,"Spatial Data Missing ⚠",VLOOKUP(L243,'G-3 Multipliers'!$L$3:$N$6,2,FALSE)))</f>
        <v/>
      </c>
      <c r="N243" s="499" t="str">
        <f>IF(L243="","",IF(VLOOKUP(L243,'G-3 Multipliers'!$L$3:$N$6,3,FALSE)=0,"Spatial Data Missing ⚠",VLOOKUP(L243,'G-3 Multipliers'!$L$3:$N$6,3,FALSE)))</f>
        <v/>
      </c>
      <c r="O243" s="498" t="str">
        <f t="shared" si="15"/>
        <v/>
      </c>
      <c r="P243" s="195"/>
      <c r="Q243" s="195"/>
      <c r="R243" s="520" t="str">
        <f t="shared" si="16"/>
        <v/>
      </c>
      <c r="S243" s="544" t="str">
        <f t="shared" si="17"/>
        <v/>
      </c>
      <c r="T243" s="525" t="str">
        <f>IFERROR(IF(S243="Check Data ⚠","Check Data ⚠",VLOOKUP(S243,'G-4 Temporal multipliers'!$A$4:$C$37,3,FALSE)),"")</f>
        <v/>
      </c>
      <c r="U243" s="523" t="str">
        <f>IF(F243="","",VLOOKUP(F243,'G-3 Multipliers'!$A$2:$E$129,2,FALSE))</f>
        <v/>
      </c>
      <c r="V243" s="520" t="str">
        <f t="shared" si="19"/>
        <v/>
      </c>
      <c r="W243" s="520" t="str">
        <f>IF(E243="","",IF(AND(V243="Standard difficulty applied",O243&gt;P243),U243,IF(AND(V243="Low Difficulty - only applicable if all habitat created before losses ⚠",P243&gt;=O243),"Low",VLOOKUP(F243,'G-3 Multipliers'!$A$2:$E$129,4,FALSE))))</f>
        <v/>
      </c>
      <c r="X243" s="524" t="str">
        <f>IFERROR(IF(E243="","",VLOOKUP(W243, 'G-3 Multipliers'!$P$2:$Q$6,2,FALSE)),"")</f>
        <v/>
      </c>
      <c r="Y243" s="197"/>
      <c r="Z243" s="499" t="str">
        <f>IF(Y243="","",IF(VLOOKUP(Y243,'G-3 Multipliers'!$S$3:$T$9,2,FALSE)=0,"Spatial Data Missing ⚠",VLOOKUP(Y243,'G-3 Multipliers'!$S$3:$T$9,2,FALSE)))</f>
        <v/>
      </c>
      <c r="AA243" s="545" t="str">
        <f t="shared" si="18"/>
        <v/>
      </c>
      <c r="AB243" s="149"/>
      <c r="AC243" s="150"/>
    </row>
    <row r="244" spans="1:29" ht="13.8" x14ac:dyDescent="0.25">
      <c r="A244" s="31" t="str">
        <f>IFERROR(INDEX('G-8 Condition Look up'!$I$4:$I$130,MATCH(F244,'G-8 Condition Look up'!$A$4:$A$130,0)),"")</f>
        <v/>
      </c>
      <c r="C244" s="244" t="str">
        <f>IFERROR(INDEX('G-1 All Habitats'!$AG$3:$AG$15,MATCH(D244,'G-1 All Habitats'!$AF$3:$AF$15,0)),"")</f>
        <v/>
      </c>
      <c r="D244" s="154"/>
      <c r="E244" s="203"/>
      <c r="F244" s="243" t="str">
        <f>IFERROR(INDEX('G-1 All Habitats'!$B$3:$B$129,MATCH(E244,'G-1 All Habitats'!$A$3:$A$129,0)),"")</f>
        <v/>
      </c>
      <c r="G244" s="386"/>
      <c r="H244" s="537" t="str">
        <f>IF(F244="","",VLOOKUP(F244,'G-1 All Habitats'!$B$2:$M$129,10,FALSE))</f>
        <v/>
      </c>
      <c r="I244" s="524" t="str">
        <f>IFERROR(VLOOKUP(H244,'G-1 All Habitats'!$V$3:$W$7,2,FALSE),"")</f>
        <v/>
      </c>
      <c r="J244" s="199"/>
      <c r="K244" s="524" t="str">
        <f>IFERROR(INDEX('G-8 Condition Look up'!$A$3:$H$130,MATCH(F244,'G-8 Condition Look up'!$A$3:$A$130,0),MATCH(J244,'G-8 Condition Look up'!$A$3:$H$3,0)),"")</f>
        <v/>
      </c>
      <c r="L244" s="145"/>
      <c r="M244" s="540" t="str">
        <f>IF(L244="","",IF(VLOOKUP(L244,'G-3 Multipliers'!$L$3:$N$6,2,FALSE)=0,"Spatial Data Missing ⚠",VLOOKUP(L244,'G-3 Multipliers'!$L$3:$N$6,2,FALSE)))</f>
        <v/>
      </c>
      <c r="N244" s="499" t="str">
        <f>IF(L244="","",IF(VLOOKUP(L244,'G-3 Multipliers'!$L$3:$N$6,3,FALSE)=0,"Spatial Data Missing ⚠",VLOOKUP(L244,'G-3 Multipliers'!$L$3:$N$6,3,FALSE)))</f>
        <v/>
      </c>
      <c r="O244" s="498" t="str">
        <f t="shared" si="15"/>
        <v/>
      </c>
      <c r="P244" s="195"/>
      <c r="Q244" s="195"/>
      <c r="R244" s="520" t="str">
        <f t="shared" si="16"/>
        <v/>
      </c>
      <c r="S244" s="544" t="str">
        <f t="shared" si="17"/>
        <v/>
      </c>
      <c r="T244" s="525" t="str">
        <f>IFERROR(IF(S244="Check Data ⚠","Check Data ⚠",VLOOKUP(S244,'G-4 Temporal multipliers'!$A$4:$C$37,3,FALSE)),"")</f>
        <v/>
      </c>
      <c r="U244" s="523" t="str">
        <f>IF(F244="","",VLOOKUP(F244,'G-3 Multipliers'!$A$2:$E$129,2,FALSE))</f>
        <v/>
      </c>
      <c r="V244" s="520" t="str">
        <f t="shared" si="19"/>
        <v/>
      </c>
      <c r="W244" s="520" t="str">
        <f>IF(E244="","",IF(AND(V244="Standard difficulty applied",O244&gt;P244),U244,IF(AND(V244="Low Difficulty - only applicable if all habitat created before losses ⚠",P244&gt;=O244),"Low",VLOOKUP(F244,'G-3 Multipliers'!$A$2:$E$129,4,FALSE))))</f>
        <v/>
      </c>
      <c r="X244" s="524" t="str">
        <f>IFERROR(IF(E244="","",VLOOKUP(W244, 'G-3 Multipliers'!$P$2:$Q$6,2,FALSE)),"")</f>
        <v/>
      </c>
      <c r="Y244" s="197"/>
      <c r="Z244" s="499" t="str">
        <f>IF(Y244="","",IF(VLOOKUP(Y244,'G-3 Multipliers'!$S$3:$T$9,2,FALSE)=0,"Spatial Data Missing ⚠",VLOOKUP(Y244,'G-3 Multipliers'!$S$3:$T$9,2,FALSE)))</f>
        <v/>
      </c>
      <c r="AA244" s="545" t="str">
        <f t="shared" si="18"/>
        <v/>
      </c>
      <c r="AB244" s="149"/>
      <c r="AC244" s="150"/>
    </row>
    <row r="245" spans="1:29" ht="13.8" x14ac:dyDescent="0.25">
      <c r="A245" s="31" t="str">
        <f>IFERROR(INDEX('G-8 Condition Look up'!$I$4:$I$130,MATCH(F245,'G-8 Condition Look up'!$A$4:$A$130,0)),"")</f>
        <v/>
      </c>
      <c r="C245" s="244" t="str">
        <f>IFERROR(INDEX('G-1 All Habitats'!$AG$3:$AG$15,MATCH(D245,'G-1 All Habitats'!$AF$3:$AF$15,0)),"")</f>
        <v/>
      </c>
      <c r="D245" s="154"/>
      <c r="E245" s="203"/>
      <c r="F245" s="243" t="str">
        <f>IFERROR(INDEX('G-1 All Habitats'!$B$3:$B$129,MATCH(E245,'G-1 All Habitats'!$A$3:$A$129,0)),"")</f>
        <v/>
      </c>
      <c r="G245" s="386"/>
      <c r="H245" s="537" t="str">
        <f>IF(F245="","",VLOOKUP(F245,'G-1 All Habitats'!$B$2:$M$129,10,FALSE))</f>
        <v/>
      </c>
      <c r="I245" s="524" t="str">
        <f>IFERROR(VLOOKUP(H245,'G-1 All Habitats'!$V$3:$W$7,2,FALSE),"")</f>
        <v/>
      </c>
      <c r="J245" s="199"/>
      <c r="K245" s="524" t="str">
        <f>IFERROR(INDEX('G-8 Condition Look up'!$A$3:$H$130,MATCH(F245,'G-8 Condition Look up'!$A$3:$A$130,0),MATCH(J245,'G-8 Condition Look up'!$A$3:$H$3,0)),"")</f>
        <v/>
      </c>
      <c r="L245" s="145"/>
      <c r="M245" s="540" t="str">
        <f>IF(L245="","",IF(VLOOKUP(L245,'G-3 Multipliers'!$L$3:$N$6,2,FALSE)=0,"Spatial Data Missing ⚠",VLOOKUP(L245,'G-3 Multipliers'!$L$3:$N$6,2,FALSE)))</f>
        <v/>
      </c>
      <c r="N245" s="499" t="str">
        <f>IF(L245="","",IF(VLOOKUP(L245,'G-3 Multipliers'!$L$3:$N$6,3,FALSE)=0,"Spatial Data Missing ⚠",VLOOKUP(L245,'G-3 Multipliers'!$L$3:$N$6,3,FALSE)))</f>
        <v/>
      </c>
      <c r="O245" s="498" t="str">
        <f t="shared" si="15"/>
        <v/>
      </c>
      <c r="P245" s="195"/>
      <c r="Q245" s="195"/>
      <c r="R245" s="520" t="str">
        <f t="shared" si="16"/>
        <v/>
      </c>
      <c r="S245" s="544" t="str">
        <f t="shared" si="17"/>
        <v/>
      </c>
      <c r="T245" s="525" t="str">
        <f>IFERROR(IF(S245="Check Data ⚠","Check Data ⚠",VLOOKUP(S245,'G-4 Temporal multipliers'!$A$4:$C$37,3,FALSE)),"")</f>
        <v/>
      </c>
      <c r="U245" s="523" t="str">
        <f>IF(F245="","",VLOOKUP(F245,'G-3 Multipliers'!$A$2:$E$129,2,FALSE))</f>
        <v/>
      </c>
      <c r="V245" s="520" t="str">
        <f t="shared" si="19"/>
        <v/>
      </c>
      <c r="W245" s="520" t="str">
        <f>IF(E245="","",IF(AND(V245="Standard difficulty applied",O245&gt;P245),U245,IF(AND(V245="Low Difficulty - only applicable if all habitat created before losses ⚠",P245&gt;=O245),"Low",VLOOKUP(F245,'G-3 Multipliers'!$A$2:$E$129,4,FALSE))))</f>
        <v/>
      </c>
      <c r="X245" s="524" t="str">
        <f>IFERROR(IF(E245="","",VLOOKUP(W245, 'G-3 Multipliers'!$P$2:$Q$6,2,FALSE)),"")</f>
        <v/>
      </c>
      <c r="Y245" s="197"/>
      <c r="Z245" s="499" t="str">
        <f>IF(Y245="","",IF(VLOOKUP(Y245,'G-3 Multipliers'!$S$3:$T$9,2,FALSE)=0,"Spatial Data Missing ⚠",VLOOKUP(Y245,'G-3 Multipliers'!$S$3:$T$9,2,FALSE)))</f>
        <v/>
      </c>
      <c r="AA245" s="545" t="str">
        <f t="shared" si="18"/>
        <v/>
      </c>
      <c r="AB245" s="149"/>
      <c r="AC245" s="150"/>
    </row>
    <row r="246" spans="1:29" ht="13.8" x14ac:dyDescent="0.25">
      <c r="A246" s="31" t="str">
        <f>IFERROR(INDEX('G-8 Condition Look up'!$I$4:$I$130,MATCH(F246,'G-8 Condition Look up'!$A$4:$A$130,0)),"")</f>
        <v/>
      </c>
      <c r="C246" s="244" t="str">
        <f>IFERROR(INDEX('G-1 All Habitats'!$AG$3:$AG$15,MATCH(D246,'G-1 All Habitats'!$AF$3:$AF$15,0)),"")</f>
        <v/>
      </c>
      <c r="D246" s="154"/>
      <c r="E246" s="203"/>
      <c r="F246" s="243" t="str">
        <f>IFERROR(INDEX('G-1 All Habitats'!$B$3:$B$129,MATCH(E246,'G-1 All Habitats'!$A$3:$A$129,0)),"")</f>
        <v/>
      </c>
      <c r="G246" s="386"/>
      <c r="H246" s="537" t="str">
        <f>IF(F246="","",VLOOKUP(F246,'G-1 All Habitats'!$B$2:$M$129,10,FALSE))</f>
        <v/>
      </c>
      <c r="I246" s="524" t="str">
        <f>IFERROR(VLOOKUP(H246,'G-1 All Habitats'!$V$3:$W$7,2,FALSE),"")</f>
        <v/>
      </c>
      <c r="J246" s="199"/>
      <c r="K246" s="524" t="str">
        <f>IFERROR(INDEX('G-8 Condition Look up'!$A$3:$H$130,MATCH(F246,'G-8 Condition Look up'!$A$3:$A$130,0),MATCH(J246,'G-8 Condition Look up'!$A$3:$H$3,0)),"")</f>
        <v/>
      </c>
      <c r="L246" s="145"/>
      <c r="M246" s="540" t="str">
        <f>IF(L246="","",IF(VLOOKUP(L246,'G-3 Multipliers'!$L$3:$N$6,2,FALSE)=0,"Spatial Data Missing ⚠",VLOOKUP(L246,'G-3 Multipliers'!$L$3:$N$6,2,FALSE)))</f>
        <v/>
      </c>
      <c r="N246" s="499" t="str">
        <f>IF(L246="","",IF(VLOOKUP(L246,'G-3 Multipliers'!$L$3:$N$6,3,FALSE)=0,"Spatial Data Missing ⚠",VLOOKUP(L246,'G-3 Multipliers'!$L$3:$N$6,3,FALSE)))</f>
        <v/>
      </c>
      <c r="O246" s="498" t="str">
        <f t="shared" si="15"/>
        <v/>
      </c>
      <c r="P246" s="195"/>
      <c r="Q246" s="195"/>
      <c r="R246" s="520" t="str">
        <f t="shared" si="16"/>
        <v/>
      </c>
      <c r="S246" s="544" t="str">
        <f t="shared" si="17"/>
        <v/>
      </c>
      <c r="T246" s="525" t="str">
        <f>IFERROR(IF(S246="Check Data ⚠","Check Data ⚠",VLOOKUP(S246,'G-4 Temporal multipliers'!$A$4:$C$37,3,FALSE)),"")</f>
        <v/>
      </c>
      <c r="U246" s="523" t="str">
        <f>IF(F246="","",VLOOKUP(F246,'G-3 Multipliers'!$A$2:$E$129,2,FALSE))</f>
        <v/>
      </c>
      <c r="V246" s="520" t="str">
        <f t="shared" si="19"/>
        <v/>
      </c>
      <c r="W246" s="520" t="str">
        <f>IF(E246="","",IF(AND(V246="Standard difficulty applied",O246&gt;P246),U246,IF(AND(V246="Low Difficulty - only applicable if all habitat created before losses ⚠",P246&gt;=O246),"Low",VLOOKUP(F246,'G-3 Multipliers'!$A$2:$E$129,4,FALSE))))</f>
        <v/>
      </c>
      <c r="X246" s="524" t="str">
        <f>IFERROR(IF(E246="","",VLOOKUP(W246, 'G-3 Multipliers'!$P$2:$Q$6,2,FALSE)),"")</f>
        <v/>
      </c>
      <c r="Y246" s="197"/>
      <c r="Z246" s="499" t="str">
        <f>IF(Y246="","",IF(VLOOKUP(Y246,'G-3 Multipliers'!$S$3:$T$9,2,FALSE)=0,"Spatial Data Missing ⚠",VLOOKUP(Y246,'G-3 Multipliers'!$S$3:$T$9,2,FALSE)))</f>
        <v/>
      </c>
      <c r="AA246" s="545" t="str">
        <f t="shared" si="18"/>
        <v/>
      </c>
      <c r="AB246" s="149"/>
      <c r="AC246" s="150"/>
    </row>
    <row r="247" spans="1:29" ht="13.8" x14ac:dyDescent="0.25">
      <c r="A247" s="31" t="str">
        <f>IFERROR(INDEX('G-8 Condition Look up'!$I$4:$I$130,MATCH(F247,'G-8 Condition Look up'!$A$4:$A$130,0)),"")</f>
        <v/>
      </c>
      <c r="C247" s="244" t="str">
        <f>IFERROR(INDEX('G-1 All Habitats'!$AG$3:$AG$15,MATCH(D247,'G-1 All Habitats'!$AF$3:$AF$15,0)),"")</f>
        <v/>
      </c>
      <c r="D247" s="154"/>
      <c r="E247" s="203"/>
      <c r="F247" s="243" t="str">
        <f>IFERROR(INDEX('G-1 All Habitats'!$B$3:$B$129,MATCH(E247,'G-1 All Habitats'!$A$3:$A$129,0)),"")</f>
        <v/>
      </c>
      <c r="G247" s="386"/>
      <c r="H247" s="537" t="str">
        <f>IF(F247="","",VLOOKUP(F247,'G-1 All Habitats'!$B$2:$M$129,10,FALSE))</f>
        <v/>
      </c>
      <c r="I247" s="524" t="str">
        <f>IFERROR(VLOOKUP(H247,'G-1 All Habitats'!$V$3:$W$7,2,FALSE),"")</f>
        <v/>
      </c>
      <c r="J247" s="199"/>
      <c r="K247" s="524" t="str">
        <f>IFERROR(INDEX('G-8 Condition Look up'!$A$3:$H$130,MATCH(F247,'G-8 Condition Look up'!$A$3:$A$130,0),MATCH(J247,'G-8 Condition Look up'!$A$3:$H$3,0)),"")</f>
        <v/>
      </c>
      <c r="L247" s="145"/>
      <c r="M247" s="540" t="str">
        <f>IF(L247="","",IF(VLOOKUP(L247,'G-3 Multipliers'!$L$3:$N$6,2,FALSE)=0,"Spatial Data Missing ⚠",VLOOKUP(L247,'G-3 Multipliers'!$L$3:$N$6,2,FALSE)))</f>
        <v/>
      </c>
      <c r="N247" s="499" t="str">
        <f>IF(L247="","",IF(VLOOKUP(L247,'G-3 Multipliers'!$L$3:$N$6,3,FALSE)=0,"Spatial Data Missing ⚠",VLOOKUP(L247,'G-3 Multipliers'!$L$3:$N$6,3,FALSE)))</f>
        <v/>
      </c>
      <c r="O247" s="498" t="str">
        <f t="shared" si="15"/>
        <v/>
      </c>
      <c r="P247" s="195"/>
      <c r="Q247" s="195"/>
      <c r="R247" s="520" t="str">
        <f t="shared" si="16"/>
        <v/>
      </c>
      <c r="S247" s="544" t="str">
        <f t="shared" si="17"/>
        <v/>
      </c>
      <c r="T247" s="525" t="str">
        <f>IFERROR(IF(S247="Check Data ⚠","Check Data ⚠",VLOOKUP(S247,'G-4 Temporal multipliers'!$A$4:$C$37,3,FALSE)),"")</f>
        <v/>
      </c>
      <c r="U247" s="523" t="str">
        <f>IF(F247="","",VLOOKUP(F247,'G-3 Multipliers'!$A$2:$E$129,2,FALSE))</f>
        <v/>
      </c>
      <c r="V247" s="520" t="str">
        <f t="shared" si="19"/>
        <v/>
      </c>
      <c r="W247" s="520" t="str">
        <f>IF(E247="","",IF(AND(V247="Standard difficulty applied",O247&gt;P247),U247,IF(AND(V247="Low Difficulty - only applicable if all habitat created before losses ⚠",P247&gt;=O247),"Low",VLOOKUP(F247,'G-3 Multipliers'!$A$2:$E$129,4,FALSE))))</f>
        <v/>
      </c>
      <c r="X247" s="524" t="str">
        <f>IFERROR(IF(E247="","",VLOOKUP(W247, 'G-3 Multipliers'!$P$2:$Q$6,2,FALSE)),"")</f>
        <v/>
      </c>
      <c r="Y247" s="197"/>
      <c r="Z247" s="499" t="str">
        <f>IF(Y247="","",IF(VLOOKUP(Y247,'G-3 Multipliers'!$S$3:$T$9,2,FALSE)=0,"Spatial Data Missing ⚠",VLOOKUP(Y247,'G-3 Multipliers'!$S$3:$T$9,2,FALSE)))</f>
        <v/>
      </c>
      <c r="AA247" s="545" t="str">
        <f t="shared" si="18"/>
        <v/>
      </c>
      <c r="AB247" s="149"/>
      <c r="AC247" s="150"/>
    </row>
    <row r="248" spans="1:29" ht="13.8" x14ac:dyDescent="0.25">
      <c r="A248" s="31" t="str">
        <f>IFERROR(INDEX('G-8 Condition Look up'!$I$4:$I$130,MATCH(F248,'G-8 Condition Look up'!$A$4:$A$130,0)),"")</f>
        <v/>
      </c>
      <c r="C248" s="244" t="str">
        <f>IFERROR(INDEX('G-1 All Habitats'!$AG$3:$AG$15,MATCH(D248,'G-1 All Habitats'!$AF$3:$AF$15,0)),"")</f>
        <v/>
      </c>
      <c r="D248" s="154"/>
      <c r="E248" s="203"/>
      <c r="F248" s="243" t="str">
        <f>IFERROR(INDEX('G-1 All Habitats'!$B$3:$B$129,MATCH(E248,'G-1 All Habitats'!$A$3:$A$129,0)),"")</f>
        <v/>
      </c>
      <c r="G248" s="386"/>
      <c r="H248" s="537" t="str">
        <f>IF(F248="","",VLOOKUP(F248,'G-1 All Habitats'!$B$2:$M$129,10,FALSE))</f>
        <v/>
      </c>
      <c r="I248" s="524" t="str">
        <f>IFERROR(VLOOKUP(H248,'G-1 All Habitats'!$V$3:$W$7,2,FALSE),"")</f>
        <v/>
      </c>
      <c r="J248" s="199"/>
      <c r="K248" s="524" t="str">
        <f>IFERROR(INDEX('G-8 Condition Look up'!$A$3:$H$130,MATCH(F248,'G-8 Condition Look up'!$A$3:$A$130,0),MATCH(J248,'G-8 Condition Look up'!$A$3:$H$3,0)),"")</f>
        <v/>
      </c>
      <c r="L248" s="145"/>
      <c r="M248" s="540" t="str">
        <f>IF(L248="","",IF(VLOOKUP(L248,'G-3 Multipliers'!$L$3:$N$6,2,FALSE)=0,"Spatial Data Missing ⚠",VLOOKUP(L248,'G-3 Multipliers'!$L$3:$N$6,2,FALSE)))</f>
        <v/>
      </c>
      <c r="N248" s="499" t="str">
        <f>IF(L248="","",IF(VLOOKUP(L248,'G-3 Multipliers'!$L$3:$N$6,3,FALSE)=0,"Spatial Data Missing ⚠",VLOOKUP(L248,'G-3 Multipliers'!$L$3:$N$6,3,FALSE)))</f>
        <v/>
      </c>
      <c r="O248" s="498" t="str">
        <f t="shared" si="15"/>
        <v/>
      </c>
      <c r="P248" s="195"/>
      <c r="Q248" s="195"/>
      <c r="R248" s="520" t="str">
        <f t="shared" si="16"/>
        <v/>
      </c>
      <c r="S248" s="544" t="str">
        <f t="shared" si="17"/>
        <v/>
      </c>
      <c r="T248" s="525" t="str">
        <f>IFERROR(IF(S248="Check Data ⚠","Check Data ⚠",VLOOKUP(S248,'G-4 Temporal multipliers'!$A$4:$C$37,3,FALSE)),"")</f>
        <v/>
      </c>
      <c r="U248" s="523" t="str">
        <f>IF(F248="","",VLOOKUP(F248,'G-3 Multipliers'!$A$2:$E$129,2,FALSE))</f>
        <v/>
      </c>
      <c r="V248" s="520" t="str">
        <f t="shared" si="19"/>
        <v/>
      </c>
      <c r="W248" s="520" t="str">
        <f>IF(E248="","",IF(AND(V248="Standard difficulty applied",O248&gt;P248),U248,IF(AND(V248="Low Difficulty - only applicable if all habitat created before losses ⚠",P248&gt;=O248),"Low",VLOOKUP(F248,'G-3 Multipliers'!$A$2:$E$129,4,FALSE))))</f>
        <v/>
      </c>
      <c r="X248" s="524" t="str">
        <f>IFERROR(IF(E248="","",VLOOKUP(W248, 'G-3 Multipliers'!$P$2:$Q$6,2,FALSE)),"")</f>
        <v/>
      </c>
      <c r="Y248" s="197"/>
      <c r="Z248" s="499" t="str">
        <f>IF(Y248="","",IF(VLOOKUP(Y248,'G-3 Multipliers'!$S$3:$T$9,2,FALSE)=0,"Spatial Data Missing ⚠",VLOOKUP(Y248,'G-3 Multipliers'!$S$3:$T$9,2,FALSE)))</f>
        <v/>
      </c>
      <c r="AA248" s="545" t="str">
        <f t="shared" si="18"/>
        <v/>
      </c>
      <c r="AB248" s="149"/>
      <c r="AC248" s="150"/>
    </row>
    <row r="249" spans="1:29" ht="13.8" x14ac:dyDescent="0.25">
      <c r="A249" s="31" t="str">
        <f>IFERROR(INDEX('G-8 Condition Look up'!$I$4:$I$130,MATCH(F249,'G-8 Condition Look up'!$A$4:$A$130,0)),"")</f>
        <v/>
      </c>
      <c r="C249" s="244" t="str">
        <f>IFERROR(INDEX('G-1 All Habitats'!$AG$3:$AG$15,MATCH(D249,'G-1 All Habitats'!$AF$3:$AF$15,0)),"")</f>
        <v/>
      </c>
      <c r="D249" s="154"/>
      <c r="E249" s="203"/>
      <c r="F249" s="243" t="str">
        <f>IFERROR(INDEX('G-1 All Habitats'!$B$3:$B$129,MATCH(E249,'G-1 All Habitats'!$A$3:$A$129,0)),"")</f>
        <v/>
      </c>
      <c r="G249" s="386"/>
      <c r="H249" s="537" t="str">
        <f>IF(F249="","",VLOOKUP(F249,'G-1 All Habitats'!$B$2:$M$129,10,FALSE))</f>
        <v/>
      </c>
      <c r="I249" s="524" t="str">
        <f>IFERROR(VLOOKUP(H249,'G-1 All Habitats'!$V$3:$W$7,2,FALSE),"")</f>
        <v/>
      </c>
      <c r="J249" s="199"/>
      <c r="K249" s="524" t="str">
        <f>IFERROR(INDEX('G-8 Condition Look up'!$A$3:$H$130,MATCH(F249,'G-8 Condition Look up'!$A$3:$A$130,0),MATCH(J249,'G-8 Condition Look up'!$A$3:$H$3,0)),"")</f>
        <v/>
      </c>
      <c r="L249" s="145"/>
      <c r="M249" s="540" t="str">
        <f>IF(L249="","",IF(VLOOKUP(L249,'G-3 Multipliers'!$L$3:$N$6,2,FALSE)=0,"Spatial Data Missing ⚠",VLOOKUP(L249,'G-3 Multipliers'!$L$3:$N$6,2,FALSE)))</f>
        <v/>
      </c>
      <c r="N249" s="499" t="str">
        <f>IF(L249="","",IF(VLOOKUP(L249,'G-3 Multipliers'!$L$3:$N$6,3,FALSE)=0,"Spatial Data Missing ⚠",VLOOKUP(L249,'G-3 Multipliers'!$L$3:$N$6,3,FALSE)))</f>
        <v/>
      </c>
      <c r="O249" s="498" t="str">
        <f t="shared" si="15"/>
        <v/>
      </c>
      <c r="P249" s="195"/>
      <c r="Q249" s="195"/>
      <c r="R249" s="520" t="str">
        <f t="shared" si="16"/>
        <v/>
      </c>
      <c r="S249" s="544" t="str">
        <f t="shared" si="17"/>
        <v/>
      </c>
      <c r="T249" s="525" t="str">
        <f>IFERROR(IF(S249="Check Data ⚠","Check Data ⚠",VLOOKUP(S249,'G-4 Temporal multipliers'!$A$4:$C$37,3,FALSE)),"")</f>
        <v/>
      </c>
      <c r="U249" s="523" t="str">
        <f>IF(F249="","",VLOOKUP(F249,'G-3 Multipliers'!$A$2:$E$129,2,FALSE))</f>
        <v/>
      </c>
      <c r="V249" s="520" t="str">
        <f t="shared" si="19"/>
        <v/>
      </c>
      <c r="W249" s="520" t="str">
        <f>IF(E249="","",IF(AND(V249="Standard difficulty applied",O249&gt;P249),U249,IF(AND(V249="Low Difficulty - only applicable if all habitat created before losses ⚠",P249&gt;=O249),"Low",VLOOKUP(F249,'G-3 Multipliers'!$A$2:$E$129,4,FALSE))))</f>
        <v/>
      </c>
      <c r="X249" s="524" t="str">
        <f>IFERROR(IF(E249="","",VLOOKUP(W249, 'G-3 Multipliers'!$P$2:$Q$6,2,FALSE)),"")</f>
        <v/>
      </c>
      <c r="Y249" s="197"/>
      <c r="Z249" s="499" t="str">
        <f>IF(Y249="","",IF(VLOOKUP(Y249,'G-3 Multipliers'!$S$3:$T$9,2,FALSE)=0,"Spatial Data Missing ⚠",VLOOKUP(Y249,'G-3 Multipliers'!$S$3:$T$9,2,FALSE)))</f>
        <v/>
      </c>
      <c r="AA249" s="545" t="str">
        <f t="shared" si="18"/>
        <v/>
      </c>
      <c r="AB249" s="149"/>
      <c r="AC249" s="150"/>
    </row>
    <row r="250" spans="1:29" ht="13.8" x14ac:dyDescent="0.25">
      <c r="A250" s="31" t="str">
        <f>IFERROR(INDEX('G-8 Condition Look up'!$I$4:$I$130,MATCH(F250,'G-8 Condition Look up'!$A$4:$A$130,0)),"")</f>
        <v/>
      </c>
      <c r="C250" s="244" t="str">
        <f>IFERROR(INDEX('G-1 All Habitats'!$AG$3:$AG$15,MATCH(D250,'G-1 All Habitats'!$AF$3:$AF$15,0)),"")</f>
        <v/>
      </c>
      <c r="D250" s="154"/>
      <c r="E250" s="203"/>
      <c r="F250" s="243" t="str">
        <f>IFERROR(INDEX('G-1 All Habitats'!$B$3:$B$129,MATCH(E250,'G-1 All Habitats'!$A$3:$A$129,0)),"")</f>
        <v/>
      </c>
      <c r="G250" s="386"/>
      <c r="H250" s="537" t="str">
        <f>IF(F250="","",VLOOKUP(F250,'G-1 All Habitats'!$B$2:$M$129,10,FALSE))</f>
        <v/>
      </c>
      <c r="I250" s="524" t="str">
        <f>IFERROR(VLOOKUP(H250,'G-1 All Habitats'!$V$3:$W$7,2,FALSE),"")</f>
        <v/>
      </c>
      <c r="J250" s="199"/>
      <c r="K250" s="524" t="str">
        <f>IFERROR(INDEX('G-8 Condition Look up'!$A$3:$H$130,MATCH(F250,'G-8 Condition Look up'!$A$3:$A$130,0),MATCH(J250,'G-8 Condition Look up'!$A$3:$H$3,0)),"")</f>
        <v/>
      </c>
      <c r="L250" s="145"/>
      <c r="M250" s="540" t="str">
        <f>IF(L250="","",IF(VLOOKUP(L250,'G-3 Multipliers'!$L$3:$N$6,2,FALSE)=0,"Spatial Data Missing ⚠",VLOOKUP(L250,'G-3 Multipliers'!$L$3:$N$6,2,FALSE)))</f>
        <v/>
      </c>
      <c r="N250" s="499" t="str">
        <f>IF(L250="","",IF(VLOOKUP(L250,'G-3 Multipliers'!$L$3:$N$6,3,FALSE)=0,"Spatial Data Missing ⚠",VLOOKUP(L250,'G-3 Multipliers'!$L$3:$N$6,3,FALSE)))</f>
        <v/>
      </c>
      <c r="O250" s="498" t="str">
        <f t="shared" si="15"/>
        <v/>
      </c>
      <c r="P250" s="195"/>
      <c r="Q250" s="195"/>
      <c r="R250" s="520" t="str">
        <f t="shared" si="16"/>
        <v/>
      </c>
      <c r="S250" s="544" t="str">
        <f t="shared" si="17"/>
        <v/>
      </c>
      <c r="T250" s="525" t="str">
        <f>IFERROR(IF(S250="Check Data ⚠","Check Data ⚠",VLOOKUP(S250,'G-4 Temporal multipliers'!$A$4:$C$37,3,FALSE)),"")</f>
        <v/>
      </c>
      <c r="U250" s="523" t="str">
        <f>IF(F250="","",VLOOKUP(F250,'G-3 Multipliers'!$A$2:$E$129,2,FALSE))</f>
        <v/>
      </c>
      <c r="V250" s="520" t="str">
        <f t="shared" si="19"/>
        <v/>
      </c>
      <c r="W250" s="520" t="str">
        <f>IF(E250="","",IF(AND(V250="Standard difficulty applied",O250&gt;P250),U250,IF(AND(V250="Low Difficulty - only applicable if all habitat created before losses ⚠",P250&gt;=O250),"Low",VLOOKUP(F250,'G-3 Multipliers'!$A$2:$E$129,4,FALSE))))</f>
        <v/>
      </c>
      <c r="X250" s="524" t="str">
        <f>IFERROR(IF(E250="","",VLOOKUP(W250, 'G-3 Multipliers'!$P$2:$Q$6,2,FALSE)),"")</f>
        <v/>
      </c>
      <c r="Y250" s="197"/>
      <c r="Z250" s="499" t="str">
        <f>IF(Y250="","",IF(VLOOKUP(Y250,'G-3 Multipliers'!$S$3:$T$9,2,FALSE)=0,"Spatial Data Missing ⚠",VLOOKUP(Y250,'G-3 Multipliers'!$S$3:$T$9,2,FALSE)))</f>
        <v/>
      </c>
      <c r="AA250" s="545" t="str">
        <f t="shared" si="18"/>
        <v/>
      </c>
      <c r="AB250" s="149"/>
      <c r="AC250" s="150"/>
    </row>
    <row r="251" spans="1:29" ht="13.8" x14ac:dyDescent="0.25">
      <c r="A251" s="31" t="str">
        <f>IFERROR(INDEX('G-8 Condition Look up'!$I$4:$I$130,MATCH(F251,'G-8 Condition Look up'!$A$4:$A$130,0)),"")</f>
        <v/>
      </c>
      <c r="C251" s="244" t="str">
        <f>IFERROR(INDEX('G-1 All Habitats'!$AG$3:$AG$15,MATCH(D251,'G-1 All Habitats'!$AF$3:$AF$15,0)),"")</f>
        <v/>
      </c>
      <c r="D251" s="154"/>
      <c r="E251" s="203"/>
      <c r="F251" s="243" t="str">
        <f>IFERROR(INDEX('G-1 All Habitats'!$B$3:$B$129,MATCH(E251,'G-1 All Habitats'!$A$3:$A$129,0)),"")</f>
        <v/>
      </c>
      <c r="G251" s="386"/>
      <c r="H251" s="537" t="str">
        <f>IF(F251="","",VLOOKUP(F251,'G-1 All Habitats'!$B$2:$M$129,10,FALSE))</f>
        <v/>
      </c>
      <c r="I251" s="524" t="str">
        <f>IFERROR(VLOOKUP(H251,'G-1 All Habitats'!$V$3:$W$7,2,FALSE),"")</f>
        <v/>
      </c>
      <c r="J251" s="199"/>
      <c r="K251" s="524" t="str">
        <f>IFERROR(INDEX('G-8 Condition Look up'!$A$3:$H$130,MATCH(F251,'G-8 Condition Look up'!$A$3:$A$130,0),MATCH(J251,'G-8 Condition Look up'!$A$3:$H$3,0)),"")</f>
        <v/>
      </c>
      <c r="L251" s="145"/>
      <c r="M251" s="540" t="str">
        <f>IF(L251="","",IF(VLOOKUP(L251,'G-3 Multipliers'!$L$3:$N$6,2,FALSE)=0,"Spatial Data Missing ⚠",VLOOKUP(L251,'G-3 Multipliers'!$L$3:$N$6,2,FALSE)))</f>
        <v/>
      </c>
      <c r="N251" s="499" t="str">
        <f>IF(L251="","",IF(VLOOKUP(L251,'G-3 Multipliers'!$L$3:$N$6,3,FALSE)=0,"Spatial Data Missing ⚠",VLOOKUP(L251,'G-3 Multipliers'!$L$3:$N$6,3,FALSE)))</f>
        <v/>
      </c>
      <c r="O251" s="498" t="str">
        <f t="shared" si="15"/>
        <v/>
      </c>
      <c r="P251" s="195"/>
      <c r="Q251" s="195"/>
      <c r="R251" s="520" t="str">
        <f t="shared" si="16"/>
        <v/>
      </c>
      <c r="S251" s="544" t="str">
        <f t="shared" si="17"/>
        <v/>
      </c>
      <c r="T251" s="525" t="str">
        <f>IFERROR(IF(S251="Check Data ⚠","Check Data ⚠",VLOOKUP(S251,'G-4 Temporal multipliers'!$A$4:$C$37,3,FALSE)),"")</f>
        <v/>
      </c>
      <c r="U251" s="523" t="str">
        <f>IF(F251="","",VLOOKUP(F251,'G-3 Multipliers'!$A$2:$E$129,2,FALSE))</f>
        <v/>
      </c>
      <c r="V251" s="520" t="str">
        <f t="shared" si="19"/>
        <v/>
      </c>
      <c r="W251" s="520" t="str">
        <f>IF(E251="","",IF(AND(V251="Standard difficulty applied",O251&gt;P251),U251,IF(AND(V251="Low Difficulty - only applicable if all habitat created before losses ⚠",P251&gt;=O251),"Low",VLOOKUP(F251,'G-3 Multipliers'!$A$2:$E$129,4,FALSE))))</f>
        <v/>
      </c>
      <c r="X251" s="524" t="str">
        <f>IFERROR(IF(E251="","",VLOOKUP(W251, 'G-3 Multipliers'!$P$2:$Q$6,2,FALSE)),"")</f>
        <v/>
      </c>
      <c r="Y251" s="197"/>
      <c r="Z251" s="499" t="str">
        <f>IF(Y251="","",IF(VLOOKUP(Y251,'G-3 Multipliers'!$S$3:$T$9,2,FALSE)=0,"Spatial Data Missing ⚠",VLOOKUP(Y251,'G-3 Multipliers'!$S$3:$T$9,2,FALSE)))</f>
        <v/>
      </c>
      <c r="AA251" s="545" t="str">
        <f t="shared" si="18"/>
        <v/>
      </c>
      <c r="AB251" s="149"/>
      <c r="AC251" s="150"/>
    </row>
    <row r="252" spans="1:29" ht="13.8" x14ac:dyDescent="0.25">
      <c r="A252" s="31" t="str">
        <f>IFERROR(INDEX('G-8 Condition Look up'!$I$4:$I$130,MATCH(F252,'G-8 Condition Look up'!$A$4:$A$130,0)),"")</f>
        <v/>
      </c>
      <c r="C252" s="244" t="str">
        <f>IFERROR(INDEX('G-1 All Habitats'!$AG$3:$AG$15,MATCH(D252,'G-1 All Habitats'!$AF$3:$AF$15,0)),"")</f>
        <v/>
      </c>
      <c r="D252" s="154"/>
      <c r="E252" s="203"/>
      <c r="F252" s="243" t="str">
        <f>IFERROR(INDEX('G-1 All Habitats'!$B$3:$B$129,MATCH(E252,'G-1 All Habitats'!$A$3:$A$129,0)),"")</f>
        <v/>
      </c>
      <c r="G252" s="386"/>
      <c r="H252" s="537" t="str">
        <f>IF(F252="","",VLOOKUP(F252,'G-1 All Habitats'!$B$2:$M$129,10,FALSE))</f>
        <v/>
      </c>
      <c r="I252" s="524" t="str">
        <f>IFERROR(VLOOKUP(H252,'G-1 All Habitats'!$V$3:$W$7,2,FALSE),"")</f>
        <v/>
      </c>
      <c r="J252" s="199"/>
      <c r="K252" s="524" t="str">
        <f>IFERROR(INDEX('G-8 Condition Look up'!$A$3:$H$130,MATCH(F252,'G-8 Condition Look up'!$A$3:$A$130,0),MATCH(J252,'G-8 Condition Look up'!$A$3:$H$3,0)),"")</f>
        <v/>
      </c>
      <c r="L252" s="145"/>
      <c r="M252" s="540" t="str">
        <f>IF(L252="","",IF(VLOOKUP(L252,'G-3 Multipliers'!$L$3:$N$6,2,FALSE)=0,"Spatial Data Missing 'D-3 Off Site Habitat Enhancment'!",VLOOKUP(L252,'G-3 Multipliers'!$L$3:$N$6,2,FALSE)))</f>
        <v/>
      </c>
      <c r="N252" s="499" t="str">
        <f>IF(L252="","",IF(VLOOKUP(L252,'G-3 Multipliers'!$L$3:$N$6,3,FALSE)=0,"Spatial Data Missing ⚠",VLOOKUP(L252,'G-3 Multipliers'!$L$3:$N$6,3,FALSE)))</f>
        <v/>
      </c>
      <c r="O252" s="498" t="str">
        <f t="shared" si="15"/>
        <v/>
      </c>
      <c r="P252" s="195"/>
      <c r="Q252" s="195"/>
      <c r="R252" s="520" t="str">
        <f t="shared" si="16"/>
        <v/>
      </c>
      <c r="S252" s="544" t="str">
        <f t="shared" si="17"/>
        <v/>
      </c>
      <c r="T252" s="525" t="str">
        <f>IFERROR(IF(S252="Check Data ⚠","Check Data ⚠",VLOOKUP(S252,'G-4 Temporal multipliers'!$A$4:$C$37,3,FALSE)),"")</f>
        <v/>
      </c>
      <c r="U252" s="523" t="str">
        <f>IF(F252="","",VLOOKUP(F252,'G-3 Multipliers'!$A$2:$E$129,2,FALSE))</f>
        <v/>
      </c>
      <c r="V252" s="520" t="str">
        <f t="shared" si="19"/>
        <v/>
      </c>
      <c r="W252" s="520" t="str">
        <f>IF(E252="","",IF(AND(V252="Standard difficulty applied",O252&gt;P252),U252,IF(AND(V252="Low Difficulty - only applicable if all habitat created before losses ⚠",P252&gt;=O252),"Low",VLOOKUP(F252,'G-3 Multipliers'!$A$2:$E$129,4,FALSE))))</f>
        <v/>
      </c>
      <c r="X252" s="524" t="str">
        <f>IFERROR(IF(E252="","",VLOOKUP(W252, 'G-3 Multipliers'!$P$2:$Q$6,2,FALSE)),"")</f>
        <v/>
      </c>
      <c r="Y252" s="197"/>
      <c r="Z252" s="499" t="str">
        <f>IF(Y252="","",IF(VLOOKUP(Y252,'G-3 Multipliers'!$S$3:$T$9,2,FALSE)=0,"Spatial Data Missing ⚠",VLOOKUP(Y252,'G-3 Multipliers'!$S$3:$T$9,2,FALSE)))</f>
        <v/>
      </c>
      <c r="AA252" s="545" t="str">
        <f t="shared" si="18"/>
        <v/>
      </c>
      <c r="AB252" s="149"/>
      <c r="AC252" s="150"/>
    </row>
    <row r="253" spans="1:29" ht="13.8" x14ac:dyDescent="0.25">
      <c r="A253" s="31" t="str">
        <f>IFERROR(INDEX('G-8 Condition Look up'!$I$4:$I$130,MATCH(F253,'G-8 Condition Look up'!$A$4:$A$130,0)),"")</f>
        <v/>
      </c>
      <c r="C253" s="244" t="str">
        <f>IFERROR(INDEX('G-1 All Habitats'!$AG$3:$AG$15,MATCH(D253,'G-1 All Habitats'!$AF$3:$AF$15,0)),"")</f>
        <v/>
      </c>
      <c r="D253" s="154"/>
      <c r="E253" s="203"/>
      <c r="F253" s="243" t="str">
        <f>IFERROR(INDEX('G-1 All Habitats'!$B$3:$B$129,MATCH(E253,'G-1 All Habitats'!$A$3:$A$129,0)),"")</f>
        <v/>
      </c>
      <c r="G253" s="386"/>
      <c r="H253" s="537" t="str">
        <f>IF(F253="","",VLOOKUP(F253,'G-1 All Habitats'!$B$2:$M$129,10,FALSE))</f>
        <v/>
      </c>
      <c r="I253" s="524" t="str">
        <f>IFERROR(VLOOKUP(H253,'G-1 All Habitats'!$V$3:$W$7,2,FALSE),"")</f>
        <v/>
      </c>
      <c r="J253" s="199"/>
      <c r="K253" s="524" t="str">
        <f>IFERROR(INDEX('G-8 Condition Look up'!$A$3:$H$130,MATCH(F253,'G-8 Condition Look up'!$A$3:$A$130,0),MATCH(J253,'G-8 Condition Look up'!$A$3:$H$3,0)),"")</f>
        <v/>
      </c>
      <c r="L253" s="145"/>
      <c r="M253" s="540" t="str">
        <f>IF(L253="","",IF(VLOOKUP(L253,'G-3 Multipliers'!$L$3:$N$6,2,FALSE)=0,"Spatial Data Missing ⚠",VLOOKUP(L253,'G-3 Multipliers'!$L$3:$N$6,2,FALSE)))</f>
        <v/>
      </c>
      <c r="N253" s="499" t="str">
        <f>IF(L253="","",IF(VLOOKUP(L253,'G-3 Multipliers'!$L$3:$N$6,3,FALSE)=0,"Spatial Data Missing ⚠",VLOOKUP(L253,'G-3 Multipliers'!$L$3:$N$6,3,FALSE)))</f>
        <v/>
      </c>
      <c r="O253" s="498" t="str">
        <f t="shared" si="15"/>
        <v/>
      </c>
      <c r="P253" s="195"/>
      <c r="Q253" s="195"/>
      <c r="R253" s="520" t="str">
        <f t="shared" si="16"/>
        <v/>
      </c>
      <c r="S253" s="544" t="str">
        <f t="shared" si="17"/>
        <v/>
      </c>
      <c r="T253" s="525" t="str">
        <f>IFERROR(IF(S253="Check Data ⚠","Check Data ⚠",VLOOKUP(S253,'G-4 Temporal multipliers'!$A$4:$C$37,3,FALSE)),"")</f>
        <v/>
      </c>
      <c r="U253" s="523" t="str">
        <f>IF(F253="","",VLOOKUP(F253,'G-3 Multipliers'!$A$2:$E$129,2,FALSE))</f>
        <v/>
      </c>
      <c r="V253" s="520" t="str">
        <f t="shared" si="19"/>
        <v/>
      </c>
      <c r="W253" s="520" t="str">
        <f>IF(E253="","",IF(AND(V253="Standard difficulty applied",O253&gt;P253),U253,IF(AND(V253="Low Difficulty - only applicable if all habitat created before losses ⚠",P253&gt;=O253),"Low",VLOOKUP(F253,'G-3 Multipliers'!$A$2:$E$129,4,FALSE))))</f>
        <v/>
      </c>
      <c r="X253" s="524" t="str">
        <f>IFERROR(IF(E253="","",VLOOKUP(W253, 'G-3 Multipliers'!$P$2:$Q$6,2,FALSE)),"")</f>
        <v/>
      </c>
      <c r="Y253" s="197"/>
      <c r="Z253" s="499" t="str">
        <f>IF(Y253="","",IF(VLOOKUP(Y253,'G-3 Multipliers'!$S$3:$T$9,2,FALSE)=0,"Spatial Data Missing ⚠",VLOOKUP(Y253,'G-3 Multipliers'!$S$3:$T$9,2,FALSE)))</f>
        <v/>
      </c>
      <c r="AA253" s="545" t="str">
        <f t="shared" si="18"/>
        <v/>
      </c>
      <c r="AB253" s="149"/>
      <c r="AC253" s="150"/>
    </row>
    <row r="254" spans="1:29" ht="13.8" x14ac:dyDescent="0.25">
      <c r="A254" s="31" t="str">
        <f>IFERROR(INDEX('G-8 Condition Look up'!$I$4:$I$130,MATCH(F254,'G-8 Condition Look up'!$A$4:$A$130,0)),"")</f>
        <v/>
      </c>
      <c r="C254" s="244" t="str">
        <f>IFERROR(INDEX('G-1 All Habitats'!$AG$3:$AG$15,MATCH(D254,'G-1 All Habitats'!$AF$3:$AF$15,0)),"")</f>
        <v/>
      </c>
      <c r="D254" s="154"/>
      <c r="E254" s="203"/>
      <c r="F254" s="243" t="str">
        <f>IFERROR(INDEX('G-1 All Habitats'!$B$3:$B$129,MATCH(E254,'G-1 All Habitats'!$A$3:$A$129,0)),"")</f>
        <v/>
      </c>
      <c r="G254" s="386"/>
      <c r="H254" s="537" t="str">
        <f>IF(F254="","",VLOOKUP(F254,'G-1 All Habitats'!$B$2:$M$129,10,FALSE))</f>
        <v/>
      </c>
      <c r="I254" s="524" t="str">
        <f>IFERROR(VLOOKUP(H254,'G-1 All Habitats'!$V$3:$W$7,2,FALSE),"")</f>
        <v/>
      </c>
      <c r="J254" s="199"/>
      <c r="K254" s="524" t="str">
        <f>IFERROR(INDEX('G-8 Condition Look up'!$A$3:$H$130,MATCH(F254,'G-8 Condition Look up'!$A$3:$A$130,0),MATCH(J254,'G-8 Condition Look up'!$A$3:$H$3,0)),"")</f>
        <v/>
      </c>
      <c r="L254" s="145"/>
      <c r="M254" s="540" t="str">
        <f>IF(L254="","",IF(VLOOKUP(L254,'G-3 Multipliers'!$L$3:$N$6,2,FALSE)=0,"Spatial Data Missing ⚠",VLOOKUP(L254,'G-3 Multipliers'!$L$3:$N$6,2,FALSE)))</f>
        <v/>
      </c>
      <c r="N254" s="499" t="str">
        <f>IF(L254="","",IF(VLOOKUP(L254,'G-3 Multipliers'!$L$3:$N$6,3,FALSE)=0,"Spatial Data Missing ⚠",VLOOKUP(L254,'G-3 Multipliers'!$L$3:$N$6,3,FALSE)))</f>
        <v/>
      </c>
      <c r="O254" s="498" t="str">
        <f t="shared" si="15"/>
        <v/>
      </c>
      <c r="P254" s="195"/>
      <c r="Q254" s="195"/>
      <c r="R254" s="520" t="str">
        <f t="shared" si="16"/>
        <v/>
      </c>
      <c r="S254" s="544" t="str">
        <f t="shared" si="17"/>
        <v/>
      </c>
      <c r="T254" s="525" t="str">
        <f>IFERROR(IF(S254="Check Data ⚠","Check Data ⚠",VLOOKUP(S254,'G-4 Temporal multipliers'!$A$4:$C$37,3,FALSE)),"")</f>
        <v/>
      </c>
      <c r="U254" s="523" t="str">
        <f>IF(F254="","",VLOOKUP(F254,'G-3 Multipliers'!$A$2:$E$129,2,FALSE))</f>
        <v/>
      </c>
      <c r="V254" s="520" t="str">
        <f t="shared" si="19"/>
        <v/>
      </c>
      <c r="W254" s="520" t="str">
        <f>IF(E254="","",IF(AND(V254="Standard difficulty applied",O254&gt;P254),U254,IF(AND(V254="Low Difficulty - only applicable if all habitat created before losses ⚠",P254&gt;=O254),"Low",VLOOKUP(F254,'G-3 Multipliers'!$A$2:$E$129,4,FALSE))))</f>
        <v/>
      </c>
      <c r="X254" s="524" t="str">
        <f>IFERROR(IF(E254="","",VLOOKUP(W254, 'G-3 Multipliers'!$P$2:$Q$6,2,FALSE)),"")</f>
        <v/>
      </c>
      <c r="Y254" s="197"/>
      <c r="Z254" s="499" t="str">
        <f>IF(Y254="","",IF(VLOOKUP(Y254,'G-3 Multipliers'!$S$3:$T$9,2,FALSE)=0,"Spatial Data Missing ⚠",VLOOKUP(Y254,'G-3 Multipliers'!$S$3:$T$9,2,FALSE)))</f>
        <v/>
      </c>
      <c r="AA254" s="545" t="str">
        <f t="shared" si="18"/>
        <v/>
      </c>
      <c r="AB254" s="149"/>
      <c r="AC254" s="150"/>
    </row>
    <row r="255" spans="1:29" ht="13.8" x14ac:dyDescent="0.25">
      <c r="A255" s="31" t="str">
        <f>IFERROR(INDEX('G-8 Condition Look up'!$I$4:$I$130,MATCH(F255,'G-8 Condition Look up'!$A$4:$A$130,0)),"")</f>
        <v/>
      </c>
      <c r="C255" s="244" t="str">
        <f>IFERROR(INDEX('G-1 All Habitats'!$AG$3:$AG$15,MATCH(D255,'G-1 All Habitats'!$AF$3:$AF$15,0)),"")</f>
        <v/>
      </c>
      <c r="D255" s="154"/>
      <c r="E255" s="203"/>
      <c r="F255" s="243" t="str">
        <f>IFERROR(INDEX('G-1 All Habitats'!$B$3:$B$129,MATCH(E255,'G-1 All Habitats'!$A$3:$A$129,0)),"")</f>
        <v/>
      </c>
      <c r="G255" s="386"/>
      <c r="H255" s="537" t="str">
        <f>IF(F255="","",VLOOKUP(F255,'G-1 All Habitats'!$B$2:$M$129,10,FALSE))</f>
        <v/>
      </c>
      <c r="I255" s="524" t="str">
        <f>IFERROR(VLOOKUP(H255,'G-1 All Habitats'!$V$3:$W$7,2,FALSE),"")</f>
        <v/>
      </c>
      <c r="J255" s="199"/>
      <c r="K255" s="524" t="str">
        <f>IFERROR(INDEX('G-8 Condition Look up'!$A$3:$H$130,MATCH(F255,'G-8 Condition Look up'!$A$3:$A$130,0),MATCH(J255,'G-8 Condition Look up'!$A$3:$H$3,0)),"")</f>
        <v/>
      </c>
      <c r="L255" s="145"/>
      <c r="M255" s="540" t="str">
        <f>IF(L255="","",IF(VLOOKUP(L255,'G-3 Multipliers'!$L$3:$N$6,2,FALSE)=0,"Spatial Data Missing ⚠",VLOOKUP(L255,'G-3 Multipliers'!$L$3:$N$6,2,FALSE)))</f>
        <v/>
      </c>
      <c r="N255" s="499" t="str">
        <f>IF(L255="","",IF(VLOOKUP(L255,'G-3 Multipliers'!$L$3:$N$6,3,FALSE)=0,"Spatial Data Missing ⚠",VLOOKUP(L255,'G-3 Multipliers'!$L$3:$N$6,3,FALSE)))</f>
        <v/>
      </c>
      <c r="O255" s="498" t="str">
        <f t="shared" si="15"/>
        <v/>
      </c>
      <c r="P255" s="195"/>
      <c r="Q255" s="195"/>
      <c r="R255" s="520" t="str">
        <f t="shared" si="16"/>
        <v/>
      </c>
      <c r="S255" s="544" t="str">
        <f t="shared" si="17"/>
        <v/>
      </c>
      <c r="T255" s="525" t="str">
        <f>IFERROR(IF(S255="Check Data ⚠","Check Data ⚠",VLOOKUP(S255,'G-4 Temporal multipliers'!$A$4:$C$37,3,FALSE)),"")</f>
        <v/>
      </c>
      <c r="U255" s="523" t="str">
        <f>IF(F255="","",VLOOKUP(F255,'G-3 Multipliers'!$A$2:$E$129,2,FALSE))</f>
        <v/>
      </c>
      <c r="V255" s="520" t="str">
        <f t="shared" si="19"/>
        <v/>
      </c>
      <c r="W255" s="520" t="str">
        <f>IF(E255="","",IF(AND(V255="Standard difficulty applied",O255&gt;P255),U255,IF(AND(V255="Low Difficulty - only applicable if all habitat created before losses ⚠",P255&gt;=O255),"Low",VLOOKUP(F255,'G-3 Multipliers'!$A$2:$E$129,4,FALSE))))</f>
        <v/>
      </c>
      <c r="X255" s="524" t="str">
        <f>IFERROR(IF(E255="","",VLOOKUP(W255, 'G-3 Multipliers'!$P$2:$Q$6,2,FALSE)),"")</f>
        <v/>
      </c>
      <c r="Y255" s="197"/>
      <c r="Z255" s="499" t="str">
        <f>IF(Y255="","",IF(VLOOKUP(Y255,'G-3 Multipliers'!$S$3:$T$9,2,FALSE)=0,"Spatial Data Missing ⚠",VLOOKUP(Y255,'G-3 Multipliers'!$S$3:$T$9,2,FALSE)))</f>
        <v/>
      </c>
      <c r="AA255" s="545" t="str">
        <f t="shared" si="18"/>
        <v/>
      </c>
      <c r="AB255" s="149"/>
      <c r="AC255" s="150"/>
    </row>
    <row r="256" spans="1:29" ht="14.4" thickBot="1" x14ac:dyDescent="0.3">
      <c r="A256" s="31" t="str">
        <f>IFERROR(INDEX('G-8 Condition Look up'!$I$4:$I$130,MATCH(F256,'G-8 Condition Look up'!$A$4:$A$130,0)),"")</f>
        <v/>
      </c>
      <c r="C256" s="244" t="str">
        <f>IFERROR(INDEX('G-1 All Habitats'!$AG$3:$AG$15,MATCH(D256,'G-1 All Habitats'!$AF$3:$AF$15,0)),"")</f>
        <v/>
      </c>
      <c r="D256" s="161"/>
      <c r="E256" s="206"/>
      <c r="F256" s="323" t="str">
        <f>IFERROR(INDEX('G-1 All Habitats'!$B$3:$B$129,MATCH(E256,'G-1 All Habitats'!$A$3:$A$129,0)),"")</f>
        <v/>
      </c>
      <c r="G256" s="387"/>
      <c r="H256" s="500" t="str">
        <f>IF(F256="","",VLOOKUP(F256,'G-1 All Habitats'!$B$2:$M$129,10,FALSE))</f>
        <v/>
      </c>
      <c r="I256" s="501" t="str">
        <f>IFERROR(VLOOKUP(H256,'G-1 All Habitats'!$V$3:$W$7,2,FALSE),"")</f>
        <v/>
      </c>
      <c r="J256" s="270"/>
      <c r="K256" s="501" t="str">
        <f>IFERROR(INDEX('G-8 Condition Look up'!$A$3:$H$130,MATCH(F256,'G-8 Condition Look up'!$A$3:$A$130,0),MATCH(J256,'G-8 Condition Look up'!$A$3:$H$3,0)),"")</f>
        <v/>
      </c>
      <c r="L256" s="161"/>
      <c r="M256" s="540" t="str">
        <f>IF(L256="","",IF(VLOOKUP(L256,'G-3 Multipliers'!$L$3:$N$6,2,FALSE)=0,"Spatial Data Missing ⚠",VLOOKUP(L256,'G-3 Multipliers'!$L$3:$N$6,2,FALSE)))</f>
        <v/>
      </c>
      <c r="N256" s="499" t="str">
        <f>IF(L256="","",IF(VLOOKUP(L256,'G-3 Multipliers'!$L$3:$N$6,3,FALSE)=0,"Spatial Data Missing ⚠",VLOOKUP(L256,'G-3 Multipliers'!$L$3:$N$6,3,FALSE)))</f>
        <v/>
      </c>
      <c r="O256" s="498" t="str">
        <f t="shared" si="15"/>
        <v/>
      </c>
      <c r="P256" s="206"/>
      <c r="Q256" s="206"/>
      <c r="R256" s="520" t="str">
        <f t="shared" si="16"/>
        <v/>
      </c>
      <c r="S256" s="544" t="str">
        <f t="shared" si="17"/>
        <v/>
      </c>
      <c r="T256" s="525" t="str">
        <f>IFERROR(IF(S256="Check Data ⚠","Check Data ⚠",VLOOKUP(S256,'G-4 Temporal multipliers'!$A$4:$C$37,3,FALSE)),"")</f>
        <v/>
      </c>
      <c r="U256" s="528" t="str">
        <f>IF(F256="","",VLOOKUP(F256,'G-3 Multipliers'!$A$2:$E$129,2,FALSE))</f>
        <v/>
      </c>
      <c r="V256" s="520" t="str">
        <f t="shared" si="19"/>
        <v/>
      </c>
      <c r="W256" s="520" t="str">
        <f>IF(E256="","",IF(AND(V256="Standard difficulty applied",O256&gt;P256),U256,IF(AND(V256="Low Difficulty - only applicable if all habitat created before losses ⚠",P256&gt;=O256),"Low",VLOOKUP(F256,'G-3 Multipliers'!$A$2:$E$129,4,FALSE))))</f>
        <v/>
      </c>
      <c r="X256" s="524" t="str">
        <f>IFERROR(IF(E256="","",VLOOKUP(W256, 'G-3 Multipliers'!$P$2:$Q$6,2,FALSE)),"")</f>
        <v/>
      </c>
      <c r="Y256" s="271"/>
      <c r="Z256" s="499" t="str">
        <f>IF(Y256="","",IF(VLOOKUP(Y256,'G-3 Multipliers'!$S$3:$T$9,2,FALSE)=0,"Spatial Data Missing ⚠",VLOOKUP(Y256,'G-3 Multipliers'!$S$3:$T$9,2,FALSE)))</f>
        <v/>
      </c>
      <c r="AA256" s="546" t="str">
        <f t="shared" si="18"/>
        <v/>
      </c>
      <c r="AB256" s="163"/>
      <c r="AC256" s="164"/>
    </row>
    <row r="257" spans="5:27" ht="14.4" thickBot="1" x14ac:dyDescent="0.3">
      <c r="E257" s="371" t="s">
        <v>284</v>
      </c>
      <c r="F257" s="322" t="s">
        <v>244</v>
      </c>
      <c r="G257" s="543">
        <f>IF('Detailed Results'!$K$40&gt;0,"Error",SUMIFS($G$11:$G$256,$F$11:$F$256,"&lt;&gt;"&amp;'G-1 All Habitats'!B73,$F$11:$F$256,"&lt;&gt;"&amp;'G-1 All Habitats'!B60,$F$11:$F$256,"&lt;&gt;"&amp;'G-1 All Habitats'!B64,$F$11:$F$256,"&lt;&gt;"&amp;'G-1 All Habitats'!B65,$F$11:$F$256,"&lt;&gt;"&amp;'G-1 All Habitats'!B66,$F$11:$F$256,"&lt;&gt;"&amp;'G-1 All Habitats'!B67,$F$11:$F$256,"&lt;&gt;"&amp;'G-1 All Habitats'!B68))</f>
        <v>0</v>
      </c>
      <c r="T257" s="166"/>
      <c r="U257" s="166"/>
      <c r="V257" s="166"/>
      <c r="W257" s="166"/>
      <c r="X257" s="166"/>
      <c r="Y257" s="166"/>
      <c r="Z257" s="371" t="s">
        <v>245</v>
      </c>
      <c r="AA257" s="519">
        <f>SUM(AA11:AA256)</f>
        <v>0</v>
      </c>
    </row>
    <row r="258" spans="5:27" ht="14.4" thickBot="1" x14ac:dyDescent="0.3"/>
    <row r="259" spans="5:27" ht="14.4" thickBot="1" x14ac:dyDescent="0.3">
      <c r="E259" s="502" t="s">
        <v>246</v>
      </c>
      <c r="F259" s="47"/>
      <c r="G259" s="519">
        <f>IF('Detailed Results'!$K$40&gt;0,"Error",SUMIFS($G$11:$G$256,$F$11:$F$256,"&lt;&gt;"&amp;'G-1 All Habitats'!B73,$F$11:$F$256,"&lt;&gt;"&amp;'G-1 All Habitats'!B65,$F$11:$F$256,"&lt;&gt;"&amp;'G-1 All Habitats'!B66))</f>
        <v>0</v>
      </c>
    </row>
    <row r="260" spans="5:27" ht="13.8" x14ac:dyDescent="0.25"/>
    <row r="261" spans="5:27" ht="13.8" x14ac:dyDescent="0.25"/>
    <row r="262" spans="5:27" ht="13.8" x14ac:dyDescent="0.25"/>
    <row r="263" spans="5:27" ht="13.8" x14ac:dyDescent="0.25"/>
    <row r="264" spans="5:27" ht="13.8" hidden="1" x14ac:dyDescent="0.25">
      <c r="T264" s="31" t="s">
        <v>285</v>
      </c>
      <c r="U264" s="31" t="s">
        <v>285</v>
      </c>
      <c r="X264" s="31" t="s">
        <v>285</v>
      </c>
      <c r="AA264" s="31" t="s">
        <v>285</v>
      </c>
    </row>
    <row r="265" spans="5:27" ht="13.8" hidden="1" x14ac:dyDescent="0.25">
      <c r="T265" s="31" t="s">
        <v>285</v>
      </c>
      <c r="U265" s="31" t="s">
        <v>285</v>
      </c>
      <c r="X265" s="31" t="s">
        <v>285</v>
      </c>
      <c r="AA265" s="31" t="s">
        <v>285</v>
      </c>
    </row>
    <row r="266" spans="5:27" ht="13.8" hidden="1" x14ac:dyDescent="0.25"/>
    <row r="267" spans="5:27" ht="13.8" hidden="1" x14ac:dyDescent="0.25"/>
    <row r="268" spans="5:27" ht="13.8" hidden="1" x14ac:dyDescent="0.25"/>
    <row r="269" spans="5:27" ht="13.8" hidden="1" x14ac:dyDescent="0.25"/>
    <row r="270" spans="5:27" ht="13.8" hidden="1" x14ac:dyDescent="0.25"/>
  </sheetData>
  <sheetProtection algorithmName="SHA-512" hashValue="7kKgF9NQvTh/i3PEe8fJ1u9l1nQBLVz/YvX9leFHSIL736ZlpxhpDvYsOeIKRfS3NpvlzdyipC+x1/8IQTAa/A==" saltValue="CLQJ97x1SfTLIR/AoyJC3A==" spinCount="100000" sheet="1" objects="1" scenarios="1"/>
  <customSheetViews>
    <customSheetView guid="{8BDA793C-C9C5-4FC6-A0A5-F1109F6D4F22}" topLeftCell="B1">
      <pane ySplit="10" topLeftCell="A11" activePane="bottomLeft" state="frozen"/>
      <selection pane="bottomLeft"/>
    </customSheetView>
  </customSheetViews>
  <mergeCells count="19">
    <mergeCell ref="D9:D10"/>
    <mergeCell ref="E9:E10"/>
    <mergeCell ref="D8:X8"/>
    <mergeCell ref="D3:E4"/>
    <mergeCell ref="D2:E2"/>
    <mergeCell ref="H9:H10"/>
    <mergeCell ref="G9:G10"/>
    <mergeCell ref="F9:F10"/>
    <mergeCell ref="K9:K10"/>
    <mergeCell ref="J9:J10"/>
    <mergeCell ref="I9:I10"/>
    <mergeCell ref="O5:T6"/>
    <mergeCell ref="O2:T3"/>
    <mergeCell ref="AB9:AC9"/>
    <mergeCell ref="L9:N9"/>
    <mergeCell ref="O9:T9"/>
    <mergeCell ref="U9:X9"/>
    <mergeCell ref="Y9:Z9"/>
    <mergeCell ref="AA9:AA10"/>
  </mergeCells>
  <conditionalFormatting sqref="Y11 Y13 Y15 Y17 Y19 Y21 Y23">
    <cfRule type="containsText" dxfId="177" priority="36" operator="containsText" text="Existing Value Not Required">
      <formula>NOT(ISERROR(SEARCH("Existing Value Not Required",Y11)))</formula>
    </cfRule>
    <cfRule type="containsText" dxfId="176" priority="37" operator="containsText" text="Existing Value Required">
      <formula>NOT(ISERROR(SEARCH("Existing Value Required",Y11)))</formula>
    </cfRule>
  </conditionalFormatting>
  <conditionalFormatting sqref="K11">
    <cfRule type="containsText" dxfId="175" priority="35" operator="containsText" text="Not Possible">
      <formula>NOT(ISERROR(SEARCH("Not Possible",K11)))</formula>
    </cfRule>
  </conditionalFormatting>
  <conditionalFormatting sqref="Y12 Y24:Y256 Y14 Y16 Y18 Y20 Y22">
    <cfRule type="containsText" dxfId="174" priority="30" operator="containsText" text="Existing Value Not Required">
      <formula>NOT(ISERROR(SEARCH("Existing Value Not Required",Y12)))</formula>
    </cfRule>
    <cfRule type="containsText" dxfId="173" priority="31" operator="containsText" text="Existing Value Required">
      <formula>NOT(ISERROR(SEARCH("Existing Value Required",Y12)))</formula>
    </cfRule>
  </conditionalFormatting>
  <conditionalFormatting sqref="K12:K256">
    <cfRule type="containsText" dxfId="172" priority="28" operator="containsText" text="Not Possible">
      <formula>NOT(ISERROR(SEARCH("Not Possible",K12)))</formula>
    </cfRule>
  </conditionalFormatting>
  <conditionalFormatting sqref="AA11:AA257">
    <cfRule type="containsText" dxfId="171" priority="26" operator="containsText" text="Existing Value Not Required">
      <formula>NOT(ISERROR(SEARCH("Existing Value Not Required",AA11)))</formula>
    </cfRule>
    <cfRule type="containsText" dxfId="170" priority="27" operator="containsText" text="Existing Value Required">
      <formula>NOT(ISERROR(SEARCH("Existing Value Required",AA11)))</formula>
    </cfRule>
  </conditionalFormatting>
  <conditionalFormatting sqref="M11:N256">
    <cfRule type="containsText" dxfId="169" priority="23" operator="containsText" text="Spatial ">
      <formula>NOT(ISERROR(SEARCH("Spatial ",M11)))</formula>
    </cfRule>
  </conditionalFormatting>
  <conditionalFormatting sqref="O11:O256">
    <cfRule type="containsText" dxfId="168" priority="22" operator="containsText" text="30+">
      <formula>NOT(ISERROR(SEARCH("30+",O11)))</formula>
    </cfRule>
  </conditionalFormatting>
  <conditionalFormatting sqref="Y11:AA11 AA11:AA257 Y12:Z256">
    <cfRule type="containsText" dxfId="167" priority="19" operator="containsText" text="Check">
      <formula>NOT(ISERROR(SEARCH("Check",Y11)))</formula>
    </cfRule>
    <cfRule type="containsText" dxfId="166" priority="20" operator="containsText" text="Error">
      <formula>NOT(ISERROR(SEARCH("Error",Y11)))</formula>
    </cfRule>
  </conditionalFormatting>
  <conditionalFormatting sqref="Z11:Z256">
    <cfRule type="containsText" dxfId="165" priority="18" operator="containsText" text="Spatial">
      <formula>NOT(ISERROR(SEARCH("Spatial",Z11)))</formula>
    </cfRule>
  </conditionalFormatting>
  <conditionalFormatting sqref="O2 O5 S4">
    <cfRule type="beginsWith" dxfId="164" priority="16" operator="beginsWith" text="Note">
      <formula>LEFT(O2,LEN("Note"))="Note"</formula>
    </cfRule>
  </conditionalFormatting>
  <conditionalFormatting sqref="O5">
    <cfRule type="containsText" dxfId="163" priority="15" operator="containsText" text="Check">
      <formula>NOT(ISERROR(SEARCH("Check",O5)))</formula>
    </cfRule>
  </conditionalFormatting>
  <conditionalFormatting sqref="S11:S256">
    <cfRule type="containsText" dxfId="162" priority="14" operator="containsText" text="30+">
      <formula>NOT(ISERROR(SEARCH("30+",S11)))</formula>
    </cfRule>
  </conditionalFormatting>
  <conditionalFormatting sqref="V11:V256">
    <cfRule type="containsText" dxfId="161" priority="12" operator="containsText" text="No - Low Difficulty">
      <formula>NOT(ISERROR(SEARCH("No - Low Difficulty",V11)))</formula>
    </cfRule>
  </conditionalFormatting>
  <conditionalFormatting sqref="R12:T256 R11:X11 V12:W256">
    <cfRule type="containsText" dxfId="160" priority="11" operator="containsText" text="Error">
      <formula>NOT(ISERROR(SEARCH("Error",R11)))</formula>
    </cfRule>
    <cfRule type="containsText" dxfId="159" priority="13" operator="containsText" text="Check">
      <formula>NOT(ISERROR(SEARCH("Check",R11)))</formula>
    </cfRule>
  </conditionalFormatting>
  <conditionalFormatting sqref="U12:U256">
    <cfRule type="containsText" dxfId="158" priority="7" operator="containsText" text="Error">
      <formula>NOT(ISERROR(SEARCH("Error",U12)))</formula>
    </cfRule>
    <cfRule type="containsText" dxfId="157" priority="9" operator="containsText" text="Check">
      <formula>NOT(ISERROR(SEARCH("Check",U12)))</formula>
    </cfRule>
  </conditionalFormatting>
  <conditionalFormatting sqref="X12:X256">
    <cfRule type="containsText" dxfId="156" priority="1" operator="containsText" text="Error">
      <formula>NOT(ISERROR(SEARCH("Error",X12)))</formula>
    </cfRule>
    <cfRule type="containsText" dxfId="155" priority="2" operator="containsText" text="Check">
      <formula>NOT(ISERROR(SEARCH("Check",X12)))</formula>
    </cfRule>
  </conditionalFormatting>
  <dataValidations count="3">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4"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3"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4000000}">
          <x14:formula1>
            <xm:f>'G-3 Multipliers'!$S$4:$S$9</xm:f>
          </x14:formula1>
          <xm:sqref>Y11:Y256</xm:sqref>
        </x14:dataValidation>
        <x14:dataValidation type="list" allowBlank="1" showInputMessage="1" showErrorMessage="1" xr:uid="{00000000-0002-0000-0C00-000006000000}">
          <x14:formula1>
            <xm:f>'G-4 Temporal multipliers'!$A$41:$A$73</xm:f>
          </x14:formula1>
          <xm:sqref>Q11:Q256</xm:sqref>
        </x14:dataValidation>
        <x14:dataValidation type="list" allowBlank="1" showInputMessage="1" showErrorMessage="1" xr:uid="{9F42BFD8-BCC2-4474-AB7B-AD07B16F507A}">
          <x14:formula1>
            <xm:f>'G-4 Temporal multipliers'!$A$41:$A$72</xm:f>
          </x14:formula1>
          <xm:sqref>P11:P256</xm:sqref>
        </x14:dataValidation>
        <x14:dataValidation type="list" allowBlank="1" showInputMessage="1" showErrorMessage="1" xr:uid="{00000000-0002-0000-0C00-000005000000}">
          <x14:formula1>
            <xm:f>'G-1 All Habitats'!$AF$3:$AF$15</xm:f>
          </x14:formula1>
          <xm:sqref>D11:D256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V269"/>
  <sheetViews>
    <sheetView showGridLines="0" showRowColHeaders="0" topLeftCell="D1" zoomScaleNormal="100" workbookViewId="0">
      <pane ySplit="11" topLeftCell="A12" activePane="bottomLeft" state="frozen"/>
      <selection activeCell="S28" sqref="S28"/>
      <selection pane="bottomLeft"/>
    </sheetView>
  </sheetViews>
  <sheetFormatPr defaultColWidth="0" defaultRowHeight="13.8" zeroHeight="1" x14ac:dyDescent="0.25"/>
  <cols>
    <col min="1" max="1" width="19.33203125" style="31" hidden="1" customWidth="1"/>
    <col min="2" max="3" width="35" style="31" hidden="1" customWidth="1"/>
    <col min="4" max="4" width="2" style="31" customWidth="1"/>
    <col min="5" max="5" width="12.33203125" style="31" customWidth="1"/>
    <col min="6" max="6" width="73.44140625" style="31" customWidth="1"/>
    <col min="7" max="7" width="9.5546875" style="31" customWidth="1"/>
    <col min="8" max="8" width="18.33203125" style="31" customWidth="1"/>
    <col min="9" max="9" width="19.109375" style="31" customWidth="1"/>
    <col min="10" max="10" width="18.109375" style="31" customWidth="1"/>
    <col min="11" max="11" width="19.33203125" style="31" customWidth="1"/>
    <col min="12" max="12" width="22.33203125" style="31" customWidth="1"/>
    <col min="13" max="13" width="21.5546875" style="31" customWidth="1"/>
    <col min="14" max="14" width="19.33203125" style="31" customWidth="1"/>
    <col min="15" max="15" width="29.6640625" style="31" customWidth="1"/>
    <col min="16" max="16" width="29.6640625" style="31" hidden="1" customWidth="1"/>
    <col min="17" max="17" width="29.6640625" style="31" customWidth="1"/>
    <col min="18" max="18" width="71.33203125" style="31" customWidth="1"/>
    <col min="19" max="19" width="75.5546875" style="31" hidden="1" customWidth="1"/>
    <col min="20" max="21" width="34.33203125" style="31" customWidth="1"/>
    <col min="22" max="22" width="8.109375" style="31" customWidth="1"/>
    <col min="23" max="23" width="18.33203125" style="31" customWidth="1"/>
    <col min="24" max="24" width="13.109375" style="31" customWidth="1"/>
    <col min="25" max="25" width="12.5546875" style="31" bestFit="1" customWidth="1"/>
    <col min="26" max="26" width="12.5546875" style="31" customWidth="1"/>
    <col min="27" max="27" width="41.6640625" style="31" customWidth="1"/>
    <col min="28" max="28" width="20.109375" style="31" customWidth="1"/>
    <col min="29" max="29" width="12.33203125" style="31" customWidth="1"/>
    <col min="30" max="30" width="18.44140625" style="31" customWidth="1"/>
    <col min="31" max="31" width="21.33203125" style="31" customWidth="1"/>
    <col min="32" max="32" width="22.109375" style="31" customWidth="1"/>
    <col min="33" max="33" width="33" style="31" customWidth="1"/>
    <col min="34" max="35" width="18.44140625" style="31" customWidth="1"/>
    <col min="36" max="36" width="15.33203125" style="31" customWidth="1"/>
    <col min="37" max="37" width="28.33203125" style="31" customWidth="1"/>
    <col min="38" max="38" width="20.109375" style="31" customWidth="1"/>
    <col min="39" max="39" width="13.5546875" style="31" customWidth="1"/>
    <col min="40" max="40" width="91.44140625" style="31" customWidth="1"/>
    <col min="41" max="41" width="15.44140625" style="31" customWidth="1"/>
    <col min="42" max="42" width="13.33203125" style="31" customWidth="1"/>
    <col min="43" max="43" width="45.6640625" style="31" customWidth="1"/>
    <col min="44" max="44" width="50.44140625" style="31" customWidth="1"/>
    <col min="45" max="48" width="8.88671875" style="31" customWidth="1"/>
    <col min="49" max="16384" width="8.88671875" style="31" hidden="1"/>
  </cols>
  <sheetData>
    <row r="1" spans="1:44" ht="15.75" customHeight="1" thickBot="1" x14ac:dyDescent="0.3"/>
    <row r="2" spans="1:44" ht="19.95" customHeight="1" thickBot="1" x14ac:dyDescent="0.3">
      <c r="E2" s="744" t="str">
        <f>IF(Start!$F$12="","",Start!$F$12)</f>
        <v>Land at Doncaster Road, Goldthorpe, Rotherham</v>
      </c>
      <c r="F2" s="745"/>
      <c r="G2" s="746"/>
      <c r="AD2" s="920" t="str">
        <f>IF(OR(COUNTIF($AD$12:AD257,"*30+*")&gt;0,COUNTIF(AH12:AH257,"*30+*")&gt;0),"Note; Habitat selected has a time to target condition greater than 30 years. Non standard agreement may be required. ⚠","")</f>
        <v/>
      </c>
      <c r="AE2" s="920"/>
      <c r="AF2" s="920"/>
      <c r="AG2" s="920"/>
      <c r="AH2" s="920"/>
      <c r="AI2" s="920"/>
    </row>
    <row r="3" spans="1:44" ht="15.75" customHeight="1" thickBot="1" x14ac:dyDescent="0.3">
      <c r="E3" s="972" t="str">
        <f ca="1">MID(CELL("filename",E1),FIND("]",CELL("filename",E1))+1,256)</f>
        <v>D-3 Off Site Habitat Enhancment</v>
      </c>
      <c r="F3" s="973"/>
      <c r="G3" s="974"/>
      <c r="AD3" s="920"/>
      <c r="AE3" s="920"/>
      <c r="AF3" s="920"/>
      <c r="AG3" s="920"/>
      <c r="AH3" s="920"/>
      <c r="AI3" s="920"/>
    </row>
    <row r="4" spans="1:44" ht="15.75" customHeight="1" thickBot="1" x14ac:dyDescent="0.35">
      <c r="E4" s="972"/>
      <c r="F4" s="973"/>
      <c r="G4" s="974"/>
      <c r="AB4" s="33"/>
      <c r="AC4" s="193"/>
      <c r="AD4" s="448"/>
      <c r="AE4" s="448"/>
      <c r="AF4" s="448"/>
      <c r="AG4" s="448"/>
      <c r="AH4" s="193"/>
      <c r="AI4" s="193"/>
      <c r="AJ4" s="193"/>
      <c r="AK4" s="193"/>
      <c r="AL4" s="193"/>
      <c r="AM4" s="193"/>
      <c r="AN4" s="193"/>
    </row>
    <row r="5" spans="1:44" ht="15" customHeight="1" x14ac:dyDescent="0.25">
      <c r="AD5" s="930" t="str">
        <f>IF(Q12&lt;&gt;A12,"Change in broad habitat type detected. Check compliance with guidance.","")</f>
        <v/>
      </c>
      <c r="AE5" s="930"/>
      <c r="AF5" s="930"/>
      <c r="AG5" s="930"/>
      <c r="AH5" s="930"/>
      <c r="AI5" s="930"/>
    </row>
    <row r="6" spans="1:44" ht="15.75" customHeight="1" x14ac:dyDescent="0.25">
      <c r="AD6" s="930"/>
      <c r="AE6" s="930"/>
      <c r="AF6" s="930"/>
      <c r="AG6" s="930"/>
      <c r="AH6" s="930"/>
      <c r="AI6" s="930"/>
    </row>
    <row r="7" spans="1:44" x14ac:dyDescent="0.25">
      <c r="F7" s="132"/>
      <c r="G7" s="131"/>
    </row>
    <row r="8" spans="1:44" ht="14.4" thickBot="1" x14ac:dyDescent="0.3"/>
    <row r="9" spans="1:44" ht="14.4" thickBot="1" x14ac:dyDescent="0.3">
      <c r="F9" s="131"/>
      <c r="G9" s="131"/>
      <c r="H9" s="131"/>
      <c r="I9" s="131"/>
      <c r="J9" s="131"/>
      <c r="K9" s="131"/>
      <c r="L9" s="131"/>
      <c r="M9" s="131"/>
      <c r="N9" s="131"/>
      <c r="O9" s="131"/>
      <c r="P9" s="131"/>
      <c r="Q9" s="951" t="s">
        <v>225</v>
      </c>
      <c r="R9" s="952"/>
      <c r="S9" s="952"/>
      <c r="T9" s="952"/>
      <c r="U9" s="952"/>
      <c r="V9" s="952"/>
      <c r="W9" s="952"/>
      <c r="X9" s="952"/>
      <c r="Y9" s="952"/>
      <c r="Z9" s="952"/>
      <c r="AA9" s="952"/>
      <c r="AB9" s="952"/>
      <c r="AC9" s="952"/>
      <c r="AD9" s="952"/>
      <c r="AE9" s="952"/>
      <c r="AF9" s="952"/>
      <c r="AG9" s="952"/>
      <c r="AH9" s="952"/>
      <c r="AI9" s="952"/>
      <c r="AJ9" s="952"/>
      <c r="AK9" s="952"/>
      <c r="AL9" s="952"/>
      <c r="AM9" s="952"/>
      <c r="AN9" s="952"/>
      <c r="AO9" s="953"/>
    </row>
    <row r="10" spans="1:44" ht="30.6" customHeight="1" thickBot="1" x14ac:dyDescent="0.3">
      <c r="F10" s="951" t="s">
        <v>247</v>
      </c>
      <c r="G10" s="952"/>
      <c r="H10" s="952"/>
      <c r="I10" s="952"/>
      <c r="J10" s="952"/>
      <c r="K10" s="952"/>
      <c r="L10" s="952"/>
      <c r="M10" s="952"/>
      <c r="N10" s="952"/>
      <c r="O10" s="953"/>
      <c r="P10" s="224"/>
      <c r="Q10" s="958" t="s">
        <v>286</v>
      </c>
      <c r="R10" s="959"/>
      <c r="S10" s="395"/>
      <c r="T10" s="958" t="s">
        <v>249</v>
      </c>
      <c r="U10" s="959"/>
      <c r="V10" s="965" t="s">
        <v>287</v>
      </c>
      <c r="W10" s="963" t="s">
        <v>189</v>
      </c>
      <c r="X10" s="963" t="s">
        <v>206</v>
      </c>
      <c r="Y10" s="963" t="s">
        <v>190</v>
      </c>
      <c r="Z10" s="961" t="s">
        <v>206</v>
      </c>
      <c r="AA10" s="958" t="s">
        <v>191</v>
      </c>
      <c r="AB10" s="960"/>
      <c r="AC10" s="960"/>
      <c r="AD10" s="967" t="s">
        <v>228</v>
      </c>
      <c r="AE10" s="968"/>
      <c r="AF10" s="968"/>
      <c r="AG10" s="968"/>
      <c r="AH10" s="968"/>
      <c r="AI10" s="969"/>
      <c r="AJ10" s="967" t="s">
        <v>229</v>
      </c>
      <c r="AK10" s="968"/>
      <c r="AL10" s="968"/>
      <c r="AM10" s="969"/>
      <c r="AN10" s="958" t="s">
        <v>280</v>
      </c>
      <c r="AO10" s="959"/>
      <c r="AP10" s="970" t="s">
        <v>230</v>
      </c>
      <c r="AQ10" s="958" t="s">
        <v>196</v>
      </c>
      <c r="AR10" s="959"/>
    </row>
    <row r="11" spans="1:44" ht="51.6" customHeight="1" thickBot="1" x14ac:dyDescent="0.3">
      <c r="A11" s="131" t="s">
        <v>202</v>
      </c>
      <c r="B11" s="131" t="s">
        <v>253</v>
      </c>
      <c r="C11" s="131" t="s">
        <v>200</v>
      </c>
      <c r="E11" s="135" t="s">
        <v>254</v>
      </c>
      <c r="F11" s="136" t="s">
        <v>255</v>
      </c>
      <c r="G11" s="136" t="s">
        <v>243</v>
      </c>
      <c r="H11" s="136" t="s">
        <v>257</v>
      </c>
      <c r="I11" s="136" t="s">
        <v>258</v>
      </c>
      <c r="J11" s="136" t="s">
        <v>259</v>
      </c>
      <c r="K11" s="136" t="s">
        <v>260</v>
      </c>
      <c r="L11" s="136" t="s">
        <v>261</v>
      </c>
      <c r="M11" s="136" t="s">
        <v>262</v>
      </c>
      <c r="N11" s="136" t="s">
        <v>263</v>
      </c>
      <c r="O11" s="137" t="s">
        <v>192</v>
      </c>
      <c r="P11" s="225" t="s">
        <v>281</v>
      </c>
      <c r="Q11" s="368" t="s">
        <v>265</v>
      </c>
      <c r="R11" s="202" t="s">
        <v>288</v>
      </c>
      <c r="S11" s="394" t="s">
        <v>289</v>
      </c>
      <c r="T11" s="368" t="s">
        <v>266</v>
      </c>
      <c r="U11" s="202" t="s">
        <v>267</v>
      </c>
      <c r="V11" s="966"/>
      <c r="W11" s="964"/>
      <c r="X11" s="964"/>
      <c r="Y11" s="964"/>
      <c r="Z11" s="962"/>
      <c r="AA11" s="368" t="s">
        <v>191</v>
      </c>
      <c r="AB11" s="201" t="s">
        <v>191</v>
      </c>
      <c r="AC11" s="202" t="s">
        <v>231</v>
      </c>
      <c r="AD11" s="368" t="s">
        <v>232</v>
      </c>
      <c r="AE11" s="201" t="s">
        <v>268</v>
      </c>
      <c r="AF11" s="201" t="s">
        <v>269</v>
      </c>
      <c r="AG11" s="201" t="s">
        <v>235</v>
      </c>
      <c r="AH11" s="201" t="s">
        <v>236</v>
      </c>
      <c r="AI11" s="202" t="s">
        <v>237</v>
      </c>
      <c r="AJ11" s="368" t="s">
        <v>290</v>
      </c>
      <c r="AK11" s="201" t="s">
        <v>282</v>
      </c>
      <c r="AL11" s="201" t="s">
        <v>291</v>
      </c>
      <c r="AM11" s="202" t="s">
        <v>241</v>
      </c>
      <c r="AN11" s="208" t="s">
        <v>283</v>
      </c>
      <c r="AO11" s="226" t="s">
        <v>280</v>
      </c>
      <c r="AP11" s="971"/>
      <c r="AQ11" s="141" t="s">
        <v>215</v>
      </c>
      <c r="AR11" s="359" t="s">
        <v>216</v>
      </c>
    </row>
    <row r="12" spans="1:44" x14ac:dyDescent="0.25">
      <c r="A12" s="31" t="str">
        <f>IF(E12="","",IF(ISNA(VLOOKUP($E12,'D-1 Off Site Habitat Baseline'!$D$1:$O$258,2,FALSE)),"",(VLOOKUP($E12,'D-1 Off Site Habitat Baseline'!$D$1:$O$258,2,FALSE))))</f>
        <v/>
      </c>
      <c r="B12" s="31" t="str">
        <f>IF(E12="","",IF(ISNA(VLOOKUP($E12,'D-1 Off Site Habitat Baseline'!$D$1:$O$258,3,FALSE)),"",(VLOOKUP($E12,'D-1 Off Site Habitat Baseline'!$D$1:$O$258,3,FALSE))))</f>
        <v/>
      </c>
      <c r="C12" s="31" t="str">
        <f>IFERROR(INDEX('G-8 Condition Look up'!$I$4:$I$130,MATCH(S12,'G-8 Condition Look up'!$A$4:$A$130,0)),"")</f>
        <v/>
      </c>
      <c r="E12" s="547" t="str">
        <f>'D-1 Off Site Habitat Baseline'!AL11</f>
        <v/>
      </c>
      <c r="F12" s="520" t="str">
        <f>IF(E12="","",IF(ISNA(VLOOKUP($E12,'D-1 Off Site Habitat Baseline'!$D$1:$O$258,4,FALSE)),"",(VLOOKUP($E12,'D-1 Off Site Habitat Baseline'!$D$1:$O$258,4,FALSE))))</f>
        <v/>
      </c>
      <c r="G12" s="520" t="str">
        <f>IF(E12="","",IF(ISNA(VLOOKUP($E12,'D-1 Off Site Habitat Baseline'!$D$1:$O$258,5,FALSE)),"",(VLOOKUP($E12,'D-1 Off Site Habitat Baseline'!$D$1:$O$258,5,FALSE))))</f>
        <v/>
      </c>
      <c r="H12" s="520" t="str">
        <f>IF(E12="","",IF(ISNA(VLOOKUP($E12,'D-1 Off Site Habitat Baseline'!$D$1:$O$258,6,FALSE)),"",(VLOOKUP($E12,'D-1 Off Site Habitat Baseline'!$D$1:$O$258,6,FALSE))))</f>
        <v/>
      </c>
      <c r="I12" s="520" t="str">
        <f>IF(E12="","",IF(ISNA(VLOOKUP($E12,'D-1 Off Site Habitat Baseline'!$D$1:$O$258,7,FALSE)),"",(VLOOKUP($E12,'D-1 Off Site Habitat Baseline'!$D$1:$O$258,7,FALSE))))</f>
        <v/>
      </c>
      <c r="J12" s="520" t="str">
        <f>IF(E12="","",IF(ISNA(VLOOKUP($E12,'D-1 Off Site Habitat Baseline'!$D$1:$O$258,8,FALSE)),"",(VLOOKUP($E12,'D-1 Off Site Habitat Baseline'!$D$1:$O$258,8,FALSE))))</f>
        <v/>
      </c>
      <c r="K12" s="520" t="str">
        <f>IF(E12="","",IF(ISNA(VLOOKUP($E12,'D-1 Off Site Habitat Baseline'!$D$1:$O$258,9,FALSE)),"",(VLOOKUP($E12,'D-1 Off Site Habitat Baseline'!$D$1:$O$258,9,FALSE))))</f>
        <v/>
      </c>
      <c r="L12" s="520" t="str">
        <f>IF(E12="","",IF(ISNA(VLOOKUP($E12,'D-1 Off Site Habitat Baseline'!$D$1:$O$258,11,FALSE)),"",(VLOOKUP($E12,'D-1 Off Site Habitat Baseline'!$D$1:$O$258,11,FALSE))))</f>
        <v/>
      </c>
      <c r="M12" s="520" t="str">
        <f>IF(E12="","",IF(ISNA(VLOOKUP($E12,'D-1 Off Site Habitat Baseline'!$D$1:$O$258,12,FALSE)),"",(VLOOKUP($E12,'D-1 Off Site Habitat Baseline'!$D$1:$O$258,12,FALSE))))</f>
        <v/>
      </c>
      <c r="N12" s="520" t="str">
        <f>IF(E12="","",IF(ISNA(VLOOKUP($E12,'D-1 Off Site Habitat Baseline'!$D$1:$X$258,14,FALSE)),"",(VLOOKUP($E12,'D-1 Off Site Habitat Baseline'!$D$1:$X$258,14,FALSE))))</f>
        <v/>
      </c>
      <c r="O12" s="524" t="str">
        <f>IF(E12="","",IF(ISNA(VLOOKUP($E12,'D-1 Off Site Habitat Baseline'!$D$1:$X$258,13,FALSE)),"",(VLOOKUP($E12,'D-1 Off Site Habitat Baseline'!$D$1:$X$258,13,FALSE))))</f>
        <v/>
      </c>
      <c r="P12" s="227" t="str">
        <f>IFERROR(INDEX('G-1 All Habitats'!$AG$3:$AG$15,MATCH(Q12,'G-1 All Habitats'!$AF$3:$AF$15,0)),"")</f>
        <v/>
      </c>
      <c r="Q12" s="228" t="str">
        <f t="shared" ref="Q12" si="0">A12</f>
        <v/>
      </c>
      <c r="R12" s="229" t="str">
        <f t="shared" ref="R12:R16" si="1">B12</f>
        <v/>
      </c>
      <c r="S12" s="230" t="str">
        <f>IFERROR(INDEX('G-1 All Habitats'!$B$3:$B$129,MATCH(R12,'G-1 All Habitats'!$A$3:$A$129,0)),"")</f>
        <v/>
      </c>
      <c r="T12" s="507"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524"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23" t="str">
        <f t="shared" ref="V12:V75" si="2">IF(S12="","",VLOOKUP(E12,BaselineHabOffsite,17,FALSE))</f>
        <v/>
      </c>
      <c r="W12" s="520" t="str">
        <f>IF(S12="","",VLOOKUP(S12,'G-1 All Habitats'!$B$2:$M$129,10,FALSE))</f>
        <v/>
      </c>
      <c r="X12" s="520" t="str">
        <f>IFERROR(VLOOKUP(W12,'G-1 All Habitats'!$V$3:$W$7,2,FALSE),"")</f>
        <v/>
      </c>
      <c r="Y12" s="203"/>
      <c r="Z12" s="524" t="str">
        <f>IFERROR(INDEX('G-8 Condition Look up'!$A$3:$H$130,MATCH(S12,'G-8 Condition Look up'!$A$3:$A$130,0),MATCH(Y12,'G-8 Condition Look up'!$A$3:$H$3,0)),"")</f>
        <v/>
      </c>
      <c r="AA12" s="145"/>
      <c r="AB12" s="540" t="str">
        <f>IF(AA12="","",IF(VLOOKUP(AA12,'G-3 Multipliers'!$L$3:$N$6,2,FALSE)=0,"Spatial Data Missing ⚠",VLOOKUP(AA12,'G-3 Multipliers'!$L$3:$N$6,2,FALSE)))</f>
        <v/>
      </c>
      <c r="AC12" s="524" t="str">
        <f>IF(AA12="","",IF(VLOOKUP(AA12,'G-3 Multipliers'!$L$3:$N$6,3,FALSE)=0,"Spatial Data Missing ⚠",VLOOKUP(AA12,'G-3 Multipliers'!$L$3:$N$6,3,FALSE)))</f>
        <v/>
      </c>
      <c r="AD12" s="537" t="str">
        <f t="shared" ref="AD12:AD75" si="3">IFERROR(IF(OR(LEFT(U12,5)="Error ▲",LEFT(T12,5)="Error ▲"),"Check Data ⚠",INDEX(EnhanceTemporal,MATCH(S12,EnhanceHabitat,0),MATCH(U12,EnhanceCondition,0))),"")</f>
        <v/>
      </c>
      <c r="AE12" s="203"/>
      <c r="AF12" s="203"/>
      <c r="AG12" s="520"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44" t="str">
        <f>IF(LEFT(AG12,5)="Error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525" t="str">
        <f>IF(AH12="Check Data ⚠","Check Data ⚠",IFERROR(VLOOKUP(AH12,'G-4 Temporal multipliers'!$A$4:$C$36,3,FALSE),""))</f>
        <v/>
      </c>
      <c r="AJ12" s="537" t="str">
        <f>IF(S12="","",VLOOKUP(S12,'G-3 Multipliers'!$A$2:$E$129,4,FALSE))</f>
        <v/>
      </c>
      <c r="AK12" s="520" t="str">
        <f>IF(E12="","",IF(AG12="Check details - Is there evidence that habitat has reached target condition? ⚠","Low Difficulty - only applicable if all habitat created before losses","Standard difficulty applied"))</f>
        <v/>
      </c>
      <c r="AL12" s="520" t="str">
        <f>(IF(AND(AK12="Standard difficulty applied",AD12&gt;AE12),AJ12,IF(AND(AK12="Low Difficulty - only applicable if all habitat created before losses",AE12&gt;=AD12),"Low", AJ12)))</f>
        <v/>
      </c>
      <c r="AM12" s="524" t="str">
        <f>IFERROR(IF(F12="","",IF(AH12="Check Data ⚠","Check Data ⚠",VLOOKUP(AL12, 'G-3 Multipliers'!$P$2:$Q$6,2,FALSE))),"")</f>
        <v/>
      </c>
      <c r="AN12" s="197"/>
      <c r="AO12" s="540" t="str">
        <f>IF(AN12="","",IF(VLOOKUP(AN12,'G-3 Multipliers'!$S$3:$T$9,2,FALSE)=0,"Spatial Data Missing ⚠",VLOOKUP(AN12,'G-3 Multipliers'!$S$3:$T$9,2,FALSE)))</f>
        <v/>
      </c>
      <c r="AP12" s="513" t="str">
        <f>IFERROR(((((V12*X12*Z12)-(V12*I12*K12))*(AM12*AI12))+(V12*I12*K12))*(AC12)*AO12,"")</f>
        <v/>
      </c>
      <c r="AQ12" s="231"/>
      <c r="AR12" s="150"/>
    </row>
    <row r="13" spans="1:44" x14ac:dyDescent="0.25">
      <c r="A13" s="31" t="str">
        <f>IF(E13="","",IF(ISNA(VLOOKUP($E13,'D-1 Off Site Habitat Baseline'!$D$1:$O$258,2,FALSE)),"",(VLOOKUP($E13,'D-1 Off Site Habitat Baseline'!$D$1:$O$258,2,FALSE))))</f>
        <v/>
      </c>
      <c r="B13" s="31" t="str">
        <f>IF(E13="","",IF(ISNA(VLOOKUP($E13,'D-1 Off Site Habitat Baseline'!$D$1:$O$258,3,FALSE)),"",(VLOOKUP($E13,'D-1 Off Site Habitat Baseline'!$D$1:$O$258,3,FALSE))))</f>
        <v/>
      </c>
      <c r="C13" s="31" t="str">
        <f>IFERROR(INDEX('G-8 Condition Look up'!$I$4:$I$130,MATCH(S13,'G-8 Condition Look up'!$A$4:$A$130,0)),"")</f>
        <v/>
      </c>
      <c r="E13" s="547" t="str">
        <f>'D-1 Off Site Habitat Baseline'!AL12</f>
        <v/>
      </c>
      <c r="F13" s="520" t="str">
        <f>IF(E13="","",IF(ISNA(VLOOKUP($E13,'D-1 Off Site Habitat Baseline'!$D$1:$O$258,4,FALSE)),"",(VLOOKUP($E13,'D-1 Off Site Habitat Baseline'!$D$1:$O$258,4,FALSE))))</f>
        <v/>
      </c>
      <c r="G13" s="520" t="str">
        <f>IF(E13="","",IF(ISNA(VLOOKUP($E13,'D-1 Off Site Habitat Baseline'!$D$1:$O$258,5,FALSE)),"",(VLOOKUP($E13,'D-1 Off Site Habitat Baseline'!$D$1:$O$258,5,FALSE))))</f>
        <v/>
      </c>
      <c r="H13" s="520" t="str">
        <f>IF(E13="","",IF(ISNA(VLOOKUP($E13,'D-1 Off Site Habitat Baseline'!$D$1:$O$258,6,FALSE)),"",(VLOOKUP($E13,'D-1 Off Site Habitat Baseline'!$D$1:$O$258,6,FALSE))))</f>
        <v/>
      </c>
      <c r="I13" s="520" t="str">
        <f>IF(E13="","",IF(ISNA(VLOOKUP($E13,'D-1 Off Site Habitat Baseline'!$D$1:$O$258,7,FALSE)),"",(VLOOKUP($E13,'D-1 Off Site Habitat Baseline'!$D$1:$O$258,7,FALSE))))</f>
        <v/>
      </c>
      <c r="J13" s="520" t="str">
        <f>IF(E13="","",IF(ISNA(VLOOKUP($E13,'D-1 Off Site Habitat Baseline'!$D$1:$O$258,8,FALSE)),"",(VLOOKUP($E13,'D-1 Off Site Habitat Baseline'!$D$1:$O$258,8,FALSE))))</f>
        <v/>
      </c>
      <c r="K13" s="520" t="str">
        <f>IF(E13="","",IF(ISNA(VLOOKUP($E13,'D-1 Off Site Habitat Baseline'!$D$1:$O$258,9,FALSE)),"",(VLOOKUP($E13,'D-1 Off Site Habitat Baseline'!$D$1:$O$258,9,FALSE))))</f>
        <v/>
      </c>
      <c r="L13" s="520" t="str">
        <f>IF(E13="","",IF(ISNA(VLOOKUP($E13,'D-1 Off Site Habitat Baseline'!$D$1:$O$258,11,FALSE)),"",(VLOOKUP($E13,'D-1 Off Site Habitat Baseline'!$D$1:$O$258,11,FALSE))))</f>
        <v/>
      </c>
      <c r="M13" s="520" t="str">
        <f>IF(E13="","",IF(ISNA(VLOOKUP($E13,'D-1 Off Site Habitat Baseline'!$D$1:$O$258,12,FALSE)),"",(VLOOKUP($E13,'D-1 Off Site Habitat Baseline'!$D$1:$O$258,12,FALSE))))</f>
        <v/>
      </c>
      <c r="N13" s="520" t="str">
        <f>IF(E13="","",IF(ISNA(VLOOKUP($E13,'D-1 Off Site Habitat Baseline'!$D$1:$X$258,14,FALSE)),"",(VLOOKUP($E13,'D-1 Off Site Habitat Baseline'!$D$1:$X$258,14,FALSE))))</f>
        <v/>
      </c>
      <c r="O13" s="524" t="str">
        <f>IF(E13="","",IF(ISNA(VLOOKUP($E13,'D-1 Off Site Habitat Baseline'!$D$1:$X$258,13,FALSE)),"",(VLOOKUP($E13,'D-1 Off Site Habitat Baseline'!$D$1:$X$258,13,FALSE))))</f>
        <v/>
      </c>
      <c r="P13" s="232" t="str">
        <f>IFERROR(INDEX('G-1 All Habitats'!$AG$3:$AG$15,MATCH(Q13,'G-1 All Habitats'!$AF$3:$AF$15,0)),"")</f>
        <v/>
      </c>
      <c r="Q13" s="228" t="str">
        <f t="shared" ref="Q13:Q16" si="4">A13</f>
        <v/>
      </c>
      <c r="R13" s="229" t="str">
        <f t="shared" si="1"/>
        <v/>
      </c>
      <c r="S13" s="233" t="str">
        <f>IFERROR(INDEX('G-1 All Habitats'!$B$3:$B$129,MATCH(R13,'G-1 All Habitats'!$A$3:$A$129,0)),"")</f>
        <v/>
      </c>
      <c r="T13" s="507" t="str">
        <f t="shared" ref="T13:T76" si="5">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524" t="str">
        <f t="shared" ref="U13:U76" si="6">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23" t="str">
        <f t="shared" si="2"/>
        <v/>
      </c>
      <c r="W13" s="520" t="str">
        <f>IF(S13="","",VLOOKUP(S13,'G-1 All Habitats'!$B$2:$M$129,10,FALSE))</f>
        <v/>
      </c>
      <c r="X13" s="520" t="str">
        <f>IFERROR(VLOOKUP(W13,'G-1 All Habitats'!$V$3:$W$7,2,FALSE),"")</f>
        <v/>
      </c>
      <c r="Y13" s="203"/>
      <c r="Z13" s="524" t="str">
        <f>IFERROR(INDEX('G-8 Condition Look up'!$A$3:$H$130,MATCH(S13,'G-8 Condition Look up'!$A$3:$A$130,0),MATCH(Y13,'G-8 Condition Look up'!$A$3:$H$3,0)),"")</f>
        <v/>
      </c>
      <c r="AA13" s="145"/>
      <c r="AB13" s="540" t="str">
        <f>IF(AA13="","",IF(VLOOKUP(AA13,'G-3 Multipliers'!$L$3:$N$6,2,FALSE)=0,"Spatial Data Missing ⚠",VLOOKUP(AA13,'G-3 Multipliers'!$L$3:$N$6,2,FALSE)))</f>
        <v/>
      </c>
      <c r="AC13" s="524" t="str">
        <f>IF(AA13="","",IF(VLOOKUP(AA13,'G-3 Multipliers'!$L$3:$N$6,3,FALSE)=0,"Spatial Data Missing ⚠",VLOOKUP(AA13,'G-3 Multipliers'!$L$3:$N$6,3,FALSE)))</f>
        <v/>
      </c>
      <c r="AD13" s="537" t="str">
        <f t="shared" si="3"/>
        <v/>
      </c>
      <c r="AE13" s="203"/>
      <c r="AF13" s="203"/>
      <c r="AG13" s="520" t="str">
        <f t="shared" ref="AG13:AG76" si="7">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44" t="str">
        <f t="shared" ref="AH13:AH76" si="8">IF(LEFT(AG13,5)="Error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525" t="str">
        <f>IF(AH13="Check Data ⚠","Check Data ⚠",IFERROR(VLOOKUP(AH13,'G-4 Temporal multipliers'!$A$4:$C$36,3,FALSE),""))</f>
        <v/>
      </c>
      <c r="AJ13" s="537" t="str">
        <f>IF(S13="","",VLOOKUP(S13,'G-3 Multipliers'!$A$2:$E$129,4,FALSE))</f>
        <v/>
      </c>
      <c r="AK13" s="520" t="str">
        <f t="shared" ref="AK13:AK76" si="9">IF(E13="","",IF(AG13="Check details - Is there evidence that habitat has reached target condition? ⚠","Low Difficulty - only applicable if all habitat created before losses","Standard difficulty applied"))</f>
        <v/>
      </c>
      <c r="AL13" s="520" t="str">
        <f t="shared" ref="AL13:AL76" si="10">(IF(AND(AK13="Standard difficulty applied",AD13&gt;AE13),AJ13,IF(AND(AK13="Low Difficulty - only applicable if all habitat created before losses",AE13&gt;=AD13),"Low", AJ13)))</f>
        <v/>
      </c>
      <c r="AM13" s="524" t="str">
        <f>IFERROR(IF(F13="","",IF(AH13="Check Data ⚠","Check Data ⚠",VLOOKUP(AL13, 'G-3 Multipliers'!$P$2:$Q$6,2,FALSE))),"")</f>
        <v/>
      </c>
      <c r="AN13" s="197"/>
      <c r="AO13" s="540" t="str">
        <f>IF(AN13="","",IF(VLOOKUP(AN13,'G-3 Multipliers'!$S$3:$T$9,2,FALSE)=0,"Spatial Data Missing ⚠",VLOOKUP(AN13,'G-3 Multipliers'!$S$3:$T$9,2,FALSE)))</f>
        <v/>
      </c>
      <c r="AP13" s="513" t="str">
        <f t="shared" ref="AP13:AP76" si="11">IFERROR(((((V13*X13*Z13)-(V13*I13*K13))*(AM13*AI13))+(V13*I13*K13))*(AC13)*AO13,"")</f>
        <v/>
      </c>
      <c r="AQ13" s="231"/>
      <c r="AR13" s="150"/>
    </row>
    <row r="14" spans="1:44" x14ac:dyDescent="0.25">
      <c r="A14" s="31" t="str">
        <f>IF(E14="","",IF(ISNA(VLOOKUP($E14,'D-1 Off Site Habitat Baseline'!$D$1:$O$258,2,FALSE)),"",(VLOOKUP($E14,'D-1 Off Site Habitat Baseline'!$D$1:$O$258,2,FALSE))))</f>
        <v/>
      </c>
      <c r="B14" s="31" t="str">
        <f>IF(E14="","",IF(ISNA(VLOOKUP($E14,'D-1 Off Site Habitat Baseline'!$D$1:$O$258,3,FALSE)),"",(VLOOKUP($E14,'D-1 Off Site Habitat Baseline'!$D$1:$O$258,3,FALSE))))</f>
        <v/>
      </c>
      <c r="C14" s="31" t="str">
        <f>IFERROR(INDEX('G-8 Condition Look up'!$I$4:$I$130,MATCH(S14,'G-8 Condition Look up'!$A$4:$A$130,0)),"")</f>
        <v/>
      </c>
      <c r="E14" s="547" t="str">
        <f>'D-1 Off Site Habitat Baseline'!AL13</f>
        <v/>
      </c>
      <c r="F14" s="520" t="str">
        <f>IF(E14="","",IF(ISNA(VLOOKUP($E14,'D-1 Off Site Habitat Baseline'!$D$1:$O$258,4,FALSE)),"",(VLOOKUP($E14,'D-1 Off Site Habitat Baseline'!$D$1:$O$258,4,FALSE))))</f>
        <v/>
      </c>
      <c r="G14" s="520" t="str">
        <f>IF(E14="","",IF(ISNA(VLOOKUP($E14,'D-1 Off Site Habitat Baseline'!$D$1:$O$258,5,FALSE)),"",(VLOOKUP($E14,'D-1 Off Site Habitat Baseline'!$D$1:$O$258,5,FALSE))))</f>
        <v/>
      </c>
      <c r="H14" s="520" t="str">
        <f>IF(E14="","",IF(ISNA(VLOOKUP($E14,'D-1 Off Site Habitat Baseline'!$D$1:$O$258,6,FALSE)),"",(VLOOKUP($E14,'D-1 Off Site Habitat Baseline'!$D$1:$O$258,6,FALSE))))</f>
        <v/>
      </c>
      <c r="I14" s="520" t="str">
        <f>IF(E14="","",IF(ISNA(VLOOKUP($E14,'D-1 Off Site Habitat Baseline'!$D$1:$O$258,7,FALSE)),"",(VLOOKUP($E14,'D-1 Off Site Habitat Baseline'!$D$1:$O$258,7,FALSE))))</f>
        <v/>
      </c>
      <c r="J14" s="520" t="str">
        <f>IF(E14="","",IF(ISNA(VLOOKUP($E14,'D-1 Off Site Habitat Baseline'!$D$1:$O$258,8,FALSE)),"",(VLOOKUP($E14,'D-1 Off Site Habitat Baseline'!$D$1:$O$258,8,FALSE))))</f>
        <v/>
      </c>
      <c r="K14" s="520" t="str">
        <f>IF(E14="","",IF(ISNA(VLOOKUP($E14,'D-1 Off Site Habitat Baseline'!$D$1:$O$258,9,FALSE)),"",(VLOOKUP($E14,'D-1 Off Site Habitat Baseline'!$D$1:$O$258,9,FALSE))))</f>
        <v/>
      </c>
      <c r="L14" s="520" t="str">
        <f>IF(E14="","",IF(ISNA(VLOOKUP($E14,'D-1 Off Site Habitat Baseline'!$D$1:$O$258,11,FALSE)),"",(VLOOKUP($E14,'D-1 Off Site Habitat Baseline'!$D$1:$O$258,11,FALSE))))</f>
        <v/>
      </c>
      <c r="M14" s="520" t="str">
        <f>IF(E14="","",IF(ISNA(VLOOKUP($E14,'D-1 Off Site Habitat Baseline'!$D$1:$O$258,12,FALSE)),"",(VLOOKUP($E14,'D-1 Off Site Habitat Baseline'!$D$1:$O$258,12,FALSE))))</f>
        <v/>
      </c>
      <c r="N14" s="520" t="str">
        <f>IF(E14="","",IF(ISNA(VLOOKUP($E14,'D-1 Off Site Habitat Baseline'!$D$1:$X$258,14,FALSE)),"",(VLOOKUP($E14,'D-1 Off Site Habitat Baseline'!$D$1:$X$258,14,FALSE))))</f>
        <v/>
      </c>
      <c r="O14" s="524" t="str">
        <f>IF(E14="","",IF(ISNA(VLOOKUP($E14,'D-1 Off Site Habitat Baseline'!$D$1:$X$258,13,FALSE)),"",(VLOOKUP($E14,'D-1 Off Site Habitat Baseline'!$D$1:$X$258,13,FALSE))))</f>
        <v/>
      </c>
      <c r="P14" s="232" t="str">
        <f>IFERROR(INDEX('G-1 All Habitats'!$AG$3:$AG$15,MATCH(Q14,'G-1 All Habitats'!$AF$3:$AF$15,0)),"")</f>
        <v/>
      </c>
      <c r="Q14" s="228" t="str">
        <f t="shared" si="4"/>
        <v/>
      </c>
      <c r="R14" s="229" t="str">
        <f t="shared" si="1"/>
        <v/>
      </c>
      <c r="S14" s="233" t="str">
        <f>IFERROR(INDEX('G-1 All Habitats'!$B$3:$B$129,MATCH(R14,'G-1 All Habitats'!$A$3:$A$129,0)),"")</f>
        <v/>
      </c>
      <c r="T14" s="507" t="str">
        <f t="shared" si="5"/>
        <v/>
      </c>
      <c r="U14" s="524" t="str">
        <f t="shared" si="6"/>
        <v/>
      </c>
      <c r="V14" s="523" t="str">
        <f t="shared" si="2"/>
        <v/>
      </c>
      <c r="W14" s="520" t="str">
        <f>IF(S14="","",VLOOKUP(S14,'G-1 All Habitats'!$B$2:$M$129,10,FALSE))</f>
        <v/>
      </c>
      <c r="X14" s="520" t="str">
        <f>IFERROR(VLOOKUP(W14,'G-1 All Habitats'!$V$3:$W$7,2,FALSE),"")</f>
        <v/>
      </c>
      <c r="Y14" s="203"/>
      <c r="Z14" s="524" t="str">
        <f>IFERROR(INDEX('G-8 Condition Look up'!$A$3:$H$130,MATCH(S14,'G-8 Condition Look up'!$A$3:$A$130,0),MATCH(Y14,'G-8 Condition Look up'!$A$3:$H$3,0)),"")</f>
        <v/>
      </c>
      <c r="AA14" s="145"/>
      <c r="AB14" s="540" t="str">
        <f>IF(AA14="","",IF(VLOOKUP(AA14,'G-3 Multipliers'!$L$3:$N$6,2,FALSE)=0,"Spatial Data Missing ⚠",VLOOKUP(AA14,'G-3 Multipliers'!$L$3:$N$6,2,FALSE)))</f>
        <v/>
      </c>
      <c r="AC14" s="524" t="str">
        <f>IF(AA14="","",IF(VLOOKUP(AA14,'G-3 Multipliers'!$L$3:$N$6,3,FALSE)=0,"Spatial Data Missing ⚠",VLOOKUP(AA14,'G-3 Multipliers'!$L$3:$N$6,3,FALSE)))</f>
        <v/>
      </c>
      <c r="AD14" s="537" t="str">
        <f t="shared" si="3"/>
        <v/>
      </c>
      <c r="AE14" s="203"/>
      <c r="AF14" s="203"/>
      <c r="AG14" s="520" t="str">
        <f t="shared" si="7"/>
        <v/>
      </c>
      <c r="AH14" s="544" t="str">
        <f t="shared" si="8"/>
        <v/>
      </c>
      <c r="AI14" s="525" t="str">
        <f>IF(AH14="Check Data ⚠","Check Data ⚠",IFERROR(VLOOKUP(AH14,'G-4 Temporal multipliers'!$A$4:$C$36,3,FALSE),""))</f>
        <v/>
      </c>
      <c r="AJ14" s="537" t="str">
        <f>IF(S14="","",VLOOKUP(S14,'G-3 Multipliers'!$A$2:$E$129,4,FALSE))</f>
        <v/>
      </c>
      <c r="AK14" s="520" t="str">
        <f t="shared" si="9"/>
        <v/>
      </c>
      <c r="AL14" s="520" t="str">
        <f t="shared" si="10"/>
        <v/>
      </c>
      <c r="AM14" s="524" t="str">
        <f>IFERROR(IF(F14="","",IF(AH14="Check Data ⚠","Check Data ⚠",VLOOKUP(AL14, 'G-3 Multipliers'!$P$2:$Q$6,2,FALSE))),"")</f>
        <v/>
      </c>
      <c r="AN14" s="197"/>
      <c r="AO14" s="540" t="str">
        <f>IF(AN14="","",IF(VLOOKUP(AN14,'G-3 Multipliers'!$S$3:$T$9,2,FALSE)=0,"Spatial Data Missing ⚠",VLOOKUP(AN14,'G-3 Multipliers'!$S$3:$T$9,2,FALSE)))</f>
        <v/>
      </c>
      <c r="AP14" s="513" t="str">
        <f t="shared" si="11"/>
        <v/>
      </c>
      <c r="AQ14" s="231"/>
      <c r="AR14" s="150"/>
    </row>
    <row r="15" spans="1:44" x14ac:dyDescent="0.25">
      <c r="A15" s="31" t="str">
        <f>IF(E15="","",IF(ISNA(VLOOKUP($E15,'D-1 Off Site Habitat Baseline'!$D$1:$O$258,2,FALSE)),"",(VLOOKUP($E15,'D-1 Off Site Habitat Baseline'!$D$1:$O$258,2,FALSE))))</f>
        <v/>
      </c>
      <c r="B15" s="31" t="str">
        <f>IF(E15="","",IF(ISNA(VLOOKUP($E15,'D-1 Off Site Habitat Baseline'!$D$1:$O$258,3,FALSE)),"",(VLOOKUP($E15,'D-1 Off Site Habitat Baseline'!$D$1:$O$258,3,FALSE))))</f>
        <v/>
      </c>
      <c r="C15" s="31" t="str">
        <f>IFERROR(INDEX('G-8 Condition Look up'!$I$4:$I$130,MATCH(S15,'G-8 Condition Look up'!$A$4:$A$130,0)),"")</f>
        <v/>
      </c>
      <c r="E15" s="547" t="str">
        <f>'D-1 Off Site Habitat Baseline'!AL14</f>
        <v/>
      </c>
      <c r="F15" s="520" t="str">
        <f>IF(E15="","",IF(ISNA(VLOOKUP($E15,'D-1 Off Site Habitat Baseline'!$D$1:$O$258,4,FALSE)),"",(VLOOKUP($E15,'D-1 Off Site Habitat Baseline'!$D$1:$O$258,4,FALSE))))</f>
        <v/>
      </c>
      <c r="G15" s="520" t="str">
        <f>IF(E15="","",IF(ISNA(VLOOKUP($E15,'D-1 Off Site Habitat Baseline'!$D$1:$O$258,5,FALSE)),"",(VLOOKUP($E15,'D-1 Off Site Habitat Baseline'!$D$1:$O$258,5,FALSE))))</f>
        <v/>
      </c>
      <c r="H15" s="520" t="str">
        <f>IF(E15="","",IF(ISNA(VLOOKUP($E15,'D-1 Off Site Habitat Baseline'!$D$1:$O$258,6,FALSE)),"",(VLOOKUP($E15,'D-1 Off Site Habitat Baseline'!$D$1:$O$258,6,FALSE))))</f>
        <v/>
      </c>
      <c r="I15" s="520" t="str">
        <f>IF(E15="","",IF(ISNA(VLOOKUP($E15,'D-1 Off Site Habitat Baseline'!$D$1:$O$258,7,FALSE)),"",(VLOOKUP($E15,'D-1 Off Site Habitat Baseline'!$D$1:$O$258,7,FALSE))))</f>
        <v/>
      </c>
      <c r="J15" s="520" t="str">
        <f>IF(E15="","",IF(ISNA(VLOOKUP($E15,'D-1 Off Site Habitat Baseline'!$D$1:$O$258,8,FALSE)),"",(VLOOKUP($E15,'D-1 Off Site Habitat Baseline'!$D$1:$O$258,8,FALSE))))</f>
        <v/>
      </c>
      <c r="K15" s="520" t="str">
        <f>IF(E15="","",IF(ISNA(VLOOKUP($E15,'D-1 Off Site Habitat Baseline'!$D$1:$O$258,9,FALSE)),"",(VLOOKUP($E15,'D-1 Off Site Habitat Baseline'!$D$1:$O$258,9,FALSE))))</f>
        <v/>
      </c>
      <c r="L15" s="520" t="str">
        <f>IF(E15="","",IF(ISNA(VLOOKUP($E15,'D-1 Off Site Habitat Baseline'!$D$1:$O$258,11,FALSE)),"",(VLOOKUP($E15,'D-1 Off Site Habitat Baseline'!$D$1:$O$258,11,FALSE))))</f>
        <v/>
      </c>
      <c r="M15" s="520" t="str">
        <f>IF(E15="","",IF(ISNA(VLOOKUP($E15,'D-1 Off Site Habitat Baseline'!$D$1:$O$258,12,FALSE)),"",(VLOOKUP($E15,'D-1 Off Site Habitat Baseline'!$D$1:$O$258,12,FALSE))))</f>
        <v/>
      </c>
      <c r="N15" s="520" t="str">
        <f>IF(E15="","",IF(ISNA(VLOOKUP($E15,'D-1 Off Site Habitat Baseline'!$D$1:$X$258,14,FALSE)),"",(VLOOKUP($E15,'D-1 Off Site Habitat Baseline'!$D$1:$X$258,14,FALSE))))</f>
        <v/>
      </c>
      <c r="O15" s="524" t="str">
        <f>IF(E15="","",IF(ISNA(VLOOKUP($E15,'D-1 Off Site Habitat Baseline'!$D$1:$X$258,13,FALSE)),"",(VLOOKUP($E15,'D-1 Off Site Habitat Baseline'!$D$1:$X$258,13,FALSE))))</f>
        <v/>
      </c>
      <c r="P15" s="232" t="str">
        <f>IFERROR(INDEX('G-1 All Habitats'!$AG$3:$AG$15,MATCH(Q15,'G-1 All Habitats'!$AF$3:$AF$15,0)),"")</f>
        <v/>
      </c>
      <c r="Q15" s="228" t="str">
        <f t="shared" si="4"/>
        <v/>
      </c>
      <c r="R15" s="229" t="str">
        <f t="shared" si="1"/>
        <v/>
      </c>
      <c r="S15" s="233" t="str">
        <f>IFERROR(INDEX('G-1 All Habitats'!$B$3:$B$129,MATCH(R15,'G-1 All Habitats'!$A$3:$A$129,0)),"")</f>
        <v/>
      </c>
      <c r="T15" s="507" t="str">
        <f t="shared" si="5"/>
        <v/>
      </c>
      <c r="U15" s="524" t="str">
        <f t="shared" si="6"/>
        <v/>
      </c>
      <c r="V15" s="523" t="str">
        <f t="shared" si="2"/>
        <v/>
      </c>
      <c r="W15" s="520" t="str">
        <f>IF(S15="","",VLOOKUP(S15,'G-1 All Habitats'!$B$2:$M$129,10,FALSE))</f>
        <v/>
      </c>
      <c r="X15" s="520" t="str">
        <f>IFERROR(VLOOKUP(W15,'G-1 All Habitats'!$V$3:$W$7,2,FALSE),"")</f>
        <v/>
      </c>
      <c r="Y15" s="203"/>
      <c r="Z15" s="524" t="str">
        <f>IFERROR(INDEX('G-8 Condition Look up'!$A$3:$H$130,MATCH(S15,'G-8 Condition Look up'!$A$3:$A$130,0),MATCH(Y15,'G-8 Condition Look up'!$A$3:$H$3,0)),"")</f>
        <v/>
      </c>
      <c r="AA15" s="145"/>
      <c r="AB15" s="540" t="str">
        <f>IF(AA15="","",IF(VLOOKUP(AA15,'G-3 Multipliers'!$L$3:$N$6,2,FALSE)=0,"Spatial Data Missing ⚠",VLOOKUP(AA15,'G-3 Multipliers'!$L$3:$N$6,2,FALSE)))</f>
        <v/>
      </c>
      <c r="AC15" s="524" t="str">
        <f>IF(AA15="","",IF(VLOOKUP(AA15,'G-3 Multipliers'!$L$3:$N$6,3,FALSE)=0,"Spatial Data Missing ⚠",VLOOKUP(AA15,'G-3 Multipliers'!$L$3:$N$6,3,FALSE)))</f>
        <v/>
      </c>
      <c r="AD15" s="537" t="str">
        <f t="shared" si="3"/>
        <v/>
      </c>
      <c r="AE15" s="203"/>
      <c r="AF15" s="203"/>
      <c r="AG15" s="520" t="str">
        <f t="shared" si="7"/>
        <v/>
      </c>
      <c r="AH15" s="544" t="str">
        <f t="shared" si="8"/>
        <v/>
      </c>
      <c r="AI15" s="525" t="str">
        <f>IF(AH15="Check Data ⚠","Check Data ⚠",IFERROR(VLOOKUP(AH15,'G-4 Temporal multipliers'!$A$4:$C$36,3,FALSE),""))</f>
        <v/>
      </c>
      <c r="AJ15" s="537" t="str">
        <f>IF(S15="","",VLOOKUP(S15,'G-3 Multipliers'!$A$2:$E$129,4,FALSE))</f>
        <v/>
      </c>
      <c r="AK15" s="520" t="str">
        <f t="shared" si="9"/>
        <v/>
      </c>
      <c r="AL15" s="520" t="str">
        <f t="shared" si="10"/>
        <v/>
      </c>
      <c r="AM15" s="524" t="str">
        <f>IFERROR(IF(F15="","",IF(AH15="Check Data ⚠","Check Data ⚠",VLOOKUP(AL15, 'G-3 Multipliers'!$P$2:$Q$6,2,FALSE))),"")</f>
        <v/>
      </c>
      <c r="AN15" s="197"/>
      <c r="AO15" s="540" t="str">
        <f>IF(AN15="","",IF(VLOOKUP(AN15,'G-3 Multipliers'!$S$3:$T$9,2,FALSE)=0,"Spatial Data Missing ⚠",VLOOKUP(AN15,'G-3 Multipliers'!$S$3:$T$9,2,FALSE)))</f>
        <v/>
      </c>
      <c r="AP15" s="513" t="str">
        <f t="shared" si="11"/>
        <v/>
      </c>
      <c r="AQ15" s="231"/>
      <c r="AR15" s="150"/>
    </row>
    <row r="16" spans="1:44" x14ac:dyDescent="0.25">
      <c r="A16" s="31" t="str">
        <f>IF(E16="","",IF(ISNA(VLOOKUP($E16,'D-1 Off Site Habitat Baseline'!$D$1:$O$258,2,FALSE)),"",(VLOOKUP($E16,'D-1 Off Site Habitat Baseline'!$D$1:$O$258,2,FALSE))))</f>
        <v/>
      </c>
      <c r="B16" s="31" t="str">
        <f>IF(E16="","",IF(ISNA(VLOOKUP($E16,'D-1 Off Site Habitat Baseline'!$D$1:$O$258,3,FALSE)),"",(VLOOKUP($E16,'D-1 Off Site Habitat Baseline'!$D$1:$O$258,3,FALSE))))</f>
        <v/>
      </c>
      <c r="C16" s="31" t="str">
        <f>IFERROR(INDEX('G-8 Condition Look up'!$I$4:$I$130,MATCH(S16,'G-8 Condition Look up'!$A$4:$A$130,0)),"")</f>
        <v/>
      </c>
      <c r="E16" s="547" t="str">
        <f>'D-1 Off Site Habitat Baseline'!AL15</f>
        <v/>
      </c>
      <c r="F16" s="520" t="str">
        <f>IF(E16="","",IF(ISNA(VLOOKUP($E16,'D-1 Off Site Habitat Baseline'!$D$1:$O$258,4,FALSE)),"",(VLOOKUP($E16,'D-1 Off Site Habitat Baseline'!$D$1:$O$258,4,FALSE))))</f>
        <v/>
      </c>
      <c r="G16" s="520" t="str">
        <f>IF(E16="","",IF(ISNA(VLOOKUP($E16,'D-1 Off Site Habitat Baseline'!$D$1:$O$258,5,FALSE)),"",(VLOOKUP($E16,'D-1 Off Site Habitat Baseline'!$D$1:$O$258,5,FALSE))))</f>
        <v/>
      </c>
      <c r="H16" s="520" t="str">
        <f>IF(E16="","",IF(ISNA(VLOOKUP($E16,'D-1 Off Site Habitat Baseline'!$D$1:$O$258,6,FALSE)),"",(VLOOKUP($E16,'D-1 Off Site Habitat Baseline'!$D$1:$O$258,6,FALSE))))</f>
        <v/>
      </c>
      <c r="I16" s="520" t="str">
        <f>IF(E16="","",IF(ISNA(VLOOKUP($E16,'D-1 Off Site Habitat Baseline'!$D$1:$O$258,7,FALSE)),"",(VLOOKUP($E16,'D-1 Off Site Habitat Baseline'!$D$1:$O$258,7,FALSE))))</f>
        <v/>
      </c>
      <c r="J16" s="520" t="str">
        <f>IF(E16="","",IF(ISNA(VLOOKUP($E16,'D-1 Off Site Habitat Baseline'!$D$1:$O$258,8,FALSE)),"",(VLOOKUP($E16,'D-1 Off Site Habitat Baseline'!$D$1:$O$258,8,FALSE))))</f>
        <v/>
      </c>
      <c r="K16" s="520" t="str">
        <f>IF(E16="","",IF(ISNA(VLOOKUP($E16,'D-1 Off Site Habitat Baseline'!$D$1:$O$258,9,FALSE)),"",(VLOOKUP($E16,'D-1 Off Site Habitat Baseline'!$D$1:$O$258,9,FALSE))))</f>
        <v/>
      </c>
      <c r="L16" s="520" t="str">
        <f>IF(E16="","",IF(ISNA(VLOOKUP($E16,'D-1 Off Site Habitat Baseline'!$D$1:$O$258,11,FALSE)),"",(VLOOKUP($E16,'D-1 Off Site Habitat Baseline'!$D$1:$O$258,11,FALSE))))</f>
        <v/>
      </c>
      <c r="M16" s="520" t="str">
        <f>IF(E16="","",IF(ISNA(VLOOKUP($E16,'D-1 Off Site Habitat Baseline'!$D$1:$O$258,12,FALSE)),"",(VLOOKUP($E16,'D-1 Off Site Habitat Baseline'!$D$1:$O$258,12,FALSE))))</f>
        <v/>
      </c>
      <c r="N16" s="520" t="str">
        <f>IF(E16="","",IF(ISNA(VLOOKUP($E16,'D-1 Off Site Habitat Baseline'!$D$1:$X$258,14,FALSE)),"",(VLOOKUP($E16,'D-1 Off Site Habitat Baseline'!$D$1:$X$258,14,FALSE))))</f>
        <v/>
      </c>
      <c r="O16" s="524" t="str">
        <f>IF(E16="","",IF(ISNA(VLOOKUP($E16,'D-1 Off Site Habitat Baseline'!$D$1:$X$258,13,FALSE)),"",(VLOOKUP($E16,'D-1 Off Site Habitat Baseline'!$D$1:$X$258,13,FALSE))))</f>
        <v/>
      </c>
      <c r="P16" s="232" t="str">
        <f>IFERROR(INDEX('G-1 All Habitats'!$AG$3:$AG$15,MATCH(Q16,'G-1 All Habitats'!$AF$3:$AF$15,0)),"")</f>
        <v/>
      </c>
      <c r="Q16" s="228" t="str">
        <f t="shared" si="4"/>
        <v/>
      </c>
      <c r="R16" s="229" t="str">
        <f t="shared" si="1"/>
        <v/>
      </c>
      <c r="S16" s="233" t="str">
        <f>IFERROR(INDEX('G-1 All Habitats'!$B$3:$B$129,MATCH(R16,'G-1 All Habitats'!$A$3:$A$129,0)),"")</f>
        <v/>
      </c>
      <c r="T16" s="507" t="str">
        <f t="shared" si="5"/>
        <v/>
      </c>
      <c r="U16" s="524" t="str">
        <f t="shared" si="6"/>
        <v/>
      </c>
      <c r="V16" s="523" t="str">
        <f t="shared" si="2"/>
        <v/>
      </c>
      <c r="W16" s="520" t="str">
        <f>IF(S16="","",VLOOKUP(S16,'G-1 All Habitats'!$B$2:$M$129,10,FALSE))</f>
        <v/>
      </c>
      <c r="X16" s="520" t="str">
        <f>IFERROR(VLOOKUP(W16,'G-1 All Habitats'!$V$3:$W$7,2,FALSE),"")</f>
        <v/>
      </c>
      <c r="Y16" s="203"/>
      <c r="Z16" s="524" t="str">
        <f>IFERROR(INDEX('G-8 Condition Look up'!$A$3:$H$130,MATCH(S16,'G-8 Condition Look up'!$A$3:$A$130,0),MATCH(Y16,'G-8 Condition Look up'!$A$3:$H$3,0)),"")</f>
        <v/>
      </c>
      <c r="AA16" s="145"/>
      <c r="AB16" s="540" t="str">
        <f>IF(AA16="","",IF(VLOOKUP(AA16,'G-3 Multipliers'!$L$3:$N$6,2,FALSE)=0,"Spatial Data Missing ⚠",VLOOKUP(AA16,'G-3 Multipliers'!$L$3:$N$6,2,FALSE)))</f>
        <v/>
      </c>
      <c r="AC16" s="524" t="str">
        <f>IF(AA16="","",IF(VLOOKUP(AA16,'G-3 Multipliers'!$L$3:$N$6,3,FALSE)=0,"Spatial Data Missing ⚠",VLOOKUP(AA16,'G-3 Multipliers'!$L$3:$N$6,3,FALSE)))</f>
        <v/>
      </c>
      <c r="AD16" s="537" t="str">
        <f t="shared" si="3"/>
        <v/>
      </c>
      <c r="AE16" s="203"/>
      <c r="AF16" s="203"/>
      <c r="AG16" s="520" t="str">
        <f t="shared" si="7"/>
        <v/>
      </c>
      <c r="AH16" s="544" t="str">
        <f t="shared" si="8"/>
        <v/>
      </c>
      <c r="AI16" s="525" t="str">
        <f>IF(AH16="Check Data ⚠","Check Data ⚠",IFERROR(VLOOKUP(AH16,'G-4 Temporal multipliers'!$A$4:$C$36,3,FALSE),""))</f>
        <v/>
      </c>
      <c r="AJ16" s="537" t="str">
        <f>IF(S16="","",VLOOKUP(S16,'G-3 Multipliers'!$A$2:$E$129,4,FALSE))</f>
        <v/>
      </c>
      <c r="AK16" s="520" t="str">
        <f t="shared" si="9"/>
        <v/>
      </c>
      <c r="AL16" s="520" t="str">
        <f t="shared" si="10"/>
        <v/>
      </c>
      <c r="AM16" s="524" t="str">
        <f>IFERROR(IF(F16="","",IF(AH16="Check Data ⚠","Check Data ⚠",VLOOKUP(AL16, 'G-3 Multipliers'!$P$2:$Q$6,2,FALSE))),"")</f>
        <v/>
      </c>
      <c r="AN16" s="197"/>
      <c r="AO16" s="540" t="str">
        <f>IF(AN16="","",IF(VLOOKUP(AN16,'G-3 Multipliers'!$S$3:$T$9,2,FALSE)=0,"Spatial Data Missing ⚠",VLOOKUP(AN16,'G-3 Multipliers'!$S$3:$T$9,2,FALSE)))</f>
        <v/>
      </c>
      <c r="AP16" s="513" t="str">
        <f t="shared" si="11"/>
        <v/>
      </c>
      <c r="AQ16" s="231"/>
      <c r="AR16" s="150"/>
    </row>
    <row r="17" spans="1:44" x14ac:dyDescent="0.25">
      <c r="A17" s="31" t="str">
        <f>IF(E17="","",IF(ISNA(VLOOKUP($E17,'D-1 Off Site Habitat Baseline'!$D$1:$O$258,2,FALSE)),"",(VLOOKUP($E17,'D-1 Off Site Habitat Baseline'!$D$1:$O$258,2,FALSE))))</f>
        <v/>
      </c>
      <c r="B17" s="31" t="str">
        <f>IF(E17="","",IF(ISNA(VLOOKUP($E17,'D-1 Off Site Habitat Baseline'!$D$1:$O$258,3,FALSE)),"",(VLOOKUP($E17,'D-1 Off Site Habitat Baseline'!$D$1:$O$258,3,FALSE))))</f>
        <v/>
      </c>
      <c r="C17" s="31" t="str">
        <f>IFERROR(INDEX('G-8 Condition Look up'!$I$4:$I$130,MATCH(S17,'G-8 Condition Look up'!$A$4:$A$130,0)),"")</f>
        <v/>
      </c>
      <c r="E17" s="547" t="str">
        <f>'D-1 Off Site Habitat Baseline'!AL16</f>
        <v/>
      </c>
      <c r="F17" s="520" t="str">
        <f>IF(E17="","",IF(ISNA(VLOOKUP($E17,'D-1 Off Site Habitat Baseline'!$D$1:$O$258,4,FALSE)),"",(VLOOKUP($E17,'D-1 Off Site Habitat Baseline'!$D$1:$O$258,4,FALSE))))</f>
        <v/>
      </c>
      <c r="G17" s="520" t="str">
        <f>IF(E17="","",IF(ISNA(VLOOKUP($E17,'D-1 Off Site Habitat Baseline'!$D$1:$O$258,5,FALSE)),"",(VLOOKUP($E17,'D-1 Off Site Habitat Baseline'!$D$1:$O$258,5,FALSE))))</f>
        <v/>
      </c>
      <c r="H17" s="520" t="str">
        <f>IF(E17="","",IF(ISNA(VLOOKUP($E17,'D-1 Off Site Habitat Baseline'!$D$1:$O$258,6,FALSE)),"",(VLOOKUP($E17,'D-1 Off Site Habitat Baseline'!$D$1:$O$258,6,FALSE))))</f>
        <v/>
      </c>
      <c r="I17" s="520" t="str">
        <f>IF(E17="","",IF(ISNA(VLOOKUP($E17,'D-1 Off Site Habitat Baseline'!$D$1:$O$258,7,FALSE)),"",(VLOOKUP($E17,'D-1 Off Site Habitat Baseline'!$D$1:$O$258,7,FALSE))))</f>
        <v/>
      </c>
      <c r="J17" s="520" t="str">
        <f>IF(E17="","",IF(ISNA(VLOOKUP($E17,'D-1 Off Site Habitat Baseline'!$D$1:$O$258,8,FALSE)),"",(VLOOKUP($E17,'D-1 Off Site Habitat Baseline'!$D$1:$O$258,8,FALSE))))</f>
        <v/>
      </c>
      <c r="K17" s="520" t="str">
        <f>IF(E17="","",IF(ISNA(VLOOKUP($E17,'D-1 Off Site Habitat Baseline'!$D$1:$O$258,9,FALSE)),"",(VLOOKUP($E17,'D-1 Off Site Habitat Baseline'!$D$1:$O$258,9,FALSE))))</f>
        <v/>
      </c>
      <c r="L17" s="520" t="str">
        <f>IF(E17="","",IF(ISNA(VLOOKUP($E17,'D-1 Off Site Habitat Baseline'!$D$1:$O$258,11,FALSE)),"",(VLOOKUP($E17,'D-1 Off Site Habitat Baseline'!$D$1:$O$258,11,FALSE))))</f>
        <v/>
      </c>
      <c r="M17" s="520" t="str">
        <f>IF(E17="","",IF(ISNA(VLOOKUP($E17,'D-1 Off Site Habitat Baseline'!$D$1:$O$258,12,FALSE)),"",(VLOOKUP($E17,'D-1 Off Site Habitat Baseline'!$D$1:$O$258,12,FALSE))))</f>
        <v/>
      </c>
      <c r="N17" s="520" t="str">
        <f>IF(E17="","",IF(ISNA(VLOOKUP($E17,'D-1 Off Site Habitat Baseline'!$D$1:$X$258,14,FALSE)),"",(VLOOKUP($E17,'D-1 Off Site Habitat Baseline'!$D$1:$X$258,14,FALSE))))</f>
        <v/>
      </c>
      <c r="O17" s="524" t="str">
        <f>IF(E17="","",IF(ISNA(VLOOKUP($E17,'D-1 Off Site Habitat Baseline'!$D$1:$X$258,13,FALSE)),"",(VLOOKUP($E17,'D-1 Off Site Habitat Baseline'!$D$1:$X$258,13,FALSE))))</f>
        <v/>
      </c>
      <c r="P17" s="232" t="str">
        <f>IFERROR(INDEX('G-1 All Habitats'!$AG$3:$AG$15,MATCH(Q17,'G-1 All Habitats'!$AF$3:$AF$15,0)),"")</f>
        <v/>
      </c>
      <c r="Q17" s="228" t="str">
        <f t="shared" ref="Q17:Q78" si="12">A17</f>
        <v/>
      </c>
      <c r="R17" s="229" t="str">
        <f t="shared" ref="R17:R78" si="13">B17</f>
        <v/>
      </c>
      <c r="S17" s="233" t="str">
        <f>IFERROR(INDEX('G-1 All Habitats'!$B$3:$B$129,MATCH(R17,'G-1 All Habitats'!$A$3:$A$129,0)),"")</f>
        <v/>
      </c>
      <c r="T17" s="507" t="str">
        <f t="shared" si="5"/>
        <v/>
      </c>
      <c r="U17" s="524" t="str">
        <f t="shared" si="6"/>
        <v/>
      </c>
      <c r="V17" s="523" t="str">
        <f t="shared" si="2"/>
        <v/>
      </c>
      <c r="W17" s="520" t="str">
        <f>IF(S17="","",VLOOKUP(S17,'G-1 All Habitats'!$B$2:$M$129,10,FALSE))</f>
        <v/>
      </c>
      <c r="X17" s="520" t="str">
        <f>IFERROR(VLOOKUP(W17,'G-1 All Habitats'!$V$3:$W$7,2,FALSE),"")</f>
        <v/>
      </c>
      <c r="Y17" s="203"/>
      <c r="Z17" s="524" t="str">
        <f>IFERROR(INDEX('G-8 Condition Look up'!$A$3:$H$130,MATCH(S17,'G-8 Condition Look up'!$A$3:$A$130,0),MATCH(Y17,'G-8 Condition Look up'!$A$3:$H$3,0)),"")</f>
        <v/>
      </c>
      <c r="AA17" s="145"/>
      <c r="AB17" s="540" t="str">
        <f>IF(AA17="","",IF(VLOOKUP(AA17,'G-3 Multipliers'!$L$3:$N$6,2,FALSE)=0,"Spatial Data Missing ⚠",VLOOKUP(AA17,'G-3 Multipliers'!$L$3:$N$6,2,FALSE)))</f>
        <v/>
      </c>
      <c r="AC17" s="524" t="str">
        <f>IF(AA17="","",IF(VLOOKUP(AA17,'G-3 Multipliers'!$L$3:$N$6,3,FALSE)=0,"Spatial Data Missing ⚠",VLOOKUP(AA17,'G-3 Multipliers'!$L$3:$N$6,3,FALSE)))</f>
        <v/>
      </c>
      <c r="AD17" s="537" t="str">
        <f t="shared" si="3"/>
        <v/>
      </c>
      <c r="AE17" s="203"/>
      <c r="AF17" s="203"/>
      <c r="AG17" s="520" t="str">
        <f t="shared" si="7"/>
        <v/>
      </c>
      <c r="AH17" s="544" t="str">
        <f t="shared" si="8"/>
        <v/>
      </c>
      <c r="AI17" s="525" t="str">
        <f>IF(AH17="Check Data ⚠","Check Data ⚠",IFERROR(VLOOKUP(AH17,'G-4 Temporal multipliers'!$A$4:$C$36,3,FALSE),""))</f>
        <v/>
      </c>
      <c r="AJ17" s="537" t="str">
        <f>IF(S17="","",VLOOKUP(S17,'G-3 Multipliers'!$A$2:$E$129,4,FALSE))</f>
        <v/>
      </c>
      <c r="AK17" s="520" t="str">
        <f t="shared" si="9"/>
        <v/>
      </c>
      <c r="AL17" s="520" t="str">
        <f t="shared" si="10"/>
        <v/>
      </c>
      <c r="AM17" s="524" t="str">
        <f>IFERROR(IF(F17="","",IF(AH17="Check Data ⚠","Check Data ⚠",VLOOKUP(AL17, 'G-3 Multipliers'!$P$2:$Q$6,2,FALSE))),"")</f>
        <v/>
      </c>
      <c r="AN17" s="197"/>
      <c r="AO17" s="540" t="str">
        <f>IF(AN17="","",IF(VLOOKUP(AN17,'G-3 Multipliers'!$S$3:$T$9,2,FALSE)=0,"Spatial Data Missing ⚠",VLOOKUP(AN17,'G-3 Multipliers'!$S$3:$T$9,2,FALSE)))</f>
        <v/>
      </c>
      <c r="AP17" s="513" t="str">
        <f t="shared" si="11"/>
        <v/>
      </c>
      <c r="AQ17" s="231"/>
      <c r="AR17" s="150"/>
    </row>
    <row r="18" spans="1:44" x14ac:dyDescent="0.25">
      <c r="A18" s="31" t="str">
        <f>IF(E18="","",IF(ISNA(VLOOKUP($E18,'D-1 Off Site Habitat Baseline'!$D$1:$O$258,2,FALSE)),"",(VLOOKUP($E18,'D-1 Off Site Habitat Baseline'!$D$1:$O$258,2,FALSE))))</f>
        <v/>
      </c>
      <c r="B18" s="31" t="str">
        <f>IF(E18="","",IF(ISNA(VLOOKUP($E18,'D-1 Off Site Habitat Baseline'!$D$1:$O$258,3,FALSE)),"",(VLOOKUP($E18,'D-1 Off Site Habitat Baseline'!$D$1:$O$258,3,FALSE))))</f>
        <v/>
      </c>
      <c r="C18" s="31" t="str">
        <f>IFERROR(INDEX('G-8 Condition Look up'!$I$4:$I$130,MATCH(S18,'G-8 Condition Look up'!$A$4:$A$130,0)),"")</f>
        <v/>
      </c>
      <c r="E18" s="547" t="str">
        <f>'D-1 Off Site Habitat Baseline'!AL17</f>
        <v/>
      </c>
      <c r="F18" s="520" t="str">
        <f>IF(E18="","",IF(ISNA(VLOOKUP($E18,'D-1 Off Site Habitat Baseline'!$D$1:$O$258,4,FALSE)),"",(VLOOKUP($E18,'D-1 Off Site Habitat Baseline'!$D$1:$O$258,4,FALSE))))</f>
        <v/>
      </c>
      <c r="G18" s="520" t="str">
        <f>IF(E18="","",IF(ISNA(VLOOKUP($E18,'D-1 Off Site Habitat Baseline'!$D$1:$O$258,5,FALSE)),"",(VLOOKUP($E18,'D-1 Off Site Habitat Baseline'!$D$1:$O$258,5,FALSE))))</f>
        <v/>
      </c>
      <c r="H18" s="520" t="str">
        <f>IF(E18="","",IF(ISNA(VLOOKUP($E18,'D-1 Off Site Habitat Baseline'!$D$1:$O$258,6,FALSE)),"",(VLOOKUP($E18,'D-1 Off Site Habitat Baseline'!$D$1:$O$258,6,FALSE))))</f>
        <v/>
      </c>
      <c r="I18" s="520" t="str">
        <f>IF(E18="","",IF(ISNA(VLOOKUP($E18,'D-1 Off Site Habitat Baseline'!$D$1:$O$258,7,FALSE)),"",(VLOOKUP($E18,'D-1 Off Site Habitat Baseline'!$D$1:$O$258,7,FALSE))))</f>
        <v/>
      </c>
      <c r="J18" s="520" t="str">
        <f>IF(E18="","",IF(ISNA(VLOOKUP($E18,'D-1 Off Site Habitat Baseline'!$D$1:$O$258,8,FALSE)),"",(VLOOKUP($E18,'D-1 Off Site Habitat Baseline'!$D$1:$O$258,8,FALSE))))</f>
        <v/>
      </c>
      <c r="K18" s="520" t="str">
        <f>IF(E18="","",IF(ISNA(VLOOKUP($E18,'D-1 Off Site Habitat Baseline'!$D$1:$O$258,9,FALSE)),"",(VLOOKUP($E18,'D-1 Off Site Habitat Baseline'!$D$1:$O$258,9,FALSE))))</f>
        <v/>
      </c>
      <c r="L18" s="520" t="str">
        <f>IF(E18="","",IF(ISNA(VLOOKUP($E18,'D-1 Off Site Habitat Baseline'!$D$1:$O$258,11,FALSE)),"",(VLOOKUP($E18,'D-1 Off Site Habitat Baseline'!$D$1:$O$258,11,FALSE))))</f>
        <v/>
      </c>
      <c r="M18" s="520" t="str">
        <f>IF(E18="","",IF(ISNA(VLOOKUP($E18,'D-1 Off Site Habitat Baseline'!$D$1:$O$258,12,FALSE)),"",(VLOOKUP($E18,'D-1 Off Site Habitat Baseline'!$D$1:$O$258,12,FALSE))))</f>
        <v/>
      </c>
      <c r="N18" s="520" t="str">
        <f>IF(E18="","",IF(ISNA(VLOOKUP($E18,'D-1 Off Site Habitat Baseline'!$D$1:$X$258,14,FALSE)),"",(VLOOKUP($E18,'D-1 Off Site Habitat Baseline'!$D$1:$X$258,14,FALSE))))</f>
        <v/>
      </c>
      <c r="O18" s="524" t="str">
        <f>IF(E18="","",IF(ISNA(VLOOKUP($E18,'D-1 Off Site Habitat Baseline'!$D$1:$X$258,13,FALSE)),"",(VLOOKUP($E18,'D-1 Off Site Habitat Baseline'!$D$1:$X$258,13,FALSE))))</f>
        <v/>
      </c>
      <c r="P18" s="232" t="str">
        <f>IFERROR(INDEX('G-1 All Habitats'!$AG$3:$AG$15,MATCH(Q18,'G-1 All Habitats'!$AF$3:$AF$15,0)),"")</f>
        <v/>
      </c>
      <c r="Q18" s="228" t="str">
        <f t="shared" si="12"/>
        <v/>
      </c>
      <c r="R18" s="229" t="str">
        <f t="shared" si="13"/>
        <v/>
      </c>
      <c r="S18" s="233" t="str">
        <f>IFERROR(INDEX('G-1 All Habitats'!$B$3:$B$129,MATCH(R18,'G-1 All Habitats'!$A$3:$A$129,0)),"")</f>
        <v/>
      </c>
      <c r="T18" s="507" t="str">
        <f t="shared" si="5"/>
        <v/>
      </c>
      <c r="U18" s="524" t="str">
        <f t="shared" si="6"/>
        <v/>
      </c>
      <c r="V18" s="523" t="str">
        <f t="shared" si="2"/>
        <v/>
      </c>
      <c r="W18" s="520" t="str">
        <f>IF(S18="","",VLOOKUP(S18,'G-1 All Habitats'!$B$2:$M$129,10,FALSE))</f>
        <v/>
      </c>
      <c r="X18" s="520" t="str">
        <f>IFERROR(VLOOKUP(W18,'G-1 All Habitats'!$V$3:$W$7,2,FALSE),"")</f>
        <v/>
      </c>
      <c r="Y18" s="203"/>
      <c r="Z18" s="524" t="str">
        <f>IFERROR(INDEX('G-8 Condition Look up'!$A$3:$H$130,MATCH(S18,'G-8 Condition Look up'!$A$3:$A$130,0),MATCH(Y18,'G-8 Condition Look up'!$A$3:$H$3,0)),"")</f>
        <v/>
      </c>
      <c r="AA18" s="145"/>
      <c r="AB18" s="540" t="str">
        <f>IF(AA18="","",IF(VLOOKUP(AA18,'G-3 Multipliers'!$L$3:$N$6,2,FALSE)=0,"Spatial Data Missing ⚠",VLOOKUP(AA18,'G-3 Multipliers'!$L$3:$N$6,2,FALSE)))</f>
        <v/>
      </c>
      <c r="AC18" s="524" t="str">
        <f>IF(AA18="","",IF(VLOOKUP(AA18,'G-3 Multipliers'!$L$3:$N$6,3,FALSE)=0,"Spatial Data Missing ⚠",VLOOKUP(AA18,'G-3 Multipliers'!$L$3:$N$6,3,FALSE)))</f>
        <v/>
      </c>
      <c r="AD18" s="537" t="str">
        <f t="shared" si="3"/>
        <v/>
      </c>
      <c r="AE18" s="203"/>
      <c r="AF18" s="203"/>
      <c r="AG18" s="520" t="str">
        <f t="shared" si="7"/>
        <v/>
      </c>
      <c r="AH18" s="544" t="str">
        <f t="shared" si="8"/>
        <v/>
      </c>
      <c r="AI18" s="525" t="str">
        <f>IF(AH18="Check Data ⚠","Check Data ⚠",IFERROR(VLOOKUP(AH18,'G-4 Temporal multipliers'!$A$4:$C$36,3,FALSE),""))</f>
        <v/>
      </c>
      <c r="AJ18" s="537" t="str">
        <f>IF(S18="","",VLOOKUP(S18,'G-3 Multipliers'!$A$2:$E$129,4,FALSE))</f>
        <v/>
      </c>
      <c r="AK18" s="520" t="str">
        <f t="shared" si="9"/>
        <v/>
      </c>
      <c r="AL18" s="520" t="str">
        <f t="shared" si="10"/>
        <v/>
      </c>
      <c r="AM18" s="524" t="str">
        <f>IFERROR(IF(F18="","",IF(AH18="Check Data ⚠","Check Data ⚠",VLOOKUP(AL18, 'G-3 Multipliers'!$P$2:$Q$6,2,FALSE))),"")</f>
        <v/>
      </c>
      <c r="AN18" s="197"/>
      <c r="AO18" s="540" t="str">
        <f>IF(AN18="","",IF(VLOOKUP(AN18,'G-3 Multipliers'!$S$3:$T$9,2,FALSE)=0,"Spatial Data Missing ⚠",VLOOKUP(AN18,'G-3 Multipliers'!$S$3:$T$9,2,FALSE)))</f>
        <v/>
      </c>
      <c r="AP18" s="513" t="str">
        <f t="shared" si="11"/>
        <v/>
      </c>
      <c r="AQ18" s="231"/>
      <c r="AR18" s="150"/>
    </row>
    <row r="19" spans="1:44" x14ac:dyDescent="0.25">
      <c r="A19" s="31" t="str">
        <f>IF(E19="","",IF(ISNA(VLOOKUP($E19,'D-1 Off Site Habitat Baseline'!$D$1:$O$258,2,FALSE)),"",(VLOOKUP($E19,'D-1 Off Site Habitat Baseline'!$D$1:$O$258,2,FALSE))))</f>
        <v/>
      </c>
      <c r="B19" s="31" t="str">
        <f>IF(E19="","",IF(ISNA(VLOOKUP($E19,'D-1 Off Site Habitat Baseline'!$D$1:$O$258,3,FALSE)),"",(VLOOKUP($E19,'D-1 Off Site Habitat Baseline'!$D$1:$O$258,3,FALSE))))</f>
        <v/>
      </c>
      <c r="C19" s="31" t="str">
        <f>IFERROR(INDEX('G-8 Condition Look up'!$I$4:$I$130,MATCH(S19,'G-8 Condition Look up'!$A$4:$A$130,0)),"")</f>
        <v/>
      </c>
      <c r="E19" s="547" t="str">
        <f>'D-1 Off Site Habitat Baseline'!AL18</f>
        <v/>
      </c>
      <c r="F19" s="520" t="str">
        <f>IF(E19="","",IF(ISNA(VLOOKUP($E19,'D-1 Off Site Habitat Baseline'!$D$1:$O$258,4,FALSE)),"",(VLOOKUP($E19,'D-1 Off Site Habitat Baseline'!$D$1:$O$258,4,FALSE))))</f>
        <v/>
      </c>
      <c r="G19" s="520" t="str">
        <f>IF(E19="","",IF(ISNA(VLOOKUP($E19,'D-1 Off Site Habitat Baseline'!$D$1:$O$258,5,FALSE)),"",(VLOOKUP($E19,'D-1 Off Site Habitat Baseline'!$D$1:$O$258,5,FALSE))))</f>
        <v/>
      </c>
      <c r="H19" s="520" t="str">
        <f>IF(E19="","",IF(ISNA(VLOOKUP($E19,'D-1 Off Site Habitat Baseline'!$D$1:$O$258,6,FALSE)),"",(VLOOKUP($E19,'D-1 Off Site Habitat Baseline'!$D$1:$O$258,6,FALSE))))</f>
        <v/>
      </c>
      <c r="I19" s="520" t="str">
        <f>IF(E19="","",IF(ISNA(VLOOKUP($E19,'D-1 Off Site Habitat Baseline'!$D$1:$O$258,7,FALSE)),"",(VLOOKUP($E19,'D-1 Off Site Habitat Baseline'!$D$1:$O$258,7,FALSE))))</f>
        <v/>
      </c>
      <c r="J19" s="520" t="str">
        <f>IF(E19="","",IF(ISNA(VLOOKUP($E19,'D-1 Off Site Habitat Baseline'!$D$1:$O$258,8,FALSE)),"",(VLOOKUP($E19,'D-1 Off Site Habitat Baseline'!$D$1:$O$258,8,FALSE))))</f>
        <v/>
      </c>
      <c r="K19" s="520" t="str">
        <f>IF(E19="","",IF(ISNA(VLOOKUP($E19,'D-1 Off Site Habitat Baseline'!$D$1:$O$258,9,FALSE)),"",(VLOOKUP($E19,'D-1 Off Site Habitat Baseline'!$D$1:$O$258,9,FALSE))))</f>
        <v/>
      </c>
      <c r="L19" s="520" t="str">
        <f>IF(E19="","",IF(ISNA(VLOOKUP($E19,'D-1 Off Site Habitat Baseline'!$D$1:$O$258,11,FALSE)),"",(VLOOKUP($E19,'D-1 Off Site Habitat Baseline'!$D$1:$O$258,11,FALSE))))</f>
        <v/>
      </c>
      <c r="M19" s="520" t="str">
        <f>IF(E19="","",IF(ISNA(VLOOKUP($E19,'D-1 Off Site Habitat Baseline'!$D$1:$O$258,12,FALSE)),"",(VLOOKUP($E19,'D-1 Off Site Habitat Baseline'!$D$1:$O$258,12,FALSE))))</f>
        <v/>
      </c>
      <c r="N19" s="520" t="str">
        <f>IF(E19="","",IF(ISNA(VLOOKUP($E19,'D-1 Off Site Habitat Baseline'!$D$1:$X$258,14,FALSE)),"",(VLOOKUP($E19,'D-1 Off Site Habitat Baseline'!$D$1:$X$258,14,FALSE))))</f>
        <v/>
      </c>
      <c r="O19" s="524" t="str">
        <f>IF(E19="","",IF(ISNA(VLOOKUP($E19,'D-1 Off Site Habitat Baseline'!$D$1:$X$258,13,FALSE)),"",(VLOOKUP($E19,'D-1 Off Site Habitat Baseline'!$D$1:$X$258,13,FALSE))))</f>
        <v/>
      </c>
      <c r="P19" s="232" t="str">
        <f>IFERROR(INDEX('G-1 All Habitats'!$AG$3:$AG$15,MATCH(Q19,'G-1 All Habitats'!$AF$3:$AF$15,0)),"")</f>
        <v/>
      </c>
      <c r="Q19" s="228" t="str">
        <f t="shared" si="12"/>
        <v/>
      </c>
      <c r="R19" s="229" t="str">
        <f t="shared" si="13"/>
        <v/>
      </c>
      <c r="S19" s="233" t="str">
        <f>IFERROR(INDEX('G-1 All Habitats'!$B$3:$B$129,MATCH(R19,'G-1 All Habitats'!$A$3:$A$129,0)),"")</f>
        <v/>
      </c>
      <c r="T19" s="507" t="str">
        <f t="shared" si="5"/>
        <v/>
      </c>
      <c r="U19" s="524" t="str">
        <f t="shared" si="6"/>
        <v/>
      </c>
      <c r="V19" s="523" t="str">
        <f t="shared" si="2"/>
        <v/>
      </c>
      <c r="W19" s="520" t="str">
        <f>IF(S19="","",VLOOKUP(S19,'G-1 All Habitats'!$B$2:$M$129,10,FALSE))</f>
        <v/>
      </c>
      <c r="X19" s="520" t="str">
        <f>IFERROR(VLOOKUP(W19,'G-1 All Habitats'!$V$3:$W$7,2,FALSE),"")</f>
        <v/>
      </c>
      <c r="Y19" s="203"/>
      <c r="Z19" s="524" t="str">
        <f>IFERROR(INDEX('G-8 Condition Look up'!$A$3:$H$130,MATCH(S19,'G-8 Condition Look up'!$A$3:$A$130,0),MATCH(Y19,'G-8 Condition Look up'!$A$3:$H$3,0)),"")</f>
        <v/>
      </c>
      <c r="AA19" s="145"/>
      <c r="AB19" s="540" t="str">
        <f>IF(AA19="","",IF(VLOOKUP(AA19,'G-3 Multipliers'!$L$3:$N$6,2,FALSE)=0,"Spatial Data Missing ⚠",VLOOKUP(AA19,'G-3 Multipliers'!$L$3:$N$6,2,FALSE)))</f>
        <v/>
      </c>
      <c r="AC19" s="524" t="str">
        <f>IF(AA19="","",IF(VLOOKUP(AA19,'G-3 Multipliers'!$L$3:$N$6,3,FALSE)=0,"Spatial Data Missing ⚠",VLOOKUP(AA19,'G-3 Multipliers'!$L$3:$N$6,3,FALSE)))</f>
        <v/>
      </c>
      <c r="AD19" s="537" t="str">
        <f t="shared" si="3"/>
        <v/>
      </c>
      <c r="AE19" s="203"/>
      <c r="AF19" s="203"/>
      <c r="AG19" s="520" t="str">
        <f t="shared" si="7"/>
        <v/>
      </c>
      <c r="AH19" s="544" t="str">
        <f t="shared" si="8"/>
        <v/>
      </c>
      <c r="AI19" s="525" t="str">
        <f>IF(AH19="Check Data ⚠","Check Data ⚠",IFERROR(VLOOKUP(AH19,'G-4 Temporal multipliers'!$A$4:$C$36,3,FALSE),""))</f>
        <v/>
      </c>
      <c r="AJ19" s="537" t="str">
        <f>IF(S19="","",VLOOKUP(S19,'G-3 Multipliers'!$A$2:$E$129,4,FALSE))</f>
        <v/>
      </c>
      <c r="AK19" s="520" t="str">
        <f t="shared" si="9"/>
        <v/>
      </c>
      <c r="AL19" s="520" t="str">
        <f t="shared" si="10"/>
        <v/>
      </c>
      <c r="AM19" s="524" t="str">
        <f>IFERROR(IF(F19="","",IF(AH19="Check Data ⚠","Check Data ⚠",VLOOKUP(AL19, 'G-3 Multipliers'!$P$2:$Q$6,2,FALSE))),"")</f>
        <v/>
      </c>
      <c r="AN19" s="197"/>
      <c r="AO19" s="540" t="str">
        <f>IF(AN19="","",IF(VLOOKUP(AN19,'G-3 Multipliers'!$S$3:$T$9,2,FALSE)=0,"Spatial Data Missing ⚠",VLOOKUP(AN19,'G-3 Multipliers'!$S$3:$T$9,2,FALSE)))</f>
        <v/>
      </c>
      <c r="AP19" s="513" t="str">
        <f t="shared" si="11"/>
        <v/>
      </c>
      <c r="AQ19" s="231"/>
      <c r="AR19" s="150"/>
    </row>
    <row r="20" spans="1:44" x14ac:dyDescent="0.25">
      <c r="A20" s="31" t="str">
        <f>IF(E20="","",IF(ISNA(VLOOKUP($E20,'D-1 Off Site Habitat Baseline'!$D$1:$O$258,2,FALSE)),"",(VLOOKUP($E20,'D-1 Off Site Habitat Baseline'!$D$1:$O$258,2,FALSE))))</f>
        <v/>
      </c>
      <c r="B20" s="31" t="str">
        <f>IF(E20="","",IF(ISNA(VLOOKUP($E20,'D-1 Off Site Habitat Baseline'!$D$1:$O$258,3,FALSE)),"",(VLOOKUP($E20,'D-1 Off Site Habitat Baseline'!$D$1:$O$258,3,FALSE))))</f>
        <v/>
      </c>
      <c r="C20" s="31" t="str">
        <f>IFERROR(INDEX('G-8 Condition Look up'!$I$4:$I$130,MATCH(S20,'G-8 Condition Look up'!$A$4:$A$130,0)),"")</f>
        <v/>
      </c>
      <c r="E20" s="547" t="str">
        <f>'D-1 Off Site Habitat Baseline'!AL19</f>
        <v/>
      </c>
      <c r="F20" s="520" t="str">
        <f>IF(E20="","",IF(ISNA(VLOOKUP($E20,'D-1 Off Site Habitat Baseline'!$D$1:$O$258,4,FALSE)),"",(VLOOKUP($E20,'D-1 Off Site Habitat Baseline'!$D$1:$O$258,4,FALSE))))</f>
        <v/>
      </c>
      <c r="G20" s="520" t="str">
        <f>IF(E20="","",IF(ISNA(VLOOKUP($E20,'D-1 Off Site Habitat Baseline'!$D$1:$O$258,5,FALSE)),"",(VLOOKUP($E20,'D-1 Off Site Habitat Baseline'!$D$1:$O$258,5,FALSE))))</f>
        <v/>
      </c>
      <c r="H20" s="520" t="str">
        <f>IF(E20="","",IF(ISNA(VLOOKUP($E20,'D-1 Off Site Habitat Baseline'!$D$1:$O$258,6,FALSE)),"",(VLOOKUP($E20,'D-1 Off Site Habitat Baseline'!$D$1:$O$258,6,FALSE))))</f>
        <v/>
      </c>
      <c r="I20" s="520" t="str">
        <f>IF(E20="","",IF(ISNA(VLOOKUP($E20,'D-1 Off Site Habitat Baseline'!$D$1:$O$258,7,FALSE)),"",(VLOOKUP($E20,'D-1 Off Site Habitat Baseline'!$D$1:$O$258,7,FALSE))))</f>
        <v/>
      </c>
      <c r="J20" s="520" t="str">
        <f>IF(E20="","",IF(ISNA(VLOOKUP($E20,'D-1 Off Site Habitat Baseline'!$D$1:$O$258,8,FALSE)),"",(VLOOKUP($E20,'D-1 Off Site Habitat Baseline'!$D$1:$O$258,8,FALSE))))</f>
        <v/>
      </c>
      <c r="K20" s="520" t="str">
        <f>IF(E20="","",IF(ISNA(VLOOKUP($E20,'D-1 Off Site Habitat Baseline'!$D$1:$O$258,9,FALSE)),"",(VLOOKUP($E20,'D-1 Off Site Habitat Baseline'!$D$1:$O$258,9,FALSE))))</f>
        <v/>
      </c>
      <c r="L20" s="520" t="str">
        <f>IF(E20="","",IF(ISNA(VLOOKUP($E20,'D-1 Off Site Habitat Baseline'!$D$1:$O$258,11,FALSE)),"",(VLOOKUP($E20,'D-1 Off Site Habitat Baseline'!$D$1:$O$258,11,FALSE))))</f>
        <v/>
      </c>
      <c r="M20" s="520" t="str">
        <f>IF(E20="","",IF(ISNA(VLOOKUP($E20,'D-1 Off Site Habitat Baseline'!$D$1:$O$258,12,FALSE)),"",(VLOOKUP($E20,'D-1 Off Site Habitat Baseline'!$D$1:$O$258,12,FALSE))))</f>
        <v/>
      </c>
      <c r="N20" s="520" t="str">
        <f>IF(E20="","",IF(ISNA(VLOOKUP($E20,'D-1 Off Site Habitat Baseline'!$D$1:$X$258,14,FALSE)),"",(VLOOKUP($E20,'D-1 Off Site Habitat Baseline'!$D$1:$X$258,14,FALSE))))</f>
        <v/>
      </c>
      <c r="O20" s="524" t="str">
        <f>IF(E20="","",IF(ISNA(VLOOKUP($E20,'D-1 Off Site Habitat Baseline'!$D$1:$X$258,13,FALSE)),"",(VLOOKUP($E20,'D-1 Off Site Habitat Baseline'!$D$1:$X$258,13,FALSE))))</f>
        <v/>
      </c>
      <c r="P20" s="232" t="str">
        <f>IFERROR(INDEX('G-1 All Habitats'!$AG$3:$AG$15,MATCH(Q20,'G-1 All Habitats'!$AF$3:$AF$15,0)),"")</f>
        <v/>
      </c>
      <c r="Q20" s="228" t="str">
        <f t="shared" si="12"/>
        <v/>
      </c>
      <c r="R20" s="229" t="str">
        <f t="shared" si="13"/>
        <v/>
      </c>
      <c r="S20" s="233" t="str">
        <f>IFERROR(INDEX('G-1 All Habitats'!$B$3:$B$129,MATCH(R20,'G-1 All Habitats'!$A$3:$A$129,0)),"")</f>
        <v/>
      </c>
      <c r="T20" s="507" t="str">
        <f t="shared" si="5"/>
        <v/>
      </c>
      <c r="U20" s="524" t="str">
        <f t="shared" si="6"/>
        <v/>
      </c>
      <c r="V20" s="523" t="str">
        <f t="shared" si="2"/>
        <v/>
      </c>
      <c r="W20" s="520" t="str">
        <f>IF(S20="","",VLOOKUP(S20,'G-1 All Habitats'!$B$2:$M$129,10,FALSE))</f>
        <v/>
      </c>
      <c r="X20" s="520" t="str">
        <f>IFERROR(VLOOKUP(W20,'G-1 All Habitats'!$V$3:$W$7,2,FALSE),"")</f>
        <v/>
      </c>
      <c r="Y20" s="203"/>
      <c r="Z20" s="524" t="str">
        <f>IFERROR(INDEX('G-8 Condition Look up'!$A$3:$H$130,MATCH(S20,'G-8 Condition Look up'!$A$3:$A$130,0),MATCH(Y20,'G-8 Condition Look up'!$A$3:$H$3,0)),"")</f>
        <v/>
      </c>
      <c r="AA20" s="145"/>
      <c r="AB20" s="540" t="str">
        <f>IF(AA20="","",IF(VLOOKUP(AA20,'G-3 Multipliers'!$L$3:$N$6,2,FALSE)=0,"Spatial Data Missing ⚠",VLOOKUP(AA20,'G-3 Multipliers'!$L$3:$N$6,2,FALSE)))</f>
        <v/>
      </c>
      <c r="AC20" s="524" t="str">
        <f>IF(AA20="","",IF(VLOOKUP(AA20,'G-3 Multipliers'!$L$3:$N$6,3,FALSE)=0,"Spatial Data Missing ⚠",VLOOKUP(AA20,'G-3 Multipliers'!$L$3:$N$6,3,FALSE)))</f>
        <v/>
      </c>
      <c r="AD20" s="537" t="str">
        <f t="shared" si="3"/>
        <v/>
      </c>
      <c r="AE20" s="203"/>
      <c r="AF20" s="203"/>
      <c r="AG20" s="520" t="str">
        <f t="shared" si="7"/>
        <v/>
      </c>
      <c r="AH20" s="544" t="str">
        <f t="shared" si="8"/>
        <v/>
      </c>
      <c r="AI20" s="525" t="str">
        <f>IF(AH20="Check Data ⚠","Check Data ⚠",IFERROR(VLOOKUP(AH20,'G-4 Temporal multipliers'!$A$4:$C$36,3,FALSE),""))</f>
        <v/>
      </c>
      <c r="AJ20" s="537" t="str">
        <f>IF(S20="","",VLOOKUP(S20,'G-3 Multipliers'!$A$2:$E$129,4,FALSE))</f>
        <v/>
      </c>
      <c r="AK20" s="520" t="str">
        <f t="shared" si="9"/>
        <v/>
      </c>
      <c r="AL20" s="520" t="str">
        <f t="shared" si="10"/>
        <v/>
      </c>
      <c r="AM20" s="524" t="str">
        <f>IFERROR(IF(F20="","",IF(AH20="Check Data ⚠","Check Data ⚠",VLOOKUP(AL20, 'G-3 Multipliers'!$P$2:$Q$6,2,FALSE))),"")</f>
        <v/>
      </c>
      <c r="AN20" s="197"/>
      <c r="AO20" s="540" t="str">
        <f>IF(AN20="","",IF(VLOOKUP(AN20,'G-3 Multipliers'!$S$3:$T$9,2,FALSE)=0,"Spatial Data Missing ⚠",VLOOKUP(AN20,'G-3 Multipliers'!$S$3:$T$9,2,FALSE)))</f>
        <v/>
      </c>
      <c r="AP20" s="513" t="str">
        <f t="shared" si="11"/>
        <v/>
      </c>
      <c r="AQ20" s="231"/>
      <c r="AR20" s="150"/>
    </row>
    <row r="21" spans="1:44" x14ac:dyDescent="0.25">
      <c r="A21" s="31" t="str">
        <f>IF(E21="","",IF(ISNA(VLOOKUP($E21,'D-1 Off Site Habitat Baseline'!$D$1:$O$258,2,FALSE)),"",(VLOOKUP($E21,'D-1 Off Site Habitat Baseline'!$D$1:$O$258,2,FALSE))))</f>
        <v/>
      </c>
      <c r="B21" s="31" t="str">
        <f>IF(E21="","",IF(ISNA(VLOOKUP($E21,'D-1 Off Site Habitat Baseline'!$D$1:$O$258,3,FALSE)),"",(VLOOKUP($E21,'D-1 Off Site Habitat Baseline'!$D$1:$O$258,3,FALSE))))</f>
        <v/>
      </c>
      <c r="C21" s="31" t="str">
        <f>IFERROR(INDEX('G-8 Condition Look up'!$I$4:$I$130,MATCH(S21,'G-8 Condition Look up'!$A$4:$A$130,0)),"")</f>
        <v/>
      </c>
      <c r="E21" s="547" t="str">
        <f>'D-1 Off Site Habitat Baseline'!AL20</f>
        <v/>
      </c>
      <c r="F21" s="520" t="str">
        <f>IF(E21="","",IF(ISNA(VLOOKUP($E21,'D-1 Off Site Habitat Baseline'!$D$1:$O$258,4,FALSE)),"",(VLOOKUP($E21,'D-1 Off Site Habitat Baseline'!$D$1:$O$258,4,FALSE))))</f>
        <v/>
      </c>
      <c r="G21" s="520" t="str">
        <f>IF(E21="","",IF(ISNA(VLOOKUP($E21,'D-1 Off Site Habitat Baseline'!$D$1:$O$258,5,FALSE)),"",(VLOOKUP($E21,'D-1 Off Site Habitat Baseline'!$D$1:$O$258,5,FALSE))))</f>
        <v/>
      </c>
      <c r="H21" s="520" t="str">
        <f>IF(E21="","",IF(ISNA(VLOOKUP($E21,'D-1 Off Site Habitat Baseline'!$D$1:$O$258,6,FALSE)),"",(VLOOKUP($E21,'D-1 Off Site Habitat Baseline'!$D$1:$O$258,6,FALSE))))</f>
        <v/>
      </c>
      <c r="I21" s="520" t="str">
        <f>IF(E21="","",IF(ISNA(VLOOKUP($E21,'D-1 Off Site Habitat Baseline'!$D$1:$O$258,7,FALSE)),"",(VLOOKUP($E21,'D-1 Off Site Habitat Baseline'!$D$1:$O$258,7,FALSE))))</f>
        <v/>
      </c>
      <c r="J21" s="520" t="str">
        <f>IF(E21="","",IF(ISNA(VLOOKUP($E21,'D-1 Off Site Habitat Baseline'!$D$1:$O$258,8,FALSE)),"",(VLOOKUP($E21,'D-1 Off Site Habitat Baseline'!$D$1:$O$258,8,FALSE))))</f>
        <v/>
      </c>
      <c r="K21" s="520" t="str">
        <f>IF(E21="","",IF(ISNA(VLOOKUP($E21,'D-1 Off Site Habitat Baseline'!$D$1:$O$258,9,FALSE)),"",(VLOOKUP($E21,'D-1 Off Site Habitat Baseline'!$D$1:$O$258,9,FALSE))))</f>
        <v/>
      </c>
      <c r="L21" s="520" t="str">
        <f>IF(E21="","",IF(ISNA(VLOOKUP($E21,'D-1 Off Site Habitat Baseline'!$D$1:$O$258,11,FALSE)),"",(VLOOKUP($E21,'D-1 Off Site Habitat Baseline'!$D$1:$O$258,11,FALSE))))</f>
        <v/>
      </c>
      <c r="M21" s="520" t="str">
        <f>IF(E21="","",IF(ISNA(VLOOKUP($E21,'D-1 Off Site Habitat Baseline'!$D$1:$O$258,12,FALSE)),"",(VLOOKUP($E21,'D-1 Off Site Habitat Baseline'!$D$1:$O$258,12,FALSE))))</f>
        <v/>
      </c>
      <c r="N21" s="520" t="str">
        <f>IF(E21="","",IF(ISNA(VLOOKUP($E21,'D-1 Off Site Habitat Baseline'!$D$1:$X$258,14,FALSE)),"",(VLOOKUP($E21,'D-1 Off Site Habitat Baseline'!$D$1:$X$258,14,FALSE))))</f>
        <v/>
      </c>
      <c r="O21" s="524" t="str">
        <f>IF(E21="","",IF(ISNA(VLOOKUP($E21,'D-1 Off Site Habitat Baseline'!$D$1:$X$258,13,FALSE)),"",(VLOOKUP($E21,'D-1 Off Site Habitat Baseline'!$D$1:$X$258,13,FALSE))))</f>
        <v/>
      </c>
      <c r="P21" s="232" t="str">
        <f>IFERROR(INDEX('G-1 All Habitats'!$AG$3:$AG$15,MATCH(Q21,'G-1 All Habitats'!$AF$3:$AF$15,0)),"")</f>
        <v/>
      </c>
      <c r="Q21" s="228" t="str">
        <f t="shared" si="12"/>
        <v/>
      </c>
      <c r="R21" s="229" t="str">
        <f t="shared" si="13"/>
        <v/>
      </c>
      <c r="S21" s="233" t="str">
        <f>IFERROR(INDEX('G-1 All Habitats'!$B$3:$B$129,MATCH(R21,'G-1 All Habitats'!$A$3:$A$129,0)),"")</f>
        <v/>
      </c>
      <c r="T21" s="507" t="str">
        <f t="shared" si="5"/>
        <v/>
      </c>
      <c r="U21" s="524" t="str">
        <f t="shared" si="6"/>
        <v/>
      </c>
      <c r="V21" s="523" t="str">
        <f t="shared" si="2"/>
        <v/>
      </c>
      <c r="W21" s="520" t="str">
        <f>IF(S21="","",VLOOKUP(S21,'G-1 All Habitats'!$B$2:$M$129,10,FALSE))</f>
        <v/>
      </c>
      <c r="X21" s="520" t="str">
        <f>IFERROR(VLOOKUP(W21,'G-1 All Habitats'!$V$3:$W$7,2,FALSE),"")</f>
        <v/>
      </c>
      <c r="Y21" s="203"/>
      <c r="Z21" s="524" t="str">
        <f>IFERROR(INDEX('G-8 Condition Look up'!$A$3:$H$130,MATCH(S21,'G-8 Condition Look up'!$A$3:$A$130,0),MATCH(Y21,'G-8 Condition Look up'!$A$3:$H$3,0)),"")</f>
        <v/>
      </c>
      <c r="AA21" s="145"/>
      <c r="AB21" s="540" t="str">
        <f>IF(AA21="","",IF(VLOOKUP(AA21,'G-3 Multipliers'!$L$3:$N$6,2,FALSE)=0,"Spatial Data Missing ⚠",VLOOKUP(AA21,'G-3 Multipliers'!$L$3:$N$6,2,FALSE)))</f>
        <v/>
      </c>
      <c r="AC21" s="524" t="str">
        <f>IF(AA21="","",IF(VLOOKUP(AA21,'G-3 Multipliers'!$L$3:$N$6,3,FALSE)=0,"Spatial Data Missing ⚠",VLOOKUP(AA21,'G-3 Multipliers'!$L$3:$N$6,3,FALSE)))</f>
        <v/>
      </c>
      <c r="AD21" s="537" t="str">
        <f t="shared" si="3"/>
        <v/>
      </c>
      <c r="AE21" s="203"/>
      <c r="AF21" s="203"/>
      <c r="AG21" s="520" t="str">
        <f t="shared" si="7"/>
        <v/>
      </c>
      <c r="AH21" s="544" t="str">
        <f t="shared" si="8"/>
        <v/>
      </c>
      <c r="AI21" s="525" t="str">
        <f>IF(AH21="Check Data ⚠","Check Data ⚠",IFERROR(VLOOKUP(AH21,'G-4 Temporal multipliers'!$A$4:$C$36,3,FALSE),""))</f>
        <v/>
      </c>
      <c r="AJ21" s="537" t="str">
        <f>IF(S21="","",VLOOKUP(S21,'G-3 Multipliers'!$A$2:$E$129,4,FALSE))</f>
        <v/>
      </c>
      <c r="AK21" s="520" t="str">
        <f t="shared" si="9"/>
        <v/>
      </c>
      <c r="AL21" s="520" t="str">
        <f t="shared" si="10"/>
        <v/>
      </c>
      <c r="AM21" s="524" t="str">
        <f>IFERROR(IF(F21="","",IF(AH21="Check Data ⚠","Check Data ⚠",VLOOKUP(AL21, 'G-3 Multipliers'!$P$2:$Q$6,2,FALSE))),"")</f>
        <v/>
      </c>
      <c r="AN21" s="197"/>
      <c r="AO21" s="540" t="str">
        <f>IF(AN21="","",IF(VLOOKUP(AN21,'G-3 Multipliers'!$S$3:$T$9,2,FALSE)=0,"Spatial Data Missing ⚠",VLOOKUP(AN21,'G-3 Multipliers'!$S$3:$T$9,2,FALSE)))</f>
        <v/>
      </c>
      <c r="AP21" s="513" t="str">
        <f t="shared" si="11"/>
        <v/>
      </c>
      <c r="AQ21" s="231"/>
      <c r="AR21" s="150"/>
    </row>
    <row r="22" spans="1:44" x14ac:dyDescent="0.25">
      <c r="A22" s="31" t="str">
        <f>IF(E22="","",IF(ISNA(VLOOKUP($E22,'D-1 Off Site Habitat Baseline'!$D$1:$O$258,2,FALSE)),"",(VLOOKUP($E22,'D-1 Off Site Habitat Baseline'!$D$1:$O$258,2,FALSE))))</f>
        <v/>
      </c>
      <c r="B22" s="31" t="str">
        <f>IF(E22="","",IF(ISNA(VLOOKUP($E22,'D-1 Off Site Habitat Baseline'!$D$1:$O$258,3,FALSE)),"",(VLOOKUP($E22,'D-1 Off Site Habitat Baseline'!$D$1:$O$258,3,FALSE))))</f>
        <v/>
      </c>
      <c r="C22" s="31" t="str">
        <f>IFERROR(INDEX('G-8 Condition Look up'!$I$4:$I$130,MATCH(S22,'G-8 Condition Look up'!$A$4:$A$130,0)),"")</f>
        <v/>
      </c>
      <c r="E22" s="547" t="str">
        <f>'D-1 Off Site Habitat Baseline'!AL21</f>
        <v/>
      </c>
      <c r="F22" s="520" t="str">
        <f>IF(E22="","",IF(ISNA(VLOOKUP($E22,'D-1 Off Site Habitat Baseline'!$D$1:$O$258,4,FALSE)),"",(VLOOKUP($E22,'D-1 Off Site Habitat Baseline'!$D$1:$O$258,4,FALSE))))</f>
        <v/>
      </c>
      <c r="G22" s="520" t="str">
        <f>IF(E22="","",IF(ISNA(VLOOKUP($E22,'D-1 Off Site Habitat Baseline'!$D$1:$O$258,5,FALSE)),"",(VLOOKUP($E22,'D-1 Off Site Habitat Baseline'!$D$1:$O$258,5,FALSE))))</f>
        <v/>
      </c>
      <c r="H22" s="520" t="str">
        <f>IF(E22="","",IF(ISNA(VLOOKUP($E22,'D-1 Off Site Habitat Baseline'!$D$1:$O$258,6,FALSE)),"",(VLOOKUP($E22,'D-1 Off Site Habitat Baseline'!$D$1:$O$258,6,FALSE))))</f>
        <v/>
      </c>
      <c r="I22" s="520" t="str">
        <f>IF(E22="","",IF(ISNA(VLOOKUP($E22,'D-1 Off Site Habitat Baseline'!$D$1:$O$258,7,FALSE)),"",(VLOOKUP($E22,'D-1 Off Site Habitat Baseline'!$D$1:$O$258,7,FALSE))))</f>
        <v/>
      </c>
      <c r="J22" s="520" t="str">
        <f>IF(E22="","",IF(ISNA(VLOOKUP($E22,'D-1 Off Site Habitat Baseline'!$D$1:$O$258,8,FALSE)),"",(VLOOKUP($E22,'D-1 Off Site Habitat Baseline'!$D$1:$O$258,8,FALSE))))</f>
        <v/>
      </c>
      <c r="K22" s="520" t="str">
        <f>IF(E22="","",IF(ISNA(VLOOKUP($E22,'D-1 Off Site Habitat Baseline'!$D$1:$O$258,9,FALSE)),"",(VLOOKUP($E22,'D-1 Off Site Habitat Baseline'!$D$1:$O$258,9,FALSE))))</f>
        <v/>
      </c>
      <c r="L22" s="520" t="str">
        <f>IF(E22="","",IF(ISNA(VLOOKUP($E22,'D-1 Off Site Habitat Baseline'!$D$1:$O$258,11,FALSE)),"",(VLOOKUP($E22,'D-1 Off Site Habitat Baseline'!$D$1:$O$258,11,FALSE))))</f>
        <v/>
      </c>
      <c r="M22" s="520" t="str">
        <f>IF(E22="","",IF(ISNA(VLOOKUP($E22,'D-1 Off Site Habitat Baseline'!$D$1:$O$258,12,FALSE)),"",(VLOOKUP($E22,'D-1 Off Site Habitat Baseline'!$D$1:$O$258,12,FALSE))))</f>
        <v/>
      </c>
      <c r="N22" s="520" t="str">
        <f>IF(E22="","",IF(ISNA(VLOOKUP($E22,'D-1 Off Site Habitat Baseline'!$D$1:$X$258,14,FALSE)),"",(VLOOKUP($E22,'D-1 Off Site Habitat Baseline'!$D$1:$X$258,14,FALSE))))</f>
        <v/>
      </c>
      <c r="O22" s="524" t="str">
        <f>IF(E22="","",IF(ISNA(VLOOKUP($E22,'D-1 Off Site Habitat Baseline'!$D$1:$X$258,13,FALSE)),"",(VLOOKUP($E22,'D-1 Off Site Habitat Baseline'!$D$1:$X$258,13,FALSE))))</f>
        <v/>
      </c>
      <c r="P22" s="232" t="str">
        <f>IFERROR(INDEX('G-1 All Habitats'!$AG$3:$AG$15,MATCH(Q22,'G-1 All Habitats'!$AF$3:$AF$15,0)),"")</f>
        <v/>
      </c>
      <c r="Q22" s="228" t="str">
        <f t="shared" si="12"/>
        <v/>
      </c>
      <c r="R22" s="229" t="str">
        <f t="shared" si="13"/>
        <v/>
      </c>
      <c r="S22" s="233" t="str">
        <f>IFERROR(INDEX('G-1 All Habitats'!$B$3:$B$129,MATCH(R22,'G-1 All Habitats'!$A$3:$A$129,0)),"")</f>
        <v/>
      </c>
      <c r="T22" s="507" t="str">
        <f t="shared" si="5"/>
        <v/>
      </c>
      <c r="U22" s="524" t="str">
        <f t="shared" si="6"/>
        <v/>
      </c>
      <c r="V22" s="523" t="str">
        <f t="shared" si="2"/>
        <v/>
      </c>
      <c r="W22" s="520" t="str">
        <f>IF(S22="","",VLOOKUP(S22,'G-1 All Habitats'!$B$2:$M$129,10,FALSE))</f>
        <v/>
      </c>
      <c r="X22" s="520" t="str">
        <f>IFERROR(VLOOKUP(W22,'G-1 All Habitats'!$V$3:$W$7,2,FALSE),"")</f>
        <v/>
      </c>
      <c r="Y22" s="203"/>
      <c r="Z22" s="524" t="str">
        <f>IFERROR(INDEX('G-8 Condition Look up'!$A$3:$H$130,MATCH(S22,'G-8 Condition Look up'!$A$3:$A$130,0),MATCH(Y22,'G-8 Condition Look up'!$A$3:$H$3,0)),"")</f>
        <v/>
      </c>
      <c r="AA22" s="145"/>
      <c r="AB22" s="540" t="str">
        <f>IF(AA22="","",IF(VLOOKUP(AA22,'G-3 Multipliers'!$L$3:$N$6,2,FALSE)=0,"Spatial Data Missing ⚠",VLOOKUP(AA22,'G-3 Multipliers'!$L$3:$N$6,2,FALSE)))</f>
        <v/>
      </c>
      <c r="AC22" s="524" t="str">
        <f>IF(AA22="","",IF(VLOOKUP(AA22,'G-3 Multipliers'!$L$3:$N$6,3,FALSE)=0,"Spatial Data Missing ⚠",VLOOKUP(AA22,'G-3 Multipliers'!$L$3:$N$6,3,FALSE)))</f>
        <v/>
      </c>
      <c r="AD22" s="537" t="str">
        <f t="shared" si="3"/>
        <v/>
      </c>
      <c r="AE22" s="203"/>
      <c r="AF22" s="203"/>
      <c r="AG22" s="520" t="str">
        <f t="shared" si="7"/>
        <v/>
      </c>
      <c r="AH22" s="544" t="str">
        <f t="shared" si="8"/>
        <v/>
      </c>
      <c r="AI22" s="525" t="str">
        <f>IF(AH22="Check Data ⚠","Check Data ⚠",IFERROR(VLOOKUP(AH22,'G-4 Temporal multipliers'!$A$4:$C$36,3,FALSE),""))</f>
        <v/>
      </c>
      <c r="AJ22" s="537" t="str">
        <f>IF(S22="","",VLOOKUP(S22,'G-3 Multipliers'!$A$2:$E$129,4,FALSE))</f>
        <v/>
      </c>
      <c r="AK22" s="520" t="str">
        <f t="shared" si="9"/>
        <v/>
      </c>
      <c r="AL22" s="520" t="str">
        <f t="shared" si="10"/>
        <v/>
      </c>
      <c r="AM22" s="524" t="str">
        <f>IFERROR(IF(F22="","",IF(AH22="Check Data ⚠","Check Data ⚠",VLOOKUP(AL22, 'G-3 Multipliers'!$P$2:$Q$6,2,FALSE))),"")</f>
        <v/>
      </c>
      <c r="AN22" s="197"/>
      <c r="AO22" s="540" t="str">
        <f>IF(AN22="","",IF(VLOOKUP(AN22,'G-3 Multipliers'!$S$3:$T$9,2,FALSE)=0,"Spatial Data Missing ⚠",VLOOKUP(AN22,'G-3 Multipliers'!$S$3:$T$9,2,FALSE)))</f>
        <v/>
      </c>
      <c r="AP22" s="513" t="str">
        <f t="shared" si="11"/>
        <v/>
      </c>
      <c r="AQ22" s="231"/>
      <c r="AR22" s="150"/>
    </row>
    <row r="23" spans="1:44" x14ac:dyDescent="0.25">
      <c r="A23" s="31" t="str">
        <f>IF(E23="","",IF(ISNA(VLOOKUP($E23,'D-1 Off Site Habitat Baseline'!$D$1:$O$258,2,FALSE)),"",(VLOOKUP($E23,'D-1 Off Site Habitat Baseline'!$D$1:$O$258,2,FALSE))))</f>
        <v/>
      </c>
      <c r="B23" s="31" t="str">
        <f>IF(E23="","",IF(ISNA(VLOOKUP($E23,'D-1 Off Site Habitat Baseline'!$D$1:$O$258,3,FALSE)),"",(VLOOKUP($E23,'D-1 Off Site Habitat Baseline'!$D$1:$O$258,3,FALSE))))</f>
        <v/>
      </c>
      <c r="C23" s="31" t="str">
        <f>IFERROR(INDEX('G-8 Condition Look up'!$I$4:$I$130,MATCH(S23,'G-8 Condition Look up'!$A$4:$A$130,0)),"")</f>
        <v/>
      </c>
      <c r="E23" s="547" t="str">
        <f>'D-1 Off Site Habitat Baseline'!AL22</f>
        <v/>
      </c>
      <c r="F23" s="520" t="str">
        <f>IF(E23="","",IF(ISNA(VLOOKUP($E23,'D-1 Off Site Habitat Baseline'!$D$1:$O$258,4,FALSE)),"",(VLOOKUP($E23,'D-1 Off Site Habitat Baseline'!$D$1:$O$258,4,FALSE))))</f>
        <v/>
      </c>
      <c r="G23" s="520" t="str">
        <f>IF(E23="","",IF(ISNA(VLOOKUP($E23,'D-1 Off Site Habitat Baseline'!$D$1:$O$258,5,FALSE)),"",(VLOOKUP($E23,'D-1 Off Site Habitat Baseline'!$D$1:$O$258,5,FALSE))))</f>
        <v/>
      </c>
      <c r="H23" s="520" t="str">
        <f>IF(E23="","",IF(ISNA(VLOOKUP($E23,'D-1 Off Site Habitat Baseline'!$D$1:$O$258,6,FALSE)),"",(VLOOKUP($E23,'D-1 Off Site Habitat Baseline'!$D$1:$O$258,6,FALSE))))</f>
        <v/>
      </c>
      <c r="I23" s="520" t="str">
        <f>IF(E23="","",IF(ISNA(VLOOKUP($E23,'D-1 Off Site Habitat Baseline'!$D$1:$O$258,7,FALSE)),"",(VLOOKUP($E23,'D-1 Off Site Habitat Baseline'!$D$1:$O$258,7,FALSE))))</f>
        <v/>
      </c>
      <c r="J23" s="520" t="str">
        <f>IF(E23="","",IF(ISNA(VLOOKUP($E23,'D-1 Off Site Habitat Baseline'!$D$1:$O$258,8,FALSE)),"",(VLOOKUP($E23,'D-1 Off Site Habitat Baseline'!$D$1:$O$258,8,FALSE))))</f>
        <v/>
      </c>
      <c r="K23" s="520" t="str">
        <f>IF(E23="","",IF(ISNA(VLOOKUP($E23,'D-1 Off Site Habitat Baseline'!$D$1:$O$258,9,FALSE)),"",(VLOOKUP($E23,'D-1 Off Site Habitat Baseline'!$D$1:$O$258,9,FALSE))))</f>
        <v/>
      </c>
      <c r="L23" s="520" t="str">
        <f>IF(E23="","",IF(ISNA(VLOOKUP($E23,'D-1 Off Site Habitat Baseline'!$D$1:$O$258,11,FALSE)),"",(VLOOKUP($E23,'D-1 Off Site Habitat Baseline'!$D$1:$O$258,11,FALSE))))</f>
        <v/>
      </c>
      <c r="M23" s="520" t="str">
        <f>IF(E23="","",IF(ISNA(VLOOKUP($E23,'D-1 Off Site Habitat Baseline'!$D$1:$O$258,12,FALSE)),"",(VLOOKUP($E23,'D-1 Off Site Habitat Baseline'!$D$1:$O$258,12,FALSE))))</f>
        <v/>
      </c>
      <c r="N23" s="520" t="str">
        <f>IF(E23="","",IF(ISNA(VLOOKUP($E23,'D-1 Off Site Habitat Baseline'!$D$1:$X$258,14,FALSE)),"",(VLOOKUP($E23,'D-1 Off Site Habitat Baseline'!$D$1:$X$258,14,FALSE))))</f>
        <v/>
      </c>
      <c r="O23" s="524" t="str">
        <f>IF(E23="","",IF(ISNA(VLOOKUP($E23,'D-1 Off Site Habitat Baseline'!$D$1:$X$258,13,FALSE)),"",(VLOOKUP($E23,'D-1 Off Site Habitat Baseline'!$D$1:$X$258,13,FALSE))))</f>
        <v/>
      </c>
      <c r="P23" s="232" t="str">
        <f>IFERROR(INDEX('G-1 All Habitats'!$AG$3:$AG$15,MATCH(Q23,'G-1 All Habitats'!$AF$3:$AF$15,0)),"")</f>
        <v/>
      </c>
      <c r="Q23" s="228" t="str">
        <f t="shared" si="12"/>
        <v/>
      </c>
      <c r="R23" s="229" t="str">
        <f t="shared" si="13"/>
        <v/>
      </c>
      <c r="S23" s="233" t="str">
        <f>IFERROR(INDEX('G-1 All Habitats'!$B$3:$B$129,MATCH(R23,'G-1 All Habitats'!$A$3:$A$129,0)),"")</f>
        <v/>
      </c>
      <c r="T23" s="507" t="str">
        <f t="shared" si="5"/>
        <v/>
      </c>
      <c r="U23" s="524" t="str">
        <f t="shared" si="6"/>
        <v/>
      </c>
      <c r="V23" s="523" t="str">
        <f t="shared" si="2"/>
        <v/>
      </c>
      <c r="W23" s="520" t="str">
        <f>IF(S23="","",VLOOKUP(S23,'G-1 All Habitats'!$B$2:$M$129,10,FALSE))</f>
        <v/>
      </c>
      <c r="X23" s="520" t="str">
        <f>IFERROR(VLOOKUP(W23,'G-1 All Habitats'!$V$3:$W$7,2,FALSE),"")</f>
        <v/>
      </c>
      <c r="Y23" s="203"/>
      <c r="Z23" s="524" t="str">
        <f>IFERROR(INDEX('G-8 Condition Look up'!$A$3:$H$130,MATCH(S23,'G-8 Condition Look up'!$A$3:$A$130,0),MATCH(Y23,'G-8 Condition Look up'!$A$3:$H$3,0)),"")</f>
        <v/>
      </c>
      <c r="AA23" s="145"/>
      <c r="AB23" s="540" t="str">
        <f>IF(AA23="","",IF(VLOOKUP(AA23,'G-3 Multipliers'!$L$3:$N$6,2,FALSE)=0,"Spatial Data Missing ⚠",VLOOKUP(AA23,'G-3 Multipliers'!$L$3:$N$6,2,FALSE)))</f>
        <v/>
      </c>
      <c r="AC23" s="524" t="str">
        <f>IF(AA23="","",IF(VLOOKUP(AA23,'G-3 Multipliers'!$L$3:$N$6,3,FALSE)=0,"Spatial Data Missing ⚠",VLOOKUP(AA23,'G-3 Multipliers'!$L$3:$N$6,3,FALSE)))</f>
        <v/>
      </c>
      <c r="AD23" s="537" t="str">
        <f t="shared" si="3"/>
        <v/>
      </c>
      <c r="AE23" s="203"/>
      <c r="AF23" s="203"/>
      <c r="AG23" s="520" t="str">
        <f t="shared" si="7"/>
        <v/>
      </c>
      <c r="AH23" s="544" t="str">
        <f t="shared" si="8"/>
        <v/>
      </c>
      <c r="AI23" s="525" t="str">
        <f>IF(AH23="Check Data ⚠","Check Data ⚠",IFERROR(VLOOKUP(AH23,'G-4 Temporal multipliers'!$A$4:$C$36,3,FALSE),""))</f>
        <v/>
      </c>
      <c r="AJ23" s="537" t="str">
        <f>IF(S23="","",VLOOKUP(S23,'G-3 Multipliers'!$A$2:$E$129,4,FALSE))</f>
        <v/>
      </c>
      <c r="AK23" s="520" t="str">
        <f t="shared" si="9"/>
        <v/>
      </c>
      <c r="AL23" s="520" t="str">
        <f t="shared" si="10"/>
        <v/>
      </c>
      <c r="AM23" s="524" t="str">
        <f>IFERROR(IF(F23="","",IF(AH23="Check Data ⚠","Check Data ⚠",VLOOKUP(AL23, 'G-3 Multipliers'!$P$2:$Q$6,2,FALSE))),"")</f>
        <v/>
      </c>
      <c r="AN23" s="197"/>
      <c r="AO23" s="540" t="str">
        <f>IF(AN23="","",IF(VLOOKUP(AN23,'G-3 Multipliers'!$S$3:$T$9,2,FALSE)=0,"Spatial Data Missing ⚠",VLOOKUP(AN23,'G-3 Multipliers'!$S$3:$T$9,2,FALSE)))</f>
        <v/>
      </c>
      <c r="AP23" s="513" t="str">
        <f t="shared" si="11"/>
        <v/>
      </c>
      <c r="AQ23" s="231"/>
      <c r="AR23" s="150"/>
    </row>
    <row r="24" spans="1:44" x14ac:dyDescent="0.25">
      <c r="A24" s="31" t="str">
        <f>IF(E24="","",IF(ISNA(VLOOKUP($E24,'D-1 Off Site Habitat Baseline'!$D$1:$O$258,2,FALSE)),"",(VLOOKUP($E24,'D-1 Off Site Habitat Baseline'!$D$1:$O$258,2,FALSE))))</f>
        <v/>
      </c>
      <c r="B24" s="31" t="str">
        <f>IF(E24="","",IF(ISNA(VLOOKUP($E24,'D-1 Off Site Habitat Baseline'!$D$1:$O$258,3,FALSE)),"",(VLOOKUP($E24,'D-1 Off Site Habitat Baseline'!$D$1:$O$258,3,FALSE))))</f>
        <v/>
      </c>
      <c r="C24" s="31" t="str">
        <f>IFERROR(INDEX('G-8 Condition Look up'!$I$4:$I$130,MATCH(S24,'G-8 Condition Look up'!$A$4:$A$130,0)),"")</f>
        <v/>
      </c>
      <c r="E24" s="547" t="str">
        <f>'D-1 Off Site Habitat Baseline'!AL23</f>
        <v/>
      </c>
      <c r="F24" s="520" t="str">
        <f>IF(E24="","",IF(ISNA(VLOOKUP($E24,'D-1 Off Site Habitat Baseline'!$D$1:$O$258,4,FALSE)),"",(VLOOKUP($E24,'D-1 Off Site Habitat Baseline'!$D$1:$O$258,4,FALSE))))</f>
        <v/>
      </c>
      <c r="G24" s="520" t="str">
        <f>IF(E24="","",IF(ISNA(VLOOKUP($E24,'D-1 Off Site Habitat Baseline'!$D$1:$O$258,5,FALSE)),"",(VLOOKUP($E24,'D-1 Off Site Habitat Baseline'!$D$1:$O$258,5,FALSE))))</f>
        <v/>
      </c>
      <c r="H24" s="520" t="str">
        <f>IF(E24="","",IF(ISNA(VLOOKUP($E24,'D-1 Off Site Habitat Baseline'!$D$1:$O$258,6,FALSE)),"",(VLOOKUP($E24,'D-1 Off Site Habitat Baseline'!$D$1:$O$258,6,FALSE))))</f>
        <v/>
      </c>
      <c r="I24" s="520" t="str">
        <f>IF(E24="","",IF(ISNA(VLOOKUP($E24,'D-1 Off Site Habitat Baseline'!$D$1:$O$258,7,FALSE)),"",(VLOOKUP($E24,'D-1 Off Site Habitat Baseline'!$D$1:$O$258,7,FALSE))))</f>
        <v/>
      </c>
      <c r="J24" s="520" t="str">
        <f>IF(E24="","",IF(ISNA(VLOOKUP($E24,'D-1 Off Site Habitat Baseline'!$D$1:$O$258,8,FALSE)),"",(VLOOKUP($E24,'D-1 Off Site Habitat Baseline'!$D$1:$O$258,8,FALSE))))</f>
        <v/>
      </c>
      <c r="K24" s="520" t="str">
        <f>IF(E24="","",IF(ISNA(VLOOKUP($E24,'D-1 Off Site Habitat Baseline'!$D$1:$O$258,9,FALSE)),"",(VLOOKUP($E24,'D-1 Off Site Habitat Baseline'!$D$1:$O$258,9,FALSE))))</f>
        <v/>
      </c>
      <c r="L24" s="520" t="str">
        <f>IF(E24="","",IF(ISNA(VLOOKUP($E24,'D-1 Off Site Habitat Baseline'!$D$1:$O$258,11,FALSE)),"",(VLOOKUP($E24,'D-1 Off Site Habitat Baseline'!$D$1:$O$258,11,FALSE))))</f>
        <v/>
      </c>
      <c r="M24" s="520" t="str">
        <f>IF(E24="","",IF(ISNA(VLOOKUP($E24,'D-1 Off Site Habitat Baseline'!$D$1:$O$258,12,FALSE)),"",(VLOOKUP($E24,'D-1 Off Site Habitat Baseline'!$D$1:$O$258,12,FALSE))))</f>
        <v/>
      </c>
      <c r="N24" s="520" t="str">
        <f>IF(E24="","",IF(ISNA(VLOOKUP($E24,'D-1 Off Site Habitat Baseline'!$D$1:$X$258,14,FALSE)),"",(VLOOKUP($E24,'D-1 Off Site Habitat Baseline'!$D$1:$X$258,14,FALSE))))</f>
        <v/>
      </c>
      <c r="O24" s="524" t="str">
        <f>IF(E24="","",IF(ISNA(VLOOKUP($E24,'D-1 Off Site Habitat Baseline'!$D$1:$X$258,13,FALSE)),"",(VLOOKUP($E24,'D-1 Off Site Habitat Baseline'!$D$1:$X$258,13,FALSE))))</f>
        <v/>
      </c>
      <c r="P24" s="232" t="str">
        <f>IFERROR(INDEX('G-1 All Habitats'!$AG$3:$AG$15,MATCH(Q24,'G-1 All Habitats'!$AF$3:$AF$15,0)),"")</f>
        <v/>
      </c>
      <c r="Q24" s="228" t="str">
        <f t="shared" si="12"/>
        <v/>
      </c>
      <c r="R24" s="229" t="str">
        <f t="shared" si="13"/>
        <v/>
      </c>
      <c r="S24" s="233" t="str">
        <f>IFERROR(INDEX('G-1 All Habitats'!$B$3:$B$129,MATCH(R24,'G-1 All Habitats'!$A$3:$A$129,0)),"")</f>
        <v/>
      </c>
      <c r="T24" s="507" t="str">
        <f t="shared" si="5"/>
        <v/>
      </c>
      <c r="U24" s="524" t="str">
        <f t="shared" si="6"/>
        <v/>
      </c>
      <c r="V24" s="523" t="str">
        <f t="shared" si="2"/>
        <v/>
      </c>
      <c r="W24" s="520" t="str">
        <f>IF(S24="","",VLOOKUP(S24,'G-1 All Habitats'!$B$2:$M$129,10,FALSE))</f>
        <v/>
      </c>
      <c r="X24" s="520" t="str">
        <f>IFERROR(VLOOKUP(W24,'G-1 All Habitats'!$V$3:$W$7,2,FALSE),"")</f>
        <v/>
      </c>
      <c r="Y24" s="203"/>
      <c r="Z24" s="524" t="str">
        <f>IFERROR(INDEX('G-8 Condition Look up'!$A$3:$H$130,MATCH(S24,'G-8 Condition Look up'!$A$3:$A$130,0),MATCH(Y24,'G-8 Condition Look up'!$A$3:$H$3,0)),"")</f>
        <v/>
      </c>
      <c r="AA24" s="145"/>
      <c r="AB24" s="540" t="str">
        <f>IF(AA24="","",IF(VLOOKUP(AA24,'G-3 Multipliers'!$L$3:$N$6,2,FALSE)=0,"Spatial Data Missing ⚠",VLOOKUP(AA24,'G-3 Multipliers'!$L$3:$N$6,2,FALSE)))</f>
        <v/>
      </c>
      <c r="AC24" s="524" t="str">
        <f>IF(AA24="","",IF(VLOOKUP(AA24,'G-3 Multipliers'!$L$3:$N$6,3,FALSE)=0,"Spatial Data Missing ⚠",VLOOKUP(AA24,'G-3 Multipliers'!$L$3:$N$6,3,FALSE)))</f>
        <v/>
      </c>
      <c r="AD24" s="537" t="str">
        <f t="shared" si="3"/>
        <v/>
      </c>
      <c r="AE24" s="203"/>
      <c r="AF24" s="203"/>
      <c r="AG24" s="520" t="str">
        <f t="shared" si="7"/>
        <v/>
      </c>
      <c r="AH24" s="544" t="str">
        <f t="shared" si="8"/>
        <v/>
      </c>
      <c r="AI24" s="525" t="str">
        <f>IF(AH24="Check Data ⚠","Check Data ⚠",IFERROR(VLOOKUP(AH24,'G-4 Temporal multipliers'!$A$4:$C$36,3,FALSE),""))</f>
        <v/>
      </c>
      <c r="AJ24" s="537" t="str">
        <f>IF(S24="","",VLOOKUP(S24,'G-3 Multipliers'!$A$2:$E$129,4,FALSE))</f>
        <v/>
      </c>
      <c r="AK24" s="520" t="str">
        <f t="shared" si="9"/>
        <v/>
      </c>
      <c r="AL24" s="520" t="str">
        <f t="shared" si="10"/>
        <v/>
      </c>
      <c r="AM24" s="524" t="str">
        <f>IFERROR(IF(F24="","",IF(AH24="Check Data ⚠","Check Data ⚠",VLOOKUP(AL24, 'G-3 Multipliers'!$P$2:$Q$6,2,FALSE))),"")</f>
        <v/>
      </c>
      <c r="AN24" s="197"/>
      <c r="AO24" s="540" t="str">
        <f>IF(AN24="","",IF(VLOOKUP(AN24,'G-3 Multipliers'!$S$3:$T$9,2,FALSE)=0,"Spatial Data Missing ⚠",VLOOKUP(AN24,'G-3 Multipliers'!$S$3:$T$9,2,FALSE)))</f>
        <v/>
      </c>
      <c r="AP24" s="513" t="str">
        <f t="shared" si="11"/>
        <v/>
      </c>
      <c r="AQ24" s="231"/>
      <c r="AR24" s="150"/>
    </row>
    <row r="25" spans="1:44" x14ac:dyDescent="0.25">
      <c r="A25" s="31" t="str">
        <f>IF(E25="","",IF(ISNA(VLOOKUP($E25,'D-1 Off Site Habitat Baseline'!$D$1:$O$258,2,FALSE)),"",(VLOOKUP($E25,'D-1 Off Site Habitat Baseline'!$D$1:$O$258,2,FALSE))))</f>
        <v/>
      </c>
      <c r="B25" s="31" t="str">
        <f>IF(E25="","",IF(ISNA(VLOOKUP($E25,'D-1 Off Site Habitat Baseline'!$D$1:$O$258,3,FALSE)),"",(VLOOKUP($E25,'D-1 Off Site Habitat Baseline'!$D$1:$O$258,3,FALSE))))</f>
        <v/>
      </c>
      <c r="C25" s="31" t="str">
        <f>IFERROR(INDEX('G-8 Condition Look up'!$I$4:$I$130,MATCH(S25,'G-8 Condition Look up'!$A$4:$A$130,0)),"")</f>
        <v/>
      </c>
      <c r="E25" s="547" t="str">
        <f>'D-1 Off Site Habitat Baseline'!AL24</f>
        <v/>
      </c>
      <c r="F25" s="520" t="str">
        <f>IF(E25="","",IF(ISNA(VLOOKUP($E25,'D-1 Off Site Habitat Baseline'!$D$1:$O$258,4,FALSE)),"",(VLOOKUP($E25,'D-1 Off Site Habitat Baseline'!$D$1:$O$258,4,FALSE))))</f>
        <v/>
      </c>
      <c r="G25" s="520" t="str">
        <f>IF(E25="","",IF(ISNA(VLOOKUP($E25,'D-1 Off Site Habitat Baseline'!$D$1:$O$258,5,FALSE)),"",(VLOOKUP($E25,'D-1 Off Site Habitat Baseline'!$D$1:$O$258,5,FALSE))))</f>
        <v/>
      </c>
      <c r="H25" s="520" t="str">
        <f>IF(E25="","",IF(ISNA(VLOOKUP($E25,'D-1 Off Site Habitat Baseline'!$D$1:$O$258,6,FALSE)),"",(VLOOKUP($E25,'D-1 Off Site Habitat Baseline'!$D$1:$O$258,6,FALSE))))</f>
        <v/>
      </c>
      <c r="I25" s="520" t="str">
        <f>IF(E25="","",IF(ISNA(VLOOKUP($E25,'D-1 Off Site Habitat Baseline'!$D$1:$O$258,7,FALSE)),"",(VLOOKUP($E25,'D-1 Off Site Habitat Baseline'!$D$1:$O$258,7,FALSE))))</f>
        <v/>
      </c>
      <c r="J25" s="520" t="str">
        <f>IF(E25="","",IF(ISNA(VLOOKUP($E25,'D-1 Off Site Habitat Baseline'!$D$1:$O$258,8,FALSE)),"",(VLOOKUP($E25,'D-1 Off Site Habitat Baseline'!$D$1:$O$258,8,FALSE))))</f>
        <v/>
      </c>
      <c r="K25" s="520" t="str">
        <f>IF(E25="","",IF(ISNA(VLOOKUP($E25,'D-1 Off Site Habitat Baseline'!$D$1:$O$258,9,FALSE)),"",(VLOOKUP($E25,'D-1 Off Site Habitat Baseline'!$D$1:$O$258,9,FALSE))))</f>
        <v/>
      </c>
      <c r="L25" s="520" t="str">
        <f>IF(E25="","",IF(ISNA(VLOOKUP($E25,'D-1 Off Site Habitat Baseline'!$D$1:$O$258,11,FALSE)),"",(VLOOKUP($E25,'D-1 Off Site Habitat Baseline'!$D$1:$O$258,11,FALSE))))</f>
        <v/>
      </c>
      <c r="M25" s="520" t="str">
        <f>IF(E25="","",IF(ISNA(VLOOKUP($E25,'D-1 Off Site Habitat Baseline'!$D$1:$O$258,12,FALSE)),"",(VLOOKUP($E25,'D-1 Off Site Habitat Baseline'!$D$1:$O$258,12,FALSE))))</f>
        <v/>
      </c>
      <c r="N25" s="520" t="str">
        <f>IF(E25="","",IF(ISNA(VLOOKUP($E25,'D-1 Off Site Habitat Baseline'!$D$1:$X$258,14,FALSE)),"",(VLOOKUP($E25,'D-1 Off Site Habitat Baseline'!$D$1:$X$258,14,FALSE))))</f>
        <v/>
      </c>
      <c r="O25" s="524" t="str">
        <f>IF(E25="","",IF(ISNA(VLOOKUP($E25,'D-1 Off Site Habitat Baseline'!$D$1:$X$258,13,FALSE)),"",(VLOOKUP($E25,'D-1 Off Site Habitat Baseline'!$D$1:$X$258,13,FALSE))))</f>
        <v/>
      </c>
      <c r="P25" s="232" t="str">
        <f>IFERROR(INDEX('G-1 All Habitats'!$AG$3:$AG$15,MATCH(Q25,'G-1 All Habitats'!$AF$3:$AF$15,0)),"")</f>
        <v/>
      </c>
      <c r="Q25" s="228" t="str">
        <f t="shared" si="12"/>
        <v/>
      </c>
      <c r="R25" s="229" t="str">
        <f t="shared" si="13"/>
        <v/>
      </c>
      <c r="S25" s="233" t="str">
        <f>IFERROR(INDEX('G-1 All Habitats'!$B$3:$B$129,MATCH(R25,'G-1 All Habitats'!$A$3:$A$129,0)),"")</f>
        <v/>
      </c>
      <c r="T25" s="507" t="str">
        <f t="shared" si="5"/>
        <v/>
      </c>
      <c r="U25" s="524" t="str">
        <f t="shared" si="6"/>
        <v/>
      </c>
      <c r="V25" s="523" t="str">
        <f t="shared" si="2"/>
        <v/>
      </c>
      <c r="W25" s="520" t="str">
        <f>IF(S25="","",VLOOKUP(S25,'G-1 All Habitats'!$B$2:$M$129,10,FALSE))</f>
        <v/>
      </c>
      <c r="X25" s="520" t="str">
        <f>IFERROR(VLOOKUP(W25,'G-1 All Habitats'!$V$3:$W$7,2,FALSE),"")</f>
        <v/>
      </c>
      <c r="Y25" s="203"/>
      <c r="Z25" s="524" t="str">
        <f>IFERROR(INDEX('G-8 Condition Look up'!$A$3:$H$130,MATCH(S25,'G-8 Condition Look up'!$A$3:$A$130,0),MATCH(Y25,'G-8 Condition Look up'!$A$3:$H$3,0)),"")</f>
        <v/>
      </c>
      <c r="AA25" s="145"/>
      <c r="AB25" s="540" t="str">
        <f>IF(AA25="","",IF(VLOOKUP(AA25,'G-3 Multipliers'!$L$3:$N$6,2,FALSE)=0,"Spatial Data Missing ⚠",VLOOKUP(AA25,'G-3 Multipliers'!$L$3:$N$6,2,FALSE)))</f>
        <v/>
      </c>
      <c r="AC25" s="524" t="str">
        <f>IF(AA25="","",IF(VLOOKUP(AA25,'G-3 Multipliers'!$L$3:$N$6,3,FALSE)=0,"Spatial Data Missing ⚠",VLOOKUP(AA25,'G-3 Multipliers'!$L$3:$N$6,3,FALSE)))</f>
        <v/>
      </c>
      <c r="AD25" s="537" t="str">
        <f t="shared" si="3"/>
        <v/>
      </c>
      <c r="AE25" s="203"/>
      <c r="AF25" s="203"/>
      <c r="AG25" s="520" t="str">
        <f t="shared" si="7"/>
        <v/>
      </c>
      <c r="AH25" s="544" t="str">
        <f t="shared" si="8"/>
        <v/>
      </c>
      <c r="AI25" s="525" t="str">
        <f>IF(AH25="Check Data ⚠","Check Data ⚠",IFERROR(VLOOKUP(AH25,'G-4 Temporal multipliers'!$A$4:$C$36,3,FALSE),""))</f>
        <v/>
      </c>
      <c r="AJ25" s="537" t="str">
        <f>IF(S25="","",VLOOKUP(S25,'G-3 Multipliers'!$A$2:$E$129,4,FALSE))</f>
        <v/>
      </c>
      <c r="AK25" s="520" t="str">
        <f t="shared" si="9"/>
        <v/>
      </c>
      <c r="AL25" s="520" t="str">
        <f t="shared" si="10"/>
        <v/>
      </c>
      <c r="AM25" s="524" t="str">
        <f>IFERROR(IF(F25="","",IF(AH25="Check Data ⚠","Check Data ⚠",VLOOKUP(AL25, 'G-3 Multipliers'!$P$2:$Q$6,2,FALSE))),"")</f>
        <v/>
      </c>
      <c r="AN25" s="197"/>
      <c r="AO25" s="540" t="str">
        <f>IF(AN25="","",IF(VLOOKUP(AN25,'G-3 Multipliers'!$S$3:$T$9,2,FALSE)=0,"Spatial Data Missing ⚠",VLOOKUP(AN25,'G-3 Multipliers'!$S$3:$T$9,2,FALSE)))</f>
        <v/>
      </c>
      <c r="AP25" s="513" t="str">
        <f t="shared" si="11"/>
        <v/>
      </c>
      <c r="AQ25" s="231"/>
      <c r="AR25" s="150"/>
    </row>
    <row r="26" spans="1:44" x14ac:dyDescent="0.25">
      <c r="A26" s="31" t="str">
        <f>IF(E26="","",IF(ISNA(VLOOKUP($E26,'D-1 Off Site Habitat Baseline'!$D$1:$O$258,2,FALSE)),"",(VLOOKUP($E26,'D-1 Off Site Habitat Baseline'!$D$1:$O$258,2,FALSE))))</f>
        <v/>
      </c>
      <c r="B26" s="31" t="str">
        <f>IF(E26="","",IF(ISNA(VLOOKUP($E26,'D-1 Off Site Habitat Baseline'!$D$1:$O$258,3,FALSE)),"",(VLOOKUP($E26,'D-1 Off Site Habitat Baseline'!$D$1:$O$258,3,FALSE))))</f>
        <v/>
      </c>
      <c r="C26" s="31" t="str">
        <f>IFERROR(INDEX('G-8 Condition Look up'!$I$4:$I$130,MATCH(S26,'G-8 Condition Look up'!$A$4:$A$130,0)),"")</f>
        <v/>
      </c>
      <c r="E26" s="547" t="str">
        <f>'D-1 Off Site Habitat Baseline'!AL25</f>
        <v/>
      </c>
      <c r="F26" s="520" t="str">
        <f>IF(E26="","",IF(ISNA(VLOOKUP($E26,'D-1 Off Site Habitat Baseline'!$D$1:$O$258,4,FALSE)),"",(VLOOKUP($E26,'D-1 Off Site Habitat Baseline'!$D$1:$O$258,4,FALSE))))</f>
        <v/>
      </c>
      <c r="G26" s="520" t="str">
        <f>IF(E26="","",IF(ISNA(VLOOKUP($E26,'D-1 Off Site Habitat Baseline'!$D$1:$O$258,5,FALSE)),"",(VLOOKUP($E26,'D-1 Off Site Habitat Baseline'!$D$1:$O$258,5,FALSE))))</f>
        <v/>
      </c>
      <c r="H26" s="520" t="str">
        <f>IF(E26="","",IF(ISNA(VLOOKUP($E26,'D-1 Off Site Habitat Baseline'!$D$1:$O$258,6,FALSE)),"",(VLOOKUP($E26,'D-1 Off Site Habitat Baseline'!$D$1:$O$258,6,FALSE))))</f>
        <v/>
      </c>
      <c r="I26" s="520" t="str">
        <f>IF(E26="","",IF(ISNA(VLOOKUP($E26,'D-1 Off Site Habitat Baseline'!$D$1:$O$258,7,FALSE)),"",(VLOOKUP($E26,'D-1 Off Site Habitat Baseline'!$D$1:$O$258,7,FALSE))))</f>
        <v/>
      </c>
      <c r="J26" s="520" t="str">
        <f>IF(E26="","",IF(ISNA(VLOOKUP($E26,'D-1 Off Site Habitat Baseline'!$D$1:$O$258,8,FALSE)),"",(VLOOKUP($E26,'D-1 Off Site Habitat Baseline'!$D$1:$O$258,8,FALSE))))</f>
        <v/>
      </c>
      <c r="K26" s="520" t="str">
        <f>IF(E26="","",IF(ISNA(VLOOKUP($E26,'D-1 Off Site Habitat Baseline'!$D$1:$O$258,9,FALSE)),"",(VLOOKUP($E26,'D-1 Off Site Habitat Baseline'!$D$1:$O$258,9,FALSE))))</f>
        <v/>
      </c>
      <c r="L26" s="520" t="str">
        <f>IF(E26="","",IF(ISNA(VLOOKUP($E26,'D-1 Off Site Habitat Baseline'!$D$1:$O$258,11,FALSE)),"",(VLOOKUP($E26,'D-1 Off Site Habitat Baseline'!$D$1:$O$258,11,FALSE))))</f>
        <v/>
      </c>
      <c r="M26" s="520" t="str">
        <f>IF(E26="","",IF(ISNA(VLOOKUP($E26,'D-1 Off Site Habitat Baseline'!$D$1:$O$258,12,FALSE)),"",(VLOOKUP($E26,'D-1 Off Site Habitat Baseline'!$D$1:$O$258,12,FALSE))))</f>
        <v/>
      </c>
      <c r="N26" s="520" t="str">
        <f>IF(E26="","",IF(ISNA(VLOOKUP($E26,'D-1 Off Site Habitat Baseline'!$D$1:$X$258,14,FALSE)),"",(VLOOKUP($E26,'D-1 Off Site Habitat Baseline'!$D$1:$X$258,14,FALSE))))</f>
        <v/>
      </c>
      <c r="O26" s="524" t="str">
        <f>IF(E26="","",IF(ISNA(VLOOKUP($E26,'D-1 Off Site Habitat Baseline'!$D$1:$X$258,13,FALSE)),"",(VLOOKUP($E26,'D-1 Off Site Habitat Baseline'!$D$1:$X$258,13,FALSE))))</f>
        <v/>
      </c>
      <c r="P26" s="232" t="str">
        <f>IFERROR(INDEX('G-1 All Habitats'!$AG$3:$AG$15,MATCH(Q26,'G-1 All Habitats'!$AF$3:$AF$15,0)),"")</f>
        <v/>
      </c>
      <c r="Q26" s="228" t="str">
        <f t="shared" si="12"/>
        <v/>
      </c>
      <c r="R26" s="229" t="str">
        <f t="shared" si="13"/>
        <v/>
      </c>
      <c r="S26" s="233" t="str">
        <f>IFERROR(INDEX('G-1 All Habitats'!$B$3:$B$129,MATCH(R26,'G-1 All Habitats'!$A$3:$A$129,0)),"")</f>
        <v/>
      </c>
      <c r="T26" s="507" t="str">
        <f t="shared" si="5"/>
        <v/>
      </c>
      <c r="U26" s="524" t="str">
        <f t="shared" si="6"/>
        <v/>
      </c>
      <c r="V26" s="523" t="str">
        <f t="shared" si="2"/>
        <v/>
      </c>
      <c r="W26" s="520" t="str">
        <f>IF(S26="","",VLOOKUP(S26,'G-1 All Habitats'!$B$2:$M$129,10,FALSE))</f>
        <v/>
      </c>
      <c r="X26" s="520" t="str">
        <f>IFERROR(VLOOKUP(W26,'G-1 All Habitats'!$V$3:$W$7,2,FALSE),"")</f>
        <v/>
      </c>
      <c r="Y26" s="203"/>
      <c r="Z26" s="524" t="str">
        <f>IFERROR(INDEX('G-8 Condition Look up'!$A$3:$H$130,MATCH(S26,'G-8 Condition Look up'!$A$3:$A$130,0),MATCH(Y26,'G-8 Condition Look up'!$A$3:$H$3,0)),"")</f>
        <v/>
      </c>
      <c r="AA26" s="145"/>
      <c r="AB26" s="540" t="str">
        <f>IF(AA26="","",IF(VLOOKUP(AA26,'G-3 Multipliers'!$L$3:$N$6,2,FALSE)=0,"Spatial Data Missing ⚠",VLOOKUP(AA26,'G-3 Multipliers'!$L$3:$N$6,2,FALSE)))</f>
        <v/>
      </c>
      <c r="AC26" s="524" t="str">
        <f>IF(AA26="","",IF(VLOOKUP(AA26,'G-3 Multipliers'!$L$3:$N$6,3,FALSE)=0,"Spatial Data Missing ⚠",VLOOKUP(AA26,'G-3 Multipliers'!$L$3:$N$6,3,FALSE)))</f>
        <v/>
      </c>
      <c r="AD26" s="537" t="str">
        <f t="shared" si="3"/>
        <v/>
      </c>
      <c r="AE26" s="203"/>
      <c r="AF26" s="203"/>
      <c r="AG26" s="520" t="str">
        <f t="shared" si="7"/>
        <v/>
      </c>
      <c r="AH26" s="544" t="str">
        <f t="shared" si="8"/>
        <v/>
      </c>
      <c r="AI26" s="525" t="str">
        <f>IF(AH26="Check Data ⚠","Check Data ⚠",IFERROR(VLOOKUP(AH26,'G-4 Temporal multipliers'!$A$4:$C$36,3,FALSE),""))</f>
        <v/>
      </c>
      <c r="AJ26" s="537" t="str">
        <f>IF(S26="","",VLOOKUP(S26,'G-3 Multipliers'!$A$2:$E$129,4,FALSE))</f>
        <v/>
      </c>
      <c r="AK26" s="520" t="str">
        <f t="shared" si="9"/>
        <v/>
      </c>
      <c r="AL26" s="520" t="str">
        <f t="shared" si="10"/>
        <v/>
      </c>
      <c r="AM26" s="524" t="str">
        <f>IFERROR(IF(F26="","",IF(AH26="Check Data ⚠","Check Data ⚠",VLOOKUP(AL26, 'G-3 Multipliers'!$P$2:$Q$6,2,FALSE))),"")</f>
        <v/>
      </c>
      <c r="AN26" s="197"/>
      <c r="AO26" s="540" t="str">
        <f>IF(AN26="","",IF(VLOOKUP(AN26,'G-3 Multipliers'!$S$3:$T$9,2,FALSE)=0,"Spatial Data Missing ⚠",VLOOKUP(AN26,'G-3 Multipliers'!$S$3:$T$9,2,FALSE)))</f>
        <v/>
      </c>
      <c r="AP26" s="513" t="str">
        <f t="shared" si="11"/>
        <v/>
      </c>
      <c r="AQ26" s="231"/>
      <c r="AR26" s="150"/>
    </row>
    <row r="27" spans="1:44" x14ac:dyDescent="0.25">
      <c r="A27" s="31" t="str">
        <f>IF(E27="","",IF(ISNA(VLOOKUP($E27,'D-1 Off Site Habitat Baseline'!$D$1:$O$258,2,FALSE)),"",(VLOOKUP($E27,'D-1 Off Site Habitat Baseline'!$D$1:$O$258,2,FALSE))))</f>
        <v/>
      </c>
      <c r="B27" s="31" t="str">
        <f>IF(E27="","",IF(ISNA(VLOOKUP($E27,'D-1 Off Site Habitat Baseline'!$D$1:$O$258,3,FALSE)),"",(VLOOKUP($E27,'D-1 Off Site Habitat Baseline'!$D$1:$O$258,3,FALSE))))</f>
        <v/>
      </c>
      <c r="C27" s="31" t="str">
        <f>IFERROR(INDEX('G-8 Condition Look up'!$I$4:$I$130,MATCH(S27,'G-8 Condition Look up'!$A$4:$A$130,0)),"")</f>
        <v/>
      </c>
      <c r="E27" s="547" t="str">
        <f>'D-1 Off Site Habitat Baseline'!AL26</f>
        <v/>
      </c>
      <c r="F27" s="520" t="str">
        <f>IF(E27="","",IF(ISNA(VLOOKUP($E27,'D-1 Off Site Habitat Baseline'!$D$1:$O$258,4,FALSE)),"",(VLOOKUP($E27,'D-1 Off Site Habitat Baseline'!$D$1:$O$258,4,FALSE))))</f>
        <v/>
      </c>
      <c r="G27" s="520" t="str">
        <f>IF(E27="","",IF(ISNA(VLOOKUP($E27,'D-1 Off Site Habitat Baseline'!$D$1:$O$258,5,FALSE)),"",(VLOOKUP($E27,'D-1 Off Site Habitat Baseline'!$D$1:$O$258,5,FALSE))))</f>
        <v/>
      </c>
      <c r="H27" s="520" t="str">
        <f>IF(E27="","",IF(ISNA(VLOOKUP($E27,'D-1 Off Site Habitat Baseline'!$D$1:$O$258,6,FALSE)),"",(VLOOKUP($E27,'D-1 Off Site Habitat Baseline'!$D$1:$O$258,6,FALSE))))</f>
        <v/>
      </c>
      <c r="I27" s="520" t="str">
        <f>IF(E27="","",IF(ISNA(VLOOKUP($E27,'D-1 Off Site Habitat Baseline'!$D$1:$O$258,7,FALSE)),"",(VLOOKUP($E27,'D-1 Off Site Habitat Baseline'!$D$1:$O$258,7,FALSE))))</f>
        <v/>
      </c>
      <c r="J27" s="520" t="str">
        <f>IF(E27="","",IF(ISNA(VLOOKUP($E27,'D-1 Off Site Habitat Baseline'!$D$1:$O$258,8,FALSE)),"",(VLOOKUP($E27,'D-1 Off Site Habitat Baseline'!$D$1:$O$258,8,FALSE))))</f>
        <v/>
      </c>
      <c r="K27" s="520" t="str">
        <f>IF(E27="","",IF(ISNA(VLOOKUP($E27,'D-1 Off Site Habitat Baseline'!$D$1:$O$258,9,FALSE)),"",(VLOOKUP($E27,'D-1 Off Site Habitat Baseline'!$D$1:$O$258,9,FALSE))))</f>
        <v/>
      </c>
      <c r="L27" s="520" t="str">
        <f>IF(E27="","",IF(ISNA(VLOOKUP($E27,'D-1 Off Site Habitat Baseline'!$D$1:$O$258,11,FALSE)),"",(VLOOKUP($E27,'D-1 Off Site Habitat Baseline'!$D$1:$O$258,11,FALSE))))</f>
        <v/>
      </c>
      <c r="M27" s="520" t="str">
        <f>IF(E27="","",IF(ISNA(VLOOKUP($E27,'D-1 Off Site Habitat Baseline'!$D$1:$O$258,12,FALSE)),"",(VLOOKUP($E27,'D-1 Off Site Habitat Baseline'!$D$1:$O$258,12,FALSE))))</f>
        <v/>
      </c>
      <c r="N27" s="520" t="str">
        <f>IF(E27="","",IF(ISNA(VLOOKUP($E27,'D-1 Off Site Habitat Baseline'!$D$1:$X$258,14,FALSE)),"",(VLOOKUP($E27,'D-1 Off Site Habitat Baseline'!$D$1:$X$258,14,FALSE))))</f>
        <v/>
      </c>
      <c r="O27" s="524" t="str">
        <f>IF(E27="","",IF(ISNA(VLOOKUP($E27,'D-1 Off Site Habitat Baseline'!$D$1:$X$258,13,FALSE)),"",(VLOOKUP($E27,'D-1 Off Site Habitat Baseline'!$D$1:$X$258,13,FALSE))))</f>
        <v/>
      </c>
      <c r="P27" s="232" t="str">
        <f>IFERROR(INDEX('G-1 All Habitats'!$AG$3:$AG$15,MATCH(Q27,'G-1 All Habitats'!$AF$3:$AF$15,0)),"")</f>
        <v/>
      </c>
      <c r="Q27" s="228" t="str">
        <f t="shared" si="12"/>
        <v/>
      </c>
      <c r="R27" s="229" t="str">
        <f t="shared" si="13"/>
        <v/>
      </c>
      <c r="S27" s="233" t="str">
        <f>IFERROR(INDEX('G-1 All Habitats'!$B$3:$B$129,MATCH(R27,'G-1 All Habitats'!$A$3:$A$129,0)),"")</f>
        <v/>
      </c>
      <c r="T27" s="507" t="str">
        <f t="shared" si="5"/>
        <v/>
      </c>
      <c r="U27" s="524" t="str">
        <f t="shared" si="6"/>
        <v/>
      </c>
      <c r="V27" s="523" t="str">
        <f t="shared" si="2"/>
        <v/>
      </c>
      <c r="W27" s="520" t="str">
        <f>IF(S27="","",VLOOKUP(S27,'G-1 All Habitats'!$B$2:$M$129,10,FALSE))</f>
        <v/>
      </c>
      <c r="X27" s="520" t="str">
        <f>IFERROR(VLOOKUP(W27,'G-1 All Habitats'!$V$3:$W$7,2,FALSE),"")</f>
        <v/>
      </c>
      <c r="Y27" s="203"/>
      <c r="Z27" s="524" t="str">
        <f>IFERROR(INDEX('G-8 Condition Look up'!$A$3:$H$130,MATCH(S27,'G-8 Condition Look up'!$A$3:$A$130,0),MATCH(Y27,'G-8 Condition Look up'!$A$3:$H$3,0)),"")</f>
        <v/>
      </c>
      <c r="AA27" s="145"/>
      <c r="AB27" s="540" t="str">
        <f>IF(AA27="","",IF(VLOOKUP(AA27,'G-3 Multipliers'!$L$3:$N$6,2,FALSE)=0,"Spatial Data Missing ⚠",VLOOKUP(AA27,'G-3 Multipliers'!$L$3:$N$6,2,FALSE)))</f>
        <v/>
      </c>
      <c r="AC27" s="524" t="str">
        <f>IF(AA27="","",IF(VLOOKUP(AA27,'G-3 Multipliers'!$L$3:$N$6,3,FALSE)=0,"Spatial Data Missing ⚠",VLOOKUP(AA27,'G-3 Multipliers'!$L$3:$N$6,3,FALSE)))</f>
        <v/>
      </c>
      <c r="AD27" s="537" t="str">
        <f t="shared" si="3"/>
        <v/>
      </c>
      <c r="AE27" s="203"/>
      <c r="AF27" s="203"/>
      <c r="AG27" s="520" t="str">
        <f t="shared" si="7"/>
        <v/>
      </c>
      <c r="AH27" s="544" t="str">
        <f t="shared" si="8"/>
        <v/>
      </c>
      <c r="AI27" s="525" t="str">
        <f>IF(AH27="Check Data ⚠","Check Data ⚠",IFERROR(VLOOKUP(AH27,'G-4 Temporal multipliers'!$A$4:$C$36,3,FALSE),""))</f>
        <v/>
      </c>
      <c r="AJ27" s="537" t="str">
        <f>IF(S27="","",VLOOKUP(S27,'G-3 Multipliers'!$A$2:$E$129,4,FALSE))</f>
        <v/>
      </c>
      <c r="AK27" s="520" t="str">
        <f t="shared" si="9"/>
        <v/>
      </c>
      <c r="AL27" s="520" t="str">
        <f t="shared" si="10"/>
        <v/>
      </c>
      <c r="AM27" s="524" t="str">
        <f>IFERROR(IF(F27="","",IF(AH27="Check Data ⚠","Check Data ⚠",VLOOKUP(AL27, 'G-3 Multipliers'!$P$2:$Q$6,2,FALSE))),"")</f>
        <v/>
      </c>
      <c r="AN27" s="197"/>
      <c r="AO27" s="540" t="str">
        <f>IF(AN27="","",IF(VLOOKUP(AN27,'G-3 Multipliers'!$S$3:$T$9,2,FALSE)=0,"Spatial Data Missing ⚠",VLOOKUP(AN27,'G-3 Multipliers'!$S$3:$T$9,2,FALSE)))</f>
        <v/>
      </c>
      <c r="AP27" s="513" t="str">
        <f t="shared" si="11"/>
        <v/>
      </c>
      <c r="AQ27" s="231"/>
      <c r="AR27" s="150"/>
    </row>
    <row r="28" spans="1:44" x14ac:dyDescent="0.25">
      <c r="A28" s="31" t="str">
        <f>IF(E28="","",IF(ISNA(VLOOKUP($E28,'D-1 Off Site Habitat Baseline'!$D$1:$O$258,2,FALSE)),"",(VLOOKUP($E28,'D-1 Off Site Habitat Baseline'!$D$1:$O$258,2,FALSE))))</f>
        <v/>
      </c>
      <c r="B28" s="31" t="str">
        <f>IF(E28="","",IF(ISNA(VLOOKUP($E28,'D-1 Off Site Habitat Baseline'!$D$1:$O$258,3,FALSE)),"",(VLOOKUP($E28,'D-1 Off Site Habitat Baseline'!$D$1:$O$258,3,FALSE))))</f>
        <v/>
      </c>
      <c r="C28" s="31" t="str">
        <f>IFERROR(INDEX('G-8 Condition Look up'!$I$4:$I$130,MATCH(S28,'G-8 Condition Look up'!$A$4:$A$130,0)),"")</f>
        <v/>
      </c>
      <c r="E28" s="547" t="str">
        <f>'D-1 Off Site Habitat Baseline'!AL27</f>
        <v/>
      </c>
      <c r="F28" s="520" t="str">
        <f>IF(E28="","",IF(ISNA(VLOOKUP($E28,'D-1 Off Site Habitat Baseline'!$D$1:$O$258,4,FALSE)),"",(VLOOKUP($E28,'D-1 Off Site Habitat Baseline'!$D$1:$O$258,4,FALSE))))</f>
        <v/>
      </c>
      <c r="G28" s="520" t="str">
        <f>IF(E28="","",IF(ISNA(VLOOKUP($E28,'D-1 Off Site Habitat Baseline'!$D$1:$O$258,5,FALSE)),"",(VLOOKUP($E28,'D-1 Off Site Habitat Baseline'!$D$1:$O$258,5,FALSE))))</f>
        <v/>
      </c>
      <c r="H28" s="520" t="str">
        <f>IF(E28="","",IF(ISNA(VLOOKUP($E28,'D-1 Off Site Habitat Baseline'!$D$1:$O$258,6,FALSE)),"",(VLOOKUP($E28,'D-1 Off Site Habitat Baseline'!$D$1:$O$258,6,FALSE))))</f>
        <v/>
      </c>
      <c r="I28" s="520" t="str">
        <f>IF(E28="","",IF(ISNA(VLOOKUP($E28,'D-1 Off Site Habitat Baseline'!$D$1:$O$258,7,FALSE)),"",(VLOOKUP($E28,'D-1 Off Site Habitat Baseline'!$D$1:$O$258,7,FALSE))))</f>
        <v/>
      </c>
      <c r="J28" s="520" t="str">
        <f>IF(E28="","",IF(ISNA(VLOOKUP($E28,'D-1 Off Site Habitat Baseline'!$D$1:$O$258,8,FALSE)),"",(VLOOKUP($E28,'D-1 Off Site Habitat Baseline'!$D$1:$O$258,8,FALSE))))</f>
        <v/>
      </c>
      <c r="K28" s="520" t="str">
        <f>IF(E28="","",IF(ISNA(VLOOKUP($E28,'D-1 Off Site Habitat Baseline'!$D$1:$O$258,9,FALSE)),"",(VLOOKUP($E28,'D-1 Off Site Habitat Baseline'!$D$1:$O$258,9,FALSE))))</f>
        <v/>
      </c>
      <c r="L28" s="520" t="str">
        <f>IF(E28="","",IF(ISNA(VLOOKUP($E28,'D-1 Off Site Habitat Baseline'!$D$1:$O$258,11,FALSE)),"",(VLOOKUP($E28,'D-1 Off Site Habitat Baseline'!$D$1:$O$258,11,FALSE))))</f>
        <v/>
      </c>
      <c r="M28" s="520" t="str">
        <f>IF(E28="","",IF(ISNA(VLOOKUP($E28,'D-1 Off Site Habitat Baseline'!$D$1:$O$258,12,FALSE)),"",(VLOOKUP($E28,'D-1 Off Site Habitat Baseline'!$D$1:$O$258,12,FALSE))))</f>
        <v/>
      </c>
      <c r="N28" s="520" t="str">
        <f>IF(E28="","",IF(ISNA(VLOOKUP($E28,'D-1 Off Site Habitat Baseline'!$D$1:$X$258,14,FALSE)),"",(VLOOKUP($E28,'D-1 Off Site Habitat Baseline'!$D$1:$X$258,14,FALSE))))</f>
        <v/>
      </c>
      <c r="O28" s="524" t="str">
        <f>IF(E28="","",IF(ISNA(VLOOKUP($E28,'D-1 Off Site Habitat Baseline'!$D$1:$X$258,13,FALSE)),"",(VLOOKUP($E28,'D-1 Off Site Habitat Baseline'!$D$1:$X$258,13,FALSE))))</f>
        <v/>
      </c>
      <c r="P28" s="232" t="str">
        <f>IFERROR(INDEX('G-1 All Habitats'!$AG$3:$AG$15,MATCH(Q28,'G-1 All Habitats'!$AF$3:$AF$15,0)),"")</f>
        <v/>
      </c>
      <c r="Q28" s="228" t="str">
        <f t="shared" si="12"/>
        <v/>
      </c>
      <c r="R28" s="229" t="str">
        <f t="shared" si="13"/>
        <v/>
      </c>
      <c r="S28" s="233" t="str">
        <f>IFERROR(INDEX('G-1 All Habitats'!$B$3:$B$129,MATCH(R28,'G-1 All Habitats'!$A$3:$A$129,0)),"")</f>
        <v/>
      </c>
      <c r="T28" s="507" t="str">
        <f t="shared" si="5"/>
        <v/>
      </c>
      <c r="U28" s="524" t="str">
        <f t="shared" si="6"/>
        <v/>
      </c>
      <c r="V28" s="523" t="str">
        <f t="shared" si="2"/>
        <v/>
      </c>
      <c r="W28" s="520" t="str">
        <f>IF(S28="","",VLOOKUP(S28,'G-1 All Habitats'!$B$2:$M$129,10,FALSE))</f>
        <v/>
      </c>
      <c r="X28" s="520" t="str">
        <f>IFERROR(VLOOKUP(W28,'G-1 All Habitats'!$V$3:$W$7,2,FALSE),"")</f>
        <v/>
      </c>
      <c r="Y28" s="203"/>
      <c r="Z28" s="524" t="str">
        <f>IFERROR(INDEX('G-8 Condition Look up'!$A$3:$H$130,MATCH(S28,'G-8 Condition Look up'!$A$3:$A$130,0),MATCH(Y28,'G-8 Condition Look up'!$A$3:$H$3,0)),"")</f>
        <v/>
      </c>
      <c r="AA28" s="145"/>
      <c r="AB28" s="540" t="str">
        <f>IF(AA28="","",IF(VLOOKUP(AA28,'G-3 Multipliers'!$L$3:$N$6,2,FALSE)=0,"Spatial Data Missing ⚠",VLOOKUP(AA28,'G-3 Multipliers'!$L$3:$N$6,2,FALSE)))</f>
        <v/>
      </c>
      <c r="AC28" s="524" t="str">
        <f>IF(AA28="","",IF(VLOOKUP(AA28,'G-3 Multipliers'!$L$3:$N$6,3,FALSE)=0,"Spatial Data Missing ⚠",VLOOKUP(AA28,'G-3 Multipliers'!$L$3:$N$6,3,FALSE)))</f>
        <v/>
      </c>
      <c r="AD28" s="537" t="str">
        <f t="shared" si="3"/>
        <v/>
      </c>
      <c r="AE28" s="203"/>
      <c r="AF28" s="203"/>
      <c r="AG28" s="520" t="str">
        <f t="shared" si="7"/>
        <v/>
      </c>
      <c r="AH28" s="544" t="str">
        <f t="shared" si="8"/>
        <v/>
      </c>
      <c r="AI28" s="525" t="str">
        <f>IF(AH28="Check Data ⚠","Check Data ⚠",IFERROR(VLOOKUP(AH28,'G-4 Temporal multipliers'!$A$4:$C$36,3,FALSE),""))</f>
        <v/>
      </c>
      <c r="AJ28" s="537" t="str">
        <f>IF(S28="","",VLOOKUP(S28,'G-3 Multipliers'!$A$2:$E$129,4,FALSE))</f>
        <v/>
      </c>
      <c r="AK28" s="520" t="str">
        <f t="shared" si="9"/>
        <v/>
      </c>
      <c r="AL28" s="520" t="str">
        <f t="shared" si="10"/>
        <v/>
      </c>
      <c r="AM28" s="524" t="str">
        <f>IFERROR(IF(F28="","",IF(AH28="Check Data ⚠","Check Data ⚠",VLOOKUP(AL28, 'G-3 Multipliers'!$P$2:$Q$6,2,FALSE))),"")</f>
        <v/>
      </c>
      <c r="AN28" s="197"/>
      <c r="AO28" s="540" t="str">
        <f>IF(AN28="","",IF(VLOOKUP(AN28,'G-3 Multipliers'!$S$3:$T$9,2,FALSE)=0,"Spatial Data Missing ⚠",VLOOKUP(AN28,'G-3 Multipliers'!$S$3:$T$9,2,FALSE)))</f>
        <v/>
      </c>
      <c r="AP28" s="513" t="str">
        <f t="shared" si="11"/>
        <v/>
      </c>
      <c r="AQ28" s="231"/>
      <c r="AR28" s="150"/>
    </row>
    <row r="29" spans="1:44" x14ac:dyDescent="0.25">
      <c r="A29" s="31" t="str">
        <f>IF(E29="","",IF(ISNA(VLOOKUP($E29,'D-1 Off Site Habitat Baseline'!$D$1:$O$258,2,FALSE)),"",(VLOOKUP($E29,'D-1 Off Site Habitat Baseline'!$D$1:$O$258,2,FALSE))))</f>
        <v/>
      </c>
      <c r="B29" s="31" t="str">
        <f>IF(E29="","",IF(ISNA(VLOOKUP($E29,'D-1 Off Site Habitat Baseline'!$D$1:$O$258,3,FALSE)),"",(VLOOKUP($E29,'D-1 Off Site Habitat Baseline'!$D$1:$O$258,3,FALSE))))</f>
        <v/>
      </c>
      <c r="C29" s="31" t="str">
        <f>IFERROR(INDEX('G-8 Condition Look up'!$I$4:$I$130,MATCH(S29,'G-8 Condition Look up'!$A$4:$A$130,0)),"")</f>
        <v/>
      </c>
      <c r="E29" s="547" t="str">
        <f>'D-1 Off Site Habitat Baseline'!AL28</f>
        <v/>
      </c>
      <c r="F29" s="520" t="str">
        <f>IF(E29="","",IF(ISNA(VLOOKUP($E29,'D-1 Off Site Habitat Baseline'!$D$1:$O$258,4,FALSE)),"",(VLOOKUP($E29,'D-1 Off Site Habitat Baseline'!$D$1:$O$258,4,FALSE))))</f>
        <v/>
      </c>
      <c r="G29" s="520" t="str">
        <f>IF(E29="","",IF(ISNA(VLOOKUP($E29,'D-1 Off Site Habitat Baseline'!$D$1:$O$258,5,FALSE)),"",(VLOOKUP($E29,'D-1 Off Site Habitat Baseline'!$D$1:$O$258,5,FALSE))))</f>
        <v/>
      </c>
      <c r="H29" s="520" t="str">
        <f>IF(E29="","",IF(ISNA(VLOOKUP($E29,'D-1 Off Site Habitat Baseline'!$D$1:$O$258,6,FALSE)),"",(VLOOKUP($E29,'D-1 Off Site Habitat Baseline'!$D$1:$O$258,6,FALSE))))</f>
        <v/>
      </c>
      <c r="I29" s="520" t="str">
        <f>IF(E29="","",IF(ISNA(VLOOKUP($E29,'D-1 Off Site Habitat Baseline'!$D$1:$O$258,7,FALSE)),"",(VLOOKUP($E29,'D-1 Off Site Habitat Baseline'!$D$1:$O$258,7,FALSE))))</f>
        <v/>
      </c>
      <c r="J29" s="520" t="str">
        <f>IF(E29="","",IF(ISNA(VLOOKUP($E29,'D-1 Off Site Habitat Baseline'!$D$1:$O$258,8,FALSE)),"",(VLOOKUP($E29,'D-1 Off Site Habitat Baseline'!$D$1:$O$258,8,FALSE))))</f>
        <v/>
      </c>
      <c r="K29" s="520" t="str">
        <f>IF(E29="","",IF(ISNA(VLOOKUP($E29,'D-1 Off Site Habitat Baseline'!$D$1:$O$258,9,FALSE)),"",(VLOOKUP($E29,'D-1 Off Site Habitat Baseline'!$D$1:$O$258,9,FALSE))))</f>
        <v/>
      </c>
      <c r="L29" s="520" t="str">
        <f>IF(E29="","",IF(ISNA(VLOOKUP($E29,'D-1 Off Site Habitat Baseline'!$D$1:$O$258,11,FALSE)),"",(VLOOKUP($E29,'D-1 Off Site Habitat Baseline'!$D$1:$O$258,11,FALSE))))</f>
        <v/>
      </c>
      <c r="M29" s="520" t="str">
        <f>IF(E29="","",IF(ISNA(VLOOKUP($E29,'D-1 Off Site Habitat Baseline'!$D$1:$O$258,12,FALSE)),"",(VLOOKUP($E29,'D-1 Off Site Habitat Baseline'!$D$1:$O$258,12,FALSE))))</f>
        <v/>
      </c>
      <c r="N29" s="520" t="str">
        <f>IF(E29="","",IF(ISNA(VLOOKUP($E29,'D-1 Off Site Habitat Baseline'!$D$1:$X$258,14,FALSE)),"",(VLOOKUP($E29,'D-1 Off Site Habitat Baseline'!$D$1:$X$258,14,FALSE))))</f>
        <v/>
      </c>
      <c r="O29" s="524" t="str">
        <f>IF(E29="","",IF(ISNA(VLOOKUP($E29,'D-1 Off Site Habitat Baseline'!$D$1:$X$258,13,FALSE)),"",(VLOOKUP($E29,'D-1 Off Site Habitat Baseline'!$D$1:$X$258,13,FALSE))))</f>
        <v/>
      </c>
      <c r="P29" s="232" t="str">
        <f>IFERROR(INDEX('G-1 All Habitats'!$AG$3:$AG$15,MATCH(Q29,'G-1 All Habitats'!$AF$3:$AF$15,0)),"")</f>
        <v/>
      </c>
      <c r="Q29" s="228" t="str">
        <f t="shared" si="12"/>
        <v/>
      </c>
      <c r="R29" s="229" t="str">
        <f t="shared" si="13"/>
        <v/>
      </c>
      <c r="S29" s="233" t="str">
        <f>IFERROR(INDEX('G-1 All Habitats'!$B$3:$B$129,MATCH(R29,'G-1 All Habitats'!$A$3:$A$129,0)),"")</f>
        <v/>
      </c>
      <c r="T29" s="507" t="str">
        <f t="shared" si="5"/>
        <v/>
      </c>
      <c r="U29" s="524" t="str">
        <f t="shared" si="6"/>
        <v/>
      </c>
      <c r="V29" s="523" t="str">
        <f t="shared" si="2"/>
        <v/>
      </c>
      <c r="W29" s="520" t="str">
        <f>IF(S29="","",VLOOKUP(S29,'G-1 All Habitats'!$B$2:$M$129,10,FALSE))</f>
        <v/>
      </c>
      <c r="X29" s="520" t="str">
        <f>IFERROR(VLOOKUP(W29,'G-1 All Habitats'!$V$3:$W$7,2,FALSE),"")</f>
        <v/>
      </c>
      <c r="Y29" s="203"/>
      <c r="Z29" s="524" t="str">
        <f>IFERROR(INDEX('G-8 Condition Look up'!$A$3:$H$130,MATCH(S29,'G-8 Condition Look up'!$A$3:$A$130,0),MATCH(Y29,'G-8 Condition Look up'!$A$3:$H$3,0)),"")</f>
        <v/>
      </c>
      <c r="AA29" s="145"/>
      <c r="AB29" s="540" t="str">
        <f>IF(AA29="","",IF(VLOOKUP(AA29,'G-3 Multipliers'!$L$3:$N$6,2,FALSE)=0,"Spatial Data Missing ⚠",VLOOKUP(AA29,'G-3 Multipliers'!$L$3:$N$6,2,FALSE)))</f>
        <v/>
      </c>
      <c r="AC29" s="524" t="str">
        <f>IF(AA29="","",IF(VLOOKUP(AA29,'G-3 Multipliers'!$L$3:$N$6,3,FALSE)=0,"Spatial Data Missing ⚠",VLOOKUP(AA29,'G-3 Multipliers'!$L$3:$N$6,3,FALSE)))</f>
        <v/>
      </c>
      <c r="AD29" s="537" t="str">
        <f t="shared" si="3"/>
        <v/>
      </c>
      <c r="AE29" s="203"/>
      <c r="AF29" s="203"/>
      <c r="AG29" s="520" t="str">
        <f t="shared" si="7"/>
        <v/>
      </c>
      <c r="AH29" s="544" t="str">
        <f t="shared" si="8"/>
        <v/>
      </c>
      <c r="AI29" s="525" t="str">
        <f>IF(AH29="Check Data ⚠","Check Data ⚠",IFERROR(VLOOKUP(AH29,'G-4 Temporal multipliers'!$A$4:$C$36,3,FALSE),""))</f>
        <v/>
      </c>
      <c r="AJ29" s="537" t="str">
        <f>IF(S29="","",VLOOKUP(S29,'G-3 Multipliers'!$A$2:$E$129,4,FALSE))</f>
        <v/>
      </c>
      <c r="AK29" s="520" t="str">
        <f t="shared" si="9"/>
        <v/>
      </c>
      <c r="AL29" s="520" t="str">
        <f t="shared" si="10"/>
        <v/>
      </c>
      <c r="AM29" s="524" t="str">
        <f>IFERROR(IF(F29="","",IF(AH29="Check Data ⚠","Check Data ⚠",VLOOKUP(AL29, 'G-3 Multipliers'!$P$2:$Q$6,2,FALSE))),"")</f>
        <v/>
      </c>
      <c r="AN29" s="197"/>
      <c r="AO29" s="540" t="str">
        <f>IF(AN29="","",IF(VLOOKUP(AN29,'G-3 Multipliers'!$S$3:$T$9,2,FALSE)=0,"Spatial Data Missing ⚠",VLOOKUP(AN29,'G-3 Multipliers'!$S$3:$T$9,2,FALSE)))</f>
        <v/>
      </c>
      <c r="AP29" s="513" t="str">
        <f t="shared" si="11"/>
        <v/>
      </c>
      <c r="AQ29" s="231"/>
      <c r="AR29" s="150"/>
    </row>
    <row r="30" spans="1:44" x14ac:dyDescent="0.25">
      <c r="A30" s="31" t="str">
        <f>IF(E30="","",IF(ISNA(VLOOKUP($E30,'D-1 Off Site Habitat Baseline'!$D$1:$O$258,2,FALSE)),"",(VLOOKUP($E30,'D-1 Off Site Habitat Baseline'!$D$1:$O$258,2,FALSE))))</f>
        <v/>
      </c>
      <c r="B30" s="31" t="str">
        <f>IF(E30="","",IF(ISNA(VLOOKUP($E30,'D-1 Off Site Habitat Baseline'!$D$1:$O$258,3,FALSE)),"",(VLOOKUP($E30,'D-1 Off Site Habitat Baseline'!$D$1:$O$258,3,FALSE))))</f>
        <v/>
      </c>
      <c r="C30" s="31" t="str">
        <f>IFERROR(INDEX('G-8 Condition Look up'!$I$4:$I$130,MATCH(S30,'G-8 Condition Look up'!$A$4:$A$130,0)),"")</f>
        <v/>
      </c>
      <c r="E30" s="547" t="str">
        <f>'D-1 Off Site Habitat Baseline'!AL29</f>
        <v/>
      </c>
      <c r="F30" s="520" t="str">
        <f>IF(E30="","",IF(ISNA(VLOOKUP($E30,'D-1 Off Site Habitat Baseline'!$D$1:$O$258,4,FALSE)),"",(VLOOKUP($E30,'D-1 Off Site Habitat Baseline'!$D$1:$O$258,4,FALSE))))</f>
        <v/>
      </c>
      <c r="G30" s="520" t="str">
        <f>IF(E30="","",IF(ISNA(VLOOKUP($E30,'D-1 Off Site Habitat Baseline'!$D$1:$O$258,5,FALSE)),"",(VLOOKUP($E30,'D-1 Off Site Habitat Baseline'!$D$1:$O$258,5,FALSE))))</f>
        <v/>
      </c>
      <c r="H30" s="520" t="str">
        <f>IF(E30="","",IF(ISNA(VLOOKUP($E30,'D-1 Off Site Habitat Baseline'!$D$1:$O$258,6,FALSE)),"",(VLOOKUP($E30,'D-1 Off Site Habitat Baseline'!$D$1:$O$258,6,FALSE))))</f>
        <v/>
      </c>
      <c r="I30" s="520" t="str">
        <f>IF(E30="","",IF(ISNA(VLOOKUP($E30,'D-1 Off Site Habitat Baseline'!$D$1:$O$258,7,FALSE)),"",(VLOOKUP($E30,'D-1 Off Site Habitat Baseline'!$D$1:$O$258,7,FALSE))))</f>
        <v/>
      </c>
      <c r="J30" s="520" t="str">
        <f>IF(E30="","",IF(ISNA(VLOOKUP($E30,'D-1 Off Site Habitat Baseline'!$D$1:$O$258,8,FALSE)),"",(VLOOKUP($E30,'D-1 Off Site Habitat Baseline'!$D$1:$O$258,8,FALSE))))</f>
        <v/>
      </c>
      <c r="K30" s="520" t="str">
        <f>IF(E30="","",IF(ISNA(VLOOKUP($E30,'D-1 Off Site Habitat Baseline'!$D$1:$O$258,9,FALSE)),"",(VLOOKUP($E30,'D-1 Off Site Habitat Baseline'!$D$1:$O$258,9,FALSE))))</f>
        <v/>
      </c>
      <c r="L30" s="520" t="str">
        <f>IF(E30="","",IF(ISNA(VLOOKUP($E30,'D-1 Off Site Habitat Baseline'!$D$1:$O$258,11,FALSE)),"",(VLOOKUP($E30,'D-1 Off Site Habitat Baseline'!$D$1:$O$258,11,FALSE))))</f>
        <v/>
      </c>
      <c r="M30" s="520" t="str">
        <f>IF(E30="","",IF(ISNA(VLOOKUP($E30,'D-1 Off Site Habitat Baseline'!$D$1:$O$258,12,FALSE)),"",(VLOOKUP($E30,'D-1 Off Site Habitat Baseline'!$D$1:$O$258,12,FALSE))))</f>
        <v/>
      </c>
      <c r="N30" s="520" t="str">
        <f>IF(E30="","",IF(ISNA(VLOOKUP($E30,'D-1 Off Site Habitat Baseline'!$D$1:$X$258,14,FALSE)),"",(VLOOKUP($E30,'D-1 Off Site Habitat Baseline'!$D$1:$X$258,14,FALSE))))</f>
        <v/>
      </c>
      <c r="O30" s="524" t="str">
        <f>IF(E30="","",IF(ISNA(VLOOKUP($E30,'D-1 Off Site Habitat Baseline'!$D$1:$X$258,13,FALSE)),"",(VLOOKUP($E30,'D-1 Off Site Habitat Baseline'!$D$1:$X$258,13,FALSE))))</f>
        <v/>
      </c>
      <c r="P30" s="232" t="str">
        <f>IFERROR(INDEX('G-1 All Habitats'!$AG$3:$AG$15,MATCH(Q30,'G-1 All Habitats'!$AF$3:$AF$15,0)),"")</f>
        <v/>
      </c>
      <c r="Q30" s="228" t="str">
        <f t="shared" si="12"/>
        <v/>
      </c>
      <c r="R30" s="229" t="str">
        <f t="shared" si="13"/>
        <v/>
      </c>
      <c r="S30" s="233" t="str">
        <f>IFERROR(INDEX('G-1 All Habitats'!$B$3:$B$129,MATCH(R30,'G-1 All Habitats'!$A$3:$A$129,0)),"")</f>
        <v/>
      </c>
      <c r="T30" s="507" t="str">
        <f t="shared" si="5"/>
        <v/>
      </c>
      <c r="U30" s="524" t="str">
        <f t="shared" si="6"/>
        <v/>
      </c>
      <c r="V30" s="523" t="str">
        <f t="shared" si="2"/>
        <v/>
      </c>
      <c r="W30" s="520" t="str">
        <f>IF(S30="","",VLOOKUP(S30,'G-1 All Habitats'!$B$2:$M$129,10,FALSE))</f>
        <v/>
      </c>
      <c r="X30" s="520" t="str">
        <f>IFERROR(VLOOKUP(W30,'G-1 All Habitats'!$V$3:$W$7,2,FALSE),"")</f>
        <v/>
      </c>
      <c r="Y30" s="203"/>
      <c r="Z30" s="524" t="str">
        <f>IFERROR(INDEX('G-8 Condition Look up'!$A$3:$H$130,MATCH(S30,'G-8 Condition Look up'!$A$3:$A$130,0),MATCH(Y30,'G-8 Condition Look up'!$A$3:$H$3,0)),"")</f>
        <v/>
      </c>
      <c r="AA30" s="145"/>
      <c r="AB30" s="540" t="str">
        <f>IF(AA30="","",IF(VLOOKUP(AA30,'G-3 Multipliers'!$L$3:$N$6,2,FALSE)=0,"Spatial Data Missing ⚠",VLOOKUP(AA30,'G-3 Multipliers'!$L$3:$N$6,2,FALSE)))</f>
        <v/>
      </c>
      <c r="AC30" s="524" t="str">
        <f>IF(AA30="","",IF(VLOOKUP(AA30,'G-3 Multipliers'!$L$3:$N$6,3,FALSE)=0,"Spatial Data Missing ⚠",VLOOKUP(AA30,'G-3 Multipliers'!$L$3:$N$6,3,FALSE)))</f>
        <v/>
      </c>
      <c r="AD30" s="537" t="str">
        <f t="shared" si="3"/>
        <v/>
      </c>
      <c r="AE30" s="203"/>
      <c r="AF30" s="203"/>
      <c r="AG30" s="520" t="str">
        <f t="shared" si="7"/>
        <v/>
      </c>
      <c r="AH30" s="544" t="str">
        <f t="shared" si="8"/>
        <v/>
      </c>
      <c r="AI30" s="525" t="str">
        <f>IF(AH30="Check Data ⚠","Check Data ⚠",IFERROR(VLOOKUP(AH30,'G-4 Temporal multipliers'!$A$4:$C$36,3,FALSE),""))</f>
        <v/>
      </c>
      <c r="AJ30" s="537" t="str">
        <f>IF(S30="","",VLOOKUP(S30,'G-3 Multipliers'!$A$2:$E$129,4,FALSE))</f>
        <v/>
      </c>
      <c r="AK30" s="520" t="str">
        <f t="shared" si="9"/>
        <v/>
      </c>
      <c r="AL30" s="520" t="str">
        <f t="shared" si="10"/>
        <v/>
      </c>
      <c r="AM30" s="524" t="str">
        <f>IFERROR(IF(F30="","",IF(AH30="Check Data ⚠","Check Data ⚠",VLOOKUP(AL30, 'G-3 Multipliers'!$P$2:$Q$6,2,FALSE))),"")</f>
        <v/>
      </c>
      <c r="AN30" s="197"/>
      <c r="AO30" s="540" t="str">
        <f>IF(AN30="","",IF(VLOOKUP(AN30,'G-3 Multipliers'!$S$3:$T$9,2,FALSE)=0,"Spatial Data Missing ⚠",VLOOKUP(AN30,'G-3 Multipliers'!$S$3:$T$9,2,FALSE)))</f>
        <v/>
      </c>
      <c r="AP30" s="513" t="str">
        <f t="shared" si="11"/>
        <v/>
      </c>
      <c r="AQ30" s="231"/>
      <c r="AR30" s="150"/>
    </row>
    <row r="31" spans="1:44" x14ac:dyDescent="0.25">
      <c r="A31" s="31" t="str">
        <f>IF(E31="","",IF(ISNA(VLOOKUP($E31,'D-1 Off Site Habitat Baseline'!$D$1:$O$258,2,FALSE)),"",(VLOOKUP($E31,'D-1 Off Site Habitat Baseline'!$D$1:$O$258,2,FALSE))))</f>
        <v/>
      </c>
      <c r="B31" s="31" t="str">
        <f>IF(E31="","",IF(ISNA(VLOOKUP($E31,'D-1 Off Site Habitat Baseline'!$D$1:$O$258,3,FALSE)),"",(VLOOKUP($E31,'D-1 Off Site Habitat Baseline'!$D$1:$O$258,3,FALSE))))</f>
        <v/>
      </c>
      <c r="C31" s="31" t="str">
        <f>IFERROR(INDEX('G-8 Condition Look up'!$I$4:$I$130,MATCH(S31,'G-8 Condition Look up'!$A$4:$A$130,0)),"")</f>
        <v/>
      </c>
      <c r="E31" s="547" t="str">
        <f>'D-1 Off Site Habitat Baseline'!AL30</f>
        <v/>
      </c>
      <c r="F31" s="520" t="str">
        <f>IF(E31="","",IF(ISNA(VLOOKUP($E31,'D-1 Off Site Habitat Baseline'!$D$1:$O$258,4,FALSE)),"",(VLOOKUP($E31,'D-1 Off Site Habitat Baseline'!$D$1:$O$258,4,FALSE))))</f>
        <v/>
      </c>
      <c r="G31" s="520" t="str">
        <f>IF(E31="","",IF(ISNA(VLOOKUP($E31,'D-1 Off Site Habitat Baseline'!$D$1:$O$258,5,FALSE)),"",(VLOOKUP($E31,'D-1 Off Site Habitat Baseline'!$D$1:$O$258,5,FALSE))))</f>
        <v/>
      </c>
      <c r="H31" s="520" t="str">
        <f>IF(E31="","",IF(ISNA(VLOOKUP($E31,'D-1 Off Site Habitat Baseline'!$D$1:$O$258,6,FALSE)),"",(VLOOKUP($E31,'D-1 Off Site Habitat Baseline'!$D$1:$O$258,6,FALSE))))</f>
        <v/>
      </c>
      <c r="I31" s="520" t="str">
        <f>IF(E31="","",IF(ISNA(VLOOKUP($E31,'D-1 Off Site Habitat Baseline'!$D$1:$O$258,7,FALSE)),"",(VLOOKUP($E31,'D-1 Off Site Habitat Baseline'!$D$1:$O$258,7,FALSE))))</f>
        <v/>
      </c>
      <c r="J31" s="520" t="str">
        <f>IF(E31="","",IF(ISNA(VLOOKUP($E31,'D-1 Off Site Habitat Baseline'!$D$1:$O$258,8,FALSE)),"",(VLOOKUP($E31,'D-1 Off Site Habitat Baseline'!$D$1:$O$258,8,FALSE))))</f>
        <v/>
      </c>
      <c r="K31" s="520" t="str">
        <f>IF(E31="","",IF(ISNA(VLOOKUP($E31,'D-1 Off Site Habitat Baseline'!$D$1:$O$258,9,FALSE)),"",(VLOOKUP($E31,'D-1 Off Site Habitat Baseline'!$D$1:$O$258,9,FALSE))))</f>
        <v/>
      </c>
      <c r="L31" s="520" t="str">
        <f>IF(E31="","",IF(ISNA(VLOOKUP($E31,'D-1 Off Site Habitat Baseline'!$D$1:$O$258,11,FALSE)),"",(VLOOKUP($E31,'D-1 Off Site Habitat Baseline'!$D$1:$O$258,11,FALSE))))</f>
        <v/>
      </c>
      <c r="M31" s="520" t="str">
        <f>IF(E31="","",IF(ISNA(VLOOKUP($E31,'D-1 Off Site Habitat Baseline'!$D$1:$O$258,12,FALSE)),"",(VLOOKUP($E31,'D-1 Off Site Habitat Baseline'!$D$1:$O$258,12,FALSE))))</f>
        <v/>
      </c>
      <c r="N31" s="520" t="str">
        <f>IF(E31="","",IF(ISNA(VLOOKUP($E31,'D-1 Off Site Habitat Baseline'!$D$1:$X$258,14,FALSE)),"",(VLOOKUP($E31,'D-1 Off Site Habitat Baseline'!$D$1:$X$258,14,FALSE))))</f>
        <v/>
      </c>
      <c r="O31" s="524" t="str">
        <f>IF(E31="","",IF(ISNA(VLOOKUP($E31,'D-1 Off Site Habitat Baseline'!$D$1:$X$258,13,FALSE)),"",(VLOOKUP($E31,'D-1 Off Site Habitat Baseline'!$D$1:$X$258,13,FALSE))))</f>
        <v/>
      </c>
      <c r="P31" s="232" t="str">
        <f>IFERROR(INDEX('G-1 All Habitats'!$AG$3:$AG$15,MATCH(Q31,'G-1 All Habitats'!$AF$3:$AF$15,0)),"")</f>
        <v/>
      </c>
      <c r="Q31" s="228" t="str">
        <f t="shared" si="12"/>
        <v/>
      </c>
      <c r="R31" s="229" t="str">
        <f t="shared" si="13"/>
        <v/>
      </c>
      <c r="S31" s="233" t="str">
        <f>IFERROR(INDEX('G-1 All Habitats'!$B$3:$B$129,MATCH(R31,'G-1 All Habitats'!$A$3:$A$129,0)),"")</f>
        <v/>
      </c>
      <c r="T31" s="507" t="str">
        <f t="shared" si="5"/>
        <v/>
      </c>
      <c r="U31" s="524" t="str">
        <f t="shared" si="6"/>
        <v/>
      </c>
      <c r="V31" s="523" t="str">
        <f t="shared" si="2"/>
        <v/>
      </c>
      <c r="W31" s="520" t="str">
        <f>IF(S31="","",VLOOKUP(S31,'G-1 All Habitats'!$B$2:$M$129,10,FALSE))</f>
        <v/>
      </c>
      <c r="X31" s="520" t="str">
        <f>IFERROR(VLOOKUP(W31,'G-1 All Habitats'!$V$3:$W$7,2,FALSE),"")</f>
        <v/>
      </c>
      <c r="Y31" s="203"/>
      <c r="Z31" s="524" t="str">
        <f>IFERROR(INDEX('G-8 Condition Look up'!$A$3:$H$130,MATCH(S31,'G-8 Condition Look up'!$A$3:$A$130,0),MATCH(Y31,'G-8 Condition Look up'!$A$3:$H$3,0)),"")</f>
        <v/>
      </c>
      <c r="AA31" s="145"/>
      <c r="AB31" s="540" t="str">
        <f>IF(AA31="","",IF(VLOOKUP(AA31,'G-3 Multipliers'!$L$3:$N$6,2,FALSE)=0,"Spatial Data Missing ⚠",VLOOKUP(AA31,'G-3 Multipliers'!$L$3:$N$6,2,FALSE)))</f>
        <v/>
      </c>
      <c r="AC31" s="524" t="str">
        <f>IF(AA31="","",IF(VLOOKUP(AA31,'G-3 Multipliers'!$L$3:$N$6,3,FALSE)=0,"Spatial Data Missing ⚠",VLOOKUP(AA31,'G-3 Multipliers'!$L$3:$N$6,3,FALSE)))</f>
        <v/>
      </c>
      <c r="AD31" s="537" t="str">
        <f t="shared" si="3"/>
        <v/>
      </c>
      <c r="AE31" s="203"/>
      <c r="AF31" s="203"/>
      <c r="AG31" s="520" t="str">
        <f t="shared" si="7"/>
        <v/>
      </c>
      <c r="AH31" s="544" t="str">
        <f t="shared" si="8"/>
        <v/>
      </c>
      <c r="AI31" s="525" t="str">
        <f>IF(AH31="Check Data ⚠","Check Data ⚠",IFERROR(VLOOKUP(AH31,'G-4 Temporal multipliers'!$A$4:$C$36,3,FALSE),""))</f>
        <v/>
      </c>
      <c r="AJ31" s="537" t="str">
        <f>IF(S31="","",VLOOKUP(S31,'G-3 Multipliers'!$A$2:$E$129,4,FALSE))</f>
        <v/>
      </c>
      <c r="AK31" s="520" t="str">
        <f t="shared" si="9"/>
        <v/>
      </c>
      <c r="AL31" s="520" t="str">
        <f t="shared" si="10"/>
        <v/>
      </c>
      <c r="AM31" s="524" t="str">
        <f>IFERROR(IF(F31="","",IF(AH31="Check Data ⚠","Check Data ⚠",VLOOKUP(AL31, 'G-3 Multipliers'!$P$2:$Q$6,2,FALSE))),"")</f>
        <v/>
      </c>
      <c r="AN31" s="197"/>
      <c r="AO31" s="540" t="str">
        <f>IF(AN31="","",IF(VLOOKUP(AN31,'G-3 Multipliers'!$S$3:$T$9,2,FALSE)=0,"Spatial Data Missing ⚠",VLOOKUP(AN31,'G-3 Multipliers'!$S$3:$T$9,2,FALSE)))</f>
        <v/>
      </c>
      <c r="AP31" s="513" t="str">
        <f t="shared" si="11"/>
        <v/>
      </c>
      <c r="AQ31" s="231"/>
      <c r="AR31" s="150"/>
    </row>
    <row r="32" spans="1:44" x14ac:dyDescent="0.25">
      <c r="A32" s="31" t="str">
        <f>IF(E32="","",IF(ISNA(VLOOKUP($E32,'D-1 Off Site Habitat Baseline'!$D$1:$O$258,2,FALSE)),"",(VLOOKUP($E32,'D-1 Off Site Habitat Baseline'!$D$1:$O$258,2,FALSE))))</f>
        <v/>
      </c>
      <c r="B32" s="31" t="str">
        <f>IF(E32="","",IF(ISNA(VLOOKUP($E32,'D-1 Off Site Habitat Baseline'!$D$1:$O$258,3,FALSE)),"",(VLOOKUP($E32,'D-1 Off Site Habitat Baseline'!$D$1:$O$258,3,FALSE))))</f>
        <v/>
      </c>
      <c r="C32" s="31" t="str">
        <f>IFERROR(INDEX('G-8 Condition Look up'!$I$4:$I$130,MATCH(S32,'G-8 Condition Look up'!$A$4:$A$130,0)),"")</f>
        <v/>
      </c>
      <c r="E32" s="547" t="str">
        <f>'D-1 Off Site Habitat Baseline'!AL31</f>
        <v/>
      </c>
      <c r="F32" s="520" t="str">
        <f>IF(E32="","",IF(ISNA(VLOOKUP($E32,'D-1 Off Site Habitat Baseline'!$D$1:$O$258,4,FALSE)),"",(VLOOKUP($E32,'D-1 Off Site Habitat Baseline'!$D$1:$O$258,4,FALSE))))</f>
        <v/>
      </c>
      <c r="G32" s="520" t="str">
        <f>IF(E32="","",IF(ISNA(VLOOKUP($E32,'D-1 Off Site Habitat Baseline'!$D$1:$O$258,5,FALSE)),"",(VLOOKUP($E32,'D-1 Off Site Habitat Baseline'!$D$1:$O$258,5,FALSE))))</f>
        <v/>
      </c>
      <c r="H32" s="520" t="str">
        <f>IF(E32="","",IF(ISNA(VLOOKUP($E32,'D-1 Off Site Habitat Baseline'!$D$1:$O$258,6,FALSE)),"",(VLOOKUP($E32,'D-1 Off Site Habitat Baseline'!$D$1:$O$258,6,FALSE))))</f>
        <v/>
      </c>
      <c r="I32" s="520" t="str">
        <f>IF(E32="","",IF(ISNA(VLOOKUP($E32,'D-1 Off Site Habitat Baseline'!$D$1:$O$258,7,FALSE)),"",(VLOOKUP($E32,'D-1 Off Site Habitat Baseline'!$D$1:$O$258,7,FALSE))))</f>
        <v/>
      </c>
      <c r="J32" s="520" t="str">
        <f>IF(E32="","",IF(ISNA(VLOOKUP($E32,'D-1 Off Site Habitat Baseline'!$D$1:$O$258,8,FALSE)),"",(VLOOKUP($E32,'D-1 Off Site Habitat Baseline'!$D$1:$O$258,8,FALSE))))</f>
        <v/>
      </c>
      <c r="K32" s="520" t="str">
        <f>IF(E32="","",IF(ISNA(VLOOKUP($E32,'D-1 Off Site Habitat Baseline'!$D$1:$O$258,9,FALSE)),"",(VLOOKUP($E32,'D-1 Off Site Habitat Baseline'!$D$1:$O$258,9,FALSE))))</f>
        <v/>
      </c>
      <c r="L32" s="520" t="str">
        <f>IF(E32="","",IF(ISNA(VLOOKUP($E32,'D-1 Off Site Habitat Baseline'!$D$1:$O$258,11,FALSE)),"",(VLOOKUP($E32,'D-1 Off Site Habitat Baseline'!$D$1:$O$258,11,FALSE))))</f>
        <v/>
      </c>
      <c r="M32" s="520" t="str">
        <f>IF(E32="","",IF(ISNA(VLOOKUP($E32,'D-1 Off Site Habitat Baseline'!$D$1:$O$258,12,FALSE)),"",(VLOOKUP($E32,'D-1 Off Site Habitat Baseline'!$D$1:$O$258,12,FALSE))))</f>
        <v/>
      </c>
      <c r="N32" s="520" t="str">
        <f>IF(E32="","",IF(ISNA(VLOOKUP($E32,'D-1 Off Site Habitat Baseline'!$D$1:$X$258,14,FALSE)),"",(VLOOKUP($E32,'D-1 Off Site Habitat Baseline'!$D$1:$X$258,14,FALSE))))</f>
        <v/>
      </c>
      <c r="O32" s="524" t="str">
        <f>IF(E32="","",IF(ISNA(VLOOKUP($E32,'D-1 Off Site Habitat Baseline'!$D$1:$X$258,13,FALSE)),"",(VLOOKUP($E32,'D-1 Off Site Habitat Baseline'!$D$1:$X$258,13,FALSE))))</f>
        <v/>
      </c>
      <c r="P32" s="232" t="str">
        <f>IFERROR(INDEX('G-1 All Habitats'!$AG$3:$AG$15,MATCH(Q32,'G-1 All Habitats'!$AF$3:$AF$15,0)),"")</f>
        <v/>
      </c>
      <c r="Q32" s="228" t="str">
        <f t="shared" si="12"/>
        <v/>
      </c>
      <c r="R32" s="229" t="str">
        <f t="shared" si="13"/>
        <v/>
      </c>
      <c r="S32" s="233" t="str">
        <f>IFERROR(INDEX('G-1 All Habitats'!$B$3:$B$129,MATCH(R32,'G-1 All Habitats'!$A$3:$A$129,0)),"")</f>
        <v/>
      </c>
      <c r="T32" s="507" t="str">
        <f t="shared" si="5"/>
        <v/>
      </c>
      <c r="U32" s="524" t="str">
        <f t="shared" si="6"/>
        <v/>
      </c>
      <c r="V32" s="523" t="str">
        <f t="shared" si="2"/>
        <v/>
      </c>
      <c r="W32" s="520" t="str">
        <f>IF(S32="","",VLOOKUP(S32,'G-1 All Habitats'!$B$2:$M$129,10,FALSE))</f>
        <v/>
      </c>
      <c r="X32" s="520" t="str">
        <f>IFERROR(VLOOKUP(W32,'G-1 All Habitats'!$V$3:$W$7,2,FALSE),"")</f>
        <v/>
      </c>
      <c r="Y32" s="203"/>
      <c r="Z32" s="524" t="str">
        <f>IFERROR(INDEX('G-8 Condition Look up'!$A$3:$H$130,MATCH(S32,'G-8 Condition Look up'!$A$3:$A$130,0),MATCH(Y32,'G-8 Condition Look up'!$A$3:$H$3,0)),"")</f>
        <v/>
      </c>
      <c r="AA32" s="145"/>
      <c r="AB32" s="540" t="str">
        <f>IF(AA32="","",IF(VLOOKUP(AA32,'G-3 Multipliers'!$L$3:$N$6,2,FALSE)=0,"Spatial Data Missing ⚠",VLOOKUP(AA32,'G-3 Multipliers'!$L$3:$N$6,2,FALSE)))</f>
        <v/>
      </c>
      <c r="AC32" s="524" t="str">
        <f>IF(AA32="","",IF(VLOOKUP(AA32,'G-3 Multipliers'!$L$3:$N$6,3,FALSE)=0,"Spatial Data Missing ⚠",VLOOKUP(AA32,'G-3 Multipliers'!$L$3:$N$6,3,FALSE)))</f>
        <v/>
      </c>
      <c r="AD32" s="537" t="str">
        <f t="shared" si="3"/>
        <v/>
      </c>
      <c r="AE32" s="203"/>
      <c r="AF32" s="203"/>
      <c r="AG32" s="520" t="str">
        <f t="shared" si="7"/>
        <v/>
      </c>
      <c r="AH32" s="544" t="str">
        <f t="shared" si="8"/>
        <v/>
      </c>
      <c r="AI32" s="525" t="str">
        <f>IF(AH32="Check Data ⚠","Check Data ⚠",IFERROR(VLOOKUP(AH32,'G-4 Temporal multipliers'!$A$4:$C$36,3,FALSE),""))</f>
        <v/>
      </c>
      <c r="AJ32" s="537" t="str">
        <f>IF(S32="","",VLOOKUP(S32,'G-3 Multipliers'!$A$2:$E$129,4,FALSE))</f>
        <v/>
      </c>
      <c r="AK32" s="520" t="str">
        <f t="shared" si="9"/>
        <v/>
      </c>
      <c r="AL32" s="520" t="str">
        <f t="shared" si="10"/>
        <v/>
      </c>
      <c r="AM32" s="524" t="str">
        <f>IFERROR(IF(F32="","",IF(AH32="Check Data ⚠","Check Data ⚠",VLOOKUP(AL32, 'G-3 Multipliers'!$P$2:$Q$6,2,FALSE))),"")</f>
        <v/>
      </c>
      <c r="AN32" s="197"/>
      <c r="AO32" s="540" t="str">
        <f>IF(AN32="","",IF(VLOOKUP(AN32,'G-3 Multipliers'!$S$3:$T$9,2,FALSE)=0,"Spatial Data Missing ⚠",VLOOKUP(AN32,'G-3 Multipliers'!$S$3:$T$9,2,FALSE)))</f>
        <v/>
      </c>
      <c r="AP32" s="513" t="str">
        <f t="shared" si="11"/>
        <v/>
      </c>
      <c r="AQ32" s="231"/>
      <c r="AR32" s="150"/>
    </row>
    <row r="33" spans="1:44" x14ac:dyDescent="0.25">
      <c r="A33" s="31" t="str">
        <f>IF(E33="","",IF(ISNA(VLOOKUP($E33,'D-1 Off Site Habitat Baseline'!$D$1:$O$258,2,FALSE)),"",(VLOOKUP($E33,'D-1 Off Site Habitat Baseline'!$D$1:$O$258,2,FALSE))))</f>
        <v/>
      </c>
      <c r="B33" s="31" t="str">
        <f>IF(E33="","",IF(ISNA(VLOOKUP($E33,'D-1 Off Site Habitat Baseline'!$D$1:$O$258,3,FALSE)),"",(VLOOKUP($E33,'D-1 Off Site Habitat Baseline'!$D$1:$O$258,3,FALSE))))</f>
        <v/>
      </c>
      <c r="C33" s="31" t="str">
        <f>IFERROR(INDEX('G-8 Condition Look up'!$I$4:$I$130,MATCH(S33,'G-8 Condition Look up'!$A$4:$A$130,0)),"")</f>
        <v/>
      </c>
      <c r="E33" s="547" t="str">
        <f>'D-1 Off Site Habitat Baseline'!AL32</f>
        <v/>
      </c>
      <c r="F33" s="520" t="str">
        <f>IF(E33="","",IF(ISNA(VLOOKUP($E33,'D-1 Off Site Habitat Baseline'!$D$1:$O$258,4,FALSE)),"",(VLOOKUP($E33,'D-1 Off Site Habitat Baseline'!$D$1:$O$258,4,FALSE))))</f>
        <v/>
      </c>
      <c r="G33" s="520" t="str">
        <f>IF(E33="","",IF(ISNA(VLOOKUP($E33,'D-1 Off Site Habitat Baseline'!$D$1:$O$258,5,FALSE)),"",(VLOOKUP($E33,'D-1 Off Site Habitat Baseline'!$D$1:$O$258,5,FALSE))))</f>
        <v/>
      </c>
      <c r="H33" s="520" t="str">
        <f>IF(E33="","",IF(ISNA(VLOOKUP($E33,'D-1 Off Site Habitat Baseline'!$D$1:$O$258,6,FALSE)),"",(VLOOKUP($E33,'D-1 Off Site Habitat Baseline'!$D$1:$O$258,6,FALSE))))</f>
        <v/>
      </c>
      <c r="I33" s="520" t="str">
        <f>IF(E33="","",IF(ISNA(VLOOKUP($E33,'D-1 Off Site Habitat Baseline'!$D$1:$O$258,7,FALSE)),"",(VLOOKUP($E33,'D-1 Off Site Habitat Baseline'!$D$1:$O$258,7,FALSE))))</f>
        <v/>
      </c>
      <c r="J33" s="520" t="str">
        <f>IF(E33="","",IF(ISNA(VLOOKUP($E33,'D-1 Off Site Habitat Baseline'!$D$1:$O$258,8,FALSE)),"",(VLOOKUP($E33,'D-1 Off Site Habitat Baseline'!$D$1:$O$258,8,FALSE))))</f>
        <v/>
      </c>
      <c r="K33" s="520" t="str">
        <f>IF(E33="","",IF(ISNA(VLOOKUP($E33,'D-1 Off Site Habitat Baseline'!$D$1:$O$258,9,FALSE)),"",(VLOOKUP($E33,'D-1 Off Site Habitat Baseline'!$D$1:$O$258,9,FALSE))))</f>
        <v/>
      </c>
      <c r="L33" s="520" t="str">
        <f>IF(E33="","",IF(ISNA(VLOOKUP($E33,'D-1 Off Site Habitat Baseline'!$D$1:$O$258,11,FALSE)),"",(VLOOKUP($E33,'D-1 Off Site Habitat Baseline'!$D$1:$O$258,11,FALSE))))</f>
        <v/>
      </c>
      <c r="M33" s="520" t="str">
        <f>IF(E33="","",IF(ISNA(VLOOKUP($E33,'D-1 Off Site Habitat Baseline'!$D$1:$O$258,12,FALSE)),"",(VLOOKUP($E33,'D-1 Off Site Habitat Baseline'!$D$1:$O$258,12,FALSE))))</f>
        <v/>
      </c>
      <c r="N33" s="520" t="str">
        <f>IF(E33="","",IF(ISNA(VLOOKUP($E33,'D-1 Off Site Habitat Baseline'!$D$1:$X$258,14,FALSE)),"",(VLOOKUP($E33,'D-1 Off Site Habitat Baseline'!$D$1:$X$258,14,FALSE))))</f>
        <v/>
      </c>
      <c r="O33" s="524" t="str">
        <f>IF(E33="","",IF(ISNA(VLOOKUP($E33,'D-1 Off Site Habitat Baseline'!$D$1:$X$258,13,FALSE)),"",(VLOOKUP($E33,'D-1 Off Site Habitat Baseline'!$D$1:$X$258,13,FALSE))))</f>
        <v/>
      </c>
      <c r="P33" s="232" t="str">
        <f>IFERROR(INDEX('G-1 All Habitats'!$AG$3:$AG$15,MATCH(Q33,'G-1 All Habitats'!$AF$3:$AF$15,0)),"")</f>
        <v/>
      </c>
      <c r="Q33" s="228" t="str">
        <f t="shared" si="12"/>
        <v/>
      </c>
      <c r="R33" s="229" t="str">
        <f t="shared" si="13"/>
        <v/>
      </c>
      <c r="S33" s="233" t="str">
        <f>IFERROR(INDEX('G-1 All Habitats'!$B$3:$B$129,MATCH(R33,'G-1 All Habitats'!$A$3:$A$129,0)),"")</f>
        <v/>
      </c>
      <c r="T33" s="507" t="str">
        <f t="shared" si="5"/>
        <v/>
      </c>
      <c r="U33" s="524" t="str">
        <f t="shared" si="6"/>
        <v/>
      </c>
      <c r="V33" s="523" t="str">
        <f t="shared" si="2"/>
        <v/>
      </c>
      <c r="W33" s="520" t="str">
        <f>IF(S33="","",VLOOKUP(S33,'G-1 All Habitats'!$B$2:$M$129,10,FALSE))</f>
        <v/>
      </c>
      <c r="X33" s="520" t="str">
        <f>IFERROR(VLOOKUP(W33,'G-1 All Habitats'!$V$3:$W$7,2,FALSE),"")</f>
        <v/>
      </c>
      <c r="Y33" s="203"/>
      <c r="Z33" s="524" t="str">
        <f>IFERROR(INDEX('G-8 Condition Look up'!$A$3:$H$130,MATCH(S33,'G-8 Condition Look up'!$A$3:$A$130,0),MATCH(Y33,'G-8 Condition Look up'!$A$3:$H$3,0)),"")</f>
        <v/>
      </c>
      <c r="AA33" s="145"/>
      <c r="AB33" s="540" t="str">
        <f>IF(AA33="","",IF(VLOOKUP(AA33,'G-3 Multipliers'!$L$3:$N$6,2,FALSE)=0,"Spatial Data Missing ⚠",VLOOKUP(AA33,'G-3 Multipliers'!$L$3:$N$6,2,FALSE)))</f>
        <v/>
      </c>
      <c r="AC33" s="524" t="str">
        <f>IF(AA33="","",IF(VLOOKUP(AA33,'G-3 Multipliers'!$L$3:$N$6,3,FALSE)=0,"Spatial Data Missing ⚠",VLOOKUP(AA33,'G-3 Multipliers'!$L$3:$N$6,3,FALSE)))</f>
        <v/>
      </c>
      <c r="AD33" s="537" t="str">
        <f t="shared" si="3"/>
        <v/>
      </c>
      <c r="AE33" s="203"/>
      <c r="AF33" s="203"/>
      <c r="AG33" s="520" t="str">
        <f t="shared" si="7"/>
        <v/>
      </c>
      <c r="AH33" s="544" t="str">
        <f t="shared" si="8"/>
        <v/>
      </c>
      <c r="AI33" s="525" t="str">
        <f>IF(AH33="Check Data ⚠","Check Data ⚠",IFERROR(VLOOKUP(AH33,'G-4 Temporal multipliers'!$A$4:$C$36,3,FALSE),""))</f>
        <v/>
      </c>
      <c r="AJ33" s="537" t="str">
        <f>IF(S33="","",VLOOKUP(S33,'G-3 Multipliers'!$A$2:$E$129,4,FALSE))</f>
        <v/>
      </c>
      <c r="AK33" s="520" t="str">
        <f t="shared" si="9"/>
        <v/>
      </c>
      <c r="AL33" s="520" t="str">
        <f t="shared" si="10"/>
        <v/>
      </c>
      <c r="AM33" s="524" t="str">
        <f>IFERROR(IF(F33="","",IF(AH33="Check Data ⚠","Check Data ⚠",VLOOKUP(AL33, 'G-3 Multipliers'!$P$2:$Q$6,2,FALSE))),"")</f>
        <v/>
      </c>
      <c r="AN33" s="197"/>
      <c r="AO33" s="540" t="str">
        <f>IF(AN33="","",IF(VLOOKUP(AN33,'G-3 Multipliers'!$S$3:$T$9,2,FALSE)=0,"Spatial Data Missing ⚠",VLOOKUP(AN33,'G-3 Multipliers'!$S$3:$T$9,2,FALSE)))</f>
        <v/>
      </c>
      <c r="AP33" s="513" t="str">
        <f t="shared" si="11"/>
        <v/>
      </c>
      <c r="AQ33" s="231"/>
      <c r="AR33" s="150"/>
    </row>
    <row r="34" spans="1:44" x14ac:dyDescent="0.25">
      <c r="A34" s="31" t="str">
        <f>IF(E34="","",IF(ISNA(VLOOKUP($E34,'D-1 Off Site Habitat Baseline'!$D$1:$O$258,2,FALSE)),"",(VLOOKUP($E34,'D-1 Off Site Habitat Baseline'!$D$1:$O$258,2,FALSE))))</f>
        <v/>
      </c>
      <c r="B34" s="31" t="str">
        <f>IF(E34="","",IF(ISNA(VLOOKUP($E34,'D-1 Off Site Habitat Baseline'!$D$1:$O$258,3,FALSE)),"",(VLOOKUP($E34,'D-1 Off Site Habitat Baseline'!$D$1:$O$258,3,FALSE))))</f>
        <v/>
      </c>
      <c r="C34" s="31" t="str">
        <f>IFERROR(INDEX('G-8 Condition Look up'!$I$4:$I$130,MATCH(S34,'G-8 Condition Look up'!$A$4:$A$130,0)),"")</f>
        <v/>
      </c>
      <c r="E34" s="547" t="str">
        <f>'D-1 Off Site Habitat Baseline'!AL33</f>
        <v/>
      </c>
      <c r="F34" s="520" t="str">
        <f>IF(E34="","",IF(ISNA(VLOOKUP($E34,'D-1 Off Site Habitat Baseline'!$D$1:$O$258,4,FALSE)),"",(VLOOKUP($E34,'D-1 Off Site Habitat Baseline'!$D$1:$O$258,4,FALSE))))</f>
        <v/>
      </c>
      <c r="G34" s="520" t="str">
        <f>IF(E34="","",IF(ISNA(VLOOKUP($E34,'D-1 Off Site Habitat Baseline'!$D$1:$O$258,5,FALSE)),"",(VLOOKUP($E34,'D-1 Off Site Habitat Baseline'!$D$1:$O$258,5,FALSE))))</f>
        <v/>
      </c>
      <c r="H34" s="520" t="str">
        <f>IF(E34="","",IF(ISNA(VLOOKUP($E34,'D-1 Off Site Habitat Baseline'!$D$1:$O$258,6,FALSE)),"",(VLOOKUP($E34,'D-1 Off Site Habitat Baseline'!$D$1:$O$258,6,FALSE))))</f>
        <v/>
      </c>
      <c r="I34" s="520" t="str">
        <f>IF(E34="","",IF(ISNA(VLOOKUP($E34,'D-1 Off Site Habitat Baseline'!$D$1:$O$258,7,FALSE)),"",(VLOOKUP($E34,'D-1 Off Site Habitat Baseline'!$D$1:$O$258,7,FALSE))))</f>
        <v/>
      </c>
      <c r="J34" s="520" t="str">
        <f>IF(E34="","",IF(ISNA(VLOOKUP($E34,'D-1 Off Site Habitat Baseline'!$D$1:$O$258,8,FALSE)),"",(VLOOKUP($E34,'D-1 Off Site Habitat Baseline'!$D$1:$O$258,8,FALSE))))</f>
        <v/>
      </c>
      <c r="K34" s="520" t="str">
        <f>IF(E34="","",IF(ISNA(VLOOKUP($E34,'D-1 Off Site Habitat Baseline'!$D$1:$O$258,9,FALSE)),"",(VLOOKUP($E34,'D-1 Off Site Habitat Baseline'!$D$1:$O$258,9,FALSE))))</f>
        <v/>
      </c>
      <c r="L34" s="520" t="str">
        <f>IF(E34="","",IF(ISNA(VLOOKUP($E34,'D-1 Off Site Habitat Baseline'!$D$1:$O$258,11,FALSE)),"",(VLOOKUP($E34,'D-1 Off Site Habitat Baseline'!$D$1:$O$258,11,FALSE))))</f>
        <v/>
      </c>
      <c r="M34" s="520" t="str">
        <f>IF(E34="","",IF(ISNA(VLOOKUP($E34,'D-1 Off Site Habitat Baseline'!$D$1:$O$258,12,FALSE)),"",(VLOOKUP($E34,'D-1 Off Site Habitat Baseline'!$D$1:$O$258,12,FALSE))))</f>
        <v/>
      </c>
      <c r="N34" s="520" t="str">
        <f>IF(E34="","",IF(ISNA(VLOOKUP($E34,'D-1 Off Site Habitat Baseline'!$D$1:$X$258,14,FALSE)),"",(VLOOKUP($E34,'D-1 Off Site Habitat Baseline'!$D$1:$X$258,14,FALSE))))</f>
        <v/>
      </c>
      <c r="O34" s="524" t="str">
        <f>IF(E34="","",IF(ISNA(VLOOKUP($E34,'D-1 Off Site Habitat Baseline'!$D$1:$X$258,13,FALSE)),"",(VLOOKUP($E34,'D-1 Off Site Habitat Baseline'!$D$1:$X$258,13,FALSE))))</f>
        <v/>
      </c>
      <c r="P34" s="232" t="str">
        <f>IFERROR(INDEX('G-1 All Habitats'!$AG$3:$AG$15,MATCH(Q34,'G-1 All Habitats'!$AF$3:$AF$15,0)),"")</f>
        <v/>
      </c>
      <c r="Q34" s="228" t="str">
        <f t="shared" si="12"/>
        <v/>
      </c>
      <c r="R34" s="229" t="str">
        <f t="shared" si="13"/>
        <v/>
      </c>
      <c r="S34" s="233" t="str">
        <f>IFERROR(INDEX('G-1 All Habitats'!$B$3:$B$129,MATCH(R34,'G-1 All Habitats'!$A$3:$A$129,0)),"")</f>
        <v/>
      </c>
      <c r="T34" s="507" t="str">
        <f t="shared" si="5"/>
        <v/>
      </c>
      <c r="U34" s="524" t="str">
        <f t="shared" si="6"/>
        <v/>
      </c>
      <c r="V34" s="523" t="str">
        <f t="shared" si="2"/>
        <v/>
      </c>
      <c r="W34" s="520" t="str">
        <f>IF(S34="","",VLOOKUP(S34,'G-1 All Habitats'!$B$2:$M$129,10,FALSE))</f>
        <v/>
      </c>
      <c r="X34" s="520" t="str">
        <f>IFERROR(VLOOKUP(W34,'G-1 All Habitats'!$V$3:$W$7,2,FALSE),"")</f>
        <v/>
      </c>
      <c r="Y34" s="203"/>
      <c r="Z34" s="524" t="str">
        <f>IFERROR(INDEX('G-8 Condition Look up'!$A$3:$H$130,MATCH(S34,'G-8 Condition Look up'!$A$3:$A$130,0),MATCH(Y34,'G-8 Condition Look up'!$A$3:$H$3,0)),"")</f>
        <v/>
      </c>
      <c r="AA34" s="145"/>
      <c r="AB34" s="540" t="str">
        <f>IF(AA34="","",IF(VLOOKUP(AA34,'G-3 Multipliers'!$L$3:$N$6,2,FALSE)=0,"Spatial Data Missing ⚠",VLOOKUP(AA34,'G-3 Multipliers'!$L$3:$N$6,2,FALSE)))</f>
        <v/>
      </c>
      <c r="AC34" s="524" t="str">
        <f>IF(AA34="","",IF(VLOOKUP(AA34,'G-3 Multipliers'!$L$3:$N$6,3,FALSE)=0,"Spatial Data Missing ⚠",VLOOKUP(AA34,'G-3 Multipliers'!$L$3:$N$6,3,FALSE)))</f>
        <v/>
      </c>
      <c r="AD34" s="537" t="str">
        <f t="shared" si="3"/>
        <v/>
      </c>
      <c r="AE34" s="203"/>
      <c r="AF34" s="203"/>
      <c r="AG34" s="520" t="str">
        <f t="shared" si="7"/>
        <v/>
      </c>
      <c r="AH34" s="544" t="str">
        <f t="shared" si="8"/>
        <v/>
      </c>
      <c r="AI34" s="525" t="str">
        <f>IF(AH34="Check Data ⚠","Check Data ⚠",IFERROR(VLOOKUP(AH34,'G-4 Temporal multipliers'!$A$4:$C$36,3,FALSE),""))</f>
        <v/>
      </c>
      <c r="AJ34" s="537" t="str">
        <f>IF(S34="","",VLOOKUP(S34,'G-3 Multipliers'!$A$2:$E$129,4,FALSE))</f>
        <v/>
      </c>
      <c r="AK34" s="520" t="str">
        <f t="shared" si="9"/>
        <v/>
      </c>
      <c r="AL34" s="520" t="str">
        <f t="shared" si="10"/>
        <v/>
      </c>
      <c r="AM34" s="524" t="str">
        <f>IFERROR(IF(F34="","",IF(AH34="Check Data ⚠","Check Data ⚠",VLOOKUP(AL34, 'G-3 Multipliers'!$P$2:$Q$6,2,FALSE))),"")</f>
        <v/>
      </c>
      <c r="AN34" s="197"/>
      <c r="AO34" s="540" t="str">
        <f>IF(AN34="","",IF(VLOOKUP(AN34,'G-3 Multipliers'!$S$3:$T$9,2,FALSE)=0,"Spatial Data Missing ⚠",VLOOKUP(AN34,'G-3 Multipliers'!$S$3:$T$9,2,FALSE)))</f>
        <v/>
      </c>
      <c r="AP34" s="513" t="str">
        <f t="shared" si="11"/>
        <v/>
      </c>
      <c r="AQ34" s="231"/>
      <c r="AR34" s="150"/>
    </row>
    <row r="35" spans="1:44" x14ac:dyDescent="0.25">
      <c r="A35" s="31" t="str">
        <f>IF(E35="","",IF(ISNA(VLOOKUP($E35,'D-1 Off Site Habitat Baseline'!$D$1:$O$258,2,FALSE)),"",(VLOOKUP($E35,'D-1 Off Site Habitat Baseline'!$D$1:$O$258,2,FALSE))))</f>
        <v/>
      </c>
      <c r="B35" s="31" t="str">
        <f>IF(E35="","",IF(ISNA(VLOOKUP($E35,'D-1 Off Site Habitat Baseline'!$D$1:$O$258,3,FALSE)),"",(VLOOKUP($E35,'D-1 Off Site Habitat Baseline'!$D$1:$O$258,3,FALSE))))</f>
        <v/>
      </c>
      <c r="C35" s="31" t="str">
        <f>IFERROR(INDEX('G-8 Condition Look up'!$I$4:$I$130,MATCH(S35,'G-8 Condition Look up'!$A$4:$A$130,0)),"")</f>
        <v/>
      </c>
      <c r="E35" s="547" t="str">
        <f>'D-1 Off Site Habitat Baseline'!AL34</f>
        <v/>
      </c>
      <c r="F35" s="520" t="str">
        <f>IF(E35="","",IF(ISNA(VLOOKUP($E35,'D-1 Off Site Habitat Baseline'!$D$1:$O$258,4,FALSE)),"",(VLOOKUP($E35,'D-1 Off Site Habitat Baseline'!$D$1:$O$258,4,FALSE))))</f>
        <v/>
      </c>
      <c r="G35" s="520" t="str">
        <f>IF(E35="","",IF(ISNA(VLOOKUP($E35,'D-1 Off Site Habitat Baseline'!$D$1:$O$258,5,FALSE)),"",(VLOOKUP($E35,'D-1 Off Site Habitat Baseline'!$D$1:$O$258,5,FALSE))))</f>
        <v/>
      </c>
      <c r="H35" s="520" t="str">
        <f>IF(E35="","",IF(ISNA(VLOOKUP($E35,'D-1 Off Site Habitat Baseline'!$D$1:$O$258,6,FALSE)),"",(VLOOKUP($E35,'D-1 Off Site Habitat Baseline'!$D$1:$O$258,6,FALSE))))</f>
        <v/>
      </c>
      <c r="I35" s="520" t="str">
        <f>IF(E35="","",IF(ISNA(VLOOKUP($E35,'D-1 Off Site Habitat Baseline'!$D$1:$O$258,7,FALSE)),"",(VLOOKUP($E35,'D-1 Off Site Habitat Baseline'!$D$1:$O$258,7,FALSE))))</f>
        <v/>
      </c>
      <c r="J35" s="520" t="str">
        <f>IF(E35="","",IF(ISNA(VLOOKUP($E35,'D-1 Off Site Habitat Baseline'!$D$1:$O$258,8,FALSE)),"",(VLOOKUP($E35,'D-1 Off Site Habitat Baseline'!$D$1:$O$258,8,FALSE))))</f>
        <v/>
      </c>
      <c r="K35" s="520" t="str">
        <f>IF(E35="","",IF(ISNA(VLOOKUP($E35,'D-1 Off Site Habitat Baseline'!$D$1:$O$258,9,FALSE)),"",(VLOOKUP($E35,'D-1 Off Site Habitat Baseline'!$D$1:$O$258,9,FALSE))))</f>
        <v/>
      </c>
      <c r="L35" s="520" t="str">
        <f>IF(E35="","",IF(ISNA(VLOOKUP($E35,'D-1 Off Site Habitat Baseline'!$D$1:$O$258,11,FALSE)),"",(VLOOKUP($E35,'D-1 Off Site Habitat Baseline'!$D$1:$O$258,11,FALSE))))</f>
        <v/>
      </c>
      <c r="M35" s="520" t="str">
        <f>IF(E35="","",IF(ISNA(VLOOKUP($E35,'D-1 Off Site Habitat Baseline'!$D$1:$O$258,12,FALSE)),"",(VLOOKUP($E35,'D-1 Off Site Habitat Baseline'!$D$1:$O$258,12,FALSE))))</f>
        <v/>
      </c>
      <c r="N35" s="520" t="str">
        <f>IF(E35="","",IF(ISNA(VLOOKUP($E35,'D-1 Off Site Habitat Baseline'!$D$1:$X$258,14,FALSE)),"",(VLOOKUP($E35,'D-1 Off Site Habitat Baseline'!$D$1:$X$258,14,FALSE))))</f>
        <v/>
      </c>
      <c r="O35" s="524" t="str">
        <f>IF(E35="","",IF(ISNA(VLOOKUP($E35,'D-1 Off Site Habitat Baseline'!$D$1:$X$258,13,FALSE)),"",(VLOOKUP($E35,'D-1 Off Site Habitat Baseline'!$D$1:$X$258,13,FALSE))))</f>
        <v/>
      </c>
      <c r="P35" s="232" t="str">
        <f>IFERROR(INDEX('G-1 All Habitats'!$AG$3:$AG$15,MATCH(Q35,'G-1 All Habitats'!$AF$3:$AF$15,0)),"")</f>
        <v/>
      </c>
      <c r="Q35" s="228" t="str">
        <f t="shared" si="12"/>
        <v/>
      </c>
      <c r="R35" s="229" t="str">
        <f t="shared" si="13"/>
        <v/>
      </c>
      <c r="S35" s="233" t="str">
        <f>IFERROR(INDEX('G-1 All Habitats'!$B$3:$B$129,MATCH(R35,'G-1 All Habitats'!$A$3:$A$129,0)),"")</f>
        <v/>
      </c>
      <c r="T35" s="507" t="str">
        <f t="shared" si="5"/>
        <v/>
      </c>
      <c r="U35" s="524" t="str">
        <f t="shared" si="6"/>
        <v/>
      </c>
      <c r="V35" s="523" t="str">
        <f t="shared" si="2"/>
        <v/>
      </c>
      <c r="W35" s="520" t="str">
        <f>IF(S35="","",VLOOKUP(S35,'G-1 All Habitats'!$B$2:$M$129,10,FALSE))</f>
        <v/>
      </c>
      <c r="X35" s="520" t="str">
        <f>IFERROR(VLOOKUP(W35,'G-1 All Habitats'!$V$3:$W$7,2,FALSE),"")</f>
        <v/>
      </c>
      <c r="Y35" s="203"/>
      <c r="Z35" s="524" t="str">
        <f>IFERROR(INDEX('G-8 Condition Look up'!$A$3:$H$130,MATCH(S35,'G-8 Condition Look up'!$A$3:$A$130,0),MATCH(Y35,'G-8 Condition Look up'!$A$3:$H$3,0)),"")</f>
        <v/>
      </c>
      <c r="AA35" s="145"/>
      <c r="AB35" s="540" t="str">
        <f>IF(AA35="","",IF(VLOOKUP(AA35,'G-3 Multipliers'!$L$3:$N$6,2,FALSE)=0,"Spatial Data Missing ⚠",VLOOKUP(AA35,'G-3 Multipliers'!$L$3:$N$6,2,FALSE)))</f>
        <v/>
      </c>
      <c r="AC35" s="524" t="str">
        <f>IF(AA35="","",IF(VLOOKUP(AA35,'G-3 Multipliers'!$L$3:$N$6,3,FALSE)=0,"Spatial Data Missing ⚠",VLOOKUP(AA35,'G-3 Multipliers'!$L$3:$N$6,3,FALSE)))</f>
        <v/>
      </c>
      <c r="AD35" s="537" t="str">
        <f t="shared" si="3"/>
        <v/>
      </c>
      <c r="AE35" s="203"/>
      <c r="AF35" s="203"/>
      <c r="AG35" s="520" t="str">
        <f t="shared" si="7"/>
        <v/>
      </c>
      <c r="AH35" s="544" t="str">
        <f t="shared" si="8"/>
        <v/>
      </c>
      <c r="AI35" s="525" t="str">
        <f>IF(AH35="Check Data ⚠","Check Data ⚠",IFERROR(VLOOKUP(AH35,'G-4 Temporal multipliers'!$A$4:$C$36,3,FALSE),""))</f>
        <v/>
      </c>
      <c r="AJ35" s="537" t="str">
        <f>IF(S35="","",VLOOKUP(S35,'G-3 Multipliers'!$A$2:$E$129,4,FALSE))</f>
        <v/>
      </c>
      <c r="AK35" s="520" t="str">
        <f t="shared" si="9"/>
        <v/>
      </c>
      <c r="AL35" s="520" t="str">
        <f t="shared" si="10"/>
        <v/>
      </c>
      <c r="AM35" s="524" t="str">
        <f>IFERROR(IF(F35="","",IF(AH35="Check Data ⚠","Check Data ⚠",VLOOKUP(AL35, 'G-3 Multipliers'!$P$2:$Q$6,2,FALSE))),"")</f>
        <v/>
      </c>
      <c r="AN35" s="197"/>
      <c r="AO35" s="540" t="str">
        <f>IF(AN35="","",IF(VLOOKUP(AN35,'G-3 Multipliers'!$S$3:$T$9,2,FALSE)=0,"Spatial Data Missing ⚠",VLOOKUP(AN35,'G-3 Multipliers'!$S$3:$T$9,2,FALSE)))</f>
        <v/>
      </c>
      <c r="AP35" s="513" t="str">
        <f t="shared" si="11"/>
        <v/>
      </c>
      <c r="AQ35" s="231"/>
      <c r="AR35" s="150"/>
    </row>
    <row r="36" spans="1:44" x14ac:dyDescent="0.25">
      <c r="A36" s="31" t="str">
        <f>IF(E36="","",IF(ISNA(VLOOKUP($E36,'D-1 Off Site Habitat Baseline'!$D$1:$O$258,2,FALSE)),"",(VLOOKUP($E36,'D-1 Off Site Habitat Baseline'!$D$1:$O$258,2,FALSE))))</f>
        <v/>
      </c>
      <c r="B36" s="31" t="str">
        <f>IF(E36="","",IF(ISNA(VLOOKUP($E36,'D-1 Off Site Habitat Baseline'!$D$1:$O$258,3,FALSE)),"",(VLOOKUP($E36,'D-1 Off Site Habitat Baseline'!$D$1:$O$258,3,FALSE))))</f>
        <v/>
      </c>
      <c r="C36" s="31" t="str">
        <f>IFERROR(INDEX('G-8 Condition Look up'!$I$4:$I$130,MATCH(S36,'G-8 Condition Look up'!$A$4:$A$130,0)),"")</f>
        <v/>
      </c>
      <c r="E36" s="547" t="str">
        <f>'D-1 Off Site Habitat Baseline'!AL35</f>
        <v/>
      </c>
      <c r="F36" s="520" t="str">
        <f>IF(E36="","",IF(ISNA(VLOOKUP($E36,'D-1 Off Site Habitat Baseline'!$D$1:$O$258,4,FALSE)),"",(VLOOKUP($E36,'D-1 Off Site Habitat Baseline'!$D$1:$O$258,4,FALSE))))</f>
        <v/>
      </c>
      <c r="G36" s="520" t="str">
        <f>IF(E36="","",IF(ISNA(VLOOKUP($E36,'D-1 Off Site Habitat Baseline'!$D$1:$O$258,5,FALSE)),"",(VLOOKUP($E36,'D-1 Off Site Habitat Baseline'!$D$1:$O$258,5,FALSE))))</f>
        <v/>
      </c>
      <c r="H36" s="520" t="str">
        <f>IF(E36="","",IF(ISNA(VLOOKUP($E36,'D-1 Off Site Habitat Baseline'!$D$1:$O$258,6,FALSE)),"",(VLOOKUP($E36,'D-1 Off Site Habitat Baseline'!$D$1:$O$258,6,FALSE))))</f>
        <v/>
      </c>
      <c r="I36" s="520" t="str">
        <f>IF(E36="","",IF(ISNA(VLOOKUP($E36,'D-1 Off Site Habitat Baseline'!$D$1:$O$258,7,FALSE)),"",(VLOOKUP($E36,'D-1 Off Site Habitat Baseline'!$D$1:$O$258,7,FALSE))))</f>
        <v/>
      </c>
      <c r="J36" s="520" t="str">
        <f>IF(E36="","",IF(ISNA(VLOOKUP($E36,'D-1 Off Site Habitat Baseline'!$D$1:$O$258,8,FALSE)),"",(VLOOKUP($E36,'D-1 Off Site Habitat Baseline'!$D$1:$O$258,8,FALSE))))</f>
        <v/>
      </c>
      <c r="K36" s="520" t="str">
        <f>IF(E36="","",IF(ISNA(VLOOKUP($E36,'D-1 Off Site Habitat Baseline'!$D$1:$O$258,9,FALSE)),"",(VLOOKUP($E36,'D-1 Off Site Habitat Baseline'!$D$1:$O$258,9,FALSE))))</f>
        <v/>
      </c>
      <c r="L36" s="520" t="str">
        <f>IF(E36="","",IF(ISNA(VLOOKUP($E36,'D-1 Off Site Habitat Baseline'!$D$1:$O$258,11,FALSE)),"",(VLOOKUP($E36,'D-1 Off Site Habitat Baseline'!$D$1:$O$258,11,FALSE))))</f>
        <v/>
      </c>
      <c r="M36" s="520" t="str">
        <f>IF(E36="","",IF(ISNA(VLOOKUP($E36,'D-1 Off Site Habitat Baseline'!$D$1:$O$258,12,FALSE)),"",(VLOOKUP($E36,'D-1 Off Site Habitat Baseline'!$D$1:$O$258,12,FALSE))))</f>
        <v/>
      </c>
      <c r="N36" s="520" t="str">
        <f>IF(E36="","",IF(ISNA(VLOOKUP($E36,'D-1 Off Site Habitat Baseline'!$D$1:$X$258,14,FALSE)),"",(VLOOKUP($E36,'D-1 Off Site Habitat Baseline'!$D$1:$X$258,14,FALSE))))</f>
        <v/>
      </c>
      <c r="O36" s="524" t="str">
        <f>IF(E36="","",IF(ISNA(VLOOKUP($E36,'D-1 Off Site Habitat Baseline'!$D$1:$X$258,13,FALSE)),"",(VLOOKUP($E36,'D-1 Off Site Habitat Baseline'!$D$1:$X$258,13,FALSE))))</f>
        <v/>
      </c>
      <c r="P36" s="232" t="str">
        <f>IFERROR(INDEX('G-1 All Habitats'!$AG$3:$AG$15,MATCH(Q36,'G-1 All Habitats'!$AF$3:$AF$15,0)),"")</f>
        <v/>
      </c>
      <c r="Q36" s="228" t="str">
        <f t="shared" si="12"/>
        <v/>
      </c>
      <c r="R36" s="229" t="str">
        <f t="shared" si="13"/>
        <v/>
      </c>
      <c r="S36" s="233" t="str">
        <f>IFERROR(INDEX('G-1 All Habitats'!$B$3:$B$129,MATCH(R36,'G-1 All Habitats'!$A$3:$A$129,0)),"")</f>
        <v/>
      </c>
      <c r="T36" s="507" t="str">
        <f t="shared" si="5"/>
        <v/>
      </c>
      <c r="U36" s="524" t="str">
        <f t="shared" si="6"/>
        <v/>
      </c>
      <c r="V36" s="523" t="str">
        <f t="shared" si="2"/>
        <v/>
      </c>
      <c r="W36" s="520" t="str">
        <f>IF(S36="","",VLOOKUP(S36,'G-1 All Habitats'!$B$2:$M$129,10,FALSE))</f>
        <v/>
      </c>
      <c r="X36" s="520" t="str">
        <f>IFERROR(VLOOKUP(W36,'G-1 All Habitats'!$V$3:$W$7,2,FALSE),"")</f>
        <v/>
      </c>
      <c r="Y36" s="203"/>
      <c r="Z36" s="524" t="str">
        <f>IFERROR(INDEX('G-8 Condition Look up'!$A$3:$H$130,MATCH(S36,'G-8 Condition Look up'!$A$3:$A$130,0),MATCH(Y36,'G-8 Condition Look up'!$A$3:$H$3,0)),"")</f>
        <v/>
      </c>
      <c r="AA36" s="145"/>
      <c r="AB36" s="540" t="str">
        <f>IF(AA36="","",IF(VLOOKUP(AA36,'G-3 Multipliers'!$L$3:$N$6,2,FALSE)=0,"Spatial Data Missing ⚠",VLOOKUP(AA36,'G-3 Multipliers'!$L$3:$N$6,2,FALSE)))</f>
        <v/>
      </c>
      <c r="AC36" s="524" t="str">
        <f>IF(AA36="","",IF(VLOOKUP(AA36,'G-3 Multipliers'!$L$3:$N$6,3,FALSE)=0,"Spatial Data Missing ⚠",VLOOKUP(AA36,'G-3 Multipliers'!$L$3:$N$6,3,FALSE)))</f>
        <v/>
      </c>
      <c r="AD36" s="537" t="str">
        <f t="shared" si="3"/>
        <v/>
      </c>
      <c r="AE36" s="203"/>
      <c r="AF36" s="203"/>
      <c r="AG36" s="520" t="str">
        <f t="shared" si="7"/>
        <v/>
      </c>
      <c r="AH36" s="544" t="str">
        <f t="shared" si="8"/>
        <v/>
      </c>
      <c r="AI36" s="525" t="str">
        <f>IF(AH36="Check Data ⚠","Check Data ⚠",IFERROR(VLOOKUP(AH36,'G-4 Temporal multipliers'!$A$4:$C$36,3,FALSE),""))</f>
        <v/>
      </c>
      <c r="AJ36" s="537" t="str">
        <f>IF(S36="","",VLOOKUP(S36,'G-3 Multipliers'!$A$2:$E$129,4,FALSE))</f>
        <v/>
      </c>
      <c r="AK36" s="520" t="str">
        <f t="shared" si="9"/>
        <v/>
      </c>
      <c r="AL36" s="520" t="str">
        <f t="shared" si="10"/>
        <v/>
      </c>
      <c r="AM36" s="524" t="str">
        <f>IFERROR(IF(F36="","",IF(AH36="Check Data ⚠","Check Data ⚠",VLOOKUP(AL36, 'G-3 Multipliers'!$P$2:$Q$6,2,FALSE))),"")</f>
        <v/>
      </c>
      <c r="AN36" s="197"/>
      <c r="AO36" s="540" t="str">
        <f>IF(AN36="","",IF(VLOOKUP(AN36,'G-3 Multipliers'!$S$3:$T$9,2,FALSE)=0,"Spatial Data Missing ⚠",VLOOKUP(AN36,'G-3 Multipliers'!$S$3:$T$9,2,FALSE)))</f>
        <v/>
      </c>
      <c r="AP36" s="513" t="str">
        <f t="shared" si="11"/>
        <v/>
      </c>
      <c r="AQ36" s="231"/>
      <c r="AR36" s="150"/>
    </row>
    <row r="37" spans="1:44" x14ac:dyDescent="0.25">
      <c r="A37" s="31" t="str">
        <f>IF(E37="","",IF(ISNA(VLOOKUP($E37,'D-1 Off Site Habitat Baseline'!$D$1:$O$258,2,FALSE)),"",(VLOOKUP($E37,'D-1 Off Site Habitat Baseline'!$D$1:$O$258,2,FALSE))))</f>
        <v/>
      </c>
      <c r="B37" s="31" t="str">
        <f>IF(E37="","",IF(ISNA(VLOOKUP($E37,'D-1 Off Site Habitat Baseline'!$D$1:$O$258,3,FALSE)),"",(VLOOKUP($E37,'D-1 Off Site Habitat Baseline'!$D$1:$O$258,3,FALSE))))</f>
        <v/>
      </c>
      <c r="C37" s="31" t="str">
        <f>IFERROR(INDEX('G-8 Condition Look up'!$I$4:$I$130,MATCH(S37,'G-8 Condition Look up'!$A$4:$A$130,0)),"")</f>
        <v/>
      </c>
      <c r="E37" s="547" t="str">
        <f>'D-1 Off Site Habitat Baseline'!AL36</f>
        <v/>
      </c>
      <c r="F37" s="520" t="str">
        <f>IF(E37="","",IF(ISNA(VLOOKUP($E37,'D-1 Off Site Habitat Baseline'!$D$1:$O$258,4,FALSE)),"",(VLOOKUP($E37,'D-1 Off Site Habitat Baseline'!$D$1:$O$258,4,FALSE))))</f>
        <v/>
      </c>
      <c r="G37" s="520" t="str">
        <f>IF(E37="","",IF(ISNA(VLOOKUP($E37,'D-1 Off Site Habitat Baseline'!$D$1:$O$258,5,FALSE)),"",(VLOOKUP($E37,'D-1 Off Site Habitat Baseline'!$D$1:$O$258,5,FALSE))))</f>
        <v/>
      </c>
      <c r="H37" s="520" t="str">
        <f>IF(E37="","",IF(ISNA(VLOOKUP($E37,'D-1 Off Site Habitat Baseline'!$D$1:$O$258,6,FALSE)),"",(VLOOKUP($E37,'D-1 Off Site Habitat Baseline'!$D$1:$O$258,6,FALSE))))</f>
        <v/>
      </c>
      <c r="I37" s="520" t="str">
        <f>IF(E37="","",IF(ISNA(VLOOKUP($E37,'D-1 Off Site Habitat Baseline'!$D$1:$O$258,7,FALSE)),"",(VLOOKUP($E37,'D-1 Off Site Habitat Baseline'!$D$1:$O$258,7,FALSE))))</f>
        <v/>
      </c>
      <c r="J37" s="520" t="str">
        <f>IF(E37="","",IF(ISNA(VLOOKUP($E37,'D-1 Off Site Habitat Baseline'!$D$1:$O$258,8,FALSE)),"",(VLOOKUP($E37,'D-1 Off Site Habitat Baseline'!$D$1:$O$258,8,FALSE))))</f>
        <v/>
      </c>
      <c r="K37" s="520" t="str">
        <f>IF(E37="","",IF(ISNA(VLOOKUP($E37,'D-1 Off Site Habitat Baseline'!$D$1:$O$258,9,FALSE)),"",(VLOOKUP($E37,'D-1 Off Site Habitat Baseline'!$D$1:$O$258,9,FALSE))))</f>
        <v/>
      </c>
      <c r="L37" s="520" t="str">
        <f>IF(E37="","",IF(ISNA(VLOOKUP($E37,'D-1 Off Site Habitat Baseline'!$D$1:$O$258,11,FALSE)),"",(VLOOKUP($E37,'D-1 Off Site Habitat Baseline'!$D$1:$O$258,11,FALSE))))</f>
        <v/>
      </c>
      <c r="M37" s="520" t="str">
        <f>IF(E37="","",IF(ISNA(VLOOKUP($E37,'D-1 Off Site Habitat Baseline'!$D$1:$O$258,12,FALSE)),"",(VLOOKUP($E37,'D-1 Off Site Habitat Baseline'!$D$1:$O$258,12,FALSE))))</f>
        <v/>
      </c>
      <c r="N37" s="520" t="str">
        <f>IF(E37="","",IF(ISNA(VLOOKUP($E37,'D-1 Off Site Habitat Baseline'!$D$1:$X$258,14,FALSE)),"",(VLOOKUP($E37,'D-1 Off Site Habitat Baseline'!$D$1:$X$258,14,FALSE))))</f>
        <v/>
      </c>
      <c r="O37" s="524" t="str">
        <f>IF(E37="","",IF(ISNA(VLOOKUP($E37,'D-1 Off Site Habitat Baseline'!$D$1:$X$258,13,FALSE)),"",(VLOOKUP($E37,'D-1 Off Site Habitat Baseline'!$D$1:$X$258,13,FALSE))))</f>
        <v/>
      </c>
      <c r="P37" s="232" t="str">
        <f>IFERROR(INDEX('G-1 All Habitats'!$AG$3:$AG$15,MATCH(Q37,'G-1 All Habitats'!$AF$3:$AF$15,0)),"")</f>
        <v/>
      </c>
      <c r="Q37" s="228" t="str">
        <f t="shared" si="12"/>
        <v/>
      </c>
      <c r="R37" s="229" t="str">
        <f t="shared" si="13"/>
        <v/>
      </c>
      <c r="S37" s="233" t="str">
        <f>IFERROR(INDEX('G-1 All Habitats'!$B$3:$B$129,MATCH(R37,'G-1 All Habitats'!$A$3:$A$129,0)),"")</f>
        <v/>
      </c>
      <c r="T37" s="507" t="str">
        <f t="shared" si="5"/>
        <v/>
      </c>
      <c r="U37" s="524" t="str">
        <f t="shared" si="6"/>
        <v/>
      </c>
      <c r="V37" s="523" t="str">
        <f t="shared" si="2"/>
        <v/>
      </c>
      <c r="W37" s="520" t="str">
        <f>IF(S37="","",VLOOKUP(S37,'G-1 All Habitats'!$B$2:$M$129,10,FALSE))</f>
        <v/>
      </c>
      <c r="X37" s="520" t="str">
        <f>IFERROR(VLOOKUP(W37,'G-1 All Habitats'!$V$3:$W$7,2,FALSE),"")</f>
        <v/>
      </c>
      <c r="Y37" s="203"/>
      <c r="Z37" s="524" t="str">
        <f>IFERROR(INDEX('G-8 Condition Look up'!$A$3:$H$130,MATCH(S37,'G-8 Condition Look up'!$A$3:$A$130,0),MATCH(Y37,'G-8 Condition Look up'!$A$3:$H$3,0)),"")</f>
        <v/>
      </c>
      <c r="AA37" s="145"/>
      <c r="AB37" s="540" t="str">
        <f>IF(AA37="","",IF(VLOOKUP(AA37,'G-3 Multipliers'!$L$3:$N$6,2,FALSE)=0,"Spatial Data Missing ⚠",VLOOKUP(AA37,'G-3 Multipliers'!$L$3:$N$6,2,FALSE)))</f>
        <v/>
      </c>
      <c r="AC37" s="524" t="str">
        <f>IF(AA37="","",IF(VLOOKUP(AA37,'G-3 Multipliers'!$L$3:$N$6,3,FALSE)=0,"Spatial Data Missing ⚠",VLOOKUP(AA37,'G-3 Multipliers'!$L$3:$N$6,3,FALSE)))</f>
        <v/>
      </c>
      <c r="AD37" s="537" t="str">
        <f t="shared" si="3"/>
        <v/>
      </c>
      <c r="AE37" s="203"/>
      <c r="AF37" s="203"/>
      <c r="AG37" s="520" t="str">
        <f t="shared" si="7"/>
        <v/>
      </c>
      <c r="AH37" s="544" t="str">
        <f t="shared" si="8"/>
        <v/>
      </c>
      <c r="AI37" s="525" t="str">
        <f>IF(AH37="Check Data ⚠","Check Data ⚠",IFERROR(VLOOKUP(AH37,'G-4 Temporal multipliers'!$A$4:$C$36,3,FALSE),""))</f>
        <v/>
      </c>
      <c r="AJ37" s="537" t="str">
        <f>IF(S37="","",VLOOKUP(S37,'G-3 Multipliers'!$A$2:$E$129,4,FALSE))</f>
        <v/>
      </c>
      <c r="AK37" s="520" t="str">
        <f t="shared" si="9"/>
        <v/>
      </c>
      <c r="AL37" s="520" t="str">
        <f t="shared" si="10"/>
        <v/>
      </c>
      <c r="AM37" s="524" t="str">
        <f>IFERROR(IF(F37="","",IF(AH37="Check Data ⚠","Check Data ⚠",VLOOKUP(AL37, 'G-3 Multipliers'!$P$2:$Q$6,2,FALSE))),"")</f>
        <v/>
      </c>
      <c r="AN37" s="197"/>
      <c r="AO37" s="540" t="str">
        <f>IF(AN37="","",IF(VLOOKUP(AN37,'G-3 Multipliers'!$S$3:$T$9,2,FALSE)=0,"Spatial Data Missing ⚠",VLOOKUP(AN37,'G-3 Multipliers'!$S$3:$T$9,2,FALSE)))</f>
        <v/>
      </c>
      <c r="AP37" s="513" t="str">
        <f t="shared" si="11"/>
        <v/>
      </c>
      <c r="AQ37" s="231"/>
      <c r="AR37" s="150"/>
    </row>
    <row r="38" spans="1:44" x14ac:dyDescent="0.25">
      <c r="A38" s="31" t="str">
        <f>IF(E38="","",IF(ISNA(VLOOKUP($E38,'D-1 Off Site Habitat Baseline'!$D$1:$O$258,2,FALSE)),"",(VLOOKUP($E38,'D-1 Off Site Habitat Baseline'!$D$1:$O$258,2,FALSE))))</f>
        <v/>
      </c>
      <c r="B38" s="31" t="str">
        <f>IF(E38="","",IF(ISNA(VLOOKUP($E38,'D-1 Off Site Habitat Baseline'!$D$1:$O$258,3,FALSE)),"",(VLOOKUP($E38,'D-1 Off Site Habitat Baseline'!$D$1:$O$258,3,FALSE))))</f>
        <v/>
      </c>
      <c r="C38" s="31" t="str">
        <f>IFERROR(INDEX('G-8 Condition Look up'!$I$4:$I$130,MATCH(S38,'G-8 Condition Look up'!$A$4:$A$130,0)),"")</f>
        <v/>
      </c>
      <c r="E38" s="547" t="str">
        <f>'D-1 Off Site Habitat Baseline'!AL37</f>
        <v/>
      </c>
      <c r="F38" s="520" t="str">
        <f>IF(E38="","",IF(ISNA(VLOOKUP($E38,'D-1 Off Site Habitat Baseline'!$D$1:$O$258,4,FALSE)),"",(VLOOKUP($E38,'D-1 Off Site Habitat Baseline'!$D$1:$O$258,4,FALSE))))</f>
        <v/>
      </c>
      <c r="G38" s="520" t="str">
        <f>IF(E38="","",IF(ISNA(VLOOKUP($E38,'D-1 Off Site Habitat Baseline'!$D$1:$O$258,5,FALSE)),"",(VLOOKUP($E38,'D-1 Off Site Habitat Baseline'!$D$1:$O$258,5,FALSE))))</f>
        <v/>
      </c>
      <c r="H38" s="520" t="str">
        <f>IF(E38="","",IF(ISNA(VLOOKUP($E38,'D-1 Off Site Habitat Baseline'!$D$1:$O$258,6,FALSE)),"",(VLOOKUP($E38,'D-1 Off Site Habitat Baseline'!$D$1:$O$258,6,FALSE))))</f>
        <v/>
      </c>
      <c r="I38" s="520" t="str">
        <f>IF(E38="","",IF(ISNA(VLOOKUP($E38,'D-1 Off Site Habitat Baseline'!$D$1:$O$258,7,FALSE)),"",(VLOOKUP($E38,'D-1 Off Site Habitat Baseline'!$D$1:$O$258,7,FALSE))))</f>
        <v/>
      </c>
      <c r="J38" s="520" t="str">
        <f>IF(E38="","",IF(ISNA(VLOOKUP($E38,'D-1 Off Site Habitat Baseline'!$D$1:$O$258,8,FALSE)),"",(VLOOKUP($E38,'D-1 Off Site Habitat Baseline'!$D$1:$O$258,8,FALSE))))</f>
        <v/>
      </c>
      <c r="K38" s="520" t="str">
        <f>IF(E38="","",IF(ISNA(VLOOKUP($E38,'D-1 Off Site Habitat Baseline'!$D$1:$O$258,9,FALSE)),"",(VLOOKUP($E38,'D-1 Off Site Habitat Baseline'!$D$1:$O$258,9,FALSE))))</f>
        <v/>
      </c>
      <c r="L38" s="520" t="str">
        <f>IF(E38="","",IF(ISNA(VLOOKUP($E38,'D-1 Off Site Habitat Baseline'!$D$1:$O$258,11,FALSE)),"",(VLOOKUP($E38,'D-1 Off Site Habitat Baseline'!$D$1:$O$258,11,FALSE))))</f>
        <v/>
      </c>
      <c r="M38" s="520" t="str">
        <f>IF(E38="","",IF(ISNA(VLOOKUP($E38,'D-1 Off Site Habitat Baseline'!$D$1:$O$258,12,FALSE)),"",(VLOOKUP($E38,'D-1 Off Site Habitat Baseline'!$D$1:$O$258,12,FALSE))))</f>
        <v/>
      </c>
      <c r="N38" s="520" t="str">
        <f>IF(E38="","",IF(ISNA(VLOOKUP($E38,'D-1 Off Site Habitat Baseline'!$D$1:$X$258,14,FALSE)),"",(VLOOKUP($E38,'D-1 Off Site Habitat Baseline'!$D$1:$X$258,14,FALSE))))</f>
        <v/>
      </c>
      <c r="O38" s="524" t="str">
        <f>IF(E38="","",IF(ISNA(VLOOKUP($E38,'D-1 Off Site Habitat Baseline'!$D$1:$X$258,13,FALSE)),"",(VLOOKUP($E38,'D-1 Off Site Habitat Baseline'!$D$1:$X$258,13,FALSE))))</f>
        <v/>
      </c>
      <c r="P38" s="232" t="str">
        <f>IFERROR(INDEX('G-1 All Habitats'!$AG$3:$AG$15,MATCH(Q38,'G-1 All Habitats'!$AF$3:$AF$15,0)),"")</f>
        <v/>
      </c>
      <c r="Q38" s="228" t="str">
        <f t="shared" si="12"/>
        <v/>
      </c>
      <c r="R38" s="229" t="str">
        <f t="shared" si="13"/>
        <v/>
      </c>
      <c r="S38" s="233" t="str">
        <f>IFERROR(INDEX('G-1 All Habitats'!$B$3:$B$129,MATCH(R38,'G-1 All Habitats'!$A$3:$A$129,0)),"")</f>
        <v/>
      </c>
      <c r="T38" s="507" t="str">
        <f t="shared" si="5"/>
        <v/>
      </c>
      <c r="U38" s="524" t="str">
        <f t="shared" si="6"/>
        <v/>
      </c>
      <c r="V38" s="523" t="str">
        <f t="shared" si="2"/>
        <v/>
      </c>
      <c r="W38" s="520" t="str">
        <f>IF(S38="","",VLOOKUP(S38,'G-1 All Habitats'!$B$2:$M$129,10,FALSE))</f>
        <v/>
      </c>
      <c r="X38" s="520" t="str">
        <f>IFERROR(VLOOKUP(W38,'G-1 All Habitats'!$V$3:$W$7,2,FALSE),"")</f>
        <v/>
      </c>
      <c r="Y38" s="203"/>
      <c r="Z38" s="524" t="str">
        <f>IFERROR(INDEX('G-8 Condition Look up'!$A$3:$H$130,MATCH(S38,'G-8 Condition Look up'!$A$3:$A$130,0),MATCH(Y38,'G-8 Condition Look up'!$A$3:$H$3,0)),"")</f>
        <v/>
      </c>
      <c r="AA38" s="145"/>
      <c r="AB38" s="540" t="str">
        <f>IF(AA38="","",IF(VLOOKUP(AA38,'G-3 Multipliers'!$L$3:$N$6,2,FALSE)=0,"Spatial Data Missing ⚠",VLOOKUP(AA38,'G-3 Multipliers'!$L$3:$N$6,2,FALSE)))</f>
        <v/>
      </c>
      <c r="AC38" s="524" t="str">
        <f>IF(AA38="","",IF(VLOOKUP(AA38,'G-3 Multipliers'!$L$3:$N$6,3,FALSE)=0,"Spatial Data Missing ⚠",VLOOKUP(AA38,'G-3 Multipliers'!$L$3:$N$6,3,FALSE)))</f>
        <v/>
      </c>
      <c r="AD38" s="537" t="str">
        <f t="shared" si="3"/>
        <v/>
      </c>
      <c r="AE38" s="203"/>
      <c r="AF38" s="203"/>
      <c r="AG38" s="520" t="str">
        <f t="shared" si="7"/>
        <v/>
      </c>
      <c r="AH38" s="544" t="str">
        <f t="shared" si="8"/>
        <v/>
      </c>
      <c r="AI38" s="525" t="str">
        <f>IF(AH38="Check Data ⚠","Check Data ⚠",IFERROR(VLOOKUP(AH38,'G-4 Temporal multipliers'!$A$4:$C$36,3,FALSE),""))</f>
        <v/>
      </c>
      <c r="AJ38" s="537" t="str">
        <f>IF(S38="","",VLOOKUP(S38,'G-3 Multipliers'!$A$2:$E$129,4,FALSE))</f>
        <v/>
      </c>
      <c r="AK38" s="520" t="str">
        <f t="shared" si="9"/>
        <v/>
      </c>
      <c r="AL38" s="520" t="str">
        <f t="shared" si="10"/>
        <v/>
      </c>
      <c r="AM38" s="524" t="str">
        <f>IFERROR(IF(F38="","",IF(AH38="Check Data ⚠","Check Data ⚠",VLOOKUP(AL38, 'G-3 Multipliers'!$P$2:$Q$6,2,FALSE))),"")</f>
        <v/>
      </c>
      <c r="AN38" s="197"/>
      <c r="AO38" s="540" t="str">
        <f>IF(AN38="","",IF(VLOOKUP(AN38,'G-3 Multipliers'!$S$3:$T$9,2,FALSE)=0,"Spatial Data Missing ⚠",VLOOKUP(AN38,'G-3 Multipliers'!$S$3:$T$9,2,FALSE)))</f>
        <v/>
      </c>
      <c r="AP38" s="513" t="str">
        <f t="shared" si="11"/>
        <v/>
      </c>
      <c r="AQ38" s="231"/>
      <c r="AR38" s="150"/>
    </row>
    <row r="39" spans="1:44" x14ac:dyDescent="0.25">
      <c r="A39" s="31" t="str">
        <f>IF(E39="","",IF(ISNA(VLOOKUP($E39,'D-1 Off Site Habitat Baseline'!$D$1:$O$258,2,FALSE)),"",(VLOOKUP($E39,'D-1 Off Site Habitat Baseline'!$D$1:$O$258,2,FALSE))))</f>
        <v/>
      </c>
      <c r="B39" s="31" t="str">
        <f>IF(E39="","",IF(ISNA(VLOOKUP($E39,'D-1 Off Site Habitat Baseline'!$D$1:$O$258,3,FALSE)),"",(VLOOKUP($E39,'D-1 Off Site Habitat Baseline'!$D$1:$O$258,3,FALSE))))</f>
        <v/>
      </c>
      <c r="C39" s="31" t="str">
        <f>IFERROR(INDEX('G-8 Condition Look up'!$I$4:$I$130,MATCH(S39,'G-8 Condition Look up'!$A$4:$A$130,0)),"")</f>
        <v/>
      </c>
      <c r="E39" s="547" t="str">
        <f>'D-1 Off Site Habitat Baseline'!AL38</f>
        <v/>
      </c>
      <c r="F39" s="520" t="str">
        <f>IF(E39="","",IF(ISNA(VLOOKUP($E39,'D-1 Off Site Habitat Baseline'!$D$1:$O$258,4,FALSE)),"",(VLOOKUP($E39,'D-1 Off Site Habitat Baseline'!$D$1:$O$258,4,FALSE))))</f>
        <v/>
      </c>
      <c r="G39" s="520" t="str">
        <f>IF(E39="","",IF(ISNA(VLOOKUP($E39,'D-1 Off Site Habitat Baseline'!$D$1:$O$258,5,FALSE)),"",(VLOOKUP($E39,'D-1 Off Site Habitat Baseline'!$D$1:$O$258,5,FALSE))))</f>
        <v/>
      </c>
      <c r="H39" s="520" t="str">
        <f>IF(E39="","",IF(ISNA(VLOOKUP($E39,'D-1 Off Site Habitat Baseline'!$D$1:$O$258,6,FALSE)),"",(VLOOKUP($E39,'D-1 Off Site Habitat Baseline'!$D$1:$O$258,6,FALSE))))</f>
        <v/>
      </c>
      <c r="I39" s="520" t="str">
        <f>IF(E39="","",IF(ISNA(VLOOKUP($E39,'D-1 Off Site Habitat Baseline'!$D$1:$O$258,7,FALSE)),"",(VLOOKUP($E39,'D-1 Off Site Habitat Baseline'!$D$1:$O$258,7,FALSE))))</f>
        <v/>
      </c>
      <c r="J39" s="520" t="str">
        <f>IF(E39="","",IF(ISNA(VLOOKUP($E39,'D-1 Off Site Habitat Baseline'!$D$1:$O$258,8,FALSE)),"",(VLOOKUP($E39,'D-1 Off Site Habitat Baseline'!$D$1:$O$258,8,FALSE))))</f>
        <v/>
      </c>
      <c r="K39" s="520" t="str">
        <f>IF(E39="","",IF(ISNA(VLOOKUP($E39,'D-1 Off Site Habitat Baseline'!$D$1:$O$258,9,FALSE)),"",(VLOOKUP($E39,'D-1 Off Site Habitat Baseline'!$D$1:$O$258,9,FALSE))))</f>
        <v/>
      </c>
      <c r="L39" s="520" t="str">
        <f>IF(E39="","",IF(ISNA(VLOOKUP($E39,'D-1 Off Site Habitat Baseline'!$D$1:$O$258,11,FALSE)),"",(VLOOKUP($E39,'D-1 Off Site Habitat Baseline'!$D$1:$O$258,11,FALSE))))</f>
        <v/>
      </c>
      <c r="M39" s="520" t="str">
        <f>IF(E39="","",IF(ISNA(VLOOKUP($E39,'D-1 Off Site Habitat Baseline'!$D$1:$O$258,12,FALSE)),"",(VLOOKUP($E39,'D-1 Off Site Habitat Baseline'!$D$1:$O$258,12,FALSE))))</f>
        <v/>
      </c>
      <c r="N39" s="520" t="str">
        <f>IF(E39="","",IF(ISNA(VLOOKUP($E39,'D-1 Off Site Habitat Baseline'!$D$1:$X$258,14,FALSE)),"",(VLOOKUP($E39,'D-1 Off Site Habitat Baseline'!$D$1:$X$258,14,FALSE))))</f>
        <v/>
      </c>
      <c r="O39" s="524" t="str">
        <f>IF(E39="","",IF(ISNA(VLOOKUP($E39,'D-1 Off Site Habitat Baseline'!$D$1:$X$258,13,FALSE)),"",(VLOOKUP($E39,'D-1 Off Site Habitat Baseline'!$D$1:$X$258,13,FALSE))))</f>
        <v/>
      </c>
      <c r="P39" s="232" t="str">
        <f>IFERROR(INDEX('G-1 All Habitats'!$AG$3:$AG$15,MATCH(Q39,'G-1 All Habitats'!$AF$3:$AF$15,0)),"")</f>
        <v/>
      </c>
      <c r="Q39" s="228" t="str">
        <f t="shared" si="12"/>
        <v/>
      </c>
      <c r="R39" s="229" t="str">
        <f t="shared" si="13"/>
        <v/>
      </c>
      <c r="S39" s="233" t="str">
        <f>IFERROR(INDEX('G-1 All Habitats'!$B$3:$B$129,MATCH(R39,'G-1 All Habitats'!$A$3:$A$129,0)),"")</f>
        <v/>
      </c>
      <c r="T39" s="507" t="str">
        <f t="shared" si="5"/>
        <v/>
      </c>
      <c r="U39" s="524" t="str">
        <f t="shared" si="6"/>
        <v/>
      </c>
      <c r="V39" s="523" t="str">
        <f t="shared" si="2"/>
        <v/>
      </c>
      <c r="W39" s="520" t="str">
        <f>IF(S39="","",VLOOKUP(S39,'G-1 All Habitats'!$B$2:$M$129,10,FALSE))</f>
        <v/>
      </c>
      <c r="X39" s="520" t="str">
        <f>IFERROR(VLOOKUP(W39,'G-1 All Habitats'!$V$3:$W$7,2,FALSE),"")</f>
        <v/>
      </c>
      <c r="Y39" s="203"/>
      <c r="Z39" s="524" t="str">
        <f>IFERROR(INDEX('G-8 Condition Look up'!$A$3:$H$130,MATCH(S39,'G-8 Condition Look up'!$A$3:$A$130,0),MATCH(Y39,'G-8 Condition Look up'!$A$3:$H$3,0)),"")</f>
        <v/>
      </c>
      <c r="AA39" s="145"/>
      <c r="AB39" s="540" t="str">
        <f>IF(AA39="","",IF(VLOOKUP(AA39,'G-3 Multipliers'!$L$3:$N$6,2,FALSE)=0,"Spatial Data Missing ⚠",VLOOKUP(AA39,'G-3 Multipliers'!$L$3:$N$6,2,FALSE)))</f>
        <v/>
      </c>
      <c r="AC39" s="524" t="str">
        <f>IF(AA39="","",IF(VLOOKUP(AA39,'G-3 Multipliers'!$L$3:$N$6,3,FALSE)=0,"Spatial Data Missing ⚠",VLOOKUP(AA39,'G-3 Multipliers'!$L$3:$N$6,3,FALSE)))</f>
        <v/>
      </c>
      <c r="AD39" s="537" t="str">
        <f t="shared" si="3"/>
        <v/>
      </c>
      <c r="AE39" s="203"/>
      <c r="AF39" s="203"/>
      <c r="AG39" s="520" t="str">
        <f t="shared" si="7"/>
        <v/>
      </c>
      <c r="AH39" s="544" t="str">
        <f t="shared" si="8"/>
        <v/>
      </c>
      <c r="AI39" s="525" t="str">
        <f>IF(AH39="Check Data ⚠","Check Data ⚠",IFERROR(VLOOKUP(AH39,'G-4 Temporal multipliers'!$A$4:$C$36,3,FALSE),""))</f>
        <v/>
      </c>
      <c r="AJ39" s="537" t="str">
        <f>IF(S39="","",VLOOKUP(S39,'G-3 Multipliers'!$A$2:$E$129,4,FALSE))</f>
        <v/>
      </c>
      <c r="AK39" s="520" t="str">
        <f t="shared" si="9"/>
        <v/>
      </c>
      <c r="AL39" s="520" t="str">
        <f t="shared" si="10"/>
        <v/>
      </c>
      <c r="AM39" s="524" t="str">
        <f>IFERROR(IF(F39="","",IF(AH39="Check Data ⚠","Check Data ⚠",VLOOKUP(AL39, 'G-3 Multipliers'!$P$2:$Q$6,2,FALSE))),"")</f>
        <v/>
      </c>
      <c r="AN39" s="197"/>
      <c r="AO39" s="540" t="str">
        <f>IF(AN39="","",IF(VLOOKUP(AN39,'G-3 Multipliers'!$S$3:$T$9,2,FALSE)=0,"Spatial Data Missing ⚠",VLOOKUP(AN39,'G-3 Multipliers'!$S$3:$T$9,2,FALSE)))</f>
        <v/>
      </c>
      <c r="AP39" s="513" t="str">
        <f t="shared" si="11"/>
        <v/>
      </c>
      <c r="AQ39" s="231"/>
      <c r="AR39" s="150"/>
    </row>
    <row r="40" spans="1:44" x14ac:dyDescent="0.25">
      <c r="A40" s="31" t="str">
        <f>IF(E40="","",IF(ISNA(VLOOKUP($E40,'D-1 Off Site Habitat Baseline'!$D$1:$O$258,2,FALSE)),"",(VLOOKUP($E40,'D-1 Off Site Habitat Baseline'!$D$1:$O$258,2,FALSE))))</f>
        <v/>
      </c>
      <c r="B40" s="31" t="str">
        <f>IF(E40="","",IF(ISNA(VLOOKUP($E40,'D-1 Off Site Habitat Baseline'!$D$1:$O$258,3,FALSE)),"",(VLOOKUP($E40,'D-1 Off Site Habitat Baseline'!$D$1:$O$258,3,FALSE))))</f>
        <v/>
      </c>
      <c r="C40" s="31" t="str">
        <f>IFERROR(INDEX('G-8 Condition Look up'!$I$4:$I$130,MATCH(S40,'G-8 Condition Look up'!$A$4:$A$130,0)),"")</f>
        <v/>
      </c>
      <c r="E40" s="547" t="str">
        <f>'D-1 Off Site Habitat Baseline'!AL39</f>
        <v/>
      </c>
      <c r="F40" s="520" t="str">
        <f>IF(E40="","",IF(ISNA(VLOOKUP($E40,'D-1 Off Site Habitat Baseline'!$D$1:$O$258,4,FALSE)),"",(VLOOKUP($E40,'D-1 Off Site Habitat Baseline'!$D$1:$O$258,4,FALSE))))</f>
        <v/>
      </c>
      <c r="G40" s="520" t="str">
        <f>IF(E40="","",IF(ISNA(VLOOKUP($E40,'D-1 Off Site Habitat Baseline'!$D$1:$O$258,5,FALSE)),"",(VLOOKUP($E40,'D-1 Off Site Habitat Baseline'!$D$1:$O$258,5,FALSE))))</f>
        <v/>
      </c>
      <c r="H40" s="520" t="str">
        <f>IF(E40="","",IF(ISNA(VLOOKUP($E40,'D-1 Off Site Habitat Baseline'!$D$1:$O$258,6,FALSE)),"",(VLOOKUP($E40,'D-1 Off Site Habitat Baseline'!$D$1:$O$258,6,FALSE))))</f>
        <v/>
      </c>
      <c r="I40" s="520" t="str">
        <f>IF(E40="","",IF(ISNA(VLOOKUP($E40,'D-1 Off Site Habitat Baseline'!$D$1:$O$258,7,FALSE)),"",(VLOOKUP($E40,'D-1 Off Site Habitat Baseline'!$D$1:$O$258,7,FALSE))))</f>
        <v/>
      </c>
      <c r="J40" s="520" t="str">
        <f>IF(E40="","",IF(ISNA(VLOOKUP($E40,'D-1 Off Site Habitat Baseline'!$D$1:$O$258,8,FALSE)),"",(VLOOKUP($E40,'D-1 Off Site Habitat Baseline'!$D$1:$O$258,8,FALSE))))</f>
        <v/>
      </c>
      <c r="K40" s="520" t="str">
        <f>IF(E40="","",IF(ISNA(VLOOKUP($E40,'D-1 Off Site Habitat Baseline'!$D$1:$O$258,9,FALSE)),"",(VLOOKUP($E40,'D-1 Off Site Habitat Baseline'!$D$1:$O$258,9,FALSE))))</f>
        <v/>
      </c>
      <c r="L40" s="520" t="str">
        <f>IF(E40="","",IF(ISNA(VLOOKUP($E40,'D-1 Off Site Habitat Baseline'!$D$1:$O$258,11,FALSE)),"",(VLOOKUP($E40,'D-1 Off Site Habitat Baseline'!$D$1:$O$258,11,FALSE))))</f>
        <v/>
      </c>
      <c r="M40" s="520" t="str">
        <f>IF(E40="","",IF(ISNA(VLOOKUP($E40,'D-1 Off Site Habitat Baseline'!$D$1:$O$258,12,FALSE)),"",(VLOOKUP($E40,'D-1 Off Site Habitat Baseline'!$D$1:$O$258,12,FALSE))))</f>
        <v/>
      </c>
      <c r="N40" s="520" t="str">
        <f>IF(E40="","",IF(ISNA(VLOOKUP($E40,'D-1 Off Site Habitat Baseline'!$D$1:$X$258,14,FALSE)),"",(VLOOKUP($E40,'D-1 Off Site Habitat Baseline'!$D$1:$X$258,14,FALSE))))</f>
        <v/>
      </c>
      <c r="O40" s="524" t="str">
        <f>IF(E40="","",IF(ISNA(VLOOKUP($E40,'D-1 Off Site Habitat Baseline'!$D$1:$X$258,13,FALSE)),"",(VLOOKUP($E40,'D-1 Off Site Habitat Baseline'!$D$1:$X$258,13,FALSE))))</f>
        <v/>
      </c>
      <c r="P40" s="232" t="str">
        <f>IFERROR(INDEX('G-1 All Habitats'!$AG$3:$AG$15,MATCH(Q40,'G-1 All Habitats'!$AF$3:$AF$15,0)),"")</f>
        <v/>
      </c>
      <c r="Q40" s="228" t="str">
        <f t="shared" si="12"/>
        <v/>
      </c>
      <c r="R40" s="229" t="str">
        <f t="shared" si="13"/>
        <v/>
      </c>
      <c r="S40" s="233" t="str">
        <f>IFERROR(INDEX('G-1 All Habitats'!$B$3:$B$129,MATCH(R40,'G-1 All Habitats'!$A$3:$A$129,0)),"")</f>
        <v/>
      </c>
      <c r="T40" s="507" t="str">
        <f t="shared" si="5"/>
        <v/>
      </c>
      <c r="U40" s="524" t="str">
        <f t="shared" si="6"/>
        <v/>
      </c>
      <c r="V40" s="523" t="str">
        <f t="shared" si="2"/>
        <v/>
      </c>
      <c r="W40" s="520" t="str">
        <f>IF(S40="","",VLOOKUP(S40,'G-1 All Habitats'!$B$2:$M$129,10,FALSE))</f>
        <v/>
      </c>
      <c r="X40" s="520" t="str">
        <f>IFERROR(VLOOKUP(W40,'G-1 All Habitats'!$V$3:$W$7,2,FALSE),"")</f>
        <v/>
      </c>
      <c r="Y40" s="203"/>
      <c r="Z40" s="524" t="str">
        <f>IFERROR(INDEX('G-8 Condition Look up'!$A$3:$H$130,MATCH(S40,'G-8 Condition Look up'!$A$3:$A$130,0),MATCH(Y40,'G-8 Condition Look up'!$A$3:$H$3,0)),"")</f>
        <v/>
      </c>
      <c r="AA40" s="145"/>
      <c r="AB40" s="540" t="str">
        <f>IF(AA40="","",IF(VLOOKUP(AA40,'G-3 Multipliers'!$L$3:$N$6,2,FALSE)=0,"Spatial Data Missing ⚠",VLOOKUP(AA40,'G-3 Multipliers'!$L$3:$N$6,2,FALSE)))</f>
        <v/>
      </c>
      <c r="AC40" s="524" t="str">
        <f>IF(AA40="","",IF(VLOOKUP(AA40,'G-3 Multipliers'!$L$3:$N$6,3,FALSE)=0,"Spatial Data Missing ⚠",VLOOKUP(AA40,'G-3 Multipliers'!$L$3:$N$6,3,FALSE)))</f>
        <v/>
      </c>
      <c r="AD40" s="537" t="str">
        <f t="shared" si="3"/>
        <v/>
      </c>
      <c r="AE40" s="203"/>
      <c r="AF40" s="203"/>
      <c r="AG40" s="520" t="str">
        <f t="shared" si="7"/>
        <v/>
      </c>
      <c r="AH40" s="544" t="str">
        <f t="shared" si="8"/>
        <v/>
      </c>
      <c r="AI40" s="525" t="str">
        <f>IF(AH40="Check Data ⚠","Check Data ⚠",IFERROR(VLOOKUP(AH40,'G-4 Temporal multipliers'!$A$4:$C$36,3,FALSE),""))</f>
        <v/>
      </c>
      <c r="AJ40" s="537" t="str">
        <f>IF(S40="","",VLOOKUP(S40,'G-3 Multipliers'!$A$2:$E$129,4,FALSE))</f>
        <v/>
      </c>
      <c r="AK40" s="520" t="str">
        <f t="shared" si="9"/>
        <v/>
      </c>
      <c r="AL40" s="520" t="str">
        <f t="shared" si="10"/>
        <v/>
      </c>
      <c r="AM40" s="524" t="str">
        <f>IFERROR(IF(F40="","",IF(AH40="Check Data ⚠","Check Data ⚠",VLOOKUP(AL40, 'G-3 Multipliers'!$P$2:$Q$6,2,FALSE))),"")</f>
        <v/>
      </c>
      <c r="AN40" s="197"/>
      <c r="AO40" s="540" t="str">
        <f>IF(AN40="","",IF(VLOOKUP(AN40,'G-3 Multipliers'!$S$3:$T$9,2,FALSE)=0,"Spatial Data Missing ⚠",VLOOKUP(AN40,'G-3 Multipliers'!$S$3:$T$9,2,FALSE)))</f>
        <v/>
      </c>
      <c r="AP40" s="513" t="str">
        <f t="shared" si="11"/>
        <v/>
      </c>
      <c r="AQ40" s="231"/>
      <c r="AR40" s="150"/>
    </row>
    <row r="41" spans="1:44" x14ac:dyDescent="0.25">
      <c r="A41" s="31" t="str">
        <f>IF(E41="","",IF(ISNA(VLOOKUP($E41,'D-1 Off Site Habitat Baseline'!$D$1:$O$258,2,FALSE)),"",(VLOOKUP($E41,'D-1 Off Site Habitat Baseline'!$D$1:$O$258,2,FALSE))))</f>
        <v/>
      </c>
      <c r="B41" s="31" t="str">
        <f>IF(E41="","",IF(ISNA(VLOOKUP($E41,'D-1 Off Site Habitat Baseline'!$D$1:$O$258,3,FALSE)),"",(VLOOKUP($E41,'D-1 Off Site Habitat Baseline'!$D$1:$O$258,3,FALSE))))</f>
        <v/>
      </c>
      <c r="C41" s="31" t="str">
        <f>IFERROR(INDEX('G-8 Condition Look up'!$I$4:$I$130,MATCH(S41,'G-8 Condition Look up'!$A$4:$A$130,0)),"")</f>
        <v/>
      </c>
      <c r="E41" s="547" t="str">
        <f>'D-1 Off Site Habitat Baseline'!AL40</f>
        <v/>
      </c>
      <c r="F41" s="520" t="str">
        <f>IF(E41="","",IF(ISNA(VLOOKUP($E41,'D-1 Off Site Habitat Baseline'!$D$1:$O$258,4,FALSE)),"",(VLOOKUP($E41,'D-1 Off Site Habitat Baseline'!$D$1:$O$258,4,FALSE))))</f>
        <v/>
      </c>
      <c r="G41" s="520" t="str">
        <f>IF(E41="","",IF(ISNA(VLOOKUP($E41,'D-1 Off Site Habitat Baseline'!$D$1:$O$258,5,FALSE)),"",(VLOOKUP($E41,'D-1 Off Site Habitat Baseline'!$D$1:$O$258,5,FALSE))))</f>
        <v/>
      </c>
      <c r="H41" s="520" t="str">
        <f>IF(E41="","",IF(ISNA(VLOOKUP($E41,'D-1 Off Site Habitat Baseline'!$D$1:$O$258,6,FALSE)),"",(VLOOKUP($E41,'D-1 Off Site Habitat Baseline'!$D$1:$O$258,6,FALSE))))</f>
        <v/>
      </c>
      <c r="I41" s="520" t="str">
        <f>IF(E41="","",IF(ISNA(VLOOKUP($E41,'D-1 Off Site Habitat Baseline'!$D$1:$O$258,7,FALSE)),"",(VLOOKUP($E41,'D-1 Off Site Habitat Baseline'!$D$1:$O$258,7,FALSE))))</f>
        <v/>
      </c>
      <c r="J41" s="520" t="str">
        <f>IF(E41="","",IF(ISNA(VLOOKUP($E41,'D-1 Off Site Habitat Baseline'!$D$1:$O$258,8,FALSE)),"",(VLOOKUP($E41,'D-1 Off Site Habitat Baseline'!$D$1:$O$258,8,FALSE))))</f>
        <v/>
      </c>
      <c r="K41" s="520" t="str">
        <f>IF(E41="","",IF(ISNA(VLOOKUP($E41,'D-1 Off Site Habitat Baseline'!$D$1:$O$258,9,FALSE)),"",(VLOOKUP($E41,'D-1 Off Site Habitat Baseline'!$D$1:$O$258,9,FALSE))))</f>
        <v/>
      </c>
      <c r="L41" s="520" t="str">
        <f>IF(E41="","",IF(ISNA(VLOOKUP($E41,'D-1 Off Site Habitat Baseline'!$D$1:$O$258,11,FALSE)),"",(VLOOKUP($E41,'D-1 Off Site Habitat Baseline'!$D$1:$O$258,11,FALSE))))</f>
        <v/>
      </c>
      <c r="M41" s="520" t="str">
        <f>IF(E41="","",IF(ISNA(VLOOKUP($E41,'D-1 Off Site Habitat Baseline'!$D$1:$O$258,12,FALSE)),"",(VLOOKUP($E41,'D-1 Off Site Habitat Baseline'!$D$1:$O$258,12,FALSE))))</f>
        <v/>
      </c>
      <c r="N41" s="520" t="str">
        <f>IF(E41="","",IF(ISNA(VLOOKUP($E41,'D-1 Off Site Habitat Baseline'!$D$1:$X$258,14,FALSE)),"",(VLOOKUP($E41,'D-1 Off Site Habitat Baseline'!$D$1:$X$258,14,FALSE))))</f>
        <v/>
      </c>
      <c r="O41" s="524" t="str">
        <f>IF(E41="","",IF(ISNA(VLOOKUP($E41,'D-1 Off Site Habitat Baseline'!$D$1:$X$258,13,FALSE)),"",(VLOOKUP($E41,'D-1 Off Site Habitat Baseline'!$D$1:$X$258,13,FALSE))))</f>
        <v/>
      </c>
      <c r="P41" s="232" t="str">
        <f>IFERROR(INDEX('G-1 All Habitats'!$AG$3:$AG$15,MATCH(Q41,'G-1 All Habitats'!$AF$3:$AF$15,0)),"")</f>
        <v/>
      </c>
      <c r="Q41" s="228" t="str">
        <f t="shared" si="12"/>
        <v/>
      </c>
      <c r="R41" s="229" t="str">
        <f t="shared" si="13"/>
        <v/>
      </c>
      <c r="S41" s="233" t="str">
        <f>IFERROR(INDEX('G-1 All Habitats'!$B$3:$B$129,MATCH(R41,'G-1 All Habitats'!$A$3:$A$129,0)),"")</f>
        <v/>
      </c>
      <c r="T41" s="507" t="str">
        <f t="shared" si="5"/>
        <v/>
      </c>
      <c r="U41" s="524" t="str">
        <f t="shared" si="6"/>
        <v/>
      </c>
      <c r="V41" s="523" t="str">
        <f t="shared" si="2"/>
        <v/>
      </c>
      <c r="W41" s="520" t="str">
        <f>IF(S41="","",VLOOKUP(S41,'G-1 All Habitats'!$B$2:$M$129,10,FALSE))</f>
        <v/>
      </c>
      <c r="X41" s="520" t="str">
        <f>IFERROR(VLOOKUP(W41,'G-1 All Habitats'!$V$3:$W$7,2,FALSE),"")</f>
        <v/>
      </c>
      <c r="Y41" s="203"/>
      <c r="Z41" s="524" t="str">
        <f>IFERROR(INDEX('G-8 Condition Look up'!$A$3:$H$130,MATCH(S41,'G-8 Condition Look up'!$A$3:$A$130,0),MATCH(Y41,'G-8 Condition Look up'!$A$3:$H$3,0)),"")</f>
        <v/>
      </c>
      <c r="AA41" s="145"/>
      <c r="AB41" s="540" t="str">
        <f>IF(AA41="","",IF(VLOOKUP(AA41,'G-3 Multipliers'!$L$3:$N$6,2,FALSE)=0,"Spatial Data Missing ⚠",VLOOKUP(AA41,'G-3 Multipliers'!$L$3:$N$6,2,FALSE)))</f>
        <v/>
      </c>
      <c r="AC41" s="524" t="str">
        <f>IF(AA41="","",IF(VLOOKUP(AA41,'G-3 Multipliers'!$L$3:$N$6,3,FALSE)=0,"Spatial Data Missing ⚠",VLOOKUP(AA41,'G-3 Multipliers'!$L$3:$N$6,3,FALSE)))</f>
        <v/>
      </c>
      <c r="AD41" s="537" t="str">
        <f t="shared" si="3"/>
        <v/>
      </c>
      <c r="AE41" s="203"/>
      <c r="AF41" s="203"/>
      <c r="AG41" s="520" t="str">
        <f t="shared" si="7"/>
        <v/>
      </c>
      <c r="AH41" s="544" t="str">
        <f t="shared" si="8"/>
        <v/>
      </c>
      <c r="AI41" s="525" t="str">
        <f>IF(AH41="Check Data ⚠","Check Data ⚠",IFERROR(VLOOKUP(AH41,'G-4 Temporal multipliers'!$A$4:$C$36,3,FALSE),""))</f>
        <v/>
      </c>
      <c r="AJ41" s="537" t="str">
        <f>IF(S41="","",VLOOKUP(S41,'G-3 Multipliers'!$A$2:$E$129,4,FALSE))</f>
        <v/>
      </c>
      <c r="AK41" s="520" t="str">
        <f t="shared" si="9"/>
        <v/>
      </c>
      <c r="AL41" s="520" t="str">
        <f t="shared" si="10"/>
        <v/>
      </c>
      <c r="AM41" s="524" t="str">
        <f>IFERROR(IF(F41="","",IF(AH41="Check Data ⚠","Check Data ⚠",VLOOKUP(AL41, 'G-3 Multipliers'!$P$2:$Q$6,2,FALSE))),"")</f>
        <v/>
      </c>
      <c r="AN41" s="197"/>
      <c r="AO41" s="540" t="str">
        <f>IF(AN41="","",IF(VLOOKUP(AN41,'G-3 Multipliers'!$S$3:$T$9,2,FALSE)=0,"Spatial Data Missing ⚠",VLOOKUP(AN41,'G-3 Multipliers'!$S$3:$T$9,2,FALSE)))</f>
        <v/>
      </c>
      <c r="AP41" s="513" t="str">
        <f t="shared" si="11"/>
        <v/>
      </c>
      <c r="AQ41" s="231"/>
      <c r="AR41" s="150"/>
    </row>
    <row r="42" spans="1:44" x14ac:dyDescent="0.25">
      <c r="A42" s="31" t="str">
        <f>IF(E42="","",IF(ISNA(VLOOKUP($E42,'D-1 Off Site Habitat Baseline'!$D$1:$O$258,2,FALSE)),"",(VLOOKUP($E42,'D-1 Off Site Habitat Baseline'!$D$1:$O$258,2,FALSE))))</f>
        <v/>
      </c>
      <c r="B42" s="31" t="str">
        <f>IF(E42="","",IF(ISNA(VLOOKUP($E42,'D-1 Off Site Habitat Baseline'!$D$1:$O$258,3,FALSE)),"",(VLOOKUP($E42,'D-1 Off Site Habitat Baseline'!$D$1:$O$258,3,FALSE))))</f>
        <v/>
      </c>
      <c r="C42" s="31" t="str">
        <f>IFERROR(INDEX('G-8 Condition Look up'!$I$4:$I$130,MATCH(S42,'G-8 Condition Look up'!$A$4:$A$130,0)),"")</f>
        <v/>
      </c>
      <c r="E42" s="547" t="str">
        <f>'D-1 Off Site Habitat Baseline'!AL41</f>
        <v/>
      </c>
      <c r="F42" s="520" t="str">
        <f>IF(E42="","",IF(ISNA(VLOOKUP($E42,'D-1 Off Site Habitat Baseline'!$D$1:$O$258,4,FALSE)),"",(VLOOKUP($E42,'D-1 Off Site Habitat Baseline'!$D$1:$O$258,4,FALSE))))</f>
        <v/>
      </c>
      <c r="G42" s="520" t="str">
        <f>IF(E42="","",IF(ISNA(VLOOKUP($E42,'D-1 Off Site Habitat Baseline'!$D$1:$O$258,5,FALSE)),"",(VLOOKUP($E42,'D-1 Off Site Habitat Baseline'!$D$1:$O$258,5,FALSE))))</f>
        <v/>
      </c>
      <c r="H42" s="520" t="str">
        <f>IF(E42="","",IF(ISNA(VLOOKUP($E42,'D-1 Off Site Habitat Baseline'!$D$1:$O$258,6,FALSE)),"",(VLOOKUP($E42,'D-1 Off Site Habitat Baseline'!$D$1:$O$258,6,FALSE))))</f>
        <v/>
      </c>
      <c r="I42" s="520" t="str">
        <f>IF(E42="","",IF(ISNA(VLOOKUP($E42,'D-1 Off Site Habitat Baseline'!$D$1:$O$258,7,FALSE)),"",(VLOOKUP($E42,'D-1 Off Site Habitat Baseline'!$D$1:$O$258,7,FALSE))))</f>
        <v/>
      </c>
      <c r="J42" s="520" t="str">
        <f>IF(E42="","",IF(ISNA(VLOOKUP($E42,'D-1 Off Site Habitat Baseline'!$D$1:$O$258,8,FALSE)),"",(VLOOKUP($E42,'D-1 Off Site Habitat Baseline'!$D$1:$O$258,8,FALSE))))</f>
        <v/>
      </c>
      <c r="K42" s="520" t="str">
        <f>IF(E42="","",IF(ISNA(VLOOKUP($E42,'D-1 Off Site Habitat Baseline'!$D$1:$O$258,9,FALSE)),"",(VLOOKUP($E42,'D-1 Off Site Habitat Baseline'!$D$1:$O$258,9,FALSE))))</f>
        <v/>
      </c>
      <c r="L42" s="520" t="str">
        <f>IF(E42="","",IF(ISNA(VLOOKUP($E42,'D-1 Off Site Habitat Baseline'!$D$1:$O$258,11,FALSE)),"",(VLOOKUP($E42,'D-1 Off Site Habitat Baseline'!$D$1:$O$258,11,FALSE))))</f>
        <v/>
      </c>
      <c r="M42" s="520" t="str">
        <f>IF(E42="","",IF(ISNA(VLOOKUP($E42,'D-1 Off Site Habitat Baseline'!$D$1:$O$258,12,FALSE)),"",(VLOOKUP($E42,'D-1 Off Site Habitat Baseline'!$D$1:$O$258,12,FALSE))))</f>
        <v/>
      </c>
      <c r="N42" s="520" t="str">
        <f>IF(E42="","",IF(ISNA(VLOOKUP($E42,'D-1 Off Site Habitat Baseline'!$D$1:$X$258,14,FALSE)),"",(VLOOKUP($E42,'D-1 Off Site Habitat Baseline'!$D$1:$X$258,14,FALSE))))</f>
        <v/>
      </c>
      <c r="O42" s="524" t="str">
        <f>IF(E42="","",IF(ISNA(VLOOKUP($E42,'D-1 Off Site Habitat Baseline'!$D$1:$X$258,13,FALSE)),"",(VLOOKUP($E42,'D-1 Off Site Habitat Baseline'!$D$1:$X$258,13,FALSE))))</f>
        <v/>
      </c>
      <c r="P42" s="232" t="str">
        <f>IFERROR(INDEX('G-1 All Habitats'!$AG$3:$AG$15,MATCH(Q42,'G-1 All Habitats'!$AF$3:$AF$15,0)),"")</f>
        <v/>
      </c>
      <c r="Q42" s="228" t="str">
        <f t="shared" si="12"/>
        <v/>
      </c>
      <c r="R42" s="229" t="str">
        <f t="shared" si="13"/>
        <v/>
      </c>
      <c r="S42" s="233" t="str">
        <f>IFERROR(INDEX('G-1 All Habitats'!$B$3:$B$129,MATCH(R42,'G-1 All Habitats'!$A$3:$A$129,0)),"")</f>
        <v/>
      </c>
      <c r="T42" s="507" t="str">
        <f t="shared" si="5"/>
        <v/>
      </c>
      <c r="U42" s="524" t="str">
        <f t="shared" si="6"/>
        <v/>
      </c>
      <c r="V42" s="523" t="str">
        <f t="shared" si="2"/>
        <v/>
      </c>
      <c r="W42" s="520" t="str">
        <f>IF(S42="","",VLOOKUP(S42,'G-1 All Habitats'!$B$2:$M$129,10,FALSE))</f>
        <v/>
      </c>
      <c r="X42" s="520" t="str">
        <f>IFERROR(VLOOKUP(W42,'G-1 All Habitats'!$V$3:$W$7,2,FALSE),"")</f>
        <v/>
      </c>
      <c r="Y42" s="203"/>
      <c r="Z42" s="524" t="str">
        <f>IFERROR(INDEX('G-8 Condition Look up'!$A$3:$H$130,MATCH(S42,'G-8 Condition Look up'!$A$3:$A$130,0),MATCH(Y42,'G-8 Condition Look up'!$A$3:$H$3,0)),"")</f>
        <v/>
      </c>
      <c r="AA42" s="145"/>
      <c r="AB42" s="540" t="str">
        <f>IF(AA42="","",IF(VLOOKUP(AA42,'G-3 Multipliers'!$L$3:$N$6,2,FALSE)=0,"Spatial Data Missing ⚠",VLOOKUP(AA42,'G-3 Multipliers'!$L$3:$N$6,2,FALSE)))</f>
        <v/>
      </c>
      <c r="AC42" s="524" t="str">
        <f>IF(AA42="","",IF(VLOOKUP(AA42,'G-3 Multipliers'!$L$3:$N$6,3,FALSE)=0,"Spatial Data Missing ⚠",VLOOKUP(AA42,'G-3 Multipliers'!$L$3:$N$6,3,FALSE)))</f>
        <v/>
      </c>
      <c r="AD42" s="537" t="str">
        <f t="shared" si="3"/>
        <v/>
      </c>
      <c r="AE42" s="203"/>
      <c r="AF42" s="203"/>
      <c r="AG42" s="520" t="str">
        <f t="shared" si="7"/>
        <v/>
      </c>
      <c r="AH42" s="544" t="str">
        <f t="shared" si="8"/>
        <v/>
      </c>
      <c r="AI42" s="525" t="str">
        <f>IF(AH42="Check Data ⚠","Check Data ⚠",IFERROR(VLOOKUP(AH42,'G-4 Temporal multipliers'!$A$4:$C$36,3,FALSE),""))</f>
        <v/>
      </c>
      <c r="AJ42" s="537" t="str">
        <f>IF(S42="","",VLOOKUP(S42,'G-3 Multipliers'!$A$2:$E$129,4,FALSE))</f>
        <v/>
      </c>
      <c r="AK42" s="520" t="str">
        <f t="shared" si="9"/>
        <v/>
      </c>
      <c r="AL42" s="520" t="str">
        <f t="shared" si="10"/>
        <v/>
      </c>
      <c r="AM42" s="524" t="str">
        <f>IFERROR(IF(F42="","",IF(AH42="Check Data ⚠","Check Data ⚠",VLOOKUP(AL42, 'G-3 Multipliers'!$P$2:$Q$6,2,FALSE))),"")</f>
        <v/>
      </c>
      <c r="AN42" s="197"/>
      <c r="AO42" s="540" t="str">
        <f>IF(AN42="","",IF(VLOOKUP(AN42,'G-3 Multipliers'!$S$3:$T$9,2,FALSE)=0,"Spatial Data Missing ⚠",VLOOKUP(AN42,'G-3 Multipliers'!$S$3:$T$9,2,FALSE)))</f>
        <v/>
      </c>
      <c r="AP42" s="513" t="str">
        <f t="shared" si="11"/>
        <v/>
      </c>
      <c r="AQ42" s="231"/>
      <c r="AR42" s="150"/>
    </row>
    <row r="43" spans="1:44" x14ac:dyDescent="0.25">
      <c r="A43" s="31" t="str">
        <f>IF(E43="","",IF(ISNA(VLOOKUP($E43,'D-1 Off Site Habitat Baseline'!$D$1:$O$258,2,FALSE)),"",(VLOOKUP($E43,'D-1 Off Site Habitat Baseline'!$D$1:$O$258,2,FALSE))))</f>
        <v/>
      </c>
      <c r="B43" s="31" t="str">
        <f>IF(E43="","",IF(ISNA(VLOOKUP($E43,'D-1 Off Site Habitat Baseline'!$D$1:$O$258,3,FALSE)),"",(VLOOKUP($E43,'D-1 Off Site Habitat Baseline'!$D$1:$O$258,3,FALSE))))</f>
        <v/>
      </c>
      <c r="C43" s="31" t="str">
        <f>IFERROR(INDEX('G-8 Condition Look up'!$I$4:$I$130,MATCH(S43,'G-8 Condition Look up'!$A$4:$A$130,0)),"")</f>
        <v/>
      </c>
      <c r="E43" s="547" t="str">
        <f>'D-1 Off Site Habitat Baseline'!AL42</f>
        <v/>
      </c>
      <c r="F43" s="520" t="str">
        <f>IF(E43="","",IF(ISNA(VLOOKUP($E43,'D-1 Off Site Habitat Baseline'!$D$1:$O$258,4,FALSE)),"",(VLOOKUP($E43,'D-1 Off Site Habitat Baseline'!$D$1:$O$258,4,FALSE))))</f>
        <v/>
      </c>
      <c r="G43" s="520" t="str">
        <f>IF(E43="","",IF(ISNA(VLOOKUP($E43,'D-1 Off Site Habitat Baseline'!$D$1:$O$258,5,FALSE)),"",(VLOOKUP($E43,'D-1 Off Site Habitat Baseline'!$D$1:$O$258,5,FALSE))))</f>
        <v/>
      </c>
      <c r="H43" s="520" t="str">
        <f>IF(E43="","",IF(ISNA(VLOOKUP($E43,'D-1 Off Site Habitat Baseline'!$D$1:$O$258,6,FALSE)),"",(VLOOKUP($E43,'D-1 Off Site Habitat Baseline'!$D$1:$O$258,6,FALSE))))</f>
        <v/>
      </c>
      <c r="I43" s="520" t="str">
        <f>IF(E43="","",IF(ISNA(VLOOKUP($E43,'D-1 Off Site Habitat Baseline'!$D$1:$O$258,7,FALSE)),"",(VLOOKUP($E43,'D-1 Off Site Habitat Baseline'!$D$1:$O$258,7,FALSE))))</f>
        <v/>
      </c>
      <c r="J43" s="520" t="str">
        <f>IF(E43="","",IF(ISNA(VLOOKUP($E43,'D-1 Off Site Habitat Baseline'!$D$1:$O$258,8,FALSE)),"",(VLOOKUP($E43,'D-1 Off Site Habitat Baseline'!$D$1:$O$258,8,FALSE))))</f>
        <v/>
      </c>
      <c r="K43" s="520" t="str">
        <f>IF(E43="","",IF(ISNA(VLOOKUP($E43,'D-1 Off Site Habitat Baseline'!$D$1:$O$258,9,FALSE)),"",(VLOOKUP($E43,'D-1 Off Site Habitat Baseline'!$D$1:$O$258,9,FALSE))))</f>
        <v/>
      </c>
      <c r="L43" s="520" t="str">
        <f>IF(E43="","",IF(ISNA(VLOOKUP($E43,'D-1 Off Site Habitat Baseline'!$D$1:$O$258,11,FALSE)),"",(VLOOKUP($E43,'D-1 Off Site Habitat Baseline'!$D$1:$O$258,11,FALSE))))</f>
        <v/>
      </c>
      <c r="M43" s="520" t="str">
        <f>IF(E43="","",IF(ISNA(VLOOKUP($E43,'D-1 Off Site Habitat Baseline'!$D$1:$O$258,12,FALSE)),"",(VLOOKUP($E43,'D-1 Off Site Habitat Baseline'!$D$1:$O$258,12,FALSE))))</f>
        <v/>
      </c>
      <c r="N43" s="520" t="str">
        <f>IF(E43="","",IF(ISNA(VLOOKUP($E43,'D-1 Off Site Habitat Baseline'!$D$1:$X$258,14,FALSE)),"",(VLOOKUP($E43,'D-1 Off Site Habitat Baseline'!$D$1:$X$258,14,FALSE))))</f>
        <v/>
      </c>
      <c r="O43" s="524" t="str">
        <f>IF(E43="","",IF(ISNA(VLOOKUP($E43,'D-1 Off Site Habitat Baseline'!$D$1:$X$258,13,FALSE)),"",(VLOOKUP($E43,'D-1 Off Site Habitat Baseline'!$D$1:$X$258,13,FALSE))))</f>
        <v/>
      </c>
      <c r="P43" s="232" t="str">
        <f>IFERROR(INDEX('G-1 All Habitats'!$AG$3:$AG$15,MATCH(Q43,'G-1 All Habitats'!$AF$3:$AF$15,0)),"")</f>
        <v/>
      </c>
      <c r="Q43" s="228" t="str">
        <f t="shared" si="12"/>
        <v/>
      </c>
      <c r="R43" s="229" t="str">
        <f t="shared" si="13"/>
        <v/>
      </c>
      <c r="S43" s="233" t="str">
        <f>IFERROR(INDEX('G-1 All Habitats'!$B$3:$B$129,MATCH(R43,'G-1 All Habitats'!$A$3:$A$129,0)),"")</f>
        <v/>
      </c>
      <c r="T43" s="507" t="str">
        <f t="shared" si="5"/>
        <v/>
      </c>
      <c r="U43" s="524" t="str">
        <f t="shared" si="6"/>
        <v/>
      </c>
      <c r="V43" s="523" t="str">
        <f t="shared" si="2"/>
        <v/>
      </c>
      <c r="W43" s="520" t="str">
        <f>IF(S43="","",VLOOKUP(S43,'G-1 All Habitats'!$B$2:$M$129,10,FALSE))</f>
        <v/>
      </c>
      <c r="X43" s="520" t="str">
        <f>IFERROR(VLOOKUP(W43,'G-1 All Habitats'!$V$3:$W$7,2,FALSE),"")</f>
        <v/>
      </c>
      <c r="Y43" s="203"/>
      <c r="Z43" s="524" t="str">
        <f>IFERROR(INDEX('G-8 Condition Look up'!$A$3:$H$130,MATCH(S43,'G-8 Condition Look up'!$A$3:$A$130,0),MATCH(Y43,'G-8 Condition Look up'!$A$3:$H$3,0)),"")</f>
        <v/>
      </c>
      <c r="AA43" s="145"/>
      <c r="AB43" s="540" t="str">
        <f>IF(AA43="","",IF(VLOOKUP(AA43,'G-3 Multipliers'!$L$3:$N$6,2,FALSE)=0,"Spatial Data Missing ⚠",VLOOKUP(AA43,'G-3 Multipliers'!$L$3:$N$6,2,FALSE)))</f>
        <v/>
      </c>
      <c r="AC43" s="524" t="str">
        <f>IF(AA43="","",IF(VLOOKUP(AA43,'G-3 Multipliers'!$L$3:$N$6,3,FALSE)=0,"Spatial Data Missing ⚠",VLOOKUP(AA43,'G-3 Multipliers'!$L$3:$N$6,3,FALSE)))</f>
        <v/>
      </c>
      <c r="AD43" s="537" t="str">
        <f t="shared" si="3"/>
        <v/>
      </c>
      <c r="AE43" s="203"/>
      <c r="AF43" s="203"/>
      <c r="AG43" s="520" t="str">
        <f t="shared" si="7"/>
        <v/>
      </c>
      <c r="AH43" s="544" t="str">
        <f t="shared" si="8"/>
        <v/>
      </c>
      <c r="AI43" s="525" t="str">
        <f>IF(AH43="Check Data ⚠","Check Data ⚠",IFERROR(VLOOKUP(AH43,'G-4 Temporal multipliers'!$A$4:$C$36,3,FALSE),""))</f>
        <v/>
      </c>
      <c r="AJ43" s="537" t="str">
        <f>IF(S43="","",VLOOKUP(S43,'G-3 Multipliers'!$A$2:$E$129,4,FALSE))</f>
        <v/>
      </c>
      <c r="AK43" s="520" t="str">
        <f t="shared" si="9"/>
        <v/>
      </c>
      <c r="AL43" s="520" t="str">
        <f t="shared" si="10"/>
        <v/>
      </c>
      <c r="AM43" s="524" t="str">
        <f>IFERROR(IF(F43="","",IF(AH43="Check Data ⚠","Check Data ⚠",VLOOKUP(AL43, 'G-3 Multipliers'!$P$2:$Q$6,2,FALSE))),"")</f>
        <v/>
      </c>
      <c r="AN43" s="197"/>
      <c r="AO43" s="540" t="str">
        <f>IF(AN43="","",IF(VLOOKUP(AN43,'G-3 Multipliers'!$S$3:$T$9,2,FALSE)=0,"Spatial Data Missing ⚠",VLOOKUP(AN43,'G-3 Multipliers'!$S$3:$T$9,2,FALSE)))</f>
        <v/>
      </c>
      <c r="AP43" s="513" t="str">
        <f t="shared" si="11"/>
        <v/>
      </c>
      <c r="AQ43" s="231"/>
      <c r="AR43" s="150"/>
    </row>
    <row r="44" spans="1:44" x14ac:dyDescent="0.25">
      <c r="A44" s="31" t="str">
        <f>IF(E44="","",IF(ISNA(VLOOKUP($E44,'D-1 Off Site Habitat Baseline'!$D$1:$O$258,2,FALSE)),"",(VLOOKUP($E44,'D-1 Off Site Habitat Baseline'!$D$1:$O$258,2,FALSE))))</f>
        <v/>
      </c>
      <c r="B44" s="31" t="str">
        <f>IF(E44="","",IF(ISNA(VLOOKUP($E44,'D-1 Off Site Habitat Baseline'!$D$1:$O$258,3,FALSE)),"",(VLOOKUP($E44,'D-1 Off Site Habitat Baseline'!$D$1:$O$258,3,FALSE))))</f>
        <v/>
      </c>
      <c r="C44" s="31" t="str">
        <f>IFERROR(INDEX('G-8 Condition Look up'!$I$4:$I$130,MATCH(S44,'G-8 Condition Look up'!$A$4:$A$130,0)),"")</f>
        <v/>
      </c>
      <c r="E44" s="547" t="str">
        <f>'D-1 Off Site Habitat Baseline'!AL43</f>
        <v/>
      </c>
      <c r="F44" s="520" t="str">
        <f>IF(E44="","",IF(ISNA(VLOOKUP($E44,'D-1 Off Site Habitat Baseline'!$D$1:$O$258,4,FALSE)),"",(VLOOKUP($E44,'D-1 Off Site Habitat Baseline'!$D$1:$O$258,4,FALSE))))</f>
        <v/>
      </c>
      <c r="G44" s="520" t="str">
        <f>IF(E44="","",IF(ISNA(VLOOKUP($E44,'D-1 Off Site Habitat Baseline'!$D$1:$O$258,5,FALSE)),"",(VLOOKUP($E44,'D-1 Off Site Habitat Baseline'!$D$1:$O$258,5,FALSE))))</f>
        <v/>
      </c>
      <c r="H44" s="520" t="str">
        <f>IF(E44="","",IF(ISNA(VLOOKUP($E44,'D-1 Off Site Habitat Baseline'!$D$1:$O$258,6,FALSE)),"",(VLOOKUP($E44,'D-1 Off Site Habitat Baseline'!$D$1:$O$258,6,FALSE))))</f>
        <v/>
      </c>
      <c r="I44" s="520" t="str">
        <f>IF(E44="","",IF(ISNA(VLOOKUP($E44,'D-1 Off Site Habitat Baseline'!$D$1:$O$258,7,FALSE)),"",(VLOOKUP($E44,'D-1 Off Site Habitat Baseline'!$D$1:$O$258,7,FALSE))))</f>
        <v/>
      </c>
      <c r="J44" s="520" t="str">
        <f>IF(E44="","",IF(ISNA(VLOOKUP($E44,'D-1 Off Site Habitat Baseline'!$D$1:$O$258,8,FALSE)),"",(VLOOKUP($E44,'D-1 Off Site Habitat Baseline'!$D$1:$O$258,8,FALSE))))</f>
        <v/>
      </c>
      <c r="K44" s="520" t="str">
        <f>IF(E44="","",IF(ISNA(VLOOKUP($E44,'D-1 Off Site Habitat Baseline'!$D$1:$O$258,9,FALSE)),"",(VLOOKUP($E44,'D-1 Off Site Habitat Baseline'!$D$1:$O$258,9,FALSE))))</f>
        <v/>
      </c>
      <c r="L44" s="520" t="str">
        <f>IF(E44="","",IF(ISNA(VLOOKUP($E44,'D-1 Off Site Habitat Baseline'!$D$1:$O$258,11,FALSE)),"",(VLOOKUP($E44,'D-1 Off Site Habitat Baseline'!$D$1:$O$258,11,FALSE))))</f>
        <v/>
      </c>
      <c r="M44" s="520" t="str">
        <f>IF(E44="","",IF(ISNA(VLOOKUP($E44,'D-1 Off Site Habitat Baseline'!$D$1:$O$258,12,FALSE)),"",(VLOOKUP($E44,'D-1 Off Site Habitat Baseline'!$D$1:$O$258,12,FALSE))))</f>
        <v/>
      </c>
      <c r="N44" s="520" t="str">
        <f>IF(E44="","",IF(ISNA(VLOOKUP($E44,'D-1 Off Site Habitat Baseline'!$D$1:$X$258,14,FALSE)),"",(VLOOKUP($E44,'D-1 Off Site Habitat Baseline'!$D$1:$X$258,14,FALSE))))</f>
        <v/>
      </c>
      <c r="O44" s="524" t="str">
        <f>IF(E44="","",IF(ISNA(VLOOKUP($E44,'D-1 Off Site Habitat Baseline'!$D$1:$X$258,13,FALSE)),"",(VLOOKUP($E44,'D-1 Off Site Habitat Baseline'!$D$1:$X$258,13,FALSE))))</f>
        <v/>
      </c>
      <c r="P44" s="232" t="str">
        <f>IFERROR(INDEX('G-1 All Habitats'!$AG$3:$AG$15,MATCH(Q44,'G-1 All Habitats'!$AF$3:$AF$15,0)),"")</f>
        <v/>
      </c>
      <c r="Q44" s="228" t="str">
        <f t="shared" si="12"/>
        <v/>
      </c>
      <c r="R44" s="229" t="str">
        <f t="shared" si="13"/>
        <v/>
      </c>
      <c r="S44" s="233" t="str">
        <f>IFERROR(INDEX('G-1 All Habitats'!$B$3:$B$129,MATCH(R44,'G-1 All Habitats'!$A$3:$A$129,0)),"")</f>
        <v/>
      </c>
      <c r="T44" s="507" t="str">
        <f t="shared" si="5"/>
        <v/>
      </c>
      <c r="U44" s="524" t="str">
        <f t="shared" si="6"/>
        <v/>
      </c>
      <c r="V44" s="523" t="str">
        <f t="shared" si="2"/>
        <v/>
      </c>
      <c r="W44" s="520" t="str">
        <f>IF(S44="","",VLOOKUP(S44,'G-1 All Habitats'!$B$2:$M$129,10,FALSE))</f>
        <v/>
      </c>
      <c r="X44" s="520" t="str">
        <f>IFERROR(VLOOKUP(W44,'G-1 All Habitats'!$V$3:$W$7,2,FALSE),"")</f>
        <v/>
      </c>
      <c r="Y44" s="203"/>
      <c r="Z44" s="524" t="str">
        <f>IFERROR(INDEX('G-8 Condition Look up'!$A$3:$H$130,MATCH(S44,'G-8 Condition Look up'!$A$3:$A$130,0),MATCH(Y44,'G-8 Condition Look up'!$A$3:$H$3,0)),"")</f>
        <v/>
      </c>
      <c r="AA44" s="145"/>
      <c r="AB44" s="540" t="str">
        <f>IF(AA44="","",IF(VLOOKUP(AA44,'G-3 Multipliers'!$L$3:$N$6,2,FALSE)=0,"Spatial Data Missing ⚠",VLOOKUP(AA44,'G-3 Multipliers'!$L$3:$N$6,2,FALSE)))</f>
        <v/>
      </c>
      <c r="AC44" s="524" t="str">
        <f>IF(AA44="","",IF(VLOOKUP(AA44,'G-3 Multipliers'!$L$3:$N$6,3,FALSE)=0,"Spatial Data Missing ⚠",VLOOKUP(AA44,'G-3 Multipliers'!$L$3:$N$6,3,FALSE)))</f>
        <v/>
      </c>
      <c r="AD44" s="537" t="str">
        <f t="shared" si="3"/>
        <v/>
      </c>
      <c r="AE44" s="203"/>
      <c r="AF44" s="203"/>
      <c r="AG44" s="520" t="str">
        <f t="shared" si="7"/>
        <v/>
      </c>
      <c r="AH44" s="544" t="str">
        <f t="shared" si="8"/>
        <v/>
      </c>
      <c r="AI44" s="525" t="str">
        <f>IF(AH44="Check Data ⚠","Check Data ⚠",IFERROR(VLOOKUP(AH44,'G-4 Temporal multipliers'!$A$4:$C$36,3,FALSE),""))</f>
        <v/>
      </c>
      <c r="AJ44" s="537" t="str">
        <f>IF(S44="","",VLOOKUP(S44,'G-3 Multipliers'!$A$2:$E$129,4,FALSE))</f>
        <v/>
      </c>
      <c r="AK44" s="520" t="str">
        <f t="shared" si="9"/>
        <v/>
      </c>
      <c r="AL44" s="520" t="str">
        <f t="shared" si="10"/>
        <v/>
      </c>
      <c r="AM44" s="524" t="str">
        <f>IFERROR(IF(F44="","",IF(AH44="Check Data ⚠","Check Data ⚠",VLOOKUP(AL44, 'G-3 Multipliers'!$P$2:$Q$6,2,FALSE))),"")</f>
        <v/>
      </c>
      <c r="AN44" s="197"/>
      <c r="AO44" s="540" t="str">
        <f>IF(AN44="","",IF(VLOOKUP(AN44,'G-3 Multipliers'!$S$3:$T$9,2,FALSE)=0,"Spatial Data Missing ⚠",VLOOKUP(AN44,'G-3 Multipliers'!$S$3:$T$9,2,FALSE)))</f>
        <v/>
      </c>
      <c r="AP44" s="513" t="str">
        <f t="shared" si="11"/>
        <v/>
      </c>
      <c r="AQ44" s="231"/>
      <c r="AR44" s="150"/>
    </row>
    <row r="45" spans="1:44" x14ac:dyDescent="0.25">
      <c r="A45" s="31" t="str">
        <f>IF(E45="","",IF(ISNA(VLOOKUP($E45,'D-1 Off Site Habitat Baseline'!$D$1:$O$258,2,FALSE)),"",(VLOOKUP($E45,'D-1 Off Site Habitat Baseline'!$D$1:$O$258,2,FALSE))))</f>
        <v/>
      </c>
      <c r="B45" s="31" t="str">
        <f>IF(E45="","",IF(ISNA(VLOOKUP($E45,'D-1 Off Site Habitat Baseline'!$D$1:$O$258,3,FALSE)),"",(VLOOKUP($E45,'D-1 Off Site Habitat Baseline'!$D$1:$O$258,3,FALSE))))</f>
        <v/>
      </c>
      <c r="C45" s="31" t="str">
        <f>IFERROR(INDEX('G-8 Condition Look up'!$I$4:$I$130,MATCH(S45,'G-8 Condition Look up'!$A$4:$A$130,0)),"")</f>
        <v/>
      </c>
      <c r="E45" s="547" t="str">
        <f>'D-1 Off Site Habitat Baseline'!AL44</f>
        <v/>
      </c>
      <c r="F45" s="520" t="str">
        <f>IF(E45="","",IF(ISNA(VLOOKUP($E45,'D-1 Off Site Habitat Baseline'!$D$1:$O$258,4,FALSE)),"",(VLOOKUP($E45,'D-1 Off Site Habitat Baseline'!$D$1:$O$258,4,FALSE))))</f>
        <v/>
      </c>
      <c r="G45" s="520" t="str">
        <f>IF(E45="","",IF(ISNA(VLOOKUP($E45,'D-1 Off Site Habitat Baseline'!$D$1:$O$258,5,FALSE)),"",(VLOOKUP($E45,'D-1 Off Site Habitat Baseline'!$D$1:$O$258,5,FALSE))))</f>
        <v/>
      </c>
      <c r="H45" s="520" t="str">
        <f>IF(E45="","",IF(ISNA(VLOOKUP($E45,'D-1 Off Site Habitat Baseline'!$D$1:$O$258,6,FALSE)),"",(VLOOKUP($E45,'D-1 Off Site Habitat Baseline'!$D$1:$O$258,6,FALSE))))</f>
        <v/>
      </c>
      <c r="I45" s="520" t="str">
        <f>IF(E45="","",IF(ISNA(VLOOKUP($E45,'D-1 Off Site Habitat Baseline'!$D$1:$O$258,7,FALSE)),"",(VLOOKUP($E45,'D-1 Off Site Habitat Baseline'!$D$1:$O$258,7,FALSE))))</f>
        <v/>
      </c>
      <c r="J45" s="520" t="str">
        <f>IF(E45="","",IF(ISNA(VLOOKUP($E45,'D-1 Off Site Habitat Baseline'!$D$1:$O$258,8,FALSE)),"",(VLOOKUP($E45,'D-1 Off Site Habitat Baseline'!$D$1:$O$258,8,FALSE))))</f>
        <v/>
      </c>
      <c r="K45" s="520" t="str">
        <f>IF(E45="","",IF(ISNA(VLOOKUP($E45,'D-1 Off Site Habitat Baseline'!$D$1:$O$258,9,FALSE)),"",(VLOOKUP($E45,'D-1 Off Site Habitat Baseline'!$D$1:$O$258,9,FALSE))))</f>
        <v/>
      </c>
      <c r="L45" s="520" t="str">
        <f>IF(E45="","",IF(ISNA(VLOOKUP($E45,'D-1 Off Site Habitat Baseline'!$D$1:$O$258,11,FALSE)),"",(VLOOKUP($E45,'D-1 Off Site Habitat Baseline'!$D$1:$O$258,11,FALSE))))</f>
        <v/>
      </c>
      <c r="M45" s="520" t="str">
        <f>IF(E45="","",IF(ISNA(VLOOKUP($E45,'D-1 Off Site Habitat Baseline'!$D$1:$O$258,12,FALSE)),"",(VLOOKUP($E45,'D-1 Off Site Habitat Baseline'!$D$1:$O$258,12,FALSE))))</f>
        <v/>
      </c>
      <c r="N45" s="520" t="str">
        <f>IF(E45="","",IF(ISNA(VLOOKUP($E45,'D-1 Off Site Habitat Baseline'!$D$1:$X$258,14,FALSE)),"",(VLOOKUP($E45,'D-1 Off Site Habitat Baseline'!$D$1:$X$258,14,FALSE))))</f>
        <v/>
      </c>
      <c r="O45" s="524" t="str">
        <f>IF(E45="","",IF(ISNA(VLOOKUP($E45,'D-1 Off Site Habitat Baseline'!$D$1:$X$258,13,FALSE)),"",(VLOOKUP($E45,'D-1 Off Site Habitat Baseline'!$D$1:$X$258,13,FALSE))))</f>
        <v/>
      </c>
      <c r="P45" s="232" t="str">
        <f>IFERROR(INDEX('G-1 All Habitats'!$AG$3:$AG$15,MATCH(Q45,'G-1 All Habitats'!$AF$3:$AF$15,0)),"")</f>
        <v/>
      </c>
      <c r="Q45" s="228" t="str">
        <f t="shared" si="12"/>
        <v/>
      </c>
      <c r="R45" s="229" t="str">
        <f t="shared" si="13"/>
        <v/>
      </c>
      <c r="S45" s="233" t="str">
        <f>IFERROR(INDEX('G-1 All Habitats'!$B$3:$B$129,MATCH(R45,'G-1 All Habitats'!$A$3:$A$129,0)),"")</f>
        <v/>
      </c>
      <c r="T45" s="507" t="str">
        <f t="shared" si="5"/>
        <v/>
      </c>
      <c r="U45" s="524" t="str">
        <f t="shared" si="6"/>
        <v/>
      </c>
      <c r="V45" s="523" t="str">
        <f t="shared" si="2"/>
        <v/>
      </c>
      <c r="W45" s="520" t="str">
        <f>IF(S45="","",VLOOKUP(S45,'G-1 All Habitats'!$B$2:$M$129,10,FALSE))</f>
        <v/>
      </c>
      <c r="X45" s="520" t="str">
        <f>IFERROR(VLOOKUP(W45,'G-1 All Habitats'!$V$3:$W$7,2,FALSE),"")</f>
        <v/>
      </c>
      <c r="Y45" s="203"/>
      <c r="Z45" s="524" t="str">
        <f>IFERROR(INDEX('G-8 Condition Look up'!$A$3:$H$130,MATCH(S45,'G-8 Condition Look up'!$A$3:$A$130,0),MATCH(Y45,'G-8 Condition Look up'!$A$3:$H$3,0)),"")</f>
        <v/>
      </c>
      <c r="AA45" s="145"/>
      <c r="AB45" s="540" t="str">
        <f>IF(AA45="","",IF(VLOOKUP(AA45,'G-3 Multipliers'!$L$3:$N$6,2,FALSE)=0,"Spatial Data Missing ⚠",VLOOKUP(AA45,'G-3 Multipliers'!$L$3:$N$6,2,FALSE)))</f>
        <v/>
      </c>
      <c r="AC45" s="524" t="str">
        <f>IF(AA45="","",IF(VLOOKUP(AA45,'G-3 Multipliers'!$L$3:$N$6,3,FALSE)=0,"Spatial Data Missing ⚠",VLOOKUP(AA45,'G-3 Multipliers'!$L$3:$N$6,3,FALSE)))</f>
        <v/>
      </c>
      <c r="AD45" s="537" t="str">
        <f t="shared" si="3"/>
        <v/>
      </c>
      <c r="AE45" s="203"/>
      <c r="AF45" s="203"/>
      <c r="AG45" s="520" t="str">
        <f t="shared" si="7"/>
        <v/>
      </c>
      <c r="AH45" s="544" t="str">
        <f t="shared" si="8"/>
        <v/>
      </c>
      <c r="AI45" s="525" t="str">
        <f>IF(AH45="Check Data ⚠","Check Data ⚠",IFERROR(VLOOKUP(AH45,'G-4 Temporal multipliers'!$A$4:$C$36,3,FALSE),""))</f>
        <v/>
      </c>
      <c r="AJ45" s="537" t="str">
        <f>IF(S45="","",VLOOKUP(S45,'G-3 Multipliers'!$A$2:$E$129,4,FALSE))</f>
        <v/>
      </c>
      <c r="AK45" s="520" t="str">
        <f t="shared" si="9"/>
        <v/>
      </c>
      <c r="AL45" s="520" t="str">
        <f t="shared" si="10"/>
        <v/>
      </c>
      <c r="AM45" s="524" t="str">
        <f>IFERROR(IF(F45="","",IF(AH45="Check Data ⚠","Check Data ⚠",VLOOKUP(AL45, 'G-3 Multipliers'!$P$2:$Q$6,2,FALSE))),"")</f>
        <v/>
      </c>
      <c r="AN45" s="197"/>
      <c r="AO45" s="540" t="str">
        <f>IF(AN45="","",IF(VLOOKUP(AN45,'G-3 Multipliers'!$S$3:$T$9,2,FALSE)=0,"Spatial Data Missing ⚠",VLOOKUP(AN45,'G-3 Multipliers'!$S$3:$T$9,2,FALSE)))</f>
        <v/>
      </c>
      <c r="AP45" s="513" t="str">
        <f t="shared" si="11"/>
        <v/>
      </c>
      <c r="AQ45" s="231"/>
      <c r="AR45" s="150"/>
    </row>
    <row r="46" spans="1:44" x14ac:dyDescent="0.25">
      <c r="A46" s="31" t="str">
        <f>IF(E46="","",IF(ISNA(VLOOKUP($E46,'D-1 Off Site Habitat Baseline'!$D$1:$O$258,2,FALSE)),"",(VLOOKUP($E46,'D-1 Off Site Habitat Baseline'!$D$1:$O$258,2,FALSE))))</f>
        <v/>
      </c>
      <c r="B46" s="31" t="str">
        <f>IF(E46="","",IF(ISNA(VLOOKUP($E46,'D-1 Off Site Habitat Baseline'!$D$1:$O$258,3,FALSE)),"",(VLOOKUP($E46,'D-1 Off Site Habitat Baseline'!$D$1:$O$258,3,FALSE))))</f>
        <v/>
      </c>
      <c r="C46" s="31" t="str">
        <f>IFERROR(INDEX('G-8 Condition Look up'!$I$4:$I$130,MATCH(S46,'G-8 Condition Look up'!$A$4:$A$130,0)),"")</f>
        <v/>
      </c>
      <c r="E46" s="547" t="str">
        <f>'D-1 Off Site Habitat Baseline'!AL45</f>
        <v/>
      </c>
      <c r="F46" s="520" t="str">
        <f>IF(E46="","",IF(ISNA(VLOOKUP($E46,'D-1 Off Site Habitat Baseline'!$D$1:$O$258,4,FALSE)),"",(VLOOKUP($E46,'D-1 Off Site Habitat Baseline'!$D$1:$O$258,4,FALSE))))</f>
        <v/>
      </c>
      <c r="G46" s="520" t="str">
        <f>IF(E46="","",IF(ISNA(VLOOKUP($E46,'D-1 Off Site Habitat Baseline'!$D$1:$O$258,5,FALSE)),"",(VLOOKUP($E46,'D-1 Off Site Habitat Baseline'!$D$1:$O$258,5,FALSE))))</f>
        <v/>
      </c>
      <c r="H46" s="520" t="str">
        <f>IF(E46="","",IF(ISNA(VLOOKUP($E46,'D-1 Off Site Habitat Baseline'!$D$1:$O$258,6,FALSE)),"",(VLOOKUP($E46,'D-1 Off Site Habitat Baseline'!$D$1:$O$258,6,FALSE))))</f>
        <v/>
      </c>
      <c r="I46" s="520" t="str">
        <f>IF(E46="","",IF(ISNA(VLOOKUP($E46,'D-1 Off Site Habitat Baseline'!$D$1:$O$258,7,FALSE)),"",(VLOOKUP($E46,'D-1 Off Site Habitat Baseline'!$D$1:$O$258,7,FALSE))))</f>
        <v/>
      </c>
      <c r="J46" s="520" t="str">
        <f>IF(E46="","",IF(ISNA(VLOOKUP($E46,'D-1 Off Site Habitat Baseline'!$D$1:$O$258,8,FALSE)),"",(VLOOKUP($E46,'D-1 Off Site Habitat Baseline'!$D$1:$O$258,8,FALSE))))</f>
        <v/>
      </c>
      <c r="K46" s="520" t="str">
        <f>IF(E46="","",IF(ISNA(VLOOKUP($E46,'D-1 Off Site Habitat Baseline'!$D$1:$O$258,9,FALSE)),"",(VLOOKUP($E46,'D-1 Off Site Habitat Baseline'!$D$1:$O$258,9,FALSE))))</f>
        <v/>
      </c>
      <c r="L46" s="520" t="str">
        <f>IF(E46="","",IF(ISNA(VLOOKUP($E46,'D-1 Off Site Habitat Baseline'!$D$1:$O$258,11,FALSE)),"",(VLOOKUP($E46,'D-1 Off Site Habitat Baseline'!$D$1:$O$258,11,FALSE))))</f>
        <v/>
      </c>
      <c r="M46" s="520" t="str">
        <f>IF(E46="","",IF(ISNA(VLOOKUP($E46,'D-1 Off Site Habitat Baseline'!$D$1:$O$258,12,FALSE)),"",(VLOOKUP($E46,'D-1 Off Site Habitat Baseline'!$D$1:$O$258,12,FALSE))))</f>
        <v/>
      </c>
      <c r="N46" s="520" t="str">
        <f>IF(E46="","",IF(ISNA(VLOOKUP($E46,'D-1 Off Site Habitat Baseline'!$D$1:$X$258,14,FALSE)),"",(VLOOKUP($E46,'D-1 Off Site Habitat Baseline'!$D$1:$X$258,14,FALSE))))</f>
        <v/>
      </c>
      <c r="O46" s="524" t="str">
        <f>IF(E46="","",IF(ISNA(VLOOKUP($E46,'D-1 Off Site Habitat Baseline'!$D$1:$X$258,13,FALSE)),"",(VLOOKUP($E46,'D-1 Off Site Habitat Baseline'!$D$1:$X$258,13,FALSE))))</f>
        <v/>
      </c>
      <c r="P46" s="232" t="str">
        <f>IFERROR(INDEX('G-1 All Habitats'!$AG$3:$AG$15,MATCH(Q46,'G-1 All Habitats'!$AF$3:$AF$15,0)),"")</f>
        <v/>
      </c>
      <c r="Q46" s="228" t="str">
        <f t="shared" si="12"/>
        <v/>
      </c>
      <c r="R46" s="229" t="str">
        <f t="shared" si="13"/>
        <v/>
      </c>
      <c r="S46" s="233" t="str">
        <f>IFERROR(INDEX('G-1 All Habitats'!$B$3:$B$129,MATCH(R46,'G-1 All Habitats'!$A$3:$A$129,0)),"")</f>
        <v/>
      </c>
      <c r="T46" s="507" t="str">
        <f t="shared" si="5"/>
        <v/>
      </c>
      <c r="U46" s="524" t="str">
        <f t="shared" si="6"/>
        <v/>
      </c>
      <c r="V46" s="523" t="str">
        <f t="shared" si="2"/>
        <v/>
      </c>
      <c r="W46" s="520" t="str">
        <f>IF(S46="","",VLOOKUP(S46,'G-1 All Habitats'!$B$2:$M$129,10,FALSE))</f>
        <v/>
      </c>
      <c r="X46" s="520" t="str">
        <f>IFERROR(VLOOKUP(W46,'G-1 All Habitats'!$V$3:$W$7,2,FALSE),"")</f>
        <v/>
      </c>
      <c r="Y46" s="203"/>
      <c r="Z46" s="524" t="str">
        <f>IFERROR(INDEX('G-8 Condition Look up'!$A$3:$H$130,MATCH(S46,'G-8 Condition Look up'!$A$3:$A$130,0),MATCH(Y46,'G-8 Condition Look up'!$A$3:$H$3,0)),"")</f>
        <v/>
      </c>
      <c r="AA46" s="145"/>
      <c r="AB46" s="540" t="str">
        <f>IF(AA46="","",IF(VLOOKUP(AA46,'G-3 Multipliers'!$L$3:$N$6,2,FALSE)=0,"Spatial Data Missing ⚠",VLOOKUP(AA46,'G-3 Multipliers'!$L$3:$N$6,2,FALSE)))</f>
        <v/>
      </c>
      <c r="AC46" s="524" t="str">
        <f>IF(AA46="","",IF(VLOOKUP(AA46,'G-3 Multipliers'!$L$3:$N$6,3,FALSE)=0,"Spatial Data Missing ⚠",VLOOKUP(AA46,'G-3 Multipliers'!$L$3:$N$6,3,FALSE)))</f>
        <v/>
      </c>
      <c r="AD46" s="537" t="str">
        <f t="shared" si="3"/>
        <v/>
      </c>
      <c r="AE46" s="203"/>
      <c r="AF46" s="203"/>
      <c r="AG46" s="520" t="str">
        <f t="shared" si="7"/>
        <v/>
      </c>
      <c r="AH46" s="544" t="str">
        <f t="shared" si="8"/>
        <v/>
      </c>
      <c r="AI46" s="525" t="str">
        <f>IF(AH46="Check Data ⚠","Check Data ⚠",IFERROR(VLOOKUP(AH46,'G-4 Temporal multipliers'!$A$4:$C$36,3,FALSE),""))</f>
        <v/>
      </c>
      <c r="AJ46" s="537" t="str">
        <f>IF(S46="","",VLOOKUP(S46,'G-3 Multipliers'!$A$2:$E$129,4,FALSE))</f>
        <v/>
      </c>
      <c r="AK46" s="520" t="str">
        <f t="shared" si="9"/>
        <v/>
      </c>
      <c r="AL46" s="520" t="str">
        <f t="shared" si="10"/>
        <v/>
      </c>
      <c r="AM46" s="524" t="str">
        <f>IFERROR(IF(F46="","",IF(AH46="Check Data ⚠","Check Data ⚠",VLOOKUP(AL46, 'G-3 Multipliers'!$P$2:$Q$6,2,FALSE))),"")</f>
        <v/>
      </c>
      <c r="AN46" s="197"/>
      <c r="AO46" s="540" t="str">
        <f>IF(AN46="","",IF(VLOOKUP(AN46,'G-3 Multipliers'!$S$3:$T$9,2,FALSE)=0,"Spatial Data Missing ⚠",VLOOKUP(AN46,'G-3 Multipliers'!$S$3:$T$9,2,FALSE)))</f>
        <v/>
      </c>
      <c r="AP46" s="513" t="str">
        <f t="shared" si="11"/>
        <v/>
      </c>
      <c r="AQ46" s="231"/>
      <c r="AR46" s="150"/>
    </row>
    <row r="47" spans="1:44" x14ac:dyDescent="0.25">
      <c r="A47" s="31" t="str">
        <f>IF(E47="","",IF(ISNA(VLOOKUP($E47,'D-1 Off Site Habitat Baseline'!$D$1:$O$258,2,FALSE)),"",(VLOOKUP($E47,'D-1 Off Site Habitat Baseline'!$D$1:$O$258,2,FALSE))))</f>
        <v/>
      </c>
      <c r="B47" s="31" t="str">
        <f>IF(E47="","",IF(ISNA(VLOOKUP($E47,'D-1 Off Site Habitat Baseline'!$D$1:$O$258,3,FALSE)),"",(VLOOKUP($E47,'D-1 Off Site Habitat Baseline'!$D$1:$O$258,3,FALSE))))</f>
        <v/>
      </c>
      <c r="C47" s="31" t="str">
        <f>IFERROR(INDEX('G-8 Condition Look up'!$I$4:$I$130,MATCH(S47,'G-8 Condition Look up'!$A$4:$A$130,0)),"")</f>
        <v/>
      </c>
      <c r="E47" s="547" t="str">
        <f>'D-1 Off Site Habitat Baseline'!AL46</f>
        <v/>
      </c>
      <c r="F47" s="520" t="str">
        <f>IF(E47="","",IF(ISNA(VLOOKUP($E47,'D-1 Off Site Habitat Baseline'!$D$1:$O$258,4,FALSE)),"",(VLOOKUP($E47,'D-1 Off Site Habitat Baseline'!$D$1:$O$258,4,FALSE))))</f>
        <v/>
      </c>
      <c r="G47" s="520" t="str">
        <f>IF(E47="","",IF(ISNA(VLOOKUP($E47,'D-1 Off Site Habitat Baseline'!$D$1:$O$258,5,FALSE)),"",(VLOOKUP($E47,'D-1 Off Site Habitat Baseline'!$D$1:$O$258,5,FALSE))))</f>
        <v/>
      </c>
      <c r="H47" s="520" t="str">
        <f>IF(E47="","",IF(ISNA(VLOOKUP($E47,'D-1 Off Site Habitat Baseline'!$D$1:$O$258,6,FALSE)),"",(VLOOKUP($E47,'D-1 Off Site Habitat Baseline'!$D$1:$O$258,6,FALSE))))</f>
        <v/>
      </c>
      <c r="I47" s="520" t="str">
        <f>IF(E47="","",IF(ISNA(VLOOKUP($E47,'D-1 Off Site Habitat Baseline'!$D$1:$O$258,7,FALSE)),"",(VLOOKUP($E47,'D-1 Off Site Habitat Baseline'!$D$1:$O$258,7,FALSE))))</f>
        <v/>
      </c>
      <c r="J47" s="520" t="str">
        <f>IF(E47="","",IF(ISNA(VLOOKUP($E47,'D-1 Off Site Habitat Baseline'!$D$1:$O$258,8,FALSE)),"",(VLOOKUP($E47,'D-1 Off Site Habitat Baseline'!$D$1:$O$258,8,FALSE))))</f>
        <v/>
      </c>
      <c r="K47" s="520" t="str">
        <f>IF(E47="","",IF(ISNA(VLOOKUP($E47,'D-1 Off Site Habitat Baseline'!$D$1:$O$258,9,FALSE)),"",(VLOOKUP($E47,'D-1 Off Site Habitat Baseline'!$D$1:$O$258,9,FALSE))))</f>
        <v/>
      </c>
      <c r="L47" s="520" t="str">
        <f>IF(E47="","",IF(ISNA(VLOOKUP($E47,'D-1 Off Site Habitat Baseline'!$D$1:$O$258,11,FALSE)),"",(VLOOKUP($E47,'D-1 Off Site Habitat Baseline'!$D$1:$O$258,11,FALSE))))</f>
        <v/>
      </c>
      <c r="M47" s="520" t="str">
        <f>IF(E47="","",IF(ISNA(VLOOKUP($E47,'D-1 Off Site Habitat Baseline'!$D$1:$O$258,12,FALSE)),"",(VLOOKUP($E47,'D-1 Off Site Habitat Baseline'!$D$1:$O$258,12,FALSE))))</f>
        <v/>
      </c>
      <c r="N47" s="520" t="str">
        <f>IF(E47="","",IF(ISNA(VLOOKUP($E47,'D-1 Off Site Habitat Baseline'!$D$1:$X$258,14,FALSE)),"",(VLOOKUP($E47,'D-1 Off Site Habitat Baseline'!$D$1:$X$258,14,FALSE))))</f>
        <v/>
      </c>
      <c r="O47" s="524" t="str">
        <f>IF(E47="","",IF(ISNA(VLOOKUP($E47,'D-1 Off Site Habitat Baseline'!$D$1:$X$258,13,FALSE)),"",(VLOOKUP($E47,'D-1 Off Site Habitat Baseline'!$D$1:$X$258,13,FALSE))))</f>
        <v/>
      </c>
      <c r="P47" s="232" t="str">
        <f>IFERROR(INDEX('G-1 All Habitats'!$AG$3:$AG$15,MATCH(Q47,'G-1 All Habitats'!$AF$3:$AF$15,0)),"")</f>
        <v/>
      </c>
      <c r="Q47" s="228" t="str">
        <f t="shared" si="12"/>
        <v/>
      </c>
      <c r="R47" s="229" t="str">
        <f t="shared" si="13"/>
        <v/>
      </c>
      <c r="S47" s="233" t="str">
        <f>IFERROR(INDEX('G-1 All Habitats'!$B$3:$B$129,MATCH(R47,'G-1 All Habitats'!$A$3:$A$129,0)),"")</f>
        <v/>
      </c>
      <c r="T47" s="507" t="str">
        <f t="shared" si="5"/>
        <v/>
      </c>
      <c r="U47" s="524" t="str">
        <f t="shared" si="6"/>
        <v/>
      </c>
      <c r="V47" s="523" t="str">
        <f t="shared" si="2"/>
        <v/>
      </c>
      <c r="W47" s="520" t="str">
        <f>IF(S47="","",VLOOKUP(S47,'G-1 All Habitats'!$B$2:$M$129,10,FALSE))</f>
        <v/>
      </c>
      <c r="X47" s="520" t="str">
        <f>IFERROR(VLOOKUP(W47,'G-1 All Habitats'!$V$3:$W$7,2,FALSE),"")</f>
        <v/>
      </c>
      <c r="Y47" s="203"/>
      <c r="Z47" s="524" t="str">
        <f>IFERROR(INDEX('G-8 Condition Look up'!$A$3:$H$130,MATCH(S47,'G-8 Condition Look up'!$A$3:$A$130,0),MATCH(Y47,'G-8 Condition Look up'!$A$3:$H$3,0)),"")</f>
        <v/>
      </c>
      <c r="AA47" s="145"/>
      <c r="AB47" s="540" t="str">
        <f>IF(AA47="","",IF(VLOOKUP(AA47,'G-3 Multipliers'!$L$3:$N$6,2,FALSE)=0,"Spatial Data Missing ⚠",VLOOKUP(AA47,'G-3 Multipliers'!$L$3:$N$6,2,FALSE)))</f>
        <v/>
      </c>
      <c r="AC47" s="524" t="str">
        <f>IF(AA47="","",IF(VLOOKUP(AA47,'G-3 Multipliers'!$L$3:$N$6,3,FALSE)=0,"Spatial Data Missing ⚠",VLOOKUP(AA47,'G-3 Multipliers'!$L$3:$N$6,3,FALSE)))</f>
        <v/>
      </c>
      <c r="AD47" s="537" t="str">
        <f t="shared" si="3"/>
        <v/>
      </c>
      <c r="AE47" s="203"/>
      <c r="AF47" s="203"/>
      <c r="AG47" s="520" t="str">
        <f t="shared" si="7"/>
        <v/>
      </c>
      <c r="AH47" s="544" t="str">
        <f t="shared" si="8"/>
        <v/>
      </c>
      <c r="AI47" s="525" t="str">
        <f>IF(AH47="Check Data ⚠","Check Data ⚠",IFERROR(VLOOKUP(AH47,'G-4 Temporal multipliers'!$A$4:$C$36,3,FALSE),""))</f>
        <v/>
      </c>
      <c r="AJ47" s="537" t="str">
        <f>IF(S47="","",VLOOKUP(S47,'G-3 Multipliers'!$A$2:$E$129,4,FALSE))</f>
        <v/>
      </c>
      <c r="AK47" s="520" t="str">
        <f t="shared" si="9"/>
        <v/>
      </c>
      <c r="AL47" s="520" t="str">
        <f t="shared" si="10"/>
        <v/>
      </c>
      <c r="AM47" s="524" t="str">
        <f>IFERROR(IF(F47="","",IF(AH47="Check Data ⚠","Check Data ⚠",VLOOKUP(AL47, 'G-3 Multipliers'!$P$2:$Q$6,2,FALSE))),"")</f>
        <v/>
      </c>
      <c r="AN47" s="197"/>
      <c r="AO47" s="540" t="str">
        <f>IF(AN47="","",IF(VLOOKUP(AN47,'G-3 Multipliers'!$S$3:$T$9,2,FALSE)=0,"Spatial Data Missing ⚠",VLOOKUP(AN47,'G-3 Multipliers'!$S$3:$T$9,2,FALSE)))</f>
        <v/>
      </c>
      <c r="AP47" s="513" t="str">
        <f t="shared" si="11"/>
        <v/>
      </c>
      <c r="AQ47" s="231"/>
      <c r="AR47" s="150"/>
    </row>
    <row r="48" spans="1:44" x14ac:dyDescent="0.25">
      <c r="A48" s="31" t="str">
        <f>IF(E48="","",IF(ISNA(VLOOKUP($E48,'D-1 Off Site Habitat Baseline'!$D$1:$O$258,2,FALSE)),"",(VLOOKUP($E48,'D-1 Off Site Habitat Baseline'!$D$1:$O$258,2,FALSE))))</f>
        <v/>
      </c>
      <c r="B48" s="31" t="str">
        <f>IF(E48="","",IF(ISNA(VLOOKUP($E48,'D-1 Off Site Habitat Baseline'!$D$1:$O$258,3,FALSE)),"",(VLOOKUP($E48,'D-1 Off Site Habitat Baseline'!$D$1:$O$258,3,FALSE))))</f>
        <v/>
      </c>
      <c r="C48" s="31" t="str">
        <f>IFERROR(INDEX('G-8 Condition Look up'!$I$4:$I$130,MATCH(S48,'G-8 Condition Look up'!$A$4:$A$130,0)),"")</f>
        <v/>
      </c>
      <c r="E48" s="547" t="str">
        <f>'D-1 Off Site Habitat Baseline'!AL47</f>
        <v/>
      </c>
      <c r="F48" s="520" t="str">
        <f>IF(E48="","",IF(ISNA(VLOOKUP($E48,'D-1 Off Site Habitat Baseline'!$D$1:$O$258,4,FALSE)),"",(VLOOKUP($E48,'D-1 Off Site Habitat Baseline'!$D$1:$O$258,4,FALSE))))</f>
        <v/>
      </c>
      <c r="G48" s="520" t="str">
        <f>IF(E48="","",IF(ISNA(VLOOKUP($E48,'D-1 Off Site Habitat Baseline'!$D$1:$O$258,5,FALSE)),"",(VLOOKUP($E48,'D-1 Off Site Habitat Baseline'!$D$1:$O$258,5,FALSE))))</f>
        <v/>
      </c>
      <c r="H48" s="520" t="str">
        <f>IF(E48="","",IF(ISNA(VLOOKUP($E48,'D-1 Off Site Habitat Baseline'!$D$1:$O$258,6,FALSE)),"",(VLOOKUP($E48,'D-1 Off Site Habitat Baseline'!$D$1:$O$258,6,FALSE))))</f>
        <v/>
      </c>
      <c r="I48" s="520" t="str">
        <f>IF(E48="","",IF(ISNA(VLOOKUP($E48,'D-1 Off Site Habitat Baseline'!$D$1:$O$258,7,FALSE)),"",(VLOOKUP($E48,'D-1 Off Site Habitat Baseline'!$D$1:$O$258,7,FALSE))))</f>
        <v/>
      </c>
      <c r="J48" s="520" t="str">
        <f>IF(E48="","",IF(ISNA(VLOOKUP($E48,'D-1 Off Site Habitat Baseline'!$D$1:$O$258,8,FALSE)),"",(VLOOKUP($E48,'D-1 Off Site Habitat Baseline'!$D$1:$O$258,8,FALSE))))</f>
        <v/>
      </c>
      <c r="K48" s="520" t="str">
        <f>IF(E48="","",IF(ISNA(VLOOKUP($E48,'D-1 Off Site Habitat Baseline'!$D$1:$O$258,9,FALSE)),"",(VLOOKUP($E48,'D-1 Off Site Habitat Baseline'!$D$1:$O$258,9,FALSE))))</f>
        <v/>
      </c>
      <c r="L48" s="520" t="str">
        <f>IF(E48="","",IF(ISNA(VLOOKUP($E48,'D-1 Off Site Habitat Baseline'!$D$1:$O$258,11,FALSE)),"",(VLOOKUP($E48,'D-1 Off Site Habitat Baseline'!$D$1:$O$258,11,FALSE))))</f>
        <v/>
      </c>
      <c r="M48" s="520" t="str">
        <f>IF(E48="","",IF(ISNA(VLOOKUP($E48,'D-1 Off Site Habitat Baseline'!$D$1:$O$258,12,FALSE)),"",(VLOOKUP($E48,'D-1 Off Site Habitat Baseline'!$D$1:$O$258,12,FALSE))))</f>
        <v/>
      </c>
      <c r="N48" s="520" t="str">
        <f>IF(E48="","",IF(ISNA(VLOOKUP($E48,'D-1 Off Site Habitat Baseline'!$D$1:$X$258,14,FALSE)),"",(VLOOKUP($E48,'D-1 Off Site Habitat Baseline'!$D$1:$X$258,14,FALSE))))</f>
        <v/>
      </c>
      <c r="O48" s="524" t="str">
        <f>IF(E48="","",IF(ISNA(VLOOKUP($E48,'D-1 Off Site Habitat Baseline'!$D$1:$X$258,13,FALSE)),"",(VLOOKUP($E48,'D-1 Off Site Habitat Baseline'!$D$1:$X$258,13,FALSE))))</f>
        <v/>
      </c>
      <c r="P48" s="232" t="str">
        <f>IFERROR(INDEX('G-1 All Habitats'!$AG$3:$AG$15,MATCH(Q48,'G-1 All Habitats'!$AF$3:$AF$15,0)),"")</f>
        <v/>
      </c>
      <c r="Q48" s="228" t="str">
        <f t="shared" si="12"/>
        <v/>
      </c>
      <c r="R48" s="229" t="str">
        <f t="shared" si="13"/>
        <v/>
      </c>
      <c r="S48" s="233" t="str">
        <f>IFERROR(INDEX('G-1 All Habitats'!$B$3:$B$129,MATCH(R48,'G-1 All Habitats'!$A$3:$A$129,0)),"")</f>
        <v/>
      </c>
      <c r="T48" s="507" t="str">
        <f t="shared" si="5"/>
        <v/>
      </c>
      <c r="U48" s="524" t="str">
        <f t="shared" si="6"/>
        <v/>
      </c>
      <c r="V48" s="523" t="str">
        <f t="shared" si="2"/>
        <v/>
      </c>
      <c r="W48" s="520" t="str">
        <f>IF(S48="","",VLOOKUP(S48,'G-1 All Habitats'!$B$2:$M$129,10,FALSE))</f>
        <v/>
      </c>
      <c r="X48" s="520" t="str">
        <f>IFERROR(VLOOKUP(W48,'G-1 All Habitats'!$V$3:$W$7,2,FALSE),"")</f>
        <v/>
      </c>
      <c r="Y48" s="203"/>
      <c r="Z48" s="524" t="str">
        <f>IFERROR(INDEX('G-8 Condition Look up'!$A$3:$H$130,MATCH(S48,'G-8 Condition Look up'!$A$3:$A$130,0),MATCH(Y48,'G-8 Condition Look up'!$A$3:$H$3,0)),"")</f>
        <v/>
      </c>
      <c r="AA48" s="145"/>
      <c r="AB48" s="540" t="str">
        <f>IF(AA48="","",IF(VLOOKUP(AA48,'G-3 Multipliers'!$L$3:$N$6,2,FALSE)=0,"Spatial Data Missing ⚠",VLOOKUP(AA48,'G-3 Multipliers'!$L$3:$N$6,2,FALSE)))</f>
        <v/>
      </c>
      <c r="AC48" s="524" t="str">
        <f>IF(AA48="","",IF(VLOOKUP(AA48,'G-3 Multipliers'!$L$3:$N$6,3,FALSE)=0,"Spatial Data Missing ⚠",VLOOKUP(AA48,'G-3 Multipliers'!$L$3:$N$6,3,FALSE)))</f>
        <v/>
      </c>
      <c r="AD48" s="537" t="str">
        <f t="shared" si="3"/>
        <v/>
      </c>
      <c r="AE48" s="203"/>
      <c r="AF48" s="203"/>
      <c r="AG48" s="520" t="str">
        <f t="shared" si="7"/>
        <v/>
      </c>
      <c r="AH48" s="544" t="str">
        <f t="shared" si="8"/>
        <v/>
      </c>
      <c r="AI48" s="525" t="str">
        <f>IF(AH48="Check Data ⚠","Check Data ⚠",IFERROR(VLOOKUP(AH48,'G-4 Temporal multipliers'!$A$4:$C$36,3,FALSE),""))</f>
        <v/>
      </c>
      <c r="AJ48" s="537" t="str">
        <f>IF(S48="","",VLOOKUP(S48,'G-3 Multipliers'!$A$2:$E$129,4,FALSE))</f>
        <v/>
      </c>
      <c r="AK48" s="520" t="str">
        <f t="shared" si="9"/>
        <v/>
      </c>
      <c r="AL48" s="520" t="str">
        <f t="shared" si="10"/>
        <v/>
      </c>
      <c r="AM48" s="524" t="str">
        <f>IFERROR(IF(F48="","",IF(AH48="Check Data ⚠","Check Data ⚠",VLOOKUP(AL48, 'G-3 Multipliers'!$P$2:$Q$6,2,FALSE))),"")</f>
        <v/>
      </c>
      <c r="AN48" s="197"/>
      <c r="AO48" s="540" t="str">
        <f>IF(AN48="","",IF(VLOOKUP(AN48,'G-3 Multipliers'!$S$3:$T$9,2,FALSE)=0,"Spatial Data Missing ⚠",VLOOKUP(AN48,'G-3 Multipliers'!$S$3:$T$9,2,FALSE)))</f>
        <v/>
      </c>
      <c r="AP48" s="513" t="str">
        <f t="shared" si="11"/>
        <v/>
      </c>
      <c r="AQ48" s="231"/>
      <c r="AR48" s="150"/>
    </row>
    <row r="49" spans="1:44" x14ac:dyDescent="0.25">
      <c r="A49" s="31" t="str">
        <f>IF(E49="","",IF(ISNA(VLOOKUP($E49,'D-1 Off Site Habitat Baseline'!$D$1:$O$258,2,FALSE)),"",(VLOOKUP($E49,'D-1 Off Site Habitat Baseline'!$D$1:$O$258,2,FALSE))))</f>
        <v/>
      </c>
      <c r="B49" s="31" t="str">
        <f>IF(E49="","",IF(ISNA(VLOOKUP($E49,'D-1 Off Site Habitat Baseline'!$D$1:$O$258,3,FALSE)),"",(VLOOKUP($E49,'D-1 Off Site Habitat Baseline'!$D$1:$O$258,3,FALSE))))</f>
        <v/>
      </c>
      <c r="C49" s="31" t="str">
        <f>IFERROR(INDEX('G-8 Condition Look up'!$I$4:$I$130,MATCH(S49,'G-8 Condition Look up'!$A$4:$A$130,0)),"")</f>
        <v/>
      </c>
      <c r="E49" s="547" t="str">
        <f>'D-1 Off Site Habitat Baseline'!AL48</f>
        <v/>
      </c>
      <c r="F49" s="520" t="str">
        <f>IF(E49="","",IF(ISNA(VLOOKUP($E49,'D-1 Off Site Habitat Baseline'!$D$1:$O$258,4,FALSE)),"",(VLOOKUP($E49,'D-1 Off Site Habitat Baseline'!$D$1:$O$258,4,FALSE))))</f>
        <v/>
      </c>
      <c r="G49" s="520" t="str">
        <f>IF(E49="","",IF(ISNA(VLOOKUP($E49,'D-1 Off Site Habitat Baseline'!$D$1:$O$258,5,FALSE)),"",(VLOOKUP($E49,'D-1 Off Site Habitat Baseline'!$D$1:$O$258,5,FALSE))))</f>
        <v/>
      </c>
      <c r="H49" s="520" t="str">
        <f>IF(E49="","",IF(ISNA(VLOOKUP($E49,'D-1 Off Site Habitat Baseline'!$D$1:$O$258,6,FALSE)),"",(VLOOKUP($E49,'D-1 Off Site Habitat Baseline'!$D$1:$O$258,6,FALSE))))</f>
        <v/>
      </c>
      <c r="I49" s="520" t="str">
        <f>IF(E49="","",IF(ISNA(VLOOKUP($E49,'D-1 Off Site Habitat Baseline'!$D$1:$O$258,7,FALSE)),"",(VLOOKUP($E49,'D-1 Off Site Habitat Baseline'!$D$1:$O$258,7,FALSE))))</f>
        <v/>
      </c>
      <c r="J49" s="520" t="str">
        <f>IF(E49="","",IF(ISNA(VLOOKUP($E49,'D-1 Off Site Habitat Baseline'!$D$1:$O$258,8,FALSE)),"",(VLOOKUP($E49,'D-1 Off Site Habitat Baseline'!$D$1:$O$258,8,FALSE))))</f>
        <v/>
      </c>
      <c r="K49" s="520" t="str">
        <f>IF(E49="","",IF(ISNA(VLOOKUP($E49,'D-1 Off Site Habitat Baseline'!$D$1:$O$258,9,FALSE)),"",(VLOOKUP($E49,'D-1 Off Site Habitat Baseline'!$D$1:$O$258,9,FALSE))))</f>
        <v/>
      </c>
      <c r="L49" s="520" t="str">
        <f>IF(E49="","",IF(ISNA(VLOOKUP($E49,'D-1 Off Site Habitat Baseline'!$D$1:$O$258,11,FALSE)),"",(VLOOKUP($E49,'D-1 Off Site Habitat Baseline'!$D$1:$O$258,11,FALSE))))</f>
        <v/>
      </c>
      <c r="M49" s="520" t="str">
        <f>IF(E49="","",IF(ISNA(VLOOKUP($E49,'D-1 Off Site Habitat Baseline'!$D$1:$O$258,12,FALSE)),"",(VLOOKUP($E49,'D-1 Off Site Habitat Baseline'!$D$1:$O$258,12,FALSE))))</f>
        <v/>
      </c>
      <c r="N49" s="520" t="str">
        <f>IF(E49="","",IF(ISNA(VLOOKUP($E49,'D-1 Off Site Habitat Baseline'!$D$1:$X$258,14,FALSE)),"",(VLOOKUP($E49,'D-1 Off Site Habitat Baseline'!$D$1:$X$258,14,FALSE))))</f>
        <v/>
      </c>
      <c r="O49" s="524" t="str">
        <f>IF(E49="","",IF(ISNA(VLOOKUP($E49,'D-1 Off Site Habitat Baseline'!$D$1:$X$258,13,FALSE)),"",(VLOOKUP($E49,'D-1 Off Site Habitat Baseline'!$D$1:$X$258,13,FALSE))))</f>
        <v/>
      </c>
      <c r="P49" s="232" t="str">
        <f>IFERROR(INDEX('G-1 All Habitats'!$AG$3:$AG$15,MATCH(Q49,'G-1 All Habitats'!$AF$3:$AF$15,0)),"")</f>
        <v/>
      </c>
      <c r="Q49" s="228" t="str">
        <f t="shared" si="12"/>
        <v/>
      </c>
      <c r="R49" s="229" t="str">
        <f t="shared" si="13"/>
        <v/>
      </c>
      <c r="S49" s="233" t="str">
        <f>IFERROR(INDEX('G-1 All Habitats'!$B$3:$B$129,MATCH(R49,'G-1 All Habitats'!$A$3:$A$129,0)),"")</f>
        <v/>
      </c>
      <c r="T49" s="507" t="str">
        <f t="shared" si="5"/>
        <v/>
      </c>
      <c r="U49" s="524" t="str">
        <f t="shared" si="6"/>
        <v/>
      </c>
      <c r="V49" s="523" t="str">
        <f t="shared" si="2"/>
        <v/>
      </c>
      <c r="W49" s="520" t="str">
        <f>IF(S49="","",VLOOKUP(S49,'G-1 All Habitats'!$B$2:$M$129,10,FALSE))</f>
        <v/>
      </c>
      <c r="X49" s="520" t="str">
        <f>IFERROR(VLOOKUP(W49,'G-1 All Habitats'!$V$3:$W$7,2,FALSE),"")</f>
        <v/>
      </c>
      <c r="Y49" s="203"/>
      <c r="Z49" s="524" t="str">
        <f>IFERROR(INDEX('G-8 Condition Look up'!$A$3:$H$130,MATCH(S49,'G-8 Condition Look up'!$A$3:$A$130,0),MATCH(Y49,'G-8 Condition Look up'!$A$3:$H$3,0)),"")</f>
        <v/>
      </c>
      <c r="AA49" s="145"/>
      <c r="AB49" s="540" t="str">
        <f>IF(AA49="","",IF(VLOOKUP(AA49,'G-3 Multipliers'!$L$3:$N$6,2,FALSE)=0,"Spatial Data Missing ⚠",VLOOKUP(AA49,'G-3 Multipliers'!$L$3:$N$6,2,FALSE)))</f>
        <v/>
      </c>
      <c r="AC49" s="524" t="str">
        <f>IF(AA49="","",IF(VLOOKUP(AA49,'G-3 Multipliers'!$L$3:$N$6,3,FALSE)=0,"Spatial Data Missing ⚠",VLOOKUP(AA49,'G-3 Multipliers'!$L$3:$N$6,3,FALSE)))</f>
        <v/>
      </c>
      <c r="AD49" s="537" t="str">
        <f t="shared" si="3"/>
        <v/>
      </c>
      <c r="AE49" s="203"/>
      <c r="AF49" s="203"/>
      <c r="AG49" s="520" t="str">
        <f t="shared" si="7"/>
        <v/>
      </c>
      <c r="AH49" s="544" t="str">
        <f t="shared" si="8"/>
        <v/>
      </c>
      <c r="AI49" s="525" t="str">
        <f>IF(AH49="Check Data ⚠","Check Data ⚠",IFERROR(VLOOKUP(AH49,'G-4 Temporal multipliers'!$A$4:$C$36,3,FALSE),""))</f>
        <v/>
      </c>
      <c r="AJ49" s="537" t="str">
        <f>IF(S49="","",VLOOKUP(S49,'G-3 Multipliers'!$A$2:$E$129,4,FALSE))</f>
        <v/>
      </c>
      <c r="AK49" s="520" t="str">
        <f t="shared" si="9"/>
        <v/>
      </c>
      <c r="AL49" s="520" t="str">
        <f t="shared" si="10"/>
        <v/>
      </c>
      <c r="AM49" s="524" t="str">
        <f>IFERROR(IF(F49="","",IF(AH49="Check Data ⚠","Check Data ⚠",VLOOKUP(AL49, 'G-3 Multipliers'!$P$2:$Q$6,2,FALSE))),"")</f>
        <v/>
      </c>
      <c r="AN49" s="197"/>
      <c r="AO49" s="540" t="str">
        <f>IF(AN49="","",IF(VLOOKUP(AN49,'G-3 Multipliers'!$S$3:$T$9,2,FALSE)=0,"Spatial Data Missing ⚠",VLOOKUP(AN49,'G-3 Multipliers'!$S$3:$T$9,2,FALSE)))</f>
        <v/>
      </c>
      <c r="AP49" s="513" t="str">
        <f t="shared" si="11"/>
        <v/>
      </c>
      <c r="AQ49" s="231"/>
      <c r="AR49" s="150"/>
    </row>
    <row r="50" spans="1:44" x14ac:dyDescent="0.25">
      <c r="A50" s="31" t="str">
        <f>IF(E50="","",IF(ISNA(VLOOKUP($E50,'D-1 Off Site Habitat Baseline'!$D$1:$O$258,2,FALSE)),"",(VLOOKUP($E50,'D-1 Off Site Habitat Baseline'!$D$1:$O$258,2,FALSE))))</f>
        <v/>
      </c>
      <c r="B50" s="31" t="str">
        <f>IF(E50="","",IF(ISNA(VLOOKUP($E50,'D-1 Off Site Habitat Baseline'!$D$1:$O$258,3,FALSE)),"",(VLOOKUP($E50,'D-1 Off Site Habitat Baseline'!$D$1:$O$258,3,FALSE))))</f>
        <v/>
      </c>
      <c r="C50" s="31" t="str">
        <f>IFERROR(INDEX('G-8 Condition Look up'!$I$4:$I$130,MATCH(S50,'G-8 Condition Look up'!$A$4:$A$130,0)),"")</f>
        <v/>
      </c>
      <c r="E50" s="547" t="str">
        <f>'D-1 Off Site Habitat Baseline'!AL49</f>
        <v/>
      </c>
      <c r="F50" s="520" t="str">
        <f>IF(E50="","",IF(ISNA(VLOOKUP($E50,'D-1 Off Site Habitat Baseline'!$D$1:$O$258,4,FALSE)),"",(VLOOKUP($E50,'D-1 Off Site Habitat Baseline'!$D$1:$O$258,4,FALSE))))</f>
        <v/>
      </c>
      <c r="G50" s="520" t="str">
        <f>IF(E50="","",IF(ISNA(VLOOKUP($E50,'D-1 Off Site Habitat Baseline'!$D$1:$O$258,5,FALSE)),"",(VLOOKUP($E50,'D-1 Off Site Habitat Baseline'!$D$1:$O$258,5,FALSE))))</f>
        <v/>
      </c>
      <c r="H50" s="520" t="str">
        <f>IF(E50="","",IF(ISNA(VLOOKUP($E50,'D-1 Off Site Habitat Baseline'!$D$1:$O$258,6,FALSE)),"",(VLOOKUP($E50,'D-1 Off Site Habitat Baseline'!$D$1:$O$258,6,FALSE))))</f>
        <v/>
      </c>
      <c r="I50" s="520" t="str">
        <f>IF(E50="","",IF(ISNA(VLOOKUP($E50,'D-1 Off Site Habitat Baseline'!$D$1:$O$258,7,FALSE)),"",(VLOOKUP($E50,'D-1 Off Site Habitat Baseline'!$D$1:$O$258,7,FALSE))))</f>
        <v/>
      </c>
      <c r="J50" s="520" t="str">
        <f>IF(E50="","",IF(ISNA(VLOOKUP($E50,'D-1 Off Site Habitat Baseline'!$D$1:$O$258,8,FALSE)),"",(VLOOKUP($E50,'D-1 Off Site Habitat Baseline'!$D$1:$O$258,8,FALSE))))</f>
        <v/>
      </c>
      <c r="K50" s="520" t="str">
        <f>IF(E50="","",IF(ISNA(VLOOKUP($E50,'D-1 Off Site Habitat Baseline'!$D$1:$O$258,9,FALSE)),"",(VLOOKUP($E50,'D-1 Off Site Habitat Baseline'!$D$1:$O$258,9,FALSE))))</f>
        <v/>
      </c>
      <c r="L50" s="520" t="str">
        <f>IF(E50="","",IF(ISNA(VLOOKUP($E50,'D-1 Off Site Habitat Baseline'!$D$1:$O$258,11,FALSE)),"",(VLOOKUP($E50,'D-1 Off Site Habitat Baseline'!$D$1:$O$258,11,FALSE))))</f>
        <v/>
      </c>
      <c r="M50" s="520" t="str">
        <f>IF(E50="","",IF(ISNA(VLOOKUP($E50,'D-1 Off Site Habitat Baseline'!$D$1:$O$258,12,FALSE)),"",(VLOOKUP($E50,'D-1 Off Site Habitat Baseline'!$D$1:$O$258,12,FALSE))))</f>
        <v/>
      </c>
      <c r="N50" s="520" t="str">
        <f>IF(E50="","",IF(ISNA(VLOOKUP($E50,'D-1 Off Site Habitat Baseline'!$D$1:$X$258,14,FALSE)),"",(VLOOKUP($E50,'D-1 Off Site Habitat Baseline'!$D$1:$X$258,14,FALSE))))</f>
        <v/>
      </c>
      <c r="O50" s="524" t="str">
        <f>IF(E50="","",IF(ISNA(VLOOKUP($E50,'D-1 Off Site Habitat Baseline'!$D$1:$X$258,13,FALSE)),"",(VLOOKUP($E50,'D-1 Off Site Habitat Baseline'!$D$1:$X$258,13,FALSE))))</f>
        <v/>
      </c>
      <c r="P50" s="232" t="str">
        <f>IFERROR(INDEX('G-1 All Habitats'!$AG$3:$AG$15,MATCH(Q50,'G-1 All Habitats'!$AF$3:$AF$15,0)),"")</f>
        <v/>
      </c>
      <c r="Q50" s="228" t="str">
        <f t="shared" si="12"/>
        <v/>
      </c>
      <c r="R50" s="229" t="str">
        <f t="shared" si="13"/>
        <v/>
      </c>
      <c r="S50" s="233" t="str">
        <f>IFERROR(INDEX('G-1 All Habitats'!$B$3:$B$129,MATCH(R50,'G-1 All Habitats'!$A$3:$A$129,0)),"")</f>
        <v/>
      </c>
      <c r="T50" s="507" t="str">
        <f t="shared" si="5"/>
        <v/>
      </c>
      <c r="U50" s="524" t="str">
        <f t="shared" si="6"/>
        <v/>
      </c>
      <c r="V50" s="523" t="str">
        <f t="shared" si="2"/>
        <v/>
      </c>
      <c r="W50" s="520" t="str">
        <f>IF(S50="","",VLOOKUP(S50,'G-1 All Habitats'!$B$2:$M$129,10,FALSE))</f>
        <v/>
      </c>
      <c r="X50" s="520" t="str">
        <f>IFERROR(VLOOKUP(W50,'G-1 All Habitats'!$V$3:$W$7,2,FALSE),"")</f>
        <v/>
      </c>
      <c r="Y50" s="203"/>
      <c r="Z50" s="524" t="str">
        <f>IFERROR(INDEX('G-8 Condition Look up'!$A$3:$H$130,MATCH(S50,'G-8 Condition Look up'!$A$3:$A$130,0),MATCH(Y50,'G-8 Condition Look up'!$A$3:$H$3,0)),"")</f>
        <v/>
      </c>
      <c r="AA50" s="145"/>
      <c r="AB50" s="540" t="str">
        <f>IF(AA50="","",IF(VLOOKUP(AA50,'G-3 Multipliers'!$L$3:$N$6,2,FALSE)=0,"Spatial Data Missing ⚠",VLOOKUP(AA50,'G-3 Multipliers'!$L$3:$N$6,2,FALSE)))</f>
        <v/>
      </c>
      <c r="AC50" s="524" t="str">
        <f>IF(AA50="","",IF(VLOOKUP(AA50,'G-3 Multipliers'!$L$3:$N$6,3,FALSE)=0,"Spatial Data Missing ⚠",VLOOKUP(AA50,'G-3 Multipliers'!$L$3:$N$6,3,FALSE)))</f>
        <v/>
      </c>
      <c r="AD50" s="537" t="str">
        <f t="shared" si="3"/>
        <v/>
      </c>
      <c r="AE50" s="203"/>
      <c r="AF50" s="203"/>
      <c r="AG50" s="520" t="str">
        <f t="shared" si="7"/>
        <v/>
      </c>
      <c r="AH50" s="544" t="str">
        <f t="shared" si="8"/>
        <v/>
      </c>
      <c r="AI50" s="525" t="str">
        <f>IF(AH50="Check Data ⚠","Check Data ⚠",IFERROR(VLOOKUP(AH50,'G-4 Temporal multipliers'!$A$4:$C$36,3,FALSE),""))</f>
        <v/>
      </c>
      <c r="AJ50" s="537" t="str">
        <f>IF(S50="","",VLOOKUP(S50,'G-3 Multipliers'!$A$2:$E$129,4,FALSE))</f>
        <v/>
      </c>
      <c r="AK50" s="520" t="str">
        <f t="shared" si="9"/>
        <v/>
      </c>
      <c r="AL50" s="520" t="str">
        <f t="shared" si="10"/>
        <v/>
      </c>
      <c r="AM50" s="524" t="str">
        <f>IFERROR(IF(F50="","",IF(AH50="Check Data ⚠","Check Data ⚠",VLOOKUP(AL50, 'G-3 Multipliers'!$P$2:$Q$6,2,FALSE))),"")</f>
        <v/>
      </c>
      <c r="AN50" s="197"/>
      <c r="AO50" s="540" t="str">
        <f>IF(AN50="","",IF(VLOOKUP(AN50,'G-3 Multipliers'!$S$3:$T$9,2,FALSE)=0,"Spatial Data Missing ⚠",VLOOKUP(AN50,'G-3 Multipliers'!$S$3:$T$9,2,FALSE)))</f>
        <v/>
      </c>
      <c r="AP50" s="513" t="str">
        <f t="shared" si="11"/>
        <v/>
      </c>
      <c r="AQ50" s="231"/>
      <c r="AR50" s="150"/>
    </row>
    <row r="51" spans="1:44" x14ac:dyDescent="0.25">
      <c r="A51" s="31" t="str">
        <f>IF(E51="","",IF(ISNA(VLOOKUP($E51,'D-1 Off Site Habitat Baseline'!$D$1:$O$258,2,FALSE)),"",(VLOOKUP($E51,'D-1 Off Site Habitat Baseline'!$D$1:$O$258,2,FALSE))))</f>
        <v/>
      </c>
      <c r="B51" s="31" t="str">
        <f>IF(E51="","",IF(ISNA(VLOOKUP($E51,'D-1 Off Site Habitat Baseline'!$D$1:$O$258,3,FALSE)),"",(VLOOKUP($E51,'D-1 Off Site Habitat Baseline'!$D$1:$O$258,3,FALSE))))</f>
        <v/>
      </c>
      <c r="C51" s="31" t="str">
        <f>IFERROR(INDEX('G-8 Condition Look up'!$I$4:$I$130,MATCH(S51,'G-8 Condition Look up'!$A$4:$A$130,0)),"")</f>
        <v/>
      </c>
      <c r="E51" s="547" t="str">
        <f>'D-1 Off Site Habitat Baseline'!AL50</f>
        <v/>
      </c>
      <c r="F51" s="520" t="str">
        <f>IF(E51="","",IF(ISNA(VLOOKUP($E51,'D-1 Off Site Habitat Baseline'!$D$1:$O$258,4,FALSE)),"",(VLOOKUP($E51,'D-1 Off Site Habitat Baseline'!$D$1:$O$258,4,FALSE))))</f>
        <v/>
      </c>
      <c r="G51" s="520" t="str">
        <f>IF(E51="","",IF(ISNA(VLOOKUP($E51,'D-1 Off Site Habitat Baseline'!$D$1:$O$258,5,FALSE)),"",(VLOOKUP($E51,'D-1 Off Site Habitat Baseline'!$D$1:$O$258,5,FALSE))))</f>
        <v/>
      </c>
      <c r="H51" s="520" t="str">
        <f>IF(E51="","",IF(ISNA(VLOOKUP($E51,'D-1 Off Site Habitat Baseline'!$D$1:$O$258,6,FALSE)),"",(VLOOKUP($E51,'D-1 Off Site Habitat Baseline'!$D$1:$O$258,6,FALSE))))</f>
        <v/>
      </c>
      <c r="I51" s="520" t="str">
        <f>IF(E51="","",IF(ISNA(VLOOKUP($E51,'D-1 Off Site Habitat Baseline'!$D$1:$O$258,7,FALSE)),"",(VLOOKUP($E51,'D-1 Off Site Habitat Baseline'!$D$1:$O$258,7,FALSE))))</f>
        <v/>
      </c>
      <c r="J51" s="520" t="str">
        <f>IF(E51="","",IF(ISNA(VLOOKUP($E51,'D-1 Off Site Habitat Baseline'!$D$1:$O$258,8,FALSE)),"",(VLOOKUP($E51,'D-1 Off Site Habitat Baseline'!$D$1:$O$258,8,FALSE))))</f>
        <v/>
      </c>
      <c r="K51" s="520" t="str">
        <f>IF(E51="","",IF(ISNA(VLOOKUP($E51,'D-1 Off Site Habitat Baseline'!$D$1:$O$258,9,FALSE)),"",(VLOOKUP($E51,'D-1 Off Site Habitat Baseline'!$D$1:$O$258,9,FALSE))))</f>
        <v/>
      </c>
      <c r="L51" s="520" t="str">
        <f>IF(E51="","",IF(ISNA(VLOOKUP($E51,'D-1 Off Site Habitat Baseline'!$D$1:$O$258,11,FALSE)),"",(VLOOKUP($E51,'D-1 Off Site Habitat Baseline'!$D$1:$O$258,11,FALSE))))</f>
        <v/>
      </c>
      <c r="M51" s="520" t="str">
        <f>IF(E51="","",IF(ISNA(VLOOKUP($E51,'D-1 Off Site Habitat Baseline'!$D$1:$O$258,12,FALSE)),"",(VLOOKUP($E51,'D-1 Off Site Habitat Baseline'!$D$1:$O$258,12,FALSE))))</f>
        <v/>
      </c>
      <c r="N51" s="520" t="str">
        <f>IF(E51="","",IF(ISNA(VLOOKUP($E51,'D-1 Off Site Habitat Baseline'!$D$1:$X$258,14,FALSE)),"",(VLOOKUP($E51,'D-1 Off Site Habitat Baseline'!$D$1:$X$258,14,FALSE))))</f>
        <v/>
      </c>
      <c r="O51" s="524" t="str">
        <f>IF(E51="","",IF(ISNA(VLOOKUP($E51,'D-1 Off Site Habitat Baseline'!$D$1:$X$258,13,FALSE)),"",(VLOOKUP($E51,'D-1 Off Site Habitat Baseline'!$D$1:$X$258,13,FALSE))))</f>
        <v/>
      </c>
      <c r="P51" s="232" t="str">
        <f>IFERROR(INDEX('G-1 All Habitats'!$AG$3:$AG$15,MATCH(Q51,'G-1 All Habitats'!$AF$3:$AF$15,0)),"")</f>
        <v/>
      </c>
      <c r="Q51" s="228" t="str">
        <f t="shared" si="12"/>
        <v/>
      </c>
      <c r="R51" s="229" t="str">
        <f t="shared" si="13"/>
        <v/>
      </c>
      <c r="S51" s="233" t="str">
        <f>IFERROR(INDEX('G-1 All Habitats'!$B$3:$B$129,MATCH(R51,'G-1 All Habitats'!$A$3:$A$129,0)),"")</f>
        <v/>
      </c>
      <c r="T51" s="507" t="str">
        <f t="shared" si="5"/>
        <v/>
      </c>
      <c r="U51" s="524" t="str">
        <f t="shared" si="6"/>
        <v/>
      </c>
      <c r="V51" s="523" t="str">
        <f t="shared" si="2"/>
        <v/>
      </c>
      <c r="W51" s="520" t="str">
        <f>IF(S51="","",VLOOKUP(S51,'G-1 All Habitats'!$B$2:$M$129,10,FALSE))</f>
        <v/>
      </c>
      <c r="X51" s="520" t="str">
        <f>IFERROR(VLOOKUP(W51,'G-1 All Habitats'!$V$3:$W$7,2,FALSE),"")</f>
        <v/>
      </c>
      <c r="Y51" s="203"/>
      <c r="Z51" s="524" t="str">
        <f>IFERROR(INDEX('G-8 Condition Look up'!$A$3:$H$130,MATCH(S51,'G-8 Condition Look up'!$A$3:$A$130,0),MATCH(Y51,'G-8 Condition Look up'!$A$3:$H$3,0)),"")</f>
        <v/>
      </c>
      <c r="AA51" s="145"/>
      <c r="AB51" s="540" t="str">
        <f>IF(AA51="","",IF(VLOOKUP(AA51,'G-3 Multipliers'!$L$3:$N$6,2,FALSE)=0,"Spatial Data Missing ⚠",VLOOKUP(AA51,'G-3 Multipliers'!$L$3:$N$6,2,FALSE)))</f>
        <v/>
      </c>
      <c r="AC51" s="524" t="str">
        <f>IF(AA51="","",IF(VLOOKUP(AA51,'G-3 Multipliers'!$L$3:$N$6,3,FALSE)=0,"Spatial Data Missing ⚠",VLOOKUP(AA51,'G-3 Multipliers'!$L$3:$N$6,3,FALSE)))</f>
        <v/>
      </c>
      <c r="AD51" s="537" t="str">
        <f t="shared" si="3"/>
        <v/>
      </c>
      <c r="AE51" s="203"/>
      <c r="AF51" s="203"/>
      <c r="AG51" s="520" t="str">
        <f t="shared" si="7"/>
        <v/>
      </c>
      <c r="AH51" s="544" t="str">
        <f t="shared" si="8"/>
        <v/>
      </c>
      <c r="AI51" s="525" t="str">
        <f>IF(AH51="Check Data ⚠","Check Data ⚠",IFERROR(VLOOKUP(AH51,'G-4 Temporal multipliers'!$A$4:$C$36,3,FALSE),""))</f>
        <v/>
      </c>
      <c r="AJ51" s="537" t="str">
        <f>IF(S51="","",VLOOKUP(S51,'G-3 Multipliers'!$A$2:$E$129,4,FALSE))</f>
        <v/>
      </c>
      <c r="AK51" s="520" t="str">
        <f t="shared" si="9"/>
        <v/>
      </c>
      <c r="AL51" s="520" t="str">
        <f t="shared" si="10"/>
        <v/>
      </c>
      <c r="AM51" s="524" t="str">
        <f>IFERROR(IF(F51="","",IF(AH51="Check Data ⚠","Check Data ⚠",VLOOKUP(AL51, 'G-3 Multipliers'!$P$2:$Q$6,2,FALSE))),"")</f>
        <v/>
      </c>
      <c r="AN51" s="197"/>
      <c r="AO51" s="540" t="str">
        <f>IF(AN51="","",IF(VLOOKUP(AN51,'G-3 Multipliers'!$S$3:$T$9,2,FALSE)=0,"Spatial Data Missing ⚠",VLOOKUP(AN51,'G-3 Multipliers'!$S$3:$T$9,2,FALSE)))</f>
        <v/>
      </c>
      <c r="AP51" s="513" t="str">
        <f t="shared" si="11"/>
        <v/>
      </c>
      <c r="AQ51" s="231"/>
      <c r="AR51" s="150"/>
    </row>
    <row r="52" spans="1:44" x14ac:dyDescent="0.25">
      <c r="A52" s="31" t="str">
        <f>IF(E52="","",IF(ISNA(VLOOKUP($E52,'D-1 Off Site Habitat Baseline'!$D$1:$O$258,2,FALSE)),"",(VLOOKUP($E52,'D-1 Off Site Habitat Baseline'!$D$1:$O$258,2,FALSE))))</f>
        <v/>
      </c>
      <c r="B52" s="31" t="str">
        <f>IF(E52="","",IF(ISNA(VLOOKUP($E52,'D-1 Off Site Habitat Baseline'!$D$1:$O$258,3,FALSE)),"",(VLOOKUP($E52,'D-1 Off Site Habitat Baseline'!$D$1:$O$258,3,FALSE))))</f>
        <v/>
      </c>
      <c r="C52" s="31" t="str">
        <f>IFERROR(INDEX('G-8 Condition Look up'!$I$4:$I$130,MATCH(S52,'G-8 Condition Look up'!$A$4:$A$130,0)),"")</f>
        <v/>
      </c>
      <c r="E52" s="547" t="str">
        <f>'D-1 Off Site Habitat Baseline'!AL51</f>
        <v/>
      </c>
      <c r="F52" s="520" t="str">
        <f>IF(E52="","",IF(ISNA(VLOOKUP($E52,'D-1 Off Site Habitat Baseline'!$D$1:$O$258,4,FALSE)),"",(VLOOKUP($E52,'D-1 Off Site Habitat Baseline'!$D$1:$O$258,4,FALSE))))</f>
        <v/>
      </c>
      <c r="G52" s="520" t="str">
        <f>IF(E52="","",IF(ISNA(VLOOKUP($E52,'D-1 Off Site Habitat Baseline'!$D$1:$O$258,5,FALSE)),"",(VLOOKUP($E52,'D-1 Off Site Habitat Baseline'!$D$1:$O$258,5,FALSE))))</f>
        <v/>
      </c>
      <c r="H52" s="520" t="str">
        <f>IF(E52="","",IF(ISNA(VLOOKUP($E52,'D-1 Off Site Habitat Baseline'!$D$1:$O$258,6,FALSE)),"",(VLOOKUP($E52,'D-1 Off Site Habitat Baseline'!$D$1:$O$258,6,FALSE))))</f>
        <v/>
      </c>
      <c r="I52" s="520" t="str">
        <f>IF(E52="","",IF(ISNA(VLOOKUP($E52,'D-1 Off Site Habitat Baseline'!$D$1:$O$258,7,FALSE)),"",(VLOOKUP($E52,'D-1 Off Site Habitat Baseline'!$D$1:$O$258,7,FALSE))))</f>
        <v/>
      </c>
      <c r="J52" s="520" t="str">
        <f>IF(E52="","",IF(ISNA(VLOOKUP($E52,'D-1 Off Site Habitat Baseline'!$D$1:$O$258,8,FALSE)),"",(VLOOKUP($E52,'D-1 Off Site Habitat Baseline'!$D$1:$O$258,8,FALSE))))</f>
        <v/>
      </c>
      <c r="K52" s="520" t="str">
        <f>IF(E52="","",IF(ISNA(VLOOKUP($E52,'D-1 Off Site Habitat Baseline'!$D$1:$O$258,9,FALSE)),"",(VLOOKUP($E52,'D-1 Off Site Habitat Baseline'!$D$1:$O$258,9,FALSE))))</f>
        <v/>
      </c>
      <c r="L52" s="520" t="str">
        <f>IF(E52="","",IF(ISNA(VLOOKUP($E52,'D-1 Off Site Habitat Baseline'!$D$1:$O$258,11,FALSE)),"",(VLOOKUP($E52,'D-1 Off Site Habitat Baseline'!$D$1:$O$258,11,FALSE))))</f>
        <v/>
      </c>
      <c r="M52" s="520" t="str">
        <f>IF(E52="","",IF(ISNA(VLOOKUP($E52,'D-1 Off Site Habitat Baseline'!$D$1:$O$258,12,FALSE)),"",(VLOOKUP($E52,'D-1 Off Site Habitat Baseline'!$D$1:$O$258,12,FALSE))))</f>
        <v/>
      </c>
      <c r="N52" s="520" t="str">
        <f>IF(E52="","",IF(ISNA(VLOOKUP($E52,'D-1 Off Site Habitat Baseline'!$D$1:$X$258,14,FALSE)),"",(VLOOKUP($E52,'D-1 Off Site Habitat Baseline'!$D$1:$X$258,14,FALSE))))</f>
        <v/>
      </c>
      <c r="O52" s="524" t="str">
        <f>IF(E52="","",IF(ISNA(VLOOKUP($E52,'D-1 Off Site Habitat Baseline'!$D$1:$X$258,13,FALSE)),"",(VLOOKUP($E52,'D-1 Off Site Habitat Baseline'!$D$1:$X$258,13,FALSE))))</f>
        <v/>
      </c>
      <c r="P52" s="232" t="str">
        <f>IFERROR(INDEX('G-1 All Habitats'!$AG$3:$AG$15,MATCH(Q52,'G-1 All Habitats'!$AF$3:$AF$15,0)),"")</f>
        <v/>
      </c>
      <c r="Q52" s="228" t="str">
        <f t="shared" si="12"/>
        <v/>
      </c>
      <c r="R52" s="229" t="str">
        <f t="shared" si="13"/>
        <v/>
      </c>
      <c r="S52" s="233" t="str">
        <f>IFERROR(INDEX('G-1 All Habitats'!$B$3:$B$129,MATCH(R52,'G-1 All Habitats'!$A$3:$A$129,0)),"")</f>
        <v/>
      </c>
      <c r="T52" s="507" t="str">
        <f t="shared" si="5"/>
        <v/>
      </c>
      <c r="U52" s="524" t="str">
        <f t="shared" si="6"/>
        <v/>
      </c>
      <c r="V52" s="523" t="str">
        <f t="shared" si="2"/>
        <v/>
      </c>
      <c r="W52" s="520" t="str">
        <f>IF(S52="","",VLOOKUP(S52,'G-1 All Habitats'!$B$2:$M$129,10,FALSE))</f>
        <v/>
      </c>
      <c r="X52" s="520" t="str">
        <f>IFERROR(VLOOKUP(W52,'G-1 All Habitats'!$V$3:$W$7,2,FALSE),"")</f>
        <v/>
      </c>
      <c r="Y52" s="203"/>
      <c r="Z52" s="524" t="str">
        <f>IFERROR(INDEX('G-8 Condition Look up'!$A$3:$H$130,MATCH(S52,'G-8 Condition Look up'!$A$3:$A$130,0),MATCH(Y52,'G-8 Condition Look up'!$A$3:$H$3,0)),"")</f>
        <v/>
      </c>
      <c r="AA52" s="145"/>
      <c r="AB52" s="540" t="str">
        <f>IF(AA52="","",IF(VLOOKUP(AA52,'G-3 Multipliers'!$L$3:$N$6,2,FALSE)=0,"Spatial Data Missing ⚠",VLOOKUP(AA52,'G-3 Multipliers'!$L$3:$N$6,2,FALSE)))</f>
        <v/>
      </c>
      <c r="AC52" s="524" t="str">
        <f>IF(AA52="","",IF(VLOOKUP(AA52,'G-3 Multipliers'!$L$3:$N$6,3,FALSE)=0,"Spatial Data Missing ⚠",VLOOKUP(AA52,'G-3 Multipliers'!$L$3:$N$6,3,FALSE)))</f>
        <v/>
      </c>
      <c r="AD52" s="537" t="str">
        <f t="shared" si="3"/>
        <v/>
      </c>
      <c r="AE52" s="203"/>
      <c r="AF52" s="203"/>
      <c r="AG52" s="520" t="str">
        <f t="shared" si="7"/>
        <v/>
      </c>
      <c r="AH52" s="544" t="str">
        <f t="shared" si="8"/>
        <v/>
      </c>
      <c r="AI52" s="525" t="str">
        <f>IF(AH52="Check Data ⚠","Check Data ⚠",IFERROR(VLOOKUP(AH52,'G-4 Temporal multipliers'!$A$4:$C$36,3,FALSE),""))</f>
        <v/>
      </c>
      <c r="AJ52" s="537" t="str">
        <f>IF(S52="","",VLOOKUP(S52,'G-3 Multipliers'!$A$2:$E$129,4,FALSE))</f>
        <v/>
      </c>
      <c r="AK52" s="520" t="str">
        <f t="shared" si="9"/>
        <v/>
      </c>
      <c r="AL52" s="520" t="str">
        <f t="shared" si="10"/>
        <v/>
      </c>
      <c r="AM52" s="524" t="str">
        <f>IFERROR(IF(F52="","",IF(AH52="Check Data ⚠","Check Data ⚠",VLOOKUP(AL52, 'G-3 Multipliers'!$P$2:$Q$6,2,FALSE))),"")</f>
        <v/>
      </c>
      <c r="AN52" s="197"/>
      <c r="AO52" s="540" t="str">
        <f>IF(AN52="","",IF(VLOOKUP(AN52,'G-3 Multipliers'!$S$3:$T$9,2,FALSE)=0,"Spatial Data Missing ⚠",VLOOKUP(AN52,'G-3 Multipliers'!$S$3:$T$9,2,FALSE)))</f>
        <v/>
      </c>
      <c r="AP52" s="513" t="str">
        <f t="shared" si="11"/>
        <v/>
      </c>
      <c r="AQ52" s="231"/>
      <c r="AR52" s="150"/>
    </row>
    <row r="53" spans="1:44" x14ac:dyDescent="0.25">
      <c r="A53" s="31" t="str">
        <f>IF(E53="","",IF(ISNA(VLOOKUP($E53,'D-1 Off Site Habitat Baseline'!$D$1:$O$258,2,FALSE)),"",(VLOOKUP($E53,'D-1 Off Site Habitat Baseline'!$D$1:$O$258,2,FALSE))))</f>
        <v/>
      </c>
      <c r="B53" s="31" t="str">
        <f>IF(E53="","",IF(ISNA(VLOOKUP($E53,'D-1 Off Site Habitat Baseline'!$D$1:$O$258,3,FALSE)),"",(VLOOKUP($E53,'D-1 Off Site Habitat Baseline'!$D$1:$O$258,3,FALSE))))</f>
        <v/>
      </c>
      <c r="C53" s="31" t="str">
        <f>IFERROR(INDEX('G-8 Condition Look up'!$I$4:$I$130,MATCH(S53,'G-8 Condition Look up'!$A$4:$A$130,0)),"")</f>
        <v/>
      </c>
      <c r="E53" s="547" t="str">
        <f>'D-1 Off Site Habitat Baseline'!AL52</f>
        <v/>
      </c>
      <c r="F53" s="520" t="str">
        <f>IF(E53="","",IF(ISNA(VLOOKUP($E53,'D-1 Off Site Habitat Baseline'!$D$1:$O$258,4,FALSE)),"",(VLOOKUP($E53,'D-1 Off Site Habitat Baseline'!$D$1:$O$258,4,FALSE))))</f>
        <v/>
      </c>
      <c r="G53" s="520" t="str">
        <f>IF(E53="","",IF(ISNA(VLOOKUP($E53,'D-1 Off Site Habitat Baseline'!$D$1:$O$258,5,FALSE)),"",(VLOOKUP($E53,'D-1 Off Site Habitat Baseline'!$D$1:$O$258,5,FALSE))))</f>
        <v/>
      </c>
      <c r="H53" s="520" t="str">
        <f>IF(E53="","",IF(ISNA(VLOOKUP($E53,'D-1 Off Site Habitat Baseline'!$D$1:$O$258,6,FALSE)),"",(VLOOKUP($E53,'D-1 Off Site Habitat Baseline'!$D$1:$O$258,6,FALSE))))</f>
        <v/>
      </c>
      <c r="I53" s="520" t="str">
        <f>IF(E53="","",IF(ISNA(VLOOKUP($E53,'D-1 Off Site Habitat Baseline'!$D$1:$O$258,7,FALSE)),"",(VLOOKUP($E53,'D-1 Off Site Habitat Baseline'!$D$1:$O$258,7,FALSE))))</f>
        <v/>
      </c>
      <c r="J53" s="520" t="str">
        <f>IF(E53="","",IF(ISNA(VLOOKUP($E53,'D-1 Off Site Habitat Baseline'!$D$1:$O$258,8,FALSE)),"",(VLOOKUP($E53,'D-1 Off Site Habitat Baseline'!$D$1:$O$258,8,FALSE))))</f>
        <v/>
      </c>
      <c r="K53" s="520" t="str">
        <f>IF(E53="","",IF(ISNA(VLOOKUP($E53,'D-1 Off Site Habitat Baseline'!$D$1:$O$258,9,FALSE)),"",(VLOOKUP($E53,'D-1 Off Site Habitat Baseline'!$D$1:$O$258,9,FALSE))))</f>
        <v/>
      </c>
      <c r="L53" s="520" t="str">
        <f>IF(E53="","",IF(ISNA(VLOOKUP($E53,'D-1 Off Site Habitat Baseline'!$D$1:$O$258,11,FALSE)),"",(VLOOKUP($E53,'D-1 Off Site Habitat Baseline'!$D$1:$O$258,11,FALSE))))</f>
        <v/>
      </c>
      <c r="M53" s="520" t="str">
        <f>IF(E53="","",IF(ISNA(VLOOKUP($E53,'D-1 Off Site Habitat Baseline'!$D$1:$O$258,12,FALSE)),"",(VLOOKUP($E53,'D-1 Off Site Habitat Baseline'!$D$1:$O$258,12,FALSE))))</f>
        <v/>
      </c>
      <c r="N53" s="520" t="str">
        <f>IF(E53="","",IF(ISNA(VLOOKUP($E53,'D-1 Off Site Habitat Baseline'!$D$1:$X$258,14,FALSE)),"",(VLOOKUP($E53,'D-1 Off Site Habitat Baseline'!$D$1:$X$258,14,FALSE))))</f>
        <v/>
      </c>
      <c r="O53" s="524" t="str">
        <f>IF(E53="","",IF(ISNA(VLOOKUP($E53,'D-1 Off Site Habitat Baseline'!$D$1:$X$258,13,FALSE)),"",(VLOOKUP($E53,'D-1 Off Site Habitat Baseline'!$D$1:$X$258,13,FALSE))))</f>
        <v/>
      </c>
      <c r="P53" s="232" t="str">
        <f>IFERROR(INDEX('G-1 All Habitats'!$AG$3:$AG$15,MATCH(Q53,'G-1 All Habitats'!$AF$3:$AF$15,0)),"")</f>
        <v/>
      </c>
      <c r="Q53" s="228" t="str">
        <f t="shared" si="12"/>
        <v/>
      </c>
      <c r="R53" s="229" t="str">
        <f t="shared" si="13"/>
        <v/>
      </c>
      <c r="S53" s="233" t="str">
        <f>IFERROR(INDEX('G-1 All Habitats'!$B$3:$B$129,MATCH(R53,'G-1 All Habitats'!$A$3:$A$129,0)),"")</f>
        <v/>
      </c>
      <c r="T53" s="507" t="str">
        <f t="shared" si="5"/>
        <v/>
      </c>
      <c r="U53" s="524" t="str">
        <f t="shared" si="6"/>
        <v/>
      </c>
      <c r="V53" s="523" t="str">
        <f t="shared" si="2"/>
        <v/>
      </c>
      <c r="W53" s="520" t="str">
        <f>IF(S53="","",VLOOKUP(S53,'G-1 All Habitats'!$B$2:$M$129,10,FALSE))</f>
        <v/>
      </c>
      <c r="X53" s="520" t="str">
        <f>IFERROR(VLOOKUP(W53,'G-1 All Habitats'!$V$3:$W$7,2,FALSE),"")</f>
        <v/>
      </c>
      <c r="Y53" s="203"/>
      <c r="Z53" s="524" t="str">
        <f>IFERROR(INDEX('G-8 Condition Look up'!$A$3:$H$130,MATCH(S53,'G-8 Condition Look up'!$A$3:$A$130,0),MATCH(Y53,'G-8 Condition Look up'!$A$3:$H$3,0)),"")</f>
        <v/>
      </c>
      <c r="AA53" s="145"/>
      <c r="AB53" s="540" t="str">
        <f>IF(AA53="","",IF(VLOOKUP(AA53,'G-3 Multipliers'!$L$3:$N$6,2,FALSE)=0,"Spatial Data Missing ⚠",VLOOKUP(AA53,'G-3 Multipliers'!$L$3:$N$6,2,FALSE)))</f>
        <v/>
      </c>
      <c r="AC53" s="524" t="str">
        <f>IF(AA53="","",IF(VLOOKUP(AA53,'G-3 Multipliers'!$L$3:$N$6,3,FALSE)=0,"Spatial Data Missing ⚠",VLOOKUP(AA53,'G-3 Multipliers'!$L$3:$N$6,3,FALSE)))</f>
        <v/>
      </c>
      <c r="AD53" s="537" t="str">
        <f t="shared" si="3"/>
        <v/>
      </c>
      <c r="AE53" s="203"/>
      <c r="AF53" s="203"/>
      <c r="AG53" s="520" t="str">
        <f t="shared" si="7"/>
        <v/>
      </c>
      <c r="AH53" s="544" t="str">
        <f t="shared" si="8"/>
        <v/>
      </c>
      <c r="AI53" s="525" t="str">
        <f>IF(AH53="Check Data ⚠","Check Data ⚠",IFERROR(VLOOKUP(AH53,'G-4 Temporal multipliers'!$A$4:$C$36,3,FALSE),""))</f>
        <v/>
      </c>
      <c r="AJ53" s="537" t="str">
        <f>IF(S53="","",VLOOKUP(S53,'G-3 Multipliers'!$A$2:$E$129,4,FALSE))</f>
        <v/>
      </c>
      <c r="AK53" s="520" t="str">
        <f t="shared" si="9"/>
        <v/>
      </c>
      <c r="AL53" s="520" t="str">
        <f t="shared" si="10"/>
        <v/>
      </c>
      <c r="AM53" s="524" t="str">
        <f>IFERROR(IF(F53="","",IF(AH53="Check Data ⚠","Check Data ⚠",VLOOKUP(AL53, 'G-3 Multipliers'!$P$2:$Q$6,2,FALSE))),"")</f>
        <v/>
      </c>
      <c r="AN53" s="197"/>
      <c r="AO53" s="540" t="str">
        <f>IF(AN53="","",IF(VLOOKUP(AN53,'G-3 Multipliers'!$S$3:$T$9,2,FALSE)=0,"Spatial Data Missing ⚠",VLOOKUP(AN53,'G-3 Multipliers'!$S$3:$T$9,2,FALSE)))</f>
        <v/>
      </c>
      <c r="AP53" s="513" t="str">
        <f t="shared" si="11"/>
        <v/>
      </c>
      <c r="AQ53" s="231"/>
      <c r="AR53" s="150"/>
    </row>
    <row r="54" spans="1:44" x14ac:dyDescent="0.25">
      <c r="A54" s="31" t="str">
        <f>IF(E54="","",IF(ISNA(VLOOKUP($E54,'D-1 Off Site Habitat Baseline'!$D$1:$O$258,2,FALSE)),"",(VLOOKUP($E54,'D-1 Off Site Habitat Baseline'!$D$1:$O$258,2,FALSE))))</f>
        <v/>
      </c>
      <c r="B54" s="31" t="str">
        <f>IF(E54="","",IF(ISNA(VLOOKUP($E54,'D-1 Off Site Habitat Baseline'!$D$1:$O$258,3,FALSE)),"",(VLOOKUP($E54,'D-1 Off Site Habitat Baseline'!$D$1:$O$258,3,FALSE))))</f>
        <v/>
      </c>
      <c r="C54" s="31" t="str">
        <f>IFERROR(INDEX('G-8 Condition Look up'!$I$4:$I$130,MATCH(S54,'G-8 Condition Look up'!$A$4:$A$130,0)),"")</f>
        <v/>
      </c>
      <c r="E54" s="547" t="str">
        <f>'D-1 Off Site Habitat Baseline'!AL53</f>
        <v/>
      </c>
      <c r="F54" s="520" t="str">
        <f>IF(E54="","",IF(ISNA(VLOOKUP($E54,'D-1 Off Site Habitat Baseline'!$D$1:$O$258,4,FALSE)),"",(VLOOKUP($E54,'D-1 Off Site Habitat Baseline'!$D$1:$O$258,4,FALSE))))</f>
        <v/>
      </c>
      <c r="G54" s="520" t="str">
        <f>IF(E54="","",IF(ISNA(VLOOKUP($E54,'D-1 Off Site Habitat Baseline'!$D$1:$O$258,5,FALSE)),"",(VLOOKUP($E54,'D-1 Off Site Habitat Baseline'!$D$1:$O$258,5,FALSE))))</f>
        <v/>
      </c>
      <c r="H54" s="520" t="str">
        <f>IF(E54="","",IF(ISNA(VLOOKUP($E54,'D-1 Off Site Habitat Baseline'!$D$1:$O$258,6,FALSE)),"",(VLOOKUP($E54,'D-1 Off Site Habitat Baseline'!$D$1:$O$258,6,FALSE))))</f>
        <v/>
      </c>
      <c r="I54" s="520" t="str">
        <f>IF(E54="","",IF(ISNA(VLOOKUP($E54,'D-1 Off Site Habitat Baseline'!$D$1:$O$258,7,FALSE)),"",(VLOOKUP($E54,'D-1 Off Site Habitat Baseline'!$D$1:$O$258,7,FALSE))))</f>
        <v/>
      </c>
      <c r="J54" s="520" t="str">
        <f>IF(E54="","",IF(ISNA(VLOOKUP($E54,'D-1 Off Site Habitat Baseline'!$D$1:$O$258,8,FALSE)),"",(VLOOKUP($E54,'D-1 Off Site Habitat Baseline'!$D$1:$O$258,8,FALSE))))</f>
        <v/>
      </c>
      <c r="K54" s="520" t="str">
        <f>IF(E54="","",IF(ISNA(VLOOKUP($E54,'D-1 Off Site Habitat Baseline'!$D$1:$O$258,9,FALSE)),"",(VLOOKUP($E54,'D-1 Off Site Habitat Baseline'!$D$1:$O$258,9,FALSE))))</f>
        <v/>
      </c>
      <c r="L54" s="520" t="str">
        <f>IF(E54="","",IF(ISNA(VLOOKUP($E54,'D-1 Off Site Habitat Baseline'!$D$1:$O$258,11,FALSE)),"",(VLOOKUP($E54,'D-1 Off Site Habitat Baseline'!$D$1:$O$258,11,FALSE))))</f>
        <v/>
      </c>
      <c r="M54" s="520" t="str">
        <f>IF(E54="","",IF(ISNA(VLOOKUP($E54,'D-1 Off Site Habitat Baseline'!$D$1:$O$258,12,FALSE)),"",(VLOOKUP($E54,'D-1 Off Site Habitat Baseline'!$D$1:$O$258,12,FALSE))))</f>
        <v/>
      </c>
      <c r="N54" s="520" t="str">
        <f>IF(E54="","",IF(ISNA(VLOOKUP($E54,'D-1 Off Site Habitat Baseline'!$D$1:$X$258,14,FALSE)),"",(VLOOKUP($E54,'D-1 Off Site Habitat Baseline'!$D$1:$X$258,14,FALSE))))</f>
        <v/>
      </c>
      <c r="O54" s="524" t="str">
        <f>IF(E54="","",IF(ISNA(VLOOKUP($E54,'D-1 Off Site Habitat Baseline'!$D$1:$X$258,13,FALSE)),"",(VLOOKUP($E54,'D-1 Off Site Habitat Baseline'!$D$1:$X$258,13,FALSE))))</f>
        <v/>
      </c>
      <c r="P54" s="232" t="str">
        <f>IFERROR(INDEX('G-1 All Habitats'!$AG$3:$AG$15,MATCH(Q54,'G-1 All Habitats'!$AF$3:$AF$15,0)),"")</f>
        <v/>
      </c>
      <c r="Q54" s="228" t="str">
        <f t="shared" si="12"/>
        <v/>
      </c>
      <c r="R54" s="229" t="str">
        <f t="shared" si="13"/>
        <v/>
      </c>
      <c r="S54" s="233" t="str">
        <f>IFERROR(INDEX('G-1 All Habitats'!$B$3:$B$129,MATCH(R54,'G-1 All Habitats'!$A$3:$A$129,0)),"")</f>
        <v/>
      </c>
      <c r="T54" s="507" t="str">
        <f t="shared" si="5"/>
        <v/>
      </c>
      <c r="U54" s="524" t="str">
        <f t="shared" si="6"/>
        <v/>
      </c>
      <c r="V54" s="523" t="str">
        <f t="shared" si="2"/>
        <v/>
      </c>
      <c r="W54" s="520" t="str">
        <f>IF(S54="","",VLOOKUP(S54,'G-1 All Habitats'!$B$2:$M$129,10,FALSE))</f>
        <v/>
      </c>
      <c r="X54" s="520" t="str">
        <f>IFERROR(VLOOKUP(W54,'G-1 All Habitats'!$V$3:$W$7,2,FALSE),"")</f>
        <v/>
      </c>
      <c r="Y54" s="203"/>
      <c r="Z54" s="524" t="str">
        <f>IFERROR(INDEX('G-8 Condition Look up'!$A$3:$H$130,MATCH(S54,'G-8 Condition Look up'!$A$3:$A$130,0),MATCH(Y54,'G-8 Condition Look up'!$A$3:$H$3,0)),"")</f>
        <v/>
      </c>
      <c r="AA54" s="145"/>
      <c r="AB54" s="540" t="str">
        <f>IF(AA54="","",IF(VLOOKUP(AA54,'G-3 Multipliers'!$L$3:$N$6,2,FALSE)=0,"Spatial Data Missing ⚠",VLOOKUP(AA54,'G-3 Multipliers'!$L$3:$N$6,2,FALSE)))</f>
        <v/>
      </c>
      <c r="AC54" s="524" t="str">
        <f>IF(AA54="","",IF(VLOOKUP(AA54,'G-3 Multipliers'!$L$3:$N$6,3,FALSE)=0,"Spatial Data Missing ⚠",VLOOKUP(AA54,'G-3 Multipliers'!$L$3:$N$6,3,FALSE)))</f>
        <v/>
      </c>
      <c r="AD54" s="537" t="str">
        <f t="shared" si="3"/>
        <v/>
      </c>
      <c r="AE54" s="203"/>
      <c r="AF54" s="203"/>
      <c r="AG54" s="520" t="str">
        <f t="shared" si="7"/>
        <v/>
      </c>
      <c r="AH54" s="544" t="str">
        <f t="shared" si="8"/>
        <v/>
      </c>
      <c r="AI54" s="525" t="str">
        <f>IF(AH54="Check Data ⚠","Check Data ⚠",IFERROR(VLOOKUP(AH54,'G-4 Temporal multipliers'!$A$4:$C$36,3,FALSE),""))</f>
        <v/>
      </c>
      <c r="AJ54" s="537" t="str">
        <f>IF(S54="","",VLOOKUP(S54,'G-3 Multipliers'!$A$2:$E$129,4,FALSE))</f>
        <v/>
      </c>
      <c r="AK54" s="520" t="str">
        <f t="shared" si="9"/>
        <v/>
      </c>
      <c r="AL54" s="520" t="str">
        <f t="shared" si="10"/>
        <v/>
      </c>
      <c r="AM54" s="524" t="str">
        <f>IFERROR(IF(F54="","",IF(AH54="Check Data ⚠","Check Data ⚠",VLOOKUP(AL54, 'G-3 Multipliers'!$P$2:$Q$6,2,FALSE))),"")</f>
        <v/>
      </c>
      <c r="AN54" s="197"/>
      <c r="AO54" s="540" t="str">
        <f>IF(AN54="","",IF(VLOOKUP(AN54,'G-3 Multipliers'!$S$3:$T$9,2,FALSE)=0,"Spatial Data Missing ⚠",VLOOKUP(AN54,'G-3 Multipliers'!$S$3:$T$9,2,FALSE)))</f>
        <v/>
      </c>
      <c r="AP54" s="513" t="str">
        <f t="shared" si="11"/>
        <v/>
      </c>
      <c r="AQ54" s="231"/>
      <c r="AR54" s="150"/>
    </row>
    <row r="55" spans="1:44" x14ac:dyDescent="0.25">
      <c r="A55" s="31" t="str">
        <f>IF(E55="","",IF(ISNA(VLOOKUP($E55,'D-1 Off Site Habitat Baseline'!$D$1:$O$258,2,FALSE)),"",(VLOOKUP($E55,'D-1 Off Site Habitat Baseline'!$D$1:$O$258,2,FALSE))))</f>
        <v/>
      </c>
      <c r="B55" s="31" t="str">
        <f>IF(E55="","",IF(ISNA(VLOOKUP($E55,'D-1 Off Site Habitat Baseline'!$D$1:$O$258,3,FALSE)),"",(VLOOKUP($E55,'D-1 Off Site Habitat Baseline'!$D$1:$O$258,3,FALSE))))</f>
        <v/>
      </c>
      <c r="C55" s="31" t="str">
        <f>IFERROR(INDEX('G-8 Condition Look up'!$I$4:$I$130,MATCH(S55,'G-8 Condition Look up'!$A$4:$A$130,0)),"")</f>
        <v/>
      </c>
      <c r="E55" s="547" t="str">
        <f>'D-1 Off Site Habitat Baseline'!AL54</f>
        <v/>
      </c>
      <c r="F55" s="520" t="str">
        <f>IF(E55="","",IF(ISNA(VLOOKUP($E55,'D-1 Off Site Habitat Baseline'!$D$1:$O$258,4,FALSE)),"",(VLOOKUP($E55,'D-1 Off Site Habitat Baseline'!$D$1:$O$258,4,FALSE))))</f>
        <v/>
      </c>
      <c r="G55" s="520" t="str">
        <f>IF(E55="","",IF(ISNA(VLOOKUP($E55,'D-1 Off Site Habitat Baseline'!$D$1:$O$258,5,FALSE)),"",(VLOOKUP($E55,'D-1 Off Site Habitat Baseline'!$D$1:$O$258,5,FALSE))))</f>
        <v/>
      </c>
      <c r="H55" s="520" t="str">
        <f>IF(E55="","",IF(ISNA(VLOOKUP($E55,'D-1 Off Site Habitat Baseline'!$D$1:$O$258,6,FALSE)),"",(VLOOKUP($E55,'D-1 Off Site Habitat Baseline'!$D$1:$O$258,6,FALSE))))</f>
        <v/>
      </c>
      <c r="I55" s="520" t="str">
        <f>IF(E55="","",IF(ISNA(VLOOKUP($E55,'D-1 Off Site Habitat Baseline'!$D$1:$O$258,7,FALSE)),"",(VLOOKUP($E55,'D-1 Off Site Habitat Baseline'!$D$1:$O$258,7,FALSE))))</f>
        <v/>
      </c>
      <c r="J55" s="520" t="str">
        <f>IF(E55="","",IF(ISNA(VLOOKUP($E55,'D-1 Off Site Habitat Baseline'!$D$1:$O$258,8,FALSE)),"",(VLOOKUP($E55,'D-1 Off Site Habitat Baseline'!$D$1:$O$258,8,FALSE))))</f>
        <v/>
      </c>
      <c r="K55" s="520" t="str">
        <f>IF(E55="","",IF(ISNA(VLOOKUP($E55,'D-1 Off Site Habitat Baseline'!$D$1:$O$258,9,FALSE)),"",(VLOOKUP($E55,'D-1 Off Site Habitat Baseline'!$D$1:$O$258,9,FALSE))))</f>
        <v/>
      </c>
      <c r="L55" s="520" t="str">
        <f>IF(E55="","",IF(ISNA(VLOOKUP($E55,'D-1 Off Site Habitat Baseline'!$D$1:$O$258,11,FALSE)),"",(VLOOKUP($E55,'D-1 Off Site Habitat Baseline'!$D$1:$O$258,11,FALSE))))</f>
        <v/>
      </c>
      <c r="M55" s="520" t="str">
        <f>IF(E55="","",IF(ISNA(VLOOKUP($E55,'D-1 Off Site Habitat Baseline'!$D$1:$O$258,12,FALSE)),"",(VLOOKUP($E55,'D-1 Off Site Habitat Baseline'!$D$1:$O$258,12,FALSE))))</f>
        <v/>
      </c>
      <c r="N55" s="520" t="str">
        <f>IF(E55="","",IF(ISNA(VLOOKUP($E55,'D-1 Off Site Habitat Baseline'!$D$1:$X$258,14,FALSE)),"",(VLOOKUP($E55,'D-1 Off Site Habitat Baseline'!$D$1:$X$258,14,FALSE))))</f>
        <v/>
      </c>
      <c r="O55" s="524" t="str">
        <f>IF(E55="","",IF(ISNA(VLOOKUP($E55,'D-1 Off Site Habitat Baseline'!$D$1:$X$258,13,FALSE)),"",(VLOOKUP($E55,'D-1 Off Site Habitat Baseline'!$D$1:$X$258,13,FALSE))))</f>
        <v/>
      </c>
      <c r="P55" s="232" t="str">
        <f>IFERROR(INDEX('G-1 All Habitats'!$AG$3:$AG$15,MATCH(Q55,'G-1 All Habitats'!$AF$3:$AF$15,0)),"")</f>
        <v/>
      </c>
      <c r="Q55" s="228" t="str">
        <f t="shared" si="12"/>
        <v/>
      </c>
      <c r="R55" s="229" t="str">
        <f t="shared" si="13"/>
        <v/>
      </c>
      <c r="S55" s="233" t="str">
        <f>IFERROR(INDEX('G-1 All Habitats'!$B$3:$B$129,MATCH(R55,'G-1 All Habitats'!$A$3:$A$129,0)),"")</f>
        <v/>
      </c>
      <c r="T55" s="507" t="str">
        <f t="shared" si="5"/>
        <v/>
      </c>
      <c r="U55" s="524" t="str">
        <f t="shared" si="6"/>
        <v/>
      </c>
      <c r="V55" s="523" t="str">
        <f t="shared" si="2"/>
        <v/>
      </c>
      <c r="W55" s="520" t="str">
        <f>IF(S55="","",VLOOKUP(S55,'G-1 All Habitats'!$B$2:$M$129,10,FALSE))</f>
        <v/>
      </c>
      <c r="X55" s="520" t="str">
        <f>IFERROR(VLOOKUP(W55,'G-1 All Habitats'!$V$3:$W$7,2,FALSE),"")</f>
        <v/>
      </c>
      <c r="Y55" s="203"/>
      <c r="Z55" s="524" t="str">
        <f>IFERROR(INDEX('G-8 Condition Look up'!$A$3:$H$130,MATCH(S55,'G-8 Condition Look up'!$A$3:$A$130,0),MATCH(Y55,'G-8 Condition Look up'!$A$3:$H$3,0)),"")</f>
        <v/>
      </c>
      <c r="AA55" s="145"/>
      <c r="AB55" s="540" t="str">
        <f>IF(AA55="","",IF(VLOOKUP(AA55,'G-3 Multipliers'!$L$3:$N$6,2,FALSE)=0,"Spatial Data Missing ⚠",VLOOKUP(AA55,'G-3 Multipliers'!$L$3:$N$6,2,FALSE)))</f>
        <v/>
      </c>
      <c r="AC55" s="524" t="str">
        <f>IF(AA55="","",IF(VLOOKUP(AA55,'G-3 Multipliers'!$L$3:$N$6,3,FALSE)=0,"Spatial Data Missing ⚠",VLOOKUP(AA55,'G-3 Multipliers'!$L$3:$N$6,3,FALSE)))</f>
        <v/>
      </c>
      <c r="AD55" s="537" t="str">
        <f t="shared" si="3"/>
        <v/>
      </c>
      <c r="AE55" s="203"/>
      <c r="AF55" s="203"/>
      <c r="AG55" s="520" t="str">
        <f t="shared" si="7"/>
        <v/>
      </c>
      <c r="AH55" s="544" t="str">
        <f t="shared" si="8"/>
        <v/>
      </c>
      <c r="AI55" s="525" t="str">
        <f>IF(AH55="Check Data ⚠","Check Data ⚠",IFERROR(VLOOKUP(AH55,'G-4 Temporal multipliers'!$A$4:$C$36,3,FALSE),""))</f>
        <v/>
      </c>
      <c r="AJ55" s="537" t="str">
        <f>IF(S55="","",VLOOKUP(S55,'G-3 Multipliers'!$A$2:$E$129,4,FALSE))</f>
        <v/>
      </c>
      <c r="AK55" s="520" t="str">
        <f t="shared" si="9"/>
        <v/>
      </c>
      <c r="AL55" s="520" t="str">
        <f t="shared" si="10"/>
        <v/>
      </c>
      <c r="AM55" s="524" t="str">
        <f>IFERROR(IF(F55="","",IF(AH55="Check Data ⚠","Check Data ⚠",VLOOKUP(AL55, 'G-3 Multipliers'!$P$2:$Q$6,2,FALSE))),"")</f>
        <v/>
      </c>
      <c r="AN55" s="197"/>
      <c r="AO55" s="540" t="str">
        <f>IF(AN55="","",IF(VLOOKUP(AN55,'G-3 Multipliers'!$S$3:$T$9,2,FALSE)=0,"Spatial Data Missing ⚠",VLOOKUP(AN55,'G-3 Multipliers'!$S$3:$T$9,2,FALSE)))</f>
        <v/>
      </c>
      <c r="AP55" s="513" t="str">
        <f t="shared" si="11"/>
        <v/>
      </c>
      <c r="AQ55" s="231"/>
      <c r="AR55" s="150"/>
    </row>
    <row r="56" spans="1:44" x14ac:dyDescent="0.25">
      <c r="A56" s="31" t="str">
        <f>IF(E56="","",IF(ISNA(VLOOKUP($E56,'D-1 Off Site Habitat Baseline'!$D$1:$O$258,2,FALSE)),"",(VLOOKUP($E56,'D-1 Off Site Habitat Baseline'!$D$1:$O$258,2,FALSE))))</f>
        <v/>
      </c>
      <c r="B56" s="31" t="str">
        <f>IF(E56="","",IF(ISNA(VLOOKUP($E56,'D-1 Off Site Habitat Baseline'!$D$1:$O$258,3,FALSE)),"",(VLOOKUP($E56,'D-1 Off Site Habitat Baseline'!$D$1:$O$258,3,FALSE))))</f>
        <v/>
      </c>
      <c r="C56" s="31" t="str">
        <f>IFERROR(INDEX('G-8 Condition Look up'!$I$4:$I$130,MATCH(S56,'G-8 Condition Look up'!$A$4:$A$130,0)),"")</f>
        <v/>
      </c>
      <c r="E56" s="547" t="str">
        <f>'D-1 Off Site Habitat Baseline'!AL55</f>
        <v/>
      </c>
      <c r="F56" s="520" t="str">
        <f>IF(E56="","",IF(ISNA(VLOOKUP($E56,'D-1 Off Site Habitat Baseline'!$D$1:$O$258,4,FALSE)),"",(VLOOKUP($E56,'D-1 Off Site Habitat Baseline'!$D$1:$O$258,4,FALSE))))</f>
        <v/>
      </c>
      <c r="G56" s="520" t="str">
        <f>IF(E56="","",IF(ISNA(VLOOKUP($E56,'D-1 Off Site Habitat Baseline'!$D$1:$O$258,5,FALSE)),"",(VLOOKUP($E56,'D-1 Off Site Habitat Baseline'!$D$1:$O$258,5,FALSE))))</f>
        <v/>
      </c>
      <c r="H56" s="520" t="str">
        <f>IF(E56="","",IF(ISNA(VLOOKUP($E56,'D-1 Off Site Habitat Baseline'!$D$1:$O$258,6,FALSE)),"",(VLOOKUP($E56,'D-1 Off Site Habitat Baseline'!$D$1:$O$258,6,FALSE))))</f>
        <v/>
      </c>
      <c r="I56" s="520" t="str">
        <f>IF(E56="","",IF(ISNA(VLOOKUP($E56,'D-1 Off Site Habitat Baseline'!$D$1:$O$258,7,FALSE)),"",(VLOOKUP($E56,'D-1 Off Site Habitat Baseline'!$D$1:$O$258,7,FALSE))))</f>
        <v/>
      </c>
      <c r="J56" s="520" t="str">
        <f>IF(E56="","",IF(ISNA(VLOOKUP($E56,'D-1 Off Site Habitat Baseline'!$D$1:$O$258,8,FALSE)),"",(VLOOKUP($E56,'D-1 Off Site Habitat Baseline'!$D$1:$O$258,8,FALSE))))</f>
        <v/>
      </c>
      <c r="K56" s="520" t="str">
        <f>IF(E56="","",IF(ISNA(VLOOKUP($E56,'D-1 Off Site Habitat Baseline'!$D$1:$O$258,9,FALSE)),"",(VLOOKUP($E56,'D-1 Off Site Habitat Baseline'!$D$1:$O$258,9,FALSE))))</f>
        <v/>
      </c>
      <c r="L56" s="520" t="str">
        <f>IF(E56="","",IF(ISNA(VLOOKUP($E56,'D-1 Off Site Habitat Baseline'!$D$1:$O$258,11,FALSE)),"",(VLOOKUP($E56,'D-1 Off Site Habitat Baseline'!$D$1:$O$258,11,FALSE))))</f>
        <v/>
      </c>
      <c r="M56" s="520" t="str">
        <f>IF(E56="","",IF(ISNA(VLOOKUP($E56,'D-1 Off Site Habitat Baseline'!$D$1:$O$258,12,FALSE)),"",(VLOOKUP($E56,'D-1 Off Site Habitat Baseline'!$D$1:$O$258,12,FALSE))))</f>
        <v/>
      </c>
      <c r="N56" s="520" t="str">
        <f>IF(E56="","",IF(ISNA(VLOOKUP($E56,'D-1 Off Site Habitat Baseline'!$D$1:$X$258,14,FALSE)),"",(VLOOKUP($E56,'D-1 Off Site Habitat Baseline'!$D$1:$X$258,14,FALSE))))</f>
        <v/>
      </c>
      <c r="O56" s="524" t="str">
        <f>IF(E56="","",IF(ISNA(VLOOKUP($E56,'D-1 Off Site Habitat Baseline'!$D$1:$X$258,13,FALSE)),"",(VLOOKUP($E56,'D-1 Off Site Habitat Baseline'!$D$1:$X$258,13,FALSE))))</f>
        <v/>
      </c>
      <c r="P56" s="232" t="str">
        <f>IFERROR(INDEX('G-1 All Habitats'!$AG$3:$AG$15,MATCH(Q56,'G-1 All Habitats'!$AF$3:$AF$15,0)),"")</f>
        <v/>
      </c>
      <c r="Q56" s="228" t="str">
        <f t="shared" si="12"/>
        <v/>
      </c>
      <c r="R56" s="229" t="str">
        <f t="shared" si="13"/>
        <v/>
      </c>
      <c r="S56" s="233" t="str">
        <f>IFERROR(INDEX('G-1 All Habitats'!$B$3:$B$129,MATCH(R56,'G-1 All Habitats'!$A$3:$A$129,0)),"")</f>
        <v/>
      </c>
      <c r="T56" s="507" t="str">
        <f t="shared" si="5"/>
        <v/>
      </c>
      <c r="U56" s="524" t="str">
        <f t="shared" si="6"/>
        <v/>
      </c>
      <c r="V56" s="523" t="str">
        <f t="shared" si="2"/>
        <v/>
      </c>
      <c r="W56" s="520" t="str">
        <f>IF(S56="","",VLOOKUP(S56,'G-1 All Habitats'!$B$2:$M$129,10,FALSE))</f>
        <v/>
      </c>
      <c r="X56" s="520" t="str">
        <f>IFERROR(VLOOKUP(W56,'G-1 All Habitats'!$V$3:$W$7,2,FALSE),"")</f>
        <v/>
      </c>
      <c r="Y56" s="203"/>
      <c r="Z56" s="524" t="str">
        <f>IFERROR(INDEX('G-8 Condition Look up'!$A$3:$H$130,MATCH(S56,'G-8 Condition Look up'!$A$3:$A$130,0),MATCH(Y56,'G-8 Condition Look up'!$A$3:$H$3,0)),"")</f>
        <v/>
      </c>
      <c r="AA56" s="145"/>
      <c r="AB56" s="540" t="str">
        <f>IF(AA56="","",IF(VLOOKUP(AA56,'G-3 Multipliers'!$L$3:$N$6,2,FALSE)=0,"Spatial Data Missing ⚠",VLOOKUP(AA56,'G-3 Multipliers'!$L$3:$N$6,2,FALSE)))</f>
        <v/>
      </c>
      <c r="AC56" s="524" t="str">
        <f>IF(AA56="","",IF(VLOOKUP(AA56,'G-3 Multipliers'!$L$3:$N$6,3,FALSE)=0,"Spatial Data Missing ⚠",VLOOKUP(AA56,'G-3 Multipliers'!$L$3:$N$6,3,FALSE)))</f>
        <v/>
      </c>
      <c r="AD56" s="537" t="str">
        <f t="shared" si="3"/>
        <v/>
      </c>
      <c r="AE56" s="203"/>
      <c r="AF56" s="203"/>
      <c r="AG56" s="520" t="str">
        <f t="shared" si="7"/>
        <v/>
      </c>
      <c r="AH56" s="544" t="str">
        <f t="shared" si="8"/>
        <v/>
      </c>
      <c r="AI56" s="525" t="str">
        <f>IF(AH56="Check Data ⚠","Check Data ⚠",IFERROR(VLOOKUP(AH56,'G-4 Temporal multipliers'!$A$4:$C$36,3,FALSE),""))</f>
        <v/>
      </c>
      <c r="AJ56" s="537" t="str">
        <f>IF(S56="","",VLOOKUP(S56,'G-3 Multipliers'!$A$2:$E$129,4,FALSE))</f>
        <v/>
      </c>
      <c r="AK56" s="520" t="str">
        <f t="shared" si="9"/>
        <v/>
      </c>
      <c r="AL56" s="520" t="str">
        <f t="shared" si="10"/>
        <v/>
      </c>
      <c r="AM56" s="524" t="str">
        <f>IFERROR(IF(F56="","",IF(AH56="Check Data ⚠","Check Data ⚠",VLOOKUP(AL56, 'G-3 Multipliers'!$P$2:$Q$6,2,FALSE))),"")</f>
        <v/>
      </c>
      <c r="AN56" s="197"/>
      <c r="AO56" s="540" t="str">
        <f>IF(AN56="","",IF(VLOOKUP(AN56,'G-3 Multipliers'!$S$3:$T$9,2,FALSE)=0,"Spatial Data Missing ⚠",VLOOKUP(AN56,'G-3 Multipliers'!$S$3:$T$9,2,FALSE)))</f>
        <v/>
      </c>
      <c r="AP56" s="513" t="str">
        <f t="shared" si="11"/>
        <v/>
      </c>
      <c r="AQ56" s="231"/>
      <c r="AR56" s="150"/>
    </row>
    <row r="57" spans="1:44" x14ac:dyDescent="0.25">
      <c r="A57" s="31" t="str">
        <f>IF(E57="","",IF(ISNA(VLOOKUP($E57,'D-1 Off Site Habitat Baseline'!$D$1:$O$258,2,FALSE)),"",(VLOOKUP($E57,'D-1 Off Site Habitat Baseline'!$D$1:$O$258,2,FALSE))))</f>
        <v/>
      </c>
      <c r="B57" s="31" t="str">
        <f>IF(E57="","",IF(ISNA(VLOOKUP($E57,'D-1 Off Site Habitat Baseline'!$D$1:$O$258,3,FALSE)),"",(VLOOKUP($E57,'D-1 Off Site Habitat Baseline'!$D$1:$O$258,3,FALSE))))</f>
        <v/>
      </c>
      <c r="C57" s="31" t="str">
        <f>IFERROR(INDEX('G-8 Condition Look up'!$I$4:$I$130,MATCH(S57,'G-8 Condition Look up'!$A$4:$A$130,0)),"")</f>
        <v/>
      </c>
      <c r="E57" s="547" t="str">
        <f>'D-1 Off Site Habitat Baseline'!AL56</f>
        <v/>
      </c>
      <c r="F57" s="520" t="str">
        <f>IF(E57="","",IF(ISNA(VLOOKUP($E57,'D-1 Off Site Habitat Baseline'!$D$1:$O$258,4,FALSE)),"",(VLOOKUP($E57,'D-1 Off Site Habitat Baseline'!$D$1:$O$258,4,FALSE))))</f>
        <v/>
      </c>
      <c r="G57" s="520" t="str">
        <f>IF(E57="","",IF(ISNA(VLOOKUP($E57,'D-1 Off Site Habitat Baseline'!$D$1:$O$258,5,FALSE)),"",(VLOOKUP($E57,'D-1 Off Site Habitat Baseline'!$D$1:$O$258,5,FALSE))))</f>
        <v/>
      </c>
      <c r="H57" s="520" t="str">
        <f>IF(E57="","",IF(ISNA(VLOOKUP($E57,'D-1 Off Site Habitat Baseline'!$D$1:$O$258,6,FALSE)),"",(VLOOKUP($E57,'D-1 Off Site Habitat Baseline'!$D$1:$O$258,6,FALSE))))</f>
        <v/>
      </c>
      <c r="I57" s="520" t="str">
        <f>IF(E57="","",IF(ISNA(VLOOKUP($E57,'D-1 Off Site Habitat Baseline'!$D$1:$O$258,7,FALSE)),"",(VLOOKUP($E57,'D-1 Off Site Habitat Baseline'!$D$1:$O$258,7,FALSE))))</f>
        <v/>
      </c>
      <c r="J57" s="520" t="str">
        <f>IF(E57="","",IF(ISNA(VLOOKUP($E57,'D-1 Off Site Habitat Baseline'!$D$1:$O$258,8,FALSE)),"",(VLOOKUP($E57,'D-1 Off Site Habitat Baseline'!$D$1:$O$258,8,FALSE))))</f>
        <v/>
      </c>
      <c r="K57" s="520" t="str">
        <f>IF(E57="","",IF(ISNA(VLOOKUP($E57,'D-1 Off Site Habitat Baseline'!$D$1:$O$258,9,FALSE)),"",(VLOOKUP($E57,'D-1 Off Site Habitat Baseline'!$D$1:$O$258,9,FALSE))))</f>
        <v/>
      </c>
      <c r="L57" s="520" t="str">
        <f>IF(E57="","",IF(ISNA(VLOOKUP($E57,'D-1 Off Site Habitat Baseline'!$D$1:$O$258,11,FALSE)),"",(VLOOKUP($E57,'D-1 Off Site Habitat Baseline'!$D$1:$O$258,11,FALSE))))</f>
        <v/>
      </c>
      <c r="M57" s="520" t="str">
        <f>IF(E57="","",IF(ISNA(VLOOKUP($E57,'D-1 Off Site Habitat Baseline'!$D$1:$O$258,12,FALSE)),"",(VLOOKUP($E57,'D-1 Off Site Habitat Baseline'!$D$1:$O$258,12,FALSE))))</f>
        <v/>
      </c>
      <c r="N57" s="520" t="str">
        <f>IF(E57="","",IF(ISNA(VLOOKUP($E57,'D-1 Off Site Habitat Baseline'!$D$1:$X$258,14,FALSE)),"",(VLOOKUP($E57,'D-1 Off Site Habitat Baseline'!$D$1:$X$258,14,FALSE))))</f>
        <v/>
      </c>
      <c r="O57" s="524" t="str">
        <f>IF(E57="","",IF(ISNA(VLOOKUP($E57,'D-1 Off Site Habitat Baseline'!$D$1:$X$258,13,FALSE)),"",(VLOOKUP($E57,'D-1 Off Site Habitat Baseline'!$D$1:$X$258,13,FALSE))))</f>
        <v/>
      </c>
      <c r="P57" s="232" t="str">
        <f>IFERROR(INDEX('G-1 All Habitats'!$AG$3:$AG$15,MATCH(Q57,'G-1 All Habitats'!$AF$3:$AF$15,0)),"")</f>
        <v/>
      </c>
      <c r="Q57" s="228" t="str">
        <f t="shared" si="12"/>
        <v/>
      </c>
      <c r="R57" s="229" t="str">
        <f t="shared" si="13"/>
        <v/>
      </c>
      <c r="S57" s="233" t="str">
        <f>IFERROR(INDEX('G-1 All Habitats'!$B$3:$B$129,MATCH(R57,'G-1 All Habitats'!$A$3:$A$129,0)),"")</f>
        <v/>
      </c>
      <c r="T57" s="507" t="str">
        <f t="shared" si="5"/>
        <v/>
      </c>
      <c r="U57" s="524" t="str">
        <f t="shared" si="6"/>
        <v/>
      </c>
      <c r="V57" s="523" t="str">
        <f t="shared" si="2"/>
        <v/>
      </c>
      <c r="W57" s="520" t="str">
        <f>IF(S57="","",VLOOKUP(S57,'G-1 All Habitats'!$B$2:$M$129,10,FALSE))</f>
        <v/>
      </c>
      <c r="X57" s="520" t="str">
        <f>IFERROR(VLOOKUP(W57,'G-1 All Habitats'!$V$3:$W$7,2,FALSE),"")</f>
        <v/>
      </c>
      <c r="Y57" s="203"/>
      <c r="Z57" s="524" t="str">
        <f>IFERROR(INDEX('G-8 Condition Look up'!$A$3:$H$130,MATCH(S57,'G-8 Condition Look up'!$A$3:$A$130,0),MATCH(Y57,'G-8 Condition Look up'!$A$3:$H$3,0)),"")</f>
        <v/>
      </c>
      <c r="AA57" s="145"/>
      <c r="AB57" s="540" t="str">
        <f>IF(AA57="","",IF(VLOOKUP(AA57,'G-3 Multipliers'!$L$3:$N$6,2,FALSE)=0,"Spatial Data Missing ⚠",VLOOKUP(AA57,'G-3 Multipliers'!$L$3:$N$6,2,FALSE)))</f>
        <v/>
      </c>
      <c r="AC57" s="524" t="str">
        <f>IF(AA57="","",IF(VLOOKUP(AA57,'G-3 Multipliers'!$L$3:$N$6,3,FALSE)=0,"Spatial Data Missing ⚠",VLOOKUP(AA57,'G-3 Multipliers'!$L$3:$N$6,3,FALSE)))</f>
        <v/>
      </c>
      <c r="AD57" s="537" t="str">
        <f t="shared" si="3"/>
        <v/>
      </c>
      <c r="AE57" s="203"/>
      <c r="AF57" s="203"/>
      <c r="AG57" s="520" t="str">
        <f t="shared" si="7"/>
        <v/>
      </c>
      <c r="AH57" s="544" t="str">
        <f t="shared" si="8"/>
        <v/>
      </c>
      <c r="AI57" s="525" t="str">
        <f>IF(AH57="Check Data ⚠","Check Data ⚠",IFERROR(VLOOKUP(AH57,'G-4 Temporal multipliers'!$A$4:$C$36,3,FALSE),""))</f>
        <v/>
      </c>
      <c r="AJ57" s="537" t="str">
        <f>IF(S57="","",VLOOKUP(S57,'G-3 Multipliers'!$A$2:$E$129,4,FALSE))</f>
        <v/>
      </c>
      <c r="AK57" s="520" t="str">
        <f t="shared" si="9"/>
        <v/>
      </c>
      <c r="AL57" s="520" t="str">
        <f t="shared" si="10"/>
        <v/>
      </c>
      <c r="AM57" s="524" t="str">
        <f>IFERROR(IF(F57="","",IF(AH57="Check Data ⚠","Check Data ⚠",VLOOKUP(AL57, 'G-3 Multipliers'!$P$2:$Q$6,2,FALSE))),"")</f>
        <v/>
      </c>
      <c r="AN57" s="197"/>
      <c r="AO57" s="540" t="str">
        <f>IF(AN57="","",IF(VLOOKUP(AN57,'G-3 Multipliers'!$S$3:$T$9,2,FALSE)=0,"Spatial Data Missing ⚠",VLOOKUP(AN57,'G-3 Multipliers'!$S$3:$T$9,2,FALSE)))</f>
        <v/>
      </c>
      <c r="AP57" s="513" t="str">
        <f t="shared" si="11"/>
        <v/>
      </c>
      <c r="AQ57" s="231"/>
      <c r="AR57" s="150"/>
    </row>
    <row r="58" spans="1:44" x14ac:dyDescent="0.25">
      <c r="A58" s="31" t="str">
        <f>IF(E58="","",IF(ISNA(VLOOKUP($E58,'D-1 Off Site Habitat Baseline'!$D$1:$O$258,2,FALSE)),"",(VLOOKUP($E58,'D-1 Off Site Habitat Baseline'!$D$1:$O$258,2,FALSE))))</f>
        <v/>
      </c>
      <c r="B58" s="31" t="str">
        <f>IF(E58="","",IF(ISNA(VLOOKUP($E58,'D-1 Off Site Habitat Baseline'!$D$1:$O$258,3,FALSE)),"",(VLOOKUP($E58,'D-1 Off Site Habitat Baseline'!$D$1:$O$258,3,FALSE))))</f>
        <v/>
      </c>
      <c r="C58" s="31" t="str">
        <f>IFERROR(INDEX('G-8 Condition Look up'!$I$4:$I$130,MATCH(S58,'G-8 Condition Look up'!$A$4:$A$130,0)),"")</f>
        <v/>
      </c>
      <c r="E58" s="547" t="str">
        <f>'D-1 Off Site Habitat Baseline'!AL57</f>
        <v/>
      </c>
      <c r="F58" s="520" t="str">
        <f>IF(E58="","",IF(ISNA(VLOOKUP($E58,'D-1 Off Site Habitat Baseline'!$D$1:$O$258,4,FALSE)),"",(VLOOKUP($E58,'D-1 Off Site Habitat Baseline'!$D$1:$O$258,4,FALSE))))</f>
        <v/>
      </c>
      <c r="G58" s="520" t="str">
        <f>IF(E58="","",IF(ISNA(VLOOKUP($E58,'D-1 Off Site Habitat Baseline'!$D$1:$O$258,5,FALSE)),"",(VLOOKUP($E58,'D-1 Off Site Habitat Baseline'!$D$1:$O$258,5,FALSE))))</f>
        <v/>
      </c>
      <c r="H58" s="520" t="str">
        <f>IF(E58="","",IF(ISNA(VLOOKUP($E58,'D-1 Off Site Habitat Baseline'!$D$1:$O$258,6,FALSE)),"",(VLOOKUP($E58,'D-1 Off Site Habitat Baseline'!$D$1:$O$258,6,FALSE))))</f>
        <v/>
      </c>
      <c r="I58" s="520" t="str">
        <f>IF(E58="","",IF(ISNA(VLOOKUP($E58,'D-1 Off Site Habitat Baseline'!$D$1:$O$258,7,FALSE)),"",(VLOOKUP($E58,'D-1 Off Site Habitat Baseline'!$D$1:$O$258,7,FALSE))))</f>
        <v/>
      </c>
      <c r="J58" s="520" t="str">
        <f>IF(E58="","",IF(ISNA(VLOOKUP($E58,'D-1 Off Site Habitat Baseline'!$D$1:$O$258,8,FALSE)),"",(VLOOKUP($E58,'D-1 Off Site Habitat Baseline'!$D$1:$O$258,8,FALSE))))</f>
        <v/>
      </c>
      <c r="K58" s="520" t="str">
        <f>IF(E58="","",IF(ISNA(VLOOKUP($E58,'D-1 Off Site Habitat Baseline'!$D$1:$O$258,9,FALSE)),"",(VLOOKUP($E58,'D-1 Off Site Habitat Baseline'!$D$1:$O$258,9,FALSE))))</f>
        <v/>
      </c>
      <c r="L58" s="520" t="str">
        <f>IF(E58="","",IF(ISNA(VLOOKUP($E58,'D-1 Off Site Habitat Baseline'!$D$1:$O$258,11,FALSE)),"",(VLOOKUP($E58,'D-1 Off Site Habitat Baseline'!$D$1:$O$258,11,FALSE))))</f>
        <v/>
      </c>
      <c r="M58" s="520" t="str">
        <f>IF(E58="","",IF(ISNA(VLOOKUP($E58,'D-1 Off Site Habitat Baseline'!$D$1:$O$258,12,FALSE)),"",(VLOOKUP($E58,'D-1 Off Site Habitat Baseline'!$D$1:$O$258,12,FALSE))))</f>
        <v/>
      </c>
      <c r="N58" s="520" t="str">
        <f>IF(E58="","",IF(ISNA(VLOOKUP($E58,'D-1 Off Site Habitat Baseline'!$D$1:$X$258,14,FALSE)),"",(VLOOKUP($E58,'D-1 Off Site Habitat Baseline'!$D$1:$X$258,14,FALSE))))</f>
        <v/>
      </c>
      <c r="O58" s="524" t="str">
        <f>IF(E58="","",IF(ISNA(VLOOKUP($E58,'D-1 Off Site Habitat Baseline'!$D$1:$X$258,13,FALSE)),"",(VLOOKUP($E58,'D-1 Off Site Habitat Baseline'!$D$1:$X$258,13,FALSE))))</f>
        <v/>
      </c>
      <c r="P58" s="232" t="str">
        <f>IFERROR(INDEX('G-1 All Habitats'!$AG$3:$AG$15,MATCH(Q58,'G-1 All Habitats'!$AF$3:$AF$15,0)),"")</f>
        <v/>
      </c>
      <c r="Q58" s="228" t="str">
        <f t="shared" si="12"/>
        <v/>
      </c>
      <c r="R58" s="229" t="str">
        <f t="shared" si="13"/>
        <v/>
      </c>
      <c r="S58" s="233" t="str">
        <f>IFERROR(INDEX('G-1 All Habitats'!$B$3:$B$129,MATCH(R58,'G-1 All Habitats'!$A$3:$A$129,0)),"")</f>
        <v/>
      </c>
      <c r="T58" s="507" t="str">
        <f t="shared" si="5"/>
        <v/>
      </c>
      <c r="U58" s="524" t="str">
        <f t="shared" si="6"/>
        <v/>
      </c>
      <c r="V58" s="523" t="str">
        <f t="shared" si="2"/>
        <v/>
      </c>
      <c r="W58" s="520" t="str">
        <f>IF(S58="","",VLOOKUP(S58,'G-1 All Habitats'!$B$2:$M$129,10,FALSE))</f>
        <v/>
      </c>
      <c r="X58" s="520" t="str">
        <f>IFERROR(VLOOKUP(W58,'G-1 All Habitats'!$V$3:$W$7,2,FALSE),"")</f>
        <v/>
      </c>
      <c r="Y58" s="203"/>
      <c r="Z58" s="524" t="str">
        <f>IFERROR(INDEX('G-8 Condition Look up'!$A$3:$H$130,MATCH(S58,'G-8 Condition Look up'!$A$3:$A$130,0),MATCH(Y58,'G-8 Condition Look up'!$A$3:$H$3,0)),"")</f>
        <v/>
      </c>
      <c r="AA58" s="145"/>
      <c r="AB58" s="540" t="str">
        <f>IF(AA58="","",IF(VLOOKUP(AA58,'G-3 Multipliers'!$L$3:$N$6,2,FALSE)=0,"Spatial Data Missing ⚠",VLOOKUP(AA58,'G-3 Multipliers'!$L$3:$N$6,2,FALSE)))</f>
        <v/>
      </c>
      <c r="AC58" s="524" t="str">
        <f>IF(AA58="","",IF(VLOOKUP(AA58,'G-3 Multipliers'!$L$3:$N$6,3,FALSE)=0,"Spatial Data Missing ⚠",VLOOKUP(AA58,'G-3 Multipliers'!$L$3:$N$6,3,FALSE)))</f>
        <v/>
      </c>
      <c r="AD58" s="537" t="str">
        <f t="shared" si="3"/>
        <v/>
      </c>
      <c r="AE58" s="203"/>
      <c r="AF58" s="203"/>
      <c r="AG58" s="520" t="str">
        <f t="shared" si="7"/>
        <v/>
      </c>
      <c r="AH58" s="544" t="str">
        <f t="shared" si="8"/>
        <v/>
      </c>
      <c r="AI58" s="525" t="str">
        <f>IF(AH58="Check Data ⚠","Check Data ⚠",IFERROR(VLOOKUP(AH58,'G-4 Temporal multipliers'!$A$4:$C$36,3,FALSE),""))</f>
        <v/>
      </c>
      <c r="AJ58" s="537" t="str">
        <f>IF(S58="","",VLOOKUP(S58,'G-3 Multipliers'!$A$2:$E$129,4,FALSE))</f>
        <v/>
      </c>
      <c r="AK58" s="520" t="str">
        <f t="shared" si="9"/>
        <v/>
      </c>
      <c r="AL58" s="520" t="str">
        <f t="shared" si="10"/>
        <v/>
      </c>
      <c r="AM58" s="524" t="str">
        <f>IFERROR(IF(F58="","",IF(AH58="Check Data ⚠","Check Data ⚠",VLOOKUP(AL58, 'G-3 Multipliers'!$P$2:$Q$6,2,FALSE))),"")</f>
        <v/>
      </c>
      <c r="AN58" s="197"/>
      <c r="AO58" s="540" t="str">
        <f>IF(AN58="","",IF(VLOOKUP(AN58,'G-3 Multipliers'!$S$3:$T$9,2,FALSE)=0,"Spatial Data Missing ⚠",VLOOKUP(AN58,'G-3 Multipliers'!$S$3:$T$9,2,FALSE)))</f>
        <v/>
      </c>
      <c r="AP58" s="513" t="str">
        <f t="shared" si="11"/>
        <v/>
      </c>
      <c r="AQ58" s="231"/>
      <c r="AR58" s="150"/>
    </row>
    <row r="59" spans="1:44" x14ac:dyDescent="0.25">
      <c r="A59" s="31" t="str">
        <f>IF(E59="","",IF(ISNA(VLOOKUP($E59,'D-1 Off Site Habitat Baseline'!$D$1:$O$258,2,FALSE)),"",(VLOOKUP($E59,'D-1 Off Site Habitat Baseline'!$D$1:$O$258,2,FALSE))))</f>
        <v/>
      </c>
      <c r="B59" s="31" t="str">
        <f>IF(E59="","",IF(ISNA(VLOOKUP($E59,'D-1 Off Site Habitat Baseline'!$D$1:$O$258,3,FALSE)),"",(VLOOKUP($E59,'D-1 Off Site Habitat Baseline'!$D$1:$O$258,3,FALSE))))</f>
        <v/>
      </c>
      <c r="C59" s="31" t="str">
        <f>IFERROR(INDEX('G-8 Condition Look up'!$I$4:$I$130,MATCH(S59,'G-8 Condition Look up'!$A$4:$A$130,0)),"")</f>
        <v/>
      </c>
      <c r="E59" s="547" t="str">
        <f>'D-1 Off Site Habitat Baseline'!AL58</f>
        <v/>
      </c>
      <c r="F59" s="520" t="str">
        <f>IF(E59="","",IF(ISNA(VLOOKUP($E59,'D-1 Off Site Habitat Baseline'!$D$1:$O$258,4,FALSE)),"",(VLOOKUP($E59,'D-1 Off Site Habitat Baseline'!$D$1:$O$258,4,FALSE))))</f>
        <v/>
      </c>
      <c r="G59" s="520" t="str">
        <f>IF(E59="","",IF(ISNA(VLOOKUP($E59,'D-1 Off Site Habitat Baseline'!$D$1:$O$258,5,FALSE)),"",(VLOOKUP($E59,'D-1 Off Site Habitat Baseline'!$D$1:$O$258,5,FALSE))))</f>
        <v/>
      </c>
      <c r="H59" s="520" t="str">
        <f>IF(E59="","",IF(ISNA(VLOOKUP($E59,'D-1 Off Site Habitat Baseline'!$D$1:$O$258,6,FALSE)),"",(VLOOKUP($E59,'D-1 Off Site Habitat Baseline'!$D$1:$O$258,6,FALSE))))</f>
        <v/>
      </c>
      <c r="I59" s="520" t="str">
        <f>IF(E59="","",IF(ISNA(VLOOKUP($E59,'D-1 Off Site Habitat Baseline'!$D$1:$O$258,7,FALSE)),"",(VLOOKUP($E59,'D-1 Off Site Habitat Baseline'!$D$1:$O$258,7,FALSE))))</f>
        <v/>
      </c>
      <c r="J59" s="520" t="str">
        <f>IF(E59="","",IF(ISNA(VLOOKUP($E59,'D-1 Off Site Habitat Baseline'!$D$1:$O$258,8,FALSE)),"",(VLOOKUP($E59,'D-1 Off Site Habitat Baseline'!$D$1:$O$258,8,FALSE))))</f>
        <v/>
      </c>
      <c r="K59" s="520" t="str">
        <f>IF(E59="","",IF(ISNA(VLOOKUP($E59,'D-1 Off Site Habitat Baseline'!$D$1:$O$258,9,FALSE)),"",(VLOOKUP($E59,'D-1 Off Site Habitat Baseline'!$D$1:$O$258,9,FALSE))))</f>
        <v/>
      </c>
      <c r="L59" s="520" t="str">
        <f>IF(E59="","",IF(ISNA(VLOOKUP($E59,'D-1 Off Site Habitat Baseline'!$D$1:$O$258,11,FALSE)),"",(VLOOKUP($E59,'D-1 Off Site Habitat Baseline'!$D$1:$O$258,11,FALSE))))</f>
        <v/>
      </c>
      <c r="M59" s="520" t="str">
        <f>IF(E59="","",IF(ISNA(VLOOKUP($E59,'D-1 Off Site Habitat Baseline'!$D$1:$O$258,12,FALSE)),"",(VLOOKUP($E59,'D-1 Off Site Habitat Baseline'!$D$1:$O$258,12,FALSE))))</f>
        <v/>
      </c>
      <c r="N59" s="520" t="str">
        <f>IF(E59="","",IF(ISNA(VLOOKUP($E59,'D-1 Off Site Habitat Baseline'!$D$1:$X$258,14,FALSE)),"",(VLOOKUP($E59,'D-1 Off Site Habitat Baseline'!$D$1:$X$258,14,FALSE))))</f>
        <v/>
      </c>
      <c r="O59" s="524" t="str">
        <f>IF(E59="","",IF(ISNA(VLOOKUP($E59,'D-1 Off Site Habitat Baseline'!$D$1:$X$258,13,FALSE)),"",(VLOOKUP($E59,'D-1 Off Site Habitat Baseline'!$D$1:$X$258,13,FALSE))))</f>
        <v/>
      </c>
      <c r="P59" s="232" t="str">
        <f>IFERROR(INDEX('G-1 All Habitats'!$AG$3:$AG$15,MATCH(Q59,'G-1 All Habitats'!$AF$3:$AF$15,0)),"")</f>
        <v/>
      </c>
      <c r="Q59" s="228" t="str">
        <f t="shared" si="12"/>
        <v/>
      </c>
      <c r="R59" s="229" t="str">
        <f t="shared" si="13"/>
        <v/>
      </c>
      <c r="S59" s="233" t="str">
        <f>IFERROR(INDEX('G-1 All Habitats'!$B$3:$B$129,MATCH(R59,'G-1 All Habitats'!$A$3:$A$129,0)),"")</f>
        <v/>
      </c>
      <c r="T59" s="507" t="str">
        <f t="shared" si="5"/>
        <v/>
      </c>
      <c r="U59" s="524" t="str">
        <f t="shared" si="6"/>
        <v/>
      </c>
      <c r="V59" s="523" t="str">
        <f t="shared" si="2"/>
        <v/>
      </c>
      <c r="W59" s="520" t="str">
        <f>IF(S59="","",VLOOKUP(S59,'G-1 All Habitats'!$B$2:$M$129,10,FALSE))</f>
        <v/>
      </c>
      <c r="X59" s="520" t="str">
        <f>IFERROR(VLOOKUP(W59,'G-1 All Habitats'!$V$3:$W$7,2,FALSE),"")</f>
        <v/>
      </c>
      <c r="Y59" s="203"/>
      <c r="Z59" s="524" t="str">
        <f>IFERROR(INDEX('G-8 Condition Look up'!$A$3:$H$130,MATCH(S59,'G-8 Condition Look up'!$A$3:$A$130,0),MATCH(Y59,'G-8 Condition Look up'!$A$3:$H$3,0)),"")</f>
        <v/>
      </c>
      <c r="AA59" s="145"/>
      <c r="AB59" s="540" t="str">
        <f>IF(AA59="","",IF(VLOOKUP(AA59,'G-3 Multipliers'!$L$3:$N$6,2,FALSE)=0,"Spatial Data Missing ⚠",VLOOKUP(AA59,'G-3 Multipliers'!$L$3:$N$6,2,FALSE)))</f>
        <v/>
      </c>
      <c r="AC59" s="524" t="str">
        <f>IF(AA59="","",IF(VLOOKUP(AA59,'G-3 Multipliers'!$L$3:$N$6,3,FALSE)=0,"Spatial Data Missing ⚠",VLOOKUP(AA59,'G-3 Multipliers'!$L$3:$N$6,3,FALSE)))</f>
        <v/>
      </c>
      <c r="AD59" s="537" t="str">
        <f t="shared" si="3"/>
        <v/>
      </c>
      <c r="AE59" s="203"/>
      <c r="AF59" s="203"/>
      <c r="AG59" s="520" t="str">
        <f t="shared" si="7"/>
        <v/>
      </c>
      <c r="AH59" s="544" t="str">
        <f t="shared" si="8"/>
        <v/>
      </c>
      <c r="AI59" s="525" t="str">
        <f>IF(AH59="Check Data ⚠","Check Data ⚠",IFERROR(VLOOKUP(AH59,'G-4 Temporal multipliers'!$A$4:$C$36,3,FALSE),""))</f>
        <v/>
      </c>
      <c r="AJ59" s="537" t="str">
        <f>IF(S59="","",VLOOKUP(S59,'G-3 Multipliers'!$A$2:$E$129,4,FALSE))</f>
        <v/>
      </c>
      <c r="AK59" s="520" t="str">
        <f t="shared" si="9"/>
        <v/>
      </c>
      <c r="AL59" s="520" t="str">
        <f t="shared" si="10"/>
        <v/>
      </c>
      <c r="AM59" s="524" t="str">
        <f>IFERROR(IF(F59="","",IF(AH59="Check Data ⚠","Check Data ⚠",VLOOKUP(AL59, 'G-3 Multipliers'!$P$2:$Q$6,2,FALSE))),"")</f>
        <v/>
      </c>
      <c r="AN59" s="197"/>
      <c r="AO59" s="540" t="str">
        <f>IF(AN59="","",IF(VLOOKUP(AN59,'G-3 Multipliers'!$S$3:$T$9,2,FALSE)=0,"Spatial Data Missing ⚠",VLOOKUP(AN59,'G-3 Multipliers'!$S$3:$T$9,2,FALSE)))</f>
        <v/>
      </c>
      <c r="AP59" s="513" t="str">
        <f t="shared" si="11"/>
        <v/>
      </c>
      <c r="AQ59" s="231"/>
      <c r="AR59" s="150"/>
    </row>
    <row r="60" spans="1:44" x14ac:dyDescent="0.25">
      <c r="A60" s="31" t="str">
        <f>IF(E60="","",IF(ISNA(VLOOKUP($E60,'D-1 Off Site Habitat Baseline'!$D$1:$O$258,2,FALSE)),"",(VLOOKUP($E60,'D-1 Off Site Habitat Baseline'!$D$1:$O$258,2,FALSE))))</f>
        <v/>
      </c>
      <c r="B60" s="31" t="str">
        <f>IF(E60="","",IF(ISNA(VLOOKUP($E60,'D-1 Off Site Habitat Baseline'!$D$1:$O$258,3,FALSE)),"",(VLOOKUP($E60,'D-1 Off Site Habitat Baseline'!$D$1:$O$258,3,FALSE))))</f>
        <v/>
      </c>
      <c r="C60" s="31" t="str">
        <f>IFERROR(INDEX('G-8 Condition Look up'!$I$4:$I$130,MATCH(S60,'G-8 Condition Look up'!$A$4:$A$130,0)),"")</f>
        <v/>
      </c>
      <c r="E60" s="547" t="str">
        <f>'D-1 Off Site Habitat Baseline'!AL59</f>
        <v/>
      </c>
      <c r="F60" s="520" t="str">
        <f>IF(E60="","",IF(ISNA(VLOOKUP($E60,'D-1 Off Site Habitat Baseline'!$D$1:$O$258,4,FALSE)),"",(VLOOKUP($E60,'D-1 Off Site Habitat Baseline'!$D$1:$O$258,4,FALSE))))</f>
        <v/>
      </c>
      <c r="G60" s="520" t="str">
        <f>IF(E60="","",IF(ISNA(VLOOKUP($E60,'D-1 Off Site Habitat Baseline'!$D$1:$O$258,5,FALSE)),"",(VLOOKUP($E60,'D-1 Off Site Habitat Baseline'!$D$1:$O$258,5,FALSE))))</f>
        <v/>
      </c>
      <c r="H60" s="520" t="str">
        <f>IF(E60="","",IF(ISNA(VLOOKUP($E60,'D-1 Off Site Habitat Baseline'!$D$1:$O$258,6,FALSE)),"",(VLOOKUP($E60,'D-1 Off Site Habitat Baseline'!$D$1:$O$258,6,FALSE))))</f>
        <v/>
      </c>
      <c r="I60" s="520" t="str">
        <f>IF(E60="","",IF(ISNA(VLOOKUP($E60,'D-1 Off Site Habitat Baseline'!$D$1:$O$258,7,FALSE)),"",(VLOOKUP($E60,'D-1 Off Site Habitat Baseline'!$D$1:$O$258,7,FALSE))))</f>
        <v/>
      </c>
      <c r="J60" s="520" t="str">
        <f>IF(E60="","",IF(ISNA(VLOOKUP($E60,'D-1 Off Site Habitat Baseline'!$D$1:$O$258,8,FALSE)),"",(VLOOKUP($E60,'D-1 Off Site Habitat Baseline'!$D$1:$O$258,8,FALSE))))</f>
        <v/>
      </c>
      <c r="K60" s="520" t="str">
        <f>IF(E60="","",IF(ISNA(VLOOKUP($E60,'D-1 Off Site Habitat Baseline'!$D$1:$O$258,9,FALSE)),"",(VLOOKUP($E60,'D-1 Off Site Habitat Baseline'!$D$1:$O$258,9,FALSE))))</f>
        <v/>
      </c>
      <c r="L60" s="520" t="str">
        <f>IF(E60="","",IF(ISNA(VLOOKUP($E60,'D-1 Off Site Habitat Baseline'!$D$1:$O$258,11,FALSE)),"",(VLOOKUP($E60,'D-1 Off Site Habitat Baseline'!$D$1:$O$258,11,FALSE))))</f>
        <v/>
      </c>
      <c r="M60" s="520" t="str">
        <f>IF(E60="","",IF(ISNA(VLOOKUP($E60,'D-1 Off Site Habitat Baseline'!$D$1:$O$258,12,FALSE)),"",(VLOOKUP($E60,'D-1 Off Site Habitat Baseline'!$D$1:$O$258,12,FALSE))))</f>
        <v/>
      </c>
      <c r="N60" s="520" t="str">
        <f>IF(E60="","",IF(ISNA(VLOOKUP($E60,'D-1 Off Site Habitat Baseline'!$D$1:$X$258,14,FALSE)),"",(VLOOKUP($E60,'D-1 Off Site Habitat Baseline'!$D$1:$X$258,14,FALSE))))</f>
        <v/>
      </c>
      <c r="O60" s="524" t="str">
        <f>IF(E60="","",IF(ISNA(VLOOKUP($E60,'D-1 Off Site Habitat Baseline'!$D$1:$X$258,13,FALSE)),"",(VLOOKUP($E60,'D-1 Off Site Habitat Baseline'!$D$1:$X$258,13,FALSE))))</f>
        <v/>
      </c>
      <c r="P60" s="232" t="str">
        <f>IFERROR(INDEX('G-1 All Habitats'!$AG$3:$AG$15,MATCH(Q60,'G-1 All Habitats'!$AF$3:$AF$15,0)),"")</f>
        <v/>
      </c>
      <c r="Q60" s="228" t="str">
        <f t="shared" si="12"/>
        <v/>
      </c>
      <c r="R60" s="229" t="str">
        <f t="shared" si="13"/>
        <v/>
      </c>
      <c r="S60" s="233" t="str">
        <f>IFERROR(INDEX('G-1 All Habitats'!$B$3:$B$129,MATCH(R60,'G-1 All Habitats'!$A$3:$A$129,0)),"")</f>
        <v/>
      </c>
      <c r="T60" s="507" t="str">
        <f t="shared" si="5"/>
        <v/>
      </c>
      <c r="U60" s="524" t="str">
        <f t="shared" si="6"/>
        <v/>
      </c>
      <c r="V60" s="523" t="str">
        <f t="shared" si="2"/>
        <v/>
      </c>
      <c r="W60" s="520" t="str">
        <f>IF(S60="","",VLOOKUP(S60,'G-1 All Habitats'!$B$2:$M$129,10,FALSE))</f>
        <v/>
      </c>
      <c r="X60" s="520" t="str">
        <f>IFERROR(VLOOKUP(W60,'G-1 All Habitats'!$V$3:$W$7,2,FALSE),"")</f>
        <v/>
      </c>
      <c r="Y60" s="203"/>
      <c r="Z60" s="524" t="str">
        <f>IFERROR(INDEX('G-8 Condition Look up'!$A$3:$H$130,MATCH(S60,'G-8 Condition Look up'!$A$3:$A$130,0),MATCH(Y60,'G-8 Condition Look up'!$A$3:$H$3,0)),"")</f>
        <v/>
      </c>
      <c r="AA60" s="145"/>
      <c r="AB60" s="540" t="str">
        <f>IF(AA60="","",IF(VLOOKUP(AA60,'G-3 Multipliers'!$L$3:$N$6,2,FALSE)=0,"Spatial Data Missing ⚠",VLOOKUP(AA60,'G-3 Multipliers'!$L$3:$N$6,2,FALSE)))</f>
        <v/>
      </c>
      <c r="AC60" s="524" t="str">
        <f>IF(AA60="","",IF(VLOOKUP(AA60,'G-3 Multipliers'!$L$3:$N$6,3,FALSE)=0,"Spatial Data Missing ⚠",VLOOKUP(AA60,'G-3 Multipliers'!$L$3:$N$6,3,FALSE)))</f>
        <v/>
      </c>
      <c r="AD60" s="537" t="str">
        <f t="shared" si="3"/>
        <v/>
      </c>
      <c r="AE60" s="203"/>
      <c r="AF60" s="203"/>
      <c r="AG60" s="520" t="str">
        <f t="shared" si="7"/>
        <v/>
      </c>
      <c r="AH60" s="544" t="str">
        <f t="shared" si="8"/>
        <v/>
      </c>
      <c r="AI60" s="525" t="str">
        <f>IF(AH60="Check Data ⚠","Check Data ⚠",IFERROR(VLOOKUP(AH60,'G-4 Temporal multipliers'!$A$4:$C$36,3,FALSE),""))</f>
        <v/>
      </c>
      <c r="AJ60" s="537" t="str">
        <f>IF(S60="","",VLOOKUP(S60,'G-3 Multipliers'!$A$2:$E$129,4,FALSE))</f>
        <v/>
      </c>
      <c r="AK60" s="520" t="str">
        <f t="shared" si="9"/>
        <v/>
      </c>
      <c r="AL60" s="520" t="str">
        <f t="shared" si="10"/>
        <v/>
      </c>
      <c r="AM60" s="524" t="str">
        <f>IFERROR(IF(F60="","",IF(AH60="Check Data ⚠","Check Data ⚠",VLOOKUP(AL60, 'G-3 Multipliers'!$P$2:$Q$6,2,FALSE))),"")</f>
        <v/>
      </c>
      <c r="AN60" s="197"/>
      <c r="AO60" s="540" t="str">
        <f>IF(AN60="","",IF(VLOOKUP(AN60,'G-3 Multipliers'!$S$3:$T$9,2,FALSE)=0,"Spatial Data Missing ⚠",VLOOKUP(AN60,'G-3 Multipliers'!$S$3:$T$9,2,FALSE)))</f>
        <v/>
      </c>
      <c r="AP60" s="513" t="str">
        <f t="shared" si="11"/>
        <v/>
      </c>
      <c r="AQ60" s="231"/>
      <c r="AR60" s="150"/>
    </row>
    <row r="61" spans="1:44" x14ac:dyDescent="0.25">
      <c r="A61" s="31" t="str">
        <f>IF(E61="","",IF(ISNA(VLOOKUP($E61,'D-1 Off Site Habitat Baseline'!$D$1:$O$258,2,FALSE)),"",(VLOOKUP($E61,'D-1 Off Site Habitat Baseline'!$D$1:$O$258,2,FALSE))))</f>
        <v/>
      </c>
      <c r="B61" s="31" t="str">
        <f>IF(E61="","",IF(ISNA(VLOOKUP($E61,'D-1 Off Site Habitat Baseline'!$D$1:$O$258,3,FALSE)),"",(VLOOKUP($E61,'D-1 Off Site Habitat Baseline'!$D$1:$O$258,3,FALSE))))</f>
        <v/>
      </c>
      <c r="C61" s="31" t="str">
        <f>IFERROR(INDEX('G-8 Condition Look up'!$I$4:$I$130,MATCH(S61,'G-8 Condition Look up'!$A$4:$A$130,0)),"")</f>
        <v/>
      </c>
      <c r="E61" s="547" t="str">
        <f>'D-1 Off Site Habitat Baseline'!AL60</f>
        <v/>
      </c>
      <c r="F61" s="520" t="str">
        <f>IF(E61="","",IF(ISNA(VLOOKUP($E61,'D-1 Off Site Habitat Baseline'!$D$1:$O$258,4,FALSE)),"",(VLOOKUP($E61,'D-1 Off Site Habitat Baseline'!$D$1:$O$258,4,FALSE))))</f>
        <v/>
      </c>
      <c r="G61" s="520" t="str">
        <f>IF(E61="","",IF(ISNA(VLOOKUP($E61,'D-1 Off Site Habitat Baseline'!$D$1:$O$258,5,FALSE)),"",(VLOOKUP($E61,'D-1 Off Site Habitat Baseline'!$D$1:$O$258,5,FALSE))))</f>
        <v/>
      </c>
      <c r="H61" s="520" t="str">
        <f>IF(E61="","",IF(ISNA(VLOOKUP($E61,'D-1 Off Site Habitat Baseline'!$D$1:$O$258,6,FALSE)),"",(VLOOKUP($E61,'D-1 Off Site Habitat Baseline'!$D$1:$O$258,6,FALSE))))</f>
        <v/>
      </c>
      <c r="I61" s="520" t="str">
        <f>IF(E61="","",IF(ISNA(VLOOKUP($E61,'D-1 Off Site Habitat Baseline'!$D$1:$O$258,7,FALSE)),"",(VLOOKUP($E61,'D-1 Off Site Habitat Baseline'!$D$1:$O$258,7,FALSE))))</f>
        <v/>
      </c>
      <c r="J61" s="520" t="str">
        <f>IF(E61="","",IF(ISNA(VLOOKUP($E61,'D-1 Off Site Habitat Baseline'!$D$1:$O$258,8,FALSE)),"",(VLOOKUP($E61,'D-1 Off Site Habitat Baseline'!$D$1:$O$258,8,FALSE))))</f>
        <v/>
      </c>
      <c r="K61" s="520" t="str">
        <f>IF(E61="","",IF(ISNA(VLOOKUP($E61,'D-1 Off Site Habitat Baseline'!$D$1:$O$258,9,FALSE)),"",(VLOOKUP($E61,'D-1 Off Site Habitat Baseline'!$D$1:$O$258,9,FALSE))))</f>
        <v/>
      </c>
      <c r="L61" s="520" t="str">
        <f>IF(E61="","",IF(ISNA(VLOOKUP($E61,'D-1 Off Site Habitat Baseline'!$D$1:$O$258,11,FALSE)),"",(VLOOKUP($E61,'D-1 Off Site Habitat Baseline'!$D$1:$O$258,11,FALSE))))</f>
        <v/>
      </c>
      <c r="M61" s="520" t="str">
        <f>IF(E61="","",IF(ISNA(VLOOKUP($E61,'D-1 Off Site Habitat Baseline'!$D$1:$O$258,12,FALSE)),"",(VLOOKUP($E61,'D-1 Off Site Habitat Baseline'!$D$1:$O$258,12,FALSE))))</f>
        <v/>
      </c>
      <c r="N61" s="520" t="str">
        <f>IF(E61="","",IF(ISNA(VLOOKUP($E61,'D-1 Off Site Habitat Baseline'!$D$1:$X$258,14,FALSE)),"",(VLOOKUP($E61,'D-1 Off Site Habitat Baseline'!$D$1:$X$258,14,FALSE))))</f>
        <v/>
      </c>
      <c r="O61" s="524" t="str">
        <f>IF(E61="","",IF(ISNA(VLOOKUP($E61,'D-1 Off Site Habitat Baseline'!$D$1:$X$258,13,FALSE)),"",(VLOOKUP($E61,'D-1 Off Site Habitat Baseline'!$D$1:$X$258,13,FALSE))))</f>
        <v/>
      </c>
      <c r="P61" s="232" t="str">
        <f>IFERROR(INDEX('G-1 All Habitats'!$AG$3:$AG$15,MATCH(Q61,'G-1 All Habitats'!$AF$3:$AF$15,0)),"")</f>
        <v/>
      </c>
      <c r="Q61" s="228" t="str">
        <f t="shared" si="12"/>
        <v/>
      </c>
      <c r="R61" s="229" t="str">
        <f t="shared" si="13"/>
        <v/>
      </c>
      <c r="S61" s="233" t="str">
        <f>IFERROR(INDEX('G-1 All Habitats'!$B$3:$B$129,MATCH(R61,'G-1 All Habitats'!$A$3:$A$129,0)),"")</f>
        <v/>
      </c>
      <c r="T61" s="507" t="str">
        <f t="shared" si="5"/>
        <v/>
      </c>
      <c r="U61" s="524" t="str">
        <f t="shared" si="6"/>
        <v/>
      </c>
      <c r="V61" s="523" t="str">
        <f t="shared" si="2"/>
        <v/>
      </c>
      <c r="W61" s="520" t="str">
        <f>IF(S61="","",VLOOKUP(S61,'G-1 All Habitats'!$B$2:$M$129,10,FALSE))</f>
        <v/>
      </c>
      <c r="X61" s="520" t="str">
        <f>IFERROR(VLOOKUP(W61,'G-1 All Habitats'!$V$3:$W$7,2,FALSE),"")</f>
        <v/>
      </c>
      <c r="Y61" s="203"/>
      <c r="Z61" s="524" t="str">
        <f>IFERROR(INDEX('G-8 Condition Look up'!$A$3:$H$130,MATCH(S61,'G-8 Condition Look up'!$A$3:$A$130,0),MATCH(Y61,'G-8 Condition Look up'!$A$3:$H$3,0)),"")</f>
        <v/>
      </c>
      <c r="AA61" s="145"/>
      <c r="AB61" s="540" t="str">
        <f>IF(AA61="","",IF(VLOOKUP(AA61,'G-3 Multipliers'!$L$3:$N$6,2,FALSE)=0,"Spatial Data Missing ⚠",VLOOKUP(AA61,'G-3 Multipliers'!$L$3:$N$6,2,FALSE)))</f>
        <v/>
      </c>
      <c r="AC61" s="524" t="str">
        <f>IF(AA61="","",IF(VLOOKUP(AA61,'G-3 Multipliers'!$L$3:$N$6,3,FALSE)=0,"Spatial Data Missing ⚠",VLOOKUP(AA61,'G-3 Multipliers'!$L$3:$N$6,3,FALSE)))</f>
        <v/>
      </c>
      <c r="AD61" s="537" t="str">
        <f t="shared" si="3"/>
        <v/>
      </c>
      <c r="AE61" s="203"/>
      <c r="AF61" s="203"/>
      <c r="AG61" s="520" t="str">
        <f t="shared" si="7"/>
        <v/>
      </c>
      <c r="AH61" s="544" t="str">
        <f t="shared" si="8"/>
        <v/>
      </c>
      <c r="AI61" s="525" t="str">
        <f>IF(AH61="Check Data ⚠","Check Data ⚠",IFERROR(VLOOKUP(AH61,'G-4 Temporal multipliers'!$A$4:$C$36,3,FALSE),""))</f>
        <v/>
      </c>
      <c r="AJ61" s="537" t="str">
        <f>IF(S61="","",VLOOKUP(S61,'G-3 Multipliers'!$A$2:$E$129,4,FALSE))</f>
        <v/>
      </c>
      <c r="AK61" s="520" t="str">
        <f t="shared" si="9"/>
        <v/>
      </c>
      <c r="AL61" s="520" t="str">
        <f t="shared" si="10"/>
        <v/>
      </c>
      <c r="AM61" s="524" t="str">
        <f>IFERROR(IF(F61="","",IF(AH61="Check Data ⚠","Check Data ⚠",VLOOKUP(AL61, 'G-3 Multipliers'!$P$2:$Q$6,2,FALSE))),"")</f>
        <v/>
      </c>
      <c r="AN61" s="197"/>
      <c r="AO61" s="540" t="str">
        <f>IF(AN61="","",IF(VLOOKUP(AN61,'G-3 Multipliers'!$S$3:$T$9,2,FALSE)=0,"Spatial Data Missing ⚠",VLOOKUP(AN61,'G-3 Multipliers'!$S$3:$T$9,2,FALSE)))</f>
        <v/>
      </c>
      <c r="AP61" s="513" t="str">
        <f t="shared" si="11"/>
        <v/>
      </c>
      <c r="AQ61" s="231"/>
      <c r="AR61" s="150"/>
    </row>
    <row r="62" spans="1:44" x14ac:dyDescent="0.25">
      <c r="A62" s="31" t="str">
        <f>IF(E62="","",IF(ISNA(VLOOKUP($E62,'D-1 Off Site Habitat Baseline'!$D$1:$O$258,2,FALSE)),"",(VLOOKUP($E62,'D-1 Off Site Habitat Baseline'!$D$1:$O$258,2,FALSE))))</f>
        <v/>
      </c>
      <c r="B62" s="31" t="str">
        <f>IF(E62="","",IF(ISNA(VLOOKUP($E62,'D-1 Off Site Habitat Baseline'!$D$1:$O$258,3,FALSE)),"",(VLOOKUP($E62,'D-1 Off Site Habitat Baseline'!$D$1:$O$258,3,FALSE))))</f>
        <v/>
      </c>
      <c r="C62" s="31" t="str">
        <f>IFERROR(INDEX('G-8 Condition Look up'!$I$4:$I$130,MATCH(S62,'G-8 Condition Look up'!$A$4:$A$130,0)),"")</f>
        <v/>
      </c>
      <c r="E62" s="547" t="str">
        <f>'D-1 Off Site Habitat Baseline'!AL61</f>
        <v/>
      </c>
      <c r="F62" s="520" t="str">
        <f>IF(E62="","",IF(ISNA(VLOOKUP($E62,'D-1 Off Site Habitat Baseline'!$D$1:$O$258,4,FALSE)),"",(VLOOKUP($E62,'D-1 Off Site Habitat Baseline'!$D$1:$O$258,4,FALSE))))</f>
        <v/>
      </c>
      <c r="G62" s="520" t="str">
        <f>IF(E62="","",IF(ISNA(VLOOKUP($E62,'D-1 Off Site Habitat Baseline'!$D$1:$O$258,5,FALSE)),"",(VLOOKUP($E62,'D-1 Off Site Habitat Baseline'!$D$1:$O$258,5,FALSE))))</f>
        <v/>
      </c>
      <c r="H62" s="520" t="str">
        <f>IF(E62="","",IF(ISNA(VLOOKUP($E62,'D-1 Off Site Habitat Baseline'!$D$1:$O$258,6,FALSE)),"",(VLOOKUP($E62,'D-1 Off Site Habitat Baseline'!$D$1:$O$258,6,FALSE))))</f>
        <v/>
      </c>
      <c r="I62" s="520" t="str">
        <f>IF(E62="","",IF(ISNA(VLOOKUP($E62,'D-1 Off Site Habitat Baseline'!$D$1:$O$258,7,FALSE)),"",(VLOOKUP($E62,'D-1 Off Site Habitat Baseline'!$D$1:$O$258,7,FALSE))))</f>
        <v/>
      </c>
      <c r="J62" s="520" t="str">
        <f>IF(E62="","",IF(ISNA(VLOOKUP($E62,'D-1 Off Site Habitat Baseline'!$D$1:$O$258,8,FALSE)),"",(VLOOKUP($E62,'D-1 Off Site Habitat Baseline'!$D$1:$O$258,8,FALSE))))</f>
        <v/>
      </c>
      <c r="K62" s="520" t="str">
        <f>IF(E62="","",IF(ISNA(VLOOKUP($E62,'D-1 Off Site Habitat Baseline'!$D$1:$O$258,9,FALSE)),"",(VLOOKUP($E62,'D-1 Off Site Habitat Baseline'!$D$1:$O$258,9,FALSE))))</f>
        <v/>
      </c>
      <c r="L62" s="520" t="str">
        <f>IF(E62="","",IF(ISNA(VLOOKUP($E62,'D-1 Off Site Habitat Baseline'!$D$1:$O$258,11,FALSE)),"",(VLOOKUP($E62,'D-1 Off Site Habitat Baseline'!$D$1:$O$258,11,FALSE))))</f>
        <v/>
      </c>
      <c r="M62" s="520" t="str">
        <f>IF(E62="","",IF(ISNA(VLOOKUP($E62,'D-1 Off Site Habitat Baseline'!$D$1:$O$258,12,FALSE)),"",(VLOOKUP($E62,'D-1 Off Site Habitat Baseline'!$D$1:$O$258,12,FALSE))))</f>
        <v/>
      </c>
      <c r="N62" s="520" t="str">
        <f>IF(E62="","",IF(ISNA(VLOOKUP($E62,'D-1 Off Site Habitat Baseline'!$D$1:$X$258,14,FALSE)),"",(VLOOKUP($E62,'D-1 Off Site Habitat Baseline'!$D$1:$X$258,14,FALSE))))</f>
        <v/>
      </c>
      <c r="O62" s="524" t="str">
        <f>IF(E62="","",IF(ISNA(VLOOKUP($E62,'D-1 Off Site Habitat Baseline'!$D$1:$X$258,13,FALSE)),"",(VLOOKUP($E62,'D-1 Off Site Habitat Baseline'!$D$1:$X$258,13,FALSE))))</f>
        <v/>
      </c>
      <c r="P62" s="232" t="str">
        <f>IFERROR(INDEX('G-1 All Habitats'!$AG$3:$AG$15,MATCH(Q62,'G-1 All Habitats'!$AF$3:$AF$15,0)),"")</f>
        <v/>
      </c>
      <c r="Q62" s="228" t="str">
        <f t="shared" si="12"/>
        <v/>
      </c>
      <c r="R62" s="229" t="str">
        <f t="shared" si="13"/>
        <v/>
      </c>
      <c r="S62" s="233" t="str">
        <f>IFERROR(INDEX('G-1 All Habitats'!$B$3:$B$129,MATCH(R62,'G-1 All Habitats'!$A$3:$A$129,0)),"")</f>
        <v/>
      </c>
      <c r="T62" s="507" t="str">
        <f t="shared" si="5"/>
        <v/>
      </c>
      <c r="U62" s="524" t="str">
        <f t="shared" si="6"/>
        <v/>
      </c>
      <c r="V62" s="523" t="str">
        <f t="shared" si="2"/>
        <v/>
      </c>
      <c r="W62" s="520" t="str">
        <f>IF(S62="","",VLOOKUP(S62,'G-1 All Habitats'!$B$2:$M$129,10,FALSE))</f>
        <v/>
      </c>
      <c r="X62" s="520" t="str">
        <f>IFERROR(VLOOKUP(W62,'G-1 All Habitats'!$V$3:$W$7,2,FALSE),"")</f>
        <v/>
      </c>
      <c r="Y62" s="203"/>
      <c r="Z62" s="524" t="str">
        <f>IFERROR(INDEX('G-8 Condition Look up'!$A$3:$H$130,MATCH(S62,'G-8 Condition Look up'!$A$3:$A$130,0),MATCH(Y62,'G-8 Condition Look up'!$A$3:$H$3,0)),"")</f>
        <v/>
      </c>
      <c r="AA62" s="145"/>
      <c r="AB62" s="540" t="str">
        <f>IF(AA62="","",IF(VLOOKUP(AA62,'G-3 Multipliers'!$L$3:$N$6,2,FALSE)=0,"Spatial Data Missing ⚠",VLOOKUP(AA62,'G-3 Multipliers'!$L$3:$N$6,2,FALSE)))</f>
        <v/>
      </c>
      <c r="AC62" s="524" t="str">
        <f>IF(AA62="","",IF(VLOOKUP(AA62,'G-3 Multipliers'!$L$3:$N$6,3,FALSE)=0,"Spatial Data Missing ⚠",VLOOKUP(AA62,'G-3 Multipliers'!$L$3:$N$6,3,FALSE)))</f>
        <v/>
      </c>
      <c r="AD62" s="537" t="str">
        <f t="shared" si="3"/>
        <v/>
      </c>
      <c r="AE62" s="203"/>
      <c r="AF62" s="203"/>
      <c r="AG62" s="520" t="str">
        <f t="shared" si="7"/>
        <v/>
      </c>
      <c r="AH62" s="544" t="str">
        <f t="shared" si="8"/>
        <v/>
      </c>
      <c r="AI62" s="525" t="str">
        <f>IF(AH62="Check Data ⚠","Check Data ⚠",IFERROR(VLOOKUP(AH62,'G-4 Temporal multipliers'!$A$4:$C$36,3,FALSE),""))</f>
        <v/>
      </c>
      <c r="AJ62" s="537" t="str">
        <f>IF(S62="","",VLOOKUP(S62,'G-3 Multipliers'!$A$2:$E$129,4,FALSE))</f>
        <v/>
      </c>
      <c r="AK62" s="520" t="str">
        <f t="shared" si="9"/>
        <v/>
      </c>
      <c r="AL62" s="520" t="str">
        <f t="shared" si="10"/>
        <v/>
      </c>
      <c r="AM62" s="524" t="str">
        <f>IFERROR(IF(F62="","",IF(AH62="Check Data ⚠","Check Data ⚠",VLOOKUP(AL62, 'G-3 Multipliers'!$P$2:$Q$6,2,FALSE))),"")</f>
        <v/>
      </c>
      <c r="AN62" s="197"/>
      <c r="AO62" s="540" t="str">
        <f>IF(AN62="","",IF(VLOOKUP(AN62,'G-3 Multipliers'!$S$3:$T$9,2,FALSE)=0,"Spatial Data Missing ⚠",VLOOKUP(AN62,'G-3 Multipliers'!$S$3:$T$9,2,FALSE)))</f>
        <v/>
      </c>
      <c r="AP62" s="513" t="str">
        <f t="shared" si="11"/>
        <v/>
      </c>
      <c r="AQ62" s="231"/>
      <c r="AR62" s="150"/>
    </row>
    <row r="63" spans="1:44" x14ac:dyDescent="0.25">
      <c r="A63" s="31" t="str">
        <f>IF(E63="","",IF(ISNA(VLOOKUP($E63,'D-1 Off Site Habitat Baseline'!$D$1:$O$258,2,FALSE)),"",(VLOOKUP($E63,'D-1 Off Site Habitat Baseline'!$D$1:$O$258,2,FALSE))))</f>
        <v/>
      </c>
      <c r="B63" s="31" t="str">
        <f>IF(E63="","",IF(ISNA(VLOOKUP($E63,'D-1 Off Site Habitat Baseline'!$D$1:$O$258,3,FALSE)),"",(VLOOKUP($E63,'D-1 Off Site Habitat Baseline'!$D$1:$O$258,3,FALSE))))</f>
        <v/>
      </c>
      <c r="C63" s="31" t="str">
        <f>IFERROR(INDEX('G-8 Condition Look up'!$I$4:$I$130,MATCH(S63,'G-8 Condition Look up'!$A$4:$A$130,0)),"")</f>
        <v/>
      </c>
      <c r="E63" s="547" t="str">
        <f>'D-1 Off Site Habitat Baseline'!AL62</f>
        <v/>
      </c>
      <c r="F63" s="520" t="str">
        <f>IF(E63="","",IF(ISNA(VLOOKUP($E63,'D-1 Off Site Habitat Baseline'!$D$1:$O$258,4,FALSE)),"",(VLOOKUP($E63,'D-1 Off Site Habitat Baseline'!$D$1:$O$258,4,FALSE))))</f>
        <v/>
      </c>
      <c r="G63" s="520" t="str">
        <f>IF(E63="","",IF(ISNA(VLOOKUP($E63,'D-1 Off Site Habitat Baseline'!$D$1:$O$258,5,FALSE)),"",(VLOOKUP($E63,'D-1 Off Site Habitat Baseline'!$D$1:$O$258,5,FALSE))))</f>
        <v/>
      </c>
      <c r="H63" s="520" t="str">
        <f>IF(E63="","",IF(ISNA(VLOOKUP($E63,'D-1 Off Site Habitat Baseline'!$D$1:$O$258,6,FALSE)),"",(VLOOKUP($E63,'D-1 Off Site Habitat Baseline'!$D$1:$O$258,6,FALSE))))</f>
        <v/>
      </c>
      <c r="I63" s="520" t="str">
        <f>IF(E63="","",IF(ISNA(VLOOKUP($E63,'D-1 Off Site Habitat Baseline'!$D$1:$O$258,7,FALSE)),"",(VLOOKUP($E63,'D-1 Off Site Habitat Baseline'!$D$1:$O$258,7,FALSE))))</f>
        <v/>
      </c>
      <c r="J63" s="520" t="str">
        <f>IF(E63="","",IF(ISNA(VLOOKUP($E63,'D-1 Off Site Habitat Baseline'!$D$1:$O$258,8,FALSE)),"",(VLOOKUP($E63,'D-1 Off Site Habitat Baseline'!$D$1:$O$258,8,FALSE))))</f>
        <v/>
      </c>
      <c r="K63" s="520" t="str">
        <f>IF(E63="","",IF(ISNA(VLOOKUP($E63,'D-1 Off Site Habitat Baseline'!$D$1:$O$258,9,FALSE)),"",(VLOOKUP($E63,'D-1 Off Site Habitat Baseline'!$D$1:$O$258,9,FALSE))))</f>
        <v/>
      </c>
      <c r="L63" s="520" t="str">
        <f>IF(E63="","",IF(ISNA(VLOOKUP($E63,'D-1 Off Site Habitat Baseline'!$D$1:$O$258,11,FALSE)),"",(VLOOKUP($E63,'D-1 Off Site Habitat Baseline'!$D$1:$O$258,11,FALSE))))</f>
        <v/>
      </c>
      <c r="M63" s="520" t="str">
        <f>IF(E63="","",IF(ISNA(VLOOKUP($E63,'D-1 Off Site Habitat Baseline'!$D$1:$O$258,12,FALSE)),"",(VLOOKUP($E63,'D-1 Off Site Habitat Baseline'!$D$1:$O$258,12,FALSE))))</f>
        <v/>
      </c>
      <c r="N63" s="520" t="str">
        <f>IF(E63="","",IF(ISNA(VLOOKUP($E63,'D-1 Off Site Habitat Baseline'!$D$1:$X$258,14,FALSE)),"",(VLOOKUP($E63,'D-1 Off Site Habitat Baseline'!$D$1:$X$258,14,FALSE))))</f>
        <v/>
      </c>
      <c r="O63" s="524" t="str">
        <f>IF(E63="","",IF(ISNA(VLOOKUP($E63,'D-1 Off Site Habitat Baseline'!$D$1:$X$258,13,FALSE)),"",(VLOOKUP($E63,'D-1 Off Site Habitat Baseline'!$D$1:$X$258,13,FALSE))))</f>
        <v/>
      </c>
      <c r="P63" s="232" t="str">
        <f>IFERROR(INDEX('G-1 All Habitats'!$AG$3:$AG$15,MATCH(Q63,'G-1 All Habitats'!$AF$3:$AF$15,0)),"")</f>
        <v/>
      </c>
      <c r="Q63" s="228" t="str">
        <f t="shared" si="12"/>
        <v/>
      </c>
      <c r="R63" s="229" t="str">
        <f t="shared" si="13"/>
        <v/>
      </c>
      <c r="S63" s="233" t="str">
        <f>IFERROR(INDEX('G-1 All Habitats'!$B$3:$B$129,MATCH(R63,'G-1 All Habitats'!$A$3:$A$129,0)),"")</f>
        <v/>
      </c>
      <c r="T63" s="507" t="str">
        <f t="shared" si="5"/>
        <v/>
      </c>
      <c r="U63" s="524" t="str">
        <f t="shared" si="6"/>
        <v/>
      </c>
      <c r="V63" s="523" t="str">
        <f t="shared" si="2"/>
        <v/>
      </c>
      <c r="W63" s="520" t="str">
        <f>IF(S63="","",VLOOKUP(S63,'G-1 All Habitats'!$B$2:$M$129,10,FALSE))</f>
        <v/>
      </c>
      <c r="X63" s="520" t="str">
        <f>IFERROR(VLOOKUP(W63,'G-1 All Habitats'!$V$3:$W$7,2,FALSE),"")</f>
        <v/>
      </c>
      <c r="Y63" s="203"/>
      <c r="Z63" s="524" t="str">
        <f>IFERROR(INDEX('G-8 Condition Look up'!$A$3:$H$130,MATCH(S63,'G-8 Condition Look up'!$A$3:$A$130,0),MATCH(Y63,'G-8 Condition Look up'!$A$3:$H$3,0)),"")</f>
        <v/>
      </c>
      <c r="AA63" s="145"/>
      <c r="AB63" s="540" t="str">
        <f>IF(AA63="","",IF(VLOOKUP(AA63,'G-3 Multipliers'!$L$3:$N$6,2,FALSE)=0,"Spatial Data Missing ⚠",VLOOKUP(AA63,'G-3 Multipliers'!$L$3:$N$6,2,FALSE)))</f>
        <v/>
      </c>
      <c r="AC63" s="524" t="str">
        <f>IF(AA63="","",IF(VLOOKUP(AA63,'G-3 Multipliers'!$L$3:$N$6,3,FALSE)=0,"Spatial Data Missing ⚠",VLOOKUP(AA63,'G-3 Multipliers'!$L$3:$N$6,3,FALSE)))</f>
        <v/>
      </c>
      <c r="AD63" s="537" t="str">
        <f t="shared" si="3"/>
        <v/>
      </c>
      <c r="AE63" s="203"/>
      <c r="AF63" s="203"/>
      <c r="AG63" s="520" t="str">
        <f t="shared" si="7"/>
        <v/>
      </c>
      <c r="AH63" s="544" t="str">
        <f t="shared" si="8"/>
        <v/>
      </c>
      <c r="AI63" s="525" t="str">
        <f>IF(AH63="Check Data ⚠","Check Data ⚠",IFERROR(VLOOKUP(AH63,'G-4 Temporal multipliers'!$A$4:$C$36,3,FALSE),""))</f>
        <v/>
      </c>
      <c r="AJ63" s="537" t="str">
        <f>IF(S63="","",VLOOKUP(S63,'G-3 Multipliers'!$A$2:$E$129,4,FALSE))</f>
        <v/>
      </c>
      <c r="AK63" s="520" t="str">
        <f t="shared" si="9"/>
        <v/>
      </c>
      <c r="AL63" s="520" t="str">
        <f t="shared" si="10"/>
        <v/>
      </c>
      <c r="AM63" s="524" t="str">
        <f>IFERROR(IF(F63="","",IF(AH63="Check Data ⚠","Check Data ⚠",VLOOKUP(AL63, 'G-3 Multipliers'!$P$2:$Q$6,2,FALSE))),"")</f>
        <v/>
      </c>
      <c r="AN63" s="197"/>
      <c r="AO63" s="540" t="str">
        <f>IF(AN63="","",IF(VLOOKUP(AN63,'G-3 Multipliers'!$S$3:$T$9,2,FALSE)=0,"Spatial Data Missing ⚠",VLOOKUP(AN63,'G-3 Multipliers'!$S$3:$T$9,2,FALSE)))</f>
        <v/>
      </c>
      <c r="AP63" s="513" t="str">
        <f t="shared" si="11"/>
        <v/>
      </c>
      <c r="AQ63" s="231"/>
      <c r="AR63" s="150"/>
    </row>
    <row r="64" spans="1:44" x14ac:dyDescent="0.25">
      <c r="A64" s="31" t="str">
        <f>IF(E64="","",IF(ISNA(VLOOKUP($E64,'D-1 Off Site Habitat Baseline'!$D$1:$O$258,2,FALSE)),"",(VLOOKUP($E64,'D-1 Off Site Habitat Baseline'!$D$1:$O$258,2,FALSE))))</f>
        <v/>
      </c>
      <c r="B64" s="31" t="str">
        <f>IF(E64="","",IF(ISNA(VLOOKUP($E64,'D-1 Off Site Habitat Baseline'!$D$1:$O$258,3,FALSE)),"",(VLOOKUP($E64,'D-1 Off Site Habitat Baseline'!$D$1:$O$258,3,FALSE))))</f>
        <v/>
      </c>
      <c r="C64" s="31" t="str">
        <f>IFERROR(INDEX('G-8 Condition Look up'!$I$4:$I$130,MATCH(S64,'G-8 Condition Look up'!$A$4:$A$130,0)),"")</f>
        <v/>
      </c>
      <c r="E64" s="547" t="str">
        <f>'D-1 Off Site Habitat Baseline'!AL63</f>
        <v/>
      </c>
      <c r="F64" s="520" t="str">
        <f>IF(E64="","",IF(ISNA(VLOOKUP($E64,'D-1 Off Site Habitat Baseline'!$D$1:$O$258,4,FALSE)),"",(VLOOKUP($E64,'D-1 Off Site Habitat Baseline'!$D$1:$O$258,4,FALSE))))</f>
        <v/>
      </c>
      <c r="G64" s="520" t="str">
        <f>IF(E64="","",IF(ISNA(VLOOKUP($E64,'D-1 Off Site Habitat Baseline'!$D$1:$O$258,5,FALSE)),"",(VLOOKUP($E64,'D-1 Off Site Habitat Baseline'!$D$1:$O$258,5,FALSE))))</f>
        <v/>
      </c>
      <c r="H64" s="520" t="str">
        <f>IF(E64="","",IF(ISNA(VLOOKUP($E64,'D-1 Off Site Habitat Baseline'!$D$1:$O$258,6,FALSE)),"",(VLOOKUP($E64,'D-1 Off Site Habitat Baseline'!$D$1:$O$258,6,FALSE))))</f>
        <v/>
      </c>
      <c r="I64" s="520" t="str">
        <f>IF(E64="","",IF(ISNA(VLOOKUP($E64,'D-1 Off Site Habitat Baseline'!$D$1:$O$258,7,FALSE)),"",(VLOOKUP($E64,'D-1 Off Site Habitat Baseline'!$D$1:$O$258,7,FALSE))))</f>
        <v/>
      </c>
      <c r="J64" s="520" t="str">
        <f>IF(E64="","",IF(ISNA(VLOOKUP($E64,'D-1 Off Site Habitat Baseline'!$D$1:$O$258,8,FALSE)),"",(VLOOKUP($E64,'D-1 Off Site Habitat Baseline'!$D$1:$O$258,8,FALSE))))</f>
        <v/>
      </c>
      <c r="K64" s="520" t="str">
        <f>IF(E64="","",IF(ISNA(VLOOKUP($E64,'D-1 Off Site Habitat Baseline'!$D$1:$O$258,9,FALSE)),"",(VLOOKUP($E64,'D-1 Off Site Habitat Baseline'!$D$1:$O$258,9,FALSE))))</f>
        <v/>
      </c>
      <c r="L64" s="520" t="str">
        <f>IF(E64="","",IF(ISNA(VLOOKUP($E64,'D-1 Off Site Habitat Baseline'!$D$1:$O$258,11,FALSE)),"",(VLOOKUP($E64,'D-1 Off Site Habitat Baseline'!$D$1:$O$258,11,FALSE))))</f>
        <v/>
      </c>
      <c r="M64" s="520" t="str">
        <f>IF(E64="","",IF(ISNA(VLOOKUP($E64,'D-1 Off Site Habitat Baseline'!$D$1:$O$258,12,FALSE)),"",(VLOOKUP($E64,'D-1 Off Site Habitat Baseline'!$D$1:$O$258,12,FALSE))))</f>
        <v/>
      </c>
      <c r="N64" s="520" t="str">
        <f>IF(E64="","",IF(ISNA(VLOOKUP($E64,'D-1 Off Site Habitat Baseline'!$D$1:$X$258,14,FALSE)),"",(VLOOKUP($E64,'D-1 Off Site Habitat Baseline'!$D$1:$X$258,14,FALSE))))</f>
        <v/>
      </c>
      <c r="O64" s="524" t="str">
        <f>IF(E64="","",IF(ISNA(VLOOKUP($E64,'D-1 Off Site Habitat Baseline'!$D$1:$X$258,13,FALSE)),"",(VLOOKUP($E64,'D-1 Off Site Habitat Baseline'!$D$1:$X$258,13,FALSE))))</f>
        <v/>
      </c>
      <c r="P64" s="232" t="str">
        <f>IFERROR(INDEX('G-1 All Habitats'!$AG$3:$AG$15,MATCH(Q64,'G-1 All Habitats'!$AF$3:$AF$15,0)),"")</f>
        <v/>
      </c>
      <c r="Q64" s="228" t="str">
        <f t="shared" si="12"/>
        <v/>
      </c>
      <c r="R64" s="229" t="str">
        <f t="shared" si="13"/>
        <v/>
      </c>
      <c r="S64" s="233" t="str">
        <f>IFERROR(INDEX('G-1 All Habitats'!$B$3:$B$129,MATCH(R64,'G-1 All Habitats'!$A$3:$A$129,0)),"")</f>
        <v/>
      </c>
      <c r="T64" s="507" t="str">
        <f t="shared" si="5"/>
        <v/>
      </c>
      <c r="U64" s="524" t="str">
        <f t="shared" si="6"/>
        <v/>
      </c>
      <c r="V64" s="523" t="str">
        <f t="shared" si="2"/>
        <v/>
      </c>
      <c r="W64" s="520" t="str">
        <f>IF(S64="","",VLOOKUP(S64,'G-1 All Habitats'!$B$2:$M$129,10,FALSE))</f>
        <v/>
      </c>
      <c r="X64" s="520" t="str">
        <f>IFERROR(VLOOKUP(W64,'G-1 All Habitats'!$V$3:$W$7,2,FALSE),"")</f>
        <v/>
      </c>
      <c r="Y64" s="203"/>
      <c r="Z64" s="524" t="str">
        <f>IFERROR(INDEX('G-8 Condition Look up'!$A$3:$H$130,MATCH(S64,'G-8 Condition Look up'!$A$3:$A$130,0),MATCH(Y64,'G-8 Condition Look up'!$A$3:$H$3,0)),"")</f>
        <v/>
      </c>
      <c r="AA64" s="145"/>
      <c r="AB64" s="540" t="str">
        <f>IF(AA64="","",IF(VLOOKUP(AA64,'G-3 Multipliers'!$L$3:$N$6,2,FALSE)=0,"Spatial Data Missing ⚠",VLOOKUP(AA64,'G-3 Multipliers'!$L$3:$N$6,2,FALSE)))</f>
        <v/>
      </c>
      <c r="AC64" s="524" t="str">
        <f>IF(AA64="","",IF(VLOOKUP(AA64,'G-3 Multipliers'!$L$3:$N$6,3,FALSE)=0,"Spatial Data Missing ⚠",VLOOKUP(AA64,'G-3 Multipliers'!$L$3:$N$6,3,FALSE)))</f>
        <v/>
      </c>
      <c r="AD64" s="537" t="str">
        <f t="shared" si="3"/>
        <v/>
      </c>
      <c r="AE64" s="203"/>
      <c r="AF64" s="203"/>
      <c r="AG64" s="520" t="str">
        <f t="shared" si="7"/>
        <v/>
      </c>
      <c r="AH64" s="544" t="str">
        <f t="shared" si="8"/>
        <v/>
      </c>
      <c r="AI64" s="525" t="str">
        <f>IF(AH64="Check Data ⚠","Check Data ⚠",IFERROR(VLOOKUP(AH64,'G-4 Temporal multipliers'!$A$4:$C$36,3,FALSE),""))</f>
        <v/>
      </c>
      <c r="AJ64" s="537" t="str">
        <f>IF(S64="","",VLOOKUP(S64,'G-3 Multipliers'!$A$2:$E$129,4,FALSE))</f>
        <v/>
      </c>
      <c r="AK64" s="520" t="str">
        <f t="shared" si="9"/>
        <v/>
      </c>
      <c r="AL64" s="520" t="str">
        <f t="shared" si="10"/>
        <v/>
      </c>
      <c r="AM64" s="524" t="str">
        <f>IFERROR(IF(F64="","",IF(AH64="Check Data ⚠","Check Data ⚠",VLOOKUP(AL64, 'G-3 Multipliers'!$P$2:$Q$6,2,FALSE))),"")</f>
        <v/>
      </c>
      <c r="AN64" s="197"/>
      <c r="AO64" s="540" t="str">
        <f>IF(AN64="","",IF(VLOOKUP(AN64,'G-3 Multipliers'!$S$3:$T$9,2,FALSE)=0,"Spatial Data Missing ⚠",VLOOKUP(AN64,'G-3 Multipliers'!$S$3:$T$9,2,FALSE)))</f>
        <v/>
      </c>
      <c r="AP64" s="513" t="str">
        <f t="shared" si="11"/>
        <v/>
      </c>
      <c r="AQ64" s="231"/>
      <c r="AR64" s="150"/>
    </row>
    <row r="65" spans="1:44" x14ac:dyDescent="0.25">
      <c r="A65" s="31" t="str">
        <f>IF(E65="","",IF(ISNA(VLOOKUP($E65,'D-1 Off Site Habitat Baseline'!$D$1:$O$258,2,FALSE)),"",(VLOOKUP($E65,'D-1 Off Site Habitat Baseline'!$D$1:$O$258,2,FALSE))))</f>
        <v/>
      </c>
      <c r="B65" s="31" t="str">
        <f>IF(E65="","",IF(ISNA(VLOOKUP($E65,'D-1 Off Site Habitat Baseline'!$D$1:$O$258,3,FALSE)),"",(VLOOKUP($E65,'D-1 Off Site Habitat Baseline'!$D$1:$O$258,3,FALSE))))</f>
        <v/>
      </c>
      <c r="C65" s="31" t="str">
        <f>IFERROR(INDEX('G-8 Condition Look up'!$I$4:$I$130,MATCH(S65,'G-8 Condition Look up'!$A$4:$A$130,0)),"")</f>
        <v/>
      </c>
      <c r="E65" s="547" t="str">
        <f>'D-1 Off Site Habitat Baseline'!AL64</f>
        <v/>
      </c>
      <c r="F65" s="520" t="str">
        <f>IF(E65="","",IF(ISNA(VLOOKUP($E65,'D-1 Off Site Habitat Baseline'!$D$1:$O$258,4,FALSE)),"",(VLOOKUP($E65,'D-1 Off Site Habitat Baseline'!$D$1:$O$258,4,FALSE))))</f>
        <v/>
      </c>
      <c r="G65" s="520" t="str">
        <f>IF(E65="","",IF(ISNA(VLOOKUP($E65,'D-1 Off Site Habitat Baseline'!$D$1:$O$258,5,FALSE)),"",(VLOOKUP($E65,'D-1 Off Site Habitat Baseline'!$D$1:$O$258,5,FALSE))))</f>
        <v/>
      </c>
      <c r="H65" s="520" t="str">
        <f>IF(E65="","",IF(ISNA(VLOOKUP($E65,'D-1 Off Site Habitat Baseline'!$D$1:$O$258,6,FALSE)),"",(VLOOKUP($E65,'D-1 Off Site Habitat Baseline'!$D$1:$O$258,6,FALSE))))</f>
        <v/>
      </c>
      <c r="I65" s="520" t="str">
        <f>IF(E65="","",IF(ISNA(VLOOKUP($E65,'D-1 Off Site Habitat Baseline'!$D$1:$O$258,7,FALSE)),"",(VLOOKUP($E65,'D-1 Off Site Habitat Baseline'!$D$1:$O$258,7,FALSE))))</f>
        <v/>
      </c>
      <c r="J65" s="520" t="str">
        <f>IF(E65="","",IF(ISNA(VLOOKUP($E65,'D-1 Off Site Habitat Baseline'!$D$1:$O$258,8,FALSE)),"",(VLOOKUP($E65,'D-1 Off Site Habitat Baseline'!$D$1:$O$258,8,FALSE))))</f>
        <v/>
      </c>
      <c r="K65" s="520" t="str">
        <f>IF(E65="","",IF(ISNA(VLOOKUP($E65,'D-1 Off Site Habitat Baseline'!$D$1:$O$258,9,FALSE)),"",(VLOOKUP($E65,'D-1 Off Site Habitat Baseline'!$D$1:$O$258,9,FALSE))))</f>
        <v/>
      </c>
      <c r="L65" s="520" t="str">
        <f>IF(E65="","",IF(ISNA(VLOOKUP($E65,'D-1 Off Site Habitat Baseline'!$D$1:$O$258,11,FALSE)),"",(VLOOKUP($E65,'D-1 Off Site Habitat Baseline'!$D$1:$O$258,11,FALSE))))</f>
        <v/>
      </c>
      <c r="M65" s="520" t="str">
        <f>IF(E65="","",IF(ISNA(VLOOKUP($E65,'D-1 Off Site Habitat Baseline'!$D$1:$O$258,12,FALSE)),"",(VLOOKUP($E65,'D-1 Off Site Habitat Baseline'!$D$1:$O$258,12,FALSE))))</f>
        <v/>
      </c>
      <c r="N65" s="520" t="str">
        <f>IF(E65="","",IF(ISNA(VLOOKUP($E65,'D-1 Off Site Habitat Baseline'!$D$1:$X$258,14,FALSE)),"",(VLOOKUP($E65,'D-1 Off Site Habitat Baseline'!$D$1:$X$258,14,FALSE))))</f>
        <v/>
      </c>
      <c r="O65" s="524" t="str">
        <f>IF(E65="","",IF(ISNA(VLOOKUP($E65,'D-1 Off Site Habitat Baseline'!$D$1:$X$258,13,FALSE)),"",(VLOOKUP($E65,'D-1 Off Site Habitat Baseline'!$D$1:$X$258,13,FALSE))))</f>
        <v/>
      </c>
      <c r="P65" s="232" t="str">
        <f>IFERROR(INDEX('G-1 All Habitats'!$AG$3:$AG$15,MATCH(Q65,'G-1 All Habitats'!$AF$3:$AF$15,0)),"")</f>
        <v/>
      </c>
      <c r="Q65" s="228" t="str">
        <f t="shared" si="12"/>
        <v/>
      </c>
      <c r="R65" s="229" t="str">
        <f t="shared" si="13"/>
        <v/>
      </c>
      <c r="S65" s="233" t="str">
        <f>IFERROR(INDEX('G-1 All Habitats'!$B$3:$B$129,MATCH(R65,'G-1 All Habitats'!$A$3:$A$129,0)),"")</f>
        <v/>
      </c>
      <c r="T65" s="507" t="str">
        <f t="shared" si="5"/>
        <v/>
      </c>
      <c r="U65" s="524" t="str">
        <f t="shared" si="6"/>
        <v/>
      </c>
      <c r="V65" s="523" t="str">
        <f t="shared" si="2"/>
        <v/>
      </c>
      <c r="W65" s="520" t="str">
        <f>IF(S65="","",VLOOKUP(S65,'G-1 All Habitats'!$B$2:$M$129,10,FALSE))</f>
        <v/>
      </c>
      <c r="X65" s="520" t="str">
        <f>IFERROR(VLOOKUP(W65,'G-1 All Habitats'!$V$3:$W$7,2,FALSE),"")</f>
        <v/>
      </c>
      <c r="Y65" s="203"/>
      <c r="Z65" s="524" t="str">
        <f>IFERROR(INDEX('G-8 Condition Look up'!$A$3:$H$130,MATCH(S65,'G-8 Condition Look up'!$A$3:$A$130,0),MATCH(Y65,'G-8 Condition Look up'!$A$3:$H$3,0)),"")</f>
        <v/>
      </c>
      <c r="AA65" s="145"/>
      <c r="AB65" s="540" t="str">
        <f>IF(AA65="","",IF(VLOOKUP(AA65,'G-3 Multipliers'!$L$3:$N$6,2,FALSE)=0,"Spatial Data Missing ⚠",VLOOKUP(AA65,'G-3 Multipliers'!$L$3:$N$6,2,FALSE)))</f>
        <v/>
      </c>
      <c r="AC65" s="524" t="str">
        <f>IF(AA65="","",IF(VLOOKUP(AA65,'G-3 Multipliers'!$L$3:$N$6,3,FALSE)=0,"Spatial Data Missing ⚠",VLOOKUP(AA65,'G-3 Multipliers'!$L$3:$N$6,3,FALSE)))</f>
        <v/>
      </c>
      <c r="AD65" s="537" t="str">
        <f t="shared" si="3"/>
        <v/>
      </c>
      <c r="AE65" s="203"/>
      <c r="AF65" s="203"/>
      <c r="AG65" s="520" t="str">
        <f t="shared" si="7"/>
        <v/>
      </c>
      <c r="AH65" s="544" t="str">
        <f t="shared" si="8"/>
        <v/>
      </c>
      <c r="AI65" s="525" t="str">
        <f>IF(AH65="Check Data ⚠","Check Data ⚠",IFERROR(VLOOKUP(AH65,'G-4 Temporal multipliers'!$A$4:$C$36,3,FALSE),""))</f>
        <v/>
      </c>
      <c r="AJ65" s="537" t="str">
        <f>IF(S65="","",VLOOKUP(S65,'G-3 Multipliers'!$A$2:$E$129,4,FALSE))</f>
        <v/>
      </c>
      <c r="AK65" s="520" t="str">
        <f t="shared" si="9"/>
        <v/>
      </c>
      <c r="AL65" s="520" t="str">
        <f t="shared" si="10"/>
        <v/>
      </c>
      <c r="AM65" s="524" t="str">
        <f>IFERROR(IF(F65="","",IF(AH65="Check Data ⚠","Check Data ⚠",VLOOKUP(AL65, 'G-3 Multipliers'!$P$2:$Q$6,2,FALSE))),"")</f>
        <v/>
      </c>
      <c r="AN65" s="197"/>
      <c r="AO65" s="540" t="str">
        <f>IF(AN65="","",IF(VLOOKUP(AN65,'G-3 Multipliers'!$S$3:$T$9,2,FALSE)=0,"Spatial Data Missing ⚠",VLOOKUP(AN65,'G-3 Multipliers'!$S$3:$T$9,2,FALSE)))</f>
        <v/>
      </c>
      <c r="AP65" s="513" t="str">
        <f t="shared" si="11"/>
        <v/>
      </c>
      <c r="AQ65" s="231"/>
      <c r="AR65" s="150"/>
    </row>
    <row r="66" spans="1:44" x14ac:dyDescent="0.25">
      <c r="A66" s="31" t="str">
        <f>IF(E66="","",IF(ISNA(VLOOKUP($E66,'D-1 Off Site Habitat Baseline'!$D$1:$O$258,2,FALSE)),"",(VLOOKUP($E66,'D-1 Off Site Habitat Baseline'!$D$1:$O$258,2,FALSE))))</f>
        <v/>
      </c>
      <c r="B66" s="31" t="str">
        <f>IF(E66="","",IF(ISNA(VLOOKUP($E66,'D-1 Off Site Habitat Baseline'!$D$1:$O$258,3,FALSE)),"",(VLOOKUP($E66,'D-1 Off Site Habitat Baseline'!$D$1:$O$258,3,FALSE))))</f>
        <v/>
      </c>
      <c r="C66" s="31" t="str">
        <f>IFERROR(INDEX('G-8 Condition Look up'!$I$4:$I$130,MATCH(S66,'G-8 Condition Look up'!$A$4:$A$130,0)),"")</f>
        <v/>
      </c>
      <c r="E66" s="547" t="str">
        <f>'D-1 Off Site Habitat Baseline'!AL65</f>
        <v/>
      </c>
      <c r="F66" s="520" t="str">
        <f>IF(E66="","",IF(ISNA(VLOOKUP($E66,'D-1 Off Site Habitat Baseline'!$D$1:$O$258,4,FALSE)),"",(VLOOKUP($E66,'D-1 Off Site Habitat Baseline'!$D$1:$O$258,4,FALSE))))</f>
        <v/>
      </c>
      <c r="G66" s="520" t="str">
        <f>IF(E66="","",IF(ISNA(VLOOKUP($E66,'D-1 Off Site Habitat Baseline'!$D$1:$O$258,5,FALSE)),"",(VLOOKUP($E66,'D-1 Off Site Habitat Baseline'!$D$1:$O$258,5,FALSE))))</f>
        <v/>
      </c>
      <c r="H66" s="520" t="str">
        <f>IF(E66="","",IF(ISNA(VLOOKUP($E66,'D-1 Off Site Habitat Baseline'!$D$1:$O$258,6,FALSE)),"",(VLOOKUP($E66,'D-1 Off Site Habitat Baseline'!$D$1:$O$258,6,FALSE))))</f>
        <v/>
      </c>
      <c r="I66" s="520" t="str">
        <f>IF(E66="","",IF(ISNA(VLOOKUP($E66,'D-1 Off Site Habitat Baseline'!$D$1:$O$258,7,FALSE)),"",(VLOOKUP($E66,'D-1 Off Site Habitat Baseline'!$D$1:$O$258,7,FALSE))))</f>
        <v/>
      </c>
      <c r="J66" s="520" t="str">
        <f>IF(E66="","",IF(ISNA(VLOOKUP($E66,'D-1 Off Site Habitat Baseline'!$D$1:$O$258,8,FALSE)),"",(VLOOKUP($E66,'D-1 Off Site Habitat Baseline'!$D$1:$O$258,8,FALSE))))</f>
        <v/>
      </c>
      <c r="K66" s="520" t="str">
        <f>IF(E66="","",IF(ISNA(VLOOKUP($E66,'D-1 Off Site Habitat Baseline'!$D$1:$O$258,9,FALSE)),"",(VLOOKUP($E66,'D-1 Off Site Habitat Baseline'!$D$1:$O$258,9,FALSE))))</f>
        <v/>
      </c>
      <c r="L66" s="520" t="str">
        <f>IF(E66="","",IF(ISNA(VLOOKUP($E66,'D-1 Off Site Habitat Baseline'!$D$1:$O$258,11,FALSE)),"",(VLOOKUP($E66,'D-1 Off Site Habitat Baseline'!$D$1:$O$258,11,FALSE))))</f>
        <v/>
      </c>
      <c r="M66" s="520" t="str">
        <f>IF(E66="","",IF(ISNA(VLOOKUP($E66,'D-1 Off Site Habitat Baseline'!$D$1:$O$258,12,FALSE)),"",(VLOOKUP($E66,'D-1 Off Site Habitat Baseline'!$D$1:$O$258,12,FALSE))))</f>
        <v/>
      </c>
      <c r="N66" s="520" t="str">
        <f>IF(E66="","",IF(ISNA(VLOOKUP($E66,'D-1 Off Site Habitat Baseline'!$D$1:$X$258,14,FALSE)),"",(VLOOKUP($E66,'D-1 Off Site Habitat Baseline'!$D$1:$X$258,14,FALSE))))</f>
        <v/>
      </c>
      <c r="O66" s="524" t="str">
        <f>IF(E66="","",IF(ISNA(VLOOKUP($E66,'D-1 Off Site Habitat Baseline'!$D$1:$X$258,13,FALSE)),"",(VLOOKUP($E66,'D-1 Off Site Habitat Baseline'!$D$1:$X$258,13,FALSE))))</f>
        <v/>
      </c>
      <c r="P66" s="232" t="str">
        <f>IFERROR(INDEX('G-1 All Habitats'!$AG$3:$AG$15,MATCH(Q66,'G-1 All Habitats'!$AF$3:$AF$15,0)),"")</f>
        <v/>
      </c>
      <c r="Q66" s="228" t="str">
        <f t="shared" si="12"/>
        <v/>
      </c>
      <c r="R66" s="229" t="str">
        <f t="shared" si="13"/>
        <v/>
      </c>
      <c r="S66" s="233" t="str">
        <f>IFERROR(INDEX('G-1 All Habitats'!$B$3:$B$129,MATCH(R66,'G-1 All Habitats'!$A$3:$A$129,0)),"")</f>
        <v/>
      </c>
      <c r="T66" s="507" t="str">
        <f t="shared" si="5"/>
        <v/>
      </c>
      <c r="U66" s="524" t="str">
        <f t="shared" si="6"/>
        <v/>
      </c>
      <c r="V66" s="523" t="str">
        <f t="shared" si="2"/>
        <v/>
      </c>
      <c r="W66" s="520" t="str">
        <f>IF(S66="","",VLOOKUP(S66,'G-1 All Habitats'!$B$2:$M$129,10,FALSE))</f>
        <v/>
      </c>
      <c r="X66" s="520" t="str">
        <f>IFERROR(VLOOKUP(W66,'G-1 All Habitats'!$V$3:$W$7,2,FALSE),"")</f>
        <v/>
      </c>
      <c r="Y66" s="203"/>
      <c r="Z66" s="524" t="str">
        <f>IFERROR(INDEX('G-8 Condition Look up'!$A$3:$H$130,MATCH(S66,'G-8 Condition Look up'!$A$3:$A$130,0),MATCH(Y66,'G-8 Condition Look up'!$A$3:$H$3,0)),"")</f>
        <v/>
      </c>
      <c r="AA66" s="145"/>
      <c r="AB66" s="540" t="str">
        <f>IF(AA66="","",IF(VLOOKUP(AA66,'G-3 Multipliers'!$L$3:$N$6,2,FALSE)=0,"Spatial Data Missing ⚠",VLOOKUP(AA66,'G-3 Multipliers'!$L$3:$N$6,2,FALSE)))</f>
        <v/>
      </c>
      <c r="AC66" s="524" t="str">
        <f>IF(AA66="","",IF(VLOOKUP(AA66,'G-3 Multipliers'!$L$3:$N$6,3,FALSE)=0,"Spatial Data Missing ⚠",VLOOKUP(AA66,'G-3 Multipliers'!$L$3:$N$6,3,FALSE)))</f>
        <v/>
      </c>
      <c r="AD66" s="537" t="str">
        <f t="shared" si="3"/>
        <v/>
      </c>
      <c r="AE66" s="203"/>
      <c r="AF66" s="203"/>
      <c r="AG66" s="520" t="str">
        <f t="shared" si="7"/>
        <v/>
      </c>
      <c r="AH66" s="544" t="str">
        <f t="shared" si="8"/>
        <v/>
      </c>
      <c r="AI66" s="525" t="str">
        <f>IF(AH66="Check Data ⚠","Check Data ⚠",IFERROR(VLOOKUP(AH66,'G-4 Temporal multipliers'!$A$4:$C$36,3,FALSE),""))</f>
        <v/>
      </c>
      <c r="AJ66" s="537" t="str">
        <f>IF(S66="","",VLOOKUP(S66,'G-3 Multipliers'!$A$2:$E$129,4,FALSE))</f>
        <v/>
      </c>
      <c r="AK66" s="520" t="str">
        <f t="shared" si="9"/>
        <v/>
      </c>
      <c r="AL66" s="520" t="str">
        <f t="shared" si="10"/>
        <v/>
      </c>
      <c r="AM66" s="524" t="str">
        <f>IFERROR(IF(F66="","",IF(AH66="Check Data ⚠","Check Data ⚠",VLOOKUP(AL66, 'G-3 Multipliers'!$P$2:$Q$6,2,FALSE))),"")</f>
        <v/>
      </c>
      <c r="AN66" s="197"/>
      <c r="AO66" s="540" t="str">
        <f>IF(AN66="","",IF(VLOOKUP(AN66,'G-3 Multipliers'!$S$3:$T$9,2,FALSE)=0,"Spatial Data Missing ⚠",VLOOKUP(AN66,'G-3 Multipliers'!$S$3:$T$9,2,FALSE)))</f>
        <v/>
      </c>
      <c r="AP66" s="513" t="str">
        <f t="shared" si="11"/>
        <v/>
      </c>
      <c r="AQ66" s="231"/>
      <c r="AR66" s="150"/>
    </row>
    <row r="67" spans="1:44" x14ac:dyDescent="0.25">
      <c r="A67" s="31" t="str">
        <f>IF(E67="","",IF(ISNA(VLOOKUP($E67,'D-1 Off Site Habitat Baseline'!$D$1:$O$258,2,FALSE)),"",(VLOOKUP($E67,'D-1 Off Site Habitat Baseline'!$D$1:$O$258,2,FALSE))))</f>
        <v/>
      </c>
      <c r="B67" s="31" t="str">
        <f>IF(E67="","",IF(ISNA(VLOOKUP($E67,'D-1 Off Site Habitat Baseline'!$D$1:$O$258,3,FALSE)),"",(VLOOKUP($E67,'D-1 Off Site Habitat Baseline'!$D$1:$O$258,3,FALSE))))</f>
        <v/>
      </c>
      <c r="C67" s="31" t="str">
        <f>IFERROR(INDEX('G-8 Condition Look up'!$I$4:$I$130,MATCH(S67,'G-8 Condition Look up'!$A$4:$A$130,0)),"")</f>
        <v/>
      </c>
      <c r="E67" s="547" t="str">
        <f>'D-1 Off Site Habitat Baseline'!AL66</f>
        <v/>
      </c>
      <c r="F67" s="520" t="str">
        <f>IF(E67="","",IF(ISNA(VLOOKUP($E67,'D-1 Off Site Habitat Baseline'!$D$1:$O$258,4,FALSE)),"",(VLOOKUP($E67,'D-1 Off Site Habitat Baseline'!$D$1:$O$258,4,FALSE))))</f>
        <v/>
      </c>
      <c r="G67" s="520" t="str">
        <f>IF(E67="","",IF(ISNA(VLOOKUP($E67,'D-1 Off Site Habitat Baseline'!$D$1:$O$258,5,FALSE)),"",(VLOOKUP($E67,'D-1 Off Site Habitat Baseline'!$D$1:$O$258,5,FALSE))))</f>
        <v/>
      </c>
      <c r="H67" s="520" t="str">
        <f>IF(E67="","",IF(ISNA(VLOOKUP($E67,'D-1 Off Site Habitat Baseline'!$D$1:$O$258,6,FALSE)),"",(VLOOKUP($E67,'D-1 Off Site Habitat Baseline'!$D$1:$O$258,6,FALSE))))</f>
        <v/>
      </c>
      <c r="I67" s="520" t="str">
        <f>IF(E67="","",IF(ISNA(VLOOKUP($E67,'D-1 Off Site Habitat Baseline'!$D$1:$O$258,7,FALSE)),"",(VLOOKUP($E67,'D-1 Off Site Habitat Baseline'!$D$1:$O$258,7,FALSE))))</f>
        <v/>
      </c>
      <c r="J67" s="520" t="str">
        <f>IF(E67="","",IF(ISNA(VLOOKUP($E67,'D-1 Off Site Habitat Baseline'!$D$1:$O$258,8,FALSE)),"",(VLOOKUP($E67,'D-1 Off Site Habitat Baseline'!$D$1:$O$258,8,FALSE))))</f>
        <v/>
      </c>
      <c r="K67" s="520" t="str">
        <f>IF(E67="","",IF(ISNA(VLOOKUP($E67,'D-1 Off Site Habitat Baseline'!$D$1:$O$258,9,FALSE)),"",(VLOOKUP($E67,'D-1 Off Site Habitat Baseline'!$D$1:$O$258,9,FALSE))))</f>
        <v/>
      </c>
      <c r="L67" s="520" t="str">
        <f>IF(E67="","",IF(ISNA(VLOOKUP($E67,'D-1 Off Site Habitat Baseline'!$D$1:$O$258,11,FALSE)),"",(VLOOKUP($E67,'D-1 Off Site Habitat Baseline'!$D$1:$O$258,11,FALSE))))</f>
        <v/>
      </c>
      <c r="M67" s="520" t="str">
        <f>IF(E67="","",IF(ISNA(VLOOKUP($E67,'D-1 Off Site Habitat Baseline'!$D$1:$O$258,12,FALSE)),"",(VLOOKUP($E67,'D-1 Off Site Habitat Baseline'!$D$1:$O$258,12,FALSE))))</f>
        <v/>
      </c>
      <c r="N67" s="520" t="str">
        <f>IF(E67="","",IF(ISNA(VLOOKUP($E67,'D-1 Off Site Habitat Baseline'!$D$1:$X$258,14,FALSE)),"",(VLOOKUP($E67,'D-1 Off Site Habitat Baseline'!$D$1:$X$258,14,FALSE))))</f>
        <v/>
      </c>
      <c r="O67" s="524" t="str">
        <f>IF(E67="","",IF(ISNA(VLOOKUP($E67,'D-1 Off Site Habitat Baseline'!$D$1:$X$258,13,FALSE)),"",(VLOOKUP($E67,'D-1 Off Site Habitat Baseline'!$D$1:$X$258,13,FALSE))))</f>
        <v/>
      </c>
      <c r="P67" s="232" t="str">
        <f>IFERROR(INDEX('G-1 All Habitats'!$AG$3:$AG$15,MATCH(Q67,'G-1 All Habitats'!$AF$3:$AF$15,0)),"")</f>
        <v/>
      </c>
      <c r="Q67" s="228" t="str">
        <f t="shared" si="12"/>
        <v/>
      </c>
      <c r="R67" s="229" t="str">
        <f t="shared" si="13"/>
        <v/>
      </c>
      <c r="S67" s="233" t="str">
        <f>IFERROR(INDEX('G-1 All Habitats'!$B$3:$B$129,MATCH(R67,'G-1 All Habitats'!$A$3:$A$129,0)),"")</f>
        <v/>
      </c>
      <c r="T67" s="507" t="str">
        <f t="shared" si="5"/>
        <v/>
      </c>
      <c r="U67" s="524" t="str">
        <f t="shared" si="6"/>
        <v/>
      </c>
      <c r="V67" s="523" t="str">
        <f t="shared" si="2"/>
        <v/>
      </c>
      <c r="W67" s="520" t="str">
        <f>IF(S67="","",VLOOKUP(S67,'G-1 All Habitats'!$B$2:$M$129,10,FALSE))</f>
        <v/>
      </c>
      <c r="X67" s="520" t="str">
        <f>IFERROR(VLOOKUP(W67,'G-1 All Habitats'!$V$3:$W$7,2,FALSE),"")</f>
        <v/>
      </c>
      <c r="Y67" s="203"/>
      <c r="Z67" s="524" t="str">
        <f>IFERROR(INDEX('G-8 Condition Look up'!$A$3:$H$130,MATCH(S67,'G-8 Condition Look up'!$A$3:$A$130,0),MATCH(Y67,'G-8 Condition Look up'!$A$3:$H$3,0)),"")</f>
        <v/>
      </c>
      <c r="AA67" s="145"/>
      <c r="AB67" s="540" t="str">
        <f>IF(AA67="","",IF(VLOOKUP(AA67,'G-3 Multipliers'!$L$3:$N$6,2,FALSE)=0,"Spatial Data Missing ⚠",VLOOKUP(AA67,'G-3 Multipliers'!$L$3:$N$6,2,FALSE)))</f>
        <v/>
      </c>
      <c r="AC67" s="524" t="str">
        <f>IF(AA67="","",IF(VLOOKUP(AA67,'G-3 Multipliers'!$L$3:$N$6,3,FALSE)=0,"Spatial Data Missing ⚠",VLOOKUP(AA67,'G-3 Multipliers'!$L$3:$N$6,3,FALSE)))</f>
        <v/>
      </c>
      <c r="AD67" s="537" t="str">
        <f t="shared" si="3"/>
        <v/>
      </c>
      <c r="AE67" s="203"/>
      <c r="AF67" s="203"/>
      <c r="AG67" s="520" t="str">
        <f t="shared" si="7"/>
        <v/>
      </c>
      <c r="AH67" s="544" t="str">
        <f t="shared" si="8"/>
        <v/>
      </c>
      <c r="AI67" s="525" t="str">
        <f>IF(AH67="Check Data ⚠","Check Data ⚠",IFERROR(VLOOKUP(AH67,'G-4 Temporal multipliers'!$A$4:$C$36,3,FALSE),""))</f>
        <v/>
      </c>
      <c r="AJ67" s="537" t="str">
        <f>IF(S67="","",VLOOKUP(S67,'G-3 Multipliers'!$A$2:$E$129,4,FALSE))</f>
        <v/>
      </c>
      <c r="AK67" s="520" t="str">
        <f t="shared" si="9"/>
        <v/>
      </c>
      <c r="AL67" s="520" t="str">
        <f t="shared" si="10"/>
        <v/>
      </c>
      <c r="AM67" s="524" t="str">
        <f>IFERROR(IF(F67="","",IF(AH67="Check Data ⚠","Check Data ⚠",VLOOKUP(AL67, 'G-3 Multipliers'!$P$2:$Q$6,2,FALSE))),"")</f>
        <v/>
      </c>
      <c r="AN67" s="197"/>
      <c r="AO67" s="540" t="str">
        <f>IF(AN67="","",IF(VLOOKUP(AN67,'G-3 Multipliers'!$S$3:$T$9,2,FALSE)=0,"Spatial Data Missing ⚠",VLOOKUP(AN67,'G-3 Multipliers'!$S$3:$T$9,2,FALSE)))</f>
        <v/>
      </c>
      <c r="AP67" s="513" t="str">
        <f t="shared" si="11"/>
        <v/>
      </c>
      <c r="AQ67" s="231"/>
      <c r="AR67" s="150"/>
    </row>
    <row r="68" spans="1:44" x14ac:dyDescent="0.25">
      <c r="A68" s="31" t="str">
        <f>IF(E68="","",IF(ISNA(VLOOKUP($E68,'D-1 Off Site Habitat Baseline'!$D$1:$O$258,2,FALSE)),"",(VLOOKUP($E68,'D-1 Off Site Habitat Baseline'!$D$1:$O$258,2,FALSE))))</f>
        <v/>
      </c>
      <c r="B68" s="31" t="str">
        <f>IF(E68="","",IF(ISNA(VLOOKUP($E68,'D-1 Off Site Habitat Baseline'!$D$1:$O$258,3,FALSE)),"",(VLOOKUP($E68,'D-1 Off Site Habitat Baseline'!$D$1:$O$258,3,FALSE))))</f>
        <v/>
      </c>
      <c r="C68" s="31" t="str">
        <f>IFERROR(INDEX('G-8 Condition Look up'!$I$4:$I$130,MATCH(S68,'G-8 Condition Look up'!$A$4:$A$130,0)),"")</f>
        <v/>
      </c>
      <c r="E68" s="547" t="str">
        <f>'D-1 Off Site Habitat Baseline'!AL67</f>
        <v/>
      </c>
      <c r="F68" s="520" t="str">
        <f>IF(E68="","",IF(ISNA(VLOOKUP($E68,'D-1 Off Site Habitat Baseline'!$D$1:$O$258,4,FALSE)),"",(VLOOKUP($E68,'D-1 Off Site Habitat Baseline'!$D$1:$O$258,4,FALSE))))</f>
        <v/>
      </c>
      <c r="G68" s="520" t="str">
        <f>IF(E68="","",IF(ISNA(VLOOKUP($E68,'D-1 Off Site Habitat Baseline'!$D$1:$O$258,5,FALSE)),"",(VLOOKUP($E68,'D-1 Off Site Habitat Baseline'!$D$1:$O$258,5,FALSE))))</f>
        <v/>
      </c>
      <c r="H68" s="520" t="str">
        <f>IF(E68="","",IF(ISNA(VLOOKUP($E68,'D-1 Off Site Habitat Baseline'!$D$1:$O$258,6,FALSE)),"",(VLOOKUP($E68,'D-1 Off Site Habitat Baseline'!$D$1:$O$258,6,FALSE))))</f>
        <v/>
      </c>
      <c r="I68" s="520" t="str">
        <f>IF(E68="","",IF(ISNA(VLOOKUP($E68,'D-1 Off Site Habitat Baseline'!$D$1:$O$258,7,FALSE)),"",(VLOOKUP($E68,'D-1 Off Site Habitat Baseline'!$D$1:$O$258,7,FALSE))))</f>
        <v/>
      </c>
      <c r="J68" s="520" t="str">
        <f>IF(E68="","",IF(ISNA(VLOOKUP($E68,'D-1 Off Site Habitat Baseline'!$D$1:$O$258,8,FALSE)),"",(VLOOKUP($E68,'D-1 Off Site Habitat Baseline'!$D$1:$O$258,8,FALSE))))</f>
        <v/>
      </c>
      <c r="K68" s="520" t="str">
        <f>IF(E68="","",IF(ISNA(VLOOKUP($E68,'D-1 Off Site Habitat Baseline'!$D$1:$O$258,9,FALSE)),"",(VLOOKUP($E68,'D-1 Off Site Habitat Baseline'!$D$1:$O$258,9,FALSE))))</f>
        <v/>
      </c>
      <c r="L68" s="520" t="str">
        <f>IF(E68="","",IF(ISNA(VLOOKUP($E68,'D-1 Off Site Habitat Baseline'!$D$1:$O$258,11,FALSE)),"",(VLOOKUP($E68,'D-1 Off Site Habitat Baseline'!$D$1:$O$258,11,FALSE))))</f>
        <v/>
      </c>
      <c r="M68" s="520" t="str">
        <f>IF(E68="","",IF(ISNA(VLOOKUP($E68,'D-1 Off Site Habitat Baseline'!$D$1:$O$258,12,FALSE)),"",(VLOOKUP($E68,'D-1 Off Site Habitat Baseline'!$D$1:$O$258,12,FALSE))))</f>
        <v/>
      </c>
      <c r="N68" s="520" t="str">
        <f>IF(E68="","",IF(ISNA(VLOOKUP($E68,'D-1 Off Site Habitat Baseline'!$D$1:$X$258,14,FALSE)),"",(VLOOKUP($E68,'D-1 Off Site Habitat Baseline'!$D$1:$X$258,14,FALSE))))</f>
        <v/>
      </c>
      <c r="O68" s="524" t="str">
        <f>IF(E68="","",IF(ISNA(VLOOKUP($E68,'D-1 Off Site Habitat Baseline'!$D$1:$X$258,13,FALSE)),"",(VLOOKUP($E68,'D-1 Off Site Habitat Baseline'!$D$1:$X$258,13,FALSE))))</f>
        <v/>
      </c>
      <c r="P68" s="232" t="str">
        <f>IFERROR(INDEX('G-1 All Habitats'!$AG$3:$AG$15,MATCH(Q68,'G-1 All Habitats'!$AF$3:$AF$15,0)),"")</f>
        <v/>
      </c>
      <c r="Q68" s="228" t="str">
        <f t="shared" si="12"/>
        <v/>
      </c>
      <c r="R68" s="229" t="str">
        <f t="shared" si="13"/>
        <v/>
      </c>
      <c r="S68" s="233" t="str">
        <f>IFERROR(INDEX('G-1 All Habitats'!$B$3:$B$129,MATCH(R68,'G-1 All Habitats'!$A$3:$A$129,0)),"")</f>
        <v/>
      </c>
      <c r="T68" s="507" t="str">
        <f t="shared" si="5"/>
        <v/>
      </c>
      <c r="U68" s="524" t="str">
        <f t="shared" si="6"/>
        <v/>
      </c>
      <c r="V68" s="523" t="str">
        <f t="shared" si="2"/>
        <v/>
      </c>
      <c r="W68" s="520" t="str">
        <f>IF(S68="","",VLOOKUP(S68,'G-1 All Habitats'!$B$2:$M$129,10,FALSE))</f>
        <v/>
      </c>
      <c r="X68" s="520" t="str">
        <f>IFERROR(VLOOKUP(W68,'G-1 All Habitats'!$V$3:$W$7,2,FALSE),"")</f>
        <v/>
      </c>
      <c r="Y68" s="203"/>
      <c r="Z68" s="524" t="str">
        <f>IFERROR(INDEX('G-8 Condition Look up'!$A$3:$H$130,MATCH(S68,'G-8 Condition Look up'!$A$3:$A$130,0),MATCH(Y68,'G-8 Condition Look up'!$A$3:$H$3,0)),"")</f>
        <v/>
      </c>
      <c r="AA68" s="145"/>
      <c r="AB68" s="540" t="str">
        <f>IF(AA68="","",IF(VLOOKUP(AA68,'G-3 Multipliers'!$L$3:$N$6,2,FALSE)=0,"Spatial Data Missing ⚠",VLOOKUP(AA68,'G-3 Multipliers'!$L$3:$N$6,2,FALSE)))</f>
        <v/>
      </c>
      <c r="AC68" s="524" t="str">
        <f>IF(AA68="","",IF(VLOOKUP(AA68,'G-3 Multipliers'!$L$3:$N$6,3,FALSE)=0,"Spatial Data Missing ⚠",VLOOKUP(AA68,'G-3 Multipliers'!$L$3:$N$6,3,FALSE)))</f>
        <v/>
      </c>
      <c r="AD68" s="537" t="str">
        <f t="shared" si="3"/>
        <v/>
      </c>
      <c r="AE68" s="203"/>
      <c r="AF68" s="203"/>
      <c r="AG68" s="520" t="str">
        <f t="shared" si="7"/>
        <v/>
      </c>
      <c r="AH68" s="544" t="str">
        <f t="shared" si="8"/>
        <v/>
      </c>
      <c r="AI68" s="525" t="str">
        <f>IF(AH68="Check Data ⚠","Check Data ⚠",IFERROR(VLOOKUP(AH68,'G-4 Temporal multipliers'!$A$4:$C$36,3,FALSE),""))</f>
        <v/>
      </c>
      <c r="AJ68" s="537" t="str">
        <f>IF(S68="","",VLOOKUP(S68,'G-3 Multipliers'!$A$2:$E$129,4,FALSE))</f>
        <v/>
      </c>
      <c r="AK68" s="520" t="str">
        <f t="shared" si="9"/>
        <v/>
      </c>
      <c r="AL68" s="520" t="str">
        <f t="shared" si="10"/>
        <v/>
      </c>
      <c r="AM68" s="524" t="str">
        <f>IFERROR(IF(F68="","",IF(AH68="Check Data ⚠","Check Data ⚠",VLOOKUP(AL68, 'G-3 Multipliers'!$P$2:$Q$6,2,FALSE))),"")</f>
        <v/>
      </c>
      <c r="AN68" s="197"/>
      <c r="AO68" s="540" t="str">
        <f>IF(AN68="","",IF(VLOOKUP(AN68,'G-3 Multipliers'!$S$3:$T$9,2,FALSE)=0,"Spatial Data Missing ⚠",VLOOKUP(AN68,'G-3 Multipliers'!$S$3:$T$9,2,FALSE)))</f>
        <v/>
      </c>
      <c r="AP68" s="513" t="str">
        <f t="shared" si="11"/>
        <v/>
      </c>
      <c r="AQ68" s="231"/>
      <c r="AR68" s="150"/>
    </row>
    <row r="69" spans="1:44" x14ac:dyDescent="0.25">
      <c r="A69" s="31" t="str">
        <f>IF(E69="","",IF(ISNA(VLOOKUP($E69,'D-1 Off Site Habitat Baseline'!$D$1:$O$258,2,FALSE)),"",(VLOOKUP($E69,'D-1 Off Site Habitat Baseline'!$D$1:$O$258,2,FALSE))))</f>
        <v/>
      </c>
      <c r="B69" s="31" t="str">
        <f>IF(E69="","",IF(ISNA(VLOOKUP($E69,'D-1 Off Site Habitat Baseline'!$D$1:$O$258,3,FALSE)),"",(VLOOKUP($E69,'D-1 Off Site Habitat Baseline'!$D$1:$O$258,3,FALSE))))</f>
        <v/>
      </c>
      <c r="C69" s="31" t="str">
        <f>IFERROR(INDEX('G-8 Condition Look up'!$I$4:$I$130,MATCH(S69,'G-8 Condition Look up'!$A$4:$A$130,0)),"")</f>
        <v/>
      </c>
      <c r="E69" s="547" t="str">
        <f>'D-1 Off Site Habitat Baseline'!AL68</f>
        <v/>
      </c>
      <c r="F69" s="520" t="str">
        <f>IF(E69="","",IF(ISNA(VLOOKUP($E69,'D-1 Off Site Habitat Baseline'!$D$1:$O$258,4,FALSE)),"",(VLOOKUP($E69,'D-1 Off Site Habitat Baseline'!$D$1:$O$258,4,FALSE))))</f>
        <v/>
      </c>
      <c r="G69" s="520" t="str">
        <f>IF(E69="","",IF(ISNA(VLOOKUP($E69,'D-1 Off Site Habitat Baseline'!$D$1:$O$258,5,FALSE)),"",(VLOOKUP($E69,'D-1 Off Site Habitat Baseline'!$D$1:$O$258,5,FALSE))))</f>
        <v/>
      </c>
      <c r="H69" s="520" t="str">
        <f>IF(E69="","",IF(ISNA(VLOOKUP($E69,'D-1 Off Site Habitat Baseline'!$D$1:$O$258,6,FALSE)),"",(VLOOKUP($E69,'D-1 Off Site Habitat Baseline'!$D$1:$O$258,6,FALSE))))</f>
        <v/>
      </c>
      <c r="I69" s="520" t="str">
        <f>IF(E69="","",IF(ISNA(VLOOKUP($E69,'D-1 Off Site Habitat Baseline'!$D$1:$O$258,7,FALSE)),"",(VLOOKUP($E69,'D-1 Off Site Habitat Baseline'!$D$1:$O$258,7,FALSE))))</f>
        <v/>
      </c>
      <c r="J69" s="520" t="str">
        <f>IF(E69="","",IF(ISNA(VLOOKUP($E69,'D-1 Off Site Habitat Baseline'!$D$1:$O$258,8,FALSE)),"",(VLOOKUP($E69,'D-1 Off Site Habitat Baseline'!$D$1:$O$258,8,FALSE))))</f>
        <v/>
      </c>
      <c r="K69" s="520" t="str">
        <f>IF(E69="","",IF(ISNA(VLOOKUP($E69,'D-1 Off Site Habitat Baseline'!$D$1:$O$258,9,FALSE)),"",(VLOOKUP($E69,'D-1 Off Site Habitat Baseline'!$D$1:$O$258,9,FALSE))))</f>
        <v/>
      </c>
      <c r="L69" s="520" t="str">
        <f>IF(E69="","",IF(ISNA(VLOOKUP($E69,'D-1 Off Site Habitat Baseline'!$D$1:$O$258,11,FALSE)),"",(VLOOKUP($E69,'D-1 Off Site Habitat Baseline'!$D$1:$O$258,11,FALSE))))</f>
        <v/>
      </c>
      <c r="M69" s="520" t="str">
        <f>IF(E69="","",IF(ISNA(VLOOKUP($E69,'D-1 Off Site Habitat Baseline'!$D$1:$O$258,12,FALSE)),"",(VLOOKUP($E69,'D-1 Off Site Habitat Baseline'!$D$1:$O$258,12,FALSE))))</f>
        <v/>
      </c>
      <c r="N69" s="520" t="str">
        <f>IF(E69="","",IF(ISNA(VLOOKUP($E69,'D-1 Off Site Habitat Baseline'!$D$1:$X$258,14,FALSE)),"",(VLOOKUP($E69,'D-1 Off Site Habitat Baseline'!$D$1:$X$258,14,FALSE))))</f>
        <v/>
      </c>
      <c r="O69" s="524" t="str">
        <f>IF(E69="","",IF(ISNA(VLOOKUP($E69,'D-1 Off Site Habitat Baseline'!$D$1:$X$258,13,FALSE)),"",(VLOOKUP($E69,'D-1 Off Site Habitat Baseline'!$D$1:$X$258,13,FALSE))))</f>
        <v/>
      </c>
      <c r="P69" s="232" t="str">
        <f>IFERROR(INDEX('G-1 All Habitats'!$AG$3:$AG$15,MATCH(Q69,'G-1 All Habitats'!$AF$3:$AF$15,0)),"")</f>
        <v/>
      </c>
      <c r="Q69" s="228" t="str">
        <f t="shared" si="12"/>
        <v/>
      </c>
      <c r="R69" s="229" t="str">
        <f t="shared" si="13"/>
        <v/>
      </c>
      <c r="S69" s="233" t="str">
        <f>IFERROR(INDEX('G-1 All Habitats'!$B$3:$B$129,MATCH(R69,'G-1 All Habitats'!$A$3:$A$129,0)),"")</f>
        <v/>
      </c>
      <c r="T69" s="507" t="str">
        <f t="shared" si="5"/>
        <v/>
      </c>
      <c r="U69" s="524" t="str">
        <f t="shared" si="6"/>
        <v/>
      </c>
      <c r="V69" s="523" t="str">
        <f t="shared" si="2"/>
        <v/>
      </c>
      <c r="W69" s="520" t="str">
        <f>IF(S69="","",VLOOKUP(S69,'G-1 All Habitats'!$B$2:$M$129,10,FALSE))</f>
        <v/>
      </c>
      <c r="X69" s="520" t="str">
        <f>IFERROR(VLOOKUP(W69,'G-1 All Habitats'!$V$3:$W$7,2,FALSE),"")</f>
        <v/>
      </c>
      <c r="Y69" s="203"/>
      <c r="Z69" s="524" t="str">
        <f>IFERROR(INDEX('G-8 Condition Look up'!$A$3:$H$130,MATCH(S69,'G-8 Condition Look up'!$A$3:$A$130,0),MATCH(Y69,'G-8 Condition Look up'!$A$3:$H$3,0)),"")</f>
        <v/>
      </c>
      <c r="AA69" s="145"/>
      <c r="AB69" s="540" t="str">
        <f>IF(AA69="","",IF(VLOOKUP(AA69,'G-3 Multipliers'!$L$3:$N$6,2,FALSE)=0,"Spatial Data Missing ⚠",VLOOKUP(AA69,'G-3 Multipliers'!$L$3:$N$6,2,FALSE)))</f>
        <v/>
      </c>
      <c r="AC69" s="524" t="str">
        <f>IF(AA69="","",IF(VLOOKUP(AA69,'G-3 Multipliers'!$L$3:$N$6,3,FALSE)=0,"Spatial Data Missing ⚠",VLOOKUP(AA69,'G-3 Multipliers'!$L$3:$N$6,3,FALSE)))</f>
        <v/>
      </c>
      <c r="AD69" s="537" t="str">
        <f t="shared" si="3"/>
        <v/>
      </c>
      <c r="AE69" s="203"/>
      <c r="AF69" s="203"/>
      <c r="AG69" s="520" t="str">
        <f t="shared" si="7"/>
        <v/>
      </c>
      <c r="AH69" s="544" t="str">
        <f t="shared" si="8"/>
        <v/>
      </c>
      <c r="AI69" s="525" t="str">
        <f>IF(AH69="Check Data ⚠","Check Data ⚠",IFERROR(VLOOKUP(AH69,'G-4 Temporal multipliers'!$A$4:$C$36,3,FALSE),""))</f>
        <v/>
      </c>
      <c r="AJ69" s="537" t="str">
        <f>IF(S69="","",VLOOKUP(S69,'G-3 Multipliers'!$A$2:$E$129,4,FALSE))</f>
        <v/>
      </c>
      <c r="AK69" s="520" t="str">
        <f t="shared" si="9"/>
        <v/>
      </c>
      <c r="AL69" s="520" t="str">
        <f t="shared" si="10"/>
        <v/>
      </c>
      <c r="AM69" s="524" t="str">
        <f>IFERROR(IF(F69="","",IF(AH69="Check Data ⚠","Check Data ⚠",VLOOKUP(AL69, 'G-3 Multipliers'!$P$2:$Q$6,2,FALSE))),"")</f>
        <v/>
      </c>
      <c r="AN69" s="197"/>
      <c r="AO69" s="540" t="str">
        <f>IF(AN69="","",IF(VLOOKUP(AN69,'G-3 Multipliers'!$S$3:$T$9,2,FALSE)=0,"Spatial Data Missing ⚠",VLOOKUP(AN69,'G-3 Multipliers'!$S$3:$T$9,2,FALSE)))</f>
        <v/>
      </c>
      <c r="AP69" s="513" t="str">
        <f t="shared" si="11"/>
        <v/>
      </c>
      <c r="AQ69" s="231"/>
      <c r="AR69" s="150"/>
    </row>
    <row r="70" spans="1:44" x14ac:dyDescent="0.25">
      <c r="A70" s="31" t="str">
        <f>IF(E70="","",IF(ISNA(VLOOKUP($E70,'D-1 Off Site Habitat Baseline'!$D$1:$O$258,2,FALSE)),"",(VLOOKUP($E70,'D-1 Off Site Habitat Baseline'!$D$1:$O$258,2,FALSE))))</f>
        <v/>
      </c>
      <c r="B70" s="31" t="str">
        <f>IF(E70="","",IF(ISNA(VLOOKUP($E70,'D-1 Off Site Habitat Baseline'!$D$1:$O$258,3,FALSE)),"",(VLOOKUP($E70,'D-1 Off Site Habitat Baseline'!$D$1:$O$258,3,FALSE))))</f>
        <v/>
      </c>
      <c r="C70" s="31" t="str">
        <f>IFERROR(INDEX('G-8 Condition Look up'!$I$4:$I$130,MATCH(S70,'G-8 Condition Look up'!$A$4:$A$130,0)),"")</f>
        <v/>
      </c>
      <c r="E70" s="547" t="str">
        <f>'D-1 Off Site Habitat Baseline'!AL69</f>
        <v/>
      </c>
      <c r="F70" s="520" t="str">
        <f>IF(E70="","",IF(ISNA(VLOOKUP($E70,'D-1 Off Site Habitat Baseline'!$D$1:$O$258,4,FALSE)),"",(VLOOKUP($E70,'D-1 Off Site Habitat Baseline'!$D$1:$O$258,4,FALSE))))</f>
        <v/>
      </c>
      <c r="G70" s="520" t="str">
        <f>IF(E70="","",IF(ISNA(VLOOKUP($E70,'D-1 Off Site Habitat Baseline'!$D$1:$O$258,5,FALSE)),"",(VLOOKUP($E70,'D-1 Off Site Habitat Baseline'!$D$1:$O$258,5,FALSE))))</f>
        <v/>
      </c>
      <c r="H70" s="520" t="str">
        <f>IF(E70="","",IF(ISNA(VLOOKUP($E70,'D-1 Off Site Habitat Baseline'!$D$1:$O$258,6,FALSE)),"",(VLOOKUP($E70,'D-1 Off Site Habitat Baseline'!$D$1:$O$258,6,FALSE))))</f>
        <v/>
      </c>
      <c r="I70" s="520" t="str">
        <f>IF(E70="","",IF(ISNA(VLOOKUP($E70,'D-1 Off Site Habitat Baseline'!$D$1:$O$258,7,FALSE)),"",(VLOOKUP($E70,'D-1 Off Site Habitat Baseline'!$D$1:$O$258,7,FALSE))))</f>
        <v/>
      </c>
      <c r="J70" s="520" t="str">
        <f>IF(E70="","",IF(ISNA(VLOOKUP($E70,'D-1 Off Site Habitat Baseline'!$D$1:$O$258,8,FALSE)),"",(VLOOKUP($E70,'D-1 Off Site Habitat Baseline'!$D$1:$O$258,8,FALSE))))</f>
        <v/>
      </c>
      <c r="K70" s="520" t="str">
        <f>IF(E70="","",IF(ISNA(VLOOKUP($E70,'D-1 Off Site Habitat Baseline'!$D$1:$O$258,9,FALSE)),"",(VLOOKUP($E70,'D-1 Off Site Habitat Baseline'!$D$1:$O$258,9,FALSE))))</f>
        <v/>
      </c>
      <c r="L70" s="520" t="str">
        <f>IF(E70="","",IF(ISNA(VLOOKUP($E70,'D-1 Off Site Habitat Baseline'!$D$1:$O$258,11,FALSE)),"",(VLOOKUP($E70,'D-1 Off Site Habitat Baseline'!$D$1:$O$258,11,FALSE))))</f>
        <v/>
      </c>
      <c r="M70" s="520" t="str">
        <f>IF(E70="","",IF(ISNA(VLOOKUP($E70,'D-1 Off Site Habitat Baseline'!$D$1:$O$258,12,FALSE)),"",(VLOOKUP($E70,'D-1 Off Site Habitat Baseline'!$D$1:$O$258,12,FALSE))))</f>
        <v/>
      </c>
      <c r="N70" s="520" t="str">
        <f>IF(E70="","",IF(ISNA(VLOOKUP($E70,'D-1 Off Site Habitat Baseline'!$D$1:$X$258,14,FALSE)),"",(VLOOKUP($E70,'D-1 Off Site Habitat Baseline'!$D$1:$X$258,14,FALSE))))</f>
        <v/>
      </c>
      <c r="O70" s="524" t="str">
        <f>IF(E70="","",IF(ISNA(VLOOKUP($E70,'D-1 Off Site Habitat Baseline'!$D$1:$X$258,13,FALSE)),"",(VLOOKUP($E70,'D-1 Off Site Habitat Baseline'!$D$1:$X$258,13,FALSE))))</f>
        <v/>
      </c>
      <c r="P70" s="232" t="str">
        <f>IFERROR(INDEX('G-1 All Habitats'!$AG$3:$AG$15,MATCH(Q70,'G-1 All Habitats'!$AF$3:$AF$15,0)),"")</f>
        <v/>
      </c>
      <c r="Q70" s="228" t="str">
        <f t="shared" si="12"/>
        <v/>
      </c>
      <c r="R70" s="229" t="str">
        <f t="shared" si="13"/>
        <v/>
      </c>
      <c r="S70" s="233" t="str">
        <f>IFERROR(INDEX('G-1 All Habitats'!$B$3:$B$129,MATCH(R70,'G-1 All Habitats'!$A$3:$A$129,0)),"")</f>
        <v/>
      </c>
      <c r="T70" s="507" t="str">
        <f t="shared" si="5"/>
        <v/>
      </c>
      <c r="U70" s="524" t="str">
        <f t="shared" si="6"/>
        <v/>
      </c>
      <c r="V70" s="523" t="str">
        <f t="shared" si="2"/>
        <v/>
      </c>
      <c r="W70" s="520" t="str">
        <f>IF(S70="","",VLOOKUP(S70,'G-1 All Habitats'!$B$2:$M$129,10,FALSE))</f>
        <v/>
      </c>
      <c r="X70" s="520" t="str">
        <f>IFERROR(VLOOKUP(W70,'G-1 All Habitats'!$V$3:$W$7,2,FALSE),"")</f>
        <v/>
      </c>
      <c r="Y70" s="203"/>
      <c r="Z70" s="524" t="str">
        <f>IFERROR(INDEX('G-8 Condition Look up'!$A$3:$H$130,MATCH(S70,'G-8 Condition Look up'!$A$3:$A$130,0),MATCH(Y70,'G-8 Condition Look up'!$A$3:$H$3,0)),"")</f>
        <v/>
      </c>
      <c r="AA70" s="145"/>
      <c r="AB70" s="540" t="str">
        <f>IF(AA70="","",IF(VLOOKUP(AA70,'G-3 Multipliers'!$L$3:$N$6,2,FALSE)=0,"Spatial Data Missing ⚠",VLOOKUP(AA70,'G-3 Multipliers'!$L$3:$N$6,2,FALSE)))</f>
        <v/>
      </c>
      <c r="AC70" s="524" t="str">
        <f>IF(AA70="","",IF(VLOOKUP(AA70,'G-3 Multipliers'!$L$3:$N$6,3,FALSE)=0,"Spatial Data Missing ⚠",VLOOKUP(AA70,'G-3 Multipliers'!$L$3:$N$6,3,FALSE)))</f>
        <v/>
      </c>
      <c r="AD70" s="537" t="str">
        <f t="shared" si="3"/>
        <v/>
      </c>
      <c r="AE70" s="203"/>
      <c r="AF70" s="203"/>
      <c r="AG70" s="520" t="str">
        <f t="shared" si="7"/>
        <v/>
      </c>
      <c r="AH70" s="544" t="str">
        <f t="shared" si="8"/>
        <v/>
      </c>
      <c r="AI70" s="525" t="str">
        <f>IF(AH70="Check Data ⚠","Check Data ⚠",IFERROR(VLOOKUP(AH70,'G-4 Temporal multipliers'!$A$4:$C$36,3,FALSE),""))</f>
        <v/>
      </c>
      <c r="AJ70" s="537" t="str">
        <f>IF(S70="","",VLOOKUP(S70,'G-3 Multipliers'!$A$2:$E$129,4,FALSE))</f>
        <v/>
      </c>
      <c r="AK70" s="520" t="str">
        <f t="shared" si="9"/>
        <v/>
      </c>
      <c r="AL70" s="520" t="str">
        <f t="shared" si="10"/>
        <v/>
      </c>
      <c r="AM70" s="524" t="str">
        <f>IFERROR(IF(F70="","",IF(AH70="Check Data ⚠","Check Data ⚠",VLOOKUP(AL70, 'G-3 Multipliers'!$P$2:$Q$6,2,FALSE))),"")</f>
        <v/>
      </c>
      <c r="AN70" s="197"/>
      <c r="AO70" s="540" t="str">
        <f>IF(AN70="","",IF(VLOOKUP(AN70,'G-3 Multipliers'!$S$3:$T$9,2,FALSE)=0,"Spatial Data Missing ⚠",VLOOKUP(AN70,'G-3 Multipliers'!$S$3:$T$9,2,FALSE)))</f>
        <v/>
      </c>
      <c r="AP70" s="513" t="str">
        <f t="shared" si="11"/>
        <v/>
      </c>
      <c r="AQ70" s="231"/>
      <c r="AR70" s="150"/>
    </row>
    <row r="71" spans="1:44" x14ac:dyDescent="0.25">
      <c r="A71" s="31" t="str">
        <f>IF(E71="","",IF(ISNA(VLOOKUP($E71,'D-1 Off Site Habitat Baseline'!$D$1:$O$258,2,FALSE)),"",(VLOOKUP($E71,'D-1 Off Site Habitat Baseline'!$D$1:$O$258,2,FALSE))))</f>
        <v/>
      </c>
      <c r="B71" s="31" t="str">
        <f>IF(E71="","",IF(ISNA(VLOOKUP($E71,'D-1 Off Site Habitat Baseline'!$D$1:$O$258,3,FALSE)),"",(VLOOKUP($E71,'D-1 Off Site Habitat Baseline'!$D$1:$O$258,3,FALSE))))</f>
        <v/>
      </c>
      <c r="C71" s="31" t="str">
        <f>IFERROR(INDEX('G-8 Condition Look up'!$I$4:$I$130,MATCH(S71,'G-8 Condition Look up'!$A$4:$A$130,0)),"")</f>
        <v/>
      </c>
      <c r="E71" s="547" t="str">
        <f>'D-1 Off Site Habitat Baseline'!AL70</f>
        <v/>
      </c>
      <c r="F71" s="520" t="str">
        <f>IF(E71="","",IF(ISNA(VLOOKUP($E71,'D-1 Off Site Habitat Baseline'!$D$1:$O$258,4,FALSE)),"",(VLOOKUP($E71,'D-1 Off Site Habitat Baseline'!$D$1:$O$258,4,FALSE))))</f>
        <v/>
      </c>
      <c r="G71" s="520" t="str">
        <f>IF(E71="","",IF(ISNA(VLOOKUP($E71,'D-1 Off Site Habitat Baseline'!$D$1:$O$258,5,FALSE)),"",(VLOOKUP($E71,'D-1 Off Site Habitat Baseline'!$D$1:$O$258,5,FALSE))))</f>
        <v/>
      </c>
      <c r="H71" s="520" t="str">
        <f>IF(E71="","",IF(ISNA(VLOOKUP($E71,'D-1 Off Site Habitat Baseline'!$D$1:$O$258,6,FALSE)),"",(VLOOKUP($E71,'D-1 Off Site Habitat Baseline'!$D$1:$O$258,6,FALSE))))</f>
        <v/>
      </c>
      <c r="I71" s="520" t="str">
        <f>IF(E71="","",IF(ISNA(VLOOKUP($E71,'D-1 Off Site Habitat Baseline'!$D$1:$O$258,7,FALSE)),"",(VLOOKUP($E71,'D-1 Off Site Habitat Baseline'!$D$1:$O$258,7,FALSE))))</f>
        <v/>
      </c>
      <c r="J71" s="520" t="str">
        <f>IF(E71="","",IF(ISNA(VLOOKUP($E71,'D-1 Off Site Habitat Baseline'!$D$1:$O$258,8,FALSE)),"",(VLOOKUP($E71,'D-1 Off Site Habitat Baseline'!$D$1:$O$258,8,FALSE))))</f>
        <v/>
      </c>
      <c r="K71" s="520" t="str">
        <f>IF(E71="","",IF(ISNA(VLOOKUP($E71,'D-1 Off Site Habitat Baseline'!$D$1:$O$258,9,FALSE)),"",(VLOOKUP($E71,'D-1 Off Site Habitat Baseline'!$D$1:$O$258,9,FALSE))))</f>
        <v/>
      </c>
      <c r="L71" s="520" t="str">
        <f>IF(E71="","",IF(ISNA(VLOOKUP($E71,'D-1 Off Site Habitat Baseline'!$D$1:$O$258,11,FALSE)),"",(VLOOKUP($E71,'D-1 Off Site Habitat Baseline'!$D$1:$O$258,11,FALSE))))</f>
        <v/>
      </c>
      <c r="M71" s="520" t="str">
        <f>IF(E71="","",IF(ISNA(VLOOKUP($E71,'D-1 Off Site Habitat Baseline'!$D$1:$O$258,12,FALSE)),"",(VLOOKUP($E71,'D-1 Off Site Habitat Baseline'!$D$1:$O$258,12,FALSE))))</f>
        <v/>
      </c>
      <c r="N71" s="520" t="str">
        <f>IF(E71="","",IF(ISNA(VLOOKUP($E71,'D-1 Off Site Habitat Baseline'!$D$1:$X$258,14,FALSE)),"",(VLOOKUP($E71,'D-1 Off Site Habitat Baseline'!$D$1:$X$258,14,FALSE))))</f>
        <v/>
      </c>
      <c r="O71" s="524" t="str">
        <f>IF(E71="","",IF(ISNA(VLOOKUP($E71,'D-1 Off Site Habitat Baseline'!$D$1:$X$258,13,FALSE)),"",(VLOOKUP($E71,'D-1 Off Site Habitat Baseline'!$D$1:$X$258,13,FALSE))))</f>
        <v/>
      </c>
      <c r="P71" s="232" t="str">
        <f>IFERROR(INDEX('G-1 All Habitats'!$AG$3:$AG$15,MATCH(Q71,'G-1 All Habitats'!$AF$3:$AF$15,0)),"")</f>
        <v/>
      </c>
      <c r="Q71" s="228" t="str">
        <f t="shared" si="12"/>
        <v/>
      </c>
      <c r="R71" s="229" t="str">
        <f t="shared" si="13"/>
        <v/>
      </c>
      <c r="S71" s="233" t="str">
        <f>IFERROR(INDEX('G-1 All Habitats'!$B$3:$B$129,MATCH(R71,'G-1 All Habitats'!$A$3:$A$129,0)),"")</f>
        <v/>
      </c>
      <c r="T71" s="507" t="str">
        <f t="shared" si="5"/>
        <v/>
      </c>
      <c r="U71" s="524" t="str">
        <f t="shared" si="6"/>
        <v/>
      </c>
      <c r="V71" s="523" t="str">
        <f t="shared" si="2"/>
        <v/>
      </c>
      <c r="W71" s="520" t="str">
        <f>IF(S71="","",VLOOKUP(S71,'G-1 All Habitats'!$B$2:$M$129,10,FALSE))</f>
        <v/>
      </c>
      <c r="X71" s="520" t="str">
        <f>IFERROR(VLOOKUP(W71,'G-1 All Habitats'!$V$3:$W$7,2,FALSE),"")</f>
        <v/>
      </c>
      <c r="Y71" s="203"/>
      <c r="Z71" s="524" t="str">
        <f>IFERROR(INDEX('G-8 Condition Look up'!$A$3:$H$130,MATCH(S71,'G-8 Condition Look up'!$A$3:$A$130,0),MATCH(Y71,'G-8 Condition Look up'!$A$3:$H$3,0)),"")</f>
        <v/>
      </c>
      <c r="AA71" s="145"/>
      <c r="AB71" s="540" t="str">
        <f>IF(AA71="","",IF(VLOOKUP(AA71,'G-3 Multipliers'!$L$3:$N$6,2,FALSE)=0,"Spatial Data Missing ⚠",VLOOKUP(AA71,'G-3 Multipliers'!$L$3:$N$6,2,FALSE)))</f>
        <v/>
      </c>
      <c r="AC71" s="524" t="str">
        <f>IF(AA71="","",IF(VLOOKUP(AA71,'G-3 Multipliers'!$L$3:$N$6,3,FALSE)=0,"Spatial Data Missing ⚠",VLOOKUP(AA71,'G-3 Multipliers'!$L$3:$N$6,3,FALSE)))</f>
        <v/>
      </c>
      <c r="AD71" s="537" t="str">
        <f t="shared" si="3"/>
        <v/>
      </c>
      <c r="AE71" s="203"/>
      <c r="AF71" s="203"/>
      <c r="AG71" s="520" t="str">
        <f t="shared" si="7"/>
        <v/>
      </c>
      <c r="AH71" s="544" t="str">
        <f t="shared" si="8"/>
        <v/>
      </c>
      <c r="AI71" s="525" t="str">
        <f>IF(AH71="Check Data ⚠","Check Data ⚠",IFERROR(VLOOKUP(AH71,'G-4 Temporal multipliers'!$A$4:$C$36,3,FALSE),""))</f>
        <v/>
      </c>
      <c r="AJ71" s="537" t="str">
        <f>IF(S71="","",VLOOKUP(S71,'G-3 Multipliers'!$A$2:$E$129,4,FALSE))</f>
        <v/>
      </c>
      <c r="AK71" s="520" t="str">
        <f t="shared" si="9"/>
        <v/>
      </c>
      <c r="AL71" s="520" t="str">
        <f t="shared" si="10"/>
        <v/>
      </c>
      <c r="AM71" s="524" t="str">
        <f>IFERROR(IF(F71="","",IF(AH71="Check Data ⚠","Check Data ⚠",VLOOKUP(AL71, 'G-3 Multipliers'!$P$2:$Q$6,2,FALSE))),"")</f>
        <v/>
      </c>
      <c r="AN71" s="197"/>
      <c r="AO71" s="540" t="str">
        <f>IF(AN71="","",IF(VLOOKUP(AN71,'G-3 Multipliers'!$S$3:$T$9,2,FALSE)=0,"Spatial Data Missing ⚠",VLOOKUP(AN71,'G-3 Multipliers'!$S$3:$T$9,2,FALSE)))</f>
        <v/>
      </c>
      <c r="AP71" s="513" t="str">
        <f t="shared" si="11"/>
        <v/>
      </c>
      <c r="AQ71" s="231"/>
      <c r="AR71" s="150"/>
    </row>
    <row r="72" spans="1:44" x14ac:dyDescent="0.25">
      <c r="A72" s="31" t="str">
        <f>IF(E72="","",IF(ISNA(VLOOKUP($E72,'D-1 Off Site Habitat Baseline'!$D$1:$O$258,2,FALSE)),"",(VLOOKUP($E72,'D-1 Off Site Habitat Baseline'!$D$1:$O$258,2,FALSE))))</f>
        <v/>
      </c>
      <c r="B72" s="31" t="str">
        <f>IF(E72="","",IF(ISNA(VLOOKUP($E72,'D-1 Off Site Habitat Baseline'!$D$1:$O$258,3,FALSE)),"",(VLOOKUP($E72,'D-1 Off Site Habitat Baseline'!$D$1:$O$258,3,FALSE))))</f>
        <v/>
      </c>
      <c r="C72" s="31" t="str">
        <f>IFERROR(INDEX('G-8 Condition Look up'!$I$4:$I$130,MATCH(S72,'G-8 Condition Look up'!$A$4:$A$130,0)),"")</f>
        <v/>
      </c>
      <c r="E72" s="547" t="str">
        <f>'D-1 Off Site Habitat Baseline'!AL71</f>
        <v/>
      </c>
      <c r="F72" s="520" t="str">
        <f>IF(E72="","",IF(ISNA(VLOOKUP($E72,'D-1 Off Site Habitat Baseline'!$D$1:$O$258,4,FALSE)),"",(VLOOKUP($E72,'D-1 Off Site Habitat Baseline'!$D$1:$O$258,4,FALSE))))</f>
        <v/>
      </c>
      <c r="G72" s="520" t="str">
        <f>IF(E72="","",IF(ISNA(VLOOKUP($E72,'D-1 Off Site Habitat Baseline'!$D$1:$O$258,5,FALSE)),"",(VLOOKUP($E72,'D-1 Off Site Habitat Baseline'!$D$1:$O$258,5,FALSE))))</f>
        <v/>
      </c>
      <c r="H72" s="520" t="str">
        <f>IF(E72="","",IF(ISNA(VLOOKUP($E72,'D-1 Off Site Habitat Baseline'!$D$1:$O$258,6,FALSE)),"",(VLOOKUP($E72,'D-1 Off Site Habitat Baseline'!$D$1:$O$258,6,FALSE))))</f>
        <v/>
      </c>
      <c r="I72" s="520" t="str">
        <f>IF(E72="","",IF(ISNA(VLOOKUP($E72,'D-1 Off Site Habitat Baseline'!$D$1:$O$258,7,FALSE)),"",(VLOOKUP($E72,'D-1 Off Site Habitat Baseline'!$D$1:$O$258,7,FALSE))))</f>
        <v/>
      </c>
      <c r="J72" s="520" t="str">
        <f>IF(E72="","",IF(ISNA(VLOOKUP($E72,'D-1 Off Site Habitat Baseline'!$D$1:$O$258,8,FALSE)),"",(VLOOKUP($E72,'D-1 Off Site Habitat Baseline'!$D$1:$O$258,8,FALSE))))</f>
        <v/>
      </c>
      <c r="K72" s="520" t="str">
        <f>IF(E72="","",IF(ISNA(VLOOKUP($E72,'D-1 Off Site Habitat Baseline'!$D$1:$O$258,9,FALSE)),"",(VLOOKUP($E72,'D-1 Off Site Habitat Baseline'!$D$1:$O$258,9,FALSE))))</f>
        <v/>
      </c>
      <c r="L72" s="520" t="str">
        <f>IF(E72="","",IF(ISNA(VLOOKUP($E72,'D-1 Off Site Habitat Baseline'!$D$1:$O$258,11,FALSE)),"",(VLOOKUP($E72,'D-1 Off Site Habitat Baseline'!$D$1:$O$258,11,FALSE))))</f>
        <v/>
      </c>
      <c r="M72" s="520" t="str">
        <f>IF(E72="","",IF(ISNA(VLOOKUP($E72,'D-1 Off Site Habitat Baseline'!$D$1:$O$258,12,FALSE)),"",(VLOOKUP($E72,'D-1 Off Site Habitat Baseline'!$D$1:$O$258,12,FALSE))))</f>
        <v/>
      </c>
      <c r="N72" s="520" t="str">
        <f>IF(E72="","",IF(ISNA(VLOOKUP($E72,'D-1 Off Site Habitat Baseline'!$D$1:$X$258,14,FALSE)),"",(VLOOKUP($E72,'D-1 Off Site Habitat Baseline'!$D$1:$X$258,14,FALSE))))</f>
        <v/>
      </c>
      <c r="O72" s="524" t="str">
        <f>IF(E72="","",IF(ISNA(VLOOKUP($E72,'D-1 Off Site Habitat Baseline'!$D$1:$X$258,13,FALSE)),"",(VLOOKUP($E72,'D-1 Off Site Habitat Baseline'!$D$1:$X$258,13,FALSE))))</f>
        <v/>
      </c>
      <c r="P72" s="232" t="str">
        <f>IFERROR(INDEX('G-1 All Habitats'!$AG$3:$AG$15,MATCH(Q72,'G-1 All Habitats'!$AF$3:$AF$15,0)),"")</f>
        <v/>
      </c>
      <c r="Q72" s="228" t="str">
        <f t="shared" si="12"/>
        <v/>
      </c>
      <c r="R72" s="229" t="str">
        <f t="shared" si="13"/>
        <v/>
      </c>
      <c r="S72" s="233" t="str">
        <f>IFERROR(INDEX('G-1 All Habitats'!$B$3:$B$129,MATCH(R72,'G-1 All Habitats'!$A$3:$A$129,0)),"")</f>
        <v/>
      </c>
      <c r="T72" s="507" t="str">
        <f t="shared" si="5"/>
        <v/>
      </c>
      <c r="U72" s="524" t="str">
        <f t="shared" si="6"/>
        <v/>
      </c>
      <c r="V72" s="523" t="str">
        <f t="shared" si="2"/>
        <v/>
      </c>
      <c r="W72" s="520" t="str">
        <f>IF(S72="","",VLOOKUP(S72,'G-1 All Habitats'!$B$2:$M$129,10,FALSE))</f>
        <v/>
      </c>
      <c r="X72" s="520" t="str">
        <f>IFERROR(VLOOKUP(W72,'G-1 All Habitats'!$V$3:$W$7,2,FALSE),"")</f>
        <v/>
      </c>
      <c r="Y72" s="203"/>
      <c r="Z72" s="524" t="str">
        <f>IFERROR(INDEX('G-8 Condition Look up'!$A$3:$H$130,MATCH(S72,'G-8 Condition Look up'!$A$3:$A$130,0),MATCH(Y72,'G-8 Condition Look up'!$A$3:$H$3,0)),"")</f>
        <v/>
      </c>
      <c r="AA72" s="145"/>
      <c r="AB72" s="540" t="str">
        <f>IF(AA72="","",IF(VLOOKUP(AA72,'G-3 Multipliers'!$L$3:$N$6,2,FALSE)=0,"Spatial Data Missing ⚠",VLOOKUP(AA72,'G-3 Multipliers'!$L$3:$N$6,2,FALSE)))</f>
        <v/>
      </c>
      <c r="AC72" s="524" t="str">
        <f>IF(AA72="","",IF(VLOOKUP(AA72,'G-3 Multipliers'!$L$3:$N$6,3,FALSE)=0,"Spatial Data Missing ⚠",VLOOKUP(AA72,'G-3 Multipliers'!$L$3:$N$6,3,FALSE)))</f>
        <v/>
      </c>
      <c r="AD72" s="537" t="str">
        <f t="shared" si="3"/>
        <v/>
      </c>
      <c r="AE72" s="203"/>
      <c r="AF72" s="203"/>
      <c r="AG72" s="520" t="str">
        <f t="shared" si="7"/>
        <v/>
      </c>
      <c r="AH72" s="544" t="str">
        <f t="shared" si="8"/>
        <v/>
      </c>
      <c r="AI72" s="525" t="str">
        <f>IF(AH72="Check Data ⚠","Check Data ⚠",IFERROR(VLOOKUP(AH72,'G-4 Temporal multipliers'!$A$4:$C$36,3,FALSE),""))</f>
        <v/>
      </c>
      <c r="AJ72" s="537" t="str">
        <f>IF(S72="","",VLOOKUP(S72,'G-3 Multipliers'!$A$2:$E$129,4,FALSE))</f>
        <v/>
      </c>
      <c r="AK72" s="520" t="str">
        <f t="shared" si="9"/>
        <v/>
      </c>
      <c r="AL72" s="520" t="str">
        <f t="shared" si="10"/>
        <v/>
      </c>
      <c r="AM72" s="524" t="str">
        <f>IFERROR(IF(F72="","",IF(AH72="Check Data ⚠","Check Data ⚠",VLOOKUP(AL72, 'G-3 Multipliers'!$P$2:$Q$6,2,FALSE))),"")</f>
        <v/>
      </c>
      <c r="AN72" s="197"/>
      <c r="AO72" s="540" t="str">
        <f>IF(AN72="","",IF(VLOOKUP(AN72,'G-3 Multipliers'!$S$3:$T$9,2,FALSE)=0,"Spatial Data Missing ⚠",VLOOKUP(AN72,'G-3 Multipliers'!$S$3:$T$9,2,FALSE)))</f>
        <v/>
      </c>
      <c r="AP72" s="513" t="str">
        <f t="shared" si="11"/>
        <v/>
      </c>
      <c r="AQ72" s="231"/>
      <c r="AR72" s="150"/>
    </row>
    <row r="73" spans="1:44" x14ac:dyDescent="0.25">
      <c r="A73" s="31" t="str">
        <f>IF(E73="","",IF(ISNA(VLOOKUP($E73,'D-1 Off Site Habitat Baseline'!$D$1:$O$258,2,FALSE)),"",(VLOOKUP($E73,'D-1 Off Site Habitat Baseline'!$D$1:$O$258,2,FALSE))))</f>
        <v/>
      </c>
      <c r="B73" s="31" t="str">
        <f>IF(E73="","",IF(ISNA(VLOOKUP($E73,'D-1 Off Site Habitat Baseline'!$D$1:$O$258,3,FALSE)),"",(VLOOKUP($E73,'D-1 Off Site Habitat Baseline'!$D$1:$O$258,3,FALSE))))</f>
        <v/>
      </c>
      <c r="C73" s="31" t="str">
        <f>IFERROR(INDEX('G-8 Condition Look up'!$I$4:$I$130,MATCH(S73,'G-8 Condition Look up'!$A$4:$A$130,0)),"")</f>
        <v/>
      </c>
      <c r="E73" s="547" t="str">
        <f>'D-1 Off Site Habitat Baseline'!AL72</f>
        <v/>
      </c>
      <c r="F73" s="520" t="str">
        <f>IF(E73="","",IF(ISNA(VLOOKUP($E73,'D-1 Off Site Habitat Baseline'!$D$1:$O$258,4,FALSE)),"",(VLOOKUP($E73,'D-1 Off Site Habitat Baseline'!$D$1:$O$258,4,FALSE))))</f>
        <v/>
      </c>
      <c r="G73" s="520" t="str">
        <f>IF(E73="","",IF(ISNA(VLOOKUP($E73,'D-1 Off Site Habitat Baseline'!$D$1:$O$258,5,FALSE)),"",(VLOOKUP($E73,'D-1 Off Site Habitat Baseline'!$D$1:$O$258,5,FALSE))))</f>
        <v/>
      </c>
      <c r="H73" s="520" t="str">
        <f>IF(E73="","",IF(ISNA(VLOOKUP($E73,'D-1 Off Site Habitat Baseline'!$D$1:$O$258,6,FALSE)),"",(VLOOKUP($E73,'D-1 Off Site Habitat Baseline'!$D$1:$O$258,6,FALSE))))</f>
        <v/>
      </c>
      <c r="I73" s="520" t="str">
        <f>IF(E73="","",IF(ISNA(VLOOKUP($E73,'D-1 Off Site Habitat Baseline'!$D$1:$O$258,7,FALSE)),"",(VLOOKUP($E73,'D-1 Off Site Habitat Baseline'!$D$1:$O$258,7,FALSE))))</f>
        <v/>
      </c>
      <c r="J73" s="520" t="str">
        <f>IF(E73="","",IF(ISNA(VLOOKUP($E73,'D-1 Off Site Habitat Baseline'!$D$1:$O$258,8,FALSE)),"",(VLOOKUP($E73,'D-1 Off Site Habitat Baseline'!$D$1:$O$258,8,FALSE))))</f>
        <v/>
      </c>
      <c r="K73" s="520" t="str">
        <f>IF(E73="","",IF(ISNA(VLOOKUP($E73,'D-1 Off Site Habitat Baseline'!$D$1:$O$258,9,FALSE)),"",(VLOOKUP($E73,'D-1 Off Site Habitat Baseline'!$D$1:$O$258,9,FALSE))))</f>
        <v/>
      </c>
      <c r="L73" s="520" t="str">
        <f>IF(E73="","",IF(ISNA(VLOOKUP($E73,'D-1 Off Site Habitat Baseline'!$D$1:$O$258,11,FALSE)),"",(VLOOKUP($E73,'D-1 Off Site Habitat Baseline'!$D$1:$O$258,11,FALSE))))</f>
        <v/>
      </c>
      <c r="M73" s="520" t="str">
        <f>IF(E73="","",IF(ISNA(VLOOKUP($E73,'D-1 Off Site Habitat Baseline'!$D$1:$O$258,12,FALSE)),"",(VLOOKUP($E73,'D-1 Off Site Habitat Baseline'!$D$1:$O$258,12,FALSE))))</f>
        <v/>
      </c>
      <c r="N73" s="520" t="str">
        <f>IF(E73="","",IF(ISNA(VLOOKUP($E73,'D-1 Off Site Habitat Baseline'!$D$1:$X$258,14,FALSE)),"",(VLOOKUP($E73,'D-1 Off Site Habitat Baseline'!$D$1:$X$258,14,FALSE))))</f>
        <v/>
      </c>
      <c r="O73" s="524" t="str">
        <f>IF(E73="","",IF(ISNA(VLOOKUP($E73,'D-1 Off Site Habitat Baseline'!$D$1:$X$258,13,FALSE)),"",(VLOOKUP($E73,'D-1 Off Site Habitat Baseline'!$D$1:$X$258,13,FALSE))))</f>
        <v/>
      </c>
      <c r="P73" s="232" t="str">
        <f>IFERROR(INDEX('G-1 All Habitats'!$AG$3:$AG$15,MATCH(Q73,'G-1 All Habitats'!$AF$3:$AF$15,0)),"")</f>
        <v/>
      </c>
      <c r="Q73" s="228" t="str">
        <f t="shared" si="12"/>
        <v/>
      </c>
      <c r="R73" s="229" t="str">
        <f t="shared" si="13"/>
        <v/>
      </c>
      <c r="S73" s="233" t="str">
        <f>IFERROR(INDEX('G-1 All Habitats'!$B$3:$B$129,MATCH(R73,'G-1 All Habitats'!$A$3:$A$129,0)),"")</f>
        <v/>
      </c>
      <c r="T73" s="507" t="str">
        <f t="shared" si="5"/>
        <v/>
      </c>
      <c r="U73" s="524" t="str">
        <f t="shared" si="6"/>
        <v/>
      </c>
      <c r="V73" s="523" t="str">
        <f t="shared" si="2"/>
        <v/>
      </c>
      <c r="W73" s="520" t="str">
        <f>IF(S73="","",VLOOKUP(S73,'G-1 All Habitats'!$B$2:$M$129,10,FALSE))</f>
        <v/>
      </c>
      <c r="X73" s="520" t="str">
        <f>IFERROR(VLOOKUP(W73,'G-1 All Habitats'!$V$3:$W$7,2,FALSE),"")</f>
        <v/>
      </c>
      <c r="Y73" s="203"/>
      <c r="Z73" s="524" t="str">
        <f>IFERROR(INDEX('G-8 Condition Look up'!$A$3:$H$130,MATCH(S73,'G-8 Condition Look up'!$A$3:$A$130,0),MATCH(Y73,'G-8 Condition Look up'!$A$3:$H$3,0)),"")</f>
        <v/>
      </c>
      <c r="AA73" s="145"/>
      <c r="AB73" s="540" t="str">
        <f>IF(AA73="","",IF(VLOOKUP(AA73,'G-3 Multipliers'!$L$3:$N$6,2,FALSE)=0,"Spatial Data Missing ⚠",VLOOKUP(AA73,'G-3 Multipliers'!$L$3:$N$6,2,FALSE)))</f>
        <v/>
      </c>
      <c r="AC73" s="524" t="str">
        <f>IF(AA73="","",IF(VLOOKUP(AA73,'G-3 Multipliers'!$L$3:$N$6,3,FALSE)=0,"Spatial Data Missing ⚠",VLOOKUP(AA73,'G-3 Multipliers'!$L$3:$N$6,3,FALSE)))</f>
        <v/>
      </c>
      <c r="AD73" s="537" t="str">
        <f t="shared" si="3"/>
        <v/>
      </c>
      <c r="AE73" s="203"/>
      <c r="AF73" s="203"/>
      <c r="AG73" s="520" t="str">
        <f t="shared" si="7"/>
        <v/>
      </c>
      <c r="AH73" s="544" t="str">
        <f t="shared" si="8"/>
        <v/>
      </c>
      <c r="AI73" s="525" t="str">
        <f>IF(AH73="Check Data ⚠","Check Data ⚠",IFERROR(VLOOKUP(AH73,'G-4 Temporal multipliers'!$A$4:$C$36,3,FALSE),""))</f>
        <v/>
      </c>
      <c r="AJ73" s="537" t="str">
        <f>IF(S73="","",VLOOKUP(S73,'G-3 Multipliers'!$A$2:$E$129,4,FALSE))</f>
        <v/>
      </c>
      <c r="AK73" s="520" t="str">
        <f t="shared" si="9"/>
        <v/>
      </c>
      <c r="AL73" s="520" t="str">
        <f t="shared" si="10"/>
        <v/>
      </c>
      <c r="AM73" s="524" t="str">
        <f>IFERROR(IF(F73="","",IF(AH73="Check Data ⚠","Check Data ⚠",VLOOKUP(AL73, 'G-3 Multipliers'!$P$2:$Q$6,2,FALSE))),"")</f>
        <v/>
      </c>
      <c r="AN73" s="197"/>
      <c r="AO73" s="540" t="str">
        <f>IF(AN73="","",IF(VLOOKUP(AN73,'G-3 Multipliers'!$S$3:$T$9,2,FALSE)=0,"Spatial Data Missing ⚠",VLOOKUP(AN73,'G-3 Multipliers'!$S$3:$T$9,2,FALSE)))</f>
        <v/>
      </c>
      <c r="AP73" s="513" t="str">
        <f t="shared" si="11"/>
        <v/>
      </c>
      <c r="AQ73" s="231"/>
      <c r="AR73" s="150"/>
    </row>
    <row r="74" spans="1:44" x14ac:dyDescent="0.25">
      <c r="A74" s="31" t="str">
        <f>IF(E74="","",IF(ISNA(VLOOKUP($E74,'D-1 Off Site Habitat Baseline'!$D$1:$O$258,2,FALSE)),"",(VLOOKUP($E74,'D-1 Off Site Habitat Baseline'!$D$1:$O$258,2,FALSE))))</f>
        <v/>
      </c>
      <c r="B74" s="31" t="str">
        <f>IF(E74="","",IF(ISNA(VLOOKUP($E74,'D-1 Off Site Habitat Baseline'!$D$1:$O$258,3,FALSE)),"",(VLOOKUP($E74,'D-1 Off Site Habitat Baseline'!$D$1:$O$258,3,FALSE))))</f>
        <v/>
      </c>
      <c r="C74" s="31" t="str">
        <f>IFERROR(INDEX('G-8 Condition Look up'!$I$4:$I$130,MATCH(S74,'G-8 Condition Look up'!$A$4:$A$130,0)),"")</f>
        <v/>
      </c>
      <c r="E74" s="547" t="str">
        <f>'D-1 Off Site Habitat Baseline'!AL73</f>
        <v/>
      </c>
      <c r="F74" s="520" t="str">
        <f>IF(E74="","",IF(ISNA(VLOOKUP($E74,'D-1 Off Site Habitat Baseline'!$D$1:$O$258,4,FALSE)),"",(VLOOKUP($E74,'D-1 Off Site Habitat Baseline'!$D$1:$O$258,4,FALSE))))</f>
        <v/>
      </c>
      <c r="G74" s="520" t="str">
        <f>IF(E74="","",IF(ISNA(VLOOKUP($E74,'D-1 Off Site Habitat Baseline'!$D$1:$O$258,5,FALSE)),"",(VLOOKUP($E74,'D-1 Off Site Habitat Baseline'!$D$1:$O$258,5,FALSE))))</f>
        <v/>
      </c>
      <c r="H74" s="520" t="str">
        <f>IF(E74="","",IF(ISNA(VLOOKUP($E74,'D-1 Off Site Habitat Baseline'!$D$1:$O$258,6,FALSE)),"",(VLOOKUP($E74,'D-1 Off Site Habitat Baseline'!$D$1:$O$258,6,FALSE))))</f>
        <v/>
      </c>
      <c r="I74" s="520" t="str">
        <f>IF(E74="","",IF(ISNA(VLOOKUP($E74,'D-1 Off Site Habitat Baseline'!$D$1:$O$258,7,FALSE)),"",(VLOOKUP($E74,'D-1 Off Site Habitat Baseline'!$D$1:$O$258,7,FALSE))))</f>
        <v/>
      </c>
      <c r="J74" s="520" t="str">
        <f>IF(E74="","",IF(ISNA(VLOOKUP($E74,'D-1 Off Site Habitat Baseline'!$D$1:$O$258,8,FALSE)),"",(VLOOKUP($E74,'D-1 Off Site Habitat Baseline'!$D$1:$O$258,8,FALSE))))</f>
        <v/>
      </c>
      <c r="K74" s="520" t="str">
        <f>IF(E74="","",IF(ISNA(VLOOKUP($E74,'D-1 Off Site Habitat Baseline'!$D$1:$O$258,9,FALSE)),"",(VLOOKUP($E74,'D-1 Off Site Habitat Baseline'!$D$1:$O$258,9,FALSE))))</f>
        <v/>
      </c>
      <c r="L74" s="520" t="str">
        <f>IF(E74="","",IF(ISNA(VLOOKUP($E74,'D-1 Off Site Habitat Baseline'!$D$1:$O$258,11,FALSE)),"",(VLOOKUP($E74,'D-1 Off Site Habitat Baseline'!$D$1:$O$258,11,FALSE))))</f>
        <v/>
      </c>
      <c r="M74" s="520" t="str">
        <f>IF(E74="","",IF(ISNA(VLOOKUP($E74,'D-1 Off Site Habitat Baseline'!$D$1:$O$258,12,FALSE)),"",(VLOOKUP($E74,'D-1 Off Site Habitat Baseline'!$D$1:$O$258,12,FALSE))))</f>
        <v/>
      </c>
      <c r="N74" s="520" t="str">
        <f>IF(E74="","",IF(ISNA(VLOOKUP($E74,'D-1 Off Site Habitat Baseline'!$D$1:$X$258,14,FALSE)),"",(VLOOKUP($E74,'D-1 Off Site Habitat Baseline'!$D$1:$X$258,14,FALSE))))</f>
        <v/>
      </c>
      <c r="O74" s="524" t="str">
        <f>IF(E74="","",IF(ISNA(VLOOKUP($E74,'D-1 Off Site Habitat Baseline'!$D$1:$X$258,13,FALSE)),"",(VLOOKUP($E74,'D-1 Off Site Habitat Baseline'!$D$1:$X$258,13,FALSE))))</f>
        <v/>
      </c>
      <c r="P74" s="232" t="str">
        <f>IFERROR(INDEX('G-1 All Habitats'!$AG$3:$AG$15,MATCH(Q74,'G-1 All Habitats'!$AF$3:$AF$15,0)),"")</f>
        <v/>
      </c>
      <c r="Q74" s="228" t="str">
        <f t="shared" si="12"/>
        <v/>
      </c>
      <c r="R74" s="229" t="str">
        <f t="shared" si="13"/>
        <v/>
      </c>
      <c r="S74" s="233" t="str">
        <f>IFERROR(INDEX('G-1 All Habitats'!$B$3:$B$129,MATCH(R74,'G-1 All Habitats'!$A$3:$A$129,0)),"")</f>
        <v/>
      </c>
      <c r="T74" s="507" t="str">
        <f t="shared" si="5"/>
        <v/>
      </c>
      <c r="U74" s="524" t="str">
        <f t="shared" si="6"/>
        <v/>
      </c>
      <c r="V74" s="523" t="str">
        <f t="shared" si="2"/>
        <v/>
      </c>
      <c r="W74" s="520" t="str">
        <f>IF(S74="","",VLOOKUP(S74,'G-1 All Habitats'!$B$2:$M$129,10,FALSE))</f>
        <v/>
      </c>
      <c r="X74" s="520" t="str">
        <f>IFERROR(VLOOKUP(W74,'G-1 All Habitats'!$V$3:$W$7,2,FALSE),"")</f>
        <v/>
      </c>
      <c r="Y74" s="203"/>
      <c r="Z74" s="524" t="str">
        <f>IFERROR(INDEX('G-8 Condition Look up'!$A$3:$H$130,MATCH(S74,'G-8 Condition Look up'!$A$3:$A$130,0),MATCH(Y74,'G-8 Condition Look up'!$A$3:$H$3,0)),"")</f>
        <v/>
      </c>
      <c r="AA74" s="145"/>
      <c r="AB74" s="540" t="str">
        <f>IF(AA74="","",IF(VLOOKUP(AA74,'G-3 Multipliers'!$L$3:$N$6,2,FALSE)=0,"Spatial Data Missing ⚠",VLOOKUP(AA74,'G-3 Multipliers'!$L$3:$N$6,2,FALSE)))</f>
        <v/>
      </c>
      <c r="AC74" s="524" t="str">
        <f>IF(AA74="","",IF(VLOOKUP(AA74,'G-3 Multipliers'!$L$3:$N$6,3,FALSE)=0,"Spatial Data Missing ⚠",VLOOKUP(AA74,'G-3 Multipliers'!$L$3:$N$6,3,FALSE)))</f>
        <v/>
      </c>
      <c r="AD74" s="537" t="str">
        <f t="shared" si="3"/>
        <v/>
      </c>
      <c r="AE74" s="203"/>
      <c r="AF74" s="203"/>
      <c r="AG74" s="520" t="str">
        <f t="shared" si="7"/>
        <v/>
      </c>
      <c r="AH74" s="544" t="str">
        <f t="shared" si="8"/>
        <v/>
      </c>
      <c r="AI74" s="525" t="str">
        <f>IF(AH74="Check Data ⚠","Check Data ⚠",IFERROR(VLOOKUP(AH74,'G-4 Temporal multipliers'!$A$4:$C$36,3,FALSE),""))</f>
        <v/>
      </c>
      <c r="AJ74" s="537" t="str">
        <f>IF(S74="","",VLOOKUP(S74,'G-3 Multipliers'!$A$2:$E$129,4,FALSE))</f>
        <v/>
      </c>
      <c r="AK74" s="520" t="str">
        <f t="shared" si="9"/>
        <v/>
      </c>
      <c r="AL74" s="520" t="str">
        <f t="shared" si="10"/>
        <v/>
      </c>
      <c r="AM74" s="524" t="str">
        <f>IFERROR(IF(F74="","",IF(AH74="Check Data ⚠","Check Data ⚠",VLOOKUP(AL74, 'G-3 Multipliers'!$P$2:$Q$6,2,FALSE))),"")</f>
        <v/>
      </c>
      <c r="AN74" s="197"/>
      <c r="AO74" s="540" t="str">
        <f>IF(AN74="","",IF(VLOOKUP(AN74,'G-3 Multipliers'!$S$3:$T$9,2,FALSE)=0,"Spatial Data Missing ⚠",VLOOKUP(AN74,'G-3 Multipliers'!$S$3:$T$9,2,FALSE)))</f>
        <v/>
      </c>
      <c r="AP74" s="513" t="str">
        <f t="shared" si="11"/>
        <v/>
      </c>
      <c r="AQ74" s="231"/>
      <c r="AR74" s="150"/>
    </row>
    <row r="75" spans="1:44" x14ac:dyDescent="0.25">
      <c r="A75" s="31" t="str">
        <f>IF(E75="","",IF(ISNA(VLOOKUP($E75,'D-1 Off Site Habitat Baseline'!$D$1:$O$258,2,FALSE)),"",(VLOOKUP($E75,'D-1 Off Site Habitat Baseline'!$D$1:$O$258,2,FALSE))))</f>
        <v/>
      </c>
      <c r="B75" s="31" t="str">
        <f>IF(E75="","",IF(ISNA(VLOOKUP($E75,'D-1 Off Site Habitat Baseline'!$D$1:$O$258,3,FALSE)),"",(VLOOKUP($E75,'D-1 Off Site Habitat Baseline'!$D$1:$O$258,3,FALSE))))</f>
        <v/>
      </c>
      <c r="C75" s="31" t="str">
        <f>IFERROR(INDEX('G-8 Condition Look up'!$I$4:$I$130,MATCH(S75,'G-8 Condition Look up'!$A$4:$A$130,0)),"")</f>
        <v/>
      </c>
      <c r="E75" s="547" t="str">
        <f>'D-1 Off Site Habitat Baseline'!AL74</f>
        <v/>
      </c>
      <c r="F75" s="520" t="str">
        <f>IF(E75="","",IF(ISNA(VLOOKUP($E75,'D-1 Off Site Habitat Baseline'!$D$1:$O$258,4,FALSE)),"",(VLOOKUP($E75,'D-1 Off Site Habitat Baseline'!$D$1:$O$258,4,FALSE))))</f>
        <v/>
      </c>
      <c r="G75" s="520" t="str">
        <f>IF(E75="","",IF(ISNA(VLOOKUP($E75,'D-1 Off Site Habitat Baseline'!$D$1:$O$258,5,FALSE)),"",(VLOOKUP($E75,'D-1 Off Site Habitat Baseline'!$D$1:$O$258,5,FALSE))))</f>
        <v/>
      </c>
      <c r="H75" s="520" t="str">
        <f>IF(E75="","",IF(ISNA(VLOOKUP($E75,'D-1 Off Site Habitat Baseline'!$D$1:$O$258,6,FALSE)),"",(VLOOKUP($E75,'D-1 Off Site Habitat Baseline'!$D$1:$O$258,6,FALSE))))</f>
        <v/>
      </c>
      <c r="I75" s="520" t="str">
        <f>IF(E75="","",IF(ISNA(VLOOKUP($E75,'D-1 Off Site Habitat Baseline'!$D$1:$O$258,7,FALSE)),"",(VLOOKUP($E75,'D-1 Off Site Habitat Baseline'!$D$1:$O$258,7,FALSE))))</f>
        <v/>
      </c>
      <c r="J75" s="520" t="str">
        <f>IF(E75="","",IF(ISNA(VLOOKUP($E75,'D-1 Off Site Habitat Baseline'!$D$1:$O$258,8,FALSE)),"",(VLOOKUP($E75,'D-1 Off Site Habitat Baseline'!$D$1:$O$258,8,FALSE))))</f>
        <v/>
      </c>
      <c r="K75" s="520" t="str">
        <f>IF(E75="","",IF(ISNA(VLOOKUP($E75,'D-1 Off Site Habitat Baseline'!$D$1:$O$258,9,FALSE)),"",(VLOOKUP($E75,'D-1 Off Site Habitat Baseline'!$D$1:$O$258,9,FALSE))))</f>
        <v/>
      </c>
      <c r="L75" s="520" t="str">
        <f>IF(E75="","",IF(ISNA(VLOOKUP($E75,'D-1 Off Site Habitat Baseline'!$D$1:$O$258,11,FALSE)),"",(VLOOKUP($E75,'D-1 Off Site Habitat Baseline'!$D$1:$O$258,11,FALSE))))</f>
        <v/>
      </c>
      <c r="M75" s="520" t="str">
        <f>IF(E75="","",IF(ISNA(VLOOKUP($E75,'D-1 Off Site Habitat Baseline'!$D$1:$O$258,12,FALSE)),"",(VLOOKUP($E75,'D-1 Off Site Habitat Baseline'!$D$1:$O$258,12,FALSE))))</f>
        <v/>
      </c>
      <c r="N75" s="520" t="str">
        <f>IF(E75="","",IF(ISNA(VLOOKUP($E75,'D-1 Off Site Habitat Baseline'!$D$1:$X$258,14,FALSE)),"",(VLOOKUP($E75,'D-1 Off Site Habitat Baseline'!$D$1:$X$258,14,FALSE))))</f>
        <v/>
      </c>
      <c r="O75" s="524" t="str">
        <f>IF(E75="","",IF(ISNA(VLOOKUP($E75,'D-1 Off Site Habitat Baseline'!$D$1:$X$258,13,FALSE)),"",(VLOOKUP($E75,'D-1 Off Site Habitat Baseline'!$D$1:$X$258,13,FALSE))))</f>
        <v/>
      </c>
      <c r="P75" s="232" t="str">
        <f>IFERROR(INDEX('G-1 All Habitats'!$AG$3:$AG$15,MATCH(Q75,'G-1 All Habitats'!$AF$3:$AF$15,0)),"")</f>
        <v/>
      </c>
      <c r="Q75" s="228" t="str">
        <f t="shared" si="12"/>
        <v/>
      </c>
      <c r="R75" s="229" t="str">
        <f t="shared" si="13"/>
        <v/>
      </c>
      <c r="S75" s="233" t="str">
        <f>IFERROR(INDEX('G-1 All Habitats'!$B$3:$B$129,MATCH(R75,'G-1 All Habitats'!$A$3:$A$129,0)),"")</f>
        <v/>
      </c>
      <c r="T75" s="507" t="str">
        <f t="shared" si="5"/>
        <v/>
      </c>
      <c r="U75" s="524" t="str">
        <f t="shared" si="6"/>
        <v/>
      </c>
      <c r="V75" s="523" t="str">
        <f t="shared" si="2"/>
        <v/>
      </c>
      <c r="W75" s="520" t="str">
        <f>IF(S75="","",VLOOKUP(S75,'G-1 All Habitats'!$B$2:$M$129,10,FALSE))</f>
        <v/>
      </c>
      <c r="X75" s="520" t="str">
        <f>IFERROR(VLOOKUP(W75,'G-1 All Habitats'!$V$3:$W$7,2,FALSE),"")</f>
        <v/>
      </c>
      <c r="Y75" s="203"/>
      <c r="Z75" s="524" t="str">
        <f>IFERROR(INDEX('G-8 Condition Look up'!$A$3:$H$130,MATCH(S75,'G-8 Condition Look up'!$A$3:$A$130,0),MATCH(Y75,'G-8 Condition Look up'!$A$3:$H$3,0)),"")</f>
        <v/>
      </c>
      <c r="AA75" s="145"/>
      <c r="AB75" s="540" t="str">
        <f>IF(AA75="","",IF(VLOOKUP(AA75,'G-3 Multipliers'!$L$3:$N$6,2,FALSE)=0,"Spatial Data Missing ⚠",VLOOKUP(AA75,'G-3 Multipliers'!$L$3:$N$6,2,FALSE)))</f>
        <v/>
      </c>
      <c r="AC75" s="524" t="str">
        <f>IF(AA75="","",IF(VLOOKUP(AA75,'G-3 Multipliers'!$L$3:$N$6,3,FALSE)=0,"Spatial Data Missing ⚠",VLOOKUP(AA75,'G-3 Multipliers'!$L$3:$N$6,3,FALSE)))</f>
        <v/>
      </c>
      <c r="AD75" s="537" t="str">
        <f t="shared" si="3"/>
        <v/>
      </c>
      <c r="AE75" s="203"/>
      <c r="AF75" s="203"/>
      <c r="AG75" s="520" t="str">
        <f t="shared" si="7"/>
        <v/>
      </c>
      <c r="AH75" s="544" t="str">
        <f t="shared" si="8"/>
        <v/>
      </c>
      <c r="AI75" s="525" t="str">
        <f>IF(AH75="Check Data ⚠","Check Data ⚠",IFERROR(VLOOKUP(AH75,'G-4 Temporal multipliers'!$A$4:$C$36,3,FALSE),""))</f>
        <v/>
      </c>
      <c r="AJ75" s="537" t="str">
        <f>IF(S75="","",VLOOKUP(S75,'G-3 Multipliers'!$A$2:$E$129,4,FALSE))</f>
        <v/>
      </c>
      <c r="AK75" s="520" t="str">
        <f t="shared" si="9"/>
        <v/>
      </c>
      <c r="AL75" s="520" t="str">
        <f t="shared" si="10"/>
        <v/>
      </c>
      <c r="AM75" s="524" t="str">
        <f>IFERROR(IF(F75="","",IF(AH75="Check Data ⚠","Check Data ⚠",VLOOKUP(AL75, 'G-3 Multipliers'!$P$2:$Q$6,2,FALSE))),"")</f>
        <v/>
      </c>
      <c r="AN75" s="197"/>
      <c r="AO75" s="540" t="str">
        <f>IF(AN75="","",IF(VLOOKUP(AN75,'G-3 Multipliers'!$S$3:$T$9,2,FALSE)=0,"Spatial Data Missing ⚠",VLOOKUP(AN75,'G-3 Multipliers'!$S$3:$T$9,2,FALSE)))</f>
        <v/>
      </c>
      <c r="AP75" s="513" t="str">
        <f t="shared" si="11"/>
        <v/>
      </c>
      <c r="AQ75" s="231"/>
      <c r="AR75" s="150"/>
    </row>
    <row r="76" spans="1:44" x14ac:dyDescent="0.25">
      <c r="A76" s="31" t="str">
        <f>IF(E76="","",IF(ISNA(VLOOKUP($E76,'D-1 Off Site Habitat Baseline'!$D$1:$O$258,2,FALSE)),"",(VLOOKUP($E76,'D-1 Off Site Habitat Baseline'!$D$1:$O$258,2,FALSE))))</f>
        <v/>
      </c>
      <c r="B76" s="31" t="str">
        <f>IF(E76="","",IF(ISNA(VLOOKUP($E76,'D-1 Off Site Habitat Baseline'!$D$1:$O$258,3,FALSE)),"",(VLOOKUP($E76,'D-1 Off Site Habitat Baseline'!$D$1:$O$258,3,FALSE))))</f>
        <v/>
      </c>
      <c r="C76" s="31" t="str">
        <f>IFERROR(INDEX('G-8 Condition Look up'!$I$4:$I$130,MATCH(S76,'G-8 Condition Look up'!$A$4:$A$130,0)),"")</f>
        <v/>
      </c>
      <c r="E76" s="547" t="str">
        <f>'D-1 Off Site Habitat Baseline'!AL75</f>
        <v/>
      </c>
      <c r="F76" s="520" t="str">
        <f>IF(E76="","",IF(ISNA(VLOOKUP($E76,'D-1 Off Site Habitat Baseline'!$D$1:$O$258,4,FALSE)),"",(VLOOKUP($E76,'D-1 Off Site Habitat Baseline'!$D$1:$O$258,4,FALSE))))</f>
        <v/>
      </c>
      <c r="G76" s="520" t="str">
        <f>IF(E76="","",IF(ISNA(VLOOKUP($E76,'D-1 Off Site Habitat Baseline'!$D$1:$O$258,5,FALSE)),"",(VLOOKUP($E76,'D-1 Off Site Habitat Baseline'!$D$1:$O$258,5,FALSE))))</f>
        <v/>
      </c>
      <c r="H76" s="520" t="str">
        <f>IF(E76="","",IF(ISNA(VLOOKUP($E76,'D-1 Off Site Habitat Baseline'!$D$1:$O$258,6,FALSE)),"",(VLOOKUP($E76,'D-1 Off Site Habitat Baseline'!$D$1:$O$258,6,FALSE))))</f>
        <v/>
      </c>
      <c r="I76" s="520" t="str">
        <f>IF(E76="","",IF(ISNA(VLOOKUP($E76,'D-1 Off Site Habitat Baseline'!$D$1:$O$258,7,FALSE)),"",(VLOOKUP($E76,'D-1 Off Site Habitat Baseline'!$D$1:$O$258,7,FALSE))))</f>
        <v/>
      </c>
      <c r="J76" s="520" t="str">
        <f>IF(E76="","",IF(ISNA(VLOOKUP($E76,'D-1 Off Site Habitat Baseline'!$D$1:$O$258,8,FALSE)),"",(VLOOKUP($E76,'D-1 Off Site Habitat Baseline'!$D$1:$O$258,8,FALSE))))</f>
        <v/>
      </c>
      <c r="K76" s="520" t="str">
        <f>IF(E76="","",IF(ISNA(VLOOKUP($E76,'D-1 Off Site Habitat Baseline'!$D$1:$O$258,9,FALSE)),"",(VLOOKUP($E76,'D-1 Off Site Habitat Baseline'!$D$1:$O$258,9,FALSE))))</f>
        <v/>
      </c>
      <c r="L76" s="520" t="str">
        <f>IF(E76="","",IF(ISNA(VLOOKUP($E76,'D-1 Off Site Habitat Baseline'!$D$1:$O$258,11,FALSE)),"",(VLOOKUP($E76,'D-1 Off Site Habitat Baseline'!$D$1:$O$258,11,FALSE))))</f>
        <v/>
      </c>
      <c r="M76" s="520" t="str">
        <f>IF(E76="","",IF(ISNA(VLOOKUP($E76,'D-1 Off Site Habitat Baseline'!$D$1:$O$258,12,FALSE)),"",(VLOOKUP($E76,'D-1 Off Site Habitat Baseline'!$D$1:$O$258,12,FALSE))))</f>
        <v/>
      </c>
      <c r="N76" s="520" t="str">
        <f>IF(E76="","",IF(ISNA(VLOOKUP($E76,'D-1 Off Site Habitat Baseline'!$D$1:$X$258,14,FALSE)),"",(VLOOKUP($E76,'D-1 Off Site Habitat Baseline'!$D$1:$X$258,14,FALSE))))</f>
        <v/>
      </c>
      <c r="O76" s="524" t="str">
        <f>IF(E76="","",IF(ISNA(VLOOKUP($E76,'D-1 Off Site Habitat Baseline'!$D$1:$X$258,13,FALSE)),"",(VLOOKUP($E76,'D-1 Off Site Habitat Baseline'!$D$1:$X$258,13,FALSE))))</f>
        <v/>
      </c>
      <c r="P76" s="232" t="str">
        <f>IFERROR(INDEX('G-1 All Habitats'!$AG$3:$AG$15,MATCH(Q76,'G-1 All Habitats'!$AF$3:$AF$15,0)),"")</f>
        <v/>
      </c>
      <c r="Q76" s="228" t="str">
        <f t="shared" si="12"/>
        <v/>
      </c>
      <c r="R76" s="229" t="str">
        <f t="shared" si="13"/>
        <v/>
      </c>
      <c r="S76" s="233" t="str">
        <f>IFERROR(INDEX('G-1 All Habitats'!$B$3:$B$129,MATCH(R76,'G-1 All Habitats'!$A$3:$A$129,0)),"")</f>
        <v/>
      </c>
      <c r="T76" s="507" t="str">
        <f t="shared" si="5"/>
        <v/>
      </c>
      <c r="U76" s="524" t="str">
        <f t="shared" si="6"/>
        <v/>
      </c>
      <c r="V76" s="523" t="str">
        <f t="shared" ref="V76:V139" si="14">IF(S76="","",VLOOKUP(E76,BaselineHabOffsite,17,FALSE))</f>
        <v/>
      </c>
      <c r="W76" s="520" t="str">
        <f>IF(S76="","",VLOOKUP(S76,'G-1 All Habitats'!$B$2:$M$129,10,FALSE))</f>
        <v/>
      </c>
      <c r="X76" s="520" t="str">
        <f>IFERROR(VLOOKUP(W76,'G-1 All Habitats'!$V$3:$W$7,2,FALSE),"")</f>
        <v/>
      </c>
      <c r="Y76" s="203"/>
      <c r="Z76" s="524" t="str">
        <f>IFERROR(INDEX('G-8 Condition Look up'!$A$3:$H$130,MATCH(S76,'G-8 Condition Look up'!$A$3:$A$130,0),MATCH(Y76,'G-8 Condition Look up'!$A$3:$H$3,0)),"")</f>
        <v/>
      </c>
      <c r="AA76" s="145"/>
      <c r="AB76" s="540" t="str">
        <f>IF(AA76="","",IF(VLOOKUP(AA76,'G-3 Multipliers'!$L$3:$N$6,2,FALSE)=0,"Spatial Data Missing ⚠",VLOOKUP(AA76,'G-3 Multipliers'!$L$3:$N$6,2,FALSE)))</f>
        <v/>
      </c>
      <c r="AC76" s="524" t="str">
        <f>IF(AA76="","",IF(VLOOKUP(AA76,'G-3 Multipliers'!$L$3:$N$6,3,FALSE)=0,"Spatial Data Missing ⚠",VLOOKUP(AA76,'G-3 Multipliers'!$L$3:$N$6,3,FALSE)))</f>
        <v/>
      </c>
      <c r="AD76" s="537" t="str">
        <f t="shared" ref="AD76:AD139" si="15">IFERROR(IF(OR(LEFT(U76,5)="Error ▲",LEFT(T76,5)="Error ▲"),"Check Data ⚠",INDEX(EnhanceTemporal,MATCH(S76,EnhanceHabitat,0),MATCH(U76,EnhanceCondition,0))),"")</f>
        <v/>
      </c>
      <c r="AE76" s="203"/>
      <c r="AF76" s="203"/>
      <c r="AG76" s="520" t="str">
        <f t="shared" si="7"/>
        <v/>
      </c>
      <c r="AH76" s="544" t="str">
        <f t="shared" si="8"/>
        <v/>
      </c>
      <c r="AI76" s="525" t="str">
        <f>IF(AH76="Check Data ⚠","Check Data ⚠",IFERROR(VLOOKUP(AH76,'G-4 Temporal multipliers'!$A$4:$C$36,3,FALSE),""))</f>
        <v/>
      </c>
      <c r="AJ76" s="537" t="str">
        <f>IF(S76="","",VLOOKUP(S76,'G-3 Multipliers'!$A$2:$E$129,4,FALSE))</f>
        <v/>
      </c>
      <c r="AK76" s="520" t="str">
        <f t="shared" si="9"/>
        <v/>
      </c>
      <c r="AL76" s="520" t="str">
        <f t="shared" si="10"/>
        <v/>
      </c>
      <c r="AM76" s="524" t="str">
        <f>IFERROR(IF(F76="","",IF(AH76="Check Data ⚠","Check Data ⚠",VLOOKUP(AL76, 'G-3 Multipliers'!$P$2:$Q$6,2,FALSE))),"")</f>
        <v/>
      </c>
      <c r="AN76" s="197"/>
      <c r="AO76" s="540" t="str">
        <f>IF(AN76="","",IF(VLOOKUP(AN76,'G-3 Multipliers'!$S$3:$T$9,2,FALSE)=0,"Spatial Data Missing ⚠",VLOOKUP(AN76,'G-3 Multipliers'!$S$3:$T$9,2,FALSE)))</f>
        <v/>
      </c>
      <c r="AP76" s="513" t="str">
        <f t="shared" si="11"/>
        <v/>
      </c>
      <c r="AQ76" s="231"/>
      <c r="AR76" s="150"/>
    </row>
    <row r="77" spans="1:44" x14ac:dyDescent="0.25">
      <c r="A77" s="31" t="str">
        <f>IF(E77="","",IF(ISNA(VLOOKUP($E77,'D-1 Off Site Habitat Baseline'!$D$1:$O$258,2,FALSE)),"",(VLOOKUP($E77,'D-1 Off Site Habitat Baseline'!$D$1:$O$258,2,FALSE))))</f>
        <v/>
      </c>
      <c r="B77" s="31" t="str">
        <f>IF(E77="","",IF(ISNA(VLOOKUP($E77,'D-1 Off Site Habitat Baseline'!$D$1:$O$258,3,FALSE)),"",(VLOOKUP($E77,'D-1 Off Site Habitat Baseline'!$D$1:$O$258,3,FALSE))))</f>
        <v/>
      </c>
      <c r="C77" s="31" t="str">
        <f>IFERROR(INDEX('G-8 Condition Look up'!$I$4:$I$130,MATCH(S77,'G-8 Condition Look up'!$A$4:$A$130,0)),"")</f>
        <v/>
      </c>
      <c r="E77" s="547" t="str">
        <f>'D-1 Off Site Habitat Baseline'!AL76</f>
        <v/>
      </c>
      <c r="F77" s="520" t="str">
        <f>IF(E77="","",IF(ISNA(VLOOKUP($E77,'D-1 Off Site Habitat Baseline'!$D$1:$O$258,4,FALSE)),"",(VLOOKUP($E77,'D-1 Off Site Habitat Baseline'!$D$1:$O$258,4,FALSE))))</f>
        <v/>
      </c>
      <c r="G77" s="520" t="str">
        <f>IF(E77="","",IF(ISNA(VLOOKUP($E77,'D-1 Off Site Habitat Baseline'!$D$1:$O$258,5,FALSE)),"",(VLOOKUP($E77,'D-1 Off Site Habitat Baseline'!$D$1:$O$258,5,FALSE))))</f>
        <v/>
      </c>
      <c r="H77" s="520" t="str">
        <f>IF(E77="","",IF(ISNA(VLOOKUP($E77,'D-1 Off Site Habitat Baseline'!$D$1:$O$258,6,FALSE)),"",(VLOOKUP($E77,'D-1 Off Site Habitat Baseline'!$D$1:$O$258,6,FALSE))))</f>
        <v/>
      </c>
      <c r="I77" s="520" t="str">
        <f>IF(E77="","",IF(ISNA(VLOOKUP($E77,'D-1 Off Site Habitat Baseline'!$D$1:$O$258,7,FALSE)),"",(VLOOKUP($E77,'D-1 Off Site Habitat Baseline'!$D$1:$O$258,7,FALSE))))</f>
        <v/>
      </c>
      <c r="J77" s="520" t="str">
        <f>IF(E77="","",IF(ISNA(VLOOKUP($E77,'D-1 Off Site Habitat Baseline'!$D$1:$O$258,8,FALSE)),"",(VLOOKUP($E77,'D-1 Off Site Habitat Baseline'!$D$1:$O$258,8,FALSE))))</f>
        <v/>
      </c>
      <c r="K77" s="520" t="str">
        <f>IF(E77="","",IF(ISNA(VLOOKUP($E77,'D-1 Off Site Habitat Baseline'!$D$1:$O$258,9,FALSE)),"",(VLOOKUP($E77,'D-1 Off Site Habitat Baseline'!$D$1:$O$258,9,FALSE))))</f>
        <v/>
      </c>
      <c r="L77" s="520" t="str">
        <f>IF(E77="","",IF(ISNA(VLOOKUP($E77,'D-1 Off Site Habitat Baseline'!$D$1:$O$258,11,FALSE)),"",(VLOOKUP($E77,'D-1 Off Site Habitat Baseline'!$D$1:$O$258,11,FALSE))))</f>
        <v/>
      </c>
      <c r="M77" s="520" t="str">
        <f>IF(E77="","",IF(ISNA(VLOOKUP($E77,'D-1 Off Site Habitat Baseline'!$D$1:$O$258,12,FALSE)),"",(VLOOKUP($E77,'D-1 Off Site Habitat Baseline'!$D$1:$O$258,12,FALSE))))</f>
        <v/>
      </c>
      <c r="N77" s="520" t="str">
        <f>IF(E77="","",IF(ISNA(VLOOKUP($E77,'D-1 Off Site Habitat Baseline'!$D$1:$X$258,14,FALSE)),"",(VLOOKUP($E77,'D-1 Off Site Habitat Baseline'!$D$1:$X$258,14,FALSE))))</f>
        <v/>
      </c>
      <c r="O77" s="524" t="str">
        <f>IF(E77="","",IF(ISNA(VLOOKUP($E77,'D-1 Off Site Habitat Baseline'!$D$1:$X$258,13,FALSE)),"",(VLOOKUP($E77,'D-1 Off Site Habitat Baseline'!$D$1:$X$258,13,FALSE))))</f>
        <v/>
      </c>
      <c r="P77" s="232" t="str">
        <f>IFERROR(INDEX('G-1 All Habitats'!$AG$3:$AG$15,MATCH(Q77,'G-1 All Habitats'!$AF$3:$AF$15,0)),"")</f>
        <v/>
      </c>
      <c r="Q77" s="228" t="str">
        <f t="shared" si="12"/>
        <v/>
      </c>
      <c r="R77" s="229" t="str">
        <f t="shared" si="13"/>
        <v/>
      </c>
      <c r="S77" s="233" t="str">
        <f>IFERROR(INDEX('G-1 All Habitats'!$B$3:$B$129,MATCH(R77,'G-1 All Habitats'!$A$3:$A$129,0)),"")</f>
        <v/>
      </c>
      <c r="T77" s="507" t="str">
        <f t="shared" ref="T77:T140" si="16">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524" t="str">
        <f t="shared" ref="U77:U140" si="17">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23" t="str">
        <f t="shared" si="14"/>
        <v/>
      </c>
      <c r="W77" s="520" t="str">
        <f>IF(S77="","",VLOOKUP(S77,'G-1 All Habitats'!$B$2:$M$129,10,FALSE))</f>
        <v/>
      </c>
      <c r="X77" s="520" t="str">
        <f>IFERROR(VLOOKUP(W77,'G-1 All Habitats'!$V$3:$W$7,2,FALSE),"")</f>
        <v/>
      </c>
      <c r="Y77" s="203"/>
      <c r="Z77" s="524" t="str">
        <f>IFERROR(INDEX('G-8 Condition Look up'!$A$3:$H$130,MATCH(S77,'G-8 Condition Look up'!$A$3:$A$130,0),MATCH(Y77,'G-8 Condition Look up'!$A$3:$H$3,0)),"")</f>
        <v/>
      </c>
      <c r="AA77" s="145"/>
      <c r="AB77" s="540" t="str">
        <f>IF(AA77="","",IF(VLOOKUP(AA77,'G-3 Multipliers'!$L$3:$N$6,2,FALSE)=0,"Spatial Data Missing ⚠",VLOOKUP(AA77,'G-3 Multipliers'!$L$3:$N$6,2,FALSE)))</f>
        <v/>
      </c>
      <c r="AC77" s="524" t="str">
        <f>IF(AA77="","",IF(VLOOKUP(AA77,'G-3 Multipliers'!$L$3:$N$6,3,FALSE)=0,"Spatial Data Missing ⚠",VLOOKUP(AA77,'G-3 Multipliers'!$L$3:$N$6,3,FALSE)))</f>
        <v/>
      </c>
      <c r="AD77" s="537" t="str">
        <f t="shared" si="15"/>
        <v/>
      </c>
      <c r="AE77" s="203"/>
      <c r="AF77" s="203"/>
      <c r="AG77" s="520" t="str">
        <f t="shared" ref="AG77:AG140" si="18">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44" t="str">
        <f t="shared" ref="AH77:AH140" si="19">IF(LEFT(AG77,5)="Error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525" t="str">
        <f>IF(AH77="Check Data ⚠","Check Data ⚠",IFERROR(VLOOKUP(AH77,'G-4 Temporal multipliers'!$A$4:$C$36,3,FALSE),""))</f>
        <v/>
      </c>
      <c r="AJ77" s="537" t="str">
        <f>IF(S77="","",VLOOKUP(S77,'G-3 Multipliers'!$A$2:$E$129,4,FALSE))</f>
        <v/>
      </c>
      <c r="AK77" s="520" t="str">
        <f t="shared" ref="AK77:AK140" si="20">IF(E77="","",IF(AG77="Check details - Is there evidence that habitat has reached target condition? ⚠","Low Difficulty - only applicable if all habitat created before losses","Standard difficulty applied"))</f>
        <v/>
      </c>
      <c r="AL77" s="520" t="str">
        <f t="shared" ref="AL77:AL140" si="21">(IF(AND(AK77="Standard difficulty applied",AD77&gt;AE77),AJ77,IF(AND(AK77="Low Difficulty - only applicable if all habitat created before losses",AE77&gt;=AD77),"Low", AJ77)))</f>
        <v/>
      </c>
      <c r="AM77" s="524" t="str">
        <f>IFERROR(IF(F77="","",IF(AH77="Check Data ⚠","Check Data ⚠",VLOOKUP(AL77, 'G-3 Multipliers'!$P$2:$Q$6,2,FALSE))),"")</f>
        <v/>
      </c>
      <c r="AN77" s="197"/>
      <c r="AO77" s="540" t="str">
        <f>IF(AN77="","",IF(VLOOKUP(AN77,'G-3 Multipliers'!$S$3:$T$9,2,FALSE)=0,"Spatial Data Missing ⚠",VLOOKUP(AN77,'G-3 Multipliers'!$S$3:$T$9,2,FALSE)))</f>
        <v/>
      </c>
      <c r="AP77" s="513" t="str">
        <f t="shared" ref="AP77:AP140" si="22">IFERROR(((((V77*X77*Z77)-(V77*I77*K77))*(AM77*AI77))+(V77*I77*K77))*(AC77)*AO77,"")</f>
        <v/>
      </c>
      <c r="AQ77" s="231"/>
      <c r="AR77" s="150"/>
    </row>
    <row r="78" spans="1:44" x14ac:dyDescent="0.25">
      <c r="A78" s="31" t="str">
        <f>IF(E78="","",IF(ISNA(VLOOKUP($E78,'D-1 Off Site Habitat Baseline'!$D$1:$O$258,2,FALSE)),"",(VLOOKUP($E78,'D-1 Off Site Habitat Baseline'!$D$1:$O$258,2,FALSE))))</f>
        <v/>
      </c>
      <c r="B78" s="31" t="str">
        <f>IF(E78="","",IF(ISNA(VLOOKUP($E78,'D-1 Off Site Habitat Baseline'!$D$1:$O$258,3,FALSE)),"",(VLOOKUP($E78,'D-1 Off Site Habitat Baseline'!$D$1:$O$258,3,FALSE))))</f>
        <v/>
      </c>
      <c r="C78" s="31" t="str">
        <f>IFERROR(INDEX('G-8 Condition Look up'!$I$4:$I$130,MATCH(S78,'G-8 Condition Look up'!$A$4:$A$130,0)),"")</f>
        <v/>
      </c>
      <c r="E78" s="547" t="str">
        <f>'D-1 Off Site Habitat Baseline'!AL77</f>
        <v/>
      </c>
      <c r="F78" s="520" t="str">
        <f>IF(E78="","",IF(ISNA(VLOOKUP($E78,'D-1 Off Site Habitat Baseline'!$D$1:$O$258,4,FALSE)),"",(VLOOKUP($E78,'D-1 Off Site Habitat Baseline'!$D$1:$O$258,4,FALSE))))</f>
        <v/>
      </c>
      <c r="G78" s="520" t="str">
        <f>IF(E78="","",IF(ISNA(VLOOKUP($E78,'D-1 Off Site Habitat Baseline'!$D$1:$O$258,5,FALSE)),"",(VLOOKUP($E78,'D-1 Off Site Habitat Baseline'!$D$1:$O$258,5,FALSE))))</f>
        <v/>
      </c>
      <c r="H78" s="520" t="str">
        <f>IF(E78="","",IF(ISNA(VLOOKUP($E78,'D-1 Off Site Habitat Baseline'!$D$1:$O$258,6,FALSE)),"",(VLOOKUP($E78,'D-1 Off Site Habitat Baseline'!$D$1:$O$258,6,FALSE))))</f>
        <v/>
      </c>
      <c r="I78" s="520" t="str">
        <f>IF(E78="","",IF(ISNA(VLOOKUP($E78,'D-1 Off Site Habitat Baseline'!$D$1:$O$258,7,FALSE)),"",(VLOOKUP($E78,'D-1 Off Site Habitat Baseline'!$D$1:$O$258,7,FALSE))))</f>
        <v/>
      </c>
      <c r="J78" s="520" t="str">
        <f>IF(E78="","",IF(ISNA(VLOOKUP($E78,'D-1 Off Site Habitat Baseline'!$D$1:$O$258,8,FALSE)),"",(VLOOKUP($E78,'D-1 Off Site Habitat Baseline'!$D$1:$O$258,8,FALSE))))</f>
        <v/>
      </c>
      <c r="K78" s="520" t="str">
        <f>IF(E78="","",IF(ISNA(VLOOKUP($E78,'D-1 Off Site Habitat Baseline'!$D$1:$O$258,9,FALSE)),"",(VLOOKUP($E78,'D-1 Off Site Habitat Baseline'!$D$1:$O$258,9,FALSE))))</f>
        <v/>
      </c>
      <c r="L78" s="520" t="str">
        <f>IF(E78="","",IF(ISNA(VLOOKUP($E78,'D-1 Off Site Habitat Baseline'!$D$1:$O$258,11,FALSE)),"",(VLOOKUP($E78,'D-1 Off Site Habitat Baseline'!$D$1:$O$258,11,FALSE))))</f>
        <v/>
      </c>
      <c r="M78" s="520" t="str">
        <f>IF(E78="","",IF(ISNA(VLOOKUP($E78,'D-1 Off Site Habitat Baseline'!$D$1:$O$258,12,FALSE)),"",(VLOOKUP($E78,'D-1 Off Site Habitat Baseline'!$D$1:$O$258,12,FALSE))))</f>
        <v/>
      </c>
      <c r="N78" s="520" t="str">
        <f>IF(E78="","",IF(ISNA(VLOOKUP($E78,'D-1 Off Site Habitat Baseline'!$D$1:$X$258,14,FALSE)),"",(VLOOKUP($E78,'D-1 Off Site Habitat Baseline'!$D$1:$X$258,14,FALSE))))</f>
        <v/>
      </c>
      <c r="O78" s="524" t="str">
        <f>IF(E78="","",IF(ISNA(VLOOKUP($E78,'D-1 Off Site Habitat Baseline'!$D$1:$X$258,13,FALSE)),"",(VLOOKUP($E78,'D-1 Off Site Habitat Baseline'!$D$1:$X$258,13,FALSE))))</f>
        <v/>
      </c>
      <c r="P78" s="232" t="str">
        <f>IFERROR(INDEX('G-1 All Habitats'!$AG$3:$AG$15,MATCH(Q78,'G-1 All Habitats'!$AF$3:$AF$15,0)),"")</f>
        <v/>
      </c>
      <c r="Q78" s="228" t="str">
        <f t="shared" si="12"/>
        <v/>
      </c>
      <c r="R78" s="229" t="str">
        <f t="shared" si="13"/>
        <v/>
      </c>
      <c r="S78" s="233" t="str">
        <f>IFERROR(INDEX('G-1 All Habitats'!$B$3:$B$129,MATCH(R78,'G-1 All Habitats'!$A$3:$A$129,0)),"")</f>
        <v/>
      </c>
      <c r="T78" s="507" t="str">
        <f t="shared" si="16"/>
        <v/>
      </c>
      <c r="U78" s="524" t="str">
        <f t="shared" si="17"/>
        <v/>
      </c>
      <c r="V78" s="523" t="str">
        <f t="shared" si="14"/>
        <v/>
      </c>
      <c r="W78" s="520" t="str">
        <f>IF(S78="","",VLOOKUP(S78,'G-1 All Habitats'!$B$2:$M$129,10,FALSE))</f>
        <v/>
      </c>
      <c r="X78" s="520" t="str">
        <f>IFERROR(VLOOKUP(W78,'G-1 All Habitats'!$V$3:$W$7,2,FALSE),"")</f>
        <v/>
      </c>
      <c r="Y78" s="203"/>
      <c r="Z78" s="524" t="str">
        <f>IFERROR(INDEX('G-8 Condition Look up'!$A$3:$H$130,MATCH(S78,'G-8 Condition Look up'!$A$3:$A$130,0),MATCH(Y78,'G-8 Condition Look up'!$A$3:$H$3,0)),"")</f>
        <v/>
      </c>
      <c r="AA78" s="145"/>
      <c r="AB78" s="540" t="str">
        <f>IF(AA78="","",IF(VLOOKUP(AA78,'G-3 Multipliers'!$L$3:$N$6,2,FALSE)=0,"Spatial Data Missing ⚠",VLOOKUP(AA78,'G-3 Multipliers'!$L$3:$N$6,2,FALSE)))</f>
        <v/>
      </c>
      <c r="AC78" s="524" t="str">
        <f>IF(AA78="","",IF(VLOOKUP(AA78,'G-3 Multipliers'!$L$3:$N$6,3,FALSE)=0,"Spatial Data Missing ⚠",VLOOKUP(AA78,'G-3 Multipliers'!$L$3:$N$6,3,FALSE)))</f>
        <v/>
      </c>
      <c r="AD78" s="537" t="str">
        <f t="shared" si="15"/>
        <v/>
      </c>
      <c r="AE78" s="203"/>
      <c r="AF78" s="203"/>
      <c r="AG78" s="520" t="str">
        <f t="shared" si="18"/>
        <v/>
      </c>
      <c r="AH78" s="544" t="str">
        <f t="shared" si="19"/>
        <v/>
      </c>
      <c r="AI78" s="525" t="str">
        <f>IF(AH78="Check Data ⚠","Check Data ⚠",IFERROR(VLOOKUP(AH78,'G-4 Temporal multipliers'!$A$4:$C$36,3,FALSE),""))</f>
        <v/>
      </c>
      <c r="AJ78" s="537" t="str">
        <f>IF(S78="","",VLOOKUP(S78,'G-3 Multipliers'!$A$2:$E$129,4,FALSE))</f>
        <v/>
      </c>
      <c r="AK78" s="520" t="str">
        <f t="shared" si="20"/>
        <v/>
      </c>
      <c r="AL78" s="520" t="str">
        <f t="shared" si="21"/>
        <v/>
      </c>
      <c r="AM78" s="524" t="str">
        <f>IFERROR(IF(F78="","",IF(AH78="Check Data ⚠","Check Data ⚠",VLOOKUP(AL78, 'G-3 Multipliers'!$P$2:$Q$6,2,FALSE))),"")</f>
        <v/>
      </c>
      <c r="AN78" s="197"/>
      <c r="AO78" s="540" t="str">
        <f>IF(AN78="","",IF(VLOOKUP(AN78,'G-3 Multipliers'!$S$3:$T$9,2,FALSE)=0,"Spatial Data Missing ⚠",VLOOKUP(AN78,'G-3 Multipliers'!$S$3:$T$9,2,FALSE)))</f>
        <v/>
      </c>
      <c r="AP78" s="513" t="str">
        <f t="shared" si="22"/>
        <v/>
      </c>
      <c r="AQ78" s="231"/>
      <c r="AR78" s="150"/>
    </row>
    <row r="79" spans="1:44" x14ac:dyDescent="0.25">
      <c r="A79" s="31" t="str">
        <f>IF(E79="","",IF(ISNA(VLOOKUP($E79,'D-1 Off Site Habitat Baseline'!$D$1:$O$258,2,FALSE)),"",(VLOOKUP($E79,'D-1 Off Site Habitat Baseline'!$D$1:$O$258,2,FALSE))))</f>
        <v/>
      </c>
      <c r="B79" s="31" t="str">
        <f>IF(E79="","",IF(ISNA(VLOOKUP($E79,'D-1 Off Site Habitat Baseline'!$D$1:$O$258,3,FALSE)),"",(VLOOKUP($E79,'D-1 Off Site Habitat Baseline'!$D$1:$O$258,3,FALSE))))</f>
        <v/>
      </c>
      <c r="C79" s="31" t="str">
        <f>IFERROR(INDEX('G-8 Condition Look up'!$I$4:$I$130,MATCH(S79,'G-8 Condition Look up'!$A$4:$A$130,0)),"")</f>
        <v/>
      </c>
      <c r="E79" s="547" t="str">
        <f>'D-1 Off Site Habitat Baseline'!AL78</f>
        <v/>
      </c>
      <c r="F79" s="520" t="str">
        <f>IF(E79="","",IF(ISNA(VLOOKUP($E79,'D-1 Off Site Habitat Baseline'!$D$1:$O$258,4,FALSE)),"",(VLOOKUP($E79,'D-1 Off Site Habitat Baseline'!$D$1:$O$258,4,FALSE))))</f>
        <v/>
      </c>
      <c r="G79" s="520" t="str">
        <f>IF(E79="","",IF(ISNA(VLOOKUP($E79,'D-1 Off Site Habitat Baseline'!$D$1:$O$258,5,FALSE)),"",(VLOOKUP($E79,'D-1 Off Site Habitat Baseline'!$D$1:$O$258,5,FALSE))))</f>
        <v/>
      </c>
      <c r="H79" s="520" t="str">
        <f>IF(E79="","",IF(ISNA(VLOOKUP($E79,'D-1 Off Site Habitat Baseline'!$D$1:$O$258,6,FALSE)),"",(VLOOKUP($E79,'D-1 Off Site Habitat Baseline'!$D$1:$O$258,6,FALSE))))</f>
        <v/>
      </c>
      <c r="I79" s="520" t="str">
        <f>IF(E79="","",IF(ISNA(VLOOKUP($E79,'D-1 Off Site Habitat Baseline'!$D$1:$O$258,7,FALSE)),"",(VLOOKUP($E79,'D-1 Off Site Habitat Baseline'!$D$1:$O$258,7,FALSE))))</f>
        <v/>
      </c>
      <c r="J79" s="520" t="str">
        <f>IF(E79="","",IF(ISNA(VLOOKUP($E79,'D-1 Off Site Habitat Baseline'!$D$1:$O$258,8,FALSE)),"",(VLOOKUP($E79,'D-1 Off Site Habitat Baseline'!$D$1:$O$258,8,FALSE))))</f>
        <v/>
      </c>
      <c r="K79" s="520" t="str">
        <f>IF(E79="","",IF(ISNA(VLOOKUP($E79,'D-1 Off Site Habitat Baseline'!$D$1:$O$258,9,FALSE)),"",(VLOOKUP($E79,'D-1 Off Site Habitat Baseline'!$D$1:$O$258,9,FALSE))))</f>
        <v/>
      </c>
      <c r="L79" s="520" t="str">
        <f>IF(E79="","",IF(ISNA(VLOOKUP($E79,'D-1 Off Site Habitat Baseline'!$D$1:$O$258,11,FALSE)),"",(VLOOKUP($E79,'D-1 Off Site Habitat Baseline'!$D$1:$O$258,11,FALSE))))</f>
        <v/>
      </c>
      <c r="M79" s="520" t="str">
        <f>IF(E79="","",IF(ISNA(VLOOKUP($E79,'D-1 Off Site Habitat Baseline'!$D$1:$O$258,12,FALSE)),"",(VLOOKUP($E79,'D-1 Off Site Habitat Baseline'!$D$1:$O$258,12,FALSE))))</f>
        <v/>
      </c>
      <c r="N79" s="520" t="str">
        <f>IF(E79="","",IF(ISNA(VLOOKUP($E79,'D-1 Off Site Habitat Baseline'!$D$1:$X$258,14,FALSE)),"",(VLOOKUP($E79,'D-1 Off Site Habitat Baseline'!$D$1:$X$258,14,FALSE))))</f>
        <v/>
      </c>
      <c r="O79" s="524" t="str">
        <f>IF(E79="","",IF(ISNA(VLOOKUP($E79,'D-1 Off Site Habitat Baseline'!$D$1:$X$258,13,FALSE)),"",(VLOOKUP($E79,'D-1 Off Site Habitat Baseline'!$D$1:$X$258,13,FALSE))))</f>
        <v/>
      </c>
      <c r="P79" s="232" t="str">
        <f>IFERROR(INDEX('G-1 All Habitats'!$AG$3:$AG$15,MATCH(Q79,'G-1 All Habitats'!$AF$3:$AF$15,0)),"")</f>
        <v/>
      </c>
      <c r="Q79" s="228" t="str">
        <f t="shared" ref="Q79:Q142" si="23">A79</f>
        <v/>
      </c>
      <c r="R79" s="229" t="str">
        <f t="shared" ref="R79:R142" si="24">B79</f>
        <v/>
      </c>
      <c r="S79" s="233" t="str">
        <f>IFERROR(INDEX('G-1 All Habitats'!$B$3:$B$129,MATCH(R79,'G-1 All Habitats'!$A$3:$A$129,0)),"")</f>
        <v/>
      </c>
      <c r="T79" s="507" t="str">
        <f t="shared" si="16"/>
        <v/>
      </c>
      <c r="U79" s="524" t="str">
        <f t="shared" si="17"/>
        <v/>
      </c>
      <c r="V79" s="523" t="str">
        <f t="shared" si="14"/>
        <v/>
      </c>
      <c r="W79" s="520" t="str">
        <f>IF(S79="","",VLOOKUP(S79,'G-1 All Habitats'!$B$2:$M$129,10,FALSE))</f>
        <v/>
      </c>
      <c r="X79" s="520" t="str">
        <f>IFERROR(VLOOKUP(W79,'G-1 All Habitats'!$V$3:$W$7,2,FALSE),"")</f>
        <v/>
      </c>
      <c r="Y79" s="203"/>
      <c r="Z79" s="524" t="str">
        <f>IFERROR(INDEX('G-8 Condition Look up'!$A$3:$H$130,MATCH(S79,'G-8 Condition Look up'!$A$3:$A$130,0),MATCH(Y79,'G-8 Condition Look up'!$A$3:$H$3,0)),"")</f>
        <v/>
      </c>
      <c r="AA79" s="145"/>
      <c r="AB79" s="540" t="str">
        <f>IF(AA79="","",IF(VLOOKUP(AA79,'G-3 Multipliers'!$L$3:$N$6,2,FALSE)=0,"Spatial Data Missing ⚠",VLOOKUP(AA79,'G-3 Multipliers'!$L$3:$N$6,2,FALSE)))</f>
        <v/>
      </c>
      <c r="AC79" s="524" t="str">
        <f>IF(AA79="","",IF(VLOOKUP(AA79,'G-3 Multipliers'!$L$3:$N$6,3,FALSE)=0,"Spatial Data Missing ⚠",VLOOKUP(AA79,'G-3 Multipliers'!$L$3:$N$6,3,FALSE)))</f>
        <v/>
      </c>
      <c r="AD79" s="537" t="str">
        <f t="shared" si="15"/>
        <v/>
      </c>
      <c r="AE79" s="203"/>
      <c r="AF79" s="203"/>
      <c r="AG79" s="520" t="str">
        <f t="shared" si="18"/>
        <v/>
      </c>
      <c r="AH79" s="544" t="str">
        <f t="shared" si="19"/>
        <v/>
      </c>
      <c r="AI79" s="525" t="str">
        <f>IF(AH79="Check Data ⚠","Check Data ⚠",IFERROR(VLOOKUP(AH79,'G-4 Temporal multipliers'!$A$4:$C$36,3,FALSE),""))</f>
        <v/>
      </c>
      <c r="AJ79" s="537" t="str">
        <f>IF(S79="","",VLOOKUP(S79,'G-3 Multipliers'!$A$2:$E$129,4,FALSE))</f>
        <v/>
      </c>
      <c r="AK79" s="520" t="str">
        <f t="shared" si="20"/>
        <v/>
      </c>
      <c r="AL79" s="520" t="str">
        <f t="shared" si="21"/>
        <v/>
      </c>
      <c r="AM79" s="524" t="str">
        <f>IFERROR(IF(F79="","",IF(AH79="Check Data ⚠","Check Data ⚠",VLOOKUP(AL79, 'G-3 Multipliers'!$P$2:$Q$6,2,FALSE))),"")</f>
        <v/>
      </c>
      <c r="AN79" s="197"/>
      <c r="AO79" s="540" t="str">
        <f>IF(AN79="","",IF(VLOOKUP(AN79,'G-3 Multipliers'!$S$3:$T$9,2,FALSE)=0,"Spatial Data Missing ⚠",VLOOKUP(AN79,'G-3 Multipliers'!$S$3:$T$9,2,FALSE)))</f>
        <v/>
      </c>
      <c r="AP79" s="513" t="str">
        <f t="shared" si="22"/>
        <v/>
      </c>
      <c r="AQ79" s="231"/>
      <c r="AR79" s="150"/>
    </row>
    <row r="80" spans="1:44" x14ac:dyDescent="0.25">
      <c r="A80" s="31" t="str">
        <f>IF(E80="","",IF(ISNA(VLOOKUP($E80,'D-1 Off Site Habitat Baseline'!$D$1:$O$258,2,FALSE)),"",(VLOOKUP($E80,'D-1 Off Site Habitat Baseline'!$D$1:$O$258,2,FALSE))))</f>
        <v/>
      </c>
      <c r="B80" s="31" t="str">
        <f>IF(E80="","",IF(ISNA(VLOOKUP($E80,'D-1 Off Site Habitat Baseline'!$D$1:$O$258,3,FALSE)),"",(VLOOKUP($E80,'D-1 Off Site Habitat Baseline'!$D$1:$O$258,3,FALSE))))</f>
        <v/>
      </c>
      <c r="C80" s="31" t="str">
        <f>IFERROR(INDEX('G-8 Condition Look up'!$I$4:$I$130,MATCH(S80,'G-8 Condition Look up'!$A$4:$A$130,0)),"")</f>
        <v/>
      </c>
      <c r="E80" s="547" t="str">
        <f>'D-1 Off Site Habitat Baseline'!AL79</f>
        <v/>
      </c>
      <c r="F80" s="520" t="str">
        <f>IF(E80="","",IF(ISNA(VLOOKUP($E80,'D-1 Off Site Habitat Baseline'!$D$1:$O$258,4,FALSE)),"",(VLOOKUP($E80,'D-1 Off Site Habitat Baseline'!$D$1:$O$258,4,FALSE))))</f>
        <v/>
      </c>
      <c r="G80" s="520" t="str">
        <f>IF(E80="","",IF(ISNA(VLOOKUP($E80,'D-1 Off Site Habitat Baseline'!$D$1:$O$258,5,FALSE)),"",(VLOOKUP($E80,'D-1 Off Site Habitat Baseline'!$D$1:$O$258,5,FALSE))))</f>
        <v/>
      </c>
      <c r="H80" s="520" t="str">
        <f>IF(E80="","",IF(ISNA(VLOOKUP($E80,'D-1 Off Site Habitat Baseline'!$D$1:$O$258,6,FALSE)),"",(VLOOKUP($E80,'D-1 Off Site Habitat Baseline'!$D$1:$O$258,6,FALSE))))</f>
        <v/>
      </c>
      <c r="I80" s="520" t="str">
        <f>IF(E80="","",IF(ISNA(VLOOKUP($E80,'D-1 Off Site Habitat Baseline'!$D$1:$O$258,7,FALSE)),"",(VLOOKUP($E80,'D-1 Off Site Habitat Baseline'!$D$1:$O$258,7,FALSE))))</f>
        <v/>
      </c>
      <c r="J80" s="520" t="str">
        <f>IF(E80="","",IF(ISNA(VLOOKUP($E80,'D-1 Off Site Habitat Baseline'!$D$1:$O$258,8,FALSE)),"",(VLOOKUP($E80,'D-1 Off Site Habitat Baseline'!$D$1:$O$258,8,FALSE))))</f>
        <v/>
      </c>
      <c r="K80" s="520" t="str">
        <f>IF(E80="","",IF(ISNA(VLOOKUP($E80,'D-1 Off Site Habitat Baseline'!$D$1:$O$258,9,FALSE)),"",(VLOOKUP($E80,'D-1 Off Site Habitat Baseline'!$D$1:$O$258,9,FALSE))))</f>
        <v/>
      </c>
      <c r="L80" s="520" t="str">
        <f>IF(E80="","",IF(ISNA(VLOOKUP($E80,'D-1 Off Site Habitat Baseline'!$D$1:$O$258,11,FALSE)),"",(VLOOKUP($E80,'D-1 Off Site Habitat Baseline'!$D$1:$O$258,11,FALSE))))</f>
        <v/>
      </c>
      <c r="M80" s="520" t="str">
        <f>IF(E80="","",IF(ISNA(VLOOKUP($E80,'D-1 Off Site Habitat Baseline'!$D$1:$O$258,12,FALSE)),"",(VLOOKUP($E80,'D-1 Off Site Habitat Baseline'!$D$1:$O$258,12,FALSE))))</f>
        <v/>
      </c>
      <c r="N80" s="520" t="str">
        <f>IF(E80="","",IF(ISNA(VLOOKUP($E80,'D-1 Off Site Habitat Baseline'!$D$1:$X$258,14,FALSE)),"",(VLOOKUP($E80,'D-1 Off Site Habitat Baseline'!$D$1:$X$258,14,FALSE))))</f>
        <v/>
      </c>
      <c r="O80" s="524" t="str">
        <f>IF(E80="","",IF(ISNA(VLOOKUP($E80,'D-1 Off Site Habitat Baseline'!$D$1:$X$258,13,FALSE)),"",(VLOOKUP($E80,'D-1 Off Site Habitat Baseline'!$D$1:$X$258,13,FALSE))))</f>
        <v/>
      </c>
      <c r="P80" s="232" t="str">
        <f>IFERROR(INDEX('G-1 All Habitats'!$AG$3:$AG$15,MATCH(Q80,'G-1 All Habitats'!$AF$3:$AF$15,0)),"")</f>
        <v/>
      </c>
      <c r="Q80" s="228" t="str">
        <f t="shared" si="23"/>
        <v/>
      </c>
      <c r="R80" s="229" t="str">
        <f t="shared" si="24"/>
        <v/>
      </c>
      <c r="S80" s="233" t="str">
        <f>IFERROR(INDEX('G-1 All Habitats'!$B$3:$B$129,MATCH(R80,'G-1 All Habitats'!$A$3:$A$129,0)),"")</f>
        <v/>
      </c>
      <c r="T80" s="507" t="str">
        <f t="shared" si="16"/>
        <v/>
      </c>
      <c r="U80" s="524" t="str">
        <f t="shared" si="17"/>
        <v/>
      </c>
      <c r="V80" s="523" t="str">
        <f t="shared" si="14"/>
        <v/>
      </c>
      <c r="W80" s="520" t="str">
        <f>IF(S80="","",VLOOKUP(S80,'G-1 All Habitats'!$B$2:$M$129,10,FALSE))</f>
        <v/>
      </c>
      <c r="X80" s="520" t="str">
        <f>IFERROR(VLOOKUP(W80,'G-1 All Habitats'!$V$3:$W$7,2,FALSE),"")</f>
        <v/>
      </c>
      <c r="Y80" s="203"/>
      <c r="Z80" s="524" t="str">
        <f>IFERROR(INDEX('G-8 Condition Look up'!$A$3:$H$130,MATCH(S80,'G-8 Condition Look up'!$A$3:$A$130,0),MATCH(Y80,'G-8 Condition Look up'!$A$3:$H$3,0)),"")</f>
        <v/>
      </c>
      <c r="AA80" s="145"/>
      <c r="AB80" s="540" t="str">
        <f>IF(AA80="","",IF(VLOOKUP(AA80,'G-3 Multipliers'!$L$3:$N$6,2,FALSE)=0,"Spatial Data Missing ⚠",VLOOKUP(AA80,'G-3 Multipliers'!$L$3:$N$6,2,FALSE)))</f>
        <v/>
      </c>
      <c r="AC80" s="524" t="str">
        <f>IF(AA80="","",IF(VLOOKUP(AA80,'G-3 Multipliers'!$L$3:$N$6,3,FALSE)=0,"Spatial Data Missing ⚠",VLOOKUP(AA80,'G-3 Multipliers'!$L$3:$N$6,3,FALSE)))</f>
        <v/>
      </c>
      <c r="AD80" s="537" t="str">
        <f t="shared" si="15"/>
        <v/>
      </c>
      <c r="AE80" s="203"/>
      <c r="AF80" s="203"/>
      <c r="AG80" s="520" t="str">
        <f t="shared" si="18"/>
        <v/>
      </c>
      <c r="AH80" s="544" t="str">
        <f t="shared" si="19"/>
        <v/>
      </c>
      <c r="AI80" s="525" t="str">
        <f>IF(AH80="Check Data ⚠","Check Data ⚠",IFERROR(VLOOKUP(AH80,'G-4 Temporal multipliers'!$A$4:$C$36,3,FALSE),""))</f>
        <v/>
      </c>
      <c r="AJ80" s="537" t="str">
        <f>IF(S80="","",VLOOKUP(S80,'G-3 Multipliers'!$A$2:$E$129,4,FALSE))</f>
        <v/>
      </c>
      <c r="AK80" s="520" t="str">
        <f t="shared" si="20"/>
        <v/>
      </c>
      <c r="AL80" s="520" t="str">
        <f t="shared" si="21"/>
        <v/>
      </c>
      <c r="AM80" s="524" t="str">
        <f>IFERROR(IF(F80="","",IF(AH80="Check Data ⚠","Check Data ⚠",VLOOKUP(AL80, 'G-3 Multipliers'!$P$2:$Q$6,2,FALSE))),"")</f>
        <v/>
      </c>
      <c r="AN80" s="197"/>
      <c r="AO80" s="540" t="str">
        <f>IF(AN80="","",IF(VLOOKUP(AN80,'G-3 Multipliers'!$S$3:$T$9,2,FALSE)=0,"Spatial Data Missing ⚠",VLOOKUP(AN80,'G-3 Multipliers'!$S$3:$T$9,2,FALSE)))</f>
        <v/>
      </c>
      <c r="AP80" s="513" t="str">
        <f t="shared" si="22"/>
        <v/>
      </c>
      <c r="AQ80" s="231"/>
      <c r="AR80" s="150"/>
    </row>
    <row r="81" spans="1:44" x14ac:dyDescent="0.25">
      <c r="A81" s="31" t="str">
        <f>IF(E81="","",IF(ISNA(VLOOKUP($E81,'D-1 Off Site Habitat Baseline'!$D$1:$O$258,2,FALSE)),"",(VLOOKUP($E81,'D-1 Off Site Habitat Baseline'!$D$1:$O$258,2,FALSE))))</f>
        <v/>
      </c>
      <c r="B81" s="31" t="str">
        <f>IF(E81="","",IF(ISNA(VLOOKUP($E81,'D-1 Off Site Habitat Baseline'!$D$1:$O$258,3,FALSE)),"",(VLOOKUP($E81,'D-1 Off Site Habitat Baseline'!$D$1:$O$258,3,FALSE))))</f>
        <v/>
      </c>
      <c r="C81" s="31" t="str">
        <f>IFERROR(INDEX('G-8 Condition Look up'!$I$4:$I$130,MATCH(S81,'G-8 Condition Look up'!$A$4:$A$130,0)),"")</f>
        <v/>
      </c>
      <c r="E81" s="547" t="str">
        <f>'D-1 Off Site Habitat Baseline'!AL80</f>
        <v/>
      </c>
      <c r="F81" s="520" t="str">
        <f>IF(E81="","",IF(ISNA(VLOOKUP($E81,'D-1 Off Site Habitat Baseline'!$D$1:$O$258,4,FALSE)),"",(VLOOKUP($E81,'D-1 Off Site Habitat Baseline'!$D$1:$O$258,4,FALSE))))</f>
        <v/>
      </c>
      <c r="G81" s="520" t="str">
        <f>IF(E81="","",IF(ISNA(VLOOKUP($E81,'D-1 Off Site Habitat Baseline'!$D$1:$O$258,5,FALSE)),"",(VLOOKUP($E81,'D-1 Off Site Habitat Baseline'!$D$1:$O$258,5,FALSE))))</f>
        <v/>
      </c>
      <c r="H81" s="520" t="str">
        <f>IF(E81="","",IF(ISNA(VLOOKUP($E81,'D-1 Off Site Habitat Baseline'!$D$1:$O$258,6,FALSE)),"",(VLOOKUP($E81,'D-1 Off Site Habitat Baseline'!$D$1:$O$258,6,FALSE))))</f>
        <v/>
      </c>
      <c r="I81" s="520" t="str">
        <f>IF(E81="","",IF(ISNA(VLOOKUP($E81,'D-1 Off Site Habitat Baseline'!$D$1:$O$258,7,FALSE)),"",(VLOOKUP($E81,'D-1 Off Site Habitat Baseline'!$D$1:$O$258,7,FALSE))))</f>
        <v/>
      </c>
      <c r="J81" s="520" t="str">
        <f>IF(E81="","",IF(ISNA(VLOOKUP($E81,'D-1 Off Site Habitat Baseline'!$D$1:$O$258,8,FALSE)),"",(VLOOKUP($E81,'D-1 Off Site Habitat Baseline'!$D$1:$O$258,8,FALSE))))</f>
        <v/>
      </c>
      <c r="K81" s="520" t="str">
        <f>IF(E81="","",IF(ISNA(VLOOKUP($E81,'D-1 Off Site Habitat Baseline'!$D$1:$O$258,9,FALSE)),"",(VLOOKUP($E81,'D-1 Off Site Habitat Baseline'!$D$1:$O$258,9,FALSE))))</f>
        <v/>
      </c>
      <c r="L81" s="520" t="str">
        <f>IF(E81="","",IF(ISNA(VLOOKUP($E81,'D-1 Off Site Habitat Baseline'!$D$1:$O$258,11,FALSE)),"",(VLOOKUP($E81,'D-1 Off Site Habitat Baseline'!$D$1:$O$258,11,FALSE))))</f>
        <v/>
      </c>
      <c r="M81" s="520" t="str">
        <f>IF(E81="","",IF(ISNA(VLOOKUP($E81,'D-1 Off Site Habitat Baseline'!$D$1:$O$258,12,FALSE)),"",(VLOOKUP($E81,'D-1 Off Site Habitat Baseline'!$D$1:$O$258,12,FALSE))))</f>
        <v/>
      </c>
      <c r="N81" s="520" t="str">
        <f>IF(E81="","",IF(ISNA(VLOOKUP($E81,'D-1 Off Site Habitat Baseline'!$D$1:$X$258,14,FALSE)),"",(VLOOKUP($E81,'D-1 Off Site Habitat Baseline'!$D$1:$X$258,14,FALSE))))</f>
        <v/>
      </c>
      <c r="O81" s="524" t="str">
        <f>IF(E81="","",IF(ISNA(VLOOKUP($E81,'D-1 Off Site Habitat Baseline'!$D$1:$X$258,13,FALSE)),"",(VLOOKUP($E81,'D-1 Off Site Habitat Baseline'!$D$1:$X$258,13,FALSE))))</f>
        <v/>
      </c>
      <c r="P81" s="232" t="str">
        <f>IFERROR(INDEX('G-1 All Habitats'!$AG$3:$AG$15,MATCH(Q81,'G-1 All Habitats'!$AF$3:$AF$15,0)),"")</f>
        <v/>
      </c>
      <c r="Q81" s="228" t="str">
        <f t="shared" si="23"/>
        <v/>
      </c>
      <c r="R81" s="229" t="str">
        <f t="shared" si="24"/>
        <v/>
      </c>
      <c r="S81" s="233" t="str">
        <f>IFERROR(INDEX('G-1 All Habitats'!$B$3:$B$129,MATCH(R81,'G-1 All Habitats'!$A$3:$A$129,0)),"")</f>
        <v/>
      </c>
      <c r="T81" s="507" t="str">
        <f t="shared" si="16"/>
        <v/>
      </c>
      <c r="U81" s="524" t="str">
        <f t="shared" si="17"/>
        <v/>
      </c>
      <c r="V81" s="523" t="str">
        <f t="shared" si="14"/>
        <v/>
      </c>
      <c r="W81" s="520" t="str">
        <f>IF(S81="","",VLOOKUP(S81,'G-1 All Habitats'!$B$2:$M$129,10,FALSE))</f>
        <v/>
      </c>
      <c r="X81" s="520" t="str">
        <f>IFERROR(VLOOKUP(W81,'G-1 All Habitats'!$V$3:$W$7,2,FALSE),"")</f>
        <v/>
      </c>
      <c r="Y81" s="203"/>
      <c r="Z81" s="524" t="str">
        <f>IFERROR(INDEX('G-8 Condition Look up'!$A$3:$H$130,MATCH(S81,'G-8 Condition Look up'!$A$3:$A$130,0),MATCH(Y81,'G-8 Condition Look up'!$A$3:$H$3,0)),"")</f>
        <v/>
      </c>
      <c r="AA81" s="145"/>
      <c r="AB81" s="540" t="str">
        <f>IF(AA81="","",IF(VLOOKUP(AA81,'G-3 Multipliers'!$L$3:$N$6,2,FALSE)=0,"Spatial Data Missing ⚠",VLOOKUP(AA81,'G-3 Multipliers'!$L$3:$N$6,2,FALSE)))</f>
        <v/>
      </c>
      <c r="AC81" s="524" t="str">
        <f>IF(AA81="","",IF(VLOOKUP(AA81,'G-3 Multipliers'!$L$3:$N$6,3,FALSE)=0,"Spatial Data Missing ⚠",VLOOKUP(AA81,'G-3 Multipliers'!$L$3:$N$6,3,FALSE)))</f>
        <v/>
      </c>
      <c r="AD81" s="537" t="str">
        <f t="shared" si="15"/>
        <v/>
      </c>
      <c r="AE81" s="203"/>
      <c r="AF81" s="203"/>
      <c r="AG81" s="520" t="str">
        <f t="shared" si="18"/>
        <v/>
      </c>
      <c r="AH81" s="544" t="str">
        <f t="shared" si="19"/>
        <v/>
      </c>
      <c r="AI81" s="525" t="str">
        <f>IF(AH81="Check Data ⚠","Check Data ⚠",IFERROR(VLOOKUP(AH81,'G-4 Temporal multipliers'!$A$4:$C$36,3,FALSE),""))</f>
        <v/>
      </c>
      <c r="AJ81" s="537" t="str">
        <f>IF(S81="","",VLOOKUP(S81,'G-3 Multipliers'!$A$2:$E$129,4,FALSE))</f>
        <v/>
      </c>
      <c r="AK81" s="520" t="str">
        <f t="shared" si="20"/>
        <v/>
      </c>
      <c r="AL81" s="520" t="str">
        <f t="shared" si="21"/>
        <v/>
      </c>
      <c r="AM81" s="524" t="str">
        <f>IFERROR(IF(F81="","",IF(AH81="Check Data ⚠","Check Data ⚠",VLOOKUP(AL81, 'G-3 Multipliers'!$P$2:$Q$6,2,FALSE))),"")</f>
        <v/>
      </c>
      <c r="AN81" s="197"/>
      <c r="AO81" s="540" t="str">
        <f>IF(AN81="","",IF(VLOOKUP(AN81,'G-3 Multipliers'!$S$3:$T$9,2,FALSE)=0,"Spatial Data Missing ⚠",VLOOKUP(AN81,'G-3 Multipliers'!$S$3:$T$9,2,FALSE)))</f>
        <v/>
      </c>
      <c r="AP81" s="513" t="str">
        <f t="shared" si="22"/>
        <v/>
      </c>
      <c r="AQ81" s="231"/>
      <c r="AR81" s="150"/>
    </row>
    <row r="82" spans="1:44" x14ac:dyDescent="0.25">
      <c r="A82" s="31" t="str">
        <f>IF(E82="","",IF(ISNA(VLOOKUP($E82,'D-1 Off Site Habitat Baseline'!$D$1:$O$258,2,FALSE)),"",(VLOOKUP($E82,'D-1 Off Site Habitat Baseline'!$D$1:$O$258,2,FALSE))))</f>
        <v/>
      </c>
      <c r="B82" s="31" t="str">
        <f>IF(E82="","",IF(ISNA(VLOOKUP($E82,'D-1 Off Site Habitat Baseline'!$D$1:$O$258,3,FALSE)),"",(VLOOKUP($E82,'D-1 Off Site Habitat Baseline'!$D$1:$O$258,3,FALSE))))</f>
        <v/>
      </c>
      <c r="C82" s="31" t="str">
        <f>IFERROR(INDEX('G-8 Condition Look up'!$I$4:$I$130,MATCH(S82,'G-8 Condition Look up'!$A$4:$A$130,0)),"")</f>
        <v/>
      </c>
      <c r="E82" s="547" t="str">
        <f>'D-1 Off Site Habitat Baseline'!AL81</f>
        <v/>
      </c>
      <c r="F82" s="520" t="str">
        <f>IF(E82="","",IF(ISNA(VLOOKUP($E82,'D-1 Off Site Habitat Baseline'!$D$1:$O$258,4,FALSE)),"",(VLOOKUP($E82,'D-1 Off Site Habitat Baseline'!$D$1:$O$258,4,FALSE))))</f>
        <v/>
      </c>
      <c r="G82" s="520" t="str">
        <f>IF(E82="","",IF(ISNA(VLOOKUP($E82,'D-1 Off Site Habitat Baseline'!$D$1:$O$258,5,FALSE)),"",(VLOOKUP($E82,'D-1 Off Site Habitat Baseline'!$D$1:$O$258,5,FALSE))))</f>
        <v/>
      </c>
      <c r="H82" s="520" t="str">
        <f>IF(E82="","",IF(ISNA(VLOOKUP($E82,'D-1 Off Site Habitat Baseline'!$D$1:$O$258,6,FALSE)),"",(VLOOKUP($E82,'D-1 Off Site Habitat Baseline'!$D$1:$O$258,6,FALSE))))</f>
        <v/>
      </c>
      <c r="I82" s="520" t="str">
        <f>IF(E82="","",IF(ISNA(VLOOKUP($E82,'D-1 Off Site Habitat Baseline'!$D$1:$O$258,7,FALSE)),"",(VLOOKUP($E82,'D-1 Off Site Habitat Baseline'!$D$1:$O$258,7,FALSE))))</f>
        <v/>
      </c>
      <c r="J82" s="520" t="str">
        <f>IF(E82="","",IF(ISNA(VLOOKUP($E82,'D-1 Off Site Habitat Baseline'!$D$1:$O$258,8,FALSE)),"",(VLOOKUP($E82,'D-1 Off Site Habitat Baseline'!$D$1:$O$258,8,FALSE))))</f>
        <v/>
      </c>
      <c r="K82" s="520" t="str">
        <f>IF(E82="","",IF(ISNA(VLOOKUP($E82,'D-1 Off Site Habitat Baseline'!$D$1:$O$258,9,FALSE)),"",(VLOOKUP($E82,'D-1 Off Site Habitat Baseline'!$D$1:$O$258,9,FALSE))))</f>
        <v/>
      </c>
      <c r="L82" s="520" t="str">
        <f>IF(E82="","",IF(ISNA(VLOOKUP($E82,'D-1 Off Site Habitat Baseline'!$D$1:$O$258,11,FALSE)),"",(VLOOKUP($E82,'D-1 Off Site Habitat Baseline'!$D$1:$O$258,11,FALSE))))</f>
        <v/>
      </c>
      <c r="M82" s="520" t="str">
        <f>IF(E82="","",IF(ISNA(VLOOKUP($E82,'D-1 Off Site Habitat Baseline'!$D$1:$O$258,12,FALSE)),"",(VLOOKUP($E82,'D-1 Off Site Habitat Baseline'!$D$1:$O$258,12,FALSE))))</f>
        <v/>
      </c>
      <c r="N82" s="520" t="str">
        <f>IF(E82="","",IF(ISNA(VLOOKUP($E82,'D-1 Off Site Habitat Baseline'!$D$1:$X$258,14,FALSE)),"",(VLOOKUP($E82,'D-1 Off Site Habitat Baseline'!$D$1:$X$258,14,FALSE))))</f>
        <v/>
      </c>
      <c r="O82" s="524" t="str">
        <f>IF(E82="","",IF(ISNA(VLOOKUP($E82,'D-1 Off Site Habitat Baseline'!$D$1:$X$258,13,FALSE)),"",(VLOOKUP($E82,'D-1 Off Site Habitat Baseline'!$D$1:$X$258,13,FALSE))))</f>
        <v/>
      </c>
      <c r="P82" s="232" t="str">
        <f>IFERROR(INDEX('G-1 All Habitats'!$AG$3:$AG$15,MATCH(Q82,'G-1 All Habitats'!$AF$3:$AF$15,0)),"")</f>
        <v/>
      </c>
      <c r="Q82" s="228" t="str">
        <f t="shared" si="23"/>
        <v/>
      </c>
      <c r="R82" s="229" t="str">
        <f t="shared" si="24"/>
        <v/>
      </c>
      <c r="S82" s="233" t="str">
        <f>IFERROR(INDEX('G-1 All Habitats'!$B$3:$B$129,MATCH(R82,'G-1 All Habitats'!$A$3:$A$129,0)),"")</f>
        <v/>
      </c>
      <c r="T82" s="507" t="str">
        <f t="shared" si="16"/>
        <v/>
      </c>
      <c r="U82" s="524" t="str">
        <f t="shared" si="17"/>
        <v/>
      </c>
      <c r="V82" s="523" t="str">
        <f t="shared" si="14"/>
        <v/>
      </c>
      <c r="W82" s="520" t="str">
        <f>IF(S82="","",VLOOKUP(S82,'G-1 All Habitats'!$B$2:$M$129,10,FALSE))</f>
        <v/>
      </c>
      <c r="X82" s="520" t="str">
        <f>IFERROR(VLOOKUP(W82,'G-1 All Habitats'!$V$3:$W$7,2,FALSE),"")</f>
        <v/>
      </c>
      <c r="Y82" s="203"/>
      <c r="Z82" s="524" t="str">
        <f>IFERROR(INDEX('G-8 Condition Look up'!$A$3:$H$130,MATCH(S82,'G-8 Condition Look up'!$A$3:$A$130,0),MATCH(Y82,'G-8 Condition Look up'!$A$3:$H$3,0)),"")</f>
        <v/>
      </c>
      <c r="AA82" s="145"/>
      <c r="AB82" s="540" t="str">
        <f>IF(AA82="","",IF(VLOOKUP(AA82,'G-3 Multipliers'!$L$3:$N$6,2,FALSE)=0,"Spatial Data Missing ⚠",VLOOKUP(AA82,'G-3 Multipliers'!$L$3:$N$6,2,FALSE)))</f>
        <v/>
      </c>
      <c r="AC82" s="524" t="str">
        <f>IF(AA82="","",IF(VLOOKUP(AA82,'G-3 Multipliers'!$L$3:$N$6,3,FALSE)=0,"Spatial Data Missing ⚠",VLOOKUP(AA82,'G-3 Multipliers'!$L$3:$N$6,3,FALSE)))</f>
        <v/>
      </c>
      <c r="AD82" s="537" t="str">
        <f t="shared" si="15"/>
        <v/>
      </c>
      <c r="AE82" s="203"/>
      <c r="AF82" s="203"/>
      <c r="AG82" s="520" t="str">
        <f t="shared" si="18"/>
        <v/>
      </c>
      <c r="AH82" s="544" t="str">
        <f t="shared" si="19"/>
        <v/>
      </c>
      <c r="AI82" s="525" t="str">
        <f>IF(AH82="Check Data ⚠","Check Data ⚠",IFERROR(VLOOKUP(AH82,'G-4 Temporal multipliers'!$A$4:$C$36,3,FALSE),""))</f>
        <v/>
      </c>
      <c r="AJ82" s="537" t="str">
        <f>IF(S82="","",VLOOKUP(S82,'G-3 Multipliers'!$A$2:$E$129,4,FALSE))</f>
        <v/>
      </c>
      <c r="AK82" s="520" t="str">
        <f t="shared" si="20"/>
        <v/>
      </c>
      <c r="AL82" s="520" t="str">
        <f t="shared" si="21"/>
        <v/>
      </c>
      <c r="AM82" s="524" t="str">
        <f>IFERROR(IF(F82="","",IF(AH82="Check Data ⚠","Check Data ⚠",VLOOKUP(AL82, 'G-3 Multipliers'!$P$2:$Q$6,2,FALSE))),"")</f>
        <v/>
      </c>
      <c r="AN82" s="197"/>
      <c r="AO82" s="540" t="str">
        <f>IF(AN82="","",IF(VLOOKUP(AN82,'G-3 Multipliers'!$S$3:$T$9,2,FALSE)=0,"Spatial Data Missing ⚠",VLOOKUP(AN82,'G-3 Multipliers'!$S$3:$T$9,2,FALSE)))</f>
        <v/>
      </c>
      <c r="AP82" s="513" t="str">
        <f t="shared" si="22"/>
        <v/>
      </c>
      <c r="AQ82" s="231"/>
      <c r="AR82" s="150"/>
    </row>
    <row r="83" spans="1:44" x14ac:dyDescent="0.25">
      <c r="A83" s="31" t="str">
        <f>IF(E83="","",IF(ISNA(VLOOKUP($E83,'D-1 Off Site Habitat Baseline'!$D$1:$O$258,2,FALSE)),"",(VLOOKUP($E83,'D-1 Off Site Habitat Baseline'!$D$1:$O$258,2,FALSE))))</f>
        <v/>
      </c>
      <c r="B83" s="31" t="str">
        <f>IF(E83="","",IF(ISNA(VLOOKUP($E83,'D-1 Off Site Habitat Baseline'!$D$1:$O$258,3,FALSE)),"",(VLOOKUP($E83,'D-1 Off Site Habitat Baseline'!$D$1:$O$258,3,FALSE))))</f>
        <v/>
      </c>
      <c r="C83" s="31" t="str">
        <f>IFERROR(INDEX('G-8 Condition Look up'!$I$4:$I$130,MATCH(S83,'G-8 Condition Look up'!$A$4:$A$130,0)),"")</f>
        <v/>
      </c>
      <c r="E83" s="547" t="str">
        <f>'D-1 Off Site Habitat Baseline'!AL82</f>
        <v/>
      </c>
      <c r="F83" s="520" t="str">
        <f>IF(E83="","",IF(ISNA(VLOOKUP($E83,'D-1 Off Site Habitat Baseline'!$D$1:$O$258,4,FALSE)),"",(VLOOKUP($E83,'D-1 Off Site Habitat Baseline'!$D$1:$O$258,4,FALSE))))</f>
        <v/>
      </c>
      <c r="G83" s="520" t="str">
        <f>IF(E83="","",IF(ISNA(VLOOKUP($E83,'D-1 Off Site Habitat Baseline'!$D$1:$O$258,5,FALSE)),"",(VLOOKUP($E83,'D-1 Off Site Habitat Baseline'!$D$1:$O$258,5,FALSE))))</f>
        <v/>
      </c>
      <c r="H83" s="520" t="str">
        <f>IF(E83="","",IF(ISNA(VLOOKUP($E83,'D-1 Off Site Habitat Baseline'!$D$1:$O$258,6,FALSE)),"",(VLOOKUP($E83,'D-1 Off Site Habitat Baseline'!$D$1:$O$258,6,FALSE))))</f>
        <v/>
      </c>
      <c r="I83" s="520" t="str">
        <f>IF(E83="","",IF(ISNA(VLOOKUP($E83,'D-1 Off Site Habitat Baseline'!$D$1:$O$258,7,FALSE)),"",(VLOOKUP($E83,'D-1 Off Site Habitat Baseline'!$D$1:$O$258,7,FALSE))))</f>
        <v/>
      </c>
      <c r="J83" s="520" t="str">
        <f>IF(E83="","",IF(ISNA(VLOOKUP($E83,'D-1 Off Site Habitat Baseline'!$D$1:$O$258,8,FALSE)),"",(VLOOKUP($E83,'D-1 Off Site Habitat Baseline'!$D$1:$O$258,8,FALSE))))</f>
        <v/>
      </c>
      <c r="K83" s="520" t="str">
        <f>IF(E83="","",IF(ISNA(VLOOKUP($E83,'D-1 Off Site Habitat Baseline'!$D$1:$O$258,9,FALSE)),"",(VLOOKUP($E83,'D-1 Off Site Habitat Baseline'!$D$1:$O$258,9,FALSE))))</f>
        <v/>
      </c>
      <c r="L83" s="520" t="str">
        <f>IF(E83="","",IF(ISNA(VLOOKUP($E83,'D-1 Off Site Habitat Baseline'!$D$1:$O$258,11,FALSE)),"",(VLOOKUP($E83,'D-1 Off Site Habitat Baseline'!$D$1:$O$258,11,FALSE))))</f>
        <v/>
      </c>
      <c r="M83" s="520" t="str">
        <f>IF(E83="","",IF(ISNA(VLOOKUP($E83,'D-1 Off Site Habitat Baseline'!$D$1:$O$258,12,FALSE)),"",(VLOOKUP($E83,'D-1 Off Site Habitat Baseline'!$D$1:$O$258,12,FALSE))))</f>
        <v/>
      </c>
      <c r="N83" s="520" t="str">
        <f>IF(E83="","",IF(ISNA(VLOOKUP($E83,'D-1 Off Site Habitat Baseline'!$D$1:$X$258,14,FALSE)),"",(VLOOKUP($E83,'D-1 Off Site Habitat Baseline'!$D$1:$X$258,14,FALSE))))</f>
        <v/>
      </c>
      <c r="O83" s="524" t="str">
        <f>IF(E83="","",IF(ISNA(VLOOKUP($E83,'D-1 Off Site Habitat Baseline'!$D$1:$X$258,13,FALSE)),"",(VLOOKUP($E83,'D-1 Off Site Habitat Baseline'!$D$1:$X$258,13,FALSE))))</f>
        <v/>
      </c>
      <c r="P83" s="232" t="str">
        <f>IFERROR(INDEX('G-1 All Habitats'!$AG$3:$AG$15,MATCH(Q83,'G-1 All Habitats'!$AF$3:$AF$15,0)),"")</f>
        <v/>
      </c>
      <c r="Q83" s="228" t="str">
        <f t="shared" si="23"/>
        <v/>
      </c>
      <c r="R83" s="229" t="str">
        <f t="shared" si="24"/>
        <v/>
      </c>
      <c r="S83" s="233" t="str">
        <f>IFERROR(INDEX('G-1 All Habitats'!$B$3:$B$129,MATCH(R83,'G-1 All Habitats'!$A$3:$A$129,0)),"")</f>
        <v/>
      </c>
      <c r="T83" s="507" t="str">
        <f t="shared" si="16"/>
        <v/>
      </c>
      <c r="U83" s="524" t="str">
        <f t="shared" si="17"/>
        <v/>
      </c>
      <c r="V83" s="523" t="str">
        <f t="shared" si="14"/>
        <v/>
      </c>
      <c r="W83" s="520" t="str">
        <f>IF(S83="","",VLOOKUP(S83,'G-1 All Habitats'!$B$2:$M$129,10,FALSE))</f>
        <v/>
      </c>
      <c r="X83" s="520" t="str">
        <f>IFERROR(VLOOKUP(W83,'G-1 All Habitats'!$V$3:$W$7,2,FALSE),"")</f>
        <v/>
      </c>
      <c r="Y83" s="203"/>
      <c r="Z83" s="524" t="str">
        <f>IFERROR(INDEX('G-8 Condition Look up'!$A$3:$H$130,MATCH(S83,'G-8 Condition Look up'!$A$3:$A$130,0),MATCH(Y83,'G-8 Condition Look up'!$A$3:$H$3,0)),"")</f>
        <v/>
      </c>
      <c r="AA83" s="145"/>
      <c r="AB83" s="540" t="str">
        <f>IF(AA83="","",IF(VLOOKUP(AA83,'G-3 Multipliers'!$L$3:$N$6,2,FALSE)=0,"Spatial Data Missing ⚠",VLOOKUP(AA83,'G-3 Multipliers'!$L$3:$N$6,2,FALSE)))</f>
        <v/>
      </c>
      <c r="AC83" s="524" t="str">
        <f>IF(AA83="","",IF(VLOOKUP(AA83,'G-3 Multipliers'!$L$3:$N$6,3,FALSE)=0,"Spatial Data Missing ⚠",VLOOKUP(AA83,'G-3 Multipliers'!$L$3:$N$6,3,FALSE)))</f>
        <v/>
      </c>
      <c r="AD83" s="537" t="str">
        <f t="shared" si="15"/>
        <v/>
      </c>
      <c r="AE83" s="203"/>
      <c r="AF83" s="203"/>
      <c r="AG83" s="520" t="str">
        <f t="shared" si="18"/>
        <v/>
      </c>
      <c r="AH83" s="544" t="str">
        <f t="shared" si="19"/>
        <v/>
      </c>
      <c r="AI83" s="525" t="str">
        <f>IF(AH83="Check Data ⚠","Check Data ⚠",IFERROR(VLOOKUP(AH83,'G-4 Temporal multipliers'!$A$4:$C$36,3,FALSE),""))</f>
        <v/>
      </c>
      <c r="AJ83" s="537" t="str">
        <f>IF(S83="","",VLOOKUP(S83,'G-3 Multipliers'!$A$2:$E$129,4,FALSE))</f>
        <v/>
      </c>
      <c r="AK83" s="520" t="str">
        <f t="shared" si="20"/>
        <v/>
      </c>
      <c r="AL83" s="520" t="str">
        <f t="shared" si="21"/>
        <v/>
      </c>
      <c r="AM83" s="524" t="str">
        <f>IFERROR(IF(F83="","",IF(AH83="Check Data ⚠","Check Data ⚠",VLOOKUP(AL83, 'G-3 Multipliers'!$P$2:$Q$6,2,FALSE))),"")</f>
        <v/>
      </c>
      <c r="AN83" s="197"/>
      <c r="AO83" s="540" t="str">
        <f>IF(AN83="","",IF(VLOOKUP(AN83,'G-3 Multipliers'!$S$3:$T$9,2,FALSE)=0,"Spatial Data Missing ⚠",VLOOKUP(AN83,'G-3 Multipliers'!$S$3:$T$9,2,FALSE)))</f>
        <v/>
      </c>
      <c r="AP83" s="513" t="str">
        <f t="shared" si="22"/>
        <v/>
      </c>
      <c r="AQ83" s="231"/>
      <c r="AR83" s="150"/>
    </row>
    <row r="84" spans="1:44" x14ac:dyDescent="0.25">
      <c r="A84" s="31" t="str">
        <f>IF(E84="","",IF(ISNA(VLOOKUP($E84,'D-1 Off Site Habitat Baseline'!$D$1:$O$258,2,FALSE)),"",(VLOOKUP($E84,'D-1 Off Site Habitat Baseline'!$D$1:$O$258,2,FALSE))))</f>
        <v/>
      </c>
      <c r="B84" s="31" t="str">
        <f>IF(E84="","",IF(ISNA(VLOOKUP($E84,'D-1 Off Site Habitat Baseline'!$D$1:$O$258,3,FALSE)),"",(VLOOKUP($E84,'D-1 Off Site Habitat Baseline'!$D$1:$O$258,3,FALSE))))</f>
        <v/>
      </c>
      <c r="C84" s="31" t="str">
        <f>IFERROR(INDEX('G-8 Condition Look up'!$I$4:$I$130,MATCH(S84,'G-8 Condition Look up'!$A$4:$A$130,0)),"")</f>
        <v/>
      </c>
      <c r="E84" s="547" t="str">
        <f>'D-1 Off Site Habitat Baseline'!AL83</f>
        <v/>
      </c>
      <c r="F84" s="520" t="str">
        <f>IF(E84="","",IF(ISNA(VLOOKUP($E84,'D-1 Off Site Habitat Baseline'!$D$1:$O$258,4,FALSE)),"",(VLOOKUP($E84,'D-1 Off Site Habitat Baseline'!$D$1:$O$258,4,FALSE))))</f>
        <v/>
      </c>
      <c r="G84" s="520" t="str">
        <f>IF(E84="","",IF(ISNA(VLOOKUP($E84,'D-1 Off Site Habitat Baseline'!$D$1:$O$258,5,FALSE)),"",(VLOOKUP($E84,'D-1 Off Site Habitat Baseline'!$D$1:$O$258,5,FALSE))))</f>
        <v/>
      </c>
      <c r="H84" s="520" t="str">
        <f>IF(E84="","",IF(ISNA(VLOOKUP($E84,'D-1 Off Site Habitat Baseline'!$D$1:$O$258,6,FALSE)),"",(VLOOKUP($E84,'D-1 Off Site Habitat Baseline'!$D$1:$O$258,6,FALSE))))</f>
        <v/>
      </c>
      <c r="I84" s="520" t="str">
        <f>IF(E84="","",IF(ISNA(VLOOKUP($E84,'D-1 Off Site Habitat Baseline'!$D$1:$O$258,7,FALSE)),"",(VLOOKUP($E84,'D-1 Off Site Habitat Baseline'!$D$1:$O$258,7,FALSE))))</f>
        <v/>
      </c>
      <c r="J84" s="520" t="str">
        <f>IF(E84="","",IF(ISNA(VLOOKUP($E84,'D-1 Off Site Habitat Baseline'!$D$1:$O$258,8,FALSE)),"",(VLOOKUP($E84,'D-1 Off Site Habitat Baseline'!$D$1:$O$258,8,FALSE))))</f>
        <v/>
      </c>
      <c r="K84" s="520" t="str">
        <f>IF(E84="","",IF(ISNA(VLOOKUP($E84,'D-1 Off Site Habitat Baseline'!$D$1:$O$258,9,FALSE)),"",(VLOOKUP($E84,'D-1 Off Site Habitat Baseline'!$D$1:$O$258,9,FALSE))))</f>
        <v/>
      </c>
      <c r="L84" s="520" t="str">
        <f>IF(E84="","",IF(ISNA(VLOOKUP($E84,'D-1 Off Site Habitat Baseline'!$D$1:$O$258,11,FALSE)),"",(VLOOKUP($E84,'D-1 Off Site Habitat Baseline'!$D$1:$O$258,11,FALSE))))</f>
        <v/>
      </c>
      <c r="M84" s="520" t="str">
        <f>IF(E84="","",IF(ISNA(VLOOKUP($E84,'D-1 Off Site Habitat Baseline'!$D$1:$O$258,12,FALSE)),"",(VLOOKUP($E84,'D-1 Off Site Habitat Baseline'!$D$1:$O$258,12,FALSE))))</f>
        <v/>
      </c>
      <c r="N84" s="520" t="str">
        <f>IF(E84="","",IF(ISNA(VLOOKUP($E84,'D-1 Off Site Habitat Baseline'!$D$1:$X$258,14,FALSE)),"",(VLOOKUP($E84,'D-1 Off Site Habitat Baseline'!$D$1:$X$258,14,FALSE))))</f>
        <v/>
      </c>
      <c r="O84" s="524" t="str">
        <f>IF(E84="","",IF(ISNA(VLOOKUP($E84,'D-1 Off Site Habitat Baseline'!$D$1:$X$258,13,FALSE)),"",(VLOOKUP($E84,'D-1 Off Site Habitat Baseline'!$D$1:$X$258,13,FALSE))))</f>
        <v/>
      </c>
      <c r="P84" s="232" t="str">
        <f>IFERROR(INDEX('G-1 All Habitats'!$AG$3:$AG$15,MATCH(Q84,'G-1 All Habitats'!$AF$3:$AF$15,0)),"")</f>
        <v/>
      </c>
      <c r="Q84" s="228" t="str">
        <f t="shared" si="23"/>
        <v/>
      </c>
      <c r="R84" s="229" t="str">
        <f t="shared" si="24"/>
        <v/>
      </c>
      <c r="S84" s="233" t="str">
        <f>IFERROR(INDEX('G-1 All Habitats'!$B$3:$B$129,MATCH(R84,'G-1 All Habitats'!$A$3:$A$129,0)),"")</f>
        <v/>
      </c>
      <c r="T84" s="507" t="str">
        <f t="shared" si="16"/>
        <v/>
      </c>
      <c r="U84" s="524" t="str">
        <f t="shared" si="17"/>
        <v/>
      </c>
      <c r="V84" s="523" t="str">
        <f t="shared" si="14"/>
        <v/>
      </c>
      <c r="W84" s="520" t="str">
        <f>IF(S84="","",VLOOKUP(S84,'G-1 All Habitats'!$B$2:$M$129,10,FALSE))</f>
        <v/>
      </c>
      <c r="X84" s="520" t="str">
        <f>IFERROR(VLOOKUP(W84,'G-1 All Habitats'!$V$3:$W$7,2,FALSE),"")</f>
        <v/>
      </c>
      <c r="Y84" s="203"/>
      <c r="Z84" s="524" t="str">
        <f>IFERROR(INDEX('G-8 Condition Look up'!$A$3:$H$130,MATCH(S84,'G-8 Condition Look up'!$A$3:$A$130,0),MATCH(Y84,'G-8 Condition Look up'!$A$3:$H$3,0)),"")</f>
        <v/>
      </c>
      <c r="AA84" s="145"/>
      <c r="AB84" s="540" t="str">
        <f>IF(AA84="","",IF(VLOOKUP(AA84,'G-3 Multipliers'!$L$3:$N$6,2,FALSE)=0,"Spatial Data Missing ⚠",VLOOKUP(AA84,'G-3 Multipliers'!$L$3:$N$6,2,FALSE)))</f>
        <v/>
      </c>
      <c r="AC84" s="524" t="str">
        <f>IF(AA84="","",IF(VLOOKUP(AA84,'G-3 Multipliers'!$L$3:$N$6,3,FALSE)=0,"Spatial Data Missing ⚠",VLOOKUP(AA84,'G-3 Multipliers'!$L$3:$N$6,3,FALSE)))</f>
        <v/>
      </c>
      <c r="AD84" s="537" t="str">
        <f t="shared" si="15"/>
        <v/>
      </c>
      <c r="AE84" s="203"/>
      <c r="AF84" s="203"/>
      <c r="AG84" s="520" t="str">
        <f t="shared" si="18"/>
        <v/>
      </c>
      <c r="AH84" s="544" t="str">
        <f t="shared" si="19"/>
        <v/>
      </c>
      <c r="AI84" s="525" t="str">
        <f>IF(AH84="Check Data ⚠","Check Data ⚠",IFERROR(VLOOKUP(AH84,'G-4 Temporal multipliers'!$A$4:$C$36,3,FALSE),""))</f>
        <v/>
      </c>
      <c r="AJ84" s="537" t="str">
        <f>IF(S84="","",VLOOKUP(S84,'G-3 Multipliers'!$A$2:$E$129,4,FALSE))</f>
        <v/>
      </c>
      <c r="AK84" s="520" t="str">
        <f t="shared" si="20"/>
        <v/>
      </c>
      <c r="AL84" s="520" t="str">
        <f t="shared" si="21"/>
        <v/>
      </c>
      <c r="AM84" s="524" t="str">
        <f>IFERROR(IF(F84="","",IF(AH84="Check Data ⚠","Check Data ⚠",VLOOKUP(AL84, 'G-3 Multipliers'!$P$2:$Q$6,2,FALSE))),"")</f>
        <v/>
      </c>
      <c r="AN84" s="197"/>
      <c r="AO84" s="540" t="str">
        <f>IF(AN84="","",IF(VLOOKUP(AN84,'G-3 Multipliers'!$S$3:$T$9,2,FALSE)=0,"Spatial Data Missing ⚠",VLOOKUP(AN84,'G-3 Multipliers'!$S$3:$T$9,2,FALSE)))</f>
        <v/>
      </c>
      <c r="AP84" s="513" t="str">
        <f t="shared" si="22"/>
        <v/>
      </c>
      <c r="AQ84" s="231"/>
      <c r="AR84" s="150"/>
    </row>
    <row r="85" spans="1:44" x14ac:dyDescent="0.25">
      <c r="A85" s="31" t="str">
        <f>IF(E85="","",IF(ISNA(VLOOKUP($E85,'D-1 Off Site Habitat Baseline'!$D$1:$O$258,2,FALSE)),"",(VLOOKUP($E85,'D-1 Off Site Habitat Baseline'!$D$1:$O$258,2,FALSE))))</f>
        <v/>
      </c>
      <c r="B85" s="31" t="str">
        <f>IF(E85="","",IF(ISNA(VLOOKUP($E85,'D-1 Off Site Habitat Baseline'!$D$1:$O$258,3,FALSE)),"",(VLOOKUP($E85,'D-1 Off Site Habitat Baseline'!$D$1:$O$258,3,FALSE))))</f>
        <v/>
      </c>
      <c r="C85" s="31" t="str">
        <f>IFERROR(INDEX('G-8 Condition Look up'!$I$4:$I$130,MATCH(S85,'G-8 Condition Look up'!$A$4:$A$130,0)),"")</f>
        <v/>
      </c>
      <c r="E85" s="547" t="str">
        <f>'D-1 Off Site Habitat Baseline'!AL84</f>
        <v/>
      </c>
      <c r="F85" s="520" t="str">
        <f>IF(E85="","",IF(ISNA(VLOOKUP($E85,'D-1 Off Site Habitat Baseline'!$D$1:$O$258,4,FALSE)),"",(VLOOKUP($E85,'D-1 Off Site Habitat Baseline'!$D$1:$O$258,4,FALSE))))</f>
        <v/>
      </c>
      <c r="G85" s="520" t="str">
        <f>IF(E85="","",IF(ISNA(VLOOKUP($E85,'D-1 Off Site Habitat Baseline'!$D$1:$O$258,5,FALSE)),"",(VLOOKUP($E85,'D-1 Off Site Habitat Baseline'!$D$1:$O$258,5,FALSE))))</f>
        <v/>
      </c>
      <c r="H85" s="520" t="str">
        <f>IF(E85="","",IF(ISNA(VLOOKUP($E85,'D-1 Off Site Habitat Baseline'!$D$1:$O$258,6,FALSE)),"",(VLOOKUP($E85,'D-1 Off Site Habitat Baseline'!$D$1:$O$258,6,FALSE))))</f>
        <v/>
      </c>
      <c r="I85" s="520" t="str">
        <f>IF(E85="","",IF(ISNA(VLOOKUP($E85,'D-1 Off Site Habitat Baseline'!$D$1:$O$258,7,FALSE)),"",(VLOOKUP($E85,'D-1 Off Site Habitat Baseline'!$D$1:$O$258,7,FALSE))))</f>
        <v/>
      </c>
      <c r="J85" s="520" t="str">
        <f>IF(E85="","",IF(ISNA(VLOOKUP($E85,'D-1 Off Site Habitat Baseline'!$D$1:$O$258,8,FALSE)),"",(VLOOKUP($E85,'D-1 Off Site Habitat Baseline'!$D$1:$O$258,8,FALSE))))</f>
        <v/>
      </c>
      <c r="K85" s="520" t="str">
        <f>IF(E85="","",IF(ISNA(VLOOKUP($E85,'D-1 Off Site Habitat Baseline'!$D$1:$O$258,9,FALSE)),"",(VLOOKUP($E85,'D-1 Off Site Habitat Baseline'!$D$1:$O$258,9,FALSE))))</f>
        <v/>
      </c>
      <c r="L85" s="520" t="str">
        <f>IF(E85="","",IF(ISNA(VLOOKUP($E85,'D-1 Off Site Habitat Baseline'!$D$1:$O$258,11,FALSE)),"",(VLOOKUP($E85,'D-1 Off Site Habitat Baseline'!$D$1:$O$258,11,FALSE))))</f>
        <v/>
      </c>
      <c r="M85" s="520" t="str">
        <f>IF(E85="","",IF(ISNA(VLOOKUP($E85,'D-1 Off Site Habitat Baseline'!$D$1:$O$258,12,FALSE)),"",(VLOOKUP($E85,'D-1 Off Site Habitat Baseline'!$D$1:$O$258,12,FALSE))))</f>
        <v/>
      </c>
      <c r="N85" s="520" t="str">
        <f>IF(E85="","",IF(ISNA(VLOOKUP($E85,'D-1 Off Site Habitat Baseline'!$D$1:$X$258,14,FALSE)),"",(VLOOKUP($E85,'D-1 Off Site Habitat Baseline'!$D$1:$X$258,14,FALSE))))</f>
        <v/>
      </c>
      <c r="O85" s="524" t="str">
        <f>IF(E85="","",IF(ISNA(VLOOKUP($E85,'D-1 Off Site Habitat Baseline'!$D$1:$X$258,13,FALSE)),"",(VLOOKUP($E85,'D-1 Off Site Habitat Baseline'!$D$1:$X$258,13,FALSE))))</f>
        <v/>
      </c>
      <c r="P85" s="232" t="str">
        <f>IFERROR(INDEX('G-1 All Habitats'!$AG$3:$AG$15,MATCH(Q85,'G-1 All Habitats'!$AF$3:$AF$15,0)),"")</f>
        <v/>
      </c>
      <c r="Q85" s="228" t="str">
        <f t="shared" si="23"/>
        <v/>
      </c>
      <c r="R85" s="229" t="str">
        <f t="shared" si="24"/>
        <v/>
      </c>
      <c r="S85" s="233" t="str">
        <f>IFERROR(INDEX('G-1 All Habitats'!$B$3:$B$129,MATCH(R85,'G-1 All Habitats'!$A$3:$A$129,0)),"")</f>
        <v/>
      </c>
      <c r="T85" s="507" t="str">
        <f t="shared" si="16"/>
        <v/>
      </c>
      <c r="U85" s="524" t="str">
        <f t="shared" si="17"/>
        <v/>
      </c>
      <c r="V85" s="523" t="str">
        <f t="shared" si="14"/>
        <v/>
      </c>
      <c r="W85" s="520" t="str">
        <f>IF(S85="","",VLOOKUP(S85,'G-1 All Habitats'!$B$2:$M$129,10,FALSE))</f>
        <v/>
      </c>
      <c r="X85" s="520" t="str">
        <f>IFERROR(VLOOKUP(W85,'G-1 All Habitats'!$V$3:$W$7,2,FALSE),"")</f>
        <v/>
      </c>
      <c r="Y85" s="203"/>
      <c r="Z85" s="524" t="str">
        <f>IFERROR(INDEX('G-8 Condition Look up'!$A$3:$H$130,MATCH(S85,'G-8 Condition Look up'!$A$3:$A$130,0),MATCH(Y85,'G-8 Condition Look up'!$A$3:$H$3,0)),"")</f>
        <v/>
      </c>
      <c r="AA85" s="145"/>
      <c r="AB85" s="540" t="str">
        <f>IF(AA85="","",IF(VLOOKUP(AA85,'G-3 Multipliers'!$L$3:$N$6,2,FALSE)=0,"Spatial Data Missing ⚠",VLOOKUP(AA85,'G-3 Multipliers'!$L$3:$N$6,2,FALSE)))</f>
        <v/>
      </c>
      <c r="AC85" s="524" t="str">
        <f>IF(AA85="","",IF(VLOOKUP(AA85,'G-3 Multipliers'!$L$3:$N$6,3,FALSE)=0,"Spatial Data Missing ⚠",VLOOKUP(AA85,'G-3 Multipliers'!$L$3:$N$6,3,FALSE)))</f>
        <v/>
      </c>
      <c r="AD85" s="537" t="str">
        <f t="shared" si="15"/>
        <v/>
      </c>
      <c r="AE85" s="203"/>
      <c r="AF85" s="203"/>
      <c r="AG85" s="520" t="str">
        <f t="shared" si="18"/>
        <v/>
      </c>
      <c r="AH85" s="544" t="str">
        <f t="shared" si="19"/>
        <v/>
      </c>
      <c r="AI85" s="525" t="str">
        <f>IF(AH85="Check Data ⚠","Check Data ⚠",IFERROR(VLOOKUP(AH85,'G-4 Temporal multipliers'!$A$4:$C$36,3,FALSE),""))</f>
        <v/>
      </c>
      <c r="AJ85" s="537" t="str">
        <f>IF(S85="","",VLOOKUP(S85,'G-3 Multipliers'!$A$2:$E$129,4,FALSE))</f>
        <v/>
      </c>
      <c r="AK85" s="520" t="str">
        <f t="shared" si="20"/>
        <v/>
      </c>
      <c r="AL85" s="520" t="str">
        <f t="shared" si="21"/>
        <v/>
      </c>
      <c r="AM85" s="524" t="str">
        <f>IFERROR(IF(F85="","",IF(AH85="Check Data ⚠","Check Data ⚠",VLOOKUP(AL85, 'G-3 Multipliers'!$P$2:$Q$6,2,FALSE))),"")</f>
        <v/>
      </c>
      <c r="AN85" s="197"/>
      <c r="AO85" s="540" t="str">
        <f>IF(AN85="","",IF(VLOOKUP(AN85,'G-3 Multipliers'!$S$3:$T$9,2,FALSE)=0,"Spatial Data Missing ⚠",VLOOKUP(AN85,'G-3 Multipliers'!$S$3:$T$9,2,FALSE)))</f>
        <v/>
      </c>
      <c r="AP85" s="513" t="str">
        <f t="shared" si="22"/>
        <v/>
      </c>
      <c r="AQ85" s="231"/>
      <c r="AR85" s="150"/>
    </row>
    <row r="86" spans="1:44" x14ac:dyDescent="0.25">
      <c r="A86" s="31" t="str">
        <f>IF(E86="","",IF(ISNA(VLOOKUP($E86,'D-1 Off Site Habitat Baseline'!$D$1:$O$258,2,FALSE)),"",(VLOOKUP($E86,'D-1 Off Site Habitat Baseline'!$D$1:$O$258,2,FALSE))))</f>
        <v/>
      </c>
      <c r="B86" s="31" t="str">
        <f>IF(E86="","",IF(ISNA(VLOOKUP($E86,'D-1 Off Site Habitat Baseline'!$D$1:$O$258,3,FALSE)),"",(VLOOKUP($E86,'D-1 Off Site Habitat Baseline'!$D$1:$O$258,3,FALSE))))</f>
        <v/>
      </c>
      <c r="C86" s="31" t="str">
        <f>IFERROR(INDEX('G-8 Condition Look up'!$I$4:$I$130,MATCH(S86,'G-8 Condition Look up'!$A$4:$A$130,0)),"")</f>
        <v/>
      </c>
      <c r="E86" s="547" t="str">
        <f>'D-1 Off Site Habitat Baseline'!AL85</f>
        <v/>
      </c>
      <c r="F86" s="520" t="str">
        <f>IF(E86="","",IF(ISNA(VLOOKUP($E86,'D-1 Off Site Habitat Baseline'!$D$1:$O$258,4,FALSE)),"",(VLOOKUP($E86,'D-1 Off Site Habitat Baseline'!$D$1:$O$258,4,FALSE))))</f>
        <v/>
      </c>
      <c r="G86" s="520" t="str">
        <f>IF(E86="","",IF(ISNA(VLOOKUP($E86,'D-1 Off Site Habitat Baseline'!$D$1:$O$258,5,FALSE)),"",(VLOOKUP($E86,'D-1 Off Site Habitat Baseline'!$D$1:$O$258,5,FALSE))))</f>
        <v/>
      </c>
      <c r="H86" s="520" t="str">
        <f>IF(E86="","",IF(ISNA(VLOOKUP($E86,'D-1 Off Site Habitat Baseline'!$D$1:$O$258,6,FALSE)),"",(VLOOKUP($E86,'D-1 Off Site Habitat Baseline'!$D$1:$O$258,6,FALSE))))</f>
        <v/>
      </c>
      <c r="I86" s="520" t="str">
        <f>IF(E86="","",IF(ISNA(VLOOKUP($E86,'D-1 Off Site Habitat Baseline'!$D$1:$O$258,7,FALSE)),"",(VLOOKUP($E86,'D-1 Off Site Habitat Baseline'!$D$1:$O$258,7,FALSE))))</f>
        <v/>
      </c>
      <c r="J86" s="520" t="str">
        <f>IF(E86="","",IF(ISNA(VLOOKUP($E86,'D-1 Off Site Habitat Baseline'!$D$1:$O$258,8,FALSE)),"",(VLOOKUP($E86,'D-1 Off Site Habitat Baseline'!$D$1:$O$258,8,FALSE))))</f>
        <v/>
      </c>
      <c r="K86" s="520" t="str">
        <f>IF(E86="","",IF(ISNA(VLOOKUP($E86,'D-1 Off Site Habitat Baseline'!$D$1:$O$258,9,FALSE)),"",(VLOOKUP($E86,'D-1 Off Site Habitat Baseline'!$D$1:$O$258,9,FALSE))))</f>
        <v/>
      </c>
      <c r="L86" s="520" t="str">
        <f>IF(E86="","",IF(ISNA(VLOOKUP($E86,'D-1 Off Site Habitat Baseline'!$D$1:$O$258,11,FALSE)),"",(VLOOKUP($E86,'D-1 Off Site Habitat Baseline'!$D$1:$O$258,11,FALSE))))</f>
        <v/>
      </c>
      <c r="M86" s="520" t="str">
        <f>IF(E86="","",IF(ISNA(VLOOKUP($E86,'D-1 Off Site Habitat Baseline'!$D$1:$O$258,12,FALSE)),"",(VLOOKUP($E86,'D-1 Off Site Habitat Baseline'!$D$1:$O$258,12,FALSE))))</f>
        <v/>
      </c>
      <c r="N86" s="520" t="str">
        <f>IF(E86="","",IF(ISNA(VLOOKUP($E86,'D-1 Off Site Habitat Baseline'!$D$1:$X$258,14,FALSE)),"",(VLOOKUP($E86,'D-1 Off Site Habitat Baseline'!$D$1:$X$258,14,FALSE))))</f>
        <v/>
      </c>
      <c r="O86" s="524" t="str">
        <f>IF(E86="","",IF(ISNA(VLOOKUP($E86,'D-1 Off Site Habitat Baseline'!$D$1:$X$258,13,FALSE)),"",(VLOOKUP($E86,'D-1 Off Site Habitat Baseline'!$D$1:$X$258,13,FALSE))))</f>
        <v/>
      </c>
      <c r="P86" s="232" t="str">
        <f>IFERROR(INDEX('G-1 All Habitats'!$AG$3:$AG$15,MATCH(Q86,'G-1 All Habitats'!$AF$3:$AF$15,0)),"")</f>
        <v/>
      </c>
      <c r="Q86" s="228" t="str">
        <f t="shared" si="23"/>
        <v/>
      </c>
      <c r="R86" s="229" t="str">
        <f t="shared" si="24"/>
        <v/>
      </c>
      <c r="S86" s="233" t="str">
        <f>IFERROR(INDEX('G-1 All Habitats'!$B$3:$B$129,MATCH(R86,'G-1 All Habitats'!$A$3:$A$129,0)),"")</f>
        <v/>
      </c>
      <c r="T86" s="507" t="str">
        <f t="shared" si="16"/>
        <v/>
      </c>
      <c r="U86" s="524" t="str">
        <f t="shared" si="17"/>
        <v/>
      </c>
      <c r="V86" s="523" t="str">
        <f t="shared" si="14"/>
        <v/>
      </c>
      <c r="W86" s="520" t="str">
        <f>IF(S86="","",VLOOKUP(S86,'G-1 All Habitats'!$B$2:$M$129,10,FALSE))</f>
        <v/>
      </c>
      <c r="X86" s="520" t="str">
        <f>IFERROR(VLOOKUP(W86,'G-1 All Habitats'!$V$3:$W$7,2,FALSE),"")</f>
        <v/>
      </c>
      <c r="Y86" s="203"/>
      <c r="Z86" s="524" t="str">
        <f>IFERROR(INDEX('G-8 Condition Look up'!$A$3:$H$130,MATCH(S86,'G-8 Condition Look up'!$A$3:$A$130,0),MATCH(Y86,'G-8 Condition Look up'!$A$3:$H$3,0)),"")</f>
        <v/>
      </c>
      <c r="AA86" s="145"/>
      <c r="AB86" s="540" t="str">
        <f>IF(AA86="","",IF(VLOOKUP(AA86,'G-3 Multipliers'!$L$3:$N$6,2,FALSE)=0,"Spatial Data Missing ⚠",VLOOKUP(AA86,'G-3 Multipliers'!$L$3:$N$6,2,FALSE)))</f>
        <v/>
      </c>
      <c r="AC86" s="524" t="str">
        <f>IF(AA86="","",IF(VLOOKUP(AA86,'G-3 Multipliers'!$L$3:$N$6,3,FALSE)=0,"Spatial Data Missing ⚠",VLOOKUP(AA86,'G-3 Multipliers'!$L$3:$N$6,3,FALSE)))</f>
        <v/>
      </c>
      <c r="AD86" s="537" t="str">
        <f t="shared" si="15"/>
        <v/>
      </c>
      <c r="AE86" s="203"/>
      <c r="AF86" s="203"/>
      <c r="AG86" s="520" t="str">
        <f t="shared" si="18"/>
        <v/>
      </c>
      <c r="AH86" s="544" t="str">
        <f t="shared" si="19"/>
        <v/>
      </c>
      <c r="AI86" s="525" t="str">
        <f>IF(AH86="Check Data ⚠","Check Data ⚠",IFERROR(VLOOKUP(AH86,'G-4 Temporal multipliers'!$A$4:$C$36,3,FALSE),""))</f>
        <v/>
      </c>
      <c r="AJ86" s="537" t="str">
        <f>IF(S86="","",VLOOKUP(S86,'G-3 Multipliers'!$A$2:$E$129,4,FALSE))</f>
        <v/>
      </c>
      <c r="AK86" s="520" t="str">
        <f t="shared" si="20"/>
        <v/>
      </c>
      <c r="AL86" s="520" t="str">
        <f t="shared" si="21"/>
        <v/>
      </c>
      <c r="AM86" s="524" t="str">
        <f>IFERROR(IF(F86="","",IF(AH86="Check Data ⚠","Check Data ⚠",VLOOKUP(AL86, 'G-3 Multipliers'!$P$2:$Q$6,2,FALSE))),"")</f>
        <v/>
      </c>
      <c r="AN86" s="197"/>
      <c r="AO86" s="540" t="str">
        <f>IF(AN86="","",IF(VLOOKUP(AN86,'G-3 Multipliers'!$S$3:$T$9,2,FALSE)=0,"Spatial Data Missing ⚠",VLOOKUP(AN86,'G-3 Multipliers'!$S$3:$T$9,2,FALSE)))</f>
        <v/>
      </c>
      <c r="AP86" s="513" t="str">
        <f t="shared" si="22"/>
        <v/>
      </c>
      <c r="AQ86" s="231"/>
      <c r="AR86" s="150"/>
    </row>
    <row r="87" spans="1:44" x14ac:dyDescent="0.25">
      <c r="A87" s="31" t="str">
        <f>IF(E87="","",IF(ISNA(VLOOKUP($E87,'D-1 Off Site Habitat Baseline'!$D$1:$O$258,2,FALSE)),"",(VLOOKUP($E87,'D-1 Off Site Habitat Baseline'!$D$1:$O$258,2,FALSE))))</f>
        <v/>
      </c>
      <c r="B87" s="31" t="str">
        <f>IF(E87="","",IF(ISNA(VLOOKUP($E87,'D-1 Off Site Habitat Baseline'!$D$1:$O$258,3,FALSE)),"",(VLOOKUP($E87,'D-1 Off Site Habitat Baseline'!$D$1:$O$258,3,FALSE))))</f>
        <v/>
      </c>
      <c r="C87" s="31" t="str">
        <f>IFERROR(INDEX('G-8 Condition Look up'!$I$4:$I$130,MATCH(S87,'G-8 Condition Look up'!$A$4:$A$130,0)),"")</f>
        <v/>
      </c>
      <c r="E87" s="547" t="str">
        <f>'D-1 Off Site Habitat Baseline'!AL86</f>
        <v/>
      </c>
      <c r="F87" s="520" t="str">
        <f>IF(E87="","",IF(ISNA(VLOOKUP($E87,'D-1 Off Site Habitat Baseline'!$D$1:$O$258,4,FALSE)),"",(VLOOKUP($E87,'D-1 Off Site Habitat Baseline'!$D$1:$O$258,4,FALSE))))</f>
        <v/>
      </c>
      <c r="G87" s="520" t="str">
        <f>IF(E87="","",IF(ISNA(VLOOKUP($E87,'D-1 Off Site Habitat Baseline'!$D$1:$O$258,5,FALSE)),"",(VLOOKUP($E87,'D-1 Off Site Habitat Baseline'!$D$1:$O$258,5,FALSE))))</f>
        <v/>
      </c>
      <c r="H87" s="520" t="str">
        <f>IF(E87="","",IF(ISNA(VLOOKUP($E87,'D-1 Off Site Habitat Baseline'!$D$1:$O$258,6,FALSE)),"",(VLOOKUP($E87,'D-1 Off Site Habitat Baseline'!$D$1:$O$258,6,FALSE))))</f>
        <v/>
      </c>
      <c r="I87" s="520" t="str">
        <f>IF(E87="","",IF(ISNA(VLOOKUP($E87,'D-1 Off Site Habitat Baseline'!$D$1:$O$258,7,FALSE)),"",(VLOOKUP($E87,'D-1 Off Site Habitat Baseline'!$D$1:$O$258,7,FALSE))))</f>
        <v/>
      </c>
      <c r="J87" s="520" t="str">
        <f>IF(E87="","",IF(ISNA(VLOOKUP($E87,'D-1 Off Site Habitat Baseline'!$D$1:$O$258,8,FALSE)),"",(VLOOKUP($E87,'D-1 Off Site Habitat Baseline'!$D$1:$O$258,8,FALSE))))</f>
        <v/>
      </c>
      <c r="K87" s="520" t="str">
        <f>IF(E87="","",IF(ISNA(VLOOKUP($E87,'D-1 Off Site Habitat Baseline'!$D$1:$O$258,9,FALSE)),"",(VLOOKUP($E87,'D-1 Off Site Habitat Baseline'!$D$1:$O$258,9,FALSE))))</f>
        <v/>
      </c>
      <c r="L87" s="520" t="str">
        <f>IF(E87="","",IF(ISNA(VLOOKUP($E87,'D-1 Off Site Habitat Baseline'!$D$1:$O$258,11,FALSE)),"",(VLOOKUP($E87,'D-1 Off Site Habitat Baseline'!$D$1:$O$258,11,FALSE))))</f>
        <v/>
      </c>
      <c r="M87" s="520" t="str">
        <f>IF(E87="","",IF(ISNA(VLOOKUP($E87,'D-1 Off Site Habitat Baseline'!$D$1:$O$258,12,FALSE)),"",(VLOOKUP($E87,'D-1 Off Site Habitat Baseline'!$D$1:$O$258,12,FALSE))))</f>
        <v/>
      </c>
      <c r="N87" s="520" t="str">
        <f>IF(E87="","",IF(ISNA(VLOOKUP($E87,'D-1 Off Site Habitat Baseline'!$D$1:$X$258,14,FALSE)),"",(VLOOKUP($E87,'D-1 Off Site Habitat Baseline'!$D$1:$X$258,14,FALSE))))</f>
        <v/>
      </c>
      <c r="O87" s="524" t="str">
        <f>IF(E87="","",IF(ISNA(VLOOKUP($E87,'D-1 Off Site Habitat Baseline'!$D$1:$X$258,13,FALSE)),"",(VLOOKUP($E87,'D-1 Off Site Habitat Baseline'!$D$1:$X$258,13,FALSE))))</f>
        <v/>
      </c>
      <c r="P87" s="232" t="str">
        <f>IFERROR(INDEX('G-1 All Habitats'!$AG$3:$AG$15,MATCH(Q87,'G-1 All Habitats'!$AF$3:$AF$15,0)),"")</f>
        <v/>
      </c>
      <c r="Q87" s="228" t="str">
        <f t="shared" si="23"/>
        <v/>
      </c>
      <c r="R87" s="229" t="str">
        <f t="shared" si="24"/>
        <v/>
      </c>
      <c r="S87" s="233" t="str">
        <f>IFERROR(INDEX('G-1 All Habitats'!$B$3:$B$129,MATCH(R87,'G-1 All Habitats'!$A$3:$A$129,0)),"")</f>
        <v/>
      </c>
      <c r="T87" s="507" t="str">
        <f t="shared" si="16"/>
        <v/>
      </c>
      <c r="U87" s="524" t="str">
        <f t="shared" si="17"/>
        <v/>
      </c>
      <c r="V87" s="523" t="str">
        <f t="shared" si="14"/>
        <v/>
      </c>
      <c r="W87" s="520" t="str">
        <f>IF(S87="","",VLOOKUP(S87,'G-1 All Habitats'!$B$2:$M$129,10,FALSE))</f>
        <v/>
      </c>
      <c r="X87" s="520" t="str">
        <f>IFERROR(VLOOKUP(W87,'G-1 All Habitats'!$V$3:$W$7,2,FALSE),"")</f>
        <v/>
      </c>
      <c r="Y87" s="203"/>
      <c r="Z87" s="524" t="str">
        <f>IFERROR(INDEX('G-8 Condition Look up'!$A$3:$H$130,MATCH(S87,'G-8 Condition Look up'!$A$3:$A$130,0),MATCH(Y87,'G-8 Condition Look up'!$A$3:$H$3,0)),"")</f>
        <v/>
      </c>
      <c r="AA87" s="145"/>
      <c r="AB87" s="540" t="str">
        <f>IF(AA87="","",IF(VLOOKUP(AA87,'G-3 Multipliers'!$L$3:$N$6,2,FALSE)=0,"Spatial Data Missing ⚠",VLOOKUP(AA87,'G-3 Multipliers'!$L$3:$N$6,2,FALSE)))</f>
        <v/>
      </c>
      <c r="AC87" s="524" t="str">
        <f>IF(AA87="","",IF(VLOOKUP(AA87,'G-3 Multipliers'!$L$3:$N$6,3,FALSE)=0,"Spatial Data Missing ⚠",VLOOKUP(AA87,'G-3 Multipliers'!$L$3:$N$6,3,FALSE)))</f>
        <v/>
      </c>
      <c r="AD87" s="537" t="str">
        <f t="shared" si="15"/>
        <v/>
      </c>
      <c r="AE87" s="203"/>
      <c r="AF87" s="203"/>
      <c r="AG87" s="520" t="str">
        <f t="shared" si="18"/>
        <v/>
      </c>
      <c r="AH87" s="544" t="str">
        <f t="shared" si="19"/>
        <v/>
      </c>
      <c r="AI87" s="525" t="str">
        <f>IF(AH87="Check Data ⚠","Check Data ⚠",IFERROR(VLOOKUP(AH87,'G-4 Temporal multipliers'!$A$4:$C$36,3,FALSE),""))</f>
        <v/>
      </c>
      <c r="AJ87" s="537" t="str">
        <f>IF(S87="","",VLOOKUP(S87,'G-3 Multipliers'!$A$2:$E$129,4,FALSE))</f>
        <v/>
      </c>
      <c r="AK87" s="520" t="str">
        <f t="shared" si="20"/>
        <v/>
      </c>
      <c r="AL87" s="520" t="str">
        <f t="shared" si="21"/>
        <v/>
      </c>
      <c r="AM87" s="524" t="str">
        <f>IFERROR(IF(F87="","",IF(AH87="Check Data ⚠","Check Data ⚠",VLOOKUP(AL87, 'G-3 Multipliers'!$P$2:$Q$6,2,FALSE))),"")</f>
        <v/>
      </c>
      <c r="AN87" s="197"/>
      <c r="AO87" s="540" t="str">
        <f>IF(AN87="","",IF(VLOOKUP(AN87,'G-3 Multipliers'!$S$3:$T$9,2,FALSE)=0,"Spatial Data Missing ⚠",VLOOKUP(AN87,'G-3 Multipliers'!$S$3:$T$9,2,FALSE)))</f>
        <v/>
      </c>
      <c r="AP87" s="513" t="str">
        <f t="shared" si="22"/>
        <v/>
      </c>
      <c r="AQ87" s="231"/>
      <c r="AR87" s="150"/>
    </row>
    <row r="88" spans="1:44" x14ac:dyDescent="0.25">
      <c r="A88" s="31" t="str">
        <f>IF(E88="","",IF(ISNA(VLOOKUP($E88,'D-1 Off Site Habitat Baseline'!$D$1:$O$258,2,FALSE)),"",(VLOOKUP($E88,'D-1 Off Site Habitat Baseline'!$D$1:$O$258,2,FALSE))))</f>
        <v/>
      </c>
      <c r="B88" s="31" t="str">
        <f>IF(E88="","",IF(ISNA(VLOOKUP($E88,'D-1 Off Site Habitat Baseline'!$D$1:$O$258,3,FALSE)),"",(VLOOKUP($E88,'D-1 Off Site Habitat Baseline'!$D$1:$O$258,3,FALSE))))</f>
        <v/>
      </c>
      <c r="C88" s="31" t="str">
        <f>IFERROR(INDEX('G-8 Condition Look up'!$I$4:$I$130,MATCH(S88,'G-8 Condition Look up'!$A$4:$A$130,0)),"")</f>
        <v/>
      </c>
      <c r="E88" s="547" t="str">
        <f>'D-1 Off Site Habitat Baseline'!AL87</f>
        <v/>
      </c>
      <c r="F88" s="520" t="str">
        <f>IF(E88="","",IF(ISNA(VLOOKUP($E88,'D-1 Off Site Habitat Baseline'!$D$1:$O$258,4,FALSE)),"",(VLOOKUP($E88,'D-1 Off Site Habitat Baseline'!$D$1:$O$258,4,FALSE))))</f>
        <v/>
      </c>
      <c r="G88" s="520" t="str">
        <f>IF(E88="","",IF(ISNA(VLOOKUP($E88,'D-1 Off Site Habitat Baseline'!$D$1:$O$258,5,FALSE)),"",(VLOOKUP($E88,'D-1 Off Site Habitat Baseline'!$D$1:$O$258,5,FALSE))))</f>
        <v/>
      </c>
      <c r="H88" s="520" t="str">
        <f>IF(E88="","",IF(ISNA(VLOOKUP($E88,'D-1 Off Site Habitat Baseline'!$D$1:$O$258,6,FALSE)),"",(VLOOKUP($E88,'D-1 Off Site Habitat Baseline'!$D$1:$O$258,6,FALSE))))</f>
        <v/>
      </c>
      <c r="I88" s="520" t="str">
        <f>IF(E88="","",IF(ISNA(VLOOKUP($E88,'D-1 Off Site Habitat Baseline'!$D$1:$O$258,7,FALSE)),"",(VLOOKUP($E88,'D-1 Off Site Habitat Baseline'!$D$1:$O$258,7,FALSE))))</f>
        <v/>
      </c>
      <c r="J88" s="520" t="str">
        <f>IF(E88="","",IF(ISNA(VLOOKUP($E88,'D-1 Off Site Habitat Baseline'!$D$1:$O$258,8,FALSE)),"",(VLOOKUP($E88,'D-1 Off Site Habitat Baseline'!$D$1:$O$258,8,FALSE))))</f>
        <v/>
      </c>
      <c r="K88" s="520" t="str">
        <f>IF(E88="","",IF(ISNA(VLOOKUP($E88,'D-1 Off Site Habitat Baseline'!$D$1:$O$258,9,FALSE)),"",(VLOOKUP($E88,'D-1 Off Site Habitat Baseline'!$D$1:$O$258,9,FALSE))))</f>
        <v/>
      </c>
      <c r="L88" s="520" t="str">
        <f>IF(E88="","",IF(ISNA(VLOOKUP($E88,'D-1 Off Site Habitat Baseline'!$D$1:$O$258,11,FALSE)),"",(VLOOKUP($E88,'D-1 Off Site Habitat Baseline'!$D$1:$O$258,11,FALSE))))</f>
        <v/>
      </c>
      <c r="M88" s="520" t="str">
        <f>IF(E88="","",IF(ISNA(VLOOKUP($E88,'D-1 Off Site Habitat Baseline'!$D$1:$O$258,12,FALSE)),"",(VLOOKUP($E88,'D-1 Off Site Habitat Baseline'!$D$1:$O$258,12,FALSE))))</f>
        <v/>
      </c>
      <c r="N88" s="520" t="str">
        <f>IF(E88="","",IF(ISNA(VLOOKUP($E88,'D-1 Off Site Habitat Baseline'!$D$1:$X$258,14,FALSE)),"",(VLOOKUP($E88,'D-1 Off Site Habitat Baseline'!$D$1:$X$258,14,FALSE))))</f>
        <v/>
      </c>
      <c r="O88" s="524" t="str">
        <f>IF(E88="","",IF(ISNA(VLOOKUP($E88,'D-1 Off Site Habitat Baseline'!$D$1:$X$258,13,FALSE)),"",(VLOOKUP($E88,'D-1 Off Site Habitat Baseline'!$D$1:$X$258,13,FALSE))))</f>
        <v/>
      </c>
      <c r="P88" s="232" t="str">
        <f>IFERROR(INDEX('G-1 All Habitats'!$AG$3:$AG$15,MATCH(Q88,'G-1 All Habitats'!$AF$3:$AF$15,0)),"")</f>
        <v/>
      </c>
      <c r="Q88" s="228" t="str">
        <f t="shared" si="23"/>
        <v/>
      </c>
      <c r="R88" s="229" t="str">
        <f t="shared" si="24"/>
        <v/>
      </c>
      <c r="S88" s="233" t="str">
        <f>IFERROR(INDEX('G-1 All Habitats'!$B$3:$B$129,MATCH(R88,'G-1 All Habitats'!$A$3:$A$129,0)),"")</f>
        <v/>
      </c>
      <c r="T88" s="507" t="str">
        <f t="shared" si="16"/>
        <v/>
      </c>
      <c r="U88" s="524" t="str">
        <f t="shared" si="17"/>
        <v/>
      </c>
      <c r="V88" s="523" t="str">
        <f t="shared" si="14"/>
        <v/>
      </c>
      <c r="W88" s="520" t="str">
        <f>IF(S88="","",VLOOKUP(S88,'G-1 All Habitats'!$B$2:$M$129,10,FALSE))</f>
        <v/>
      </c>
      <c r="X88" s="520" t="str">
        <f>IFERROR(VLOOKUP(W88,'G-1 All Habitats'!$V$3:$W$7,2,FALSE),"")</f>
        <v/>
      </c>
      <c r="Y88" s="203"/>
      <c r="Z88" s="524" t="str">
        <f>IFERROR(INDEX('G-8 Condition Look up'!$A$3:$H$130,MATCH(S88,'G-8 Condition Look up'!$A$3:$A$130,0),MATCH(Y88,'G-8 Condition Look up'!$A$3:$H$3,0)),"")</f>
        <v/>
      </c>
      <c r="AA88" s="145"/>
      <c r="AB88" s="540" t="str">
        <f>IF(AA88="","",IF(VLOOKUP(AA88,'G-3 Multipliers'!$L$3:$N$6,2,FALSE)=0,"Spatial Data Missing ⚠",VLOOKUP(AA88,'G-3 Multipliers'!$L$3:$N$6,2,FALSE)))</f>
        <v/>
      </c>
      <c r="AC88" s="524" t="str">
        <f>IF(AA88="","",IF(VLOOKUP(AA88,'G-3 Multipliers'!$L$3:$N$6,3,FALSE)=0,"Spatial Data Missing ⚠",VLOOKUP(AA88,'G-3 Multipliers'!$L$3:$N$6,3,FALSE)))</f>
        <v/>
      </c>
      <c r="AD88" s="537" t="str">
        <f t="shared" si="15"/>
        <v/>
      </c>
      <c r="AE88" s="203"/>
      <c r="AF88" s="203"/>
      <c r="AG88" s="520" t="str">
        <f t="shared" si="18"/>
        <v/>
      </c>
      <c r="AH88" s="544" t="str">
        <f t="shared" si="19"/>
        <v/>
      </c>
      <c r="AI88" s="525" t="str">
        <f>IF(AH88="Check Data ⚠","Check Data ⚠",IFERROR(VLOOKUP(AH88,'G-4 Temporal multipliers'!$A$4:$C$36,3,FALSE),""))</f>
        <v/>
      </c>
      <c r="AJ88" s="537" t="str">
        <f>IF(S88="","",VLOOKUP(S88,'G-3 Multipliers'!$A$2:$E$129,4,FALSE))</f>
        <v/>
      </c>
      <c r="AK88" s="520" t="str">
        <f t="shared" si="20"/>
        <v/>
      </c>
      <c r="AL88" s="520" t="str">
        <f t="shared" si="21"/>
        <v/>
      </c>
      <c r="AM88" s="524" t="str">
        <f>IFERROR(IF(F88="","",IF(AH88="Check Data ⚠","Check Data ⚠",VLOOKUP(AL88, 'G-3 Multipliers'!$P$2:$Q$6,2,FALSE))),"")</f>
        <v/>
      </c>
      <c r="AN88" s="197"/>
      <c r="AO88" s="540" t="str">
        <f>IF(AN88="","",IF(VLOOKUP(AN88,'G-3 Multipliers'!$S$3:$T$9,2,FALSE)=0,"Spatial Data Missing ⚠",VLOOKUP(AN88,'G-3 Multipliers'!$S$3:$T$9,2,FALSE)))</f>
        <v/>
      </c>
      <c r="AP88" s="513" t="str">
        <f t="shared" si="22"/>
        <v/>
      </c>
      <c r="AQ88" s="231"/>
      <c r="AR88" s="150"/>
    </row>
    <row r="89" spans="1:44" x14ac:dyDescent="0.25">
      <c r="A89" s="31" t="str">
        <f>IF(E89="","",IF(ISNA(VLOOKUP($E89,'D-1 Off Site Habitat Baseline'!$D$1:$O$258,2,FALSE)),"",(VLOOKUP($E89,'D-1 Off Site Habitat Baseline'!$D$1:$O$258,2,FALSE))))</f>
        <v/>
      </c>
      <c r="B89" s="31" t="str">
        <f>IF(E89="","",IF(ISNA(VLOOKUP($E89,'D-1 Off Site Habitat Baseline'!$D$1:$O$258,3,FALSE)),"",(VLOOKUP($E89,'D-1 Off Site Habitat Baseline'!$D$1:$O$258,3,FALSE))))</f>
        <v/>
      </c>
      <c r="C89" s="31" t="str">
        <f>IFERROR(INDEX('G-8 Condition Look up'!$I$4:$I$130,MATCH(S89,'G-8 Condition Look up'!$A$4:$A$130,0)),"")</f>
        <v/>
      </c>
      <c r="E89" s="547" t="str">
        <f>'D-1 Off Site Habitat Baseline'!AL88</f>
        <v/>
      </c>
      <c r="F89" s="520" t="str">
        <f>IF(E89="","",IF(ISNA(VLOOKUP($E89,'D-1 Off Site Habitat Baseline'!$D$1:$O$258,4,FALSE)),"",(VLOOKUP($E89,'D-1 Off Site Habitat Baseline'!$D$1:$O$258,4,FALSE))))</f>
        <v/>
      </c>
      <c r="G89" s="520" t="str">
        <f>IF(E89="","",IF(ISNA(VLOOKUP($E89,'D-1 Off Site Habitat Baseline'!$D$1:$O$258,5,FALSE)),"",(VLOOKUP($E89,'D-1 Off Site Habitat Baseline'!$D$1:$O$258,5,FALSE))))</f>
        <v/>
      </c>
      <c r="H89" s="520" t="str">
        <f>IF(E89="","",IF(ISNA(VLOOKUP($E89,'D-1 Off Site Habitat Baseline'!$D$1:$O$258,6,FALSE)),"",(VLOOKUP($E89,'D-1 Off Site Habitat Baseline'!$D$1:$O$258,6,FALSE))))</f>
        <v/>
      </c>
      <c r="I89" s="520" t="str">
        <f>IF(E89="","",IF(ISNA(VLOOKUP($E89,'D-1 Off Site Habitat Baseline'!$D$1:$O$258,7,FALSE)),"",(VLOOKUP($E89,'D-1 Off Site Habitat Baseline'!$D$1:$O$258,7,FALSE))))</f>
        <v/>
      </c>
      <c r="J89" s="520" t="str">
        <f>IF(E89="","",IF(ISNA(VLOOKUP($E89,'D-1 Off Site Habitat Baseline'!$D$1:$O$258,8,FALSE)),"",(VLOOKUP($E89,'D-1 Off Site Habitat Baseline'!$D$1:$O$258,8,FALSE))))</f>
        <v/>
      </c>
      <c r="K89" s="520" t="str">
        <f>IF(E89="","",IF(ISNA(VLOOKUP($E89,'D-1 Off Site Habitat Baseline'!$D$1:$O$258,9,FALSE)),"",(VLOOKUP($E89,'D-1 Off Site Habitat Baseline'!$D$1:$O$258,9,FALSE))))</f>
        <v/>
      </c>
      <c r="L89" s="520" t="str">
        <f>IF(E89="","",IF(ISNA(VLOOKUP($E89,'D-1 Off Site Habitat Baseline'!$D$1:$O$258,11,FALSE)),"",(VLOOKUP($E89,'D-1 Off Site Habitat Baseline'!$D$1:$O$258,11,FALSE))))</f>
        <v/>
      </c>
      <c r="M89" s="520" t="str">
        <f>IF(E89="","",IF(ISNA(VLOOKUP($E89,'D-1 Off Site Habitat Baseline'!$D$1:$O$258,12,FALSE)),"",(VLOOKUP($E89,'D-1 Off Site Habitat Baseline'!$D$1:$O$258,12,FALSE))))</f>
        <v/>
      </c>
      <c r="N89" s="520" t="str">
        <f>IF(E89="","",IF(ISNA(VLOOKUP($E89,'D-1 Off Site Habitat Baseline'!$D$1:$X$258,14,FALSE)),"",(VLOOKUP($E89,'D-1 Off Site Habitat Baseline'!$D$1:$X$258,14,FALSE))))</f>
        <v/>
      </c>
      <c r="O89" s="524" t="str">
        <f>IF(E89="","",IF(ISNA(VLOOKUP($E89,'D-1 Off Site Habitat Baseline'!$D$1:$X$258,13,FALSE)),"",(VLOOKUP($E89,'D-1 Off Site Habitat Baseline'!$D$1:$X$258,13,FALSE))))</f>
        <v/>
      </c>
      <c r="P89" s="232" t="str">
        <f>IFERROR(INDEX('G-1 All Habitats'!$AG$3:$AG$15,MATCH(Q89,'G-1 All Habitats'!$AF$3:$AF$15,0)),"")</f>
        <v/>
      </c>
      <c r="Q89" s="228" t="str">
        <f t="shared" si="23"/>
        <v/>
      </c>
      <c r="R89" s="229" t="str">
        <f t="shared" si="24"/>
        <v/>
      </c>
      <c r="S89" s="233" t="str">
        <f>IFERROR(INDEX('G-1 All Habitats'!$B$3:$B$129,MATCH(R89,'G-1 All Habitats'!$A$3:$A$129,0)),"")</f>
        <v/>
      </c>
      <c r="T89" s="507" t="str">
        <f t="shared" si="16"/>
        <v/>
      </c>
      <c r="U89" s="524" t="str">
        <f t="shared" si="17"/>
        <v/>
      </c>
      <c r="V89" s="523" t="str">
        <f t="shared" si="14"/>
        <v/>
      </c>
      <c r="W89" s="520" t="str">
        <f>IF(S89="","",VLOOKUP(S89,'G-1 All Habitats'!$B$2:$M$129,10,FALSE))</f>
        <v/>
      </c>
      <c r="X89" s="520" t="str">
        <f>IFERROR(VLOOKUP(W89,'G-1 All Habitats'!$V$3:$W$7,2,FALSE),"")</f>
        <v/>
      </c>
      <c r="Y89" s="203"/>
      <c r="Z89" s="524" t="str">
        <f>IFERROR(INDEX('G-8 Condition Look up'!$A$3:$H$130,MATCH(S89,'G-8 Condition Look up'!$A$3:$A$130,0),MATCH(Y89,'G-8 Condition Look up'!$A$3:$H$3,0)),"")</f>
        <v/>
      </c>
      <c r="AA89" s="145"/>
      <c r="AB89" s="540" t="str">
        <f>IF(AA89="","",IF(VLOOKUP(AA89,'G-3 Multipliers'!$L$3:$N$6,2,FALSE)=0,"Spatial Data Missing ⚠",VLOOKUP(AA89,'G-3 Multipliers'!$L$3:$N$6,2,FALSE)))</f>
        <v/>
      </c>
      <c r="AC89" s="524" t="str">
        <f>IF(AA89="","",IF(VLOOKUP(AA89,'G-3 Multipliers'!$L$3:$N$6,3,FALSE)=0,"Spatial Data Missing ⚠",VLOOKUP(AA89,'G-3 Multipliers'!$L$3:$N$6,3,FALSE)))</f>
        <v/>
      </c>
      <c r="AD89" s="537" t="str">
        <f t="shared" si="15"/>
        <v/>
      </c>
      <c r="AE89" s="203"/>
      <c r="AF89" s="203"/>
      <c r="AG89" s="520" t="str">
        <f t="shared" si="18"/>
        <v/>
      </c>
      <c r="AH89" s="544" t="str">
        <f t="shared" si="19"/>
        <v/>
      </c>
      <c r="AI89" s="525" t="str">
        <f>IF(AH89="Check Data ⚠","Check Data ⚠",IFERROR(VLOOKUP(AH89,'G-4 Temporal multipliers'!$A$4:$C$36,3,FALSE),""))</f>
        <v/>
      </c>
      <c r="AJ89" s="537" t="str">
        <f>IF(S89="","",VLOOKUP(S89,'G-3 Multipliers'!$A$2:$E$129,4,FALSE))</f>
        <v/>
      </c>
      <c r="AK89" s="520" t="str">
        <f t="shared" si="20"/>
        <v/>
      </c>
      <c r="AL89" s="520" t="str">
        <f t="shared" si="21"/>
        <v/>
      </c>
      <c r="AM89" s="524" t="str">
        <f>IFERROR(IF(F89="","",IF(AH89="Check Data ⚠","Check Data ⚠",VLOOKUP(AL89, 'G-3 Multipliers'!$P$2:$Q$6,2,FALSE))),"")</f>
        <v/>
      </c>
      <c r="AN89" s="197"/>
      <c r="AO89" s="540" t="str">
        <f>IF(AN89="","",IF(VLOOKUP(AN89,'G-3 Multipliers'!$S$3:$T$9,2,FALSE)=0,"Spatial Data Missing ⚠",VLOOKUP(AN89,'G-3 Multipliers'!$S$3:$T$9,2,FALSE)))</f>
        <v/>
      </c>
      <c r="AP89" s="513" t="str">
        <f t="shared" si="22"/>
        <v/>
      </c>
      <c r="AQ89" s="231"/>
      <c r="AR89" s="150"/>
    </row>
    <row r="90" spans="1:44" x14ac:dyDescent="0.25">
      <c r="A90" s="31" t="str">
        <f>IF(E90="","",IF(ISNA(VLOOKUP($E90,'D-1 Off Site Habitat Baseline'!$D$1:$O$258,2,FALSE)),"",(VLOOKUP($E90,'D-1 Off Site Habitat Baseline'!$D$1:$O$258,2,FALSE))))</f>
        <v/>
      </c>
      <c r="B90" s="31" t="str">
        <f>IF(E90="","",IF(ISNA(VLOOKUP($E90,'D-1 Off Site Habitat Baseline'!$D$1:$O$258,3,FALSE)),"",(VLOOKUP($E90,'D-1 Off Site Habitat Baseline'!$D$1:$O$258,3,FALSE))))</f>
        <v/>
      </c>
      <c r="C90" s="31" t="str">
        <f>IFERROR(INDEX('G-8 Condition Look up'!$I$4:$I$130,MATCH(S90,'G-8 Condition Look up'!$A$4:$A$130,0)),"")</f>
        <v/>
      </c>
      <c r="E90" s="547" t="str">
        <f>'D-1 Off Site Habitat Baseline'!AL89</f>
        <v/>
      </c>
      <c r="F90" s="520" t="str">
        <f>IF(E90="","",IF(ISNA(VLOOKUP($E90,'D-1 Off Site Habitat Baseline'!$D$1:$O$258,4,FALSE)),"",(VLOOKUP($E90,'D-1 Off Site Habitat Baseline'!$D$1:$O$258,4,FALSE))))</f>
        <v/>
      </c>
      <c r="G90" s="520" t="str">
        <f>IF(E90="","",IF(ISNA(VLOOKUP($E90,'D-1 Off Site Habitat Baseline'!$D$1:$O$258,5,FALSE)),"",(VLOOKUP($E90,'D-1 Off Site Habitat Baseline'!$D$1:$O$258,5,FALSE))))</f>
        <v/>
      </c>
      <c r="H90" s="520" t="str">
        <f>IF(E90="","",IF(ISNA(VLOOKUP($E90,'D-1 Off Site Habitat Baseline'!$D$1:$O$258,6,FALSE)),"",(VLOOKUP($E90,'D-1 Off Site Habitat Baseline'!$D$1:$O$258,6,FALSE))))</f>
        <v/>
      </c>
      <c r="I90" s="520" t="str">
        <f>IF(E90="","",IF(ISNA(VLOOKUP($E90,'D-1 Off Site Habitat Baseline'!$D$1:$O$258,7,FALSE)),"",(VLOOKUP($E90,'D-1 Off Site Habitat Baseline'!$D$1:$O$258,7,FALSE))))</f>
        <v/>
      </c>
      <c r="J90" s="520" t="str">
        <f>IF(E90="","",IF(ISNA(VLOOKUP($E90,'D-1 Off Site Habitat Baseline'!$D$1:$O$258,8,FALSE)),"",(VLOOKUP($E90,'D-1 Off Site Habitat Baseline'!$D$1:$O$258,8,FALSE))))</f>
        <v/>
      </c>
      <c r="K90" s="520" t="str">
        <f>IF(E90="","",IF(ISNA(VLOOKUP($E90,'D-1 Off Site Habitat Baseline'!$D$1:$O$258,9,FALSE)),"",(VLOOKUP($E90,'D-1 Off Site Habitat Baseline'!$D$1:$O$258,9,FALSE))))</f>
        <v/>
      </c>
      <c r="L90" s="520" t="str">
        <f>IF(E90="","",IF(ISNA(VLOOKUP($E90,'D-1 Off Site Habitat Baseline'!$D$1:$O$258,11,FALSE)),"",(VLOOKUP($E90,'D-1 Off Site Habitat Baseline'!$D$1:$O$258,11,FALSE))))</f>
        <v/>
      </c>
      <c r="M90" s="520" t="str">
        <f>IF(E90="","",IF(ISNA(VLOOKUP($E90,'D-1 Off Site Habitat Baseline'!$D$1:$O$258,12,FALSE)),"",(VLOOKUP($E90,'D-1 Off Site Habitat Baseline'!$D$1:$O$258,12,FALSE))))</f>
        <v/>
      </c>
      <c r="N90" s="520" t="str">
        <f>IF(E90="","",IF(ISNA(VLOOKUP($E90,'D-1 Off Site Habitat Baseline'!$D$1:$X$258,14,FALSE)),"",(VLOOKUP($E90,'D-1 Off Site Habitat Baseline'!$D$1:$X$258,14,FALSE))))</f>
        <v/>
      </c>
      <c r="O90" s="524" t="str">
        <f>IF(E90="","",IF(ISNA(VLOOKUP($E90,'D-1 Off Site Habitat Baseline'!$D$1:$X$258,13,FALSE)),"",(VLOOKUP($E90,'D-1 Off Site Habitat Baseline'!$D$1:$X$258,13,FALSE))))</f>
        <v/>
      </c>
      <c r="P90" s="232" t="str">
        <f>IFERROR(INDEX('G-1 All Habitats'!$AG$3:$AG$15,MATCH(Q90,'G-1 All Habitats'!$AF$3:$AF$15,0)),"")</f>
        <v/>
      </c>
      <c r="Q90" s="228" t="str">
        <f t="shared" si="23"/>
        <v/>
      </c>
      <c r="R90" s="229" t="str">
        <f t="shared" si="24"/>
        <v/>
      </c>
      <c r="S90" s="233" t="str">
        <f>IFERROR(INDEX('G-1 All Habitats'!$B$3:$B$129,MATCH(R90,'G-1 All Habitats'!$A$3:$A$129,0)),"")</f>
        <v/>
      </c>
      <c r="T90" s="507" t="str">
        <f t="shared" si="16"/>
        <v/>
      </c>
      <c r="U90" s="524" t="str">
        <f t="shared" si="17"/>
        <v/>
      </c>
      <c r="V90" s="523" t="str">
        <f t="shared" si="14"/>
        <v/>
      </c>
      <c r="W90" s="520" t="str">
        <f>IF(S90="","",VLOOKUP(S90,'G-1 All Habitats'!$B$2:$M$129,10,FALSE))</f>
        <v/>
      </c>
      <c r="X90" s="520" t="str">
        <f>IFERROR(VLOOKUP(W90,'G-1 All Habitats'!$V$3:$W$7,2,FALSE),"")</f>
        <v/>
      </c>
      <c r="Y90" s="203"/>
      <c r="Z90" s="524" t="str">
        <f>IFERROR(INDEX('G-8 Condition Look up'!$A$3:$H$130,MATCH(S90,'G-8 Condition Look up'!$A$3:$A$130,0),MATCH(Y90,'G-8 Condition Look up'!$A$3:$H$3,0)),"")</f>
        <v/>
      </c>
      <c r="AA90" s="145"/>
      <c r="AB90" s="540" t="str">
        <f>IF(AA90="","",IF(VLOOKUP(AA90,'G-3 Multipliers'!$L$3:$N$6,2,FALSE)=0,"Spatial Data Missing ⚠",VLOOKUP(AA90,'G-3 Multipliers'!$L$3:$N$6,2,FALSE)))</f>
        <v/>
      </c>
      <c r="AC90" s="524" t="str">
        <f>IF(AA90="","",IF(VLOOKUP(AA90,'G-3 Multipliers'!$L$3:$N$6,3,FALSE)=0,"Spatial Data Missing ⚠",VLOOKUP(AA90,'G-3 Multipliers'!$L$3:$N$6,3,FALSE)))</f>
        <v/>
      </c>
      <c r="AD90" s="537" t="str">
        <f t="shared" si="15"/>
        <v/>
      </c>
      <c r="AE90" s="203"/>
      <c r="AF90" s="203"/>
      <c r="AG90" s="520" t="str">
        <f t="shared" si="18"/>
        <v/>
      </c>
      <c r="AH90" s="544" t="str">
        <f t="shared" si="19"/>
        <v/>
      </c>
      <c r="AI90" s="525" t="str">
        <f>IF(AH90="Check Data ⚠","Check Data ⚠",IFERROR(VLOOKUP(AH90,'G-4 Temporal multipliers'!$A$4:$C$36,3,FALSE),""))</f>
        <v/>
      </c>
      <c r="AJ90" s="537" t="str">
        <f>IF(S90="","",VLOOKUP(S90,'G-3 Multipliers'!$A$2:$E$129,4,FALSE))</f>
        <v/>
      </c>
      <c r="AK90" s="520" t="str">
        <f t="shared" si="20"/>
        <v/>
      </c>
      <c r="AL90" s="520" t="str">
        <f t="shared" si="21"/>
        <v/>
      </c>
      <c r="AM90" s="524" t="str">
        <f>IFERROR(IF(F90="","",IF(AH90="Check Data ⚠","Check Data ⚠",VLOOKUP(AL90, 'G-3 Multipliers'!$P$2:$Q$6,2,FALSE))),"")</f>
        <v/>
      </c>
      <c r="AN90" s="197"/>
      <c r="AO90" s="540" t="str">
        <f>IF(AN90="","",IF(VLOOKUP(AN90,'G-3 Multipliers'!$S$3:$T$9,2,FALSE)=0,"Spatial Data Missing ⚠",VLOOKUP(AN90,'G-3 Multipliers'!$S$3:$T$9,2,FALSE)))</f>
        <v/>
      </c>
      <c r="AP90" s="513" t="str">
        <f t="shared" si="22"/>
        <v/>
      </c>
      <c r="AQ90" s="231"/>
      <c r="AR90" s="150"/>
    </row>
    <row r="91" spans="1:44" x14ac:dyDescent="0.25">
      <c r="A91" s="31" t="str">
        <f>IF(E91="","",IF(ISNA(VLOOKUP($E91,'D-1 Off Site Habitat Baseline'!$D$1:$O$258,2,FALSE)),"",(VLOOKUP($E91,'D-1 Off Site Habitat Baseline'!$D$1:$O$258,2,FALSE))))</f>
        <v/>
      </c>
      <c r="B91" s="31" t="str">
        <f>IF(E91="","",IF(ISNA(VLOOKUP($E91,'D-1 Off Site Habitat Baseline'!$D$1:$O$258,3,FALSE)),"",(VLOOKUP($E91,'D-1 Off Site Habitat Baseline'!$D$1:$O$258,3,FALSE))))</f>
        <v/>
      </c>
      <c r="C91" s="31" t="str">
        <f>IFERROR(INDEX('G-8 Condition Look up'!$I$4:$I$130,MATCH(S91,'G-8 Condition Look up'!$A$4:$A$130,0)),"")</f>
        <v/>
      </c>
      <c r="E91" s="547" t="str">
        <f>'D-1 Off Site Habitat Baseline'!AL90</f>
        <v/>
      </c>
      <c r="F91" s="520" t="str">
        <f>IF(E91="","",IF(ISNA(VLOOKUP($E91,'D-1 Off Site Habitat Baseline'!$D$1:$O$258,4,FALSE)),"",(VLOOKUP($E91,'D-1 Off Site Habitat Baseline'!$D$1:$O$258,4,FALSE))))</f>
        <v/>
      </c>
      <c r="G91" s="520" t="str">
        <f>IF(E91="","",IF(ISNA(VLOOKUP($E91,'D-1 Off Site Habitat Baseline'!$D$1:$O$258,5,FALSE)),"",(VLOOKUP($E91,'D-1 Off Site Habitat Baseline'!$D$1:$O$258,5,FALSE))))</f>
        <v/>
      </c>
      <c r="H91" s="520" t="str">
        <f>IF(E91="","",IF(ISNA(VLOOKUP($E91,'D-1 Off Site Habitat Baseline'!$D$1:$O$258,6,FALSE)),"",(VLOOKUP($E91,'D-1 Off Site Habitat Baseline'!$D$1:$O$258,6,FALSE))))</f>
        <v/>
      </c>
      <c r="I91" s="520" t="str">
        <f>IF(E91="","",IF(ISNA(VLOOKUP($E91,'D-1 Off Site Habitat Baseline'!$D$1:$O$258,7,FALSE)),"",(VLOOKUP($E91,'D-1 Off Site Habitat Baseline'!$D$1:$O$258,7,FALSE))))</f>
        <v/>
      </c>
      <c r="J91" s="520" t="str">
        <f>IF(E91="","",IF(ISNA(VLOOKUP($E91,'D-1 Off Site Habitat Baseline'!$D$1:$O$258,8,FALSE)),"",(VLOOKUP($E91,'D-1 Off Site Habitat Baseline'!$D$1:$O$258,8,FALSE))))</f>
        <v/>
      </c>
      <c r="K91" s="520" t="str">
        <f>IF(E91="","",IF(ISNA(VLOOKUP($E91,'D-1 Off Site Habitat Baseline'!$D$1:$O$258,9,FALSE)),"",(VLOOKUP($E91,'D-1 Off Site Habitat Baseline'!$D$1:$O$258,9,FALSE))))</f>
        <v/>
      </c>
      <c r="L91" s="520" t="str">
        <f>IF(E91="","",IF(ISNA(VLOOKUP($E91,'D-1 Off Site Habitat Baseline'!$D$1:$O$258,11,FALSE)),"",(VLOOKUP($E91,'D-1 Off Site Habitat Baseline'!$D$1:$O$258,11,FALSE))))</f>
        <v/>
      </c>
      <c r="M91" s="520" t="str">
        <f>IF(E91="","",IF(ISNA(VLOOKUP($E91,'D-1 Off Site Habitat Baseline'!$D$1:$O$258,12,FALSE)),"",(VLOOKUP($E91,'D-1 Off Site Habitat Baseline'!$D$1:$O$258,12,FALSE))))</f>
        <v/>
      </c>
      <c r="N91" s="520" t="str">
        <f>IF(E91="","",IF(ISNA(VLOOKUP($E91,'D-1 Off Site Habitat Baseline'!$D$1:$X$258,14,FALSE)),"",(VLOOKUP($E91,'D-1 Off Site Habitat Baseline'!$D$1:$X$258,14,FALSE))))</f>
        <v/>
      </c>
      <c r="O91" s="524" t="str">
        <f>IF(E91="","",IF(ISNA(VLOOKUP($E91,'D-1 Off Site Habitat Baseline'!$D$1:$X$258,13,FALSE)),"",(VLOOKUP($E91,'D-1 Off Site Habitat Baseline'!$D$1:$X$258,13,FALSE))))</f>
        <v/>
      </c>
      <c r="P91" s="232" t="str">
        <f>IFERROR(INDEX('G-1 All Habitats'!$AG$3:$AG$15,MATCH(Q91,'G-1 All Habitats'!$AF$3:$AF$15,0)),"")</f>
        <v/>
      </c>
      <c r="Q91" s="228" t="str">
        <f t="shared" si="23"/>
        <v/>
      </c>
      <c r="R91" s="229" t="str">
        <f t="shared" si="24"/>
        <v/>
      </c>
      <c r="S91" s="233" t="str">
        <f>IFERROR(INDEX('G-1 All Habitats'!$B$3:$B$129,MATCH(R91,'G-1 All Habitats'!$A$3:$A$129,0)),"")</f>
        <v/>
      </c>
      <c r="T91" s="507" t="str">
        <f t="shared" si="16"/>
        <v/>
      </c>
      <c r="U91" s="524" t="str">
        <f t="shared" si="17"/>
        <v/>
      </c>
      <c r="V91" s="523" t="str">
        <f t="shared" si="14"/>
        <v/>
      </c>
      <c r="W91" s="520" t="str">
        <f>IF(S91="","",VLOOKUP(S91,'G-1 All Habitats'!$B$2:$M$129,10,FALSE))</f>
        <v/>
      </c>
      <c r="X91" s="520" t="str">
        <f>IFERROR(VLOOKUP(W91,'G-1 All Habitats'!$V$3:$W$7,2,FALSE),"")</f>
        <v/>
      </c>
      <c r="Y91" s="203"/>
      <c r="Z91" s="524" t="str">
        <f>IFERROR(INDEX('G-8 Condition Look up'!$A$3:$H$130,MATCH(S91,'G-8 Condition Look up'!$A$3:$A$130,0),MATCH(Y91,'G-8 Condition Look up'!$A$3:$H$3,0)),"")</f>
        <v/>
      </c>
      <c r="AA91" s="145"/>
      <c r="AB91" s="540" t="str">
        <f>IF(AA91="","",IF(VLOOKUP(AA91,'G-3 Multipliers'!$L$3:$N$6,2,FALSE)=0,"Spatial Data Missing ⚠",VLOOKUP(AA91,'G-3 Multipliers'!$L$3:$N$6,2,FALSE)))</f>
        <v/>
      </c>
      <c r="AC91" s="524" t="str">
        <f>IF(AA91="","",IF(VLOOKUP(AA91,'G-3 Multipliers'!$L$3:$N$6,3,FALSE)=0,"Spatial Data Missing ⚠",VLOOKUP(AA91,'G-3 Multipliers'!$L$3:$N$6,3,FALSE)))</f>
        <v/>
      </c>
      <c r="AD91" s="537" t="str">
        <f t="shared" si="15"/>
        <v/>
      </c>
      <c r="AE91" s="203"/>
      <c r="AF91" s="203"/>
      <c r="AG91" s="520" t="str">
        <f t="shared" si="18"/>
        <v/>
      </c>
      <c r="AH91" s="544" t="str">
        <f t="shared" si="19"/>
        <v/>
      </c>
      <c r="AI91" s="525" t="str">
        <f>IF(AH91="Check Data ⚠","Check Data ⚠",IFERROR(VLOOKUP(AH91,'G-4 Temporal multipliers'!$A$4:$C$36,3,FALSE),""))</f>
        <v/>
      </c>
      <c r="AJ91" s="537" t="str">
        <f>IF(S91="","",VLOOKUP(S91,'G-3 Multipliers'!$A$2:$E$129,4,FALSE))</f>
        <v/>
      </c>
      <c r="AK91" s="520" t="str">
        <f t="shared" si="20"/>
        <v/>
      </c>
      <c r="AL91" s="520" t="str">
        <f t="shared" si="21"/>
        <v/>
      </c>
      <c r="AM91" s="524" t="str">
        <f>IFERROR(IF(F91="","",IF(AH91="Check Data ⚠","Check Data ⚠",VLOOKUP(AL91, 'G-3 Multipliers'!$P$2:$Q$6,2,FALSE))),"")</f>
        <v/>
      </c>
      <c r="AN91" s="197"/>
      <c r="AO91" s="540" t="str">
        <f>IF(AN91="","",IF(VLOOKUP(AN91,'G-3 Multipliers'!$S$3:$T$9,2,FALSE)=0,"Spatial Data Missing ⚠",VLOOKUP(AN91,'G-3 Multipliers'!$S$3:$T$9,2,FALSE)))</f>
        <v/>
      </c>
      <c r="AP91" s="513" t="str">
        <f t="shared" si="22"/>
        <v/>
      </c>
      <c r="AQ91" s="231"/>
      <c r="AR91" s="150"/>
    </row>
    <row r="92" spans="1:44" x14ac:dyDescent="0.25">
      <c r="A92" s="31" t="str">
        <f>IF(E92="","",IF(ISNA(VLOOKUP($E92,'D-1 Off Site Habitat Baseline'!$D$1:$O$258,2,FALSE)),"",(VLOOKUP($E92,'D-1 Off Site Habitat Baseline'!$D$1:$O$258,2,FALSE))))</f>
        <v/>
      </c>
      <c r="B92" s="31" t="str">
        <f>IF(E92="","",IF(ISNA(VLOOKUP($E92,'D-1 Off Site Habitat Baseline'!$D$1:$O$258,3,FALSE)),"",(VLOOKUP($E92,'D-1 Off Site Habitat Baseline'!$D$1:$O$258,3,FALSE))))</f>
        <v/>
      </c>
      <c r="C92" s="31" t="str">
        <f>IFERROR(INDEX('G-8 Condition Look up'!$I$4:$I$130,MATCH(S92,'G-8 Condition Look up'!$A$4:$A$130,0)),"")</f>
        <v/>
      </c>
      <c r="E92" s="547" t="str">
        <f>'D-1 Off Site Habitat Baseline'!AL91</f>
        <v/>
      </c>
      <c r="F92" s="520" t="str">
        <f>IF(E92="","",IF(ISNA(VLOOKUP($E92,'D-1 Off Site Habitat Baseline'!$D$1:$O$258,4,FALSE)),"",(VLOOKUP($E92,'D-1 Off Site Habitat Baseline'!$D$1:$O$258,4,FALSE))))</f>
        <v/>
      </c>
      <c r="G92" s="520" t="str">
        <f>IF(E92="","",IF(ISNA(VLOOKUP($E92,'D-1 Off Site Habitat Baseline'!$D$1:$O$258,5,FALSE)),"",(VLOOKUP($E92,'D-1 Off Site Habitat Baseline'!$D$1:$O$258,5,FALSE))))</f>
        <v/>
      </c>
      <c r="H92" s="520" t="str">
        <f>IF(E92="","",IF(ISNA(VLOOKUP($E92,'D-1 Off Site Habitat Baseline'!$D$1:$O$258,6,FALSE)),"",(VLOOKUP($E92,'D-1 Off Site Habitat Baseline'!$D$1:$O$258,6,FALSE))))</f>
        <v/>
      </c>
      <c r="I92" s="520" t="str">
        <f>IF(E92="","",IF(ISNA(VLOOKUP($E92,'D-1 Off Site Habitat Baseline'!$D$1:$O$258,7,FALSE)),"",(VLOOKUP($E92,'D-1 Off Site Habitat Baseline'!$D$1:$O$258,7,FALSE))))</f>
        <v/>
      </c>
      <c r="J92" s="520" t="str">
        <f>IF(E92="","",IF(ISNA(VLOOKUP($E92,'D-1 Off Site Habitat Baseline'!$D$1:$O$258,8,FALSE)),"",(VLOOKUP($E92,'D-1 Off Site Habitat Baseline'!$D$1:$O$258,8,FALSE))))</f>
        <v/>
      </c>
      <c r="K92" s="520" t="str">
        <f>IF(E92="","",IF(ISNA(VLOOKUP($E92,'D-1 Off Site Habitat Baseline'!$D$1:$O$258,9,FALSE)),"",(VLOOKUP($E92,'D-1 Off Site Habitat Baseline'!$D$1:$O$258,9,FALSE))))</f>
        <v/>
      </c>
      <c r="L92" s="520" t="str">
        <f>IF(E92="","",IF(ISNA(VLOOKUP($E92,'D-1 Off Site Habitat Baseline'!$D$1:$O$258,11,FALSE)),"",(VLOOKUP($E92,'D-1 Off Site Habitat Baseline'!$D$1:$O$258,11,FALSE))))</f>
        <v/>
      </c>
      <c r="M92" s="520" t="str">
        <f>IF(E92="","",IF(ISNA(VLOOKUP($E92,'D-1 Off Site Habitat Baseline'!$D$1:$O$258,12,FALSE)),"",(VLOOKUP($E92,'D-1 Off Site Habitat Baseline'!$D$1:$O$258,12,FALSE))))</f>
        <v/>
      </c>
      <c r="N92" s="520" t="str">
        <f>IF(E92="","",IF(ISNA(VLOOKUP($E92,'D-1 Off Site Habitat Baseline'!$D$1:$X$258,14,FALSE)),"",(VLOOKUP($E92,'D-1 Off Site Habitat Baseline'!$D$1:$X$258,14,FALSE))))</f>
        <v/>
      </c>
      <c r="O92" s="524" t="str">
        <f>IF(E92="","",IF(ISNA(VLOOKUP($E92,'D-1 Off Site Habitat Baseline'!$D$1:$X$258,13,FALSE)),"",(VLOOKUP($E92,'D-1 Off Site Habitat Baseline'!$D$1:$X$258,13,FALSE))))</f>
        <v/>
      </c>
      <c r="P92" s="232" t="str">
        <f>IFERROR(INDEX('G-1 All Habitats'!$AG$3:$AG$15,MATCH(Q92,'G-1 All Habitats'!$AF$3:$AF$15,0)),"")</f>
        <v/>
      </c>
      <c r="Q92" s="228" t="str">
        <f t="shared" si="23"/>
        <v/>
      </c>
      <c r="R92" s="229" t="str">
        <f t="shared" si="24"/>
        <v/>
      </c>
      <c r="S92" s="233" t="str">
        <f>IFERROR(INDEX('G-1 All Habitats'!$B$3:$B$129,MATCH(R92,'G-1 All Habitats'!$A$3:$A$129,0)),"")</f>
        <v/>
      </c>
      <c r="T92" s="507" t="str">
        <f t="shared" si="16"/>
        <v/>
      </c>
      <c r="U92" s="524" t="str">
        <f t="shared" si="17"/>
        <v/>
      </c>
      <c r="V92" s="523" t="str">
        <f t="shared" si="14"/>
        <v/>
      </c>
      <c r="W92" s="520" t="str">
        <f>IF(S92="","",VLOOKUP(S92,'G-1 All Habitats'!$B$2:$M$129,10,FALSE))</f>
        <v/>
      </c>
      <c r="X92" s="520" t="str">
        <f>IFERROR(VLOOKUP(W92,'G-1 All Habitats'!$V$3:$W$7,2,FALSE),"")</f>
        <v/>
      </c>
      <c r="Y92" s="203"/>
      <c r="Z92" s="524" t="str">
        <f>IFERROR(INDEX('G-8 Condition Look up'!$A$3:$H$130,MATCH(S92,'G-8 Condition Look up'!$A$3:$A$130,0),MATCH(Y92,'G-8 Condition Look up'!$A$3:$H$3,0)),"")</f>
        <v/>
      </c>
      <c r="AA92" s="145"/>
      <c r="AB92" s="540" t="str">
        <f>IF(AA92="","",IF(VLOOKUP(AA92,'G-3 Multipliers'!$L$3:$N$6,2,FALSE)=0,"Spatial Data Missing ⚠",VLOOKUP(AA92,'G-3 Multipliers'!$L$3:$N$6,2,FALSE)))</f>
        <v/>
      </c>
      <c r="AC92" s="524" t="str">
        <f>IF(AA92="","",IF(VLOOKUP(AA92,'G-3 Multipliers'!$L$3:$N$6,3,FALSE)=0,"Spatial Data Missing ⚠",VLOOKUP(AA92,'G-3 Multipliers'!$L$3:$N$6,3,FALSE)))</f>
        <v/>
      </c>
      <c r="AD92" s="537" t="str">
        <f t="shared" si="15"/>
        <v/>
      </c>
      <c r="AE92" s="203"/>
      <c r="AF92" s="203"/>
      <c r="AG92" s="520" t="str">
        <f t="shared" si="18"/>
        <v/>
      </c>
      <c r="AH92" s="544" t="str">
        <f t="shared" si="19"/>
        <v/>
      </c>
      <c r="AI92" s="525" t="str">
        <f>IF(AH92="Check Data ⚠","Check Data ⚠",IFERROR(VLOOKUP(AH92,'G-4 Temporal multipliers'!$A$4:$C$36,3,FALSE),""))</f>
        <v/>
      </c>
      <c r="AJ92" s="537" t="str">
        <f>IF(S92="","",VLOOKUP(S92,'G-3 Multipliers'!$A$2:$E$129,4,FALSE))</f>
        <v/>
      </c>
      <c r="AK92" s="520" t="str">
        <f t="shared" si="20"/>
        <v/>
      </c>
      <c r="AL92" s="520" t="str">
        <f t="shared" si="21"/>
        <v/>
      </c>
      <c r="AM92" s="524" t="str">
        <f>IFERROR(IF(F92="","",IF(AH92="Check Data ⚠","Check Data ⚠",VLOOKUP(AL92, 'G-3 Multipliers'!$P$2:$Q$6,2,FALSE))),"")</f>
        <v/>
      </c>
      <c r="AN92" s="197"/>
      <c r="AO92" s="540" t="str">
        <f>IF(AN92="","",IF(VLOOKUP(AN92,'G-3 Multipliers'!$S$3:$T$9,2,FALSE)=0,"Spatial Data Missing ⚠",VLOOKUP(AN92,'G-3 Multipliers'!$S$3:$T$9,2,FALSE)))</f>
        <v/>
      </c>
      <c r="AP92" s="513" t="str">
        <f t="shared" si="22"/>
        <v/>
      </c>
      <c r="AQ92" s="231"/>
      <c r="AR92" s="150"/>
    </row>
    <row r="93" spans="1:44" x14ac:dyDescent="0.25">
      <c r="A93" s="31" t="str">
        <f>IF(E93="","",IF(ISNA(VLOOKUP($E93,'D-1 Off Site Habitat Baseline'!$D$1:$O$258,2,FALSE)),"",(VLOOKUP($E93,'D-1 Off Site Habitat Baseline'!$D$1:$O$258,2,FALSE))))</f>
        <v/>
      </c>
      <c r="B93" s="31" t="str">
        <f>IF(E93="","",IF(ISNA(VLOOKUP($E93,'D-1 Off Site Habitat Baseline'!$D$1:$O$258,3,FALSE)),"",(VLOOKUP($E93,'D-1 Off Site Habitat Baseline'!$D$1:$O$258,3,FALSE))))</f>
        <v/>
      </c>
      <c r="C93" s="31" t="str">
        <f>IFERROR(INDEX('G-8 Condition Look up'!$I$4:$I$130,MATCH(S93,'G-8 Condition Look up'!$A$4:$A$130,0)),"")</f>
        <v/>
      </c>
      <c r="E93" s="547" t="str">
        <f>'D-1 Off Site Habitat Baseline'!AL92</f>
        <v/>
      </c>
      <c r="F93" s="520" t="str">
        <f>IF(E93="","",IF(ISNA(VLOOKUP($E93,'D-1 Off Site Habitat Baseline'!$D$1:$O$258,4,FALSE)),"",(VLOOKUP($E93,'D-1 Off Site Habitat Baseline'!$D$1:$O$258,4,FALSE))))</f>
        <v/>
      </c>
      <c r="G93" s="520" t="str">
        <f>IF(E93="","",IF(ISNA(VLOOKUP($E93,'D-1 Off Site Habitat Baseline'!$D$1:$O$258,5,FALSE)),"",(VLOOKUP($E93,'D-1 Off Site Habitat Baseline'!$D$1:$O$258,5,FALSE))))</f>
        <v/>
      </c>
      <c r="H93" s="520" t="str">
        <f>IF(E93="","",IF(ISNA(VLOOKUP($E93,'D-1 Off Site Habitat Baseline'!$D$1:$O$258,6,FALSE)),"",(VLOOKUP($E93,'D-1 Off Site Habitat Baseline'!$D$1:$O$258,6,FALSE))))</f>
        <v/>
      </c>
      <c r="I93" s="520" t="str">
        <f>IF(E93="","",IF(ISNA(VLOOKUP($E93,'D-1 Off Site Habitat Baseline'!$D$1:$O$258,7,FALSE)),"",(VLOOKUP($E93,'D-1 Off Site Habitat Baseline'!$D$1:$O$258,7,FALSE))))</f>
        <v/>
      </c>
      <c r="J93" s="520" t="str">
        <f>IF(E93="","",IF(ISNA(VLOOKUP($E93,'D-1 Off Site Habitat Baseline'!$D$1:$O$258,8,FALSE)),"",(VLOOKUP($E93,'D-1 Off Site Habitat Baseline'!$D$1:$O$258,8,FALSE))))</f>
        <v/>
      </c>
      <c r="K93" s="520" t="str">
        <f>IF(E93="","",IF(ISNA(VLOOKUP($E93,'D-1 Off Site Habitat Baseline'!$D$1:$O$258,9,FALSE)),"",(VLOOKUP($E93,'D-1 Off Site Habitat Baseline'!$D$1:$O$258,9,FALSE))))</f>
        <v/>
      </c>
      <c r="L93" s="520" t="str">
        <f>IF(E93="","",IF(ISNA(VLOOKUP($E93,'D-1 Off Site Habitat Baseline'!$D$1:$O$258,11,FALSE)),"",(VLOOKUP($E93,'D-1 Off Site Habitat Baseline'!$D$1:$O$258,11,FALSE))))</f>
        <v/>
      </c>
      <c r="M93" s="520" t="str">
        <f>IF(E93="","",IF(ISNA(VLOOKUP($E93,'D-1 Off Site Habitat Baseline'!$D$1:$O$258,12,FALSE)),"",(VLOOKUP($E93,'D-1 Off Site Habitat Baseline'!$D$1:$O$258,12,FALSE))))</f>
        <v/>
      </c>
      <c r="N93" s="520" t="str">
        <f>IF(E93="","",IF(ISNA(VLOOKUP($E93,'D-1 Off Site Habitat Baseline'!$D$1:$X$258,14,FALSE)),"",(VLOOKUP($E93,'D-1 Off Site Habitat Baseline'!$D$1:$X$258,14,FALSE))))</f>
        <v/>
      </c>
      <c r="O93" s="524" t="str">
        <f>IF(E93="","",IF(ISNA(VLOOKUP($E93,'D-1 Off Site Habitat Baseline'!$D$1:$X$258,13,FALSE)),"",(VLOOKUP($E93,'D-1 Off Site Habitat Baseline'!$D$1:$X$258,13,FALSE))))</f>
        <v/>
      </c>
      <c r="P93" s="232" t="str">
        <f>IFERROR(INDEX('G-1 All Habitats'!$AG$3:$AG$15,MATCH(Q93,'G-1 All Habitats'!$AF$3:$AF$15,0)),"")</f>
        <v/>
      </c>
      <c r="Q93" s="228" t="str">
        <f t="shared" si="23"/>
        <v/>
      </c>
      <c r="R93" s="229" t="str">
        <f t="shared" si="24"/>
        <v/>
      </c>
      <c r="S93" s="233" t="str">
        <f>IFERROR(INDEX('G-1 All Habitats'!$B$3:$B$129,MATCH(R93,'G-1 All Habitats'!$A$3:$A$129,0)),"")</f>
        <v/>
      </c>
      <c r="T93" s="507" t="str">
        <f t="shared" si="16"/>
        <v/>
      </c>
      <c r="U93" s="524" t="str">
        <f t="shared" si="17"/>
        <v/>
      </c>
      <c r="V93" s="523" t="str">
        <f t="shared" si="14"/>
        <v/>
      </c>
      <c r="W93" s="520" t="str">
        <f>IF(S93="","",VLOOKUP(S93,'G-1 All Habitats'!$B$2:$M$129,10,FALSE))</f>
        <v/>
      </c>
      <c r="X93" s="520" t="str">
        <f>IFERROR(VLOOKUP(W93,'G-1 All Habitats'!$V$3:$W$7,2,FALSE),"")</f>
        <v/>
      </c>
      <c r="Y93" s="203"/>
      <c r="Z93" s="524" t="str">
        <f>IFERROR(INDEX('G-8 Condition Look up'!$A$3:$H$130,MATCH(S93,'G-8 Condition Look up'!$A$3:$A$130,0),MATCH(Y93,'G-8 Condition Look up'!$A$3:$H$3,0)),"")</f>
        <v/>
      </c>
      <c r="AA93" s="145"/>
      <c r="AB93" s="540" t="str">
        <f>IF(AA93="","",IF(VLOOKUP(AA93,'G-3 Multipliers'!$L$3:$N$6,2,FALSE)=0,"Spatial Data Missing ⚠",VLOOKUP(AA93,'G-3 Multipliers'!$L$3:$N$6,2,FALSE)))</f>
        <v/>
      </c>
      <c r="AC93" s="524" t="str">
        <f>IF(AA93="","",IF(VLOOKUP(AA93,'G-3 Multipliers'!$L$3:$N$6,3,FALSE)=0,"Spatial Data Missing ⚠",VLOOKUP(AA93,'G-3 Multipliers'!$L$3:$N$6,3,FALSE)))</f>
        <v/>
      </c>
      <c r="AD93" s="537" t="str">
        <f t="shared" si="15"/>
        <v/>
      </c>
      <c r="AE93" s="203"/>
      <c r="AF93" s="203"/>
      <c r="AG93" s="520" t="str">
        <f t="shared" si="18"/>
        <v/>
      </c>
      <c r="AH93" s="544" t="str">
        <f t="shared" si="19"/>
        <v/>
      </c>
      <c r="AI93" s="525" t="str">
        <f>IF(AH93="Check Data ⚠","Check Data ⚠",IFERROR(VLOOKUP(AH93,'G-4 Temporal multipliers'!$A$4:$C$36,3,FALSE),""))</f>
        <v/>
      </c>
      <c r="AJ93" s="537" t="str">
        <f>IF(S93="","",VLOOKUP(S93,'G-3 Multipliers'!$A$2:$E$129,4,FALSE))</f>
        <v/>
      </c>
      <c r="AK93" s="520" t="str">
        <f t="shared" si="20"/>
        <v/>
      </c>
      <c r="AL93" s="520" t="str">
        <f t="shared" si="21"/>
        <v/>
      </c>
      <c r="AM93" s="524" t="str">
        <f>IFERROR(IF(F93="","",IF(AH93="Check Data ⚠","Check Data ⚠",VLOOKUP(AL93, 'G-3 Multipliers'!$P$2:$Q$6,2,FALSE))),"")</f>
        <v/>
      </c>
      <c r="AN93" s="197"/>
      <c r="AO93" s="540" t="str">
        <f>IF(AN93="","",IF(VLOOKUP(AN93,'G-3 Multipliers'!$S$3:$T$9,2,FALSE)=0,"Spatial Data Missing ⚠",VLOOKUP(AN93,'G-3 Multipliers'!$S$3:$T$9,2,FALSE)))</f>
        <v/>
      </c>
      <c r="AP93" s="513" t="str">
        <f t="shared" si="22"/>
        <v/>
      </c>
      <c r="AQ93" s="231"/>
      <c r="AR93" s="150"/>
    </row>
    <row r="94" spans="1:44" x14ac:dyDescent="0.25">
      <c r="A94" s="31" t="str">
        <f>IF(E94="","",IF(ISNA(VLOOKUP($E94,'D-1 Off Site Habitat Baseline'!$D$1:$O$258,2,FALSE)),"",(VLOOKUP($E94,'D-1 Off Site Habitat Baseline'!$D$1:$O$258,2,FALSE))))</f>
        <v/>
      </c>
      <c r="B94" s="31" t="str">
        <f>IF(E94="","",IF(ISNA(VLOOKUP($E94,'D-1 Off Site Habitat Baseline'!$D$1:$O$258,3,FALSE)),"",(VLOOKUP($E94,'D-1 Off Site Habitat Baseline'!$D$1:$O$258,3,FALSE))))</f>
        <v/>
      </c>
      <c r="C94" s="31" t="str">
        <f>IFERROR(INDEX('G-8 Condition Look up'!$I$4:$I$130,MATCH(S94,'G-8 Condition Look up'!$A$4:$A$130,0)),"")</f>
        <v/>
      </c>
      <c r="E94" s="547" t="str">
        <f>'D-1 Off Site Habitat Baseline'!AL93</f>
        <v/>
      </c>
      <c r="F94" s="520" t="str">
        <f>IF(E94="","",IF(ISNA(VLOOKUP($E94,'D-1 Off Site Habitat Baseline'!$D$1:$O$258,4,FALSE)),"",(VLOOKUP($E94,'D-1 Off Site Habitat Baseline'!$D$1:$O$258,4,FALSE))))</f>
        <v/>
      </c>
      <c r="G94" s="520" t="str">
        <f>IF(E94="","",IF(ISNA(VLOOKUP($E94,'D-1 Off Site Habitat Baseline'!$D$1:$O$258,5,FALSE)),"",(VLOOKUP($E94,'D-1 Off Site Habitat Baseline'!$D$1:$O$258,5,FALSE))))</f>
        <v/>
      </c>
      <c r="H94" s="520" t="str">
        <f>IF(E94="","",IF(ISNA(VLOOKUP($E94,'D-1 Off Site Habitat Baseline'!$D$1:$O$258,6,FALSE)),"",(VLOOKUP($E94,'D-1 Off Site Habitat Baseline'!$D$1:$O$258,6,FALSE))))</f>
        <v/>
      </c>
      <c r="I94" s="520" t="str">
        <f>IF(E94="","",IF(ISNA(VLOOKUP($E94,'D-1 Off Site Habitat Baseline'!$D$1:$O$258,7,FALSE)),"",(VLOOKUP($E94,'D-1 Off Site Habitat Baseline'!$D$1:$O$258,7,FALSE))))</f>
        <v/>
      </c>
      <c r="J94" s="520" t="str">
        <f>IF(E94="","",IF(ISNA(VLOOKUP($E94,'D-1 Off Site Habitat Baseline'!$D$1:$O$258,8,FALSE)),"",(VLOOKUP($E94,'D-1 Off Site Habitat Baseline'!$D$1:$O$258,8,FALSE))))</f>
        <v/>
      </c>
      <c r="K94" s="520" t="str">
        <f>IF(E94="","",IF(ISNA(VLOOKUP($E94,'D-1 Off Site Habitat Baseline'!$D$1:$O$258,9,FALSE)),"",(VLOOKUP($E94,'D-1 Off Site Habitat Baseline'!$D$1:$O$258,9,FALSE))))</f>
        <v/>
      </c>
      <c r="L94" s="520" t="str">
        <f>IF(E94="","",IF(ISNA(VLOOKUP($E94,'D-1 Off Site Habitat Baseline'!$D$1:$O$258,11,FALSE)),"",(VLOOKUP($E94,'D-1 Off Site Habitat Baseline'!$D$1:$O$258,11,FALSE))))</f>
        <v/>
      </c>
      <c r="M94" s="520" t="str">
        <f>IF(E94="","",IF(ISNA(VLOOKUP($E94,'D-1 Off Site Habitat Baseline'!$D$1:$O$258,12,FALSE)),"",(VLOOKUP($E94,'D-1 Off Site Habitat Baseline'!$D$1:$O$258,12,FALSE))))</f>
        <v/>
      </c>
      <c r="N94" s="520" t="str">
        <f>IF(E94="","",IF(ISNA(VLOOKUP($E94,'D-1 Off Site Habitat Baseline'!$D$1:$X$258,14,FALSE)),"",(VLOOKUP($E94,'D-1 Off Site Habitat Baseline'!$D$1:$X$258,14,FALSE))))</f>
        <v/>
      </c>
      <c r="O94" s="524" t="str">
        <f>IF(E94="","",IF(ISNA(VLOOKUP($E94,'D-1 Off Site Habitat Baseline'!$D$1:$X$258,13,FALSE)),"",(VLOOKUP($E94,'D-1 Off Site Habitat Baseline'!$D$1:$X$258,13,FALSE))))</f>
        <v/>
      </c>
      <c r="P94" s="232" t="str">
        <f>IFERROR(INDEX('G-1 All Habitats'!$AG$3:$AG$15,MATCH(Q94,'G-1 All Habitats'!$AF$3:$AF$15,0)),"")</f>
        <v/>
      </c>
      <c r="Q94" s="228" t="str">
        <f t="shared" si="23"/>
        <v/>
      </c>
      <c r="R94" s="229" t="str">
        <f t="shared" si="24"/>
        <v/>
      </c>
      <c r="S94" s="233" t="str">
        <f>IFERROR(INDEX('G-1 All Habitats'!$B$3:$B$129,MATCH(R94,'G-1 All Habitats'!$A$3:$A$129,0)),"")</f>
        <v/>
      </c>
      <c r="T94" s="507" t="str">
        <f t="shared" si="16"/>
        <v/>
      </c>
      <c r="U94" s="524" t="str">
        <f t="shared" si="17"/>
        <v/>
      </c>
      <c r="V94" s="523" t="str">
        <f t="shared" si="14"/>
        <v/>
      </c>
      <c r="W94" s="520" t="str">
        <f>IF(S94="","",VLOOKUP(S94,'G-1 All Habitats'!$B$2:$M$129,10,FALSE))</f>
        <v/>
      </c>
      <c r="X94" s="520" t="str">
        <f>IFERROR(VLOOKUP(W94,'G-1 All Habitats'!$V$3:$W$7,2,FALSE),"")</f>
        <v/>
      </c>
      <c r="Y94" s="203"/>
      <c r="Z94" s="524" t="str">
        <f>IFERROR(INDEX('G-8 Condition Look up'!$A$3:$H$130,MATCH(S94,'G-8 Condition Look up'!$A$3:$A$130,0),MATCH(Y94,'G-8 Condition Look up'!$A$3:$H$3,0)),"")</f>
        <v/>
      </c>
      <c r="AA94" s="145"/>
      <c r="AB94" s="540" t="str">
        <f>IF(AA94="","",IF(VLOOKUP(AA94,'G-3 Multipliers'!$L$3:$N$6,2,FALSE)=0,"Spatial Data Missing ⚠",VLOOKUP(AA94,'G-3 Multipliers'!$L$3:$N$6,2,FALSE)))</f>
        <v/>
      </c>
      <c r="AC94" s="524" t="str">
        <f>IF(AA94="","",IF(VLOOKUP(AA94,'G-3 Multipliers'!$L$3:$N$6,3,FALSE)=0,"Spatial Data Missing ⚠",VLOOKUP(AA94,'G-3 Multipliers'!$L$3:$N$6,3,FALSE)))</f>
        <v/>
      </c>
      <c r="AD94" s="537" t="str">
        <f t="shared" si="15"/>
        <v/>
      </c>
      <c r="AE94" s="203"/>
      <c r="AF94" s="203"/>
      <c r="AG94" s="520" t="str">
        <f t="shared" si="18"/>
        <v/>
      </c>
      <c r="AH94" s="544" t="str">
        <f t="shared" si="19"/>
        <v/>
      </c>
      <c r="AI94" s="525" t="str">
        <f>IF(AH94="Check Data ⚠","Check Data ⚠",IFERROR(VLOOKUP(AH94,'G-4 Temporal multipliers'!$A$4:$C$36,3,FALSE),""))</f>
        <v/>
      </c>
      <c r="AJ94" s="537" t="str">
        <f>IF(S94="","",VLOOKUP(S94,'G-3 Multipliers'!$A$2:$E$129,4,FALSE))</f>
        <v/>
      </c>
      <c r="AK94" s="520" t="str">
        <f t="shared" si="20"/>
        <v/>
      </c>
      <c r="AL94" s="520" t="str">
        <f t="shared" si="21"/>
        <v/>
      </c>
      <c r="AM94" s="524" t="str">
        <f>IFERROR(IF(F94="","",IF(AH94="Check Data ⚠","Check Data ⚠",VLOOKUP(AL94, 'G-3 Multipliers'!$P$2:$Q$6,2,FALSE))),"")</f>
        <v/>
      </c>
      <c r="AN94" s="197"/>
      <c r="AO94" s="540" t="str">
        <f>IF(AN94="","",IF(VLOOKUP(AN94,'G-3 Multipliers'!$S$3:$T$9,2,FALSE)=0,"Spatial Data Missing ⚠",VLOOKUP(AN94,'G-3 Multipliers'!$S$3:$T$9,2,FALSE)))</f>
        <v/>
      </c>
      <c r="AP94" s="513" t="str">
        <f t="shared" si="22"/>
        <v/>
      </c>
      <c r="AQ94" s="231"/>
      <c r="AR94" s="150"/>
    </row>
    <row r="95" spans="1:44" x14ac:dyDescent="0.25">
      <c r="A95" s="31" t="str">
        <f>IF(E95="","",IF(ISNA(VLOOKUP($E95,'D-1 Off Site Habitat Baseline'!$D$1:$O$258,2,FALSE)),"",(VLOOKUP($E95,'D-1 Off Site Habitat Baseline'!$D$1:$O$258,2,FALSE))))</f>
        <v/>
      </c>
      <c r="B95" s="31" t="str">
        <f>IF(E95="","",IF(ISNA(VLOOKUP($E95,'D-1 Off Site Habitat Baseline'!$D$1:$O$258,3,FALSE)),"",(VLOOKUP($E95,'D-1 Off Site Habitat Baseline'!$D$1:$O$258,3,FALSE))))</f>
        <v/>
      </c>
      <c r="C95" s="31" t="str">
        <f>IFERROR(INDEX('G-8 Condition Look up'!$I$4:$I$130,MATCH(S95,'G-8 Condition Look up'!$A$4:$A$130,0)),"")</f>
        <v/>
      </c>
      <c r="E95" s="547" t="str">
        <f>'D-1 Off Site Habitat Baseline'!AL94</f>
        <v/>
      </c>
      <c r="F95" s="520" t="str">
        <f>IF(E95="","",IF(ISNA(VLOOKUP($E95,'D-1 Off Site Habitat Baseline'!$D$1:$O$258,4,FALSE)),"",(VLOOKUP($E95,'D-1 Off Site Habitat Baseline'!$D$1:$O$258,4,FALSE))))</f>
        <v/>
      </c>
      <c r="G95" s="520" t="str">
        <f>IF(E95="","",IF(ISNA(VLOOKUP($E95,'D-1 Off Site Habitat Baseline'!$D$1:$O$258,5,FALSE)),"",(VLOOKUP($E95,'D-1 Off Site Habitat Baseline'!$D$1:$O$258,5,FALSE))))</f>
        <v/>
      </c>
      <c r="H95" s="520" t="str">
        <f>IF(E95="","",IF(ISNA(VLOOKUP($E95,'D-1 Off Site Habitat Baseline'!$D$1:$O$258,6,FALSE)),"",(VLOOKUP($E95,'D-1 Off Site Habitat Baseline'!$D$1:$O$258,6,FALSE))))</f>
        <v/>
      </c>
      <c r="I95" s="520" t="str">
        <f>IF(E95="","",IF(ISNA(VLOOKUP($E95,'D-1 Off Site Habitat Baseline'!$D$1:$O$258,7,FALSE)),"",(VLOOKUP($E95,'D-1 Off Site Habitat Baseline'!$D$1:$O$258,7,FALSE))))</f>
        <v/>
      </c>
      <c r="J95" s="520" t="str">
        <f>IF(E95="","",IF(ISNA(VLOOKUP($E95,'D-1 Off Site Habitat Baseline'!$D$1:$O$258,8,FALSE)),"",(VLOOKUP($E95,'D-1 Off Site Habitat Baseline'!$D$1:$O$258,8,FALSE))))</f>
        <v/>
      </c>
      <c r="K95" s="520" t="str">
        <f>IF(E95="","",IF(ISNA(VLOOKUP($E95,'D-1 Off Site Habitat Baseline'!$D$1:$O$258,9,FALSE)),"",(VLOOKUP($E95,'D-1 Off Site Habitat Baseline'!$D$1:$O$258,9,FALSE))))</f>
        <v/>
      </c>
      <c r="L95" s="520" t="str">
        <f>IF(E95="","",IF(ISNA(VLOOKUP($E95,'D-1 Off Site Habitat Baseline'!$D$1:$O$258,11,FALSE)),"",(VLOOKUP($E95,'D-1 Off Site Habitat Baseline'!$D$1:$O$258,11,FALSE))))</f>
        <v/>
      </c>
      <c r="M95" s="520" t="str">
        <f>IF(E95="","",IF(ISNA(VLOOKUP($E95,'D-1 Off Site Habitat Baseline'!$D$1:$O$258,12,FALSE)),"",(VLOOKUP($E95,'D-1 Off Site Habitat Baseline'!$D$1:$O$258,12,FALSE))))</f>
        <v/>
      </c>
      <c r="N95" s="520" t="str">
        <f>IF(E95="","",IF(ISNA(VLOOKUP($E95,'D-1 Off Site Habitat Baseline'!$D$1:$X$258,14,FALSE)),"",(VLOOKUP($E95,'D-1 Off Site Habitat Baseline'!$D$1:$X$258,14,FALSE))))</f>
        <v/>
      </c>
      <c r="O95" s="524" t="str">
        <f>IF(E95="","",IF(ISNA(VLOOKUP($E95,'D-1 Off Site Habitat Baseline'!$D$1:$X$258,13,FALSE)),"",(VLOOKUP($E95,'D-1 Off Site Habitat Baseline'!$D$1:$X$258,13,FALSE))))</f>
        <v/>
      </c>
      <c r="P95" s="232" t="str">
        <f>IFERROR(INDEX('G-1 All Habitats'!$AG$3:$AG$15,MATCH(Q95,'G-1 All Habitats'!$AF$3:$AF$15,0)),"")</f>
        <v/>
      </c>
      <c r="Q95" s="228" t="str">
        <f t="shared" si="23"/>
        <v/>
      </c>
      <c r="R95" s="229" t="str">
        <f t="shared" si="24"/>
        <v/>
      </c>
      <c r="S95" s="233" t="str">
        <f>IFERROR(INDEX('G-1 All Habitats'!$B$3:$B$129,MATCH(R95,'G-1 All Habitats'!$A$3:$A$129,0)),"")</f>
        <v/>
      </c>
      <c r="T95" s="507" t="str">
        <f t="shared" si="16"/>
        <v/>
      </c>
      <c r="U95" s="524" t="str">
        <f t="shared" si="17"/>
        <v/>
      </c>
      <c r="V95" s="523" t="str">
        <f t="shared" si="14"/>
        <v/>
      </c>
      <c r="W95" s="520" t="str">
        <f>IF(S95="","",VLOOKUP(S95,'G-1 All Habitats'!$B$2:$M$129,10,FALSE))</f>
        <v/>
      </c>
      <c r="X95" s="520" t="str">
        <f>IFERROR(VLOOKUP(W95,'G-1 All Habitats'!$V$3:$W$7,2,FALSE),"")</f>
        <v/>
      </c>
      <c r="Y95" s="203"/>
      <c r="Z95" s="524" t="str">
        <f>IFERROR(INDEX('G-8 Condition Look up'!$A$3:$H$130,MATCH(S95,'G-8 Condition Look up'!$A$3:$A$130,0),MATCH(Y95,'G-8 Condition Look up'!$A$3:$H$3,0)),"")</f>
        <v/>
      </c>
      <c r="AA95" s="145"/>
      <c r="AB95" s="540" t="str">
        <f>IF(AA95="","",IF(VLOOKUP(AA95,'G-3 Multipliers'!$L$3:$N$6,2,FALSE)=0,"Spatial Data Missing ⚠",VLOOKUP(AA95,'G-3 Multipliers'!$L$3:$N$6,2,FALSE)))</f>
        <v/>
      </c>
      <c r="AC95" s="524" t="str">
        <f>IF(AA95="","",IF(VLOOKUP(AA95,'G-3 Multipliers'!$L$3:$N$6,3,FALSE)=0,"Spatial Data Missing ⚠",VLOOKUP(AA95,'G-3 Multipliers'!$L$3:$N$6,3,FALSE)))</f>
        <v/>
      </c>
      <c r="AD95" s="537" t="str">
        <f t="shared" si="15"/>
        <v/>
      </c>
      <c r="AE95" s="203"/>
      <c r="AF95" s="203"/>
      <c r="AG95" s="520" t="str">
        <f t="shared" si="18"/>
        <v/>
      </c>
      <c r="AH95" s="544" t="str">
        <f t="shared" si="19"/>
        <v/>
      </c>
      <c r="AI95" s="525" t="str">
        <f>IF(AH95="Check Data ⚠","Check Data ⚠",IFERROR(VLOOKUP(AH95,'G-4 Temporal multipliers'!$A$4:$C$36,3,FALSE),""))</f>
        <v/>
      </c>
      <c r="AJ95" s="537" t="str">
        <f>IF(S95="","",VLOOKUP(S95,'G-3 Multipliers'!$A$2:$E$129,4,FALSE))</f>
        <v/>
      </c>
      <c r="AK95" s="520" t="str">
        <f t="shared" si="20"/>
        <v/>
      </c>
      <c r="AL95" s="520" t="str">
        <f t="shared" si="21"/>
        <v/>
      </c>
      <c r="AM95" s="524" t="str">
        <f>IFERROR(IF(F95="","",IF(AH95="Check Data ⚠","Check Data ⚠",VLOOKUP(AL95, 'G-3 Multipliers'!$P$2:$Q$6,2,FALSE))),"")</f>
        <v/>
      </c>
      <c r="AN95" s="197"/>
      <c r="AO95" s="540" t="str">
        <f>IF(AN95="","",IF(VLOOKUP(AN95,'G-3 Multipliers'!$S$3:$T$9,2,FALSE)=0,"Spatial Data Missing ⚠",VLOOKUP(AN95,'G-3 Multipliers'!$S$3:$T$9,2,FALSE)))</f>
        <v/>
      </c>
      <c r="AP95" s="513" t="str">
        <f t="shared" si="22"/>
        <v/>
      </c>
      <c r="AQ95" s="231"/>
      <c r="AR95" s="150"/>
    </row>
    <row r="96" spans="1:44" x14ac:dyDescent="0.25">
      <c r="A96" s="31" t="str">
        <f>IF(E96="","",IF(ISNA(VLOOKUP($E96,'D-1 Off Site Habitat Baseline'!$D$1:$O$258,2,FALSE)),"",(VLOOKUP($E96,'D-1 Off Site Habitat Baseline'!$D$1:$O$258,2,FALSE))))</f>
        <v/>
      </c>
      <c r="B96" s="31" t="str">
        <f>IF(E96="","",IF(ISNA(VLOOKUP($E96,'D-1 Off Site Habitat Baseline'!$D$1:$O$258,3,FALSE)),"",(VLOOKUP($E96,'D-1 Off Site Habitat Baseline'!$D$1:$O$258,3,FALSE))))</f>
        <v/>
      </c>
      <c r="C96" s="31" t="str">
        <f>IFERROR(INDEX('G-8 Condition Look up'!$I$4:$I$130,MATCH(S96,'G-8 Condition Look up'!$A$4:$A$130,0)),"")</f>
        <v/>
      </c>
      <c r="E96" s="547" t="str">
        <f>'D-1 Off Site Habitat Baseline'!AL95</f>
        <v/>
      </c>
      <c r="F96" s="520" t="str">
        <f>IF(E96="","",IF(ISNA(VLOOKUP($E96,'D-1 Off Site Habitat Baseline'!$D$1:$O$258,4,FALSE)),"",(VLOOKUP($E96,'D-1 Off Site Habitat Baseline'!$D$1:$O$258,4,FALSE))))</f>
        <v/>
      </c>
      <c r="G96" s="520" t="str">
        <f>IF(E96="","",IF(ISNA(VLOOKUP($E96,'D-1 Off Site Habitat Baseline'!$D$1:$O$258,5,FALSE)),"",(VLOOKUP($E96,'D-1 Off Site Habitat Baseline'!$D$1:$O$258,5,FALSE))))</f>
        <v/>
      </c>
      <c r="H96" s="520" t="str">
        <f>IF(E96="","",IF(ISNA(VLOOKUP($E96,'D-1 Off Site Habitat Baseline'!$D$1:$O$258,6,FALSE)),"",(VLOOKUP($E96,'D-1 Off Site Habitat Baseline'!$D$1:$O$258,6,FALSE))))</f>
        <v/>
      </c>
      <c r="I96" s="520" t="str">
        <f>IF(E96="","",IF(ISNA(VLOOKUP($E96,'D-1 Off Site Habitat Baseline'!$D$1:$O$258,7,FALSE)),"",(VLOOKUP($E96,'D-1 Off Site Habitat Baseline'!$D$1:$O$258,7,FALSE))))</f>
        <v/>
      </c>
      <c r="J96" s="520" t="str">
        <f>IF(E96="","",IF(ISNA(VLOOKUP($E96,'D-1 Off Site Habitat Baseline'!$D$1:$O$258,8,FALSE)),"",(VLOOKUP($E96,'D-1 Off Site Habitat Baseline'!$D$1:$O$258,8,FALSE))))</f>
        <v/>
      </c>
      <c r="K96" s="520" t="str">
        <f>IF(E96="","",IF(ISNA(VLOOKUP($E96,'D-1 Off Site Habitat Baseline'!$D$1:$O$258,9,FALSE)),"",(VLOOKUP($E96,'D-1 Off Site Habitat Baseline'!$D$1:$O$258,9,FALSE))))</f>
        <v/>
      </c>
      <c r="L96" s="520" t="str">
        <f>IF(E96="","",IF(ISNA(VLOOKUP($E96,'D-1 Off Site Habitat Baseline'!$D$1:$O$258,11,FALSE)),"",(VLOOKUP($E96,'D-1 Off Site Habitat Baseline'!$D$1:$O$258,11,FALSE))))</f>
        <v/>
      </c>
      <c r="M96" s="520" t="str">
        <f>IF(E96="","",IF(ISNA(VLOOKUP($E96,'D-1 Off Site Habitat Baseline'!$D$1:$O$258,12,FALSE)),"",(VLOOKUP($E96,'D-1 Off Site Habitat Baseline'!$D$1:$O$258,12,FALSE))))</f>
        <v/>
      </c>
      <c r="N96" s="520" t="str">
        <f>IF(E96="","",IF(ISNA(VLOOKUP($E96,'D-1 Off Site Habitat Baseline'!$D$1:$X$258,14,FALSE)),"",(VLOOKUP($E96,'D-1 Off Site Habitat Baseline'!$D$1:$X$258,14,FALSE))))</f>
        <v/>
      </c>
      <c r="O96" s="524" t="str">
        <f>IF(E96="","",IF(ISNA(VLOOKUP($E96,'D-1 Off Site Habitat Baseline'!$D$1:$X$258,13,FALSE)),"",(VLOOKUP($E96,'D-1 Off Site Habitat Baseline'!$D$1:$X$258,13,FALSE))))</f>
        <v/>
      </c>
      <c r="P96" s="232" t="str">
        <f>IFERROR(INDEX('G-1 All Habitats'!$AG$3:$AG$15,MATCH(Q96,'G-1 All Habitats'!$AF$3:$AF$15,0)),"")</f>
        <v/>
      </c>
      <c r="Q96" s="228" t="str">
        <f t="shared" si="23"/>
        <v/>
      </c>
      <c r="R96" s="229" t="str">
        <f t="shared" si="24"/>
        <v/>
      </c>
      <c r="S96" s="233" t="str">
        <f>IFERROR(INDEX('G-1 All Habitats'!$B$3:$B$129,MATCH(R96,'G-1 All Habitats'!$A$3:$A$129,0)),"")</f>
        <v/>
      </c>
      <c r="T96" s="507" t="str">
        <f t="shared" si="16"/>
        <v/>
      </c>
      <c r="U96" s="524" t="str">
        <f t="shared" si="17"/>
        <v/>
      </c>
      <c r="V96" s="523" t="str">
        <f t="shared" si="14"/>
        <v/>
      </c>
      <c r="W96" s="520" t="str">
        <f>IF(S96="","",VLOOKUP(S96,'G-1 All Habitats'!$B$2:$M$129,10,FALSE))</f>
        <v/>
      </c>
      <c r="X96" s="520" t="str">
        <f>IFERROR(VLOOKUP(W96,'G-1 All Habitats'!$V$3:$W$7,2,FALSE),"")</f>
        <v/>
      </c>
      <c r="Y96" s="203"/>
      <c r="Z96" s="524" t="str">
        <f>IFERROR(INDEX('G-8 Condition Look up'!$A$3:$H$130,MATCH(S96,'G-8 Condition Look up'!$A$3:$A$130,0),MATCH(Y96,'G-8 Condition Look up'!$A$3:$H$3,0)),"")</f>
        <v/>
      </c>
      <c r="AA96" s="145"/>
      <c r="AB96" s="540" t="str">
        <f>IF(AA96="","",IF(VLOOKUP(AA96,'G-3 Multipliers'!$L$3:$N$6,2,FALSE)=0,"Spatial Data Missing ⚠",VLOOKUP(AA96,'G-3 Multipliers'!$L$3:$N$6,2,FALSE)))</f>
        <v/>
      </c>
      <c r="AC96" s="524" t="str">
        <f>IF(AA96="","",IF(VLOOKUP(AA96,'G-3 Multipliers'!$L$3:$N$6,3,FALSE)=0,"Spatial Data Missing ⚠",VLOOKUP(AA96,'G-3 Multipliers'!$L$3:$N$6,3,FALSE)))</f>
        <v/>
      </c>
      <c r="AD96" s="537" t="str">
        <f t="shared" si="15"/>
        <v/>
      </c>
      <c r="AE96" s="203"/>
      <c r="AF96" s="203"/>
      <c r="AG96" s="520" t="str">
        <f t="shared" si="18"/>
        <v/>
      </c>
      <c r="AH96" s="544" t="str">
        <f t="shared" si="19"/>
        <v/>
      </c>
      <c r="AI96" s="525" t="str">
        <f>IF(AH96="Check Data ⚠","Check Data ⚠",IFERROR(VLOOKUP(AH96,'G-4 Temporal multipliers'!$A$4:$C$36,3,FALSE),""))</f>
        <v/>
      </c>
      <c r="AJ96" s="537" t="str">
        <f>IF(S96="","",VLOOKUP(S96,'G-3 Multipliers'!$A$2:$E$129,4,FALSE))</f>
        <v/>
      </c>
      <c r="AK96" s="520" t="str">
        <f t="shared" si="20"/>
        <v/>
      </c>
      <c r="AL96" s="520" t="str">
        <f t="shared" si="21"/>
        <v/>
      </c>
      <c r="AM96" s="524" t="str">
        <f>IFERROR(IF(F96="","",IF(AH96="Check Data ⚠","Check Data ⚠",VLOOKUP(AL96, 'G-3 Multipliers'!$P$2:$Q$6,2,FALSE))),"")</f>
        <v/>
      </c>
      <c r="AN96" s="197"/>
      <c r="AO96" s="540" t="str">
        <f>IF(AN96="","",IF(VLOOKUP(AN96,'G-3 Multipliers'!$S$3:$T$9,2,FALSE)=0,"Spatial Data Missing ⚠",VLOOKUP(AN96,'G-3 Multipliers'!$S$3:$T$9,2,FALSE)))</f>
        <v/>
      </c>
      <c r="AP96" s="513" t="str">
        <f t="shared" si="22"/>
        <v/>
      </c>
      <c r="AQ96" s="231"/>
      <c r="AR96" s="150"/>
    </row>
    <row r="97" spans="1:44" x14ac:dyDescent="0.25">
      <c r="A97" s="31" t="str">
        <f>IF(E97="","",IF(ISNA(VLOOKUP($E97,'D-1 Off Site Habitat Baseline'!$D$1:$O$258,2,FALSE)),"",(VLOOKUP($E97,'D-1 Off Site Habitat Baseline'!$D$1:$O$258,2,FALSE))))</f>
        <v/>
      </c>
      <c r="B97" s="31" t="str">
        <f>IF(E97="","",IF(ISNA(VLOOKUP($E97,'D-1 Off Site Habitat Baseline'!$D$1:$O$258,3,FALSE)),"",(VLOOKUP($E97,'D-1 Off Site Habitat Baseline'!$D$1:$O$258,3,FALSE))))</f>
        <v/>
      </c>
      <c r="C97" s="31" t="str">
        <f>IFERROR(INDEX('G-8 Condition Look up'!$I$4:$I$130,MATCH(S97,'G-8 Condition Look up'!$A$4:$A$130,0)),"")</f>
        <v/>
      </c>
      <c r="E97" s="547" t="str">
        <f>'D-1 Off Site Habitat Baseline'!AL96</f>
        <v/>
      </c>
      <c r="F97" s="520" t="str">
        <f>IF(E97="","",IF(ISNA(VLOOKUP($E97,'D-1 Off Site Habitat Baseline'!$D$1:$O$258,4,FALSE)),"",(VLOOKUP($E97,'D-1 Off Site Habitat Baseline'!$D$1:$O$258,4,FALSE))))</f>
        <v/>
      </c>
      <c r="G97" s="520" t="str">
        <f>IF(E97="","",IF(ISNA(VLOOKUP($E97,'D-1 Off Site Habitat Baseline'!$D$1:$O$258,5,FALSE)),"",(VLOOKUP($E97,'D-1 Off Site Habitat Baseline'!$D$1:$O$258,5,FALSE))))</f>
        <v/>
      </c>
      <c r="H97" s="520" t="str">
        <f>IF(E97="","",IF(ISNA(VLOOKUP($E97,'D-1 Off Site Habitat Baseline'!$D$1:$O$258,6,FALSE)),"",(VLOOKUP($E97,'D-1 Off Site Habitat Baseline'!$D$1:$O$258,6,FALSE))))</f>
        <v/>
      </c>
      <c r="I97" s="520" t="str">
        <f>IF(E97="","",IF(ISNA(VLOOKUP($E97,'D-1 Off Site Habitat Baseline'!$D$1:$O$258,7,FALSE)),"",(VLOOKUP($E97,'D-1 Off Site Habitat Baseline'!$D$1:$O$258,7,FALSE))))</f>
        <v/>
      </c>
      <c r="J97" s="520" t="str">
        <f>IF(E97="","",IF(ISNA(VLOOKUP($E97,'D-1 Off Site Habitat Baseline'!$D$1:$O$258,8,FALSE)),"",(VLOOKUP($E97,'D-1 Off Site Habitat Baseline'!$D$1:$O$258,8,FALSE))))</f>
        <v/>
      </c>
      <c r="K97" s="520" t="str">
        <f>IF(E97="","",IF(ISNA(VLOOKUP($E97,'D-1 Off Site Habitat Baseline'!$D$1:$O$258,9,FALSE)),"",(VLOOKUP($E97,'D-1 Off Site Habitat Baseline'!$D$1:$O$258,9,FALSE))))</f>
        <v/>
      </c>
      <c r="L97" s="520" t="str">
        <f>IF(E97="","",IF(ISNA(VLOOKUP($E97,'D-1 Off Site Habitat Baseline'!$D$1:$O$258,11,FALSE)),"",(VLOOKUP($E97,'D-1 Off Site Habitat Baseline'!$D$1:$O$258,11,FALSE))))</f>
        <v/>
      </c>
      <c r="M97" s="520" t="str">
        <f>IF(E97="","",IF(ISNA(VLOOKUP($E97,'D-1 Off Site Habitat Baseline'!$D$1:$O$258,12,FALSE)),"",(VLOOKUP($E97,'D-1 Off Site Habitat Baseline'!$D$1:$O$258,12,FALSE))))</f>
        <v/>
      </c>
      <c r="N97" s="520" t="str">
        <f>IF(E97="","",IF(ISNA(VLOOKUP($E97,'D-1 Off Site Habitat Baseline'!$D$1:$X$258,14,FALSE)),"",(VLOOKUP($E97,'D-1 Off Site Habitat Baseline'!$D$1:$X$258,14,FALSE))))</f>
        <v/>
      </c>
      <c r="O97" s="524" t="str">
        <f>IF(E97="","",IF(ISNA(VLOOKUP($E97,'D-1 Off Site Habitat Baseline'!$D$1:$X$258,13,FALSE)),"",(VLOOKUP($E97,'D-1 Off Site Habitat Baseline'!$D$1:$X$258,13,FALSE))))</f>
        <v/>
      </c>
      <c r="P97" s="232" t="str">
        <f>IFERROR(INDEX('G-1 All Habitats'!$AG$3:$AG$15,MATCH(Q97,'G-1 All Habitats'!$AF$3:$AF$15,0)),"")</f>
        <v/>
      </c>
      <c r="Q97" s="228" t="str">
        <f t="shared" si="23"/>
        <v/>
      </c>
      <c r="R97" s="229" t="str">
        <f t="shared" si="24"/>
        <v/>
      </c>
      <c r="S97" s="233" t="str">
        <f>IFERROR(INDEX('G-1 All Habitats'!$B$3:$B$129,MATCH(R97,'G-1 All Habitats'!$A$3:$A$129,0)),"")</f>
        <v/>
      </c>
      <c r="T97" s="507" t="str">
        <f t="shared" si="16"/>
        <v/>
      </c>
      <c r="U97" s="524" t="str">
        <f t="shared" si="17"/>
        <v/>
      </c>
      <c r="V97" s="523" t="str">
        <f t="shared" si="14"/>
        <v/>
      </c>
      <c r="W97" s="520" t="str">
        <f>IF(S97="","",VLOOKUP(S97,'G-1 All Habitats'!$B$2:$M$129,10,FALSE))</f>
        <v/>
      </c>
      <c r="X97" s="520" t="str">
        <f>IFERROR(VLOOKUP(W97,'G-1 All Habitats'!$V$3:$W$7,2,FALSE),"")</f>
        <v/>
      </c>
      <c r="Y97" s="203"/>
      <c r="Z97" s="524" t="str">
        <f>IFERROR(INDEX('G-8 Condition Look up'!$A$3:$H$130,MATCH(S97,'G-8 Condition Look up'!$A$3:$A$130,0),MATCH(Y97,'G-8 Condition Look up'!$A$3:$H$3,0)),"")</f>
        <v/>
      </c>
      <c r="AA97" s="145"/>
      <c r="AB97" s="540" t="str">
        <f>IF(AA97="","",IF(VLOOKUP(AA97,'G-3 Multipliers'!$L$3:$N$6,2,FALSE)=0,"Spatial Data Missing ⚠",VLOOKUP(AA97,'G-3 Multipliers'!$L$3:$N$6,2,FALSE)))</f>
        <v/>
      </c>
      <c r="AC97" s="524" t="str">
        <f>IF(AA97="","",IF(VLOOKUP(AA97,'G-3 Multipliers'!$L$3:$N$6,3,FALSE)=0,"Spatial Data Missing ⚠",VLOOKUP(AA97,'G-3 Multipliers'!$L$3:$N$6,3,FALSE)))</f>
        <v/>
      </c>
      <c r="AD97" s="537" t="str">
        <f t="shared" si="15"/>
        <v/>
      </c>
      <c r="AE97" s="203"/>
      <c r="AF97" s="203"/>
      <c r="AG97" s="520" t="str">
        <f t="shared" si="18"/>
        <v/>
      </c>
      <c r="AH97" s="544" t="str">
        <f t="shared" si="19"/>
        <v/>
      </c>
      <c r="AI97" s="525" t="str">
        <f>IF(AH97="Check Data ⚠","Check Data ⚠",IFERROR(VLOOKUP(AH97,'G-4 Temporal multipliers'!$A$4:$C$36,3,FALSE),""))</f>
        <v/>
      </c>
      <c r="AJ97" s="537" t="str">
        <f>IF(S97="","",VLOOKUP(S97,'G-3 Multipliers'!$A$2:$E$129,4,FALSE))</f>
        <v/>
      </c>
      <c r="AK97" s="520" t="str">
        <f t="shared" si="20"/>
        <v/>
      </c>
      <c r="AL97" s="520" t="str">
        <f t="shared" si="21"/>
        <v/>
      </c>
      <c r="AM97" s="524" t="str">
        <f>IFERROR(IF(F97="","",IF(AH97="Check Data ⚠","Check Data ⚠",VLOOKUP(AL97, 'G-3 Multipliers'!$P$2:$Q$6,2,FALSE))),"")</f>
        <v/>
      </c>
      <c r="AN97" s="197"/>
      <c r="AO97" s="540" t="str">
        <f>IF(AN97="","",IF(VLOOKUP(AN97,'G-3 Multipliers'!$S$3:$T$9,2,FALSE)=0,"Spatial Data Missing ⚠",VLOOKUP(AN97,'G-3 Multipliers'!$S$3:$T$9,2,FALSE)))</f>
        <v/>
      </c>
      <c r="AP97" s="513" t="str">
        <f t="shared" si="22"/>
        <v/>
      </c>
      <c r="AQ97" s="231"/>
      <c r="AR97" s="150"/>
    </row>
    <row r="98" spans="1:44" x14ac:dyDescent="0.25">
      <c r="A98" s="31" t="str">
        <f>IF(E98="","",IF(ISNA(VLOOKUP($E98,'D-1 Off Site Habitat Baseline'!$D$1:$O$258,2,FALSE)),"",(VLOOKUP($E98,'D-1 Off Site Habitat Baseline'!$D$1:$O$258,2,FALSE))))</f>
        <v/>
      </c>
      <c r="B98" s="31" t="str">
        <f>IF(E98="","",IF(ISNA(VLOOKUP($E98,'D-1 Off Site Habitat Baseline'!$D$1:$O$258,3,FALSE)),"",(VLOOKUP($E98,'D-1 Off Site Habitat Baseline'!$D$1:$O$258,3,FALSE))))</f>
        <v/>
      </c>
      <c r="C98" s="31" t="str">
        <f>IFERROR(INDEX('G-8 Condition Look up'!$I$4:$I$130,MATCH(S98,'G-8 Condition Look up'!$A$4:$A$130,0)),"")</f>
        <v/>
      </c>
      <c r="E98" s="547" t="str">
        <f>'D-1 Off Site Habitat Baseline'!AL97</f>
        <v/>
      </c>
      <c r="F98" s="520" t="str">
        <f>IF(E98="","",IF(ISNA(VLOOKUP($E98,'D-1 Off Site Habitat Baseline'!$D$1:$O$258,4,FALSE)),"",(VLOOKUP($E98,'D-1 Off Site Habitat Baseline'!$D$1:$O$258,4,FALSE))))</f>
        <v/>
      </c>
      <c r="G98" s="520" t="str">
        <f>IF(E98="","",IF(ISNA(VLOOKUP($E98,'D-1 Off Site Habitat Baseline'!$D$1:$O$258,5,FALSE)),"",(VLOOKUP($E98,'D-1 Off Site Habitat Baseline'!$D$1:$O$258,5,FALSE))))</f>
        <v/>
      </c>
      <c r="H98" s="520" t="str">
        <f>IF(E98="","",IF(ISNA(VLOOKUP($E98,'D-1 Off Site Habitat Baseline'!$D$1:$O$258,6,FALSE)),"",(VLOOKUP($E98,'D-1 Off Site Habitat Baseline'!$D$1:$O$258,6,FALSE))))</f>
        <v/>
      </c>
      <c r="I98" s="520" t="str">
        <f>IF(E98="","",IF(ISNA(VLOOKUP($E98,'D-1 Off Site Habitat Baseline'!$D$1:$O$258,7,FALSE)),"",(VLOOKUP($E98,'D-1 Off Site Habitat Baseline'!$D$1:$O$258,7,FALSE))))</f>
        <v/>
      </c>
      <c r="J98" s="520" t="str">
        <f>IF(E98="","",IF(ISNA(VLOOKUP($E98,'D-1 Off Site Habitat Baseline'!$D$1:$O$258,8,FALSE)),"",(VLOOKUP($E98,'D-1 Off Site Habitat Baseline'!$D$1:$O$258,8,FALSE))))</f>
        <v/>
      </c>
      <c r="K98" s="520" t="str">
        <f>IF(E98="","",IF(ISNA(VLOOKUP($E98,'D-1 Off Site Habitat Baseline'!$D$1:$O$258,9,FALSE)),"",(VLOOKUP($E98,'D-1 Off Site Habitat Baseline'!$D$1:$O$258,9,FALSE))))</f>
        <v/>
      </c>
      <c r="L98" s="520" t="str">
        <f>IF(E98="","",IF(ISNA(VLOOKUP($E98,'D-1 Off Site Habitat Baseline'!$D$1:$O$258,11,FALSE)),"",(VLOOKUP($E98,'D-1 Off Site Habitat Baseline'!$D$1:$O$258,11,FALSE))))</f>
        <v/>
      </c>
      <c r="M98" s="520" t="str">
        <f>IF(E98="","",IF(ISNA(VLOOKUP($E98,'D-1 Off Site Habitat Baseline'!$D$1:$O$258,12,FALSE)),"",(VLOOKUP($E98,'D-1 Off Site Habitat Baseline'!$D$1:$O$258,12,FALSE))))</f>
        <v/>
      </c>
      <c r="N98" s="520" t="str">
        <f>IF(E98="","",IF(ISNA(VLOOKUP($E98,'D-1 Off Site Habitat Baseline'!$D$1:$X$258,14,FALSE)),"",(VLOOKUP($E98,'D-1 Off Site Habitat Baseline'!$D$1:$X$258,14,FALSE))))</f>
        <v/>
      </c>
      <c r="O98" s="524" t="str">
        <f>IF(E98="","",IF(ISNA(VLOOKUP($E98,'D-1 Off Site Habitat Baseline'!$D$1:$X$258,13,FALSE)),"",(VLOOKUP($E98,'D-1 Off Site Habitat Baseline'!$D$1:$X$258,13,FALSE))))</f>
        <v/>
      </c>
      <c r="P98" s="232" t="str">
        <f>IFERROR(INDEX('G-1 All Habitats'!$AG$3:$AG$15,MATCH(Q98,'G-1 All Habitats'!$AF$3:$AF$15,0)),"")</f>
        <v/>
      </c>
      <c r="Q98" s="228" t="str">
        <f t="shared" si="23"/>
        <v/>
      </c>
      <c r="R98" s="229" t="str">
        <f t="shared" si="24"/>
        <v/>
      </c>
      <c r="S98" s="233" t="str">
        <f>IFERROR(INDEX('G-1 All Habitats'!$B$3:$B$129,MATCH(R98,'G-1 All Habitats'!$A$3:$A$129,0)),"")</f>
        <v/>
      </c>
      <c r="T98" s="507" t="str">
        <f t="shared" si="16"/>
        <v/>
      </c>
      <c r="U98" s="524" t="str">
        <f t="shared" si="17"/>
        <v/>
      </c>
      <c r="V98" s="523" t="str">
        <f t="shared" si="14"/>
        <v/>
      </c>
      <c r="W98" s="520" t="str">
        <f>IF(S98="","",VLOOKUP(S98,'G-1 All Habitats'!$B$2:$M$129,10,FALSE))</f>
        <v/>
      </c>
      <c r="X98" s="520" t="str">
        <f>IFERROR(VLOOKUP(W98,'G-1 All Habitats'!$V$3:$W$7,2,FALSE),"")</f>
        <v/>
      </c>
      <c r="Y98" s="203"/>
      <c r="Z98" s="524" t="str">
        <f>IFERROR(INDEX('G-8 Condition Look up'!$A$3:$H$130,MATCH(S98,'G-8 Condition Look up'!$A$3:$A$130,0),MATCH(Y98,'G-8 Condition Look up'!$A$3:$H$3,0)),"")</f>
        <v/>
      </c>
      <c r="AA98" s="145"/>
      <c r="AB98" s="540" t="str">
        <f>IF(AA98="","",IF(VLOOKUP(AA98,'G-3 Multipliers'!$L$3:$N$6,2,FALSE)=0,"Spatial Data Missing ⚠",VLOOKUP(AA98,'G-3 Multipliers'!$L$3:$N$6,2,FALSE)))</f>
        <v/>
      </c>
      <c r="AC98" s="524" t="str">
        <f>IF(AA98="","",IF(VLOOKUP(AA98,'G-3 Multipliers'!$L$3:$N$6,3,FALSE)=0,"Spatial Data Missing ⚠",VLOOKUP(AA98,'G-3 Multipliers'!$L$3:$N$6,3,FALSE)))</f>
        <v/>
      </c>
      <c r="AD98" s="537" t="str">
        <f t="shared" si="15"/>
        <v/>
      </c>
      <c r="AE98" s="203"/>
      <c r="AF98" s="203"/>
      <c r="AG98" s="520" t="str">
        <f t="shared" si="18"/>
        <v/>
      </c>
      <c r="AH98" s="544" t="str">
        <f t="shared" si="19"/>
        <v/>
      </c>
      <c r="AI98" s="525" t="str">
        <f>IF(AH98="Check Data ⚠","Check Data ⚠",IFERROR(VLOOKUP(AH98,'G-4 Temporal multipliers'!$A$4:$C$36,3,FALSE),""))</f>
        <v/>
      </c>
      <c r="AJ98" s="537" t="str">
        <f>IF(S98="","",VLOOKUP(S98,'G-3 Multipliers'!$A$2:$E$129,4,FALSE))</f>
        <v/>
      </c>
      <c r="AK98" s="520" t="str">
        <f t="shared" si="20"/>
        <v/>
      </c>
      <c r="AL98" s="520" t="str">
        <f t="shared" si="21"/>
        <v/>
      </c>
      <c r="AM98" s="524" t="str">
        <f>IFERROR(IF(F98="","",IF(AH98="Check Data ⚠","Check Data ⚠",VLOOKUP(AL98, 'G-3 Multipliers'!$P$2:$Q$6,2,FALSE))),"")</f>
        <v/>
      </c>
      <c r="AN98" s="197"/>
      <c r="AO98" s="540" t="str">
        <f>IF(AN98="","",IF(VLOOKUP(AN98,'G-3 Multipliers'!$S$3:$T$9,2,FALSE)=0,"Spatial Data Missing ⚠",VLOOKUP(AN98,'G-3 Multipliers'!$S$3:$T$9,2,FALSE)))</f>
        <v/>
      </c>
      <c r="AP98" s="513" t="str">
        <f t="shared" si="22"/>
        <v/>
      </c>
      <c r="AQ98" s="231"/>
      <c r="AR98" s="150"/>
    </row>
    <row r="99" spans="1:44" x14ac:dyDescent="0.25">
      <c r="A99" s="31" t="str">
        <f>IF(E99="","",IF(ISNA(VLOOKUP($E99,'D-1 Off Site Habitat Baseline'!$D$1:$O$258,2,FALSE)),"",(VLOOKUP($E99,'D-1 Off Site Habitat Baseline'!$D$1:$O$258,2,FALSE))))</f>
        <v/>
      </c>
      <c r="B99" s="31" t="str">
        <f>IF(E99="","",IF(ISNA(VLOOKUP($E99,'D-1 Off Site Habitat Baseline'!$D$1:$O$258,3,FALSE)),"",(VLOOKUP($E99,'D-1 Off Site Habitat Baseline'!$D$1:$O$258,3,FALSE))))</f>
        <v/>
      </c>
      <c r="C99" s="31" t="str">
        <f>IFERROR(INDEX('G-8 Condition Look up'!$I$4:$I$130,MATCH(S99,'G-8 Condition Look up'!$A$4:$A$130,0)),"")</f>
        <v/>
      </c>
      <c r="E99" s="547" t="str">
        <f>'D-1 Off Site Habitat Baseline'!AL98</f>
        <v/>
      </c>
      <c r="F99" s="520" t="str">
        <f>IF(E99="","",IF(ISNA(VLOOKUP($E99,'D-1 Off Site Habitat Baseline'!$D$1:$O$258,4,FALSE)),"",(VLOOKUP($E99,'D-1 Off Site Habitat Baseline'!$D$1:$O$258,4,FALSE))))</f>
        <v/>
      </c>
      <c r="G99" s="520" t="str">
        <f>IF(E99="","",IF(ISNA(VLOOKUP($E99,'D-1 Off Site Habitat Baseline'!$D$1:$O$258,5,FALSE)),"",(VLOOKUP($E99,'D-1 Off Site Habitat Baseline'!$D$1:$O$258,5,FALSE))))</f>
        <v/>
      </c>
      <c r="H99" s="520" t="str">
        <f>IF(E99="","",IF(ISNA(VLOOKUP($E99,'D-1 Off Site Habitat Baseline'!$D$1:$O$258,6,FALSE)),"",(VLOOKUP($E99,'D-1 Off Site Habitat Baseline'!$D$1:$O$258,6,FALSE))))</f>
        <v/>
      </c>
      <c r="I99" s="520" t="str">
        <f>IF(E99="","",IF(ISNA(VLOOKUP($E99,'D-1 Off Site Habitat Baseline'!$D$1:$O$258,7,FALSE)),"",(VLOOKUP($E99,'D-1 Off Site Habitat Baseline'!$D$1:$O$258,7,FALSE))))</f>
        <v/>
      </c>
      <c r="J99" s="520" t="str">
        <f>IF(E99="","",IF(ISNA(VLOOKUP($E99,'D-1 Off Site Habitat Baseline'!$D$1:$O$258,8,FALSE)),"",(VLOOKUP($E99,'D-1 Off Site Habitat Baseline'!$D$1:$O$258,8,FALSE))))</f>
        <v/>
      </c>
      <c r="K99" s="520" t="str">
        <f>IF(E99="","",IF(ISNA(VLOOKUP($E99,'D-1 Off Site Habitat Baseline'!$D$1:$O$258,9,FALSE)),"",(VLOOKUP($E99,'D-1 Off Site Habitat Baseline'!$D$1:$O$258,9,FALSE))))</f>
        <v/>
      </c>
      <c r="L99" s="520" t="str">
        <f>IF(E99="","",IF(ISNA(VLOOKUP($E99,'D-1 Off Site Habitat Baseline'!$D$1:$O$258,11,FALSE)),"",(VLOOKUP($E99,'D-1 Off Site Habitat Baseline'!$D$1:$O$258,11,FALSE))))</f>
        <v/>
      </c>
      <c r="M99" s="520" t="str">
        <f>IF(E99="","",IF(ISNA(VLOOKUP($E99,'D-1 Off Site Habitat Baseline'!$D$1:$O$258,12,FALSE)),"",(VLOOKUP($E99,'D-1 Off Site Habitat Baseline'!$D$1:$O$258,12,FALSE))))</f>
        <v/>
      </c>
      <c r="N99" s="520" t="str">
        <f>IF(E99="","",IF(ISNA(VLOOKUP($E99,'D-1 Off Site Habitat Baseline'!$D$1:$X$258,14,FALSE)),"",(VLOOKUP($E99,'D-1 Off Site Habitat Baseline'!$D$1:$X$258,14,FALSE))))</f>
        <v/>
      </c>
      <c r="O99" s="524" t="str">
        <f>IF(E99="","",IF(ISNA(VLOOKUP($E99,'D-1 Off Site Habitat Baseline'!$D$1:$X$258,13,FALSE)),"",(VLOOKUP($E99,'D-1 Off Site Habitat Baseline'!$D$1:$X$258,13,FALSE))))</f>
        <v/>
      </c>
      <c r="P99" s="232" t="str">
        <f>IFERROR(INDEX('G-1 All Habitats'!$AG$3:$AG$15,MATCH(Q99,'G-1 All Habitats'!$AF$3:$AF$15,0)),"")</f>
        <v/>
      </c>
      <c r="Q99" s="228" t="str">
        <f t="shared" si="23"/>
        <v/>
      </c>
      <c r="R99" s="229" t="str">
        <f t="shared" si="24"/>
        <v/>
      </c>
      <c r="S99" s="233" t="str">
        <f>IFERROR(INDEX('G-1 All Habitats'!$B$3:$B$129,MATCH(R99,'G-1 All Habitats'!$A$3:$A$129,0)),"")</f>
        <v/>
      </c>
      <c r="T99" s="507" t="str">
        <f t="shared" si="16"/>
        <v/>
      </c>
      <c r="U99" s="524" t="str">
        <f t="shared" si="17"/>
        <v/>
      </c>
      <c r="V99" s="523" t="str">
        <f t="shared" si="14"/>
        <v/>
      </c>
      <c r="W99" s="520" t="str">
        <f>IF(S99="","",VLOOKUP(S99,'G-1 All Habitats'!$B$2:$M$129,10,FALSE))</f>
        <v/>
      </c>
      <c r="X99" s="520" t="str">
        <f>IFERROR(VLOOKUP(W99,'G-1 All Habitats'!$V$3:$W$7,2,FALSE),"")</f>
        <v/>
      </c>
      <c r="Y99" s="203"/>
      <c r="Z99" s="524" t="str">
        <f>IFERROR(INDEX('G-8 Condition Look up'!$A$3:$H$130,MATCH(S99,'G-8 Condition Look up'!$A$3:$A$130,0),MATCH(Y99,'G-8 Condition Look up'!$A$3:$H$3,0)),"")</f>
        <v/>
      </c>
      <c r="AA99" s="145"/>
      <c r="AB99" s="540" t="str">
        <f>IF(AA99="","",IF(VLOOKUP(AA99,'G-3 Multipliers'!$L$3:$N$6,2,FALSE)=0,"Spatial Data Missing ⚠",VLOOKUP(AA99,'G-3 Multipliers'!$L$3:$N$6,2,FALSE)))</f>
        <v/>
      </c>
      <c r="AC99" s="524" t="str">
        <f>IF(AA99="","",IF(VLOOKUP(AA99,'G-3 Multipliers'!$L$3:$N$6,3,FALSE)=0,"Spatial Data Missing ⚠",VLOOKUP(AA99,'G-3 Multipliers'!$L$3:$N$6,3,FALSE)))</f>
        <v/>
      </c>
      <c r="AD99" s="537" t="str">
        <f t="shared" si="15"/>
        <v/>
      </c>
      <c r="AE99" s="203"/>
      <c r="AF99" s="203"/>
      <c r="AG99" s="520" t="str">
        <f t="shared" si="18"/>
        <v/>
      </c>
      <c r="AH99" s="544" t="str">
        <f t="shared" si="19"/>
        <v/>
      </c>
      <c r="AI99" s="525" t="str">
        <f>IF(AH99="Check Data ⚠","Check Data ⚠",IFERROR(VLOOKUP(AH99,'G-4 Temporal multipliers'!$A$4:$C$36,3,FALSE),""))</f>
        <v/>
      </c>
      <c r="AJ99" s="537" t="str">
        <f>IF(S99="","",VLOOKUP(S99,'G-3 Multipliers'!$A$2:$E$129,4,FALSE))</f>
        <v/>
      </c>
      <c r="AK99" s="520" t="str">
        <f t="shared" si="20"/>
        <v/>
      </c>
      <c r="AL99" s="520" t="str">
        <f t="shared" si="21"/>
        <v/>
      </c>
      <c r="AM99" s="524" t="str">
        <f>IFERROR(IF(F99="","",IF(AH99="Check Data ⚠","Check Data ⚠",VLOOKUP(AL99, 'G-3 Multipliers'!$P$2:$Q$6,2,FALSE))),"")</f>
        <v/>
      </c>
      <c r="AN99" s="197"/>
      <c r="AO99" s="540" t="str">
        <f>IF(AN99="","",IF(VLOOKUP(AN99,'G-3 Multipliers'!$S$3:$T$9,2,FALSE)=0,"Spatial Data Missing ⚠",VLOOKUP(AN99,'G-3 Multipliers'!$S$3:$T$9,2,FALSE)))</f>
        <v/>
      </c>
      <c r="AP99" s="513" t="str">
        <f t="shared" si="22"/>
        <v/>
      </c>
      <c r="AQ99" s="231"/>
      <c r="AR99" s="150"/>
    </row>
    <row r="100" spans="1:44" x14ac:dyDescent="0.25">
      <c r="A100" s="31" t="str">
        <f>IF(E100="","",IF(ISNA(VLOOKUP($E100,'D-1 Off Site Habitat Baseline'!$D$1:$O$258,2,FALSE)),"",(VLOOKUP($E100,'D-1 Off Site Habitat Baseline'!$D$1:$O$258,2,FALSE))))</f>
        <v/>
      </c>
      <c r="B100" s="31" t="str">
        <f>IF(E100="","",IF(ISNA(VLOOKUP($E100,'D-1 Off Site Habitat Baseline'!$D$1:$O$258,3,FALSE)),"",(VLOOKUP($E100,'D-1 Off Site Habitat Baseline'!$D$1:$O$258,3,FALSE))))</f>
        <v/>
      </c>
      <c r="C100" s="31" t="str">
        <f>IFERROR(INDEX('G-8 Condition Look up'!$I$4:$I$130,MATCH(S100,'G-8 Condition Look up'!$A$4:$A$130,0)),"")</f>
        <v/>
      </c>
      <c r="E100" s="547" t="str">
        <f>'D-1 Off Site Habitat Baseline'!AL99</f>
        <v/>
      </c>
      <c r="F100" s="520" t="str">
        <f>IF(E100="","",IF(ISNA(VLOOKUP($E100,'D-1 Off Site Habitat Baseline'!$D$1:$O$258,4,FALSE)),"",(VLOOKUP($E100,'D-1 Off Site Habitat Baseline'!$D$1:$O$258,4,FALSE))))</f>
        <v/>
      </c>
      <c r="G100" s="520" t="str">
        <f>IF(E100="","",IF(ISNA(VLOOKUP($E100,'D-1 Off Site Habitat Baseline'!$D$1:$O$258,5,FALSE)),"",(VLOOKUP($E100,'D-1 Off Site Habitat Baseline'!$D$1:$O$258,5,FALSE))))</f>
        <v/>
      </c>
      <c r="H100" s="520" t="str">
        <f>IF(E100="","",IF(ISNA(VLOOKUP($E100,'D-1 Off Site Habitat Baseline'!$D$1:$O$258,6,FALSE)),"",(VLOOKUP($E100,'D-1 Off Site Habitat Baseline'!$D$1:$O$258,6,FALSE))))</f>
        <v/>
      </c>
      <c r="I100" s="520" t="str">
        <f>IF(E100="","",IF(ISNA(VLOOKUP($E100,'D-1 Off Site Habitat Baseline'!$D$1:$O$258,7,FALSE)),"",(VLOOKUP($E100,'D-1 Off Site Habitat Baseline'!$D$1:$O$258,7,FALSE))))</f>
        <v/>
      </c>
      <c r="J100" s="520" t="str">
        <f>IF(E100="","",IF(ISNA(VLOOKUP($E100,'D-1 Off Site Habitat Baseline'!$D$1:$O$258,8,FALSE)),"",(VLOOKUP($E100,'D-1 Off Site Habitat Baseline'!$D$1:$O$258,8,FALSE))))</f>
        <v/>
      </c>
      <c r="K100" s="520" t="str">
        <f>IF(E100="","",IF(ISNA(VLOOKUP($E100,'D-1 Off Site Habitat Baseline'!$D$1:$O$258,9,FALSE)),"",(VLOOKUP($E100,'D-1 Off Site Habitat Baseline'!$D$1:$O$258,9,FALSE))))</f>
        <v/>
      </c>
      <c r="L100" s="520" t="str">
        <f>IF(E100="","",IF(ISNA(VLOOKUP($E100,'D-1 Off Site Habitat Baseline'!$D$1:$O$258,11,FALSE)),"",(VLOOKUP($E100,'D-1 Off Site Habitat Baseline'!$D$1:$O$258,11,FALSE))))</f>
        <v/>
      </c>
      <c r="M100" s="520" t="str">
        <f>IF(E100="","",IF(ISNA(VLOOKUP($E100,'D-1 Off Site Habitat Baseline'!$D$1:$O$258,12,FALSE)),"",(VLOOKUP($E100,'D-1 Off Site Habitat Baseline'!$D$1:$O$258,12,FALSE))))</f>
        <v/>
      </c>
      <c r="N100" s="520" t="str">
        <f>IF(E100="","",IF(ISNA(VLOOKUP($E100,'D-1 Off Site Habitat Baseline'!$D$1:$X$258,14,FALSE)),"",(VLOOKUP($E100,'D-1 Off Site Habitat Baseline'!$D$1:$X$258,14,FALSE))))</f>
        <v/>
      </c>
      <c r="O100" s="524" t="str">
        <f>IF(E100="","",IF(ISNA(VLOOKUP($E100,'D-1 Off Site Habitat Baseline'!$D$1:$X$258,13,FALSE)),"",(VLOOKUP($E100,'D-1 Off Site Habitat Baseline'!$D$1:$X$258,13,FALSE))))</f>
        <v/>
      </c>
      <c r="P100" s="232" t="str">
        <f>IFERROR(INDEX('G-1 All Habitats'!$AG$3:$AG$15,MATCH(Q100,'G-1 All Habitats'!$AF$3:$AF$15,0)),"")</f>
        <v/>
      </c>
      <c r="Q100" s="228" t="str">
        <f t="shared" si="23"/>
        <v/>
      </c>
      <c r="R100" s="229" t="str">
        <f t="shared" si="24"/>
        <v/>
      </c>
      <c r="S100" s="233" t="str">
        <f>IFERROR(INDEX('G-1 All Habitats'!$B$3:$B$129,MATCH(R100,'G-1 All Habitats'!$A$3:$A$129,0)),"")</f>
        <v/>
      </c>
      <c r="T100" s="507" t="str">
        <f t="shared" si="16"/>
        <v/>
      </c>
      <c r="U100" s="524" t="str">
        <f t="shared" si="17"/>
        <v/>
      </c>
      <c r="V100" s="523" t="str">
        <f t="shared" si="14"/>
        <v/>
      </c>
      <c r="W100" s="520" t="str">
        <f>IF(S100="","",VLOOKUP(S100,'G-1 All Habitats'!$B$2:$M$129,10,FALSE))</f>
        <v/>
      </c>
      <c r="X100" s="520" t="str">
        <f>IFERROR(VLOOKUP(W100,'G-1 All Habitats'!$V$3:$W$7,2,FALSE),"")</f>
        <v/>
      </c>
      <c r="Y100" s="203"/>
      <c r="Z100" s="524" t="str">
        <f>IFERROR(INDEX('G-8 Condition Look up'!$A$3:$H$130,MATCH(S100,'G-8 Condition Look up'!$A$3:$A$130,0),MATCH(Y100,'G-8 Condition Look up'!$A$3:$H$3,0)),"")</f>
        <v/>
      </c>
      <c r="AA100" s="145"/>
      <c r="AB100" s="540" t="str">
        <f>IF(AA100="","",IF(VLOOKUP(AA100,'G-3 Multipliers'!$L$3:$N$6,2,FALSE)=0,"Spatial Data Missing ⚠",VLOOKUP(AA100,'G-3 Multipliers'!$L$3:$N$6,2,FALSE)))</f>
        <v/>
      </c>
      <c r="AC100" s="524" t="str">
        <f>IF(AA100="","",IF(VLOOKUP(AA100,'G-3 Multipliers'!$L$3:$N$6,3,FALSE)=0,"Spatial Data Missing ⚠",VLOOKUP(AA100,'G-3 Multipliers'!$L$3:$N$6,3,FALSE)))</f>
        <v/>
      </c>
      <c r="AD100" s="537" t="str">
        <f t="shared" si="15"/>
        <v/>
      </c>
      <c r="AE100" s="203"/>
      <c r="AF100" s="203"/>
      <c r="AG100" s="520" t="str">
        <f t="shared" si="18"/>
        <v/>
      </c>
      <c r="AH100" s="544" t="str">
        <f t="shared" si="19"/>
        <v/>
      </c>
      <c r="AI100" s="525" t="str">
        <f>IF(AH100="Check Data ⚠","Check Data ⚠",IFERROR(VLOOKUP(AH100,'G-4 Temporal multipliers'!$A$4:$C$36,3,FALSE),""))</f>
        <v/>
      </c>
      <c r="AJ100" s="537" t="str">
        <f>IF(S100="","",VLOOKUP(S100,'G-3 Multipliers'!$A$2:$E$129,4,FALSE))</f>
        <v/>
      </c>
      <c r="AK100" s="520" t="str">
        <f t="shared" si="20"/>
        <v/>
      </c>
      <c r="AL100" s="520" t="str">
        <f t="shared" si="21"/>
        <v/>
      </c>
      <c r="AM100" s="524" t="str">
        <f>IFERROR(IF(F100="","",IF(AH100="Check Data ⚠","Check Data ⚠",VLOOKUP(AL100, 'G-3 Multipliers'!$P$2:$Q$6,2,FALSE))),"")</f>
        <v/>
      </c>
      <c r="AN100" s="197"/>
      <c r="AO100" s="540" t="str">
        <f>IF(AN100="","",IF(VLOOKUP(AN100,'G-3 Multipliers'!$S$3:$T$9,2,FALSE)=0,"Spatial Data Missing ⚠",VLOOKUP(AN100,'G-3 Multipliers'!$S$3:$T$9,2,FALSE)))</f>
        <v/>
      </c>
      <c r="AP100" s="513" t="str">
        <f t="shared" si="22"/>
        <v/>
      </c>
      <c r="AQ100" s="231"/>
      <c r="AR100" s="150"/>
    </row>
    <row r="101" spans="1:44" x14ac:dyDescent="0.25">
      <c r="A101" s="31" t="str">
        <f>IF(E101="","",IF(ISNA(VLOOKUP($E101,'D-1 Off Site Habitat Baseline'!$D$1:$O$258,2,FALSE)),"",(VLOOKUP($E101,'D-1 Off Site Habitat Baseline'!$D$1:$O$258,2,FALSE))))</f>
        <v/>
      </c>
      <c r="B101" s="31" t="str">
        <f>IF(E101="","",IF(ISNA(VLOOKUP($E101,'D-1 Off Site Habitat Baseline'!$D$1:$O$258,3,FALSE)),"",(VLOOKUP($E101,'D-1 Off Site Habitat Baseline'!$D$1:$O$258,3,FALSE))))</f>
        <v/>
      </c>
      <c r="C101" s="31" t="str">
        <f>IFERROR(INDEX('G-8 Condition Look up'!$I$4:$I$130,MATCH(S101,'G-8 Condition Look up'!$A$4:$A$130,0)),"")</f>
        <v/>
      </c>
      <c r="E101" s="547" t="str">
        <f>'D-1 Off Site Habitat Baseline'!AL100</f>
        <v/>
      </c>
      <c r="F101" s="520" t="str">
        <f>IF(E101="","",IF(ISNA(VLOOKUP($E101,'D-1 Off Site Habitat Baseline'!$D$1:$O$258,4,FALSE)),"",(VLOOKUP($E101,'D-1 Off Site Habitat Baseline'!$D$1:$O$258,4,FALSE))))</f>
        <v/>
      </c>
      <c r="G101" s="520" t="str">
        <f>IF(E101="","",IF(ISNA(VLOOKUP($E101,'D-1 Off Site Habitat Baseline'!$D$1:$O$258,5,FALSE)),"",(VLOOKUP($E101,'D-1 Off Site Habitat Baseline'!$D$1:$O$258,5,FALSE))))</f>
        <v/>
      </c>
      <c r="H101" s="520" t="str">
        <f>IF(E101="","",IF(ISNA(VLOOKUP($E101,'D-1 Off Site Habitat Baseline'!$D$1:$O$258,6,FALSE)),"",(VLOOKUP($E101,'D-1 Off Site Habitat Baseline'!$D$1:$O$258,6,FALSE))))</f>
        <v/>
      </c>
      <c r="I101" s="520" t="str">
        <f>IF(E101="","",IF(ISNA(VLOOKUP($E101,'D-1 Off Site Habitat Baseline'!$D$1:$O$258,7,FALSE)),"",(VLOOKUP($E101,'D-1 Off Site Habitat Baseline'!$D$1:$O$258,7,FALSE))))</f>
        <v/>
      </c>
      <c r="J101" s="520" t="str">
        <f>IF(E101="","",IF(ISNA(VLOOKUP($E101,'D-1 Off Site Habitat Baseline'!$D$1:$O$258,8,FALSE)),"",(VLOOKUP($E101,'D-1 Off Site Habitat Baseline'!$D$1:$O$258,8,FALSE))))</f>
        <v/>
      </c>
      <c r="K101" s="520" t="str">
        <f>IF(E101="","",IF(ISNA(VLOOKUP($E101,'D-1 Off Site Habitat Baseline'!$D$1:$O$258,9,FALSE)),"",(VLOOKUP($E101,'D-1 Off Site Habitat Baseline'!$D$1:$O$258,9,FALSE))))</f>
        <v/>
      </c>
      <c r="L101" s="520" t="str">
        <f>IF(E101="","",IF(ISNA(VLOOKUP($E101,'D-1 Off Site Habitat Baseline'!$D$1:$O$258,11,FALSE)),"",(VLOOKUP($E101,'D-1 Off Site Habitat Baseline'!$D$1:$O$258,11,FALSE))))</f>
        <v/>
      </c>
      <c r="M101" s="520" t="str">
        <f>IF(E101="","",IF(ISNA(VLOOKUP($E101,'D-1 Off Site Habitat Baseline'!$D$1:$O$258,12,FALSE)),"",(VLOOKUP($E101,'D-1 Off Site Habitat Baseline'!$D$1:$O$258,12,FALSE))))</f>
        <v/>
      </c>
      <c r="N101" s="520" t="str">
        <f>IF(E101="","",IF(ISNA(VLOOKUP($E101,'D-1 Off Site Habitat Baseline'!$D$1:$X$258,14,FALSE)),"",(VLOOKUP($E101,'D-1 Off Site Habitat Baseline'!$D$1:$X$258,14,FALSE))))</f>
        <v/>
      </c>
      <c r="O101" s="524" t="str">
        <f>IF(E101="","",IF(ISNA(VLOOKUP($E101,'D-1 Off Site Habitat Baseline'!$D$1:$X$258,13,FALSE)),"",(VLOOKUP($E101,'D-1 Off Site Habitat Baseline'!$D$1:$X$258,13,FALSE))))</f>
        <v/>
      </c>
      <c r="P101" s="232" t="str">
        <f>IFERROR(INDEX('G-1 All Habitats'!$AG$3:$AG$15,MATCH(Q101,'G-1 All Habitats'!$AF$3:$AF$15,0)),"")</f>
        <v/>
      </c>
      <c r="Q101" s="228" t="str">
        <f t="shared" si="23"/>
        <v/>
      </c>
      <c r="R101" s="229" t="str">
        <f t="shared" si="24"/>
        <v/>
      </c>
      <c r="S101" s="233" t="str">
        <f>IFERROR(INDEX('G-1 All Habitats'!$B$3:$B$129,MATCH(R101,'G-1 All Habitats'!$A$3:$A$129,0)),"")</f>
        <v/>
      </c>
      <c r="T101" s="507" t="str">
        <f t="shared" si="16"/>
        <v/>
      </c>
      <c r="U101" s="524" t="str">
        <f t="shared" si="17"/>
        <v/>
      </c>
      <c r="V101" s="523" t="str">
        <f t="shared" si="14"/>
        <v/>
      </c>
      <c r="W101" s="520" t="str">
        <f>IF(S101="","",VLOOKUP(S101,'G-1 All Habitats'!$B$2:$M$129,10,FALSE))</f>
        <v/>
      </c>
      <c r="X101" s="520" t="str">
        <f>IFERROR(VLOOKUP(W101,'G-1 All Habitats'!$V$3:$W$7,2,FALSE),"")</f>
        <v/>
      </c>
      <c r="Y101" s="203"/>
      <c r="Z101" s="524" t="str">
        <f>IFERROR(INDEX('G-8 Condition Look up'!$A$3:$H$130,MATCH(S101,'G-8 Condition Look up'!$A$3:$A$130,0),MATCH(Y101,'G-8 Condition Look up'!$A$3:$H$3,0)),"")</f>
        <v/>
      </c>
      <c r="AA101" s="145"/>
      <c r="AB101" s="540" t="str">
        <f>IF(AA101="","",IF(VLOOKUP(AA101,'G-3 Multipliers'!$L$3:$N$6,2,FALSE)=0,"Spatial Data Missing ⚠",VLOOKUP(AA101,'G-3 Multipliers'!$L$3:$N$6,2,FALSE)))</f>
        <v/>
      </c>
      <c r="AC101" s="524" t="str">
        <f>IF(AA101="","",IF(VLOOKUP(AA101,'G-3 Multipliers'!$L$3:$N$6,3,FALSE)=0,"Spatial Data Missing ⚠",VLOOKUP(AA101,'G-3 Multipliers'!$L$3:$N$6,3,FALSE)))</f>
        <v/>
      </c>
      <c r="AD101" s="537" t="str">
        <f t="shared" si="15"/>
        <v/>
      </c>
      <c r="AE101" s="203"/>
      <c r="AF101" s="203"/>
      <c r="AG101" s="520" t="str">
        <f t="shared" si="18"/>
        <v/>
      </c>
      <c r="AH101" s="544" t="str">
        <f t="shared" si="19"/>
        <v/>
      </c>
      <c r="AI101" s="525" t="str">
        <f>IF(AH101="Check Data ⚠","Check Data ⚠",IFERROR(VLOOKUP(AH101,'G-4 Temporal multipliers'!$A$4:$C$36,3,FALSE),""))</f>
        <v/>
      </c>
      <c r="AJ101" s="537" t="str">
        <f>IF(S101="","",VLOOKUP(S101,'G-3 Multipliers'!$A$2:$E$129,4,FALSE))</f>
        <v/>
      </c>
      <c r="AK101" s="520" t="str">
        <f t="shared" si="20"/>
        <v/>
      </c>
      <c r="AL101" s="520" t="str">
        <f t="shared" si="21"/>
        <v/>
      </c>
      <c r="AM101" s="524" t="str">
        <f>IFERROR(IF(F101="","",IF(AH101="Check Data ⚠","Check Data ⚠",VLOOKUP(AL101, 'G-3 Multipliers'!$P$2:$Q$6,2,FALSE))),"")</f>
        <v/>
      </c>
      <c r="AN101" s="197"/>
      <c r="AO101" s="540" t="str">
        <f>IF(AN101="","",IF(VLOOKUP(AN101,'G-3 Multipliers'!$S$3:$T$9,2,FALSE)=0,"Spatial Data Missing ⚠",VLOOKUP(AN101,'G-3 Multipliers'!$S$3:$T$9,2,FALSE)))</f>
        <v/>
      </c>
      <c r="AP101" s="513" t="str">
        <f t="shared" si="22"/>
        <v/>
      </c>
      <c r="AQ101" s="231"/>
      <c r="AR101" s="150"/>
    </row>
    <row r="102" spans="1:44" x14ac:dyDescent="0.25">
      <c r="A102" s="31" t="str">
        <f>IF(E102="","",IF(ISNA(VLOOKUP($E102,'D-1 Off Site Habitat Baseline'!$D$1:$O$258,2,FALSE)),"",(VLOOKUP($E102,'D-1 Off Site Habitat Baseline'!$D$1:$O$258,2,FALSE))))</f>
        <v/>
      </c>
      <c r="B102" s="31" t="str">
        <f>IF(E102="","",IF(ISNA(VLOOKUP($E102,'D-1 Off Site Habitat Baseline'!$D$1:$O$258,3,FALSE)),"",(VLOOKUP($E102,'D-1 Off Site Habitat Baseline'!$D$1:$O$258,3,FALSE))))</f>
        <v/>
      </c>
      <c r="C102" s="31" t="str">
        <f>IFERROR(INDEX('G-8 Condition Look up'!$I$4:$I$130,MATCH(S102,'G-8 Condition Look up'!$A$4:$A$130,0)),"")</f>
        <v/>
      </c>
      <c r="E102" s="547" t="str">
        <f>'D-1 Off Site Habitat Baseline'!AL101</f>
        <v/>
      </c>
      <c r="F102" s="520" t="str">
        <f>IF(E102="","",IF(ISNA(VLOOKUP($E102,'D-1 Off Site Habitat Baseline'!$D$1:$O$258,4,FALSE)),"",(VLOOKUP($E102,'D-1 Off Site Habitat Baseline'!$D$1:$O$258,4,FALSE))))</f>
        <v/>
      </c>
      <c r="G102" s="520" t="str">
        <f>IF(E102="","",IF(ISNA(VLOOKUP($E102,'D-1 Off Site Habitat Baseline'!$D$1:$O$258,5,FALSE)),"",(VLOOKUP($E102,'D-1 Off Site Habitat Baseline'!$D$1:$O$258,5,FALSE))))</f>
        <v/>
      </c>
      <c r="H102" s="520" t="str">
        <f>IF(E102="","",IF(ISNA(VLOOKUP($E102,'D-1 Off Site Habitat Baseline'!$D$1:$O$258,6,FALSE)),"",(VLOOKUP($E102,'D-1 Off Site Habitat Baseline'!$D$1:$O$258,6,FALSE))))</f>
        <v/>
      </c>
      <c r="I102" s="520" t="str">
        <f>IF(E102="","",IF(ISNA(VLOOKUP($E102,'D-1 Off Site Habitat Baseline'!$D$1:$O$258,7,FALSE)),"",(VLOOKUP($E102,'D-1 Off Site Habitat Baseline'!$D$1:$O$258,7,FALSE))))</f>
        <v/>
      </c>
      <c r="J102" s="520" t="str">
        <f>IF(E102="","",IF(ISNA(VLOOKUP($E102,'D-1 Off Site Habitat Baseline'!$D$1:$O$258,8,FALSE)),"",(VLOOKUP($E102,'D-1 Off Site Habitat Baseline'!$D$1:$O$258,8,FALSE))))</f>
        <v/>
      </c>
      <c r="K102" s="520" t="str">
        <f>IF(E102="","",IF(ISNA(VLOOKUP($E102,'D-1 Off Site Habitat Baseline'!$D$1:$O$258,9,FALSE)),"",(VLOOKUP($E102,'D-1 Off Site Habitat Baseline'!$D$1:$O$258,9,FALSE))))</f>
        <v/>
      </c>
      <c r="L102" s="520" t="str">
        <f>IF(E102="","",IF(ISNA(VLOOKUP($E102,'D-1 Off Site Habitat Baseline'!$D$1:$O$258,11,FALSE)),"",(VLOOKUP($E102,'D-1 Off Site Habitat Baseline'!$D$1:$O$258,11,FALSE))))</f>
        <v/>
      </c>
      <c r="M102" s="520" t="str">
        <f>IF(E102="","",IF(ISNA(VLOOKUP($E102,'D-1 Off Site Habitat Baseline'!$D$1:$O$258,12,FALSE)),"",(VLOOKUP($E102,'D-1 Off Site Habitat Baseline'!$D$1:$O$258,12,FALSE))))</f>
        <v/>
      </c>
      <c r="N102" s="520" t="str">
        <f>IF(E102="","",IF(ISNA(VLOOKUP($E102,'D-1 Off Site Habitat Baseline'!$D$1:$X$258,14,FALSE)),"",(VLOOKUP($E102,'D-1 Off Site Habitat Baseline'!$D$1:$X$258,14,FALSE))))</f>
        <v/>
      </c>
      <c r="O102" s="524" t="str">
        <f>IF(E102="","",IF(ISNA(VLOOKUP($E102,'D-1 Off Site Habitat Baseline'!$D$1:$X$258,13,FALSE)),"",(VLOOKUP($E102,'D-1 Off Site Habitat Baseline'!$D$1:$X$258,13,FALSE))))</f>
        <v/>
      </c>
      <c r="P102" s="232" t="str">
        <f>IFERROR(INDEX('G-1 All Habitats'!$AG$3:$AG$15,MATCH(Q102,'G-1 All Habitats'!$AF$3:$AF$15,0)),"")</f>
        <v/>
      </c>
      <c r="Q102" s="228" t="str">
        <f t="shared" si="23"/>
        <v/>
      </c>
      <c r="R102" s="229" t="str">
        <f t="shared" si="24"/>
        <v/>
      </c>
      <c r="S102" s="233" t="str">
        <f>IFERROR(INDEX('G-1 All Habitats'!$B$3:$B$129,MATCH(R102,'G-1 All Habitats'!$A$3:$A$129,0)),"")</f>
        <v/>
      </c>
      <c r="T102" s="507" t="str">
        <f t="shared" si="16"/>
        <v/>
      </c>
      <c r="U102" s="524" t="str">
        <f t="shared" si="17"/>
        <v/>
      </c>
      <c r="V102" s="523" t="str">
        <f t="shared" si="14"/>
        <v/>
      </c>
      <c r="W102" s="520" t="str">
        <f>IF(S102="","",VLOOKUP(S102,'G-1 All Habitats'!$B$2:$M$129,10,FALSE))</f>
        <v/>
      </c>
      <c r="X102" s="520" t="str">
        <f>IFERROR(VLOOKUP(W102,'G-1 All Habitats'!$V$3:$W$7,2,FALSE),"")</f>
        <v/>
      </c>
      <c r="Y102" s="203"/>
      <c r="Z102" s="524" t="str">
        <f>IFERROR(INDEX('G-8 Condition Look up'!$A$3:$H$130,MATCH(S102,'G-8 Condition Look up'!$A$3:$A$130,0),MATCH(Y102,'G-8 Condition Look up'!$A$3:$H$3,0)),"")</f>
        <v/>
      </c>
      <c r="AA102" s="145"/>
      <c r="AB102" s="540" t="str">
        <f>IF(AA102="","",IF(VLOOKUP(AA102,'G-3 Multipliers'!$L$3:$N$6,2,FALSE)=0,"Spatial Data Missing ⚠",VLOOKUP(AA102,'G-3 Multipliers'!$L$3:$N$6,2,FALSE)))</f>
        <v/>
      </c>
      <c r="AC102" s="524" t="str">
        <f>IF(AA102="","",IF(VLOOKUP(AA102,'G-3 Multipliers'!$L$3:$N$6,3,FALSE)=0,"Spatial Data Missing ⚠",VLOOKUP(AA102,'G-3 Multipliers'!$L$3:$N$6,3,FALSE)))</f>
        <v/>
      </c>
      <c r="AD102" s="537" t="str">
        <f t="shared" si="15"/>
        <v/>
      </c>
      <c r="AE102" s="203"/>
      <c r="AF102" s="203"/>
      <c r="AG102" s="520" t="str">
        <f t="shared" si="18"/>
        <v/>
      </c>
      <c r="AH102" s="544" t="str">
        <f t="shared" si="19"/>
        <v/>
      </c>
      <c r="AI102" s="525" t="str">
        <f>IF(AH102="Check Data ⚠","Check Data ⚠",IFERROR(VLOOKUP(AH102,'G-4 Temporal multipliers'!$A$4:$C$36,3,FALSE),""))</f>
        <v/>
      </c>
      <c r="AJ102" s="537" t="str">
        <f>IF(S102="","",VLOOKUP(S102,'G-3 Multipliers'!$A$2:$E$129,4,FALSE))</f>
        <v/>
      </c>
      <c r="AK102" s="520" t="str">
        <f t="shared" si="20"/>
        <v/>
      </c>
      <c r="AL102" s="520" t="str">
        <f t="shared" si="21"/>
        <v/>
      </c>
      <c r="AM102" s="524" t="str">
        <f>IFERROR(IF(F102="","",IF(AH102="Check Data ⚠","Check Data ⚠",VLOOKUP(AL102, 'G-3 Multipliers'!$P$2:$Q$6,2,FALSE))),"")</f>
        <v/>
      </c>
      <c r="AN102" s="197"/>
      <c r="AO102" s="540" t="str">
        <f>IF(AN102="","",IF(VLOOKUP(AN102,'G-3 Multipliers'!$S$3:$T$9,2,FALSE)=0,"Spatial Data Missing ⚠",VLOOKUP(AN102,'G-3 Multipliers'!$S$3:$T$9,2,FALSE)))</f>
        <v/>
      </c>
      <c r="AP102" s="513" t="str">
        <f t="shared" si="22"/>
        <v/>
      </c>
      <c r="AQ102" s="231"/>
      <c r="AR102" s="150"/>
    </row>
    <row r="103" spans="1:44" x14ac:dyDescent="0.25">
      <c r="A103" s="31" t="str">
        <f>IF(E103="","",IF(ISNA(VLOOKUP($E103,'D-1 Off Site Habitat Baseline'!$D$1:$O$258,2,FALSE)),"",(VLOOKUP($E103,'D-1 Off Site Habitat Baseline'!$D$1:$O$258,2,FALSE))))</f>
        <v/>
      </c>
      <c r="B103" s="31" t="str">
        <f>IF(E103="","",IF(ISNA(VLOOKUP($E103,'D-1 Off Site Habitat Baseline'!$D$1:$O$258,3,FALSE)),"",(VLOOKUP($E103,'D-1 Off Site Habitat Baseline'!$D$1:$O$258,3,FALSE))))</f>
        <v/>
      </c>
      <c r="C103" s="31" t="str">
        <f>IFERROR(INDEX('G-8 Condition Look up'!$I$4:$I$130,MATCH(S103,'G-8 Condition Look up'!$A$4:$A$130,0)),"")</f>
        <v/>
      </c>
      <c r="E103" s="547" t="str">
        <f>'D-1 Off Site Habitat Baseline'!AL102</f>
        <v/>
      </c>
      <c r="F103" s="520" t="str">
        <f>IF(E103="","",IF(ISNA(VLOOKUP($E103,'D-1 Off Site Habitat Baseline'!$D$1:$O$258,4,FALSE)),"",(VLOOKUP($E103,'D-1 Off Site Habitat Baseline'!$D$1:$O$258,4,FALSE))))</f>
        <v/>
      </c>
      <c r="G103" s="520" t="str">
        <f>IF(E103="","",IF(ISNA(VLOOKUP($E103,'D-1 Off Site Habitat Baseline'!$D$1:$O$258,5,FALSE)),"",(VLOOKUP($E103,'D-1 Off Site Habitat Baseline'!$D$1:$O$258,5,FALSE))))</f>
        <v/>
      </c>
      <c r="H103" s="520" t="str">
        <f>IF(E103="","",IF(ISNA(VLOOKUP($E103,'D-1 Off Site Habitat Baseline'!$D$1:$O$258,6,FALSE)),"",(VLOOKUP($E103,'D-1 Off Site Habitat Baseline'!$D$1:$O$258,6,FALSE))))</f>
        <v/>
      </c>
      <c r="I103" s="520" t="str">
        <f>IF(E103="","",IF(ISNA(VLOOKUP($E103,'D-1 Off Site Habitat Baseline'!$D$1:$O$258,7,FALSE)),"",(VLOOKUP($E103,'D-1 Off Site Habitat Baseline'!$D$1:$O$258,7,FALSE))))</f>
        <v/>
      </c>
      <c r="J103" s="520" t="str">
        <f>IF(E103="","",IF(ISNA(VLOOKUP($E103,'D-1 Off Site Habitat Baseline'!$D$1:$O$258,8,FALSE)),"",(VLOOKUP($E103,'D-1 Off Site Habitat Baseline'!$D$1:$O$258,8,FALSE))))</f>
        <v/>
      </c>
      <c r="K103" s="520" t="str">
        <f>IF(E103="","",IF(ISNA(VLOOKUP($E103,'D-1 Off Site Habitat Baseline'!$D$1:$O$258,9,FALSE)),"",(VLOOKUP($E103,'D-1 Off Site Habitat Baseline'!$D$1:$O$258,9,FALSE))))</f>
        <v/>
      </c>
      <c r="L103" s="520" t="str">
        <f>IF(E103="","",IF(ISNA(VLOOKUP($E103,'D-1 Off Site Habitat Baseline'!$D$1:$O$258,11,FALSE)),"",(VLOOKUP($E103,'D-1 Off Site Habitat Baseline'!$D$1:$O$258,11,FALSE))))</f>
        <v/>
      </c>
      <c r="M103" s="520" t="str">
        <f>IF(E103="","",IF(ISNA(VLOOKUP($E103,'D-1 Off Site Habitat Baseline'!$D$1:$O$258,12,FALSE)),"",(VLOOKUP($E103,'D-1 Off Site Habitat Baseline'!$D$1:$O$258,12,FALSE))))</f>
        <v/>
      </c>
      <c r="N103" s="520" t="str">
        <f>IF(E103="","",IF(ISNA(VLOOKUP($E103,'D-1 Off Site Habitat Baseline'!$D$1:$X$258,14,FALSE)),"",(VLOOKUP($E103,'D-1 Off Site Habitat Baseline'!$D$1:$X$258,14,FALSE))))</f>
        <v/>
      </c>
      <c r="O103" s="524" t="str">
        <f>IF(E103="","",IF(ISNA(VLOOKUP($E103,'D-1 Off Site Habitat Baseline'!$D$1:$X$258,13,FALSE)),"",(VLOOKUP($E103,'D-1 Off Site Habitat Baseline'!$D$1:$X$258,13,FALSE))))</f>
        <v/>
      </c>
      <c r="P103" s="232" t="str">
        <f>IFERROR(INDEX('G-1 All Habitats'!$AG$3:$AG$15,MATCH(Q103,'G-1 All Habitats'!$AF$3:$AF$15,0)),"")</f>
        <v/>
      </c>
      <c r="Q103" s="228" t="str">
        <f t="shared" si="23"/>
        <v/>
      </c>
      <c r="R103" s="229" t="str">
        <f t="shared" si="24"/>
        <v/>
      </c>
      <c r="S103" s="233" t="str">
        <f>IFERROR(INDEX('G-1 All Habitats'!$B$3:$B$129,MATCH(R103,'G-1 All Habitats'!$A$3:$A$129,0)),"")</f>
        <v/>
      </c>
      <c r="T103" s="507" t="str">
        <f t="shared" si="16"/>
        <v/>
      </c>
      <c r="U103" s="524" t="str">
        <f t="shared" si="17"/>
        <v/>
      </c>
      <c r="V103" s="523" t="str">
        <f t="shared" si="14"/>
        <v/>
      </c>
      <c r="W103" s="520" t="str">
        <f>IF(S103="","",VLOOKUP(S103,'G-1 All Habitats'!$B$2:$M$129,10,FALSE))</f>
        <v/>
      </c>
      <c r="X103" s="520" t="str">
        <f>IFERROR(VLOOKUP(W103,'G-1 All Habitats'!$V$3:$W$7,2,FALSE),"")</f>
        <v/>
      </c>
      <c r="Y103" s="203"/>
      <c r="Z103" s="524" t="str">
        <f>IFERROR(INDEX('G-8 Condition Look up'!$A$3:$H$130,MATCH(S103,'G-8 Condition Look up'!$A$3:$A$130,0),MATCH(Y103,'G-8 Condition Look up'!$A$3:$H$3,0)),"")</f>
        <v/>
      </c>
      <c r="AA103" s="145"/>
      <c r="AB103" s="540" t="str">
        <f>IF(AA103="","",IF(VLOOKUP(AA103,'G-3 Multipliers'!$L$3:$N$6,2,FALSE)=0,"Spatial Data Missing ⚠",VLOOKUP(AA103,'G-3 Multipliers'!$L$3:$N$6,2,FALSE)))</f>
        <v/>
      </c>
      <c r="AC103" s="524" t="str">
        <f>IF(AA103="","",IF(VLOOKUP(AA103,'G-3 Multipliers'!$L$3:$N$6,3,FALSE)=0,"Spatial Data Missing ⚠",VLOOKUP(AA103,'G-3 Multipliers'!$L$3:$N$6,3,FALSE)))</f>
        <v/>
      </c>
      <c r="AD103" s="537" t="str">
        <f t="shared" si="15"/>
        <v/>
      </c>
      <c r="AE103" s="203"/>
      <c r="AF103" s="203"/>
      <c r="AG103" s="520" t="str">
        <f t="shared" si="18"/>
        <v/>
      </c>
      <c r="AH103" s="544" t="str">
        <f t="shared" si="19"/>
        <v/>
      </c>
      <c r="AI103" s="525" t="str">
        <f>IF(AH103="Check Data ⚠","Check Data ⚠",IFERROR(VLOOKUP(AH103,'G-4 Temporal multipliers'!$A$4:$C$36,3,FALSE),""))</f>
        <v/>
      </c>
      <c r="AJ103" s="537" t="str">
        <f>IF(S103="","",VLOOKUP(S103,'G-3 Multipliers'!$A$2:$E$129,4,FALSE))</f>
        <v/>
      </c>
      <c r="AK103" s="520" t="str">
        <f t="shared" si="20"/>
        <v/>
      </c>
      <c r="AL103" s="520" t="str">
        <f t="shared" si="21"/>
        <v/>
      </c>
      <c r="AM103" s="524" t="str">
        <f>IFERROR(IF(F103="","",IF(AH103="Check Data ⚠","Check Data ⚠",VLOOKUP(AL103, 'G-3 Multipliers'!$P$2:$Q$6,2,FALSE))),"")</f>
        <v/>
      </c>
      <c r="AN103" s="197"/>
      <c r="AO103" s="540" t="str">
        <f>IF(AN103="","",IF(VLOOKUP(AN103,'G-3 Multipliers'!$S$3:$T$9,2,FALSE)=0,"Spatial Data Missing ⚠",VLOOKUP(AN103,'G-3 Multipliers'!$S$3:$T$9,2,FALSE)))</f>
        <v/>
      </c>
      <c r="AP103" s="513" t="str">
        <f t="shared" si="22"/>
        <v/>
      </c>
      <c r="AQ103" s="231"/>
      <c r="AR103" s="150"/>
    </row>
    <row r="104" spans="1:44" x14ac:dyDescent="0.25">
      <c r="A104" s="31" t="str">
        <f>IF(E104="","",IF(ISNA(VLOOKUP($E104,'D-1 Off Site Habitat Baseline'!$D$1:$O$258,2,FALSE)),"",(VLOOKUP($E104,'D-1 Off Site Habitat Baseline'!$D$1:$O$258,2,FALSE))))</f>
        <v/>
      </c>
      <c r="B104" s="31" t="str">
        <f>IF(E104="","",IF(ISNA(VLOOKUP($E104,'D-1 Off Site Habitat Baseline'!$D$1:$O$258,3,FALSE)),"",(VLOOKUP($E104,'D-1 Off Site Habitat Baseline'!$D$1:$O$258,3,FALSE))))</f>
        <v/>
      </c>
      <c r="C104" s="31" t="str">
        <f>IFERROR(INDEX('G-8 Condition Look up'!$I$4:$I$130,MATCH(S104,'G-8 Condition Look up'!$A$4:$A$130,0)),"")</f>
        <v/>
      </c>
      <c r="E104" s="547" t="str">
        <f>'D-1 Off Site Habitat Baseline'!AL103</f>
        <v/>
      </c>
      <c r="F104" s="520" t="str">
        <f>IF(E104="","",IF(ISNA(VLOOKUP($E104,'D-1 Off Site Habitat Baseline'!$D$1:$O$258,4,FALSE)),"",(VLOOKUP($E104,'D-1 Off Site Habitat Baseline'!$D$1:$O$258,4,FALSE))))</f>
        <v/>
      </c>
      <c r="G104" s="520" t="str">
        <f>IF(E104="","",IF(ISNA(VLOOKUP($E104,'D-1 Off Site Habitat Baseline'!$D$1:$O$258,5,FALSE)),"",(VLOOKUP($E104,'D-1 Off Site Habitat Baseline'!$D$1:$O$258,5,FALSE))))</f>
        <v/>
      </c>
      <c r="H104" s="520" t="str">
        <f>IF(E104="","",IF(ISNA(VLOOKUP($E104,'D-1 Off Site Habitat Baseline'!$D$1:$O$258,6,FALSE)),"",(VLOOKUP($E104,'D-1 Off Site Habitat Baseline'!$D$1:$O$258,6,FALSE))))</f>
        <v/>
      </c>
      <c r="I104" s="520" t="str">
        <f>IF(E104="","",IF(ISNA(VLOOKUP($E104,'D-1 Off Site Habitat Baseline'!$D$1:$O$258,7,FALSE)),"",(VLOOKUP($E104,'D-1 Off Site Habitat Baseline'!$D$1:$O$258,7,FALSE))))</f>
        <v/>
      </c>
      <c r="J104" s="520" t="str">
        <f>IF(E104="","",IF(ISNA(VLOOKUP($E104,'D-1 Off Site Habitat Baseline'!$D$1:$O$258,8,FALSE)),"",(VLOOKUP($E104,'D-1 Off Site Habitat Baseline'!$D$1:$O$258,8,FALSE))))</f>
        <v/>
      </c>
      <c r="K104" s="520" t="str">
        <f>IF(E104="","",IF(ISNA(VLOOKUP($E104,'D-1 Off Site Habitat Baseline'!$D$1:$O$258,9,FALSE)),"",(VLOOKUP($E104,'D-1 Off Site Habitat Baseline'!$D$1:$O$258,9,FALSE))))</f>
        <v/>
      </c>
      <c r="L104" s="520" t="str">
        <f>IF(E104="","",IF(ISNA(VLOOKUP($E104,'D-1 Off Site Habitat Baseline'!$D$1:$O$258,11,FALSE)),"",(VLOOKUP($E104,'D-1 Off Site Habitat Baseline'!$D$1:$O$258,11,FALSE))))</f>
        <v/>
      </c>
      <c r="M104" s="520" t="str">
        <f>IF(E104="","",IF(ISNA(VLOOKUP($E104,'D-1 Off Site Habitat Baseline'!$D$1:$O$258,12,FALSE)),"",(VLOOKUP($E104,'D-1 Off Site Habitat Baseline'!$D$1:$O$258,12,FALSE))))</f>
        <v/>
      </c>
      <c r="N104" s="520" t="str">
        <f>IF(E104="","",IF(ISNA(VLOOKUP($E104,'D-1 Off Site Habitat Baseline'!$D$1:$X$258,14,FALSE)),"",(VLOOKUP($E104,'D-1 Off Site Habitat Baseline'!$D$1:$X$258,14,FALSE))))</f>
        <v/>
      </c>
      <c r="O104" s="524" t="str">
        <f>IF(E104="","",IF(ISNA(VLOOKUP($E104,'D-1 Off Site Habitat Baseline'!$D$1:$X$258,13,FALSE)),"",(VLOOKUP($E104,'D-1 Off Site Habitat Baseline'!$D$1:$X$258,13,FALSE))))</f>
        <v/>
      </c>
      <c r="P104" s="232" t="str">
        <f>IFERROR(INDEX('G-1 All Habitats'!$AG$3:$AG$15,MATCH(Q104,'G-1 All Habitats'!$AF$3:$AF$15,0)),"")</f>
        <v/>
      </c>
      <c r="Q104" s="228" t="str">
        <f t="shared" si="23"/>
        <v/>
      </c>
      <c r="R104" s="229" t="str">
        <f t="shared" si="24"/>
        <v/>
      </c>
      <c r="S104" s="233" t="str">
        <f>IFERROR(INDEX('G-1 All Habitats'!$B$3:$B$129,MATCH(R104,'G-1 All Habitats'!$A$3:$A$129,0)),"")</f>
        <v/>
      </c>
      <c r="T104" s="507" t="str">
        <f t="shared" si="16"/>
        <v/>
      </c>
      <c r="U104" s="524" t="str">
        <f t="shared" si="17"/>
        <v/>
      </c>
      <c r="V104" s="523" t="str">
        <f t="shared" si="14"/>
        <v/>
      </c>
      <c r="W104" s="520" t="str">
        <f>IF(S104="","",VLOOKUP(S104,'G-1 All Habitats'!$B$2:$M$129,10,FALSE))</f>
        <v/>
      </c>
      <c r="X104" s="520" t="str">
        <f>IFERROR(VLOOKUP(W104,'G-1 All Habitats'!$V$3:$W$7,2,FALSE),"")</f>
        <v/>
      </c>
      <c r="Y104" s="203"/>
      <c r="Z104" s="524" t="str">
        <f>IFERROR(INDEX('G-8 Condition Look up'!$A$3:$H$130,MATCH(S104,'G-8 Condition Look up'!$A$3:$A$130,0),MATCH(Y104,'G-8 Condition Look up'!$A$3:$H$3,0)),"")</f>
        <v/>
      </c>
      <c r="AA104" s="145"/>
      <c r="AB104" s="540" t="str">
        <f>IF(AA104="","",IF(VLOOKUP(AA104,'G-3 Multipliers'!$L$3:$N$6,2,FALSE)=0,"Spatial Data Missing ⚠",VLOOKUP(AA104,'G-3 Multipliers'!$L$3:$N$6,2,FALSE)))</f>
        <v/>
      </c>
      <c r="AC104" s="524" t="str">
        <f>IF(AA104="","",IF(VLOOKUP(AA104,'G-3 Multipliers'!$L$3:$N$6,3,FALSE)=0,"Spatial Data Missing ⚠",VLOOKUP(AA104,'G-3 Multipliers'!$L$3:$N$6,3,FALSE)))</f>
        <v/>
      </c>
      <c r="AD104" s="537" t="str">
        <f t="shared" si="15"/>
        <v/>
      </c>
      <c r="AE104" s="203"/>
      <c r="AF104" s="203"/>
      <c r="AG104" s="520" t="str">
        <f t="shared" si="18"/>
        <v/>
      </c>
      <c r="AH104" s="544" t="str">
        <f t="shared" si="19"/>
        <v/>
      </c>
      <c r="AI104" s="525" t="str">
        <f>IF(AH104="Check Data ⚠","Check Data ⚠",IFERROR(VLOOKUP(AH104,'G-4 Temporal multipliers'!$A$4:$C$36,3,FALSE),""))</f>
        <v/>
      </c>
      <c r="AJ104" s="537" t="str">
        <f>IF(S104="","",VLOOKUP(S104,'G-3 Multipliers'!$A$2:$E$129,4,FALSE))</f>
        <v/>
      </c>
      <c r="AK104" s="520" t="str">
        <f t="shared" si="20"/>
        <v/>
      </c>
      <c r="AL104" s="520" t="str">
        <f t="shared" si="21"/>
        <v/>
      </c>
      <c r="AM104" s="524" t="str">
        <f>IFERROR(IF(F104="","",IF(AH104="Check Data ⚠","Check Data ⚠",VLOOKUP(AL104, 'G-3 Multipliers'!$P$2:$Q$6,2,FALSE))),"")</f>
        <v/>
      </c>
      <c r="AN104" s="197"/>
      <c r="AO104" s="540" t="str">
        <f>IF(AN104="","",IF(VLOOKUP(AN104,'G-3 Multipliers'!$S$3:$T$9,2,FALSE)=0,"Spatial Data Missing ⚠",VLOOKUP(AN104,'G-3 Multipliers'!$S$3:$T$9,2,FALSE)))</f>
        <v/>
      </c>
      <c r="AP104" s="513" t="str">
        <f t="shared" si="22"/>
        <v/>
      </c>
      <c r="AQ104" s="231"/>
      <c r="AR104" s="150"/>
    </row>
    <row r="105" spans="1:44" x14ac:dyDescent="0.25">
      <c r="A105" s="31" t="str">
        <f>IF(E105="","",IF(ISNA(VLOOKUP($E105,'D-1 Off Site Habitat Baseline'!$D$1:$O$258,2,FALSE)),"",(VLOOKUP($E105,'D-1 Off Site Habitat Baseline'!$D$1:$O$258,2,FALSE))))</f>
        <v/>
      </c>
      <c r="B105" s="31" t="str">
        <f>IF(E105="","",IF(ISNA(VLOOKUP($E105,'D-1 Off Site Habitat Baseline'!$D$1:$O$258,3,FALSE)),"",(VLOOKUP($E105,'D-1 Off Site Habitat Baseline'!$D$1:$O$258,3,FALSE))))</f>
        <v/>
      </c>
      <c r="C105" s="31" t="str">
        <f>IFERROR(INDEX('G-8 Condition Look up'!$I$4:$I$130,MATCH(S105,'G-8 Condition Look up'!$A$4:$A$130,0)),"")</f>
        <v/>
      </c>
      <c r="E105" s="547" t="str">
        <f>'D-1 Off Site Habitat Baseline'!AL104</f>
        <v/>
      </c>
      <c r="F105" s="520" t="str">
        <f>IF(E105="","",IF(ISNA(VLOOKUP($E105,'D-1 Off Site Habitat Baseline'!$D$1:$O$258,4,FALSE)),"",(VLOOKUP($E105,'D-1 Off Site Habitat Baseline'!$D$1:$O$258,4,FALSE))))</f>
        <v/>
      </c>
      <c r="G105" s="520" t="str">
        <f>IF(E105="","",IF(ISNA(VLOOKUP($E105,'D-1 Off Site Habitat Baseline'!$D$1:$O$258,5,FALSE)),"",(VLOOKUP($E105,'D-1 Off Site Habitat Baseline'!$D$1:$O$258,5,FALSE))))</f>
        <v/>
      </c>
      <c r="H105" s="520" t="str">
        <f>IF(E105="","",IF(ISNA(VLOOKUP($E105,'D-1 Off Site Habitat Baseline'!$D$1:$O$258,6,FALSE)),"",(VLOOKUP($E105,'D-1 Off Site Habitat Baseline'!$D$1:$O$258,6,FALSE))))</f>
        <v/>
      </c>
      <c r="I105" s="520" t="str">
        <f>IF(E105="","",IF(ISNA(VLOOKUP($E105,'D-1 Off Site Habitat Baseline'!$D$1:$O$258,7,FALSE)),"",(VLOOKUP($E105,'D-1 Off Site Habitat Baseline'!$D$1:$O$258,7,FALSE))))</f>
        <v/>
      </c>
      <c r="J105" s="520" t="str">
        <f>IF(E105="","",IF(ISNA(VLOOKUP($E105,'D-1 Off Site Habitat Baseline'!$D$1:$O$258,8,FALSE)),"",(VLOOKUP($E105,'D-1 Off Site Habitat Baseline'!$D$1:$O$258,8,FALSE))))</f>
        <v/>
      </c>
      <c r="K105" s="520" t="str">
        <f>IF(E105="","",IF(ISNA(VLOOKUP($E105,'D-1 Off Site Habitat Baseline'!$D$1:$O$258,9,FALSE)),"",(VLOOKUP($E105,'D-1 Off Site Habitat Baseline'!$D$1:$O$258,9,FALSE))))</f>
        <v/>
      </c>
      <c r="L105" s="520" t="str">
        <f>IF(E105="","",IF(ISNA(VLOOKUP($E105,'D-1 Off Site Habitat Baseline'!$D$1:$O$258,11,FALSE)),"",(VLOOKUP($E105,'D-1 Off Site Habitat Baseline'!$D$1:$O$258,11,FALSE))))</f>
        <v/>
      </c>
      <c r="M105" s="520" t="str">
        <f>IF(E105="","",IF(ISNA(VLOOKUP($E105,'D-1 Off Site Habitat Baseline'!$D$1:$O$258,12,FALSE)),"",(VLOOKUP($E105,'D-1 Off Site Habitat Baseline'!$D$1:$O$258,12,FALSE))))</f>
        <v/>
      </c>
      <c r="N105" s="520" t="str">
        <f>IF(E105="","",IF(ISNA(VLOOKUP($E105,'D-1 Off Site Habitat Baseline'!$D$1:$X$258,14,FALSE)),"",(VLOOKUP($E105,'D-1 Off Site Habitat Baseline'!$D$1:$X$258,14,FALSE))))</f>
        <v/>
      </c>
      <c r="O105" s="524" t="str">
        <f>IF(E105="","",IF(ISNA(VLOOKUP($E105,'D-1 Off Site Habitat Baseline'!$D$1:$X$258,13,FALSE)),"",(VLOOKUP($E105,'D-1 Off Site Habitat Baseline'!$D$1:$X$258,13,FALSE))))</f>
        <v/>
      </c>
      <c r="P105" s="232" t="str">
        <f>IFERROR(INDEX('G-1 All Habitats'!$AG$3:$AG$15,MATCH(Q105,'G-1 All Habitats'!$AF$3:$AF$15,0)),"")</f>
        <v/>
      </c>
      <c r="Q105" s="228" t="str">
        <f t="shared" si="23"/>
        <v/>
      </c>
      <c r="R105" s="229" t="str">
        <f t="shared" si="24"/>
        <v/>
      </c>
      <c r="S105" s="233" t="str">
        <f>IFERROR(INDEX('G-1 All Habitats'!$B$3:$B$129,MATCH(R105,'G-1 All Habitats'!$A$3:$A$129,0)),"")</f>
        <v/>
      </c>
      <c r="T105" s="507" t="str">
        <f t="shared" si="16"/>
        <v/>
      </c>
      <c r="U105" s="524" t="str">
        <f t="shared" si="17"/>
        <v/>
      </c>
      <c r="V105" s="523" t="str">
        <f t="shared" si="14"/>
        <v/>
      </c>
      <c r="W105" s="520" t="str">
        <f>IF(S105="","",VLOOKUP(S105,'G-1 All Habitats'!$B$2:$M$129,10,FALSE))</f>
        <v/>
      </c>
      <c r="X105" s="520" t="str">
        <f>IFERROR(VLOOKUP(W105,'G-1 All Habitats'!$V$3:$W$7,2,FALSE),"")</f>
        <v/>
      </c>
      <c r="Y105" s="203"/>
      <c r="Z105" s="524" t="str">
        <f>IFERROR(INDEX('G-8 Condition Look up'!$A$3:$H$130,MATCH(S105,'G-8 Condition Look up'!$A$3:$A$130,0),MATCH(Y105,'G-8 Condition Look up'!$A$3:$H$3,0)),"")</f>
        <v/>
      </c>
      <c r="AA105" s="145"/>
      <c r="AB105" s="540" t="str">
        <f>IF(AA105="","",IF(VLOOKUP(AA105,'G-3 Multipliers'!$L$3:$N$6,2,FALSE)=0,"Spatial Data Missing ⚠",VLOOKUP(AA105,'G-3 Multipliers'!$L$3:$N$6,2,FALSE)))</f>
        <v/>
      </c>
      <c r="AC105" s="524" t="str">
        <f>IF(AA105="","",IF(VLOOKUP(AA105,'G-3 Multipliers'!$L$3:$N$6,3,FALSE)=0,"Spatial Data Missing ⚠",VLOOKUP(AA105,'G-3 Multipliers'!$L$3:$N$6,3,FALSE)))</f>
        <v/>
      </c>
      <c r="AD105" s="537" t="str">
        <f t="shared" si="15"/>
        <v/>
      </c>
      <c r="AE105" s="203"/>
      <c r="AF105" s="203"/>
      <c r="AG105" s="520" t="str">
        <f t="shared" si="18"/>
        <v/>
      </c>
      <c r="AH105" s="544" t="str">
        <f t="shared" si="19"/>
        <v/>
      </c>
      <c r="AI105" s="525" t="str">
        <f>IF(AH105="Check Data ⚠","Check Data ⚠",IFERROR(VLOOKUP(AH105,'G-4 Temporal multipliers'!$A$4:$C$36,3,FALSE),""))</f>
        <v/>
      </c>
      <c r="AJ105" s="537" t="str">
        <f>IF(S105="","",VLOOKUP(S105,'G-3 Multipliers'!$A$2:$E$129,4,FALSE))</f>
        <v/>
      </c>
      <c r="AK105" s="520" t="str">
        <f t="shared" si="20"/>
        <v/>
      </c>
      <c r="AL105" s="520" t="str">
        <f t="shared" si="21"/>
        <v/>
      </c>
      <c r="AM105" s="524" t="str">
        <f>IFERROR(IF(F105="","",IF(AH105="Check Data ⚠","Check Data ⚠",VLOOKUP(AL105, 'G-3 Multipliers'!$P$2:$Q$6,2,FALSE))),"")</f>
        <v/>
      </c>
      <c r="AN105" s="197"/>
      <c r="AO105" s="540" t="str">
        <f>IF(AN105="","",IF(VLOOKUP(AN105,'G-3 Multipliers'!$S$3:$T$9,2,FALSE)=0,"Spatial Data Missing ⚠",VLOOKUP(AN105,'G-3 Multipliers'!$S$3:$T$9,2,FALSE)))</f>
        <v/>
      </c>
      <c r="AP105" s="513" t="str">
        <f t="shared" si="22"/>
        <v/>
      </c>
      <c r="AQ105" s="231"/>
      <c r="AR105" s="150"/>
    </row>
    <row r="106" spans="1:44" x14ac:dyDescent="0.25">
      <c r="A106" s="31" t="str">
        <f>IF(E106="","",IF(ISNA(VLOOKUP($E106,'D-1 Off Site Habitat Baseline'!$D$1:$O$258,2,FALSE)),"",(VLOOKUP($E106,'D-1 Off Site Habitat Baseline'!$D$1:$O$258,2,FALSE))))</f>
        <v/>
      </c>
      <c r="B106" s="31" t="str">
        <f>IF(E106="","",IF(ISNA(VLOOKUP($E106,'D-1 Off Site Habitat Baseline'!$D$1:$O$258,3,FALSE)),"",(VLOOKUP($E106,'D-1 Off Site Habitat Baseline'!$D$1:$O$258,3,FALSE))))</f>
        <v/>
      </c>
      <c r="C106" s="31" t="str">
        <f>IFERROR(INDEX('G-8 Condition Look up'!$I$4:$I$130,MATCH(S106,'G-8 Condition Look up'!$A$4:$A$130,0)),"")</f>
        <v/>
      </c>
      <c r="E106" s="547" t="str">
        <f>'D-1 Off Site Habitat Baseline'!AL105</f>
        <v/>
      </c>
      <c r="F106" s="520" t="str">
        <f>IF(E106="","",IF(ISNA(VLOOKUP($E106,'D-1 Off Site Habitat Baseline'!$D$1:$O$258,4,FALSE)),"",(VLOOKUP($E106,'D-1 Off Site Habitat Baseline'!$D$1:$O$258,4,FALSE))))</f>
        <v/>
      </c>
      <c r="G106" s="520" t="str">
        <f>IF(E106="","",IF(ISNA(VLOOKUP($E106,'D-1 Off Site Habitat Baseline'!$D$1:$O$258,5,FALSE)),"",(VLOOKUP($E106,'D-1 Off Site Habitat Baseline'!$D$1:$O$258,5,FALSE))))</f>
        <v/>
      </c>
      <c r="H106" s="520" t="str">
        <f>IF(E106="","",IF(ISNA(VLOOKUP($E106,'D-1 Off Site Habitat Baseline'!$D$1:$O$258,6,FALSE)),"",(VLOOKUP($E106,'D-1 Off Site Habitat Baseline'!$D$1:$O$258,6,FALSE))))</f>
        <v/>
      </c>
      <c r="I106" s="520" t="str">
        <f>IF(E106="","",IF(ISNA(VLOOKUP($E106,'D-1 Off Site Habitat Baseline'!$D$1:$O$258,7,FALSE)),"",(VLOOKUP($E106,'D-1 Off Site Habitat Baseline'!$D$1:$O$258,7,FALSE))))</f>
        <v/>
      </c>
      <c r="J106" s="520" t="str">
        <f>IF(E106="","",IF(ISNA(VLOOKUP($E106,'D-1 Off Site Habitat Baseline'!$D$1:$O$258,8,FALSE)),"",(VLOOKUP($E106,'D-1 Off Site Habitat Baseline'!$D$1:$O$258,8,FALSE))))</f>
        <v/>
      </c>
      <c r="K106" s="520" t="str">
        <f>IF(E106="","",IF(ISNA(VLOOKUP($E106,'D-1 Off Site Habitat Baseline'!$D$1:$O$258,9,FALSE)),"",(VLOOKUP($E106,'D-1 Off Site Habitat Baseline'!$D$1:$O$258,9,FALSE))))</f>
        <v/>
      </c>
      <c r="L106" s="520" t="str">
        <f>IF(E106="","",IF(ISNA(VLOOKUP($E106,'D-1 Off Site Habitat Baseline'!$D$1:$O$258,11,FALSE)),"",(VLOOKUP($E106,'D-1 Off Site Habitat Baseline'!$D$1:$O$258,11,FALSE))))</f>
        <v/>
      </c>
      <c r="M106" s="520" t="str">
        <f>IF(E106="","",IF(ISNA(VLOOKUP($E106,'D-1 Off Site Habitat Baseline'!$D$1:$O$258,12,FALSE)),"",(VLOOKUP($E106,'D-1 Off Site Habitat Baseline'!$D$1:$O$258,12,FALSE))))</f>
        <v/>
      </c>
      <c r="N106" s="520" t="str">
        <f>IF(E106="","",IF(ISNA(VLOOKUP($E106,'D-1 Off Site Habitat Baseline'!$D$1:$X$258,14,FALSE)),"",(VLOOKUP($E106,'D-1 Off Site Habitat Baseline'!$D$1:$X$258,14,FALSE))))</f>
        <v/>
      </c>
      <c r="O106" s="524" t="str">
        <f>IF(E106="","",IF(ISNA(VLOOKUP($E106,'D-1 Off Site Habitat Baseline'!$D$1:$X$258,13,FALSE)),"",(VLOOKUP($E106,'D-1 Off Site Habitat Baseline'!$D$1:$X$258,13,FALSE))))</f>
        <v/>
      </c>
      <c r="P106" s="232" t="str">
        <f>IFERROR(INDEX('G-1 All Habitats'!$AG$3:$AG$15,MATCH(Q106,'G-1 All Habitats'!$AF$3:$AF$15,0)),"")</f>
        <v/>
      </c>
      <c r="Q106" s="228" t="str">
        <f t="shared" si="23"/>
        <v/>
      </c>
      <c r="R106" s="229" t="str">
        <f t="shared" si="24"/>
        <v/>
      </c>
      <c r="S106" s="233" t="str">
        <f>IFERROR(INDEX('G-1 All Habitats'!$B$3:$B$129,MATCH(R106,'G-1 All Habitats'!$A$3:$A$129,0)),"")</f>
        <v/>
      </c>
      <c r="T106" s="507" t="str">
        <f t="shared" si="16"/>
        <v/>
      </c>
      <c r="U106" s="524" t="str">
        <f t="shared" si="17"/>
        <v/>
      </c>
      <c r="V106" s="523" t="str">
        <f t="shared" si="14"/>
        <v/>
      </c>
      <c r="W106" s="520" t="str">
        <f>IF(S106="","",VLOOKUP(S106,'G-1 All Habitats'!$B$2:$M$129,10,FALSE))</f>
        <v/>
      </c>
      <c r="X106" s="520" t="str">
        <f>IFERROR(VLOOKUP(W106,'G-1 All Habitats'!$V$3:$W$7,2,FALSE),"")</f>
        <v/>
      </c>
      <c r="Y106" s="203"/>
      <c r="Z106" s="524" t="str">
        <f>IFERROR(INDEX('G-8 Condition Look up'!$A$3:$H$130,MATCH(S106,'G-8 Condition Look up'!$A$3:$A$130,0),MATCH(Y106,'G-8 Condition Look up'!$A$3:$H$3,0)),"")</f>
        <v/>
      </c>
      <c r="AA106" s="145"/>
      <c r="AB106" s="540" t="str">
        <f>IF(AA106="","",IF(VLOOKUP(AA106,'G-3 Multipliers'!$L$3:$N$6,2,FALSE)=0,"Spatial Data Missing ⚠",VLOOKUP(AA106,'G-3 Multipliers'!$L$3:$N$6,2,FALSE)))</f>
        <v/>
      </c>
      <c r="AC106" s="524" t="str">
        <f>IF(AA106="","",IF(VLOOKUP(AA106,'G-3 Multipliers'!$L$3:$N$6,3,FALSE)=0,"Spatial Data Missing ⚠",VLOOKUP(AA106,'G-3 Multipliers'!$L$3:$N$6,3,FALSE)))</f>
        <v/>
      </c>
      <c r="AD106" s="537" t="str">
        <f t="shared" si="15"/>
        <v/>
      </c>
      <c r="AE106" s="203"/>
      <c r="AF106" s="203"/>
      <c r="AG106" s="520" t="str">
        <f t="shared" si="18"/>
        <v/>
      </c>
      <c r="AH106" s="544" t="str">
        <f t="shared" si="19"/>
        <v/>
      </c>
      <c r="AI106" s="525" t="str">
        <f>IF(AH106="Check Data ⚠","Check Data ⚠",IFERROR(VLOOKUP(AH106,'G-4 Temporal multipliers'!$A$4:$C$36,3,FALSE),""))</f>
        <v/>
      </c>
      <c r="AJ106" s="537" t="str">
        <f>IF(S106="","",VLOOKUP(S106,'G-3 Multipliers'!$A$2:$E$129,4,FALSE))</f>
        <v/>
      </c>
      <c r="AK106" s="520" t="str">
        <f t="shared" si="20"/>
        <v/>
      </c>
      <c r="AL106" s="520" t="str">
        <f t="shared" si="21"/>
        <v/>
      </c>
      <c r="AM106" s="524" t="str">
        <f>IFERROR(IF(F106="","",IF(AH106="Check Data ⚠","Check Data ⚠",VLOOKUP(AL106, 'G-3 Multipliers'!$P$2:$Q$6,2,FALSE))),"")</f>
        <v/>
      </c>
      <c r="AN106" s="197"/>
      <c r="AO106" s="540" t="str">
        <f>IF(AN106="","",IF(VLOOKUP(AN106,'G-3 Multipliers'!$S$3:$T$9,2,FALSE)=0,"Spatial Data Missing ⚠",VLOOKUP(AN106,'G-3 Multipliers'!$S$3:$T$9,2,FALSE)))</f>
        <v/>
      </c>
      <c r="AP106" s="513" t="str">
        <f t="shared" si="22"/>
        <v/>
      </c>
      <c r="AQ106" s="231"/>
      <c r="AR106" s="150"/>
    </row>
    <row r="107" spans="1:44" x14ac:dyDescent="0.25">
      <c r="A107" s="31" t="str">
        <f>IF(E107="","",IF(ISNA(VLOOKUP($E107,'D-1 Off Site Habitat Baseline'!$D$1:$O$258,2,FALSE)),"",(VLOOKUP($E107,'D-1 Off Site Habitat Baseline'!$D$1:$O$258,2,FALSE))))</f>
        <v/>
      </c>
      <c r="B107" s="31" t="str">
        <f>IF(E107="","",IF(ISNA(VLOOKUP($E107,'D-1 Off Site Habitat Baseline'!$D$1:$O$258,3,FALSE)),"",(VLOOKUP($E107,'D-1 Off Site Habitat Baseline'!$D$1:$O$258,3,FALSE))))</f>
        <v/>
      </c>
      <c r="C107" s="31" t="str">
        <f>IFERROR(INDEX('G-8 Condition Look up'!$I$4:$I$130,MATCH(S107,'G-8 Condition Look up'!$A$4:$A$130,0)),"")</f>
        <v/>
      </c>
      <c r="E107" s="547" t="str">
        <f>'D-1 Off Site Habitat Baseline'!AL106</f>
        <v/>
      </c>
      <c r="F107" s="520" t="str">
        <f>IF(E107="","",IF(ISNA(VLOOKUP($E107,'D-1 Off Site Habitat Baseline'!$D$1:$O$258,4,FALSE)),"",(VLOOKUP($E107,'D-1 Off Site Habitat Baseline'!$D$1:$O$258,4,FALSE))))</f>
        <v/>
      </c>
      <c r="G107" s="520" t="str">
        <f>IF(E107="","",IF(ISNA(VLOOKUP($E107,'D-1 Off Site Habitat Baseline'!$D$1:$O$258,5,FALSE)),"",(VLOOKUP($E107,'D-1 Off Site Habitat Baseline'!$D$1:$O$258,5,FALSE))))</f>
        <v/>
      </c>
      <c r="H107" s="520" t="str">
        <f>IF(E107="","",IF(ISNA(VLOOKUP($E107,'D-1 Off Site Habitat Baseline'!$D$1:$O$258,6,FALSE)),"",(VLOOKUP($E107,'D-1 Off Site Habitat Baseline'!$D$1:$O$258,6,FALSE))))</f>
        <v/>
      </c>
      <c r="I107" s="520" t="str">
        <f>IF(E107="","",IF(ISNA(VLOOKUP($E107,'D-1 Off Site Habitat Baseline'!$D$1:$O$258,7,FALSE)),"",(VLOOKUP($E107,'D-1 Off Site Habitat Baseline'!$D$1:$O$258,7,FALSE))))</f>
        <v/>
      </c>
      <c r="J107" s="520" t="str">
        <f>IF(E107="","",IF(ISNA(VLOOKUP($E107,'D-1 Off Site Habitat Baseline'!$D$1:$O$258,8,FALSE)),"",(VLOOKUP($E107,'D-1 Off Site Habitat Baseline'!$D$1:$O$258,8,FALSE))))</f>
        <v/>
      </c>
      <c r="K107" s="520" t="str">
        <f>IF(E107="","",IF(ISNA(VLOOKUP($E107,'D-1 Off Site Habitat Baseline'!$D$1:$O$258,9,FALSE)),"",(VLOOKUP($E107,'D-1 Off Site Habitat Baseline'!$D$1:$O$258,9,FALSE))))</f>
        <v/>
      </c>
      <c r="L107" s="520" t="str">
        <f>IF(E107="","",IF(ISNA(VLOOKUP($E107,'D-1 Off Site Habitat Baseline'!$D$1:$O$258,11,FALSE)),"",(VLOOKUP($E107,'D-1 Off Site Habitat Baseline'!$D$1:$O$258,11,FALSE))))</f>
        <v/>
      </c>
      <c r="M107" s="520" t="str">
        <f>IF(E107="","",IF(ISNA(VLOOKUP($E107,'D-1 Off Site Habitat Baseline'!$D$1:$O$258,12,FALSE)),"",(VLOOKUP($E107,'D-1 Off Site Habitat Baseline'!$D$1:$O$258,12,FALSE))))</f>
        <v/>
      </c>
      <c r="N107" s="520" t="str">
        <f>IF(E107="","",IF(ISNA(VLOOKUP($E107,'D-1 Off Site Habitat Baseline'!$D$1:$X$258,14,FALSE)),"",(VLOOKUP($E107,'D-1 Off Site Habitat Baseline'!$D$1:$X$258,14,FALSE))))</f>
        <v/>
      </c>
      <c r="O107" s="524" t="str">
        <f>IF(E107="","",IF(ISNA(VLOOKUP($E107,'D-1 Off Site Habitat Baseline'!$D$1:$X$258,13,FALSE)),"",(VLOOKUP($E107,'D-1 Off Site Habitat Baseline'!$D$1:$X$258,13,FALSE))))</f>
        <v/>
      </c>
      <c r="P107" s="232" t="str">
        <f>IFERROR(INDEX('G-1 All Habitats'!$AG$3:$AG$15,MATCH(Q107,'G-1 All Habitats'!$AF$3:$AF$15,0)),"")</f>
        <v/>
      </c>
      <c r="Q107" s="228" t="str">
        <f t="shared" si="23"/>
        <v/>
      </c>
      <c r="R107" s="229" t="str">
        <f t="shared" si="24"/>
        <v/>
      </c>
      <c r="S107" s="233" t="str">
        <f>IFERROR(INDEX('G-1 All Habitats'!$B$3:$B$129,MATCH(R107,'G-1 All Habitats'!$A$3:$A$129,0)),"")</f>
        <v/>
      </c>
      <c r="T107" s="507" t="str">
        <f t="shared" si="16"/>
        <v/>
      </c>
      <c r="U107" s="524" t="str">
        <f>IF(F107="","",IF(AND(LEFT(F107,55)&lt;&gt;LEFT(S107,55),T107= "High - High"),"Error - Not like for like ▲",IF(AND(I107=X107,K107&gt;Z107),"Error - Can not reduce condition ▲",IF(AND(I107=X107,K107=Z107),"Error - No enhancement ▲",IF(X107&lt;I107,"Error Trading Down ▲",IF(AND(F107&lt;&gt;S107,I107&lt;X107),"Lower Distinctiveness Habitat"&amp;" - "&amp;Y107,J107&amp;" - "&amp;Y107))))))</f>
        <v/>
      </c>
      <c r="V107" s="523" t="str">
        <f t="shared" si="14"/>
        <v/>
      </c>
      <c r="W107" s="520" t="str">
        <f>IF(S107="","",VLOOKUP(S107,'G-1 All Habitats'!$B$2:$M$129,10,FALSE))</f>
        <v/>
      </c>
      <c r="X107" s="520" t="str">
        <f>IFERROR(VLOOKUP(W107,'G-1 All Habitats'!$V$3:$W$7,2,FALSE),"")</f>
        <v/>
      </c>
      <c r="Y107" s="203"/>
      <c r="Z107" s="524" t="str">
        <f>IFERROR(INDEX('G-8 Condition Look up'!$A$3:$H$130,MATCH(S107,'G-8 Condition Look up'!$A$3:$A$130,0),MATCH(Y107,'G-8 Condition Look up'!$A$3:$H$3,0)),"")</f>
        <v/>
      </c>
      <c r="AA107" s="145"/>
      <c r="AB107" s="540" t="str">
        <f>IF(AA107="","",IF(VLOOKUP(AA107,'G-3 Multipliers'!$L$3:$N$6,2,FALSE)=0,"Spatial Data Missing ⚠",VLOOKUP(AA107,'G-3 Multipliers'!$L$3:$N$6,2,FALSE)))</f>
        <v/>
      </c>
      <c r="AC107" s="524" t="str">
        <f>IF(AA107="","",IF(VLOOKUP(AA107,'G-3 Multipliers'!$L$3:$N$6,3,FALSE)=0,"Spatial Data Missing ⚠",VLOOKUP(AA107,'G-3 Multipliers'!$L$3:$N$6,3,FALSE)))</f>
        <v/>
      </c>
      <c r="AD107" s="537" t="str">
        <f t="shared" si="15"/>
        <v/>
      </c>
      <c r="AE107" s="203"/>
      <c r="AF107" s="203"/>
      <c r="AG107" s="520" t="str">
        <f t="shared" si="18"/>
        <v/>
      </c>
      <c r="AH107" s="544" t="str">
        <f t="shared" si="19"/>
        <v/>
      </c>
      <c r="AI107" s="525" t="str">
        <f>IF(AH107="Check Data ⚠","Check Data ⚠",IFERROR(VLOOKUP(AH107,'G-4 Temporal multipliers'!$A$4:$C$36,3,FALSE),""))</f>
        <v/>
      </c>
      <c r="AJ107" s="537" t="str">
        <f>IF(S107="","",VLOOKUP(S107,'G-3 Multipliers'!$A$2:$E$129,4,FALSE))</f>
        <v/>
      </c>
      <c r="AK107" s="520" t="str">
        <f t="shared" si="20"/>
        <v/>
      </c>
      <c r="AL107" s="520" t="str">
        <f t="shared" si="21"/>
        <v/>
      </c>
      <c r="AM107" s="524" t="str">
        <f>IFERROR(IF(F107="","",IF(AH107="Check Data ⚠","Check Data ⚠",VLOOKUP(AL107, 'G-3 Multipliers'!$P$2:$Q$6,2,FALSE))),"")</f>
        <v/>
      </c>
      <c r="AN107" s="197"/>
      <c r="AO107" s="540" t="str">
        <f>IF(AN107="","",IF(VLOOKUP(AN107,'G-3 Multipliers'!$S$3:$T$9,2,FALSE)=0,"Spatial Data Missing ⚠",VLOOKUP(AN107,'G-3 Multipliers'!$S$3:$T$9,2,FALSE)))</f>
        <v/>
      </c>
      <c r="AP107" s="513" t="str">
        <f t="shared" si="22"/>
        <v/>
      </c>
      <c r="AQ107" s="231"/>
      <c r="AR107" s="150"/>
    </row>
    <row r="108" spans="1:44" x14ac:dyDescent="0.25">
      <c r="A108" s="31" t="str">
        <f>IF(E108="","",IF(ISNA(VLOOKUP($E108,'D-1 Off Site Habitat Baseline'!$D$1:$O$258,2,FALSE)),"",(VLOOKUP($E108,'D-1 Off Site Habitat Baseline'!$D$1:$O$258,2,FALSE))))</f>
        <v/>
      </c>
      <c r="B108" s="31" t="str">
        <f>IF(E108="","",IF(ISNA(VLOOKUP($E108,'D-1 Off Site Habitat Baseline'!$D$1:$O$258,3,FALSE)),"",(VLOOKUP($E108,'D-1 Off Site Habitat Baseline'!$D$1:$O$258,3,FALSE))))</f>
        <v/>
      </c>
      <c r="C108" s="31" t="str">
        <f>IFERROR(INDEX('G-8 Condition Look up'!$I$4:$I$130,MATCH(S108,'G-8 Condition Look up'!$A$4:$A$130,0)),"")</f>
        <v/>
      </c>
      <c r="E108" s="547" t="str">
        <f>'D-1 Off Site Habitat Baseline'!AL107</f>
        <v/>
      </c>
      <c r="F108" s="520" t="str">
        <f>IF(E108="","",IF(ISNA(VLOOKUP($E108,'D-1 Off Site Habitat Baseline'!$D$1:$O$258,4,FALSE)),"",(VLOOKUP($E108,'D-1 Off Site Habitat Baseline'!$D$1:$O$258,4,FALSE))))</f>
        <v/>
      </c>
      <c r="G108" s="520" t="str">
        <f>IF(E108="","",IF(ISNA(VLOOKUP($E108,'D-1 Off Site Habitat Baseline'!$D$1:$O$258,5,FALSE)),"",(VLOOKUP($E108,'D-1 Off Site Habitat Baseline'!$D$1:$O$258,5,FALSE))))</f>
        <v/>
      </c>
      <c r="H108" s="520" t="str">
        <f>IF(E108="","",IF(ISNA(VLOOKUP($E108,'D-1 Off Site Habitat Baseline'!$D$1:$O$258,6,FALSE)),"",(VLOOKUP($E108,'D-1 Off Site Habitat Baseline'!$D$1:$O$258,6,FALSE))))</f>
        <v/>
      </c>
      <c r="I108" s="520" t="str">
        <f>IF(E108="","",IF(ISNA(VLOOKUP($E108,'D-1 Off Site Habitat Baseline'!$D$1:$O$258,7,FALSE)),"",(VLOOKUP($E108,'D-1 Off Site Habitat Baseline'!$D$1:$O$258,7,FALSE))))</f>
        <v/>
      </c>
      <c r="J108" s="520" t="str">
        <f>IF(E108="","",IF(ISNA(VLOOKUP($E108,'D-1 Off Site Habitat Baseline'!$D$1:$O$258,8,FALSE)),"",(VLOOKUP($E108,'D-1 Off Site Habitat Baseline'!$D$1:$O$258,8,FALSE))))</f>
        <v/>
      </c>
      <c r="K108" s="520" t="str">
        <f>IF(E108="","",IF(ISNA(VLOOKUP($E108,'D-1 Off Site Habitat Baseline'!$D$1:$O$258,9,FALSE)),"",(VLOOKUP($E108,'D-1 Off Site Habitat Baseline'!$D$1:$O$258,9,FALSE))))</f>
        <v/>
      </c>
      <c r="L108" s="520" t="str">
        <f>IF(E108="","",IF(ISNA(VLOOKUP($E108,'D-1 Off Site Habitat Baseline'!$D$1:$O$258,11,FALSE)),"",(VLOOKUP($E108,'D-1 Off Site Habitat Baseline'!$D$1:$O$258,11,FALSE))))</f>
        <v/>
      </c>
      <c r="M108" s="520" t="str">
        <f>IF(E108="","",IF(ISNA(VLOOKUP($E108,'D-1 Off Site Habitat Baseline'!$D$1:$O$258,12,FALSE)),"",(VLOOKUP($E108,'D-1 Off Site Habitat Baseline'!$D$1:$O$258,12,FALSE))))</f>
        <v/>
      </c>
      <c r="N108" s="520" t="str">
        <f>IF(E108="","",IF(ISNA(VLOOKUP($E108,'D-1 Off Site Habitat Baseline'!$D$1:$X$258,14,FALSE)),"",(VLOOKUP($E108,'D-1 Off Site Habitat Baseline'!$D$1:$X$258,14,FALSE))))</f>
        <v/>
      </c>
      <c r="O108" s="524" t="str">
        <f>IF(E108="","",IF(ISNA(VLOOKUP($E108,'D-1 Off Site Habitat Baseline'!$D$1:$X$258,13,FALSE)),"",(VLOOKUP($E108,'D-1 Off Site Habitat Baseline'!$D$1:$X$258,13,FALSE))))</f>
        <v/>
      </c>
      <c r="P108" s="232" t="str">
        <f>IFERROR(INDEX('G-1 All Habitats'!$AG$3:$AG$15,MATCH(Q108,'G-1 All Habitats'!$AF$3:$AF$15,0)),"")</f>
        <v/>
      </c>
      <c r="Q108" s="228" t="str">
        <f t="shared" si="23"/>
        <v/>
      </c>
      <c r="R108" s="229" t="str">
        <f t="shared" si="24"/>
        <v/>
      </c>
      <c r="S108" s="233" t="str">
        <f>IFERROR(INDEX('G-1 All Habitats'!$B$3:$B$129,MATCH(R108,'G-1 All Habitats'!$A$3:$A$129,0)),"")</f>
        <v/>
      </c>
      <c r="T108" s="507" t="str">
        <f t="shared" si="16"/>
        <v/>
      </c>
      <c r="U108" s="524" t="str">
        <f t="shared" si="17"/>
        <v/>
      </c>
      <c r="V108" s="523" t="str">
        <f t="shared" si="14"/>
        <v/>
      </c>
      <c r="W108" s="520" t="str">
        <f>IF(S108="","",VLOOKUP(S108,'G-1 All Habitats'!$B$2:$M$129,10,FALSE))</f>
        <v/>
      </c>
      <c r="X108" s="520" t="str">
        <f>IFERROR(VLOOKUP(W108,'G-1 All Habitats'!$V$3:$W$7,2,FALSE),"")</f>
        <v/>
      </c>
      <c r="Y108" s="203"/>
      <c r="Z108" s="524" t="str">
        <f>IFERROR(INDEX('G-8 Condition Look up'!$A$3:$H$130,MATCH(S108,'G-8 Condition Look up'!$A$3:$A$130,0),MATCH(Y108,'G-8 Condition Look up'!$A$3:$H$3,0)),"")</f>
        <v/>
      </c>
      <c r="AA108" s="145"/>
      <c r="AB108" s="540" t="str">
        <f>IF(AA108="","",IF(VLOOKUP(AA108,'G-3 Multipliers'!$L$3:$N$6,2,FALSE)=0,"Spatial Data Missing ⚠",VLOOKUP(AA108,'G-3 Multipliers'!$L$3:$N$6,2,FALSE)))</f>
        <v/>
      </c>
      <c r="AC108" s="524" t="str">
        <f>IF(AA108="","",IF(VLOOKUP(AA108,'G-3 Multipliers'!$L$3:$N$6,3,FALSE)=0,"Spatial Data Missing ⚠",VLOOKUP(AA108,'G-3 Multipliers'!$L$3:$N$6,3,FALSE)))</f>
        <v/>
      </c>
      <c r="AD108" s="537" t="str">
        <f t="shared" si="15"/>
        <v/>
      </c>
      <c r="AE108" s="203"/>
      <c r="AF108" s="203"/>
      <c r="AG108" s="520" t="str">
        <f t="shared" si="18"/>
        <v/>
      </c>
      <c r="AH108" s="544" t="str">
        <f t="shared" si="19"/>
        <v/>
      </c>
      <c r="AI108" s="525" t="str">
        <f>IF(AH108="Check Data ⚠","Check Data ⚠",IFERROR(VLOOKUP(AH108,'G-4 Temporal multipliers'!$A$4:$C$36,3,FALSE),""))</f>
        <v/>
      </c>
      <c r="AJ108" s="537" t="str">
        <f>IF(S108="","",VLOOKUP(S108,'G-3 Multipliers'!$A$2:$E$129,4,FALSE))</f>
        <v/>
      </c>
      <c r="AK108" s="520" t="str">
        <f t="shared" si="20"/>
        <v/>
      </c>
      <c r="AL108" s="520" t="str">
        <f t="shared" si="21"/>
        <v/>
      </c>
      <c r="AM108" s="524" t="str">
        <f>IFERROR(IF(F108="","",IF(AH108="Check Data ⚠","Check Data ⚠",VLOOKUP(AL108, 'G-3 Multipliers'!$P$2:$Q$6,2,FALSE))),"")</f>
        <v/>
      </c>
      <c r="AN108" s="197"/>
      <c r="AO108" s="540" t="str">
        <f>IF(AN108="","",IF(VLOOKUP(AN108,'G-3 Multipliers'!$S$3:$T$9,2,FALSE)=0,"Spatial Data Missing ⚠",VLOOKUP(AN108,'G-3 Multipliers'!$S$3:$T$9,2,FALSE)))</f>
        <v/>
      </c>
      <c r="AP108" s="513" t="str">
        <f t="shared" si="22"/>
        <v/>
      </c>
      <c r="AQ108" s="231"/>
      <c r="AR108" s="150"/>
    </row>
    <row r="109" spans="1:44" x14ac:dyDescent="0.25">
      <c r="A109" s="31" t="str">
        <f>IF(E109="","",IF(ISNA(VLOOKUP($E109,'D-1 Off Site Habitat Baseline'!$D$1:$O$258,2,FALSE)),"",(VLOOKUP($E109,'D-1 Off Site Habitat Baseline'!$D$1:$O$258,2,FALSE))))</f>
        <v/>
      </c>
      <c r="B109" s="31" t="str">
        <f>IF(E109="","",IF(ISNA(VLOOKUP($E109,'D-1 Off Site Habitat Baseline'!$D$1:$O$258,3,FALSE)),"",(VLOOKUP($E109,'D-1 Off Site Habitat Baseline'!$D$1:$O$258,3,FALSE))))</f>
        <v/>
      </c>
      <c r="C109" s="31" t="str">
        <f>IFERROR(INDEX('G-8 Condition Look up'!$I$4:$I$130,MATCH(S109,'G-8 Condition Look up'!$A$4:$A$130,0)),"")</f>
        <v/>
      </c>
      <c r="E109" s="547" t="str">
        <f>'D-1 Off Site Habitat Baseline'!AL108</f>
        <v/>
      </c>
      <c r="F109" s="520" t="str">
        <f>IF(E109="","",IF(ISNA(VLOOKUP($E109,'D-1 Off Site Habitat Baseline'!$D$1:$O$258,4,FALSE)),"",(VLOOKUP($E109,'D-1 Off Site Habitat Baseline'!$D$1:$O$258,4,FALSE))))</f>
        <v/>
      </c>
      <c r="G109" s="520" t="str">
        <f>IF(E109="","",IF(ISNA(VLOOKUP($E109,'D-1 Off Site Habitat Baseline'!$D$1:$O$258,5,FALSE)),"",(VLOOKUP($E109,'D-1 Off Site Habitat Baseline'!$D$1:$O$258,5,FALSE))))</f>
        <v/>
      </c>
      <c r="H109" s="520" t="str">
        <f>IF(E109="","",IF(ISNA(VLOOKUP($E109,'D-1 Off Site Habitat Baseline'!$D$1:$O$258,6,FALSE)),"",(VLOOKUP($E109,'D-1 Off Site Habitat Baseline'!$D$1:$O$258,6,FALSE))))</f>
        <v/>
      </c>
      <c r="I109" s="520" t="str">
        <f>IF(E109="","",IF(ISNA(VLOOKUP($E109,'D-1 Off Site Habitat Baseline'!$D$1:$O$258,7,FALSE)),"",(VLOOKUP($E109,'D-1 Off Site Habitat Baseline'!$D$1:$O$258,7,FALSE))))</f>
        <v/>
      </c>
      <c r="J109" s="520" t="str">
        <f>IF(E109="","",IF(ISNA(VLOOKUP($E109,'D-1 Off Site Habitat Baseline'!$D$1:$O$258,8,FALSE)),"",(VLOOKUP($E109,'D-1 Off Site Habitat Baseline'!$D$1:$O$258,8,FALSE))))</f>
        <v/>
      </c>
      <c r="K109" s="520" t="str">
        <f>IF(E109="","",IF(ISNA(VLOOKUP($E109,'D-1 Off Site Habitat Baseline'!$D$1:$O$258,9,FALSE)),"",(VLOOKUP($E109,'D-1 Off Site Habitat Baseline'!$D$1:$O$258,9,FALSE))))</f>
        <v/>
      </c>
      <c r="L109" s="520" t="str">
        <f>IF(E109="","",IF(ISNA(VLOOKUP($E109,'D-1 Off Site Habitat Baseline'!$D$1:$O$258,11,FALSE)),"",(VLOOKUP($E109,'D-1 Off Site Habitat Baseline'!$D$1:$O$258,11,FALSE))))</f>
        <v/>
      </c>
      <c r="M109" s="520" t="str">
        <f>IF(E109="","",IF(ISNA(VLOOKUP($E109,'D-1 Off Site Habitat Baseline'!$D$1:$O$258,12,FALSE)),"",(VLOOKUP($E109,'D-1 Off Site Habitat Baseline'!$D$1:$O$258,12,FALSE))))</f>
        <v/>
      </c>
      <c r="N109" s="520" t="str">
        <f>IF(E109="","",IF(ISNA(VLOOKUP($E109,'D-1 Off Site Habitat Baseline'!$D$1:$X$258,14,FALSE)),"",(VLOOKUP($E109,'D-1 Off Site Habitat Baseline'!$D$1:$X$258,14,FALSE))))</f>
        <v/>
      </c>
      <c r="O109" s="524" t="str">
        <f>IF(E109="","",IF(ISNA(VLOOKUP($E109,'D-1 Off Site Habitat Baseline'!$D$1:$X$258,13,FALSE)),"",(VLOOKUP($E109,'D-1 Off Site Habitat Baseline'!$D$1:$X$258,13,FALSE))))</f>
        <v/>
      </c>
      <c r="P109" s="232" t="str">
        <f>IFERROR(INDEX('G-1 All Habitats'!$AG$3:$AG$15,MATCH(Q109,'G-1 All Habitats'!$AF$3:$AF$15,0)),"")</f>
        <v/>
      </c>
      <c r="Q109" s="228" t="str">
        <f t="shared" si="23"/>
        <v/>
      </c>
      <c r="R109" s="229" t="str">
        <f t="shared" si="24"/>
        <v/>
      </c>
      <c r="S109" s="233" t="str">
        <f>IFERROR(INDEX('G-1 All Habitats'!$B$3:$B$129,MATCH(R109,'G-1 All Habitats'!$A$3:$A$129,0)),"")</f>
        <v/>
      </c>
      <c r="T109" s="507" t="str">
        <f t="shared" si="16"/>
        <v/>
      </c>
      <c r="U109" s="524" t="str">
        <f t="shared" si="17"/>
        <v/>
      </c>
      <c r="V109" s="523" t="str">
        <f t="shared" si="14"/>
        <v/>
      </c>
      <c r="W109" s="520" t="str">
        <f>IF(S109="","",VLOOKUP(S109,'G-1 All Habitats'!$B$2:$M$129,10,FALSE))</f>
        <v/>
      </c>
      <c r="X109" s="520" t="str">
        <f>IFERROR(VLOOKUP(W109,'G-1 All Habitats'!$V$3:$W$7,2,FALSE),"")</f>
        <v/>
      </c>
      <c r="Y109" s="203"/>
      <c r="Z109" s="524" t="str">
        <f>IFERROR(INDEX('G-8 Condition Look up'!$A$3:$H$130,MATCH(S109,'G-8 Condition Look up'!$A$3:$A$130,0),MATCH(Y109,'G-8 Condition Look up'!$A$3:$H$3,0)),"")</f>
        <v/>
      </c>
      <c r="AA109" s="145"/>
      <c r="AB109" s="540" t="str">
        <f>IF(AA109="","",IF(VLOOKUP(AA109,'G-3 Multipliers'!$L$3:$N$6,2,FALSE)=0,"Spatial Data Missing ⚠",VLOOKUP(AA109,'G-3 Multipliers'!$L$3:$N$6,2,FALSE)))</f>
        <v/>
      </c>
      <c r="AC109" s="524" t="str">
        <f>IF(AA109="","",IF(VLOOKUP(AA109,'G-3 Multipliers'!$L$3:$N$6,3,FALSE)=0,"Spatial Data Missing ⚠",VLOOKUP(AA109,'G-3 Multipliers'!$L$3:$N$6,3,FALSE)))</f>
        <v/>
      </c>
      <c r="AD109" s="537" t="str">
        <f t="shared" si="15"/>
        <v/>
      </c>
      <c r="AE109" s="203"/>
      <c r="AF109" s="203"/>
      <c r="AG109" s="520" t="str">
        <f t="shared" si="18"/>
        <v/>
      </c>
      <c r="AH109" s="544" t="str">
        <f t="shared" si="19"/>
        <v/>
      </c>
      <c r="AI109" s="525" t="str">
        <f>IF(AH109="Check Data ⚠","Check Data ⚠",IFERROR(VLOOKUP(AH109,'G-4 Temporal multipliers'!$A$4:$C$36,3,FALSE),""))</f>
        <v/>
      </c>
      <c r="AJ109" s="537" t="str">
        <f>IF(S109="","",VLOOKUP(S109,'G-3 Multipliers'!$A$2:$E$129,4,FALSE))</f>
        <v/>
      </c>
      <c r="AK109" s="520" t="str">
        <f t="shared" si="20"/>
        <v/>
      </c>
      <c r="AL109" s="520" t="str">
        <f t="shared" si="21"/>
        <v/>
      </c>
      <c r="AM109" s="524" t="str">
        <f>IFERROR(IF(F109="","",IF(AH109="Check Data ⚠","Check Data ⚠",VLOOKUP(AL109, 'G-3 Multipliers'!$P$2:$Q$6,2,FALSE))),"")</f>
        <v/>
      </c>
      <c r="AN109" s="197"/>
      <c r="AO109" s="540" t="str">
        <f>IF(AN109="","",IF(VLOOKUP(AN109,'G-3 Multipliers'!$S$3:$T$9,2,FALSE)=0,"Spatial Data Missing ⚠",VLOOKUP(AN109,'G-3 Multipliers'!$S$3:$T$9,2,FALSE)))</f>
        <v/>
      </c>
      <c r="AP109" s="513" t="str">
        <f t="shared" si="22"/>
        <v/>
      </c>
      <c r="AQ109" s="231"/>
      <c r="AR109" s="150"/>
    </row>
    <row r="110" spans="1:44" x14ac:dyDescent="0.25">
      <c r="A110" s="31" t="str">
        <f>IF(E110="","",IF(ISNA(VLOOKUP($E110,'D-1 Off Site Habitat Baseline'!$D$1:$O$258,2,FALSE)),"",(VLOOKUP($E110,'D-1 Off Site Habitat Baseline'!$D$1:$O$258,2,FALSE))))</f>
        <v/>
      </c>
      <c r="B110" s="31" t="str">
        <f>IF(E110="","",IF(ISNA(VLOOKUP($E110,'D-1 Off Site Habitat Baseline'!$D$1:$O$258,3,FALSE)),"",(VLOOKUP($E110,'D-1 Off Site Habitat Baseline'!$D$1:$O$258,3,FALSE))))</f>
        <v/>
      </c>
      <c r="C110" s="31" t="str">
        <f>IFERROR(INDEX('G-8 Condition Look up'!$I$4:$I$130,MATCH(S110,'G-8 Condition Look up'!$A$4:$A$130,0)),"")</f>
        <v/>
      </c>
      <c r="E110" s="547" t="str">
        <f>'D-1 Off Site Habitat Baseline'!AL109</f>
        <v/>
      </c>
      <c r="F110" s="520" t="str">
        <f>IF(E110="","",IF(ISNA(VLOOKUP($E110,'D-1 Off Site Habitat Baseline'!$D$1:$O$258,4,FALSE)),"",(VLOOKUP($E110,'D-1 Off Site Habitat Baseline'!$D$1:$O$258,4,FALSE))))</f>
        <v/>
      </c>
      <c r="G110" s="520" t="str">
        <f>IF(E110="","",IF(ISNA(VLOOKUP($E110,'D-1 Off Site Habitat Baseline'!$D$1:$O$258,5,FALSE)),"",(VLOOKUP($E110,'D-1 Off Site Habitat Baseline'!$D$1:$O$258,5,FALSE))))</f>
        <v/>
      </c>
      <c r="H110" s="520" t="str">
        <f>IF(E110="","",IF(ISNA(VLOOKUP($E110,'D-1 Off Site Habitat Baseline'!$D$1:$O$258,6,FALSE)),"",(VLOOKUP($E110,'D-1 Off Site Habitat Baseline'!$D$1:$O$258,6,FALSE))))</f>
        <v/>
      </c>
      <c r="I110" s="520" t="str">
        <f>IF(E110="","",IF(ISNA(VLOOKUP($E110,'D-1 Off Site Habitat Baseline'!$D$1:$O$258,7,FALSE)),"",(VLOOKUP($E110,'D-1 Off Site Habitat Baseline'!$D$1:$O$258,7,FALSE))))</f>
        <v/>
      </c>
      <c r="J110" s="520" t="str">
        <f>IF(E110="","",IF(ISNA(VLOOKUP($E110,'D-1 Off Site Habitat Baseline'!$D$1:$O$258,8,FALSE)),"",(VLOOKUP($E110,'D-1 Off Site Habitat Baseline'!$D$1:$O$258,8,FALSE))))</f>
        <v/>
      </c>
      <c r="K110" s="520" t="str">
        <f>IF(E110="","",IF(ISNA(VLOOKUP($E110,'D-1 Off Site Habitat Baseline'!$D$1:$O$258,9,FALSE)),"",(VLOOKUP($E110,'D-1 Off Site Habitat Baseline'!$D$1:$O$258,9,FALSE))))</f>
        <v/>
      </c>
      <c r="L110" s="520" t="str">
        <f>IF(E110="","",IF(ISNA(VLOOKUP($E110,'D-1 Off Site Habitat Baseline'!$D$1:$O$258,11,FALSE)),"",(VLOOKUP($E110,'D-1 Off Site Habitat Baseline'!$D$1:$O$258,11,FALSE))))</f>
        <v/>
      </c>
      <c r="M110" s="520" t="str">
        <f>IF(E110="","",IF(ISNA(VLOOKUP($E110,'D-1 Off Site Habitat Baseline'!$D$1:$O$258,12,FALSE)),"",(VLOOKUP($E110,'D-1 Off Site Habitat Baseline'!$D$1:$O$258,12,FALSE))))</f>
        <v/>
      </c>
      <c r="N110" s="520" t="str">
        <f>IF(E110="","",IF(ISNA(VLOOKUP($E110,'D-1 Off Site Habitat Baseline'!$D$1:$X$258,14,FALSE)),"",(VLOOKUP($E110,'D-1 Off Site Habitat Baseline'!$D$1:$X$258,14,FALSE))))</f>
        <v/>
      </c>
      <c r="O110" s="524" t="str">
        <f>IF(E110="","",IF(ISNA(VLOOKUP($E110,'D-1 Off Site Habitat Baseline'!$D$1:$X$258,13,FALSE)),"",(VLOOKUP($E110,'D-1 Off Site Habitat Baseline'!$D$1:$X$258,13,FALSE))))</f>
        <v/>
      </c>
      <c r="P110" s="232" t="str">
        <f>IFERROR(INDEX('G-1 All Habitats'!$AG$3:$AG$15,MATCH(Q110,'G-1 All Habitats'!$AF$3:$AF$15,0)),"")</f>
        <v/>
      </c>
      <c r="Q110" s="228" t="str">
        <f t="shared" si="23"/>
        <v/>
      </c>
      <c r="R110" s="229" t="str">
        <f t="shared" si="24"/>
        <v/>
      </c>
      <c r="S110" s="233" t="str">
        <f>IFERROR(INDEX('G-1 All Habitats'!$B$3:$B$129,MATCH(R110,'G-1 All Habitats'!$A$3:$A$129,0)),"")</f>
        <v/>
      </c>
      <c r="T110" s="507" t="str">
        <f t="shared" si="16"/>
        <v/>
      </c>
      <c r="U110" s="524" t="str">
        <f t="shared" si="17"/>
        <v/>
      </c>
      <c r="V110" s="523" t="str">
        <f t="shared" si="14"/>
        <v/>
      </c>
      <c r="W110" s="520" t="str">
        <f>IF(S110="","",VLOOKUP(S110,'G-1 All Habitats'!$B$2:$M$129,10,FALSE))</f>
        <v/>
      </c>
      <c r="X110" s="520" t="str">
        <f>IFERROR(VLOOKUP(W110,'G-1 All Habitats'!$V$3:$W$7,2,FALSE),"")</f>
        <v/>
      </c>
      <c r="Y110" s="203"/>
      <c r="Z110" s="524" t="str">
        <f>IFERROR(INDEX('G-8 Condition Look up'!$A$3:$H$130,MATCH(S110,'G-8 Condition Look up'!$A$3:$A$130,0),MATCH(Y110,'G-8 Condition Look up'!$A$3:$H$3,0)),"")</f>
        <v/>
      </c>
      <c r="AA110" s="145"/>
      <c r="AB110" s="540" t="str">
        <f>IF(AA110="","",IF(VLOOKUP(AA110,'G-3 Multipliers'!$L$3:$N$6,2,FALSE)=0,"Spatial Data Missing ⚠",VLOOKUP(AA110,'G-3 Multipliers'!$L$3:$N$6,2,FALSE)))</f>
        <v/>
      </c>
      <c r="AC110" s="524" t="str">
        <f>IF(AA110="","",IF(VLOOKUP(AA110,'G-3 Multipliers'!$L$3:$N$6,3,FALSE)=0,"Spatial Data Missing ⚠",VLOOKUP(AA110,'G-3 Multipliers'!$L$3:$N$6,3,FALSE)))</f>
        <v/>
      </c>
      <c r="AD110" s="537" t="str">
        <f t="shared" si="15"/>
        <v/>
      </c>
      <c r="AE110" s="203"/>
      <c r="AF110" s="203"/>
      <c r="AG110" s="520" t="str">
        <f t="shared" si="18"/>
        <v/>
      </c>
      <c r="AH110" s="544" t="str">
        <f t="shared" si="19"/>
        <v/>
      </c>
      <c r="AI110" s="525" t="str">
        <f>IF(AH110="Check Data ⚠","Check Data ⚠",IFERROR(VLOOKUP(AH110,'G-4 Temporal multipliers'!$A$4:$C$36,3,FALSE),""))</f>
        <v/>
      </c>
      <c r="AJ110" s="537" t="str">
        <f>IF(S110="","",VLOOKUP(S110,'G-3 Multipliers'!$A$2:$E$129,4,FALSE))</f>
        <v/>
      </c>
      <c r="AK110" s="520" t="str">
        <f t="shared" si="20"/>
        <v/>
      </c>
      <c r="AL110" s="520" t="str">
        <f t="shared" si="21"/>
        <v/>
      </c>
      <c r="AM110" s="524" t="str">
        <f>IFERROR(IF(F110="","",IF(AH110="Check Data ⚠","Check Data ⚠",VLOOKUP(AL110, 'G-3 Multipliers'!$P$2:$Q$6,2,FALSE))),"")</f>
        <v/>
      </c>
      <c r="AN110" s="197"/>
      <c r="AO110" s="540" t="str">
        <f>IF(AN110="","",IF(VLOOKUP(AN110,'G-3 Multipliers'!$S$3:$T$9,2,FALSE)=0,"Spatial Data Missing ⚠",VLOOKUP(AN110,'G-3 Multipliers'!$S$3:$T$9,2,FALSE)))</f>
        <v/>
      </c>
      <c r="AP110" s="513" t="str">
        <f t="shared" si="22"/>
        <v/>
      </c>
      <c r="AQ110" s="231"/>
      <c r="AR110" s="150"/>
    </row>
    <row r="111" spans="1:44" x14ac:dyDescent="0.25">
      <c r="A111" s="31" t="str">
        <f>IF(E111="","",IF(ISNA(VLOOKUP($E111,'D-1 Off Site Habitat Baseline'!$D$1:$O$258,2,FALSE)),"",(VLOOKUP($E111,'D-1 Off Site Habitat Baseline'!$D$1:$O$258,2,FALSE))))</f>
        <v/>
      </c>
      <c r="B111" s="31" t="str">
        <f>IF(E111="","",IF(ISNA(VLOOKUP($E111,'D-1 Off Site Habitat Baseline'!$D$1:$O$258,3,FALSE)),"",(VLOOKUP($E111,'D-1 Off Site Habitat Baseline'!$D$1:$O$258,3,FALSE))))</f>
        <v/>
      </c>
      <c r="C111" s="31" t="str">
        <f>IFERROR(INDEX('G-8 Condition Look up'!$I$4:$I$130,MATCH(S111,'G-8 Condition Look up'!$A$4:$A$130,0)),"")</f>
        <v/>
      </c>
      <c r="E111" s="547" t="str">
        <f>'D-1 Off Site Habitat Baseline'!AL110</f>
        <v/>
      </c>
      <c r="F111" s="520" t="str">
        <f>IF(E111="","",IF(ISNA(VLOOKUP($E111,'D-1 Off Site Habitat Baseline'!$D$1:$O$258,4,FALSE)),"",(VLOOKUP($E111,'D-1 Off Site Habitat Baseline'!$D$1:$O$258,4,FALSE))))</f>
        <v/>
      </c>
      <c r="G111" s="520" t="str">
        <f>IF(E111="","",IF(ISNA(VLOOKUP($E111,'D-1 Off Site Habitat Baseline'!$D$1:$O$258,5,FALSE)),"",(VLOOKUP($E111,'D-1 Off Site Habitat Baseline'!$D$1:$O$258,5,FALSE))))</f>
        <v/>
      </c>
      <c r="H111" s="520" t="str">
        <f>IF(E111="","",IF(ISNA(VLOOKUP($E111,'D-1 Off Site Habitat Baseline'!$D$1:$O$258,6,FALSE)),"",(VLOOKUP($E111,'D-1 Off Site Habitat Baseline'!$D$1:$O$258,6,FALSE))))</f>
        <v/>
      </c>
      <c r="I111" s="520" t="str">
        <f>IF(E111="","",IF(ISNA(VLOOKUP($E111,'D-1 Off Site Habitat Baseline'!$D$1:$O$258,7,FALSE)),"",(VLOOKUP($E111,'D-1 Off Site Habitat Baseline'!$D$1:$O$258,7,FALSE))))</f>
        <v/>
      </c>
      <c r="J111" s="520" t="str">
        <f>IF(E111="","",IF(ISNA(VLOOKUP($E111,'D-1 Off Site Habitat Baseline'!$D$1:$O$258,8,FALSE)),"",(VLOOKUP($E111,'D-1 Off Site Habitat Baseline'!$D$1:$O$258,8,FALSE))))</f>
        <v/>
      </c>
      <c r="K111" s="520" t="str">
        <f>IF(E111="","",IF(ISNA(VLOOKUP($E111,'D-1 Off Site Habitat Baseline'!$D$1:$O$258,9,FALSE)),"",(VLOOKUP($E111,'D-1 Off Site Habitat Baseline'!$D$1:$O$258,9,FALSE))))</f>
        <v/>
      </c>
      <c r="L111" s="520" t="str">
        <f>IF(E111="","",IF(ISNA(VLOOKUP($E111,'D-1 Off Site Habitat Baseline'!$D$1:$O$258,11,FALSE)),"",(VLOOKUP($E111,'D-1 Off Site Habitat Baseline'!$D$1:$O$258,11,FALSE))))</f>
        <v/>
      </c>
      <c r="M111" s="520" t="str">
        <f>IF(E111="","",IF(ISNA(VLOOKUP($E111,'D-1 Off Site Habitat Baseline'!$D$1:$O$258,12,FALSE)),"",(VLOOKUP($E111,'D-1 Off Site Habitat Baseline'!$D$1:$O$258,12,FALSE))))</f>
        <v/>
      </c>
      <c r="N111" s="520" t="str">
        <f>IF(E111="","",IF(ISNA(VLOOKUP($E111,'D-1 Off Site Habitat Baseline'!$D$1:$X$258,14,FALSE)),"",(VLOOKUP($E111,'D-1 Off Site Habitat Baseline'!$D$1:$X$258,14,FALSE))))</f>
        <v/>
      </c>
      <c r="O111" s="524" t="str">
        <f>IF(E111="","",IF(ISNA(VLOOKUP($E111,'D-1 Off Site Habitat Baseline'!$D$1:$X$258,13,FALSE)),"",(VLOOKUP($E111,'D-1 Off Site Habitat Baseline'!$D$1:$X$258,13,FALSE))))</f>
        <v/>
      </c>
      <c r="P111" s="232" t="str">
        <f>IFERROR(INDEX('G-1 All Habitats'!$AG$3:$AG$15,MATCH(Q111,'G-1 All Habitats'!$AF$3:$AF$15,0)),"")</f>
        <v/>
      </c>
      <c r="Q111" s="228" t="str">
        <f t="shared" si="23"/>
        <v/>
      </c>
      <c r="R111" s="229" t="str">
        <f t="shared" si="24"/>
        <v/>
      </c>
      <c r="S111" s="233" t="str">
        <f>IFERROR(INDEX('G-1 All Habitats'!$B$3:$B$129,MATCH(R111,'G-1 All Habitats'!$A$3:$A$129,0)),"")</f>
        <v/>
      </c>
      <c r="T111" s="507" t="str">
        <f t="shared" si="16"/>
        <v/>
      </c>
      <c r="U111" s="524" t="str">
        <f t="shared" si="17"/>
        <v/>
      </c>
      <c r="V111" s="523" t="str">
        <f t="shared" si="14"/>
        <v/>
      </c>
      <c r="W111" s="520" t="str">
        <f>IF(S111="","",VLOOKUP(S111,'G-1 All Habitats'!$B$2:$M$129,10,FALSE))</f>
        <v/>
      </c>
      <c r="X111" s="520" t="str">
        <f>IFERROR(VLOOKUP(W111,'G-1 All Habitats'!$V$3:$W$7,2,FALSE),"")</f>
        <v/>
      </c>
      <c r="Y111" s="203"/>
      <c r="Z111" s="524" t="str">
        <f>IFERROR(INDEX('G-8 Condition Look up'!$A$3:$H$130,MATCH(S111,'G-8 Condition Look up'!$A$3:$A$130,0),MATCH(Y111,'G-8 Condition Look up'!$A$3:$H$3,0)),"")</f>
        <v/>
      </c>
      <c r="AA111" s="145"/>
      <c r="AB111" s="540" t="str">
        <f>IF(AA111="","",IF(VLOOKUP(AA111,'G-3 Multipliers'!$L$3:$N$6,2,FALSE)=0,"Spatial Data Missing ⚠",VLOOKUP(AA111,'G-3 Multipliers'!$L$3:$N$6,2,FALSE)))</f>
        <v/>
      </c>
      <c r="AC111" s="524" t="str">
        <f>IF(AA111="","",IF(VLOOKUP(AA111,'G-3 Multipliers'!$L$3:$N$6,3,FALSE)=0,"Spatial Data Missing ⚠",VLOOKUP(AA111,'G-3 Multipliers'!$L$3:$N$6,3,FALSE)))</f>
        <v/>
      </c>
      <c r="AD111" s="537" t="str">
        <f t="shared" si="15"/>
        <v/>
      </c>
      <c r="AE111" s="203"/>
      <c r="AF111" s="203"/>
      <c r="AG111" s="520" t="str">
        <f t="shared" si="18"/>
        <v/>
      </c>
      <c r="AH111" s="544" t="str">
        <f t="shared" si="19"/>
        <v/>
      </c>
      <c r="AI111" s="525" t="str">
        <f>IF(AH111="Check Data ⚠","Check Data ⚠",IFERROR(VLOOKUP(AH111,'G-4 Temporal multipliers'!$A$4:$C$36,3,FALSE),""))</f>
        <v/>
      </c>
      <c r="AJ111" s="537" t="str">
        <f>IF(S111="","",VLOOKUP(S111,'G-3 Multipliers'!$A$2:$E$129,4,FALSE))</f>
        <v/>
      </c>
      <c r="AK111" s="520" t="str">
        <f t="shared" si="20"/>
        <v/>
      </c>
      <c r="AL111" s="520" t="str">
        <f t="shared" si="21"/>
        <v/>
      </c>
      <c r="AM111" s="524" t="str">
        <f>IFERROR(IF(F111="","",IF(AH111="Check Data ⚠","Check Data ⚠",VLOOKUP(AL111, 'G-3 Multipliers'!$P$2:$Q$6,2,FALSE))),"")</f>
        <v/>
      </c>
      <c r="AN111" s="197"/>
      <c r="AO111" s="540" t="str">
        <f>IF(AN111="","",IF(VLOOKUP(AN111,'G-3 Multipliers'!$S$3:$T$9,2,FALSE)=0,"Spatial Data Missing ⚠",VLOOKUP(AN111,'G-3 Multipliers'!$S$3:$T$9,2,FALSE)))</f>
        <v/>
      </c>
      <c r="AP111" s="513" t="str">
        <f t="shared" si="22"/>
        <v/>
      </c>
      <c r="AQ111" s="231"/>
      <c r="AR111" s="150"/>
    </row>
    <row r="112" spans="1:44" x14ac:dyDescent="0.25">
      <c r="A112" s="31" t="str">
        <f>IF(E112="","",IF(ISNA(VLOOKUP($E112,'D-1 Off Site Habitat Baseline'!$D$1:$O$258,2,FALSE)),"",(VLOOKUP($E112,'D-1 Off Site Habitat Baseline'!$D$1:$O$258,2,FALSE))))</f>
        <v/>
      </c>
      <c r="B112" s="31" t="str">
        <f>IF(E112="","",IF(ISNA(VLOOKUP($E112,'D-1 Off Site Habitat Baseline'!$D$1:$O$258,3,FALSE)),"",(VLOOKUP($E112,'D-1 Off Site Habitat Baseline'!$D$1:$O$258,3,FALSE))))</f>
        <v/>
      </c>
      <c r="C112" s="31" t="str">
        <f>IFERROR(INDEX('G-8 Condition Look up'!$I$4:$I$130,MATCH(S112,'G-8 Condition Look up'!$A$4:$A$130,0)),"")</f>
        <v/>
      </c>
      <c r="E112" s="547" t="str">
        <f>'D-1 Off Site Habitat Baseline'!AL111</f>
        <v/>
      </c>
      <c r="F112" s="520" t="str">
        <f>IF(E112="","",IF(ISNA(VLOOKUP($E112,'D-1 Off Site Habitat Baseline'!$D$1:$O$258,4,FALSE)),"",(VLOOKUP($E112,'D-1 Off Site Habitat Baseline'!$D$1:$O$258,4,FALSE))))</f>
        <v/>
      </c>
      <c r="G112" s="520" t="str">
        <f>IF(E112="","",IF(ISNA(VLOOKUP($E112,'D-1 Off Site Habitat Baseline'!$D$1:$O$258,5,FALSE)),"",(VLOOKUP($E112,'D-1 Off Site Habitat Baseline'!$D$1:$O$258,5,FALSE))))</f>
        <v/>
      </c>
      <c r="H112" s="520" t="str">
        <f>IF(E112="","",IF(ISNA(VLOOKUP($E112,'D-1 Off Site Habitat Baseline'!$D$1:$O$258,6,FALSE)),"",(VLOOKUP($E112,'D-1 Off Site Habitat Baseline'!$D$1:$O$258,6,FALSE))))</f>
        <v/>
      </c>
      <c r="I112" s="520" t="str">
        <f>IF(E112="","",IF(ISNA(VLOOKUP($E112,'D-1 Off Site Habitat Baseline'!$D$1:$O$258,7,FALSE)),"",(VLOOKUP($E112,'D-1 Off Site Habitat Baseline'!$D$1:$O$258,7,FALSE))))</f>
        <v/>
      </c>
      <c r="J112" s="520" t="str">
        <f>IF(E112="","",IF(ISNA(VLOOKUP($E112,'D-1 Off Site Habitat Baseline'!$D$1:$O$258,8,FALSE)),"",(VLOOKUP($E112,'D-1 Off Site Habitat Baseline'!$D$1:$O$258,8,FALSE))))</f>
        <v/>
      </c>
      <c r="K112" s="520" t="str">
        <f>IF(E112="","",IF(ISNA(VLOOKUP($E112,'D-1 Off Site Habitat Baseline'!$D$1:$O$258,9,FALSE)),"",(VLOOKUP($E112,'D-1 Off Site Habitat Baseline'!$D$1:$O$258,9,FALSE))))</f>
        <v/>
      </c>
      <c r="L112" s="520" t="str">
        <f>IF(E112="","",IF(ISNA(VLOOKUP($E112,'D-1 Off Site Habitat Baseline'!$D$1:$O$258,11,FALSE)),"",(VLOOKUP($E112,'D-1 Off Site Habitat Baseline'!$D$1:$O$258,11,FALSE))))</f>
        <v/>
      </c>
      <c r="M112" s="520" t="str">
        <f>IF(E112="","",IF(ISNA(VLOOKUP($E112,'D-1 Off Site Habitat Baseline'!$D$1:$O$258,12,FALSE)),"",(VLOOKUP($E112,'D-1 Off Site Habitat Baseline'!$D$1:$O$258,12,FALSE))))</f>
        <v/>
      </c>
      <c r="N112" s="520" t="str">
        <f>IF(E112="","",IF(ISNA(VLOOKUP($E112,'D-1 Off Site Habitat Baseline'!$D$1:$X$258,14,FALSE)),"",(VLOOKUP($E112,'D-1 Off Site Habitat Baseline'!$D$1:$X$258,14,FALSE))))</f>
        <v/>
      </c>
      <c r="O112" s="524" t="str">
        <f>IF(E112="","",IF(ISNA(VLOOKUP($E112,'D-1 Off Site Habitat Baseline'!$D$1:$X$258,13,FALSE)),"",(VLOOKUP($E112,'D-1 Off Site Habitat Baseline'!$D$1:$X$258,13,FALSE))))</f>
        <v/>
      </c>
      <c r="P112" s="232" t="str">
        <f>IFERROR(INDEX('G-1 All Habitats'!$AG$3:$AG$15,MATCH(Q112,'G-1 All Habitats'!$AF$3:$AF$15,0)),"")</f>
        <v/>
      </c>
      <c r="Q112" s="228" t="str">
        <f t="shared" si="23"/>
        <v/>
      </c>
      <c r="R112" s="229" t="str">
        <f t="shared" si="24"/>
        <v/>
      </c>
      <c r="S112" s="233" t="str">
        <f>IFERROR(INDEX('G-1 All Habitats'!$B$3:$B$129,MATCH(R112,'G-1 All Habitats'!$A$3:$A$129,0)),"")</f>
        <v/>
      </c>
      <c r="T112" s="507" t="str">
        <f t="shared" si="16"/>
        <v/>
      </c>
      <c r="U112" s="524" t="str">
        <f t="shared" si="17"/>
        <v/>
      </c>
      <c r="V112" s="523" t="str">
        <f t="shared" si="14"/>
        <v/>
      </c>
      <c r="W112" s="520" t="str">
        <f>IF(S112="","",VLOOKUP(S112,'G-1 All Habitats'!$B$2:$M$129,10,FALSE))</f>
        <v/>
      </c>
      <c r="X112" s="520" t="str">
        <f>IFERROR(VLOOKUP(W112,'G-1 All Habitats'!$V$3:$W$7,2,FALSE),"")</f>
        <v/>
      </c>
      <c r="Y112" s="203"/>
      <c r="Z112" s="524" t="str">
        <f>IFERROR(INDEX('G-8 Condition Look up'!$A$3:$H$130,MATCH(S112,'G-8 Condition Look up'!$A$3:$A$130,0),MATCH(Y112,'G-8 Condition Look up'!$A$3:$H$3,0)),"")</f>
        <v/>
      </c>
      <c r="AA112" s="145"/>
      <c r="AB112" s="540" t="str">
        <f>IF(AA112="","",IF(VLOOKUP(AA112,'G-3 Multipliers'!$L$3:$N$6,2,FALSE)=0,"Spatial Data Missing ⚠",VLOOKUP(AA112,'G-3 Multipliers'!$L$3:$N$6,2,FALSE)))</f>
        <v/>
      </c>
      <c r="AC112" s="524" t="str">
        <f>IF(AA112="","",IF(VLOOKUP(AA112,'G-3 Multipliers'!$L$3:$N$6,3,FALSE)=0,"Spatial Data Missing ⚠",VLOOKUP(AA112,'G-3 Multipliers'!$L$3:$N$6,3,FALSE)))</f>
        <v/>
      </c>
      <c r="AD112" s="537" t="str">
        <f t="shared" si="15"/>
        <v/>
      </c>
      <c r="AE112" s="203"/>
      <c r="AF112" s="203"/>
      <c r="AG112" s="520" t="str">
        <f t="shared" si="18"/>
        <v/>
      </c>
      <c r="AH112" s="544" t="str">
        <f t="shared" si="19"/>
        <v/>
      </c>
      <c r="AI112" s="525" t="str">
        <f>IF(AH112="Check Data ⚠","Check Data ⚠",IFERROR(VLOOKUP(AH112,'G-4 Temporal multipliers'!$A$4:$C$36,3,FALSE),""))</f>
        <v/>
      </c>
      <c r="AJ112" s="537" t="str">
        <f>IF(S112="","",VLOOKUP(S112,'G-3 Multipliers'!$A$2:$E$129,4,FALSE))</f>
        <v/>
      </c>
      <c r="AK112" s="520" t="str">
        <f t="shared" si="20"/>
        <v/>
      </c>
      <c r="AL112" s="520" t="str">
        <f t="shared" si="21"/>
        <v/>
      </c>
      <c r="AM112" s="524" t="str">
        <f>IFERROR(IF(F112="","",IF(AH112="Check Data ⚠","Check Data ⚠",VLOOKUP(AL112, 'G-3 Multipliers'!$P$2:$Q$6,2,FALSE))),"")</f>
        <v/>
      </c>
      <c r="AN112" s="197"/>
      <c r="AO112" s="540" t="str">
        <f>IF(AN112="","",IF(VLOOKUP(AN112,'G-3 Multipliers'!$S$3:$T$9,2,FALSE)=0,"Spatial Data Missing ⚠",VLOOKUP(AN112,'G-3 Multipliers'!$S$3:$T$9,2,FALSE)))</f>
        <v/>
      </c>
      <c r="AP112" s="513" t="str">
        <f t="shared" si="22"/>
        <v/>
      </c>
      <c r="AQ112" s="231"/>
      <c r="AR112" s="150"/>
    </row>
    <row r="113" spans="1:44" x14ac:dyDescent="0.25">
      <c r="A113" s="31" t="str">
        <f>IF(E113="","",IF(ISNA(VLOOKUP($E113,'D-1 Off Site Habitat Baseline'!$D$1:$O$258,2,FALSE)),"",(VLOOKUP($E113,'D-1 Off Site Habitat Baseline'!$D$1:$O$258,2,FALSE))))</f>
        <v/>
      </c>
      <c r="B113" s="31" t="str">
        <f>IF(E113="","",IF(ISNA(VLOOKUP($E113,'D-1 Off Site Habitat Baseline'!$D$1:$O$258,3,FALSE)),"",(VLOOKUP($E113,'D-1 Off Site Habitat Baseline'!$D$1:$O$258,3,FALSE))))</f>
        <v/>
      </c>
      <c r="C113" s="31" t="str">
        <f>IFERROR(INDEX('G-8 Condition Look up'!$I$4:$I$130,MATCH(S113,'G-8 Condition Look up'!$A$4:$A$130,0)),"")</f>
        <v/>
      </c>
      <c r="E113" s="547" t="str">
        <f>'D-1 Off Site Habitat Baseline'!AL112</f>
        <v/>
      </c>
      <c r="F113" s="520" t="str">
        <f>IF(E113="","",IF(ISNA(VLOOKUP($E113,'D-1 Off Site Habitat Baseline'!$D$1:$O$258,4,FALSE)),"",(VLOOKUP($E113,'D-1 Off Site Habitat Baseline'!$D$1:$O$258,4,FALSE))))</f>
        <v/>
      </c>
      <c r="G113" s="520" t="str">
        <f>IF(E113="","",IF(ISNA(VLOOKUP($E113,'D-1 Off Site Habitat Baseline'!$D$1:$O$258,5,FALSE)),"",(VLOOKUP($E113,'D-1 Off Site Habitat Baseline'!$D$1:$O$258,5,FALSE))))</f>
        <v/>
      </c>
      <c r="H113" s="520" t="str">
        <f>IF(E113="","",IF(ISNA(VLOOKUP($E113,'D-1 Off Site Habitat Baseline'!$D$1:$O$258,6,FALSE)),"",(VLOOKUP($E113,'D-1 Off Site Habitat Baseline'!$D$1:$O$258,6,FALSE))))</f>
        <v/>
      </c>
      <c r="I113" s="520" t="str">
        <f>IF(E113="","",IF(ISNA(VLOOKUP($E113,'D-1 Off Site Habitat Baseline'!$D$1:$O$258,7,FALSE)),"",(VLOOKUP($E113,'D-1 Off Site Habitat Baseline'!$D$1:$O$258,7,FALSE))))</f>
        <v/>
      </c>
      <c r="J113" s="520" t="str">
        <f>IF(E113="","",IF(ISNA(VLOOKUP($E113,'D-1 Off Site Habitat Baseline'!$D$1:$O$258,8,FALSE)),"",(VLOOKUP($E113,'D-1 Off Site Habitat Baseline'!$D$1:$O$258,8,FALSE))))</f>
        <v/>
      </c>
      <c r="K113" s="520" t="str">
        <f>IF(E113="","",IF(ISNA(VLOOKUP($E113,'D-1 Off Site Habitat Baseline'!$D$1:$O$258,9,FALSE)),"",(VLOOKUP($E113,'D-1 Off Site Habitat Baseline'!$D$1:$O$258,9,FALSE))))</f>
        <v/>
      </c>
      <c r="L113" s="520" t="str">
        <f>IF(E113="","",IF(ISNA(VLOOKUP($E113,'D-1 Off Site Habitat Baseline'!$D$1:$O$258,11,FALSE)),"",(VLOOKUP($E113,'D-1 Off Site Habitat Baseline'!$D$1:$O$258,11,FALSE))))</f>
        <v/>
      </c>
      <c r="M113" s="520" t="str">
        <f>IF(E113="","",IF(ISNA(VLOOKUP($E113,'D-1 Off Site Habitat Baseline'!$D$1:$O$258,12,FALSE)),"",(VLOOKUP($E113,'D-1 Off Site Habitat Baseline'!$D$1:$O$258,12,FALSE))))</f>
        <v/>
      </c>
      <c r="N113" s="520" t="str">
        <f>IF(E113="","",IF(ISNA(VLOOKUP($E113,'D-1 Off Site Habitat Baseline'!$D$1:$X$258,14,FALSE)),"",(VLOOKUP($E113,'D-1 Off Site Habitat Baseline'!$D$1:$X$258,14,FALSE))))</f>
        <v/>
      </c>
      <c r="O113" s="524" t="str">
        <f>IF(E113="","",IF(ISNA(VLOOKUP($E113,'D-1 Off Site Habitat Baseline'!$D$1:$X$258,13,FALSE)),"",(VLOOKUP($E113,'D-1 Off Site Habitat Baseline'!$D$1:$X$258,13,FALSE))))</f>
        <v/>
      </c>
      <c r="P113" s="232" t="str">
        <f>IFERROR(INDEX('G-1 All Habitats'!$AG$3:$AG$15,MATCH(Q113,'G-1 All Habitats'!$AF$3:$AF$15,0)),"")</f>
        <v/>
      </c>
      <c r="Q113" s="228" t="str">
        <f t="shared" si="23"/>
        <v/>
      </c>
      <c r="R113" s="229" t="str">
        <f t="shared" si="24"/>
        <v/>
      </c>
      <c r="S113" s="233" t="str">
        <f>IFERROR(INDEX('G-1 All Habitats'!$B$3:$B$129,MATCH(R113,'G-1 All Habitats'!$A$3:$A$129,0)),"")</f>
        <v/>
      </c>
      <c r="T113" s="507" t="str">
        <f t="shared" si="16"/>
        <v/>
      </c>
      <c r="U113" s="524" t="str">
        <f t="shared" si="17"/>
        <v/>
      </c>
      <c r="V113" s="523" t="str">
        <f t="shared" si="14"/>
        <v/>
      </c>
      <c r="W113" s="520" t="str">
        <f>IF(S113="","",VLOOKUP(S113,'G-1 All Habitats'!$B$2:$M$129,10,FALSE))</f>
        <v/>
      </c>
      <c r="X113" s="520" t="str">
        <f>IFERROR(VLOOKUP(W113,'G-1 All Habitats'!$V$3:$W$7,2,FALSE),"")</f>
        <v/>
      </c>
      <c r="Y113" s="203"/>
      <c r="Z113" s="524" t="str">
        <f>IFERROR(INDEX('G-8 Condition Look up'!$A$3:$H$130,MATCH(S113,'G-8 Condition Look up'!$A$3:$A$130,0),MATCH(Y113,'G-8 Condition Look up'!$A$3:$H$3,0)),"")</f>
        <v/>
      </c>
      <c r="AA113" s="145"/>
      <c r="AB113" s="540" t="str">
        <f>IF(AA113="","",IF(VLOOKUP(AA113,'G-3 Multipliers'!$L$3:$N$6,2,FALSE)=0,"Spatial Data Missing ⚠",VLOOKUP(AA113,'G-3 Multipliers'!$L$3:$N$6,2,FALSE)))</f>
        <v/>
      </c>
      <c r="AC113" s="524" t="str">
        <f>IF(AA113="","",IF(VLOOKUP(AA113,'G-3 Multipliers'!$L$3:$N$6,3,FALSE)=0,"Spatial Data Missing ⚠",VLOOKUP(AA113,'G-3 Multipliers'!$L$3:$N$6,3,FALSE)))</f>
        <v/>
      </c>
      <c r="AD113" s="537" t="str">
        <f t="shared" si="15"/>
        <v/>
      </c>
      <c r="AE113" s="203"/>
      <c r="AF113" s="203"/>
      <c r="AG113" s="520" t="str">
        <f t="shared" si="18"/>
        <v/>
      </c>
      <c r="AH113" s="544" t="str">
        <f t="shared" si="19"/>
        <v/>
      </c>
      <c r="AI113" s="525" t="str">
        <f>IF(AH113="Check Data ⚠","Check Data ⚠",IFERROR(VLOOKUP(AH113,'G-4 Temporal multipliers'!$A$4:$C$36,3,FALSE),""))</f>
        <v/>
      </c>
      <c r="AJ113" s="537" t="str">
        <f>IF(S113="","",VLOOKUP(S113,'G-3 Multipliers'!$A$2:$E$129,4,FALSE))</f>
        <v/>
      </c>
      <c r="AK113" s="520" t="str">
        <f t="shared" si="20"/>
        <v/>
      </c>
      <c r="AL113" s="520" t="str">
        <f t="shared" si="21"/>
        <v/>
      </c>
      <c r="AM113" s="524" t="str">
        <f>IFERROR(IF(F113="","",IF(AH113="Check Data ⚠","Check Data ⚠",VLOOKUP(AL113, 'G-3 Multipliers'!$P$2:$Q$6,2,FALSE))),"")</f>
        <v/>
      </c>
      <c r="AN113" s="197"/>
      <c r="AO113" s="540" t="str">
        <f>IF(AN113="","",IF(VLOOKUP(AN113,'G-3 Multipliers'!$S$3:$T$9,2,FALSE)=0,"Spatial Data Missing ⚠",VLOOKUP(AN113,'G-3 Multipliers'!$S$3:$T$9,2,FALSE)))</f>
        <v/>
      </c>
      <c r="AP113" s="513" t="str">
        <f t="shared" si="22"/>
        <v/>
      </c>
      <c r="AQ113" s="231"/>
      <c r="AR113" s="150"/>
    </row>
    <row r="114" spans="1:44" x14ac:dyDescent="0.25">
      <c r="A114" s="31" t="str">
        <f>IF(E114="","",IF(ISNA(VLOOKUP($E114,'D-1 Off Site Habitat Baseline'!$D$1:$O$258,2,FALSE)),"",(VLOOKUP($E114,'D-1 Off Site Habitat Baseline'!$D$1:$O$258,2,FALSE))))</f>
        <v/>
      </c>
      <c r="B114" s="31" t="str">
        <f>IF(E114="","",IF(ISNA(VLOOKUP($E114,'D-1 Off Site Habitat Baseline'!$D$1:$O$258,3,FALSE)),"",(VLOOKUP($E114,'D-1 Off Site Habitat Baseline'!$D$1:$O$258,3,FALSE))))</f>
        <v/>
      </c>
      <c r="C114" s="31" t="str">
        <f>IFERROR(INDEX('G-8 Condition Look up'!$I$4:$I$130,MATCH(S114,'G-8 Condition Look up'!$A$4:$A$130,0)),"")</f>
        <v/>
      </c>
      <c r="E114" s="547" t="str">
        <f>'D-1 Off Site Habitat Baseline'!AL113</f>
        <v/>
      </c>
      <c r="F114" s="520" t="str">
        <f>IF(E114="","",IF(ISNA(VLOOKUP($E114,'D-1 Off Site Habitat Baseline'!$D$1:$O$258,4,FALSE)),"",(VLOOKUP($E114,'D-1 Off Site Habitat Baseline'!$D$1:$O$258,4,FALSE))))</f>
        <v/>
      </c>
      <c r="G114" s="520" t="str">
        <f>IF(E114="","",IF(ISNA(VLOOKUP($E114,'D-1 Off Site Habitat Baseline'!$D$1:$O$258,5,FALSE)),"",(VLOOKUP($E114,'D-1 Off Site Habitat Baseline'!$D$1:$O$258,5,FALSE))))</f>
        <v/>
      </c>
      <c r="H114" s="520" t="str">
        <f>IF(E114="","",IF(ISNA(VLOOKUP($E114,'D-1 Off Site Habitat Baseline'!$D$1:$O$258,6,FALSE)),"",(VLOOKUP($E114,'D-1 Off Site Habitat Baseline'!$D$1:$O$258,6,FALSE))))</f>
        <v/>
      </c>
      <c r="I114" s="520" t="str">
        <f>IF(E114="","",IF(ISNA(VLOOKUP($E114,'D-1 Off Site Habitat Baseline'!$D$1:$O$258,7,FALSE)),"",(VLOOKUP($E114,'D-1 Off Site Habitat Baseline'!$D$1:$O$258,7,FALSE))))</f>
        <v/>
      </c>
      <c r="J114" s="520" t="str">
        <f>IF(E114="","",IF(ISNA(VLOOKUP($E114,'D-1 Off Site Habitat Baseline'!$D$1:$O$258,8,FALSE)),"",(VLOOKUP($E114,'D-1 Off Site Habitat Baseline'!$D$1:$O$258,8,FALSE))))</f>
        <v/>
      </c>
      <c r="K114" s="520" t="str">
        <f>IF(E114="","",IF(ISNA(VLOOKUP($E114,'D-1 Off Site Habitat Baseline'!$D$1:$O$258,9,FALSE)),"",(VLOOKUP($E114,'D-1 Off Site Habitat Baseline'!$D$1:$O$258,9,FALSE))))</f>
        <v/>
      </c>
      <c r="L114" s="520" t="str">
        <f>IF(E114="","",IF(ISNA(VLOOKUP($E114,'D-1 Off Site Habitat Baseline'!$D$1:$O$258,11,FALSE)),"",(VLOOKUP($E114,'D-1 Off Site Habitat Baseline'!$D$1:$O$258,11,FALSE))))</f>
        <v/>
      </c>
      <c r="M114" s="520" t="str">
        <f>IF(E114="","",IF(ISNA(VLOOKUP($E114,'D-1 Off Site Habitat Baseline'!$D$1:$O$258,12,FALSE)),"",(VLOOKUP($E114,'D-1 Off Site Habitat Baseline'!$D$1:$O$258,12,FALSE))))</f>
        <v/>
      </c>
      <c r="N114" s="520" t="str">
        <f>IF(E114="","",IF(ISNA(VLOOKUP($E114,'D-1 Off Site Habitat Baseline'!$D$1:$X$258,14,FALSE)),"",(VLOOKUP($E114,'D-1 Off Site Habitat Baseline'!$D$1:$X$258,14,FALSE))))</f>
        <v/>
      </c>
      <c r="O114" s="524" t="str">
        <f>IF(E114="","",IF(ISNA(VLOOKUP($E114,'D-1 Off Site Habitat Baseline'!$D$1:$X$258,13,FALSE)),"",(VLOOKUP($E114,'D-1 Off Site Habitat Baseline'!$D$1:$X$258,13,FALSE))))</f>
        <v/>
      </c>
      <c r="P114" s="232" t="str">
        <f>IFERROR(INDEX('G-1 All Habitats'!$AG$3:$AG$15,MATCH(Q114,'G-1 All Habitats'!$AF$3:$AF$15,0)),"")</f>
        <v/>
      </c>
      <c r="Q114" s="228" t="str">
        <f t="shared" si="23"/>
        <v/>
      </c>
      <c r="R114" s="229" t="str">
        <f t="shared" si="24"/>
        <v/>
      </c>
      <c r="S114" s="233" t="str">
        <f>IFERROR(INDEX('G-1 All Habitats'!$B$3:$B$129,MATCH(R114,'G-1 All Habitats'!$A$3:$A$129,0)),"")</f>
        <v/>
      </c>
      <c r="T114" s="507" t="str">
        <f t="shared" si="16"/>
        <v/>
      </c>
      <c r="U114" s="524" t="str">
        <f t="shared" si="17"/>
        <v/>
      </c>
      <c r="V114" s="523" t="str">
        <f t="shared" si="14"/>
        <v/>
      </c>
      <c r="W114" s="520" t="str">
        <f>IF(S114="","",VLOOKUP(S114,'G-1 All Habitats'!$B$2:$M$129,10,FALSE))</f>
        <v/>
      </c>
      <c r="X114" s="520" t="str">
        <f>IFERROR(VLOOKUP(W114,'G-1 All Habitats'!$V$3:$W$7,2,FALSE),"")</f>
        <v/>
      </c>
      <c r="Y114" s="203"/>
      <c r="Z114" s="524" t="str">
        <f>IFERROR(INDEX('G-8 Condition Look up'!$A$3:$H$130,MATCH(S114,'G-8 Condition Look up'!$A$3:$A$130,0),MATCH(Y114,'G-8 Condition Look up'!$A$3:$H$3,0)),"")</f>
        <v/>
      </c>
      <c r="AA114" s="145"/>
      <c r="AB114" s="540" t="str">
        <f>IF(AA114="","",IF(VLOOKUP(AA114,'G-3 Multipliers'!$L$3:$N$6,2,FALSE)=0,"Spatial Data Missing ⚠",VLOOKUP(AA114,'G-3 Multipliers'!$L$3:$N$6,2,FALSE)))</f>
        <v/>
      </c>
      <c r="AC114" s="524" t="str">
        <f>IF(AA114="","",IF(VLOOKUP(AA114,'G-3 Multipliers'!$L$3:$N$6,3,FALSE)=0,"Spatial Data Missing ⚠",VLOOKUP(AA114,'G-3 Multipliers'!$L$3:$N$6,3,FALSE)))</f>
        <v/>
      </c>
      <c r="AD114" s="537" t="str">
        <f t="shared" si="15"/>
        <v/>
      </c>
      <c r="AE114" s="203"/>
      <c r="AF114" s="203"/>
      <c r="AG114" s="520" t="str">
        <f t="shared" si="18"/>
        <v/>
      </c>
      <c r="AH114" s="544" t="str">
        <f t="shared" si="19"/>
        <v/>
      </c>
      <c r="AI114" s="525" t="str">
        <f>IF(AH114="Check Data ⚠","Check Data ⚠",IFERROR(VLOOKUP(AH114,'G-4 Temporal multipliers'!$A$4:$C$36,3,FALSE),""))</f>
        <v/>
      </c>
      <c r="AJ114" s="537" t="str">
        <f>IF(S114="","",VLOOKUP(S114,'G-3 Multipliers'!$A$2:$E$129,4,FALSE))</f>
        <v/>
      </c>
      <c r="AK114" s="520" t="str">
        <f t="shared" si="20"/>
        <v/>
      </c>
      <c r="AL114" s="520" t="str">
        <f t="shared" si="21"/>
        <v/>
      </c>
      <c r="AM114" s="524" t="str">
        <f>IFERROR(IF(F114="","",IF(AH114="Check Data ⚠","Check Data ⚠",VLOOKUP(AL114, 'G-3 Multipliers'!$P$2:$Q$6,2,FALSE))),"")</f>
        <v/>
      </c>
      <c r="AN114" s="197"/>
      <c r="AO114" s="540" t="str">
        <f>IF(AN114="","",IF(VLOOKUP(AN114,'G-3 Multipliers'!$S$3:$T$9,2,FALSE)=0,"Spatial Data Missing ⚠",VLOOKUP(AN114,'G-3 Multipliers'!$S$3:$T$9,2,FALSE)))</f>
        <v/>
      </c>
      <c r="AP114" s="513" t="str">
        <f t="shared" si="22"/>
        <v/>
      </c>
      <c r="AQ114" s="231"/>
      <c r="AR114" s="150"/>
    </row>
    <row r="115" spans="1:44" x14ac:dyDescent="0.25">
      <c r="A115" s="31" t="str">
        <f>IF(E115="","",IF(ISNA(VLOOKUP($E115,'D-1 Off Site Habitat Baseline'!$D$1:$O$258,2,FALSE)),"",(VLOOKUP($E115,'D-1 Off Site Habitat Baseline'!$D$1:$O$258,2,FALSE))))</f>
        <v/>
      </c>
      <c r="B115" s="31" t="str">
        <f>IF(E115="","",IF(ISNA(VLOOKUP($E115,'D-1 Off Site Habitat Baseline'!$D$1:$O$258,3,FALSE)),"",(VLOOKUP($E115,'D-1 Off Site Habitat Baseline'!$D$1:$O$258,3,FALSE))))</f>
        <v/>
      </c>
      <c r="C115" s="31" t="str">
        <f>IFERROR(INDEX('G-8 Condition Look up'!$I$4:$I$130,MATCH(S115,'G-8 Condition Look up'!$A$4:$A$130,0)),"")</f>
        <v/>
      </c>
      <c r="E115" s="547" t="str">
        <f>'D-1 Off Site Habitat Baseline'!AL114</f>
        <v/>
      </c>
      <c r="F115" s="520" t="str">
        <f>IF(E115="","",IF(ISNA(VLOOKUP($E115,'D-1 Off Site Habitat Baseline'!$D$1:$O$258,4,FALSE)),"",(VLOOKUP($E115,'D-1 Off Site Habitat Baseline'!$D$1:$O$258,4,FALSE))))</f>
        <v/>
      </c>
      <c r="G115" s="520" t="str">
        <f>IF(E115="","",IF(ISNA(VLOOKUP($E115,'D-1 Off Site Habitat Baseline'!$D$1:$O$258,5,FALSE)),"",(VLOOKUP($E115,'D-1 Off Site Habitat Baseline'!$D$1:$O$258,5,FALSE))))</f>
        <v/>
      </c>
      <c r="H115" s="520" t="str">
        <f>IF(E115="","",IF(ISNA(VLOOKUP($E115,'D-1 Off Site Habitat Baseline'!$D$1:$O$258,6,FALSE)),"",(VLOOKUP($E115,'D-1 Off Site Habitat Baseline'!$D$1:$O$258,6,FALSE))))</f>
        <v/>
      </c>
      <c r="I115" s="520" t="str">
        <f>IF(E115="","",IF(ISNA(VLOOKUP($E115,'D-1 Off Site Habitat Baseline'!$D$1:$O$258,7,FALSE)),"",(VLOOKUP($E115,'D-1 Off Site Habitat Baseline'!$D$1:$O$258,7,FALSE))))</f>
        <v/>
      </c>
      <c r="J115" s="520" t="str">
        <f>IF(E115="","",IF(ISNA(VLOOKUP($E115,'D-1 Off Site Habitat Baseline'!$D$1:$O$258,8,FALSE)),"",(VLOOKUP($E115,'D-1 Off Site Habitat Baseline'!$D$1:$O$258,8,FALSE))))</f>
        <v/>
      </c>
      <c r="K115" s="520" t="str">
        <f>IF(E115="","",IF(ISNA(VLOOKUP($E115,'D-1 Off Site Habitat Baseline'!$D$1:$O$258,9,FALSE)),"",(VLOOKUP($E115,'D-1 Off Site Habitat Baseline'!$D$1:$O$258,9,FALSE))))</f>
        <v/>
      </c>
      <c r="L115" s="520" t="str">
        <f>IF(E115="","",IF(ISNA(VLOOKUP($E115,'D-1 Off Site Habitat Baseline'!$D$1:$O$258,11,FALSE)),"",(VLOOKUP($E115,'D-1 Off Site Habitat Baseline'!$D$1:$O$258,11,FALSE))))</f>
        <v/>
      </c>
      <c r="M115" s="520" t="str">
        <f>IF(E115="","",IF(ISNA(VLOOKUP($E115,'D-1 Off Site Habitat Baseline'!$D$1:$O$258,12,FALSE)),"",(VLOOKUP($E115,'D-1 Off Site Habitat Baseline'!$D$1:$O$258,12,FALSE))))</f>
        <v/>
      </c>
      <c r="N115" s="520" t="str">
        <f>IF(E115="","",IF(ISNA(VLOOKUP($E115,'D-1 Off Site Habitat Baseline'!$D$1:$X$258,14,FALSE)),"",(VLOOKUP($E115,'D-1 Off Site Habitat Baseline'!$D$1:$X$258,14,FALSE))))</f>
        <v/>
      </c>
      <c r="O115" s="524" t="str">
        <f>IF(E115="","",IF(ISNA(VLOOKUP($E115,'D-1 Off Site Habitat Baseline'!$D$1:$X$258,13,FALSE)),"",(VLOOKUP($E115,'D-1 Off Site Habitat Baseline'!$D$1:$X$258,13,FALSE))))</f>
        <v/>
      </c>
      <c r="P115" s="232" t="str">
        <f>IFERROR(INDEX('G-1 All Habitats'!$AG$3:$AG$15,MATCH(Q115,'G-1 All Habitats'!$AF$3:$AF$15,0)),"")</f>
        <v/>
      </c>
      <c r="Q115" s="228" t="str">
        <f t="shared" si="23"/>
        <v/>
      </c>
      <c r="R115" s="229" t="str">
        <f t="shared" si="24"/>
        <v/>
      </c>
      <c r="S115" s="233" t="str">
        <f>IFERROR(INDEX('G-1 All Habitats'!$B$3:$B$129,MATCH(R115,'G-1 All Habitats'!$A$3:$A$129,0)),"")</f>
        <v/>
      </c>
      <c r="T115" s="507" t="str">
        <f t="shared" si="16"/>
        <v/>
      </c>
      <c r="U115" s="524" t="str">
        <f t="shared" si="17"/>
        <v/>
      </c>
      <c r="V115" s="523" t="str">
        <f t="shared" si="14"/>
        <v/>
      </c>
      <c r="W115" s="520" t="str">
        <f>IF(S115="","",VLOOKUP(S115,'G-1 All Habitats'!$B$2:$M$129,10,FALSE))</f>
        <v/>
      </c>
      <c r="X115" s="520" t="str">
        <f>IFERROR(VLOOKUP(W115,'G-1 All Habitats'!$V$3:$W$7,2,FALSE),"")</f>
        <v/>
      </c>
      <c r="Y115" s="203"/>
      <c r="Z115" s="524" t="str">
        <f>IFERROR(INDEX('G-8 Condition Look up'!$A$3:$H$130,MATCH(S115,'G-8 Condition Look up'!$A$3:$A$130,0),MATCH(Y115,'G-8 Condition Look up'!$A$3:$H$3,0)),"")</f>
        <v/>
      </c>
      <c r="AA115" s="145"/>
      <c r="AB115" s="540" t="str">
        <f>IF(AA115="","",IF(VLOOKUP(AA115,'G-3 Multipliers'!$L$3:$N$6,2,FALSE)=0,"Spatial Data Missing ⚠",VLOOKUP(AA115,'G-3 Multipliers'!$L$3:$N$6,2,FALSE)))</f>
        <v/>
      </c>
      <c r="AC115" s="524" t="str">
        <f>IF(AA115="","",IF(VLOOKUP(AA115,'G-3 Multipliers'!$L$3:$N$6,3,FALSE)=0,"Spatial Data Missing ⚠",VLOOKUP(AA115,'G-3 Multipliers'!$L$3:$N$6,3,FALSE)))</f>
        <v/>
      </c>
      <c r="AD115" s="537" t="str">
        <f t="shared" si="15"/>
        <v/>
      </c>
      <c r="AE115" s="203"/>
      <c r="AF115" s="203"/>
      <c r="AG115" s="520" t="str">
        <f t="shared" si="18"/>
        <v/>
      </c>
      <c r="AH115" s="544" t="str">
        <f t="shared" si="19"/>
        <v/>
      </c>
      <c r="AI115" s="525" t="str">
        <f>IF(AH115="Check Data ⚠","Check Data ⚠",IFERROR(VLOOKUP(AH115,'G-4 Temporal multipliers'!$A$4:$C$36,3,FALSE),""))</f>
        <v/>
      </c>
      <c r="AJ115" s="537" t="str">
        <f>IF(S115="","",VLOOKUP(S115,'G-3 Multipliers'!$A$2:$E$129,4,FALSE))</f>
        <v/>
      </c>
      <c r="AK115" s="520" t="str">
        <f t="shared" si="20"/>
        <v/>
      </c>
      <c r="AL115" s="520" t="str">
        <f t="shared" si="21"/>
        <v/>
      </c>
      <c r="AM115" s="524" t="str">
        <f>IFERROR(IF(F115="","",IF(AH115="Check Data ⚠","Check Data ⚠",VLOOKUP(AL115, 'G-3 Multipliers'!$P$2:$Q$6,2,FALSE))),"")</f>
        <v/>
      </c>
      <c r="AN115" s="197"/>
      <c r="AO115" s="540" t="str">
        <f>IF(AN115="","",IF(VLOOKUP(AN115,'G-3 Multipliers'!$S$3:$T$9,2,FALSE)=0,"Spatial Data Missing ⚠",VLOOKUP(AN115,'G-3 Multipliers'!$S$3:$T$9,2,FALSE)))</f>
        <v/>
      </c>
      <c r="AP115" s="513" t="str">
        <f t="shared" si="22"/>
        <v/>
      </c>
      <c r="AQ115" s="231"/>
      <c r="AR115" s="150"/>
    </row>
    <row r="116" spans="1:44" x14ac:dyDescent="0.25">
      <c r="A116" s="31" t="str">
        <f>IF(E116="","",IF(ISNA(VLOOKUP($E116,'D-1 Off Site Habitat Baseline'!$D$1:$O$258,2,FALSE)),"",(VLOOKUP($E116,'D-1 Off Site Habitat Baseline'!$D$1:$O$258,2,FALSE))))</f>
        <v/>
      </c>
      <c r="B116" s="31" t="str">
        <f>IF(E116="","",IF(ISNA(VLOOKUP($E116,'D-1 Off Site Habitat Baseline'!$D$1:$O$258,3,FALSE)),"",(VLOOKUP($E116,'D-1 Off Site Habitat Baseline'!$D$1:$O$258,3,FALSE))))</f>
        <v/>
      </c>
      <c r="C116" s="31" t="str">
        <f>IFERROR(INDEX('G-8 Condition Look up'!$I$4:$I$130,MATCH(S116,'G-8 Condition Look up'!$A$4:$A$130,0)),"")</f>
        <v/>
      </c>
      <c r="E116" s="547" t="str">
        <f>'D-1 Off Site Habitat Baseline'!AL115</f>
        <v/>
      </c>
      <c r="F116" s="520" t="str">
        <f>IF(E116="","",IF(ISNA(VLOOKUP($E116,'D-1 Off Site Habitat Baseline'!$D$1:$O$258,4,FALSE)),"",(VLOOKUP($E116,'D-1 Off Site Habitat Baseline'!$D$1:$O$258,4,FALSE))))</f>
        <v/>
      </c>
      <c r="G116" s="520" t="str">
        <f>IF(E116="","",IF(ISNA(VLOOKUP($E116,'D-1 Off Site Habitat Baseline'!$D$1:$O$258,5,FALSE)),"",(VLOOKUP($E116,'D-1 Off Site Habitat Baseline'!$D$1:$O$258,5,FALSE))))</f>
        <v/>
      </c>
      <c r="H116" s="520" t="str">
        <f>IF(E116="","",IF(ISNA(VLOOKUP($E116,'D-1 Off Site Habitat Baseline'!$D$1:$O$258,6,FALSE)),"",(VLOOKUP($E116,'D-1 Off Site Habitat Baseline'!$D$1:$O$258,6,FALSE))))</f>
        <v/>
      </c>
      <c r="I116" s="520" t="str">
        <f>IF(E116="","",IF(ISNA(VLOOKUP($E116,'D-1 Off Site Habitat Baseline'!$D$1:$O$258,7,FALSE)),"",(VLOOKUP($E116,'D-1 Off Site Habitat Baseline'!$D$1:$O$258,7,FALSE))))</f>
        <v/>
      </c>
      <c r="J116" s="520" t="str">
        <f>IF(E116="","",IF(ISNA(VLOOKUP($E116,'D-1 Off Site Habitat Baseline'!$D$1:$O$258,8,FALSE)),"",(VLOOKUP($E116,'D-1 Off Site Habitat Baseline'!$D$1:$O$258,8,FALSE))))</f>
        <v/>
      </c>
      <c r="K116" s="520" t="str">
        <f>IF(E116="","",IF(ISNA(VLOOKUP($E116,'D-1 Off Site Habitat Baseline'!$D$1:$O$258,9,FALSE)),"",(VLOOKUP($E116,'D-1 Off Site Habitat Baseline'!$D$1:$O$258,9,FALSE))))</f>
        <v/>
      </c>
      <c r="L116" s="520" t="str">
        <f>IF(E116="","",IF(ISNA(VLOOKUP($E116,'D-1 Off Site Habitat Baseline'!$D$1:$O$258,11,FALSE)),"",(VLOOKUP($E116,'D-1 Off Site Habitat Baseline'!$D$1:$O$258,11,FALSE))))</f>
        <v/>
      </c>
      <c r="M116" s="520" t="str">
        <f>IF(E116="","",IF(ISNA(VLOOKUP($E116,'D-1 Off Site Habitat Baseline'!$D$1:$O$258,12,FALSE)),"",(VLOOKUP($E116,'D-1 Off Site Habitat Baseline'!$D$1:$O$258,12,FALSE))))</f>
        <v/>
      </c>
      <c r="N116" s="520" t="str">
        <f>IF(E116="","",IF(ISNA(VLOOKUP($E116,'D-1 Off Site Habitat Baseline'!$D$1:$X$258,14,FALSE)),"",(VLOOKUP($E116,'D-1 Off Site Habitat Baseline'!$D$1:$X$258,14,FALSE))))</f>
        <v/>
      </c>
      <c r="O116" s="524" t="str">
        <f>IF(E116="","",IF(ISNA(VLOOKUP($E116,'D-1 Off Site Habitat Baseline'!$D$1:$X$258,13,FALSE)),"",(VLOOKUP($E116,'D-1 Off Site Habitat Baseline'!$D$1:$X$258,13,FALSE))))</f>
        <v/>
      </c>
      <c r="P116" s="232" t="str">
        <f>IFERROR(INDEX('G-1 All Habitats'!$AG$3:$AG$15,MATCH(Q116,'G-1 All Habitats'!$AF$3:$AF$15,0)),"")</f>
        <v/>
      </c>
      <c r="Q116" s="228" t="str">
        <f t="shared" si="23"/>
        <v/>
      </c>
      <c r="R116" s="229" t="str">
        <f t="shared" si="24"/>
        <v/>
      </c>
      <c r="S116" s="233" t="str">
        <f>IFERROR(INDEX('G-1 All Habitats'!$B$3:$B$129,MATCH(R116,'G-1 All Habitats'!$A$3:$A$129,0)),"")</f>
        <v/>
      </c>
      <c r="T116" s="507" t="str">
        <f t="shared" si="16"/>
        <v/>
      </c>
      <c r="U116" s="524" t="str">
        <f t="shared" si="17"/>
        <v/>
      </c>
      <c r="V116" s="523" t="str">
        <f t="shared" si="14"/>
        <v/>
      </c>
      <c r="W116" s="520" t="str">
        <f>IF(S116="","",VLOOKUP(S116,'G-1 All Habitats'!$B$2:$M$129,10,FALSE))</f>
        <v/>
      </c>
      <c r="X116" s="520" t="str">
        <f>IFERROR(VLOOKUP(W116,'G-1 All Habitats'!$V$3:$W$7,2,FALSE),"")</f>
        <v/>
      </c>
      <c r="Y116" s="203"/>
      <c r="Z116" s="524" t="str">
        <f>IFERROR(INDEX('G-8 Condition Look up'!$A$3:$H$130,MATCH(S116,'G-8 Condition Look up'!$A$3:$A$130,0),MATCH(Y116,'G-8 Condition Look up'!$A$3:$H$3,0)),"")</f>
        <v/>
      </c>
      <c r="AA116" s="145"/>
      <c r="AB116" s="540" t="str">
        <f>IF(AA116="","",IF(VLOOKUP(AA116,'G-3 Multipliers'!$L$3:$N$6,2,FALSE)=0,"Spatial Data Missing ⚠",VLOOKUP(AA116,'G-3 Multipliers'!$L$3:$N$6,2,FALSE)))</f>
        <v/>
      </c>
      <c r="AC116" s="524" t="str">
        <f>IF(AA116="","",IF(VLOOKUP(AA116,'G-3 Multipliers'!$L$3:$N$6,3,FALSE)=0,"Spatial Data Missing ⚠",VLOOKUP(AA116,'G-3 Multipliers'!$L$3:$N$6,3,FALSE)))</f>
        <v/>
      </c>
      <c r="AD116" s="537" t="str">
        <f t="shared" si="15"/>
        <v/>
      </c>
      <c r="AE116" s="203"/>
      <c r="AF116" s="203"/>
      <c r="AG116" s="520" t="str">
        <f t="shared" si="18"/>
        <v/>
      </c>
      <c r="AH116" s="544" t="str">
        <f t="shared" si="19"/>
        <v/>
      </c>
      <c r="AI116" s="525" t="str">
        <f>IF(AH116="Check Data ⚠","Check Data ⚠",IFERROR(VLOOKUP(AH116,'G-4 Temporal multipliers'!$A$4:$C$36,3,FALSE),""))</f>
        <v/>
      </c>
      <c r="AJ116" s="537" t="str">
        <f>IF(S116="","",VLOOKUP(S116,'G-3 Multipliers'!$A$2:$E$129,4,FALSE))</f>
        <v/>
      </c>
      <c r="AK116" s="520" t="str">
        <f t="shared" si="20"/>
        <v/>
      </c>
      <c r="AL116" s="520" t="str">
        <f t="shared" si="21"/>
        <v/>
      </c>
      <c r="AM116" s="524" t="str">
        <f>IFERROR(IF(F116="","",IF(AH116="Check Data ⚠","Check Data ⚠",VLOOKUP(AL116, 'G-3 Multipliers'!$P$2:$Q$6,2,FALSE))),"")</f>
        <v/>
      </c>
      <c r="AN116" s="197"/>
      <c r="AO116" s="540" t="str">
        <f>IF(AN116="","",IF(VLOOKUP(AN116,'G-3 Multipliers'!$S$3:$T$9,2,FALSE)=0,"Spatial Data Missing ⚠",VLOOKUP(AN116,'G-3 Multipliers'!$S$3:$T$9,2,FALSE)))</f>
        <v/>
      </c>
      <c r="AP116" s="513" t="str">
        <f t="shared" si="22"/>
        <v/>
      </c>
      <c r="AQ116" s="231"/>
      <c r="AR116" s="150"/>
    </row>
    <row r="117" spans="1:44" x14ac:dyDescent="0.25">
      <c r="A117" s="31" t="str">
        <f>IF(E117="","",IF(ISNA(VLOOKUP($E117,'D-1 Off Site Habitat Baseline'!$D$1:$O$258,2,FALSE)),"",(VLOOKUP($E117,'D-1 Off Site Habitat Baseline'!$D$1:$O$258,2,FALSE))))</f>
        <v/>
      </c>
      <c r="B117" s="31" t="str">
        <f>IF(E117="","",IF(ISNA(VLOOKUP($E117,'D-1 Off Site Habitat Baseline'!$D$1:$O$258,3,FALSE)),"",(VLOOKUP($E117,'D-1 Off Site Habitat Baseline'!$D$1:$O$258,3,FALSE))))</f>
        <v/>
      </c>
      <c r="C117" s="31" t="str">
        <f>IFERROR(INDEX('G-8 Condition Look up'!$I$4:$I$130,MATCH(S117,'G-8 Condition Look up'!$A$4:$A$130,0)),"")</f>
        <v/>
      </c>
      <c r="E117" s="547" t="str">
        <f>'D-1 Off Site Habitat Baseline'!AL116</f>
        <v/>
      </c>
      <c r="F117" s="520" t="str">
        <f>IF(E117="","",IF(ISNA(VLOOKUP($E117,'D-1 Off Site Habitat Baseline'!$D$1:$O$258,4,FALSE)),"",(VLOOKUP($E117,'D-1 Off Site Habitat Baseline'!$D$1:$O$258,4,FALSE))))</f>
        <v/>
      </c>
      <c r="G117" s="520" t="str">
        <f>IF(E117="","",IF(ISNA(VLOOKUP($E117,'D-1 Off Site Habitat Baseline'!$D$1:$O$258,5,FALSE)),"",(VLOOKUP($E117,'D-1 Off Site Habitat Baseline'!$D$1:$O$258,5,FALSE))))</f>
        <v/>
      </c>
      <c r="H117" s="520" t="str">
        <f>IF(E117="","",IF(ISNA(VLOOKUP($E117,'D-1 Off Site Habitat Baseline'!$D$1:$O$258,6,FALSE)),"",(VLOOKUP($E117,'D-1 Off Site Habitat Baseline'!$D$1:$O$258,6,FALSE))))</f>
        <v/>
      </c>
      <c r="I117" s="520" t="str">
        <f>IF(E117="","",IF(ISNA(VLOOKUP($E117,'D-1 Off Site Habitat Baseline'!$D$1:$O$258,7,FALSE)),"",(VLOOKUP($E117,'D-1 Off Site Habitat Baseline'!$D$1:$O$258,7,FALSE))))</f>
        <v/>
      </c>
      <c r="J117" s="520" t="str">
        <f>IF(E117="","",IF(ISNA(VLOOKUP($E117,'D-1 Off Site Habitat Baseline'!$D$1:$O$258,8,FALSE)),"",(VLOOKUP($E117,'D-1 Off Site Habitat Baseline'!$D$1:$O$258,8,FALSE))))</f>
        <v/>
      </c>
      <c r="K117" s="520" t="str">
        <f>IF(E117="","",IF(ISNA(VLOOKUP($E117,'D-1 Off Site Habitat Baseline'!$D$1:$O$258,9,FALSE)),"",(VLOOKUP($E117,'D-1 Off Site Habitat Baseline'!$D$1:$O$258,9,FALSE))))</f>
        <v/>
      </c>
      <c r="L117" s="520" t="str">
        <f>IF(E117="","",IF(ISNA(VLOOKUP($E117,'D-1 Off Site Habitat Baseline'!$D$1:$O$258,11,FALSE)),"",(VLOOKUP($E117,'D-1 Off Site Habitat Baseline'!$D$1:$O$258,11,FALSE))))</f>
        <v/>
      </c>
      <c r="M117" s="520" t="str">
        <f>IF(E117="","",IF(ISNA(VLOOKUP($E117,'D-1 Off Site Habitat Baseline'!$D$1:$O$258,12,FALSE)),"",(VLOOKUP($E117,'D-1 Off Site Habitat Baseline'!$D$1:$O$258,12,FALSE))))</f>
        <v/>
      </c>
      <c r="N117" s="520" t="str">
        <f>IF(E117="","",IF(ISNA(VLOOKUP($E117,'D-1 Off Site Habitat Baseline'!$D$1:$X$258,14,FALSE)),"",(VLOOKUP($E117,'D-1 Off Site Habitat Baseline'!$D$1:$X$258,14,FALSE))))</f>
        <v/>
      </c>
      <c r="O117" s="524" t="str">
        <f>IF(E117="","",IF(ISNA(VLOOKUP($E117,'D-1 Off Site Habitat Baseline'!$D$1:$X$258,13,FALSE)),"",(VLOOKUP($E117,'D-1 Off Site Habitat Baseline'!$D$1:$X$258,13,FALSE))))</f>
        <v/>
      </c>
      <c r="P117" s="232" t="str">
        <f>IFERROR(INDEX('G-1 All Habitats'!$AG$3:$AG$15,MATCH(Q117,'G-1 All Habitats'!$AF$3:$AF$15,0)),"")</f>
        <v/>
      </c>
      <c r="Q117" s="228" t="str">
        <f t="shared" si="23"/>
        <v/>
      </c>
      <c r="R117" s="229" t="str">
        <f t="shared" si="24"/>
        <v/>
      </c>
      <c r="S117" s="233" t="str">
        <f>IFERROR(INDEX('G-1 All Habitats'!$B$3:$B$129,MATCH(R117,'G-1 All Habitats'!$A$3:$A$129,0)),"")</f>
        <v/>
      </c>
      <c r="T117" s="507" t="str">
        <f t="shared" si="16"/>
        <v/>
      </c>
      <c r="U117" s="524" t="str">
        <f t="shared" si="17"/>
        <v/>
      </c>
      <c r="V117" s="523" t="str">
        <f t="shared" si="14"/>
        <v/>
      </c>
      <c r="W117" s="520" t="str">
        <f>IF(S117="","",VLOOKUP(S117,'G-1 All Habitats'!$B$2:$M$129,10,FALSE))</f>
        <v/>
      </c>
      <c r="X117" s="520" t="str">
        <f>IFERROR(VLOOKUP(W117,'G-1 All Habitats'!$V$3:$W$7,2,FALSE),"")</f>
        <v/>
      </c>
      <c r="Y117" s="203"/>
      <c r="Z117" s="524" t="str">
        <f>IFERROR(INDEX('G-8 Condition Look up'!$A$3:$H$130,MATCH(S117,'G-8 Condition Look up'!$A$3:$A$130,0),MATCH(Y117,'G-8 Condition Look up'!$A$3:$H$3,0)),"")</f>
        <v/>
      </c>
      <c r="AA117" s="145"/>
      <c r="AB117" s="540" t="str">
        <f>IF(AA117="","",IF(VLOOKUP(AA117,'G-3 Multipliers'!$L$3:$N$6,2,FALSE)=0,"Spatial Data Missing ⚠",VLOOKUP(AA117,'G-3 Multipliers'!$L$3:$N$6,2,FALSE)))</f>
        <v/>
      </c>
      <c r="AC117" s="524" t="str">
        <f>IF(AA117="","",IF(VLOOKUP(AA117,'G-3 Multipliers'!$L$3:$N$6,3,FALSE)=0,"Spatial Data Missing ⚠",VLOOKUP(AA117,'G-3 Multipliers'!$L$3:$N$6,3,FALSE)))</f>
        <v/>
      </c>
      <c r="AD117" s="537" t="str">
        <f t="shared" si="15"/>
        <v/>
      </c>
      <c r="AE117" s="203"/>
      <c r="AF117" s="203"/>
      <c r="AG117" s="520" t="str">
        <f t="shared" si="18"/>
        <v/>
      </c>
      <c r="AH117" s="544" t="str">
        <f t="shared" si="19"/>
        <v/>
      </c>
      <c r="AI117" s="525" t="str">
        <f>IF(AH117="Check Data ⚠","Check Data ⚠",IFERROR(VLOOKUP(AH117,'G-4 Temporal multipliers'!$A$4:$C$36,3,FALSE),""))</f>
        <v/>
      </c>
      <c r="AJ117" s="537" t="str">
        <f>IF(S117="","",VLOOKUP(S117,'G-3 Multipliers'!$A$2:$E$129,4,FALSE))</f>
        <v/>
      </c>
      <c r="AK117" s="520" t="str">
        <f t="shared" si="20"/>
        <v/>
      </c>
      <c r="AL117" s="520" t="str">
        <f t="shared" si="21"/>
        <v/>
      </c>
      <c r="AM117" s="524" t="str">
        <f>IFERROR(IF(F117="","",IF(AH117="Check Data ⚠","Check Data ⚠",VLOOKUP(AL117, 'G-3 Multipliers'!$P$2:$Q$6,2,FALSE))),"")</f>
        <v/>
      </c>
      <c r="AN117" s="197"/>
      <c r="AO117" s="540" t="str">
        <f>IF(AN117="","",IF(VLOOKUP(AN117,'G-3 Multipliers'!$S$3:$T$9,2,FALSE)=0,"Spatial Data Missing ⚠",VLOOKUP(AN117,'G-3 Multipliers'!$S$3:$T$9,2,FALSE)))</f>
        <v/>
      </c>
      <c r="AP117" s="513" t="str">
        <f t="shared" si="22"/>
        <v/>
      </c>
      <c r="AQ117" s="231"/>
      <c r="AR117" s="150"/>
    </row>
    <row r="118" spans="1:44" x14ac:dyDescent="0.25">
      <c r="A118" s="31" t="str">
        <f>IF(E118="","",IF(ISNA(VLOOKUP($E118,'D-1 Off Site Habitat Baseline'!$D$1:$O$258,2,FALSE)),"",(VLOOKUP($E118,'D-1 Off Site Habitat Baseline'!$D$1:$O$258,2,FALSE))))</f>
        <v/>
      </c>
      <c r="B118" s="31" t="str">
        <f>IF(E118="","",IF(ISNA(VLOOKUP($E118,'D-1 Off Site Habitat Baseline'!$D$1:$O$258,3,FALSE)),"",(VLOOKUP($E118,'D-1 Off Site Habitat Baseline'!$D$1:$O$258,3,FALSE))))</f>
        <v/>
      </c>
      <c r="C118" s="31" t="str">
        <f>IFERROR(INDEX('G-8 Condition Look up'!$I$4:$I$130,MATCH(S118,'G-8 Condition Look up'!$A$4:$A$130,0)),"")</f>
        <v/>
      </c>
      <c r="E118" s="547" t="str">
        <f>'D-1 Off Site Habitat Baseline'!AL117</f>
        <v/>
      </c>
      <c r="F118" s="520" t="str">
        <f>IF(E118="","",IF(ISNA(VLOOKUP($E118,'D-1 Off Site Habitat Baseline'!$D$1:$O$258,4,FALSE)),"",(VLOOKUP($E118,'D-1 Off Site Habitat Baseline'!$D$1:$O$258,4,FALSE))))</f>
        <v/>
      </c>
      <c r="G118" s="520" t="str">
        <f>IF(E118="","",IF(ISNA(VLOOKUP($E118,'D-1 Off Site Habitat Baseline'!$D$1:$O$258,5,FALSE)),"",(VLOOKUP($E118,'D-1 Off Site Habitat Baseline'!$D$1:$O$258,5,FALSE))))</f>
        <v/>
      </c>
      <c r="H118" s="520" t="str">
        <f>IF(E118="","",IF(ISNA(VLOOKUP($E118,'D-1 Off Site Habitat Baseline'!$D$1:$O$258,6,FALSE)),"",(VLOOKUP($E118,'D-1 Off Site Habitat Baseline'!$D$1:$O$258,6,FALSE))))</f>
        <v/>
      </c>
      <c r="I118" s="520" t="str">
        <f>IF(E118="","",IF(ISNA(VLOOKUP($E118,'D-1 Off Site Habitat Baseline'!$D$1:$O$258,7,FALSE)),"",(VLOOKUP($E118,'D-1 Off Site Habitat Baseline'!$D$1:$O$258,7,FALSE))))</f>
        <v/>
      </c>
      <c r="J118" s="520" t="str">
        <f>IF(E118="","",IF(ISNA(VLOOKUP($E118,'D-1 Off Site Habitat Baseline'!$D$1:$O$258,8,FALSE)),"",(VLOOKUP($E118,'D-1 Off Site Habitat Baseline'!$D$1:$O$258,8,FALSE))))</f>
        <v/>
      </c>
      <c r="K118" s="520" t="str">
        <f>IF(E118="","",IF(ISNA(VLOOKUP($E118,'D-1 Off Site Habitat Baseline'!$D$1:$O$258,9,FALSE)),"",(VLOOKUP($E118,'D-1 Off Site Habitat Baseline'!$D$1:$O$258,9,FALSE))))</f>
        <v/>
      </c>
      <c r="L118" s="520" t="str">
        <f>IF(E118="","",IF(ISNA(VLOOKUP($E118,'D-1 Off Site Habitat Baseline'!$D$1:$O$258,11,FALSE)),"",(VLOOKUP($E118,'D-1 Off Site Habitat Baseline'!$D$1:$O$258,11,FALSE))))</f>
        <v/>
      </c>
      <c r="M118" s="520" t="str">
        <f>IF(E118="","",IF(ISNA(VLOOKUP($E118,'D-1 Off Site Habitat Baseline'!$D$1:$O$258,12,FALSE)),"",(VLOOKUP($E118,'D-1 Off Site Habitat Baseline'!$D$1:$O$258,12,FALSE))))</f>
        <v/>
      </c>
      <c r="N118" s="520" t="str">
        <f>IF(E118="","",IF(ISNA(VLOOKUP($E118,'D-1 Off Site Habitat Baseline'!$D$1:$X$258,14,FALSE)),"",(VLOOKUP($E118,'D-1 Off Site Habitat Baseline'!$D$1:$X$258,14,FALSE))))</f>
        <v/>
      </c>
      <c r="O118" s="524" t="str">
        <f>IF(E118="","",IF(ISNA(VLOOKUP($E118,'D-1 Off Site Habitat Baseline'!$D$1:$X$258,13,FALSE)),"",(VLOOKUP($E118,'D-1 Off Site Habitat Baseline'!$D$1:$X$258,13,FALSE))))</f>
        <v/>
      </c>
      <c r="P118" s="232" t="str">
        <f>IFERROR(INDEX('G-1 All Habitats'!$AG$3:$AG$15,MATCH(Q118,'G-1 All Habitats'!$AF$3:$AF$15,0)),"")</f>
        <v/>
      </c>
      <c r="Q118" s="228" t="str">
        <f t="shared" si="23"/>
        <v/>
      </c>
      <c r="R118" s="229" t="str">
        <f t="shared" si="24"/>
        <v/>
      </c>
      <c r="S118" s="233" t="str">
        <f>IFERROR(INDEX('G-1 All Habitats'!$B$3:$B$129,MATCH(R118,'G-1 All Habitats'!$A$3:$A$129,0)),"")</f>
        <v/>
      </c>
      <c r="T118" s="507" t="str">
        <f t="shared" si="16"/>
        <v/>
      </c>
      <c r="U118" s="524" t="str">
        <f t="shared" si="17"/>
        <v/>
      </c>
      <c r="V118" s="523" t="str">
        <f t="shared" si="14"/>
        <v/>
      </c>
      <c r="W118" s="520" t="str">
        <f>IF(S118="","",VLOOKUP(S118,'G-1 All Habitats'!$B$2:$M$129,10,FALSE))</f>
        <v/>
      </c>
      <c r="X118" s="520" t="str">
        <f>IFERROR(VLOOKUP(W118,'G-1 All Habitats'!$V$3:$W$7,2,FALSE),"")</f>
        <v/>
      </c>
      <c r="Y118" s="203"/>
      <c r="Z118" s="524" t="str">
        <f>IFERROR(INDEX('G-8 Condition Look up'!$A$3:$H$130,MATCH(S118,'G-8 Condition Look up'!$A$3:$A$130,0),MATCH(Y118,'G-8 Condition Look up'!$A$3:$H$3,0)),"")</f>
        <v/>
      </c>
      <c r="AA118" s="145"/>
      <c r="AB118" s="540" t="str">
        <f>IF(AA118="","",IF(VLOOKUP(AA118,'G-3 Multipliers'!$L$3:$N$6,2,FALSE)=0,"Spatial Data Missing ⚠",VLOOKUP(AA118,'G-3 Multipliers'!$L$3:$N$6,2,FALSE)))</f>
        <v/>
      </c>
      <c r="AC118" s="524" t="str">
        <f>IF(AA118="","",IF(VLOOKUP(AA118,'G-3 Multipliers'!$L$3:$N$6,3,FALSE)=0,"Spatial Data Missing ⚠",VLOOKUP(AA118,'G-3 Multipliers'!$L$3:$N$6,3,FALSE)))</f>
        <v/>
      </c>
      <c r="AD118" s="537" t="str">
        <f t="shared" si="15"/>
        <v/>
      </c>
      <c r="AE118" s="203"/>
      <c r="AF118" s="203"/>
      <c r="AG118" s="520" t="str">
        <f t="shared" si="18"/>
        <v/>
      </c>
      <c r="AH118" s="544" t="str">
        <f t="shared" si="19"/>
        <v/>
      </c>
      <c r="AI118" s="525" t="str">
        <f>IF(AH118="Check Data ⚠","Check Data ⚠",IFERROR(VLOOKUP(AH118,'G-4 Temporal multipliers'!$A$4:$C$36,3,FALSE),""))</f>
        <v/>
      </c>
      <c r="AJ118" s="537" t="str">
        <f>IF(S118="","",VLOOKUP(S118,'G-3 Multipliers'!$A$2:$E$129,4,FALSE))</f>
        <v/>
      </c>
      <c r="AK118" s="520" t="str">
        <f t="shared" si="20"/>
        <v/>
      </c>
      <c r="AL118" s="520" t="str">
        <f t="shared" si="21"/>
        <v/>
      </c>
      <c r="AM118" s="524" t="str">
        <f>IFERROR(IF(F118="","",IF(AH118="Check Data ⚠","Check Data ⚠",VLOOKUP(AL118, 'G-3 Multipliers'!$P$2:$Q$6,2,FALSE))),"")</f>
        <v/>
      </c>
      <c r="AN118" s="197"/>
      <c r="AO118" s="540" t="str">
        <f>IF(AN118="","",IF(VLOOKUP(AN118,'G-3 Multipliers'!$S$3:$T$9,2,FALSE)=0,"Spatial Data Missing ⚠",VLOOKUP(AN118,'G-3 Multipliers'!$S$3:$T$9,2,FALSE)))</f>
        <v/>
      </c>
      <c r="AP118" s="513" t="str">
        <f t="shared" si="22"/>
        <v/>
      </c>
      <c r="AQ118" s="231"/>
      <c r="AR118" s="150"/>
    </row>
    <row r="119" spans="1:44" x14ac:dyDescent="0.25">
      <c r="A119" s="31" t="str">
        <f>IF(E119="","",IF(ISNA(VLOOKUP($E119,'D-1 Off Site Habitat Baseline'!$D$1:$O$258,2,FALSE)),"",(VLOOKUP($E119,'D-1 Off Site Habitat Baseline'!$D$1:$O$258,2,FALSE))))</f>
        <v/>
      </c>
      <c r="B119" s="31" t="str">
        <f>IF(E119="","",IF(ISNA(VLOOKUP($E119,'D-1 Off Site Habitat Baseline'!$D$1:$O$258,3,FALSE)),"",(VLOOKUP($E119,'D-1 Off Site Habitat Baseline'!$D$1:$O$258,3,FALSE))))</f>
        <v/>
      </c>
      <c r="C119" s="31" t="str">
        <f>IFERROR(INDEX('G-8 Condition Look up'!$I$4:$I$130,MATCH(S119,'G-8 Condition Look up'!$A$4:$A$130,0)),"")</f>
        <v/>
      </c>
      <c r="E119" s="547" t="str">
        <f>'D-1 Off Site Habitat Baseline'!AL118</f>
        <v/>
      </c>
      <c r="F119" s="520" t="str">
        <f>IF(E119="","",IF(ISNA(VLOOKUP($E119,'D-1 Off Site Habitat Baseline'!$D$1:$O$258,4,FALSE)),"",(VLOOKUP($E119,'D-1 Off Site Habitat Baseline'!$D$1:$O$258,4,FALSE))))</f>
        <v/>
      </c>
      <c r="G119" s="520" t="str">
        <f>IF(E119="","",IF(ISNA(VLOOKUP($E119,'D-1 Off Site Habitat Baseline'!$D$1:$O$258,5,FALSE)),"",(VLOOKUP($E119,'D-1 Off Site Habitat Baseline'!$D$1:$O$258,5,FALSE))))</f>
        <v/>
      </c>
      <c r="H119" s="520" t="str">
        <f>IF(E119="","",IF(ISNA(VLOOKUP($E119,'D-1 Off Site Habitat Baseline'!$D$1:$O$258,6,FALSE)),"",(VLOOKUP($E119,'D-1 Off Site Habitat Baseline'!$D$1:$O$258,6,FALSE))))</f>
        <v/>
      </c>
      <c r="I119" s="520" t="str">
        <f>IF(E119="","",IF(ISNA(VLOOKUP($E119,'D-1 Off Site Habitat Baseline'!$D$1:$O$258,7,FALSE)),"",(VLOOKUP($E119,'D-1 Off Site Habitat Baseline'!$D$1:$O$258,7,FALSE))))</f>
        <v/>
      </c>
      <c r="J119" s="520" t="str">
        <f>IF(E119="","",IF(ISNA(VLOOKUP($E119,'D-1 Off Site Habitat Baseline'!$D$1:$O$258,8,FALSE)),"",(VLOOKUP($E119,'D-1 Off Site Habitat Baseline'!$D$1:$O$258,8,FALSE))))</f>
        <v/>
      </c>
      <c r="K119" s="520" t="str">
        <f>IF(E119="","",IF(ISNA(VLOOKUP($E119,'D-1 Off Site Habitat Baseline'!$D$1:$O$258,9,FALSE)),"",(VLOOKUP($E119,'D-1 Off Site Habitat Baseline'!$D$1:$O$258,9,FALSE))))</f>
        <v/>
      </c>
      <c r="L119" s="520" t="str">
        <f>IF(E119="","",IF(ISNA(VLOOKUP($E119,'D-1 Off Site Habitat Baseline'!$D$1:$O$258,11,FALSE)),"",(VLOOKUP($E119,'D-1 Off Site Habitat Baseline'!$D$1:$O$258,11,FALSE))))</f>
        <v/>
      </c>
      <c r="M119" s="520" t="str">
        <f>IF(E119="","",IF(ISNA(VLOOKUP($E119,'D-1 Off Site Habitat Baseline'!$D$1:$O$258,12,FALSE)),"",(VLOOKUP($E119,'D-1 Off Site Habitat Baseline'!$D$1:$O$258,12,FALSE))))</f>
        <v/>
      </c>
      <c r="N119" s="520" t="str">
        <f>IF(E119="","",IF(ISNA(VLOOKUP($E119,'D-1 Off Site Habitat Baseline'!$D$1:$X$258,14,FALSE)),"",(VLOOKUP($E119,'D-1 Off Site Habitat Baseline'!$D$1:$X$258,14,FALSE))))</f>
        <v/>
      </c>
      <c r="O119" s="524" t="str">
        <f>IF(E119="","",IF(ISNA(VLOOKUP($E119,'D-1 Off Site Habitat Baseline'!$D$1:$X$258,13,FALSE)),"",(VLOOKUP($E119,'D-1 Off Site Habitat Baseline'!$D$1:$X$258,13,FALSE))))</f>
        <v/>
      </c>
      <c r="P119" s="232" t="str">
        <f>IFERROR(INDEX('G-1 All Habitats'!$AG$3:$AG$15,MATCH(Q119,'G-1 All Habitats'!$AF$3:$AF$15,0)),"")</f>
        <v/>
      </c>
      <c r="Q119" s="228" t="str">
        <f t="shared" si="23"/>
        <v/>
      </c>
      <c r="R119" s="229" t="str">
        <f t="shared" si="24"/>
        <v/>
      </c>
      <c r="S119" s="233" t="str">
        <f>IFERROR(INDEX('G-1 All Habitats'!$B$3:$B$129,MATCH(R119,'G-1 All Habitats'!$A$3:$A$129,0)),"")</f>
        <v/>
      </c>
      <c r="T119" s="507" t="str">
        <f t="shared" si="16"/>
        <v/>
      </c>
      <c r="U119" s="524" t="str">
        <f t="shared" si="17"/>
        <v/>
      </c>
      <c r="V119" s="523" t="str">
        <f t="shared" si="14"/>
        <v/>
      </c>
      <c r="W119" s="520" t="str">
        <f>IF(S119="","",VLOOKUP(S119,'G-1 All Habitats'!$B$2:$M$129,10,FALSE))</f>
        <v/>
      </c>
      <c r="X119" s="520" t="str">
        <f>IFERROR(VLOOKUP(W119,'G-1 All Habitats'!$V$3:$W$7,2,FALSE),"")</f>
        <v/>
      </c>
      <c r="Y119" s="203"/>
      <c r="Z119" s="524" t="str">
        <f>IFERROR(INDEX('G-8 Condition Look up'!$A$3:$H$130,MATCH(S119,'G-8 Condition Look up'!$A$3:$A$130,0),MATCH(Y119,'G-8 Condition Look up'!$A$3:$H$3,0)),"")</f>
        <v/>
      </c>
      <c r="AA119" s="145"/>
      <c r="AB119" s="540" t="str">
        <f>IF(AA119="","",IF(VLOOKUP(AA119,'G-3 Multipliers'!$L$3:$N$6,2,FALSE)=0,"Spatial Data Missing ⚠",VLOOKUP(AA119,'G-3 Multipliers'!$L$3:$N$6,2,FALSE)))</f>
        <v/>
      </c>
      <c r="AC119" s="524" t="str">
        <f>IF(AA119="","",IF(VLOOKUP(AA119,'G-3 Multipliers'!$L$3:$N$6,3,FALSE)=0,"Spatial Data Missing ⚠",VLOOKUP(AA119,'G-3 Multipliers'!$L$3:$N$6,3,FALSE)))</f>
        <v/>
      </c>
      <c r="AD119" s="537" t="str">
        <f t="shared" si="15"/>
        <v/>
      </c>
      <c r="AE119" s="203"/>
      <c r="AF119" s="203"/>
      <c r="AG119" s="520" t="str">
        <f t="shared" si="18"/>
        <v/>
      </c>
      <c r="AH119" s="544" t="str">
        <f t="shared" si="19"/>
        <v/>
      </c>
      <c r="AI119" s="525" t="str">
        <f>IF(AH119="Check Data ⚠","Check Data ⚠",IFERROR(VLOOKUP(AH119,'G-4 Temporal multipliers'!$A$4:$C$36,3,FALSE),""))</f>
        <v/>
      </c>
      <c r="AJ119" s="537" t="str">
        <f>IF(S119="","",VLOOKUP(S119,'G-3 Multipliers'!$A$2:$E$129,4,FALSE))</f>
        <v/>
      </c>
      <c r="AK119" s="520" t="str">
        <f t="shared" si="20"/>
        <v/>
      </c>
      <c r="AL119" s="520" t="str">
        <f t="shared" si="21"/>
        <v/>
      </c>
      <c r="AM119" s="524" t="str">
        <f>IFERROR(IF(F119="","",IF(AH119="Check Data ⚠","Check Data ⚠",VLOOKUP(AL119, 'G-3 Multipliers'!$P$2:$Q$6,2,FALSE))),"")</f>
        <v/>
      </c>
      <c r="AN119" s="197"/>
      <c r="AO119" s="540" t="str">
        <f>IF(AN119="","",IF(VLOOKUP(AN119,'G-3 Multipliers'!$S$3:$T$9,2,FALSE)=0,"Spatial Data Missing ⚠",VLOOKUP(AN119,'G-3 Multipliers'!$S$3:$T$9,2,FALSE)))</f>
        <v/>
      </c>
      <c r="AP119" s="513" t="str">
        <f t="shared" si="22"/>
        <v/>
      </c>
      <c r="AQ119" s="231"/>
      <c r="AR119" s="150"/>
    </row>
    <row r="120" spans="1:44" x14ac:dyDescent="0.25">
      <c r="A120" s="31" t="str">
        <f>IF(E120="","",IF(ISNA(VLOOKUP($E120,'D-1 Off Site Habitat Baseline'!$D$1:$O$258,2,FALSE)),"",(VLOOKUP($E120,'D-1 Off Site Habitat Baseline'!$D$1:$O$258,2,FALSE))))</f>
        <v/>
      </c>
      <c r="B120" s="31" t="str">
        <f>IF(E120="","",IF(ISNA(VLOOKUP($E120,'D-1 Off Site Habitat Baseline'!$D$1:$O$258,3,FALSE)),"",(VLOOKUP($E120,'D-1 Off Site Habitat Baseline'!$D$1:$O$258,3,FALSE))))</f>
        <v/>
      </c>
      <c r="C120" s="31" t="str">
        <f>IFERROR(INDEX('G-8 Condition Look up'!$I$4:$I$130,MATCH(S120,'G-8 Condition Look up'!$A$4:$A$130,0)),"")</f>
        <v/>
      </c>
      <c r="E120" s="547" t="str">
        <f>'D-1 Off Site Habitat Baseline'!AL119</f>
        <v/>
      </c>
      <c r="F120" s="520" t="str">
        <f>IF(E120="","",IF(ISNA(VLOOKUP($E120,'D-1 Off Site Habitat Baseline'!$D$1:$O$258,4,FALSE)),"",(VLOOKUP($E120,'D-1 Off Site Habitat Baseline'!$D$1:$O$258,4,FALSE))))</f>
        <v/>
      </c>
      <c r="G120" s="520" t="str">
        <f>IF(E120="","",IF(ISNA(VLOOKUP($E120,'D-1 Off Site Habitat Baseline'!$D$1:$O$258,5,FALSE)),"",(VLOOKUP($E120,'D-1 Off Site Habitat Baseline'!$D$1:$O$258,5,FALSE))))</f>
        <v/>
      </c>
      <c r="H120" s="520" t="str">
        <f>IF(E120="","",IF(ISNA(VLOOKUP($E120,'D-1 Off Site Habitat Baseline'!$D$1:$O$258,6,FALSE)),"",(VLOOKUP($E120,'D-1 Off Site Habitat Baseline'!$D$1:$O$258,6,FALSE))))</f>
        <v/>
      </c>
      <c r="I120" s="520" t="str">
        <f>IF(E120="","",IF(ISNA(VLOOKUP($E120,'D-1 Off Site Habitat Baseline'!$D$1:$O$258,7,FALSE)),"",(VLOOKUP($E120,'D-1 Off Site Habitat Baseline'!$D$1:$O$258,7,FALSE))))</f>
        <v/>
      </c>
      <c r="J120" s="520" t="str">
        <f>IF(E120="","",IF(ISNA(VLOOKUP($E120,'D-1 Off Site Habitat Baseline'!$D$1:$O$258,8,FALSE)),"",(VLOOKUP($E120,'D-1 Off Site Habitat Baseline'!$D$1:$O$258,8,FALSE))))</f>
        <v/>
      </c>
      <c r="K120" s="520" t="str">
        <f>IF(E120="","",IF(ISNA(VLOOKUP($E120,'D-1 Off Site Habitat Baseline'!$D$1:$O$258,9,FALSE)),"",(VLOOKUP($E120,'D-1 Off Site Habitat Baseline'!$D$1:$O$258,9,FALSE))))</f>
        <v/>
      </c>
      <c r="L120" s="520" t="str">
        <f>IF(E120="","",IF(ISNA(VLOOKUP($E120,'D-1 Off Site Habitat Baseline'!$D$1:$O$258,11,FALSE)),"",(VLOOKUP($E120,'D-1 Off Site Habitat Baseline'!$D$1:$O$258,11,FALSE))))</f>
        <v/>
      </c>
      <c r="M120" s="520" t="str">
        <f>IF(E120="","",IF(ISNA(VLOOKUP($E120,'D-1 Off Site Habitat Baseline'!$D$1:$O$258,12,FALSE)),"",(VLOOKUP($E120,'D-1 Off Site Habitat Baseline'!$D$1:$O$258,12,FALSE))))</f>
        <v/>
      </c>
      <c r="N120" s="520" t="str">
        <f>IF(E120="","",IF(ISNA(VLOOKUP($E120,'D-1 Off Site Habitat Baseline'!$D$1:$X$258,14,FALSE)),"",(VLOOKUP($E120,'D-1 Off Site Habitat Baseline'!$D$1:$X$258,14,FALSE))))</f>
        <v/>
      </c>
      <c r="O120" s="524" t="str">
        <f>IF(E120="","",IF(ISNA(VLOOKUP($E120,'D-1 Off Site Habitat Baseline'!$D$1:$X$258,13,FALSE)),"",(VLOOKUP($E120,'D-1 Off Site Habitat Baseline'!$D$1:$X$258,13,FALSE))))</f>
        <v/>
      </c>
      <c r="P120" s="232" t="str">
        <f>IFERROR(INDEX('G-1 All Habitats'!$AG$3:$AG$15,MATCH(Q120,'G-1 All Habitats'!$AF$3:$AF$15,0)),"")</f>
        <v/>
      </c>
      <c r="Q120" s="228" t="str">
        <f t="shared" si="23"/>
        <v/>
      </c>
      <c r="R120" s="229" t="str">
        <f t="shared" si="24"/>
        <v/>
      </c>
      <c r="S120" s="233" t="str">
        <f>IFERROR(INDEX('G-1 All Habitats'!$B$3:$B$129,MATCH(R120,'G-1 All Habitats'!$A$3:$A$129,0)),"")</f>
        <v/>
      </c>
      <c r="T120" s="507" t="str">
        <f t="shared" si="16"/>
        <v/>
      </c>
      <c r="U120" s="524" t="str">
        <f t="shared" si="17"/>
        <v/>
      </c>
      <c r="V120" s="523" t="str">
        <f t="shared" si="14"/>
        <v/>
      </c>
      <c r="W120" s="520" t="str">
        <f>IF(S120="","",VLOOKUP(S120,'G-1 All Habitats'!$B$2:$M$129,10,FALSE))</f>
        <v/>
      </c>
      <c r="X120" s="520" t="str">
        <f>IFERROR(VLOOKUP(W120,'G-1 All Habitats'!$V$3:$W$7,2,FALSE),"")</f>
        <v/>
      </c>
      <c r="Y120" s="203"/>
      <c r="Z120" s="524" t="str">
        <f>IFERROR(INDEX('G-8 Condition Look up'!$A$3:$H$130,MATCH(S120,'G-8 Condition Look up'!$A$3:$A$130,0),MATCH(Y120,'G-8 Condition Look up'!$A$3:$H$3,0)),"")</f>
        <v/>
      </c>
      <c r="AA120" s="145"/>
      <c r="AB120" s="540" t="str">
        <f>IF(AA120="","",IF(VLOOKUP(AA120,'G-3 Multipliers'!$L$3:$N$6,2,FALSE)=0,"Spatial Data Missing ⚠",VLOOKUP(AA120,'G-3 Multipliers'!$L$3:$N$6,2,FALSE)))</f>
        <v/>
      </c>
      <c r="AC120" s="524" t="str">
        <f>IF(AA120="","",IF(VLOOKUP(AA120,'G-3 Multipliers'!$L$3:$N$6,3,FALSE)=0,"Spatial Data Missing ⚠",VLOOKUP(AA120,'G-3 Multipliers'!$L$3:$N$6,3,FALSE)))</f>
        <v/>
      </c>
      <c r="AD120" s="537" t="str">
        <f t="shared" si="15"/>
        <v/>
      </c>
      <c r="AE120" s="203"/>
      <c r="AF120" s="203"/>
      <c r="AG120" s="520" t="str">
        <f t="shared" si="18"/>
        <v/>
      </c>
      <c r="AH120" s="544" t="str">
        <f t="shared" si="19"/>
        <v/>
      </c>
      <c r="AI120" s="525" t="str">
        <f>IF(AH120="Check Data ⚠","Check Data ⚠",IFERROR(VLOOKUP(AH120,'G-4 Temporal multipliers'!$A$4:$C$36,3,FALSE),""))</f>
        <v/>
      </c>
      <c r="AJ120" s="537" t="str">
        <f>IF(S120="","",VLOOKUP(S120,'G-3 Multipliers'!$A$2:$E$129,4,FALSE))</f>
        <v/>
      </c>
      <c r="AK120" s="520" t="str">
        <f t="shared" si="20"/>
        <v/>
      </c>
      <c r="AL120" s="520" t="str">
        <f t="shared" si="21"/>
        <v/>
      </c>
      <c r="AM120" s="524" t="str">
        <f>IFERROR(IF(F120="","",IF(AH120="Check Data ⚠","Check Data ⚠",VLOOKUP(AL120, 'G-3 Multipliers'!$P$2:$Q$6,2,FALSE))),"")</f>
        <v/>
      </c>
      <c r="AN120" s="197"/>
      <c r="AO120" s="540" t="str">
        <f>IF(AN120="","",IF(VLOOKUP(AN120,'G-3 Multipliers'!$S$3:$T$9,2,FALSE)=0,"Spatial Data Missing ⚠",VLOOKUP(AN120,'G-3 Multipliers'!$S$3:$T$9,2,FALSE)))</f>
        <v/>
      </c>
      <c r="AP120" s="513" t="str">
        <f t="shared" si="22"/>
        <v/>
      </c>
      <c r="AQ120" s="231"/>
      <c r="AR120" s="150"/>
    </row>
    <row r="121" spans="1:44" x14ac:dyDescent="0.25">
      <c r="A121" s="31" t="str">
        <f>IF(E121="","",IF(ISNA(VLOOKUP($E121,'D-1 Off Site Habitat Baseline'!$D$1:$O$258,2,FALSE)),"",(VLOOKUP($E121,'D-1 Off Site Habitat Baseline'!$D$1:$O$258,2,FALSE))))</f>
        <v/>
      </c>
      <c r="B121" s="31" t="str">
        <f>IF(E121="","",IF(ISNA(VLOOKUP($E121,'D-1 Off Site Habitat Baseline'!$D$1:$O$258,3,FALSE)),"",(VLOOKUP($E121,'D-1 Off Site Habitat Baseline'!$D$1:$O$258,3,FALSE))))</f>
        <v/>
      </c>
      <c r="C121" s="31" t="str">
        <f>IFERROR(INDEX('G-8 Condition Look up'!$I$4:$I$130,MATCH(S121,'G-8 Condition Look up'!$A$4:$A$130,0)),"")</f>
        <v/>
      </c>
      <c r="E121" s="547" t="str">
        <f>'D-1 Off Site Habitat Baseline'!AL120</f>
        <v/>
      </c>
      <c r="F121" s="520" t="str">
        <f>IF(E121="","",IF(ISNA(VLOOKUP($E121,'D-1 Off Site Habitat Baseline'!$D$1:$O$258,4,FALSE)),"",(VLOOKUP($E121,'D-1 Off Site Habitat Baseline'!$D$1:$O$258,4,FALSE))))</f>
        <v/>
      </c>
      <c r="G121" s="520" t="str">
        <f>IF(E121="","",IF(ISNA(VLOOKUP($E121,'D-1 Off Site Habitat Baseline'!$D$1:$O$258,5,FALSE)),"",(VLOOKUP($E121,'D-1 Off Site Habitat Baseline'!$D$1:$O$258,5,FALSE))))</f>
        <v/>
      </c>
      <c r="H121" s="520" t="str">
        <f>IF(E121="","",IF(ISNA(VLOOKUP($E121,'D-1 Off Site Habitat Baseline'!$D$1:$O$258,6,FALSE)),"",(VLOOKUP($E121,'D-1 Off Site Habitat Baseline'!$D$1:$O$258,6,FALSE))))</f>
        <v/>
      </c>
      <c r="I121" s="520" t="str">
        <f>IF(E121="","",IF(ISNA(VLOOKUP($E121,'D-1 Off Site Habitat Baseline'!$D$1:$O$258,7,FALSE)),"",(VLOOKUP($E121,'D-1 Off Site Habitat Baseline'!$D$1:$O$258,7,FALSE))))</f>
        <v/>
      </c>
      <c r="J121" s="520" t="str">
        <f>IF(E121="","",IF(ISNA(VLOOKUP($E121,'D-1 Off Site Habitat Baseline'!$D$1:$O$258,8,FALSE)),"",(VLOOKUP($E121,'D-1 Off Site Habitat Baseline'!$D$1:$O$258,8,FALSE))))</f>
        <v/>
      </c>
      <c r="K121" s="520" t="str">
        <f>IF(E121="","",IF(ISNA(VLOOKUP($E121,'D-1 Off Site Habitat Baseline'!$D$1:$O$258,9,FALSE)),"",(VLOOKUP($E121,'D-1 Off Site Habitat Baseline'!$D$1:$O$258,9,FALSE))))</f>
        <v/>
      </c>
      <c r="L121" s="520" t="str">
        <f>IF(E121="","",IF(ISNA(VLOOKUP($E121,'D-1 Off Site Habitat Baseline'!$D$1:$O$258,11,FALSE)),"",(VLOOKUP($E121,'D-1 Off Site Habitat Baseline'!$D$1:$O$258,11,FALSE))))</f>
        <v/>
      </c>
      <c r="M121" s="520" t="str">
        <f>IF(E121="","",IF(ISNA(VLOOKUP($E121,'D-1 Off Site Habitat Baseline'!$D$1:$O$258,12,FALSE)),"",(VLOOKUP($E121,'D-1 Off Site Habitat Baseline'!$D$1:$O$258,12,FALSE))))</f>
        <v/>
      </c>
      <c r="N121" s="520" t="str">
        <f>IF(E121="","",IF(ISNA(VLOOKUP($E121,'D-1 Off Site Habitat Baseline'!$D$1:$X$258,14,FALSE)),"",(VLOOKUP($E121,'D-1 Off Site Habitat Baseline'!$D$1:$X$258,14,FALSE))))</f>
        <v/>
      </c>
      <c r="O121" s="524" t="str">
        <f>IF(E121="","",IF(ISNA(VLOOKUP($E121,'D-1 Off Site Habitat Baseline'!$D$1:$X$258,13,FALSE)),"",(VLOOKUP($E121,'D-1 Off Site Habitat Baseline'!$D$1:$X$258,13,FALSE))))</f>
        <v/>
      </c>
      <c r="P121" s="232" t="str">
        <f>IFERROR(INDEX('G-1 All Habitats'!$AG$3:$AG$15,MATCH(Q121,'G-1 All Habitats'!$AF$3:$AF$15,0)),"")</f>
        <v/>
      </c>
      <c r="Q121" s="228" t="str">
        <f t="shared" si="23"/>
        <v/>
      </c>
      <c r="R121" s="229" t="str">
        <f t="shared" si="24"/>
        <v/>
      </c>
      <c r="S121" s="233" t="str">
        <f>IFERROR(INDEX('G-1 All Habitats'!$B$3:$B$129,MATCH(R121,'G-1 All Habitats'!$A$3:$A$129,0)),"")</f>
        <v/>
      </c>
      <c r="T121" s="507" t="str">
        <f t="shared" si="16"/>
        <v/>
      </c>
      <c r="U121" s="524" t="str">
        <f t="shared" si="17"/>
        <v/>
      </c>
      <c r="V121" s="523" t="str">
        <f t="shared" si="14"/>
        <v/>
      </c>
      <c r="W121" s="520" t="str">
        <f>IF(S121="","",VLOOKUP(S121,'G-1 All Habitats'!$B$2:$M$129,10,FALSE))</f>
        <v/>
      </c>
      <c r="X121" s="520" t="str">
        <f>IFERROR(VLOOKUP(W121,'G-1 All Habitats'!$V$3:$W$7,2,FALSE),"")</f>
        <v/>
      </c>
      <c r="Y121" s="203"/>
      <c r="Z121" s="524" t="str">
        <f>IFERROR(INDEX('G-8 Condition Look up'!$A$3:$H$130,MATCH(S121,'G-8 Condition Look up'!$A$3:$A$130,0),MATCH(Y121,'G-8 Condition Look up'!$A$3:$H$3,0)),"")</f>
        <v/>
      </c>
      <c r="AA121" s="145"/>
      <c r="AB121" s="540" t="str">
        <f>IF(AA121="","",IF(VLOOKUP(AA121,'G-3 Multipliers'!$L$3:$N$6,2,FALSE)=0,"Spatial Data Missing ⚠",VLOOKUP(AA121,'G-3 Multipliers'!$L$3:$N$6,2,FALSE)))</f>
        <v/>
      </c>
      <c r="AC121" s="524" t="str">
        <f>IF(AA121="","",IF(VLOOKUP(AA121,'G-3 Multipliers'!$L$3:$N$6,3,FALSE)=0,"Spatial Data Missing ⚠",VLOOKUP(AA121,'G-3 Multipliers'!$L$3:$N$6,3,FALSE)))</f>
        <v/>
      </c>
      <c r="AD121" s="537" t="str">
        <f t="shared" si="15"/>
        <v/>
      </c>
      <c r="AE121" s="203"/>
      <c r="AF121" s="203"/>
      <c r="AG121" s="520" t="str">
        <f t="shared" si="18"/>
        <v/>
      </c>
      <c r="AH121" s="544" t="str">
        <f t="shared" si="19"/>
        <v/>
      </c>
      <c r="AI121" s="525" t="str">
        <f>IF(AH121="Check Data ⚠","Check Data ⚠",IFERROR(VLOOKUP(AH121,'G-4 Temporal multipliers'!$A$4:$C$36,3,FALSE),""))</f>
        <v/>
      </c>
      <c r="AJ121" s="537" t="str">
        <f>IF(S121="","",VLOOKUP(S121,'G-3 Multipliers'!$A$2:$E$129,4,FALSE))</f>
        <v/>
      </c>
      <c r="AK121" s="520" t="str">
        <f t="shared" si="20"/>
        <v/>
      </c>
      <c r="AL121" s="520" t="str">
        <f t="shared" si="21"/>
        <v/>
      </c>
      <c r="AM121" s="524" t="str">
        <f>IFERROR(IF(F121="","",IF(AH121="Check Data ⚠","Check Data ⚠",VLOOKUP(AL121, 'G-3 Multipliers'!$P$2:$Q$6,2,FALSE))),"")</f>
        <v/>
      </c>
      <c r="AN121" s="197"/>
      <c r="AO121" s="540" t="str">
        <f>IF(AN121="","",IF(VLOOKUP(AN121,'G-3 Multipliers'!$S$3:$T$9,2,FALSE)=0,"Spatial Data Missing ⚠",VLOOKUP(AN121,'G-3 Multipliers'!$S$3:$T$9,2,FALSE)))</f>
        <v/>
      </c>
      <c r="AP121" s="513" t="str">
        <f t="shared" si="22"/>
        <v/>
      </c>
      <c r="AQ121" s="231"/>
      <c r="AR121" s="150"/>
    </row>
    <row r="122" spans="1:44" x14ac:dyDescent="0.25">
      <c r="A122" s="31" t="str">
        <f>IF(E122="","",IF(ISNA(VLOOKUP($E122,'D-1 Off Site Habitat Baseline'!$D$1:$O$258,2,FALSE)),"",(VLOOKUP($E122,'D-1 Off Site Habitat Baseline'!$D$1:$O$258,2,FALSE))))</f>
        <v/>
      </c>
      <c r="B122" s="31" t="str">
        <f>IF(E122="","",IF(ISNA(VLOOKUP($E122,'D-1 Off Site Habitat Baseline'!$D$1:$O$258,3,FALSE)),"",(VLOOKUP($E122,'D-1 Off Site Habitat Baseline'!$D$1:$O$258,3,FALSE))))</f>
        <v/>
      </c>
      <c r="C122" s="31" t="str">
        <f>IFERROR(INDEX('G-8 Condition Look up'!$I$4:$I$130,MATCH(S122,'G-8 Condition Look up'!$A$4:$A$130,0)),"")</f>
        <v/>
      </c>
      <c r="E122" s="547" t="str">
        <f>'D-1 Off Site Habitat Baseline'!AL121</f>
        <v/>
      </c>
      <c r="F122" s="520" t="str">
        <f>IF(E122="","",IF(ISNA(VLOOKUP($E122,'D-1 Off Site Habitat Baseline'!$D$1:$O$258,4,FALSE)),"",(VLOOKUP($E122,'D-1 Off Site Habitat Baseline'!$D$1:$O$258,4,FALSE))))</f>
        <v/>
      </c>
      <c r="G122" s="520" t="str">
        <f>IF(E122="","",IF(ISNA(VLOOKUP($E122,'D-1 Off Site Habitat Baseline'!$D$1:$O$258,5,FALSE)),"",(VLOOKUP($E122,'D-1 Off Site Habitat Baseline'!$D$1:$O$258,5,FALSE))))</f>
        <v/>
      </c>
      <c r="H122" s="520" t="str">
        <f>IF(E122="","",IF(ISNA(VLOOKUP($E122,'D-1 Off Site Habitat Baseline'!$D$1:$O$258,6,FALSE)),"",(VLOOKUP($E122,'D-1 Off Site Habitat Baseline'!$D$1:$O$258,6,FALSE))))</f>
        <v/>
      </c>
      <c r="I122" s="520" t="str">
        <f>IF(E122="","",IF(ISNA(VLOOKUP($E122,'D-1 Off Site Habitat Baseline'!$D$1:$O$258,7,FALSE)),"",(VLOOKUP($E122,'D-1 Off Site Habitat Baseline'!$D$1:$O$258,7,FALSE))))</f>
        <v/>
      </c>
      <c r="J122" s="520" t="str">
        <f>IF(E122="","",IF(ISNA(VLOOKUP($E122,'D-1 Off Site Habitat Baseline'!$D$1:$O$258,8,FALSE)),"",(VLOOKUP($E122,'D-1 Off Site Habitat Baseline'!$D$1:$O$258,8,FALSE))))</f>
        <v/>
      </c>
      <c r="K122" s="520" t="str">
        <f>IF(E122="","",IF(ISNA(VLOOKUP($E122,'D-1 Off Site Habitat Baseline'!$D$1:$O$258,9,FALSE)),"",(VLOOKUP($E122,'D-1 Off Site Habitat Baseline'!$D$1:$O$258,9,FALSE))))</f>
        <v/>
      </c>
      <c r="L122" s="520" t="str">
        <f>IF(E122="","",IF(ISNA(VLOOKUP($E122,'D-1 Off Site Habitat Baseline'!$D$1:$O$258,11,FALSE)),"",(VLOOKUP($E122,'D-1 Off Site Habitat Baseline'!$D$1:$O$258,11,FALSE))))</f>
        <v/>
      </c>
      <c r="M122" s="520" t="str">
        <f>IF(E122="","",IF(ISNA(VLOOKUP($E122,'D-1 Off Site Habitat Baseline'!$D$1:$O$258,12,FALSE)),"",(VLOOKUP($E122,'D-1 Off Site Habitat Baseline'!$D$1:$O$258,12,FALSE))))</f>
        <v/>
      </c>
      <c r="N122" s="520" t="str">
        <f>IF(E122="","",IF(ISNA(VLOOKUP($E122,'D-1 Off Site Habitat Baseline'!$D$1:$X$258,14,FALSE)),"",(VLOOKUP($E122,'D-1 Off Site Habitat Baseline'!$D$1:$X$258,14,FALSE))))</f>
        <v/>
      </c>
      <c r="O122" s="524" t="str">
        <f>IF(E122="","",IF(ISNA(VLOOKUP($E122,'D-1 Off Site Habitat Baseline'!$D$1:$X$258,13,FALSE)),"",(VLOOKUP($E122,'D-1 Off Site Habitat Baseline'!$D$1:$X$258,13,FALSE))))</f>
        <v/>
      </c>
      <c r="P122" s="232" t="str">
        <f>IFERROR(INDEX('G-1 All Habitats'!$AG$3:$AG$15,MATCH(Q122,'G-1 All Habitats'!$AF$3:$AF$15,0)),"")</f>
        <v/>
      </c>
      <c r="Q122" s="228" t="str">
        <f t="shared" si="23"/>
        <v/>
      </c>
      <c r="R122" s="229" t="str">
        <f t="shared" si="24"/>
        <v/>
      </c>
      <c r="S122" s="233" t="str">
        <f>IFERROR(INDEX('G-1 All Habitats'!$B$3:$B$129,MATCH(R122,'G-1 All Habitats'!$A$3:$A$129,0)),"")</f>
        <v/>
      </c>
      <c r="T122" s="507" t="str">
        <f t="shared" si="16"/>
        <v/>
      </c>
      <c r="U122" s="524" t="str">
        <f t="shared" si="17"/>
        <v/>
      </c>
      <c r="V122" s="523" t="str">
        <f t="shared" si="14"/>
        <v/>
      </c>
      <c r="W122" s="520" t="str">
        <f>IF(S122="","",VLOOKUP(S122,'G-1 All Habitats'!$B$2:$M$129,10,FALSE))</f>
        <v/>
      </c>
      <c r="X122" s="520" t="str">
        <f>IFERROR(VLOOKUP(W122,'G-1 All Habitats'!$V$3:$W$7,2,FALSE),"")</f>
        <v/>
      </c>
      <c r="Y122" s="203"/>
      <c r="Z122" s="524" t="str">
        <f>IFERROR(INDEX('G-8 Condition Look up'!$A$3:$H$130,MATCH(S122,'G-8 Condition Look up'!$A$3:$A$130,0),MATCH(Y122,'G-8 Condition Look up'!$A$3:$H$3,0)),"")</f>
        <v/>
      </c>
      <c r="AA122" s="145"/>
      <c r="AB122" s="540" t="str">
        <f>IF(AA122="","",IF(VLOOKUP(AA122,'G-3 Multipliers'!$L$3:$N$6,2,FALSE)=0,"Spatial Data Missing ⚠",VLOOKUP(AA122,'G-3 Multipliers'!$L$3:$N$6,2,FALSE)))</f>
        <v/>
      </c>
      <c r="AC122" s="524" t="str">
        <f>IF(AA122="","",IF(VLOOKUP(AA122,'G-3 Multipliers'!$L$3:$N$6,3,FALSE)=0,"Spatial Data Missing ⚠",VLOOKUP(AA122,'G-3 Multipliers'!$L$3:$N$6,3,FALSE)))</f>
        <v/>
      </c>
      <c r="AD122" s="537" t="str">
        <f t="shared" si="15"/>
        <v/>
      </c>
      <c r="AE122" s="203"/>
      <c r="AF122" s="203"/>
      <c r="AG122" s="520" t="str">
        <f t="shared" si="18"/>
        <v/>
      </c>
      <c r="AH122" s="544" t="str">
        <f t="shared" si="19"/>
        <v/>
      </c>
      <c r="AI122" s="525" t="str">
        <f>IF(AH122="Check Data ⚠","Check Data ⚠",IFERROR(VLOOKUP(AH122,'G-4 Temporal multipliers'!$A$4:$C$36,3,FALSE),""))</f>
        <v/>
      </c>
      <c r="AJ122" s="537" t="str">
        <f>IF(S122="","",VLOOKUP(S122,'G-3 Multipliers'!$A$2:$E$129,4,FALSE))</f>
        <v/>
      </c>
      <c r="AK122" s="520" t="str">
        <f t="shared" si="20"/>
        <v/>
      </c>
      <c r="AL122" s="520" t="str">
        <f t="shared" si="21"/>
        <v/>
      </c>
      <c r="AM122" s="524" t="str">
        <f>IFERROR(IF(F122="","",IF(AH122="Check Data ⚠","Check Data ⚠",VLOOKUP(AL122, 'G-3 Multipliers'!$P$2:$Q$6,2,FALSE))),"")</f>
        <v/>
      </c>
      <c r="AN122" s="197"/>
      <c r="AO122" s="540" t="str">
        <f>IF(AN122="","",IF(VLOOKUP(AN122,'G-3 Multipliers'!$S$3:$T$9,2,FALSE)=0,"Spatial Data Missing ⚠",VLOOKUP(AN122,'G-3 Multipliers'!$S$3:$T$9,2,FALSE)))</f>
        <v/>
      </c>
      <c r="AP122" s="513" t="str">
        <f t="shared" si="22"/>
        <v/>
      </c>
      <c r="AQ122" s="231"/>
      <c r="AR122" s="150"/>
    </row>
    <row r="123" spans="1:44" x14ac:dyDescent="0.25">
      <c r="A123" s="31" t="str">
        <f>IF(E123="","",IF(ISNA(VLOOKUP($E123,'D-1 Off Site Habitat Baseline'!$D$1:$O$258,2,FALSE)),"",(VLOOKUP($E123,'D-1 Off Site Habitat Baseline'!$D$1:$O$258,2,FALSE))))</f>
        <v/>
      </c>
      <c r="B123" s="31" t="str">
        <f>IF(E123="","",IF(ISNA(VLOOKUP($E123,'D-1 Off Site Habitat Baseline'!$D$1:$O$258,3,FALSE)),"",(VLOOKUP($E123,'D-1 Off Site Habitat Baseline'!$D$1:$O$258,3,FALSE))))</f>
        <v/>
      </c>
      <c r="C123" s="31" t="str">
        <f>IFERROR(INDEX('G-8 Condition Look up'!$I$4:$I$130,MATCH(S123,'G-8 Condition Look up'!$A$4:$A$130,0)),"")</f>
        <v/>
      </c>
      <c r="E123" s="547" t="str">
        <f>'D-1 Off Site Habitat Baseline'!AL122</f>
        <v/>
      </c>
      <c r="F123" s="520" t="str">
        <f>IF(E123="","",IF(ISNA(VLOOKUP($E123,'D-1 Off Site Habitat Baseline'!$D$1:$O$258,4,FALSE)),"",(VLOOKUP($E123,'D-1 Off Site Habitat Baseline'!$D$1:$O$258,4,FALSE))))</f>
        <v/>
      </c>
      <c r="G123" s="520" t="str">
        <f>IF(E123="","",IF(ISNA(VLOOKUP($E123,'D-1 Off Site Habitat Baseline'!$D$1:$O$258,5,FALSE)),"",(VLOOKUP($E123,'D-1 Off Site Habitat Baseline'!$D$1:$O$258,5,FALSE))))</f>
        <v/>
      </c>
      <c r="H123" s="520" t="str">
        <f>IF(E123="","",IF(ISNA(VLOOKUP($E123,'D-1 Off Site Habitat Baseline'!$D$1:$O$258,6,FALSE)),"",(VLOOKUP($E123,'D-1 Off Site Habitat Baseline'!$D$1:$O$258,6,FALSE))))</f>
        <v/>
      </c>
      <c r="I123" s="520" t="str">
        <f>IF(E123="","",IF(ISNA(VLOOKUP($E123,'D-1 Off Site Habitat Baseline'!$D$1:$O$258,7,FALSE)),"",(VLOOKUP($E123,'D-1 Off Site Habitat Baseline'!$D$1:$O$258,7,FALSE))))</f>
        <v/>
      </c>
      <c r="J123" s="520" t="str">
        <f>IF(E123="","",IF(ISNA(VLOOKUP($E123,'D-1 Off Site Habitat Baseline'!$D$1:$O$258,8,FALSE)),"",(VLOOKUP($E123,'D-1 Off Site Habitat Baseline'!$D$1:$O$258,8,FALSE))))</f>
        <v/>
      </c>
      <c r="K123" s="520" t="str">
        <f>IF(E123="","",IF(ISNA(VLOOKUP($E123,'D-1 Off Site Habitat Baseline'!$D$1:$O$258,9,FALSE)),"",(VLOOKUP($E123,'D-1 Off Site Habitat Baseline'!$D$1:$O$258,9,FALSE))))</f>
        <v/>
      </c>
      <c r="L123" s="520" t="str">
        <f>IF(E123="","",IF(ISNA(VLOOKUP($E123,'D-1 Off Site Habitat Baseline'!$D$1:$O$258,11,FALSE)),"",(VLOOKUP($E123,'D-1 Off Site Habitat Baseline'!$D$1:$O$258,11,FALSE))))</f>
        <v/>
      </c>
      <c r="M123" s="520" t="str">
        <f>IF(E123="","",IF(ISNA(VLOOKUP($E123,'D-1 Off Site Habitat Baseline'!$D$1:$O$258,12,FALSE)),"",(VLOOKUP($E123,'D-1 Off Site Habitat Baseline'!$D$1:$O$258,12,FALSE))))</f>
        <v/>
      </c>
      <c r="N123" s="520" t="str">
        <f>IF(E123="","",IF(ISNA(VLOOKUP($E123,'D-1 Off Site Habitat Baseline'!$D$1:$X$258,14,FALSE)),"",(VLOOKUP($E123,'D-1 Off Site Habitat Baseline'!$D$1:$X$258,14,FALSE))))</f>
        <v/>
      </c>
      <c r="O123" s="524" t="str">
        <f>IF(E123="","",IF(ISNA(VLOOKUP($E123,'D-1 Off Site Habitat Baseline'!$D$1:$X$258,13,FALSE)),"",(VLOOKUP($E123,'D-1 Off Site Habitat Baseline'!$D$1:$X$258,13,FALSE))))</f>
        <v/>
      </c>
      <c r="P123" s="232" t="str">
        <f>IFERROR(INDEX('G-1 All Habitats'!$AG$3:$AG$15,MATCH(Q123,'G-1 All Habitats'!$AF$3:$AF$15,0)),"")</f>
        <v/>
      </c>
      <c r="Q123" s="228" t="str">
        <f t="shared" si="23"/>
        <v/>
      </c>
      <c r="R123" s="229" t="str">
        <f t="shared" si="24"/>
        <v/>
      </c>
      <c r="S123" s="233" t="str">
        <f>IFERROR(INDEX('G-1 All Habitats'!$B$3:$B$129,MATCH(R123,'G-1 All Habitats'!$A$3:$A$129,0)),"")</f>
        <v/>
      </c>
      <c r="T123" s="507" t="str">
        <f t="shared" si="16"/>
        <v/>
      </c>
      <c r="U123" s="524" t="str">
        <f t="shared" si="17"/>
        <v/>
      </c>
      <c r="V123" s="523" t="str">
        <f t="shared" si="14"/>
        <v/>
      </c>
      <c r="W123" s="520" t="str">
        <f>IF(S123="","",VLOOKUP(S123,'G-1 All Habitats'!$B$2:$M$129,10,FALSE))</f>
        <v/>
      </c>
      <c r="X123" s="520" t="str">
        <f>IFERROR(VLOOKUP(W123,'G-1 All Habitats'!$V$3:$W$7,2,FALSE),"")</f>
        <v/>
      </c>
      <c r="Y123" s="203"/>
      <c r="Z123" s="524" t="str">
        <f>IFERROR(INDEX('G-8 Condition Look up'!$A$3:$H$130,MATCH(S123,'G-8 Condition Look up'!$A$3:$A$130,0),MATCH(Y123,'G-8 Condition Look up'!$A$3:$H$3,0)),"")</f>
        <v/>
      </c>
      <c r="AA123" s="145"/>
      <c r="AB123" s="540" t="str">
        <f>IF(AA123="","",IF(VLOOKUP(AA123,'G-3 Multipliers'!$L$3:$N$6,2,FALSE)=0,"Spatial Data Missing ⚠",VLOOKUP(AA123,'G-3 Multipliers'!$L$3:$N$6,2,FALSE)))</f>
        <v/>
      </c>
      <c r="AC123" s="524" t="str">
        <f>IF(AA123="","",IF(VLOOKUP(AA123,'G-3 Multipliers'!$L$3:$N$6,3,FALSE)=0,"Spatial Data Missing ⚠",VLOOKUP(AA123,'G-3 Multipliers'!$L$3:$N$6,3,FALSE)))</f>
        <v/>
      </c>
      <c r="AD123" s="537" t="str">
        <f t="shared" si="15"/>
        <v/>
      </c>
      <c r="AE123" s="203"/>
      <c r="AF123" s="203"/>
      <c r="AG123" s="520" t="str">
        <f t="shared" si="18"/>
        <v/>
      </c>
      <c r="AH123" s="544" t="str">
        <f t="shared" si="19"/>
        <v/>
      </c>
      <c r="AI123" s="525" t="str">
        <f>IF(AH123="Check Data ⚠","Check Data ⚠",IFERROR(VLOOKUP(AH123,'G-4 Temporal multipliers'!$A$4:$C$36,3,FALSE),""))</f>
        <v/>
      </c>
      <c r="AJ123" s="537" t="str">
        <f>IF(S123="","",VLOOKUP(S123,'G-3 Multipliers'!$A$2:$E$129,4,FALSE))</f>
        <v/>
      </c>
      <c r="AK123" s="520" t="str">
        <f t="shared" si="20"/>
        <v/>
      </c>
      <c r="AL123" s="520" t="str">
        <f t="shared" si="21"/>
        <v/>
      </c>
      <c r="AM123" s="524" t="str">
        <f>IFERROR(IF(F123="","",IF(AH123="Check Data ⚠","Check Data ⚠",VLOOKUP(AL123, 'G-3 Multipliers'!$P$2:$Q$6,2,FALSE))),"")</f>
        <v/>
      </c>
      <c r="AN123" s="197"/>
      <c r="AO123" s="540" t="str">
        <f>IF(AN123="","",IF(VLOOKUP(AN123,'G-3 Multipliers'!$S$3:$T$9,2,FALSE)=0,"Spatial Data Missing ⚠",VLOOKUP(AN123,'G-3 Multipliers'!$S$3:$T$9,2,FALSE)))</f>
        <v/>
      </c>
      <c r="AP123" s="513" t="str">
        <f t="shared" si="22"/>
        <v/>
      </c>
      <c r="AQ123" s="231"/>
      <c r="AR123" s="150"/>
    </row>
    <row r="124" spans="1:44" x14ac:dyDescent="0.25">
      <c r="A124" s="31" t="str">
        <f>IF(E124="","",IF(ISNA(VLOOKUP($E124,'D-1 Off Site Habitat Baseline'!$D$1:$O$258,2,FALSE)),"",(VLOOKUP($E124,'D-1 Off Site Habitat Baseline'!$D$1:$O$258,2,FALSE))))</f>
        <v/>
      </c>
      <c r="B124" s="31" t="str">
        <f>IF(E124="","",IF(ISNA(VLOOKUP($E124,'D-1 Off Site Habitat Baseline'!$D$1:$O$258,3,FALSE)),"",(VLOOKUP($E124,'D-1 Off Site Habitat Baseline'!$D$1:$O$258,3,FALSE))))</f>
        <v/>
      </c>
      <c r="C124" s="31" t="str">
        <f>IFERROR(INDEX('G-8 Condition Look up'!$I$4:$I$130,MATCH(S124,'G-8 Condition Look up'!$A$4:$A$130,0)),"")</f>
        <v/>
      </c>
      <c r="E124" s="547" t="str">
        <f>'D-1 Off Site Habitat Baseline'!AL123</f>
        <v/>
      </c>
      <c r="F124" s="520" t="str">
        <f>IF(E124="","",IF(ISNA(VLOOKUP($E124,'D-1 Off Site Habitat Baseline'!$D$1:$O$258,4,FALSE)),"",(VLOOKUP($E124,'D-1 Off Site Habitat Baseline'!$D$1:$O$258,4,FALSE))))</f>
        <v/>
      </c>
      <c r="G124" s="520" t="str">
        <f>IF(E124="","",IF(ISNA(VLOOKUP($E124,'D-1 Off Site Habitat Baseline'!$D$1:$O$258,5,FALSE)),"",(VLOOKUP($E124,'D-1 Off Site Habitat Baseline'!$D$1:$O$258,5,FALSE))))</f>
        <v/>
      </c>
      <c r="H124" s="520" t="str">
        <f>IF(E124="","",IF(ISNA(VLOOKUP($E124,'D-1 Off Site Habitat Baseline'!$D$1:$O$258,6,FALSE)),"",(VLOOKUP($E124,'D-1 Off Site Habitat Baseline'!$D$1:$O$258,6,FALSE))))</f>
        <v/>
      </c>
      <c r="I124" s="520" t="str">
        <f>IF(E124="","",IF(ISNA(VLOOKUP($E124,'D-1 Off Site Habitat Baseline'!$D$1:$O$258,7,FALSE)),"",(VLOOKUP($E124,'D-1 Off Site Habitat Baseline'!$D$1:$O$258,7,FALSE))))</f>
        <v/>
      </c>
      <c r="J124" s="520" t="str">
        <f>IF(E124="","",IF(ISNA(VLOOKUP($E124,'D-1 Off Site Habitat Baseline'!$D$1:$O$258,8,FALSE)),"",(VLOOKUP($E124,'D-1 Off Site Habitat Baseline'!$D$1:$O$258,8,FALSE))))</f>
        <v/>
      </c>
      <c r="K124" s="520" t="str">
        <f>IF(E124="","",IF(ISNA(VLOOKUP($E124,'D-1 Off Site Habitat Baseline'!$D$1:$O$258,9,FALSE)),"",(VLOOKUP($E124,'D-1 Off Site Habitat Baseline'!$D$1:$O$258,9,FALSE))))</f>
        <v/>
      </c>
      <c r="L124" s="520" t="str">
        <f>IF(E124="","",IF(ISNA(VLOOKUP($E124,'D-1 Off Site Habitat Baseline'!$D$1:$O$258,11,FALSE)),"",(VLOOKUP($E124,'D-1 Off Site Habitat Baseline'!$D$1:$O$258,11,FALSE))))</f>
        <v/>
      </c>
      <c r="M124" s="520" t="str">
        <f>IF(E124="","",IF(ISNA(VLOOKUP($E124,'D-1 Off Site Habitat Baseline'!$D$1:$O$258,12,FALSE)),"",(VLOOKUP($E124,'D-1 Off Site Habitat Baseline'!$D$1:$O$258,12,FALSE))))</f>
        <v/>
      </c>
      <c r="N124" s="520" t="str">
        <f>IF(E124="","",IF(ISNA(VLOOKUP($E124,'D-1 Off Site Habitat Baseline'!$D$1:$X$258,14,FALSE)),"",(VLOOKUP($E124,'D-1 Off Site Habitat Baseline'!$D$1:$X$258,14,FALSE))))</f>
        <v/>
      </c>
      <c r="O124" s="524" t="str">
        <f>IF(E124="","",IF(ISNA(VLOOKUP($E124,'D-1 Off Site Habitat Baseline'!$D$1:$X$258,13,FALSE)),"",(VLOOKUP($E124,'D-1 Off Site Habitat Baseline'!$D$1:$X$258,13,FALSE))))</f>
        <v/>
      </c>
      <c r="P124" s="232" t="str">
        <f>IFERROR(INDEX('G-1 All Habitats'!$AG$3:$AG$15,MATCH(Q124,'G-1 All Habitats'!$AF$3:$AF$15,0)),"")</f>
        <v/>
      </c>
      <c r="Q124" s="228" t="str">
        <f t="shared" si="23"/>
        <v/>
      </c>
      <c r="R124" s="229" t="str">
        <f t="shared" si="24"/>
        <v/>
      </c>
      <c r="S124" s="233" t="str">
        <f>IFERROR(INDEX('G-1 All Habitats'!$B$3:$B$129,MATCH(R124,'G-1 All Habitats'!$A$3:$A$129,0)),"")</f>
        <v/>
      </c>
      <c r="T124" s="507" t="str">
        <f t="shared" si="16"/>
        <v/>
      </c>
      <c r="U124" s="524" t="str">
        <f t="shared" si="17"/>
        <v/>
      </c>
      <c r="V124" s="523" t="str">
        <f t="shared" si="14"/>
        <v/>
      </c>
      <c r="W124" s="520" t="str">
        <f>IF(S124="","",VLOOKUP(S124,'G-1 All Habitats'!$B$2:$M$129,10,FALSE))</f>
        <v/>
      </c>
      <c r="X124" s="520" t="str">
        <f>IFERROR(VLOOKUP(W124,'G-1 All Habitats'!$V$3:$W$7,2,FALSE),"")</f>
        <v/>
      </c>
      <c r="Y124" s="203"/>
      <c r="Z124" s="524" t="str">
        <f>IFERROR(INDEX('G-8 Condition Look up'!$A$3:$H$130,MATCH(S124,'G-8 Condition Look up'!$A$3:$A$130,0),MATCH(Y124,'G-8 Condition Look up'!$A$3:$H$3,0)),"")</f>
        <v/>
      </c>
      <c r="AA124" s="145"/>
      <c r="AB124" s="540" t="str">
        <f>IF(AA124="","",IF(VLOOKUP(AA124,'G-3 Multipliers'!$L$3:$N$6,2,FALSE)=0,"Spatial Data Missing ⚠",VLOOKUP(AA124,'G-3 Multipliers'!$L$3:$N$6,2,FALSE)))</f>
        <v/>
      </c>
      <c r="AC124" s="524" t="str">
        <f>IF(AA124="","",IF(VLOOKUP(AA124,'G-3 Multipliers'!$L$3:$N$6,3,FALSE)=0,"Spatial Data Missing ⚠",VLOOKUP(AA124,'G-3 Multipliers'!$L$3:$N$6,3,FALSE)))</f>
        <v/>
      </c>
      <c r="AD124" s="537" t="str">
        <f t="shared" si="15"/>
        <v/>
      </c>
      <c r="AE124" s="203"/>
      <c r="AF124" s="203"/>
      <c r="AG124" s="520" t="str">
        <f t="shared" si="18"/>
        <v/>
      </c>
      <c r="AH124" s="544" t="str">
        <f t="shared" si="19"/>
        <v/>
      </c>
      <c r="AI124" s="525" t="str">
        <f>IF(AH124="Check Data ⚠","Check Data ⚠",IFERROR(VLOOKUP(AH124,'G-4 Temporal multipliers'!$A$4:$C$36,3,FALSE),""))</f>
        <v/>
      </c>
      <c r="AJ124" s="537" t="str">
        <f>IF(S124="","",VLOOKUP(S124,'G-3 Multipliers'!$A$2:$E$129,4,FALSE))</f>
        <v/>
      </c>
      <c r="AK124" s="520" t="str">
        <f t="shared" si="20"/>
        <v/>
      </c>
      <c r="AL124" s="520" t="str">
        <f t="shared" si="21"/>
        <v/>
      </c>
      <c r="AM124" s="524" t="str">
        <f>IFERROR(IF(F124="","",IF(AH124="Check Data ⚠","Check Data ⚠",VLOOKUP(AL124, 'G-3 Multipliers'!$P$2:$Q$6,2,FALSE))),"")</f>
        <v/>
      </c>
      <c r="AN124" s="197"/>
      <c r="AO124" s="540" t="str">
        <f>IF(AN124="","",IF(VLOOKUP(AN124,'G-3 Multipliers'!$S$3:$T$9,2,FALSE)=0,"Spatial Data Missing ⚠",VLOOKUP(AN124,'G-3 Multipliers'!$S$3:$T$9,2,FALSE)))</f>
        <v/>
      </c>
      <c r="AP124" s="513" t="str">
        <f t="shared" si="22"/>
        <v/>
      </c>
      <c r="AQ124" s="231"/>
      <c r="AR124" s="150"/>
    </row>
    <row r="125" spans="1:44" x14ac:dyDescent="0.25">
      <c r="A125" s="31" t="str">
        <f>IF(E125="","",IF(ISNA(VLOOKUP($E125,'D-1 Off Site Habitat Baseline'!$D$1:$O$258,2,FALSE)),"",(VLOOKUP($E125,'D-1 Off Site Habitat Baseline'!$D$1:$O$258,2,FALSE))))</f>
        <v/>
      </c>
      <c r="B125" s="31" t="str">
        <f>IF(E125="","",IF(ISNA(VLOOKUP($E125,'D-1 Off Site Habitat Baseline'!$D$1:$O$258,3,FALSE)),"",(VLOOKUP($E125,'D-1 Off Site Habitat Baseline'!$D$1:$O$258,3,FALSE))))</f>
        <v/>
      </c>
      <c r="C125" s="31" t="str">
        <f>IFERROR(INDEX('G-8 Condition Look up'!$I$4:$I$130,MATCH(S125,'G-8 Condition Look up'!$A$4:$A$130,0)),"")</f>
        <v/>
      </c>
      <c r="E125" s="547" t="str">
        <f>'D-1 Off Site Habitat Baseline'!AL124</f>
        <v/>
      </c>
      <c r="F125" s="520" t="str">
        <f>IF(E125="","",IF(ISNA(VLOOKUP($E125,'D-1 Off Site Habitat Baseline'!$D$1:$O$258,4,FALSE)),"",(VLOOKUP($E125,'D-1 Off Site Habitat Baseline'!$D$1:$O$258,4,FALSE))))</f>
        <v/>
      </c>
      <c r="G125" s="520" t="str">
        <f>IF(E125="","",IF(ISNA(VLOOKUP($E125,'D-1 Off Site Habitat Baseline'!$D$1:$O$258,5,FALSE)),"",(VLOOKUP($E125,'D-1 Off Site Habitat Baseline'!$D$1:$O$258,5,FALSE))))</f>
        <v/>
      </c>
      <c r="H125" s="520" t="str">
        <f>IF(E125="","",IF(ISNA(VLOOKUP($E125,'D-1 Off Site Habitat Baseline'!$D$1:$O$258,6,FALSE)),"",(VLOOKUP($E125,'D-1 Off Site Habitat Baseline'!$D$1:$O$258,6,FALSE))))</f>
        <v/>
      </c>
      <c r="I125" s="520" t="str">
        <f>IF(E125="","",IF(ISNA(VLOOKUP($E125,'D-1 Off Site Habitat Baseline'!$D$1:$O$258,7,FALSE)),"",(VLOOKUP($E125,'D-1 Off Site Habitat Baseline'!$D$1:$O$258,7,FALSE))))</f>
        <v/>
      </c>
      <c r="J125" s="520" t="str">
        <f>IF(E125="","",IF(ISNA(VLOOKUP($E125,'D-1 Off Site Habitat Baseline'!$D$1:$O$258,8,FALSE)),"",(VLOOKUP($E125,'D-1 Off Site Habitat Baseline'!$D$1:$O$258,8,FALSE))))</f>
        <v/>
      </c>
      <c r="K125" s="520" t="str">
        <f>IF(E125="","",IF(ISNA(VLOOKUP($E125,'D-1 Off Site Habitat Baseline'!$D$1:$O$258,9,FALSE)),"",(VLOOKUP($E125,'D-1 Off Site Habitat Baseline'!$D$1:$O$258,9,FALSE))))</f>
        <v/>
      </c>
      <c r="L125" s="520" t="str">
        <f>IF(E125="","",IF(ISNA(VLOOKUP($E125,'D-1 Off Site Habitat Baseline'!$D$1:$O$258,11,FALSE)),"",(VLOOKUP($E125,'D-1 Off Site Habitat Baseline'!$D$1:$O$258,11,FALSE))))</f>
        <v/>
      </c>
      <c r="M125" s="520" t="str">
        <f>IF(E125="","",IF(ISNA(VLOOKUP($E125,'D-1 Off Site Habitat Baseline'!$D$1:$O$258,12,FALSE)),"",(VLOOKUP($E125,'D-1 Off Site Habitat Baseline'!$D$1:$O$258,12,FALSE))))</f>
        <v/>
      </c>
      <c r="N125" s="520" t="str">
        <f>IF(E125="","",IF(ISNA(VLOOKUP($E125,'D-1 Off Site Habitat Baseline'!$D$1:$X$258,14,FALSE)),"",(VLOOKUP($E125,'D-1 Off Site Habitat Baseline'!$D$1:$X$258,14,FALSE))))</f>
        <v/>
      </c>
      <c r="O125" s="524" t="str">
        <f>IF(E125="","",IF(ISNA(VLOOKUP($E125,'D-1 Off Site Habitat Baseline'!$D$1:$X$258,13,FALSE)),"",(VLOOKUP($E125,'D-1 Off Site Habitat Baseline'!$D$1:$X$258,13,FALSE))))</f>
        <v/>
      </c>
      <c r="P125" s="232" t="str">
        <f>IFERROR(INDEX('G-1 All Habitats'!$AG$3:$AG$15,MATCH(Q125,'G-1 All Habitats'!$AF$3:$AF$15,0)),"")</f>
        <v/>
      </c>
      <c r="Q125" s="228" t="str">
        <f t="shared" si="23"/>
        <v/>
      </c>
      <c r="R125" s="229" t="str">
        <f t="shared" si="24"/>
        <v/>
      </c>
      <c r="S125" s="233" t="str">
        <f>IFERROR(INDEX('G-1 All Habitats'!$B$3:$B$129,MATCH(R125,'G-1 All Habitats'!$A$3:$A$129,0)),"")</f>
        <v/>
      </c>
      <c r="T125" s="507" t="str">
        <f t="shared" si="16"/>
        <v/>
      </c>
      <c r="U125" s="524" t="str">
        <f t="shared" si="17"/>
        <v/>
      </c>
      <c r="V125" s="523" t="str">
        <f t="shared" si="14"/>
        <v/>
      </c>
      <c r="W125" s="520" t="str">
        <f>IF(S125="","",VLOOKUP(S125,'G-1 All Habitats'!$B$2:$M$129,10,FALSE))</f>
        <v/>
      </c>
      <c r="X125" s="520" t="str">
        <f>IFERROR(VLOOKUP(W125,'G-1 All Habitats'!$V$3:$W$7,2,FALSE),"")</f>
        <v/>
      </c>
      <c r="Y125" s="203"/>
      <c r="Z125" s="524" t="str">
        <f>IFERROR(INDEX('G-8 Condition Look up'!$A$3:$H$130,MATCH(S125,'G-8 Condition Look up'!$A$3:$A$130,0),MATCH(Y125,'G-8 Condition Look up'!$A$3:$H$3,0)),"")</f>
        <v/>
      </c>
      <c r="AA125" s="145"/>
      <c r="AB125" s="540" t="str">
        <f>IF(AA125="","",IF(VLOOKUP(AA125,'G-3 Multipliers'!$L$3:$N$6,2,FALSE)=0,"Spatial Data Missing ⚠",VLOOKUP(AA125,'G-3 Multipliers'!$L$3:$N$6,2,FALSE)))</f>
        <v/>
      </c>
      <c r="AC125" s="524" t="str">
        <f>IF(AA125="","",IF(VLOOKUP(AA125,'G-3 Multipliers'!$L$3:$N$6,3,FALSE)=0,"Spatial Data Missing ⚠",VLOOKUP(AA125,'G-3 Multipliers'!$L$3:$N$6,3,FALSE)))</f>
        <v/>
      </c>
      <c r="AD125" s="537" t="str">
        <f t="shared" si="15"/>
        <v/>
      </c>
      <c r="AE125" s="203"/>
      <c r="AF125" s="203"/>
      <c r="AG125" s="520" t="str">
        <f t="shared" si="18"/>
        <v/>
      </c>
      <c r="AH125" s="544" t="str">
        <f t="shared" si="19"/>
        <v/>
      </c>
      <c r="AI125" s="525" t="str">
        <f>IF(AH125="Check Data ⚠","Check Data ⚠",IFERROR(VLOOKUP(AH125,'G-4 Temporal multipliers'!$A$4:$C$36,3,FALSE),""))</f>
        <v/>
      </c>
      <c r="AJ125" s="537" t="str">
        <f>IF(S125="","",VLOOKUP(S125,'G-3 Multipliers'!$A$2:$E$129,4,FALSE))</f>
        <v/>
      </c>
      <c r="AK125" s="520" t="str">
        <f t="shared" si="20"/>
        <v/>
      </c>
      <c r="AL125" s="520" t="str">
        <f t="shared" si="21"/>
        <v/>
      </c>
      <c r="AM125" s="524" t="str">
        <f>IFERROR(IF(F125="","",IF(AH125="Check Data ⚠","Check Data ⚠",VLOOKUP(AL125, 'G-3 Multipliers'!$P$2:$Q$6,2,FALSE))),"")</f>
        <v/>
      </c>
      <c r="AN125" s="197"/>
      <c r="AO125" s="540" t="str">
        <f>IF(AN125="","",IF(VLOOKUP(AN125,'G-3 Multipliers'!$S$3:$T$9,2,FALSE)=0,"Spatial Data Missing ⚠",VLOOKUP(AN125,'G-3 Multipliers'!$S$3:$T$9,2,FALSE)))</f>
        <v/>
      </c>
      <c r="AP125" s="513" t="str">
        <f t="shared" si="22"/>
        <v/>
      </c>
      <c r="AQ125" s="231"/>
      <c r="AR125" s="150"/>
    </row>
    <row r="126" spans="1:44" x14ac:dyDescent="0.25">
      <c r="A126" s="31" t="str">
        <f>IF(E126="","",IF(ISNA(VLOOKUP($E126,'D-1 Off Site Habitat Baseline'!$D$1:$O$258,2,FALSE)),"",(VLOOKUP($E126,'D-1 Off Site Habitat Baseline'!$D$1:$O$258,2,FALSE))))</f>
        <v/>
      </c>
      <c r="B126" s="31" t="str">
        <f>IF(E126="","",IF(ISNA(VLOOKUP($E126,'D-1 Off Site Habitat Baseline'!$D$1:$O$258,3,FALSE)),"",(VLOOKUP($E126,'D-1 Off Site Habitat Baseline'!$D$1:$O$258,3,FALSE))))</f>
        <v/>
      </c>
      <c r="C126" s="31" t="str">
        <f>IFERROR(INDEX('G-8 Condition Look up'!$I$4:$I$130,MATCH(S126,'G-8 Condition Look up'!$A$4:$A$130,0)),"")</f>
        <v/>
      </c>
      <c r="E126" s="547" t="str">
        <f>'D-1 Off Site Habitat Baseline'!AL125</f>
        <v/>
      </c>
      <c r="F126" s="520" t="str">
        <f>IF(E126="","",IF(ISNA(VLOOKUP($E126,'D-1 Off Site Habitat Baseline'!$D$1:$O$258,4,FALSE)),"",(VLOOKUP($E126,'D-1 Off Site Habitat Baseline'!$D$1:$O$258,4,FALSE))))</f>
        <v/>
      </c>
      <c r="G126" s="520" t="str">
        <f>IF(E126="","",IF(ISNA(VLOOKUP($E126,'D-1 Off Site Habitat Baseline'!$D$1:$O$258,5,FALSE)),"",(VLOOKUP($E126,'D-1 Off Site Habitat Baseline'!$D$1:$O$258,5,FALSE))))</f>
        <v/>
      </c>
      <c r="H126" s="520" t="str">
        <f>IF(E126="","",IF(ISNA(VLOOKUP($E126,'D-1 Off Site Habitat Baseline'!$D$1:$O$258,6,FALSE)),"",(VLOOKUP($E126,'D-1 Off Site Habitat Baseline'!$D$1:$O$258,6,FALSE))))</f>
        <v/>
      </c>
      <c r="I126" s="520" t="str">
        <f>IF(E126="","",IF(ISNA(VLOOKUP($E126,'D-1 Off Site Habitat Baseline'!$D$1:$O$258,7,FALSE)),"",(VLOOKUP($E126,'D-1 Off Site Habitat Baseline'!$D$1:$O$258,7,FALSE))))</f>
        <v/>
      </c>
      <c r="J126" s="520" t="str">
        <f>IF(E126="","",IF(ISNA(VLOOKUP($E126,'D-1 Off Site Habitat Baseline'!$D$1:$O$258,8,FALSE)),"",(VLOOKUP($E126,'D-1 Off Site Habitat Baseline'!$D$1:$O$258,8,FALSE))))</f>
        <v/>
      </c>
      <c r="K126" s="520" t="str">
        <f>IF(E126="","",IF(ISNA(VLOOKUP($E126,'D-1 Off Site Habitat Baseline'!$D$1:$O$258,9,FALSE)),"",(VLOOKUP($E126,'D-1 Off Site Habitat Baseline'!$D$1:$O$258,9,FALSE))))</f>
        <v/>
      </c>
      <c r="L126" s="520" t="str">
        <f>IF(E126="","",IF(ISNA(VLOOKUP($E126,'D-1 Off Site Habitat Baseline'!$D$1:$O$258,11,FALSE)),"",(VLOOKUP($E126,'D-1 Off Site Habitat Baseline'!$D$1:$O$258,11,FALSE))))</f>
        <v/>
      </c>
      <c r="M126" s="520" t="str">
        <f>IF(E126="","",IF(ISNA(VLOOKUP($E126,'D-1 Off Site Habitat Baseline'!$D$1:$O$258,12,FALSE)),"",(VLOOKUP($E126,'D-1 Off Site Habitat Baseline'!$D$1:$O$258,12,FALSE))))</f>
        <v/>
      </c>
      <c r="N126" s="520" t="str">
        <f>IF(E126="","",IF(ISNA(VLOOKUP($E126,'D-1 Off Site Habitat Baseline'!$D$1:$X$258,14,FALSE)),"",(VLOOKUP($E126,'D-1 Off Site Habitat Baseline'!$D$1:$X$258,14,FALSE))))</f>
        <v/>
      </c>
      <c r="O126" s="524" t="str">
        <f>IF(E126="","",IF(ISNA(VLOOKUP($E126,'D-1 Off Site Habitat Baseline'!$D$1:$X$258,13,FALSE)),"",(VLOOKUP($E126,'D-1 Off Site Habitat Baseline'!$D$1:$X$258,13,FALSE))))</f>
        <v/>
      </c>
      <c r="P126" s="232" t="str">
        <f>IFERROR(INDEX('G-1 All Habitats'!$AG$3:$AG$15,MATCH(Q126,'G-1 All Habitats'!$AF$3:$AF$15,0)),"")</f>
        <v/>
      </c>
      <c r="Q126" s="228" t="str">
        <f t="shared" si="23"/>
        <v/>
      </c>
      <c r="R126" s="229" t="str">
        <f t="shared" si="24"/>
        <v/>
      </c>
      <c r="S126" s="233" t="str">
        <f>IFERROR(INDEX('G-1 All Habitats'!$B$3:$B$129,MATCH(R126,'G-1 All Habitats'!$A$3:$A$129,0)),"")</f>
        <v/>
      </c>
      <c r="T126" s="507" t="str">
        <f t="shared" si="16"/>
        <v/>
      </c>
      <c r="U126" s="524" t="str">
        <f t="shared" si="17"/>
        <v/>
      </c>
      <c r="V126" s="523" t="str">
        <f t="shared" si="14"/>
        <v/>
      </c>
      <c r="W126" s="520" t="str">
        <f>IF(S126="","",VLOOKUP(S126,'G-1 All Habitats'!$B$2:$M$129,10,FALSE))</f>
        <v/>
      </c>
      <c r="X126" s="520" t="str">
        <f>IFERROR(VLOOKUP(W126,'G-1 All Habitats'!$V$3:$W$7,2,FALSE),"")</f>
        <v/>
      </c>
      <c r="Y126" s="203"/>
      <c r="Z126" s="524" t="str">
        <f>IFERROR(INDEX('G-8 Condition Look up'!$A$3:$H$130,MATCH(S126,'G-8 Condition Look up'!$A$3:$A$130,0),MATCH(Y126,'G-8 Condition Look up'!$A$3:$H$3,0)),"")</f>
        <v/>
      </c>
      <c r="AA126" s="145"/>
      <c r="AB126" s="540" t="str">
        <f>IF(AA126="","",IF(VLOOKUP(AA126,'G-3 Multipliers'!$L$3:$N$6,2,FALSE)=0,"Spatial Data Missing ⚠",VLOOKUP(AA126,'G-3 Multipliers'!$L$3:$N$6,2,FALSE)))</f>
        <v/>
      </c>
      <c r="AC126" s="524" t="str">
        <f>IF(AA126="","",IF(VLOOKUP(AA126,'G-3 Multipliers'!$L$3:$N$6,3,FALSE)=0,"Spatial Data Missing ⚠",VLOOKUP(AA126,'G-3 Multipliers'!$L$3:$N$6,3,FALSE)))</f>
        <v/>
      </c>
      <c r="AD126" s="537" t="str">
        <f t="shared" si="15"/>
        <v/>
      </c>
      <c r="AE126" s="203"/>
      <c r="AF126" s="203"/>
      <c r="AG126" s="520" t="str">
        <f t="shared" si="18"/>
        <v/>
      </c>
      <c r="AH126" s="544" t="str">
        <f t="shared" si="19"/>
        <v/>
      </c>
      <c r="AI126" s="525" t="str">
        <f>IF(AH126="Check Data ⚠","Check Data ⚠",IFERROR(VLOOKUP(AH126,'G-4 Temporal multipliers'!$A$4:$C$36,3,FALSE),""))</f>
        <v/>
      </c>
      <c r="AJ126" s="537" t="str">
        <f>IF(S126="","",VLOOKUP(S126,'G-3 Multipliers'!$A$2:$E$129,4,FALSE))</f>
        <v/>
      </c>
      <c r="AK126" s="520" t="str">
        <f t="shared" si="20"/>
        <v/>
      </c>
      <c r="AL126" s="520" t="str">
        <f t="shared" si="21"/>
        <v/>
      </c>
      <c r="AM126" s="524" t="str">
        <f>IFERROR(IF(F126="","",IF(AH126="Check Data ⚠","Check Data ⚠",VLOOKUP(AL126, 'G-3 Multipliers'!$P$2:$Q$6,2,FALSE))),"")</f>
        <v/>
      </c>
      <c r="AN126" s="197"/>
      <c r="AO126" s="540" t="str">
        <f>IF(AN126="","",IF(VLOOKUP(AN126,'G-3 Multipliers'!$S$3:$T$9,2,FALSE)=0,"Spatial Data Missing ⚠",VLOOKUP(AN126,'G-3 Multipliers'!$S$3:$T$9,2,FALSE)))</f>
        <v/>
      </c>
      <c r="AP126" s="513" t="str">
        <f t="shared" si="22"/>
        <v/>
      </c>
      <c r="AQ126" s="231"/>
      <c r="AR126" s="150"/>
    </row>
    <row r="127" spans="1:44" x14ac:dyDescent="0.25">
      <c r="A127" s="31" t="str">
        <f>IF(E127="","",IF(ISNA(VLOOKUP($E127,'D-1 Off Site Habitat Baseline'!$D$1:$O$258,2,FALSE)),"",(VLOOKUP($E127,'D-1 Off Site Habitat Baseline'!$D$1:$O$258,2,FALSE))))</f>
        <v/>
      </c>
      <c r="B127" s="31" t="str">
        <f>IF(E127="","",IF(ISNA(VLOOKUP($E127,'D-1 Off Site Habitat Baseline'!$D$1:$O$258,3,FALSE)),"",(VLOOKUP($E127,'D-1 Off Site Habitat Baseline'!$D$1:$O$258,3,FALSE))))</f>
        <v/>
      </c>
      <c r="C127" s="31" t="str">
        <f>IFERROR(INDEX('G-8 Condition Look up'!$I$4:$I$130,MATCH(S127,'G-8 Condition Look up'!$A$4:$A$130,0)),"")</f>
        <v/>
      </c>
      <c r="E127" s="547" t="str">
        <f>'D-1 Off Site Habitat Baseline'!AL126</f>
        <v/>
      </c>
      <c r="F127" s="520" t="str">
        <f>IF(E127="","",IF(ISNA(VLOOKUP($E127,'D-1 Off Site Habitat Baseline'!$D$1:$O$258,4,FALSE)),"",(VLOOKUP($E127,'D-1 Off Site Habitat Baseline'!$D$1:$O$258,4,FALSE))))</f>
        <v/>
      </c>
      <c r="G127" s="520" t="str">
        <f>IF(E127="","",IF(ISNA(VLOOKUP($E127,'D-1 Off Site Habitat Baseline'!$D$1:$O$258,5,FALSE)),"",(VLOOKUP($E127,'D-1 Off Site Habitat Baseline'!$D$1:$O$258,5,FALSE))))</f>
        <v/>
      </c>
      <c r="H127" s="520" t="str">
        <f>IF(E127="","",IF(ISNA(VLOOKUP($E127,'D-1 Off Site Habitat Baseline'!$D$1:$O$258,6,FALSE)),"",(VLOOKUP($E127,'D-1 Off Site Habitat Baseline'!$D$1:$O$258,6,FALSE))))</f>
        <v/>
      </c>
      <c r="I127" s="520" t="str">
        <f>IF(E127="","",IF(ISNA(VLOOKUP($E127,'D-1 Off Site Habitat Baseline'!$D$1:$O$258,7,FALSE)),"",(VLOOKUP($E127,'D-1 Off Site Habitat Baseline'!$D$1:$O$258,7,FALSE))))</f>
        <v/>
      </c>
      <c r="J127" s="520" t="str">
        <f>IF(E127="","",IF(ISNA(VLOOKUP($E127,'D-1 Off Site Habitat Baseline'!$D$1:$O$258,8,FALSE)),"",(VLOOKUP($E127,'D-1 Off Site Habitat Baseline'!$D$1:$O$258,8,FALSE))))</f>
        <v/>
      </c>
      <c r="K127" s="520" t="str">
        <f>IF(E127="","",IF(ISNA(VLOOKUP($E127,'D-1 Off Site Habitat Baseline'!$D$1:$O$258,9,FALSE)),"",(VLOOKUP($E127,'D-1 Off Site Habitat Baseline'!$D$1:$O$258,9,FALSE))))</f>
        <v/>
      </c>
      <c r="L127" s="520" t="str">
        <f>IF(E127="","",IF(ISNA(VLOOKUP($E127,'D-1 Off Site Habitat Baseline'!$D$1:$O$258,11,FALSE)),"",(VLOOKUP($E127,'D-1 Off Site Habitat Baseline'!$D$1:$O$258,11,FALSE))))</f>
        <v/>
      </c>
      <c r="M127" s="520" t="str">
        <f>IF(E127="","",IF(ISNA(VLOOKUP($E127,'D-1 Off Site Habitat Baseline'!$D$1:$O$258,12,FALSE)),"",(VLOOKUP($E127,'D-1 Off Site Habitat Baseline'!$D$1:$O$258,12,FALSE))))</f>
        <v/>
      </c>
      <c r="N127" s="520" t="str">
        <f>IF(E127="","",IF(ISNA(VLOOKUP($E127,'D-1 Off Site Habitat Baseline'!$D$1:$X$258,14,FALSE)),"",(VLOOKUP($E127,'D-1 Off Site Habitat Baseline'!$D$1:$X$258,14,FALSE))))</f>
        <v/>
      </c>
      <c r="O127" s="524" t="str">
        <f>IF(E127="","",IF(ISNA(VLOOKUP($E127,'D-1 Off Site Habitat Baseline'!$D$1:$X$258,13,FALSE)),"",(VLOOKUP($E127,'D-1 Off Site Habitat Baseline'!$D$1:$X$258,13,FALSE))))</f>
        <v/>
      </c>
      <c r="P127" s="232" t="str">
        <f>IFERROR(INDEX('G-1 All Habitats'!$AG$3:$AG$15,MATCH(Q127,'G-1 All Habitats'!$AF$3:$AF$15,0)),"")</f>
        <v/>
      </c>
      <c r="Q127" s="228" t="str">
        <f t="shared" si="23"/>
        <v/>
      </c>
      <c r="R127" s="229" t="str">
        <f t="shared" si="24"/>
        <v/>
      </c>
      <c r="S127" s="233" t="str">
        <f>IFERROR(INDEX('G-1 All Habitats'!$B$3:$B$129,MATCH(R127,'G-1 All Habitats'!$A$3:$A$129,0)),"")</f>
        <v/>
      </c>
      <c r="T127" s="507" t="str">
        <f t="shared" si="16"/>
        <v/>
      </c>
      <c r="U127" s="524" t="str">
        <f t="shared" si="17"/>
        <v/>
      </c>
      <c r="V127" s="523" t="str">
        <f t="shared" si="14"/>
        <v/>
      </c>
      <c r="W127" s="520" t="str">
        <f>IF(S127="","",VLOOKUP(S127,'G-1 All Habitats'!$B$2:$M$129,10,FALSE))</f>
        <v/>
      </c>
      <c r="X127" s="520" t="str">
        <f>IFERROR(VLOOKUP(W127,'G-1 All Habitats'!$V$3:$W$7,2,FALSE),"")</f>
        <v/>
      </c>
      <c r="Y127" s="203"/>
      <c r="Z127" s="524" t="str">
        <f>IFERROR(INDEX('G-8 Condition Look up'!$A$3:$H$130,MATCH(S127,'G-8 Condition Look up'!$A$3:$A$130,0),MATCH(Y127,'G-8 Condition Look up'!$A$3:$H$3,0)),"")</f>
        <v/>
      </c>
      <c r="AA127" s="145"/>
      <c r="AB127" s="540" t="str">
        <f>IF(AA127="","",IF(VLOOKUP(AA127,'G-3 Multipliers'!$L$3:$N$6,2,FALSE)=0,"Spatial Data Missing ⚠",VLOOKUP(AA127,'G-3 Multipliers'!$L$3:$N$6,2,FALSE)))</f>
        <v/>
      </c>
      <c r="AC127" s="524" t="str">
        <f>IF(AA127="","",IF(VLOOKUP(AA127,'G-3 Multipliers'!$L$3:$N$6,3,FALSE)=0,"Spatial Data Missing ⚠",VLOOKUP(AA127,'G-3 Multipliers'!$L$3:$N$6,3,FALSE)))</f>
        <v/>
      </c>
      <c r="AD127" s="537" t="str">
        <f t="shared" si="15"/>
        <v/>
      </c>
      <c r="AE127" s="203"/>
      <c r="AF127" s="203"/>
      <c r="AG127" s="520" t="str">
        <f t="shared" si="18"/>
        <v/>
      </c>
      <c r="AH127" s="544" t="str">
        <f t="shared" si="19"/>
        <v/>
      </c>
      <c r="AI127" s="525" t="str">
        <f>IF(AH127="Check Data ⚠","Check Data ⚠",IFERROR(VLOOKUP(AH127,'G-4 Temporal multipliers'!$A$4:$C$36,3,FALSE),""))</f>
        <v/>
      </c>
      <c r="AJ127" s="537" t="str">
        <f>IF(S127="","",VLOOKUP(S127,'G-3 Multipliers'!$A$2:$E$129,4,FALSE))</f>
        <v/>
      </c>
      <c r="AK127" s="520" t="str">
        <f t="shared" si="20"/>
        <v/>
      </c>
      <c r="AL127" s="520" t="str">
        <f t="shared" si="21"/>
        <v/>
      </c>
      <c r="AM127" s="524" t="str">
        <f>IFERROR(IF(F127="","",IF(AH127="Check Data ⚠","Check Data ⚠",VLOOKUP(AL127, 'G-3 Multipliers'!$P$2:$Q$6,2,FALSE))),"")</f>
        <v/>
      </c>
      <c r="AN127" s="197"/>
      <c r="AO127" s="540" t="str">
        <f>IF(AN127="","",IF(VLOOKUP(AN127,'G-3 Multipliers'!$S$3:$T$9,2,FALSE)=0,"Spatial Data Missing ⚠",VLOOKUP(AN127,'G-3 Multipliers'!$S$3:$T$9,2,FALSE)))</f>
        <v/>
      </c>
      <c r="AP127" s="513" t="str">
        <f t="shared" si="22"/>
        <v/>
      </c>
      <c r="AQ127" s="231"/>
      <c r="AR127" s="150"/>
    </row>
    <row r="128" spans="1:44" x14ac:dyDescent="0.25">
      <c r="A128" s="31" t="str">
        <f>IF(E128="","",IF(ISNA(VLOOKUP($E128,'D-1 Off Site Habitat Baseline'!$D$1:$O$258,2,FALSE)),"",(VLOOKUP($E128,'D-1 Off Site Habitat Baseline'!$D$1:$O$258,2,FALSE))))</f>
        <v/>
      </c>
      <c r="B128" s="31" t="str">
        <f>IF(E128="","",IF(ISNA(VLOOKUP($E128,'D-1 Off Site Habitat Baseline'!$D$1:$O$258,3,FALSE)),"",(VLOOKUP($E128,'D-1 Off Site Habitat Baseline'!$D$1:$O$258,3,FALSE))))</f>
        <v/>
      </c>
      <c r="C128" s="31" t="str">
        <f>IFERROR(INDEX('G-8 Condition Look up'!$I$4:$I$130,MATCH(S128,'G-8 Condition Look up'!$A$4:$A$130,0)),"")</f>
        <v/>
      </c>
      <c r="E128" s="547" t="str">
        <f>'D-1 Off Site Habitat Baseline'!AL127</f>
        <v/>
      </c>
      <c r="F128" s="520" t="str">
        <f>IF(E128="","",IF(ISNA(VLOOKUP($E128,'D-1 Off Site Habitat Baseline'!$D$1:$O$258,4,FALSE)),"",(VLOOKUP($E128,'D-1 Off Site Habitat Baseline'!$D$1:$O$258,4,FALSE))))</f>
        <v/>
      </c>
      <c r="G128" s="520" t="str">
        <f>IF(E128="","",IF(ISNA(VLOOKUP($E128,'D-1 Off Site Habitat Baseline'!$D$1:$O$258,5,FALSE)),"",(VLOOKUP($E128,'D-1 Off Site Habitat Baseline'!$D$1:$O$258,5,FALSE))))</f>
        <v/>
      </c>
      <c r="H128" s="520" t="str">
        <f>IF(E128="","",IF(ISNA(VLOOKUP($E128,'D-1 Off Site Habitat Baseline'!$D$1:$O$258,6,FALSE)),"",(VLOOKUP($E128,'D-1 Off Site Habitat Baseline'!$D$1:$O$258,6,FALSE))))</f>
        <v/>
      </c>
      <c r="I128" s="520" t="str">
        <f>IF(E128="","",IF(ISNA(VLOOKUP($E128,'D-1 Off Site Habitat Baseline'!$D$1:$O$258,7,FALSE)),"",(VLOOKUP($E128,'D-1 Off Site Habitat Baseline'!$D$1:$O$258,7,FALSE))))</f>
        <v/>
      </c>
      <c r="J128" s="520" t="str">
        <f>IF(E128="","",IF(ISNA(VLOOKUP($E128,'D-1 Off Site Habitat Baseline'!$D$1:$O$258,8,FALSE)),"",(VLOOKUP($E128,'D-1 Off Site Habitat Baseline'!$D$1:$O$258,8,FALSE))))</f>
        <v/>
      </c>
      <c r="K128" s="520" t="str">
        <f>IF(E128="","",IF(ISNA(VLOOKUP($E128,'D-1 Off Site Habitat Baseline'!$D$1:$O$258,9,FALSE)),"",(VLOOKUP($E128,'D-1 Off Site Habitat Baseline'!$D$1:$O$258,9,FALSE))))</f>
        <v/>
      </c>
      <c r="L128" s="520" t="str">
        <f>IF(E128="","",IF(ISNA(VLOOKUP($E128,'D-1 Off Site Habitat Baseline'!$D$1:$O$258,11,FALSE)),"",(VLOOKUP($E128,'D-1 Off Site Habitat Baseline'!$D$1:$O$258,11,FALSE))))</f>
        <v/>
      </c>
      <c r="M128" s="520" t="str">
        <f>IF(E128="","",IF(ISNA(VLOOKUP($E128,'D-1 Off Site Habitat Baseline'!$D$1:$O$258,12,FALSE)),"",(VLOOKUP($E128,'D-1 Off Site Habitat Baseline'!$D$1:$O$258,12,FALSE))))</f>
        <v/>
      </c>
      <c r="N128" s="520" t="str">
        <f>IF(E128="","",IF(ISNA(VLOOKUP($E128,'D-1 Off Site Habitat Baseline'!$D$1:$X$258,14,FALSE)),"",(VLOOKUP($E128,'D-1 Off Site Habitat Baseline'!$D$1:$X$258,14,FALSE))))</f>
        <v/>
      </c>
      <c r="O128" s="524" t="str">
        <f>IF(E128="","",IF(ISNA(VLOOKUP($E128,'D-1 Off Site Habitat Baseline'!$D$1:$X$258,13,FALSE)),"",(VLOOKUP($E128,'D-1 Off Site Habitat Baseline'!$D$1:$X$258,13,FALSE))))</f>
        <v/>
      </c>
      <c r="P128" s="232" t="str">
        <f>IFERROR(INDEX('G-1 All Habitats'!$AG$3:$AG$15,MATCH(Q128,'G-1 All Habitats'!$AF$3:$AF$15,0)),"")</f>
        <v/>
      </c>
      <c r="Q128" s="228" t="str">
        <f t="shared" si="23"/>
        <v/>
      </c>
      <c r="R128" s="229" t="str">
        <f t="shared" si="24"/>
        <v/>
      </c>
      <c r="S128" s="233" t="str">
        <f>IFERROR(INDEX('G-1 All Habitats'!$B$3:$B$129,MATCH(R128,'G-1 All Habitats'!$A$3:$A$129,0)),"")</f>
        <v/>
      </c>
      <c r="T128" s="507" t="str">
        <f t="shared" si="16"/>
        <v/>
      </c>
      <c r="U128" s="524" t="str">
        <f t="shared" si="17"/>
        <v/>
      </c>
      <c r="V128" s="523" t="str">
        <f t="shared" si="14"/>
        <v/>
      </c>
      <c r="W128" s="520" t="str">
        <f>IF(S128="","",VLOOKUP(S128,'G-1 All Habitats'!$B$2:$M$129,10,FALSE))</f>
        <v/>
      </c>
      <c r="X128" s="520" t="str">
        <f>IFERROR(VLOOKUP(W128,'G-1 All Habitats'!$V$3:$W$7,2,FALSE),"")</f>
        <v/>
      </c>
      <c r="Y128" s="203"/>
      <c r="Z128" s="524" t="str">
        <f>IFERROR(INDEX('G-8 Condition Look up'!$A$3:$H$130,MATCH(S128,'G-8 Condition Look up'!$A$3:$A$130,0),MATCH(Y128,'G-8 Condition Look up'!$A$3:$H$3,0)),"")</f>
        <v/>
      </c>
      <c r="AA128" s="145"/>
      <c r="AB128" s="540" t="str">
        <f>IF(AA128="","",IF(VLOOKUP(AA128,'G-3 Multipliers'!$L$3:$N$6,2,FALSE)=0,"Spatial Data Missing ⚠",VLOOKUP(AA128,'G-3 Multipliers'!$L$3:$N$6,2,FALSE)))</f>
        <v/>
      </c>
      <c r="AC128" s="524" t="str">
        <f>IF(AA128="","",IF(VLOOKUP(AA128,'G-3 Multipliers'!$L$3:$N$6,3,FALSE)=0,"Spatial Data Missing ⚠",VLOOKUP(AA128,'G-3 Multipliers'!$L$3:$N$6,3,FALSE)))</f>
        <v/>
      </c>
      <c r="AD128" s="537" t="str">
        <f t="shared" si="15"/>
        <v/>
      </c>
      <c r="AE128" s="203"/>
      <c r="AF128" s="203"/>
      <c r="AG128" s="520" t="str">
        <f t="shared" si="18"/>
        <v/>
      </c>
      <c r="AH128" s="544" t="str">
        <f t="shared" si="19"/>
        <v/>
      </c>
      <c r="AI128" s="525" t="str">
        <f>IF(AH128="Check Data ⚠","Check Data ⚠",IFERROR(VLOOKUP(AH128,'G-4 Temporal multipliers'!$A$4:$C$36,3,FALSE),""))</f>
        <v/>
      </c>
      <c r="AJ128" s="537" t="str">
        <f>IF(S128="","",VLOOKUP(S128,'G-3 Multipliers'!$A$2:$E$129,4,FALSE))</f>
        <v/>
      </c>
      <c r="AK128" s="520" t="str">
        <f t="shared" si="20"/>
        <v/>
      </c>
      <c r="AL128" s="520" t="str">
        <f t="shared" si="21"/>
        <v/>
      </c>
      <c r="AM128" s="524" t="str">
        <f>IFERROR(IF(F128="","",IF(AH128="Check Data ⚠","Check Data ⚠",VLOOKUP(AL128, 'G-3 Multipliers'!$P$2:$Q$6,2,FALSE))),"")</f>
        <v/>
      </c>
      <c r="AN128" s="197"/>
      <c r="AO128" s="540" t="str">
        <f>IF(AN128="","",IF(VLOOKUP(AN128,'G-3 Multipliers'!$S$3:$T$9,2,FALSE)=0,"Spatial Data Missing ⚠",VLOOKUP(AN128,'G-3 Multipliers'!$S$3:$T$9,2,FALSE)))</f>
        <v/>
      </c>
      <c r="AP128" s="513" t="str">
        <f t="shared" si="22"/>
        <v/>
      </c>
      <c r="AQ128" s="231"/>
      <c r="AR128" s="150"/>
    </row>
    <row r="129" spans="1:44" x14ac:dyDescent="0.25">
      <c r="A129" s="31" t="str">
        <f>IF(E129="","",IF(ISNA(VLOOKUP($E129,'D-1 Off Site Habitat Baseline'!$D$1:$O$258,2,FALSE)),"",(VLOOKUP($E129,'D-1 Off Site Habitat Baseline'!$D$1:$O$258,2,FALSE))))</f>
        <v/>
      </c>
      <c r="B129" s="31" t="str">
        <f>IF(E129="","",IF(ISNA(VLOOKUP($E129,'D-1 Off Site Habitat Baseline'!$D$1:$O$258,3,FALSE)),"",(VLOOKUP($E129,'D-1 Off Site Habitat Baseline'!$D$1:$O$258,3,FALSE))))</f>
        <v/>
      </c>
      <c r="C129" s="31" t="str">
        <f>IFERROR(INDEX('G-8 Condition Look up'!$I$4:$I$130,MATCH(S129,'G-8 Condition Look up'!$A$4:$A$130,0)),"")</f>
        <v/>
      </c>
      <c r="E129" s="547" t="str">
        <f>'D-1 Off Site Habitat Baseline'!AL128</f>
        <v/>
      </c>
      <c r="F129" s="520" t="str">
        <f>IF(E129="","",IF(ISNA(VLOOKUP($E129,'D-1 Off Site Habitat Baseline'!$D$1:$O$258,4,FALSE)),"",(VLOOKUP($E129,'D-1 Off Site Habitat Baseline'!$D$1:$O$258,4,FALSE))))</f>
        <v/>
      </c>
      <c r="G129" s="520" t="str">
        <f>IF(E129="","",IF(ISNA(VLOOKUP($E129,'D-1 Off Site Habitat Baseline'!$D$1:$O$258,5,FALSE)),"",(VLOOKUP($E129,'D-1 Off Site Habitat Baseline'!$D$1:$O$258,5,FALSE))))</f>
        <v/>
      </c>
      <c r="H129" s="520" t="str">
        <f>IF(E129="","",IF(ISNA(VLOOKUP($E129,'D-1 Off Site Habitat Baseline'!$D$1:$O$258,6,FALSE)),"",(VLOOKUP($E129,'D-1 Off Site Habitat Baseline'!$D$1:$O$258,6,FALSE))))</f>
        <v/>
      </c>
      <c r="I129" s="520" t="str">
        <f>IF(E129="","",IF(ISNA(VLOOKUP($E129,'D-1 Off Site Habitat Baseline'!$D$1:$O$258,7,FALSE)),"",(VLOOKUP($E129,'D-1 Off Site Habitat Baseline'!$D$1:$O$258,7,FALSE))))</f>
        <v/>
      </c>
      <c r="J129" s="520" t="str">
        <f>IF(E129="","",IF(ISNA(VLOOKUP($E129,'D-1 Off Site Habitat Baseline'!$D$1:$O$258,8,FALSE)),"",(VLOOKUP($E129,'D-1 Off Site Habitat Baseline'!$D$1:$O$258,8,FALSE))))</f>
        <v/>
      </c>
      <c r="K129" s="520" t="str">
        <f>IF(E129="","",IF(ISNA(VLOOKUP($E129,'D-1 Off Site Habitat Baseline'!$D$1:$O$258,9,FALSE)),"",(VLOOKUP($E129,'D-1 Off Site Habitat Baseline'!$D$1:$O$258,9,FALSE))))</f>
        <v/>
      </c>
      <c r="L129" s="520" t="str">
        <f>IF(E129="","",IF(ISNA(VLOOKUP($E129,'D-1 Off Site Habitat Baseline'!$D$1:$O$258,11,FALSE)),"",(VLOOKUP($E129,'D-1 Off Site Habitat Baseline'!$D$1:$O$258,11,FALSE))))</f>
        <v/>
      </c>
      <c r="M129" s="520" t="str">
        <f>IF(E129="","",IF(ISNA(VLOOKUP($E129,'D-1 Off Site Habitat Baseline'!$D$1:$O$258,12,FALSE)),"",(VLOOKUP($E129,'D-1 Off Site Habitat Baseline'!$D$1:$O$258,12,FALSE))))</f>
        <v/>
      </c>
      <c r="N129" s="520" t="str">
        <f>IF(E129="","",IF(ISNA(VLOOKUP($E129,'D-1 Off Site Habitat Baseline'!$D$1:$X$258,14,FALSE)),"",(VLOOKUP($E129,'D-1 Off Site Habitat Baseline'!$D$1:$X$258,14,FALSE))))</f>
        <v/>
      </c>
      <c r="O129" s="524" t="str">
        <f>IF(E129="","",IF(ISNA(VLOOKUP($E129,'D-1 Off Site Habitat Baseline'!$D$1:$X$258,13,FALSE)),"",(VLOOKUP($E129,'D-1 Off Site Habitat Baseline'!$D$1:$X$258,13,FALSE))))</f>
        <v/>
      </c>
      <c r="P129" s="232" t="str">
        <f>IFERROR(INDEX('G-1 All Habitats'!$AG$3:$AG$15,MATCH(Q129,'G-1 All Habitats'!$AF$3:$AF$15,0)),"")</f>
        <v/>
      </c>
      <c r="Q129" s="228" t="str">
        <f t="shared" si="23"/>
        <v/>
      </c>
      <c r="R129" s="229" t="str">
        <f t="shared" si="24"/>
        <v/>
      </c>
      <c r="S129" s="233" t="str">
        <f>IFERROR(INDEX('G-1 All Habitats'!$B$3:$B$129,MATCH(R129,'G-1 All Habitats'!$A$3:$A$129,0)),"")</f>
        <v/>
      </c>
      <c r="T129" s="507" t="str">
        <f t="shared" si="16"/>
        <v/>
      </c>
      <c r="U129" s="524" t="str">
        <f t="shared" si="17"/>
        <v/>
      </c>
      <c r="V129" s="523" t="str">
        <f t="shared" si="14"/>
        <v/>
      </c>
      <c r="W129" s="520" t="str">
        <f>IF(S129="","",VLOOKUP(S129,'G-1 All Habitats'!$B$2:$M$129,10,FALSE))</f>
        <v/>
      </c>
      <c r="X129" s="520" t="str">
        <f>IFERROR(VLOOKUP(W129,'G-1 All Habitats'!$V$3:$W$7,2,FALSE),"")</f>
        <v/>
      </c>
      <c r="Y129" s="203"/>
      <c r="Z129" s="524" t="str">
        <f>IFERROR(INDEX('G-8 Condition Look up'!$A$3:$H$130,MATCH(S129,'G-8 Condition Look up'!$A$3:$A$130,0),MATCH(Y129,'G-8 Condition Look up'!$A$3:$H$3,0)),"")</f>
        <v/>
      </c>
      <c r="AA129" s="145"/>
      <c r="AB129" s="540" t="str">
        <f>IF(AA129="","",IF(VLOOKUP(AA129,'G-3 Multipliers'!$L$3:$N$6,2,FALSE)=0,"Spatial Data Missing ⚠",VLOOKUP(AA129,'G-3 Multipliers'!$L$3:$N$6,2,FALSE)))</f>
        <v/>
      </c>
      <c r="AC129" s="524" t="str">
        <f>IF(AA129="","",IF(VLOOKUP(AA129,'G-3 Multipliers'!$L$3:$N$6,3,FALSE)=0,"Spatial Data Missing ⚠",VLOOKUP(AA129,'G-3 Multipliers'!$L$3:$N$6,3,FALSE)))</f>
        <v/>
      </c>
      <c r="AD129" s="537" t="str">
        <f t="shared" si="15"/>
        <v/>
      </c>
      <c r="AE129" s="203"/>
      <c r="AF129" s="203"/>
      <c r="AG129" s="520" t="str">
        <f t="shared" si="18"/>
        <v/>
      </c>
      <c r="AH129" s="544" t="str">
        <f t="shared" si="19"/>
        <v/>
      </c>
      <c r="AI129" s="525" t="str">
        <f>IF(AH129="Check Data ⚠","Check Data ⚠",IFERROR(VLOOKUP(AH129,'G-4 Temporal multipliers'!$A$4:$C$36,3,FALSE),""))</f>
        <v/>
      </c>
      <c r="AJ129" s="537" t="str">
        <f>IF(S129="","",VLOOKUP(S129,'G-3 Multipliers'!$A$2:$E$129,4,FALSE))</f>
        <v/>
      </c>
      <c r="AK129" s="520" t="str">
        <f t="shared" si="20"/>
        <v/>
      </c>
      <c r="AL129" s="520" t="str">
        <f t="shared" si="21"/>
        <v/>
      </c>
      <c r="AM129" s="524" t="str">
        <f>IFERROR(IF(F129="","",IF(AH129="Check Data ⚠","Check Data ⚠",VLOOKUP(AL129, 'G-3 Multipliers'!$P$2:$Q$6,2,FALSE))),"")</f>
        <v/>
      </c>
      <c r="AN129" s="197"/>
      <c r="AO129" s="540" t="str">
        <f>IF(AN129="","",IF(VLOOKUP(AN129,'G-3 Multipliers'!$S$3:$T$9,2,FALSE)=0,"Spatial Data Missing ⚠",VLOOKUP(AN129,'G-3 Multipliers'!$S$3:$T$9,2,FALSE)))</f>
        <v/>
      </c>
      <c r="AP129" s="513" t="str">
        <f t="shared" si="22"/>
        <v/>
      </c>
      <c r="AQ129" s="231"/>
      <c r="AR129" s="150"/>
    </row>
    <row r="130" spans="1:44" x14ac:dyDescent="0.25">
      <c r="A130" s="31" t="str">
        <f>IF(E130="","",IF(ISNA(VLOOKUP($E130,'D-1 Off Site Habitat Baseline'!$D$1:$O$258,2,FALSE)),"",(VLOOKUP($E130,'D-1 Off Site Habitat Baseline'!$D$1:$O$258,2,FALSE))))</f>
        <v/>
      </c>
      <c r="B130" s="31" t="str">
        <f>IF(E130="","",IF(ISNA(VLOOKUP($E130,'D-1 Off Site Habitat Baseline'!$D$1:$O$258,3,FALSE)),"",(VLOOKUP($E130,'D-1 Off Site Habitat Baseline'!$D$1:$O$258,3,FALSE))))</f>
        <v/>
      </c>
      <c r="C130" s="31" t="str">
        <f>IFERROR(INDEX('G-8 Condition Look up'!$I$4:$I$130,MATCH(S130,'G-8 Condition Look up'!$A$4:$A$130,0)),"")</f>
        <v/>
      </c>
      <c r="E130" s="547" t="str">
        <f>'D-1 Off Site Habitat Baseline'!AL129</f>
        <v/>
      </c>
      <c r="F130" s="520" t="str">
        <f>IF(E130="","",IF(ISNA(VLOOKUP($E130,'D-1 Off Site Habitat Baseline'!$D$1:$O$258,4,FALSE)),"",(VLOOKUP($E130,'D-1 Off Site Habitat Baseline'!$D$1:$O$258,4,FALSE))))</f>
        <v/>
      </c>
      <c r="G130" s="520" t="str">
        <f>IF(E130="","",IF(ISNA(VLOOKUP($E130,'D-1 Off Site Habitat Baseline'!$D$1:$O$258,5,FALSE)),"",(VLOOKUP($E130,'D-1 Off Site Habitat Baseline'!$D$1:$O$258,5,FALSE))))</f>
        <v/>
      </c>
      <c r="H130" s="520" t="str">
        <f>IF(E130="","",IF(ISNA(VLOOKUP($E130,'D-1 Off Site Habitat Baseline'!$D$1:$O$258,6,FALSE)),"",(VLOOKUP($E130,'D-1 Off Site Habitat Baseline'!$D$1:$O$258,6,FALSE))))</f>
        <v/>
      </c>
      <c r="I130" s="520" t="str">
        <f>IF(E130="","",IF(ISNA(VLOOKUP($E130,'D-1 Off Site Habitat Baseline'!$D$1:$O$258,7,FALSE)),"",(VLOOKUP($E130,'D-1 Off Site Habitat Baseline'!$D$1:$O$258,7,FALSE))))</f>
        <v/>
      </c>
      <c r="J130" s="520" t="str">
        <f>IF(E130="","",IF(ISNA(VLOOKUP($E130,'D-1 Off Site Habitat Baseline'!$D$1:$O$258,8,FALSE)),"",(VLOOKUP($E130,'D-1 Off Site Habitat Baseline'!$D$1:$O$258,8,FALSE))))</f>
        <v/>
      </c>
      <c r="K130" s="520" t="str">
        <f>IF(E130="","",IF(ISNA(VLOOKUP($E130,'D-1 Off Site Habitat Baseline'!$D$1:$O$258,9,FALSE)),"",(VLOOKUP($E130,'D-1 Off Site Habitat Baseline'!$D$1:$O$258,9,FALSE))))</f>
        <v/>
      </c>
      <c r="L130" s="520" t="str">
        <f>IF(E130="","",IF(ISNA(VLOOKUP($E130,'D-1 Off Site Habitat Baseline'!$D$1:$O$258,11,FALSE)),"",(VLOOKUP($E130,'D-1 Off Site Habitat Baseline'!$D$1:$O$258,11,FALSE))))</f>
        <v/>
      </c>
      <c r="M130" s="520" t="str">
        <f>IF(E130="","",IF(ISNA(VLOOKUP($E130,'D-1 Off Site Habitat Baseline'!$D$1:$O$258,12,FALSE)),"",(VLOOKUP($E130,'D-1 Off Site Habitat Baseline'!$D$1:$O$258,12,FALSE))))</f>
        <v/>
      </c>
      <c r="N130" s="520" t="str">
        <f>IF(E130="","",IF(ISNA(VLOOKUP($E130,'D-1 Off Site Habitat Baseline'!$D$1:$X$258,14,FALSE)),"",(VLOOKUP($E130,'D-1 Off Site Habitat Baseline'!$D$1:$X$258,14,FALSE))))</f>
        <v/>
      </c>
      <c r="O130" s="524" t="str">
        <f>IF(E130="","",IF(ISNA(VLOOKUP($E130,'D-1 Off Site Habitat Baseline'!$D$1:$X$258,13,FALSE)),"",(VLOOKUP($E130,'D-1 Off Site Habitat Baseline'!$D$1:$X$258,13,FALSE))))</f>
        <v/>
      </c>
      <c r="P130" s="232" t="str">
        <f>IFERROR(INDEX('G-1 All Habitats'!$AG$3:$AG$15,MATCH(Q130,'G-1 All Habitats'!$AF$3:$AF$15,0)),"")</f>
        <v/>
      </c>
      <c r="Q130" s="228" t="str">
        <f t="shared" si="23"/>
        <v/>
      </c>
      <c r="R130" s="229" t="str">
        <f t="shared" si="24"/>
        <v/>
      </c>
      <c r="S130" s="233" t="str">
        <f>IFERROR(INDEX('G-1 All Habitats'!$B$3:$B$129,MATCH(R130,'G-1 All Habitats'!$A$3:$A$129,0)),"")</f>
        <v/>
      </c>
      <c r="T130" s="507" t="str">
        <f t="shared" si="16"/>
        <v/>
      </c>
      <c r="U130" s="524" t="str">
        <f t="shared" si="17"/>
        <v/>
      </c>
      <c r="V130" s="523" t="str">
        <f t="shared" si="14"/>
        <v/>
      </c>
      <c r="W130" s="520" t="str">
        <f>IF(S130="","",VLOOKUP(S130,'G-1 All Habitats'!$B$2:$M$129,10,FALSE))</f>
        <v/>
      </c>
      <c r="X130" s="520" t="str">
        <f>IFERROR(VLOOKUP(W130,'G-1 All Habitats'!$V$3:$W$7,2,FALSE),"")</f>
        <v/>
      </c>
      <c r="Y130" s="203"/>
      <c r="Z130" s="524" t="str">
        <f>IFERROR(INDEX('G-8 Condition Look up'!$A$3:$H$130,MATCH(S130,'G-8 Condition Look up'!$A$3:$A$130,0),MATCH(Y130,'G-8 Condition Look up'!$A$3:$H$3,0)),"")</f>
        <v/>
      </c>
      <c r="AA130" s="145"/>
      <c r="AB130" s="540" t="str">
        <f>IF(AA130="","",IF(VLOOKUP(AA130,'G-3 Multipliers'!$L$3:$N$6,2,FALSE)=0,"Spatial Data Missing ⚠",VLOOKUP(AA130,'G-3 Multipliers'!$L$3:$N$6,2,FALSE)))</f>
        <v/>
      </c>
      <c r="AC130" s="524" t="str">
        <f>IF(AA130="","",IF(VLOOKUP(AA130,'G-3 Multipliers'!$L$3:$N$6,3,FALSE)=0,"Spatial Data Missing ⚠",VLOOKUP(AA130,'G-3 Multipliers'!$L$3:$N$6,3,FALSE)))</f>
        <v/>
      </c>
      <c r="AD130" s="537" t="str">
        <f t="shared" si="15"/>
        <v/>
      </c>
      <c r="AE130" s="203"/>
      <c r="AF130" s="203"/>
      <c r="AG130" s="520" t="str">
        <f t="shared" si="18"/>
        <v/>
      </c>
      <c r="AH130" s="544" t="str">
        <f t="shared" si="19"/>
        <v/>
      </c>
      <c r="AI130" s="525" t="str">
        <f>IF(AH130="Check Data ⚠","Check Data ⚠",IFERROR(VLOOKUP(AH130,'G-4 Temporal multipliers'!$A$4:$C$36,3,FALSE),""))</f>
        <v/>
      </c>
      <c r="AJ130" s="537" t="str">
        <f>IF(S130="","",VLOOKUP(S130,'G-3 Multipliers'!$A$2:$E$129,4,FALSE))</f>
        <v/>
      </c>
      <c r="AK130" s="520" t="str">
        <f t="shared" si="20"/>
        <v/>
      </c>
      <c r="AL130" s="520" t="str">
        <f t="shared" si="21"/>
        <v/>
      </c>
      <c r="AM130" s="524" t="str">
        <f>IFERROR(IF(F130="","",IF(AH130="Check Data ⚠","Check Data ⚠",VLOOKUP(AL130, 'G-3 Multipliers'!$P$2:$Q$6,2,FALSE))),"")</f>
        <v/>
      </c>
      <c r="AN130" s="197"/>
      <c r="AO130" s="540" t="str">
        <f>IF(AN130="","",IF(VLOOKUP(AN130,'G-3 Multipliers'!$S$3:$T$9,2,FALSE)=0,"Spatial Data Missing ⚠",VLOOKUP(AN130,'G-3 Multipliers'!$S$3:$T$9,2,FALSE)))</f>
        <v/>
      </c>
      <c r="AP130" s="513" t="str">
        <f t="shared" si="22"/>
        <v/>
      </c>
      <c r="AQ130" s="231"/>
      <c r="AR130" s="150"/>
    </row>
    <row r="131" spans="1:44" x14ac:dyDescent="0.25">
      <c r="A131" s="31" t="str">
        <f>IF(E131="","",IF(ISNA(VLOOKUP($E131,'D-1 Off Site Habitat Baseline'!$D$1:$O$258,2,FALSE)),"",(VLOOKUP($E131,'D-1 Off Site Habitat Baseline'!$D$1:$O$258,2,FALSE))))</f>
        <v/>
      </c>
      <c r="B131" s="31" t="str">
        <f>IF(E131="","",IF(ISNA(VLOOKUP($E131,'D-1 Off Site Habitat Baseline'!$D$1:$O$258,3,FALSE)),"",(VLOOKUP($E131,'D-1 Off Site Habitat Baseline'!$D$1:$O$258,3,FALSE))))</f>
        <v/>
      </c>
      <c r="C131" s="31" t="str">
        <f>IFERROR(INDEX('G-8 Condition Look up'!$I$4:$I$130,MATCH(S131,'G-8 Condition Look up'!$A$4:$A$130,0)),"")</f>
        <v/>
      </c>
      <c r="E131" s="547" t="str">
        <f>'D-1 Off Site Habitat Baseline'!AL130</f>
        <v/>
      </c>
      <c r="F131" s="520" t="str">
        <f>IF(E131="","",IF(ISNA(VLOOKUP($E131,'D-1 Off Site Habitat Baseline'!$D$1:$O$258,4,FALSE)),"",(VLOOKUP($E131,'D-1 Off Site Habitat Baseline'!$D$1:$O$258,4,FALSE))))</f>
        <v/>
      </c>
      <c r="G131" s="520" t="str">
        <f>IF(E131="","",IF(ISNA(VLOOKUP($E131,'D-1 Off Site Habitat Baseline'!$D$1:$O$258,5,FALSE)),"",(VLOOKUP($E131,'D-1 Off Site Habitat Baseline'!$D$1:$O$258,5,FALSE))))</f>
        <v/>
      </c>
      <c r="H131" s="520" t="str">
        <f>IF(E131="","",IF(ISNA(VLOOKUP($E131,'D-1 Off Site Habitat Baseline'!$D$1:$O$258,6,FALSE)),"",(VLOOKUP($E131,'D-1 Off Site Habitat Baseline'!$D$1:$O$258,6,FALSE))))</f>
        <v/>
      </c>
      <c r="I131" s="520" t="str">
        <f>IF(E131="","",IF(ISNA(VLOOKUP($E131,'D-1 Off Site Habitat Baseline'!$D$1:$O$258,7,FALSE)),"",(VLOOKUP($E131,'D-1 Off Site Habitat Baseline'!$D$1:$O$258,7,FALSE))))</f>
        <v/>
      </c>
      <c r="J131" s="520" t="str">
        <f>IF(E131="","",IF(ISNA(VLOOKUP($E131,'D-1 Off Site Habitat Baseline'!$D$1:$O$258,8,FALSE)),"",(VLOOKUP($E131,'D-1 Off Site Habitat Baseline'!$D$1:$O$258,8,FALSE))))</f>
        <v/>
      </c>
      <c r="K131" s="520" t="str">
        <f>IF(E131="","",IF(ISNA(VLOOKUP($E131,'D-1 Off Site Habitat Baseline'!$D$1:$O$258,9,FALSE)),"",(VLOOKUP($E131,'D-1 Off Site Habitat Baseline'!$D$1:$O$258,9,FALSE))))</f>
        <v/>
      </c>
      <c r="L131" s="520" t="str">
        <f>IF(E131="","",IF(ISNA(VLOOKUP($E131,'D-1 Off Site Habitat Baseline'!$D$1:$O$258,11,FALSE)),"",(VLOOKUP($E131,'D-1 Off Site Habitat Baseline'!$D$1:$O$258,11,FALSE))))</f>
        <v/>
      </c>
      <c r="M131" s="520" t="str">
        <f>IF(E131="","",IF(ISNA(VLOOKUP($E131,'D-1 Off Site Habitat Baseline'!$D$1:$O$258,12,FALSE)),"",(VLOOKUP($E131,'D-1 Off Site Habitat Baseline'!$D$1:$O$258,12,FALSE))))</f>
        <v/>
      </c>
      <c r="N131" s="520" t="str">
        <f>IF(E131="","",IF(ISNA(VLOOKUP($E131,'D-1 Off Site Habitat Baseline'!$D$1:$X$258,14,FALSE)),"",(VLOOKUP($E131,'D-1 Off Site Habitat Baseline'!$D$1:$X$258,14,FALSE))))</f>
        <v/>
      </c>
      <c r="O131" s="524" t="str">
        <f>IF(E131="","",IF(ISNA(VLOOKUP($E131,'D-1 Off Site Habitat Baseline'!$D$1:$X$258,13,FALSE)),"",(VLOOKUP($E131,'D-1 Off Site Habitat Baseline'!$D$1:$X$258,13,FALSE))))</f>
        <v/>
      </c>
      <c r="P131" s="232" t="str">
        <f>IFERROR(INDEX('G-1 All Habitats'!$AG$3:$AG$15,MATCH(Q131,'G-1 All Habitats'!$AF$3:$AF$15,0)),"")</f>
        <v/>
      </c>
      <c r="Q131" s="228" t="str">
        <f t="shared" si="23"/>
        <v/>
      </c>
      <c r="R131" s="229" t="str">
        <f t="shared" si="24"/>
        <v/>
      </c>
      <c r="S131" s="233" t="str">
        <f>IFERROR(INDEX('G-1 All Habitats'!$B$3:$B$129,MATCH(R131,'G-1 All Habitats'!$A$3:$A$129,0)),"")</f>
        <v/>
      </c>
      <c r="T131" s="507" t="str">
        <f t="shared" si="16"/>
        <v/>
      </c>
      <c r="U131" s="524" t="str">
        <f t="shared" si="17"/>
        <v/>
      </c>
      <c r="V131" s="523" t="str">
        <f t="shared" si="14"/>
        <v/>
      </c>
      <c r="W131" s="520" t="str">
        <f>IF(S131="","",VLOOKUP(S131,'G-1 All Habitats'!$B$2:$M$129,10,FALSE))</f>
        <v/>
      </c>
      <c r="X131" s="520" t="str">
        <f>IFERROR(VLOOKUP(W131,'G-1 All Habitats'!$V$3:$W$7,2,FALSE),"")</f>
        <v/>
      </c>
      <c r="Y131" s="203"/>
      <c r="Z131" s="524" t="str">
        <f>IFERROR(INDEX('G-8 Condition Look up'!$A$3:$H$130,MATCH(S131,'G-8 Condition Look up'!$A$3:$A$130,0),MATCH(Y131,'G-8 Condition Look up'!$A$3:$H$3,0)),"")</f>
        <v/>
      </c>
      <c r="AA131" s="145"/>
      <c r="AB131" s="540" t="str">
        <f>IF(AA131="","",IF(VLOOKUP(AA131,'G-3 Multipliers'!$L$3:$N$6,2,FALSE)=0,"Spatial Data Missing ⚠",VLOOKUP(AA131,'G-3 Multipliers'!$L$3:$N$6,2,FALSE)))</f>
        <v/>
      </c>
      <c r="AC131" s="524" t="str">
        <f>IF(AA131="","",IF(VLOOKUP(AA131,'G-3 Multipliers'!$L$3:$N$6,3,FALSE)=0,"Spatial Data Missing ⚠",VLOOKUP(AA131,'G-3 Multipliers'!$L$3:$N$6,3,FALSE)))</f>
        <v/>
      </c>
      <c r="AD131" s="537" t="str">
        <f t="shared" si="15"/>
        <v/>
      </c>
      <c r="AE131" s="203"/>
      <c r="AF131" s="203"/>
      <c r="AG131" s="520" t="str">
        <f t="shared" si="18"/>
        <v/>
      </c>
      <c r="AH131" s="544" t="str">
        <f t="shared" si="19"/>
        <v/>
      </c>
      <c r="AI131" s="525" t="str">
        <f>IF(AH131="Check Data ⚠","Check Data ⚠",IFERROR(VLOOKUP(AH131,'G-4 Temporal multipliers'!$A$4:$C$36,3,FALSE),""))</f>
        <v/>
      </c>
      <c r="AJ131" s="537" t="str">
        <f>IF(S131="","",VLOOKUP(S131,'G-3 Multipliers'!$A$2:$E$129,4,FALSE))</f>
        <v/>
      </c>
      <c r="AK131" s="520" t="str">
        <f t="shared" si="20"/>
        <v/>
      </c>
      <c r="AL131" s="520" t="str">
        <f t="shared" si="21"/>
        <v/>
      </c>
      <c r="AM131" s="524" t="str">
        <f>IFERROR(IF(F131="","",IF(AH131="Check Data ⚠","Check Data ⚠",VLOOKUP(AL131, 'G-3 Multipliers'!$P$2:$Q$6,2,FALSE))),"")</f>
        <v/>
      </c>
      <c r="AN131" s="197"/>
      <c r="AO131" s="540" t="str">
        <f>IF(AN131="","",IF(VLOOKUP(AN131,'G-3 Multipliers'!$S$3:$T$9,2,FALSE)=0,"Spatial Data Missing ⚠",VLOOKUP(AN131,'G-3 Multipliers'!$S$3:$T$9,2,FALSE)))</f>
        <v/>
      </c>
      <c r="AP131" s="513" t="str">
        <f t="shared" si="22"/>
        <v/>
      </c>
      <c r="AQ131" s="231"/>
      <c r="AR131" s="150"/>
    </row>
    <row r="132" spans="1:44" x14ac:dyDescent="0.25">
      <c r="A132" s="31" t="str">
        <f>IF(E132="","",IF(ISNA(VLOOKUP($E132,'D-1 Off Site Habitat Baseline'!$D$1:$O$258,2,FALSE)),"",(VLOOKUP($E132,'D-1 Off Site Habitat Baseline'!$D$1:$O$258,2,FALSE))))</f>
        <v/>
      </c>
      <c r="B132" s="31" t="str">
        <f>IF(E132="","",IF(ISNA(VLOOKUP($E132,'D-1 Off Site Habitat Baseline'!$D$1:$O$258,3,FALSE)),"",(VLOOKUP($E132,'D-1 Off Site Habitat Baseline'!$D$1:$O$258,3,FALSE))))</f>
        <v/>
      </c>
      <c r="C132" s="31" t="str">
        <f>IFERROR(INDEX('G-8 Condition Look up'!$I$4:$I$130,MATCH(S132,'G-8 Condition Look up'!$A$4:$A$130,0)),"")</f>
        <v/>
      </c>
      <c r="E132" s="547" t="str">
        <f>'D-1 Off Site Habitat Baseline'!AL131</f>
        <v/>
      </c>
      <c r="F132" s="520" t="str">
        <f>IF(E132="","",IF(ISNA(VLOOKUP($E132,'D-1 Off Site Habitat Baseline'!$D$1:$O$258,4,FALSE)),"",(VLOOKUP($E132,'D-1 Off Site Habitat Baseline'!$D$1:$O$258,4,FALSE))))</f>
        <v/>
      </c>
      <c r="G132" s="520" t="str">
        <f>IF(E132="","",IF(ISNA(VLOOKUP($E132,'D-1 Off Site Habitat Baseline'!$D$1:$O$258,5,FALSE)),"",(VLOOKUP($E132,'D-1 Off Site Habitat Baseline'!$D$1:$O$258,5,FALSE))))</f>
        <v/>
      </c>
      <c r="H132" s="520" t="str">
        <f>IF(E132="","",IF(ISNA(VLOOKUP($E132,'D-1 Off Site Habitat Baseline'!$D$1:$O$258,6,FALSE)),"",(VLOOKUP($E132,'D-1 Off Site Habitat Baseline'!$D$1:$O$258,6,FALSE))))</f>
        <v/>
      </c>
      <c r="I132" s="520" t="str">
        <f>IF(E132="","",IF(ISNA(VLOOKUP($E132,'D-1 Off Site Habitat Baseline'!$D$1:$O$258,7,FALSE)),"",(VLOOKUP($E132,'D-1 Off Site Habitat Baseline'!$D$1:$O$258,7,FALSE))))</f>
        <v/>
      </c>
      <c r="J132" s="520" t="str">
        <f>IF(E132="","",IF(ISNA(VLOOKUP($E132,'D-1 Off Site Habitat Baseline'!$D$1:$O$258,8,FALSE)),"",(VLOOKUP($E132,'D-1 Off Site Habitat Baseline'!$D$1:$O$258,8,FALSE))))</f>
        <v/>
      </c>
      <c r="K132" s="520" t="str">
        <f>IF(E132="","",IF(ISNA(VLOOKUP($E132,'D-1 Off Site Habitat Baseline'!$D$1:$O$258,9,FALSE)),"",(VLOOKUP($E132,'D-1 Off Site Habitat Baseline'!$D$1:$O$258,9,FALSE))))</f>
        <v/>
      </c>
      <c r="L132" s="520" t="str">
        <f>IF(E132="","",IF(ISNA(VLOOKUP($E132,'D-1 Off Site Habitat Baseline'!$D$1:$O$258,11,FALSE)),"",(VLOOKUP($E132,'D-1 Off Site Habitat Baseline'!$D$1:$O$258,11,FALSE))))</f>
        <v/>
      </c>
      <c r="M132" s="520" t="str">
        <f>IF(E132="","",IF(ISNA(VLOOKUP($E132,'D-1 Off Site Habitat Baseline'!$D$1:$O$258,12,FALSE)),"",(VLOOKUP($E132,'D-1 Off Site Habitat Baseline'!$D$1:$O$258,12,FALSE))))</f>
        <v/>
      </c>
      <c r="N132" s="520" t="str">
        <f>IF(E132="","",IF(ISNA(VLOOKUP($E132,'D-1 Off Site Habitat Baseline'!$D$1:$X$258,14,FALSE)),"",(VLOOKUP($E132,'D-1 Off Site Habitat Baseline'!$D$1:$X$258,14,FALSE))))</f>
        <v/>
      </c>
      <c r="O132" s="524" t="str">
        <f>IF(E132="","",IF(ISNA(VLOOKUP($E132,'D-1 Off Site Habitat Baseline'!$D$1:$X$258,13,FALSE)),"",(VLOOKUP($E132,'D-1 Off Site Habitat Baseline'!$D$1:$X$258,13,FALSE))))</f>
        <v/>
      </c>
      <c r="P132" s="232" t="str">
        <f>IFERROR(INDEX('G-1 All Habitats'!$AG$3:$AG$15,MATCH(Q132,'G-1 All Habitats'!$AF$3:$AF$15,0)),"")</f>
        <v/>
      </c>
      <c r="Q132" s="228" t="str">
        <f t="shared" si="23"/>
        <v/>
      </c>
      <c r="R132" s="229" t="str">
        <f t="shared" si="24"/>
        <v/>
      </c>
      <c r="S132" s="233" t="str">
        <f>IFERROR(INDEX('G-1 All Habitats'!$B$3:$B$129,MATCH(R132,'G-1 All Habitats'!$A$3:$A$129,0)),"")</f>
        <v/>
      </c>
      <c r="T132" s="507" t="str">
        <f t="shared" si="16"/>
        <v/>
      </c>
      <c r="U132" s="524" t="str">
        <f t="shared" si="17"/>
        <v/>
      </c>
      <c r="V132" s="523" t="str">
        <f t="shared" si="14"/>
        <v/>
      </c>
      <c r="W132" s="520" t="str">
        <f>IF(S132="","",VLOOKUP(S132,'G-1 All Habitats'!$B$2:$M$129,10,FALSE))</f>
        <v/>
      </c>
      <c r="X132" s="520" t="str">
        <f>IFERROR(VLOOKUP(W132,'G-1 All Habitats'!$V$3:$W$7,2,FALSE),"")</f>
        <v/>
      </c>
      <c r="Y132" s="203"/>
      <c r="Z132" s="524" t="str">
        <f>IFERROR(INDEX('G-8 Condition Look up'!$A$3:$H$130,MATCH(S132,'G-8 Condition Look up'!$A$3:$A$130,0),MATCH(Y132,'G-8 Condition Look up'!$A$3:$H$3,0)),"")</f>
        <v/>
      </c>
      <c r="AA132" s="145"/>
      <c r="AB132" s="540" t="str">
        <f>IF(AA132="","",IF(VLOOKUP(AA132,'G-3 Multipliers'!$L$3:$N$6,2,FALSE)=0,"Spatial Data Missing ⚠",VLOOKUP(AA132,'G-3 Multipliers'!$L$3:$N$6,2,FALSE)))</f>
        <v/>
      </c>
      <c r="AC132" s="524" t="str">
        <f>IF(AA132="","",IF(VLOOKUP(AA132,'G-3 Multipliers'!$L$3:$N$6,3,FALSE)=0,"Spatial Data Missing ⚠",VLOOKUP(AA132,'G-3 Multipliers'!$L$3:$N$6,3,FALSE)))</f>
        <v/>
      </c>
      <c r="AD132" s="537" t="str">
        <f t="shared" si="15"/>
        <v/>
      </c>
      <c r="AE132" s="203"/>
      <c r="AF132" s="203"/>
      <c r="AG132" s="520" t="str">
        <f t="shared" si="18"/>
        <v/>
      </c>
      <c r="AH132" s="544" t="str">
        <f t="shared" si="19"/>
        <v/>
      </c>
      <c r="AI132" s="525" t="str">
        <f>IF(AH132="Check Data ⚠","Check Data ⚠",IFERROR(VLOOKUP(AH132,'G-4 Temporal multipliers'!$A$4:$C$36,3,FALSE),""))</f>
        <v/>
      </c>
      <c r="AJ132" s="537" t="str">
        <f>IF(S132="","",VLOOKUP(S132,'G-3 Multipliers'!$A$2:$E$129,4,FALSE))</f>
        <v/>
      </c>
      <c r="AK132" s="520" t="str">
        <f t="shared" si="20"/>
        <v/>
      </c>
      <c r="AL132" s="520" t="str">
        <f t="shared" si="21"/>
        <v/>
      </c>
      <c r="AM132" s="524" t="str">
        <f>IFERROR(IF(F132="","",IF(AH132="Check Data ⚠","Check Data ⚠",VLOOKUP(AL132, 'G-3 Multipliers'!$P$2:$Q$6,2,FALSE))),"")</f>
        <v/>
      </c>
      <c r="AN132" s="197"/>
      <c r="AO132" s="540" t="str">
        <f>IF(AN132="","",IF(VLOOKUP(AN132,'G-3 Multipliers'!$S$3:$T$9,2,FALSE)=0,"Spatial Data Missing ⚠",VLOOKUP(AN132,'G-3 Multipliers'!$S$3:$T$9,2,FALSE)))</f>
        <v/>
      </c>
      <c r="AP132" s="513" t="str">
        <f t="shared" si="22"/>
        <v/>
      </c>
      <c r="AQ132" s="231"/>
      <c r="AR132" s="150"/>
    </row>
    <row r="133" spans="1:44" x14ac:dyDescent="0.25">
      <c r="A133" s="31" t="str">
        <f>IF(E133="","",IF(ISNA(VLOOKUP($E133,'D-1 Off Site Habitat Baseline'!$D$1:$O$258,2,FALSE)),"",(VLOOKUP($E133,'D-1 Off Site Habitat Baseline'!$D$1:$O$258,2,FALSE))))</f>
        <v/>
      </c>
      <c r="B133" s="31" t="str">
        <f>IF(E133="","",IF(ISNA(VLOOKUP($E133,'D-1 Off Site Habitat Baseline'!$D$1:$O$258,3,FALSE)),"",(VLOOKUP($E133,'D-1 Off Site Habitat Baseline'!$D$1:$O$258,3,FALSE))))</f>
        <v/>
      </c>
      <c r="C133" s="31" t="str">
        <f>IFERROR(INDEX('G-8 Condition Look up'!$I$4:$I$130,MATCH(S133,'G-8 Condition Look up'!$A$4:$A$130,0)),"")</f>
        <v/>
      </c>
      <c r="E133" s="547" t="str">
        <f>'D-1 Off Site Habitat Baseline'!AL132</f>
        <v/>
      </c>
      <c r="F133" s="520" t="str">
        <f>IF(E133="","",IF(ISNA(VLOOKUP($E133,'D-1 Off Site Habitat Baseline'!$D$1:$O$258,4,FALSE)),"",(VLOOKUP($E133,'D-1 Off Site Habitat Baseline'!$D$1:$O$258,4,FALSE))))</f>
        <v/>
      </c>
      <c r="G133" s="520" t="str">
        <f>IF(E133="","",IF(ISNA(VLOOKUP($E133,'D-1 Off Site Habitat Baseline'!$D$1:$O$258,5,FALSE)),"",(VLOOKUP($E133,'D-1 Off Site Habitat Baseline'!$D$1:$O$258,5,FALSE))))</f>
        <v/>
      </c>
      <c r="H133" s="520" t="str">
        <f>IF(E133="","",IF(ISNA(VLOOKUP($E133,'D-1 Off Site Habitat Baseline'!$D$1:$O$258,6,FALSE)),"",(VLOOKUP($E133,'D-1 Off Site Habitat Baseline'!$D$1:$O$258,6,FALSE))))</f>
        <v/>
      </c>
      <c r="I133" s="520" t="str">
        <f>IF(E133="","",IF(ISNA(VLOOKUP($E133,'D-1 Off Site Habitat Baseline'!$D$1:$O$258,7,FALSE)),"",(VLOOKUP($E133,'D-1 Off Site Habitat Baseline'!$D$1:$O$258,7,FALSE))))</f>
        <v/>
      </c>
      <c r="J133" s="520" t="str">
        <f>IF(E133="","",IF(ISNA(VLOOKUP($E133,'D-1 Off Site Habitat Baseline'!$D$1:$O$258,8,FALSE)),"",(VLOOKUP($E133,'D-1 Off Site Habitat Baseline'!$D$1:$O$258,8,FALSE))))</f>
        <v/>
      </c>
      <c r="K133" s="520" t="str">
        <f>IF(E133="","",IF(ISNA(VLOOKUP($E133,'D-1 Off Site Habitat Baseline'!$D$1:$O$258,9,FALSE)),"",(VLOOKUP($E133,'D-1 Off Site Habitat Baseline'!$D$1:$O$258,9,FALSE))))</f>
        <v/>
      </c>
      <c r="L133" s="520" t="str">
        <f>IF(E133="","",IF(ISNA(VLOOKUP($E133,'D-1 Off Site Habitat Baseline'!$D$1:$O$258,11,FALSE)),"",(VLOOKUP($E133,'D-1 Off Site Habitat Baseline'!$D$1:$O$258,11,FALSE))))</f>
        <v/>
      </c>
      <c r="M133" s="520" t="str">
        <f>IF(E133="","",IF(ISNA(VLOOKUP($E133,'D-1 Off Site Habitat Baseline'!$D$1:$O$258,12,FALSE)),"",(VLOOKUP($E133,'D-1 Off Site Habitat Baseline'!$D$1:$O$258,12,FALSE))))</f>
        <v/>
      </c>
      <c r="N133" s="520" t="str">
        <f>IF(E133="","",IF(ISNA(VLOOKUP($E133,'D-1 Off Site Habitat Baseline'!$D$1:$X$258,14,FALSE)),"",(VLOOKUP($E133,'D-1 Off Site Habitat Baseline'!$D$1:$X$258,14,FALSE))))</f>
        <v/>
      </c>
      <c r="O133" s="524" t="str">
        <f>IF(E133="","",IF(ISNA(VLOOKUP($E133,'D-1 Off Site Habitat Baseline'!$D$1:$X$258,13,FALSE)),"",(VLOOKUP($E133,'D-1 Off Site Habitat Baseline'!$D$1:$X$258,13,FALSE))))</f>
        <v/>
      </c>
      <c r="P133" s="232" t="str">
        <f>IFERROR(INDEX('G-1 All Habitats'!$AG$3:$AG$15,MATCH(Q133,'G-1 All Habitats'!$AF$3:$AF$15,0)),"")</f>
        <v/>
      </c>
      <c r="Q133" s="228" t="str">
        <f t="shared" si="23"/>
        <v/>
      </c>
      <c r="R133" s="229" t="str">
        <f t="shared" si="24"/>
        <v/>
      </c>
      <c r="S133" s="233" t="str">
        <f>IFERROR(INDEX('G-1 All Habitats'!$B$3:$B$129,MATCH(R133,'G-1 All Habitats'!$A$3:$A$129,0)),"")</f>
        <v/>
      </c>
      <c r="T133" s="507" t="str">
        <f t="shared" si="16"/>
        <v/>
      </c>
      <c r="U133" s="524" t="str">
        <f t="shared" si="17"/>
        <v/>
      </c>
      <c r="V133" s="523" t="str">
        <f t="shared" si="14"/>
        <v/>
      </c>
      <c r="W133" s="520" t="str">
        <f>IF(S133="","",VLOOKUP(S133,'G-1 All Habitats'!$B$2:$M$129,10,FALSE))</f>
        <v/>
      </c>
      <c r="X133" s="520" t="str">
        <f>IFERROR(VLOOKUP(W133,'G-1 All Habitats'!$V$3:$W$7,2,FALSE),"")</f>
        <v/>
      </c>
      <c r="Y133" s="203"/>
      <c r="Z133" s="524" t="str">
        <f>IFERROR(INDEX('G-8 Condition Look up'!$A$3:$H$130,MATCH(S133,'G-8 Condition Look up'!$A$3:$A$130,0),MATCH(Y133,'G-8 Condition Look up'!$A$3:$H$3,0)),"")</f>
        <v/>
      </c>
      <c r="AA133" s="145"/>
      <c r="AB133" s="540" t="str">
        <f>IF(AA133="","",IF(VLOOKUP(AA133,'G-3 Multipliers'!$L$3:$N$6,2,FALSE)=0,"Spatial Data Missing ⚠",VLOOKUP(AA133,'G-3 Multipliers'!$L$3:$N$6,2,FALSE)))</f>
        <v/>
      </c>
      <c r="AC133" s="524" t="str">
        <f>IF(AA133="","",IF(VLOOKUP(AA133,'G-3 Multipliers'!$L$3:$N$6,3,FALSE)=0,"Spatial Data Missing ⚠",VLOOKUP(AA133,'G-3 Multipliers'!$L$3:$N$6,3,FALSE)))</f>
        <v/>
      </c>
      <c r="AD133" s="537" t="str">
        <f t="shared" si="15"/>
        <v/>
      </c>
      <c r="AE133" s="203"/>
      <c r="AF133" s="203"/>
      <c r="AG133" s="520" t="str">
        <f t="shared" si="18"/>
        <v/>
      </c>
      <c r="AH133" s="544" t="str">
        <f t="shared" si="19"/>
        <v/>
      </c>
      <c r="AI133" s="525" t="str">
        <f>IF(AH133="Check Data ⚠","Check Data ⚠",IFERROR(VLOOKUP(AH133,'G-4 Temporal multipliers'!$A$4:$C$36,3,FALSE),""))</f>
        <v/>
      </c>
      <c r="AJ133" s="537" t="str">
        <f>IF(S133="","",VLOOKUP(S133,'G-3 Multipliers'!$A$2:$E$129,4,FALSE))</f>
        <v/>
      </c>
      <c r="AK133" s="520" t="str">
        <f t="shared" si="20"/>
        <v/>
      </c>
      <c r="AL133" s="520" t="str">
        <f t="shared" si="21"/>
        <v/>
      </c>
      <c r="AM133" s="524" t="str">
        <f>IFERROR(IF(F133="","",IF(AH133="Check Data ⚠","Check Data ⚠",VLOOKUP(AL133, 'G-3 Multipliers'!$P$2:$Q$6,2,FALSE))),"")</f>
        <v/>
      </c>
      <c r="AN133" s="197"/>
      <c r="AO133" s="540" t="str">
        <f>IF(AN133="","",IF(VLOOKUP(AN133,'G-3 Multipliers'!$S$3:$T$9,2,FALSE)=0,"Spatial Data Missing ⚠",VLOOKUP(AN133,'G-3 Multipliers'!$S$3:$T$9,2,FALSE)))</f>
        <v/>
      </c>
      <c r="AP133" s="513" t="str">
        <f t="shared" si="22"/>
        <v/>
      </c>
      <c r="AQ133" s="231"/>
      <c r="AR133" s="150"/>
    </row>
    <row r="134" spans="1:44" x14ac:dyDescent="0.25">
      <c r="A134" s="31" t="str">
        <f>IF(E134="","",IF(ISNA(VLOOKUP($E134,'D-1 Off Site Habitat Baseline'!$D$1:$O$258,2,FALSE)),"",(VLOOKUP($E134,'D-1 Off Site Habitat Baseline'!$D$1:$O$258,2,FALSE))))</f>
        <v/>
      </c>
      <c r="B134" s="31" t="str">
        <f>IF(E134="","",IF(ISNA(VLOOKUP($E134,'D-1 Off Site Habitat Baseline'!$D$1:$O$258,3,FALSE)),"",(VLOOKUP($E134,'D-1 Off Site Habitat Baseline'!$D$1:$O$258,3,FALSE))))</f>
        <v/>
      </c>
      <c r="C134" s="31" t="str">
        <f>IFERROR(INDEX('G-8 Condition Look up'!$I$4:$I$130,MATCH(S134,'G-8 Condition Look up'!$A$4:$A$130,0)),"")</f>
        <v/>
      </c>
      <c r="E134" s="547" t="str">
        <f>'D-1 Off Site Habitat Baseline'!AL133</f>
        <v/>
      </c>
      <c r="F134" s="520" t="str">
        <f>IF(E134="","",IF(ISNA(VLOOKUP($E134,'D-1 Off Site Habitat Baseline'!$D$1:$O$258,4,FALSE)),"",(VLOOKUP($E134,'D-1 Off Site Habitat Baseline'!$D$1:$O$258,4,FALSE))))</f>
        <v/>
      </c>
      <c r="G134" s="520" t="str">
        <f>IF(E134="","",IF(ISNA(VLOOKUP($E134,'D-1 Off Site Habitat Baseline'!$D$1:$O$258,5,FALSE)),"",(VLOOKUP($E134,'D-1 Off Site Habitat Baseline'!$D$1:$O$258,5,FALSE))))</f>
        <v/>
      </c>
      <c r="H134" s="520" t="str">
        <f>IF(E134="","",IF(ISNA(VLOOKUP($E134,'D-1 Off Site Habitat Baseline'!$D$1:$O$258,6,FALSE)),"",(VLOOKUP($E134,'D-1 Off Site Habitat Baseline'!$D$1:$O$258,6,FALSE))))</f>
        <v/>
      </c>
      <c r="I134" s="520" t="str">
        <f>IF(E134="","",IF(ISNA(VLOOKUP($E134,'D-1 Off Site Habitat Baseline'!$D$1:$O$258,7,FALSE)),"",(VLOOKUP($E134,'D-1 Off Site Habitat Baseline'!$D$1:$O$258,7,FALSE))))</f>
        <v/>
      </c>
      <c r="J134" s="520" t="str">
        <f>IF(E134="","",IF(ISNA(VLOOKUP($E134,'D-1 Off Site Habitat Baseline'!$D$1:$O$258,8,FALSE)),"",(VLOOKUP($E134,'D-1 Off Site Habitat Baseline'!$D$1:$O$258,8,FALSE))))</f>
        <v/>
      </c>
      <c r="K134" s="520" t="str">
        <f>IF(E134="","",IF(ISNA(VLOOKUP($E134,'D-1 Off Site Habitat Baseline'!$D$1:$O$258,9,FALSE)),"",(VLOOKUP($E134,'D-1 Off Site Habitat Baseline'!$D$1:$O$258,9,FALSE))))</f>
        <v/>
      </c>
      <c r="L134" s="520" t="str">
        <f>IF(E134="","",IF(ISNA(VLOOKUP($E134,'D-1 Off Site Habitat Baseline'!$D$1:$O$258,11,FALSE)),"",(VLOOKUP($E134,'D-1 Off Site Habitat Baseline'!$D$1:$O$258,11,FALSE))))</f>
        <v/>
      </c>
      <c r="M134" s="520" t="str">
        <f>IF(E134="","",IF(ISNA(VLOOKUP($E134,'D-1 Off Site Habitat Baseline'!$D$1:$O$258,12,FALSE)),"",(VLOOKUP($E134,'D-1 Off Site Habitat Baseline'!$D$1:$O$258,12,FALSE))))</f>
        <v/>
      </c>
      <c r="N134" s="520" t="str">
        <f>IF(E134="","",IF(ISNA(VLOOKUP($E134,'D-1 Off Site Habitat Baseline'!$D$1:$X$258,14,FALSE)),"",(VLOOKUP($E134,'D-1 Off Site Habitat Baseline'!$D$1:$X$258,14,FALSE))))</f>
        <v/>
      </c>
      <c r="O134" s="524" t="str">
        <f>IF(E134="","",IF(ISNA(VLOOKUP($E134,'D-1 Off Site Habitat Baseline'!$D$1:$X$258,13,FALSE)),"",(VLOOKUP($E134,'D-1 Off Site Habitat Baseline'!$D$1:$X$258,13,FALSE))))</f>
        <v/>
      </c>
      <c r="P134" s="232" t="str">
        <f>IFERROR(INDEX('G-1 All Habitats'!$AG$3:$AG$15,MATCH(Q134,'G-1 All Habitats'!$AF$3:$AF$15,0)),"")</f>
        <v/>
      </c>
      <c r="Q134" s="228" t="str">
        <f t="shared" si="23"/>
        <v/>
      </c>
      <c r="R134" s="229" t="str">
        <f t="shared" si="24"/>
        <v/>
      </c>
      <c r="S134" s="233" t="str">
        <f>IFERROR(INDEX('G-1 All Habitats'!$B$3:$B$129,MATCH(R134,'G-1 All Habitats'!$A$3:$A$129,0)),"")</f>
        <v/>
      </c>
      <c r="T134" s="507" t="str">
        <f t="shared" si="16"/>
        <v/>
      </c>
      <c r="U134" s="524" t="str">
        <f t="shared" si="17"/>
        <v/>
      </c>
      <c r="V134" s="523" t="str">
        <f t="shared" si="14"/>
        <v/>
      </c>
      <c r="W134" s="520" t="str">
        <f>IF(S134="","",VLOOKUP(S134,'G-1 All Habitats'!$B$2:$M$129,10,FALSE))</f>
        <v/>
      </c>
      <c r="X134" s="520" t="str">
        <f>IFERROR(VLOOKUP(W134,'G-1 All Habitats'!$V$3:$W$7,2,FALSE),"")</f>
        <v/>
      </c>
      <c r="Y134" s="203"/>
      <c r="Z134" s="524" t="str">
        <f>IFERROR(INDEX('G-8 Condition Look up'!$A$3:$H$130,MATCH(S134,'G-8 Condition Look up'!$A$3:$A$130,0),MATCH(Y134,'G-8 Condition Look up'!$A$3:$H$3,0)),"")</f>
        <v/>
      </c>
      <c r="AA134" s="145"/>
      <c r="AB134" s="540" t="str">
        <f>IF(AA134="","",IF(VLOOKUP(AA134,'G-3 Multipliers'!$L$3:$N$6,2,FALSE)=0,"Spatial Data Missing ⚠",VLOOKUP(AA134,'G-3 Multipliers'!$L$3:$N$6,2,FALSE)))</f>
        <v/>
      </c>
      <c r="AC134" s="524" t="str">
        <f>IF(AA134="","",IF(VLOOKUP(AA134,'G-3 Multipliers'!$L$3:$N$6,3,FALSE)=0,"Spatial Data Missing ⚠",VLOOKUP(AA134,'G-3 Multipliers'!$L$3:$N$6,3,FALSE)))</f>
        <v/>
      </c>
      <c r="AD134" s="537" t="str">
        <f t="shared" si="15"/>
        <v/>
      </c>
      <c r="AE134" s="203"/>
      <c r="AF134" s="203"/>
      <c r="AG134" s="520" t="str">
        <f t="shared" si="18"/>
        <v/>
      </c>
      <c r="AH134" s="544" t="str">
        <f t="shared" si="19"/>
        <v/>
      </c>
      <c r="AI134" s="525" t="str">
        <f>IF(AH134="Check Data ⚠","Check Data ⚠",IFERROR(VLOOKUP(AH134,'G-4 Temporal multipliers'!$A$4:$C$36,3,FALSE),""))</f>
        <v/>
      </c>
      <c r="AJ134" s="537" t="str">
        <f>IF(S134="","",VLOOKUP(S134,'G-3 Multipliers'!$A$2:$E$129,4,FALSE))</f>
        <v/>
      </c>
      <c r="AK134" s="520" t="str">
        <f t="shared" si="20"/>
        <v/>
      </c>
      <c r="AL134" s="520" t="str">
        <f t="shared" si="21"/>
        <v/>
      </c>
      <c r="AM134" s="524" t="str">
        <f>IFERROR(IF(F134="","",IF(AH134="Check Data ⚠","Check Data ⚠",VLOOKUP(AL134, 'G-3 Multipliers'!$P$2:$Q$6,2,FALSE))),"")</f>
        <v/>
      </c>
      <c r="AN134" s="197"/>
      <c r="AO134" s="540" t="str">
        <f>IF(AN134="","",IF(VLOOKUP(AN134,'G-3 Multipliers'!$S$3:$T$9,2,FALSE)=0,"Spatial Data Missing ⚠",VLOOKUP(AN134,'G-3 Multipliers'!$S$3:$T$9,2,FALSE)))</f>
        <v/>
      </c>
      <c r="AP134" s="513" t="str">
        <f t="shared" si="22"/>
        <v/>
      </c>
      <c r="AQ134" s="231"/>
      <c r="AR134" s="150"/>
    </row>
    <row r="135" spans="1:44" x14ac:dyDescent="0.25">
      <c r="A135" s="31" t="str">
        <f>IF(E135="","",IF(ISNA(VLOOKUP($E135,'D-1 Off Site Habitat Baseline'!$D$1:$O$258,2,FALSE)),"",(VLOOKUP($E135,'D-1 Off Site Habitat Baseline'!$D$1:$O$258,2,FALSE))))</f>
        <v/>
      </c>
      <c r="B135" s="31" t="str">
        <f>IF(E135="","",IF(ISNA(VLOOKUP($E135,'D-1 Off Site Habitat Baseline'!$D$1:$O$258,3,FALSE)),"",(VLOOKUP($E135,'D-1 Off Site Habitat Baseline'!$D$1:$O$258,3,FALSE))))</f>
        <v/>
      </c>
      <c r="C135" s="31" t="str">
        <f>IFERROR(INDEX('G-8 Condition Look up'!$I$4:$I$130,MATCH(S135,'G-8 Condition Look up'!$A$4:$A$130,0)),"")</f>
        <v/>
      </c>
      <c r="E135" s="547" t="str">
        <f>'D-1 Off Site Habitat Baseline'!AL134</f>
        <v/>
      </c>
      <c r="F135" s="520" t="str">
        <f>IF(E135="","",IF(ISNA(VLOOKUP($E135,'D-1 Off Site Habitat Baseline'!$D$1:$O$258,4,FALSE)),"",(VLOOKUP($E135,'D-1 Off Site Habitat Baseline'!$D$1:$O$258,4,FALSE))))</f>
        <v/>
      </c>
      <c r="G135" s="520" t="str">
        <f>IF(E135="","",IF(ISNA(VLOOKUP($E135,'D-1 Off Site Habitat Baseline'!$D$1:$O$258,5,FALSE)),"",(VLOOKUP($E135,'D-1 Off Site Habitat Baseline'!$D$1:$O$258,5,FALSE))))</f>
        <v/>
      </c>
      <c r="H135" s="520" t="str">
        <f>IF(E135="","",IF(ISNA(VLOOKUP($E135,'D-1 Off Site Habitat Baseline'!$D$1:$O$258,6,FALSE)),"",(VLOOKUP($E135,'D-1 Off Site Habitat Baseline'!$D$1:$O$258,6,FALSE))))</f>
        <v/>
      </c>
      <c r="I135" s="520" t="str">
        <f>IF(E135="","",IF(ISNA(VLOOKUP($E135,'D-1 Off Site Habitat Baseline'!$D$1:$O$258,7,FALSE)),"",(VLOOKUP($E135,'D-1 Off Site Habitat Baseline'!$D$1:$O$258,7,FALSE))))</f>
        <v/>
      </c>
      <c r="J135" s="520" t="str">
        <f>IF(E135="","",IF(ISNA(VLOOKUP($E135,'D-1 Off Site Habitat Baseline'!$D$1:$O$258,8,FALSE)),"",(VLOOKUP($E135,'D-1 Off Site Habitat Baseline'!$D$1:$O$258,8,FALSE))))</f>
        <v/>
      </c>
      <c r="K135" s="520" t="str">
        <f>IF(E135="","",IF(ISNA(VLOOKUP($E135,'D-1 Off Site Habitat Baseline'!$D$1:$O$258,9,FALSE)),"",(VLOOKUP($E135,'D-1 Off Site Habitat Baseline'!$D$1:$O$258,9,FALSE))))</f>
        <v/>
      </c>
      <c r="L135" s="520" t="str">
        <f>IF(E135="","",IF(ISNA(VLOOKUP($E135,'D-1 Off Site Habitat Baseline'!$D$1:$O$258,11,FALSE)),"",(VLOOKUP($E135,'D-1 Off Site Habitat Baseline'!$D$1:$O$258,11,FALSE))))</f>
        <v/>
      </c>
      <c r="M135" s="520" t="str">
        <f>IF(E135="","",IF(ISNA(VLOOKUP($E135,'D-1 Off Site Habitat Baseline'!$D$1:$O$258,12,FALSE)),"",(VLOOKUP($E135,'D-1 Off Site Habitat Baseline'!$D$1:$O$258,12,FALSE))))</f>
        <v/>
      </c>
      <c r="N135" s="520" t="str">
        <f>IF(E135="","",IF(ISNA(VLOOKUP($E135,'D-1 Off Site Habitat Baseline'!$D$1:$X$258,14,FALSE)),"",(VLOOKUP($E135,'D-1 Off Site Habitat Baseline'!$D$1:$X$258,14,FALSE))))</f>
        <v/>
      </c>
      <c r="O135" s="524" t="str">
        <f>IF(E135="","",IF(ISNA(VLOOKUP($E135,'D-1 Off Site Habitat Baseline'!$D$1:$X$258,13,FALSE)),"",(VLOOKUP($E135,'D-1 Off Site Habitat Baseline'!$D$1:$X$258,13,FALSE))))</f>
        <v/>
      </c>
      <c r="P135" s="232" t="str">
        <f>IFERROR(INDEX('G-1 All Habitats'!$AG$3:$AG$15,MATCH(Q135,'G-1 All Habitats'!$AF$3:$AF$15,0)),"")</f>
        <v/>
      </c>
      <c r="Q135" s="228" t="str">
        <f t="shared" si="23"/>
        <v/>
      </c>
      <c r="R135" s="229" t="str">
        <f t="shared" si="24"/>
        <v/>
      </c>
      <c r="S135" s="233" t="str">
        <f>IFERROR(INDEX('G-1 All Habitats'!$B$3:$B$129,MATCH(R135,'G-1 All Habitats'!$A$3:$A$129,0)),"")</f>
        <v/>
      </c>
      <c r="T135" s="507" t="str">
        <f t="shared" si="16"/>
        <v/>
      </c>
      <c r="U135" s="524" t="str">
        <f t="shared" si="17"/>
        <v/>
      </c>
      <c r="V135" s="523" t="str">
        <f t="shared" si="14"/>
        <v/>
      </c>
      <c r="W135" s="520" t="str">
        <f>IF(S135="","",VLOOKUP(S135,'G-1 All Habitats'!$B$2:$M$129,10,FALSE))</f>
        <v/>
      </c>
      <c r="X135" s="520" t="str">
        <f>IFERROR(VLOOKUP(W135,'G-1 All Habitats'!$V$3:$W$7,2,FALSE),"")</f>
        <v/>
      </c>
      <c r="Y135" s="203"/>
      <c r="Z135" s="524" t="str">
        <f>IFERROR(INDEX('G-8 Condition Look up'!$A$3:$H$130,MATCH(S135,'G-8 Condition Look up'!$A$3:$A$130,0),MATCH(Y135,'G-8 Condition Look up'!$A$3:$H$3,0)),"")</f>
        <v/>
      </c>
      <c r="AA135" s="145"/>
      <c r="AB135" s="540" t="str">
        <f>IF(AA135="","",IF(VLOOKUP(AA135,'G-3 Multipliers'!$L$3:$N$6,2,FALSE)=0,"Spatial Data Missing ⚠",VLOOKUP(AA135,'G-3 Multipliers'!$L$3:$N$6,2,FALSE)))</f>
        <v/>
      </c>
      <c r="AC135" s="524" t="str">
        <f>IF(AA135="","",IF(VLOOKUP(AA135,'G-3 Multipliers'!$L$3:$N$6,3,FALSE)=0,"Spatial Data Missing ⚠",VLOOKUP(AA135,'G-3 Multipliers'!$L$3:$N$6,3,FALSE)))</f>
        <v/>
      </c>
      <c r="AD135" s="537" t="str">
        <f t="shared" si="15"/>
        <v/>
      </c>
      <c r="AE135" s="203"/>
      <c r="AF135" s="203"/>
      <c r="AG135" s="520" t="str">
        <f t="shared" si="18"/>
        <v/>
      </c>
      <c r="AH135" s="544" t="str">
        <f t="shared" si="19"/>
        <v/>
      </c>
      <c r="AI135" s="525" t="str">
        <f>IF(AH135="Check Data ⚠","Check Data ⚠",IFERROR(VLOOKUP(AH135,'G-4 Temporal multipliers'!$A$4:$C$36,3,FALSE),""))</f>
        <v/>
      </c>
      <c r="AJ135" s="537" t="str">
        <f>IF(S135="","",VLOOKUP(S135,'G-3 Multipliers'!$A$2:$E$129,4,FALSE))</f>
        <v/>
      </c>
      <c r="AK135" s="520" t="str">
        <f t="shared" si="20"/>
        <v/>
      </c>
      <c r="AL135" s="520" t="str">
        <f t="shared" si="21"/>
        <v/>
      </c>
      <c r="AM135" s="524" t="str">
        <f>IFERROR(IF(F135="","",IF(AH135="Check Data ⚠","Check Data ⚠",VLOOKUP(AL135, 'G-3 Multipliers'!$P$2:$Q$6,2,FALSE))),"")</f>
        <v/>
      </c>
      <c r="AN135" s="197"/>
      <c r="AO135" s="540" t="str">
        <f>IF(AN135="","",IF(VLOOKUP(AN135,'G-3 Multipliers'!$S$3:$T$9,2,FALSE)=0,"Spatial Data Missing ⚠",VLOOKUP(AN135,'G-3 Multipliers'!$S$3:$T$9,2,FALSE)))</f>
        <v/>
      </c>
      <c r="AP135" s="513" t="str">
        <f t="shared" si="22"/>
        <v/>
      </c>
      <c r="AQ135" s="231"/>
      <c r="AR135" s="150"/>
    </row>
    <row r="136" spans="1:44" x14ac:dyDescent="0.25">
      <c r="A136" s="31" t="str">
        <f>IF(E136="","",IF(ISNA(VLOOKUP($E136,'D-1 Off Site Habitat Baseline'!$D$1:$O$258,2,FALSE)),"",(VLOOKUP($E136,'D-1 Off Site Habitat Baseline'!$D$1:$O$258,2,FALSE))))</f>
        <v/>
      </c>
      <c r="B136" s="31" t="str">
        <f>IF(E136="","",IF(ISNA(VLOOKUP($E136,'D-1 Off Site Habitat Baseline'!$D$1:$O$258,3,FALSE)),"",(VLOOKUP($E136,'D-1 Off Site Habitat Baseline'!$D$1:$O$258,3,FALSE))))</f>
        <v/>
      </c>
      <c r="C136" s="31" t="str">
        <f>IFERROR(INDEX('G-8 Condition Look up'!$I$4:$I$130,MATCH(S136,'G-8 Condition Look up'!$A$4:$A$130,0)),"")</f>
        <v/>
      </c>
      <c r="E136" s="547" t="str">
        <f>'D-1 Off Site Habitat Baseline'!AL135</f>
        <v/>
      </c>
      <c r="F136" s="520" t="str">
        <f>IF(E136="","",IF(ISNA(VLOOKUP($E136,'D-1 Off Site Habitat Baseline'!$D$1:$O$258,4,FALSE)),"",(VLOOKUP($E136,'D-1 Off Site Habitat Baseline'!$D$1:$O$258,4,FALSE))))</f>
        <v/>
      </c>
      <c r="G136" s="520" t="str">
        <f>IF(E136="","",IF(ISNA(VLOOKUP($E136,'D-1 Off Site Habitat Baseline'!$D$1:$O$258,5,FALSE)),"",(VLOOKUP($E136,'D-1 Off Site Habitat Baseline'!$D$1:$O$258,5,FALSE))))</f>
        <v/>
      </c>
      <c r="H136" s="520" t="str">
        <f>IF(E136="","",IF(ISNA(VLOOKUP($E136,'D-1 Off Site Habitat Baseline'!$D$1:$O$258,6,FALSE)),"",(VLOOKUP($E136,'D-1 Off Site Habitat Baseline'!$D$1:$O$258,6,FALSE))))</f>
        <v/>
      </c>
      <c r="I136" s="520" t="str">
        <f>IF(E136="","",IF(ISNA(VLOOKUP($E136,'D-1 Off Site Habitat Baseline'!$D$1:$O$258,7,FALSE)),"",(VLOOKUP($E136,'D-1 Off Site Habitat Baseline'!$D$1:$O$258,7,FALSE))))</f>
        <v/>
      </c>
      <c r="J136" s="520" t="str">
        <f>IF(E136="","",IF(ISNA(VLOOKUP($E136,'D-1 Off Site Habitat Baseline'!$D$1:$O$258,8,FALSE)),"",(VLOOKUP($E136,'D-1 Off Site Habitat Baseline'!$D$1:$O$258,8,FALSE))))</f>
        <v/>
      </c>
      <c r="K136" s="520" t="str">
        <f>IF(E136="","",IF(ISNA(VLOOKUP($E136,'D-1 Off Site Habitat Baseline'!$D$1:$O$258,9,FALSE)),"",(VLOOKUP($E136,'D-1 Off Site Habitat Baseline'!$D$1:$O$258,9,FALSE))))</f>
        <v/>
      </c>
      <c r="L136" s="520" t="str">
        <f>IF(E136="","",IF(ISNA(VLOOKUP($E136,'D-1 Off Site Habitat Baseline'!$D$1:$O$258,11,FALSE)),"",(VLOOKUP($E136,'D-1 Off Site Habitat Baseline'!$D$1:$O$258,11,FALSE))))</f>
        <v/>
      </c>
      <c r="M136" s="520" t="str">
        <f>IF(E136="","",IF(ISNA(VLOOKUP($E136,'D-1 Off Site Habitat Baseline'!$D$1:$O$258,12,FALSE)),"",(VLOOKUP($E136,'D-1 Off Site Habitat Baseline'!$D$1:$O$258,12,FALSE))))</f>
        <v/>
      </c>
      <c r="N136" s="520" t="str">
        <f>IF(E136="","",IF(ISNA(VLOOKUP($E136,'D-1 Off Site Habitat Baseline'!$D$1:$X$258,14,FALSE)),"",(VLOOKUP($E136,'D-1 Off Site Habitat Baseline'!$D$1:$X$258,14,FALSE))))</f>
        <v/>
      </c>
      <c r="O136" s="524" t="str">
        <f>IF(E136="","",IF(ISNA(VLOOKUP($E136,'D-1 Off Site Habitat Baseline'!$D$1:$X$258,13,FALSE)),"",(VLOOKUP($E136,'D-1 Off Site Habitat Baseline'!$D$1:$X$258,13,FALSE))))</f>
        <v/>
      </c>
      <c r="P136" s="232" t="str">
        <f>IFERROR(INDEX('G-1 All Habitats'!$AG$3:$AG$15,MATCH(Q136,'G-1 All Habitats'!$AF$3:$AF$15,0)),"")</f>
        <v/>
      </c>
      <c r="Q136" s="228" t="str">
        <f t="shared" si="23"/>
        <v/>
      </c>
      <c r="R136" s="229" t="str">
        <f t="shared" si="24"/>
        <v/>
      </c>
      <c r="S136" s="233" t="str">
        <f>IFERROR(INDEX('G-1 All Habitats'!$B$3:$B$129,MATCH(R136,'G-1 All Habitats'!$A$3:$A$129,0)),"")</f>
        <v/>
      </c>
      <c r="T136" s="507" t="str">
        <f t="shared" si="16"/>
        <v/>
      </c>
      <c r="U136" s="524" t="str">
        <f t="shared" si="17"/>
        <v/>
      </c>
      <c r="V136" s="523" t="str">
        <f t="shared" si="14"/>
        <v/>
      </c>
      <c r="W136" s="520" t="str">
        <f>IF(S136="","",VLOOKUP(S136,'G-1 All Habitats'!$B$2:$M$129,10,FALSE))</f>
        <v/>
      </c>
      <c r="X136" s="520" t="str">
        <f>IFERROR(VLOOKUP(W136,'G-1 All Habitats'!$V$3:$W$7,2,FALSE),"")</f>
        <v/>
      </c>
      <c r="Y136" s="203"/>
      <c r="Z136" s="524" t="str">
        <f>IFERROR(INDEX('G-8 Condition Look up'!$A$3:$H$130,MATCH(S136,'G-8 Condition Look up'!$A$3:$A$130,0),MATCH(Y136,'G-8 Condition Look up'!$A$3:$H$3,0)),"")</f>
        <v/>
      </c>
      <c r="AA136" s="145"/>
      <c r="AB136" s="540" t="str">
        <f>IF(AA136="","",IF(VLOOKUP(AA136,'G-3 Multipliers'!$L$3:$N$6,2,FALSE)=0,"Spatial Data Missing ⚠",VLOOKUP(AA136,'G-3 Multipliers'!$L$3:$N$6,2,FALSE)))</f>
        <v/>
      </c>
      <c r="AC136" s="524" t="str">
        <f>IF(AA136="","",IF(VLOOKUP(AA136,'G-3 Multipliers'!$L$3:$N$6,3,FALSE)=0,"Spatial Data Missing ⚠",VLOOKUP(AA136,'G-3 Multipliers'!$L$3:$N$6,3,FALSE)))</f>
        <v/>
      </c>
      <c r="AD136" s="537" t="str">
        <f t="shared" si="15"/>
        <v/>
      </c>
      <c r="AE136" s="203"/>
      <c r="AF136" s="203"/>
      <c r="AG136" s="520" t="str">
        <f t="shared" si="18"/>
        <v/>
      </c>
      <c r="AH136" s="544" t="str">
        <f t="shared" si="19"/>
        <v/>
      </c>
      <c r="AI136" s="525" t="str">
        <f>IF(AH136="Check Data ⚠","Check Data ⚠",IFERROR(VLOOKUP(AH136,'G-4 Temporal multipliers'!$A$4:$C$36,3,FALSE),""))</f>
        <v/>
      </c>
      <c r="AJ136" s="537" t="str">
        <f>IF(S136="","",VLOOKUP(S136,'G-3 Multipliers'!$A$2:$E$129,4,FALSE))</f>
        <v/>
      </c>
      <c r="AK136" s="520" t="str">
        <f t="shared" si="20"/>
        <v/>
      </c>
      <c r="AL136" s="520" t="str">
        <f t="shared" si="21"/>
        <v/>
      </c>
      <c r="AM136" s="524" t="str">
        <f>IFERROR(IF(F136="","",IF(AH136="Check Data ⚠","Check Data ⚠",VLOOKUP(AL136, 'G-3 Multipliers'!$P$2:$Q$6,2,FALSE))),"")</f>
        <v/>
      </c>
      <c r="AN136" s="197"/>
      <c r="AO136" s="540" t="str">
        <f>IF(AN136="","",IF(VLOOKUP(AN136,'G-3 Multipliers'!$S$3:$T$9,2,FALSE)=0,"Spatial Data Missing ⚠",VLOOKUP(AN136,'G-3 Multipliers'!$S$3:$T$9,2,FALSE)))</f>
        <v/>
      </c>
      <c r="AP136" s="513" t="str">
        <f t="shared" si="22"/>
        <v/>
      </c>
      <c r="AQ136" s="231"/>
      <c r="AR136" s="150"/>
    </row>
    <row r="137" spans="1:44" x14ac:dyDescent="0.25">
      <c r="A137" s="31" t="str">
        <f>IF(E137="","",IF(ISNA(VLOOKUP($E137,'D-1 Off Site Habitat Baseline'!$D$1:$O$258,2,FALSE)),"",(VLOOKUP($E137,'D-1 Off Site Habitat Baseline'!$D$1:$O$258,2,FALSE))))</f>
        <v/>
      </c>
      <c r="B137" s="31" t="str">
        <f>IF(E137="","",IF(ISNA(VLOOKUP($E137,'D-1 Off Site Habitat Baseline'!$D$1:$O$258,3,FALSE)),"",(VLOOKUP($E137,'D-1 Off Site Habitat Baseline'!$D$1:$O$258,3,FALSE))))</f>
        <v/>
      </c>
      <c r="C137" s="31" t="str">
        <f>IFERROR(INDEX('G-8 Condition Look up'!$I$4:$I$130,MATCH(S137,'G-8 Condition Look up'!$A$4:$A$130,0)),"")</f>
        <v/>
      </c>
      <c r="E137" s="547" t="str">
        <f>'D-1 Off Site Habitat Baseline'!AL136</f>
        <v/>
      </c>
      <c r="F137" s="520" t="str">
        <f>IF(E137="","",IF(ISNA(VLOOKUP($E137,'D-1 Off Site Habitat Baseline'!$D$1:$O$258,4,FALSE)),"",(VLOOKUP($E137,'D-1 Off Site Habitat Baseline'!$D$1:$O$258,4,FALSE))))</f>
        <v/>
      </c>
      <c r="G137" s="520" t="str">
        <f>IF(E137="","",IF(ISNA(VLOOKUP($E137,'D-1 Off Site Habitat Baseline'!$D$1:$O$258,5,FALSE)),"",(VLOOKUP($E137,'D-1 Off Site Habitat Baseline'!$D$1:$O$258,5,FALSE))))</f>
        <v/>
      </c>
      <c r="H137" s="520" t="str">
        <f>IF(E137="","",IF(ISNA(VLOOKUP($E137,'D-1 Off Site Habitat Baseline'!$D$1:$O$258,6,FALSE)),"",(VLOOKUP($E137,'D-1 Off Site Habitat Baseline'!$D$1:$O$258,6,FALSE))))</f>
        <v/>
      </c>
      <c r="I137" s="520" t="str">
        <f>IF(E137="","",IF(ISNA(VLOOKUP($E137,'D-1 Off Site Habitat Baseline'!$D$1:$O$258,7,FALSE)),"",(VLOOKUP($E137,'D-1 Off Site Habitat Baseline'!$D$1:$O$258,7,FALSE))))</f>
        <v/>
      </c>
      <c r="J137" s="520" t="str">
        <f>IF(E137="","",IF(ISNA(VLOOKUP($E137,'D-1 Off Site Habitat Baseline'!$D$1:$O$258,8,FALSE)),"",(VLOOKUP($E137,'D-1 Off Site Habitat Baseline'!$D$1:$O$258,8,FALSE))))</f>
        <v/>
      </c>
      <c r="K137" s="520" t="str">
        <f>IF(E137="","",IF(ISNA(VLOOKUP($E137,'D-1 Off Site Habitat Baseline'!$D$1:$O$258,9,FALSE)),"",(VLOOKUP($E137,'D-1 Off Site Habitat Baseline'!$D$1:$O$258,9,FALSE))))</f>
        <v/>
      </c>
      <c r="L137" s="520" t="str">
        <f>IF(E137="","",IF(ISNA(VLOOKUP($E137,'D-1 Off Site Habitat Baseline'!$D$1:$O$258,11,FALSE)),"",(VLOOKUP($E137,'D-1 Off Site Habitat Baseline'!$D$1:$O$258,11,FALSE))))</f>
        <v/>
      </c>
      <c r="M137" s="520" t="str">
        <f>IF(E137="","",IF(ISNA(VLOOKUP($E137,'D-1 Off Site Habitat Baseline'!$D$1:$O$258,12,FALSE)),"",(VLOOKUP($E137,'D-1 Off Site Habitat Baseline'!$D$1:$O$258,12,FALSE))))</f>
        <v/>
      </c>
      <c r="N137" s="520" t="str">
        <f>IF(E137="","",IF(ISNA(VLOOKUP($E137,'D-1 Off Site Habitat Baseline'!$D$1:$X$258,14,FALSE)),"",(VLOOKUP($E137,'D-1 Off Site Habitat Baseline'!$D$1:$X$258,14,FALSE))))</f>
        <v/>
      </c>
      <c r="O137" s="524" t="str">
        <f>IF(E137="","",IF(ISNA(VLOOKUP($E137,'D-1 Off Site Habitat Baseline'!$D$1:$X$258,13,FALSE)),"",(VLOOKUP($E137,'D-1 Off Site Habitat Baseline'!$D$1:$X$258,13,FALSE))))</f>
        <v/>
      </c>
      <c r="P137" s="232" t="str">
        <f>IFERROR(INDEX('G-1 All Habitats'!$AG$3:$AG$15,MATCH(Q137,'G-1 All Habitats'!$AF$3:$AF$15,0)),"")</f>
        <v/>
      </c>
      <c r="Q137" s="228" t="str">
        <f t="shared" si="23"/>
        <v/>
      </c>
      <c r="R137" s="229" t="str">
        <f t="shared" si="24"/>
        <v/>
      </c>
      <c r="S137" s="233" t="str">
        <f>IFERROR(INDEX('G-1 All Habitats'!$B$3:$B$129,MATCH(R137,'G-1 All Habitats'!$A$3:$A$129,0)),"")</f>
        <v/>
      </c>
      <c r="T137" s="507" t="str">
        <f t="shared" si="16"/>
        <v/>
      </c>
      <c r="U137" s="524" t="str">
        <f t="shared" si="17"/>
        <v/>
      </c>
      <c r="V137" s="523" t="str">
        <f t="shared" si="14"/>
        <v/>
      </c>
      <c r="W137" s="520" t="str">
        <f>IF(S137="","",VLOOKUP(S137,'G-1 All Habitats'!$B$2:$M$129,10,FALSE))</f>
        <v/>
      </c>
      <c r="X137" s="520" t="str">
        <f>IFERROR(VLOOKUP(W137,'G-1 All Habitats'!$V$3:$W$7,2,FALSE),"")</f>
        <v/>
      </c>
      <c r="Y137" s="203"/>
      <c r="Z137" s="524" t="str">
        <f>IFERROR(INDEX('G-8 Condition Look up'!$A$3:$H$130,MATCH(S137,'G-8 Condition Look up'!$A$3:$A$130,0),MATCH(Y137,'G-8 Condition Look up'!$A$3:$H$3,0)),"")</f>
        <v/>
      </c>
      <c r="AA137" s="145"/>
      <c r="AB137" s="540" t="str">
        <f>IF(AA137="","",IF(VLOOKUP(AA137,'G-3 Multipliers'!$L$3:$N$6,2,FALSE)=0,"Spatial Data Missing ⚠",VLOOKUP(AA137,'G-3 Multipliers'!$L$3:$N$6,2,FALSE)))</f>
        <v/>
      </c>
      <c r="AC137" s="524" t="str">
        <f>IF(AA137="","",IF(VLOOKUP(AA137,'G-3 Multipliers'!$L$3:$N$6,3,FALSE)=0,"Spatial Data Missing ⚠",VLOOKUP(AA137,'G-3 Multipliers'!$L$3:$N$6,3,FALSE)))</f>
        <v/>
      </c>
      <c r="AD137" s="537" t="str">
        <f t="shared" si="15"/>
        <v/>
      </c>
      <c r="AE137" s="203"/>
      <c r="AF137" s="203"/>
      <c r="AG137" s="520" t="str">
        <f t="shared" si="18"/>
        <v/>
      </c>
      <c r="AH137" s="544" t="str">
        <f t="shared" si="19"/>
        <v/>
      </c>
      <c r="AI137" s="525" t="str">
        <f>IF(AH137="Check Data ⚠","Check Data ⚠",IFERROR(VLOOKUP(AH137,'G-4 Temporal multipliers'!$A$4:$C$36,3,FALSE),""))</f>
        <v/>
      </c>
      <c r="AJ137" s="537" t="str">
        <f>IF(S137="","",VLOOKUP(S137,'G-3 Multipliers'!$A$2:$E$129,4,FALSE))</f>
        <v/>
      </c>
      <c r="AK137" s="520" t="str">
        <f t="shared" si="20"/>
        <v/>
      </c>
      <c r="AL137" s="520" t="str">
        <f t="shared" si="21"/>
        <v/>
      </c>
      <c r="AM137" s="524" t="str">
        <f>IFERROR(IF(F137="","",IF(AH137="Check Data ⚠","Check Data ⚠",VLOOKUP(AL137, 'G-3 Multipliers'!$P$2:$Q$6,2,FALSE))),"")</f>
        <v/>
      </c>
      <c r="AN137" s="197"/>
      <c r="AO137" s="540" t="str">
        <f>IF(AN137="","",IF(VLOOKUP(AN137,'G-3 Multipliers'!$S$3:$T$9,2,FALSE)=0,"Spatial Data Missing ⚠",VLOOKUP(AN137,'G-3 Multipliers'!$S$3:$T$9,2,FALSE)))</f>
        <v/>
      </c>
      <c r="AP137" s="513" t="str">
        <f t="shared" si="22"/>
        <v/>
      </c>
      <c r="AQ137" s="231"/>
      <c r="AR137" s="150"/>
    </row>
    <row r="138" spans="1:44" x14ac:dyDescent="0.25">
      <c r="A138" s="31" t="str">
        <f>IF(E138="","",IF(ISNA(VLOOKUP($E138,'D-1 Off Site Habitat Baseline'!$D$1:$O$258,2,FALSE)),"",(VLOOKUP($E138,'D-1 Off Site Habitat Baseline'!$D$1:$O$258,2,FALSE))))</f>
        <v/>
      </c>
      <c r="B138" s="31" t="str">
        <f>IF(E138="","",IF(ISNA(VLOOKUP($E138,'D-1 Off Site Habitat Baseline'!$D$1:$O$258,3,FALSE)),"",(VLOOKUP($E138,'D-1 Off Site Habitat Baseline'!$D$1:$O$258,3,FALSE))))</f>
        <v/>
      </c>
      <c r="C138" s="31" t="str">
        <f>IFERROR(INDEX('G-8 Condition Look up'!$I$4:$I$130,MATCH(S138,'G-8 Condition Look up'!$A$4:$A$130,0)),"")</f>
        <v/>
      </c>
      <c r="E138" s="547" t="str">
        <f>'D-1 Off Site Habitat Baseline'!AL137</f>
        <v/>
      </c>
      <c r="F138" s="520" t="str">
        <f>IF(E138="","",IF(ISNA(VLOOKUP($E138,'D-1 Off Site Habitat Baseline'!$D$1:$O$258,4,FALSE)),"",(VLOOKUP($E138,'D-1 Off Site Habitat Baseline'!$D$1:$O$258,4,FALSE))))</f>
        <v/>
      </c>
      <c r="G138" s="520" t="str">
        <f>IF(E138="","",IF(ISNA(VLOOKUP($E138,'D-1 Off Site Habitat Baseline'!$D$1:$O$258,5,FALSE)),"",(VLOOKUP($E138,'D-1 Off Site Habitat Baseline'!$D$1:$O$258,5,FALSE))))</f>
        <v/>
      </c>
      <c r="H138" s="520" t="str">
        <f>IF(E138="","",IF(ISNA(VLOOKUP($E138,'D-1 Off Site Habitat Baseline'!$D$1:$O$258,6,FALSE)),"",(VLOOKUP($E138,'D-1 Off Site Habitat Baseline'!$D$1:$O$258,6,FALSE))))</f>
        <v/>
      </c>
      <c r="I138" s="520" t="str">
        <f>IF(E138="","",IF(ISNA(VLOOKUP($E138,'D-1 Off Site Habitat Baseline'!$D$1:$O$258,7,FALSE)),"",(VLOOKUP($E138,'D-1 Off Site Habitat Baseline'!$D$1:$O$258,7,FALSE))))</f>
        <v/>
      </c>
      <c r="J138" s="520" t="str">
        <f>IF(E138="","",IF(ISNA(VLOOKUP($E138,'D-1 Off Site Habitat Baseline'!$D$1:$O$258,8,FALSE)),"",(VLOOKUP($E138,'D-1 Off Site Habitat Baseline'!$D$1:$O$258,8,FALSE))))</f>
        <v/>
      </c>
      <c r="K138" s="520" t="str">
        <f>IF(E138="","",IF(ISNA(VLOOKUP($E138,'D-1 Off Site Habitat Baseline'!$D$1:$O$258,9,FALSE)),"",(VLOOKUP($E138,'D-1 Off Site Habitat Baseline'!$D$1:$O$258,9,FALSE))))</f>
        <v/>
      </c>
      <c r="L138" s="520" t="str">
        <f>IF(E138="","",IF(ISNA(VLOOKUP($E138,'D-1 Off Site Habitat Baseline'!$D$1:$O$258,11,FALSE)),"",(VLOOKUP($E138,'D-1 Off Site Habitat Baseline'!$D$1:$O$258,11,FALSE))))</f>
        <v/>
      </c>
      <c r="M138" s="520" t="str">
        <f>IF(E138="","",IF(ISNA(VLOOKUP($E138,'D-1 Off Site Habitat Baseline'!$D$1:$O$258,12,FALSE)),"",(VLOOKUP($E138,'D-1 Off Site Habitat Baseline'!$D$1:$O$258,12,FALSE))))</f>
        <v/>
      </c>
      <c r="N138" s="520" t="str">
        <f>IF(E138="","",IF(ISNA(VLOOKUP($E138,'D-1 Off Site Habitat Baseline'!$D$1:$X$258,14,FALSE)),"",(VLOOKUP($E138,'D-1 Off Site Habitat Baseline'!$D$1:$X$258,14,FALSE))))</f>
        <v/>
      </c>
      <c r="O138" s="524" t="str">
        <f>IF(E138="","",IF(ISNA(VLOOKUP($E138,'D-1 Off Site Habitat Baseline'!$D$1:$X$258,13,FALSE)),"",(VLOOKUP($E138,'D-1 Off Site Habitat Baseline'!$D$1:$X$258,13,FALSE))))</f>
        <v/>
      </c>
      <c r="P138" s="232" t="str">
        <f>IFERROR(INDEX('G-1 All Habitats'!$AG$3:$AG$15,MATCH(Q138,'G-1 All Habitats'!$AF$3:$AF$15,0)),"")</f>
        <v/>
      </c>
      <c r="Q138" s="228" t="str">
        <f t="shared" si="23"/>
        <v/>
      </c>
      <c r="R138" s="229" t="str">
        <f t="shared" si="24"/>
        <v/>
      </c>
      <c r="S138" s="233" t="str">
        <f>IFERROR(INDEX('G-1 All Habitats'!$B$3:$B$129,MATCH(R138,'G-1 All Habitats'!$A$3:$A$129,0)),"")</f>
        <v/>
      </c>
      <c r="T138" s="507" t="str">
        <f t="shared" si="16"/>
        <v/>
      </c>
      <c r="U138" s="524" t="str">
        <f t="shared" si="17"/>
        <v/>
      </c>
      <c r="V138" s="523" t="str">
        <f t="shared" si="14"/>
        <v/>
      </c>
      <c r="W138" s="520" t="str">
        <f>IF(S138="","",VLOOKUP(S138,'G-1 All Habitats'!$B$2:$M$129,10,FALSE))</f>
        <v/>
      </c>
      <c r="X138" s="520" t="str">
        <f>IFERROR(VLOOKUP(W138,'G-1 All Habitats'!$V$3:$W$7,2,FALSE),"")</f>
        <v/>
      </c>
      <c r="Y138" s="203"/>
      <c r="Z138" s="524" t="str">
        <f>IFERROR(INDEX('G-8 Condition Look up'!$A$3:$H$130,MATCH(S138,'G-8 Condition Look up'!$A$3:$A$130,0),MATCH(Y138,'G-8 Condition Look up'!$A$3:$H$3,0)),"")</f>
        <v/>
      </c>
      <c r="AA138" s="145"/>
      <c r="AB138" s="540" t="str">
        <f>IF(AA138="","",IF(VLOOKUP(AA138,'G-3 Multipliers'!$L$3:$N$6,2,FALSE)=0,"Spatial Data Missing ⚠",VLOOKUP(AA138,'G-3 Multipliers'!$L$3:$N$6,2,FALSE)))</f>
        <v/>
      </c>
      <c r="AC138" s="524" t="str">
        <f>IF(AA138="","",IF(VLOOKUP(AA138,'G-3 Multipliers'!$L$3:$N$6,3,FALSE)=0,"Spatial Data Missing ⚠",VLOOKUP(AA138,'G-3 Multipliers'!$L$3:$N$6,3,FALSE)))</f>
        <v/>
      </c>
      <c r="AD138" s="537" t="str">
        <f t="shared" si="15"/>
        <v/>
      </c>
      <c r="AE138" s="203"/>
      <c r="AF138" s="203"/>
      <c r="AG138" s="520" t="str">
        <f t="shared" si="18"/>
        <v/>
      </c>
      <c r="AH138" s="544" t="str">
        <f t="shared" si="19"/>
        <v/>
      </c>
      <c r="AI138" s="525" t="str">
        <f>IF(AH138="Check Data ⚠","Check Data ⚠",IFERROR(VLOOKUP(AH138,'G-4 Temporal multipliers'!$A$4:$C$36,3,FALSE),""))</f>
        <v/>
      </c>
      <c r="AJ138" s="537" t="str">
        <f>IF(S138="","",VLOOKUP(S138,'G-3 Multipliers'!$A$2:$E$129,4,FALSE))</f>
        <v/>
      </c>
      <c r="AK138" s="520" t="str">
        <f t="shared" si="20"/>
        <v/>
      </c>
      <c r="AL138" s="520" t="str">
        <f t="shared" si="21"/>
        <v/>
      </c>
      <c r="AM138" s="524" t="str">
        <f>IFERROR(IF(F138="","",IF(AH138="Check Data ⚠","Check Data ⚠",VLOOKUP(AL138, 'G-3 Multipliers'!$P$2:$Q$6,2,FALSE))),"")</f>
        <v/>
      </c>
      <c r="AN138" s="197"/>
      <c r="AO138" s="540" t="str">
        <f>IF(AN138="","",IF(VLOOKUP(AN138,'G-3 Multipliers'!$S$3:$T$9,2,FALSE)=0,"Spatial Data Missing ⚠",VLOOKUP(AN138,'G-3 Multipliers'!$S$3:$T$9,2,FALSE)))</f>
        <v/>
      </c>
      <c r="AP138" s="513" t="str">
        <f t="shared" si="22"/>
        <v/>
      </c>
      <c r="AQ138" s="231"/>
      <c r="AR138" s="150"/>
    </row>
    <row r="139" spans="1:44" x14ac:dyDescent="0.25">
      <c r="A139" s="31" t="str">
        <f>IF(E139="","",IF(ISNA(VLOOKUP($E139,'D-1 Off Site Habitat Baseline'!$D$1:$O$258,2,FALSE)),"",(VLOOKUP($E139,'D-1 Off Site Habitat Baseline'!$D$1:$O$258,2,FALSE))))</f>
        <v/>
      </c>
      <c r="B139" s="31" t="str">
        <f>IF(E139="","",IF(ISNA(VLOOKUP($E139,'D-1 Off Site Habitat Baseline'!$D$1:$O$258,3,FALSE)),"",(VLOOKUP($E139,'D-1 Off Site Habitat Baseline'!$D$1:$O$258,3,FALSE))))</f>
        <v/>
      </c>
      <c r="C139" s="31" t="str">
        <f>IFERROR(INDEX('G-8 Condition Look up'!$I$4:$I$130,MATCH(S139,'G-8 Condition Look up'!$A$4:$A$130,0)),"")</f>
        <v/>
      </c>
      <c r="E139" s="547" t="str">
        <f>'D-1 Off Site Habitat Baseline'!AL138</f>
        <v/>
      </c>
      <c r="F139" s="520" t="str">
        <f>IF(E139="","",IF(ISNA(VLOOKUP($E139,'D-1 Off Site Habitat Baseline'!$D$1:$O$258,4,FALSE)),"",(VLOOKUP($E139,'D-1 Off Site Habitat Baseline'!$D$1:$O$258,4,FALSE))))</f>
        <v/>
      </c>
      <c r="G139" s="520" t="str">
        <f>IF(E139="","",IF(ISNA(VLOOKUP($E139,'D-1 Off Site Habitat Baseline'!$D$1:$O$258,5,FALSE)),"",(VLOOKUP($E139,'D-1 Off Site Habitat Baseline'!$D$1:$O$258,5,FALSE))))</f>
        <v/>
      </c>
      <c r="H139" s="520" t="str">
        <f>IF(E139="","",IF(ISNA(VLOOKUP($E139,'D-1 Off Site Habitat Baseline'!$D$1:$O$258,6,FALSE)),"",(VLOOKUP($E139,'D-1 Off Site Habitat Baseline'!$D$1:$O$258,6,FALSE))))</f>
        <v/>
      </c>
      <c r="I139" s="520" t="str">
        <f>IF(E139="","",IF(ISNA(VLOOKUP($E139,'D-1 Off Site Habitat Baseline'!$D$1:$O$258,7,FALSE)),"",(VLOOKUP($E139,'D-1 Off Site Habitat Baseline'!$D$1:$O$258,7,FALSE))))</f>
        <v/>
      </c>
      <c r="J139" s="520" t="str">
        <f>IF(E139="","",IF(ISNA(VLOOKUP($E139,'D-1 Off Site Habitat Baseline'!$D$1:$O$258,8,FALSE)),"",(VLOOKUP($E139,'D-1 Off Site Habitat Baseline'!$D$1:$O$258,8,FALSE))))</f>
        <v/>
      </c>
      <c r="K139" s="520" t="str">
        <f>IF(E139="","",IF(ISNA(VLOOKUP($E139,'D-1 Off Site Habitat Baseline'!$D$1:$O$258,9,FALSE)),"",(VLOOKUP($E139,'D-1 Off Site Habitat Baseline'!$D$1:$O$258,9,FALSE))))</f>
        <v/>
      </c>
      <c r="L139" s="520" t="str">
        <f>IF(E139="","",IF(ISNA(VLOOKUP($E139,'D-1 Off Site Habitat Baseline'!$D$1:$O$258,11,FALSE)),"",(VLOOKUP($E139,'D-1 Off Site Habitat Baseline'!$D$1:$O$258,11,FALSE))))</f>
        <v/>
      </c>
      <c r="M139" s="520" t="str">
        <f>IF(E139="","",IF(ISNA(VLOOKUP($E139,'D-1 Off Site Habitat Baseline'!$D$1:$O$258,12,FALSE)),"",(VLOOKUP($E139,'D-1 Off Site Habitat Baseline'!$D$1:$O$258,12,FALSE))))</f>
        <v/>
      </c>
      <c r="N139" s="520" t="str">
        <f>IF(E139="","",IF(ISNA(VLOOKUP($E139,'D-1 Off Site Habitat Baseline'!$D$1:$X$258,14,FALSE)),"",(VLOOKUP($E139,'D-1 Off Site Habitat Baseline'!$D$1:$X$258,14,FALSE))))</f>
        <v/>
      </c>
      <c r="O139" s="524" t="str">
        <f>IF(E139="","",IF(ISNA(VLOOKUP($E139,'D-1 Off Site Habitat Baseline'!$D$1:$X$258,13,FALSE)),"",(VLOOKUP($E139,'D-1 Off Site Habitat Baseline'!$D$1:$X$258,13,FALSE))))</f>
        <v/>
      </c>
      <c r="P139" s="232" t="str">
        <f>IFERROR(INDEX('G-1 All Habitats'!$AG$3:$AG$15,MATCH(Q139,'G-1 All Habitats'!$AF$3:$AF$15,0)),"")</f>
        <v/>
      </c>
      <c r="Q139" s="228" t="str">
        <f t="shared" si="23"/>
        <v/>
      </c>
      <c r="R139" s="229" t="str">
        <f t="shared" si="24"/>
        <v/>
      </c>
      <c r="S139" s="233" t="str">
        <f>IFERROR(INDEX('G-1 All Habitats'!$B$3:$B$129,MATCH(R139,'G-1 All Habitats'!$A$3:$A$129,0)),"")</f>
        <v/>
      </c>
      <c r="T139" s="507" t="str">
        <f t="shared" si="16"/>
        <v/>
      </c>
      <c r="U139" s="524" t="str">
        <f t="shared" si="17"/>
        <v/>
      </c>
      <c r="V139" s="523" t="str">
        <f t="shared" si="14"/>
        <v/>
      </c>
      <c r="W139" s="520" t="str">
        <f>IF(S139="","",VLOOKUP(S139,'G-1 All Habitats'!$B$2:$M$129,10,FALSE))</f>
        <v/>
      </c>
      <c r="X139" s="520" t="str">
        <f>IFERROR(VLOOKUP(W139,'G-1 All Habitats'!$V$3:$W$7,2,FALSE),"")</f>
        <v/>
      </c>
      <c r="Y139" s="203"/>
      <c r="Z139" s="524" t="str">
        <f>IFERROR(INDEX('G-8 Condition Look up'!$A$3:$H$130,MATCH(S139,'G-8 Condition Look up'!$A$3:$A$130,0),MATCH(Y139,'G-8 Condition Look up'!$A$3:$H$3,0)),"")</f>
        <v/>
      </c>
      <c r="AA139" s="145"/>
      <c r="AB139" s="540" t="str">
        <f>IF(AA139="","",IF(VLOOKUP(AA139,'G-3 Multipliers'!$L$3:$N$6,2,FALSE)=0,"Spatial Data Missing ⚠",VLOOKUP(AA139,'G-3 Multipliers'!$L$3:$N$6,2,FALSE)))</f>
        <v/>
      </c>
      <c r="AC139" s="524" t="str">
        <f>IF(AA139="","",IF(VLOOKUP(AA139,'G-3 Multipliers'!$L$3:$N$6,3,FALSE)=0,"Spatial Data Missing ⚠",VLOOKUP(AA139,'G-3 Multipliers'!$L$3:$N$6,3,FALSE)))</f>
        <v/>
      </c>
      <c r="AD139" s="537" t="str">
        <f t="shared" si="15"/>
        <v/>
      </c>
      <c r="AE139" s="203"/>
      <c r="AF139" s="203"/>
      <c r="AG139" s="520" t="str">
        <f t="shared" si="18"/>
        <v/>
      </c>
      <c r="AH139" s="544" t="str">
        <f t="shared" si="19"/>
        <v/>
      </c>
      <c r="AI139" s="525" t="str">
        <f>IF(AH139="Check Data ⚠","Check Data ⚠",IFERROR(VLOOKUP(AH139,'G-4 Temporal multipliers'!$A$4:$C$36,3,FALSE),""))</f>
        <v/>
      </c>
      <c r="AJ139" s="537" t="str">
        <f>IF(S139="","",VLOOKUP(S139,'G-3 Multipliers'!$A$2:$E$129,4,FALSE))</f>
        <v/>
      </c>
      <c r="AK139" s="520" t="str">
        <f t="shared" si="20"/>
        <v/>
      </c>
      <c r="AL139" s="520" t="str">
        <f t="shared" si="21"/>
        <v/>
      </c>
      <c r="AM139" s="524" t="str">
        <f>IFERROR(IF(F139="","",IF(AH139="Check Data ⚠","Check Data ⚠",VLOOKUP(AL139, 'G-3 Multipliers'!$P$2:$Q$6,2,FALSE))),"")</f>
        <v/>
      </c>
      <c r="AN139" s="197"/>
      <c r="AO139" s="540" t="str">
        <f>IF(AN139="","",IF(VLOOKUP(AN139,'G-3 Multipliers'!$S$3:$T$9,2,FALSE)=0,"Spatial Data Missing ⚠",VLOOKUP(AN139,'G-3 Multipliers'!$S$3:$T$9,2,FALSE)))</f>
        <v/>
      </c>
      <c r="AP139" s="513" t="str">
        <f t="shared" si="22"/>
        <v/>
      </c>
      <c r="AQ139" s="231"/>
      <c r="AR139" s="150"/>
    </row>
    <row r="140" spans="1:44" x14ac:dyDescent="0.25">
      <c r="A140" s="31" t="str">
        <f>IF(E140="","",IF(ISNA(VLOOKUP($E140,'D-1 Off Site Habitat Baseline'!$D$1:$O$258,2,FALSE)),"",(VLOOKUP($E140,'D-1 Off Site Habitat Baseline'!$D$1:$O$258,2,FALSE))))</f>
        <v/>
      </c>
      <c r="B140" s="31" t="str">
        <f>IF(E140="","",IF(ISNA(VLOOKUP($E140,'D-1 Off Site Habitat Baseline'!$D$1:$O$258,3,FALSE)),"",(VLOOKUP($E140,'D-1 Off Site Habitat Baseline'!$D$1:$O$258,3,FALSE))))</f>
        <v/>
      </c>
      <c r="C140" s="31" t="str">
        <f>IFERROR(INDEX('G-8 Condition Look up'!$I$4:$I$130,MATCH(S140,'G-8 Condition Look up'!$A$4:$A$130,0)),"")</f>
        <v/>
      </c>
      <c r="E140" s="547" t="str">
        <f>'D-1 Off Site Habitat Baseline'!AL139</f>
        <v/>
      </c>
      <c r="F140" s="520" t="str">
        <f>IF(E140="","",IF(ISNA(VLOOKUP($E140,'D-1 Off Site Habitat Baseline'!$D$1:$O$258,4,FALSE)),"",(VLOOKUP($E140,'D-1 Off Site Habitat Baseline'!$D$1:$O$258,4,FALSE))))</f>
        <v/>
      </c>
      <c r="G140" s="520" t="str">
        <f>IF(E140="","",IF(ISNA(VLOOKUP($E140,'D-1 Off Site Habitat Baseline'!$D$1:$O$258,5,FALSE)),"",(VLOOKUP($E140,'D-1 Off Site Habitat Baseline'!$D$1:$O$258,5,FALSE))))</f>
        <v/>
      </c>
      <c r="H140" s="520" t="str">
        <f>IF(E140="","",IF(ISNA(VLOOKUP($E140,'D-1 Off Site Habitat Baseline'!$D$1:$O$258,6,FALSE)),"",(VLOOKUP($E140,'D-1 Off Site Habitat Baseline'!$D$1:$O$258,6,FALSE))))</f>
        <v/>
      </c>
      <c r="I140" s="520" t="str">
        <f>IF(E140="","",IF(ISNA(VLOOKUP($E140,'D-1 Off Site Habitat Baseline'!$D$1:$O$258,7,FALSE)),"",(VLOOKUP($E140,'D-1 Off Site Habitat Baseline'!$D$1:$O$258,7,FALSE))))</f>
        <v/>
      </c>
      <c r="J140" s="520" t="str">
        <f>IF(E140="","",IF(ISNA(VLOOKUP($E140,'D-1 Off Site Habitat Baseline'!$D$1:$O$258,8,FALSE)),"",(VLOOKUP($E140,'D-1 Off Site Habitat Baseline'!$D$1:$O$258,8,FALSE))))</f>
        <v/>
      </c>
      <c r="K140" s="520" t="str">
        <f>IF(E140="","",IF(ISNA(VLOOKUP($E140,'D-1 Off Site Habitat Baseline'!$D$1:$O$258,9,FALSE)),"",(VLOOKUP($E140,'D-1 Off Site Habitat Baseline'!$D$1:$O$258,9,FALSE))))</f>
        <v/>
      </c>
      <c r="L140" s="520" t="str">
        <f>IF(E140="","",IF(ISNA(VLOOKUP($E140,'D-1 Off Site Habitat Baseline'!$D$1:$O$258,11,FALSE)),"",(VLOOKUP($E140,'D-1 Off Site Habitat Baseline'!$D$1:$O$258,11,FALSE))))</f>
        <v/>
      </c>
      <c r="M140" s="520" t="str">
        <f>IF(E140="","",IF(ISNA(VLOOKUP($E140,'D-1 Off Site Habitat Baseline'!$D$1:$O$258,12,FALSE)),"",(VLOOKUP($E140,'D-1 Off Site Habitat Baseline'!$D$1:$O$258,12,FALSE))))</f>
        <v/>
      </c>
      <c r="N140" s="520" t="str">
        <f>IF(E140="","",IF(ISNA(VLOOKUP($E140,'D-1 Off Site Habitat Baseline'!$D$1:$X$258,14,FALSE)),"",(VLOOKUP($E140,'D-1 Off Site Habitat Baseline'!$D$1:$X$258,14,FALSE))))</f>
        <v/>
      </c>
      <c r="O140" s="524" t="str">
        <f>IF(E140="","",IF(ISNA(VLOOKUP($E140,'D-1 Off Site Habitat Baseline'!$D$1:$X$258,13,FALSE)),"",(VLOOKUP($E140,'D-1 Off Site Habitat Baseline'!$D$1:$X$258,13,FALSE))))</f>
        <v/>
      </c>
      <c r="P140" s="232" t="str">
        <f>IFERROR(INDEX('G-1 All Habitats'!$AG$3:$AG$15,MATCH(Q140,'G-1 All Habitats'!$AF$3:$AF$15,0)),"")</f>
        <v/>
      </c>
      <c r="Q140" s="228" t="str">
        <f t="shared" si="23"/>
        <v/>
      </c>
      <c r="R140" s="229" t="str">
        <f t="shared" si="24"/>
        <v/>
      </c>
      <c r="S140" s="233" t="str">
        <f>IFERROR(INDEX('G-1 All Habitats'!$B$3:$B$129,MATCH(R140,'G-1 All Habitats'!$A$3:$A$129,0)),"")</f>
        <v/>
      </c>
      <c r="T140" s="507" t="str">
        <f t="shared" si="16"/>
        <v/>
      </c>
      <c r="U140" s="524" t="str">
        <f t="shared" si="17"/>
        <v/>
      </c>
      <c r="V140" s="523" t="str">
        <f t="shared" ref="V140:V203" si="25">IF(S140="","",VLOOKUP(E140,BaselineHabOffsite,17,FALSE))</f>
        <v/>
      </c>
      <c r="W140" s="520" t="str">
        <f>IF(S140="","",VLOOKUP(S140,'G-1 All Habitats'!$B$2:$M$129,10,FALSE))</f>
        <v/>
      </c>
      <c r="X140" s="520" t="str">
        <f>IFERROR(VLOOKUP(W140,'G-1 All Habitats'!$V$3:$W$7,2,FALSE),"")</f>
        <v/>
      </c>
      <c r="Y140" s="203"/>
      <c r="Z140" s="524" t="str">
        <f>IFERROR(INDEX('G-8 Condition Look up'!$A$3:$H$130,MATCH(S140,'G-8 Condition Look up'!$A$3:$A$130,0),MATCH(Y140,'G-8 Condition Look up'!$A$3:$H$3,0)),"")</f>
        <v/>
      </c>
      <c r="AA140" s="145"/>
      <c r="AB140" s="540" t="str">
        <f>IF(AA140="","",IF(VLOOKUP(AA140,'G-3 Multipliers'!$L$3:$N$6,2,FALSE)=0,"Spatial Data Missing ⚠",VLOOKUP(AA140,'G-3 Multipliers'!$L$3:$N$6,2,FALSE)))</f>
        <v/>
      </c>
      <c r="AC140" s="524" t="str">
        <f>IF(AA140="","",IF(VLOOKUP(AA140,'G-3 Multipliers'!$L$3:$N$6,3,FALSE)=0,"Spatial Data Missing ⚠",VLOOKUP(AA140,'G-3 Multipliers'!$L$3:$N$6,3,FALSE)))</f>
        <v/>
      </c>
      <c r="AD140" s="537" t="str">
        <f t="shared" ref="AD140:AD203" si="26">IFERROR(IF(OR(LEFT(U140,5)="Error ▲",LEFT(T140,5)="Error ▲"),"Check Data ⚠",INDEX(EnhanceTemporal,MATCH(S140,EnhanceHabitat,0),MATCH(U140,EnhanceCondition,0))),"")</f>
        <v/>
      </c>
      <c r="AE140" s="203"/>
      <c r="AF140" s="203"/>
      <c r="AG140" s="520" t="str">
        <f t="shared" si="18"/>
        <v/>
      </c>
      <c r="AH140" s="544" t="str">
        <f t="shared" si="19"/>
        <v/>
      </c>
      <c r="AI140" s="525" t="str">
        <f>IF(AH140="Check Data ⚠","Check Data ⚠",IFERROR(VLOOKUP(AH140,'G-4 Temporal multipliers'!$A$4:$C$36,3,FALSE),""))</f>
        <v/>
      </c>
      <c r="AJ140" s="537" t="str">
        <f>IF(S140="","",VLOOKUP(S140,'G-3 Multipliers'!$A$2:$E$129,4,FALSE))</f>
        <v/>
      </c>
      <c r="AK140" s="520" t="str">
        <f t="shared" si="20"/>
        <v/>
      </c>
      <c r="AL140" s="520" t="str">
        <f t="shared" si="21"/>
        <v/>
      </c>
      <c r="AM140" s="524" t="str">
        <f>IFERROR(IF(F140="","",IF(AH140="Check Data ⚠","Check Data ⚠",VLOOKUP(AL140, 'G-3 Multipliers'!$P$2:$Q$6,2,FALSE))),"")</f>
        <v/>
      </c>
      <c r="AN140" s="197"/>
      <c r="AO140" s="540" t="str">
        <f>IF(AN140="","",IF(VLOOKUP(AN140,'G-3 Multipliers'!$S$3:$T$9,2,FALSE)=0,"Spatial Data Missing ⚠",VLOOKUP(AN140,'G-3 Multipliers'!$S$3:$T$9,2,FALSE)))</f>
        <v/>
      </c>
      <c r="AP140" s="513" t="str">
        <f t="shared" si="22"/>
        <v/>
      </c>
      <c r="AQ140" s="231"/>
      <c r="AR140" s="150"/>
    </row>
    <row r="141" spans="1:44" x14ac:dyDescent="0.25">
      <c r="A141" s="31" t="str">
        <f>IF(E141="","",IF(ISNA(VLOOKUP($E141,'D-1 Off Site Habitat Baseline'!$D$1:$O$258,2,FALSE)),"",(VLOOKUP($E141,'D-1 Off Site Habitat Baseline'!$D$1:$O$258,2,FALSE))))</f>
        <v/>
      </c>
      <c r="B141" s="31" t="str">
        <f>IF(E141="","",IF(ISNA(VLOOKUP($E141,'D-1 Off Site Habitat Baseline'!$D$1:$O$258,3,FALSE)),"",(VLOOKUP($E141,'D-1 Off Site Habitat Baseline'!$D$1:$O$258,3,FALSE))))</f>
        <v/>
      </c>
      <c r="C141" s="31" t="str">
        <f>IFERROR(INDEX('G-8 Condition Look up'!$I$4:$I$130,MATCH(S141,'G-8 Condition Look up'!$A$4:$A$130,0)),"")</f>
        <v/>
      </c>
      <c r="E141" s="547" t="str">
        <f>'D-1 Off Site Habitat Baseline'!AL140</f>
        <v/>
      </c>
      <c r="F141" s="520" t="str">
        <f>IF(E141="","",IF(ISNA(VLOOKUP($E141,'D-1 Off Site Habitat Baseline'!$D$1:$O$258,4,FALSE)),"",(VLOOKUP($E141,'D-1 Off Site Habitat Baseline'!$D$1:$O$258,4,FALSE))))</f>
        <v/>
      </c>
      <c r="G141" s="520" t="str">
        <f>IF(E141="","",IF(ISNA(VLOOKUP($E141,'D-1 Off Site Habitat Baseline'!$D$1:$O$258,5,FALSE)),"",(VLOOKUP($E141,'D-1 Off Site Habitat Baseline'!$D$1:$O$258,5,FALSE))))</f>
        <v/>
      </c>
      <c r="H141" s="520" t="str">
        <f>IF(E141="","",IF(ISNA(VLOOKUP($E141,'D-1 Off Site Habitat Baseline'!$D$1:$O$258,6,FALSE)),"",(VLOOKUP($E141,'D-1 Off Site Habitat Baseline'!$D$1:$O$258,6,FALSE))))</f>
        <v/>
      </c>
      <c r="I141" s="520" t="str">
        <f>IF(E141="","",IF(ISNA(VLOOKUP($E141,'D-1 Off Site Habitat Baseline'!$D$1:$O$258,7,FALSE)),"",(VLOOKUP($E141,'D-1 Off Site Habitat Baseline'!$D$1:$O$258,7,FALSE))))</f>
        <v/>
      </c>
      <c r="J141" s="520" t="str">
        <f>IF(E141="","",IF(ISNA(VLOOKUP($E141,'D-1 Off Site Habitat Baseline'!$D$1:$O$258,8,FALSE)),"",(VLOOKUP($E141,'D-1 Off Site Habitat Baseline'!$D$1:$O$258,8,FALSE))))</f>
        <v/>
      </c>
      <c r="K141" s="520" t="str">
        <f>IF(E141="","",IF(ISNA(VLOOKUP($E141,'D-1 Off Site Habitat Baseline'!$D$1:$O$258,9,FALSE)),"",(VLOOKUP($E141,'D-1 Off Site Habitat Baseline'!$D$1:$O$258,9,FALSE))))</f>
        <v/>
      </c>
      <c r="L141" s="520" t="str">
        <f>IF(E141="","",IF(ISNA(VLOOKUP($E141,'D-1 Off Site Habitat Baseline'!$D$1:$O$258,11,FALSE)),"",(VLOOKUP($E141,'D-1 Off Site Habitat Baseline'!$D$1:$O$258,11,FALSE))))</f>
        <v/>
      </c>
      <c r="M141" s="520" t="str">
        <f>IF(E141="","",IF(ISNA(VLOOKUP($E141,'D-1 Off Site Habitat Baseline'!$D$1:$O$258,12,FALSE)),"",(VLOOKUP($E141,'D-1 Off Site Habitat Baseline'!$D$1:$O$258,12,FALSE))))</f>
        <v/>
      </c>
      <c r="N141" s="520" t="str">
        <f>IF(E141="","",IF(ISNA(VLOOKUP($E141,'D-1 Off Site Habitat Baseline'!$D$1:$X$258,14,FALSE)),"",(VLOOKUP($E141,'D-1 Off Site Habitat Baseline'!$D$1:$X$258,14,FALSE))))</f>
        <v/>
      </c>
      <c r="O141" s="524" t="str">
        <f>IF(E141="","",IF(ISNA(VLOOKUP($E141,'D-1 Off Site Habitat Baseline'!$D$1:$X$258,13,FALSE)),"",(VLOOKUP($E141,'D-1 Off Site Habitat Baseline'!$D$1:$X$258,13,FALSE))))</f>
        <v/>
      </c>
      <c r="P141" s="232" t="str">
        <f>IFERROR(INDEX('G-1 All Habitats'!$AG$3:$AG$15,MATCH(Q141,'G-1 All Habitats'!$AF$3:$AF$15,0)),"")</f>
        <v/>
      </c>
      <c r="Q141" s="228" t="str">
        <f t="shared" si="23"/>
        <v/>
      </c>
      <c r="R141" s="229" t="str">
        <f t="shared" si="24"/>
        <v/>
      </c>
      <c r="S141" s="233" t="str">
        <f>IFERROR(INDEX('G-1 All Habitats'!$B$3:$B$129,MATCH(R141,'G-1 All Habitats'!$A$3:$A$129,0)),"")</f>
        <v/>
      </c>
      <c r="T141" s="507" t="str">
        <f t="shared" ref="T141:T204" si="27">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524" t="str">
        <f t="shared" ref="U141:U204" si="28">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23" t="str">
        <f t="shared" si="25"/>
        <v/>
      </c>
      <c r="W141" s="520" t="str">
        <f>IF(S141="","",VLOOKUP(S141,'G-1 All Habitats'!$B$2:$M$129,10,FALSE))</f>
        <v/>
      </c>
      <c r="X141" s="520" t="str">
        <f>IFERROR(VLOOKUP(W141,'G-1 All Habitats'!$V$3:$W$7,2,FALSE),"")</f>
        <v/>
      </c>
      <c r="Y141" s="203"/>
      <c r="Z141" s="524" t="str">
        <f>IFERROR(INDEX('G-8 Condition Look up'!$A$3:$H$130,MATCH(S141,'G-8 Condition Look up'!$A$3:$A$130,0),MATCH(Y141,'G-8 Condition Look up'!$A$3:$H$3,0)),"")</f>
        <v/>
      </c>
      <c r="AA141" s="145"/>
      <c r="AB141" s="540" t="str">
        <f>IF(AA141="","",IF(VLOOKUP(AA141,'G-3 Multipliers'!$L$3:$N$6,2,FALSE)=0,"Spatial Data Missing ⚠",VLOOKUP(AA141,'G-3 Multipliers'!$L$3:$N$6,2,FALSE)))</f>
        <v/>
      </c>
      <c r="AC141" s="524" t="str">
        <f>IF(AA141="","",IF(VLOOKUP(AA141,'G-3 Multipliers'!$L$3:$N$6,3,FALSE)=0,"Spatial Data Missing ⚠",VLOOKUP(AA141,'G-3 Multipliers'!$L$3:$N$6,3,FALSE)))</f>
        <v/>
      </c>
      <c r="AD141" s="537" t="str">
        <f t="shared" si="26"/>
        <v/>
      </c>
      <c r="AE141" s="203"/>
      <c r="AF141" s="203"/>
      <c r="AG141" s="520" t="str">
        <f t="shared" ref="AG141:AG204" si="29">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44" t="str">
        <f t="shared" ref="AH141:AH204" si="30">IF(LEFT(AG141,5)="Error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525" t="str">
        <f>IF(AH141="Check Data ⚠","Check Data ⚠",IFERROR(VLOOKUP(AH141,'G-4 Temporal multipliers'!$A$4:$C$36,3,FALSE),""))</f>
        <v/>
      </c>
      <c r="AJ141" s="537" t="str">
        <f>IF(S141="","",VLOOKUP(S141,'G-3 Multipliers'!$A$2:$E$129,4,FALSE))</f>
        <v/>
      </c>
      <c r="AK141" s="520" t="str">
        <f t="shared" ref="AK141:AK204" si="31">IF(E141="","",IF(AG141="Check details - Is there evidence that habitat has reached target condition? ⚠","Low Difficulty - only applicable if all habitat created before losses","Standard difficulty applied"))</f>
        <v/>
      </c>
      <c r="AL141" s="520" t="str">
        <f t="shared" ref="AL141:AL204" si="32">(IF(AND(AK141="Standard difficulty applied",AD141&gt;AE141),AJ141,IF(AND(AK141="Low Difficulty - only applicable if all habitat created before losses",AE141&gt;=AD141),"Low", AJ141)))</f>
        <v/>
      </c>
      <c r="AM141" s="524" t="str">
        <f>IFERROR(IF(F141="","",IF(AH141="Check Data ⚠","Check Data ⚠",VLOOKUP(AL141, 'G-3 Multipliers'!$P$2:$Q$6,2,FALSE))),"")</f>
        <v/>
      </c>
      <c r="AN141" s="197"/>
      <c r="AO141" s="540" t="str">
        <f>IF(AN141="","",IF(VLOOKUP(AN141,'G-3 Multipliers'!$S$3:$T$9,2,FALSE)=0,"Spatial Data Missing ⚠",VLOOKUP(AN141,'G-3 Multipliers'!$S$3:$T$9,2,FALSE)))</f>
        <v/>
      </c>
      <c r="AP141" s="513" t="str">
        <f t="shared" ref="AP141:AP204" si="33">IFERROR(((((V141*X141*Z141)-(V141*I141*K141))*(AM141*AI141))+(V141*I141*K141))*(AC141)*AO141,"")</f>
        <v/>
      </c>
      <c r="AQ141" s="231"/>
      <c r="AR141" s="150"/>
    </row>
    <row r="142" spans="1:44" x14ac:dyDescent="0.25">
      <c r="A142" s="31" t="str">
        <f>IF(E142="","",IF(ISNA(VLOOKUP($E142,'D-1 Off Site Habitat Baseline'!$D$1:$O$258,2,FALSE)),"",(VLOOKUP($E142,'D-1 Off Site Habitat Baseline'!$D$1:$O$258,2,FALSE))))</f>
        <v/>
      </c>
      <c r="B142" s="31" t="str">
        <f>IF(E142="","",IF(ISNA(VLOOKUP($E142,'D-1 Off Site Habitat Baseline'!$D$1:$O$258,3,FALSE)),"",(VLOOKUP($E142,'D-1 Off Site Habitat Baseline'!$D$1:$O$258,3,FALSE))))</f>
        <v/>
      </c>
      <c r="C142" s="31" t="str">
        <f>IFERROR(INDEX('G-8 Condition Look up'!$I$4:$I$130,MATCH(S142,'G-8 Condition Look up'!$A$4:$A$130,0)),"")</f>
        <v/>
      </c>
      <c r="E142" s="547" t="str">
        <f>'D-1 Off Site Habitat Baseline'!AL141</f>
        <v/>
      </c>
      <c r="F142" s="520" t="str">
        <f>IF(E142="","",IF(ISNA(VLOOKUP($E142,'D-1 Off Site Habitat Baseline'!$D$1:$O$258,4,FALSE)),"",(VLOOKUP($E142,'D-1 Off Site Habitat Baseline'!$D$1:$O$258,4,FALSE))))</f>
        <v/>
      </c>
      <c r="G142" s="520" t="str">
        <f>IF(E142="","",IF(ISNA(VLOOKUP($E142,'D-1 Off Site Habitat Baseline'!$D$1:$O$258,5,FALSE)),"",(VLOOKUP($E142,'D-1 Off Site Habitat Baseline'!$D$1:$O$258,5,FALSE))))</f>
        <v/>
      </c>
      <c r="H142" s="520" t="str">
        <f>IF(E142="","",IF(ISNA(VLOOKUP($E142,'D-1 Off Site Habitat Baseline'!$D$1:$O$258,6,FALSE)),"",(VLOOKUP($E142,'D-1 Off Site Habitat Baseline'!$D$1:$O$258,6,FALSE))))</f>
        <v/>
      </c>
      <c r="I142" s="520" t="str">
        <f>IF(E142="","",IF(ISNA(VLOOKUP($E142,'D-1 Off Site Habitat Baseline'!$D$1:$O$258,7,FALSE)),"",(VLOOKUP($E142,'D-1 Off Site Habitat Baseline'!$D$1:$O$258,7,FALSE))))</f>
        <v/>
      </c>
      <c r="J142" s="520" t="str">
        <f>IF(E142="","",IF(ISNA(VLOOKUP($E142,'D-1 Off Site Habitat Baseline'!$D$1:$O$258,8,FALSE)),"",(VLOOKUP($E142,'D-1 Off Site Habitat Baseline'!$D$1:$O$258,8,FALSE))))</f>
        <v/>
      </c>
      <c r="K142" s="520" t="str">
        <f>IF(E142="","",IF(ISNA(VLOOKUP($E142,'D-1 Off Site Habitat Baseline'!$D$1:$O$258,9,FALSE)),"",(VLOOKUP($E142,'D-1 Off Site Habitat Baseline'!$D$1:$O$258,9,FALSE))))</f>
        <v/>
      </c>
      <c r="L142" s="520" t="str">
        <f>IF(E142="","",IF(ISNA(VLOOKUP($E142,'D-1 Off Site Habitat Baseline'!$D$1:$O$258,11,FALSE)),"",(VLOOKUP($E142,'D-1 Off Site Habitat Baseline'!$D$1:$O$258,11,FALSE))))</f>
        <v/>
      </c>
      <c r="M142" s="520" t="str">
        <f>IF(E142="","",IF(ISNA(VLOOKUP($E142,'D-1 Off Site Habitat Baseline'!$D$1:$O$258,12,FALSE)),"",(VLOOKUP($E142,'D-1 Off Site Habitat Baseline'!$D$1:$O$258,12,FALSE))))</f>
        <v/>
      </c>
      <c r="N142" s="520" t="str">
        <f>IF(E142="","",IF(ISNA(VLOOKUP($E142,'D-1 Off Site Habitat Baseline'!$D$1:$X$258,14,FALSE)),"",(VLOOKUP($E142,'D-1 Off Site Habitat Baseline'!$D$1:$X$258,14,FALSE))))</f>
        <v/>
      </c>
      <c r="O142" s="524" t="str">
        <f>IF(E142="","",IF(ISNA(VLOOKUP($E142,'D-1 Off Site Habitat Baseline'!$D$1:$X$258,13,FALSE)),"",(VLOOKUP($E142,'D-1 Off Site Habitat Baseline'!$D$1:$X$258,13,FALSE))))</f>
        <v/>
      </c>
      <c r="P142" s="232" t="str">
        <f>IFERROR(INDEX('G-1 All Habitats'!$AG$3:$AG$15,MATCH(Q142,'G-1 All Habitats'!$AF$3:$AF$15,0)),"")</f>
        <v/>
      </c>
      <c r="Q142" s="228" t="str">
        <f t="shared" si="23"/>
        <v/>
      </c>
      <c r="R142" s="229" t="str">
        <f t="shared" si="24"/>
        <v/>
      </c>
      <c r="S142" s="233" t="str">
        <f>IFERROR(INDEX('G-1 All Habitats'!$B$3:$B$129,MATCH(R142,'G-1 All Habitats'!$A$3:$A$129,0)),"")</f>
        <v/>
      </c>
      <c r="T142" s="507" t="str">
        <f t="shared" si="27"/>
        <v/>
      </c>
      <c r="U142" s="524" t="str">
        <f t="shared" si="28"/>
        <v/>
      </c>
      <c r="V142" s="523" t="str">
        <f t="shared" si="25"/>
        <v/>
      </c>
      <c r="W142" s="520" t="str">
        <f>IF(S142="","",VLOOKUP(S142,'G-1 All Habitats'!$B$2:$M$129,10,FALSE))</f>
        <v/>
      </c>
      <c r="X142" s="520" t="str">
        <f>IFERROR(VLOOKUP(W142,'G-1 All Habitats'!$V$3:$W$7,2,FALSE),"")</f>
        <v/>
      </c>
      <c r="Y142" s="203"/>
      <c r="Z142" s="524" t="str">
        <f>IFERROR(INDEX('G-8 Condition Look up'!$A$3:$H$130,MATCH(S142,'G-8 Condition Look up'!$A$3:$A$130,0),MATCH(Y142,'G-8 Condition Look up'!$A$3:$H$3,0)),"")</f>
        <v/>
      </c>
      <c r="AA142" s="145"/>
      <c r="AB142" s="540" t="str">
        <f>IF(AA142="","",IF(VLOOKUP(AA142,'G-3 Multipliers'!$L$3:$N$6,2,FALSE)=0,"Spatial Data Missing ⚠",VLOOKUP(AA142,'G-3 Multipliers'!$L$3:$N$6,2,FALSE)))</f>
        <v/>
      </c>
      <c r="AC142" s="524" t="str">
        <f>IF(AA142="","",IF(VLOOKUP(AA142,'G-3 Multipliers'!$L$3:$N$6,3,FALSE)=0,"Spatial Data Missing ⚠",VLOOKUP(AA142,'G-3 Multipliers'!$L$3:$N$6,3,FALSE)))</f>
        <v/>
      </c>
      <c r="AD142" s="537" t="str">
        <f t="shared" si="26"/>
        <v/>
      </c>
      <c r="AE142" s="203"/>
      <c r="AF142" s="203"/>
      <c r="AG142" s="520" t="str">
        <f t="shared" si="29"/>
        <v/>
      </c>
      <c r="AH142" s="544" t="str">
        <f t="shared" si="30"/>
        <v/>
      </c>
      <c r="AI142" s="525" t="str">
        <f>IF(AH142="Check Data ⚠","Check Data ⚠",IFERROR(VLOOKUP(AH142,'G-4 Temporal multipliers'!$A$4:$C$36,3,FALSE),""))</f>
        <v/>
      </c>
      <c r="AJ142" s="537" t="str">
        <f>IF(S142="","",VLOOKUP(S142,'G-3 Multipliers'!$A$2:$E$129,4,FALSE))</f>
        <v/>
      </c>
      <c r="AK142" s="520" t="str">
        <f t="shared" si="31"/>
        <v/>
      </c>
      <c r="AL142" s="520" t="str">
        <f t="shared" si="32"/>
        <v/>
      </c>
      <c r="AM142" s="524" t="str">
        <f>IFERROR(IF(F142="","",IF(AH142="Check Data ⚠","Check Data ⚠",VLOOKUP(AL142, 'G-3 Multipliers'!$P$2:$Q$6,2,FALSE))),"")</f>
        <v/>
      </c>
      <c r="AN142" s="197"/>
      <c r="AO142" s="540" t="str">
        <f>IF(AN142="","",IF(VLOOKUP(AN142,'G-3 Multipliers'!$S$3:$T$9,2,FALSE)=0,"Spatial Data Missing ⚠",VLOOKUP(AN142,'G-3 Multipliers'!$S$3:$T$9,2,FALSE)))</f>
        <v/>
      </c>
      <c r="AP142" s="513" t="str">
        <f t="shared" si="33"/>
        <v/>
      </c>
      <c r="AQ142" s="231"/>
      <c r="AR142" s="150"/>
    </row>
    <row r="143" spans="1:44" x14ac:dyDescent="0.25">
      <c r="A143" s="31" t="str">
        <f>IF(E143="","",IF(ISNA(VLOOKUP($E143,'D-1 Off Site Habitat Baseline'!$D$1:$O$258,2,FALSE)),"",(VLOOKUP($E143,'D-1 Off Site Habitat Baseline'!$D$1:$O$258,2,FALSE))))</f>
        <v/>
      </c>
      <c r="B143" s="31" t="str">
        <f>IF(E143="","",IF(ISNA(VLOOKUP($E143,'D-1 Off Site Habitat Baseline'!$D$1:$O$258,3,FALSE)),"",(VLOOKUP($E143,'D-1 Off Site Habitat Baseline'!$D$1:$O$258,3,FALSE))))</f>
        <v/>
      </c>
      <c r="C143" s="31" t="str">
        <f>IFERROR(INDEX('G-8 Condition Look up'!$I$4:$I$130,MATCH(S143,'G-8 Condition Look up'!$A$4:$A$130,0)),"")</f>
        <v/>
      </c>
      <c r="E143" s="547" t="str">
        <f>'D-1 Off Site Habitat Baseline'!AL142</f>
        <v/>
      </c>
      <c r="F143" s="520" t="str">
        <f>IF(E143="","",IF(ISNA(VLOOKUP($E143,'D-1 Off Site Habitat Baseline'!$D$1:$O$258,4,FALSE)),"",(VLOOKUP($E143,'D-1 Off Site Habitat Baseline'!$D$1:$O$258,4,FALSE))))</f>
        <v/>
      </c>
      <c r="G143" s="520" t="str">
        <f>IF(E143="","",IF(ISNA(VLOOKUP($E143,'D-1 Off Site Habitat Baseline'!$D$1:$O$258,5,FALSE)),"",(VLOOKUP($E143,'D-1 Off Site Habitat Baseline'!$D$1:$O$258,5,FALSE))))</f>
        <v/>
      </c>
      <c r="H143" s="520" t="str">
        <f>IF(E143="","",IF(ISNA(VLOOKUP($E143,'D-1 Off Site Habitat Baseline'!$D$1:$O$258,6,FALSE)),"",(VLOOKUP($E143,'D-1 Off Site Habitat Baseline'!$D$1:$O$258,6,FALSE))))</f>
        <v/>
      </c>
      <c r="I143" s="520" t="str">
        <f>IF(E143="","",IF(ISNA(VLOOKUP($E143,'D-1 Off Site Habitat Baseline'!$D$1:$O$258,7,FALSE)),"",(VLOOKUP($E143,'D-1 Off Site Habitat Baseline'!$D$1:$O$258,7,FALSE))))</f>
        <v/>
      </c>
      <c r="J143" s="520" t="str">
        <f>IF(E143="","",IF(ISNA(VLOOKUP($E143,'D-1 Off Site Habitat Baseline'!$D$1:$O$258,8,FALSE)),"",(VLOOKUP($E143,'D-1 Off Site Habitat Baseline'!$D$1:$O$258,8,FALSE))))</f>
        <v/>
      </c>
      <c r="K143" s="520" t="str">
        <f>IF(E143="","",IF(ISNA(VLOOKUP($E143,'D-1 Off Site Habitat Baseline'!$D$1:$O$258,9,FALSE)),"",(VLOOKUP($E143,'D-1 Off Site Habitat Baseline'!$D$1:$O$258,9,FALSE))))</f>
        <v/>
      </c>
      <c r="L143" s="520" t="str">
        <f>IF(E143="","",IF(ISNA(VLOOKUP($E143,'D-1 Off Site Habitat Baseline'!$D$1:$O$258,11,FALSE)),"",(VLOOKUP($E143,'D-1 Off Site Habitat Baseline'!$D$1:$O$258,11,FALSE))))</f>
        <v/>
      </c>
      <c r="M143" s="520" t="str">
        <f>IF(E143="","",IF(ISNA(VLOOKUP($E143,'D-1 Off Site Habitat Baseline'!$D$1:$O$258,12,FALSE)),"",(VLOOKUP($E143,'D-1 Off Site Habitat Baseline'!$D$1:$O$258,12,FALSE))))</f>
        <v/>
      </c>
      <c r="N143" s="520" t="str">
        <f>IF(E143="","",IF(ISNA(VLOOKUP($E143,'D-1 Off Site Habitat Baseline'!$D$1:$X$258,14,FALSE)),"",(VLOOKUP($E143,'D-1 Off Site Habitat Baseline'!$D$1:$X$258,14,FALSE))))</f>
        <v/>
      </c>
      <c r="O143" s="524" t="str">
        <f>IF(E143="","",IF(ISNA(VLOOKUP($E143,'D-1 Off Site Habitat Baseline'!$D$1:$X$258,13,FALSE)),"",(VLOOKUP($E143,'D-1 Off Site Habitat Baseline'!$D$1:$X$258,13,FALSE))))</f>
        <v/>
      </c>
      <c r="P143" s="232" t="str">
        <f>IFERROR(INDEX('G-1 All Habitats'!$AG$3:$AG$15,MATCH(Q143,'G-1 All Habitats'!$AF$3:$AF$15,0)),"")</f>
        <v/>
      </c>
      <c r="Q143" s="228" t="str">
        <f t="shared" ref="Q143:Q206" si="34">A143</f>
        <v/>
      </c>
      <c r="R143" s="229" t="str">
        <f t="shared" ref="R143:R206" si="35">B143</f>
        <v/>
      </c>
      <c r="S143" s="233" t="str">
        <f>IFERROR(INDEX('G-1 All Habitats'!$B$3:$B$129,MATCH(R143,'G-1 All Habitats'!$A$3:$A$129,0)),"")</f>
        <v/>
      </c>
      <c r="T143" s="507" t="str">
        <f t="shared" si="27"/>
        <v/>
      </c>
      <c r="U143" s="524" t="str">
        <f t="shared" si="28"/>
        <v/>
      </c>
      <c r="V143" s="523" t="str">
        <f t="shared" si="25"/>
        <v/>
      </c>
      <c r="W143" s="520" t="str">
        <f>IF(S143="","",VLOOKUP(S143,'G-1 All Habitats'!$B$2:$M$129,10,FALSE))</f>
        <v/>
      </c>
      <c r="X143" s="520" t="str">
        <f>IFERROR(VLOOKUP(W143,'G-1 All Habitats'!$V$3:$W$7,2,FALSE),"")</f>
        <v/>
      </c>
      <c r="Y143" s="203"/>
      <c r="Z143" s="524" t="str">
        <f>IFERROR(INDEX('G-8 Condition Look up'!$A$3:$H$130,MATCH(S143,'G-8 Condition Look up'!$A$3:$A$130,0),MATCH(Y143,'G-8 Condition Look up'!$A$3:$H$3,0)),"")</f>
        <v/>
      </c>
      <c r="AA143" s="145"/>
      <c r="AB143" s="540" t="str">
        <f>IF(AA143="","",IF(VLOOKUP(AA143,'G-3 Multipliers'!$L$3:$N$6,2,FALSE)=0,"Spatial Data Missing ⚠",VLOOKUP(AA143,'G-3 Multipliers'!$L$3:$N$6,2,FALSE)))</f>
        <v/>
      </c>
      <c r="AC143" s="524" t="str">
        <f>IF(AA143="","",IF(VLOOKUP(AA143,'G-3 Multipliers'!$L$3:$N$6,3,FALSE)=0,"Spatial Data Missing ⚠",VLOOKUP(AA143,'G-3 Multipliers'!$L$3:$N$6,3,FALSE)))</f>
        <v/>
      </c>
      <c r="AD143" s="537" t="str">
        <f t="shared" si="26"/>
        <v/>
      </c>
      <c r="AE143" s="203"/>
      <c r="AF143" s="203"/>
      <c r="AG143" s="520" t="str">
        <f t="shared" si="29"/>
        <v/>
      </c>
      <c r="AH143" s="544" t="str">
        <f t="shared" si="30"/>
        <v/>
      </c>
      <c r="AI143" s="525" t="str">
        <f>IF(AH143="Check Data ⚠","Check Data ⚠",IFERROR(VLOOKUP(AH143,'G-4 Temporal multipliers'!$A$4:$C$36,3,FALSE),""))</f>
        <v/>
      </c>
      <c r="AJ143" s="537" t="str">
        <f>IF(S143="","",VLOOKUP(S143,'G-3 Multipliers'!$A$2:$E$129,4,FALSE))</f>
        <v/>
      </c>
      <c r="AK143" s="520" t="str">
        <f t="shared" si="31"/>
        <v/>
      </c>
      <c r="AL143" s="520" t="str">
        <f t="shared" si="32"/>
        <v/>
      </c>
      <c r="AM143" s="524" t="str">
        <f>IFERROR(IF(F143="","",IF(AH143="Check Data ⚠","Check Data ⚠",VLOOKUP(AL143, 'G-3 Multipliers'!$P$2:$Q$6,2,FALSE))),"")</f>
        <v/>
      </c>
      <c r="AN143" s="197"/>
      <c r="AO143" s="540" t="str">
        <f>IF(AN143="","",IF(VLOOKUP(AN143,'G-3 Multipliers'!$S$3:$T$9,2,FALSE)=0,"Spatial Data Missing ⚠",VLOOKUP(AN143,'G-3 Multipliers'!$S$3:$T$9,2,FALSE)))</f>
        <v/>
      </c>
      <c r="AP143" s="513" t="str">
        <f t="shared" si="33"/>
        <v/>
      </c>
      <c r="AQ143" s="231"/>
      <c r="AR143" s="150"/>
    </row>
    <row r="144" spans="1:44" x14ac:dyDescent="0.25">
      <c r="A144" s="31" t="str">
        <f>IF(E144="","",IF(ISNA(VLOOKUP($E144,'D-1 Off Site Habitat Baseline'!$D$1:$O$258,2,FALSE)),"",(VLOOKUP($E144,'D-1 Off Site Habitat Baseline'!$D$1:$O$258,2,FALSE))))</f>
        <v/>
      </c>
      <c r="B144" s="31" t="str">
        <f>IF(E144="","",IF(ISNA(VLOOKUP($E144,'D-1 Off Site Habitat Baseline'!$D$1:$O$258,3,FALSE)),"",(VLOOKUP($E144,'D-1 Off Site Habitat Baseline'!$D$1:$O$258,3,FALSE))))</f>
        <v/>
      </c>
      <c r="C144" s="31" t="str">
        <f>IFERROR(INDEX('G-8 Condition Look up'!$I$4:$I$130,MATCH(S144,'G-8 Condition Look up'!$A$4:$A$130,0)),"")</f>
        <v/>
      </c>
      <c r="E144" s="547" t="str">
        <f>'D-1 Off Site Habitat Baseline'!AL143</f>
        <v/>
      </c>
      <c r="F144" s="520" t="str">
        <f>IF(E144="","",IF(ISNA(VLOOKUP($E144,'D-1 Off Site Habitat Baseline'!$D$1:$O$258,4,FALSE)),"",(VLOOKUP($E144,'D-1 Off Site Habitat Baseline'!$D$1:$O$258,4,FALSE))))</f>
        <v/>
      </c>
      <c r="G144" s="520" t="str">
        <f>IF(E144="","",IF(ISNA(VLOOKUP($E144,'D-1 Off Site Habitat Baseline'!$D$1:$O$258,5,FALSE)),"",(VLOOKUP($E144,'D-1 Off Site Habitat Baseline'!$D$1:$O$258,5,FALSE))))</f>
        <v/>
      </c>
      <c r="H144" s="520" t="str">
        <f>IF(E144="","",IF(ISNA(VLOOKUP($E144,'D-1 Off Site Habitat Baseline'!$D$1:$O$258,6,FALSE)),"",(VLOOKUP($E144,'D-1 Off Site Habitat Baseline'!$D$1:$O$258,6,FALSE))))</f>
        <v/>
      </c>
      <c r="I144" s="520" t="str">
        <f>IF(E144="","",IF(ISNA(VLOOKUP($E144,'D-1 Off Site Habitat Baseline'!$D$1:$O$258,7,FALSE)),"",(VLOOKUP($E144,'D-1 Off Site Habitat Baseline'!$D$1:$O$258,7,FALSE))))</f>
        <v/>
      </c>
      <c r="J144" s="520" t="str">
        <f>IF(E144="","",IF(ISNA(VLOOKUP($E144,'D-1 Off Site Habitat Baseline'!$D$1:$O$258,8,FALSE)),"",(VLOOKUP($E144,'D-1 Off Site Habitat Baseline'!$D$1:$O$258,8,FALSE))))</f>
        <v/>
      </c>
      <c r="K144" s="520" t="str">
        <f>IF(E144="","",IF(ISNA(VLOOKUP($E144,'D-1 Off Site Habitat Baseline'!$D$1:$O$258,9,FALSE)),"",(VLOOKUP($E144,'D-1 Off Site Habitat Baseline'!$D$1:$O$258,9,FALSE))))</f>
        <v/>
      </c>
      <c r="L144" s="520" t="str">
        <f>IF(E144="","",IF(ISNA(VLOOKUP($E144,'D-1 Off Site Habitat Baseline'!$D$1:$O$258,11,FALSE)),"",(VLOOKUP($E144,'D-1 Off Site Habitat Baseline'!$D$1:$O$258,11,FALSE))))</f>
        <v/>
      </c>
      <c r="M144" s="520" t="str">
        <f>IF(E144="","",IF(ISNA(VLOOKUP($E144,'D-1 Off Site Habitat Baseline'!$D$1:$O$258,12,FALSE)),"",(VLOOKUP($E144,'D-1 Off Site Habitat Baseline'!$D$1:$O$258,12,FALSE))))</f>
        <v/>
      </c>
      <c r="N144" s="520" t="str">
        <f>IF(E144="","",IF(ISNA(VLOOKUP($E144,'D-1 Off Site Habitat Baseline'!$D$1:$X$258,14,FALSE)),"",(VLOOKUP($E144,'D-1 Off Site Habitat Baseline'!$D$1:$X$258,14,FALSE))))</f>
        <v/>
      </c>
      <c r="O144" s="524" t="str">
        <f>IF(E144="","",IF(ISNA(VLOOKUP($E144,'D-1 Off Site Habitat Baseline'!$D$1:$X$258,13,FALSE)),"",(VLOOKUP($E144,'D-1 Off Site Habitat Baseline'!$D$1:$X$258,13,FALSE))))</f>
        <v/>
      </c>
      <c r="P144" s="232" t="str">
        <f>IFERROR(INDEX('G-1 All Habitats'!$AG$3:$AG$15,MATCH(Q144,'G-1 All Habitats'!$AF$3:$AF$15,0)),"")</f>
        <v/>
      </c>
      <c r="Q144" s="228" t="str">
        <f t="shared" si="34"/>
        <v/>
      </c>
      <c r="R144" s="229" t="str">
        <f t="shared" si="35"/>
        <v/>
      </c>
      <c r="S144" s="233" t="str">
        <f>IFERROR(INDEX('G-1 All Habitats'!$B$3:$B$129,MATCH(R144,'G-1 All Habitats'!$A$3:$A$129,0)),"")</f>
        <v/>
      </c>
      <c r="T144" s="507" t="str">
        <f t="shared" si="27"/>
        <v/>
      </c>
      <c r="U144" s="524" t="str">
        <f t="shared" si="28"/>
        <v/>
      </c>
      <c r="V144" s="523" t="str">
        <f t="shared" si="25"/>
        <v/>
      </c>
      <c r="W144" s="520" t="str">
        <f>IF(S144="","",VLOOKUP(S144,'G-1 All Habitats'!$B$2:$M$129,10,FALSE))</f>
        <v/>
      </c>
      <c r="X144" s="520" t="str">
        <f>IFERROR(VLOOKUP(W144,'G-1 All Habitats'!$V$3:$W$7,2,FALSE),"")</f>
        <v/>
      </c>
      <c r="Y144" s="203"/>
      <c r="Z144" s="524" t="str">
        <f>IFERROR(INDEX('G-8 Condition Look up'!$A$3:$H$130,MATCH(S144,'G-8 Condition Look up'!$A$3:$A$130,0),MATCH(Y144,'G-8 Condition Look up'!$A$3:$H$3,0)),"")</f>
        <v/>
      </c>
      <c r="AA144" s="145"/>
      <c r="AB144" s="540" t="str">
        <f>IF(AA144="","",IF(VLOOKUP(AA144,'G-3 Multipliers'!$L$3:$N$6,2,FALSE)=0,"Spatial Data Missing ⚠",VLOOKUP(AA144,'G-3 Multipliers'!$L$3:$N$6,2,FALSE)))</f>
        <v/>
      </c>
      <c r="AC144" s="524" t="str">
        <f>IF(AA144="","",IF(VLOOKUP(AA144,'G-3 Multipliers'!$L$3:$N$6,3,FALSE)=0,"Spatial Data Missing ⚠",VLOOKUP(AA144,'G-3 Multipliers'!$L$3:$N$6,3,FALSE)))</f>
        <v/>
      </c>
      <c r="AD144" s="537" t="str">
        <f t="shared" si="26"/>
        <v/>
      </c>
      <c r="AE144" s="203"/>
      <c r="AF144" s="203"/>
      <c r="AG144" s="520" t="str">
        <f t="shared" si="29"/>
        <v/>
      </c>
      <c r="AH144" s="544" t="str">
        <f t="shared" si="30"/>
        <v/>
      </c>
      <c r="AI144" s="525" t="str">
        <f>IF(AH144="Check Data ⚠","Check Data ⚠",IFERROR(VLOOKUP(AH144,'G-4 Temporal multipliers'!$A$4:$C$36,3,FALSE),""))</f>
        <v/>
      </c>
      <c r="AJ144" s="537" t="str">
        <f>IF(S144="","",VLOOKUP(S144,'G-3 Multipliers'!$A$2:$E$129,4,FALSE))</f>
        <v/>
      </c>
      <c r="AK144" s="520" t="str">
        <f t="shared" si="31"/>
        <v/>
      </c>
      <c r="AL144" s="520" t="str">
        <f t="shared" si="32"/>
        <v/>
      </c>
      <c r="AM144" s="524" t="str">
        <f>IFERROR(IF(F144="","",IF(AH144="Check Data ⚠","Check Data ⚠",VLOOKUP(AL144, 'G-3 Multipliers'!$P$2:$Q$6,2,FALSE))),"")</f>
        <v/>
      </c>
      <c r="AN144" s="197"/>
      <c r="AO144" s="540" t="str">
        <f>IF(AN144="","",IF(VLOOKUP(AN144,'G-3 Multipliers'!$S$3:$T$9,2,FALSE)=0,"Spatial Data Missing ⚠",VLOOKUP(AN144,'G-3 Multipliers'!$S$3:$T$9,2,FALSE)))</f>
        <v/>
      </c>
      <c r="AP144" s="513" t="str">
        <f t="shared" si="33"/>
        <v/>
      </c>
      <c r="AQ144" s="231"/>
      <c r="AR144" s="150"/>
    </row>
    <row r="145" spans="1:44" x14ac:dyDescent="0.25">
      <c r="A145" s="31" t="str">
        <f>IF(E145="","",IF(ISNA(VLOOKUP($E145,'D-1 Off Site Habitat Baseline'!$D$1:$O$258,2,FALSE)),"",(VLOOKUP($E145,'D-1 Off Site Habitat Baseline'!$D$1:$O$258,2,FALSE))))</f>
        <v/>
      </c>
      <c r="B145" s="31" t="str">
        <f>IF(E145="","",IF(ISNA(VLOOKUP($E145,'D-1 Off Site Habitat Baseline'!$D$1:$O$258,3,FALSE)),"",(VLOOKUP($E145,'D-1 Off Site Habitat Baseline'!$D$1:$O$258,3,FALSE))))</f>
        <v/>
      </c>
      <c r="C145" s="31" t="str">
        <f>IFERROR(INDEX('G-8 Condition Look up'!$I$4:$I$130,MATCH(S145,'G-8 Condition Look up'!$A$4:$A$130,0)),"")</f>
        <v/>
      </c>
      <c r="E145" s="547" t="str">
        <f>'D-1 Off Site Habitat Baseline'!AL144</f>
        <v/>
      </c>
      <c r="F145" s="520" t="str">
        <f>IF(E145="","",IF(ISNA(VLOOKUP($E145,'D-1 Off Site Habitat Baseline'!$D$1:$O$258,4,FALSE)),"",(VLOOKUP($E145,'D-1 Off Site Habitat Baseline'!$D$1:$O$258,4,FALSE))))</f>
        <v/>
      </c>
      <c r="G145" s="520" t="str">
        <f>IF(E145="","",IF(ISNA(VLOOKUP($E145,'D-1 Off Site Habitat Baseline'!$D$1:$O$258,5,FALSE)),"",(VLOOKUP($E145,'D-1 Off Site Habitat Baseline'!$D$1:$O$258,5,FALSE))))</f>
        <v/>
      </c>
      <c r="H145" s="520" t="str">
        <f>IF(E145="","",IF(ISNA(VLOOKUP($E145,'D-1 Off Site Habitat Baseline'!$D$1:$O$258,6,FALSE)),"",(VLOOKUP($E145,'D-1 Off Site Habitat Baseline'!$D$1:$O$258,6,FALSE))))</f>
        <v/>
      </c>
      <c r="I145" s="520" t="str">
        <f>IF(E145="","",IF(ISNA(VLOOKUP($E145,'D-1 Off Site Habitat Baseline'!$D$1:$O$258,7,FALSE)),"",(VLOOKUP($E145,'D-1 Off Site Habitat Baseline'!$D$1:$O$258,7,FALSE))))</f>
        <v/>
      </c>
      <c r="J145" s="520" t="str">
        <f>IF(E145="","",IF(ISNA(VLOOKUP($E145,'D-1 Off Site Habitat Baseline'!$D$1:$O$258,8,FALSE)),"",(VLOOKUP($E145,'D-1 Off Site Habitat Baseline'!$D$1:$O$258,8,FALSE))))</f>
        <v/>
      </c>
      <c r="K145" s="520" t="str">
        <f>IF(E145="","",IF(ISNA(VLOOKUP($E145,'D-1 Off Site Habitat Baseline'!$D$1:$O$258,9,FALSE)),"",(VLOOKUP($E145,'D-1 Off Site Habitat Baseline'!$D$1:$O$258,9,FALSE))))</f>
        <v/>
      </c>
      <c r="L145" s="520" t="str">
        <f>IF(E145="","",IF(ISNA(VLOOKUP($E145,'D-1 Off Site Habitat Baseline'!$D$1:$O$258,11,FALSE)),"",(VLOOKUP($E145,'D-1 Off Site Habitat Baseline'!$D$1:$O$258,11,FALSE))))</f>
        <v/>
      </c>
      <c r="M145" s="520" t="str">
        <f>IF(E145="","",IF(ISNA(VLOOKUP($E145,'D-1 Off Site Habitat Baseline'!$D$1:$O$258,12,FALSE)),"",(VLOOKUP($E145,'D-1 Off Site Habitat Baseline'!$D$1:$O$258,12,FALSE))))</f>
        <v/>
      </c>
      <c r="N145" s="520" t="str">
        <f>IF(E145="","",IF(ISNA(VLOOKUP($E145,'D-1 Off Site Habitat Baseline'!$D$1:$X$258,14,FALSE)),"",(VLOOKUP($E145,'D-1 Off Site Habitat Baseline'!$D$1:$X$258,14,FALSE))))</f>
        <v/>
      </c>
      <c r="O145" s="524" t="str">
        <f>IF(E145="","",IF(ISNA(VLOOKUP($E145,'D-1 Off Site Habitat Baseline'!$D$1:$X$258,13,FALSE)),"",(VLOOKUP($E145,'D-1 Off Site Habitat Baseline'!$D$1:$X$258,13,FALSE))))</f>
        <v/>
      </c>
      <c r="P145" s="232" t="str">
        <f>IFERROR(INDEX('G-1 All Habitats'!$AG$3:$AG$15,MATCH(Q145,'G-1 All Habitats'!$AF$3:$AF$15,0)),"")</f>
        <v/>
      </c>
      <c r="Q145" s="228" t="str">
        <f t="shared" si="34"/>
        <v/>
      </c>
      <c r="R145" s="229" t="str">
        <f t="shared" si="35"/>
        <v/>
      </c>
      <c r="S145" s="233" t="str">
        <f>IFERROR(INDEX('G-1 All Habitats'!$B$3:$B$129,MATCH(R145,'G-1 All Habitats'!$A$3:$A$129,0)),"")</f>
        <v/>
      </c>
      <c r="T145" s="507" t="str">
        <f t="shared" si="27"/>
        <v/>
      </c>
      <c r="U145" s="524" t="str">
        <f t="shared" si="28"/>
        <v/>
      </c>
      <c r="V145" s="523" t="str">
        <f t="shared" si="25"/>
        <v/>
      </c>
      <c r="W145" s="520" t="str">
        <f>IF(S145="","",VLOOKUP(S145,'G-1 All Habitats'!$B$2:$M$129,10,FALSE))</f>
        <v/>
      </c>
      <c r="X145" s="520" t="str">
        <f>IFERROR(VLOOKUP(W145,'G-1 All Habitats'!$V$3:$W$7,2,FALSE),"")</f>
        <v/>
      </c>
      <c r="Y145" s="203"/>
      <c r="Z145" s="524" t="str">
        <f>IFERROR(INDEX('G-8 Condition Look up'!$A$3:$H$130,MATCH(S145,'G-8 Condition Look up'!$A$3:$A$130,0),MATCH(Y145,'G-8 Condition Look up'!$A$3:$H$3,0)),"")</f>
        <v/>
      </c>
      <c r="AA145" s="145"/>
      <c r="AB145" s="540" t="str">
        <f>IF(AA145="","",IF(VLOOKUP(AA145,'G-3 Multipliers'!$L$3:$N$6,2,FALSE)=0,"Spatial Data Missing ⚠",VLOOKUP(AA145,'G-3 Multipliers'!$L$3:$N$6,2,FALSE)))</f>
        <v/>
      </c>
      <c r="AC145" s="524" t="str">
        <f>IF(AA145="","",IF(VLOOKUP(AA145,'G-3 Multipliers'!$L$3:$N$6,3,FALSE)=0,"Spatial Data Missing ⚠",VLOOKUP(AA145,'G-3 Multipliers'!$L$3:$N$6,3,FALSE)))</f>
        <v/>
      </c>
      <c r="AD145" s="537" t="str">
        <f t="shared" si="26"/>
        <v/>
      </c>
      <c r="AE145" s="203"/>
      <c r="AF145" s="203"/>
      <c r="AG145" s="520" t="str">
        <f t="shared" si="29"/>
        <v/>
      </c>
      <c r="AH145" s="544" t="str">
        <f t="shared" si="30"/>
        <v/>
      </c>
      <c r="AI145" s="525" t="str">
        <f>IF(AH145="Check Data ⚠","Check Data ⚠",IFERROR(VLOOKUP(AH145,'G-4 Temporal multipliers'!$A$4:$C$36,3,FALSE),""))</f>
        <v/>
      </c>
      <c r="AJ145" s="537" t="str">
        <f>IF(S145="","",VLOOKUP(S145,'G-3 Multipliers'!$A$2:$E$129,4,FALSE))</f>
        <v/>
      </c>
      <c r="AK145" s="520" t="str">
        <f t="shared" si="31"/>
        <v/>
      </c>
      <c r="AL145" s="520" t="str">
        <f t="shared" si="32"/>
        <v/>
      </c>
      <c r="AM145" s="524" t="str">
        <f>IFERROR(IF(F145="","",IF(AH145="Check Data ⚠","Check Data ⚠",VLOOKUP(AL145, 'G-3 Multipliers'!$P$2:$Q$6,2,FALSE))),"")</f>
        <v/>
      </c>
      <c r="AN145" s="197"/>
      <c r="AO145" s="540" t="str">
        <f>IF(AN145="","",IF(VLOOKUP(AN145,'G-3 Multipliers'!$S$3:$T$9,2,FALSE)=0,"Spatial Data Missing ⚠",VLOOKUP(AN145,'G-3 Multipliers'!$S$3:$T$9,2,FALSE)))</f>
        <v/>
      </c>
      <c r="AP145" s="513" t="str">
        <f t="shared" si="33"/>
        <v/>
      </c>
      <c r="AQ145" s="231"/>
      <c r="AR145" s="150"/>
    </row>
    <row r="146" spans="1:44" x14ac:dyDescent="0.25">
      <c r="A146" s="31" t="str">
        <f>IF(E146="","",IF(ISNA(VLOOKUP($E146,'D-1 Off Site Habitat Baseline'!$D$1:$O$258,2,FALSE)),"",(VLOOKUP($E146,'D-1 Off Site Habitat Baseline'!$D$1:$O$258,2,FALSE))))</f>
        <v/>
      </c>
      <c r="B146" s="31" t="str">
        <f>IF(E146="","",IF(ISNA(VLOOKUP($E146,'D-1 Off Site Habitat Baseline'!$D$1:$O$258,3,FALSE)),"",(VLOOKUP($E146,'D-1 Off Site Habitat Baseline'!$D$1:$O$258,3,FALSE))))</f>
        <v/>
      </c>
      <c r="C146" s="31" t="str">
        <f>IFERROR(INDEX('G-8 Condition Look up'!$I$4:$I$130,MATCH(S146,'G-8 Condition Look up'!$A$4:$A$130,0)),"")</f>
        <v/>
      </c>
      <c r="E146" s="547" t="str">
        <f>'D-1 Off Site Habitat Baseline'!AL145</f>
        <v/>
      </c>
      <c r="F146" s="520" t="str">
        <f>IF(E146="","",IF(ISNA(VLOOKUP($E146,'D-1 Off Site Habitat Baseline'!$D$1:$O$258,4,FALSE)),"",(VLOOKUP($E146,'D-1 Off Site Habitat Baseline'!$D$1:$O$258,4,FALSE))))</f>
        <v/>
      </c>
      <c r="G146" s="520" t="str">
        <f>IF(E146="","",IF(ISNA(VLOOKUP($E146,'D-1 Off Site Habitat Baseline'!$D$1:$O$258,5,FALSE)),"",(VLOOKUP($E146,'D-1 Off Site Habitat Baseline'!$D$1:$O$258,5,FALSE))))</f>
        <v/>
      </c>
      <c r="H146" s="520" t="str">
        <f>IF(E146="","",IF(ISNA(VLOOKUP($E146,'D-1 Off Site Habitat Baseline'!$D$1:$O$258,6,FALSE)),"",(VLOOKUP($E146,'D-1 Off Site Habitat Baseline'!$D$1:$O$258,6,FALSE))))</f>
        <v/>
      </c>
      <c r="I146" s="520" t="str">
        <f>IF(E146="","",IF(ISNA(VLOOKUP($E146,'D-1 Off Site Habitat Baseline'!$D$1:$O$258,7,FALSE)),"",(VLOOKUP($E146,'D-1 Off Site Habitat Baseline'!$D$1:$O$258,7,FALSE))))</f>
        <v/>
      </c>
      <c r="J146" s="520" t="str">
        <f>IF(E146="","",IF(ISNA(VLOOKUP($E146,'D-1 Off Site Habitat Baseline'!$D$1:$O$258,8,FALSE)),"",(VLOOKUP($E146,'D-1 Off Site Habitat Baseline'!$D$1:$O$258,8,FALSE))))</f>
        <v/>
      </c>
      <c r="K146" s="520" t="str">
        <f>IF(E146="","",IF(ISNA(VLOOKUP($E146,'D-1 Off Site Habitat Baseline'!$D$1:$O$258,9,FALSE)),"",(VLOOKUP($E146,'D-1 Off Site Habitat Baseline'!$D$1:$O$258,9,FALSE))))</f>
        <v/>
      </c>
      <c r="L146" s="520" t="str">
        <f>IF(E146="","",IF(ISNA(VLOOKUP($E146,'D-1 Off Site Habitat Baseline'!$D$1:$O$258,11,FALSE)),"",(VLOOKUP($E146,'D-1 Off Site Habitat Baseline'!$D$1:$O$258,11,FALSE))))</f>
        <v/>
      </c>
      <c r="M146" s="520" t="str">
        <f>IF(E146="","",IF(ISNA(VLOOKUP($E146,'D-1 Off Site Habitat Baseline'!$D$1:$O$258,12,FALSE)),"",(VLOOKUP($E146,'D-1 Off Site Habitat Baseline'!$D$1:$O$258,12,FALSE))))</f>
        <v/>
      </c>
      <c r="N146" s="520" t="str">
        <f>IF(E146="","",IF(ISNA(VLOOKUP($E146,'D-1 Off Site Habitat Baseline'!$D$1:$X$258,14,FALSE)),"",(VLOOKUP($E146,'D-1 Off Site Habitat Baseline'!$D$1:$X$258,14,FALSE))))</f>
        <v/>
      </c>
      <c r="O146" s="524" t="str">
        <f>IF(E146="","",IF(ISNA(VLOOKUP($E146,'D-1 Off Site Habitat Baseline'!$D$1:$X$258,13,FALSE)),"",(VLOOKUP($E146,'D-1 Off Site Habitat Baseline'!$D$1:$X$258,13,FALSE))))</f>
        <v/>
      </c>
      <c r="P146" s="232" t="str">
        <f>IFERROR(INDEX('G-1 All Habitats'!$AG$3:$AG$15,MATCH(Q146,'G-1 All Habitats'!$AF$3:$AF$15,0)),"")</f>
        <v/>
      </c>
      <c r="Q146" s="228" t="str">
        <f t="shared" si="34"/>
        <v/>
      </c>
      <c r="R146" s="229" t="str">
        <f t="shared" si="35"/>
        <v/>
      </c>
      <c r="S146" s="233" t="str">
        <f>IFERROR(INDEX('G-1 All Habitats'!$B$3:$B$129,MATCH(R146,'G-1 All Habitats'!$A$3:$A$129,0)),"")</f>
        <v/>
      </c>
      <c r="T146" s="507" t="str">
        <f t="shared" si="27"/>
        <v/>
      </c>
      <c r="U146" s="524" t="str">
        <f t="shared" si="28"/>
        <v/>
      </c>
      <c r="V146" s="523" t="str">
        <f t="shared" si="25"/>
        <v/>
      </c>
      <c r="W146" s="520" t="str">
        <f>IF(S146="","",VLOOKUP(S146,'G-1 All Habitats'!$B$2:$M$129,10,FALSE))</f>
        <v/>
      </c>
      <c r="X146" s="520" t="str">
        <f>IFERROR(VLOOKUP(W146,'G-1 All Habitats'!$V$3:$W$7,2,FALSE),"")</f>
        <v/>
      </c>
      <c r="Y146" s="203"/>
      <c r="Z146" s="524" t="str">
        <f>IFERROR(INDEX('G-8 Condition Look up'!$A$3:$H$130,MATCH(S146,'G-8 Condition Look up'!$A$3:$A$130,0),MATCH(Y146,'G-8 Condition Look up'!$A$3:$H$3,0)),"")</f>
        <v/>
      </c>
      <c r="AA146" s="145"/>
      <c r="AB146" s="540" t="str">
        <f>IF(AA146="","",IF(VLOOKUP(AA146,'G-3 Multipliers'!$L$3:$N$6,2,FALSE)=0,"Spatial Data Missing ⚠",VLOOKUP(AA146,'G-3 Multipliers'!$L$3:$N$6,2,FALSE)))</f>
        <v/>
      </c>
      <c r="AC146" s="524" t="str">
        <f>IF(AA146="","",IF(VLOOKUP(AA146,'G-3 Multipliers'!$L$3:$N$6,3,FALSE)=0,"Spatial Data Missing ⚠",VLOOKUP(AA146,'G-3 Multipliers'!$L$3:$N$6,3,FALSE)))</f>
        <v/>
      </c>
      <c r="AD146" s="537" t="str">
        <f t="shared" si="26"/>
        <v/>
      </c>
      <c r="AE146" s="203"/>
      <c r="AF146" s="203"/>
      <c r="AG146" s="520" t="str">
        <f t="shared" si="29"/>
        <v/>
      </c>
      <c r="AH146" s="544" t="str">
        <f t="shared" si="30"/>
        <v/>
      </c>
      <c r="AI146" s="525" t="str">
        <f>IF(AH146="Check Data ⚠","Check Data ⚠",IFERROR(VLOOKUP(AH146,'G-4 Temporal multipliers'!$A$4:$C$36,3,FALSE),""))</f>
        <v/>
      </c>
      <c r="AJ146" s="537" t="str">
        <f>IF(S146="","",VLOOKUP(S146,'G-3 Multipliers'!$A$2:$E$129,4,FALSE))</f>
        <v/>
      </c>
      <c r="AK146" s="520" t="str">
        <f t="shared" si="31"/>
        <v/>
      </c>
      <c r="AL146" s="520" t="str">
        <f t="shared" si="32"/>
        <v/>
      </c>
      <c r="AM146" s="524" t="str">
        <f>IFERROR(IF(F146="","",IF(AH146="Check Data ⚠","Check Data ⚠",VLOOKUP(AL146, 'G-3 Multipliers'!$P$2:$Q$6,2,FALSE))),"")</f>
        <v/>
      </c>
      <c r="AN146" s="197"/>
      <c r="AO146" s="540" t="str">
        <f>IF(AN146="","",IF(VLOOKUP(AN146,'G-3 Multipliers'!$S$3:$T$9,2,FALSE)=0,"Spatial Data Missing ⚠",VLOOKUP(AN146,'G-3 Multipliers'!$S$3:$T$9,2,FALSE)))</f>
        <v/>
      </c>
      <c r="AP146" s="513" t="str">
        <f t="shared" si="33"/>
        <v/>
      </c>
      <c r="AQ146" s="231"/>
      <c r="AR146" s="150"/>
    </row>
    <row r="147" spans="1:44" x14ac:dyDescent="0.25">
      <c r="A147" s="31" t="str">
        <f>IF(E147="","",IF(ISNA(VLOOKUP($E147,'D-1 Off Site Habitat Baseline'!$D$1:$O$258,2,FALSE)),"",(VLOOKUP($E147,'D-1 Off Site Habitat Baseline'!$D$1:$O$258,2,FALSE))))</f>
        <v/>
      </c>
      <c r="B147" s="31" t="str">
        <f>IF(E147="","",IF(ISNA(VLOOKUP($E147,'D-1 Off Site Habitat Baseline'!$D$1:$O$258,3,FALSE)),"",(VLOOKUP($E147,'D-1 Off Site Habitat Baseline'!$D$1:$O$258,3,FALSE))))</f>
        <v/>
      </c>
      <c r="C147" s="31" t="str">
        <f>IFERROR(INDEX('G-8 Condition Look up'!$I$4:$I$130,MATCH(S147,'G-8 Condition Look up'!$A$4:$A$130,0)),"")</f>
        <v/>
      </c>
      <c r="E147" s="547" t="str">
        <f>'D-1 Off Site Habitat Baseline'!AL146</f>
        <v/>
      </c>
      <c r="F147" s="520" t="str">
        <f>IF(E147="","",IF(ISNA(VLOOKUP($E147,'D-1 Off Site Habitat Baseline'!$D$1:$O$258,4,FALSE)),"",(VLOOKUP($E147,'D-1 Off Site Habitat Baseline'!$D$1:$O$258,4,FALSE))))</f>
        <v/>
      </c>
      <c r="G147" s="520" t="str">
        <f>IF(E147="","",IF(ISNA(VLOOKUP($E147,'D-1 Off Site Habitat Baseline'!$D$1:$O$258,5,FALSE)),"",(VLOOKUP($E147,'D-1 Off Site Habitat Baseline'!$D$1:$O$258,5,FALSE))))</f>
        <v/>
      </c>
      <c r="H147" s="520" t="str">
        <f>IF(E147="","",IF(ISNA(VLOOKUP($E147,'D-1 Off Site Habitat Baseline'!$D$1:$O$258,6,FALSE)),"",(VLOOKUP($E147,'D-1 Off Site Habitat Baseline'!$D$1:$O$258,6,FALSE))))</f>
        <v/>
      </c>
      <c r="I147" s="520" t="str">
        <f>IF(E147="","",IF(ISNA(VLOOKUP($E147,'D-1 Off Site Habitat Baseline'!$D$1:$O$258,7,FALSE)),"",(VLOOKUP($E147,'D-1 Off Site Habitat Baseline'!$D$1:$O$258,7,FALSE))))</f>
        <v/>
      </c>
      <c r="J147" s="520" t="str">
        <f>IF(E147="","",IF(ISNA(VLOOKUP($E147,'D-1 Off Site Habitat Baseline'!$D$1:$O$258,8,FALSE)),"",(VLOOKUP($E147,'D-1 Off Site Habitat Baseline'!$D$1:$O$258,8,FALSE))))</f>
        <v/>
      </c>
      <c r="K147" s="520" t="str">
        <f>IF(E147="","",IF(ISNA(VLOOKUP($E147,'D-1 Off Site Habitat Baseline'!$D$1:$O$258,9,FALSE)),"",(VLOOKUP($E147,'D-1 Off Site Habitat Baseline'!$D$1:$O$258,9,FALSE))))</f>
        <v/>
      </c>
      <c r="L147" s="520" t="str">
        <f>IF(E147="","",IF(ISNA(VLOOKUP($E147,'D-1 Off Site Habitat Baseline'!$D$1:$O$258,11,FALSE)),"",(VLOOKUP($E147,'D-1 Off Site Habitat Baseline'!$D$1:$O$258,11,FALSE))))</f>
        <v/>
      </c>
      <c r="M147" s="520" t="str">
        <f>IF(E147="","",IF(ISNA(VLOOKUP($E147,'D-1 Off Site Habitat Baseline'!$D$1:$O$258,12,FALSE)),"",(VLOOKUP($E147,'D-1 Off Site Habitat Baseline'!$D$1:$O$258,12,FALSE))))</f>
        <v/>
      </c>
      <c r="N147" s="520" t="str">
        <f>IF(E147="","",IF(ISNA(VLOOKUP($E147,'D-1 Off Site Habitat Baseline'!$D$1:$X$258,14,FALSE)),"",(VLOOKUP($E147,'D-1 Off Site Habitat Baseline'!$D$1:$X$258,14,FALSE))))</f>
        <v/>
      </c>
      <c r="O147" s="524" t="str">
        <f>IF(E147="","",IF(ISNA(VLOOKUP($E147,'D-1 Off Site Habitat Baseline'!$D$1:$X$258,13,FALSE)),"",(VLOOKUP($E147,'D-1 Off Site Habitat Baseline'!$D$1:$X$258,13,FALSE))))</f>
        <v/>
      </c>
      <c r="P147" s="232" t="str">
        <f>IFERROR(INDEX('G-1 All Habitats'!$AG$3:$AG$15,MATCH(Q147,'G-1 All Habitats'!$AF$3:$AF$15,0)),"")</f>
        <v/>
      </c>
      <c r="Q147" s="228" t="str">
        <f t="shared" si="34"/>
        <v/>
      </c>
      <c r="R147" s="229" t="str">
        <f t="shared" si="35"/>
        <v/>
      </c>
      <c r="S147" s="233" t="str">
        <f>IFERROR(INDEX('G-1 All Habitats'!$B$3:$B$129,MATCH(R147,'G-1 All Habitats'!$A$3:$A$129,0)),"")</f>
        <v/>
      </c>
      <c r="T147" s="507" t="str">
        <f t="shared" si="27"/>
        <v/>
      </c>
      <c r="U147" s="524" t="str">
        <f t="shared" si="28"/>
        <v/>
      </c>
      <c r="V147" s="523" t="str">
        <f t="shared" si="25"/>
        <v/>
      </c>
      <c r="W147" s="520" t="str">
        <f>IF(S147="","",VLOOKUP(S147,'G-1 All Habitats'!$B$2:$M$129,10,FALSE))</f>
        <v/>
      </c>
      <c r="X147" s="520" t="str">
        <f>IFERROR(VLOOKUP(W147,'G-1 All Habitats'!$V$3:$W$7,2,FALSE),"")</f>
        <v/>
      </c>
      <c r="Y147" s="203"/>
      <c r="Z147" s="524" t="str">
        <f>IFERROR(INDEX('G-8 Condition Look up'!$A$3:$H$130,MATCH(S147,'G-8 Condition Look up'!$A$3:$A$130,0),MATCH(Y147,'G-8 Condition Look up'!$A$3:$H$3,0)),"")</f>
        <v/>
      </c>
      <c r="AA147" s="145"/>
      <c r="AB147" s="540" t="str">
        <f>IF(AA147="","",IF(VLOOKUP(AA147,'G-3 Multipliers'!$L$3:$N$6,2,FALSE)=0,"Spatial Data Missing ⚠",VLOOKUP(AA147,'G-3 Multipliers'!$L$3:$N$6,2,FALSE)))</f>
        <v/>
      </c>
      <c r="AC147" s="524" t="str">
        <f>IF(AA147="","",IF(VLOOKUP(AA147,'G-3 Multipliers'!$L$3:$N$6,3,FALSE)=0,"Spatial Data Missing ⚠",VLOOKUP(AA147,'G-3 Multipliers'!$L$3:$N$6,3,FALSE)))</f>
        <v/>
      </c>
      <c r="AD147" s="537" t="str">
        <f t="shared" si="26"/>
        <v/>
      </c>
      <c r="AE147" s="203"/>
      <c r="AF147" s="203"/>
      <c r="AG147" s="520" t="str">
        <f t="shared" si="29"/>
        <v/>
      </c>
      <c r="AH147" s="544" t="str">
        <f t="shared" si="30"/>
        <v/>
      </c>
      <c r="AI147" s="525" t="str">
        <f>IF(AH147="Check Data ⚠","Check Data ⚠",IFERROR(VLOOKUP(AH147,'G-4 Temporal multipliers'!$A$4:$C$36,3,FALSE),""))</f>
        <v/>
      </c>
      <c r="AJ147" s="537" t="str">
        <f>IF(S147="","",VLOOKUP(S147,'G-3 Multipliers'!$A$2:$E$129,4,FALSE))</f>
        <v/>
      </c>
      <c r="AK147" s="520" t="str">
        <f t="shared" si="31"/>
        <v/>
      </c>
      <c r="AL147" s="520" t="str">
        <f t="shared" si="32"/>
        <v/>
      </c>
      <c r="AM147" s="524" t="str">
        <f>IFERROR(IF(F147="","",IF(AH147="Check Data ⚠","Check Data ⚠",VLOOKUP(AL147, 'G-3 Multipliers'!$P$2:$Q$6,2,FALSE))),"")</f>
        <v/>
      </c>
      <c r="AN147" s="197"/>
      <c r="AO147" s="540" t="str">
        <f>IF(AN147="","",IF(VLOOKUP(AN147,'G-3 Multipliers'!$S$3:$T$9,2,FALSE)=0,"Spatial Data Missing ⚠",VLOOKUP(AN147,'G-3 Multipliers'!$S$3:$T$9,2,FALSE)))</f>
        <v/>
      </c>
      <c r="AP147" s="513" t="str">
        <f t="shared" si="33"/>
        <v/>
      </c>
      <c r="AQ147" s="231"/>
      <c r="AR147" s="150"/>
    </row>
    <row r="148" spans="1:44" x14ac:dyDescent="0.25">
      <c r="A148" s="31" t="str">
        <f>IF(E148="","",IF(ISNA(VLOOKUP($E148,'D-1 Off Site Habitat Baseline'!$D$1:$O$258,2,FALSE)),"",(VLOOKUP($E148,'D-1 Off Site Habitat Baseline'!$D$1:$O$258,2,FALSE))))</f>
        <v/>
      </c>
      <c r="B148" s="31" t="str">
        <f>IF(E148="","",IF(ISNA(VLOOKUP($E148,'D-1 Off Site Habitat Baseline'!$D$1:$O$258,3,FALSE)),"",(VLOOKUP($E148,'D-1 Off Site Habitat Baseline'!$D$1:$O$258,3,FALSE))))</f>
        <v/>
      </c>
      <c r="C148" s="31" t="str">
        <f>IFERROR(INDEX('G-8 Condition Look up'!$I$4:$I$130,MATCH(S148,'G-8 Condition Look up'!$A$4:$A$130,0)),"")</f>
        <v/>
      </c>
      <c r="E148" s="547" t="str">
        <f>'D-1 Off Site Habitat Baseline'!AL147</f>
        <v/>
      </c>
      <c r="F148" s="520" t="str">
        <f>IF(E148="","",IF(ISNA(VLOOKUP($E148,'D-1 Off Site Habitat Baseline'!$D$1:$O$258,4,FALSE)),"",(VLOOKUP($E148,'D-1 Off Site Habitat Baseline'!$D$1:$O$258,4,FALSE))))</f>
        <v/>
      </c>
      <c r="G148" s="520" t="str">
        <f>IF(E148="","",IF(ISNA(VLOOKUP($E148,'D-1 Off Site Habitat Baseline'!$D$1:$O$258,5,FALSE)),"",(VLOOKUP($E148,'D-1 Off Site Habitat Baseline'!$D$1:$O$258,5,FALSE))))</f>
        <v/>
      </c>
      <c r="H148" s="520" t="str">
        <f>IF(E148="","",IF(ISNA(VLOOKUP($E148,'D-1 Off Site Habitat Baseline'!$D$1:$O$258,6,FALSE)),"",(VLOOKUP($E148,'D-1 Off Site Habitat Baseline'!$D$1:$O$258,6,FALSE))))</f>
        <v/>
      </c>
      <c r="I148" s="520" t="str">
        <f>IF(E148="","",IF(ISNA(VLOOKUP($E148,'D-1 Off Site Habitat Baseline'!$D$1:$O$258,7,FALSE)),"",(VLOOKUP($E148,'D-1 Off Site Habitat Baseline'!$D$1:$O$258,7,FALSE))))</f>
        <v/>
      </c>
      <c r="J148" s="520" t="str">
        <f>IF(E148="","",IF(ISNA(VLOOKUP($E148,'D-1 Off Site Habitat Baseline'!$D$1:$O$258,8,FALSE)),"",(VLOOKUP($E148,'D-1 Off Site Habitat Baseline'!$D$1:$O$258,8,FALSE))))</f>
        <v/>
      </c>
      <c r="K148" s="520" t="str">
        <f>IF(E148="","",IF(ISNA(VLOOKUP($E148,'D-1 Off Site Habitat Baseline'!$D$1:$O$258,9,FALSE)),"",(VLOOKUP($E148,'D-1 Off Site Habitat Baseline'!$D$1:$O$258,9,FALSE))))</f>
        <v/>
      </c>
      <c r="L148" s="520" t="str">
        <f>IF(E148="","",IF(ISNA(VLOOKUP($E148,'D-1 Off Site Habitat Baseline'!$D$1:$O$258,11,FALSE)),"",(VLOOKUP($E148,'D-1 Off Site Habitat Baseline'!$D$1:$O$258,11,FALSE))))</f>
        <v/>
      </c>
      <c r="M148" s="520" t="str">
        <f>IF(E148="","",IF(ISNA(VLOOKUP($E148,'D-1 Off Site Habitat Baseline'!$D$1:$O$258,12,FALSE)),"",(VLOOKUP($E148,'D-1 Off Site Habitat Baseline'!$D$1:$O$258,12,FALSE))))</f>
        <v/>
      </c>
      <c r="N148" s="520" t="str">
        <f>IF(E148="","",IF(ISNA(VLOOKUP($E148,'D-1 Off Site Habitat Baseline'!$D$1:$X$258,14,FALSE)),"",(VLOOKUP($E148,'D-1 Off Site Habitat Baseline'!$D$1:$X$258,14,FALSE))))</f>
        <v/>
      </c>
      <c r="O148" s="524" t="str">
        <f>IF(E148="","",IF(ISNA(VLOOKUP($E148,'D-1 Off Site Habitat Baseline'!$D$1:$X$258,13,FALSE)),"",(VLOOKUP($E148,'D-1 Off Site Habitat Baseline'!$D$1:$X$258,13,FALSE))))</f>
        <v/>
      </c>
      <c r="P148" s="232" t="str">
        <f>IFERROR(INDEX('G-1 All Habitats'!$AG$3:$AG$15,MATCH(Q148,'G-1 All Habitats'!$AF$3:$AF$15,0)),"")</f>
        <v/>
      </c>
      <c r="Q148" s="228" t="str">
        <f t="shared" si="34"/>
        <v/>
      </c>
      <c r="R148" s="229" t="str">
        <f t="shared" si="35"/>
        <v/>
      </c>
      <c r="S148" s="233" t="str">
        <f>IFERROR(INDEX('G-1 All Habitats'!$B$3:$B$129,MATCH(R148,'G-1 All Habitats'!$A$3:$A$129,0)),"")</f>
        <v/>
      </c>
      <c r="T148" s="507" t="str">
        <f t="shared" si="27"/>
        <v/>
      </c>
      <c r="U148" s="524" t="str">
        <f t="shared" si="28"/>
        <v/>
      </c>
      <c r="V148" s="523" t="str">
        <f t="shared" si="25"/>
        <v/>
      </c>
      <c r="W148" s="520" t="str">
        <f>IF(S148="","",VLOOKUP(S148,'G-1 All Habitats'!$B$2:$M$129,10,FALSE))</f>
        <v/>
      </c>
      <c r="X148" s="520" t="str">
        <f>IFERROR(VLOOKUP(W148,'G-1 All Habitats'!$V$3:$W$7,2,FALSE),"")</f>
        <v/>
      </c>
      <c r="Y148" s="203"/>
      <c r="Z148" s="524" t="str">
        <f>IFERROR(INDEX('G-8 Condition Look up'!$A$3:$H$130,MATCH(S148,'G-8 Condition Look up'!$A$3:$A$130,0),MATCH(Y148,'G-8 Condition Look up'!$A$3:$H$3,0)),"")</f>
        <v/>
      </c>
      <c r="AA148" s="145"/>
      <c r="AB148" s="540" t="str">
        <f>IF(AA148="","",IF(VLOOKUP(AA148,'G-3 Multipliers'!$L$3:$N$6,2,FALSE)=0,"Spatial Data Missing ⚠",VLOOKUP(AA148,'G-3 Multipliers'!$L$3:$N$6,2,FALSE)))</f>
        <v/>
      </c>
      <c r="AC148" s="524" t="str">
        <f>IF(AA148="","",IF(VLOOKUP(AA148,'G-3 Multipliers'!$L$3:$N$6,3,FALSE)=0,"Spatial Data Missing ⚠",VLOOKUP(AA148,'G-3 Multipliers'!$L$3:$N$6,3,FALSE)))</f>
        <v/>
      </c>
      <c r="AD148" s="537" t="str">
        <f t="shared" si="26"/>
        <v/>
      </c>
      <c r="AE148" s="203"/>
      <c r="AF148" s="203"/>
      <c r="AG148" s="520" t="str">
        <f t="shared" si="29"/>
        <v/>
      </c>
      <c r="AH148" s="544" t="str">
        <f t="shared" si="30"/>
        <v/>
      </c>
      <c r="AI148" s="525" t="str">
        <f>IF(AH148="Check Data ⚠","Check Data ⚠",IFERROR(VLOOKUP(AH148,'G-4 Temporal multipliers'!$A$4:$C$36,3,FALSE),""))</f>
        <v/>
      </c>
      <c r="AJ148" s="537" t="str">
        <f>IF(S148="","",VLOOKUP(S148,'G-3 Multipliers'!$A$2:$E$129,4,FALSE))</f>
        <v/>
      </c>
      <c r="AK148" s="520" t="str">
        <f t="shared" si="31"/>
        <v/>
      </c>
      <c r="AL148" s="520" t="str">
        <f t="shared" si="32"/>
        <v/>
      </c>
      <c r="AM148" s="524" t="str">
        <f>IFERROR(IF(F148="","",IF(AH148="Check Data ⚠","Check Data ⚠",VLOOKUP(AL148, 'G-3 Multipliers'!$P$2:$Q$6,2,FALSE))),"")</f>
        <v/>
      </c>
      <c r="AN148" s="197"/>
      <c r="AO148" s="540" t="str">
        <f>IF(AN148="","",IF(VLOOKUP(AN148,'G-3 Multipliers'!$S$3:$T$9,2,FALSE)=0,"Spatial Data Missing ⚠",VLOOKUP(AN148,'G-3 Multipliers'!$S$3:$T$9,2,FALSE)))</f>
        <v/>
      </c>
      <c r="AP148" s="513" t="str">
        <f t="shared" si="33"/>
        <v/>
      </c>
      <c r="AQ148" s="231"/>
      <c r="AR148" s="150"/>
    </row>
    <row r="149" spans="1:44" x14ac:dyDescent="0.25">
      <c r="A149" s="31" t="str">
        <f>IF(E149="","",IF(ISNA(VLOOKUP($E149,'D-1 Off Site Habitat Baseline'!$D$1:$O$258,2,FALSE)),"",(VLOOKUP($E149,'D-1 Off Site Habitat Baseline'!$D$1:$O$258,2,FALSE))))</f>
        <v/>
      </c>
      <c r="B149" s="31" t="str">
        <f>IF(E149="","",IF(ISNA(VLOOKUP($E149,'D-1 Off Site Habitat Baseline'!$D$1:$O$258,3,FALSE)),"",(VLOOKUP($E149,'D-1 Off Site Habitat Baseline'!$D$1:$O$258,3,FALSE))))</f>
        <v/>
      </c>
      <c r="C149" s="31" t="str">
        <f>IFERROR(INDEX('G-8 Condition Look up'!$I$4:$I$130,MATCH(S149,'G-8 Condition Look up'!$A$4:$A$130,0)),"")</f>
        <v/>
      </c>
      <c r="E149" s="547" t="str">
        <f>'D-1 Off Site Habitat Baseline'!AL148</f>
        <v/>
      </c>
      <c r="F149" s="520" t="str">
        <f>IF(E149="","",IF(ISNA(VLOOKUP($E149,'D-1 Off Site Habitat Baseline'!$D$1:$O$258,4,FALSE)),"",(VLOOKUP($E149,'D-1 Off Site Habitat Baseline'!$D$1:$O$258,4,FALSE))))</f>
        <v/>
      </c>
      <c r="G149" s="520" t="str">
        <f>IF(E149="","",IF(ISNA(VLOOKUP($E149,'D-1 Off Site Habitat Baseline'!$D$1:$O$258,5,FALSE)),"",(VLOOKUP($E149,'D-1 Off Site Habitat Baseline'!$D$1:$O$258,5,FALSE))))</f>
        <v/>
      </c>
      <c r="H149" s="520" t="str">
        <f>IF(E149="","",IF(ISNA(VLOOKUP($E149,'D-1 Off Site Habitat Baseline'!$D$1:$O$258,6,FALSE)),"",(VLOOKUP($E149,'D-1 Off Site Habitat Baseline'!$D$1:$O$258,6,FALSE))))</f>
        <v/>
      </c>
      <c r="I149" s="520" t="str">
        <f>IF(E149="","",IF(ISNA(VLOOKUP($E149,'D-1 Off Site Habitat Baseline'!$D$1:$O$258,7,FALSE)),"",(VLOOKUP($E149,'D-1 Off Site Habitat Baseline'!$D$1:$O$258,7,FALSE))))</f>
        <v/>
      </c>
      <c r="J149" s="520" t="str">
        <f>IF(E149="","",IF(ISNA(VLOOKUP($E149,'D-1 Off Site Habitat Baseline'!$D$1:$O$258,8,FALSE)),"",(VLOOKUP($E149,'D-1 Off Site Habitat Baseline'!$D$1:$O$258,8,FALSE))))</f>
        <v/>
      </c>
      <c r="K149" s="520" t="str">
        <f>IF(E149="","",IF(ISNA(VLOOKUP($E149,'D-1 Off Site Habitat Baseline'!$D$1:$O$258,9,FALSE)),"",(VLOOKUP($E149,'D-1 Off Site Habitat Baseline'!$D$1:$O$258,9,FALSE))))</f>
        <v/>
      </c>
      <c r="L149" s="520" t="str">
        <f>IF(E149="","",IF(ISNA(VLOOKUP($E149,'D-1 Off Site Habitat Baseline'!$D$1:$O$258,11,FALSE)),"",(VLOOKUP($E149,'D-1 Off Site Habitat Baseline'!$D$1:$O$258,11,FALSE))))</f>
        <v/>
      </c>
      <c r="M149" s="520" t="str">
        <f>IF(E149="","",IF(ISNA(VLOOKUP($E149,'D-1 Off Site Habitat Baseline'!$D$1:$O$258,12,FALSE)),"",(VLOOKUP($E149,'D-1 Off Site Habitat Baseline'!$D$1:$O$258,12,FALSE))))</f>
        <v/>
      </c>
      <c r="N149" s="520" t="str">
        <f>IF(E149="","",IF(ISNA(VLOOKUP($E149,'D-1 Off Site Habitat Baseline'!$D$1:$X$258,14,FALSE)),"",(VLOOKUP($E149,'D-1 Off Site Habitat Baseline'!$D$1:$X$258,14,FALSE))))</f>
        <v/>
      </c>
      <c r="O149" s="524" t="str">
        <f>IF(E149="","",IF(ISNA(VLOOKUP($E149,'D-1 Off Site Habitat Baseline'!$D$1:$X$258,13,FALSE)),"",(VLOOKUP($E149,'D-1 Off Site Habitat Baseline'!$D$1:$X$258,13,FALSE))))</f>
        <v/>
      </c>
      <c r="P149" s="232" t="str">
        <f>IFERROR(INDEX('G-1 All Habitats'!$AG$3:$AG$15,MATCH(Q149,'G-1 All Habitats'!$AF$3:$AF$15,0)),"")</f>
        <v/>
      </c>
      <c r="Q149" s="228" t="str">
        <f t="shared" si="34"/>
        <v/>
      </c>
      <c r="R149" s="229" t="str">
        <f t="shared" si="35"/>
        <v/>
      </c>
      <c r="S149" s="233" t="str">
        <f>IFERROR(INDEX('G-1 All Habitats'!$B$3:$B$129,MATCH(R149,'G-1 All Habitats'!$A$3:$A$129,0)),"")</f>
        <v/>
      </c>
      <c r="T149" s="507" t="str">
        <f t="shared" si="27"/>
        <v/>
      </c>
      <c r="U149" s="524" t="str">
        <f t="shared" si="28"/>
        <v/>
      </c>
      <c r="V149" s="523" t="str">
        <f t="shared" si="25"/>
        <v/>
      </c>
      <c r="W149" s="520" t="str">
        <f>IF(S149="","",VLOOKUP(S149,'G-1 All Habitats'!$B$2:$M$129,10,FALSE))</f>
        <v/>
      </c>
      <c r="X149" s="520" t="str">
        <f>IFERROR(VLOOKUP(W149,'G-1 All Habitats'!$V$3:$W$7,2,FALSE),"")</f>
        <v/>
      </c>
      <c r="Y149" s="203"/>
      <c r="Z149" s="524" t="str">
        <f>IFERROR(INDEX('G-8 Condition Look up'!$A$3:$H$130,MATCH(S149,'G-8 Condition Look up'!$A$3:$A$130,0),MATCH(Y149,'G-8 Condition Look up'!$A$3:$H$3,0)),"")</f>
        <v/>
      </c>
      <c r="AA149" s="145"/>
      <c r="AB149" s="540" t="str">
        <f>IF(AA149="","",IF(VLOOKUP(AA149,'G-3 Multipliers'!$L$3:$N$6,2,FALSE)=0,"Spatial Data Missing ⚠",VLOOKUP(AA149,'G-3 Multipliers'!$L$3:$N$6,2,FALSE)))</f>
        <v/>
      </c>
      <c r="AC149" s="524" t="str">
        <f>IF(AA149="","",IF(VLOOKUP(AA149,'G-3 Multipliers'!$L$3:$N$6,3,FALSE)=0,"Spatial Data Missing ⚠",VLOOKUP(AA149,'G-3 Multipliers'!$L$3:$N$6,3,FALSE)))</f>
        <v/>
      </c>
      <c r="AD149" s="537" t="str">
        <f t="shared" si="26"/>
        <v/>
      </c>
      <c r="AE149" s="203"/>
      <c r="AF149" s="203"/>
      <c r="AG149" s="520" t="str">
        <f t="shared" si="29"/>
        <v/>
      </c>
      <c r="AH149" s="544" t="str">
        <f t="shared" si="30"/>
        <v/>
      </c>
      <c r="AI149" s="525" t="str">
        <f>IF(AH149="Check Data ⚠","Check Data ⚠",IFERROR(VLOOKUP(AH149,'G-4 Temporal multipliers'!$A$4:$C$36,3,FALSE),""))</f>
        <v/>
      </c>
      <c r="AJ149" s="537" t="str">
        <f>IF(S149="","",VLOOKUP(S149,'G-3 Multipliers'!$A$2:$E$129,4,FALSE))</f>
        <v/>
      </c>
      <c r="AK149" s="520" t="str">
        <f t="shared" si="31"/>
        <v/>
      </c>
      <c r="AL149" s="520" t="str">
        <f t="shared" si="32"/>
        <v/>
      </c>
      <c r="AM149" s="524" t="str">
        <f>IFERROR(IF(F149="","",IF(AH149="Check Data ⚠","Check Data ⚠",VLOOKUP(AL149, 'G-3 Multipliers'!$P$2:$Q$6,2,FALSE))),"")</f>
        <v/>
      </c>
      <c r="AN149" s="197"/>
      <c r="AO149" s="540" t="str">
        <f>IF(AN149="","",IF(VLOOKUP(AN149,'G-3 Multipliers'!$S$3:$T$9,2,FALSE)=0,"Spatial Data Missing ⚠",VLOOKUP(AN149,'G-3 Multipliers'!$S$3:$T$9,2,FALSE)))</f>
        <v/>
      </c>
      <c r="AP149" s="513" t="str">
        <f t="shared" si="33"/>
        <v/>
      </c>
      <c r="AQ149" s="231"/>
      <c r="AR149" s="150"/>
    </row>
    <row r="150" spans="1:44" x14ac:dyDescent="0.25">
      <c r="A150" s="31" t="str">
        <f>IF(E150="","",IF(ISNA(VLOOKUP($E150,'D-1 Off Site Habitat Baseline'!$D$1:$O$258,2,FALSE)),"",(VLOOKUP($E150,'D-1 Off Site Habitat Baseline'!$D$1:$O$258,2,FALSE))))</f>
        <v/>
      </c>
      <c r="B150" s="31" t="str">
        <f>IF(E150="","",IF(ISNA(VLOOKUP($E150,'D-1 Off Site Habitat Baseline'!$D$1:$O$258,3,FALSE)),"",(VLOOKUP($E150,'D-1 Off Site Habitat Baseline'!$D$1:$O$258,3,FALSE))))</f>
        <v/>
      </c>
      <c r="C150" s="31" t="str">
        <f>IFERROR(INDEX('G-8 Condition Look up'!$I$4:$I$130,MATCH(S150,'G-8 Condition Look up'!$A$4:$A$130,0)),"")</f>
        <v/>
      </c>
      <c r="E150" s="547" t="str">
        <f>'D-1 Off Site Habitat Baseline'!AL149</f>
        <v/>
      </c>
      <c r="F150" s="520" t="str">
        <f>IF(E150="","",IF(ISNA(VLOOKUP($E150,'D-1 Off Site Habitat Baseline'!$D$1:$O$258,4,FALSE)),"",(VLOOKUP($E150,'D-1 Off Site Habitat Baseline'!$D$1:$O$258,4,FALSE))))</f>
        <v/>
      </c>
      <c r="G150" s="520" t="str">
        <f>IF(E150="","",IF(ISNA(VLOOKUP($E150,'D-1 Off Site Habitat Baseline'!$D$1:$O$258,5,FALSE)),"",(VLOOKUP($E150,'D-1 Off Site Habitat Baseline'!$D$1:$O$258,5,FALSE))))</f>
        <v/>
      </c>
      <c r="H150" s="520" t="str">
        <f>IF(E150="","",IF(ISNA(VLOOKUP($E150,'D-1 Off Site Habitat Baseline'!$D$1:$O$258,6,FALSE)),"",(VLOOKUP($E150,'D-1 Off Site Habitat Baseline'!$D$1:$O$258,6,FALSE))))</f>
        <v/>
      </c>
      <c r="I150" s="520" t="str">
        <f>IF(E150="","",IF(ISNA(VLOOKUP($E150,'D-1 Off Site Habitat Baseline'!$D$1:$O$258,7,FALSE)),"",(VLOOKUP($E150,'D-1 Off Site Habitat Baseline'!$D$1:$O$258,7,FALSE))))</f>
        <v/>
      </c>
      <c r="J150" s="520" t="str">
        <f>IF(E150="","",IF(ISNA(VLOOKUP($E150,'D-1 Off Site Habitat Baseline'!$D$1:$O$258,8,FALSE)),"",(VLOOKUP($E150,'D-1 Off Site Habitat Baseline'!$D$1:$O$258,8,FALSE))))</f>
        <v/>
      </c>
      <c r="K150" s="520" t="str">
        <f>IF(E150="","",IF(ISNA(VLOOKUP($E150,'D-1 Off Site Habitat Baseline'!$D$1:$O$258,9,FALSE)),"",(VLOOKUP($E150,'D-1 Off Site Habitat Baseline'!$D$1:$O$258,9,FALSE))))</f>
        <v/>
      </c>
      <c r="L150" s="520" t="str">
        <f>IF(E150="","",IF(ISNA(VLOOKUP($E150,'D-1 Off Site Habitat Baseline'!$D$1:$O$258,11,FALSE)),"",(VLOOKUP($E150,'D-1 Off Site Habitat Baseline'!$D$1:$O$258,11,FALSE))))</f>
        <v/>
      </c>
      <c r="M150" s="520" t="str">
        <f>IF(E150="","",IF(ISNA(VLOOKUP($E150,'D-1 Off Site Habitat Baseline'!$D$1:$O$258,12,FALSE)),"",(VLOOKUP($E150,'D-1 Off Site Habitat Baseline'!$D$1:$O$258,12,FALSE))))</f>
        <v/>
      </c>
      <c r="N150" s="520" t="str">
        <f>IF(E150="","",IF(ISNA(VLOOKUP($E150,'D-1 Off Site Habitat Baseline'!$D$1:$X$258,14,FALSE)),"",(VLOOKUP($E150,'D-1 Off Site Habitat Baseline'!$D$1:$X$258,14,FALSE))))</f>
        <v/>
      </c>
      <c r="O150" s="524" t="str">
        <f>IF(E150="","",IF(ISNA(VLOOKUP($E150,'D-1 Off Site Habitat Baseline'!$D$1:$X$258,13,FALSE)),"",(VLOOKUP($E150,'D-1 Off Site Habitat Baseline'!$D$1:$X$258,13,FALSE))))</f>
        <v/>
      </c>
      <c r="P150" s="232" t="str">
        <f>IFERROR(INDEX('G-1 All Habitats'!$AG$3:$AG$15,MATCH(Q150,'G-1 All Habitats'!$AF$3:$AF$15,0)),"")</f>
        <v/>
      </c>
      <c r="Q150" s="228" t="str">
        <f t="shared" si="34"/>
        <v/>
      </c>
      <c r="R150" s="229" t="str">
        <f t="shared" si="35"/>
        <v/>
      </c>
      <c r="S150" s="233" t="str">
        <f>IFERROR(INDEX('G-1 All Habitats'!$B$3:$B$129,MATCH(R150,'G-1 All Habitats'!$A$3:$A$129,0)),"")</f>
        <v/>
      </c>
      <c r="T150" s="507" t="str">
        <f t="shared" si="27"/>
        <v/>
      </c>
      <c r="U150" s="524" t="str">
        <f t="shared" si="28"/>
        <v/>
      </c>
      <c r="V150" s="523" t="str">
        <f t="shared" si="25"/>
        <v/>
      </c>
      <c r="W150" s="520" t="str">
        <f>IF(S150="","",VLOOKUP(S150,'G-1 All Habitats'!$B$2:$M$129,10,FALSE))</f>
        <v/>
      </c>
      <c r="X150" s="520" t="str">
        <f>IFERROR(VLOOKUP(W150,'G-1 All Habitats'!$V$3:$W$7,2,FALSE),"")</f>
        <v/>
      </c>
      <c r="Y150" s="203"/>
      <c r="Z150" s="524" t="str">
        <f>IFERROR(INDEX('G-8 Condition Look up'!$A$3:$H$130,MATCH(S150,'G-8 Condition Look up'!$A$3:$A$130,0),MATCH(Y150,'G-8 Condition Look up'!$A$3:$H$3,0)),"")</f>
        <v/>
      </c>
      <c r="AA150" s="145"/>
      <c r="AB150" s="540" t="str">
        <f>IF(AA150="","",IF(VLOOKUP(AA150,'G-3 Multipliers'!$L$3:$N$6,2,FALSE)=0,"Spatial Data Missing ⚠",VLOOKUP(AA150,'G-3 Multipliers'!$L$3:$N$6,2,FALSE)))</f>
        <v/>
      </c>
      <c r="AC150" s="524" t="str">
        <f>IF(AA150="","",IF(VLOOKUP(AA150,'G-3 Multipliers'!$L$3:$N$6,3,FALSE)=0,"Spatial Data Missing ⚠",VLOOKUP(AA150,'G-3 Multipliers'!$L$3:$N$6,3,FALSE)))</f>
        <v/>
      </c>
      <c r="AD150" s="537" t="str">
        <f t="shared" si="26"/>
        <v/>
      </c>
      <c r="AE150" s="203"/>
      <c r="AF150" s="203"/>
      <c r="AG150" s="520" t="str">
        <f t="shared" si="29"/>
        <v/>
      </c>
      <c r="AH150" s="544" t="str">
        <f t="shared" si="30"/>
        <v/>
      </c>
      <c r="AI150" s="525" t="str">
        <f>IF(AH150="Check Data ⚠","Check Data ⚠",IFERROR(VLOOKUP(AH150,'G-4 Temporal multipliers'!$A$4:$C$36,3,FALSE),""))</f>
        <v/>
      </c>
      <c r="AJ150" s="537" t="str">
        <f>IF(S150="","",VLOOKUP(S150,'G-3 Multipliers'!$A$2:$E$129,4,FALSE))</f>
        <v/>
      </c>
      <c r="AK150" s="520" t="str">
        <f t="shared" si="31"/>
        <v/>
      </c>
      <c r="AL150" s="520" t="str">
        <f t="shared" si="32"/>
        <v/>
      </c>
      <c r="AM150" s="524" t="str">
        <f>IFERROR(IF(F150="","",IF(AH150="Check Data ⚠","Check Data ⚠",VLOOKUP(AL150, 'G-3 Multipliers'!$P$2:$Q$6,2,FALSE))),"")</f>
        <v/>
      </c>
      <c r="AN150" s="197"/>
      <c r="AO150" s="540" t="str">
        <f>IF(AN150="","",IF(VLOOKUP(AN150,'G-3 Multipliers'!$S$3:$T$9,2,FALSE)=0,"Spatial Data Missing ⚠",VLOOKUP(AN150,'G-3 Multipliers'!$S$3:$T$9,2,FALSE)))</f>
        <v/>
      </c>
      <c r="AP150" s="513" t="str">
        <f t="shared" si="33"/>
        <v/>
      </c>
      <c r="AQ150" s="231"/>
      <c r="AR150" s="150"/>
    </row>
    <row r="151" spans="1:44" x14ac:dyDescent="0.25">
      <c r="A151" s="31" t="str">
        <f>IF(E151="","",IF(ISNA(VLOOKUP($E151,'D-1 Off Site Habitat Baseline'!$D$1:$O$258,2,FALSE)),"",(VLOOKUP($E151,'D-1 Off Site Habitat Baseline'!$D$1:$O$258,2,FALSE))))</f>
        <v/>
      </c>
      <c r="B151" s="31" t="str">
        <f>IF(E151="","",IF(ISNA(VLOOKUP($E151,'D-1 Off Site Habitat Baseline'!$D$1:$O$258,3,FALSE)),"",(VLOOKUP($E151,'D-1 Off Site Habitat Baseline'!$D$1:$O$258,3,FALSE))))</f>
        <v/>
      </c>
      <c r="C151" s="31" t="str">
        <f>IFERROR(INDEX('G-8 Condition Look up'!$I$4:$I$130,MATCH(S151,'G-8 Condition Look up'!$A$4:$A$130,0)),"")</f>
        <v/>
      </c>
      <c r="E151" s="547" t="str">
        <f>'D-1 Off Site Habitat Baseline'!AL150</f>
        <v/>
      </c>
      <c r="F151" s="520" t="str">
        <f>IF(E151="","",IF(ISNA(VLOOKUP($E151,'D-1 Off Site Habitat Baseline'!$D$1:$O$258,4,FALSE)),"",(VLOOKUP($E151,'D-1 Off Site Habitat Baseline'!$D$1:$O$258,4,FALSE))))</f>
        <v/>
      </c>
      <c r="G151" s="520" t="str">
        <f>IF(E151="","",IF(ISNA(VLOOKUP($E151,'D-1 Off Site Habitat Baseline'!$D$1:$O$258,5,FALSE)),"",(VLOOKUP($E151,'D-1 Off Site Habitat Baseline'!$D$1:$O$258,5,FALSE))))</f>
        <v/>
      </c>
      <c r="H151" s="520" t="str">
        <f>IF(E151="","",IF(ISNA(VLOOKUP($E151,'D-1 Off Site Habitat Baseline'!$D$1:$O$258,6,FALSE)),"",(VLOOKUP($E151,'D-1 Off Site Habitat Baseline'!$D$1:$O$258,6,FALSE))))</f>
        <v/>
      </c>
      <c r="I151" s="520" t="str">
        <f>IF(E151="","",IF(ISNA(VLOOKUP($E151,'D-1 Off Site Habitat Baseline'!$D$1:$O$258,7,FALSE)),"",(VLOOKUP($E151,'D-1 Off Site Habitat Baseline'!$D$1:$O$258,7,FALSE))))</f>
        <v/>
      </c>
      <c r="J151" s="520" t="str">
        <f>IF(E151="","",IF(ISNA(VLOOKUP($E151,'D-1 Off Site Habitat Baseline'!$D$1:$O$258,8,FALSE)),"",(VLOOKUP($E151,'D-1 Off Site Habitat Baseline'!$D$1:$O$258,8,FALSE))))</f>
        <v/>
      </c>
      <c r="K151" s="520" t="str">
        <f>IF(E151="","",IF(ISNA(VLOOKUP($E151,'D-1 Off Site Habitat Baseline'!$D$1:$O$258,9,FALSE)),"",(VLOOKUP($E151,'D-1 Off Site Habitat Baseline'!$D$1:$O$258,9,FALSE))))</f>
        <v/>
      </c>
      <c r="L151" s="520" t="str">
        <f>IF(E151="","",IF(ISNA(VLOOKUP($E151,'D-1 Off Site Habitat Baseline'!$D$1:$O$258,11,FALSE)),"",(VLOOKUP($E151,'D-1 Off Site Habitat Baseline'!$D$1:$O$258,11,FALSE))))</f>
        <v/>
      </c>
      <c r="M151" s="520" t="str">
        <f>IF(E151="","",IF(ISNA(VLOOKUP($E151,'D-1 Off Site Habitat Baseline'!$D$1:$O$258,12,FALSE)),"",(VLOOKUP($E151,'D-1 Off Site Habitat Baseline'!$D$1:$O$258,12,FALSE))))</f>
        <v/>
      </c>
      <c r="N151" s="520" t="str">
        <f>IF(E151="","",IF(ISNA(VLOOKUP($E151,'D-1 Off Site Habitat Baseline'!$D$1:$X$258,14,FALSE)),"",(VLOOKUP($E151,'D-1 Off Site Habitat Baseline'!$D$1:$X$258,14,FALSE))))</f>
        <v/>
      </c>
      <c r="O151" s="524" t="str">
        <f>IF(E151="","",IF(ISNA(VLOOKUP($E151,'D-1 Off Site Habitat Baseline'!$D$1:$X$258,13,FALSE)),"",(VLOOKUP($E151,'D-1 Off Site Habitat Baseline'!$D$1:$X$258,13,FALSE))))</f>
        <v/>
      </c>
      <c r="P151" s="232" t="str">
        <f>IFERROR(INDEX('G-1 All Habitats'!$AG$3:$AG$15,MATCH(Q151,'G-1 All Habitats'!$AF$3:$AF$15,0)),"")</f>
        <v/>
      </c>
      <c r="Q151" s="228" t="str">
        <f t="shared" si="34"/>
        <v/>
      </c>
      <c r="R151" s="229" t="str">
        <f t="shared" si="35"/>
        <v/>
      </c>
      <c r="S151" s="233" t="str">
        <f>IFERROR(INDEX('G-1 All Habitats'!$B$3:$B$129,MATCH(R151,'G-1 All Habitats'!$A$3:$A$129,0)),"")</f>
        <v/>
      </c>
      <c r="T151" s="507" t="str">
        <f t="shared" si="27"/>
        <v/>
      </c>
      <c r="U151" s="524" t="str">
        <f t="shared" si="28"/>
        <v/>
      </c>
      <c r="V151" s="523" t="str">
        <f t="shared" si="25"/>
        <v/>
      </c>
      <c r="W151" s="520" t="str">
        <f>IF(S151="","",VLOOKUP(S151,'G-1 All Habitats'!$B$2:$M$129,10,FALSE))</f>
        <v/>
      </c>
      <c r="X151" s="520" t="str">
        <f>IFERROR(VLOOKUP(W151,'G-1 All Habitats'!$V$3:$W$7,2,FALSE),"")</f>
        <v/>
      </c>
      <c r="Y151" s="203"/>
      <c r="Z151" s="524" t="str">
        <f>IFERROR(INDEX('G-8 Condition Look up'!$A$3:$H$130,MATCH(S151,'G-8 Condition Look up'!$A$3:$A$130,0),MATCH(Y151,'G-8 Condition Look up'!$A$3:$H$3,0)),"")</f>
        <v/>
      </c>
      <c r="AA151" s="145"/>
      <c r="AB151" s="540" t="str">
        <f>IF(AA151="","",IF(VLOOKUP(AA151,'G-3 Multipliers'!$L$3:$N$6,2,FALSE)=0,"Spatial Data Missing ⚠",VLOOKUP(AA151,'G-3 Multipliers'!$L$3:$N$6,2,FALSE)))</f>
        <v/>
      </c>
      <c r="AC151" s="524" t="str">
        <f>IF(AA151="","",IF(VLOOKUP(AA151,'G-3 Multipliers'!$L$3:$N$6,3,FALSE)=0,"Spatial Data Missing ⚠",VLOOKUP(AA151,'G-3 Multipliers'!$L$3:$N$6,3,FALSE)))</f>
        <v/>
      </c>
      <c r="AD151" s="537" t="str">
        <f t="shared" si="26"/>
        <v/>
      </c>
      <c r="AE151" s="203"/>
      <c r="AF151" s="203"/>
      <c r="AG151" s="520" t="str">
        <f t="shared" si="29"/>
        <v/>
      </c>
      <c r="AH151" s="544" t="str">
        <f t="shared" si="30"/>
        <v/>
      </c>
      <c r="AI151" s="525" t="str">
        <f>IF(AH151="Check Data ⚠","Check Data ⚠",IFERROR(VLOOKUP(AH151,'G-4 Temporal multipliers'!$A$4:$C$36,3,FALSE),""))</f>
        <v/>
      </c>
      <c r="AJ151" s="537" t="str">
        <f>IF(S151="","",VLOOKUP(S151,'G-3 Multipliers'!$A$2:$E$129,4,FALSE))</f>
        <v/>
      </c>
      <c r="AK151" s="520" t="str">
        <f t="shared" si="31"/>
        <v/>
      </c>
      <c r="AL151" s="520" t="str">
        <f t="shared" si="32"/>
        <v/>
      </c>
      <c r="AM151" s="524" t="str">
        <f>IFERROR(IF(F151="","",IF(AH151="Check Data ⚠","Check Data ⚠",VLOOKUP(AL151, 'G-3 Multipliers'!$P$2:$Q$6,2,FALSE))),"")</f>
        <v/>
      </c>
      <c r="AN151" s="197"/>
      <c r="AO151" s="540" t="str">
        <f>IF(AN151="","",IF(VLOOKUP(AN151,'G-3 Multipliers'!$S$3:$T$9,2,FALSE)=0,"Spatial Data Missing ⚠",VLOOKUP(AN151,'G-3 Multipliers'!$S$3:$T$9,2,FALSE)))</f>
        <v/>
      </c>
      <c r="AP151" s="513" t="str">
        <f t="shared" si="33"/>
        <v/>
      </c>
      <c r="AQ151" s="231"/>
      <c r="AR151" s="150"/>
    </row>
    <row r="152" spans="1:44" x14ac:dyDescent="0.25">
      <c r="A152" s="31" t="str">
        <f>IF(E152="","",IF(ISNA(VLOOKUP($E152,'D-1 Off Site Habitat Baseline'!$D$1:$O$258,2,FALSE)),"",(VLOOKUP($E152,'D-1 Off Site Habitat Baseline'!$D$1:$O$258,2,FALSE))))</f>
        <v/>
      </c>
      <c r="B152" s="31" t="str">
        <f>IF(E152="","",IF(ISNA(VLOOKUP($E152,'D-1 Off Site Habitat Baseline'!$D$1:$O$258,3,FALSE)),"",(VLOOKUP($E152,'D-1 Off Site Habitat Baseline'!$D$1:$O$258,3,FALSE))))</f>
        <v/>
      </c>
      <c r="C152" s="31" t="str">
        <f>IFERROR(INDEX('G-8 Condition Look up'!$I$4:$I$130,MATCH(S152,'G-8 Condition Look up'!$A$4:$A$130,0)),"")</f>
        <v/>
      </c>
      <c r="E152" s="547" t="str">
        <f>'D-1 Off Site Habitat Baseline'!AL151</f>
        <v/>
      </c>
      <c r="F152" s="520" t="str">
        <f>IF(E152="","",IF(ISNA(VLOOKUP($E152,'D-1 Off Site Habitat Baseline'!$D$1:$O$258,4,FALSE)),"",(VLOOKUP($E152,'D-1 Off Site Habitat Baseline'!$D$1:$O$258,4,FALSE))))</f>
        <v/>
      </c>
      <c r="G152" s="520" t="str">
        <f>IF(E152="","",IF(ISNA(VLOOKUP($E152,'D-1 Off Site Habitat Baseline'!$D$1:$O$258,5,FALSE)),"",(VLOOKUP($E152,'D-1 Off Site Habitat Baseline'!$D$1:$O$258,5,FALSE))))</f>
        <v/>
      </c>
      <c r="H152" s="520" t="str">
        <f>IF(E152="","",IF(ISNA(VLOOKUP($E152,'D-1 Off Site Habitat Baseline'!$D$1:$O$258,6,FALSE)),"",(VLOOKUP($E152,'D-1 Off Site Habitat Baseline'!$D$1:$O$258,6,FALSE))))</f>
        <v/>
      </c>
      <c r="I152" s="520" t="str">
        <f>IF(E152="","",IF(ISNA(VLOOKUP($E152,'D-1 Off Site Habitat Baseline'!$D$1:$O$258,7,FALSE)),"",(VLOOKUP($E152,'D-1 Off Site Habitat Baseline'!$D$1:$O$258,7,FALSE))))</f>
        <v/>
      </c>
      <c r="J152" s="520" t="str">
        <f>IF(E152="","",IF(ISNA(VLOOKUP($E152,'D-1 Off Site Habitat Baseline'!$D$1:$O$258,8,FALSE)),"",(VLOOKUP($E152,'D-1 Off Site Habitat Baseline'!$D$1:$O$258,8,FALSE))))</f>
        <v/>
      </c>
      <c r="K152" s="520" t="str">
        <f>IF(E152="","",IF(ISNA(VLOOKUP($E152,'D-1 Off Site Habitat Baseline'!$D$1:$O$258,9,FALSE)),"",(VLOOKUP($E152,'D-1 Off Site Habitat Baseline'!$D$1:$O$258,9,FALSE))))</f>
        <v/>
      </c>
      <c r="L152" s="520" t="str">
        <f>IF(E152="","",IF(ISNA(VLOOKUP($E152,'D-1 Off Site Habitat Baseline'!$D$1:$O$258,11,FALSE)),"",(VLOOKUP($E152,'D-1 Off Site Habitat Baseline'!$D$1:$O$258,11,FALSE))))</f>
        <v/>
      </c>
      <c r="M152" s="520" t="str">
        <f>IF(E152="","",IF(ISNA(VLOOKUP($E152,'D-1 Off Site Habitat Baseline'!$D$1:$O$258,12,FALSE)),"",(VLOOKUP($E152,'D-1 Off Site Habitat Baseline'!$D$1:$O$258,12,FALSE))))</f>
        <v/>
      </c>
      <c r="N152" s="520" t="str">
        <f>IF(E152="","",IF(ISNA(VLOOKUP($E152,'D-1 Off Site Habitat Baseline'!$D$1:$X$258,14,FALSE)),"",(VLOOKUP($E152,'D-1 Off Site Habitat Baseline'!$D$1:$X$258,14,FALSE))))</f>
        <v/>
      </c>
      <c r="O152" s="524" t="str">
        <f>IF(E152="","",IF(ISNA(VLOOKUP($E152,'D-1 Off Site Habitat Baseline'!$D$1:$X$258,13,FALSE)),"",(VLOOKUP($E152,'D-1 Off Site Habitat Baseline'!$D$1:$X$258,13,FALSE))))</f>
        <v/>
      </c>
      <c r="P152" s="232" t="str">
        <f>IFERROR(INDEX('G-1 All Habitats'!$AG$3:$AG$15,MATCH(Q152,'G-1 All Habitats'!$AF$3:$AF$15,0)),"")</f>
        <v/>
      </c>
      <c r="Q152" s="228" t="str">
        <f t="shared" si="34"/>
        <v/>
      </c>
      <c r="R152" s="229" t="str">
        <f t="shared" si="35"/>
        <v/>
      </c>
      <c r="S152" s="233" t="str">
        <f>IFERROR(INDEX('G-1 All Habitats'!$B$3:$B$129,MATCH(R152,'G-1 All Habitats'!$A$3:$A$129,0)),"")</f>
        <v/>
      </c>
      <c r="T152" s="507" t="str">
        <f t="shared" si="27"/>
        <v/>
      </c>
      <c r="U152" s="524" t="str">
        <f t="shared" si="28"/>
        <v/>
      </c>
      <c r="V152" s="523" t="str">
        <f t="shared" si="25"/>
        <v/>
      </c>
      <c r="W152" s="520" t="str">
        <f>IF(S152="","",VLOOKUP(S152,'G-1 All Habitats'!$B$2:$M$129,10,FALSE))</f>
        <v/>
      </c>
      <c r="X152" s="520" t="str">
        <f>IFERROR(VLOOKUP(W152,'G-1 All Habitats'!$V$3:$W$7,2,FALSE),"")</f>
        <v/>
      </c>
      <c r="Y152" s="203"/>
      <c r="Z152" s="524" t="str">
        <f>IFERROR(INDEX('G-8 Condition Look up'!$A$3:$H$130,MATCH(S152,'G-8 Condition Look up'!$A$3:$A$130,0),MATCH(Y152,'G-8 Condition Look up'!$A$3:$H$3,0)),"")</f>
        <v/>
      </c>
      <c r="AA152" s="145"/>
      <c r="AB152" s="540" t="str">
        <f>IF(AA152="","",IF(VLOOKUP(AA152,'G-3 Multipliers'!$L$3:$N$6,2,FALSE)=0,"Spatial Data Missing ⚠",VLOOKUP(AA152,'G-3 Multipliers'!$L$3:$N$6,2,FALSE)))</f>
        <v/>
      </c>
      <c r="AC152" s="524" t="str">
        <f>IF(AA152="","",IF(VLOOKUP(AA152,'G-3 Multipliers'!$L$3:$N$6,3,FALSE)=0,"Spatial Data Missing ⚠",VLOOKUP(AA152,'G-3 Multipliers'!$L$3:$N$6,3,FALSE)))</f>
        <v/>
      </c>
      <c r="AD152" s="537" t="str">
        <f t="shared" si="26"/>
        <v/>
      </c>
      <c r="AE152" s="203"/>
      <c r="AF152" s="203"/>
      <c r="AG152" s="520" t="str">
        <f t="shared" si="29"/>
        <v/>
      </c>
      <c r="AH152" s="544" t="str">
        <f t="shared" si="30"/>
        <v/>
      </c>
      <c r="AI152" s="525" t="str">
        <f>IF(AH152="Check Data ⚠","Check Data ⚠",IFERROR(VLOOKUP(AH152,'G-4 Temporal multipliers'!$A$4:$C$36,3,FALSE),""))</f>
        <v/>
      </c>
      <c r="AJ152" s="537" t="str">
        <f>IF(S152="","",VLOOKUP(S152,'G-3 Multipliers'!$A$2:$E$129,4,FALSE))</f>
        <v/>
      </c>
      <c r="AK152" s="520" t="str">
        <f t="shared" si="31"/>
        <v/>
      </c>
      <c r="AL152" s="520" t="str">
        <f t="shared" si="32"/>
        <v/>
      </c>
      <c r="AM152" s="524" t="str">
        <f>IFERROR(IF(F152="","",IF(AH152="Check Data ⚠","Check Data ⚠",VLOOKUP(AL152, 'G-3 Multipliers'!$P$2:$Q$6,2,FALSE))),"")</f>
        <v/>
      </c>
      <c r="AN152" s="197"/>
      <c r="AO152" s="540" t="str">
        <f>IF(AN152="","",IF(VLOOKUP(AN152,'G-3 Multipliers'!$S$3:$T$9,2,FALSE)=0,"Spatial Data Missing ⚠",VLOOKUP(AN152,'G-3 Multipliers'!$S$3:$T$9,2,FALSE)))</f>
        <v/>
      </c>
      <c r="AP152" s="513" t="str">
        <f t="shared" si="33"/>
        <v/>
      </c>
      <c r="AQ152" s="231"/>
      <c r="AR152" s="150"/>
    </row>
    <row r="153" spans="1:44" x14ac:dyDescent="0.25">
      <c r="A153" s="31" t="str">
        <f>IF(E153="","",IF(ISNA(VLOOKUP($E153,'D-1 Off Site Habitat Baseline'!$D$1:$O$258,2,FALSE)),"",(VLOOKUP($E153,'D-1 Off Site Habitat Baseline'!$D$1:$O$258,2,FALSE))))</f>
        <v/>
      </c>
      <c r="B153" s="31" t="str">
        <f>IF(E153="","",IF(ISNA(VLOOKUP($E153,'D-1 Off Site Habitat Baseline'!$D$1:$O$258,3,FALSE)),"",(VLOOKUP($E153,'D-1 Off Site Habitat Baseline'!$D$1:$O$258,3,FALSE))))</f>
        <v/>
      </c>
      <c r="C153" s="31" t="str">
        <f>IFERROR(INDEX('G-8 Condition Look up'!$I$4:$I$130,MATCH(S153,'G-8 Condition Look up'!$A$4:$A$130,0)),"")</f>
        <v/>
      </c>
      <c r="E153" s="547" t="str">
        <f>'D-1 Off Site Habitat Baseline'!AL152</f>
        <v/>
      </c>
      <c r="F153" s="520" t="str">
        <f>IF(E153="","",IF(ISNA(VLOOKUP($E153,'D-1 Off Site Habitat Baseline'!$D$1:$O$258,4,FALSE)),"",(VLOOKUP($E153,'D-1 Off Site Habitat Baseline'!$D$1:$O$258,4,FALSE))))</f>
        <v/>
      </c>
      <c r="G153" s="520" t="str">
        <f>IF(E153="","",IF(ISNA(VLOOKUP($E153,'D-1 Off Site Habitat Baseline'!$D$1:$O$258,5,FALSE)),"",(VLOOKUP($E153,'D-1 Off Site Habitat Baseline'!$D$1:$O$258,5,FALSE))))</f>
        <v/>
      </c>
      <c r="H153" s="520" t="str">
        <f>IF(E153="","",IF(ISNA(VLOOKUP($E153,'D-1 Off Site Habitat Baseline'!$D$1:$O$258,6,FALSE)),"",(VLOOKUP($E153,'D-1 Off Site Habitat Baseline'!$D$1:$O$258,6,FALSE))))</f>
        <v/>
      </c>
      <c r="I153" s="520" t="str">
        <f>IF(E153="","",IF(ISNA(VLOOKUP($E153,'D-1 Off Site Habitat Baseline'!$D$1:$O$258,7,FALSE)),"",(VLOOKUP($E153,'D-1 Off Site Habitat Baseline'!$D$1:$O$258,7,FALSE))))</f>
        <v/>
      </c>
      <c r="J153" s="520" t="str">
        <f>IF(E153="","",IF(ISNA(VLOOKUP($E153,'D-1 Off Site Habitat Baseline'!$D$1:$O$258,8,FALSE)),"",(VLOOKUP($E153,'D-1 Off Site Habitat Baseline'!$D$1:$O$258,8,FALSE))))</f>
        <v/>
      </c>
      <c r="K153" s="520" t="str">
        <f>IF(E153="","",IF(ISNA(VLOOKUP($E153,'D-1 Off Site Habitat Baseline'!$D$1:$O$258,9,FALSE)),"",(VLOOKUP($E153,'D-1 Off Site Habitat Baseline'!$D$1:$O$258,9,FALSE))))</f>
        <v/>
      </c>
      <c r="L153" s="520" t="str">
        <f>IF(E153="","",IF(ISNA(VLOOKUP($E153,'D-1 Off Site Habitat Baseline'!$D$1:$O$258,11,FALSE)),"",(VLOOKUP($E153,'D-1 Off Site Habitat Baseline'!$D$1:$O$258,11,FALSE))))</f>
        <v/>
      </c>
      <c r="M153" s="520" t="str">
        <f>IF(E153="","",IF(ISNA(VLOOKUP($E153,'D-1 Off Site Habitat Baseline'!$D$1:$O$258,12,FALSE)),"",(VLOOKUP($E153,'D-1 Off Site Habitat Baseline'!$D$1:$O$258,12,FALSE))))</f>
        <v/>
      </c>
      <c r="N153" s="520" t="str">
        <f>IF(E153="","",IF(ISNA(VLOOKUP($E153,'D-1 Off Site Habitat Baseline'!$D$1:$X$258,14,FALSE)),"",(VLOOKUP($E153,'D-1 Off Site Habitat Baseline'!$D$1:$X$258,14,FALSE))))</f>
        <v/>
      </c>
      <c r="O153" s="524" t="str">
        <f>IF(E153="","",IF(ISNA(VLOOKUP($E153,'D-1 Off Site Habitat Baseline'!$D$1:$X$258,13,FALSE)),"",(VLOOKUP($E153,'D-1 Off Site Habitat Baseline'!$D$1:$X$258,13,FALSE))))</f>
        <v/>
      </c>
      <c r="P153" s="232" t="str">
        <f>IFERROR(INDEX('G-1 All Habitats'!$AG$3:$AG$15,MATCH(Q153,'G-1 All Habitats'!$AF$3:$AF$15,0)),"")</f>
        <v/>
      </c>
      <c r="Q153" s="228" t="str">
        <f t="shared" si="34"/>
        <v/>
      </c>
      <c r="R153" s="229" t="str">
        <f t="shared" si="35"/>
        <v/>
      </c>
      <c r="S153" s="233" t="str">
        <f>IFERROR(INDEX('G-1 All Habitats'!$B$3:$B$129,MATCH(R153,'G-1 All Habitats'!$A$3:$A$129,0)),"")</f>
        <v/>
      </c>
      <c r="T153" s="507" t="str">
        <f t="shared" si="27"/>
        <v/>
      </c>
      <c r="U153" s="524" t="str">
        <f t="shared" si="28"/>
        <v/>
      </c>
      <c r="V153" s="523" t="str">
        <f t="shared" si="25"/>
        <v/>
      </c>
      <c r="W153" s="520" t="str">
        <f>IF(S153="","",VLOOKUP(S153,'G-1 All Habitats'!$B$2:$M$129,10,FALSE))</f>
        <v/>
      </c>
      <c r="X153" s="520" t="str">
        <f>IFERROR(VLOOKUP(W153,'G-1 All Habitats'!$V$3:$W$7,2,FALSE),"")</f>
        <v/>
      </c>
      <c r="Y153" s="203"/>
      <c r="Z153" s="524" t="str">
        <f>IFERROR(INDEX('G-8 Condition Look up'!$A$3:$H$130,MATCH(S153,'G-8 Condition Look up'!$A$3:$A$130,0),MATCH(Y153,'G-8 Condition Look up'!$A$3:$H$3,0)),"")</f>
        <v/>
      </c>
      <c r="AA153" s="145"/>
      <c r="AB153" s="540" t="str">
        <f>IF(AA153="","",IF(VLOOKUP(AA153,'G-3 Multipliers'!$L$3:$N$6,2,FALSE)=0,"Spatial Data Missing ⚠",VLOOKUP(AA153,'G-3 Multipliers'!$L$3:$N$6,2,FALSE)))</f>
        <v/>
      </c>
      <c r="AC153" s="524" t="str">
        <f>IF(AA153="","",IF(VLOOKUP(AA153,'G-3 Multipliers'!$L$3:$N$6,3,FALSE)=0,"Spatial Data Missing ⚠",VLOOKUP(AA153,'G-3 Multipliers'!$L$3:$N$6,3,FALSE)))</f>
        <v/>
      </c>
      <c r="AD153" s="537" t="str">
        <f t="shared" si="26"/>
        <v/>
      </c>
      <c r="AE153" s="203"/>
      <c r="AF153" s="203"/>
      <c r="AG153" s="520" t="str">
        <f t="shared" si="29"/>
        <v/>
      </c>
      <c r="AH153" s="544" t="str">
        <f t="shared" si="30"/>
        <v/>
      </c>
      <c r="AI153" s="525" t="str">
        <f>IF(AH153="Check Data ⚠","Check Data ⚠",IFERROR(VLOOKUP(AH153,'G-4 Temporal multipliers'!$A$4:$C$36,3,FALSE),""))</f>
        <v/>
      </c>
      <c r="AJ153" s="537" t="str">
        <f>IF(S153="","",VLOOKUP(S153,'G-3 Multipliers'!$A$2:$E$129,4,FALSE))</f>
        <v/>
      </c>
      <c r="AK153" s="520" t="str">
        <f t="shared" si="31"/>
        <v/>
      </c>
      <c r="AL153" s="520" t="str">
        <f t="shared" si="32"/>
        <v/>
      </c>
      <c r="AM153" s="524" t="str">
        <f>IFERROR(IF(F153="","",IF(AH153="Check Data ⚠","Check Data ⚠",VLOOKUP(AL153, 'G-3 Multipliers'!$P$2:$Q$6,2,FALSE))),"")</f>
        <v/>
      </c>
      <c r="AN153" s="197"/>
      <c r="AO153" s="540" t="str">
        <f>IF(AN153="","",IF(VLOOKUP(AN153,'G-3 Multipliers'!$S$3:$T$9,2,FALSE)=0,"Spatial Data Missing ⚠",VLOOKUP(AN153,'G-3 Multipliers'!$S$3:$T$9,2,FALSE)))</f>
        <v/>
      </c>
      <c r="AP153" s="513" t="str">
        <f t="shared" si="33"/>
        <v/>
      </c>
      <c r="AQ153" s="231"/>
      <c r="AR153" s="150"/>
    </row>
    <row r="154" spans="1:44" x14ac:dyDescent="0.25">
      <c r="A154" s="31" t="str">
        <f>IF(E154="","",IF(ISNA(VLOOKUP($E154,'D-1 Off Site Habitat Baseline'!$D$1:$O$258,2,FALSE)),"",(VLOOKUP($E154,'D-1 Off Site Habitat Baseline'!$D$1:$O$258,2,FALSE))))</f>
        <v/>
      </c>
      <c r="B154" s="31" t="str">
        <f>IF(E154="","",IF(ISNA(VLOOKUP($E154,'D-1 Off Site Habitat Baseline'!$D$1:$O$258,3,FALSE)),"",(VLOOKUP($E154,'D-1 Off Site Habitat Baseline'!$D$1:$O$258,3,FALSE))))</f>
        <v/>
      </c>
      <c r="C154" s="31" t="str">
        <f>IFERROR(INDEX('G-8 Condition Look up'!$I$4:$I$130,MATCH(S154,'G-8 Condition Look up'!$A$4:$A$130,0)),"")</f>
        <v/>
      </c>
      <c r="E154" s="547" t="str">
        <f>'D-1 Off Site Habitat Baseline'!AL153</f>
        <v/>
      </c>
      <c r="F154" s="520" t="str">
        <f>IF(E154="","",IF(ISNA(VLOOKUP($E154,'D-1 Off Site Habitat Baseline'!$D$1:$O$258,4,FALSE)),"",(VLOOKUP($E154,'D-1 Off Site Habitat Baseline'!$D$1:$O$258,4,FALSE))))</f>
        <v/>
      </c>
      <c r="G154" s="520" t="str">
        <f>IF(E154="","",IF(ISNA(VLOOKUP($E154,'D-1 Off Site Habitat Baseline'!$D$1:$O$258,5,FALSE)),"",(VLOOKUP($E154,'D-1 Off Site Habitat Baseline'!$D$1:$O$258,5,FALSE))))</f>
        <v/>
      </c>
      <c r="H154" s="520" t="str">
        <f>IF(E154="","",IF(ISNA(VLOOKUP($E154,'D-1 Off Site Habitat Baseline'!$D$1:$O$258,6,FALSE)),"",(VLOOKUP($E154,'D-1 Off Site Habitat Baseline'!$D$1:$O$258,6,FALSE))))</f>
        <v/>
      </c>
      <c r="I154" s="520" t="str">
        <f>IF(E154="","",IF(ISNA(VLOOKUP($E154,'D-1 Off Site Habitat Baseline'!$D$1:$O$258,7,FALSE)),"",(VLOOKUP($E154,'D-1 Off Site Habitat Baseline'!$D$1:$O$258,7,FALSE))))</f>
        <v/>
      </c>
      <c r="J154" s="520" t="str">
        <f>IF(E154="","",IF(ISNA(VLOOKUP($E154,'D-1 Off Site Habitat Baseline'!$D$1:$O$258,8,FALSE)),"",(VLOOKUP($E154,'D-1 Off Site Habitat Baseline'!$D$1:$O$258,8,FALSE))))</f>
        <v/>
      </c>
      <c r="K154" s="520" t="str">
        <f>IF(E154="","",IF(ISNA(VLOOKUP($E154,'D-1 Off Site Habitat Baseline'!$D$1:$O$258,9,FALSE)),"",(VLOOKUP($E154,'D-1 Off Site Habitat Baseline'!$D$1:$O$258,9,FALSE))))</f>
        <v/>
      </c>
      <c r="L154" s="520" t="str">
        <f>IF(E154="","",IF(ISNA(VLOOKUP($E154,'D-1 Off Site Habitat Baseline'!$D$1:$O$258,11,FALSE)),"",(VLOOKUP($E154,'D-1 Off Site Habitat Baseline'!$D$1:$O$258,11,FALSE))))</f>
        <v/>
      </c>
      <c r="M154" s="520" t="str">
        <f>IF(E154="","",IF(ISNA(VLOOKUP($E154,'D-1 Off Site Habitat Baseline'!$D$1:$O$258,12,FALSE)),"",(VLOOKUP($E154,'D-1 Off Site Habitat Baseline'!$D$1:$O$258,12,FALSE))))</f>
        <v/>
      </c>
      <c r="N154" s="520" t="str">
        <f>IF(E154="","",IF(ISNA(VLOOKUP($E154,'D-1 Off Site Habitat Baseline'!$D$1:$X$258,14,FALSE)),"",(VLOOKUP($E154,'D-1 Off Site Habitat Baseline'!$D$1:$X$258,14,FALSE))))</f>
        <v/>
      </c>
      <c r="O154" s="524" t="str">
        <f>IF(E154="","",IF(ISNA(VLOOKUP($E154,'D-1 Off Site Habitat Baseline'!$D$1:$X$258,13,FALSE)),"",(VLOOKUP($E154,'D-1 Off Site Habitat Baseline'!$D$1:$X$258,13,FALSE))))</f>
        <v/>
      </c>
      <c r="P154" s="232" t="str">
        <f>IFERROR(INDEX('G-1 All Habitats'!$AG$3:$AG$15,MATCH(Q154,'G-1 All Habitats'!$AF$3:$AF$15,0)),"")</f>
        <v/>
      </c>
      <c r="Q154" s="228" t="str">
        <f t="shared" si="34"/>
        <v/>
      </c>
      <c r="R154" s="229" t="str">
        <f t="shared" si="35"/>
        <v/>
      </c>
      <c r="S154" s="233" t="str">
        <f>IFERROR(INDEX('G-1 All Habitats'!$B$3:$B$129,MATCH(R154,'G-1 All Habitats'!$A$3:$A$129,0)),"")</f>
        <v/>
      </c>
      <c r="T154" s="507" t="str">
        <f t="shared" si="27"/>
        <v/>
      </c>
      <c r="U154" s="524" t="str">
        <f t="shared" si="28"/>
        <v/>
      </c>
      <c r="V154" s="523" t="str">
        <f t="shared" si="25"/>
        <v/>
      </c>
      <c r="W154" s="520" t="str">
        <f>IF(S154="","",VLOOKUP(S154,'G-1 All Habitats'!$B$2:$M$129,10,FALSE))</f>
        <v/>
      </c>
      <c r="X154" s="520" t="str">
        <f>IFERROR(VLOOKUP(W154,'G-1 All Habitats'!$V$3:$W$7,2,FALSE),"")</f>
        <v/>
      </c>
      <c r="Y154" s="203"/>
      <c r="Z154" s="524" t="str">
        <f>IFERROR(INDEX('G-8 Condition Look up'!$A$3:$H$130,MATCH(S154,'G-8 Condition Look up'!$A$3:$A$130,0),MATCH(Y154,'G-8 Condition Look up'!$A$3:$H$3,0)),"")</f>
        <v/>
      </c>
      <c r="AA154" s="145"/>
      <c r="AB154" s="540" t="str">
        <f>IF(AA154="","",IF(VLOOKUP(AA154,'G-3 Multipliers'!$L$3:$N$6,2,FALSE)=0,"Spatial Data Missing ⚠",VLOOKUP(AA154,'G-3 Multipliers'!$L$3:$N$6,2,FALSE)))</f>
        <v/>
      </c>
      <c r="AC154" s="524" t="str">
        <f>IF(AA154="","",IF(VLOOKUP(AA154,'G-3 Multipliers'!$L$3:$N$6,3,FALSE)=0,"Spatial Data Missing ⚠",VLOOKUP(AA154,'G-3 Multipliers'!$L$3:$N$6,3,FALSE)))</f>
        <v/>
      </c>
      <c r="AD154" s="537" t="str">
        <f t="shared" si="26"/>
        <v/>
      </c>
      <c r="AE154" s="203"/>
      <c r="AF154" s="203"/>
      <c r="AG154" s="520" t="str">
        <f t="shared" si="29"/>
        <v/>
      </c>
      <c r="AH154" s="544" t="str">
        <f t="shared" si="30"/>
        <v/>
      </c>
      <c r="AI154" s="525" t="str">
        <f>IF(AH154="Check Data ⚠","Check Data ⚠",IFERROR(VLOOKUP(AH154,'G-4 Temporal multipliers'!$A$4:$C$36,3,FALSE),""))</f>
        <v/>
      </c>
      <c r="AJ154" s="537" t="str">
        <f>IF(S154="","",VLOOKUP(S154,'G-3 Multipliers'!$A$2:$E$129,4,FALSE))</f>
        <v/>
      </c>
      <c r="AK154" s="520" t="str">
        <f t="shared" si="31"/>
        <v/>
      </c>
      <c r="AL154" s="520" t="str">
        <f t="shared" si="32"/>
        <v/>
      </c>
      <c r="AM154" s="524" t="str">
        <f>IFERROR(IF(F154="","",IF(AH154="Check Data ⚠","Check Data ⚠",VLOOKUP(AL154, 'G-3 Multipliers'!$P$2:$Q$6,2,FALSE))),"")</f>
        <v/>
      </c>
      <c r="AN154" s="197"/>
      <c r="AO154" s="540" t="str">
        <f>IF(AN154="","",IF(VLOOKUP(AN154,'G-3 Multipliers'!$S$3:$T$9,2,FALSE)=0,"Spatial Data Missing ⚠",VLOOKUP(AN154,'G-3 Multipliers'!$S$3:$T$9,2,FALSE)))</f>
        <v/>
      </c>
      <c r="AP154" s="513" t="str">
        <f t="shared" si="33"/>
        <v/>
      </c>
      <c r="AQ154" s="231"/>
      <c r="AR154" s="150"/>
    </row>
    <row r="155" spans="1:44" x14ac:dyDescent="0.25">
      <c r="A155" s="31" t="str">
        <f>IF(E155="","",IF(ISNA(VLOOKUP($E155,'D-1 Off Site Habitat Baseline'!$D$1:$O$258,2,FALSE)),"",(VLOOKUP($E155,'D-1 Off Site Habitat Baseline'!$D$1:$O$258,2,FALSE))))</f>
        <v/>
      </c>
      <c r="B155" s="31" t="str">
        <f>IF(E155="","",IF(ISNA(VLOOKUP($E155,'D-1 Off Site Habitat Baseline'!$D$1:$O$258,3,FALSE)),"",(VLOOKUP($E155,'D-1 Off Site Habitat Baseline'!$D$1:$O$258,3,FALSE))))</f>
        <v/>
      </c>
      <c r="C155" s="31" t="str">
        <f>IFERROR(INDEX('G-8 Condition Look up'!$I$4:$I$130,MATCH(S155,'G-8 Condition Look up'!$A$4:$A$130,0)),"")</f>
        <v/>
      </c>
      <c r="E155" s="547" t="str">
        <f>'D-1 Off Site Habitat Baseline'!AL154</f>
        <v/>
      </c>
      <c r="F155" s="520" t="str">
        <f>IF(E155="","",IF(ISNA(VLOOKUP($E155,'D-1 Off Site Habitat Baseline'!$D$1:$O$258,4,FALSE)),"",(VLOOKUP($E155,'D-1 Off Site Habitat Baseline'!$D$1:$O$258,4,FALSE))))</f>
        <v/>
      </c>
      <c r="G155" s="520" t="str">
        <f>IF(E155="","",IF(ISNA(VLOOKUP($E155,'D-1 Off Site Habitat Baseline'!$D$1:$O$258,5,FALSE)),"",(VLOOKUP($E155,'D-1 Off Site Habitat Baseline'!$D$1:$O$258,5,FALSE))))</f>
        <v/>
      </c>
      <c r="H155" s="520" t="str">
        <f>IF(E155="","",IF(ISNA(VLOOKUP($E155,'D-1 Off Site Habitat Baseline'!$D$1:$O$258,6,FALSE)),"",(VLOOKUP($E155,'D-1 Off Site Habitat Baseline'!$D$1:$O$258,6,FALSE))))</f>
        <v/>
      </c>
      <c r="I155" s="520" t="str">
        <f>IF(E155="","",IF(ISNA(VLOOKUP($E155,'D-1 Off Site Habitat Baseline'!$D$1:$O$258,7,FALSE)),"",(VLOOKUP($E155,'D-1 Off Site Habitat Baseline'!$D$1:$O$258,7,FALSE))))</f>
        <v/>
      </c>
      <c r="J155" s="520" t="str">
        <f>IF(E155="","",IF(ISNA(VLOOKUP($E155,'D-1 Off Site Habitat Baseline'!$D$1:$O$258,8,FALSE)),"",(VLOOKUP($E155,'D-1 Off Site Habitat Baseline'!$D$1:$O$258,8,FALSE))))</f>
        <v/>
      </c>
      <c r="K155" s="520" t="str">
        <f>IF(E155="","",IF(ISNA(VLOOKUP($E155,'D-1 Off Site Habitat Baseline'!$D$1:$O$258,9,FALSE)),"",(VLOOKUP($E155,'D-1 Off Site Habitat Baseline'!$D$1:$O$258,9,FALSE))))</f>
        <v/>
      </c>
      <c r="L155" s="520" t="str">
        <f>IF(E155="","",IF(ISNA(VLOOKUP($E155,'D-1 Off Site Habitat Baseline'!$D$1:$O$258,11,FALSE)),"",(VLOOKUP($E155,'D-1 Off Site Habitat Baseline'!$D$1:$O$258,11,FALSE))))</f>
        <v/>
      </c>
      <c r="M155" s="520" t="str">
        <f>IF(E155="","",IF(ISNA(VLOOKUP($E155,'D-1 Off Site Habitat Baseline'!$D$1:$O$258,12,FALSE)),"",(VLOOKUP($E155,'D-1 Off Site Habitat Baseline'!$D$1:$O$258,12,FALSE))))</f>
        <v/>
      </c>
      <c r="N155" s="520" t="str">
        <f>IF(E155="","",IF(ISNA(VLOOKUP($E155,'D-1 Off Site Habitat Baseline'!$D$1:$X$258,14,FALSE)),"",(VLOOKUP($E155,'D-1 Off Site Habitat Baseline'!$D$1:$X$258,14,FALSE))))</f>
        <v/>
      </c>
      <c r="O155" s="524" t="str">
        <f>IF(E155="","",IF(ISNA(VLOOKUP($E155,'D-1 Off Site Habitat Baseline'!$D$1:$X$258,13,FALSE)),"",(VLOOKUP($E155,'D-1 Off Site Habitat Baseline'!$D$1:$X$258,13,FALSE))))</f>
        <v/>
      </c>
      <c r="P155" s="232" t="str">
        <f>IFERROR(INDEX('G-1 All Habitats'!$AG$3:$AG$15,MATCH(Q155,'G-1 All Habitats'!$AF$3:$AF$15,0)),"")</f>
        <v/>
      </c>
      <c r="Q155" s="228" t="str">
        <f t="shared" si="34"/>
        <v/>
      </c>
      <c r="R155" s="229" t="str">
        <f t="shared" si="35"/>
        <v/>
      </c>
      <c r="S155" s="233" t="str">
        <f>IFERROR(INDEX('G-1 All Habitats'!$B$3:$B$129,MATCH(R155,'G-1 All Habitats'!$A$3:$A$129,0)),"")</f>
        <v/>
      </c>
      <c r="T155" s="507" t="str">
        <f t="shared" si="27"/>
        <v/>
      </c>
      <c r="U155" s="524" t="str">
        <f t="shared" si="28"/>
        <v/>
      </c>
      <c r="V155" s="523" t="str">
        <f t="shared" si="25"/>
        <v/>
      </c>
      <c r="W155" s="520" t="str">
        <f>IF(S155="","",VLOOKUP(S155,'G-1 All Habitats'!$B$2:$M$129,10,FALSE))</f>
        <v/>
      </c>
      <c r="X155" s="520" t="str">
        <f>IFERROR(VLOOKUP(W155,'G-1 All Habitats'!$V$3:$W$7,2,FALSE),"")</f>
        <v/>
      </c>
      <c r="Y155" s="203"/>
      <c r="Z155" s="524" t="str">
        <f>IFERROR(INDEX('G-8 Condition Look up'!$A$3:$H$130,MATCH(S155,'G-8 Condition Look up'!$A$3:$A$130,0),MATCH(Y155,'G-8 Condition Look up'!$A$3:$H$3,0)),"")</f>
        <v/>
      </c>
      <c r="AA155" s="145"/>
      <c r="AB155" s="540" t="str">
        <f>IF(AA155="","",IF(VLOOKUP(AA155,'G-3 Multipliers'!$L$3:$N$6,2,FALSE)=0,"Spatial Data Missing ⚠",VLOOKUP(AA155,'G-3 Multipliers'!$L$3:$N$6,2,FALSE)))</f>
        <v/>
      </c>
      <c r="AC155" s="524" t="str">
        <f>IF(AA155="","",IF(VLOOKUP(AA155,'G-3 Multipliers'!$L$3:$N$6,3,FALSE)=0,"Spatial Data Missing ⚠",VLOOKUP(AA155,'G-3 Multipliers'!$L$3:$N$6,3,FALSE)))</f>
        <v/>
      </c>
      <c r="AD155" s="537" t="str">
        <f t="shared" si="26"/>
        <v/>
      </c>
      <c r="AE155" s="203"/>
      <c r="AF155" s="203"/>
      <c r="AG155" s="520" t="str">
        <f t="shared" si="29"/>
        <v/>
      </c>
      <c r="AH155" s="544" t="str">
        <f t="shared" si="30"/>
        <v/>
      </c>
      <c r="AI155" s="525" t="str">
        <f>IF(AH155="Check Data ⚠","Check Data ⚠",IFERROR(VLOOKUP(AH155,'G-4 Temporal multipliers'!$A$4:$C$36,3,FALSE),""))</f>
        <v/>
      </c>
      <c r="AJ155" s="537" t="str">
        <f>IF(S155="","",VLOOKUP(S155,'G-3 Multipliers'!$A$2:$E$129,4,FALSE))</f>
        <v/>
      </c>
      <c r="AK155" s="520" t="str">
        <f t="shared" si="31"/>
        <v/>
      </c>
      <c r="AL155" s="520" t="str">
        <f t="shared" si="32"/>
        <v/>
      </c>
      <c r="AM155" s="524" t="str">
        <f>IFERROR(IF(F155="","",IF(AH155="Check Data ⚠","Check Data ⚠",VLOOKUP(AL155, 'G-3 Multipliers'!$P$2:$Q$6,2,FALSE))),"")</f>
        <v/>
      </c>
      <c r="AN155" s="197"/>
      <c r="AO155" s="540" t="str">
        <f>IF(AN155="","",IF(VLOOKUP(AN155,'G-3 Multipliers'!$S$3:$T$9,2,FALSE)=0,"Spatial Data Missing ⚠",VLOOKUP(AN155,'G-3 Multipliers'!$S$3:$T$9,2,FALSE)))</f>
        <v/>
      </c>
      <c r="AP155" s="513" t="str">
        <f t="shared" si="33"/>
        <v/>
      </c>
      <c r="AQ155" s="231"/>
      <c r="AR155" s="150"/>
    </row>
    <row r="156" spans="1:44" x14ac:dyDescent="0.25">
      <c r="A156" s="31" t="str">
        <f>IF(E156="","",IF(ISNA(VLOOKUP($E156,'D-1 Off Site Habitat Baseline'!$D$1:$O$258,2,FALSE)),"",(VLOOKUP($E156,'D-1 Off Site Habitat Baseline'!$D$1:$O$258,2,FALSE))))</f>
        <v/>
      </c>
      <c r="B156" s="31" t="str">
        <f>IF(E156="","",IF(ISNA(VLOOKUP($E156,'D-1 Off Site Habitat Baseline'!$D$1:$O$258,3,FALSE)),"",(VLOOKUP($E156,'D-1 Off Site Habitat Baseline'!$D$1:$O$258,3,FALSE))))</f>
        <v/>
      </c>
      <c r="C156" s="31" t="str">
        <f>IFERROR(INDEX('G-8 Condition Look up'!$I$4:$I$130,MATCH(S156,'G-8 Condition Look up'!$A$4:$A$130,0)),"")</f>
        <v/>
      </c>
      <c r="E156" s="547" t="str">
        <f>'D-1 Off Site Habitat Baseline'!AL155</f>
        <v/>
      </c>
      <c r="F156" s="520" t="str">
        <f>IF(E156="","",IF(ISNA(VLOOKUP($E156,'D-1 Off Site Habitat Baseline'!$D$1:$O$258,4,FALSE)),"",(VLOOKUP($E156,'D-1 Off Site Habitat Baseline'!$D$1:$O$258,4,FALSE))))</f>
        <v/>
      </c>
      <c r="G156" s="520" t="str">
        <f>IF(E156="","",IF(ISNA(VLOOKUP($E156,'D-1 Off Site Habitat Baseline'!$D$1:$O$258,5,FALSE)),"",(VLOOKUP($E156,'D-1 Off Site Habitat Baseline'!$D$1:$O$258,5,FALSE))))</f>
        <v/>
      </c>
      <c r="H156" s="520" t="str">
        <f>IF(E156="","",IF(ISNA(VLOOKUP($E156,'D-1 Off Site Habitat Baseline'!$D$1:$O$258,6,FALSE)),"",(VLOOKUP($E156,'D-1 Off Site Habitat Baseline'!$D$1:$O$258,6,FALSE))))</f>
        <v/>
      </c>
      <c r="I156" s="520" t="str">
        <f>IF(E156="","",IF(ISNA(VLOOKUP($E156,'D-1 Off Site Habitat Baseline'!$D$1:$O$258,7,FALSE)),"",(VLOOKUP($E156,'D-1 Off Site Habitat Baseline'!$D$1:$O$258,7,FALSE))))</f>
        <v/>
      </c>
      <c r="J156" s="520" t="str">
        <f>IF(E156="","",IF(ISNA(VLOOKUP($E156,'D-1 Off Site Habitat Baseline'!$D$1:$O$258,8,FALSE)),"",(VLOOKUP($E156,'D-1 Off Site Habitat Baseline'!$D$1:$O$258,8,FALSE))))</f>
        <v/>
      </c>
      <c r="K156" s="520" t="str">
        <f>IF(E156="","",IF(ISNA(VLOOKUP($E156,'D-1 Off Site Habitat Baseline'!$D$1:$O$258,9,FALSE)),"",(VLOOKUP($E156,'D-1 Off Site Habitat Baseline'!$D$1:$O$258,9,FALSE))))</f>
        <v/>
      </c>
      <c r="L156" s="520" t="str">
        <f>IF(E156="","",IF(ISNA(VLOOKUP($E156,'D-1 Off Site Habitat Baseline'!$D$1:$O$258,11,FALSE)),"",(VLOOKUP($E156,'D-1 Off Site Habitat Baseline'!$D$1:$O$258,11,FALSE))))</f>
        <v/>
      </c>
      <c r="M156" s="520" t="str">
        <f>IF(E156="","",IF(ISNA(VLOOKUP($E156,'D-1 Off Site Habitat Baseline'!$D$1:$O$258,12,FALSE)),"",(VLOOKUP($E156,'D-1 Off Site Habitat Baseline'!$D$1:$O$258,12,FALSE))))</f>
        <v/>
      </c>
      <c r="N156" s="520" t="str">
        <f>IF(E156="","",IF(ISNA(VLOOKUP($E156,'D-1 Off Site Habitat Baseline'!$D$1:$X$258,14,FALSE)),"",(VLOOKUP($E156,'D-1 Off Site Habitat Baseline'!$D$1:$X$258,14,FALSE))))</f>
        <v/>
      </c>
      <c r="O156" s="524" t="str">
        <f>IF(E156="","",IF(ISNA(VLOOKUP($E156,'D-1 Off Site Habitat Baseline'!$D$1:$X$258,13,FALSE)),"",(VLOOKUP($E156,'D-1 Off Site Habitat Baseline'!$D$1:$X$258,13,FALSE))))</f>
        <v/>
      </c>
      <c r="P156" s="232" t="str">
        <f>IFERROR(INDEX('G-1 All Habitats'!$AG$3:$AG$15,MATCH(Q156,'G-1 All Habitats'!$AF$3:$AF$15,0)),"")</f>
        <v/>
      </c>
      <c r="Q156" s="228" t="str">
        <f t="shared" si="34"/>
        <v/>
      </c>
      <c r="R156" s="229" t="str">
        <f t="shared" si="35"/>
        <v/>
      </c>
      <c r="S156" s="233" t="str">
        <f>IFERROR(INDEX('G-1 All Habitats'!$B$3:$B$129,MATCH(R156,'G-1 All Habitats'!$A$3:$A$129,0)),"")</f>
        <v/>
      </c>
      <c r="T156" s="507" t="str">
        <f t="shared" si="27"/>
        <v/>
      </c>
      <c r="U156" s="524" t="str">
        <f t="shared" si="28"/>
        <v/>
      </c>
      <c r="V156" s="523" t="str">
        <f t="shared" si="25"/>
        <v/>
      </c>
      <c r="W156" s="520" t="str">
        <f>IF(S156="","",VLOOKUP(S156,'G-1 All Habitats'!$B$2:$M$129,10,FALSE))</f>
        <v/>
      </c>
      <c r="X156" s="520" t="str">
        <f>IFERROR(VLOOKUP(W156,'G-1 All Habitats'!$V$3:$W$7,2,FALSE),"")</f>
        <v/>
      </c>
      <c r="Y156" s="203"/>
      <c r="Z156" s="524" t="str">
        <f>IFERROR(INDEX('G-8 Condition Look up'!$A$3:$H$130,MATCH(S156,'G-8 Condition Look up'!$A$3:$A$130,0),MATCH(Y156,'G-8 Condition Look up'!$A$3:$H$3,0)),"")</f>
        <v/>
      </c>
      <c r="AA156" s="145"/>
      <c r="AB156" s="540" t="str">
        <f>IF(AA156="","",IF(VLOOKUP(AA156,'G-3 Multipliers'!$L$3:$N$6,2,FALSE)=0,"Spatial Data Missing ⚠",VLOOKUP(AA156,'G-3 Multipliers'!$L$3:$N$6,2,FALSE)))</f>
        <v/>
      </c>
      <c r="AC156" s="524" t="str">
        <f>IF(AA156="","",IF(VLOOKUP(AA156,'G-3 Multipliers'!$L$3:$N$6,3,FALSE)=0,"Spatial Data Missing ⚠",VLOOKUP(AA156,'G-3 Multipliers'!$L$3:$N$6,3,FALSE)))</f>
        <v/>
      </c>
      <c r="AD156" s="537" t="str">
        <f t="shared" si="26"/>
        <v/>
      </c>
      <c r="AE156" s="203"/>
      <c r="AF156" s="203"/>
      <c r="AG156" s="520" t="str">
        <f t="shared" si="29"/>
        <v/>
      </c>
      <c r="AH156" s="544" t="str">
        <f t="shared" si="30"/>
        <v/>
      </c>
      <c r="AI156" s="525" t="str">
        <f>IF(AH156="Check Data ⚠","Check Data ⚠",IFERROR(VLOOKUP(AH156,'G-4 Temporal multipliers'!$A$4:$C$36,3,FALSE),""))</f>
        <v/>
      </c>
      <c r="AJ156" s="537" t="str">
        <f>IF(S156="","",VLOOKUP(S156,'G-3 Multipliers'!$A$2:$E$129,4,FALSE))</f>
        <v/>
      </c>
      <c r="AK156" s="520" t="str">
        <f t="shared" si="31"/>
        <v/>
      </c>
      <c r="AL156" s="520" t="str">
        <f t="shared" si="32"/>
        <v/>
      </c>
      <c r="AM156" s="524" t="str">
        <f>IFERROR(IF(F156="","",IF(AH156="Check Data ⚠","Check Data ⚠",VLOOKUP(AL156, 'G-3 Multipliers'!$P$2:$Q$6,2,FALSE))),"")</f>
        <v/>
      </c>
      <c r="AN156" s="197"/>
      <c r="AO156" s="540" t="str">
        <f>IF(AN156="","",IF(VLOOKUP(AN156,'G-3 Multipliers'!$S$3:$T$9,2,FALSE)=0,"Spatial Data Missing ⚠",VLOOKUP(AN156,'G-3 Multipliers'!$S$3:$T$9,2,FALSE)))</f>
        <v/>
      </c>
      <c r="AP156" s="513" t="str">
        <f t="shared" si="33"/>
        <v/>
      </c>
      <c r="AQ156" s="231"/>
      <c r="AR156" s="150"/>
    </row>
    <row r="157" spans="1:44" x14ac:dyDescent="0.25">
      <c r="A157" s="31" t="str">
        <f>IF(E157="","",IF(ISNA(VLOOKUP($E157,'D-1 Off Site Habitat Baseline'!$D$1:$O$258,2,FALSE)),"",(VLOOKUP($E157,'D-1 Off Site Habitat Baseline'!$D$1:$O$258,2,FALSE))))</f>
        <v/>
      </c>
      <c r="B157" s="31" t="str">
        <f>IF(E157="","",IF(ISNA(VLOOKUP($E157,'D-1 Off Site Habitat Baseline'!$D$1:$O$258,3,FALSE)),"",(VLOOKUP($E157,'D-1 Off Site Habitat Baseline'!$D$1:$O$258,3,FALSE))))</f>
        <v/>
      </c>
      <c r="C157" s="31" t="str">
        <f>IFERROR(INDEX('G-8 Condition Look up'!$I$4:$I$130,MATCH(S157,'G-8 Condition Look up'!$A$4:$A$130,0)),"")</f>
        <v/>
      </c>
      <c r="E157" s="547" t="str">
        <f>'D-1 Off Site Habitat Baseline'!AL156</f>
        <v/>
      </c>
      <c r="F157" s="520" t="str">
        <f>IF(E157="","",IF(ISNA(VLOOKUP($E157,'D-1 Off Site Habitat Baseline'!$D$1:$O$258,4,FALSE)),"",(VLOOKUP($E157,'D-1 Off Site Habitat Baseline'!$D$1:$O$258,4,FALSE))))</f>
        <v/>
      </c>
      <c r="G157" s="520" t="str">
        <f>IF(E157="","",IF(ISNA(VLOOKUP($E157,'D-1 Off Site Habitat Baseline'!$D$1:$O$258,5,FALSE)),"",(VLOOKUP($E157,'D-1 Off Site Habitat Baseline'!$D$1:$O$258,5,FALSE))))</f>
        <v/>
      </c>
      <c r="H157" s="520" t="str">
        <f>IF(E157="","",IF(ISNA(VLOOKUP($E157,'D-1 Off Site Habitat Baseline'!$D$1:$O$258,6,FALSE)),"",(VLOOKUP($E157,'D-1 Off Site Habitat Baseline'!$D$1:$O$258,6,FALSE))))</f>
        <v/>
      </c>
      <c r="I157" s="520" t="str">
        <f>IF(E157="","",IF(ISNA(VLOOKUP($E157,'D-1 Off Site Habitat Baseline'!$D$1:$O$258,7,FALSE)),"",(VLOOKUP($E157,'D-1 Off Site Habitat Baseline'!$D$1:$O$258,7,FALSE))))</f>
        <v/>
      </c>
      <c r="J157" s="520" t="str">
        <f>IF(E157="","",IF(ISNA(VLOOKUP($E157,'D-1 Off Site Habitat Baseline'!$D$1:$O$258,8,FALSE)),"",(VLOOKUP($E157,'D-1 Off Site Habitat Baseline'!$D$1:$O$258,8,FALSE))))</f>
        <v/>
      </c>
      <c r="K157" s="520" t="str">
        <f>IF(E157="","",IF(ISNA(VLOOKUP($E157,'D-1 Off Site Habitat Baseline'!$D$1:$O$258,9,FALSE)),"",(VLOOKUP($E157,'D-1 Off Site Habitat Baseline'!$D$1:$O$258,9,FALSE))))</f>
        <v/>
      </c>
      <c r="L157" s="520" t="str">
        <f>IF(E157="","",IF(ISNA(VLOOKUP($E157,'D-1 Off Site Habitat Baseline'!$D$1:$O$258,11,FALSE)),"",(VLOOKUP($E157,'D-1 Off Site Habitat Baseline'!$D$1:$O$258,11,FALSE))))</f>
        <v/>
      </c>
      <c r="M157" s="520" t="str">
        <f>IF(E157="","",IF(ISNA(VLOOKUP($E157,'D-1 Off Site Habitat Baseline'!$D$1:$O$258,12,FALSE)),"",(VLOOKUP($E157,'D-1 Off Site Habitat Baseline'!$D$1:$O$258,12,FALSE))))</f>
        <v/>
      </c>
      <c r="N157" s="520" t="str">
        <f>IF(E157="","",IF(ISNA(VLOOKUP($E157,'D-1 Off Site Habitat Baseline'!$D$1:$X$258,14,FALSE)),"",(VLOOKUP($E157,'D-1 Off Site Habitat Baseline'!$D$1:$X$258,14,FALSE))))</f>
        <v/>
      </c>
      <c r="O157" s="524" t="str">
        <f>IF(E157="","",IF(ISNA(VLOOKUP($E157,'D-1 Off Site Habitat Baseline'!$D$1:$X$258,13,FALSE)),"",(VLOOKUP($E157,'D-1 Off Site Habitat Baseline'!$D$1:$X$258,13,FALSE))))</f>
        <v/>
      </c>
      <c r="P157" s="232" t="str">
        <f>IFERROR(INDEX('G-1 All Habitats'!$AG$3:$AG$15,MATCH(Q157,'G-1 All Habitats'!$AF$3:$AF$15,0)),"")</f>
        <v/>
      </c>
      <c r="Q157" s="228" t="str">
        <f t="shared" si="34"/>
        <v/>
      </c>
      <c r="R157" s="229" t="str">
        <f t="shared" si="35"/>
        <v/>
      </c>
      <c r="S157" s="233" t="str">
        <f>IFERROR(INDEX('G-1 All Habitats'!$B$3:$B$129,MATCH(R157,'G-1 All Habitats'!$A$3:$A$129,0)),"")</f>
        <v/>
      </c>
      <c r="T157" s="507" t="str">
        <f t="shared" si="27"/>
        <v/>
      </c>
      <c r="U157" s="524" t="str">
        <f t="shared" si="28"/>
        <v/>
      </c>
      <c r="V157" s="523" t="str">
        <f t="shared" si="25"/>
        <v/>
      </c>
      <c r="W157" s="520" t="str">
        <f>IF(S157="","",VLOOKUP(S157,'G-1 All Habitats'!$B$2:$M$129,10,FALSE))</f>
        <v/>
      </c>
      <c r="X157" s="520" t="str">
        <f>IFERROR(VLOOKUP(W157,'G-1 All Habitats'!$V$3:$W$7,2,FALSE),"")</f>
        <v/>
      </c>
      <c r="Y157" s="203"/>
      <c r="Z157" s="524" t="str">
        <f>IFERROR(INDEX('G-8 Condition Look up'!$A$3:$H$130,MATCH(S157,'G-8 Condition Look up'!$A$3:$A$130,0),MATCH(Y157,'G-8 Condition Look up'!$A$3:$H$3,0)),"")</f>
        <v/>
      </c>
      <c r="AA157" s="145"/>
      <c r="AB157" s="540" t="str">
        <f>IF(AA157="","",IF(VLOOKUP(AA157,'G-3 Multipliers'!$L$3:$N$6,2,FALSE)=0,"Spatial Data Missing ⚠",VLOOKUP(AA157,'G-3 Multipliers'!$L$3:$N$6,2,FALSE)))</f>
        <v/>
      </c>
      <c r="AC157" s="524" t="str">
        <f>IF(AA157="","",IF(VLOOKUP(AA157,'G-3 Multipliers'!$L$3:$N$6,3,FALSE)=0,"Spatial Data Missing ⚠",VLOOKUP(AA157,'G-3 Multipliers'!$L$3:$N$6,3,FALSE)))</f>
        <v/>
      </c>
      <c r="AD157" s="537" t="str">
        <f t="shared" si="26"/>
        <v/>
      </c>
      <c r="AE157" s="203"/>
      <c r="AF157" s="203"/>
      <c r="AG157" s="520" t="str">
        <f t="shared" si="29"/>
        <v/>
      </c>
      <c r="AH157" s="544" t="str">
        <f t="shared" si="30"/>
        <v/>
      </c>
      <c r="AI157" s="525" t="str">
        <f>IF(AH157="Check Data ⚠","Check Data ⚠",IFERROR(VLOOKUP(AH157,'G-4 Temporal multipliers'!$A$4:$C$36,3,FALSE),""))</f>
        <v/>
      </c>
      <c r="AJ157" s="537" t="str">
        <f>IF(S157="","",VLOOKUP(S157,'G-3 Multipliers'!$A$2:$E$129,4,FALSE))</f>
        <v/>
      </c>
      <c r="AK157" s="520" t="str">
        <f t="shared" si="31"/>
        <v/>
      </c>
      <c r="AL157" s="520" t="str">
        <f t="shared" si="32"/>
        <v/>
      </c>
      <c r="AM157" s="524" t="str">
        <f>IFERROR(IF(F157="","",IF(AH157="Check Data ⚠","Check Data ⚠",VLOOKUP(AL157, 'G-3 Multipliers'!$P$2:$Q$6,2,FALSE))),"")</f>
        <v/>
      </c>
      <c r="AN157" s="197"/>
      <c r="AO157" s="540" t="str">
        <f>IF(AN157="","",IF(VLOOKUP(AN157,'G-3 Multipliers'!$S$3:$T$9,2,FALSE)=0,"Spatial Data Missing ⚠",VLOOKUP(AN157,'G-3 Multipliers'!$S$3:$T$9,2,FALSE)))</f>
        <v/>
      </c>
      <c r="AP157" s="513" t="str">
        <f t="shared" si="33"/>
        <v/>
      </c>
      <c r="AQ157" s="231"/>
      <c r="AR157" s="150"/>
    </row>
    <row r="158" spans="1:44" x14ac:dyDescent="0.25">
      <c r="A158" s="31" t="str">
        <f>IF(E158="","",IF(ISNA(VLOOKUP($E158,'D-1 Off Site Habitat Baseline'!$D$1:$O$258,2,FALSE)),"",(VLOOKUP($E158,'D-1 Off Site Habitat Baseline'!$D$1:$O$258,2,FALSE))))</f>
        <v/>
      </c>
      <c r="B158" s="31" t="str">
        <f>IF(E158="","",IF(ISNA(VLOOKUP($E158,'D-1 Off Site Habitat Baseline'!$D$1:$O$258,3,FALSE)),"",(VLOOKUP($E158,'D-1 Off Site Habitat Baseline'!$D$1:$O$258,3,FALSE))))</f>
        <v/>
      </c>
      <c r="C158" s="31" t="str">
        <f>IFERROR(INDEX('G-8 Condition Look up'!$I$4:$I$130,MATCH(S158,'G-8 Condition Look up'!$A$4:$A$130,0)),"")</f>
        <v/>
      </c>
      <c r="E158" s="547" t="str">
        <f>'D-1 Off Site Habitat Baseline'!AL157</f>
        <v/>
      </c>
      <c r="F158" s="520" t="str">
        <f>IF(E158="","",IF(ISNA(VLOOKUP($E158,'D-1 Off Site Habitat Baseline'!$D$1:$O$258,4,FALSE)),"",(VLOOKUP($E158,'D-1 Off Site Habitat Baseline'!$D$1:$O$258,4,FALSE))))</f>
        <v/>
      </c>
      <c r="G158" s="520" t="str">
        <f>IF(E158="","",IF(ISNA(VLOOKUP($E158,'D-1 Off Site Habitat Baseline'!$D$1:$O$258,5,FALSE)),"",(VLOOKUP($E158,'D-1 Off Site Habitat Baseline'!$D$1:$O$258,5,FALSE))))</f>
        <v/>
      </c>
      <c r="H158" s="520" t="str">
        <f>IF(E158="","",IF(ISNA(VLOOKUP($E158,'D-1 Off Site Habitat Baseline'!$D$1:$O$258,6,FALSE)),"",(VLOOKUP($E158,'D-1 Off Site Habitat Baseline'!$D$1:$O$258,6,FALSE))))</f>
        <v/>
      </c>
      <c r="I158" s="520" t="str">
        <f>IF(E158="","",IF(ISNA(VLOOKUP($E158,'D-1 Off Site Habitat Baseline'!$D$1:$O$258,7,FALSE)),"",(VLOOKUP($E158,'D-1 Off Site Habitat Baseline'!$D$1:$O$258,7,FALSE))))</f>
        <v/>
      </c>
      <c r="J158" s="520" t="str">
        <f>IF(E158="","",IF(ISNA(VLOOKUP($E158,'D-1 Off Site Habitat Baseline'!$D$1:$O$258,8,FALSE)),"",(VLOOKUP($E158,'D-1 Off Site Habitat Baseline'!$D$1:$O$258,8,FALSE))))</f>
        <v/>
      </c>
      <c r="K158" s="520" t="str">
        <f>IF(E158="","",IF(ISNA(VLOOKUP($E158,'D-1 Off Site Habitat Baseline'!$D$1:$O$258,9,FALSE)),"",(VLOOKUP($E158,'D-1 Off Site Habitat Baseline'!$D$1:$O$258,9,FALSE))))</f>
        <v/>
      </c>
      <c r="L158" s="520" t="str">
        <f>IF(E158="","",IF(ISNA(VLOOKUP($E158,'D-1 Off Site Habitat Baseline'!$D$1:$O$258,11,FALSE)),"",(VLOOKUP($E158,'D-1 Off Site Habitat Baseline'!$D$1:$O$258,11,FALSE))))</f>
        <v/>
      </c>
      <c r="M158" s="520" t="str">
        <f>IF(E158="","",IF(ISNA(VLOOKUP($E158,'D-1 Off Site Habitat Baseline'!$D$1:$O$258,12,FALSE)),"",(VLOOKUP($E158,'D-1 Off Site Habitat Baseline'!$D$1:$O$258,12,FALSE))))</f>
        <v/>
      </c>
      <c r="N158" s="520" t="str">
        <f>IF(E158="","",IF(ISNA(VLOOKUP($E158,'D-1 Off Site Habitat Baseline'!$D$1:$X$258,14,FALSE)),"",(VLOOKUP($E158,'D-1 Off Site Habitat Baseline'!$D$1:$X$258,14,FALSE))))</f>
        <v/>
      </c>
      <c r="O158" s="524" t="str">
        <f>IF(E158="","",IF(ISNA(VLOOKUP($E158,'D-1 Off Site Habitat Baseline'!$D$1:$X$258,13,FALSE)),"",(VLOOKUP($E158,'D-1 Off Site Habitat Baseline'!$D$1:$X$258,13,FALSE))))</f>
        <v/>
      </c>
      <c r="P158" s="232" t="str">
        <f>IFERROR(INDEX('G-1 All Habitats'!$AG$3:$AG$15,MATCH(Q158,'G-1 All Habitats'!$AF$3:$AF$15,0)),"")</f>
        <v/>
      </c>
      <c r="Q158" s="228" t="str">
        <f t="shared" si="34"/>
        <v/>
      </c>
      <c r="R158" s="229" t="str">
        <f t="shared" si="35"/>
        <v/>
      </c>
      <c r="S158" s="233" t="str">
        <f>IFERROR(INDEX('G-1 All Habitats'!$B$3:$B$129,MATCH(R158,'G-1 All Habitats'!$A$3:$A$129,0)),"")</f>
        <v/>
      </c>
      <c r="T158" s="507" t="str">
        <f t="shared" si="27"/>
        <v/>
      </c>
      <c r="U158" s="524" t="str">
        <f t="shared" si="28"/>
        <v/>
      </c>
      <c r="V158" s="523" t="str">
        <f t="shared" si="25"/>
        <v/>
      </c>
      <c r="W158" s="520" t="str">
        <f>IF(S158="","",VLOOKUP(S158,'G-1 All Habitats'!$B$2:$M$129,10,FALSE))</f>
        <v/>
      </c>
      <c r="X158" s="520" t="str">
        <f>IFERROR(VLOOKUP(W158,'G-1 All Habitats'!$V$3:$W$7,2,FALSE),"")</f>
        <v/>
      </c>
      <c r="Y158" s="203"/>
      <c r="Z158" s="524" t="str">
        <f>IFERROR(INDEX('G-8 Condition Look up'!$A$3:$H$130,MATCH(S158,'G-8 Condition Look up'!$A$3:$A$130,0),MATCH(Y158,'G-8 Condition Look up'!$A$3:$H$3,0)),"")</f>
        <v/>
      </c>
      <c r="AA158" s="145"/>
      <c r="AB158" s="540" t="str">
        <f>IF(AA158="","",IF(VLOOKUP(AA158,'G-3 Multipliers'!$L$3:$N$6,2,FALSE)=0,"Spatial Data Missing ⚠",VLOOKUP(AA158,'G-3 Multipliers'!$L$3:$N$6,2,FALSE)))</f>
        <v/>
      </c>
      <c r="AC158" s="524" t="str">
        <f>IF(AA158="","",IF(VLOOKUP(AA158,'G-3 Multipliers'!$L$3:$N$6,3,FALSE)=0,"Spatial Data Missing ⚠",VLOOKUP(AA158,'G-3 Multipliers'!$L$3:$N$6,3,FALSE)))</f>
        <v/>
      </c>
      <c r="AD158" s="537" t="str">
        <f t="shared" si="26"/>
        <v/>
      </c>
      <c r="AE158" s="203"/>
      <c r="AF158" s="203"/>
      <c r="AG158" s="520" t="str">
        <f t="shared" si="29"/>
        <v/>
      </c>
      <c r="AH158" s="544" t="str">
        <f t="shared" si="30"/>
        <v/>
      </c>
      <c r="AI158" s="525" t="str">
        <f>IF(AH158="Check Data ⚠","Check Data ⚠",IFERROR(VLOOKUP(AH158,'G-4 Temporal multipliers'!$A$4:$C$36,3,FALSE),""))</f>
        <v/>
      </c>
      <c r="AJ158" s="537" t="str">
        <f>IF(S158="","",VLOOKUP(S158,'G-3 Multipliers'!$A$2:$E$129,4,FALSE))</f>
        <v/>
      </c>
      <c r="AK158" s="520" t="str">
        <f t="shared" si="31"/>
        <v/>
      </c>
      <c r="AL158" s="520" t="str">
        <f t="shared" si="32"/>
        <v/>
      </c>
      <c r="AM158" s="524" t="str">
        <f>IFERROR(IF(F158="","",IF(AH158="Check Data ⚠","Check Data ⚠",VLOOKUP(AL158, 'G-3 Multipliers'!$P$2:$Q$6,2,FALSE))),"")</f>
        <v/>
      </c>
      <c r="AN158" s="197"/>
      <c r="AO158" s="540" t="str">
        <f>IF(AN158="","",IF(VLOOKUP(AN158,'G-3 Multipliers'!$S$3:$T$9,2,FALSE)=0,"Spatial Data Missing ⚠",VLOOKUP(AN158,'G-3 Multipliers'!$S$3:$T$9,2,FALSE)))</f>
        <v/>
      </c>
      <c r="AP158" s="513" t="str">
        <f t="shared" si="33"/>
        <v/>
      </c>
      <c r="AQ158" s="231"/>
      <c r="AR158" s="150"/>
    </row>
    <row r="159" spans="1:44" x14ac:dyDescent="0.25">
      <c r="A159" s="31" t="str">
        <f>IF(E159="","",IF(ISNA(VLOOKUP($E159,'D-1 Off Site Habitat Baseline'!$D$1:$O$258,2,FALSE)),"",(VLOOKUP($E159,'D-1 Off Site Habitat Baseline'!$D$1:$O$258,2,FALSE))))</f>
        <v/>
      </c>
      <c r="B159" s="31" t="str">
        <f>IF(E159="","",IF(ISNA(VLOOKUP($E159,'D-1 Off Site Habitat Baseline'!$D$1:$O$258,3,FALSE)),"",(VLOOKUP($E159,'D-1 Off Site Habitat Baseline'!$D$1:$O$258,3,FALSE))))</f>
        <v/>
      </c>
      <c r="C159" s="31" t="str">
        <f>IFERROR(INDEX('G-8 Condition Look up'!$I$4:$I$130,MATCH(S159,'G-8 Condition Look up'!$A$4:$A$130,0)),"")</f>
        <v/>
      </c>
      <c r="E159" s="547" t="str">
        <f>'D-1 Off Site Habitat Baseline'!AL158</f>
        <v/>
      </c>
      <c r="F159" s="520" t="str">
        <f>IF(E159="","",IF(ISNA(VLOOKUP($E159,'D-1 Off Site Habitat Baseline'!$D$1:$O$258,4,FALSE)),"",(VLOOKUP($E159,'D-1 Off Site Habitat Baseline'!$D$1:$O$258,4,FALSE))))</f>
        <v/>
      </c>
      <c r="G159" s="520" t="str">
        <f>IF(E159="","",IF(ISNA(VLOOKUP($E159,'D-1 Off Site Habitat Baseline'!$D$1:$O$258,5,FALSE)),"",(VLOOKUP($E159,'D-1 Off Site Habitat Baseline'!$D$1:$O$258,5,FALSE))))</f>
        <v/>
      </c>
      <c r="H159" s="520" t="str">
        <f>IF(E159="","",IF(ISNA(VLOOKUP($E159,'D-1 Off Site Habitat Baseline'!$D$1:$O$258,6,FALSE)),"",(VLOOKUP($E159,'D-1 Off Site Habitat Baseline'!$D$1:$O$258,6,FALSE))))</f>
        <v/>
      </c>
      <c r="I159" s="520" t="str">
        <f>IF(E159="","",IF(ISNA(VLOOKUP($E159,'D-1 Off Site Habitat Baseline'!$D$1:$O$258,7,FALSE)),"",(VLOOKUP($E159,'D-1 Off Site Habitat Baseline'!$D$1:$O$258,7,FALSE))))</f>
        <v/>
      </c>
      <c r="J159" s="520" t="str">
        <f>IF(E159="","",IF(ISNA(VLOOKUP($E159,'D-1 Off Site Habitat Baseline'!$D$1:$O$258,8,FALSE)),"",(VLOOKUP($E159,'D-1 Off Site Habitat Baseline'!$D$1:$O$258,8,FALSE))))</f>
        <v/>
      </c>
      <c r="K159" s="520" t="str">
        <f>IF(E159="","",IF(ISNA(VLOOKUP($E159,'D-1 Off Site Habitat Baseline'!$D$1:$O$258,9,FALSE)),"",(VLOOKUP($E159,'D-1 Off Site Habitat Baseline'!$D$1:$O$258,9,FALSE))))</f>
        <v/>
      </c>
      <c r="L159" s="520" t="str">
        <f>IF(E159="","",IF(ISNA(VLOOKUP($E159,'D-1 Off Site Habitat Baseline'!$D$1:$O$258,11,FALSE)),"",(VLOOKUP($E159,'D-1 Off Site Habitat Baseline'!$D$1:$O$258,11,FALSE))))</f>
        <v/>
      </c>
      <c r="M159" s="520" t="str">
        <f>IF(E159="","",IF(ISNA(VLOOKUP($E159,'D-1 Off Site Habitat Baseline'!$D$1:$O$258,12,FALSE)),"",(VLOOKUP($E159,'D-1 Off Site Habitat Baseline'!$D$1:$O$258,12,FALSE))))</f>
        <v/>
      </c>
      <c r="N159" s="520" t="str">
        <f>IF(E159="","",IF(ISNA(VLOOKUP($E159,'D-1 Off Site Habitat Baseline'!$D$1:$X$258,14,FALSE)),"",(VLOOKUP($E159,'D-1 Off Site Habitat Baseline'!$D$1:$X$258,14,FALSE))))</f>
        <v/>
      </c>
      <c r="O159" s="524" t="str">
        <f>IF(E159="","",IF(ISNA(VLOOKUP($E159,'D-1 Off Site Habitat Baseline'!$D$1:$X$258,13,FALSE)),"",(VLOOKUP($E159,'D-1 Off Site Habitat Baseline'!$D$1:$X$258,13,FALSE))))</f>
        <v/>
      </c>
      <c r="P159" s="232" t="str">
        <f>IFERROR(INDEX('G-1 All Habitats'!$AG$3:$AG$15,MATCH(Q159,'G-1 All Habitats'!$AF$3:$AF$15,0)),"")</f>
        <v/>
      </c>
      <c r="Q159" s="228" t="str">
        <f t="shared" si="34"/>
        <v/>
      </c>
      <c r="R159" s="229" t="str">
        <f t="shared" si="35"/>
        <v/>
      </c>
      <c r="S159" s="233" t="str">
        <f>IFERROR(INDEX('G-1 All Habitats'!$B$3:$B$129,MATCH(R159,'G-1 All Habitats'!$A$3:$A$129,0)),"")</f>
        <v/>
      </c>
      <c r="T159" s="507" t="str">
        <f t="shared" si="27"/>
        <v/>
      </c>
      <c r="U159" s="524" t="str">
        <f t="shared" si="28"/>
        <v/>
      </c>
      <c r="V159" s="523" t="str">
        <f t="shared" si="25"/>
        <v/>
      </c>
      <c r="W159" s="520" t="str">
        <f>IF(S159="","",VLOOKUP(S159,'G-1 All Habitats'!$B$2:$M$129,10,FALSE))</f>
        <v/>
      </c>
      <c r="X159" s="520" t="str">
        <f>IFERROR(VLOOKUP(W159,'G-1 All Habitats'!$V$3:$W$7,2,FALSE),"")</f>
        <v/>
      </c>
      <c r="Y159" s="203"/>
      <c r="Z159" s="524" t="str">
        <f>IFERROR(INDEX('G-8 Condition Look up'!$A$3:$H$130,MATCH(S159,'G-8 Condition Look up'!$A$3:$A$130,0),MATCH(Y159,'G-8 Condition Look up'!$A$3:$H$3,0)),"")</f>
        <v/>
      </c>
      <c r="AA159" s="145"/>
      <c r="AB159" s="540" t="str">
        <f>IF(AA159="","",IF(VLOOKUP(AA159,'G-3 Multipliers'!$L$3:$N$6,2,FALSE)=0,"Spatial Data Missing ⚠",VLOOKUP(AA159,'G-3 Multipliers'!$L$3:$N$6,2,FALSE)))</f>
        <v/>
      </c>
      <c r="AC159" s="524" t="str">
        <f>IF(AA159="","",IF(VLOOKUP(AA159,'G-3 Multipliers'!$L$3:$N$6,3,FALSE)=0,"Spatial Data Missing ⚠",VLOOKUP(AA159,'G-3 Multipliers'!$L$3:$N$6,3,FALSE)))</f>
        <v/>
      </c>
      <c r="AD159" s="537" t="str">
        <f t="shared" si="26"/>
        <v/>
      </c>
      <c r="AE159" s="203"/>
      <c r="AF159" s="203"/>
      <c r="AG159" s="520" t="str">
        <f t="shared" si="29"/>
        <v/>
      </c>
      <c r="AH159" s="544" t="str">
        <f t="shared" si="30"/>
        <v/>
      </c>
      <c r="AI159" s="525" t="str">
        <f>IF(AH159="Check Data ⚠","Check Data ⚠",IFERROR(VLOOKUP(AH159,'G-4 Temporal multipliers'!$A$4:$C$36,3,FALSE),""))</f>
        <v/>
      </c>
      <c r="AJ159" s="537" t="str">
        <f>IF(S159="","",VLOOKUP(S159,'G-3 Multipliers'!$A$2:$E$129,4,FALSE))</f>
        <v/>
      </c>
      <c r="AK159" s="520" t="str">
        <f t="shared" si="31"/>
        <v/>
      </c>
      <c r="AL159" s="520" t="str">
        <f t="shared" si="32"/>
        <v/>
      </c>
      <c r="AM159" s="524" t="str">
        <f>IFERROR(IF(F159="","",IF(AH159="Check Data ⚠","Check Data ⚠",VLOOKUP(AL159, 'G-3 Multipliers'!$P$2:$Q$6,2,FALSE))),"")</f>
        <v/>
      </c>
      <c r="AN159" s="197"/>
      <c r="AO159" s="540" t="str">
        <f>IF(AN159="","",IF(VLOOKUP(AN159,'G-3 Multipliers'!$S$3:$T$9,2,FALSE)=0,"Spatial Data Missing ⚠",VLOOKUP(AN159,'G-3 Multipliers'!$S$3:$T$9,2,FALSE)))</f>
        <v/>
      </c>
      <c r="AP159" s="513" t="str">
        <f t="shared" si="33"/>
        <v/>
      </c>
      <c r="AQ159" s="231"/>
      <c r="AR159" s="150"/>
    </row>
    <row r="160" spans="1:44" x14ac:dyDescent="0.25">
      <c r="A160" s="31" t="str">
        <f>IF(E160="","",IF(ISNA(VLOOKUP($E160,'D-1 Off Site Habitat Baseline'!$D$1:$O$258,2,FALSE)),"",(VLOOKUP($E160,'D-1 Off Site Habitat Baseline'!$D$1:$O$258,2,FALSE))))</f>
        <v/>
      </c>
      <c r="B160" s="31" t="str">
        <f>IF(E160="","",IF(ISNA(VLOOKUP($E160,'D-1 Off Site Habitat Baseline'!$D$1:$O$258,3,FALSE)),"",(VLOOKUP($E160,'D-1 Off Site Habitat Baseline'!$D$1:$O$258,3,FALSE))))</f>
        <v/>
      </c>
      <c r="C160" s="31" t="str">
        <f>IFERROR(INDEX('G-8 Condition Look up'!$I$4:$I$130,MATCH(S160,'G-8 Condition Look up'!$A$4:$A$130,0)),"")</f>
        <v/>
      </c>
      <c r="E160" s="547" t="str">
        <f>'D-1 Off Site Habitat Baseline'!AL159</f>
        <v/>
      </c>
      <c r="F160" s="520" t="str">
        <f>IF(E160="","",IF(ISNA(VLOOKUP($E160,'D-1 Off Site Habitat Baseline'!$D$1:$O$258,4,FALSE)),"",(VLOOKUP($E160,'D-1 Off Site Habitat Baseline'!$D$1:$O$258,4,FALSE))))</f>
        <v/>
      </c>
      <c r="G160" s="520" t="str">
        <f>IF(E160="","",IF(ISNA(VLOOKUP($E160,'D-1 Off Site Habitat Baseline'!$D$1:$O$258,5,FALSE)),"",(VLOOKUP($E160,'D-1 Off Site Habitat Baseline'!$D$1:$O$258,5,FALSE))))</f>
        <v/>
      </c>
      <c r="H160" s="520" t="str">
        <f>IF(E160="","",IF(ISNA(VLOOKUP($E160,'D-1 Off Site Habitat Baseline'!$D$1:$O$258,6,FALSE)),"",(VLOOKUP($E160,'D-1 Off Site Habitat Baseline'!$D$1:$O$258,6,FALSE))))</f>
        <v/>
      </c>
      <c r="I160" s="520" t="str">
        <f>IF(E160="","",IF(ISNA(VLOOKUP($E160,'D-1 Off Site Habitat Baseline'!$D$1:$O$258,7,FALSE)),"",(VLOOKUP($E160,'D-1 Off Site Habitat Baseline'!$D$1:$O$258,7,FALSE))))</f>
        <v/>
      </c>
      <c r="J160" s="520" t="str">
        <f>IF(E160="","",IF(ISNA(VLOOKUP($E160,'D-1 Off Site Habitat Baseline'!$D$1:$O$258,8,FALSE)),"",(VLOOKUP($E160,'D-1 Off Site Habitat Baseline'!$D$1:$O$258,8,FALSE))))</f>
        <v/>
      </c>
      <c r="K160" s="520" t="str">
        <f>IF(E160="","",IF(ISNA(VLOOKUP($E160,'D-1 Off Site Habitat Baseline'!$D$1:$O$258,9,FALSE)),"",(VLOOKUP($E160,'D-1 Off Site Habitat Baseline'!$D$1:$O$258,9,FALSE))))</f>
        <v/>
      </c>
      <c r="L160" s="520" t="str">
        <f>IF(E160="","",IF(ISNA(VLOOKUP($E160,'D-1 Off Site Habitat Baseline'!$D$1:$O$258,11,FALSE)),"",(VLOOKUP($E160,'D-1 Off Site Habitat Baseline'!$D$1:$O$258,11,FALSE))))</f>
        <v/>
      </c>
      <c r="M160" s="520" t="str">
        <f>IF(E160="","",IF(ISNA(VLOOKUP($E160,'D-1 Off Site Habitat Baseline'!$D$1:$O$258,12,FALSE)),"",(VLOOKUP($E160,'D-1 Off Site Habitat Baseline'!$D$1:$O$258,12,FALSE))))</f>
        <v/>
      </c>
      <c r="N160" s="520" t="str">
        <f>IF(E160="","",IF(ISNA(VLOOKUP($E160,'D-1 Off Site Habitat Baseline'!$D$1:$X$258,14,FALSE)),"",(VLOOKUP($E160,'D-1 Off Site Habitat Baseline'!$D$1:$X$258,14,FALSE))))</f>
        <v/>
      </c>
      <c r="O160" s="524" t="str">
        <f>IF(E160="","",IF(ISNA(VLOOKUP($E160,'D-1 Off Site Habitat Baseline'!$D$1:$X$258,13,FALSE)),"",(VLOOKUP($E160,'D-1 Off Site Habitat Baseline'!$D$1:$X$258,13,FALSE))))</f>
        <v/>
      </c>
      <c r="P160" s="232" t="str">
        <f>IFERROR(INDEX('G-1 All Habitats'!$AG$3:$AG$15,MATCH(Q160,'G-1 All Habitats'!$AF$3:$AF$15,0)),"")</f>
        <v/>
      </c>
      <c r="Q160" s="228" t="str">
        <f t="shared" si="34"/>
        <v/>
      </c>
      <c r="R160" s="229" t="str">
        <f t="shared" si="35"/>
        <v/>
      </c>
      <c r="S160" s="233" t="str">
        <f>IFERROR(INDEX('G-1 All Habitats'!$B$3:$B$129,MATCH(R160,'G-1 All Habitats'!$A$3:$A$129,0)),"")</f>
        <v/>
      </c>
      <c r="T160" s="507" t="str">
        <f t="shared" si="27"/>
        <v/>
      </c>
      <c r="U160" s="524" t="str">
        <f t="shared" si="28"/>
        <v/>
      </c>
      <c r="V160" s="523" t="str">
        <f t="shared" si="25"/>
        <v/>
      </c>
      <c r="W160" s="520" t="str">
        <f>IF(S160="","",VLOOKUP(S160,'G-1 All Habitats'!$B$2:$M$129,10,FALSE))</f>
        <v/>
      </c>
      <c r="X160" s="520" t="str">
        <f>IFERROR(VLOOKUP(W160,'G-1 All Habitats'!$V$3:$W$7,2,FALSE),"")</f>
        <v/>
      </c>
      <c r="Y160" s="203"/>
      <c r="Z160" s="524" t="str">
        <f>IFERROR(INDEX('G-8 Condition Look up'!$A$3:$H$130,MATCH(S160,'G-8 Condition Look up'!$A$3:$A$130,0),MATCH(Y160,'G-8 Condition Look up'!$A$3:$H$3,0)),"")</f>
        <v/>
      </c>
      <c r="AA160" s="145"/>
      <c r="AB160" s="540" t="str">
        <f>IF(AA160="","",IF(VLOOKUP(AA160,'G-3 Multipliers'!$L$3:$N$6,2,FALSE)=0,"Spatial Data Missing ⚠",VLOOKUP(AA160,'G-3 Multipliers'!$L$3:$N$6,2,FALSE)))</f>
        <v/>
      </c>
      <c r="AC160" s="524" t="str">
        <f>IF(AA160="","",IF(VLOOKUP(AA160,'G-3 Multipliers'!$L$3:$N$6,3,FALSE)=0,"Spatial Data Missing ⚠",VLOOKUP(AA160,'G-3 Multipliers'!$L$3:$N$6,3,FALSE)))</f>
        <v/>
      </c>
      <c r="AD160" s="537" t="str">
        <f t="shared" si="26"/>
        <v/>
      </c>
      <c r="AE160" s="203"/>
      <c r="AF160" s="203"/>
      <c r="AG160" s="520" t="str">
        <f t="shared" si="29"/>
        <v/>
      </c>
      <c r="AH160" s="544" t="str">
        <f t="shared" si="30"/>
        <v/>
      </c>
      <c r="AI160" s="525" t="str">
        <f>IF(AH160="Check Data ⚠","Check Data ⚠",IFERROR(VLOOKUP(AH160,'G-4 Temporal multipliers'!$A$4:$C$36,3,FALSE),""))</f>
        <v/>
      </c>
      <c r="AJ160" s="537" t="str">
        <f>IF(S160="","",VLOOKUP(S160,'G-3 Multipliers'!$A$2:$E$129,4,FALSE))</f>
        <v/>
      </c>
      <c r="AK160" s="520" t="str">
        <f t="shared" si="31"/>
        <v/>
      </c>
      <c r="AL160" s="520" t="str">
        <f t="shared" si="32"/>
        <v/>
      </c>
      <c r="AM160" s="524" t="str">
        <f>IFERROR(IF(F160="","",IF(AH160="Check Data ⚠","Check Data ⚠",VLOOKUP(AL160, 'G-3 Multipliers'!$P$2:$Q$6,2,FALSE))),"")</f>
        <v/>
      </c>
      <c r="AN160" s="197"/>
      <c r="AO160" s="540" t="str">
        <f>IF(AN160="","",IF(VLOOKUP(AN160,'G-3 Multipliers'!$S$3:$T$9,2,FALSE)=0,"Spatial Data Missing ⚠",VLOOKUP(AN160,'G-3 Multipliers'!$S$3:$T$9,2,FALSE)))</f>
        <v/>
      </c>
      <c r="AP160" s="513" t="str">
        <f t="shared" si="33"/>
        <v/>
      </c>
      <c r="AQ160" s="231"/>
      <c r="AR160" s="150"/>
    </row>
    <row r="161" spans="1:44" x14ac:dyDescent="0.25">
      <c r="A161" s="31" t="str">
        <f>IF(E161="","",IF(ISNA(VLOOKUP($E161,'D-1 Off Site Habitat Baseline'!$D$1:$O$258,2,FALSE)),"",(VLOOKUP($E161,'D-1 Off Site Habitat Baseline'!$D$1:$O$258,2,FALSE))))</f>
        <v/>
      </c>
      <c r="B161" s="31" t="str">
        <f>IF(E161="","",IF(ISNA(VLOOKUP($E161,'D-1 Off Site Habitat Baseline'!$D$1:$O$258,3,FALSE)),"",(VLOOKUP($E161,'D-1 Off Site Habitat Baseline'!$D$1:$O$258,3,FALSE))))</f>
        <v/>
      </c>
      <c r="C161" s="31" t="str">
        <f>IFERROR(INDEX('G-8 Condition Look up'!$I$4:$I$130,MATCH(S161,'G-8 Condition Look up'!$A$4:$A$130,0)),"")</f>
        <v/>
      </c>
      <c r="E161" s="547" t="str">
        <f>'D-1 Off Site Habitat Baseline'!AL160</f>
        <v/>
      </c>
      <c r="F161" s="520" t="str">
        <f>IF(E161="","",IF(ISNA(VLOOKUP($E161,'D-1 Off Site Habitat Baseline'!$D$1:$O$258,4,FALSE)),"",(VLOOKUP($E161,'D-1 Off Site Habitat Baseline'!$D$1:$O$258,4,FALSE))))</f>
        <v/>
      </c>
      <c r="G161" s="520" t="str">
        <f>IF(E161="","",IF(ISNA(VLOOKUP($E161,'D-1 Off Site Habitat Baseline'!$D$1:$O$258,5,FALSE)),"",(VLOOKUP($E161,'D-1 Off Site Habitat Baseline'!$D$1:$O$258,5,FALSE))))</f>
        <v/>
      </c>
      <c r="H161" s="520" t="str">
        <f>IF(E161="","",IF(ISNA(VLOOKUP($E161,'D-1 Off Site Habitat Baseline'!$D$1:$O$258,6,FALSE)),"",(VLOOKUP($E161,'D-1 Off Site Habitat Baseline'!$D$1:$O$258,6,FALSE))))</f>
        <v/>
      </c>
      <c r="I161" s="520" t="str">
        <f>IF(E161="","",IF(ISNA(VLOOKUP($E161,'D-1 Off Site Habitat Baseline'!$D$1:$O$258,7,FALSE)),"",(VLOOKUP($E161,'D-1 Off Site Habitat Baseline'!$D$1:$O$258,7,FALSE))))</f>
        <v/>
      </c>
      <c r="J161" s="520" t="str">
        <f>IF(E161="","",IF(ISNA(VLOOKUP($E161,'D-1 Off Site Habitat Baseline'!$D$1:$O$258,8,FALSE)),"",(VLOOKUP($E161,'D-1 Off Site Habitat Baseline'!$D$1:$O$258,8,FALSE))))</f>
        <v/>
      </c>
      <c r="K161" s="520" t="str">
        <f>IF(E161="","",IF(ISNA(VLOOKUP($E161,'D-1 Off Site Habitat Baseline'!$D$1:$O$258,9,FALSE)),"",(VLOOKUP($E161,'D-1 Off Site Habitat Baseline'!$D$1:$O$258,9,FALSE))))</f>
        <v/>
      </c>
      <c r="L161" s="520" t="str">
        <f>IF(E161="","",IF(ISNA(VLOOKUP($E161,'D-1 Off Site Habitat Baseline'!$D$1:$O$258,11,FALSE)),"",(VLOOKUP($E161,'D-1 Off Site Habitat Baseline'!$D$1:$O$258,11,FALSE))))</f>
        <v/>
      </c>
      <c r="M161" s="520" t="str">
        <f>IF(E161="","",IF(ISNA(VLOOKUP($E161,'D-1 Off Site Habitat Baseline'!$D$1:$O$258,12,FALSE)),"",(VLOOKUP($E161,'D-1 Off Site Habitat Baseline'!$D$1:$O$258,12,FALSE))))</f>
        <v/>
      </c>
      <c r="N161" s="520" t="str">
        <f>IF(E161="","",IF(ISNA(VLOOKUP($E161,'D-1 Off Site Habitat Baseline'!$D$1:$X$258,14,FALSE)),"",(VLOOKUP($E161,'D-1 Off Site Habitat Baseline'!$D$1:$X$258,14,FALSE))))</f>
        <v/>
      </c>
      <c r="O161" s="524" t="str">
        <f>IF(E161="","",IF(ISNA(VLOOKUP($E161,'D-1 Off Site Habitat Baseline'!$D$1:$X$258,13,FALSE)),"",(VLOOKUP($E161,'D-1 Off Site Habitat Baseline'!$D$1:$X$258,13,FALSE))))</f>
        <v/>
      </c>
      <c r="P161" s="232" t="str">
        <f>IFERROR(INDEX('G-1 All Habitats'!$AG$3:$AG$15,MATCH(Q161,'G-1 All Habitats'!$AF$3:$AF$15,0)),"")</f>
        <v/>
      </c>
      <c r="Q161" s="228" t="str">
        <f t="shared" si="34"/>
        <v/>
      </c>
      <c r="R161" s="229" t="str">
        <f t="shared" si="35"/>
        <v/>
      </c>
      <c r="S161" s="233" t="str">
        <f>IFERROR(INDEX('G-1 All Habitats'!$B$3:$B$129,MATCH(R161,'G-1 All Habitats'!$A$3:$A$129,0)),"")</f>
        <v/>
      </c>
      <c r="T161" s="507" t="str">
        <f t="shared" si="27"/>
        <v/>
      </c>
      <c r="U161" s="524" t="str">
        <f t="shared" si="28"/>
        <v/>
      </c>
      <c r="V161" s="523" t="str">
        <f t="shared" si="25"/>
        <v/>
      </c>
      <c r="W161" s="520" t="str">
        <f>IF(S161="","",VLOOKUP(S161,'G-1 All Habitats'!$B$2:$M$129,10,FALSE))</f>
        <v/>
      </c>
      <c r="X161" s="520" t="str">
        <f>IFERROR(VLOOKUP(W161,'G-1 All Habitats'!$V$3:$W$7,2,FALSE),"")</f>
        <v/>
      </c>
      <c r="Y161" s="203"/>
      <c r="Z161" s="524" t="str">
        <f>IFERROR(INDEX('G-8 Condition Look up'!$A$3:$H$130,MATCH(S161,'G-8 Condition Look up'!$A$3:$A$130,0),MATCH(Y161,'G-8 Condition Look up'!$A$3:$H$3,0)),"")</f>
        <v/>
      </c>
      <c r="AA161" s="145"/>
      <c r="AB161" s="540" t="str">
        <f>IF(AA161="","",IF(VLOOKUP(AA161,'G-3 Multipliers'!$L$3:$N$6,2,FALSE)=0,"Spatial Data Missing ⚠",VLOOKUP(AA161,'G-3 Multipliers'!$L$3:$N$6,2,FALSE)))</f>
        <v/>
      </c>
      <c r="AC161" s="524" t="str">
        <f>IF(AA161="","",IF(VLOOKUP(AA161,'G-3 Multipliers'!$L$3:$N$6,3,FALSE)=0,"Spatial Data Missing ⚠",VLOOKUP(AA161,'G-3 Multipliers'!$L$3:$N$6,3,FALSE)))</f>
        <v/>
      </c>
      <c r="AD161" s="537" t="str">
        <f t="shared" si="26"/>
        <v/>
      </c>
      <c r="AE161" s="203"/>
      <c r="AF161" s="203"/>
      <c r="AG161" s="520" t="str">
        <f t="shared" si="29"/>
        <v/>
      </c>
      <c r="AH161" s="544" t="str">
        <f t="shared" si="30"/>
        <v/>
      </c>
      <c r="AI161" s="525" t="str">
        <f>IF(AH161="Check Data ⚠","Check Data ⚠",IFERROR(VLOOKUP(AH161,'G-4 Temporal multipliers'!$A$4:$C$36,3,FALSE),""))</f>
        <v/>
      </c>
      <c r="AJ161" s="537" t="str">
        <f>IF(S161="","",VLOOKUP(S161,'G-3 Multipliers'!$A$2:$E$129,4,FALSE))</f>
        <v/>
      </c>
      <c r="AK161" s="520" t="str">
        <f t="shared" si="31"/>
        <v/>
      </c>
      <c r="AL161" s="520" t="str">
        <f t="shared" si="32"/>
        <v/>
      </c>
      <c r="AM161" s="524" t="str">
        <f>IFERROR(IF(F161="","",IF(AH161="Check Data ⚠","Check Data ⚠",VLOOKUP(AL161, 'G-3 Multipliers'!$P$2:$Q$6,2,FALSE))),"")</f>
        <v/>
      </c>
      <c r="AN161" s="197"/>
      <c r="AO161" s="540" t="str">
        <f>IF(AN161="","",IF(VLOOKUP(AN161,'G-3 Multipliers'!$S$3:$T$9,2,FALSE)=0,"Spatial Data Missing ⚠",VLOOKUP(AN161,'G-3 Multipliers'!$S$3:$T$9,2,FALSE)))</f>
        <v/>
      </c>
      <c r="AP161" s="513" t="str">
        <f t="shared" si="33"/>
        <v/>
      </c>
      <c r="AQ161" s="231"/>
      <c r="AR161" s="150"/>
    </row>
    <row r="162" spans="1:44" x14ac:dyDescent="0.25">
      <c r="A162" s="31" t="str">
        <f>IF(E162="","",IF(ISNA(VLOOKUP($E162,'D-1 Off Site Habitat Baseline'!$D$1:$O$258,2,FALSE)),"",(VLOOKUP($E162,'D-1 Off Site Habitat Baseline'!$D$1:$O$258,2,FALSE))))</f>
        <v/>
      </c>
      <c r="B162" s="31" t="str">
        <f>IF(E162="","",IF(ISNA(VLOOKUP($E162,'D-1 Off Site Habitat Baseline'!$D$1:$O$258,3,FALSE)),"",(VLOOKUP($E162,'D-1 Off Site Habitat Baseline'!$D$1:$O$258,3,FALSE))))</f>
        <v/>
      </c>
      <c r="C162" s="31" t="str">
        <f>IFERROR(INDEX('G-8 Condition Look up'!$I$4:$I$130,MATCH(S162,'G-8 Condition Look up'!$A$4:$A$130,0)),"")</f>
        <v/>
      </c>
      <c r="E162" s="547" t="str">
        <f>'D-1 Off Site Habitat Baseline'!AL161</f>
        <v/>
      </c>
      <c r="F162" s="520" t="str">
        <f>IF(E162="","",IF(ISNA(VLOOKUP($E162,'D-1 Off Site Habitat Baseline'!$D$1:$O$258,4,FALSE)),"",(VLOOKUP($E162,'D-1 Off Site Habitat Baseline'!$D$1:$O$258,4,FALSE))))</f>
        <v/>
      </c>
      <c r="G162" s="520" t="str">
        <f>IF(E162="","",IF(ISNA(VLOOKUP($E162,'D-1 Off Site Habitat Baseline'!$D$1:$O$258,5,FALSE)),"",(VLOOKUP($E162,'D-1 Off Site Habitat Baseline'!$D$1:$O$258,5,FALSE))))</f>
        <v/>
      </c>
      <c r="H162" s="520" t="str">
        <f>IF(E162="","",IF(ISNA(VLOOKUP($E162,'D-1 Off Site Habitat Baseline'!$D$1:$O$258,6,FALSE)),"",(VLOOKUP($E162,'D-1 Off Site Habitat Baseline'!$D$1:$O$258,6,FALSE))))</f>
        <v/>
      </c>
      <c r="I162" s="520" t="str">
        <f>IF(E162="","",IF(ISNA(VLOOKUP($E162,'D-1 Off Site Habitat Baseline'!$D$1:$O$258,7,FALSE)),"",(VLOOKUP($E162,'D-1 Off Site Habitat Baseline'!$D$1:$O$258,7,FALSE))))</f>
        <v/>
      </c>
      <c r="J162" s="520" t="str">
        <f>IF(E162="","",IF(ISNA(VLOOKUP($E162,'D-1 Off Site Habitat Baseline'!$D$1:$O$258,8,FALSE)),"",(VLOOKUP($E162,'D-1 Off Site Habitat Baseline'!$D$1:$O$258,8,FALSE))))</f>
        <v/>
      </c>
      <c r="K162" s="520" t="str">
        <f>IF(E162="","",IF(ISNA(VLOOKUP($E162,'D-1 Off Site Habitat Baseline'!$D$1:$O$258,9,FALSE)),"",(VLOOKUP($E162,'D-1 Off Site Habitat Baseline'!$D$1:$O$258,9,FALSE))))</f>
        <v/>
      </c>
      <c r="L162" s="520" t="str">
        <f>IF(E162="","",IF(ISNA(VLOOKUP($E162,'D-1 Off Site Habitat Baseline'!$D$1:$O$258,11,FALSE)),"",(VLOOKUP($E162,'D-1 Off Site Habitat Baseline'!$D$1:$O$258,11,FALSE))))</f>
        <v/>
      </c>
      <c r="M162" s="520" t="str">
        <f>IF(E162="","",IF(ISNA(VLOOKUP($E162,'D-1 Off Site Habitat Baseline'!$D$1:$O$258,12,FALSE)),"",(VLOOKUP($E162,'D-1 Off Site Habitat Baseline'!$D$1:$O$258,12,FALSE))))</f>
        <v/>
      </c>
      <c r="N162" s="520" t="str">
        <f>IF(E162="","",IF(ISNA(VLOOKUP($E162,'D-1 Off Site Habitat Baseline'!$D$1:$X$258,14,FALSE)),"",(VLOOKUP($E162,'D-1 Off Site Habitat Baseline'!$D$1:$X$258,14,FALSE))))</f>
        <v/>
      </c>
      <c r="O162" s="524" t="str">
        <f>IF(E162="","",IF(ISNA(VLOOKUP($E162,'D-1 Off Site Habitat Baseline'!$D$1:$X$258,13,FALSE)),"",(VLOOKUP($E162,'D-1 Off Site Habitat Baseline'!$D$1:$X$258,13,FALSE))))</f>
        <v/>
      </c>
      <c r="P162" s="232" t="str">
        <f>IFERROR(INDEX('G-1 All Habitats'!$AG$3:$AG$15,MATCH(Q162,'G-1 All Habitats'!$AF$3:$AF$15,0)),"")</f>
        <v/>
      </c>
      <c r="Q162" s="228" t="str">
        <f t="shared" si="34"/>
        <v/>
      </c>
      <c r="R162" s="229" t="str">
        <f t="shared" si="35"/>
        <v/>
      </c>
      <c r="S162" s="233" t="str">
        <f>IFERROR(INDEX('G-1 All Habitats'!$B$3:$B$129,MATCH(R162,'G-1 All Habitats'!$A$3:$A$129,0)),"")</f>
        <v/>
      </c>
      <c r="T162" s="507" t="str">
        <f t="shared" si="27"/>
        <v/>
      </c>
      <c r="U162" s="524" t="str">
        <f t="shared" si="28"/>
        <v/>
      </c>
      <c r="V162" s="523" t="str">
        <f t="shared" si="25"/>
        <v/>
      </c>
      <c r="W162" s="520" t="str">
        <f>IF(S162="","",VLOOKUP(S162,'G-1 All Habitats'!$B$2:$M$129,10,FALSE))</f>
        <v/>
      </c>
      <c r="X162" s="520" t="str">
        <f>IFERROR(VLOOKUP(W162,'G-1 All Habitats'!$V$3:$W$7,2,FALSE),"")</f>
        <v/>
      </c>
      <c r="Y162" s="203"/>
      <c r="Z162" s="524" t="str">
        <f>IFERROR(INDEX('G-8 Condition Look up'!$A$3:$H$130,MATCH(S162,'G-8 Condition Look up'!$A$3:$A$130,0),MATCH(Y162,'G-8 Condition Look up'!$A$3:$H$3,0)),"")</f>
        <v/>
      </c>
      <c r="AA162" s="145"/>
      <c r="AB162" s="540" t="str">
        <f>IF(AA162="","",IF(VLOOKUP(AA162,'G-3 Multipliers'!$L$3:$N$6,2,FALSE)=0,"Spatial Data Missing ⚠",VLOOKUP(AA162,'G-3 Multipliers'!$L$3:$N$6,2,FALSE)))</f>
        <v/>
      </c>
      <c r="AC162" s="524" t="str">
        <f>IF(AA162="","",IF(VLOOKUP(AA162,'G-3 Multipliers'!$L$3:$N$6,3,FALSE)=0,"Spatial Data Missing ⚠",VLOOKUP(AA162,'G-3 Multipliers'!$L$3:$N$6,3,FALSE)))</f>
        <v/>
      </c>
      <c r="AD162" s="537" t="str">
        <f t="shared" si="26"/>
        <v/>
      </c>
      <c r="AE162" s="203"/>
      <c r="AF162" s="203"/>
      <c r="AG162" s="520" t="str">
        <f t="shared" si="29"/>
        <v/>
      </c>
      <c r="AH162" s="544" t="str">
        <f t="shared" si="30"/>
        <v/>
      </c>
      <c r="AI162" s="525" t="str">
        <f>IF(AH162="Check Data ⚠","Check Data ⚠",IFERROR(VLOOKUP(AH162,'G-4 Temporal multipliers'!$A$4:$C$36,3,FALSE),""))</f>
        <v/>
      </c>
      <c r="AJ162" s="537" t="str">
        <f>IF(S162="","",VLOOKUP(S162,'G-3 Multipliers'!$A$2:$E$129,4,FALSE))</f>
        <v/>
      </c>
      <c r="AK162" s="520" t="str">
        <f t="shared" si="31"/>
        <v/>
      </c>
      <c r="AL162" s="520" t="str">
        <f t="shared" si="32"/>
        <v/>
      </c>
      <c r="AM162" s="524" t="str">
        <f>IFERROR(IF(F162="","",IF(AH162="Check Data ⚠","Check Data ⚠",VLOOKUP(AL162, 'G-3 Multipliers'!$P$2:$Q$6,2,FALSE))),"")</f>
        <v/>
      </c>
      <c r="AN162" s="197"/>
      <c r="AO162" s="540" t="str">
        <f>IF(AN162="","",IF(VLOOKUP(AN162,'G-3 Multipliers'!$S$3:$T$9,2,FALSE)=0,"Spatial Data Missing ⚠",VLOOKUP(AN162,'G-3 Multipliers'!$S$3:$T$9,2,FALSE)))</f>
        <v/>
      </c>
      <c r="AP162" s="513" t="str">
        <f t="shared" si="33"/>
        <v/>
      </c>
      <c r="AQ162" s="231"/>
      <c r="AR162" s="150"/>
    </row>
    <row r="163" spans="1:44" x14ac:dyDescent="0.25">
      <c r="A163" s="31" t="str">
        <f>IF(E163="","",IF(ISNA(VLOOKUP($E163,'D-1 Off Site Habitat Baseline'!$D$1:$O$258,2,FALSE)),"",(VLOOKUP($E163,'D-1 Off Site Habitat Baseline'!$D$1:$O$258,2,FALSE))))</f>
        <v/>
      </c>
      <c r="B163" s="31" t="str">
        <f>IF(E163="","",IF(ISNA(VLOOKUP($E163,'D-1 Off Site Habitat Baseline'!$D$1:$O$258,3,FALSE)),"",(VLOOKUP($E163,'D-1 Off Site Habitat Baseline'!$D$1:$O$258,3,FALSE))))</f>
        <v/>
      </c>
      <c r="C163" s="31" t="str">
        <f>IFERROR(INDEX('G-8 Condition Look up'!$I$4:$I$130,MATCH(S163,'G-8 Condition Look up'!$A$4:$A$130,0)),"")</f>
        <v/>
      </c>
      <c r="E163" s="547" t="str">
        <f>'D-1 Off Site Habitat Baseline'!AL162</f>
        <v/>
      </c>
      <c r="F163" s="520" t="str">
        <f>IF(E163="","",IF(ISNA(VLOOKUP($E163,'D-1 Off Site Habitat Baseline'!$D$1:$O$258,4,FALSE)),"",(VLOOKUP($E163,'D-1 Off Site Habitat Baseline'!$D$1:$O$258,4,FALSE))))</f>
        <v/>
      </c>
      <c r="G163" s="520" t="str">
        <f>IF(E163="","",IF(ISNA(VLOOKUP($E163,'D-1 Off Site Habitat Baseline'!$D$1:$O$258,5,FALSE)),"",(VLOOKUP($E163,'D-1 Off Site Habitat Baseline'!$D$1:$O$258,5,FALSE))))</f>
        <v/>
      </c>
      <c r="H163" s="520" t="str">
        <f>IF(E163="","",IF(ISNA(VLOOKUP($E163,'D-1 Off Site Habitat Baseline'!$D$1:$O$258,6,FALSE)),"",(VLOOKUP($E163,'D-1 Off Site Habitat Baseline'!$D$1:$O$258,6,FALSE))))</f>
        <v/>
      </c>
      <c r="I163" s="520" t="str">
        <f>IF(E163="","",IF(ISNA(VLOOKUP($E163,'D-1 Off Site Habitat Baseline'!$D$1:$O$258,7,FALSE)),"",(VLOOKUP($E163,'D-1 Off Site Habitat Baseline'!$D$1:$O$258,7,FALSE))))</f>
        <v/>
      </c>
      <c r="J163" s="520" t="str">
        <f>IF(E163="","",IF(ISNA(VLOOKUP($E163,'D-1 Off Site Habitat Baseline'!$D$1:$O$258,8,FALSE)),"",(VLOOKUP($E163,'D-1 Off Site Habitat Baseline'!$D$1:$O$258,8,FALSE))))</f>
        <v/>
      </c>
      <c r="K163" s="520" t="str">
        <f>IF(E163="","",IF(ISNA(VLOOKUP($E163,'D-1 Off Site Habitat Baseline'!$D$1:$O$258,9,FALSE)),"",(VLOOKUP($E163,'D-1 Off Site Habitat Baseline'!$D$1:$O$258,9,FALSE))))</f>
        <v/>
      </c>
      <c r="L163" s="520" t="str">
        <f>IF(E163="","",IF(ISNA(VLOOKUP($E163,'D-1 Off Site Habitat Baseline'!$D$1:$O$258,11,FALSE)),"",(VLOOKUP($E163,'D-1 Off Site Habitat Baseline'!$D$1:$O$258,11,FALSE))))</f>
        <v/>
      </c>
      <c r="M163" s="520" t="str">
        <f>IF(E163="","",IF(ISNA(VLOOKUP($E163,'D-1 Off Site Habitat Baseline'!$D$1:$O$258,12,FALSE)),"",(VLOOKUP($E163,'D-1 Off Site Habitat Baseline'!$D$1:$O$258,12,FALSE))))</f>
        <v/>
      </c>
      <c r="N163" s="520" t="str">
        <f>IF(E163="","",IF(ISNA(VLOOKUP($E163,'D-1 Off Site Habitat Baseline'!$D$1:$X$258,14,FALSE)),"",(VLOOKUP($E163,'D-1 Off Site Habitat Baseline'!$D$1:$X$258,14,FALSE))))</f>
        <v/>
      </c>
      <c r="O163" s="524" t="str">
        <f>IF(E163="","",IF(ISNA(VLOOKUP($E163,'D-1 Off Site Habitat Baseline'!$D$1:$X$258,13,FALSE)),"",(VLOOKUP($E163,'D-1 Off Site Habitat Baseline'!$D$1:$X$258,13,FALSE))))</f>
        <v/>
      </c>
      <c r="P163" s="232" t="str">
        <f>IFERROR(INDEX('G-1 All Habitats'!$AG$3:$AG$15,MATCH(Q163,'G-1 All Habitats'!$AF$3:$AF$15,0)),"")</f>
        <v/>
      </c>
      <c r="Q163" s="228" t="str">
        <f t="shared" si="34"/>
        <v/>
      </c>
      <c r="R163" s="229" t="str">
        <f t="shared" si="35"/>
        <v/>
      </c>
      <c r="S163" s="233" t="str">
        <f>IFERROR(INDEX('G-1 All Habitats'!$B$3:$B$129,MATCH(R163,'G-1 All Habitats'!$A$3:$A$129,0)),"")</f>
        <v/>
      </c>
      <c r="T163" s="507" t="str">
        <f t="shared" si="27"/>
        <v/>
      </c>
      <c r="U163" s="524" t="str">
        <f t="shared" si="28"/>
        <v/>
      </c>
      <c r="V163" s="523" t="str">
        <f t="shared" si="25"/>
        <v/>
      </c>
      <c r="W163" s="520" t="str">
        <f>IF(S163="","",VLOOKUP(S163,'G-1 All Habitats'!$B$2:$M$129,10,FALSE))</f>
        <v/>
      </c>
      <c r="X163" s="520" t="str">
        <f>IFERROR(VLOOKUP(W163,'G-1 All Habitats'!$V$3:$W$7,2,FALSE),"")</f>
        <v/>
      </c>
      <c r="Y163" s="203"/>
      <c r="Z163" s="524" t="str">
        <f>IFERROR(INDEX('G-8 Condition Look up'!$A$3:$H$130,MATCH(S163,'G-8 Condition Look up'!$A$3:$A$130,0),MATCH(Y163,'G-8 Condition Look up'!$A$3:$H$3,0)),"")</f>
        <v/>
      </c>
      <c r="AA163" s="145"/>
      <c r="AB163" s="540" t="str">
        <f>IF(AA163="","",IF(VLOOKUP(AA163,'G-3 Multipliers'!$L$3:$N$6,2,FALSE)=0,"Spatial Data Missing ⚠",VLOOKUP(AA163,'G-3 Multipliers'!$L$3:$N$6,2,FALSE)))</f>
        <v/>
      </c>
      <c r="AC163" s="524" t="str">
        <f>IF(AA163="","",IF(VLOOKUP(AA163,'G-3 Multipliers'!$L$3:$N$6,3,FALSE)=0,"Spatial Data Missing ⚠",VLOOKUP(AA163,'G-3 Multipliers'!$L$3:$N$6,3,FALSE)))</f>
        <v/>
      </c>
      <c r="AD163" s="537" t="str">
        <f t="shared" si="26"/>
        <v/>
      </c>
      <c r="AE163" s="203"/>
      <c r="AF163" s="203"/>
      <c r="AG163" s="520" t="str">
        <f t="shared" si="29"/>
        <v/>
      </c>
      <c r="AH163" s="544" t="str">
        <f t="shared" si="30"/>
        <v/>
      </c>
      <c r="AI163" s="525" t="str">
        <f>IF(AH163="Check Data ⚠","Check Data ⚠",IFERROR(VLOOKUP(AH163,'G-4 Temporal multipliers'!$A$4:$C$36,3,FALSE),""))</f>
        <v/>
      </c>
      <c r="AJ163" s="537" t="str">
        <f>IF(S163="","",VLOOKUP(S163,'G-3 Multipliers'!$A$2:$E$129,4,FALSE))</f>
        <v/>
      </c>
      <c r="AK163" s="520" t="str">
        <f t="shared" si="31"/>
        <v/>
      </c>
      <c r="AL163" s="520" t="str">
        <f t="shared" si="32"/>
        <v/>
      </c>
      <c r="AM163" s="524" t="str">
        <f>IFERROR(IF(F163="","",IF(AH163="Check Data ⚠","Check Data ⚠",VLOOKUP(AL163, 'G-3 Multipliers'!$P$2:$Q$6,2,FALSE))),"")</f>
        <v/>
      </c>
      <c r="AN163" s="197"/>
      <c r="AO163" s="540" t="str">
        <f>IF(AN163="","",IF(VLOOKUP(AN163,'G-3 Multipliers'!$S$3:$T$9,2,FALSE)=0,"Spatial Data Missing ⚠",VLOOKUP(AN163,'G-3 Multipliers'!$S$3:$T$9,2,FALSE)))</f>
        <v/>
      </c>
      <c r="AP163" s="513" t="str">
        <f t="shared" si="33"/>
        <v/>
      </c>
      <c r="AQ163" s="231"/>
      <c r="AR163" s="150"/>
    </row>
    <row r="164" spans="1:44" x14ac:dyDescent="0.25">
      <c r="A164" s="31" t="str">
        <f>IF(E164="","",IF(ISNA(VLOOKUP($E164,'D-1 Off Site Habitat Baseline'!$D$1:$O$258,2,FALSE)),"",(VLOOKUP($E164,'D-1 Off Site Habitat Baseline'!$D$1:$O$258,2,FALSE))))</f>
        <v/>
      </c>
      <c r="B164" s="31" t="str">
        <f>IF(E164="","",IF(ISNA(VLOOKUP($E164,'D-1 Off Site Habitat Baseline'!$D$1:$O$258,3,FALSE)),"",(VLOOKUP($E164,'D-1 Off Site Habitat Baseline'!$D$1:$O$258,3,FALSE))))</f>
        <v/>
      </c>
      <c r="C164" s="31" t="str">
        <f>IFERROR(INDEX('G-8 Condition Look up'!$I$4:$I$130,MATCH(S164,'G-8 Condition Look up'!$A$4:$A$130,0)),"")</f>
        <v/>
      </c>
      <c r="E164" s="547" t="str">
        <f>'D-1 Off Site Habitat Baseline'!AL163</f>
        <v/>
      </c>
      <c r="F164" s="520" t="str">
        <f>IF(E164="","",IF(ISNA(VLOOKUP($E164,'D-1 Off Site Habitat Baseline'!$D$1:$O$258,4,FALSE)),"",(VLOOKUP($E164,'D-1 Off Site Habitat Baseline'!$D$1:$O$258,4,FALSE))))</f>
        <v/>
      </c>
      <c r="G164" s="520" t="str">
        <f>IF(E164="","",IF(ISNA(VLOOKUP($E164,'D-1 Off Site Habitat Baseline'!$D$1:$O$258,5,FALSE)),"",(VLOOKUP($E164,'D-1 Off Site Habitat Baseline'!$D$1:$O$258,5,FALSE))))</f>
        <v/>
      </c>
      <c r="H164" s="520" t="str">
        <f>IF(E164="","",IF(ISNA(VLOOKUP($E164,'D-1 Off Site Habitat Baseline'!$D$1:$O$258,6,FALSE)),"",(VLOOKUP($E164,'D-1 Off Site Habitat Baseline'!$D$1:$O$258,6,FALSE))))</f>
        <v/>
      </c>
      <c r="I164" s="520" t="str">
        <f>IF(E164="","",IF(ISNA(VLOOKUP($E164,'D-1 Off Site Habitat Baseline'!$D$1:$O$258,7,FALSE)),"",(VLOOKUP($E164,'D-1 Off Site Habitat Baseline'!$D$1:$O$258,7,FALSE))))</f>
        <v/>
      </c>
      <c r="J164" s="520" t="str">
        <f>IF(E164="","",IF(ISNA(VLOOKUP($E164,'D-1 Off Site Habitat Baseline'!$D$1:$O$258,8,FALSE)),"",(VLOOKUP($E164,'D-1 Off Site Habitat Baseline'!$D$1:$O$258,8,FALSE))))</f>
        <v/>
      </c>
      <c r="K164" s="520" t="str">
        <f>IF(E164="","",IF(ISNA(VLOOKUP($E164,'D-1 Off Site Habitat Baseline'!$D$1:$O$258,9,FALSE)),"",(VLOOKUP($E164,'D-1 Off Site Habitat Baseline'!$D$1:$O$258,9,FALSE))))</f>
        <v/>
      </c>
      <c r="L164" s="520" t="str">
        <f>IF(E164="","",IF(ISNA(VLOOKUP($E164,'D-1 Off Site Habitat Baseline'!$D$1:$O$258,11,FALSE)),"",(VLOOKUP($E164,'D-1 Off Site Habitat Baseline'!$D$1:$O$258,11,FALSE))))</f>
        <v/>
      </c>
      <c r="M164" s="520" t="str">
        <f>IF(E164="","",IF(ISNA(VLOOKUP($E164,'D-1 Off Site Habitat Baseline'!$D$1:$O$258,12,FALSE)),"",(VLOOKUP($E164,'D-1 Off Site Habitat Baseline'!$D$1:$O$258,12,FALSE))))</f>
        <v/>
      </c>
      <c r="N164" s="520" t="str">
        <f>IF(E164="","",IF(ISNA(VLOOKUP($E164,'D-1 Off Site Habitat Baseline'!$D$1:$X$258,14,FALSE)),"",(VLOOKUP($E164,'D-1 Off Site Habitat Baseline'!$D$1:$X$258,14,FALSE))))</f>
        <v/>
      </c>
      <c r="O164" s="524" t="str">
        <f>IF(E164="","",IF(ISNA(VLOOKUP($E164,'D-1 Off Site Habitat Baseline'!$D$1:$X$258,13,FALSE)),"",(VLOOKUP($E164,'D-1 Off Site Habitat Baseline'!$D$1:$X$258,13,FALSE))))</f>
        <v/>
      </c>
      <c r="P164" s="232" t="str">
        <f>IFERROR(INDEX('G-1 All Habitats'!$AG$3:$AG$15,MATCH(Q164,'G-1 All Habitats'!$AF$3:$AF$15,0)),"")</f>
        <v/>
      </c>
      <c r="Q164" s="228" t="str">
        <f t="shared" si="34"/>
        <v/>
      </c>
      <c r="R164" s="229" t="str">
        <f t="shared" si="35"/>
        <v/>
      </c>
      <c r="S164" s="233" t="str">
        <f>IFERROR(INDEX('G-1 All Habitats'!$B$3:$B$129,MATCH(R164,'G-1 All Habitats'!$A$3:$A$129,0)),"")</f>
        <v/>
      </c>
      <c r="T164" s="507" t="str">
        <f t="shared" si="27"/>
        <v/>
      </c>
      <c r="U164" s="524" t="str">
        <f t="shared" si="28"/>
        <v/>
      </c>
      <c r="V164" s="523" t="str">
        <f t="shared" si="25"/>
        <v/>
      </c>
      <c r="W164" s="520" t="str">
        <f>IF(S164="","",VLOOKUP(S164,'G-1 All Habitats'!$B$2:$M$129,10,FALSE))</f>
        <v/>
      </c>
      <c r="X164" s="520" t="str">
        <f>IFERROR(VLOOKUP(W164,'G-1 All Habitats'!$V$3:$W$7,2,FALSE),"")</f>
        <v/>
      </c>
      <c r="Y164" s="203"/>
      <c r="Z164" s="524" t="str">
        <f>IFERROR(INDEX('G-8 Condition Look up'!$A$3:$H$130,MATCH(S164,'G-8 Condition Look up'!$A$3:$A$130,0),MATCH(Y164,'G-8 Condition Look up'!$A$3:$H$3,0)),"")</f>
        <v/>
      </c>
      <c r="AA164" s="145"/>
      <c r="AB164" s="540" t="str">
        <f>IF(AA164="","",IF(VLOOKUP(AA164,'G-3 Multipliers'!$L$3:$N$6,2,FALSE)=0,"Spatial Data Missing ⚠",VLOOKUP(AA164,'G-3 Multipliers'!$L$3:$N$6,2,FALSE)))</f>
        <v/>
      </c>
      <c r="AC164" s="524" t="str">
        <f>IF(AA164="","",IF(VLOOKUP(AA164,'G-3 Multipliers'!$L$3:$N$6,3,FALSE)=0,"Spatial Data Missing ⚠",VLOOKUP(AA164,'G-3 Multipliers'!$L$3:$N$6,3,FALSE)))</f>
        <v/>
      </c>
      <c r="AD164" s="537" t="str">
        <f t="shared" si="26"/>
        <v/>
      </c>
      <c r="AE164" s="203"/>
      <c r="AF164" s="203"/>
      <c r="AG164" s="520" t="str">
        <f t="shared" si="29"/>
        <v/>
      </c>
      <c r="AH164" s="544" t="str">
        <f t="shared" si="30"/>
        <v/>
      </c>
      <c r="AI164" s="525" t="str">
        <f>IF(AH164="Check Data ⚠","Check Data ⚠",IFERROR(VLOOKUP(AH164,'G-4 Temporal multipliers'!$A$4:$C$36,3,FALSE),""))</f>
        <v/>
      </c>
      <c r="AJ164" s="537" t="str">
        <f>IF(S164="","",VLOOKUP(S164,'G-3 Multipliers'!$A$2:$E$129,4,FALSE))</f>
        <v/>
      </c>
      <c r="AK164" s="520" t="str">
        <f t="shared" si="31"/>
        <v/>
      </c>
      <c r="AL164" s="520" t="str">
        <f t="shared" si="32"/>
        <v/>
      </c>
      <c r="AM164" s="524" t="str">
        <f>IFERROR(IF(F164="","",IF(AH164="Check Data ⚠","Check Data ⚠",VLOOKUP(AL164, 'G-3 Multipliers'!$P$2:$Q$6,2,FALSE))),"")</f>
        <v/>
      </c>
      <c r="AN164" s="197"/>
      <c r="AO164" s="540" t="str">
        <f>IF(AN164="","",IF(VLOOKUP(AN164,'G-3 Multipliers'!$S$3:$T$9,2,FALSE)=0,"Spatial Data Missing ⚠",VLOOKUP(AN164,'G-3 Multipliers'!$S$3:$T$9,2,FALSE)))</f>
        <v/>
      </c>
      <c r="AP164" s="513" t="str">
        <f t="shared" si="33"/>
        <v/>
      </c>
      <c r="AQ164" s="231"/>
      <c r="AR164" s="150"/>
    </row>
    <row r="165" spans="1:44" x14ac:dyDescent="0.25">
      <c r="A165" s="31" t="str">
        <f>IF(E165="","",IF(ISNA(VLOOKUP($E165,'D-1 Off Site Habitat Baseline'!$D$1:$O$258,2,FALSE)),"",(VLOOKUP($E165,'D-1 Off Site Habitat Baseline'!$D$1:$O$258,2,FALSE))))</f>
        <v/>
      </c>
      <c r="B165" s="31" t="str">
        <f>IF(E165="","",IF(ISNA(VLOOKUP($E165,'D-1 Off Site Habitat Baseline'!$D$1:$O$258,3,FALSE)),"",(VLOOKUP($E165,'D-1 Off Site Habitat Baseline'!$D$1:$O$258,3,FALSE))))</f>
        <v/>
      </c>
      <c r="C165" s="31" t="str">
        <f>IFERROR(INDEX('G-8 Condition Look up'!$I$4:$I$130,MATCH(S165,'G-8 Condition Look up'!$A$4:$A$130,0)),"")</f>
        <v/>
      </c>
      <c r="E165" s="547" t="str">
        <f>'D-1 Off Site Habitat Baseline'!AL164</f>
        <v/>
      </c>
      <c r="F165" s="520" t="str">
        <f>IF(E165="","",IF(ISNA(VLOOKUP($E165,'D-1 Off Site Habitat Baseline'!$D$1:$O$258,4,FALSE)),"",(VLOOKUP($E165,'D-1 Off Site Habitat Baseline'!$D$1:$O$258,4,FALSE))))</f>
        <v/>
      </c>
      <c r="G165" s="520" t="str">
        <f>IF(E165="","",IF(ISNA(VLOOKUP($E165,'D-1 Off Site Habitat Baseline'!$D$1:$O$258,5,FALSE)),"",(VLOOKUP($E165,'D-1 Off Site Habitat Baseline'!$D$1:$O$258,5,FALSE))))</f>
        <v/>
      </c>
      <c r="H165" s="520" t="str">
        <f>IF(E165="","",IF(ISNA(VLOOKUP($E165,'D-1 Off Site Habitat Baseline'!$D$1:$O$258,6,FALSE)),"",(VLOOKUP($E165,'D-1 Off Site Habitat Baseline'!$D$1:$O$258,6,FALSE))))</f>
        <v/>
      </c>
      <c r="I165" s="520" t="str">
        <f>IF(E165="","",IF(ISNA(VLOOKUP($E165,'D-1 Off Site Habitat Baseline'!$D$1:$O$258,7,FALSE)),"",(VLOOKUP($E165,'D-1 Off Site Habitat Baseline'!$D$1:$O$258,7,FALSE))))</f>
        <v/>
      </c>
      <c r="J165" s="520" t="str">
        <f>IF(E165="","",IF(ISNA(VLOOKUP($E165,'D-1 Off Site Habitat Baseline'!$D$1:$O$258,8,FALSE)),"",(VLOOKUP($E165,'D-1 Off Site Habitat Baseline'!$D$1:$O$258,8,FALSE))))</f>
        <v/>
      </c>
      <c r="K165" s="520" t="str">
        <f>IF(E165="","",IF(ISNA(VLOOKUP($E165,'D-1 Off Site Habitat Baseline'!$D$1:$O$258,9,FALSE)),"",(VLOOKUP($E165,'D-1 Off Site Habitat Baseline'!$D$1:$O$258,9,FALSE))))</f>
        <v/>
      </c>
      <c r="L165" s="520" t="str">
        <f>IF(E165="","",IF(ISNA(VLOOKUP($E165,'D-1 Off Site Habitat Baseline'!$D$1:$O$258,11,FALSE)),"",(VLOOKUP($E165,'D-1 Off Site Habitat Baseline'!$D$1:$O$258,11,FALSE))))</f>
        <v/>
      </c>
      <c r="M165" s="520" t="str">
        <f>IF(E165="","",IF(ISNA(VLOOKUP($E165,'D-1 Off Site Habitat Baseline'!$D$1:$O$258,12,FALSE)),"",(VLOOKUP($E165,'D-1 Off Site Habitat Baseline'!$D$1:$O$258,12,FALSE))))</f>
        <v/>
      </c>
      <c r="N165" s="520" t="str">
        <f>IF(E165="","",IF(ISNA(VLOOKUP($E165,'D-1 Off Site Habitat Baseline'!$D$1:$X$258,14,FALSE)),"",(VLOOKUP($E165,'D-1 Off Site Habitat Baseline'!$D$1:$X$258,14,FALSE))))</f>
        <v/>
      </c>
      <c r="O165" s="524" t="str">
        <f>IF(E165="","",IF(ISNA(VLOOKUP($E165,'D-1 Off Site Habitat Baseline'!$D$1:$X$258,13,FALSE)),"",(VLOOKUP($E165,'D-1 Off Site Habitat Baseline'!$D$1:$X$258,13,FALSE))))</f>
        <v/>
      </c>
      <c r="P165" s="232" t="str">
        <f>IFERROR(INDEX('G-1 All Habitats'!$AG$3:$AG$15,MATCH(Q165,'G-1 All Habitats'!$AF$3:$AF$15,0)),"")</f>
        <v/>
      </c>
      <c r="Q165" s="228" t="str">
        <f t="shared" si="34"/>
        <v/>
      </c>
      <c r="R165" s="229" t="str">
        <f t="shared" si="35"/>
        <v/>
      </c>
      <c r="S165" s="233" t="str">
        <f>IFERROR(INDEX('G-1 All Habitats'!$B$3:$B$129,MATCH(R165,'G-1 All Habitats'!$A$3:$A$129,0)),"")</f>
        <v/>
      </c>
      <c r="T165" s="507" t="str">
        <f t="shared" si="27"/>
        <v/>
      </c>
      <c r="U165" s="524" t="str">
        <f t="shared" si="28"/>
        <v/>
      </c>
      <c r="V165" s="523" t="str">
        <f t="shared" si="25"/>
        <v/>
      </c>
      <c r="W165" s="520" t="str">
        <f>IF(S165="","",VLOOKUP(S165,'G-1 All Habitats'!$B$2:$M$129,10,FALSE))</f>
        <v/>
      </c>
      <c r="X165" s="520" t="str">
        <f>IFERROR(VLOOKUP(W165,'G-1 All Habitats'!$V$3:$W$7,2,FALSE),"")</f>
        <v/>
      </c>
      <c r="Y165" s="203"/>
      <c r="Z165" s="524" t="str">
        <f>IFERROR(INDEX('G-8 Condition Look up'!$A$3:$H$130,MATCH(S165,'G-8 Condition Look up'!$A$3:$A$130,0),MATCH(Y165,'G-8 Condition Look up'!$A$3:$H$3,0)),"")</f>
        <v/>
      </c>
      <c r="AA165" s="145"/>
      <c r="AB165" s="540" t="str">
        <f>IF(AA165="","",IF(VLOOKUP(AA165,'G-3 Multipliers'!$L$3:$N$6,2,FALSE)=0,"Spatial Data Missing ⚠",VLOOKUP(AA165,'G-3 Multipliers'!$L$3:$N$6,2,FALSE)))</f>
        <v/>
      </c>
      <c r="AC165" s="524" t="str">
        <f>IF(AA165="","",IF(VLOOKUP(AA165,'G-3 Multipliers'!$L$3:$N$6,3,FALSE)=0,"Spatial Data Missing ⚠",VLOOKUP(AA165,'G-3 Multipliers'!$L$3:$N$6,3,FALSE)))</f>
        <v/>
      </c>
      <c r="AD165" s="537" t="str">
        <f t="shared" si="26"/>
        <v/>
      </c>
      <c r="AE165" s="203"/>
      <c r="AF165" s="203"/>
      <c r="AG165" s="520" t="str">
        <f t="shared" si="29"/>
        <v/>
      </c>
      <c r="AH165" s="544" t="str">
        <f t="shared" si="30"/>
        <v/>
      </c>
      <c r="AI165" s="525" t="str">
        <f>IF(AH165="Check Data ⚠","Check Data ⚠",IFERROR(VLOOKUP(AH165,'G-4 Temporal multipliers'!$A$4:$C$36,3,FALSE),""))</f>
        <v/>
      </c>
      <c r="AJ165" s="537" t="str">
        <f>IF(S165="","",VLOOKUP(S165,'G-3 Multipliers'!$A$2:$E$129,4,FALSE))</f>
        <v/>
      </c>
      <c r="AK165" s="520" t="str">
        <f t="shared" si="31"/>
        <v/>
      </c>
      <c r="AL165" s="520" t="str">
        <f t="shared" si="32"/>
        <v/>
      </c>
      <c r="AM165" s="524" t="str">
        <f>IFERROR(IF(F165="","",IF(AH165="Check Data ⚠","Check Data ⚠",VLOOKUP(AL165, 'G-3 Multipliers'!$P$2:$Q$6,2,FALSE))),"")</f>
        <v/>
      </c>
      <c r="AN165" s="197"/>
      <c r="AO165" s="540" t="str">
        <f>IF(AN165="","",IF(VLOOKUP(AN165,'G-3 Multipliers'!$S$3:$T$9,2,FALSE)=0,"Spatial Data Missing ⚠",VLOOKUP(AN165,'G-3 Multipliers'!$S$3:$T$9,2,FALSE)))</f>
        <v/>
      </c>
      <c r="AP165" s="513" t="str">
        <f t="shared" si="33"/>
        <v/>
      </c>
      <c r="AQ165" s="231"/>
      <c r="AR165" s="150"/>
    </row>
    <row r="166" spans="1:44" x14ac:dyDescent="0.25">
      <c r="A166" s="31" t="str">
        <f>IF(E166="","",IF(ISNA(VLOOKUP($E166,'D-1 Off Site Habitat Baseline'!$D$1:$O$258,2,FALSE)),"",(VLOOKUP($E166,'D-1 Off Site Habitat Baseline'!$D$1:$O$258,2,FALSE))))</f>
        <v/>
      </c>
      <c r="B166" s="31" t="str">
        <f>IF(E166="","",IF(ISNA(VLOOKUP($E166,'D-1 Off Site Habitat Baseline'!$D$1:$O$258,3,FALSE)),"",(VLOOKUP($E166,'D-1 Off Site Habitat Baseline'!$D$1:$O$258,3,FALSE))))</f>
        <v/>
      </c>
      <c r="C166" s="31" t="str">
        <f>IFERROR(INDEX('G-8 Condition Look up'!$I$4:$I$130,MATCH(S166,'G-8 Condition Look up'!$A$4:$A$130,0)),"")</f>
        <v/>
      </c>
      <c r="E166" s="547" t="str">
        <f>'D-1 Off Site Habitat Baseline'!AL165</f>
        <v/>
      </c>
      <c r="F166" s="520" t="str">
        <f>IF(E166="","",IF(ISNA(VLOOKUP($E166,'D-1 Off Site Habitat Baseline'!$D$1:$O$258,4,FALSE)),"",(VLOOKUP($E166,'D-1 Off Site Habitat Baseline'!$D$1:$O$258,4,FALSE))))</f>
        <v/>
      </c>
      <c r="G166" s="520" t="str">
        <f>IF(E166="","",IF(ISNA(VLOOKUP($E166,'D-1 Off Site Habitat Baseline'!$D$1:$O$258,5,FALSE)),"",(VLOOKUP($E166,'D-1 Off Site Habitat Baseline'!$D$1:$O$258,5,FALSE))))</f>
        <v/>
      </c>
      <c r="H166" s="520" t="str">
        <f>IF(E166="","",IF(ISNA(VLOOKUP($E166,'D-1 Off Site Habitat Baseline'!$D$1:$O$258,6,FALSE)),"",(VLOOKUP($E166,'D-1 Off Site Habitat Baseline'!$D$1:$O$258,6,FALSE))))</f>
        <v/>
      </c>
      <c r="I166" s="520" t="str">
        <f>IF(E166="","",IF(ISNA(VLOOKUP($E166,'D-1 Off Site Habitat Baseline'!$D$1:$O$258,7,FALSE)),"",(VLOOKUP($E166,'D-1 Off Site Habitat Baseline'!$D$1:$O$258,7,FALSE))))</f>
        <v/>
      </c>
      <c r="J166" s="520" t="str">
        <f>IF(E166="","",IF(ISNA(VLOOKUP($E166,'D-1 Off Site Habitat Baseline'!$D$1:$O$258,8,FALSE)),"",(VLOOKUP($E166,'D-1 Off Site Habitat Baseline'!$D$1:$O$258,8,FALSE))))</f>
        <v/>
      </c>
      <c r="K166" s="520" t="str">
        <f>IF(E166="","",IF(ISNA(VLOOKUP($E166,'D-1 Off Site Habitat Baseline'!$D$1:$O$258,9,FALSE)),"",(VLOOKUP($E166,'D-1 Off Site Habitat Baseline'!$D$1:$O$258,9,FALSE))))</f>
        <v/>
      </c>
      <c r="L166" s="520" t="str">
        <f>IF(E166="","",IF(ISNA(VLOOKUP($E166,'D-1 Off Site Habitat Baseline'!$D$1:$O$258,11,FALSE)),"",(VLOOKUP($E166,'D-1 Off Site Habitat Baseline'!$D$1:$O$258,11,FALSE))))</f>
        <v/>
      </c>
      <c r="M166" s="520" t="str">
        <f>IF(E166="","",IF(ISNA(VLOOKUP($E166,'D-1 Off Site Habitat Baseline'!$D$1:$O$258,12,FALSE)),"",(VLOOKUP($E166,'D-1 Off Site Habitat Baseline'!$D$1:$O$258,12,FALSE))))</f>
        <v/>
      </c>
      <c r="N166" s="520" t="str">
        <f>IF(E166="","",IF(ISNA(VLOOKUP($E166,'D-1 Off Site Habitat Baseline'!$D$1:$X$258,14,FALSE)),"",(VLOOKUP($E166,'D-1 Off Site Habitat Baseline'!$D$1:$X$258,14,FALSE))))</f>
        <v/>
      </c>
      <c r="O166" s="524" t="str">
        <f>IF(E166="","",IF(ISNA(VLOOKUP($E166,'D-1 Off Site Habitat Baseline'!$D$1:$X$258,13,FALSE)),"",(VLOOKUP($E166,'D-1 Off Site Habitat Baseline'!$D$1:$X$258,13,FALSE))))</f>
        <v/>
      </c>
      <c r="P166" s="232" t="str">
        <f>IFERROR(INDEX('G-1 All Habitats'!$AG$3:$AG$15,MATCH(Q166,'G-1 All Habitats'!$AF$3:$AF$15,0)),"")</f>
        <v/>
      </c>
      <c r="Q166" s="228" t="str">
        <f t="shared" si="34"/>
        <v/>
      </c>
      <c r="R166" s="229" t="str">
        <f t="shared" si="35"/>
        <v/>
      </c>
      <c r="S166" s="233" t="str">
        <f>IFERROR(INDEX('G-1 All Habitats'!$B$3:$B$129,MATCH(R166,'G-1 All Habitats'!$A$3:$A$129,0)),"")</f>
        <v/>
      </c>
      <c r="T166" s="507" t="str">
        <f t="shared" si="27"/>
        <v/>
      </c>
      <c r="U166" s="524" t="str">
        <f t="shared" si="28"/>
        <v/>
      </c>
      <c r="V166" s="523" t="str">
        <f t="shared" si="25"/>
        <v/>
      </c>
      <c r="W166" s="520" t="str">
        <f>IF(S166="","",VLOOKUP(S166,'G-1 All Habitats'!$B$2:$M$129,10,FALSE))</f>
        <v/>
      </c>
      <c r="X166" s="520" t="str">
        <f>IFERROR(VLOOKUP(W166,'G-1 All Habitats'!$V$3:$W$7,2,FALSE),"")</f>
        <v/>
      </c>
      <c r="Y166" s="203"/>
      <c r="Z166" s="524" t="str">
        <f>IFERROR(INDEX('G-8 Condition Look up'!$A$3:$H$130,MATCH(S166,'G-8 Condition Look up'!$A$3:$A$130,0),MATCH(Y166,'G-8 Condition Look up'!$A$3:$H$3,0)),"")</f>
        <v/>
      </c>
      <c r="AA166" s="145"/>
      <c r="AB166" s="540" t="str">
        <f>IF(AA166="","",IF(VLOOKUP(AA166,'G-3 Multipliers'!$L$3:$N$6,2,FALSE)=0,"Spatial Data Missing ⚠",VLOOKUP(AA166,'G-3 Multipliers'!$L$3:$N$6,2,FALSE)))</f>
        <v/>
      </c>
      <c r="AC166" s="524" t="str">
        <f>IF(AA166="","",IF(VLOOKUP(AA166,'G-3 Multipliers'!$L$3:$N$6,3,FALSE)=0,"Spatial Data Missing ⚠",VLOOKUP(AA166,'G-3 Multipliers'!$L$3:$N$6,3,FALSE)))</f>
        <v/>
      </c>
      <c r="AD166" s="537" t="str">
        <f t="shared" si="26"/>
        <v/>
      </c>
      <c r="AE166" s="203"/>
      <c r="AF166" s="203"/>
      <c r="AG166" s="520" t="str">
        <f t="shared" si="29"/>
        <v/>
      </c>
      <c r="AH166" s="544" t="str">
        <f t="shared" si="30"/>
        <v/>
      </c>
      <c r="AI166" s="525" t="str">
        <f>IF(AH166="Check Data ⚠","Check Data ⚠",IFERROR(VLOOKUP(AH166,'G-4 Temporal multipliers'!$A$4:$C$36,3,FALSE),""))</f>
        <v/>
      </c>
      <c r="AJ166" s="537" t="str">
        <f>IF(S166="","",VLOOKUP(S166,'G-3 Multipliers'!$A$2:$E$129,4,FALSE))</f>
        <v/>
      </c>
      <c r="AK166" s="520" t="str">
        <f t="shared" si="31"/>
        <v/>
      </c>
      <c r="AL166" s="520" t="str">
        <f t="shared" si="32"/>
        <v/>
      </c>
      <c r="AM166" s="524" t="str">
        <f>IFERROR(IF(F166="","",IF(AH166="Check Data ⚠","Check Data ⚠",VLOOKUP(AL166, 'G-3 Multipliers'!$P$2:$Q$6,2,FALSE))),"")</f>
        <v/>
      </c>
      <c r="AN166" s="197"/>
      <c r="AO166" s="540" t="str">
        <f>IF(AN166="","",IF(VLOOKUP(AN166,'G-3 Multipliers'!$S$3:$T$9,2,FALSE)=0,"Spatial Data Missing ⚠",VLOOKUP(AN166,'G-3 Multipliers'!$S$3:$T$9,2,FALSE)))</f>
        <v/>
      </c>
      <c r="AP166" s="513" t="str">
        <f t="shared" si="33"/>
        <v/>
      </c>
      <c r="AQ166" s="231"/>
      <c r="AR166" s="150"/>
    </row>
    <row r="167" spans="1:44" x14ac:dyDescent="0.25">
      <c r="A167" s="31" t="str">
        <f>IF(E167="","",IF(ISNA(VLOOKUP($E167,'D-1 Off Site Habitat Baseline'!$D$1:$O$258,2,FALSE)),"",(VLOOKUP($E167,'D-1 Off Site Habitat Baseline'!$D$1:$O$258,2,FALSE))))</f>
        <v/>
      </c>
      <c r="B167" s="31" t="str">
        <f>IF(E167="","",IF(ISNA(VLOOKUP($E167,'D-1 Off Site Habitat Baseline'!$D$1:$O$258,3,FALSE)),"",(VLOOKUP($E167,'D-1 Off Site Habitat Baseline'!$D$1:$O$258,3,FALSE))))</f>
        <v/>
      </c>
      <c r="C167" s="31" t="str">
        <f>IFERROR(INDEX('G-8 Condition Look up'!$I$4:$I$130,MATCH(S167,'G-8 Condition Look up'!$A$4:$A$130,0)),"")</f>
        <v/>
      </c>
      <c r="E167" s="547" t="str">
        <f>'D-1 Off Site Habitat Baseline'!AL166</f>
        <v/>
      </c>
      <c r="F167" s="520" t="str">
        <f>IF(E167="","",IF(ISNA(VLOOKUP($E167,'D-1 Off Site Habitat Baseline'!$D$1:$O$258,4,FALSE)),"",(VLOOKUP($E167,'D-1 Off Site Habitat Baseline'!$D$1:$O$258,4,FALSE))))</f>
        <v/>
      </c>
      <c r="G167" s="520" t="str">
        <f>IF(E167="","",IF(ISNA(VLOOKUP($E167,'D-1 Off Site Habitat Baseline'!$D$1:$O$258,5,FALSE)),"",(VLOOKUP($E167,'D-1 Off Site Habitat Baseline'!$D$1:$O$258,5,FALSE))))</f>
        <v/>
      </c>
      <c r="H167" s="520" t="str">
        <f>IF(E167="","",IF(ISNA(VLOOKUP($E167,'D-1 Off Site Habitat Baseline'!$D$1:$O$258,6,FALSE)),"",(VLOOKUP($E167,'D-1 Off Site Habitat Baseline'!$D$1:$O$258,6,FALSE))))</f>
        <v/>
      </c>
      <c r="I167" s="520" t="str">
        <f>IF(E167="","",IF(ISNA(VLOOKUP($E167,'D-1 Off Site Habitat Baseline'!$D$1:$O$258,7,FALSE)),"",(VLOOKUP($E167,'D-1 Off Site Habitat Baseline'!$D$1:$O$258,7,FALSE))))</f>
        <v/>
      </c>
      <c r="J167" s="520" t="str">
        <f>IF(E167="","",IF(ISNA(VLOOKUP($E167,'D-1 Off Site Habitat Baseline'!$D$1:$O$258,8,FALSE)),"",(VLOOKUP($E167,'D-1 Off Site Habitat Baseline'!$D$1:$O$258,8,FALSE))))</f>
        <v/>
      </c>
      <c r="K167" s="520" t="str">
        <f>IF(E167="","",IF(ISNA(VLOOKUP($E167,'D-1 Off Site Habitat Baseline'!$D$1:$O$258,9,FALSE)),"",(VLOOKUP($E167,'D-1 Off Site Habitat Baseline'!$D$1:$O$258,9,FALSE))))</f>
        <v/>
      </c>
      <c r="L167" s="520" t="str">
        <f>IF(E167="","",IF(ISNA(VLOOKUP($E167,'D-1 Off Site Habitat Baseline'!$D$1:$O$258,11,FALSE)),"",(VLOOKUP($E167,'D-1 Off Site Habitat Baseline'!$D$1:$O$258,11,FALSE))))</f>
        <v/>
      </c>
      <c r="M167" s="520" t="str">
        <f>IF(E167="","",IF(ISNA(VLOOKUP($E167,'D-1 Off Site Habitat Baseline'!$D$1:$O$258,12,FALSE)),"",(VLOOKUP($E167,'D-1 Off Site Habitat Baseline'!$D$1:$O$258,12,FALSE))))</f>
        <v/>
      </c>
      <c r="N167" s="520" t="str">
        <f>IF(E167="","",IF(ISNA(VLOOKUP($E167,'D-1 Off Site Habitat Baseline'!$D$1:$X$258,14,FALSE)),"",(VLOOKUP($E167,'D-1 Off Site Habitat Baseline'!$D$1:$X$258,14,FALSE))))</f>
        <v/>
      </c>
      <c r="O167" s="524" t="str">
        <f>IF(E167="","",IF(ISNA(VLOOKUP($E167,'D-1 Off Site Habitat Baseline'!$D$1:$X$258,13,FALSE)),"",(VLOOKUP($E167,'D-1 Off Site Habitat Baseline'!$D$1:$X$258,13,FALSE))))</f>
        <v/>
      </c>
      <c r="P167" s="232" t="str">
        <f>IFERROR(INDEX('G-1 All Habitats'!$AG$3:$AG$15,MATCH(Q167,'G-1 All Habitats'!$AF$3:$AF$15,0)),"")</f>
        <v/>
      </c>
      <c r="Q167" s="228" t="str">
        <f t="shared" si="34"/>
        <v/>
      </c>
      <c r="R167" s="229" t="str">
        <f t="shared" si="35"/>
        <v/>
      </c>
      <c r="S167" s="233" t="str">
        <f>IFERROR(INDEX('G-1 All Habitats'!$B$3:$B$129,MATCH(R167,'G-1 All Habitats'!$A$3:$A$129,0)),"")</f>
        <v/>
      </c>
      <c r="T167" s="507" t="str">
        <f t="shared" si="27"/>
        <v/>
      </c>
      <c r="U167" s="524" t="str">
        <f t="shared" si="28"/>
        <v/>
      </c>
      <c r="V167" s="523" t="str">
        <f t="shared" si="25"/>
        <v/>
      </c>
      <c r="W167" s="520" t="str">
        <f>IF(S167="","",VLOOKUP(S167,'G-1 All Habitats'!$B$2:$M$129,10,FALSE))</f>
        <v/>
      </c>
      <c r="X167" s="520" t="str">
        <f>IFERROR(VLOOKUP(W167,'G-1 All Habitats'!$V$3:$W$7,2,FALSE),"")</f>
        <v/>
      </c>
      <c r="Y167" s="203"/>
      <c r="Z167" s="524" t="str">
        <f>IFERROR(INDEX('G-8 Condition Look up'!$A$3:$H$130,MATCH(S167,'G-8 Condition Look up'!$A$3:$A$130,0),MATCH(Y167,'G-8 Condition Look up'!$A$3:$H$3,0)),"")</f>
        <v/>
      </c>
      <c r="AA167" s="145"/>
      <c r="AB167" s="540" t="str">
        <f>IF(AA167="","",IF(VLOOKUP(AA167,'G-3 Multipliers'!$L$3:$N$6,2,FALSE)=0,"Spatial Data Missing ⚠",VLOOKUP(AA167,'G-3 Multipliers'!$L$3:$N$6,2,FALSE)))</f>
        <v/>
      </c>
      <c r="AC167" s="524" t="str">
        <f>IF(AA167="","",IF(VLOOKUP(AA167,'G-3 Multipliers'!$L$3:$N$6,3,FALSE)=0,"Spatial Data Missing ⚠",VLOOKUP(AA167,'G-3 Multipliers'!$L$3:$N$6,3,FALSE)))</f>
        <v/>
      </c>
      <c r="AD167" s="537" t="str">
        <f t="shared" si="26"/>
        <v/>
      </c>
      <c r="AE167" s="203"/>
      <c r="AF167" s="203"/>
      <c r="AG167" s="520" t="str">
        <f t="shared" si="29"/>
        <v/>
      </c>
      <c r="AH167" s="544" t="str">
        <f t="shared" si="30"/>
        <v/>
      </c>
      <c r="AI167" s="525" t="str">
        <f>IF(AH167="Check Data ⚠","Check Data ⚠",IFERROR(VLOOKUP(AH167,'G-4 Temporal multipliers'!$A$4:$C$36,3,FALSE),""))</f>
        <v/>
      </c>
      <c r="AJ167" s="537" t="str">
        <f>IF(S167="","",VLOOKUP(S167,'G-3 Multipliers'!$A$2:$E$129,4,FALSE))</f>
        <v/>
      </c>
      <c r="AK167" s="520" t="str">
        <f t="shared" si="31"/>
        <v/>
      </c>
      <c r="AL167" s="520" t="str">
        <f t="shared" si="32"/>
        <v/>
      </c>
      <c r="AM167" s="524" t="str">
        <f>IFERROR(IF(F167="","",IF(AH167="Check Data ⚠","Check Data ⚠",VLOOKUP(AL167, 'G-3 Multipliers'!$P$2:$Q$6,2,FALSE))),"")</f>
        <v/>
      </c>
      <c r="AN167" s="197"/>
      <c r="AO167" s="540" t="str">
        <f>IF(AN167="","",IF(VLOOKUP(AN167,'G-3 Multipliers'!$S$3:$T$9,2,FALSE)=0,"Spatial Data Missing ⚠",VLOOKUP(AN167,'G-3 Multipliers'!$S$3:$T$9,2,FALSE)))</f>
        <v/>
      </c>
      <c r="AP167" s="513" t="str">
        <f t="shared" si="33"/>
        <v/>
      </c>
      <c r="AQ167" s="231"/>
      <c r="AR167" s="150"/>
    </row>
    <row r="168" spans="1:44" x14ac:dyDescent="0.25">
      <c r="A168" s="31" t="str">
        <f>IF(E168="","",IF(ISNA(VLOOKUP($E168,'D-1 Off Site Habitat Baseline'!$D$1:$O$258,2,FALSE)),"",(VLOOKUP($E168,'D-1 Off Site Habitat Baseline'!$D$1:$O$258,2,FALSE))))</f>
        <v/>
      </c>
      <c r="B168" s="31" t="str">
        <f>IF(E168="","",IF(ISNA(VLOOKUP($E168,'D-1 Off Site Habitat Baseline'!$D$1:$O$258,3,FALSE)),"",(VLOOKUP($E168,'D-1 Off Site Habitat Baseline'!$D$1:$O$258,3,FALSE))))</f>
        <v/>
      </c>
      <c r="C168" s="31" t="str">
        <f>IFERROR(INDEX('G-8 Condition Look up'!$I$4:$I$130,MATCH(S168,'G-8 Condition Look up'!$A$4:$A$130,0)),"")</f>
        <v/>
      </c>
      <c r="E168" s="547" t="str">
        <f>'D-1 Off Site Habitat Baseline'!AL167</f>
        <v/>
      </c>
      <c r="F168" s="520" t="str">
        <f>IF(E168="","",IF(ISNA(VLOOKUP($E168,'D-1 Off Site Habitat Baseline'!$D$1:$O$258,4,FALSE)),"",(VLOOKUP($E168,'D-1 Off Site Habitat Baseline'!$D$1:$O$258,4,FALSE))))</f>
        <v/>
      </c>
      <c r="G168" s="520" t="str">
        <f>IF(E168="","",IF(ISNA(VLOOKUP($E168,'D-1 Off Site Habitat Baseline'!$D$1:$O$258,5,FALSE)),"",(VLOOKUP($E168,'D-1 Off Site Habitat Baseline'!$D$1:$O$258,5,FALSE))))</f>
        <v/>
      </c>
      <c r="H168" s="520" t="str">
        <f>IF(E168="","",IF(ISNA(VLOOKUP($E168,'D-1 Off Site Habitat Baseline'!$D$1:$O$258,6,FALSE)),"",(VLOOKUP($E168,'D-1 Off Site Habitat Baseline'!$D$1:$O$258,6,FALSE))))</f>
        <v/>
      </c>
      <c r="I168" s="520" t="str">
        <f>IF(E168="","",IF(ISNA(VLOOKUP($E168,'D-1 Off Site Habitat Baseline'!$D$1:$O$258,7,FALSE)),"",(VLOOKUP($E168,'D-1 Off Site Habitat Baseline'!$D$1:$O$258,7,FALSE))))</f>
        <v/>
      </c>
      <c r="J168" s="520" t="str">
        <f>IF(E168="","",IF(ISNA(VLOOKUP($E168,'D-1 Off Site Habitat Baseline'!$D$1:$O$258,8,FALSE)),"",(VLOOKUP($E168,'D-1 Off Site Habitat Baseline'!$D$1:$O$258,8,FALSE))))</f>
        <v/>
      </c>
      <c r="K168" s="520" t="str">
        <f>IF(E168="","",IF(ISNA(VLOOKUP($E168,'D-1 Off Site Habitat Baseline'!$D$1:$O$258,9,FALSE)),"",(VLOOKUP($E168,'D-1 Off Site Habitat Baseline'!$D$1:$O$258,9,FALSE))))</f>
        <v/>
      </c>
      <c r="L168" s="520" t="str">
        <f>IF(E168="","",IF(ISNA(VLOOKUP($E168,'D-1 Off Site Habitat Baseline'!$D$1:$O$258,11,FALSE)),"",(VLOOKUP($E168,'D-1 Off Site Habitat Baseline'!$D$1:$O$258,11,FALSE))))</f>
        <v/>
      </c>
      <c r="M168" s="520" t="str">
        <f>IF(E168="","",IF(ISNA(VLOOKUP($E168,'D-1 Off Site Habitat Baseline'!$D$1:$O$258,12,FALSE)),"",(VLOOKUP($E168,'D-1 Off Site Habitat Baseline'!$D$1:$O$258,12,FALSE))))</f>
        <v/>
      </c>
      <c r="N168" s="520" t="str">
        <f>IF(E168="","",IF(ISNA(VLOOKUP($E168,'D-1 Off Site Habitat Baseline'!$D$1:$X$258,14,FALSE)),"",(VLOOKUP($E168,'D-1 Off Site Habitat Baseline'!$D$1:$X$258,14,FALSE))))</f>
        <v/>
      </c>
      <c r="O168" s="524" t="str">
        <f>IF(E168="","",IF(ISNA(VLOOKUP($E168,'D-1 Off Site Habitat Baseline'!$D$1:$X$258,13,FALSE)),"",(VLOOKUP($E168,'D-1 Off Site Habitat Baseline'!$D$1:$X$258,13,FALSE))))</f>
        <v/>
      </c>
      <c r="P168" s="232" t="str">
        <f>IFERROR(INDEX('G-1 All Habitats'!$AG$3:$AG$15,MATCH(Q168,'G-1 All Habitats'!$AF$3:$AF$15,0)),"")</f>
        <v/>
      </c>
      <c r="Q168" s="228" t="str">
        <f t="shared" si="34"/>
        <v/>
      </c>
      <c r="R168" s="229" t="str">
        <f t="shared" si="35"/>
        <v/>
      </c>
      <c r="S168" s="233" t="str">
        <f>IFERROR(INDEX('G-1 All Habitats'!$B$3:$B$129,MATCH(R168,'G-1 All Habitats'!$A$3:$A$129,0)),"")</f>
        <v/>
      </c>
      <c r="T168" s="507" t="str">
        <f t="shared" si="27"/>
        <v/>
      </c>
      <c r="U168" s="524" t="str">
        <f t="shared" si="28"/>
        <v/>
      </c>
      <c r="V168" s="523" t="str">
        <f t="shared" si="25"/>
        <v/>
      </c>
      <c r="W168" s="520" t="str">
        <f>IF(S168="","",VLOOKUP(S168,'G-1 All Habitats'!$B$2:$M$129,10,FALSE))</f>
        <v/>
      </c>
      <c r="X168" s="520" t="str">
        <f>IFERROR(VLOOKUP(W168,'G-1 All Habitats'!$V$3:$W$7,2,FALSE),"")</f>
        <v/>
      </c>
      <c r="Y168" s="203"/>
      <c r="Z168" s="524" t="str">
        <f>IFERROR(INDEX('G-8 Condition Look up'!$A$3:$H$130,MATCH(S168,'G-8 Condition Look up'!$A$3:$A$130,0),MATCH(Y168,'G-8 Condition Look up'!$A$3:$H$3,0)),"")</f>
        <v/>
      </c>
      <c r="AA168" s="145"/>
      <c r="AB168" s="540" t="str">
        <f>IF(AA168="","",IF(VLOOKUP(AA168,'G-3 Multipliers'!$L$3:$N$6,2,FALSE)=0,"Spatial Data Missing ⚠",VLOOKUP(AA168,'G-3 Multipliers'!$L$3:$N$6,2,FALSE)))</f>
        <v/>
      </c>
      <c r="AC168" s="524" t="str">
        <f>IF(AA168="","",IF(VLOOKUP(AA168,'G-3 Multipliers'!$L$3:$N$6,3,FALSE)=0,"Spatial Data Missing ⚠",VLOOKUP(AA168,'G-3 Multipliers'!$L$3:$N$6,3,FALSE)))</f>
        <v/>
      </c>
      <c r="AD168" s="537" t="str">
        <f t="shared" si="26"/>
        <v/>
      </c>
      <c r="AE168" s="203"/>
      <c r="AF168" s="203"/>
      <c r="AG168" s="520" t="str">
        <f t="shared" si="29"/>
        <v/>
      </c>
      <c r="AH168" s="544" t="str">
        <f t="shared" si="30"/>
        <v/>
      </c>
      <c r="AI168" s="525" t="str">
        <f>IF(AH168="Check Data ⚠","Check Data ⚠",IFERROR(VLOOKUP(AH168,'G-4 Temporal multipliers'!$A$4:$C$36,3,FALSE),""))</f>
        <v/>
      </c>
      <c r="AJ168" s="537" t="str">
        <f>IF(S168="","",VLOOKUP(S168,'G-3 Multipliers'!$A$2:$E$129,4,FALSE))</f>
        <v/>
      </c>
      <c r="AK168" s="520" t="str">
        <f t="shared" si="31"/>
        <v/>
      </c>
      <c r="AL168" s="520" t="str">
        <f t="shared" si="32"/>
        <v/>
      </c>
      <c r="AM168" s="524" t="str">
        <f>IFERROR(IF(F168="","",IF(AH168="Check Data ⚠","Check Data ⚠",VLOOKUP(AL168, 'G-3 Multipliers'!$P$2:$Q$6,2,FALSE))),"")</f>
        <v/>
      </c>
      <c r="AN168" s="197"/>
      <c r="AO168" s="540" t="str">
        <f>IF(AN168="","",IF(VLOOKUP(AN168,'G-3 Multipliers'!$S$3:$T$9,2,FALSE)=0,"Spatial Data Missing ⚠",VLOOKUP(AN168,'G-3 Multipliers'!$S$3:$T$9,2,FALSE)))</f>
        <v/>
      </c>
      <c r="AP168" s="513" t="str">
        <f t="shared" si="33"/>
        <v/>
      </c>
      <c r="AQ168" s="231"/>
      <c r="AR168" s="150"/>
    </row>
    <row r="169" spans="1:44" x14ac:dyDescent="0.25">
      <c r="A169" s="31" t="str">
        <f>IF(E169="","",IF(ISNA(VLOOKUP($E169,'D-1 Off Site Habitat Baseline'!$D$1:$O$258,2,FALSE)),"",(VLOOKUP($E169,'D-1 Off Site Habitat Baseline'!$D$1:$O$258,2,FALSE))))</f>
        <v/>
      </c>
      <c r="B169" s="31" t="str">
        <f>IF(E169="","",IF(ISNA(VLOOKUP($E169,'D-1 Off Site Habitat Baseline'!$D$1:$O$258,3,FALSE)),"",(VLOOKUP($E169,'D-1 Off Site Habitat Baseline'!$D$1:$O$258,3,FALSE))))</f>
        <v/>
      </c>
      <c r="C169" s="31" t="str">
        <f>IFERROR(INDEX('G-8 Condition Look up'!$I$4:$I$130,MATCH(S169,'G-8 Condition Look up'!$A$4:$A$130,0)),"")</f>
        <v/>
      </c>
      <c r="E169" s="547" t="str">
        <f>'D-1 Off Site Habitat Baseline'!AL168</f>
        <v/>
      </c>
      <c r="F169" s="520" t="str">
        <f>IF(E169="","",IF(ISNA(VLOOKUP($E169,'D-1 Off Site Habitat Baseline'!$D$1:$O$258,4,FALSE)),"",(VLOOKUP($E169,'D-1 Off Site Habitat Baseline'!$D$1:$O$258,4,FALSE))))</f>
        <v/>
      </c>
      <c r="G169" s="520" t="str">
        <f>IF(E169="","",IF(ISNA(VLOOKUP($E169,'D-1 Off Site Habitat Baseline'!$D$1:$O$258,5,FALSE)),"",(VLOOKUP($E169,'D-1 Off Site Habitat Baseline'!$D$1:$O$258,5,FALSE))))</f>
        <v/>
      </c>
      <c r="H169" s="520" t="str">
        <f>IF(E169="","",IF(ISNA(VLOOKUP($E169,'D-1 Off Site Habitat Baseline'!$D$1:$O$258,6,FALSE)),"",(VLOOKUP($E169,'D-1 Off Site Habitat Baseline'!$D$1:$O$258,6,FALSE))))</f>
        <v/>
      </c>
      <c r="I169" s="520" t="str">
        <f>IF(E169="","",IF(ISNA(VLOOKUP($E169,'D-1 Off Site Habitat Baseline'!$D$1:$O$258,7,FALSE)),"",(VLOOKUP($E169,'D-1 Off Site Habitat Baseline'!$D$1:$O$258,7,FALSE))))</f>
        <v/>
      </c>
      <c r="J169" s="520" t="str">
        <f>IF(E169="","",IF(ISNA(VLOOKUP($E169,'D-1 Off Site Habitat Baseline'!$D$1:$O$258,8,FALSE)),"",(VLOOKUP($E169,'D-1 Off Site Habitat Baseline'!$D$1:$O$258,8,FALSE))))</f>
        <v/>
      </c>
      <c r="K169" s="520" t="str">
        <f>IF(E169="","",IF(ISNA(VLOOKUP($E169,'D-1 Off Site Habitat Baseline'!$D$1:$O$258,9,FALSE)),"",(VLOOKUP($E169,'D-1 Off Site Habitat Baseline'!$D$1:$O$258,9,FALSE))))</f>
        <v/>
      </c>
      <c r="L169" s="520" t="str">
        <f>IF(E169="","",IF(ISNA(VLOOKUP($E169,'D-1 Off Site Habitat Baseline'!$D$1:$O$258,11,FALSE)),"",(VLOOKUP($E169,'D-1 Off Site Habitat Baseline'!$D$1:$O$258,11,FALSE))))</f>
        <v/>
      </c>
      <c r="M169" s="520" t="str">
        <f>IF(E169="","",IF(ISNA(VLOOKUP($E169,'D-1 Off Site Habitat Baseline'!$D$1:$O$258,12,FALSE)),"",(VLOOKUP($E169,'D-1 Off Site Habitat Baseline'!$D$1:$O$258,12,FALSE))))</f>
        <v/>
      </c>
      <c r="N169" s="520" t="str">
        <f>IF(E169="","",IF(ISNA(VLOOKUP($E169,'D-1 Off Site Habitat Baseline'!$D$1:$X$258,14,FALSE)),"",(VLOOKUP($E169,'D-1 Off Site Habitat Baseline'!$D$1:$X$258,14,FALSE))))</f>
        <v/>
      </c>
      <c r="O169" s="524" t="str">
        <f>IF(E169="","",IF(ISNA(VLOOKUP($E169,'D-1 Off Site Habitat Baseline'!$D$1:$X$258,13,FALSE)),"",(VLOOKUP($E169,'D-1 Off Site Habitat Baseline'!$D$1:$X$258,13,FALSE))))</f>
        <v/>
      </c>
      <c r="P169" s="232" t="str">
        <f>IFERROR(INDEX('G-1 All Habitats'!$AG$3:$AG$15,MATCH(Q169,'G-1 All Habitats'!$AF$3:$AF$15,0)),"")</f>
        <v/>
      </c>
      <c r="Q169" s="228" t="str">
        <f t="shared" si="34"/>
        <v/>
      </c>
      <c r="R169" s="229" t="str">
        <f t="shared" si="35"/>
        <v/>
      </c>
      <c r="S169" s="233" t="str">
        <f>IFERROR(INDEX('G-1 All Habitats'!$B$3:$B$129,MATCH(R169,'G-1 All Habitats'!$A$3:$A$129,0)),"")</f>
        <v/>
      </c>
      <c r="T169" s="507" t="str">
        <f t="shared" si="27"/>
        <v/>
      </c>
      <c r="U169" s="524" t="str">
        <f t="shared" si="28"/>
        <v/>
      </c>
      <c r="V169" s="523" t="str">
        <f t="shared" si="25"/>
        <v/>
      </c>
      <c r="W169" s="520" t="str">
        <f>IF(S169="","",VLOOKUP(S169,'G-1 All Habitats'!$B$2:$M$129,10,FALSE))</f>
        <v/>
      </c>
      <c r="X169" s="520" t="str">
        <f>IFERROR(VLOOKUP(W169,'G-1 All Habitats'!$V$3:$W$7,2,FALSE),"")</f>
        <v/>
      </c>
      <c r="Y169" s="203"/>
      <c r="Z169" s="524" t="str">
        <f>IFERROR(INDEX('G-8 Condition Look up'!$A$3:$H$130,MATCH(S169,'G-8 Condition Look up'!$A$3:$A$130,0),MATCH(Y169,'G-8 Condition Look up'!$A$3:$H$3,0)),"")</f>
        <v/>
      </c>
      <c r="AA169" s="145"/>
      <c r="AB169" s="540" t="str">
        <f>IF(AA169="","",IF(VLOOKUP(AA169,'G-3 Multipliers'!$L$3:$N$6,2,FALSE)=0,"Spatial Data Missing ⚠",VLOOKUP(AA169,'G-3 Multipliers'!$L$3:$N$6,2,FALSE)))</f>
        <v/>
      </c>
      <c r="AC169" s="524" t="str">
        <f>IF(AA169="","",IF(VLOOKUP(AA169,'G-3 Multipliers'!$L$3:$N$6,3,FALSE)=0,"Spatial Data Missing ⚠",VLOOKUP(AA169,'G-3 Multipliers'!$L$3:$N$6,3,FALSE)))</f>
        <v/>
      </c>
      <c r="AD169" s="537" t="str">
        <f t="shared" si="26"/>
        <v/>
      </c>
      <c r="AE169" s="203"/>
      <c r="AF169" s="203"/>
      <c r="AG169" s="520" t="str">
        <f t="shared" si="29"/>
        <v/>
      </c>
      <c r="AH169" s="544" t="str">
        <f t="shared" si="30"/>
        <v/>
      </c>
      <c r="AI169" s="525" t="str">
        <f>IF(AH169="Check Data ⚠","Check Data ⚠",IFERROR(VLOOKUP(AH169,'G-4 Temporal multipliers'!$A$4:$C$36,3,FALSE),""))</f>
        <v/>
      </c>
      <c r="AJ169" s="537" t="str">
        <f>IF(S169="","",VLOOKUP(S169,'G-3 Multipliers'!$A$2:$E$129,4,FALSE))</f>
        <v/>
      </c>
      <c r="AK169" s="520" t="str">
        <f t="shared" si="31"/>
        <v/>
      </c>
      <c r="AL169" s="520" t="str">
        <f t="shared" si="32"/>
        <v/>
      </c>
      <c r="AM169" s="524" t="str">
        <f>IFERROR(IF(F169="","",IF(AH169="Check Data ⚠","Check Data ⚠",VLOOKUP(AL169, 'G-3 Multipliers'!$P$2:$Q$6,2,FALSE))),"")</f>
        <v/>
      </c>
      <c r="AN169" s="197"/>
      <c r="AO169" s="540" t="str">
        <f>IF(AN169="","",IF(VLOOKUP(AN169,'G-3 Multipliers'!$S$3:$T$9,2,FALSE)=0,"Spatial Data Missing ⚠",VLOOKUP(AN169,'G-3 Multipliers'!$S$3:$T$9,2,FALSE)))</f>
        <v/>
      </c>
      <c r="AP169" s="513" t="str">
        <f t="shared" si="33"/>
        <v/>
      </c>
      <c r="AQ169" s="231"/>
      <c r="AR169" s="150"/>
    </row>
    <row r="170" spans="1:44" x14ac:dyDescent="0.25">
      <c r="A170" s="31" t="str">
        <f>IF(E170="","",IF(ISNA(VLOOKUP($E170,'D-1 Off Site Habitat Baseline'!$D$1:$O$258,2,FALSE)),"",(VLOOKUP($E170,'D-1 Off Site Habitat Baseline'!$D$1:$O$258,2,FALSE))))</f>
        <v/>
      </c>
      <c r="B170" s="31" t="str">
        <f>IF(E170="","",IF(ISNA(VLOOKUP($E170,'D-1 Off Site Habitat Baseline'!$D$1:$O$258,3,FALSE)),"",(VLOOKUP($E170,'D-1 Off Site Habitat Baseline'!$D$1:$O$258,3,FALSE))))</f>
        <v/>
      </c>
      <c r="C170" s="31" t="str">
        <f>IFERROR(INDEX('G-8 Condition Look up'!$I$4:$I$130,MATCH(S170,'G-8 Condition Look up'!$A$4:$A$130,0)),"")</f>
        <v/>
      </c>
      <c r="E170" s="547" t="str">
        <f>'D-1 Off Site Habitat Baseline'!AL169</f>
        <v/>
      </c>
      <c r="F170" s="520" t="str">
        <f>IF(E170="","",IF(ISNA(VLOOKUP($E170,'D-1 Off Site Habitat Baseline'!$D$1:$O$258,4,FALSE)),"",(VLOOKUP($E170,'D-1 Off Site Habitat Baseline'!$D$1:$O$258,4,FALSE))))</f>
        <v/>
      </c>
      <c r="G170" s="520" t="str">
        <f>IF(E170="","",IF(ISNA(VLOOKUP($E170,'D-1 Off Site Habitat Baseline'!$D$1:$O$258,5,FALSE)),"",(VLOOKUP($E170,'D-1 Off Site Habitat Baseline'!$D$1:$O$258,5,FALSE))))</f>
        <v/>
      </c>
      <c r="H170" s="520" t="str">
        <f>IF(E170="","",IF(ISNA(VLOOKUP($E170,'D-1 Off Site Habitat Baseline'!$D$1:$O$258,6,FALSE)),"",(VLOOKUP($E170,'D-1 Off Site Habitat Baseline'!$D$1:$O$258,6,FALSE))))</f>
        <v/>
      </c>
      <c r="I170" s="520" t="str">
        <f>IF(E170="","",IF(ISNA(VLOOKUP($E170,'D-1 Off Site Habitat Baseline'!$D$1:$O$258,7,FALSE)),"",(VLOOKUP($E170,'D-1 Off Site Habitat Baseline'!$D$1:$O$258,7,FALSE))))</f>
        <v/>
      </c>
      <c r="J170" s="520" t="str">
        <f>IF(E170="","",IF(ISNA(VLOOKUP($E170,'D-1 Off Site Habitat Baseline'!$D$1:$O$258,8,FALSE)),"",(VLOOKUP($E170,'D-1 Off Site Habitat Baseline'!$D$1:$O$258,8,FALSE))))</f>
        <v/>
      </c>
      <c r="K170" s="520" t="str">
        <f>IF(E170="","",IF(ISNA(VLOOKUP($E170,'D-1 Off Site Habitat Baseline'!$D$1:$O$258,9,FALSE)),"",(VLOOKUP($E170,'D-1 Off Site Habitat Baseline'!$D$1:$O$258,9,FALSE))))</f>
        <v/>
      </c>
      <c r="L170" s="520" t="str">
        <f>IF(E170="","",IF(ISNA(VLOOKUP($E170,'D-1 Off Site Habitat Baseline'!$D$1:$O$258,11,FALSE)),"",(VLOOKUP($E170,'D-1 Off Site Habitat Baseline'!$D$1:$O$258,11,FALSE))))</f>
        <v/>
      </c>
      <c r="M170" s="520" t="str">
        <f>IF(E170="","",IF(ISNA(VLOOKUP($E170,'D-1 Off Site Habitat Baseline'!$D$1:$O$258,12,FALSE)),"",(VLOOKUP($E170,'D-1 Off Site Habitat Baseline'!$D$1:$O$258,12,FALSE))))</f>
        <v/>
      </c>
      <c r="N170" s="520" t="str">
        <f>IF(E170="","",IF(ISNA(VLOOKUP($E170,'D-1 Off Site Habitat Baseline'!$D$1:$X$258,14,FALSE)),"",(VLOOKUP($E170,'D-1 Off Site Habitat Baseline'!$D$1:$X$258,14,FALSE))))</f>
        <v/>
      </c>
      <c r="O170" s="524" t="str">
        <f>IF(E170="","",IF(ISNA(VLOOKUP($E170,'D-1 Off Site Habitat Baseline'!$D$1:$X$258,13,FALSE)),"",(VLOOKUP($E170,'D-1 Off Site Habitat Baseline'!$D$1:$X$258,13,FALSE))))</f>
        <v/>
      </c>
      <c r="P170" s="232" t="str">
        <f>IFERROR(INDEX('G-1 All Habitats'!$AG$3:$AG$15,MATCH(Q170,'G-1 All Habitats'!$AF$3:$AF$15,0)),"")</f>
        <v/>
      </c>
      <c r="Q170" s="228" t="str">
        <f t="shared" si="34"/>
        <v/>
      </c>
      <c r="R170" s="229" t="str">
        <f t="shared" si="35"/>
        <v/>
      </c>
      <c r="S170" s="233" t="str">
        <f>IFERROR(INDEX('G-1 All Habitats'!$B$3:$B$129,MATCH(R170,'G-1 All Habitats'!$A$3:$A$129,0)),"")</f>
        <v/>
      </c>
      <c r="T170" s="507" t="str">
        <f t="shared" si="27"/>
        <v/>
      </c>
      <c r="U170" s="524" t="str">
        <f t="shared" si="28"/>
        <v/>
      </c>
      <c r="V170" s="523" t="str">
        <f t="shared" si="25"/>
        <v/>
      </c>
      <c r="W170" s="520" t="str">
        <f>IF(S170="","",VLOOKUP(S170,'G-1 All Habitats'!$B$2:$M$129,10,FALSE))</f>
        <v/>
      </c>
      <c r="X170" s="520" t="str">
        <f>IFERROR(VLOOKUP(W170,'G-1 All Habitats'!$V$3:$W$7,2,FALSE),"")</f>
        <v/>
      </c>
      <c r="Y170" s="203"/>
      <c r="Z170" s="524" t="str">
        <f>IFERROR(INDEX('G-8 Condition Look up'!$A$3:$H$130,MATCH(S170,'G-8 Condition Look up'!$A$3:$A$130,0),MATCH(Y170,'G-8 Condition Look up'!$A$3:$H$3,0)),"")</f>
        <v/>
      </c>
      <c r="AA170" s="145"/>
      <c r="AB170" s="540" t="str">
        <f>IF(AA170="","",IF(VLOOKUP(AA170,'G-3 Multipliers'!$L$3:$N$6,2,FALSE)=0,"Spatial Data Missing ⚠",VLOOKUP(AA170,'G-3 Multipliers'!$L$3:$N$6,2,FALSE)))</f>
        <v/>
      </c>
      <c r="AC170" s="524" t="str">
        <f>IF(AA170="","",IF(VLOOKUP(AA170,'G-3 Multipliers'!$L$3:$N$6,3,FALSE)=0,"Spatial Data Missing ⚠",VLOOKUP(AA170,'G-3 Multipliers'!$L$3:$N$6,3,FALSE)))</f>
        <v/>
      </c>
      <c r="AD170" s="537" t="str">
        <f t="shared" si="26"/>
        <v/>
      </c>
      <c r="AE170" s="203"/>
      <c r="AF170" s="203"/>
      <c r="AG170" s="520" t="str">
        <f t="shared" si="29"/>
        <v/>
      </c>
      <c r="AH170" s="544" t="str">
        <f t="shared" si="30"/>
        <v/>
      </c>
      <c r="AI170" s="525" t="str">
        <f>IF(AH170="Check Data ⚠","Check Data ⚠",IFERROR(VLOOKUP(AH170,'G-4 Temporal multipliers'!$A$4:$C$36,3,FALSE),""))</f>
        <v/>
      </c>
      <c r="AJ170" s="537" t="str">
        <f>IF(S170="","",VLOOKUP(S170,'G-3 Multipliers'!$A$2:$E$129,4,FALSE))</f>
        <v/>
      </c>
      <c r="AK170" s="520" t="str">
        <f t="shared" si="31"/>
        <v/>
      </c>
      <c r="AL170" s="520" t="str">
        <f t="shared" si="32"/>
        <v/>
      </c>
      <c r="AM170" s="524" t="str">
        <f>IFERROR(IF(F170="","",IF(AH170="Check Data ⚠","Check Data ⚠",VLOOKUP(AL170, 'G-3 Multipliers'!$P$2:$Q$6,2,FALSE))),"")</f>
        <v/>
      </c>
      <c r="AN170" s="197"/>
      <c r="AO170" s="540" t="str">
        <f>IF(AN170="","",IF(VLOOKUP(AN170,'G-3 Multipliers'!$S$3:$T$9,2,FALSE)=0,"Spatial Data Missing ⚠",VLOOKUP(AN170,'G-3 Multipliers'!$S$3:$T$9,2,FALSE)))</f>
        <v/>
      </c>
      <c r="AP170" s="513" t="str">
        <f t="shared" si="33"/>
        <v/>
      </c>
      <c r="AQ170" s="231"/>
      <c r="AR170" s="150"/>
    </row>
    <row r="171" spans="1:44" x14ac:dyDescent="0.25">
      <c r="A171" s="31" t="str">
        <f>IF(E171="","",IF(ISNA(VLOOKUP($E171,'D-1 Off Site Habitat Baseline'!$D$1:$O$258,2,FALSE)),"",(VLOOKUP($E171,'D-1 Off Site Habitat Baseline'!$D$1:$O$258,2,FALSE))))</f>
        <v/>
      </c>
      <c r="B171" s="31" t="str">
        <f>IF(E171="","",IF(ISNA(VLOOKUP($E171,'D-1 Off Site Habitat Baseline'!$D$1:$O$258,3,FALSE)),"",(VLOOKUP($E171,'D-1 Off Site Habitat Baseline'!$D$1:$O$258,3,FALSE))))</f>
        <v/>
      </c>
      <c r="C171" s="31" t="str">
        <f>IFERROR(INDEX('G-8 Condition Look up'!$I$4:$I$130,MATCH(S171,'G-8 Condition Look up'!$A$4:$A$130,0)),"")</f>
        <v/>
      </c>
      <c r="E171" s="547" t="str">
        <f>'D-1 Off Site Habitat Baseline'!AL170</f>
        <v/>
      </c>
      <c r="F171" s="520" t="str">
        <f>IF(E171="","",IF(ISNA(VLOOKUP($E171,'D-1 Off Site Habitat Baseline'!$D$1:$O$258,4,FALSE)),"",(VLOOKUP($E171,'D-1 Off Site Habitat Baseline'!$D$1:$O$258,4,FALSE))))</f>
        <v/>
      </c>
      <c r="G171" s="520" t="str">
        <f>IF(E171="","",IF(ISNA(VLOOKUP($E171,'D-1 Off Site Habitat Baseline'!$D$1:$O$258,5,FALSE)),"",(VLOOKUP($E171,'D-1 Off Site Habitat Baseline'!$D$1:$O$258,5,FALSE))))</f>
        <v/>
      </c>
      <c r="H171" s="520" t="str">
        <f>IF(E171="","",IF(ISNA(VLOOKUP($E171,'D-1 Off Site Habitat Baseline'!$D$1:$O$258,6,FALSE)),"",(VLOOKUP($E171,'D-1 Off Site Habitat Baseline'!$D$1:$O$258,6,FALSE))))</f>
        <v/>
      </c>
      <c r="I171" s="520" t="str">
        <f>IF(E171="","",IF(ISNA(VLOOKUP($E171,'D-1 Off Site Habitat Baseline'!$D$1:$O$258,7,FALSE)),"",(VLOOKUP($E171,'D-1 Off Site Habitat Baseline'!$D$1:$O$258,7,FALSE))))</f>
        <v/>
      </c>
      <c r="J171" s="520" t="str">
        <f>IF(E171="","",IF(ISNA(VLOOKUP($E171,'D-1 Off Site Habitat Baseline'!$D$1:$O$258,8,FALSE)),"",(VLOOKUP($E171,'D-1 Off Site Habitat Baseline'!$D$1:$O$258,8,FALSE))))</f>
        <v/>
      </c>
      <c r="K171" s="520" t="str">
        <f>IF(E171="","",IF(ISNA(VLOOKUP($E171,'D-1 Off Site Habitat Baseline'!$D$1:$O$258,9,FALSE)),"",(VLOOKUP($E171,'D-1 Off Site Habitat Baseline'!$D$1:$O$258,9,FALSE))))</f>
        <v/>
      </c>
      <c r="L171" s="520" t="str">
        <f>IF(E171="","",IF(ISNA(VLOOKUP($E171,'D-1 Off Site Habitat Baseline'!$D$1:$O$258,11,FALSE)),"",(VLOOKUP($E171,'D-1 Off Site Habitat Baseline'!$D$1:$O$258,11,FALSE))))</f>
        <v/>
      </c>
      <c r="M171" s="520" t="str">
        <f>IF(E171="","",IF(ISNA(VLOOKUP($E171,'D-1 Off Site Habitat Baseline'!$D$1:$O$258,12,FALSE)),"",(VLOOKUP($E171,'D-1 Off Site Habitat Baseline'!$D$1:$O$258,12,FALSE))))</f>
        <v/>
      </c>
      <c r="N171" s="520" t="str">
        <f>IF(E171="","",IF(ISNA(VLOOKUP($E171,'D-1 Off Site Habitat Baseline'!$D$1:$X$258,14,FALSE)),"",(VLOOKUP($E171,'D-1 Off Site Habitat Baseline'!$D$1:$X$258,14,FALSE))))</f>
        <v/>
      </c>
      <c r="O171" s="524" t="str">
        <f>IF(E171="","",IF(ISNA(VLOOKUP($E171,'D-1 Off Site Habitat Baseline'!$D$1:$X$258,13,FALSE)),"",(VLOOKUP($E171,'D-1 Off Site Habitat Baseline'!$D$1:$X$258,13,FALSE))))</f>
        <v/>
      </c>
      <c r="P171" s="232" t="str">
        <f>IFERROR(INDEX('G-1 All Habitats'!$AG$3:$AG$15,MATCH(Q171,'G-1 All Habitats'!$AF$3:$AF$15,0)),"")</f>
        <v/>
      </c>
      <c r="Q171" s="228" t="str">
        <f t="shared" si="34"/>
        <v/>
      </c>
      <c r="R171" s="229" t="str">
        <f t="shared" si="35"/>
        <v/>
      </c>
      <c r="S171" s="233" t="str">
        <f>IFERROR(INDEX('G-1 All Habitats'!$B$3:$B$129,MATCH(R171,'G-1 All Habitats'!$A$3:$A$129,0)),"")</f>
        <v/>
      </c>
      <c r="T171" s="507" t="str">
        <f t="shared" si="27"/>
        <v/>
      </c>
      <c r="U171" s="524" t="str">
        <f t="shared" si="28"/>
        <v/>
      </c>
      <c r="V171" s="523" t="str">
        <f t="shared" si="25"/>
        <v/>
      </c>
      <c r="W171" s="520" t="str">
        <f>IF(S171="","",VLOOKUP(S171,'G-1 All Habitats'!$B$2:$M$129,10,FALSE))</f>
        <v/>
      </c>
      <c r="X171" s="520" t="str">
        <f>IFERROR(VLOOKUP(W171,'G-1 All Habitats'!$V$3:$W$7,2,FALSE),"")</f>
        <v/>
      </c>
      <c r="Y171" s="203"/>
      <c r="Z171" s="524" t="str">
        <f>IFERROR(INDEX('G-8 Condition Look up'!$A$3:$H$130,MATCH(S171,'G-8 Condition Look up'!$A$3:$A$130,0),MATCH(Y171,'G-8 Condition Look up'!$A$3:$H$3,0)),"")</f>
        <v/>
      </c>
      <c r="AA171" s="145"/>
      <c r="AB171" s="540" t="str">
        <f>IF(AA171="","",IF(VLOOKUP(AA171,'G-3 Multipliers'!$L$3:$N$6,2,FALSE)=0,"Spatial Data Missing ⚠",VLOOKUP(AA171,'G-3 Multipliers'!$L$3:$N$6,2,FALSE)))</f>
        <v/>
      </c>
      <c r="AC171" s="524" t="str">
        <f>IF(AA171="","",IF(VLOOKUP(AA171,'G-3 Multipliers'!$L$3:$N$6,3,FALSE)=0,"Spatial Data Missing ⚠",VLOOKUP(AA171,'G-3 Multipliers'!$L$3:$N$6,3,FALSE)))</f>
        <v/>
      </c>
      <c r="AD171" s="537" t="str">
        <f t="shared" si="26"/>
        <v/>
      </c>
      <c r="AE171" s="203"/>
      <c r="AF171" s="203"/>
      <c r="AG171" s="520" t="str">
        <f t="shared" si="29"/>
        <v/>
      </c>
      <c r="AH171" s="544" t="str">
        <f t="shared" si="30"/>
        <v/>
      </c>
      <c r="AI171" s="525" t="str">
        <f>IF(AH171="Check Data ⚠","Check Data ⚠",IFERROR(VLOOKUP(AH171,'G-4 Temporal multipliers'!$A$4:$C$36,3,FALSE),""))</f>
        <v/>
      </c>
      <c r="AJ171" s="537" t="str">
        <f>IF(S171="","",VLOOKUP(S171,'G-3 Multipliers'!$A$2:$E$129,4,FALSE))</f>
        <v/>
      </c>
      <c r="AK171" s="520" t="str">
        <f t="shared" si="31"/>
        <v/>
      </c>
      <c r="AL171" s="520" t="str">
        <f t="shared" si="32"/>
        <v/>
      </c>
      <c r="AM171" s="524" t="str">
        <f>IFERROR(IF(F171="","",IF(AH171="Check Data ⚠","Check Data ⚠",VLOOKUP(AL171, 'G-3 Multipliers'!$P$2:$Q$6,2,FALSE))),"")</f>
        <v/>
      </c>
      <c r="AN171" s="197"/>
      <c r="AO171" s="540" t="str">
        <f>IF(AN171="","",IF(VLOOKUP(AN171,'G-3 Multipliers'!$S$3:$T$9,2,FALSE)=0,"Spatial Data Missing ⚠",VLOOKUP(AN171,'G-3 Multipliers'!$S$3:$T$9,2,FALSE)))</f>
        <v/>
      </c>
      <c r="AP171" s="513" t="str">
        <f t="shared" si="33"/>
        <v/>
      </c>
      <c r="AQ171" s="231"/>
      <c r="AR171" s="150"/>
    </row>
    <row r="172" spans="1:44" x14ac:dyDescent="0.25">
      <c r="A172" s="31" t="str">
        <f>IF(E172="","",IF(ISNA(VLOOKUP($E172,'D-1 Off Site Habitat Baseline'!$D$1:$O$258,2,FALSE)),"",(VLOOKUP($E172,'D-1 Off Site Habitat Baseline'!$D$1:$O$258,2,FALSE))))</f>
        <v/>
      </c>
      <c r="B172" s="31" t="str">
        <f>IF(E172="","",IF(ISNA(VLOOKUP($E172,'D-1 Off Site Habitat Baseline'!$D$1:$O$258,3,FALSE)),"",(VLOOKUP($E172,'D-1 Off Site Habitat Baseline'!$D$1:$O$258,3,FALSE))))</f>
        <v/>
      </c>
      <c r="C172" s="31" t="str">
        <f>IFERROR(INDEX('G-8 Condition Look up'!$I$4:$I$130,MATCH(S172,'G-8 Condition Look up'!$A$4:$A$130,0)),"")</f>
        <v/>
      </c>
      <c r="E172" s="547" t="str">
        <f>'D-1 Off Site Habitat Baseline'!AL171</f>
        <v/>
      </c>
      <c r="F172" s="520" t="str">
        <f>IF(E172="","",IF(ISNA(VLOOKUP($E172,'D-1 Off Site Habitat Baseline'!$D$1:$O$258,4,FALSE)),"",(VLOOKUP($E172,'D-1 Off Site Habitat Baseline'!$D$1:$O$258,4,FALSE))))</f>
        <v/>
      </c>
      <c r="G172" s="520" t="str">
        <f>IF(E172="","",IF(ISNA(VLOOKUP($E172,'D-1 Off Site Habitat Baseline'!$D$1:$O$258,5,FALSE)),"",(VLOOKUP($E172,'D-1 Off Site Habitat Baseline'!$D$1:$O$258,5,FALSE))))</f>
        <v/>
      </c>
      <c r="H172" s="520" t="str">
        <f>IF(E172="","",IF(ISNA(VLOOKUP($E172,'D-1 Off Site Habitat Baseline'!$D$1:$O$258,6,FALSE)),"",(VLOOKUP($E172,'D-1 Off Site Habitat Baseline'!$D$1:$O$258,6,FALSE))))</f>
        <v/>
      </c>
      <c r="I172" s="520" t="str">
        <f>IF(E172="","",IF(ISNA(VLOOKUP($E172,'D-1 Off Site Habitat Baseline'!$D$1:$O$258,7,FALSE)),"",(VLOOKUP($E172,'D-1 Off Site Habitat Baseline'!$D$1:$O$258,7,FALSE))))</f>
        <v/>
      </c>
      <c r="J172" s="520" t="str">
        <f>IF(E172="","",IF(ISNA(VLOOKUP($E172,'D-1 Off Site Habitat Baseline'!$D$1:$O$258,8,FALSE)),"",(VLOOKUP($E172,'D-1 Off Site Habitat Baseline'!$D$1:$O$258,8,FALSE))))</f>
        <v/>
      </c>
      <c r="K172" s="520" t="str">
        <f>IF(E172="","",IF(ISNA(VLOOKUP($E172,'D-1 Off Site Habitat Baseline'!$D$1:$O$258,9,FALSE)),"",(VLOOKUP($E172,'D-1 Off Site Habitat Baseline'!$D$1:$O$258,9,FALSE))))</f>
        <v/>
      </c>
      <c r="L172" s="520" t="str">
        <f>IF(E172="","",IF(ISNA(VLOOKUP($E172,'D-1 Off Site Habitat Baseline'!$D$1:$O$258,11,FALSE)),"",(VLOOKUP($E172,'D-1 Off Site Habitat Baseline'!$D$1:$O$258,11,FALSE))))</f>
        <v/>
      </c>
      <c r="M172" s="520" t="str">
        <f>IF(E172="","",IF(ISNA(VLOOKUP($E172,'D-1 Off Site Habitat Baseline'!$D$1:$O$258,12,FALSE)),"",(VLOOKUP($E172,'D-1 Off Site Habitat Baseline'!$D$1:$O$258,12,FALSE))))</f>
        <v/>
      </c>
      <c r="N172" s="520" t="str">
        <f>IF(E172="","",IF(ISNA(VLOOKUP($E172,'D-1 Off Site Habitat Baseline'!$D$1:$X$258,14,FALSE)),"",(VLOOKUP($E172,'D-1 Off Site Habitat Baseline'!$D$1:$X$258,14,FALSE))))</f>
        <v/>
      </c>
      <c r="O172" s="524" t="str">
        <f>IF(E172="","",IF(ISNA(VLOOKUP($E172,'D-1 Off Site Habitat Baseline'!$D$1:$X$258,13,FALSE)),"",(VLOOKUP($E172,'D-1 Off Site Habitat Baseline'!$D$1:$X$258,13,FALSE))))</f>
        <v/>
      </c>
      <c r="P172" s="232" t="str">
        <f>IFERROR(INDEX('G-1 All Habitats'!$AG$3:$AG$15,MATCH(Q172,'G-1 All Habitats'!$AF$3:$AF$15,0)),"")</f>
        <v/>
      </c>
      <c r="Q172" s="228" t="str">
        <f t="shared" si="34"/>
        <v/>
      </c>
      <c r="R172" s="229" t="str">
        <f t="shared" si="35"/>
        <v/>
      </c>
      <c r="S172" s="233" t="str">
        <f>IFERROR(INDEX('G-1 All Habitats'!$B$3:$B$129,MATCH(R172,'G-1 All Habitats'!$A$3:$A$129,0)),"")</f>
        <v/>
      </c>
      <c r="T172" s="507" t="str">
        <f t="shared" si="27"/>
        <v/>
      </c>
      <c r="U172" s="524" t="str">
        <f t="shared" si="28"/>
        <v/>
      </c>
      <c r="V172" s="523" t="str">
        <f t="shared" si="25"/>
        <v/>
      </c>
      <c r="W172" s="520" t="str">
        <f>IF(S172="","",VLOOKUP(S172,'G-1 All Habitats'!$B$2:$M$129,10,FALSE))</f>
        <v/>
      </c>
      <c r="X172" s="520" t="str">
        <f>IFERROR(VLOOKUP(W172,'G-1 All Habitats'!$V$3:$W$7,2,FALSE),"")</f>
        <v/>
      </c>
      <c r="Y172" s="203"/>
      <c r="Z172" s="524" t="str">
        <f>IFERROR(INDEX('G-8 Condition Look up'!$A$3:$H$130,MATCH(S172,'G-8 Condition Look up'!$A$3:$A$130,0),MATCH(Y172,'G-8 Condition Look up'!$A$3:$H$3,0)),"")</f>
        <v/>
      </c>
      <c r="AA172" s="145"/>
      <c r="AB172" s="540" t="str">
        <f>IF(AA172="","",IF(VLOOKUP(AA172,'G-3 Multipliers'!$L$3:$N$6,2,FALSE)=0,"Spatial Data Missing ⚠",VLOOKUP(AA172,'G-3 Multipliers'!$L$3:$N$6,2,FALSE)))</f>
        <v/>
      </c>
      <c r="AC172" s="524" t="str">
        <f>IF(AA172="","",IF(VLOOKUP(AA172,'G-3 Multipliers'!$L$3:$N$6,3,FALSE)=0,"Spatial Data Missing ⚠",VLOOKUP(AA172,'G-3 Multipliers'!$L$3:$N$6,3,FALSE)))</f>
        <v/>
      </c>
      <c r="AD172" s="537" t="str">
        <f t="shared" si="26"/>
        <v/>
      </c>
      <c r="AE172" s="203"/>
      <c r="AF172" s="203"/>
      <c r="AG172" s="520" t="str">
        <f t="shared" si="29"/>
        <v/>
      </c>
      <c r="AH172" s="544" t="str">
        <f t="shared" si="30"/>
        <v/>
      </c>
      <c r="AI172" s="525" t="str">
        <f>IF(AH172="Check Data ⚠","Check Data ⚠",IFERROR(VLOOKUP(AH172,'G-4 Temporal multipliers'!$A$4:$C$36,3,FALSE),""))</f>
        <v/>
      </c>
      <c r="AJ172" s="537" t="str">
        <f>IF(S172="","",VLOOKUP(S172,'G-3 Multipliers'!$A$2:$E$129,4,FALSE))</f>
        <v/>
      </c>
      <c r="AK172" s="520" t="str">
        <f t="shared" si="31"/>
        <v/>
      </c>
      <c r="AL172" s="520" t="str">
        <f t="shared" si="32"/>
        <v/>
      </c>
      <c r="AM172" s="524" t="str">
        <f>IFERROR(IF(F172="","",IF(AH172="Check Data ⚠","Check Data ⚠",VLOOKUP(AL172, 'G-3 Multipliers'!$P$2:$Q$6,2,FALSE))),"")</f>
        <v/>
      </c>
      <c r="AN172" s="197"/>
      <c r="AO172" s="540" t="str">
        <f>IF(AN172="","",IF(VLOOKUP(AN172,'G-3 Multipliers'!$S$3:$T$9,2,FALSE)=0,"Spatial Data Missing ⚠",VLOOKUP(AN172,'G-3 Multipliers'!$S$3:$T$9,2,FALSE)))</f>
        <v/>
      </c>
      <c r="AP172" s="513" t="str">
        <f t="shared" si="33"/>
        <v/>
      </c>
      <c r="AQ172" s="231"/>
      <c r="AR172" s="150"/>
    </row>
    <row r="173" spans="1:44" x14ac:dyDescent="0.25">
      <c r="A173" s="31" t="str">
        <f>IF(E173="","",IF(ISNA(VLOOKUP($E173,'D-1 Off Site Habitat Baseline'!$D$1:$O$258,2,FALSE)),"",(VLOOKUP($E173,'D-1 Off Site Habitat Baseline'!$D$1:$O$258,2,FALSE))))</f>
        <v/>
      </c>
      <c r="B173" s="31" t="str">
        <f>IF(E173="","",IF(ISNA(VLOOKUP($E173,'D-1 Off Site Habitat Baseline'!$D$1:$O$258,3,FALSE)),"",(VLOOKUP($E173,'D-1 Off Site Habitat Baseline'!$D$1:$O$258,3,FALSE))))</f>
        <v/>
      </c>
      <c r="C173" s="31" t="str">
        <f>IFERROR(INDEX('G-8 Condition Look up'!$I$4:$I$130,MATCH(S173,'G-8 Condition Look up'!$A$4:$A$130,0)),"")</f>
        <v/>
      </c>
      <c r="E173" s="547" t="str">
        <f>'D-1 Off Site Habitat Baseline'!AL172</f>
        <v/>
      </c>
      <c r="F173" s="520" t="str">
        <f>IF(E173="","",IF(ISNA(VLOOKUP($E173,'D-1 Off Site Habitat Baseline'!$D$1:$O$258,4,FALSE)),"",(VLOOKUP($E173,'D-1 Off Site Habitat Baseline'!$D$1:$O$258,4,FALSE))))</f>
        <v/>
      </c>
      <c r="G173" s="520" t="str">
        <f>IF(E173="","",IF(ISNA(VLOOKUP($E173,'D-1 Off Site Habitat Baseline'!$D$1:$O$258,5,FALSE)),"",(VLOOKUP($E173,'D-1 Off Site Habitat Baseline'!$D$1:$O$258,5,FALSE))))</f>
        <v/>
      </c>
      <c r="H173" s="520" t="str">
        <f>IF(E173="","",IF(ISNA(VLOOKUP($E173,'D-1 Off Site Habitat Baseline'!$D$1:$O$258,6,FALSE)),"",(VLOOKUP($E173,'D-1 Off Site Habitat Baseline'!$D$1:$O$258,6,FALSE))))</f>
        <v/>
      </c>
      <c r="I173" s="520" t="str">
        <f>IF(E173="","",IF(ISNA(VLOOKUP($E173,'D-1 Off Site Habitat Baseline'!$D$1:$O$258,7,FALSE)),"",(VLOOKUP($E173,'D-1 Off Site Habitat Baseline'!$D$1:$O$258,7,FALSE))))</f>
        <v/>
      </c>
      <c r="J173" s="520" t="str">
        <f>IF(E173="","",IF(ISNA(VLOOKUP($E173,'D-1 Off Site Habitat Baseline'!$D$1:$O$258,8,FALSE)),"",(VLOOKUP($E173,'D-1 Off Site Habitat Baseline'!$D$1:$O$258,8,FALSE))))</f>
        <v/>
      </c>
      <c r="K173" s="520" t="str">
        <f>IF(E173="","",IF(ISNA(VLOOKUP($E173,'D-1 Off Site Habitat Baseline'!$D$1:$O$258,9,FALSE)),"",(VLOOKUP($E173,'D-1 Off Site Habitat Baseline'!$D$1:$O$258,9,FALSE))))</f>
        <v/>
      </c>
      <c r="L173" s="520" t="str">
        <f>IF(E173="","",IF(ISNA(VLOOKUP($E173,'D-1 Off Site Habitat Baseline'!$D$1:$O$258,11,FALSE)),"",(VLOOKUP($E173,'D-1 Off Site Habitat Baseline'!$D$1:$O$258,11,FALSE))))</f>
        <v/>
      </c>
      <c r="M173" s="520" t="str">
        <f>IF(E173="","",IF(ISNA(VLOOKUP($E173,'D-1 Off Site Habitat Baseline'!$D$1:$O$258,12,FALSE)),"",(VLOOKUP($E173,'D-1 Off Site Habitat Baseline'!$D$1:$O$258,12,FALSE))))</f>
        <v/>
      </c>
      <c r="N173" s="520" t="str">
        <f>IF(E173="","",IF(ISNA(VLOOKUP($E173,'D-1 Off Site Habitat Baseline'!$D$1:$X$258,14,FALSE)),"",(VLOOKUP($E173,'D-1 Off Site Habitat Baseline'!$D$1:$X$258,14,FALSE))))</f>
        <v/>
      </c>
      <c r="O173" s="524" t="str">
        <f>IF(E173="","",IF(ISNA(VLOOKUP($E173,'D-1 Off Site Habitat Baseline'!$D$1:$X$258,13,FALSE)),"",(VLOOKUP($E173,'D-1 Off Site Habitat Baseline'!$D$1:$X$258,13,FALSE))))</f>
        <v/>
      </c>
      <c r="P173" s="232" t="str">
        <f>IFERROR(INDEX('G-1 All Habitats'!$AG$3:$AG$15,MATCH(Q173,'G-1 All Habitats'!$AF$3:$AF$15,0)),"")</f>
        <v/>
      </c>
      <c r="Q173" s="228" t="str">
        <f t="shared" si="34"/>
        <v/>
      </c>
      <c r="R173" s="229" t="str">
        <f t="shared" si="35"/>
        <v/>
      </c>
      <c r="S173" s="233" t="str">
        <f>IFERROR(INDEX('G-1 All Habitats'!$B$3:$B$129,MATCH(R173,'G-1 All Habitats'!$A$3:$A$129,0)),"")</f>
        <v/>
      </c>
      <c r="T173" s="507" t="str">
        <f t="shared" si="27"/>
        <v/>
      </c>
      <c r="U173" s="524" t="str">
        <f t="shared" si="28"/>
        <v/>
      </c>
      <c r="V173" s="523" t="str">
        <f t="shared" si="25"/>
        <v/>
      </c>
      <c r="W173" s="520" t="str">
        <f>IF(S173="","",VLOOKUP(S173,'G-1 All Habitats'!$B$2:$M$129,10,FALSE))</f>
        <v/>
      </c>
      <c r="X173" s="520" t="str">
        <f>IFERROR(VLOOKUP(W173,'G-1 All Habitats'!$V$3:$W$7,2,FALSE),"")</f>
        <v/>
      </c>
      <c r="Y173" s="203"/>
      <c r="Z173" s="524" t="str">
        <f>IFERROR(INDEX('G-8 Condition Look up'!$A$3:$H$130,MATCH(S173,'G-8 Condition Look up'!$A$3:$A$130,0),MATCH(Y173,'G-8 Condition Look up'!$A$3:$H$3,0)),"")</f>
        <v/>
      </c>
      <c r="AA173" s="145"/>
      <c r="AB173" s="540" t="str">
        <f>IF(AA173="","",IF(VLOOKUP(AA173,'G-3 Multipliers'!$L$3:$N$6,2,FALSE)=0,"Spatial Data Missing ⚠",VLOOKUP(AA173,'G-3 Multipliers'!$L$3:$N$6,2,FALSE)))</f>
        <v/>
      </c>
      <c r="AC173" s="524" t="str">
        <f>IF(AA173="","",IF(VLOOKUP(AA173,'G-3 Multipliers'!$L$3:$N$6,3,FALSE)=0,"Spatial Data Missing ⚠",VLOOKUP(AA173,'G-3 Multipliers'!$L$3:$N$6,3,FALSE)))</f>
        <v/>
      </c>
      <c r="AD173" s="537" t="str">
        <f t="shared" si="26"/>
        <v/>
      </c>
      <c r="AE173" s="203"/>
      <c r="AF173" s="203"/>
      <c r="AG173" s="520" t="str">
        <f t="shared" si="29"/>
        <v/>
      </c>
      <c r="AH173" s="544" t="str">
        <f t="shared" si="30"/>
        <v/>
      </c>
      <c r="AI173" s="525" t="str">
        <f>IF(AH173="Check Data ⚠","Check Data ⚠",IFERROR(VLOOKUP(AH173,'G-4 Temporal multipliers'!$A$4:$C$36,3,FALSE),""))</f>
        <v/>
      </c>
      <c r="AJ173" s="537" t="str">
        <f>IF(S173="","",VLOOKUP(S173,'G-3 Multipliers'!$A$2:$E$129,4,FALSE))</f>
        <v/>
      </c>
      <c r="AK173" s="520" t="str">
        <f t="shared" si="31"/>
        <v/>
      </c>
      <c r="AL173" s="520" t="str">
        <f t="shared" si="32"/>
        <v/>
      </c>
      <c r="AM173" s="524" t="str">
        <f>IFERROR(IF(F173="","",IF(AH173="Check Data ⚠","Check Data ⚠",VLOOKUP(AL173, 'G-3 Multipliers'!$P$2:$Q$6,2,FALSE))),"")</f>
        <v/>
      </c>
      <c r="AN173" s="197"/>
      <c r="AO173" s="540" t="str">
        <f>IF(AN173="","",IF(VLOOKUP(AN173,'G-3 Multipliers'!$S$3:$T$9,2,FALSE)=0,"Spatial Data Missing ⚠",VLOOKUP(AN173,'G-3 Multipliers'!$S$3:$T$9,2,FALSE)))</f>
        <v/>
      </c>
      <c r="AP173" s="513" t="str">
        <f t="shared" si="33"/>
        <v/>
      </c>
      <c r="AQ173" s="231"/>
      <c r="AR173" s="150"/>
    </row>
    <row r="174" spans="1:44" x14ac:dyDescent="0.25">
      <c r="A174" s="31" t="str">
        <f>IF(E174="","",IF(ISNA(VLOOKUP($E174,'D-1 Off Site Habitat Baseline'!$D$1:$O$258,2,FALSE)),"",(VLOOKUP($E174,'D-1 Off Site Habitat Baseline'!$D$1:$O$258,2,FALSE))))</f>
        <v/>
      </c>
      <c r="B174" s="31" t="str">
        <f>IF(E174="","",IF(ISNA(VLOOKUP($E174,'D-1 Off Site Habitat Baseline'!$D$1:$O$258,3,FALSE)),"",(VLOOKUP($E174,'D-1 Off Site Habitat Baseline'!$D$1:$O$258,3,FALSE))))</f>
        <v/>
      </c>
      <c r="C174" s="31" t="str">
        <f>IFERROR(INDEX('G-8 Condition Look up'!$I$4:$I$130,MATCH(S174,'G-8 Condition Look up'!$A$4:$A$130,0)),"")</f>
        <v/>
      </c>
      <c r="E174" s="547" t="str">
        <f>'D-1 Off Site Habitat Baseline'!AL173</f>
        <v/>
      </c>
      <c r="F174" s="520" t="str">
        <f>IF(E174="","",IF(ISNA(VLOOKUP($E174,'D-1 Off Site Habitat Baseline'!$D$1:$O$258,4,FALSE)),"",(VLOOKUP($E174,'D-1 Off Site Habitat Baseline'!$D$1:$O$258,4,FALSE))))</f>
        <v/>
      </c>
      <c r="G174" s="520" t="str">
        <f>IF(E174="","",IF(ISNA(VLOOKUP($E174,'D-1 Off Site Habitat Baseline'!$D$1:$O$258,5,FALSE)),"",(VLOOKUP($E174,'D-1 Off Site Habitat Baseline'!$D$1:$O$258,5,FALSE))))</f>
        <v/>
      </c>
      <c r="H174" s="520" t="str">
        <f>IF(E174="","",IF(ISNA(VLOOKUP($E174,'D-1 Off Site Habitat Baseline'!$D$1:$O$258,6,FALSE)),"",(VLOOKUP($E174,'D-1 Off Site Habitat Baseline'!$D$1:$O$258,6,FALSE))))</f>
        <v/>
      </c>
      <c r="I174" s="520" t="str">
        <f>IF(E174="","",IF(ISNA(VLOOKUP($E174,'D-1 Off Site Habitat Baseline'!$D$1:$O$258,7,FALSE)),"",(VLOOKUP($E174,'D-1 Off Site Habitat Baseline'!$D$1:$O$258,7,FALSE))))</f>
        <v/>
      </c>
      <c r="J174" s="520" t="str">
        <f>IF(E174="","",IF(ISNA(VLOOKUP($E174,'D-1 Off Site Habitat Baseline'!$D$1:$O$258,8,FALSE)),"",(VLOOKUP($E174,'D-1 Off Site Habitat Baseline'!$D$1:$O$258,8,FALSE))))</f>
        <v/>
      </c>
      <c r="K174" s="520" t="str">
        <f>IF(E174="","",IF(ISNA(VLOOKUP($E174,'D-1 Off Site Habitat Baseline'!$D$1:$O$258,9,FALSE)),"",(VLOOKUP($E174,'D-1 Off Site Habitat Baseline'!$D$1:$O$258,9,FALSE))))</f>
        <v/>
      </c>
      <c r="L174" s="520" t="str">
        <f>IF(E174="","",IF(ISNA(VLOOKUP($E174,'D-1 Off Site Habitat Baseline'!$D$1:$O$258,11,FALSE)),"",(VLOOKUP($E174,'D-1 Off Site Habitat Baseline'!$D$1:$O$258,11,FALSE))))</f>
        <v/>
      </c>
      <c r="M174" s="520" t="str">
        <f>IF(E174="","",IF(ISNA(VLOOKUP($E174,'D-1 Off Site Habitat Baseline'!$D$1:$O$258,12,FALSE)),"",(VLOOKUP($E174,'D-1 Off Site Habitat Baseline'!$D$1:$O$258,12,FALSE))))</f>
        <v/>
      </c>
      <c r="N174" s="520" t="str">
        <f>IF(E174="","",IF(ISNA(VLOOKUP($E174,'D-1 Off Site Habitat Baseline'!$D$1:$X$258,14,FALSE)),"",(VLOOKUP($E174,'D-1 Off Site Habitat Baseline'!$D$1:$X$258,14,FALSE))))</f>
        <v/>
      </c>
      <c r="O174" s="524" t="str">
        <f>IF(E174="","",IF(ISNA(VLOOKUP($E174,'D-1 Off Site Habitat Baseline'!$D$1:$X$258,13,FALSE)),"",(VLOOKUP($E174,'D-1 Off Site Habitat Baseline'!$D$1:$X$258,13,FALSE))))</f>
        <v/>
      </c>
      <c r="P174" s="232" t="str">
        <f>IFERROR(INDEX('G-1 All Habitats'!$AG$3:$AG$15,MATCH(Q174,'G-1 All Habitats'!$AF$3:$AF$15,0)),"")</f>
        <v/>
      </c>
      <c r="Q174" s="228" t="str">
        <f t="shared" si="34"/>
        <v/>
      </c>
      <c r="R174" s="229" t="str">
        <f t="shared" si="35"/>
        <v/>
      </c>
      <c r="S174" s="233" t="str">
        <f>IFERROR(INDEX('G-1 All Habitats'!$B$3:$B$129,MATCH(R174,'G-1 All Habitats'!$A$3:$A$129,0)),"")</f>
        <v/>
      </c>
      <c r="T174" s="507" t="str">
        <f t="shared" si="27"/>
        <v/>
      </c>
      <c r="U174" s="524" t="str">
        <f t="shared" si="28"/>
        <v/>
      </c>
      <c r="V174" s="523" t="str">
        <f t="shared" si="25"/>
        <v/>
      </c>
      <c r="W174" s="520" t="str">
        <f>IF(S174="","",VLOOKUP(S174,'G-1 All Habitats'!$B$2:$M$129,10,FALSE))</f>
        <v/>
      </c>
      <c r="X174" s="520" t="str">
        <f>IFERROR(VLOOKUP(W174,'G-1 All Habitats'!$V$3:$W$7,2,FALSE),"")</f>
        <v/>
      </c>
      <c r="Y174" s="203"/>
      <c r="Z174" s="524" t="str">
        <f>IFERROR(INDEX('G-8 Condition Look up'!$A$3:$H$130,MATCH(S174,'G-8 Condition Look up'!$A$3:$A$130,0),MATCH(Y174,'G-8 Condition Look up'!$A$3:$H$3,0)),"")</f>
        <v/>
      </c>
      <c r="AA174" s="145"/>
      <c r="AB174" s="540" t="str">
        <f>IF(AA174="","",IF(VLOOKUP(AA174,'G-3 Multipliers'!$L$3:$N$6,2,FALSE)=0,"Spatial Data Missing ⚠",VLOOKUP(AA174,'G-3 Multipliers'!$L$3:$N$6,2,FALSE)))</f>
        <v/>
      </c>
      <c r="AC174" s="524" t="str">
        <f>IF(AA174="","",IF(VLOOKUP(AA174,'G-3 Multipliers'!$L$3:$N$6,3,FALSE)=0,"Spatial Data Missing ⚠",VLOOKUP(AA174,'G-3 Multipliers'!$L$3:$N$6,3,FALSE)))</f>
        <v/>
      </c>
      <c r="AD174" s="537" t="str">
        <f t="shared" si="26"/>
        <v/>
      </c>
      <c r="AE174" s="203"/>
      <c r="AF174" s="203"/>
      <c r="AG174" s="520" t="str">
        <f t="shared" si="29"/>
        <v/>
      </c>
      <c r="AH174" s="544" t="str">
        <f t="shared" si="30"/>
        <v/>
      </c>
      <c r="AI174" s="525" t="str">
        <f>IF(AH174="Check Data ⚠","Check Data ⚠",IFERROR(VLOOKUP(AH174,'G-4 Temporal multipliers'!$A$4:$C$36,3,FALSE),""))</f>
        <v/>
      </c>
      <c r="AJ174" s="537" t="str">
        <f>IF(S174="","",VLOOKUP(S174,'G-3 Multipliers'!$A$2:$E$129,4,FALSE))</f>
        <v/>
      </c>
      <c r="AK174" s="520" t="str">
        <f t="shared" si="31"/>
        <v/>
      </c>
      <c r="AL174" s="520" t="str">
        <f t="shared" si="32"/>
        <v/>
      </c>
      <c r="AM174" s="524" t="str">
        <f>IFERROR(IF(F174="","",IF(AH174="Check Data ⚠","Check Data ⚠",VLOOKUP(AL174, 'G-3 Multipliers'!$P$2:$Q$6,2,FALSE))),"")</f>
        <v/>
      </c>
      <c r="AN174" s="197"/>
      <c r="AO174" s="540" t="str">
        <f>IF(AN174="","",IF(VLOOKUP(AN174,'G-3 Multipliers'!$S$3:$T$9,2,FALSE)=0,"Spatial Data Missing ⚠",VLOOKUP(AN174,'G-3 Multipliers'!$S$3:$T$9,2,FALSE)))</f>
        <v/>
      </c>
      <c r="AP174" s="513" t="str">
        <f t="shared" si="33"/>
        <v/>
      </c>
      <c r="AQ174" s="231"/>
      <c r="AR174" s="150"/>
    </row>
    <row r="175" spans="1:44" x14ac:dyDescent="0.25">
      <c r="A175" s="31" t="str">
        <f>IF(E175="","",IF(ISNA(VLOOKUP($E175,'D-1 Off Site Habitat Baseline'!$D$1:$O$258,2,FALSE)),"",(VLOOKUP($E175,'D-1 Off Site Habitat Baseline'!$D$1:$O$258,2,FALSE))))</f>
        <v/>
      </c>
      <c r="B175" s="31" t="str">
        <f>IF(E175="","",IF(ISNA(VLOOKUP($E175,'D-1 Off Site Habitat Baseline'!$D$1:$O$258,3,FALSE)),"",(VLOOKUP($E175,'D-1 Off Site Habitat Baseline'!$D$1:$O$258,3,FALSE))))</f>
        <v/>
      </c>
      <c r="C175" s="31" t="str">
        <f>IFERROR(INDEX('G-8 Condition Look up'!$I$4:$I$130,MATCH(S175,'G-8 Condition Look up'!$A$4:$A$130,0)),"")</f>
        <v/>
      </c>
      <c r="E175" s="547" t="str">
        <f>'D-1 Off Site Habitat Baseline'!AL174</f>
        <v/>
      </c>
      <c r="F175" s="520" t="str">
        <f>IF(E175="","",IF(ISNA(VLOOKUP($E175,'D-1 Off Site Habitat Baseline'!$D$1:$O$258,4,FALSE)),"",(VLOOKUP($E175,'D-1 Off Site Habitat Baseline'!$D$1:$O$258,4,FALSE))))</f>
        <v/>
      </c>
      <c r="G175" s="520" t="str">
        <f>IF(E175="","",IF(ISNA(VLOOKUP($E175,'D-1 Off Site Habitat Baseline'!$D$1:$O$258,5,FALSE)),"",(VLOOKUP($E175,'D-1 Off Site Habitat Baseline'!$D$1:$O$258,5,FALSE))))</f>
        <v/>
      </c>
      <c r="H175" s="520" t="str">
        <f>IF(E175="","",IF(ISNA(VLOOKUP($E175,'D-1 Off Site Habitat Baseline'!$D$1:$O$258,6,FALSE)),"",(VLOOKUP($E175,'D-1 Off Site Habitat Baseline'!$D$1:$O$258,6,FALSE))))</f>
        <v/>
      </c>
      <c r="I175" s="520" t="str">
        <f>IF(E175="","",IF(ISNA(VLOOKUP($E175,'D-1 Off Site Habitat Baseline'!$D$1:$O$258,7,FALSE)),"",(VLOOKUP($E175,'D-1 Off Site Habitat Baseline'!$D$1:$O$258,7,FALSE))))</f>
        <v/>
      </c>
      <c r="J175" s="520" t="str">
        <f>IF(E175="","",IF(ISNA(VLOOKUP($E175,'D-1 Off Site Habitat Baseline'!$D$1:$O$258,8,FALSE)),"",(VLOOKUP($E175,'D-1 Off Site Habitat Baseline'!$D$1:$O$258,8,FALSE))))</f>
        <v/>
      </c>
      <c r="K175" s="520" t="str">
        <f>IF(E175="","",IF(ISNA(VLOOKUP($E175,'D-1 Off Site Habitat Baseline'!$D$1:$O$258,9,FALSE)),"",(VLOOKUP($E175,'D-1 Off Site Habitat Baseline'!$D$1:$O$258,9,FALSE))))</f>
        <v/>
      </c>
      <c r="L175" s="520" t="str">
        <f>IF(E175="","",IF(ISNA(VLOOKUP($E175,'D-1 Off Site Habitat Baseline'!$D$1:$O$258,11,FALSE)),"",(VLOOKUP($E175,'D-1 Off Site Habitat Baseline'!$D$1:$O$258,11,FALSE))))</f>
        <v/>
      </c>
      <c r="M175" s="520" t="str">
        <f>IF(E175="","",IF(ISNA(VLOOKUP($E175,'D-1 Off Site Habitat Baseline'!$D$1:$O$258,12,FALSE)),"",(VLOOKUP($E175,'D-1 Off Site Habitat Baseline'!$D$1:$O$258,12,FALSE))))</f>
        <v/>
      </c>
      <c r="N175" s="520" t="str">
        <f>IF(E175="","",IF(ISNA(VLOOKUP($E175,'D-1 Off Site Habitat Baseline'!$D$1:$X$258,14,FALSE)),"",(VLOOKUP($E175,'D-1 Off Site Habitat Baseline'!$D$1:$X$258,14,FALSE))))</f>
        <v/>
      </c>
      <c r="O175" s="524" t="str">
        <f>IF(E175="","",IF(ISNA(VLOOKUP($E175,'D-1 Off Site Habitat Baseline'!$D$1:$X$258,13,FALSE)),"",(VLOOKUP($E175,'D-1 Off Site Habitat Baseline'!$D$1:$X$258,13,FALSE))))</f>
        <v/>
      </c>
      <c r="P175" s="232" t="str">
        <f>IFERROR(INDEX('G-1 All Habitats'!$AG$3:$AG$15,MATCH(Q175,'G-1 All Habitats'!$AF$3:$AF$15,0)),"")</f>
        <v/>
      </c>
      <c r="Q175" s="228" t="str">
        <f t="shared" si="34"/>
        <v/>
      </c>
      <c r="R175" s="229" t="str">
        <f t="shared" si="35"/>
        <v/>
      </c>
      <c r="S175" s="233" t="str">
        <f>IFERROR(INDEX('G-1 All Habitats'!$B$3:$B$129,MATCH(R175,'G-1 All Habitats'!$A$3:$A$129,0)),"")</f>
        <v/>
      </c>
      <c r="T175" s="507" t="str">
        <f t="shared" si="27"/>
        <v/>
      </c>
      <c r="U175" s="524" t="str">
        <f t="shared" si="28"/>
        <v/>
      </c>
      <c r="V175" s="523" t="str">
        <f t="shared" si="25"/>
        <v/>
      </c>
      <c r="W175" s="520" t="str">
        <f>IF(S175="","",VLOOKUP(S175,'G-1 All Habitats'!$B$2:$M$129,10,FALSE))</f>
        <v/>
      </c>
      <c r="X175" s="520" t="str">
        <f>IFERROR(VLOOKUP(W175,'G-1 All Habitats'!$V$3:$W$7,2,FALSE),"")</f>
        <v/>
      </c>
      <c r="Y175" s="203"/>
      <c r="Z175" s="524" t="str">
        <f>IFERROR(INDEX('G-8 Condition Look up'!$A$3:$H$130,MATCH(S175,'G-8 Condition Look up'!$A$3:$A$130,0),MATCH(Y175,'G-8 Condition Look up'!$A$3:$H$3,0)),"")</f>
        <v/>
      </c>
      <c r="AA175" s="145"/>
      <c r="AB175" s="540" t="str">
        <f>IF(AA175="","",IF(VLOOKUP(AA175,'G-3 Multipliers'!$L$3:$N$6,2,FALSE)=0,"Spatial Data Missing ⚠",VLOOKUP(AA175,'G-3 Multipliers'!$L$3:$N$6,2,FALSE)))</f>
        <v/>
      </c>
      <c r="AC175" s="524" t="str">
        <f>IF(AA175="","",IF(VLOOKUP(AA175,'G-3 Multipliers'!$L$3:$N$6,3,FALSE)=0,"Spatial Data Missing ⚠",VLOOKUP(AA175,'G-3 Multipliers'!$L$3:$N$6,3,FALSE)))</f>
        <v/>
      </c>
      <c r="AD175" s="537" t="str">
        <f t="shared" si="26"/>
        <v/>
      </c>
      <c r="AE175" s="203"/>
      <c r="AF175" s="203"/>
      <c r="AG175" s="520" t="str">
        <f t="shared" si="29"/>
        <v/>
      </c>
      <c r="AH175" s="544" t="str">
        <f t="shared" si="30"/>
        <v/>
      </c>
      <c r="AI175" s="525" t="str">
        <f>IF(AH175="Check Data ⚠","Check Data ⚠",IFERROR(VLOOKUP(AH175,'G-4 Temporal multipliers'!$A$4:$C$36,3,FALSE),""))</f>
        <v/>
      </c>
      <c r="AJ175" s="537" t="str">
        <f>IF(S175="","",VLOOKUP(S175,'G-3 Multipliers'!$A$2:$E$129,4,FALSE))</f>
        <v/>
      </c>
      <c r="AK175" s="520" t="str">
        <f t="shared" si="31"/>
        <v/>
      </c>
      <c r="AL175" s="520" t="str">
        <f t="shared" si="32"/>
        <v/>
      </c>
      <c r="AM175" s="524" t="str">
        <f>IFERROR(IF(F175="","",IF(AH175="Check Data ⚠","Check Data ⚠",VLOOKUP(AL175, 'G-3 Multipliers'!$P$2:$Q$6,2,FALSE))),"")</f>
        <v/>
      </c>
      <c r="AN175" s="197"/>
      <c r="AO175" s="540" t="str">
        <f>IF(AN175="","",IF(VLOOKUP(AN175,'G-3 Multipliers'!$S$3:$T$9,2,FALSE)=0,"Spatial Data Missing ⚠",VLOOKUP(AN175,'G-3 Multipliers'!$S$3:$T$9,2,FALSE)))</f>
        <v/>
      </c>
      <c r="AP175" s="513" t="str">
        <f t="shared" si="33"/>
        <v/>
      </c>
      <c r="AQ175" s="231"/>
      <c r="AR175" s="150"/>
    </row>
    <row r="176" spans="1:44" x14ac:dyDescent="0.25">
      <c r="A176" s="31" t="str">
        <f>IF(E176="","",IF(ISNA(VLOOKUP($E176,'D-1 Off Site Habitat Baseline'!$D$1:$O$258,2,FALSE)),"",(VLOOKUP($E176,'D-1 Off Site Habitat Baseline'!$D$1:$O$258,2,FALSE))))</f>
        <v/>
      </c>
      <c r="B176" s="31" t="str">
        <f>IF(E176="","",IF(ISNA(VLOOKUP($E176,'D-1 Off Site Habitat Baseline'!$D$1:$O$258,3,FALSE)),"",(VLOOKUP($E176,'D-1 Off Site Habitat Baseline'!$D$1:$O$258,3,FALSE))))</f>
        <v/>
      </c>
      <c r="C176" s="31" t="str">
        <f>IFERROR(INDEX('G-8 Condition Look up'!$I$4:$I$130,MATCH(S176,'G-8 Condition Look up'!$A$4:$A$130,0)),"")</f>
        <v/>
      </c>
      <c r="E176" s="547" t="str">
        <f>'D-1 Off Site Habitat Baseline'!AL175</f>
        <v/>
      </c>
      <c r="F176" s="520" t="str">
        <f>IF(E176="","",IF(ISNA(VLOOKUP($E176,'D-1 Off Site Habitat Baseline'!$D$1:$O$258,4,FALSE)),"",(VLOOKUP($E176,'D-1 Off Site Habitat Baseline'!$D$1:$O$258,4,FALSE))))</f>
        <v/>
      </c>
      <c r="G176" s="520" t="str">
        <f>IF(E176="","",IF(ISNA(VLOOKUP($E176,'D-1 Off Site Habitat Baseline'!$D$1:$O$258,5,FALSE)),"",(VLOOKUP($E176,'D-1 Off Site Habitat Baseline'!$D$1:$O$258,5,FALSE))))</f>
        <v/>
      </c>
      <c r="H176" s="520" t="str">
        <f>IF(E176="","",IF(ISNA(VLOOKUP($E176,'D-1 Off Site Habitat Baseline'!$D$1:$O$258,6,FALSE)),"",(VLOOKUP($E176,'D-1 Off Site Habitat Baseline'!$D$1:$O$258,6,FALSE))))</f>
        <v/>
      </c>
      <c r="I176" s="520" t="str">
        <f>IF(E176="","",IF(ISNA(VLOOKUP($E176,'D-1 Off Site Habitat Baseline'!$D$1:$O$258,7,FALSE)),"",(VLOOKUP($E176,'D-1 Off Site Habitat Baseline'!$D$1:$O$258,7,FALSE))))</f>
        <v/>
      </c>
      <c r="J176" s="520" t="str">
        <f>IF(E176="","",IF(ISNA(VLOOKUP($E176,'D-1 Off Site Habitat Baseline'!$D$1:$O$258,8,FALSE)),"",(VLOOKUP($E176,'D-1 Off Site Habitat Baseline'!$D$1:$O$258,8,FALSE))))</f>
        <v/>
      </c>
      <c r="K176" s="520" t="str">
        <f>IF(E176="","",IF(ISNA(VLOOKUP($E176,'D-1 Off Site Habitat Baseline'!$D$1:$O$258,9,FALSE)),"",(VLOOKUP($E176,'D-1 Off Site Habitat Baseline'!$D$1:$O$258,9,FALSE))))</f>
        <v/>
      </c>
      <c r="L176" s="520" t="str">
        <f>IF(E176="","",IF(ISNA(VLOOKUP($E176,'D-1 Off Site Habitat Baseline'!$D$1:$O$258,11,FALSE)),"",(VLOOKUP($E176,'D-1 Off Site Habitat Baseline'!$D$1:$O$258,11,FALSE))))</f>
        <v/>
      </c>
      <c r="M176" s="520" t="str">
        <f>IF(E176="","",IF(ISNA(VLOOKUP($E176,'D-1 Off Site Habitat Baseline'!$D$1:$O$258,12,FALSE)),"",(VLOOKUP($E176,'D-1 Off Site Habitat Baseline'!$D$1:$O$258,12,FALSE))))</f>
        <v/>
      </c>
      <c r="N176" s="520" t="str">
        <f>IF(E176="","",IF(ISNA(VLOOKUP($E176,'D-1 Off Site Habitat Baseline'!$D$1:$X$258,14,FALSE)),"",(VLOOKUP($E176,'D-1 Off Site Habitat Baseline'!$D$1:$X$258,14,FALSE))))</f>
        <v/>
      </c>
      <c r="O176" s="524" t="str">
        <f>IF(E176="","",IF(ISNA(VLOOKUP($E176,'D-1 Off Site Habitat Baseline'!$D$1:$X$258,13,FALSE)),"",(VLOOKUP($E176,'D-1 Off Site Habitat Baseline'!$D$1:$X$258,13,FALSE))))</f>
        <v/>
      </c>
      <c r="P176" s="232" t="str">
        <f>IFERROR(INDEX('G-1 All Habitats'!$AG$3:$AG$15,MATCH(Q176,'G-1 All Habitats'!$AF$3:$AF$15,0)),"")</f>
        <v/>
      </c>
      <c r="Q176" s="228" t="str">
        <f t="shared" si="34"/>
        <v/>
      </c>
      <c r="R176" s="229" t="str">
        <f t="shared" si="35"/>
        <v/>
      </c>
      <c r="S176" s="233" t="str">
        <f>IFERROR(INDEX('G-1 All Habitats'!$B$3:$B$129,MATCH(R176,'G-1 All Habitats'!$A$3:$A$129,0)),"")</f>
        <v/>
      </c>
      <c r="T176" s="507" t="str">
        <f t="shared" si="27"/>
        <v/>
      </c>
      <c r="U176" s="524" t="str">
        <f t="shared" si="28"/>
        <v/>
      </c>
      <c r="V176" s="523" t="str">
        <f t="shared" si="25"/>
        <v/>
      </c>
      <c r="W176" s="520" t="str">
        <f>IF(S176="","",VLOOKUP(S176,'G-1 All Habitats'!$B$2:$M$129,10,FALSE))</f>
        <v/>
      </c>
      <c r="X176" s="520" t="str">
        <f>IFERROR(VLOOKUP(W176,'G-1 All Habitats'!$V$3:$W$7,2,FALSE),"")</f>
        <v/>
      </c>
      <c r="Y176" s="203"/>
      <c r="Z176" s="524" t="str">
        <f>IFERROR(INDEX('G-8 Condition Look up'!$A$3:$H$130,MATCH(S176,'G-8 Condition Look up'!$A$3:$A$130,0),MATCH(Y176,'G-8 Condition Look up'!$A$3:$H$3,0)),"")</f>
        <v/>
      </c>
      <c r="AA176" s="145"/>
      <c r="AB176" s="540" t="str">
        <f>IF(AA176="","",IF(VLOOKUP(AA176,'G-3 Multipliers'!$L$3:$N$6,2,FALSE)=0,"Spatial Data Missing ⚠",VLOOKUP(AA176,'G-3 Multipliers'!$L$3:$N$6,2,FALSE)))</f>
        <v/>
      </c>
      <c r="AC176" s="524" t="str">
        <f>IF(AA176="","",IF(VLOOKUP(AA176,'G-3 Multipliers'!$L$3:$N$6,3,FALSE)=0,"Spatial Data Missing ⚠",VLOOKUP(AA176,'G-3 Multipliers'!$L$3:$N$6,3,FALSE)))</f>
        <v/>
      </c>
      <c r="AD176" s="537" t="str">
        <f t="shared" si="26"/>
        <v/>
      </c>
      <c r="AE176" s="203"/>
      <c r="AF176" s="203"/>
      <c r="AG176" s="520" t="str">
        <f t="shared" si="29"/>
        <v/>
      </c>
      <c r="AH176" s="544" t="str">
        <f t="shared" si="30"/>
        <v/>
      </c>
      <c r="AI176" s="525" t="str">
        <f>IF(AH176="Check Data ⚠","Check Data ⚠",IFERROR(VLOOKUP(AH176,'G-4 Temporal multipliers'!$A$4:$C$36,3,FALSE),""))</f>
        <v/>
      </c>
      <c r="AJ176" s="537" t="str">
        <f>IF(S176="","",VLOOKUP(S176,'G-3 Multipliers'!$A$2:$E$129,4,FALSE))</f>
        <v/>
      </c>
      <c r="AK176" s="520" t="str">
        <f t="shared" si="31"/>
        <v/>
      </c>
      <c r="AL176" s="520" t="str">
        <f t="shared" si="32"/>
        <v/>
      </c>
      <c r="AM176" s="524" t="str">
        <f>IFERROR(IF(F176="","",IF(AH176="Check Data ⚠","Check Data ⚠",VLOOKUP(AL176, 'G-3 Multipliers'!$P$2:$Q$6,2,FALSE))),"")</f>
        <v/>
      </c>
      <c r="AN176" s="197"/>
      <c r="AO176" s="540" t="str">
        <f>IF(AN176="","",IF(VLOOKUP(AN176,'G-3 Multipliers'!$S$3:$T$9,2,FALSE)=0,"Spatial Data Missing ⚠",VLOOKUP(AN176,'G-3 Multipliers'!$S$3:$T$9,2,FALSE)))</f>
        <v/>
      </c>
      <c r="AP176" s="513" t="str">
        <f t="shared" si="33"/>
        <v/>
      </c>
      <c r="AQ176" s="231"/>
      <c r="AR176" s="150"/>
    </row>
    <row r="177" spans="1:44" x14ac:dyDescent="0.25">
      <c r="A177" s="31" t="str">
        <f>IF(E177="","",IF(ISNA(VLOOKUP($E177,'D-1 Off Site Habitat Baseline'!$D$1:$O$258,2,FALSE)),"",(VLOOKUP($E177,'D-1 Off Site Habitat Baseline'!$D$1:$O$258,2,FALSE))))</f>
        <v/>
      </c>
      <c r="B177" s="31" t="str">
        <f>IF(E177="","",IF(ISNA(VLOOKUP($E177,'D-1 Off Site Habitat Baseline'!$D$1:$O$258,3,FALSE)),"",(VLOOKUP($E177,'D-1 Off Site Habitat Baseline'!$D$1:$O$258,3,FALSE))))</f>
        <v/>
      </c>
      <c r="C177" s="31" t="str">
        <f>IFERROR(INDEX('G-8 Condition Look up'!$I$4:$I$130,MATCH(S177,'G-8 Condition Look up'!$A$4:$A$130,0)),"")</f>
        <v/>
      </c>
      <c r="E177" s="547" t="str">
        <f>'D-1 Off Site Habitat Baseline'!AL176</f>
        <v/>
      </c>
      <c r="F177" s="520" t="str">
        <f>IF(E177="","",IF(ISNA(VLOOKUP($E177,'D-1 Off Site Habitat Baseline'!$D$1:$O$258,4,FALSE)),"",(VLOOKUP($E177,'D-1 Off Site Habitat Baseline'!$D$1:$O$258,4,FALSE))))</f>
        <v/>
      </c>
      <c r="G177" s="520" t="str">
        <f>IF(E177="","",IF(ISNA(VLOOKUP($E177,'D-1 Off Site Habitat Baseline'!$D$1:$O$258,5,FALSE)),"",(VLOOKUP($E177,'D-1 Off Site Habitat Baseline'!$D$1:$O$258,5,FALSE))))</f>
        <v/>
      </c>
      <c r="H177" s="520" t="str">
        <f>IF(E177="","",IF(ISNA(VLOOKUP($E177,'D-1 Off Site Habitat Baseline'!$D$1:$O$258,6,FALSE)),"",(VLOOKUP($E177,'D-1 Off Site Habitat Baseline'!$D$1:$O$258,6,FALSE))))</f>
        <v/>
      </c>
      <c r="I177" s="520" t="str">
        <f>IF(E177="","",IF(ISNA(VLOOKUP($E177,'D-1 Off Site Habitat Baseline'!$D$1:$O$258,7,FALSE)),"",(VLOOKUP($E177,'D-1 Off Site Habitat Baseline'!$D$1:$O$258,7,FALSE))))</f>
        <v/>
      </c>
      <c r="J177" s="520" t="str">
        <f>IF(E177="","",IF(ISNA(VLOOKUP($E177,'D-1 Off Site Habitat Baseline'!$D$1:$O$258,8,FALSE)),"",(VLOOKUP($E177,'D-1 Off Site Habitat Baseline'!$D$1:$O$258,8,FALSE))))</f>
        <v/>
      </c>
      <c r="K177" s="520" t="str">
        <f>IF(E177="","",IF(ISNA(VLOOKUP($E177,'D-1 Off Site Habitat Baseline'!$D$1:$O$258,9,FALSE)),"",(VLOOKUP($E177,'D-1 Off Site Habitat Baseline'!$D$1:$O$258,9,FALSE))))</f>
        <v/>
      </c>
      <c r="L177" s="520" t="str">
        <f>IF(E177="","",IF(ISNA(VLOOKUP($E177,'D-1 Off Site Habitat Baseline'!$D$1:$O$258,11,FALSE)),"",(VLOOKUP($E177,'D-1 Off Site Habitat Baseline'!$D$1:$O$258,11,FALSE))))</f>
        <v/>
      </c>
      <c r="M177" s="520" t="str">
        <f>IF(E177="","",IF(ISNA(VLOOKUP($E177,'D-1 Off Site Habitat Baseline'!$D$1:$O$258,12,FALSE)),"",(VLOOKUP($E177,'D-1 Off Site Habitat Baseline'!$D$1:$O$258,12,FALSE))))</f>
        <v/>
      </c>
      <c r="N177" s="520" t="str">
        <f>IF(E177="","",IF(ISNA(VLOOKUP($E177,'D-1 Off Site Habitat Baseline'!$D$1:$X$258,14,FALSE)),"",(VLOOKUP($E177,'D-1 Off Site Habitat Baseline'!$D$1:$X$258,14,FALSE))))</f>
        <v/>
      </c>
      <c r="O177" s="524" t="str">
        <f>IF(E177="","",IF(ISNA(VLOOKUP($E177,'D-1 Off Site Habitat Baseline'!$D$1:$X$258,13,FALSE)),"",(VLOOKUP($E177,'D-1 Off Site Habitat Baseline'!$D$1:$X$258,13,FALSE))))</f>
        <v/>
      </c>
      <c r="P177" s="232" t="str">
        <f>IFERROR(INDEX('G-1 All Habitats'!$AG$3:$AG$15,MATCH(Q177,'G-1 All Habitats'!$AF$3:$AF$15,0)),"")</f>
        <v/>
      </c>
      <c r="Q177" s="228" t="str">
        <f t="shared" si="34"/>
        <v/>
      </c>
      <c r="R177" s="229" t="str">
        <f t="shared" si="35"/>
        <v/>
      </c>
      <c r="S177" s="233" t="str">
        <f>IFERROR(INDEX('G-1 All Habitats'!$B$3:$B$129,MATCH(R177,'G-1 All Habitats'!$A$3:$A$129,0)),"")</f>
        <v/>
      </c>
      <c r="T177" s="507" t="str">
        <f t="shared" si="27"/>
        <v/>
      </c>
      <c r="U177" s="524" t="str">
        <f t="shared" si="28"/>
        <v/>
      </c>
      <c r="V177" s="523" t="str">
        <f t="shared" si="25"/>
        <v/>
      </c>
      <c r="W177" s="520" t="str">
        <f>IF(S177="","",VLOOKUP(S177,'G-1 All Habitats'!$B$2:$M$129,10,FALSE))</f>
        <v/>
      </c>
      <c r="X177" s="520" t="str">
        <f>IFERROR(VLOOKUP(W177,'G-1 All Habitats'!$V$3:$W$7,2,FALSE),"")</f>
        <v/>
      </c>
      <c r="Y177" s="203"/>
      <c r="Z177" s="524" t="str">
        <f>IFERROR(INDEX('G-8 Condition Look up'!$A$3:$H$130,MATCH(S177,'G-8 Condition Look up'!$A$3:$A$130,0),MATCH(Y177,'G-8 Condition Look up'!$A$3:$H$3,0)),"")</f>
        <v/>
      </c>
      <c r="AA177" s="145"/>
      <c r="AB177" s="540" t="str">
        <f>IF(AA177="","",IF(VLOOKUP(AA177,'G-3 Multipliers'!$L$3:$N$6,2,FALSE)=0,"Spatial Data Missing ⚠",VLOOKUP(AA177,'G-3 Multipliers'!$L$3:$N$6,2,FALSE)))</f>
        <v/>
      </c>
      <c r="AC177" s="524" t="str">
        <f>IF(AA177="","",IF(VLOOKUP(AA177,'G-3 Multipliers'!$L$3:$N$6,3,FALSE)=0,"Spatial Data Missing ⚠",VLOOKUP(AA177,'G-3 Multipliers'!$L$3:$N$6,3,FALSE)))</f>
        <v/>
      </c>
      <c r="AD177" s="537" t="str">
        <f t="shared" si="26"/>
        <v/>
      </c>
      <c r="AE177" s="203"/>
      <c r="AF177" s="203"/>
      <c r="AG177" s="520" t="str">
        <f t="shared" si="29"/>
        <v/>
      </c>
      <c r="AH177" s="544" t="str">
        <f t="shared" si="30"/>
        <v/>
      </c>
      <c r="AI177" s="525" t="str">
        <f>IF(AH177="Check Data ⚠","Check Data ⚠",IFERROR(VLOOKUP(AH177,'G-4 Temporal multipliers'!$A$4:$C$36,3,FALSE),""))</f>
        <v/>
      </c>
      <c r="AJ177" s="537" t="str">
        <f>IF(S177="","",VLOOKUP(S177,'G-3 Multipliers'!$A$2:$E$129,4,FALSE))</f>
        <v/>
      </c>
      <c r="AK177" s="520" t="str">
        <f t="shared" si="31"/>
        <v/>
      </c>
      <c r="AL177" s="520" t="str">
        <f t="shared" si="32"/>
        <v/>
      </c>
      <c r="AM177" s="524" t="str">
        <f>IFERROR(IF(F177="","",IF(AH177="Check Data ⚠","Check Data ⚠",VLOOKUP(AL177, 'G-3 Multipliers'!$P$2:$Q$6,2,FALSE))),"")</f>
        <v/>
      </c>
      <c r="AN177" s="197"/>
      <c r="AO177" s="540" t="str">
        <f>IF(AN177="","",IF(VLOOKUP(AN177,'G-3 Multipliers'!$S$3:$T$9,2,FALSE)=0,"Spatial Data Missing ⚠",VLOOKUP(AN177,'G-3 Multipliers'!$S$3:$T$9,2,FALSE)))</f>
        <v/>
      </c>
      <c r="AP177" s="513" t="str">
        <f t="shared" si="33"/>
        <v/>
      </c>
      <c r="AQ177" s="231"/>
      <c r="AR177" s="150"/>
    </row>
    <row r="178" spans="1:44" x14ac:dyDescent="0.25">
      <c r="A178" s="31" t="str">
        <f>IF(E178="","",IF(ISNA(VLOOKUP($E178,'D-1 Off Site Habitat Baseline'!$D$1:$O$258,2,FALSE)),"",(VLOOKUP($E178,'D-1 Off Site Habitat Baseline'!$D$1:$O$258,2,FALSE))))</f>
        <v/>
      </c>
      <c r="B178" s="31" t="str">
        <f>IF(E178="","",IF(ISNA(VLOOKUP($E178,'D-1 Off Site Habitat Baseline'!$D$1:$O$258,3,FALSE)),"",(VLOOKUP($E178,'D-1 Off Site Habitat Baseline'!$D$1:$O$258,3,FALSE))))</f>
        <v/>
      </c>
      <c r="C178" s="31" t="str">
        <f>IFERROR(INDEX('G-8 Condition Look up'!$I$4:$I$130,MATCH(S178,'G-8 Condition Look up'!$A$4:$A$130,0)),"")</f>
        <v/>
      </c>
      <c r="E178" s="547" t="str">
        <f>'D-1 Off Site Habitat Baseline'!AL177</f>
        <v/>
      </c>
      <c r="F178" s="520" t="str">
        <f>IF(E178="","",IF(ISNA(VLOOKUP($E178,'D-1 Off Site Habitat Baseline'!$D$1:$O$258,4,FALSE)),"",(VLOOKUP($E178,'D-1 Off Site Habitat Baseline'!$D$1:$O$258,4,FALSE))))</f>
        <v/>
      </c>
      <c r="G178" s="520" t="str">
        <f>IF(E178="","",IF(ISNA(VLOOKUP($E178,'D-1 Off Site Habitat Baseline'!$D$1:$O$258,5,FALSE)),"",(VLOOKUP($E178,'D-1 Off Site Habitat Baseline'!$D$1:$O$258,5,FALSE))))</f>
        <v/>
      </c>
      <c r="H178" s="520" t="str">
        <f>IF(E178="","",IF(ISNA(VLOOKUP($E178,'D-1 Off Site Habitat Baseline'!$D$1:$O$258,6,FALSE)),"",(VLOOKUP($E178,'D-1 Off Site Habitat Baseline'!$D$1:$O$258,6,FALSE))))</f>
        <v/>
      </c>
      <c r="I178" s="520" t="str">
        <f>IF(E178="","",IF(ISNA(VLOOKUP($E178,'D-1 Off Site Habitat Baseline'!$D$1:$O$258,7,FALSE)),"",(VLOOKUP($E178,'D-1 Off Site Habitat Baseline'!$D$1:$O$258,7,FALSE))))</f>
        <v/>
      </c>
      <c r="J178" s="520" t="str">
        <f>IF(E178="","",IF(ISNA(VLOOKUP($E178,'D-1 Off Site Habitat Baseline'!$D$1:$O$258,8,FALSE)),"",(VLOOKUP($E178,'D-1 Off Site Habitat Baseline'!$D$1:$O$258,8,FALSE))))</f>
        <v/>
      </c>
      <c r="K178" s="520" t="str">
        <f>IF(E178="","",IF(ISNA(VLOOKUP($E178,'D-1 Off Site Habitat Baseline'!$D$1:$O$258,9,FALSE)),"",(VLOOKUP($E178,'D-1 Off Site Habitat Baseline'!$D$1:$O$258,9,FALSE))))</f>
        <v/>
      </c>
      <c r="L178" s="520" t="str">
        <f>IF(E178="","",IF(ISNA(VLOOKUP($E178,'D-1 Off Site Habitat Baseline'!$D$1:$O$258,11,FALSE)),"",(VLOOKUP($E178,'D-1 Off Site Habitat Baseline'!$D$1:$O$258,11,FALSE))))</f>
        <v/>
      </c>
      <c r="M178" s="520" t="str">
        <f>IF(E178="","",IF(ISNA(VLOOKUP($E178,'D-1 Off Site Habitat Baseline'!$D$1:$O$258,12,FALSE)),"",(VLOOKUP($E178,'D-1 Off Site Habitat Baseline'!$D$1:$O$258,12,FALSE))))</f>
        <v/>
      </c>
      <c r="N178" s="520" t="str">
        <f>IF(E178="","",IF(ISNA(VLOOKUP($E178,'D-1 Off Site Habitat Baseline'!$D$1:$X$258,14,FALSE)),"",(VLOOKUP($E178,'D-1 Off Site Habitat Baseline'!$D$1:$X$258,14,FALSE))))</f>
        <v/>
      </c>
      <c r="O178" s="524" t="str">
        <f>IF(E178="","",IF(ISNA(VLOOKUP($E178,'D-1 Off Site Habitat Baseline'!$D$1:$X$258,13,FALSE)),"",(VLOOKUP($E178,'D-1 Off Site Habitat Baseline'!$D$1:$X$258,13,FALSE))))</f>
        <v/>
      </c>
      <c r="P178" s="232" t="str">
        <f>IFERROR(INDEX('G-1 All Habitats'!$AG$3:$AG$15,MATCH(Q178,'G-1 All Habitats'!$AF$3:$AF$15,0)),"")</f>
        <v/>
      </c>
      <c r="Q178" s="228" t="str">
        <f t="shared" si="34"/>
        <v/>
      </c>
      <c r="R178" s="229" t="str">
        <f t="shared" si="35"/>
        <v/>
      </c>
      <c r="S178" s="233" t="str">
        <f>IFERROR(INDEX('G-1 All Habitats'!$B$3:$B$129,MATCH(R178,'G-1 All Habitats'!$A$3:$A$129,0)),"")</f>
        <v/>
      </c>
      <c r="T178" s="507" t="str">
        <f t="shared" si="27"/>
        <v/>
      </c>
      <c r="U178" s="524" t="str">
        <f t="shared" si="28"/>
        <v/>
      </c>
      <c r="V178" s="523" t="str">
        <f t="shared" si="25"/>
        <v/>
      </c>
      <c r="W178" s="520" t="str">
        <f>IF(S178="","",VLOOKUP(S178,'G-1 All Habitats'!$B$2:$M$129,10,FALSE))</f>
        <v/>
      </c>
      <c r="X178" s="520" t="str">
        <f>IFERROR(VLOOKUP(W178,'G-1 All Habitats'!$V$3:$W$7,2,FALSE),"")</f>
        <v/>
      </c>
      <c r="Y178" s="203"/>
      <c r="Z178" s="524" t="str">
        <f>IFERROR(INDEX('G-8 Condition Look up'!$A$3:$H$130,MATCH(S178,'G-8 Condition Look up'!$A$3:$A$130,0),MATCH(Y178,'G-8 Condition Look up'!$A$3:$H$3,0)),"")</f>
        <v/>
      </c>
      <c r="AA178" s="145"/>
      <c r="AB178" s="540" t="str">
        <f>IF(AA178="","",IF(VLOOKUP(AA178,'G-3 Multipliers'!$L$3:$N$6,2,FALSE)=0,"Spatial Data Missing ⚠",VLOOKUP(AA178,'G-3 Multipliers'!$L$3:$N$6,2,FALSE)))</f>
        <v/>
      </c>
      <c r="AC178" s="524" t="str">
        <f>IF(AA178="","",IF(VLOOKUP(AA178,'G-3 Multipliers'!$L$3:$N$6,3,FALSE)=0,"Spatial Data Missing ⚠",VLOOKUP(AA178,'G-3 Multipliers'!$L$3:$N$6,3,FALSE)))</f>
        <v/>
      </c>
      <c r="AD178" s="537" t="str">
        <f t="shared" si="26"/>
        <v/>
      </c>
      <c r="AE178" s="203"/>
      <c r="AF178" s="203"/>
      <c r="AG178" s="520" t="str">
        <f t="shared" si="29"/>
        <v/>
      </c>
      <c r="AH178" s="544" t="str">
        <f t="shared" si="30"/>
        <v/>
      </c>
      <c r="AI178" s="525" t="str">
        <f>IF(AH178="Check Data ⚠","Check Data ⚠",IFERROR(VLOOKUP(AH178,'G-4 Temporal multipliers'!$A$4:$C$36,3,FALSE),""))</f>
        <v/>
      </c>
      <c r="AJ178" s="537" t="str">
        <f>IF(S178="","",VLOOKUP(S178,'G-3 Multipliers'!$A$2:$E$129,4,FALSE))</f>
        <v/>
      </c>
      <c r="AK178" s="520" t="str">
        <f t="shared" si="31"/>
        <v/>
      </c>
      <c r="AL178" s="520" t="str">
        <f t="shared" si="32"/>
        <v/>
      </c>
      <c r="AM178" s="524" t="str">
        <f>IFERROR(IF(F178="","",IF(AH178="Check Data ⚠","Check Data ⚠",VLOOKUP(AL178, 'G-3 Multipliers'!$P$2:$Q$6,2,FALSE))),"")</f>
        <v/>
      </c>
      <c r="AN178" s="197"/>
      <c r="AO178" s="540" t="str">
        <f>IF(AN178="","",IF(VLOOKUP(AN178,'G-3 Multipliers'!$S$3:$T$9,2,FALSE)=0,"Spatial Data Missing ⚠",VLOOKUP(AN178,'G-3 Multipliers'!$S$3:$T$9,2,FALSE)))</f>
        <v/>
      </c>
      <c r="AP178" s="513" t="str">
        <f t="shared" si="33"/>
        <v/>
      </c>
      <c r="AQ178" s="231"/>
      <c r="AR178" s="150"/>
    </row>
    <row r="179" spans="1:44" x14ac:dyDescent="0.25">
      <c r="A179" s="31" t="str">
        <f>IF(E179="","",IF(ISNA(VLOOKUP($E179,'D-1 Off Site Habitat Baseline'!$D$1:$O$258,2,FALSE)),"",(VLOOKUP($E179,'D-1 Off Site Habitat Baseline'!$D$1:$O$258,2,FALSE))))</f>
        <v/>
      </c>
      <c r="B179" s="31" t="str">
        <f>IF(E179="","",IF(ISNA(VLOOKUP($E179,'D-1 Off Site Habitat Baseline'!$D$1:$O$258,3,FALSE)),"",(VLOOKUP($E179,'D-1 Off Site Habitat Baseline'!$D$1:$O$258,3,FALSE))))</f>
        <v/>
      </c>
      <c r="C179" s="31" t="str">
        <f>IFERROR(INDEX('G-8 Condition Look up'!$I$4:$I$130,MATCH(S179,'G-8 Condition Look up'!$A$4:$A$130,0)),"")</f>
        <v/>
      </c>
      <c r="E179" s="547" t="str">
        <f>'D-1 Off Site Habitat Baseline'!AL178</f>
        <v/>
      </c>
      <c r="F179" s="520" t="str">
        <f>IF(E179="","",IF(ISNA(VLOOKUP($E179,'D-1 Off Site Habitat Baseline'!$D$1:$O$258,4,FALSE)),"",(VLOOKUP($E179,'D-1 Off Site Habitat Baseline'!$D$1:$O$258,4,FALSE))))</f>
        <v/>
      </c>
      <c r="G179" s="520" t="str">
        <f>IF(E179="","",IF(ISNA(VLOOKUP($E179,'D-1 Off Site Habitat Baseline'!$D$1:$O$258,5,FALSE)),"",(VLOOKUP($E179,'D-1 Off Site Habitat Baseline'!$D$1:$O$258,5,FALSE))))</f>
        <v/>
      </c>
      <c r="H179" s="520" t="str">
        <f>IF(E179="","",IF(ISNA(VLOOKUP($E179,'D-1 Off Site Habitat Baseline'!$D$1:$O$258,6,FALSE)),"",(VLOOKUP($E179,'D-1 Off Site Habitat Baseline'!$D$1:$O$258,6,FALSE))))</f>
        <v/>
      </c>
      <c r="I179" s="520" t="str">
        <f>IF(E179="","",IF(ISNA(VLOOKUP($E179,'D-1 Off Site Habitat Baseline'!$D$1:$O$258,7,FALSE)),"",(VLOOKUP($E179,'D-1 Off Site Habitat Baseline'!$D$1:$O$258,7,FALSE))))</f>
        <v/>
      </c>
      <c r="J179" s="520" t="str">
        <f>IF(E179="","",IF(ISNA(VLOOKUP($E179,'D-1 Off Site Habitat Baseline'!$D$1:$O$258,8,FALSE)),"",(VLOOKUP($E179,'D-1 Off Site Habitat Baseline'!$D$1:$O$258,8,FALSE))))</f>
        <v/>
      </c>
      <c r="K179" s="520" t="str">
        <f>IF(E179="","",IF(ISNA(VLOOKUP($E179,'D-1 Off Site Habitat Baseline'!$D$1:$O$258,9,FALSE)),"",(VLOOKUP($E179,'D-1 Off Site Habitat Baseline'!$D$1:$O$258,9,FALSE))))</f>
        <v/>
      </c>
      <c r="L179" s="520" t="str">
        <f>IF(E179="","",IF(ISNA(VLOOKUP($E179,'D-1 Off Site Habitat Baseline'!$D$1:$O$258,11,FALSE)),"",(VLOOKUP($E179,'D-1 Off Site Habitat Baseline'!$D$1:$O$258,11,FALSE))))</f>
        <v/>
      </c>
      <c r="M179" s="520" t="str">
        <f>IF(E179="","",IF(ISNA(VLOOKUP($E179,'D-1 Off Site Habitat Baseline'!$D$1:$O$258,12,FALSE)),"",(VLOOKUP($E179,'D-1 Off Site Habitat Baseline'!$D$1:$O$258,12,FALSE))))</f>
        <v/>
      </c>
      <c r="N179" s="520" t="str">
        <f>IF(E179="","",IF(ISNA(VLOOKUP($E179,'D-1 Off Site Habitat Baseline'!$D$1:$X$258,14,FALSE)),"",(VLOOKUP($E179,'D-1 Off Site Habitat Baseline'!$D$1:$X$258,14,FALSE))))</f>
        <v/>
      </c>
      <c r="O179" s="524" t="str">
        <f>IF(E179="","",IF(ISNA(VLOOKUP($E179,'D-1 Off Site Habitat Baseline'!$D$1:$X$258,13,FALSE)),"",(VLOOKUP($E179,'D-1 Off Site Habitat Baseline'!$D$1:$X$258,13,FALSE))))</f>
        <v/>
      </c>
      <c r="P179" s="232" t="str">
        <f>IFERROR(INDEX('G-1 All Habitats'!$AG$3:$AG$15,MATCH(Q179,'G-1 All Habitats'!$AF$3:$AF$15,0)),"")</f>
        <v/>
      </c>
      <c r="Q179" s="228" t="str">
        <f t="shared" si="34"/>
        <v/>
      </c>
      <c r="R179" s="229" t="str">
        <f t="shared" si="35"/>
        <v/>
      </c>
      <c r="S179" s="233" t="str">
        <f>IFERROR(INDEX('G-1 All Habitats'!$B$3:$B$129,MATCH(R179,'G-1 All Habitats'!$A$3:$A$129,0)),"")</f>
        <v/>
      </c>
      <c r="T179" s="507" t="str">
        <f t="shared" si="27"/>
        <v/>
      </c>
      <c r="U179" s="524" t="str">
        <f t="shared" si="28"/>
        <v/>
      </c>
      <c r="V179" s="523" t="str">
        <f t="shared" si="25"/>
        <v/>
      </c>
      <c r="W179" s="520" t="str">
        <f>IF(S179="","",VLOOKUP(S179,'G-1 All Habitats'!$B$2:$M$129,10,FALSE))</f>
        <v/>
      </c>
      <c r="X179" s="520" t="str">
        <f>IFERROR(VLOOKUP(W179,'G-1 All Habitats'!$V$3:$W$7,2,FALSE),"")</f>
        <v/>
      </c>
      <c r="Y179" s="203"/>
      <c r="Z179" s="524" t="str">
        <f>IFERROR(INDEX('G-8 Condition Look up'!$A$3:$H$130,MATCH(S179,'G-8 Condition Look up'!$A$3:$A$130,0),MATCH(Y179,'G-8 Condition Look up'!$A$3:$H$3,0)),"")</f>
        <v/>
      </c>
      <c r="AA179" s="145"/>
      <c r="AB179" s="540" t="str">
        <f>IF(AA179="","",IF(VLOOKUP(AA179,'G-3 Multipliers'!$L$3:$N$6,2,FALSE)=0,"Spatial Data Missing ⚠",VLOOKUP(AA179,'G-3 Multipliers'!$L$3:$N$6,2,FALSE)))</f>
        <v/>
      </c>
      <c r="AC179" s="524" t="str">
        <f>IF(AA179="","",IF(VLOOKUP(AA179,'G-3 Multipliers'!$L$3:$N$6,3,FALSE)=0,"Spatial Data Missing ⚠",VLOOKUP(AA179,'G-3 Multipliers'!$L$3:$N$6,3,FALSE)))</f>
        <v/>
      </c>
      <c r="AD179" s="537" t="str">
        <f t="shared" si="26"/>
        <v/>
      </c>
      <c r="AE179" s="203"/>
      <c r="AF179" s="203"/>
      <c r="AG179" s="520" t="str">
        <f t="shared" si="29"/>
        <v/>
      </c>
      <c r="AH179" s="544" t="str">
        <f t="shared" si="30"/>
        <v/>
      </c>
      <c r="AI179" s="525" t="str">
        <f>IF(AH179="Check Data ⚠","Check Data ⚠",IFERROR(VLOOKUP(AH179,'G-4 Temporal multipliers'!$A$4:$C$36,3,FALSE),""))</f>
        <v/>
      </c>
      <c r="AJ179" s="537" t="str">
        <f>IF(S179="","",VLOOKUP(S179,'G-3 Multipliers'!$A$2:$E$129,4,FALSE))</f>
        <v/>
      </c>
      <c r="AK179" s="520" t="str">
        <f t="shared" si="31"/>
        <v/>
      </c>
      <c r="AL179" s="520" t="str">
        <f t="shared" si="32"/>
        <v/>
      </c>
      <c r="AM179" s="524" t="str">
        <f>IFERROR(IF(F179="","",IF(AH179="Check Data ⚠","Check Data ⚠",VLOOKUP(AL179, 'G-3 Multipliers'!$P$2:$Q$6,2,FALSE))),"")</f>
        <v/>
      </c>
      <c r="AN179" s="197"/>
      <c r="AO179" s="540" t="str">
        <f>IF(AN179="","",IF(VLOOKUP(AN179,'G-3 Multipliers'!$S$3:$T$9,2,FALSE)=0,"Spatial Data Missing ⚠",VLOOKUP(AN179,'G-3 Multipliers'!$S$3:$T$9,2,FALSE)))</f>
        <v/>
      </c>
      <c r="AP179" s="513" t="str">
        <f t="shared" si="33"/>
        <v/>
      </c>
      <c r="AQ179" s="231"/>
      <c r="AR179" s="150"/>
    </row>
    <row r="180" spans="1:44" x14ac:dyDescent="0.25">
      <c r="A180" s="31" t="str">
        <f>IF(E180="","",IF(ISNA(VLOOKUP($E180,'D-1 Off Site Habitat Baseline'!$D$1:$O$258,2,FALSE)),"",(VLOOKUP($E180,'D-1 Off Site Habitat Baseline'!$D$1:$O$258,2,FALSE))))</f>
        <v/>
      </c>
      <c r="B180" s="31" t="str">
        <f>IF(E180="","",IF(ISNA(VLOOKUP($E180,'D-1 Off Site Habitat Baseline'!$D$1:$O$258,3,FALSE)),"",(VLOOKUP($E180,'D-1 Off Site Habitat Baseline'!$D$1:$O$258,3,FALSE))))</f>
        <v/>
      </c>
      <c r="C180" s="31" t="str">
        <f>IFERROR(INDEX('G-8 Condition Look up'!$I$4:$I$130,MATCH(S180,'G-8 Condition Look up'!$A$4:$A$130,0)),"")</f>
        <v/>
      </c>
      <c r="E180" s="547" t="str">
        <f>'D-1 Off Site Habitat Baseline'!AL179</f>
        <v/>
      </c>
      <c r="F180" s="520" t="str">
        <f>IF(E180="","",IF(ISNA(VLOOKUP($E180,'D-1 Off Site Habitat Baseline'!$D$1:$O$258,4,FALSE)),"",(VLOOKUP($E180,'D-1 Off Site Habitat Baseline'!$D$1:$O$258,4,FALSE))))</f>
        <v/>
      </c>
      <c r="G180" s="520" t="str">
        <f>IF(E180="","",IF(ISNA(VLOOKUP($E180,'D-1 Off Site Habitat Baseline'!$D$1:$O$258,5,FALSE)),"",(VLOOKUP($E180,'D-1 Off Site Habitat Baseline'!$D$1:$O$258,5,FALSE))))</f>
        <v/>
      </c>
      <c r="H180" s="520" t="str">
        <f>IF(E180="","",IF(ISNA(VLOOKUP($E180,'D-1 Off Site Habitat Baseline'!$D$1:$O$258,6,FALSE)),"",(VLOOKUP($E180,'D-1 Off Site Habitat Baseline'!$D$1:$O$258,6,FALSE))))</f>
        <v/>
      </c>
      <c r="I180" s="520" t="str">
        <f>IF(E180="","",IF(ISNA(VLOOKUP($E180,'D-1 Off Site Habitat Baseline'!$D$1:$O$258,7,FALSE)),"",(VLOOKUP($E180,'D-1 Off Site Habitat Baseline'!$D$1:$O$258,7,FALSE))))</f>
        <v/>
      </c>
      <c r="J180" s="520" t="str">
        <f>IF(E180="","",IF(ISNA(VLOOKUP($E180,'D-1 Off Site Habitat Baseline'!$D$1:$O$258,8,FALSE)),"",(VLOOKUP($E180,'D-1 Off Site Habitat Baseline'!$D$1:$O$258,8,FALSE))))</f>
        <v/>
      </c>
      <c r="K180" s="520" t="str">
        <f>IF(E180="","",IF(ISNA(VLOOKUP($E180,'D-1 Off Site Habitat Baseline'!$D$1:$O$258,9,FALSE)),"",(VLOOKUP($E180,'D-1 Off Site Habitat Baseline'!$D$1:$O$258,9,FALSE))))</f>
        <v/>
      </c>
      <c r="L180" s="520" t="str">
        <f>IF(E180="","",IF(ISNA(VLOOKUP($E180,'D-1 Off Site Habitat Baseline'!$D$1:$O$258,11,FALSE)),"",(VLOOKUP($E180,'D-1 Off Site Habitat Baseline'!$D$1:$O$258,11,FALSE))))</f>
        <v/>
      </c>
      <c r="M180" s="520" t="str">
        <f>IF(E180="","",IF(ISNA(VLOOKUP($E180,'D-1 Off Site Habitat Baseline'!$D$1:$O$258,12,FALSE)),"",(VLOOKUP($E180,'D-1 Off Site Habitat Baseline'!$D$1:$O$258,12,FALSE))))</f>
        <v/>
      </c>
      <c r="N180" s="520" t="str">
        <f>IF(E180="","",IF(ISNA(VLOOKUP($E180,'D-1 Off Site Habitat Baseline'!$D$1:$X$258,14,FALSE)),"",(VLOOKUP($E180,'D-1 Off Site Habitat Baseline'!$D$1:$X$258,14,FALSE))))</f>
        <v/>
      </c>
      <c r="O180" s="524" t="str">
        <f>IF(E180="","",IF(ISNA(VLOOKUP($E180,'D-1 Off Site Habitat Baseline'!$D$1:$X$258,13,FALSE)),"",(VLOOKUP($E180,'D-1 Off Site Habitat Baseline'!$D$1:$X$258,13,FALSE))))</f>
        <v/>
      </c>
      <c r="P180" s="232" t="str">
        <f>IFERROR(INDEX('G-1 All Habitats'!$AG$3:$AG$15,MATCH(Q180,'G-1 All Habitats'!$AF$3:$AF$15,0)),"")</f>
        <v/>
      </c>
      <c r="Q180" s="228" t="str">
        <f t="shared" si="34"/>
        <v/>
      </c>
      <c r="R180" s="229" t="str">
        <f t="shared" si="35"/>
        <v/>
      </c>
      <c r="S180" s="233" t="str">
        <f>IFERROR(INDEX('G-1 All Habitats'!$B$3:$B$129,MATCH(R180,'G-1 All Habitats'!$A$3:$A$129,0)),"")</f>
        <v/>
      </c>
      <c r="T180" s="507" t="str">
        <f t="shared" si="27"/>
        <v/>
      </c>
      <c r="U180" s="524" t="str">
        <f t="shared" si="28"/>
        <v/>
      </c>
      <c r="V180" s="523" t="str">
        <f t="shared" si="25"/>
        <v/>
      </c>
      <c r="W180" s="520" t="str">
        <f>IF(S180="","",VLOOKUP(S180,'G-1 All Habitats'!$B$2:$M$129,10,FALSE))</f>
        <v/>
      </c>
      <c r="X180" s="520" t="str">
        <f>IFERROR(VLOOKUP(W180,'G-1 All Habitats'!$V$3:$W$7,2,FALSE),"")</f>
        <v/>
      </c>
      <c r="Y180" s="203"/>
      <c r="Z180" s="524" t="str">
        <f>IFERROR(INDEX('G-8 Condition Look up'!$A$3:$H$130,MATCH(S180,'G-8 Condition Look up'!$A$3:$A$130,0),MATCH(Y180,'G-8 Condition Look up'!$A$3:$H$3,0)),"")</f>
        <v/>
      </c>
      <c r="AA180" s="145"/>
      <c r="AB180" s="540" t="str">
        <f>IF(AA180="","",IF(VLOOKUP(AA180,'G-3 Multipliers'!$L$3:$N$6,2,FALSE)=0,"Spatial Data Missing ⚠",VLOOKUP(AA180,'G-3 Multipliers'!$L$3:$N$6,2,FALSE)))</f>
        <v/>
      </c>
      <c r="AC180" s="524" t="str">
        <f>IF(AA180="","",IF(VLOOKUP(AA180,'G-3 Multipliers'!$L$3:$N$6,3,FALSE)=0,"Spatial Data Missing ⚠",VLOOKUP(AA180,'G-3 Multipliers'!$L$3:$N$6,3,FALSE)))</f>
        <v/>
      </c>
      <c r="AD180" s="537" t="str">
        <f t="shared" si="26"/>
        <v/>
      </c>
      <c r="AE180" s="203"/>
      <c r="AF180" s="203"/>
      <c r="AG180" s="520" t="str">
        <f t="shared" si="29"/>
        <v/>
      </c>
      <c r="AH180" s="544" t="str">
        <f t="shared" si="30"/>
        <v/>
      </c>
      <c r="AI180" s="525" t="str">
        <f>IF(AH180="Check Data ⚠","Check Data ⚠",IFERROR(VLOOKUP(AH180,'G-4 Temporal multipliers'!$A$4:$C$36,3,FALSE),""))</f>
        <v/>
      </c>
      <c r="AJ180" s="537" t="str">
        <f>IF(S180="","",VLOOKUP(S180,'G-3 Multipliers'!$A$2:$E$129,4,FALSE))</f>
        <v/>
      </c>
      <c r="AK180" s="520" t="str">
        <f t="shared" si="31"/>
        <v/>
      </c>
      <c r="AL180" s="520" t="str">
        <f t="shared" si="32"/>
        <v/>
      </c>
      <c r="AM180" s="524" t="str">
        <f>IFERROR(IF(F180="","",IF(AH180="Check Data ⚠","Check Data ⚠",VLOOKUP(AL180, 'G-3 Multipliers'!$P$2:$Q$6,2,FALSE))),"")</f>
        <v/>
      </c>
      <c r="AN180" s="197"/>
      <c r="AO180" s="540" t="str">
        <f>IF(AN180="","",IF(VLOOKUP(AN180,'G-3 Multipliers'!$S$3:$T$9,2,FALSE)=0,"Spatial Data Missing ⚠",VLOOKUP(AN180,'G-3 Multipliers'!$S$3:$T$9,2,FALSE)))</f>
        <v/>
      </c>
      <c r="AP180" s="513" t="str">
        <f t="shared" si="33"/>
        <v/>
      </c>
      <c r="AQ180" s="231"/>
      <c r="AR180" s="150"/>
    </row>
    <row r="181" spans="1:44" x14ac:dyDescent="0.25">
      <c r="A181" s="31" t="str">
        <f>IF(E181="","",IF(ISNA(VLOOKUP($E181,'D-1 Off Site Habitat Baseline'!$D$1:$O$258,2,FALSE)),"",(VLOOKUP($E181,'D-1 Off Site Habitat Baseline'!$D$1:$O$258,2,FALSE))))</f>
        <v/>
      </c>
      <c r="B181" s="31" t="str">
        <f>IF(E181="","",IF(ISNA(VLOOKUP($E181,'D-1 Off Site Habitat Baseline'!$D$1:$O$258,3,FALSE)),"",(VLOOKUP($E181,'D-1 Off Site Habitat Baseline'!$D$1:$O$258,3,FALSE))))</f>
        <v/>
      </c>
      <c r="C181" s="31" t="str">
        <f>IFERROR(INDEX('G-8 Condition Look up'!$I$4:$I$130,MATCH(S181,'G-8 Condition Look up'!$A$4:$A$130,0)),"")</f>
        <v/>
      </c>
      <c r="E181" s="547" t="str">
        <f>'D-1 Off Site Habitat Baseline'!AL180</f>
        <v/>
      </c>
      <c r="F181" s="520" t="str">
        <f>IF(E181="","",IF(ISNA(VLOOKUP($E181,'D-1 Off Site Habitat Baseline'!$D$1:$O$258,4,FALSE)),"",(VLOOKUP($E181,'D-1 Off Site Habitat Baseline'!$D$1:$O$258,4,FALSE))))</f>
        <v/>
      </c>
      <c r="G181" s="520" t="str">
        <f>IF(E181="","",IF(ISNA(VLOOKUP($E181,'D-1 Off Site Habitat Baseline'!$D$1:$O$258,5,FALSE)),"",(VLOOKUP($E181,'D-1 Off Site Habitat Baseline'!$D$1:$O$258,5,FALSE))))</f>
        <v/>
      </c>
      <c r="H181" s="520" t="str">
        <f>IF(E181="","",IF(ISNA(VLOOKUP($E181,'D-1 Off Site Habitat Baseline'!$D$1:$O$258,6,FALSE)),"",(VLOOKUP($E181,'D-1 Off Site Habitat Baseline'!$D$1:$O$258,6,FALSE))))</f>
        <v/>
      </c>
      <c r="I181" s="520" t="str">
        <f>IF(E181="","",IF(ISNA(VLOOKUP($E181,'D-1 Off Site Habitat Baseline'!$D$1:$O$258,7,FALSE)),"",(VLOOKUP($E181,'D-1 Off Site Habitat Baseline'!$D$1:$O$258,7,FALSE))))</f>
        <v/>
      </c>
      <c r="J181" s="520" t="str">
        <f>IF(E181="","",IF(ISNA(VLOOKUP($E181,'D-1 Off Site Habitat Baseline'!$D$1:$O$258,8,FALSE)),"",(VLOOKUP($E181,'D-1 Off Site Habitat Baseline'!$D$1:$O$258,8,FALSE))))</f>
        <v/>
      </c>
      <c r="K181" s="520" t="str">
        <f>IF(E181="","",IF(ISNA(VLOOKUP($E181,'D-1 Off Site Habitat Baseline'!$D$1:$O$258,9,FALSE)),"",(VLOOKUP($E181,'D-1 Off Site Habitat Baseline'!$D$1:$O$258,9,FALSE))))</f>
        <v/>
      </c>
      <c r="L181" s="520" t="str">
        <f>IF(E181="","",IF(ISNA(VLOOKUP($E181,'D-1 Off Site Habitat Baseline'!$D$1:$O$258,11,FALSE)),"",(VLOOKUP($E181,'D-1 Off Site Habitat Baseline'!$D$1:$O$258,11,FALSE))))</f>
        <v/>
      </c>
      <c r="M181" s="520" t="str">
        <f>IF(E181="","",IF(ISNA(VLOOKUP($E181,'D-1 Off Site Habitat Baseline'!$D$1:$O$258,12,FALSE)),"",(VLOOKUP($E181,'D-1 Off Site Habitat Baseline'!$D$1:$O$258,12,FALSE))))</f>
        <v/>
      </c>
      <c r="N181" s="520" t="str">
        <f>IF(E181="","",IF(ISNA(VLOOKUP($E181,'D-1 Off Site Habitat Baseline'!$D$1:$X$258,14,FALSE)),"",(VLOOKUP($E181,'D-1 Off Site Habitat Baseline'!$D$1:$X$258,14,FALSE))))</f>
        <v/>
      </c>
      <c r="O181" s="524" t="str">
        <f>IF(E181="","",IF(ISNA(VLOOKUP($E181,'D-1 Off Site Habitat Baseline'!$D$1:$X$258,13,FALSE)),"",(VLOOKUP($E181,'D-1 Off Site Habitat Baseline'!$D$1:$X$258,13,FALSE))))</f>
        <v/>
      </c>
      <c r="P181" s="232" t="str">
        <f>IFERROR(INDEX('G-1 All Habitats'!$AG$3:$AG$15,MATCH(Q181,'G-1 All Habitats'!$AF$3:$AF$15,0)),"")</f>
        <v/>
      </c>
      <c r="Q181" s="228" t="str">
        <f t="shared" si="34"/>
        <v/>
      </c>
      <c r="R181" s="229" t="str">
        <f t="shared" si="35"/>
        <v/>
      </c>
      <c r="S181" s="233" t="str">
        <f>IFERROR(INDEX('G-1 All Habitats'!$B$3:$B$129,MATCH(R181,'G-1 All Habitats'!$A$3:$A$129,0)),"")</f>
        <v/>
      </c>
      <c r="T181" s="507" t="str">
        <f t="shared" si="27"/>
        <v/>
      </c>
      <c r="U181" s="524" t="str">
        <f t="shared" si="28"/>
        <v/>
      </c>
      <c r="V181" s="523" t="str">
        <f t="shared" si="25"/>
        <v/>
      </c>
      <c r="W181" s="520" t="str">
        <f>IF(S181="","",VLOOKUP(S181,'G-1 All Habitats'!$B$2:$M$129,10,FALSE))</f>
        <v/>
      </c>
      <c r="X181" s="520" t="str">
        <f>IFERROR(VLOOKUP(W181,'G-1 All Habitats'!$V$3:$W$7,2,FALSE),"")</f>
        <v/>
      </c>
      <c r="Y181" s="203"/>
      <c r="Z181" s="524" t="str">
        <f>IFERROR(INDEX('G-8 Condition Look up'!$A$3:$H$130,MATCH(S181,'G-8 Condition Look up'!$A$3:$A$130,0),MATCH(Y181,'G-8 Condition Look up'!$A$3:$H$3,0)),"")</f>
        <v/>
      </c>
      <c r="AA181" s="145"/>
      <c r="AB181" s="540" t="str">
        <f>IF(AA181="","",IF(VLOOKUP(AA181,'G-3 Multipliers'!$L$3:$N$6,2,FALSE)=0,"Spatial Data Missing ⚠",VLOOKUP(AA181,'G-3 Multipliers'!$L$3:$N$6,2,FALSE)))</f>
        <v/>
      </c>
      <c r="AC181" s="524" t="str">
        <f>IF(AA181="","",IF(VLOOKUP(AA181,'G-3 Multipliers'!$L$3:$N$6,3,FALSE)=0,"Spatial Data Missing ⚠",VLOOKUP(AA181,'G-3 Multipliers'!$L$3:$N$6,3,FALSE)))</f>
        <v/>
      </c>
      <c r="AD181" s="537" t="str">
        <f t="shared" si="26"/>
        <v/>
      </c>
      <c r="AE181" s="203"/>
      <c r="AF181" s="203"/>
      <c r="AG181" s="520" t="str">
        <f t="shared" si="29"/>
        <v/>
      </c>
      <c r="AH181" s="544" t="str">
        <f t="shared" si="30"/>
        <v/>
      </c>
      <c r="AI181" s="525" t="str">
        <f>IF(AH181="Check Data ⚠","Check Data ⚠",IFERROR(VLOOKUP(AH181,'G-4 Temporal multipliers'!$A$4:$C$36,3,FALSE),""))</f>
        <v/>
      </c>
      <c r="AJ181" s="537" t="str">
        <f>IF(S181="","",VLOOKUP(S181,'G-3 Multipliers'!$A$2:$E$129,4,FALSE))</f>
        <v/>
      </c>
      <c r="AK181" s="520" t="str">
        <f t="shared" si="31"/>
        <v/>
      </c>
      <c r="AL181" s="520" t="str">
        <f t="shared" si="32"/>
        <v/>
      </c>
      <c r="AM181" s="524" t="str">
        <f>IFERROR(IF(F181="","",IF(AH181="Check Data ⚠","Check Data ⚠",VLOOKUP(AL181, 'G-3 Multipliers'!$P$2:$Q$6,2,FALSE))),"")</f>
        <v/>
      </c>
      <c r="AN181" s="197"/>
      <c r="AO181" s="540" t="str">
        <f>IF(AN181="","",IF(VLOOKUP(AN181,'G-3 Multipliers'!$S$3:$T$9,2,FALSE)=0,"Spatial Data Missing ⚠",VLOOKUP(AN181,'G-3 Multipliers'!$S$3:$T$9,2,FALSE)))</f>
        <v/>
      </c>
      <c r="AP181" s="513" t="str">
        <f t="shared" si="33"/>
        <v/>
      </c>
      <c r="AQ181" s="231"/>
      <c r="AR181" s="150"/>
    </row>
    <row r="182" spans="1:44" x14ac:dyDescent="0.25">
      <c r="A182" s="31" t="str">
        <f>IF(E182="","",IF(ISNA(VLOOKUP($E182,'D-1 Off Site Habitat Baseline'!$D$1:$O$258,2,FALSE)),"",(VLOOKUP($E182,'D-1 Off Site Habitat Baseline'!$D$1:$O$258,2,FALSE))))</f>
        <v/>
      </c>
      <c r="B182" s="31" t="str">
        <f>IF(E182="","",IF(ISNA(VLOOKUP($E182,'D-1 Off Site Habitat Baseline'!$D$1:$O$258,3,FALSE)),"",(VLOOKUP($E182,'D-1 Off Site Habitat Baseline'!$D$1:$O$258,3,FALSE))))</f>
        <v/>
      </c>
      <c r="C182" s="31" t="str">
        <f>IFERROR(INDEX('G-8 Condition Look up'!$I$4:$I$130,MATCH(S182,'G-8 Condition Look up'!$A$4:$A$130,0)),"")</f>
        <v/>
      </c>
      <c r="E182" s="547" t="str">
        <f>'D-1 Off Site Habitat Baseline'!AL181</f>
        <v/>
      </c>
      <c r="F182" s="520" t="str">
        <f>IF(E182="","",IF(ISNA(VLOOKUP($E182,'D-1 Off Site Habitat Baseline'!$D$1:$O$258,4,FALSE)),"",(VLOOKUP($E182,'D-1 Off Site Habitat Baseline'!$D$1:$O$258,4,FALSE))))</f>
        <v/>
      </c>
      <c r="G182" s="520" t="str">
        <f>IF(E182="","",IF(ISNA(VLOOKUP($E182,'D-1 Off Site Habitat Baseline'!$D$1:$O$258,5,FALSE)),"",(VLOOKUP($E182,'D-1 Off Site Habitat Baseline'!$D$1:$O$258,5,FALSE))))</f>
        <v/>
      </c>
      <c r="H182" s="520" t="str">
        <f>IF(E182="","",IF(ISNA(VLOOKUP($E182,'D-1 Off Site Habitat Baseline'!$D$1:$O$258,6,FALSE)),"",(VLOOKUP($E182,'D-1 Off Site Habitat Baseline'!$D$1:$O$258,6,FALSE))))</f>
        <v/>
      </c>
      <c r="I182" s="520" t="str">
        <f>IF(E182="","",IF(ISNA(VLOOKUP($E182,'D-1 Off Site Habitat Baseline'!$D$1:$O$258,7,FALSE)),"",(VLOOKUP($E182,'D-1 Off Site Habitat Baseline'!$D$1:$O$258,7,FALSE))))</f>
        <v/>
      </c>
      <c r="J182" s="520" t="str">
        <f>IF(E182="","",IF(ISNA(VLOOKUP($E182,'D-1 Off Site Habitat Baseline'!$D$1:$O$258,8,FALSE)),"",(VLOOKUP($E182,'D-1 Off Site Habitat Baseline'!$D$1:$O$258,8,FALSE))))</f>
        <v/>
      </c>
      <c r="K182" s="520" t="str">
        <f>IF(E182="","",IF(ISNA(VLOOKUP($E182,'D-1 Off Site Habitat Baseline'!$D$1:$O$258,9,FALSE)),"",(VLOOKUP($E182,'D-1 Off Site Habitat Baseline'!$D$1:$O$258,9,FALSE))))</f>
        <v/>
      </c>
      <c r="L182" s="520" t="str">
        <f>IF(E182="","",IF(ISNA(VLOOKUP($E182,'D-1 Off Site Habitat Baseline'!$D$1:$O$258,11,FALSE)),"",(VLOOKUP($E182,'D-1 Off Site Habitat Baseline'!$D$1:$O$258,11,FALSE))))</f>
        <v/>
      </c>
      <c r="M182" s="520" t="str">
        <f>IF(E182="","",IF(ISNA(VLOOKUP($E182,'D-1 Off Site Habitat Baseline'!$D$1:$O$258,12,FALSE)),"",(VLOOKUP($E182,'D-1 Off Site Habitat Baseline'!$D$1:$O$258,12,FALSE))))</f>
        <v/>
      </c>
      <c r="N182" s="520" t="str">
        <f>IF(E182="","",IF(ISNA(VLOOKUP($E182,'D-1 Off Site Habitat Baseline'!$D$1:$X$258,14,FALSE)),"",(VLOOKUP($E182,'D-1 Off Site Habitat Baseline'!$D$1:$X$258,14,FALSE))))</f>
        <v/>
      </c>
      <c r="O182" s="524" t="str">
        <f>IF(E182="","",IF(ISNA(VLOOKUP($E182,'D-1 Off Site Habitat Baseline'!$D$1:$X$258,13,FALSE)),"",(VLOOKUP($E182,'D-1 Off Site Habitat Baseline'!$D$1:$X$258,13,FALSE))))</f>
        <v/>
      </c>
      <c r="P182" s="232" t="str">
        <f>IFERROR(INDEX('G-1 All Habitats'!$AG$3:$AG$15,MATCH(Q182,'G-1 All Habitats'!$AF$3:$AF$15,0)),"")</f>
        <v/>
      </c>
      <c r="Q182" s="228" t="str">
        <f t="shared" si="34"/>
        <v/>
      </c>
      <c r="R182" s="229" t="str">
        <f t="shared" si="35"/>
        <v/>
      </c>
      <c r="S182" s="233" t="str">
        <f>IFERROR(INDEX('G-1 All Habitats'!$B$3:$B$129,MATCH(R182,'G-1 All Habitats'!$A$3:$A$129,0)),"")</f>
        <v/>
      </c>
      <c r="T182" s="507" t="str">
        <f t="shared" si="27"/>
        <v/>
      </c>
      <c r="U182" s="524" t="str">
        <f t="shared" si="28"/>
        <v/>
      </c>
      <c r="V182" s="523" t="str">
        <f t="shared" si="25"/>
        <v/>
      </c>
      <c r="W182" s="520" t="str">
        <f>IF(S182="","",VLOOKUP(S182,'G-1 All Habitats'!$B$2:$M$129,10,FALSE))</f>
        <v/>
      </c>
      <c r="X182" s="520" t="str">
        <f>IFERROR(VLOOKUP(W182,'G-1 All Habitats'!$V$3:$W$7,2,FALSE),"")</f>
        <v/>
      </c>
      <c r="Y182" s="203"/>
      <c r="Z182" s="524" t="str">
        <f>IFERROR(INDEX('G-8 Condition Look up'!$A$3:$H$130,MATCH(S182,'G-8 Condition Look up'!$A$3:$A$130,0),MATCH(Y182,'G-8 Condition Look up'!$A$3:$H$3,0)),"")</f>
        <v/>
      </c>
      <c r="AA182" s="145"/>
      <c r="AB182" s="540" t="str">
        <f>IF(AA182="","",IF(VLOOKUP(AA182,'G-3 Multipliers'!$L$3:$N$6,2,FALSE)=0,"Spatial Data Missing ⚠",VLOOKUP(AA182,'G-3 Multipliers'!$L$3:$N$6,2,FALSE)))</f>
        <v/>
      </c>
      <c r="AC182" s="524" t="str">
        <f>IF(AA182="","",IF(VLOOKUP(AA182,'G-3 Multipliers'!$L$3:$N$6,3,FALSE)=0,"Spatial Data Missing ⚠",VLOOKUP(AA182,'G-3 Multipliers'!$L$3:$N$6,3,FALSE)))</f>
        <v/>
      </c>
      <c r="AD182" s="537" t="str">
        <f t="shared" si="26"/>
        <v/>
      </c>
      <c r="AE182" s="203"/>
      <c r="AF182" s="203"/>
      <c r="AG182" s="520" t="str">
        <f t="shared" si="29"/>
        <v/>
      </c>
      <c r="AH182" s="544" t="str">
        <f t="shared" si="30"/>
        <v/>
      </c>
      <c r="AI182" s="525" t="str">
        <f>IF(AH182="Check Data ⚠","Check Data ⚠",IFERROR(VLOOKUP(AH182,'G-4 Temporal multipliers'!$A$4:$C$36,3,FALSE),""))</f>
        <v/>
      </c>
      <c r="AJ182" s="537" t="str">
        <f>IF(S182="","",VLOOKUP(S182,'G-3 Multipliers'!$A$2:$E$129,4,FALSE))</f>
        <v/>
      </c>
      <c r="AK182" s="520" t="str">
        <f t="shared" si="31"/>
        <v/>
      </c>
      <c r="AL182" s="520" t="str">
        <f t="shared" si="32"/>
        <v/>
      </c>
      <c r="AM182" s="524" t="str">
        <f>IFERROR(IF(F182="","",IF(AH182="Check Data ⚠","Check Data ⚠",VLOOKUP(AL182, 'G-3 Multipliers'!$P$2:$Q$6,2,FALSE))),"")</f>
        <v/>
      </c>
      <c r="AN182" s="197"/>
      <c r="AO182" s="540" t="str">
        <f>IF(AN182="","",IF(VLOOKUP(AN182,'G-3 Multipliers'!$S$3:$T$9,2,FALSE)=0,"Spatial Data Missing ⚠",VLOOKUP(AN182,'G-3 Multipliers'!$S$3:$T$9,2,FALSE)))</f>
        <v/>
      </c>
      <c r="AP182" s="513" t="str">
        <f t="shared" si="33"/>
        <v/>
      </c>
      <c r="AQ182" s="231"/>
      <c r="AR182" s="150"/>
    </row>
    <row r="183" spans="1:44" x14ac:dyDescent="0.25">
      <c r="A183" s="31" t="str">
        <f>IF(E183="","",IF(ISNA(VLOOKUP($E183,'D-1 Off Site Habitat Baseline'!$D$1:$O$258,2,FALSE)),"",(VLOOKUP($E183,'D-1 Off Site Habitat Baseline'!$D$1:$O$258,2,FALSE))))</f>
        <v/>
      </c>
      <c r="B183" s="31" t="str">
        <f>IF(E183="","",IF(ISNA(VLOOKUP($E183,'D-1 Off Site Habitat Baseline'!$D$1:$O$258,3,FALSE)),"",(VLOOKUP($E183,'D-1 Off Site Habitat Baseline'!$D$1:$O$258,3,FALSE))))</f>
        <v/>
      </c>
      <c r="C183" s="31" t="str">
        <f>IFERROR(INDEX('G-8 Condition Look up'!$I$4:$I$130,MATCH(S183,'G-8 Condition Look up'!$A$4:$A$130,0)),"")</f>
        <v/>
      </c>
      <c r="E183" s="547" t="str">
        <f>'D-1 Off Site Habitat Baseline'!AL182</f>
        <v/>
      </c>
      <c r="F183" s="520" t="str">
        <f>IF(E183="","",IF(ISNA(VLOOKUP($E183,'D-1 Off Site Habitat Baseline'!$D$1:$O$258,4,FALSE)),"",(VLOOKUP($E183,'D-1 Off Site Habitat Baseline'!$D$1:$O$258,4,FALSE))))</f>
        <v/>
      </c>
      <c r="G183" s="520" t="str">
        <f>IF(E183="","",IF(ISNA(VLOOKUP($E183,'D-1 Off Site Habitat Baseline'!$D$1:$O$258,5,FALSE)),"",(VLOOKUP($E183,'D-1 Off Site Habitat Baseline'!$D$1:$O$258,5,FALSE))))</f>
        <v/>
      </c>
      <c r="H183" s="520" t="str">
        <f>IF(E183="","",IF(ISNA(VLOOKUP($E183,'D-1 Off Site Habitat Baseline'!$D$1:$O$258,6,FALSE)),"",(VLOOKUP($E183,'D-1 Off Site Habitat Baseline'!$D$1:$O$258,6,FALSE))))</f>
        <v/>
      </c>
      <c r="I183" s="520" t="str">
        <f>IF(E183="","",IF(ISNA(VLOOKUP($E183,'D-1 Off Site Habitat Baseline'!$D$1:$O$258,7,FALSE)),"",(VLOOKUP($E183,'D-1 Off Site Habitat Baseline'!$D$1:$O$258,7,FALSE))))</f>
        <v/>
      </c>
      <c r="J183" s="520" t="str">
        <f>IF(E183="","",IF(ISNA(VLOOKUP($E183,'D-1 Off Site Habitat Baseline'!$D$1:$O$258,8,FALSE)),"",(VLOOKUP($E183,'D-1 Off Site Habitat Baseline'!$D$1:$O$258,8,FALSE))))</f>
        <v/>
      </c>
      <c r="K183" s="520" t="str">
        <f>IF(E183="","",IF(ISNA(VLOOKUP($E183,'D-1 Off Site Habitat Baseline'!$D$1:$O$258,9,FALSE)),"",(VLOOKUP($E183,'D-1 Off Site Habitat Baseline'!$D$1:$O$258,9,FALSE))))</f>
        <v/>
      </c>
      <c r="L183" s="520" t="str">
        <f>IF(E183="","",IF(ISNA(VLOOKUP($E183,'D-1 Off Site Habitat Baseline'!$D$1:$O$258,11,FALSE)),"",(VLOOKUP($E183,'D-1 Off Site Habitat Baseline'!$D$1:$O$258,11,FALSE))))</f>
        <v/>
      </c>
      <c r="M183" s="520" t="str">
        <f>IF(E183="","",IF(ISNA(VLOOKUP($E183,'D-1 Off Site Habitat Baseline'!$D$1:$O$258,12,FALSE)),"",(VLOOKUP($E183,'D-1 Off Site Habitat Baseline'!$D$1:$O$258,12,FALSE))))</f>
        <v/>
      </c>
      <c r="N183" s="520" t="str">
        <f>IF(E183="","",IF(ISNA(VLOOKUP($E183,'D-1 Off Site Habitat Baseline'!$D$1:$X$258,14,FALSE)),"",(VLOOKUP($E183,'D-1 Off Site Habitat Baseline'!$D$1:$X$258,14,FALSE))))</f>
        <v/>
      </c>
      <c r="O183" s="524" t="str">
        <f>IF(E183="","",IF(ISNA(VLOOKUP($E183,'D-1 Off Site Habitat Baseline'!$D$1:$X$258,13,FALSE)),"",(VLOOKUP($E183,'D-1 Off Site Habitat Baseline'!$D$1:$X$258,13,FALSE))))</f>
        <v/>
      </c>
      <c r="P183" s="232" t="str">
        <f>IFERROR(INDEX('G-1 All Habitats'!$AG$3:$AG$15,MATCH(Q183,'G-1 All Habitats'!$AF$3:$AF$15,0)),"")</f>
        <v/>
      </c>
      <c r="Q183" s="228" t="str">
        <f t="shared" si="34"/>
        <v/>
      </c>
      <c r="R183" s="229" t="str">
        <f t="shared" si="35"/>
        <v/>
      </c>
      <c r="S183" s="233" t="str">
        <f>IFERROR(INDEX('G-1 All Habitats'!$B$3:$B$129,MATCH(R183,'G-1 All Habitats'!$A$3:$A$129,0)),"")</f>
        <v/>
      </c>
      <c r="T183" s="507" t="str">
        <f t="shared" si="27"/>
        <v/>
      </c>
      <c r="U183" s="524" t="str">
        <f t="shared" si="28"/>
        <v/>
      </c>
      <c r="V183" s="523" t="str">
        <f t="shared" si="25"/>
        <v/>
      </c>
      <c r="W183" s="520" t="str">
        <f>IF(S183="","",VLOOKUP(S183,'G-1 All Habitats'!$B$2:$M$129,10,FALSE))</f>
        <v/>
      </c>
      <c r="X183" s="520" t="str">
        <f>IFERROR(VLOOKUP(W183,'G-1 All Habitats'!$V$3:$W$7,2,FALSE),"")</f>
        <v/>
      </c>
      <c r="Y183" s="203"/>
      <c r="Z183" s="524" t="str">
        <f>IFERROR(INDEX('G-8 Condition Look up'!$A$3:$H$130,MATCH(S183,'G-8 Condition Look up'!$A$3:$A$130,0),MATCH(Y183,'G-8 Condition Look up'!$A$3:$H$3,0)),"")</f>
        <v/>
      </c>
      <c r="AA183" s="145"/>
      <c r="AB183" s="540" t="str">
        <f>IF(AA183="","",IF(VLOOKUP(AA183,'G-3 Multipliers'!$L$3:$N$6,2,FALSE)=0,"Spatial Data Missing ⚠",VLOOKUP(AA183,'G-3 Multipliers'!$L$3:$N$6,2,FALSE)))</f>
        <v/>
      </c>
      <c r="AC183" s="524" t="str">
        <f>IF(AA183="","",IF(VLOOKUP(AA183,'G-3 Multipliers'!$L$3:$N$6,3,FALSE)=0,"Spatial Data Missing ⚠",VLOOKUP(AA183,'G-3 Multipliers'!$L$3:$N$6,3,FALSE)))</f>
        <v/>
      </c>
      <c r="AD183" s="537" t="str">
        <f t="shared" si="26"/>
        <v/>
      </c>
      <c r="AE183" s="203"/>
      <c r="AF183" s="203"/>
      <c r="AG183" s="520" t="str">
        <f t="shared" si="29"/>
        <v/>
      </c>
      <c r="AH183" s="544" t="str">
        <f t="shared" si="30"/>
        <v/>
      </c>
      <c r="AI183" s="525" t="str">
        <f>IF(AH183="Check Data ⚠","Check Data ⚠",IFERROR(VLOOKUP(AH183,'G-4 Temporal multipliers'!$A$4:$C$36,3,FALSE),""))</f>
        <v/>
      </c>
      <c r="AJ183" s="537" t="str">
        <f>IF(S183="","",VLOOKUP(S183,'G-3 Multipliers'!$A$2:$E$129,4,FALSE))</f>
        <v/>
      </c>
      <c r="AK183" s="520" t="str">
        <f t="shared" si="31"/>
        <v/>
      </c>
      <c r="AL183" s="520" t="str">
        <f t="shared" si="32"/>
        <v/>
      </c>
      <c r="AM183" s="524" t="str">
        <f>IFERROR(IF(F183="","",IF(AH183="Check Data ⚠","Check Data ⚠",VLOOKUP(AL183, 'G-3 Multipliers'!$P$2:$Q$6,2,FALSE))),"")</f>
        <v/>
      </c>
      <c r="AN183" s="197"/>
      <c r="AO183" s="540" t="str">
        <f>IF(AN183="","",IF(VLOOKUP(AN183,'G-3 Multipliers'!$S$3:$T$9,2,FALSE)=0,"Spatial Data Missing ⚠",VLOOKUP(AN183,'G-3 Multipliers'!$S$3:$T$9,2,FALSE)))</f>
        <v/>
      </c>
      <c r="AP183" s="513" t="str">
        <f t="shared" si="33"/>
        <v/>
      </c>
      <c r="AQ183" s="231"/>
      <c r="AR183" s="150"/>
    </row>
    <row r="184" spans="1:44" x14ac:dyDescent="0.25">
      <c r="A184" s="31" t="str">
        <f>IF(E184="","",IF(ISNA(VLOOKUP($E184,'D-1 Off Site Habitat Baseline'!$D$1:$O$258,2,FALSE)),"",(VLOOKUP($E184,'D-1 Off Site Habitat Baseline'!$D$1:$O$258,2,FALSE))))</f>
        <v/>
      </c>
      <c r="B184" s="31" t="str">
        <f>IF(E184="","",IF(ISNA(VLOOKUP($E184,'D-1 Off Site Habitat Baseline'!$D$1:$O$258,3,FALSE)),"",(VLOOKUP($E184,'D-1 Off Site Habitat Baseline'!$D$1:$O$258,3,FALSE))))</f>
        <v/>
      </c>
      <c r="C184" s="31" t="str">
        <f>IFERROR(INDEX('G-8 Condition Look up'!$I$4:$I$130,MATCH(S184,'G-8 Condition Look up'!$A$4:$A$130,0)),"")</f>
        <v/>
      </c>
      <c r="E184" s="547" t="str">
        <f>'D-1 Off Site Habitat Baseline'!AL183</f>
        <v/>
      </c>
      <c r="F184" s="520" t="str">
        <f>IF(E184="","",IF(ISNA(VLOOKUP($E184,'D-1 Off Site Habitat Baseline'!$D$1:$O$258,4,FALSE)),"",(VLOOKUP($E184,'D-1 Off Site Habitat Baseline'!$D$1:$O$258,4,FALSE))))</f>
        <v/>
      </c>
      <c r="G184" s="520" t="str">
        <f>IF(E184="","",IF(ISNA(VLOOKUP($E184,'D-1 Off Site Habitat Baseline'!$D$1:$O$258,5,FALSE)),"",(VLOOKUP($E184,'D-1 Off Site Habitat Baseline'!$D$1:$O$258,5,FALSE))))</f>
        <v/>
      </c>
      <c r="H184" s="520" t="str">
        <f>IF(E184="","",IF(ISNA(VLOOKUP($E184,'D-1 Off Site Habitat Baseline'!$D$1:$O$258,6,FALSE)),"",(VLOOKUP($E184,'D-1 Off Site Habitat Baseline'!$D$1:$O$258,6,FALSE))))</f>
        <v/>
      </c>
      <c r="I184" s="520" t="str">
        <f>IF(E184="","",IF(ISNA(VLOOKUP($E184,'D-1 Off Site Habitat Baseline'!$D$1:$O$258,7,FALSE)),"",(VLOOKUP($E184,'D-1 Off Site Habitat Baseline'!$D$1:$O$258,7,FALSE))))</f>
        <v/>
      </c>
      <c r="J184" s="520" t="str">
        <f>IF(E184="","",IF(ISNA(VLOOKUP($E184,'D-1 Off Site Habitat Baseline'!$D$1:$O$258,8,FALSE)),"",(VLOOKUP($E184,'D-1 Off Site Habitat Baseline'!$D$1:$O$258,8,FALSE))))</f>
        <v/>
      </c>
      <c r="K184" s="520" t="str">
        <f>IF(E184="","",IF(ISNA(VLOOKUP($E184,'D-1 Off Site Habitat Baseline'!$D$1:$O$258,9,FALSE)),"",(VLOOKUP($E184,'D-1 Off Site Habitat Baseline'!$D$1:$O$258,9,FALSE))))</f>
        <v/>
      </c>
      <c r="L184" s="520" t="str">
        <f>IF(E184="","",IF(ISNA(VLOOKUP($E184,'D-1 Off Site Habitat Baseline'!$D$1:$O$258,11,FALSE)),"",(VLOOKUP($E184,'D-1 Off Site Habitat Baseline'!$D$1:$O$258,11,FALSE))))</f>
        <v/>
      </c>
      <c r="M184" s="520" t="str">
        <f>IF(E184="","",IF(ISNA(VLOOKUP($E184,'D-1 Off Site Habitat Baseline'!$D$1:$O$258,12,FALSE)),"",(VLOOKUP($E184,'D-1 Off Site Habitat Baseline'!$D$1:$O$258,12,FALSE))))</f>
        <v/>
      </c>
      <c r="N184" s="520" t="str">
        <f>IF(E184="","",IF(ISNA(VLOOKUP($E184,'D-1 Off Site Habitat Baseline'!$D$1:$X$258,14,FALSE)),"",(VLOOKUP($E184,'D-1 Off Site Habitat Baseline'!$D$1:$X$258,14,FALSE))))</f>
        <v/>
      </c>
      <c r="O184" s="524" t="str">
        <f>IF(E184="","",IF(ISNA(VLOOKUP($E184,'D-1 Off Site Habitat Baseline'!$D$1:$X$258,13,FALSE)),"",(VLOOKUP($E184,'D-1 Off Site Habitat Baseline'!$D$1:$X$258,13,FALSE))))</f>
        <v/>
      </c>
      <c r="P184" s="232" t="str">
        <f>IFERROR(INDEX('G-1 All Habitats'!$AG$3:$AG$15,MATCH(Q184,'G-1 All Habitats'!$AF$3:$AF$15,0)),"")</f>
        <v/>
      </c>
      <c r="Q184" s="228" t="str">
        <f t="shared" si="34"/>
        <v/>
      </c>
      <c r="R184" s="229" t="str">
        <f t="shared" si="35"/>
        <v/>
      </c>
      <c r="S184" s="233" t="str">
        <f>IFERROR(INDEX('G-1 All Habitats'!$B$3:$B$129,MATCH(R184,'G-1 All Habitats'!$A$3:$A$129,0)),"")</f>
        <v/>
      </c>
      <c r="T184" s="507" t="str">
        <f t="shared" si="27"/>
        <v/>
      </c>
      <c r="U184" s="524" t="str">
        <f t="shared" si="28"/>
        <v/>
      </c>
      <c r="V184" s="523" t="str">
        <f t="shared" si="25"/>
        <v/>
      </c>
      <c r="W184" s="520" t="str">
        <f>IF(S184="","",VLOOKUP(S184,'G-1 All Habitats'!$B$2:$M$129,10,FALSE))</f>
        <v/>
      </c>
      <c r="X184" s="520" t="str">
        <f>IFERROR(VLOOKUP(W184,'G-1 All Habitats'!$V$3:$W$7,2,FALSE),"")</f>
        <v/>
      </c>
      <c r="Y184" s="203"/>
      <c r="Z184" s="524" t="str">
        <f>IFERROR(INDEX('G-8 Condition Look up'!$A$3:$H$130,MATCH(S184,'G-8 Condition Look up'!$A$3:$A$130,0),MATCH(Y184,'G-8 Condition Look up'!$A$3:$H$3,0)),"")</f>
        <v/>
      </c>
      <c r="AA184" s="145"/>
      <c r="AB184" s="540" t="str">
        <f>IF(AA184="","",IF(VLOOKUP(AA184,'G-3 Multipliers'!$L$3:$N$6,2,FALSE)=0,"Spatial Data Missing ⚠",VLOOKUP(AA184,'G-3 Multipliers'!$L$3:$N$6,2,FALSE)))</f>
        <v/>
      </c>
      <c r="AC184" s="524" t="str">
        <f>IF(AA184="","",IF(VLOOKUP(AA184,'G-3 Multipliers'!$L$3:$N$6,3,FALSE)=0,"Spatial Data Missing ⚠",VLOOKUP(AA184,'G-3 Multipliers'!$L$3:$N$6,3,FALSE)))</f>
        <v/>
      </c>
      <c r="AD184" s="537" t="str">
        <f t="shared" si="26"/>
        <v/>
      </c>
      <c r="AE184" s="203"/>
      <c r="AF184" s="203"/>
      <c r="AG184" s="520" t="str">
        <f t="shared" si="29"/>
        <v/>
      </c>
      <c r="AH184" s="544" t="str">
        <f t="shared" si="30"/>
        <v/>
      </c>
      <c r="AI184" s="525" t="str">
        <f>IF(AH184="Check Data ⚠","Check Data ⚠",IFERROR(VLOOKUP(AH184,'G-4 Temporal multipliers'!$A$4:$C$36,3,FALSE),""))</f>
        <v/>
      </c>
      <c r="AJ184" s="537" t="str">
        <f>IF(S184="","",VLOOKUP(S184,'G-3 Multipliers'!$A$2:$E$129,4,FALSE))</f>
        <v/>
      </c>
      <c r="AK184" s="520" t="str">
        <f t="shared" si="31"/>
        <v/>
      </c>
      <c r="AL184" s="520" t="str">
        <f t="shared" si="32"/>
        <v/>
      </c>
      <c r="AM184" s="524" t="str">
        <f>IFERROR(IF(F184="","",IF(AH184="Check Data ⚠","Check Data ⚠",VLOOKUP(AL184, 'G-3 Multipliers'!$P$2:$Q$6,2,FALSE))),"")</f>
        <v/>
      </c>
      <c r="AN184" s="197"/>
      <c r="AO184" s="540" t="str">
        <f>IF(AN184="","",IF(VLOOKUP(AN184,'G-3 Multipliers'!$S$3:$T$9,2,FALSE)=0,"Spatial Data Missing ⚠",VLOOKUP(AN184,'G-3 Multipliers'!$S$3:$T$9,2,FALSE)))</f>
        <v/>
      </c>
      <c r="AP184" s="513" t="str">
        <f t="shared" si="33"/>
        <v/>
      </c>
      <c r="AQ184" s="231"/>
      <c r="AR184" s="150"/>
    </row>
    <row r="185" spans="1:44" x14ac:dyDescent="0.25">
      <c r="A185" s="31" t="str">
        <f>IF(E185="","",IF(ISNA(VLOOKUP($E185,'D-1 Off Site Habitat Baseline'!$D$1:$O$258,2,FALSE)),"",(VLOOKUP($E185,'D-1 Off Site Habitat Baseline'!$D$1:$O$258,2,FALSE))))</f>
        <v/>
      </c>
      <c r="B185" s="31" t="str">
        <f>IF(E185="","",IF(ISNA(VLOOKUP($E185,'D-1 Off Site Habitat Baseline'!$D$1:$O$258,3,FALSE)),"",(VLOOKUP($E185,'D-1 Off Site Habitat Baseline'!$D$1:$O$258,3,FALSE))))</f>
        <v/>
      </c>
      <c r="C185" s="31" t="str">
        <f>IFERROR(INDEX('G-8 Condition Look up'!$I$4:$I$130,MATCH(S185,'G-8 Condition Look up'!$A$4:$A$130,0)),"")</f>
        <v/>
      </c>
      <c r="E185" s="547" t="str">
        <f>'D-1 Off Site Habitat Baseline'!AL184</f>
        <v/>
      </c>
      <c r="F185" s="520" t="str">
        <f>IF(E185="","",IF(ISNA(VLOOKUP($E185,'D-1 Off Site Habitat Baseline'!$D$1:$O$258,4,FALSE)),"",(VLOOKUP($E185,'D-1 Off Site Habitat Baseline'!$D$1:$O$258,4,FALSE))))</f>
        <v/>
      </c>
      <c r="G185" s="520" t="str">
        <f>IF(E185="","",IF(ISNA(VLOOKUP($E185,'D-1 Off Site Habitat Baseline'!$D$1:$O$258,5,FALSE)),"",(VLOOKUP($E185,'D-1 Off Site Habitat Baseline'!$D$1:$O$258,5,FALSE))))</f>
        <v/>
      </c>
      <c r="H185" s="520" t="str">
        <f>IF(E185="","",IF(ISNA(VLOOKUP($E185,'D-1 Off Site Habitat Baseline'!$D$1:$O$258,6,FALSE)),"",(VLOOKUP($E185,'D-1 Off Site Habitat Baseline'!$D$1:$O$258,6,FALSE))))</f>
        <v/>
      </c>
      <c r="I185" s="520" t="str">
        <f>IF(E185="","",IF(ISNA(VLOOKUP($E185,'D-1 Off Site Habitat Baseline'!$D$1:$O$258,7,FALSE)),"",(VLOOKUP($E185,'D-1 Off Site Habitat Baseline'!$D$1:$O$258,7,FALSE))))</f>
        <v/>
      </c>
      <c r="J185" s="520" t="str">
        <f>IF(E185="","",IF(ISNA(VLOOKUP($E185,'D-1 Off Site Habitat Baseline'!$D$1:$O$258,8,FALSE)),"",(VLOOKUP($E185,'D-1 Off Site Habitat Baseline'!$D$1:$O$258,8,FALSE))))</f>
        <v/>
      </c>
      <c r="K185" s="520" t="str">
        <f>IF(E185="","",IF(ISNA(VLOOKUP($E185,'D-1 Off Site Habitat Baseline'!$D$1:$O$258,9,FALSE)),"",(VLOOKUP($E185,'D-1 Off Site Habitat Baseline'!$D$1:$O$258,9,FALSE))))</f>
        <v/>
      </c>
      <c r="L185" s="520" t="str">
        <f>IF(E185="","",IF(ISNA(VLOOKUP($E185,'D-1 Off Site Habitat Baseline'!$D$1:$O$258,11,FALSE)),"",(VLOOKUP($E185,'D-1 Off Site Habitat Baseline'!$D$1:$O$258,11,FALSE))))</f>
        <v/>
      </c>
      <c r="M185" s="520" t="str">
        <f>IF(E185="","",IF(ISNA(VLOOKUP($E185,'D-1 Off Site Habitat Baseline'!$D$1:$O$258,12,FALSE)),"",(VLOOKUP($E185,'D-1 Off Site Habitat Baseline'!$D$1:$O$258,12,FALSE))))</f>
        <v/>
      </c>
      <c r="N185" s="520" t="str">
        <f>IF(E185="","",IF(ISNA(VLOOKUP($E185,'D-1 Off Site Habitat Baseline'!$D$1:$X$258,14,FALSE)),"",(VLOOKUP($E185,'D-1 Off Site Habitat Baseline'!$D$1:$X$258,14,FALSE))))</f>
        <v/>
      </c>
      <c r="O185" s="524" t="str">
        <f>IF(E185="","",IF(ISNA(VLOOKUP($E185,'D-1 Off Site Habitat Baseline'!$D$1:$X$258,13,FALSE)),"",(VLOOKUP($E185,'D-1 Off Site Habitat Baseline'!$D$1:$X$258,13,FALSE))))</f>
        <v/>
      </c>
      <c r="P185" s="232" t="str">
        <f>IFERROR(INDEX('G-1 All Habitats'!$AG$3:$AG$15,MATCH(Q185,'G-1 All Habitats'!$AF$3:$AF$15,0)),"")</f>
        <v/>
      </c>
      <c r="Q185" s="228" t="str">
        <f t="shared" si="34"/>
        <v/>
      </c>
      <c r="R185" s="229" t="str">
        <f t="shared" si="35"/>
        <v/>
      </c>
      <c r="S185" s="233" t="str">
        <f>IFERROR(INDEX('G-1 All Habitats'!$B$3:$B$129,MATCH(R185,'G-1 All Habitats'!$A$3:$A$129,0)),"")</f>
        <v/>
      </c>
      <c r="T185" s="507" t="str">
        <f t="shared" si="27"/>
        <v/>
      </c>
      <c r="U185" s="524" t="str">
        <f t="shared" si="28"/>
        <v/>
      </c>
      <c r="V185" s="523" t="str">
        <f t="shared" si="25"/>
        <v/>
      </c>
      <c r="W185" s="520" t="str">
        <f>IF(S185="","",VLOOKUP(S185,'G-1 All Habitats'!$B$2:$M$129,10,FALSE))</f>
        <v/>
      </c>
      <c r="X185" s="520" t="str">
        <f>IFERROR(VLOOKUP(W185,'G-1 All Habitats'!$V$3:$W$7,2,FALSE),"")</f>
        <v/>
      </c>
      <c r="Y185" s="203"/>
      <c r="Z185" s="524" t="str">
        <f>IFERROR(INDEX('G-8 Condition Look up'!$A$3:$H$130,MATCH(S185,'G-8 Condition Look up'!$A$3:$A$130,0),MATCH(Y185,'G-8 Condition Look up'!$A$3:$H$3,0)),"")</f>
        <v/>
      </c>
      <c r="AA185" s="145"/>
      <c r="AB185" s="540" t="str">
        <f>IF(AA185="","",IF(VLOOKUP(AA185,'G-3 Multipliers'!$L$3:$N$6,2,FALSE)=0,"Spatial Data Missing ⚠",VLOOKUP(AA185,'G-3 Multipliers'!$L$3:$N$6,2,FALSE)))</f>
        <v/>
      </c>
      <c r="AC185" s="524" t="str">
        <f>IF(AA185="","",IF(VLOOKUP(AA185,'G-3 Multipliers'!$L$3:$N$6,3,FALSE)=0,"Spatial Data Missing ⚠",VLOOKUP(AA185,'G-3 Multipliers'!$L$3:$N$6,3,FALSE)))</f>
        <v/>
      </c>
      <c r="AD185" s="537" t="str">
        <f t="shared" si="26"/>
        <v/>
      </c>
      <c r="AE185" s="203"/>
      <c r="AF185" s="203"/>
      <c r="AG185" s="520" t="str">
        <f t="shared" si="29"/>
        <v/>
      </c>
      <c r="AH185" s="544" t="str">
        <f t="shared" si="30"/>
        <v/>
      </c>
      <c r="AI185" s="525" t="str">
        <f>IF(AH185="Check Data ⚠","Check Data ⚠",IFERROR(VLOOKUP(AH185,'G-4 Temporal multipliers'!$A$4:$C$36,3,FALSE),""))</f>
        <v/>
      </c>
      <c r="AJ185" s="537" t="str">
        <f>IF(S185="","",VLOOKUP(S185,'G-3 Multipliers'!$A$2:$E$129,4,FALSE))</f>
        <v/>
      </c>
      <c r="AK185" s="520" t="str">
        <f t="shared" si="31"/>
        <v/>
      </c>
      <c r="AL185" s="520" t="str">
        <f t="shared" si="32"/>
        <v/>
      </c>
      <c r="AM185" s="524" t="str">
        <f>IFERROR(IF(F185="","",IF(AH185="Check Data ⚠","Check Data ⚠",VLOOKUP(AL185, 'G-3 Multipliers'!$P$2:$Q$6,2,FALSE))),"")</f>
        <v/>
      </c>
      <c r="AN185" s="197"/>
      <c r="AO185" s="540" t="str">
        <f>IF(AN185="","",IF(VLOOKUP(AN185,'G-3 Multipliers'!$S$3:$T$9,2,FALSE)=0,"Spatial Data Missing ⚠",VLOOKUP(AN185,'G-3 Multipliers'!$S$3:$T$9,2,FALSE)))</f>
        <v/>
      </c>
      <c r="AP185" s="513" t="str">
        <f t="shared" si="33"/>
        <v/>
      </c>
      <c r="AQ185" s="231"/>
      <c r="AR185" s="150"/>
    </row>
    <row r="186" spans="1:44" x14ac:dyDescent="0.25">
      <c r="A186" s="31" t="str">
        <f>IF(E186="","",IF(ISNA(VLOOKUP($E186,'D-1 Off Site Habitat Baseline'!$D$1:$O$258,2,FALSE)),"",(VLOOKUP($E186,'D-1 Off Site Habitat Baseline'!$D$1:$O$258,2,FALSE))))</f>
        <v/>
      </c>
      <c r="B186" s="31" t="str">
        <f>IF(E186="","",IF(ISNA(VLOOKUP($E186,'D-1 Off Site Habitat Baseline'!$D$1:$O$258,3,FALSE)),"",(VLOOKUP($E186,'D-1 Off Site Habitat Baseline'!$D$1:$O$258,3,FALSE))))</f>
        <v/>
      </c>
      <c r="C186" s="31" t="str">
        <f>IFERROR(INDEX('G-8 Condition Look up'!$I$4:$I$130,MATCH(S186,'G-8 Condition Look up'!$A$4:$A$130,0)),"")</f>
        <v/>
      </c>
      <c r="E186" s="547" t="str">
        <f>'D-1 Off Site Habitat Baseline'!AL185</f>
        <v/>
      </c>
      <c r="F186" s="520" t="str">
        <f>IF(E186="","",IF(ISNA(VLOOKUP($E186,'D-1 Off Site Habitat Baseline'!$D$1:$O$258,4,FALSE)),"",(VLOOKUP($E186,'D-1 Off Site Habitat Baseline'!$D$1:$O$258,4,FALSE))))</f>
        <v/>
      </c>
      <c r="G186" s="520" t="str">
        <f>IF(E186="","",IF(ISNA(VLOOKUP($E186,'D-1 Off Site Habitat Baseline'!$D$1:$O$258,5,FALSE)),"",(VLOOKUP($E186,'D-1 Off Site Habitat Baseline'!$D$1:$O$258,5,FALSE))))</f>
        <v/>
      </c>
      <c r="H186" s="520" t="str">
        <f>IF(E186="","",IF(ISNA(VLOOKUP($E186,'D-1 Off Site Habitat Baseline'!$D$1:$O$258,6,FALSE)),"",(VLOOKUP($E186,'D-1 Off Site Habitat Baseline'!$D$1:$O$258,6,FALSE))))</f>
        <v/>
      </c>
      <c r="I186" s="520" t="str">
        <f>IF(E186="","",IF(ISNA(VLOOKUP($E186,'D-1 Off Site Habitat Baseline'!$D$1:$O$258,7,FALSE)),"",(VLOOKUP($E186,'D-1 Off Site Habitat Baseline'!$D$1:$O$258,7,FALSE))))</f>
        <v/>
      </c>
      <c r="J186" s="520" t="str">
        <f>IF(E186="","",IF(ISNA(VLOOKUP($E186,'D-1 Off Site Habitat Baseline'!$D$1:$O$258,8,FALSE)),"",(VLOOKUP($E186,'D-1 Off Site Habitat Baseline'!$D$1:$O$258,8,FALSE))))</f>
        <v/>
      </c>
      <c r="K186" s="520" t="str">
        <f>IF(E186="","",IF(ISNA(VLOOKUP($E186,'D-1 Off Site Habitat Baseline'!$D$1:$O$258,9,FALSE)),"",(VLOOKUP($E186,'D-1 Off Site Habitat Baseline'!$D$1:$O$258,9,FALSE))))</f>
        <v/>
      </c>
      <c r="L186" s="520" t="str">
        <f>IF(E186="","",IF(ISNA(VLOOKUP($E186,'D-1 Off Site Habitat Baseline'!$D$1:$O$258,11,FALSE)),"",(VLOOKUP($E186,'D-1 Off Site Habitat Baseline'!$D$1:$O$258,11,FALSE))))</f>
        <v/>
      </c>
      <c r="M186" s="520" t="str">
        <f>IF(E186="","",IF(ISNA(VLOOKUP($E186,'D-1 Off Site Habitat Baseline'!$D$1:$O$258,12,FALSE)),"",(VLOOKUP($E186,'D-1 Off Site Habitat Baseline'!$D$1:$O$258,12,FALSE))))</f>
        <v/>
      </c>
      <c r="N186" s="520" t="str">
        <f>IF(E186="","",IF(ISNA(VLOOKUP($E186,'D-1 Off Site Habitat Baseline'!$D$1:$X$258,14,FALSE)),"",(VLOOKUP($E186,'D-1 Off Site Habitat Baseline'!$D$1:$X$258,14,FALSE))))</f>
        <v/>
      </c>
      <c r="O186" s="524" t="str">
        <f>IF(E186="","",IF(ISNA(VLOOKUP($E186,'D-1 Off Site Habitat Baseline'!$D$1:$X$258,13,FALSE)),"",(VLOOKUP($E186,'D-1 Off Site Habitat Baseline'!$D$1:$X$258,13,FALSE))))</f>
        <v/>
      </c>
      <c r="P186" s="232" t="str">
        <f>IFERROR(INDEX('G-1 All Habitats'!$AG$3:$AG$15,MATCH(Q186,'G-1 All Habitats'!$AF$3:$AF$15,0)),"")</f>
        <v/>
      </c>
      <c r="Q186" s="228" t="str">
        <f t="shared" si="34"/>
        <v/>
      </c>
      <c r="R186" s="229" t="str">
        <f t="shared" si="35"/>
        <v/>
      </c>
      <c r="S186" s="233" t="str">
        <f>IFERROR(INDEX('G-1 All Habitats'!$B$3:$B$129,MATCH(R186,'G-1 All Habitats'!$A$3:$A$129,0)),"")</f>
        <v/>
      </c>
      <c r="T186" s="507" t="str">
        <f t="shared" si="27"/>
        <v/>
      </c>
      <c r="U186" s="524" t="str">
        <f t="shared" si="28"/>
        <v/>
      </c>
      <c r="V186" s="523" t="str">
        <f t="shared" si="25"/>
        <v/>
      </c>
      <c r="W186" s="520" t="str">
        <f>IF(S186="","",VLOOKUP(S186,'G-1 All Habitats'!$B$2:$M$129,10,FALSE))</f>
        <v/>
      </c>
      <c r="X186" s="520" t="str">
        <f>IFERROR(VLOOKUP(W186,'G-1 All Habitats'!$V$3:$W$7,2,FALSE),"")</f>
        <v/>
      </c>
      <c r="Y186" s="203"/>
      <c r="Z186" s="524" t="str">
        <f>IFERROR(INDEX('G-8 Condition Look up'!$A$3:$H$130,MATCH(S186,'G-8 Condition Look up'!$A$3:$A$130,0),MATCH(Y186,'G-8 Condition Look up'!$A$3:$H$3,0)),"")</f>
        <v/>
      </c>
      <c r="AA186" s="145"/>
      <c r="AB186" s="540" t="str">
        <f>IF(AA186="","",IF(VLOOKUP(AA186,'G-3 Multipliers'!$L$3:$N$6,2,FALSE)=0,"Spatial Data Missing ⚠",VLOOKUP(AA186,'G-3 Multipliers'!$L$3:$N$6,2,FALSE)))</f>
        <v/>
      </c>
      <c r="AC186" s="524" t="str">
        <f>IF(AA186="","",IF(VLOOKUP(AA186,'G-3 Multipliers'!$L$3:$N$6,3,FALSE)=0,"Spatial Data Missing ⚠",VLOOKUP(AA186,'G-3 Multipliers'!$L$3:$N$6,3,FALSE)))</f>
        <v/>
      </c>
      <c r="AD186" s="537" t="str">
        <f t="shared" si="26"/>
        <v/>
      </c>
      <c r="AE186" s="203"/>
      <c r="AF186" s="203"/>
      <c r="AG186" s="520" t="str">
        <f t="shared" si="29"/>
        <v/>
      </c>
      <c r="AH186" s="544" t="str">
        <f t="shared" si="30"/>
        <v/>
      </c>
      <c r="AI186" s="525" t="str">
        <f>IF(AH186="Check Data ⚠","Check Data ⚠",IFERROR(VLOOKUP(AH186,'G-4 Temporal multipliers'!$A$4:$C$36,3,FALSE),""))</f>
        <v/>
      </c>
      <c r="AJ186" s="537" t="str">
        <f>IF(S186="","",VLOOKUP(S186,'G-3 Multipliers'!$A$2:$E$129,4,FALSE))</f>
        <v/>
      </c>
      <c r="AK186" s="520" t="str">
        <f t="shared" si="31"/>
        <v/>
      </c>
      <c r="AL186" s="520" t="str">
        <f t="shared" si="32"/>
        <v/>
      </c>
      <c r="AM186" s="524" t="str">
        <f>IFERROR(IF(F186="","",IF(AH186="Check Data ⚠","Check Data ⚠",VLOOKUP(AL186, 'G-3 Multipliers'!$P$2:$Q$6,2,FALSE))),"")</f>
        <v/>
      </c>
      <c r="AN186" s="197"/>
      <c r="AO186" s="540" t="str">
        <f>IF(AN186="","",IF(VLOOKUP(AN186,'G-3 Multipliers'!$S$3:$T$9,2,FALSE)=0,"Spatial Data Missing ⚠",VLOOKUP(AN186,'G-3 Multipliers'!$S$3:$T$9,2,FALSE)))</f>
        <v/>
      </c>
      <c r="AP186" s="513" t="str">
        <f t="shared" si="33"/>
        <v/>
      </c>
      <c r="AQ186" s="231"/>
      <c r="AR186" s="150"/>
    </row>
    <row r="187" spans="1:44" x14ac:dyDescent="0.25">
      <c r="A187" s="31" t="str">
        <f>IF(E187="","",IF(ISNA(VLOOKUP($E187,'D-1 Off Site Habitat Baseline'!$D$1:$O$258,2,FALSE)),"",(VLOOKUP($E187,'D-1 Off Site Habitat Baseline'!$D$1:$O$258,2,FALSE))))</f>
        <v/>
      </c>
      <c r="B187" s="31" t="str">
        <f>IF(E187="","",IF(ISNA(VLOOKUP($E187,'D-1 Off Site Habitat Baseline'!$D$1:$O$258,3,FALSE)),"",(VLOOKUP($E187,'D-1 Off Site Habitat Baseline'!$D$1:$O$258,3,FALSE))))</f>
        <v/>
      </c>
      <c r="C187" s="31" t="str">
        <f>IFERROR(INDEX('G-8 Condition Look up'!$I$4:$I$130,MATCH(S187,'G-8 Condition Look up'!$A$4:$A$130,0)),"")</f>
        <v/>
      </c>
      <c r="E187" s="547" t="str">
        <f>'D-1 Off Site Habitat Baseline'!AL186</f>
        <v/>
      </c>
      <c r="F187" s="520" t="str">
        <f>IF(E187="","",IF(ISNA(VLOOKUP($E187,'D-1 Off Site Habitat Baseline'!$D$1:$O$258,4,FALSE)),"",(VLOOKUP($E187,'D-1 Off Site Habitat Baseline'!$D$1:$O$258,4,FALSE))))</f>
        <v/>
      </c>
      <c r="G187" s="520" t="str">
        <f>IF(E187="","",IF(ISNA(VLOOKUP($E187,'D-1 Off Site Habitat Baseline'!$D$1:$O$258,5,FALSE)),"",(VLOOKUP($E187,'D-1 Off Site Habitat Baseline'!$D$1:$O$258,5,FALSE))))</f>
        <v/>
      </c>
      <c r="H187" s="520" t="str">
        <f>IF(E187="","",IF(ISNA(VLOOKUP($E187,'D-1 Off Site Habitat Baseline'!$D$1:$O$258,6,FALSE)),"",(VLOOKUP($E187,'D-1 Off Site Habitat Baseline'!$D$1:$O$258,6,FALSE))))</f>
        <v/>
      </c>
      <c r="I187" s="520" t="str">
        <f>IF(E187="","",IF(ISNA(VLOOKUP($E187,'D-1 Off Site Habitat Baseline'!$D$1:$O$258,7,FALSE)),"",(VLOOKUP($E187,'D-1 Off Site Habitat Baseline'!$D$1:$O$258,7,FALSE))))</f>
        <v/>
      </c>
      <c r="J187" s="520" t="str">
        <f>IF(E187="","",IF(ISNA(VLOOKUP($E187,'D-1 Off Site Habitat Baseline'!$D$1:$O$258,8,FALSE)),"",(VLOOKUP($E187,'D-1 Off Site Habitat Baseline'!$D$1:$O$258,8,FALSE))))</f>
        <v/>
      </c>
      <c r="K187" s="520" t="str">
        <f>IF(E187="","",IF(ISNA(VLOOKUP($E187,'D-1 Off Site Habitat Baseline'!$D$1:$O$258,9,FALSE)),"",(VLOOKUP($E187,'D-1 Off Site Habitat Baseline'!$D$1:$O$258,9,FALSE))))</f>
        <v/>
      </c>
      <c r="L187" s="520" t="str">
        <f>IF(E187="","",IF(ISNA(VLOOKUP($E187,'D-1 Off Site Habitat Baseline'!$D$1:$O$258,11,FALSE)),"",(VLOOKUP($E187,'D-1 Off Site Habitat Baseline'!$D$1:$O$258,11,FALSE))))</f>
        <v/>
      </c>
      <c r="M187" s="520" t="str">
        <f>IF(E187="","",IF(ISNA(VLOOKUP($E187,'D-1 Off Site Habitat Baseline'!$D$1:$O$258,12,FALSE)),"",(VLOOKUP($E187,'D-1 Off Site Habitat Baseline'!$D$1:$O$258,12,FALSE))))</f>
        <v/>
      </c>
      <c r="N187" s="520" t="str">
        <f>IF(E187="","",IF(ISNA(VLOOKUP($E187,'D-1 Off Site Habitat Baseline'!$D$1:$X$258,14,FALSE)),"",(VLOOKUP($E187,'D-1 Off Site Habitat Baseline'!$D$1:$X$258,14,FALSE))))</f>
        <v/>
      </c>
      <c r="O187" s="524" t="str">
        <f>IF(E187="","",IF(ISNA(VLOOKUP($E187,'D-1 Off Site Habitat Baseline'!$D$1:$X$258,13,FALSE)),"",(VLOOKUP($E187,'D-1 Off Site Habitat Baseline'!$D$1:$X$258,13,FALSE))))</f>
        <v/>
      </c>
      <c r="P187" s="232" t="str">
        <f>IFERROR(INDEX('G-1 All Habitats'!$AG$3:$AG$15,MATCH(Q187,'G-1 All Habitats'!$AF$3:$AF$15,0)),"")</f>
        <v/>
      </c>
      <c r="Q187" s="228" t="str">
        <f t="shared" si="34"/>
        <v/>
      </c>
      <c r="R187" s="229" t="str">
        <f t="shared" si="35"/>
        <v/>
      </c>
      <c r="S187" s="233" t="str">
        <f>IFERROR(INDEX('G-1 All Habitats'!$B$3:$B$129,MATCH(R187,'G-1 All Habitats'!$A$3:$A$129,0)),"")</f>
        <v/>
      </c>
      <c r="T187" s="507" t="str">
        <f t="shared" si="27"/>
        <v/>
      </c>
      <c r="U187" s="524" t="str">
        <f t="shared" si="28"/>
        <v/>
      </c>
      <c r="V187" s="523" t="str">
        <f t="shared" si="25"/>
        <v/>
      </c>
      <c r="W187" s="520" t="str">
        <f>IF(S187="","",VLOOKUP(S187,'G-1 All Habitats'!$B$2:$M$129,10,FALSE))</f>
        <v/>
      </c>
      <c r="X187" s="520" t="str">
        <f>IFERROR(VLOOKUP(W187,'G-1 All Habitats'!$V$3:$W$7,2,FALSE),"")</f>
        <v/>
      </c>
      <c r="Y187" s="203"/>
      <c r="Z187" s="524" t="str">
        <f>IFERROR(INDEX('G-8 Condition Look up'!$A$3:$H$130,MATCH(S187,'G-8 Condition Look up'!$A$3:$A$130,0),MATCH(Y187,'G-8 Condition Look up'!$A$3:$H$3,0)),"")</f>
        <v/>
      </c>
      <c r="AA187" s="145"/>
      <c r="AB187" s="540" t="str">
        <f>IF(AA187="","",IF(VLOOKUP(AA187,'G-3 Multipliers'!$L$3:$N$6,2,FALSE)=0,"Spatial Data Missing ⚠",VLOOKUP(AA187,'G-3 Multipliers'!$L$3:$N$6,2,FALSE)))</f>
        <v/>
      </c>
      <c r="AC187" s="524" t="str">
        <f>IF(AA187="","",IF(VLOOKUP(AA187,'G-3 Multipliers'!$L$3:$N$6,3,FALSE)=0,"Spatial Data Missing ⚠",VLOOKUP(AA187,'G-3 Multipliers'!$L$3:$N$6,3,FALSE)))</f>
        <v/>
      </c>
      <c r="AD187" s="537" t="str">
        <f t="shared" si="26"/>
        <v/>
      </c>
      <c r="AE187" s="203"/>
      <c r="AF187" s="203"/>
      <c r="AG187" s="520" t="str">
        <f t="shared" si="29"/>
        <v/>
      </c>
      <c r="AH187" s="544" t="str">
        <f t="shared" si="30"/>
        <v/>
      </c>
      <c r="AI187" s="525" t="str">
        <f>IF(AH187="Check Data ⚠","Check Data ⚠",IFERROR(VLOOKUP(AH187,'G-4 Temporal multipliers'!$A$4:$C$36,3,FALSE),""))</f>
        <v/>
      </c>
      <c r="AJ187" s="537" t="str">
        <f>IF(S187="","",VLOOKUP(S187,'G-3 Multipliers'!$A$2:$E$129,4,FALSE))</f>
        <v/>
      </c>
      <c r="AK187" s="520" t="str">
        <f t="shared" si="31"/>
        <v/>
      </c>
      <c r="AL187" s="520" t="str">
        <f t="shared" si="32"/>
        <v/>
      </c>
      <c r="AM187" s="524" t="str">
        <f>IFERROR(IF(F187="","",IF(AH187="Check Data ⚠","Check Data ⚠",VLOOKUP(AL187, 'G-3 Multipliers'!$P$2:$Q$6,2,FALSE))),"")</f>
        <v/>
      </c>
      <c r="AN187" s="197"/>
      <c r="AO187" s="540" t="str">
        <f>IF(AN187="","",IF(VLOOKUP(AN187,'G-3 Multipliers'!$S$3:$T$9,2,FALSE)=0,"Spatial Data Missing ⚠",VLOOKUP(AN187,'G-3 Multipliers'!$S$3:$T$9,2,FALSE)))</f>
        <v/>
      </c>
      <c r="AP187" s="513" t="str">
        <f t="shared" si="33"/>
        <v/>
      </c>
      <c r="AQ187" s="231"/>
      <c r="AR187" s="150"/>
    </row>
    <row r="188" spans="1:44" x14ac:dyDescent="0.25">
      <c r="A188" s="31" t="str">
        <f>IF(E188="","",IF(ISNA(VLOOKUP($E188,'D-1 Off Site Habitat Baseline'!$D$1:$O$258,2,FALSE)),"",(VLOOKUP($E188,'D-1 Off Site Habitat Baseline'!$D$1:$O$258,2,FALSE))))</f>
        <v/>
      </c>
      <c r="B188" s="31" t="str">
        <f>IF(E188="","",IF(ISNA(VLOOKUP($E188,'D-1 Off Site Habitat Baseline'!$D$1:$O$258,3,FALSE)),"",(VLOOKUP($E188,'D-1 Off Site Habitat Baseline'!$D$1:$O$258,3,FALSE))))</f>
        <v/>
      </c>
      <c r="C188" s="31" t="str">
        <f>IFERROR(INDEX('G-8 Condition Look up'!$I$4:$I$130,MATCH(S188,'G-8 Condition Look up'!$A$4:$A$130,0)),"")</f>
        <v/>
      </c>
      <c r="E188" s="547" t="str">
        <f>'D-1 Off Site Habitat Baseline'!AL187</f>
        <v/>
      </c>
      <c r="F188" s="520" t="str">
        <f>IF(E188="","",IF(ISNA(VLOOKUP($E188,'D-1 Off Site Habitat Baseline'!$D$1:$O$258,4,FALSE)),"",(VLOOKUP($E188,'D-1 Off Site Habitat Baseline'!$D$1:$O$258,4,FALSE))))</f>
        <v/>
      </c>
      <c r="G188" s="520" t="str">
        <f>IF(E188="","",IF(ISNA(VLOOKUP($E188,'D-1 Off Site Habitat Baseline'!$D$1:$O$258,5,FALSE)),"",(VLOOKUP($E188,'D-1 Off Site Habitat Baseline'!$D$1:$O$258,5,FALSE))))</f>
        <v/>
      </c>
      <c r="H188" s="520" t="str">
        <f>IF(E188="","",IF(ISNA(VLOOKUP($E188,'D-1 Off Site Habitat Baseline'!$D$1:$O$258,6,FALSE)),"",(VLOOKUP($E188,'D-1 Off Site Habitat Baseline'!$D$1:$O$258,6,FALSE))))</f>
        <v/>
      </c>
      <c r="I188" s="520" t="str">
        <f>IF(E188="","",IF(ISNA(VLOOKUP($E188,'D-1 Off Site Habitat Baseline'!$D$1:$O$258,7,FALSE)),"",(VLOOKUP($E188,'D-1 Off Site Habitat Baseline'!$D$1:$O$258,7,FALSE))))</f>
        <v/>
      </c>
      <c r="J188" s="520" t="str">
        <f>IF(E188="","",IF(ISNA(VLOOKUP($E188,'D-1 Off Site Habitat Baseline'!$D$1:$O$258,8,FALSE)),"",(VLOOKUP($E188,'D-1 Off Site Habitat Baseline'!$D$1:$O$258,8,FALSE))))</f>
        <v/>
      </c>
      <c r="K188" s="520" t="str">
        <f>IF(E188="","",IF(ISNA(VLOOKUP($E188,'D-1 Off Site Habitat Baseline'!$D$1:$O$258,9,FALSE)),"",(VLOOKUP($E188,'D-1 Off Site Habitat Baseline'!$D$1:$O$258,9,FALSE))))</f>
        <v/>
      </c>
      <c r="L188" s="520" t="str">
        <f>IF(E188="","",IF(ISNA(VLOOKUP($E188,'D-1 Off Site Habitat Baseline'!$D$1:$O$258,11,FALSE)),"",(VLOOKUP($E188,'D-1 Off Site Habitat Baseline'!$D$1:$O$258,11,FALSE))))</f>
        <v/>
      </c>
      <c r="M188" s="520" t="str">
        <f>IF(E188="","",IF(ISNA(VLOOKUP($E188,'D-1 Off Site Habitat Baseline'!$D$1:$O$258,12,FALSE)),"",(VLOOKUP($E188,'D-1 Off Site Habitat Baseline'!$D$1:$O$258,12,FALSE))))</f>
        <v/>
      </c>
      <c r="N188" s="520" t="str">
        <f>IF(E188="","",IF(ISNA(VLOOKUP($E188,'D-1 Off Site Habitat Baseline'!$D$1:$X$258,14,FALSE)),"",(VLOOKUP($E188,'D-1 Off Site Habitat Baseline'!$D$1:$X$258,14,FALSE))))</f>
        <v/>
      </c>
      <c r="O188" s="524" t="str">
        <f>IF(E188="","",IF(ISNA(VLOOKUP($E188,'D-1 Off Site Habitat Baseline'!$D$1:$X$258,13,FALSE)),"",(VLOOKUP($E188,'D-1 Off Site Habitat Baseline'!$D$1:$X$258,13,FALSE))))</f>
        <v/>
      </c>
      <c r="P188" s="232" t="str">
        <f>IFERROR(INDEX('G-1 All Habitats'!$AG$3:$AG$15,MATCH(Q188,'G-1 All Habitats'!$AF$3:$AF$15,0)),"")</f>
        <v/>
      </c>
      <c r="Q188" s="228" t="str">
        <f t="shared" si="34"/>
        <v/>
      </c>
      <c r="R188" s="229" t="str">
        <f t="shared" si="35"/>
        <v/>
      </c>
      <c r="S188" s="233" t="str">
        <f>IFERROR(INDEX('G-1 All Habitats'!$B$3:$B$129,MATCH(R188,'G-1 All Habitats'!$A$3:$A$129,0)),"")</f>
        <v/>
      </c>
      <c r="T188" s="507" t="str">
        <f t="shared" si="27"/>
        <v/>
      </c>
      <c r="U188" s="524" t="str">
        <f t="shared" si="28"/>
        <v/>
      </c>
      <c r="V188" s="523" t="str">
        <f t="shared" si="25"/>
        <v/>
      </c>
      <c r="W188" s="520" t="str">
        <f>IF(S188="","",VLOOKUP(S188,'G-1 All Habitats'!$B$2:$M$129,10,FALSE))</f>
        <v/>
      </c>
      <c r="X188" s="520" t="str">
        <f>IFERROR(VLOOKUP(W188,'G-1 All Habitats'!$V$3:$W$7,2,FALSE),"")</f>
        <v/>
      </c>
      <c r="Y188" s="203"/>
      <c r="Z188" s="524" t="str">
        <f>IFERROR(INDEX('G-8 Condition Look up'!$A$3:$H$130,MATCH(S188,'G-8 Condition Look up'!$A$3:$A$130,0),MATCH(Y188,'G-8 Condition Look up'!$A$3:$H$3,0)),"")</f>
        <v/>
      </c>
      <c r="AA188" s="145"/>
      <c r="AB188" s="540" t="str">
        <f>IF(AA188="","",IF(VLOOKUP(AA188,'G-3 Multipliers'!$L$3:$N$6,2,FALSE)=0,"Spatial Data Missing ⚠",VLOOKUP(AA188,'G-3 Multipliers'!$L$3:$N$6,2,FALSE)))</f>
        <v/>
      </c>
      <c r="AC188" s="524" t="str">
        <f>IF(AA188="","",IF(VLOOKUP(AA188,'G-3 Multipliers'!$L$3:$N$6,3,FALSE)=0,"Spatial Data Missing ⚠",VLOOKUP(AA188,'G-3 Multipliers'!$L$3:$N$6,3,FALSE)))</f>
        <v/>
      </c>
      <c r="AD188" s="537" t="str">
        <f t="shared" si="26"/>
        <v/>
      </c>
      <c r="AE188" s="203"/>
      <c r="AF188" s="203"/>
      <c r="AG188" s="520" t="str">
        <f t="shared" si="29"/>
        <v/>
      </c>
      <c r="AH188" s="544" t="str">
        <f t="shared" si="30"/>
        <v/>
      </c>
      <c r="AI188" s="525" t="str">
        <f>IF(AH188="Check Data ⚠","Check Data ⚠",IFERROR(VLOOKUP(AH188,'G-4 Temporal multipliers'!$A$4:$C$36,3,FALSE),""))</f>
        <v/>
      </c>
      <c r="AJ188" s="537" t="str">
        <f>IF(S188="","",VLOOKUP(S188,'G-3 Multipliers'!$A$2:$E$129,4,FALSE))</f>
        <v/>
      </c>
      <c r="AK188" s="520" t="str">
        <f t="shared" si="31"/>
        <v/>
      </c>
      <c r="AL188" s="520" t="str">
        <f t="shared" si="32"/>
        <v/>
      </c>
      <c r="AM188" s="524" t="str">
        <f>IFERROR(IF(F188="","",IF(AH188="Check Data ⚠","Check Data ⚠",VLOOKUP(AL188, 'G-3 Multipliers'!$P$2:$Q$6,2,FALSE))),"")</f>
        <v/>
      </c>
      <c r="AN188" s="197"/>
      <c r="AO188" s="540" t="str">
        <f>IF(AN188="","",IF(VLOOKUP(AN188,'G-3 Multipliers'!$S$3:$T$9,2,FALSE)=0,"Spatial Data Missing ⚠",VLOOKUP(AN188,'G-3 Multipliers'!$S$3:$T$9,2,FALSE)))</f>
        <v/>
      </c>
      <c r="AP188" s="513" t="str">
        <f t="shared" si="33"/>
        <v/>
      </c>
      <c r="AQ188" s="231"/>
      <c r="AR188" s="150"/>
    </row>
    <row r="189" spans="1:44" x14ac:dyDescent="0.25">
      <c r="A189" s="31" t="str">
        <f>IF(E189="","",IF(ISNA(VLOOKUP($E189,'D-1 Off Site Habitat Baseline'!$D$1:$O$258,2,FALSE)),"",(VLOOKUP($E189,'D-1 Off Site Habitat Baseline'!$D$1:$O$258,2,FALSE))))</f>
        <v/>
      </c>
      <c r="B189" s="31" t="str">
        <f>IF(E189="","",IF(ISNA(VLOOKUP($E189,'D-1 Off Site Habitat Baseline'!$D$1:$O$258,3,FALSE)),"",(VLOOKUP($E189,'D-1 Off Site Habitat Baseline'!$D$1:$O$258,3,FALSE))))</f>
        <v/>
      </c>
      <c r="C189" s="31" t="str">
        <f>IFERROR(INDEX('G-8 Condition Look up'!$I$4:$I$130,MATCH(S189,'G-8 Condition Look up'!$A$4:$A$130,0)),"")</f>
        <v/>
      </c>
      <c r="E189" s="547" t="str">
        <f>'D-1 Off Site Habitat Baseline'!AL188</f>
        <v/>
      </c>
      <c r="F189" s="520" t="str">
        <f>IF(E189="","",IF(ISNA(VLOOKUP($E189,'D-1 Off Site Habitat Baseline'!$D$1:$O$258,4,FALSE)),"",(VLOOKUP($E189,'D-1 Off Site Habitat Baseline'!$D$1:$O$258,4,FALSE))))</f>
        <v/>
      </c>
      <c r="G189" s="520" t="str">
        <f>IF(E189="","",IF(ISNA(VLOOKUP($E189,'D-1 Off Site Habitat Baseline'!$D$1:$O$258,5,FALSE)),"",(VLOOKUP($E189,'D-1 Off Site Habitat Baseline'!$D$1:$O$258,5,FALSE))))</f>
        <v/>
      </c>
      <c r="H189" s="520" t="str">
        <f>IF(E189="","",IF(ISNA(VLOOKUP($E189,'D-1 Off Site Habitat Baseline'!$D$1:$O$258,6,FALSE)),"",(VLOOKUP($E189,'D-1 Off Site Habitat Baseline'!$D$1:$O$258,6,FALSE))))</f>
        <v/>
      </c>
      <c r="I189" s="520" t="str">
        <f>IF(E189="","",IF(ISNA(VLOOKUP($E189,'D-1 Off Site Habitat Baseline'!$D$1:$O$258,7,FALSE)),"",(VLOOKUP($E189,'D-1 Off Site Habitat Baseline'!$D$1:$O$258,7,FALSE))))</f>
        <v/>
      </c>
      <c r="J189" s="520" t="str">
        <f>IF(E189="","",IF(ISNA(VLOOKUP($E189,'D-1 Off Site Habitat Baseline'!$D$1:$O$258,8,FALSE)),"",(VLOOKUP($E189,'D-1 Off Site Habitat Baseline'!$D$1:$O$258,8,FALSE))))</f>
        <v/>
      </c>
      <c r="K189" s="520" t="str">
        <f>IF(E189="","",IF(ISNA(VLOOKUP($E189,'D-1 Off Site Habitat Baseline'!$D$1:$O$258,9,FALSE)),"",(VLOOKUP($E189,'D-1 Off Site Habitat Baseline'!$D$1:$O$258,9,FALSE))))</f>
        <v/>
      </c>
      <c r="L189" s="520" t="str">
        <f>IF(E189="","",IF(ISNA(VLOOKUP($E189,'D-1 Off Site Habitat Baseline'!$D$1:$O$258,11,FALSE)),"",(VLOOKUP($E189,'D-1 Off Site Habitat Baseline'!$D$1:$O$258,11,FALSE))))</f>
        <v/>
      </c>
      <c r="M189" s="520" t="str">
        <f>IF(E189="","",IF(ISNA(VLOOKUP($E189,'D-1 Off Site Habitat Baseline'!$D$1:$O$258,12,FALSE)),"",(VLOOKUP($E189,'D-1 Off Site Habitat Baseline'!$D$1:$O$258,12,FALSE))))</f>
        <v/>
      </c>
      <c r="N189" s="520" t="str">
        <f>IF(E189="","",IF(ISNA(VLOOKUP($E189,'D-1 Off Site Habitat Baseline'!$D$1:$X$258,14,FALSE)),"",(VLOOKUP($E189,'D-1 Off Site Habitat Baseline'!$D$1:$X$258,14,FALSE))))</f>
        <v/>
      </c>
      <c r="O189" s="524" t="str">
        <f>IF(E189="","",IF(ISNA(VLOOKUP($E189,'D-1 Off Site Habitat Baseline'!$D$1:$X$258,13,FALSE)),"",(VLOOKUP($E189,'D-1 Off Site Habitat Baseline'!$D$1:$X$258,13,FALSE))))</f>
        <v/>
      </c>
      <c r="P189" s="232" t="str">
        <f>IFERROR(INDEX('G-1 All Habitats'!$AG$3:$AG$15,MATCH(Q189,'G-1 All Habitats'!$AF$3:$AF$15,0)),"")</f>
        <v/>
      </c>
      <c r="Q189" s="228" t="str">
        <f t="shared" si="34"/>
        <v/>
      </c>
      <c r="R189" s="229" t="str">
        <f t="shared" si="35"/>
        <v/>
      </c>
      <c r="S189" s="233" t="str">
        <f>IFERROR(INDEX('G-1 All Habitats'!$B$3:$B$129,MATCH(R189,'G-1 All Habitats'!$A$3:$A$129,0)),"")</f>
        <v/>
      </c>
      <c r="T189" s="507" t="str">
        <f t="shared" si="27"/>
        <v/>
      </c>
      <c r="U189" s="524" t="str">
        <f t="shared" si="28"/>
        <v/>
      </c>
      <c r="V189" s="523" t="str">
        <f t="shared" si="25"/>
        <v/>
      </c>
      <c r="W189" s="520" t="str">
        <f>IF(S189="","",VLOOKUP(S189,'G-1 All Habitats'!$B$2:$M$129,10,FALSE))</f>
        <v/>
      </c>
      <c r="X189" s="520" t="str">
        <f>IFERROR(VLOOKUP(W189,'G-1 All Habitats'!$V$3:$W$7,2,FALSE),"")</f>
        <v/>
      </c>
      <c r="Y189" s="203"/>
      <c r="Z189" s="524" t="str">
        <f>IFERROR(INDEX('G-8 Condition Look up'!$A$3:$H$130,MATCH(S189,'G-8 Condition Look up'!$A$3:$A$130,0),MATCH(Y189,'G-8 Condition Look up'!$A$3:$H$3,0)),"")</f>
        <v/>
      </c>
      <c r="AA189" s="145"/>
      <c r="AB189" s="540" t="str">
        <f>IF(AA189="","",IF(VLOOKUP(AA189,'G-3 Multipliers'!$L$3:$N$6,2,FALSE)=0,"Spatial Data Missing ⚠",VLOOKUP(AA189,'G-3 Multipliers'!$L$3:$N$6,2,FALSE)))</f>
        <v/>
      </c>
      <c r="AC189" s="524" t="str">
        <f>IF(AA189="","",IF(VLOOKUP(AA189,'G-3 Multipliers'!$L$3:$N$6,3,FALSE)=0,"Spatial Data Missing ⚠",VLOOKUP(AA189,'G-3 Multipliers'!$L$3:$N$6,3,FALSE)))</f>
        <v/>
      </c>
      <c r="AD189" s="537" t="str">
        <f t="shared" si="26"/>
        <v/>
      </c>
      <c r="AE189" s="203"/>
      <c r="AF189" s="203"/>
      <c r="AG189" s="520" t="str">
        <f t="shared" si="29"/>
        <v/>
      </c>
      <c r="AH189" s="544" t="str">
        <f t="shared" si="30"/>
        <v/>
      </c>
      <c r="AI189" s="525" t="str">
        <f>IF(AH189="Check Data ⚠","Check Data ⚠",IFERROR(VLOOKUP(AH189,'G-4 Temporal multipliers'!$A$4:$C$36,3,FALSE),""))</f>
        <v/>
      </c>
      <c r="AJ189" s="537" t="str">
        <f>IF(S189="","",VLOOKUP(S189,'G-3 Multipliers'!$A$2:$E$129,4,FALSE))</f>
        <v/>
      </c>
      <c r="AK189" s="520" t="str">
        <f t="shared" si="31"/>
        <v/>
      </c>
      <c r="AL189" s="520" t="str">
        <f t="shared" si="32"/>
        <v/>
      </c>
      <c r="AM189" s="524" t="str">
        <f>IFERROR(IF(F189="","",IF(AH189="Check Data ⚠","Check Data ⚠",VLOOKUP(AL189, 'G-3 Multipliers'!$P$2:$Q$6,2,FALSE))),"")</f>
        <v/>
      </c>
      <c r="AN189" s="197"/>
      <c r="AO189" s="540" t="str">
        <f>IF(AN189="","",IF(VLOOKUP(AN189,'G-3 Multipliers'!$S$3:$T$9,2,FALSE)=0,"Spatial Data Missing ⚠",VLOOKUP(AN189,'G-3 Multipliers'!$S$3:$T$9,2,FALSE)))</f>
        <v/>
      </c>
      <c r="AP189" s="513" t="str">
        <f t="shared" si="33"/>
        <v/>
      </c>
      <c r="AQ189" s="231"/>
      <c r="AR189" s="150"/>
    </row>
    <row r="190" spans="1:44" x14ac:dyDescent="0.25">
      <c r="A190" s="31" t="str">
        <f>IF(E190="","",IF(ISNA(VLOOKUP($E190,'D-1 Off Site Habitat Baseline'!$D$1:$O$258,2,FALSE)),"",(VLOOKUP($E190,'D-1 Off Site Habitat Baseline'!$D$1:$O$258,2,FALSE))))</f>
        <v/>
      </c>
      <c r="B190" s="31" t="str">
        <f>IF(E190="","",IF(ISNA(VLOOKUP($E190,'D-1 Off Site Habitat Baseline'!$D$1:$O$258,3,FALSE)),"",(VLOOKUP($E190,'D-1 Off Site Habitat Baseline'!$D$1:$O$258,3,FALSE))))</f>
        <v/>
      </c>
      <c r="C190" s="31" t="str">
        <f>IFERROR(INDEX('G-8 Condition Look up'!$I$4:$I$130,MATCH(S190,'G-8 Condition Look up'!$A$4:$A$130,0)),"")</f>
        <v/>
      </c>
      <c r="E190" s="547" t="str">
        <f>'D-1 Off Site Habitat Baseline'!AL189</f>
        <v/>
      </c>
      <c r="F190" s="520" t="str">
        <f>IF(E190="","",IF(ISNA(VLOOKUP($E190,'D-1 Off Site Habitat Baseline'!$D$1:$O$258,4,FALSE)),"",(VLOOKUP($E190,'D-1 Off Site Habitat Baseline'!$D$1:$O$258,4,FALSE))))</f>
        <v/>
      </c>
      <c r="G190" s="520" t="str">
        <f>IF(E190="","",IF(ISNA(VLOOKUP($E190,'D-1 Off Site Habitat Baseline'!$D$1:$O$258,5,FALSE)),"",(VLOOKUP($E190,'D-1 Off Site Habitat Baseline'!$D$1:$O$258,5,FALSE))))</f>
        <v/>
      </c>
      <c r="H190" s="520" t="str">
        <f>IF(E190="","",IF(ISNA(VLOOKUP($E190,'D-1 Off Site Habitat Baseline'!$D$1:$O$258,6,FALSE)),"",(VLOOKUP($E190,'D-1 Off Site Habitat Baseline'!$D$1:$O$258,6,FALSE))))</f>
        <v/>
      </c>
      <c r="I190" s="520" t="str">
        <f>IF(E190="","",IF(ISNA(VLOOKUP($E190,'D-1 Off Site Habitat Baseline'!$D$1:$O$258,7,FALSE)),"",(VLOOKUP($E190,'D-1 Off Site Habitat Baseline'!$D$1:$O$258,7,FALSE))))</f>
        <v/>
      </c>
      <c r="J190" s="520" t="str">
        <f>IF(E190="","",IF(ISNA(VLOOKUP($E190,'D-1 Off Site Habitat Baseline'!$D$1:$O$258,8,FALSE)),"",(VLOOKUP($E190,'D-1 Off Site Habitat Baseline'!$D$1:$O$258,8,FALSE))))</f>
        <v/>
      </c>
      <c r="K190" s="520" t="str">
        <f>IF(E190="","",IF(ISNA(VLOOKUP($E190,'D-1 Off Site Habitat Baseline'!$D$1:$O$258,9,FALSE)),"",(VLOOKUP($E190,'D-1 Off Site Habitat Baseline'!$D$1:$O$258,9,FALSE))))</f>
        <v/>
      </c>
      <c r="L190" s="520" t="str">
        <f>IF(E190="","",IF(ISNA(VLOOKUP($E190,'D-1 Off Site Habitat Baseline'!$D$1:$O$258,11,FALSE)),"",(VLOOKUP($E190,'D-1 Off Site Habitat Baseline'!$D$1:$O$258,11,FALSE))))</f>
        <v/>
      </c>
      <c r="M190" s="520" t="str">
        <f>IF(E190="","",IF(ISNA(VLOOKUP($E190,'D-1 Off Site Habitat Baseline'!$D$1:$O$258,12,FALSE)),"",(VLOOKUP($E190,'D-1 Off Site Habitat Baseline'!$D$1:$O$258,12,FALSE))))</f>
        <v/>
      </c>
      <c r="N190" s="520" t="str">
        <f>IF(E190="","",IF(ISNA(VLOOKUP($E190,'D-1 Off Site Habitat Baseline'!$D$1:$X$258,14,FALSE)),"",(VLOOKUP($E190,'D-1 Off Site Habitat Baseline'!$D$1:$X$258,14,FALSE))))</f>
        <v/>
      </c>
      <c r="O190" s="524" t="str">
        <f>IF(E190="","",IF(ISNA(VLOOKUP($E190,'D-1 Off Site Habitat Baseline'!$D$1:$X$258,13,FALSE)),"",(VLOOKUP($E190,'D-1 Off Site Habitat Baseline'!$D$1:$X$258,13,FALSE))))</f>
        <v/>
      </c>
      <c r="P190" s="232" t="str">
        <f>IFERROR(INDEX('G-1 All Habitats'!$AG$3:$AG$15,MATCH(Q190,'G-1 All Habitats'!$AF$3:$AF$15,0)),"")</f>
        <v/>
      </c>
      <c r="Q190" s="228" t="str">
        <f t="shared" si="34"/>
        <v/>
      </c>
      <c r="R190" s="229" t="str">
        <f t="shared" si="35"/>
        <v/>
      </c>
      <c r="S190" s="233" t="str">
        <f>IFERROR(INDEX('G-1 All Habitats'!$B$3:$B$129,MATCH(R190,'G-1 All Habitats'!$A$3:$A$129,0)),"")</f>
        <v/>
      </c>
      <c r="T190" s="507" t="str">
        <f t="shared" si="27"/>
        <v/>
      </c>
      <c r="U190" s="524" t="str">
        <f t="shared" si="28"/>
        <v/>
      </c>
      <c r="V190" s="523" t="str">
        <f t="shared" si="25"/>
        <v/>
      </c>
      <c r="W190" s="520" t="str">
        <f>IF(S190="","",VLOOKUP(S190,'G-1 All Habitats'!$B$2:$M$129,10,FALSE))</f>
        <v/>
      </c>
      <c r="X190" s="520" t="str">
        <f>IFERROR(VLOOKUP(W190,'G-1 All Habitats'!$V$3:$W$7,2,FALSE),"")</f>
        <v/>
      </c>
      <c r="Y190" s="203"/>
      <c r="Z190" s="524" t="str">
        <f>IFERROR(INDEX('G-8 Condition Look up'!$A$3:$H$130,MATCH(S190,'G-8 Condition Look up'!$A$3:$A$130,0),MATCH(Y190,'G-8 Condition Look up'!$A$3:$H$3,0)),"")</f>
        <v/>
      </c>
      <c r="AA190" s="145"/>
      <c r="AB190" s="540" t="str">
        <f>IF(AA190="","",IF(VLOOKUP(AA190,'G-3 Multipliers'!$L$3:$N$6,2,FALSE)=0,"Spatial Data Missing ⚠",VLOOKUP(AA190,'G-3 Multipliers'!$L$3:$N$6,2,FALSE)))</f>
        <v/>
      </c>
      <c r="AC190" s="524" t="str">
        <f>IF(AA190="","",IF(VLOOKUP(AA190,'G-3 Multipliers'!$L$3:$N$6,3,FALSE)=0,"Spatial Data Missing ⚠",VLOOKUP(AA190,'G-3 Multipliers'!$L$3:$N$6,3,FALSE)))</f>
        <v/>
      </c>
      <c r="AD190" s="537" t="str">
        <f t="shared" si="26"/>
        <v/>
      </c>
      <c r="AE190" s="203"/>
      <c r="AF190" s="203"/>
      <c r="AG190" s="520" t="str">
        <f t="shared" si="29"/>
        <v/>
      </c>
      <c r="AH190" s="544" t="str">
        <f t="shared" si="30"/>
        <v/>
      </c>
      <c r="AI190" s="525" t="str">
        <f>IF(AH190="Check Data ⚠","Check Data ⚠",IFERROR(VLOOKUP(AH190,'G-4 Temporal multipliers'!$A$4:$C$36,3,FALSE),""))</f>
        <v/>
      </c>
      <c r="AJ190" s="537" t="str">
        <f>IF(S190="","",VLOOKUP(S190,'G-3 Multipliers'!$A$2:$E$129,4,FALSE))</f>
        <v/>
      </c>
      <c r="AK190" s="520" t="str">
        <f t="shared" si="31"/>
        <v/>
      </c>
      <c r="AL190" s="520" t="str">
        <f t="shared" si="32"/>
        <v/>
      </c>
      <c r="AM190" s="524" t="str">
        <f>IFERROR(IF(F190="","",IF(AH190="Check Data ⚠","Check Data ⚠",VLOOKUP(AL190, 'G-3 Multipliers'!$P$2:$Q$6,2,FALSE))),"")</f>
        <v/>
      </c>
      <c r="AN190" s="197"/>
      <c r="AO190" s="540" t="str">
        <f>IF(AN190="","",IF(VLOOKUP(AN190,'G-3 Multipliers'!$S$3:$T$9,2,FALSE)=0,"Spatial Data Missing ⚠",VLOOKUP(AN190,'G-3 Multipliers'!$S$3:$T$9,2,FALSE)))</f>
        <v/>
      </c>
      <c r="AP190" s="513" t="str">
        <f t="shared" si="33"/>
        <v/>
      </c>
      <c r="AQ190" s="231"/>
      <c r="AR190" s="150"/>
    </row>
    <row r="191" spans="1:44" x14ac:dyDescent="0.25">
      <c r="A191" s="31" t="str">
        <f>IF(E191="","",IF(ISNA(VLOOKUP($E191,'D-1 Off Site Habitat Baseline'!$D$1:$O$258,2,FALSE)),"",(VLOOKUP($E191,'D-1 Off Site Habitat Baseline'!$D$1:$O$258,2,FALSE))))</f>
        <v/>
      </c>
      <c r="B191" s="31" t="str">
        <f>IF(E191="","",IF(ISNA(VLOOKUP($E191,'D-1 Off Site Habitat Baseline'!$D$1:$O$258,3,FALSE)),"",(VLOOKUP($E191,'D-1 Off Site Habitat Baseline'!$D$1:$O$258,3,FALSE))))</f>
        <v/>
      </c>
      <c r="C191" s="31" t="str">
        <f>IFERROR(INDEX('G-8 Condition Look up'!$I$4:$I$130,MATCH(S191,'G-8 Condition Look up'!$A$4:$A$130,0)),"")</f>
        <v/>
      </c>
      <c r="E191" s="547" t="str">
        <f>'D-1 Off Site Habitat Baseline'!AL190</f>
        <v/>
      </c>
      <c r="F191" s="520" t="str">
        <f>IF(E191="","",IF(ISNA(VLOOKUP($E191,'D-1 Off Site Habitat Baseline'!$D$1:$O$258,4,FALSE)),"",(VLOOKUP($E191,'D-1 Off Site Habitat Baseline'!$D$1:$O$258,4,FALSE))))</f>
        <v/>
      </c>
      <c r="G191" s="520" t="str">
        <f>IF(E191="","",IF(ISNA(VLOOKUP($E191,'D-1 Off Site Habitat Baseline'!$D$1:$O$258,5,FALSE)),"",(VLOOKUP($E191,'D-1 Off Site Habitat Baseline'!$D$1:$O$258,5,FALSE))))</f>
        <v/>
      </c>
      <c r="H191" s="520" t="str">
        <f>IF(E191="","",IF(ISNA(VLOOKUP($E191,'D-1 Off Site Habitat Baseline'!$D$1:$O$258,6,FALSE)),"",(VLOOKUP($E191,'D-1 Off Site Habitat Baseline'!$D$1:$O$258,6,FALSE))))</f>
        <v/>
      </c>
      <c r="I191" s="520" t="str">
        <f>IF(E191="","",IF(ISNA(VLOOKUP($E191,'D-1 Off Site Habitat Baseline'!$D$1:$O$258,7,FALSE)),"",(VLOOKUP($E191,'D-1 Off Site Habitat Baseline'!$D$1:$O$258,7,FALSE))))</f>
        <v/>
      </c>
      <c r="J191" s="520" t="str">
        <f>IF(E191="","",IF(ISNA(VLOOKUP($E191,'D-1 Off Site Habitat Baseline'!$D$1:$O$258,8,FALSE)),"",(VLOOKUP($E191,'D-1 Off Site Habitat Baseline'!$D$1:$O$258,8,FALSE))))</f>
        <v/>
      </c>
      <c r="K191" s="520" t="str">
        <f>IF(E191="","",IF(ISNA(VLOOKUP($E191,'D-1 Off Site Habitat Baseline'!$D$1:$O$258,9,FALSE)),"",(VLOOKUP($E191,'D-1 Off Site Habitat Baseline'!$D$1:$O$258,9,FALSE))))</f>
        <v/>
      </c>
      <c r="L191" s="520" t="str">
        <f>IF(E191="","",IF(ISNA(VLOOKUP($E191,'D-1 Off Site Habitat Baseline'!$D$1:$O$258,11,FALSE)),"",(VLOOKUP($E191,'D-1 Off Site Habitat Baseline'!$D$1:$O$258,11,FALSE))))</f>
        <v/>
      </c>
      <c r="M191" s="520" t="str">
        <f>IF(E191="","",IF(ISNA(VLOOKUP($E191,'D-1 Off Site Habitat Baseline'!$D$1:$O$258,12,FALSE)),"",(VLOOKUP($E191,'D-1 Off Site Habitat Baseline'!$D$1:$O$258,12,FALSE))))</f>
        <v/>
      </c>
      <c r="N191" s="520" t="str">
        <f>IF(E191="","",IF(ISNA(VLOOKUP($E191,'D-1 Off Site Habitat Baseline'!$D$1:$X$258,14,FALSE)),"",(VLOOKUP($E191,'D-1 Off Site Habitat Baseline'!$D$1:$X$258,14,FALSE))))</f>
        <v/>
      </c>
      <c r="O191" s="524" t="str">
        <f>IF(E191="","",IF(ISNA(VLOOKUP($E191,'D-1 Off Site Habitat Baseline'!$D$1:$X$258,13,FALSE)),"",(VLOOKUP($E191,'D-1 Off Site Habitat Baseline'!$D$1:$X$258,13,FALSE))))</f>
        <v/>
      </c>
      <c r="P191" s="232" t="str">
        <f>IFERROR(INDEX('G-1 All Habitats'!$AG$3:$AG$15,MATCH(Q191,'G-1 All Habitats'!$AF$3:$AF$15,0)),"")</f>
        <v/>
      </c>
      <c r="Q191" s="228" t="str">
        <f t="shared" si="34"/>
        <v/>
      </c>
      <c r="R191" s="229" t="str">
        <f t="shared" si="35"/>
        <v/>
      </c>
      <c r="S191" s="233" t="str">
        <f>IFERROR(INDEX('G-1 All Habitats'!$B$3:$B$129,MATCH(R191,'G-1 All Habitats'!$A$3:$A$129,0)),"")</f>
        <v/>
      </c>
      <c r="T191" s="507" t="str">
        <f t="shared" si="27"/>
        <v/>
      </c>
      <c r="U191" s="524" t="str">
        <f t="shared" si="28"/>
        <v/>
      </c>
      <c r="V191" s="523" t="str">
        <f t="shared" si="25"/>
        <v/>
      </c>
      <c r="W191" s="520" t="str">
        <f>IF(S191="","",VLOOKUP(S191,'G-1 All Habitats'!$B$2:$M$129,10,FALSE))</f>
        <v/>
      </c>
      <c r="X191" s="520" t="str">
        <f>IFERROR(VLOOKUP(W191,'G-1 All Habitats'!$V$3:$W$7,2,FALSE),"")</f>
        <v/>
      </c>
      <c r="Y191" s="203"/>
      <c r="Z191" s="524" t="str">
        <f>IFERROR(INDEX('G-8 Condition Look up'!$A$3:$H$130,MATCH(S191,'G-8 Condition Look up'!$A$3:$A$130,0),MATCH(Y191,'G-8 Condition Look up'!$A$3:$H$3,0)),"")</f>
        <v/>
      </c>
      <c r="AA191" s="145"/>
      <c r="AB191" s="540" t="str">
        <f>IF(AA191="","",IF(VLOOKUP(AA191,'G-3 Multipliers'!$L$3:$N$6,2,FALSE)=0,"Spatial Data Missing ⚠",VLOOKUP(AA191,'G-3 Multipliers'!$L$3:$N$6,2,FALSE)))</f>
        <v/>
      </c>
      <c r="AC191" s="524" t="str">
        <f>IF(AA191="","",IF(VLOOKUP(AA191,'G-3 Multipliers'!$L$3:$N$6,3,FALSE)=0,"Spatial Data Missing ⚠",VLOOKUP(AA191,'G-3 Multipliers'!$L$3:$N$6,3,FALSE)))</f>
        <v/>
      </c>
      <c r="AD191" s="537" t="str">
        <f t="shared" si="26"/>
        <v/>
      </c>
      <c r="AE191" s="203"/>
      <c r="AF191" s="203"/>
      <c r="AG191" s="520" t="str">
        <f t="shared" si="29"/>
        <v/>
      </c>
      <c r="AH191" s="544" t="str">
        <f t="shared" si="30"/>
        <v/>
      </c>
      <c r="AI191" s="525" t="str">
        <f>IF(AH191="Check Data ⚠","Check Data ⚠",IFERROR(VLOOKUP(AH191,'G-4 Temporal multipliers'!$A$4:$C$36,3,FALSE),""))</f>
        <v/>
      </c>
      <c r="AJ191" s="537" t="str">
        <f>IF(S191="","",VLOOKUP(S191,'G-3 Multipliers'!$A$2:$E$129,4,FALSE))</f>
        <v/>
      </c>
      <c r="AK191" s="520" t="str">
        <f t="shared" si="31"/>
        <v/>
      </c>
      <c r="AL191" s="520" t="str">
        <f t="shared" si="32"/>
        <v/>
      </c>
      <c r="AM191" s="524" t="str">
        <f>IFERROR(IF(F191="","",IF(AH191="Check Data ⚠","Check Data ⚠",VLOOKUP(AL191, 'G-3 Multipliers'!$P$2:$Q$6,2,FALSE))),"")</f>
        <v/>
      </c>
      <c r="AN191" s="197"/>
      <c r="AO191" s="540" t="str">
        <f>IF(AN191="","",IF(VLOOKUP(AN191,'G-3 Multipliers'!$S$3:$T$9,2,FALSE)=0,"Spatial Data Missing ⚠",VLOOKUP(AN191,'G-3 Multipliers'!$S$3:$T$9,2,FALSE)))</f>
        <v/>
      </c>
      <c r="AP191" s="513" t="str">
        <f t="shared" si="33"/>
        <v/>
      </c>
      <c r="AQ191" s="231"/>
      <c r="AR191" s="150"/>
    </row>
    <row r="192" spans="1:44" x14ac:dyDescent="0.25">
      <c r="A192" s="31" t="str">
        <f>IF(E192="","",IF(ISNA(VLOOKUP($E192,'D-1 Off Site Habitat Baseline'!$D$1:$O$258,2,FALSE)),"",(VLOOKUP($E192,'D-1 Off Site Habitat Baseline'!$D$1:$O$258,2,FALSE))))</f>
        <v/>
      </c>
      <c r="B192" s="31" t="str">
        <f>IF(E192="","",IF(ISNA(VLOOKUP($E192,'D-1 Off Site Habitat Baseline'!$D$1:$O$258,3,FALSE)),"",(VLOOKUP($E192,'D-1 Off Site Habitat Baseline'!$D$1:$O$258,3,FALSE))))</f>
        <v/>
      </c>
      <c r="C192" s="31" t="str">
        <f>IFERROR(INDEX('G-8 Condition Look up'!$I$4:$I$130,MATCH(S192,'G-8 Condition Look up'!$A$4:$A$130,0)),"")</f>
        <v/>
      </c>
      <c r="E192" s="547" t="str">
        <f>'D-1 Off Site Habitat Baseline'!AL191</f>
        <v/>
      </c>
      <c r="F192" s="520" t="str">
        <f>IF(E192="","",IF(ISNA(VLOOKUP($E192,'D-1 Off Site Habitat Baseline'!$D$1:$O$258,4,FALSE)),"",(VLOOKUP($E192,'D-1 Off Site Habitat Baseline'!$D$1:$O$258,4,FALSE))))</f>
        <v/>
      </c>
      <c r="G192" s="520" t="str">
        <f>IF(E192="","",IF(ISNA(VLOOKUP($E192,'D-1 Off Site Habitat Baseline'!$D$1:$O$258,5,FALSE)),"",(VLOOKUP($E192,'D-1 Off Site Habitat Baseline'!$D$1:$O$258,5,FALSE))))</f>
        <v/>
      </c>
      <c r="H192" s="520" t="str">
        <f>IF(E192="","",IF(ISNA(VLOOKUP($E192,'D-1 Off Site Habitat Baseline'!$D$1:$O$258,6,FALSE)),"",(VLOOKUP($E192,'D-1 Off Site Habitat Baseline'!$D$1:$O$258,6,FALSE))))</f>
        <v/>
      </c>
      <c r="I192" s="520" t="str">
        <f>IF(E192="","",IF(ISNA(VLOOKUP($E192,'D-1 Off Site Habitat Baseline'!$D$1:$O$258,7,FALSE)),"",(VLOOKUP($E192,'D-1 Off Site Habitat Baseline'!$D$1:$O$258,7,FALSE))))</f>
        <v/>
      </c>
      <c r="J192" s="520" t="str">
        <f>IF(E192="","",IF(ISNA(VLOOKUP($E192,'D-1 Off Site Habitat Baseline'!$D$1:$O$258,8,FALSE)),"",(VLOOKUP($E192,'D-1 Off Site Habitat Baseline'!$D$1:$O$258,8,FALSE))))</f>
        <v/>
      </c>
      <c r="K192" s="520" t="str">
        <f>IF(E192="","",IF(ISNA(VLOOKUP($E192,'D-1 Off Site Habitat Baseline'!$D$1:$O$258,9,FALSE)),"",(VLOOKUP($E192,'D-1 Off Site Habitat Baseline'!$D$1:$O$258,9,FALSE))))</f>
        <v/>
      </c>
      <c r="L192" s="520" t="str">
        <f>IF(E192="","",IF(ISNA(VLOOKUP($E192,'D-1 Off Site Habitat Baseline'!$D$1:$O$258,11,FALSE)),"",(VLOOKUP($E192,'D-1 Off Site Habitat Baseline'!$D$1:$O$258,11,FALSE))))</f>
        <v/>
      </c>
      <c r="M192" s="520" t="str">
        <f>IF(E192="","",IF(ISNA(VLOOKUP($E192,'D-1 Off Site Habitat Baseline'!$D$1:$O$258,12,FALSE)),"",(VLOOKUP($E192,'D-1 Off Site Habitat Baseline'!$D$1:$O$258,12,FALSE))))</f>
        <v/>
      </c>
      <c r="N192" s="520" t="str">
        <f>IF(E192="","",IF(ISNA(VLOOKUP($E192,'D-1 Off Site Habitat Baseline'!$D$1:$X$258,14,FALSE)),"",(VLOOKUP($E192,'D-1 Off Site Habitat Baseline'!$D$1:$X$258,14,FALSE))))</f>
        <v/>
      </c>
      <c r="O192" s="524" t="str">
        <f>IF(E192="","",IF(ISNA(VLOOKUP($E192,'D-1 Off Site Habitat Baseline'!$D$1:$X$258,13,FALSE)),"",(VLOOKUP($E192,'D-1 Off Site Habitat Baseline'!$D$1:$X$258,13,FALSE))))</f>
        <v/>
      </c>
      <c r="P192" s="232" t="str">
        <f>IFERROR(INDEX('G-1 All Habitats'!$AG$3:$AG$15,MATCH(Q192,'G-1 All Habitats'!$AF$3:$AF$15,0)),"")</f>
        <v/>
      </c>
      <c r="Q192" s="228" t="str">
        <f t="shared" si="34"/>
        <v/>
      </c>
      <c r="R192" s="229" t="str">
        <f t="shared" si="35"/>
        <v/>
      </c>
      <c r="S192" s="233" t="str">
        <f>IFERROR(INDEX('G-1 All Habitats'!$B$3:$B$129,MATCH(R192,'G-1 All Habitats'!$A$3:$A$129,0)),"")</f>
        <v/>
      </c>
      <c r="T192" s="507" t="str">
        <f t="shared" si="27"/>
        <v/>
      </c>
      <c r="U192" s="524" t="str">
        <f t="shared" si="28"/>
        <v/>
      </c>
      <c r="V192" s="523" t="str">
        <f t="shared" si="25"/>
        <v/>
      </c>
      <c r="W192" s="520" t="str">
        <f>IF(S192="","",VLOOKUP(S192,'G-1 All Habitats'!$B$2:$M$129,10,FALSE))</f>
        <v/>
      </c>
      <c r="X192" s="520" t="str">
        <f>IFERROR(VLOOKUP(W192,'G-1 All Habitats'!$V$3:$W$7,2,FALSE),"")</f>
        <v/>
      </c>
      <c r="Y192" s="203"/>
      <c r="Z192" s="524" t="str">
        <f>IFERROR(INDEX('G-8 Condition Look up'!$A$3:$H$130,MATCH(S192,'G-8 Condition Look up'!$A$3:$A$130,0),MATCH(Y192,'G-8 Condition Look up'!$A$3:$H$3,0)),"")</f>
        <v/>
      </c>
      <c r="AA192" s="145"/>
      <c r="AB192" s="540" t="str">
        <f>IF(AA192="","",IF(VLOOKUP(AA192,'G-3 Multipliers'!$L$3:$N$6,2,FALSE)=0,"Spatial Data Missing ⚠",VLOOKUP(AA192,'G-3 Multipliers'!$L$3:$N$6,2,FALSE)))</f>
        <v/>
      </c>
      <c r="AC192" s="524" t="str">
        <f>IF(AA192="","",IF(VLOOKUP(AA192,'G-3 Multipliers'!$L$3:$N$6,3,FALSE)=0,"Spatial Data Missing ⚠",VLOOKUP(AA192,'G-3 Multipliers'!$L$3:$N$6,3,FALSE)))</f>
        <v/>
      </c>
      <c r="AD192" s="537" t="str">
        <f t="shared" si="26"/>
        <v/>
      </c>
      <c r="AE192" s="203"/>
      <c r="AF192" s="203"/>
      <c r="AG192" s="520" t="str">
        <f t="shared" si="29"/>
        <v/>
      </c>
      <c r="AH192" s="544" t="str">
        <f t="shared" si="30"/>
        <v/>
      </c>
      <c r="AI192" s="525" t="str">
        <f>IF(AH192="Check Data ⚠","Check Data ⚠",IFERROR(VLOOKUP(AH192,'G-4 Temporal multipliers'!$A$4:$C$36,3,FALSE),""))</f>
        <v/>
      </c>
      <c r="AJ192" s="537" t="str">
        <f>IF(S192="","",VLOOKUP(S192,'G-3 Multipliers'!$A$2:$E$129,4,FALSE))</f>
        <v/>
      </c>
      <c r="AK192" s="520" t="str">
        <f t="shared" si="31"/>
        <v/>
      </c>
      <c r="AL192" s="520" t="str">
        <f t="shared" si="32"/>
        <v/>
      </c>
      <c r="AM192" s="524" t="str">
        <f>IFERROR(IF(F192="","",IF(AH192="Check Data ⚠","Check Data ⚠",VLOOKUP(AL192, 'G-3 Multipliers'!$P$2:$Q$6,2,FALSE))),"")</f>
        <v/>
      </c>
      <c r="AN192" s="197"/>
      <c r="AO192" s="540" t="str">
        <f>IF(AN192="","",IF(VLOOKUP(AN192,'G-3 Multipliers'!$S$3:$T$9,2,FALSE)=0,"Spatial Data Missing ⚠",VLOOKUP(AN192,'G-3 Multipliers'!$S$3:$T$9,2,FALSE)))</f>
        <v/>
      </c>
      <c r="AP192" s="513" t="str">
        <f t="shared" si="33"/>
        <v/>
      </c>
      <c r="AQ192" s="231"/>
      <c r="AR192" s="150"/>
    </row>
    <row r="193" spans="1:44" x14ac:dyDescent="0.25">
      <c r="A193" s="31" t="str">
        <f>IF(E193="","",IF(ISNA(VLOOKUP($E193,'D-1 Off Site Habitat Baseline'!$D$1:$O$258,2,FALSE)),"",(VLOOKUP($E193,'D-1 Off Site Habitat Baseline'!$D$1:$O$258,2,FALSE))))</f>
        <v/>
      </c>
      <c r="B193" s="31" t="str">
        <f>IF(E193="","",IF(ISNA(VLOOKUP($E193,'D-1 Off Site Habitat Baseline'!$D$1:$O$258,3,FALSE)),"",(VLOOKUP($E193,'D-1 Off Site Habitat Baseline'!$D$1:$O$258,3,FALSE))))</f>
        <v/>
      </c>
      <c r="C193" s="31" t="str">
        <f>IFERROR(INDEX('G-8 Condition Look up'!$I$4:$I$130,MATCH(S193,'G-8 Condition Look up'!$A$4:$A$130,0)),"")</f>
        <v/>
      </c>
      <c r="E193" s="547" t="str">
        <f>'D-1 Off Site Habitat Baseline'!AL192</f>
        <v/>
      </c>
      <c r="F193" s="520" t="str">
        <f>IF(E193="","",IF(ISNA(VLOOKUP($E193,'D-1 Off Site Habitat Baseline'!$D$1:$O$258,4,FALSE)),"",(VLOOKUP($E193,'D-1 Off Site Habitat Baseline'!$D$1:$O$258,4,FALSE))))</f>
        <v/>
      </c>
      <c r="G193" s="520" t="str">
        <f>IF(E193="","",IF(ISNA(VLOOKUP($E193,'D-1 Off Site Habitat Baseline'!$D$1:$O$258,5,FALSE)),"",(VLOOKUP($E193,'D-1 Off Site Habitat Baseline'!$D$1:$O$258,5,FALSE))))</f>
        <v/>
      </c>
      <c r="H193" s="520" t="str">
        <f>IF(E193="","",IF(ISNA(VLOOKUP($E193,'D-1 Off Site Habitat Baseline'!$D$1:$O$258,6,FALSE)),"",(VLOOKUP($E193,'D-1 Off Site Habitat Baseline'!$D$1:$O$258,6,FALSE))))</f>
        <v/>
      </c>
      <c r="I193" s="520" t="str">
        <f>IF(E193="","",IF(ISNA(VLOOKUP($E193,'D-1 Off Site Habitat Baseline'!$D$1:$O$258,7,FALSE)),"",(VLOOKUP($E193,'D-1 Off Site Habitat Baseline'!$D$1:$O$258,7,FALSE))))</f>
        <v/>
      </c>
      <c r="J193" s="520" t="str">
        <f>IF(E193="","",IF(ISNA(VLOOKUP($E193,'D-1 Off Site Habitat Baseline'!$D$1:$O$258,8,FALSE)),"",(VLOOKUP($E193,'D-1 Off Site Habitat Baseline'!$D$1:$O$258,8,FALSE))))</f>
        <v/>
      </c>
      <c r="K193" s="520" t="str">
        <f>IF(E193="","",IF(ISNA(VLOOKUP($E193,'D-1 Off Site Habitat Baseline'!$D$1:$O$258,9,FALSE)),"",(VLOOKUP($E193,'D-1 Off Site Habitat Baseline'!$D$1:$O$258,9,FALSE))))</f>
        <v/>
      </c>
      <c r="L193" s="520" t="str">
        <f>IF(E193="","",IF(ISNA(VLOOKUP($E193,'D-1 Off Site Habitat Baseline'!$D$1:$O$258,11,FALSE)),"",(VLOOKUP($E193,'D-1 Off Site Habitat Baseline'!$D$1:$O$258,11,FALSE))))</f>
        <v/>
      </c>
      <c r="M193" s="520" t="str">
        <f>IF(E193="","",IF(ISNA(VLOOKUP($E193,'D-1 Off Site Habitat Baseline'!$D$1:$O$258,12,FALSE)),"",(VLOOKUP($E193,'D-1 Off Site Habitat Baseline'!$D$1:$O$258,12,FALSE))))</f>
        <v/>
      </c>
      <c r="N193" s="520" t="str">
        <f>IF(E193="","",IF(ISNA(VLOOKUP($E193,'D-1 Off Site Habitat Baseline'!$D$1:$X$258,14,FALSE)),"",(VLOOKUP($E193,'D-1 Off Site Habitat Baseline'!$D$1:$X$258,14,FALSE))))</f>
        <v/>
      </c>
      <c r="O193" s="524" t="str">
        <f>IF(E193="","",IF(ISNA(VLOOKUP($E193,'D-1 Off Site Habitat Baseline'!$D$1:$X$258,13,FALSE)),"",(VLOOKUP($E193,'D-1 Off Site Habitat Baseline'!$D$1:$X$258,13,FALSE))))</f>
        <v/>
      </c>
      <c r="P193" s="232" t="str">
        <f>IFERROR(INDEX('G-1 All Habitats'!$AG$3:$AG$15,MATCH(Q193,'G-1 All Habitats'!$AF$3:$AF$15,0)),"")</f>
        <v/>
      </c>
      <c r="Q193" s="228" t="str">
        <f t="shared" si="34"/>
        <v/>
      </c>
      <c r="R193" s="229" t="str">
        <f t="shared" si="35"/>
        <v/>
      </c>
      <c r="S193" s="233" t="str">
        <f>IFERROR(INDEX('G-1 All Habitats'!$B$3:$B$129,MATCH(R193,'G-1 All Habitats'!$A$3:$A$129,0)),"")</f>
        <v/>
      </c>
      <c r="T193" s="507" t="str">
        <f t="shared" si="27"/>
        <v/>
      </c>
      <c r="U193" s="524" t="str">
        <f t="shared" si="28"/>
        <v/>
      </c>
      <c r="V193" s="523" t="str">
        <f t="shared" si="25"/>
        <v/>
      </c>
      <c r="W193" s="520" t="str">
        <f>IF(S193="","",VLOOKUP(S193,'G-1 All Habitats'!$B$2:$M$129,10,FALSE))</f>
        <v/>
      </c>
      <c r="X193" s="520" t="str">
        <f>IFERROR(VLOOKUP(W193,'G-1 All Habitats'!$V$3:$W$7,2,FALSE),"")</f>
        <v/>
      </c>
      <c r="Y193" s="203"/>
      <c r="Z193" s="524" t="str">
        <f>IFERROR(INDEX('G-8 Condition Look up'!$A$3:$H$130,MATCH(S193,'G-8 Condition Look up'!$A$3:$A$130,0),MATCH(Y193,'G-8 Condition Look up'!$A$3:$H$3,0)),"")</f>
        <v/>
      </c>
      <c r="AA193" s="145"/>
      <c r="AB193" s="540" t="str">
        <f>IF(AA193="","",IF(VLOOKUP(AA193,'G-3 Multipliers'!$L$3:$N$6,2,FALSE)=0,"Spatial Data Missing ⚠",VLOOKUP(AA193,'G-3 Multipliers'!$L$3:$N$6,2,FALSE)))</f>
        <v/>
      </c>
      <c r="AC193" s="524" t="str">
        <f>IF(AA193="","",IF(VLOOKUP(AA193,'G-3 Multipliers'!$L$3:$N$6,3,FALSE)=0,"Spatial Data Missing ⚠",VLOOKUP(AA193,'G-3 Multipliers'!$L$3:$N$6,3,FALSE)))</f>
        <v/>
      </c>
      <c r="AD193" s="537" t="str">
        <f t="shared" si="26"/>
        <v/>
      </c>
      <c r="AE193" s="203"/>
      <c r="AF193" s="203"/>
      <c r="AG193" s="520" t="str">
        <f t="shared" si="29"/>
        <v/>
      </c>
      <c r="AH193" s="544" t="str">
        <f t="shared" si="30"/>
        <v/>
      </c>
      <c r="AI193" s="525" t="str">
        <f>IF(AH193="Check Data ⚠","Check Data ⚠",IFERROR(VLOOKUP(AH193,'G-4 Temporal multipliers'!$A$4:$C$36,3,FALSE),""))</f>
        <v/>
      </c>
      <c r="AJ193" s="537" t="str">
        <f>IF(S193="","",VLOOKUP(S193,'G-3 Multipliers'!$A$2:$E$129,4,FALSE))</f>
        <v/>
      </c>
      <c r="AK193" s="520" t="str">
        <f t="shared" si="31"/>
        <v/>
      </c>
      <c r="AL193" s="520" t="str">
        <f t="shared" si="32"/>
        <v/>
      </c>
      <c r="AM193" s="524" t="str">
        <f>IFERROR(IF(F193="","",IF(AH193="Check Data ⚠","Check Data ⚠",VLOOKUP(AL193, 'G-3 Multipliers'!$P$2:$Q$6,2,FALSE))),"")</f>
        <v/>
      </c>
      <c r="AN193" s="197"/>
      <c r="AO193" s="540" t="str">
        <f>IF(AN193="","",IF(VLOOKUP(AN193,'G-3 Multipliers'!$S$3:$T$9,2,FALSE)=0,"Spatial Data Missing ⚠",VLOOKUP(AN193,'G-3 Multipliers'!$S$3:$T$9,2,FALSE)))</f>
        <v/>
      </c>
      <c r="AP193" s="513" t="str">
        <f t="shared" si="33"/>
        <v/>
      </c>
      <c r="AQ193" s="231"/>
      <c r="AR193" s="150"/>
    </row>
    <row r="194" spans="1:44" x14ac:dyDescent="0.25">
      <c r="A194" s="31" t="str">
        <f>IF(E194="","",IF(ISNA(VLOOKUP($E194,'D-1 Off Site Habitat Baseline'!$D$1:$O$258,2,FALSE)),"",(VLOOKUP($E194,'D-1 Off Site Habitat Baseline'!$D$1:$O$258,2,FALSE))))</f>
        <v/>
      </c>
      <c r="B194" s="31" t="str">
        <f>IF(E194="","",IF(ISNA(VLOOKUP($E194,'D-1 Off Site Habitat Baseline'!$D$1:$O$258,3,FALSE)),"",(VLOOKUP($E194,'D-1 Off Site Habitat Baseline'!$D$1:$O$258,3,FALSE))))</f>
        <v/>
      </c>
      <c r="C194" s="31" t="str">
        <f>IFERROR(INDEX('G-8 Condition Look up'!$I$4:$I$130,MATCH(S194,'G-8 Condition Look up'!$A$4:$A$130,0)),"")</f>
        <v/>
      </c>
      <c r="E194" s="547" t="str">
        <f>'D-1 Off Site Habitat Baseline'!AL193</f>
        <v/>
      </c>
      <c r="F194" s="520" t="str">
        <f>IF(E194="","",IF(ISNA(VLOOKUP($E194,'D-1 Off Site Habitat Baseline'!$D$1:$O$258,4,FALSE)),"",(VLOOKUP($E194,'D-1 Off Site Habitat Baseline'!$D$1:$O$258,4,FALSE))))</f>
        <v/>
      </c>
      <c r="G194" s="520" t="str">
        <f>IF(E194="","",IF(ISNA(VLOOKUP($E194,'D-1 Off Site Habitat Baseline'!$D$1:$O$258,5,FALSE)),"",(VLOOKUP($E194,'D-1 Off Site Habitat Baseline'!$D$1:$O$258,5,FALSE))))</f>
        <v/>
      </c>
      <c r="H194" s="520" t="str">
        <f>IF(E194="","",IF(ISNA(VLOOKUP($E194,'D-1 Off Site Habitat Baseline'!$D$1:$O$258,6,FALSE)),"",(VLOOKUP($E194,'D-1 Off Site Habitat Baseline'!$D$1:$O$258,6,FALSE))))</f>
        <v/>
      </c>
      <c r="I194" s="520" t="str">
        <f>IF(E194="","",IF(ISNA(VLOOKUP($E194,'D-1 Off Site Habitat Baseline'!$D$1:$O$258,7,FALSE)),"",(VLOOKUP($E194,'D-1 Off Site Habitat Baseline'!$D$1:$O$258,7,FALSE))))</f>
        <v/>
      </c>
      <c r="J194" s="520" t="str">
        <f>IF(E194="","",IF(ISNA(VLOOKUP($E194,'D-1 Off Site Habitat Baseline'!$D$1:$O$258,8,FALSE)),"",(VLOOKUP($E194,'D-1 Off Site Habitat Baseline'!$D$1:$O$258,8,FALSE))))</f>
        <v/>
      </c>
      <c r="K194" s="520" t="str">
        <f>IF(E194="","",IF(ISNA(VLOOKUP($E194,'D-1 Off Site Habitat Baseline'!$D$1:$O$258,9,FALSE)),"",(VLOOKUP($E194,'D-1 Off Site Habitat Baseline'!$D$1:$O$258,9,FALSE))))</f>
        <v/>
      </c>
      <c r="L194" s="520" t="str">
        <f>IF(E194="","",IF(ISNA(VLOOKUP($E194,'D-1 Off Site Habitat Baseline'!$D$1:$O$258,11,FALSE)),"",(VLOOKUP($E194,'D-1 Off Site Habitat Baseline'!$D$1:$O$258,11,FALSE))))</f>
        <v/>
      </c>
      <c r="M194" s="520" t="str">
        <f>IF(E194="","",IF(ISNA(VLOOKUP($E194,'D-1 Off Site Habitat Baseline'!$D$1:$O$258,12,FALSE)),"",(VLOOKUP($E194,'D-1 Off Site Habitat Baseline'!$D$1:$O$258,12,FALSE))))</f>
        <v/>
      </c>
      <c r="N194" s="520" t="str">
        <f>IF(E194="","",IF(ISNA(VLOOKUP($E194,'D-1 Off Site Habitat Baseline'!$D$1:$X$258,14,FALSE)),"",(VLOOKUP($E194,'D-1 Off Site Habitat Baseline'!$D$1:$X$258,14,FALSE))))</f>
        <v/>
      </c>
      <c r="O194" s="524" t="str">
        <f>IF(E194="","",IF(ISNA(VLOOKUP($E194,'D-1 Off Site Habitat Baseline'!$D$1:$X$258,13,FALSE)),"",(VLOOKUP($E194,'D-1 Off Site Habitat Baseline'!$D$1:$X$258,13,FALSE))))</f>
        <v/>
      </c>
      <c r="P194" s="232" t="str">
        <f>IFERROR(INDEX('G-1 All Habitats'!$AG$3:$AG$15,MATCH(Q194,'G-1 All Habitats'!$AF$3:$AF$15,0)),"")</f>
        <v/>
      </c>
      <c r="Q194" s="228" t="str">
        <f t="shared" si="34"/>
        <v/>
      </c>
      <c r="R194" s="229" t="str">
        <f t="shared" si="35"/>
        <v/>
      </c>
      <c r="S194" s="233" t="str">
        <f>IFERROR(INDEX('G-1 All Habitats'!$B$3:$B$129,MATCH(R194,'G-1 All Habitats'!$A$3:$A$129,0)),"")</f>
        <v/>
      </c>
      <c r="T194" s="507" t="str">
        <f t="shared" si="27"/>
        <v/>
      </c>
      <c r="U194" s="524" t="str">
        <f t="shared" si="28"/>
        <v/>
      </c>
      <c r="V194" s="523" t="str">
        <f t="shared" si="25"/>
        <v/>
      </c>
      <c r="W194" s="520" t="str">
        <f>IF(S194="","",VLOOKUP(S194,'G-1 All Habitats'!$B$2:$M$129,10,FALSE))</f>
        <v/>
      </c>
      <c r="X194" s="520" t="str">
        <f>IFERROR(VLOOKUP(W194,'G-1 All Habitats'!$V$3:$W$7,2,FALSE),"")</f>
        <v/>
      </c>
      <c r="Y194" s="203"/>
      <c r="Z194" s="524" t="str">
        <f>IFERROR(INDEX('G-8 Condition Look up'!$A$3:$H$130,MATCH(S194,'G-8 Condition Look up'!$A$3:$A$130,0),MATCH(Y194,'G-8 Condition Look up'!$A$3:$H$3,0)),"")</f>
        <v/>
      </c>
      <c r="AA194" s="145"/>
      <c r="AB194" s="540" t="str">
        <f>IF(AA194="","",IF(VLOOKUP(AA194,'G-3 Multipliers'!$L$3:$N$6,2,FALSE)=0,"Spatial Data Missing ⚠",VLOOKUP(AA194,'G-3 Multipliers'!$L$3:$N$6,2,FALSE)))</f>
        <v/>
      </c>
      <c r="AC194" s="524" t="str">
        <f>IF(AA194="","",IF(VLOOKUP(AA194,'G-3 Multipliers'!$L$3:$N$6,3,FALSE)=0,"Spatial Data Missing ⚠",VLOOKUP(AA194,'G-3 Multipliers'!$L$3:$N$6,3,FALSE)))</f>
        <v/>
      </c>
      <c r="AD194" s="537" t="str">
        <f t="shared" si="26"/>
        <v/>
      </c>
      <c r="AE194" s="203"/>
      <c r="AF194" s="203"/>
      <c r="AG194" s="520" t="str">
        <f t="shared" si="29"/>
        <v/>
      </c>
      <c r="AH194" s="544" t="str">
        <f t="shared" si="30"/>
        <v/>
      </c>
      <c r="AI194" s="525" t="str">
        <f>IF(AH194="Check Data ⚠","Check Data ⚠",IFERROR(VLOOKUP(AH194,'G-4 Temporal multipliers'!$A$4:$C$36,3,FALSE),""))</f>
        <v/>
      </c>
      <c r="AJ194" s="537" t="str">
        <f>IF(S194="","",VLOOKUP(S194,'G-3 Multipliers'!$A$2:$E$129,4,FALSE))</f>
        <v/>
      </c>
      <c r="AK194" s="520" t="str">
        <f t="shared" si="31"/>
        <v/>
      </c>
      <c r="AL194" s="520" t="str">
        <f t="shared" si="32"/>
        <v/>
      </c>
      <c r="AM194" s="524" t="str">
        <f>IFERROR(IF(F194="","",IF(AH194="Check Data ⚠","Check Data ⚠",VLOOKUP(AL194, 'G-3 Multipliers'!$P$2:$Q$6,2,FALSE))),"")</f>
        <v/>
      </c>
      <c r="AN194" s="197"/>
      <c r="AO194" s="540" t="str">
        <f>IF(AN194="","",IF(VLOOKUP(AN194,'G-3 Multipliers'!$S$3:$T$9,2,FALSE)=0,"Spatial Data Missing ⚠",VLOOKUP(AN194,'G-3 Multipliers'!$S$3:$T$9,2,FALSE)))</f>
        <v/>
      </c>
      <c r="AP194" s="513" t="str">
        <f t="shared" si="33"/>
        <v/>
      </c>
      <c r="AQ194" s="231"/>
      <c r="AR194" s="150"/>
    </row>
    <row r="195" spans="1:44" x14ac:dyDescent="0.25">
      <c r="A195" s="31" t="str">
        <f>IF(E195="","",IF(ISNA(VLOOKUP($E195,'D-1 Off Site Habitat Baseline'!$D$1:$O$258,2,FALSE)),"",(VLOOKUP($E195,'D-1 Off Site Habitat Baseline'!$D$1:$O$258,2,FALSE))))</f>
        <v/>
      </c>
      <c r="B195" s="31" t="str">
        <f>IF(E195="","",IF(ISNA(VLOOKUP($E195,'D-1 Off Site Habitat Baseline'!$D$1:$O$258,3,FALSE)),"",(VLOOKUP($E195,'D-1 Off Site Habitat Baseline'!$D$1:$O$258,3,FALSE))))</f>
        <v/>
      </c>
      <c r="C195" s="31" t="str">
        <f>IFERROR(INDEX('G-8 Condition Look up'!$I$4:$I$130,MATCH(S195,'G-8 Condition Look up'!$A$4:$A$130,0)),"")</f>
        <v/>
      </c>
      <c r="E195" s="547" t="str">
        <f>'D-1 Off Site Habitat Baseline'!AL194</f>
        <v/>
      </c>
      <c r="F195" s="520" t="str">
        <f>IF(E195="","",IF(ISNA(VLOOKUP($E195,'D-1 Off Site Habitat Baseline'!$D$1:$O$258,4,FALSE)),"",(VLOOKUP($E195,'D-1 Off Site Habitat Baseline'!$D$1:$O$258,4,FALSE))))</f>
        <v/>
      </c>
      <c r="G195" s="520" t="str">
        <f>IF(E195="","",IF(ISNA(VLOOKUP($E195,'D-1 Off Site Habitat Baseline'!$D$1:$O$258,5,FALSE)),"",(VLOOKUP($E195,'D-1 Off Site Habitat Baseline'!$D$1:$O$258,5,FALSE))))</f>
        <v/>
      </c>
      <c r="H195" s="520" t="str">
        <f>IF(E195="","",IF(ISNA(VLOOKUP($E195,'D-1 Off Site Habitat Baseline'!$D$1:$O$258,6,FALSE)),"",(VLOOKUP($E195,'D-1 Off Site Habitat Baseline'!$D$1:$O$258,6,FALSE))))</f>
        <v/>
      </c>
      <c r="I195" s="520" t="str">
        <f>IF(E195="","",IF(ISNA(VLOOKUP($E195,'D-1 Off Site Habitat Baseline'!$D$1:$O$258,7,FALSE)),"",(VLOOKUP($E195,'D-1 Off Site Habitat Baseline'!$D$1:$O$258,7,FALSE))))</f>
        <v/>
      </c>
      <c r="J195" s="520" t="str">
        <f>IF(E195="","",IF(ISNA(VLOOKUP($E195,'D-1 Off Site Habitat Baseline'!$D$1:$O$258,8,FALSE)),"",(VLOOKUP($E195,'D-1 Off Site Habitat Baseline'!$D$1:$O$258,8,FALSE))))</f>
        <v/>
      </c>
      <c r="K195" s="520" t="str">
        <f>IF(E195="","",IF(ISNA(VLOOKUP($E195,'D-1 Off Site Habitat Baseline'!$D$1:$O$258,9,FALSE)),"",(VLOOKUP($E195,'D-1 Off Site Habitat Baseline'!$D$1:$O$258,9,FALSE))))</f>
        <v/>
      </c>
      <c r="L195" s="520" t="str">
        <f>IF(E195="","",IF(ISNA(VLOOKUP($E195,'D-1 Off Site Habitat Baseline'!$D$1:$O$258,11,FALSE)),"",(VLOOKUP($E195,'D-1 Off Site Habitat Baseline'!$D$1:$O$258,11,FALSE))))</f>
        <v/>
      </c>
      <c r="M195" s="520" t="str">
        <f>IF(E195="","",IF(ISNA(VLOOKUP($E195,'D-1 Off Site Habitat Baseline'!$D$1:$O$258,12,FALSE)),"",(VLOOKUP($E195,'D-1 Off Site Habitat Baseline'!$D$1:$O$258,12,FALSE))))</f>
        <v/>
      </c>
      <c r="N195" s="520" t="str">
        <f>IF(E195="","",IF(ISNA(VLOOKUP($E195,'D-1 Off Site Habitat Baseline'!$D$1:$X$258,14,FALSE)),"",(VLOOKUP($E195,'D-1 Off Site Habitat Baseline'!$D$1:$X$258,14,FALSE))))</f>
        <v/>
      </c>
      <c r="O195" s="524" t="str">
        <f>IF(E195="","",IF(ISNA(VLOOKUP($E195,'D-1 Off Site Habitat Baseline'!$D$1:$X$258,13,FALSE)),"",(VLOOKUP($E195,'D-1 Off Site Habitat Baseline'!$D$1:$X$258,13,FALSE))))</f>
        <v/>
      </c>
      <c r="P195" s="232" t="str">
        <f>IFERROR(INDEX('G-1 All Habitats'!$AG$3:$AG$15,MATCH(Q195,'G-1 All Habitats'!$AF$3:$AF$15,0)),"")</f>
        <v/>
      </c>
      <c r="Q195" s="228" t="str">
        <f t="shared" si="34"/>
        <v/>
      </c>
      <c r="R195" s="229" t="str">
        <f t="shared" si="35"/>
        <v/>
      </c>
      <c r="S195" s="233" t="str">
        <f>IFERROR(INDEX('G-1 All Habitats'!$B$3:$B$129,MATCH(R195,'G-1 All Habitats'!$A$3:$A$129,0)),"")</f>
        <v/>
      </c>
      <c r="T195" s="507" t="str">
        <f t="shared" si="27"/>
        <v/>
      </c>
      <c r="U195" s="524" t="str">
        <f t="shared" si="28"/>
        <v/>
      </c>
      <c r="V195" s="523" t="str">
        <f t="shared" si="25"/>
        <v/>
      </c>
      <c r="W195" s="520" t="str">
        <f>IF(S195="","",VLOOKUP(S195,'G-1 All Habitats'!$B$2:$M$129,10,FALSE))</f>
        <v/>
      </c>
      <c r="X195" s="520" t="str">
        <f>IFERROR(VLOOKUP(W195,'G-1 All Habitats'!$V$3:$W$7,2,FALSE),"")</f>
        <v/>
      </c>
      <c r="Y195" s="203"/>
      <c r="Z195" s="524" t="str">
        <f>IFERROR(INDEX('G-8 Condition Look up'!$A$3:$H$130,MATCH(S195,'G-8 Condition Look up'!$A$3:$A$130,0),MATCH(Y195,'G-8 Condition Look up'!$A$3:$H$3,0)),"")</f>
        <v/>
      </c>
      <c r="AA195" s="145"/>
      <c r="AB195" s="540" t="str">
        <f>IF(AA195="","",IF(VLOOKUP(AA195,'G-3 Multipliers'!$L$3:$N$6,2,FALSE)=0,"Spatial Data Missing ⚠",VLOOKUP(AA195,'G-3 Multipliers'!$L$3:$N$6,2,FALSE)))</f>
        <v/>
      </c>
      <c r="AC195" s="524" t="str">
        <f>IF(AA195="","",IF(VLOOKUP(AA195,'G-3 Multipliers'!$L$3:$N$6,3,FALSE)=0,"Spatial Data Missing ⚠",VLOOKUP(AA195,'G-3 Multipliers'!$L$3:$N$6,3,FALSE)))</f>
        <v/>
      </c>
      <c r="AD195" s="537" t="str">
        <f t="shared" si="26"/>
        <v/>
      </c>
      <c r="AE195" s="203"/>
      <c r="AF195" s="203"/>
      <c r="AG195" s="520" t="str">
        <f t="shared" si="29"/>
        <v/>
      </c>
      <c r="AH195" s="544" t="str">
        <f t="shared" si="30"/>
        <v/>
      </c>
      <c r="AI195" s="525" t="str">
        <f>IF(AH195="Check Data ⚠","Check Data ⚠",IFERROR(VLOOKUP(AH195,'G-4 Temporal multipliers'!$A$4:$C$36,3,FALSE),""))</f>
        <v/>
      </c>
      <c r="AJ195" s="537" t="str">
        <f>IF(S195="","",VLOOKUP(S195,'G-3 Multipliers'!$A$2:$E$129,4,FALSE))</f>
        <v/>
      </c>
      <c r="AK195" s="520" t="str">
        <f t="shared" si="31"/>
        <v/>
      </c>
      <c r="AL195" s="520" t="str">
        <f t="shared" si="32"/>
        <v/>
      </c>
      <c r="AM195" s="524" t="str">
        <f>IFERROR(IF(F195="","",IF(AH195="Check Data ⚠","Check Data ⚠",VLOOKUP(AL195, 'G-3 Multipliers'!$P$2:$Q$6,2,FALSE))),"")</f>
        <v/>
      </c>
      <c r="AN195" s="197"/>
      <c r="AO195" s="540" t="str">
        <f>IF(AN195="","",IF(VLOOKUP(AN195,'G-3 Multipliers'!$S$3:$T$9,2,FALSE)=0,"Spatial Data Missing ⚠",VLOOKUP(AN195,'G-3 Multipliers'!$S$3:$T$9,2,FALSE)))</f>
        <v/>
      </c>
      <c r="AP195" s="513" t="str">
        <f t="shared" si="33"/>
        <v/>
      </c>
      <c r="AQ195" s="231"/>
      <c r="AR195" s="150"/>
    </row>
    <row r="196" spans="1:44" x14ac:dyDescent="0.25">
      <c r="A196" s="31" t="str">
        <f>IF(E196="","",IF(ISNA(VLOOKUP($E196,'D-1 Off Site Habitat Baseline'!$D$1:$O$258,2,FALSE)),"",(VLOOKUP($E196,'D-1 Off Site Habitat Baseline'!$D$1:$O$258,2,FALSE))))</f>
        <v/>
      </c>
      <c r="B196" s="31" t="str">
        <f>IF(E196="","",IF(ISNA(VLOOKUP($E196,'D-1 Off Site Habitat Baseline'!$D$1:$O$258,3,FALSE)),"",(VLOOKUP($E196,'D-1 Off Site Habitat Baseline'!$D$1:$O$258,3,FALSE))))</f>
        <v/>
      </c>
      <c r="C196" s="31" t="str">
        <f>IFERROR(INDEX('G-8 Condition Look up'!$I$4:$I$130,MATCH(S196,'G-8 Condition Look up'!$A$4:$A$130,0)),"")</f>
        <v/>
      </c>
      <c r="E196" s="547" t="str">
        <f>'D-1 Off Site Habitat Baseline'!AL195</f>
        <v/>
      </c>
      <c r="F196" s="520" t="str">
        <f>IF(E196="","",IF(ISNA(VLOOKUP($E196,'D-1 Off Site Habitat Baseline'!$D$1:$O$258,4,FALSE)),"",(VLOOKUP($E196,'D-1 Off Site Habitat Baseline'!$D$1:$O$258,4,FALSE))))</f>
        <v/>
      </c>
      <c r="G196" s="520" t="str">
        <f>IF(E196="","",IF(ISNA(VLOOKUP($E196,'D-1 Off Site Habitat Baseline'!$D$1:$O$258,5,FALSE)),"",(VLOOKUP($E196,'D-1 Off Site Habitat Baseline'!$D$1:$O$258,5,FALSE))))</f>
        <v/>
      </c>
      <c r="H196" s="520" t="str">
        <f>IF(E196="","",IF(ISNA(VLOOKUP($E196,'D-1 Off Site Habitat Baseline'!$D$1:$O$258,6,FALSE)),"",(VLOOKUP($E196,'D-1 Off Site Habitat Baseline'!$D$1:$O$258,6,FALSE))))</f>
        <v/>
      </c>
      <c r="I196" s="520" t="str">
        <f>IF(E196="","",IF(ISNA(VLOOKUP($E196,'D-1 Off Site Habitat Baseline'!$D$1:$O$258,7,FALSE)),"",(VLOOKUP($E196,'D-1 Off Site Habitat Baseline'!$D$1:$O$258,7,FALSE))))</f>
        <v/>
      </c>
      <c r="J196" s="520" t="str">
        <f>IF(E196="","",IF(ISNA(VLOOKUP($E196,'D-1 Off Site Habitat Baseline'!$D$1:$O$258,8,FALSE)),"",(VLOOKUP($E196,'D-1 Off Site Habitat Baseline'!$D$1:$O$258,8,FALSE))))</f>
        <v/>
      </c>
      <c r="K196" s="520" t="str">
        <f>IF(E196="","",IF(ISNA(VLOOKUP($E196,'D-1 Off Site Habitat Baseline'!$D$1:$O$258,9,FALSE)),"",(VLOOKUP($E196,'D-1 Off Site Habitat Baseline'!$D$1:$O$258,9,FALSE))))</f>
        <v/>
      </c>
      <c r="L196" s="520" t="str">
        <f>IF(E196="","",IF(ISNA(VLOOKUP($E196,'D-1 Off Site Habitat Baseline'!$D$1:$O$258,11,FALSE)),"",(VLOOKUP($E196,'D-1 Off Site Habitat Baseline'!$D$1:$O$258,11,FALSE))))</f>
        <v/>
      </c>
      <c r="M196" s="520" t="str">
        <f>IF(E196="","",IF(ISNA(VLOOKUP($E196,'D-1 Off Site Habitat Baseline'!$D$1:$O$258,12,FALSE)),"",(VLOOKUP($E196,'D-1 Off Site Habitat Baseline'!$D$1:$O$258,12,FALSE))))</f>
        <v/>
      </c>
      <c r="N196" s="520" t="str">
        <f>IF(E196="","",IF(ISNA(VLOOKUP($E196,'D-1 Off Site Habitat Baseline'!$D$1:$X$258,14,FALSE)),"",(VLOOKUP($E196,'D-1 Off Site Habitat Baseline'!$D$1:$X$258,14,FALSE))))</f>
        <v/>
      </c>
      <c r="O196" s="524" t="str">
        <f>IF(E196="","",IF(ISNA(VLOOKUP($E196,'D-1 Off Site Habitat Baseline'!$D$1:$X$258,13,FALSE)),"",(VLOOKUP($E196,'D-1 Off Site Habitat Baseline'!$D$1:$X$258,13,FALSE))))</f>
        <v/>
      </c>
      <c r="P196" s="232" t="str">
        <f>IFERROR(INDEX('G-1 All Habitats'!$AG$3:$AG$15,MATCH(Q196,'G-1 All Habitats'!$AF$3:$AF$15,0)),"")</f>
        <v/>
      </c>
      <c r="Q196" s="228" t="str">
        <f t="shared" si="34"/>
        <v/>
      </c>
      <c r="R196" s="229" t="str">
        <f t="shared" si="35"/>
        <v/>
      </c>
      <c r="S196" s="233" t="str">
        <f>IFERROR(INDEX('G-1 All Habitats'!$B$3:$B$129,MATCH(R196,'G-1 All Habitats'!$A$3:$A$129,0)),"")</f>
        <v/>
      </c>
      <c r="T196" s="507" t="str">
        <f t="shared" si="27"/>
        <v/>
      </c>
      <c r="U196" s="524" t="str">
        <f t="shared" si="28"/>
        <v/>
      </c>
      <c r="V196" s="523" t="str">
        <f t="shared" si="25"/>
        <v/>
      </c>
      <c r="W196" s="520" t="str">
        <f>IF(S196="","",VLOOKUP(S196,'G-1 All Habitats'!$B$2:$M$129,10,FALSE))</f>
        <v/>
      </c>
      <c r="X196" s="520" t="str">
        <f>IFERROR(VLOOKUP(W196,'G-1 All Habitats'!$V$3:$W$7,2,FALSE),"")</f>
        <v/>
      </c>
      <c r="Y196" s="203"/>
      <c r="Z196" s="524" t="str">
        <f>IFERROR(INDEX('G-8 Condition Look up'!$A$3:$H$130,MATCH(S196,'G-8 Condition Look up'!$A$3:$A$130,0),MATCH(Y196,'G-8 Condition Look up'!$A$3:$H$3,0)),"")</f>
        <v/>
      </c>
      <c r="AA196" s="145"/>
      <c r="AB196" s="540" t="str">
        <f>IF(AA196="","",IF(VLOOKUP(AA196,'G-3 Multipliers'!$L$3:$N$6,2,FALSE)=0,"Spatial Data Missing ⚠",VLOOKUP(AA196,'G-3 Multipliers'!$L$3:$N$6,2,FALSE)))</f>
        <v/>
      </c>
      <c r="AC196" s="524" t="str">
        <f>IF(AA196="","",IF(VLOOKUP(AA196,'G-3 Multipliers'!$L$3:$N$6,3,FALSE)=0,"Spatial Data Missing ⚠",VLOOKUP(AA196,'G-3 Multipliers'!$L$3:$N$6,3,FALSE)))</f>
        <v/>
      </c>
      <c r="AD196" s="537" t="str">
        <f t="shared" si="26"/>
        <v/>
      </c>
      <c r="AE196" s="203"/>
      <c r="AF196" s="203"/>
      <c r="AG196" s="520" t="str">
        <f t="shared" si="29"/>
        <v/>
      </c>
      <c r="AH196" s="544" t="str">
        <f t="shared" si="30"/>
        <v/>
      </c>
      <c r="AI196" s="525" t="str">
        <f>IF(AH196="Check Data ⚠","Check Data ⚠",IFERROR(VLOOKUP(AH196,'G-4 Temporal multipliers'!$A$4:$C$36,3,FALSE),""))</f>
        <v/>
      </c>
      <c r="AJ196" s="537" t="str">
        <f>IF(S196="","",VLOOKUP(S196,'G-3 Multipliers'!$A$2:$E$129,4,FALSE))</f>
        <v/>
      </c>
      <c r="AK196" s="520" t="str">
        <f t="shared" si="31"/>
        <v/>
      </c>
      <c r="AL196" s="520" t="str">
        <f t="shared" si="32"/>
        <v/>
      </c>
      <c r="AM196" s="524" t="str">
        <f>IFERROR(IF(F196="","",IF(AH196="Check Data ⚠","Check Data ⚠",VLOOKUP(AL196, 'G-3 Multipliers'!$P$2:$Q$6,2,FALSE))),"")</f>
        <v/>
      </c>
      <c r="AN196" s="197"/>
      <c r="AO196" s="540" t="str">
        <f>IF(AN196="","",IF(VLOOKUP(AN196,'G-3 Multipliers'!$S$3:$T$9,2,FALSE)=0,"Spatial Data Missing ⚠",VLOOKUP(AN196,'G-3 Multipliers'!$S$3:$T$9,2,FALSE)))</f>
        <v/>
      </c>
      <c r="AP196" s="513" t="str">
        <f t="shared" si="33"/>
        <v/>
      </c>
      <c r="AQ196" s="231"/>
      <c r="AR196" s="150"/>
    </row>
    <row r="197" spans="1:44" x14ac:dyDescent="0.25">
      <c r="A197" s="31" t="str">
        <f>IF(E197="","",IF(ISNA(VLOOKUP($E197,'D-1 Off Site Habitat Baseline'!$D$1:$O$258,2,FALSE)),"",(VLOOKUP($E197,'D-1 Off Site Habitat Baseline'!$D$1:$O$258,2,FALSE))))</f>
        <v/>
      </c>
      <c r="B197" s="31" t="str">
        <f>IF(E197="","",IF(ISNA(VLOOKUP($E197,'D-1 Off Site Habitat Baseline'!$D$1:$O$258,3,FALSE)),"",(VLOOKUP($E197,'D-1 Off Site Habitat Baseline'!$D$1:$O$258,3,FALSE))))</f>
        <v/>
      </c>
      <c r="C197" s="31" t="str">
        <f>IFERROR(INDEX('G-8 Condition Look up'!$I$4:$I$130,MATCH(S197,'G-8 Condition Look up'!$A$4:$A$130,0)),"")</f>
        <v/>
      </c>
      <c r="E197" s="547" t="str">
        <f>'D-1 Off Site Habitat Baseline'!AL196</f>
        <v/>
      </c>
      <c r="F197" s="520" t="str">
        <f>IF(E197="","",IF(ISNA(VLOOKUP($E197,'D-1 Off Site Habitat Baseline'!$D$1:$O$258,4,FALSE)),"",(VLOOKUP($E197,'D-1 Off Site Habitat Baseline'!$D$1:$O$258,4,FALSE))))</f>
        <v/>
      </c>
      <c r="G197" s="520" t="str">
        <f>IF(E197="","",IF(ISNA(VLOOKUP($E197,'D-1 Off Site Habitat Baseline'!$D$1:$O$258,5,FALSE)),"",(VLOOKUP($E197,'D-1 Off Site Habitat Baseline'!$D$1:$O$258,5,FALSE))))</f>
        <v/>
      </c>
      <c r="H197" s="520" t="str">
        <f>IF(E197="","",IF(ISNA(VLOOKUP($E197,'D-1 Off Site Habitat Baseline'!$D$1:$O$258,6,FALSE)),"",(VLOOKUP($E197,'D-1 Off Site Habitat Baseline'!$D$1:$O$258,6,FALSE))))</f>
        <v/>
      </c>
      <c r="I197" s="520" t="str">
        <f>IF(E197="","",IF(ISNA(VLOOKUP($E197,'D-1 Off Site Habitat Baseline'!$D$1:$O$258,7,FALSE)),"",(VLOOKUP($E197,'D-1 Off Site Habitat Baseline'!$D$1:$O$258,7,FALSE))))</f>
        <v/>
      </c>
      <c r="J197" s="520" t="str">
        <f>IF(E197="","",IF(ISNA(VLOOKUP($E197,'D-1 Off Site Habitat Baseline'!$D$1:$O$258,8,FALSE)),"",(VLOOKUP($E197,'D-1 Off Site Habitat Baseline'!$D$1:$O$258,8,FALSE))))</f>
        <v/>
      </c>
      <c r="K197" s="520" t="str">
        <f>IF(E197="","",IF(ISNA(VLOOKUP($E197,'D-1 Off Site Habitat Baseline'!$D$1:$O$258,9,FALSE)),"",(VLOOKUP($E197,'D-1 Off Site Habitat Baseline'!$D$1:$O$258,9,FALSE))))</f>
        <v/>
      </c>
      <c r="L197" s="520" t="str">
        <f>IF(E197="","",IF(ISNA(VLOOKUP($E197,'D-1 Off Site Habitat Baseline'!$D$1:$O$258,11,FALSE)),"",(VLOOKUP($E197,'D-1 Off Site Habitat Baseline'!$D$1:$O$258,11,FALSE))))</f>
        <v/>
      </c>
      <c r="M197" s="520" t="str">
        <f>IF(E197="","",IF(ISNA(VLOOKUP($E197,'D-1 Off Site Habitat Baseline'!$D$1:$O$258,12,FALSE)),"",(VLOOKUP($E197,'D-1 Off Site Habitat Baseline'!$D$1:$O$258,12,FALSE))))</f>
        <v/>
      </c>
      <c r="N197" s="520" t="str">
        <f>IF(E197="","",IF(ISNA(VLOOKUP($E197,'D-1 Off Site Habitat Baseline'!$D$1:$X$258,14,FALSE)),"",(VLOOKUP($E197,'D-1 Off Site Habitat Baseline'!$D$1:$X$258,14,FALSE))))</f>
        <v/>
      </c>
      <c r="O197" s="524" t="str">
        <f>IF(E197="","",IF(ISNA(VLOOKUP($E197,'D-1 Off Site Habitat Baseline'!$D$1:$X$258,13,FALSE)),"",(VLOOKUP($E197,'D-1 Off Site Habitat Baseline'!$D$1:$X$258,13,FALSE))))</f>
        <v/>
      </c>
      <c r="P197" s="232" t="str">
        <f>IFERROR(INDEX('G-1 All Habitats'!$AG$3:$AG$15,MATCH(Q197,'G-1 All Habitats'!$AF$3:$AF$15,0)),"")</f>
        <v/>
      </c>
      <c r="Q197" s="228" t="str">
        <f t="shared" si="34"/>
        <v/>
      </c>
      <c r="R197" s="229" t="str">
        <f t="shared" si="35"/>
        <v/>
      </c>
      <c r="S197" s="233" t="str">
        <f>IFERROR(INDEX('G-1 All Habitats'!$B$3:$B$129,MATCH(R197,'G-1 All Habitats'!$A$3:$A$129,0)),"")</f>
        <v/>
      </c>
      <c r="T197" s="507" t="str">
        <f t="shared" si="27"/>
        <v/>
      </c>
      <c r="U197" s="524" t="str">
        <f t="shared" si="28"/>
        <v/>
      </c>
      <c r="V197" s="523" t="str">
        <f t="shared" si="25"/>
        <v/>
      </c>
      <c r="W197" s="520" t="str">
        <f>IF(S197="","",VLOOKUP(S197,'G-1 All Habitats'!$B$2:$M$129,10,FALSE))</f>
        <v/>
      </c>
      <c r="X197" s="520" t="str">
        <f>IFERROR(VLOOKUP(W197,'G-1 All Habitats'!$V$3:$W$7,2,FALSE),"")</f>
        <v/>
      </c>
      <c r="Y197" s="203"/>
      <c r="Z197" s="524" t="str">
        <f>IFERROR(INDEX('G-8 Condition Look up'!$A$3:$H$130,MATCH(S197,'G-8 Condition Look up'!$A$3:$A$130,0),MATCH(Y197,'G-8 Condition Look up'!$A$3:$H$3,0)),"")</f>
        <v/>
      </c>
      <c r="AA197" s="145"/>
      <c r="AB197" s="540" t="str">
        <f>IF(AA197="","",IF(VLOOKUP(AA197,'G-3 Multipliers'!$L$3:$N$6,2,FALSE)=0,"Spatial Data Missing ⚠",VLOOKUP(AA197,'G-3 Multipliers'!$L$3:$N$6,2,FALSE)))</f>
        <v/>
      </c>
      <c r="AC197" s="524" t="str">
        <f>IF(AA197="","",IF(VLOOKUP(AA197,'G-3 Multipliers'!$L$3:$N$6,3,FALSE)=0,"Spatial Data Missing ⚠",VLOOKUP(AA197,'G-3 Multipliers'!$L$3:$N$6,3,FALSE)))</f>
        <v/>
      </c>
      <c r="AD197" s="537" t="str">
        <f t="shared" si="26"/>
        <v/>
      </c>
      <c r="AE197" s="203"/>
      <c r="AF197" s="203"/>
      <c r="AG197" s="520" t="str">
        <f t="shared" si="29"/>
        <v/>
      </c>
      <c r="AH197" s="544" t="str">
        <f t="shared" si="30"/>
        <v/>
      </c>
      <c r="AI197" s="525" t="str">
        <f>IF(AH197="Check Data ⚠","Check Data ⚠",IFERROR(VLOOKUP(AH197,'G-4 Temporal multipliers'!$A$4:$C$36,3,FALSE),""))</f>
        <v/>
      </c>
      <c r="AJ197" s="537" t="str">
        <f>IF(S197="","",VLOOKUP(S197,'G-3 Multipliers'!$A$2:$E$129,4,FALSE))</f>
        <v/>
      </c>
      <c r="AK197" s="520" t="str">
        <f t="shared" si="31"/>
        <v/>
      </c>
      <c r="AL197" s="520" t="str">
        <f t="shared" si="32"/>
        <v/>
      </c>
      <c r="AM197" s="524" t="str">
        <f>IFERROR(IF(F197="","",IF(AH197="Check Data ⚠","Check Data ⚠",VLOOKUP(AL197, 'G-3 Multipliers'!$P$2:$Q$6,2,FALSE))),"")</f>
        <v/>
      </c>
      <c r="AN197" s="197"/>
      <c r="AO197" s="540" t="str">
        <f>IF(AN197="","",IF(VLOOKUP(AN197,'G-3 Multipliers'!$S$3:$T$9,2,FALSE)=0,"Spatial Data Missing ⚠",VLOOKUP(AN197,'G-3 Multipliers'!$S$3:$T$9,2,FALSE)))</f>
        <v/>
      </c>
      <c r="AP197" s="513" t="str">
        <f t="shared" si="33"/>
        <v/>
      </c>
      <c r="AQ197" s="231"/>
      <c r="AR197" s="150"/>
    </row>
    <row r="198" spans="1:44" x14ac:dyDescent="0.25">
      <c r="A198" s="31" t="str">
        <f>IF(E198="","",IF(ISNA(VLOOKUP($E198,'D-1 Off Site Habitat Baseline'!$D$1:$O$258,2,FALSE)),"",(VLOOKUP($E198,'D-1 Off Site Habitat Baseline'!$D$1:$O$258,2,FALSE))))</f>
        <v/>
      </c>
      <c r="B198" s="31" t="str">
        <f>IF(E198="","",IF(ISNA(VLOOKUP($E198,'D-1 Off Site Habitat Baseline'!$D$1:$O$258,3,FALSE)),"",(VLOOKUP($E198,'D-1 Off Site Habitat Baseline'!$D$1:$O$258,3,FALSE))))</f>
        <v/>
      </c>
      <c r="C198" s="31" t="str">
        <f>IFERROR(INDEX('G-8 Condition Look up'!$I$4:$I$130,MATCH(S198,'G-8 Condition Look up'!$A$4:$A$130,0)),"")</f>
        <v/>
      </c>
      <c r="E198" s="547" t="str">
        <f>'D-1 Off Site Habitat Baseline'!AL197</f>
        <v/>
      </c>
      <c r="F198" s="520" t="str">
        <f>IF(E198="","",IF(ISNA(VLOOKUP($E198,'D-1 Off Site Habitat Baseline'!$D$1:$O$258,4,FALSE)),"",(VLOOKUP($E198,'D-1 Off Site Habitat Baseline'!$D$1:$O$258,4,FALSE))))</f>
        <v/>
      </c>
      <c r="G198" s="520" t="str">
        <f>IF(E198="","",IF(ISNA(VLOOKUP($E198,'D-1 Off Site Habitat Baseline'!$D$1:$O$258,5,FALSE)),"",(VLOOKUP($E198,'D-1 Off Site Habitat Baseline'!$D$1:$O$258,5,FALSE))))</f>
        <v/>
      </c>
      <c r="H198" s="520" t="str">
        <f>IF(E198="","",IF(ISNA(VLOOKUP($E198,'D-1 Off Site Habitat Baseline'!$D$1:$O$258,6,FALSE)),"",(VLOOKUP($E198,'D-1 Off Site Habitat Baseline'!$D$1:$O$258,6,FALSE))))</f>
        <v/>
      </c>
      <c r="I198" s="520" t="str">
        <f>IF(E198="","",IF(ISNA(VLOOKUP($E198,'D-1 Off Site Habitat Baseline'!$D$1:$O$258,7,FALSE)),"",(VLOOKUP($E198,'D-1 Off Site Habitat Baseline'!$D$1:$O$258,7,FALSE))))</f>
        <v/>
      </c>
      <c r="J198" s="520" t="str">
        <f>IF(E198="","",IF(ISNA(VLOOKUP($E198,'D-1 Off Site Habitat Baseline'!$D$1:$O$258,8,FALSE)),"",(VLOOKUP($E198,'D-1 Off Site Habitat Baseline'!$D$1:$O$258,8,FALSE))))</f>
        <v/>
      </c>
      <c r="K198" s="520" t="str">
        <f>IF(E198="","",IF(ISNA(VLOOKUP($E198,'D-1 Off Site Habitat Baseline'!$D$1:$O$258,9,FALSE)),"",(VLOOKUP($E198,'D-1 Off Site Habitat Baseline'!$D$1:$O$258,9,FALSE))))</f>
        <v/>
      </c>
      <c r="L198" s="520" t="str">
        <f>IF(E198="","",IF(ISNA(VLOOKUP($E198,'D-1 Off Site Habitat Baseline'!$D$1:$O$258,11,FALSE)),"",(VLOOKUP($E198,'D-1 Off Site Habitat Baseline'!$D$1:$O$258,11,FALSE))))</f>
        <v/>
      </c>
      <c r="M198" s="520" t="str">
        <f>IF(E198="","",IF(ISNA(VLOOKUP($E198,'D-1 Off Site Habitat Baseline'!$D$1:$O$258,12,FALSE)),"",(VLOOKUP($E198,'D-1 Off Site Habitat Baseline'!$D$1:$O$258,12,FALSE))))</f>
        <v/>
      </c>
      <c r="N198" s="520" t="str">
        <f>IF(E198="","",IF(ISNA(VLOOKUP($E198,'D-1 Off Site Habitat Baseline'!$D$1:$X$258,14,FALSE)),"",(VLOOKUP($E198,'D-1 Off Site Habitat Baseline'!$D$1:$X$258,14,FALSE))))</f>
        <v/>
      </c>
      <c r="O198" s="524" t="str">
        <f>IF(E198="","",IF(ISNA(VLOOKUP($E198,'D-1 Off Site Habitat Baseline'!$D$1:$X$258,13,FALSE)),"",(VLOOKUP($E198,'D-1 Off Site Habitat Baseline'!$D$1:$X$258,13,FALSE))))</f>
        <v/>
      </c>
      <c r="P198" s="232" t="str">
        <f>IFERROR(INDEX('G-1 All Habitats'!$AG$3:$AG$15,MATCH(Q198,'G-1 All Habitats'!$AF$3:$AF$15,0)),"")</f>
        <v/>
      </c>
      <c r="Q198" s="228" t="str">
        <f t="shared" si="34"/>
        <v/>
      </c>
      <c r="R198" s="229" t="str">
        <f t="shared" si="35"/>
        <v/>
      </c>
      <c r="S198" s="233" t="str">
        <f>IFERROR(INDEX('G-1 All Habitats'!$B$3:$B$129,MATCH(R198,'G-1 All Habitats'!$A$3:$A$129,0)),"")</f>
        <v/>
      </c>
      <c r="T198" s="507" t="str">
        <f t="shared" si="27"/>
        <v/>
      </c>
      <c r="U198" s="524" t="str">
        <f t="shared" si="28"/>
        <v/>
      </c>
      <c r="V198" s="523" t="str">
        <f t="shared" si="25"/>
        <v/>
      </c>
      <c r="W198" s="520" t="str">
        <f>IF(S198="","",VLOOKUP(S198,'G-1 All Habitats'!$B$2:$M$129,10,FALSE))</f>
        <v/>
      </c>
      <c r="X198" s="520" t="str">
        <f>IFERROR(VLOOKUP(W198,'G-1 All Habitats'!$V$3:$W$7,2,FALSE),"")</f>
        <v/>
      </c>
      <c r="Y198" s="203"/>
      <c r="Z198" s="524" t="str">
        <f>IFERROR(INDEX('G-8 Condition Look up'!$A$3:$H$130,MATCH(S198,'G-8 Condition Look up'!$A$3:$A$130,0),MATCH(Y198,'G-8 Condition Look up'!$A$3:$H$3,0)),"")</f>
        <v/>
      </c>
      <c r="AA198" s="145"/>
      <c r="AB198" s="540" t="str">
        <f>IF(AA198="","",IF(VLOOKUP(AA198,'G-3 Multipliers'!$L$3:$N$6,2,FALSE)=0,"Spatial Data Missing ⚠",VLOOKUP(AA198,'G-3 Multipliers'!$L$3:$N$6,2,FALSE)))</f>
        <v/>
      </c>
      <c r="AC198" s="524" t="str">
        <f>IF(AA198="","",IF(VLOOKUP(AA198,'G-3 Multipliers'!$L$3:$N$6,3,FALSE)=0,"Spatial Data Missing ⚠",VLOOKUP(AA198,'G-3 Multipliers'!$L$3:$N$6,3,FALSE)))</f>
        <v/>
      </c>
      <c r="AD198" s="537" t="str">
        <f t="shared" si="26"/>
        <v/>
      </c>
      <c r="AE198" s="203"/>
      <c r="AF198" s="203"/>
      <c r="AG198" s="520" t="str">
        <f t="shared" si="29"/>
        <v/>
      </c>
      <c r="AH198" s="544" t="str">
        <f t="shared" si="30"/>
        <v/>
      </c>
      <c r="AI198" s="525" t="str">
        <f>IF(AH198="Check Data ⚠","Check Data ⚠",IFERROR(VLOOKUP(AH198,'G-4 Temporal multipliers'!$A$4:$C$36,3,FALSE),""))</f>
        <v/>
      </c>
      <c r="AJ198" s="537" t="str">
        <f>IF(S198="","",VLOOKUP(S198,'G-3 Multipliers'!$A$2:$E$129,4,FALSE))</f>
        <v/>
      </c>
      <c r="AK198" s="520" t="str">
        <f t="shared" si="31"/>
        <v/>
      </c>
      <c r="AL198" s="520" t="str">
        <f t="shared" si="32"/>
        <v/>
      </c>
      <c r="AM198" s="524" t="str">
        <f>IFERROR(IF(F198="","",IF(AH198="Check Data ⚠","Check Data ⚠",VLOOKUP(AL198, 'G-3 Multipliers'!$P$2:$Q$6,2,FALSE))),"")</f>
        <v/>
      </c>
      <c r="AN198" s="197"/>
      <c r="AO198" s="540" t="str">
        <f>IF(AN198="","",IF(VLOOKUP(AN198,'G-3 Multipliers'!$S$3:$T$9,2,FALSE)=0,"Spatial Data Missing ⚠",VLOOKUP(AN198,'G-3 Multipliers'!$S$3:$T$9,2,FALSE)))</f>
        <v/>
      </c>
      <c r="AP198" s="513" t="str">
        <f t="shared" si="33"/>
        <v/>
      </c>
      <c r="AQ198" s="231"/>
      <c r="AR198" s="150"/>
    </row>
    <row r="199" spans="1:44" x14ac:dyDescent="0.25">
      <c r="A199" s="31" t="str">
        <f>IF(E199="","",IF(ISNA(VLOOKUP($E199,'D-1 Off Site Habitat Baseline'!$D$1:$O$258,2,FALSE)),"",(VLOOKUP($E199,'D-1 Off Site Habitat Baseline'!$D$1:$O$258,2,FALSE))))</f>
        <v/>
      </c>
      <c r="B199" s="31" t="str">
        <f>IF(E199="","",IF(ISNA(VLOOKUP($E199,'D-1 Off Site Habitat Baseline'!$D$1:$O$258,3,FALSE)),"",(VLOOKUP($E199,'D-1 Off Site Habitat Baseline'!$D$1:$O$258,3,FALSE))))</f>
        <v/>
      </c>
      <c r="C199" s="31" t="str">
        <f>IFERROR(INDEX('G-8 Condition Look up'!$I$4:$I$130,MATCH(S199,'G-8 Condition Look up'!$A$4:$A$130,0)),"")</f>
        <v/>
      </c>
      <c r="E199" s="547" t="str">
        <f>'D-1 Off Site Habitat Baseline'!AL198</f>
        <v/>
      </c>
      <c r="F199" s="520" t="str">
        <f>IF(E199="","",IF(ISNA(VLOOKUP($E199,'D-1 Off Site Habitat Baseline'!$D$1:$O$258,4,FALSE)),"",(VLOOKUP($E199,'D-1 Off Site Habitat Baseline'!$D$1:$O$258,4,FALSE))))</f>
        <v/>
      </c>
      <c r="G199" s="520" t="str">
        <f>IF(E199="","",IF(ISNA(VLOOKUP($E199,'D-1 Off Site Habitat Baseline'!$D$1:$O$258,5,FALSE)),"",(VLOOKUP($E199,'D-1 Off Site Habitat Baseline'!$D$1:$O$258,5,FALSE))))</f>
        <v/>
      </c>
      <c r="H199" s="520" t="str">
        <f>IF(E199="","",IF(ISNA(VLOOKUP($E199,'D-1 Off Site Habitat Baseline'!$D$1:$O$258,6,FALSE)),"",(VLOOKUP($E199,'D-1 Off Site Habitat Baseline'!$D$1:$O$258,6,FALSE))))</f>
        <v/>
      </c>
      <c r="I199" s="520" t="str">
        <f>IF(E199="","",IF(ISNA(VLOOKUP($E199,'D-1 Off Site Habitat Baseline'!$D$1:$O$258,7,FALSE)),"",(VLOOKUP($E199,'D-1 Off Site Habitat Baseline'!$D$1:$O$258,7,FALSE))))</f>
        <v/>
      </c>
      <c r="J199" s="520" t="str">
        <f>IF(E199="","",IF(ISNA(VLOOKUP($E199,'D-1 Off Site Habitat Baseline'!$D$1:$O$258,8,FALSE)),"",(VLOOKUP($E199,'D-1 Off Site Habitat Baseline'!$D$1:$O$258,8,FALSE))))</f>
        <v/>
      </c>
      <c r="K199" s="520" t="str">
        <f>IF(E199="","",IF(ISNA(VLOOKUP($E199,'D-1 Off Site Habitat Baseline'!$D$1:$O$258,9,FALSE)),"",(VLOOKUP($E199,'D-1 Off Site Habitat Baseline'!$D$1:$O$258,9,FALSE))))</f>
        <v/>
      </c>
      <c r="L199" s="520" t="str">
        <f>IF(E199="","",IF(ISNA(VLOOKUP($E199,'D-1 Off Site Habitat Baseline'!$D$1:$O$258,11,FALSE)),"",(VLOOKUP($E199,'D-1 Off Site Habitat Baseline'!$D$1:$O$258,11,FALSE))))</f>
        <v/>
      </c>
      <c r="M199" s="520" t="str">
        <f>IF(E199="","",IF(ISNA(VLOOKUP($E199,'D-1 Off Site Habitat Baseline'!$D$1:$O$258,12,FALSE)),"",(VLOOKUP($E199,'D-1 Off Site Habitat Baseline'!$D$1:$O$258,12,FALSE))))</f>
        <v/>
      </c>
      <c r="N199" s="520" t="str">
        <f>IF(E199="","",IF(ISNA(VLOOKUP($E199,'D-1 Off Site Habitat Baseline'!$D$1:$X$258,14,FALSE)),"",(VLOOKUP($E199,'D-1 Off Site Habitat Baseline'!$D$1:$X$258,14,FALSE))))</f>
        <v/>
      </c>
      <c r="O199" s="524" t="str">
        <f>IF(E199="","",IF(ISNA(VLOOKUP($E199,'D-1 Off Site Habitat Baseline'!$D$1:$X$258,13,FALSE)),"",(VLOOKUP($E199,'D-1 Off Site Habitat Baseline'!$D$1:$X$258,13,FALSE))))</f>
        <v/>
      </c>
      <c r="P199" s="232" t="str">
        <f>IFERROR(INDEX('G-1 All Habitats'!$AG$3:$AG$15,MATCH(Q199,'G-1 All Habitats'!$AF$3:$AF$15,0)),"")</f>
        <v/>
      </c>
      <c r="Q199" s="228" t="str">
        <f t="shared" si="34"/>
        <v/>
      </c>
      <c r="R199" s="229" t="str">
        <f t="shared" si="35"/>
        <v/>
      </c>
      <c r="S199" s="233" t="str">
        <f>IFERROR(INDEX('G-1 All Habitats'!$B$3:$B$129,MATCH(R199,'G-1 All Habitats'!$A$3:$A$129,0)),"")</f>
        <v/>
      </c>
      <c r="T199" s="507" t="str">
        <f t="shared" si="27"/>
        <v/>
      </c>
      <c r="U199" s="524" t="str">
        <f t="shared" si="28"/>
        <v/>
      </c>
      <c r="V199" s="523" t="str">
        <f t="shared" si="25"/>
        <v/>
      </c>
      <c r="W199" s="520" t="str">
        <f>IF(S199="","",VLOOKUP(S199,'G-1 All Habitats'!$B$2:$M$129,10,FALSE))</f>
        <v/>
      </c>
      <c r="X199" s="520" t="str">
        <f>IFERROR(VLOOKUP(W199,'G-1 All Habitats'!$V$3:$W$7,2,FALSE),"")</f>
        <v/>
      </c>
      <c r="Y199" s="203"/>
      <c r="Z199" s="524" t="str">
        <f>IFERROR(INDEX('G-8 Condition Look up'!$A$3:$H$130,MATCH(S199,'G-8 Condition Look up'!$A$3:$A$130,0),MATCH(Y199,'G-8 Condition Look up'!$A$3:$H$3,0)),"")</f>
        <v/>
      </c>
      <c r="AA199" s="145"/>
      <c r="AB199" s="540" t="str">
        <f>IF(AA199="","",IF(VLOOKUP(AA199,'G-3 Multipliers'!$L$3:$N$6,2,FALSE)=0,"Spatial Data Missing ⚠",VLOOKUP(AA199,'G-3 Multipliers'!$L$3:$N$6,2,FALSE)))</f>
        <v/>
      </c>
      <c r="AC199" s="524" t="str">
        <f>IF(AA199="","",IF(VLOOKUP(AA199,'G-3 Multipliers'!$L$3:$N$6,3,FALSE)=0,"Spatial Data Missing ⚠",VLOOKUP(AA199,'G-3 Multipliers'!$L$3:$N$6,3,FALSE)))</f>
        <v/>
      </c>
      <c r="AD199" s="537" t="str">
        <f t="shared" si="26"/>
        <v/>
      </c>
      <c r="AE199" s="203"/>
      <c r="AF199" s="203"/>
      <c r="AG199" s="520" t="str">
        <f t="shared" si="29"/>
        <v/>
      </c>
      <c r="AH199" s="544" t="str">
        <f t="shared" si="30"/>
        <v/>
      </c>
      <c r="AI199" s="525" t="str">
        <f>IF(AH199="Check Data ⚠","Check Data ⚠",IFERROR(VLOOKUP(AH199,'G-4 Temporal multipliers'!$A$4:$C$36,3,FALSE),""))</f>
        <v/>
      </c>
      <c r="AJ199" s="537" t="str">
        <f>IF(S199="","",VLOOKUP(S199,'G-3 Multipliers'!$A$2:$E$129,4,FALSE))</f>
        <v/>
      </c>
      <c r="AK199" s="520" t="str">
        <f t="shared" si="31"/>
        <v/>
      </c>
      <c r="AL199" s="520" t="str">
        <f t="shared" si="32"/>
        <v/>
      </c>
      <c r="AM199" s="524" t="str">
        <f>IFERROR(IF(F199="","",IF(AH199="Check Data ⚠","Check Data ⚠",VLOOKUP(AL199, 'G-3 Multipliers'!$P$2:$Q$6,2,FALSE))),"")</f>
        <v/>
      </c>
      <c r="AN199" s="197"/>
      <c r="AO199" s="540" t="str">
        <f>IF(AN199="","",IF(VLOOKUP(AN199,'G-3 Multipliers'!$S$3:$T$9,2,FALSE)=0,"Spatial Data Missing ⚠",VLOOKUP(AN199,'G-3 Multipliers'!$S$3:$T$9,2,FALSE)))</f>
        <v/>
      </c>
      <c r="AP199" s="513" t="str">
        <f t="shared" si="33"/>
        <v/>
      </c>
      <c r="AQ199" s="231"/>
      <c r="AR199" s="150"/>
    </row>
    <row r="200" spans="1:44" x14ac:dyDescent="0.25">
      <c r="A200" s="31" t="str">
        <f>IF(E200="","",IF(ISNA(VLOOKUP($E200,'D-1 Off Site Habitat Baseline'!$D$1:$O$258,2,FALSE)),"",(VLOOKUP($E200,'D-1 Off Site Habitat Baseline'!$D$1:$O$258,2,FALSE))))</f>
        <v/>
      </c>
      <c r="B200" s="31" t="str">
        <f>IF(E200="","",IF(ISNA(VLOOKUP($E200,'D-1 Off Site Habitat Baseline'!$D$1:$O$258,3,FALSE)),"",(VLOOKUP($E200,'D-1 Off Site Habitat Baseline'!$D$1:$O$258,3,FALSE))))</f>
        <v/>
      </c>
      <c r="C200" s="31" t="str">
        <f>IFERROR(INDEX('G-8 Condition Look up'!$I$4:$I$130,MATCH(S200,'G-8 Condition Look up'!$A$4:$A$130,0)),"")</f>
        <v/>
      </c>
      <c r="E200" s="547" t="str">
        <f>'D-1 Off Site Habitat Baseline'!AL199</f>
        <v/>
      </c>
      <c r="F200" s="520" t="str">
        <f>IF(E200="","",IF(ISNA(VLOOKUP($E200,'D-1 Off Site Habitat Baseline'!$D$1:$O$258,4,FALSE)),"",(VLOOKUP($E200,'D-1 Off Site Habitat Baseline'!$D$1:$O$258,4,FALSE))))</f>
        <v/>
      </c>
      <c r="G200" s="520" t="str">
        <f>IF(E200="","",IF(ISNA(VLOOKUP($E200,'D-1 Off Site Habitat Baseline'!$D$1:$O$258,5,FALSE)),"",(VLOOKUP($E200,'D-1 Off Site Habitat Baseline'!$D$1:$O$258,5,FALSE))))</f>
        <v/>
      </c>
      <c r="H200" s="520" t="str">
        <f>IF(E200="","",IF(ISNA(VLOOKUP($E200,'D-1 Off Site Habitat Baseline'!$D$1:$O$258,6,FALSE)),"",(VLOOKUP($E200,'D-1 Off Site Habitat Baseline'!$D$1:$O$258,6,FALSE))))</f>
        <v/>
      </c>
      <c r="I200" s="520" t="str">
        <f>IF(E200="","",IF(ISNA(VLOOKUP($E200,'D-1 Off Site Habitat Baseline'!$D$1:$O$258,7,FALSE)),"",(VLOOKUP($E200,'D-1 Off Site Habitat Baseline'!$D$1:$O$258,7,FALSE))))</f>
        <v/>
      </c>
      <c r="J200" s="520" t="str">
        <f>IF(E200="","",IF(ISNA(VLOOKUP($E200,'D-1 Off Site Habitat Baseline'!$D$1:$O$258,8,FALSE)),"",(VLOOKUP($E200,'D-1 Off Site Habitat Baseline'!$D$1:$O$258,8,FALSE))))</f>
        <v/>
      </c>
      <c r="K200" s="520" t="str">
        <f>IF(E200="","",IF(ISNA(VLOOKUP($E200,'D-1 Off Site Habitat Baseline'!$D$1:$O$258,9,FALSE)),"",(VLOOKUP($E200,'D-1 Off Site Habitat Baseline'!$D$1:$O$258,9,FALSE))))</f>
        <v/>
      </c>
      <c r="L200" s="520" t="str">
        <f>IF(E200="","",IF(ISNA(VLOOKUP($E200,'D-1 Off Site Habitat Baseline'!$D$1:$O$258,11,FALSE)),"",(VLOOKUP($E200,'D-1 Off Site Habitat Baseline'!$D$1:$O$258,11,FALSE))))</f>
        <v/>
      </c>
      <c r="M200" s="520" t="str">
        <f>IF(E200="","",IF(ISNA(VLOOKUP($E200,'D-1 Off Site Habitat Baseline'!$D$1:$O$258,12,FALSE)),"",(VLOOKUP($E200,'D-1 Off Site Habitat Baseline'!$D$1:$O$258,12,FALSE))))</f>
        <v/>
      </c>
      <c r="N200" s="520" t="str">
        <f>IF(E200="","",IF(ISNA(VLOOKUP($E200,'D-1 Off Site Habitat Baseline'!$D$1:$X$258,14,FALSE)),"",(VLOOKUP($E200,'D-1 Off Site Habitat Baseline'!$D$1:$X$258,14,FALSE))))</f>
        <v/>
      </c>
      <c r="O200" s="524" t="str">
        <f>IF(E200="","",IF(ISNA(VLOOKUP($E200,'D-1 Off Site Habitat Baseline'!$D$1:$X$258,13,FALSE)),"",(VLOOKUP($E200,'D-1 Off Site Habitat Baseline'!$D$1:$X$258,13,FALSE))))</f>
        <v/>
      </c>
      <c r="P200" s="232" t="str">
        <f>IFERROR(INDEX('G-1 All Habitats'!$AG$3:$AG$15,MATCH(Q200,'G-1 All Habitats'!$AF$3:$AF$15,0)),"")</f>
        <v/>
      </c>
      <c r="Q200" s="228" t="str">
        <f t="shared" si="34"/>
        <v/>
      </c>
      <c r="R200" s="229" t="str">
        <f t="shared" si="35"/>
        <v/>
      </c>
      <c r="S200" s="233" t="str">
        <f>IFERROR(INDEX('G-1 All Habitats'!$B$3:$B$129,MATCH(R200,'G-1 All Habitats'!$A$3:$A$129,0)),"")</f>
        <v/>
      </c>
      <c r="T200" s="507" t="str">
        <f t="shared" si="27"/>
        <v/>
      </c>
      <c r="U200" s="524" t="str">
        <f t="shared" si="28"/>
        <v/>
      </c>
      <c r="V200" s="523" t="str">
        <f t="shared" si="25"/>
        <v/>
      </c>
      <c r="W200" s="520" t="str">
        <f>IF(S200="","",VLOOKUP(S200,'G-1 All Habitats'!$B$2:$M$129,10,FALSE))</f>
        <v/>
      </c>
      <c r="X200" s="520" t="str">
        <f>IFERROR(VLOOKUP(W200,'G-1 All Habitats'!$V$3:$W$7,2,FALSE),"")</f>
        <v/>
      </c>
      <c r="Y200" s="203"/>
      <c r="Z200" s="524" t="str">
        <f>IFERROR(INDEX('G-8 Condition Look up'!$A$3:$H$130,MATCH(S200,'G-8 Condition Look up'!$A$3:$A$130,0),MATCH(Y200,'G-8 Condition Look up'!$A$3:$H$3,0)),"")</f>
        <v/>
      </c>
      <c r="AA200" s="145"/>
      <c r="AB200" s="540" t="str">
        <f>IF(AA200="","",IF(VLOOKUP(AA200,'G-3 Multipliers'!$L$3:$N$6,2,FALSE)=0,"Spatial Data Missing ⚠",VLOOKUP(AA200,'G-3 Multipliers'!$L$3:$N$6,2,FALSE)))</f>
        <v/>
      </c>
      <c r="AC200" s="524" t="str">
        <f>IF(AA200="","",IF(VLOOKUP(AA200,'G-3 Multipliers'!$L$3:$N$6,3,FALSE)=0,"Spatial Data Missing ⚠",VLOOKUP(AA200,'G-3 Multipliers'!$L$3:$N$6,3,FALSE)))</f>
        <v/>
      </c>
      <c r="AD200" s="537" t="str">
        <f t="shared" si="26"/>
        <v/>
      </c>
      <c r="AE200" s="203"/>
      <c r="AF200" s="203"/>
      <c r="AG200" s="520" t="str">
        <f t="shared" si="29"/>
        <v/>
      </c>
      <c r="AH200" s="544" t="str">
        <f t="shared" si="30"/>
        <v/>
      </c>
      <c r="AI200" s="525" t="str">
        <f>IF(AH200="Check Data ⚠","Check Data ⚠",IFERROR(VLOOKUP(AH200,'G-4 Temporal multipliers'!$A$4:$C$36,3,FALSE),""))</f>
        <v/>
      </c>
      <c r="AJ200" s="537" t="str">
        <f>IF(S200="","",VLOOKUP(S200,'G-3 Multipliers'!$A$2:$E$129,4,FALSE))</f>
        <v/>
      </c>
      <c r="AK200" s="520" t="str">
        <f t="shared" si="31"/>
        <v/>
      </c>
      <c r="AL200" s="520" t="str">
        <f t="shared" si="32"/>
        <v/>
      </c>
      <c r="AM200" s="524" t="str">
        <f>IFERROR(IF(F200="","",IF(AH200="Check Data ⚠","Check Data ⚠",VLOOKUP(AL200, 'G-3 Multipliers'!$P$2:$Q$6,2,FALSE))),"")</f>
        <v/>
      </c>
      <c r="AN200" s="197"/>
      <c r="AO200" s="540" t="str">
        <f>IF(AN200="","",IF(VLOOKUP(AN200,'G-3 Multipliers'!$S$3:$T$9,2,FALSE)=0,"Spatial Data Missing ⚠",VLOOKUP(AN200,'G-3 Multipliers'!$S$3:$T$9,2,FALSE)))</f>
        <v/>
      </c>
      <c r="AP200" s="513" t="str">
        <f t="shared" si="33"/>
        <v/>
      </c>
      <c r="AQ200" s="231"/>
      <c r="AR200" s="150"/>
    </row>
    <row r="201" spans="1:44" x14ac:dyDescent="0.25">
      <c r="A201" s="31" t="str">
        <f>IF(E201="","",IF(ISNA(VLOOKUP($E201,'D-1 Off Site Habitat Baseline'!$D$1:$O$258,2,FALSE)),"",(VLOOKUP($E201,'D-1 Off Site Habitat Baseline'!$D$1:$O$258,2,FALSE))))</f>
        <v/>
      </c>
      <c r="B201" s="31" t="str">
        <f>IF(E201="","",IF(ISNA(VLOOKUP($E201,'D-1 Off Site Habitat Baseline'!$D$1:$O$258,3,FALSE)),"",(VLOOKUP($E201,'D-1 Off Site Habitat Baseline'!$D$1:$O$258,3,FALSE))))</f>
        <v/>
      </c>
      <c r="C201" s="31" t="str">
        <f>IFERROR(INDEX('G-8 Condition Look up'!$I$4:$I$130,MATCH(S201,'G-8 Condition Look up'!$A$4:$A$130,0)),"")</f>
        <v/>
      </c>
      <c r="E201" s="547" t="str">
        <f>'D-1 Off Site Habitat Baseline'!AL200</f>
        <v/>
      </c>
      <c r="F201" s="520" t="str">
        <f>IF(E201="","",IF(ISNA(VLOOKUP($E201,'D-1 Off Site Habitat Baseline'!$D$1:$O$258,4,FALSE)),"",(VLOOKUP($E201,'D-1 Off Site Habitat Baseline'!$D$1:$O$258,4,FALSE))))</f>
        <v/>
      </c>
      <c r="G201" s="520" t="str">
        <f>IF(E201="","",IF(ISNA(VLOOKUP($E201,'D-1 Off Site Habitat Baseline'!$D$1:$O$258,5,FALSE)),"",(VLOOKUP($E201,'D-1 Off Site Habitat Baseline'!$D$1:$O$258,5,FALSE))))</f>
        <v/>
      </c>
      <c r="H201" s="520" t="str">
        <f>IF(E201="","",IF(ISNA(VLOOKUP($E201,'D-1 Off Site Habitat Baseline'!$D$1:$O$258,6,FALSE)),"",(VLOOKUP($E201,'D-1 Off Site Habitat Baseline'!$D$1:$O$258,6,FALSE))))</f>
        <v/>
      </c>
      <c r="I201" s="520" t="str">
        <f>IF(E201="","",IF(ISNA(VLOOKUP($E201,'D-1 Off Site Habitat Baseline'!$D$1:$O$258,7,FALSE)),"",(VLOOKUP($E201,'D-1 Off Site Habitat Baseline'!$D$1:$O$258,7,FALSE))))</f>
        <v/>
      </c>
      <c r="J201" s="520" t="str">
        <f>IF(E201="","",IF(ISNA(VLOOKUP($E201,'D-1 Off Site Habitat Baseline'!$D$1:$O$258,8,FALSE)),"",(VLOOKUP($E201,'D-1 Off Site Habitat Baseline'!$D$1:$O$258,8,FALSE))))</f>
        <v/>
      </c>
      <c r="K201" s="520" t="str">
        <f>IF(E201="","",IF(ISNA(VLOOKUP($E201,'D-1 Off Site Habitat Baseline'!$D$1:$O$258,9,FALSE)),"",(VLOOKUP($E201,'D-1 Off Site Habitat Baseline'!$D$1:$O$258,9,FALSE))))</f>
        <v/>
      </c>
      <c r="L201" s="520" t="str">
        <f>IF(E201="","",IF(ISNA(VLOOKUP($E201,'D-1 Off Site Habitat Baseline'!$D$1:$O$258,11,FALSE)),"",(VLOOKUP($E201,'D-1 Off Site Habitat Baseline'!$D$1:$O$258,11,FALSE))))</f>
        <v/>
      </c>
      <c r="M201" s="520" t="str">
        <f>IF(E201="","",IF(ISNA(VLOOKUP($E201,'D-1 Off Site Habitat Baseline'!$D$1:$O$258,12,FALSE)),"",(VLOOKUP($E201,'D-1 Off Site Habitat Baseline'!$D$1:$O$258,12,FALSE))))</f>
        <v/>
      </c>
      <c r="N201" s="520" t="str">
        <f>IF(E201="","",IF(ISNA(VLOOKUP($E201,'D-1 Off Site Habitat Baseline'!$D$1:$X$258,14,FALSE)),"",(VLOOKUP($E201,'D-1 Off Site Habitat Baseline'!$D$1:$X$258,14,FALSE))))</f>
        <v/>
      </c>
      <c r="O201" s="524" t="str">
        <f>IF(E201="","",IF(ISNA(VLOOKUP($E201,'D-1 Off Site Habitat Baseline'!$D$1:$X$258,13,FALSE)),"",(VLOOKUP($E201,'D-1 Off Site Habitat Baseline'!$D$1:$X$258,13,FALSE))))</f>
        <v/>
      </c>
      <c r="P201" s="232" t="str">
        <f>IFERROR(INDEX('G-1 All Habitats'!$AG$3:$AG$15,MATCH(Q201,'G-1 All Habitats'!$AF$3:$AF$15,0)),"")</f>
        <v/>
      </c>
      <c r="Q201" s="228" t="str">
        <f t="shared" si="34"/>
        <v/>
      </c>
      <c r="R201" s="229" t="str">
        <f t="shared" si="35"/>
        <v/>
      </c>
      <c r="S201" s="233" t="str">
        <f>IFERROR(INDEX('G-1 All Habitats'!$B$3:$B$129,MATCH(R201,'G-1 All Habitats'!$A$3:$A$129,0)),"")</f>
        <v/>
      </c>
      <c r="T201" s="507" t="str">
        <f t="shared" si="27"/>
        <v/>
      </c>
      <c r="U201" s="524" t="str">
        <f t="shared" si="28"/>
        <v/>
      </c>
      <c r="V201" s="523" t="str">
        <f t="shared" si="25"/>
        <v/>
      </c>
      <c r="W201" s="520" t="str">
        <f>IF(S201="","",VLOOKUP(S201,'G-1 All Habitats'!$B$2:$M$129,10,FALSE))</f>
        <v/>
      </c>
      <c r="X201" s="520" t="str">
        <f>IFERROR(VLOOKUP(W201,'G-1 All Habitats'!$V$3:$W$7,2,FALSE),"")</f>
        <v/>
      </c>
      <c r="Y201" s="203"/>
      <c r="Z201" s="524" t="str">
        <f>IFERROR(INDEX('G-8 Condition Look up'!$A$3:$H$130,MATCH(S201,'G-8 Condition Look up'!$A$3:$A$130,0),MATCH(Y201,'G-8 Condition Look up'!$A$3:$H$3,0)),"")</f>
        <v/>
      </c>
      <c r="AA201" s="145"/>
      <c r="AB201" s="540" t="str">
        <f>IF(AA201="","",IF(VLOOKUP(AA201,'G-3 Multipliers'!$L$3:$N$6,2,FALSE)=0,"Spatial Data Missing ⚠",VLOOKUP(AA201,'G-3 Multipliers'!$L$3:$N$6,2,FALSE)))</f>
        <v/>
      </c>
      <c r="AC201" s="524" t="str">
        <f>IF(AA201="","",IF(VLOOKUP(AA201,'G-3 Multipliers'!$L$3:$N$6,3,FALSE)=0,"Spatial Data Missing ⚠",VLOOKUP(AA201,'G-3 Multipliers'!$L$3:$N$6,3,FALSE)))</f>
        <v/>
      </c>
      <c r="AD201" s="537" t="str">
        <f t="shared" si="26"/>
        <v/>
      </c>
      <c r="AE201" s="203"/>
      <c r="AF201" s="203"/>
      <c r="AG201" s="520" t="str">
        <f t="shared" si="29"/>
        <v/>
      </c>
      <c r="AH201" s="544" t="str">
        <f t="shared" si="30"/>
        <v/>
      </c>
      <c r="AI201" s="525" t="str">
        <f>IF(AH201="Check Data ⚠","Check Data ⚠",IFERROR(VLOOKUP(AH201,'G-4 Temporal multipliers'!$A$4:$C$36,3,FALSE),""))</f>
        <v/>
      </c>
      <c r="AJ201" s="537" t="str">
        <f>IF(S201="","",VLOOKUP(S201,'G-3 Multipliers'!$A$2:$E$129,4,FALSE))</f>
        <v/>
      </c>
      <c r="AK201" s="520" t="str">
        <f t="shared" si="31"/>
        <v/>
      </c>
      <c r="AL201" s="520" t="str">
        <f t="shared" si="32"/>
        <v/>
      </c>
      <c r="AM201" s="524" t="str">
        <f>IFERROR(IF(F201="","",IF(AH201="Check Data ⚠","Check Data ⚠",VLOOKUP(AL201, 'G-3 Multipliers'!$P$2:$Q$6,2,FALSE))),"")</f>
        <v/>
      </c>
      <c r="AN201" s="197"/>
      <c r="AO201" s="540" t="str">
        <f>IF(AN201="","",IF(VLOOKUP(AN201,'G-3 Multipliers'!$S$3:$T$9,2,FALSE)=0,"Spatial Data Missing ⚠",VLOOKUP(AN201,'G-3 Multipliers'!$S$3:$T$9,2,FALSE)))</f>
        <v/>
      </c>
      <c r="AP201" s="513" t="str">
        <f t="shared" si="33"/>
        <v/>
      </c>
      <c r="AQ201" s="231"/>
      <c r="AR201" s="150"/>
    </row>
    <row r="202" spans="1:44" x14ac:dyDescent="0.25">
      <c r="A202" s="31" t="str">
        <f>IF(E202="","",IF(ISNA(VLOOKUP($E202,'D-1 Off Site Habitat Baseline'!$D$1:$O$258,2,FALSE)),"",(VLOOKUP($E202,'D-1 Off Site Habitat Baseline'!$D$1:$O$258,2,FALSE))))</f>
        <v/>
      </c>
      <c r="B202" s="31" t="str">
        <f>IF(E202="","",IF(ISNA(VLOOKUP($E202,'D-1 Off Site Habitat Baseline'!$D$1:$O$258,3,FALSE)),"",(VLOOKUP($E202,'D-1 Off Site Habitat Baseline'!$D$1:$O$258,3,FALSE))))</f>
        <v/>
      </c>
      <c r="C202" s="31" t="str">
        <f>IFERROR(INDEX('G-8 Condition Look up'!$I$4:$I$130,MATCH(S202,'G-8 Condition Look up'!$A$4:$A$130,0)),"")</f>
        <v/>
      </c>
      <c r="E202" s="547" t="str">
        <f>'D-1 Off Site Habitat Baseline'!AL201</f>
        <v/>
      </c>
      <c r="F202" s="520" t="str">
        <f>IF(E202="","",IF(ISNA(VLOOKUP($E202,'D-1 Off Site Habitat Baseline'!$D$1:$O$258,4,FALSE)),"",(VLOOKUP($E202,'D-1 Off Site Habitat Baseline'!$D$1:$O$258,4,FALSE))))</f>
        <v/>
      </c>
      <c r="G202" s="520" t="str">
        <f>IF(E202="","",IF(ISNA(VLOOKUP($E202,'D-1 Off Site Habitat Baseline'!$D$1:$O$258,5,FALSE)),"",(VLOOKUP($E202,'D-1 Off Site Habitat Baseline'!$D$1:$O$258,5,FALSE))))</f>
        <v/>
      </c>
      <c r="H202" s="520" t="str">
        <f>IF(E202="","",IF(ISNA(VLOOKUP($E202,'D-1 Off Site Habitat Baseline'!$D$1:$O$258,6,FALSE)),"",(VLOOKUP($E202,'D-1 Off Site Habitat Baseline'!$D$1:$O$258,6,FALSE))))</f>
        <v/>
      </c>
      <c r="I202" s="520" t="str">
        <f>IF(E202="","",IF(ISNA(VLOOKUP($E202,'D-1 Off Site Habitat Baseline'!$D$1:$O$258,7,FALSE)),"",(VLOOKUP($E202,'D-1 Off Site Habitat Baseline'!$D$1:$O$258,7,FALSE))))</f>
        <v/>
      </c>
      <c r="J202" s="520" t="str">
        <f>IF(E202="","",IF(ISNA(VLOOKUP($E202,'D-1 Off Site Habitat Baseline'!$D$1:$O$258,8,FALSE)),"",(VLOOKUP($E202,'D-1 Off Site Habitat Baseline'!$D$1:$O$258,8,FALSE))))</f>
        <v/>
      </c>
      <c r="K202" s="520" t="str">
        <f>IF(E202="","",IF(ISNA(VLOOKUP($E202,'D-1 Off Site Habitat Baseline'!$D$1:$O$258,9,FALSE)),"",(VLOOKUP($E202,'D-1 Off Site Habitat Baseline'!$D$1:$O$258,9,FALSE))))</f>
        <v/>
      </c>
      <c r="L202" s="520" t="str">
        <f>IF(E202="","",IF(ISNA(VLOOKUP($E202,'D-1 Off Site Habitat Baseline'!$D$1:$O$258,11,FALSE)),"",(VLOOKUP($E202,'D-1 Off Site Habitat Baseline'!$D$1:$O$258,11,FALSE))))</f>
        <v/>
      </c>
      <c r="M202" s="520" t="str">
        <f>IF(E202="","",IF(ISNA(VLOOKUP($E202,'D-1 Off Site Habitat Baseline'!$D$1:$O$258,12,FALSE)),"",(VLOOKUP($E202,'D-1 Off Site Habitat Baseline'!$D$1:$O$258,12,FALSE))))</f>
        <v/>
      </c>
      <c r="N202" s="520" t="str">
        <f>IF(E202="","",IF(ISNA(VLOOKUP($E202,'D-1 Off Site Habitat Baseline'!$D$1:$X$258,14,FALSE)),"",(VLOOKUP($E202,'D-1 Off Site Habitat Baseline'!$D$1:$X$258,14,FALSE))))</f>
        <v/>
      </c>
      <c r="O202" s="524" t="str">
        <f>IF(E202="","",IF(ISNA(VLOOKUP($E202,'D-1 Off Site Habitat Baseline'!$D$1:$X$258,13,FALSE)),"",(VLOOKUP($E202,'D-1 Off Site Habitat Baseline'!$D$1:$X$258,13,FALSE))))</f>
        <v/>
      </c>
      <c r="P202" s="232" t="str">
        <f>IFERROR(INDEX('G-1 All Habitats'!$AG$3:$AG$15,MATCH(Q202,'G-1 All Habitats'!$AF$3:$AF$15,0)),"")</f>
        <v/>
      </c>
      <c r="Q202" s="228" t="str">
        <f t="shared" si="34"/>
        <v/>
      </c>
      <c r="R202" s="229" t="str">
        <f t="shared" si="35"/>
        <v/>
      </c>
      <c r="S202" s="233" t="str">
        <f>IFERROR(INDEX('G-1 All Habitats'!$B$3:$B$129,MATCH(R202,'G-1 All Habitats'!$A$3:$A$129,0)),"")</f>
        <v/>
      </c>
      <c r="T202" s="507" t="str">
        <f t="shared" si="27"/>
        <v/>
      </c>
      <c r="U202" s="524" t="str">
        <f t="shared" si="28"/>
        <v/>
      </c>
      <c r="V202" s="523" t="str">
        <f t="shared" si="25"/>
        <v/>
      </c>
      <c r="W202" s="520" t="str">
        <f>IF(S202="","",VLOOKUP(S202,'G-1 All Habitats'!$B$2:$M$129,10,FALSE))</f>
        <v/>
      </c>
      <c r="X202" s="520" t="str">
        <f>IFERROR(VLOOKUP(W202,'G-1 All Habitats'!$V$3:$W$7,2,FALSE),"")</f>
        <v/>
      </c>
      <c r="Y202" s="203"/>
      <c r="Z202" s="524" t="str">
        <f>IFERROR(INDEX('G-8 Condition Look up'!$A$3:$H$130,MATCH(S202,'G-8 Condition Look up'!$A$3:$A$130,0),MATCH(Y202,'G-8 Condition Look up'!$A$3:$H$3,0)),"")</f>
        <v/>
      </c>
      <c r="AA202" s="145"/>
      <c r="AB202" s="540" t="str">
        <f>IF(AA202="","",IF(VLOOKUP(AA202,'G-3 Multipliers'!$L$3:$N$6,2,FALSE)=0,"Spatial Data Missing ⚠",VLOOKUP(AA202,'G-3 Multipliers'!$L$3:$N$6,2,FALSE)))</f>
        <v/>
      </c>
      <c r="AC202" s="524" t="str">
        <f>IF(AA202="","",IF(VLOOKUP(AA202,'G-3 Multipliers'!$L$3:$N$6,3,FALSE)=0,"Spatial Data Missing ⚠",VLOOKUP(AA202,'G-3 Multipliers'!$L$3:$N$6,3,FALSE)))</f>
        <v/>
      </c>
      <c r="AD202" s="537" t="str">
        <f t="shared" si="26"/>
        <v/>
      </c>
      <c r="AE202" s="203"/>
      <c r="AF202" s="203"/>
      <c r="AG202" s="520" t="str">
        <f t="shared" si="29"/>
        <v/>
      </c>
      <c r="AH202" s="544" t="str">
        <f t="shared" si="30"/>
        <v/>
      </c>
      <c r="AI202" s="525" t="str">
        <f>IF(AH202="Check Data ⚠","Check Data ⚠",IFERROR(VLOOKUP(AH202,'G-4 Temporal multipliers'!$A$4:$C$36,3,FALSE),""))</f>
        <v/>
      </c>
      <c r="AJ202" s="537" t="str">
        <f>IF(S202="","",VLOOKUP(S202,'G-3 Multipliers'!$A$2:$E$129,4,FALSE))</f>
        <v/>
      </c>
      <c r="AK202" s="520" t="str">
        <f t="shared" si="31"/>
        <v/>
      </c>
      <c r="AL202" s="520" t="str">
        <f t="shared" si="32"/>
        <v/>
      </c>
      <c r="AM202" s="524" t="str">
        <f>IFERROR(IF(F202="","",IF(AH202="Check Data ⚠","Check Data ⚠",VLOOKUP(AL202, 'G-3 Multipliers'!$P$2:$Q$6,2,FALSE))),"")</f>
        <v/>
      </c>
      <c r="AN202" s="197"/>
      <c r="AO202" s="540" t="str">
        <f>IF(AN202="","",IF(VLOOKUP(AN202,'G-3 Multipliers'!$S$3:$T$9,2,FALSE)=0,"Spatial Data Missing ⚠",VLOOKUP(AN202,'G-3 Multipliers'!$S$3:$T$9,2,FALSE)))</f>
        <v/>
      </c>
      <c r="AP202" s="513" t="str">
        <f t="shared" si="33"/>
        <v/>
      </c>
      <c r="AQ202" s="231"/>
      <c r="AR202" s="150"/>
    </row>
    <row r="203" spans="1:44" x14ac:dyDescent="0.25">
      <c r="A203" s="31" t="str">
        <f>IF(E203="","",IF(ISNA(VLOOKUP($E203,'D-1 Off Site Habitat Baseline'!$D$1:$O$258,2,FALSE)),"",(VLOOKUP($E203,'D-1 Off Site Habitat Baseline'!$D$1:$O$258,2,FALSE))))</f>
        <v/>
      </c>
      <c r="B203" s="31" t="str">
        <f>IF(E203="","",IF(ISNA(VLOOKUP($E203,'D-1 Off Site Habitat Baseline'!$D$1:$O$258,3,FALSE)),"",(VLOOKUP($E203,'D-1 Off Site Habitat Baseline'!$D$1:$O$258,3,FALSE))))</f>
        <v/>
      </c>
      <c r="C203" s="31" t="str">
        <f>IFERROR(INDEX('G-8 Condition Look up'!$I$4:$I$130,MATCH(S203,'G-8 Condition Look up'!$A$4:$A$130,0)),"")</f>
        <v/>
      </c>
      <c r="E203" s="547" t="str">
        <f>'D-1 Off Site Habitat Baseline'!AL202</f>
        <v/>
      </c>
      <c r="F203" s="520" t="str">
        <f>IF(E203="","",IF(ISNA(VLOOKUP($E203,'D-1 Off Site Habitat Baseline'!$D$1:$O$258,4,FALSE)),"",(VLOOKUP($E203,'D-1 Off Site Habitat Baseline'!$D$1:$O$258,4,FALSE))))</f>
        <v/>
      </c>
      <c r="G203" s="520" t="str">
        <f>IF(E203="","",IF(ISNA(VLOOKUP($E203,'D-1 Off Site Habitat Baseline'!$D$1:$O$258,5,FALSE)),"",(VLOOKUP($E203,'D-1 Off Site Habitat Baseline'!$D$1:$O$258,5,FALSE))))</f>
        <v/>
      </c>
      <c r="H203" s="520" t="str">
        <f>IF(E203="","",IF(ISNA(VLOOKUP($E203,'D-1 Off Site Habitat Baseline'!$D$1:$O$258,6,FALSE)),"",(VLOOKUP($E203,'D-1 Off Site Habitat Baseline'!$D$1:$O$258,6,FALSE))))</f>
        <v/>
      </c>
      <c r="I203" s="520" t="str">
        <f>IF(E203="","",IF(ISNA(VLOOKUP($E203,'D-1 Off Site Habitat Baseline'!$D$1:$O$258,7,FALSE)),"",(VLOOKUP($E203,'D-1 Off Site Habitat Baseline'!$D$1:$O$258,7,FALSE))))</f>
        <v/>
      </c>
      <c r="J203" s="520" t="str">
        <f>IF(E203="","",IF(ISNA(VLOOKUP($E203,'D-1 Off Site Habitat Baseline'!$D$1:$O$258,8,FALSE)),"",(VLOOKUP($E203,'D-1 Off Site Habitat Baseline'!$D$1:$O$258,8,FALSE))))</f>
        <v/>
      </c>
      <c r="K203" s="520" t="str">
        <f>IF(E203="","",IF(ISNA(VLOOKUP($E203,'D-1 Off Site Habitat Baseline'!$D$1:$O$258,9,FALSE)),"",(VLOOKUP($E203,'D-1 Off Site Habitat Baseline'!$D$1:$O$258,9,FALSE))))</f>
        <v/>
      </c>
      <c r="L203" s="520" t="str">
        <f>IF(E203="","",IF(ISNA(VLOOKUP($E203,'D-1 Off Site Habitat Baseline'!$D$1:$O$258,11,FALSE)),"",(VLOOKUP($E203,'D-1 Off Site Habitat Baseline'!$D$1:$O$258,11,FALSE))))</f>
        <v/>
      </c>
      <c r="M203" s="520" t="str">
        <f>IF(E203="","",IF(ISNA(VLOOKUP($E203,'D-1 Off Site Habitat Baseline'!$D$1:$O$258,12,FALSE)),"",(VLOOKUP($E203,'D-1 Off Site Habitat Baseline'!$D$1:$O$258,12,FALSE))))</f>
        <v/>
      </c>
      <c r="N203" s="520" t="str">
        <f>IF(E203="","",IF(ISNA(VLOOKUP($E203,'D-1 Off Site Habitat Baseline'!$D$1:$X$258,14,FALSE)),"",(VLOOKUP($E203,'D-1 Off Site Habitat Baseline'!$D$1:$X$258,14,FALSE))))</f>
        <v/>
      </c>
      <c r="O203" s="524" t="str">
        <f>IF(E203="","",IF(ISNA(VLOOKUP($E203,'D-1 Off Site Habitat Baseline'!$D$1:$X$258,13,FALSE)),"",(VLOOKUP($E203,'D-1 Off Site Habitat Baseline'!$D$1:$X$258,13,FALSE))))</f>
        <v/>
      </c>
      <c r="P203" s="232" t="str">
        <f>IFERROR(INDEX('G-1 All Habitats'!$AG$3:$AG$15,MATCH(Q203,'G-1 All Habitats'!$AF$3:$AF$15,0)),"")</f>
        <v/>
      </c>
      <c r="Q203" s="228" t="str">
        <f t="shared" si="34"/>
        <v/>
      </c>
      <c r="R203" s="229" t="str">
        <f t="shared" si="35"/>
        <v/>
      </c>
      <c r="S203" s="233" t="str">
        <f>IFERROR(INDEX('G-1 All Habitats'!$B$3:$B$129,MATCH(R203,'G-1 All Habitats'!$A$3:$A$129,0)),"")</f>
        <v/>
      </c>
      <c r="T203" s="507" t="str">
        <f t="shared" si="27"/>
        <v/>
      </c>
      <c r="U203" s="524" t="str">
        <f t="shared" si="28"/>
        <v/>
      </c>
      <c r="V203" s="523" t="str">
        <f t="shared" si="25"/>
        <v/>
      </c>
      <c r="W203" s="520" t="str">
        <f>IF(S203="","",VLOOKUP(S203,'G-1 All Habitats'!$B$2:$M$129,10,FALSE))</f>
        <v/>
      </c>
      <c r="X203" s="520" t="str">
        <f>IFERROR(VLOOKUP(W203,'G-1 All Habitats'!$V$3:$W$7,2,FALSE),"")</f>
        <v/>
      </c>
      <c r="Y203" s="203"/>
      <c r="Z203" s="524" t="str">
        <f>IFERROR(INDEX('G-8 Condition Look up'!$A$3:$H$130,MATCH(S203,'G-8 Condition Look up'!$A$3:$A$130,0),MATCH(Y203,'G-8 Condition Look up'!$A$3:$H$3,0)),"")</f>
        <v/>
      </c>
      <c r="AA203" s="145"/>
      <c r="AB203" s="540" t="str">
        <f>IF(AA203="","",IF(VLOOKUP(AA203,'G-3 Multipliers'!$L$3:$N$6,2,FALSE)=0,"Spatial Data Missing ⚠",VLOOKUP(AA203,'G-3 Multipliers'!$L$3:$N$6,2,FALSE)))</f>
        <v/>
      </c>
      <c r="AC203" s="524" t="str">
        <f>IF(AA203="","",IF(VLOOKUP(AA203,'G-3 Multipliers'!$L$3:$N$6,3,FALSE)=0,"Spatial Data Missing ⚠",VLOOKUP(AA203,'G-3 Multipliers'!$L$3:$N$6,3,FALSE)))</f>
        <v/>
      </c>
      <c r="AD203" s="537" t="str">
        <f t="shared" si="26"/>
        <v/>
      </c>
      <c r="AE203" s="203"/>
      <c r="AF203" s="203"/>
      <c r="AG203" s="520" t="str">
        <f t="shared" si="29"/>
        <v/>
      </c>
      <c r="AH203" s="544" t="str">
        <f t="shared" si="30"/>
        <v/>
      </c>
      <c r="AI203" s="525" t="str">
        <f>IF(AH203="Check Data ⚠","Check Data ⚠",IFERROR(VLOOKUP(AH203,'G-4 Temporal multipliers'!$A$4:$C$36,3,FALSE),""))</f>
        <v/>
      </c>
      <c r="AJ203" s="537" t="str">
        <f>IF(S203="","",VLOOKUP(S203,'G-3 Multipliers'!$A$2:$E$129,4,FALSE))</f>
        <v/>
      </c>
      <c r="AK203" s="520" t="str">
        <f t="shared" si="31"/>
        <v/>
      </c>
      <c r="AL203" s="520" t="str">
        <f t="shared" si="32"/>
        <v/>
      </c>
      <c r="AM203" s="524" t="str">
        <f>IFERROR(IF(F203="","",IF(AH203="Check Data ⚠","Check Data ⚠",VLOOKUP(AL203, 'G-3 Multipliers'!$P$2:$Q$6,2,FALSE))),"")</f>
        <v/>
      </c>
      <c r="AN203" s="197"/>
      <c r="AO203" s="540" t="str">
        <f>IF(AN203="","",IF(VLOOKUP(AN203,'G-3 Multipliers'!$S$3:$T$9,2,FALSE)=0,"Spatial Data Missing ⚠",VLOOKUP(AN203,'G-3 Multipliers'!$S$3:$T$9,2,FALSE)))</f>
        <v/>
      </c>
      <c r="AP203" s="513" t="str">
        <f t="shared" si="33"/>
        <v/>
      </c>
      <c r="AQ203" s="231"/>
      <c r="AR203" s="150"/>
    </row>
    <row r="204" spans="1:44" x14ac:dyDescent="0.25">
      <c r="A204" s="31" t="str">
        <f>IF(E204="","",IF(ISNA(VLOOKUP($E204,'D-1 Off Site Habitat Baseline'!$D$1:$O$258,2,FALSE)),"",(VLOOKUP($E204,'D-1 Off Site Habitat Baseline'!$D$1:$O$258,2,FALSE))))</f>
        <v/>
      </c>
      <c r="B204" s="31" t="str">
        <f>IF(E204="","",IF(ISNA(VLOOKUP($E204,'D-1 Off Site Habitat Baseline'!$D$1:$O$258,3,FALSE)),"",(VLOOKUP($E204,'D-1 Off Site Habitat Baseline'!$D$1:$O$258,3,FALSE))))</f>
        <v/>
      </c>
      <c r="C204" s="31" t="str">
        <f>IFERROR(INDEX('G-8 Condition Look up'!$I$4:$I$130,MATCH(S204,'G-8 Condition Look up'!$A$4:$A$130,0)),"")</f>
        <v/>
      </c>
      <c r="E204" s="547" t="str">
        <f>'D-1 Off Site Habitat Baseline'!AL203</f>
        <v/>
      </c>
      <c r="F204" s="520" t="str">
        <f>IF(E204="","",IF(ISNA(VLOOKUP($E204,'D-1 Off Site Habitat Baseline'!$D$1:$O$258,4,FALSE)),"",(VLOOKUP($E204,'D-1 Off Site Habitat Baseline'!$D$1:$O$258,4,FALSE))))</f>
        <v/>
      </c>
      <c r="G204" s="520" t="str">
        <f>IF(E204="","",IF(ISNA(VLOOKUP($E204,'D-1 Off Site Habitat Baseline'!$D$1:$O$258,5,FALSE)),"",(VLOOKUP($E204,'D-1 Off Site Habitat Baseline'!$D$1:$O$258,5,FALSE))))</f>
        <v/>
      </c>
      <c r="H204" s="520" t="str">
        <f>IF(E204="","",IF(ISNA(VLOOKUP($E204,'D-1 Off Site Habitat Baseline'!$D$1:$O$258,6,FALSE)),"",(VLOOKUP($E204,'D-1 Off Site Habitat Baseline'!$D$1:$O$258,6,FALSE))))</f>
        <v/>
      </c>
      <c r="I204" s="520" t="str">
        <f>IF(E204="","",IF(ISNA(VLOOKUP($E204,'D-1 Off Site Habitat Baseline'!$D$1:$O$258,7,FALSE)),"",(VLOOKUP($E204,'D-1 Off Site Habitat Baseline'!$D$1:$O$258,7,FALSE))))</f>
        <v/>
      </c>
      <c r="J204" s="520" t="str">
        <f>IF(E204="","",IF(ISNA(VLOOKUP($E204,'D-1 Off Site Habitat Baseline'!$D$1:$O$258,8,FALSE)),"",(VLOOKUP($E204,'D-1 Off Site Habitat Baseline'!$D$1:$O$258,8,FALSE))))</f>
        <v/>
      </c>
      <c r="K204" s="520" t="str">
        <f>IF(E204="","",IF(ISNA(VLOOKUP($E204,'D-1 Off Site Habitat Baseline'!$D$1:$O$258,9,FALSE)),"",(VLOOKUP($E204,'D-1 Off Site Habitat Baseline'!$D$1:$O$258,9,FALSE))))</f>
        <v/>
      </c>
      <c r="L204" s="520" t="str">
        <f>IF(E204="","",IF(ISNA(VLOOKUP($E204,'D-1 Off Site Habitat Baseline'!$D$1:$O$258,11,FALSE)),"",(VLOOKUP($E204,'D-1 Off Site Habitat Baseline'!$D$1:$O$258,11,FALSE))))</f>
        <v/>
      </c>
      <c r="M204" s="520" t="str">
        <f>IF(E204="","",IF(ISNA(VLOOKUP($E204,'D-1 Off Site Habitat Baseline'!$D$1:$O$258,12,FALSE)),"",(VLOOKUP($E204,'D-1 Off Site Habitat Baseline'!$D$1:$O$258,12,FALSE))))</f>
        <v/>
      </c>
      <c r="N204" s="520" t="str">
        <f>IF(E204="","",IF(ISNA(VLOOKUP($E204,'D-1 Off Site Habitat Baseline'!$D$1:$X$258,14,FALSE)),"",(VLOOKUP($E204,'D-1 Off Site Habitat Baseline'!$D$1:$X$258,14,FALSE))))</f>
        <v/>
      </c>
      <c r="O204" s="524" t="str">
        <f>IF(E204="","",IF(ISNA(VLOOKUP($E204,'D-1 Off Site Habitat Baseline'!$D$1:$X$258,13,FALSE)),"",(VLOOKUP($E204,'D-1 Off Site Habitat Baseline'!$D$1:$X$258,13,FALSE))))</f>
        <v/>
      </c>
      <c r="P204" s="232" t="str">
        <f>IFERROR(INDEX('G-1 All Habitats'!$AG$3:$AG$15,MATCH(Q204,'G-1 All Habitats'!$AF$3:$AF$15,0)),"")</f>
        <v/>
      </c>
      <c r="Q204" s="228" t="str">
        <f t="shared" si="34"/>
        <v/>
      </c>
      <c r="R204" s="229" t="str">
        <f t="shared" si="35"/>
        <v/>
      </c>
      <c r="S204" s="233" t="str">
        <f>IFERROR(INDEX('G-1 All Habitats'!$B$3:$B$129,MATCH(R204,'G-1 All Habitats'!$A$3:$A$129,0)),"")</f>
        <v/>
      </c>
      <c r="T204" s="507" t="str">
        <f t="shared" si="27"/>
        <v/>
      </c>
      <c r="U204" s="524" t="str">
        <f t="shared" si="28"/>
        <v/>
      </c>
      <c r="V204" s="523" t="str">
        <f t="shared" ref="V204:V258" si="36">IF(S204="","",VLOOKUP(E204,BaselineHabOffsite,17,FALSE))</f>
        <v/>
      </c>
      <c r="W204" s="520" t="str">
        <f>IF(S204="","",VLOOKUP(S204,'G-1 All Habitats'!$B$2:$M$129,10,FALSE))</f>
        <v/>
      </c>
      <c r="X204" s="520" t="str">
        <f>IFERROR(VLOOKUP(W204,'G-1 All Habitats'!$V$3:$W$7,2,FALSE),"")</f>
        <v/>
      </c>
      <c r="Y204" s="203"/>
      <c r="Z204" s="524" t="str">
        <f>IFERROR(INDEX('G-8 Condition Look up'!$A$3:$H$130,MATCH(S204,'G-8 Condition Look up'!$A$3:$A$130,0),MATCH(Y204,'G-8 Condition Look up'!$A$3:$H$3,0)),"")</f>
        <v/>
      </c>
      <c r="AA204" s="145"/>
      <c r="AB204" s="540" t="str">
        <f>IF(AA204="","",IF(VLOOKUP(AA204,'G-3 Multipliers'!$L$3:$N$6,2,FALSE)=0,"Spatial Data Missing ⚠",VLOOKUP(AA204,'G-3 Multipliers'!$L$3:$N$6,2,FALSE)))</f>
        <v/>
      </c>
      <c r="AC204" s="524" t="str">
        <f>IF(AA204="","",IF(VLOOKUP(AA204,'G-3 Multipliers'!$L$3:$N$6,3,FALSE)=0,"Spatial Data Missing ⚠",VLOOKUP(AA204,'G-3 Multipliers'!$L$3:$N$6,3,FALSE)))</f>
        <v/>
      </c>
      <c r="AD204" s="537" t="str">
        <f t="shared" ref="AD204:AD258" si="37">IFERROR(IF(OR(LEFT(U204,5)="Error ▲",LEFT(T204,5)="Error ▲"),"Check Data ⚠",INDEX(EnhanceTemporal,MATCH(S204,EnhanceHabitat,0),MATCH(U204,EnhanceCondition,0))),"")</f>
        <v/>
      </c>
      <c r="AE204" s="203"/>
      <c r="AF204" s="203"/>
      <c r="AG204" s="520" t="str">
        <f t="shared" si="29"/>
        <v/>
      </c>
      <c r="AH204" s="544" t="str">
        <f t="shared" si="30"/>
        <v/>
      </c>
      <c r="AI204" s="525" t="str">
        <f>IF(AH204="Check Data ⚠","Check Data ⚠",IFERROR(VLOOKUP(AH204,'G-4 Temporal multipliers'!$A$4:$C$36,3,FALSE),""))</f>
        <v/>
      </c>
      <c r="AJ204" s="537" t="str">
        <f>IF(S204="","",VLOOKUP(S204,'G-3 Multipliers'!$A$2:$E$129,4,FALSE))</f>
        <v/>
      </c>
      <c r="AK204" s="520" t="str">
        <f t="shared" si="31"/>
        <v/>
      </c>
      <c r="AL204" s="520" t="str">
        <f t="shared" si="32"/>
        <v/>
      </c>
      <c r="AM204" s="524" t="str">
        <f>IFERROR(IF(F204="","",IF(AH204="Check Data ⚠","Check Data ⚠",VLOOKUP(AL204, 'G-3 Multipliers'!$P$2:$Q$6,2,FALSE))),"")</f>
        <v/>
      </c>
      <c r="AN204" s="197"/>
      <c r="AO204" s="540" t="str">
        <f>IF(AN204="","",IF(VLOOKUP(AN204,'G-3 Multipliers'!$S$3:$T$9,2,FALSE)=0,"Spatial Data Missing ⚠",VLOOKUP(AN204,'G-3 Multipliers'!$S$3:$T$9,2,FALSE)))</f>
        <v/>
      </c>
      <c r="AP204" s="513" t="str">
        <f t="shared" si="33"/>
        <v/>
      </c>
      <c r="AQ204" s="231"/>
      <c r="AR204" s="150"/>
    </row>
    <row r="205" spans="1:44" x14ac:dyDescent="0.25">
      <c r="A205" s="31" t="str">
        <f>IF(E205="","",IF(ISNA(VLOOKUP($E205,'D-1 Off Site Habitat Baseline'!$D$1:$O$258,2,FALSE)),"",(VLOOKUP($E205,'D-1 Off Site Habitat Baseline'!$D$1:$O$258,2,FALSE))))</f>
        <v/>
      </c>
      <c r="B205" s="31" t="str">
        <f>IF(E205="","",IF(ISNA(VLOOKUP($E205,'D-1 Off Site Habitat Baseline'!$D$1:$O$258,3,FALSE)),"",(VLOOKUP($E205,'D-1 Off Site Habitat Baseline'!$D$1:$O$258,3,FALSE))))</f>
        <v/>
      </c>
      <c r="C205" s="31" t="str">
        <f>IFERROR(INDEX('G-8 Condition Look up'!$I$4:$I$130,MATCH(S205,'G-8 Condition Look up'!$A$4:$A$130,0)),"")</f>
        <v/>
      </c>
      <c r="E205" s="547" t="str">
        <f>'D-1 Off Site Habitat Baseline'!AL204</f>
        <v/>
      </c>
      <c r="F205" s="520" t="str">
        <f>IF(E205="","",IF(ISNA(VLOOKUP($E205,'D-1 Off Site Habitat Baseline'!$D$1:$O$258,4,FALSE)),"",(VLOOKUP($E205,'D-1 Off Site Habitat Baseline'!$D$1:$O$258,4,FALSE))))</f>
        <v/>
      </c>
      <c r="G205" s="520" t="str">
        <f>IF(E205="","",IF(ISNA(VLOOKUP($E205,'D-1 Off Site Habitat Baseline'!$D$1:$O$258,5,FALSE)),"",(VLOOKUP($E205,'D-1 Off Site Habitat Baseline'!$D$1:$O$258,5,FALSE))))</f>
        <v/>
      </c>
      <c r="H205" s="520" t="str">
        <f>IF(E205="","",IF(ISNA(VLOOKUP($E205,'D-1 Off Site Habitat Baseline'!$D$1:$O$258,6,FALSE)),"",(VLOOKUP($E205,'D-1 Off Site Habitat Baseline'!$D$1:$O$258,6,FALSE))))</f>
        <v/>
      </c>
      <c r="I205" s="520" t="str">
        <f>IF(E205="","",IF(ISNA(VLOOKUP($E205,'D-1 Off Site Habitat Baseline'!$D$1:$O$258,7,FALSE)),"",(VLOOKUP($E205,'D-1 Off Site Habitat Baseline'!$D$1:$O$258,7,FALSE))))</f>
        <v/>
      </c>
      <c r="J205" s="520" t="str">
        <f>IF(E205="","",IF(ISNA(VLOOKUP($E205,'D-1 Off Site Habitat Baseline'!$D$1:$O$258,8,FALSE)),"",(VLOOKUP($E205,'D-1 Off Site Habitat Baseline'!$D$1:$O$258,8,FALSE))))</f>
        <v/>
      </c>
      <c r="K205" s="520" t="str">
        <f>IF(E205="","",IF(ISNA(VLOOKUP($E205,'D-1 Off Site Habitat Baseline'!$D$1:$O$258,9,FALSE)),"",(VLOOKUP($E205,'D-1 Off Site Habitat Baseline'!$D$1:$O$258,9,FALSE))))</f>
        <v/>
      </c>
      <c r="L205" s="520" t="str">
        <f>IF(E205="","",IF(ISNA(VLOOKUP($E205,'D-1 Off Site Habitat Baseline'!$D$1:$O$258,11,FALSE)),"",(VLOOKUP($E205,'D-1 Off Site Habitat Baseline'!$D$1:$O$258,11,FALSE))))</f>
        <v/>
      </c>
      <c r="M205" s="520" t="str">
        <f>IF(E205="","",IF(ISNA(VLOOKUP($E205,'D-1 Off Site Habitat Baseline'!$D$1:$O$258,12,FALSE)),"",(VLOOKUP($E205,'D-1 Off Site Habitat Baseline'!$D$1:$O$258,12,FALSE))))</f>
        <v/>
      </c>
      <c r="N205" s="520" t="str">
        <f>IF(E205="","",IF(ISNA(VLOOKUP($E205,'D-1 Off Site Habitat Baseline'!$D$1:$X$258,14,FALSE)),"",(VLOOKUP($E205,'D-1 Off Site Habitat Baseline'!$D$1:$X$258,14,FALSE))))</f>
        <v/>
      </c>
      <c r="O205" s="524" t="str">
        <f>IF(E205="","",IF(ISNA(VLOOKUP($E205,'D-1 Off Site Habitat Baseline'!$D$1:$X$258,13,FALSE)),"",(VLOOKUP($E205,'D-1 Off Site Habitat Baseline'!$D$1:$X$258,13,FALSE))))</f>
        <v/>
      </c>
      <c r="P205" s="232" t="str">
        <f>IFERROR(INDEX('G-1 All Habitats'!$AG$3:$AG$15,MATCH(Q205,'G-1 All Habitats'!$AF$3:$AF$15,0)),"")</f>
        <v/>
      </c>
      <c r="Q205" s="228" t="str">
        <f t="shared" si="34"/>
        <v/>
      </c>
      <c r="R205" s="229" t="str">
        <f t="shared" si="35"/>
        <v/>
      </c>
      <c r="S205" s="233" t="str">
        <f>IFERROR(INDEX('G-1 All Habitats'!$B$3:$B$129,MATCH(R205,'G-1 All Habitats'!$A$3:$A$129,0)),"")</f>
        <v/>
      </c>
      <c r="T205" s="507" t="str">
        <f t="shared" ref="T205:T258" si="38">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524" t="str">
        <f t="shared" ref="U205:U258" si="39">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23" t="str">
        <f t="shared" si="36"/>
        <v/>
      </c>
      <c r="W205" s="520" t="str">
        <f>IF(S205="","",VLOOKUP(S205,'G-1 All Habitats'!$B$2:$M$129,10,FALSE))</f>
        <v/>
      </c>
      <c r="X205" s="520" t="str">
        <f>IFERROR(VLOOKUP(W205,'G-1 All Habitats'!$V$3:$W$7,2,FALSE),"")</f>
        <v/>
      </c>
      <c r="Y205" s="203"/>
      <c r="Z205" s="524" t="str">
        <f>IFERROR(INDEX('G-8 Condition Look up'!$A$3:$H$130,MATCH(S205,'G-8 Condition Look up'!$A$3:$A$130,0),MATCH(Y205,'G-8 Condition Look up'!$A$3:$H$3,0)),"")</f>
        <v/>
      </c>
      <c r="AA205" s="145"/>
      <c r="AB205" s="540" t="str">
        <f>IF(AA205="","",IF(VLOOKUP(AA205,'G-3 Multipliers'!$L$3:$N$6,2,FALSE)=0,"Spatial Data Missing ⚠",VLOOKUP(AA205,'G-3 Multipliers'!$L$3:$N$6,2,FALSE)))</f>
        <v/>
      </c>
      <c r="AC205" s="524" t="str">
        <f>IF(AA205="","",IF(VLOOKUP(AA205,'G-3 Multipliers'!$L$3:$N$6,3,FALSE)=0,"Spatial Data Missing ⚠",VLOOKUP(AA205,'G-3 Multipliers'!$L$3:$N$6,3,FALSE)))</f>
        <v/>
      </c>
      <c r="AD205" s="537" t="str">
        <f t="shared" si="37"/>
        <v/>
      </c>
      <c r="AE205" s="203"/>
      <c r="AF205" s="203"/>
      <c r="AG205" s="520" t="str">
        <f t="shared" ref="AG205:AG258" si="40">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44" t="str">
        <f t="shared" ref="AH205:AH258" si="41">IF(LEFT(AG205,5)="Error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525" t="str">
        <f>IF(AH205="Check Data ⚠","Check Data ⚠",IFERROR(VLOOKUP(AH205,'G-4 Temporal multipliers'!$A$4:$C$36,3,FALSE),""))</f>
        <v/>
      </c>
      <c r="AJ205" s="537" t="str">
        <f>IF(S205="","",VLOOKUP(S205,'G-3 Multipliers'!$A$2:$E$129,4,FALSE))</f>
        <v/>
      </c>
      <c r="AK205" s="520" t="str">
        <f t="shared" ref="AK205:AK258" si="42">IF(E205="","",IF(AG205="Check details - Is there evidence that habitat has reached target condition? ⚠","Low Difficulty - only applicable if all habitat created before losses","Standard difficulty applied"))</f>
        <v/>
      </c>
      <c r="AL205" s="520" t="str">
        <f t="shared" ref="AL205:AL258" si="43">(IF(AND(AK205="Standard difficulty applied",AD205&gt;AE205),AJ205,IF(AND(AK205="Low Difficulty - only applicable if all habitat created before losses",AE205&gt;=AD205),"Low", AJ205)))</f>
        <v/>
      </c>
      <c r="AM205" s="524" t="str">
        <f>IFERROR(IF(F205="","",IF(AH205="Check Data ⚠","Check Data ⚠",VLOOKUP(AL205, 'G-3 Multipliers'!$P$2:$Q$6,2,FALSE))),"")</f>
        <v/>
      </c>
      <c r="AN205" s="197"/>
      <c r="AO205" s="540" t="str">
        <f>IF(AN205="","",IF(VLOOKUP(AN205,'G-3 Multipliers'!$S$3:$T$9,2,FALSE)=0,"Spatial Data Missing ⚠",VLOOKUP(AN205,'G-3 Multipliers'!$S$3:$T$9,2,FALSE)))</f>
        <v/>
      </c>
      <c r="AP205" s="513" t="str">
        <f t="shared" ref="AP205:AP258" si="44">IFERROR(((((V205*X205*Z205)-(V205*I205*K205))*(AM205*AI205))+(V205*I205*K205))*(AC205)*AO205,"")</f>
        <v/>
      </c>
      <c r="AQ205" s="231"/>
      <c r="AR205" s="150"/>
    </row>
    <row r="206" spans="1:44" x14ac:dyDescent="0.25">
      <c r="A206" s="31" t="str">
        <f>IF(E206="","",IF(ISNA(VLOOKUP($E206,'D-1 Off Site Habitat Baseline'!$D$1:$O$258,2,FALSE)),"",(VLOOKUP($E206,'D-1 Off Site Habitat Baseline'!$D$1:$O$258,2,FALSE))))</f>
        <v/>
      </c>
      <c r="B206" s="31" t="str">
        <f>IF(E206="","",IF(ISNA(VLOOKUP($E206,'D-1 Off Site Habitat Baseline'!$D$1:$O$258,3,FALSE)),"",(VLOOKUP($E206,'D-1 Off Site Habitat Baseline'!$D$1:$O$258,3,FALSE))))</f>
        <v/>
      </c>
      <c r="C206" s="31" t="str">
        <f>IFERROR(INDEX('G-8 Condition Look up'!$I$4:$I$130,MATCH(S206,'G-8 Condition Look up'!$A$4:$A$130,0)),"")</f>
        <v/>
      </c>
      <c r="E206" s="547" t="str">
        <f>'D-1 Off Site Habitat Baseline'!AL205</f>
        <v/>
      </c>
      <c r="F206" s="520" t="str">
        <f>IF(E206="","",IF(ISNA(VLOOKUP($E206,'D-1 Off Site Habitat Baseline'!$D$1:$O$258,4,FALSE)),"",(VLOOKUP($E206,'D-1 Off Site Habitat Baseline'!$D$1:$O$258,4,FALSE))))</f>
        <v/>
      </c>
      <c r="G206" s="520" t="str">
        <f>IF(E206="","",IF(ISNA(VLOOKUP($E206,'D-1 Off Site Habitat Baseline'!$D$1:$O$258,5,FALSE)),"",(VLOOKUP($E206,'D-1 Off Site Habitat Baseline'!$D$1:$O$258,5,FALSE))))</f>
        <v/>
      </c>
      <c r="H206" s="520" t="str">
        <f>IF(E206="","",IF(ISNA(VLOOKUP($E206,'D-1 Off Site Habitat Baseline'!$D$1:$O$258,6,FALSE)),"",(VLOOKUP($E206,'D-1 Off Site Habitat Baseline'!$D$1:$O$258,6,FALSE))))</f>
        <v/>
      </c>
      <c r="I206" s="520" t="str">
        <f>IF(E206="","",IF(ISNA(VLOOKUP($E206,'D-1 Off Site Habitat Baseline'!$D$1:$O$258,7,FALSE)),"",(VLOOKUP($E206,'D-1 Off Site Habitat Baseline'!$D$1:$O$258,7,FALSE))))</f>
        <v/>
      </c>
      <c r="J206" s="520" t="str">
        <f>IF(E206="","",IF(ISNA(VLOOKUP($E206,'D-1 Off Site Habitat Baseline'!$D$1:$O$258,8,FALSE)),"",(VLOOKUP($E206,'D-1 Off Site Habitat Baseline'!$D$1:$O$258,8,FALSE))))</f>
        <v/>
      </c>
      <c r="K206" s="520" t="str">
        <f>IF(E206="","",IF(ISNA(VLOOKUP($E206,'D-1 Off Site Habitat Baseline'!$D$1:$O$258,9,FALSE)),"",(VLOOKUP($E206,'D-1 Off Site Habitat Baseline'!$D$1:$O$258,9,FALSE))))</f>
        <v/>
      </c>
      <c r="L206" s="520" t="str">
        <f>IF(E206="","",IF(ISNA(VLOOKUP($E206,'D-1 Off Site Habitat Baseline'!$D$1:$O$258,11,FALSE)),"",(VLOOKUP($E206,'D-1 Off Site Habitat Baseline'!$D$1:$O$258,11,FALSE))))</f>
        <v/>
      </c>
      <c r="M206" s="520" t="str">
        <f>IF(E206="","",IF(ISNA(VLOOKUP($E206,'D-1 Off Site Habitat Baseline'!$D$1:$O$258,12,FALSE)),"",(VLOOKUP($E206,'D-1 Off Site Habitat Baseline'!$D$1:$O$258,12,FALSE))))</f>
        <v/>
      </c>
      <c r="N206" s="520" t="str">
        <f>IF(E206="","",IF(ISNA(VLOOKUP($E206,'D-1 Off Site Habitat Baseline'!$D$1:$X$258,14,FALSE)),"",(VLOOKUP($E206,'D-1 Off Site Habitat Baseline'!$D$1:$X$258,14,FALSE))))</f>
        <v/>
      </c>
      <c r="O206" s="524" t="str">
        <f>IF(E206="","",IF(ISNA(VLOOKUP($E206,'D-1 Off Site Habitat Baseline'!$D$1:$X$258,13,FALSE)),"",(VLOOKUP($E206,'D-1 Off Site Habitat Baseline'!$D$1:$X$258,13,FALSE))))</f>
        <v/>
      </c>
      <c r="P206" s="232" t="str">
        <f>IFERROR(INDEX('G-1 All Habitats'!$AG$3:$AG$15,MATCH(Q206,'G-1 All Habitats'!$AF$3:$AF$15,0)),"")</f>
        <v/>
      </c>
      <c r="Q206" s="228" t="str">
        <f t="shared" si="34"/>
        <v/>
      </c>
      <c r="R206" s="229" t="str">
        <f t="shared" si="35"/>
        <v/>
      </c>
      <c r="S206" s="233" t="str">
        <f>IFERROR(INDEX('G-1 All Habitats'!$B$3:$B$129,MATCH(R206,'G-1 All Habitats'!$A$3:$A$129,0)),"")</f>
        <v/>
      </c>
      <c r="T206" s="507" t="str">
        <f t="shared" si="38"/>
        <v/>
      </c>
      <c r="U206" s="524" t="str">
        <f t="shared" si="39"/>
        <v/>
      </c>
      <c r="V206" s="523" t="str">
        <f t="shared" si="36"/>
        <v/>
      </c>
      <c r="W206" s="520" t="str">
        <f>IF(S206="","",VLOOKUP(S206,'G-1 All Habitats'!$B$2:$M$129,10,FALSE))</f>
        <v/>
      </c>
      <c r="X206" s="520" t="str">
        <f>IFERROR(VLOOKUP(W206,'G-1 All Habitats'!$V$3:$W$7,2,FALSE),"")</f>
        <v/>
      </c>
      <c r="Y206" s="203"/>
      <c r="Z206" s="524" t="str">
        <f>IFERROR(INDEX('G-8 Condition Look up'!$A$3:$H$130,MATCH(S206,'G-8 Condition Look up'!$A$3:$A$130,0),MATCH(Y206,'G-8 Condition Look up'!$A$3:$H$3,0)),"")</f>
        <v/>
      </c>
      <c r="AA206" s="145"/>
      <c r="AB206" s="540" t="str">
        <f>IF(AA206="","",IF(VLOOKUP(AA206,'G-3 Multipliers'!$L$3:$N$6,2,FALSE)=0,"Spatial Data Missing ⚠",VLOOKUP(AA206,'G-3 Multipliers'!$L$3:$N$6,2,FALSE)))</f>
        <v/>
      </c>
      <c r="AC206" s="524" t="str">
        <f>IF(AA206="","",IF(VLOOKUP(AA206,'G-3 Multipliers'!$L$3:$N$6,3,FALSE)=0,"Spatial Data Missing ⚠",VLOOKUP(AA206,'G-3 Multipliers'!$L$3:$N$6,3,FALSE)))</f>
        <v/>
      </c>
      <c r="AD206" s="537" t="str">
        <f t="shared" si="37"/>
        <v/>
      </c>
      <c r="AE206" s="203"/>
      <c r="AF206" s="203"/>
      <c r="AG206" s="520" t="str">
        <f t="shared" si="40"/>
        <v/>
      </c>
      <c r="AH206" s="544" t="str">
        <f t="shared" si="41"/>
        <v/>
      </c>
      <c r="AI206" s="525" t="str">
        <f>IF(AH206="Check Data ⚠","Check Data ⚠",IFERROR(VLOOKUP(AH206,'G-4 Temporal multipliers'!$A$4:$C$36,3,FALSE),""))</f>
        <v/>
      </c>
      <c r="AJ206" s="537" t="str">
        <f>IF(S206="","",VLOOKUP(S206,'G-3 Multipliers'!$A$2:$E$129,4,FALSE))</f>
        <v/>
      </c>
      <c r="AK206" s="520" t="str">
        <f t="shared" si="42"/>
        <v/>
      </c>
      <c r="AL206" s="520" t="str">
        <f t="shared" si="43"/>
        <v/>
      </c>
      <c r="AM206" s="524" t="str">
        <f>IFERROR(IF(F206="","",IF(AH206="Check Data ⚠","Check Data ⚠",VLOOKUP(AL206, 'G-3 Multipliers'!$P$2:$Q$6,2,FALSE))),"")</f>
        <v/>
      </c>
      <c r="AN206" s="197"/>
      <c r="AO206" s="540" t="str">
        <f>IF(AN206="","",IF(VLOOKUP(AN206,'G-3 Multipliers'!$S$3:$T$9,2,FALSE)=0,"Spatial Data Missing ⚠",VLOOKUP(AN206,'G-3 Multipliers'!$S$3:$T$9,2,FALSE)))</f>
        <v/>
      </c>
      <c r="AP206" s="513" t="str">
        <f t="shared" si="44"/>
        <v/>
      </c>
      <c r="AQ206" s="231"/>
      <c r="AR206" s="150"/>
    </row>
    <row r="207" spans="1:44" x14ac:dyDescent="0.25">
      <c r="A207" s="31" t="str">
        <f>IF(E207="","",IF(ISNA(VLOOKUP($E207,'D-1 Off Site Habitat Baseline'!$D$1:$O$258,2,FALSE)),"",(VLOOKUP($E207,'D-1 Off Site Habitat Baseline'!$D$1:$O$258,2,FALSE))))</f>
        <v/>
      </c>
      <c r="B207" s="31" t="str">
        <f>IF(E207="","",IF(ISNA(VLOOKUP($E207,'D-1 Off Site Habitat Baseline'!$D$1:$O$258,3,FALSE)),"",(VLOOKUP($E207,'D-1 Off Site Habitat Baseline'!$D$1:$O$258,3,FALSE))))</f>
        <v/>
      </c>
      <c r="C207" s="31" t="str">
        <f>IFERROR(INDEX('G-8 Condition Look up'!$I$4:$I$130,MATCH(S207,'G-8 Condition Look up'!$A$4:$A$130,0)),"")</f>
        <v/>
      </c>
      <c r="E207" s="547" t="str">
        <f>'D-1 Off Site Habitat Baseline'!AL206</f>
        <v/>
      </c>
      <c r="F207" s="520" t="str">
        <f>IF(E207="","",IF(ISNA(VLOOKUP($E207,'D-1 Off Site Habitat Baseline'!$D$1:$O$258,4,FALSE)),"",(VLOOKUP($E207,'D-1 Off Site Habitat Baseline'!$D$1:$O$258,4,FALSE))))</f>
        <v/>
      </c>
      <c r="G207" s="520" t="str">
        <f>IF(E207="","",IF(ISNA(VLOOKUP($E207,'D-1 Off Site Habitat Baseline'!$D$1:$O$258,5,FALSE)),"",(VLOOKUP($E207,'D-1 Off Site Habitat Baseline'!$D$1:$O$258,5,FALSE))))</f>
        <v/>
      </c>
      <c r="H207" s="520" t="str">
        <f>IF(E207="","",IF(ISNA(VLOOKUP($E207,'D-1 Off Site Habitat Baseline'!$D$1:$O$258,6,FALSE)),"",(VLOOKUP($E207,'D-1 Off Site Habitat Baseline'!$D$1:$O$258,6,FALSE))))</f>
        <v/>
      </c>
      <c r="I207" s="520" t="str">
        <f>IF(E207="","",IF(ISNA(VLOOKUP($E207,'D-1 Off Site Habitat Baseline'!$D$1:$O$258,7,FALSE)),"",(VLOOKUP($E207,'D-1 Off Site Habitat Baseline'!$D$1:$O$258,7,FALSE))))</f>
        <v/>
      </c>
      <c r="J207" s="520" t="str">
        <f>IF(E207="","",IF(ISNA(VLOOKUP($E207,'D-1 Off Site Habitat Baseline'!$D$1:$O$258,8,FALSE)),"",(VLOOKUP($E207,'D-1 Off Site Habitat Baseline'!$D$1:$O$258,8,FALSE))))</f>
        <v/>
      </c>
      <c r="K207" s="520" t="str">
        <f>IF(E207="","",IF(ISNA(VLOOKUP($E207,'D-1 Off Site Habitat Baseline'!$D$1:$O$258,9,FALSE)),"",(VLOOKUP($E207,'D-1 Off Site Habitat Baseline'!$D$1:$O$258,9,FALSE))))</f>
        <v/>
      </c>
      <c r="L207" s="520" t="str">
        <f>IF(E207="","",IF(ISNA(VLOOKUP($E207,'D-1 Off Site Habitat Baseline'!$D$1:$O$258,11,FALSE)),"",(VLOOKUP($E207,'D-1 Off Site Habitat Baseline'!$D$1:$O$258,11,FALSE))))</f>
        <v/>
      </c>
      <c r="M207" s="520" t="str">
        <f>IF(E207="","",IF(ISNA(VLOOKUP($E207,'D-1 Off Site Habitat Baseline'!$D$1:$O$258,12,FALSE)),"",(VLOOKUP($E207,'D-1 Off Site Habitat Baseline'!$D$1:$O$258,12,FALSE))))</f>
        <v/>
      </c>
      <c r="N207" s="520" t="str">
        <f>IF(E207="","",IF(ISNA(VLOOKUP($E207,'D-1 Off Site Habitat Baseline'!$D$1:$X$258,14,FALSE)),"",(VLOOKUP($E207,'D-1 Off Site Habitat Baseline'!$D$1:$X$258,14,FALSE))))</f>
        <v/>
      </c>
      <c r="O207" s="524" t="str">
        <f>IF(E207="","",IF(ISNA(VLOOKUP($E207,'D-1 Off Site Habitat Baseline'!$D$1:$X$258,13,FALSE)),"",(VLOOKUP($E207,'D-1 Off Site Habitat Baseline'!$D$1:$X$258,13,FALSE))))</f>
        <v/>
      </c>
      <c r="P207" s="232" t="str">
        <f>IFERROR(INDEX('G-1 All Habitats'!$AG$3:$AG$15,MATCH(Q207,'G-1 All Habitats'!$AF$3:$AF$15,0)),"")</f>
        <v/>
      </c>
      <c r="Q207" s="228" t="str">
        <f t="shared" ref="Q207:Q258" si="45">A207</f>
        <v/>
      </c>
      <c r="R207" s="229" t="str">
        <f t="shared" ref="R207:R258" si="46">B207</f>
        <v/>
      </c>
      <c r="S207" s="233" t="str">
        <f>IFERROR(INDEX('G-1 All Habitats'!$B$3:$B$129,MATCH(R207,'G-1 All Habitats'!$A$3:$A$129,0)),"")</f>
        <v/>
      </c>
      <c r="T207" s="507" t="str">
        <f t="shared" si="38"/>
        <v/>
      </c>
      <c r="U207" s="524" t="str">
        <f t="shared" si="39"/>
        <v/>
      </c>
      <c r="V207" s="523" t="str">
        <f t="shared" si="36"/>
        <v/>
      </c>
      <c r="W207" s="520" t="str">
        <f>IF(S207="","",VLOOKUP(S207,'G-1 All Habitats'!$B$2:$M$129,10,FALSE))</f>
        <v/>
      </c>
      <c r="X207" s="520" t="str">
        <f>IFERROR(VLOOKUP(W207,'G-1 All Habitats'!$V$3:$W$7,2,FALSE),"")</f>
        <v/>
      </c>
      <c r="Y207" s="203"/>
      <c r="Z207" s="524" t="str">
        <f>IFERROR(INDEX('G-8 Condition Look up'!$A$3:$H$130,MATCH(S207,'G-8 Condition Look up'!$A$3:$A$130,0),MATCH(Y207,'G-8 Condition Look up'!$A$3:$H$3,0)),"")</f>
        <v/>
      </c>
      <c r="AA207" s="145"/>
      <c r="AB207" s="540" t="str">
        <f>IF(AA207="","",IF(VLOOKUP(AA207,'G-3 Multipliers'!$L$3:$N$6,2,FALSE)=0,"Spatial Data Missing ⚠",VLOOKUP(AA207,'G-3 Multipliers'!$L$3:$N$6,2,FALSE)))</f>
        <v/>
      </c>
      <c r="AC207" s="524" t="str">
        <f>IF(AA207="","",IF(VLOOKUP(AA207,'G-3 Multipliers'!$L$3:$N$6,3,FALSE)=0,"Spatial Data Missing ⚠",VLOOKUP(AA207,'G-3 Multipliers'!$L$3:$N$6,3,FALSE)))</f>
        <v/>
      </c>
      <c r="AD207" s="537" t="str">
        <f t="shared" si="37"/>
        <v/>
      </c>
      <c r="AE207" s="203"/>
      <c r="AF207" s="203"/>
      <c r="AG207" s="520" t="str">
        <f t="shared" si="40"/>
        <v/>
      </c>
      <c r="AH207" s="544" t="str">
        <f t="shared" si="41"/>
        <v/>
      </c>
      <c r="AI207" s="525" t="str">
        <f>IF(AH207="Check Data ⚠","Check Data ⚠",IFERROR(VLOOKUP(AH207,'G-4 Temporal multipliers'!$A$4:$C$36,3,FALSE),""))</f>
        <v/>
      </c>
      <c r="AJ207" s="537" t="str">
        <f>IF(S207="","",VLOOKUP(S207,'G-3 Multipliers'!$A$2:$E$129,4,FALSE))</f>
        <v/>
      </c>
      <c r="AK207" s="520" t="str">
        <f t="shared" si="42"/>
        <v/>
      </c>
      <c r="AL207" s="520" t="str">
        <f t="shared" si="43"/>
        <v/>
      </c>
      <c r="AM207" s="524" t="str">
        <f>IFERROR(IF(F207="","",IF(AH207="Check Data ⚠","Check Data ⚠",VLOOKUP(AL207, 'G-3 Multipliers'!$P$2:$Q$6,2,FALSE))),"")</f>
        <v/>
      </c>
      <c r="AN207" s="197"/>
      <c r="AO207" s="540" t="str">
        <f>IF(AN207="","",IF(VLOOKUP(AN207,'G-3 Multipliers'!$S$3:$T$9,2,FALSE)=0,"Spatial Data Missing ⚠",VLOOKUP(AN207,'G-3 Multipliers'!$S$3:$T$9,2,FALSE)))</f>
        <v/>
      </c>
      <c r="AP207" s="513" t="str">
        <f t="shared" si="44"/>
        <v/>
      </c>
      <c r="AQ207" s="231"/>
      <c r="AR207" s="150"/>
    </row>
    <row r="208" spans="1:44" x14ac:dyDescent="0.25">
      <c r="A208" s="31" t="str">
        <f>IF(E208="","",IF(ISNA(VLOOKUP($E208,'D-1 Off Site Habitat Baseline'!$D$1:$O$258,2,FALSE)),"",(VLOOKUP($E208,'D-1 Off Site Habitat Baseline'!$D$1:$O$258,2,FALSE))))</f>
        <v/>
      </c>
      <c r="B208" s="31" t="str">
        <f>IF(E208="","",IF(ISNA(VLOOKUP($E208,'D-1 Off Site Habitat Baseline'!$D$1:$O$258,3,FALSE)),"",(VLOOKUP($E208,'D-1 Off Site Habitat Baseline'!$D$1:$O$258,3,FALSE))))</f>
        <v/>
      </c>
      <c r="C208" s="31" t="str">
        <f>IFERROR(INDEX('G-8 Condition Look up'!$I$4:$I$130,MATCH(S208,'G-8 Condition Look up'!$A$4:$A$130,0)),"")</f>
        <v/>
      </c>
      <c r="E208" s="547" t="str">
        <f>'D-1 Off Site Habitat Baseline'!AL207</f>
        <v/>
      </c>
      <c r="F208" s="520" t="str">
        <f>IF(E208="","",IF(ISNA(VLOOKUP($E208,'D-1 Off Site Habitat Baseline'!$D$1:$O$258,4,FALSE)),"",(VLOOKUP($E208,'D-1 Off Site Habitat Baseline'!$D$1:$O$258,4,FALSE))))</f>
        <v/>
      </c>
      <c r="G208" s="520" t="str">
        <f>IF(E208="","",IF(ISNA(VLOOKUP($E208,'D-1 Off Site Habitat Baseline'!$D$1:$O$258,5,FALSE)),"",(VLOOKUP($E208,'D-1 Off Site Habitat Baseline'!$D$1:$O$258,5,FALSE))))</f>
        <v/>
      </c>
      <c r="H208" s="520" t="str">
        <f>IF(E208="","",IF(ISNA(VLOOKUP($E208,'D-1 Off Site Habitat Baseline'!$D$1:$O$258,6,FALSE)),"",(VLOOKUP($E208,'D-1 Off Site Habitat Baseline'!$D$1:$O$258,6,FALSE))))</f>
        <v/>
      </c>
      <c r="I208" s="520" t="str">
        <f>IF(E208="","",IF(ISNA(VLOOKUP($E208,'D-1 Off Site Habitat Baseline'!$D$1:$O$258,7,FALSE)),"",(VLOOKUP($E208,'D-1 Off Site Habitat Baseline'!$D$1:$O$258,7,FALSE))))</f>
        <v/>
      </c>
      <c r="J208" s="520" t="str">
        <f>IF(E208="","",IF(ISNA(VLOOKUP($E208,'D-1 Off Site Habitat Baseline'!$D$1:$O$258,8,FALSE)),"",(VLOOKUP($E208,'D-1 Off Site Habitat Baseline'!$D$1:$O$258,8,FALSE))))</f>
        <v/>
      </c>
      <c r="K208" s="520" t="str">
        <f>IF(E208="","",IF(ISNA(VLOOKUP($E208,'D-1 Off Site Habitat Baseline'!$D$1:$O$258,9,FALSE)),"",(VLOOKUP($E208,'D-1 Off Site Habitat Baseline'!$D$1:$O$258,9,FALSE))))</f>
        <v/>
      </c>
      <c r="L208" s="520" t="str">
        <f>IF(E208="","",IF(ISNA(VLOOKUP($E208,'D-1 Off Site Habitat Baseline'!$D$1:$O$258,11,FALSE)),"",(VLOOKUP($E208,'D-1 Off Site Habitat Baseline'!$D$1:$O$258,11,FALSE))))</f>
        <v/>
      </c>
      <c r="M208" s="520" t="str">
        <f>IF(E208="","",IF(ISNA(VLOOKUP($E208,'D-1 Off Site Habitat Baseline'!$D$1:$O$258,12,FALSE)),"",(VLOOKUP($E208,'D-1 Off Site Habitat Baseline'!$D$1:$O$258,12,FALSE))))</f>
        <v/>
      </c>
      <c r="N208" s="520" t="str">
        <f>IF(E208="","",IF(ISNA(VLOOKUP($E208,'D-1 Off Site Habitat Baseline'!$D$1:$X$258,14,FALSE)),"",(VLOOKUP($E208,'D-1 Off Site Habitat Baseline'!$D$1:$X$258,14,FALSE))))</f>
        <v/>
      </c>
      <c r="O208" s="524" t="str">
        <f>IF(E208="","",IF(ISNA(VLOOKUP($E208,'D-1 Off Site Habitat Baseline'!$D$1:$X$258,13,FALSE)),"",(VLOOKUP($E208,'D-1 Off Site Habitat Baseline'!$D$1:$X$258,13,FALSE))))</f>
        <v/>
      </c>
      <c r="P208" s="232" t="str">
        <f>IFERROR(INDEX('G-1 All Habitats'!$AG$3:$AG$15,MATCH(Q208,'G-1 All Habitats'!$AF$3:$AF$15,0)),"")</f>
        <v/>
      </c>
      <c r="Q208" s="228" t="str">
        <f t="shared" si="45"/>
        <v/>
      </c>
      <c r="R208" s="229" t="str">
        <f t="shared" si="46"/>
        <v/>
      </c>
      <c r="S208" s="233" t="str">
        <f>IFERROR(INDEX('G-1 All Habitats'!$B$3:$B$129,MATCH(R208,'G-1 All Habitats'!$A$3:$A$129,0)),"")</f>
        <v/>
      </c>
      <c r="T208" s="507" t="str">
        <f t="shared" si="38"/>
        <v/>
      </c>
      <c r="U208" s="524" t="str">
        <f t="shared" si="39"/>
        <v/>
      </c>
      <c r="V208" s="523" t="str">
        <f t="shared" si="36"/>
        <v/>
      </c>
      <c r="W208" s="520" t="str">
        <f>IF(S208="","",VLOOKUP(S208,'G-1 All Habitats'!$B$2:$M$129,10,FALSE))</f>
        <v/>
      </c>
      <c r="X208" s="520" t="str">
        <f>IFERROR(VLOOKUP(W208,'G-1 All Habitats'!$V$3:$W$7,2,FALSE),"")</f>
        <v/>
      </c>
      <c r="Y208" s="203"/>
      <c r="Z208" s="524" t="str">
        <f>IFERROR(INDEX('G-8 Condition Look up'!$A$3:$H$130,MATCH(S208,'G-8 Condition Look up'!$A$3:$A$130,0),MATCH(Y208,'G-8 Condition Look up'!$A$3:$H$3,0)),"")</f>
        <v/>
      </c>
      <c r="AA208" s="145"/>
      <c r="AB208" s="540" t="str">
        <f>IF(AA208="","",IF(VLOOKUP(AA208,'G-3 Multipliers'!$L$3:$N$6,2,FALSE)=0,"Spatial Data Missing ⚠",VLOOKUP(AA208,'G-3 Multipliers'!$L$3:$N$6,2,FALSE)))</f>
        <v/>
      </c>
      <c r="AC208" s="524" t="str">
        <f>IF(AA208="","",IF(VLOOKUP(AA208,'G-3 Multipliers'!$L$3:$N$6,3,FALSE)=0,"Spatial Data Missing ⚠",VLOOKUP(AA208,'G-3 Multipliers'!$L$3:$N$6,3,FALSE)))</f>
        <v/>
      </c>
      <c r="AD208" s="537" t="str">
        <f t="shared" si="37"/>
        <v/>
      </c>
      <c r="AE208" s="203"/>
      <c r="AF208" s="203"/>
      <c r="AG208" s="520" t="str">
        <f t="shared" si="40"/>
        <v/>
      </c>
      <c r="AH208" s="544" t="str">
        <f t="shared" si="41"/>
        <v/>
      </c>
      <c r="AI208" s="525" t="str">
        <f>IF(AH208="Check Data ⚠","Check Data ⚠",IFERROR(VLOOKUP(AH208,'G-4 Temporal multipliers'!$A$4:$C$36,3,FALSE),""))</f>
        <v/>
      </c>
      <c r="AJ208" s="537" t="str">
        <f>IF(S208="","",VLOOKUP(S208,'G-3 Multipliers'!$A$2:$E$129,4,FALSE))</f>
        <v/>
      </c>
      <c r="AK208" s="520" t="str">
        <f t="shared" si="42"/>
        <v/>
      </c>
      <c r="AL208" s="520" t="str">
        <f t="shared" si="43"/>
        <v/>
      </c>
      <c r="AM208" s="524" t="str">
        <f>IFERROR(IF(F208="","",IF(AH208="Check Data ⚠","Check Data ⚠",VLOOKUP(AL208, 'G-3 Multipliers'!$P$2:$Q$6,2,FALSE))),"")</f>
        <v/>
      </c>
      <c r="AN208" s="197"/>
      <c r="AO208" s="540" t="str">
        <f>IF(AN208="","",IF(VLOOKUP(AN208,'G-3 Multipliers'!$S$3:$T$9,2,FALSE)=0,"Spatial Data Missing ⚠",VLOOKUP(AN208,'G-3 Multipliers'!$S$3:$T$9,2,FALSE)))</f>
        <v/>
      </c>
      <c r="AP208" s="513" t="str">
        <f t="shared" si="44"/>
        <v/>
      </c>
      <c r="AQ208" s="231"/>
      <c r="AR208" s="150"/>
    </row>
    <row r="209" spans="1:44" x14ac:dyDescent="0.25">
      <c r="A209" s="31" t="str">
        <f>IF(E209="","",IF(ISNA(VLOOKUP($E209,'D-1 Off Site Habitat Baseline'!$D$1:$O$258,2,FALSE)),"",(VLOOKUP($E209,'D-1 Off Site Habitat Baseline'!$D$1:$O$258,2,FALSE))))</f>
        <v/>
      </c>
      <c r="B209" s="31" t="str">
        <f>IF(E209="","",IF(ISNA(VLOOKUP($E209,'D-1 Off Site Habitat Baseline'!$D$1:$O$258,3,FALSE)),"",(VLOOKUP($E209,'D-1 Off Site Habitat Baseline'!$D$1:$O$258,3,FALSE))))</f>
        <v/>
      </c>
      <c r="C209" s="31" t="str">
        <f>IFERROR(INDEX('G-8 Condition Look up'!$I$4:$I$130,MATCH(S209,'G-8 Condition Look up'!$A$4:$A$130,0)),"")</f>
        <v/>
      </c>
      <c r="E209" s="547" t="str">
        <f>'D-1 Off Site Habitat Baseline'!AL208</f>
        <v/>
      </c>
      <c r="F209" s="520" t="str">
        <f>IF(E209="","",IF(ISNA(VLOOKUP($E209,'D-1 Off Site Habitat Baseline'!$D$1:$O$258,4,FALSE)),"",(VLOOKUP($E209,'D-1 Off Site Habitat Baseline'!$D$1:$O$258,4,FALSE))))</f>
        <v/>
      </c>
      <c r="G209" s="520" t="str">
        <f>IF(E209="","",IF(ISNA(VLOOKUP($E209,'D-1 Off Site Habitat Baseline'!$D$1:$O$258,5,FALSE)),"",(VLOOKUP($E209,'D-1 Off Site Habitat Baseline'!$D$1:$O$258,5,FALSE))))</f>
        <v/>
      </c>
      <c r="H209" s="520" t="str">
        <f>IF(E209="","",IF(ISNA(VLOOKUP($E209,'D-1 Off Site Habitat Baseline'!$D$1:$O$258,6,FALSE)),"",(VLOOKUP($E209,'D-1 Off Site Habitat Baseline'!$D$1:$O$258,6,FALSE))))</f>
        <v/>
      </c>
      <c r="I209" s="520" t="str">
        <f>IF(E209="","",IF(ISNA(VLOOKUP($E209,'D-1 Off Site Habitat Baseline'!$D$1:$O$258,7,FALSE)),"",(VLOOKUP($E209,'D-1 Off Site Habitat Baseline'!$D$1:$O$258,7,FALSE))))</f>
        <v/>
      </c>
      <c r="J209" s="520" t="str">
        <f>IF(E209="","",IF(ISNA(VLOOKUP($E209,'D-1 Off Site Habitat Baseline'!$D$1:$O$258,8,FALSE)),"",(VLOOKUP($E209,'D-1 Off Site Habitat Baseline'!$D$1:$O$258,8,FALSE))))</f>
        <v/>
      </c>
      <c r="K209" s="520" t="str">
        <f>IF(E209="","",IF(ISNA(VLOOKUP($E209,'D-1 Off Site Habitat Baseline'!$D$1:$O$258,9,FALSE)),"",(VLOOKUP($E209,'D-1 Off Site Habitat Baseline'!$D$1:$O$258,9,FALSE))))</f>
        <v/>
      </c>
      <c r="L209" s="520" t="str">
        <f>IF(E209="","",IF(ISNA(VLOOKUP($E209,'D-1 Off Site Habitat Baseline'!$D$1:$O$258,11,FALSE)),"",(VLOOKUP($E209,'D-1 Off Site Habitat Baseline'!$D$1:$O$258,11,FALSE))))</f>
        <v/>
      </c>
      <c r="M209" s="520" t="str">
        <f>IF(E209="","",IF(ISNA(VLOOKUP($E209,'D-1 Off Site Habitat Baseline'!$D$1:$O$258,12,FALSE)),"",(VLOOKUP($E209,'D-1 Off Site Habitat Baseline'!$D$1:$O$258,12,FALSE))))</f>
        <v/>
      </c>
      <c r="N209" s="520" t="str">
        <f>IF(E209="","",IF(ISNA(VLOOKUP($E209,'D-1 Off Site Habitat Baseline'!$D$1:$X$258,14,FALSE)),"",(VLOOKUP($E209,'D-1 Off Site Habitat Baseline'!$D$1:$X$258,14,FALSE))))</f>
        <v/>
      </c>
      <c r="O209" s="524" t="str">
        <f>IF(E209="","",IF(ISNA(VLOOKUP($E209,'D-1 Off Site Habitat Baseline'!$D$1:$X$258,13,FALSE)),"",(VLOOKUP($E209,'D-1 Off Site Habitat Baseline'!$D$1:$X$258,13,FALSE))))</f>
        <v/>
      </c>
      <c r="P209" s="232" t="str">
        <f>IFERROR(INDEX('G-1 All Habitats'!$AG$3:$AG$15,MATCH(Q209,'G-1 All Habitats'!$AF$3:$AF$15,0)),"")</f>
        <v/>
      </c>
      <c r="Q209" s="228" t="str">
        <f t="shared" si="45"/>
        <v/>
      </c>
      <c r="R209" s="229" t="str">
        <f t="shared" si="46"/>
        <v/>
      </c>
      <c r="S209" s="233" t="str">
        <f>IFERROR(INDEX('G-1 All Habitats'!$B$3:$B$129,MATCH(R209,'G-1 All Habitats'!$A$3:$A$129,0)),"")</f>
        <v/>
      </c>
      <c r="T209" s="507" t="str">
        <f t="shared" si="38"/>
        <v/>
      </c>
      <c r="U209" s="524" t="str">
        <f t="shared" si="39"/>
        <v/>
      </c>
      <c r="V209" s="523" t="str">
        <f t="shared" si="36"/>
        <v/>
      </c>
      <c r="W209" s="520" t="str">
        <f>IF(S209="","",VLOOKUP(S209,'G-1 All Habitats'!$B$2:$M$129,10,FALSE))</f>
        <v/>
      </c>
      <c r="X209" s="520" t="str">
        <f>IFERROR(VLOOKUP(W209,'G-1 All Habitats'!$V$3:$W$7,2,FALSE),"")</f>
        <v/>
      </c>
      <c r="Y209" s="203"/>
      <c r="Z209" s="524" t="str">
        <f>IFERROR(INDEX('G-8 Condition Look up'!$A$3:$H$130,MATCH(S209,'G-8 Condition Look up'!$A$3:$A$130,0),MATCH(Y209,'G-8 Condition Look up'!$A$3:$H$3,0)),"")</f>
        <v/>
      </c>
      <c r="AA209" s="145"/>
      <c r="AB209" s="540" t="str">
        <f>IF(AA209="","",IF(VLOOKUP(AA209,'G-3 Multipliers'!$L$3:$N$6,2,FALSE)=0,"Spatial Data Missing ⚠",VLOOKUP(AA209,'G-3 Multipliers'!$L$3:$N$6,2,FALSE)))</f>
        <v/>
      </c>
      <c r="AC209" s="524" t="str">
        <f>IF(AA209="","",IF(VLOOKUP(AA209,'G-3 Multipliers'!$L$3:$N$6,3,FALSE)=0,"Spatial Data Missing ⚠",VLOOKUP(AA209,'G-3 Multipliers'!$L$3:$N$6,3,FALSE)))</f>
        <v/>
      </c>
      <c r="AD209" s="537" t="str">
        <f t="shared" si="37"/>
        <v/>
      </c>
      <c r="AE209" s="203"/>
      <c r="AF209" s="203"/>
      <c r="AG209" s="520" t="str">
        <f t="shared" si="40"/>
        <v/>
      </c>
      <c r="AH209" s="544" t="str">
        <f t="shared" si="41"/>
        <v/>
      </c>
      <c r="AI209" s="525" t="str">
        <f>IF(AH209="Check Data ⚠","Check Data ⚠",IFERROR(VLOOKUP(AH209,'G-4 Temporal multipliers'!$A$4:$C$36,3,FALSE),""))</f>
        <v/>
      </c>
      <c r="AJ209" s="537" t="str">
        <f>IF(S209="","",VLOOKUP(S209,'G-3 Multipliers'!$A$2:$E$129,4,FALSE))</f>
        <v/>
      </c>
      <c r="AK209" s="520" t="str">
        <f t="shared" si="42"/>
        <v/>
      </c>
      <c r="AL209" s="520" t="str">
        <f t="shared" si="43"/>
        <v/>
      </c>
      <c r="AM209" s="524" t="str">
        <f>IFERROR(IF(F209="","",IF(AH209="Check Data ⚠","Check Data ⚠",VLOOKUP(AL209, 'G-3 Multipliers'!$P$2:$Q$6,2,FALSE))),"")</f>
        <v/>
      </c>
      <c r="AN209" s="197"/>
      <c r="AO209" s="540" t="str">
        <f>IF(AN209="","",IF(VLOOKUP(AN209,'G-3 Multipliers'!$S$3:$T$9,2,FALSE)=0,"Spatial Data Missing ⚠",VLOOKUP(AN209,'G-3 Multipliers'!$S$3:$T$9,2,FALSE)))</f>
        <v/>
      </c>
      <c r="AP209" s="513" t="str">
        <f t="shared" si="44"/>
        <v/>
      </c>
      <c r="AQ209" s="231"/>
      <c r="AR209" s="150"/>
    </row>
    <row r="210" spans="1:44" x14ac:dyDescent="0.25">
      <c r="A210" s="31" t="str">
        <f>IF(E210="","",IF(ISNA(VLOOKUP($E210,'D-1 Off Site Habitat Baseline'!$D$1:$O$258,2,FALSE)),"",(VLOOKUP($E210,'D-1 Off Site Habitat Baseline'!$D$1:$O$258,2,FALSE))))</f>
        <v/>
      </c>
      <c r="B210" s="31" t="str">
        <f>IF(E210="","",IF(ISNA(VLOOKUP($E210,'D-1 Off Site Habitat Baseline'!$D$1:$O$258,3,FALSE)),"",(VLOOKUP($E210,'D-1 Off Site Habitat Baseline'!$D$1:$O$258,3,FALSE))))</f>
        <v/>
      </c>
      <c r="C210" s="31" t="str">
        <f>IFERROR(INDEX('G-8 Condition Look up'!$I$4:$I$130,MATCH(S210,'G-8 Condition Look up'!$A$4:$A$130,0)),"")</f>
        <v/>
      </c>
      <c r="E210" s="547" t="str">
        <f>'D-1 Off Site Habitat Baseline'!AL209</f>
        <v/>
      </c>
      <c r="F210" s="520" t="str">
        <f>IF(E210="","",IF(ISNA(VLOOKUP($E210,'D-1 Off Site Habitat Baseline'!$D$1:$O$258,4,FALSE)),"",(VLOOKUP($E210,'D-1 Off Site Habitat Baseline'!$D$1:$O$258,4,FALSE))))</f>
        <v/>
      </c>
      <c r="G210" s="520" t="str">
        <f>IF(E210="","",IF(ISNA(VLOOKUP($E210,'D-1 Off Site Habitat Baseline'!$D$1:$O$258,5,FALSE)),"",(VLOOKUP($E210,'D-1 Off Site Habitat Baseline'!$D$1:$O$258,5,FALSE))))</f>
        <v/>
      </c>
      <c r="H210" s="520" t="str">
        <f>IF(E210="","",IF(ISNA(VLOOKUP($E210,'D-1 Off Site Habitat Baseline'!$D$1:$O$258,6,FALSE)),"",(VLOOKUP($E210,'D-1 Off Site Habitat Baseline'!$D$1:$O$258,6,FALSE))))</f>
        <v/>
      </c>
      <c r="I210" s="520" t="str">
        <f>IF(E210="","",IF(ISNA(VLOOKUP($E210,'D-1 Off Site Habitat Baseline'!$D$1:$O$258,7,FALSE)),"",(VLOOKUP($E210,'D-1 Off Site Habitat Baseline'!$D$1:$O$258,7,FALSE))))</f>
        <v/>
      </c>
      <c r="J210" s="520" t="str">
        <f>IF(E210="","",IF(ISNA(VLOOKUP($E210,'D-1 Off Site Habitat Baseline'!$D$1:$O$258,8,FALSE)),"",(VLOOKUP($E210,'D-1 Off Site Habitat Baseline'!$D$1:$O$258,8,FALSE))))</f>
        <v/>
      </c>
      <c r="K210" s="520" t="str">
        <f>IF(E210="","",IF(ISNA(VLOOKUP($E210,'D-1 Off Site Habitat Baseline'!$D$1:$O$258,9,FALSE)),"",(VLOOKUP($E210,'D-1 Off Site Habitat Baseline'!$D$1:$O$258,9,FALSE))))</f>
        <v/>
      </c>
      <c r="L210" s="520" t="str">
        <f>IF(E210="","",IF(ISNA(VLOOKUP($E210,'D-1 Off Site Habitat Baseline'!$D$1:$O$258,11,FALSE)),"",(VLOOKUP($E210,'D-1 Off Site Habitat Baseline'!$D$1:$O$258,11,FALSE))))</f>
        <v/>
      </c>
      <c r="M210" s="520" t="str">
        <f>IF(E210="","",IF(ISNA(VLOOKUP($E210,'D-1 Off Site Habitat Baseline'!$D$1:$O$258,12,FALSE)),"",(VLOOKUP($E210,'D-1 Off Site Habitat Baseline'!$D$1:$O$258,12,FALSE))))</f>
        <v/>
      </c>
      <c r="N210" s="520" t="str">
        <f>IF(E210="","",IF(ISNA(VLOOKUP($E210,'D-1 Off Site Habitat Baseline'!$D$1:$X$258,14,FALSE)),"",(VLOOKUP($E210,'D-1 Off Site Habitat Baseline'!$D$1:$X$258,14,FALSE))))</f>
        <v/>
      </c>
      <c r="O210" s="524" t="str">
        <f>IF(E210="","",IF(ISNA(VLOOKUP($E210,'D-1 Off Site Habitat Baseline'!$D$1:$X$258,13,FALSE)),"",(VLOOKUP($E210,'D-1 Off Site Habitat Baseline'!$D$1:$X$258,13,FALSE))))</f>
        <v/>
      </c>
      <c r="P210" s="232" t="str">
        <f>IFERROR(INDEX('G-1 All Habitats'!$AG$3:$AG$15,MATCH(Q210,'G-1 All Habitats'!$AF$3:$AF$15,0)),"")</f>
        <v/>
      </c>
      <c r="Q210" s="228" t="str">
        <f t="shared" si="45"/>
        <v/>
      </c>
      <c r="R210" s="229" t="str">
        <f t="shared" si="46"/>
        <v/>
      </c>
      <c r="S210" s="233" t="str">
        <f>IFERROR(INDEX('G-1 All Habitats'!$B$3:$B$129,MATCH(R210,'G-1 All Habitats'!$A$3:$A$129,0)),"")</f>
        <v/>
      </c>
      <c r="T210" s="507" t="str">
        <f t="shared" si="38"/>
        <v/>
      </c>
      <c r="U210" s="524" t="str">
        <f t="shared" si="39"/>
        <v/>
      </c>
      <c r="V210" s="523" t="str">
        <f t="shared" si="36"/>
        <v/>
      </c>
      <c r="W210" s="520" t="str">
        <f>IF(S210="","",VLOOKUP(S210,'G-1 All Habitats'!$B$2:$M$129,10,FALSE))</f>
        <v/>
      </c>
      <c r="X210" s="520" t="str">
        <f>IFERROR(VLOOKUP(W210,'G-1 All Habitats'!$V$3:$W$7,2,FALSE),"")</f>
        <v/>
      </c>
      <c r="Y210" s="203"/>
      <c r="Z210" s="524" t="str">
        <f>IFERROR(INDEX('G-8 Condition Look up'!$A$3:$H$130,MATCH(S210,'G-8 Condition Look up'!$A$3:$A$130,0),MATCH(Y210,'G-8 Condition Look up'!$A$3:$H$3,0)),"")</f>
        <v/>
      </c>
      <c r="AA210" s="145"/>
      <c r="AB210" s="540" t="str">
        <f>IF(AA210="","",IF(VLOOKUP(AA210,'G-3 Multipliers'!$L$3:$N$6,2,FALSE)=0,"Spatial Data Missing ⚠",VLOOKUP(AA210,'G-3 Multipliers'!$L$3:$N$6,2,FALSE)))</f>
        <v/>
      </c>
      <c r="AC210" s="524" t="str">
        <f>IF(AA210="","",IF(VLOOKUP(AA210,'G-3 Multipliers'!$L$3:$N$6,3,FALSE)=0,"Spatial Data Missing ⚠",VLOOKUP(AA210,'G-3 Multipliers'!$L$3:$N$6,3,FALSE)))</f>
        <v/>
      </c>
      <c r="AD210" s="537" t="str">
        <f t="shared" si="37"/>
        <v/>
      </c>
      <c r="AE210" s="203"/>
      <c r="AF210" s="203"/>
      <c r="AG210" s="520" t="str">
        <f t="shared" si="40"/>
        <v/>
      </c>
      <c r="AH210" s="544" t="str">
        <f t="shared" si="41"/>
        <v/>
      </c>
      <c r="AI210" s="525" t="str">
        <f>IF(AH210="Check Data ⚠","Check Data ⚠",IFERROR(VLOOKUP(AH210,'G-4 Temporal multipliers'!$A$4:$C$36,3,FALSE),""))</f>
        <v/>
      </c>
      <c r="AJ210" s="537" t="str">
        <f>IF(S210="","",VLOOKUP(S210,'G-3 Multipliers'!$A$2:$E$129,4,FALSE))</f>
        <v/>
      </c>
      <c r="AK210" s="520" t="str">
        <f t="shared" si="42"/>
        <v/>
      </c>
      <c r="AL210" s="520" t="str">
        <f t="shared" si="43"/>
        <v/>
      </c>
      <c r="AM210" s="524" t="str">
        <f>IFERROR(IF(F210="","",IF(AH210="Check Data ⚠","Check Data ⚠",VLOOKUP(AL210, 'G-3 Multipliers'!$P$2:$Q$6,2,FALSE))),"")</f>
        <v/>
      </c>
      <c r="AN210" s="197"/>
      <c r="AO210" s="540" t="str">
        <f>IF(AN210="","",IF(VLOOKUP(AN210,'G-3 Multipliers'!$S$3:$T$9,2,FALSE)=0,"Spatial Data Missing ⚠",VLOOKUP(AN210,'G-3 Multipliers'!$S$3:$T$9,2,FALSE)))</f>
        <v/>
      </c>
      <c r="AP210" s="513" t="str">
        <f t="shared" si="44"/>
        <v/>
      </c>
      <c r="AQ210" s="231"/>
      <c r="AR210" s="150"/>
    </row>
    <row r="211" spans="1:44" x14ac:dyDescent="0.25">
      <c r="A211" s="31" t="str">
        <f>IF(E211="","",IF(ISNA(VLOOKUP($E211,'D-1 Off Site Habitat Baseline'!$D$1:$O$258,2,FALSE)),"",(VLOOKUP($E211,'D-1 Off Site Habitat Baseline'!$D$1:$O$258,2,FALSE))))</f>
        <v/>
      </c>
      <c r="B211" s="31" t="str">
        <f>IF(E211="","",IF(ISNA(VLOOKUP($E211,'D-1 Off Site Habitat Baseline'!$D$1:$O$258,3,FALSE)),"",(VLOOKUP($E211,'D-1 Off Site Habitat Baseline'!$D$1:$O$258,3,FALSE))))</f>
        <v/>
      </c>
      <c r="C211" s="31" t="str">
        <f>IFERROR(INDEX('G-8 Condition Look up'!$I$4:$I$130,MATCH(S211,'G-8 Condition Look up'!$A$4:$A$130,0)),"")</f>
        <v/>
      </c>
      <c r="E211" s="547" t="str">
        <f>'D-1 Off Site Habitat Baseline'!AL210</f>
        <v/>
      </c>
      <c r="F211" s="520" t="str">
        <f>IF(E211="","",IF(ISNA(VLOOKUP($E211,'D-1 Off Site Habitat Baseline'!$D$1:$O$258,4,FALSE)),"",(VLOOKUP($E211,'D-1 Off Site Habitat Baseline'!$D$1:$O$258,4,FALSE))))</f>
        <v/>
      </c>
      <c r="G211" s="520" t="str">
        <f>IF(E211="","",IF(ISNA(VLOOKUP($E211,'D-1 Off Site Habitat Baseline'!$D$1:$O$258,5,FALSE)),"",(VLOOKUP($E211,'D-1 Off Site Habitat Baseline'!$D$1:$O$258,5,FALSE))))</f>
        <v/>
      </c>
      <c r="H211" s="520" t="str">
        <f>IF(E211="","",IF(ISNA(VLOOKUP($E211,'D-1 Off Site Habitat Baseline'!$D$1:$O$258,6,FALSE)),"",(VLOOKUP($E211,'D-1 Off Site Habitat Baseline'!$D$1:$O$258,6,FALSE))))</f>
        <v/>
      </c>
      <c r="I211" s="520" t="str">
        <f>IF(E211="","",IF(ISNA(VLOOKUP($E211,'D-1 Off Site Habitat Baseline'!$D$1:$O$258,7,FALSE)),"",(VLOOKUP($E211,'D-1 Off Site Habitat Baseline'!$D$1:$O$258,7,FALSE))))</f>
        <v/>
      </c>
      <c r="J211" s="520" t="str">
        <f>IF(E211="","",IF(ISNA(VLOOKUP($E211,'D-1 Off Site Habitat Baseline'!$D$1:$O$258,8,FALSE)),"",(VLOOKUP($E211,'D-1 Off Site Habitat Baseline'!$D$1:$O$258,8,FALSE))))</f>
        <v/>
      </c>
      <c r="K211" s="520" t="str">
        <f>IF(E211="","",IF(ISNA(VLOOKUP($E211,'D-1 Off Site Habitat Baseline'!$D$1:$O$258,9,FALSE)),"",(VLOOKUP($E211,'D-1 Off Site Habitat Baseline'!$D$1:$O$258,9,FALSE))))</f>
        <v/>
      </c>
      <c r="L211" s="520" t="str">
        <f>IF(E211="","",IF(ISNA(VLOOKUP($E211,'D-1 Off Site Habitat Baseline'!$D$1:$O$258,11,FALSE)),"",(VLOOKUP($E211,'D-1 Off Site Habitat Baseline'!$D$1:$O$258,11,FALSE))))</f>
        <v/>
      </c>
      <c r="M211" s="520" t="str">
        <f>IF(E211="","",IF(ISNA(VLOOKUP($E211,'D-1 Off Site Habitat Baseline'!$D$1:$O$258,12,FALSE)),"",(VLOOKUP($E211,'D-1 Off Site Habitat Baseline'!$D$1:$O$258,12,FALSE))))</f>
        <v/>
      </c>
      <c r="N211" s="520" t="str">
        <f>IF(E211="","",IF(ISNA(VLOOKUP($E211,'D-1 Off Site Habitat Baseline'!$D$1:$X$258,14,FALSE)),"",(VLOOKUP($E211,'D-1 Off Site Habitat Baseline'!$D$1:$X$258,14,FALSE))))</f>
        <v/>
      </c>
      <c r="O211" s="524" t="str">
        <f>IF(E211="","",IF(ISNA(VLOOKUP($E211,'D-1 Off Site Habitat Baseline'!$D$1:$X$258,13,FALSE)),"",(VLOOKUP($E211,'D-1 Off Site Habitat Baseline'!$D$1:$X$258,13,FALSE))))</f>
        <v/>
      </c>
      <c r="P211" s="232" t="str">
        <f>IFERROR(INDEX('G-1 All Habitats'!$AG$3:$AG$15,MATCH(Q211,'G-1 All Habitats'!$AF$3:$AF$15,0)),"")</f>
        <v/>
      </c>
      <c r="Q211" s="228" t="str">
        <f t="shared" si="45"/>
        <v/>
      </c>
      <c r="R211" s="229" t="str">
        <f t="shared" si="46"/>
        <v/>
      </c>
      <c r="S211" s="233" t="str">
        <f>IFERROR(INDEX('G-1 All Habitats'!$B$3:$B$129,MATCH(R211,'G-1 All Habitats'!$A$3:$A$129,0)),"")</f>
        <v/>
      </c>
      <c r="T211" s="507" t="str">
        <f t="shared" si="38"/>
        <v/>
      </c>
      <c r="U211" s="524" t="str">
        <f t="shared" si="39"/>
        <v/>
      </c>
      <c r="V211" s="523" t="str">
        <f t="shared" si="36"/>
        <v/>
      </c>
      <c r="W211" s="520" t="str">
        <f>IF(S211="","",VLOOKUP(S211,'G-1 All Habitats'!$B$2:$M$129,10,FALSE))</f>
        <v/>
      </c>
      <c r="X211" s="520" t="str">
        <f>IFERROR(VLOOKUP(W211,'G-1 All Habitats'!$V$3:$W$7,2,FALSE),"")</f>
        <v/>
      </c>
      <c r="Y211" s="203"/>
      <c r="Z211" s="524" t="str">
        <f>IFERROR(INDEX('G-8 Condition Look up'!$A$3:$H$130,MATCH(S211,'G-8 Condition Look up'!$A$3:$A$130,0),MATCH(Y211,'G-8 Condition Look up'!$A$3:$H$3,0)),"")</f>
        <v/>
      </c>
      <c r="AA211" s="145"/>
      <c r="AB211" s="540" t="str">
        <f>IF(AA211="","",IF(VLOOKUP(AA211,'G-3 Multipliers'!$L$3:$N$6,2,FALSE)=0,"Spatial Data Missing ⚠",VLOOKUP(AA211,'G-3 Multipliers'!$L$3:$N$6,2,FALSE)))</f>
        <v/>
      </c>
      <c r="AC211" s="524" t="str">
        <f>IF(AA211="","",IF(VLOOKUP(AA211,'G-3 Multipliers'!$L$3:$N$6,3,FALSE)=0,"Spatial Data Missing ⚠",VLOOKUP(AA211,'G-3 Multipliers'!$L$3:$N$6,3,FALSE)))</f>
        <v/>
      </c>
      <c r="AD211" s="537" t="str">
        <f t="shared" si="37"/>
        <v/>
      </c>
      <c r="AE211" s="203"/>
      <c r="AF211" s="203"/>
      <c r="AG211" s="520" t="str">
        <f t="shared" si="40"/>
        <v/>
      </c>
      <c r="AH211" s="544" t="str">
        <f t="shared" si="41"/>
        <v/>
      </c>
      <c r="AI211" s="525" t="str">
        <f>IF(AH211="Check Data ⚠","Check Data ⚠",IFERROR(VLOOKUP(AH211,'G-4 Temporal multipliers'!$A$4:$C$36,3,FALSE),""))</f>
        <v/>
      </c>
      <c r="AJ211" s="537" t="str">
        <f>IF(S211="","",VLOOKUP(S211,'G-3 Multipliers'!$A$2:$E$129,4,FALSE))</f>
        <v/>
      </c>
      <c r="AK211" s="520" t="str">
        <f t="shared" si="42"/>
        <v/>
      </c>
      <c r="AL211" s="520" t="str">
        <f t="shared" si="43"/>
        <v/>
      </c>
      <c r="AM211" s="524" t="str">
        <f>IFERROR(IF(F211="","",IF(AH211="Check Data ⚠","Check Data ⚠",VLOOKUP(AL211, 'G-3 Multipliers'!$P$2:$Q$6,2,FALSE))),"")</f>
        <v/>
      </c>
      <c r="AN211" s="197"/>
      <c r="AO211" s="540" t="str">
        <f>IF(AN211="","",IF(VLOOKUP(AN211,'G-3 Multipliers'!$S$3:$T$9,2,FALSE)=0,"Spatial Data Missing ⚠",VLOOKUP(AN211,'G-3 Multipliers'!$S$3:$T$9,2,FALSE)))</f>
        <v/>
      </c>
      <c r="AP211" s="513" t="str">
        <f t="shared" si="44"/>
        <v/>
      </c>
      <c r="AQ211" s="231"/>
      <c r="AR211" s="150"/>
    </row>
    <row r="212" spans="1:44" x14ac:dyDescent="0.25">
      <c r="A212" s="31" t="str">
        <f>IF(E212="","",IF(ISNA(VLOOKUP($E212,'D-1 Off Site Habitat Baseline'!$D$1:$O$258,2,FALSE)),"",(VLOOKUP($E212,'D-1 Off Site Habitat Baseline'!$D$1:$O$258,2,FALSE))))</f>
        <v/>
      </c>
      <c r="B212" s="31" t="str">
        <f>IF(E212="","",IF(ISNA(VLOOKUP($E212,'D-1 Off Site Habitat Baseline'!$D$1:$O$258,3,FALSE)),"",(VLOOKUP($E212,'D-1 Off Site Habitat Baseline'!$D$1:$O$258,3,FALSE))))</f>
        <v/>
      </c>
      <c r="C212" s="31" t="str">
        <f>IFERROR(INDEX('G-8 Condition Look up'!$I$4:$I$130,MATCH(S212,'G-8 Condition Look up'!$A$4:$A$130,0)),"")</f>
        <v/>
      </c>
      <c r="E212" s="547" t="str">
        <f>'D-1 Off Site Habitat Baseline'!AL211</f>
        <v/>
      </c>
      <c r="F212" s="520" t="str">
        <f>IF(E212="","",IF(ISNA(VLOOKUP($E212,'D-1 Off Site Habitat Baseline'!$D$1:$O$258,4,FALSE)),"",(VLOOKUP($E212,'D-1 Off Site Habitat Baseline'!$D$1:$O$258,4,FALSE))))</f>
        <v/>
      </c>
      <c r="G212" s="520" t="str">
        <f>IF(E212="","",IF(ISNA(VLOOKUP($E212,'D-1 Off Site Habitat Baseline'!$D$1:$O$258,5,FALSE)),"",(VLOOKUP($E212,'D-1 Off Site Habitat Baseline'!$D$1:$O$258,5,FALSE))))</f>
        <v/>
      </c>
      <c r="H212" s="520" t="str">
        <f>IF(E212="","",IF(ISNA(VLOOKUP($E212,'D-1 Off Site Habitat Baseline'!$D$1:$O$258,6,FALSE)),"",(VLOOKUP($E212,'D-1 Off Site Habitat Baseline'!$D$1:$O$258,6,FALSE))))</f>
        <v/>
      </c>
      <c r="I212" s="520" t="str">
        <f>IF(E212="","",IF(ISNA(VLOOKUP($E212,'D-1 Off Site Habitat Baseline'!$D$1:$O$258,7,FALSE)),"",(VLOOKUP($E212,'D-1 Off Site Habitat Baseline'!$D$1:$O$258,7,FALSE))))</f>
        <v/>
      </c>
      <c r="J212" s="520" t="str">
        <f>IF(E212="","",IF(ISNA(VLOOKUP($E212,'D-1 Off Site Habitat Baseline'!$D$1:$O$258,8,FALSE)),"",(VLOOKUP($E212,'D-1 Off Site Habitat Baseline'!$D$1:$O$258,8,FALSE))))</f>
        <v/>
      </c>
      <c r="K212" s="520" t="str">
        <f>IF(E212="","",IF(ISNA(VLOOKUP($E212,'D-1 Off Site Habitat Baseline'!$D$1:$O$258,9,FALSE)),"",(VLOOKUP($E212,'D-1 Off Site Habitat Baseline'!$D$1:$O$258,9,FALSE))))</f>
        <v/>
      </c>
      <c r="L212" s="520" t="str">
        <f>IF(E212="","",IF(ISNA(VLOOKUP($E212,'D-1 Off Site Habitat Baseline'!$D$1:$O$258,11,FALSE)),"",(VLOOKUP($E212,'D-1 Off Site Habitat Baseline'!$D$1:$O$258,11,FALSE))))</f>
        <v/>
      </c>
      <c r="M212" s="520" t="str">
        <f>IF(E212="","",IF(ISNA(VLOOKUP($E212,'D-1 Off Site Habitat Baseline'!$D$1:$O$258,12,FALSE)),"",(VLOOKUP($E212,'D-1 Off Site Habitat Baseline'!$D$1:$O$258,12,FALSE))))</f>
        <v/>
      </c>
      <c r="N212" s="520" t="str">
        <f>IF(E212="","",IF(ISNA(VLOOKUP($E212,'D-1 Off Site Habitat Baseline'!$D$1:$X$258,14,FALSE)),"",(VLOOKUP($E212,'D-1 Off Site Habitat Baseline'!$D$1:$X$258,14,FALSE))))</f>
        <v/>
      </c>
      <c r="O212" s="524" t="str">
        <f>IF(E212="","",IF(ISNA(VLOOKUP($E212,'D-1 Off Site Habitat Baseline'!$D$1:$X$258,13,FALSE)),"",(VLOOKUP($E212,'D-1 Off Site Habitat Baseline'!$D$1:$X$258,13,FALSE))))</f>
        <v/>
      </c>
      <c r="P212" s="232" t="str">
        <f>IFERROR(INDEX('G-1 All Habitats'!$AG$3:$AG$15,MATCH(Q212,'G-1 All Habitats'!$AF$3:$AF$15,0)),"")</f>
        <v/>
      </c>
      <c r="Q212" s="228" t="str">
        <f t="shared" si="45"/>
        <v/>
      </c>
      <c r="R212" s="229" t="str">
        <f t="shared" si="46"/>
        <v/>
      </c>
      <c r="S212" s="233" t="str">
        <f>IFERROR(INDEX('G-1 All Habitats'!$B$3:$B$129,MATCH(R212,'G-1 All Habitats'!$A$3:$A$129,0)),"")</f>
        <v/>
      </c>
      <c r="T212" s="507" t="str">
        <f t="shared" si="38"/>
        <v/>
      </c>
      <c r="U212" s="524" t="str">
        <f t="shared" si="39"/>
        <v/>
      </c>
      <c r="V212" s="523" t="str">
        <f t="shared" si="36"/>
        <v/>
      </c>
      <c r="W212" s="520" t="str">
        <f>IF(S212="","",VLOOKUP(S212,'G-1 All Habitats'!$B$2:$M$129,10,FALSE))</f>
        <v/>
      </c>
      <c r="X212" s="520" t="str">
        <f>IFERROR(VLOOKUP(W212,'G-1 All Habitats'!$V$3:$W$7,2,FALSE),"")</f>
        <v/>
      </c>
      <c r="Y212" s="203"/>
      <c r="Z212" s="524" t="str">
        <f>IFERROR(INDEX('G-8 Condition Look up'!$A$3:$H$130,MATCH(S212,'G-8 Condition Look up'!$A$3:$A$130,0),MATCH(Y212,'G-8 Condition Look up'!$A$3:$H$3,0)),"")</f>
        <v/>
      </c>
      <c r="AA212" s="145"/>
      <c r="AB212" s="540" t="str">
        <f>IF(AA212="","",IF(VLOOKUP(AA212,'G-3 Multipliers'!$L$3:$N$6,2,FALSE)=0,"Spatial Data Missing ⚠",VLOOKUP(AA212,'G-3 Multipliers'!$L$3:$N$6,2,FALSE)))</f>
        <v/>
      </c>
      <c r="AC212" s="524" t="str">
        <f>IF(AA212="","",IF(VLOOKUP(AA212,'G-3 Multipliers'!$L$3:$N$6,3,FALSE)=0,"Spatial Data Missing ⚠",VLOOKUP(AA212,'G-3 Multipliers'!$L$3:$N$6,3,FALSE)))</f>
        <v/>
      </c>
      <c r="AD212" s="537" t="str">
        <f t="shared" si="37"/>
        <v/>
      </c>
      <c r="AE212" s="203"/>
      <c r="AF212" s="203"/>
      <c r="AG212" s="520" t="str">
        <f t="shared" si="40"/>
        <v/>
      </c>
      <c r="AH212" s="544" t="str">
        <f t="shared" si="41"/>
        <v/>
      </c>
      <c r="AI212" s="525" t="str">
        <f>IF(AH212="Check Data ⚠","Check Data ⚠",IFERROR(VLOOKUP(AH212,'G-4 Temporal multipliers'!$A$4:$C$36,3,FALSE),""))</f>
        <v/>
      </c>
      <c r="AJ212" s="537" t="str">
        <f>IF(S212="","",VLOOKUP(S212,'G-3 Multipliers'!$A$2:$E$129,4,FALSE))</f>
        <v/>
      </c>
      <c r="AK212" s="520" t="str">
        <f t="shared" si="42"/>
        <v/>
      </c>
      <c r="AL212" s="520" t="str">
        <f t="shared" si="43"/>
        <v/>
      </c>
      <c r="AM212" s="524" t="str">
        <f>IFERROR(IF(F212="","",IF(AH212="Check Data ⚠","Check Data ⚠",VLOOKUP(AL212, 'G-3 Multipliers'!$P$2:$Q$6,2,FALSE))),"")</f>
        <v/>
      </c>
      <c r="AN212" s="197"/>
      <c r="AO212" s="540" t="str">
        <f>IF(AN212="","",IF(VLOOKUP(AN212,'G-3 Multipliers'!$S$3:$T$9,2,FALSE)=0,"Spatial Data Missing ⚠",VLOOKUP(AN212,'G-3 Multipliers'!$S$3:$T$9,2,FALSE)))</f>
        <v/>
      </c>
      <c r="AP212" s="513" t="str">
        <f t="shared" si="44"/>
        <v/>
      </c>
      <c r="AQ212" s="231"/>
      <c r="AR212" s="150"/>
    </row>
    <row r="213" spans="1:44" x14ac:dyDescent="0.25">
      <c r="A213" s="31" t="str">
        <f>IF(E213="","",IF(ISNA(VLOOKUP($E213,'D-1 Off Site Habitat Baseline'!$D$1:$O$258,2,FALSE)),"",(VLOOKUP($E213,'D-1 Off Site Habitat Baseline'!$D$1:$O$258,2,FALSE))))</f>
        <v/>
      </c>
      <c r="B213" s="31" t="str">
        <f>IF(E213="","",IF(ISNA(VLOOKUP($E213,'D-1 Off Site Habitat Baseline'!$D$1:$O$258,3,FALSE)),"",(VLOOKUP($E213,'D-1 Off Site Habitat Baseline'!$D$1:$O$258,3,FALSE))))</f>
        <v/>
      </c>
      <c r="C213" s="31" t="str">
        <f>IFERROR(INDEX('G-8 Condition Look up'!$I$4:$I$130,MATCH(S213,'G-8 Condition Look up'!$A$4:$A$130,0)),"")</f>
        <v/>
      </c>
      <c r="E213" s="547" t="str">
        <f>'D-1 Off Site Habitat Baseline'!AL212</f>
        <v/>
      </c>
      <c r="F213" s="520" t="str">
        <f>IF(E213="","",IF(ISNA(VLOOKUP($E213,'D-1 Off Site Habitat Baseline'!$D$1:$O$258,4,FALSE)),"",(VLOOKUP($E213,'D-1 Off Site Habitat Baseline'!$D$1:$O$258,4,FALSE))))</f>
        <v/>
      </c>
      <c r="G213" s="520" t="str">
        <f>IF(E213="","",IF(ISNA(VLOOKUP($E213,'D-1 Off Site Habitat Baseline'!$D$1:$O$258,5,FALSE)),"",(VLOOKUP($E213,'D-1 Off Site Habitat Baseline'!$D$1:$O$258,5,FALSE))))</f>
        <v/>
      </c>
      <c r="H213" s="520" t="str">
        <f>IF(E213="","",IF(ISNA(VLOOKUP($E213,'D-1 Off Site Habitat Baseline'!$D$1:$O$258,6,FALSE)),"",(VLOOKUP($E213,'D-1 Off Site Habitat Baseline'!$D$1:$O$258,6,FALSE))))</f>
        <v/>
      </c>
      <c r="I213" s="520" t="str">
        <f>IF(E213="","",IF(ISNA(VLOOKUP($E213,'D-1 Off Site Habitat Baseline'!$D$1:$O$258,7,FALSE)),"",(VLOOKUP($E213,'D-1 Off Site Habitat Baseline'!$D$1:$O$258,7,FALSE))))</f>
        <v/>
      </c>
      <c r="J213" s="520" t="str">
        <f>IF(E213="","",IF(ISNA(VLOOKUP($E213,'D-1 Off Site Habitat Baseline'!$D$1:$O$258,8,FALSE)),"",(VLOOKUP($E213,'D-1 Off Site Habitat Baseline'!$D$1:$O$258,8,FALSE))))</f>
        <v/>
      </c>
      <c r="K213" s="520" t="str">
        <f>IF(E213="","",IF(ISNA(VLOOKUP($E213,'D-1 Off Site Habitat Baseline'!$D$1:$O$258,9,FALSE)),"",(VLOOKUP($E213,'D-1 Off Site Habitat Baseline'!$D$1:$O$258,9,FALSE))))</f>
        <v/>
      </c>
      <c r="L213" s="520" t="str">
        <f>IF(E213="","",IF(ISNA(VLOOKUP($E213,'D-1 Off Site Habitat Baseline'!$D$1:$O$258,11,FALSE)),"",(VLOOKUP($E213,'D-1 Off Site Habitat Baseline'!$D$1:$O$258,11,FALSE))))</f>
        <v/>
      </c>
      <c r="M213" s="520" t="str">
        <f>IF(E213="","",IF(ISNA(VLOOKUP($E213,'D-1 Off Site Habitat Baseline'!$D$1:$O$258,12,FALSE)),"",(VLOOKUP($E213,'D-1 Off Site Habitat Baseline'!$D$1:$O$258,12,FALSE))))</f>
        <v/>
      </c>
      <c r="N213" s="520" t="str">
        <f>IF(E213="","",IF(ISNA(VLOOKUP($E213,'D-1 Off Site Habitat Baseline'!$D$1:$X$258,14,FALSE)),"",(VLOOKUP($E213,'D-1 Off Site Habitat Baseline'!$D$1:$X$258,14,FALSE))))</f>
        <v/>
      </c>
      <c r="O213" s="524" t="str">
        <f>IF(E213="","",IF(ISNA(VLOOKUP($E213,'D-1 Off Site Habitat Baseline'!$D$1:$X$258,13,FALSE)),"",(VLOOKUP($E213,'D-1 Off Site Habitat Baseline'!$D$1:$X$258,13,FALSE))))</f>
        <v/>
      </c>
      <c r="P213" s="232" t="str">
        <f>IFERROR(INDEX('G-1 All Habitats'!$AG$3:$AG$15,MATCH(Q213,'G-1 All Habitats'!$AF$3:$AF$15,0)),"")</f>
        <v/>
      </c>
      <c r="Q213" s="228" t="str">
        <f t="shared" si="45"/>
        <v/>
      </c>
      <c r="R213" s="229" t="str">
        <f t="shared" si="46"/>
        <v/>
      </c>
      <c r="S213" s="233" t="str">
        <f>IFERROR(INDEX('G-1 All Habitats'!$B$3:$B$129,MATCH(R213,'G-1 All Habitats'!$A$3:$A$129,0)),"")</f>
        <v/>
      </c>
      <c r="T213" s="507" t="str">
        <f t="shared" si="38"/>
        <v/>
      </c>
      <c r="U213" s="524" t="str">
        <f t="shared" si="39"/>
        <v/>
      </c>
      <c r="V213" s="523" t="str">
        <f t="shared" si="36"/>
        <v/>
      </c>
      <c r="W213" s="520" t="str">
        <f>IF(S213="","",VLOOKUP(S213,'G-1 All Habitats'!$B$2:$M$129,10,FALSE))</f>
        <v/>
      </c>
      <c r="X213" s="520" t="str">
        <f>IFERROR(VLOOKUP(W213,'G-1 All Habitats'!$V$3:$W$7,2,FALSE),"")</f>
        <v/>
      </c>
      <c r="Y213" s="203"/>
      <c r="Z213" s="524" t="str">
        <f>IFERROR(INDEX('G-8 Condition Look up'!$A$3:$H$130,MATCH(S213,'G-8 Condition Look up'!$A$3:$A$130,0),MATCH(Y213,'G-8 Condition Look up'!$A$3:$H$3,0)),"")</f>
        <v/>
      </c>
      <c r="AA213" s="145"/>
      <c r="AB213" s="540" t="str">
        <f>IF(AA213="","",IF(VLOOKUP(AA213,'G-3 Multipliers'!$L$3:$N$6,2,FALSE)=0,"Spatial Data Missing ⚠",VLOOKUP(AA213,'G-3 Multipliers'!$L$3:$N$6,2,FALSE)))</f>
        <v/>
      </c>
      <c r="AC213" s="524" t="str">
        <f>IF(AA213="","",IF(VLOOKUP(AA213,'G-3 Multipliers'!$L$3:$N$6,3,FALSE)=0,"Spatial Data Missing ⚠",VLOOKUP(AA213,'G-3 Multipliers'!$L$3:$N$6,3,FALSE)))</f>
        <v/>
      </c>
      <c r="AD213" s="537" t="str">
        <f t="shared" si="37"/>
        <v/>
      </c>
      <c r="AE213" s="203"/>
      <c r="AF213" s="203"/>
      <c r="AG213" s="520" t="str">
        <f t="shared" si="40"/>
        <v/>
      </c>
      <c r="AH213" s="544" t="str">
        <f t="shared" si="41"/>
        <v/>
      </c>
      <c r="AI213" s="525" t="str">
        <f>IF(AH213="Check Data ⚠","Check Data ⚠",IFERROR(VLOOKUP(AH213,'G-4 Temporal multipliers'!$A$4:$C$36,3,FALSE),""))</f>
        <v/>
      </c>
      <c r="AJ213" s="537" t="str">
        <f>IF(S213="","",VLOOKUP(S213,'G-3 Multipliers'!$A$2:$E$129,4,FALSE))</f>
        <v/>
      </c>
      <c r="AK213" s="520" t="str">
        <f t="shared" si="42"/>
        <v/>
      </c>
      <c r="AL213" s="520" t="str">
        <f t="shared" si="43"/>
        <v/>
      </c>
      <c r="AM213" s="524" t="str">
        <f>IFERROR(IF(F213="","",IF(AH213="Check Data ⚠","Check Data ⚠",VLOOKUP(AL213, 'G-3 Multipliers'!$P$2:$Q$6,2,FALSE))),"")</f>
        <v/>
      </c>
      <c r="AN213" s="197"/>
      <c r="AO213" s="540" t="str">
        <f>IF(AN213="","",IF(VLOOKUP(AN213,'G-3 Multipliers'!$S$3:$T$9,2,FALSE)=0,"Spatial Data Missing ⚠",VLOOKUP(AN213,'G-3 Multipliers'!$S$3:$T$9,2,FALSE)))</f>
        <v/>
      </c>
      <c r="AP213" s="513" t="str">
        <f t="shared" si="44"/>
        <v/>
      </c>
      <c r="AQ213" s="231"/>
      <c r="AR213" s="150"/>
    </row>
    <row r="214" spans="1:44" x14ac:dyDescent="0.25">
      <c r="A214" s="31" t="str">
        <f>IF(E214="","",IF(ISNA(VLOOKUP($E214,'D-1 Off Site Habitat Baseline'!$D$1:$O$258,2,FALSE)),"",(VLOOKUP($E214,'D-1 Off Site Habitat Baseline'!$D$1:$O$258,2,FALSE))))</f>
        <v/>
      </c>
      <c r="B214" s="31" t="str">
        <f>IF(E214="","",IF(ISNA(VLOOKUP($E214,'D-1 Off Site Habitat Baseline'!$D$1:$O$258,3,FALSE)),"",(VLOOKUP($E214,'D-1 Off Site Habitat Baseline'!$D$1:$O$258,3,FALSE))))</f>
        <v/>
      </c>
      <c r="C214" s="31" t="str">
        <f>IFERROR(INDEX('G-8 Condition Look up'!$I$4:$I$130,MATCH(S214,'G-8 Condition Look up'!$A$4:$A$130,0)),"")</f>
        <v/>
      </c>
      <c r="E214" s="547" t="str">
        <f>'D-1 Off Site Habitat Baseline'!AL213</f>
        <v/>
      </c>
      <c r="F214" s="520" t="str">
        <f>IF(E214="","",IF(ISNA(VLOOKUP($E214,'D-1 Off Site Habitat Baseline'!$D$1:$O$258,4,FALSE)),"",(VLOOKUP($E214,'D-1 Off Site Habitat Baseline'!$D$1:$O$258,4,FALSE))))</f>
        <v/>
      </c>
      <c r="G214" s="520" t="str">
        <f>IF(E214="","",IF(ISNA(VLOOKUP($E214,'D-1 Off Site Habitat Baseline'!$D$1:$O$258,5,FALSE)),"",(VLOOKUP($E214,'D-1 Off Site Habitat Baseline'!$D$1:$O$258,5,FALSE))))</f>
        <v/>
      </c>
      <c r="H214" s="520" t="str">
        <f>IF(E214="","",IF(ISNA(VLOOKUP($E214,'D-1 Off Site Habitat Baseline'!$D$1:$O$258,6,FALSE)),"",(VLOOKUP($E214,'D-1 Off Site Habitat Baseline'!$D$1:$O$258,6,FALSE))))</f>
        <v/>
      </c>
      <c r="I214" s="520" t="str">
        <f>IF(E214="","",IF(ISNA(VLOOKUP($E214,'D-1 Off Site Habitat Baseline'!$D$1:$O$258,7,FALSE)),"",(VLOOKUP($E214,'D-1 Off Site Habitat Baseline'!$D$1:$O$258,7,FALSE))))</f>
        <v/>
      </c>
      <c r="J214" s="520" t="str">
        <f>IF(E214="","",IF(ISNA(VLOOKUP($E214,'D-1 Off Site Habitat Baseline'!$D$1:$O$258,8,FALSE)),"",(VLOOKUP($E214,'D-1 Off Site Habitat Baseline'!$D$1:$O$258,8,FALSE))))</f>
        <v/>
      </c>
      <c r="K214" s="520" t="str">
        <f>IF(E214="","",IF(ISNA(VLOOKUP($E214,'D-1 Off Site Habitat Baseline'!$D$1:$O$258,9,FALSE)),"",(VLOOKUP($E214,'D-1 Off Site Habitat Baseline'!$D$1:$O$258,9,FALSE))))</f>
        <v/>
      </c>
      <c r="L214" s="520" t="str">
        <f>IF(E214="","",IF(ISNA(VLOOKUP($E214,'D-1 Off Site Habitat Baseline'!$D$1:$O$258,11,FALSE)),"",(VLOOKUP($E214,'D-1 Off Site Habitat Baseline'!$D$1:$O$258,11,FALSE))))</f>
        <v/>
      </c>
      <c r="M214" s="520" t="str">
        <f>IF(E214="","",IF(ISNA(VLOOKUP($E214,'D-1 Off Site Habitat Baseline'!$D$1:$O$258,12,FALSE)),"",(VLOOKUP($E214,'D-1 Off Site Habitat Baseline'!$D$1:$O$258,12,FALSE))))</f>
        <v/>
      </c>
      <c r="N214" s="520" t="str">
        <f>IF(E214="","",IF(ISNA(VLOOKUP($E214,'D-1 Off Site Habitat Baseline'!$D$1:$X$258,14,FALSE)),"",(VLOOKUP($E214,'D-1 Off Site Habitat Baseline'!$D$1:$X$258,14,FALSE))))</f>
        <v/>
      </c>
      <c r="O214" s="524" t="str">
        <f>IF(E214="","",IF(ISNA(VLOOKUP($E214,'D-1 Off Site Habitat Baseline'!$D$1:$X$258,13,FALSE)),"",(VLOOKUP($E214,'D-1 Off Site Habitat Baseline'!$D$1:$X$258,13,FALSE))))</f>
        <v/>
      </c>
      <c r="P214" s="232" t="str">
        <f>IFERROR(INDEX('G-1 All Habitats'!$AG$3:$AG$15,MATCH(Q214,'G-1 All Habitats'!$AF$3:$AF$15,0)),"")</f>
        <v/>
      </c>
      <c r="Q214" s="228" t="str">
        <f t="shared" si="45"/>
        <v/>
      </c>
      <c r="R214" s="229" t="str">
        <f t="shared" si="46"/>
        <v/>
      </c>
      <c r="S214" s="233" t="str">
        <f>IFERROR(INDEX('G-1 All Habitats'!$B$3:$B$129,MATCH(R214,'G-1 All Habitats'!$A$3:$A$129,0)),"")</f>
        <v/>
      </c>
      <c r="T214" s="507" t="str">
        <f t="shared" si="38"/>
        <v/>
      </c>
      <c r="U214" s="524" t="str">
        <f t="shared" si="39"/>
        <v/>
      </c>
      <c r="V214" s="523" t="str">
        <f t="shared" si="36"/>
        <v/>
      </c>
      <c r="W214" s="520" t="str">
        <f>IF(S214="","",VLOOKUP(S214,'G-1 All Habitats'!$B$2:$M$129,10,FALSE))</f>
        <v/>
      </c>
      <c r="X214" s="520" t="str">
        <f>IFERROR(VLOOKUP(W214,'G-1 All Habitats'!$V$3:$W$7,2,FALSE),"")</f>
        <v/>
      </c>
      <c r="Y214" s="203"/>
      <c r="Z214" s="524" t="str">
        <f>IFERROR(INDEX('G-8 Condition Look up'!$A$3:$H$130,MATCH(S214,'G-8 Condition Look up'!$A$3:$A$130,0),MATCH(Y214,'G-8 Condition Look up'!$A$3:$H$3,0)),"")</f>
        <v/>
      </c>
      <c r="AA214" s="145"/>
      <c r="AB214" s="540" t="str">
        <f>IF(AA214="","",IF(VLOOKUP(AA214,'G-3 Multipliers'!$L$3:$N$6,2,FALSE)=0,"Spatial Data Missing ⚠",VLOOKUP(AA214,'G-3 Multipliers'!$L$3:$N$6,2,FALSE)))</f>
        <v/>
      </c>
      <c r="AC214" s="524" t="str">
        <f>IF(AA214="","",IF(VLOOKUP(AA214,'G-3 Multipliers'!$L$3:$N$6,3,FALSE)=0,"Spatial Data Missing ⚠",VLOOKUP(AA214,'G-3 Multipliers'!$L$3:$N$6,3,FALSE)))</f>
        <v/>
      </c>
      <c r="AD214" s="537" t="str">
        <f t="shared" si="37"/>
        <v/>
      </c>
      <c r="AE214" s="203"/>
      <c r="AF214" s="203"/>
      <c r="AG214" s="520" t="str">
        <f t="shared" si="40"/>
        <v/>
      </c>
      <c r="AH214" s="544" t="str">
        <f t="shared" si="41"/>
        <v/>
      </c>
      <c r="AI214" s="525" t="str">
        <f>IF(AH214="Check Data ⚠","Check Data ⚠",IFERROR(VLOOKUP(AH214,'G-4 Temporal multipliers'!$A$4:$C$36,3,FALSE),""))</f>
        <v/>
      </c>
      <c r="AJ214" s="537" t="str">
        <f>IF(S214="","",VLOOKUP(S214,'G-3 Multipliers'!$A$2:$E$129,4,FALSE))</f>
        <v/>
      </c>
      <c r="AK214" s="520" t="str">
        <f t="shared" si="42"/>
        <v/>
      </c>
      <c r="AL214" s="520" t="str">
        <f t="shared" si="43"/>
        <v/>
      </c>
      <c r="AM214" s="524" t="str">
        <f>IFERROR(IF(F214="","",IF(AH214="Check Data ⚠","Check Data ⚠",VLOOKUP(AL214, 'G-3 Multipliers'!$P$2:$Q$6,2,FALSE))),"")</f>
        <v/>
      </c>
      <c r="AN214" s="197"/>
      <c r="AO214" s="540" t="str">
        <f>IF(AN214="","",IF(VLOOKUP(AN214,'G-3 Multipliers'!$S$3:$T$9,2,FALSE)=0,"Spatial Data Missing ⚠",VLOOKUP(AN214,'G-3 Multipliers'!$S$3:$T$9,2,FALSE)))</f>
        <v/>
      </c>
      <c r="AP214" s="513" t="str">
        <f t="shared" si="44"/>
        <v/>
      </c>
      <c r="AQ214" s="231"/>
      <c r="AR214" s="150"/>
    </row>
    <row r="215" spans="1:44" x14ac:dyDescent="0.25">
      <c r="A215" s="31" t="str">
        <f>IF(E215="","",IF(ISNA(VLOOKUP($E215,'D-1 Off Site Habitat Baseline'!$D$1:$O$258,2,FALSE)),"",(VLOOKUP($E215,'D-1 Off Site Habitat Baseline'!$D$1:$O$258,2,FALSE))))</f>
        <v/>
      </c>
      <c r="B215" s="31" t="str">
        <f>IF(E215="","",IF(ISNA(VLOOKUP($E215,'D-1 Off Site Habitat Baseline'!$D$1:$O$258,3,FALSE)),"",(VLOOKUP($E215,'D-1 Off Site Habitat Baseline'!$D$1:$O$258,3,FALSE))))</f>
        <v/>
      </c>
      <c r="C215" s="31" t="str">
        <f>IFERROR(INDEX('G-8 Condition Look up'!$I$4:$I$130,MATCH(S215,'G-8 Condition Look up'!$A$4:$A$130,0)),"")</f>
        <v/>
      </c>
      <c r="E215" s="547" t="str">
        <f>'D-1 Off Site Habitat Baseline'!AL214</f>
        <v/>
      </c>
      <c r="F215" s="520" t="str">
        <f>IF(E215="","",IF(ISNA(VLOOKUP($E215,'D-1 Off Site Habitat Baseline'!$D$1:$O$258,4,FALSE)),"",(VLOOKUP($E215,'D-1 Off Site Habitat Baseline'!$D$1:$O$258,4,FALSE))))</f>
        <v/>
      </c>
      <c r="G215" s="520" t="str">
        <f>IF(E215="","",IF(ISNA(VLOOKUP($E215,'D-1 Off Site Habitat Baseline'!$D$1:$O$258,5,FALSE)),"",(VLOOKUP($E215,'D-1 Off Site Habitat Baseline'!$D$1:$O$258,5,FALSE))))</f>
        <v/>
      </c>
      <c r="H215" s="520" t="str">
        <f>IF(E215="","",IF(ISNA(VLOOKUP($E215,'D-1 Off Site Habitat Baseline'!$D$1:$O$258,6,FALSE)),"",(VLOOKUP($E215,'D-1 Off Site Habitat Baseline'!$D$1:$O$258,6,FALSE))))</f>
        <v/>
      </c>
      <c r="I215" s="520" t="str">
        <f>IF(E215="","",IF(ISNA(VLOOKUP($E215,'D-1 Off Site Habitat Baseline'!$D$1:$O$258,7,FALSE)),"",(VLOOKUP($E215,'D-1 Off Site Habitat Baseline'!$D$1:$O$258,7,FALSE))))</f>
        <v/>
      </c>
      <c r="J215" s="520" t="str">
        <f>IF(E215="","",IF(ISNA(VLOOKUP($E215,'D-1 Off Site Habitat Baseline'!$D$1:$O$258,8,FALSE)),"",(VLOOKUP($E215,'D-1 Off Site Habitat Baseline'!$D$1:$O$258,8,FALSE))))</f>
        <v/>
      </c>
      <c r="K215" s="520" t="str">
        <f>IF(E215="","",IF(ISNA(VLOOKUP($E215,'D-1 Off Site Habitat Baseline'!$D$1:$O$258,9,FALSE)),"",(VLOOKUP($E215,'D-1 Off Site Habitat Baseline'!$D$1:$O$258,9,FALSE))))</f>
        <v/>
      </c>
      <c r="L215" s="520" t="str">
        <f>IF(E215="","",IF(ISNA(VLOOKUP($E215,'D-1 Off Site Habitat Baseline'!$D$1:$O$258,11,FALSE)),"",(VLOOKUP($E215,'D-1 Off Site Habitat Baseline'!$D$1:$O$258,11,FALSE))))</f>
        <v/>
      </c>
      <c r="M215" s="520" t="str">
        <f>IF(E215="","",IF(ISNA(VLOOKUP($E215,'D-1 Off Site Habitat Baseline'!$D$1:$O$258,12,FALSE)),"",(VLOOKUP($E215,'D-1 Off Site Habitat Baseline'!$D$1:$O$258,12,FALSE))))</f>
        <v/>
      </c>
      <c r="N215" s="520" t="str">
        <f>IF(E215="","",IF(ISNA(VLOOKUP($E215,'D-1 Off Site Habitat Baseline'!$D$1:$X$258,14,FALSE)),"",(VLOOKUP($E215,'D-1 Off Site Habitat Baseline'!$D$1:$X$258,14,FALSE))))</f>
        <v/>
      </c>
      <c r="O215" s="524" t="str">
        <f>IF(E215="","",IF(ISNA(VLOOKUP($E215,'D-1 Off Site Habitat Baseline'!$D$1:$X$258,13,FALSE)),"",(VLOOKUP($E215,'D-1 Off Site Habitat Baseline'!$D$1:$X$258,13,FALSE))))</f>
        <v/>
      </c>
      <c r="P215" s="232" t="str">
        <f>IFERROR(INDEX('G-1 All Habitats'!$AG$3:$AG$15,MATCH(Q215,'G-1 All Habitats'!$AF$3:$AF$15,0)),"")</f>
        <v/>
      </c>
      <c r="Q215" s="228" t="str">
        <f t="shared" si="45"/>
        <v/>
      </c>
      <c r="R215" s="229" t="str">
        <f t="shared" si="46"/>
        <v/>
      </c>
      <c r="S215" s="233" t="str">
        <f>IFERROR(INDEX('G-1 All Habitats'!$B$3:$B$129,MATCH(R215,'G-1 All Habitats'!$A$3:$A$129,0)),"")</f>
        <v/>
      </c>
      <c r="T215" s="507" t="str">
        <f t="shared" si="38"/>
        <v/>
      </c>
      <c r="U215" s="524" t="str">
        <f t="shared" si="39"/>
        <v/>
      </c>
      <c r="V215" s="523" t="str">
        <f t="shared" si="36"/>
        <v/>
      </c>
      <c r="W215" s="520" t="str">
        <f>IF(S215="","",VLOOKUP(S215,'G-1 All Habitats'!$B$2:$M$129,10,FALSE))</f>
        <v/>
      </c>
      <c r="X215" s="520" t="str">
        <f>IFERROR(VLOOKUP(W215,'G-1 All Habitats'!$V$3:$W$7,2,FALSE),"")</f>
        <v/>
      </c>
      <c r="Y215" s="203"/>
      <c r="Z215" s="524" t="str">
        <f>IFERROR(INDEX('G-8 Condition Look up'!$A$3:$H$130,MATCH(S215,'G-8 Condition Look up'!$A$3:$A$130,0),MATCH(Y215,'G-8 Condition Look up'!$A$3:$H$3,0)),"")</f>
        <v/>
      </c>
      <c r="AA215" s="145"/>
      <c r="AB215" s="540" t="str">
        <f>IF(AA215="","",IF(VLOOKUP(AA215,'G-3 Multipliers'!$L$3:$N$6,2,FALSE)=0,"Spatial Data Missing ⚠",VLOOKUP(AA215,'G-3 Multipliers'!$L$3:$N$6,2,FALSE)))</f>
        <v/>
      </c>
      <c r="AC215" s="524" t="str">
        <f>IF(AA215="","",IF(VLOOKUP(AA215,'G-3 Multipliers'!$L$3:$N$6,3,FALSE)=0,"Spatial Data Missing ⚠",VLOOKUP(AA215,'G-3 Multipliers'!$L$3:$N$6,3,FALSE)))</f>
        <v/>
      </c>
      <c r="AD215" s="537" t="str">
        <f t="shared" si="37"/>
        <v/>
      </c>
      <c r="AE215" s="203"/>
      <c r="AF215" s="203"/>
      <c r="AG215" s="520" t="str">
        <f t="shared" si="40"/>
        <v/>
      </c>
      <c r="AH215" s="544" t="str">
        <f t="shared" si="41"/>
        <v/>
      </c>
      <c r="AI215" s="525" t="str">
        <f>IF(AH215="Check Data ⚠","Check Data ⚠",IFERROR(VLOOKUP(AH215,'G-4 Temporal multipliers'!$A$4:$C$36,3,FALSE),""))</f>
        <v/>
      </c>
      <c r="AJ215" s="537" t="str">
        <f>IF(S215="","",VLOOKUP(S215,'G-3 Multipliers'!$A$2:$E$129,4,FALSE))</f>
        <v/>
      </c>
      <c r="AK215" s="520" t="str">
        <f t="shared" si="42"/>
        <v/>
      </c>
      <c r="AL215" s="520" t="str">
        <f t="shared" si="43"/>
        <v/>
      </c>
      <c r="AM215" s="524" t="str">
        <f>IFERROR(IF(F215="","",IF(AH215="Check Data ⚠","Check Data ⚠",VLOOKUP(AL215, 'G-3 Multipliers'!$P$2:$Q$6,2,FALSE))),"")</f>
        <v/>
      </c>
      <c r="AN215" s="197"/>
      <c r="AO215" s="540" t="str">
        <f>IF(AN215="","",IF(VLOOKUP(AN215,'G-3 Multipliers'!$S$3:$T$9,2,FALSE)=0,"Spatial Data Missing ⚠",VLOOKUP(AN215,'G-3 Multipliers'!$S$3:$T$9,2,FALSE)))</f>
        <v/>
      </c>
      <c r="AP215" s="513" t="str">
        <f t="shared" si="44"/>
        <v/>
      </c>
      <c r="AQ215" s="231"/>
      <c r="AR215" s="150"/>
    </row>
    <row r="216" spans="1:44" x14ac:dyDescent="0.25">
      <c r="A216" s="31" t="str">
        <f>IF(E216="","",IF(ISNA(VLOOKUP($E216,'D-1 Off Site Habitat Baseline'!$D$1:$O$258,2,FALSE)),"",(VLOOKUP($E216,'D-1 Off Site Habitat Baseline'!$D$1:$O$258,2,FALSE))))</f>
        <v/>
      </c>
      <c r="B216" s="31" t="str">
        <f>IF(E216="","",IF(ISNA(VLOOKUP($E216,'D-1 Off Site Habitat Baseline'!$D$1:$O$258,3,FALSE)),"",(VLOOKUP($E216,'D-1 Off Site Habitat Baseline'!$D$1:$O$258,3,FALSE))))</f>
        <v/>
      </c>
      <c r="C216" s="31" t="str">
        <f>IFERROR(INDEX('G-8 Condition Look up'!$I$4:$I$130,MATCH(S216,'G-8 Condition Look up'!$A$4:$A$130,0)),"")</f>
        <v/>
      </c>
      <c r="E216" s="547" t="str">
        <f>'D-1 Off Site Habitat Baseline'!AL215</f>
        <v/>
      </c>
      <c r="F216" s="520" t="str">
        <f>IF(E216="","",IF(ISNA(VLOOKUP($E216,'D-1 Off Site Habitat Baseline'!$D$1:$O$258,4,FALSE)),"",(VLOOKUP($E216,'D-1 Off Site Habitat Baseline'!$D$1:$O$258,4,FALSE))))</f>
        <v/>
      </c>
      <c r="G216" s="520" t="str">
        <f>IF(E216="","",IF(ISNA(VLOOKUP($E216,'D-1 Off Site Habitat Baseline'!$D$1:$O$258,5,FALSE)),"",(VLOOKUP($E216,'D-1 Off Site Habitat Baseline'!$D$1:$O$258,5,FALSE))))</f>
        <v/>
      </c>
      <c r="H216" s="520" t="str">
        <f>IF(E216="","",IF(ISNA(VLOOKUP($E216,'D-1 Off Site Habitat Baseline'!$D$1:$O$258,6,FALSE)),"",(VLOOKUP($E216,'D-1 Off Site Habitat Baseline'!$D$1:$O$258,6,FALSE))))</f>
        <v/>
      </c>
      <c r="I216" s="520" t="str">
        <f>IF(E216="","",IF(ISNA(VLOOKUP($E216,'D-1 Off Site Habitat Baseline'!$D$1:$O$258,7,FALSE)),"",(VLOOKUP($E216,'D-1 Off Site Habitat Baseline'!$D$1:$O$258,7,FALSE))))</f>
        <v/>
      </c>
      <c r="J216" s="520" t="str">
        <f>IF(E216="","",IF(ISNA(VLOOKUP($E216,'D-1 Off Site Habitat Baseline'!$D$1:$O$258,8,FALSE)),"",(VLOOKUP($E216,'D-1 Off Site Habitat Baseline'!$D$1:$O$258,8,FALSE))))</f>
        <v/>
      </c>
      <c r="K216" s="520" t="str">
        <f>IF(E216="","",IF(ISNA(VLOOKUP($E216,'D-1 Off Site Habitat Baseline'!$D$1:$O$258,9,FALSE)),"",(VLOOKUP($E216,'D-1 Off Site Habitat Baseline'!$D$1:$O$258,9,FALSE))))</f>
        <v/>
      </c>
      <c r="L216" s="520" t="str">
        <f>IF(E216="","",IF(ISNA(VLOOKUP($E216,'D-1 Off Site Habitat Baseline'!$D$1:$O$258,11,FALSE)),"",(VLOOKUP($E216,'D-1 Off Site Habitat Baseline'!$D$1:$O$258,11,FALSE))))</f>
        <v/>
      </c>
      <c r="M216" s="520" t="str">
        <f>IF(E216="","",IF(ISNA(VLOOKUP($E216,'D-1 Off Site Habitat Baseline'!$D$1:$O$258,12,FALSE)),"",(VLOOKUP($E216,'D-1 Off Site Habitat Baseline'!$D$1:$O$258,12,FALSE))))</f>
        <v/>
      </c>
      <c r="N216" s="520" t="str">
        <f>IF(E216="","",IF(ISNA(VLOOKUP($E216,'D-1 Off Site Habitat Baseline'!$D$1:$X$258,14,FALSE)),"",(VLOOKUP($E216,'D-1 Off Site Habitat Baseline'!$D$1:$X$258,14,FALSE))))</f>
        <v/>
      </c>
      <c r="O216" s="524" t="str">
        <f>IF(E216="","",IF(ISNA(VLOOKUP($E216,'D-1 Off Site Habitat Baseline'!$D$1:$X$258,13,FALSE)),"",(VLOOKUP($E216,'D-1 Off Site Habitat Baseline'!$D$1:$X$258,13,FALSE))))</f>
        <v/>
      </c>
      <c r="P216" s="232" t="str">
        <f>IFERROR(INDEX('G-1 All Habitats'!$AG$3:$AG$15,MATCH(Q216,'G-1 All Habitats'!$AF$3:$AF$15,0)),"")</f>
        <v/>
      </c>
      <c r="Q216" s="228" t="str">
        <f t="shared" si="45"/>
        <v/>
      </c>
      <c r="R216" s="229" t="str">
        <f t="shared" si="46"/>
        <v/>
      </c>
      <c r="S216" s="233" t="str">
        <f>IFERROR(INDEX('G-1 All Habitats'!$B$3:$B$129,MATCH(R216,'G-1 All Habitats'!$A$3:$A$129,0)),"")</f>
        <v/>
      </c>
      <c r="T216" s="507" t="str">
        <f t="shared" si="38"/>
        <v/>
      </c>
      <c r="U216" s="524" t="str">
        <f t="shared" si="39"/>
        <v/>
      </c>
      <c r="V216" s="523" t="str">
        <f t="shared" si="36"/>
        <v/>
      </c>
      <c r="W216" s="520" t="str">
        <f>IF(S216="","",VLOOKUP(S216,'G-1 All Habitats'!$B$2:$M$129,10,FALSE))</f>
        <v/>
      </c>
      <c r="X216" s="520" t="str">
        <f>IFERROR(VLOOKUP(W216,'G-1 All Habitats'!$V$3:$W$7,2,FALSE),"")</f>
        <v/>
      </c>
      <c r="Y216" s="203"/>
      <c r="Z216" s="524" t="str">
        <f>IFERROR(INDEX('G-8 Condition Look up'!$A$3:$H$130,MATCH(S216,'G-8 Condition Look up'!$A$3:$A$130,0),MATCH(Y216,'G-8 Condition Look up'!$A$3:$H$3,0)),"")</f>
        <v/>
      </c>
      <c r="AA216" s="145"/>
      <c r="AB216" s="540" t="str">
        <f>IF(AA216="","",IF(VLOOKUP(AA216,'G-3 Multipliers'!$L$3:$N$6,2,FALSE)=0,"Spatial Data Missing ⚠",VLOOKUP(AA216,'G-3 Multipliers'!$L$3:$N$6,2,FALSE)))</f>
        <v/>
      </c>
      <c r="AC216" s="524" t="str">
        <f>IF(AA216="","",IF(VLOOKUP(AA216,'G-3 Multipliers'!$L$3:$N$6,3,FALSE)=0,"Spatial Data Missing ⚠",VLOOKUP(AA216,'G-3 Multipliers'!$L$3:$N$6,3,FALSE)))</f>
        <v/>
      </c>
      <c r="AD216" s="537" t="str">
        <f t="shared" si="37"/>
        <v/>
      </c>
      <c r="AE216" s="203"/>
      <c r="AF216" s="203"/>
      <c r="AG216" s="520" t="str">
        <f t="shared" si="40"/>
        <v/>
      </c>
      <c r="AH216" s="544" t="str">
        <f t="shared" si="41"/>
        <v/>
      </c>
      <c r="AI216" s="525" t="str">
        <f>IF(AH216="Check Data ⚠","Check Data ⚠",IFERROR(VLOOKUP(AH216,'G-4 Temporal multipliers'!$A$4:$C$36,3,FALSE),""))</f>
        <v/>
      </c>
      <c r="AJ216" s="537" t="str">
        <f>IF(S216="","",VLOOKUP(S216,'G-3 Multipliers'!$A$2:$E$129,4,FALSE))</f>
        <v/>
      </c>
      <c r="AK216" s="520" t="str">
        <f t="shared" si="42"/>
        <v/>
      </c>
      <c r="AL216" s="520" t="str">
        <f t="shared" si="43"/>
        <v/>
      </c>
      <c r="AM216" s="524" t="str">
        <f>IFERROR(IF(F216="","",IF(AH216="Check Data ⚠","Check Data ⚠",VLOOKUP(AL216, 'G-3 Multipliers'!$P$2:$Q$6,2,FALSE))),"")</f>
        <v/>
      </c>
      <c r="AN216" s="197"/>
      <c r="AO216" s="540" t="str">
        <f>IF(AN216="","",IF(VLOOKUP(AN216,'G-3 Multipliers'!$S$3:$T$9,2,FALSE)=0,"Spatial Data Missing ⚠",VLOOKUP(AN216,'G-3 Multipliers'!$S$3:$T$9,2,FALSE)))</f>
        <v/>
      </c>
      <c r="AP216" s="513" t="str">
        <f t="shared" si="44"/>
        <v/>
      </c>
      <c r="AQ216" s="231"/>
      <c r="AR216" s="150"/>
    </row>
    <row r="217" spans="1:44" x14ac:dyDescent="0.25">
      <c r="A217" s="31" t="str">
        <f>IF(E217="","",IF(ISNA(VLOOKUP($E217,'D-1 Off Site Habitat Baseline'!$D$1:$O$258,2,FALSE)),"",(VLOOKUP($E217,'D-1 Off Site Habitat Baseline'!$D$1:$O$258,2,FALSE))))</f>
        <v/>
      </c>
      <c r="B217" s="31" t="str">
        <f>IF(E217="","",IF(ISNA(VLOOKUP($E217,'D-1 Off Site Habitat Baseline'!$D$1:$O$258,3,FALSE)),"",(VLOOKUP($E217,'D-1 Off Site Habitat Baseline'!$D$1:$O$258,3,FALSE))))</f>
        <v/>
      </c>
      <c r="C217" s="31" t="str">
        <f>IFERROR(INDEX('G-8 Condition Look up'!$I$4:$I$130,MATCH(S217,'G-8 Condition Look up'!$A$4:$A$130,0)),"")</f>
        <v/>
      </c>
      <c r="E217" s="547" t="str">
        <f>'D-1 Off Site Habitat Baseline'!AL216</f>
        <v/>
      </c>
      <c r="F217" s="520" t="str">
        <f>IF(E217="","",IF(ISNA(VLOOKUP($E217,'D-1 Off Site Habitat Baseline'!$D$1:$O$258,4,FALSE)),"",(VLOOKUP($E217,'D-1 Off Site Habitat Baseline'!$D$1:$O$258,4,FALSE))))</f>
        <v/>
      </c>
      <c r="G217" s="520" t="str">
        <f>IF(E217="","",IF(ISNA(VLOOKUP($E217,'D-1 Off Site Habitat Baseline'!$D$1:$O$258,5,FALSE)),"",(VLOOKUP($E217,'D-1 Off Site Habitat Baseline'!$D$1:$O$258,5,FALSE))))</f>
        <v/>
      </c>
      <c r="H217" s="520" t="str">
        <f>IF(E217="","",IF(ISNA(VLOOKUP($E217,'D-1 Off Site Habitat Baseline'!$D$1:$O$258,6,FALSE)),"",(VLOOKUP($E217,'D-1 Off Site Habitat Baseline'!$D$1:$O$258,6,FALSE))))</f>
        <v/>
      </c>
      <c r="I217" s="520" t="str">
        <f>IF(E217="","",IF(ISNA(VLOOKUP($E217,'D-1 Off Site Habitat Baseline'!$D$1:$O$258,7,FALSE)),"",(VLOOKUP($E217,'D-1 Off Site Habitat Baseline'!$D$1:$O$258,7,FALSE))))</f>
        <v/>
      </c>
      <c r="J217" s="520" t="str">
        <f>IF(E217="","",IF(ISNA(VLOOKUP($E217,'D-1 Off Site Habitat Baseline'!$D$1:$O$258,8,FALSE)),"",(VLOOKUP($E217,'D-1 Off Site Habitat Baseline'!$D$1:$O$258,8,FALSE))))</f>
        <v/>
      </c>
      <c r="K217" s="520" t="str">
        <f>IF(E217="","",IF(ISNA(VLOOKUP($E217,'D-1 Off Site Habitat Baseline'!$D$1:$O$258,9,FALSE)),"",(VLOOKUP($E217,'D-1 Off Site Habitat Baseline'!$D$1:$O$258,9,FALSE))))</f>
        <v/>
      </c>
      <c r="L217" s="520" t="str">
        <f>IF(E217="","",IF(ISNA(VLOOKUP($E217,'D-1 Off Site Habitat Baseline'!$D$1:$O$258,11,FALSE)),"",(VLOOKUP($E217,'D-1 Off Site Habitat Baseline'!$D$1:$O$258,11,FALSE))))</f>
        <v/>
      </c>
      <c r="M217" s="520" t="str">
        <f>IF(E217="","",IF(ISNA(VLOOKUP($E217,'D-1 Off Site Habitat Baseline'!$D$1:$O$258,12,FALSE)),"",(VLOOKUP($E217,'D-1 Off Site Habitat Baseline'!$D$1:$O$258,12,FALSE))))</f>
        <v/>
      </c>
      <c r="N217" s="520" t="str">
        <f>IF(E217="","",IF(ISNA(VLOOKUP($E217,'D-1 Off Site Habitat Baseline'!$D$1:$X$258,14,FALSE)),"",(VLOOKUP($E217,'D-1 Off Site Habitat Baseline'!$D$1:$X$258,14,FALSE))))</f>
        <v/>
      </c>
      <c r="O217" s="524" t="str">
        <f>IF(E217="","",IF(ISNA(VLOOKUP($E217,'D-1 Off Site Habitat Baseline'!$D$1:$X$258,13,FALSE)),"",(VLOOKUP($E217,'D-1 Off Site Habitat Baseline'!$D$1:$X$258,13,FALSE))))</f>
        <v/>
      </c>
      <c r="P217" s="232" t="str">
        <f>IFERROR(INDEX('G-1 All Habitats'!$AG$3:$AG$15,MATCH(Q217,'G-1 All Habitats'!$AF$3:$AF$15,0)),"")</f>
        <v/>
      </c>
      <c r="Q217" s="228" t="str">
        <f t="shared" si="45"/>
        <v/>
      </c>
      <c r="R217" s="229" t="str">
        <f t="shared" si="46"/>
        <v/>
      </c>
      <c r="S217" s="233" t="str">
        <f>IFERROR(INDEX('G-1 All Habitats'!$B$3:$B$129,MATCH(R217,'G-1 All Habitats'!$A$3:$A$129,0)),"")</f>
        <v/>
      </c>
      <c r="T217" s="507" t="str">
        <f t="shared" si="38"/>
        <v/>
      </c>
      <c r="U217" s="524" t="str">
        <f t="shared" si="39"/>
        <v/>
      </c>
      <c r="V217" s="523" t="str">
        <f t="shared" si="36"/>
        <v/>
      </c>
      <c r="W217" s="520" t="str">
        <f>IF(S217="","",VLOOKUP(S217,'G-1 All Habitats'!$B$2:$M$129,10,FALSE))</f>
        <v/>
      </c>
      <c r="X217" s="520" t="str">
        <f>IFERROR(VLOOKUP(W217,'G-1 All Habitats'!$V$3:$W$7,2,FALSE),"")</f>
        <v/>
      </c>
      <c r="Y217" s="203"/>
      <c r="Z217" s="524" t="str">
        <f>IFERROR(INDEX('G-8 Condition Look up'!$A$3:$H$130,MATCH(S217,'G-8 Condition Look up'!$A$3:$A$130,0),MATCH(Y217,'G-8 Condition Look up'!$A$3:$H$3,0)),"")</f>
        <v/>
      </c>
      <c r="AA217" s="145"/>
      <c r="AB217" s="540" t="str">
        <f>IF(AA217="","",IF(VLOOKUP(AA217,'G-3 Multipliers'!$L$3:$N$6,2,FALSE)=0,"Spatial Data Missing ⚠",VLOOKUP(AA217,'G-3 Multipliers'!$L$3:$N$6,2,FALSE)))</f>
        <v/>
      </c>
      <c r="AC217" s="524" t="str">
        <f>IF(AA217="","",IF(VLOOKUP(AA217,'G-3 Multipliers'!$L$3:$N$6,3,FALSE)=0,"Spatial Data Missing ⚠",VLOOKUP(AA217,'G-3 Multipliers'!$L$3:$N$6,3,FALSE)))</f>
        <v/>
      </c>
      <c r="AD217" s="537" t="str">
        <f t="shared" si="37"/>
        <v/>
      </c>
      <c r="AE217" s="203"/>
      <c r="AF217" s="203"/>
      <c r="AG217" s="520" t="str">
        <f t="shared" si="40"/>
        <v/>
      </c>
      <c r="AH217" s="544" t="str">
        <f t="shared" si="41"/>
        <v/>
      </c>
      <c r="AI217" s="525" t="str">
        <f>IF(AH217="Check Data ⚠","Check Data ⚠",IFERROR(VLOOKUP(AH217,'G-4 Temporal multipliers'!$A$4:$C$36,3,FALSE),""))</f>
        <v/>
      </c>
      <c r="AJ217" s="537" t="str">
        <f>IF(S217="","",VLOOKUP(S217,'G-3 Multipliers'!$A$2:$E$129,4,FALSE))</f>
        <v/>
      </c>
      <c r="AK217" s="520" t="str">
        <f t="shared" si="42"/>
        <v/>
      </c>
      <c r="AL217" s="520" t="str">
        <f t="shared" si="43"/>
        <v/>
      </c>
      <c r="AM217" s="524" t="str">
        <f>IFERROR(IF(F217="","",IF(AH217="Check Data ⚠","Check Data ⚠",VLOOKUP(AL217, 'G-3 Multipliers'!$P$2:$Q$6,2,FALSE))),"")</f>
        <v/>
      </c>
      <c r="AN217" s="197"/>
      <c r="AO217" s="540" t="str">
        <f>IF(AN217="","",IF(VLOOKUP(AN217,'G-3 Multipliers'!$S$3:$T$9,2,FALSE)=0,"Spatial Data Missing ⚠",VLOOKUP(AN217,'G-3 Multipliers'!$S$3:$T$9,2,FALSE)))</f>
        <v/>
      </c>
      <c r="AP217" s="513" t="str">
        <f t="shared" si="44"/>
        <v/>
      </c>
      <c r="AQ217" s="231"/>
      <c r="AR217" s="150"/>
    </row>
    <row r="218" spans="1:44" x14ac:dyDescent="0.25">
      <c r="A218" s="31" t="str">
        <f>IF(E218="","",IF(ISNA(VLOOKUP($E218,'D-1 Off Site Habitat Baseline'!$D$1:$O$258,2,FALSE)),"",(VLOOKUP($E218,'D-1 Off Site Habitat Baseline'!$D$1:$O$258,2,FALSE))))</f>
        <v/>
      </c>
      <c r="B218" s="31" t="str">
        <f>IF(E218="","",IF(ISNA(VLOOKUP($E218,'D-1 Off Site Habitat Baseline'!$D$1:$O$258,3,FALSE)),"",(VLOOKUP($E218,'D-1 Off Site Habitat Baseline'!$D$1:$O$258,3,FALSE))))</f>
        <v/>
      </c>
      <c r="C218" s="31" t="str">
        <f>IFERROR(INDEX('G-8 Condition Look up'!$I$4:$I$130,MATCH(S218,'G-8 Condition Look up'!$A$4:$A$130,0)),"")</f>
        <v/>
      </c>
      <c r="E218" s="547" t="str">
        <f>'D-1 Off Site Habitat Baseline'!AL217</f>
        <v/>
      </c>
      <c r="F218" s="520" t="str">
        <f>IF(E218="","",IF(ISNA(VLOOKUP($E218,'D-1 Off Site Habitat Baseline'!$D$1:$O$258,4,FALSE)),"",(VLOOKUP($E218,'D-1 Off Site Habitat Baseline'!$D$1:$O$258,4,FALSE))))</f>
        <v/>
      </c>
      <c r="G218" s="520" t="str">
        <f>IF(E218="","",IF(ISNA(VLOOKUP($E218,'D-1 Off Site Habitat Baseline'!$D$1:$O$258,5,FALSE)),"",(VLOOKUP($E218,'D-1 Off Site Habitat Baseline'!$D$1:$O$258,5,FALSE))))</f>
        <v/>
      </c>
      <c r="H218" s="520" t="str">
        <f>IF(E218="","",IF(ISNA(VLOOKUP($E218,'D-1 Off Site Habitat Baseline'!$D$1:$O$258,6,FALSE)),"",(VLOOKUP($E218,'D-1 Off Site Habitat Baseline'!$D$1:$O$258,6,FALSE))))</f>
        <v/>
      </c>
      <c r="I218" s="520" t="str">
        <f>IF(E218="","",IF(ISNA(VLOOKUP($E218,'D-1 Off Site Habitat Baseline'!$D$1:$O$258,7,FALSE)),"",(VLOOKUP($E218,'D-1 Off Site Habitat Baseline'!$D$1:$O$258,7,FALSE))))</f>
        <v/>
      </c>
      <c r="J218" s="520" t="str">
        <f>IF(E218="","",IF(ISNA(VLOOKUP($E218,'D-1 Off Site Habitat Baseline'!$D$1:$O$258,8,FALSE)),"",(VLOOKUP($E218,'D-1 Off Site Habitat Baseline'!$D$1:$O$258,8,FALSE))))</f>
        <v/>
      </c>
      <c r="K218" s="520" t="str">
        <f>IF(E218="","",IF(ISNA(VLOOKUP($E218,'D-1 Off Site Habitat Baseline'!$D$1:$O$258,9,FALSE)),"",(VLOOKUP($E218,'D-1 Off Site Habitat Baseline'!$D$1:$O$258,9,FALSE))))</f>
        <v/>
      </c>
      <c r="L218" s="520" t="str">
        <f>IF(E218="","",IF(ISNA(VLOOKUP($E218,'D-1 Off Site Habitat Baseline'!$D$1:$O$258,11,FALSE)),"",(VLOOKUP($E218,'D-1 Off Site Habitat Baseline'!$D$1:$O$258,11,FALSE))))</f>
        <v/>
      </c>
      <c r="M218" s="520" t="str">
        <f>IF(E218="","",IF(ISNA(VLOOKUP($E218,'D-1 Off Site Habitat Baseline'!$D$1:$O$258,12,FALSE)),"",(VLOOKUP($E218,'D-1 Off Site Habitat Baseline'!$D$1:$O$258,12,FALSE))))</f>
        <v/>
      </c>
      <c r="N218" s="520" t="str">
        <f>IF(E218="","",IF(ISNA(VLOOKUP($E218,'D-1 Off Site Habitat Baseline'!$D$1:$X$258,14,FALSE)),"",(VLOOKUP($E218,'D-1 Off Site Habitat Baseline'!$D$1:$X$258,14,FALSE))))</f>
        <v/>
      </c>
      <c r="O218" s="524" t="str">
        <f>IF(E218="","",IF(ISNA(VLOOKUP($E218,'D-1 Off Site Habitat Baseline'!$D$1:$X$258,13,FALSE)),"",(VLOOKUP($E218,'D-1 Off Site Habitat Baseline'!$D$1:$X$258,13,FALSE))))</f>
        <v/>
      </c>
      <c r="P218" s="232" t="str">
        <f>IFERROR(INDEX('G-1 All Habitats'!$AG$3:$AG$15,MATCH(Q218,'G-1 All Habitats'!$AF$3:$AF$15,0)),"")</f>
        <v/>
      </c>
      <c r="Q218" s="228" t="str">
        <f t="shared" si="45"/>
        <v/>
      </c>
      <c r="R218" s="229" t="str">
        <f t="shared" si="46"/>
        <v/>
      </c>
      <c r="S218" s="233" t="str">
        <f>IFERROR(INDEX('G-1 All Habitats'!$B$3:$B$129,MATCH(R218,'G-1 All Habitats'!$A$3:$A$129,0)),"")</f>
        <v/>
      </c>
      <c r="T218" s="507" t="str">
        <f t="shared" si="38"/>
        <v/>
      </c>
      <c r="U218" s="524" t="str">
        <f t="shared" si="39"/>
        <v/>
      </c>
      <c r="V218" s="523" t="str">
        <f t="shared" si="36"/>
        <v/>
      </c>
      <c r="W218" s="520" t="str">
        <f>IF(S218="","",VLOOKUP(S218,'G-1 All Habitats'!$B$2:$M$129,10,FALSE))</f>
        <v/>
      </c>
      <c r="X218" s="520" t="str">
        <f>IFERROR(VLOOKUP(W218,'G-1 All Habitats'!$V$3:$W$7,2,FALSE),"")</f>
        <v/>
      </c>
      <c r="Y218" s="203"/>
      <c r="Z218" s="524" t="str">
        <f>IFERROR(INDEX('G-8 Condition Look up'!$A$3:$H$130,MATCH(S218,'G-8 Condition Look up'!$A$3:$A$130,0),MATCH(Y218,'G-8 Condition Look up'!$A$3:$H$3,0)),"")</f>
        <v/>
      </c>
      <c r="AA218" s="145"/>
      <c r="AB218" s="540" t="str">
        <f>IF(AA218="","",IF(VLOOKUP(AA218,'G-3 Multipliers'!$L$3:$N$6,2,FALSE)=0,"Spatial Data Missing ⚠",VLOOKUP(AA218,'G-3 Multipliers'!$L$3:$N$6,2,FALSE)))</f>
        <v/>
      </c>
      <c r="AC218" s="524" t="str">
        <f>IF(AA218="","",IF(VLOOKUP(AA218,'G-3 Multipliers'!$L$3:$N$6,3,FALSE)=0,"Spatial Data Missing ⚠",VLOOKUP(AA218,'G-3 Multipliers'!$L$3:$N$6,3,FALSE)))</f>
        <v/>
      </c>
      <c r="AD218" s="537" t="str">
        <f t="shared" si="37"/>
        <v/>
      </c>
      <c r="AE218" s="203"/>
      <c r="AF218" s="203"/>
      <c r="AG218" s="520" t="str">
        <f t="shared" si="40"/>
        <v/>
      </c>
      <c r="AH218" s="544" t="str">
        <f t="shared" si="41"/>
        <v/>
      </c>
      <c r="AI218" s="525" t="str">
        <f>IF(AH218="Check Data ⚠","Check Data ⚠",IFERROR(VLOOKUP(AH218,'G-4 Temporal multipliers'!$A$4:$C$36,3,FALSE),""))</f>
        <v/>
      </c>
      <c r="AJ218" s="537" t="str">
        <f>IF(S218="","",VLOOKUP(S218,'G-3 Multipliers'!$A$2:$E$129,4,FALSE))</f>
        <v/>
      </c>
      <c r="AK218" s="520" t="str">
        <f t="shared" si="42"/>
        <v/>
      </c>
      <c r="AL218" s="520" t="str">
        <f t="shared" si="43"/>
        <v/>
      </c>
      <c r="AM218" s="524" t="str">
        <f>IFERROR(IF(F218="","",IF(AH218="Check Data ⚠","Check Data ⚠",VLOOKUP(AL218, 'G-3 Multipliers'!$P$2:$Q$6,2,FALSE))),"")</f>
        <v/>
      </c>
      <c r="AN218" s="197"/>
      <c r="AO218" s="540" t="str">
        <f>IF(AN218="","",IF(VLOOKUP(AN218,'G-3 Multipliers'!$S$3:$T$9,2,FALSE)=0,"Spatial Data Missing ⚠",VLOOKUP(AN218,'G-3 Multipliers'!$S$3:$T$9,2,FALSE)))</f>
        <v/>
      </c>
      <c r="AP218" s="513" t="str">
        <f t="shared" si="44"/>
        <v/>
      </c>
      <c r="AQ218" s="231"/>
      <c r="AR218" s="150"/>
    </row>
    <row r="219" spans="1:44" x14ac:dyDescent="0.25">
      <c r="A219" s="31" t="str">
        <f>IF(E219="","",IF(ISNA(VLOOKUP($E219,'D-1 Off Site Habitat Baseline'!$D$1:$O$258,2,FALSE)),"",(VLOOKUP($E219,'D-1 Off Site Habitat Baseline'!$D$1:$O$258,2,FALSE))))</f>
        <v/>
      </c>
      <c r="B219" s="31" t="str">
        <f>IF(E219="","",IF(ISNA(VLOOKUP($E219,'D-1 Off Site Habitat Baseline'!$D$1:$O$258,3,FALSE)),"",(VLOOKUP($E219,'D-1 Off Site Habitat Baseline'!$D$1:$O$258,3,FALSE))))</f>
        <v/>
      </c>
      <c r="C219" s="31" t="str">
        <f>IFERROR(INDEX('G-8 Condition Look up'!$I$4:$I$130,MATCH(S219,'G-8 Condition Look up'!$A$4:$A$130,0)),"")</f>
        <v/>
      </c>
      <c r="E219" s="547" t="str">
        <f>'D-1 Off Site Habitat Baseline'!AL218</f>
        <v/>
      </c>
      <c r="F219" s="520" t="str">
        <f>IF(E219="","",IF(ISNA(VLOOKUP($E219,'D-1 Off Site Habitat Baseline'!$D$1:$O$258,4,FALSE)),"",(VLOOKUP($E219,'D-1 Off Site Habitat Baseline'!$D$1:$O$258,4,FALSE))))</f>
        <v/>
      </c>
      <c r="G219" s="520" t="str">
        <f>IF(E219="","",IF(ISNA(VLOOKUP($E219,'D-1 Off Site Habitat Baseline'!$D$1:$O$258,5,FALSE)),"",(VLOOKUP($E219,'D-1 Off Site Habitat Baseline'!$D$1:$O$258,5,FALSE))))</f>
        <v/>
      </c>
      <c r="H219" s="520" t="str">
        <f>IF(E219="","",IF(ISNA(VLOOKUP($E219,'D-1 Off Site Habitat Baseline'!$D$1:$O$258,6,FALSE)),"",(VLOOKUP($E219,'D-1 Off Site Habitat Baseline'!$D$1:$O$258,6,FALSE))))</f>
        <v/>
      </c>
      <c r="I219" s="520" t="str">
        <f>IF(E219="","",IF(ISNA(VLOOKUP($E219,'D-1 Off Site Habitat Baseline'!$D$1:$O$258,7,FALSE)),"",(VLOOKUP($E219,'D-1 Off Site Habitat Baseline'!$D$1:$O$258,7,FALSE))))</f>
        <v/>
      </c>
      <c r="J219" s="520" t="str">
        <f>IF(E219="","",IF(ISNA(VLOOKUP($E219,'D-1 Off Site Habitat Baseline'!$D$1:$O$258,8,FALSE)),"",(VLOOKUP($E219,'D-1 Off Site Habitat Baseline'!$D$1:$O$258,8,FALSE))))</f>
        <v/>
      </c>
      <c r="K219" s="520" t="str">
        <f>IF(E219="","",IF(ISNA(VLOOKUP($E219,'D-1 Off Site Habitat Baseline'!$D$1:$O$258,9,FALSE)),"",(VLOOKUP($E219,'D-1 Off Site Habitat Baseline'!$D$1:$O$258,9,FALSE))))</f>
        <v/>
      </c>
      <c r="L219" s="520" t="str">
        <f>IF(E219="","",IF(ISNA(VLOOKUP($E219,'D-1 Off Site Habitat Baseline'!$D$1:$O$258,11,FALSE)),"",(VLOOKUP($E219,'D-1 Off Site Habitat Baseline'!$D$1:$O$258,11,FALSE))))</f>
        <v/>
      </c>
      <c r="M219" s="520" t="str">
        <f>IF(E219="","",IF(ISNA(VLOOKUP($E219,'D-1 Off Site Habitat Baseline'!$D$1:$O$258,12,FALSE)),"",(VLOOKUP($E219,'D-1 Off Site Habitat Baseline'!$D$1:$O$258,12,FALSE))))</f>
        <v/>
      </c>
      <c r="N219" s="520" t="str">
        <f>IF(E219="","",IF(ISNA(VLOOKUP($E219,'D-1 Off Site Habitat Baseline'!$D$1:$X$258,14,FALSE)),"",(VLOOKUP($E219,'D-1 Off Site Habitat Baseline'!$D$1:$X$258,14,FALSE))))</f>
        <v/>
      </c>
      <c r="O219" s="524" t="str">
        <f>IF(E219="","",IF(ISNA(VLOOKUP($E219,'D-1 Off Site Habitat Baseline'!$D$1:$X$258,13,FALSE)),"",(VLOOKUP($E219,'D-1 Off Site Habitat Baseline'!$D$1:$X$258,13,FALSE))))</f>
        <v/>
      </c>
      <c r="P219" s="232" t="str">
        <f>IFERROR(INDEX('G-1 All Habitats'!$AG$3:$AG$15,MATCH(Q219,'G-1 All Habitats'!$AF$3:$AF$15,0)),"")</f>
        <v/>
      </c>
      <c r="Q219" s="228" t="str">
        <f t="shared" si="45"/>
        <v/>
      </c>
      <c r="R219" s="229" t="str">
        <f t="shared" si="46"/>
        <v/>
      </c>
      <c r="S219" s="233" t="str">
        <f>IFERROR(INDEX('G-1 All Habitats'!$B$3:$B$129,MATCH(R219,'G-1 All Habitats'!$A$3:$A$129,0)),"")</f>
        <v/>
      </c>
      <c r="T219" s="507" t="str">
        <f t="shared" si="38"/>
        <v/>
      </c>
      <c r="U219" s="524" t="str">
        <f t="shared" si="39"/>
        <v/>
      </c>
      <c r="V219" s="523" t="str">
        <f t="shared" si="36"/>
        <v/>
      </c>
      <c r="W219" s="520" t="str">
        <f>IF(S219="","",VLOOKUP(S219,'G-1 All Habitats'!$B$2:$M$129,10,FALSE))</f>
        <v/>
      </c>
      <c r="X219" s="520" t="str">
        <f>IFERROR(VLOOKUP(W219,'G-1 All Habitats'!$V$3:$W$7,2,FALSE),"")</f>
        <v/>
      </c>
      <c r="Y219" s="203"/>
      <c r="Z219" s="524" t="str">
        <f>IFERROR(INDEX('G-8 Condition Look up'!$A$3:$H$130,MATCH(S219,'G-8 Condition Look up'!$A$3:$A$130,0),MATCH(Y219,'G-8 Condition Look up'!$A$3:$H$3,0)),"")</f>
        <v/>
      </c>
      <c r="AA219" s="145"/>
      <c r="AB219" s="540" t="str">
        <f>IF(AA219="","",IF(VLOOKUP(AA219,'G-3 Multipliers'!$L$3:$N$6,2,FALSE)=0,"Spatial Data Missing ⚠",VLOOKUP(AA219,'G-3 Multipliers'!$L$3:$N$6,2,FALSE)))</f>
        <v/>
      </c>
      <c r="AC219" s="524" t="str">
        <f>IF(AA219="","",IF(VLOOKUP(AA219,'G-3 Multipliers'!$L$3:$N$6,3,FALSE)=0,"Spatial Data Missing ⚠",VLOOKUP(AA219,'G-3 Multipliers'!$L$3:$N$6,3,FALSE)))</f>
        <v/>
      </c>
      <c r="AD219" s="537" t="str">
        <f t="shared" si="37"/>
        <v/>
      </c>
      <c r="AE219" s="203"/>
      <c r="AF219" s="203"/>
      <c r="AG219" s="520" t="str">
        <f t="shared" si="40"/>
        <v/>
      </c>
      <c r="AH219" s="544" t="str">
        <f t="shared" si="41"/>
        <v/>
      </c>
      <c r="AI219" s="525" t="str">
        <f>IF(AH219="Check Data ⚠","Check Data ⚠",IFERROR(VLOOKUP(AH219,'G-4 Temporal multipliers'!$A$4:$C$36,3,FALSE),""))</f>
        <v/>
      </c>
      <c r="AJ219" s="537" t="str">
        <f>IF(S219="","",VLOOKUP(S219,'G-3 Multipliers'!$A$2:$E$129,4,FALSE))</f>
        <v/>
      </c>
      <c r="AK219" s="520" t="str">
        <f t="shared" si="42"/>
        <v/>
      </c>
      <c r="AL219" s="520" t="str">
        <f t="shared" si="43"/>
        <v/>
      </c>
      <c r="AM219" s="524" t="str">
        <f>IFERROR(IF(F219="","",IF(AH219="Check Data ⚠","Check Data ⚠",VLOOKUP(AL219, 'G-3 Multipliers'!$P$2:$Q$6,2,FALSE))),"")</f>
        <v/>
      </c>
      <c r="AN219" s="197"/>
      <c r="AO219" s="540" t="str">
        <f>IF(AN219="","",IF(VLOOKUP(AN219,'G-3 Multipliers'!$S$3:$T$9,2,FALSE)=0,"Spatial Data Missing ⚠",VLOOKUP(AN219,'G-3 Multipliers'!$S$3:$T$9,2,FALSE)))</f>
        <v/>
      </c>
      <c r="AP219" s="513" t="str">
        <f t="shared" si="44"/>
        <v/>
      </c>
      <c r="AQ219" s="231"/>
      <c r="AR219" s="150"/>
    </row>
    <row r="220" spans="1:44" x14ac:dyDescent="0.25">
      <c r="A220" s="31" t="str">
        <f>IF(E220="","",IF(ISNA(VLOOKUP($E220,'D-1 Off Site Habitat Baseline'!$D$1:$O$258,2,FALSE)),"",(VLOOKUP($E220,'D-1 Off Site Habitat Baseline'!$D$1:$O$258,2,FALSE))))</f>
        <v/>
      </c>
      <c r="B220" s="31" t="str">
        <f>IF(E220="","",IF(ISNA(VLOOKUP($E220,'D-1 Off Site Habitat Baseline'!$D$1:$O$258,3,FALSE)),"",(VLOOKUP($E220,'D-1 Off Site Habitat Baseline'!$D$1:$O$258,3,FALSE))))</f>
        <v/>
      </c>
      <c r="C220" s="31" t="str">
        <f>IFERROR(INDEX('G-8 Condition Look up'!$I$4:$I$130,MATCH(S220,'G-8 Condition Look up'!$A$4:$A$130,0)),"")</f>
        <v/>
      </c>
      <c r="E220" s="547" t="str">
        <f>'D-1 Off Site Habitat Baseline'!AL219</f>
        <v/>
      </c>
      <c r="F220" s="520" t="str">
        <f>IF(E220="","",IF(ISNA(VLOOKUP($E220,'D-1 Off Site Habitat Baseline'!$D$1:$O$258,4,FALSE)),"",(VLOOKUP($E220,'D-1 Off Site Habitat Baseline'!$D$1:$O$258,4,FALSE))))</f>
        <v/>
      </c>
      <c r="G220" s="520" t="str">
        <f>IF(E220="","",IF(ISNA(VLOOKUP($E220,'D-1 Off Site Habitat Baseline'!$D$1:$O$258,5,FALSE)),"",(VLOOKUP($E220,'D-1 Off Site Habitat Baseline'!$D$1:$O$258,5,FALSE))))</f>
        <v/>
      </c>
      <c r="H220" s="520" t="str">
        <f>IF(E220="","",IF(ISNA(VLOOKUP($E220,'D-1 Off Site Habitat Baseline'!$D$1:$O$258,6,FALSE)),"",(VLOOKUP($E220,'D-1 Off Site Habitat Baseline'!$D$1:$O$258,6,FALSE))))</f>
        <v/>
      </c>
      <c r="I220" s="520" t="str">
        <f>IF(E220="","",IF(ISNA(VLOOKUP($E220,'D-1 Off Site Habitat Baseline'!$D$1:$O$258,7,FALSE)),"",(VLOOKUP($E220,'D-1 Off Site Habitat Baseline'!$D$1:$O$258,7,FALSE))))</f>
        <v/>
      </c>
      <c r="J220" s="520" t="str">
        <f>IF(E220="","",IF(ISNA(VLOOKUP($E220,'D-1 Off Site Habitat Baseline'!$D$1:$O$258,8,FALSE)),"",(VLOOKUP($E220,'D-1 Off Site Habitat Baseline'!$D$1:$O$258,8,FALSE))))</f>
        <v/>
      </c>
      <c r="K220" s="520" t="str">
        <f>IF(E220="","",IF(ISNA(VLOOKUP($E220,'D-1 Off Site Habitat Baseline'!$D$1:$O$258,9,FALSE)),"",(VLOOKUP($E220,'D-1 Off Site Habitat Baseline'!$D$1:$O$258,9,FALSE))))</f>
        <v/>
      </c>
      <c r="L220" s="520" t="str">
        <f>IF(E220="","",IF(ISNA(VLOOKUP($E220,'D-1 Off Site Habitat Baseline'!$D$1:$O$258,11,FALSE)),"",(VLOOKUP($E220,'D-1 Off Site Habitat Baseline'!$D$1:$O$258,11,FALSE))))</f>
        <v/>
      </c>
      <c r="M220" s="520" t="str">
        <f>IF(E220="","",IF(ISNA(VLOOKUP($E220,'D-1 Off Site Habitat Baseline'!$D$1:$O$258,12,FALSE)),"",(VLOOKUP($E220,'D-1 Off Site Habitat Baseline'!$D$1:$O$258,12,FALSE))))</f>
        <v/>
      </c>
      <c r="N220" s="520" t="str">
        <f>IF(E220="","",IF(ISNA(VLOOKUP($E220,'D-1 Off Site Habitat Baseline'!$D$1:$X$258,14,FALSE)),"",(VLOOKUP($E220,'D-1 Off Site Habitat Baseline'!$D$1:$X$258,14,FALSE))))</f>
        <v/>
      </c>
      <c r="O220" s="524" t="str">
        <f>IF(E220="","",IF(ISNA(VLOOKUP($E220,'D-1 Off Site Habitat Baseline'!$D$1:$X$258,13,FALSE)),"",(VLOOKUP($E220,'D-1 Off Site Habitat Baseline'!$D$1:$X$258,13,FALSE))))</f>
        <v/>
      </c>
      <c r="P220" s="232" t="str">
        <f>IFERROR(INDEX('G-1 All Habitats'!$AG$3:$AG$15,MATCH(Q220,'G-1 All Habitats'!$AF$3:$AF$15,0)),"")</f>
        <v/>
      </c>
      <c r="Q220" s="228" t="str">
        <f t="shared" si="45"/>
        <v/>
      </c>
      <c r="R220" s="229" t="str">
        <f t="shared" si="46"/>
        <v/>
      </c>
      <c r="S220" s="233" t="str">
        <f>IFERROR(INDEX('G-1 All Habitats'!$B$3:$B$129,MATCH(R220,'G-1 All Habitats'!$A$3:$A$129,0)),"")</f>
        <v/>
      </c>
      <c r="T220" s="507" t="str">
        <f t="shared" si="38"/>
        <v/>
      </c>
      <c r="U220" s="524" t="str">
        <f t="shared" si="39"/>
        <v/>
      </c>
      <c r="V220" s="523" t="str">
        <f t="shared" si="36"/>
        <v/>
      </c>
      <c r="W220" s="520" t="str">
        <f>IF(S220="","",VLOOKUP(S220,'G-1 All Habitats'!$B$2:$M$129,10,FALSE))</f>
        <v/>
      </c>
      <c r="X220" s="520" t="str">
        <f>IFERROR(VLOOKUP(W220,'G-1 All Habitats'!$V$3:$W$7,2,FALSE),"")</f>
        <v/>
      </c>
      <c r="Y220" s="203"/>
      <c r="Z220" s="524" t="str">
        <f>IFERROR(INDEX('G-8 Condition Look up'!$A$3:$H$130,MATCH(S220,'G-8 Condition Look up'!$A$3:$A$130,0),MATCH(Y220,'G-8 Condition Look up'!$A$3:$H$3,0)),"")</f>
        <v/>
      </c>
      <c r="AA220" s="145"/>
      <c r="AB220" s="540" t="str">
        <f>IF(AA220="","",IF(VLOOKUP(AA220,'G-3 Multipliers'!$L$3:$N$6,2,FALSE)=0,"Spatial Data Missing ⚠",VLOOKUP(AA220,'G-3 Multipliers'!$L$3:$N$6,2,FALSE)))</f>
        <v/>
      </c>
      <c r="AC220" s="524" t="str">
        <f>IF(AA220="","",IF(VLOOKUP(AA220,'G-3 Multipliers'!$L$3:$N$6,3,FALSE)=0,"Spatial Data Missing ⚠",VLOOKUP(AA220,'G-3 Multipliers'!$L$3:$N$6,3,FALSE)))</f>
        <v/>
      </c>
      <c r="AD220" s="537" t="str">
        <f t="shared" si="37"/>
        <v/>
      </c>
      <c r="AE220" s="203"/>
      <c r="AF220" s="203"/>
      <c r="AG220" s="520" t="str">
        <f t="shared" si="40"/>
        <v/>
      </c>
      <c r="AH220" s="544" t="str">
        <f t="shared" si="41"/>
        <v/>
      </c>
      <c r="AI220" s="525" t="str">
        <f>IF(AH220="Check Data ⚠","Check Data ⚠",IFERROR(VLOOKUP(AH220,'G-4 Temporal multipliers'!$A$4:$C$36,3,FALSE),""))</f>
        <v/>
      </c>
      <c r="AJ220" s="537" t="str">
        <f>IF(S220="","",VLOOKUP(S220,'G-3 Multipliers'!$A$2:$E$129,4,FALSE))</f>
        <v/>
      </c>
      <c r="AK220" s="520" t="str">
        <f t="shared" si="42"/>
        <v/>
      </c>
      <c r="AL220" s="520" t="str">
        <f t="shared" si="43"/>
        <v/>
      </c>
      <c r="AM220" s="524" t="str">
        <f>IFERROR(IF(F220="","",IF(AH220="Check Data ⚠","Check Data ⚠",VLOOKUP(AL220, 'G-3 Multipliers'!$P$2:$Q$6,2,FALSE))),"")</f>
        <v/>
      </c>
      <c r="AN220" s="197"/>
      <c r="AO220" s="540" t="str">
        <f>IF(AN220="","",IF(VLOOKUP(AN220,'G-3 Multipliers'!$S$3:$T$9,2,FALSE)=0,"Spatial Data Missing ⚠",VLOOKUP(AN220,'G-3 Multipliers'!$S$3:$T$9,2,FALSE)))</f>
        <v/>
      </c>
      <c r="AP220" s="513" t="str">
        <f t="shared" si="44"/>
        <v/>
      </c>
      <c r="AQ220" s="231"/>
      <c r="AR220" s="150"/>
    </row>
    <row r="221" spans="1:44" x14ac:dyDescent="0.25">
      <c r="A221" s="31" t="str">
        <f>IF(E221="","",IF(ISNA(VLOOKUP($E221,'D-1 Off Site Habitat Baseline'!$D$1:$O$258,2,FALSE)),"",(VLOOKUP($E221,'D-1 Off Site Habitat Baseline'!$D$1:$O$258,2,FALSE))))</f>
        <v/>
      </c>
      <c r="B221" s="31" t="str">
        <f>IF(E221="","",IF(ISNA(VLOOKUP($E221,'D-1 Off Site Habitat Baseline'!$D$1:$O$258,3,FALSE)),"",(VLOOKUP($E221,'D-1 Off Site Habitat Baseline'!$D$1:$O$258,3,FALSE))))</f>
        <v/>
      </c>
      <c r="C221" s="31" t="str">
        <f>IFERROR(INDEX('G-8 Condition Look up'!$I$4:$I$130,MATCH(S221,'G-8 Condition Look up'!$A$4:$A$130,0)),"")</f>
        <v/>
      </c>
      <c r="E221" s="547" t="str">
        <f>'D-1 Off Site Habitat Baseline'!AL220</f>
        <v/>
      </c>
      <c r="F221" s="520" t="str">
        <f>IF(E221="","",IF(ISNA(VLOOKUP($E221,'D-1 Off Site Habitat Baseline'!$D$1:$O$258,4,FALSE)),"",(VLOOKUP($E221,'D-1 Off Site Habitat Baseline'!$D$1:$O$258,4,FALSE))))</f>
        <v/>
      </c>
      <c r="G221" s="520" t="str">
        <f>IF(E221="","",IF(ISNA(VLOOKUP($E221,'D-1 Off Site Habitat Baseline'!$D$1:$O$258,5,FALSE)),"",(VLOOKUP($E221,'D-1 Off Site Habitat Baseline'!$D$1:$O$258,5,FALSE))))</f>
        <v/>
      </c>
      <c r="H221" s="520" t="str">
        <f>IF(E221="","",IF(ISNA(VLOOKUP($E221,'D-1 Off Site Habitat Baseline'!$D$1:$O$258,6,FALSE)),"",(VLOOKUP($E221,'D-1 Off Site Habitat Baseline'!$D$1:$O$258,6,FALSE))))</f>
        <v/>
      </c>
      <c r="I221" s="520" t="str">
        <f>IF(E221="","",IF(ISNA(VLOOKUP($E221,'D-1 Off Site Habitat Baseline'!$D$1:$O$258,7,FALSE)),"",(VLOOKUP($E221,'D-1 Off Site Habitat Baseline'!$D$1:$O$258,7,FALSE))))</f>
        <v/>
      </c>
      <c r="J221" s="520" t="str">
        <f>IF(E221="","",IF(ISNA(VLOOKUP($E221,'D-1 Off Site Habitat Baseline'!$D$1:$O$258,8,FALSE)),"",(VLOOKUP($E221,'D-1 Off Site Habitat Baseline'!$D$1:$O$258,8,FALSE))))</f>
        <v/>
      </c>
      <c r="K221" s="520" t="str">
        <f>IF(E221="","",IF(ISNA(VLOOKUP($E221,'D-1 Off Site Habitat Baseline'!$D$1:$O$258,9,FALSE)),"",(VLOOKUP($E221,'D-1 Off Site Habitat Baseline'!$D$1:$O$258,9,FALSE))))</f>
        <v/>
      </c>
      <c r="L221" s="520" t="str">
        <f>IF(E221="","",IF(ISNA(VLOOKUP($E221,'D-1 Off Site Habitat Baseline'!$D$1:$O$258,11,FALSE)),"",(VLOOKUP($E221,'D-1 Off Site Habitat Baseline'!$D$1:$O$258,11,FALSE))))</f>
        <v/>
      </c>
      <c r="M221" s="520" t="str">
        <f>IF(E221="","",IF(ISNA(VLOOKUP($E221,'D-1 Off Site Habitat Baseline'!$D$1:$O$258,12,FALSE)),"",(VLOOKUP($E221,'D-1 Off Site Habitat Baseline'!$D$1:$O$258,12,FALSE))))</f>
        <v/>
      </c>
      <c r="N221" s="520" t="str">
        <f>IF(E221="","",IF(ISNA(VLOOKUP($E221,'D-1 Off Site Habitat Baseline'!$D$1:$X$258,14,FALSE)),"",(VLOOKUP($E221,'D-1 Off Site Habitat Baseline'!$D$1:$X$258,14,FALSE))))</f>
        <v/>
      </c>
      <c r="O221" s="524" t="str">
        <f>IF(E221="","",IF(ISNA(VLOOKUP($E221,'D-1 Off Site Habitat Baseline'!$D$1:$X$258,13,FALSE)),"",(VLOOKUP($E221,'D-1 Off Site Habitat Baseline'!$D$1:$X$258,13,FALSE))))</f>
        <v/>
      </c>
      <c r="P221" s="232" t="str">
        <f>IFERROR(INDEX('G-1 All Habitats'!$AG$3:$AG$15,MATCH(Q221,'G-1 All Habitats'!$AF$3:$AF$15,0)),"")</f>
        <v/>
      </c>
      <c r="Q221" s="228" t="str">
        <f t="shared" si="45"/>
        <v/>
      </c>
      <c r="R221" s="229" t="str">
        <f t="shared" si="46"/>
        <v/>
      </c>
      <c r="S221" s="233" t="str">
        <f>IFERROR(INDEX('G-1 All Habitats'!$B$3:$B$129,MATCH(R221,'G-1 All Habitats'!$A$3:$A$129,0)),"")</f>
        <v/>
      </c>
      <c r="T221" s="507" t="str">
        <f t="shared" si="38"/>
        <v/>
      </c>
      <c r="U221" s="524" t="str">
        <f t="shared" si="39"/>
        <v/>
      </c>
      <c r="V221" s="523" t="str">
        <f t="shared" si="36"/>
        <v/>
      </c>
      <c r="W221" s="520" t="str">
        <f>IF(S221="","",VLOOKUP(S221,'G-1 All Habitats'!$B$2:$M$129,10,FALSE))</f>
        <v/>
      </c>
      <c r="X221" s="520" t="str">
        <f>IFERROR(VLOOKUP(W221,'G-1 All Habitats'!$V$3:$W$7,2,FALSE),"")</f>
        <v/>
      </c>
      <c r="Y221" s="203"/>
      <c r="Z221" s="524" t="str">
        <f>IFERROR(INDEX('G-8 Condition Look up'!$A$3:$H$130,MATCH(S221,'G-8 Condition Look up'!$A$3:$A$130,0),MATCH(Y221,'G-8 Condition Look up'!$A$3:$H$3,0)),"")</f>
        <v/>
      </c>
      <c r="AA221" s="145"/>
      <c r="AB221" s="540" t="str">
        <f>IF(AA221="","",IF(VLOOKUP(AA221,'G-3 Multipliers'!$L$3:$N$6,2,FALSE)=0,"Spatial Data Missing ⚠",VLOOKUP(AA221,'G-3 Multipliers'!$L$3:$N$6,2,FALSE)))</f>
        <v/>
      </c>
      <c r="AC221" s="524" t="str">
        <f>IF(AA221="","",IF(VLOOKUP(AA221,'G-3 Multipliers'!$L$3:$N$6,3,FALSE)=0,"Spatial Data Missing ⚠",VLOOKUP(AA221,'G-3 Multipliers'!$L$3:$N$6,3,FALSE)))</f>
        <v/>
      </c>
      <c r="AD221" s="537" t="str">
        <f t="shared" si="37"/>
        <v/>
      </c>
      <c r="AE221" s="203"/>
      <c r="AF221" s="203"/>
      <c r="AG221" s="520" t="str">
        <f t="shared" si="40"/>
        <v/>
      </c>
      <c r="AH221" s="544" t="str">
        <f t="shared" si="41"/>
        <v/>
      </c>
      <c r="AI221" s="525" t="str">
        <f>IF(AH221="Check Data ⚠","Check Data ⚠",IFERROR(VLOOKUP(AH221,'G-4 Temporal multipliers'!$A$4:$C$36,3,FALSE),""))</f>
        <v/>
      </c>
      <c r="AJ221" s="537" t="str">
        <f>IF(S221="","",VLOOKUP(S221,'G-3 Multipliers'!$A$2:$E$129,4,FALSE))</f>
        <v/>
      </c>
      <c r="AK221" s="520" t="str">
        <f t="shared" si="42"/>
        <v/>
      </c>
      <c r="AL221" s="520" t="str">
        <f t="shared" si="43"/>
        <v/>
      </c>
      <c r="AM221" s="524" t="str">
        <f>IFERROR(IF(F221="","",IF(AH221="Check Data ⚠","Check Data ⚠",VLOOKUP(AL221, 'G-3 Multipliers'!$P$2:$Q$6,2,FALSE))),"")</f>
        <v/>
      </c>
      <c r="AN221" s="197"/>
      <c r="AO221" s="540" t="str">
        <f>IF(AN221="","",IF(VLOOKUP(AN221,'G-3 Multipliers'!$S$3:$T$9,2,FALSE)=0,"Spatial Data Missing ⚠",VLOOKUP(AN221,'G-3 Multipliers'!$S$3:$T$9,2,FALSE)))</f>
        <v/>
      </c>
      <c r="AP221" s="513" t="str">
        <f t="shared" si="44"/>
        <v/>
      </c>
      <c r="AQ221" s="231"/>
      <c r="AR221" s="150"/>
    </row>
    <row r="222" spans="1:44" x14ac:dyDescent="0.25">
      <c r="A222" s="31" t="str">
        <f>IF(E222="","",IF(ISNA(VLOOKUP($E222,'D-1 Off Site Habitat Baseline'!$D$1:$O$258,2,FALSE)),"",(VLOOKUP($E222,'D-1 Off Site Habitat Baseline'!$D$1:$O$258,2,FALSE))))</f>
        <v/>
      </c>
      <c r="B222" s="31" t="str">
        <f>IF(E222="","",IF(ISNA(VLOOKUP($E222,'D-1 Off Site Habitat Baseline'!$D$1:$O$258,3,FALSE)),"",(VLOOKUP($E222,'D-1 Off Site Habitat Baseline'!$D$1:$O$258,3,FALSE))))</f>
        <v/>
      </c>
      <c r="C222" s="31" t="str">
        <f>IFERROR(INDEX('G-8 Condition Look up'!$I$4:$I$130,MATCH(S222,'G-8 Condition Look up'!$A$4:$A$130,0)),"")</f>
        <v/>
      </c>
      <c r="E222" s="547" t="str">
        <f>'D-1 Off Site Habitat Baseline'!AL221</f>
        <v/>
      </c>
      <c r="F222" s="520" t="str">
        <f>IF(E222="","",IF(ISNA(VLOOKUP($E222,'D-1 Off Site Habitat Baseline'!$D$1:$O$258,4,FALSE)),"",(VLOOKUP($E222,'D-1 Off Site Habitat Baseline'!$D$1:$O$258,4,FALSE))))</f>
        <v/>
      </c>
      <c r="G222" s="520" t="str">
        <f>IF(E222="","",IF(ISNA(VLOOKUP($E222,'D-1 Off Site Habitat Baseline'!$D$1:$O$258,5,FALSE)),"",(VLOOKUP($E222,'D-1 Off Site Habitat Baseline'!$D$1:$O$258,5,FALSE))))</f>
        <v/>
      </c>
      <c r="H222" s="520" t="str">
        <f>IF(E222="","",IF(ISNA(VLOOKUP($E222,'D-1 Off Site Habitat Baseline'!$D$1:$O$258,6,FALSE)),"",(VLOOKUP($E222,'D-1 Off Site Habitat Baseline'!$D$1:$O$258,6,FALSE))))</f>
        <v/>
      </c>
      <c r="I222" s="520" t="str">
        <f>IF(E222="","",IF(ISNA(VLOOKUP($E222,'D-1 Off Site Habitat Baseline'!$D$1:$O$258,7,FALSE)),"",(VLOOKUP($E222,'D-1 Off Site Habitat Baseline'!$D$1:$O$258,7,FALSE))))</f>
        <v/>
      </c>
      <c r="J222" s="520" t="str">
        <f>IF(E222="","",IF(ISNA(VLOOKUP($E222,'D-1 Off Site Habitat Baseline'!$D$1:$O$258,8,FALSE)),"",(VLOOKUP($E222,'D-1 Off Site Habitat Baseline'!$D$1:$O$258,8,FALSE))))</f>
        <v/>
      </c>
      <c r="K222" s="520" t="str">
        <f>IF(E222="","",IF(ISNA(VLOOKUP($E222,'D-1 Off Site Habitat Baseline'!$D$1:$O$258,9,FALSE)),"",(VLOOKUP($E222,'D-1 Off Site Habitat Baseline'!$D$1:$O$258,9,FALSE))))</f>
        <v/>
      </c>
      <c r="L222" s="520" t="str">
        <f>IF(E222="","",IF(ISNA(VLOOKUP($E222,'D-1 Off Site Habitat Baseline'!$D$1:$O$258,11,FALSE)),"",(VLOOKUP($E222,'D-1 Off Site Habitat Baseline'!$D$1:$O$258,11,FALSE))))</f>
        <v/>
      </c>
      <c r="M222" s="520" t="str">
        <f>IF(E222="","",IF(ISNA(VLOOKUP($E222,'D-1 Off Site Habitat Baseline'!$D$1:$O$258,12,FALSE)),"",(VLOOKUP($E222,'D-1 Off Site Habitat Baseline'!$D$1:$O$258,12,FALSE))))</f>
        <v/>
      </c>
      <c r="N222" s="520" t="str">
        <f>IF(E222="","",IF(ISNA(VLOOKUP($E222,'D-1 Off Site Habitat Baseline'!$D$1:$X$258,14,FALSE)),"",(VLOOKUP($E222,'D-1 Off Site Habitat Baseline'!$D$1:$X$258,14,FALSE))))</f>
        <v/>
      </c>
      <c r="O222" s="524" t="str">
        <f>IF(E222="","",IF(ISNA(VLOOKUP($E222,'D-1 Off Site Habitat Baseline'!$D$1:$X$258,13,FALSE)),"",(VLOOKUP($E222,'D-1 Off Site Habitat Baseline'!$D$1:$X$258,13,FALSE))))</f>
        <v/>
      </c>
      <c r="P222" s="232" t="str">
        <f>IFERROR(INDEX('G-1 All Habitats'!$AG$3:$AG$15,MATCH(Q222,'G-1 All Habitats'!$AF$3:$AF$15,0)),"")</f>
        <v/>
      </c>
      <c r="Q222" s="228" t="str">
        <f t="shared" si="45"/>
        <v/>
      </c>
      <c r="R222" s="229" t="str">
        <f t="shared" si="46"/>
        <v/>
      </c>
      <c r="S222" s="233" t="str">
        <f>IFERROR(INDEX('G-1 All Habitats'!$B$3:$B$129,MATCH(R222,'G-1 All Habitats'!$A$3:$A$129,0)),"")</f>
        <v/>
      </c>
      <c r="T222" s="507" t="str">
        <f t="shared" si="38"/>
        <v/>
      </c>
      <c r="U222" s="524" t="str">
        <f t="shared" si="39"/>
        <v/>
      </c>
      <c r="V222" s="523" t="str">
        <f t="shared" si="36"/>
        <v/>
      </c>
      <c r="W222" s="520" t="str">
        <f>IF(S222="","",VLOOKUP(S222,'G-1 All Habitats'!$B$2:$M$129,10,FALSE))</f>
        <v/>
      </c>
      <c r="X222" s="520" t="str">
        <f>IFERROR(VLOOKUP(W222,'G-1 All Habitats'!$V$3:$W$7,2,FALSE),"")</f>
        <v/>
      </c>
      <c r="Y222" s="203"/>
      <c r="Z222" s="524" t="str">
        <f>IFERROR(INDEX('G-8 Condition Look up'!$A$3:$H$130,MATCH(S222,'G-8 Condition Look up'!$A$3:$A$130,0),MATCH(Y222,'G-8 Condition Look up'!$A$3:$H$3,0)),"")</f>
        <v/>
      </c>
      <c r="AA222" s="145"/>
      <c r="AB222" s="540" t="str">
        <f>IF(AA222="","",IF(VLOOKUP(AA222,'G-3 Multipliers'!$L$3:$N$6,2,FALSE)=0,"Spatial Data Missing ⚠",VLOOKUP(AA222,'G-3 Multipliers'!$L$3:$N$6,2,FALSE)))</f>
        <v/>
      </c>
      <c r="AC222" s="524" t="str">
        <f>IF(AA222="","",IF(VLOOKUP(AA222,'G-3 Multipliers'!$L$3:$N$6,3,FALSE)=0,"Spatial Data Missing ⚠",VLOOKUP(AA222,'G-3 Multipliers'!$L$3:$N$6,3,FALSE)))</f>
        <v/>
      </c>
      <c r="AD222" s="537" t="str">
        <f t="shared" si="37"/>
        <v/>
      </c>
      <c r="AE222" s="203"/>
      <c r="AF222" s="203"/>
      <c r="AG222" s="520" t="str">
        <f t="shared" si="40"/>
        <v/>
      </c>
      <c r="AH222" s="544" t="str">
        <f t="shared" si="41"/>
        <v/>
      </c>
      <c r="AI222" s="525" t="str">
        <f>IF(AH222="Check Data ⚠","Check Data ⚠",IFERROR(VLOOKUP(AH222,'G-4 Temporal multipliers'!$A$4:$C$36,3,FALSE),""))</f>
        <v/>
      </c>
      <c r="AJ222" s="537" t="str">
        <f>IF(S222="","",VLOOKUP(S222,'G-3 Multipliers'!$A$2:$E$129,4,FALSE))</f>
        <v/>
      </c>
      <c r="AK222" s="520" t="str">
        <f t="shared" si="42"/>
        <v/>
      </c>
      <c r="AL222" s="520" t="str">
        <f t="shared" si="43"/>
        <v/>
      </c>
      <c r="AM222" s="524" t="str">
        <f>IFERROR(IF(F222="","",IF(AH222="Check Data ⚠","Check Data ⚠",VLOOKUP(AL222, 'G-3 Multipliers'!$P$2:$Q$6,2,FALSE))),"")</f>
        <v/>
      </c>
      <c r="AN222" s="197"/>
      <c r="AO222" s="540" t="str">
        <f>IF(AN222="","",IF(VLOOKUP(AN222,'G-3 Multipliers'!$S$3:$T$9,2,FALSE)=0,"Spatial Data Missing ⚠",VLOOKUP(AN222,'G-3 Multipliers'!$S$3:$T$9,2,FALSE)))</f>
        <v/>
      </c>
      <c r="AP222" s="513" t="str">
        <f t="shared" si="44"/>
        <v/>
      </c>
      <c r="AQ222" s="231"/>
      <c r="AR222" s="150"/>
    </row>
    <row r="223" spans="1:44" x14ac:dyDescent="0.25">
      <c r="A223" s="31" t="str">
        <f>IF(E223="","",IF(ISNA(VLOOKUP($E223,'D-1 Off Site Habitat Baseline'!$D$1:$O$258,2,FALSE)),"",(VLOOKUP($E223,'D-1 Off Site Habitat Baseline'!$D$1:$O$258,2,FALSE))))</f>
        <v/>
      </c>
      <c r="B223" s="31" t="str">
        <f>IF(E223="","",IF(ISNA(VLOOKUP($E223,'D-1 Off Site Habitat Baseline'!$D$1:$O$258,3,FALSE)),"",(VLOOKUP($E223,'D-1 Off Site Habitat Baseline'!$D$1:$O$258,3,FALSE))))</f>
        <v/>
      </c>
      <c r="C223" s="31" t="str">
        <f>IFERROR(INDEX('G-8 Condition Look up'!$I$4:$I$130,MATCH(S223,'G-8 Condition Look up'!$A$4:$A$130,0)),"")</f>
        <v/>
      </c>
      <c r="E223" s="547" t="str">
        <f>'D-1 Off Site Habitat Baseline'!AL222</f>
        <v/>
      </c>
      <c r="F223" s="520" t="str">
        <f>IF(E223="","",IF(ISNA(VLOOKUP($E223,'D-1 Off Site Habitat Baseline'!$D$1:$O$258,4,FALSE)),"",(VLOOKUP($E223,'D-1 Off Site Habitat Baseline'!$D$1:$O$258,4,FALSE))))</f>
        <v/>
      </c>
      <c r="G223" s="520" t="str">
        <f>IF(E223="","",IF(ISNA(VLOOKUP($E223,'D-1 Off Site Habitat Baseline'!$D$1:$O$258,5,FALSE)),"",(VLOOKUP($E223,'D-1 Off Site Habitat Baseline'!$D$1:$O$258,5,FALSE))))</f>
        <v/>
      </c>
      <c r="H223" s="520" t="str">
        <f>IF(E223="","",IF(ISNA(VLOOKUP($E223,'D-1 Off Site Habitat Baseline'!$D$1:$O$258,6,FALSE)),"",(VLOOKUP($E223,'D-1 Off Site Habitat Baseline'!$D$1:$O$258,6,FALSE))))</f>
        <v/>
      </c>
      <c r="I223" s="520" t="str">
        <f>IF(E223="","",IF(ISNA(VLOOKUP($E223,'D-1 Off Site Habitat Baseline'!$D$1:$O$258,7,FALSE)),"",(VLOOKUP($E223,'D-1 Off Site Habitat Baseline'!$D$1:$O$258,7,FALSE))))</f>
        <v/>
      </c>
      <c r="J223" s="520" t="str">
        <f>IF(E223="","",IF(ISNA(VLOOKUP($E223,'D-1 Off Site Habitat Baseline'!$D$1:$O$258,8,FALSE)),"",(VLOOKUP($E223,'D-1 Off Site Habitat Baseline'!$D$1:$O$258,8,FALSE))))</f>
        <v/>
      </c>
      <c r="K223" s="520" t="str">
        <f>IF(E223="","",IF(ISNA(VLOOKUP($E223,'D-1 Off Site Habitat Baseline'!$D$1:$O$258,9,FALSE)),"",(VLOOKUP($E223,'D-1 Off Site Habitat Baseline'!$D$1:$O$258,9,FALSE))))</f>
        <v/>
      </c>
      <c r="L223" s="520" t="str">
        <f>IF(E223="","",IF(ISNA(VLOOKUP($E223,'D-1 Off Site Habitat Baseline'!$D$1:$O$258,11,FALSE)),"",(VLOOKUP($E223,'D-1 Off Site Habitat Baseline'!$D$1:$O$258,11,FALSE))))</f>
        <v/>
      </c>
      <c r="M223" s="520" t="str">
        <f>IF(E223="","",IF(ISNA(VLOOKUP($E223,'D-1 Off Site Habitat Baseline'!$D$1:$O$258,12,FALSE)),"",(VLOOKUP($E223,'D-1 Off Site Habitat Baseline'!$D$1:$O$258,12,FALSE))))</f>
        <v/>
      </c>
      <c r="N223" s="520" t="str">
        <f>IF(E223="","",IF(ISNA(VLOOKUP($E223,'D-1 Off Site Habitat Baseline'!$D$1:$X$258,14,FALSE)),"",(VLOOKUP($E223,'D-1 Off Site Habitat Baseline'!$D$1:$X$258,14,FALSE))))</f>
        <v/>
      </c>
      <c r="O223" s="524" t="str">
        <f>IF(E223="","",IF(ISNA(VLOOKUP($E223,'D-1 Off Site Habitat Baseline'!$D$1:$X$258,13,FALSE)),"",(VLOOKUP($E223,'D-1 Off Site Habitat Baseline'!$D$1:$X$258,13,FALSE))))</f>
        <v/>
      </c>
      <c r="P223" s="232" t="str">
        <f>IFERROR(INDEX('G-1 All Habitats'!$AG$3:$AG$15,MATCH(Q223,'G-1 All Habitats'!$AF$3:$AF$15,0)),"")</f>
        <v/>
      </c>
      <c r="Q223" s="228" t="str">
        <f t="shared" si="45"/>
        <v/>
      </c>
      <c r="R223" s="229" t="str">
        <f t="shared" si="46"/>
        <v/>
      </c>
      <c r="S223" s="233" t="str">
        <f>IFERROR(INDEX('G-1 All Habitats'!$B$3:$B$129,MATCH(R223,'G-1 All Habitats'!$A$3:$A$129,0)),"")</f>
        <v/>
      </c>
      <c r="T223" s="507" t="str">
        <f t="shared" si="38"/>
        <v/>
      </c>
      <c r="U223" s="524" t="str">
        <f t="shared" si="39"/>
        <v/>
      </c>
      <c r="V223" s="523" t="str">
        <f t="shared" si="36"/>
        <v/>
      </c>
      <c r="W223" s="520" t="str">
        <f>IF(S223="","",VLOOKUP(S223,'G-1 All Habitats'!$B$2:$M$129,10,FALSE))</f>
        <v/>
      </c>
      <c r="X223" s="520" t="str">
        <f>IFERROR(VLOOKUP(W223,'G-1 All Habitats'!$V$3:$W$7,2,FALSE),"")</f>
        <v/>
      </c>
      <c r="Y223" s="203"/>
      <c r="Z223" s="524" t="str">
        <f>IFERROR(INDEX('G-8 Condition Look up'!$A$3:$H$130,MATCH(S223,'G-8 Condition Look up'!$A$3:$A$130,0),MATCH(Y223,'G-8 Condition Look up'!$A$3:$H$3,0)),"")</f>
        <v/>
      </c>
      <c r="AA223" s="145"/>
      <c r="AB223" s="540" t="str">
        <f>IF(AA223="","",IF(VLOOKUP(AA223,'G-3 Multipliers'!$L$3:$N$6,2,FALSE)=0,"Spatial Data Missing ⚠",VLOOKUP(AA223,'G-3 Multipliers'!$L$3:$N$6,2,FALSE)))</f>
        <v/>
      </c>
      <c r="AC223" s="524" t="str">
        <f>IF(AA223="","",IF(VLOOKUP(AA223,'G-3 Multipliers'!$L$3:$N$6,3,FALSE)=0,"Spatial Data Missing ⚠",VLOOKUP(AA223,'G-3 Multipliers'!$L$3:$N$6,3,FALSE)))</f>
        <v/>
      </c>
      <c r="AD223" s="537" t="str">
        <f t="shared" si="37"/>
        <v/>
      </c>
      <c r="AE223" s="203"/>
      <c r="AF223" s="203"/>
      <c r="AG223" s="520" t="str">
        <f t="shared" si="40"/>
        <v/>
      </c>
      <c r="AH223" s="544" t="str">
        <f t="shared" si="41"/>
        <v/>
      </c>
      <c r="AI223" s="525" t="str">
        <f>IF(AH223="Check Data ⚠","Check Data ⚠",IFERROR(VLOOKUP(AH223,'G-4 Temporal multipliers'!$A$4:$C$36,3,FALSE),""))</f>
        <v/>
      </c>
      <c r="AJ223" s="537" t="str">
        <f>IF(S223="","",VLOOKUP(S223,'G-3 Multipliers'!$A$2:$E$129,4,FALSE))</f>
        <v/>
      </c>
      <c r="AK223" s="520" t="str">
        <f t="shared" si="42"/>
        <v/>
      </c>
      <c r="AL223" s="520" t="str">
        <f t="shared" si="43"/>
        <v/>
      </c>
      <c r="AM223" s="524" t="str">
        <f>IFERROR(IF(F223="","",IF(AH223="Check Data ⚠","Check Data ⚠",VLOOKUP(AL223, 'G-3 Multipliers'!$P$2:$Q$6,2,FALSE))),"")</f>
        <v/>
      </c>
      <c r="AN223" s="197"/>
      <c r="AO223" s="540" t="str">
        <f>IF(AN223="","",IF(VLOOKUP(AN223,'G-3 Multipliers'!$S$3:$T$9,2,FALSE)=0,"Spatial Data Missing ⚠",VLOOKUP(AN223,'G-3 Multipliers'!$S$3:$T$9,2,FALSE)))</f>
        <v/>
      </c>
      <c r="AP223" s="513" t="str">
        <f t="shared" si="44"/>
        <v/>
      </c>
      <c r="AQ223" s="231"/>
      <c r="AR223" s="150"/>
    </row>
    <row r="224" spans="1:44" x14ac:dyDescent="0.25">
      <c r="A224" s="31" t="str">
        <f>IF(E224="","",IF(ISNA(VLOOKUP($E224,'D-1 Off Site Habitat Baseline'!$D$1:$O$258,2,FALSE)),"",(VLOOKUP($E224,'D-1 Off Site Habitat Baseline'!$D$1:$O$258,2,FALSE))))</f>
        <v/>
      </c>
      <c r="B224" s="31" t="str">
        <f>IF(E224="","",IF(ISNA(VLOOKUP($E224,'D-1 Off Site Habitat Baseline'!$D$1:$O$258,3,FALSE)),"",(VLOOKUP($E224,'D-1 Off Site Habitat Baseline'!$D$1:$O$258,3,FALSE))))</f>
        <v/>
      </c>
      <c r="C224" s="31" t="str">
        <f>IFERROR(INDEX('G-8 Condition Look up'!$I$4:$I$130,MATCH(S224,'G-8 Condition Look up'!$A$4:$A$130,0)),"")</f>
        <v/>
      </c>
      <c r="E224" s="547" t="str">
        <f>'D-1 Off Site Habitat Baseline'!AL223</f>
        <v/>
      </c>
      <c r="F224" s="520" t="str">
        <f>IF(E224="","",IF(ISNA(VLOOKUP($E224,'D-1 Off Site Habitat Baseline'!$D$1:$O$258,4,FALSE)),"",(VLOOKUP($E224,'D-1 Off Site Habitat Baseline'!$D$1:$O$258,4,FALSE))))</f>
        <v/>
      </c>
      <c r="G224" s="520" t="str">
        <f>IF(E224="","",IF(ISNA(VLOOKUP($E224,'D-1 Off Site Habitat Baseline'!$D$1:$O$258,5,FALSE)),"",(VLOOKUP($E224,'D-1 Off Site Habitat Baseline'!$D$1:$O$258,5,FALSE))))</f>
        <v/>
      </c>
      <c r="H224" s="520" t="str">
        <f>IF(E224="","",IF(ISNA(VLOOKUP($E224,'D-1 Off Site Habitat Baseline'!$D$1:$O$258,6,FALSE)),"",(VLOOKUP($E224,'D-1 Off Site Habitat Baseline'!$D$1:$O$258,6,FALSE))))</f>
        <v/>
      </c>
      <c r="I224" s="520" t="str">
        <f>IF(E224="","",IF(ISNA(VLOOKUP($E224,'D-1 Off Site Habitat Baseline'!$D$1:$O$258,7,FALSE)),"",(VLOOKUP($E224,'D-1 Off Site Habitat Baseline'!$D$1:$O$258,7,FALSE))))</f>
        <v/>
      </c>
      <c r="J224" s="520" t="str">
        <f>IF(E224="","",IF(ISNA(VLOOKUP($E224,'D-1 Off Site Habitat Baseline'!$D$1:$O$258,8,FALSE)),"",(VLOOKUP($E224,'D-1 Off Site Habitat Baseline'!$D$1:$O$258,8,FALSE))))</f>
        <v/>
      </c>
      <c r="K224" s="520" t="str">
        <f>IF(E224="","",IF(ISNA(VLOOKUP($E224,'D-1 Off Site Habitat Baseline'!$D$1:$O$258,9,FALSE)),"",(VLOOKUP($E224,'D-1 Off Site Habitat Baseline'!$D$1:$O$258,9,FALSE))))</f>
        <v/>
      </c>
      <c r="L224" s="520" t="str">
        <f>IF(E224="","",IF(ISNA(VLOOKUP($E224,'D-1 Off Site Habitat Baseline'!$D$1:$O$258,11,FALSE)),"",(VLOOKUP($E224,'D-1 Off Site Habitat Baseline'!$D$1:$O$258,11,FALSE))))</f>
        <v/>
      </c>
      <c r="M224" s="520" t="str">
        <f>IF(E224="","",IF(ISNA(VLOOKUP($E224,'D-1 Off Site Habitat Baseline'!$D$1:$O$258,12,FALSE)),"",(VLOOKUP($E224,'D-1 Off Site Habitat Baseline'!$D$1:$O$258,12,FALSE))))</f>
        <v/>
      </c>
      <c r="N224" s="520" t="str">
        <f>IF(E224="","",IF(ISNA(VLOOKUP($E224,'D-1 Off Site Habitat Baseline'!$D$1:$X$258,14,FALSE)),"",(VLOOKUP($E224,'D-1 Off Site Habitat Baseline'!$D$1:$X$258,14,FALSE))))</f>
        <v/>
      </c>
      <c r="O224" s="524" t="str">
        <f>IF(E224="","",IF(ISNA(VLOOKUP($E224,'D-1 Off Site Habitat Baseline'!$D$1:$X$258,13,FALSE)),"",(VLOOKUP($E224,'D-1 Off Site Habitat Baseline'!$D$1:$X$258,13,FALSE))))</f>
        <v/>
      </c>
      <c r="P224" s="232" t="str">
        <f>IFERROR(INDEX('G-1 All Habitats'!$AG$3:$AG$15,MATCH(Q224,'G-1 All Habitats'!$AF$3:$AF$15,0)),"")</f>
        <v/>
      </c>
      <c r="Q224" s="228" t="str">
        <f t="shared" si="45"/>
        <v/>
      </c>
      <c r="R224" s="229" t="str">
        <f t="shared" si="46"/>
        <v/>
      </c>
      <c r="S224" s="233" t="str">
        <f>IFERROR(INDEX('G-1 All Habitats'!$B$3:$B$129,MATCH(R224,'G-1 All Habitats'!$A$3:$A$129,0)),"")</f>
        <v/>
      </c>
      <c r="T224" s="507" t="str">
        <f t="shared" si="38"/>
        <v/>
      </c>
      <c r="U224" s="524" t="str">
        <f t="shared" si="39"/>
        <v/>
      </c>
      <c r="V224" s="523" t="str">
        <f t="shared" si="36"/>
        <v/>
      </c>
      <c r="W224" s="520" t="str">
        <f>IF(S224="","",VLOOKUP(S224,'G-1 All Habitats'!$B$2:$M$129,10,FALSE))</f>
        <v/>
      </c>
      <c r="X224" s="520" t="str">
        <f>IFERROR(VLOOKUP(W224,'G-1 All Habitats'!$V$3:$W$7,2,FALSE),"")</f>
        <v/>
      </c>
      <c r="Y224" s="203"/>
      <c r="Z224" s="524" t="str">
        <f>IFERROR(INDEX('G-8 Condition Look up'!$A$3:$H$130,MATCH(S224,'G-8 Condition Look up'!$A$3:$A$130,0),MATCH(Y224,'G-8 Condition Look up'!$A$3:$H$3,0)),"")</f>
        <v/>
      </c>
      <c r="AA224" s="145"/>
      <c r="AB224" s="540" t="str">
        <f>IF(AA224="","",IF(VLOOKUP(AA224,'G-3 Multipliers'!$L$3:$N$6,2,FALSE)=0,"Spatial Data Missing ⚠",VLOOKUP(AA224,'G-3 Multipliers'!$L$3:$N$6,2,FALSE)))</f>
        <v/>
      </c>
      <c r="AC224" s="524" t="str">
        <f>IF(AA224="","",IF(VLOOKUP(AA224,'G-3 Multipliers'!$L$3:$N$6,3,FALSE)=0,"Spatial Data Missing ⚠",VLOOKUP(AA224,'G-3 Multipliers'!$L$3:$N$6,3,FALSE)))</f>
        <v/>
      </c>
      <c r="AD224" s="537" t="str">
        <f t="shared" si="37"/>
        <v/>
      </c>
      <c r="AE224" s="203"/>
      <c r="AF224" s="203"/>
      <c r="AG224" s="520" t="str">
        <f t="shared" si="40"/>
        <v/>
      </c>
      <c r="AH224" s="544" t="str">
        <f t="shared" si="41"/>
        <v/>
      </c>
      <c r="AI224" s="525" t="str">
        <f>IF(AH224="Check Data ⚠","Check Data ⚠",IFERROR(VLOOKUP(AH224,'G-4 Temporal multipliers'!$A$4:$C$36,3,FALSE),""))</f>
        <v/>
      </c>
      <c r="AJ224" s="537" t="str">
        <f>IF(S224="","",VLOOKUP(S224,'G-3 Multipliers'!$A$2:$E$129,4,FALSE))</f>
        <v/>
      </c>
      <c r="AK224" s="520" t="str">
        <f t="shared" si="42"/>
        <v/>
      </c>
      <c r="AL224" s="520" t="str">
        <f t="shared" si="43"/>
        <v/>
      </c>
      <c r="AM224" s="524" t="str">
        <f>IFERROR(IF(F224="","",IF(AH224="Check Data ⚠","Check Data ⚠",VLOOKUP(AL224, 'G-3 Multipliers'!$P$2:$Q$6,2,FALSE))),"")</f>
        <v/>
      </c>
      <c r="AN224" s="197"/>
      <c r="AO224" s="540" t="str">
        <f>IF(AN224="","",IF(VLOOKUP(AN224,'G-3 Multipliers'!$S$3:$T$9,2,FALSE)=0,"Spatial Data Missing ⚠",VLOOKUP(AN224,'G-3 Multipliers'!$S$3:$T$9,2,FALSE)))</f>
        <v/>
      </c>
      <c r="AP224" s="513" t="str">
        <f t="shared" si="44"/>
        <v/>
      </c>
      <c r="AQ224" s="231"/>
      <c r="AR224" s="150"/>
    </row>
    <row r="225" spans="1:44" x14ac:dyDescent="0.25">
      <c r="A225" s="31" t="str">
        <f>IF(E225="","",IF(ISNA(VLOOKUP($E225,'D-1 Off Site Habitat Baseline'!$D$1:$O$258,2,FALSE)),"",(VLOOKUP($E225,'D-1 Off Site Habitat Baseline'!$D$1:$O$258,2,FALSE))))</f>
        <v/>
      </c>
      <c r="B225" s="31" t="str">
        <f>IF(E225="","",IF(ISNA(VLOOKUP($E225,'D-1 Off Site Habitat Baseline'!$D$1:$O$258,3,FALSE)),"",(VLOOKUP($E225,'D-1 Off Site Habitat Baseline'!$D$1:$O$258,3,FALSE))))</f>
        <v/>
      </c>
      <c r="C225" s="31" t="str">
        <f>IFERROR(INDEX('G-8 Condition Look up'!$I$4:$I$130,MATCH(S225,'G-8 Condition Look up'!$A$4:$A$130,0)),"")</f>
        <v/>
      </c>
      <c r="E225" s="547" t="str">
        <f>'D-1 Off Site Habitat Baseline'!AL224</f>
        <v/>
      </c>
      <c r="F225" s="520" t="str">
        <f>IF(E225="","",IF(ISNA(VLOOKUP($E225,'D-1 Off Site Habitat Baseline'!$D$1:$O$258,4,FALSE)),"",(VLOOKUP($E225,'D-1 Off Site Habitat Baseline'!$D$1:$O$258,4,FALSE))))</f>
        <v/>
      </c>
      <c r="G225" s="520" t="str">
        <f>IF(E225="","",IF(ISNA(VLOOKUP($E225,'D-1 Off Site Habitat Baseline'!$D$1:$O$258,5,FALSE)),"",(VLOOKUP($E225,'D-1 Off Site Habitat Baseline'!$D$1:$O$258,5,FALSE))))</f>
        <v/>
      </c>
      <c r="H225" s="520" t="str">
        <f>IF(E225="","",IF(ISNA(VLOOKUP($E225,'D-1 Off Site Habitat Baseline'!$D$1:$O$258,6,FALSE)),"",(VLOOKUP($E225,'D-1 Off Site Habitat Baseline'!$D$1:$O$258,6,FALSE))))</f>
        <v/>
      </c>
      <c r="I225" s="520" t="str">
        <f>IF(E225="","",IF(ISNA(VLOOKUP($E225,'D-1 Off Site Habitat Baseline'!$D$1:$O$258,7,FALSE)),"",(VLOOKUP($E225,'D-1 Off Site Habitat Baseline'!$D$1:$O$258,7,FALSE))))</f>
        <v/>
      </c>
      <c r="J225" s="520" t="str">
        <f>IF(E225="","",IF(ISNA(VLOOKUP($E225,'D-1 Off Site Habitat Baseline'!$D$1:$O$258,8,FALSE)),"",(VLOOKUP($E225,'D-1 Off Site Habitat Baseline'!$D$1:$O$258,8,FALSE))))</f>
        <v/>
      </c>
      <c r="K225" s="520" t="str">
        <f>IF(E225="","",IF(ISNA(VLOOKUP($E225,'D-1 Off Site Habitat Baseline'!$D$1:$O$258,9,FALSE)),"",(VLOOKUP($E225,'D-1 Off Site Habitat Baseline'!$D$1:$O$258,9,FALSE))))</f>
        <v/>
      </c>
      <c r="L225" s="520" t="str">
        <f>IF(E225="","",IF(ISNA(VLOOKUP($E225,'D-1 Off Site Habitat Baseline'!$D$1:$O$258,11,FALSE)),"",(VLOOKUP($E225,'D-1 Off Site Habitat Baseline'!$D$1:$O$258,11,FALSE))))</f>
        <v/>
      </c>
      <c r="M225" s="520" t="str">
        <f>IF(E225="","",IF(ISNA(VLOOKUP($E225,'D-1 Off Site Habitat Baseline'!$D$1:$O$258,12,FALSE)),"",(VLOOKUP($E225,'D-1 Off Site Habitat Baseline'!$D$1:$O$258,12,FALSE))))</f>
        <v/>
      </c>
      <c r="N225" s="520" t="str">
        <f>IF(E225="","",IF(ISNA(VLOOKUP($E225,'D-1 Off Site Habitat Baseline'!$D$1:$X$258,14,FALSE)),"",(VLOOKUP($E225,'D-1 Off Site Habitat Baseline'!$D$1:$X$258,14,FALSE))))</f>
        <v/>
      </c>
      <c r="O225" s="524" t="str">
        <f>IF(E225="","",IF(ISNA(VLOOKUP($E225,'D-1 Off Site Habitat Baseline'!$D$1:$X$258,13,FALSE)),"",(VLOOKUP($E225,'D-1 Off Site Habitat Baseline'!$D$1:$X$258,13,FALSE))))</f>
        <v/>
      </c>
      <c r="P225" s="232" t="str">
        <f>IFERROR(INDEX('G-1 All Habitats'!$AG$3:$AG$15,MATCH(Q225,'G-1 All Habitats'!$AF$3:$AF$15,0)),"")</f>
        <v/>
      </c>
      <c r="Q225" s="228" t="str">
        <f t="shared" si="45"/>
        <v/>
      </c>
      <c r="R225" s="229" t="str">
        <f t="shared" si="46"/>
        <v/>
      </c>
      <c r="S225" s="233" t="str">
        <f>IFERROR(INDEX('G-1 All Habitats'!$B$3:$B$129,MATCH(R225,'G-1 All Habitats'!$A$3:$A$129,0)),"")</f>
        <v/>
      </c>
      <c r="T225" s="507" t="str">
        <f t="shared" si="38"/>
        <v/>
      </c>
      <c r="U225" s="524" t="str">
        <f t="shared" si="39"/>
        <v/>
      </c>
      <c r="V225" s="523" t="str">
        <f t="shared" si="36"/>
        <v/>
      </c>
      <c r="W225" s="520" t="str">
        <f>IF(S225="","",VLOOKUP(S225,'G-1 All Habitats'!$B$2:$M$129,10,FALSE))</f>
        <v/>
      </c>
      <c r="X225" s="520" t="str">
        <f>IFERROR(VLOOKUP(W225,'G-1 All Habitats'!$V$3:$W$7,2,FALSE),"")</f>
        <v/>
      </c>
      <c r="Y225" s="203"/>
      <c r="Z225" s="524" t="str">
        <f>IFERROR(INDEX('G-8 Condition Look up'!$A$3:$H$130,MATCH(S225,'G-8 Condition Look up'!$A$3:$A$130,0),MATCH(Y225,'G-8 Condition Look up'!$A$3:$H$3,0)),"")</f>
        <v/>
      </c>
      <c r="AA225" s="145"/>
      <c r="AB225" s="540" t="str">
        <f>IF(AA225="","",IF(VLOOKUP(AA225,'G-3 Multipliers'!$L$3:$N$6,2,FALSE)=0,"Spatial Data Missing ⚠",VLOOKUP(AA225,'G-3 Multipliers'!$L$3:$N$6,2,FALSE)))</f>
        <v/>
      </c>
      <c r="AC225" s="524" t="str">
        <f>IF(AA225="","",IF(VLOOKUP(AA225,'G-3 Multipliers'!$L$3:$N$6,3,FALSE)=0,"Spatial Data Missing ⚠",VLOOKUP(AA225,'G-3 Multipliers'!$L$3:$N$6,3,FALSE)))</f>
        <v/>
      </c>
      <c r="AD225" s="537" t="str">
        <f t="shared" si="37"/>
        <v/>
      </c>
      <c r="AE225" s="203"/>
      <c r="AF225" s="203"/>
      <c r="AG225" s="520" t="str">
        <f t="shared" si="40"/>
        <v/>
      </c>
      <c r="AH225" s="544" t="str">
        <f t="shared" si="41"/>
        <v/>
      </c>
      <c r="AI225" s="525" t="str">
        <f>IF(AH225="Check Data ⚠","Check Data ⚠",IFERROR(VLOOKUP(AH225,'G-4 Temporal multipliers'!$A$4:$C$36,3,FALSE),""))</f>
        <v/>
      </c>
      <c r="AJ225" s="537" t="str">
        <f>IF(S225="","",VLOOKUP(S225,'G-3 Multipliers'!$A$2:$E$129,4,FALSE))</f>
        <v/>
      </c>
      <c r="AK225" s="520" t="str">
        <f t="shared" si="42"/>
        <v/>
      </c>
      <c r="AL225" s="520" t="str">
        <f t="shared" si="43"/>
        <v/>
      </c>
      <c r="AM225" s="524" t="str">
        <f>IFERROR(IF(F225="","",IF(AH225="Check Data ⚠","Check Data ⚠",VLOOKUP(AL225, 'G-3 Multipliers'!$P$2:$Q$6,2,FALSE))),"")</f>
        <v/>
      </c>
      <c r="AN225" s="197"/>
      <c r="AO225" s="540" t="str">
        <f>IF(AN225="","",IF(VLOOKUP(AN225,'G-3 Multipliers'!$S$3:$T$9,2,FALSE)=0,"Spatial Data Missing ⚠",VLOOKUP(AN225,'G-3 Multipliers'!$S$3:$T$9,2,FALSE)))</f>
        <v/>
      </c>
      <c r="AP225" s="513" t="str">
        <f t="shared" si="44"/>
        <v/>
      </c>
      <c r="AQ225" s="231"/>
      <c r="AR225" s="150"/>
    </row>
    <row r="226" spans="1:44" x14ac:dyDescent="0.25">
      <c r="A226" s="31" t="str">
        <f>IF(E226="","",IF(ISNA(VLOOKUP($E226,'D-1 Off Site Habitat Baseline'!$D$1:$O$258,2,FALSE)),"",(VLOOKUP($E226,'D-1 Off Site Habitat Baseline'!$D$1:$O$258,2,FALSE))))</f>
        <v/>
      </c>
      <c r="B226" s="31" t="str">
        <f>IF(E226="","",IF(ISNA(VLOOKUP($E226,'D-1 Off Site Habitat Baseline'!$D$1:$O$258,3,FALSE)),"",(VLOOKUP($E226,'D-1 Off Site Habitat Baseline'!$D$1:$O$258,3,FALSE))))</f>
        <v/>
      </c>
      <c r="C226" s="31" t="str">
        <f>IFERROR(INDEX('G-8 Condition Look up'!$I$4:$I$130,MATCH(S226,'G-8 Condition Look up'!$A$4:$A$130,0)),"")</f>
        <v/>
      </c>
      <c r="E226" s="547" t="str">
        <f>'D-1 Off Site Habitat Baseline'!AL225</f>
        <v/>
      </c>
      <c r="F226" s="520" t="str">
        <f>IF(E226="","",IF(ISNA(VLOOKUP($E226,'D-1 Off Site Habitat Baseline'!$D$1:$O$258,4,FALSE)),"",(VLOOKUP($E226,'D-1 Off Site Habitat Baseline'!$D$1:$O$258,4,FALSE))))</f>
        <v/>
      </c>
      <c r="G226" s="520" t="str">
        <f>IF(E226="","",IF(ISNA(VLOOKUP($E226,'D-1 Off Site Habitat Baseline'!$D$1:$O$258,5,FALSE)),"",(VLOOKUP($E226,'D-1 Off Site Habitat Baseline'!$D$1:$O$258,5,FALSE))))</f>
        <v/>
      </c>
      <c r="H226" s="520" t="str">
        <f>IF(E226="","",IF(ISNA(VLOOKUP($E226,'D-1 Off Site Habitat Baseline'!$D$1:$O$258,6,FALSE)),"",(VLOOKUP($E226,'D-1 Off Site Habitat Baseline'!$D$1:$O$258,6,FALSE))))</f>
        <v/>
      </c>
      <c r="I226" s="520" t="str">
        <f>IF(E226="","",IF(ISNA(VLOOKUP($E226,'D-1 Off Site Habitat Baseline'!$D$1:$O$258,7,FALSE)),"",(VLOOKUP($E226,'D-1 Off Site Habitat Baseline'!$D$1:$O$258,7,FALSE))))</f>
        <v/>
      </c>
      <c r="J226" s="520" t="str">
        <f>IF(E226="","",IF(ISNA(VLOOKUP($E226,'D-1 Off Site Habitat Baseline'!$D$1:$O$258,8,FALSE)),"",(VLOOKUP($E226,'D-1 Off Site Habitat Baseline'!$D$1:$O$258,8,FALSE))))</f>
        <v/>
      </c>
      <c r="K226" s="520" t="str">
        <f>IF(E226="","",IF(ISNA(VLOOKUP($E226,'D-1 Off Site Habitat Baseline'!$D$1:$O$258,9,FALSE)),"",(VLOOKUP($E226,'D-1 Off Site Habitat Baseline'!$D$1:$O$258,9,FALSE))))</f>
        <v/>
      </c>
      <c r="L226" s="520" t="str">
        <f>IF(E226="","",IF(ISNA(VLOOKUP($E226,'D-1 Off Site Habitat Baseline'!$D$1:$O$258,11,FALSE)),"",(VLOOKUP($E226,'D-1 Off Site Habitat Baseline'!$D$1:$O$258,11,FALSE))))</f>
        <v/>
      </c>
      <c r="M226" s="520" t="str">
        <f>IF(E226="","",IF(ISNA(VLOOKUP($E226,'D-1 Off Site Habitat Baseline'!$D$1:$O$258,12,FALSE)),"",(VLOOKUP($E226,'D-1 Off Site Habitat Baseline'!$D$1:$O$258,12,FALSE))))</f>
        <v/>
      </c>
      <c r="N226" s="520" t="str">
        <f>IF(E226="","",IF(ISNA(VLOOKUP($E226,'D-1 Off Site Habitat Baseline'!$D$1:$X$258,14,FALSE)),"",(VLOOKUP($E226,'D-1 Off Site Habitat Baseline'!$D$1:$X$258,14,FALSE))))</f>
        <v/>
      </c>
      <c r="O226" s="524" t="str">
        <f>IF(E226="","",IF(ISNA(VLOOKUP($E226,'D-1 Off Site Habitat Baseline'!$D$1:$X$258,13,FALSE)),"",(VLOOKUP($E226,'D-1 Off Site Habitat Baseline'!$D$1:$X$258,13,FALSE))))</f>
        <v/>
      </c>
      <c r="P226" s="232" t="str">
        <f>IFERROR(INDEX('G-1 All Habitats'!$AG$3:$AG$15,MATCH(Q226,'G-1 All Habitats'!$AF$3:$AF$15,0)),"")</f>
        <v/>
      </c>
      <c r="Q226" s="228" t="str">
        <f t="shared" si="45"/>
        <v/>
      </c>
      <c r="R226" s="229" t="str">
        <f t="shared" si="46"/>
        <v/>
      </c>
      <c r="S226" s="233" t="str">
        <f>IFERROR(INDEX('G-1 All Habitats'!$B$3:$B$129,MATCH(R226,'G-1 All Habitats'!$A$3:$A$129,0)),"")</f>
        <v/>
      </c>
      <c r="T226" s="507" t="str">
        <f t="shared" si="38"/>
        <v/>
      </c>
      <c r="U226" s="524" t="str">
        <f t="shared" si="39"/>
        <v/>
      </c>
      <c r="V226" s="523" t="str">
        <f t="shared" si="36"/>
        <v/>
      </c>
      <c r="W226" s="520" t="str">
        <f>IF(S226="","",VLOOKUP(S226,'G-1 All Habitats'!$B$2:$M$129,10,FALSE))</f>
        <v/>
      </c>
      <c r="X226" s="520" t="str">
        <f>IFERROR(VLOOKUP(W226,'G-1 All Habitats'!$V$3:$W$7,2,FALSE),"")</f>
        <v/>
      </c>
      <c r="Y226" s="203"/>
      <c r="Z226" s="524" t="str">
        <f>IFERROR(INDEX('G-8 Condition Look up'!$A$3:$H$130,MATCH(S226,'G-8 Condition Look up'!$A$3:$A$130,0),MATCH(Y226,'G-8 Condition Look up'!$A$3:$H$3,0)),"")</f>
        <v/>
      </c>
      <c r="AA226" s="145"/>
      <c r="AB226" s="540" t="str">
        <f>IF(AA226="","",IF(VLOOKUP(AA226,'G-3 Multipliers'!$L$3:$N$6,2,FALSE)=0,"Spatial Data Missing ⚠",VLOOKUP(AA226,'G-3 Multipliers'!$L$3:$N$6,2,FALSE)))</f>
        <v/>
      </c>
      <c r="AC226" s="524" t="str">
        <f>IF(AA226="","",IF(VLOOKUP(AA226,'G-3 Multipliers'!$L$3:$N$6,3,FALSE)=0,"Spatial Data Missing ⚠",VLOOKUP(AA226,'G-3 Multipliers'!$L$3:$N$6,3,FALSE)))</f>
        <v/>
      </c>
      <c r="AD226" s="537" t="str">
        <f t="shared" si="37"/>
        <v/>
      </c>
      <c r="AE226" s="203"/>
      <c r="AF226" s="203"/>
      <c r="AG226" s="520" t="str">
        <f t="shared" si="40"/>
        <v/>
      </c>
      <c r="AH226" s="544" t="str">
        <f t="shared" si="41"/>
        <v/>
      </c>
      <c r="AI226" s="525" t="str">
        <f>IF(AH226="Check Data ⚠","Check Data ⚠",IFERROR(VLOOKUP(AH226,'G-4 Temporal multipliers'!$A$4:$C$36,3,FALSE),""))</f>
        <v/>
      </c>
      <c r="AJ226" s="537" t="str">
        <f>IF(S226="","",VLOOKUP(S226,'G-3 Multipliers'!$A$2:$E$129,4,FALSE))</f>
        <v/>
      </c>
      <c r="AK226" s="520" t="str">
        <f t="shared" si="42"/>
        <v/>
      </c>
      <c r="AL226" s="520" t="str">
        <f t="shared" si="43"/>
        <v/>
      </c>
      <c r="AM226" s="524" t="str">
        <f>IFERROR(IF(F226="","",IF(AH226="Check Data ⚠","Check Data ⚠",VLOOKUP(AL226, 'G-3 Multipliers'!$P$2:$Q$6,2,FALSE))),"")</f>
        <v/>
      </c>
      <c r="AN226" s="197"/>
      <c r="AO226" s="540" t="str">
        <f>IF(AN226="","",IF(VLOOKUP(AN226,'G-3 Multipliers'!$S$3:$T$9,2,FALSE)=0,"Spatial Data Missing ⚠",VLOOKUP(AN226,'G-3 Multipliers'!$S$3:$T$9,2,FALSE)))</f>
        <v/>
      </c>
      <c r="AP226" s="513" t="str">
        <f t="shared" si="44"/>
        <v/>
      </c>
      <c r="AQ226" s="231"/>
      <c r="AR226" s="150"/>
    </row>
    <row r="227" spans="1:44" x14ac:dyDescent="0.25">
      <c r="A227" s="31" t="str">
        <f>IF(E227="","",IF(ISNA(VLOOKUP($E227,'D-1 Off Site Habitat Baseline'!$D$1:$O$258,2,FALSE)),"",(VLOOKUP($E227,'D-1 Off Site Habitat Baseline'!$D$1:$O$258,2,FALSE))))</f>
        <v/>
      </c>
      <c r="B227" s="31" t="str">
        <f>IF(E227="","",IF(ISNA(VLOOKUP($E227,'D-1 Off Site Habitat Baseline'!$D$1:$O$258,3,FALSE)),"",(VLOOKUP($E227,'D-1 Off Site Habitat Baseline'!$D$1:$O$258,3,FALSE))))</f>
        <v/>
      </c>
      <c r="C227" s="31" t="str">
        <f>IFERROR(INDEX('G-8 Condition Look up'!$I$4:$I$130,MATCH(S227,'G-8 Condition Look up'!$A$4:$A$130,0)),"")</f>
        <v/>
      </c>
      <c r="E227" s="547" t="str">
        <f>'D-1 Off Site Habitat Baseline'!AL226</f>
        <v/>
      </c>
      <c r="F227" s="520" t="str">
        <f>IF(E227="","",IF(ISNA(VLOOKUP($E227,'D-1 Off Site Habitat Baseline'!$D$1:$O$258,4,FALSE)),"",(VLOOKUP($E227,'D-1 Off Site Habitat Baseline'!$D$1:$O$258,4,FALSE))))</f>
        <v/>
      </c>
      <c r="G227" s="520" t="str">
        <f>IF(E227="","",IF(ISNA(VLOOKUP($E227,'D-1 Off Site Habitat Baseline'!$D$1:$O$258,5,FALSE)),"",(VLOOKUP($E227,'D-1 Off Site Habitat Baseline'!$D$1:$O$258,5,FALSE))))</f>
        <v/>
      </c>
      <c r="H227" s="520" t="str">
        <f>IF(E227="","",IF(ISNA(VLOOKUP($E227,'D-1 Off Site Habitat Baseline'!$D$1:$O$258,6,FALSE)),"",(VLOOKUP($E227,'D-1 Off Site Habitat Baseline'!$D$1:$O$258,6,FALSE))))</f>
        <v/>
      </c>
      <c r="I227" s="520" t="str">
        <f>IF(E227="","",IF(ISNA(VLOOKUP($E227,'D-1 Off Site Habitat Baseline'!$D$1:$O$258,7,FALSE)),"",(VLOOKUP($E227,'D-1 Off Site Habitat Baseline'!$D$1:$O$258,7,FALSE))))</f>
        <v/>
      </c>
      <c r="J227" s="520" t="str">
        <f>IF(E227="","",IF(ISNA(VLOOKUP($E227,'D-1 Off Site Habitat Baseline'!$D$1:$O$258,8,FALSE)),"",(VLOOKUP($E227,'D-1 Off Site Habitat Baseline'!$D$1:$O$258,8,FALSE))))</f>
        <v/>
      </c>
      <c r="K227" s="520" t="str">
        <f>IF(E227="","",IF(ISNA(VLOOKUP($E227,'D-1 Off Site Habitat Baseline'!$D$1:$O$258,9,FALSE)),"",(VLOOKUP($E227,'D-1 Off Site Habitat Baseline'!$D$1:$O$258,9,FALSE))))</f>
        <v/>
      </c>
      <c r="L227" s="520" t="str">
        <f>IF(E227="","",IF(ISNA(VLOOKUP($E227,'D-1 Off Site Habitat Baseline'!$D$1:$O$258,11,FALSE)),"",(VLOOKUP($E227,'D-1 Off Site Habitat Baseline'!$D$1:$O$258,11,FALSE))))</f>
        <v/>
      </c>
      <c r="M227" s="520" t="str">
        <f>IF(E227="","",IF(ISNA(VLOOKUP($E227,'D-1 Off Site Habitat Baseline'!$D$1:$O$258,12,FALSE)),"",(VLOOKUP($E227,'D-1 Off Site Habitat Baseline'!$D$1:$O$258,12,FALSE))))</f>
        <v/>
      </c>
      <c r="N227" s="520" t="str">
        <f>IF(E227="","",IF(ISNA(VLOOKUP($E227,'D-1 Off Site Habitat Baseline'!$D$1:$X$258,14,FALSE)),"",(VLOOKUP($E227,'D-1 Off Site Habitat Baseline'!$D$1:$X$258,14,FALSE))))</f>
        <v/>
      </c>
      <c r="O227" s="524" t="str">
        <f>IF(E227="","",IF(ISNA(VLOOKUP($E227,'D-1 Off Site Habitat Baseline'!$D$1:$X$258,13,FALSE)),"",(VLOOKUP($E227,'D-1 Off Site Habitat Baseline'!$D$1:$X$258,13,FALSE))))</f>
        <v/>
      </c>
      <c r="P227" s="232" t="str">
        <f>IFERROR(INDEX('G-1 All Habitats'!$AG$3:$AG$15,MATCH(Q227,'G-1 All Habitats'!$AF$3:$AF$15,0)),"")</f>
        <v/>
      </c>
      <c r="Q227" s="228" t="str">
        <f t="shared" si="45"/>
        <v/>
      </c>
      <c r="R227" s="229" t="str">
        <f t="shared" si="46"/>
        <v/>
      </c>
      <c r="S227" s="233" t="str">
        <f>IFERROR(INDEX('G-1 All Habitats'!$B$3:$B$129,MATCH(R227,'G-1 All Habitats'!$A$3:$A$129,0)),"")</f>
        <v/>
      </c>
      <c r="T227" s="507" t="str">
        <f t="shared" si="38"/>
        <v/>
      </c>
      <c r="U227" s="524" t="str">
        <f t="shared" si="39"/>
        <v/>
      </c>
      <c r="V227" s="523" t="str">
        <f t="shared" si="36"/>
        <v/>
      </c>
      <c r="W227" s="520" t="str">
        <f>IF(S227="","",VLOOKUP(S227,'G-1 All Habitats'!$B$2:$M$129,10,FALSE))</f>
        <v/>
      </c>
      <c r="X227" s="520" t="str">
        <f>IFERROR(VLOOKUP(W227,'G-1 All Habitats'!$V$3:$W$7,2,FALSE),"")</f>
        <v/>
      </c>
      <c r="Y227" s="203"/>
      <c r="Z227" s="524" t="str">
        <f>IFERROR(INDEX('G-8 Condition Look up'!$A$3:$H$130,MATCH(S227,'G-8 Condition Look up'!$A$3:$A$130,0),MATCH(Y227,'G-8 Condition Look up'!$A$3:$H$3,0)),"")</f>
        <v/>
      </c>
      <c r="AA227" s="145"/>
      <c r="AB227" s="540" t="str">
        <f>IF(AA227="","",IF(VLOOKUP(AA227,'G-3 Multipliers'!$L$3:$N$6,2,FALSE)=0,"Spatial Data Missing ⚠",VLOOKUP(AA227,'G-3 Multipliers'!$L$3:$N$6,2,FALSE)))</f>
        <v/>
      </c>
      <c r="AC227" s="524" t="str">
        <f>IF(AA227="","",IF(VLOOKUP(AA227,'G-3 Multipliers'!$L$3:$N$6,3,FALSE)=0,"Spatial Data Missing ⚠",VLOOKUP(AA227,'G-3 Multipliers'!$L$3:$N$6,3,FALSE)))</f>
        <v/>
      </c>
      <c r="AD227" s="537" t="str">
        <f t="shared" si="37"/>
        <v/>
      </c>
      <c r="AE227" s="203"/>
      <c r="AF227" s="203"/>
      <c r="AG227" s="520" t="str">
        <f t="shared" si="40"/>
        <v/>
      </c>
      <c r="AH227" s="544" t="str">
        <f t="shared" si="41"/>
        <v/>
      </c>
      <c r="AI227" s="525" t="str">
        <f>IF(AH227="Check Data ⚠","Check Data ⚠",IFERROR(VLOOKUP(AH227,'G-4 Temporal multipliers'!$A$4:$C$36,3,FALSE),""))</f>
        <v/>
      </c>
      <c r="AJ227" s="537" t="str">
        <f>IF(S227="","",VLOOKUP(S227,'G-3 Multipliers'!$A$2:$E$129,4,FALSE))</f>
        <v/>
      </c>
      <c r="AK227" s="520" t="str">
        <f t="shared" si="42"/>
        <v/>
      </c>
      <c r="AL227" s="520" t="str">
        <f t="shared" si="43"/>
        <v/>
      </c>
      <c r="AM227" s="524" t="str">
        <f>IFERROR(IF(F227="","",IF(AH227="Check Data ⚠","Check Data ⚠",VLOOKUP(AL227, 'G-3 Multipliers'!$P$2:$Q$6,2,FALSE))),"")</f>
        <v/>
      </c>
      <c r="AN227" s="197"/>
      <c r="AO227" s="540" t="str">
        <f>IF(AN227="","",IF(VLOOKUP(AN227,'G-3 Multipliers'!$S$3:$T$9,2,FALSE)=0,"Spatial Data Missing ⚠",VLOOKUP(AN227,'G-3 Multipliers'!$S$3:$T$9,2,FALSE)))</f>
        <v/>
      </c>
      <c r="AP227" s="513" t="str">
        <f t="shared" si="44"/>
        <v/>
      </c>
      <c r="AQ227" s="231"/>
      <c r="AR227" s="150"/>
    </row>
    <row r="228" spans="1:44" x14ac:dyDescent="0.25">
      <c r="A228" s="31" t="str">
        <f>IF(E228="","",IF(ISNA(VLOOKUP($E228,'D-1 Off Site Habitat Baseline'!$D$1:$O$258,2,FALSE)),"",(VLOOKUP($E228,'D-1 Off Site Habitat Baseline'!$D$1:$O$258,2,FALSE))))</f>
        <v/>
      </c>
      <c r="B228" s="31" t="str">
        <f>IF(E228="","",IF(ISNA(VLOOKUP($E228,'D-1 Off Site Habitat Baseline'!$D$1:$O$258,3,FALSE)),"",(VLOOKUP($E228,'D-1 Off Site Habitat Baseline'!$D$1:$O$258,3,FALSE))))</f>
        <v/>
      </c>
      <c r="C228" s="31" t="str">
        <f>IFERROR(INDEX('G-8 Condition Look up'!$I$4:$I$130,MATCH(S228,'G-8 Condition Look up'!$A$4:$A$130,0)),"")</f>
        <v/>
      </c>
      <c r="E228" s="547" t="str">
        <f>'D-1 Off Site Habitat Baseline'!AL227</f>
        <v/>
      </c>
      <c r="F228" s="520" t="str">
        <f>IF(E228="","",IF(ISNA(VLOOKUP($E228,'D-1 Off Site Habitat Baseline'!$D$1:$O$258,4,FALSE)),"",(VLOOKUP($E228,'D-1 Off Site Habitat Baseline'!$D$1:$O$258,4,FALSE))))</f>
        <v/>
      </c>
      <c r="G228" s="520" t="str">
        <f>IF(E228="","",IF(ISNA(VLOOKUP($E228,'D-1 Off Site Habitat Baseline'!$D$1:$O$258,5,FALSE)),"",(VLOOKUP($E228,'D-1 Off Site Habitat Baseline'!$D$1:$O$258,5,FALSE))))</f>
        <v/>
      </c>
      <c r="H228" s="520" t="str">
        <f>IF(E228="","",IF(ISNA(VLOOKUP($E228,'D-1 Off Site Habitat Baseline'!$D$1:$O$258,6,FALSE)),"",(VLOOKUP($E228,'D-1 Off Site Habitat Baseline'!$D$1:$O$258,6,FALSE))))</f>
        <v/>
      </c>
      <c r="I228" s="520" t="str">
        <f>IF(E228="","",IF(ISNA(VLOOKUP($E228,'D-1 Off Site Habitat Baseline'!$D$1:$O$258,7,FALSE)),"",(VLOOKUP($E228,'D-1 Off Site Habitat Baseline'!$D$1:$O$258,7,FALSE))))</f>
        <v/>
      </c>
      <c r="J228" s="520" t="str">
        <f>IF(E228="","",IF(ISNA(VLOOKUP($E228,'D-1 Off Site Habitat Baseline'!$D$1:$O$258,8,FALSE)),"",(VLOOKUP($E228,'D-1 Off Site Habitat Baseline'!$D$1:$O$258,8,FALSE))))</f>
        <v/>
      </c>
      <c r="K228" s="520" t="str">
        <f>IF(E228="","",IF(ISNA(VLOOKUP($E228,'D-1 Off Site Habitat Baseline'!$D$1:$O$258,9,FALSE)),"",(VLOOKUP($E228,'D-1 Off Site Habitat Baseline'!$D$1:$O$258,9,FALSE))))</f>
        <v/>
      </c>
      <c r="L228" s="520" t="str">
        <f>IF(E228="","",IF(ISNA(VLOOKUP($E228,'D-1 Off Site Habitat Baseline'!$D$1:$O$258,11,FALSE)),"",(VLOOKUP($E228,'D-1 Off Site Habitat Baseline'!$D$1:$O$258,11,FALSE))))</f>
        <v/>
      </c>
      <c r="M228" s="520" t="str">
        <f>IF(E228="","",IF(ISNA(VLOOKUP($E228,'D-1 Off Site Habitat Baseline'!$D$1:$O$258,12,FALSE)),"",(VLOOKUP($E228,'D-1 Off Site Habitat Baseline'!$D$1:$O$258,12,FALSE))))</f>
        <v/>
      </c>
      <c r="N228" s="520" t="str">
        <f>IF(E228="","",IF(ISNA(VLOOKUP($E228,'D-1 Off Site Habitat Baseline'!$D$1:$X$258,14,FALSE)),"",(VLOOKUP($E228,'D-1 Off Site Habitat Baseline'!$D$1:$X$258,14,FALSE))))</f>
        <v/>
      </c>
      <c r="O228" s="524" t="str">
        <f>IF(E228="","",IF(ISNA(VLOOKUP($E228,'D-1 Off Site Habitat Baseline'!$D$1:$X$258,13,FALSE)),"",(VLOOKUP($E228,'D-1 Off Site Habitat Baseline'!$D$1:$X$258,13,FALSE))))</f>
        <v/>
      </c>
      <c r="P228" s="232" t="str">
        <f>IFERROR(INDEX('G-1 All Habitats'!$AG$3:$AG$15,MATCH(Q228,'G-1 All Habitats'!$AF$3:$AF$15,0)),"")</f>
        <v/>
      </c>
      <c r="Q228" s="228" t="str">
        <f t="shared" si="45"/>
        <v/>
      </c>
      <c r="R228" s="229" t="str">
        <f t="shared" si="46"/>
        <v/>
      </c>
      <c r="S228" s="233" t="str">
        <f>IFERROR(INDEX('G-1 All Habitats'!$B$3:$B$129,MATCH(R228,'G-1 All Habitats'!$A$3:$A$129,0)),"")</f>
        <v/>
      </c>
      <c r="T228" s="507" t="str">
        <f t="shared" si="38"/>
        <v/>
      </c>
      <c r="U228" s="524" t="str">
        <f t="shared" si="39"/>
        <v/>
      </c>
      <c r="V228" s="523" t="str">
        <f t="shared" si="36"/>
        <v/>
      </c>
      <c r="W228" s="520" t="str">
        <f>IF(S228="","",VLOOKUP(S228,'G-1 All Habitats'!$B$2:$M$129,10,FALSE))</f>
        <v/>
      </c>
      <c r="X228" s="520" t="str">
        <f>IFERROR(VLOOKUP(W228,'G-1 All Habitats'!$V$3:$W$7,2,FALSE),"")</f>
        <v/>
      </c>
      <c r="Y228" s="203"/>
      <c r="Z228" s="524" t="str">
        <f>IFERROR(INDEX('G-8 Condition Look up'!$A$3:$H$130,MATCH(S228,'G-8 Condition Look up'!$A$3:$A$130,0),MATCH(Y228,'G-8 Condition Look up'!$A$3:$H$3,0)),"")</f>
        <v/>
      </c>
      <c r="AA228" s="145"/>
      <c r="AB228" s="540" t="str">
        <f>IF(AA228="","",IF(VLOOKUP(AA228,'G-3 Multipliers'!$L$3:$N$6,2,FALSE)=0,"Spatial Data Missing ⚠",VLOOKUP(AA228,'G-3 Multipliers'!$L$3:$N$6,2,FALSE)))</f>
        <v/>
      </c>
      <c r="AC228" s="524" t="str">
        <f>IF(AA228="","",IF(VLOOKUP(AA228,'G-3 Multipliers'!$L$3:$N$6,3,FALSE)=0,"Spatial Data Missing ⚠",VLOOKUP(AA228,'G-3 Multipliers'!$L$3:$N$6,3,FALSE)))</f>
        <v/>
      </c>
      <c r="AD228" s="537" t="str">
        <f t="shared" si="37"/>
        <v/>
      </c>
      <c r="AE228" s="203"/>
      <c r="AF228" s="203"/>
      <c r="AG228" s="520" t="str">
        <f t="shared" si="40"/>
        <v/>
      </c>
      <c r="AH228" s="544" t="str">
        <f t="shared" si="41"/>
        <v/>
      </c>
      <c r="AI228" s="525" t="str">
        <f>IF(AH228="Check Data ⚠","Check Data ⚠",IFERROR(VLOOKUP(AH228,'G-4 Temporal multipliers'!$A$4:$C$36,3,FALSE),""))</f>
        <v/>
      </c>
      <c r="AJ228" s="537" t="str">
        <f>IF(S228="","",VLOOKUP(S228,'G-3 Multipliers'!$A$2:$E$129,4,FALSE))</f>
        <v/>
      </c>
      <c r="AK228" s="520" t="str">
        <f t="shared" si="42"/>
        <v/>
      </c>
      <c r="AL228" s="520" t="str">
        <f t="shared" si="43"/>
        <v/>
      </c>
      <c r="AM228" s="524" t="str">
        <f>IFERROR(IF(F228="","",IF(AH228="Check Data ⚠","Check Data ⚠",VLOOKUP(AL228, 'G-3 Multipliers'!$P$2:$Q$6,2,FALSE))),"")</f>
        <v/>
      </c>
      <c r="AN228" s="197"/>
      <c r="AO228" s="540" t="str">
        <f>IF(AN228="","",IF(VLOOKUP(AN228,'G-3 Multipliers'!$S$3:$T$9,2,FALSE)=0,"Spatial Data Missing ⚠",VLOOKUP(AN228,'G-3 Multipliers'!$S$3:$T$9,2,FALSE)))</f>
        <v/>
      </c>
      <c r="AP228" s="513" t="str">
        <f t="shared" si="44"/>
        <v/>
      </c>
      <c r="AQ228" s="231"/>
      <c r="AR228" s="150"/>
    </row>
    <row r="229" spans="1:44" x14ac:dyDescent="0.25">
      <c r="A229" s="31" t="str">
        <f>IF(E229="","",IF(ISNA(VLOOKUP($E229,'D-1 Off Site Habitat Baseline'!$D$1:$O$258,2,FALSE)),"",(VLOOKUP($E229,'D-1 Off Site Habitat Baseline'!$D$1:$O$258,2,FALSE))))</f>
        <v/>
      </c>
      <c r="B229" s="31" t="str">
        <f>IF(E229="","",IF(ISNA(VLOOKUP($E229,'D-1 Off Site Habitat Baseline'!$D$1:$O$258,3,FALSE)),"",(VLOOKUP($E229,'D-1 Off Site Habitat Baseline'!$D$1:$O$258,3,FALSE))))</f>
        <v/>
      </c>
      <c r="C229" s="31" t="str">
        <f>IFERROR(INDEX('G-8 Condition Look up'!$I$4:$I$130,MATCH(S229,'G-8 Condition Look up'!$A$4:$A$130,0)),"")</f>
        <v/>
      </c>
      <c r="E229" s="547" t="str">
        <f>'D-1 Off Site Habitat Baseline'!AL228</f>
        <v/>
      </c>
      <c r="F229" s="520" t="str">
        <f>IF(E229="","",IF(ISNA(VLOOKUP($E229,'D-1 Off Site Habitat Baseline'!$D$1:$O$258,4,FALSE)),"",(VLOOKUP($E229,'D-1 Off Site Habitat Baseline'!$D$1:$O$258,4,FALSE))))</f>
        <v/>
      </c>
      <c r="G229" s="520" t="str">
        <f>IF(E229="","",IF(ISNA(VLOOKUP($E229,'D-1 Off Site Habitat Baseline'!$D$1:$O$258,5,FALSE)),"",(VLOOKUP($E229,'D-1 Off Site Habitat Baseline'!$D$1:$O$258,5,FALSE))))</f>
        <v/>
      </c>
      <c r="H229" s="520" t="str">
        <f>IF(E229="","",IF(ISNA(VLOOKUP($E229,'D-1 Off Site Habitat Baseline'!$D$1:$O$258,6,FALSE)),"",(VLOOKUP($E229,'D-1 Off Site Habitat Baseline'!$D$1:$O$258,6,FALSE))))</f>
        <v/>
      </c>
      <c r="I229" s="520" t="str">
        <f>IF(E229="","",IF(ISNA(VLOOKUP($E229,'D-1 Off Site Habitat Baseline'!$D$1:$O$258,7,FALSE)),"",(VLOOKUP($E229,'D-1 Off Site Habitat Baseline'!$D$1:$O$258,7,FALSE))))</f>
        <v/>
      </c>
      <c r="J229" s="520" t="str">
        <f>IF(E229="","",IF(ISNA(VLOOKUP($E229,'D-1 Off Site Habitat Baseline'!$D$1:$O$258,8,FALSE)),"",(VLOOKUP($E229,'D-1 Off Site Habitat Baseline'!$D$1:$O$258,8,FALSE))))</f>
        <v/>
      </c>
      <c r="K229" s="520" t="str">
        <f>IF(E229="","",IF(ISNA(VLOOKUP($E229,'D-1 Off Site Habitat Baseline'!$D$1:$O$258,9,FALSE)),"",(VLOOKUP($E229,'D-1 Off Site Habitat Baseline'!$D$1:$O$258,9,FALSE))))</f>
        <v/>
      </c>
      <c r="L229" s="520" t="str">
        <f>IF(E229="","",IF(ISNA(VLOOKUP($E229,'D-1 Off Site Habitat Baseline'!$D$1:$O$258,11,FALSE)),"",(VLOOKUP($E229,'D-1 Off Site Habitat Baseline'!$D$1:$O$258,11,FALSE))))</f>
        <v/>
      </c>
      <c r="M229" s="520" t="str">
        <f>IF(E229="","",IF(ISNA(VLOOKUP($E229,'D-1 Off Site Habitat Baseline'!$D$1:$O$258,12,FALSE)),"",(VLOOKUP($E229,'D-1 Off Site Habitat Baseline'!$D$1:$O$258,12,FALSE))))</f>
        <v/>
      </c>
      <c r="N229" s="520" t="str">
        <f>IF(E229="","",IF(ISNA(VLOOKUP($E229,'D-1 Off Site Habitat Baseline'!$D$1:$X$258,14,FALSE)),"",(VLOOKUP($E229,'D-1 Off Site Habitat Baseline'!$D$1:$X$258,14,FALSE))))</f>
        <v/>
      </c>
      <c r="O229" s="524" t="str">
        <f>IF(E229="","",IF(ISNA(VLOOKUP($E229,'D-1 Off Site Habitat Baseline'!$D$1:$X$258,13,FALSE)),"",(VLOOKUP($E229,'D-1 Off Site Habitat Baseline'!$D$1:$X$258,13,FALSE))))</f>
        <v/>
      </c>
      <c r="P229" s="232" t="str">
        <f>IFERROR(INDEX('G-1 All Habitats'!$AG$3:$AG$15,MATCH(Q229,'G-1 All Habitats'!$AF$3:$AF$15,0)),"")</f>
        <v/>
      </c>
      <c r="Q229" s="228" t="str">
        <f t="shared" si="45"/>
        <v/>
      </c>
      <c r="R229" s="229" t="str">
        <f t="shared" si="46"/>
        <v/>
      </c>
      <c r="S229" s="233" t="str">
        <f>IFERROR(INDEX('G-1 All Habitats'!$B$3:$B$129,MATCH(R229,'G-1 All Habitats'!$A$3:$A$129,0)),"")</f>
        <v/>
      </c>
      <c r="T229" s="507" t="str">
        <f t="shared" si="38"/>
        <v/>
      </c>
      <c r="U229" s="524" t="str">
        <f t="shared" si="39"/>
        <v/>
      </c>
      <c r="V229" s="523" t="str">
        <f t="shared" si="36"/>
        <v/>
      </c>
      <c r="W229" s="520" t="str">
        <f>IF(S229="","",VLOOKUP(S229,'G-1 All Habitats'!$B$2:$M$129,10,FALSE))</f>
        <v/>
      </c>
      <c r="X229" s="520" t="str">
        <f>IFERROR(VLOOKUP(W229,'G-1 All Habitats'!$V$3:$W$7,2,FALSE),"")</f>
        <v/>
      </c>
      <c r="Y229" s="203"/>
      <c r="Z229" s="524" t="str">
        <f>IFERROR(INDEX('G-8 Condition Look up'!$A$3:$H$130,MATCH(S229,'G-8 Condition Look up'!$A$3:$A$130,0),MATCH(Y229,'G-8 Condition Look up'!$A$3:$H$3,0)),"")</f>
        <v/>
      </c>
      <c r="AA229" s="145"/>
      <c r="AB229" s="540" t="str">
        <f>IF(AA229="","",IF(VLOOKUP(AA229,'G-3 Multipliers'!$L$3:$N$6,2,FALSE)=0,"Spatial Data Missing ⚠",VLOOKUP(AA229,'G-3 Multipliers'!$L$3:$N$6,2,FALSE)))</f>
        <v/>
      </c>
      <c r="AC229" s="524" t="str">
        <f>IF(AA229="","",IF(VLOOKUP(AA229,'G-3 Multipliers'!$L$3:$N$6,3,FALSE)=0,"Spatial Data Missing ⚠",VLOOKUP(AA229,'G-3 Multipliers'!$L$3:$N$6,3,FALSE)))</f>
        <v/>
      </c>
      <c r="AD229" s="537" t="str">
        <f t="shared" si="37"/>
        <v/>
      </c>
      <c r="AE229" s="203"/>
      <c r="AF229" s="203"/>
      <c r="AG229" s="520" t="str">
        <f t="shared" si="40"/>
        <v/>
      </c>
      <c r="AH229" s="544" t="str">
        <f t="shared" si="41"/>
        <v/>
      </c>
      <c r="AI229" s="525" t="str">
        <f>IF(AH229="Check Data ⚠","Check Data ⚠",IFERROR(VLOOKUP(AH229,'G-4 Temporal multipliers'!$A$4:$C$36,3,FALSE),""))</f>
        <v/>
      </c>
      <c r="AJ229" s="537" t="str">
        <f>IF(S229="","",VLOOKUP(S229,'G-3 Multipliers'!$A$2:$E$129,4,FALSE))</f>
        <v/>
      </c>
      <c r="AK229" s="520" t="str">
        <f t="shared" si="42"/>
        <v/>
      </c>
      <c r="AL229" s="520" t="str">
        <f t="shared" si="43"/>
        <v/>
      </c>
      <c r="AM229" s="524" t="str">
        <f>IFERROR(IF(F229="","",IF(AH229="Check Data ⚠","Check Data ⚠",VLOOKUP(AL229, 'G-3 Multipliers'!$P$2:$Q$6,2,FALSE))),"")</f>
        <v/>
      </c>
      <c r="AN229" s="197"/>
      <c r="AO229" s="540" t="str">
        <f>IF(AN229="","",IF(VLOOKUP(AN229,'G-3 Multipliers'!$S$3:$T$9,2,FALSE)=0,"Spatial Data Missing ⚠",VLOOKUP(AN229,'G-3 Multipliers'!$S$3:$T$9,2,FALSE)))</f>
        <v/>
      </c>
      <c r="AP229" s="513" t="str">
        <f t="shared" si="44"/>
        <v/>
      </c>
      <c r="AQ229" s="231"/>
      <c r="AR229" s="150"/>
    </row>
    <row r="230" spans="1:44" x14ac:dyDescent="0.25">
      <c r="A230" s="31" t="str">
        <f>IF(E230="","",IF(ISNA(VLOOKUP($E230,'D-1 Off Site Habitat Baseline'!$D$1:$O$258,2,FALSE)),"",(VLOOKUP($E230,'D-1 Off Site Habitat Baseline'!$D$1:$O$258,2,FALSE))))</f>
        <v/>
      </c>
      <c r="B230" s="31" t="str">
        <f>IF(E230="","",IF(ISNA(VLOOKUP($E230,'D-1 Off Site Habitat Baseline'!$D$1:$O$258,3,FALSE)),"",(VLOOKUP($E230,'D-1 Off Site Habitat Baseline'!$D$1:$O$258,3,FALSE))))</f>
        <v/>
      </c>
      <c r="C230" s="31" t="str">
        <f>IFERROR(INDEX('G-8 Condition Look up'!$I$4:$I$130,MATCH(S230,'G-8 Condition Look up'!$A$4:$A$130,0)),"")</f>
        <v/>
      </c>
      <c r="E230" s="547" t="str">
        <f>'D-1 Off Site Habitat Baseline'!AL229</f>
        <v/>
      </c>
      <c r="F230" s="520" t="str">
        <f>IF(E230="","",IF(ISNA(VLOOKUP($E230,'D-1 Off Site Habitat Baseline'!$D$1:$O$258,4,FALSE)),"",(VLOOKUP($E230,'D-1 Off Site Habitat Baseline'!$D$1:$O$258,4,FALSE))))</f>
        <v/>
      </c>
      <c r="G230" s="520" t="str">
        <f>IF(E230="","",IF(ISNA(VLOOKUP($E230,'D-1 Off Site Habitat Baseline'!$D$1:$O$258,5,FALSE)),"",(VLOOKUP($E230,'D-1 Off Site Habitat Baseline'!$D$1:$O$258,5,FALSE))))</f>
        <v/>
      </c>
      <c r="H230" s="520" t="str">
        <f>IF(E230="","",IF(ISNA(VLOOKUP($E230,'D-1 Off Site Habitat Baseline'!$D$1:$O$258,6,FALSE)),"",(VLOOKUP($E230,'D-1 Off Site Habitat Baseline'!$D$1:$O$258,6,FALSE))))</f>
        <v/>
      </c>
      <c r="I230" s="520" t="str">
        <f>IF(E230="","",IF(ISNA(VLOOKUP($E230,'D-1 Off Site Habitat Baseline'!$D$1:$O$258,7,FALSE)),"",(VLOOKUP($E230,'D-1 Off Site Habitat Baseline'!$D$1:$O$258,7,FALSE))))</f>
        <v/>
      </c>
      <c r="J230" s="520" t="str">
        <f>IF(E230="","",IF(ISNA(VLOOKUP($E230,'D-1 Off Site Habitat Baseline'!$D$1:$O$258,8,FALSE)),"",(VLOOKUP($E230,'D-1 Off Site Habitat Baseline'!$D$1:$O$258,8,FALSE))))</f>
        <v/>
      </c>
      <c r="K230" s="520" t="str">
        <f>IF(E230="","",IF(ISNA(VLOOKUP($E230,'D-1 Off Site Habitat Baseline'!$D$1:$O$258,9,FALSE)),"",(VLOOKUP($E230,'D-1 Off Site Habitat Baseline'!$D$1:$O$258,9,FALSE))))</f>
        <v/>
      </c>
      <c r="L230" s="520" t="str">
        <f>IF(E230="","",IF(ISNA(VLOOKUP($E230,'D-1 Off Site Habitat Baseline'!$D$1:$O$258,11,FALSE)),"",(VLOOKUP($E230,'D-1 Off Site Habitat Baseline'!$D$1:$O$258,11,FALSE))))</f>
        <v/>
      </c>
      <c r="M230" s="520" t="str">
        <f>IF(E230="","",IF(ISNA(VLOOKUP($E230,'D-1 Off Site Habitat Baseline'!$D$1:$O$258,12,FALSE)),"",(VLOOKUP($E230,'D-1 Off Site Habitat Baseline'!$D$1:$O$258,12,FALSE))))</f>
        <v/>
      </c>
      <c r="N230" s="520" t="str">
        <f>IF(E230="","",IF(ISNA(VLOOKUP($E230,'D-1 Off Site Habitat Baseline'!$D$1:$X$258,14,FALSE)),"",(VLOOKUP($E230,'D-1 Off Site Habitat Baseline'!$D$1:$X$258,14,FALSE))))</f>
        <v/>
      </c>
      <c r="O230" s="524" t="str">
        <f>IF(E230="","",IF(ISNA(VLOOKUP($E230,'D-1 Off Site Habitat Baseline'!$D$1:$X$258,13,FALSE)),"",(VLOOKUP($E230,'D-1 Off Site Habitat Baseline'!$D$1:$X$258,13,FALSE))))</f>
        <v/>
      </c>
      <c r="P230" s="232" t="str">
        <f>IFERROR(INDEX('G-1 All Habitats'!$AG$3:$AG$15,MATCH(Q230,'G-1 All Habitats'!$AF$3:$AF$15,0)),"")</f>
        <v/>
      </c>
      <c r="Q230" s="228" t="str">
        <f t="shared" si="45"/>
        <v/>
      </c>
      <c r="R230" s="229" t="str">
        <f t="shared" si="46"/>
        <v/>
      </c>
      <c r="S230" s="233" t="str">
        <f>IFERROR(INDEX('G-1 All Habitats'!$B$3:$B$129,MATCH(R230,'G-1 All Habitats'!$A$3:$A$129,0)),"")</f>
        <v/>
      </c>
      <c r="T230" s="507" t="str">
        <f t="shared" si="38"/>
        <v/>
      </c>
      <c r="U230" s="524" t="str">
        <f t="shared" si="39"/>
        <v/>
      </c>
      <c r="V230" s="523" t="str">
        <f t="shared" si="36"/>
        <v/>
      </c>
      <c r="W230" s="520" t="str">
        <f>IF(S230="","",VLOOKUP(S230,'G-1 All Habitats'!$B$2:$M$129,10,FALSE))</f>
        <v/>
      </c>
      <c r="X230" s="520" t="str">
        <f>IFERROR(VLOOKUP(W230,'G-1 All Habitats'!$V$3:$W$7,2,FALSE),"")</f>
        <v/>
      </c>
      <c r="Y230" s="203"/>
      <c r="Z230" s="524" t="str">
        <f>IFERROR(INDEX('G-8 Condition Look up'!$A$3:$H$130,MATCH(S230,'G-8 Condition Look up'!$A$3:$A$130,0),MATCH(Y230,'G-8 Condition Look up'!$A$3:$H$3,0)),"")</f>
        <v/>
      </c>
      <c r="AA230" s="145"/>
      <c r="AB230" s="540" t="str">
        <f>IF(AA230="","",IF(VLOOKUP(AA230,'G-3 Multipliers'!$L$3:$N$6,2,FALSE)=0,"Spatial Data Missing ⚠",VLOOKUP(AA230,'G-3 Multipliers'!$L$3:$N$6,2,FALSE)))</f>
        <v/>
      </c>
      <c r="AC230" s="524" t="str">
        <f>IF(AA230="","",IF(VLOOKUP(AA230,'G-3 Multipliers'!$L$3:$N$6,3,FALSE)=0,"Spatial Data Missing ⚠",VLOOKUP(AA230,'G-3 Multipliers'!$L$3:$N$6,3,FALSE)))</f>
        <v/>
      </c>
      <c r="AD230" s="537" t="str">
        <f t="shared" si="37"/>
        <v/>
      </c>
      <c r="AE230" s="203"/>
      <c r="AF230" s="203"/>
      <c r="AG230" s="520" t="str">
        <f t="shared" si="40"/>
        <v/>
      </c>
      <c r="AH230" s="544" t="str">
        <f t="shared" si="41"/>
        <v/>
      </c>
      <c r="AI230" s="525" t="str">
        <f>IF(AH230="Check Data ⚠","Check Data ⚠",IFERROR(VLOOKUP(AH230,'G-4 Temporal multipliers'!$A$4:$C$36,3,FALSE),""))</f>
        <v/>
      </c>
      <c r="AJ230" s="537" t="str">
        <f>IF(S230="","",VLOOKUP(S230,'G-3 Multipliers'!$A$2:$E$129,4,FALSE))</f>
        <v/>
      </c>
      <c r="AK230" s="520" t="str">
        <f t="shared" si="42"/>
        <v/>
      </c>
      <c r="AL230" s="520" t="str">
        <f t="shared" si="43"/>
        <v/>
      </c>
      <c r="AM230" s="524" t="str">
        <f>IFERROR(IF(F230="","",IF(AH230="Check Data ⚠","Check Data ⚠",VLOOKUP(AL230, 'G-3 Multipliers'!$P$2:$Q$6,2,FALSE))),"")</f>
        <v/>
      </c>
      <c r="AN230" s="197"/>
      <c r="AO230" s="540" t="str">
        <f>IF(AN230="","",IF(VLOOKUP(AN230,'G-3 Multipliers'!$S$3:$T$9,2,FALSE)=0,"Spatial Data Missing ⚠",VLOOKUP(AN230,'G-3 Multipliers'!$S$3:$T$9,2,FALSE)))</f>
        <v/>
      </c>
      <c r="AP230" s="513" t="str">
        <f t="shared" si="44"/>
        <v/>
      </c>
      <c r="AQ230" s="231"/>
      <c r="AR230" s="150"/>
    </row>
    <row r="231" spans="1:44" x14ac:dyDescent="0.25">
      <c r="A231" s="31" t="str">
        <f>IF(E231="","",IF(ISNA(VLOOKUP($E231,'D-1 Off Site Habitat Baseline'!$D$1:$O$258,2,FALSE)),"",(VLOOKUP($E231,'D-1 Off Site Habitat Baseline'!$D$1:$O$258,2,FALSE))))</f>
        <v/>
      </c>
      <c r="B231" s="31" t="str">
        <f>IF(E231="","",IF(ISNA(VLOOKUP($E231,'D-1 Off Site Habitat Baseline'!$D$1:$O$258,3,FALSE)),"",(VLOOKUP($E231,'D-1 Off Site Habitat Baseline'!$D$1:$O$258,3,FALSE))))</f>
        <v/>
      </c>
      <c r="C231" s="31" t="str">
        <f>IFERROR(INDEX('G-8 Condition Look up'!$I$4:$I$130,MATCH(S231,'G-8 Condition Look up'!$A$4:$A$130,0)),"")</f>
        <v/>
      </c>
      <c r="E231" s="547" t="str">
        <f>'D-1 Off Site Habitat Baseline'!AL230</f>
        <v/>
      </c>
      <c r="F231" s="520" t="str">
        <f>IF(E231="","",IF(ISNA(VLOOKUP($E231,'D-1 Off Site Habitat Baseline'!$D$1:$O$258,4,FALSE)),"",(VLOOKUP($E231,'D-1 Off Site Habitat Baseline'!$D$1:$O$258,4,FALSE))))</f>
        <v/>
      </c>
      <c r="G231" s="520" t="str">
        <f>IF(E231="","",IF(ISNA(VLOOKUP($E231,'D-1 Off Site Habitat Baseline'!$D$1:$O$258,5,FALSE)),"",(VLOOKUP($E231,'D-1 Off Site Habitat Baseline'!$D$1:$O$258,5,FALSE))))</f>
        <v/>
      </c>
      <c r="H231" s="520" t="str">
        <f>IF(E231="","",IF(ISNA(VLOOKUP($E231,'D-1 Off Site Habitat Baseline'!$D$1:$O$258,6,FALSE)),"",(VLOOKUP($E231,'D-1 Off Site Habitat Baseline'!$D$1:$O$258,6,FALSE))))</f>
        <v/>
      </c>
      <c r="I231" s="520" t="str">
        <f>IF(E231="","",IF(ISNA(VLOOKUP($E231,'D-1 Off Site Habitat Baseline'!$D$1:$O$258,7,FALSE)),"",(VLOOKUP($E231,'D-1 Off Site Habitat Baseline'!$D$1:$O$258,7,FALSE))))</f>
        <v/>
      </c>
      <c r="J231" s="520" t="str">
        <f>IF(E231="","",IF(ISNA(VLOOKUP($E231,'D-1 Off Site Habitat Baseline'!$D$1:$O$258,8,FALSE)),"",(VLOOKUP($E231,'D-1 Off Site Habitat Baseline'!$D$1:$O$258,8,FALSE))))</f>
        <v/>
      </c>
      <c r="K231" s="520" t="str">
        <f>IF(E231="","",IF(ISNA(VLOOKUP($E231,'D-1 Off Site Habitat Baseline'!$D$1:$O$258,9,FALSE)),"",(VLOOKUP($E231,'D-1 Off Site Habitat Baseline'!$D$1:$O$258,9,FALSE))))</f>
        <v/>
      </c>
      <c r="L231" s="520" t="str">
        <f>IF(E231="","",IF(ISNA(VLOOKUP($E231,'D-1 Off Site Habitat Baseline'!$D$1:$O$258,11,FALSE)),"",(VLOOKUP($E231,'D-1 Off Site Habitat Baseline'!$D$1:$O$258,11,FALSE))))</f>
        <v/>
      </c>
      <c r="M231" s="520" t="str">
        <f>IF(E231="","",IF(ISNA(VLOOKUP($E231,'D-1 Off Site Habitat Baseline'!$D$1:$O$258,12,FALSE)),"",(VLOOKUP($E231,'D-1 Off Site Habitat Baseline'!$D$1:$O$258,12,FALSE))))</f>
        <v/>
      </c>
      <c r="N231" s="520" t="str">
        <f>IF(E231="","",IF(ISNA(VLOOKUP($E231,'D-1 Off Site Habitat Baseline'!$D$1:$X$258,14,FALSE)),"",(VLOOKUP($E231,'D-1 Off Site Habitat Baseline'!$D$1:$X$258,14,FALSE))))</f>
        <v/>
      </c>
      <c r="O231" s="524" t="str">
        <f>IF(E231="","",IF(ISNA(VLOOKUP($E231,'D-1 Off Site Habitat Baseline'!$D$1:$X$258,13,FALSE)),"",(VLOOKUP($E231,'D-1 Off Site Habitat Baseline'!$D$1:$X$258,13,FALSE))))</f>
        <v/>
      </c>
      <c r="P231" s="232" t="str">
        <f>IFERROR(INDEX('G-1 All Habitats'!$AG$3:$AG$15,MATCH(Q231,'G-1 All Habitats'!$AF$3:$AF$15,0)),"")</f>
        <v/>
      </c>
      <c r="Q231" s="228" t="str">
        <f t="shared" si="45"/>
        <v/>
      </c>
      <c r="R231" s="229" t="str">
        <f t="shared" si="46"/>
        <v/>
      </c>
      <c r="S231" s="233" t="str">
        <f>IFERROR(INDEX('G-1 All Habitats'!$B$3:$B$129,MATCH(R231,'G-1 All Habitats'!$A$3:$A$129,0)),"")</f>
        <v/>
      </c>
      <c r="T231" s="507" t="str">
        <f t="shared" si="38"/>
        <v/>
      </c>
      <c r="U231" s="524" t="str">
        <f t="shared" si="39"/>
        <v/>
      </c>
      <c r="V231" s="523" t="str">
        <f t="shared" si="36"/>
        <v/>
      </c>
      <c r="W231" s="520" t="str">
        <f>IF(S231="","",VLOOKUP(S231,'G-1 All Habitats'!$B$2:$M$129,10,FALSE))</f>
        <v/>
      </c>
      <c r="X231" s="520" t="str">
        <f>IFERROR(VLOOKUP(W231,'G-1 All Habitats'!$V$3:$W$7,2,FALSE),"")</f>
        <v/>
      </c>
      <c r="Y231" s="203"/>
      <c r="Z231" s="524" t="str">
        <f>IFERROR(INDEX('G-8 Condition Look up'!$A$3:$H$130,MATCH(S231,'G-8 Condition Look up'!$A$3:$A$130,0),MATCH(Y231,'G-8 Condition Look up'!$A$3:$H$3,0)),"")</f>
        <v/>
      </c>
      <c r="AA231" s="145"/>
      <c r="AB231" s="540" t="str">
        <f>IF(AA231="","",IF(VLOOKUP(AA231,'G-3 Multipliers'!$L$3:$N$6,2,FALSE)=0,"Spatial Data Missing ⚠",VLOOKUP(AA231,'G-3 Multipliers'!$L$3:$N$6,2,FALSE)))</f>
        <v/>
      </c>
      <c r="AC231" s="524" t="str">
        <f>IF(AA231="","",IF(VLOOKUP(AA231,'G-3 Multipliers'!$L$3:$N$6,3,FALSE)=0,"Spatial Data Missing ⚠",VLOOKUP(AA231,'G-3 Multipliers'!$L$3:$N$6,3,FALSE)))</f>
        <v/>
      </c>
      <c r="AD231" s="537" t="str">
        <f t="shared" si="37"/>
        <v/>
      </c>
      <c r="AE231" s="203"/>
      <c r="AF231" s="203"/>
      <c r="AG231" s="520" t="str">
        <f t="shared" si="40"/>
        <v/>
      </c>
      <c r="AH231" s="544" t="str">
        <f t="shared" si="41"/>
        <v/>
      </c>
      <c r="AI231" s="525" t="str">
        <f>IF(AH231="Check Data ⚠","Check Data ⚠",IFERROR(VLOOKUP(AH231,'G-4 Temporal multipliers'!$A$4:$C$36,3,FALSE),""))</f>
        <v/>
      </c>
      <c r="AJ231" s="537" t="str">
        <f>IF(S231="","",VLOOKUP(S231,'G-3 Multipliers'!$A$2:$E$129,4,FALSE))</f>
        <v/>
      </c>
      <c r="AK231" s="520" t="str">
        <f t="shared" si="42"/>
        <v/>
      </c>
      <c r="AL231" s="520" t="str">
        <f t="shared" si="43"/>
        <v/>
      </c>
      <c r="AM231" s="524" t="str">
        <f>IFERROR(IF(F231="","",IF(AH231="Check Data ⚠","Check Data ⚠",VLOOKUP(AL231, 'G-3 Multipliers'!$P$2:$Q$6,2,FALSE))),"")</f>
        <v/>
      </c>
      <c r="AN231" s="197"/>
      <c r="AO231" s="540" t="str">
        <f>IF(AN231="","",IF(VLOOKUP(AN231,'G-3 Multipliers'!$S$3:$T$9,2,FALSE)=0,"Spatial Data Missing ⚠",VLOOKUP(AN231,'G-3 Multipliers'!$S$3:$T$9,2,FALSE)))</f>
        <v/>
      </c>
      <c r="AP231" s="513" t="str">
        <f t="shared" si="44"/>
        <v/>
      </c>
      <c r="AQ231" s="231"/>
      <c r="AR231" s="150"/>
    </row>
    <row r="232" spans="1:44" x14ac:dyDescent="0.25">
      <c r="A232" s="31" t="str">
        <f>IF(E232="","",IF(ISNA(VLOOKUP($E232,'D-1 Off Site Habitat Baseline'!$D$1:$O$258,2,FALSE)),"",(VLOOKUP($E232,'D-1 Off Site Habitat Baseline'!$D$1:$O$258,2,FALSE))))</f>
        <v/>
      </c>
      <c r="B232" s="31" t="str">
        <f>IF(E232="","",IF(ISNA(VLOOKUP($E232,'D-1 Off Site Habitat Baseline'!$D$1:$O$258,3,FALSE)),"",(VLOOKUP($E232,'D-1 Off Site Habitat Baseline'!$D$1:$O$258,3,FALSE))))</f>
        <v/>
      </c>
      <c r="C232" s="31" t="str">
        <f>IFERROR(INDEX('G-8 Condition Look up'!$I$4:$I$130,MATCH(S232,'G-8 Condition Look up'!$A$4:$A$130,0)),"")</f>
        <v/>
      </c>
      <c r="E232" s="547" t="str">
        <f>'D-1 Off Site Habitat Baseline'!AL231</f>
        <v/>
      </c>
      <c r="F232" s="520" t="str">
        <f>IF(E232="","",IF(ISNA(VLOOKUP($E232,'D-1 Off Site Habitat Baseline'!$D$1:$O$258,4,FALSE)),"",(VLOOKUP($E232,'D-1 Off Site Habitat Baseline'!$D$1:$O$258,4,FALSE))))</f>
        <v/>
      </c>
      <c r="G232" s="520" t="str">
        <f>IF(E232="","",IF(ISNA(VLOOKUP($E232,'D-1 Off Site Habitat Baseline'!$D$1:$O$258,5,FALSE)),"",(VLOOKUP($E232,'D-1 Off Site Habitat Baseline'!$D$1:$O$258,5,FALSE))))</f>
        <v/>
      </c>
      <c r="H232" s="520" t="str">
        <f>IF(E232="","",IF(ISNA(VLOOKUP($E232,'D-1 Off Site Habitat Baseline'!$D$1:$O$258,6,FALSE)),"",(VLOOKUP($E232,'D-1 Off Site Habitat Baseline'!$D$1:$O$258,6,FALSE))))</f>
        <v/>
      </c>
      <c r="I232" s="520" t="str">
        <f>IF(E232="","",IF(ISNA(VLOOKUP($E232,'D-1 Off Site Habitat Baseline'!$D$1:$O$258,7,FALSE)),"",(VLOOKUP($E232,'D-1 Off Site Habitat Baseline'!$D$1:$O$258,7,FALSE))))</f>
        <v/>
      </c>
      <c r="J232" s="520" t="str">
        <f>IF(E232="","",IF(ISNA(VLOOKUP($E232,'D-1 Off Site Habitat Baseline'!$D$1:$O$258,8,FALSE)),"",(VLOOKUP($E232,'D-1 Off Site Habitat Baseline'!$D$1:$O$258,8,FALSE))))</f>
        <v/>
      </c>
      <c r="K232" s="520" t="str">
        <f>IF(E232="","",IF(ISNA(VLOOKUP($E232,'D-1 Off Site Habitat Baseline'!$D$1:$O$258,9,FALSE)),"",(VLOOKUP($E232,'D-1 Off Site Habitat Baseline'!$D$1:$O$258,9,FALSE))))</f>
        <v/>
      </c>
      <c r="L232" s="520" t="str">
        <f>IF(E232="","",IF(ISNA(VLOOKUP($E232,'D-1 Off Site Habitat Baseline'!$D$1:$O$258,11,FALSE)),"",(VLOOKUP($E232,'D-1 Off Site Habitat Baseline'!$D$1:$O$258,11,FALSE))))</f>
        <v/>
      </c>
      <c r="M232" s="520" t="str">
        <f>IF(E232="","",IF(ISNA(VLOOKUP($E232,'D-1 Off Site Habitat Baseline'!$D$1:$O$258,12,FALSE)),"",(VLOOKUP($E232,'D-1 Off Site Habitat Baseline'!$D$1:$O$258,12,FALSE))))</f>
        <v/>
      </c>
      <c r="N232" s="520" t="str">
        <f>IF(E232="","",IF(ISNA(VLOOKUP($E232,'D-1 Off Site Habitat Baseline'!$D$1:$X$258,14,FALSE)),"",(VLOOKUP($E232,'D-1 Off Site Habitat Baseline'!$D$1:$X$258,14,FALSE))))</f>
        <v/>
      </c>
      <c r="O232" s="524" t="str">
        <f>IF(E232="","",IF(ISNA(VLOOKUP($E232,'D-1 Off Site Habitat Baseline'!$D$1:$X$258,13,FALSE)),"",(VLOOKUP($E232,'D-1 Off Site Habitat Baseline'!$D$1:$X$258,13,FALSE))))</f>
        <v/>
      </c>
      <c r="P232" s="232" t="str">
        <f>IFERROR(INDEX('G-1 All Habitats'!$AG$3:$AG$15,MATCH(Q232,'G-1 All Habitats'!$AF$3:$AF$15,0)),"")</f>
        <v/>
      </c>
      <c r="Q232" s="228" t="str">
        <f t="shared" si="45"/>
        <v/>
      </c>
      <c r="R232" s="229" t="str">
        <f t="shared" si="46"/>
        <v/>
      </c>
      <c r="S232" s="233" t="str">
        <f>IFERROR(INDEX('G-1 All Habitats'!$B$3:$B$129,MATCH(R232,'G-1 All Habitats'!$A$3:$A$129,0)),"")</f>
        <v/>
      </c>
      <c r="T232" s="507" t="str">
        <f t="shared" si="38"/>
        <v/>
      </c>
      <c r="U232" s="524" t="str">
        <f t="shared" si="39"/>
        <v/>
      </c>
      <c r="V232" s="523" t="str">
        <f t="shared" si="36"/>
        <v/>
      </c>
      <c r="W232" s="520" t="str">
        <f>IF(S232="","",VLOOKUP(S232,'G-1 All Habitats'!$B$2:$M$129,10,FALSE))</f>
        <v/>
      </c>
      <c r="X232" s="520" t="str">
        <f>IFERROR(VLOOKUP(W232,'G-1 All Habitats'!$V$3:$W$7,2,FALSE),"")</f>
        <v/>
      </c>
      <c r="Y232" s="203"/>
      <c r="Z232" s="524" t="str">
        <f>IFERROR(INDEX('G-8 Condition Look up'!$A$3:$H$130,MATCH(S232,'G-8 Condition Look up'!$A$3:$A$130,0),MATCH(Y232,'G-8 Condition Look up'!$A$3:$H$3,0)),"")</f>
        <v/>
      </c>
      <c r="AA232" s="145"/>
      <c r="AB232" s="540" t="str">
        <f>IF(AA232="","",IF(VLOOKUP(AA232,'G-3 Multipliers'!$L$3:$N$6,2,FALSE)=0,"Spatial Data Missing ⚠",VLOOKUP(AA232,'G-3 Multipliers'!$L$3:$N$6,2,FALSE)))</f>
        <v/>
      </c>
      <c r="AC232" s="524" t="str">
        <f>IF(AA232="","",IF(VLOOKUP(AA232,'G-3 Multipliers'!$L$3:$N$6,3,FALSE)=0,"Spatial Data Missing ⚠",VLOOKUP(AA232,'G-3 Multipliers'!$L$3:$N$6,3,FALSE)))</f>
        <v/>
      </c>
      <c r="AD232" s="537" t="str">
        <f t="shared" si="37"/>
        <v/>
      </c>
      <c r="AE232" s="203"/>
      <c r="AF232" s="203"/>
      <c r="AG232" s="520" t="str">
        <f t="shared" si="40"/>
        <v/>
      </c>
      <c r="AH232" s="544" t="str">
        <f t="shared" si="41"/>
        <v/>
      </c>
      <c r="AI232" s="525" t="str">
        <f>IF(AH232="Check Data ⚠","Check Data ⚠",IFERROR(VLOOKUP(AH232,'G-4 Temporal multipliers'!$A$4:$C$36,3,FALSE),""))</f>
        <v/>
      </c>
      <c r="AJ232" s="537" t="str">
        <f>IF(S232="","",VLOOKUP(S232,'G-3 Multipliers'!$A$2:$E$129,4,FALSE))</f>
        <v/>
      </c>
      <c r="AK232" s="520" t="str">
        <f t="shared" si="42"/>
        <v/>
      </c>
      <c r="AL232" s="520" t="str">
        <f t="shared" si="43"/>
        <v/>
      </c>
      <c r="AM232" s="524" t="str">
        <f>IFERROR(IF(F232="","",IF(AH232="Check Data ⚠","Check Data ⚠",VLOOKUP(AL232, 'G-3 Multipliers'!$P$2:$Q$6,2,FALSE))),"")</f>
        <v/>
      </c>
      <c r="AN232" s="197"/>
      <c r="AO232" s="540" t="str">
        <f>IF(AN232="","",IF(VLOOKUP(AN232,'G-3 Multipliers'!$S$3:$T$9,2,FALSE)=0,"Spatial Data Missing ⚠",VLOOKUP(AN232,'G-3 Multipliers'!$S$3:$T$9,2,FALSE)))</f>
        <v/>
      </c>
      <c r="AP232" s="513" t="str">
        <f t="shared" si="44"/>
        <v/>
      </c>
      <c r="AQ232" s="231"/>
      <c r="AR232" s="150"/>
    </row>
    <row r="233" spans="1:44" x14ac:dyDescent="0.25">
      <c r="A233" s="31" t="str">
        <f>IF(E233="","",IF(ISNA(VLOOKUP($E233,'D-1 Off Site Habitat Baseline'!$D$1:$O$258,2,FALSE)),"",(VLOOKUP($E233,'D-1 Off Site Habitat Baseline'!$D$1:$O$258,2,FALSE))))</f>
        <v/>
      </c>
      <c r="B233" s="31" t="str">
        <f>IF(E233="","",IF(ISNA(VLOOKUP($E233,'D-1 Off Site Habitat Baseline'!$D$1:$O$258,3,FALSE)),"",(VLOOKUP($E233,'D-1 Off Site Habitat Baseline'!$D$1:$O$258,3,FALSE))))</f>
        <v/>
      </c>
      <c r="C233" s="31" t="str">
        <f>IFERROR(INDEX('G-8 Condition Look up'!$I$4:$I$130,MATCH(S233,'G-8 Condition Look up'!$A$4:$A$130,0)),"")</f>
        <v/>
      </c>
      <c r="E233" s="547" t="str">
        <f>'D-1 Off Site Habitat Baseline'!AL232</f>
        <v/>
      </c>
      <c r="F233" s="520" t="str">
        <f>IF(E233="","",IF(ISNA(VLOOKUP($E233,'D-1 Off Site Habitat Baseline'!$D$1:$O$258,4,FALSE)),"",(VLOOKUP($E233,'D-1 Off Site Habitat Baseline'!$D$1:$O$258,4,FALSE))))</f>
        <v/>
      </c>
      <c r="G233" s="520" t="str">
        <f>IF(E233="","",IF(ISNA(VLOOKUP($E233,'D-1 Off Site Habitat Baseline'!$D$1:$O$258,5,FALSE)),"",(VLOOKUP($E233,'D-1 Off Site Habitat Baseline'!$D$1:$O$258,5,FALSE))))</f>
        <v/>
      </c>
      <c r="H233" s="520" t="str">
        <f>IF(E233="","",IF(ISNA(VLOOKUP($E233,'D-1 Off Site Habitat Baseline'!$D$1:$O$258,6,FALSE)),"",(VLOOKUP($E233,'D-1 Off Site Habitat Baseline'!$D$1:$O$258,6,FALSE))))</f>
        <v/>
      </c>
      <c r="I233" s="520" t="str">
        <f>IF(E233="","",IF(ISNA(VLOOKUP($E233,'D-1 Off Site Habitat Baseline'!$D$1:$O$258,7,FALSE)),"",(VLOOKUP($E233,'D-1 Off Site Habitat Baseline'!$D$1:$O$258,7,FALSE))))</f>
        <v/>
      </c>
      <c r="J233" s="520" t="str">
        <f>IF(E233="","",IF(ISNA(VLOOKUP($E233,'D-1 Off Site Habitat Baseline'!$D$1:$O$258,8,FALSE)),"",(VLOOKUP($E233,'D-1 Off Site Habitat Baseline'!$D$1:$O$258,8,FALSE))))</f>
        <v/>
      </c>
      <c r="K233" s="520" t="str">
        <f>IF(E233="","",IF(ISNA(VLOOKUP($E233,'D-1 Off Site Habitat Baseline'!$D$1:$O$258,9,FALSE)),"",(VLOOKUP($E233,'D-1 Off Site Habitat Baseline'!$D$1:$O$258,9,FALSE))))</f>
        <v/>
      </c>
      <c r="L233" s="520" t="str">
        <f>IF(E233="","",IF(ISNA(VLOOKUP($E233,'D-1 Off Site Habitat Baseline'!$D$1:$O$258,11,FALSE)),"",(VLOOKUP($E233,'D-1 Off Site Habitat Baseline'!$D$1:$O$258,11,FALSE))))</f>
        <v/>
      </c>
      <c r="M233" s="520" t="str">
        <f>IF(E233="","",IF(ISNA(VLOOKUP($E233,'D-1 Off Site Habitat Baseline'!$D$1:$O$258,12,FALSE)),"",(VLOOKUP($E233,'D-1 Off Site Habitat Baseline'!$D$1:$O$258,12,FALSE))))</f>
        <v/>
      </c>
      <c r="N233" s="520" t="str">
        <f>IF(E233="","",IF(ISNA(VLOOKUP($E233,'D-1 Off Site Habitat Baseline'!$D$1:$X$258,14,FALSE)),"",(VLOOKUP($E233,'D-1 Off Site Habitat Baseline'!$D$1:$X$258,14,FALSE))))</f>
        <v/>
      </c>
      <c r="O233" s="524" t="str">
        <f>IF(E233="","",IF(ISNA(VLOOKUP($E233,'D-1 Off Site Habitat Baseline'!$D$1:$X$258,13,FALSE)),"",(VLOOKUP($E233,'D-1 Off Site Habitat Baseline'!$D$1:$X$258,13,FALSE))))</f>
        <v/>
      </c>
      <c r="P233" s="232" t="str">
        <f>IFERROR(INDEX('G-1 All Habitats'!$AG$3:$AG$15,MATCH(Q233,'G-1 All Habitats'!$AF$3:$AF$15,0)),"")</f>
        <v/>
      </c>
      <c r="Q233" s="228" t="str">
        <f t="shared" si="45"/>
        <v/>
      </c>
      <c r="R233" s="229" t="str">
        <f t="shared" si="46"/>
        <v/>
      </c>
      <c r="S233" s="233" t="str">
        <f>IFERROR(INDEX('G-1 All Habitats'!$B$3:$B$129,MATCH(R233,'G-1 All Habitats'!$A$3:$A$129,0)),"")</f>
        <v/>
      </c>
      <c r="T233" s="507" t="str">
        <f t="shared" si="38"/>
        <v/>
      </c>
      <c r="U233" s="524" t="str">
        <f t="shared" si="39"/>
        <v/>
      </c>
      <c r="V233" s="523" t="str">
        <f t="shared" si="36"/>
        <v/>
      </c>
      <c r="W233" s="520" t="str">
        <f>IF(S233="","",VLOOKUP(S233,'G-1 All Habitats'!$B$2:$M$129,10,FALSE))</f>
        <v/>
      </c>
      <c r="X233" s="520" t="str">
        <f>IFERROR(VLOOKUP(W233,'G-1 All Habitats'!$V$3:$W$7,2,FALSE),"")</f>
        <v/>
      </c>
      <c r="Y233" s="203"/>
      <c r="Z233" s="524" t="str">
        <f>IFERROR(INDEX('G-8 Condition Look up'!$A$3:$H$130,MATCH(S233,'G-8 Condition Look up'!$A$3:$A$130,0),MATCH(Y233,'G-8 Condition Look up'!$A$3:$H$3,0)),"")</f>
        <v/>
      </c>
      <c r="AA233" s="145"/>
      <c r="AB233" s="540" t="str">
        <f>IF(AA233="","",IF(VLOOKUP(AA233,'G-3 Multipliers'!$L$3:$N$6,2,FALSE)=0,"Spatial Data Missing ⚠",VLOOKUP(AA233,'G-3 Multipliers'!$L$3:$N$6,2,FALSE)))</f>
        <v/>
      </c>
      <c r="AC233" s="524" t="str">
        <f>IF(AA233="","",IF(VLOOKUP(AA233,'G-3 Multipliers'!$L$3:$N$6,3,FALSE)=0,"Spatial Data Missing ⚠",VLOOKUP(AA233,'G-3 Multipliers'!$L$3:$N$6,3,FALSE)))</f>
        <v/>
      </c>
      <c r="AD233" s="537" t="str">
        <f t="shared" si="37"/>
        <v/>
      </c>
      <c r="AE233" s="203"/>
      <c r="AF233" s="203"/>
      <c r="AG233" s="520" t="str">
        <f t="shared" si="40"/>
        <v/>
      </c>
      <c r="AH233" s="544" t="str">
        <f t="shared" si="41"/>
        <v/>
      </c>
      <c r="AI233" s="525" t="str">
        <f>IF(AH233="Check Data ⚠","Check Data ⚠",IFERROR(VLOOKUP(AH233,'G-4 Temporal multipliers'!$A$4:$C$36,3,FALSE),""))</f>
        <v/>
      </c>
      <c r="AJ233" s="537" t="str">
        <f>IF(S233="","",VLOOKUP(S233,'G-3 Multipliers'!$A$2:$E$129,4,FALSE))</f>
        <v/>
      </c>
      <c r="AK233" s="520" t="str">
        <f t="shared" si="42"/>
        <v/>
      </c>
      <c r="AL233" s="520" t="str">
        <f t="shared" si="43"/>
        <v/>
      </c>
      <c r="AM233" s="524" t="str">
        <f>IFERROR(IF(F233="","",IF(AH233="Check Data ⚠","Check Data ⚠",VLOOKUP(AL233, 'G-3 Multipliers'!$P$2:$Q$6,2,FALSE))),"")</f>
        <v/>
      </c>
      <c r="AN233" s="197"/>
      <c r="AO233" s="540" t="str">
        <f>IF(AN233="","",IF(VLOOKUP(AN233,'G-3 Multipliers'!$S$3:$T$9,2,FALSE)=0,"Spatial Data Missing ⚠",VLOOKUP(AN233,'G-3 Multipliers'!$S$3:$T$9,2,FALSE)))</f>
        <v/>
      </c>
      <c r="AP233" s="513" t="str">
        <f t="shared" si="44"/>
        <v/>
      </c>
      <c r="AQ233" s="231"/>
      <c r="AR233" s="150"/>
    </row>
    <row r="234" spans="1:44" x14ac:dyDescent="0.25">
      <c r="A234" s="31" t="str">
        <f>IF(E234="","",IF(ISNA(VLOOKUP($E234,'D-1 Off Site Habitat Baseline'!$D$1:$O$258,2,FALSE)),"",(VLOOKUP($E234,'D-1 Off Site Habitat Baseline'!$D$1:$O$258,2,FALSE))))</f>
        <v/>
      </c>
      <c r="B234" s="31" t="str">
        <f>IF(E234="","",IF(ISNA(VLOOKUP($E234,'D-1 Off Site Habitat Baseline'!$D$1:$O$258,3,FALSE)),"",(VLOOKUP($E234,'D-1 Off Site Habitat Baseline'!$D$1:$O$258,3,FALSE))))</f>
        <v/>
      </c>
      <c r="C234" s="31" t="str">
        <f>IFERROR(INDEX('G-8 Condition Look up'!$I$4:$I$130,MATCH(S234,'G-8 Condition Look up'!$A$4:$A$130,0)),"")</f>
        <v/>
      </c>
      <c r="E234" s="547" t="str">
        <f>'D-1 Off Site Habitat Baseline'!AL233</f>
        <v/>
      </c>
      <c r="F234" s="520" t="str">
        <f>IF(E234="","",IF(ISNA(VLOOKUP($E234,'D-1 Off Site Habitat Baseline'!$D$1:$O$258,4,FALSE)),"",(VLOOKUP($E234,'D-1 Off Site Habitat Baseline'!$D$1:$O$258,4,FALSE))))</f>
        <v/>
      </c>
      <c r="G234" s="520" t="str">
        <f>IF(E234="","",IF(ISNA(VLOOKUP($E234,'D-1 Off Site Habitat Baseline'!$D$1:$O$258,5,FALSE)),"",(VLOOKUP($E234,'D-1 Off Site Habitat Baseline'!$D$1:$O$258,5,FALSE))))</f>
        <v/>
      </c>
      <c r="H234" s="520" t="str">
        <f>IF(E234="","",IF(ISNA(VLOOKUP($E234,'D-1 Off Site Habitat Baseline'!$D$1:$O$258,6,FALSE)),"",(VLOOKUP($E234,'D-1 Off Site Habitat Baseline'!$D$1:$O$258,6,FALSE))))</f>
        <v/>
      </c>
      <c r="I234" s="520" t="str">
        <f>IF(E234="","",IF(ISNA(VLOOKUP($E234,'D-1 Off Site Habitat Baseline'!$D$1:$O$258,7,FALSE)),"",(VLOOKUP($E234,'D-1 Off Site Habitat Baseline'!$D$1:$O$258,7,FALSE))))</f>
        <v/>
      </c>
      <c r="J234" s="520" t="str">
        <f>IF(E234="","",IF(ISNA(VLOOKUP($E234,'D-1 Off Site Habitat Baseline'!$D$1:$O$258,8,FALSE)),"",(VLOOKUP($E234,'D-1 Off Site Habitat Baseline'!$D$1:$O$258,8,FALSE))))</f>
        <v/>
      </c>
      <c r="K234" s="520" t="str">
        <f>IF(E234="","",IF(ISNA(VLOOKUP($E234,'D-1 Off Site Habitat Baseline'!$D$1:$O$258,9,FALSE)),"",(VLOOKUP($E234,'D-1 Off Site Habitat Baseline'!$D$1:$O$258,9,FALSE))))</f>
        <v/>
      </c>
      <c r="L234" s="520" t="str">
        <f>IF(E234="","",IF(ISNA(VLOOKUP($E234,'D-1 Off Site Habitat Baseline'!$D$1:$O$258,11,FALSE)),"",(VLOOKUP($E234,'D-1 Off Site Habitat Baseline'!$D$1:$O$258,11,FALSE))))</f>
        <v/>
      </c>
      <c r="M234" s="520" t="str">
        <f>IF(E234="","",IF(ISNA(VLOOKUP($E234,'D-1 Off Site Habitat Baseline'!$D$1:$O$258,12,FALSE)),"",(VLOOKUP($E234,'D-1 Off Site Habitat Baseline'!$D$1:$O$258,12,FALSE))))</f>
        <v/>
      </c>
      <c r="N234" s="520" t="str">
        <f>IF(E234="","",IF(ISNA(VLOOKUP($E234,'D-1 Off Site Habitat Baseline'!$D$1:$X$258,14,FALSE)),"",(VLOOKUP($E234,'D-1 Off Site Habitat Baseline'!$D$1:$X$258,14,FALSE))))</f>
        <v/>
      </c>
      <c r="O234" s="524" t="str">
        <f>IF(E234="","",IF(ISNA(VLOOKUP($E234,'D-1 Off Site Habitat Baseline'!$D$1:$X$258,13,FALSE)),"",(VLOOKUP($E234,'D-1 Off Site Habitat Baseline'!$D$1:$X$258,13,FALSE))))</f>
        <v/>
      </c>
      <c r="P234" s="232" t="str">
        <f>IFERROR(INDEX('G-1 All Habitats'!$AG$3:$AG$15,MATCH(Q234,'G-1 All Habitats'!$AF$3:$AF$15,0)),"")</f>
        <v/>
      </c>
      <c r="Q234" s="228" t="str">
        <f t="shared" si="45"/>
        <v/>
      </c>
      <c r="R234" s="229" t="str">
        <f t="shared" si="46"/>
        <v/>
      </c>
      <c r="S234" s="233" t="str">
        <f>IFERROR(INDEX('G-1 All Habitats'!$B$3:$B$129,MATCH(R234,'G-1 All Habitats'!$A$3:$A$129,0)),"")</f>
        <v/>
      </c>
      <c r="T234" s="507" t="str">
        <f t="shared" si="38"/>
        <v/>
      </c>
      <c r="U234" s="524" t="str">
        <f t="shared" si="39"/>
        <v/>
      </c>
      <c r="V234" s="523" t="str">
        <f t="shared" si="36"/>
        <v/>
      </c>
      <c r="W234" s="520" t="str">
        <f>IF(S234="","",VLOOKUP(S234,'G-1 All Habitats'!$B$2:$M$129,10,FALSE))</f>
        <v/>
      </c>
      <c r="X234" s="520" t="str">
        <f>IFERROR(VLOOKUP(W234,'G-1 All Habitats'!$V$3:$W$7,2,FALSE),"")</f>
        <v/>
      </c>
      <c r="Y234" s="203"/>
      <c r="Z234" s="524" t="str">
        <f>IFERROR(INDEX('G-8 Condition Look up'!$A$3:$H$130,MATCH(S234,'G-8 Condition Look up'!$A$3:$A$130,0),MATCH(Y234,'G-8 Condition Look up'!$A$3:$H$3,0)),"")</f>
        <v/>
      </c>
      <c r="AA234" s="145"/>
      <c r="AB234" s="540" t="str">
        <f>IF(AA234="","",IF(VLOOKUP(AA234,'G-3 Multipliers'!$L$3:$N$6,2,FALSE)=0,"Spatial Data Missing ⚠",VLOOKUP(AA234,'G-3 Multipliers'!$L$3:$N$6,2,FALSE)))</f>
        <v/>
      </c>
      <c r="AC234" s="524" t="str">
        <f>IF(AA234="","",IF(VLOOKUP(AA234,'G-3 Multipliers'!$L$3:$N$6,3,FALSE)=0,"Spatial Data Missing ⚠",VLOOKUP(AA234,'G-3 Multipliers'!$L$3:$N$6,3,FALSE)))</f>
        <v/>
      </c>
      <c r="AD234" s="537" t="str">
        <f t="shared" si="37"/>
        <v/>
      </c>
      <c r="AE234" s="203"/>
      <c r="AF234" s="203"/>
      <c r="AG234" s="520" t="str">
        <f t="shared" si="40"/>
        <v/>
      </c>
      <c r="AH234" s="544" t="str">
        <f t="shared" si="41"/>
        <v/>
      </c>
      <c r="AI234" s="525" t="str">
        <f>IF(AH234="Check Data ⚠","Check Data ⚠",IFERROR(VLOOKUP(AH234,'G-4 Temporal multipliers'!$A$4:$C$36,3,FALSE),""))</f>
        <v/>
      </c>
      <c r="AJ234" s="537" t="str">
        <f>IF(S234="","",VLOOKUP(S234,'G-3 Multipliers'!$A$2:$E$129,4,FALSE))</f>
        <v/>
      </c>
      <c r="AK234" s="520" t="str">
        <f t="shared" si="42"/>
        <v/>
      </c>
      <c r="AL234" s="520" t="str">
        <f t="shared" si="43"/>
        <v/>
      </c>
      <c r="AM234" s="524" t="str">
        <f>IFERROR(IF(F234="","",IF(AH234="Check Data ⚠","Check Data ⚠",VLOOKUP(AL234, 'G-3 Multipliers'!$P$2:$Q$6,2,FALSE))),"")</f>
        <v/>
      </c>
      <c r="AN234" s="197"/>
      <c r="AO234" s="540" t="str">
        <f>IF(AN234="","",IF(VLOOKUP(AN234,'G-3 Multipliers'!$S$3:$T$9,2,FALSE)=0,"Spatial Data Missing ⚠",VLOOKUP(AN234,'G-3 Multipliers'!$S$3:$T$9,2,FALSE)))</f>
        <v/>
      </c>
      <c r="AP234" s="513" t="str">
        <f t="shared" si="44"/>
        <v/>
      </c>
      <c r="AQ234" s="231"/>
      <c r="AR234" s="150"/>
    </row>
    <row r="235" spans="1:44" x14ac:dyDescent="0.25">
      <c r="A235" s="31" t="str">
        <f>IF(E235="","",IF(ISNA(VLOOKUP($E235,'D-1 Off Site Habitat Baseline'!$D$1:$O$258,2,FALSE)),"",(VLOOKUP($E235,'D-1 Off Site Habitat Baseline'!$D$1:$O$258,2,FALSE))))</f>
        <v/>
      </c>
      <c r="B235" s="31" t="str">
        <f>IF(E235="","",IF(ISNA(VLOOKUP($E235,'D-1 Off Site Habitat Baseline'!$D$1:$O$258,3,FALSE)),"",(VLOOKUP($E235,'D-1 Off Site Habitat Baseline'!$D$1:$O$258,3,FALSE))))</f>
        <v/>
      </c>
      <c r="C235" s="31" t="str">
        <f>IFERROR(INDEX('G-8 Condition Look up'!$I$4:$I$130,MATCH(S235,'G-8 Condition Look up'!$A$4:$A$130,0)),"")</f>
        <v/>
      </c>
      <c r="E235" s="547" t="str">
        <f>'D-1 Off Site Habitat Baseline'!AL234</f>
        <v/>
      </c>
      <c r="F235" s="520" t="str">
        <f>IF(E235="","",IF(ISNA(VLOOKUP($E235,'D-1 Off Site Habitat Baseline'!$D$1:$O$258,4,FALSE)),"",(VLOOKUP($E235,'D-1 Off Site Habitat Baseline'!$D$1:$O$258,4,FALSE))))</f>
        <v/>
      </c>
      <c r="G235" s="520" t="str">
        <f>IF(E235="","",IF(ISNA(VLOOKUP($E235,'D-1 Off Site Habitat Baseline'!$D$1:$O$258,5,FALSE)),"",(VLOOKUP($E235,'D-1 Off Site Habitat Baseline'!$D$1:$O$258,5,FALSE))))</f>
        <v/>
      </c>
      <c r="H235" s="520" t="str">
        <f>IF(E235="","",IF(ISNA(VLOOKUP($E235,'D-1 Off Site Habitat Baseline'!$D$1:$O$258,6,FALSE)),"",(VLOOKUP($E235,'D-1 Off Site Habitat Baseline'!$D$1:$O$258,6,FALSE))))</f>
        <v/>
      </c>
      <c r="I235" s="520" t="str">
        <f>IF(E235="","",IF(ISNA(VLOOKUP($E235,'D-1 Off Site Habitat Baseline'!$D$1:$O$258,7,FALSE)),"",(VLOOKUP($E235,'D-1 Off Site Habitat Baseline'!$D$1:$O$258,7,FALSE))))</f>
        <v/>
      </c>
      <c r="J235" s="520" t="str">
        <f>IF(E235="","",IF(ISNA(VLOOKUP($E235,'D-1 Off Site Habitat Baseline'!$D$1:$O$258,8,FALSE)),"",(VLOOKUP($E235,'D-1 Off Site Habitat Baseline'!$D$1:$O$258,8,FALSE))))</f>
        <v/>
      </c>
      <c r="K235" s="520" t="str">
        <f>IF(E235="","",IF(ISNA(VLOOKUP($E235,'D-1 Off Site Habitat Baseline'!$D$1:$O$258,9,FALSE)),"",(VLOOKUP($E235,'D-1 Off Site Habitat Baseline'!$D$1:$O$258,9,FALSE))))</f>
        <v/>
      </c>
      <c r="L235" s="520" t="str">
        <f>IF(E235="","",IF(ISNA(VLOOKUP($E235,'D-1 Off Site Habitat Baseline'!$D$1:$O$258,11,FALSE)),"",(VLOOKUP($E235,'D-1 Off Site Habitat Baseline'!$D$1:$O$258,11,FALSE))))</f>
        <v/>
      </c>
      <c r="M235" s="520" t="str">
        <f>IF(E235="","",IF(ISNA(VLOOKUP($E235,'D-1 Off Site Habitat Baseline'!$D$1:$O$258,12,FALSE)),"",(VLOOKUP($E235,'D-1 Off Site Habitat Baseline'!$D$1:$O$258,12,FALSE))))</f>
        <v/>
      </c>
      <c r="N235" s="520" t="str">
        <f>IF(E235="","",IF(ISNA(VLOOKUP($E235,'D-1 Off Site Habitat Baseline'!$D$1:$X$258,14,FALSE)),"",(VLOOKUP($E235,'D-1 Off Site Habitat Baseline'!$D$1:$X$258,14,FALSE))))</f>
        <v/>
      </c>
      <c r="O235" s="524" t="str">
        <f>IF(E235="","",IF(ISNA(VLOOKUP($E235,'D-1 Off Site Habitat Baseline'!$D$1:$X$258,13,FALSE)),"",(VLOOKUP($E235,'D-1 Off Site Habitat Baseline'!$D$1:$X$258,13,FALSE))))</f>
        <v/>
      </c>
      <c r="P235" s="232" t="str">
        <f>IFERROR(INDEX('G-1 All Habitats'!$AG$3:$AG$15,MATCH(Q235,'G-1 All Habitats'!$AF$3:$AF$15,0)),"")</f>
        <v/>
      </c>
      <c r="Q235" s="228" t="str">
        <f t="shared" si="45"/>
        <v/>
      </c>
      <c r="R235" s="229" t="str">
        <f t="shared" si="46"/>
        <v/>
      </c>
      <c r="S235" s="233" t="str">
        <f>IFERROR(INDEX('G-1 All Habitats'!$B$3:$B$129,MATCH(R235,'G-1 All Habitats'!$A$3:$A$129,0)),"")</f>
        <v/>
      </c>
      <c r="T235" s="507" t="str">
        <f t="shared" si="38"/>
        <v/>
      </c>
      <c r="U235" s="524" t="str">
        <f t="shared" si="39"/>
        <v/>
      </c>
      <c r="V235" s="523" t="str">
        <f t="shared" si="36"/>
        <v/>
      </c>
      <c r="W235" s="520" t="str">
        <f>IF(S235="","",VLOOKUP(S235,'G-1 All Habitats'!$B$2:$M$129,10,FALSE))</f>
        <v/>
      </c>
      <c r="X235" s="520" t="str">
        <f>IFERROR(VLOOKUP(W235,'G-1 All Habitats'!$V$3:$W$7,2,FALSE),"")</f>
        <v/>
      </c>
      <c r="Y235" s="203"/>
      <c r="Z235" s="524" t="str">
        <f>IFERROR(INDEX('G-8 Condition Look up'!$A$3:$H$130,MATCH(S235,'G-8 Condition Look up'!$A$3:$A$130,0),MATCH(Y235,'G-8 Condition Look up'!$A$3:$H$3,0)),"")</f>
        <v/>
      </c>
      <c r="AA235" s="145"/>
      <c r="AB235" s="540" t="str">
        <f>IF(AA235="","",IF(VLOOKUP(AA235,'G-3 Multipliers'!$L$3:$N$6,2,FALSE)=0,"Spatial Data Missing ⚠",VLOOKUP(AA235,'G-3 Multipliers'!$L$3:$N$6,2,FALSE)))</f>
        <v/>
      </c>
      <c r="AC235" s="524" t="str">
        <f>IF(AA235="","",IF(VLOOKUP(AA235,'G-3 Multipliers'!$L$3:$N$6,3,FALSE)=0,"Spatial Data Missing ⚠",VLOOKUP(AA235,'G-3 Multipliers'!$L$3:$N$6,3,FALSE)))</f>
        <v/>
      </c>
      <c r="AD235" s="537" t="str">
        <f t="shared" si="37"/>
        <v/>
      </c>
      <c r="AE235" s="203"/>
      <c r="AF235" s="203"/>
      <c r="AG235" s="520" t="str">
        <f t="shared" si="40"/>
        <v/>
      </c>
      <c r="AH235" s="544" t="str">
        <f t="shared" si="41"/>
        <v/>
      </c>
      <c r="AI235" s="525" t="str">
        <f>IF(AH235="Check Data ⚠","Check Data ⚠",IFERROR(VLOOKUP(AH235,'G-4 Temporal multipliers'!$A$4:$C$36,3,FALSE),""))</f>
        <v/>
      </c>
      <c r="AJ235" s="537" t="str">
        <f>IF(S235="","",VLOOKUP(S235,'G-3 Multipliers'!$A$2:$E$129,4,FALSE))</f>
        <v/>
      </c>
      <c r="AK235" s="520" t="str">
        <f t="shared" si="42"/>
        <v/>
      </c>
      <c r="AL235" s="520" t="str">
        <f t="shared" si="43"/>
        <v/>
      </c>
      <c r="AM235" s="524" t="str">
        <f>IFERROR(IF(F235="","",IF(AH235="Check Data ⚠","Check Data ⚠",VLOOKUP(AL235, 'G-3 Multipliers'!$P$2:$Q$6,2,FALSE))),"")</f>
        <v/>
      </c>
      <c r="AN235" s="197"/>
      <c r="AO235" s="540" t="str">
        <f>IF(AN235="","",IF(VLOOKUP(AN235,'G-3 Multipliers'!$S$3:$T$9,2,FALSE)=0,"Spatial Data Missing ⚠",VLOOKUP(AN235,'G-3 Multipliers'!$S$3:$T$9,2,FALSE)))</f>
        <v/>
      </c>
      <c r="AP235" s="513" t="str">
        <f t="shared" si="44"/>
        <v/>
      </c>
      <c r="AQ235" s="231"/>
      <c r="AR235" s="150"/>
    </row>
    <row r="236" spans="1:44" x14ac:dyDescent="0.25">
      <c r="A236" s="31" t="str">
        <f>IF(E236="","",IF(ISNA(VLOOKUP($E236,'D-1 Off Site Habitat Baseline'!$D$1:$O$258,2,FALSE)),"",(VLOOKUP($E236,'D-1 Off Site Habitat Baseline'!$D$1:$O$258,2,FALSE))))</f>
        <v/>
      </c>
      <c r="B236" s="31" t="str">
        <f>IF(E236="","",IF(ISNA(VLOOKUP($E236,'D-1 Off Site Habitat Baseline'!$D$1:$O$258,3,FALSE)),"",(VLOOKUP($E236,'D-1 Off Site Habitat Baseline'!$D$1:$O$258,3,FALSE))))</f>
        <v/>
      </c>
      <c r="C236" s="31" t="str">
        <f>IFERROR(INDEX('G-8 Condition Look up'!$I$4:$I$130,MATCH(S236,'G-8 Condition Look up'!$A$4:$A$130,0)),"")</f>
        <v/>
      </c>
      <c r="E236" s="547" t="str">
        <f>'D-1 Off Site Habitat Baseline'!AL235</f>
        <v/>
      </c>
      <c r="F236" s="520" t="str">
        <f>IF(E236="","",IF(ISNA(VLOOKUP($E236,'D-1 Off Site Habitat Baseline'!$D$1:$O$258,4,FALSE)),"",(VLOOKUP($E236,'D-1 Off Site Habitat Baseline'!$D$1:$O$258,4,FALSE))))</f>
        <v/>
      </c>
      <c r="G236" s="520" t="str">
        <f>IF(E236="","",IF(ISNA(VLOOKUP($E236,'D-1 Off Site Habitat Baseline'!$D$1:$O$258,5,FALSE)),"",(VLOOKUP($E236,'D-1 Off Site Habitat Baseline'!$D$1:$O$258,5,FALSE))))</f>
        <v/>
      </c>
      <c r="H236" s="520" t="str">
        <f>IF(E236="","",IF(ISNA(VLOOKUP($E236,'D-1 Off Site Habitat Baseline'!$D$1:$O$258,6,FALSE)),"",(VLOOKUP($E236,'D-1 Off Site Habitat Baseline'!$D$1:$O$258,6,FALSE))))</f>
        <v/>
      </c>
      <c r="I236" s="520" t="str">
        <f>IF(E236="","",IF(ISNA(VLOOKUP($E236,'D-1 Off Site Habitat Baseline'!$D$1:$O$258,7,FALSE)),"",(VLOOKUP($E236,'D-1 Off Site Habitat Baseline'!$D$1:$O$258,7,FALSE))))</f>
        <v/>
      </c>
      <c r="J236" s="520" t="str">
        <f>IF(E236="","",IF(ISNA(VLOOKUP($E236,'D-1 Off Site Habitat Baseline'!$D$1:$O$258,8,FALSE)),"",(VLOOKUP($E236,'D-1 Off Site Habitat Baseline'!$D$1:$O$258,8,FALSE))))</f>
        <v/>
      </c>
      <c r="K236" s="520" t="str">
        <f>IF(E236="","",IF(ISNA(VLOOKUP($E236,'D-1 Off Site Habitat Baseline'!$D$1:$O$258,9,FALSE)),"",(VLOOKUP($E236,'D-1 Off Site Habitat Baseline'!$D$1:$O$258,9,FALSE))))</f>
        <v/>
      </c>
      <c r="L236" s="520" t="str">
        <f>IF(E236="","",IF(ISNA(VLOOKUP($E236,'D-1 Off Site Habitat Baseline'!$D$1:$O$258,11,FALSE)),"",(VLOOKUP($E236,'D-1 Off Site Habitat Baseline'!$D$1:$O$258,11,FALSE))))</f>
        <v/>
      </c>
      <c r="M236" s="520" t="str">
        <f>IF(E236="","",IF(ISNA(VLOOKUP($E236,'D-1 Off Site Habitat Baseline'!$D$1:$O$258,12,FALSE)),"",(VLOOKUP($E236,'D-1 Off Site Habitat Baseline'!$D$1:$O$258,12,FALSE))))</f>
        <v/>
      </c>
      <c r="N236" s="520" t="str">
        <f>IF(E236="","",IF(ISNA(VLOOKUP($E236,'D-1 Off Site Habitat Baseline'!$D$1:$X$258,14,FALSE)),"",(VLOOKUP($E236,'D-1 Off Site Habitat Baseline'!$D$1:$X$258,14,FALSE))))</f>
        <v/>
      </c>
      <c r="O236" s="524" t="str">
        <f>IF(E236="","",IF(ISNA(VLOOKUP($E236,'D-1 Off Site Habitat Baseline'!$D$1:$X$258,13,FALSE)),"",(VLOOKUP($E236,'D-1 Off Site Habitat Baseline'!$D$1:$X$258,13,FALSE))))</f>
        <v/>
      </c>
      <c r="P236" s="232" t="str">
        <f>IFERROR(INDEX('G-1 All Habitats'!$AG$3:$AG$15,MATCH(Q236,'G-1 All Habitats'!$AF$3:$AF$15,0)),"")</f>
        <v/>
      </c>
      <c r="Q236" s="228" t="str">
        <f t="shared" si="45"/>
        <v/>
      </c>
      <c r="R236" s="229" t="str">
        <f t="shared" si="46"/>
        <v/>
      </c>
      <c r="S236" s="233" t="str">
        <f>IFERROR(INDEX('G-1 All Habitats'!$B$3:$B$129,MATCH(R236,'G-1 All Habitats'!$A$3:$A$129,0)),"")</f>
        <v/>
      </c>
      <c r="T236" s="507" t="str">
        <f t="shared" si="38"/>
        <v/>
      </c>
      <c r="U236" s="524" t="str">
        <f t="shared" si="39"/>
        <v/>
      </c>
      <c r="V236" s="523" t="str">
        <f t="shared" si="36"/>
        <v/>
      </c>
      <c r="W236" s="520" t="str">
        <f>IF(S236="","",VLOOKUP(S236,'G-1 All Habitats'!$B$2:$M$129,10,FALSE))</f>
        <v/>
      </c>
      <c r="X236" s="520" t="str">
        <f>IFERROR(VLOOKUP(W236,'G-1 All Habitats'!$V$3:$W$7,2,FALSE),"")</f>
        <v/>
      </c>
      <c r="Y236" s="203"/>
      <c r="Z236" s="524" t="str">
        <f>IFERROR(INDEX('G-8 Condition Look up'!$A$3:$H$130,MATCH(S236,'G-8 Condition Look up'!$A$3:$A$130,0),MATCH(Y236,'G-8 Condition Look up'!$A$3:$H$3,0)),"")</f>
        <v/>
      </c>
      <c r="AA236" s="145"/>
      <c r="AB236" s="540" t="str">
        <f>IF(AA236="","",IF(VLOOKUP(AA236,'G-3 Multipliers'!$L$3:$N$6,2,FALSE)=0,"Spatial Data Missing ⚠",VLOOKUP(AA236,'G-3 Multipliers'!$L$3:$N$6,2,FALSE)))</f>
        <v/>
      </c>
      <c r="AC236" s="524" t="str">
        <f>IF(AA236="","",IF(VLOOKUP(AA236,'G-3 Multipliers'!$L$3:$N$6,3,FALSE)=0,"Spatial Data Missing ⚠",VLOOKUP(AA236,'G-3 Multipliers'!$L$3:$N$6,3,FALSE)))</f>
        <v/>
      </c>
      <c r="AD236" s="537" t="str">
        <f t="shared" si="37"/>
        <v/>
      </c>
      <c r="AE236" s="203"/>
      <c r="AF236" s="203"/>
      <c r="AG236" s="520" t="str">
        <f t="shared" si="40"/>
        <v/>
      </c>
      <c r="AH236" s="544" t="str">
        <f t="shared" si="41"/>
        <v/>
      </c>
      <c r="AI236" s="525" t="str">
        <f>IF(AH236="Check Data ⚠","Check Data ⚠",IFERROR(VLOOKUP(AH236,'G-4 Temporal multipliers'!$A$4:$C$36,3,FALSE),""))</f>
        <v/>
      </c>
      <c r="AJ236" s="537" t="str">
        <f>IF(S236="","",VLOOKUP(S236,'G-3 Multipliers'!$A$2:$E$129,4,FALSE))</f>
        <v/>
      </c>
      <c r="AK236" s="520" t="str">
        <f t="shared" si="42"/>
        <v/>
      </c>
      <c r="AL236" s="520" t="str">
        <f t="shared" si="43"/>
        <v/>
      </c>
      <c r="AM236" s="524" t="str">
        <f>IFERROR(IF(F236="","",IF(AH236="Check Data ⚠","Check Data ⚠",VLOOKUP(AL236, 'G-3 Multipliers'!$P$2:$Q$6,2,FALSE))),"")</f>
        <v/>
      </c>
      <c r="AN236" s="197"/>
      <c r="AO236" s="540" t="str">
        <f>IF(AN236="","",IF(VLOOKUP(AN236,'G-3 Multipliers'!$S$3:$T$9,2,FALSE)=0,"Spatial Data Missing ⚠",VLOOKUP(AN236,'G-3 Multipliers'!$S$3:$T$9,2,FALSE)))</f>
        <v/>
      </c>
      <c r="AP236" s="513" t="str">
        <f t="shared" si="44"/>
        <v/>
      </c>
      <c r="AQ236" s="231"/>
      <c r="AR236" s="150"/>
    </row>
    <row r="237" spans="1:44" x14ac:dyDescent="0.25">
      <c r="A237" s="31" t="str">
        <f>IF(E237="","",IF(ISNA(VLOOKUP($E237,'D-1 Off Site Habitat Baseline'!$D$1:$O$258,2,FALSE)),"",(VLOOKUP($E237,'D-1 Off Site Habitat Baseline'!$D$1:$O$258,2,FALSE))))</f>
        <v/>
      </c>
      <c r="B237" s="31" t="str">
        <f>IF(E237="","",IF(ISNA(VLOOKUP($E237,'D-1 Off Site Habitat Baseline'!$D$1:$O$258,3,FALSE)),"",(VLOOKUP($E237,'D-1 Off Site Habitat Baseline'!$D$1:$O$258,3,FALSE))))</f>
        <v/>
      </c>
      <c r="C237" s="31" t="str">
        <f>IFERROR(INDEX('G-8 Condition Look up'!$I$4:$I$130,MATCH(S237,'G-8 Condition Look up'!$A$4:$A$130,0)),"")</f>
        <v/>
      </c>
      <c r="E237" s="547" t="str">
        <f>'D-1 Off Site Habitat Baseline'!AL236</f>
        <v/>
      </c>
      <c r="F237" s="520" t="str">
        <f>IF(E237="","",IF(ISNA(VLOOKUP($E237,'D-1 Off Site Habitat Baseline'!$D$1:$O$258,4,FALSE)),"",(VLOOKUP($E237,'D-1 Off Site Habitat Baseline'!$D$1:$O$258,4,FALSE))))</f>
        <v/>
      </c>
      <c r="G237" s="520" t="str">
        <f>IF(E237="","",IF(ISNA(VLOOKUP($E237,'D-1 Off Site Habitat Baseline'!$D$1:$O$258,5,FALSE)),"",(VLOOKUP($E237,'D-1 Off Site Habitat Baseline'!$D$1:$O$258,5,FALSE))))</f>
        <v/>
      </c>
      <c r="H237" s="520" t="str">
        <f>IF(E237="","",IF(ISNA(VLOOKUP($E237,'D-1 Off Site Habitat Baseline'!$D$1:$O$258,6,FALSE)),"",(VLOOKUP($E237,'D-1 Off Site Habitat Baseline'!$D$1:$O$258,6,FALSE))))</f>
        <v/>
      </c>
      <c r="I237" s="520" t="str">
        <f>IF(E237="","",IF(ISNA(VLOOKUP($E237,'D-1 Off Site Habitat Baseline'!$D$1:$O$258,7,FALSE)),"",(VLOOKUP($E237,'D-1 Off Site Habitat Baseline'!$D$1:$O$258,7,FALSE))))</f>
        <v/>
      </c>
      <c r="J237" s="520" t="str">
        <f>IF(E237="","",IF(ISNA(VLOOKUP($E237,'D-1 Off Site Habitat Baseline'!$D$1:$O$258,8,FALSE)),"",(VLOOKUP($E237,'D-1 Off Site Habitat Baseline'!$D$1:$O$258,8,FALSE))))</f>
        <v/>
      </c>
      <c r="K237" s="520" t="str">
        <f>IF(E237="","",IF(ISNA(VLOOKUP($E237,'D-1 Off Site Habitat Baseline'!$D$1:$O$258,9,FALSE)),"",(VLOOKUP($E237,'D-1 Off Site Habitat Baseline'!$D$1:$O$258,9,FALSE))))</f>
        <v/>
      </c>
      <c r="L237" s="520" t="str">
        <f>IF(E237="","",IF(ISNA(VLOOKUP($E237,'D-1 Off Site Habitat Baseline'!$D$1:$O$258,11,FALSE)),"",(VLOOKUP($E237,'D-1 Off Site Habitat Baseline'!$D$1:$O$258,11,FALSE))))</f>
        <v/>
      </c>
      <c r="M237" s="520" t="str">
        <f>IF(E237="","",IF(ISNA(VLOOKUP($E237,'D-1 Off Site Habitat Baseline'!$D$1:$O$258,12,FALSE)),"",(VLOOKUP($E237,'D-1 Off Site Habitat Baseline'!$D$1:$O$258,12,FALSE))))</f>
        <v/>
      </c>
      <c r="N237" s="520" t="str">
        <f>IF(E237="","",IF(ISNA(VLOOKUP($E237,'D-1 Off Site Habitat Baseline'!$D$1:$X$258,14,FALSE)),"",(VLOOKUP($E237,'D-1 Off Site Habitat Baseline'!$D$1:$X$258,14,FALSE))))</f>
        <v/>
      </c>
      <c r="O237" s="524" t="str">
        <f>IF(E237="","",IF(ISNA(VLOOKUP($E237,'D-1 Off Site Habitat Baseline'!$D$1:$X$258,13,FALSE)),"",(VLOOKUP($E237,'D-1 Off Site Habitat Baseline'!$D$1:$X$258,13,FALSE))))</f>
        <v/>
      </c>
      <c r="P237" s="232" t="str">
        <f>IFERROR(INDEX('G-1 All Habitats'!$AG$3:$AG$15,MATCH(Q237,'G-1 All Habitats'!$AF$3:$AF$15,0)),"")</f>
        <v/>
      </c>
      <c r="Q237" s="228" t="str">
        <f t="shared" si="45"/>
        <v/>
      </c>
      <c r="R237" s="229" t="str">
        <f t="shared" si="46"/>
        <v/>
      </c>
      <c r="S237" s="233" t="str">
        <f>IFERROR(INDEX('G-1 All Habitats'!$B$3:$B$129,MATCH(R237,'G-1 All Habitats'!$A$3:$A$129,0)),"")</f>
        <v/>
      </c>
      <c r="T237" s="507" t="str">
        <f t="shared" si="38"/>
        <v/>
      </c>
      <c r="U237" s="524" t="str">
        <f t="shared" si="39"/>
        <v/>
      </c>
      <c r="V237" s="523" t="str">
        <f t="shared" si="36"/>
        <v/>
      </c>
      <c r="W237" s="520" t="str">
        <f>IF(S237="","",VLOOKUP(S237,'G-1 All Habitats'!$B$2:$M$129,10,FALSE))</f>
        <v/>
      </c>
      <c r="X237" s="520" t="str">
        <f>IFERROR(VLOOKUP(W237,'G-1 All Habitats'!$V$3:$W$7,2,FALSE),"")</f>
        <v/>
      </c>
      <c r="Y237" s="203"/>
      <c r="Z237" s="524" t="str">
        <f>IFERROR(INDEX('G-8 Condition Look up'!$A$3:$H$130,MATCH(S237,'G-8 Condition Look up'!$A$3:$A$130,0),MATCH(Y237,'G-8 Condition Look up'!$A$3:$H$3,0)),"")</f>
        <v/>
      </c>
      <c r="AA237" s="145"/>
      <c r="AB237" s="540" t="str">
        <f>IF(AA237="","",IF(VLOOKUP(AA237,'G-3 Multipliers'!$L$3:$N$6,2,FALSE)=0,"Spatial Data Missing ⚠",VLOOKUP(AA237,'G-3 Multipliers'!$L$3:$N$6,2,FALSE)))</f>
        <v/>
      </c>
      <c r="AC237" s="524" t="str">
        <f>IF(AA237="","",IF(VLOOKUP(AA237,'G-3 Multipliers'!$L$3:$N$6,3,FALSE)=0,"Spatial Data Missing ⚠",VLOOKUP(AA237,'G-3 Multipliers'!$L$3:$N$6,3,FALSE)))</f>
        <v/>
      </c>
      <c r="AD237" s="537" t="str">
        <f t="shared" si="37"/>
        <v/>
      </c>
      <c r="AE237" s="203"/>
      <c r="AF237" s="203"/>
      <c r="AG237" s="520" t="str">
        <f t="shared" si="40"/>
        <v/>
      </c>
      <c r="AH237" s="544" t="str">
        <f t="shared" si="41"/>
        <v/>
      </c>
      <c r="AI237" s="525" t="str">
        <f>IF(AH237="Check Data ⚠","Check Data ⚠",IFERROR(VLOOKUP(AH237,'G-4 Temporal multipliers'!$A$4:$C$36,3,FALSE),""))</f>
        <v/>
      </c>
      <c r="AJ237" s="537" t="str">
        <f>IF(S237="","",VLOOKUP(S237,'G-3 Multipliers'!$A$2:$E$129,4,FALSE))</f>
        <v/>
      </c>
      <c r="AK237" s="520" t="str">
        <f t="shared" si="42"/>
        <v/>
      </c>
      <c r="AL237" s="520" t="str">
        <f t="shared" si="43"/>
        <v/>
      </c>
      <c r="AM237" s="524" t="str">
        <f>IFERROR(IF(F237="","",IF(AH237="Check Data ⚠","Check Data ⚠",VLOOKUP(AL237, 'G-3 Multipliers'!$P$2:$Q$6,2,FALSE))),"")</f>
        <v/>
      </c>
      <c r="AN237" s="197"/>
      <c r="AO237" s="540" t="str">
        <f>IF(AN237="","",IF(VLOOKUP(AN237,'G-3 Multipliers'!$S$3:$T$9,2,FALSE)=0,"Spatial Data Missing ⚠",VLOOKUP(AN237,'G-3 Multipliers'!$S$3:$T$9,2,FALSE)))</f>
        <v/>
      </c>
      <c r="AP237" s="513" t="str">
        <f t="shared" si="44"/>
        <v/>
      </c>
      <c r="AQ237" s="231"/>
      <c r="AR237" s="150"/>
    </row>
    <row r="238" spans="1:44" x14ac:dyDescent="0.25">
      <c r="A238" s="31" t="str">
        <f>IF(E238="","",IF(ISNA(VLOOKUP($E238,'D-1 Off Site Habitat Baseline'!$D$1:$O$258,2,FALSE)),"",(VLOOKUP($E238,'D-1 Off Site Habitat Baseline'!$D$1:$O$258,2,FALSE))))</f>
        <v/>
      </c>
      <c r="B238" s="31" t="str">
        <f>IF(E238="","",IF(ISNA(VLOOKUP($E238,'D-1 Off Site Habitat Baseline'!$D$1:$O$258,3,FALSE)),"",(VLOOKUP($E238,'D-1 Off Site Habitat Baseline'!$D$1:$O$258,3,FALSE))))</f>
        <v/>
      </c>
      <c r="C238" s="31" t="str">
        <f>IFERROR(INDEX('G-8 Condition Look up'!$I$4:$I$130,MATCH(S238,'G-8 Condition Look up'!$A$4:$A$130,0)),"")</f>
        <v/>
      </c>
      <c r="E238" s="547" t="str">
        <f>'D-1 Off Site Habitat Baseline'!AL237</f>
        <v/>
      </c>
      <c r="F238" s="520" t="str">
        <f>IF(E238="","",IF(ISNA(VLOOKUP($E238,'D-1 Off Site Habitat Baseline'!$D$1:$O$258,4,FALSE)),"",(VLOOKUP($E238,'D-1 Off Site Habitat Baseline'!$D$1:$O$258,4,FALSE))))</f>
        <v/>
      </c>
      <c r="G238" s="520" t="str">
        <f>IF(E238="","",IF(ISNA(VLOOKUP($E238,'D-1 Off Site Habitat Baseline'!$D$1:$O$258,5,FALSE)),"",(VLOOKUP($E238,'D-1 Off Site Habitat Baseline'!$D$1:$O$258,5,FALSE))))</f>
        <v/>
      </c>
      <c r="H238" s="520" t="str">
        <f>IF(E238="","",IF(ISNA(VLOOKUP($E238,'D-1 Off Site Habitat Baseline'!$D$1:$O$258,6,FALSE)),"",(VLOOKUP($E238,'D-1 Off Site Habitat Baseline'!$D$1:$O$258,6,FALSE))))</f>
        <v/>
      </c>
      <c r="I238" s="520" t="str">
        <f>IF(E238="","",IF(ISNA(VLOOKUP($E238,'D-1 Off Site Habitat Baseline'!$D$1:$O$258,7,FALSE)),"",(VLOOKUP($E238,'D-1 Off Site Habitat Baseline'!$D$1:$O$258,7,FALSE))))</f>
        <v/>
      </c>
      <c r="J238" s="520" t="str">
        <f>IF(E238="","",IF(ISNA(VLOOKUP($E238,'D-1 Off Site Habitat Baseline'!$D$1:$O$258,8,FALSE)),"",(VLOOKUP($E238,'D-1 Off Site Habitat Baseline'!$D$1:$O$258,8,FALSE))))</f>
        <v/>
      </c>
      <c r="K238" s="520" t="str">
        <f>IF(E238="","",IF(ISNA(VLOOKUP($E238,'D-1 Off Site Habitat Baseline'!$D$1:$O$258,9,FALSE)),"",(VLOOKUP($E238,'D-1 Off Site Habitat Baseline'!$D$1:$O$258,9,FALSE))))</f>
        <v/>
      </c>
      <c r="L238" s="520" t="str">
        <f>IF(E238="","",IF(ISNA(VLOOKUP($E238,'D-1 Off Site Habitat Baseline'!$D$1:$O$258,11,FALSE)),"",(VLOOKUP($E238,'D-1 Off Site Habitat Baseline'!$D$1:$O$258,11,FALSE))))</f>
        <v/>
      </c>
      <c r="M238" s="520" t="str">
        <f>IF(E238="","",IF(ISNA(VLOOKUP($E238,'D-1 Off Site Habitat Baseline'!$D$1:$O$258,12,FALSE)),"",(VLOOKUP($E238,'D-1 Off Site Habitat Baseline'!$D$1:$O$258,12,FALSE))))</f>
        <v/>
      </c>
      <c r="N238" s="520" t="str">
        <f>IF(E238="","",IF(ISNA(VLOOKUP($E238,'D-1 Off Site Habitat Baseline'!$D$1:$X$258,14,FALSE)),"",(VLOOKUP($E238,'D-1 Off Site Habitat Baseline'!$D$1:$X$258,14,FALSE))))</f>
        <v/>
      </c>
      <c r="O238" s="524" t="str">
        <f>IF(E238="","",IF(ISNA(VLOOKUP($E238,'D-1 Off Site Habitat Baseline'!$D$1:$X$258,13,FALSE)),"",(VLOOKUP($E238,'D-1 Off Site Habitat Baseline'!$D$1:$X$258,13,FALSE))))</f>
        <v/>
      </c>
      <c r="P238" s="232" t="str">
        <f>IFERROR(INDEX('G-1 All Habitats'!$AG$3:$AG$15,MATCH(Q238,'G-1 All Habitats'!$AF$3:$AF$15,0)),"")</f>
        <v/>
      </c>
      <c r="Q238" s="228" t="str">
        <f t="shared" si="45"/>
        <v/>
      </c>
      <c r="R238" s="229" t="str">
        <f t="shared" si="46"/>
        <v/>
      </c>
      <c r="S238" s="233" t="str">
        <f>IFERROR(INDEX('G-1 All Habitats'!$B$3:$B$129,MATCH(R238,'G-1 All Habitats'!$A$3:$A$129,0)),"")</f>
        <v/>
      </c>
      <c r="T238" s="507" t="str">
        <f t="shared" si="38"/>
        <v/>
      </c>
      <c r="U238" s="524" t="str">
        <f t="shared" si="39"/>
        <v/>
      </c>
      <c r="V238" s="523" t="str">
        <f t="shared" si="36"/>
        <v/>
      </c>
      <c r="W238" s="520" t="str">
        <f>IF(S238="","",VLOOKUP(S238,'G-1 All Habitats'!$B$2:$M$129,10,FALSE))</f>
        <v/>
      </c>
      <c r="X238" s="520" t="str">
        <f>IFERROR(VLOOKUP(W238,'G-1 All Habitats'!$V$3:$W$7,2,FALSE),"")</f>
        <v/>
      </c>
      <c r="Y238" s="203"/>
      <c r="Z238" s="524" t="str">
        <f>IFERROR(INDEX('G-8 Condition Look up'!$A$3:$H$130,MATCH(S238,'G-8 Condition Look up'!$A$3:$A$130,0),MATCH(Y238,'G-8 Condition Look up'!$A$3:$H$3,0)),"")</f>
        <v/>
      </c>
      <c r="AA238" s="145"/>
      <c r="AB238" s="540" t="str">
        <f>IF(AA238="","",IF(VLOOKUP(AA238,'G-3 Multipliers'!$L$3:$N$6,2,FALSE)=0,"Spatial Data Missing ⚠",VLOOKUP(AA238,'G-3 Multipliers'!$L$3:$N$6,2,FALSE)))</f>
        <v/>
      </c>
      <c r="AC238" s="524" t="str">
        <f>IF(AA238="","",IF(VLOOKUP(AA238,'G-3 Multipliers'!$L$3:$N$6,3,FALSE)=0,"Spatial Data Missing ⚠",VLOOKUP(AA238,'G-3 Multipliers'!$L$3:$N$6,3,FALSE)))</f>
        <v/>
      </c>
      <c r="AD238" s="537" t="str">
        <f t="shared" si="37"/>
        <v/>
      </c>
      <c r="AE238" s="203"/>
      <c r="AF238" s="203"/>
      <c r="AG238" s="520" t="str">
        <f t="shared" si="40"/>
        <v/>
      </c>
      <c r="AH238" s="544" t="str">
        <f t="shared" si="41"/>
        <v/>
      </c>
      <c r="AI238" s="525" t="str">
        <f>IF(AH238="Check Data ⚠","Check Data ⚠",IFERROR(VLOOKUP(AH238,'G-4 Temporal multipliers'!$A$4:$C$36,3,FALSE),""))</f>
        <v/>
      </c>
      <c r="AJ238" s="537" t="str">
        <f>IF(S238="","",VLOOKUP(S238,'G-3 Multipliers'!$A$2:$E$129,4,FALSE))</f>
        <v/>
      </c>
      <c r="AK238" s="520" t="str">
        <f t="shared" si="42"/>
        <v/>
      </c>
      <c r="AL238" s="520" t="str">
        <f t="shared" si="43"/>
        <v/>
      </c>
      <c r="AM238" s="524" t="str">
        <f>IFERROR(IF(F238="","",IF(AH238="Check Data ⚠","Check Data ⚠",VLOOKUP(AL238, 'G-3 Multipliers'!$P$2:$Q$6,2,FALSE))),"")</f>
        <v/>
      </c>
      <c r="AN238" s="197"/>
      <c r="AO238" s="540" t="str">
        <f>IF(AN238="","",IF(VLOOKUP(AN238,'G-3 Multipliers'!$S$3:$T$9,2,FALSE)=0,"Spatial Data Missing ⚠",VLOOKUP(AN238,'G-3 Multipliers'!$S$3:$T$9,2,FALSE)))</f>
        <v/>
      </c>
      <c r="AP238" s="513" t="str">
        <f t="shared" si="44"/>
        <v/>
      </c>
      <c r="AQ238" s="231"/>
      <c r="AR238" s="150"/>
    </row>
    <row r="239" spans="1:44" x14ac:dyDescent="0.25">
      <c r="A239" s="31" t="str">
        <f>IF(E239="","",IF(ISNA(VLOOKUP($E239,'D-1 Off Site Habitat Baseline'!$D$1:$O$258,2,FALSE)),"",(VLOOKUP($E239,'D-1 Off Site Habitat Baseline'!$D$1:$O$258,2,FALSE))))</f>
        <v/>
      </c>
      <c r="B239" s="31" t="str">
        <f>IF(E239="","",IF(ISNA(VLOOKUP($E239,'D-1 Off Site Habitat Baseline'!$D$1:$O$258,3,FALSE)),"",(VLOOKUP($E239,'D-1 Off Site Habitat Baseline'!$D$1:$O$258,3,FALSE))))</f>
        <v/>
      </c>
      <c r="C239" s="31" t="str">
        <f>IFERROR(INDEX('G-8 Condition Look up'!$I$4:$I$130,MATCH(S239,'G-8 Condition Look up'!$A$4:$A$130,0)),"")</f>
        <v/>
      </c>
      <c r="E239" s="547" t="str">
        <f>'D-1 Off Site Habitat Baseline'!AL238</f>
        <v/>
      </c>
      <c r="F239" s="520" t="str">
        <f>IF(E239="","",IF(ISNA(VLOOKUP($E239,'D-1 Off Site Habitat Baseline'!$D$1:$O$258,4,FALSE)),"",(VLOOKUP($E239,'D-1 Off Site Habitat Baseline'!$D$1:$O$258,4,FALSE))))</f>
        <v/>
      </c>
      <c r="G239" s="520" t="str">
        <f>IF(E239="","",IF(ISNA(VLOOKUP($E239,'D-1 Off Site Habitat Baseline'!$D$1:$O$258,5,FALSE)),"",(VLOOKUP($E239,'D-1 Off Site Habitat Baseline'!$D$1:$O$258,5,FALSE))))</f>
        <v/>
      </c>
      <c r="H239" s="520" t="str">
        <f>IF(E239="","",IF(ISNA(VLOOKUP($E239,'D-1 Off Site Habitat Baseline'!$D$1:$O$258,6,FALSE)),"",(VLOOKUP($E239,'D-1 Off Site Habitat Baseline'!$D$1:$O$258,6,FALSE))))</f>
        <v/>
      </c>
      <c r="I239" s="520" t="str">
        <f>IF(E239="","",IF(ISNA(VLOOKUP($E239,'D-1 Off Site Habitat Baseline'!$D$1:$O$258,7,FALSE)),"",(VLOOKUP($E239,'D-1 Off Site Habitat Baseline'!$D$1:$O$258,7,FALSE))))</f>
        <v/>
      </c>
      <c r="J239" s="520" t="str">
        <f>IF(E239="","",IF(ISNA(VLOOKUP($E239,'D-1 Off Site Habitat Baseline'!$D$1:$O$258,8,FALSE)),"",(VLOOKUP($E239,'D-1 Off Site Habitat Baseline'!$D$1:$O$258,8,FALSE))))</f>
        <v/>
      </c>
      <c r="K239" s="520" t="str">
        <f>IF(E239="","",IF(ISNA(VLOOKUP($E239,'D-1 Off Site Habitat Baseline'!$D$1:$O$258,9,FALSE)),"",(VLOOKUP($E239,'D-1 Off Site Habitat Baseline'!$D$1:$O$258,9,FALSE))))</f>
        <v/>
      </c>
      <c r="L239" s="520" t="str">
        <f>IF(E239="","",IF(ISNA(VLOOKUP($E239,'D-1 Off Site Habitat Baseline'!$D$1:$O$258,11,FALSE)),"",(VLOOKUP($E239,'D-1 Off Site Habitat Baseline'!$D$1:$O$258,11,FALSE))))</f>
        <v/>
      </c>
      <c r="M239" s="520" t="str">
        <f>IF(E239="","",IF(ISNA(VLOOKUP($E239,'D-1 Off Site Habitat Baseline'!$D$1:$O$258,12,FALSE)),"",(VLOOKUP($E239,'D-1 Off Site Habitat Baseline'!$D$1:$O$258,12,FALSE))))</f>
        <v/>
      </c>
      <c r="N239" s="520" t="str">
        <f>IF(E239="","",IF(ISNA(VLOOKUP($E239,'D-1 Off Site Habitat Baseline'!$D$1:$X$258,14,FALSE)),"",(VLOOKUP($E239,'D-1 Off Site Habitat Baseline'!$D$1:$X$258,14,FALSE))))</f>
        <v/>
      </c>
      <c r="O239" s="524" t="str">
        <f>IF(E239="","",IF(ISNA(VLOOKUP($E239,'D-1 Off Site Habitat Baseline'!$D$1:$X$258,13,FALSE)),"",(VLOOKUP($E239,'D-1 Off Site Habitat Baseline'!$D$1:$X$258,13,FALSE))))</f>
        <v/>
      </c>
      <c r="P239" s="232" t="str">
        <f>IFERROR(INDEX('G-1 All Habitats'!$AG$3:$AG$15,MATCH(Q239,'G-1 All Habitats'!$AF$3:$AF$15,0)),"")</f>
        <v/>
      </c>
      <c r="Q239" s="228" t="str">
        <f t="shared" si="45"/>
        <v/>
      </c>
      <c r="R239" s="229" t="str">
        <f t="shared" si="46"/>
        <v/>
      </c>
      <c r="S239" s="233" t="str">
        <f>IFERROR(INDEX('G-1 All Habitats'!$B$3:$B$129,MATCH(R239,'G-1 All Habitats'!$A$3:$A$129,0)),"")</f>
        <v/>
      </c>
      <c r="T239" s="507" t="str">
        <f t="shared" si="38"/>
        <v/>
      </c>
      <c r="U239" s="524" t="str">
        <f t="shared" si="39"/>
        <v/>
      </c>
      <c r="V239" s="523" t="str">
        <f t="shared" si="36"/>
        <v/>
      </c>
      <c r="W239" s="520" t="str">
        <f>IF(S239="","",VLOOKUP(S239,'G-1 All Habitats'!$B$2:$M$129,10,FALSE))</f>
        <v/>
      </c>
      <c r="X239" s="520" t="str">
        <f>IFERROR(VLOOKUP(W239,'G-1 All Habitats'!$V$3:$W$7,2,FALSE),"")</f>
        <v/>
      </c>
      <c r="Y239" s="203"/>
      <c r="Z239" s="524" t="str">
        <f>IFERROR(INDEX('G-8 Condition Look up'!$A$3:$H$130,MATCH(S239,'G-8 Condition Look up'!$A$3:$A$130,0),MATCH(Y239,'G-8 Condition Look up'!$A$3:$H$3,0)),"")</f>
        <v/>
      </c>
      <c r="AA239" s="145"/>
      <c r="AB239" s="540" t="str">
        <f>IF(AA239="","",IF(VLOOKUP(AA239,'G-3 Multipliers'!$L$3:$N$6,2,FALSE)=0,"Spatial Data Missing ⚠",VLOOKUP(AA239,'G-3 Multipliers'!$L$3:$N$6,2,FALSE)))</f>
        <v/>
      </c>
      <c r="AC239" s="524" t="str">
        <f>IF(AA239="","",IF(VLOOKUP(AA239,'G-3 Multipliers'!$L$3:$N$6,3,FALSE)=0,"Spatial Data Missing ⚠",VLOOKUP(AA239,'G-3 Multipliers'!$L$3:$N$6,3,FALSE)))</f>
        <v/>
      </c>
      <c r="AD239" s="537" t="str">
        <f t="shared" si="37"/>
        <v/>
      </c>
      <c r="AE239" s="203"/>
      <c r="AF239" s="203"/>
      <c r="AG239" s="520" t="str">
        <f t="shared" si="40"/>
        <v/>
      </c>
      <c r="AH239" s="544" t="str">
        <f t="shared" si="41"/>
        <v/>
      </c>
      <c r="AI239" s="525" t="str">
        <f>IF(AH239="Check Data ⚠","Check Data ⚠",IFERROR(VLOOKUP(AH239,'G-4 Temporal multipliers'!$A$4:$C$36,3,FALSE),""))</f>
        <v/>
      </c>
      <c r="AJ239" s="537" t="str">
        <f>IF(S239="","",VLOOKUP(S239,'G-3 Multipliers'!$A$2:$E$129,4,FALSE))</f>
        <v/>
      </c>
      <c r="AK239" s="520" t="str">
        <f t="shared" si="42"/>
        <v/>
      </c>
      <c r="AL239" s="520" t="str">
        <f t="shared" si="43"/>
        <v/>
      </c>
      <c r="AM239" s="524" t="str">
        <f>IFERROR(IF(F239="","",IF(AH239="Check Data ⚠","Check Data ⚠",VLOOKUP(AL239, 'G-3 Multipliers'!$P$2:$Q$6,2,FALSE))),"")</f>
        <v/>
      </c>
      <c r="AN239" s="197"/>
      <c r="AO239" s="540" t="str">
        <f>IF(AN239="","",IF(VLOOKUP(AN239,'G-3 Multipliers'!$S$3:$T$9,2,FALSE)=0,"Spatial Data Missing ⚠",VLOOKUP(AN239,'G-3 Multipliers'!$S$3:$T$9,2,FALSE)))</f>
        <v/>
      </c>
      <c r="AP239" s="513" t="str">
        <f t="shared" si="44"/>
        <v/>
      </c>
      <c r="AQ239" s="231"/>
      <c r="AR239" s="150"/>
    </row>
    <row r="240" spans="1:44" x14ac:dyDescent="0.25">
      <c r="A240" s="31" t="str">
        <f>IF(E240="","",IF(ISNA(VLOOKUP($E240,'D-1 Off Site Habitat Baseline'!$D$1:$O$258,2,FALSE)),"",(VLOOKUP($E240,'D-1 Off Site Habitat Baseline'!$D$1:$O$258,2,FALSE))))</f>
        <v/>
      </c>
      <c r="B240" s="31" t="str">
        <f>IF(E240="","",IF(ISNA(VLOOKUP($E240,'D-1 Off Site Habitat Baseline'!$D$1:$O$258,3,FALSE)),"",(VLOOKUP($E240,'D-1 Off Site Habitat Baseline'!$D$1:$O$258,3,FALSE))))</f>
        <v/>
      </c>
      <c r="C240" s="31" t="str">
        <f>IFERROR(INDEX('G-8 Condition Look up'!$I$4:$I$130,MATCH(S240,'G-8 Condition Look up'!$A$4:$A$130,0)),"")</f>
        <v/>
      </c>
      <c r="E240" s="547" t="str">
        <f>'D-1 Off Site Habitat Baseline'!AL239</f>
        <v/>
      </c>
      <c r="F240" s="520" t="str">
        <f>IF(E240="","",IF(ISNA(VLOOKUP($E240,'D-1 Off Site Habitat Baseline'!$D$1:$O$258,4,FALSE)),"",(VLOOKUP($E240,'D-1 Off Site Habitat Baseline'!$D$1:$O$258,4,FALSE))))</f>
        <v/>
      </c>
      <c r="G240" s="520" t="str">
        <f>IF(E240="","",IF(ISNA(VLOOKUP($E240,'D-1 Off Site Habitat Baseline'!$D$1:$O$258,5,FALSE)),"",(VLOOKUP($E240,'D-1 Off Site Habitat Baseline'!$D$1:$O$258,5,FALSE))))</f>
        <v/>
      </c>
      <c r="H240" s="520" t="str">
        <f>IF(E240="","",IF(ISNA(VLOOKUP($E240,'D-1 Off Site Habitat Baseline'!$D$1:$O$258,6,FALSE)),"",(VLOOKUP($E240,'D-1 Off Site Habitat Baseline'!$D$1:$O$258,6,FALSE))))</f>
        <v/>
      </c>
      <c r="I240" s="520" t="str">
        <f>IF(E240="","",IF(ISNA(VLOOKUP($E240,'D-1 Off Site Habitat Baseline'!$D$1:$O$258,7,FALSE)),"",(VLOOKUP($E240,'D-1 Off Site Habitat Baseline'!$D$1:$O$258,7,FALSE))))</f>
        <v/>
      </c>
      <c r="J240" s="520" t="str">
        <f>IF(E240="","",IF(ISNA(VLOOKUP($E240,'D-1 Off Site Habitat Baseline'!$D$1:$O$258,8,FALSE)),"",(VLOOKUP($E240,'D-1 Off Site Habitat Baseline'!$D$1:$O$258,8,FALSE))))</f>
        <v/>
      </c>
      <c r="K240" s="520" t="str">
        <f>IF(E240="","",IF(ISNA(VLOOKUP($E240,'D-1 Off Site Habitat Baseline'!$D$1:$O$258,9,FALSE)),"",(VLOOKUP($E240,'D-1 Off Site Habitat Baseline'!$D$1:$O$258,9,FALSE))))</f>
        <v/>
      </c>
      <c r="L240" s="520" t="str">
        <f>IF(E240="","",IF(ISNA(VLOOKUP($E240,'D-1 Off Site Habitat Baseline'!$D$1:$O$258,11,FALSE)),"",(VLOOKUP($E240,'D-1 Off Site Habitat Baseline'!$D$1:$O$258,11,FALSE))))</f>
        <v/>
      </c>
      <c r="M240" s="520" t="str">
        <f>IF(E240="","",IF(ISNA(VLOOKUP($E240,'D-1 Off Site Habitat Baseline'!$D$1:$O$258,12,FALSE)),"",(VLOOKUP($E240,'D-1 Off Site Habitat Baseline'!$D$1:$O$258,12,FALSE))))</f>
        <v/>
      </c>
      <c r="N240" s="520" t="str">
        <f>IF(E240="","",IF(ISNA(VLOOKUP($E240,'D-1 Off Site Habitat Baseline'!$D$1:$X$258,14,FALSE)),"",(VLOOKUP($E240,'D-1 Off Site Habitat Baseline'!$D$1:$X$258,14,FALSE))))</f>
        <v/>
      </c>
      <c r="O240" s="524" t="str">
        <f>IF(E240="","",IF(ISNA(VLOOKUP($E240,'D-1 Off Site Habitat Baseline'!$D$1:$X$258,13,FALSE)),"",(VLOOKUP($E240,'D-1 Off Site Habitat Baseline'!$D$1:$X$258,13,FALSE))))</f>
        <v/>
      </c>
      <c r="P240" s="232" t="str">
        <f>IFERROR(INDEX('G-1 All Habitats'!$AG$3:$AG$15,MATCH(Q240,'G-1 All Habitats'!$AF$3:$AF$15,0)),"")</f>
        <v/>
      </c>
      <c r="Q240" s="228" t="str">
        <f t="shared" si="45"/>
        <v/>
      </c>
      <c r="R240" s="229" t="str">
        <f t="shared" si="46"/>
        <v/>
      </c>
      <c r="S240" s="233" t="str">
        <f>IFERROR(INDEX('G-1 All Habitats'!$B$3:$B$129,MATCH(R240,'G-1 All Habitats'!$A$3:$A$129,0)),"")</f>
        <v/>
      </c>
      <c r="T240" s="507" t="str">
        <f t="shared" si="38"/>
        <v/>
      </c>
      <c r="U240" s="524" t="str">
        <f t="shared" si="39"/>
        <v/>
      </c>
      <c r="V240" s="523" t="str">
        <f t="shared" si="36"/>
        <v/>
      </c>
      <c r="W240" s="520" t="str">
        <f>IF(S240="","",VLOOKUP(S240,'G-1 All Habitats'!$B$2:$M$129,10,FALSE))</f>
        <v/>
      </c>
      <c r="X240" s="520" t="str">
        <f>IFERROR(VLOOKUP(W240,'G-1 All Habitats'!$V$3:$W$7,2,FALSE),"")</f>
        <v/>
      </c>
      <c r="Y240" s="203"/>
      <c r="Z240" s="524" t="str">
        <f>IFERROR(INDEX('G-8 Condition Look up'!$A$3:$H$130,MATCH(S240,'G-8 Condition Look up'!$A$3:$A$130,0),MATCH(Y240,'G-8 Condition Look up'!$A$3:$H$3,0)),"")</f>
        <v/>
      </c>
      <c r="AA240" s="145"/>
      <c r="AB240" s="540" t="str">
        <f>IF(AA240="","",IF(VLOOKUP(AA240,'G-3 Multipliers'!$L$3:$N$6,2,FALSE)=0,"Spatial Data Missing ⚠",VLOOKUP(AA240,'G-3 Multipliers'!$L$3:$N$6,2,FALSE)))</f>
        <v/>
      </c>
      <c r="AC240" s="524" t="str">
        <f>IF(AA240="","",IF(VLOOKUP(AA240,'G-3 Multipliers'!$L$3:$N$6,3,FALSE)=0,"Spatial Data Missing ⚠",VLOOKUP(AA240,'G-3 Multipliers'!$L$3:$N$6,3,FALSE)))</f>
        <v/>
      </c>
      <c r="AD240" s="537" t="str">
        <f t="shared" si="37"/>
        <v/>
      </c>
      <c r="AE240" s="203"/>
      <c r="AF240" s="203"/>
      <c r="AG240" s="520" t="str">
        <f t="shared" si="40"/>
        <v/>
      </c>
      <c r="AH240" s="544" t="str">
        <f t="shared" si="41"/>
        <v/>
      </c>
      <c r="AI240" s="525" t="str">
        <f>IF(AH240="Check Data ⚠","Check Data ⚠",IFERROR(VLOOKUP(AH240,'G-4 Temporal multipliers'!$A$4:$C$36,3,FALSE),""))</f>
        <v/>
      </c>
      <c r="AJ240" s="537" t="str">
        <f>IF(S240="","",VLOOKUP(S240,'G-3 Multipliers'!$A$2:$E$129,4,FALSE))</f>
        <v/>
      </c>
      <c r="AK240" s="520" t="str">
        <f t="shared" si="42"/>
        <v/>
      </c>
      <c r="AL240" s="520" t="str">
        <f t="shared" si="43"/>
        <v/>
      </c>
      <c r="AM240" s="524" t="str">
        <f>IFERROR(IF(F240="","",IF(AH240="Check Data ⚠","Check Data ⚠",VLOOKUP(AL240, 'G-3 Multipliers'!$P$2:$Q$6,2,FALSE))),"")</f>
        <v/>
      </c>
      <c r="AN240" s="197"/>
      <c r="AO240" s="540" t="str">
        <f>IF(AN240="","",IF(VLOOKUP(AN240,'G-3 Multipliers'!$S$3:$T$9,2,FALSE)=0,"Spatial Data Missing ⚠",VLOOKUP(AN240,'G-3 Multipliers'!$S$3:$T$9,2,FALSE)))</f>
        <v/>
      </c>
      <c r="AP240" s="513" t="str">
        <f t="shared" si="44"/>
        <v/>
      </c>
      <c r="AQ240" s="231"/>
      <c r="AR240" s="150"/>
    </row>
    <row r="241" spans="1:44" x14ac:dyDescent="0.25">
      <c r="A241" s="31" t="str">
        <f>IF(E241="","",IF(ISNA(VLOOKUP($E241,'D-1 Off Site Habitat Baseline'!$D$1:$O$258,2,FALSE)),"",(VLOOKUP($E241,'D-1 Off Site Habitat Baseline'!$D$1:$O$258,2,FALSE))))</f>
        <v/>
      </c>
      <c r="B241" s="31" t="str">
        <f>IF(E241="","",IF(ISNA(VLOOKUP($E241,'D-1 Off Site Habitat Baseline'!$D$1:$O$258,3,FALSE)),"",(VLOOKUP($E241,'D-1 Off Site Habitat Baseline'!$D$1:$O$258,3,FALSE))))</f>
        <v/>
      </c>
      <c r="C241" s="31" t="str">
        <f>IFERROR(INDEX('G-8 Condition Look up'!$I$4:$I$130,MATCH(S241,'G-8 Condition Look up'!$A$4:$A$130,0)),"")</f>
        <v/>
      </c>
      <c r="E241" s="547" t="str">
        <f>'D-1 Off Site Habitat Baseline'!AL240</f>
        <v/>
      </c>
      <c r="F241" s="520" t="str">
        <f>IF(E241="","",IF(ISNA(VLOOKUP($E241,'D-1 Off Site Habitat Baseline'!$D$1:$O$258,4,FALSE)),"",(VLOOKUP($E241,'D-1 Off Site Habitat Baseline'!$D$1:$O$258,4,FALSE))))</f>
        <v/>
      </c>
      <c r="G241" s="520" t="str">
        <f>IF(E241="","",IF(ISNA(VLOOKUP($E241,'D-1 Off Site Habitat Baseline'!$D$1:$O$258,5,FALSE)),"",(VLOOKUP($E241,'D-1 Off Site Habitat Baseline'!$D$1:$O$258,5,FALSE))))</f>
        <v/>
      </c>
      <c r="H241" s="520" t="str">
        <f>IF(E241="","",IF(ISNA(VLOOKUP($E241,'D-1 Off Site Habitat Baseline'!$D$1:$O$258,6,FALSE)),"",(VLOOKUP($E241,'D-1 Off Site Habitat Baseline'!$D$1:$O$258,6,FALSE))))</f>
        <v/>
      </c>
      <c r="I241" s="520" t="str">
        <f>IF(E241="","",IF(ISNA(VLOOKUP($E241,'D-1 Off Site Habitat Baseline'!$D$1:$O$258,7,FALSE)),"",(VLOOKUP($E241,'D-1 Off Site Habitat Baseline'!$D$1:$O$258,7,FALSE))))</f>
        <v/>
      </c>
      <c r="J241" s="520" t="str">
        <f>IF(E241="","",IF(ISNA(VLOOKUP($E241,'D-1 Off Site Habitat Baseline'!$D$1:$O$258,8,FALSE)),"",(VLOOKUP($E241,'D-1 Off Site Habitat Baseline'!$D$1:$O$258,8,FALSE))))</f>
        <v/>
      </c>
      <c r="K241" s="520" t="str">
        <f>IF(E241="","",IF(ISNA(VLOOKUP($E241,'D-1 Off Site Habitat Baseline'!$D$1:$O$258,9,FALSE)),"",(VLOOKUP($E241,'D-1 Off Site Habitat Baseline'!$D$1:$O$258,9,FALSE))))</f>
        <v/>
      </c>
      <c r="L241" s="520" t="str">
        <f>IF(E241="","",IF(ISNA(VLOOKUP($E241,'D-1 Off Site Habitat Baseline'!$D$1:$O$258,11,FALSE)),"",(VLOOKUP($E241,'D-1 Off Site Habitat Baseline'!$D$1:$O$258,11,FALSE))))</f>
        <v/>
      </c>
      <c r="M241" s="520" t="str">
        <f>IF(E241="","",IF(ISNA(VLOOKUP($E241,'D-1 Off Site Habitat Baseline'!$D$1:$O$258,12,FALSE)),"",(VLOOKUP($E241,'D-1 Off Site Habitat Baseline'!$D$1:$O$258,12,FALSE))))</f>
        <v/>
      </c>
      <c r="N241" s="520" t="str">
        <f>IF(E241="","",IF(ISNA(VLOOKUP($E241,'D-1 Off Site Habitat Baseline'!$D$1:$X$258,14,FALSE)),"",(VLOOKUP($E241,'D-1 Off Site Habitat Baseline'!$D$1:$X$258,14,FALSE))))</f>
        <v/>
      </c>
      <c r="O241" s="524" t="str">
        <f>IF(E241="","",IF(ISNA(VLOOKUP($E241,'D-1 Off Site Habitat Baseline'!$D$1:$X$258,13,FALSE)),"",(VLOOKUP($E241,'D-1 Off Site Habitat Baseline'!$D$1:$X$258,13,FALSE))))</f>
        <v/>
      </c>
      <c r="P241" s="232" t="str">
        <f>IFERROR(INDEX('G-1 All Habitats'!$AG$3:$AG$15,MATCH(Q241,'G-1 All Habitats'!$AF$3:$AF$15,0)),"")</f>
        <v/>
      </c>
      <c r="Q241" s="228" t="str">
        <f t="shared" si="45"/>
        <v/>
      </c>
      <c r="R241" s="229" t="str">
        <f t="shared" si="46"/>
        <v/>
      </c>
      <c r="S241" s="233" t="str">
        <f>IFERROR(INDEX('G-1 All Habitats'!$B$3:$B$129,MATCH(R241,'G-1 All Habitats'!$A$3:$A$129,0)),"")</f>
        <v/>
      </c>
      <c r="T241" s="507" t="str">
        <f t="shared" si="38"/>
        <v/>
      </c>
      <c r="U241" s="524" t="str">
        <f t="shared" si="39"/>
        <v/>
      </c>
      <c r="V241" s="523" t="str">
        <f t="shared" si="36"/>
        <v/>
      </c>
      <c r="W241" s="520" t="str">
        <f>IF(S241="","",VLOOKUP(S241,'G-1 All Habitats'!$B$2:$M$129,10,FALSE))</f>
        <v/>
      </c>
      <c r="X241" s="520" t="str">
        <f>IFERROR(VLOOKUP(W241,'G-1 All Habitats'!$V$3:$W$7,2,FALSE),"")</f>
        <v/>
      </c>
      <c r="Y241" s="203"/>
      <c r="Z241" s="524" t="str">
        <f>IFERROR(INDEX('G-8 Condition Look up'!$A$3:$H$130,MATCH(S241,'G-8 Condition Look up'!$A$3:$A$130,0),MATCH(Y241,'G-8 Condition Look up'!$A$3:$H$3,0)),"")</f>
        <v/>
      </c>
      <c r="AA241" s="145"/>
      <c r="AB241" s="540" t="str">
        <f>IF(AA241="","",IF(VLOOKUP(AA241,'G-3 Multipliers'!$L$3:$N$6,2,FALSE)=0,"Spatial Data Missing ⚠",VLOOKUP(AA241,'G-3 Multipliers'!$L$3:$N$6,2,FALSE)))</f>
        <v/>
      </c>
      <c r="AC241" s="524" t="str">
        <f>IF(AA241="","",IF(VLOOKUP(AA241,'G-3 Multipliers'!$L$3:$N$6,3,FALSE)=0,"Spatial Data Missing ⚠",VLOOKUP(AA241,'G-3 Multipliers'!$L$3:$N$6,3,FALSE)))</f>
        <v/>
      </c>
      <c r="AD241" s="537" t="str">
        <f t="shared" si="37"/>
        <v/>
      </c>
      <c r="AE241" s="203"/>
      <c r="AF241" s="203"/>
      <c r="AG241" s="520" t="str">
        <f t="shared" si="40"/>
        <v/>
      </c>
      <c r="AH241" s="544" t="str">
        <f t="shared" si="41"/>
        <v/>
      </c>
      <c r="AI241" s="525" t="str">
        <f>IF(AH241="Check Data ⚠","Check Data ⚠",IFERROR(VLOOKUP(AH241,'G-4 Temporal multipliers'!$A$4:$C$36,3,FALSE),""))</f>
        <v/>
      </c>
      <c r="AJ241" s="537" t="str">
        <f>IF(S241="","",VLOOKUP(S241,'G-3 Multipliers'!$A$2:$E$129,4,FALSE))</f>
        <v/>
      </c>
      <c r="AK241" s="520" t="str">
        <f t="shared" si="42"/>
        <v/>
      </c>
      <c r="AL241" s="520" t="str">
        <f t="shared" si="43"/>
        <v/>
      </c>
      <c r="AM241" s="524" t="str">
        <f>IFERROR(IF(F241="","",IF(AH241="Check Data ⚠","Check Data ⚠",VLOOKUP(AL241, 'G-3 Multipliers'!$P$2:$Q$6,2,FALSE))),"")</f>
        <v/>
      </c>
      <c r="AN241" s="197"/>
      <c r="AO241" s="540" t="str">
        <f>IF(AN241="","",IF(VLOOKUP(AN241,'G-3 Multipliers'!$S$3:$T$9,2,FALSE)=0,"Spatial Data Missing ⚠",VLOOKUP(AN241,'G-3 Multipliers'!$S$3:$T$9,2,FALSE)))</f>
        <v/>
      </c>
      <c r="AP241" s="513" t="str">
        <f t="shared" si="44"/>
        <v/>
      </c>
      <c r="AQ241" s="231"/>
      <c r="AR241" s="150"/>
    </row>
    <row r="242" spans="1:44" x14ac:dyDescent="0.25">
      <c r="A242" s="31" t="str">
        <f>IF(E242="","",IF(ISNA(VLOOKUP($E242,'D-1 Off Site Habitat Baseline'!$D$1:$O$258,2,FALSE)),"",(VLOOKUP($E242,'D-1 Off Site Habitat Baseline'!$D$1:$O$258,2,FALSE))))</f>
        <v/>
      </c>
      <c r="B242" s="31" t="str">
        <f>IF(E242="","",IF(ISNA(VLOOKUP($E242,'D-1 Off Site Habitat Baseline'!$D$1:$O$258,3,FALSE)),"",(VLOOKUP($E242,'D-1 Off Site Habitat Baseline'!$D$1:$O$258,3,FALSE))))</f>
        <v/>
      </c>
      <c r="C242" s="31" t="str">
        <f>IFERROR(INDEX('G-8 Condition Look up'!$I$4:$I$130,MATCH(S242,'G-8 Condition Look up'!$A$4:$A$130,0)),"")</f>
        <v/>
      </c>
      <c r="E242" s="547" t="str">
        <f>'D-1 Off Site Habitat Baseline'!AL241</f>
        <v/>
      </c>
      <c r="F242" s="520" t="str">
        <f>IF(E242="","",IF(ISNA(VLOOKUP($E242,'D-1 Off Site Habitat Baseline'!$D$1:$O$258,4,FALSE)),"",(VLOOKUP($E242,'D-1 Off Site Habitat Baseline'!$D$1:$O$258,4,FALSE))))</f>
        <v/>
      </c>
      <c r="G242" s="520" t="str">
        <f>IF(E242="","",IF(ISNA(VLOOKUP($E242,'D-1 Off Site Habitat Baseline'!$D$1:$O$258,5,FALSE)),"",(VLOOKUP($E242,'D-1 Off Site Habitat Baseline'!$D$1:$O$258,5,FALSE))))</f>
        <v/>
      </c>
      <c r="H242" s="520" t="str">
        <f>IF(E242="","",IF(ISNA(VLOOKUP($E242,'D-1 Off Site Habitat Baseline'!$D$1:$O$258,6,FALSE)),"",(VLOOKUP($E242,'D-1 Off Site Habitat Baseline'!$D$1:$O$258,6,FALSE))))</f>
        <v/>
      </c>
      <c r="I242" s="520" t="str">
        <f>IF(E242="","",IF(ISNA(VLOOKUP($E242,'D-1 Off Site Habitat Baseline'!$D$1:$O$258,7,FALSE)),"",(VLOOKUP($E242,'D-1 Off Site Habitat Baseline'!$D$1:$O$258,7,FALSE))))</f>
        <v/>
      </c>
      <c r="J242" s="520" t="str">
        <f>IF(E242="","",IF(ISNA(VLOOKUP($E242,'D-1 Off Site Habitat Baseline'!$D$1:$O$258,8,FALSE)),"",(VLOOKUP($E242,'D-1 Off Site Habitat Baseline'!$D$1:$O$258,8,FALSE))))</f>
        <v/>
      </c>
      <c r="K242" s="520" t="str">
        <f>IF(E242="","",IF(ISNA(VLOOKUP($E242,'D-1 Off Site Habitat Baseline'!$D$1:$O$258,9,FALSE)),"",(VLOOKUP($E242,'D-1 Off Site Habitat Baseline'!$D$1:$O$258,9,FALSE))))</f>
        <v/>
      </c>
      <c r="L242" s="520" t="str">
        <f>IF(E242="","",IF(ISNA(VLOOKUP($E242,'D-1 Off Site Habitat Baseline'!$D$1:$O$258,11,FALSE)),"",(VLOOKUP($E242,'D-1 Off Site Habitat Baseline'!$D$1:$O$258,11,FALSE))))</f>
        <v/>
      </c>
      <c r="M242" s="520" t="str">
        <f>IF(E242="","",IF(ISNA(VLOOKUP($E242,'D-1 Off Site Habitat Baseline'!$D$1:$O$258,12,FALSE)),"",(VLOOKUP($E242,'D-1 Off Site Habitat Baseline'!$D$1:$O$258,12,FALSE))))</f>
        <v/>
      </c>
      <c r="N242" s="520" t="str">
        <f>IF(E242="","",IF(ISNA(VLOOKUP($E242,'D-1 Off Site Habitat Baseline'!$D$1:$X$258,14,FALSE)),"",(VLOOKUP($E242,'D-1 Off Site Habitat Baseline'!$D$1:$X$258,14,FALSE))))</f>
        <v/>
      </c>
      <c r="O242" s="524" t="str">
        <f>IF(E242="","",IF(ISNA(VLOOKUP($E242,'D-1 Off Site Habitat Baseline'!$D$1:$X$258,13,FALSE)),"",(VLOOKUP($E242,'D-1 Off Site Habitat Baseline'!$D$1:$X$258,13,FALSE))))</f>
        <v/>
      </c>
      <c r="P242" s="232" t="str">
        <f>IFERROR(INDEX('G-1 All Habitats'!$AG$3:$AG$15,MATCH(Q242,'G-1 All Habitats'!$AF$3:$AF$15,0)),"")</f>
        <v/>
      </c>
      <c r="Q242" s="228" t="str">
        <f t="shared" si="45"/>
        <v/>
      </c>
      <c r="R242" s="229" t="str">
        <f t="shared" si="46"/>
        <v/>
      </c>
      <c r="S242" s="233" t="str">
        <f>IFERROR(INDEX('G-1 All Habitats'!$B$3:$B$129,MATCH(R242,'G-1 All Habitats'!$A$3:$A$129,0)),"")</f>
        <v/>
      </c>
      <c r="T242" s="507" t="str">
        <f t="shared" si="38"/>
        <v/>
      </c>
      <c r="U242" s="524" t="str">
        <f t="shared" si="39"/>
        <v/>
      </c>
      <c r="V242" s="523" t="str">
        <f t="shared" si="36"/>
        <v/>
      </c>
      <c r="W242" s="520" t="str">
        <f>IF(S242="","",VLOOKUP(S242,'G-1 All Habitats'!$B$2:$M$129,10,FALSE))</f>
        <v/>
      </c>
      <c r="X242" s="520" t="str">
        <f>IFERROR(VLOOKUP(W242,'G-1 All Habitats'!$V$3:$W$7,2,FALSE),"")</f>
        <v/>
      </c>
      <c r="Y242" s="203"/>
      <c r="Z242" s="524" t="str">
        <f>IFERROR(INDEX('G-8 Condition Look up'!$A$3:$H$130,MATCH(S242,'G-8 Condition Look up'!$A$3:$A$130,0),MATCH(Y242,'G-8 Condition Look up'!$A$3:$H$3,0)),"")</f>
        <v/>
      </c>
      <c r="AA242" s="145"/>
      <c r="AB242" s="540" t="str">
        <f>IF(AA242="","",IF(VLOOKUP(AA242,'G-3 Multipliers'!$L$3:$N$6,2,FALSE)=0,"Spatial Data Missing ⚠",VLOOKUP(AA242,'G-3 Multipliers'!$L$3:$N$6,2,FALSE)))</f>
        <v/>
      </c>
      <c r="AC242" s="524" t="str">
        <f>IF(AA242="","",IF(VLOOKUP(AA242,'G-3 Multipliers'!$L$3:$N$6,3,FALSE)=0,"Spatial Data Missing ⚠",VLOOKUP(AA242,'G-3 Multipliers'!$L$3:$N$6,3,FALSE)))</f>
        <v/>
      </c>
      <c r="AD242" s="537" t="str">
        <f t="shared" si="37"/>
        <v/>
      </c>
      <c r="AE242" s="203"/>
      <c r="AF242" s="203"/>
      <c r="AG242" s="520" t="str">
        <f t="shared" si="40"/>
        <v/>
      </c>
      <c r="AH242" s="544" t="str">
        <f t="shared" si="41"/>
        <v/>
      </c>
      <c r="AI242" s="525" t="str">
        <f>IF(AH242="Check Data ⚠","Check Data ⚠",IFERROR(VLOOKUP(AH242,'G-4 Temporal multipliers'!$A$4:$C$36,3,FALSE),""))</f>
        <v/>
      </c>
      <c r="AJ242" s="537" t="str">
        <f>IF(S242="","",VLOOKUP(S242,'G-3 Multipliers'!$A$2:$E$129,4,FALSE))</f>
        <v/>
      </c>
      <c r="AK242" s="520" t="str">
        <f t="shared" si="42"/>
        <v/>
      </c>
      <c r="AL242" s="520" t="str">
        <f t="shared" si="43"/>
        <v/>
      </c>
      <c r="AM242" s="524" t="str">
        <f>IFERROR(IF(F242="","",IF(AH242="Check Data ⚠","Check Data ⚠",VLOOKUP(AL242, 'G-3 Multipliers'!$P$2:$Q$6,2,FALSE))),"")</f>
        <v/>
      </c>
      <c r="AN242" s="197"/>
      <c r="AO242" s="540" t="str">
        <f>IF(AN242="","",IF(VLOOKUP(AN242,'G-3 Multipliers'!$S$3:$T$9,2,FALSE)=0,"Spatial Data Missing ⚠",VLOOKUP(AN242,'G-3 Multipliers'!$S$3:$T$9,2,FALSE)))</f>
        <v/>
      </c>
      <c r="AP242" s="513" t="str">
        <f t="shared" si="44"/>
        <v/>
      </c>
      <c r="AQ242" s="231"/>
      <c r="AR242" s="150"/>
    </row>
    <row r="243" spans="1:44" x14ac:dyDescent="0.25">
      <c r="A243" s="31" t="str">
        <f>IF(E243="","",IF(ISNA(VLOOKUP($E243,'D-1 Off Site Habitat Baseline'!$D$1:$O$258,2,FALSE)),"",(VLOOKUP($E243,'D-1 Off Site Habitat Baseline'!$D$1:$O$258,2,FALSE))))</f>
        <v/>
      </c>
      <c r="B243" s="31" t="str">
        <f>IF(E243="","",IF(ISNA(VLOOKUP($E243,'D-1 Off Site Habitat Baseline'!$D$1:$O$258,3,FALSE)),"",(VLOOKUP($E243,'D-1 Off Site Habitat Baseline'!$D$1:$O$258,3,FALSE))))</f>
        <v/>
      </c>
      <c r="C243" s="31" t="str">
        <f>IFERROR(INDEX('G-8 Condition Look up'!$I$4:$I$130,MATCH(S243,'G-8 Condition Look up'!$A$4:$A$130,0)),"")</f>
        <v/>
      </c>
      <c r="E243" s="547" t="str">
        <f>'D-1 Off Site Habitat Baseline'!AL242</f>
        <v/>
      </c>
      <c r="F243" s="520" t="str">
        <f>IF(E243="","",IF(ISNA(VLOOKUP($E243,'D-1 Off Site Habitat Baseline'!$D$1:$O$258,4,FALSE)),"",(VLOOKUP($E243,'D-1 Off Site Habitat Baseline'!$D$1:$O$258,4,FALSE))))</f>
        <v/>
      </c>
      <c r="G243" s="520" t="str">
        <f>IF(E243="","",IF(ISNA(VLOOKUP($E243,'D-1 Off Site Habitat Baseline'!$D$1:$O$258,5,FALSE)),"",(VLOOKUP($E243,'D-1 Off Site Habitat Baseline'!$D$1:$O$258,5,FALSE))))</f>
        <v/>
      </c>
      <c r="H243" s="520" t="str">
        <f>IF(E243="","",IF(ISNA(VLOOKUP($E243,'D-1 Off Site Habitat Baseline'!$D$1:$O$258,6,FALSE)),"",(VLOOKUP($E243,'D-1 Off Site Habitat Baseline'!$D$1:$O$258,6,FALSE))))</f>
        <v/>
      </c>
      <c r="I243" s="520" t="str">
        <f>IF(E243="","",IF(ISNA(VLOOKUP($E243,'D-1 Off Site Habitat Baseline'!$D$1:$O$258,7,FALSE)),"",(VLOOKUP($E243,'D-1 Off Site Habitat Baseline'!$D$1:$O$258,7,FALSE))))</f>
        <v/>
      </c>
      <c r="J243" s="520" t="str">
        <f>IF(E243="","",IF(ISNA(VLOOKUP($E243,'D-1 Off Site Habitat Baseline'!$D$1:$O$258,8,FALSE)),"",(VLOOKUP($E243,'D-1 Off Site Habitat Baseline'!$D$1:$O$258,8,FALSE))))</f>
        <v/>
      </c>
      <c r="K243" s="520" t="str">
        <f>IF(E243="","",IF(ISNA(VLOOKUP($E243,'D-1 Off Site Habitat Baseline'!$D$1:$O$258,9,FALSE)),"",(VLOOKUP($E243,'D-1 Off Site Habitat Baseline'!$D$1:$O$258,9,FALSE))))</f>
        <v/>
      </c>
      <c r="L243" s="520" t="str">
        <f>IF(E243="","",IF(ISNA(VLOOKUP($E243,'D-1 Off Site Habitat Baseline'!$D$1:$O$258,11,FALSE)),"",(VLOOKUP($E243,'D-1 Off Site Habitat Baseline'!$D$1:$O$258,11,FALSE))))</f>
        <v/>
      </c>
      <c r="M243" s="520" t="str">
        <f>IF(E243="","",IF(ISNA(VLOOKUP($E243,'D-1 Off Site Habitat Baseline'!$D$1:$O$258,12,FALSE)),"",(VLOOKUP($E243,'D-1 Off Site Habitat Baseline'!$D$1:$O$258,12,FALSE))))</f>
        <v/>
      </c>
      <c r="N243" s="520" t="str">
        <f>IF(E243="","",IF(ISNA(VLOOKUP($E243,'D-1 Off Site Habitat Baseline'!$D$1:$X$258,14,FALSE)),"",(VLOOKUP($E243,'D-1 Off Site Habitat Baseline'!$D$1:$X$258,14,FALSE))))</f>
        <v/>
      </c>
      <c r="O243" s="524" t="str">
        <f>IF(E243="","",IF(ISNA(VLOOKUP($E243,'D-1 Off Site Habitat Baseline'!$D$1:$X$258,13,FALSE)),"",(VLOOKUP($E243,'D-1 Off Site Habitat Baseline'!$D$1:$X$258,13,FALSE))))</f>
        <v/>
      </c>
      <c r="P243" s="232" t="str">
        <f>IFERROR(INDEX('G-1 All Habitats'!$AG$3:$AG$15,MATCH(Q243,'G-1 All Habitats'!$AF$3:$AF$15,0)),"")</f>
        <v/>
      </c>
      <c r="Q243" s="228" t="str">
        <f t="shared" si="45"/>
        <v/>
      </c>
      <c r="R243" s="229" t="str">
        <f t="shared" si="46"/>
        <v/>
      </c>
      <c r="S243" s="233" t="str">
        <f>IFERROR(INDEX('G-1 All Habitats'!$B$3:$B$129,MATCH(R243,'G-1 All Habitats'!$A$3:$A$129,0)),"")</f>
        <v/>
      </c>
      <c r="T243" s="507" t="str">
        <f t="shared" si="38"/>
        <v/>
      </c>
      <c r="U243" s="524" t="str">
        <f t="shared" si="39"/>
        <v/>
      </c>
      <c r="V243" s="523" t="str">
        <f t="shared" si="36"/>
        <v/>
      </c>
      <c r="W243" s="520" t="str">
        <f>IF(S243="","",VLOOKUP(S243,'G-1 All Habitats'!$B$2:$M$129,10,FALSE))</f>
        <v/>
      </c>
      <c r="X243" s="520" t="str">
        <f>IFERROR(VLOOKUP(W243,'G-1 All Habitats'!$V$3:$W$7,2,FALSE),"")</f>
        <v/>
      </c>
      <c r="Y243" s="203"/>
      <c r="Z243" s="524" t="str">
        <f>IFERROR(INDEX('G-8 Condition Look up'!$A$3:$H$130,MATCH(S243,'G-8 Condition Look up'!$A$3:$A$130,0),MATCH(Y243,'G-8 Condition Look up'!$A$3:$H$3,0)),"")</f>
        <v/>
      </c>
      <c r="AA243" s="145"/>
      <c r="AB243" s="540" t="str">
        <f>IF(AA243="","",IF(VLOOKUP(AA243,'G-3 Multipliers'!$L$3:$N$6,2,FALSE)=0,"Spatial Data Missing ⚠",VLOOKUP(AA243,'G-3 Multipliers'!$L$3:$N$6,2,FALSE)))</f>
        <v/>
      </c>
      <c r="AC243" s="524" t="str">
        <f>IF(AA243="","",IF(VLOOKUP(AA243,'G-3 Multipliers'!$L$3:$N$6,3,FALSE)=0,"Spatial Data Missing ⚠",VLOOKUP(AA243,'G-3 Multipliers'!$L$3:$N$6,3,FALSE)))</f>
        <v/>
      </c>
      <c r="AD243" s="537" t="str">
        <f t="shared" si="37"/>
        <v/>
      </c>
      <c r="AE243" s="203"/>
      <c r="AF243" s="203"/>
      <c r="AG243" s="520" t="str">
        <f t="shared" si="40"/>
        <v/>
      </c>
      <c r="AH243" s="544" t="str">
        <f t="shared" si="41"/>
        <v/>
      </c>
      <c r="AI243" s="525" t="str">
        <f>IF(AH243="Check Data ⚠","Check Data ⚠",IFERROR(VLOOKUP(AH243,'G-4 Temporal multipliers'!$A$4:$C$36,3,FALSE),""))</f>
        <v/>
      </c>
      <c r="AJ243" s="537" t="str">
        <f>IF(S243="","",VLOOKUP(S243,'G-3 Multipliers'!$A$2:$E$129,4,FALSE))</f>
        <v/>
      </c>
      <c r="AK243" s="520" t="str">
        <f t="shared" si="42"/>
        <v/>
      </c>
      <c r="AL243" s="520" t="str">
        <f t="shared" si="43"/>
        <v/>
      </c>
      <c r="AM243" s="524" t="str">
        <f>IFERROR(IF(F243="","",IF(AH243="Check Data ⚠","Check Data ⚠",VLOOKUP(AL243, 'G-3 Multipliers'!$P$2:$Q$6,2,FALSE))),"")</f>
        <v/>
      </c>
      <c r="AN243" s="197"/>
      <c r="AO243" s="540" t="str">
        <f>IF(AN243="","",IF(VLOOKUP(AN243,'G-3 Multipliers'!$S$3:$T$9,2,FALSE)=0,"Spatial Data Missing ⚠",VLOOKUP(AN243,'G-3 Multipliers'!$S$3:$T$9,2,FALSE)))</f>
        <v/>
      </c>
      <c r="AP243" s="513" t="str">
        <f t="shared" si="44"/>
        <v/>
      </c>
      <c r="AQ243" s="231"/>
      <c r="AR243" s="150"/>
    </row>
    <row r="244" spans="1:44" x14ac:dyDescent="0.25">
      <c r="A244" s="31" t="str">
        <f>IF(E244="","",IF(ISNA(VLOOKUP($E244,'D-1 Off Site Habitat Baseline'!$D$1:$O$258,2,FALSE)),"",(VLOOKUP($E244,'D-1 Off Site Habitat Baseline'!$D$1:$O$258,2,FALSE))))</f>
        <v/>
      </c>
      <c r="B244" s="31" t="str">
        <f>IF(E244="","",IF(ISNA(VLOOKUP($E244,'D-1 Off Site Habitat Baseline'!$D$1:$O$258,3,FALSE)),"",(VLOOKUP($E244,'D-1 Off Site Habitat Baseline'!$D$1:$O$258,3,FALSE))))</f>
        <v/>
      </c>
      <c r="C244" s="31" t="str">
        <f>IFERROR(INDEX('G-8 Condition Look up'!$I$4:$I$130,MATCH(S244,'G-8 Condition Look up'!$A$4:$A$130,0)),"")</f>
        <v/>
      </c>
      <c r="E244" s="547" t="str">
        <f>'D-1 Off Site Habitat Baseline'!AL243</f>
        <v/>
      </c>
      <c r="F244" s="520" t="str">
        <f>IF(E244="","",IF(ISNA(VLOOKUP($E244,'D-1 Off Site Habitat Baseline'!$D$1:$O$258,4,FALSE)),"",(VLOOKUP($E244,'D-1 Off Site Habitat Baseline'!$D$1:$O$258,4,FALSE))))</f>
        <v/>
      </c>
      <c r="G244" s="520" t="str">
        <f>IF(E244="","",IF(ISNA(VLOOKUP($E244,'D-1 Off Site Habitat Baseline'!$D$1:$O$258,5,FALSE)),"",(VLOOKUP($E244,'D-1 Off Site Habitat Baseline'!$D$1:$O$258,5,FALSE))))</f>
        <v/>
      </c>
      <c r="H244" s="520" t="str">
        <f>IF(E244="","",IF(ISNA(VLOOKUP($E244,'D-1 Off Site Habitat Baseline'!$D$1:$O$258,6,FALSE)),"",(VLOOKUP($E244,'D-1 Off Site Habitat Baseline'!$D$1:$O$258,6,FALSE))))</f>
        <v/>
      </c>
      <c r="I244" s="520" t="str">
        <f>IF(E244="","",IF(ISNA(VLOOKUP($E244,'D-1 Off Site Habitat Baseline'!$D$1:$O$258,7,FALSE)),"",(VLOOKUP($E244,'D-1 Off Site Habitat Baseline'!$D$1:$O$258,7,FALSE))))</f>
        <v/>
      </c>
      <c r="J244" s="520" t="str">
        <f>IF(E244="","",IF(ISNA(VLOOKUP($E244,'D-1 Off Site Habitat Baseline'!$D$1:$O$258,8,FALSE)),"",(VLOOKUP($E244,'D-1 Off Site Habitat Baseline'!$D$1:$O$258,8,FALSE))))</f>
        <v/>
      </c>
      <c r="K244" s="520" t="str">
        <f>IF(E244="","",IF(ISNA(VLOOKUP($E244,'D-1 Off Site Habitat Baseline'!$D$1:$O$258,9,FALSE)),"",(VLOOKUP($E244,'D-1 Off Site Habitat Baseline'!$D$1:$O$258,9,FALSE))))</f>
        <v/>
      </c>
      <c r="L244" s="520" t="str">
        <f>IF(E244="","",IF(ISNA(VLOOKUP($E244,'D-1 Off Site Habitat Baseline'!$D$1:$O$258,11,FALSE)),"",(VLOOKUP($E244,'D-1 Off Site Habitat Baseline'!$D$1:$O$258,11,FALSE))))</f>
        <v/>
      </c>
      <c r="M244" s="520" t="str">
        <f>IF(E244="","",IF(ISNA(VLOOKUP($E244,'D-1 Off Site Habitat Baseline'!$D$1:$O$258,12,FALSE)),"",(VLOOKUP($E244,'D-1 Off Site Habitat Baseline'!$D$1:$O$258,12,FALSE))))</f>
        <v/>
      </c>
      <c r="N244" s="520" t="str">
        <f>IF(E244="","",IF(ISNA(VLOOKUP($E244,'D-1 Off Site Habitat Baseline'!$D$1:$X$258,14,FALSE)),"",(VLOOKUP($E244,'D-1 Off Site Habitat Baseline'!$D$1:$X$258,14,FALSE))))</f>
        <v/>
      </c>
      <c r="O244" s="524" t="str">
        <f>IF(E244="","",IF(ISNA(VLOOKUP($E244,'D-1 Off Site Habitat Baseline'!$D$1:$X$258,13,FALSE)),"",(VLOOKUP($E244,'D-1 Off Site Habitat Baseline'!$D$1:$X$258,13,FALSE))))</f>
        <v/>
      </c>
      <c r="P244" s="232" t="str">
        <f>IFERROR(INDEX('G-1 All Habitats'!$AG$3:$AG$15,MATCH(Q244,'G-1 All Habitats'!$AF$3:$AF$15,0)),"")</f>
        <v/>
      </c>
      <c r="Q244" s="228" t="str">
        <f t="shared" si="45"/>
        <v/>
      </c>
      <c r="R244" s="229" t="str">
        <f t="shared" si="46"/>
        <v/>
      </c>
      <c r="S244" s="233" t="str">
        <f>IFERROR(INDEX('G-1 All Habitats'!$B$3:$B$129,MATCH(R244,'G-1 All Habitats'!$A$3:$A$129,0)),"")</f>
        <v/>
      </c>
      <c r="T244" s="507" t="str">
        <f t="shared" si="38"/>
        <v/>
      </c>
      <c r="U244" s="524" t="str">
        <f t="shared" si="39"/>
        <v/>
      </c>
      <c r="V244" s="523" t="str">
        <f t="shared" si="36"/>
        <v/>
      </c>
      <c r="W244" s="520" t="str">
        <f>IF(S244="","",VLOOKUP(S244,'G-1 All Habitats'!$B$2:$M$129,10,FALSE))</f>
        <v/>
      </c>
      <c r="X244" s="520" t="str">
        <f>IFERROR(VLOOKUP(W244,'G-1 All Habitats'!$V$3:$W$7,2,FALSE),"")</f>
        <v/>
      </c>
      <c r="Y244" s="203"/>
      <c r="Z244" s="524" t="str">
        <f>IFERROR(INDEX('G-8 Condition Look up'!$A$3:$H$130,MATCH(S244,'G-8 Condition Look up'!$A$3:$A$130,0),MATCH(Y244,'G-8 Condition Look up'!$A$3:$H$3,0)),"")</f>
        <v/>
      </c>
      <c r="AA244" s="145"/>
      <c r="AB244" s="540" t="str">
        <f>IF(AA244="","",IF(VLOOKUP(AA244,'G-3 Multipliers'!$L$3:$N$6,2,FALSE)=0,"Spatial Data Missing ⚠",VLOOKUP(AA244,'G-3 Multipliers'!$L$3:$N$6,2,FALSE)))</f>
        <v/>
      </c>
      <c r="AC244" s="524" t="str">
        <f>IF(AA244="","",IF(VLOOKUP(AA244,'G-3 Multipliers'!$L$3:$N$6,3,FALSE)=0,"Spatial Data Missing ⚠",VLOOKUP(AA244,'G-3 Multipliers'!$L$3:$N$6,3,FALSE)))</f>
        <v/>
      </c>
      <c r="AD244" s="537" t="str">
        <f t="shared" si="37"/>
        <v/>
      </c>
      <c r="AE244" s="203"/>
      <c r="AF244" s="203"/>
      <c r="AG244" s="520" t="str">
        <f t="shared" si="40"/>
        <v/>
      </c>
      <c r="AH244" s="544" t="str">
        <f t="shared" si="41"/>
        <v/>
      </c>
      <c r="AI244" s="525" t="str">
        <f>IF(AH244="Check Data ⚠","Check Data ⚠",IFERROR(VLOOKUP(AH244,'G-4 Temporal multipliers'!$A$4:$C$36,3,FALSE),""))</f>
        <v/>
      </c>
      <c r="AJ244" s="537" t="str">
        <f>IF(S244="","",VLOOKUP(S244,'G-3 Multipliers'!$A$2:$E$129,4,FALSE))</f>
        <v/>
      </c>
      <c r="AK244" s="520" t="str">
        <f t="shared" si="42"/>
        <v/>
      </c>
      <c r="AL244" s="520" t="str">
        <f t="shared" si="43"/>
        <v/>
      </c>
      <c r="AM244" s="524" t="str">
        <f>IFERROR(IF(F244="","",IF(AH244="Check Data ⚠","Check Data ⚠",VLOOKUP(AL244, 'G-3 Multipliers'!$P$2:$Q$6,2,FALSE))),"")</f>
        <v/>
      </c>
      <c r="AN244" s="197"/>
      <c r="AO244" s="540" t="str">
        <f>IF(AN244="","",IF(VLOOKUP(AN244,'G-3 Multipliers'!$S$3:$T$9,2,FALSE)=0,"Spatial Data Missing ⚠",VLOOKUP(AN244,'G-3 Multipliers'!$S$3:$T$9,2,FALSE)))</f>
        <v/>
      </c>
      <c r="AP244" s="513" t="str">
        <f t="shared" si="44"/>
        <v/>
      </c>
      <c r="AQ244" s="231"/>
      <c r="AR244" s="150"/>
    </row>
    <row r="245" spans="1:44" x14ac:dyDescent="0.25">
      <c r="A245" s="31" t="str">
        <f>IF(E245="","",IF(ISNA(VLOOKUP($E245,'D-1 Off Site Habitat Baseline'!$D$1:$O$258,2,FALSE)),"",(VLOOKUP($E245,'D-1 Off Site Habitat Baseline'!$D$1:$O$258,2,FALSE))))</f>
        <v/>
      </c>
      <c r="B245" s="31" t="str">
        <f>IF(E245="","",IF(ISNA(VLOOKUP($E245,'D-1 Off Site Habitat Baseline'!$D$1:$O$258,3,FALSE)),"",(VLOOKUP($E245,'D-1 Off Site Habitat Baseline'!$D$1:$O$258,3,FALSE))))</f>
        <v/>
      </c>
      <c r="C245" s="31" t="str">
        <f>IFERROR(INDEX('G-8 Condition Look up'!$I$4:$I$130,MATCH(S245,'G-8 Condition Look up'!$A$4:$A$130,0)),"")</f>
        <v/>
      </c>
      <c r="E245" s="547" t="str">
        <f>'D-1 Off Site Habitat Baseline'!AL244</f>
        <v/>
      </c>
      <c r="F245" s="520" t="str">
        <f>IF(E245="","",IF(ISNA(VLOOKUP($E245,'D-1 Off Site Habitat Baseline'!$D$1:$O$258,4,FALSE)),"",(VLOOKUP($E245,'D-1 Off Site Habitat Baseline'!$D$1:$O$258,4,FALSE))))</f>
        <v/>
      </c>
      <c r="G245" s="520" t="str">
        <f>IF(E245="","",IF(ISNA(VLOOKUP($E245,'D-1 Off Site Habitat Baseline'!$D$1:$O$258,5,FALSE)),"",(VLOOKUP($E245,'D-1 Off Site Habitat Baseline'!$D$1:$O$258,5,FALSE))))</f>
        <v/>
      </c>
      <c r="H245" s="520" t="str">
        <f>IF(E245="","",IF(ISNA(VLOOKUP($E245,'D-1 Off Site Habitat Baseline'!$D$1:$O$258,6,FALSE)),"",(VLOOKUP($E245,'D-1 Off Site Habitat Baseline'!$D$1:$O$258,6,FALSE))))</f>
        <v/>
      </c>
      <c r="I245" s="520" t="str">
        <f>IF(E245="","",IF(ISNA(VLOOKUP($E245,'D-1 Off Site Habitat Baseline'!$D$1:$O$258,7,FALSE)),"",(VLOOKUP($E245,'D-1 Off Site Habitat Baseline'!$D$1:$O$258,7,FALSE))))</f>
        <v/>
      </c>
      <c r="J245" s="520" t="str">
        <f>IF(E245="","",IF(ISNA(VLOOKUP($E245,'D-1 Off Site Habitat Baseline'!$D$1:$O$258,8,FALSE)),"",(VLOOKUP($E245,'D-1 Off Site Habitat Baseline'!$D$1:$O$258,8,FALSE))))</f>
        <v/>
      </c>
      <c r="K245" s="520" t="str">
        <f>IF(E245="","",IF(ISNA(VLOOKUP($E245,'D-1 Off Site Habitat Baseline'!$D$1:$O$258,9,FALSE)),"",(VLOOKUP($E245,'D-1 Off Site Habitat Baseline'!$D$1:$O$258,9,FALSE))))</f>
        <v/>
      </c>
      <c r="L245" s="520" t="str">
        <f>IF(E245="","",IF(ISNA(VLOOKUP($E245,'D-1 Off Site Habitat Baseline'!$D$1:$O$258,11,FALSE)),"",(VLOOKUP($E245,'D-1 Off Site Habitat Baseline'!$D$1:$O$258,11,FALSE))))</f>
        <v/>
      </c>
      <c r="M245" s="520" t="str">
        <f>IF(E245="","",IF(ISNA(VLOOKUP($E245,'D-1 Off Site Habitat Baseline'!$D$1:$O$258,12,FALSE)),"",(VLOOKUP($E245,'D-1 Off Site Habitat Baseline'!$D$1:$O$258,12,FALSE))))</f>
        <v/>
      </c>
      <c r="N245" s="520" t="str">
        <f>IF(E245="","",IF(ISNA(VLOOKUP($E245,'D-1 Off Site Habitat Baseline'!$D$1:$X$258,14,FALSE)),"",(VLOOKUP($E245,'D-1 Off Site Habitat Baseline'!$D$1:$X$258,14,FALSE))))</f>
        <v/>
      </c>
      <c r="O245" s="524" t="str">
        <f>IF(E245="","",IF(ISNA(VLOOKUP($E245,'D-1 Off Site Habitat Baseline'!$D$1:$X$258,13,FALSE)),"",(VLOOKUP($E245,'D-1 Off Site Habitat Baseline'!$D$1:$X$258,13,FALSE))))</f>
        <v/>
      </c>
      <c r="P245" s="232" t="str">
        <f>IFERROR(INDEX('G-1 All Habitats'!$AG$3:$AG$15,MATCH(Q245,'G-1 All Habitats'!$AF$3:$AF$15,0)),"")</f>
        <v/>
      </c>
      <c r="Q245" s="228" t="str">
        <f t="shared" si="45"/>
        <v/>
      </c>
      <c r="R245" s="229" t="str">
        <f t="shared" si="46"/>
        <v/>
      </c>
      <c r="S245" s="233" t="str">
        <f>IFERROR(INDEX('G-1 All Habitats'!$B$3:$B$129,MATCH(R245,'G-1 All Habitats'!$A$3:$A$129,0)),"")</f>
        <v/>
      </c>
      <c r="T245" s="507" t="str">
        <f t="shared" si="38"/>
        <v/>
      </c>
      <c r="U245" s="524" t="str">
        <f t="shared" si="39"/>
        <v/>
      </c>
      <c r="V245" s="523" t="str">
        <f t="shared" si="36"/>
        <v/>
      </c>
      <c r="W245" s="520" t="str">
        <f>IF(S245="","",VLOOKUP(S245,'G-1 All Habitats'!$B$2:$M$129,10,FALSE))</f>
        <v/>
      </c>
      <c r="X245" s="520" t="str">
        <f>IFERROR(VLOOKUP(W245,'G-1 All Habitats'!$V$3:$W$7,2,FALSE),"")</f>
        <v/>
      </c>
      <c r="Y245" s="203"/>
      <c r="Z245" s="524" t="str">
        <f>IFERROR(INDEX('G-8 Condition Look up'!$A$3:$H$130,MATCH(S245,'G-8 Condition Look up'!$A$3:$A$130,0),MATCH(Y245,'G-8 Condition Look up'!$A$3:$H$3,0)),"")</f>
        <v/>
      </c>
      <c r="AA245" s="145"/>
      <c r="AB245" s="540" t="str">
        <f>IF(AA245="","",IF(VLOOKUP(AA245,'G-3 Multipliers'!$L$3:$N$6,2,FALSE)=0,"Spatial Data Missing ⚠",VLOOKUP(AA245,'G-3 Multipliers'!$L$3:$N$6,2,FALSE)))</f>
        <v/>
      </c>
      <c r="AC245" s="524" t="str">
        <f>IF(AA245="","",IF(VLOOKUP(AA245,'G-3 Multipliers'!$L$3:$N$6,3,FALSE)=0,"Spatial Data Missing ⚠",VLOOKUP(AA245,'G-3 Multipliers'!$L$3:$N$6,3,FALSE)))</f>
        <v/>
      </c>
      <c r="AD245" s="537" t="str">
        <f t="shared" si="37"/>
        <v/>
      </c>
      <c r="AE245" s="203"/>
      <c r="AF245" s="203"/>
      <c r="AG245" s="520" t="str">
        <f t="shared" si="40"/>
        <v/>
      </c>
      <c r="AH245" s="544" t="str">
        <f t="shared" si="41"/>
        <v/>
      </c>
      <c r="AI245" s="525" t="str">
        <f>IF(AH245="Check Data ⚠","Check Data ⚠",IFERROR(VLOOKUP(AH245,'G-4 Temporal multipliers'!$A$4:$C$36,3,FALSE),""))</f>
        <v/>
      </c>
      <c r="AJ245" s="537" t="str">
        <f>IF(S245="","",VLOOKUP(S245,'G-3 Multipliers'!$A$2:$E$129,4,FALSE))</f>
        <v/>
      </c>
      <c r="AK245" s="520" t="str">
        <f t="shared" si="42"/>
        <v/>
      </c>
      <c r="AL245" s="520" t="str">
        <f t="shared" si="43"/>
        <v/>
      </c>
      <c r="AM245" s="524" t="str">
        <f>IFERROR(IF(F245="","",IF(AH245="Check Data ⚠","Check Data ⚠",VLOOKUP(AL245, 'G-3 Multipliers'!$P$2:$Q$6,2,FALSE))),"")</f>
        <v/>
      </c>
      <c r="AN245" s="197"/>
      <c r="AO245" s="540" t="str">
        <f>IF(AN245="","",IF(VLOOKUP(AN245,'G-3 Multipliers'!$S$3:$T$9,2,FALSE)=0,"Spatial Data Missing ⚠",VLOOKUP(AN245,'G-3 Multipliers'!$S$3:$T$9,2,FALSE)))</f>
        <v/>
      </c>
      <c r="AP245" s="513" t="str">
        <f t="shared" si="44"/>
        <v/>
      </c>
      <c r="AQ245" s="231"/>
      <c r="AR245" s="150"/>
    </row>
    <row r="246" spans="1:44" x14ac:dyDescent="0.25">
      <c r="A246" s="31" t="str">
        <f>IF(E246="","",IF(ISNA(VLOOKUP($E246,'D-1 Off Site Habitat Baseline'!$D$1:$O$258,2,FALSE)),"",(VLOOKUP($E246,'D-1 Off Site Habitat Baseline'!$D$1:$O$258,2,FALSE))))</f>
        <v/>
      </c>
      <c r="B246" s="31" t="str">
        <f>IF(E246="","",IF(ISNA(VLOOKUP($E246,'D-1 Off Site Habitat Baseline'!$D$1:$O$258,3,FALSE)),"",(VLOOKUP($E246,'D-1 Off Site Habitat Baseline'!$D$1:$O$258,3,FALSE))))</f>
        <v/>
      </c>
      <c r="C246" s="31" t="str">
        <f>IFERROR(INDEX('G-8 Condition Look up'!$I$4:$I$130,MATCH(S246,'G-8 Condition Look up'!$A$4:$A$130,0)),"")</f>
        <v/>
      </c>
      <c r="E246" s="547" t="str">
        <f>'D-1 Off Site Habitat Baseline'!AL245</f>
        <v/>
      </c>
      <c r="F246" s="520" t="str">
        <f>IF(E246="","",IF(ISNA(VLOOKUP($E246,'D-1 Off Site Habitat Baseline'!$D$1:$O$258,4,FALSE)),"",(VLOOKUP($E246,'D-1 Off Site Habitat Baseline'!$D$1:$O$258,4,FALSE))))</f>
        <v/>
      </c>
      <c r="G246" s="520" t="str">
        <f>IF(E246="","",IF(ISNA(VLOOKUP($E246,'D-1 Off Site Habitat Baseline'!$D$1:$O$258,5,FALSE)),"",(VLOOKUP($E246,'D-1 Off Site Habitat Baseline'!$D$1:$O$258,5,FALSE))))</f>
        <v/>
      </c>
      <c r="H246" s="520" t="str">
        <f>IF(E246="","",IF(ISNA(VLOOKUP($E246,'D-1 Off Site Habitat Baseline'!$D$1:$O$258,6,FALSE)),"",(VLOOKUP($E246,'D-1 Off Site Habitat Baseline'!$D$1:$O$258,6,FALSE))))</f>
        <v/>
      </c>
      <c r="I246" s="520" t="str">
        <f>IF(E246="","",IF(ISNA(VLOOKUP($E246,'D-1 Off Site Habitat Baseline'!$D$1:$O$258,7,FALSE)),"",(VLOOKUP($E246,'D-1 Off Site Habitat Baseline'!$D$1:$O$258,7,FALSE))))</f>
        <v/>
      </c>
      <c r="J246" s="520" t="str">
        <f>IF(E246="","",IF(ISNA(VLOOKUP($E246,'D-1 Off Site Habitat Baseline'!$D$1:$O$258,8,FALSE)),"",(VLOOKUP($E246,'D-1 Off Site Habitat Baseline'!$D$1:$O$258,8,FALSE))))</f>
        <v/>
      </c>
      <c r="K246" s="520" t="str">
        <f>IF(E246="","",IF(ISNA(VLOOKUP($E246,'D-1 Off Site Habitat Baseline'!$D$1:$O$258,9,FALSE)),"",(VLOOKUP($E246,'D-1 Off Site Habitat Baseline'!$D$1:$O$258,9,FALSE))))</f>
        <v/>
      </c>
      <c r="L246" s="520" t="str">
        <f>IF(E246="","",IF(ISNA(VLOOKUP($E246,'D-1 Off Site Habitat Baseline'!$D$1:$O$258,11,FALSE)),"",(VLOOKUP($E246,'D-1 Off Site Habitat Baseline'!$D$1:$O$258,11,FALSE))))</f>
        <v/>
      </c>
      <c r="M246" s="520" t="str">
        <f>IF(E246="","",IF(ISNA(VLOOKUP($E246,'D-1 Off Site Habitat Baseline'!$D$1:$O$258,12,FALSE)),"",(VLOOKUP($E246,'D-1 Off Site Habitat Baseline'!$D$1:$O$258,12,FALSE))))</f>
        <v/>
      </c>
      <c r="N246" s="520" t="str">
        <f>IF(E246="","",IF(ISNA(VLOOKUP($E246,'D-1 Off Site Habitat Baseline'!$D$1:$X$258,14,FALSE)),"",(VLOOKUP($E246,'D-1 Off Site Habitat Baseline'!$D$1:$X$258,14,FALSE))))</f>
        <v/>
      </c>
      <c r="O246" s="524" t="str">
        <f>IF(E246="","",IF(ISNA(VLOOKUP($E246,'D-1 Off Site Habitat Baseline'!$D$1:$X$258,13,FALSE)),"",(VLOOKUP($E246,'D-1 Off Site Habitat Baseline'!$D$1:$X$258,13,FALSE))))</f>
        <v/>
      </c>
      <c r="P246" s="232" t="str">
        <f>IFERROR(INDEX('G-1 All Habitats'!$AG$3:$AG$15,MATCH(Q246,'G-1 All Habitats'!$AF$3:$AF$15,0)),"")</f>
        <v/>
      </c>
      <c r="Q246" s="228" t="str">
        <f t="shared" si="45"/>
        <v/>
      </c>
      <c r="R246" s="229" t="str">
        <f t="shared" si="46"/>
        <v/>
      </c>
      <c r="S246" s="233" t="str">
        <f>IFERROR(INDEX('G-1 All Habitats'!$B$3:$B$129,MATCH(R246,'G-1 All Habitats'!$A$3:$A$129,0)),"")</f>
        <v/>
      </c>
      <c r="T246" s="507" t="str">
        <f t="shared" si="38"/>
        <v/>
      </c>
      <c r="U246" s="524" t="str">
        <f t="shared" si="39"/>
        <v/>
      </c>
      <c r="V246" s="523" t="str">
        <f t="shared" si="36"/>
        <v/>
      </c>
      <c r="W246" s="520" t="str">
        <f>IF(S246="","",VLOOKUP(S246,'G-1 All Habitats'!$B$2:$M$129,10,FALSE))</f>
        <v/>
      </c>
      <c r="X246" s="520" t="str">
        <f>IFERROR(VLOOKUP(W246,'G-1 All Habitats'!$V$3:$W$7,2,FALSE),"")</f>
        <v/>
      </c>
      <c r="Y246" s="203"/>
      <c r="Z246" s="524" t="str">
        <f>IFERROR(INDEX('G-8 Condition Look up'!$A$3:$H$130,MATCH(S246,'G-8 Condition Look up'!$A$3:$A$130,0),MATCH(Y246,'G-8 Condition Look up'!$A$3:$H$3,0)),"")</f>
        <v/>
      </c>
      <c r="AA246" s="145"/>
      <c r="AB246" s="540" t="str">
        <f>IF(AA246="","",IF(VLOOKUP(AA246,'G-3 Multipliers'!$L$3:$N$6,2,FALSE)=0,"Spatial Data Missing ⚠",VLOOKUP(AA246,'G-3 Multipliers'!$L$3:$N$6,2,FALSE)))</f>
        <v/>
      </c>
      <c r="AC246" s="524" t="str">
        <f>IF(AA246="","",IF(VLOOKUP(AA246,'G-3 Multipliers'!$L$3:$N$6,3,FALSE)=0,"Spatial Data Missing ⚠",VLOOKUP(AA246,'G-3 Multipliers'!$L$3:$N$6,3,FALSE)))</f>
        <v/>
      </c>
      <c r="AD246" s="537" t="str">
        <f t="shared" si="37"/>
        <v/>
      </c>
      <c r="AE246" s="203"/>
      <c r="AF246" s="203"/>
      <c r="AG246" s="520" t="str">
        <f t="shared" si="40"/>
        <v/>
      </c>
      <c r="AH246" s="544" t="str">
        <f t="shared" si="41"/>
        <v/>
      </c>
      <c r="AI246" s="525" t="str">
        <f>IF(AH246="Check Data ⚠","Check Data ⚠",IFERROR(VLOOKUP(AH246,'G-4 Temporal multipliers'!$A$4:$C$36,3,FALSE),""))</f>
        <v/>
      </c>
      <c r="AJ246" s="537" t="str">
        <f>IF(S246="","",VLOOKUP(S246,'G-3 Multipliers'!$A$2:$E$129,4,FALSE))</f>
        <v/>
      </c>
      <c r="AK246" s="520" t="str">
        <f t="shared" si="42"/>
        <v/>
      </c>
      <c r="AL246" s="520" t="str">
        <f t="shared" si="43"/>
        <v/>
      </c>
      <c r="AM246" s="524" t="str">
        <f>IFERROR(IF(F246="","",IF(AH246="Check Data ⚠","Check Data ⚠",VLOOKUP(AL246, 'G-3 Multipliers'!$P$2:$Q$6,2,FALSE))),"")</f>
        <v/>
      </c>
      <c r="AN246" s="197"/>
      <c r="AO246" s="540" t="str">
        <f>IF(AN246="","",IF(VLOOKUP(AN246,'G-3 Multipliers'!$S$3:$T$9,2,FALSE)=0,"Spatial Data Missing ⚠",VLOOKUP(AN246,'G-3 Multipliers'!$S$3:$T$9,2,FALSE)))</f>
        <v/>
      </c>
      <c r="AP246" s="513" t="str">
        <f t="shared" si="44"/>
        <v/>
      </c>
      <c r="AQ246" s="231"/>
      <c r="AR246" s="150"/>
    </row>
    <row r="247" spans="1:44" x14ac:dyDescent="0.25">
      <c r="A247" s="31" t="str">
        <f>IF(E247="","",IF(ISNA(VLOOKUP($E247,'D-1 Off Site Habitat Baseline'!$D$1:$O$258,2,FALSE)),"",(VLOOKUP($E247,'D-1 Off Site Habitat Baseline'!$D$1:$O$258,2,FALSE))))</f>
        <v/>
      </c>
      <c r="B247" s="31" t="str">
        <f>IF(E247="","",IF(ISNA(VLOOKUP($E247,'D-1 Off Site Habitat Baseline'!$D$1:$O$258,3,FALSE)),"",(VLOOKUP($E247,'D-1 Off Site Habitat Baseline'!$D$1:$O$258,3,FALSE))))</f>
        <v/>
      </c>
      <c r="C247" s="31" t="str">
        <f>IFERROR(INDEX('G-8 Condition Look up'!$I$4:$I$130,MATCH(S247,'G-8 Condition Look up'!$A$4:$A$130,0)),"")</f>
        <v/>
      </c>
      <c r="E247" s="547" t="str">
        <f>'D-1 Off Site Habitat Baseline'!AL246</f>
        <v/>
      </c>
      <c r="F247" s="520" t="str">
        <f>IF(E247="","",IF(ISNA(VLOOKUP($E247,'D-1 Off Site Habitat Baseline'!$D$1:$O$258,4,FALSE)),"",(VLOOKUP($E247,'D-1 Off Site Habitat Baseline'!$D$1:$O$258,4,FALSE))))</f>
        <v/>
      </c>
      <c r="G247" s="520" t="str">
        <f>IF(E247="","",IF(ISNA(VLOOKUP($E247,'D-1 Off Site Habitat Baseline'!$D$1:$O$258,5,FALSE)),"",(VLOOKUP($E247,'D-1 Off Site Habitat Baseline'!$D$1:$O$258,5,FALSE))))</f>
        <v/>
      </c>
      <c r="H247" s="520" t="str">
        <f>IF(E247="","",IF(ISNA(VLOOKUP($E247,'D-1 Off Site Habitat Baseline'!$D$1:$O$258,6,FALSE)),"",(VLOOKUP($E247,'D-1 Off Site Habitat Baseline'!$D$1:$O$258,6,FALSE))))</f>
        <v/>
      </c>
      <c r="I247" s="520" t="str">
        <f>IF(E247="","",IF(ISNA(VLOOKUP($E247,'D-1 Off Site Habitat Baseline'!$D$1:$O$258,7,FALSE)),"",(VLOOKUP($E247,'D-1 Off Site Habitat Baseline'!$D$1:$O$258,7,FALSE))))</f>
        <v/>
      </c>
      <c r="J247" s="520" t="str">
        <f>IF(E247="","",IF(ISNA(VLOOKUP($E247,'D-1 Off Site Habitat Baseline'!$D$1:$O$258,8,FALSE)),"",(VLOOKUP($E247,'D-1 Off Site Habitat Baseline'!$D$1:$O$258,8,FALSE))))</f>
        <v/>
      </c>
      <c r="K247" s="520" t="str">
        <f>IF(E247="","",IF(ISNA(VLOOKUP($E247,'D-1 Off Site Habitat Baseline'!$D$1:$O$258,9,FALSE)),"",(VLOOKUP($E247,'D-1 Off Site Habitat Baseline'!$D$1:$O$258,9,FALSE))))</f>
        <v/>
      </c>
      <c r="L247" s="520" t="str">
        <f>IF(E247="","",IF(ISNA(VLOOKUP($E247,'D-1 Off Site Habitat Baseline'!$D$1:$O$258,11,FALSE)),"",(VLOOKUP($E247,'D-1 Off Site Habitat Baseline'!$D$1:$O$258,11,FALSE))))</f>
        <v/>
      </c>
      <c r="M247" s="520" t="str">
        <f>IF(E247="","",IF(ISNA(VLOOKUP($E247,'D-1 Off Site Habitat Baseline'!$D$1:$O$258,12,FALSE)),"",(VLOOKUP($E247,'D-1 Off Site Habitat Baseline'!$D$1:$O$258,12,FALSE))))</f>
        <v/>
      </c>
      <c r="N247" s="520" t="str">
        <f>IF(E247="","",IF(ISNA(VLOOKUP($E247,'D-1 Off Site Habitat Baseline'!$D$1:$X$258,14,FALSE)),"",(VLOOKUP($E247,'D-1 Off Site Habitat Baseline'!$D$1:$X$258,14,FALSE))))</f>
        <v/>
      </c>
      <c r="O247" s="524" t="str">
        <f>IF(E247="","",IF(ISNA(VLOOKUP($E247,'D-1 Off Site Habitat Baseline'!$D$1:$X$258,13,FALSE)),"",(VLOOKUP($E247,'D-1 Off Site Habitat Baseline'!$D$1:$X$258,13,FALSE))))</f>
        <v/>
      </c>
      <c r="P247" s="232" t="str">
        <f>IFERROR(INDEX('G-1 All Habitats'!$AG$3:$AG$15,MATCH(Q247,'G-1 All Habitats'!$AF$3:$AF$15,0)),"")</f>
        <v/>
      </c>
      <c r="Q247" s="228" t="str">
        <f t="shared" si="45"/>
        <v/>
      </c>
      <c r="R247" s="229" t="str">
        <f t="shared" si="46"/>
        <v/>
      </c>
      <c r="S247" s="233" t="str">
        <f>IFERROR(INDEX('G-1 All Habitats'!$B$3:$B$129,MATCH(R247,'G-1 All Habitats'!$A$3:$A$129,0)),"")</f>
        <v/>
      </c>
      <c r="T247" s="507" t="str">
        <f t="shared" si="38"/>
        <v/>
      </c>
      <c r="U247" s="524" t="str">
        <f t="shared" si="39"/>
        <v/>
      </c>
      <c r="V247" s="523" t="str">
        <f t="shared" si="36"/>
        <v/>
      </c>
      <c r="W247" s="520" t="str">
        <f>IF(S247="","",VLOOKUP(S247,'G-1 All Habitats'!$B$2:$M$129,10,FALSE))</f>
        <v/>
      </c>
      <c r="X247" s="520" t="str">
        <f>IFERROR(VLOOKUP(W247,'G-1 All Habitats'!$V$3:$W$7,2,FALSE),"")</f>
        <v/>
      </c>
      <c r="Y247" s="203"/>
      <c r="Z247" s="524" t="str">
        <f>IFERROR(INDEX('G-8 Condition Look up'!$A$3:$H$130,MATCH(S247,'G-8 Condition Look up'!$A$3:$A$130,0),MATCH(Y247,'G-8 Condition Look up'!$A$3:$H$3,0)),"")</f>
        <v/>
      </c>
      <c r="AA247" s="145"/>
      <c r="AB247" s="540" t="str">
        <f>IF(AA247="","",IF(VLOOKUP(AA247,'G-3 Multipliers'!$L$3:$N$6,2,FALSE)=0,"Spatial Data Missing ⚠",VLOOKUP(AA247,'G-3 Multipliers'!$L$3:$N$6,2,FALSE)))</f>
        <v/>
      </c>
      <c r="AC247" s="524" t="str">
        <f>IF(AA247="","",IF(VLOOKUP(AA247,'G-3 Multipliers'!$L$3:$N$6,3,FALSE)=0,"Spatial Data Missing ⚠",VLOOKUP(AA247,'G-3 Multipliers'!$L$3:$N$6,3,FALSE)))</f>
        <v/>
      </c>
      <c r="AD247" s="537" t="str">
        <f t="shared" si="37"/>
        <v/>
      </c>
      <c r="AE247" s="203"/>
      <c r="AF247" s="203"/>
      <c r="AG247" s="520" t="str">
        <f t="shared" si="40"/>
        <v/>
      </c>
      <c r="AH247" s="544" t="str">
        <f t="shared" si="41"/>
        <v/>
      </c>
      <c r="AI247" s="525" t="str">
        <f>IF(AH247="Check Data ⚠","Check Data ⚠",IFERROR(VLOOKUP(AH247,'G-4 Temporal multipliers'!$A$4:$C$36,3,FALSE),""))</f>
        <v/>
      </c>
      <c r="AJ247" s="537" t="str">
        <f>IF(S247="","",VLOOKUP(S247,'G-3 Multipliers'!$A$2:$E$129,4,FALSE))</f>
        <v/>
      </c>
      <c r="AK247" s="520" t="str">
        <f t="shared" si="42"/>
        <v/>
      </c>
      <c r="AL247" s="520" t="str">
        <f t="shared" si="43"/>
        <v/>
      </c>
      <c r="AM247" s="524" t="str">
        <f>IFERROR(IF(F247="","",IF(AH247="Check Data ⚠","Check Data ⚠",VLOOKUP(AL247, 'G-3 Multipliers'!$P$2:$Q$6,2,FALSE))),"")</f>
        <v/>
      </c>
      <c r="AN247" s="197"/>
      <c r="AO247" s="540" t="str">
        <f>IF(AN247="","",IF(VLOOKUP(AN247,'G-3 Multipliers'!$S$3:$T$9,2,FALSE)=0,"Spatial Data Missing ⚠",VLOOKUP(AN247,'G-3 Multipliers'!$S$3:$T$9,2,FALSE)))</f>
        <v/>
      </c>
      <c r="AP247" s="513" t="str">
        <f t="shared" si="44"/>
        <v/>
      </c>
      <c r="AQ247" s="231"/>
      <c r="AR247" s="150"/>
    </row>
    <row r="248" spans="1:44" x14ac:dyDescent="0.25">
      <c r="A248" s="31" t="str">
        <f>IF(E248="","",IF(ISNA(VLOOKUP($E248,'D-1 Off Site Habitat Baseline'!$D$1:$O$258,2,FALSE)),"",(VLOOKUP($E248,'D-1 Off Site Habitat Baseline'!$D$1:$O$258,2,FALSE))))</f>
        <v/>
      </c>
      <c r="B248" s="31" t="str">
        <f>IF(E248="","",IF(ISNA(VLOOKUP($E248,'D-1 Off Site Habitat Baseline'!$D$1:$O$258,3,FALSE)),"",(VLOOKUP($E248,'D-1 Off Site Habitat Baseline'!$D$1:$O$258,3,FALSE))))</f>
        <v/>
      </c>
      <c r="C248" s="31" t="str">
        <f>IFERROR(INDEX('G-8 Condition Look up'!$I$4:$I$130,MATCH(S248,'G-8 Condition Look up'!$A$4:$A$130,0)),"")</f>
        <v/>
      </c>
      <c r="E248" s="547" t="str">
        <f>'D-1 Off Site Habitat Baseline'!AL247</f>
        <v/>
      </c>
      <c r="F248" s="520" t="str">
        <f>IF(E248="","",IF(ISNA(VLOOKUP($E248,'D-1 Off Site Habitat Baseline'!$D$1:$O$258,4,FALSE)),"",(VLOOKUP($E248,'D-1 Off Site Habitat Baseline'!$D$1:$O$258,4,FALSE))))</f>
        <v/>
      </c>
      <c r="G248" s="520" t="str">
        <f>IF(E248="","",IF(ISNA(VLOOKUP($E248,'D-1 Off Site Habitat Baseline'!$D$1:$O$258,5,FALSE)),"",(VLOOKUP($E248,'D-1 Off Site Habitat Baseline'!$D$1:$O$258,5,FALSE))))</f>
        <v/>
      </c>
      <c r="H248" s="520" t="str">
        <f>IF(E248="","",IF(ISNA(VLOOKUP($E248,'D-1 Off Site Habitat Baseline'!$D$1:$O$258,6,FALSE)),"",(VLOOKUP($E248,'D-1 Off Site Habitat Baseline'!$D$1:$O$258,6,FALSE))))</f>
        <v/>
      </c>
      <c r="I248" s="520" t="str">
        <f>IF(E248="","",IF(ISNA(VLOOKUP($E248,'D-1 Off Site Habitat Baseline'!$D$1:$O$258,7,FALSE)),"",(VLOOKUP($E248,'D-1 Off Site Habitat Baseline'!$D$1:$O$258,7,FALSE))))</f>
        <v/>
      </c>
      <c r="J248" s="520" t="str">
        <f>IF(E248="","",IF(ISNA(VLOOKUP($E248,'D-1 Off Site Habitat Baseline'!$D$1:$O$258,8,FALSE)),"",(VLOOKUP($E248,'D-1 Off Site Habitat Baseline'!$D$1:$O$258,8,FALSE))))</f>
        <v/>
      </c>
      <c r="K248" s="520" t="str">
        <f>IF(E248="","",IF(ISNA(VLOOKUP($E248,'D-1 Off Site Habitat Baseline'!$D$1:$O$258,9,FALSE)),"",(VLOOKUP($E248,'D-1 Off Site Habitat Baseline'!$D$1:$O$258,9,FALSE))))</f>
        <v/>
      </c>
      <c r="L248" s="520" t="str">
        <f>IF(E248="","",IF(ISNA(VLOOKUP($E248,'D-1 Off Site Habitat Baseline'!$D$1:$O$258,11,FALSE)),"",(VLOOKUP($E248,'D-1 Off Site Habitat Baseline'!$D$1:$O$258,11,FALSE))))</f>
        <v/>
      </c>
      <c r="M248" s="520" t="str">
        <f>IF(E248="","",IF(ISNA(VLOOKUP($E248,'D-1 Off Site Habitat Baseline'!$D$1:$O$258,12,FALSE)),"",(VLOOKUP($E248,'D-1 Off Site Habitat Baseline'!$D$1:$O$258,12,FALSE))))</f>
        <v/>
      </c>
      <c r="N248" s="520" t="str">
        <f>IF(E248="","",IF(ISNA(VLOOKUP($E248,'D-1 Off Site Habitat Baseline'!$D$1:$X$258,14,FALSE)),"",(VLOOKUP($E248,'D-1 Off Site Habitat Baseline'!$D$1:$X$258,14,FALSE))))</f>
        <v/>
      </c>
      <c r="O248" s="524" t="str">
        <f>IF(E248="","",IF(ISNA(VLOOKUP($E248,'D-1 Off Site Habitat Baseline'!$D$1:$X$258,13,FALSE)),"",(VLOOKUP($E248,'D-1 Off Site Habitat Baseline'!$D$1:$X$258,13,FALSE))))</f>
        <v/>
      </c>
      <c r="P248" s="232" t="str">
        <f>IFERROR(INDEX('G-1 All Habitats'!$AG$3:$AG$15,MATCH(Q248,'G-1 All Habitats'!$AF$3:$AF$15,0)),"")</f>
        <v/>
      </c>
      <c r="Q248" s="228" t="str">
        <f t="shared" si="45"/>
        <v/>
      </c>
      <c r="R248" s="229" t="str">
        <f t="shared" si="46"/>
        <v/>
      </c>
      <c r="S248" s="233" t="str">
        <f>IFERROR(INDEX('G-1 All Habitats'!$B$3:$B$129,MATCH(R248,'G-1 All Habitats'!$A$3:$A$129,0)),"")</f>
        <v/>
      </c>
      <c r="T248" s="507" t="str">
        <f t="shared" si="38"/>
        <v/>
      </c>
      <c r="U248" s="524" t="str">
        <f t="shared" si="39"/>
        <v/>
      </c>
      <c r="V248" s="523" t="str">
        <f t="shared" si="36"/>
        <v/>
      </c>
      <c r="W248" s="520" t="str">
        <f>IF(S248="","",VLOOKUP(S248,'G-1 All Habitats'!$B$2:$M$129,10,FALSE))</f>
        <v/>
      </c>
      <c r="X248" s="520" t="str">
        <f>IFERROR(VLOOKUP(W248,'G-1 All Habitats'!$V$3:$W$7,2,FALSE),"")</f>
        <v/>
      </c>
      <c r="Y248" s="203"/>
      <c r="Z248" s="524" t="str">
        <f>IFERROR(INDEX('G-8 Condition Look up'!$A$3:$H$130,MATCH(S248,'G-8 Condition Look up'!$A$3:$A$130,0),MATCH(Y248,'G-8 Condition Look up'!$A$3:$H$3,0)),"")</f>
        <v/>
      </c>
      <c r="AA248" s="145"/>
      <c r="AB248" s="540" t="str">
        <f>IF(AA248="","",IF(VLOOKUP(AA248,'G-3 Multipliers'!$L$3:$N$6,2,FALSE)=0,"Spatial Data Missing ⚠",VLOOKUP(AA248,'G-3 Multipliers'!$L$3:$N$6,2,FALSE)))</f>
        <v/>
      </c>
      <c r="AC248" s="524" t="str">
        <f>IF(AA248="","",IF(VLOOKUP(AA248,'G-3 Multipliers'!$L$3:$N$6,3,FALSE)=0,"Spatial Data Missing ⚠",VLOOKUP(AA248,'G-3 Multipliers'!$L$3:$N$6,3,FALSE)))</f>
        <v/>
      </c>
      <c r="AD248" s="537" t="str">
        <f t="shared" si="37"/>
        <v/>
      </c>
      <c r="AE248" s="203"/>
      <c r="AF248" s="203"/>
      <c r="AG248" s="520" t="str">
        <f t="shared" si="40"/>
        <v/>
      </c>
      <c r="AH248" s="544" t="str">
        <f t="shared" si="41"/>
        <v/>
      </c>
      <c r="AI248" s="525" t="str">
        <f>IF(AH248="Check Data ⚠","Check Data ⚠",IFERROR(VLOOKUP(AH248,'G-4 Temporal multipliers'!$A$4:$C$36,3,FALSE),""))</f>
        <v/>
      </c>
      <c r="AJ248" s="537" t="str">
        <f>IF(S248="","",VLOOKUP(S248,'G-3 Multipliers'!$A$2:$E$129,4,FALSE))</f>
        <v/>
      </c>
      <c r="AK248" s="520" t="str">
        <f t="shared" si="42"/>
        <v/>
      </c>
      <c r="AL248" s="520" t="str">
        <f t="shared" si="43"/>
        <v/>
      </c>
      <c r="AM248" s="524" t="str">
        <f>IFERROR(IF(F248="","",IF(AH248="Check Data ⚠","Check Data ⚠",VLOOKUP(AL248, 'G-3 Multipliers'!$P$2:$Q$6,2,FALSE))),"")</f>
        <v/>
      </c>
      <c r="AN248" s="197"/>
      <c r="AO248" s="540" t="str">
        <f>IF(AN248="","",IF(VLOOKUP(AN248,'G-3 Multipliers'!$S$3:$T$9,2,FALSE)=0,"Spatial Data Missing ⚠",VLOOKUP(AN248,'G-3 Multipliers'!$S$3:$T$9,2,FALSE)))</f>
        <v/>
      </c>
      <c r="AP248" s="513" t="str">
        <f t="shared" si="44"/>
        <v/>
      </c>
      <c r="AQ248" s="231"/>
      <c r="AR248" s="150"/>
    </row>
    <row r="249" spans="1:44" x14ac:dyDescent="0.25">
      <c r="A249" s="31" t="str">
        <f>IF(E249="","",IF(ISNA(VLOOKUP($E249,'D-1 Off Site Habitat Baseline'!$D$1:$O$258,2,FALSE)),"",(VLOOKUP($E249,'D-1 Off Site Habitat Baseline'!$D$1:$O$258,2,FALSE))))</f>
        <v/>
      </c>
      <c r="B249" s="31" t="str">
        <f>IF(E249="","",IF(ISNA(VLOOKUP($E249,'D-1 Off Site Habitat Baseline'!$D$1:$O$258,3,FALSE)),"",(VLOOKUP($E249,'D-1 Off Site Habitat Baseline'!$D$1:$O$258,3,FALSE))))</f>
        <v/>
      </c>
      <c r="C249" s="31" t="str">
        <f>IFERROR(INDEX('G-8 Condition Look up'!$I$4:$I$130,MATCH(S249,'G-8 Condition Look up'!$A$4:$A$130,0)),"")</f>
        <v/>
      </c>
      <c r="E249" s="547" t="str">
        <f>'D-1 Off Site Habitat Baseline'!AL248</f>
        <v/>
      </c>
      <c r="F249" s="520" t="str">
        <f>IF(E249="","",IF(ISNA(VLOOKUP($E249,'D-1 Off Site Habitat Baseline'!$D$1:$O$258,4,FALSE)),"",(VLOOKUP($E249,'D-1 Off Site Habitat Baseline'!$D$1:$O$258,4,FALSE))))</f>
        <v/>
      </c>
      <c r="G249" s="520" t="str">
        <f>IF(E249="","",IF(ISNA(VLOOKUP($E249,'D-1 Off Site Habitat Baseline'!$D$1:$O$258,5,FALSE)),"",(VLOOKUP($E249,'D-1 Off Site Habitat Baseline'!$D$1:$O$258,5,FALSE))))</f>
        <v/>
      </c>
      <c r="H249" s="520" t="str">
        <f>IF(E249="","",IF(ISNA(VLOOKUP($E249,'D-1 Off Site Habitat Baseline'!$D$1:$O$258,6,FALSE)),"",(VLOOKUP($E249,'D-1 Off Site Habitat Baseline'!$D$1:$O$258,6,FALSE))))</f>
        <v/>
      </c>
      <c r="I249" s="520" t="str">
        <f>IF(E249="","",IF(ISNA(VLOOKUP($E249,'D-1 Off Site Habitat Baseline'!$D$1:$O$258,7,FALSE)),"",(VLOOKUP($E249,'D-1 Off Site Habitat Baseline'!$D$1:$O$258,7,FALSE))))</f>
        <v/>
      </c>
      <c r="J249" s="520" t="str">
        <f>IF(E249="","",IF(ISNA(VLOOKUP($E249,'D-1 Off Site Habitat Baseline'!$D$1:$O$258,8,FALSE)),"",(VLOOKUP($E249,'D-1 Off Site Habitat Baseline'!$D$1:$O$258,8,FALSE))))</f>
        <v/>
      </c>
      <c r="K249" s="520" t="str">
        <f>IF(E249="","",IF(ISNA(VLOOKUP($E249,'D-1 Off Site Habitat Baseline'!$D$1:$O$258,9,FALSE)),"",(VLOOKUP($E249,'D-1 Off Site Habitat Baseline'!$D$1:$O$258,9,FALSE))))</f>
        <v/>
      </c>
      <c r="L249" s="520" t="str">
        <f>IF(E249="","",IF(ISNA(VLOOKUP($E249,'D-1 Off Site Habitat Baseline'!$D$1:$O$258,11,FALSE)),"",(VLOOKUP($E249,'D-1 Off Site Habitat Baseline'!$D$1:$O$258,11,FALSE))))</f>
        <v/>
      </c>
      <c r="M249" s="520" t="str">
        <f>IF(E249="","",IF(ISNA(VLOOKUP($E249,'D-1 Off Site Habitat Baseline'!$D$1:$O$258,12,FALSE)),"",(VLOOKUP($E249,'D-1 Off Site Habitat Baseline'!$D$1:$O$258,12,FALSE))))</f>
        <v/>
      </c>
      <c r="N249" s="520" t="str">
        <f>IF(E249="","",IF(ISNA(VLOOKUP($E249,'D-1 Off Site Habitat Baseline'!$D$1:$X$258,14,FALSE)),"",(VLOOKUP($E249,'D-1 Off Site Habitat Baseline'!$D$1:$X$258,14,FALSE))))</f>
        <v/>
      </c>
      <c r="O249" s="524" t="str">
        <f>IF(E249="","",IF(ISNA(VLOOKUP($E249,'D-1 Off Site Habitat Baseline'!$D$1:$X$258,13,FALSE)),"",(VLOOKUP($E249,'D-1 Off Site Habitat Baseline'!$D$1:$X$258,13,FALSE))))</f>
        <v/>
      </c>
      <c r="P249" s="232" t="str">
        <f>IFERROR(INDEX('G-1 All Habitats'!$AG$3:$AG$15,MATCH(Q249,'G-1 All Habitats'!$AF$3:$AF$15,0)),"")</f>
        <v/>
      </c>
      <c r="Q249" s="228" t="str">
        <f t="shared" si="45"/>
        <v/>
      </c>
      <c r="R249" s="229" t="str">
        <f t="shared" si="46"/>
        <v/>
      </c>
      <c r="S249" s="233" t="str">
        <f>IFERROR(INDEX('G-1 All Habitats'!$B$3:$B$129,MATCH(R249,'G-1 All Habitats'!$A$3:$A$129,0)),"")</f>
        <v/>
      </c>
      <c r="T249" s="507" t="str">
        <f t="shared" si="38"/>
        <v/>
      </c>
      <c r="U249" s="524" t="str">
        <f t="shared" si="39"/>
        <v/>
      </c>
      <c r="V249" s="523" t="str">
        <f t="shared" si="36"/>
        <v/>
      </c>
      <c r="W249" s="520" t="str">
        <f>IF(S249="","",VLOOKUP(S249,'G-1 All Habitats'!$B$2:$M$129,10,FALSE))</f>
        <v/>
      </c>
      <c r="X249" s="520" t="str">
        <f>IFERROR(VLOOKUP(W249,'G-1 All Habitats'!$V$3:$W$7,2,FALSE),"")</f>
        <v/>
      </c>
      <c r="Y249" s="203"/>
      <c r="Z249" s="524" t="str">
        <f>IFERROR(INDEX('G-8 Condition Look up'!$A$3:$H$130,MATCH(S249,'G-8 Condition Look up'!$A$3:$A$130,0),MATCH(Y249,'G-8 Condition Look up'!$A$3:$H$3,0)),"")</f>
        <v/>
      </c>
      <c r="AA249" s="145"/>
      <c r="AB249" s="540" t="str">
        <f>IF(AA249="","",IF(VLOOKUP(AA249,'G-3 Multipliers'!$L$3:$N$6,2,FALSE)=0,"Spatial Data Missing ⚠",VLOOKUP(AA249,'G-3 Multipliers'!$L$3:$N$6,2,FALSE)))</f>
        <v/>
      </c>
      <c r="AC249" s="524" t="str">
        <f>IF(AA249="","",IF(VLOOKUP(AA249,'G-3 Multipliers'!$L$3:$N$6,3,FALSE)=0,"Spatial Data Missing ⚠",VLOOKUP(AA249,'G-3 Multipliers'!$L$3:$N$6,3,FALSE)))</f>
        <v/>
      </c>
      <c r="AD249" s="537" t="str">
        <f t="shared" si="37"/>
        <v/>
      </c>
      <c r="AE249" s="203"/>
      <c r="AF249" s="203"/>
      <c r="AG249" s="520" t="str">
        <f t="shared" si="40"/>
        <v/>
      </c>
      <c r="AH249" s="544" t="str">
        <f t="shared" si="41"/>
        <v/>
      </c>
      <c r="AI249" s="525" t="str">
        <f>IF(AH249="Check Data ⚠","Check Data ⚠",IFERROR(VLOOKUP(AH249,'G-4 Temporal multipliers'!$A$4:$C$36,3,FALSE),""))</f>
        <v/>
      </c>
      <c r="AJ249" s="537" t="str">
        <f>IF(S249="","",VLOOKUP(S249,'G-3 Multipliers'!$A$2:$E$129,4,FALSE))</f>
        <v/>
      </c>
      <c r="AK249" s="520" t="str">
        <f t="shared" si="42"/>
        <v/>
      </c>
      <c r="AL249" s="520" t="str">
        <f t="shared" si="43"/>
        <v/>
      </c>
      <c r="AM249" s="524" t="str">
        <f>IFERROR(IF(F249="","",IF(AH249="Check Data ⚠","Check Data ⚠",VLOOKUP(AL249, 'G-3 Multipliers'!$P$2:$Q$6,2,FALSE))),"")</f>
        <v/>
      </c>
      <c r="AN249" s="197"/>
      <c r="AO249" s="540" t="str">
        <f>IF(AN249="","",IF(VLOOKUP(AN249,'G-3 Multipliers'!$S$3:$T$9,2,FALSE)=0,"Spatial Data Missing ⚠",VLOOKUP(AN249,'G-3 Multipliers'!$S$3:$T$9,2,FALSE)))</f>
        <v/>
      </c>
      <c r="AP249" s="513" t="str">
        <f t="shared" si="44"/>
        <v/>
      </c>
      <c r="AQ249" s="231"/>
      <c r="AR249" s="150"/>
    </row>
    <row r="250" spans="1:44" x14ac:dyDescent="0.25">
      <c r="A250" s="31" t="str">
        <f>IF(E250="","",IF(ISNA(VLOOKUP($E250,'D-1 Off Site Habitat Baseline'!$D$1:$O$258,2,FALSE)),"",(VLOOKUP($E250,'D-1 Off Site Habitat Baseline'!$D$1:$O$258,2,FALSE))))</f>
        <v/>
      </c>
      <c r="B250" s="31" t="str">
        <f>IF(E250="","",IF(ISNA(VLOOKUP($E250,'D-1 Off Site Habitat Baseline'!$D$1:$O$258,3,FALSE)),"",(VLOOKUP($E250,'D-1 Off Site Habitat Baseline'!$D$1:$O$258,3,FALSE))))</f>
        <v/>
      </c>
      <c r="C250" s="31" t="str">
        <f>IFERROR(INDEX('G-8 Condition Look up'!$I$4:$I$130,MATCH(S250,'G-8 Condition Look up'!$A$4:$A$130,0)),"")</f>
        <v/>
      </c>
      <c r="E250" s="547" t="str">
        <f>'D-1 Off Site Habitat Baseline'!AL249</f>
        <v/>
      </c>
      <c r="F250" s="520" t="str">
        <f>IF(E250="","",IF(ISNA(VLOOKUP($E250,'D-1 Off Site Habitat Baseline'!$D$1:$O$258,4,FALSE)),"",(VLOOKUP($E250,'D-1 Off Site Habitat Baseline'!$D$1:$O$258,4,FALSE))))</f>
        <v/>
      </c>
      <c r="G250" s="520" t="str">
        <f>IF(E250="","",IF(ISNA(VLOOKUP($E250,'D-1 Off Site Habitat Baseline'!$D$1:$O$258,5,FALSE)),"",(VLOOKUP($E250,'D-1 Off Site Habitat Baseline'!$D$1:$O$258,5,FALSE))))</f>
        <v/>
      </c>
      <c r="H250" s="520" t="str">
        <f>IF(E250="","",IF(ISNA(VLOOKUP($E250,'D-1 Off Site Habitat Baseline'!$D$1:$O$258,6,FALSE)),"",(VLOOKUP($E250,'D-1 Off Site Habitat Baseline'!$D$1:$O$258,6,FALSE))))</f>
        <v/>
      </c>
      <c r="I250" s="520" t="str">
        <f>IF(E250="","",IF(ISNA(VLOOKUP($E250,'D-1 Off Site Habitat Baseline'!$D$1:$O$258,7,FALSE)),"",(VLOOKUP($E250,'D-1 Off Site Habitat Baseline'!$D$1:$O$258,7,FALSE))))</f>
        <v/>
      </c>
      <c r="J250" s="520" t="str">
        <f>IF(E250="","",IF(ISNA(VLOOKUP($E250,'D-1 Off Site Habitat Baseline'!$D$1:$O$258,8,FALSE)),"",(VLOOKUP($E250,'D-1 Off Site Habitat Baseline'!$D$1:$O$258,8,FALSE))))</f>
        <v/>
      </c>
      <c r="K250" s="520" t="str">
        <f>IF(E250="","",IF(ISNA(VLOOKUP($E250,'D-1 Off Site Habitat Baseline'!$D$1:$O$258,9,FALSE)),"",(VLOOKUP($E250,'D-1 Off Site Habitat Baseline'!$D$1:$O$258,9,FALSE))))</f>
        <v/>
      </c>
      <c r="L250" s="520" t="str">
        <f>IF(E250="","",IF(ISNA(VLOOKUP($E250,'D-1 Off Site Habitat Baseline'!$D$1:$O$258,11,FALSE)),"",(VLOOKUP($E250,'D-1 Off Site Habitat Baseline'!$D$1:$O$258,11,FALSE))))</f>
        <v/>
      </c>
      <c r="M250" s="520" t="str">
        <f>IF(E250="","",IF(ISNA(VLOOKUP($E250,'D-1 Off Site Habitat Baseline'!$D$1:$O$258,12,FALSE)),"",(VLOOKUP($E250,'D-1 Off Site Habitat Baseline'!$D$1:$O$258,12,FALSE))))</f>
        <v/>
      </c>
      <c r="N250" s="520" t="str">
        <f>IF(E250="","",IF(ISNA(VLOOKUP($E250,'D-1 Off Site Habitat Baseline'!$D$1:$X$258,14,FALSE)),"",(VLOOKUP($E250,'D-1 Off Site Habitat Baseline'!$D$1:$X$258,14,FALSE))))</f>
        <v/>
      </c>
      <c r="O250" s="524" t="str">
        <f>IF(E250="","",IF(ISNA(VLOOKUP($E250,'D-1 Off Site Habitat Baseline'!$D$1:$X$258,13,FALSE)),"",(VLOOKUP($E250,'D-1 Off Site Habitat Baseline'!$D$1:$X$258,13,FALSE))))</f>
        <v/>
      </c>
      <c r="P250" s="232" t="str">
        <f>IFERROR(INDEX('G-1 All Habitats'!$AG$3:$AG$15,MATCH(Q250,'G-1 All Habitats'!$AF$3:$AF$15,0)),"")</f>
        <v/>
      </c>
      <c r="Q250" s="228" t="str">
        <f t="shared" si="45"/>
        <v/>
      </c>
      <c r="R250" s="229" t="str">
        <f t="shared" si="46"/>
        <v/>
      </c>
      <c r="S250" s="233" t="str">
        <f>IFERROR(INDEX('G-1 All Habitats'!$B$3:$B$129,MATCH(R250,'G-1 All Habitats'!$A$3:$A$129,0)),"")</f>
        <v/>
      </c>
      <c r="T250" s="507" t="str">
        <f t="shared" si="38"/>
        <v/>
      </c>
      <c r="U250" s="524" t="str">
        <f t="shared" si="39"/>
        <v/>
      </c>
      <c r="V250" s="523" t="str">
        <f t="shared" si="36"/>
        <v/>
      </c>
      <c r="W250" s="520" t="str">
        <f>IF(S250="","",VLOOKUP(S250,'G-1 All Habitats'!$B$2:$M$129,10,FALSE))</f>
        <v/>
      </c>
      <c r="X250" s="520" t="str">
        <f>IFERROR(VLOOKUP(W250,'G-1 All Habitats'!$V$3:$W$7,2,FALSE),"")</f>
        <v/>
      </c>
      <c r="Y250" s="203"/>
      <c r="Z250" s="524" t="str">
        <f>IFERROR(INDEX('G-8 Condition Look up'!$A$3:$H$130,MATCH(S250,'G-8 Condition Look up'!$A$3:$A$130,0),MATCH(Y250,'G-8 Condition Look up'!$A$3:$H$3,0)),"")</f>
        <v/>
      </c>
      <c r="AA250" s="145"/>
      <c r="AB250" s="540" t="str">
        <f>IF(AA250="","",IF(VLOOKUP(AA250,'G-3 Multipliers'!$L$3:$N$6,2,FALSE)=0,"Spatial Data Missing ⚠",VLOOKUP(AA250,'G-3 Multipliers'!$L$3:$N$6,2,FALSE)))</f>
        <v/>
      </c>
      <c r="AC250" s="524" t="str">
        <f>IF(AA250="","",IF(VLOOKUP(AA250,'G-3 Multipliers'!$L$3:$N$6,3,FALSE)=0,"Spatial Data Missing ⚠",VLOOKUP(AA250,'G-3 Multipliers'!$L$3:$N$6,3,FALSE)))</f>
        <v/>
      </c>
      <c r="AD250" s="537" t="str">
        <f t="shared" si="37"/>
        <v/>
      </c>
      <c r="AE250" s="203"/>
      <c r="AF250" s="203"/>
      <c r="AG250" s="520" t="str">
        <f t="shared" si="40"/>
        <v/>
      </c>
      <c r="AH250" s="544" t="str">
        <f t="shared" si="41"/>
        <v/>
      </c>
      <c r="AI250" s="525" t="str">
        <f>IF(AH250="Check Data ⚠","Check Data ⚠",IFERROR(VLOOKUP(AH250,'G-4 Temporal multipliers'!$A$4:$C$36,3,FALSE),""))</f>
        <v/>
      </c>
      <c r="AJ250" s="537" t="str">
        <f>IF(S250="","",VLOOKUP(S250,'G-3 Multipliers'!$A$2:$E$129,4,FALSE))</f>
        <v/>
      </c>
      <c r="AK250" s="520" t="str">
        <f t="shared" si="42"/>
        <v/>
      </c>
      <c r="AL250" s="520" t="str">
        <f t="shared" si="43"/>
        <v/>
      </c>
      <c r="AM250" s="524" t="str">
        <f>IFERROR(IF(F250="","",IF(AH250="Check Data ⚠","Check Data ⚠",VLOOKUP(AL250, 'G-3 Multipliers'!$P$2:$Q$6,2,FALSE))),"")</f>
        <v/>
      </c>
      <c r="AN250" s="197"/>
      <c r="AO250" s="540" t="str">
        <f>IF(AN250="","",IF(VLOOKUP(AN250,'G-3 Multipliers'!$S$3:$T$9,2,FALSE)=0,"Spatial Data Missing ⚠",VLOOKUP(AN250,'G-3 Multipliers'!$S$3:$T$9,2,FALSE)))</f>
        <v/>
      </c>
      <c r="AP250" s="513" t="str">
        <f t="shared" si="44"/>
        <v/>
      </c>
      <c r="AQ250" s="231"/>
      <c r="AR250" s="150"/>
    </row>
    <row r="251" spans="1:44" x14ac:dyDescent="0.25">
      <c r="A251" s="31" t="str">
        <f>IF(E251="","",IF(ISNA(VLOOKUP($E251,'D-1 Off Site Habitat Baseline'!$D$1:$O$258,2,FALSE)),"",(VLOOKUP($E251,'D-1 Off Site Habitat Baseline'!$D$1:$O$258,2,FALSE))))</f>
        <v/>
      </c>
      <c r="B251" s="31" t="str">
        <f>IF(E251="","",IF(ISNA(VLOOKUP($E251,'D-1 Off Site Habitat Baseline'!$D$1:$O$258,3,FALSE)),"",(VLOOKUP($E251,'D-1 Off Site Habitat Baseline'!$D$1:$O$258,3,FALSE))))</f>
        <v/>
      </c>
      <c r="C251" s="31" t="str">
        <f>IFERROR(INDEX('G-8 Condition Look up'!$I$4:$I$130,MATCH(S251,'G-8 Condition Look up'!$A$4:$A$130,0)),"")</f>
        <v/>
      </c>
      <c r="E251" s="547" t="str">
        <f>'D-1 Off Site Habitat Baseline'!AL250</f>
        <v/>
      </c>
      <c r="F251" s="520" t="str">
        <f>IF(E251="","",IF(ISNA(VLOOKUP($E251,'D-1 Off Site Habitat Baseline'!$D$1:$O$258,4,FALSE)),"",(VLOOKUP($E251,'D-1 Off Site Habitat Baseline'!$D$1:$O$258,4,FALSE))))</f>
        <v/>
      </c>
      <c r="G251" s="520" t="str">
        <f>IF(E251="","",IF(ISNA(VLOOKUP($E251,'D-1 Off Site Habitat Baseline'!$D$1:$O$258,5,FALSE)),"",(VLOOKUP($E251,'D-1 Off Site Habitat Baseline'!$D$1:$O$258,5,FALSE))))</f>
        <v/>
      </c>
      <c r="H251" s="520" t="str">
        <f>IF(E251="","",IF(ISNA(VLOOKUP($E251,'D-1 Off Site Habitat Baseline'!$D$1:$O$258,6,FALSE)),"",(VLOOKUP($E251,'D-1 Off Site Habitat Baseline'!$D$1:$O$258,6,FALSE))))</f>
        <v/>
      </c>
      <c r="I251" s="520" t="str">
        <f>IF(E251="","",IF(ISNA(VLOOKUP($E251,'D-1 Off Site Habitat Baseline'!$D$1:$O$258,7,FALSE)),"",(VLOOKUP($E251,'D-1 Off Site Habitat Baseline'!$D$1:$O$258,7,FALSE))))</f>
        <v/>
      </c>
      <c r="J251" s="520" t="str">
        <f>IF(E251="","",IF(ISNA(VLOOKUP($E251,'D-1 Off Site Habitat Baseline'!$D$1:$O$258,8,FALSE)),"",(VLOOKUP($E251,'D-1 Off Site Habitat Baseline'!$D$1:$O$258,8,FALSE))))</f>
        <v/>
      </c>
      <c r="K251" s="520" t="str">
        <f>IF(E251="","",IF(ISNA(VLOOKUP($E251,'D-1 Off Site Habitat Baseline'!$D$1:$O$258,9,FALSE)),"",(VLOOKUP($E251,'D-1 Off Site Habitat Baseline'!$D$1:$O$258,9,FALSE))))</f>
        <v/>
      </c>
      <c r="L251" s="520" t="str">
        <f>IF(E251="","",IF(ISNA(VLOOKUP($E251,'D-1 Off Site Habitat Baseline'!$D$1:$O$258,11,FALSE)),"",(VLOOKUP($E251,'D-1 Off Site Habitat Baseline'!$D$1:$O$258,11,FALSE))))</f>
        <v/>
      </c>
      <c r="M251" s="520" t="str">
        <f>IF(E251="","",IF(ISNA(VLOOKUP($E251,'D-1 Off Site Habitat Baseline'!$D$1:$O$258,12,FALSE)),"",(VLOOKUP($E251,'D-1 Off Site Habitat Baseline'!$D$1:$O$258,12,FALSE))))</f>
        <v/>
      </c>
      <c r="N251" s="520" t="str">
        <f>IF(E251="","",IF(ISNA(VLOOKUP($E251,'D-1 Off Site Habitat Baseline'!$D$1:$X$258,14,FALSE)),"",(VLOOKUP($E251,'D-1 Off Site Habitat Baseline'!$D$1:$X$258,14,FALSE))))</f>
        <v/>
      </c>
      <c r="O251" s="524" t="str">
        <f>IF(E251="","",IF(ISNA(VLOOKUP($E251,'D-1 Off Site Habitat Baseline'!$D$1:$X$258,13,FALSE)),"",(VLOOKUP($E251,'D-1 Off Site Habitat Baseline'!$D$1:$X$258,13,FALSE))))</f>
        <v/>
      </c>
      <c r="P251" s="232" t="str">
        <f>IFERROR(INDEX('G-1 All Habitats'!$AG$3:$AG$15,MATCH(Q251,'G-1 All Habitats'!$AF$3:$AF$15,0)),"")</f>
        <v/>
      </c>
      <c r="Q251" s="228" t="str">
        <f t="shared" si="45"/>
        <v/>
      </c>
      <c r="R251" s="229" t="str">
        <f t="shared" si="46"/>
        <v/>
      </c>
      <c r="S251" s="233" t="str">
        <f>IFERROR(INDEX('G-1 All Habitats'!$B$3:$B$129,MATCH(R251,'G-1 All Habitats'!$A$3:$A$129,0)),"")</f>
        <v/>
      </c>
      <c r="T251" s="507" t="str">
        <f t="shared" si="38"/>
        <v/>
      </c>
      <c r="U251" s="524" t="str">
        <f t="shared" si="39"/>
        <v/>
      </c>
      <c r="V251" s="523" t="str">
        <f t="shared" si="36"/>
        <v/>
      </c>
      <c r="W251" s="520" t="str">
        <f>IF(S251="","",VLOOKUP(S251,'G-1 All Habitats'!$B$2:$M$129,10,FALSE))</f>
        <v/>
      </c>
      <c r="X251" s="520" t="str">
        <f>IFERROR(VLOOKUP(W251,'G-1 All Habitats'!$V$3:$W$7,2,FALSE),"")</f>
        <v/>
      </c>
      <c r="Y251" s="203"/>
      <c r="Z251" s="524" t="str">
        <f>IFERROR(INDEX('G-8 Condition Look up'!$A$3:$H$130,MATCH(S251,'G-8 Condition Look up'!$A$3:$A$130,0),MATCH(Y251,'G-8 Condition Look up'!$A$3:$H$3,0)),"")</f>
        <v/>
      </c>
      <c r="AA251" s="145"/>
      <c r="AB251" s="540" t="str">
        <f>IF(AA251="","",IF(VLOOKUP(AA251,'G-3 Multipliers'!$L$3:$N$6,2,FALSE)=0,"Spatial Data Missing ⚠",VLOOKUP(AA251,'G-3 Multipliers'!$L$3:$N$6,2,FALSE)))</f>
        <v/>
      </c>
      <c r="AC251" s="524" t="str">
        <f>IF(AA251="","",IF(VLOOKUP(AA251,'G-3 Multipliers'!$L$3:$N$6,3,FALSE)=0,"Spatial Data Missing ⚠",VLOOKUP(AA251,'G-3 Multipliers'!$L$3:$N$6,3,FALSE)))</f>
        <v/>
      </c>
      <c r="AD251" s="537" t="str">
        <f t="shared" si="37"/>
        <v/>
      </c>
      <c r="AE251" s="203"/>
      <c r="AF251" s="203"/>
      <c r="AG251" s="520" t="str">
        <f t="shared" si="40"/>
        <v/>
      </c>
      <c r="AH251" s="544" t="str">
        <f t="shared" si="41"/>
        <v/>
      </c>
      <c r="AI251" s="525" t="str">
        <f>IF(AH251="Check Data ⚠","Check Data ⚠",IFERROR(VLOOKUP(AH251,'G-4 Temporal multipliers'!$A$4:$C$36,3,FALSE),""))</f>
        <v/>
      </c>
      <c r="AJ251" s="537" t="str">
        <f>IF(S251="","",VLOOKUP(S251,'G-3 Multipliers'!$A$2:$E$129,4,FALSE))</f>
        <v/>
      </c>
      <c r="AK251" s="520" t="str">
        <f t="shared" si="42"/>
        <v/>
      </c>
      <c r="AL251" s="520" t="str">
        <f t="shared" si="43"/>
        <v/>
      </c>
      <c r="AM251" s="524" t="str">
        <f>IFERROR(IF(F251="","",IF(AH251="Check Data ⚠","Check Data ⚠",VLOOKUP(AL251, 'G-3 Multipliers'!$P$2:$Q$6,2,FALSE))),"")</f>
        <v/>
      </c>
      <c r="AN251" s="197"/>
      <c r="AO251" s="540" t="str">
        <f>IF(AN251="","",IF(VLOOKUP(AN251,'G-3 Multipliers'!$S$3:$T$9,2,FALSE)=0,"Spatial Data Missing ⚠",VLOOKUP(AN251,'G-3 Multipliers'!$S$3:$T$9,2,FALSE)))</f>
        <v/>
      </c>
      <c r="AP251" s="513" t="str">
        <f t="shared" si="44"/>
        <v/>
      </c>
      <c r="AQ251" s="231"/>
      <c r="AR251" s="150"/>
    </row>
    <row r="252" spans="1:44" x14ac:dyDescent="0.25">
      <c r="A252" s="31" t="str">
        <f>IF(E252="","",IF(ISNA(VLOOKUP($E252,'D-1 Off Site Habitat Baseline'!$D$1:$O$258,2,FALSE)),"",(VLOOKUP($E252,'D-1 Off Site Habitat Baseline'!$D$1:$O$258,2,FALSE))))</f>
        <v/>
      </c>
      <c r="B252" s="31" t="str">
        <f>IF(E252="","",IF(ISNA(VLOOKUP($E252,'D-1 Off Site Habitat Baseline'!$D$1:$O$258,3,FALSE)),"",(VLOOKUP($E252,'D-1 Off Site Habitat Baseline'!$D$1:$O$258,3,FALSE))))</f>
        <v/>
      </c>
      <c r="C252" s="31" t="str">
        <f>IFERROR(INDEX('G-8 Condition Look up'!$I$4:$I$130,MATCH(S252,'G-8 Condition Look up'!$A$4:$A$130,0)),"")</f>
        <v/>
      </c>
      <c r="E252" s="547" t="str">
        <f>'D-1 Off Site Habitat Baseline'!AL251</f>
        <v/>
      </c>
      <c r="F252" s="520" t="str">
        <f>IF(E252="","",IF(ISNA(VLOOKUP($E252,'D-1 Off Site Habitat Baseline'!$D$1:$O$258,4,FALSE)),"",(VLOOKUP($E252,'D-1 Off Site Habitat Baseline'!$D$1:$O$258,4,FALSE))))</f>
        <v/>
      </c>
      <c r="G252" s="520" t="str">
        <f>IF(E252="","",IF(ISNA(VLOOKUP($E252,'D-1 Off Site Habitat Baseline'!$D$1:$O$258,5,FALSE)),"",(VLOOKUP($E252,'D-1 Off Site Habitat Baseline'!$D$1:$O$258,5,FALSE))))</f>
        <v/>
      </c>
      <c r="H252" s="520" t="str">
        <f>IF(E252="","",IF(ISNA(VLOOKUP($E252,'D-1 Off Site Habitat Baseline'!$D$1:$O$258,6,FALSE)),"",(VLOOKUP($E252,'D-1 Off Site Habitat Baseline'!$D$1:$O$258,6,FALSE))))</f>
        <v/>
      </c>
      <c r="I252" s="520" t="str">
        <f>IF(E252="","",IF(ISNA(VLOOKUP($E252,'D-1 Off Site Habitat Baseline'!$D$1:$O$258,7,FALSE)),"",(VLOOKUP($E252,'D-1 Off Site Habitat Baseline'!$D$1:$O$258,7,FALSE))))</f>
        <v/>
      </c>
      <c r="J252" s="520" t="str">
        <f>IF(E252="","",IF(ISNA(VLOOKUP($E252,'D-1 Off Site Habitat Baseline'!$D$1:$O$258,8,FALSE)),"",(VLOOKUP($E252,'D-1 Off Site Habitat Baseline'!$D$1:$O$258,8,FALSE))))</f>
        <v/>
      </c>
      <c r="K252" s="520" t="str">
        <f>IF(E252="","",IF(ISNA(VLOOKUP($E252,'D-1 Off Site Habitat Baseline'!$D$1:$O$258,9,FALSE)),"",(VLOOKUP($E252,'D-1 Off Site Habitat Baseline'!$D$1:$O$258,9,FALSE))))</f>
        <v/>
      </c>
      <c r="L252" s="520" t="str">
        <f>IF(E252="","",IF(ISNA(VLOOKUP($E252,'D-1 Off Site Habitat Baseline'!$D$1:$O$258,11,FALSE)),"",(VLOOKUP($E252,'D-1 Off Site Habitat Baseline'!$D$1:$O$258,11,FALSE))))</f>
        <v/>
      </c>
      <c r="M252" s="520" t="str">
        <f>IF(E252="","",IF(ISNA(VLOOKUP($E252,'D-1 Off Site Habitat Baseline'!$D$1:$O$258,12,FALSE)),"",(VLOOKUP($E252,'D-1 Off Site Habitat Baseline'!$D$1:$O$258,12,FALSE))))</f>
        <v/>
      </c>
      <c r="N252" s="520" t="str">
        <f>IF(E252="","",IF(ISNA(VLOOKUP($E252,'D-1 Off Site Habitat Baseline'!$D$1:$X$258,14,FALSE)),"",(VLOOKUP($E252,'D-1 Off Site Habitat Baseline'!$D$1:$X$258,14,FALSE))))</f>
        <v/>
      </c>
      <c r="O252" s="524" t="str">
        <f>IF(E252="","",IF(ISNA(VLOOKUP($E252,'D-1 Off Site Habitat Baseline'!$D$1:$X$258,13,FALSE)),"",(VLOOKUP($E252,'D-1 Off Site Habitat Baseline'!$D$1:$X$258,13,FALSE))))</f>
        <v/>
      </c>
      <c r="P252" s="232" t="str">
        <f>IFERROR(INDEX('G-1 All Habitats'!$AG$3:$AG$15,MATCH(Q252,'G-1 All Habitats'!$AF$3:$AF$15,0)),"")</f>
        <v/>
      </c>
      <c r="Q252" s="228" t="str">
        <f t="shared" si="45"/>
        <v/>
      </c>
      <c r="R252" s="229" t="str">
        <f t="shared" si="46"/>
        <v/>
      </c>
      <c r="S252" s="233" t="str">
        <f>IFERROR(INDEX('G-1 All Habitats'!$B$3:$B$129,MATCH(R252,'G-1 All Habitats'!$A$3:$A$129,0)),"")</f>
        <v/>
      </c>
      <c r="T252" s="507" t="str">
        <f t="shared" si="38"/>
        <v/>
      </c>
      <c r="U252" s="524" t="str">
        <f t="shared" si="39"/>
        <v/>
      </c>
      <c r="V252" s="523" t="str">
        <f t="shared" si="36"/>
        <v/>
      </c>
      <c r="W252" s="520" t="str">
        <f>IF(S252="","",VLOOKUP(S252,'G-1 All Habitats'!$B$2:$M$129,10,FALSE))</f>
        <v/>
      </c>
      <c r="X252" s="520" t="str">
        <f>IFERROR(VLOOKUP(W252,'G-1 All Habitats'!$V$3:$W$7,2,FALSE),"")</f>
        <v/>
      </c>
      <c r="Y252" s="203"/>
      <c r="Z252" s="524" t="str">
        <f>IFERROR(INDEX('G-8 Condition Look up'!$A$3:$H$130,MATCH(S252,'G-8 Condition Look up'!$A$3:$A$130,0),MATCH(Y252,'G-8 Condition Look up'!$A$3:$H$3,0)),"")</f>
        <v/>
      </c>
      <c r="AA252" s="145"/>
      <c r="AB252" s="540" t="str">
        <f>IF(AA252="","",IF(VLOOKUP(AA252,'G-3 Multipliers'!$L$3:$N$6,2,FALSE)=0,"Spatial Data Missing ⚠",VLOOKUP(AA252,'G-3 Multipliers'!$L$3:$N$6,2,FALSE)))</f>
        <v/>
      </c>
      <c r="AC252" s="524" t="str">
        <f>IF(AA252="","",IF(VLOOKUP(AA252,'G-3 Multipliers'!$L$3:$N$6,3,FALSE)=0,"Spatial Data Missing ⚠",VLOOKUP(AA252,'G-3 Multipliers'!$L$3:$N$6,3,FALSE)))</f>
        <v/>
      </c>
      <c r="AD252" s="537" t="str">
        <f t="shared" si="37"/>
        <v/>
      </c>
      <c r="AE252" s="203"/>
      <c r="AF252" s="203"/>
      <c r="AG252" s="520" t="str">
        <f t="shared" si="40"/>
        <v/>
      </c>
      <c r="AH252" s="544" t="str">
        <f t="shared" si="41"/>
        <v/>
      </c>
      <c r="AI252" s="525" t="str">
        <f>IF(AH252="Check Data ⚠","Check Data ⚠",IFERROR(VLOOKUP(AH252,'G-4 Temporal multipliers'!$A$4:$C$36,3,FALSE),""))</f>
        <v/>
      </c>
      <c r="AJ252" s="537" t="str">
        <f>IF(S252="","",VLOOKUP(S252,'G-3 Multipliers'!$A$2:$E$129,4,FALSE))</f>
        <v/>
      </c>
      <c r="AK252" s="520" t="str">
        <f t="shared" si="42"/>
        <v/>
      </c>
      <c r="AL252" s="520" t="str">
        <f t="shared" si="43"/>
        <v/>
      </c>
      <c r="AM252" s="524" t="str">
        <f>IFERROR(IF(F252="","",IF(AH252="Check Data ⚠","Check Data ⚠",VLOOKUP(AL252, 'G-3 Multipliers'!$P$2:$Q$6,2,FALSE))),"")</f>
        <v/>
      </c>
      <c r="AN252" s="197"/>
      <c r="AO252" s="540" t="str">
        <f>IF(AN252="","",IF(VLOOKUP(AN252,'G-3 Multipliers'!$S$3:$T$9,2,FALSE)=0,"Spatial Data Missing ⚠",VLOOKUP(AN252,'G-3 Multipliers'!$S$3:$T$9,2,FALSE)))</f>
        <v/>
      </c>
      <c r="AP252" s="513" t="str">
        <f t="shared" si="44"/>
        <v/>
      </c>
      <c r="AQ252" s="231"/>
      <c r="AR252" s="150"/>
    </row>
    <row r="253" spans="1:44" x14ac:dyDescent="0.25">
      <c r="A253" s="31" t="str">
        <f>IF(E253="","",IF(ISNA(VLOOKUP($E253,'D-1 Off Site Habitat Baseline'!$D$1:$O$258,2,FALSE)),"",(VLOOKUP($E253,'D-1 Off Site Habitat Baseline'!$D$1:$O$258,2,FALSE))))</f>
        <v/>
      </c>
      <c r="B253" s="31" t="str">
        <f>IF(E253="","",IF(ISNA(VLOOKUP($E253,'D-1 Off Site Habitat Baseline'!$D$1:$O$258,3,FALSE)),"",(VLOOKUP($E253,'D-1 Off Site Habitat Baseline'!$D$1:$O$258,3,FALSE))))</f>
        <v/>
      </c>
      <c r="C253" s="31" t="str">
        <f>IFERROR(INDEX('G-8 Condition Look up'!$I$4:$I$130,MATCH(S253,'G-8 Condition Look up'!$A$4:$A$130,0)),"")</f>
        <v/>
      </c>
      <c r="E253" s="547" t="str">
        <f>'D-1 Off Site Habitat Baseline'!AL252</f>
        <v/>
      </c>
      <c r="F253" s="520" t="str">
        <f>IF(E253="","",IF(ISNA(VLOOKUP($E253,'D-1 Off Site Habitat Baseline'!$D$1:$O$258,4,FALSE)),"",(VLOOKUP($E253,'D-1 Off Site Habitat Baseline'!$D$1:$O$258,4,FALSE))))</f>
        <v/>
      </c>
      <c r="G253" s="520" t="str">
        <f>IF(E253="","",IF(ISNA(VLOOKUP($E253,'D-1 Off Site Habitat Baseline'!$D$1:$O$258,5,FALSE)),"",(VLOOKUP($E253,'D-1 Off Site Habitat Baseline'!$D$1:$O$258,5,FALSE))))</f>
        <v/>
      </c>
      <c r="H253" s="520" t="str">
        <f>IF(E253="","",IF(ISNA(VLOOKUP($E253,'D-1 Off Site Habitat Baseline'!$D$1:$O$258,6,FALSE)),"",(VLOOKUP($E253,'D-1 Off Site Habitat Baseline'!$D$1:$O$258,6,FALSE))))</f>
        <v/>
      </c>
      <c r="I253" s="520" t="str">
        <f>IF(E253="","",IF(ISNA(VLOOKUP($E253,'D-1 Off Site Habitat Baseline'!$D$1:$O$258,7,FALSE)),"",(VLOOKUP($E253,'D-1 Off Site Habitat Baseline'!$D$1:$O$258,7,FALSE))))</f>
        <v/>
      </c>
      <c r="J253" s="520" t="str">
        <f>IF(E253="","",IF(ISNA(VLOOKUP($E253,'D-1 Off Site Habitat Baseline'!$D$1:$O$258,8,FALSE)),"",(VLOOKUP($E253,'D-1 Off Site Habitat Baseline'!$D$1:$O$258,8,FALSE))))</f>
        <v/>
      </c>
      <c r="K253" s="520" t="str">
        <f>IF(E253="","",IF(ISNA(VLOOKUP($E253,'D-1 Off Site Habitat Baseline'!$D$1:$O$258,9,FALSE)),"",(VLOOKUP($E253,'D-1 Off Site Habitat Baseline'!$D$1:$O$258,9,FALSE))))</f>
        <v/>
      </c>
      <c r="L253" s="520" t="str">
        <f>IF(E253="","",IF(ISNA(VLOOKUP($E253,'D-1 Off Site Habitat Baseline'!$D$1:$O$258,11,FALSE)),"",(VLOOKUP($E253,'D-1 Off Site Habitat Baseline'!$D$1:$O$258,11,FALSE))))</f>
        <v/>
      </c>
      <c r="M253" s="520" t="str">
        <f>IF(E253="","",IF(ISNA(VLOOKUP($E253,'D-1 Off Site Habitat Baseline'!$D$1:$O$258,12,FALSE)),"",(VLOOKUP($E253,'D-1 Off Site Habitat Baseline'!$D$1:$O$258,12,FALSE))))</f>
        <v/>
      </c>
      <c r="N253" s="520" t="str">
        <f>IF(E253="","",IF(ISNA(VLOOKUP($E253,'D-1 Off Site Habitat Baseline'!$D$1:$X$258,14,FALSE)),"",(VLOOKUP($E253,'D-1 Off Site Habitat Baseline'!$D$1:$X$258,14,FALSE))))</f>
        <v/>
      </c>
      <c r="O253" s="524" t="str">
        <f>IF(E253="","",IF(ISNA(VLOOKUP($E253,'D-1 Off Site Habitat Baseline'!$D$1:$X$258,13,FALSE)),"",(VLOOKUP($E253,'D-1 Off Site Habitat Baseline'!$D$1:$X$258,13,FALSE))))</f>
        <v/>
      </c>
      <c r="P253" s="232" t="str">
        <f>IFERROR(INDEX('G-1 All Habitats'!$AG$3:$AG$15,MATCH(Q253,'G-1 All Habitats'!$AF$3:$AF$15,0)),"")</f>
        <v/>
      </c>
      <c r="Q253" s="228" t="str">
        <f t="shared" si="45"/>
        <v/>
      </c>
      <c r="R253" s="229" t="str">
        <f t="shared" si="46"/>
        <v/>
      </c>
      <c r="S253" s="233" t="str">
        <f>IFERROR(INDEX('G-1 All Habitats'!$B$3:$B$129,MATCH(R253,'G-1 All Habitats'!$A$3:$A$129,0)),"")</f>
        <v/>
      </c>
      <c r="T253" s="507" t="str">
        <f t="shared" si="38"/>
        <v/>
      </c>
      <c r="U253" s="524" t="str">
        <f t="shared" si="39"/>
        <v/>
      </c>
      <c r="V253" s="523" t="str">
        <f t="shared" si="36"/>
        <v/>
      </c>
      <c r="W253" s="520" t="str">
        <f>IF(S253="","",VLOOKUP(S253,'G-1 All Habitats'!$B$2:$M$129,10,FALSE))</f>
        <v/>
      </c>
      <c r="X253" s="520" t="str">
        <f>IFERROR(VLOOKUP(W253,'G-1 All Habitats'!$V$3:$W$7,2,FALSE),"")</f>
        <v/>
      </c>
      <c r="Y253" s="203"/>
      <c r="Z253" s="524" t="str">
        <f>IFERROR(INDEX('G-8 Condition Look up'!$A$3:$H$130,MATCH(S253,'G-8 Condition Look up'!$A$3:$A$130,0),MATCH(Y253,'G-8 Condition Look up'!$A$3:$H$3,0)),"")</f>
        <v/>
      </c>
      <c r="AA253" s="145"/>
      <c r="AB253" s="540" t="str">
        <f>IF(AA253="","",IF(VLOOKUP(AA253,'G-3 Multipliers'!$L$3:$N$6,2,FALSE)=0,"Spatial Data Missing ⚠",VLOOKUP(AA253,'G-3 Multipliers'!$L$3:$N$6,2,FALSE)))</f>
        <v/>
      </c>
      <c r="AC253" s="524" t="str">
        <f>IF(AA253="","",IF(VLOOKUP(AA253,'G-3 Multipliers'!$L$3:$N$6,3,FALSE)=0,"Spatial Data Missing ⚠",VLOOKUP(AA253,'G-3 Multipliers'!$L$3:$N$6,3,FALSE)))</f>
        <v/>
      </c>
      <c r="AD253" s="537" t="str">
        <f t="shared" si="37"/>
        <v/>
      </c>
      <c r="AE253" s="203"/>
      <c r="AF253" s="203"/>
      <c r="AG253" s="520" t="str">
        <f t="shared" si="40"/>
        <v/>
      </c>
      <c r="AH253" s="544" t="str">
        <f t="shared" si="41"/>
        <v/>
      </c>
      <c r="AI253" s="525" t="str">
        <f>IF(AH253="Check Data ⚠","Check Data ⚠",IFERROR(VLOOKUP(AH253,'G-4 Temporal multipliers'!$A$4:$C$36,3,FALSE),""))</f>
        <v/>
      </c>
      <c r="AJ253" s="537" t="str">
        <f>IF(S253="","",VLOOKUP(S253,'G-3 Multipliers'!$A$2:$E$129,4,FALSE))</f>
        <v/>
      </c>
      <c r="AK253" s="520" t="str">
        <f t="shared" si="42"/>
        <v/>
      </c>
      <c r="AL253" s="520" t="str">
        <f t="shared" si="43"/>
        <v/>
      </c>
      <c r="AM253" s="524" t="str">
        <f>IFERROR(IF(F253="","",IF(AH253="Check Data ⚠","Check Data ⚠",VLOOKUP(AL253, 'G-3 Multipliers'!$P$2:$Q$6,2,FALSE))),"")</f>
        <v/>
      </c>
      <c r="AN253" s="197"/>
      <c r="AO253" s="540" t="str">
        <f>IF(AN253="","",IF(VLOOKUP(AN253,'G-3 Multipliers'!$S$3:$T$9,2,FALSE)=0,"Spatial Data Missing ⚠",VLOOKUP(AN253,'G-3 Multipliers'!$S$3:$T$9,2,FALSE)))</f>
        <v/>
      </c>
      <c r="AP253" s="513" t="str">
        <f t="shared" si="44"/>
        <v/>
      </c>
      <c r="AQ253" s="231"/>
      <c r="AR253" s="150"/>
    </row>
    <row r="254" spans="1:44" x14ac:dyDescent="0.25">
      <c r="A254" s="31" t="str">
        <f>IF(E254="","",IF(ISNA(VLOOKUP($E254,'D-1 Off Site Habitat Baseline'!$D$1:$O$258,2,FALSE)),"",(VLOOKUP($E254,'D-1 Off Site Habitat Baseline'!$D$1:$O$258,2,FALSE))))</f>
        <v/>
      </c>
      <c r="B254" s="31" t="str">
        <f>IF(E254="","",IF(ISNA(VLOOKUP($E254,'D-1 Off Site Habitat Baseline'!$D$1:$O$258,3,FALSE)),"",(VLOOKUP($E254,'D-1 Off Site Habitat Baseline'!$D$1:$O$258,3,FALSE))))</f>
        <v/>
      </c>
      <c r="C254" s="31" t="str">
        <f>IFERROR(INDEX('G-8 Condition Look up'!$I$4:$I$130,MATCH(S254,'G-8 Condition Look up'!$A$4:$A$130,0)),"")</f>
        <v/>
      </c>
      <c r="E254" s="547" t="str">
        <f>'D-1 Off Site Habitat Baseline'!AL253</f>
        <v/>
      </c>
      <c r="F254" s="520" t="str">
        <f>IF(E254="","",IF(ISNA(VLOOKUP($E254,'D-1 Off Site Habitat Baseline'!$D$1:$O$258,4,FALSE)),"",(VLOOKUP($E254,'D-1 Off Site Habitat Baseline'!$D$1:$O$258,4,FALSE))))</f>
        <v/>
      </c>
      <c r="G254" s="520" t="str">
        <f>IF(E254="","",IF(ISNA(VLOOKUP($E254,'D-1 Off Site Habitat Baseline'!$D$1:$O$258,5,FALSE)),"",(VLOOKUP($E254,'D-1 Off Site Habitat Baseline'!$D$1:$O$258,5,FALSE))))</f>
        <v/>
      </c>
      <c r="H254" s="520" t="str">
        <f>IF(E254="","",IF(ISNA(VLOOKUP($E254,'D-1 Off Site Habitat Baseline'!$D$1:$O$258,6,FALSE)),"",(VLOOKUP($E254,'D-1 Off Site Habitat Baseline'!$D$1:$O$258,6,FALSE))))</f>
        <v/>
      </c>
      <c r="I254" s="520" t="str">
        <f>IF(E254="","",IF(ISNA(VLOOKUP($E254,'D-1 Off Site Habitat Baseline'!$D$1:$O$258,7,FALSE)),"",(VLOOKUP($E254,'D-1 Off Site Habitat Baseline'!$D$1:$O$258,7,FALSE))))</f>
        <v/>
      </c>
      <c r="J254" s="520" t="str">
        <f>IF(E254="","",IF(ISNA(VLOOKUP($E254,'D-1 Off Site Habitat Baseline'!$D$1:$O$258,8,FALSE)),"",(VLOOKUP($E254,'D-1 Off Site Habitat Baseline'!$D$1:$O$258,8,FALSE))))</f>
        <v/>
      </c>
      <c r="K254" s="520" t="str">
        <f>IF(E254="","",IF(ISNA(VLOOKUP($E254,'D-1 Off Site Habitat Baseline'!$D$1:$O$258,9,FALSE)),"",(VLOOKUP($E254,'D-1 Off Site Habitat Baseline'!$D$1:$O$258,9,FALSE))))</f>
        <v/>
      </c>
      <c r="L254" s="520" t="str">
        <f>IF(E254="","",IF(ISNA(VLOOKUP($E254,'D-1 Off Site Habitat Baseline'!$D$1:$O$258,11,FALSE)),"",(VLOOKUP($E254,'D-1 Off Site Habitat Baseline'!$D$1:$O$258,11,FALSE))))</f>
        <v/>
      </c>
      <c r="M254" s="520" t="str">
        <f>IF(E254="","",IF(ISNA(VLOOKUP($E254,'D-1 Off Site Habitat Baseline'!$D$1:$O$258,12,FALSE)),"",(VLOOKUP($E254,'D-1 Off Site Habitat Baseline'!$D$1:$O$258,12,FALSE))))</f>
        <v/>
      </c>
      <c r="N254" s="520" t="str">
        <f>IF(E254="","",IF(ISNA(VLOOKUP($E254,'D-1 Off Site Habitat Baseline'!$D$1:$X$258,14,FALSE)),"",(VLOOKUP($E254,'D-1 Off Site Habitat Baseline'!$D$1:$X$258,14,FALSE))))</f>
        <v/>
      </c>
      <c r="O254" s="524" t="str">
        <f>IF(E254="","",IF(ISNA(VLOOKUP($E254,'D-1 Off Site Habitat Baseline'!$D$1:$X$258,13,FALSE)),"",(VLOOKUP($E254,'D-1 Off Site Habitat Baseline'!$D$1:$X$258,13,FALSE))))</f>
        <v/>
      </c>
      <c r="P254" s="232" t="str">
        <f>IFERROR(INDEX('G-1 All Habitats'!$AG$3:$AG$15,MATCH(Q254,'G-1 All Habitats'!$AF$3:$AF$15,0)),"")</f>
        <v/>
      </c>
      <c r="Q254" s="228" t="str">
        <f t="shared" si="45"/>
        <v/>
      </c>
      <c r="R254" s="229" t="str">
        <f t="shared" si="46"/>
        <v/>
      </c>
      <c r="S254" s="233" t="str">
        <f>IFERROR(INDEX('G-1 All Habitats'!$B$3:$B$129,MATCH(R254,'G-1 All Habitats'!$A$3:$A$129,0)),"")</f>
        <v/>
      </c>
      <c r="T254" s="507" t="str">
        <f t="shared" si="38"/>
        <v/>
      </c>
      <c r="U254" s="524" t="str">
        <f t="shared" si="39"/>
        <v/>
      </c>
      <c r="V254" s="523" t="str">
        <f t="shared" si="36"/>
        <v/>
      </c>
      <c r="W254" s="520" t="str">
        <f>IF(S254="","",VLOOKUP(S254,'G-1 All Habitats'!$B$2:$M$129,10,FALSE))</f>
        <v/>
      </c>
      <c r="X254" s="520" t="str">
        <f>IFERROR(VLOOKUP(W254,'G-1 All Habitats'!$V$3:$W$7,2,FALSE),"")</f>
        <v/>
      </c>
      <c r="Y254" s="203"/>
      <c r="Z254" s="524" t="str">
        <f>IFERROR(INDEX('G-8 Condition Look up'!$A$3:$H$130,MATCH(S254,'G-8 Condition Look up'!$A$3:$A$130,0),MATCH(Y254,'G-8 Condition Look up'!$A$3:$H$3,0)),"")</f>
        <v/>
      </c>
      <c r="AA254" s="145"/>
      <c r="AB254" s="540" t="str">
        <f>IF(AA254="","",IF(VLOOKUP(AA254,'G-3 Multipliers'!$L$3:$N$6,2,FALSE)=0,"Spatial Data Missing ⚠",VLOOKUP(AA254,'G-3 Multipliers'!$L$3:$N$6,2,FALSE)))</f>
        <v/>
      </c>
      <c r="AC254" s="524" t="str">
        <f>IF(AA254="","",IF(VLOOKUP(AA254,'G-3 Multipliers'!$L$3:$N$6,3,FALSE)=0,"Spatial Data Missing ⚠",VLOOKUP(AA254,'G-3 Multipliers'!$L$3:$N$6,3,FALSE)))</f>
        <v/>
      </c>
      <c r="AD254" s="537" t="str">
        <f t="shared" si="37"/>
        <v/>
      </c>
      <c r="AE254" s="203"/>
      <c r="AF254" s="203"/>
      <c r="AG254" s="520" t="str">
        <f t="shared" si="40"/>
        <v/>
      </c>
      <c r="AH254" s="544" t="str">
        <f t="shared" si="41"/>
        <v/>
      </c>
      <c r="AI254" s="525" t="str">
        <f>IF(AH254="Check Data ⚠","Check Data ⚠",IFERROR(VLOOKUP(AH254,'G-4 Temporal multipliers'!$A$4:$C$36,3,FALSE),""))</f>
        <v/>
      </c>
      <c r="AJ254" s="537" t="str">
        <f>IF(S254="","",VLOOKUP(S254,'G-3 Multipliers'!$A$2:$E$129,4,FALSE))</f>
        <v/>
      </c>
      <c r="AK254" s="520" t="str">
        <f t="shared" si="42"/>
        <v/>
      </c>
      <c r="AL254" s="520" t="str">
        <f t="shared" si="43"/>
        <v/>
      </c>
      <c r="AM254" s="524" t="str">
        <f>IFERROR(IF(F254="","",IF(AH254="Check Data ⚠","Check Data ⚠",VLOOKUP(AL254, 'G-3 Multipliers'!$P$2:$Q$6,2,FALSE))),"")</f>
        <v/>
      </c>
      <c r="AN254" s="197"/>
      <c r="AO254" s="540" t="str">
        <f>IF(AN254="","",IF(VLOOKUP(AN254,'G-3 Multipliers'!$S$3:$T$9,2,FALSE)=0,"Spatial Data Missing ⚠",VLOOKUP(AN254,'G-3 Multipliers'!$S$3:$T$9,2,FALSE)))</f>
        <v/>
      </c>
      <c r="AP254" s="513" t="str">
        <f t="shared" si="44"/>
        <v/>
      </c>
      <c r="AQ254" s="231"/>
      <c r="AR254" s="150"/>
    </row>
    <row r="255" spans="1:44" x14ac:dyDescent="0.25">
      <c r="A255" s="31" t="str">
        <f>IF(E255="","",IF(ISNA(VLOOKUP($E255,'D-1 Off Site Habitat Baseline'!$D$1:$O$258,2,FALSE)),"",(VLOOKUP($E255,'D-1 Off Site Habitat Baseline'!$D$1:$O$258,2,FALSE))))</f>
        <v/>
      </c>
      <c r="B255" s="31" t="str">
        <f>IF(E255="","",IF(ISNA(VLOOKUP($E255,'D-1 Off Site Habitat Baseline'!$D$1:$O$258,3,FALSE)),"",(VLOOKUP($E255,'D-1 Off Site Habitat Baseline'!$D$1:$O$258,3,FALSE))))</f>
        <v/>
      </c>
      <c r="C255" s="31" t="str">
        <f>IFERROR(INDEX('G-8 Condition Look up'!$I$4:$I$130,MATCH(S255,'G-8 Condition Look up'!$A$4:$A$130,0)),"")</f>
        <v/>
      </c>
      <c r="E255" s="547" t="str">
        <f>'D-1 Off Site Habitat Baseline'!AL254</f>
        <v/>
      </c>
      <c r="F255" s="520" t="str">
        <f>IF(E255="","",IF(ISNA(VLOOKUP($E255,'D-1 Off Site Habitat Baseline'!$D$1:$O$258,4,FALSE)),"",(VLOOKUP($E255,'D-1 Off Site Habitat Baseline'!$D$1:$O$258,4,FALSE))))</f>
        <v/>
      </c>
      <c r="G255" s="520" t="str">
        <f>IF(E255="","",IF(ISNA(VLOOKUP($E255,'D-1 Off Site Habitat Baseline'!$D$1:$O$258,5,FALSE)),"",(VLOOKUP($E255,'D-1 Off Site Habitat Baseline'!$D$1:$O$258,5,FALSE))))</f>
        <v/>
      </c>
      <c r="H255" s="520" t="str">
        <f>IF(E255="","",IF(ISNA(VLOOKUP($E255,'D-1 Off Site Habitat Baseline'!$D$1:$O$258,6,FALSE)),"",(VLOOKUP($E255,'D-1 Off Site Habitat Baseline'!$D$1:$O$258,6,FALSE))))</f>
        <v/>
      </c>
      <c r="I255" s="520" t="str">
        <f>IF(E255="","",IF(ISNA(VLOOKUP($E255,'D-1 Off Site Habitat Baseline'!$D$1:$O$258,7,FALSE)),"",(VLOOKUP($E255,'D-1 Off Site Habitat Baseline'!$D$1:$O$258,7,FALSE))))</f>
        <v/>
      </c>
      <c r="J255" s="520" t="str">
        <f>IF(E255="","",IF(ISNA(VLOOKUP($E255,'D-1 Off Site Habitat Baseline'!$D$1:$O$258,8,FALSE)),"",(VLOOKUP($E255,'D-1 Off Site Habitat Baseline'!$D$1:$O$258,8,FALSE))))</f>
        <v/>
      </c>
      <c r="K255" s="520" t="str">
        <f>IF(E255="","",IF(ISNA(VLOOKUP($E255,'D-1 Off Site Habitat Baseline'!$D$1:$O$258,9,FALSE)),"",(VLOOKUP($E255,'D-1 Off Site Habitat Baseline'!$D$1:$O$258,9,FALSE))))</f>
        <v/>
      </c>
      <c r="L255" s="520" t="str">
        <f>IF(E255="","",IF(ISNA(VLOOKUP($E255,'D-1 Off Site Habitat Baseline'!$D$1:$O$258,11,FALSE)),"",(VLOOKUP($E255,'D-1 Off Site Habitat Baseline'!$D$1:$O$258,11,FALSE))))</f>
        <v/>
      </c>
      <c r="M255" s="520" t="str">
        <f>IF(E255="","",IF(ISNA(VLOOKUP($E255,'D-1 Off Site Habitat Baseline'!$D$1:$O$258,12,FALSE)),"",(VLOOKUP($E255,'D-1 Off Site Habitat Baseline'!$D$1:$O$258,12,FALSE))))</f>
        <v/>
      </c>
      <c r="N255" s="520" t="str">
        <f>IF(E255="","",IF(ISNA(VLOOKUP($E255,'D-1 Off Site Habitat Baseline'!$D$1:$X$258,14,FALSE)),"",(VLOOKUP($E255,'D-1 Off Site Habitat Baseline'!$D$1:$X$258,14,FALSE))))</f>
        <v/>
      </c>
      <c r="O255" s="524" t="str">
        <f>IF(E255="","",IF(ISNA(VLOOKUP($E255,'D-1 Off Site Habitat Baseline'!$D$1:$X$258,13,FALSE)),"",(VLOOKUP($E255,'D-1 Off Site Habitat Baseline'!$D$1:$X$258,13,FALSE))))</f>
        <v/>
      </c>
      <c r="P255" s="232" t="str">
        <f>IFERROR(INDEX('G-1 All Habitats'!$AG$3:$AG$15,MATCH(Q255,'G-1 All Habitats'!$AF$3:$AF$15,0)),"")</f>
        <v/>
      </c>
      <c r="Q255" s="228" t="str">
        <f t="shared" si="45"/>
        <v/>
      </c>
      <c r="R255" s="229" t="str">
        <f t="shared" si="46"/>
        <v/>
      </c>
      <c r="S255" s="233" t="str">
        <f>IFERROR(INDEX('G-1 All Habitats'!$B$3:$B$129,MATCH(R255,'G-1 All Habitats'!$A$3:$A$129,0)),"")</f>
        <v/>
      </c>
      <c r="T255" s="507" t="str">
        <f t="shared" si="38"/>
        <v/>
      </c>
      <c r="U255" s="524" t="str">
        <f t="shared" si="39"/>
        <v/>
      </c>
      <c r="V255" s="523" t="str">
        <f t="shared" si="36"/>
        <v/>
      </c>
      <c r="W255" s="520" t="str">
        <f>IF(S255="","",VLOOKUP(S255,'G-1 All Habitats'!$B$2:$M$129,10,FALSE))</f>
        <v/>
      </c>
      <c r="X255" s="520" t="str">
        <f>IFERROR(VLOOKUP(W255,'G-1 All Habitats'!$V$3:$W$7,2,FALSE),"")</f>
        <v/>
      </c>
      <c r="Y255" s="203"/>
      <c r="Z255" s="524" t="str">
        <f>IFERROR(INDEX('G-8 Condition Look up'!$A$3:$H$130,MATCH(S255,'G-8 Condition Look up'!$A$3:$A$130,0),MATCH(Y255,'G-8 Condition Look up'!$A$3:$H$3,0)),"")</f>
        <v/>
      </c>
      <c r="AA255" s="145"/>
      <c r="AB255" s="540" t="str">
        <f>IF(AA255="","",IF(VLOOKUP(AA255,'G-3 Multipliers'!$L$3:$N$6,2,FALSE)=0,"Spatial Data Missing ⚠",VLOOKUP(AA255,'G-3 Multipliers'!$L$3:$N$6,2,FALSE)))</f>
        <v/>
      </c>
      <c r="AC255" s="524" t="str">
        <f>IF(AA255="","",IF(VLOOKUP(AA255,'G-3 Multipliers'!$L$3:$N$6,3,FALSE)=0,"Spatial Data Missing ⚠",VLOOKUP(AA255,'G-3 Multipliers'!$L$3:$N$6,3,FALSE)))</f>
        <v/>
      </c>
      <c r="AD255" s="537" t="str">
        <f t="shared" si="37"/>
        <v/>
      </c>
      <c r="AE255" s="203"/>
      <c r="AF255" s="203"/>
      <c r="AG255" s="520" t="str">
        <f t="shared" si="40"/>
        <v/>
      </c>
      <c r="AH255" s="544" t="str">
        <f t="shared" si="41"/>
        <v/>
      </c>
      <c r="AI255" s="525" t="str">
        <f>IF(AH255="Check Data ⚠","Check Data ⚠",IFERROR(VLOOKUP(AH255,'G-4 Temporal multipliers'!$A$4:$C$36,3,FALSE),""))</f>
        <v/>
      </c>
      <c r="AJ255" s="537" t="str">
        <f>IF(S255="","",VLOOKUP(S255,'G-3 Multipliers'!$A$2:$E$129,4,FALSE))</f>
        <v/>
      </c>
      <c r="AK255" s="520" t="str">
        <f t="shared" si="42"/>
        <v/>
      </c>
      <c r="AL255" s="520" t="str">
        <f t="shared" si="43"/>
        <v/>
      </c>
      <c r="AM255" s="524" t="str">
        <f>IFERROR(IF(F255="","",IF(AH255="Check Data ⚠","Check Data ⚠",VLOOKUP(AL255, 'G-3 Multipliers'!$P$2:$Q$6,2,FALSE))),"")</f>
        <v/>
      </c>
      <c r="AN255" s="197"/>
      <c r="AO255" s="540" t="str">
        <f>IF(AN255="","",IF(VLOOKUP(AN255,'G-3 Multipliers'!$S$3:$T$9,2,FALSE)=0,"Spatial Data Missing ⚠",VLOOKUP(AN255,'G-3 Multipliers'!$S$3:$T$9,2,FALSE)))</f>
        <v/>
      </c>
      <c r="AP255" s="513" t="str">
        <f t="shared" si="44"/>
        <v/>
      </c>
      <c r="AQ255" s="231"/>
      <c r="AR255" s="150"/>
    </row>
    <row r="256" spans="1:44" x14ac:dyDescent="0.25">
      <c r="A256" s="31" t="str">
        <f>IF(E256="","",IF(ISNA(VLOOKUP($E256,'D-1 Off Site Habitat Baseline'!$D$1:$O$258,2,FALSE)),"",(VLOOKUP($E256,'D-1 Off Site Habitat Baseline'!$D$1:$O$258,2,FALSE))))</f>
        <v/>
      </c>
      <c r="B256" s="31" t="str">
        <f>IF(E256="","",IF(ISNA(VLOOKUP($E256,'D-1 Off Site Habitat Baseline'!$D$1:$O$258,3,FALSE)),"",(VLOOKUP($E256,'D-1 Off Site Habitat Baseline'!$D$1:$O$258,3,FALSE))))</f>
        <v/>
      </c>
      <c r="C256" s="31" t="str">
        <f>IFERROR(INDEX('G-8 Condition Look up'!$I$4:$I$130,MATCH(S256,'G-8 Condition Look up'!$A$4:$A$130,0)),"")</f>
        <v/>
      </c>
      <c r="E256" s="547" t="str">
        <f>'D-1 Off Site Habitat Baseline'!AL255</f>
        <v/>
      </c>
      <c r="F256" s="520" t="str">
        <f>IF(E256="","",IF(ISNA(VLOOKUP($E256,'D-1 Off Site Habitat Baseline'!$D$1:$O$258,4,FALSE)),"",(VLOOKUP($E256,'D-1 Off Site Habitat Baseline'!$D$1:$O$258,4,FALSE))))</f>
        <v/>
      </c>
      <c r="G256" s="520" t="str">
        <f>IF(E256="","",IF(ISNA(VLOOKUP($E256,'D-1 Off Site Habitat Baseline'!$D$1:$O$258,5,FALSE)),"",(VLOOKUP($E256,'D-1 Off Site Habitat Baseline'!$D$1:$O$258,5,FALSE))))</f>
        <v/>
      </c>
      <c r="H256" s="520" t="str">
        <f>IF(E256="","",IF(ISNA(VLOOKUP($E256,'D-1 Off Site Habitat Baseline'!$D$1:$O$258,6,FALSE)),"",(VLOOKUP($E256,'D-1 Off Site Habitat Baseline'!$D$1:$O$258,6,FALSE))))</f>
        <v/>
      </c>
      <c r="I256" s="520" t="str">
        <f>IF(E256="","",IF(ISNA(VLOOKUP($E256,'D-1 Off Site Habitat Baseline'!$D$1:$O$258,7,FALSE)),"",(VLOOKUP($E256,'D-1 Off Site Habitat Baseline'!$D$1:$O$258,7,FALSE))))</f>
        <v/>
      </c>
      <c r="J256" s="520" t="str">
        <f>IF(E256="","",IF(ISNA(VLOOKUP($E256,'D-1 Off Site Habitat Baseline'!$D$1:$O$258,8,FALSE)),"",(VLOOKUP($E256,'D-1 Off Site Habitat Baseline'!$D$1:$O$258,8,FALSE))))</f>
        <v/>
      </c>
      <c r="K256" s="520" t="str">
        <f>IF(E256="","",IF(ISNA(VLOOKUP($E256,'D-1 Off Site Habitat Baseline'!$D$1:$O$258,9,FALSE)),"",(VLOOKUP($E256,'D-1 Off Site Habitat Baseline'!$D$1:$O$258,9,FALSE))))</f>
        <v/>
      </c>
      <c r="L256" s="520" t="str">
        <f>IF(E256="","",IF(ISNA(VLOOKUP($E256,'D-1 Off Site Habitat Baseline'!$D$1:$O$258,11,FALSE)),"",(VLOOKUP($E256,'D-1 Off Site Habitat Baseline'!$D$1:$O$258,11,FALSE))))</f>
        <v/>
      </c>
      <c r="M256" s="520" t="str">
        <f>IF(E256="","",IF(ISNA(VLOOKUP($E256,'D-1 Off Site Habitat Baseline'!$D$1:$O$258,12,FALSE)),"",(VLOOKUP($E256,'D-1 Off Site Habitat Baseline'!$D$1:$O$258,12,FALSE))))</f>
        <v/>
      </c>
      <c r="N256" s="520" t="str">
        <f>IF(E256="","",IF(ISNA(VLOOKUP($E256,'D-1 Off Site Habitat Baseline'!$D$1:$X$258,14,FALSE)),"",(VLOOKUP($E256,'D-1 Off Site Habitat Baseline'!$D$1:$X$258,14,FALSE))))</f>
        <v/>
      </c>
      <c r="O256" s="524" t="str">
        <f>IF(E256="","",IF(ISNA(VLOOKUP($E256,'D-1 Off Site Habitat Baseline'!$D$1:$X$258,13,FALSE)),"",(VLOOKUP($E256,'D-1 Off Site Habitat Baseline'!$D$1:$X$258,13,FALSE))))</f>
        <v/>
      </c>
      <c r="P256" s="232" t="str">
        <f>IFERROR(INDEX('G-1 All Habitats'!$AG$3:$AG$15,MATCH(Q256,'G-1 All Habitats'!$AF$3:$AF$15,0)),"")</f>
        <v/>
      </c>
      <c r="Q256" s="228" t="str">
        <f t="shared" si="45"/>
        <v/>
      </c>
      <c r="R256" s="229" t="str">
        <f t="shared" si="46"/>
        <v/>
      </c>
      <c r="S256" s="233" t="str">
        <f>IFERROR(INDEX('G-1 All Habitats'!$B$3:$B$129,MATCH(R256,'G-1 All Habitats'!$A$3:$A$129,0)),"")</f>
        <v/>
      </c>
      <c r="T256" s="507" t="str">
        <f t="shared" si="38"/>
        <v/>
      </c>
      <c r="U256" s="524" t="str">
        <f t="shared" si="39"/>
        <v/>
      </c>
      <c r="V256" s="523" t="str">
        <f t="shared" si="36"/>
        <v/>
      </c>
      <c r="W256" s="520" t="str">
        <f>IF(S256="","",VLOOKUP(S256,'G-1 All Habitats'!$B$2:$M$129,10,FALSE))</f>
        <v/>
      </c>
      <c r="X256" s="520" t="str">
        <f>IFERROR(VLOOKUP(W256,'G-1 All Habitats'!$V$3:$W$7,2,FALSE),"")</f>
        <v/>
      </c>
      <c r="Y256" s="203"/>
      <c r="Z256" s="524" t="str">
        <f>IFERROR(INDEX('G-8 Condition Look up'!$A$3:$H$130,MATCH(S256,'G-8 Condition Look up'!$A$3:$A$130,0),MATCH(Y256,'G-8 Condition Look up'!$A$3:$H$3,0)),"")</f>
        <v/>
      </c>
      <c r="AA256" s="145"/>
      <c r="AB256" s="540" t="str">
        <f>IF(AA256="","",IF(VLOOKUP(AA256,'G-3 Multipliers'!$L$3:$N$6,2,FALSE)=0,"Spatial Data Missing ⚠",VLOOKUP(AA256,'G-3 Multipliers'!$L$3:$N$6,2,FALSE)))</f>
        <v/>
      </c>
      <c r="AC256" s="524" t="str">
        <f>IF(AA256="","",IF(VLOOKUP(AA256,'G-3 Multipliers'!$L$3:$N$6,3,FALSE)=0,"Spatial Data Missing ⚠",VLOOKUP(AA256,'G-3 Multipliers'!$L$3:$N$6,3,FALSE)))</f>
        <v/>
      </c>
      <c r="AD256" s="537" t="str">
        <f t="shared" si="37"/>
        <v/>
      </c>
      <c r="AE256" s="203"/>
      <c r="AF256" s="203"/>
      <c r="AG256" s="520" t="str">
        <f t="shared" si="40"/>
        <v/>
      </c>
      <c r="AH256" s="544" t="str">
        <f t="shared" si="41"/>
        <v/>
      </c>
      <c r="AI256" s="525" t="str">
        <f>IF(AH256="Check Data ⚠","Check Data ⚠",IFERROR(VLOOKUP(AH256,'G-4 Temporal multipliers'!$A$4:$C$36,3,FALSE),""))</f>
        <v/>
      </c>
      <c r="AJ256" s="537" t="str">
        <f>IF(S256="","",VLOOKUP(S256,'G-3 Multipliers'!$A$2:$E$129,4,FALSE))</f>
        <v/>
      </c>
      <c r="AK256" s="520" t="str">
        <f t="shared" si="42"/>
        <v/>
      </c>
      <c r="AL256" s="520" t="str">
        <f t="shared" si="43"/>
        <v/>
      </c>
      <c r="AM256" s="524" t="str">
        <f>IFERROR(IF(F256="","",IF(AH256="Check Data ⚠","Check Data ⚠",VLOOKUP(AL256, 'G-3 Multipliers'!$P$2:$Q$6,2,FALSE))),"")</f>
        <v/>
      </c>
      <c r="AN256" s="197"/>
      <c r="AO256" s="540" t="str">
        <f>IF(AN256="","",IF(VLOOKUP(AN256,'G-3 Multipliers'!$S$3:$T$9,2,FALSE)=0,"Spatial Data Missing ⚠",VLOOKUP(AN256,'G-3 Multipliers'!$S$3:$T$9,2,FALSE)))</f>
        <v/>
      </c>
      <c r="AP256" s="513" t="str">
        <f t="shared" si="44"/>
        <v/>
      </c>
      <c r="AQ256" s="231"/>
      <c r="AR256" s="150"/>
    </row>
    <row r="257" spans="1:44" x14ac:dyDescent="0.25">
      <c r="A257" s="31" t="str">
        <f>IF(E257="","",IF(ISNA(VLOOKUP($E257,'D-1 Off Site Habitat Baseline'!$D$1:$O$258,2,FALSE)),"",(VLOOKUP($E257,'D-1 Off Site Habitat Baseline'!$D$1:$O$258,2,FALSE))))</f>
        <v/>
      </c>
      <c r="B257" s="31" t="str">
        <f>IF(E257="","",IF(ISNA(VLOOKUP($E257,'D-1 Off Site Habitat Baseline'!$D$1:$O$258,3,FALSE)),"",(VLOOKUP($E257,'D-1 Off Site Habitat Baseline'!$D$1:$O$258,3,FALSE))))</f>
        <v/>
      </c>
      <c r="C257" s="31" t="str">
        <f>IFERROR(INDEX('G-8 Condition Look up'!$I$4:$I$130,MATCH(S257,'G-8 Condition Look up'!$A$4:$A$130,0)),"")</f>
        <v/>
      </c>
      <c r="E257" s="547" t="str">
        <f>'D-1 Off Site Habitat Baseline'!AL256</f>
        <v/>
      </c>
      <c r="F257" s="520" t="str">
        <f>IF(E257="","",IF(ISNA(VLOOKUP($E257,'D-1 Off Site Habitat Baseline'!$D$1:$O$258,4,FALSE)),"",(VLOOKUP($E257,'D-1 Off Site Habitat Baseline'!$D$1:$O$258,4,FALSE))))</f>
        <v/>
      </c>
      <c r="G257" s="520" t="str">
        <f>IF(E257="","",IF(ISNA(VLOOKUP($E257,'D-1 Off Site Habitat Baseline'!$D$1:$O$258,5,FALSE)),"",(VLOOKUP($E257,'D-1 Off Site Habitat Baseline'!$D$1:$O$258,5,FALSE))))</f>
        <v/>
      </c>
      <c r="H257" s="520" t="str">
        <f>IF(E257="","",IF(ISNA(VLOOKUP($E257,'D-1 Off Site Habitat Baseline'!$D$1:$O$258,6,FALSE)),"",(VLOOKUP($E257,'D-1 Off Site Habitat Baseline'!$D$1:$O$258,6,FALSE))))</f>
        <v/>
      </c>
      <c r="I257" s="520" t="str">
        <f>IF(E257="","",IF(ISNA(VLOOKUP($E257,'D-1 Off Site Habitat Baseline'!$D$1:$O$258,7,FALSE)),"",(VLOOKUP($E257,'D-1 Off Site Habitat Baseline'!$D$1:$O$258,7,FALSE))))</f>
        <v/>
      </c>
      <c r="J257" s="520" t="str">
        <f>IF(E257="","",IF(ISNA(VLOOKUP($E257,'D-1 Off Site Habitat Baseline'!$D$1:$O$258,8,FALSE)),"",(VLOOKUP($E257,'D-1 Off Site Habitat Baseline'!$D$1:$O$258,8,FALSE))))</f>
        <v/>
      </c>
      <c r="K257" s="520" t="str">
        <f>IF(E257="","",IF(ISNA(VLOOKUP($E257,'D-1 Off Site Habitat Baseline'!$D$1:$O$258,9,FALSE)),"",(VLOOKUP($E257,'D-1 Off Site Habitat Baseline'!$D$1:$O$258,9,FALSE))))</f>
        <v/>
      </c>
      <c r="L257" s="520" t="str">
        <f>IF(E257="","",IF(ISNA(VLOOKUP($E257,'D-1 Off Site Habitat Baseline'!$D$1:$O$258,11,FALSE)),"",(VLOOKUP($E257,'D-1 Off Site Habitat Baseline'!$D$1:$O$258,11,FALSE))))</f>
        <v/>
      </c>
      <c r="M257" s="520" t="str">
        <f>IF(E257="","",IF(ISNA(VLOOKUP($E257,'D-1 Off Site Habitat Baseline'!$D$1:$O$258,12,FALSE)),"",(VLOOKUP($E257,'D-1 Off Site Habitat Baseline'!$D$1:$O$258,12,FALSE))))</f>
        <v/>
      </c>
      <c r="N257" s="520" t="str">
        <f>IF(E257="","",IF(ISNA(VLOOKUP($E257,'D-1 Off Site Habitat Baseline'!$D$1:$X$258,14,FALSE)),"",(VLOOKUP($E257,'D-1 Off Site Habitat Baseline'!$D$1:$X$258,14,FALSE))))</f>
        <v/>
      </c>
      <c r="O257" s="524" t="str">
        <f>IF(E257="","",IF(ISNA(VLOOKUP($E257,'D-1 Off Site Habitat Baseline'!$D$1:$X$258,13,FALSE)),"",(VLOOKUP($E257,'D-1 Off Site Habitat Baseline'!$D$1:$X$258,13,FALSE))))</f>
        <v/>
      </c>
      <c r="P257" s="232" t="str">
        <f>IFERROR(INDEX('G-1 All Habitats'!$AG$3:$AG$15,MATCH(Q257,'G-1 All Habitats'!$AF$3:$AF$15,0)),"")</f>
        <v/>
      </c>
      <c r="Q257" s="228" t="str">
        <f t="shared" si="45"/>
        <v/>
      </c>
      <c r="R257" s="229" t="str">
        <f t="shared" si="46"/>
        <v/>
      </c>
      <c r="S257" s="233" t="str">
        <f>IFERROR(INDEX('G-1 All Habitats'!$B$3:$B$129,MATCH(R257,'G-1 All Habitats'!$A$3:$A$129,0)),"")</f>
        <v/>
      </c>
      <c r="T257" s="507" t="str">
        <f t="shared" si="38"/>
        <v/>
      </c>
      <c r="U257" s="524" t="str">
        <f t="shared" si="39"/>
        <v/>
      </c>
      <c r="V257" s="523" t="str">
        <f t="shared" si="36"/>
        <v/>
      </c>
      <c r="W257" s="520" t="str">
        <f>IF(S257="","",VLOOKUP(S257,'G-1 All Habitats'!$B$2:$M$129,10,FALSE))</f>
        <v/>
      </c>
      <c r="X257" s="520" t="str">
        <f>IFERROR(VLOOKUP(W257,'G-1 All Habitats'!$V$3:$W$7,2,FALSE),"")</f>
        <v/>
      </c>
      <c r="Y257" s="203"/>
      <c r="Z257" s="524" t="str">
        <f>IFERROR(INDEX('G-8 Condition Look up'!$A$3:$H$130,MATCH(S257,'G-8 Condition Look up'!$A$3:$A$130,0),MATCH(Y257,'G-8 Condition Look up'!$A$3:$H$3,0)),"")</f>
        <v/>
      </c>
      <c r="AA257" s="145"/>
      <c r="AB257" s="540" t="str">
        <f>IF(AA257="","",IF(VLOOKUP(AA257,'G-3 Multipliers'!$L$3:$N$6,2,FALSE)=0,"Spatial Data Missing ⚠",VLOOKUP(AA257,'G-3 Multipliers'!$L$3:$N$6,2,FALSE)))</f>
        <v/>
      </c>
      <c r="AC257" s="524" t="str">
        <f>IF(AA257="","",IF(VLOOKUP(AA257,'G-3 Multipliers'!$L$3:$N$6,3,FALSE)=0,"Spatial Data Missing ⚠",VLOOKUP(AA257,'G-3 Multipliers'!$L$3:$N$6,3,FALSE)))</f>
        <v/>
      </c>
      <c r="AD257" s="537" t="str">
        <f t="shared" si="37"/>
        <v/>
      </c>
      <c r="AE257" s="203"/>
      <c r="AF257" s="203"/>
      <c r="AG257" s="520" t="str">
        <f t="shared" si="40"/>
        <v/>
      </c>
      <c r="AH257" s="544" t="str">
        <f t="shared" si="41"/>
        <v/>
      </c>
      <c r="AI257" s="525" t="str">
        <f>IF(AH257="Check Data ⚠","Check Data ⚠",IFERROR(VLOOKUP(AH257,'G-4 Temporal multipliers'!$A$4:$C$36,3,FALSE),""))</f>
        <v/>
      </c>
      <c r="AJ257" s="537" t="str">
        <f>IF(S257="","",VLOOKUP(S257,'G-3 Multipliers'!$A$2:$E$129,4,FALSE))</f>
        <v/>
      </c>
      <c r="AK257" s="520" t="str">
        <f t="shared" si="42"/>
        <v/>
      </c>
      <c r="AL257" s="520" t="str">
        <f t="shared" si="43"/>
        <v/>
      </c>
      <c r="AM257" s="524" t="str">
        <f>IFERROR(IF(F257="","",IF(AH257="Check Data ⚠","Check Data ⚠",VLOOKUP(AL257, 'G-3 Multipliers'!$P$2:$Q$6,2,FALSE))),"")</f>
        <v/>
      </c>
      <c r="AN257" s="197"/>
      <c r="AO257" s="540" t="str">
        <f>IF(AN257="","",IF(VLOOKUP(AN257,'G-3 Multipliers'!$S$3:$T$9,2,FALSE)=0,"Spatial Data Missing ⚠",VLOOKUP(AN257,'G-3 Multipliers'!$S$3:$T$9,2,FALSE)))</f>
        <v/>
      </c>
      <c r="AP257" s="513" t="str">
        <f t="shared" si="44"/>
        <v/>
      </c>
      <c r="AQ257" s="231"/>
      <c r="AR257" s="150"/>
    </row>
    <row r="258" spans="1:44" ht="14.4" thickBot="1" x14ac:dyDescent="0.3">
      <c r="A258" s="31" t="str">
        <f>IF(E258="","",IF(ISNA(VLOOKUP($E258,'D-1 Off Site Habitat Baseline'!$D$1:$O$258,2,FALSE)),"",(VLOOKUP($E258,'D-1 Off Site Habitat Baseline'!$D$1:$O$258,2,FALSE))))</f>
        <v/>
      </c>
      <c r="B258" s="31" t="str">
        <f>IF(E258="","",IF(ISNA(VLOOKUP($E258,'D-1 Off Site Habitat Baseline'!$D$1:$O$258,3,FALSE)),"",(VLOOKUP($E258,'D-1 Off Site Habitat Baseline'!$D$1:$O$258,3,FALSE))))</f>
        <v/>
      </c>
      <c r="C258" s="31" t="str">
        <f>IFERROR(INDEX('G-8 Condition Look up'!$I$4:$I$130,MATCH(S258,'G-8 Condition Look up'!$A$4:$A$130,0)),"")</f>
        <v/>
      </c>
      <c r="E258" s="548" t="str">
        <f>'D-1 Off Site Habitat Baseline'!AL257</f>
        <v/>
      </c>
      <c r="F258" s="534" t="str">
        <f>IF(E258="","",IF(ISNA(VLOOKUP($E258,'D-1 Off Site Habitat Baseline'!$D$1:$O$258,4,FALSE)),"",(VLOOKUP($E258,'D-1 Off Site Habitat Baseline'!$D$1:$O$258,4,FALSE))))</f>
        <v/>
      </c>
      <c r="G258" s="534" t="str">
        <f>IF(E258="","",IF(ISNA(VLOOKUP($E258,'D-1 Off Site Habitat Baseline'!$D$1:$O$258,5,FALSE)),"",(VLOOKUP($E258,'D-1 Off Site Habitat Baseline'!$D$1:$O$258,5,FALSE))))</f>
        <v/>
      </c>
      <c r="H258" s="534" t="str">
        <f>IF(E258="","",IF(ISNA(VLOOKUP($E258,'D-1 Off Site Habitat Baseline'!$D$1:$O$258,6,FALSE)),"",(VLOOKUP($E258,'D-1 Off Site Habitat Baseline'!$D$1:$O$258,6,FALSE))))</f>
        <v/>
      </c>
      <c r="I258" s="534" t="str">
        <f>IF(E258="","",IF(ISNA(VLOOKUP($E258,'D-1 Off Site Habitat Baseline'!$D$1:$O$258,7,FALSE)),"",(VLOOKUP($E258,'D-1 Off Site Habitat Baseline'!$D$1:$O$258,7,FALSE))))</f>
        <v/>
      </c>
      <c r="J258" s="534" t="str">
        <f>IF(E258="","",IF(ISNA(VLOOKUP($E258,'D-1 Off Site Habitat Baseline'!$D$1:$O$258,8,FALSE)),"",(VLOOKUP($E258,'D-1 Off Site Habitat Baseline'!$D$1:$O$258,8,FALSE))))</f>
        <v/>
      </c>
      <c r="K258" s="534" t="str">
        <f>IF(E258="","",IF(ISNA(VLOOKUP($E258,'D-1 Off Site Habitat Baseline'!$D$1:$O$258,9,FALSE)),"",(VLOOKUP($E258,'D-1 Off Site Habitat Baseline'!$D$1:$O$258,9,FALSE))))</f>
        <v/>
      </c>
      <c r="L258" s="534" t="str">
        <f>IF(E258="","",IF(ISNA(VLOOKUP($E258,'D-1 Off Site Habitat Baseline'!$D$1:$O$258,11,FALSE)),"",(VLOOKUP($E258,'D-1 Off Site Habitat Baseline'!$D$1:$O$258,11,FALSE))))</f>
        <v/>
      </c>
      <c r="M258" s="534" t="str">
        <f>IF(E258="","",IF(ISNA(VLOOKUP($E258,'D-1 Off Site Habitat Baseline'!$D$1:$O$258,12,FALSE)),"",(VLOOKUP($E258,'D-1 Off Site Habitat Baseline'!$D$1:$O$258,12,FALSE))))</f>
        <v/>
      </c>
      <c r="N258" s="534" t="str">
        <f>IF(E258="","",IF(ISNA(VLOOKUP($E258,'D-1 Off Site Habitat Baseline'!$D$1:$X$258,14,FALSE)),"",(VLOOKUP($E258,'D-1 Off Site Habitat Baseline'!$D$1:$X$258,14,FALSE))))</f>
        <v/>
      </c>
      <c r="O258" s="536" t="str">
        <f>IF(E258="","",IF(ISNA(VLOOKUP($E258,'D-1 Off Site Habitat Baseline'!$D$1:$X$258,13,FALSE)),"",(VLOOKUP($E258,'D-1 Off Site Habitat Baseline'!$D$1:$X$258,13,FALSE))))</f>
        <v/>
      </c>
      <c r="P258" s="437" t="str">
        <f>IFERROR(INDEX('G-1 All Habitats'!$AG$3:$AG$15,MATCH(Q258,'G-1 All Habitats'!$AF$3:$AF$15,0)),"")</f>
        <v/>
      </c>
      <c r="Q258" s="438" t="str">
        <f t="shared" si="45"/>
        <v/>
      </c>
      <c r="R258" s="439" t="str">
        <f t="shared" si="46"/>
        <v/>
      </c>
      <c r="S258" s="440" t="str">
        <f>IFERROR(INDEX('G-1 All Habitats'!$B$3:$B$129,MATCH(R258,'G-1 All Habitats'!$A$3:$A$129,0)),"")</f>
        <v/>
      </c>
      <c r="T258" s="507" t="str">
        <f t="shared" si="38"/>
        <v/>
      </c>
      <c r="U258" s="524" t="str">
        <f t="shared" si="39"/>
        <v/>
      </c>
      <c r="V258" s="549" t="str">
        <f t="shared" si="36"/>
        <v/>
      </c>
      <c r="W258" s="534" t="str">
        <f>IF(S258="","",VLOOKUP(S258,'G-1 All Habitats'!$B$2:$M$129,10,FALSE))</f>
        <v/>
      </c>
      <c r="X258" s="534" t="str">
        <f>IFERROR(VLOOKUP(W258,'G-1 All Habitats'!$V$3:$W$7,2,FALSE),"")</f>
        <v/>
      </c>
      <c r="Y258" s="211"/>
      <c r="Z258" s="536" t="str">
        <f>IFERROR(INDEX('G-8 Condition Look up'!$A$3:$H$130,MATCH(S258,'G-8 Condition Look up'!$A$3:$A$130,0),MATCH(Y258,'G-8 Condition Look up'!$A$3:$H$3,0)),"")</f>
        <v/>
      </c>
      <c r="AA258" s="210"/>
      <c r="AB258" s="540" t="str">
        <f>IF(AA258="","",IF(VLOOKUP(AA258,'G-3 Multipliers'!$L$3:$N$6,2,FALSE)=0,"Spatial Data Missing ⚠",VLOOKUP(AA258,'G-3 Multipliers'!$L$3:$N$6,2,FALSE)))</f>
        <v/>
      </c>
      <c r="AC258" s="524" t="str">
        <f>IF(AA258="","",IF(VLOOKUP(AA258,'G-3 Multipliers'!$L$3:$N$6,3,FALSE)=0,"Spatial Data Missing ⚠",VLOOKUP(AA258,'G-3 Multipliers'!$L$3:$N$6,3,FALSE)))</f>
        <v/>
      </c>
      <c r="AD258" s="537" t="str">
        <f t="shared" si="37"/>
        <v/>
      </c>
      <c r="AE258" s="211"/>
      <c r="AF258" s="211"/>
      <c r="AG258" s="520" t="str">
        <f t="shared" si="40"/>
        <v/>
      </c>
      <c r="AH258" s="544" t="str">
        <f t="shared" si="41"/>
        <v/>
      </c>
      <c r="AI258" s="525" t="str">
        <f>IF(AH258="Check Data ⚠","Check Data ⚠",IFERROR(VLOOKUP(AH258,'G-4 Temporal multipliers'!$A$4:$C$36,3,FALSE),""))</f>
        <v/>
      </c>
      <c r="AJ258" s="538" t="str">
        <f>IF(S258="","",VLOOKUP(S258,'G-3 Multipliers'!$A$2:$E$129,4,FALSE))</f>
        <v/>
      </c>
      <c r="AK258" s="520" t="str">
        <f t="shared" si="42"/>
        <v/>
      </c>
      <c r="AL258" s="534" t="str">
        <f t="shared" si="43"/>
        <v/>
      </c>
      <c r="AM258" s="524" t="str">
        <f>IFERROR(IF(F258="","",IF(AH258="Check Data ⚠","Check Data ⚠",VLOOKUP(AL258, 'G-3 Multipliers'!$P$2:$Q$6,2,FALSE))),"")</f>
        <v/>
      </c>
      <c r="AN258" s="397"/>
      <c r="AO258" s="540" t="str">
        <f>IF(AN258="","",IF(VLOOKUP(AN258,'G-3 Multipliers'!$S$3:$T$9,2,FALSE)=0,"Spatial Data Missing ⚠",VLOOKUP(AN258,'G-3 Multipliers'!$S$3:$T$9,2,FALSE)))</f>
        <v/>
      </c>
      <c r="AP258" s="551" t="str">
        <f t="shared" si="44"/>
        <v/>
      </c>
      <c r="AQ258" s="441"/>
      <c r="AR258" s="442"/>
    </row>
    <row r="259" spans="1:44" ht="21.6" customHeight="1" thickBot="1" x14ac:dyDescent="0.3">
      <c r="E259" s="46"/>
      <c r="F259" s="46"/>
      <c r="G259" s="46"/>
      <c r="H259" s="46"/>
      <c r="I259" s="46"/>
      <c r="J259" s="46"/>
      <c r="K259" s="46"/>
      <c r="L259" s="46"/>
      <c r="M259" s="46"/>
      <c r="N259" s="46"/>
      <c r="O259" s="46"/>
      <c r="P259" s="46"/>
      <c r="Q259" s="46"/>
      <c r="R259" s="46"/>
      <c r="S259" s="46"/>
      <c r="T259" s="46"/>
      <c r="U259" s="224"/>
      <c r="V259" s="550">
        <f>SUM(V12:V258)</f>
        <v>0</v>
      </c>
      <c r="W259" s="46"/>
      <c r="X259" s="46"/>
      <c r="Y259" s="46"/>
      <c r="Z259" s="46"/>
      <c r="AA259" s="46"/>
      <c r="AB259" s="46"/>
      <c r="AC259" s="46"/>
      <c r="AD259" s="46"/>
      <c r="AE259" s="46"/>
      <c r="AF259" s="46"/>
      <c r="AG259" s="46"/>
      <c r="AH259" s="46"/>
      <c r="AI259" s="46"/>
      <c r="AJ259" s="46"/>
      <c r="AK259" s="46"/>
      <c r="AL259" s="46"/>
      <c r="AM259" s="46"/>
      <c r="AN259" s="436"/>
      <c r="AO259" s="436"/>
      <c r="AP259" s="552">
        <f>SUM(AP12:AP258)</f>
        <v>0</v>
      </c>
      <c r="AQ259" s="46"/>
      <c r="AR259" s="46"/>
    </row>
    <row r="260" spans="1:44" x14ac:dyDescent="0.25">
      <c r="V260" s="31" t="str">
        <f>IF(V259&lt;&gt;'D-1 Off Site Habitat Baseline'!T259,"Error - Area of habitat enhancement must match the area from sheet D1 ▲","")</f>
        <v/>
      </c>
    </row>
    <row r="261" spans="1:44" x14ac:dyDescent="0.25"/>
    <row r="262" spans="1:44" x14ac:dyDescent="0.25"/>
    <row r="263" spans="1:44" x14ac:dyDescent="0.25"/>
    <row r="264" spans="1:44" x14ac:dyDescent="0.25"/>
    <row r="265" spans="1:44" x14ac:dyDescent="0.25"/>
    <row r="266" spans="1:44" x14ac:dyDescent="0.25"/>
    <row r="267" spans="1:44" x14ac:dyDescent="0.25"/>
    <row r="268" spans="1:44" x14ac:dyDescent="0.25"/>
    <row r="269" spans="1:44" x14ac:dyDescent="0.25"/>
  </sheetData>
  <sheetProtection algorithmName="SHA-512" hashValue="OwHBmelk8JST2CPgodTTPj+cP4FWQZWpMiEo02KHhnjmDaWUhRugYkhJFInfcdMT6rDaEP9oFD9YIpMLyROxVQ==" saltValue="N6LIeGgEYgiHqZo63OLdh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E2:G2"/>
    <mergeCell ref="E3:G4"/>
    <mergeCell ref="AN10:AO10"/>
    <mergeCell ref="F10:O10"/>
    <mergeCell ref="Q9:AO9"/>
    <mergeCell ref="Q10:R10"/>
    <mergeCell ref="AD5:AI6"/>
    <mergeCell ref="AD2:AI3"/>
    <mergeCell ref="AQ10:AR10"/>
    <mergeCell ref="T10:U10"/>
    <mergeCell ref="AA10:AC10"/>
    <mergeCell ref="Z10:Z11"/>
    <mergeCell ref="Y10:Y11"/>
    <mergeCell ref="X10:X11"/>
    <mergeCell ref="W10:W11"/>
    <mergeCell ref="V10:V11"/>
    <mergeCell ref="AD10:AI10"/>
    <mergeCell ref="AJ10:AM10"/>
    <mergeCell ref="AP10:AP11"/>
  </mergeCells>
  <conditionalFormatting sqref="Z12">
    <cfRule type="containsText" dxfId="154" priority="40" operator="containsText" text="Not Possible">
      <formula>NOT(ISERROR(SEARCH("Not Possible",Z12)))</formula>
    </cfRule>
  </conditionalFormatting>
  <conditionalFormatting sqref="AN12:AN24">
    <cfRule type="containsText" dxfId="153" priority="37" operator="containsText" text="Existing Value Not Required">
      <formula>NOT(ISERROR(SEARCH("Existing Value Not Required",AN12)))</formula>
    </cfRule>
    <cfRule type="containsText" dxfId="152" priority="38" operator="containsText" text="Existing Value Required">
      <formula>NOT(ISERROR(SEARCH("Existing Value Required",AN12)))</formula>
    </cfRule>
  </conditionalFormatting>
  <conditionalFormatting sqref="Z13">
    <cfRule type="containsText" dxfId="151" priority="19" operator="containsText" text="Not Possible">
      <formula>NOT(ISERROR(SEARCH("Not Possible",Z13)))</formula>
    </cfRule>
  </conditionalFormatting>
  <conditionalFormatting sqref="AN13">
    <cfRule type="containsText" dxfId="150" priority="17" operator="containsText" text="Existing Value Not Required">
      <formula>NOT(ISERROR(SEARCH("Existing Value Not Required",AN13)))</formula>
    </cfRule>
    <cfRule type="containsText" dxfId="149" priority="18" operator="containsText" text="Existing Value Required">
      <formula>NOT(ISERROR(SEARCH("Existing Value Required",AN13)))</formula>
    </cfRule>
  </conditionalFormatting>
  <conditionalFormatting sqref="AN14:AN258">
    <cfRule type="containsText" dxfId="148" priority="14" operator="containsText" text="Existing Value Not Required">
      <formula>NOT(ISERROR(SEARCH("Existing Value Not Required",AN14)))</formula>
    </cfRule>
    <cfRule type="containsText" dxfId="147" priority="15" operator="containsText" text="Existing Value Required">
      <formula>NOT(ISERROR(SEARCH("Existing Value Required",AN14)))</formula>
    </cfRule>
  </conditionalFormatting>
  <conditionalFormatting sqref="Z14:Z258">
    <cfRule type="containsText" dxfId="146" priority="16" operator="containsText" text="Not Possible">
      <formula>NOT(ISERROR(SEARCH("Not Possible",Z14)))</formula>
    </cfRule>
  </conditionalFormatting>
  <conditionalFormatting sqref="AP12:AP258">
    <cfRule type="containsText" dxfId="145" priority="12" operator="containsText" text="Existing Value Not Required">
      <formula>NOT(ISERROR(SEARCH("Existing Value Not Required",AP12)))</formula>
    </cfRule>
    <cfRule type="containsText" dxfId="144" priority="13" operator="containsText" text="Existing Value Required">
      <formula>NOT(ISERROR(SEARCH("Existing Value Required",AP12)))</formula>
    </cfRule>
  </conditionalFormatting>
  <conditionalFormatting sqref="O12:O258">
    <cfRule type="beginsWith" dxfId="143" priority="8" operator="beginsWith" text="Bespoke">
      <formula>LEFT(O12,LEN("Bespoke"))="Bespoke"</formula>
    </cfRule>
    <cfRule type="beginsWith" dxfId="142" priority="9" operator="beginsWith" text="Same distinctiveness">
      <formula>LEFT(O12,LEN("Same distinctiveness"))="Same distinctiveness"</formula>
    </cfRule>
    <cfRule type="beginsWith" dxfId="141" priority="10" operator="beginsWith" text="Same broad">
      <formula>LEFT(O12,LEN("Same broad"))="Same broad"</formula>
    </cfRule>
    <cfRule type="beginsWith" dxfId="140" priority="11" operator="beginsWith" text="Same Habitat">
      <formula>LEFT(O12,LEN("Same Habitat"))="Same Habitat"</formula>
    </cfRule>
  </conditionalFormatting>
  <conditionalFormatting sqref="T12:AP258">
    <cfRule type="containsText" dxfId="139" priority="7" operator="containsText" text="Error">
      <formula>NOT(ISERROR(SEARCH("Error",T12)))</formula>
    </cfRule>
  </conditionalFormatting>
  <conditionalFormatting sqref="AB12:AC258">
    <cfRule type="containsText" dxfId="138" priority="6" operator="containsText" text="Spatial">
      <formula>NOT(ISERROR(SEARCH("Spatial",AB12)))</formula>
    </cfRule>
  </conditionalFormatting>
  <conditionalFormatting sqref="AD2">
    <cfRule type="containsText" dxfId="137" priority="5" operator="containsText" text="Note">
      <formula>NOT(ISERROR(SEARCH("Note",AD2)))</formula>
    </cfRule>
  </conditionalFormatting>
  <conditionalFormatting sqref="AD12:AP258">
    <cfRule type="containsText" dxfId="136" priority="4" operator="containsText" text="Check">
      <formula>NOT(ISERROR(SEARCH("Check",AD12)))</formula>
    </cfRule>
  </conditionalFormatting>
  <conditionalFormatting sqref="AO12:AO258">
    <cfRule type="containsText" dxfId="135" priority="3" operator="containsText" text="Spatial">
      <formula>NOT(ISERROR(SEARCH("Spatial",AO12)))</formula>
    </cfRule>
  </conditionalFormatting>
  <conditionalFormatting sqref="V260">
    <cfRule type="containsText" dxfId="134" priority="2" operator="containsText" text="Error">
      <formula>NOT(ISERROR(SEARCH("Error",V260)))</formula>
    </cfRule>
  </conditionalFormatting>
  <conditionalFormatting sqref="AD5">
    <cfRule type="containsText" dxfId="133" priority="1" operator="containsText" text="Change">
      <formula>NOT(ISERROR(SEARCH("Change",AD5)))</formula>
    </cfRule>
  </conditionalFormatting>
  <dataValidations count="3">
    <dataValidation type="list" allowBlank="1" showInputMessage="1" showErrorMessage="1" sqref="R12:R258" xr:uid="{00000000-0002-0000-0E00-000000000000}">
      <formula1>INDIRECT(P12)</formula1>
    </dataValidation>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4000000}">
          <x14:formula1>
            <xm:f>'G-3 Multipliers'!$S$4:$S$9</xm:f>
          </x14:formula1>
          <xm:sqref>AN12:AN258</xm:sqref>
        </x14:dataValidation>
        <x14:dataValidation type="list" allowBlank="1" showInputMessage="1" showErrorMessage="1" xr:uid="{00000000-0002-0000-0E00-000006000000}">
          <x14:formula1>
            <xm:f>'G-4 Temporal multipliers'!$A$41:$A$72</xm:f>
          </x14:formula1>
          <xm:sqref>AE12:AF258</xm:sqref>
        </x14:dataValidation>
        <x14:dataValidation type="list" allowBlank="1" showInputMessage="1" showErrorMessage="1" xr:uid="{00000000-0002-0000-0E00-000005000000}">
          <x14:formula1>
            <xm:f>'G-1 All Habitats'!$AF$3:$AF$15</xm:f>
          </x14:formula1>
          <xm:sqref>Q12:Q258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showRowColHeaders="0" zoomScale="70" zoomScaleNormal="70" workbookViewId="0">
      <pane ySplit="9" topLeftCell="A10" activePane="bottomLeft" state="frozen"/>
      <selection activeCell="S28" sqref="S28"/>
      <selection pane="bottomLeft" activeCell="K26" sqref="K26"/>
    </sheetView>
  </sheetViews>
  <sheetFormatPr defaultColWidth="8.88671875" defaultRowHeight="0" customHeight="1" zeroHeight="1" x14ac:dyDescent="0.25"/>
  <cols>
    <col min="1" max="1" width="3" style="31" customWidth="1"/>
    <col min="2" max="2" width="11.88671875" style="31" customWidth="1"/>
    <col min="3" max="3" width="12.6640625" style="31" customWidth="1"/>
    <col min="4" max="4" width="62.5546875" style="31" customWidth="1"/>
    <col min="5" max="5" width="10.6640625" style="31" customWidth="1"/>
    <col min="6" max="6" width="19.109375" style="31" customWidth="1"/>
    <col min="7" max="7" width="8.6640625" style="31" customWidth="1"/>
    <col min="8" max="8" width="14.33203125" style="31" bestFit="1" customWidth="1"/>
    <col min="9" max="9" width="8.44140625" style="31" customWidth="1"/>
    <col min="10" max="10" width="41.6640625" style="31" customWidth="1"/>
    <col min="11" max="11" width="21.44140625" style="31" customWidth="1"/>
    <col min="12" max="12" width="13.109375" style="31" customWidth="1"/>
    <col min="13" max="13" width="20.6640625" style="31" customWidth="1"/>
    <col min="14" max="14" width="13.33203125" style="31" customWidth="1"/>
    <col min="15" max="15" width="3.6640625" style="31" customWidth="1"/>
    <col min="16" max="17" width="12" style="31" customWidth="1"/>
    <col min="18" max="18" width="10.109375" style="31" customWidth="1"/>
    <col min="19" max="19" width="12" style="31" customWidth="1"/>
    <col min="20" max="21" width="8.6640625" style="31" customWidth="1"/>
    <col min="22" max="23" width="50.109375" style="31" customWidth="1"/>
    <col min="24" max="28" width="8.88671875" style="31" customWidth="1"/>
    <col min="29" max="30" width="8.88671875" style="31"/>
    <col min="31" max="31" width="9" style="31" hidden="1" customWidth="1"/>
    <col min="32" max="32" width="9.5546875" style="31" hidden="1" customWidth="1"/>
    <col min="33" max="33" width="0" style="31" hidden="1" customWidth="1"/>
    <col min="34" max="34" width="11.88671875" style="31" hidden="1" customWidth="1"/>
    <col min="35" max="35" width="0" style="31" hidden="1" customWidth="1"/>
    <col min="36" max="36" width="9" style="31" hidden="1" customWidth="1"/>
    <col min="37" max="37" width="9.5546875" style="31" hidden="1" customWidth="1"/>
    <col min="38" max="38" width="15.88671875" style="31" hidden="1" customWidth="1"/>
    <col min="39" max="16384" width="8.88671875" style="31"/>
  </cols>
  <sheetData>
    <row r="1" spans="2:38" ht="15.75" customHeight="1" thickBot="1" x14ac:dyDescent="0.3"/>
    <row r="2" spans="2:38" ht="20.25" customHeight="1" thickBot="1" x14ac:dyDescent="0.3">
      <c r="B2" s="744" t="str">
        <f>IF([1]Start!$F$12="","",[1]Start!$F$12)</f>
        <v/>
      </c>
      <c r="C2" s="745"/>
      <c r="D2" s="746"/>
    </row>
    <row r="3" spans="2:38" ht="20.399999999999999" customHeight="1" x14ac:dyDescent="0.25">
      <c r="B3" s="975" t="str">
        <f ca="1">MID(CELL("filename",A1),FIND("]",CELL("filename",A1))+1,256)</f>
        <v>B-1 Site Hedge Baseline</v>
      </c>
      <c r="C3" s="976"/>
      <c r="D3" s="977"/>
    </row>
    <row r="4" spans="2:38" ht="10.95" customHeight="1" thickBot="1" x14ac:dyDescent="0.3">
      <c r="B4" s="978"/>
      <c r="C4" s="979"/>
      <c r="D4" s="980"/>
    </row>
    <row r="5" spans="2:38" ht="15.75" customHeight="1" x14ac:dyDescent="0.25"/>
    <row r="6" spans="2:38" ht="20.399999999999999" customHeight="1" x14ac:dyDescent="0.25"/>
    <row r="7" spans="2:38" ht="45" customHeight="1" thickBot="1" x14ac:dyDescent="0.3">
      <c r="B7" s="132"/>
      <c r="C7" s="132"/>
      <c r="E7" s="131"/>
    </row>
    <row r="8" spans="2:38" s="42" customFormat="1" ht="28.5" customHeight="1" thickBot="1" x14ac:dyDescent="0.3">
      <c r="B8" s="40"/>
      <c r="C8" s="967" t="s">
        <v>292</v>
      </c>
      <c r="D8" s="968"/>
      <c r="E8" s="969"/>
      <c r="F8" s="940" t="s">
        <v>272</v>
      </c>
      <c r="G8" s="940"/>
      <c r="H8" s="940" t="s">
        <v>273</v>
      </c>
      <c r="I8" s="940"/>
      <c r="J8" s="940" t="s">
        <v>191</v>
      </c>
      <c r="K8" s="940"/>
      <c r="L8" s="940"/>
      <c r="M8" s="970" t="s">
        <v>192</v>
      </c>
      <c r="N8" s="167" t="s">
        <v>193</v>
      </c>
      <c r="O8" s="31"/>
      <c r="P8" s="967" t="s">
        <v>194</v>
      </c>
      <c r="Q8" s="968"/>
      <c r="R8" s="968"/>
      <c r="S8" s="968"/>
      <c r="T8" s="968"/>
      <c r="U8" s="969"/>
      <c r="V8" s="967" t="s">
        <v>196</v>
      </c>
      <c r="W8" s="969"/>
    </row>
    <row r="9" spans="2:38" ht="45.75" customHeight="1" thickBot="1" x14ac:dyDescent="0.3">
      <c r="B9" s="135" t="s">
        <v>254</v>
      </c>
      <c r="C9" s="201" t="s">
        <v>293</v>
      </c>
      <c r="D9" s="201" t="s">
        <v>99</v>
      </c>
      <c r="E9" s="202" t="s">
        <v>294</v>
      </c>
      <c r="F9" s="368" t="s">
        <v>189</v>
      </c>
      <c r="G9" s="202" t="s">
        <v>206</v>
      </c>
      <c r="H9" s="368" t="s">
        <v>190</v>
      </c>
      <c r="I9" s="202" t="s">
        <v>206</v>
      </c>
      <c r="J9" s="368" t="s">
        <v>191</v>
      </c>
      <c r="K9" s="201" t="s">
        <v>191</v>
      </c>
      <c r="L9" s="202" t="s">
        <v>231</v>
      </c>
      <c r="M9" s="971"/>
      <c r="N9" s="207" t="s">
        <v>295</v>
      </c>
      <c r="P9" s="368" t="s">
        <v>296</v>
      </c>
      <c r="Q9" s="201" t="s">
        <v>297</v>
      </c>
      <c r="R9" s="201" t="s">
        <v>298</v>
      </c>
      <c r="S9" s="201" t="s">
        <v>299</v>
      </c>
      <c r="T9" s="201" t="s">
        <v>300</v>
      </c>
      <c r="U9" s="202" t="s">
        <v>214</v>
      </c>
      <c r="V9" s="208" t="s">
        <v>215</v>
      </c>
      <c r="W9" s="209" t="s">
        <v>216</v>
      </c>
      <c r="AE9" s="156" t="s">
        <v>219</v>
      </c>
      <c r="AF9" s="156" t="s">
        <v>220</v>
      </c>
      <c r="AH9" s="156" t="s">
        <v>222</v>
      </c>
      <c r="AJ9" s="156" t="s">
        <v>219</v>
      </c>
      <c r="AK9" s="156" t="s">
        <v>220</v>
      </c>
      <c r="AL9" s="131" t="s">
        <v>200</v>
      </c>
    </row>
    <row r="10" spans="2:38" ht="27.6" x14ac:dyDescent="0.25">
      <c r="B10" s="141">
        <v>1</v>
      </c>
      <c r="C10" s="203">
        <v>1</v>
      </c>
      <c r="D10" s="203" t="s">
        <v>119</v>
      </c>
      <c r="E10" s="153">
        <v>3.7999999999999999E-2</v>
      </c>
      <c r="F10" s="553" t="str">
        <f>IF(D10="","",VLOOKUP(D10,'G-6 Hedgerow Data'!$B$2:$AG$15,2,FALSE))</f>
        <v>V.Low</v>
      </c>
      <c r="G10" s="499">
        <f>IF(D10="","",VLOOKUP(D10,'G-6 Hedgerow Data'!$B$2:$AG$15,3,FALSE))</f>
        <v>1</v>
      </c>
      <c r="H10" s="145" t="s">
        <v>242</v>
      </c>
      <c r="I10" s="499">
        <f>IFERROR(VLOOKUP(H10,'G-1 All Habitats'!$Z$2:$AA$9,2,FALSE),"")</f>
        <v>1</v>
      </c>
      <c r="J10" s="145" t="s">
        <v>913</v>
      </c>
      <c r="K10" s="520" t="str">
        <f>IF(J10="","",IF(VLOOKUP(J10,'G-3 Multipliers'!$L$3:$N$6,2,FALSE)=0,"Spatial Data Missing",VLOOKUP(J10,'G-3 Multipliers'!$L$3:$N$6,2,FALSE)))</f>
        <v xml:space="preserve">High strategic significance </v>
      </c>
      <c r="L10" s="505">
        <f>IF(J10="","",IF(VLOOKUP(J10,'G-3 Multipliers'!$L$3:$N$6,3,FALSE)=0,"Spatial Data Missing ⚠",VLOOKUP(J10,'G-3 Multipliers'!$L$3:$N$6,3,FALSE)))</f>
        <v>1.1499999999999999</v>
      </c>
      <c r="M10" s="506" t="str">
        <f>IF(D10="","",VLOOKUP(D10,'G-6 Hedgerow Data'!$B$1:$AH$15,33,FALSE))</f>
        <v>Same distinctiveness band or better</v>
      </c>
      <c r="N10" s="513">
        <f>IFERROR(E10*G10*I10*L10,"")</f>
        <v>4.3699999999999996E-2</v>
      </c>
      <c r="O10" s="40"/>
      <c r="P10" s="154">
        <v>3.7999999999999999E-2</v>
      </c>
      <c r="Q10" s="203"/>
      <c r="R10" s="532">
        <f>IFERROR(P10*G10*I10*L10,"")</f>
        <v>4.3699999999999996E-2</v>
      </c>
      <c r="S10" s="532">
        <f>IFERROR(Q10*G10*I10*L10,"")</f>
        <v>0</v>
      </c>
      <c r="T10" s="532">
        <f>IF(D10="","",IF(E10-P10-Q10=0&lt;0,"Error in lengths ▲",IF(P10+Q10&gt;E10,"Error in Lengths ▲",E10-P10-Q10)))</f>
        <v>0</v>
      </c>
      <c r="U10" s="557">
        <f>IF(OR(E10="",N10=""),"",IF(E10-P10-Q10=0&lt;0,"Error in Lengths ▲",IF(P10+Q10&gt;E10,"Error in Lengths ▲",N10-R10-S10)))</f>
        <v>0</v>
      </c>
      <c r="V10" s="169" t="s">
        <v>1566</v>
      </c>
      <c r="W10" s="170"/>
      <c r="AE10" s="156" t="b">
        <f t="shared" ref="AE10:AE73" si="0">IF(D10="","",IF(P10&gt;0,TRUE,FALSE))</f>
        <v>1</v>
      </c>
      <c r="AF10" s="156" t="b">
        <f t="shared" ref="AF10:AF73" si="1">IF(D10="","",IF(Q10&gt;0,TRUE,FALSE))</f>
        <v>0</v>
      </c>
      <c r="AH10" s="156">
        <v>1</v>
      </c>
      <c r="AJ10" s="156">
        <f t="array" ref="AJ10">IFERROR(INDEX($AH$10:$AH$258, MATCH(0, IF(TRUE=$AE$10:$AE$258, COUNTIF($AJ9:$AJ$9, $AH$10:$AH$258), ""), 0)),"")</f>
        <v>1</v>
      </c>
      <c r="AK10" s="156" t="str">
        <f t="array" ref="AK10">IFERROR(INDEX($AH$10:$AH$258, MATCH(0, IF(TRUE=$AF$10:$AF$258, COUNTIF($AK9:$AK$9, $AH$10:$AH$258), ""), 0)),"")</f>
        <v/>
      </c>
      <c r="AL10" s="31" t="str">
        <f>IFERROR(INDEX('G-6 Hedgerow Data'!$BJ$3:$BJ$15,MATCH(D10,'G-6 Hedgerow Data'!$B$3:$B$15,0)),"")</f>
        <v>Hedgecond2</v>
      </c>
    </row>
    <row r="11" spans="2:38" ht="13.8" x14ac:dyDescent="0.25">
      <c r="B11" s="141">
        <v>2</v>
      </c>
      <c r="C11" s="203"/>
      <c r="D11" s="203"/>
      <c r="E11" s="153"/>
      <c r="F11" s="553" t="str">
        <f>IF(D11="","",VLOOKUP(D11,'G-6 Hedgerow Data'!$B$2:$AG$15,2,FALSE))</f>
        <v/>
      </c>
      <c r="G11" s="499" t="str">
        <f>IF(D11="","",VLOOKUP(D11,'G-6 Hedgerow Data'!$B$2:$AG$15,3,FALSE))</f>
        <v/>
      </c>
      <c r="H11" s="145"/>
      <c r="I11" s="499" t="str">
        <f>IFERROR(VLOOKUP(H11,'G-1 All Habitats'!$Z$2:$AA$9,2,FALSE),"")</f>
        <v/>
      </c>
      <c r="J11" s="145"/>
      <c r="K11" s="507" t="str">
        <f>IF(J11="","",IF(VLOOKUP(J11,'G-3 Multipliers'!$L$3:$N$6,2,FALSE)=0,"Spatial Data Missing",VLOOKUP(J11,'G-3 Multipliers'!$L$3:$N$6,2,FALSE)))</f>
        <v/>
      </c>
      <c r="L11" s="505" t="str">
        <f>IF(J11="","",IF(VLOOKUP(J11,'G-3 Multipliers'!$L$3:$N$6,3,FALSE)=0,"Spatial Data Missing ⚠",VLOOKUP(J11,'G-3 Multipliers'!$L$3:$N$6,3,FALSE)))</f>
        <v/>
      </c>
      <c r="M11" s="506" t="str">
        <f>IF(D11="","",VLOOKUP(D11,'G-6 Hedgerow Data'!$B$1:$AH$15,33,FALSE))</f>
        <v/>
      </c>
      <c r="N11" s="513" t="str">
        <f t="shared" ref="N11:N74" si="2">IFERROR(E11*G11*I11*L11,"")</f>
        <v/>
      </c>
      <c r="O11" s="40"/>
      <c r="P11" s="154"/>
      <c r="Q11" s="203"/>
      <c r="R11" s="532" t="str">
        <f t="shared" ref="R11:R74" si="3">IFERROR(P11*G11*I11*L11,"")</f>
        <v/>
      </c>
      <c r="S11" s="532" t="str">
        <f t="shared" ref="S11:S74" si="4">IFERROR(Q11*G11*I11*L11,"")</f>
        <v/>
      </c>
      <c r="T11" s="532" t="str">
        <f t="shared" ref="T11:T74" si="5">IF(D11="","",IF(E11-P11-Q11=0&lt;0,"Error in lengths ▲",IF(P11+Q11&gt;E11,"Error in Lengths ▲",E11-P11-Q11)))</f>
        <v/>
      </c>
      <c r="U11" s="557" t="str">
        <f>IF(OR(E11="",N11=""),"",IF(E11-P11-Q11=0&lt;0,"Error in Lengths ▲",IF(P11+Q11&gt;E11,"Error in Lengths ▲",N11-R11-S11)))</f>
        <v/>
      </c>
      <c r="V11" s="151"/>
      <c r="W11" s="152"/>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c r="AL11" s="31" t="str">
        <f>IFERROR(INDEX('G-6 Hedgerow Data'!$BJ$3:$BJ$15,MATCH(D11,'G-6 Hedgerow Data'!$B$3:$B$15,0)),"")</f>
        <v/>
      </c>
    </row>
    <row r="12" spans="2:38" ht="13.8" x14ac:dyDescent="0.25">
      <c r="B12" s="141">
        <v>3</v>
      </c>
      <c r="C12" s="203"/>
      <c r="D12" s="203"/>
      <c r="E12" s="153"/>
      <c r="F12" s="553" t="str">
        <f>IF(D12="","",VLOOKUP(D12,'G-6 Hedgerow Data'!$B$2:$AG$15,2,FALSE))</f>
        <v/>
      </c>
      <c r="G12" s="499" t="str">
        <f>IF(D12="","",VLOOKUP(D12,'G-6 Hedgerow Data'!$B$2:$AG$15,3,FALSE))</f>
        <v/>
      </c>
      <c r="H12" s="145"/>
      <c r="I12" s="499" t="str">
        <f>IFERROR(VLOOKUP(H12,'G-1 All Habitats'!$Z$2:$AA$9,2,FALSE),"")</f>
        <v/>
      </c>
      <c r="J12" s="145"/>
      <c r="K12" s="507" t="str">
        <f>IF(J12="","",IF(VLOOKUP(J12,'G-3 Multipliers'!$L$3:$N$6,2,FALSE)=0,"Spatial Data Missing",VLOOKUP(J12,'G-3 Multipliers'!$L$3:$N$6,2,FALSE)))</f>
        <v/>
      </c>
      <c r="L12" s="505" t="str">
        <f>IF(J12="","",IF(VLOOKUP(J12,'G-3 Multipliers'!$L$3:$N$6,3,FALSE)=0,"Spatial Data Missing ⚠",VLOOKUP(J12,'G-3 Multipliers'!$L$3:$N$6,3,FALSE)))</f>
        <v/>
      </c>
      <c r="M12" s="506" t="str">
        <f>IF(D12="","",VLOOKUP(D12,'G-6 Hedgerow Data'!$B$1:$AH$15,33,FALSE))</f>
        <v/>
      </c>
      <c r="N12" s="513" t="str">
        <f t="shared" si="2"/>
        <v/>
      </c>
      <c r="O12" s="40"/>
      <c r="P12" s="154"/>
      <c r="Q12" s="203"/>
      <c r="R12" s="532" t="str">
        <f t="shared" si="3"/>
        <v/>
      </c>
      <c r="S12" s="532" t="str">
        <f t="shared" si="4"/>
        <v/>
      </c>
      <c r="T12" s="532" t="str">
        <f t="shared" si="5"/>
        <v/>
      </c>
      <c r="U12" s="557" t="str">
        <f t="shared" ref="U12:U75" si="6">IF(OR(E12="",N12=""),"",IF(E12-P12-Q12=0&lt;0,"Error in Lengths ▲",IF(P12+Q12&gt;E12,"Error in Lengths ▲",N12-R12-S12)))</f>
        <v/>
      </c>
      <c r="V12" s="151"/>
      <c r="W12" s="152"/>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c r="AL12" s="31" t="str">
        <f>IFERROR(INDEX('G-6 Hedgerow Data'!$BJ$3:$BJ$15,MATCH(D12,'G-6 Hedgerow Data'!$B$3:$B$15,0)),"")</f>
        <v/>
      </c>
    </row>
    <row r="13" spans="2:38" ht="13.8" x14ac:dyDescent="0.25">
      <c r="B13" s="141">
        <v>4</v>
      </c>
      <c r="C13" s="203"/>
      <c r="D13" s="203"/>
      <c r="E13" s="153"/>
      <c r="F13" s="553" t="str">
        <f>IF(D13="","",VLOOKUP(D13,'G-6 Hedgerow Data'!$B$2:$AG$15,2,FALSE))</f>
        <v/>
      </c>
      <c r="G13" s="499" t="str">
        <f>IF(D13="","",VLOOKUP(D13,'G-6 Hedgerow Data'!$B$2:$AG$15,3,FALSE))</f>
        <v/>
      </c>
      <c r="H13" s="145"/>
      <c r="I13" s="499" t="str">
        <f>IFERROR(VLOOKUP(H13,'G-1 All Habitats'!$Z$2:$AA$9,2,FALSE),"")</f>
        <v/>
      </c>
      <c r="J13" s="145"/>
      <c r="K13" s="507" t="str">
        <f>IF(J13="","",IF(VLOOKUP(J13,'G-3 Multipliers'!$L$3:$N$6,2,FALSE)=0,"Spatial Data Missing",VLOOKUP(J13,'G-3 Multipliers'!$L$3:$N$6,2,FALSE)))</f>
        <v/>
      </c>
      <c r="L13" s="505" t="str">
        <f>IF(J13="","",IF(VLOOKUP(J13,'G-3 Multipliers'!$L$3:$N$6,3,FALSE)=0,"Spatial Data Missing ⚠",VLOOKUP(J13,'G-3 Multipliers'!$L$3:$N$6,3,FALSE)))</f>
        <v/>
      </c>
      <c r="M13" s="506" t="str">
        <f>IF(D13="","",VLOOKUP(D13,'G-6 Hedgerow Data'!$B$1:$AH$15,33,FALSE))</f>
        <v/>
      </c>
      <c r="N13" s="513" t="str">
        <f t="shared" si="2"/>
        <v/>
      </c>
      <c r="O13" s="40"/>
      <c r="P13" s="154"/>
      <c r="Q13" s="203"/>
      <c r="R13" s="532" t="str">
        <f t="shared" si="3"/>
        <v/>
      </c>
      <c r="S13" s="532" t="str">
        <f t="shared" si="4"/>
        <v/>
      </c>
      <c r="T13" s="532" t="str">
        <f t="shared" si="5"/>
        <v/>
      </c>
      <c r="U13" s="557" t="str">
        <f t="shared" si="6"/>
        <v/>
      </c>
      <c r="V13" s="151"/>
      <c r="W13" s="152"/>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c r="AL13" s="31" t="str">
        <f>IFERROR(INDEX('G-6 Hedgerow Data'!$BJ$3:$BJ$15,MATCH(D13,'G-6 Hedgerow Data'!$B$3:$B$15,0)),"")</f>
        <v/>
      </c>
    </row>
    <row r="14" spans="2:38" ht="13.8" x14ac:dyDescent="0.25">
      <c r="B14" s="141">
        <v>5</v>
      </c>
      <c r="C14" s="203"/>
      <c r="D14" s="203"/>
      <c r="E14" s="153"/>
      <c r="F14" s="553" t="str">
        <f>IF(D14="","",VLOOKUP(D14,'G-6 Hedgerow Data'!$B$2:$AG$15,2,FALSE))</f>
        <v/>
      </c>
      <c r="G14" s="499" t="str">
        <f>IF(D14="","",VLOOKUP(D14,'G-6 Hedgerow Data'!$B$2:$AG$15,3,FALSE))</f>
        <v/>
      </c>
      <c r="H14" s="145"/>
      <c r="I14" s="499" t="str">
        <f>IFERROR(VLOOKUP(H14,'G-1 All Habitats'!$Z$2:$AA$9,2,FALSE),"")</f>
        <v/>
      </c>
      <c r="J14" s="145"/>
      <c r="K14" s="507" t="str">
        <f>IF(J14="","",IF(VLOOKUP(J14,'G-3 Multipliers'!$L$3:$N$6,2,FALSE)=0,"Spatial Data Missing",VLOOKUP(J14,'G-3 Multipliers'!$L$3:$N$6,2,FALSE)))</f>
        <v/>
      </c>
      <c r="L14" s="505" t="str">
        <f>IF(J14="","",IF(VLOOKUP(J14,'G-3 Multipliers'!$L$3:$N$6,3,FALSE)=0,"Spatial Data Missing ⚠",VLOOKUP(J14,'G-3 Multipliers'!$L$3:$N$6,3,FALSE)))</f>
        <v/>
      </c>
      <c r="M14" s="506" t="str">
        <f>IF(D14="","",VLOOKUP(D14,'G-6 Hedgerow Data'!$B$1:$AH$15,33,FALSE))</f>
        <v/>
      </c>
      <c r="N14" s="513" t="str">
        <f t="shared" si="2"/>
        <v/>
      </c>
      <c r="O14" s="40"/>
      <c r="P14" s="154"/>
      <c r="Q14" s="203"/>
      <c r="R14" s="532" t="str">
        <f t="shared" si="3"/>
        <v/>
      </c>
      <c r="S14" s="532" t="str">
        <f t="shared" si="4"/>
        <v/>
      </c>
      <c r="T14" s="532" t="str">
        <f t="shared" si="5"/>
        <v/>
      </c>
      <c r="U14" s="557" t="str">
        <f t="shared" si="6"/>
        <v/>
      </c>
      <c r="V14" s="151"/>
      <c r="W14" s="152"/>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c r="AL14" s="31" t="str">
        <f>IFERROR(INDEX('G-6 Hedgerow Data'!$BJ$3:$BJ$15,MATCH(D14,'G-6 Hedgerow Data'!$B$3:$B$15,0)),"")</f>
        <v/>
      </c>
    </row>
    <row r="15" spans="2:38" ht="13.8" x14ac:dyDescent="0.25">
      <c r="B15" s="141">
        <v>6</v>
      </c>
      <c r="C15" s="203"/>
      <c r="D15" s="203"/>
      <c r="E15" s="153"/>
      <c r="F15" s="553" t="str">
        <f>IF(D15="","",VLOOKUP(D15,'G-6 Hedgerow Data'!$B$2:$AG$15,2,FALSE))</f>
        <v/>
      </c>
      <c r="G15" s="499" t="str">
        <f>IF(D15="","",VLOOKUP(D15,'G-6 Hedgerow Data'!$B$2:$AG$15,3,FALSE))</f>
        <v/>
      </c>
      <c r="H15" s="145"/>
      <c r="I15" s="499" t="str">
        <f>IFERROR(VLOOKUP(H15,'G-1 All Habitats'!$Z$2:$AA$9,2,FALSE),"")</f>
        <v/>
      </c>
      <c r="J15" s="145"/>
      <c r="K15" s="507" t="str">
        <f>IF(J15="","",IF(VLOOKUP(J15,'G-3 Multipliers'!$L$3:$N$6,2,FALSE)=0,"Spatial Data Missing",VLOOKUP(J15,'G-3 Multipliers'!$L$3:$N$6,2,FALSE)))</f>
        <v/>
      </c>
      <c r="L15" s="505" t="str">
        <f>IF(J15="","",IF(VLOOKUP(J15,'G-3 Multipliers'!$L$3:$N$6,3,FALSE)=0,"Spatial Data Missing ⚠",VLOOKUP(J15,'G-3 Multipliers'!$L$3:$N$6,3,FALSE)))</f>
        <v/>
      </c>
      <c r="M15" s="506" t="str">
        <f>IF(D15="","",VLOOKUP(D15,'G-6 Hedgerow Data'!$B$1:$AH$15,33,FALSE))</f>
        <v/>
      </c>
      <c r="N15" s="513" t="str">
        <f t="shared" si="2"/>
        <v/>
      </c>
      <c r="O15" s="40"/>
      <c r="P15" s="154"/>
      <c r="Q15" s="203"/>
      <c r="R15" s="532" t="str">
        <f t="shared" si="3"/>
        <v/>
      </c>
      <c r="S15" s="532" t="str">
        <f t="shared" si="4"/>
        <v/>
      </c>
      <c r="T15" s="532" t="str">
        <f t="shared" si="5"/>
        <v/>
      </c>
      <c r="U15" s="557" t="str">
        <f t="shared" si="6"/>
        <v/>
      </c>
      <c r="V15" s="151"/>
      <c r="W15" s="152"/>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c r="AL15" s="31" t="str">
        <f>IFERROR(INDEX('G-6 Hedgerow Data'!$BJ$3:$BJ$15,MATCH(D15,'G-6 Hedgerow Data'!$B$3:$B$15,0)),"")</f>
        <v/>
      </c>
    </row>
    <row r="16" spans="2:38" ht="13.8" x14ac:dyDescent="0.25">
      <c r="B16" s="141">
        <v>7</v>
      </c>
      <c r="C16" s="203"/>
      <c r="D16" s="203"/>
      <c r="E16" s="153"/>
      <c r="F16" s="553" t="str">
        <f>IF(D16="","",VLOOKUP(D16,'G-6 Hedgerow Data'!$B$2:$AG$15,2,FALSE))</f>
        <v/>
      </c>
      <c r="G16" s="499" t="str">
        <f>IF(D16="","",VLOOKUP(D16,'G-6 Hedgerow Data'!$B$2:$AG$15,3,FALSE))</f>
        <v/>
      </c>
      <c r="H16" s="145"/>
      <c r="I16" s="499" t="str">
        <f>IFERROR(VLOOKUP(H16,'G-1 All Habitats'!$Z$2:$AA$9,2,FALSE),"")</f>
        <v/>
      </c>
      <c r="J16" s="145"/>
      <c r="K16" s="507" t="str">
        <f>IF(J16="","",IF(VLOOKUP(J16,'G-3 Multipliers'!$L$3:$N$6,2,FALSE)=0,"Spatial Data Missing",VLOOKUP(J16,'G-3 Multipliers'!$L$3:$N$6,2,FALSE)))</f>
        <v/>
      </c>
      <c r="L16" s="505" t="str">
        <f>IF(J16="","",IF(VLOOKUP(J16,'G-3 Multipliers'!$L$3:$N$6,3,FALSE)=0,"Spatial Data Missing ⚠",VLOOKUP(J16,'G-3 Multipliers'!$L$3:$N$6,3,FALSE)))</f>
        <v/>
      </c>
      <c r="M16" s="506" t="str">
        <f>IF(D16="","",VLOOKUP(D16,'G-6 Hedgerow Data'!$B$1:$AH$15,33,FALSE))</f>
        <v/>
      </c>
      <c r="N16" s="513" t="str">
        <f t="shared" si="2"/>
        <v/>
      </c>
      <c r="O16" s="40"/>
      <c r="P16" s="154"/>
      <c r="Q16" s="203"/>
      <c r="R16" s="532" t="str">
        <f t="shared" si="3"/>
        <v/>
      </c>
      <c r="S16" s="532" t="str">
        <f t="shared" si="4"/>
        <v/>
      </c>
      <c r="T16" s="532" t="str">
        <f t="shared" si="5"/>
        <v/>
      </c>
      <c r="U16" s="557" t="str">
        <f t="shared" si="6"/>
        <v/>
      </c>
      <c r="V16" s="151"/>
      <c r="W16" s="152"/>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c r="AL16" s="31" t="str">
        <f>IFERROR(INDEX('G-6 Hedgerow Data'!$BJ$3:$BJ$15,MATCH(D16,'G-6 Hedgerow Data'!$B$3:$B$15,0)),"")</f>
        <v/>
      </c>
    </row>
    <row r="17" spans="2:38" ht="13.8" x14ac:dyDescent="0.25">
      <c r="B17" s="141">
        <v>8</v>
      </c>
      <c r="C17" s="203"/>
      <c r="D17" s="203"/>
      <c r="E17" s="153"/>
      <c r="F17" s="553" t="str">
        <f>IF(D17="","",VLOOKUP(D17,'G-6 Hedgerow Data'!$B$2:$AG$15,2,FALSE))</f>
        <v/>
      </c>
      <c r="G17" s="499" t="str">
        <f>IF(D17="","",VLOOKUP(D17,'G-6 Hedgerow Data'!$B$2:$AG$15,3,FALSE))</f>
        <v/>
      </c>
      <c r="H17" s="145"/>
      <c r="I17" s="499" t="str">
        <f>IFERROR(VLOOKUP(H17,'G-1 All Habitats'!$Z$2:$AA$9,2,FALSE),"")</f>
        <v/>
      </c>
      <c r="J17" s="145"/>
      <c r="K17" s="507" t="str">
        <f>IF(J17="","",IF(VLOOKUP(J17,'G-3 Multipliers'!$L$3:$N$6,2,FALSE)=0,"Spatial Data Missing",VLOOKUP(J17,'G-3 Multipliers'!$L$3:$N$6,2,FALSE)))</f>
        <v/>
      </c>
      <c r="L17" s="505" t="str">
        <f>IF(J17="","",IF(VLOOKUP(J17,'G-3 Multipliers'!$L$3:$N$6,3,FALSE)=0,"Spatial Data Missing ⚠",VLOOKUP(J17,'G-3 Multipliers'!$L$3:$N$6,3,FALSE)))</f>
        <v/>
      </c>
      <c r="M17" s="506" t="str">
        <f>IF(D17="","",VLOOKUP(D17,'G-6 Hedgerow Data'!$B$1:$AH$15,33,FALSE))</f>
        <v/>
      </c>
      <c r="N17" s="513" t="str">
        <f t="shared" si="2"/>
        <v/>
      </c>
      <c r="O17" s="40"/>
      <c r="P17" s="154"/>
      <c r="Q17" s="203"/>
      <c r="R17" s="532" t="str">
        <f t="shared" si="3"/>
        <v/>
      </c>
      <c r="S17" s="532" t="str">
        <f t="shared" si="4"/>
        <v/>
      </c>
      <c r="T17" s="532" t="str">
        <f t="shared" si="5"/>
        <v/>
      </c>
      <c r="U17" s="557" t="str">
        <f t="shared" si="6"/>
        <v/>
      </c>
      <c r="V17" s="151"/>
      <c r="W17" s="152"/>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c r="AL17" s="31" t="str">
        <f>IFERROR(INDEX('G-6 Hedgerow Data'!$BJ$3:$BJ$15,MATCH(D17,'G-6 Hedgerow Data'!$B$3:$B$15,0)),"")</f>
        <v/>
      </c>
    </row>
    <row r="18" spans="2:38" ht="13.8" x14ac:dyDescent="0.25">
      <c r="B18" s="141">
        <v>9</v>
      </c>
      <c r="C18" s="203"/>
      <c r="D18" s="203"/>
      <c r="E18" s="153"/>
      <c r="F18" s="553" t="str">
        <f>IF(D18="","",VLOOKUP(D18,'G-6 Hedgerow Data'!$B$2:$AG$15,2,FALSE))</f>
        <v/>
      </c>
      <c r="G18" s="499" t="str">
        <f>IF(D18="","",VLOOKUP(D18,'G-6 Hedgerow Data'!$B$2:$AG$15,3,FALSE))</f>
        <v/>
      </c>
      <c r="H18" s="145"/>
      <c r="I18" s="499" t="str">
        <f>IFERROR(VLOOKUP(H18,'G-1 All Habitats'!$Z$2:$AA$9,2,FALSE),"")</f>
        <v/>
      </c>
      <c r="J18" s="145"/>
      <c r="K18" s="507" t="str">
        <f>IF(J18="","",IF(VLOOKUP(J18,'G-3 Multipliers'!$L$3:$N$6,2,FALSE)=0,"Spatial Data Missing",VLOOKUP(J18,'G-3 Multipliers'!$L$3:$N$6,2,FALSE)))</f>
        <v/>
      </c>
      <c r="L18" s="505" t="str">
        <f>IF(J18="","",IF(VLOOKUP(J18,'G-3 Multipliers'!$L$3:$N$6,3,FALSE)=0,"Spatial Data Missing ⚠",VLOOKUP(J18,'G-3 Multipliers'!$L$3:$N$6,3,FALSE)))</f>
        <v/>
      </c>
      <c r="M18" s="506" t="str">
        <f>IF(D18="","",VLOOKUP(D18,'G-6 Hedgerow Data'!$B$1:$AH$15,33,FALSE))</f>
        <v/>
      </c>
      <c r="N18" s="513" t="str">
        <f t="shared" si="2"/>
        <v/>
      </c>
      <c r="O18" s="40"/>
      <c r="P18" s="154"/>
      <c r="Q18" s="203"/>
      <c r="R18" s="532" t="str">
        <f t="shared" si="3"/>
        <v/>
      </c>
      <c r="S18" s="532" t="str">
        <f t="shared" si="4"/>
        <v/>
      </c>
      <c r="T18" s="532" t="str">
        <f t="shared" si="5"/>
        <v/>
      </c>
      <c r="U18" s="557" t="str">
        <f t="shared" si="6"/>
        <v/>
      </c>
      <c r="V18" s="151"/>
      <c r="W18" s="152"/>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c r="AL18" s="31" t="str">
        <f>IFERROR(INDEX('G-6 Hedgerow Data'!$BJ$3:$BJ$15,MATCH(D18,'G-6 Hedgerow Data'!$B$3:$B$15,0)),"")</f>
        <v/>
      </c>
    </row>
    <row r="19" spans="2:38" ht="13.8" x14ac:dyDescent="0.25">
      <c r="B19" s="141">
        <v>10</v>
      </c>
      <c r="C19" s="203"/>
      <c r="D19" s="203"/>
      <c r="E19" s="153"/>
      <c r="F19" s="553" t="str">
        <f>IF(D19="","",VLOOKUP(D19,'G-6 Hedgerow Data'!$B$2:$AG$15,2,FALSE))</f>
        <v/>
      </c>
      <c r="G19" s="499" t="str">
        <f>IF(D19="","",VLOOKUP(D19,'G-6 Hedgerow Data'!$B$2:$AG$15,3,FALSE))</f>
        <v/>
      </c>
      <c r="H19" s="145"/>
      <c r="I19" s="499" t="str">
        <f>IFERROR(VLOOKUP(H19,'G-1 All Habitats'!$Z$2:$AA$9,2,FALSE),"")</f>
        <v/>
      </c>
      <c r="J19" s="145"/>
      <c r="K19" s="507" t="str">
        <f>IF(J19="","",IF(VLOOKUP(J19,'G-3 Multipliers'!$L$3:$N$6,2,FALSE)=0,"Spatial Data Missing",VLOOKUP(J19,'G-3 Multipliers'!$L$3:$N$6,2,FALSE)))</f>
        <v/>
      </c>
      <c r="L19" s="505" t="str">
        <f>IF(J19="","",IF(VLOOKUP(J19,'G-3 Multipliers'!$L$3:$N$6,3,FALSE)=0,"Spatial Data Missing ⚠",VLOOKUP(J19,'G-3 Multipliers'!$L$3:$N$6,3,FALSE)))</f>
        <v/>
      </c>
      <c r="M19" s="506" t="str">
        <f>IF(D19="","",VLOOKUP(D19,'G-6 Hedgerow Data'!$B$1:$AH$15,33,FALSE))</f>
        <v/>
      </c>
      <c r="N19" s="513" t="str">
        <f t="shared" si="2"/>
        <v/>
      </c>
      <c r="O19" s="40"/>
      <c r="P19" s="154"/>
      <c r="Q19" s="203"/>
      <c r="R19" s="532" t="str">
        <f t="shared" si="3"/>
        <v/>
      </c>
      <c r="S19" s="532" t="str">
        <f t="shared" si="4"/>
        <v/>
      </c>
      <c r="T19" s="532" t="str">
        <f t="shared" si="5"/>
        <v/>
      </c>
      <c r="U19" s="557" t="str">
        <f t="shared" si="6"/>
        <v/>
      </c>
      <c r="V19" s="151"/>
      <c r="W19" s="152"/>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c r="AL19" s="31" t="str">
        <f>IFERROR(INDEX('G-6 Hedgerow Data'!$BJ$3:$BJ$15,MATCH(D19,'G-6 Hedgerow Data'!$B$3:$B$15,0)),"")</f>
        <v/>
      </c>
    </row>
    <row r="20" spans="2:38" ht="13.8" x14ac:dyDescent="0.25">
      <c r="B20" s="141">
        <v>11</v>
      </c>
      <c r="C20" s="203"/>
      <c r="D20" s="203"/>
      <c r="E20" s="153"/>
      <c r="F20" s="553" t="str">
        <f>IF(D20="","",VLOOKUP(D20,'G-6 Hedgerow Data'!$B$2:$AG$15,2,FALSE))</f>
        <v/>
      </c>
      <c r="G20" s="499" t="str">
        <f>IF(D20="","",VLOOKUP(D20,'G-6 Hedgerow Data'!$B$2:$AG$15,3,FALSE))</f>
        <v/>
      </c>
      <c r="H20" s="145"/>
      <c r="I20" s="499" t="str">
        <f>IFERROR(VLOOKUP(H20,'G-1 All Habitats'!$Z$2:$AA$9,2,FALSE),"")</f>
        <v/>
      </c>
      <c r="J20" s="145"/>
      <c r="K20" s="507" t="str">
        <f>IF(J20="","",IF(VLOOKUP(J20,'G-3 Multipliers'!$L$3:$N$6,2,FALSE)=0,"Spatial Data Missing",VLOOKUP(J20,'G-3 Multipliers'!$L$3:$N$6,2,FALSE)))</f>
        <v/>
      </c>
      <c r="L20" s="505" t="str">
        <f>IF(J20="","",IF(VLOOKUP(J20,'G-3 Multipliers'!$L$3:$N$6,3,FALSE)=0,"Spatial Data Missing ⚠",VLOOKUP(J20,'G-3 Multipliers'!$L$3:$N$6,3,FALSE)))</f>
        <v/>
      </c>
      <c r="M20" s="506" t="str">
        <f>IF(D20="","",VLOOKUP(D20,'G-6 Hedgerow Data'!$B$1:$AH$15,33,FALSE))</f>
        <v/>
      </c>
      <c r="N20" s="513" t="str">
        <f t="shared" si="2"/>
        <v/>
      </c>
      <c r="O20" s="40"/>
      <c r="P20" s="154"/>
      <c r="Q20" s="203"/>
      <c r="R20" s="532" t="str">
        <f t="shared" si="3"/>
        <v/>
      </c>
      <c r="S20" s="532" t="str">
        <f t="shared" si="4"/>
        <v/>
      </c>
      <c r="T20" s="532" t="str">
        <f t="shared" si="5"/>
        <v/>
      </c>
      <c r="U20" s="557" t="str">
        <f t="shared" si="6"/>
        <v/>
      </c>
      <c r="V20" s="151"/>
      <c r="W20" s="152"/>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c r="AL20" s="31" t="str">
        <f>IFERROR(INDEX('G-6 Hedgerow Data'!$BJ$3:$BJ$15,MATCH(D20,'G-6 Hedgerow Data'!$B$3:$B$15,0)),"")</f>
        <v/>
      </c>
    </row>
    <row r="21" spans="2:38" ht="13.8" x14ac:dyDescent="0.25">
      <c r="B21" s="141">
        <v>12</v>
      </c>
      <c r="C21" s="203"/>
      <c r="D21" s="203"/>
      <c r="E21" s="153"/>
      <c r="F21" s="553" t="str">
        <f>IF(D21="","",VLOOKUP(D21,'G-6 Hedgerow Data'!$B$2:$AG$15,2,FALSE))</f>
        <v/>
      </c>
      <c r="G21" s="499" t="str">
        <f>IF(D21="","",VLOOKUP(D21,'G-6 Hedgerow Data'!$B$2:$AG$15,3,FALSE))</f>
        <v/>
      </c>
      <c r="H21" s="145"/>
      <c r="I21" s="499" t="str">
        <f>IFERROR(VLOOKUP(H21,'G-1 All Habitats'!$Z$2:$AA$9,2,FALSE),"")</f>
        <v/>
      </c>
      <c r="J21" s="145"/>
      <c r="K21" s="507" t="str">
        <f>IF(J21="","",IF(VLOOKUP(J21,'G-3 Multipliers'!$L$3:$N$6,2,FALSE)=0,"Spatial Data Missing",VLOOKUP(J21,'G-3 Multipliers'!$L$3:$N$6,2,FALSE)))</f>
        <v/>
      </c>
      <c r="L21" s="505" t="str">
        <f>IF(J21="","",IF(VLOOKUP(J21,'G-3 Multipliers'!$L$3:$N$6,3,FALSE)=0,"Spatial Data Missing ⚠",VLOOKUP(J21,'G-3 Multipliers'!$L$3:$N$6,3,FALSE)))</f>
        <v/>
      </c>
      <c r="M21" s="506" t="str">
        <f>IF(D21="","",VLOOKUP(D21,'G-6 Hedgerow Data'!$B$1:$AH$15,33,FALSE))</f>
        <v/>
      </c>
      <c r="N21" s="513" t="str">
        <f t="shared" si="2"/>
        <v/>
      </c>
      <c r="O21" s="40"/>
      <c r="P21" s="154"/>
      <c r="Q21" s="203"/>
      <c r="R21" s="532" t="str">
        <f t="shared" si="3"/>
        <v/>
      </c>
      <c r="S21" s="532" t="str">
        <f t="shared" si="4"/>
        <v/>
      </c>
      <c r="T21" s="532" t="str">
        <f t="shared" si="5"/>
        <v/>
      </c>
      <c r="U21" s="557" t="str">
        <f t="shared" si="6"/>
        <v/>
      </c>
      <c r="V21" s="151"/>
      <c r="W21" s="152"/>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c r="AL21" s="31" t="str">
        <f>IFERROR(INDEX('G-6 Hedgerow Data'!$BJ$3:$BJ$15,MATCH(D21,'G-6 Hedgerow Data'!$B$3:$B$15,0)),"")</f>
        <v/>
      </c>
    </row>
    <row r="22" spans="2:38" ht="13.8" x14ac:dyDescent="0.25">
      <c r="B22" s="141">
        <v>13</v>
      </c>
      <c r="C22" s="203"/>
      <c r="D22" s="203"/>
      <c r="E22" s="153"/>
      <c r="F22" s="553" t="str">
        <f>IF(D22="","",VLOOKUP(D22,'G-6 Hedgerow Data'!$B$2:$AG$15,2,FALSE))</f>
        <v/>
      </c>
      <c r="G22" s="499" t="str">
        <f>IF(D22="","",VLOOKUP(D22,'G-6 Hedgerow Data'!$B$2:$AG$15,3,FALSE))</f>
        <v/>
      </c>
      <c r="H22" s="145"/>
      <c r="I22" s="499" t="str">
        <f>IFERROR(VLOOKUP(H22,'G-1 All Habitats'!$Z$2:$AA$9,2,FALSE),"")</f>
        <v/>
      </c>
      <c r="J22" s="145"/>
      <c r="K22" s="507" t="str">
        <f>IF(J22="","",IF(VLOOKUP(J22,'G-3 Multipliers'!$L$3:$N$6,2,FALSE)=0,"Spatial Data Missing",VLOOKUP(J22,'G-3 Multipliers'!$L$3:$N$6,2,FALSE)))</f>
        <v/>
      </c>
      <c r="L22" s="505" t="str">
        <f>IF(J22="","",IF(VLOOKUP(J22,'G-3 Multipliers'!$L$3:$N$6,3,FALSE)=0,"Spatial Data Missing ⚠",VLOOKUP(J22,'G-3 Multipliers'!$L$3:$N$6,3,FALSE)))</f>
        <v/>
      </c>
      <c r="M22" s="506" t="str">
        <f>IF(D22="","",VLOOKUP(D22,'G-6 Hedgerow Data'!$B$1:$AH$15,33,FALSE))</f>
        <v/>
      </c>
      <c r="N22" s="513" t="str">
        <f t="shared" si="2"/>
        <v/>
      </c>
      <c r="O22" s="40"/>
      <c r="P22" s="154"/>
      <c r="Q22" s="203"/>
      <c r="R22" s="532" t="str">
        <f t="shared" si="3"/>
        <v/>
      </c>
      <c r="S22" s="532" t="str">
        <f t="shared" si="4"/>
        <v/>
      </c>
      <c r="T22" s="532" t="str">
        <f t="shared" si="5"/>
        <v/>
      </c>
      <c r="U22" s="557" t="str">
        <f t="shared" si="6"/>
        <v/>
      </c>
      <c r="V22" s="151"/>
      <c r="W22" s="152"/>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c r="AL22" s="31" t="str">
        <f>IFERROR(INDEX('G-6 Hedgerow Data'!$BJ$3:$BJ$15,MATCH(D22,'G-6 Hedgerow Data'!$B$3:$B$15,0)),"")</f>
        <v/>
      </c>
    </row>
    <row r="23" spans="2:38" ht="13.8" x14ac:dyDescent="0.25">
      <c r="B23" s="141">
        <v>14</v>
      </c>
      <c r="C23" s="203"/>
      <c r="D23" s="203"/>
      <c r="E23" s="153"/>
      <c r="F23" s="553" t="str">
        <f>IF(D23="","",VLOOKUP(D23,'G-6 Hedgerow Data'!$B$2:$AG$15,2,FALSE))</f>
        <v/>
      </c>
      <c r="G23" s="499" t="str">
        <f>IF(D23="","",VLOOKUP(D23,'G-6 Hedgerow Data'!$B$2:$AG$15,3,FALSE))</f>
        <v/>
      </c>
      <c r="H23" s="145"/>
      <c r="I23" s="499" t="str">
        <f>IFERROR(VLOOKUP(H23,'G-1 All Habitats'!$Z$2:$AA$9,2,FALSE),"")</f>
        <v/>
      </c>
      <c r="J23" s="145"/>
      <c r="K23" s="507" t="str">
        <f>IF(J23="","",IF(VLOOKUP(J23,'G-3 Multipliers'!$L$3:$N$6,2,FALSE)=0,"Spatial Data Missing",VLOOKUP(J23,'G-3 Multipliers'!$L$3:$N$6,2,FALSE)))</f>
        <v/>
      </c>
      <c r="L23" s="505" t="str">
        <f>IF(J23="","",IF(VLOOKUP(J23,'G-3 Multipliers'!$L$3:$N$6,3,FALSE)=0,"Spatial Data Missing ⚠",VLOOKUP(J23,'G-3 Multipliers'!$L$3:$N$6,3,FALSE)))</f>
        <v/>
      </c>
      <c r="M23" s="506" t="str">
        <f>IF(D23="","",VLOOKUP(D23,'G-6 Hedgerow Data'!$B$1:$AH$15,33,FALSE))</f>
        <v/>
      </c>
      <c r="N23" s="513" t="str">
        <f t="shared" si="2"/>
        <v/>
      </c>
      <c r="O23" s="40"/>
      <c r="P23" s="154"/>
      <c r="Q23" s="203"/>
      <c r="R23" s="532" t="str">
        <f t="shared" si="3"/>
        <v/>
      </c>
      <c r="S23" s="532" t="str">
        <f t="shared" si="4"/>
        <v/>
      </c>
      <c r="T23" s="532" t="str">
        <f t="shared" si="5"/>
        <v/>
      </c>
      <c r="U23" s="557" t="str">
        <f t="shared" si="6"/>
        <v/>
      </c>
      <c r="V23" s="151"/>
      <c r="W23" s="152"/>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c r="AL23" s="31" t="str">
        <f>IFERROR(INDEX('G-6 Hedgerow Data'!$BJ$3:$BJ$15,MATCH(D23,'G-6 Hedgerow Data'!$B$3:$B$15,0)),"")</f>
        <v/>
      </c>
    </row>
    <row r="24" spans="2:38" ht="13.8" x14ac:dyDescent="0.25">
      <c r="B24" s="141">
        <v>15</v>
      </c>
      <c r="C24" s="203"/>
      <c r="D24" s="203"/>
      <c r="E24" s="153"/>
      <c r="F24" s="553" t="str">
        <f>IF(D24="","",VLOOKUP(D24,'G-6 Hedgerow Data'!$B$2:$AG$15,2,FALSE))</f>
        <v/>
      </c>
      <c r="G24" s="499" t="str">
        <f>IF(D24="","",VLOOKUP(D24,'G-6 Hedgerow Data'!$B$2:$AG$15,3,FALSE))</f>
        <v/>
      </c>
      <c r="H24" s="145"/>
      <c r="I24" s="499" t="str">
        <f>IFERROR(VLOOKUP(H24,'G-1 All Habitats'!$Z$2:$AA$9,2,FALSE),"")</f>
        <v/>
      </c>
      <c r="J24" s="145"/>
      <c r="K24" s="507" t="str">
        <f>IF(J24="","",IF(VLOOKUP(J24,'G-3 Multipliers'!$L$3:$N$6,2,FALSE)=0,"Spatial Data Missing",VLOOKUP(J24,'G-3 Multipliers'!$L$3:$N$6,2,FALSE)))</f>
        <v/>
      </c>
      <c r="L24" s="505" t="str">
        <f>IF(J24="","",IF(VLOOKUP(J24,'G-3 Multipliers'!$L$3:$N$6,3,FALSE)=0,"Spatial Data Missing ⚠",VLOOKUP(J24,'G-3 Multipliers'!$L$3:$N$6,3,FALSE)))</f>
        <v/>
      </c>
      <c r="M24" s="506" t="str">
        <f>IF(D24="","",VLOOKUP(D24,'G-6 Hedgerow Data'!$B$1:$AH$15,33,FALSE))</f>
        <v/>
      </c>
      <c r="N24" s="513" t="str">
        <f t="shared" si="2"/>
        <v/>
      </c>
      <c r="O24" s="40"/>
      <c r="P24" s="154"/>
      <c r="Q24" s="203"/>
      <c r="R24" s="532" t="str">
        <f t="shared" si="3"/>
        <v/>
      </c>
      <c r="S24" s="532" t="str">
        <f t="shared" si="4"/>
        <v/>
      </c>
      <c r="T24" s="532" t="str">
        <f t="shared" si="5"/>
        <v/>
      </c>
      <c r="U24" s="557" t="str">
        <f t="shared" si="6"/>
        <v/>
      </c>
      <c r="V24" s="151"/>
      <c r="W24" s="152"/>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c r="AL24" s="31" t="str">
        <f>IFERROR(INDEX('G-6 Hedgerow Data'!$BJ$3:$BJ$15,MATCH(D24,'G-6 Hedgerow Data'!$B$3:$B$15,0)),"")</f>
        <v/>
      </c>
    </row>
    <row r="25" spans="2:38" ht="13.8" x14ac:dyDescent="0.25">
      <c r="B25" s="141">
        <v>16</v>
      </c>
      <c r="C25" s="203"/>
      <c r="D25" s="203"/>
      <c r="E25" s="153"/>
      <c r="F25" s="553" t="str">
        <f>IF(D25="","",VLOOKUP(D25,'G-6 Hedgerow Data'!$B$2:$AG$15,2,FALSE))</f>
        <v/>
      </c>
      <c r="G25" s="499" t="str">
        <f>IF(D25="","",VLOOKUP(D25,'G-6 Hedgerow Data'!$B$2:$AG$15,3,FALSE))</f>
        <v/>
      </c>
      <c r="H25" s="145"/>
      <c r="I25" s="499" t="str">
        <f>IFERROR(VLOOKUP(H25,'G-1 All Habitats'!$Z$2:$AA$9,2,FALSE),"")</f>
        <v/>
      </c>
      <c r="J25" s="145"/>
      <c r="K25" s="507" t="str">
        <f>IF(J25="","",IF(VLOOKUP(J25,'G-3 Multipliers'!$L$3:$N$6,2,FALSE)=0,"Spatial Data Missing",VLOOKUP(J25,'G-3 Multipliers'!$L$3:$N$6,2,FALSE)))</f>
        <v/>
      </c>
      <c r="L25" s="505" t="str">
        <f>IF(J25="","",IF(VLOOKUP(J25,'G-3 Multipliers'!$L$3:$N$6,3,FALSE)=0,"Spatial Data Missing ⚠",VLOOKUP(J25,'G-3 Multipliers'!$L$3:$N$6,3,FALSE)))</f>
        <v/>
      </c>
      <c r="M25" s="506" t="str">
        <f>IF(D25="","",VLOOKUP(D25,'G-6 Hedgerow Data'!$B$1:$AH$15,33,FALSE))</f>
        <v/>
      </c>
      <c r="N25" s="513" t="str">
        <f t="shared" si="2"/>
        <v/>
      </c>
      <c r="O25" s="40"/>
      <c r="P25" s="154"/>
      <c r="Q25" s="203"/>
      <c r="R25" s="532" t="str">
        <f t="shared" si="3"/>
        <v/>
      </c>
      <c r="S25" s="532" t="str">
        <f t="shared" si="4"/>
        <v/>
      </c>
      <c r="T25" s="532" t="str">
        <f t="shared" si="5"/>
        <v/>
      </c>
      <c r="U25" s="557" t="str">
        <f t="shared" si="6"/>
        <v/>
      </c>
      <c r="V25" s="151"/>
      <c r="W25" s="152"/>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c r="AL25" s="31" t="str">
        <f>IFERROR(INDEX('G-6 Hedgerow Data'!$BJ$3:$BJ$15,MATCH(D25,'G-6 Hedgerow Data'!$B$3:$B$15,0)),"")</f>
        <v/>
      </c>
    </row>
    <row r="26" spans="2:38" ht="13.8" x14ac:dyDescent="0.25">
      <c r="B26" s="141">
        <v>17</v>
      </c>
      <c r="C26" s="203"/>
      <c r="D26" s="203"/>
      <c r="E26" s="153"/>
      <c r="F26" s="553" t="str">
        <f>IF(D26="","",VLOOKUP(D26,'G-6 Hedgerow Data'!$B$2:$AG$15,2,FALSE))</f>
        <v/>
      </c>
      <c r="G26" s="499" t="str">
        <f>IF(D26="","",VLOOKUP(D26,'G-6 Hedgerow Data'!$B$2:$AG$15,3,FALSE))</f>
        <v/>
      </c>
      <c r="H26" s="145"/>
      <c r="I26" s="499" t="str">
        <f>IFERROR(VLOOKUP(H26,'G-1 All Habitats'!$Z$2:$AA$9,2,FALSE),"")</f>
        <v/>
      </c>
      <c r="J26" s="145"/>
      <c r="K26" s="507" t="str">
        <f>IF(J26="","",IF(VLOOKUP(J26,'G-3 Multipliers'!$L$3:$N$6,2,FALSE)=0,"Spatial Data Missing",VLOOKUP(J26,'G-3 Multipliers'!$L$3:$N$6,2,FALSE)))</f>
        <v/>
      </c>
      <c r="L26" s="505" t="str">
        <f>IF(J26="","",IF(VLOOKUP(J26,'G-3 Multipliers'!$L$3:$N$6,3,FALSE)=0,"Spatial Data Missing ⚠",VLOOKUP(J26,'G-3 Multipliers'!$L$3:$N$6,3,FALSE)))</f>
        <v/>
      </c>
      <c r="M26" s="506" t="str">
        <f>IF(D26="","",VLOOKUP(D26,'G-6 Hedgerow Data'!$B$1:$AH$15,33,FALSE))</f>
        <v/>
      </c>
      <c r="N26" s="513" t="str">
        <f t="shared" si="2"/>
        <v/>
      </c>
      <c r="O26" s="40"/>
      <c r="P26" s="154"/>
      <c r="Q26" s="203"/>
      <c r="R26" s="532" t="str">
        <f t="shared" si="3"/>
        <v/>
      </c>
      <c r="S26" s="532" t="str">
        <f t="shared" si="4"/>
        <v/>
      </c>
      <c r="T26" s="532" t="str">
        <f t="shared" si="5"/>
        <v/>
      </c>
      <c r="U26" s="557" t="str">
        <f t="shared" si="6"/>
        <v/>
      </c>
      <c r="V26" s="151"/>
      <c r="W26" s="152"/>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c r="AL26" s="31" t="str">
        <f>IFERROR(INDEX('G-6 Hedgerow Data'!$BJ$3:$BJ$15,MATCH(D26,'G-6 Hedgerow Data'!$B$3:$B$15,0)),"")</f>
        <v/>
      </c>
    </row>
    <row r="27" spans="2:38" ht="13.8" x14ac:dyDescent="0.25">
      <c r="B27" s="141">
        <v>18</v>
      </c>
      <c r="C27" s="203"/>
      <c r="D27" s="203"/>
      <c r="E27" s="153"/>
      <c r="F27" s="553" t="str">
        <f>IF(D27="","",VLOOKUP(D27,'G-6 Hedgerow Data'!$B$2:$AG$15,2,FALSE))</f>
        <v/>
      </c>
      <c r="G27" s="499" t="str">
        <f>IF(D27="","",VLOOKUP(D27,'G-6 Hedgerow Data'!$B$2:$AG$15,3,FALSE))</f>
        <v/>
      </c>
      <c r="H27" s="145"/>
      <c r="I27" s="499" t="str">
        <f>IFERROR(VLOOKUP(H27,'G-1 All Habitats'!$Z$2:$AA$9,2,FALSE),"")</f>
        <v/>
      </c>
      <c r="J27" s="145"/>
      <c r="K27" s="507" t="str">
        <f>IF(J27="","",IF(VLOOKUP(J27,'G-3 Multipliers'!$L$3:$N$6,2,FALSE)=0,"Spatial Data Missing",VLOOKUP(J27,'G-3 Multipliers'!$L$3:$N$6,2,FALSE)))</f>
        <v/>
      </c>
      <c r="L27" s="505" t="str">
        <f>IF(J27="","",IF(VLOOKUP(J27,'G-3 Multipliers'!$L$3:$N$6,3,FALSE)=0,"Spatial Data Missing ⚠",VLOOKUP(J27,'G-3 Multipliers'!$L$3:$N$6,3,FALSE)))</f>
        <v/>
      </c>
      <c r="M27" s="506" t="str">
        <f>IF(D27="","",VLOOKUP(D27,'G-6 Hedgerow Data'!$B$1:$AH$15,33,FALSE))</f>
        <v/>
      </c>
      <c r="N27" s="513" t="str">
        <f t="shared" si="2"/>
        <v/>
      </c>
      <c r="O27" s="40"/>
      <c r="P27" s="154"/>
      <c r="Q27" s="203"/>
      <c r="R27" s="532" t="str">
        <f t="shared" si="3"/>
        <v/>
      </c>
      <c r="S27" s="532" t="str">
        <f t="shared" si="4"/>
        <v/>
      </c>
      <c r="T27" s="532" t="str">
        <f t="shared" si="5"/>
        <v/>
      </c>
      <c r="U27" s="557" t="str">
        <f t="shared" si="6"/>
        <v/>
      </c>
      <c r="V27" s="151"/>
      <c r="W27" s="152"/>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c r="AL27" s="31" t="str">
        <f>IFERROR(INDEX('G-6 Hedgerow Data'!$BJ$3:$BJ$15,MATCH(D27,'G-6 Hedgerow Data'!$B$3:$B$15,0)),"")</f>
        <v/>
      </c>
    </row>
    <row r="28" spans="2:38" ht="13.8" x14ac:dyDescent="0.25">
      <c r="B28" s="141">
        <v>19</v>
      </c>
      <c r="C28" s="203"/>
      <c r="D28" s="203"/>
      <c r="E28" s="153"/>
      <c r="F28" s="553" t="str">
        <f>IF(D28="","",VLOOKUP(D28,'G-6 Hedgerow Data'!$B$2:$AG$15,2,FALSE))</f>
        <v/>
      </c>
      <c r="G28" s="499" t="str">
        <f>IF(D28="","",VLOOKUP(D28,'G-6 Hedgerow Data'!$B$2:$AG$15,3,FALSE))</f>
        <v/>
      </c>
      <c r="H28" s="145"/>
      <c r="I28" s="499" t="str">
        <f>IFERROR(VLOOKUP(H28,'G-1 All Habitats'!$Z$2:$AA$9,2,FALSE),"")</f>
        <v/>
      </c>
      <c r="J28" s="145"/>
      <c r="K28" s="507" t="str">
        <f>IF(J28="","",IF(VLOOKUP(J28,'G-3 Multipliers'!$L$3:$N$6,2,FALSE)=0,"Spatial Data Missing",VLOOKUP(J28,'G-3 Multipliers'!$L$3:$N$6,2,FALSE)))</f>
        <v/>
      </c>
      <c r="L28" s="505" t="str">
        <f>IF(J28="","",IF(VLOOKUP(J28,'G-3 Multipliers'!$L$3:$N$6,3,FALSE)=0,"Spatial Data Missing ⚠",VLOOKUP(J28,'G-3 Multipliers'!$L$3:$N$6,3,FALSE)))</f>
        <v/>
      </c>
      <c r="M28" s="506" t="str">
        <f>IF(D28="","",VLOOKUP(D28,'G-6 Hedgerow Data'!$B$1:$AH$15,33,FALSE))</f>
        <v/>
      </c>
      <c r="N28" s="513" t="str">
        <f t="shared" si="2"/>
        <v/>
      </c>
      <c r="O28" s="40"/>
      <c r="P28" s="154"/>
      <c r="Q28" s="203"/>
      <c r="R28" s="532" t="str">
        <f t="shared" si="3"/>
        <v/>
      </c>
      <c r="S28" s="532" t="str">
        <f t="shared" si="4"/>
        <v/>
      </c>
      <c r="T28" s="532" t="str">
        <f t="shared" si="5"/>
        <v/>
      </c>
      <c r="U28" s="557" t="str">
        <f t="shared" si="6"/>
        <v/>
      </c>
      <c r="V28" s="151"/>
      <c r="W28" s="152"/>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c r="AL28" s="31" t="str">
        <f>IFERROR(INDEX('G-6 Hedgerow Data'!$BJ$3:$BJ$15,MATCH(D28,'G-6 Hedgerow Data'!$B$3:$B$15,0)),"")</f>
        <v/>
      </c>
    </row>
    <row r="29" spans="2:38" ht="13.8" x14ac:dyDescent="0.25">
      <c r="B29" s="141">
        <v>20</v>
      </c>
      <c r="C29" s="203"/>
      <c r="D29" s="203"/>
      <c r="E29" s="153"/>
      <c r="F29" s="553" t="str">
        <f>IF(D29="","",VLOOKUP(D29,'G-6 Hedgerow Data'!$B$2:$AG$15,2,FALSE))</f>
        <v/>
      </c>
      <c r="G29" s="499" t="str">
        <f>IF(D29="","",VLOOKUP(D29,'G-6 Hedgerow Data'!$B$2:$AG$15,3,FALSE))</f>
        <v/>
      </c>
      <c r="H29" s="145"/>
      <c r="I29" s="499" t="str">
        <f>IFERROR(VLOOKUP(H29,'G-1 All Habitats'!$Z$2:$AA$9,2,FALSE),"")</f>
        <v/>
      </c>
      <c r="J29" s="145"/>
      <c r="K29" s="507" t="str">
        <f>IF(J29="","",IF(VLOOKUP(J29,'G-3 Multipliers'!$L$3:$N$6,2,FALSE)=0,"Spatial Data Missing",VLOOKUP(J29,'G-3 Multipliers'!$L$3:$N$6,2,FALSE)))</f>
        <v/>
      </c>
      <c r="L29" s="505" t="str">
        <f>IF(J29="","",IF(VLOOKUP(J29,'G-3 Multipliers'!$L$3:$N$6,3,FALSE)=0,"Spatial Data Missing ⚠",VLOOKUP(J29,'G-3 Multipliers'!$L$3:$N$6,3,FALSE)))</f>
        <v/>
      </c>
      <c r="M29" s="506" t="str">
        <f>IF(D29="","",VLOOKUP(D29,'G-6 Hedgerow Data'!$B$1:$AH$15,33,FALSE))</f>
        <v/>
      </c>
      <c r="N29" s="513" t="str">
        <f t="shared" si="2"/>
        <v/>
      </c>
      <c r="O29" s="40"/>
      <c r="P29" s="154"/>
      <c r="Q29" s="203"/>
      <c r="R29" s="532" t="str">
        <f t="shared" si="3"/>
        <v/>
      </c>
      <c r="S29" s="532" t="str">
        <f t="shared" si="4"/>
        <v/>
      </c>
      <c r="T29" s="532" t="str">
        <f t="shared" si="5"/>
        <v/>
      </c>
      <c r="U29" s="557" t="str">
        <f t="shared" si="6"/>
        <v/>
      </c>
      <c r="V29" s="151"/>
      <c r="W29" s="152"/>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c r="AL29" s="31" t="str">
        <f>IFERROR(INDEX('G-6 Hedgerow Data'!$BJ$3:$BJ$15,MATCH(D29,'G-6 Hedgerow Data'!$B$3:$B$15,0)),"")</f>
        <v/>
      </c>
    </row>
    <row r="30" spans="2:38" ht="13.8" x14ac:dyDescent="0.25">
      <c r="B30" s="141">
        <v>21</v>
      </c>
      <c r="C30" s="203"/>
      <c r="D30" s="203"/>
      <c r="E30" s="153"/>
      <c r="F30" s="553" t="str">
        <f>IF(D30="","",VLOOKUP(D30,'G-6 Hedgerow Data'!$B$2:$AG$15,2,FALSE))</f>
        <v/>
      </c>
      <c r="G30" s="499" t="str">
        <f>IF(D30="","",VLOOKUP(D30,'G-6 Hedgerow Data'!$B$2:$AG$15,3,FALSE))</f>
        <v/>
      </c>
      <c r="H30" s="145"/>
      <c r="I30" s="499" t="str">
        <f>IFERROR(VLOOKUP(H30,'G-1 All Habitats'!$Z$2:$AA$9,2,FALSE),"")</f>
        <v/>
      </c>
      <c r="J30" s="145"/>
      <c r="K30" s="507" t="str">
        <f>IF(J30="","",IF(VLOOKUP(J30,'G-3 Multipliers'!$L$3:$N$6,2,FALSE)=0,"Spatial Data Missing",VLOOKUP(J30,'G-3 Multipliers'!$L$3:$N$6,2,FALSE)))</f>
        <v/>
      </c>
      <c r="L30" s="505" t="str">
        <f>IF(J30="","",IF(VLOOKUP(J30,'G-3 Multipliers'!$L$3:$N$6,3,FALSE)=0,"Spatial Data Missing ⚠",VLOOKUP(J30,'G-3 Multipliers'!$L$3:$N$6,3,FALSE)))</f>
        <v/>
      </c>
      <c r="M30" s="506" t="str">
        <f>IF(D30="","",VLOOKUP(D30,'G-6 Hedgerow Data'!$B$1:$AH$15,33,FALSE))</f>
        <v/>
      </c>
      <c r="N30" s="513" t="str">
        <f t="shared" si="2"/>
        <v/>
      </c>
      <c r="O30" s="40"/>
      <c r="P30" s="154"/>
      <c r="Q30" s="203"/>
      <c r="R30" s="532" t="str">
        <f t="shared" si="3"/>
        <v/>
      </c>
      <c r="S30" s="532" t="str">
        <f t="shared" si="4"/>
        <v/>
      </c>
      <c r="T30" s="532" t="str">
        <f t="shared" si="5"/>
        <v/>
      </c>
      <c r="U30" s="557" t="str">
        <f t="shared" si="6"/>
        <v/>
      </c>
      <c r="V30" s="151"/>
      <c r="W30" s="152"/>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c r="AL30" s="31" t="str">
        <f>IFERROR(INDEX('G-6 Hedgerow Data'!$BJ$3:$BJ$15,MATCH(D30,'G-6 Hedgerow Data'!$B$3:$B$15,0)),"")</f>
        <v/>
      </c>
    </row>
    <row r="31" spans="2:38" ht="13.8" x14ac:dyDescent="0.25">
      <c r="B31" s="141">
        <v>22</v>
      </c>
      <c r="C31" s="203"/>
      <c r="D31" s="203"/>
      <c r="E31" s="153"/>
      <c r="F31" s="553" t="str">
        <f>IF(D31="","",VLOOKUP(D31,'G-6 Hedgerow Data'!$B$2:$AG$15,2,FALSE))</f>
        <v/>
      </c>
      <c r="G31" s="499" t="str">
        <f>IF(D31="","",VLOOKUP(D31,'G-6 Hedgerow Data'!$B$2:$AG$15,3,FALSE))</f>
        <v/>
      </c>
      <c r="H31" s="145"/>
      <c r="I31" s="499" t="str">
        <f>IFERROR(VLOOKUP(H31,'G-1 All Habitats'!$Z$2:$AA$9,2,FALSE),"")</f>
        <v/>
      </c>
      <c r="J31" s="145"/>
      <c r="K31" s="507" t="str">
        <f>IF(J31="","",IF(VLOOKUP(J31,'G-3 Multipliers'!$L$3:$N$6,2,FALSE)=0,"Spatial Data Missing",VLOOKUP(J31,'G-3 Multipliers'!$L$3:$N$6,2,FALSE)))</f>
        <v/>
      </c>
      <c r="L31" s="505" t="str">
        <f>IF(J31="","",IF(VLOOKUP(J31,'G-3 Multipliers'!$L$3:$N$6,3,FALSE)=0,"Spatial Data Missing ⚠",VLOOKUP(J31,'G-3 Multipliers'!$L$3:$N$6,3,FALSE)))</f>
        <v/>
      </c>
      <c r="M31" s="506" t="str">
        <f>IF(D31="","",VLOOKUP(D31,'G-6 Hedgerow Data'!$B$1:$AH$15,33,FALSE))</f>
        <v/>
      </c>
      <c r="N31" s="513" t="str">
        <f t="shared" si="2"/>
        <v/>
      </c>
      <c r="O31" s="40"/>
      <c r="P31" s="154"/>
      <c r="Q31" s="203"/>
      <c r="R31" s="532" t="str">
        <f t="shared" si="3"/>
        <v/>
      </c>
      <c r="S31" s="532" t="str">
        <f t="shared" si="4"/>
        <v/>
      </c>
      <c r="T31" s="532" t="str">
        <f t="shared" si="5"/>
        <v/>
      </c>
      <c r="U31" s="557" t="str">
        <f t="shared" si="6"/>
        <v/>
      </c>
      <c r="V31" s="151"/>
      <c r="W31" s="152"/>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c r="AL31" s="31" t="str">
        <f>IFERROR(INDEX('G-6 Hedgerow Data'!$BJ$3:$BJ$15,MATCH(D31,'G-6 Hedgerow Data'!$B$3:$B$15,0)),"")</f>
        <v/>
      </c>
    </row>
    <row r="32" spans="2:38" ht="13.8" x14ac:dyDescent="0.25">
      <c r="B32" s="141">
        <v>23</v>
      </c>
      <c r="C32" s="203"/>
      <c r="D32" s="203"/>
      <c r="E32" s="153"/>
      <c r="F32" s="553" t="str">
        <f>IF(D32="","",VLOOKUP(D32,'G-6 Hedgerow Data'!$B$2:$AG$15,2,FALSE))</f>
        <v/>
      </c>
      <c r="G32" s="499" t="str">
        <f>IF(D32="","",VLOOKUP(D32,'G-6 Hedgerow Data'!$B$2:$AG$15,3,FALSE))</f>
        <v/>
      </c>
      <c r="H32" s="145"/>
      <c r="I32" s="499" t="str">
        <f>IFERROR(VLOOKUP(H32,'G-1 All Habitats'!$Z$2:$AA$9,2,FALSE),"")</f>
        <v/>
      </c>
      <c r="J32" s="145"/>
      <c r="K32" s="507" t="str">
        <f>IF(J32="","",IF(VLOOKUP(J32,'G-3 Multipliers'!$L$3:$N$6,2,FALSE)=0,"Spatial Data Missing",VLOOKUP(J32,'G-3 Multipliers'!$L$3:$N$6,2,FALSE)))</f>
        <v/>
      </c>
      <c r="L32" s="505" t="str">
        <f>IF(J32="","",IF(VLOOKUP(J32,'G-3 Multipliers'!$L$3:$N$6,3,FALSE)=0,"Spatial Data Missing ⚠",VLOOKUP(J32,'G-3 Multipliers'!$L$3:$N$6,3,FALSE)))</f>
        <v/>
      </c>
      <c r="M32" s="506" t="str">
        <f>IF(D32="","",VLOOKUP(D32,'G-6 Hedgerow Data'!$B$1:$AH$15,33,FALSE))</f>
        <v/>
      </c>
      <c r="N32" s="513" t="str">
        <f t="shared" si="2"/>
        <v/>
      </c>
      <c r="O32" s="40"/>
      <c r="P32" s="154"/>
      <c r="Q32" s="203"/>
      <c r="R32" s="532" t="str">
        <f t="shared" si="3"/>
        <v/>
      </c>
      <c r="S32" s="532" t="str">
        <f t="shared" si="4"/>
        <v/>
      </c>
      <c r="T32" s="532" t="str">
        <f t="shared" si="5"/>
        <v/>
      </c>
      <c r="U32" s="557" t="str">
        <f t="shared" si="6"/>
        <v/>
      </c>
      <c r="V32" s="151"/>
      <c r="W32" s="152"/>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c r="AL32" s="31" t="str">
        <f>IFERROR(INDEX('G-6 Hedgerow Data'!$BJ$3:$BJ$15,MATCH(D32,'G-6 Hedgerow Data'!$B$3:$B$15,0)),"")</f>
        <v/>
      </c>
    </row>
    <row r="33" spans="2:38" ht="13.8" x14ac:dyDescent="0.25">
      <c r="B33" s="141">
        <v>24</v>
      </c>
      <c r="C33" s="203"/>
      <c r="D33" s="203"/>
      <c r="E33" s="153"/>
      <c r="F33" s="553" t="str">
        <f>IF(D33="","",VLOOKUP(D33,'G-6 Hedgerow Data'!$B$2:$AG$15,2,FALSE))</f>
        <v/>
      </c>
      <c r="G33" s="499" t="str">
        <f>IF(D33="","",VLOOKUP(D33,'G-6 Hedgerow Data'!$B$2:$AG$15,3,FALSE))</f>
        <v/>
      </c>
      <c r="H33" s="145"/>
      <c r="I33" s="499" t="str">
        <f>IFERROR(VLOOKUP(H33,'G-1 All Habitats'!$Z$2:$AA$9,2,FALSE),"")</f>
        <v/>
      </c>
      <c r="J33" s="145"/>
      <c r="K33" s="507" t="str">
        <f>IF(J33="","",IF(VLOOKUP(J33,'G-3 Multipliers'!$L$3:$N$6,2,FALSE)=0,"Spatial Data Missing",VLOOKUP(J33,'G-3 Multipliers'!$L$3:$N$6,2,FALSE)))</f>
        <v/>
      </c>
      <c r="L33" s="505" t="str">
        <f>IF(J33="","",IF(VLOOKUP(J33,'G-3 Multipliers'!$L$3:$N$6,3,FALSE)=0,"Spatial Data Missing ⚠",VLOOKUP(J33,'G-3 Multipliers'!$L$3:$N$6,3,FALSE)))</f>
        <v/>
      </c>
      <c r="M33" s="506" t="str">
        <f>IF(D33="","",VLOOKUP(D33,'G-6 Hedgerow Data'!$B$1:$AH$15,33,FALSE))</f>
        <v/>
      </c>
      <c r="N33" s="513" t="str">
        <f t="shared" si="2"/>
        <v/>
      </c>
      <c r="O33" s="40"/>
      <c r="P33" s="154"/>
      <c r="Q33" s="203"/>
      <c r="R33" s="532" t="str">
        <f t="shared" si="3"/>
        <v/>
      </c>
      <c r="S33" s="532" t="str">
        <f t="shared" si="4"/>
        <v/>
      </c>
      <c r="T33" s="532" t="str">
        <f t="shared" si="5"/>
        <v/>
      </c>
      <c r="U33" s="557" t="str">
        <f t="shared" si="6"/>
        <v/>
      </c>
      <c r="V33" s="151"/>
      <c r="W33" s="152"/>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c r="AL33" s="31" t="str">
        <f>IFERROR(INDEX('G-6 Hedgerow Data'!$BJ$3:$BJ$15,MATCH(D33,'G-6 Hedgerow Data'!$B$3:$B$15,0)),"")</f>
        <v/>
      </c>
    </row>
    <row r="34" spans="2:38" ht="13.8" x14ac:dyDescent="0.25">
      <c r="B34" s="141">
        <v>25</v>
      </c>
      <c r="C34" s="203"/>
      <c r="D34" s="203"/>
      <c r="E34" s="153"/>
      <c r="F34" s="553" t="str">
        <f>IF(D34="","",VLOOKUP(D34,'G-6 Hedgerow Data'!$B$2:$AG$15,2,FALSE))</f>
        <v/>
      </c>
      <c r="G34" s="499" t="str">
        <f>IF(D34="","",VLOOKUP(D34,'G-6 Hedgerow Data'!$B$2:$AG$15,3,FALSE))</f>
        <v/>
      </c>
      <c r="H34" s="145"/>
      <c r="I34" s="499" t="str">
        <f>IFERROR(VLOOKUP(H34,'G-1 All Habitats'!$Z$2:$AA$9,2,FALSE),"")</f>
        <v/>
      </c>
      <c r="J34" s="145"/>
      <c r="K34" s="507" t="str">
        <f>IF(J34="","",IF(VLOOKUP(J34,'G-3 Multipliers'!$L$3:$N$6,2,FALSE)=0,"Spatial Data Missing",VLOOKUP(J34,'G-3 Multipliers'!$L$3:$N$6,2,FALSE)))</f>
        <v/>
      </c>
      <c r="L34" s="505" t="str">
        <f>IF(J34="","",IF(VLOOKUP(J34,'G-3 Multipliers'!$L$3:$N$6,3,FALSE)=0,"Spatial Data Missing ⚠",VLOOKUP(J34,'G-3 Multipliers'!$L$3:$N$6,3,FALSE)))</f>
        <v/>
      </c>
      <c r="M34" s="506" t="str">
        <f>IF(D34="","",VLOOKUP(D34,'G-6 Hedgerow Data'!$B$1:$AH$15,33,FALSE))</f>
        <v/>
      </c>
      <c r="N34" s="513" t="str">
        <f t="shared" si="2"/>
        <v/>
      </c>
      <c r="O34" s="40"/>
      <c r="P34" s="154"/>
      <c r="Q34" s="203"/>
      <c r="R34" s="532" t="str">
        <f t="shared" si="3"/>
        <v/>
      </c>
      <c r="S34" s="532" t="str">
        <f t="shared" si="4"/>
        <v/>
      </c>
      <c r="T34" s="532" t="str">
        <f t="shared" si="5"/>
        <v/>
      </c>
      <c r="U34" s="557" t="str">
        <f t="shared" si="6"/>
        <v/>
      </c>
      <c r="V34" s="151"/>
      <c r="W34" s="152"/>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c r="AL34" s="31" t="str">
        <f>IFERROR(INDEX('G-6 Hedgerow Data'!$BJ$3:$BJ$15,MATCH(D34,'G-6 Hedgerow Data'!$B$3:$B$15,0)),"")</f>
        <v/>
      </c>
    </row>
    <row r="35" spans="2:38" ht="13.8" x14ac:dyDescent="0.25">
      <c r="B35" s="141">
        <v>26</v>
      </c>
      <c r="C35" s="203"/>
      <c r="D35" s="203"/>
      <c r="E35" s="153"/>
      <c r="F35" s="553" t="str">
        <f>IF(D35="","",VLOOKUP(D35,'G-6 Hedgerow Data'!$B$2:$AG$15,2,FALSE))</f>
        <v/>
      </c>
      <c r="G35" s="499" t="str">
        <f>IF(D35="","",VLOOKUP(D35,'G-6 Hedgerow Data'!$B$2:$AG$15,3,FALSE))</f>
        <v/>
      </c>
      <c r="H35" s="145"/>
      <c r="I35" s="499" t="str">
        <f>IFERROR(VLOOKUP(H35,'G-1 All Habitats'!$Z$2:$AA$9,2,FALSE),"")</f>
        <v/>
      </c>
      <c r="J35" s="145"/>
      <c r="K35" s="507" t="str">
        <f>IF(J35="","",IF(VLOOKUP(J35,'G-3 Multipliers'!$L$3:$N$6,2,FALSE)=0,"Spatial Data Missing",VLOOKUP(J35,'G-3 Multipliers'!$L$3:$N$6,2,FALSE)))</f>
        <v/>
      </c>
      <c r="L35" s="505" t="str">
        <f>IF(J35="","",IF(VLOOKUP(J35,'G-3 Multipliers'!$L$3:$N$6,3,FALSE)=0,"Spatial Data Missing ⚠",VLOOKUP(J35,'G-3 Multipliers'!$L$3:$N$6,3,FALSE)))</f>
        <v/>
      </c>
      <c r="M35" s="506" t="str">
        <f>IF(D35="","",VLOOKUP(D35,'G-6 Hedgerow Data'!$B$1:$AH$15,33,FALSE))</f>
        <v/>
      </c>
      <c r="N35" s="513" t="str">
        <f t="shared" si="2"/>
        <v/>
      </c>
      <c r="O35" s="40"/>
      <c r="P35" s="154"/>
      <c r="Q35" s="203"/>
      <c r="R35" s="532" t="str">
        <f t="shared" si="3"/>
        <v/>
      </c>
      <c r="S35" s="532" t="str">
        <f t="shared" si="4"/>
        <v/>
      </c>
      <c r="T35" s="532" t="str">
        <f t="shared" si="5"/>
        <v/>
      </c>
      <c r="U35" s="557" t="str">
        <f t="shared" si="6"/>
        <v/>
      </c>
      <c r="V35" s="151"/>
      <c r="W35" s="152"/>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c r="AL35" s="31" t="str">
        <f>IFERROR(INDEX('G-6 Hedgerow Data'!$BJ$3:$BJ$15,MATCH(D35,'G-6 Hedgerow Data'!$B$3:$B$15,0)),"")</f>
        <v/>
      </c>
    </row>
    <row r="36" spans="2:38" ht="13.8" x14ac:dyDescent="0.25">
      <c r="B36" s="141">
        <v>27</v>
      </c>
      <c r="C36" s="203"/>
      <c r="D36" s="203"/>
      <c r="E36" s="153"/>
      <c r="F36" s="553" t="str">
        <f>IF(D36="","",VLOOKUP(D36,'G-6 Hedgerow Data'!$B$2:$AG$15,2,FALSE))</f>
        <v/>
      </c>
      <c r="G36" s="499" t="str">
        <f>IF(D36="","",VLOOKUP(D36,'G-6 Hedgerow Data'!$B$2:$AG$15,3,FALSE))</f>
        <v/>
      </c>
      <c r="H36" s="145"/>
      <c r="I36" s="499" t="str">
        <f>IFERROR(VLOOKUP(H36,'G-1 All Habitats'!$Z$2:$AA$9,2,FALSE),"")</f>
        <v/>
      </c>
      <c r="J36" s="145"/>
      <c r="K36" s="507" t="str">
        <f>IF(J36="","",IF(VLOOKUP(J36,'G-3 Multipliers'!$L$3:$N$6,2,FALSE)=0,"Spatial Data Missing",VLOOKUP(J36,'G-3 Multipliers'!$L$3:$N$6,2,FALSE)))</f>
        <v/>
      </c>
      <c r="L36" s="505" t="str">
        <f>IF(J36="","",IF(VLOOKUP(J36,'G-3 Multipliers'!$L$3:$N$6,3,FALSE)=0,"Spatial Data Missing ⚠",VLOOKUP(J36,'G-3 Multipliers'!$L$3:$N$6,3,FALSE)))</f>
        <v/>
      </c>
      <c r="M36" s="506" t="str">
        <f>IF(D36="","",VLOOKUP(D36,'G-6 Hedgerow Data'!$B$1:$AH$15,33,FALSE))</f>
        <v/>
      </c>
      <c r="N36" s="513" t="str">
        <f t="shared" si="2"/>
        <v/>
      </c>
      <c r="O36" s="40"/>
      <c r="P36" s="154"/>
      <c r="Q36" s="203"/>
      <c r="R36" s="532" t="str">
        <f t="shared" si="3"/>
        <v/>
      </c>
      <c r="S36" s="532" t="str">
        <f t="shared" si="4"/>
        <v/>
      </c>
      <c r="T36" s="532" t="str">
        <f t="shared" si="5"/>
        <v/>
      </c>
      <c r="U36" s="557" t="str">
        <f t="shared" si="6"/>
        <v/>
      </c>
      <c r="V36" s="151"/>
      <c r="W36" s="152"/>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c r="AL36" s="31" t="str">
        <f>IFERROR(INDEX('G-6 Hedgerow Data'!$BJ$3:$BJ$15,MATCH(D36,'G-6 Hedgerow Data'!$B$3:$B$15,0)),"")</f>
        <v/>
      </c>
    </row>
    <row r="37" spans="2:38" ht="13.8" x14ac:dyDescent="0.25">
      <c r="B37" s="141">
        <v>28</v>
      </c>
      <c r="C37" s="203"/>
      <c r="D37" s="203"/>
      <c r="E37" s="153"/>
      <c r="F37" s="553" t="str">
        <f>IF(D37="","",VLOOKUP(D37,'G-6 Hedgerow Data'!$B$2:$AG$15,2,FALSE))</f>
        <v/>
      </c>
      <c r="G37" s="499" t="str">
        <f>IF(D37="","",VLOOKUP(D37,'G-6 Hedgerow Data'!$B$2:$AG$15,3,FALSE))</f>
        <v/>
      </c>
      <c r="H37" s="145"/>
      <c r="I37" s="499" t="str">
        <f>IFERROR(VLOOKUP(H37,'G-1 All Habitats'!$Z$2:$AA$9,2,FALSE),"")</f>
        <v/>
      </c>
      <c r="J37" s="145"/>
      <c r="K37" s="507" t="str">
        <f>IF(J37="","",IF(VLOOKUP(J37,'G-3 Multipliers'!$L$3:$N$6,2,FALSE)=0,"Spatial Data Missing",VLOOKUP(J37,'G-3 Multipliers'!$L$3:$N$6,2,FALSE)))</f>
        <v/>
      </c>
      <c r="L37" s="505" t="str">
        <f>IF(J37="","",IF(VLOOKUP(J37,'G-3 Multipliers'!$L$3:$N$6,3,FALSE)=0,"Spatial Data Missing ⚠",VLOOKUP(J37,'G-3 Multipliers'!$L$3:$N$6,3,FALSE)))</f>
        <v/>
      </c>
      <c r="M37" s="506" t="str">
        <f>IF(D37="","",VLOOKUP(D37,'G-6 Hedgerow Data'!$B$1:$AH$15,33,FALSE))</f>
        <v/>
      </c>
      <c r="N37" s="513" t="str">
        <f t="shared" si="2"/>
        <v/>
      </c>
      <c r="O37" s="40"/>
      <c r="P37" s="154"/>
      <c r="Q37" s="203"/>
      <c r="R37" s="532" t="str">
        <f t="shared" si="3"/>
        <v/>
      </c>
      <c r="S37" s="532" t="str">
        <f t="shared" si="4"/>
        <v/>
      </c>
      <c r="T37" s="532" t="str">
        <f t="shared" si="5"/>
        <v/>
      </c>
      <c r="U37" s="557" t="str">
        <f t="shared" si="6"/>
        <v/>
      </c>
      <c r="V37" s="151"/>
      <c r="W37" s="152"/>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c r="AL37" s="31" t="str">
        <f>IFERROR(INDEX('G-6 Hedgerow Data'!$BJ$3:$BJ$15,MATCH(D37,'G-6 Hedgerow Data'!$B$3:$B$15,0)),"")</f>
        <v/>
      </c>
    </row>
    <row r="38" spans="2:38" ht="13.8" x14ac:dyDescent="0.25">
      <c r="B38" s="141">
        <v>29</v>
      </c>
      <c r="C38" s="203"/>
      <c r="D38" s="203"/>
      <c r="E38" s="153"/>
      <c r="F38" s="553" t="str">
        <f>IF(D38="","",VLOOKUP(D38,'G-6 Hedgerow Data'!$B$2:$AG$15,2,FALSE))</f>
        <v/>
      </c>
      <c r="G38" s="499" t="str">
        <f>IF(D38="","",VLOOKUP(D38,'G-6 Hedgerow Data'!$B$2:$AG$15,3,FALSE))</f>
        <v/>
      </c>
      <c r="H38" s="145"/>
      <c r="I38" s="499" t="str">
        <f>IFERROR(VLOOKUP(H38,'G-1 All Habitats'!$Z$2:$AA$9,2,FALSE),"")</f>
        <v/>
      </c>
      <c r="J38" s="145"/>
      <c r="K38" s="507" t="str">
        <f>IF(J38="","",IF(VLOOKUP(J38,'G-3 Multipliers'!$L$3:$N$6,2,FALSE)=0,"Spatial Data Missing",VLOOKUP(J38,'G-3 Multipliers'!$L$3:$N$6,2,FALSE)))</f>
        <v/>
      </c>
      <c r="L38" s="505" t="str">
        <f>IF(J38="","",IF(VLOOKUP(J38,'G-3 Multipliers'!$L$3:$N$6,3,FALSE)=0,"Spatial Data Missing ⚠",VLOOKUP(J38,'G-3 Multipliers'!$L$3:$N$6,3,FALSE)))</f>
        <v/>
      </c>
      <c r="M38" s="506" t="str">
        <f>IF(D38="","",VLOOKUP(D38,'G-6 Hedgerow Data'!$B$1:$AH$15,33,FALSE))</f>
        <v/>
      </c>
      <c r="N38" s="513" t="str">
        <f t="shared" si="2"/>
        <v/>
      </c>
      <c r="O38" s="40"/>
      <c r="P38" s="154"/>
      <c r="Q38" s="203"/>
      <c r="R38" s="532" t="str">
        <f t="shared" si="3"/>
        <v/>
      </c>
      <c r="S38" s="532" t="str">
        <f t="shared" si="4"/>
        <v/>
      </c>
      <c r="T38" s="532" t="str">
        <f t="shared" si="5"/>
        <v/>
      </c>
      <c r="U38" s="557" t="str">
        <f t="shared" si="6"/>
        <v/>
      </c>
      <c r="V38" s="151"/>
      <c r="W38" s="152"/>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c r="AL38" s="31" t="str">
        <f>IFERROR(INDEX('G-6 Hedgerow Data'!$BJ$3:$BJ$15,MATCH(D38,'G-6 Hedgerow Data'!$B$3:$B$15,0)),"")</f>
        <v/>
      </c>
    </row>
    <row r="39" spans="2:38" ht="13.8" x14ac:dyDescent="0.25">
      <c r="B39" s="141">
        <v>30</v>
      </c>
      <c r="C39" s="203"/>
      <c r="D39" s="203"/>
      <c r="E39" s="153"/>
      <c r="F39" s="553" t="str">
        <f>IF(D39="","",VLOOKUP(D39,'G-6 Hedgerow Data'!$B$2:$AG$15,2,FALSE))</f>
        <v/>
      </c>
      <c r="G39" s="499" t="str">
        <f>IF(D39="","",VLOOKUP(D39,'G-6 Hedgerow Data'!$B$2:$AG$15,3,FALSE))</f>
        <v/>
      </c>
      <c r="H39" s="145"/>
      <c r="I39" s="499" t="str">
        <f>IFERROR(VLOOKUP(H39,'G-1 All Habitats'!$Z$2:$AA$9,2,FALSE),"")</f>
        <v/>
      </c>
      <c r="J39" s="145"/>
      <c r="K39" s="507" t="str">
        <f>IF(J39="","",IF(VLOOKUP(J39,'G-3 Multipliers'!$L$3:$N$6,2,FALSE)=0,"Spatial Data Missing",VLOOKUP(J39,'G-3 Multipliers'!$L$3:$N$6,2,FALSE)))</f>
        <v/>
      </c>
      <c r="L39" s="505" t="str">
        <f>IF(J39="","",IF(VLOOKUP(J39,'G-3 Multipliers'!$L$3:$N$6,3,FALSE)=0,"Spatial Data Missing ⚠",VLOOKUP(J39,'G-3 Multipliers'!$L$3:$N$6,3,FALSE)))</f>
        <v/>
      </c>
      <c r="M39" s="506" t="str">
        <f>IF(D39="","",VLOOKUP(D39,'G-6 Hedgerow Data'!$B$1:$AH$15,33,FALSE))</f>
        <v/>
      </c>
      <c r="N39" s="513" t="str">
        <f t="shared" si="2"/>
        <v/>
      </c>
      <c r="O39" s="40"/>
      <c r="P39" s="154"/>
      <c r="Q39" s="203"/>
      <c r="R39" s="532" t="str">
        <f t="shared" si="3"/>
        <v/>
      </c>
      <c r="S39" s="532" t="str">
        <f t="shared" si="4"/>
        <v/>
      </c>
      <c r="T39" s="532" t="str">
        <f t="shared" si="5"/>
        <v/>
      </c>
      <c r="U39" s="557" t="str">
        <f t="shared" si="6"/>
        <v/>
      </c>
      <c r="V39" s="151"/>
      <c r="W39" s="152"/>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c r="AL39" s="31" t="str">
        <f>IFERROR(INDEX('G-6 Hedgerow Data'!$BJ$3:$BJ$15,MATCH(D39,'G-6 Hedgerow Data'!$B$3:$B$15,0)),"")</f>
        <v/>
      </c>
    </row>
    <row r="40" spans="2:38" ht="13.8" x14ac:dyDescent="0.25">
      <c r="B40" s="141">
        <v>31</v>
      </c>
      <c r="C40" s="203"/>
      <c r="D40" s="203"/>
      <c r="E40" s="153"/>
      <c r="F40" s="553" t="str">
        <f>IF(D40="","",VLOOKUP(D40,'G-6 Hedgerow Data'!$B$2:$AG$15,2,FALSE))</f>
        <v/>
      </c>
      <c r="G40" s="499" t="str">
        <f>IF(D40="","",VLOOKUP(D40,'G-6 Hedgerow Data'!$B$2:$AG$15,3,FALSE))</f>
        <v/>
      </c>
      <c r="H40" s="145"/>
      <c r="I40" s="499" t="str">
        <f>IFERROR(VLOOKUP(H40,'G-1 All Habitats'!$Z$2:$AA$9,2,FALSE),"")</f>
        <v/>
      </c>
      <c r="J40" s="145"/>
      <c r="K40" s="507" t="str">
        <f>IF(J40="","",IF(VLOOKUP(J40,'G-3 Multipliers'!$L$3:$N$6,2,FALSE)=0,"Spatial Data Missing",VLOOKUP(J40,'G-3 Multipliers'!$L$3:$N$6,2,FALSE)))</f>
        <v/>
      </c>
      <c r="L40" s="505" t="str">
        <f>IF(J40="","",IF(VLOOKUP(J40,'G-3 Multipliers'!$L$3:$N$6,3,FALSE)=0,"Spatial Data Missing ⚠",VLOOKUP(J40,'G-3 Multipliers'!$L$3:$N$6,3,FALSE)))</f>
        <v/>
      </c>
      <c r="M40" s="506" t="str">
        <f>IF(D40="","",VLOOKUP(D40,'G-6 Hedgerow Data'!$B$1:$AH$15,33,FALSE))</f>
        <v/>
      </c>
      <c r="N40" s="513" t="str">
        <f t="shared" si="2"/>
        <v/>
      </c>
      <c r="O40" s="40"/>
      <c r="P40" s="154"/>
      <c r="Q40" s="203"/>
      <c r="R40" s="532" t="str">
        <f t="shared" si="3"/>
        <v/>
      </c>
      <c r="S40" s="532" t="str">
        <f t="shared" si="4"/>
        <v/>
      </c>
      <c r="T40" s="532" t="str">
        <f t="shared" si="5"/>
        <v/>
      </c>
      <c r="U40" s="557" t="str">
        <f t="shared" si="6"/>
        <v/>
      </c>
      <c r="V40" s="151"/>
      <c r="W40" s="152"/>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c r="AL40" s="31" t="str">
        <f>IFERROR(INDEX('G-6 Hedgerow Data'!$BJ$3:$BJ$15,MATCH(D40,'G-6 Hedgerow Data'!$B$3:$B$15,0)),"")</f>
        <v/>
      </c>
    </row>
    <row r="41" spans="2:38" ht="13.8" x14ac:dyDescent="0.25">
      <c r="B41" s="141">
        <v>32</v>
      </c>
      <c r="C41" s="203"/>
      <c r="D41" s="203"/>
      <c r="E41" s="153"/>
      <c r="F41" s="553" t="str">
        <f>IF(D41="","",VLOOKUP(D41,'G-6 Hedgerow Data'!$B$2:$AG$15,2,FALSE))</f>
        <v/>
      </c>
      <c r="G41" s="499" t="str">
        <f>IF(D41="","",VLOOKUP(D41,'G-6 Hedgerow Data'!$B$2:$AG$15,3,FALSE))</f>
        <v/>
      </c>
      <c r="H41" s="145"/>
      <c r="I41" s="499" t="str">
        <f>IFERROR(VLOOKUP(H41,'G-1 All Habitats'!$Z$2:$AA$9,2,FALSE),"")</f>
        <v/>
      </c>
      <c r="J41" s="145"/>
      <c r="K41" s="507" t="str">
        <f>IF(J41="","",IF(VLOOKUP(J41,'G-3 Multipliers'!$L$3:$N$6,2,FALSE)=0,"Spatial Data Missing",VLOOKUP(J41,'G-3 Multipliers'!$L$3:$N$6,2,FALSE)))</f>
        <v/>
      </c>
      <c r="L41" s="505" t="str">
        <f>IF(J41="","",IF(VLOOKUP(J41,'G-3 Multipliers'!$L$3:$N$6,3,FALSE)=0,"Spatial Data Missing ⚠",VLOOKUP(J41,'G-3 Multipliers'!$L$3:$N$6,3,FALSE)))</f>
        <v/>
      </c>
      <c r="M41" s="506" t="str">
        <f>IF(D41="","",VLOOKUP(D41,'G-6 Hedgerow Data'!$B$1:$AH$15,33,FALSE))</f>
        <v/>
      </c>
      <c r="N41" s="513" t="str">
        <f t="shared" si="2"/>
        <v/>
      </c>
      <c r="O41" s="40"/>
      <c r="P41" s="154"/>
      <c r="Q41" s="203"/>
      <c r="R41" s="532" t="str">
        <f t="shared" si="3"/>
        <v/>
      </c>
      <c r="S41" s="532" t="str">
        <f t="shared" si="4"/>
        <v/>
      </c>
      <c r="T41" s="532" t="str">
        <f t="shared" si="5"/>
        <v/>
      </c>
      <c r="U41" s="557" t="str">
        <f t="shared" si="6"/>
        <v/>
      </c>
      <c r="V41" s="151"/>
      <c r="W41" s="152"/>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c r="AL41" s="31" t="str">
        <f>IFERROR(INDEX('G-6 Hedgerow Data'!$BJ$3:$BJ$15,MATCH(D41,'G-6 Hedgerow Data'!$B$3:$B$15,0)),"")</f>
        <v/>
      </c>
    </row>
    <row r="42" spans="2:38" ht="13.8" x14ac:dyDescent="0.25">
      <c r="B42" s="141">
        <v>33</v>
      </c>
      <c r="C42" s="203"/>
      <c r="D42" s="203"/>
      <c r="E42" s="153"/>
      <c r="F42" s="553" t="str">
        <f>IF(D42="","",VLOOKUP(D42,'G-6 Hedgerow Data'!$B$2:$AG$15,2,FALSE))</f>
        <v/>
      </c>
      <c r="G42" s="499" t="str">
        <f>IF(D42="","",VLOOKUP(D42,'G-6 Hedgerow Data'!$B$2:$AG$15,3,FALSE))</f>
        <v/>
      </c>
      <c r="H42" s="145"/>
      <c r="I42" s="499" t="str">
        <f>IFERROR(VLOOKUP(H42,'G-1 All Habitats'!$Z$2:$AA$9,2,FALSE),"")</f>
        <v/>
      </c>
      <c r="J42" s="145"/>
      <c r="K42" s="507" t="str">
        <f>IF(J42="","",IF(VLOOKUP(J42,'G-3 Multipliers'!$L$3:$N$6,2,FALSE)=0,"Spatial Data Missing",VLOOKUP(J42,'G-3 Multipliers'!$L$3:$N$6,2,FALSE)))</f>
        <v/>
      </c>
      <c r="L42" s="505" t="str">
        <f>IF(J42="","",IF(VLOOKUP(J42,'G-3 Multipliers'!$L$3:$N$6,3,FALSE)=0,"Spatial Data Missing ⚠",VLOOKUP(J42,'G-3 Multipliers'!$L$3:$N$6,3,FALSE)))</f>
        <v/>
      </c>
      <c r="M42" s="506" t="str">
        <f>IF(D42="","",VLOOKUP(D42,'G-6 Hedgerow Data'!$B$1:$AH$15,33,FALSE))</f>
        <v/>
      </c>
      <c r="N42" s="513" t="str">
        <f t="shared" si="2"/>
        <v/>
      </c>
      <c r="O42" s="40"/>
      <c r="P42" s="154"/>
      <c r="Q42" s="203"/>
      <c r="R42" s="532" t="str">
        <f t="shared" si="3"/>
        <v/>
      </c>
      <c r="S42" s="532" t="str">
        <f t="shared" si="4"/>
        <v/>
      </c>
      <c r="T42" s="532" t="str">
        <f t="shared" si="5"/>
        <v/>
      </c>
      <c r="U42" s="557" t="str">
        <f t="shared" si="6"/>
        <v/>
      </c>
      <c r="V42" s="151"/>
      <c r="W42" s="152"/>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c r="AL42" s="31" t="str">
        <f>IFERROR(INDEX('G-6 Hedgerow Data'!$BJ$3:$BJ$15,MATCH(D42,'G-6 Hedgerow Data'!$B$3:$B$15,0)),"")</f>
        <v/>
      </c>
    </row>
    <row r="43" spans="2:38" ht="13.8" x14ac:dyDescent="0.25">
      <c r="B43" s="141">
        <v>34</v>
      </c>
      <c r="C43" s="203"/>
      <c r="D43" s="203"/>
      <c r="E43" s="153"/>
      <c r="F43" s="553" t="str">
        <f>IF(D43="","",VLOOKUP(D43,'G-6 Hedgerow Data'!$B$2:$AG$15,2,FALSE))</f>
        <v/>
      </c>
      <c r="G43" s="499" t="str">
        <f>IF(D43="","",VLOOKUP(D43,'G-6 Hedgerow Data'!$B$2:$AG$15,3,FALSE))</f>
        <v/>
      </c>
      <c r="H43" s="145"/>
      <c r="I43" s="499" t="str">
        <f>IFERROR(VLOOKUP(H43,'G-1 All Habitats'!$Z$2:$AA$9,2,FALSE),"")</f>
        <v/>
      </c>
      <c r="J43" s="145"/>
      <c r="K43" s="507" t="str">
        <f>IF(J43="","",IF(VLOOKUP(J43,'G-3 Multipliers'!$L$3:$N$6,2,FALSE)=0,"Spatial Data Missing",VLOOKUP(J43,'G-3 Multipliers'!$L$3:$N$6,2,FALSE)))</f>
        <v/>
      </c>
      <c r="L43" s="505" t="str">
        <f>IF(J43="","",IF(VLOOKUP(J43,'G-3 Multipliers'!$L$3:$N$6,3,FALSE)=0,"Spatial Data Missing ⚠",VLOOKUP(J43,'G-3 Multipliers'!$L$3:$N$6,3,FALSE)))</f>
        <v/>
      </c>
      <c r="M43" s="506" t="str">
        <f>IF(D43="","",VLOOKUP(D43,'G-6 Hedgerow Data'!$B$1:$AH$15,33,FALSE))</f>
        <v/>
      </c>
      <c r="N43" s="513" t="str">
        <f t="shared" si="2"/>
        <v/>
      </c>
      <c r="O43" s="40"/>
      <c r="P43" s="154"/>
      <c r="Q43" s="203"/>
      <c r="R43" s="532" t="str">
        <f t="shared" si="3"/>
        <v/>
      </c>
      <c r="S43" s="532" t="str">
        <f t="shared" si="4"/>
        <v/>
      </c>
      <c r="T43" s="532" t="str">
        <f t="shared" si="5"/>
        <v/>
      </c>
      <c r="U43" s="557" t="str">
        <f t="shared" si="6"/>
        <v/>
      </c>
      <c r="V43" s="151"/>
      <c r="W43" s="152"/>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c r="AL43" s="31" t="str">
        <f>IFERROR(INDEX('G-6 Hedgerow Data'!$BJ$3:$BJ$15,MATCH(D43,'G-6 Hedgerow Data'!$B$3:$B$15,0)),"")</f>
        <v/>
      </c>
    </row>
    <row r="44" spans="2:38" ht="13.8" x14ac:dyDescent="0.25">
      <c r="B44" s="141">
        <v>35</v>
      </c>
      <c r="C44" s="203"/>
      <c r="D44" s="203"/>
      <c r="E44" s="153"/>
      <c r="F44" s="553" t="str">
        <f>IF(D44="","",VLOOKUP(D44,'G-6 Hedgerow Data'!$B$2:$AG$15,2,FALSE))</f>
        <v/>
      </c>
      <c r="G44" s="499" t="str">
        <f>IF(D44="","",VLOOKUP(D44,'G-6 Hedgerow Data'!$B$2:$AG$15,3,FALSE))</f>
        <v/>
      </c>
      <c r="H44" s="145"/>
      <c r="I44" s="499" t="str">
        <f>IFERROR(VLOOKUP(H44,'G-1 All Habitats'!$Z$2:$AA$9,2,FALSE),"")</f>
        <v/>
      </c>
      <c r="J44" s="145"/>
      <c r="K44" s="507" t="str">
        <f>IF(J44="","",IF(VLOOKUP(J44,'G-3 Multipliers'!$L$3:$N$6,2,FALSE)=0,"Spatial Data Missing",VLOOKUP(J44,'G-3 Multipliers'!$L$3:$N$6,2,FALSE)))</f>
        <v/>
      </c>
      <c r="L44" s="505" t="str">
        <f>IF(J44="","",IF(VLOOKUP(J44,'G-3 Multipliers'!$L$3:$N$6,3,FALSE)=0,"Spatial Data Missing ⚠",VLOOKUP(J44,'G-3 Multipliers'!$L$3:$N$6,3,FALSE)))</f>
        <v/>
      </c>
      <c r="M44" s="506" t="str">
        <f>IF(D44="","",VLOOKUP(D44,'G-6 Hedgerow Data'!$B$1:$AH$15,33,FALSE))</f>
        <v/>
      </c>
      <c r="N44" s="513" t="str">
        <f t="shared" si="2"/>
        <v/>
      </c>
      <c r="O44" s="40"/>
      <c r="P44" s="154"/>
      <c r="Q44" s="203"/>
      <c r="R44" s="532" t="str">
        <f t="shared" si="3"/>
        <v/>
      </c>
      <c r="S44" s="532" t="str">
        <f t="shared" si="4"/>
        <v/>
      </c>
      <c r="T44" s="532" t="str">
        <f t="shared" si="5"/>
        <v/>
      </c>
      <c r="U44" s="557" t="str">
        <f t="shared" si="6"/>
        <v/>
      </c>
      <c r="V44" s="151"/>
      <c r="W44" s="152"/>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c r="AL44" s="31" t="str">
        <f>IFERROR(INDEX('G-6 Hedgerow Data'!$BJ$3:$BJ$15,MATCH(D44,'G-6 Hedgerow Data'!$B$3:$B$15,0)),"")</f>
        <v/>
      </c>
    </row>
    <row r="45" spans="2:38" ht="13.8" x14ac:dyDescent="0.25">
      <c r="B45" s="141">
        <v>36</v>
      </c>
      <c r="C45" s="203"/>
      <c r="D45" s="203"/>
      <c r="E45" s="153"/>
      <c r="F45" s="553" t="str">
        <f>IF(D45="","",VLOOKUP(D45,'G-6 Hedgerow Data'!$B$2:$AG$15,2,FALSE))</f>
        <v/>
      </c>
      <c r="G45" s="499" t="str">
        <f>IF(D45="","",VLOOKUP(D45,'G-6 Hedgerow Data'!$B$2:$AG$15,3,FALSE))</f>
        <v/>
      </c>
      <c r="H45" s="145"/>
      <c r="I45" s="499" t="str">
        <f>IFERROR(VLOOKUP(H45,'G-1 All Habitats'!$Z$2:$AA$9,2,FALSE),"")</f>
        <v/>
      </c>
      <c r="J45" s="145"/>
      <c r="K45" s="507" t="str">
        <f>IF(J45="","",IF(VLOOKUP(J45,'G-3 Multipliers'!$L$3:$N$6,2,FALSE)=0,"Spatial Data Missing",VLOOKUP(J45,'G-3 Multipliers'!$L$3:$N$6,2,FALSE)))</f>
        <v/>
      </c>
      <c r="L45" s="505" t="str">
        <f>IF(J45="","",IF(VLOOKUP(J45,'G-3 Multipliers'!$L$3:$N$6,3,FALSE)=0,"Spatial Data Missing ⚠",VLOOKUP(J45,'G-3 Multipliers'!$L$3:$N$6,3,FALSE)))</f>
        <v/>
      </c>
      <c r="M45" s="506" t="str">
        <f>IF(D45="","",VLOOKUP(D45,'G-6 Hedgerow Data'!$B$1:$AH$15,33,FALSE))</f>
        <v/>
      </c>
      <c r="N45" s="513" t="str">
        <f t="shared" si="2"/>
        <v/>
      </c>
      <c r="O45" s="40"/>
      <c r="P45" s="154"/>
      <c r="Q45" s="203"/>
      <c r="R45" s="532" t="str">
        <f t="shared" si="3"/>
        <v/>
      </c>
      <c r="S45" s="532" t="str">
        <f t="shared" si="4"/>
        <v/>
      </c>
      <c r="T45" s="532" t="str">
        <f t="shared" si="5"/>
        <v/>
      </c>
      <c r="U45" s="557" t="str">
        <f t="shared" si="6"/>
        <v/>
      </c>
      <c r="V45" s="151"/>
      <c r="W45" s="152"/>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c r="AL45" s="31" t="str">
        <f>IFERROR(INDEX('G-6 Hedgerow Data'!$BJ$3:$BJ$15,MATCH(D45,'G-6 Hedgerow Data'!$B$3:$B$15,0)),"")</f>
        <v/>
      </c>
    </row>
    <row r="46" spans="2:38" ht="13.8" x14ac:dyDescent="0.25">
      <c r="B46" s="141">
        <v>37</v>
      </c>
      <c r="C46" s="203"/>
      <c r="D46" s="203"/>
      <c r="E46" s="153"/>
      <c r="F46" s="553" t="str">
        <f>IF(D46="","",VLOOKUP(D46,'G-6 Hedgerow Data'!$B$2:$AG$15,2,FALSE))</f>
        <v/>
      </c>
      <c r="G46" s="499" t="str">
        <f>IF(D46="","",VLOOKUP(D46,'G-6 Hedgerow Data'!$B$2:$AG$15,3,FALSE))</f>
        <v/>
      </c>
      <c r="H46" s="145"/>
      <c r="I46" s="499" t="str">
        <f>IFERROR(VLOOKUP(H46,'G-1 All Habitats'!$Z$2:$AA$9,2,FALSE),"")</f>
        <v/>
      </c>
      <c r="J46" s="145"/>
      <c r="K46" s="507" t="str">
        <f>IF(J46="","",IF(VLOOKUP(J46,'G-3 Multipliers'!$L$3:$N$6,2,FALSE)=0,"Spatial Data Missing",VLOOKUP(J46,'G-3 Multipliers'!$L$3:$N$6,2,FALSE)))</f>
        <v/>
      </c>
      <c r="L46" s="505" t="str">
        <f>IF(J46="","",IF(VLOOKUP(J46,'G-3 Multipliers'!$L$3:$N$6,3,FALSE)=0,"Spatial Data Missing ⚠",VLOOKUP(J46,'G-3 Multipliers'!$L$3:$N$6,3,FALSE)))</f>
        <v/>
      </c>
      <c r="M46" s="506" t="str">
        <f>IF(D46="","",VLOOKUP(D46,'G-6 Hedgerow Data'!$B$1:$AH$15,33,FALSE))</f>
        <v/>
      </c>
      <c r="N46" s="513" t="str">
        <f t="shared" si="2"/>
        <v/>
      </c>
      <c r="O46" s="40"/>
      <c r="P46" s="154"/>
      <c r="Q46" s="203"/>
      <c r="R46" s="532" t="str">
        <f t="shared" si="3"/>
        <v/>
      </c>
      <c r="S46" s="532" t="str">
        <f t="shared" si="4"/>
        <v/>
      </c>
      <c r="T46" s="532" t="str">
        <f t="shared" si="5"/>
        <v/>
      </c>
      <c r="U46" s="557" t="str">
        <f t="shared" si="6"/>
        <v/>
      </c>
      <c r="V46" s="151"/>
      <c r="W46" s="152"/>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c r="AL46" s="31" t="str">
        <f>IFERROR(INDEX('G-6 Hedgerow Data'!$BJ$3:$BJ$15,MATCH(D46,'G-6 Hedgerow Data'!$B$3:$B$15,0)),"")</f>
        <v/>
      </c>
    </row>
    <row r="47" spans="2:38" ht="13.8" x14ac:dyDescent="0.25">
      <c r="B47" s="141">
        <v>38</v>
      </c>
      <c r="C47" s="203"/>
      <c r="D47" s="203"/>
      <c r="E47" s="153"/>
      <c r="F47" s="553" t="str">
        <f>IF(D47="","",VLOOKUP(D47,'G-6 Hedgerow Data'!$B$2:$AG$15,2,FALSE))</f>
        <v/>
      </c>
      <c r="G47" s="499" t="str">
        <f>IF(D47="","",VLOOKUP(D47,'G-6 Hedgerow Data'!$B$2:$AG$15,3,FALSE))</f>
        <v/>
      </c>
      <c r="H47" s="145"/>
      <c r="I47" s="499" t="str">
        <f>IFERROR(VLOOKUP(H47,'G-1 All Habitats'!$Z$2:$AA$9,2,FALSE),"")</f>
        <v/>
      </c>
      <c r="J47" s="145"/>
      <c r="K47" s="507" t="str">
        <f>IF(J47="","",IF(VLOOKUP(J47,'G-3 Multipliers'!$L$3:$N$6,2,FALSE)=0,"Spatial Data Missing",VLOOKUP(J47,'G-3 Multipliers'!$L$3:$N$6,2,FALSE)))</f>
        <v/>
      </c>
      <c r="L47" s="505" t="str">
        <f>IF(J47="","",IF(VLOOKUP(J47,'G-3 Multipliers'!$L$3:$N$6,3,FALSE)=0,"Spatial Data Missing ⚠",VLOOKUP(J47,'G-3 Multipliers'!$L$3:$N$6,3,FALSE)))</f>
        <v/>
      </c>
      <c r="M47" s="506" t="str">
        <f>IF(D47="","",VLOOKUP(D47,'G-6 Hedgerow Data'!$B$1:$AH$15,33,FALSE))</f>
        <v/>
      </c>
      <c r="N47" s="513" t="str">
        <f t="shared" si="2"/>
        <v/>
      </c>
      <c r="O47" s="40"/>
      <c r="P47" s="154"/>
      <c r="Q47" s="203"/>
      <c r="R47" s="532" t="str">
        <f t="shared" si="3"/>
        <v/>
      </c>
      <c r="S47" s="532" t="str">
        <f t="shared" si="4"/>
        <v/>
      </c>
      <c r="T47" s="532" t="str">
        <f t="shared" si="5"/>
        <v/>
      </c>
      <c r="U47" s="557" t="str">
        <f t="shared" si="6"/>
        <v/>
      </c>
      <c r="V47" s="151"/>
      <c r="W47" s="152"/>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c r="AL47" s="31" t="str">
        <f>IFERROR(INDEX('G-6 Hedgerow Data'!$BJ$3:$BJ$15,MATCH(D47,'G-6 Hedgerow Data'!$B$3:$B$15,0)),"")</f>
        <v/>
      </c>
    </row>
    <row r="48" spans="2:38" ht="13.8" x14ac:dyDescent="0.25">
      <c r="B48" s="141">
        <v>39</v>
      </c>
      <c r="C48" s="203"/>
      <c r="D48" s="203"/>
      <c r="E48" s="153"/>
      <c r="F48" s="553" t="str">
        <f>IF(D48="","",VLOOKUP(D48,'G-6 Hedgerow Data'!$B$2:$AG$15,2,FALSE))</f>
        <v/>
      </c>
      <c r="G48" s="499" t="str">
        <f>IF(D48="","",VLOOKUP(D48,'G-6 Hedgerow Data'!$B$2:$AG$15,3,FALSE))</f>
        <v/>
      </c>
      <c r="H48" s="145"/>
      <c r="I48" s="499" t="str">
        <f>IFERROR(VLOOKUP(H48,'G-1 All Habitats'!$Z$2:$AA$9,2,FALSE),"")</f>
        <v/>
      </c>
      <c r="J48" s="145"/>
      <c r="K48" s="507" t="str">
        <f>IF(J48="","",IF(VLOOKUP(J48,'G-3 Multipliers'!$L$3:$N$6,2,FALSE)=0,"Spatial Data Missing",VLOOKUP(J48,'G-3 Multipliers'!$L$3:$N$6,2,FALSE)))</f>
        <v/>
      </c>
      <c r="L48" s="505" t="str">
        <f>IF(J48="","",IF(VLOOKUP(J48,'G-3 Multipliers'!$L$3:$N$6,3,FALSE)=0,"Spatial Data Missing ⚠",VLOOKUP(J48,'G-3 Multipliers'!$L$3:$N$6,3,FALSE)))</f>
        <v/>
      </c>
      <c r="M48" s="506" t="str">
        <f>IF(D48="","",VLOOKUP(D48,'G-6 Hedgerow Data'!$B$1:$AH$15,33,FALSE))</f>
        <v/>
      </c>
      <c r="N48" s="513" t="str">
        <f t="shared" si="2"/>
        <v/>
      </c>
      <c r="O48" s="40"/>
      <c r="P48" s="154"/>
      <c r="Q48" s="203"/>
      <c r="R48" s="532" t="str">
        <f t="shared" si="3"/>
        <v/>
      </c>
      <c r="S48" s="532" t="str">
        <f t="shared" si="4"/>
        <v/>
      </c>
      <c r="T48" s="532" t="str">
        <f t="shared" si="5"/>
        <v/>
      </c>
      <c r="U48" s="557" t="str">
        <f t="shared" si="6"/>
        <v/>
      </c>
      <c r="V48" s="151"/>
      <c r="W48" s="152"/>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c r="AL48" s="31" t="str">
        <f>IFERROR(INDEX('G-6 Hedgerow Data'!$BJ$3:$BJ$15,MATCH(D48,'G-6 Hedgerow Data'!$B$3:$B$15,0)),"")</f>
        <v/>
      </c>
    </row>
    <row r="49" spans="2:38" ht="13.8" x14ac:dyDescent="0.25">
      <c r="B49" s="141">
        <v>40</v>
      </c>
      <c r="C49" s="203"/>
      <c r="D49" s="203"/>
      <c r="E49" s="153"/>
      <c r="F49" s="553" t="str">
        <f>IF(D49="","",VLOOKUP(D49,'G-6 Hedgerow Data'!$B$2:$AG$15,2,FALSE))</f>
        <v/>
      </c>
      <c r="G49" s="499" t="str">
        <f>IF(D49="","",VLOOKUP(D49,'G-6 Hedgerow Data'!$B$2:$AG$15,3,FALSE))</f>
        <v/>
      </c>
      <c r="H49" s="145"/>
      <c r="I49" s="499" t="str">
        <f>IFERROR(VLOOKUP(H49,'G-1 All Habitats'!$Z$2:$AA$9,2,FALSE),"")</f>
        <v/>
      </c>
      <c r="J49" s="145"/>
      <c r="K49" s="507" t="str">
        <f>IF(J49="","",IF(VLOOKUP(J49,'G-3 Multipliers'!$L$3:$N$6,2,FALSE)=0,"Spatial Data Missing",VLOOKUP(J49,'G-3 Multipliers'!$L$3:$N$6,2,FALSE)))</f>
        <v/>
      </c>
      <c r="L49" s="505" t="str">
        <f>IF(J49="","",IF(VLOOKUP(J49,'G-3 Multipliers'!$L$3:$N$6,3,FALSE)=0,"Spatial Data Missing ⚠",VLOOKUP(J49,'G-3 Multipliers'!$L$3:$N$6,3,FALSE)))</f>
        <v/>
      </c>
      <c r="M49" s="506" t="str">
        <f>IF(D49="","",VLOOKUP(D49,'G-6 Hedgerow Data'!$B$1:$AH$15,33,FALSE))</f>
        <v/>
      </c>
      <c r="N49" s="513" t="str">
        <f t="shared" si="2"/>
        <v/>
      </c>
      <c r="O49" s="40"/>
      <c r="P49" s="154"/>
      <c r="Q49" s="203"/>
      <c r="R49" s="532" t="str">
        <f t="shared" si="3"/>
        <v/>
      </c>
      <c r="S49" s="532" t="str">
        <f t="shared" si="4"/>
        <v/>
      </c>
      <c r="T49" s="532" t="str">
        <f t="shared" si="5"/>
        <v/>
      </c>
      <c r="U49" s="557" t="str">
        <f t="shared" si="6"/>
        <v/>
      </c>
      <c r="V49" s="151"/>
      <c r="W49" s="152"/>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c r="AL49" s="31" t="str">
        <f>IFERROR(INDEX('G-6 Hedgerow Data'!$BJ$3:$BJ$15,MATCH(D49,'G-6 Hedgerow Data'!$B$3:$B$15,0)),"")</f>
        <v/>
      </c>
    </row>
    <row r="50" spans="2:38" ht="13.8" x14ac:dyDescent="0.25">
      <c r="B50" s="141">
        <v>41</v>
      </c>
      <c r="C50" s="203"/>
      <c r="D50" s="203"/>
      <c r="E50" s="153"/>
      <c r="F50" s="553" t="str">
        <f>IF(D50="","",VLOOKUP(D50,'G-6 Hedgerow Data'!$B$2:$AG$15,2,FALSE))</f>
        <v/>
      </c>
      <c r="G50" s="499" t="str">
        <f>IF(D50="","",VLOOKUP(D50,'G-6 Hedgerow Data'!$B$2:$AG$15,3,FALSE))</f>
        <v/>
      </c>
      <c r="H50" s="145"/>
      <c r="I50" s="499" t="str">
        <f>IFERROR(VLOOKUP(H50,'G-1 All Habitats'!$Z$2:$AA$9,2,FALSE),"")</f>
        <v/>
      </c>
      <c r="J50" s="145"/>
      <c r="K50" s="507" t="str">
        <f>IF(J50="","",IF(VLOOKUP(J50,'G-3 Multipliers'!$L$3:$N$6,2,FALSE)=0,"Spatial Data Missing",VLOOKUP(J50,'G-3 Multipliers'!$L$3:$N$6,2,FALSE)))</f>
        <v/>
      </c>
      <c r="L50" s="505" t="str">
        <f>IF(J50="","",IF(VLOOKUP(J50,'G-3 Multipliers'!$L$3:$N$6,3,FALSE)=0,"Spatial Data Missing ⚠",VLOOKUP(J50,'G-3 Multipliers'!$L$3:$N$6,3,FALSE)))</f>
        <v/>
      </c>
      <c r="M50" s="506" t="str">
        <f>IF(D50="","",VLOOKUP(D50,'G-6 Hedgerow Data'!$B$1:$AH$15,33,FALSE))</f>
        <v/>
      </c>
      <c r="N50" s="513" t="str">
        <f t="shared" si="2"/>
        <v/>
      </c>
      <c r="O50" s="40"/>
      <c r="P50" s="154"/>
      <c r="Q50" s="203"/>
      <c r="R50" s="532" t="str">
        <f t="shared" si="3"/>
        <v/>
      </c>
      <c r="S50" s="532" t="str">
        <f t="shared" si="4"/>
        <v/>
      </c>
      <c r="T50" s="532" t="str">
        <f t="shared" si="5"/>
        <v/>
      </c>
      <c r="U50" s="557" t="str">
        <f t="shared" si="6"/>
        <v/>
      </c>
      <c r="V50" s="151"/>
      <c r="W50" s="152"/>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c r="AL50" s="31" t="str">
        <f>IFERROR(INDEX('G-6 Hedgerow Data'!$BJ$3:$BJ$15,MATCH(D50,'G-6 Hedgerow Data'!$B$3:$B$15,0)),"")</f>
        <v/>
      </c>
    </row>
    <row r="51" spans="2:38" ht="13.8" x14ac:dyDescent="0.25">
      <c r="B51" s="141">
        <v>42</v>
      </c>
      <c r="C51" s="203"/>
      <c r="D51" s="203"/>
      <c r="E51" s="153"/>
      <c r="F51" s="553" t="str">
        <f>IF(D51="","",VLOOKUP(D51,'G-6 Hedgerow Data'!$B$2:$AG$15,2,FALSE))</f>
        <v/>
      </c>
      <c r="G51" s="499" t="str">
        <f>IF(D51="","",VLOOKUP(D51,'G-6 Hedgerow Data'!$B$2:$AG$15,3,FALSE))</f>
        <v/>
      </c>
      <c r="H51" s="145"/>
      <c r="I51" s="499" t="str">
        <f>IFERROR(VLOOKUP(H51,'G-1 All Habitats'!$Z$2:$AA$9,2,FALSE),"")</f>
        <v/>
      </c>
      <c r="J51" s="145"/>
      <c r="K51" s="507" t="str">
        <f>IF(J51="","",IF(VLOOKUP(J51,'G-3 Multipliers'!$L$3:$N$6,2,FALSE)=0,"Spatial Data Missing",VLOOKUP(J51,'G-3 Multipliers'!$L$3:$N$6,2,FALSE)))</f>
        <v/>
      </c>
      <c r="L51" s="505" t="str">
        <f>IF(J51="","",IF(VLOOKUP(J51,'G-3 Multipliers'!$L$3:$N$6,3,FALSE)=0,"Spatial Data Missing ⚠",VLOOKUP(J51,'G-3 Multipliers'!$L$3:$N$6,3,FALSE)))</f>
        <v/>
      </c>
      <c r="M51" s="506" t="str">
        <f>IF(D51="","",VLOOKUP(D51,'G-6 Hedgerow Data'!$B$1:$AH$15,33,FALSE))</f>
        <v/>
      </c>
      <c r="N51" s="513" t="str">
        <f t="shared" si="2"/>
        <v/>
      </c>
      <c r="O51" s="40"/>
      <c r="P51" s="154"/>
      <c r="Q51" s="203"/>
      <c r="R51" s="532" t="str">
        <f t="shared" si="3"/>
        <v/>
      </c>
      <c r="S51" s="532" t="str">
        <f t="shared" si="4"/>
        <v/>
      </c>
      <c r="T51" s="532" t="str">
        <f t="shared" si="5"/>
        <v/>
      </c>
      <c r="U51" s="557" t="str">
        <f t="shared" si="6"/>
        <v/>
      </c>
      <c r="V51" s="151"/>
      <c r="W51" s="152"/>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c r="AL51" s="31" t="str">
        <f>IFERROR(INDEX('G-6 Hedgerow Data'!$BJ$3:$BJ$15,MATCH(D51,'G-6 Hedgerow Data'!$B$3:$B$15,0)),"")</f>
        <v/>
      </c>
    </row>
    <row r="52" spans="2:38" ht="13.8" x14ac:dyDescent="0.25">
      <c r="B52" s="141">
        <v>43</v>
      </c>
      <c r="C52" s="203"/>
      <c r="D52" s="203"/>
      <c r="E52" s="153"/>
      <c r="F52" s="553" t="str">
        <f>IF(D52="","",VLOOKUP(D52,'G-6 Hedgerow Data'!$B$2:$AG$15,2,FALSE))</f>
        <v/>
      </c>
      <c r="G52" s="499" t="str">
        <f>IF(D52="","",VLOOKUP(D52,'G-6 Hedgerow Data'!$B$2:$AG$15,3,FALSE))</f>
        <v/>
      </c>
      <c r="H52" s="145"/>
      <c r="I52" s="499" t="str">
        <f>IFERROR(VLOOKUP(H52,'G-1 All Habitats'!$Z$2:$AA$9,2,FALSE),"")</f>
        <v/>
      </c>
      <c r="J52" s="145"/>
      <c r="K52" s="507" t="str">
        <f>IF(J52="","",IF(VLOOKUP(J52,'G-3 Multipliers'!$L$3:$N$6,2,FALSE)=0,"Spatial Data Missing",VLOOKUP(J52,'G-3 Multipliers'!$L$3:$N$6,2,FALSE)))</f>
        <v/>
      </c>
      <c r="L52" s="505" t="str">
        <f>IF(J52="","",IF(VLOOKUP(J52,'G-3 Multipliers'!$L$3:$N$6,3,FALSE)=0,"Spatial Data Missing ⚠",VLOOKUP(J52,'G-3 Multipliers'!$L$3:$N$6,3,FALSE)))</f>
        <v/>
      </c>
      <c r="M52" s="506" t="str">
        <f>IF(D52="","",VLOOKUP(D52,'G-6 Hedgerow Data'!$B$1:$AH$15,33,FALSE))</f>
        <v/>
      </c>
      <c r="N52" s="513" t="str">
        <f t="shared" si="2"/>
        <v/>
      </c>
      <c r="O52" s="40"/>
      <c r="P52" s="154"/>
      <c r="Q52" s="203"/>
      <c r="R52" s="532" t="str">
        <f t="shared" si="3"/>
        <v/>
      </c>
      <c r="S52" s="532" t="str">
        <f t="shared" si="4"/>
        <v/>
      </c>
      <c r="T52" s="532" t="str">
        <f t="shared" si="5"/>
        <v/>
      </c>
      <c r="U52" s="557" t="str">
        <f t="shared" si="6"/>
        <v/>
      </c>
      <c r="V52" s="151"/>
      <c r="W52" s="152"/>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c r="AL52" s="31" t="str">
        <f>IFERROR(INDEX('G-6 Hedgerow Data'!$BJ$3:$BJ$15,MATCH(D52,'G-6 Hedgerow Data'!$B$3:$B$15,0)),"")</f>
        <v/>
      </c>
    </row>
    <row r="53" spans="2:38" ht="13.8" x14ac:dyDescent="0.25">
      <c r="B53" s="141">
        <v>44</v>
      </c>
      <c r="C53" s="203"/>
      <c r="D53" s="203"/>
      <c r="E53" s="153"/>
      <c r="F53" s="553" t="str">
        <f>IF(D53="","",VLOOKUP(D53,'G-6 Hedgerow Data'!$B$2:$AG$15,2,FALSE))</f>
        <v/>
      </c>
      <c r="G53" s="499" t="str">
        <f>IF(D53="","",VLOOKUP(D53,'G-6 Hedgerow Data'!$B$2:$AG$15,3,FALSE))</f>
        <v/>
      </c>
      <c r="H53" s="145"/>
      <c r="I53" s="499" t="str">
        <f>IFERROR(VLOOKUP(H53,'G-1 All Habitats'!$Z$2:$AA$9,2,FALSE),"")</f>
        <v/>
      </c>
      <c r="J53" s="145"/>
      <c r="K53" s="507" t="str">
        <f>IF(J53="","",IF(VLOOKUP(J53,'G-3 Multipliers'!$L$3:$N$6,2,FALSE)=0,"Spatial Data Missing",VLOOKUP(J53,'G-3 Multipliers'!$L$3:$N$6,2,FALSE)))</f>
        <v/>
      </c>
      <c r="L53" s="505" t="str">
        <f>IF(J53="","",IF(VLOOKUP(J53,'G-3 Multipliers'!$L$3:$N$6,3,FALSE)=0,"Spatial Data Missing ⚠",VLOOKUP(J53,'G-3 Multipliers'!$L$3:$N$6,3,FALSE)))</f>
        <v/>
      </c>
      <c r="M53" s="506" t="str">
        <f>IF(D53="","",VLOOKUP(D53,'G-6 Hedgerow Data'!$B$1:$AH$15,33,FALSE))</f>
        <v/>
      </c>
      <c r="N53" s="513" t="str">
        <f t="shared" si="2"/>
        <v/>
      </c>
      <c r="O53" s="40"/>
      <c r="P53" s="154"/>
      <c r="Q53" s="203"/>
      <c r="R53" s="532" t="str">
        <f t="shared" si="3"/>
        <v/>
      </c>
      <c r="S53" s="532" t="str">
        <f t="shared" si="4"/>
        <v/>
      </c>
      <c r="T53" s="532" t="str">
        <f t="shared" si="5"/>
        <v/>
      </c>
      <c r="U53" s="557" t="str">
        <f t="shared" si="6"/>
        <v/>
      </c>
      <c r="V53" s="151"/>
      <c r="W53" s="152"/>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c r="AL53" s="31" t="str">
        <f>IFERROR(INDEX('G-6 Hedgerow Data'!$BJ$3:$BJ$15,MATCH(D53,'G-6 Hedgerow Data'!$B$3:$B$15,0)),"")</f>
        <v/>
      </c>
    </row>
    <row r="54" spans="2:38" ht="13.8" x14ac:dyDescent="0.25">
      <c r="B54" s="141">
        <v>45</v>
      </c>
      <c r="C54" s="203"/>
      <c r="D54" s="203"/>
      <c r="E54" s="153"/>
      <c r="F54" s="553" t="str">
        <f>IF(D54="","",VLOOKUP(D54,'G-6 Hedgerow Data'!$B$2:$AG$15,2,FALSE))</f>
        <v/>
      </c>
      <c r="G54" s="499" t="str">
        <f>IF(D54="","",VLOOKUP(D54,'G-6 Hedgerow Data'!$B$2:$AG$15,3,FALSE))</f>
        <v/>
      </c>
      <c r="H54" s="145"/>
      <c r="I54" s="499" t="str">
        <f>IFERROR(VLOOKUP(H54,'G-1 All Habitats'!$Z$2:$AA$9,2,FALSE),"")</f>
        <v/>
      </c>
      <c r="J54" s="145"/>
      <c r="K54" s="507" t="str">
        <f>IF(J54="","",IF(VLOOKUP(J54,'G-3 Multipliers'!$L$3:$N$6,2,FALSE)=0,"Spatial Data Missing",VLOOKUP(J54,'G-3 Multipliers'!$L$3:$N$6,2,FALSE)))</f>
        <v/>
      </c>
      <c r="L54" s="505" t="str">
        <f>IF(J54="","",IF(VLOOKUP(J54,'G-3 Multipliers'!$L$3:$N$6,3,FALSE)=0,"Spatial Data Missing ⚠",VLOOKUP(J54,'G-3 Multipliers'!$L$3:$N$6,3,FALSE)))</f>
        <v/>
      </c>
      <c r="M54" s="506" t="str">
        <f>IF(D54="","",VLOOKUP(D54,'G-6 Hedgerow Data'!$B$1:$AH$15,33,FALSE))</f>
        <v/>
      </c>
      <c r="N54" s="513" t="str">
        <f t="shared" si="2"/>
        <v/>
      </c>
      <c r="O54" s="40"/>
      <c r="P54" s="154"/>
      <c r="Q54" s="203"/>
      <c r="R54" s="532" t="str">
        <f t="shared" si="3"/>
        <v/>
      </c>
      <c r="S54" s="532" t="str">
        <f t="shared" si="4"/>
        <v/>
      </c>
      <c r="T54" s="532" t="str">
        <f t="shared" si="5"/>
        <v/>
      </c>
      <c r="U54" s="557" t="str">
        <f t="shared" si="6"/>
        <v/>
      </c>
      <c r="V54" s="151"/>
      <c r="W54" s="152"/>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c r="AL54" s="31" t="str">
        <f>IFERROR(INDEX('G-6 Hedgerow Data'!$BJ$3:$BJ$15,MATCH(D54,'G-6 Hedgerow Data'!$B$3:$B$15,0)),"")</f>
        <v/>
      </c>
    </row>
    <row r="55" spans="2:38" ht="13.8" x14ac:dyDescent="0.25">
      <c r="B55" s="141">
        <v>46</v>
      </c>
      <c r="C55" s="203"/>
      <c r="D55" s="203"/>
      <c r="E55" s="153"/>
      <c r="F55" s="553" t="str">
        <f>IF(D55="","",VLOOKUP(D55,'G-6 Hedgerow Data'!$B$2:$AG$15,2,FALSE))</f>
        <v/>
      </c>
      <c r="G55" s="499" t="str">
        <f>IF(D55="","",VLOOKUP(D55,'G-6 Hedgerow Data'!$B$2:$AG$15,3,FALSE))</f>
        <v/>
      </c>
      <c r="H55" s="145"/>
      <c r="I55" s="499" t="str">
        <f>IFERROR(VLOOKUP(H55,'G-1 All Habitats'!$Z$2:$AA$9,2,FALSE),"")</f>
        <v/>
      </c>
      <c r="J55" s="145"/>
      <c r="K55" s="507" t="str">
        <f>IF(J55="","",IF(VLOOKUP(J55,'G-3 Multipliers'!$L$3:$N$6,2,FALSE)=0,"Spatial Data Missing",VLOOKUP(J55,'G-3 Multipliers'!$L$3:$N$6,2,FALSE)))</f>
        <v/>
      </c>
      <c r="L55" s="505" t="str">
        <f>IF(J55="","",IF(VLOOKUP(J55,'G-3 Multipliers'!$L$3:$N$6,3,FALSE)=0,"Spatial Data Missing ⚠",VLOOKUP(J55,'G-3 Multipliers'!$L$3:$N$6,3,FALSE)))</f>
        <v/>
      </c>
      <c r="M55" s="506" t="str">
        <f>IF(D55="","",VLOOKUP(D55,'G-6 Hedgerow Data'!$B$1:$AH$15,33,FALSE))</f>
        <v/>
      </c>
      <c r="N55" s="513" t="str">
        <f t="shared" si="2"/>
        <v/>
      </c>
      <c r="O55" s="40"/>
      <c r="P55" s="154"/>
      <c r="Q55" s="203"/>
      <c r="R55" s="532" t="str">
        <f t="shared" si="3"/>
        <v/>
      </c>
      <c r="S55" s="532" t="str">
        <f t="shared" si="4"/>
        <v/>
      </c>
      <c r="T55" s="532" t="str">
        <f t="shared" si="5"/>
        <v/>
      </c>
      <c r="U55" s="557" t="str">
        <f t="shared" si="6"/>
        <v/>
      </c>
      <c r="V55" s="151"/>
      <c r="W55" s="152"/>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c r="AL55" s="31" t="str">
        <f>IFERROR(INDEX('G-6 Hedgerow Data'!$BJ$3:$BJ$15,MATCH(D55,'G-6 Hedgerow Data'!$B$3:$B$15,0)),"")</f>
        <v/>
      </c>
    </row>
    <row r="56" spans="2:38" ht="13.8" x14ac:dyDescent="0.25">
      <c r="B56" s="141">
        <v>47</v>
      </c>
      <c r="C56" s="203"/>
      <c r="D56" s="203"/>
      <c r="E56" s="153"/>
      <c r="F56" s="553" t="str">
        <f>IF(D56="","",VLOOKUP(D56,'G-6 Hedgerow Data'!$B$2:$AG$15,2,FALSE))</f>
        <v/>
      </c>
      <c r="G56" s="499" t="str">
        <f>IF(D56="","",VLOOKUP(D56,'G-6 Hedgerow Data'!$B$2:$AG$15,3,FALSE))</f>
        <v/>
      </c>
      <c r="H56" s="145"/>
      <c r="I56" s="499" t="str">
        <f>IFERROR(VLOOKUP(H56,'G-1 All Habitats'!$Z$2:$AA$9,2,FALSE),"")</f>
        <v/>
      </c>
      <c r="J56" s="145"/>
      <c r="K56" s="507" t="str">
        <f>IF(J56="","",IF(VLOOKUP(J56,'G-3 Multipliers'!$L$3:$N$6,2,FALSE)=0,"Spatial Data Missing",VLOOKUP(J56,'G-3 Multipliers'!$L$3:$N$6,2,FALSE)))</f>
        <v/>
      </c>
      <c r="L56" s="505" t="str">
        <f>IF(J56="","",IF(VLOOKUP(J56,'G-3 Multipliers'!$L$3:$N$6,3,FALSE)=0,"Spatial Data Missing ⚠",VLOOKUP(J56,'G-3 Multipliers'!$L$3:$N$6,3,FALSE)))</f>
        <v/>
      </c>
      <c r="M56" s="506" t="str">
        <f>IF(D56="","",VLOOKUP(D56,'G-6 Hedgerow Data'!$B$1:$AH$15,33,FALSE))</f>
        <v/>
      </c>
      <c r="N56" s="513" t="str">
        <f t="shared" si="2"/>
        <v/>
      </c>
      <c r="O56" s="40"/>
      <c r="P56" s="154"/>
      <c r="Q56" s="203"/>
      <c r="R56" s="532" t="str">
        <f t="shared" si="3"/>
        <v/>
      </c>
      <c r="S56" s="532" t="str">
        <f t="shared" si="4"/>
        <v/>
      </c>
      <c r="T56" s="532" t="str">
        <f t="shared" si="5"/>
        <v/>
      </c>
      <c r="U56" s="557" t="str">
        <f t="shared" si="6"/>
        <v/>
      </c>
      <c r="V56" s="151"/>
      <c r="W56" s="152"/>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c r="AL56" s="31" t="str">
        <f>IFERROR(INDEX('G-6 Hedgerow Data'!$BJ$3:$BJ$15,MATCH(D56,'G-6 Hedgerow Data'!$B$3:$B$15,0)),"")</f>
        <v/>
      </c>
    </row>
    <row r="57" spans="2:38" ht="13.8" x14ac:dyDescent="0.25">
      <c r="B57" s="141">
        <v>48</v>
      </c>
      <c r="C57" s="203"/>
      <c r="D57" s="203"/>
      <c r="E57" s="153"/>
      <c r="F57" s="553" t="str">
        <f>IF(D57="","",VLOOKUP(D57,'G-6 Hedgerow Data'!$B$2:$AG$15,2,FALSE))</f>
        <v/>
      </c>
      <c r="G57" s="499" t="str">
        <f>IF(D57="","",VLOOKUP(D57,'G-6 Hedgerow Data'!$B$2:$AG$15,3,FALSE))</f>
        <v/>
      </c>
      <c r="H57" s="145"/>
      <c r="I57" s="499" t="str">
        <f>IFERROR(VLOOKUP(H57,'G-1 All Habitats'!$Z$2:$AA$9,2,FALSE),"")</f>
        <v/>
      </c>
      <c r="J57" s="145"/>
      <c r="K57" s="507" t="str">
        <f>IF(J57="","",IF(VLOOKUP(J57,'G-3 Multipliers'!$L$3:$N$6,2,FALSE)=0,"Spatial Data Missing",VLOOKUP(J57,'G-3 Multipliers'!$L$3:$N$6,2,FALSE)))</f>
        <v/>
      </c>
      <c r="L57" s="505" t="str">
        <f>IF(J57="","",IF(VLOOKUP(J57,'G-3 Multipliers'!$L$3:$N$6,3,FALSE)=0,"Spatial Data Missing ⚠",VLOOKUP(J57,'G-3 Multipliers'!$L$3:$N$6,3,FALSE)))</f>
        <v/>
      </c>
      <c r="M57" s="506" t="str">
        <f>IF(D57="","",VLOOKUP(D57,'G-6 Hedgerow Data'!$B$1:$AH$15,33,FALSE))</f>
        <v/>
      </c>
      <c r="N57" s="513" t="str">
        <f t="shared" si="2"/>
        <v/>
      </c>
      <c r="O57" s="40"/>
      <c r="P57" s="154"/>
      <c r="Q57" s="203"/>
      <c r="R57" s="532" t="str">
        <f t="shared" si="3"/>
        <v/>
      </c>
      <c r="S57" s="532" t="str">
        <f t="shared" si="4"/>
        <v/>
      </c>
      <c r="T57" s="532" t="str">
        <f t="shared" si="5"/>
        <v/>
      </c>
      <c r="U57" s="557" t="str">
        <f t="shared" si="6"/>
        <v/>
      </c>
      <c r="V57" s="151"/>
      <c r="W57" s="152"/>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c r="AL57" s="31" t="str">
        <f>IFERROR(INDEX('G-6 Hedgerow Data'!$BJ$3:$BJ$15,MATCH(D57,'G-6 Hedgerow Data'!$B$3:$B$15,0)),"")</f>
        <v/>
      </c>
    </row>
    <row r="58" spans="2:38" ht="13.8" x14ac:dyDescent="0.25">
      <c r="B58" s="141">
        <v>49</v>
      </c>
      <c r="C58" s="203"/>
      <c r="D58" s="203"/>
      <c r="E58" s="153"/>
      <c r="F58" s="553" t="str">
        <f>IF(D58="","",VLOOKUP(D58,'G-6 Hedgerow Data'!$B$2:$AG$15,2,FALSE))</f>
        <v/>
      </c>
      <c r="G58" s="499" t="str">
        <f>IF(D58="","",VLOOKUP(D58,'G-6 Hedgerow Data'!$B$2:$AG$15,3,FALSE))</f>
        <v/>
      </c>
      <c r="H58" s="145"/>
      <c r="I58" s="499" t="str">
        <f>IFERROR(VLOOKUP(H58,'G-1 All Habitats'!$Z$2:$AA$9,2,FALSE),"")</f>
        <v/>
      </c>
      <c r="J58" s="145"/>
      <c r="K58" s="507" t="str">
        <f>IF(J58="","",IF(VLOOKUP(J58,'G-3 Multipliers'!$L$3:$N$6,2,FALSE)=0,"Spatial Data Missing",VLOOKUP(J58,'G-3 Multipliers'!$L$3:$N$6,2,FALSE)))</f>
        <v/>
      </c>
      <c r="L58" s="505" t="str">
        <f>IF(J58="","",IF(VLOOKUP(J58,'G-3 Multipliers'!$L$3:$N$6,3,FALSE)=0,"Spatial Data Missing ⚠",VLOOKUP(J58,'G-3 Multipliers'!$L$3:$N$6,3,FALSE)))</f>
        <v/>
      </c>
      <c r="M58" s="506" t="str">
        <f>IF(D58="","",VLOOKUP(D58,'G-6 Hedgerow Data'!$B$1:$AH$15,33,FALSE))</f>
        <v/>
      </c>
      <c r="N58" s="513" t="str">
        <f t="shared" si="2"/>
        <v/>
      </c>
      <c r="O58" s="40"/>
      <c r="P58" s="154"/>
      <c r="Q58" s="203"/>
      <c r="R58" s="532" t="str">
        <f t="shared" si="3"/>
        <v/>
      </c>
      <c r="S58" s="532" t="str">
        <f t="shared" si="4"/>
        <v/>
      </c>
      <c r="T58" s="532" t="str">
        <f t="shared" si="5"/>
        <v/>
      </c>
      <c r="U58" s="557" t="str">
        <f t="shared" si="6"/>
        <v/>
      </c>
      <c r="V58" s="151"/>
      <c r="W58" s="152"/>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c r="AL58" s="31" t="str">
        <f>IFERROR(INDEX('G-6 Hedgerow Data'!$BJ$3:$BJ$15,MATCH(D58,'G-6 Hedgerow Data'!$B$3:$B$15,0)),"")</f>
        <v/>
      </c>
    </row>
    <row r="59" spans="2:38" ht="13.8" x14ac:dyDescent="0.25">
      <c r="B59" s="141">
        <v>50</v>
      </c>
      <c r="C59" s="203"/>
      <c r="D59" s="203"/>
      <c r="E59" s="153"/>
      <c r="F59" s="553" t="str">
        <f>IF(D59="","",VLOOKUP(D59,'G-6 Hedgerow Data'!$B$2:$AG$15,2,FALSE))</f>
        <v/>
      </c>
      <c r="G59" s="499" t="str">
        <f>IF(D59="","",VLOOKUP(D59,'G-6 Hedgerow Data'!$B$2:$AG$15,3,FALSE))</f>
        <v/>
      </c>
      <c r="H59" s="145"/>
      <c r="I59" s="499" t="str">
        <f>IFERROR(VLOOKUP(H59,'G-1 All Habitats'!$Z$2:$AA$9,2,FALSE),"")</f>
        <v/>
      </c>
      <c r="J59" s="145"/>
      <c r="K59" s="507" t="str">
        <f>IF(J59="","",IF(VLOOKUP(J59,'G-3 Multipliers'!$L$3:$N$6,2,FALSE)=0,"Spatial Data Missing",VLOOKUP(J59,'G-3 Multipliers'!$L$3:$N$6,2,FALSE)))</f>
        <v/>
      </c>
      <c r="L59" s="505" t="str">
        <f>IF(J59="","",IF(VLOOKUP(J59,'G-3 Multipliers'!$L$3:$N$6,3,FALSE)=0,"Spatial Data Missing ⚠",VLOOKUP(J59,'G-3 Multipliers'!$L$3:$N$6,3,FALSE)))</f>
        <v/>
      </c>
      <c r="M59" s="506" t="str">
        <f>IF(D59="","",VLOOKUP(D59,'G-6 Hedgerow Data'!$B$1:$AH$15,33,FALSE))</f>
        <v/>
      </c>
      <c r="N59" s="513" t="str">
        <f t="shared" si="2"/>
        <v/>
      </c>
      <c r="O59" s="40"/>
      <c r="P59" s="154"/>
      <c r="Q59" s="203"/>
      <c r="R59" s="532" t="str">
        <f t="shared" si="3"/>
        <v/>
      </c>
      <c r="S59" s="532" t="str">
        <f t="shared" si="4"/>
        <v/>
      </c>
      <c r="T59" s="532" t="str">
        <f t="shared" si="5"/>
        <v/>
      </c>
      <c r="U59" s="557" t="str">
        <f t="shared" si="6"/>
        <v/>
      </c>
      <c r="V59" s="151"/>
      <c r="W59" s="152"/>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c r="AL59" s="31" t="str">
        <f>IFERROR(INDEX('G-6 Hedgerow Data'!$BJ$3:$BJ$15,MATCH(D59,'G-6 Hedgerow Data'!$B$3:$B$15,0)),"")</f>
        <v/>
      </c>
    </row>
    <row r="60" spans="2:38" ht="13.8" x14ac:dyDescent="0.25">
      <c r="B60" s="141">
        <v>51</v>
      </c>
      <c r="C60" s="203"/>
      <c r="D60" s="203"/>
      <c r="E60" s="153"/>
      <c r="F60" s="553" t="str">
        <f>IF(D60="","",VLOOKUP(D60,'G-6 Hedgerow Data'!$B$2:$AG$15,2,FALSE))</f>
        <v/>
      </c>
      <c r="G60" s="499" t="str">
        <f>IF(D60="","",VLOOKUP(D60,'G-6 Hedgerow Data'!$B$2:$AG$15,3,FALSE))</f>
        <v/>
      </c>
      <c r="H60" s="145"/>
      <c r="I60" s="499" t="str">
        <f>IFERROR(VLOOKUP(H60,'G-1 All Habitats'!$Z$2:$AA$9,2,FALSE),"")</f>
        <v/>
      </c>
      <c r="J60" s="145"/>
      <c r="K60" s="507" t="str">
        <f>IF(J60="","",IF(VLOOKUP(J60,'G-3 Multipliers'!$L$3:$N$6,2,FALSE)=0,"Spatial Data Missing",VLOOKUP(J60,'G-3 Multipliers'!$L$3:$N$6,2,FALSE)))</f>
        <v/>
      </c>
      <c r="L60" s="505" t="str">
        <f>IF(J60="","",IF(VLOOKUP(J60,'G-3 Multipliers'!$L$3:$N$6,3,FALSE)=0,"Spatial Data Missing ⚠",VLOOKUP(J60,'G-3 Multipliers'!$L$3:$N$6,3,FALSE)))</f>
        <v/>
      </c>
      <c r="M60" s="506" t="str">
        <f>IF(D60="","",VLOOKUP(D60,'G-6 Hedgerow Data'!$B$1:$AH$15,33,FALSE))</f>
        <v/>
      </c>
      <c r="N60" s="513" t="str">
        <f t="shared" si="2"/>
        <v/>
      </c>
      <c r="O60" s="40"/>
      <c r="P60" s="154"/>
      <c r="Q60" s="203"/>
      <c r="R60" s="532" t="str">
        <f t="shared" si="3"/>
        <v/>
      </c>
      <c r="S60" s="532" t="str">
        <f t="shared" si="4"/>
        <v/>
      </c>
      <c r="T60" s="532" t="str">
        <f t="shared" si="5"/>
        <v/>
      </c>
      <c r="U60" s="557" t="str">
        <f t="shared" si="6"/>
        <v/>
      </c>
      <c r="V60" s="151"/>
      <c r="W60" s="152"/>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c r="AL60" s="31" t="str">
        <f>IFERROR(INDEX('G-6 Hedgerow Data'!$BJ$3:$BJ$15,MATCH(D60,'G-6 Hedgerow Data'!$B$3:$B$15,0)),"")</f>
        <v/>
      </c>
    </row>
    <row r="61" spans="2:38" ht="13.8" x14ac:dyDescent="0.25">
      <c r="B61" s="141">
        <v>52</v>
      </c>
      <c r="C61" s="203"/>
      <c r="D61" s="203"/>
      <c r="E61" s="153"/>
      <c r="F61" s="553" t="str">
        <f>IF(D61="","",VLOOKUP(D61,'G-6 Hedgerow Data'!$B$2:$AG$15,2,FALSE))</f>
        <v/>
      </c>
      <c r="G61" s="499" t="str">
        <f>IF(D61="","",VLOOKUP(D61,'G-6 Hedgerow Data'!$B$2:$AG$15,3,FALSE))</f>
        <v/>
      </c>
      <c r="H61" s="145"/>
      <c r="I61" s="499" t="str">
        <f>IFERROR(VLOOKUP(H61,'G-1 All Habitats'!$Z$2:$AA$9,2,FALSE),"")</f>
        <v/>
      </c>
      <c r="J61" s="145"/>
      <c r="K61" s="507" t="str">
        <f>IF(J61="","",IF(VLOOKUP(J61,'G-3 Multipliers'!$L$3:$N$6,2,FALSE)=0,"Spatial Data Missing",VLOOKUP(J61,'G-3 Multipliers'!$L$3:$N$6,2,FALSE)))</f>
        <v/>
      </c>
      <c r="L61" s="505" t="str">
        <f>IF(J61="","",IF(VLOOKUP(J61,'G-3 Multipliers'!$L$3:$N$6,3,FALSE)=0,"Spatial Data Missing ⚠",VLOOKUP(J61,'G-3 Multipliers'!$L$3:$N$6,3,FALSE)))</f>
        <v/>
      </c>
      <c r="M61" s="506" t="str">
        <f>IF(D61="","",VLOOKUP(D61,'G-6 Hedgerow Data'!$B$1:$AH$15,33,FALSE))</f>
        <v/>
      </c>
      <c r="N61" s="513" t="str">
        <f t="shared" si="2"/>
        <v/>
      </c>
      <c r="O61" s="40"/>
      <c r="P61" s="154"/>
      <c r="Q61" s="203"/>
      <c r="R61" s="532" t="str">
        <f t="shared" si="3"/>
        <v/>
      </c>
      <c r="S61" s="532" t="str">
        <f t="shared" si="4"/>
        <v/>
      </c>
      <c r="T61" s="532" t="str">
        <f t="shared" si="5"/>
        <v/>
      </c>
      <c r="U61" s="557" t="str">
        <f t="shared" si="6"/>
        <v/>
      </c>
      <c r="V61" s="151"/>
      <c r="W61" s="152"/>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c r="AL61" s="31" t="str">
        <f>IFERROR(INDEX('G-6 Hedgerow Data'!$BJ$3:$BJ$15,MATCH(D61,'G-6 Hedgerow Data'!$B$3:$B$15,0)),"")</f>
        <v/>
      </c>
    </row>
    <row r="62" spans="2:38" ht="13.8" x14ac:dyDescent="0.25">
      <c r="B62" s="141">
        <v>53</v>
      </c>
      <c r="C62" s="203"/>
      <c r="D62" s="203"/>
      <c r="E62" s="153"/>
      <c r="F62" s="553" t="str">
        <f>IF(D62="","",VLOOKUP(D62,'G-6 Hedgerow Data'!$B$2:$AG$15,2,FALSE))</f>
        <v/>
      </c>
      <c r="G62" s="499" t="str">
        <f>IF(D62="","",VLOOKUP(D62,'G-6 Hedgerow Data'!$B$2:$AG$15,3,FALSE))</f>
        <v/>
      </c>
      <c r="H62" s="145"/>
      <c r="I62" s="499" t="str">
        <f>IFERROR(VLOOKUP(H62,'G-1 All Habitats'!$Z$2:$AA$9,2,FALSE),"")</f>
        <v/>
      </c>
      <c r="J62" s="145"/>
      <c r="K62" s="507" t="str">
        <f>IF(J62="","",IF(VLOOKUP(J62,'G-3 Multipliers'!$L$3:$N$6,2,FALSE)=0,"Spatial Data Missing",VLOOKUP(J62,'G-3 Multipliers'!$L$3:$N$6,2,FALSE)))</f>
        <v/>
      </c>
      <c r="L62" s="505" t="str">
        <f>IF(J62="","",IF(VLOOKUP(J62,'G-3 Multipliers'!$L$3:$N$6,3,FALSE)=0,"Spatial Data Missing ⚠",VLOOKUP(J62,'G-3 Multipliers'!$L$3:$N$6,3,FALSE)))</f>
        <v/>
      </c>
      <c r="M62" s="506" t="str">
        <f>IF(D62="","",VLOOKUP(D62,'G-6 Hedgerow Data'!$B$1:$AH$15,33,FALSE))</f>
        <v/>
      </c>
      <c r="N62" s="513" t="str">
        <f t="shared" si="2"/>
        <v/>
      </c>
      <c r="O62" s="40"/>
      <c r="P62" s="154"/>
      <c r="Q62" s="203"/>
      <c r="R62" s="532" t="str">
        <f t="shared" si="3"/>
        <v/>
      </c>
      <c r="S62" s="532" t="str">
        <f t="shared" si="4"/>
        <v/>
      </c>
      <c r="T62" s="532" t="str">
        <f t="shared" si="5"/>
        <v/>
      </c>
      <c r="U62" s="557" t="str">
        <f t="shared" si="6"/>
        <v/>
      </c>
      <c r="V62" s="151"/>
      <c r="W62" s="152"/>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c r="AL62" s="31" t="str">
        <f>IFERROR(INDEX('G-6 Hedgerow Data'!$BJ$3:$BJ$15,MATCH(D62,'G-6 Hedgerow Data'!$B$3:$B$15,0)),"")</f>
        <v/>
      </c>
    </row>
    <row r="63" spans="2:38" ht="13.8" x14ac:dyDescent="0.25">
      <c r="B63" s="141">
        <v>54</v>
      </c>
      <c r="C63" s="203"/>
      <c r="D63" s="203"/>
      <c r="E63" s="153"/>
      <c r="F63" s="553" t="str">
        <f>IF(D63="","",VLOOKUP(D63,'G-6 Hedgerow Data'!$B$2:$AG$15,2,FALSE))</f>
        <v/>
      </c>
      <c r="G63" s="499" t="str">
        <f>IF(D63="","",VLOOKUP(D63,'G-6 Hedgerow Data'!$B$2:$AG$15,3,FALSE))</f>
        <v/>
      </c>
      <c r="H63" s="145"/>
      <c r="I63" s="499" t="str">
        <f>IFERROR(VLOOKUP(H63,'G-1 All Habitats'!$Z$2:$AA$9,2,FALSE),"")</f>
        <v/>
      </c>
      <c r="J63" s="145"/>
      <c r="K63" s="507" t="str">
        <f>IF(J63="","",IF(VLOOKUP(J63,'G-3 Multipliers'!$L$3:$N$6,2,FALSE)=0,"Spatial Data Missing",VLOOKUP(J63,'G-3 Multipliers'!$L$3:$N$6,2,FALSE)))</f>
        <v/>
      </c>
      <c r="L63" s="505" t="str">
        <f>IF(J63="","",IF(VLOOKUP(J63,'G-3 Multipliers'!$L$3:$N$6,3,FALSE)=0,"Spatial Data Missing ⚠",VLOOKUP(J63,'G-3 Multipliers'!$L$3:$N$6,3,FALSE)))</f>
        <v/>
      </c>
      <c r="M63" s="506" t="str">
        <f>IF(D63="","",VLOOKUP(D63,'G-6 Hedgerow Data'!$B$1:$AH$15,33,FALSE))</f>
        <v/>
      </c>
      <c r="N63" s="513" t="str">
        <f t="shared" si="2"/>
        <v/>
      </c>
      <c r="O63" s="40"/>
      <c r="P63" s="154"/>
      <c r="Q63" s="203"/>
      <c r="R63" s="532" t="str">
        <f t="shared" si="3"/>
        <v/>
      </c>
      <c r="S63" s="532" t="str">
        <f t="shared" si="4"/>
        <v/>
      </c>
      <c r="T63" s="532" t="str">
        <f t="shared" si="5"/>
        <v/>
      </c>
      <c r="U63" s="557" t="str">
        <f t="shared" si="6"/>
        <v/>
      </c>
      <c r="V63" s="151"/>
      <c r="W63" s="152"/>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c r="AL63" s="31" t="str">
        <f>IFERROR(INDEX('G-6 Hedgerow Data'!$BJ$3:$BJ$15,MATCH(D63,'G-6 Hedgerow Data'!$B$3:$B$15,0)),"")</f>
        <v/>
      </c>
    </row>
    <row r="64" spans="2:38" ht="13.8" x14ac:dyDescent="0.25">
      <c r="B64" s="141">
        <v>55</v>
      </c>
      <c r="C64" s="203"/>
      <c r="D64" s="203"/>
      <c r="E64" s="153"/>
      <c r="F64" s="553" t="str">
        <f>IF(D64="","",VLOOKUP(D64,'G-6 Hedgerow Data'!$B$2:$AG$15,2,FALSE))</f>
        <v/>
      </c>
      <c r="G64" s="499" t="str">
        <f>IF(D64="","",VLOOKUP(D64,'G-6 Hedgerow Data'!$B$2:$AG$15,3,FALSE))</f>
        <v/>
      </c>
      <c r="H64" s="145"/>
      <c r="I64" s="499" t="str">
        <f>IFERROR(VLOOKUP(H64,'G-1 All Habitats'!$Z$2:$AA$9,2,FALSE),"")</f>
        <v/>
      </c>
      <c r="J64" s="145"/>
      <c r="K64" s="507" t="str">
        <f>IF(J64="","",IF(VLOOKUP(J64,'G-3 Multipliers'!$L$3:$N$6,2,FALSE)=0,"Spatial Data Missing",VLOOKUP(J64,'G-3 Multipliers'!$L$3:$N$6,2,FALSE)))</f>
        <v/>
      </c>
      <c r="L64" s="505" t="str">
        <f>IF(J64="","",IF(VLOOKUP(J64,'G-3 Multipliers'!$L$3:$N$6,3,FALSE)=0,"Spatial Data Missing ⚠",VLOOKUP(J64,'G-3 Multipliers'!$L$3:$N$6,3,FALSE)))</f>
        <v/>
      </c>
      <c r="M64" s="506" t="str">
        <f>IF(D64="","",VLOOKUP(D64,'G-6 Hedgerow Data'!$B$1:$AH$15,33,FALSE))</f>
        <v/>
      </c>
      <c r="N64" s="513" t="str">
        <f t="shared" si="2"/>
        <v/>
      </c>
      <c r="O64" s="40"/>
      <c r="P64" s="154"/>
      <c r="Q64" s="203"/>
      <c r="R64" s="532" t="str">
        <f t="shared" si="3"/>
        <v/>
      </c>
      <c r="S64" s="532" t="str">
        <f t="shared" si="4"/>
        <v/>
      </c>
      <c r="T64" s="532" t="str">
        <f t="shared" si="5"/>
        <v/>
      </c>
      <c r="U64" s="557" t="str">
        <f t="shared" si="6"/>
        <v/>
      </c>
      <c r="V64" s="151"/>
      <c r="W64" s="152"/>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c r="AL64" s="31" t="str">
        <f>IFERROR(INDEX('G-6 Hedgerow Data'!$BJ$3:$BJ$15,MATCH(D64,'G-6 Hedgerow Data'!$B$3:$B$15,0)),"")</f>
        <v/>
      </c>
    </row>
    <row r="65" spans="2:38" ht="13.8" x14ac:dyDescent="0.25">
      <c r="B65" s="141">
        <v>56</v>
      </c>
      <c r="C65" s="203"/>
      <c r="D65" s="203"/>
      <c r="E65" s="153"/>
      <c r="F65" s="553" t="str">
        <f>IF(D65="","",VLOOKUP(D65,'G-6 Hedgerow Data'!$B$2:$AG$15,2,FALSE))</f>
        <v/>
      </c>
      <c r="G65" s="499" t="str">
        <f>IF(D65="","",VLOOKUP(D65,'G-6 Hedgerow Data'!$B$2:$AG$15,3,FALSE))</f>
        <v/>
      </c>
      <c r="H65" s="145"/>
      <c r="I65" s="499" t="str">
        <f>IFERROR(VLOOKUP(H65,'G-1 All Habitats'!$Z$2:$AA$9,2,FALSE),"")</f>
        <v/>
      </c>
      <c r="J65" s="145"/>
      <c r="K65" s="507" t="str">
        <f>IF(J65="","",IF(VLOOKUP(J65,'G-3 Multipliers'!$L$3:$N$6,2,FALSE)=0,"Spatial Data Missing",VLOOKUP(J65,'G-3 Multipliers'!$L$3:$N$6,2,FALSE)))</f>
        <v/>
      </c>
      <c r="L65" s="505" t="str">
        <f>IF(J65="","",IF(VLOOKUP(J65,'G-3 Multipliers'!$L$3:$N$6,3,FALSE)=0,"Spatial Data Missing ⚠",VLOOKUP(J65,'G-3 Multipliers'!$L$3:$N$6,3,FALSE)))</f>
        <v/>
      </c>
      <c r="M65" s="506" t="str">
        <f>IF(D65="","",VLOOKUP(D65,'G-6 Hedgerow Data'!$B$1:$AH$15,33,FALSE))</f>
        <v/>
      </c>
      <c r="N65" s="513" t="str">
        <f t="shared" si="2"/>
        <v/>
      </c>
      <c r="O65" s="40"/>
      <c r="P65" s="154"/>
      <c r="Q65" s="203"/>
      <c r="R65" s="532" t="str">
        <f t="shared" si="3"/>
        <v/>
      </c>
      <c r="S65" s="532" t="str">
        <f t="shared" si="4"/>
        <v/>
      </c>
      <c r="T65" s="532" t="str">
        <f t="shared" si="5"/>
        <v/>
      </c>
      <c r="U65" s="557" t="str">
        <f t="shared" si="6"/>
        <v/>
      </c>
      <c r="V65" s="151"/>
      <c r="W65" s="152"/>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c r="AL65" s="31" t="str">
        <f>IFERROR(INDEX('G-6 Hedgerow Data'!$BJ$3:$BJ$15,MATCH(D65,'G-6 Hedgerow Data'!$B$3:$B$15,0)),"")</f>
        <v/>
      </c>
    </row>
    <row r="66" spans="2:38" ht="13.8" x14ac:dyDescent="0.25">
      <c r="B66" s="141">
        <v>57</v>
      </c>
      <c r="C66" s="203"/>
      <c r="D66" s="203"/>
      <c r="E66" s="153"/>
      <c r="F66" s="553" t="str">
        <f>IF(D66="","",VLOOKUP(D66,'G-6 Hedgerow Data'!$B$2:$AG$15,2,FALSE))</f>
        <v/>
      </c>
      <c r="G66" s="499" t="str">
        <f>IF(D66="","",VLOOKUP(D66,'G-6 Hedgerow Data'!$B$2:$AG$15,3,FALSE))</f>
        <v/>
      </c>
      <c r="H66" s="145"/>
      <c r="I66" s="499" t="str">
        <f>IFERROR(VLOOKUP(H66,'G-1 All Habitats'!$Z$2:$AA$9,2,FALSE),"")</f>
        <v/>
      </c>
      <c r="J66" s="145"/>
      <c r="K66" s="507" t="str">
        <f>IF(J66="","",IF(VLOOKUP(J66,'G-3 Multipliers'!$L$3:$N$6,2,FALSE)=0,"Spatial Data Missing",VLOOKUP(J66,'G-3 Multipliers'!$L$3:$N$6,2,FALSE)))</f>
        <v/>
      </c>
      <c r="L66" s="505" t="str">
        <f>IF(J66="","",IF(VLOOKUP(J66,'G-3 Multipliers'!$L$3:$N$6,3,FALSE)=0,"Spatial Data Missing ⚠",VLOOKUP(J66,'G-3 Multipliers'!$L$3:$N$6,3,FALSE)))</f>
        <v/>
      </c>
      <c r="M66" s="506" t="str">
        <f>IF(D66="","",VLOOKUP(D66,'G-6 Hedgerow Data'!$B$1:$AH$15,33,FALSE))</f>
        <v/>
      </c>
      <c r="N66" s="513" t="str">
        <f t="shared" si="2"/>
        <v/>
      </c>
      <c r="O66" s="40"/>
      <c r="P66" s="154"/>
      <c r="Q66" s="203"/>
      <c r="R66" s="532" t="str">
        <f t="shared" si="3"/>
        <v/>
      </c>
      <c r="S66" s="532" t="str">
        <f t="shared" si="4"/>
        <v/>
      </c>
      <c r="T66" s="532" t="str">
        <f t="shared" si="5"/>
        <v/>
      </c>
      <c r="U66" s="557" t="str">
        <f t="shared" si="6"/>
        <v/>
      </c>
      <c r="V66" s="151"/>
      <c r="W66" s="152"/>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c r="AL66" s="31" t="str">
        <f>IFERROR(INDEX('G-6 Hedgerow Data'!$BJ$3:$BJ$15,MATCH(D66,'G-6 Hedgerow Data'!$B$3:$B$15,0)),"")</f>
        <v/>
      </c>
    </row>
    <row r="67" spans="2:38" ht="13.8" x14ac:dyDescent="0.25">
      <c r="B67" s="141">
        <v>58</v>
      </c>
      <c r="C67" s="203"/>
      <c r="D67" s="203"/>
      <c r="E67" s="153"/>
      <c r="F67" s="553" t="str">
        <f>IF(D67="","",VLOOKUP(D67,'G-6 Hedgerow Data'!$B$2:$AG$15,2,FALSE))</f>
        <v/>
      </c>
      <c r="G67" s="499" t="str">
        <f>IF(D67="","",VLOOKUP(D67,'G-6 Hedgerow Data'!$B$2:$AG$15,3,FALSE))</f>
        <v/>
      </c>
      <c r="H67" s="145"/>
      <c r="I67" s="499" t="str">
        <f>IFERROR(VLOOKUP(H67,'G-1 All Habitats'!$Z$2:$AA$9,2,FALSE),"")</f>
        <v/>
      </c>
      <c r="J67" s="145"/>
      <c r="K67" s="507" t="str">
        <f>IF(J67="","",IF(VLOOKUP(J67,'G-3 Multipliers'!$L$3:$N$6,2,FALSE)=0,"Spatial Data Missing",VLOOKUP(J67,'G-3 Multipliers'!$L$3:$N$6,2,FALSE)))</f>
        <v/>
      </c>
      <c r="L67" s="505" t="str">
        <f>IF(J67="","",IF(VLOOKUP(J67,'G-3 Multipliers'!$L$3:$N$6,3,FALSE)=0,"Spatial Data Missing ⚠",VLOOKUP(J67,'G-3 Multipliers'!$L$3:$N$6,3,FALSE)))</f>
        <v/>
      </c>
      <c r="M67" s="506" t="str">
        <f>IF(D67="","",VLOOKUP(D67,'G-6 Hedgerow Data'!$B$1:$AH$15,33,FALSE))</f>
        <v/>
      </c>
      <c r="N67" s="513" t="str">
        <f t="shared" si="2"/>
        <v/>
      </c>
      <c r="O67" s="40"/>
      <c r="P67" s="154"/>
      <c r="Q67" s="203"/>
      <c r="R67" s="532" t="str">
        <f t="shared" si="3"/>
        <v/>
      </c>
      <c r="S67" s="532" t="str">
        <f t="shared" si="4"/>
        <v/>
      </c>
      <c r="T67" s="532" t="str">
        <f t="shared" si="5"/>
        <v/>
      </c>
      <c r="U67" s="557" t="str">
        <f t="shared" si="6"/>
        <v/>
      </c>
      <c r="V67" s="151"/>
      <c r="W67" s="152"/>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c r="AL67" s="31" t="str">
        <f>IFERROR(INDEX('G-6 Hedgerow Data'!$BJ$3:$BJ$15,MATCH(D67,'G-6 Hedgerow Data'!$B$3:$B$15,0)),"")</f>
        <v/>
      </c>
    </row>
    <row r="68" spans="2:38" ht="13.8" x14ac:dyDescent="0.25">
      <c r="B68" s="141">
        <v>59</v>
      </c>
      <c r="C68" s="203"/>
      <c r="D68" s="203"/>
      <c r="E68" s="153"/>
      <c r="F68" s="553" t="str">
        <f>IF(D68="","",VLOOKUP(D68,'G-6 Hedgerow Data'!$B$2:$AG$15,2,FALSE))</f>
        <v/>
      </c>
      <c r="G68" s="499" t="str">
        <f>IF(D68="","",VLOOKUP(D68,'G-6 Hedgerow Data'!$B$2:$AG$15,3,FALSE))</f>
        <v/>
      </c>
      <c r="H68" s="145"/>
      <c r="I68" s="499" t="str">
        <f>IFERROR(VLOOKUP(H68,'G-1 All Habitats'!$Z$2:$AA$9,2,FALSE),"")</f>
        <v/>
      </c>
      <c r="J68" s="145"/>
      <c r="K68" s="507" t="str">
        <f>IF(J68="","",IF(VLOOKUP(J68,'G-3 Multipliers'!$L$3:$N$6,2,FALSE)=0,"Spatial Data Missing",VLOOKUP(J68,'G-3 Multipliers'!$L$3:$N$6,2,FALSE)))</f>
        <v/>
      </c>
      <c r="L68" s="505" t="str">
        <f>IF(J68="","",IF(VLOOKUP(J68,'G-3 Multipliers'!$L$3:$N$6,3,FALSE)=0,"Spatial Data Missing ⚠",VLOOKUP(J68,'G-3 Multipliers'!$L$3:$N$6,3,FALSE)))</f>
        <v/>
      </c>
      <c r="M68" s="506" t="str">
        <f>IF(D68="","",VLOOKUP(D68,'G-6 Hedgerow Data'!$B$1:$AH$15,33,FALSE))</f>
        <v/>
      </c>
      <c r="N68" s="513" t="str">
        <f t="shared" si="2"/>
        <v/>
      </c>
      <c r="O68" s="40"/>
      <c r="P68" s="154"/>
      <c r="Q68" s="203"/>
      <c r="R68" s="532" t="str">
        <f t="shared" si="3"/>
        <v/>
      </c>
      <c r="S68" s="532" t="str">
        <f t="shared" si="4"/>
        <v/>
      </c>
      <c r="T68" s="532" t="str">
        <f t="shared" si="5"/>
        <v/>
      </c>
      <c r="U68" s="557" t="str">
        <f t="shared" si="6"/>
        <v/>
      </c>
      <c r="V68" s="151"/>
      <c r="W68" s="152"/>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c r="AL68" s="31" t="str">
        <f>IFERROR(INDEX('G-6 Hedgerow Data'!$BJ$3:$BJ$15,MATCH(D68,'G-6 Hedgerow Data'!$B$3:$B$15,0)),"")</f>
        <v/>
      </c>
    </row>
    <row r="69" spans="2:38" ht="13.8" x14ac:dyDescent="0.25">
      <c r="B69" s="141">
        <v>60</v>
      </c>
      <c r="C69" s="203"/>
      <c r="D69" s="203"/>
      <c r="E69" s="153"/>
      <c r="F69" s="553" t="str">
        <f>IF(D69="","",VLOOKUP(D69,'G-6 Hedgerow Data'!$B$2:$AG$15,2,FALSE))</f>
        <v/>
      </c>
      <c r="G69" s="499" t="str">
        <f>IF(D69="","",VLOOKUP(D69,'G-6 Hedgerow Data'!$B$2:$AG$15,3,FALSE))</f>
        <v/>
      </c>
      <c r="H69" s="145"/>
      <c r="I69" s="499" t="str">
        <f>IFERROR(VLOOKUP(H69,'G-1 All Habitats'!$Z$2:$AA$9,2,FALSE),"")</f>
        <v/>
      </c>
      <c r="J69" s="145"/>
      <c r="K69" s="507" t="str">
        <f>IF(J69="","",IF(VLOOKUP(J69,'G-3 Multipliers'!$L$3:$N$6,2,FALSE)=0,"Spatial Data Missing",VLOOKUP(J69,'G-3 Multipliers'!$L$3:$N$6,2,FALSE)))</f>
        <v/>
      </c>
      <c r="L69" s="505" t="str">
        <f>IF(J69="","",IF(VLOOKUP(J69,'G-3 Multipliers'!$L$3:$N$6,3,FALSE)=0,"Spatial Data Missing ⚠",VLOOKUP(J69,'G-3 Multipliers'!$L$3:$N$6,3,FALSE)))</f>
        <v/>
      </c>
      <c r="M69" s="506" t="str">
        <f>IF(D69="","",VLOOKUP(D69,'G-6 Hedgerow Data'!$B$1:$AH$15,33,FALSE))</f>
        <v/>
      </c>
      <c r="N69" s="513" t="str">
        <f t="shared" si="2"/>
        <v/>
      </c>
      <c r="O69" s="40"/>
      <c r="P69" s="154"/>
      <c r="Q69" s="203"/>
      <c r="R69" s="532" t="str">
        <f t="shared" si="3"/>
        <v/>
      </c>
      <c r="S69" s="532" t="str">
        <f t="shared" si="4"/>
        <v/>
      </c>
      <c r="T69" s="532" t="str">
        <f t="shared" si="5"/>
        <v/>
      </c>
      <c r="U69" s="557" t="str">
        <f t="shared" si="6"/>
        <v/>
      </c>
      <c r="V69" s="151"/>
      <c r="W69" s="152"/>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c r="AL69" s="31" t="str">
        <f>IFERROR(INDEX('G-6 Hedgerow Data'!$BJ$3:$BJ$15,MATCH(D69,'G-6 Hedgerow Data'!$B$3:$B$15,0)),"")</f>
        <v/>
      </c>
    </row>
    <row r="70" spans="2:38" ht="13.8" x14ac:dyDescent="0.25">
      <c r="B70" s="141">
        <v>61</v>
      </c>
      <c r="C70" s="203"/>
      <c r="D70" s="203"/>
      <c r="E70" s="153"/>
      <c r="F70" s="553" t="str">
        <f>IF(D70="","",VLOOKUP(D70,'G-6 Hedgerow Data'!$B$2:$AG$15,2,FALSE))</f>
        <v/>
      </c>
      <c r="G70" s="499" t="str">
        <f>IF(D70="","",VLOOKUP(D70,'G-6 Hedgerow Data'!$B$2:$AG$15,3,FALSE))</f>
        <v/>
      </c>
      <c r="H70" s="145"/>
      <c r="I70" s="499" t="str">
        <f>IFERROR(VLOOKUP(H70,'G-1 All Habitats'!$Z$2:$AA$9,2,FALSE),"")</f>
        <v/>
      </c>
      <c r="J70" s="145"/>
      <c r="K70" s="507" t="str">
        <f>IF(J70="","",IF(VLOOKUP(J70,'G-3 Multipliers'!$L$3:$N$6,2,FALSE)=0,"Spatial Data Missing",VLOOKUP(J70,'G-3 Multipliers'!$L$3:$N$6,2,FALSE)))</f>
        <v/>
      </c>
      <c r="L70" s="505" t="str">
        <f>IF(J70="","",IF(VLOOKUP(J70,'G-3 Multipliers'!$L$3:$N$6,3,FALSE)=0,"Spatial Data Missing ⚠",VLOOKUP(J70,'G-3 Multipliers'!$L$3:$N$6,3,FALSE)))</f>
        <v/>
      </c>
      <c r="M70" s="506" t="str">
        <f>IF(D70="","",VLOOKUP(D70,'G-6 Hedgerow Data'!$B$1:$AH$15,33,FALSE))</f>
        <v/>
      </c>
      <c r="N70" s="513" t="str">
        <f t="shared" si="2"/>
        <v/>
      </c>
      <c r="O70" s="40"/>
      <c r="P70" s="154"/>
      <c r="Q70" s="203"/>
      <c r="R70" s="532" t="str">
        <f t="shared" si="3"/>
        <v/>
      </c>
      <c r="S70" s="532" t="str">
        <f t="shared" si="4"/>
        <v/>
      </c>
      <c r="T70" s="532" t="str">
        <f t="shared" si="5"/>
        <v/>
      </c>
      <c r="U70" s="557" t="str">
        <f t="shared" si="6"/>
        <v/>
      </c>
      <c r="V70" s="151"/>
      <c r="W70" s="152"/>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c r="AL70" s="31" t="str">
        <f>IFERROR(INDEX('G-6 Hedgerow Data'!$BJ$3:$BJ$15,MATCH(D70,'G-6 Hedgerow Data'!$B$3:$B$15,0)),"")</f>
        <v/>
      </c>
    </row>
    <row r="71" spans="2:38" ht="13.8" x14ac:dyDescent="0.25">
      <c r="B71" s="141">
        <v>62</v>
      </c>
      <c r="C71" s="203"/>
      <c r="D71" s="203"/>
      <c r="E71" s="153"/>
      <c r="F71" s="553" t="str">
        <f>IF(D71="","",VLOOKUP(D71,'G-6 Hedgerow Data'!$B$2:$AG$15,2,FALSE))</f>
        <v/>
      </c>
      <c r="G71" s="499" t="str">
        <f>IF(D71="","",VLOOKUP(D71,'G-6 Hedgerow Data'!$B$2:$AG$15,3,FALSE))</f>
        <v/>
      </c>
      <c r="H71" s="145"/>
      <c r="I71" s="499" t="str">
        <f>IFERROR(VLOOKUP(H71,'G-1 All Habitats'!$Z$2:$AA$9,2,FALSE),"")</f>
        <v/>
      </c>
      <c r="J71" s="145"/>
      <c r="K71" s="507" t="str">
        <f>IF(J71="","",IF(VLOOKUP(J71,'G-3 Multipliers'!$L$3:$N$6,2,FALSE)=0,"Spatial Data Missing",VLOOKUP(J71,'G-3 Multipliers'!$L$3:$N$6,2,FALSE)))</f>
        <v/>
      </c>
      <c r="L71" s="505" t="str">
        <f>IF(J71="","",IF(VLOOKUP(J71,'G-3 Multipliers'!$L$3:$N$6,3,FALSE)=0,"Spatial Data Missing ⚠",VLOOKUP(J71,'G-3 Multipliers'!$L$3:$N$6,3,FALSE)))</f>
        <v/>
      </c>
      <c r="M71" s="506" t="str">
        <f>IF(D71="","",VLOOKUP(D71,'G-6 Hedgerow Data'!$B$1:$AH$15,33,FALSE))</f>
        <v/>
      </c>
      <c r="N71" s="513" t="str">
        <f t="shared" si="2"/>
        <v/>
      </c>
      <c r="O71" s="40"/>
      <c r="P71" s="154"/>
      <c r="Q71" s="203"/>
      <c r="R71" s="532" t="str">
        <f t="shared" si="3"/>
        <v/>
      </c>
      <c r="S71" s="532" t="str">
        <f t="shared" si="4"/>
        <v/>
      </c>
      <c r="T71" s="532" t="str">
        <f t="shared" si="5"/>
        <v/>
      </c>
      <c r="U71" s="557" t="str">
        <f t="shared" si="6"/>
        <v/>
      </c>
      <c r="V71" s="151"/>
      <c r="W71" s="152"/>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c r="AL71" s="31" t="str">
        <f>IFERROR(INDEX('G-6 Hedgerow Data'!$BJ$3:$BJ$15,MATCH(D71,'G-6 Hedgerow Data'!$B$3:$B$15,0)),"")</f>
        <v/>
      </c>
    </row>
    <row r="72" spans="2:38" ht="13.8" x14ac:dyDescent="0.25">
      <c r="B72" s="141">
        <v>63</v>
      </c>
      <c r="C72" s="203"/>
      <c r="D72" s="203"/>
      <c r="E72" s="153"/>
      <c r="F72" s="553" t="str">
        <f>IF(D72="","",VLOOKUP(D72,'G-6 Hedgerow Data'!$B$2:$AG$15,2,FALSE))</f>
        <v/>
      </c>
      <c r="G72" s="499" t="str">
        <f>IF(D72="","",VLOOKUP(D72,'G-6 Hedgerow Data'!$B$2:$AG$15,3,FALSE))</f>
        <v/>
      </c>
      <c r="H72" s="145"/>
      <c r="I72" s="499" t="str">
        <f>IFERROR(VLOOKUP(H72,'G-1 All Habitats'!$Z$2:$AA$9,2,FALSE),"")</f>
        <v/>
      </c>
      <c r="J72" s="145"/>
      <c r="K72" s="507" t="str">
        <f>IF(J72="","",IF(VLOOKUP(J72,'G-3 Multipliers'!$L$3:$N$6,2,FALSE)=0,"Spatial Data Missing",VLOOKUP(J72,'G-3 Multipliers'!$L$3:$N$6,2,FALSE)))</f>
        <v/>
      </c>
      <c r="L72" s="505" t="str">
        <f>IF(J72="","",IF(VLOOKUP(J72,'G-3 Multipliers'!$L$3:$N$6,3,FALSE)=0,"Spatial Data Missing ⚠",VLOOKUP(J72,'G-3 Multipliers'!$L$3:$N$6,3,FALSE)))</f>
        <v/>
      </c>
      <c r="M72" s="506" t="str">
        <f>IF(D72="","",VLOOKUP(D72,'G-6 Hedgerow Data'!$B$1:$AH$15,33,FALSE))</f>
        <v/>
      </c>
      <c r="N72" s="513" t="str">
        <f t="shared" si="2"/>
        <v/>
      </c>
      <c r="O72" s="40"/>
      <c r="P72" s="154"/>
      <c r="Q72" s="203"/>
      <c r="R72" s="532" t="str">
        <f t="shared" si="3"/>
        <v/>
      </c>
      <c r="S72" s="532" t="str">
        <f t="shared" si="4"/>
        <v/>
      </c>
      <c r="T72" s="532" t="str">
        <f t="shared" si="5"/>
        <v/>
      </c>
      <c r="U72" s="557" t="str">
        <f t="shared" si="6"/>
        <v/>
      </c>
      <c r="V72" s="151"/>
      <c r="W72" s="152"/>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c r="AL72" s="31" t="str">
        <f>IFERROR(INDEX('G-6 Hedgerow Data'!$BJ$3:$BJ$15,MATCH(D72,'G-6 Hedgerow Data'!$B$3:$B$15,0)),"")</f>
        <v/>
      </c>
    </row>
    <row r="73" spans="2:38" ht="13.8" x14ac:dyDescent="0.25">
      <c r="B73" s="141">
        <v>64</v>
      </c>
      <c r="C73" s="203"/>
      <c r="D73" s="203"/>
      <c r="E73" s="153"/>
      <c r="F73" s="553" t="str">
        <f>IF(D73="","",VLOOKUP(D73,'G-6 Hedgerow Data'!$B$2:$AG$15,2,FALSE))</f>
        <v/>
      </c>
      <c r="G73" s="499" t="str">
        <f>IF(D73="","",VLOOKUP(D73,'G-6 Hedgerow Data'!$B$2:$AG$15,3,FALSE))</f>
        <v/>
      </c>
      <c r="H73" s="145"/>
      <c r="I73" s="499" t="str">
        <f>IFERROR(VLOOKUP(H73,'G-1 All Habitats'!$Z$2:$AA$9,2,FALSE),"")</f>
        <v/>
      </c>
      <c r="J73" s="145"/>
      <c r="K73" s="507" t="str">
        <f>IF(J73="","",IF(VLOOKUP(J73,'G-3 Multipliers'!$L$3:$N$6,2,FALSE)=0,"Spatial Data Missing",VLOOKUP(J73,'G-3 Multipliers'!$L$3:$N$6,2,FALSE)))</f>
        <v/>
      </c>
      <c r="L73" s="505" t="str">
        <f>IF(J73="","",IF(VLOOKUP(J73,'G-3 Multipliers'!$L$3:$N$6,3,FALSE)=0,"Spatial Data Missing ⚠",VLOOKUP(J73,'G-3 Multipliers'!$L$3:$N$6,3,FALSE)))</f>
        <v/>
      </c>
      <c r="M73" s="506" t="str">
        <f>IF(D73="","",VLOOKUP(D73,'G-6 Hedgerow Data'!$B$1:$AH$15,33,FALSE))</f>
        <v/>
      </c>
      <c r="N73" s="513" t="str">
        <f t="shared" si="2"/>
        <v/>
      </c>
      <c r="O73" s="40"/>
      <c r="P73" s="154"/>
      <c r="Q73" s="203"/>
      <c r="R73" s="532" t="str">
        <f t="shared" si="3"/>
        <v/>
      </c>
      <c r="S73" s="532" t="str">
        <f t="shared" si="4"/>
        <v/>
      </c>
      <c r="T73" s="532" t="str">
        <f t="shared" si="5"/>
        <v/>
      </c>
      <c r="U73" s="557" t="str">
        <f t="shared" si="6"/>
        <v/>
      </c>
      <c r="V73" s="151"/>
      <c r="W73" s="152"/>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c r="AL73" s="31" t="str">
        <f>IFERROR(INDEX('G-6 Hedgerow Data'!$BJ$3:$BJ$15,MATCH(D73,'G-6 Hedgerow Data'!$B$3:$B$15,0)),"")</f>
        <v/>
      </c>
    </row>
    <row r="74" spans="2:38" ht="13.8" x14ac:dyDescent="0.25">
      <c r="B74" s="141">
        <v>65</v>
      </c>
      <c r="C74" s="203"/>
      <c r="D74" s="203"/>
      <c r="E74" s="153"/>
      <c r="F74" s="553" t="str">
        <f>IF(D74="","",VLOOKUP(D74,'G-6 Hedgerow Data'!$B$2:$AG$15,2,FALSE))</f>
        <v/>
      </c>
      <c r="G74" s="499" t="str">
        <f>IF(D74="","",VLOOKUP(D74,'G-6 Hedgerow Data'!$B$2:$AG$15,3,FALSE))</f>
        <v/>
      </c>
      <c r="H74" s="145"/>
      <c r="I74" s="499" t="str">
        <f>IFERROR(VLOOKUP(H74,'G-1 All Habitats'!$Z$2:$AA$9,2,FALSE),"")</f>
        <v/>
      </c>
      <c r="J74" s="145"/>
      <c r="K74" s="507" t="str">
        <f>IF(J74="","",IF(VLOOKUP(J74,'G-3 Multipliers'!$L$3:$N$6,2,FALSE)=0,"Spatial Data Missing",VLOOKUP(J74,'G-3 Multipliers'!$L$3:$N$6,2,FALSE)))</f>
        <v/>
      </c>
      <c r="L74" s="505" t="str">
        <f>IF(J74="","",IF(VLOOKUP(J74,'G-3 Multipliers'!$L$3:$N$6,3,FALSE)=0,"Spatial Data Missing ⚠",VLOOKUP(J74,'G-3 Multipliers'!$L$3:$N$6,3,FALSE)))</f>
        <v/>
      </c>
      <c r="M74" s="506" t="str">
        <f>IF(D74="","",VLOOKUP(D74,'G-6 Hedgerow Data'!$B$1:$AH$15,33,FALSE))</f>
        <v/>
      </c>
      <c r="N74" s="513" t="str">
        <f t="shared" si="2"/>
        <v/>
      </c>
      <c r="O74" s="40"/>
      <c r="P74" s="154"/>
      <c r="Q74" s="203"/>
      <c r="R74" s="532" t="str">
        <f t="shared" si="3"/>
        <v/>
      </c>
      <c r="S74" s="532" t="str">
        <f t="shared" si="4"/>
        <v/>
      </c>
      <c r="T74" s="532" t="str">
        <f t="shared" si="5"/>
        <v/>
      </c>
      <c r="U74" s="557" t="str">
        <f t="shared" si="6"/>
        <v/>
      </c>
      <c r="V74" s="151"/>
      <c r="W74" s="152"/>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c r="AL74" s="31" t="str">
        <f>IFERROR(INDEX('G-6 Hedgerow Data'!$BJ$3:$BJ$15,MATCH(D74,'G-6 Hedgerow Data'!$B$3:$B$15,0)),"")</f>
        <v/>
      </c>
    </row>
    <row r="75" spans="2:38" ht="13.8" x14ac:dyDescent="0.25">
      <c r="B75" s="141">
        <v>66</v>
      </c>
      <c r="C75" s="203"/>
      <c r="D75" s="203"/>
      <c r="E75" s="153"/>
      <c r="F75" s="553" t="str">
        <f>IF(D75="","",VLOOKUP(D75,'G-6 Hedgerow Data'!$B$2:$AG$15,2,FALSE))</f>
        <v/>
      </c>
      <c r="G75" s="499" t="str">
        <f>IF(D75="","",VLOOKUP(D75,'G-6 Hedgerow Data'!$B$2:$AG$15,3,FALSE))</f>
        <v/>
      </c>
      <c r="H75" s="145"/>
      <c r="I75" s="499" t="str">
        <f>IFERROR(VLOOKUP(H75,'G-1 All Habitats'!$Z$2:$AA$9,2,FALSE),"")</f>
        <v/>
      </c>
      <c r="J75" s="145"/>
      <c r="K75" s="507" t="str">
        <f>IF(J75="","",IF(VLOOKUP(J75,'G-3 Multipliers'!$L$3:$N$6,2,FALSE)=0,"Spatial Data Missing",VLOOKUP(J75,'G-3 Multipliers'!$L$3:$N$6,2,FALSE)))</f>
        <v/>
      </c>
      <c r="L75" s="505" t="str">
        <f>IF(J75="","",IF(VLOOKUP(J75,'G-3 Multipliers'!$L$3:$N$6,3,FALSE)=0,"Spatial Data Missing ⚠",VLOOKUP(J75,'G-3 Multipliers'!$L$3:$N$6,3,FALSE)))</f>
        <v/>
      </c>
      <c r="M75" s="506" t="str">
        <f>IF(D75="","",VLOOKUP(D75,'G-6 Hedgerow Data'!$B$1:$AH$15,33,FALSE))</f>
        <v/>
      </c>
      <c r="N75" s="513" t="str">
        <f t="shared" ref="N75:N138" si="9">IFERROR(E75*G75*I75*L75,"")</f>
        <v/>
      </c>
      <c r="O75" s="40"/>
      <c r="P75" s="154"/>
      <c r="Q75" s="203"/>
      <c r="R75" s="532" t="str">
        <f t="shared" ref="R75:R138" si="10">IFERROR(P75*G75*I75*L75,"")</f>
        <v/>
      </c>
      <c r="S75" s="532" t="str">
        <f t="shared" ref="S75:S138" si="11">IFERROR(Q75*G75*I75*L75,"")</f>
        <v/>
      </c>
      <c r="T75" s="532" t="str">
        <f t="shared" ref="T75:T138" si="12">IF(D75="","",IF(E75-P75-Q75=0&lt;0,"Error in lengths ▲",IF(P75+Q75&gt;E75,"Error in Lengths ▲",E75-P75-Q75)))</f>
        <v/>
      </c>
      <c r="U75" s="557" t="str">
        <f t="shared" si="6"/>
        <v/>
      </c>
      <c r="V75" s="151"/>
      <c r="W75" s="152"/>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c r="AL75" s="31" t="str">
        <f>IFERROR(INDEX('G-6 Hedgerow Data'!$BJ$3:$BJ$15,MATCH(D75,'G-6 Hedgerow Data'!$B$3:$B$15,0)),"")</f>
        <v/>
      </c>
    </row>
    <row r="76" spans="2:38" ht="13.8" x14ac:dyDescent="0.25">
      <c r="B76" s="141">
        <v>67</v>
      </c>
      <c r="C76" s="203"/>
      <c r="D76" s="203"/>
      <c r="E76" s="153"/>
      <c r="F76" s="553" t="str">
        <f>IF(D76="","",VLOOKUP(D76,'G-6 Hedgerow Data'!$B$2:$AG$15,2,FALSE))</f>
        <v/>
      </c>
      <c r="G76" s="499" t="str">
        <f>IF(D76="","",VLOOKUP(D76,'G-6 Hedgerow Data'!$B$2:$AG$15,3,FALSE))</f>
        <v/>
      </c>
      <c r="H76" s="145"/>
      <c r="I76" s="499" t="str">
        <f>IFERROR(VLOOKUP(H76,'G-1 All Habitats'!$Z$2:$AA$9,2,FALSE),"")</f>
        <v/>
      </c>
      <c r="J76" s="145"/>
      <c r="K76" s="507" t="str">
        <f>IF(J76="","",IF(VLOOKUP(J76,'G-3 Multipliers'!$L$3:$N$6,2,FALSE)=0,"Spatial Data Missing",VLOOKUP(J76,'G-3 Multipliers'!$L$3:$N$6,2,FALSE)))</f>
        <v/>
      </c>
      <c r="L76" s="505" t="str">
        <f>IF(J76="","",IF(VLOOKUP(J76,'G-3 Multipliers'!$L$3:$N$6,3,FALSE)=0,"Spatial Data Missing ⚠",VLOOKUP(J76,'G-3 Multipliers'!$L$3:$N$6,3,FALSE)))</f>
        <v/>
      </c>
      <c r="M76" s="506" t="str">
        <f>IF(D76="","",VLOOKUP(D76,'G-6 Hedgerow Data'!$B$1:$AH$15,33,FALSE))</f>
        <v/>
      </c>
      <c r="N76" s="513" t="str">
        <f t="shared" si="9"/>
        <v/>
      </c>
      <c r="O76" s="40"/>
      <c r="P76" s="154"/>
      <c r="Q76" s="203"/>
      <c r="R76" s="532" t="str">
        <f t="shared" si="10"/>
        <v/>
      </c>
      <c r="S76" s="532" t="str">
        <f t="shared" si="11"/>
        <v/>
      </c>
      <c r="T76" s="532" t="str">
        <f t="shared" si="12"/>
        <v/>
      </c>
      <c r="U76" s="557" t="str">
        <f t="shared" ref="U76:U139" si="13">IF(OR(E76="",N76=""),"",IF(E76-P76-Q76=0&lt;0,"Error in Lengths ▲",IF(P76+Q76&gt;E76,"Error in Lengths ▲",N76-R76-S76)))</f>
        <v/>
      </c>
      <c r="V76" s="151"/>
      <c r="W76" s="152"/>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c r="AL76" s="31" t="str">
        <f>IFERROR(INDEX('G-6 Hedgerow Data'!$BJ$3:$BJ$15,MATCH(D76,'G-6 Hedgerow Data'!$B$3:$B$15,0)),"")</f>
        <v/>
      </c>
    </row>
    <row r="77" spans="2:38" ht="13.8" x14ac:dyDescent="0.25">
      <c r="B77" s="141">
        <v>68</v>
      </c>
      <c r="C77" s="203"/>
      <c r="D77" s="203"/>
      <c r="E77" s="153"/>
      <c r="F77" s="553" t="str">
        <f>IF(D77="","",VLOOKUP(D77,'G-6 Hedgerow Data'!$B$2:$AG$15,2,FALSE))</f>
        <v/>
      </c>
      <c r="G77" s="499" t="str">
        <f>IF(D77="","",VLOOKUP(D77,'G-6 Hedgerow Data'!$B$2:$AG$15,3,FALSE))</f>
        <v/>
      </c>
      <c r="H77" s="145"/>
      <c r="I77" s="499" t="str">
        <f>IFERROR(VLOOKUP(H77,'G-1 All Habitats'!$Z$2:$AA$9,2,FALSE),"")</f>
        <v/>
      </c>
      <c r="J77" s="145"/>
      <c r="K77" s="507" t="str">
        <f>IF(J77="","",IF(VLOOKUP(J77,'G-3 Multipliers'!$L$3:$N$6,2,FALSE)=0,"Spatial Data Missing",VLOOKUP(J77,'G-3 Multipliers'!$L$3:$N$6,2,FALSE)))</f>
        <v/>
      </c>
      <c r="L77" s="505" t="str">
        <f>IF(J77="","",IF(VLOOKUP(J77,'G-3 Multipliers'!$L$3:$N$6,3,FALSE)=0,"Spatial Data Missing ⚠",VLOOKUP(J77,'G-3 Multipliers'!$L$3:$N$6,3,FALSE)))</f>
        <v/>
      </c>
      <c r="M77" s="506" t="str">
        <f>IF(D77="","",VLOOKUP(D77,'G-6 Hedgerow Data'!$B$1:$AH$15,33,FALSE))</f>
        <v/>
      </c>
      <c r="N77" s="513" t="str">
        <f t="shared" si="9"/>
        <v/>
      </c>
      <c r="O77" s="40"/>
      <c r="P77" s="154"/>
      <c r="Q77" s="203"/>
      <c r="R77" s="532" t="str">
        <f t="shared" si="10"/>
        <v/>
      </c>
      <c r="S77" s="532" t="str">
        <f t="shared" si="11"/>
        <v/>
      </c>
      <c r="T77" s="532" t="str">
        <f t="shared" si="12"/>
        <v/>
      </c>
      <c r="U77" s="557" t="str">
        <f t="shared" si="13"/>
        <v/>
      </c>
      <c r="V77" s="151"/>
      <c r="W77" s="152"/>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c r="AL77" s="31" t="str">
        <f>IFERROR(INDEX('G-6 Hedgerow Data'!$BJ$3:$BJ$15,MATCH(D77,'G-6 Hedgerow Data'!$B$3:$B$15,0)),"")</f>
        <v/>
      </c>
    </row>
    <row r="78" spans="2:38" ht="13.8" x14ac:dyDescent="0.25">
      <c r="B78" s="141">
        <v>69</v>
      </c>
      <c r="C78" s="203"/>
      <c r="D78" s="203"/>
      <c r="E78" s="153"/>
      <c r="F78" s="553" t="str">
        <f>IF(D78="","",VLOOKUP(D78,'G-6 Hedgerow Data'!$B$2:$AG$15,2,FALSE))</f>
        <v/>
      </c>
      <c r="G78" s="499" t="str">
        <f>IF(D78="","",VLOOKUP(D78,'G-6 Hedgerow Data'!$B$2:$AG$15,3,FALSE))</f>
        <v/>
      </c>
      <c r="H78" s="145"/>
      <c r="I78" s="499" t="str">
        <f>IFERROR(VLOOKUP(H78,'G-1 All Habitats'!$Z$2:$AA$9,2,FALSE),"")</f>
        <v/>
      </c>
      <c r="J78" s="145"/>
      <c r="K78" s="507" t="str">
        <f>IF(J78="","",IF(VLOOKUP(J78,'G-3 Multipliers'!$L$3:$N$6,2,FALSE)=0,"Spatial Data Missing",VLOOKUP(J78,'G-3 Multipliers'!$L$3:$N$6,2,FALSE)))</f>
        <v/>
      </c>
      <c r="L78" s="505" t="str">
        <f>IF(J78="","",IF(VLOOKUP(J78,'G-3 Multipliers'!$L$3:$N$6,3,FALSE)=0,"Spatial Data Missing ⚠",VLOOKUP(J78,'G-3 Multipliers'!$L$3:$N$6,3,FALSE)))</f>
        <v/>
      </c>
      <c r="M78" s="506" t="str">
        <f>IF(D78="","",VLOOKUP(D78,'G-6 Hedgerow Data'!$B$1:$AH$15,33,FALSE))</f>
        <v/>
      </c>
      <c r="N78" s="513" t="str">
        <f t="shared" si="9"/>
        <v/>
      </c>
      <c r="O78" s="40"/>
      <c r="P78" s="154"/>
      <c r="Q78" s="203"/>
      <c r="R78" s="532" t="str">
        <f t="shared" si="10"/>
        <v/>
      </c>
      <c r="S78" s="532" t="str">
        <f t="shared" si="11"/>
        <v/>
      </c>
      <c r="T78" s="532" t="str">
        <f t="shared" si="12"/>
        <v/>
      </c>
      <c r="U78" s="557" t="str">
        <f t="shared" si="13"/>
        <v/>
      </c>
      <c r="V78" s="151"/>
      <c r="W78" s="152"/>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c r="AL78" s="31" t="str">
        <f>IFERROR(INDEX('G-6 Hedgerow Data'!$BJ$3:$BJ$15,MATCH(D78,'G-6 Hedgerow Data'!$B$3:$B$15,0)),"")</f>
        <v/>
      </c>
    </row>
    <row r="79" spans="2:38" ht="13.8" x14ac:dyDescent="0.25">
      <c r="B79" s="141">
        <v>70</v>
      </c>
      <c r="C79" s="203"/>
      <c r="D79" s="203"/>
      <c r="E79" s="153"/>
      <c r="F79" s="553" t="str">
        <f>IF(D79="","",VLOOKUP(D79,'G-6 Hedgerow Data'!$B$2:$AG$15,2,FALSE))</f>
        <v/>
      </c>
      <c r="G79" s="499" t="str">
        <f>IF(D79="","",VLOOKUP(D79,'G-6 Hedgerow Data'!$B$2:$AG$15,3,FALSE))</f>
        <v/>
      </c>
      <c r="H79" s="145"/>
      <c r="I79" s="499" t="str">
        <f>IFERROR(VLOOKUP(H79,'G-1 All Habitats'!$Z$2:$AA$9,2,FALSE),"")</f>
        <v/>
      </c>
      <c r="J79" s="145"/>
      <c r="K79" s="507" t="str">
        <f>IF(J79="","",IF(VLOOKUP(J79,'G-3 Multipliers'!$L$3:$N$6,2,FALSE)=0,"Spatial Data Missing",VLOOKUP(J79,'G-3 Multipliers'!$L$3:$N$6,2,FALSE)))</f>
        <v/>
      </c>
      <c r="L79" s="505" t="str">
        <f>IF(J79="","",IF(VLOOKUP(J79,'G-3 Multipliers'!$L$3:$N$6,3,FALSE)=0,"Spatial Data Missing ⚠",VLOOKUP(J79,'G-3 Multipliers'!$L$3:$N$6,3,FALSE)))</f>
        <v/>
      </c>
      <c r="M79" s="506" t="str">
        <f>IF(D79="","",VLOOKUP(D79,'G-6 Hedgerow Data'!$B$1:$AH$15,33,FALSE))</f>
        <v/>
      </c>
      <c r="N79" s="513" t="str">
        <f t="shared" si="9"/>
        <v/>
      </c>
      <c r="O79" s="40"/>
      <c r="P79" s="154"/>
      <c r="Q79" s="203"/>
      <c r="R79" s="532" t="str">
        <f t="shared" si="10"/>
        <v/>
      </c>
      <c r="S79" s="532" t="str">
        <f t="shared" si="11"/>
        <v/>
      </c>
      <c r="T79" s="532" t="str">
        <f t="shared" si="12"/>
        <v/>
      </c>
      <c r="U79" s="557" t="str">
        <f t="shared" si="13"/>
        <v/>
      </c>
      <c r="V79" s="151"/>
      <c r="W79" s="152"/>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c r="AL79" s="31" t="str">
        <f>IFERROR(INDEX('G-6 Hedgerow Data'!$BJ$3:$BJ$15,MATCH(D79,'G-6 Hedgerow Data'!$B$3:$B$15,0)),"")</f>
        <v/>
      </c>
    </row>
    <row r="80" spans="2:38" ht="13.8" x14ac:dyDescent="0.25">
      <c r="B80" s="141">
        <v>71</v>
      </c>
      <c r="C80" s="203"/>
      <c r="D80" s="203"/>
      <c r="E80" s="153"/>
      <c r="F80" s="553" t="str">
        <f>IF(D80="","",VLOOKUP(D80,'G-6 Hedgerow Data'!$B$2:$AG$15,2,FALSE))</f>
        <v/>
      </c>
      <c r="G80" s="499" t="str">
        <f>IF(D80="","",VLOOKUP(D80,'G-6 Hedgerow Data'!$B$2:$AG$15,3,FALSE))</f>
        <v/>
      </c>
      <c r="H80" s="145"/>
      <c r="I80" s="499" t="str">
        <f>IFERROR(VLOOKUP(H80,'G-1 All Habitats'!$Z$2:$AA$9,2,FALSE),"")</f>
        <v/>
      </c>
      <c r="J80" s="145"/>
      <c r="K80" s="507" t="str">
        <f>IF(J80="","",IF(VLOOKUP(J80,'G-3 Multipliers'!$L$3:$N$6,2,FALSE)=0,"Spatial Data Missing",VLOOKUP(J80,'G-3 Multipliers'!$L$3:$N$6,2,FALSE)))</f>
        <v/>
      </c>
      <c r="L80" s="505" t="str">
        <f>IF(J80="","",IF(VLOOKUP(J80,'G-3 Multipliers'!$L$3:$N$6,3,FALSE)=0,"Spatial Data Missing ⚠",VLOOKUP(J80,'G-3 Multipliers'!$L$3:$N$6,3,FALSE)))</f>
        <v/>
      </c>
      <c r="M80" s="506" t="str">
        <f>IF(D80="","",VLOOKUP(D80,'G-6 Hedgerow Data'!$B$1:$AH$15,33,FALSE))</f>
        <v/>
      </c>
      <c r="N80" s="513" t="str">
        <f t="shared" si="9"/>
        <v/>
      </c>
      <c r="O80" s="40"/>
      <c r="P80" s="154"/>
      <c r="Q80" s="203"/>
      <c r="R80" s="532" t="str">
        <f t="shared" si="10"/>
        <v/>
      </c>
      <c r="S80" s="532" t="str">
        <f t="shared" si="11"/>
        <v/>
      </c>
      <c r="T80" s="532" t="str">
        <f t="shared" si="12"/>
        <v/>
      </c>
      <c r="U80" s="557" t="str">
        <f t="shared" si="13"/>
        <v/>
      </c>
      <c r="V80" s="151"/>
      <c r="W80" s="152"/>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c r="AL80" s="31" t="str">
        <f>IFERROR(INDEX('G-6 Hedgerow Data'!$BJ$3:$BJ$15,MATCH(D80,'G-6 Hedgerow Data'!$B$3:$B$15,0)),"")</f>
        <v/>
      </c>
    </row>
    <row r="81" spans="2:38" ht="13.8" x14ac:dyDescent="0.25">
      <c r="B81" s="141">
        <v>72</v>
      </c>
      <c r="C81" s="203"/>
      <c r="D81" s="203"/>
      <c r="E81" s="153"/>
      <c r="F81" s="553" t="str">
        <f>IF(D81="","",VLOOKUP(D81,'G-6 Hedgerow Data'!$B$2:$AG$15,2,FALSE))</f>
        <v/>
      </c>
      <c r="G81" s="499" t="str">
        <f>IF(D81="","",VLOOKUP(D81,'G-6 Hedgerow Data'!$B$2:$AG$15,3,FALSE))</f>
        <v/>
      </c>
      <c r="H81" s="145"/>
      <c r="I81" s="499" t="str">
        <f>IFERROR(VLOOKUP(H81,'G-1 All Habitats'!$Z$2:$AA$9,2,FALSE),"")</f>
        <v/>
      </c>
      <c r="J81" s="145"/>
      <c r="K81" s="507" t="str">
        <f>IF(J81="","",IF(VLOOKUP(J81,'G-3 Multipliers'!$L$3:$N$6,2,FALSE)=0,"Spatial Data Missing",VLOOKUP(J81,'G-3 Multipliers'!$L$3:$N$6,2,FALSE)))</f>
        <v/>
      </c>
      <c r="L81" s="505" t="str">
        <f>IF(J81="","",IF(VLOOKUP(J81,'G-3 Multipliers'!$L$3:$N$6,3,FALSE)=0,"Spatial Data Missing ⚠",VLOOKUP(J81,'G-3 Multipliers'!$L$3:$N$6,3,FALSE)))</f>
        <v/>
      </c>
      <c r="M81" s="506" t="str">
        <f>IF(D81="","",VLOOKUP(D81,'G-6 Hedgerow Data'!$B$1:$AH$15,33,FALSE))</f>
        <v/>
      </c>
      <c r="N81" s="513" t="str">
        <f t="shared" si="9"/>
        <v/>
      </c>
      <c r="O81" s="40"/>
      <c r="P81" s="154"/>
      <c r="Q81" s="203"/>
      <c r="R81" s="532" t="str">
        <f t="shared" si="10"/>
        <v/>
      </c>
      <c r="S81" s="532" t="str">
        <f t="shared" si="11"/>
        <v/>
      </c>
      <c r="T81" s="532" t="str">
        <f t="shared" si="12"/>
        <v/>
      </c>
      <c r="U81" s="557" t="str">
        <f t="shared" si="13"/>
        <v/>
      </c>
      <c r="V81" s="151"/>
      <c r="W81" s="152"/>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c r="AL81" s="31" t="str">
        <f>IFERROR(INDEX('G-6 Hedgerow Data'!$BJ$3:$BJ$15,MATCH(D81,'G-6 Hedgerow Data'!$B$3:$B$15,0)),"")</f>
        <v/>
      </c>
    </row>
    <row r="82" spans="2:38" ht="13.8" x14ac:dyDescent="0.25">
      <c r="B82" s="141">
        <v>73</v>
      </c>
      <c r="C82" s="203"/>
      <c r="D82" s="203"/>
      <c r="E82" s="153"/>
      <c r="F82" s="553" t="str">
        <f>IF(D82="","",VLOOKUP(D82,'G-6 Hedgerow Data'!$B$2:$AG$15,2,FALSE))</f>
        <v/>
      </c>
      <c r="G82" s="499" t="str">
        <f>IF(D82="","",VLOOKUP(D82,'G-6 Hedgerow Data'!$B$2:$AG$15,3,FALSE))</f>
        <v/>
      </c>
      <c r="H82" s="145"/>
      <c r="I82" s="499" t="str">
        <f>IFERROR(VLOOKUP(H82,'G-1 All Habitats'!$Z$2:$AA$9,2,FALSE),"")</f>
        <v/>
      </c>
      <c r="J82" s="145"/>
      <c r="K82" s="507" t="str">
        <f>IF(J82="","",IF(VLOOKUP(J82,'G-3 Multipliers'!$L$3:$N$6,2,FALSE)=0,"Spatial Data Missing",VLOOKUP(J82,'G-3 Multipliers'!$L$3:$N$6,2,FALSE)))</f>
        <v/>
      </c>
      <c r="L82" s="505" t="str">
        <f>IF(J82="","",IF(VLOOKUP(J82,'G-3 Multipliers'!$L$3:$N$6,3,FALSE)=0,"Spatial Data Missing ⚠",VLOOKUP(J82,'G-3 Multipliers'!$L$3:$N$6,3,FALSE)))</f>
        <v/>
      </c>
      <c r="M82" s="506" t="str">
        <f>IF(D82="","",VLOOKUP(D82,'G-6 Hedgerow Data'!$B$1:$AH$15,33,FALSE))</f>
        <v/>
      </c>
      <c r="N82" s="513" t="str">
        <f t="shared" si="9"/>
        <v/>
      </c>
      <c r="O82" s="40"/>
      <c r="P82" s="154"/>
      <c r="Q82" s="203"/>
      <c r="R82" s="532" t="str">
        <f t="shared" si="10"/>
        <v/>
      </c>
      <c r="S82" s="532" t="str">
        <f t="shared" si="11"/>
        <v/>
      </c>
      <c r="T82" s="532" t="str">
        <f t="shared" si="12"/>
        <v/>
      </c>
      <c r="U82" s="557" t="str">
        <f t="shared" si="13"/>
        <v/>
      </c>
      <c r="V82" s="151"/>
      <c r="W82" s="152"/>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c r="AL82" s="31" t="str">
        <f>IFERROR(INDEX('G-6 Hedgerow Data'!$BJ$3:$BJ$15,MATCH(D82,'G-6 Hedgerow Data'!$B$3:$B$15,0)),"")</f>
        <v/>
      </c>
    </row>
    <row r="83" spans="2:38" ht="13.8" x14ac:dyDescent="0.25">
      <c r="B83" s="141">
        <v>74</v>
      </c>
      <c r="C83" s="203"/>
      <c r="D83" s="203"/>
      <c r="E83" s="153"/>
      <c r="F83" s="553" t="str">
        <f>IF(D83="","",VLOOKUP(D83,'G-6 Hedgerow Data'!$B$2:$AG$15,2,FALSE))</f>
        <v/>
      </c>
      <c r="G83" s="499" t="str">
        <f>IF(D83="","",VLOOKUP(D83,'G-6 Hedgerow Data'!$B$2:$AG$15,3,FALSE))</f>
        <v/>
      </c>
      <c r="H83" s="145"/>
      <c r="I83" s="499" t="str">
        <f>IFERROR(VLOOKUP(H83,'G-1 All Habitats'!$Z$2:$AA$9,2,FALSE),"")</f>
        <v/>
      </c>
      <c r="J83" s="145"/>
      <c r="K83" s="507" t="str">
        <f>IF(J83="","",IF(VLOOKUP(J83,'G-3 Multipliers'!$L$3:$N$6,2,FALSE)=0,"Spatial Data Missing",VLOOKUP(J83,'G-3 Multipliers'!$L$3:$N$6,2,FALSE)))</f>
        <v/>
      </c>
      <c r="L83" s="505" t="str">
        <f>IF(J83="","",IF(VLOOKUP(J83,'G-3 Multipliers'!$L$3:$N$6,3,FALSE)=0,"Spatial Data Missing ⚠",VLOOKUP(J83,'G-3 Multipliers'!$L$3:$N$6,3,FALSE)))</f>
        <v/>
      </c>
      <c r="M83" s="506" t="str">
        <f>IF(D83="","",VLOOKUP(D83,'G-6 Hedgerow Data'!$B$1:$AH$15,33,FALSE))</f>
        <v/>
      </c>
      <c r="N83" s="513" t="str">
        <f t="shared" si="9"/>
        <v/>
      </c>
      <c r="O83" s="40"/>
      <c r="P83" s="154"/>
      <c r="Q83" s="203"/>
      <c r="R83" s="532" t="str">
        <f t="shared" si="10"/>
        <v/>
      </c>
      <c r="S83" s="532" t="str">
        <f t="shared" si="11"/>
        <v/>
      </c>
      <c r="T83" s="532" t="str">
        <f t="shared" si="12"/>
        <v/>
      </c>
      <c r="U83" s="557" t="str">
        <f t="shared" si="13"/>
        <v/>
      </c>
      <c r="V83" s="151"/>
      <c r="W83" s="152"/>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c r="AL83" s="31" t="str">
        <f>IFERROR(INDEX('G-6 Hedgerow Data'!$BJ$3:$BJ$15,MATCH(D83,'G-6 Hedgerow Data'!$B$3:$B$15,0)),"")</f>
        <v/>
      </c>
    </row>
    <row r="84" spans="2:38" ht="13.8" x14ac:dyDescent="0.25">
      <c r="B84" s="141">
        <v>75</v>
      </c>
      <c r="C84" s="203"/>
      <c r="D84" s="203"/>
      <c r="E84" s="153"/>
      <c r="F84" s="553" t="str">
        <f>IF(D84="","",VLOOKUP(D84,'G-6 Hedgerow Data'!$B$2:$AG$15,2,FALSE))</f>
        <v/>
      </c>
      <c r="G84" s="499" t="str">
        <f>IF(D84="","",VLOOKUP(D84,'G-6 Hedgerow Data'!$B$2:$AG$15,3,FALSE))</f>
        <v/>
      </c>
      <c r="H84" s="145"/>
      <c r="I84" s="499" t="str">
        <f>IFERROR(VLOOKUP(H84,'G-1 All Habitats'!$Z$2:$AA$9,2,FALSE),"")</f>
        <v/>
      </c>
      <c r="J84" s="145"/>
      <c r="K84" s="507" t="str">
        <f>IF(J84="","",IF(VLOOKUP(J84,'G-3 Multipliers'!$L$3:$N$6,2,FALSE)=0,"Spatial Data Missing",VLOOKUP(J84,'G-3 Multipliers'!$L$3:$N$6,2,FALSE)))</f>
        <v/>
      </c>
      <c r="L84" s="505" t="str">
        <f>IF(J84="","",IF(VLOOKUP(J84,'G-3 Multipliers'!$L$3:$N$6,3,FALSE)=0,"Spatial Data Missing ⚠",VLOOKUP(J84,'G-3 Multipliers'!$L$3:$N$6,3,FALSE)))</f>
        <v/>
      </c>
      <c r="M84" s="506" t="str">
        <f>IF(D84="","",VLOOKUP(D84,'G-6 Hedgerow Data'!$B$1:$AH$15,33,FALSE))</f>
        <v/>
      </c>
      <c r="N84" s="513" t="str">
        <f t="shared" si="9"/>
        <v/>
      </c>
      <c r="O84" s="40"/>
      <c r="P84" s="154"/>
      <c r="Q84" s="203"/>
      <c r="R84" s="532" t="str">
        <f t="shared" si="10"/>
        <v/>
      </c>
      <c r="S84" s="532" t="str">
        <f t="shared" si="11"/>
        <v/>
      </c>
      <c r="T84" s="532" t="str">
        <f t="shared" si="12"/>
        <v/>
      </c>
      <c r="U84" s="557" t="str">
        <f t="shared" si="13"/>
        <v/>
      </c>
      <c r="V84" s="151"/>
      <c r="W84" s="152"/>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c r="AL84" s="31" t="str">
        <f>IFERROR(INDEX('G-6 Hedgerow Data'!$BJ$3:$BJ$15,MATCH(D84,'G-6 Hedgerow Data'!$B$3:$B$15,0)),"")</f>
        <v/>
      </c>
    </row>
    <row r="85" spans="2:38" ht="13.8" x14ac:dyDescent="0.25">
      <c r="B85" s="141">
        <v>76</v>
      </c>
      <c r="C85" s="203"/>
      <c r="D85" s="203"/>
      <c r="E85" s="153"/>
      <c r="F85" s="553" t="str">
        <f>IF(D85="","",VLOOKUP(D85,'G-6 Hedgerow Data'!$B$2:$AG$15,2,FALSE))</f>
        <v/>
      </c>
      <c r="G85" s="499" t="str">
        <f>IF(D85="","",VLOOKUP(D85,'G-6 Hedgerow Data'!$B$2:$AG$15,3,FALSE))</f>
        <v/>
      </c>
      <c r="H85" s="145"/>
      <c r="I85" s="499" t="str">
        <f>IFERROR(VLOOKUP(H85,'G-1 All Habitats'!$Z$2:$AA$9,2,FALSE),"")</f>
        <v/>
      </c>
      <c r="J85" s="145"/>
      <c r="K85" s="507" t="str">
        <f>IF(J85="","",IF(VLOOKUP(J85,'G-3 Multipliers'!$L$3:$N$6,2,FALSE)=0,"Spatial Data Missing",VLOOKUP(J85,'G-3 Multipliers'!$L$3:$N$6,2,FALSE)))</f>
        <v/>
      </c>
      <c r="L85" s="505" t="str">
        <f>IF(J85="","",IF(VLOOKUP(J85,'G-3 Multipliers'!$L$3:$N$6,3,FALSE)=0,"Spatial Data Missing ⚠",VLOOKUP(J85,'G-3 Multipliers'!$L$3:$N$6,3,FALSE)))</f>
        <v/>
      </c>
      <c r="M85" s="506" t="str">
        <f>IF(D85="","",VLOOKUP(D85,'G-6 Hedgerow Data'!$B$1:$AH$15,33,FALSE))</f>
        <v/>
      </c>
      <c r="N85" s="513" t="str">
        <f t="shared" si="9"/>
        <v/>
      </c>
      <c r="O85" s="40"/>
      <c r="P85" s="154"/>
      <c r="Q85" s="203"/>
      <c r="R85" s="532" t="str">
        <f t="shared" si="10"/>
        <v/>
      </c>
      <c r="S85" s="532" t="str">
        <f t="shared" si="11"/>
        <v/>
      </c>
      <c r="T85" s="532" t="str">
        <f t="shared" si="12"/>
        <v/>
      </c>
      <c r="U85" s="557" t="str">
        <f t="shared" si="13"/>
        <v/>
      </c>
      <c r="V85" s="151"/>
      <c r="W85" s="152"/>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c r="AL85" s="31" t="str">
        <f>IFERROR(INDEX('G-6 Hedgerow Data'!$BJ$3:$BJ$15,MATCH(D85,'G-6 Hedgerow Data'!$B$3:$B$15,0)),"")</f>
        <v/>
      </c>
    </row>
    <row r="86" spans="2:38" ht="13.8" x14ac:dyDescent="0.25">
      <c r="B86" s="141">
        <v>77</v>
      </c>
      <c r="C86" s="203"/>
      <c r="D86" s="203"/>
      <c r="E86" s="153"/>
      <c r="F86" s="553" t="str">
        <f>IF(D86="","",VLOOKUP(D86,'G-6 Hedgerow Data'!$B$2:$AG$15,2,FALSE))</f>
        <v/>
      </c>
      <c r="G86" s="499" t="str">
        <f>IF(D86="","",VLOOKUP(D86,'G-6 Hedgerow Data'!$B$2:$AG$15,3,FALSE))</f>
        <v/>
      </c>
      <c r="H86" s="145"/>
      <c r="I86" s="499" t="str">
        <f>IFERROR(VLOOKUP(H86,'G-1 All Habitats'!$Z$2:$AA$9,2,FALSE),"")</f>
        <v/>
      </c>
      <c r="J86" s="145"/>
      <c r="K86" s="507" t="str">
        <f>IF(J86="","",IF(VLOOKUP(J86,'G-3 Multipliers'!$L$3:$N$6,2,FALSE)=0,"Spatial Data Missing",VLOOKUP(J86,'G-3 Multipliers'!$L$3:$N$6,2,FALSE)))</f>
        <v/>
      </c>
      <c r="L86" s="505" t="str">
        <f>IF(J86="","",IF(VLOOKUP(J86,'G-3 Multipliers'!$L$3:$N$6,3,FALSE)=0,"Spatial Data Missing ⚠",VLOOKUP(J86,'G-3 Multipliers'!$L$3:$N$6,3,FALSE)))</f>
        <v/>
      </c>
      <c r="M86" s="506" t="str">
        <f>IF(D86="","",VLOOKUP(D86,'G-6 Hedgerow Data'!$B$1:$AH$15,33,FALSE))</f>
        <v/>
      </c>
      <c r="N86" s="513" t="str">
        <f t="shared" si="9"/>
        <v/>
      </c>
      <c r="O86" s="40"/>
      <c r="P86" s="154"/>
      <c r="Q86" s="203"/>
      <c r="R86" s="532" t="str">
        <f t="shared" si="10"/>
        <v/>
      </c>
      <c r="S86" s="532" t="str">
        <f t="shared" si="11"/>
        <v/>
      </c>
      <c r="T86" s="532" t="str">
        <f t="shared" si="12"/>
        <v/>
      </c>
      <c r="U86" s="557" t="str">
        <f t="shared" si="13"/>
        <v/>
      </c>
      <c r="V86" s="151"/>
      <c r="W86" s="152"/>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c r="AL86" s="31" t="str">
        <f>IFERROR(INDEX('G-6 Hedgerow Data'!$BJ$3:$BJ$15,MATCH(D86,'G-6 Hedgerow Data'!$B$3:$B$15,0)),"")</f>
        <v/>
      </c>
    </row>
    <row r="87" spans="2:38" ht="13.8" x14ac:dyDescent="0.25">
      <c r="B87" s="141">
        <v>78</v>
      </c>
      <c r="C87" s="203"/>
      <c r="D87" s="203"/>
      <c r="E87" s="153"/>
      <c r="F87" s="553" t="str">
        <f>IF(D87="","",VLOOKUP(D87,'G-6 Hedgerow Data'!$B$2:$AG$15,2,FALSE))</f>
        <v/>
      </c>
      <c r="G87" s="499" t="str">
        <f>IF(D87="","",VLOOKUP(D87,'G-6 Hedgerow Data'!$B$2:$AG$15,3,FALSE))</f>
        <v/>
      </c>
      <c r="H87" s="145"/>
      <c r="I87" s="499" t="str">
        <f>IFERROR(VLOOKUP(H87,'G-1 All Habitats'!$Z$2:$AA$9,2,FALSE),"")</f>
        <v/>
      </c>
      <c r="J87" s="145"/>
      <c r="K87" s="507" t="str">
        <f>IF(J87="","",IF(VLOOKUP(J87,'G-3 Multipliers'!$L$3:$N$6,2,FALSE)=0,"Spatial Data Missing",VLOOKUP(J87,'G-3 Multipliers'!$L$3:$N$6,2,FALSE)))</f>
        <v/>
      </c>
      <c r="L87" s="505" t="str">
        <f>IF(J87="","",IF(VLOOKUP(J87,'G-3 Multipliers'!$L$3:$N$6,3,FALSE)=0,"Spatial Data Missing ⚠",VLOOKUP(J87,'G-3 Multipliers'!$L$3:$N$6,3,FALSE)))</f>
        <v/>
      </c>
      <c r="M87" s="506" t="str">
        <f>IF(D87="","",VLOOKUP(D87,'G-6 Hedgerow Data'!$B$1:$AH$15,33,FALSE))</f>
        <v/>
      </c>
      <c r="N87" s="513" t="str">
        <f t="shared" si="9"/>
        <v/>
      </c>
      <c r="O87" s="40"/>
      <c r="P87" s="154"/>
      <c r="Q87" s="203"/>
      <c r="R87" s="532" t="str">
        <f t="shared" si="10"/>
        <v/>
      </c>
      <c r="S87" s="532" t="str">
        <f t="shared" si="11"/>
        <v/>
      </c>
      <c r="T87" s="532" t="str">
        <f t="shared" si="12"/>
        <v/>
      </c>
      <c r="U87" s="557" t="str">
        <f t="shared" si="13"/>
        <v/>
      </c>
      <c r="V87" s="151"/>
      <c r="W87" s="152"/>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c r="AL87" s="31" t="str">
        <f>IFERROR(INDEX('G-6 Hedgerow Data'!$BJ$3:$BJ$15,MATCH(D87,'G-6 Hedgerow Data'!$B$3:$B$15,0)),"")</f>
        <v/>
      </c>
    </row>
    <row r="88" spans="2:38" ht="13.8" x14ac:dyDescent="0.25">
      <c r="B88" s="141">
        <v>79</v>
      </c>
      <c r="C88" s="203"/>
      <c r="D88" s="203"/>
      <c r="E88" s="153"/>
      <c r="F88" s="553" t="str">
        <f>IF(D88="","",VLOOKUP(D88,'G-6 Hedgerow Data'!$B$2:$AG$15,2,FALSE))</f>
        <v/>
      </c>
      <c r="G88" s="499" t="str">
        <f>IF(D88="","",VLOOKUP(D88,'G-6 Hedgerow Data'!$B$2:$AG$15,3,FALSE))</f>
        <v/>
      </c>
      <c r="H88" s="145"/>
      <c r="I88" s="499" t="str">
        <f>IFERROR(VLOOKUP(H88,'G-1 All Habitats'!$Z$2:$AA$9,2,FALSE),"")</f>
        <v/>
      </c>
      <c r="J88" s="145"/>
      <c r="K88" s="507" t="str">
        <f>IF(J88="","",IF(VLOOKUP(J88,'G-3 Multipliers'!$L$3:$N$6,2,FALSE)=0,"Spatial Data Missing",VLOOKUP(J88,'G-3 Multipliers'!$L$3:$N$6,2,FALSE)))</f>
        <v/>
      </c>
      <c r="L88" s="505" t="str">
        <f>IF(J88="","",IF(VLOOKUP(J88,'G-3 Multipliers'!$L$3:$N$6,3,FALSE)=0,"Spatial Data Missing ⚠",VLOOKUP(J88,'G-3 Multipliers'!$L$3:$N$6,3,FALSE)))</f>
        <v/>
      </c>
      <c r="M88" s="506" t="str">
        <f>IF(D88="","",VLOOKUP(D88,'G-6 Hedgerow Data'!$B$1:$AH$15,33,FALSE))</f>
        <v/>
      </c>
      <c r="N88" s="513" t="str">
        <f t="shared" si="9"/>
        <v/>
      </c>
      <c r="O88" s="40"/>
      <c r="P88" s="154"/>
      <c r="Q88" s="203"/>
      <c r="R88" s="532" t="str">
        <f t="shared" si="10"/>
        <v/>
      </c>
      <c r="S88" s="532" t="str">
        <f t="shared" si="11"/>
        <v/>
      </c>
      <c r="T88" s="532" t="str">
        <f t="shared" si="12"/>
        <v/>
      </c>
      <c r="U88" s="557" t="str">
        <f t="shared" si="13"/>
        <v/>
      </c>
      <c r="V88" s="151"/>
      <c r="W88" s="152"/>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c r="AL88" s="31" t="str">
        <f>IFERROR(INDEX('G-6 Hedgerow Data'!$BJ$3:$BJ$15,MATCH(D88,'G-6 Hedgerow Data'!$B$3:$B$15,0)),"")</f>
        <v/>
      </c>
    </row>
    <row r="89" spans="2:38" ht="13.8" x14ac:dyDescent="0.25">
      <c r="B89" s="141">
        <v>80</v>
      </c>
      <c r="C89" s="203"/>
      <c r="D89" s="203"/>
      <c r="E89" s="153"/>
      <c r="F89" s="553" t="str">
        <f>IF(D89="","",VLOOKUP(D89,'G-6 Hedgerow Data'!$B$2:$AG$15,2,FALSE))</f>
        <v/>
      </c>
      <c r="G89" s="499" t="str">
        <f>IF(D89="","",VLOOKUP(D89,'G-6 Hedgerow Data'!$B$2:$AG$15,3,FALSE))</f>
        <v/>
      </c>
      <c r="H89" s="145"/>
      <c r="I89" s="499" t="str">
        <f>IFERROR(VLOOKUP(H89,'G-1 All Habitats'!$Z$2:$AA$9,2,FALSE),"")</f>
        <v/>
      </c>
      <c r="J89" s="145"/>
      <c r="K89" s="507" t="str">
        <f>IF(J89="","",IF(VLOOKUP(J89,'G-3 Multipliers'!$L$3:$N$6,2,FALSE)=0,"Spatial Data Missing",VLOOKUP(J89,'G-3 Multipliers'!$L$3:$N$6,2,FALSE)))</f>
        <v/>
      </c>
      <c r="L89" s="505" t="str">
        <f>IF(J89="","",IF(VLOOKUP(J89,'G-3 Multipliers'!$L$3:$N$6,3,FALSE)=0,"Spatial Data Missing ⚠",VLOOKUP(J89,'G-3 Multipliers'!$L$3:$N$6,3,FALSE)))</f>
        <v/>
      </c>
      <c r="M89" s="506" t="str">
        <f>IF(D89="","",VLOOKUP(D89,'G-6 Hedgerow Data'!$B$1:$AH$15,33,FALSE))</f>
        <v/>
      </c>
      <c r="N89" s="513" t="str">
        <f t="shared" si="9"/>
        <v/>
      </c>
      <c r="O89" s="40"/>
      <c r="P89" s="154"/>
      <c r="Q89" s="203"/>
      <c r="R89" s="532" t="str">
        <f t="shared" si="10"/>
        <v/>
      </c>
      <c r="S89" s="532" t="str">
        <f t="shared" si="11"/>
        <v/>
      </c>
      <c r="T89" s="532" t="str">
        <f t="shared" si="12"/>
        <v/>
      </c>
      <c r="U89" s="557" t="str">
        <f t="shared" si="13"/>
        <v/>
      </c>
      <c r="V89" s="151"/>
      <c r="W89" s="152"/>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c r="AL89" s="31" t="str">
        <f>IFERROR(INDEX('G-6 Hedgerow Data'!$BJ$3:$BJ$15,MATCH(D89,'G-6 Hedgerow Data'!$B$3:$B$15,0)),"")</f>
        <v/>
      </c>
    </row>
    <row r="90" spans="2:38" ht="13.8" x14ac:dyDescent="0.25">
      <c r="B90" s="141">
        <v>81</v>
      </c>
      <c r="C90" s="203"/>
      <c r="D90" s="203"/>
      <c r="E90" s="153"/>
      <c r="F90" s="553" t="str">
        <f>IF(D90="","",VLOOKUP(D90,'G-6 Hedgerow Data'!$B$2:$AG$15,2,FALSE))</f>
        <v/>
      </c>
      <c r="G90" s="499" t="str">
        <f>IF(D90="","",VLOOKUP(D90,'G-6 Hedgerow Data'!$B$2:$AG$15,3,FALSE))</f>
        <v/>
      </c>
      <c r="H90" s="145"/>
      <c r="I90" s="499" t="str">
        <f>IFERROR(VLOOKUP(H90,'G-1 All Habitats'!$Z$2:$AA$9,2,FALSE),"")</f>
        <v/>
      </c>
      <c r="J90" s="145"/>
      <c r="K90" s="507" t="str">
        <f>IF(J90="","",IF(VLOOKUP(J90,'G-3 Multipliers'!$L$3:$N$6,2,FALSE)=0,"Spatial Data Missing",VLOOKUP(J90,'G-3 Multipliers'!$L$3:$N$6,2,FALSE)))</f>
        <v/>
      </c>
      <c r="L90" s="505" t="str">
        <f>IF(J90="","",IF(VLOOKUP(J90,'G-3 Multipliers'!$L$3:$N$6,3,FALSE)=0,"Spatial Data Missing ⚠",VLOOKUP(J90,'G-3 Multipliers'!$L$3:$N$6,3,FALSE)))</f>
        <v/>
      </c>
      <c r="M90" s="506" t="str">
        <f>IF(D90="","",VLOOKUP(D90,'G-6 Hedgerow Data'!$B$1:$AH$15,33,FALSE))</f>
        <v/>
      </c>
      <c r="N90" s="513" t="str">
        <f t="shared" si="9"/>
        <v/>
      </c>
      <c r="O90" s="40"/>
      <c r="P90" s="154"/>
      <c r="Q90" s="203"/>
      <c r="R90" s="532" t="str">
        <f t="shared" si="10"/>
        <v/>
      </c>
      <c r="S90" s="532" t="str">
        <f t="shared" si="11"/>
        <v/>
      </c>
      <c r="T90" s="532" t="str">
        <f t="shared" si="12"/>
        <v/>
      </c>
      <c r="U90" s="557" t="str">
        <f t="shared" si="13"/>
        <v/>
      </c>
      <c r="V90" s="151"/>
      <c r="W90" s="152"/>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c r="AL90" s="31" t="str">
        <f>IFERROR(INDEX('G-6 Hedgerow Data'!$BJ$3:$BJ$15,MATCH(D90,'G-6 Hedgerow Data'!$B$3:$B$15,0)),"")</f>
        <v/>
      </c>
    </row>
    <row r="91" spans="2:38" ht="13.8" x14ac:dyDescent="0.25">
      <c r="B91" s="141">
        <v>82</v>
      </c>
      <c r="C91" s="203"/>
      <c r="D91" s="203"/>
      <c r="E91" s="153"/>
      <c r="F91" s="553" t="str">
        <f>IF(D91="","",VLOOKUP(D91,'G-6 Hedgerow Data'!$B$2:$AG$15,2,FALSE))</f>
        <v/>
      </c>
      <c r="G91" s="499" t="str">
        <f>IF(D91="","",VLOOKUP(D91,'G-6 Hedgerow Data'!$B$2:$AG$15,3,FALSE))</f>
        <v/>
      </c>
      <c r="H91" s="145"/>
      <c r="I91" s="499" t="str">
        <f>IFERROR(VLOOKUP(H91,'G-1 All Habitats'!$Z$2:$AA$9,2,FALSE),"")</f>
        <v/>
      </c>
      <c r="J91" s="145"/>
      <c r="K91" s="507" t="str">
        <f>IF(J91="","",IF(VLOOKUP(J91,'G-3 Multipliers'!$L$3:$N$6,2,FALSE)=0,"Spatial Data Missing",VLOOKUP(J91,'G-3 Multipliers'!$L$3:$N$6,2,FALSE)))</f>
        <v/>
      </c>
      <c r="L91" s="505" t="str">
        <f>IF(J91="","",IF(VLOOKUP(J91,'G-3 Multipliers'!$L$3:$N$6,3,FALSE)=0,"Spatial Data Missing ⚠",VLOOKUP(J91,'G-3 Multipliers'!$L$3:$N$6,3,FALSE)))</f>
        <v/>
      </c>
      <c r="M91" s="506" t="str">
        <f>IF(D91="","",VLOOKUP(D91,'G-6 Hedgerow Data'!$B$1:$AH$15,33,FALSE))</f>
        <v/>
      </c>
      <c r="N91" s="513" t="str">
        <f t="shared" si="9"/>
        <v/>
      </c>
      <c r="O91" s="40"/>
      <c r="P91" s="154"/>
      <c r="Q91" s="203"/>
      <c r="R91" s="532" t="str">
        <f t="shared" si="10"/>
        <v/>
      </c>
      <c r="S91" s="532" t="str">
        <f t="shared" si="11"/>
        <v/>
      </c>
      <c r="T91" s="532" t="str">
        <f t="shared" si="12"/>
        <v/>
      </c>
      <c r="U91" s="557" t="str">
        <f t="shared" si="13"/>
        <v/>
      </c>
      <c r="V91" s="151"/>
      <c r="W91" s="152"/>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c r="AL91" s="31" t="str">
        <f>IFERROR(INDEX('G-6 Hedgerow Data'!$BJ$3:$BJ$15,MATCH(D91,'G-6 Hedgerow Data'!$B$3:$B$15,0)),"")</f>
        <v/>
      </c>
    </row>
    <row r="92" spans="2:38" ht="13.8" x14ac:dyDescent="0.25">
      <c r="B92" s="141">
        <v>83</v>
      </c>
      <c r="C92" s="203"/>
      <c r="D92" s="203"/>
      <c r="E92" s="153"/>
      <c r="F92" s="553" t="str">
        <f>IF(D92="","",VLOOKUP(D92,'G-6 Hedgerow Data'!$B$2:$AG$15,2,FALSE))</f>
        <v/>
      </c>
      <c r="G92" s="499" t="str">
        <f>IF(D92="","",VLOOKUP(D92,'G-6 Hedgerow Data'!$B$2:$AG$15,3,FALSE))</f>
        <v/>
      </c>
      <c r="H92" s="145"/>
      <c r="I92" s="499" t="str">
        <f>IFERROR(VLOOKUP(H92,'G-1 All Habitats'!$Z$2:$AA$9,2,FALSE),"")</f>
        <v/>
      </c>
      <c r="J92" s="145"/>
      <c r="K92" s="507" t="str">
        <f>IF(J92="","",IF(VLOOKUP(J92,'G-3 Multipliers'!$L$3:$N$6,2,FALSE)=0,"Spatial Data Missing",VLOOKUP(J92,'G-3 Multipliers'!$L$3:$N$6,2,FALSE)))</f>
        <v/>
      </c>
      <c r="L92" s="505" t="str">
        <f>IF(J92="","",IF(VLOOKUP(J92,'G-3 Multipliers'!$L$3:$N$6,3,FALSE)=0,"Spatial Data Missing ⚠",VLOOKUP(J92,'G-3 Multipliers'!$L$3:$N$6,3,FALSE)))</f>
        <v/>
      </c>
      <c r="M92" s="506" t="str">
        <f>IF(D92="","",VLOOKUP(D92,'G-6 Hedgerow Data'!$B$1:$AH$15,33,FALSE))</f>
        <v/>
      </c>
      <c r="N92" s="513" t="str">
        <f t="shared" si="9"/>
        <v/>
      </c>
      <c r="O92" s="40"/>
      <c r="P92" s="154"/>
      <c r="Q92" s="203"/>
      <c r="R92" s="532" t="str">
        <f t="shared" si="10"/>
        <v/>
      </c>
      <c r="S92" s="532" t="str">
        <f t="shared" si="11"/>
        <v/>
      </c>
      <c r="T92" s="532" t="str">
        <f t="shared" si="12"/>
        <v/>
      </c>
      <c r="U92" s="557" t="str">
        <f t="shared" si="13"/>
        <v/>
      </c>
      <c r="V92" s="151"/>
      <c r="W92" s="152"/>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c r="AL92" s="31" t="str">
        <f>IFERROR(INDEX('G-6 Hedgerow Data'!$BJ$3:$BJ$15,MATCH(D92,'G-6 Hedgerow Data'!$B$3:$B$15,0)),"")</f>
        <v/>
      </c>
    </row>
    <row r="93" spans="2:38" ht="13.8" x14ac:dyDescent="0.25">
      <c r="B93" s="141">
        <v>84</v>
      </c>
      <c r="C93" s="203"/>
      <c r="D93" s="203"/>
      <c r="E93" s="153"/>
      <c r="F93" s="553" t="str">
        <f>IF(D93="","",VLOOKUP(D93,'G-6 Hedgerow Data'!$B$2:$AG$15,2,FALSE))</f>
        <v/>
      </c>
      <c r="G93" s="499" t="str">
        <f>IF(D93="","",VLOOKUP(D93,'G-6 Hedgerow Data'!$B$2:$AG$15,3,FALSE))</f>
        <v/>
      </c>
      <c r="H93" s="145"/>
      <c r="I93" s="499" t="str">
        <f>IFERROR(VLOOKUP(H93,'G-1 All Habitats'!$Z$2:$AA$9,2,FALSE),"")</f>
        <v/>
      </c>
      <c r="J93" s="145"/>
      <c r="K93" s="507" t="str">
        <f>IF(J93="","",IF(VLOOKUP(J93,'G-3 Multipliers'!$L$3:$N$6,2,FALSE)=0,"Spatial Data Missing",VLOOKUP(J93,'G-3 Multipliers'!$L$3:$N$6,2,FALSE)))</f>
        <v/>
      </c>
      <c r="L93" s="505" t="str">
        <f>IF(J93="","",IF(VLOOKUP(J93,'G-3 Multipliers'!$L$3:$N$6,3,FALSE)=0,"Spatial Data Missing ⚠",VLOOKUP(J93,'G-3 Multipliers'!$L$3:$N$6,3,FALSE)))</f>
        <v/>
      </c>
      <c r="M93" s="506" t="str">
        <f>IF(D93="","",VLOOKUP(D93,'G-6 Hedgerow Data'!$B$1:$AH$15,33,FALSE))</f>
        <v/>
      </c>
      <c r="N93" s="513" t="str">
        <f t="shared" si="9"/>
        <v/>
      </c>
      <c r="O93" s="40"/>
      <c r="P93" s="154"/>
      <c r="Q93" s="203"/>
      <c r="R93" s="532" t="str">
        <f t="shared" si="10"/>
        <v/>
      </c>
      <c r="S93" s="532" t="str">
        <f t="shared" si="11"/>
        <v/>
      </c>
      <c r="T93" s="532" t="str">
        <f t="shared" si="12"/>
        <v/>
      </c>
      <c r="U93" s="557" t="str">
        <f t="shared" si="13"/>
        <v/>
      </c>
      <c r="V93" s="151"/>
      <c r="W93" s="152"/>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c r="AL93" s="31" t="str">
        <f>IFERROR(INDEX('G-6 Hedgerow Data'!$BJ$3:$BJ$15,MATCH(D93,'G-6 Hedgerow Data'!$B$3:$B$15,0)),"")</f>
        <v/>
      </c>
    </row>
    <row r="94" spans="2:38" ht="13.8" x14ac:dyDescent="0.25">
      <c r="B94" s="141">
        <v>85</v>
      </c>
      <c r="C94" s="203"/>
      <c r="D94" s="203"/>
      <c r="E94" s="153"/>
      <c r="F94" s="553" t="str">
        <f>IF(D94="","",VLOOKUP(D94,'G-6 Hedgerow Data'!$B$2:$AG$15,2,FALSE))</f>
        <v/>
      </c>
      <c r="G94" s="499" t="str">
        <f>IF(D94="","",VLOOKUP(D94,'G-6 Hedgerow Data'!$B$2:$AG$15,3,FALSE))</f>
        <v/>
      </c>
      <c r="H94" s="145"/>
      <c r="I94" s="499" t="str">
        <f>IFERROR(VLOOKUP(H94,'G-1 All Habitats'!$Z$2:$AA$9,2,FALSE),"")</f>
        <v/>
      </c>
      <c r="J94" s="145"/>
      <c r="K94" s="507" t="str">
        <f>IF(J94="","",IF(VLOOKUP(J94,'G-3 Multipliers'!$L$3:$N$6,2,FALSE)=0,"Spatial Data Missing",VLOOKUP(J94,'G-3 Multipliers'!$L$3:$N$6,2,FALSE)))</f>
        <v/>
      </c>
      <c r="L94" s="505" t="str">
        <f>IF(J94="","",IF(VLOOKUP(J94,'G-3 Multipliers'!$L$3:$N$6,3,FALSE)=0,"Spatial Data Missing ⚠",VLOOKUP(J94,'G-3 Multipliers'!$L$3:$N$6,3,FALSE)))</f>
        <v/>
      </c>
      <c r="M94" s="506" t="str">
        <f>IF(D94="","",VLOOKUP(D94,'G-6 Hedgerow Data'!$B$1:$AH$15,33,FALSE))</f>
        <v/>
      </c>
      <c r="N94" s="513" t="str">
        <f t="shared" si="9"/>
        <v/>
      </c>
      <c r="O94" s="40"/>
      <c r="P94" s="154"/>
      <c r="Q94" s="203"/>
      <c r="R94" s="532" t="str">
        <f t="shared" si="10"/>
        <v/>
      </c>
      <c r="S94" s="532" t="str">
        <f t="shared" si="11"/>
        <v/>
      </c>
      <c r="T94" s="532" t="str">
        <f t="shared" si="12"/>
        <v/>
      </c>
      <c r="U94" s="557" t="str">
        <f t="shared" si="13"/>
        <v/>
      </c>
      <c r="V94" s="151"/>
      <c r="W94" s="152"/>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c r="AL94" s="31" t="str">
        <f>IFERROR(INDEX('G-6 Hedgerow Data'!$BJ$3:$BJ$15,MATCH(D94,'G-6 Hedgerow Data'!$B$3:$B$15,0)),"")</f>
        <v/>
      </c>
    </row>
    <row r="95" spans="2:38" ht="13.8" x14ac:dyDescent="0.25">
      <c r="B95" s="141">
        <v>86</v>
      </c>
      <c r="C95" s="203"/>
      <c r="D95" s="203"/>
      <c r="E95" s="153"/>
      <c r="F95" s="553" t="str">
        <f>IF(D95="","",VLOOKUP(D95,'G-6 Hedgerow Data'!$B$2:$AG$15,2,FALSE))</f>
        <v/>
      </c>
      <c r="G95" s="499" t="str">
        <f>IF(D95="","",VLOOKUP(D95,'G-6 Hedgerow Data'!$B$2:$AG$15,3,FALSE))</f>
        <v/>
      </c>
      <c r="H95" s="145"/>
      <c r="I95" s="499" t="str">
        <f>IFERROR(VLOOKUP(H95,'G-1 All Habitats'!$Z$2:$AA$9,2,FALSE),"")</f>
        <v/>
      </c>
      <c r="J95" s="145"/>
      <c r="K95" s="507" t="str">
        <f>IF(J95="","",IF(VLOOKUP(J95,'G-3 Multipliers'!$L$3:$N$6,2,FALSE)=0,"Spatial Data Missing",VLOOKUP(J95,'G-3 Multipliers'!$L$3:$N$6,2,FALSE)))</f>
        <v/>
      </c>
      <c r="L95" s="505" t="str">
        <f>IF(J95="","",IF(VLOOKUP(J95,'G-3 Multipliers'!$L$3:$N$6,3,FALSE)=0,"Spatial Data Missing ⚠",VLOOKUP(J95,'G-3 Multipliers'!$L$3:$N$6,3,FALSE)))</f>
        <v/>
      </c>
      <c r="M95" s="506" t="str">
        <f>IF(D95="","",VLOOKUP(D95,'G-6 Hedgerow Data'!$B$1:$AH$15,33,FALSE))</f>
        <v/>
      </c>
      <c r="N95" s="513" t="str">
        <f t="shared" si="9"/>
        <v/>
      </c>
      <c r="O95" s="40"/>
      <c r="P95" s="154"/>
      <c r="Q95" s="203"/>
      <c r="R95" s="532" t="str">
        <f t="shared" si="10"/>
        <v/>
      </c>
      <c r="S95" s="532" t="str">
        <f t="shared" si="11"/>
        <v/>
      </c>
      <c r="T95" s="532" t="str">
        <f t="shared" si="12"/>
        <v/>
      </c>
      <c r="U95" s="557" t="str">
        <f t="shared" si="13"/>
        <v/>
      </c>
      <c r="V95" s="151"/>
      <c r="W95" s="152"/>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c r="AL95" s="31" t="str">
        <f>IFERROR(INDEX('G-6 Hedgerow Data'!$BJ$3:$BJ$15,MATCH(D95,'G-6 Hedgerow Data'!$B$3:$B$15,0)),"")</f>
        <v/>
      </c>
    </row>
    <row r="96" spans="2:38" ht="13.8" x14ac:dyDescent="0.25">
      <c r="B96" s="141">
        <v>87</v>
      </c>
      <c r="C96" s="203"/>
      <c r="D96" s="203"/>
      <c r="E96" s="153"/>
      <c r="F96" s="553" t="str">
        <f>IF(D96="","",VLOOKUP(D96,'G-6 Hedgerow Data'!$B$2:$AG$15,2,FALSE))</f>
        <v/>
      </c>
      <c r="G96" s="499" t="str">
        <f>IF(D96="","",VLOOKUP(D96,'G-6 Hedgerow Data'!$B$2:$AG$15,3,FALSE))</f>
        <v/>
      </c>
      <c r="H96" s="145"/>
      <c r="I96" s="499" t="str">
        <f>IFERROR(VLOOKUP(H96,'G-1 All Habitats'!$Z$2:$AA$9,2,FALSE),"")</f>
        <v/>
      </c>
      <c r="J96" s="145"/>
      <c r="K96" s="507" t="str">
        <f>IF(J96="","",IF(VLOOKUP(J96,'G-3 Multipliers'!$L$3:$N$6,2,FALSE)=0,"Spatial Data Missing",VLOOKUP(J96,'G-3 Multipliers'!$L$3:$N$6,2,FALSE)))</f>
        <v/>
      </c>
      <c r="L96" s="505" t="str">
        <f>IF(J96="","",IF(VLOOKUP(J96,'G-3 Multipliers'!$L$3:$N$6,3,FALSE)=0,"Spatial Data Missing ⚠",VLOOKUP(J96,'G-3 Multipliers'!$L$3:$N$6,3,FALSE)))</f>
        <v/>
      </c>
      <c r="M96" s="506" t="str">
        <f>IF(D96="","",VLOOKUP(D96,'G-6 Hedgerow Data'!$B$1:$AH$15,33,FALSE))</f>
        <v/>
      </c>
      <c r="N96" s="513" t="str">
        <f t="shared" si="9"/>
        <v/>
      </c>
      <c r="O96" s="40"/>
      <c r="P96" s="154"/>
      <c r="Q96" s="203"/>
      <c r="R96" s="532" t="str">
        <f t="shared" si="10"/>
        <v/>
      </c>
      <c r="S96" s="532" t="str">
        <f t="shared" si="11"/>
        <v/>
      </c>
      <c r="T96" s="532" t="str">
        <f t="shared" si="12"/>
        <v/>
      </c>
      <c r="U96" s="557" t="str">
        <f t="shared" si="13"/>
        <v/>
      </c>
      <c r="V96" s="151"/>
      <c r="W96" s="152"/>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c r="AL96" s="31" t="str">
        <f>IFERROR(INDEX('G-6 Hedgerow Data'!$BJ$3:$BJ$15,MATCH(D96,'G-6 Hedgerow Data'!$B$3:$B$15,0)),"")</f>
        <v/>
      </c>
    </row>
    <row r="97" spans="2:38" ht="13.8" x14ac:dyDescent="0.25">
      <c r="B97" s="141">
        <v>88</v>
      </c>
      <c r="C97" s="203"/>
      <c r="D97" s="203"/>
      <c r="E97" s="153"/>
      <c r="F97" s="553" t="str">
        <f>IF(D97="","",VLOOKUP(D97,'G-6 Hedgerow Data'!$B$2:$AG$15,2,FALSE))</f>
        <v/>
      </c>
      <c r="G97" s="499" t="str">
        <f>IF(D97="","",VLOOKUP(D97,'G-6 Hedgerow Data'!$B$2:$AG$15,3,FALSE))</f>
        <v/>
      </c>
      <c r="H97" s="145"/>
      <c r="I97" s="499" t="str">
        <f>IFERROR(VLOOKUP(H97,'G-1 All Habitats'!$Z$2:$AA$9,2,FALSE),"")</f>
        <v/>
      </c>
      <c r="J97" s="145"/>
      <c r="K97" s="507" t="str">
        <f>IF(J97="","",IF(VLOOKUP(J97,'G-3 Multipliers'!$L$3:$N$6,2,FALSE)=0,"Spatial Data Missing",VLOOKUP(J97,'G-3 Multipliers'!$L$3:$N$6,2,FALSE)))</f>
        <v/>
      </c>
      <c r="L97" s="505" t="str">
        <f>IF(J97="","",IF(VLOOKUP(J97,'G-3 Multipliers'!$L$3:$N$6,3,FALSE)=0,"Spatial Data Missing ⚠",VLOOKUP(J97,'G-3 Multipliers'!$L$3:$N$6,3,FALSE)))</f>
        <v/>
      </c>
      <c r="M97" s="506" t="str">
        <f>IF(D97="","",VLOOKUP(D97,'G-6 Hedgerow Data'!$B$1:$AH$15,33,FALSE))</f>
        <v/>
      </c>
      <c r="N97" s="513" t="str">
        <f t="shared" si="9"/>
        <v/>
      </c>
      <c r="O97" s="40"/>
      <c r="P97" s="154"/>
      <c r="Q97" s="203"/>
      <c r="R97" s="532" t="str">
        <f t="shared" si="10"/>
        <v/>
      </c>
      <c r="S97" s="532" t="str">
        <f t="shared" si="11"/>
        <v/>
      </c>
      <c r="T97" s="532" t="str">
        <f t="shared" si="12"/>
        <v/>
      </c>
      <c r="U97" s="557" t="str">
        <f t="shared" si="13"/>
        <v/>
      </c>
      <c r="V97" s="151"/>
      <c r="W97" s="152"/>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c r="AL97" s="31" t="str">
        <f>IFERROR(INDEX('G-6 Hedgerow Data'!$BJ$3:$BJ$15,MATCH(D97,'G-6 Hedgerow Data'!$B$3:$B$15,0)),"")</f>
        <v/>
      </c>
    </row>
    <row r="98" spans="2:38" ht="13.8" x14ac:dyDescent="0.25">
      <c r="B98" s="141">
        <v>89</v>
      </c>
      <c r="C98" s="203"/>
      <c r="D98" s="203"/>
      <c r="E98" s="153"/>
      <c r="F98" s="553" t="str">
        <f>IF(D98="","",VLOOKUP(D98,'G-6 Hedgerow Data'!$B$2:$AG$15,2,FALSE))</f>
        <v/>
      </c>
      <c r="G98" s="499" t="str">
        <f>IF(D98="","",VLOOKUP(D98,'G-6 Hedgerow Data'!$B$2:$AG$15,3,FALSE))</f>
        <v/>
      </c>
      <c r="H98" s="145"/>
      <c r="I98" s="499" t="str">
        <f>IFERROR(VLOOKUP(H98,'G-1 All Habitats'!$Z$2:$AA$9,2,FALSE),"")</f>
        <v/>
      </c>
      <c r="J98" s="145"/>
      <c r="K98" s="507" t="str">
        <f>IF(J98="","",IF(VLOOKUP(J98,'G-3 Multipliers'!$L$3:$N$6,2,FALSE)=0,"Spatial Data Missing",VLOOKUP(J98,'G-3 Multipliers'!$L$3:$N$6,2,FALSE)))</f>
        <v/>
      </c>
      <c r="L98" s="505" t="str">
        <f>IF(J98="","",IF(VLOOKUP(J98,'G-3 Multipliers'!$L$3:$N$6,3,FALSE)=0,"Spatial Data Missing ⚠",VLOOKUP(J98,'G-3 Multipliers'!$L$3:$N$6,3,FALSE)))</f>
        <v/>
      </c>
      <c r="M98" s="506" t="str">
        <f>IF(D98="","",VLOOKUP(D98,'G-6 Hedgerow Data'!$B$1:$AH$15,33,FALSE))</f>
        <v/>
      </c>
      <c r="N98" s="513" t="str">
        <f t="shared" si="9"/>
        <v/>
      </c>
      <c r="O98" s="40"/>
      <c r="P98" s="154"/>
      <c r="Q98" s="203"/>
      <c r="R98" s="532" t="str">
        <f t="shared" si="10"/>
        <v/>
      </c>
      <c r="S98" s="532" t="str">
        <f t="shared" si="11"/>
        <v/>
      </c>
      <c r="T98" s="532" t="str">
        <f t="shared" si="12"/>
        <v/>
      </c>
      <c r="U98" s="557" t="str">
        <f t="shared" si="13"/>
        <v/>
      </c>
      <c r="V98" s="151"/>
      <c r="W98" s="152"/>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c r="AL98" s="31" t="str">
        <f>IFERROR(INDEX('G-6 Hedgerow Data'!$BJ$3:$BJ$15,MATCH(D98,'G-6 Hedgerow Data'!$B$3:$B$15,0)),"")</f>
        <v/>
      </c>
    </row>
    <row r="99" spans="2:38" ht="13.8" x14ac:dyDescent="0.25">
      <c r="B99" s="141">
        <v>90</v>
      </c>
      <c r="C99" s="203"/>
      <c r="D99" s="203"/>
      <c r="E99" s="153"/>
      <c r="F99" s="553" t="str">
        <f>IF(D99="","",VLOOKUP(D99,'G-6 Hedgerow Data'!$B$2:$AG$15,2,FALSE))</f>
        <v/>
      </c>
      <c r="G99" s="499" t="str">
        <f>IF(D99="","",VLOOKUP(D99,'G-6 Hedgerow Data'!$B$2:$AG$15,3,FALSE))</f>
        <v/>
      </c>
      <c r="H99" s="145"/>
      <c r="I99" s="499" t="str">
        <f>IFERROR(VLOOKUP(H99,'G-1 All Habitats'!$Z$2:$AA$9,2,FALSE),"")</f>
        <v/>
      </c>
      <c r="J99" s="145"/>
      <c r="K99" s="507" t="str">
        <f>IF(J99="","",IF(VLOOKUP(J99,'G-3 Multipliers'!$L$3:$N$6,2,FALSE)=0,"Spatial Data Missing",VLOOKUP(J99,'G-3 Multipliers'!$L$3:$N$6,2,FALSE)))</f>
        <v/>
      </c>
      <c r="L99" s="505" t="str">
        <f>IF(J99="","",IF(VLOOKUP(J99,'G-3 Multipliers'!$L$3:$N$6,3,FALSE)=0,"Spatial Data Missing ⚠",VLOOKUP(J99,'G-3 Multipliers'!$L$3:$N$6,3,FALSE)))</f>
        <v/>
      </c>
      <c r="M99" s="506" t="str">
        <f>IF(D99="","",VLOOKUP(D99,'G-6 Hedgerow Data'!$B$1:$AH$15,33,FALSE))</f>
        <v/>
      </c>
      <c r="N99" s="513" t="str">
        <f t="shared" si="9"/>
        <v/>
      </c>
      <c r="O99" s="40"/>
      <c r="P99" s="154"/>
      <c r="Q99" s="203"/>
      <c r="R99" s="532" t="str">
        <f t="shared" si="10"/>
        <v/>
      </c>
      <c r="S99" s="532" t="str">
        <f t="shared" si="11"/>
        <v/>
      </c>
      <c r="T99" s="532" t="str">
        <f t="shared" si="12"/>
        <v/>
      </c>
      <c r="U99" s="557" t="str">
        <f t="shared" si="13"/>
        <v/>
      </c>
      <c r="V99" s="151"/>
      <c r="W99" s="152"/>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c r="AL99" s="31" t="str">
        <f>IFERROR(INDEX('G-6 Hedgerow Data'!$BJ$3:$BJ$15,MATCH(D99,'G-6 Hedgerow Data'!$B$3:$B$15,0)),"")</f>
        <v/>
      </c>
    </row>
    <row r="100" spans="2:38" ht="13.8" x14ac:dyDescent="0.25">
      <c r="B100" s="141">
        <v>91</v>
      </c>
      <c r="C100" s="203"/>
      <c r="D100" s="203"/>
      <c r="E100" s="153"/>
      <c r="F100" s="553" t="str">
        <f>IF(D100="","",VLOOKUP(D100,'G-6 Hedgerow Data'!$B$2:$AG$15,2,FALSE))</f>
        <v/>
      </c>
      <c r="G100" s="499" t="str">
        <f>IF(D100="","",VLOOKUP(D100,'G-6 Hedgerow Data'!$B$2:$AG$15,3,FALSE))</f>
        <v/>
      </c>
      <c r="H100" s="145"/>
      <c r="I100" s="499" t="str">
        <f>IFERROR(VLOOKUP(H100,'G-1 All Habitats'!$Z$2:$AA$9,2,FALSE),"")</f>
        <v/>
      </c>
      <c r="J100" s="145"/>
      <c r="K100" s="507" t="str">
        <f>IF(J100="","",IF(VLOOKUP(J100,'G-3 Multipliers'!$L$3:$N$6,2,FALSE)=0,"Spatial Data Missing",VLOOKUP(J100,'G-3 Multipliers'!$L$3:$N$6,2,FALSE)))</f>
        <v/>
      </c>
      <c r="L100" s="505" t="str">
        <f>IF(J100="","",IF(VLOOKUP(J100,'G-3 Multipliers'!$L$3:$N$6,3,FALSE)=0,"Spatial Data Missing ⚠",VLOOKUP(J100,'G-3 Multipliers'!$L$3:$N$6,3,FALSE)))</f>
        <v/>
      </c>
      <c r="M100" s="506" t="str">
        <f>IF(D100="","",VLOOKUP(D100,'G-6 Hedgerow Data'!$B$1:$AH$15,33,FALSE))</f>
        <v/>
      </c>
      <c r="N100" s="513" t="str">
        <f t="shared" si="9"/>
        <v/>
      </c>
      <c r="O100" s="40"/>
      <c r="P100" s="154"/>
      <c r="Q100" s="203"/>
      <c r="R100" s="532" t="str">
        <f t="shared" si="10"/>
        <v/>
      </c>
      <c r="S100" s="532" t="str">
        <f t="shared" si="11"/>
        <v/>
      </c>
      <c r="T100" s="532" t="str">
        <f t="shared" si="12"/>
        <v/>
      </c>
      <c r="U100" s="557" t="str">
        <f t="shared" si="13"/>
        <v/>
      </c>
      <c r="V100" s="151"/>
      <c r="W100" s="152"/>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c r="AL100" s="31" t="str">
        <f>IFERROR(INDEX('G-6 Hedgerow Data'!$BJ$3:$BJ$15,MATCH(D100,'G-6 Hedgerow Data'!$B$3:$B$15,0)),"")</f>
        <v/>
      </c>
    </row>
    <row r="101" spans="2:38" ht="13.8" x14ac:dyDescent="0.25">
      <c r="B101" s="141">
        <v>92</v>
      </c>
      <c r="C101" s="203"/>
      <c r="D101" s="203"/>
      <c r="E101" s="153"/>
      <c r="F101" s="553" t="str">
        <f>IF(D101="","",VLOOKUP(D101,'G-6 Hedgerow Data'!$B$2:$AG$15,2,FALSE))</f>
        <v/>
      </c>
      <c r="G101" s="499" t="str">
        <f>IF(D101="","",VLOOKUP(D101,'G-6 Hedgerow Data'!$B$2:$AG$15,3,FALSE))</f>
        <v/>
      </c>
      <c r="H101" s="145"/>
      <c r="I101" s="499" t="str">
        <f>IFERROR(VLOOKUP(H101,'G-1 All Habitats'!$Z$2:$AA$9,2,FALSE),"")</f>
        <v/>
      </c>
      <c r="J101" s="145"/>
      <c r="K101" s="507" t="str">
        <f>IF(J101="","",IF(VLOOKUP(J101,'G-3 Multipliers'!$L$3:$N$6,2,FALSE)=0,"Spatial Data Missing",VLOOKUP(J101,'G-3 Multipliers'!$L$3:$N$6,2,FALSE)))</f>
        <v/>
      </c>
      <c r="L101" s="505" t="str">
        <f>IF(J101="","",IF(VLOOKUP(J101,'G-3 Multipliers'!$L$3:$N$6,3,FALSE)=0,"Spatial Data Missing ⚠",VLOOKUP(J101,'G-3 Multipliers'!$L$3:$N$6,3,FALSE)))</f>
        <v/>
      </c>
      <c r="M101" s="506" t="str">
        <f>IF(D101="","",VLOOKUP(D101,'G-6 Hedgerow Data'!$B$1:$AH$15,33,FALSE))</f>
        <v/>
      </c>
      <c r="N101" s="513" t="str">
        <f t="shared" si="9"/>
        <v/>
      </c>
      <c r="O101" s="40"/>
      <c r="P101" s="154"/>
      <c r="Q101" s="203"/>
      <c r="R101" s="532" t="str">
        <f t="shared" si="10"/>
        <v/>
      </c>
      <c r="S101" s="532" t="str">
        <f t="shared" si="11"/>
        <v/>
      </c>
      <c r="T101" s="532" t="str">
        <f t="shared" si="12"/>
        <v/>
      </c>
      <c r="U101" s="557" t="str">
        <f t="shared" si="13"/>
        <v/>
      </c>
      <c r="V101" s="151"/>
      <c r="W101" s="152"/>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c r="AL101" s="31" t="str">
        <f>IFERROR(INDEX('G-6 Hedgerow Data'!$BJ$3:$BJ$15,MATCH(D101,'G-6 Hedgerow Data'!$B$3:$B$15,0)),"")</f>
        <v/>
      </c>
    </row>
    <row r="102" spans="2:38" ht="13.8" x14ac:dyDescent="0.25">
      <c r="B102" s="141">
        <v>93</v>
      </c>
      <c r="C102" s="203"/>
      <c r="D102" s="203"/>
      <c r="E102" s="153"/>
      <c r="F102" s="553" t="str">
        <f>IF(D102="","",VLOOKUP(D102,'G-6 Hedgerow Data'!$B$2:$AG$15,2,FALSE))</f>
        <v/>
      </c>
      <c r="G102" s="499" t="str">
        <f>IF(D102="","",VLOOKUP(D102,'G-6 Hedgerow Data'!$B$2:$AG$15,3,FALSE))</f>
        <v/>
      </c>
      <c r="H102" s="145"/>
      <c r="I102" s="499" t="str">
        <f>IFERROR(VLOOKUP(H102,'G-1 All Habitats'!$Z$2:$AA$9,2,FALSE),"")</f>
        <v/>
      </c>
      <c r="J102" s="145"/>
      <c r="K102" s="507" t="str">
        <f>IF(J102="","",IF(VLOOKUP(J102,'G-3 Multipliers'!$L$3:$N$6,2,FALSE)=0,"Spatial Data Missing",VLOOKUP(J102,'G-3 Multipliers'!$L$3:$N$6,2,FALSE)))</f>
        <v/>
      </c>
      <c r="L102" s="505" t="str">
        <f>IF(J102="","",IF(VLOOKUP(J102,'G-3 Multipliers'!$L$3:$N$6,3,FALSE)=0,"Spatial Data Missing ⚠",VLOOKUP(J102,'G-3 Multipliers'!$L$3:$N$6,3,FALSE)))</f>
        <v/>
      </c>
      <c r="M102" s="506" t="str">
        <f>IF(D102="","",VLOOKUP(D102,'G-6 Hedgerow Data'!$B$1:$AH$15,33,FALSE))</f>
        <v/>
      </c>
      <c r="N102" s="513" t="str">
        <f t="shared" si="9"/>
        <v/>
      </c>
      <c r="O102" s="40"/>
      <c r="P102" s="154"/>
      <c r="Q102" s="203"/>
      <c r="R102" s="532" t="str">
        <f t="shared" si="10"/>
        <v/>
      </c>
      <c r="S102" s="532" t="str">
        <f t="shared" si="11"/>
        <v/>
      </c>
      <c r="T102" s="532" t="str">
        <f t="shared" si="12"/>
        <v/>
      </c>
      <c r="U102" s="557" t="str">
        <f t="shared" si="13"/>
        <v/>
      </c>
      <c r="V102" s="151"/>
      <c r="W102" s="152"/>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c r="AL102" s="31" t="str">
        <f>IFERROR(INDEX('G-6 Hedgerow Data'!$BJ$3:$BJ$15,MATCH(D102,'G-6 Hedgerow Data'!$B$3:$B$15,0)),"")</f>
        <v/>
      </c>
    </row>
    <row r="103" spans="2:38" ht="13.8" x14ac:dyDescent="0.25">
      <c r="B103" s="141">
        <v>94</v>
      </c>
      <c r="C103" s="203"/>
      <c r="D103" s="203"/>
      <c r="E103" s="153"/>
      <c r="F103" s="553" t="str">
        <f>IF(D103="","",VLOOKUP(D103,'G-6 Hedgerow Data'!$B$2:$AG$15,2,FALSE))</f>
        <v/>
      </c>
      <c r="G103" s="499" t="str">
        <f>IF(D103="","",VLOOKUP(D103,'G-6 Hedgerow Data'!$B$2:$AG$15,3,FALSE))</f>
        <v/>
      </c>
      <c r="H103" s="145"/>
      <c r="I103" s="499" t="str">
        <f>IFERROR(VLOOKUP(H103,'G-1 All Habitats'!$Z$2:$AA$9,2,FALSE),"")</f>
        <v/>
      </c>
      <c r="J103" s="145"/>
      <c r="K103" s="507" t="str">
        <f>IF(J103="","",IF(VLOOKUP(J103,'G-3 Multipliers'!$L$3:$N$6,2,FALSE)=0,"Spatial Data Missing",VLOOKUP(J103,'G-3 Multipliers'!$L$3:$N$6,2,FALSE)))</f>
        <v/>
      </c>
      <c r="L103" s="505" t="str">
        <f>IF(J103="","",IF(VLOOKUP(J103,'G-3 Multipliers'!$L$3:$N$6,3,FALSE)=0,"Spatial Data Missing ⚠",VLOOKUP(J103,'G-3 Multipliers'!$L$3:$N$6,3,FALSE)))</f>
        <v/>
      </c>
      <c r="M103" s="506" t="str">
        <f>IF(D103="","",VLOOKUP(D103,'G-6 Hedgerow Data'!$B$1:$AH$15,33,FALSE))</f>
        <v/>
      </c>
      <c r="N103" s="513" t="str">
        <f t="shared" si="9"/>
        <v/>
      </c>
      <c r="O103" s="40"/>
      <c r="P103" s="154"/>
      <c r="Q103" s="203"/>
      <c r="R103" s="532" t="str">
        <f t="shared" si="10"/>
        <v/>
      </c>
      <c r="S103" s="532" t="str">
        <f t="shared" si="11"/>
        <v/>
      </c>
      <c r="T103" s="532" t="str">
        <f t="shared" si="12"/>
        <v/>
      </c>
      <c r="U103" s="557" t="str">
        <f t="shared" si="13"/>
        <v/>
      </c>
      <c r="V103" s="151"/>
      <c r="W103" s="152"/>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c r="AL103" s="31" t="str">
        <f>IFERROR(INDEX('G-6 Hedgerow Data'!$BJ$3:$BJ$15,MATCH(D103,'G-6 Hedgerow Data'!$B$3:$B$15,0)),"")</f>
        <v/>
      </c>
    </row>
    <row r="104" spans="2:38" ht="13.8" x14ac:dyDescent="0.25">
      <c r="B104" s="141">
        <v>95</v>
      </c>
      <c r="C104" s="203"/>
      <c r="D104" s="203"/>
      <c r="E104" s="153"/>
      <c r="F104" s="553" t="str">
        <f>IF(D104="","",VLOOKUP(D104,'G-6 Hedgerow Data'!$B$2:$AG$15,2,FALSE))</f>
        <v/>
      </c>
      <c r="G104" s="499" t="str">
        <f>IF(D104="","",VLOOKUP(D104,'G-6 Hedgerow Data'!$B$2:$AG$15,3,FALSE))</f>
        <v/>
      </c>
      <c r="H104" s="145"/>
      <c r="I104" s="499" t="str">
        <f>IFERROR(VLOOKUP(H104,'G-1 All Habitats'!$Z$2:$AA$9,2,FALSE),"")</f>
        <v/>
      </c>
      <c r="J104" s="145"/>
      <c r="K104" s="507" t="str">
        <f>IF(J104="","",IF(VLOOKUP(J104,'G-3 Multipliers'!$L$3:$N$6,2,FALSE)=0,"Spatial Data Missing",VLOOKUP(J104,'G-3 Multipliers'!$L$3:$N$6,2,FALSE)))</f>
        <v/>
      </c>
      <c r="L104" s="505" t="str">
        <f>IF(J104="","",IF(VLOOKUP(J104,'G-3 Multipliers'!$L$3:$N$6,3,FALSE)=0,"Spatial Data Missing ⚠",VLOOKUP(J104,'G-3 Multipliers'!$L$3:$N$6,3,FALSE)))</f>
        <v/>
      </c>
      <c r="M104" s="506" t="str">
        <f>IF(D104="","",VLOOKUP(D104,'G-6 Hedgerow Data'!$B$1:$AH$15,33,FALSE))</f>
        <v/>
      </c>
      <c r="N104" s="513" t="str">
        <f t="shared" si="9"/>
        <v/>
      </c>
      <c r="O104" s="40"/>
      <c r="P104" s="154"/>
      <c r="Q104" s="203"/>
      <c r="R104" s="532" t="str">
        <f t="shared" si="10"/>
        <v/>
      </c>
      <c r="S104" s="532" t="str">
        <f t="shared" si="11"/>
        <v/>
      </c>
      <c r="T104" s="532" t="str">
        <f t="shared" si="12"/>
        <v/>
      </c>
      <c r="U104" s="557" t="str">
        <f t="shared" si="13"/>
        <v/>
      </c>
      <c r="V104" s="151"/>
      <c r="W104" s="152"/>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c r="AL104" s="31" t="str">
        <f>IFERROR(INDEX('G-6 Hedgerow Data'!$BJ$3:$BJ$15,MATCH(D104,'G-6 Hedgerow Data'!$B$3:$B$15,0)),"")</f>
        <v/>
      </c>
    </row>
    <row r="105" spans="2:38" ht="13.8" x14ac:dyDescent="0.25">
      <c r="B105" s="141">
        <v>96</v>
      </c>
      <c r="C105" s="203"/>
      <c r="D105" s="203"/>
      <c r="E105" s="153"/>
      <c r="F105" s="553" t="str">
        <f>IF(D105="","",VLOOKUP(D105,'G-6 Hedgerow Data'!$B$2:$AG$15,2,FALSE))</f>
        <v/>
      </c>
      <c r="G105" s="499" t="str">
        <f>IF(D105="","",VLOOKUP(D105,'G-6 Hedgerow Data'!$B$2:$AG$15,3,FALSE))</f>
        <v/>
      </c>
      <c r="H105" s="145"/>
      <c r="I105" s="499" t="str">
        <f>IFERROR(VLOOKUP(H105,'G-1 All Habitats'!$Z$2:$AA$9,2,FALSE),"")</f>
        <v/>
      </c>
      <c r="J105" s="145"/>
      <c r="K105" s="507" t="str">
        <f>IF(J105="","",IF(VLOOKUP(J105,'G-3 Multipliers'!$L$3:$N$6,2,FALSE)=0,"Spatial Data Missing",VLOOKUP(J105,'G-3 Multipliers'!$L$3:$N$6,2,FALSE)))</f>
        <v/>
      </c>
      <c r="L105" s="505" t="str">
        <f>IF(J105="","",IF(VLOOKUP(J105,'G-3 Multipliers'!$L$3:$N$6,3,FALSE)=0,"Spatial Data Missing ⚠",VLOOKUP(J105,'G-3 Multipliers'!$L$3:$N$6,3,FALSE)))</f>
        <v/>
      </c>
      <c r="M105" s="506" t="str">
        <f>IF(D105="","",VLOOKUP(D105,'G-6 Hedgerow Data'!$B$1:$AH$15,33,FALSE))</f>
        <v/>
      </c>
      <c r="N105" s="513" t="str">
        <f t="shared" si="9"/>
        <v/>
      </c>
      <c r="O105" s="40"/>
      <c r="P105" s="154"/>
      <c r="Q105" s="203"/>
      <c r="R105" s="532" t="str">
        <f t="shared" si="10"/>
        <v/>
      </c>
      <c r="S105" s="532" t="str">
        <f t="shared" si="11"/>
        <v/>
      </c>
      <c r="T105" s="532" t="str">
        <f t="shared" si="12"/>
        <v/>
      </c>
      <c r="U105" s="557" t="str">
        <f t="shared" si="13"/>
        <v/>
      </c>
      <c r="V105" s="151"/>
      <c r="W105" s="152"/>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c r="AL105" s="31" t="str">
        <f>IFERROR(INDEX('G-6 Hedgerow Data'!$BJ$3:$BJ$15,MATCH(D105,'G-6 Hedgerow Data'!$B$3:$B$15,0)),"")</f>
        <v/>
      </c>
    </row>
    <row r="106" spans="2:38" ht="13.8" x14ac:dyDescent="0.25">
      <c r="B106" s="141">
        <v>97</v>
      </c>
      <c r="C106" s="203"/>
      <c r="D106" s="203"/>
      <c r="E106" s="153"/>
      <c r="F106" s="553" t="str">
        <f>IF(D106="","",VLOOKUP(D106,'G-6 Hedgerow Data'!$B$2:$AG$15,2,FALSE))</f>
        <v/>
      </c>
      <c r="G106" s="499" t="str">
        <f>IF(D106="","",VLOOKUP(D106,'G-6 Hedgerow Data'!$B$2:$AG$15,3,FALSE))</f>
        <v/>
      </c>
      <c r="H106" s="145"/>
      <c r="I106" s="499" t="str">
        <f>IFERROR(VLOOKUP(H106,'G-1 All Habitats'!$Z$2:$AA$9,2,FALSE),"")</f>
        <v/>
      </c>
      <c r="J106" s="145"/>
      <c r="K106" s="507" t="str">
        <f>IF(J106="","",IF(VLOOKUP(J106,'G-3 Multipliers'!$L$3:$N$6,2,FALSE)=0,"Spatial Data Missing",VLOOKUP(J106,'G-3 Multipliers'!$L$3:$N$6,2,FALSE)))</f>
        <v/>
      </c>
      <c r="L106" s="505" t="str">
        <f>IF(J106="","",IF(VLOOKUP(J106,'G-3 Multipliers'!$L$3:$N$6,3,FALSE)=0,"Spatial Data Missing ⚠",VLOOKUP(J106,'G-3 Multipliers'!$L$3:$N$6,3,FALSE)))</f>
        <v/>
      </c>
      <c r="M106" s="506" t="str">
        <f>IF(D106="","",VLOOKUP(D106,'G-6 Hedgerow Data'!$B$1:$AH$15,33,FALSE))</f>
        <v/>
      </c>
      <c r="N106" s="513" t="str">
        <f t="shared" si="9"/>
        <v/>
      </c>
      <c r="O106" s="40"/>
      <c r="P106" s="154"/>
      <c r="Q106" s="203"/>
      <c r="R106" s="532" t="str">
        <f t="shared" si="10"/>
        <v/>
      </c>
      <c r="S106" s="532" t="str">
        <f t="shared" si="11"/>
        <v/>
      </c>
      <c r="T106" s="532" t="str">
        <f t="shared" si="12"/>
        <v/>
      </c>
      <c r="U106" s="557" t="str">
        <f t="shared" si="13"/>
        <v/>
      </c>
      <c r="V106" s="151"/>
      <c r="W106" s="152"/>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c r="AL106" s="31" t="str">
        <f>IFERROR(INDEX('G-6 Hedgerow Data'!$BJ$3:$BJ$15,MATCH(D106,'G-6 Hedgerow Data'!$B$3:$B$15,0)),"")</f>
        <v/>
      </c>
    </row>
    <row r="107" spans="2:38" ht="13.8" x14ac:dyDescent="0.25">
      <c r="B107" s="141">
        <v>98</v>
      </c>
      <c r="C107" s="203"/>
      <c r="D107" s="203"/>
      <c r="E107" s="153"/>
      <c r="F107" s="553" t="str">
        <f>IF(D107="","",VLOOKUP(D107,'G-6 Hedgerow Data'!$B$2:$AG$15,2,FALSE))</f>
        <v/>
      </c>
      <c r="G107" s="499" t="str">
        <f>IF(D107="","",VLOOKUP(D107,'G-6 Hedgerow Data'!$B$2:$AG$15,3,FALSE))</f>
        <v/>
      </c>
      <c r="H107" s="145"/>
      <c r="I107" s="499" t="str">
        <f>IFERROR(VLOOKUP(H107,'G-1 All Habitats'!$Z$2:$AA$9,2,FALSE),"")</f>
        <v/>
      </c>
      <c r="J107" s="145"/>
      <c r="K107" s="507" t="str">
        <f>IF(J107="","",IF(VLOOKUP(J107,'G-3 Multipliers'!$L$3:$N$6,2,FALSE)=0,"Spatial Data Missing",VLOOKUP(J107,'G-3 Multipliers'!$L$3:$N$6,2,FALSE)))</f>
        <v/>
      </c>
      <c r="L107" s="505" t="str">
        <f>IF(J107="","",IF(VLOOKUP(J107,'G-3 Multipliers'!$L$3:$N$6,3,FALSE)=0,"Spatial Data Missing ⚠",VLOOKUP(J107,'G-3 Multipliers'!$L$3:$N$6,3,FALSE)))</f>
        <v/>
      </c>
      <c r="M107" s="506" t="str">
        <f>IF(D107="","",VLOOKUP(D107,'G-6 Hedgerow Data'!$B$1:$AH$15,33,FALSE))</f>
        <v/>
      </c>
      <c r="N107" s="513" t="str">
        <f t="shared" si="9"/>
        <v/>
      </c>
      <c r="O107" s="40"/>
      <c r="P107" s="154"/>
      <c r="Q107" s="203"/>
      <c r="R107" s="532" t="str">
        <f t="shared" si="10"/>
        <v/>
      </c>
      <c r="S107" s="532" t="str">
        <f t="shared" si="11"/>
        <v/>
      </c>
      <c r="T107" s="532" t="str">
        <f t="shared" si="12"/>
        <v/>
      </c>
      <c r="U107" s="557" t="str">
        <f t="shared" si="13"/>
        <v/>
      </c>
      <c r="V107" s="151"/>
      <c r="W107" s="152"/>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c r="AL107" s="31" t="str">
        <f>IFERROR(INDEX('G-6 Hedgerow Data'!$BJ$3:$BJ$15,MATCH(D107,'G-6 Hedgerow Data'!$B$3:$B$15,0)),"")</f>
        <v/>
      </c>
    </row>
    <row r="108" spans="2:38" ht="13.8" x14ac:dyDescent="0.25">
      <c r="B108" s="141">
        <v>99</v>
      </c>
      <c r="C108" s="203"/>
      <c r="D108" s="203"/>
      <c r="E108" s="153"/>
      <c r="F108" s="553" t="str">
        <f>IF(D108="","",VLOOKUP(D108,'G-6 Hedgerow Data'!$B$2:$AG$15,2,FALSE))</f>
        <v/>
      </c>
      <c r="G108" s="499" t="str">
        <f>IF(D108="","",VLOOKUP(D108,'G-6 Hedgerow Data'!$B$2:$AG$15,3,FALSE))</f>
        <v/>
      </c>
      <c r="H108" s="145"/>
      <c r="I108" s="499" t="str">
        <f>IFERROR(VLOOKUP(H108,'G-1 All Habitats'!$Z$2:$AA$9,2,FALSE),"")</f>
        <v/>
      </c>
      <c r="J108" s="145"/>
      <c r="K108" s="507" t="str">
        <f>IF(J108="","",IF(VLOOKUP(J108,'G-3 Multipliers'!$L$3:$N$6,2,FALSE)=0,"Spatial Data Missing",VLOOKUP(J108,'G-3 Multipliers'!$L$3:$N$6,2,FALSE)))</f>
        <v/>
      </c>
      <c r="L108" s="505" t="str">
        <f>IF(J108="","",IF(VLOOKUP(J108,'G-3 Multipliers'!$L$3:$N$6,3,FALSE)=0,"Spatial Data Missing ⚠",VLOOKUP(J108,'G-3 Multipliers'!$L$3:$N$6,3,FALSE)))</f>
        <v/>
      </c>
      <c r="M108" s="506" t="str">
        <f>IF(D108="","",VLOOKUP(D108,'G-6 Hedgerow Data'!$B$1:$AH$15,33,FALSE))</f>
        <v/>
      </c>
      <c r="N108" s="513" t="str">
        <f t="shared" si="9"/>
        <v/>
      </c>
      <c r="O108" s="40"/>
      <c r="P108" s="154"/>
      <c r="Q108" s="203"/>
      <c r="R108" s="532" t="str">
        <f t="shared" si="10"/>
        <v/>
      </c>
      <c r="S108" s="532" t="str">
        <f t="shared" si="11"/>
        <v/>
      </c>
      <c r="T108" s="532" t="str">
        <f t="shared" si="12"/>
        <v/>
      </c>
      <c r="U108" s="557" t="str">
        <f t="shared" si="13"/>
        <v/>
      </c>
      <c r="V108" s="151"/>
      <c r="W108" s="152"/>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c r="AL108" s="31" t="str">
        <f>IFERROR(INDEX('G-6 Hedgerow Data'!$BJ$3:$BJ$15,MATCH(D108,'G-6 Hedgerow Data'!$B$3:$B$15,0)),"")</f>
        <v/>
      </c>
    </row>
    <row r="109" spans="2:38" ht="13.8" x14ac:dyDescent="0.25">
      <c r="B109" s="141">
        <v>100</v>
      </c>
      <c r="C109" s="203"/>
      <c r="D109" s="203"/>
      <c r="E109" s="153"/>
      <c r="F109" s="553" t="str">
        <f>IF(D109="","",VLOOKUP(D109,'G-6 Hedgerow Data'!$B$2:$AG$15,2,FALSE))</f>
        <v/>
      </c>
      <c r="G109" s="499" t="str">
        <f>IF(D109="","",VLOOKUP(D109,'G-6 Hedgerow Data'!$B$2:$AG$15,3,FALSE))</f>
        <v/>
      </c>
      <c r="H109" s="145"/>
      <c r="I109" s="499" t="str">
        <f>IFERROR(VLOOKUP(H109,'G-1 All Habitats'!$Z$2:$AA$9,2,FALSE),"")</f>
        <v/>
      </c>
      <c r="J109" s="145"/>
      <c r="K109" s="507" t="str">
        <f>IF(J109="","",IF(VLOOKUP(J109,'G-3 Multipliers'!$L$3:$N$6,2,FALSE)=0,"Spatial Data Missing",VLOOKUP(J109,'G-3 Multipliers'!$L$3:$N$6,2,FALSE)))</f>
        <v/>
      </c>
      <c r="L109" s="505" t="str">
        <f>IF(J109="","",IF(VLOOKUP(J109,'G-3 Multipliers'!$L$3:$N$6,3,FALSE)=0,"Spatial Data Missing ⚠",VLOOKUP(J109,'G-3 Multipliers'!$L$3:$N$6,3,FALSE)))</f>
        <v/>
      </c>
      <c r="M109" s="506" t="str">
        <f>IF(D109="","",VLOOKUP(D109,'G-6 Hedgerow Data'!$B$1:$AH$15,33,FALSE))</f>
        <v/>
      </c>
      <c r="N109" s="513" t="str">
        <f t="shared" si="9"/>
        <v/>
      </c>
      <c r="O109" s="40"/>
      <c r="P109" s="154"/>
      <c r="Q109" s="203"/>
      <c r="R109" s="532" t="str">
        <f t="shared" si="10"/>
        <v/>
      </c>
      <c r="S109" s="532" t="str">
        <f t="shared" si="11"/>
        <v/>
      </c>
      <c r="T109" s="532" t="str">
        <f t="shared" si="12"/>
        <v/>
      </c>
      <c r="U109" s="557" t="str">
        <f t="shared" si="13"/>
        <v/>
      </c>
      <c r="V109" s="151"/>
      <c r="W109" s="152"/>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c r="AL109" s="31" t="str">
        <f>IFERROR(INDEX('G-6 Hedgerow Data'!$BJ$3:$BJ$15,MATCH(D109,'G-6 Hedgerow Data'!$B$3:$B$15,0)),"")</f>
        <v/>
      </c>
    </row>
    <row r="110" spans="2:38" ht="13.8" x14ac:dyDescent="0.25">
      <c r="B110" s="141">
        <v>101</v>
      </c>
      <c r="C110" s="203"/>
      <c r="D110" s="203"/>
      <c r="E110" s="153"/>
      <c r="F110" s="553" t="str">
        <f>IF(D110="","",VLOOKUP(D110,'G-6 Hedgerow Data'!$B$2:$AG$15,2,FALSE))</f>
        <v/>
      </c>
      <c r="G110" s="499" t="str">
        <f>IF(D110="","",VLOOKUP(D110,'G-6 Hedgerow Data'!$B$2:$AG$15,3,FALSE))</f>
        <v/>
      </c>
      <c r="H110" s="145"/>
      <c r="I110" s="499" t="str">
        <f>IFERROR(VLOOKUP(H110,'G-1 All Habitats'!$Z$2:$AA$9,2,FALSE),"")</f>
        <v/>
      </c>
      <c r="J110" s="145"/>
      <c r="K110" s="507" t="str">
        <f>IF(J110="","",IF(VLOOKUP(J110,'G-3 Multipliers'!$L$3:$N$6,2,FALSE)=0,"Spatial Data Missing",VLOOKUP(J110,'G-3 Multipliers'!$L$3:$N$6,2,FALSE)))</f>
        <v/>
      </c>
      <c r="L110" s="505" t="str">
        <f>IF(J110="","",IF(VLOOKUP(J110,'G-3 Multipliers'!$L$3:$N$6,3,FALSE)=0,"Spatial Data Missing ⚠",VLOOKUP(J110,'G-3 Multipliers'!$L$3:$N$6,3,FALSE)))</f>
        <v/>
      </c>
      <c r="M110" s="506" t="str">
        <f>IF(D110="","",VLOOKUP(D110,'G-6 Hedgerow Data'!$B$1:$AH$15,33,FALSE))</f>
        <v/>
      </c>
      <c r="N110" s="513" t="str">
        <f t="shared" si="9"/>
        <v/>
      </c>
      <c r="O110" s="40"/>
      <c r="P110" s="154"/>
      <c r="Q110" s="203"/>
      <c r="R110" s="532" t="str">
        <f t="shared" si="10"/>
        <v/>
      </c>
      <c r="S110" s="532" t="str">
        <f t="shared" si="11"/>
        <v/>
      </c>
      <c r="T110" s="532" t="str">
        <f t="shared" si="12"/>
        <v/>
      </c>
      <c r="U110" s="557" t="str">
        <f t="shared" si="13"/>
        <v/>
      </c>
      <c r="V110" s="151"/>
      <c r="W110" s="152"/>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c r="AL110" s="31" t="str">
        <f>IFERROR(INDEX('G-6 Hedgerow Data'!$BJ$3:$BJ$15,MATCH(D110,'G-6 Hedgerow Data'!$B$3:$B$15,0)),"")</f>
        <v/>
      </c>
    </row>
    <row r="111" spans="2:38" ht="13.8" x14ac:dyDescent="0.25">
      <c r="B111" s="141">
        <v>102</v>
      </c>
      <c r="C111" s="203"/>
      <c r="D111" s="203"/>
      <c r="E111" s="153"/>
      <c r="F111" s="553" t="str">
        <f>IF(D111="","",VLOOKUP(D111,'G-6 Hedgerow Data'!$B$2:$AG$15,2,FALSE))</f>
        <v/>
      </c>
      <c r="G111" s="499" t="str">
        <f>IF(D111="","",VLOOKUP(D111,'G-6 Hedgerow Data'!$B$2:$AG$15,3,FALSE))</f>
        <v/>
      </c>
      <c r="H111" s="145"/>
      <c r="I111" s="499" t="str">
        <f>IFERROR(VLOOKUP(H111,'G-1 All Habitats'!$Z$2:$AA$9,2,FALSE),"")</f>
        <v/>
      </c>
      <c r="J111" s="145"/>
      <c r="K111" s="507" t="str">
        <f>IF(J111="","",IF(VLOOKUP(J111,'G-3 Multipliers'!$L$3:$N$6,2,FALSE)=0,"Spatial Data Missing",VLOOKUP(J111,'G-3 Multipliers'!$L$3:$N$6,2,FALSE)))</f>
        <v/>
      </c>
      <c r="L111" s="505" t="str">
        <f>IF(J111="","",IF(VLOOKUP(J111,'G-3 Multipliers'!$L$3:$N$6,3,FALSE)=0,"Spatial Data Missing ⚠",VLOOKUP(J111,'G-3 Multipliers'!$L$3:$N$6,3,FALSE)))</f>
        <v/>
      </c>
      <c r="M111" s="506" t="str">
        <f>IF(D111="","",VLOOKUP(D111,'G-6 Hedgerow Data'!$B$1:$AH$15,33,FALSE))</f>
        <v/>
      </c>
      <c r="N111" s="513" t="str">
        <f t="shared" si="9"/>
        <v/>
      </c>
      <c r="O111" s="40"/>
      <c r="P111" s="154"/>
      <c r="Q111" s="203"/>
      <c r="R111" s="532" t="str">
        <f t="shared" si="10"/>
        <v/>
      </c>
      <c r="S111" s="532" t="str">
        <f t="shared" si="11"/>
        <v/>
      </c>
      <c r="T111" s="532" t="str">
        <f t="shared" si="12"/>
        <v/>
      </c>
      <c r="U111" s="557" t="str">
        <f t="shared" si="13"/>
        <v/>
      </c>
      <c r="V111" s="151"/>
      <c r="W111" s="152"/>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c r="AL111" s="31" t="str">
        <f>IFERROR(INDEX('G-6 Hedgerow Data'!$BJ$3:$BJ$15,MATCH(D111,'G-6 Hedgerow Data'!$B$3:$B$15,0)),"")</f>
        <v/>
      </c>
    </row>
    <row r="112" spans="2:38" ht="13.8" x14ac:dyDescent="0.25">
      <c r="B112" s="141">
        <v>103</v>
      </c>
      <c r="C112" s="203"/>
      <c r="D112" s="203"/>
      <c r="E112" s="153"/>
      <c r="F112" s="553" t="str">
        <f>IF(D112="","",VLOOKUP(D112,'G-6 Hedgerow Data'!$B$2:$AG$15,2,FALSE))</f>
        <v/>
      </c>
      <c r="G112" s="499" t="str">
        <f>IF(D112="","",VLOOKUP(D112,'G-6 Hedgerow Data'!$B$2:$AG$15,3,FALSE))</f>
        <v/>
      </c>
      <c r="H112" s="145"/>
      <c r="I112" s="499" t="str">
        <f>IFERROR(VLOOKUP(H112,'G-1 All Habitats'!$Z$2:$AA$9,2,FALSE),"")</f>
        <v/>
      </c>
      <c r="J112" s="145"/>
      <c r="K112" s="507" t="str">
        <f>IF(J112="","",IF(VLOOKUP(J112,'G-3 Multipliers'!$L$3:$N$6,2,FALSE)=0,"Spatial Data Missing",VLOOKUP(J112,'G-3 Multipliers'!$L$3:$N$6,2,FALSE)))</f>
        <v/>
      </c>
      <c r="L112" s="505" t="str">
        <f>IF(J112="","",IF(VLOOKUP(J112,'G-3 Multipliers'!$L$3:$N$6,3,FALSE)=0,"Spatial Data Missing ⚠",VLOOKUP(J112,'G-3 Multipliers'!$L$3:$N$6,3,FALSE)))</f>
        <v/>
      </c>
      <c r="M112" s="506" t="str">
        <f>IF(D112="","",VLOOKUP(D112,'G-6 Hedgerow Data'!$B$1:$AH$15,33,FALSE))</f>
        <v/>
      </c>
      <c r="N112" s="513" t="str">
        <f t="shared" si="9"/>
        <v/>
      </c>
      <c r="O112" s="40"/>
      <c r="P112" s="154"/>
      <c r="Q112" s="203"/>
      <c r="R112" s="532" t="str">
        <f t="shared" si="10"/>
        <v/>
      </c>
      <c r="S112" s="532" t="str">
        <f t="shared" si="11"/>
        <v/>
      </c>
      <c r="T112" s="532" t="str">
        <f t="shared" si="12"/>
        <v/>
      </c>
      <c r="U112" s="557" t="str">
        <f t="shared" si="13"/>
        <v/>
      </c>
      <c r="V112" s="151"/>
      <c r="W112" s="152"/>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c r="AL112" s="31" t="str">
        <f>IFERROR(INDEX('G-6 Hedgerow Data'!$BJ$3:$BJ$15,MATCH(D112,'G-6 Hedgerow Data'!$B$3:$B$15,0)),"")</f>
        <v/>
      </c>
    </row>
    <row r="113" spans="2:38" ht="13.8" x14ac:dyDescent="0.25">
      <c r="B113" s="141">
        <v>104</v>
      </c>
      <c r="C113" s="203"/>
      <c r="D113" s="203"/>
      <c r="E113" s="153"/>
      <c r="F113" s="553" t="str">
        <f>IF(D113="","",VLOOKUP(D113,'G-6 Hedgerow Data'!$B$2:$AG$15,2,FALSE))</f>
        <v/>
      </c>
      <c r="G113" s="499" t="str">
        <f>IF(D113="","",VLOOKUP(D113,'G-6 Hedgerow Data'!$B$2:$AG$15,3,FALSE))</f>
        <v/>
      </c>
      <c r="H113" s="145"/>
      <c r="I113" s="499" t="str">
        <f>IFERROR(VLOOKUP(H113,'G-1 All Habitats'!$Z$2:$AA$9,2,FALSE),"")</f>
        <v/>
      </c>
      <c r="J113" s="145"/>
      <c r="K113" s="507" t="str">
        <f>IF(J113="","",IF(VLOOKUP(J113,'G-3 Multipliers'!$L$3:$N$6,2,FALSE)=0,"Spatial Data Missing",VLOOKUP(J113,'G-3 Multipliers'!$L$3:$N$6,2,FALSE)))</f>
        <v/>
      </c>
      <c r="L113" s="505" t="str">
        <f>IF(J113="","",IF(VLOOKUP(J113,'G-3 Multipliers'!$L$3:$N$6,3,FALSE)=0,"Spatial Data Missing ⚠",VLOOKUP(J113,'G-3 Multipliers'!$L$3:$N$6,3,FALSE)))</f>
        <v/>
      </c>
      <c r="M113" s="506" t="str">
        <f>IF(D113="","",VLOOKUP(D113,'G-6 Hedgerow Data'!$B$1:$AH$15,33,FALSE))</f>
        <v/>
      </c>
      <c r="N113" s="513" t="str">
        <f t="shared" si="9"/>
        <v/>
      </c>
      <c r="O113" s="40"/>
      <c r="P113" s="154"/>
      <c r="Q113" s="203"/>
      <c r="R113" s="532" t="str">
        <f t="shared" si="10"/>
        <v/>
      </c>
      <c r="S113" s="532" t="str">
        <f t="shared" si="11"/>
        <v/>
      </c>
      <c r="T113" s="532" t="str">
        <f t="shared" si="12"/>
        <v/>
      </c>
      <c r="U113" s="557" t="str">
        <f t="shared" si="13"/>
        <v/>
      </c>
      <c r="V113" s="151"/>
      <c r="W113" s="152"/>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c r="AL113" s="31" t="str">
        <f>IFERROR(INDEX('G-6 Hedgerow Data'!$BJ$3:$BJ$15,MATCH(D113,'G-6 Hedgerow Data'!$B$3:$B$15,0)),"")</f>
        <v/>
      </c>
    </row>
    <row r="114" spans="2:38" ht="13.8" x14ac:dyDescent="0.25">
      <c r="B114" s="141">
        <v>105</v>
      </c>
      <c r="C114" s="203"/>
      <c r="D114" s="203"/>
      <c r="E114" s="153"/>
      <c r="F114" s="553" t="str">
        <f>IF(D114="","",VLOOKUP(D114,'G-6 Hedgerow Data'!$B$2:$AG$15,2,FALSE))</f>
        <v/>
      </c>
      <c r="G114" s="499" t="str">
        <f>IF(D114="","",VLOOKUP(D114,'G-6 Hedgerow Data'!$B$2:$AG$15,3,FALSE))</f>
        <v/>
      </c>
      <c r="H114" s="145"/>
      <c r="I114" s="499" t="str">
        <f>IFERROR(VLOOKUP(H114,'G-1 All Habitats'!$Z$2:$AA$9,2,FALSE),"")</f>
        <v/>
      </c>
      <c r="J114" s="145"/>
      <c r="K114" s="507" t="str">
        <f>IF(J114="","",IF(VLOOKUP(J114,'G-3 Multipliers'!$L$3:$N$6,2,FALSE)=0,"Spatial Data Missing",VLOOKUP(J114,'G-3 Multipliers'!$L$3:$N$6,2,FALSE)))</f>
        <v/>
      </c>
      <c r="L114" s="505" t="str">
        <f>IF(J114="","",IF(VLOOKUP(J114,'G-3 Multipliers'!$L$3:$N$6,3,FALSE)=0,"Spatial Data Missing ⚠",VLOOKUP(J114,'G-3 Multipliers'!$L$3:$N$6,3,FALSE)))</f>
        <v/>
      </c>
      <c r="M114" s="506" t="str">
        <f>IF(D114="","",VLOOKUP(D114,'G-6 Hedgerow Data'!$B$1:$AH$15,33,FALSE))</f>
        <v/>
      </c>
      <c r="N114" s="513" t="str">
        <f t="shared" si="9"/>
        <v/>
      </c>
      <c r="O114" s="40"/>
      <c r="P114" s="154"/>
      <c r="Q114" s="203"/>
      <c r="R114" s="532" t="str">
        <f t="shared" si="10"/>
        <v/>
      </c>
      <c r="S114" s="532" t="str">
        <f t="shared" si="11"/>
        <v/>
      </c>
      <c r="T114" s="532" t="str">
        <f t="shared" si="12"/>
        <v/>
      </c>
      <c r="U114" s="557" t="str">
        <f t="shared" si="13"/>
        <v/>
      </c>
      <c r="V114" s="151"/>
      <c r="W114" s="152"/>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c r="AL114" s="31" t="str">
        <f>IFERROR(INDEX('G-6 Hedgerow Data'!$BJ$3:$BJ$15,MATCH(D114,'G-6 Hedgerow Data'!$B$3:$B$15,0)),"")</f>
        <v/>
      </c>
    </row>
    <row r="115" spans="2:38" ht="13.8" x14ac:dyDescent="0.25">
      <c r="B115" s="141">
        <v>106</v>
      </c>
      <c r="C115" s="203"/>
      <c r="D115" s="203"/>
      <c r="E115" s="153"/>
      <c r="F115" s="553" t="str">
        <f>IF(D115="","",VLOOKUP(D115,'G-6 Hedgerow Data'!$B$2:$AG$15,2,FALSE))</f>
        <v/>
      </c>
      <c r="G115" s="499" t="str">
        <f>IF(D115="","",VLOOKUP(D115,'G-6 Hedgerow Data'!$B$2:$AG$15,3,FALSE))</f>
        <v/>
      </c>
      <c r="H115" s="145"/>
      <c r="I115" s="499" t="str">
        <f>IFERROR(VLOOKUP(H115,'G-1 All Habitats'!$Z$2:$AA$9,2,FALSE),"")</f>
        <v/>
      </c>
      <c r="J115" s="145"/>
      <c r="K115" s="507" t="str">
        <f>IF(J115="","",IF(VLOOKUP(J115,'G-3 Multipliers'!$L$3:$N$6,2,FALSE)=0,"Spatial Data Missing",VLOOKUP(J115,'G-3 Multipliers'!$L$3:$N$6,2,FALSE)))</f>
        <v/>
      </c>
      <c r="L115" s="505" t="str">
        <f>IF(J115="","",IF(VLOOKUP(J115,'G-3 Multipliers'!$L$3:$N$6,3,FALSE)=0,"Spatial Data Missing ⚠",VLOOKUP(J115,'G-3 Multipliers'!$L$3:$N$6,3,FALSE)))</f>
        <v/>
      </c>
      <c r="M115" s="506" t="str">
        <f>IF(D115="","",VLOOKUP(D115,'G-6 Hedgerow Data'!$B$1:$AH$15,33,FALSE))</f>
        <v/>
      </c>
      <c r="N115" s="513" t="str">
        <f t="shared" si="9"/>
        <v/>
      </c>
      <c r="O115" s="40"/>
      <c r="P115" s="154"/>
      <c r="Q115" s="203"/>
      <c r="R115" s="532" t="str">
        <f t="shared" si="10"/>
        <v/>
      </c>
      <c r="S115" s="532" t="str">
        <f t="shared" si="11"/>
        <v/>
      </c>
      <c r="T115" s="532" t="str">
        <f t="shared" si="12"/>
        <v/>
      </c>
      <c r="U115" s="557" t="str">
        <f t="shared" si="13"/>
        <v/>
      </c>
      <c r="V115" s="151"/>
      <c r="W115" s="152"/>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c r="AL115" s="31" t="str">
        <f>IFERROR(INDEX('G-6 Hedgerow Data'!$BJ$3:$BJ$15,MATCH(D115,'G-6 Hedgerow Data'!$B$3:$B$15,0)),"")</f>
        <v/>
      </c>
    </row>
    <row r="116" spans="2:38" ht="13.8" x14ac:dyDescent="0.25">
      <c r="B116" s="141">
        <v>107</v>
      </c>
      <c r="C116" s="203"/>
      <c r="D116" s="203"/>
      <c r="E116" s="153"/>
      <c r="F116" s="553" t="str">
        <f>IF(D116="","",VLOOKUP(D116,'G-6 Hedgerow Data'!$B$2:$AG$15,2,FALSE))</f>
        <v/>
      </c>
      <c r="G116" s="499" t="str">
        <f>IF(D116="","",VLOOKUP(D116,'G-6 Hedgerow Data'!$B$2:$AG$15,3,FALSE))</f>
        <v/>
      </c>
      <c r="H116" s="145"/>
      <c r="I116" s="499" t="str">
        <f>IFERROR(VLOOKUP(H116,'G-1 All Habitats'!$Z$2:$AA$9,2,FALSE),"")</f>
        <v/>
      </c>
      <c r="J116" s="145"/>
      <c r="K116" s="507" t="str">
        <f>IF(J116="","",IF(VLOOKUP(J116,'G-3 Multipliers'!$L$3:$N$6,2,FALSE)=0,"Spatial Data Missing",VLOOKUP(J116,'G-3 Multipliers'!$L$3:$N$6,2,FALSE)))</f>
        <v/>
      </c>
      <c r="L116" s="505" t="str">
        <f>IF(J116="","",IF(VLOOKUP(J116,'G-3 Multipliers'!$L$3:$N$6,3,FALSE)=0,"Spatial Data Missing ⚠",VLOOKUP(J116,'G-3 Multipliers'!$L$3:$N$6,3,FALSE)))</f>
        <v/>
      </c>
      <c r="M116" s="506" t="str">
        <f>IF(D116="","",VLOOKUP(D116,'G-6 Hedgerow Data'!$B$1:$AH$15,33,FALSE))</f>
        <v/>
      </c>
      <c r="N116" s="513" t="str">
        <f t="shared" si="9"/>
        <v/>
      </c>
      <c r="O116" s="40"/>
      <c r="P116" s="154"/>
      <c r="Q116" s="203"/>
      <c r="R116" s="532" t="str">
        <f t="shared" si="10"/>
        <v/>
      </c>
      <c r="S116" s="532" t="str">
        <f t="shared" si="11"/>
        <v/>
      </c>
      <c r="T116" s="532" t="str">
        <f t="shared" si="12"/>
        <v/>
      </c>
      <c r="U116" s="557" t="str">
        <f t="shared" si="13"/>
        <v/>
      </c>
      <c r="V116" s="151"/>
      <c r="W116" s="152"/>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c r="AL116" s="31" t="str">
        <f>IFERROR(INDEX('G-6 Hedgerow Data'!$BJ$3:$BJ$15,MATCH(D116,'G-6 Hedgerow Data'!$B$3:$B$15,0)),"")</f>
        <v/>
      </c>
    </row>
    <row r="117" spans="2:38" ht="13.8" x14ac:dyDescent="0.25">
      <c r="B117" s="141">
        <v>108</v>
      </c>
      <c r="C117" s="203"/>
      <c r="D117" s="203"/>
      <c r="E117" s="153"/>
      <c r="F117" s="553" t="str">
        <f>IF(D117="","",VLOOKUP(D117,'G-6 Hedgerow Data'!$B$2:$AG$15,2,FALSE))</f>
        <v/>
      </c>
      <c r="G117" s="499" t="str">
        <f>IF(D117="","",VLOOKUP(D117,'G-6 Hedgerow Data'!$B$2:$AG$15,3,FALSE))</f>
        <v/>
      </c>
      <c r="H117" s="145"/>
      <c r="I117" s="499" t="str">
        <f>IFERROR(VLOOKUP(H117,'G-1 All Habitats'!$Z$2:$AA$9,2,FALSE),"")</f>
        <v/>
      </c>
      <c r="J117" s="145"/>
      <c r="K117" s="507" t="str">
        <f>IF(J117="","",IF(VLOOKUP(J117,'G-3 Multipliers'!$L$3:$N$6,2,FALSE)=0,"Spatial Data Missing",VLOOKUP(J117,'G-3 Multipliers'!$L$3:$N$6,2,FALSE)))</f>
        <v/>
      </c>
      <c r="L117" s="505" t="str">
        <f>IF(J117="","",IF(VLOOKUP(J117,'G-3 Multipliers'!$L$3:$N$6,3,FALSE)=0,"Spatial Data Missing ⚠",VLOOKUP(J117,'G-3 Multipliers'!$L$3:$N$6,3,FALSE)))</f>
        <v/>
      </c>
      <c r="M117" s="506" t="str">
        <f>IF(D117="","",VLOOKUP(D117,'G-6 Hedgerow Data'!$B$1:$AH$15,33,FALSE))</f>
        <v/>
      </c>
      <c r="N117" s="513" t="str">
        <f t="shared" si="9"/>
        <v/>
      </c>
      <c r="O117" s="40"/>
      <c r="P117" s="154"/>
      <c r="Q117" s="203"/>
      <c r="R117" s="532" t="str">
        <f t="shared" si="10"/>
        <v/>
      </c>
      <c r="S117" s="532" t="str">
        <f t="shared" si="11"/>
        <v/>
      </c>
      <c r="T117" s="532" t="str">
        <f t="shared" si="12"/>
        <v/>
      </c>
      <c r="U117" s="557" t="str">
        <f t="shared" si="13"/>
        <v/>
      </c>
      <c r="V117" s="151"/>
      <c r="W117" s="152"/>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c r="AL117" s="31" t="str">
        <f>IFERROR(INDEX('G-6 Hedgerow Data'!$BJ$3:$BJ$15,MATCH(D117,'G-6 Hedgerow Data'!$B$3:$B$15,0)),"")</f>
        <v/>
      </c>
    </row>
    <row r="118" spans="2:38" ht="13.8" x14ac:dyDescent="0.25">
      <c r="B118" s="141">
        <v>109</v>
      </c>
      <c r="C118" s="203"/>
      <c r="D118" s="203"/>
      <c r="E118" s="153"/>
      <c r="F118" s="553" t="str">
        <f>IF(D118="","",VLOOKUP(D118,'G-6 Hedgerow Data'!$B$2:$AG$15,2,FALSE))</f>
        <v/>
      </c>
      <c r="G118" s="499" t="str">
        <f>IF(D118="","",VLOOKUP(D118,'G-6 Hedgerow Data'!$B$2:$AG$15,3,FALSE))</f>
        <v/>
      </c>
      <c r="H118" s="145"/>
      <c r="I118" s="499" t="str">
        <f>IFERROR(VLOOKUP(H118,'G-1 All Habitats'!$Z$2:$AA$9,2,FALSE),"")</f>
        <v/>
      </c>
      <c r="J118" s="145"/>
      <c r="K118" s="507" t="str">
        <f>IF(J118="","",IF(VLOOKUP(J118,'G-3 Multipliers'!$L$3:$N$6,2,FALSE)=0,"Spatial Data Missing",VLOOKUP(J118,'G-3 Multipliers'!$L$3:$N$6,2,FALSE)))</f>
        <v/>
      </c>
      <c r="L118" s="505" t="str">
        <f>IF(J118="","",IF(VLOOKUP(J118,'G-3 Multipliers'!$L$3:$N$6,3,FALSE)=0,"Spatial Data Missing ⚠",VLOOKUP(J118,'G-3 Multipliers'!$L$3:$N$6,3,FALSE)))</f>
        <v/>
      </c>
      <c r="M118" s="506" t="str">
        <f>IF(D118="","",VLOOKUP(D118,'G-6 Hedgerow Data'!$B$1:$AH$15,33,FALSE))</f>
        <v/>
      </c>
      <c r="N118" s="513" t="str">
        <f t="shared" si="9"/>
        <v/>
      </c>
      <c r="O118" s="40"/>
      <c r="P118" s="154"/>
      <c r="Q118" s="203"/>
      <c r="R118" s="532" t="str">
        <f t="shared" si="10"/>
        <v/>
      </c>
      <c r="S118" s="532" t="str">
        <f t="shared" si="11"/>
        <v/>
      </c>
      <c r="T118" s="532" t="str">
        <f t="shared" si="12"/>
        <v/>
      </c>
      <c r="U118" s="557" t="str">
        <f t="shared" si="13"/>
        <v/>
      </c>
      <c r="V118" s="151"/>
      <c r="W118" s="152"/>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c r="AL118" s="31" t="str">
        <f>IFERROR(INDEX('G-6 Hedgerow Data'!$BJ$3:$BJ$15,MATCH(D118,'G-6 Hedgerow Data'!$B$3:$B$15,0)),"")</f>
        <v/>
      </c>
    </row>
    <row r="119" spans="2:38" ht="13.8" x14ac:dyDescent="0.25">
      <c r="B119" s="141">
        <v>110</v>
      </c>
      <c r="C119" s="203"/>
      <c r="D119" s="203"/>
      <c r="E119" s="153"/>
      <c r="F119" s="553" t="str">
        <f>IF(D119="","",VLOOKUP(D119,'G-6 Hedgerow Data'!$B$2:$AG$15,2,FALSE))</f>
        <v/>
      </c>
      <c r="G119" s="499" t="str">
        <f>IF(D119="","",VLOOKUP(D119,'G-6 Hedgerow Data'!$B$2:$AG$15,3,FALSE))</f>
        <v/>
      </c>
      <c r="H119" s="145"/>
      <c r="I119" s="499" t="str">
        <f>IFERROR(VLOOKUP(H119,'G-1 All Habitats'!$Z$2:$AA$9,2,FALSE),"")</f>
        <v/>
      </c>
      <c r="J119" s="145"/>
      <c r="K119" s="507" t="str">
        <f>IF(J119="","",IF(VLOOKUP(J119,'G-3 Multipliers'!$L$3:$N$6,2,FALSE)=0,"Spatial Data Missing",VLOOKUP(J119,'G-3 Multipliers'!$L$3:$N$6,2,FALSE)))</f>
        <v/>
      </c>
      <c r="L119" s="505" t="str">
        <f>IF(J119="","",IF(VLOOKUP(J119,'G-3 Multipliers'!$L$3:$N$6,3,FALSE)=0,"Spatial Data Missing ⚠",VLOOKUP(J119,'G-3 Multipliers'!$L$3:$N$6,3,FALSE)))</f>
        <v/>
      </c>
      <c r="M119" s="506" t="str">
        <f>IF(D119="","",VLOOKUP(D119,'G-6 Hedgerow Data'!$B$1:$AH$15,33,FALSE))</f>
        <v/>
      </c>
      <c r="N119" s="513" t="str">
        <f t="shared" si="9"/>
        <v/>
      </c>
      <c r="O119" s="40"/>
      <c r="P119" s="154"/>
      <c r="Q119" s="203"/>
      <c r="R119" s="532" t="str">
        <f t="shared" si="10"/>
        <v/>
      </c>
      <c r="S119" s="532" t="str">
        <f t="shared" si="11"/>
        <v/>
      </c>
      <c r="T119" s="532" t="str">
        <f t="shared" si="12"/>
        <v/>
      </c>
      <c r="U119" s="557" t="str">
        <f t="shared" si="13"/>
        <v/>
      </c>
      <c r="V119" s="151"/>
      <c r="W119" s="152"/>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c r="AL119" s="31" t="str">
        <f>IFERROR(INDEX('G-6 Hedgerow Data'!$BJ$3:$BJ$15,MATCH(D119,'G-6 Hedgerow Data'!$B$3:$B$15,0)),"")</f>
        <v/>
      </c>
    </row>
    <row r="120" spans="2:38" ht="13.8" x14ac:dyDescent="0.25">
      <c r="B120" s="141">
        <v>111</v>
      </c>
      <c r="C120" s="203"/>
      <c r="D120" s="203"/>
      <c r="E120" s="153"/>
      <c r="F120" s="553" t="str">
        <f>IF(D120="","",VLOOKUP(D120,'G-6 Hedgerow Data'!$B$2:$AG$15,2,FALSE))</f>
        <v/>
      </c>
      <c r="G120" s="499" t="str">
        <f>IF(D120="","",VLOOKUP(D120,'G-6 Hedgerow Data'!$B$2:$AG$15,3,FALSE))</f>
        <v/>
      </c>
      <c r="H120" s="145"/>
      <c r="I120" s="499" t="str">
        <f>IFERROR(VLOOKUP(H120,'G-1 All Habitats'!$Z$2:$AA$9,2,FALSE),"")</f>
        <v/>
      </c>
      <c r="J120" s="145"/>
      <c r="K120" s="507" t="str">
        <f>IF(J120="","",IF(VLOOKUP(J120,'G-3 Multipliers'!$L$3:$N$6,2,FALSE)=0,"Spatial Data Missing",VLOOKUP(J120,'G-3 Multipliers'!$L$3:$N$6,2,FALSE)))</f>
        <v/>
      </c>
      <c r="L120" s="505" t="str">
        <f>IF(J120="","",IF(VLOOKUP(J120,'G-3 Multipliers'!$L$3:$N$6,3,FALSE)=0,"Spatial Data Missing ⚠",VLOOKUP(J120,'G-3 Multipliers'!$L$3:$N$6,3,FALSE)))</f>
        <v/>
      </c>
      <c r="M120" s="506" t="str">
        <f>IF(D120="","",VLOOKUP(D120,'G-6 Hedgerow Data'!$B$1:$AH$15,33,FALSE))</f>
        <v/>
      </c>
      <c r="N120" s="513" t="str">
        <f t="shared" si="9"/>
        <v/>
      </c>
      <c r="O120" s="40"/>
      <c r="P120" s="154"/>
      <c r="Q120" s="203"/>
      <c r="R120" s="532" t="str">
        <f t="shared" si="10"/>
        <v/>
      </c>
      <c r="S120" s="532" t="str">
        <f t="shared" si="11"/>
        <v/>
      </c>
      <c r="T120" s="532" t="str">
        <f t="shared" si="12"/>
        <v/>
      </c>
      <c r="U120" s="557" t="str">
        <f t="shared" si="13"/>
        <v/>
      </c>
      <c r="V120" s="151"/>
      <c r="W120" s="152"/>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c r="AL120" s="31" t="str">
        <f>IFERROR(INDEX('G-6 Hedgerow Data'!$BJ$3:$BJ$15,MATCH(D120,'G-6 Hedgerow Data'!$B$3:$B$15,0)),"")</f>
        <v/>
      </c>
    </row>
    <row r="121" spans="2:38" ht="13.8" x14ac:dyDescent="0.25">
      <c r="B121" s="141">
        <v>112</v>
      </c>
      <c r="C121" s="203"/>
      <c r="D121" s="203"/>
      <c r="E121" s="153"/>
      <c r="F121" s="553" t="str">
        <f>IF(D121="","",VLOOKUP(D121,'G-6 Hedgerow Data'!$B$2:$AG$15,2,FALSE))</f>
        <v/>
      </c>
      <c r="G121" s="499" t="str">
        <f>IF(D121="","",VLOOKUP(D121,'G-6 Hedgerow Data'!$B$2:$AG$15,3,FALSE))</f>
        <v/>
      </c>
      <c r="H121" s="145"/>
      <c r="I121" s="499" t="str">
        <f>IFERROR(VLOOKUP(H121,'G-1 All Habitats'!$Z$2:$AA$9,2,FALSE),"")</f>
        <v/>
      </c>
      <c r="J121" s="145"/>
      <c r="K121" s="507" t="str">
        <f>IF(J121="","",IF(VLOOKUP(J121,'G-3 Multipliers'!$L$3:$N$6,2,FALSE)=0,"Spatial Data Missing",VLOOKUP(J121,'G-3 Multipliers'!$L$3:$N$6,2,FALSE)))</f>
        <v/>
      </c>
      <c r="L121" s="505" t="str">
        <f>IF(J121="","",IF(VLOOKUP(J121,'G-3 Multipliers'!$L$3:$N$6,3,FALSE)=0,"Spatial Data Missing ⚠",VLOOKUP(J121,'G-3 Multipliers'!$L$3:$N$6,3,FALSE)))</f>
        <v/>
      </c>
      <c r="M121" s="506" t="str">
        <f>IF(D121="","",VLOOKUP(D121,'G-6 Hedgerow Data'!$B$1:$AH$15,33,FALSE))</f>
        <v/>
      </c>
      <c r="N121" s="513" t="str">
        <f t="shared" si="9"/>
        <v/>
      </c>
      <c r="O121" s="40"/>
      <c r="P121" s="154"/>
      <c r="Q121" s="203"/>
      <c r="R121" s="532" t="str">
        <f t="shared" si="10"/>
        <v/>
      </c>
      <c r="S121" s="532" t="str">
        <f t="shared" si="11"/>
        <v/>
      </c>
      <c r="T121" s="532" t="str">
        <f t="shared" si="12"/>
        <v/>
      </c>
      <c r="U121" s="557" t="str">
        <f t="shared" si="13"/>
        <v/>
      </c>
      <c r="V121" s="151"/>
      <c r="W121" s="152"/>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c r="AL121" s="31" t="str">
        <f>IFERROR(INDEX('G-6 Hedgerow Data'!$BJ$3:$BJ$15,MATCH(D121,'G-6 Hedgerow Data'!$B$3:$B$15,0)),"")</f>
        <v/>
      </c>
    </row>
    <row r="122" spans="2:38" ht="13.8" x14ac:dyDescent="0.25">
      <c r="B122" s="141">
        <v>113</v>
      </c>
      <c r="C122" s="203"/>
      <c r="D122" s="203"/>
      <c r="E122" s="153"/>
      <c r="F122" s="553" t="str">
        <f>IF(D122="","",VLOOKUP(D122,'G-6 Hedgerow Data'!$B$2:$AG$15,2,FALSE))</f>
        <v/>
      </c>
      <c r="G122" s="499" t="str">
        <f>IF(D122="","",VLOOKUP(D122,'G-6 Hedgerow Data'!$B$2:$AG$15,3,FALSE))</f>
        <v/>
      </c>
      <c r="H122" s="145"/>
      <c r="I122" s="499" t="str">
        <f>IFERROR(VLOOKUP(H122,'G-1 All Habitats'!$Z$2:$AA$9,2,FALSE),"")</f>
        <v/>
      </c>
      <c r="J122" s="145"/>
      <c r="K122" s="507" t="str">
        <f>IF(J122="","",IF(VLOOKUP(J122,'G-3 Multipliers'!$L$3:$N$6,2,FALSE)=0,"Spatial Data Missing",VLOOKUP(J122,'G-3 Multipliers'!$L$3:$N$6,2,FALSE)))</f>
        <v/>
      </c>
      <c r="L122" s="505" t="str">
        <f>IF(J122="","",IF(VLOOKUP(J122,'G-3 Multipliers'!$L$3:$N$6,3,FALSE)=0,"Spatial Data Missing ⚠",VLOOKUP(J122,'G-3 Multipliers'!$L$3:$N$6,3,FALSE)))</f>
        <v/>
      </c>
      <c r="M122" s="506" t="str">
        <f>IF(D122="","",VLOOKUP(D122,'G-6 Hedgerow Data'!$B$1:$AH$15,33,FALSE))</f>
        <v/>
      </c>
      <c r="N122" s="513" t="str">
        <f t="shared" si="9"/>
        <v/>
      </c>
      <c r="O122" s="40"/>
      <c r="P122" s="154"/>
      <c r="Q122" s="203"/>
      <c r="R122" s="532" t="str">
        <f t="shared" si="10"/>
        <v/>
      </c>
      <c r="S122" s="532" t="str">
        <f t="shared" si="11"/>
        <v/>
      </c>
      <c r="T122" s="532" t="str">
        <f t="shared" si="12"/>
        <v/>
      </c>
      <c r="U122" s="557" t="str">
        <f t="shared" si="13"/>
        <v/>
      </c>
      <c r="V122" s="151"/>
      <c r="W122" s="152"/>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c r="AL122" s="31" t="str">
        <f>IFERROR(INDEX('G-6 Hedgerow Data'!$BJ$3:$BJ$15,MATCH(D122,'G-6 Hedgerow Data'!$B$3:$B$15,0)),"")</f>
        <v/>
      </c>
    </row>
    <row r="123" spans="2:38" ht="13.8" x14ac:dyDescent="0.25">
      <c r="B123" s="141">
        <v>114</v>
      </c>
      <c r="C123" s="203"/>
      <c r="D123" s="203"/>
      <c r="E123" s="153"/>
      <c r="F123" s="553" t="str">
        <f>IF(D123="","",VLOOKUP(D123,'G-6 Hedgerow Data'!$B$2:$AG$15,2,FALSE))</f>
        <v/>
      </c>
      <c r="G123" s="499" t="str">
        <f>IF(D123="","",VLOOKUP(D123,'G-6 Hedgerow Data'!$B$2:$AG$15,3,FALSE))</f>
        <v/>
      </c>
      <c r="H123" s="145"/>
      <c r="I123" s="499" t="str">
        <f>IFERROR(VLOOKUP(H123,'G-1 All Habitats'!$Z$2:$AA$9,2,FALSE),"")</f>
        <v/>
      </c>
      <c r="J123" s="145"/>
      <c r="K123" s="507" t="str">
        <f>IF(J123="","",IF(VLOOKUP(J123,'G-3 Multipliers'!$L$3:$N$6,2,FALSE)=0,"Spatial Data Missing",VLOOKUP(J123,'G-3 Multipliers'!$L$3:$N$6,2,FALSE)))</f>
        <v/>
      </c>
      <c r="L123" s="505" t="str">
        <f>IF(J123="","",IF(VLOOKUP(J123,'G-3 Multipliers'!$L$3:$N$6,3,FALSE)=0,"Spatial Data Missing ⚠",VLOOKUP(J123,'G-3 Multipliers'!$L$3:$N$6,3,FALSE)))</f>
        <v/>
      </c>
      <c r="M123" s="506" t="str">
        <f>IF(D123="","",VLOOKUP(D123,'G-6 Hedgerow Data'!$B$1:$AH$15,33,FALSE))</f>
        <v/>
      </c>
      <c r="N123" s="513" t="str">
        <f t="shared" si="9"/>
        <v/>
      </c>
      <c r="O123" s="40"/>
      <c r="P123" s="154"/>
      <c r="Q123" s="203"/>
      <c r="R123" s="532" t="str">
        <f t="shared" si="10"/>
        <v/>
      </c>
      <c r="S123" s="532" t="str">
        <f t="shared" si="11"/>
        <v/>
      </c>
      <c r="T123" s="532" t="str">
        <f t="shared" si="12"/>
        <v/>
      </c>
      <c r="U123" s="557" t="str">
        <f t="shared" si="13"/>
        <v/>
      </c>
      <c r="V123" s="151"/>
      <c r="W123" s="152"/>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c r="AL123" s="31" t="str">
        <f>IFERROR(INDEX('G-6 Hedgerow Data'!$BJ$3:$BJ$15,MATCH(D123,'G-6 Hedgerow Data'!$B$3:$B$15,0)),"")</f>
        <v/>
      </c>
    </row>
    <row r="124" spans="2:38" ht="13.8" x14ac:dyDescent="0.25">
      <c r="B124" s="141">
        <v>115</v>
      </c>
      <c r="C124" s="203"/>
      <c r="D124" s="203"/>
      <c r="E124" s="153"/>
      <c r="F124" s="553" t="str">
        <f>IF(D124="","",VLOOKUP(D124,'G-6 Hedgerow Data'!$B$2:$AG$15,2,FALSE))</f>
        <v/>
      </c>
      <c r="G124" s="499" t="str">
        <f>IF(D124="","",VLOOKUP(D124,'G-6 Hedgerow Data'!$B$2:$AG$15,3,FALSE))</f>
        <v/>
      </c>
      <c r="H124" s="145"/>
      <c r="I124" s="499" t="str">
        <f>IFERROR(VLOOKUP(H124,'G-1 All Habitats'!$Z$2:$AA$9,2,FALSE),"")</f>
        <v/>
      </c>
      <c r="J124" s="145"/>
      <c r="K124" s="507" t="str">
        <f>IF(J124="","",IF(VLOOKUP(J124,'G-3 Multipliers'!$L$3:$N$6,2,FALSE)=0,"Spatial Data Missing",VLOOKUP(J124,'G-3 Multipliers'!$L$3:$N$6,2,FALSE)))</f>
        <v/>
      </c>
      <c r="L124" s="505" t="str">
        <f>IF(J124="","",IF(VLOOKUP(J124,'G-3 Multipliers'!$L$3:$N$6,3,FALSE)=0,"Spatial Data Missing ⚠",VLOOKUP(J124,'G-3 Multipliers'!$L$3:$N$6,3,FALSE)))</f>
        <v/>
      </c>
      <c r="M124" s="506" t="str">
        <f>IF(D124="","",VLOOKUP(D124,'G-6 Hedgerow Data'!$B$1:$AH$15,33,FALSE))</f>
        <v/>
      </c>
      <c r="N124" s="513" t="str">
        <f t="shared" si="9"/>
        <v/>
      </c>
      <c r="O124" s="40"/>
      <c r="P124" s="154"/>
      <c r="Q124" s="203"/>
      <c r="R124" s="532" t="str">
        <f t="shared" si="10"/>
        <v/>
      </c>
      <c r="S124" s="532" t="str">
        <f t="shared" si="11"/>
        <v/>
      </c>
      <c r="T124" s="532" t="str">
        <f t="shared" si="12"/>
        <v/>
      </c>
      <c r="U124" s="557" t="str">
        <f t="shared" si="13"/>
        <v/>
      </c>
      <c r="V124" s="151"/>
      <c r="W124" s="152"/>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c r="AL124" s="31" t="str">
        <f>IFERROR(INDEX('G-6 Hedgerow Data'!$BJ$3:$BJ$15,MATCH(D124,'G-6 Hedgerow Data'!$B$3:$B$15,0)),"")</f>
        <v/>
      </c>
    </row>
    <row r="125" spans="2:38" ht="13.8" x14ac:dyDescent="0.25">
      <c r="B125" s="141">
        <v>116</v>
      </c>
      <c r="C125" s="203"/>
      <c r="D125" s="203"/>
      <c r="E125" s="153"/>
      <c r="F125" s="553" t="str">
        <f>IF(D125="","",VLOOKUP(D125,'G-6 Hedgerow Data'!$B$2:$AG$15,2,FALSE))</f>
        <v/>
      </c>
      <c r="G125" s="499" t="str">
        <f>IF(D125="","",VLOOKUP(D125,'G-6 Hedgerow Data'!$B$2:$AG$15,3,FALSE))</f>
        <v/>
      </c>
      <c r="H125" s="145"/>
      <c r="I125" s="499" t="str">
        <f>IFERROR(VLOOKUP(H125,'G-1 All Habitats'!$Z$2:$AA$9,2,FALSE),"")</f>
        <v/>
      </c>
      <c r="J125" s="145"/>
      <c r="K125" s="507" t="str">
        <f>IF(J125="","",IF(VLOOKUP(J125,'G-3 Multipliers'!$L$3:$N$6,2,FALSE)=0,"Spatial Data Missing",VLOOKUP(J125,'G-3 Multipliers'!$L$3:$N$6,2,FALSE)))</f>
        <v/>
      </c>
      <c r="L125" s="505" t="str">
        <f>IF(J125="","",IF(VLOOKUP(J125,'G-3 Multipliers'!$L$3:$N$6,3,FALSE)=0,"Spatial Data Missing ⚠",VLOOKUP(J125,'G-3 Multipliers'!$L$3:$N$6,3,FALSE)))</f>
        <v/>
      </c>
      <c r="M125" s="506" t="str">
        <f>IF(D125="","",VLOOKUP(D125,'G-6 Hedgerow Data'!$B$1:$AH$15,33,FALSE))</f>
        <v/>
      </c>
      <c r="N125" s="513" t="str">
        <f t="shared" si="9"/>
        <v/>
      </c>
      <c r="O125" s="40"/>
      <c r="P125" s="154"/>
      <c r="Q125" s="203"/>
      <c r="R125" s="532" t="str">
        <f t="shared" si="10"/>
        <v/>
      </c>
      <c r="S125" s="532" t="str">
        <f t="shared" si="11"/>
        <v/>
      </c>
      <c r="T125" s="532" t="str">
        <f t="shared" si="12"/>
        <v/>
      </c>
      <c r="U125" s="557" t="str">
        <f t="shared" si="13"/>
        <v/>
      </c>
      <c r="V125" s="151"/>
      <c r="W125" s="152"/>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c r="AL125" s="31" t="str">
        <f>IFERROR(INDEX('G-6 Hedgerow Data'!$BJ$3:$BJ$15,MATCH(D125,'G-6 Hedgerow Data'!$B$3:$B$15,0)),"")</f>
        <v/>
      </c>
    </row>
    <row r="126" spans="2:38" ht="13.8" x14ac:dyDescent="0.25">
      <c r="B126" s="141">
        <v>117</v>
      </c>
      <c r="C126" s="203"/>
      <c r="D126" s="203"/>
      <c r="E126" s="153"/>
      <c r="F126" s="553" t="str">
        <f>IF(D126="","",VLOOKUP(D126,'G-6 Hedgerow Data'!$B$2:$AG$15,2,FALSE))</f>
        <v/>
      </c>
      <c r="G126" s="499" t="str">
        <f>IF(D126="","",VLOOKUP(D126,'G-6 Hedgerow Data'!$B$2:$AG$15,3,FALSE))</f>
        <v/>
      </c>
      <c r="H126" s="145"/>
      <c r="I126" s="499" t="str">
        <f>IFERROR(VLOOKUP(H126,'G-1 All Habitats'!$Z$2:$AA$9,2,FALSE),"")</f>
        <v/>
      </c>
      <c r="J126" s="145"/>
      <c r="K126" s="507" t="str">
        <f>IF(J126="","",IF(VLOOKUP(J126,'G-3 Multipliers'!$L$3:$N$6,2,FALSE)=0,"Spatial Data Missing",VLOOKUP(J126,'G-3 Multipliers'!$L$3:$N$6,2,FALSE)))</f>
        <v/>
      </c>
      <c r="L126" s="505" t="str">
        <f>IF(J126="","",IF(VLOOKUP(J126,'G-3 Multipliers'!$L$3:$N$6,3,FALSE)=0,"Spatial Data Missing ⚠",VLOOKUP(J126,'G-3 Multipliers'!$L$3:$N$6,3,FALSE)))</f>
        <v/>
      </c>
      <c r="M126" s="506" t="str">
        <f>IF(D126="","",VLOOKUP(D126,'G-6 Hedgerow Data'!$B$1:$AH$15,33,FALSE))</f>
        <v/>
      </c>
      <c r="N126" s="513" t="str">
        <f t="shared" si="9"/>
        <v/>
      </c>
      <c r="O126" s="40"/>
      <c r="P126" s="154"/>
      <c r="Q126" s="203"/>
      <c r="R126" s="532" t="str">
        <f t="shared" si="10"/>
        <v/>
      </c>
      <c r="S126" s="532" t="str">
        <f t="shared" si="11"/>
        <v/>
      </c>
      <c r="T126" s="532" t="str">
        <f t="shared" si="12"/>
        <v/>
      </c>
      <c r="U126" s="557" t="str">
        <f t="shared" si="13"/>
        <v/>
      </c>
      <c r="V126" s="151"/>
      <c r="W126" s="152"/>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c r="AL126" s="31" t="str">
        <f>IFERROR(INDEX('G-6 Hedgerow Data'!$BJ$3:$BJ$15,MATCH(D126,'G-6 Hedgerow Data'!$B$3:$B$15,0)),"")</f>
        <v/>
      </c>
    </row>
    <row r="127" spans="2:38" ht="13.8" x14ac:dyDescent="0.25">
      <c r="B127" s="141">
        <v>118</v>
      </c>
      <c r="C127" s="203"/>
      <c r="D127" s="203"/>
      <c r="E127" s="153"/>
      <c r="F127" s="553" t="str">
        <f>IF(D127="","",VLOOKUP(D127,'G-6 Hedgerow Data'!$B$2:$AG$15,2,FALSE))</f>
        <v/>
      </c>
      <c r="G127" s="499" t="str">
        <f>IF(D127="","",VLOOKUP(D127,'G-6 Hedgerow Data'!$B$2:$AG$15,3,FALSE))</f>
        <v/>
      </c>
      <c r="H127" s="145"/>
      <c r="I127" s="499" t="str">
        <f>IFERROR(VLOOKUP(H127,'G-1 All Habitats'!$Z$2:$AA$9,2,FALSE),"")</f>
        <v/>
      </c>
      <c r="J127" s="145"/>
      <c r="K127" s="507" t="str">
        <f>IF(J127="","",IF(VLOOKUP(J127,'G-3 Multipliers'!$L$3:$N$6,2,FALSE)=0,"Spatial Data Missing",VLOOKUP(J127,'G-3 Multipliers'!$L$3:$N$6,2,FALSE)))</f>
        <v/>
      </c>
      <c r="L127" s="505" t="str">
        <f>IF(J127="","",IF(VLOOKUP(J127,'G-3 Multipliers'!$L$3:$N$6,3,FALSE)=0,"Spatial Data Missing ⚠",VLOOKUP(J127,'G-3 Multipliers'!$L$3:$N$6,3,FALSE)))</f>
        <v/>
      </c>
      <c r="M127" s="506" t="str">
        <f>IF(D127="","",VLOOKUP(D127,'G-6 Hedgerow Data'!$B$1:$AH$15,33,FALSE))</f>
        <v/>
      </c>
      <c r="N127" s="513" t="str">
        <f t="shared" si="9"/>
        <v/>
      </c>
      <c r="O127" s="40"/>
      <c r="P127" s="154"/>
      <c r="Q127" s="203"/>
      <c r="R127" s="532" t="str">
        <f t="shared" si="10"/>
        <v/>
      </c>
      <c r="S127" s="532" t="str">
        <f t="shared" si="11"/>
        <v/>
      </c>
      <c r="T127" s="532" t="str">
        <f t="shared" si="12"/>
        <v/>
      </c>
      <c r="U127" s="557" t="str">
        <f t="shared" si="13"/>
        <v/>
      </c>
      <c r="V127" s="151"/>
      <c r="W127" s="152"/>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c r="AL127" s="31" t="str">
        <f>IFERROR(INDEX('G-6 Hedgerow Data'!$BJ$3:$BJ$15,MATCH(D127,'G-6 Hedgerow Data'!$B$3:$B$15,0)),"")</f>
        <v/>
      </c>
    </row>
    <row r="128" spans="2:38" ht="13.8" x14ac:dyDescent="0.25">
      <c r="B128" s="141">
        <v>119</v>
      </c>
      <c r="C128" s="203"/>
      <c r="D128" s="203"/>
      <c r="E128" s="153"/>
      <c r="F128" s="553" t="str">
        <f>IF(D128="","",VLOOKUP(D128,'G-6 Hedgerow Data'!$B$2:$AG$15,2,FALSE))</f>
        <v/>
      </c>
      <c r="G128" s="499" t="str">
        <f>IF(D128="","",VLOOKUP(D128,'G-6 Hedgerow Data'!$B$2:$AG$15,3,FALSE))</f>
        <v/>
      </c>
      <c r="H128" s="145"/>
      <c r="I128" s="499" t="str">
        <f>IFERROR(VLOOKUP(H128,'G-1 All Habitats'!$Z$2:$AA$9,2,FALSE),"")</f>
        <v/>
      </c>
      <c r="J128" s="145"/>
      <c r="K128" s="507" t="str">
        <f>IF(J128="","",IF(VLOOKUP(J128,'G-3 Multipliers'!$L$3:$N$6,2,FALSE)=0,"Spatial Data Missing",VLOOKUP(J128,'G-3 Multipliers'!$L$3:$N$6,2,FALSE)))</f>
        <v/>
      </c>
      <c r="L128" s="505" t="str">
        <f>IF(J128="","",IF(VLOOKUP(J128,'G-3 Multipliers'!$L$3:$N$6,3,FALSE)=0,"Spatial Data Missing ⚠",VLOOKUP(J128,'G-3 Multipliers'!$L$3:$N$6,3,FALSE)))</f>
        <v/>
      </c>
      <c r="M128" s="506" t="str">
        <f>IF(D128="","",VLOOKUP(D128,'G-6 Hedgerow Data'!$B$1:$AH$15,33,FALSE))</f>
        <v/>
      </c>
      <c r="N128" s="513" t="str">
        <f t="shared" si="9"/>
        <v/>
      </c>
      <c r="O128" s="40"/>
      <c r="P128" s="154"/>
      <c r="Q128" s="203"/>
      <c r="R128" s="532" t="str">
        <f t="shared" si="10"/>
        <v/>
      </c>
      <c r="S128" s="532" t="str">
        <f t="shared" si="11"/>
        <v/>
      </c>
      <c r="T128" s="532" t="str">
        <f t="shared" si="12"/>
        <v/>
      </c>
      <c r="U128" s="557" t="str">
        <f t="shared" si="13"/>
        <v/>
      </c>
      <c r="V128" s="151"/>
      <c r="W128" s="152"/>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c r="AL128" s="31" t="str">
        <f>IFERROR(INDEX('G-6 Hedgerow Data'!$BJ$3:$BJ$15,MATCH(D128,'G-6 Hedgerow Data'!$B$3:$B$15,0)),"")</f>
        <v/>
      </c>
    </row>
    <row r="129" spans="2:38" ht="13.8" x14ac:dyDescent="0.25">
      <c r="B129" s="141">
        <v>120</v>
      </c>
      <c r="C129" s="203"/>
      <c r="D129" s="203"/>
      <c r="E129" s="153"/>
      <c r="F129" s="553" t="str">
        <f>IF(D129="","",VLOOKUP(D129,'G-6 Hedgerow Data'!$B$2:$AG$15,2,FALSE))</f>
        <v/>
      </c>
      <c r="G129" s="499" t="str">
        <f>IF(D129="","",VLOOKUP(D129,'G-6 Hedgerow Data'!$B$2:$AG$15,3,FALSE))</f>
        <v/>
      </c>
      <c r="H129" s="145"/>
      <c r="I129" s="499" t="str">
        <f>IFERROR(VLOOKUP(H129,'G-1 All Habitats'!$Z$2:$AA$9,2,FALSE),"")</f>
        <v/>
      </c>
      <c r="J129" s="145"/>
      <c r="K129" s="507" t="str">
        <f>IF(J129="","",IF(VLOOKUP(J129,'G-3 Multipliers'!$L$3:$N$6,2,FALSE)=0,"Spatial Data Missing",VLOOKUP(J129,'G-3 Multipliers'!$L$3:$N$6,2,FALSE)))</f>
        <v/>
      </c>
      <c r="L129" s="505" t="str">
        <f>IF(J129="","",IF(VLOOKUP(J129,'G-3 Multipliers'!$L$3:$N$6,3,FALSE)=0,"Spatial Data Missing ⚠",VLOOKUP(J129,'G-3 Multipliers'!$L$3:$N$6,3,FALSE)))</f>
        <v/>
      </c>
      <c r="M129" s="506" t="str">
        <f>IF(D129="","",VLOOKUP(D129,'G-6 Hedgerow Data'!$B$1:$AH$15,33,FALSE))</f>
        <v/>
      </c>
      <c r="N129" s="513" t="str">
        <f t="shared" si="9"/>
        <v/>
      </c>
      <c r="O129" s="40"/>
      <c r="P129" s="154"/>
      <c r="Q129" s="203"/>
      <c r="R129" s="532" t="str">
        <f t="shared" si="10"/>
        <v/>
      </c>
      <c r="S129" s="532" t="str">
        <f t="shared" si="11"/>
        <v/>
      </c>
      <c r="T129" s="532" t="str">
        <f t="shared" si="12"/>
        <v/>
      </c>
      <c r="U129" s="557" t="str">
        <f t="shared" si="13"/>
        <v/>
      </c>
      <c r="V129" s="151"/>
      <c r="W129" s="152"/>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c r="AL129" s="31" t="str">
        <f>IFERROR(INDEX('G-6 Hedgerow Data'!$BJ$3:$BJ$15,MATCH(D129,'G-6 Hedgerow Data'!$B$3:$B$15,0)),"")</f>
        <v/>
      </c>
    </row>
    <row r="130" spans="2:38" ht="13.8" x14ac:dyDescent="0.25">
      <c r="B130" s="141">
        <v>121</v>
      </c>
      <c r="C130" s="203"/>
      <c r="D130" s="203"/>
      <c r="E130" s="153"/>
      <c r="F130" s="553" t="str">
        <f>IF(D130="","",VLOOKUP(D130,'G-6 Hedgerow Data'!$B$2:$AG$15,2,FALSE))</f>
        <v/>
      </c>
      <c r="G130" s="499" t="str">
        <f>IF(D130="","",VLOOKUP(D130,'G-6 Hedgerow Data'!$B$2:$AG$15,3,FALSE))</f>
        <v/>
      </c>
      <c r="H130" s="145"/>
      <c r="I130" s="499" t="str">
        <f>IFERROR(VLOOKUP(H130,'G-1 All Habitats'!$Z$2:$AA$9,2,FALSE),"")</f>
        <v/>
      </c>
      <c r="J130" s="145"/>
      <c r="K130" s="507" t="str">
        <f>IF(J130="","",IF(VLOOKUP(J130,'G-3 Multipliers'!$L$3:$N$6,2,FALSE)=0,"Spatial Data Missing",VLOOKUP(J130,'G-3 Multipliers'!$L$3:$N$6,2,FALSE)))</f>
        <v/>
      </c>
      <c r="L130" s="505" t="str">
        <f>IF(J130="","",IF(VLOOKUP(J130,'G-3 Multipliers'!$L$3:$N$6,3,FALSE)=0,"Spatial Data Missing ⚠",VLOOKUP(J130,'G-3 Multipliers'!$L$3:$N$6,3,FALSE)))</f>
        <v/>
      </c>
      <c r="M130" s="506" t="str">
        <f>IF(D130="","",VLOOKUP(D130,'G-6 Hedgerow Data'!$B$1:$AH$15,33,FALSE))</f>
        <v/>
      </c>
      <c r="N130" s="513" t="str">
        <f t="shared" si="9"/>
        <v/>
      </c>
      <c r="O130" s="40"/>
      <c r="P130" s="154"/>
      <c r="Q130" s="203"/>
      <c r="R130" s="532" t="str">
        <f t="shared" si="10"/>
        <v/>
      </c>
      <c r="S130" s="532" t="str">
        <f t="shared" si="11"/>
        <v/>
      </c>
      <c r="T130" s="532" t="str">
        <f t="shared" si="12"/>
        <v/>
      </c>
      <c r="U130" s="557" t="str">
        <f t="shared" si="13"/>
        <v/>
      </c>
      <c r="V130" s="151"/>
      <c r="W130" s="152"/>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c r="AL130" s="31" t="str">
        <f>IFERROR(INDEX('G-6 Hedgerow Data'!$BJ$3:$BJ$15,MATCH(D130,'G-6 Hedgerow Data'!$B$3:$B$15,0)),"")</f>
        <v/>
      </c>
    </row>
    <row r="131" spans="2:38" ht="13.8" x14ac:dyDescent="0.25">
      <c r="B131" s="141">
        <v>122</v>
      </c>
      <c r="C131" s="203"/>
      <c r="D131" s="203"/>
      <c r="E131" s="153"/>
      <c r="F131" s="553" t="str">
        <f>IF(D131="","",VLOOKUP(D131,'G-6 Hedgerow Data'!$B$2:$AG$15,2,FALSE))</f>
        <v/>
      </c>
      <c r="G131" s="499" t="str">
        <f>IF(D131="","",VLOOKUP(D131,'G-6 Hedgerow Data'!$B$2:$AG$15,3,FALSE))</f>
        <v/>
      </c>
      <c r="H131" s="145"/>
      <c r="I131" s="499" t="str">
        <f>IFERROR(VLOOKUP(H131,'G-1 All Habitats'!$Z$2:$AA$9,2,FALSE),"")</f>
        <v/>
      </c>
      <c r="J131" s="145"/>
      <c r="K131" s="507" t="str">
        <f>IF(J131="","",IF(VLOOKUP(J131,'G-3 Multipliers'!$L$3:$N$6,2,FALSE)=0,"Spatial Data Missing",VLOOKUP(J131,'G-3 Multipliers'!$L$3:$N$6,2,FALSE)))</f>
        <v/>
      </c>
      <c r="L131" s="505" t="str">
        <f>IF(J131="","",IF(VLOOKUP(J131,'G-3 Multipliers'!$L$3:$N$6,3,FALSE)=0,"Spatial Data Missing ⚠",VLOOKUP(J131,'G-3 Multipliers'!$L$3:$N$6,3,FALSE)))</f>
        <v/>
      </c>
      <c r="M131" s="506" t="str">
        <f>IF(D131="","",VLOOKUP(D131,'G-6 Hedgerow Data'!$B$1:$AH$15,33,FALSE))</f>
        <v/>
      </c>
      <c r="N131" s="513" t="str">
        <f t="shared" si="9"/>
        <v/>
      </c>
      <c r="O131" s="40"/>
      <c r="P131" s="154"/>
      <c r="Q131" s="203"/>
      <c r="R131" s="532" t="str">
        <f t="shared" si="10"/>
        <v/>
      </c>
      <c r="S131" s="532" t="str">
        <f t="shared" si="11"/>
        <v/>
      </c>
      <c r="T131" s="532" t="str">
        <f t="shared" si="12"/>
        <v/>
      </c>
      <c r="U131" s="557" t="str">
        <f t="shared" si="13"/>
        <v/>
      </c>
      <c r="V131" s="151"/>
      <c r="W131" s="152"/>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c r="AL131" s="31" t="str">
        <f>IFERROR(INDEX('G-6 Hedgerow Data'!$BJ$3:$BJ$15,MATCH(D131,'G-6 Hedgerow Data'!$B$3:$B$15,0)),"")</f>
        <v/>
      </c>
    </row>
    <row r="132" spans="2:38" ht="13.8" x14ac:dyDescent="0.25">
      <c r="B132" s="141">
        <v>123</v>
      </c>
      <c r="C132" s="203"/>
      <c r="D132" s="203"/>
      <c r="E132" s="153"/>
      <c r="F132" s="553" t="str">
        <f>IF(D132="","",VLOOKUP(D132,'G-6 Hedgerow Data'!$B$2:$AG$15,2,FALSE))</f>
        <v/>
      </c>
      <c r="G132" s="499" t="str">
        <f>IF(D132="","",VLOOKUP(D132,'G-6 Hedgerow Data'!$B$2:$AG$15,3,FALSE))</f>
        <v/>
      </c>
      <c r="H132" s="145"/>
      <c r="I132" s="499" t="str">
        <f>IFERROR(VLOOKUP(H132,'G-1 All Habitats'!$Z$2:$AA$9,2,FALSE),"")</f>
        <v/>
      </c>
      <c r="J132" s="145"/>
      <c r="K132" s="507" t="str">
        <f>IF(J132="","",IF(VLOOKUP(J132,'G-3 Multipliers'!$L$3:$N$6,2,FALSE)=0,"Spatial Data Missing",VLOOKUP(J132,'G-3 Multipliers'!$L$3:$N$6,2,FALSE)))</f>
        <v/>
      </c>
      <c r="L132" s="505" t="str">
        <f>IF(J132="","",IF(VLOOKUP(J132,'G-3 Multipliers'!$L$3:$N$6,3,FALSE)=0,"Spatial Data Missing ⚠",VLOOKUP(J132,'G-3 Multipliers'!$L$3:$N$6,3,FALSE)))</f>
        <v/>
      </c>
      <c r="M132" s="506" t="str">
        <f>IF(D132="","",VLOOKUP(D132,'G-6 Hedgerow Data'!$B$1:$AH$15,33,FALSE))</f>
        <v/>
      </c>
      <c r="N132" s="513" t="str">
        <f t="shared" si="9"/>
        <v/>
      </c>
      <c r="O132" s="40"/>
      <c r="P132" s="154"/>
      <c r="Q132" s="203"/>
      <c r="R132" s="532" t="str">
        <f t="shared" si="10"/>
        <v/>
      </c>
      <c r="S132" s="532" t="str">
        <f t="shared" si="11"/>
        <v/>
      </c>
      <c r="T132" s="532" t="str">
        <f t="shared" si="12"/>
        <v/>
      </c>
      <c r="U132" s="557" t="str">
        <f t="shared" si="13"/>
        <v/>
      </c>
      <c r="V132" s="151"/>
      <c r="W132" s="152"/>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c r="AL132" s="31" t="str">
        <f>IFERROR(INDEX('G-6 Hedgerow Data'!$BJ$3:$BJ$15,MATCH(D132,'G-6 Hedgerow Data'!$B$3:$B$15,0)),"")</f>
        <v/>
      </c>
    </row>
    <row r="133" spans="2:38" ht="13.8" x14ac:dyDescent="0.25">
      <c r="B133" s="141">
        <v>124</v>
      </c>
      <c r="C133" s="203"/>
      <c r="D133" s="203"/>
      <c r="E133" s="153"/>
      <c r="F133" s="553" t="str">
        <f>IF(D133="","",VLOOKUP(D133,'G-6 Hedgerow Data'!$B$2:$AG$15,2,FALSE))</f>
        <v/>
      </c>
      <c r="G133" s="499" t="str">
        <f>IF(D133="","",VLOOKUP(D133,'G-6 Hedgerow Data'!$B$2:$AG$15,3,FALSE))</f>
        <v/>
      </c>
      <c r="H133" s="145"/>
      <c r="I133" s="499" t="str">
        <f>IFERROR(VLOOKUP(H133,'G-1 All Habitats'!$Z$2:$AA$9,2,FALSE),"")</f>
        <v/>
      </c>
      <c r="J133" s="145"/>
      <c r="K133" s="507" t="str">
        <f>IF(J133="","",IF(VLOOKUP(J133,'G-3 Multipliers'!$L$3:$N$6,2,FALSE)=0,"Spatial Data Missing",VLOOKUP(J133,'G-3 Multipliers'!$L$3:$N$6,2,FALSE)))</f>
        <v/>
      </c>
      <c r="L133" s="505" t="str">
        <f>IF(J133="","",IF(VLOOKUP(J133,'G-3 Multipliers'!$L$3:$N$6,3,FALSE)=0,"Spatial Data Missing ⚠",VLOOKUP(J133,'G-3 Multipliers'!$L$3:$N$6,3,FALSE)))</f>
        <v/>
      </c>
      <c r="M133" s="506" t="str">
        <f>IF(D133="","",VLOOKUP(D133,'G-6 Hedgerow Data'!$B$1:$AH$15,33,FALSE))</f>
        <v/>
      </c>
      <c r="N133" s="513" t="str">
        <f t="shared" si="9"/>
        <v/>
      </c>
      <c r="O133" s="40"/>
      <c r="P133" s="154"/>
      <c r="Q133" s="203"/>
      <c r="R133" s="532" t="str">
        <f t="shared" si="10"/>
        <v/>
      </c>
      <c r="S133" s="532" t="str">
        <f t="shared" si="11"/>
        <v/>
      </c>
      <c r="T133" s="532" t="str">
        <f t="shared" si="12"/>
        <v/>
      </c>
      <c r="U133" s="557" t="str">
        <f t="shared" si="13"/>
        <v/>
      </c>
      <c r="V133" s="151"/>
      <c r="W133" s="152"/>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c r="AL133" s="31" t="str">
        <f>IFERROR(INDEX('G-6 Hedgerow Data'!$BJ$3:$BJ$15,MATCH(D133,'G-6 Hedgerow Data'!$B$3:$B$15,0)),"")</f>
        <v/>
      </c>
    </row>
    <row r="134" spans="2:38" ht="13.8" x14ac:dyDescent="0.25">
      <c r="B134" s="141">
        <v>125</v>
      </c>
      <c r="C134" s="203"/>
      <c r="D134" s="203"/>
      <c r="E134" s="153"/>
      <c r="F134" s="553" t="str">
        <f>IF(D134="","",VLOOKUP(D134,'G-6 Hedgerow Data'!$B$2:$AG$15,2,FALSE))</f>
        <v/>
      </c>
      <c r="G134" s="499" t="str">
        <f>IF(D134="","",VLOOKUP(D134,'G-6 Hedgerow Data'!$B$2:$AG$15,3,FALSE))</f>
        <v/>
      </c>
      <c r="H134" s="145"/>
      <c r="I134" s="499" t="str">
        <f>IFERROR(VLOOKUP(H134,'G-1 All Habitats'!$Z$2:$AA$9,2,FALSE),"")</f>
        <v/>
      </c>
      <c r="J134" s="145"/>
      <c r="K134" s="507" t="str">
        <f>IF(J134="","",IF(VLOOKUP(J134,'G-3 Multipliers'!$L$3:$N$6,2,FALSE)=0,"Spatial Data Missing",VLOOKUP(J134,'G-3 Multipliers'!$L$3:$N$6,2,FALSE)))</f>
        <v/>
      </c>
      <c r="L134" s="505" t="str">
        <f>IF(J134="","",IF(VLOOKUP(J134,'G-3 Multipliers'!$L$3:$N$6,3,FALSE)=0,"Spatial Data Missing ⚠",VLOOKUP(J134,'G-3 Multipliers'!$L$3:$N$6,3,FALSE)))</f>
        <v/>
      </c>
      <c r="M134" s="506" t="str">
        <f>IF(D134="","",VLOOKUP(D134,'G-6 Hedgerow Data'!$B$1:$AH$15,33,FALSE))</f>
        <v/>
      </c>
      <c r="N134" s="513" t="str">
        <f t="shared" si="9"/>
        <v/>
      </c>
      <c r="O134" s="40"/>
      <c r="P134" s="154"/>
      <c r="Q134" s="203"/>
      <c r="R134" s="532" t="str">
        <f t="shared" si="10"/>
        <v/>
      </c>
      <c r="S134" s="532" t="str">
        <f t="shared" si="11"/>
        <v/>
      </c>
      <c r="T134" s="532" t="str">
        <f t="shared" si="12"/>
        <v/>
      </c>
      <c r="U134" s="557" t="str">
        <f t="shared" si="13"/>
        <v/>
      </c>
      <c r="V134" s="151"/>
      <c r="W134" s="152"/>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c r="AL134" s="31" t="str">
        <f>IFERROR(INDEX('G-6 Hedgerow Data'!$BJ$3:$BJ$15,MATCH(D134,'G-6 Hedgerow Data'!$B$3:$B$15,0)),"")</f>
        <v/>
      </c>
    </row>
    <row r="135" spans="2:38" ht="13.8" x14ac:dyDescent="0.25">
      <c r="B135" s="141">
        <v>126</v>
      </c>
      <c r="C135" s="203"/>
      <c r="D135" s="203"/>
      <c r="E135" s="153"/>
      <c r="F135" s="553" t="str">
        <f>IF(D135="","",VLOOKUP(D135,'G-6 Hedgerow Data'!$B$2:$AG$15,2,FALSE))</f>
        <v/>
      </c>
      <c r="G135" s="499" t="str">
        <f>IF(D135="","",VLOOKUP(D135,'G-6 Hedgerow Data'!$B$2:$AG$15,3,FALSE))</f>
        <v/>
      </c>
      <c r="H135" s="145"/>
      <c r="I135" s="499" t="str">
        <f>IFERROR(VLOOKUP(H135,'G-1 All Habitats'!$Z$2:$AA$9,2,FALSE),"")</f>
        <v/>
      </c>
      <c r="J135" s="145"/>
      <c r="K135" s="507" t="str">
        <f>IF(J135="","",IF(VLOOKUP(J135,'G-3 Multipliers'!$L$3:$N$6,2,FALSE)=0,"Spatial Data Missing",VLOOKUP(J135,'G-3 Multipliers'!$L$3:$N$6,2,FALSE)))</f>
        <v/>
      </c>
      <c r="L135" s="505" t="str">
        <f>IF(J135="","",IF(VLOOKUP(J135,'G-3 Multipliers'!$L$3:$N$6,3,FALSE)=0,"Spatial Data Missing ⚠",VLOOKUP(J135,'G-3 Multipliers'!$L$3:$N$6,3,FALSE)))</f>
        <v/>
      </c>
      <c r="M135" s="506" t="str">
        <f>IF(D135="","",VLOOKUP(D135,'G-6 Hedgerow Data'!$B$1:$AH$15,33,FALSE))</f>
        <v/>
      </c>
      <c r="N135" s="513" t="str">
        <f t="shared" si="9"/>
        <v/>
      </c>
      <c r="O135" s="40"/>
      <c r="P135" s="154"/>
      <c r="Q135" s="203"/>
      <c r="R135" s="532" t="str">
        <f t="shared" si="10"/>
        <v/>
      </c>
      <c r="S135" s="532" t="str">
        <f t="shared" si="11"/>
        <v/>
      </c>
      <c r="T135" s="532" t="str">
        <f t="shared" si="12"/>
        <v/>
      </c>
      <c r="U135" s="557" t="str">
        <f t="shared" si="13"/>
        <v/>
      </c>
      <c r="V135" s="151"/>
      <c r="W135" s="152"/>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c r="AL135" s="31" t="str">
        <f>IFERROR(INDEX('G-6 Hedgerow Data'!$BJ$3:$BJ$15,MATCH(D135,'G-6 Hedgerow Data'!$B$3:$B$15,0)),"")</f>
        <v/>
      </c>
    </row>
    <row r="136" spans="2:38" ht="13.8" x14ac:dyDescent="0.25">
      <c r="B136" s="141">
        <v>127</v>
      </c>
      <c r="C136" s="203"/>
      <c r="D136" s="203"/>
      <c r="E136" s="153"/>
      <c r="F136" s="553" t="str">
        <f>IF(D136="","",VLOOKUP(D136,'G-6 Hedgerow Data'!$B$2:$AG$15,2,FALSE))</f>
        <v/>
      </c>
      <c r="G136" s="499" t="str">
        <f>IF(D136="","",VLOOKUP(D136,'G-6 Hedgerow Data'!$B$2:$AG$15,3,FALSE))</f>
        <v/>
      </c>
      <c r="H136" s="145"/>
      <c r="I136" s="499" t="str">
        <f>IFERROR(VLOOKUP(H136,'G-1 All Habitats'!$Z$2:$AA$9,2,FALSE),"")</f>
        <v/>
      </c>
      <c r="J136" s="145"/>
      <c r="K136" s="507" t="str">
        <f>IF(J136="","",IF(VLOOKUP(J136,'G-3 Multipliers'!$L$3:$N$6,2,FALSE)=0,"Spatial Data Missing",VLOOKUP(J136,'G-3 Multipliers'!$L$3:$N$6,2,FALSE)))</f>
        <v/>
      </c>
      <c r="L136" s="505" t="str">
        <f>IF(J136="","",IF(VLOOKUP(J136,'G-3 Multipliers'!$L$3:$N$6,3,FALSE)=0,"Spatial Data Missing ⚠",VLOOKUP(J136,'G-3 Multipliers'!$L$3:$N$6,3,FALSE)))</f>
        <v/>
      </c>
      <c r="M136" s="506" t="str">
        <f>IF(D136="","",VLOOKUP(D136,'G-6 Hedgerow Data'!$B$1:$AH$15,33,FALSE))</f>
        <v/>
      </c>
      <c r="N136" s="513" t="str">
        <f t="shared" si="9"/>
        <v/>
      </c>
      <c r="O136" s="40"/>
      <c r="P136" s="154"/>
      <c r="Q136" s="203"/>
      <c r="R136" s="532" t="str">
        <f t="shared" si="10"/>
        <v/>
      </c>
      <c r="S136" s="532" t="str">
        <f t="shared" si="11"/>
        <v/>
      </c>
      <c r="T136" s="532" t="str">
        <f t="shared" si="12"/>
        <v/>
      </c>
      <c r="U136" s="557" t="str">
        <f t="shared" si="13"/>
        <v/>
      </c>
      <c r="V136" s="151"/>
      <c r="W136" s="152"/>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c r="AL136" s="31" t="str">
        <f>IFERROR(INDEX('G-6 Hedgerow Data'!$BJ$3:$BJ$15,MATCH(D136,'G-6 Hedgerow Data'!$B$3:$B$15,0)),"")</f>
        <v/>
      </c>
    </row>
    <row r="137" spans="2:38" ht="13.8" x14ac:dyDescent="0.25">
      <c r="B137" s="141">
        <v>128</v>
      </c>
      <c r="C137" s="203"/>
      <c r="D137" s="203"/>
      <c r="E137" s="153"/>
      <c r="F137" s="553" t="str">
        <f>IF(D137="","",VLOOKUP(D137,'G-6 Hedgerow Data'!$B$2:$AG$15,2,FALSE))</f>
        <v/>
      </c>
      <c r="G137" s="499" t="str">
        <f>IF(D137="","",VLOOKUP(D137,'G-6 Hedgerow Data'!$B$2:$AG$15,3,FALSE))</f>
        <v/>
      </c>
      <c r="H137" s="145"/>
      <c r="I137" s="499" t="str">
        <f>IFERROR(VLOOKUP(H137,'G-1 All Habitats'!$Z$2:$AA$9,2,FALSE),"")</f>
        <v/>
      </c>
      <c r="J137" s="145"/>
      <c r="K137" s="507" t="str">
        <f>IF(J137="","",IF(VLOOKUP(J137,'G-3 Multipliers'!$L$3:$N$6,2,FALSE)=0,"Spatial Data Missing",VLOOKUP(J137,'G-3 Multipliers'!$L$3:$N$6,2,FALSE)))</f>
        <v/>
      </c>
      <c r="L137" s="505" t="str">
        <f>IF(J137="","",IF(VLOOKUP(J137,'G-3 Multipliers'!$L$3:$N$6,3,FALSE)=0,"Spatial Data Missing ⚠",VLOOKUP(J137,'G-3 Multipliers'!$L$3:$N$6,3,FALSE)))</f>
        <v/>
      </c>
      <c r="M137" s="506" t="str">
        <f>IF(D137="","",VLOOKUP(D137,'G-6 Hedgerow Data'!$B$1:$AH$15,33,FALSE))</f>
        <v/>
      </c>
      <c r="N137" s="513" t="str">
        <f t="shared" si="9"/>
        <v/>
      </c>
      <c r="O137" s="40"/>
      <c r="P137" s="154"/>
      <c r="Q137" s="203"/>
      <c r="R137" s="532" t="str">
        <f t="shared" si="10"/>
        <v/>
      </c>
      <c r="S137" s="532" t="str">
        <f t="shared" si="11"/>
        <v/>
      </c>
      <c r="T137" s="532" t="str">
        <f t="shared" si="12"/>
        <v/>
      </c>
      <c r="U137" s="557" t="str">
        <f t="shared" si="13"/>
        <v/>
      </c>
      <c r="V137" s="151"/>
      <c r="W137" s="152"/>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c r="AL137" s="31" t="str">
        <f>IFERROR(INDEX('G-6 Hedgerow Data'!$BJ$3:$BJ$15,MATCH(D137,'G-6 Hedgerow Data'!$B$3:$B$15,0)),"")</f>
        <v/>
      </c>
    </row>
    <row r="138" spans="2:38" ht="13.8" x14ac:dyDescent="0.25">
      <c r="B138" s="141">
        <v>129</v>
      </c>
      <c r="C138" s="203"/>
      <c r="D138" s="203"/>
      <c r="E138" s="153"/>
      <c r="F138" s="553" t="str">
        <f>IF(D138="","",VLOOKUP(D138,'G-6 Hedgerow Data'!$B$2:$AG$15,2,FALSE))</f>
        <v/>
      </c>
      <c r="G138" s="499" t="str">
        <f>IF(D138="","",VLOOKUP(D138,'G-6 Hedgerow Data'!$B$2:$AG$15,3,FALSE))</f>
        <v/>
      </c>
      <c r="H138" s="145"/>
      <c r="I138" s="499" t="str">
        <f>IFERROR(VLOOKUP(H138,'G-1 All Habitats'!$Z$2:$AA$9,2,FALSE),"")</f>
        <v/>
      </c>
      <c r="J138" s="145"/>
      <c r="K138" s="507" t="str">
        <f>IF(J138="","",IF(VLOOKUP(J138,'G-3 Multipliers'!$L$3:$N$6,2,FALSE)=0,"Spatial Data Missing",VLOOKUP(J138,'G-3 Multipliers'!$L$3:$N$6,2,FALSE)))</f>
        <v/>
      </c>
      <c r="L138" s="505" t="str">
        <f>IF(J138="","",IF(VLOOKUP(J138,'G-3 Multipliers'!$L$3:$N$6,3,FALSE)=0,"Spatial Data Missing ⚠",VLOOKUP(J138,'G-3 Multipliers'!$L$3:$N$6,3,FALSE)))</f>
        <v/>
      </c>
      <c r="M138" s="506" t="str">
        <f>IF(D138="","",VLOOKUP(D138,'G-6 Hedgerow Data'!$B$1:$AH$15,33,FALSE))</f>
        <v/>
      </c>
      <c r="N138" s="513" t="str">
        <f t="shared" si="9"/>
        <v/>
      </c>
      <c r="O138" s="40"/>
      <c r="P138" s="154"/>
      <c r="Q138" s="203"/>
      <c r="R138" s="532" t="str">
        <f t="shared" si="10"/>
        <v/>
      </c>
      <c r="S138" s="532" t="str">
        <f t="shared" si="11"/>
        <v/>
      </c>
      <c r="T138" s="532" t="str">
        <f t="shared" si="12"/>
        <v/>
      </c>
      <c r="U138" s="557" t="str">
        <f t="shared" si="13"/>
        <v/>
      </c>
      <c r="V138" s="151"/>
      <c r="W138" s="152"/>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c r="AL138" s="31" t="str">
        <f>IFERROR(INDEX('G-6 Hedgerow Data'!$BJ$3:$BJ$15,MATCH(D138,'G-6 Hedgerow Data'!$B$3:$B$15,0)),"")</f>
        <v/>
      </c>
    </row>
    <row r="139" spans="2:38" ht="13.8" x14ac:dyDescent="0.25">
      <c r="B139" s="141">
        <v>130</v>
      </c>
      <c r="C139" s="203"/>
      <c r="D139" s="203"/>
      <c r="E139" s="153"/>
      <c r="F139" s="553" t="str">
        <f>IF(D139="","",VLOOKUP(D139,'G-6 Hedgerow Data'!$B$2:$AG$15,2,FALSE))</f>
        <v/>
      </c>
      <c r="G139" s="499" t="str">
        <f>IF(D139="","",VLOOKUP(D139,'G-6 Hedgerow Data'!$B$2:$AG$15,3,FALSE))</f>
        <v/>
      </c>
      <c r="H139" s="145"/>
      <c r="I139" s="499" t="str">
        <f>IFERROR(VLOOKUP(H139,'G-1 All Habitats'!$Z$2:$AA$9,2,FALSE),"")</f>
        <v/>
      </c>
      <c r="J139" s="145"/>
      <c r="K139" s="507" t="str">
        <f>IF(J139="","",IF(VLOOKUP(J139,'G-3 Multipliers'!$L$3:$N$6,2,FALSE)=0,"Spatial Data Missing",VLOOKUP(J139,'G-3 Multipliers'!$L$3:$N$6,2,FALSE)))</f>
        <v/>
      </c>
      <c r="L139" s="505" t="str">
        <f>IF(J139="","",IF(VLOOKUP(J139,'G-3 Multipliers'!$L$3:$N$6,3,FALSE)=0,"Spatial Data Missing ⚠",VLOOKUP(J139,'G-3 Multipliers'!$L$3:$N$6,3,FALSE)))</f>
        <v/>
      </c>
      <c r="M139" s="506" t="str">
        <f>IF(D139="","",VLOOKUP(D139,'G-6 Hedgerow Data'!$B$1:$AH$15,33,FALSE))</f>
        <v/>
      </c>
      <c r="N139" s="513" t="str">
        <f t="shared" ref="N139:N202" si="16">IFERROR(E139*G139*I139*L139,"")</f>
        <v/>
      </c>
      <c r="O139" s="40"/>
      <c r="P139" s="154"/>
      <c r="Q139" s="203"/>
      <c r="R139" s="532" t="str">
        <f t="shared" ref="R139:R202" si="17">IFERROR(P139*G139*I139*L139,"")</f>
        <v/>
      </c>
      <c r="S139" s="532" t="str">
        <f t="shared" ref="S139:S202" si="18">IFERROR(Q139*G139*I139*L139,"")</f>
        <v/>
      </c>
      <c r="T139" s="532" t="str">
        <f t="shared" ref="T139:T202" si="19">IF(D139="","",IF(E139-P139-Q139=0&lt;0,"Error in lengths ▲",IF(P139+Q139&gt;E139,"Error in Lengths ▲",E139-P139-Q139)))</f>
        <v/>
      </c>
      <c r="U139" s="557" t="str">
        <f t="shared" si="13"/>
        <v/>
      </c>
      <c r="V139" s="151"/>
      <c r="W139" s="152"/>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c r="AL139" s="31" t="str">
        <f>IFERROR(INDEX('G-6 Hedgerow Data'!$BJ$3:$BJ$15,MATCH(D139,'G-6 Hedgerow Data'!$B$3:$B$15,0)),"")</f>
        <v/>
      </c>
    </row>
    <row r="140" spans="2:38" ht="13.8" x14ac:dyDescent="0.25">
      <c r="B140" s="141">
        <v>131</v>
      </c>
      <c r="C140" s="203"/>
      <c r="D140" s="203"/>
      <c r="E140" s="153"/>
      <c r="F140" s="553" t="str">
        <f>IF(D140="","",VLOOKUP(D140,'G-6 Hedgerow Data'!$B$2:$AG$15,2,FALSE))</f>
        <v/>
      </c>
      <c r="G140" s="499" t="str">
        <f>IF(D140="","",VLOOKUP(D140,'G-6 Hedgerow Data'!$B$2:$AG$15,3,FALSE))</f>
        <v/>
      </c>
      <c r="H140" s="145"/>
      <c r="I140" s="499" t="str">
        <f>IFERROR(VLOOKUP(H140,'G-1 All Habitats'!$Z$2:$AA$9,2,FALSE),"")</f>
        <v/>
      </c>
      <c r="J140" s="145"/>
      <c r="K140" s="507" t="str">
        <f>IF(J140="","",IF(VLOOKUP(J140,'G-3 Multipliers'!$L$3:$N$6,2,FALSE)=0,"Spatial Data Missing",VLOOKUP(J140,'G-3 Multipliers'!$L$3:$N$6,2,FALSE)))</f>
        <v/>
      </c>
      <c r="L140" s="505" t="str">
        <f>IF(J140="","",IF(VLOOKUP(J140,'G-3 Multipliers'!$L$3:$N$6,3,FALSE)=0,"Spatial Data Missing ⚠",VLOOKUP(J140,'G-3 Multipliers'!$L$3:$N$6,3,FALSE)))</f>
        <v/>
      </c>
      <c r="M140" s="506" t="str">
        <f>IF(D140="","",VLOOKUP(D140,'G-6 Hedgerow Data'!$B$1:$AH$15,33,FALSE))</f>
        <v/>
      </c>
      <c r="N140" s="513" t="str">
        <f t="shared" si="16"/>
        <v/>
      </c>
      <c r="O140" s="40"/>
      <c r="P140" s="154"/>
      <c r="Q140" s="203"/>
      <c r="R140" s="532" t="str">
        <f t="shared" si="17"/>
        <v/>
      </c>
      <c r="S140" s="532" t="str">
        <f t="shared" si="18"/>
        <v/>
      </c>
      <c r="T140" s="532" t="str">
        <f t="shared" si="19"/>
        <v/>
      </c>
      <c r="U140" s="557" t="str">
        <f t="shared" ref="U140:U203" si="20">IF(OR(E140="",N140=""),"",IF(E140-P140-Q140=0&lt;0,"Error in Lengths ▲",IF(P140+Q140&gt;E140,"Error in Lengths ▲",N140-R140-S140)))</f>
        <v/>
      </c>
      <c r="V140" s="151"/>
      <c r="W140" s="152"/>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c r="AL140" s="31" t="str">
        <f>IFERROR(INDEX('G-6 Hedgerow Data'!$BJ$3:$BJ$15,MATCH(D140,'G-6 Hedgerow Data'!$B$3:$B$15,0)),"")</f>
        <v/>
      </c>
    </row>
    <row r="141" spans="2:38" ht="13.8" x14ac:dyDescent="0.25">
      <c r="B141" s="141">
        <v>132</v>
      </c>
      <c r="C141" s="203"/>
      <c r="D141" s="203"/>
      <c r="E141" s="153"/>
      <c r="F141" s="553" t="str">
        <f>IF(D141="","",VLOOKUP(D141,'G-6 Hedgerow Data'!$B$2:$AG$15,2,FALSE))</f>
        <v/>
      </c>
      <c r="G141" s="499" t="str">
        <f>IF(D141="","",VLOOKUP(D141,'G-6 Hedgerow Data'!$B$2:$AG$15,3,FALSE))</f>
        <v/>
      </c>
      <c r="H141" s="145"/>
      <c r="I141" s="499" t="str">
        <f>IFERROR(VLOOKUP(H141,'G-1 All Habitats'!$Z$2:$AA$9,2,FALSE),"")</f>
        <v/>
      </c>
      <c r="J141" s="145"/>
      <c r="K141" s="507" t="str">
        <f>IF(J141="","",IF(VLOOKUP(J141,'G-3 Multipliers'!$L$3:$N$6,2,FALSE)=0,"Spatial Data Missing",VLOOKUP(J141,'G-3 Multipliers'!$L$3:$N$6,2,FALSE)))</f>
        <v/>
      </c>
      <c r="L141" s="505" t="str">
        <f>IF(J141="","",IF(VLOOKUP(J141,'G-3 Multipliers'!$L$3:$N$6,3,FALSE)=0,"Spatial Data Missing ⚠",VLOOKUP(J141,'G-3 Multipliers'!$L$3:$N$6,3,FALSE)))</f>
        <v/>
      </c>
      <c r="M141" s="506" t="str">
        <f>IF(D141="","",VLOOKUP(D141,'G-6 Hedgerow Data'!$B$1:$AH$15,33,FALSE))</f>
        <v/>
      </c>
      <c r="N141" s="513" t="str">
        <f t="shared" si="16"/>
        <v/>
      </c>
      <c r="O141" s="40"/>
      <c r="P141" s="154"/>
      <c r="Q141" s="203"/>
      <c r="R141" s="532" t="str">
        <f t="shared" si="17"/>
        <v/>
      </c>
      <c r="S141" s="532" t="str">
        <f t="shared" si="18"/>
        <v/>
      </c>
      <c r="T141" s="532" t="str">
        <f t="shared" si="19"/>
        <v/>
      </c>
      <c r="U141" s="557" t="str">
        <f t="shared" si="20"/>
        <v/>
      </c>
      <c r="V141" s="151"/>
      <c r="W141" s="152"/>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c r="AL141" s="31" t="str">
        <f>IFERROR(INDEX('G-6 Hedgerow Data'!$BJ$3:$BJ$15,MATCH(D141,'G-6 Hedgerow Data'!$B$3:$B$15,0)),"")</f>
        <v/>
      </c>
    </row>
    <row r="142" spans="2:38" ht="13.8" x14ac:dyDescent="0.25">
      <c r="B142" s="141">
        <v>133</v>
      </c>
      <c r="C142" s="203"/>
      <c r="D142" s="203"/>
      <c r="E142" s="153"/>
      <c r="F142" s="553" t="str">
        <f>IF(D142="","",VLOOKUP(D142,'G-6 Hedgerow Data'!$B$2:$AG$15,2,FALSE))</f>
        <v/>
      </c>
      <c r="G142" s="499" t="str">
        <f>IF(D142="","",VLOOKUP(D142,'G-6 Hedgerow Data'!$B$2:$AG$15,3,FALSE))</f>
        <v/>
      </c>
      <c r="H142" s="145"/>
      <c r="I142" s="499" t="str">
        <f>IFERROR(VLOOKUP(H142,'G-1 All Habitats'!$Z$2:$AA$9,2,FALSE),"")</f>
        <v/>
      </c>
      <c r="J142" s="145"/>
      <c r="K142" s="507" t="str">
        <f>IF(J142="","",IF(VLOOKUP(J142,'G-3 Multipliers'!$L$3:$N$6,2,FALSE)=0,"Spatial Data Missing",VLOOKUP(J142,'G-3 Multipliers'!$L$3:$N$6,2,FALSE)))</f>
        <v/>
      </c>
      <c r="L142" s="505" t="str">
        <f>IF(J142="","",IF(VLOOKUP(J142,'G-3 Multipliers'!$L$3:$N$6,3,FALSE)=0,"Spatial Data Missing ⚠",VLOOKUP(J142,'G-3 Multipliers'!$L$3:$N$6,3,FALSE)))</f>
        <v/>
      </c>
      <c r="M142" s="506" t="str">
        <f>IF(D142="","",VLOOKUP(D142,'G-6 Hedgerow Data'!$B$1:$AH$15,33,FALSE))</f>
        <v/>
      </c>
      <c r="N142" s="513" t="str">
        <f t="shared" si="16"/>
        <v/>
      </c>
      <c r="O142" s="40"/>
      <c r="P142" s="154"/>
      <c r="Q142" s="203"/>
      <c r="R142" s="532" t="str">
        <f t="shared" si="17"/>
        <v/>
      </c>
      <c r="S142" s="532" t="str">
        <f t="shared" si="18"/>
        <v/>
      </c>
      <c r="T142" s="532" t="str">
        <f t="shared" si="19"/>
        <v/>
      </c>
      <c r="U142" s="557" t="str">
        <f t="shared" si="20"/>
        <v/>
      </c>
      <c r="V142" s="151"/>
      <c r="W142" s="152"/>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c r="AL142" s="31" t="str">
        <f>IFERROR(INDEX('G-6 Hedgerow Data'!$BJ$3:$BJ$15,MATCH(D142,'G-6 Hedgerow Data'!$B$3:$B$15,0)),"")</f>
        <v/>
      </c>
    </row>
    <row r="143" spans="2:38" ht="13.8" x14ac:dyDescent="0.25">
      <c r="B143" s="141">
        <v>134</v>
      </c>
      <c r="C143" s="203"/>
      <c r="D143" s="203"/>
      <c r="E143" s="153"/>
      <c r="F143" s="553" t="str">
        <f>IF(D143="","",VLOOKUP(D143,'G-6 Hedgerow Data'!$B$2:$AG$15,2,FALSE))</f>
        <v/>
      </c>
      <c r="G143" s="499" t="str">
        <f>IF(D143="","",VLOOKUP(D143,'G-6 Hedgerow Data'!$B$2:$AG$15,3,FALSE))</f>
        <v/>
      </c>
      <c r="H143" s="145"/>
      <c r="I143" s="499" t="str">
        <f>IFERROR(VLOOKUP(H143,'G-1 All Habitats'!$Z$2:$AA$9,2,FALSE),"")</f>
        <v/>
      </c>
      <c r="J143" s="145"/>
      <c r="K143" s="507" t="str">
        <f>IF(J143="","",IF(VLOOKUP(J143,'G-3 Multipliers'!$L$3:$N$6,2,FALSE)=0,"Spatial Data Missing",VLOOKUP(J143,'G-3 Multipliers'!$L$3:$N$6,2,FALSE)))</f>
        <v/>
      </c>
      <c r="L143" s="505" t="str">
        <f>IF(J143="","",IF(VLOOKUP(J143,'G-3 Multipliers'!$L$3:$N$6,3,FALSE)=0,"Spatial Data Missing ⚠",VLOOKUP(J143,'G-3 Multipliers'!$L$3:$N$6,3,FALSE)))</f>
        <v/>
      </c>
      <c r="M143" s="506" t="str">
        <f>IF(D143="","",VLOOKUP(D143,'G-6 Hedgerow Data'!$B$1:$AH$15,33,FALSE))</f>
        <v/>
      </c>
      <c r="N143" s="513" t="str">
        <f t="shared" si="16"/>
        <v/>
      </c>
      <c r="O143" s="40"/>
      <c r="P143" s="154"/>
      <c r="Q143" s="203"/>
      <c r="R143" s="532" t="str">
        <f t="shared" si="17"/>
        <v/>
      </c>
      <c r="S143" s="532" t="str">
        <f t="shared" si="18"/>
        <v/>
      </c>
      <c r="T143" s="532" t="str">
        <f t="shared" si="19"/>
        <v/>
      </c>
      <c r="U143" s="557" t="str">
        <f t="shared" si="20"/>
        <v/>
      </c>
      <c r="V143" s="151"/>
      <c r="W143" s="152"/>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c r="AL143" s="31" t="str">
        <f>IFERROR(INDEX('G-6 Hedgerow Data'!$BJ$3:$BJ$15,MATCH(D143,'G-6 Hedgerow Data'!$B$3:$B$15,0)),"")</f>
        <v/>
      </c>
    </row>
    <row r="144" spans="2:38" ht="13.8" x14ac:dyDescent="0.25">
      <c r="B144" s="141">
        <v>135</v>
      </c>
      <c r="C144" s="203"/>
      <c r="D144" s="203"/>
      <c r="E144" s="153"/>
      <c r="F144" s="553" t="str">
        <f>IF(D144="","",VLOOKUP(D144,'G-6 Hedgerow Data'!$B$2:$AG$15,2,FALSE))</f>
        <v/>
      </c>
      <c r="G144" s="499" t="str">
        <f>IF(D144="","",VLOOKUP(D144,'G-6 Hedgerow Data'!$B$2:$AG$15,3,FALSE))</f>
        <v/>
      </c>
      <c r="H144" s="145"/>
      <c r="I144" s="499" t="str">
        <f>IFERROR(VLOOKUP(H144,'G-1 All Habitats'!$Z$2:$AA$9,2,FALSE),"")</f>
        <v/>
      </c>
      <c r="J144" s="145"/>
      <c r="K144" s="507" t="str">
        <f>IF(J144="","",IF(VLOOKUP(J144,'G-3 Multipliers'!$L$3:$N$6,2,FALSE)=0,"Spatial Data Missing",VLOOKUP(J144,'G-3 Multipliers'!$L$3:$N$6,2,FALSE)))</f>
        <v/>
      </c>
      <c r="L144" s="505" t="str">
        <f>IF(J144="","",IF(VLOOKUP(J144,'G-3 Multipliers'!$L$3:$N$6,3,FALSE)=0,"Spatial Data Missing ⚠",VLOOKUP(J144,'G-3 Multipliers'!$L$3:$N$6,3,FALSE)))</f>
        <v/>
      </c>
      <c r="M144" s="506" t="str">
        <f>IF(D144="","",VLOOKUP(D144,'G-6 Hedgerow Data'!$B$1:$AH$15,33,FALSE))</f>
        <v/>
      </c>
      <c r="N144" s="513" t="str">
        <f t="shared" si="16"/>
        <v/>
      </c>
      <c r="O144" s="40"/>
      <c r="P144" s="154"/>
      <c r="Q144" s="203"/>
      <c r="R144" s="532" t="str">
        <f t="shared" si="17"/>
        <v/>
      </c>
      <c r="S144" s="532" t="str">
        <f t="shared" si="18"/>
        <v/>
      </c>
      <c r="T144" s="532" t="str">
        <f t="shared" si="19"/>
        <v/>
      </c>
      <c r="U144" s="557" t="str">
        <f t="shared" si="20"/>
        <v/>
      </c>
      <c r="V144" s="151"/>
      <c r="W144" s="152"/>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c r="AL144" s="31" t="str">
        <f>IFERROR(INDEX('G-6 Hedgerow Data'!$BJ$3:$BJ$15,MATCH(D144,'G-6 Hedgerow Data'!$B$3:$B$15,0)),"")</f>
        <v/>
      </c>
    </row>
    <row r="145" spans="2:38" ht="13.8" x14ac:dyDescent="0.25">
      <c r="B145" s="141">
        <v>136</v>
      </c>
      <c r="C145" s="203"/>
      <c r="D145" s="203"/>
      <c r="E145" s="153"/>
      <c r="F145" s="553" t="str">
        <f>IF(D145="","",VLOOKUP(D145,'G-6 Hedgerow Data'!$B$2:$AG$15,2,FALSE))</f>
        <v/>
      </c>
      <c r="G145" s="499" t="str">
        <f>IF(D145="","",VLOOKUP(D145,'G-6 Hedgerow Data'!$B$2:$AG$15,3,FALSE))</f>
        <v/>
      </c>
      <c r="H145" s="145"/>
      <c r="I145" s="499" t="str">
        <f>IFERROR(VLOOKUP(H145,'G-1 All Habitats'!$Z$2:$AA$9,2,FALSE),"")</f>
        <v/>
      </c>
      <c r="J145" s="145"/>
      <c r="K145" s="507" t="str">
        <f>IF(J145="","",IF(VLOOKUP(J145,'G-3 Multipliers'!$L$3:$N$6,2,FALSE)=0,"Spatial Data Missing",VLOOKUP(J145,'G-3 Multipliers'!$L$3:$N$6,2,FALSE)))</f>
        <v/>
      </c>
      <c r="L145" s="505" t="str">
        <f>IF(J145="","",IF(VLOOKUP(J145,'G-3 Multipliers'!$L$3:$N$6,3,FALSE)=0,"Spatial Data Missing ⚠",VLOOKUP(J145,'G-3 Multipliers'!$L$3:$N$6,3,FALSE)))</f>
        <v/>
      </c>
      <c r="M145" s="506" t="str">
        <f>IF(D145="","",VLOOKUP(D145,'G-6 Hedgerow Data'!$B$1:$AH$15,33,FALSE))</f>
        <v/>
      </c>
      <c r="N145" s="513" t="str">
        <f t="shared" si="16"/>
        <v/>
      </c>
      <c r="O145" s="40"/>
      <c r="P145" s="154"/>
      <c r="Q145" s="203"/>
      <c r="R145" s="532" t="str">
        <f t="shared" si="17"/>
        <v/>
      </c>
      <c r="S145" s="532" t="str">
        <f t="shared" si="18"/>
        <v/>
      </c>
      <c r="T145" s="532" t="str">
        <f t="shared" si="19"/>
        <v/>
      </c>
      <c r="U145" s="557" t="str">
        <f t="shared" si="20"/>
        <v/>
      </c>
      <c r="V145" s="151"/>
      <c r="W145" s="152"/>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c r="AL145" s="31" t="str">
        <f>IFERROR(INDEX('G-6 Hedgerow Data'!$BJ$3:$BJ$15,MATCH(D145,'G-6 Hedgerow Data'!$B$3:$B$15,0)),"")</f>
        <v/>
      </c>
    </row>
    <row r="146" spans="2:38" ht="13.8" x14ac:dyDescent="0.25">
      <c r="B146" s="141">
        <v>137</v>
      </c>
      <c r="C146" s="203"/>
      <c r="D146" s="203"/>
      <c r="E146" s="153"/>
      <c r="F146" s="553" t="str">
        <f>IF(D146="","",VLOOKUP(D146,'G-6 Hedgerow Data'!$B$2:$AG$15,2,FALSE))</f>
        <v/>
      </c>
      <c r="G146" s="499" t="str">
        <f>IF(D146="","",VLOOKUP(D146,'G-6 Hedgerow Data'!$B$2:$AG$15,3,FALSE))</f>
        <v/>
      </c>
      <c r="H146" s="145"/>
      <c r="I146" s="499" t="str">
        <f>IFERROR(VLOOKUP(H146,'G-1 All Habitats'!$Z$2:$AA$9,2,FALSE),"")</f>
        <v/>
      </c>
      <c r="J146" s="145"/>
      <c r="K146" s="507" t="str">
        <f>IF(J146="","",IF(VLOOKUP(J146,'G-3 Multipliers'!$L$3:$N$6,2,FALSE)=0,"Spatial Data Missing",VLOOKUP(J146,'G-3 Multipliers'!$L$3:$N$6,2,FALSE)))</f>
        <v/>
      </c>
      <c r="L146" s="505" t="str">
        <f>IF(J146="","",IF(VLOOKUP(J146,'G-3 Multipliers'!$L$3:$N$6,3,FALSE)=0,"Spatial Data Missing ⚠",VLOOKUP(J146,'G-3 Multipliers'!$L$3:$N$6,3,FALSE)))</f>
        <v/>
      </c>
      <c r="M146" s="506" t="str">
        <f>IF(D146="","",VLOOKUP(D146,'G-6 Hedgerow Data'!$B$1:$AH$15,33,FALSE))</f>
        <v/>
      </c>
      <c r="N146" s="513" t="str">
        <f t="shared" si="16"/>
        <v/>
      </c>
      <c r="O146" s="40"/>
      <c r="P146" s="154"/>
      <c r="Q146" s="203"/>
      <c r="R146" s="532" t="str">
        <f t="shared" si="17"/>
        <v/>
      </c>
      <c r="S146" s="532" t="str">
        <f t="shared" si="18"/>
        <v/>
      </c>
      <c r="T146" s="532" t="str">
        <f t="shared" si="19"/>
        <v/>
      </c>
      <c r="U146" s="557" t="str">
        <f t="shared" si="20"/>
        <v/>
      </c>
      <c r="V146" s="151"/>
      <c r="W146" s="152"/>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c r="AL146" s="31" t="str">
        <f>IFERROR(INDEX('G-6 Hedgerow Data'!$BJ$3:$BJ$15,MATCH(D146,'G-6 Hedgerow Data'!$B$3:$B$15,0)),"")</f>
        <v/>
      </c>
    </row>
    <row r="147" spans="2:38" ht="13.8" x14ac:dyDescent="0.25">
      <c r="B147" s="141">
        <v>138</v>
      </c>
      <c r="C147" s="203"/>
      <c r="D147" s="203"/>
      <c r="E147" s="153"/>
      <c r="F147" s="553" t="str">
        <f>IF(D147="","",VLOOKUP(D147,'G-6 Hedgerow Data'!$B$2:$AG$15,2,FALSE))</f>
        <v/>
      </c>
      <c r="G147" s="499" t="str">
        <f>IF(D147="","",VLOOKUP(D147,'G-6 Hedgerow Data'!$B$2:$AG$15,3,FALSE))</f>
        <v/>
      </c>
      <c r="H147" s="145"/>
      <c r="I147" s="499" t="str">
        <f>IFERROR(VLOOKUP(H147,'G-1 All Habitats'!$Z$2:$AA$9,2,FALSE),"")</f>
        <v/>
      </c>
      <c r="J147" s="145"/>
      <c r="K147" s="507" t="str">
        <f>IF(J147="","",IF(VLOOKUP(J147,'G-3 Multipliers'!$L$3:$N$6,2,FALSE)=0,"Spatial Data Missing",VLOOKUP(J147,'G-3 Multipliers'!$L$3:$N$6,2,FALSE)))</f>
        <v/>
      </c>
      <c r="L147" s="505" t="str">
        <f>IF(J147="","",IF(VLOOKUP(J147,'G-3 Multipliers'!$L$3:$N$6,3,FALSE)=0,"Spatial Data Missing ⚠",VLOOKUP(J147,'G-3 Multipliers'!$L$3:$N$6,3,FALSE)))</f>
        <v/>
      </c>
      <c r="M147" s="506" t="str">
        <f>IF(D147="","",VLOOKUP(D147,'G-6 Hedgerow Data'!$B$1:$AH$15,33,FALSE))</f>
        <v/>
      </c>
      <c r="N147" s="513" t="str">
        <f t="shared" si="16"/>
        <v/>
      </c>
      <c r="O147" s="40"/>
      <c r="P147" s="154"/>
      <c r="Q147" s="203"/>
      <c r="R147" s="532" t="str">
        <f t="shared" si="17"/>
        <v/>
      </c>
      <c r="S147" s="532" t="str">
        <f t="shared" si="18"/>
        <v/>
      </c>
      <c r="T147" s="532" t="str">
        <f t="shared" si="19"/>
        <v/>
      </c>
      <c r="U147" s="557" t="str">
        <f t="shared" si="20"/>
        <v/>
      </c>
      <c r="V147" s="151"/>
      <c r="W147" s="152"/>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c r="AL147" s="31" t="str">
        <f>IFERROR(INDEX('G-6 Hedgerow Data'!$BJ$3:$BJ$15,MATCH(D147,'G-6 Hedgerow Data'!$B$3:$B$15,0)),"")</f>
        <v/>
      </c>
    </row>
    <row r="148" spans="2:38" ht="13.8" x14ac:dyDescent="0.25">
      <c r="B148" s="141">
        <v>139</v>
      </c>
      <c r="C148" s="203"/>
      <c r="D148" s="203"/>
      <c r="E148" s="153"/>
      <c r="F148" s="553" t="str">
        <f>IF(D148="","",VLOOKUP(D148,'G-6 Hedgerow Data'!$B$2:$AG$15,2,FALSE))</f>
        <v/>
      </c>
      <c r="G148" s="499" t="str">
        <f>IF(D148="","",VLOOKUP(D148,'G-6 Hedgerow Data'!$B$2:$AG$15,3,FALSE))</f>
        <v/>
      </c>
      <c r="H148" s="145"/>
      <c r="I148" s="499" t="str">
        <f>IFERROR(VLOOKUP(H148,'G-1 All Habitats'!$Z$2:$AA$9,2,FALSE),"")</f>
        <v/>
      </c>
      <c r="J148" s="145"/>
      <c r="K148" s="507" t="str">
        <f>IF(J148="","",IF(VLOOKUP(J148,'G-3 Multipliers'!$L$3:$N$6,2,FALSE)=0,"Spatial Data Missing",VLOOKUP(J148,'G-3 Multipliers'!$L$3:$N$6,2,FALSE)))</f>
        <v/>
      </c>
      <c r="L148" s="505" t="str">
        <f>IF(J148="","",IF(VLOOKUP(J148,'G-3 Multipliers'!$L$3:$N$6,3,FALSE)=0,"Spatial Data Missing ⚠",VLOOKUP(J148,'G-3 Multipliers'!$L$3:$N$6,3,FALSE)))</f>
        <v/>
      </c>
      <c r="M148" s="506" t="str">
        <f>IF(D148="","",VLOOKUP(D148,'G-6 Hedgerow Data'!$B$1:$AH$15,33,FALSE))</f>
        <v/>
      </c>
      <c r="N148" s="513" t="str">
        <f t="shared" si="16"/>
        <v/>
      </c>
      <c r="O148" s="40"/>
      <c r="P148" s="154"/>
      <c r="Q148" s="203"/>
      <c r="R148" s="532" t="str">
        <f t="shared" si="17"/>
        <v/>
      </c>
      <c r="S148" s="532" t="str">
        <f t="shared" si="18"/>
        <v/>
      </c>
      <c r="T148" s="532" t="str">
        <f t="shared" si="19"/>
        <v/>
      </c>
      <c r="U148" s="557" t="str">
        <f t="shared" si="20"/>
        <v/>
      </c>
      <c r="V148" s="151"/>
      <c r="W148" s="152"/>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c r="AL148" s="31" t="str">
        <f>IFERROR(INDEX('G-6 Hedgerow Data'!$BJ$3:$BJ$15,MATCH(D148,'G-6 Hedgerow Data'!$B$3:$B$15,0)),"")</f>
        <v/>
      </c>
    </row>
    <row r="149" spans="2:38" ht="13.8" x14ac:dyDescent="0.25">
      <c r="B149" s="141">
        <v>140</v>
      </c>
      <c r="C149" s="203"/>
      <c r="D149" s="203"/>
      <c r="E149" s="153"/>
      <c r="F149" s="553" t="str">
        <f>IF(D149="","",VLOOKUP(D149,'G-6 Hedgerow Data'!$B$2:$AG$15,2,FALSE))</f>
        <v/>
      </c>
      <c r="G149" s="499" t="str">
        <f>IF(D149="","",VLOOKUP(D149,'G-6 Hedgerow Data'!$B$2:$AG$15,3,FALSE))</f>
        <v/>
      </c>
      <c r="H149" s="145"/>
      <c r="I149" s="499" t="str">
        <f>IFERROR(VLOOKUP(H149,'G-1 All Habitats'!$Z$2:$AA$9,2,FALSE),"")</f>
        <v/>
      </c>
      <c r="J149" s="145"/>
      <c r="K149" s="507" t="str">
        <f>IF(J149="","",IF(VLOOKUP(J149,'G-3 Multipliers'!$L$3:$N$6,2,FALSE)=0,"Spatial Data Missing",VLOOKUP(J149,'G-3 Multipliers'!$L$3:$N$6,2,FALSE)))</f>
        <v/>
      </c>
      <c r="L149" s="505" t="str">
        <f>IF(J149="","",IF(VLOOKUP(J149,'G-3 Multipliers'!$L$3:$N$6,3,FALSE)=0,"Spatial Data Missing ⚠",VLOOKUP(J149,'G-3 Multipliers'!$L$3:$N$6,3,FALSE)))</f>
        <v/>
      </c>
      <c r="M149" s="506" t="str">
        <f>IF(D149="","",VLOOKUP(D149,'G-6 Hedgerow Data'!$B$1:$AH$15,33,FALSE))</f>
        <v/>
      </c>
      <c r="N149" s="513" t="str">
        <f t="shared" si="16"/>
        <v/>
      </c>
      <c r="O149" s="40"/>
      <c r="P149" s="154"/>
      <c r="Q149" s="203"/>
      <c r="R149" s="532" t="str">
        <f t="shared" si="17"/>
        <v/>
      </c>
      <c r="S149" s="532" t="str">
        <f t="shared" si="18"/>
        <v/>
      </c>
      <c r="T149" s="532" t="str">
        <f t="shared" si="19"/>
        <v/>
      </c>
      <c r="U149" s="557" t="str">
        <f t="shared" si="20"/>
        <v/>
      </c>
      <c r="V149" s="151"/>
      <c r="W149" s="152"/>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c r="AL149" s="31" t="str">
        <f>IFERROR(INDEX('G-6 Hedgerow Data'!$BJ$3:$BJ$15,MATCH(D149,'G-6 Hedgerow Data'!$B$3:$B$15,0)),"")</f>
        <v/>
      </c>
    </row>
    <row r="150" spans="2:38" ht="13.8" x14ac:dyDescent="0.25">
      <c r="B150" s="141">
        <v>141</v>
      </c>
      <c r="C150" s="203"/>
      <c r="D150" s="203"/>
      <c r="E150" s="153"/>
      <c r="F150" s="553" t="str">
        <f>IF(D150="","",VLOOKUP(D150,'G-6 Hedgerow Data'!$B$2:$AG$15,2,FALSE))</f>
        <v/>
      </c>
      <c r="G150" s="499" t="str">
        <f>IF(D150="","",VLOOKUP(D150,'G-6 Hedgerow Data'!$B$2:$AG$15,3,FALSE))</f>
        <v/>
      </c>
      <c r="H150" s="145"/>
      <c r="I150" s="499" t="str">
        <f>IFERROR(VLOOKUP(H150,'G-1 All Habitats'!$Z$2:$AA$9,2,FALSE),"")</f>
        <v/>
      </c>
      <c r="J150" s="145"/>
      <c r="K150" s="507" t="str">
        <f>IF(J150="","",IF(VLOOKUP(J150,'G-3 Multipliers'!$L$3:$N$6,2,FALSE)=0,"Spatial Data Missing",VLOOKUP(J150,'G-3 Multipliers'!$L$3:$N$6,2,FALSE)))</f>
        <v/>
      </c>
      <c r="L150" s="505" t="str">
        <f>IF(J150="","",IF(VLOOKUP(J150,'G-3 Multipliers'!$L$3:$N$6,3,FALSE)=0,"Spatial Data Missing ⚠",VLOOKUP(J150,'G-3 Multipliers'!$L$3:$N$6,3,FALSE)))</f>
        <v/>
      </c>
      <c r="M150" s="506" t="str">
        <f>IF(D150="","",VLOOKUP(D150,'G-6 Hedgerow Data'!$B$1:$AH$15,33,FALSE))</f>
        <v/>
      </c>
      <c r="N150" s="513" t="str">
        <f t="shared" si="16"/>
        <v/>
      </c>
      <c r="O150" s="40"/>
      <c r="P150" s="154"/>
      <c r="Q150" s="203"/>
      <c r="R150" s="532" t="str">
        <f t="shared" si="17"/>
        <v/>
      </c>
      <c r="S150" s="532" t="str">
        <f t="shared" si="18"/>
        <v/>
      </c>
      <c r="T150" s="532" t="str">
        <f t="shared" si="19"/>
        <v/>
      </c>
      <c r="U150" s="557" t="str">
        <f t="shared" si="20"/>
        <v/>
      </c>
      <c r="V150" s="151"/>
      <c r="W150" s="152"/>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c r="AL150" s="31" t="str">
        <f>IFERROR(INDEX('G-6 Hedgerow Data'!$BJ$3:$BJ$15,MATCH(D150,'G-6 Hedgerow Data'!$B$3:$B$15,0)),"")</f>
        <v/>
      </c>
    </row>
    <row r="151" spans="2:38" ht="13.8" x14ac:dyDescent="0.25">
      <c r="B151" s="141">
        <v>142</v>
      </c>
      <c r="C151" s="203"/>
      <c r="D151" s="203"/>
      <c r="E151" s="153"/>
      <c r="F151" s="553" t="str">
        <f>IF(D151="","",VLOOKUP(D151,'G-6 Hedgerow Data'!$B$2:$AG$15,2,FALSE))</f>
        <v/>
      </c>
      <c r="G151" s="499" t="str">
        <f>IF(D151="","",VLOOKUP(D151,'G-6 Hedgerow Data'!$B$2:$AG$15,3,FALSE))</f>
        <v/>
      </c>
      <c r="H151" s="145"/>
      <c r="I151" s="499" t="str">
        <f>IFERROR(VLOOKUP(H151,'G-1 All Habitats'!$Z$2:$AA$9,2,FALSE),"")</f>
        <v/>
      </c>
      <c r="J151" s="145"/>
      <c r="K151" s="507" t="str">
        <f>IF(J151="","",IF(VLOOKUP(J151,'G-3 Multipliers'!$L$3:$N$6,2,FALSE)=0,"Spatial Data Missing",VLOOKUP(J151,'G-3 Multipliers'!$L$3:$N$6,2,FALSE)))</f>
        <v/>
      </c>
      <c r="L151" s="505" t="str">
        <f>IF(J151="","",IF(VLOOKUP(J151,'G-3 Multipliers'!$L$3:$N$6,3,FALSE)=0,"Spatial Data Missing ⚠",VLOOKUP(J151,'G-3 Multipliers'!$L$3:$N$6,3,FALSE)))</f>
        <v/>
      </c>
      <c r="M151" s="506" t="str">
        <f>IF(D151="","",VLOOKUP(D151,'G-6 Hedgerow Data'!$B$1:$AH$15,33,FALSE))</f>
        <v/>
      </c>
      <c r="N151" s="513" t="str">
        <f t="shared" si="16"/>
        <v/>
      </c>
      <c r="O151" s="40"/>
      <c r="P151" s="154"/>
      <c r="Q151" s="203"/>
      <c r="R151" s="532" t="str">
        <f t="shared" si="17"/>
        <v/>
      </c>
      <c r="S151" s="532" t="str">
        <f t="shared" si="18"/>
        <v/>
      </c>
      <c r="T151" s="532" t="str">
        <f t="shared" si="19"/>
        <v/>
      </c>
      <c r="U151" s="557" t="str">
        <f t="shared" si="20"/>
        <v/>
      </c>
      <c r="V151" s="151"/>
      <c r="W151" s="152"/>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c r="AL151" s="31" t="str">
        <f>IFERROR(INDEX('G-6 Hedgerow Data'!$BJ$3:$BJ$15,MATCH(D151,'G-6 Hedgerow Data'!$B$3:$B$15,0)),"")</f>
        <v/>
      </c>
    </row>
    <row r="152" spans="2:38" ht="13.8" x14ac:dyDescent="0.25">
      <c r="B152" s="141">
        <v>143</v>
      </c>
      <c r="C152" s="203"/>
      <c r="D152" s="203"/>
      <c r="E152" s="153"/>
      <c r="F152" s="553" t="str">
        <f>IF(D152="","",VLOOKUP(D152,'G-6 Hedgerow Data'!$B$2:$AG$15,2,FALSE))</f>
        <v/>
      </c>
      <c r="G152" s="499" t="str">
        <f>IF(D152="","",VLOOKUP(D152,'G-6 Hedgerow Data'!$B$2:$AG$15,3,FALSE))</f>
        <v/>
      </c>
      <c r="H152" s="145"/>
      <c r="I152" s="499" t="str">
        <f>IFERROR(VLOOKUP(H152,'G-1 All Habitats'!$Z$2:$AA$9,2,FALSE),"")</f>
        <v/>
      </c>
      <c r="J152" s="145"/>
      <c r="K152" s="507" t="str">
        <f>IF(J152="","",IF(VLOOKUP(J152,'G-3 Multipliers'!$L$3:$N$6,2,FALSE)=0,"Spatial Data Missing",VLOOKUP(J152,'G-3 Multipliers'!$L$3:$N$6,2,FALSE)))</f>
        <v/>
      </c>
      <c r="L152" s="505" t="str">
        <f>IF(J152="","",IF(VLOOKUP(J152,'G-3 Multipliers'!$L$3:$N$6,3,FALSE)=0,"Spatial Data Missing ⚠",VLOOKUP(J152,'G-3 Multipliers'!$L$3:$N$6,3,FALSE)))</f>
        <v/>
      </c>
      <c r="M152" s="506" t="str">
        <f>IF(D152="","",VLOOKUP(D152,'G-6 Hedgerow Data'!$B$1:$AH$15,33,FALSE))</f>
        <v/>
      </c>
      <c r="N152" s="513" t="str">
        <f t="shared" si="16"/>
        <v/>
      </c>
      <c r="O152" s="40"/>
      <c r="P152" s="154"/>
      <c r="Q152" s="203"/>
      <c r="R152" s="532" t="str">
        <f t="shared" si="17"/>
        <v/>
      </c>
      <c r="S152" s="532" t="str">
        <f t="shared" si="18"/>
        <v/>
      </c>
      <c r="T152" s="532" t="str">
        <f t="shared" si="19"/>
        <v/>
      </c>
      <c r="U152" s="557" t="str">
        <f t="shared" si="20"/>
        <v/>
      </c>
      <c r="V152" s="151"/>
      <c r="W152" s="152"/>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c r="AL152" s="31" t="str">
        <f>IFERROR(INDEX('G-6 Hedgerow Data'!$BJ$3:$BJ$15,MATCH(D152,'G-6 Hedgerow Data'!$B$3:$B$15,0)),"")</f>
        <v/>
      </c>
    </row>
    <row r="153" spans="2:38" ht="13.8" x14ac:dyDescent="0.25">
      <c r="B153" s="141">
        <v>144</v>
      </c>
      <c r="C153" s="203"/>
      <c r="D153" s="203"/>
      <c r="E153" s="153"/>
      <c r="F153" s="553" t="str">
        <f>IF(D153="","",VLOOKUP(D153,'G-6 Hedgerow Data'!$B$2:$AG$15,2,FALSE))</f>
        <v/>
      </c>
      <c r="G153" s="499" t="str">
        <f>IF(D153="","",VLOOKUP(D153,'G-6 Hedgerow Data'!$B$2:$AG$15,3,FALSE))</f>
        <v/>
      </c>
      <c r="H153" s="145"/>
      <c r="I153" s="499" t="str">
        <f>IFERROR(VLOOKUP(H153,'G-1 All Habitats'!$Z$2:$AA$9,2,FALSE),"")</f>
        <v/>
      </c>
      <c r="J153" s="145"/>
      <c r="K153" s="507" t="str">
        <f>IF(J153="","",IF(VLOOKUP(J153,'G-3 Multipliers'!$L$3:$N$6,2,FALSE)=0,"Spatial Data Missing",VLOOKUP(J153,'G-3 Multipliers'!$L$3:$N$6,2,FALSE)))</f>
        <v/>
      </c>
      <c r="L153" s="505" t="str">
        <f>IF(J153="","",IF(VLOOKUP(J153,'G-3 Multipliers'!$L$3:$N$6,3,FALSE)=0,"Spatial Data Missing ⚠",VLOOKUP(J153,'G-3 Multipliers'!$L$3:$N$6,3,FALSE)))</f>
        <v/>
      </c>
      <c r="M153" s="506" t="str">
        <f>IF(D153="","",VLOOKUP(D153,'G-6 Hedgerow Data'!$B$1:$AH$15,33,FALSE))</f>
        <v/>
      </c>
      <c r="N153" s="513" t="str">
        <f t="shared" si="16"/>
        <v/>
      </c>
      <c r="O153" s="40"/>
      <c r="P153" s="154"/>
      <c r="Q153" s="203"/>
      <c r="R153" s="532" t="str">
        <f t="shared" si="17"/>
        <v/>
      </c>
      <c r="S153" s="532" t="str">
        <f t="shared" si="18"/>
        <v/>
      </c>
      <c r="T153" s="532" t="str">
        <f t="shared" si="19"/>
        <v/>
      </c>
      <c r="U153" s="557" t="str">
        <f t="shared" si="20"/>
        <v/>
      </c>
      <c r="V153" s="151"/>
      <c r="W153" s="152"/>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c r="AL153" s="31" t="str">
        <f>IFERROR(INDEX('G-6 Hedgerow Data'!$BJ$3:$BJ$15,MATCH(D153,'G-6 Hedgerow Data'!$B$3:$B$15,0)),"")</f>
        <v/>
      </c>
    </row>
    <row r="154" spans="2:38" ht="13.8" x14ac:dyDescent="0.25">
      <c r="B154" s="141">
        <v>145</v>
      </c>
      <c r="C154" s="203"/>
      <c r="D154" s="203"/>
      <c r="E154" s="153"/>
      <c r="F154" s="553" t="str">
        <f>IF(D154="","",VLOOKUP(D154,'G-6 Hedgerow Data'!$B$2:$AG$15,2,FALSE))</f>
        <v/>
      </c>
      <c r="G154" s="499" t="str">
        <f>IF(D154="","",VLOOKUP(D154,'G-6 Hedgerow Data'!$B$2:$AG$15,3,FALSE))</f>
        <v/>
      </c>
      <c r="H154" s="145"/>
      <c r="I154" s="499" t="str">
        <f>IFERROR(VLOOKUP(H154,'G-1 All Habitats'!$Z$2:$AA$9,2,FALSE),"")</f>
        <v/>
      </c>
      <c r="J154" s="145"/>
      <c r="K154" s="507" t="str">
        <f>IF(J154="","",IF(VLOOKUP(J154,'G-3 Multipliers'!$L$3:$N$6,2,FALSE)=0,"Spatial Data Missing",VLOOKUP(J154,'G-3 Multipliers'!$L$3:$N$6,2,FALSE)))</f>
        <v/>
      </c>
      <c r="L154" s="505" t="str">
        <f>IF(J154="","",IF(VLOOKUP(J154,'G-3 Multipliers'!$L$3:$N$6,3,FALSE)=0,"Spatial Data Missing ⚠",VLOOKUP(J154,'G-3 Multipliers'!$L$3:$N$6,3,FALSE)))</f>
        <v/>
      </c>
      <c r="M154" s="506" t="str">
        <f>IF(D154="","",VLOOKUP(D154,'G-6 Hedgerow Data'!$B$1:$AH$15,33,FALSE))</f>
        <v/>
      </c>
      <c r="N154" s="513" t="str">
        <f t="shared" si="16"/>
        <v/>
      </c>
      <c r="O154" s="40"/>
      <c r="P154" s="154"/>
      <c r="Q154" s="203"/>
      <c r="R154" s="532" t="str">
        <f t="shared" si="17"/>
        <v/>
      </c>
      <c r="S154" s="532" t="str">
        <f t="shared" si="18"/>
        <v/>
      </c>
      <c r="T154" s="532" t="str">
        <f t="shared" si="19"/>
        <v/>
      </c>
      <c r="U154" s="557" t="str">
        <f t="shared" si="20"/>
        <v/>
      </c>
      <c r="V154" s="151"/>
      <c r="W154" s="152"/>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c r="AL154" s="31" t="str">
        <f>IFERROR(INDEX('G-6 Hedgerow Data'!$BJ$3:$BJ$15,MATCH(D154,'G-6 Hedgerow Data'!$B$3:$B$15,0)),"")</f>
        <v/>
      </c>
    </row>
    <row r="155" spans="2:38" ht="13.8" x14ac:dyDescent="0.25">
      <c r="B155" s="141">
        <v>146</v>
      </c>
      <c r="C155" s="203"/>
      <c r="D155" s="203"/>
      <c r="E155" s="153"/>
      <c r="F155" s="553" t="str">
        <f>IF(D155="","",VLOOKUP(D155,'G-6 Hedgerow Data'!$B$2:$AG$15,2,FALSE))</f>
        <v/>
      </c>
      <c r="G155" s="499" t="str">
        <f>IF(D155="","",VLOOKUP(D155,'G-6 Hedgerow Data'!$B$2:$AG$15,3,FALSE))</f>
        <v/>
      </c>
      <c r="H155" s="145"/>
      <c r="I155" s="499" t="str">
        <f>IFERROR(VLOOKUP(H155,'G-1 All Habitats'!$Z$2:$AA$9,2,FALSE),"")</f>
        <v/>
      </c>
      <c r="J155" s="145"/>
      <c r="K155" s="507" t="str">
        <f>IF(J155="","",IF(VLOOKUP(J155,'G-3 Multipliers'!$L$3:$N$6,2,FALSE)=0,"Spatial Data Missing",VLOOKUP(J155,'G-3 Multipliers'!$L$3:$N$6,2,FALSE)))</f>
        <v/>
      </c>
      <c r="L155" s="505" t="str">
        <f>IF(J155="","",IF(VLOOKUP(J155,'G-3 Multipliers'!$L$3:$N$6,3,FALSE)=0,"Spatial Data Missing ⚠",VLOOKUP(J155,'G-3 Multipliers'!$L$3:$N$6,3,FALSE)))</f>
        <v/>
      </c>
      <c r="M155" s="506" t="str">
        <f>IF(D155="","",VLOOKUP(D155,'G-6 Hedgerow Data'!$B$1:$AH$15,33,FALSE))</f>
        <v/>
      </c>
      <c r="N155" s="513" t="str">
        <f t="shared" si="16"/>
        <v/>
      </c>
      <c r="O155" s="40"/>
      <c r="P155" s="154"/>
      <c r="Q155" s="203"/>
      <c r="R155" s="532" t="str">
        <f t="shared" si="17"/>
        <v/>
      </c>
      <c r="S155" s="532" t="str">
        <f t="shared" si="18"/>
        <v/>
      </c>
      <c r="T155" s="532" t="str">
        <f t="shared" si="19"/>
        <v/>
      </c>
      <c r="U155" s="557" t="str">
        <f t="shared" si="20"/>
        <v/>
      </c>
      <c r="V155" s="151"/>
      <c r="W155" s="152"/>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c r="AL155" s="31" t="str">
        <f>IFERROR(INDEX('G-6 Hedgerow Data'!$BJ$3:$BJ$15,MATCH(D155,'G-6 Hedgerow Data'!$B$3:$B$15,0)),"")</f>
        <v/>
      </c>
    </row>
    <row r="156" spans="2:38" ht="13.8" x14ac:dyDescent="0.25">
      <c r="B156" s="141">
        <v>147</v>
      </c>
      <c r="C156" s="203"/>
      <c r="D156" s="203"/>
      <c r="E156" s="153"/>
      <c r="F156" s="553" t="str">
        <f>IF(D156="","",VLOOKUP(D156,'G-6 Hedgerow Data'!$B$2:$AG$15,2,FALSE))</f>
        <v/>
      </c>
      <c r="G156" s="499" t="str">
        <f>IF(D156="","",VLOOKUP(D156,'G-6 Hedgerow Data'!$B$2:$AG$15,3,FALSE))</f>
        <v/>
      </c>
      <c r="H156" s="145"/>
      <c r="I156" s="499" t="str">
        <f>IFERROR(VLOOKUP(H156,'G-1 All Habitats'!$Z$2:$AA$9,2,FALSE),"")</f>
        <v/>
      </c>
      <c r="J156" s="145"/>
      <c r="K156" s="507" t="str">
        <f>IF(J156="","",IF(VLOOKUP(J156,'G-3 Multipliers'!$L$3:$N$6,2,FALSE)=0,"Spatial Data Missing",VLOOKUP(J156,'G-3 Multipliers'!$L$3:$N$6,2,FALSE)))</f>
        <v/>
      </c>
      <c r="L156" s="505" t="str">
        <f>IF(J156="","",IF(VLOOKUP(J156,'G-3 Multipliers'!$L$3:$N$6,3,FALSE)=0,"Spatial Data Missing ⚠",VLOOKUP(J156,'G-3 Multipliers'!$L$3:$N$6,3,FALSE)))</f>
        <v/>
      </c>
      <c r="M156" s="506" t="str">
        <f>IF(D156="","",VLOOKUP(D156,'G-6 Hedgerow Data'!$B$1:$AH$15,33,FALSE))</f>
        <v/>
      </c>
      <c r="N156" s="513" t="str">
        <f t="shared" si="16"/>
        <v/>
      </c>
      <c r="O156" s="40"/>
      <c r="P156" s="154"/>
      <c r="Q156" s="203"/>
      <c r="R156" s="532" t="str">
        <f t="shared" si="17"/>
        <v/>
      </c>
      <c r="S156" s="532" t="str">
        <f t="shared" si="18"/>
        <v/>
      </c>
      <c r="T156" s="532" t="str">
        <f t="shared" si="19"/>
        <v/>
      </c>
      <c r="U156" s="557" t="str">
        <f t="shared" si="20"/>
        <v/>
      </c>
      <c r="V156" s="151"/>
      <c r="W156" s="152"/>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c r="AL156" s="31" t="str">
        <f>IFERROR(INDEX('G-6 Hedgerow Data'!$BJ$3:$BJ$15,MATCH(D156,'G-6 Hedgerow Data'!$B$3:$B$15,0)),"")</f>
        <v/>
      </c>
    </row>
    <row r="157" spans="2:38" ht="13.8" x14ac:dyDescent="0.25">
      <c r="B157" s="141">
        <v>148</v>
      </c>
      <c r="C157" s="203"/>
      <c r="D157" s="203"/>
      <c r="E157" s="153"/>
      <c r="F157" s="553" t="str">
        <f>IF(D157="","",VLOOKUP(D157,'G-6 Hedgerow Data'!$B$2:$AG$15,2,FALSE))</f>
        <v/>
      </c>
      <c r="G157" s="499" t="str">
        <f>IF(D157="","",VLOOKUP(D157,'G-6 Hedgerow Data'!$B$2:$AG$15,3,FALSE))</f>
        <v/>
      </c>
      <c r="H157" s="145"/>
      <c r="I157" s="499" t="str">
        <f>IFERROR(VLOOKUP(H157,'G-1 All Habitats'!$Z$2:$AA$9,2,FALSE),"")</f>
        <v/>
      </c>
      <c r="J157" s="145"/>
      <c r="K157" s="507" t="str">
        <f>IF(J157="","",IF(VLOOKUP(J157,'G-3 Multipliers'!$L$3:$N$6,2,FALSE)=0,"Spatial Data Missing",VLOOKUP(J157,'G-3 Multipliers'!$L$3:$N$6,2,FALSE)))</f>
        <v/>
      </c>
      <c r="L157" s="505" t="str">
        <f>IF(J157="","",IF(VLOOKUP(J157,'G-3 Multipliers'!$L$3:$N$6,3,FALSE)=0,"Spatial Data Missing ⚠",VLOOKUP(J157,'G-3 Multipliers'!$L$3:$N$6,3,FALSE)))</f>
        <v/>
      </c>
      <c r="M157" s="506" t="str">
        <f>IF(D157="","",VLOOKUP(D157,'G-6 Hedgerow Data'!$B$1:$AH$15,33,FALSE))</f>
        <v/>
      </c>
      <c r="N157" s="513" t="str">
        <f t="shared" si="16"/>
        <v/>
      </c>
      <c r="O157" s="40"/>
      <c r="P157" s="154"/>
      <c r="Q157" s="203"/>
      <c r="R157" s="532" t="str">
        <f t="shared" si="17"/>
        <v/>
      </c>
      <c r="S157" s="532" t="str">
        <f t="shared" si="18"/>
        <v/>
      </c>
      <c r="T157" s="532" t="str">
        <f t="shared" si="19"/>
        <v/>
      </c>
      <c r="U157" s="557" t="str">
        <f t="shared" si="20"/>
        <v/>
      </c>
      <c r="V157" s="151"/>
      <c r="W157" s="152"/>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c r="AL157" s="31" t="str">
        <f>IFERROR(INDEX('G-6 Hedgerow Data'!$BJ$3:$BJ$15,MATCH(D157,'G-6 Hedgerow Data'!$B$3:$B$15,0)),"")</f>
        <v/>
      </c>
    </row>
    <row r="158" spans="2:38" ht="13.8" x14ac:dyDescent="0.25">
      <c r="B158" s="141">
        <v>149</v>
      </c>
      <c r="C158" s="203"/>
      <c r="D158" s="203"/>
      <c r="E158" s="153"/>
      <c r="F158" s="553" t="str">
        <f>IF(D158="","",VLOOKUP(D158,'G-6 Hedgerow Data'!$B$2:$AG$15,2,FALSE))</f>
        <v/>
      </c>
      <c r="G158" s="499" t="str">
        <f>IF(D158="","",VLOOKUP(D158,'G-6 Hedgerow Data'!$B$2:$AG$15,3,FALSE))</f>
        <v/>
      </c>
      <c r="H158" s="145"/>
      <c r="I158" s="499" t="str">
        <f>IFERROR(VLOOKUP(H158,'G-1 All Habitats'!$Z$2:$AA$9,2,FALSE),"")</f>
        <v/>
      </c>
      <c r="J158" s="145"/>
      <c r="K158" s="507" t="str">
        <f>IF(J158="","",IF(VLOOKUP(J158,'G-3 Multipliers'!$L$3:$N$6,2,FALSE)=0,"Spatial Data Missing",VLOOKUP(J158,'G-3 Multipliers'!$L$3:$N$6,2,FALSE)))</f>
        <v/>
      </c>
      <c r="L158" s="505" t="str">
        <f>IF(J158="","",IF(VLOOKUP(J158,'G-3 Multipliers'!$L$3:$N$6,3,FALSE)=0,"Spatial Data Missing ⚠",VLOOKUP(J158,'G-3 Multipliers'!$L$3:$N$6,3,FALSE)))</f>
        <v/>
      </c>
      <c r="M158" s="506" t="str">
        <f>IF(D158="","",VLOOKUP(D158,'G-6 Hedgerow Data'!$B$1:$AH$15,33,FALSE))</f>
        <v/>
      </c>
      <c r="N158" s="513" t="str">
        <f t="shared" si="16"/>
        <v/>
      </c>
      <c r="O158" s="40"/>
      <c r="P158" s="154"/>
      <c r="Q158" s="203"/>
      <c r="R158" s="532" t="str">
        <f t="shared" si="17"/>
        <v/>
      </c>
      <c r="S158" s="532" t="str">
        <f t="shared" si="18"/>
        <v/>
      </c>
      <c r="T158" s="532" t="str">
        <f t="shared" si="19"/>
        <v/>
      </c>
      <c r="U158" s="557" t="str">
        <f t="shared" si="20"/>
        <v/>
      </c>
      <c r="V158" s="151"/>
      <c r="W158" s="152"/>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c r="AL158" s="31" t="str">
        <f>IFERROR(INDEX('G-6 Hedgerow Data'!$BJ$3:$BJ$15,MATCH(D158,'G-6 Hedgerow Data'!$B$3:$B$15,0)),"")</f>
        <v/>
      </c>
    </row>
    <row r="159" spans="2:38" ht="13.8" x14ac:dyDescent="0.25">
      <c r="B159" s="141">
        <v>150</v>
      </c>
      <c r="C159" s="203"/>
      <c r="D159" s="203"/>
      <c r="E159" s="153"/>
      <c r="F159" s="553" t="str">
        <f>IF(D159="","",VLOOKUP(D159,'G-6 Hedgerow Data'!$B$2:$AG$15,2,FALSE))</f>
        <v/>
      </c>
      <c r="G159" s="499" t="str">
        <f>IF(D159="","",VLOOKUP(D159,'G-6 Hedgerow Data'!$B$2:$AG$15,3,FALSE))</f>
        <v/>
      </c>
      <c r="H159" s="145"/>
      <c r="I159" s="499" t="str">
        <f>IFERROR(VLOOKUP(H159,'G-1 All Habitats'!$Z$2:$AA$9,2,FALSE),"")</f>
        <v/>
      </c>
      <c r="J159" s="145"/>
      <c r="K159" s="507" t="str">
        <f>IF(J159="","",IF(VLOOKUP(J159,'G-3 Multipliers'!$L$3:$N$6,2,FALSE)=0,"Spatial Data Missing",VLOOKUP(J159,'G-3 Multipliers'!$L$3:$N$6,2,FALSE)))</f>
        <v/>
      </c>
      <c r="L159" s="505" t="str">
        <f>IF(J159="","",IF(VLOOKUP(J159,'G-3 Multipliers'!$L$3:$N$6,3,FALSE)=0,"Spatial Data Missing ⚠",VLOOKUP(J159,'G-3 Multipliers'!$L$3:$N$6,3,FALSE)))</f>
        <v/>
      </c>
      <c r="M159" s="506" t="str">
        <f>IF(D159="","",VLOOKUP(D159,'G-6 Hedgerow Data'!$B$1:$AH$15,33,FALSE))</f>
        <v/>
      </c>
      <c r="N159" s="513" t="str">
        <f t="shared" si="16"/>
        <v/>
      </c>
      <c r="O159" s="40"/>
      <c r="P159" s="154"/>
      <c r="Q159" s="203"/>
      <c r="R159" s="532" t="str">
        <f t="shared" si="17"/>
        <v/>
      </c>
      <c r="S159" s="532" t="str">
        <f t="shared" si="18"/>
        <v/>
      </c>
      <c r="T159" s="532" t="str">
        <f t="shared" si="19"/>
        <v/>
      </c>
      <c r="U159" s="557" t="str">
        <f t="shared" si="20"/>
        <v/>
      </c>
      <c r="V159" s="151"/>
      <c r="W159" s="152"/>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c r="AL159" s="31" t="str">
        <f>IFERROR(INDEX('G-6 Hedgerow Data'!$BJ$3:$BJ$15,MATCH(D159,'G-6 Hedgerow Data'!$B$3:$B$15,0)),"")</f>
        <v/>
      </c>
    </row>
    <row r="160" spans="2:38" ht="13.8" x14ac:dyDescent="0.25">
      <c r="B160" s="141">
        <v>151</v>
      </c>
      <c r="C160" s="203"/>
      <c r="D160" s="203"/>
      <c r="E160" s="153"/>
      <c r="F160" s="553" t="str">
        <f>IF(D160="","",VLOOKUP(D160,'G-6 Hedgerow Data'!$B$2:$AG$15,2,FALSE))</f>
        <v/>
      </c>
      <c r="G160" s="499" t="str">
        <f>IF(D160="","",VLOOKUP(D160,'G-6 Hedgerow Data'!$B$2:$AG$15,3,FALSE))</f>
        <v/>
      </c>
      <c r="H160" s="145"/>
      <c r="I160" s="499" t="str">
        <f>IFERROR(VLOOKUP(H160,'G-1 All Habitats'!$Z$2:$AA$9,2,FALSE),"")</f>
        <v/>
      </c>
      <c r="J160" s="145"/>
      <c r="K160" s="507" t="str">
        <f>IF(J160="","",IF(VLOOKUP(J160,'G-3 Multipliers'!$L$3:$N$6,2,FALSE)=0,"Spatial Data Missing",VLOOKUP(J160,'G-3 Multipliers'!$L$3:$N$6,2,FALSE)))</f>
        <v/>
      </c>
      <c r="L160" s="505" t="str">
        <f>IF(J160="","",IF(VLOOKUP(J160,'G-3 Multipliers'!$L$3:$N$6,3,FALSE)=0,"Spatial Data Missing ⚠",VLOOKUP(J160,'G-3 Multipliers'!$L$3:$N$6,3,FALSE)))</f>
        <v/>
      </c>
      <c r="M160" s="506" t="str">
        <f>IF(D160="","",VLOOKUP(D160,'G-6 Hedgerow Data'!$B$1:$AH$15,33,FALSE))</f>
        <v/>
      </c>
      <c r="N160" s="513" t="str">
        <f t="shared" si="16"/>
        <v/>
      </c>
      <c r="O160" s="40"/>
      <c r="P160" s="154"/>
      <c r="Q160" s="203"/>
      <c r="R160" s="532" t="str">
        <f t="shared" si="17"/>
        <v/>
      </c>
      <c r="S160" s="532" t="str">
        <f t="shared" si="18"/>
        <v/>
      </c>
      <c r="T160" s="532" t="str">
        <f t="shared" si="19"/>
        <v/>
      </c>
      <c r="U160" s="557" t="str">
        <f t="shared" si="20"/>
        <v/>
      </c>
      <c r="V160" s="151"/>
      <c r="W160" s="152"/>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c r="AL160" s="31" t="str">
        <f>IFERROR(INDEX('G-6 Hedgerow Data'!$BJ$3:$BJ$15,MATCH(D160,'G-6 Hedgerow Data'!$B$3:$B$15,0)),"")</f>
        <v/>
      </c>
    </row>
    <row r="161" spans="2:38" ht="13.8" x14ac:dyDescent="0.25">
      <c r="B161" s="141">
        <v>152</v>
      </c>
      <c r="C161" s="203"/>
      <c r="D161" s="203"/>
      <c r="E161" s="153"/>
      <c r="F161" s="553" t="str">
        <f>IF(D161="","",VLOOKUP(D161,'G-6 Hedgerow Data'!$B$2:$AG$15,2,FALSE))</f>
        <v/>
      </c>
      <c r="G161" s="499" t="str">
        <f>IF(D161="","",VLOOKUP(D161,'G-6 Hedgerow Data'!$B$2:$AG$15,3,FALSE))</f>
        <v/>
      </c>
      <c r="H161" s="145"/>
      <c r="I161" s="499" t="str">
        <f>IFERROR(VLOOKUP(H161,'G-1 All Habitats'!$Z$2:$AA$9,2,FALSE),"")</f>
        <v/>
      </c>
      <c r="J161" s="145"/>
      <c r="K161" s="507" t="str">
        <f>IF(J161="","",IF(VLOOKUP(J161,'G-3 Multipliers'!$L$3:$N$6,2,FALSE)=0,"Spatial Data Missing",VLOOKUP(J161,'G-3 Multipliers'!$L$3:$N$6,2,FALSE)))</f>
        <v/>
      </c>
      <c r="L161" s="505" t="str">
        <f>IF(J161="","",IF(VLOOKUP(J161,'G-3 Multipliers'!$L$3:$N$6,3,FALSE)=0,"Spatial Data Missing ⚠",VLOOKUP(J161,'G-3 Multipliers'!$L$3:$N$6,3,FALSE)))</f>
        <v/>
      </c>
      <c r="M161" s="506" t="str">
        <f>IF(D161="","",VLOOKUP(D161,'G-6 Hedgerow Data'!$B$1:$AH$15,33,FALSE))</f>
        <v/>
      </c>
      <c r="N161" s="513" t="str">
        <f t="shared" si="16"/>
        <v/>
      </c>
      <c r="O161" s="40"/>
      <c r="P161" s="154"/>
      <c r="Q161" s="203"/>
      <c r="R161" s="532" t="str">
        <f t="shared" si="17"/>
        <v/>
      </c>
      <c r="S161" s="532" t="str">
        <f t="shared" si="18"/>
        <v/>
      </c>
      <c r="T161" s="532" t="str">
        <f t="shared" si="19"/>
        <v/>
      </c>
      <c r="U161" s="557" t="str">
        <f t="shared" si="20"/>
        <v/>
      </c>
      <c r="V161" s="151"/>
      <c r="W161" s="152"/>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c r="AL161" s="31" t="str">
        <f>IFERROR(INDEX('G-6 Hedgerow Data'!$BJ$3:$BJ$15,MATCH(D161,'G-6 Hedgerow Data'!$B$3:$B$15,0)),"")</f>
        <v/>
      </c>
    </row>
    <row r="162" spans="2:38" ht="13.8" x14ac:dyDescent="0.25">
      <c r="B162" s="141">
        <v>153</v>
      </c>
      <c r="C162" s="203"/>
      <c r="D162" s="203"/>
      <c r="E162" s="153"/>
      <c r="F162" s="553" t="str">
        <f>IF(D162="","",VLOOKUP(D162,'G-6 Hedgerow Data'!$B$2:$AG$15,2,FALSE))</f>
        <v/>
      </c>
      <c r="G162" s="499" t="str">
        <f>IF(D162="","",VLOOKUP(D162,'G-6 Hedgerow Data'!$B$2:$AG$15,3,FALSE))</f>
        <v/>
      </c>
      <c r="H162" s="145"/>
      <c r="I162" s="499" t="str">
        <f>IFERROR(VLOOKUP(H162,'G-1 All Habitats'!$Z$2:$AA$9,2,FALSE),"")</f>
        <v/>
      </c>
      <c r="J162" s="145"/>
      <c r="K162" s="507" t="str">
        <f>IF(J162="","",IF(VLOOKUP(J162,'G-3 Multipliers'!$L$3:$N$6,2,FALSE)=0,"Spatial Data Missing",VLOOKUP(J162,'G-3 Multipliers'!$L$3:$N$6,2,FALSE)))</f>
        <v/>
      </c>
      <c r="L162" s="505" t="str">
        <f>IF(J162="","",IF(VLOOKUP(J162,'G-3 Multipliers'!$L$3:$N$6,3,FALSE)=0,"Spatial Data Missing ⚠",VLOOKUP(J162,'G-3 Multipliers'!$L$3:$N$6,3,FALSE)))</f>
        <v/>
      </c>
      <c r="M162" s="506" t="str">
        <f>IF(D162="","",VLOOKUP(D162,'G-6 Hedgerow Data'!$B$1:$AH$15,33,FALSE))</f>
        <v/>
      </c>
      <c r="N162" s="513" t="str">
        <f t="shared" si="16"/>
        <v/>
      </c>
      <c r="O162" s="40"/>
      <c r="P162" s="154"/>
      <c r="Q162" s="203"/>
      <c r="R162" s="532" t="str">
        <f t="shared" si="17"/>
        <v/>
      </c>
      <c r="S162" s="532" t="str">
        <f t="shared" si="18"/>
        <v/>
      </c>
      <c r="T162" s="532" t="str">
        <f t="shared" si="19"/>
        <v/>
      </c>
      <c r="U162" s="557" t="str">
        <f t="shared" si="20"/>
        <v/>
      </c>
      <c r="V162" s="151"/>
      <c r="W162" s="152"/>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c r="AL162" s="31" t="str">
        <f>IFERROR(INDEX('G-6 Hedgerow Data'!$BJ$3:$BJ$15,MATCH(D162,'G-6 Hedgerow Data'!$B$3:$B$15,0)),"")</f>
        <v/>
      </c>
    </row>
    <row r="163" spans="2:38" ht="13.8" x14ac:dyDescent="0.25">
      <c r="B163" s="141">
        <v>154</v>
      </c>
      <c r="C163" s="203"/>
      <c r="D163" s="203"/>
      <c r="E163" s="153"/>
      <c r="F163" s="553" t="str">
        <f>IF(D163="","",VLOOKUP(D163,'G-6 Hedgerow Data'!$B$2:$AG$15,2,FALSE))</f>
        <v/>
      </c>
      <c r="G163" s="499" t="str">
        <f>IF(D163="","",VLOOKUP(D163,'G-6 Hedgerow Data'!$B$2:$AG$15,3,FALSE))</f>
        <v/>
      </c>
      <c r="H163" s="145"/>
      <c r="I163" s="499" t="str">
        <f>IFERROR(VLOOKUP(H163,'G-1 All Habitats'!$Z$2:$AA$9,2,FALSE),"")</f>
        <v/>
      </c>
      <c r="J163" s="145"/>
      <c r="K163" s="507" t="str">
        <f>IF(J163="","",IF(VLOOKUP(J163,'G-3 Multipliers'!$L$3:$N$6,2,FALSE)=0,"Spatial Data Missing",VLOOKUP(J163,'G-3 Multipliers'!$L$3:$N$6,2,FALSE)))</f>
        <v/>
      </c>
      <c r="L163" s="505" t="str">
        <f>IF(J163="","",IF(VLOOKUP(J163,'G-3 Multipliers'!$L$3:$N$6,3,FALSE)=0,"Spatial Data Missing ⚠",VLOOKUP(J163,'G-3 Multipliers'!$L$3:$N$6,3,FALSE)))</f>
        <v/>
      </c>
      <c r="M163" s="506" t="str">
        <f>IF(D163="","",VLOOKUP(D163,'G-6 Hedgerow Data'!$B$1:$AH$15,33,FALSE))</f>
        <v/>
      </c>
      <c r="N163" s="513" t="str">
        <f t="shared" si="16"/>
        <v/>
      </c>
      <c r="O163" s="40"/>
      <c r="P163" s="154"/>
      <c r="Q163" s="203"/>
      <c r="R163" s="532" t="str">
        <f t="shared" si="17"/>
        <v/>
      </c>
      <c r="S163" s="532" t="str">
        <f t="shared" si="18"/>
        <v/>
      </c>
      <c r="T163" s="532" t="str">
        <f t="shared" si="19"/>
        <v/>
      </c>
      <c r="U163" s="557" t="str">
        <f t="shared" si="20"/>
        <v/>
      </c>
      <c r="V163" s="151"/>
      <c r="W163" s="152"/>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c r="AL163" s="31" t="str">
        <f>IFERROR(INDEX('G-6 Hedgerow Data'!$BJ$3:$BJ$15,MATCH(D163,'G-6 Hedgerow Data'!$B$3:$B$15,0)),"")</f>
        <v/>
      </c>
    </row>
    <row r="164" spans="2:38" ht="13.8" x14ac:dyDescent="0.25">
      <c r="B164" s="141">
        <v>155</v>
      </c>
      <c r="C164" s="203"/>
      <c r="D164" s="203"/>
      <c r="E164" s="153"/>
      <c r="F164" s="553" t="str">
        <f>IF(D164="","",VLOOKUP(D164,'G-6 Hedgerow Data'!$B$2:$AG$15,2,FALSE))</f>
        <v/>
      </c>
      <c r="G164" s="499" t="str">
        <f>IF(D164="","",VLOOKUP(D164,'G-6 Hedgerow Data'!$B$2:$AG$15,3,FALSE))</f>
        <v/>
      </c>
      <c r="H164" s="145"/>
      <c r="I164" s="499" t="str">
        <f>IFERROR(VLOOKUP(H164,'G-1 All Habitats'!$Z$2:$AA$9,2,FALSE),"")</f>
        <v/>
      </c>
      <c r="J164" s="145"/>
      <c r="K164" s="507" t="str">
        <f>IF(J164="","",IF(VLOOKUP(J164,'G-3 Multipliers'!$L$3:$N$6,2,FALSE)=0,"Spatial Data Missing",VLOOKUP(J164,'G-3 Multipliers'!$L$3:$N$6,2,FALSE)))</f>
        <v/>
      </c>
      <c r="L164" s="505" t="str">
        <f>IF(J164="","",IF(VLOOKUP(J164,'G-3 Multipliers'!$L$3:$N$6,3,FALSE)=0,"Spatial Data Missing ⚠",VLOOKUP(J164,'G-3 Multipliers'!$L$3:$N$6,3,FALSE)))</f>
        <v/>
      </c>
      <c r="M164" s="506" t="str">
        <f>IF(D164="","",VLOOKUP(D164,'G-6 Hedgerow Data'!$B$1:$AH$15,33,FALSE))</f>
        <v/>
      </c>
      <c r="N164" s="513" t="str">
        <f t="shared" si="16"/>
        <v/>
      </c>
      <c r="O164" s="40"/>
      <c r="P164" s="154"/>
      <c r="Q164" s="203"/>
      <c r="R164" s="532" t="str">
        <f t="shared" si="17"/>
        <v/>
      </c>
      <c r="S164" s="532" t="str">
        <f t="shared" si="18"/>
        <v/>
      </c>
      <c r="T164" s="532" t="str">
        <f t="shared" si="19"/>
        <v/>
      </c>
      <c r="U164" s="557" t="str">
        <f t="shared" si="20"/>
        <v/>
      </c>
      <c r="V164" s="151"/>
      <c r="W164" s="152"/>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c r="AL164" s="31" t="str">
        <f>IFERROR(INDEX('G-6 Hedgerow Data'!$BJ$3:$BJ$15,MATCH(D164,'G-6 Hedgerow Data'!$B$3:$B$15,0)),"")</f>
        <v/>
      </c>
    </row>
    <row r="165" spans="2:38" ht="13.8" x14ac:dyDescent="0.25">
      <c r="B165" s="141">
        <v>156</v>
      </c>
      <c r="C165" s="203"/>
      <c r="D165" s="203"/>
      <c r="E165" s="153"/>
      <c r="F165" s="553" t="str">
        <f>IF(D165="","",VLOOKUP(D165,'G-6 Hedgerow Data'!$B$2:$AG$15,2,FALSE))</f>
        <v/>
      </c>
      <c r="G165" s="499" t="str">
        <f>IF(D165="","",VLOOKUP(D165,'G-6 Hedgerow Data'!$B$2:$AG$15,3,FALSE))</f>
        <v/>
      </c>
      <c r="H165" s="145"/>
      <c r="I165" s="499" t="str">
        <f>IFERROR(VLOOKUP(H165,'G-1 All Habitats'!$Z$2:$AA$9,2,FALSE),"")</f>
        <v/>
      </c>
      <c r="J165" s="145"/>
      <c r="K165" s="507" t="str">
        <f>IF(J165="","",IF(VLOOKUP(J165,'G-3 Multipliers'!$L$3:$N$6,2,FALSE)=0,"Spatial Data Missing",VLOOKUP(J165,'G-3 Multipliers'!$L$3:$N$6,2,FALSE)))</f>
        <v/>
      </c>
      <c r="L165" s="505" t="str">
        <f>IF(J165="","",IF(VLOOKUP(J165,'G-3 Multipliers'!$L$3:$N$6,3,FALSE)=0,"Spatial Data Missing ⚠",VLOOKUP(J165,'G-3 Multipliers'!$L$3:$N$6,3,FALSE)))</f>
        <v/>
      </c>
      <c r="M165" s="506" t="str">
        <f>IF(D165="","",VLOOKUP(D165,'G-6 Hedgerow Data'!$B$1:$AH$15,33,FALSE))</f>
        <v/>
      </c>
      <c r="N165" s="513" t="str">
        <f t="shared" si="16"/>
        <v/>
      </c>
      <c r="O165" s="40"/>
      <c r="P165" s="154"/>
      <c r="Q165" s="203"/>
      <c r="R165" s="532" t="str">
        <f t="shared" si="17"/>
        <v/>
      </c>
      <c r="S165" s="532" t="str">
        <f t="shared" si="18"/>
        <v/>
      </c>
      <c r="T165" s="532" t="str">
        <f t="shared" si="19"/>
        <v/>
      </c>
      <c r="U165" s="557" t="str">
        <f t="shared" si="20"/>
        <v/>
      </c>
      <c r="V165" s="151"/>
      <c r="W165" s="152"/>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c r="AL165" s="31" t="str">
        <f>IFERROR(INDEX('G-6 Hedgerow Data'!$BJ$3:$BJ$15,MATCH(D165,'G-6 Hedgerow Data'!$B$3:$B$15,0)),"")</f>
        <v/>
      </c>
    </row>
    <row r="166" spans="2:38" ht="13.8" x14ac:dyDescent="0.25">
      <c r="B166" s="141">
        <v>157</v>
      </c>
      <c r="C166" s="203"/>
      <c r="D166" s="203"/>
      <c r="E166" s="153"/>
      <c r="F166" s="553" t="str">
        <f>IF(D166="","",VLOOKUP(D166,'G-6 Hedgerow Data'!$B$2:$AG$15,2,FALSE))</f>
        <v/>
      </c>
      <c r="G166" s="499" t="str">
        <f>IF(D166="","",VLOOKUP(D166,'G-6 Hedgerow Data'!$B$2:$AG$15,3,FALSE))</f>
        <v/>
      </c>
      <c r="H166" s="145"/>
      <c r="I166" s="499" t="str">
        <f>IFERROR(VLOOKUP(H166,'G-1 All Habitats'!$Z$2:$AA$9,2,FALSE),"")</f>
        <v/>
      </c>
      <c r="J166" s="145"/>
      <c r="K166" s="507" t="str">
        <f>IF(J166="","",IF(VLOOKUP(J166,'G-3 Multipliers'!$L$3:$N$6,2,FALSE)=0,"Spatial Data Missing",VLOOKUP(J166,'G-3 Multipliers'!$L$3:$N$6,2,FALSE)))</f>
        <v/>
      </c>
      <c r="L166" s="505" t="str">
        <f>IF(J166="","",IF(VLOOKUP(J166,'G-3 Multipliers'!$L$3:$N$6,3,FALSE)=0,"Spatial Data Missing ⚠",VLOOKUP(J166,'G-3 Multipliers'!$L$3:$N$6,3,FALSE)))</f>
        <v/>
      </c>
      <c r="M166" s="506" t="str">
        <f>IF(D166="","",VLOOKUP(D166,'G-6 Hedgerow Data'!$B$1:$AH$15,33,FALSE))</f>
        <v/>
      </c>
      <c r="N166" s="513" t="str">
        <f t="shared" si="16"/>
        <v/>
      </c>
      <c r="O166" s="40"/>
      <c r="P166" s="154"/>
      <c r="Q166" s="203"/>
      <c r="R166" s="532" t="str">
        <f t="shared" si="17"/>
        <v/>
      </c>
      <c r="S166" s="532" t="str">
        <f t="shared" si="18"/>
        <v/>
      </c>
      <c r="T166" s="532" t="str">
        <f t="shared" si="19"/>
        <v/>
      </c>
      <c r="U166" s="557" t="str">
        <f t="shared" si="20"/>
        <v/>
      </c>
      <c r="V166" s="151"/>
      <c r="W166" s="152"/>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c r="AL166" s="31" t="str">
        <f>IFERROR(INDEX('G-6 Hedgerow Data'!$BJ$3:$BJ$15,MATCH(D166,'G-6 Hedgerow Data'!$B$3:$B$15,0)),"")</f>
        <v/>
      </c>
    </row>
    <row r="167" spans="2:38" ht="13.8" x14ac:dyDescent="0.25">
      <c r="B167" s="141">
        <v>158</v>
      </c>
      <c r="C167" s="203"/>
      <c r="D167" s="203"/>
      <c r="E167" s="153"/>
      <c r="F167" s="553" t="str">
        <f>IF(D167="","",VLOOKUP(D167,'G-6 Hedgerow Data'!$B$2:$AG$15,2,FALSE))</f>
        <v/>
      </c>
      <c r="G167" s="499" t="str">
        <f>IF(D167="","",VLOOKUP(D167,'G-6 Hedgerow Data'!$B$2:$AG$15,3,FALSE))</f>
        <v/>
      </c>
      <c r="H167" s="145"/>
      <c r="I167" s="499" t="str">
        <f>IFERROR(VLOOKUP(H167,'G-1 All Habitats'!$Z$2:$AA$9,2,FALSE),"")</f>
        <v/>
      </c>
      <c r="J167" s="145"/>
      <c r="K167" s="507" t="str">
        <f>IF(J167="","",IF(VLOOKUP(J167,'G-3 Multipliers'!$L$3:$N$6,2,FALSE)=0,"Spatial Data Missing",VLOOKUP(J167,'G-3 Multipliers'!$L$3:$N$6,2,FALSE)))</f>
        <v/>
      </c>
      <c r="L167" s="505" t="str">
        <f>IF(J167="","",IF(VLOOKUP(J167,'G-3 Multipliers'!$L$3:$N$6,3,FALSE)=0,"Spatial Data Missing ⚠",VLOOKUP(J167,'G-3 Multipliers'!$L$3:$N$6,3,FALSE)))</f>
        <v/>
      </c>
      <c r="M167" s="506" t="str">
        <f>IF(D167="","",VLOOKUP(D167,'G-6 Hedgerow Data'!$B$1:$AH$15,33,FALSE))</f>
        <v/>
      </c>
      <c r="N167" s="513" t="str">
        <f t="shared" si="16"/>
        <v/>
      </c>
      <c r="O167" s="40"/>
      <c r="P167" s="154"/>
      <c r="Q167" s="203"/>
      <c r="R167" s="532" t="str">
        <f t="shared" si="17"/>
        <v/>
      </c>
      <c r="S167" s="532" t="str">
        <f t="shared" si="18"/>
        <v/>
      </c>
      <c r="T167" s="532" t="str">
        <f t="shared" si="19"/>
        <v/>
      </c>
      <c r="U167" s="557" t="str">
        <f t="shared" si="20"/>
        <v/>
      </c>
      <c r="V167" s="151"/>
      <c r="W167" s="152"/>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c r="AL167" s="31" t="str">
        <f>IFERROR(INDEX('G-6 Hedgerow Data'!$BJ$3:$BJ$15,MATCH(D167,'G-6 Hedgerow Data'!$B$3:$B$15,0)),"")</f>
        <v/>
      </c>
    </row>
    <row r="168" spans="2:38" ht="13.8" x14ac:dyDescent="0.25">
      <c r="B168" s="141">
        <v>159</v>
      </c>
      <c r="C168" s="203"/>
      <c r="D168" s="203"/>
      <c r="E168" s="153"/>
      <c r="F168" s="553" t="str">
        <f>IF(D168="","",VLOOKUP(D168,'G-6 Hedgerow Data'!$B$2:$AG$15,2,FALSE))</f>
        <v/>
      </c>
      <c r="G168" s="499" t="str">
        <f>IF(D168="","",VLOOKUP(D168,'G-6 Hedgerow Data'!$B$2:$AG$15,3,FALSE))</f>
        <v/>
      </c>
      <c r="H168" s="145"/>
      <c r="I168" s="499" t="str">
        <f>IFERROR(VLOOKUP(H168,'G-1 All Habitats'!$Z$2:$AA$9,2,FALSE),"")</f>
        <v/>
      </c>
      <c r="J168" s="145"/>
      <c r="K168" s="507" t="str">
        <f>IF(J168="","",IF(VLOOKUP(J168,'G-3 Multipliers'!$L$3:$N$6,2,FALSE)=0,"Spatial Data Missing",VLOOKUP(J168,'G-3 Multipliers'!$L$3:$N$6,2,FALSE)))</f>
        <v/>
      </c>
      <c r="L168" s="505" t="str">
        <f>IF(J168="","",IF(VLOOKUP(J168,'G-3 Multipliers'!$L$3:$N$6,3,FALSE)=0,"Spatial Data Missing ⚠",VLOOKUP(J168,'G-3 Multipliers'!$L$3:$N$6,3,FALSE)))</f>
        <v/>
      </c>
      <c r="M168" s="506" t="str">
        <f>IF(D168="","",VLOOKUP(D168,'G-6 Hedgerow Data'!$B$1:$AH$15,33,FALSE))</f>
        <v/>
      </c>
      <c r="N168" s="513" t="str">
        <f t="shared" si="16"/>
        <v/>
      </c>
      <c r="O168" s="40"/>
      <c r="P168" s="154"/>
      <c r="Q168" s="203"/>
      <c r="R168" s="532" t="str">
        <f t="shared" si="17"/>
        <v/>
      </c>
      <c r="S168" s="532" t="str">
        <f t="shared" si="18"/>
        <v/>
      </c>
      <c r="T168" s="532" t="str">
        <f t="shared" si="19"/>
        <v/>
      </c>
      <c r="U168" s="557" t="str">
        <f t="shared" si="20"/>
        <v/>
      </c>
      <c r="V168" s="151"/>
      <c r="W168" s="152"/>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c r="AL168" s="31" t="str">
        <f>IFERROR(INDEX('G-6 Hedgerow Data'!$BJ$3:$BJ$15,MATCH(D168,'G-6 Hedgerow Data'!$B$3:$B$15,0)),"")</f>
        <v/>
      </c>
    </row>
    <row r="169" spans="2:38" ht="13.8" x14ac:dyDescent="0.25">
      <c r="B169" s="141">
        <v>160</v>
      </c>
      <c r="C169" s="203"/>
      <c r="D169" s="203"/>
      <c r="E169" s="153"/>
      <c r="F169" s="553" t="str">
        <f>IF(D169="","",VLOOKUP(D169,'G-6 Hedgerow Data'!$B$2:$AG$15,2,FALSE))</f>
        <v/>
      </c>
      <c r="G169" s="499" t="str">
        <f>IF(D169="","",VLOOKUP(D169,'G-6 Hedgerow Data'!$B$2:$AG$15,3,FALSE))</f>
        <v/>
      </c>
      <c r="H169" s="145"/>
      <c r="I169" s="499" t="str">
        <f>IFERROR(VLOOKUP(H169,'G-1 All Habitats'!$Z$2:$AA$9,2,FALSE),"")</f>
        <v/>
      </c>
      <c r="J169" s="145"/>
      <c r="K169" s="507" t="str">
        <f>IF(J169="","",IF(VLOOKUP(J169,'G-3 Multipliers'!$L$3:$N$6,2,FALSE)=0,"Spatial Data Missing",VLOOKUP(J169,'G-3 Multipliers'!$L$3:$N$6,2,FALSE)))</f>
        <v/>
      </c>
      <c r="L169" s="505" t="str">
        <f>IF(J169="","",IF(VLOOKUP(J169,'G-3 Multipliers'!$L$3:$N$6,3,FALSE)=0,"Spatial Data Missing ⚠",VLOOKUP(J169,'G-3 Multipliers'!$L$3:$N$6,3,FALSE)))</f>
        <v/>
      </c>
      <c r="M169" s="506" t="str">
        <f>IF(D169="","",VLOOKUP(D169,'G-6 Hedgerow Data'!$B$1:$AH$15,33,FALSE))</f>
        <v/>
      </c>
      <c r="N169" s="513" t="str">
        <f t="shared" si="16"/>
        <v/>
      </c>
      <c r="O169" s="40"/>
      <c r="P169" s="154"/>
      <c r="Q169" s="203"/>
      <c r="R169" s="532" t="str">
        <f t="shared" si="17"/>
        <v/>
      </c>
      <c r="S169" s="532" t="str">
        <f t="shared" si="18"/>
        <v/>
      </c>
      <c r="T169" s="532" t="str">
        <f t="shared" si="19"/>
        <v/>
      </c>
      <c r="U169" s="557" t="str">
        <f t="shared" si="20"/>
        <v/>
      </c>
      <c r="V169" s="151"/>
      <c r="W169" s="152"/>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c r="AL169" s="31" t="str">
        <f>IFERROR(INDEX('G-6 Hedgerow Data'!$BJ$3:$BJ$15,MATCH(D169,'G-6 Hedgerow Data'!$B$3:$B$15,0)),"")</f>
        <v/>
      </c>
    </row>
    <row r="170" spans="2:38" ht="13.8" x14ac:dyDescent="0.25">
      <c r="B170" s="141">
        <v>161</v>
      </c>
      <c r="C170" s="203"/>
      <c r="D170" s="203"/>
      <c r="E170" s="153"/>
      <c r="F170" s="553" t="str">
        <f>IF(D170="","",VLOOKUP(D170,'G-6 Hedgerow Data'!$B$2:$AG$15,2,FALSE))</f>
        <v/>
      </c>
      <c r="G170" s="499" t="str">
        <f>IF(D170="","",VLOOKUP(D170,'G-6 Hedgerow Data'!$B$2:$AG$15,3,FALSE))</f>
        <v/>
      </c>
      <c r="H170" s="145"/>
      <c r="I170" s="499" t="str">
        <f>IFERROR(VLOOKUP(H170,'G-1 All Habitats'!$Z$2:$AA$9,2,FALSE),"")</f>
        <v/>
      </c>
      <c r="J170" s="145"/>
      <c r="K170" s="507" t="str">
        <f>IF(J170="","",IF(VLOOKUP(J170,'G-3 Multipliers'!$L$3:$N$6,2,FALSE)=0,"Spatial Data Missing",VLOOKUP(J170,'G-3 Multipliers'!$L$3:$N$6,2,FALSE)))</f>
        <v/>
      </c>
      <c r="L170" s="505" t="str">
        <f>IF(J170="","",IF(VLOOKUP(J170,'G-3 Multipliers'!$L$3:$N$6,3,FALSE)=0,"Spatial Data Missing ⚠",VLOOKUP(J170,'G-3 Multipliers'!$L$3:$N$6,3,FALSE)))</f>
        <v/>
      </c>
      <c r="M170" s="506" t="str">
        <f>IF(D170="","",VLOOKUP(D170,'G-6 Hedgerow Data'!$B$1:$AH$15,33,FALSE))</f>
        <v/>
      </c>
      <c r="N170" s="513" t="str">
        <f t="shared" si="16"/>
        <v/>
      </c>
      <c r="O170" s="40"/>
      <c r="P170" s="154"/>
      <c r="Q170" s="203"/>
      <c r="R170" s="532" t="str">
        <f t="shared" si="17"/>
        <v/>
      </c>
      <c r="S170" s="532" t="str">
        <f t="shared" si="18"/>
        <v/>
      </c>
      <c r="T170" s="532" t="str">
        <f t="shared" si="19"/>
        <v/>
      </c>
      <c r="U170" s="557" t="str">
        <f t="shared" si="20"/>
        <v/>
      </c>
      <c r="V170" s="151"/>
      <c r="W170" s="152"/>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c r="AL170" s="31" t="str">
        <f>IFERROR(INDEX('G-6 Hedgerow Data'!$BJ$3:$BJ$15,MATCH(D170,'G-6 Hedgerow Data'!$B$3:$B$15,0)),"")</f>
        <v/>
      </c>
    </row>
    <row r="171" spans="2:38" ht="13.8" x14ac:dyDescent="0.25">
      <c r="B171" s="141">
        <v>162</v>
      </c>
      <c r="C171" s="203"/>
      <c r="D171" s="203"/>
      <c r="E171" s="153"/>
      <c r="F171" s="553" t="str">
        <f>IF(D171="","",VLOOKUP(D171,'G-6 Hedgerow Data'!$B$2:$AG$15,2,FALSE))</f>
        <v/>
      </c>
      <c r="G171" s="499" t="str">
        <f>IF(D171="","",VLOOKUP(D171,'G-6 Hedgerow Data'!$B$2:$AG$15,3,FALSE))</f>
        <v/>
      </c>
      <c r="H171" s="145"/>
      <c r="I171" s="499" t="str">
        <f>IFERROR(VLOOKUP(H171,'G-1 All Habitats'!$Z$2:$AA$9,2,FALSE),"")</f>
        <v/>
      </c>
      <c r="J171" s="145"/>
      <c r="K171" s="507" t="str">
        <f>IF(J171="","",IF(VLOOKUP(J171,'G-3 Multipliers'!$L$3:$N$6,2,FALSE)=0,"Spatial Data Missing",VLOOKUP(J171,'G-3 Multipliers'!$L$3:$N$6,2,FALSE)))</f>
        <v/>
      </c>
      <c r="L171" s="505" t="str">
        <f>IF(J171="","",IF(VLOOKUP(J171,'G-3 Multipliers'!$L$3:$N$6,3,FALSE)=0,"Spatial Data Missing ⚠",VLOOKUP(J171,'G-3 Multipliers'!$L$3:$N$6,3,FALSE)))</f>
        <v/>
      </c>
      <c r="M171" s="506" t="str">
        <f>IF(D171="","",VLOOKUP(D171,'G-6 Hedgerow Data'!$B$1:$AH$15,33,FALSE))</f>
        <v/>
      </c>
      <c r="N171" s="513" t="str">
        <f t="shared" si="16"/>
        <v/>
      </c>
      <c r="O171" s="40"/>
      <c r="P171" s="154"/>
      <c r="Q171" s="203"/>
      <c r="R171" s="532" t="str">
        <f t="shared" si="17"/>
        <v/>
      </c>
      <c r="S171" s="532" t="str">
        <f t="shared" si="18"/>
        <v/>
      </c>
      <c r="T171" s="532" t="str">
        <f t="shared" si="19"/>
        <v/>
      </c>
      <c r="U171" s="557" t="str">
        <f t="shared" si="20"/>
        <v/>
      </c>
      <c r="V171" s="151"/>
      <c r="W171" s="152"/>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c r="AL171" s="31" t="str">
        <f>IFERROR(INDEX('G-6 Hedgerow Data'!$BJ$3:$BJ$15,MATCH(D171,'G-6 Hedgerow Data'!$B$3:$B$15,0)),"")</f>
        <v/>
      </c>
    </row>
    <row r="172" spans="2:38" ht="13.8" x14ac:dyDescent="0.25">
      <c r="B172" s="141">
        <v>163</v>
      </c>
      <c r="C172" s="203"/>
      <c r="D172" s="203"/>
      <c r="E172" s="153"/>
      <c r="F172" s="553" t="str">
        <f>IF(D172="","",VLOOKUP(D172,'G-6 Hedgerow Data'!$B$2:$AG$15,2,FALSE))</f>
        <v/>
      </c>
      <c r="G172" s="499" t="str">
        <f>IF(D172="","",VLOOKUP(D172,'G-6 Hedgerow Data'!$B$2:$AG$15,3,FALSE))</f>
        <v/>
      </c>
      <c r="H172" s="145"/>
      <c r="I172" s="499" t="str">
        <f>IFERROR(VLOOKUP(H172,'G-1 All Habitats'!$Z$2:$AA$9,2,FALSE),"")</f>
        <v/>
      </c>
      <c r="J172" s="145"/>
      <c r="K172" s="507" t="str">
        <f>IF(J172="","",IF(VLOOKUP(J172,'G-3 Multipliers'!$L$3:$N$6,2,FALSE)=0,"Spatial Data Missing",VLOOKUP(J172,'G-3 Multipliers'!$L$3:$N$6,2,FALSE)))</f>
        <v/>
      </c>
      <c r="L172" s="505" t="str">
        <f>IF(J172="","",IF(VLOOKUP(J172,'G-3 Multipliers'!$L$3:$N$6,3,FALSE)=0,"Spatial Data Missing ⚠",VLOOKUP(J172,'G-3 Multipliers'!$L$3:$N$6,3,FALSE)))</f>
        <v/>
      </c>
      <c r="M172" s="506" t="str">
        <f>IF(D172="","",VLOOKUP(D172,'G-6 Hedgerow Data'!$B$1:$AH$15,33,FALSE))</f>
        <v/>
      </c>
      <c r="N172" s="513" t="str">
        <f t="shared" si="16"/>
        <v/>
      </c>
      <c r="O172" s="40"/>
      <c r="P172" s="154"/>
      <c r="Q172" s="203"/>
      <c r="R172" s="532" t="str">
        <f t="shared" si="17"/>
        <v/>
      </c>
      <c r="S172" s="532" t="str">
        <f t="shared" si="18"/>
        <v/>
      </c>
      <c r="T172" s="532" t="str">
        <f t="shared" si="19"/>
        <v/>
      </c>
      <c r="U172" s="557" t="str">
        <f t="shared" si="20"/>
        <v/>
      </c>
      <c r="V172" s="151"/>
      <c r="W172" s="152"/>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c r="AL172" s="31" t="str">
        <f>IFERROR(INDEX('G-6 Hedgerow Data'!$BJ$3:$BJ$15,MATCH(D172,'G-6 Hedgerow Data'!$B$3:$B$15,0)),"")</f>
        <v/>
      </c>
    </row>
    <row r="173" spans="2:38" ht="13.8" x14ac:dyDescent="0.25">
      <c r="B173" s="141">
        <v>164</v>
      </c>
      <c r="C173" s="203"/>
      <c r="D173" s="203"/>
      <c r="E173" s="153"/>
      <c r="F173" s="553" t="str">
        <f>IF(D173="","",VLOOKUP(D173,'G-6 Hedgerow Data'!$B$2:$AG$15,2,FALSE))</f>
        <v/>
      </c>
      <c r="G173" s="499" t="str">
        <f>IF(D173="","",VLOOKUP(D173,'G-6 Hedgerow Data'!$B$2:$AG$15,3,FALSE))</f>
        <v/>
      </c>
      <c r="H173" s="145"/>
      <c r="I173" s="499" t="str">
        <f>IFERROR(VLOOKUP(H173,'G-1 All Habitats'!$Z$2:$AA$9,2,FALSE),"")</f>
        <v/>
      </c>
      <c r="J173" s="145"/>
      <c r="K173" s="507" t="str">
        <f>IF(J173="","",IF(VLOOKUP(J173,'G-3 Multipliers'!$L$3:$N$6,2,FALSE)=0,"Spatial Data Missing",VLOOKUP(J173,'G-3 Multipliers'!$L$3:$N$6,2,FALSE)))</f>
        <v/>
      </c>
      <c r="L173" s="505" t="str">
        <f>IF(J173="","",IF(VLOOKUP(J173,'G-3 Multipliers'!$L$3:$N$6,3,FALSE)=0,"Spatial Data Missing ⚠",VLOOKUP(J173,'G-3 Multipliers'!$L$3:$N$6,3,FALSE)))</f>
        <v/>
      </c>
      <c r="M173" s="506" t="str">
        <f>IF(D173="","",VLOOKUP(D173,'G-6 Hedgerow Data'!$B$1:$AH$15,33,FALSE))</f>
        <v/>
      </c>
      <c r="N173" s="513" t="str">
        <f t="shared" si="16"/>
        <v/>
      </c>
      <c r="O173" s="40"/>
      <c r="P173" s="154"/>
      <c r="Q173" s="203"/>
      <c r="R173" s="532" t="str">
        <f t="shared" si="17"/>
        <v/>
      </c>
      <c r="S173" s="532" t="str">
        <f t="shared" si="18"/>
        <v/>
      </c>
      <c r="T173" s="532" t="str">
        <f t="shared" si="19"/>
        <v/>
      </c>
      <c r="U173" s="557" t="str">
        <f t="shared" si="20"/>
        <v/>
      </c>
      <c r="V173" s="151"/>
      <c r="W173" s="152"/>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c r="AL173" s="31" t="str">
        <f>IFERROR(INDEX('G-6 Hedgerow Data'!$BJ$3:$BJ$15,MATCH(D173,'G-6 Hedgerow Data'!$B$3:$B$15,0)),"")</f>
        <v/>
      </c>
    </row>
    <row r="174" spans="2:38" ht="13.8" x14ac:dyDescent="0.25">
      <c r="B174" s="141">
        <v>165</v>
      </c>
      <c r="C174" s="203"/>
      <c r="D174" s="203"/>
      <c r="E174" s="153"/>
      <c r="F174" s="553" t="str">
        <f>IF(D174="","",VLOOKUP(D174,'G-6 Hedgerow Data'!$B$2:$AG$15,2,FALSE))</f>
        <v/>
      </c>
      <c r="G174" s="499" t="str">
        <f>IF(D174="","",VLOOKUP(D174,'G-6 Hedgerow Data'!$B$2:$AG$15,3,FALSE))</f>
        <v/>
      </c>
      <c r="H174" s="145"/>
      <c r="I174" s="499" t="str">
        <f>IFERROR(VLOOKUP(H174,'G-1 All Habitats'!$Z$2:$AA$9,2,FALSE),"")</f>
        <v/>
      </c>
      <c r="J174" s="145"/>
      <c r="K174" s="507" t="str">
        <f>IF(J174="","",IF(VLOOKUP(J174,'G-3 Multipliers'!$L$3:$N$6,2,FALSE)=0,"Spatial Data Missing",VLOOKUP(J174,'G-3 Multipliers'!$L$3:$N$6,2,FALSE)))</f>
        <v/>
      </c>
      <c r="L174" s="505" t="str">
        <f>IF(J174="","",IF(VLOOKUP(J174,'G-3 Multipliers'!$L$3:$N$6,3,FALSE)=0,"Spatial Data Missing ⚠",VLOOKUP(J174,'G-3 Multipliers'!$L$3:$N$6,3,FALSE)))</f>
        <v/>
      </c>
      <c r="M174" s="506" t="str">
        <f>IF(D174="","",VLOOKUP(D174,'G-6 Hedgerow Data'!$B$1:$AH$15,33,FALSE))</f>
        <v/>
      </c>
      <c r="N174" s="513" t="str">
        <f t="shared" si="16"/>
        <v/>
      </c>
      <c r="O174" s="40"/>
      <c r="P174" s="154"/>
      <c r="Q174" s="203"/>
      <c r="R174" s="532" t="str">
        <f t="shared" si="17"/>
        <v/>
      </c>
      <c r="S174" s="532" t="str">
        <f t="shared" si="18"/>
        <v/>
      </c>
      <c r="T174" s="532" t="str">
        <f t="shared" si="19"/>
        <v/>
      </c>
      <c r="U174" s="557" t="str">
        <f t="shared" si="20"/>
        <v/>
      </c>
      <c r="V174" s="151"/>
      <c r="W174" s="152"/>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c r="AL174" s="31" t="str">
        <f>IFERROR(INDEX('G-6 Hedgerow Data'!$BJ$3:$BJ$15,MATCH(D174,'G-6 Hedgerow Data'!$B$3:$B$15,0)),"")</f>
        <v/>
      </c>
    </row>
    <row r="175" spans="2:38" ht="13.8" x14ac:dyDescent="0.25">
      <c r="B175" s="141">
        <v>166</v>
      </c>
      <c r="C175" s="203"/>
      <c r="D175" s="203"/>
      <c r="E175" s="153"/>
      <c r="F175" s="553" t="str">
        <f>IF(D175="","",VLOOKUP(D175,'G-6 Hedgerow Data'!$B$2:$AG$15,2,FALSE))</f>
        <v/>
      </c>
      <c r="G175" s="499" t="str">
        <f>IF(D175="","",VLOOKUP(D175,'G-6 Hedgerow Data'!$B$2:$AG$15,3,FALSE))</f>
        <v/>
      </c>
      <c r="H175" s="145"/>
      <c r="I175" s="499" t="str">
        <f>IFERROR(VLOOKUP(H175,'G-1 All Habitats'!$Z$2:$AA$9,2,FALSE),"")</f>
        <v/>
      </c>
      <c r="J175" s="145"/>
      <c r="K175" s="507" t="str">
        <f>IF(J175="","",IF(VLOOKUP(J175,'G-3 Multipliers'!$L$3:$N$6,2,FALSE)=0,"Spatial Data Missing",VLOOKUP(J175,'G-3 Multipliers'!$L$3:$N$6,2,FALSE)))</f>
        <v/>
      </c>
      <c r="L175" s="505" t="str">
        <f>IF(J175="","",IF(VLOOKUP(J175,'G-3 Multipliers'!$L$3:$N$6,3,FALSE)=0,"Spatial Data Missing ⚠",VLOOKUP(J175,'G-3 Multipliers'!$L$3:$N$6,3,FALSE)))</f>
        <v/>
      </c>
      <c r="M175" s="506" t="str">
        <f>IF(D175="","",VLOOKUP(D175,'G-6 Hedgerow Data'!$B$1:$AH$15,33,FALSE))</f>
        <v/>
      </c>
      <c r="N175" s="513" t="str">
        <f t="shared" si="16"/>
        <v/>
      </c>
      <c r="O175" s="40"/>
      <c r="P175" s="154"/>
      <c r="Q175" s="203"/>
      <c r="R175" s="532" t="str">
        <f t="shared" si="17"/>
        <v/>
      </c>
      <c r="S175" s="532" t="str">
        <f t="shared" si="18"/>
        <v/>
      </c>
      <c r="T175" s="532" t="str">
        <f t="shared" si="19"/>
        <v/>
      </c>
      <c r="U175" s="557" t="str">
        <f t="shared" si="20"/>
        <v/>
      </c>
      <c r="V175" s="151"/>
      <c r="W175" s="152"/>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c r="AL175" s="31" t="str">
        <f>IFERROR(INDEX('G-6 Hedgerow Data'!$BJ$3:$BJ$15,MATCH(D175,'G-6 Hedgerow Data'!$B$3:$B$15,0)),"")</f>
        <v/>
      </c>
    </row>
    <row r="176" spans="2:38" ht="13.8" x14ac:dyDescent="0.25">
      <c r="B176" s="141">
        <v>167</v>
      </c>
      <c r="C176" s="203"/>
      <c r="D176" s="203"/>
      <c r="E176" s="153"/>
      <c r="F176" s="553" t="str">
        <f>IF(D176="","",VLOOKUP(D176,'G-6 Hedgerow Data'!$B$2:$AG$15,2,FALSE))</f>
        <v/>
      </c>
      <c r="G176" s="499" t="str">
        <f>IF(D176="","",VLOOKUP(D176,'G-6 Hedgerow Data'!$B$2:$AG$15,3,FALSE))</f>
        <v/>
      </c>
      <c r="H176" s="145"/>
      <c r="I176" s="499" t="str">
        <f>IFERROR(VLOOKUP(H176,'G-1 All Habitats'!$Z$2:$AA$9,2,FALSE),"")</f>
        <v/>
      </c>
      <c r="J176" s="145"/>
      <c r="K176" s="507" t="str">
        <f>IF(J176="","",IF(VLOOKUP(J176,'G-3 Multipliers'!$L$3:$N$6,2,FALSE)=0,"Spatial Data Missing",VLOOKUP(J176,'G-3 Multipliers'!$L$3:$N$6,2,FALSE)))</f>
        <v/>
      </c>
      <c r="L176" s="505" t="str">
        <f>IF(J176="","",IF(VLOOKUP(J176,'G-3 Multipliers'!$L$3:$N$6,3,FALSE)=0,"Spatial Data Missing ⚠",VLOOKUP(J176,'G-3 Multipliers'!$L$3:$N$6,3,FALSE)))</f>
        <v/>
      </c>
      <c r="M176" s="506" t="str">
        <f>IF(D176="","",VLOOKUP(D176,'G-6 Hedgerow Data'!$B$1:$AH$15,33,FALSE))</f>
        <v/>
      </c>
      <c r="N176" s="513" t="str">
        <f t="shared" si="16"/>
        <v/>
      </c>
      <c r="O176" s="40"/>
      <c r="P176" s="154"/>
      <c r="Q176" s="203"/>
      <c r="R176" s="532" t="str">
        <f t="shared" si="17"/>
        <v/>
      </c>
      <c r="S176" s="532" t="str">
        <f t="shared" si="18"/>
        <v/>
      </c>
      <c r="T176" s="532" t="str">
        <f t="shared" si="19"/>
        <v/>
      </c>
      <c r="U176" s="557" t="str">
        <f t="shared" si="20"/>
        <v/>
      </c>
      <c r="V176" s="151"/>
      <c r="W176" s="152"/>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c r="AL176" s="31" t="str">
        <f>IFERROR(INDEX('G-6 Hedgerow Data'!$BJ$3:$BJ$15,MATCH(D176,'G-6 Hedgerow Data'!$B$3:$B$15,0)),"")</f>
        <v/>
      </c>
    </row>
    <row r="177" spans="2:38" ht="13.8" x14ac:dyDescent="0.25">
      <c r="B177" s="141">
        <v>168</v>
      </c>
      <c r="C177" s="203"/>
      <c r="D177" s="203"/>
      <c r="E177" s="153"/>
      <c r="F177" s="553" t="str">
        <f>IF(D177="","",VLOOKUP(D177,'G-6 Hedgerow Data'!$B$2:$AG$15,2,FALSE))</f>
        <v/>
      </c>
      <c r="G177" s="499" t="str">
        <f>IF(D177="","",VLOOKUP(D177,'G-6 Hedgerow Data'!$B$2:$AG$15,3,FALSE))</f>
        <v/>
      </c>
      <c r="H177" s="145"/>
      <c r="I177" s="499" t="str">
        <f>IFERROR(VLOOKUP(H177,'G-1 All Habitats'!$Z$2:$AA$9,2,FALSE),"")</f>
        <v/>
      </c>
      <c r="J177" s="145"/>
      <c r="K177" s="507" t="str">
        <f>IF(J177="","",IF(VLOOKUP(J177,'G-3 Multipliers'!$L$3:$N$6,2,FALSE)=0,"Spatial Data Missing",VLOOKUP(J177,'G-3 Multipliers'!$L$3:$N$6,2,FALSE)))</f>
        <v/>
      </c>
      <c r="L177" s="505" t="str">
        <f>IF(J177="","",IF(VLOOKUP(J177,'G-3 Multipliers'!$L$3:$N$6,3,FALSE)=0,"Spatial Data Missing ⚠",VLOOKUP(J177,'G-3 Multipliers'!$L$3:$N$6,3,FALSE)))</f>
        <v/>
      </c>
      <c r="M177" s="506" t="str">
        <f>IF(D177="","",VLOOKUP(D177,'G-6 Hedgerow Data'!$B$1:$AH$15,33,FALSE))</f>
        <v/>
      </c>
      <c r="N177" s="513" t="str">
        <f t="shared" si="16"/>
        <v/>
      </c>
      <c r="O177" s="40"/>
      <c r="P177" s="154"/>
      <c r="Q177" s="203"/>
      <c r="R177" s="532" t="str">
        <f t="shared" si="17"/>
        <v/>
      </c>
      <c r="S177" s="532" t="str">
        <f t="shared" si="18"/>
        <v/>
      </c>
      <c r="T177" s="532" t="str">
        <f t="shared" si="19"/>
        <v/>
      </c>
      <c r="U177" s="557" t="str">
        <f t="shared" si="20"/>
        <v/>
      </c>
      <c r="V177" s="151"/>
      <c r="W177" s="152"/>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c r="AL177" s="31" t="str">
        <f>IFERROR(INDEX('G-6 Hedgerow Data'!$BJ$3:$BJ$15,MATCH(D177,'G-6 Hedgerow Data'!$B$3:$B$15,0)),"")</f>
        <v/>
      </c>
    </row>
    <row r="178" spans="2:38" ht="13.8" x14ac:dyDescent="0.25">
      <c r="B178" s="141">
        <v>169</v>
      </c>
      <c r="C178" s="203"/>
      <c r="D178" s="203"/>
      <c r="E178" s="153"/>
      <c r="F178" s="553" t="str">
        <f>IF(D178="","",VLOOKUP(D178,'G-6 Hedgerow Data'!$B$2:$AG$15,2,FALSE))</f>
        <v/>
      </c>
      <c r="G178" s="499" t="str">
        <f>IF(D178="","",VLOOKUP(D178,'G-6 Hedgerow Data'!$B$2:$AG$15,3,FALSE))</f>
        <v/>
      </c>
      <c r="H178" s="145"/>
      <c r="I178" s="499" t="str">
        <f>IFERROR(VLOOKUP(H178,'G-1 All Habitats'!$Z$2:$AA$9,2,FALSE),"")</f>
        <v/>
      </c>
      <c r="J178" s="145"/>
      <c r="K178" s="507" t="str">
        <f>IF(J178="","",IF(VLOOKUP(J178,'G-3 Multipliers'!$L$3:$N$6,2,FALSE)=0,"Spatial Data Missing",VLOOKUP(J178,'G-3 Multipliers'!$L$3:$N$6,2,FALSE)))</f>
        <v/>
      </c>
      <c r="L178" s="505" t="str">
        <f>IF(J178="","",IF(VLOOKUP(J178,'G-3 Multipliers'!$L$3:$N$6,3,FALSE)=0,"Spatial Data Missing ⚠",VLOOKUP(J178,'G-3 Multipliers'!$L$3:$N$6,3,FALSE)))</f>
        <v/>
      </c>
      <c r="M178" s="506" t="str">
        <f>IF(D178="","",VLOOKUP(D178,'G-6 Hedgerow Data'!$B$1:$AH$15,33,FALSE))</f>
        <v/>
      </c>
      <c r="N178" s="513" t="str">
        <f t="shared" si="16"/>
        <v/>
      </c>
      <c r="O178" s="40"/>
      <c r="P178" s="154"/>
      <c r="Q178" s="203"/>
      <c r="R178" s="532" t="str">
        <f t="shared" si="17"/>
        <v/>
      </c>
      <c r="S178" s="532" t="str">
        <f t="shared" si="18"/>
        <v/>
      </c>
      <c r="T178" s="532" t="str">
        <f t="shared" si="19"/>
        <v/>
      </c>
      <c r="U178" s="557" t="str">
        <f t="shared" si="20"/>
        <v/>
      </c>
      <c r="V178" s="151"/>
      <c r="W178" s="152"/>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c r="AL178" s="31" t="str">
        <f>IFERROR(INDEX('G-6 Hedgerow Data'!$BJ$3:$BJ$15,MATCH(D178,'G-6 Hedgerow Data'!$B$3:$B$15,0)),"")</f>
        <v/>
      </c>
    </row>
    <row r="179" spans="2:38" ht="13.8" x14ac:dyDescent="0.25">
      <c r="B179" s="141">
        <v>170</v>
      </c>
      <c r="C179" s="203"/>
      <c r="D179" s="203"/>
      <c r="E179" s="153"/>
      <c r="F179" s="553" t="str">
        <f>IF(D179="","",VLOOKUP(D179,'G-6 Hedgerow Data'!$B$2:$AG$15,2,FALSE))</f>
        <v/>
      </c>
      <c r="G179" s="499" t="str">
        <f>IF(D179="","",VLOOKUP(D179,'G-6 Hedgerow Data'!$B$2:$AG$15,3,FALSE))</f>
        <v/>
      </c>
      <c r="H179" s="145"/>
      <c r="I179" s="499" t="str">
        <f>IFERROR(VLOOKUP(H179,'G-1 All Habitats'!$Z$2:$AA$9,2,FALSE),"")</f>
        <v/>
      </c>
      <c r="J179" s="145"/>
      <c r="K179" s="507" t="str">
        <f>IF(J179="","",IF(VLOOKUP(J179,'G-3 Multipliers'!$L$3:$N$6,2,FALSE)=0,"Spatial Data Missing",VLOOKUP(J179,'G-3 Multipliers'!$L$3:$N$6,2,FALSE)))</f>
        <v/>
      </c>
      <c r="L179" s="505" t="str">
        <f>IF(J179="","",IF(VLOOKUP(J179,'G-3 Multipliers'!$L$3:$N$6,3,FALSE)=0,"Spatial Data Missing ⚠",VLOOKUP(J179,'G-3 Multipliers'!$L$3:$N$6,3,FALSE)))</f>
        <v/>
      </c>
      <c r="M179" s="506" t="str">
        <f>IF(D179="","",VLOOKUP(D179,'G-6 Hedgerow Data'!$B$1:$AH$15,33,FALSE))</f>
        <v/>
      </c>
      <c r="N179" s="513" t="str">
        <f t="shared" si="16"/>
        <v/>
      </c>
      <c r="O179" s="40"/>
      <c r="P179" s="154"/>
      <c r="Q179" s="203"/>
      <c r="R179" s="532" t="str">
        <f t="shared" si="17"/>
        <v/>
      </c>
      <c r="S179" s="532" t="str">
        <f t="shared" si="18"/>
        <v/>
      </c>
      <c r="T179" s="532" t="str">
        <f t="shared" si="19"/>
        <v/>
      </c>
      <c r="U179" s="557" t="str">
        <f t="shared" si="20"/>
        <v/>
      </c>
      <c r="V179" s="151"/>
      <c r="W179" s="152"/>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c r="AL179" s="31" t="str">
        <f>IFERROR(INDEX('G-6 Hedgerow Data'!$BJ$3:$BJ$15,MATCH(D179,'G-6 Hedgerow Data'!$B$3:$B$15,0)),"")</f>
        <v/>
      </c>
    </row>
    <row r="180" spans="2:38" ht="13.8" x14ac:dyDescent="0.25">
      <c r="B180" s="141">
        <v>171</v>
      </c>
      <c r="C180" s="203"/>
      <c r="D180" s="203"/>
      <c r="E180" s="153"/>
      <c r="F180" s="553" t="str">
        <f>IF(D180="","",VLOOKUP(D180,'G-6 Hedgerow Data'!$B$2:$AG$15,2,FALSE))</f>
        <v/>
      </c>
      <c r="G180" s="499" t="str">
        <f>IF(D180="","",VLOOKUP(D180,'G-6 Hedgerow Data'!$B$2:$AG$15,3,FALSE))</f>
        <v/>
      </c>
      <c r="H180" s="145"/>
      <c r="I180" s="499" t="str">
        <f>IFERROR(VLOOKUP(H180,'G-1 All Habitats'!$Z$2:$AA$9,2,FALSE),"")</f>
        <v/>
      </c>
      <c r="J180" s="145"/>
      <c r="K180" s="507" t="str">
        <f>IF(J180="","",IF(VLOOKUP(J180,'G-3 Multipliers'!$L$3:$N$6,2,FALSE)=0,"Spatial Data Missing",VLOOKUP(J180,'G-3 Multipliers'!$L$3:$N$6,2,FALSE)))</f>
        <v/>
      </c>
      <c r="L180" s="505" t="str">
        <f>IF(J180="","",IF(VLOOKUP(J180,'G-3 Multipliers'!$L$3:$N$6,3,FALSE)=0,"Spatial Data Missing ⚠",VLOOKUP(J180,'G-3 Multipliers'!$L$3:$N$6,3,FALSE)))</f>
        <v/>
      </c>
      <c r="M180" s="506" t="str">
        <f>IF(D180="","",VLOOKUP(D180,'G-6 Hedgerow Data'!$B$1:$AH$15,33,FALSE))</f>
        <v/>
      </c>
      <c r="N180" s="513" t="str">
        <f t="shared" si="16"/>
        <v/>
      </c>
      <c r="O180" s="40"/>
      <c r="P180" s="154"/>
      <c r="Q180" s="203"/>
      <c r="R180" s="532" t="str">
        <f t="shared" si="17"/>
        <v/>
      </c>
      <c r="S180" s="532" t="str">
        <f t="shared" si="18"/>
        <v/>
      </c>
      <c r="T180" s="532" t="str">
        <f t="shared" si="19"/>
        <v/>
      </c>
      <c r="U180" s="557" t="str">
        <f t="shared" si="20"/>
        <v/>
      </c>
      <c r="V180" s="151"/>
      <c r="W180" s="152"/>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c r="AL180" s="31" t="str">
        <f>IFERROR(INDEX('G-6 Hedgerow Data'!$BJ$3:$BJ$15,MATCH(D180,'G-6 Hedgerow Data'!$B$3:$B$15,0)),"")</f>
        <v/>
      </c>
    </row>
    <row r="181" spans="2:38" ht="13.8" x14ac:dyDescent="0.25">
      <c r="B181" s="141">
        <v>172</v>
      </c>
      <c r="C181" s="203"/>
      <c r="D181" s="203"/>
      <c r="E181" s="153"/>
      <c r="F181" s="553" t="str">
        <f>IF(D181="","",VLOOKUP(D181,'G-6 Hedgerow Data'!$B$2:$AG$15,2,FALSE))</f>
        <v/>
      </c>
      <c r="G181" s="499" t="str">
        <f>IF(D181="","",VLOOKUP(D181,'G-6 Hedgerow Data'!$B$2:$AG$15,3,FALSE))</f>
        <v/>
      </c>
      <c r="H181" s="145"/>
      <c r="I181" s="499" t="str">
        <f>IFERROR(VLOOKUP(H181,'G-1 All Habitats'!$Z$2:$AA$9,2,FALSE),"")</f>
        <v/>
      </c>
      <c r="J181" s="145"/>
      <c r="K181" s="507" t="str">
        <f>IF(J181="","",IF(VLOOKUP(J181,'G-3 Multipliers'!$L$3:$N$6,2,FALSE)=0,"Spatial Data Missing",VLOOKUP(J181,'G-3 Multipliers'!$L$3:$N$6,2,FALSE)))</f>
        <v/>
      </c>
      <c r="L181" s="505" t="str">
        <f>IF(J181="","",IF(VLOOKUP(J181,'G-3 Multipliers'!$L$3:$N$6,3,FALSE)=0,"Spatial Data Missing ⚠",VLOOKUP(J181,'G-3 Multipliers'!$L$3:$N$6,3,FALSE)))</f>
        <v/>
      </c>
      <c r="M181" s="506" t="str">
        <f>IF(D181="","",VLOOKUP(D181,'G-6 Hedgerow Data'!$B$1:$AH$15,33,FALSE))</f>
        <v/>
      </c>
      <c r="N181" s="513" t="str">
        <f t="shared" si="16"/>
        <v/>
      </c>
      <c r="O181" s="40"/>
      <c r="P181" s="154"/>
      <c r="Q181" s="203"/>
      <c r="R181" s="532" t="str">
        <f t="shared" si="17"/>
        <v/>
      </c>
      <c r="S181" s="532" t="str">
        <f t="shared" si="18"/>
        <v/>
      </c>
      <c r="T181" s="532" t="str">
        <f t="shared" si="19"/>
        <v/>
      </c>
      <c r="U181" s="557" t="str">
        <f t="shared" si="20"/>
        <v/>
      </c>
      <c r="V181" s="151"/>
      <c r="W181" s="152"/>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c r="AL181" s="31" t="str">
        <f>IFERROR(INDEX('G-6 Hedgerow Data'!$BJ$3:$BJ$15,MATCH(D181,'G-6 Hedgerow Data'!$B$3:$B$15,0)),"")</f>
        <v/>
      </c>
    </row>
    <row r="182" spans="2:38" ht="13.8" x14ac:dyDescent="0.25">
      <c r="B182" s="141">
        <v>173</v>
      </c>
      <c r="C182" s="203"/>
      <c r="D182" s="203"/>
      <c r="E182" s="153"/>
      <c r="F182" s="553" t="str">
        <f>IF(D182="","",VLOOKUP(D182,'G-6 Hedgerow Data'!$B$2:$AG$15,2,FALSE))</f>
        <v/>
      </c>
      <c r="G182" s="499" t="str">
        <f>IF(D182="","",VLOOKUP(D182,'G-6 Hedgerow Data'!$B$2:$AG$15,3,FALSE))</f>
        <v/>
      </c>
      <c r="H182" s="145"/>
      <c r="I182" s="499" t="str">
        <f>IFERROR(VLOOKUP(H182,'G-1 All Habitats'!$Z$2:$AA$9,2,FALSE),"")</f>
        <v/>
      </c>
      <c r="J182" s="145"/>
      <c r="K182" s="507" t="str">
        <f>IF(J182="","",IF(VLOOKUP(J182,'G-3 Multipliers'!$L$3:$N$6,2,FALSE)=0,"Spatial Data Missing",VLOOKUP(J182,'G-3 Multipliers'!$L$3:$N$6,2,FALSE)))</f>
        <v/>
      </c>
      <c r="L182" s="505" t="str">
        <f>IF(J182="","",IF(VLOOKUP(J182,'G-3 Multipliers'!$L$3:$N$6,3,FALSE)=0,"Spatial Data Missing ⚠",VLOOKUP(J182,'G-3 Multipliers'!$L$3:$N$6,3,FALSE)))</f>
        <v/>
      </c>
      <c r="M182" s="506" t="str">
        <f>IF(D182="","",VLOOKUP(D182,'G-6 Hedgerow Data'!$B$1:$AH$15,33,FALSE))</f>
        <v/>
      </c>
      <c r="N182" s="513" t="str">
        <f t="shared" si="16"/>
        <v/>
      </c>
      <c r="O182" s="40"/>
      <c r="P182" s="154"/>
      <c r="Q182" s="203"/>
      <c r="R182" s="532" t="str">
        <f t="shared" si="17"/>
        <v/>
      </c>
      <c r="S182" s="532" t="str">
        <f t="shared" si="18"/>
        <v/>
      </c>
      <c r="T182" s="532" t="str">
        <f t="shared" si="19"/>
        <v/>
      </c>
      <c r="U182" s="557" t="str">
        <f t="shared" si="20"/>
        <v/>
      </c>
      <c r="V182" s="151"/>
      <c r="W182" s="152"/>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c r="AL182" s="31" t="str">
        <f>IFERROR(INDEX('G-6 Hedgerow Data'!$BJ$3:$BJ$15,MATCH(D182,'G-6 Hedgerow Data'!$B$3:$B$15,0)),"")</f>
        <v/>
      </c>
    </row>
    <row r="183" spans="2:38" ht="13.8" x14ac:dyDescent="0.25">
      <c r="B183" s="141">
        <v>174</v>
      </c>
      <c r="C183" s="203"/>
      <c r="D183" s="203"/>
      <c r="E183" s="153"/>
      <c r="F183" s="553" t="str">
        <f>IF(D183="","",VLOOKUP(D183,'G-6 Hedgerow Data'!$B$2:$AG$15,2,FALSE))</f>
        <v/>
      </c>
      <c r="G183" s="499" t="str">
        <f>IF(D183="","",VLOOKUP(D183,'G-6 Hedgerow Data'!$B$2:$AG$15,3,FALSE))</f>
        <v/>
      </c>
      <c r="H183" s="145"/>
      <c r="I183" s="499" t="str">
        <f>IFERROR(VLOOKUP(H183,'G-1 All Habitats'!$Z$2:$AA$9,2,FALSE),"")</f>
        <v/>
      </c>
      <c r="J183" s="145"/>
      <c r="K183" s="507" t="str">
        <f>IF(J183="","",IF(VLOOKUP(J183,'G-3 Multipliers'!$L$3:$N$6,2,FALSE)=0,"Spatial Data Missing",VLOOKUP(J183,'G-3 Multipliers'!$L$3:$N$6,2,FALSE)))</f>
        <v/>
      </c>
      <c r="L183" s="505" t="str">
        <f>IF(J183="","",IF(VLOOKUP(J183,'G-3 Multipliers'!$L$3:$N$6,3,FALSE)=0,"Spatial Data Missing ⚠",VLOOKUP(J183,'G-3 Multipliers'!$L$3:$N$6,3,FALSE)))</f>
        <v/>
      </c>
      <c r="M183" s="506" t="str">
        <f>IF(D183="","",VLOOKUP(D183,'G-6 Hedgerow Data'!$B$1:$AH$15,33,FALSE))</f>
        <v/>
      </c>
      <c r="N183" s="513" t="str">
        <f t="shared" si="16"/>
        <v/>
      </c>
      <c r="O183" s="40"/>
      <c r="P183" s="154"/>
      <c r="Q183" s="203"/>
      <c r="R183" s="532" t="str">
        <f t="shared" si="17"/>
        <v/>
      </c>
      <c r="S183" s="532" t="str">
        <f t="shared" si="18"/>
        <v/>
      </c>
      <c r="T183" s="532" t="str">
        <f t="shared" si="19"/>
        <v/>
      </c>
      <c r="U183" s="557" t="str">
        <f t="shared" si="20"/>
        <v/>
      </c>
      <c r="V183" s="151"/>
      <c r="W183" s="152"/>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c r="AL183" s="31" t="str">
        <f>IFERROR(INDEX('G-6 Hedgerow Data'!$BJ$3:$BJ$15,MATCH(D183,'G-6 Hedgerow Data'!$B$3:$B$15,0)),"")</f>
        <v/>
      </c>
    </row>
    <row r="184" spans="2:38" ht="13.8" x14ac:dyDescent="0.25">
      <c r="B184" s="141">
        <v>175</v>
      </c>
      <c r="C184" s="203"/>
      <c r="D184" s="203"/>
      <c r="E184" s="153"/>
      <c r="F184" s="553" t="str">
        <f>IF(D184="","",VLOOKUP(D184,'G-6 Hedgerow Data'!$B$2:$AG$15,2,FALSE))</f>
        <v/>
      </c>
      <c r="G184" s="499" t="str">
        <f>IF(D184="","",VLOOKUP(D184,'G-6 Hedgerow Data'!$B$2:$AG$15,3,FALSE))</f>
        <v/>
      </c>
      <c r="H184" s="145"/>
      <c r="I184" s="499" t="str">
        <f>IFERROR(VLOOKUP(H184,'G-1 All Habitats'!$Z$2:$AA$9,2,FALSE),"")</f>
        <v/>
      </c>
      <c r="J184" s="145"/>
      <c r="K184" s="507" t="str">
        <f>IF(J184="","",IF(VLOOKUP(J184,'G-3 Multipliers'!$L$3:$N$6,2,FALSE)=0,"Spatial Data Missing",VLOOKUP(J184,'G-3 Multipliers'!$L$3:$N$6,2,FALSE)))</f>
        <v/>
      </c>
      <c r="L184" s="505" t="str">
        <f>IF(J184="","",IF(VLOOKUP(J184,'G-3 Multipliers'!$L$3:$N$6,3,FALSE)=0,"Spatial Data Missing ⚠",VLOOKUP(J184,'G-3 Multipliers'!$L$3:$N$6,3,FALSE)))</f>
        <v/>
      </c>
      <c r="M184" s="506" t="str">
        <f>IF(D184="","",VLOOKUP(D184,'G-6 Hedgerow Data'!$B$1:$AH$15,33,FALSE))</f>
        <v/>
      </c>
      <c r="N184" s="513" t="str">
        <f t="shared" si="16"/>
        <v/>
      </c>
      <c r="O184" s="40"/>
      <c r="P184" s="154"/>
      <c r="Q184" s="203"/>
      <c r="R184" s="532" t="str">
        <f t="shared" si="17"/>
        <v/>
      </c>
      <c r="S184" s="532" t="str">
        <f t="shared" si="18"/>
        <v/>
      </c>
      <c r="T184" s="532" t="str">
        <f t="shared" si="19"/>
        <v/>
      </c>
      <c r="U184" s="557" t="str">
        <f t="shared" si="20"/>
        <v/>
      </c>
      <c r="V184" s="151"/>
      <c r="W184" s="152"/>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c r="AL184" s="31" t="str">
        <f>IFERROR(INDEX('G-6 Hedgerow Data'!$BJ$3:$BJ$15,MATCH(D184,'G-6 Hedgerow Data'!$B$3:$B$15,0)),"")</f>
        <v/>
      </c>
    </row>
    <row r="185" spans="2:38" ht="13.8" x14ac:dyDescent="0.25">
      <c r="B185" s="141">
        <v>176</v>
      </c>
      <c r="C185" s="203"/>
      <c r="D185" s="203"/>
      <c r="E185" s="153"/>
      <c r="F185" s="553" t="str">
        <f>IF(D185="","",VLOOKUP(D185,'G-6 Hedgerow Data'!$B$2:$AG$15,2,FALSE))</f>
        <v/>
      </c>
      <c r="G185" s="499" t="str">
        <f>IF(D185="","",VLOOKUP(D185,'G-6 Hedgerow Data'!$B$2:$AG$15,3,FALSE))</f>
        <v/>
      </c>
      <c r="H185" s="145"/>
      <c r="I185" s="499" t="str">
        <f>IFERROR(VLOOKUP(H185,'G-1 All Habitats'!$Z$2:$AA$9,2,FALSE),"")</f>
        <v/>
      </c>
      <c r="J185" s="145"/>
      <c r="K185" s="507" t="str">
        <f>IF(J185="","",IF(VLOOKUP(J185,'G-3 Multipliers'!$L$3:$N$6,2,FALSE)=0,"Spatial Data Missing",VLOOKUP(J185,'G-3 Multipliers'!$L$3:$N$6,2,FALSE)))</f>
        <v/>
      </c>
      <c r="L185" s="505" t="str">
        <f>IF(J185="","",IF(VLOOKUP(J185,'G-3 Multipliers'!$L$3:$N$6,3,FALSE)=0,"Spatial Data Missing ⚠",VLOOKUP(J185,'G-3 Multipliers'!$L$3:$N$6,3,FALSE)))</f>
        <v/>
      </c>
      <c r="M185" s="506" t="str">
        <f>IF(D185="","",VLOOKUP(D185,'G-6 Hedgerow Data'!$B$1:$AH$15,33,FALSE))</f>
        <v/>
      </c>
      <c r="N185" s="513" t="str">
        <f t="shared" si="16"/>
        <v/>
      </c>
      <c r="O185" s="40"/>
      <c r="P185" s="154"/>
      <c r="Q185" s="203"/>
      <c r="R185" s="532" t="str">
        <f t="shared" si="17"/>
        <v/>
      </c>
      <c r="S185" s="532" t="str">
        <f t="shared" si="18"/>
        <v/>
      </c>
      <c r="T185" s="532" t="str">
        <f t="shared" si="19"/>
        <v/>
      </c>
      <c r="U185" s="557" t="str">
        <f t="shared" si="20"/>
        <v/>
      </c>
      <c r="V185" s="151"/>
      <c r="W185" s="152"/>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c r="AL185" s="31" t="str">
        <f>IFERROR(INDEX('G-6 Hedgerow Data'!$BJ$3:$BJ$15,MATCH(D185,'G-6 Hedgerow Data'!$B$3:$B$15,0)),"")</f>
        <v/>
      </c>
    </row>
    <row r="186" spans="2:38" ht="13.8" x14ac:dyDescent="0.25">
      <c r="B186" s="141">
        <v>177</v>
      </c>
      <c r="C186" s="203"/>
      <c r="D186" s="203"/>
      <c r="E186" s="153"/>
      <c r="F186" s="553" t="str">
        <f>IF(D186="","",VLOOKUP(D186,'G-6 Hedgerow Data'!$B$2:$AG$15,2,FALSE))</f>
        <v/>
      </c>
      <c r="G186" s="499" t="str">
        <f>IF(D186="","",VLOOKUP(D186,'G-6 Hedgerow Data'!$B$2:$AG$15,3,FALSE))</f>
        <v/>
      </c>
      <c r="H186" s="145"/>
      <c r="I186" s="499" t="str">
        <f>IFERROR(VLOOKUP(H186,'G-1 All Habitats'!$Z$2:$AA$9,2,FALSE),"")</f>
        <v/>
      </c>
      <c r="J186" s="145"/>
      <c r="K186" s="507" t="str">
        <f>IF(J186="","",IF(VLOOKUP(J186,'G-3 Multipliers'!$L$3:$N$6,2,FALSE)=0,"Spatial Data Missing",VLOOKUP(J186,'G-3 Multipliers'!$L$3:$N$6,2,FALSE)))</f>
        <v/>
      </c>
      <c r="L186" s="505" t="str">
        <f>IF(J186="","",IF(VLOOKUP(J186,'G-3 Multipliers'!$L$3:$N$6,3,FALSE)=0,"Spatial Data Missing ⚠",VLOOKUP(J186,'G-3 Multipliers'!$L$3:$N$6,3,FALSE)))</f>
        <v/>
      </c>
      <c r="M186" s="506" t="str">
        <f>IF(D186="","",VLOOKUP(D186,'G-6 Hedgerow Data'!$B$1:$AH$15,33,FALSE))</f>
        <v/>
      </c>
      <c r="N186" s="513" t="str">
        <f t="shared" si="16"/>
        <v/>
      </c>
      <c r="O186" s="40"/>
      <c r="P186" s="154"/>
      <c r="Q186" s="203"/>
      <c r="R186" s="532" t="str">
        <f t="shared" si="17"/>
        <v/>
      </c>
      <c r="S186" s="532" t="str">
        <f t="shared" si="18"/>
        <v/>
      </c>
      <c r="T186" s="532" t="str">
        <f t="shared" si="19"/>
        <v/>
      </c>
      <c r="U186" s="557" t="str">
        <f t="shared" si="20"/>
        <v/>
      </c>
      <c r="V186" s="151"/>
      <c r="W186" s="152"/>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c r="AL186" s="31" t="str">
        <f>IFERROR(INDEX('G-6 Hedgerow Data'!$BJ$3:$BJ$15,MATCH(D186,'G-6 Hedgerow Data'!$B$3:$B$15,0)),"")</f>
        <v/>
      </c>
    </row>
    <row r="187" spans="2:38" ht="13.8" x14ac:dyDescent="0.25">
      <c r="B187" s="141">
        <v>178</v>
      </c>
      <c r="C187" s="203"/>
      <c r="D187" s="203"/>
      <c r="E187" s="153"/>
      <c r="F187" s="553" t="str">
        <f>IF(D187="","",VLOOKUP(D187,'G-6 Hedgerow Data'!$B$2:$AG$15,2,FALSE))</f>
        <v/>
      </c>
      <c r="G187" s="499" t="str">
        <f>IF(D187="","",VLOOKUP(D187,'G-6 Hedgerow Data'!$B$2:$AG$15,3,FALSE))</f>
        <v/>
      </c>
      <c r="H187" s="145"/>
      <c r="I187" s="499" t="str">
        <f>IFERROR(VLOOKUP(H187,'G-1 All Habitats'!$Z$2:$AA$9,2,FALSE),"")</f>
        <v/>
      </c>
      <c r="J187" s="145"/>
      <c r="K187" s="507" t="str">
        <f>IF(J187="","",IF(VLOOKUP(J187,'G-3 Multipliers'!$L$3:$N$6,2,FALSE)=0,"Spatial Data Missing",VLOOKUP(J187,'G-3 Multipliers'!$L$3:$N$6,2,FALSE)))</f>
        <v/>
      </c>
      <c r="L187" s="505" t="str">
        <f>IF(J187="","",IF(VLOOKUP(J187,'G-3 Multipliers'!$L$3:$N$6,3,FALSE)=0,"Spatial Data Missing ⚠",VLOOKUP(J187,'G-3 Multipliers'!$L$3:$N$6,3,FALSE)))</f>
        <v/>
      </c>
      <c r="M187" s="506" t="str">
        <f>IF(D187="","",VLOOKUP(D187,'G-6 Hedgerow Data'!$B$1:$AH$15,33,FALSE))</f>
        <v/>
      </c>
      <c r="N187" s="513" t="str">
        <f t="shared" si="16"/>
        <v/>
      </c>
      <c r="O187" s="40"/>
      <c r="P187" s="154"/>
      <c r="Q187" s="203"/>
      <c r="R187" s="532" t="str">
        <f t="shared" si="17"/>
        <v/>
      </c>
      <c r="S187" s="532" t="str">
        <f t="shared" si="18"/>
        <v/>
      </c>
      <c r="T187" s="532" t="str">
        <f t="shared" si="19"/>
        <v/>
      </c>
      <c r="U187" s="557" t="str">
        <f t="shared" si="20"/>
        <v/>
      </c>
      <c r="V187" s="151"/>
      <c r="W187" s="152"/>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c r="AL187" s="31" t="str">
        <f>IFERROR(INDEX('G-6 Hedgerow Data'!$BJ$3:$BJ$15,MATCH(D187,'G-6 Hedgerow Data'!$B$3:$B$15,0)),"")</f>
        <v/>
      </c>
    </row>
    <row r="188" spans="2:38" ht="13.8" x14ac:dyDescent="0.25">
      <c r="B188" s="141">
        <v>179</v>
      </c>
      <c r="C188" s="203"/>
      <c r="D188" s="203"/>
      <c r="E188" s="153"/>
      <c r="F188" s="553" t="str">
        <f>IF(D188="","",VLOOKUP(D188,'G-6 Hedgerow Data'!$B$2:$AG$15,2,FALSE))</f>
        <v/>
      </c>
      <c r="G188" s="499" t="str">
        <f>IF(D188="","",VLOOKUP(D188,'G-6 Hedgerow Data'!$B$2:$AG$15,3,FALSE))</f>
        <v/>
      </c>
      <c r="H188" s="145"/>
      <c r="I188" s="499" t="str">
        <f>IFERROR(VLOOKUP(H188,'G-1 All Habitats'!$Z$2:$AA$9,2,FALSE),"")</f>
        <v/>
      </c>
      <c r="J188" s="145"/>
      <c r="K188" s="507" t="str">
        <f>IF(J188="","",IF(VLOOKUP(J188,'G-3 Multipliers'!$L$3:$N$6,2,FALSE)=0,"Spatial Data Missing",VLOOKUP(J188,'G-3 Multipliers'!$L$3:$N$6,2,FALSE)))</f>
        <v/>
      </c>
      <c r="L188" s="505" t="str">
        <f>IF(J188="","",IF(VLOOKUP(J188,'G-3 Multipliers'!$L$3:$N$6,3,FALSE)=0,"Spatial Data Missing ⚠",VLOOKUP(J188,'G-3 Multipliers'!$L$3:$N$6,3,FALSE)))</f>
        <v/>
      </c>
      <c r="M188" s="506" t="str">
        <f>IF(D188="","",VLOOKUP(D188,'G-6 Hedgerow Data'!$B$1:$AH$15,33,FALSE))</f>
        <v/>
      </c>
      <c r="N188" s="513" t="str">
        <f t="shared" si="16"/>
        <v/>
      </c>
      <c r="O188" s="40"/>
      <c r="P188" s="154"/>
      <c r="Q188" s="203"/>
      <c r="R188" s="532" t="str">
        <f t="shared" si="17"/>
        <v/>
      </c>
      <c r="S188" s="532" t="str">
        <f t="shared" si="18"/>
        <v/>
      </c>
      <c r="T188" s="532" t="str">
        <f t="shared" si="19"/>
        <v/>
      </c>
      <c r="U188" s="557" t="str">
        <f t="shared" si="20"/>
        <v/>
      </c>
      <c r="V188" s="151"/>
      <c r="W188" s="152"/>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c r="AL188" s="31" t="str">
        <f>IFERROR(INDEX('G-6 Hedgerow Data'!$BJ$3:$BJ$15,MATCH(D188,'G-6 Hedgerow Data'!$B$3:$B$15,0)),"")</f>
        <v/>
      </c>
    </row>
    <row r="189" spans="2:38" ht="13.8" x14ac:dyDescent="0.25">
      <c r="B189" s="141">
        <v>180</v>
      </c>
      <c r="C189" s="203"/>
      <c r="D189" s="203"/>
      <c r="E189" s="153"/>
      <c r="F189" s="553" t="str">
        <f>IF(D189="","",VLOOKUP(D189,'G-6 Hedgerow Data'!$B$2:$AG$15,2,FALSE))</f>
        <v/>
      </c>
      <c r="G189" s="499" t="str">
        <f>IF(D189="","",VLOOKUP(D189,'G-6 Hedgerow Data'!$B$2:$AG$15,3,FALSE))</f>
        <v/>
      </c>
      <c r="H189" s="145"/>
      <c r="I189" s="499" t="str">
        <f>IFERROR(VLOOKUP(H189,'G-1 All Habitats'!$Z$2:$AA$9,2,FALSE),"")</f>
        <v/>
      </c>
      <c r="J189" s="145"/>
      <c r="K189" s="507" t="str">
        <f>IF(J189="","",IF(VLOOKUP(J189,'G-3 Multipliers'!$L$3:$N$6,2,FALSE)=0,"Spatial Data Missing",VLOOKUP(J189,'G-3 Multipliers'!$L$3:$N$6,2,FALSE)))</f>
        <v/>
      </c>
      <c r="L189" s="505" t="str">
        <f>IF(J189="","",IF(VLOOKUP(J189,'G-3 Multipliers'!$L$3:$N$6,3,FALSE)=0,"Spatial Data Missing ⚠",VLOOKUP(J189,'G-3 Multipliers'!$L$3:$N$6,3,FALSE)))</f>
        <v/>
      </c>
      <c r="M189" s="506" t="str">
        <f>IF(D189="","",VLOOKUP(D189,'G-6 Hedgerow Data'!$B$1:$AH$15,33,FALSE))</f>
        <v/>
      </c>
      <c r="N189" s="513" t="str">
        <f t="shared" si="16"/>
        <v/>
      </c>
      <c r="O189" s="40"/>
      <c r="P189" s="154"/>
      <c r="Q189" s="203"/>
      <c r="R189" s="532" t="str">
        <f t="shared" si="17"/>
        <v/>
      </c>
      <c r="S189" s="532" t="str">
        <f t="shared" si="18"/>
        <v/>
      </c>
      <c r="T189" s="532" t="str">
        <f t="shared" si="19"/>
        <v/>
      </c>
      <c r="U189" s="557" t="str">
        <f t="shared" si="20"/>
        <v/>
      </c>
      <c r="V189" s="151"/>
      <c r="W189" s="152"/>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c r="AL189" s="31" t="str">
        <f>IFERROR(INDEX('G-6 Hedgerow Data'!$BJ$3:$BJ$15,MATCH(D189,'G-6 Hedgerow Data'!$B$3:$B$15,0)),"")</f>
        <v/>
      </c>
    </row>
    <row r="190" spans="2:38" ht="13.8" x14ac:dyDescent="0.25">
      <c r="B190" s="141">
        <v>181</v>
      </c>
      <c r="C190" s="203"/>
      <c r="D190" s="203"/>
      <c r="E190" s="153"/>
      <c r="F190" s="553" t="str">
        <f>IF(D190="","",VLOOKUP(D190,'G-6 Hedgerow Data'!$B$2:$AG$15,2,FALSE))</f>
        <v/>
      </c>
      <c r="G190" s="499" t="str">
        <f>IF(D190="","",VLOOKUP(D190,'G-6 Hedgerow Data'!$B$2:$AG$15,3,FALSE))</f>
        <v/>
      </c>
      <c r="H190" s="145"/>
      <c r="I190" s="499" t="str">
        <f>IFERROR(VLOOKUP(H190,'G-1 All Habitats'!$Z$2:$AA$9,2,FALSE),"")</f>
        <v/>
      </c>
      <c r="J190" s="145"/>
      <c r="K190" s="507" t="str">
        <f>IF(J190="","",IF(VLOOKUP(J190,'G-3 Multipliers'!$L$3:$N$6,2,FALSE)=0,"Spatial Data Missing",VLOOKUP(J190,'G-3 Multipliers'!$L$3:$N$6,2,FALSE)))</f>
        <v/>
      </c>
      <c r="L190" s="505" t="str">
        <f>IF(J190="","",IF(VLOOKUP(J190,'G-3 Multipliers'!$L$3:$N$6,3,FALSE)=0,"Spatial Data Missing ⚠",VLOOKUP(J190,'G-3 Multipliers'!$L$3:$N$6,3,FALSE)))</f>
        <v/>
      </c>
      <c r="M190" s="506" t="str">
        <f>IF(D190="","",VLOOKUP(D190,'G-6 Hedgerow Data'!$B$1:$AH$15,33,FALSE))</f>
        <v/>
      </c>
      <c r="N190" s="513" t="str">
        <f t="shared" si="16"/>
        <v/>
      </c>
      <c r="O190" s="40"/>
      <c r="P190" s="154"/>
      <c r="Q190" s="203"/>
      <c r="R190" s="532" t="str">
        <f t="shared" si="17"/>
        <v/>
      </c>
      <c r="S190" s="532" t="str">
        <f t="shared" si="18"/>
        <v/>
      </c>
      <c r="T190" s="532" t="str">
        <f t="shared" si="19"/>
        <v/>
      </c>
      <c r="U190" s="557" t="str">
        <f t="shared" si="20"/>
        <v/>
      </c>
      <c r="V190" s="151"/>
      <c r="W190" s="152"/>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c r="AL190" s="31" t="str">
        <f>IFERROR(INDEX('G-6 Hedgerow Data'!$BJ$3:$BJ$15,MATCH(D190,'G-6 Hedgerow Data'!$B$3:$B$15,0)),"")</f>
        <v/>
      </c>
    </row>
    <row r="191" spans="2:38" ht="13.8" x14ac:dyDescent="0.25">
      <c r="B191" s="141">
        <v>182</v>
      </c>
      <c r="C191" s="203"/>
      <c r="D191" s="203"/>
      <c r="E191" s="153"/>
      <c r="F191" s="553" t="str">
        <f>IF(D191="","",VLOOKUP(D191,'G-6 Hedgerow Data'!$B$2:$AG$15,2,FALSE))</f>
        <v/>
      </c>
      <c r="G191" s="499" t="str">
        <f>IF(D191="","",VLOOKUP(D191,'G-6 Hedgerow Data'!$B$2:$AG$15,3,FALSE))</f>
        <v/>
      </c>
      <c r="H191" s="145"/>
      <c r="I191" s="499" t="str">
        <f>IFERROR(VLOOKUP(H191,'G-1 All Habitats'!$Z$2:$AA$9,2,FALSE),"")</f>
        <v/>
      </c>
      <c r="J191" s="145"/>
      <c r="K191" s="507" t="str">
        <f>IF(J191="","",IF(VLOOKUP(J191,'G-3 Multipliers'!$L$3:$N$6,2,FALSE)=0,"Spatial Data Missing",VLOOKUP(J191,'G-3 Multipliers'!$L$3:$N$6,2,FALSE)))</f>
        <v/>
      </c>
      <c r="L191" s="505" t="str">
        <f>IF(J191="","",IF(VLOOKUP(J191,'G-3 Multipliers'!$L$3:$N$6,3,FALSE)=0,"Spatial Data Missing ⚠",VLOOKUP(J191,'G-3 Multipliers'!$L$3:$N$6,3,FALSE)))</f>
        <v/>
      </c>
      <c r="M191" s="506" t="str">
        <f>IF(D191="","",VLOOKUP(D191,'G-6 Hedgerow Data'!$B$1:$AH$15,33,FALSE))</f>
        <v/>
      </c>
      <c r="N191" s="513" t="str">
        <f t="shared" si="16"/>
        <v/>
      </c>
      <c r="O191" s="40"/>
      <c r="P191" s="154"/>
      <c r="Q191" s="203"/>
      <c r="R191" s="532" t="str">
        <f t="shared" si="17"/>
        <v/>
      </c>
      <c r="S191" s="532" t="str">
        <f t="shared" si="18"/>
        <v/>
      </c>
      <c r="T191" s="532" t="str">
        <f t="shared" si="19"/>
        <v/>
      </c>
      <c r="U191" s="557" t="str">
        <f t="shared" si="20"/>
        <v/>
      </c>
      <c r="V191" s="151"/>
      <c r="W191" s="152"/>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c r="AL191" s="31" t="str">
        <f>IFERROR(INDEX('G-6 Hedgerow Data'!$BJ$3:$BJ$15,MATCH(D191,'G-6 Hedgerow Data'!$B$3:$B$15,0)),"")</f>
        <v/>
      </c>
    </row>
    <row r="192" spans="2:38" ht="13.8" x14ac:dyDescent="0.25">
      <c r="B192" s="141">
        <v>183</v>
      </c>
      <c r="C192" s="203"/>
      <c r="D192" s="203"/>
      <c r="E192" s="153"/>
      <c r="F192" s="553" t="str">
        <f>IF(D192="","",VLOOKUP(D192,'G-6 Hedgerow Data'!$B$2:$AG$15,2,FALSE))</f>
        <v/>
      </c>
      <c r="G192" s="499" t="str">
        <f>IF(D192="","",VLOOKUP(D192,'G-6 Hedgerow Data'!$B$2:$AG$15,3,FALSE))</f>
        <v/>
      </c>
      <c r="H192" s="145"/>
      <c r="I192" s="499" t="str">
        <f>IFERROR(VLOOKUP(H192,'G-1 All Habitats'!$Z$2:$AA$9,2,FALSE),"")</f>
        <v/>
      </c>
      <c r="J192" s="145"/>
      <c r="K192" s="507" t="str">
        <f>IF(J192="","",IF(VLOOKUP(J192,'G-3 Multipliers'!$L$3:$N$6,2,FALSE)=0,"Spatial Data Missing",VLOOKUP(J192,'G-3 Multipliers'!$L$3:$N$6,2,FALSE)))</f>
        <v/>
      </c>
      <c r="L192" s="505" t="str">
        <f>IF(J192="","",IF(VLOOKUP(J192,'G-3 Multipliers'!$L$3:$N$6,3,FALSE)=0,"Spatial Data Missing ⚠",VLOOKUP(J192,'G-3 Multipliers'!$L$3:$N$6,3,FALSE)))</f>
        <v/>
      </c>
      <c r="M192" s="506" t="str">
        <f>IF(D192="","",VLOOKUP(D192,'G-6 Hedgerow Data'!$B$1:$AH$15,33,FALSE))</f>
        <v/>
      </c>
      <c r="N192" s="513" t="str">
        <f t="shared" si="16"/>
        <v/>
      </c>
      <c r="O192" s="40"/>
      <c r="P192" s="154"/>
      <c r="Q192" s="203"/>
      <c r="R192" s="532" t="str">
        <f t="shared" si="17"/>
        <v/>
      </c>
      <c r="S192" s="532" t="str">
        <f t="shared" si="18"/>
        <v/>
      </c>
      <c r="T192" s="532" t="str">
        <f t="shared" si="19"/>
        <v/>
      </c>
      <c r="U192" s="557" t="str">
        <f t="shared" si="20"/>
        <v/>
      </c>
      <c r="V192" s="151"/>
      <c r="W192" s="152"/>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c r="AL192" s="31" t="str">
        <f>IFERROR(INDEX('G-6 Hedgerow Data'!$BJ$3:$BJ$15,MATCH(D192,'G-6 Hedgerow Data'!$B$3:$B$15,0)),"")</f>
        <v/>
      </c>
    </row>
    <row r="193" spans="2:38" ht="13.8" x14ac:dyDescent="0.25">
      <c r="B193" s="141">
        <v>184</v>
      </c>
      <c r="C193" s="203"/>
      <c r="D193" s="203"/>
      <c r="E193" s="153"/>
      <c r="F193" s="553" t="str">
        <f>IF(D193="","",VLOOKUP(D193,'G-6 Hedgerow Data'!$B$2:$AG$15,2,FALSE))</f>
        <v/>
      </c>
      <c r="G193" s="499" t="str">
        <f>IF(D193="","",VLOOKUP(D193,'G-6 Hedgerow Data'!$B$2:$AG$15,3,FALSE))</f>
        <v/>
      </c>
      <c r="H193" s="145"/>
      <c r="I193" s="499" t="str">
        <f>IFERROR(VLOOKUP(H193,'G-1 All Habitats'!$Z$2:$AA$9,2,FALSE),"")</f>
        <v/>
      </c>
      <c r="J193" s="145"/>
      <c r="K193" s="507" t="str">
        <f>IF(J193="","",IF(VLOOKUP(J193,'G-3 Multipliers'!$L$3:$N$6,2,FALSE)=0,"Spatial Data Missing",VLOOKUP(J193,'G-3 Multipliers'!$L$3:$N$6,2,FALSE)))</f>
        <v/>
      </c>
      <c r="L193" s="505" t="str">
        <f>IF(J193="","",IF(VLOOKUP(J193,'G-3 Multipliers'!$L$3:$N$6,3,FALSE)=0,"Spatial Data Missing ⚠",VLOOKUP(J193,'G-3 Multipliers'!$L$3:$N$6,3,FALSE)))</f>
        <v/>
      </c>
      <c r="M193" s="506" t="str">
        <f>IF(D193="","",VLOOKUP(D193,'G-6 Hedgerow Data'!$B$1:$AH$15,33,FALSE))</f>
        <v/>
      </c>
      <c r="N193" s="513" t="str">
        <f t="shared" si="16"/>
        <v/>
      </c>
      <c r="O193" s="40"/>
      <c r="P193" s="154"/>
      <c r="Q193" s="203"/>
      <c r="R193" s="532" t="str">
        <f t="shared" si="17"/>
        <v/>
      </c>
      <c r="S193" s="532" t="str">
        <f t="shared" si="18"/>
        <v/>
      </c>
      <c r="T193" s="532" t="str">
        <f t="shared" si="19"/>
        <v/>
      </c>
      <c r="U193" s="557" t="str">
        <f t="shared" si="20"/>
        <v/>
      </c>
      <c r="V193" s="151"/>
      <c r="W193" s="152"/>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c r="AL193" s="31" t="str">
        <f>IFERROR(INDEX('G-6 Hedgerow Data'!$BJ$3:$BJ$15,MATCH(D193,'G-6 Hedgerow Data'!$B$3:$B$15,0)),"")</f>
        <v/>
      </c>
    </row>
    <row r="194" spans="2:38" ht="13.8" x14ac:dyDescent="0.25">
      <c r="B194" s="141">
        <v>185</v>
      </c>
      <c r="C194" s="203"/>
      <c r="D194" s="203"/>
      <c r="E194" s="153"/>
      <c r="F194" s="553" t="str">
        <f>IF(D194="","",VLOOKUP(D194,'G-6 Hedgerow Data'!$B$2:$AG$15,2,FALSE))</f>
        <v/>
      </c>
      <c r="G194" s="499" t="str">
        <f>IF(D194="","",VLOOKUP(D194,'G-6 Hedgerow Data'!$B$2:$AG$15,3,FALSE))</f>
        <v/>
      </c>
      <c r="H194" s="145"/>
      <c r="I194" s="499" t="str">
        <f>IFERROR(VLOOKUP(H194,'G-1 All Habitats'!$Z$2:$AA$9,2,FALSE),"")</f>
        <v/>
      </c>
      <c r="J194" s="145"/>
      <c r="K194" s="507" t="str">
        <f>IF(J194="","",IF(VLOOKUP(J194,'G-3 Multipliers'!$L$3:$N$6,2,FALSE)=0,"Spatial Data Missing",VLOOKUP(J194,'G-3 Multipliers'!$L$3:$N$6,2,FALSE)))</f>
        <v/>
      </c>
      <c r="L194" s="505" t="str">
        <f>IF(J194="","",IF(VLOOKUP(J194,'G-3 Multipliers'!$L$3:$N$6,3,FALSE)=0,"Spatial Data Missing ⚠",VLOOKUP(J194,'G-3 Multipliers'!$L$3:$N$6,3,FALSE)))</f>
        <v/>
      </c>
      <c r="M194" s="506" t="str">
        <f>IF(D194="","",VLOOKUP(D194,'G-6 Hedgerow Data'!$B$1:$AH$15,33,FALSE))</f>
        <v/>
      </c>
      <c r="N194" s="513" t="str">
        <f t="shared" si="16"/>
        <v/>
      </c>
      <c r="O194" s="40"/>
      <c r="P194" s="154"/>
      <c r="Q194" s="203"/>
      <c r="R194" s="532" t="str">
        <f t="shared" si="17"/>
        <v/>
      </c>
      <c r="S194" s="532" t="str">
        <f t="shared" si="18"/>
        <v/>
      </c>
      <c r="T194" s="532" t="str">
        <f t="shared" si="19"/>
        <v/>
      </c>
      <c r="U194" s="557" t="str">
        <f t="shared" si="20"/>
        <v/>
      </c>
      <c r="V194" s="151"/>
      <c r="W194" s="152"/>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c r="AL194" s="31" t="str">
        <f>IFERROR(INDEX('G-6 Hedgerow Data'!$BJ$3:$BJ$15,MATCH(D194,'G-6 Hedgerow Data'!$B$3:$B$15,0)),"")</f>
        <v/>
      </c>
    </row>
    <row r="195" spans="2:38" ht="13.8" x14ac:dyDescent="0.25">
      <c r="B195" s="141">
        <v>186</v>
      </c>
      <c r="C195" s="203"/>
      <c r="D195" s="203"/>
      <c r="E195" s="153"/>
      <c r="F195" s="553" t="str">
        <f>IF(D195="","",VLOOKUP(D195,'G-6 Hedgerow Data'!$B$2:$AG$15,2,FALSE))</f>
        <v/>
      </c>
      <c r="G195" s="499" t="str">
        <f>IF(D195="","",VLOOKUP(D195,'G-6 Hedgerow Data'!$B$2:$AG$15,3,FALSE))</f>
        <v/>
      </c>
      <c r="H195" s="145"/>
      <c r="I195" s="499" t="str">
        <f>IFERROR(VLOOKUP(H195,'G-1 All Habitats'!$Z$2:$AA$9,2,FALSE),"")</f>
        <v/>
      </c>
      <c r="J195" s="145"/>
      <c r="K195" s="507" t="str">
        <f>IF(J195="","",IF(VLOOKUP(J195,'G-3 Multipliers'!$L$3:$N$6,2,FALSE)=0,"Spatial Data Missing",VLOOKUP(J195,'G-3 Multipliers'!$L$3:$N$6,2,FALSE)))</f>
        <v/>
      </c>
      <c r="L195" s="505" t="str">
        <f>IF(J195="","",IF(VLOOKUP(J195,'G-3 Multipliers'!$L$3:$N$6,3,FALSE)=0,"Spatial Data Missing ⚠",VLOOKUP(J195,'G-3 Multipliers'!$L$3:$N$6,3,FALSE)))</f>
        <v/>
      </c>
      <c r="M195" s="506" t="str">
        <f>IF(D195="","",VLOOKUP(D195,'G-6 Hedgerow Data'!$B$1:$AH$15,33,FALSE))</f>
        <v/>
      </c>
      <c r="N195" s="513" t="str">
        <f t="shared" si="16"/>
        <v/>
      </c>
      <c r="O195" s="40"/>
      <c r="P195" s="154"/>
      <c r="Q195" s="203"/>
      <c r="R195" s="532" t="str">
        <f t="shared" si="17"/>
        <v/>
      </c>
      <c r="S195" s="532" t="str">
        <f t="shared" si="18"/>
        <v/>
      </c>
      <c r="T195" s="532" t="str">
        <f t="shared" si="19"/>
        <v/>
      </c>
      <c r="U195" s="557" t="str">
        <f t="shared" si="20"/>
        <v/>
      </c>
      <c r="V195" s="151"/>
      <c r="W195" s="152"/>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c r="AL195" s="31" t="str">
        <f>IFERROR(INDEX('G-6 Hedgerow Data'!$BJ$3:$BJ$15,MATCH(D195,'G-6 Hedgerow Data'!$B$3:$B$15,0)),"")</f>
        <v/>
      </c>
    </row>
    <row r="196" spans="2:38" ht="13.8" x14ac:dyDescent="0.25">
      <c r="B196" s="141">
        <v>187</v>
      </c>
      <c r="C196" s="203"/>
      <c r="D196" s="203"/>
      <c r="E196" s="153"/>
      <c r="F196" s="553" t="str">
        <f>IF(D196="","",VLOOKUP(D196,'G-6 Hedgerow Data'!$B$2:$AG$15,2,FALSE))</f>
        <v/>
      </c>
      <c r="G196" s="499" t="str">
        <f>IF(D196="","",VLOOKUP(D196,'G-6 Hedgerow Data'!$B$2:$AG$15,3,FALSE))</f>
        <v/>
      </c>
      <c r="H196" s="145"/>
      <c r="I196" s="499" t="str">
        <f>IFERROR(VLOOKUP(H196,'G-1 All Habitats'!$Z$2:$AA$9,2,FALSE),"")</f>
        <v/>
      </c>
      <c r="J196" s="145"/>
      <c r="K196" s="507" t="str">
        <f>IF(J196="","",IF(VLOOKUP(J196,'G-3 Multipliers'!$L$3:$N$6,2,FALSE)=0,"Spatial Data Missing",VLOOKUP(J196,'G-3 Multipliers'!$L$3:$N$6,2,FALSE)))</f>
        <v/>
      </c>
      <c r="L196" s="505" t="str">
        <f>IF(J196="","",IF(VLOOKUP(J196,'G-3 Multipliers'!$L$3:$N$6,3,FALSE)=0,"Spatial Data Missing ⚠",VLOOKUP(J196,'G-3 Multipliers'!$L$3:$N$6,3,FALSE)))</f>
        <v/>
      </c>
      <c r="M196" s="506" t="str">
        <f>IF(D196="","",VLOOKUP(D196,'G-6 Hedgerow Data'!$B$1:$AH$15,33,FALSE))</f>
        <v/>
      </c>
      <c r="N196" s="513" t="str">
        <f t="shared" si="16"/>
        <v/>
      </c>
      <c r="O196" s="40"/>
      <c r="P196" s="154"/>
      <c r="Q196" s="203"/>
      <c r="R196" s="532" t="str">
        <f t="shared" si="17"/>
        <v/>
      </c>
      <c r="S196" s="532" t="str">
        <f t="shared" si="18"/>
        <v/>
      </c>
      <c r="T196" s="532" t="str">
        <f t="shared" si="19"/>
        <v/>
      </c>
      <c r="U196" s="557" t="str">
        <f t="shared" si="20"/>
        <v/>
      </c>
      <c r="V196" s="151"/>
      <c r="W196" s="152"/>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c r="AL196" s="31" t="str">
        <f>IFERROR(INDEX('G-6 Hedgerow Data'!$BJ$3:$BJ$15,MATCH(D196,'G-6 Hedgerow Data'!$B$3:$B$15,0)),"")</f>
        <v/>
      </c>
    </row>
    <row r="197" spans="2:38" ht="13.8" x14ac:dyDescent="0.25">
      <c r="B197" s="141">
        <v>188</v>
      </c>
      <c r="C197" s="203"/>
      <c r="D197" s="203"/>
      <c r="E197" s="153"/>
      <c r="F197" s="553" t="str">
        <f>IF(D197="","",VLOOKUP(D197,'G-6 Hedgerow Data'!$B$2:$AG$15,2,FALSE))</f>
        <v/>
      </c>
      <c r="G197" s="499" t="str">
        <f>IF(D197="","",VLOOKUP(D197,'G-6 Hedgerow Data'!$B$2:$AG$15,3,FALSE))</f>
        <v/>
      </c>
      <c r="H197" s="145"/>
      <c r="I197" s="499" t="str">
        <f>IFERROR(VLOOKUP(H197,'G-1 All Habitats'!$Z$2:$AA$9,2,FALSE),"")</f>
        <v/>
      </c>
      <c r="J197" s="145"/>
      <c r="K197" s="507" t="str">
        <f>IF(J197="","",IF(VLOOKUP(J197,'G-3 Multipliers'!$L$3:$N$6,2,FALSE)=0,"Spatial Data Missing",VLOOKUP(J197,'G-3 Multipliers'!$L$3:$N$6,2,FALSE)))</f>
        <v/>
      </c>
      <c r="L197" s="505" t="str">
        <f>IF(J197="","",IF(VLOOKUP(J197,'G-3 Multipliers'!$L$3:$N$6,3,FALSE)=0,"Spatial Data Missing ⚠",VLOOKUP(J197,'G-3 Multipliers'!$L$3:$N$6,3,FALSE)))</f>
        <v/>
      </c>
      <c r="M197" s="506" t="str">
        <f>IF(D197="","",VLOOKUP(D197,'G-6 Hedgerow Data'!$B$1:$AH$15,33,FALSE))</f>
        <v/>
      </c>
      <c r="N197" s="513" t="str">
        <f t="shared" si="16"/>
        <v/>
      </c>
      <c r="O197" s="40"/>
      <c r="P197" s="154"/>
      <c r="Q197" s="203"/>
      <c r="R197" s="532" t="str">
        <f t="shared" si="17"/>
        <v/>
      </c>
      <c r="S197" s="532" t="str">
        <f t="shared" si="18"/>
        <v/>
      </c>
      <c r="T197" s="532" t="str">
        <f t="shared" si="19"/>
        <v/>
      </c>
      <c r="U197" s="557" t="str">
        <f t="shared" si="20"/>
        <v/>
      </c>
      <c r="V197" s="151"/>
      <c r="W197" s="152"/>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c r="AL197" s="31" t="str">
        <f>IFERROR(INDEX('G-6 Hedgerow Data'!$BJ$3:$BJ$15,MATCH(D197,'G-6 Hedgerow Data'!$B$3:$B$15,0)),"")</f>
        <v/>
      </c>
    </row>
    <row r="198" spans="2:38" ht="13.8" x14ac:dyDescent="0.25">
      <c r="B198" s="141">
        <v>189</v>
      </c>
      <c r="C198" s="203"/>
      <c r="D198" s="203"/>
      <c r="E198" s="153"/>
      <c r="F198" s="553" t="str">
        <f>IF(D198="","",VLOOKUP(D198,'G-6 Hedgerow Data'!$B$2:$AG$15,2,FALSE))</f>
        <v/>
      </c>
      <c r="G198" s="499" t="str">
        <f>IF(D198="","",VLOOKUP(D198,'G-6 Hedgerow Data'!$B$2:$AG$15,3,FALSE))</f>
        <v/>
      </c>
      <c r="H198" s="145"/>
      <c r="I198" s="499" t="str">
        <f>IFERROR(VLOOKUP(H198,'G-1 All Habitats'!$Z$2:$AA$9,2,FALSE),"")</f>
        <v/>
      </c>
      <c r="J198" s="145"/>
      <c r="K198" s="507" t="str">
        <f>IF(J198="","",IF(VLOOKUP(J198,'G-3 Multipliers'!$L$3:$N$6,2,FALSE)=0,"Spatial Data Missing",VLOOKUP(J198,'G-3 Multipliers'!$L$3:$N$6,2,FALSE)))</f>
        <v/>
      </c>
      <c r="L198" s="505" t="str">
        <f>IF(J198="","",IF(VLOOKUP(J198,'G-3 Multipliers'!$L$3:$N$6,3,FALSE)=0,"Spatial Data Missing ⚠",VLOOKUP(J198,'G-3 Multipliers'!$L$3:$N$6,3,FALSE)))</f>
        <v/>
      </c>
      <c r="M198" s="506" t="str">
        <f>IF(D198="","",VLOOKUP(D198,'G-6 Hedgerow Data'!$B$1:$AH$15,33,FALSE))</f>
        <v/>
      </c>
      <c r="N198" s="513" t="str">
        <f t="shared" si="16"/>
        <v/>
      </c>
      <c r="O198" s="40"/>
      <c r="P198" s="154"/>
      <c r="Q198" s="203"/>
      <c r="R198" s="532" t="str">
        <f t="shared" si="17"/>
        <v/>
      </c>
      <c r="S198" s="532" t="str">
        <f t="shared" si="18"/>
        <v/>
      </c>
      <c r="T198" s="532" t="str">
        <f t="shared" si="19"/>
        <v/>
      </c>
      <c r="U198" s="557" t="str">
        <f t="shared" si="20"/>
        <v/>
      </c>
      <c r="V198" s="151"/>
      <c r="W198" s="152"/>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c r="AL198" s="31" t="str">
        <f>IFERROR(INDEX('G-6 Hedgerow Data'!$BJ$3:$BJ$15,MATCH(D198,'G-6 Hedgerow Data'!$B$3:$B$15,0)),"")</f>
        <v/>
      </c>
    </row>
    <row r="199" spans="2:38" ht="13.8" x14ac:dyDescent="0.25">
      <c r="B199" s="141">
        <v>190</v>
      </c>
      <c r="C199" s="203"/>
      <c r="D199" s="203"/>
      <c r="E199" s="153"/>
      <c r="F199" s="553" t="str">
        <f>IF(D199="","",VLOOKUP(D199,'G-6 Hedgerow Data'!$B$2:$AG$15,2,FALSE))</f>
        <v/>
      </c>
      <c r="G199" s="499" t="str">
        <f>IF(D199="","",VLOOKUP(D199,'G-6 Hedgerow Data'!$B$2:$AG$15,3,FALSE))</f>
        <v/>
      </c>
      <c r="H199" s="145"/>
      <c r="I199" s="499" t="str">
        <f>IFERROR(VLOOKUP(H199,'G-1 All Habitats'!$Z$2:$AA$9,2,FALSE),"")</f>
        <v/>
      </c>
      <c r="J199" s="145"/>
      <c r="K199" s="507" t="str">
        <f>IF(J199="","",IF(VLOOKUP(J199,'G-3 Multipliers'!$L$3:$N$6,2,FALSE)=0,"Spatial Data Missing",VLOOKUP(J199,'G-3 Multipliers'!$L$3:$N$6,2,FALSE)))</f>
        <v/>
      </c>
      <c r="L199" s="505" t="str">
        <f>IF(J199="","",IF(VLOOKUP(J199,'G-3 Multipliers'!$L$3:$N$6,3,FALSE)=0,"Spatial Data Missing ⚠",VLOOKUP(J199,'G-3 Multipliers'!$L$3:$N$6,3,FALSE)))</f>
        <v/>
      </c>
      <c r="M199" s="506" t="str">
        <f>IF(D199="","",VLOOKUP(D199,'G-6 Hedgerow Data'!$B$1:$AH$15,33,FALSE))</f>
        <v/>
      </c>
      <c r="N199" s="513" t="str">
        <f t="shared" si="16"/>
        <v/>
      </c>
      <c r="O199" s="40"/>
      <c r="P199" s="154"/>
      <c r="Q199" s="203"/>
      <c r="R199" s="532" t="str">
        <f t="shared" si="17"/>
        <v/>
      </c>
      <c r="S199" s="532" t="str">
        <f t="shared" si="18"/>
        <v/>
      </c>
      <c r="T199" s="532" t="str">
        <f t="shared" si="19"/>
        <v/>
      </c>
      <c r="U199" s="557" t="str">
        <f t="shared" si="20"/>
        <v/>
      </c>
      <c r="V199" s="151"/>
      <c r="W199" s="152"/>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c r="AL199" s="31" t="str">
        <f>IFERROR(INDEX('G-6 Hedgerow Data'!$BJ$3:$BJ$15,MATCH(D199,'G-6 Hedgerow Data'!$B$3:$B$15,0)),"")</f>
        <v/>
      </c>
    </row>
    <row r="200" spans="2:38" ht="13.8" x14ac:dyDescent="0.25">
      <c r="B200" s="141">
        <v>191</v>
      </c>
      <c r="C200" s="203"/>
      <c r="D200" s="203"/>
      <c r="E200" s="153"/>
      <c r="F200" s="553" t="str">
        <f>IF(D200="","",VLOOKUP(D200,'G-6 Hedgerow Data'!$B$2:$AG$15,2,FALSE))</f>
        <v/>
      </c>
      <c r="G200" s="499" t="str">
        <f>IF(D200="","",VLOOKUP(D200,'G-6 Hedgerow Data'!$B$2:$AG$15,3,FALSE))</f>
        <v/>
      </c>
      <c r="H200" s="145"/>
      <c r="I200" s="499" t="str">
        <f>IFERROR(VLOOKUP(H200,'G-1 All Habitats'!$Z$2:$AA$9,2,FALSE),"")</f>
        <v/>
      </c>
      <c r="J200" s="145"/>
      <c r="K200" s="507" t="str">
        <f>IF(J200="","",IF(VLOOKUP(J200,'G-3 Multipliers'!$L$3:$N$6,2,FALSE)=0,"Spatial Data Missing",VLOOKUP(J200,'G-3 Multipliers'!$L$3:$N$6,2,FALSE)))</f>
        <v/>
      </c>
      <c r="L200" s="505" t="str">
        <f>IF(J200="","",IF(VLOOKUP(J200,'G-3 Multipliers'!$L$3:$N$6,3,FALSE)=0,"Spatial Data Missing ⚠",VLOOKUP(J200,'G-3 Multipliers'!$L$3:$N$6,3,FALSE)))</f>
        <v/>
      </c>
      <c r="M200" s="506" t="str">
        <f>IF(D200="","",VLOOKUP(D200,'G-6 Hedgerow Data'!$B$1:$AH$15,33,FALSE))</f>
        <v/>
      </c>
      <c r="N200" s="513" t="str">
        <f t="shared" si="16"/>
        <v/>
      </c>
      <c r="O200" s="40"/>
      <c r="P200" s="154"/>
      <c r="Q200" s="203"/>
      <c r="R200" s="532" t="str">
        <f t="shared" si="17"/>
        <v/>
      </c>
      <c r="S200" s="532" t="str">
        <f t="shared" si="18"/>
        <v/>
      </c>
      <c r="T200" s="532" t="str">
        <f t="shared" si="19"/>
        <v/>
      </c>
      <c r="U200" s="557" t="str">
        <f t="shared" si="20"/>
        <v/>
      </c>
      <c r="V200" s="151"/>
      <c r="W200" s="152"/>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c r="AL200" s="31" t="str">
        <f>IFERROR(INDEX('G-6 Hedgerow Data'!$BJ$3:$BJ$15,MATCH(D200,'G-6 Hedgerow Data'!$B$3:$B$15,0)),"")</f>
        <v/>
      </c>
    </row>
    <row r="201" spans="2:38" ht="13.8" x14ac:dyDescent="0.25">
      <c r="B201" s="141">
        <v>192</v>
      </c>
      <c r="C201" s="203"/>
      <c r="D201" s="203"/>
      <c r="E201" s="153"/>
      <c r="F201" s="553" t="str">
        <f>IF(D201="","",VLOOKUP(D201,'G-6 Hedgerow Data'!$B$2:$AG$15,2,FALSE))</f>
        <v/>
      </c>
      <c r="G201" s="499" t="str">
        <f>IF(D201="","",VLOOKUP(D201,'G-6 Hedgerow Data'!$B$2:$AG$15,3,FALSE))</f>
        <v/>
      </c>
      <c r="H201" s="145"/>
      <c r="I201" s="499" t="str">
        <f>IFERROR(VLOOKUP(H201,'G-1 All Habitats'!$Z$2:$AA$9,2,FALSE),"")</f>
        <v/>
      </c>
      <c r="J201" s="145"/>
      <c r="K201" s="507" t="str">
        <f>IF(J201="","",IF(VLOOKUP(J201,'G-3 Multipliers'!$L$3:$N$6,2,FALSE)=0,"Spatial Data Missing",VLOOKUP(J201,'G-3 Multipliers'!$L$3:$N$6,2,FALSE)))</f>
        <v/>
      </c>
      <c r="L201" s="505" t="str">
        <f>IF(J201="","",IF(VLOOKUP(J201,'G-3 Multipliers'!$L$3:$N$6,3,FALSE)=0,"Spatial Data Missing ⚠",VLOOKUP(J201,'G-3 Multipliers'!$L$3:$N$6,3,FALSE)))</f>
        <v/>
      </c>
      <c r="M201" s="506" t="str">
        <f>IF(D201="","",VLOOKUP(D201,'G-6 Hedgerow Data'!$B$1:$AH$15,33,FALSE))</f>
        <v/>
      </c>
      <c r="N201" s="513" t="str">
        <f t="shared" si="16"/>
        <v/>
      </c>
      <c r="O201" s="40"/>
      <c r="P201" s="154"/>
      <c r="Q201" s="203"/>
      <c r="R201" s="532" t="str">
        <f t="shared" si="17"/>
        <v/>
      </c>
      <c r="S201" s="532" t="str">
        <f t="shared" si="18"/>
        <v/>
      </c>
      <c r="T201" s="532" t="str">
        <f t="shared" si="19"/>
        <v/>
      </c>
      <c r="U201" s="557" t="str">
        <f t="shared" si="20"/>
        <v/>
      </c>
      <c r="V201" s="151"/>
      <c r="W201" s="152"/>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c r="AL201" s="31" t="str">
        <f>IFERROR(INDEX('G-6 Hedgerow Data'!$BJ$3:$BJ$15,MATCH(D201,'G-6 Hedgerow Data'!$B$3:$B$15,0)),"")</f>
        <v/>
      </c>
    </row>
    <row r="202" spans="2:38" ht="13.8" x14ac:dyDescent="0.25">
      <c r="B202" s="141">
        <v>193</v>
      </c>
      <c r="C202" s="203"/>
      <c r="D202" s="203"/>
      <c r="E202" s="153"/>
      <c r="F202" s="553" t="str">
        <f>IF(D202="","",VLOOKUP(D202,'G-6 Hedgerow Data'!$B$2:$AG$15,2,FALSE))</f>
        <v/>
      </c>
      <c r="G202" s="499" t="str">
        <f>IF(D202="","",VLOOKUP(D202,'G-6 Hedgerow Data'!$B$2:$AG$15,3,FALSE))</f>
        <v/>
      </c>
      <c r="H202" s="145"/>
      <c r="I202" s="499" t="str">
        <f>IFERROR(VLOOKUP(H202,'G-1 All Habitats'!$Z$2:$AA$9,2,FALSE),"")</f>
        <v/>
      </c>
      <c r="J202" s="145"/>
      <c r="K202" s="507" t="str">
        <f>IF(J202="","",IF(VLOOKUP(J202,'G-3 Multipliers'!$L$3:$N$6,2,FALSE)=0,"Spatial Data Missing",VLOOKUP(J202,'G-3 Multipliers'!$L$3:$N$6,2,FALSE)))</f>
        <v/>
      </c>
      <c r="L202" s="505" t="str">
        <f>IF(J202="","",IF(VLOOKUP(J202,'G-3 Multipliers'!$L$3:$N$6,3,FALSE)=0,"Spatial Data Missing ⚠",VLOOKUP(J202,'G-3 Multipliers'!$L$3:$N$6,3,FALSE)))</f>
        <v/>
      </c>
      <c r="M202" s="506" t="str">
        <f>IF(D202="","",VLOOKUP(D202,'G-6 Hedgerow Data'!$B$1:$AH$15,33,FALSE))</f>
        <v/>
      </c>
      <c r="N202" s="513" t="str">
        <f t="shared" si="16"/>
        <v/>
      </c>
      <c r="O202" s="40"/>
      <c r="P202" s="154"/>
      <c r="Q202" s="203"/>
      <c r="R202" s="532" t="str">
        <f t="shared" si="17"/>
        <v/>
      </c>
      <c r="S202" s="532" t="str">
        <f t="shared" si="18"/>
        <v/>
      </c>
      <c r="T202" s="532" t="str">
        <f t="shared" si="19"/>
        <v/>
      </c>
      <c r="U202" s="557" t="str">
        <f t="shared" si="20"/>
        <v/>
      </c>
      <c r="V202" s="151"/>
      <c r="W202" s="152"/>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c r="AL202" s="31" t="str">
        <f>IFERROR(INDEX('G-6 Hedgerow Data'!$BJ$3:$BJ$15,MATCH(D202,'G-6 Hedgerow Data'!$B$3:$B$15,0)),"")</f>
        <v/>
      </c>
    </row>
    <row r="203" spans="2:38" ht="13.8" x14ac:dyDescent="0.25">
      <c r="B203" s="141">
        <v>194</v>
      </c>
      <c r="C203" s="203"/>
      <c r="D203" s="203"/>
      <c r="E203" s="153"/>
      <c r="F203" s="553" t="str">
        <f>IF(D203="","",VLOOKUP(D203,'G-6 Hedgerow Data'!$B$2:$AG$15,2,FALSE))</f>
        <v/>
      </c>
      <c r="G203" s="499" t="str">
        <f>IF(D203="","",VLOOKUP(D203,'G-6 Hedgerow Data'!$B$2:$AG$15,3,FALSE))</f>
        <v/>
      </c>
      <c r="H203" s="145"/>
      <c r="I203" s="499" t="str">
        <f>IFERROR(VLOOKUP(H203,'G-1 All Habitats'!$Z$2:$AA$9,2,FALSE),"")</f>
        <v/>
      </c>
      <c r="J203" s="145"/>
      <c r="K203" s="507" t="str">
        <f>IF(J203="","",IF(VLOOKUP(J203,'G-3 Multipliers'!$L$3:$N$6,2,FALSE)=0,"Spatial Data Missing",VLOOKUP(J203,'G-3 Multipliers'!$L$3:$N$6,2,FALSE)))</f>
        <v/>
      </c>
      <c r="L203" s="505" t="str">
        <f>IF(J203="","",IF(VLOOKUP(J203,'G-3 Multipliers'!$L$3:$N$6,3,FALSE)=0,"Spatial Data Missing ⚠",VLOOKUP(J203,'G-3 Multipliers'!$L$3:$N$6,3,FALSE)))</f>
        <v/>
      </c>
      <c r="M203" s="506" t="str">
        <f>IF(D203="","",VLOOKUP(D203,'G-6 Hedgerow Data'!$B$1:$AH$15,33,FALSE))</f>
        <v/>
      </c>
      <c r="N203" s="513" t="str">
        <f t="shared" ref="N203:N257" si="23">IFERROR(E203*G203*I203*L203,"")</f>
        <v/>
      </c>
      <c r="O203" s="40"/>
      <c r="P203" s="154"/>
      <c r="Q203" s="203"/>
      <c r="R203" s="532" t="str">
        <f t="shared" ref="R203:R257" si="24">IFERROR(P203*G203*I203*L203,"")</f>
        <v/>
      </c>
      <c r="S203" s="532" t="str">
        <f t="shared" ref="S203:S257" si="25">IFERROR(Q203*G203*I203*L203,"")</f>
        <v/>
      </c>
      <c r="T203" s="532" t="str">
        <f t="shared" ref="T203:T256" si="26">IF(D203="","",IF(E203-P203-Q203=0&lt;0,"Error in lengths ▲",IF(P203+Q203&gt;E203,"Error in Lengths ▲",E203-P203-Q203)))</f>
        <v/>
      </c>
      <c r="U203" s="557" t="str">
        <f t="shared" si="20"/>
        <v/>
      </c>
      <c r="V203" s="151"/>
      <c r="W203" s="152"/>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c r="AL203" s="31" t="str">
        <f>IFERROR(INDEX('G-6 Hedgerow Data'!$BJ$3:$BJ$15,MATCH(D203,'G-6 Hedgerow Data'!$B$3:$B$15,0)),"")</f>
        <v/>
      </c>
    </row>
    <row r="204" spans="2:38" ht="13.8" x14ac:dyDescent="0.25">
      <c r="B204" s="141">
        <v>195</v>
      </c>
      <c r="C204" s="203"/>
      <c r="D204" s="203"/>
      <c r="E204" s="153"/>
      <c r="F204" s="553" t="str">
        <f>IF(D204="","",VLOOKUP(D204,'G-6 Hedgerow Data'!$B$2:$AG$15,2,FALSE))</f>
        <v/>
      </c>
      <c r="G204" s="499" t="str">
        <f>IF(D204="","",VLOOKUP(D204,'G-6 Hedgerow Data'!$B$2:$AG$15,3,FALSE))</f>
        <v/>
      </c>
      <c r="H204" s="145"/>
      <c r="I204" s="499" t="str">
        <f>IFERROR(VLOOKUP(H204,'G-1 All Habitats'!$Z$2:$AA$9,2,FALSE),"")</f>
        <v/>
      </c>
      <c r="J204" s="145"/>
      <c r="K204" s="507" t="str">
        <f>IF(J204="","",IF(VLOOKUP(J204,'G-3 Multipliers'!$L$3:$N$6,2,FALSE)=0,"Spatial Data Missing",VLOOKUP(J204,'G-3 Multipliers'!$L$3:$N$6,2,FALSE)))</f>
        <v/>
      </c>
      <c r="L204" s="505" t="str">
        <f>IF(J204="","",IF(VLOOKUP(J204,'G-3 Multipliers'!$L$3:$N$6,3,FALSE)=0,"Spatial Data Missing ⚠",VLOOKUP(J204,'G-3 Multipliers'!$L$3:$N$6,3,FALSE)))</f>
        <v/>
      </c>
      <c r="M204" s="506" t="str">
        <f>IF(D204="","",VLOOKUP(D204,'G-6 Hedgerow Data'!$B$1:$AH$15,33,FALSE))</f>
        <v/>
      </c>
      <c r="N204" s="513" t="str">
        <f t="shared" si="23"/>
        <v/>
      </c>
      <c r="O204" s="40"/>
      <c r="P204" s="154"/>
      <c r="Q204" s="203"/>
      <c r="R204" s="532" t="str">
        <f t="shared" si="24"/>
        <v/>
      </c>
      <c r="S204" s="532" t="str">
        <f t="shared" si="25"/>
        <v/>
      </c>
      <c r="T204" s="532" t="str">
        <f t="shared" si="26"/>
        <v/>
      </c>
      <c r="U204" s="557" t="str">
        <f t="shared" ref="U204:U256" si="27">IF(OR(E204="",N204=""),"",IF(E204-P204-Q204=0&lt;0,"Error in Lengths ▲",IF(P204+Q204&gt;E204,"Error in Lengths ▲",N204-R204-S204)))</f>
        <v/>
      </c>
      <c r="V204" s="151"/>
      <c r="W204" s="152"/>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c r="AL204" s="31" t="str">
        <f>IFERROR(INDEX('G-6 Hedgerow Data'!$BJ$3:$BJ$15,MATCH(D204,'G-6 Hedgerow Data'!$B$3:$B$15,0)),"")</f>
        <v/>
      </c>
    </row>
    <row r="205" spans="2:38" ht="13.8" x14ac:dyDescent="0.25">
      <c r="B205" s="141">
        <v>196</v>
      </c>
      <c r="C205" s="203"/>
      <c r="D205" s="203"/>
      <c r="E205" s="153"/>
      <c r="F205" s="553" t="str">
        <f>IF(D205="","",VLOOKUP(D205,'G-6 Hedgerow Data'!$B$2:$AG$15,2,FALSE))</f>
        <v/>
      </c>
      <c r="G205" s="499" t="str">
        <f>IF(D205="","",VLOOKUP(D205,'G-6 Hedgerow Data'!$B$2:$AG$15,3,FALSE))</f>
        <v/>
      </c>
      <c r="H205" s="145"/>
      <c r="I205" s="499" t="str">
        <f>IFERROR(VLOOKUP(H205,'G-1 All Habitats'!$Z$2:$AA$9,2,FALSE),"")</f>
        <v/>
      </c>
      <c r="J205" s="145"/>
      <c r="K205" s="507" t="str">
        <f>IF(J205="","",IF(VLOOKUP(J205,'G-3 Multipliers'!$L$3:$N$6,2,FALSE)=0,"Spatial Data Missing",VLOOKUP(J205,'G-3 Multipliers'!$L$3:$N$6,2,FALSE)))</f>
        <v/>
      </c>
      <c r="L205" s="505" t="str">
        <f>IF(J205="","",IF(VLOOKUP(J205,'G-3 Multipliers'!$L$3:$N$6,3,FALSE)=0,"Spatial Data Missing ⚠",VLOOKUP(J205,'G-3 Multipliers'!$L$3:$N$6,3,FALSE)))</f>
        <v/>
      </c>
      <c r="M205" s="506" t="str">
        <f>IF(D205="","",VLOOKUP(D205,'G-6 Hedgerow Data'!$B$1:$AH$15,33,FALSE))</f>
        <v/>
      </c>
      <c r="N205" s="513" t="str">
        <f t="shared" si="23"/>
        <v/>
      </c>
      <c r="O205" s="40"/>
      <c r="P205" s="154"/>
      <c r="Q205" s="203"/>
      <c r="R205" s="532" t="str">
        <f t="shared" si="24"/>
        <v/>
      </c>
      <c r="S205" s="532" t="str">
        <f t="shared" si="25"/>
        <v/>
      </c>
      <c r="T205" s="532" t="str">
        <f t="shared" si="26"/>
        <v/>
      </c>
      <c r="U205" s="557" t="str">
        <f t="shared" si="27"/>
        <v/>
      </c>
      <c r="V205" s="151"/>
      <c r="W205" s="152"/>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c r="AL205" s="31" t="str">
        <f>IFERROR(INDEX('G-6 Hedgerow Data'!$BJ$3:$BJ$15,MATCH(D205,'G-6 Hedgerow Data'!$B$3:$B$15,0)),"")</f>
        <v/>
      </c>
    </row>
    <row r="206" spans="2:38" ht="13.8" x14ac:dyDescent="0.25">
      <c r="B206" s="141">
        <v>197</v>
      </c>
      <c r="C206" s="203"/>
      <c r="D206" s="203"/>
      <c r="E206" s="153"/>
      <c r="F206" s="553" t="str">
        <f>IF(D206="","",VLOOKUP(D206,'G-6 Hedgerow Data'!$B$2:$AG$15,2,FALSE))</f>
        <v/>
      </c>
      <c r="G206" s="499" t="str">
        <f>IF(D206="","",VLOOKUP(D206,'G-6 Hedgerow Data'!$B$2:$AG$15,3,FALSE))</f>
        <v/>
      </c>
      <c r="H206" s="145"/>
      <c r="I206" s="499" t="str">
        <f>IFERROR(VLOOKUP(H206,'G-1 All Habitats'!$Z$2:$AA$9,2,FALSE),"")</f>
        <v/>
      </c>
      <c r="J206" s="145"/>
      <c r="K206" s="507" t="str">
        <f>IF(J206="","",IF(VLOOKUP(J206,'G-3 Multipliers'!$L$3:$N$6,2,FALSE)=0,"Spatial Data Missing",VLOOKUP(J206,'G-3 Multipliers'!$L$3:$N$6,2,FALSE)))</f>
        <v/>
      </c>
      <c r="L206" s="505" t="str">
        <f>IF(J206="","",IF(VLOOKUP(J206,'G-3 Multipliers'!$L$3:$N$6,3,FALSE)=0,"Spatial Data Missing ⚠",VLOOKUP(J206,'G-3 Multipliers'!$L$3:$N$6,3,FALSE)))</f>
        <v/>
      </c>
      <c r="M206" s="506" t="str">
        <f>IF(D206="","",VLOOKUP(D206,'G-6 Hedgerow Data'!$B$1:$AH$15,33,FALSE))</f>
        <v/>
      </c>
      <c r="N206" s="513" t="str">
        <f t="shared" si="23"/>
        <v/>
      </c>
      <c r="O206" s="40"/>
      <c r="P206" s="154"/>
      <c r="Q206" s="203"/>
      <c r="R206" s="532" t="str">
        <f t="shared" si="24"/>
        <v/>
      </c>
      <c r="S206" s="532" t="str">
        <f t="shared" si="25"/>
        <v/>
      </c>
      <c r="T206" s="532" t="str">
        <f t="shared" si="26"/>
        <v/>
      </c>
      <c r="U206" s="557" t="str">
        <f t="shared" si="27"/>
        <v/>
      </c>
      <c r="V206" s="151"/>
      <c r="W206" s="152"/>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c r="AL206" s="31" t="str">
        <f>IFERROR(INDEX('G-6 Hedgerow Data'!$BJ$3:$BJ$15,MATCH(D206,'G-6 Hedgerow Data'!$B$3:$B$15,0)),"")</f>
        <v/>
      </c>
    </row>
    <row r="207" spans="2:38" ht="13.8" x14ac:dyDescent="0.25">
      <c r="B207" s="141">
        <v>198</v>
      </c>
      <c r="C207" s="203"/>
      <c r="D207" s="203"/>
      <c r="E207" s="153"/>
      <c r="F207" s="553" t="str">
        <f>IF(D207="","",VLOOKUP(D207,'G-6 Hedgerow Data'!$B$2:$AG$15,2,FALSE))</f>
        <v/>
      </c>
      <c r="G207" s="499" t="str">
        <f>IF(D207="","",VLOOKUP(D207,'G-6 Hedgerow Data'!$B$2:$AG$15,3,FALSE))</f>
        <v/>
      </c>
      <c r="H207" s="145"/>
      <c r="I207" s="499" t="str">
        <f>IFERROR(VLOOKUP(H207,'G-1 All Habitats'!$Z$2:$AA$9,2,FALSE),"")</f>
        <v/>
      </c>
      <c r="J207" s="145"/>
      <c r="K207" s="507" t="str">
        <f>IF(J207="","",IF(VLOOKUP(J207,'G-3 Multipliers'!$L$3:$N$6,2,FALSE)=0,"Spatial Data Missing",VLOOKUP(J207,'G-3 Multipliers'!$L$3:$N$6,2,FALSE)))</f>
        <v/>
      </c>
      <c r="L207" s="505" t="str">
        <f>IF(J207="","",IF(VLOOKUP(J207,'G-3 Multipliers'!$L$3:$N$6,3,FALSE)=0,"Spatial Data Missing ⚠",VLOOKUP(J207,'G-3 Multipliers'!$L$3:$N$6,3,FALSE)))</f>
        <v/>
      </c>
      <c r="M207" s="506" t="str">
        <f>IF(D207="","",VLOOKUP(D207,'G-6 Hedgerow Data'!$B$1:$AH$15,33,FALSE))</f>
        <v/>
      </c>
      <c r="N207" s="513" t="str">
        <f t="shared" si="23"/>
        <v/>
      </c>
      <c r="O207" s="40"/>
      <c r="P207" s="154"/>
      <c r="Q207" s="203"/>
      <c r="R207" s="532" t="str">
        <f t="shared" si="24"/>
        <v/>
      </c>
      <c r="S207" s="532" t="str">
        <f t="shared" si="25"/>
        <v/>
      </c>
      <c r="T207" s="532" t="str">
        <f t="shared" si="26"/>
        <v/>
      </c>
      <c r="U207" s="557" t="str">
        <f t="shared" si="27"/>
        <v/>
      </c>
      <c r="V207" s="151"/>
      <c r="W207" s="152"/>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c r="AL207" s="31" t="str">
        <f>IFERROR(INDEX('G-6 Hedgerow Data'!$BJ$3:$BJ$15,MATCH(D207,'G-6 Hedgerow Data'!$B$3:$B$15,0)),"")</f>
        <v/>
      </c>
    </row>
    <row r="208" spans="2:38" ht="13.8" x14ac:dyDescent="0.25">
      <c r="B208" s="141">
        <v>199</v>
      </c>
      <c r="C208" s="203"/>
      <c r="D208" s="203"/>
      <c r="E208" s="153"/>
      <c r="F208" s="553" t="str">
        <f>IF(D208="","",VLOOKUP(D208,'G-6 Hedgerow Data'!$B$2:$AG$15,2,FALSE))</f>
        <v/>
      </c>
      <c r="G208" s="499" t="str">
        <f>IF(D208="","",VLOOKUP(D208,'G-6 Hedgerow Data'!$B$2:$AG$15,3,FALSE))</f>
        <v/>
      </c>
      <c r="H208" s="145"/>
      <c r="I208" s="499" t="str">
        <f>IFERROR(VLOOKUP(H208,'G-1 All Habitats'!$Z$2:$AA$9,2,FALSE),"")</f>
        <v/>
      </c>
      <c r="J208" s="145"/>
      <c r="K208" s="507" t="str">
        <f>IF(J208="","",IF(VLOOKUP(J208,'G-3 Multipliers'!$L$3:$N$6,2,FALSE)=0,"Spatial Data Missing",VLOOKUP(J208,'G-3 Multipliers'!$L$3:$N$6,2,FALSE)))</f>
        <v/>
      </c>
      <c r="L208" s="505" t="str">
        <f>IF(J208="","",IF(VLOOKUP(J208,'G-3 Multipliers'!$L$3:$N$6,3,FALSE)=0,"Spatial Data Missing ⚠",VLOOKUP(J208,'G-3 Multipliers'!$L$3:$N$6,3,FALSE)))</f>
        <v/>
      </c>
      <c r="M208" s="506" t="str">
        <f>IF(D208="","",VLOOKUP(D208,'G-6 Hedgerow Data'!$B$1:$AH$15,33,FALSE))</f>
        <v/>
      </c>
      <c r="N208" s="513" t="str">
        <f t="shared" si="23"/>
        <v/>
      </c>
      <c r="O208" s="40"/>
      <c r="P208" s="154"/>
      <c r="Q208" s="203"/>
      <c r="R208" s="532" t="str">
        <f t="shared" si="24"/>
        <v/>
      </c>
      <c r="S208" s="532" t="str">
        <f t="shared" si="25"/>
        <v/>
      </c>
      <c r="T208" s="532" t="str">
        <f t="shared" si="26"/>
        <v/>
      </c>
      <c r="U208" s="557" t="str">
        <f t="shared" si="27"/>
        <v/>
      </c>
      <c r="V208" s="151"/>
      <c r="W208" s="152"/>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c r="AL208" s="31" t="str">
        <f>IFERROR(INDEX('G-6 Hedgerow Data'!$BJ$3:$BJ$15,MATCH(D208,'G-6 Hedgerow Data'!$B$3:$B$15,0)),"")</f>
        <v/>
      </c>
    </row>
    <row r="209" spans="2:38" ht="13.8" x14ac:dyDescent="0.25">
      <c r="B209" s="141">
        <v>200</v>
      </c>
      <c r="C209" s="203"/>
      <c r="D209" s="203"/>
      <c r="E209" s="153"/>
      <c r="F209" s="553" t="str">
        <f>IF(D209="","",VLOOKUP(D209,'G-6 Hedgerow Data'!$B$2:$AG$15,2,FALSE))</f>
        <v/>
      </c>
      <c r="G209" s="499" t="str">
        <f>IF(D209="","",VLOOKUP(D209,'G-6 Hedgerow Data'!$B$2:$AG$15,3,FALSE))</f>
        <v/>
      </c>
      <c r="H209" s="145"/>
      <c r="I209" s="499" t="str">
        <f>IFERROR(VLOOKUP(H209,'G-1 All Habitats'!$Z$2:$AA$9,2,FALSE),"")</f>
        <v/>
      </c>
      <c r="J209" s="145"/>
      <c r="K209" s="507" t="str">
        <f>IF(J209="","",IF(VLOOKUP(J209,'G-3 Multipliers'!$L$3:$N$6,2,FALSE)=0,"Spatial Data Missing",VLOOKUP(J209,'G-3 Multipliers'!$L$3:$N$6,2,FALSE)))</f>
        <v/>
      </c>
      <c r="L209" s="505" t="str">
        <f>IF(J209="","",IF(VLOOKUP(J209,'G-3 Multipliers'!$L$3:$N$6,3,FALSE)=0,"Spatial Data Missing ⚠",VLOOKUP(J209,'G-3 Multipliers'!$L$3:$N$6,3,FALSE)))</f>
        <v/>
      </c>
      <c r="M209" s="506" t="str">
        <f>IF(D209="","",VLOOKUP(D209,'G-6 Hedgerow Data'!$B$1:$AH$15,33,FALSE))</f>
        <v/>
      </c>
      <c r="N209" s="513" t="str">
        <f t="shared" si="23"/>
        <v/>
      </c>
      <c r="O209" s="40"/>
      <c r="P209" s="154"/>
      <c r="Q209" s="203"/>
      <c r="R209" s="532" t="str">
        <f t="shared" si="24"/>
        <v/>
      </c>
      <c r="S209" s="532" t="str">
        <f t="shared" si="25"/>
        <v/>
      </c>
      <c r="T209" s="532" t="str">
        <f t="shared" si="26"/>
        <v/>
      </c>
      <c r="U209" s="557" t="str">
        <f t="shared" si="27"/>
        <v/>
      </c>
      <c r="V209" s="151"/>
      <c r="W209" s="152"/>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c r="AL209" s="31" t="str">
        <f>IFERROR(INDEX('G-6 Hedgerow Data'!$BJ$3:$BJ$15,MATCH(D209,'G-6 Hedgerow Data'!$B$3:$B$15,0)),"")</f>
        <v/>
      </c>
    </row>
    <row r="210" spans="2:38" ht="13.8" x14ac:dyDescent="0.25">
      <c r="B210" s="141">
        <v>201</v>
      </c>
      <c r="C210" s="203"/>
      <c r="D210" s="203"/>
      <c r="E210" s="153"/>
      <c r="F210" s="553" t="str">
        <f>IF(D210="","",VLOOKUP(D210,'G-6 Hedgerow Data'!$B$2:$AG$15,2,FALSE))</f>
        <v/>
      </c>
      <c r="G210" s="499" t="str">
        <f>IF(D210="","",VLOOKUP(D210,'G-6 Hedgerow Data'!$B$2:$AG$15,3,FALSE))</f>
        <v/>
      </c>
      <c r="H210" s="145"/>
      <c r="I210" s="499" t="str">
        <f>IFERROR(VLOOKUP(H210,'G-1 All Habitats'!$Z$2:$AA$9,2,FALSE),"")</f>
        <v/>
      </c>
      <c r="J210" s="145"/>
      <c r="K210" s="507" t="str">
        <f>IF(J210="","",IF(VLOOKUP(J210,'G-3 Multipliers'!$L$3:$N$6,2,FALSE)=0,"Spatial Data Missing",VLOOKUP(J210,'G-3 Multipliers'!$L$3:$N$6,2,FALSE)))</f>
        <v/>
      </c>
      <c r="L210" s="505" t="str">
        <f>IF(J210="","",IF(VLOOKUP(J210,'G-3 Multipliers'!$L$3:$N$6,3,FALSE)=0,"Spatial Data Missing ⚠",VLOOKUP(J210,'G-3 Multipliers'!$L$3:$N$6,3,FALSE)))</f>
        <v/>
      </c>
      <c r="M210" s="506" t="str">
        <f>IF(D210="","",VLOOKUP(D210,'G-6 Hedgerow Data'!$B$1:$AH$15,33,FALSE))</f>
        <v/>
      </c>
      <c r="N210" s="513" t="str">
        <f t="shared" si="23"/>
        <v/>
      </c>
      <c r="O210" s="40"/>
      <c r="P210" s="154"/>
      <c r="Q210" s="203"/>
      <c r="R210" s="532" t="str">
        <f t="shared" si="24"/>
        <v/>
      </c>
      <c r="S210" s="532" t="str">
        <f t="shared" si="25"/>
        <v/>
      </c>
      <c r="T210" s="532" t="str">
        <f t="shared" si="26"/>
        <v/>
      </c>
      <c r="U210" s="557" t="str">
        <f t="shared" si="27"/>
        <v/>
      </c>
      <c r="V210" s="151"/>
      <c r="W210" s="152"/>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c r="AL210" s="31" t="str">
        <f>IFERROR(INDEX('G-6 Hedgerow Data'!$BJ$3:$BJ$15,MATCH(D210,'G-6 Hedgerow Data'!$B$3:$B$15,0)),"")</f>
        <v/>
      </c>
    </row>
    <row r="211" spans="2:38" ht="13.8" x14ac:dyDescent="0.25">
      <c r="B211" s="141">
        <v>202</v>
      </c>
      <c r="C211" s="203"/>
      <c r="D211" s="203"/>
      <c r="E211" s="153"/>
      <c r="F211" s="553" t="str">
        <f>IF(D211="","",VLOOKUP(D211,'G-6 Hedgerow Data'!$B$2:$AG$15,2,FALSE))</f>
        <v/>
      </c>
      <c r="G211" s="499" t="str">
        <f>IF(D211="","",VLOOKUP(D211,'G-6 Hedgerow Data'!$B$2:$AG$15,3,FALSE))</f>
        <v/>
      </c>
      <c r="H211" s="145"/>
      <c r="I211" s="499" t="str">
        <f>IFERROR(VLOOKUP(H211,'G-1 All Habitats'!$Z$2:$AA$9,2,FALSE),"")</f>
        <v/>
      </c>
      <c r="J211" s="145"/>
      <c r="K211" s="507" t="str">
        <f>IF(J211="","",IF(VLOOKUP(J211,'G-3 Multipliers'!$L$3:$N$6,2,FALSE)=0,"Spatial Data Missing ⚠",VLOOKUP(J211,'G-3 Multipliers'!$L$3:$N$6,2,FALSE)))</f>
        <v/>
      </c>
      <c r="L211" s="505" t="str">
        <f>IF(J211="","",IF(VLOOKUP(J211,'G-3 Multipliers'!$L$3:$N$6,3,FALSE)=0,"Spatial Data Missing ⚠",VLOOKUP(J211,'G-3 Multipliers'!$L$3:$N$6,3,FALSE)))</f>
        <v/>
      </c>
      <c r="M211" s="506" t="str">
        <f>IF(D211="","",VLOOKUP(D211,'G-6 Hedgerow Data'!$B$1:$AH$15,33,FALSE))</f>
        <v/>
      </c>
      <c r="N211" s="513" t="str">
        <f t="shared" si="23"/>
        <v/>
      </c>
      <c r="O211" s="40"/>
      <c r="P211" s="154"/>
      <c r="Q211" s="203"/>
      <c r="R211" s="532" t="str">
        <f t="shared" si="24"/>
        <v/>
      </c>
      <c r="S211" s="532" t="str">
        <f t="shared" si="25"/>
        <v/>
      </c>
      <c r="T211" s="532" t="str">
        <f t="shared" si="26"/>
        <v/>
      </c>
      <c r="U211" s="557" t="str">
        <f t="shared" si="27"/>
        <v/>
      </c>
      <c r="V211" s="151"/>
      <c r="W211" s="152"/>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c r="AL211" s="31" t="str">
        <f>IFERROR(INDEX('G-6 Hedgerow Data'!$BJ$3:$BJ$15,MATCH(D211,'G-6 Hedgerow Data'!$B$3:$B$15,0)),"")</f>
        <v/>
      </c>
    </row>
    <row r="212" spans="2:38" ht="13.8" x14ac:dyDescent="0.25">
      <c r="B212" s="141">
        <v>203</v>
      </c>
      <c r="C212" s="203"/>
      <c r="D212" s="203"/>
      <c r="E212" s="153"/>
      <c r="F212" s="553" t="str">
        <f>IF(D212="","",VLOOKUP(D212,'G-6 Hedgerow Data'!$B$2:$AG$15,2,FALSE))</f>
        <v/>
      </c>
      <c r="G212" s="499" t="str">
        <f>IF(D212="","",VLOOKUP(D212,'G-6 Hedgerow Data'!$B$2:$AG$15,3,FALSE))</f>
        <v/>
      </c>
      <c r="H212" s="145"/>
      <c r="I212" s="499" t="str">
        <f>IFERROR(VLOOKUP(H212,'G-1 All Habitats'!$Z$2:$AA$9,2,FALSE),"")</f>
        <v/>
      </c>
      <c r="J212" s="145"/>
      <c r="K212" s="507" t="str">
        <f>IF(J212="","",IF(VLOOKUP(J212,'G-3 Multipliers'!$L$3:$N$6,2,FALSE)=0,"Spatial Data Missing ⚠",VLOOKUP(J212,'G-3 Multipliers'!$L$3:$N$6,2,FALSE)))</f>
        <v/>
      </c>
      <c r="L212" s="505" t="str">
        <f>IF(J212="","",IF(VLOOKUP(J212,'G-3 Multipliers'!$L$3:$N$6,3,FALSE)=0,"Spatial Data Missing ⚠",VLOOKUP(J212,'G-3 Multipliers'!$L$3:$N$6,3,FALSE)))</f>
        <v/>
      </c>
      <c r="M212" s="506" t="str">
        <f>IF(D212="","",VLOOKUP(D212,'G-6 Hedgerow Data'!$B$1:$AH$15,33,FALSE))</f>
        <v/>
      </c>
      <c r="N212" s="513" t="str">
        <f t="shared" si="23"/>
        <v/>
      </c>
      <c r="O212" s="40"/>
      <c r="P212" s="154"/>
      <c r="Q212" s="203"/>
      <c r="R212" s="532" t="str">
        <f t="shared" si="24"/>
        <v/>
      </c>
      <c r="S212" s="532" t="str">
        <f t="shared" si="25"/>
        <v/>
      </c>
      <c r="T212" s="532" t="str">
        <f t="shared" si="26"/>
        <v/>
      </c>
      <c r="U212" s="557" t="str">
        <f t="shared" si="27"/>
        <v/>
      </c>
      <c r="V212" s="151"/>
      <c r="W212" s="152"/>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c r="AL212" s="31" t="str">
        <f>IFERROR(INDEX('G-6 Hedgerow Data'!$BJ$3:$BJ$15,MATCH(D212,'G-6 Hedgerow Data'!$B$3:$B$15,0)),"")</f>
        <v/>
      </c>
    </row>
    <row r="213" spans="2:38" ht="13.8" x14ac:dyDescent="0.25">
      <c r="B213" s="141">
        <v>204</v>
      </c>
      <c r="C213" s="203"/>
      <c r="D213" s="203"/>
      <c r="E213" s="153"/>
      <c r="F213" s="553" t="str">
        <f>IF(D213="","",VLOOKUP(D213,'G-6 Hedgerow Data'!$B$2:$AG$15,2,FALSE))</f>
        <v/>
      </c>
      <c r="G213" s="499" t="str">
        <f>IF(D213="","",VLOOKUP(D213,'G-6 Hedgerow Data'!$B$2:$AG$15,3,FALSE))</f>
        <v/>
      </c>
      <c r="H213" s="145"/>
      <c r="I213" s="499" t="str">
        <f>IFERROR(VLOOKUP(H213,'G-1 All Habitats'!$Z$2:$AA$9,2,FALSE),"")</f>
        <v/>
      </c>
      <c r="J213" s="145"/>
      <c r="K213" s="507" t="str">
        <f>IF(J213="","",IF(VLOOKUP(J213,'G-3 Multipliers'!$L$3:$N$6,2,FALSE)=0,"Spatial Data Missing ⚠",VLOOKUP(J213,'G-3 Multipliers'!$L$3:$N$6,2,FALSE)))</f>
        <v/>
      </c>
      <c r="L213" s="505" t="str">
        <f>IF(J213="","",IF(VLOOKUP(J213,'G-3 Multipliers'!$L$3:$N$6,3,FALSE)=0,"Spatial Data Missing ⚠",VLOOKUP(J213,'G-3 Multipliers'!$L$3:$N$6,3,FALSE)))</f>
        <v/>
      </c>
      <c r="M213" s="506" t="str">
        <f>IF(D213="","",VLOOKUP(D213,'G-6 Hedgerow Data'!$B$1:$AH$15,33,FALSE))</f>
        <v/>
      </c>
      <c r="N213" s="513" t="str">
        <f t="shared" si="23"/>
        <v/>
      </c>
      <c r="O213" s="40"/>
      <c r="P213" s="154"/>
      <c r="Q213" s="203"/>
      <c r="R213" s="532" t="str">
        <f t="shared" si="24"/>
        <v/>
      </c>
      <c r="S213" s="532" t="str">
        <f t="shared" si="25"/>
        <v/>
      </c>
      <c r="T213" s="532" t="str">
        <f t="shared" si="26"/>
        <v/>
      </c>
      <c r="U213" s="557" t="str">
        <f t="shared" si="27"/>
        <v/>
      </c>
      <c r="V213" s="151"/>
      <c r="W213" s="152"/>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c r="AL213" s="31" t="str">
        <f>IFERROR(INDEX('G-6 Hedgerow Data'!$BJ$3:$BJ$15,MATCH(D213,'G-6 Hedgerow Data'!$B$3:$B$15,0)),"")</f>
        <v/>
      </c>
    </row>
    <row r="214" spans="2:38" ht="13.8" x14ac:dyDescent="0.25">
      <c r="B214" s="141">
        <v>205</v>
      </c>
      <c r="C214" s="203"/>
      <c r="D214" s="203"/>
      <c r="E214" s="153"/>
      <c r="F214" s="553" t="str">
        <f>IF(D214="","",VLOOKUP(D214,'G-6 Hedgerow Data'!$B$2:$AG$15,2,FALSE))</f>
        <v/>
      </c>
      <c r="G214" s="499" t="str">
        <f>IF(D214="","",VLOOKUP(D214,'G-6 Hedgerow Data'!$B$2:$AG$15,3,FALSE))</f>
        <v/>
      </c>
      <c r="H214" s="145"/>
      <c r="I214" s="499" t="str">
        <f>IFERROR(VLOOKUP(H214,'G-1 All Habitats'!$Z$2:$AA$9,2,FALSE),"")</f>
        <v/>
      </c>
      <c r="J214" s="145"/>
      <c r="K214" s="507" t="str">
        <f>IF(J214="","",IF(VLOOKUP(J214,'G-3 Multipliers'!$L$3:$N$6,2,FALSE)=0,"Spatial Data Missing ⚠",VLOOKUP(J214,'G-3 Multipliers'!$L$3:$N$6,2,FALSE)))</f>
        <v/>
      </c>
      <c r="L214" s="505" t="str">
        <f>IF(J214="","",IF(VLOOKUP(J214,'G-3 Multipliers'!$L$3:$N$6,3,FALSE)=0,"Spatial Data Missing ⚠",VLOOKUP(J214,'G-3 Multipliers'!$L$3:$N$6,3,FALSE)))</f>
        <v/>
      </c>
      <c r="M214" s="506" t="str">
        <f>IF(D214="","",VLOOKUP(D214,'G-6 Hedgerow Data'!$B$1:$AH$15,33,FALSE))</f>
        <v/>
      </c>
      <c r="N214" s="513" t="str">
        <f t="shared" si="23"/>
        <v/>
      </c>
      <c r="O214" s="40"/>
      <c r="P214" s="154"/>
      <c r="Q214" s="203"/>
      <c r="R214" s="532" t="str">
        <f t="shared" si="24"/>
        <v/>
      </c>
      <c r="S214" s="532" t="str">
        <f t="shared" si="25"/>
        <v/>
      </c>
      <c r="T214" s="532" t="str">
        <f t="shared" si="26"/>
        <v/>
      </c>
      <c r="U214" s="557" t="str">
        <f t="shared" si="27"/>
        <v/>
      </c>
      <c r="V214" s="151"/>
      <c r="W214" s="152"/>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c r="AL214" s="31" t="str">
        <f>IFERROR(INDEX('G-6 Hedgerow Data'!$BJ$3:$BJ$15,MATCH(D214,'G-6 Hedgerow Data'!$B$3:$B$15,0)),"")</f>
        <v/>
      </c>
    </row>
    <row r="215" spans="2:38" ht="13.8" x14ac:dyDescent="0.25">
      <c r="B215" s="141">
        <v>206</v>
      </c>
      <c r="C215" s="203"/>
      <c r="D215" s="203"/>
      <c r="E215" s="153"/>
      <c r="F215" s="553" t="str">
        <f>IF(D215="","",VLOOKUP(D215,'G-6 Hedgerow Data'!$B$2:$AG$15,2,FALSE))</f>
        <v/>
      </c>
      <c r="G215" s="499" t="str">
        <f>IF(D215="","",VLOOKUP(D215,'G-6 Hedgerow Data'!$B$2:$AG$15,3,FALSE))</f>
        <v/>
      </c>
      <c r="H215" s="145"/>
      <c r="I215" s="499" t="str">
        <f>IFERROR(VLOOKUP(H215,'G-1 All Habitats'!$Z$2:$AA$9,2,FALSE),"")</f>
        <v/>
      </c>
      <c r="J215" s="145"/>
      <c r="K215" s="507" t="str">
        <f>IF(J215="","",IF(VLOOKUP(J215,'G-3 Multipliers'!$L$3:$N$6,2,FALSE)=0,"Spatial Data Missing ⚠",VLOOKUP(J215,'G-3 Multipliers'!$L$3:$N$6,2,FALSE)))</f>
        <v/>
      </c>
      <c r="L215" s="505" t="str">
        <f>IF(J215="","",IF(VLOOKUP(J215,'G-3 Multipliers'!$L$3:$N$6,3,FALSE)=0,"Spatial Data Missing ⚠",VLOOKUP(J215,'G-3 Multipliers'!$L$3:$N$6,3,FALSE)))</f>
        <v/>
      </c>
      <c r="M215" s="506" t="str">
        <f>IF(D215="","",VLOOKUP(D215,'G-6 Hedgerow Data'!$B$1:$AH$15,33,FALSE))</f>
        <v/>
      </c>
      <c r="N215" s="513" t="str">
        <f t="shared" si="23"/>
        <v/>
      </c>
      <c r="O215" s="40"/>
      <c r="P215" s="154"/>
      <c r="Q215" s="203"/>
      <c r="R215" s="532" t="str">
        <f t="shared" si="24"/>
        <v/>
      </c>
      <c r="S215" s="532" t="str">
        <f t="shared" si="25"/>
        <v/>
      </c>
      <c r="T215" s="532" t="str">
        <f t="shared" si="26"/>
        <v/>
      </c>
      <c r="U215" s="557" t="str">
        <f t="shared" si="27"/>
        <v/>
      </c>
      <c r="V215" s="151"/>
      <c r="W215" s="152"/>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c r="AL215" s="31" t="str">
        <f>IFERROR(INDEX('G-6 Hedgerow Data'!$BJ$3:$BJ$15,MATCH(D215,'G-6 Hedgerow Data'!$B$3:$B$15,0)),"")</f>
        <v/>
      </c>
    </row>
    <row r="216" spans="2:38" ht="13.8" x14ac:dyDescent="0.25">
      <c r="B216" s="141">
        <v>207</v>
      </c>
      <c r="C216" s="203"/>
      <c r="D216" s="203"/>
      <c r="E216" s="153"/>
      <c r="F216" s="553" t="str">
        <f>IF(D216="","",VLOOKUP(D216,'G-6 Hedgerow Data'!$B$2:$AG$15,2,FALSE))</f>
        <v/>
      </c>
      <c r="G216" s="499" t="str">
        <f>IF(D216="","",VLOOKUP(D216,'G-6 Hedgerow Data'!$B$2:$AG$15,3,FALSE))</f>
        <v/>
      </c>
      <c r="H216" s="145"/>
      <c r="I216" s="499" t="str">
        <f>IFERROR(VLOOKUP(H216,'G-1 All Habitats'!$Z$2:$AA$9,2,FALSE),"")</f>
        <v/>
      </c>
      <c r="J216" s="145"/>
      <c r="K216" s="507" t="str">
        <f>IF(J216="","",IF(VLOOKUP(J216,'G-3 Multipliers'!$L$3:$N$6,2,FALSE)=0,"Spatial Data Missing ⚠",VLOOKUP(J216,'G-3 Multipliers'!$L$3:$N$6,2,FALSE)))</f>
        <v/>
      </c>
      <c r="L216" s="505" t="str">
        <f>IF(J216="","",IF(VLOOKUP(J216,'G-3 Multipliers'!$L$3:$N$6,3,FALSE)=0,"Spatial Data Missing ⚠",VLOOKUP(J216,'G-3 Multipliers'!$L$3:$N$6,3,FALSE)))</f>
        <v/>
      </c>
      <c r="M216" s="506" t="str">
        <f>IF(D216="","",VLOOKUP(D216,'G-6 Hedgerow Data'!$B$1:$AH$15,33,FALSE))</f>
        <v/>
      </c>
      <c r="N216" s="513" t="str">
        <f t="shared" si="23"/>
        <v/>
      </c>
      <c r="O216" s="40"/>
      <c r="P216" s="154"/>
      <c r="Q216" s="203"/>
      <c r="R216" s="532" t="str">
        <f t="shared" si="24"/>
        <v/>
      </c>
      <c r="S216" s="532" t="str">
        <f t="shared" si="25"/>
        <v/>
      </c>
      <c r="T216" s="532" t="str">
        <f t="shared" si="26"/>
        <v/>
      </c>
      <c r="U216" s="557" t="str">
        <f t="shared" si="27"/>
        <v/>
      </c>
      <c r="V216" s="151"/>
      <c r="W216" s="152"/>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c r="AL216" s="31" t="str">
        <f>IFERROR(INDEX('G-6 Hedgerow Data'!$BJ$3:$BJ$15,MATCH(D216,'G-6 Hedgerow Data'!$B$3:$B$15,0)),"")</f>
        <v/>
      </c>
    </row>
    <row r="217" spans="2:38" ht="13.8" x14ac:dyDescent="0.25">
      <c r="B217" s="141">
        <v>208</v>
      </c>
      <c r="C217" s="203"/>
      <c r="D217" s="203"/>
      <c r="E217" s="153"/>
      <c r="F217" s="553" t="str">
        <f>IF(D217="","",VLOOKUP(D217,'G-6 Hedgerow Data'!$B$2:$AG$15,2,FALSE))</f>
        <v/>
      </c>
      <c r="G217" s="499" t="str">
        <f>IF(D217="","",VLOOKUP(D217,'G-6 Hedgerow Data'!$B$2:$AG$15,3,FALSE))</f>
        <v/>
      </c>
      <c r="H217" s="145"/>
      <c r="I217" s="499" t="str">
        <f>IFERROR(VLOOKUP(H217,'G-1 All Habitats'!$Z$2:$AA$9,2,FALSE),"")</f>
        <v/>
      </c>
      <c r="J217" s="145"/>
      <c r="K217" s="507" t="str">
        <f>IF(J217="","",IF(VLOOKUP(J217,'G-3 Multipliers'!$L$3:$N$6,2,FALSE)=0,"Spatial Data Missing ⚠",VLOOKUP(J217,'G-3 Multipliers'!$L$3:$N$6,2,FALSE)))</f>
        <v/>
      </c>
      <c r="L217" s="505" t="str">
        <f>IF(J217="","",IF(VLOOKUP(J217,'G-3 Multipliers'!$L$3:$N$6,3,FALSE)=0,"Spatial Data Missing ⚠",VLOOKUP(J217,'G-3 Multipliers'!$L$3:$N$6,3,FALSE)))</f>
        <v/>
      </c>
      <c r="M217" s="506" t="str">
        <f>IF(D217="","",VLOOKUP(D217,'G-6 Hedgerow Data'!$B$1:$AH$15,33,FALSE))</f>
        <v/>
      </c>
      <c r="N217" s="513" t="str">
        <f t="shared" si="23"/>
        <v/>
      </c>
      <c r="O217" s="40"/>
      <c r="P217" s="154"/>
      <c r="Q217" s="203"/>
      <c r="R217" s="532" t="str">
        <f t="shared" si="24"/>
        <v/>
      </c>
      <c r="S217" s="532" t="str">
        <f t="shared" si="25"/>
        <v/>
      </c>
      <c r="T217" s="532" t="str">
        <f t="shared" si="26"/>
        <v/>
      </c>
      <c r="U217" s="557" t="str">
        <f t="shared" si="27"/>
        <v/>
      </c>
      <c r="V217" s="151"/>
      <c r="W217" s="152"/>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c r="AL217" s="31" t="str">
        <f>IFERROR(INDEX('G-6 Hedgerow Data'!$BJ$3:$BJ$15,MATCH(D217,'G-6 Hedgerow Data'!$B$3:$B$15,0)),"")</f>
        <v/>
      </c>
    </row>
    <row r="218" spans="2:38" ht="13.8" x14ac:dyDescent="0.25">
      <c r="B218" s="141">
        <v>209</v>
      </c>
      <c r="C218" s="203"/>
      <c r="D218" s="203"/>
      <c r="E218" s="153"/>
      <c r="F218" s="553" t="str">
        <f>IF(D218="","",VLOOKUP(D218,'G-6 Hedgerow Data'!$B$2:$AG$15,2,FALSE))</f>
        <v/>
      </c>
      <c r="G218" s="499" t="str">
        <f>IF(D218="","",VLOOKUP(D218,'G-6 Hedgerow Data'!$B$2:$AG$15,3,FALSE))</f>
        <v/>
      </c>
      <c r="H218" s="145"/>
      <c r="I218" s="499" t="str">
        <f>IFERROR(VLOOKUP(H218,'G-1 All Habitats'!$Z$2:$AA$9,2,FALSE),"")</f>
        <v/>
      </c>
      <c r="J218" s="145"/>
      <c r="K218" s="507" t="str">
        <f>IF(J218="","",IF(VLOOKUP(J218,'G-3 Multipliers'!$L$3:$N$6,2,FALSE)=0,"Spatial Data Missing ⚠",VLOOKUP(J218,'G-3 Multipliers'!$L$3:$N$6,2,FALSE)))</f>
        <v/>
      </c>
      <c r="L218" s="505" t="str">
        <f>IF(J218="","",IF(VLOOKUP(J218,'G-3 Multipliers'!$L$3:$N$6,3,FALSE)=0,"Spatial Data Missing ⚠",VLOOKUP(J218,'G-3 Multipliers'!$L$3:$N$6,3,FALSE)))</f>
        <v/>
      </c>
      <c r="M218" s="506" t="str">
        <f>IF(D218="","",VLOOKUP(D218,'G-6 Hedgerow Data'!$B$1:$AH$15,33,FALSE))</f>
        <v/>
      </c>
      <c r="N218" s="513" t="str">
        <f t="shared" si="23"/>
        <v/>
      </c>
      <c r="O218" s="40"/>
      <c r="P218" s="154"/>
      <c r="Q218" s="203"/>
      <c r="R218" s="532" t="str">
        <f t="shared" si="24"/>
        <v/>
      </c>
      <c r="S218" s="532" t="str">
        <f t="shared" si="25"/>
        <v/>
      </c>
      <c r="T218" s="532" t="str">
        <f t="shared" si="26"/>
        <v/>
      </c>
      <c r="U218" s="557" t="str">
        <f t="shared" si="27"/>
        <v/>
      </c>
      <c r="V218" s="151"/>
      <c r="W218" s="152"/>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c r="AL218" s="31" t="str">
        <f>IFERROR(INDEX('G-6 Hedgerow Data'!$BJ$3:$BJ$15,MATCH(D218,'G-6 Hedgerow Data'!$B$3:$B$15,0)),"")</f>
        <v/>
      </c>
    </row>
    <row r="219" spans="2:38" ht="13.8" x14ac:dyDescent="0.25">
      <c r="B219" s="141">
        <v>210</v>
      </c>
      <c r="C219" s="203"/>
      <c r="D219" s="203"/>
      <c r="E219" s="153"/>
      <c r="F219" s="553" t="str">
        <f>IF(D219="","",VLOOKUP(D219,'G-6 Hedgerow Data'!$B$2:$AG$15,2,FALSE))</f>
        <v/>
      </c>
      <c r="G219" s="499" t="str">
        <f>IF(D219="","",VLOOKUP(D219,'G-6 Hedgerow Data'!$B$2:$AG$15,3,FALSE))</f>
        <v/>
      </c>
      <c r="H219" s="145"/>
      <c r="I219" s="499" t="str">
        <f>IFERROR(VLOOKUP(H219,'G-1 All Habitats'!$Z$2:$AA$9,2,FALSE),"")</f>
        <v/>
      </c>
      <c r="J219" s="145"/>
      <c r="K219" s="507" t="str">
        <f>IF(J219="","",IF(VLOOKUP(J219,'G-3 Multipliers'!$L$3:$N$6,2,FALSE)=0,"Spatial Data Missing ⚠",VLOOKUP(J219,'G-3 Multipliers'!$L$3:$N$6,2,FALSE)))</f>
        <v/>
      </c>
      <c r="L219" s="505" t="str">
        <f>IF(J219="","",IF(VLOOKUP(J219,'G-3 Multipliers'!$L$3:$N$6,3,FALSE)=0,"Spatial Data Missing ⚠",VLOOKUP(J219,'G-3 Multipliers'!$L$3:$N$6,3,FALSE)))</f>
        <v/>
      </c>
      <c r="M219" s="506" t="str">
        <f>IF(D219="","",VLOOKUP(D219,'G-6 Hedgerow Data'!$B$1:$AH$15,33,FALSE))</f>
        <v/>
      </c>
      <c r="N219" s="513" t="str">
        <f t="shared" si="23"/>
        <v/>
      </c>
      <c r="O219" s="40"/>
      <c r="P219" s="154"/>
      <c r="Q219" s="203"/>
      <c r="R219" s="532" t="str">
        <f t="shared" si="24"/>
        <v/>
      </c>
      <c r="S219" s="532" t="str">
        <f t="shared" si="25"/>
        <v/>
      </c>
      <c r="T219" s="532" t="str">
        <f t="shared" si="26"/>
        <v/>
      </c>
      <c r="U219" s="557" t="str">
        <f t="shared" si="27"/>
        <v/>
      </c>
      <c r="V219" s="151"/>
      <c r="W219" s="152"/>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c r="AL219" s="31" t="str">
        <f>IFERROR(INDEX('G-6 Hedgerow Data'!$BJ$3:$BJ$15,MATCH(D219,'G-6 Hedgerow Data'!$B$3:$B$15,0)),"")</f>
        <v/>
      </c>
    </row>
    <row r="220" spans="2:38" ht="13.8" x14ac:dyDescent="0.25">
      <c r="B220" s="141">
        <v>211</v>
      </c>
      <c r="C220" s="203"/>
      <c r="D220" s="203"/>
      <c r="E220" s="153"/>
      <c r="F220" s="553" t="str">
        <f>IF(D220="","",VLOOKUP(D220,'G-6 Hedgerow Data'!$B$2:$AG$15,2,FALSE))</f>
        <v/>
      </c>
      <c r="G220" s="499" t="str">
        <f>IF(D220="","",VLOOKUP(D220,'G-6 Hedgerow Data'!$B$2:$AG$15,3,FALSE))</f>
        <v/>
      </c>
      <c r="H220" s="145"/>
      <c r="I220" s="499" t="str">
        <f>IFERROR(VLOOKUP(H220,'G-1 All Habitats'!$Z$2:$AA$9,2,FALSE),"")</f>
        <v/>
      </c>
      <c r="J220" s="145"/>
      <c r="K220" s="507" t="str">
        <f>IF(J220="","",IF(VLOOKUP(J220,'G-3 Multipliers'!$L$3:$N$6,2,FALSE)=0,"Spatial Data Missing ⚠",VLOOKUP(J220,'G-3 Multipliers'!$L$3:$N$6,2,FALSE)))</f>
        <v/>
      </c>
      <c r="L220" s="505" t="str">
        <f>IF(J220="","",IF(VLOOKUP(J220,'G-3 Multipliers'!$L$3:$N$6,3,FALSE)=0,"Spatial Data Missing ⚠",VLOOKUP(J220,'G-3 Multipliers'!$L$3:$N$6,3,FALSE)))</f>
        <v/>
      </c>
      <c r="M220" s="506" t="str">
        <f>IF(D220="","",VLOOKUP(D220,'G-6 Hedgerow Data'!$B$1:$AH$15,33,FALSE))</f>
        <v/>
      </c>
      <c r="N220" s="513" t="str">
        <f t="shared" si="23"/>
        <v/>
      </c>
      <c r="O220" s="40"/>
      <c r="P220" s="154"/>
      <c r="Q220" s="203"/>
      <c r="R220" s="532" t="str">
        <f t="shared" si="24"/>
        <v/>
      </c>
      <c r="S220" s="532" t="str">
        <f t="shared" si="25"/>
        <v/>
      </c>
      <c r="T220" s="532" t="str">
        <f t="shared" si="26"/>
        <v/>
      </c>
      <c r="U220" s="557" t="str">
        <f t="shared" si="27"/>
        <v/>
      </c>
      <c r="V220" s="151"/>
      <c r="W220" s="152"/>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c r="AL220" s="31" t="str">
        <f>IFERROR(INDEX('G-6 Hedgerow Data'!$BJ$3:$BJ$15,MATCH(D220,'G-6 Hedgerow Data'!$B$3:$B$15,0)),"")</f>
        <v/>
      </c>
    </row>
    <row r="221" spans="2:38" ht="13.8" x14ac:dyDescent="0.25">
      <c r="B221" s="141">
        <v>212</v>
      </c>
      <c r="C221" s="203"/>
      <c r="D221" s="203"/>
      <c r="E221" s="153"/>
      <c r="F221" s="553" t="str">
        <f>IF(D221="","",VLOOKUP(D221,'G-6 Hedgerow Data'!$B$2:$AG$15,2,FALSE))</f>
        <v/>
      </c>
      <c r="G221" s="499" t="str">
        <f>IF(D221="","",VLOOKUP(D221,'G-6 Hedgerow Data'!$B$2:$AG$15,3,FALSE))</f>
        <v/>
      </c>
      <c r="H221" s="145"/>
      <c r="I221" s="499" t="str">
        <f>IFERROR(VLOOKUP(H221,'G-1 All Habitats'!$Z$2:$AA$9,2,FALSE),"")</f>
        <v/>
      </c>
      <c r="J221" s="145"/>
      <c r="K221" s="507" t="str">
        <f>IF(J221="","",IF(VLOOKUP(J221,'G-3 Multipliers'!$L$3:$N$6,2,FALSE)=0,"Spatial Data Missing ⚠",VLOOKUP(J221,'G-3 Multipliers'!$L$3:$N$6,2,FALSE)))</f>
        <v/>
      </c>
      <c r="L221" s="505" t="str">
        <f>IF(J221="","",IF(VLOOKUP(J221,'G-3 Multipliers'!$L$3:$N$6,3,FALSE)=0,"Spatial Data Missing ⚠",VLOOKUP(J221,'G-3 Multipliers'!$L$3:$N$6,3,FALSE)))</f>
        <v/>
      </c>
      <c r="M221" s="506" t="str">
        <f>IF(D221="","",VLOOKUP(D221,'G-6 Hedgerow Data'!$B$1:$AH$15,33,FALSE))</f>
        <v/>
      </c>
      <c r="N221" s="513" t="str">
        <f t="shared" si="23"/>
        <v/>
      </c>
      <c r="O221" s="40"/>
      <c r="P221" s="154"/>
      <c r="Q221" s="203"/>
      <c r="R221" s="532" t="str">
        <f t="shared" si="24"/>
        <v/>
      </c>
      <c r="S221" s="532" t="str">
        <f t="shared" si="25"/>
        <v/>
      </c>
      <c r="T221" s="532" t="str">
        <f t="shared" si="26"/>
        <v/>
      </c>
      <c r="U221" s="557" t="str">
        <f t="shared" si="27"/>
        <v/>
      </c>
      <c r="V221" s="151"/>
      <c r="W221" s="152"/>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c r="AL221" s="31" t="str">
        <f>IFERROR(INDEX('G-6 Hedgerow Data'!$BJ$3:$BJ$15,MATCH(D221,'G-6 Hedgerow Data'!$B$3:$B$15,0)),"")</f>
        <v/>
      </c>
    </row>
    <row r="222" spans="2:38" ht="13.8" x14ac:dyDescent="0.25">
      <c r="B222" s="141">
        <v>213</v>
      </c>
      <c r="C222" s="203"/>
      <c r="D222" s="203"/>
      <c r="E222" s="153"/>
      <c r="F222" s="553" t="str">
        <f>IF(D222="","",VLOOKUP(D222,'G-6 Hedgerow Data'!$B$2:$AG$15,2,FALSE))</f>
        <v/>
      </c>
      <c r="G222" s="499" t="str">
        <f>IF(D222="","",VLOOKUP(D222,'G-6 Hedgerow Data'!$B$2:$AG$15,3,FALSE))</f>
        <v/>
      </c>
      <c r="H222" s="145"/>
      <c r="I222" s="499" t="str">
        <f>IFERROR(VLOOKUP(H222,'G-1 All Habitats'!$Z$2:$AA$9,2,FALSE),"")</f>
        <v/>
      </c>
      <c r="J222" s="145"/>
      <c r="K222" s="507" t="str">
        <f>IF(J222="","",IF(VLOOKUP(J222,'G-3 Multipliers'!$L$3:$N$6,2,FALSE)=0,"Spatial Data Missing ⚠",VLOOKUP(J222,'G-3 Multipliers'!$L$3:$N$6,2,FALSE)))</f>
        <v/>
      </c>
      <c r="L222" s="505" t="str">
        <f>IF(J222="","",IF(VLOOKUP(J222,'G-3 Multipliers'!$L$3:$N$6,3,FALSE)=0,"Spatial Data Missing ⚠",VLOOKUP(J222,'G-3 Multipliers'!$L$3:$N$6,3,FALSE)))</f>
        <v/>
      </c>
      <c r="M222" s="506" t="str">
        <f>IF(D222="","",VLOOKUP(D222,'G-6 Hedgerow Data'!$B$1:$AH$15,33,FALSE))</f>
        <v/>
      </c>
      <c r="N222" s="513" t="str">
        <f t="shared" si="23"/>
        <v/>
      </c>
      <c r="O222" s="40"/>
      <c r="P222" s="154"/>
      <c r="Q222" s="203"/>
      <c r="R222" s="532" t="str">
        <f t="shared" si="24"/>
        <v/>
      </c>
      <c r="S222" s="532" t="str">
        <f t="shared" si="25"/>
        <v/>
      </c>
      <c r="T222" s="532" t="str">
        <f t="shared" si="26"/>
        <v/>
      </c>
      <c r="U222" s="557" t="str">
        <f t="shared" si="27"/>
        <v/>
      </c>
      <c r="V222" s="151"/>
      <c r="W222" s="152"/>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c r="AL222" s="31" t="str">
        <f>IFERROR(INDEX('G-6 Hedgerow Data'!$BJ$3:$BJ$15,MATCH(D222,'G-6 Hedgerow Data'!$B$3:$B$15,0)),"")</f>
        <v/>
      </c>
    </row>
    <row r="223" spans="2:38" ht="13.8" x14ac:dyDescent="0.25">
      <c r="B223" s="141">
        <v>214</v>
      </c>
      <c r="C223" s="203"/>
      <c r="D223" s="203"/>
      <c r="E223" s="153"/>
      <c r="F223" s="553" t="str">
        <f>IF(D223="","",VLOOKUP(D223,'G-6 Hedgerow Data'!$B$2:$AG$15,2,FALSE))</f>
        <v/>
      </c>
      <c r="G223" s="499" t="str">
        <f>IF(D223="","",VLOOKUP(D223,'G-6 Hedgerow Data'!$B$2:$AG$15,3,FALSE))</f>
        <v/>
      </c>
      <c r="H223" s="145"/>
      <c r="I223" s="499" t="str">
        <f>IFERROR(VLOOKUP(H223,'G-1 All Habitats'!$Z$2:$AA$9,2,FALSE),"")</f>
        <v/>
      </c>
      <c r="J223" s="145"/>
      <c r="K223" s="507" t="str">
        <f>IF(J223="","",IF(VLOOKUP(J223,'G-3 Multipliers'!$L$3:$N$6,2,FALSE)=0,"Spatial Data Missing ⚠",VLOOKUP(J223,'G-3 Multipliers'!$L$3:$N$6,2,FALSE)))</f>
        <v/>
      </c>
      <c r="L223" s="505" t="str">
        <f>IF(J223="","",IF(VLOOKUP(J223,'G-3 Multipliers'!$L$3:$N$6,3,FALSE)=0,"Spatial Data Missing ⚠",VLOOKUP(J223,'G-3 Multipliers'!$L$3:$N$6,3,FALSE)))</f>
        <v/>
      </c>
      <c r="M223" s="506" t="str">
        <f>IF(D223="","",VLOOKUP(D223,'G-6 Hedgerow Data'!$B$1:$AH$15,33,FALSE))</f>
        <v/>
      </c>
      <c r="N223" s="513" t="str">
        <f t="shared" si="23"/>
        <v/>
      </c>
      <c r="O223" s="40"/>
      <c r="P223" s="154"/>
      <c r="Q223" s="203"/>
      <c r="R223" s="532" t="str">
        <f t="shared" si="24"/>
        <v/>
      </c>
      <c r="S223" s="532" t="str">
        <f t="shared" si="25"/>
        <v/>
      </c>
      <c r="T223" s="532" t="str">
        <f t="shared" si="26"/>
        <v/>
      </c>
      <c r="U223" s="557" t="str">
        <f t="shared" si="27"/>
        <v/>
      </c>
      <c r="V223" s="151"/>
      <c r="W223" s="152"/>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c r="AL223" s="31" t="str">
        <f>IFERROR(INDEX('G-6 Hedgerow Data'!$BJ$3:$BJ$15,MATCH(D223,'G-6 Hedgerow Data'!$B$3:$B$15,0)),"")</f>
        <v/>
      </c>
    </row>
    <row r="224" spans="2:38" ht="13.8" x14ac:dyDescent="0.25">
      <c r="B224" s="141">
        <v>215</v>
      </c>
      <c r="C224" s="203"/>
      <c r="D224" s="203"/>
      <c r="E224" s="153"/>
      <c r="F224" s="553" t="str">
        <f>IF(D224="","",VLOOKUP(D224,'G-6 Hedgerow Data'!$B$2:$AG$15,2,FALSE))</f>
        <v/>
      </c>
      <c r="G224" s="499" t="str">
        <f>IF(D224="","",VLOOKUP(D224,'G-6 Hedgerow Data'!$B$2:$AG$15,3,FALSE))</f>
        <v/>
      </c>
      <c r="H224" s="145"/>
      <c r="I224" s="499" t="str">
        <f>IFERROR(VLOOKUP(H224,'G-1 All Habitats'!$Z$2:$AA$9,2,FALSE),"")</f>
        <v/>
      </c>
      <c r="J224" s="145"/>
      <c r="K224" s="507" t="str">
        <f>IF(J224="","",IF(VLOOKUP(J224,'G-3 Multipliers'!$L$3:$N$6,2,FALSE)=0,"Spatial Data Missing ⚠",VLOOKUP(J224,'G-3 Multipliers'!$L$3:$N$6,2,FALSE)))</f>
        <v/>
      </c>
      <c r="L224" s="505" t="str">
        <f>IF(J224="","",IF(VLOOKUP(J224,'G-3 Multipliers'!$L$3:$N$6,3,FALSE)=0,"Spatial Data Missing ⚠",VLOOKUP(J224,'G-3 Multipliers'!$L$3:$N$6,3,FALSE)))</f>
        <v/>
      </c>
      <c r="M224" s="506" t="str">
        <f>IF(D224="","",VLOOKUP(D224,'G-6 Hedgerow Data'!$B$1:$AH$15,33,FALSE))</f>
        <v/>
      </c>
      <c r="N224" s="513" t="str">
        <f t="shared" si="23"/>
        <v/>
      </c>
      <c r="O224" s="40"/>
      <c r="P224" s="154"/>
      <c r="Q224" s="203"/>
      <c r="R224" s="532" t="str">
        <f t="shared" si="24"/>
        <v/>
      </c>
      <c r="S224" s="532" t="str">
        <f t="shared" si="25"/>
        <v/>
      </c>
      <c r="T224" s="532" t="str">
        <f t="shared" si="26"/>
        <v/>
      </c>
      <c r="U224" s="557" t="str">
        <f t="shared" si="27"/>
        <v/>
      </c>
      <c r="V224" s="151"/>
      <c r="W224" s="152"/>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c r="AL224" s="31" t="str">
        <f>IFERROR(INDEX('G-6 Hedgerow Data'!$BJ$3:$BJ$15,MATCH(D224,'G-6 Hedgerow Data'!$B$3:$B$15,0)),"")</f>
        <v/>
      </c>
    </row>
    <row r="225" spans="2:38" ht="13.8" x14ac:dyDescent="0.25">
      <c r="B225" s="141">
        <v>216</v>
      </c>
      <c r="C225" s="203"/>
      <c r="D225" s="203"/>
      <c r="E225" s="153"/>
      <c r="F225" s="553" t="str">
        <f>IF(D225="","",VLOOKUP(D225,'G-6 Hedgerow Data'!$B$2:$AG$15,2,FALSE))</f>
        <v/>
      </c>
      <c r="G225" s="499" t="str">
        <f>IF(D225="","",VLOOKUP(D225,'G-6 Hedgerow Data'!$B$2:$AG$15,3,FALSE))</f>
        <v/>
      </c>
      <c r="H225" s="145"/>
      <c r="I225" s="499" t="str">
        <f>IFERROR(VLOOKUP(H225,'G-1 All Habitats'!$Z$2:$AA$9,2,FALSE),"")</f>
        <v/>
      </c>
      <c r="J225" s="145"/>
      <c r="K225" s="507" t="str">
        <f>IF(J225="","",IF(VLOOKUP(J225,'G-3 Multipliers'!$L$3:$N$6,2,FALSE)=0,"Spatial Data Missing ⚠",VLOOKUP(J225,'G-3 Multipliers'!$L$3:$N$6,2,FALSE)))</f>
        <v/>
      </c>
      <c r="L225" s="505" t="str">
        <f>IF(J225="","",IF(VLOOKUP(J225,'G-3 Multipliers'!$L$3:$N$6,3,FALSE)=0,"Spatial Data Missing ⚠",VLOOKUP(J225,'G-3 Multipliers'!$L$3:$N$6,3,FALSE)))</f>
        <v/>
      </c>
      <c r="M225" s="506" t="str">
        <f>IF(D225="","",VLOOKUP(D225,'G-6 Hedgerow Data'!$B$1:$AH$15,33,FALSE))</f>
        <v/>
      </c>
      <c r="N225" s="513" t="str">
        <f t="shared" si="23"/>
        <v/>
      </c>
      <c r="O225" s="40"/>
      <c r="P225" s="154"/>
      <c r="Q225" s="203"/>
      <c r="R225" s="532" t="str">
        <f t="shared" si="24"/>
        <v/>
      </c>
      <c r="S225" s="532" t="str">
        <f t="shared" si="25"/>
        <v/>
      </c>
      <c r="T225" s="532" t="str">
        <f t="shared" si="26"/>
        <v/>
      </c>
      <c r="U225" s="557" t="str">
        <f t="shared" si="27"/>
        <v/>
      </c>
      <c r="V225" s="151"/>
      <c r="W225" s="152"/>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c r="AL225" s="31" t="str">
        <f>IFERROR(INDEX('G-6 Hedgerow Data'!$BJ$3:$BJ$15,MATCH(D225,'G-6 Hedgerow Data'!$B$3:$B$15,0)),"")</f>
        <v/>
      </c>
    </row>
    <row r="226" spans="2:38" ht="13.8" x14ac:dyDescent="0.25">
      <c r="B226" s="141">
        <v>217</v>
      </c>
      <c r="C226" s="203"/>
      <c r="D226" s="203"/>
      <c r="E226" s="153"/>
      <c r="F226" s="553" t="str">
        <f>IF(D226="","",VLOOKUP(D226,'G-6 Hedgerow Data'!$B$2:$AG$15,2,FALSE))</f>
        <v/>
      </c>
      <c r="G226" s="499" t="str">
        <f>IF(D226="","",VLOOKUP(D226,'G-6 Hedgerow Data'!$B$2:$AG$15,3,FALSE))</f>
        <v/>
      </c>
      <c r="H226" s="145"/>
      <c r="I226" s="499" t="str">
        <f>IFERROR(VLOOKUP(H226,'G-1 All Habitats'!$Z$2:$AA$9,2,FALSE),"")</f>
        <v/>
      </c>
      <c r="J226" s="145"/>
      <c r="K226" s="507" t="str">
        <f>IF(J226="","",IF(VLOOKUP(J226,'G-3 Multipliers'!$L$3:$N$6,2,FALSE)=0,"Spatial Data Missing ⚠",VLOOKUP(J226,'G-3 Multipliers'!$L$3:$N$6,2,FALSE)))</f>
        <v/>
      </c>
      <c r="L226" s="505" t="str">
        <f>IF(J226="","",IF(VLOOKUP(J226,'G-3 Multipliers'!$L$3:$N$6,3,FALSE)=0,"Spatial Data Missing ⚠",VLOOKUP(J226,'G-3 Multipliers'!$L$3:$N$6,3,FALSE)))</f>
        <v/>
      </c>
      <c r="M226" s="506" t="str">
        <f>IF(D226="","",VLOOKUP(D226,'G-6 Hedgerow Data'!$B$1:$AH$15,33,FALSE))</f>
        <v/>
      </c>
      <c r="N226" s="513" t="str">
        <f t="shared" si="23"/>
        <v/>
      </c>
      <c r="O226" s="40"/>
      <c r="P226" s="154"/>
      <c r="Q226" s="203"/>
      <c r="R226" s="532" t="str">
        <f t="shared" si="24"/>
        <v/>
      </c>
      <c r="S226" s="532" t="str">
        <f t="shared" si="25"/>
        <v/>
      </c>
      <c r="T226" s="532" t="str">
        <f t="shared" si="26"/>
        <v/>
      </c>
      <c r="U226" s="557" t="str">
        <f t="shared" si="27"/>
        <v/>
      </c>
      <c r="V226" s="151"/>
      <c r="W226" s="152"/>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c r="AL226" s="31" t="str">
        <f>IFERROR(INDEX('G-6 Hedgerow Data'!$BJ$3:$BJ$15,MATCH(D226,'G-6 Hedgerow Data'!$B$3:$B$15,0)),"")</f>
        <v/>
      </c>
    </row>
    <row r="227" spans="2:38" ht="13.8" x14ac:dyDescent="0.25">
      <c r="B227" s="141">
        <v>218</v>
      </c>
      <c r="C227" s="203"/>
      <c r="D227" s="203"/>
      <c r="E227" s="153"/>
      <c r="F227" s="553" t="str">
        <f>IF(D227="","",VLOOKUP(D227,'G-6 Hedgerow Data'!$B$2:$AG$15,2,FALSE))</f>
        <v/>
      </c>
      <c r="G227" s="499" t="str">
        <f>IF(D227="","",VLOOKUP(D227,'G-6 Hedgerow Data'!$B$2:$AG$15,3,FALSE))</f>
        <v/>
      </c>
      <c r="H227" s="145"/>
      <c r="I227" s="499" t="str">
        <f>IFERROR(VLOOKUP(H227,'G-1 All Habitats'!$Z$2:$AA$9,2,FALSE),"")</f>
        <v/>
      </c>
      <c r="J227" s="145"/>
      <c r="K227" s="507" t="str">
        <f>IF(J227="","",IF(VLOOKUP(J227,'G-3 Multipliers'!$L$3:$N$6,2,FALSE)=0,"Spatial Data Missing ⚠",VLOOKUP(J227,'G-3 Multipliers'!$L$3:$N$6,2,FALSE)))</f>
        <v/>
      </c>
      <c r="L227" s="505" t="str">
        <f>IF(J227="","",IF(VLOOKUP(J227,'G-3 Multipliers'!$L$3:$N$6,3,FALSE)=0,"Spatial Data Missing ⚠",VLOOKUP(J227,'G-3 Multipliers'!$L$3:$N$6,3,FALSE)))</f>
        <v/>
      </c>
      <c r="M227" s="506" t="str">
        <f>IF(D227="","",VLOOKUP(D227,'G-6 Hedgerow Data'!$B$1:$AH$15,33,FALSE))</f>
        <v/>
      </c>
      <c r="N227" s="513" t="str">
        <f t="shared" si="23"/>
        <v/>
      </c>
      <c r="O227" s="40"/>
      <c r="P227" s="154"/>
      <c r="Q227" s="203"/>
      <c r="R227" s="532" t="str">
        <f t="shared" si="24"/>
        <v/>
      </c>
      <c r="S227" s="532" t="str">
        <f t="shared" si="25"/>
        <v/>
      </c>
      <c r="T227" s="532" t="str">
        <f t="shared" si="26"/>
        <v/>
      </c>
      <c r="U227" s="557" t="str">
        <f t="shared" si="27"/>
        <v/>
      </c>
      <c r="V227" s="151"/>
      <c r="W227" s="152"/>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c r="AL227" s="31" t="str">
        <f>IFERROR(INDEX('G-6 Hedgerow Data'!$BJ$3:$BJ$15,MATCH(D227,'G-6 Hedgerow Data'!$B$3:$B$15,0)),"")</f>
        <v/>
      </c>
    </row>
    <row r="228" spans="2:38" ht="13.8" x14ac:dyDescent="0.25">
      <c r="B228" s="141">
        <v>219</v>
      </c>
      <c r="C228" s="203"/>
      <c r="D228" s="203"/>
      <c r="E228" s="153"/>
      <c r="F228" s="553" t="str">
        <f>IF(D228="","",VLOOKUP(D228,'G-6 Hedgerow Data'!$B$2:$AG$15,2,FALSE))</f>
        <v/>
      </c>
      <c r="G228" s="499" t="str">
        <f>IF(D228="","",VLOOKUP(D228,'G-6 Hedgerow Data'!$B$2:$AG$15,3,FALSE))</f>
        <v/>
      </c>
      <c r="H228" s="145"/>
      <c r="I228" s="499" t="str">
        <f>IFERROR(VLOOKUP(H228,'G-1 All Habitats'!$Z$2:$AA$9,2,FALSE),"")</f>
        <v/>
      </c>
      <c r="J228" s="145"/>
      <c r="K228" s="507" t="str">
        <f>IF(J228="","",IF(VLOOKUP(J228,'G-3 Multipliers'!$L$3:$N$6,2,FALSE)=0,"Spatial Data Missing ⚠",VLOOKUP(J228,'G-3 Multipliers'!$L$3:$N$6,2,FALSE)))</f>
        <v/>
      </c>
      <c r="L228" s="505" t="str">
        <f>IF(J228="","",IF(VLOOKUP(J228,'G-3 Multipliers'!$L$3:$N$6,3,FALSE)=0,"Spatial Data Missing ⚠",VLOOKUP(J228,'G-3 Multipliers'!$L$3:$N$6,3,FALSE)))</f>
        <v/>
      </c>
      <c r="M228" s="506" t="str">
        <f>IF(D228="","",VLOOKUP(D228,'G-6 Hedgerow Data'!$B$1:$AH$15,33,FALSE))</f>
        <v/>
      </c>
      <c r="N228" s="513" t="str">
        <f t="shared" si="23"/>
        <v/>
      </c>
      <c r="O228" s="40"/>
      <c r="P228" s="154"/>
      <c r="Q228" s="203"/>
      <c r="R228" s="532" t="str">
        <f t="shared" si="24"/>
        <v/>
      </c>
      <c r="S228" s="532" t="str">
        <f t="shared" si="25"/>
        <v/>
      </c>
      <c r="T228" s="532" t="str">
        <f t="shared" si="26"/>
        <v/>
      </c>
      <c r="U228" s="557" t="str">
        <f t="shared" si="27"/>
        <v/>
      </c>
      <c r="V228" s="151"/>
      <c r="W228" s="152"/>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c r="AL228" s="31" t="str">
        <f>IFERROR(INDEX('G-6 Hedgerow Data'!$BJ$3:$BJ$15,MATCH(D228,'G-6 Hedgerow Data'!$B$3:$B$15,0)),"")</f>
        <v/>
      </c>
    </row>
    <row r="229" spans="2:38" ht="13.8" x14ac:dyDescent="0.25">
      <c r="B229" s="141">
        <v>220</v>
      </c>
      <c r="C229" s="203"/>
      <c r="D229" s="203"/>
      <c r="E229" s="153"/>
      <c r="F229" s="553" t="str">
        <f>IF(D229="","",VLOOKUP(D229,'G-6 Hedgerow Data'!$B$2:$AG$15,2,FALSE))</f>
        <v/>
      </c>
      <c r="G229" s="499" t="str">
        <f>IF(D229="","",VLOOKUP(D229,'G-6 Hedgerow Data'!$B$2:$AG$15,3,FALSE))</f>
        <v/>
      </c>
      <c r="H229" s="145"/>
      <c r="I229" s="499" t="str">
        <f>IFERROR(VLOOKUP(H229,'G-1 All Habitats'!$Z$2:$AA$9,2,FALSE),"")</f>
        <v/>
      </c>
      <c r="J229" s="145"/>
      <c r="K229" s="507" t="str">
        <f>IF(J229="","",IF(VLOOKUP(J229,'G-3 Multipliers'!$L$3:$N$6,2,FALSE)=0,"Spatial Data Missing ⚠",VLOOKUP(J229,'G-3 Multipliers'!$L$3:$N$6,2,FALSE)))</f>
        <v/>
      </c>
      <c r="L229" s="505" t="str">
        <f>IF(J229="","",IF(VLOOKUP(J229,'G-3 Multipliers'!$L$3:$N$6,3,FALSE)=0,"Spatial Data Missing ⚠",VLOOKUP(J229,'G-3 Multipliers'!$L$3:$N$6,3,FALSE)))</f>
        <v/>
      </c>
      <c r="M229" s="506" t="str">
        <f>IF(D229="","",VLOOKUP(D229,'G-6 Hedgerow Data'!$B$1:$AH$15,33,FALSE))</f>
        <v/>
      </c>
      <c r="N229" s="513" t="str">
        <f t="shared" si="23"/>
        <v/>
      </c>
      <c r="O229" s="40"/>
      <c r="P229" s="154"/>
      <c r="Q229" s="203"/>
      <c r="R229" s="532" t="str">
        <f t="shared" si="24"/>
        <v/>
      </c>
      <c r="S229" s="532" t="str">
        <f t="shared" si="25"/>
        <v/>
      </c>
      <c r="T229" s="532" t="str">
        <f t="shared" si="26"/>
        <v/>
      </c>
      <c r="U229" s="557" t="str">
        <f t="shared" si="27"/>
        <v/>
      </c>
      <c r="V229" s="151"/>
      <c r="W229" s="152"/>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c r="AL229" s="31" t="str">
        <f>IFERROR(INDEX('G-6 Hedgerow Data'!$BJ$3:$BJ$15,MATCH(D229,'G-6 Hedgerow Data'!$B$3:$B$15,0)),"")</f>
        <v/>
      </c>
    </row>
    <row r="230" spans="2:38" ht="13.8" x14ac:dyDescent="0.25">
      <c r="B230" s="141">
        <v>221</v>
      </c>
      <c r="C230" s="203"/>
      <c r="D230" s="203"/>
      <c r="E230" s="153"/>
      <c r="F230" s="553" t="str">
        <f>IF(D230="","",VLOOKUP(D230,'G-6 Hedgerow Data'!$B$2:$AG$15,2,FALSE))</f>
        <v/>
      </c>
      <c r="G230" s="499" t="str">
        <f>IF(D230="","",VLOOKUP(D230,'G-6 Hedgerow Data'!$B$2:$AG$15,3,FALSE))</f>
        <v/>
      </c>
      <c r="H230" s="145"/>
      <c r="I230" s="499" t="str">
        <f>IFERROR(VLOOKUP(H230,'G-1 All Habitats'!$Z$2:$AA$9,2,FALSE),"")</f>
        <v/>
      </c>
      <c r="J230" s="145"/>
      <c r="K230" s="507" t="str">
        <f>IF(J230="","",IF(VLOOKUP(J230,'G-3 Multipliers'!$L$3:$N$6,2,FALSE)=0,"Spatial Data Missing ⚠",VLOOKUP(J230,'G-3 Multipliers'!$L$3:$N$6,2,FALSE)))</f>
        <v/>
      </c>
      <c r="L230" s="505" t="str">
        <f>IF(J230="","",IF(VLOOKUP(J230,'G-3 Multipliers'!$L$3:$N$6,3,FALSE)=0,"Spatial Data Missing ⚠",VLOOKUP(J230,'G-3 Multipliers'!$L$3:$N$6,3,FALSE)))</f>
        <v/>
      </c>
      <c r="M230" s="506" t="str">
        <f>IF(D230="","",VLOOKUP(D230,'G-6 Hedgerow Data'!$B$1:$AH$15,33,FALSE))</f>
        <v/>
      </c>
      <c r="N230" s="513" t="str">
        <f t="shared" si="23"/>
        <v/>
      </c>
      <c r="O230" s="40"/>
      <c r="P230" s="154"/>
      <c r="Q230" s="203"/>
      <c r="R230" s="532" t="str">
        <f t="shared" si="24"/>
        <v/>
      </c>
      <c r="S230" s="532" t="str">
        <f t="shared" si="25"/>
        <v/>
      </c>
      <c r="T230" s="532" t="str">
        <f t="shared" si="26"/>
        <v/>
      </c>
      <c r="U230" s="557" t="str">
        <f t="shared" si="27"/>
        <v/>
      </c>
      <c r="V230" s="151"/>
      <c r="W230" s="152"/>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c r="AL230" s="31" t="str">
        <f>IFERROR(INDEX('G-6 Hedgerow Data'!$BJ$3:$BJ$15,MATCH(D230,'G-6 Hedgerow Data'!$B$3:$B$15,0)),"")</f>
        <v/>
      </c>
    </row>
    <row r="231" spans="2:38" ht="13.8" x14ac:dyDescent="0.25">
      <c r="B231" s="141">
        <v>222</v>
      </c>
      <c r="C231" s="203"/>
      <c r="D231" s="203"/>
      <c r="E231" s="153"/>
      <c r="F231" s="553" t="str">
        <f>IF(D231="","",VLOOKUP(D231,'G-6 Hedgerow Data'!$B$2:$AG$15,2,FALSE))</f>
        <v/>
      </c>
      <c r="G231" s="499" t="str">
        <f>IF(D231="","",VLOOKUP(D231,'G-6 Hedgerow Data'!$B$2:$AG$15,3,FALSE))</f>
        <v/>
      </c>
      <c r="H231" s="145"/>
      <c r="I231" s="499" t="str">
        <f>IFERROR(VLOOKUP(H231,'G-1 All Habitats'!$Z$2:$AA$9,2,FALSE),"")</f>
        <v/>
      </c>
      <c r="J231" s="145"/>
      <c r="K231" s="507" t="str">
        <f>IF(J231="","",IF(VLOOKUP(J231,'G-3 Multipliers'!$L$3:$N$6,2,FALSE)=0,"Spatial Data Missing ⚠",VLOOKUP(J231,'G-3 Multipliers'!$L$3:$N$6,2,FALSE)))</f>
        <v/>
      </c>
      <c r="L231" s="505" t="str">
        <f>IF(J231="","",IF(VLOOKUP(J231,'G-3 Multipliers'!$L$3:$N$6,3,FALSE)=0,"Spatial Data Missing ⚠",VLOOKUP(J231,'G-3 Multipliers'!$L$3:$N$6,3,FALSE)))</f>
        <v/>
      </c>
      <c r="M231" s="506" t="str">
        <f>IF(D231="","",VLOOKUP(D231,'G-6 Hedgerow Data'!$B$1:$AH$15,33,FALSE))</f>
        <v/>
      </c>
      <c r="N231" s="513" t="str">
        <f t="shared" si="23"/>
        <v/>
      </c>
      <c r="O231" s="40"/>
      <c r="P231" s="154"/>
      <c r="Q231" s="203"/>
      <c r="R231" s="532" t="str">
        <f t="shared" si="24"/>
        <v/>
      </c>
      <c r="S231" s="532" t="str">
        <f t="shared" si="25"/>
        <v/>
      </c>
      <c r="T231" s="532" t="str">
        <f t="shared" si="26"/>
        <v/>
      </c>
      <c r="U231" s="557" t="str">
        <f t="shared" si="27"/>
        <v/>
      </c>
      <c r="V231" s="151"/>
      <c r="W231" s="152"/>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c r="AL231" s="31" t="str">
        <f>IFERROR(INDEX('G-6 Hedgerow Data'!$BJ$3:$BJ$15,MATCH(D231,'G-6 Hedgerow Data'!$B$3:$B$15,0)),"")</f>
        <v/>
      </c>
    </row>
    <row r="232" spans="2:38" ht="13.8" x14ac:dyDescent="0.25">
      <c r="B232" s="141">
        <v>223</v>
      </c>
      <c r="C232" s="203"/>
      <c r="D232" s="203"/>
      <c r="E232" s="153"/>
      <c r="F232" s="553" t="str">
        <f>IF(D232="","",VLOOKUP(D232,'G-6 Hedgerow Data'!$B$2:$AG$15,2,FALSE))</f>
        <v/>
      </c>
      <c r="G232" s="499" t="str">
        <f>IF(D232="","",VLOOKUP(D232,'G-6 Hedgerow Data'!$B$2:$AG$15,3,FALSE))</f>
        <v/>
      </c>
      <c r="H232" s="145"/>
      <c r="I232" s="499" t="str">
        <f>IFERROR(VLOOKUP(H232,'G-1 All Habitats'!$Z$2:$AA$9,2,FALSE),"")</f>
        <v/>
      </c>
      <c r="J232" s="145"/>
      <c r="K232" s="507" t="str">
        <f>IF(J232="","",IF(VLOOKUP(J232,'G-3 Multipliers'!$L$3:$N$6,2,FALSE)=0,"Spatial Data Missing ⚠",VLOOKUP(J232,'G-3 Multipliers'!$L$3:$N$6,2,FALSE)))</f>
        <v/>
      </c>
      <c r="L232" s="505" t="str">
        <f>IF(J232="","",IF(VLOOKUP(J232,'G-3 Multipliers'!$L$3:$N$6,3,FALSE)=0,"Spatial Data Missing ⚠",VLOOKUP(J232,'G-3 Multipliers'!$L$3:$N$6,3,FALSE)))</f>
        <v/>
      </c>
      <c r="M232" s="506" t="str">
        <f>IF(D232="","",VLOOKUP(D232,'G-6 Hedgerow Data'!$B$1:$AH$15,33,FALSE))</f>
        <v/>
      </c>
      <c r="N232" s="513" t="str">
        <f t="shared" si="23"/>
        <v/>
      </c>
      <c r="O232" s="40"/>
      <c r="P232" s="154"/>
      <c r="Q232" s="203"/>
      <c r="R232" s="532" t="str">
        <f t="shared" si="24"/>
        <v/>
      </c>
      <c r="S232" s="532" t="str">
        <f t="shared" si="25"/>
        <v/>
      </c>
      <c r="T232" s="532" t="str">
        <f t="shared" si="26"/>
        <v/>
      </c>
      <c r="U232" s="557" t="str">
        <f t="shared" si="27"/>
        <v/>
      </c>
      <c r="V232" s="151"/>
      <c r="W232" s="152"/>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c r="AL232" s="31" t="str">
        <f>IFERROR(INDEX('G-6 Hedgerow Data'!$BJ$3:$BJ$15,MATCH(D232,'G-6 Hedgerow Data'!$B$3:$B$15,0)),"")</f>
        <v/>
      </c>
    </row>
    <row r="233" spans="2:38" ht="13.8" x14ac:dyDescent="0.25">
      <c r="B233" s="141">
        <v>224</v>
      </c>
      <c r="C233" s="203"/>
      <c r="D233" s="203"/>
      <c r="E233" s="153"/>
      <c r="F233" s="553" t="str">
        <f>IF(D233="","",VLOOKUP(D233,'G-6 Hedgerow Data'!$B$2:$AG$15,2,FALSE))</f>
        <v/>
      </c>
      <c r="G233" s="499" t="str">
        <f>IF(D233="","",VLOOKUP(D233,'G-6 Hedgerow Data'!$B$2:$AG$15,3,FALSE))</f>
        <v/>
      </c>
      <c r="H233" s="145"/>
      <c r="I233" s="499" t="str">
        <f>IFERROR(VLOOKUP(H233,'G-1 All Habitats'!$Z$2:$AA$9,2,FALSE),"")</f>
        <v/>
      </c>
      <c r="J233" s="145"/>
      <c r="K233" s="507" t="str">
        <f>IF(J233="","",IF(VLOOKUP(J233,'G-3 Multipliers'!$L$3:$N$6,2,FALSE)=0,"Spatial Data Missing ⚠",VLOOKUP(J233,'G-3 Multipliers'!$L$3:$N$6,2,FALSE)))</f>
        <v/>
      </c>
      <c r="L233" s="505" t="str">
        <f>IF(J233="","",IF(VLOOKUP(J233,'G-3 Multipliers'!$L$3:$N$6,3,FALSE)=0,"Spatial Data Missing ⚠",VLOOKUP(J233,'G-3 Multipliers'!$L$3:$N$6,3,FALSE)))</f>
        <v/>
      </c>
      <c r="M233" s="506" t="str">
        <f>IF(D233="","",VLOOKUP(D233,'G-6 Hedgerow Data'!$B$1:$AH$15,33,FALSE))</f>
        <v/>
      </c>
      <c r="N233" s="513" t="str">
        <f t="shared" si="23"/>
        <v/>
      </c>
      <c r="O233" s="40"/>
      <c r="P233" s="154"/>
      <c r="Q233" s="203"/>
      <c r="R233" s="532" t="str">
        <f t="shared" si="24"/>
        <v/>
      </c>
      <c r="S233" s="532" t="str">
        <f t="shared" si="25"/>
        <v/>
      </c>
      <c r="T233" s="532" t="str">
        <f t="shared" si="26"/>
        <v/>
      </c>
      <c r="U233" s="557" t="str">
        <f t="shared" si="27"/>
        <v/>
      </c>
      <c r="V233" s="151"/>
      <c r="W233" s="152"/>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c r="AL233" s="31" t="str">
        <f>IFERROR(INDEX('G-6 Hedgerow Data'!$BJ$3:$BJ$15,MATCH(D233,'G-6 Hedgerow Data'!$B$3:$B$15,0)),"")</f>
        <v/>
      </c>
    </row>
    <row r="234" spans="2:38" ht="13.8" x14ac:dyDescent="0.25">
      <c r="B234" s="141">
        <v>225</v>
      </c>
      <c r="C234" s="203"/>
      <c r="D234" s="203"/>
      <c r="E234" s="153"/>
      <c r="F234" s="553" t="str">
        <f>IF(D234="","",VLOOKUP(D234,'G-6 Hedgerow Data'!$B$2:$AG$15,2,FALSE))</f>
        <v/>
      </c>
      <c r="G234" s="499" t="str">
        <f>IF(D234="","",VLOOKUP(D234,'G-6 Hedgerow Data'!$B$2:$AG$15,3,FALSE))</f>
        <v/>
      </c>
      <c r="H234" s="145"/>
      <c r="I234" s="499" t="str">
        <f>IFERROR(VLOOKUP(H234,'G-1 All Habitats'!$Z$2:$AA$9,2,FALSE),"")</f>
        <v/>
      </c>
      <c r="J234" s="145"/>
      <c r="K234" s="507" t="str">
        <f>IF(J234="","",IF(VLOOKUP(J234,'G-3 Multipliers'!$L$3:$N$6,2,FALSE)=0,"Spatial Data Missing ⚠",VLOOKUP(J234,'G-3 Multipliers'!$L$3:$N$6,2,FALSE)))</f>
        <v/>
      </c>
      <c r="L234" s="505" t="str">
        <f>IF(J234="","",IF(VLOOKUP(J234,'G-3 Multipliers'!$L$3:$N$6,3,FALSE)=0,"Spatial Data Missing ⚠",VLOOKUP(J234,'G-3 Multipliers'!$L$3:$N$6,3,FALSE)))</f>
        <v/>
      </c>
      <c r="M234" s="506" t="str">
        <f>IF(D234="","",VLOOKUP(D234,'G-6 Hedgerow Data'!$B$1:$AH$15,33,FALSE))</f>
        <v/>
      </c>
      <c r="N234" s="513" t="str">
        <f t="shared" si="23"/>
        <v/>
      </c>
      <c r="O234" s="40"/>
      <c r="P234" s="154"/>
      <c r="Q234" s="203"/>
      <c r="R234" s="532" t="str">
        <f t="shared" si="24"/>
        <v/>
      </c>
      <c r="S234" s="532" t="str">
        <f t="shared" si="25"/>
        <v/>
      </c>
      <c r="T234" s="532" t="str">
        <f t="shared" si="26"/>
        <v/>
      </c>
      <c r="U234" s="557" t="str">
        <f t="shared" si="27"/>
        <v/>
      </c>
      <c r="V234" s="151"/>
      <c r="W234" s="152"/>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c r="AL234" s="31" t="str">
        <f>IFERROR(INDEX('G-6 Hedgerow Data'!$BJ$3:$BJ$15,MATCH(D234,'G-6 Hedgerow Data'!$B$3:$B$15,0)),"")</f>
        <v/>
      </c>
    </row>
    <row r="235" spans="2:38" ht="13.8" x14ac:dyDescent="0.25">
      <c r="B235" s="141">
        <v>226</v>
      </c>
      <c r="C235" s="203"/>
      <c r="D235" s="203"/>
      <c r="E235" s="153"/>
      <c r="F235" s="553" t="str">
        <f>IF(D235="","",VLOOKUP(D235,'G-6 Hedgerow Data'!$B$2:$AG$15,2,FALSE))</f>
        <v/>
      </c>
      <c r="G235" s="499" t="str">
        <f>IF(D235="","",VLOOKUP(D235,'G-6 Hedgerow Data'!$B$2:$AG$15,3,FALSE))</f>
        <v/>
      </c>
      <c r="H235" s="145"/>
      <c r="I235" s="499" t="str">
        <f>IFERROR(VLOOKUP(H235,'G-1 All Habitats'!$Z$2:$AA$9,2,FALSE),"")</f>
        <v/>
      </c>
      <c r="J235" s="145"/>
      <c r="K235" s="507" t="str">
        <f>IF(J235="","",IF(VLOOKUP(J235,'G-3 Multipliers'!$L$3:$N$6,2,FALSE)=0,"Spatial Data Missing ⚠",VLOOKUP(J235,'G-3 Multipliers'!$L$3:$N$6,2,FALSE)))</f>
        <v/>
      </c>
      <c r="L235" s="505" t="str">
        <f>IF(J235="","",IF(VLOOKUP(J235,'G-3 Multipliers'!$L$3:$N$6,3,FALSE)=0,"Spatial Data Missing ⚠",VLOOKUP(J235,'G-3 Multipliers'!$L$3:$N$6,3,FALSE)))</f>
        <v/>
      </c>
      <c r="M235" s="506" t="str">
        <f>IF(D235="","",VLOOKUP(D235,'G-6 Hedgerow Data'!$B$1:$AH$15,33,FALSE))</f>
        <v/>
      </c>
      <c r="N235" s="513" t="str">
        <f t="shared" si="23"/>
        <v/>
      </c>
      <c r="O235" s="40"/>
      <c r="P235" s="154"/>
      <c r="Q235" s="203"/>
      <c r="R235" s="532" t="str">
        <f t="shared" si="24"/>
        <v/>
      </c>
      <c r="S235" s="532" t="str">
        <f t="shared" si="25"/>
        <v/>
      </c>
      <c r="T235" s="532" t="str">
        <f t="shared" si="26"/>
        <v/>
      </c>
      <c r="U235" s="557" t="str">
        <f t="shared" si="27"/>
        <v/>
      </c>
      <c r="V235" s="151"/>
      <c r="W235" s="152"/>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c r="AL235" s="31" t="str">
        <f>IFERROR(INDEX('G-6 Hedgerow Data'!$BJ$3:$BJ$15,MATCH(D235,'G-6 Hedgerow Data'!$B$3:$B$15,0)),"")</f>
        <v/>
      </c>
    </row>
    <row r="236" spans="2:38" ht="13.8" x14ac:dyDescent="0.25">
      <c r="B236" s="141">
        <v>227</v>
      </c>
      <c r="C236" s="203"/>
      <c r="D236" s="203"/>
      <c r="E236" s="153"/>
      <c r="F236" s="553" t="str">
        <f>IF(D236="","",VLOOKUP(D236,'G-6 Hedgerow Data'!$B$2:$AG$15,2,FALSE))</f>
        <v/>
      </c>
      <c r="G236" s="499" t="str">
        <f>IF(D236="","",VLOOKUP(D236,'G-6 Hedgerow Data'!$B$2:$AG$15,3,FALSE))</f>
        <v/>
      </c>
      <c r="H236" s="145"/>
      <c r="I236" s="499" t="str">
        <f>IFERROR(VLOOKUP(H236,'G-1 All Habitats'!$Z$2:$AA$9,2,FALSE),"")</f>
        <v/>
      </c>
      <c r="J236" s="145"/>
      <c r="K236" s="507" t="str">
        <f>IF(J236="","",IF(VLOOKUP(J236,'G-3 Multipliers'!$L$3:$N$6,2,FALSE)=0,"Spatial Data Missing ⚠",VLOOKUP(J236,'G-3 Multipliers'!$L$3:$N$6,2,FALSE)))</f>
        <v/>
      </c>
      <c r="L236" s="505" t="str">
        <f>IF(J236="","",IF(VLOOKUP(J236,'G-3 Multipliers'!$L$3:$N$6,3,FALSE)=0,"Spatial Data Missing ⚠",VLOOKUP(J236,'G-3 Multipliers'!$L$3:$N$6,3,FALSE)))</f>
        <v/>
      </c>
      <c r="M236" s="506" t="str">
        <f>IF(D236="","",VLOOKUP(D236,'G-6 Hedgerow Data'!$B$1:$AH$15,33,FALSE))</f>
        <v/>
      </c>
      <c r="N236" s="513" t="str">
        <f t="shared" si="23"/>
        <v/>
      </c>
      <c r="O236" s="40"/>
      <c r="P236" s="154"/>
      <c r="Q236" s="203"/>
      <c r="R236" s="532" t="str">
        <f t="shared" si="24"/>
        <v/>
      </c>
      <c r="S236" s="532" t="str">
        <f t="shared" si="25"/>
        <v/>
      </c>
      <c r="T236" s="532" t="str">
        <f t="shared" si="26"/>
        <v/>
      </c>
      <c r="U236" s="557" t="str">
        <f t="shared" si="27"/>
        <v/>
      </c>
      <c r="V236" s="151"/>
      <c r="W236" s="152"/>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c r="AL236" s="31" t="str">
        <f>IFERROR(INDEX('G-6 Hedgerow Data'!$BJ$3:$BJ$15,MATCH(D236,'G-6 Hedgerow Data'!$B$3:$B$15,0)),"")</f>
        <v/>
      </c>
    </row>
    <row r="237" spans="2:38" ht="13.8" x14ac:dyDescent="0.25">
      <c r="B237" s="141">
        <v>228</v>
      </c>
      <c r="C237" s="203"/>
      <c r="D237" s="203"/>
      <c r="E237" s="153"/>
      <c r="F237" s="553" t="str">
        <f>IF(D237="","",VLOOKUP(D237,'G-6 Hedgerow Data'!$B$2:$AG$15,2,FALSE))</f>
        <v/>
      </c>
      <c r="G237" s="499" t="str">
        <f>IF(D237="","",VLOOKUP(D237,'G-6 Hedgerow Data'!$B$2:$AG$15,3,FALSE))</f>
        <v/>
      </c>
      <c r="H237" s="145"/>
      <c r="I237" s="499" t="str">
        <f>IFERROR(VLOOKUP(H237,'G-1 All Habitats'!$Z$2:$AA$9,2,FALSE),"")</f>
        <v/>
      </c>
      <c r="J237" s="145"/>
      <c r="K237" s="507" t="str">
        <f>IF(J237="","",IF(VLOOKUP(J237,'G-3 Multipliers'!$L$3:$N$6,2,FALSE)=0,"Spatial Data Missing ⚠",VLOOKUP(J237,'G-3 Multipliers'!$L$3:$N$6,2,FALSE)))</f>
        <v/>
      </c>
      <c r="L237" s="505" t="str">
        <f>IF(J237="","",IF(VLOOKUP(J237,'G-3 Multipliers'!$L$3:$N$6,3,FALSE)=0,"Spatial Data Missing ⚠",VLOOKUP(J237,'G-3 Multipliers'!$L$3:$N$6,3,FALSE)))</f>
        <v/>
      </c>
      <c r="M237" s="506" t="str">
        <f>IF(D237="","",VLOOKUP(D237,'G-6 Hedgerow Data'!$B$1:$AH$15,33,FALSE))</f>
        <v/>
      </c>
      <c r="N237" s="513" t="str">
        <f t="shared" si="23"/>
        <v/>
      </c>
      <c r="O237" s="40"/>
      <c r="P237" s="154"/>
      <c r="Q237" s="203"/>
      <c r="R237" s="532" t="str">
        <f t="shared" si="24"/>
        <v/>
      </c>
      <c r="S237" s="532" t="str">
        <f t="shared" si="25"/>
        <v/>
      </c>
      <c r="T237" s="532" t="str">
        <f t="shared" si="26"/>
        <v/>
      </c>
      <c r="U237" s="557" t="str">
        <f t="shared" si="27"/>
        <v/>
      </c>
      <c r="V237" s="151"/>
      <c r="W237" s="152"/>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c r="AL237" s="31" t="str">
        <f>IFERROR(INDEX('G-6 Hedgerow Data'!$BJ$3:$BJ$15,MATCH(D237,'G-6 Hedgerow Data'!$B$3:$B$15,0)),"")</f>
        <v/>
      </c>
    </row>
    <row r="238" spans="2:38" ht="13.8" x14ac:dyDescent="0.25">
      <c r="B238" s="141">
        <v>229</v>
      </c>
      <c r="C238" s="203"/>
      <c r="D238" s="203"/>
      <c r="E238" s="153"/>
      <c r="F238" s="553" t="str">
        <f>IF(D238="","",VLOOKUP(D238,'G-6 Hedgerow Data'!$B$2:$AG$15,2,FALSE))</f>
        <v/>
      </c>
      <c r="G238" s="499" t="str">
        <f>IF(D238="","",VLOOKUP(D238,'G-6 Hedgerow Data'!$B$2:$AG$15,3,FALSE))</f>
        <v/>
      </c>
      <c r="H238" s="145"/>
      <c r="I238" s="499" t="str">
        <f>IFERROR(VLOOKUP(H238,'G-1 All Habitats'!$Z$2:$AA$9,2,FALSE),"")</f>
        <v/>
      </c>
      <c r="J238" s="145"/>
      <c r="K238" s="507" t="str">
        <f>IF(J238="","",IF(VLOOKUP(J238,'G-3 Multipliers'!$L$3:$N$6,2,FALSE)=0,"Spatial Data Missing ⚠",VLOOKUP(J238,'G-3 Multipliers'!$L$3:$N$6,2,FALSE)))</f>
        <v/>
      </c>
      <c r="L238" s="505" t="str">
        <f>IF(J238="","",IF(VLOOKUP(J238,'G-3 Multipliers'!$L$3:$N$6,3,FALSE)=0,"Spatial Data Missing ⚠",VLOOKUP(J238,'G-3 Multipliers'!$L$3:$N$6,3,FALSE)))</f>
        <v/>
      </c>
      <c r="M238" s="506" t="str">
        <f>IF(D238="","",VLOOKUP(D238,'G-6 Hedgerow Data'!$B$1:$AH$15,33,FALSE))</f>
        <v/>
      </c>
      <c r="N238" s="513" t="str">
        <f t="shared" si="23"/>
        <v/>
      </c>
      <c r="O238" s="40"/>
      <c r="P238" s="154"/>
      <c r="Q238" s="203"/>
      <c r="R238" s="532" t="str">
        <f t="shared" si="24"/>
        <v/>
      </c>
      <c r="S238" s="532" t="str">
        <f t="shared" si="25"/>
        <v/>
      </c>
      <c r="T238" s="532" t="str">
        <f t="shared" si="26"/>
        <v/>
      </c>
      <c r="U238" s="557" t="str">
        <f t="shared" si="27"/>
        <v/>
      </c>
      <c r="V238" s="151"/>
      <c r="W238" s="152"/>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c r="AL238" s="31" t="str">
        <f>IFERROR(INDEX('G-6 Hedgerow Data'!$BJ$3:$BJ$15,MATCH(D238,'G-6 Hedgerow Data'!$B$3:$B$15,0)),"")</f>
        <v/>
      </c>
    </row>
    <row r="239" spans="2:38" ht="13.8" x14ac:dyDescent="0.25">
      <c r="B239" s="141">
        <v>230</v>
      </c>
      <c r="C239" s="203"/>
      <c r="D239" s="203"/>
      <c r="E239" s="153"/>
      <c r="F239" s="553" t="str">
        <f>IF(D239="","",VLOOKUP(D239,'G-6 Hedgerow Data'!$B$2:$AG$15,2,FALSE))</f>
        <v/>
      </c>
      <c r="G239" s="499" t="str">
        <f>IF(D239="","",VLOOKUP(D239,'G-6 Hedgerow Data'!$B$2:$AG$15,3,FALSE))</f>
        <v/>
      </c>
      <c r="H239" s="145"/>
      <c r="I239" s="499" t="str">
        <f>IFERROR(VLOOKUP(H239,'G-1 All Habitats'!$Z$2:$AA$9,2,FALSE),"")</f>
        <v/>
      </c>
      <c r="J239" s="145"/>
      <c r="K239" s="507" t="str">
        <f>IF(J239="","",IF(VLOOKUP(J239,'G-3 Multipliers'!$L$3:$N$6,2,FALSE)=0,"Spatial Data Missing ⚠",VLOOKUP(J239,'G-3 Multipliers'!$L$3:$N$6,2,FALSE)))</f>
        <v/>
      </c>
      <c r="L239" s="505" t="str">
        <f>IF(J239="","",IF(VLOOKUP(J239,'G-3 Multipliers'!$L$3:$N$6,3,FALSE)=0,"Spatial Data Missing ⚠",VLOOKUP(J239,'G-3 Multipliers'!$L$3:$N$6,3,FALSE)))</f>
        <v/>
      </c>
      <c r="M239" s="506" t="str">
        <f>IF(D239="","",VLOOKUP(D239,'G-6 Hedgerow Data'!$B$1:$AH$15,33,FALSE))</f>
        <v/>
      </c>
      <c r="N239" s="513" t="str">
        <f t="shared" si="23"/>
        <v/>
      </c>
      <c r="O239" s="40"/>
      <c r="P239" s="154"/>
      <c r="Q239" s="203"/>
      <c r="R239" s="532" t="str">
        <f t="shared" si="24"/>
        <v/>
      </c>
      <c r="S239" s="532" t="str">
        <f t="shared" si="25"/>
        <v/>
      </c>
      <c r="T239" s="532" t="str">
        <f t="shared" si="26"/>
        <v/>
      </c>
      <c r="U239" s="557" t="str">
        <f t="shared" si="27"/>
        <v/>
      </c>
      <c r="V239" s="151"/>
      <c r="W239" s="152"/>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c r="AL239" s="31" t="str">
        <f>IFERROR(INDEX('G-6 Hedgerow Data'!$BJ$3:$BJ$15,MATCH(D239,'G-6 Hedgerow Data'!$B$3:$B$15,0)),"")</f>
        <v/>
      </c>
    </row>
    <row r="240" spans="2:38" ht="13.8" x14ac:dyDescent="0.25">
      <c r="B240" s="141">
        <v>231</v>
      </c>
      <c r="C240" s="203"/>
      <c r="D240" s="203"/>
      <c r="E240" s="153"/>
      <c r="F240" s="553" t="str">
        <f>IF(D240="","",VLOOKUP(D240,'G-6 Hedgerow Data'!$B$2:$AG$15,2,FALSE))</f>
        <v/>
      </c>
      <c r="G240" s="499" t="str">
        <f>IF(D240="","",VLOOKUP(D240,'G-6 Hedgerow Data'!$B$2:$AG$15,3,FALSE))</f>
        <v/>
      </c>
      <c r="H240" s="145"/>
      <c r="I240" s="499" t="str">
        <f>IFERROR(VLOOKUP(H240,'G-1 All Habitats'!$Z$2:$AA$9,2,FALSE),"")</f>
        <v/>
      </c>
      <c r="J240" s="145"/>
      <c r="K240" s="507" t="str">
        <f>IF(J240="","",IF(VLOOKUP(J240,'G-3 Multipliers'!$L$3:$N$6,2,FALSE)=0,"Spatial Data Missing ⚠",VLOOKUP(J240,'G-3 Multipliers'!$L$3:$N$6,2,FALSE)))</f>
        <v/>
      </c>
      <c r="L240" s="505" t="str">
        <f>IF(J240="","",IF(VLOOKUP(J240,'G-3 Multipliers'!$L$3:$N$6,3,FALSE)=0,"Spatial Data Missing ⚠",VLOOKUP(J240,'G-3 Multipliers'!$L$3:$N$6,3,FALSE)))</f>
        <v/>
      </c>
      <c r="M240" s="506" t="str">
        <f>IF(D240="","",VLOOKUP(D240,'G-6 Hedgerow Data'!$B$1:$AH$15,33,FALSE))</f>
        <v/>
      </c>
      <c r="N240" s="513" t="str">
        <f t="shared" si="23"/>
        <v/>
      </c>
      <c r="O240" s="40"/>
      <c r="P240" s="154"/>
      <c r="Q240" s="203"/>
      <c r="R240" s="532" t="str">
        <f t="shared" si="24"/>
        <v/>
      </c>
      <c r="S240" s="532" t="str">
        <f t="shared" si="25"/>
        <v/>
      </c>
      <c r="T240" s="532" t="str">
        <f t="shared" si="26"/>
        <v/>
      </c>
      <c r="U240" s="557" t="str">
        <f t="shared" si="27"/>
        <v/>
      </c>
      <c r="V240" s="151"/>
      <c r="W240" s="152"/>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c r="AL240" s="31" t="str">
        <f>IFERROR(INDEX('G-6 Hedgerow Data'!$BJ$3:$BJ$15,MATCH(D240,'G-6 Hedgerow Data'!$B$3:$B$15,0)),"")</f>
        <v/>
      </c>
    </row>
    <row r="241" spans="2:38" ht="13.8" x14ac:dyDescent="0.25">
      <c r="B241" s="141">
        <v>232</v>
      </c>
      <c r="C241" s="203"/>
      <c r="D241" s="203"/>
      <c r="E241" s="153"/>
      <c r="F241" s="553" t="str">
        <f>IF(D241="","",VLOOKUP(D241,'G-6 Hedgerow Data'!$B$2:$AG$15,2,FALSE))</f>
        <v/>
      </c>
      <c r="G241" s="499" t="str">
        <f>IF(D241="","",VLOOKUP(D241,'G-6 Hedgerow Data'!$B$2:$AG$15,3,FALSE))</f>
        <v/>
      </c>
      <c r="H241" s="145"/>
      <c r="I241" s="499" t="str">
        <f>IFERROR(VLOOKUP(H241,'G-1 All Habitats'!$Z$2:$AA$9,2,FALSE),"")</f>
        <v/>
      </c>
      <c r="J241" s="145"/>
      <c r="K241" s="507" t="str">
        <f>IF(J241="","",IF(VLOOKUP(J241,'G-3 Multipliers'!$L$3:$N$6,2,FALSE)=0,"Spatial Data Missing ⚠",VLOOKUP(J241,'G-3 Multipliers'!$L$3:$N$6,2,FALSE)))</f>
        <v/>
      </c>
      <c r="L241" s="505" t="str">
        <f>IF(J241="","",IF(VLOOKUP(J241,'G-3 Multipliers'!$L$3:$N$6,3,FALSE)=0,"Spatial Data Missing ⚠",VLOOKUP(J241,'G-3 Multipliers'!$L$3:$N$6,3,FALSE)))</f>
        <v/>
      </c>
      <c r="M241" s="506" t="str">
        <f>IF(D241="","",VLOOKUP(D241,'G-6 Hedgerow Data'!$B$1:$AH$15,33,FALSE))</f>
        <v/>
      </c>
      <c r="N241" s="513" t="str">
        <f t="shared" si="23"/>
        <v/>
      </c>
      <c r="O241" s="40"/>
      <c r="P241" s="154"/>
      <c r="Q241" s="203"/>
      <c r="R241" s="532" t="str">
        <f t="shared" si="24"/>
        <v/>
      </c>
      <c r="S241" s="532" t="str">
        <f t="shared" si="25"/>
        <v/>
      </c>
      <c r="T241" s="532" t="str">
        <f t="shared" si="26"/>
        <v/>
      </c>
      <c r="U241" s="557" t="str">
        <f t="shared" si="27"/>
        <v/>
      </c>
      <c r="V241" s="151"/>
      <c r="W241" s="152"/>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c r="AL241" s="31" t="str">
        <f>IFERROR(INDEX('G-6 Hedgerow Data'!$BJ$3:$BJ$15,MATCH(D241,'G-6 Hedgerow Data'!$B$3:$B$15,0)),"")</f>
        <v/>
      </c>
    </row>
    <row r="242" spans="2:38" ht="13.8" x14ac:dyDescent="0.25">
      <c r="B242" s="141">
        <v>233</v>
      </c>
      <c r="C242" s="203"/>
      <c r="D242" s="203"/>
      <c r="E242" s="153"/>
      <c r="F242" s="553" t="str">
        <f>IF(D242="","",VLOOKUP(D242,'G-6 Hedgerow Data'!$B$2:$AG$15,2,FALSE))</f>
        <v/>
      </c>
      <c r="G242" s="499" t="str">
        <f>IF(D242="","",VLOOKUP(D242,'G-6 Hedgerow Data'!$B$2:$AG$15,3,FALSE))</f>
        <v/>
      </c>
      <c r="H242" s="145"/>
      <c r="I242" s="499" t="str">
        <f>IFERROR(VLOOKUP(H242,'G-1 All Habitats'!$Z$2:$AA$9,2,FALSE),"")</f>
        <v/>
      </c>
      <c r="J242" s="145"/>
      <c r="K242" s="507" t="str">
        <f>IF(J242="","",IF(VLOOKUP(J242,'G-3 Multipliers'!$L$3:$N$6,2,FALSE)=0,"Spatial Data Missing ⚠",VLOOKUP(J242,'G-3 Multipliers'!$L$3:$N$6,2,FALSE)))</f>
        <v/>
      </c>
      <c r="L242" s="505" t="str">
        <f>IF(J242="","",IF(VLOOKUP(J242,'G-3 Multipliers'!$L$3:$N$6,3,FALSE)=0,"Spatial Data Missing ⚠",VLOOKUP(J242,'G-3 Multipliers'!$L$3:$N$6,3,FALSE)))</f>
        <v/>
      </c>
      <c r="M242" s="506" t="str">
        <f>IF(D242="","",VLOOKUP(D242,'G-6 Hedgerow Data'!$B$1:$AH$15,33,FALSE))</f>
        <v/>
      </c>
      <c r="N242" s="513" t="str">
        <f t="shared" si="23"/>
        <v/>
      </c>
      <c r="O242" s="40"/>
      <c r="P242" s="154"/>
      <c r="Q242" s="203"/>
      <c r="R242" s="532" t="str">
        <f t="shared" si="24"/>
        <v/>
      </c>
      <c r="S242" s="532" t="str">
        <f t="shared" si="25"/>
        <v/>
      </c>
      <c r="T242" s="532" t="str">
        <f t="shared" si="26"/>
        <v/>
      </c>
      <c r="U242" s="557" t="str">
        <f t="shared" si="27"/>
        <v/>
      </c>
      <c r="V242" s="151"/>
      <c r="W242" s="152"/>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c r="AL242" s="31" t="str">
        <f>IFERROR(INDEX('G-6 Hedgerow Data'!$BJ$3:$BJ$15,MATCH(D242,'G-6 Hedgerow Data'!$B$3:$B$15,0)),"")</f>
        <v/>
      </c>
    </row>
    <row r="243" spans="2:38" ht="13.8" x14ac:dyDescent="0.25">
      <c r="B243" s="141">
        <v>234</v>
      </c>
      <c r="C243" s="203"/>
      <c r="D243" s="203"/>
      <c r="E243" s="153"/>
      <c r="F243" s="553" t="str">
        <f>IF(D243="","",VLOOKUP(D243,'G-6 Hedgerow Data'!$B$2:$AG$15,2,FALSE))</f>
        <v/>
      </c>
      <c r="G243" s="499" t="str">
        <f>IF(D243="","",VLOOKUP(D243,'G-6 Hedgerow Data'!$B$2:$AG$15,3,FALSE))</f>
        <v/>
      </c>
      <c r="H243" s="145"/>
      <c r="I243" s="499" t="str">
        <f>IFERROR(VLOOKUP(H243,'G-1 All Habitats'!$Z$2:$AA$9,2,FALSE),"")</f>
        <v/>
      </c>
      <c r="J243" s="145"/>
      <c r="K243" s="507" t="str">
        <f>IF(J243="","",IF(VLOOKUP(J243,'G-3 Multipliers'!$L$3:$N$6,2,FALSE)=0,"Spatial Data Missing ⚠",VLOOKUP(J243,'G-3 Multipliers'!$L$3:$N$6,2,FALSE)))</f>
        <v/>
      </c>
      <c r="L243" s="505" t="str">
        <f>IF(J243="","",IF(VLOOKUP(J243,'G-3 Multipliers'!$L$3:$N$6,3,FALSE)=0,"Spatial Data Missing ⚠",VLOOKUP(J243,'G-3 Multipliers'!$L$3:$N$6,3,FALSE)))</f>
        <v/>
      </c>
      <c r="M243" s="506" t="str">
        <f>IF(D243="","",VLOOKUP(D243,'G-6 Hedgerow Data'!$B$1:$AH$15,33,FALSE))</f>
        <v/>
      </c>
      <c r="N243" s="513" t="str">
        <f t="shared" si="23"/>
        <v/>
      </c>
      <c r="O243" s="40"/>
      <c r="P243" s="154"/>
      <c r="Q243" s="203"/>
      <c r="R243" s="532" t="str">
        <f t="shared" si="24"/>
        <v/>
      </c>
      <c r="S243" s="532" t="str">
        <f t="shared" si="25"/>
        <v/>
      </c>
      <c r="T243" s="532" t="str">
        <f t="shared" si="26"/>
        <v/>
      </c>
      <c r="U243" s="557" t="str">
        <f t="shared" si="27"/>
        <v/>
      </c>
      <c r="V243" s="151"/>
      <c r="W243" s="152"/>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c r="AL243" s="31" t="str">
        <f>IFERROR(INDEX('G-6 Hedgerow Data'!$BJ$3:$BJ$15,MATCH(D243,'G-6 Hedgerow Data'!$B$3:$B$15,0)),"")</f>
        <v/>
      </c>
    </row>
    <row r="244" spans="2:38" ht="13.8" x14ac:dyDescent="0.25">
      <c r="B244" s="141">
        <v>235</v>
      </c>
      <c r="C244" s="203"/>
      <c r="D244" s="203"/>
      <c r="E244" s="153"/>
      <c r="F244" s="553" t="str">
        <f>IF(D244="","",VLOOKUP(D244,'G-6 Hedgerow Data'!$B$2:$AG$15,2,FALSE))</f>
        <v/>
      </c>
      <c r="G244" s="499" t="str">
        <f>IF(D244="","",VLOOKUP(D244,'G-6 Hedgerow Data'!$B$2:$AG$15,3,FALSE))</f>
        <v/>
      </c>
      <c r="H244" s="145"/>
      <c r="I244" s="499" t="str">
        <f>IFERROR(VLOOKUP(H244,'G-1 All Habitats'!$Z$2:$AA$9,2,FALSE),"")</f>
        <v/>
      </c>
      <c r="J244" s="145"/>
      <c r="K244" s="507" t="str">
        <f>IF(J244="","",IF(VLOOKUP(J244,'G-3 Multipliers'!$L$3:$N$6,2,FALSE)=0,"Spatial Data Missing ⚠",VLOOKUP(J244,'G-3 Multipliers'!$L$3:$N$6,2,FALSE)))</f>
        <v/>
      </c>
      <c r="L244" s="505" t="str">
        <f>IF(J244="","",IF(VLOOKUP(J244,'G-3 Multipliers'!$L$3:$N$6,3,FALSE)=0,"Spatial Data Missing ⚠",VLOOKUP(J244,'G-3 Multipliers'!$L$3:$N$6,3,FALSE)))</f>
        <v/>
      </c>
      <c r="M244" s="506" t="str">
        <f>IF(D244="","",VLOOKUP(D244,'G-6 Hedgerow Data'!$B$1:$AH$15,33,FALSE))</f>
        <v/>
      </c>
      <c r="N244" s="513" t="str">
        <f t="shared" si="23"/>
        <v/>
      </c>
      <c r="O244" s="40"/>
      <c r="P244" s="154"/>
      <c r="Q244" s="203"/>
      <c r="R244" s="532" t="str">
        <f t="shared" si="24"/>
        <v/>
      </c>
      <c r="S244" s="532" t="str">
        <f t="shared" si="25"/>
        <v/>
      </c>
      <c r="T244" s="532" t="str">
        <f t="shared" si="26"/>
        <v/>
      </c>
      <c r="U244" s="557" t="str">
        <f t="shared" si="27"/>
        <v/>
      </c>
      <c r="V244" s="151"/>
      <c r="W244" s="152"/>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c r="AL244" s="31" t="str">
        <f>IFERROR(INDEX('G-6 Hedgerow Data'!$BJ$3:$BJ$15,MATCH(D244,'G-6 Hedgerow Data'!$B$3:$B$15,0)),"")</f>
        <v/>
      </c>
    </row>
    <row r="245" spans="2:38" ht="13.8" x14ac:dyDescent="0.25">
      <c r="B245" s="141">
        <v>236</v>
      </c>
      <c r="C245" s="203"/>
      <c r="D245" s="203"/>
      <c r="E245" s="153"/>
      <c r="F245" s="553" t="str">
        <f>IF(D245="","",VLOOKUP(D245,'G-6 Hedgerow Data'!$B$2:$AG$15,2,FALSE))</f>
        <v/>
      </c>
      <c r="G245" s="499" t="str">
        <f>IF(D245="","",VLOOKUP(D245,'G-6 Hedgerow Data'!$B$2:$AG$15,3,FALSE))</f>
        <v/>
      </c>
      <c r="H245" s="145"/>
      <c r="I245" s="499" t="str">
        <f>IFERROR(VLOOKUP(H245,'G-1 All Habitats'!$Z$2:$AA$9,2,FALSE),"")</f>
        <v/>
      </c>
      <c r="J245" s="145"/>
      <c r="K245" s="507" t="str">
        <f>IF(J245="","",IF(VLOOKUP(J245,'G-3 Multipliers'!$L$3:$N$6,2,FALSE)=0,"Spatial Data Missing ⚠",VLOOKUP(J245,'G-3 Multipliers'!$L$3:$N$6,2,FALSE)))</f>
        <v/>
      </c>
      <c r="L245" s="505" t="str">
        <f>IF(J245="","",IF(VLOOKUP(J245,'G-3 Multipliers'!$L$3:$N$6,3,FALSE)=0,"Spatial Data Missing ⚠",VLOOKUP(J245,'G-3 Multipliers'!$L$3:$N$6,3,FALSE)))</f>
        <v/>
      </c>
      <c r="M245" s="506" t="str">
        <f>IF(D245="","",VLOOKUP(D245,'G-6 Hedgerow Data'!$B$1:$AH$15,33,FALSE))</f>
        <v/>
      </c>
      <c r="N245" s="513" t="str">
        <f t="shared" si="23"/>
        <v/>
      </c>
      <c r="O245" s="40"/>
      <c r="P245" s="154"/>
      <c r="Q245" s="203"/>
      <c r="R245" s="532" t="str">
        <f t="shared" si="24"/>
        <v/>
      </c>
      <c r="S245" s="532" t="str">
        <f t="shared" si="25"/>
        <v/>
      </c>
      <c r="T245" s="532" t="str">
        <f t="shared" si="26"/>
        <v/>
      </c>
      <c r="U245" s="557" t="str">
        <f t="shared" si="27"/>
        <v/>
      </c>
      <c r="V245" s="151"/>
      <c r="W245" s="152"/>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c r="AL245" s="31" t="str">
        <f>IFERROR(INDEX('G-6 Hedgerow Data'!$BJ$3:$BJ$15,MATCH(D245,'G-6 Hedgerow Data'!$B$3:$B$15,0)),"")</f>
        <v/>
      </c>
    </row>
    <row r="246" spans="2:38" ht="13.8" x14ac:dyDescent="0.25">
      <c r="B246" s="141">
        <v>237</v>
      </c>
      <c r="C246" s="203"/>
      <c r="D246" s="203"/>
      <c r="E246" s="153"/>
      <c r="F246" s="553" t="str">
        <f>IF(D246="","",VLOOKUP(D246,'G-6 Hedgerow Data'!$B$2:$AG$15,2,FALSE))</f>
        <v/>
      </c>
      <c r="G246" s="499" t="str">
        <f>IF(D246="","",VLOOKUP(D246,'G-6 Hedgerow Data'!$B$2:$AG$15,3,FALSE))</f>
        <v/>
      </c>
      <c r="H246" s="145"/>
      <c r="I246" s="499" t="str">
        <f>IFERROR(VLOOKUP(H246,'G-1 All Habitats'!$Z$2:$AA$9,2,FALSE),"")</f>
        <v/>
      </c>
      <c r="J246" s="145"/>
      <c r="K246" s="507" t="str">
        <f>IF(J246="","",IF(VLOOKUP(J246,'G-3 Multipliers'!$L$3:$N$6,2,FALSE)=0,"Spatial Data Missing ⚠",VLOOKUP(J246,'G-3 Multipliers'!$L$3:$N$6,2,FALSE)))</f>
        <v/>
      </c>
      <c r="L246" s="505" t="str">
        <f>IF(J246="","",IF(VLOOKUP(J246,'G-3 Multipliers'!$L$3:$N$6,3,FALSE)=0,"Spatial Data Missing ⚠",VLOOKUP(J246,'G-3 Multipliers'!$L$3:$N$6,3,FALSE)))</f>
        <v/>
      </c>
      <c r="M246" s="506" t="str">
        <f>IF(D246="","",VLOOKUP(D246,'G-6 Hedgerow Data'!$B$1:$AH$15,33,FALSE))</f>
        <v/>
      </c>
      <c r="N246" s="513" t="str">
        <f t="shared" si="23"/>
        <v/>
      </c>
      <c r="O246" s="40"/>
      <c r="P246" s="154"/>
      <c r="Q246" s="203"/>
      <c r="R246" s="532" t="str">
        <f t="shared" si="24"/>
        <v/>
      </c>
      <c r="S246" s="532" t="str">
        <f t="shared" si="25"/>
        <v/>
      </c>
      <c r="T246" s="532" t="str">
        <f t="shared" si="26"/>
        <v/>
      </c>
      <c r="U246" s="557" t="str">
        <f t="shared" si="27"/>
        <v/>
      </c>
      <c r="V246" s="151"/>
      <c r="W246" s="152"/>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c r="AL246" s="31" t="str">
        <f>IFERROR(INDEX('G-6 Hedgerow Data'!$BJ$3:$BJ$15,MATCH(D246,'G-6 Hedgerow Data'!$B$3:$B$15,0)),"")</f>
        <v/>
      </c>
    </row>
    <row r="247" spans="2:38" ht="13.8" x14ac:dyDescent="0.25">
      <c r="B247" s="141">
        <v>238</v>
      </c>
      <c r="C247" s="203"/>
      <c r="D247" s="203"/>
      <c r="E247" s="153"/>
      <c r="F247" s="553" t="str">
        <f>IF(D247="","",VLOOKUP(D247,'G-6 Hedgerow Data'!$B$2:$AG$15,2,FALSE))</f>
        <v/>
      </c>
      <c r="G247" s="499" t="str">
        <f>IF(D247="","",VLOOKUP(D247,'G-6 Hedgerow Data'!$B$2:$AG$15,3,FALSE))</f>
        <v/>
      </c>
      <c r="H247" s="145"/>
      <c r="I247" s="499" t="str">
        <f>IFERROR(VLOOKUP(H247,'G-1 All Habitats'!$Z$2:$AA$9,2,FALSE),"")</f>
        <v/>
      </c>
      <c r="J247" s="145"/>
      <c r="K247" s="507" t="str">
        <f>IF(J247="","",IF(VLOOKUP(J247,'G-3 Multipliers'!$L$3:$N$6,2,FALSE)=0,"Spatial Data Missing ⚠",VLOOKUP(J247,'G-3 Multipliers'!$L$3:$N$6,2,FALSE)))</f>
        <v/>
      </c>
      <c r="L247" s="505" t="str">
        <f>IF(J247="","",IF(VLOOKUP(J247,'G-3 Multipliers'!$L$3:$N$6,3,FALSE)=0,"Spatial Data Missing ⚠",VLOOKUP(J247,'G-3 Multipliers'!$L$3:$N$6,3,FALSE)))</f>
        <v/>
      </c>
      <c r="M247" s="506" t="str">
        <f>IF(D247="","",VLOOKUP(D247,'G-6 Hedgerow Data'!$B$1:$AH$15,33,FALSE))</f>
        <v/>
      </c>
      <c r="N247" s="513" t="str">
        <f t="shared" si="23"/>
        <v/>
      </c>
      <c r="O247" s="40"/>
      <c r="P247" s="154"/>
      <c r="Q247" s="203"/>
      <c r="R247" s="532" t="str">
        <f t="shared" si="24"/>
        <v/>
      </c>
      <c r="S247" s="532" t="str">
        <f t="shared" si="25"/>
        <v/>
      </c>
      <c r="T247" s="532" t="str">
        <f t="shared" si="26"/>
        <v/>
      </c>
      <c r="U247" s="557" t="str">
        <f t="shared" si="27"/>
        <v/>
      </c>
      <c r="V247" s="151"/>
      <c r="W247" s="152"/>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c r="AL247" s="31" t="str">
        <f>IFERROR(INDEX('G-6 Hedgerow Data'!$BJ$3:$BJ$15,MATCH(D247,'G-6 Hedgerow Data'!$B$3:$B$15,0)),"")</f>
        <v/>
      </c>
    </row>
    <row r="248" spans="2:38" ht="13.8" x14ac:dyDescent="0.25">
      <c r="B248" s="141">
        <v>239</v>
      </c>
      <c r="C248" s="203"/>
      <c r="D248" s="203"/>
      <c r="E248" s="153"/>
      <c r="F248" s="553" t="str">
        <f>IF(D248="","",VLOOKUP(D248,'G-6 Hedgerow Data'!$B$2:$AG$15,2,FALSE))</f>
        <v/>
      </c>
      <c r="G248" s="499" t="str">
        <f>IF(D248="","",VLOOKUP(D248,'G-6 Hedgerow Data'!$B$2:$AG$15,3,FALSE))</f>
        <v/>
      </c>
      <c r="H248" s="145"/>
      <c r="I248" s="499" t="str">
        <f>IFERROR(VLOOKUP(H248,'G-1 All Habitats'!$Z$2:$AA$9,2,FALSE),"")</f>
        <v/>
      </c>
      <c r="J248" s="145"/>
      <c r="K248" s="507" t="str">
        <f>IF(J248="","",IF(VLOOKUP(J248,'G-3 Multipliers'!$L$3:$N$6,2,FALSE)=0,"Spatial Data Missing ⚠",VLOOKUP(J248,'G-3 Multipliers'!$L$3:$N$6,2,FALSE)))</f>
        <v/>
      </c>
      <c r="L248" s="505" t="str">
        <f>IF(J248="","",IF(VLOOKUP(J248,'G-3 Multipliers'!$L$3:$N$6,3,FALSE)=0,"Spatial Data Missing ⚠",VLOOKUP(J248,'G-3 Multipliers'!$L$3:$N$6,3,FALSE)))</f>
        <v/>
      </c>
      <c r="M248" s="506" t="str">
        <f>IF(D248="","",VLOOKUP(D248,'G-6 Hedgerow Data'!$B$1:$AH$15,33,FALSE))</f>
        <v/>
      </c>
      <c r="N248" s="513" t="str">
        <f t="shared" si="23"/>
        <v/>
      </c>
      <c r="O248" s="40"/>
      <c r="P248" s="154"/>
      <c r="Q248" s="203"/>
      <c r="R248" s="532" t="str">
        <f t="shared" si="24"/>
        <v/>
      </c>
      <c r="S248" s="532" t="str">
        <f t="shared" si="25"/>
        <v/>
      </c>
      <c r="T248" s="532" t="str">
        <f t="shared" si="26"/>
        <v/>
      </c>
      <c r="U248" s="557" t="str">
        <f t="shared" si="27"/>
        <v/>
      </c>
      <c r="V248" s="151"/>
      <c r="W248" s="152"/>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c r="AL248" s="31" t="str">
        <f>IFERROR(INDEX('G-6 Hedgerow Data'!$BJ$3:$BJ$15,MATCH(D248,'G-6 Hedgerow Data'!$B$3:$B$15,0)),"")</f>
        <v/>
      </c>
    </row>
    <row r="249" spans="2:38" ht="13.8" x14ac:dyDescent="0.25">
      <c r="B249" s="141">
        <v>240</v>
      </c>
      <c r="C249" s="203"/>
      <c r="D249" s="203"/>
      <c r="E249" s="153"/>
      <c r="F249" s="553" t="str">
        <f>IF(D249="","",VLOOKUP(D249,'G-6 Hedgerow Data'!$B$2:$AG$15,2,FALSE))</f>
        <v/>
      </c>
      <c r="G249" s="499" t="str">
        <f>IF(D249="","",VLOOKUP(D249,'G-6 Hedgerow Data'!$B$2:$AG$15,3,FALSE))</f>
        <v/>
      </c>
      <c r="H249" s="145"/>
      <c r="I249" s="499" t="str">
        <f>IFERROR(VLOOKUP(H249,'G-1 All Habitats'!$Z$2:$AA$9,2,FALSE),"")</f>
        <v/>
      </c>
      <c r="J249" s="145"/>
      <c r="K249" s="507" t="str">
        <f>IF(J249="","",IF(VLOOKUP(J249,'G-3 Multipliers'!$L$3:$N$6,2,FALSE)=0,"Spatial Data Missing ⚠",VLOOKUP(J249,'G-3 Multipliers'!$L$3:$N$6,2,FALSE)))</f>
        <v/>
      </c>
      <c r="L249" s="505" t="str">
        <f>IF(J249="","",IF(VLOOKUP(J249,'G-3 Multipliers'!$L$3:$N$6,3,FALSE)=0,"Spatial Data Missing ⚠",VLOOKUP(J249,'G-3 Multipliers'!$L$3:$N$6,3,FALSE)))</f>
        <v/>
      </c>
      <c r="M249" s="506" t="str">
        <f>IF(D249="","",VLOOKUP(D249,'G-6 Hedgerow Data'!$B$1:$AH$15,33,FALSE))</f>
        <v/>
      </c>
      <c r="N249" s="513" t="str">
        <f t="shared" si="23"/>
        <v/>
      </c>
      <c r="O249" s="40"/>
      <c r="P249" s="154"/>
      <c r="Q249" s="203"/>
      <c r="R249" s="532" t="str">
        <f t="shared" si="24"/>
        <v/>
      </c>
      <c r="S249" s="532" t="str">
        <f t="shared" si="25"/>
        <v/>
      </c>
      <c r="T249" s="532" t="str">
        <f t="shared" si="26"/>
        <v/>
      </c>
      <c r="U249" s="557" t="str">
        <f t="shared" si="27"/>
        <v/>
      </c>
      <c r="V249" s="151"/>
      <c r="W249" s="152"/>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c r="AL249" s="31" t="str">
        <f>IFERROR(INDEX('G-6 Hedgerow Data'!$BJ$3:$BJ$15,MATCH(D249,'G-6 Hedgerow Data'!$B$3:$B$15,0)),"")</f>
        <v/>
      </c>
    </row>
    <row r="250" spans="2:38" ht="13.8" x14ac:dyDescent="0.25">
      <c r="B250" s="141">
        <v>241</v>
      </c>
      <c r="C250" s="203"/>
      <c r="D250" s="203"/>
      <c r="E250" s="153"/>
      <c r="F250" s="553" t="str">
        <f>IF(D250="","",VLOOKUP(D250,'G-6 Hedgerow Data'!$B$2:$AG$15,2,FALSE))</f>
        <v/>
      </c>
      <c r="G250" s="499" t="str">
        <f>IF(D250="","",VLOOKUP(D250,'G-6 Hedgerow Data'!$B$2:$AG$15,3,FALSE))</f>
        <v/>
      </c>
      <c r="H250" s="145"/>
      <c r="I250" s="499" t="str">
        <f>IFERROR(VLOOKUP(H250,'G-1 All Habitats'!$Z$2:$AA$9,2,FALSE),"")</f>
        <v/>
      </c>
      <c r="J250" s="145"/>
      <c r="K250" s="507" t="str">
        <f>IF(J250="","",IF(VLOOKUP(J250,'G-3 Multipliers'!$L$3:$N$6,2,FALSE)=0,"Spatial Data Missing ⚠",VLOOKUP(J250,'G-3 Multipliers'!$L$3:$N$6,2,FALSE)))</f>
        <v/>
      </c>
      <c r="L250" s="505" t="str">
        <f>IF(J250="","",IF(VLOOKUP(J250,'G-3 Multipliers'!$L$3:$N$6,3,FALSE)=0,"Spatial Data Missing ⚠",VLOOKUP(J250,'G-3 Multipliers'!$L$3:$N$6,3,FALSE)))</f>
        <v/>
      </c>
      <c r="M250" s="506" t="str">
        <f>IF(D250="","",VLOOKUP(D250,'G-6 Hedgerow Data'!$B$1:$AH$15,33,FALSE))</f>
        <v/>
      </c>
      <c r="N250" s="513" t="str">
        <f t="shared" si="23"/>
        <v/>
      </c>
      <c r="O250" s="40"/>
      <c r="P250" s="154"/>
      <c r="Q250" s="203"/>
      <c r="R250" s="532" t="str">
        <f t="shared" si="24"/>
        <v/>
      </c>
      <c r="S250" s="532" t="str">
        <f t="shared" si="25"/>
        <v/>
      </c>
      <c r="T250" s="532" t="str">
        <f t="shared" si="26"/>
        <v/>
      </c>
      <c r="U250" s="557" t="str">
        <f t="shared" si="27"/>
        <v/>
      </c>
      <c r="V250" s="151"/>
      <c r="W250" s="152"/>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c r="AL250" s="31" t="str">
        <f>IFERROR(INDEX('G-6 Hedgerow Data'!$BJ$3:$BJ$15,MATCH(D250,'G-6 Hedgerow Data'!$B$3:$B$15,0)),"")</f>
        <v/>
      </c>
    </row>
    <row r="251" spans="2:38" ht="13.8" x14ac:dyDescent="0.25">
      <c r="B251" s="141">
        <v>242</v>
      </c>
      <c r="C251" s="203"/>
      <c r="D251" s="203"/>
      <c r="E251" s="153"/>
      <c r="F251" s="553" t="str">
        <f>IF(D251="","",VLOOKUP(D251,'G-6 Hedgerow Data'!$B$2:$AG$15,2,FALSE))</f>
        <v/>
      </c>
      <c r="G251" s="499" t="str">
        <f>IF(D251="","",VLOOKUP(D251,'G-6 Hedgerow Data'!$B$2:$AG$15,3,FALSE))</f>
        <v/>
      </c>
      <c r="H251" s="145"/>
      <c r="I251" s="499" t="str">
        <f>IFERROR(VLOOKUP(H251,'G-1 All Habitats'!$Z$2:$AA$9,2,FALSE),"")</f>
        <v/>
      </c>
      <c r="J251" s="145"/>
      <c r="K251" s="507" t="str">
        <f>IF(J251="","",IF(VLOOKUP(J251,'G-3 Multipliers'!$L$3:$N$6,2,FALSE)=0,"Spatial Data Missing ⚠",VLOOKUP(J251,'G-3 Multipliers'!$L$3:$N$6,2,FALSE)))</f>
        <v/>
      </c>
      <c r="L251" s="505" t="str">
        <f>IF(J251="","",IF(VLOOKUP(J251,'G-3 Multipliers'!$L$3:$N$6,3,FALSE)=0,"Spatial Data Missing ⚠",VLOOKUP(J251,'G-3 Multipliers'!$L$3:$N$6,3,FALSE)))</f>
        <v/>
      </c>
      <c r="M251" s="506" t="str">
        <f>IF(D251="","",VLOOKUP(D251,'G-6 Hedgerow Data'!$B$1:$AH$15,33,FALSE))</f>
        <v/>
      </c>
      <c r="N251" s="513" t="str">
        <f t="shared" si="23"/>
        <v/>
      </c>
      <c r="O251" s="40"/>
      <c r="P251" s="154"/>
      <c r="Q251" s="203"/>
      <c r="R251" s="532" t="str">
        <f t="shared" si="24"/>
        <v/>
      </c>
      <c r="S251" s="532" t="str">
        <f t="shared" si="25"/>
        <v/>
      </c>
      <c r="T251" s="532" t="str">
        <f t="shared" si="26"/>
        <v/>
      </c>
      <c r="U251" s="557" t="str">
        <f t="shared" si="27"/>
        <v/>
      </c>
      <c r="V251" s="151"/>
      <c r="W251" s="152"/>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c r="AL251" s="31" t="str">
        <f>IFERROR(INDEX('G-6 Hedgerow Data'!$BJ$3:$BJ$15,MATCH(D251,'G-6 Hedgerow Data'!$B$3:$B$15,0)),"")</f>
        <v/>
      </c>
    </row>
    <row r="252" spans="2:38" ht="13.8" x14ac:dyDescent="0.25">
      <c r="B252" s="141">
        <v>243</v>
      </c>
      <c r="C252" s="203"/>
      <c r="D252" s="203"/>
      <c r="E252" s="153"/>
      <c r="F252" s="553" t="str">
        <f>IF(D252="","",VLOOKUP(D252,'G-6 Hedgerow Data'!$B$2:$AG$15,2,FALSE))</f>
        <v/>
      </c>
      <c r="G252" s="499" t="str">
        <f>IF(D252="","",VLOOKUP(D252,'G-6 Hedgerow Data'!$B$2:$AG$15,3,FALSE))</f>
        <v/>
      </c>
      <c r="H252" s="145"/>
      <c r="I252" s="499" t="str">
        <f>IFERROR(VLOOKUP(H252,'G-1 All Habitats'!$Z$2:$AA$9,2,FALSE),"")</f>
        <v/>
      </c>
      <c r="J252" s="145"/>
      <c r="K252" s="507" t="str">
        <f>IF(J252="","",IF(VLOOKUP(J252,'G-3 Multipliers'!$L$3:$N$6,2,FALSE)=0,"Spatial Data Missing ⚠",VLOOKUP(J252,'G-3 Multipliers'!$L$3:$N$6,2,FALSE)))</f>
        <v/>
      </c>
      <c r="L252" s="505" t="str">
        <f>IF(J252="","",IF(VLOOKUP(J252,'G-3 Multipliers'!$L$3:$N$6,3,FALSE)=0,"Spatial Data Missing ⚠",VLOOKUP(J252,'G-3 Multipliers'!$L$3:$N$6,3,FALSE)))</f>
        <v/>
      </c>
      <c r="M252" s="506" t="str">
        <f>IF(D252="","",VLOOKUP(D252,'G-6 Hedgerow Data'!$B$1:$AH$15,33,FALSE))</f>
        <v/>
      </c>
      <c r="N252" s="513" t="str">
        <f t="shared" si="23"/>
        <v/>
      </c>
      <c r="O252" s="40"/>
      <c r="P252" s="154"/>
      <c r="Q252" s="203"/>
      <c r="R252" s="532" t="str">
        <f t="shared" si="24"/>
        <v/>
      </c>
      <c r="S252" s="532" t="str">
        <f t="shared" si="25"/>
        <v/>
      </c>
      <c r="T252" s="532" t="str">
        <f t="shared" si="26"/>
        <v/>
      </c>
      <c r="U252" s="557" t="str">
        <f t="shared" si="27"/>
        <v/>
      </c>
      <c r="V252" s="151"/>
      <c r="W252" s="152"/>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c r="AL252" s="31" t="str">
        <f>IFERROR(INDEX('G-6 Hedgerow Data'!$BJ$3:$BJ$15,MATCH(D252,'G-6 Hedgerow Data'!$B$3:$B$15,0)),"")</f>
        <v/>
      </c>
    </row>
    <row r="253" spans="2:38" ht="13.8" x14ac:dyDescent="0.25">
      <c r="B253" s="141">
        <v>244</v>
      </c>
      <c r="C253" s="203"/>
      <c r="D253" s="203"/>
      <c r="E253" s="153"/>
      <c r="F253" s="553" t="str">
        <f>IF(D253="","",VLOOKUP(D253,'G-6 Hedgerow Data'!$B$2:$AG$15,2,FALSE))</f>
        <v/>
      </c>
      <c r="G253" s="499" t="str">
        <f>IF(D253="","",VLOOKUP(D253,'G-6 Hedgerow Data'!$B$2:$AG$15,3,FALSE))</f>
        <v/>
      </c>
      <c r="H253" s="145"/>
      <c r="I253" s="499" t="str">
        <f>IFERROR(VLOOKUP(H253,'G-1 All Habitats'!$Z$2:$AA$9,2,FALSE),"")</f>
        <v/>
      </c>
      <c r="J253" s="145"/>
      <c r="K253" s="507" t="str">
        <f>IF(J253="","",IF(VLOOKUP(J253,'G-3 Multipliers'!$L$3:$N$6,2,FALSE)=0,"Spatial Data Missing ⚠",VLOOKUP(J253,'G-3 Multipliers'!$L$3:$N$6,2,FALSE)))</f>
        <v/>
      </c>
      <c r="L253" s="505" t="str">
        <f>IF(J253="","",IF(VLOOKUP(J253,'G-3 Multipliers'!$L$3:$N$6,3,FALSE)=0,"Spatial Data Missing ⚠",VLOOKUP(J253,'G-3 Multipliers'!$L$3:$N$6,3,FALSE)))</f>
        <v/>
      </c>
      <c r="M253" s="506" t="str">
        <f>IF(D253="","",VLOOKUP(D253,'G-6 Hedgerow Data'!$B$1:$AH$15,33,FALSE))</f>
        <v/>
      </c>
      <c r="N253" s="513" t="str">
        <f t="shared" si="23"/>
        <v/>
      </c>
      <c r="O253" s="40"/>
      <c r="P253" s="154"/>
      <c r="Q253" s="203"/>
      <c r="R253" s="532" t="str">
        <f t="shared" si="24"/>
        <v/>
      </c>
      <c r="S253" s="532" t="str">
        <f t="shared" si="25"/>
        <v/>
      </c>
      <c r="T253" s="532" t="str">
        <f t="shared" si="26"/>
        <v/>
      </c>
      <c r="U253" s="557" t="str">
        <f t="shared" si="27"/>
        <v/>
      </c>
      <c r="V253" s="151"/>
      <c r="W253" s="152"/>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c r="AL253" s="31" t="str">
        <f>IFERROR(INDEX('G-6 Hedgerow Data'!$BJ$3:$BJ$15,MATCH(D253,'G-6 Hedgerow Data'!$B$3:$B$15,0)),"")</f>
        <v/>
      </c>
    </row>
    <row r="254" spans="2:38" ht="13.8" x14ac:dyDescent="0.25">
      <c r="B254" s="141">
        <v>245</v>
      </c>
      <c r="C254" s="203"/>
      <c r="D254" s="203"/>
      <c r="E254" s="153"/>
      <c r="F254" s="553" t="str">
        <f>IF(D254="","",VLOOKUP(D254,'G-6 Hedgerow Data'!$B$2:$AG$15,2,FALSE))</f>
        <v/>
      </c>
      <c r="G254" s="499" t="str">
        <f>IF(D254="","",VLOOKUP(D254,'G-6 Hedgerow Data'!$B$2:$AG$15,3,FALSE))</f>
        <v/>
      </c>
      <c r="H254" s="145"/>
      <c r="I254" s="499" t="str">
        <f>IFERROR(VLOOKUP(H254,'G-1 All Habitats'!$Z$2:$AA$9,2,FALSE),"")</f>
        <v/>
      </c>
      <c r="J254" s="145"/>
      <c r="K254" s="507" t="str">
        <f>IF(J254="","",IF(VLOOKUP(J254,'G-3 Multipliers'!$L$3:$N$6,2,FALSE)=0,"Spatial Data Missing ⚠",VLOOKUP(J254,'G-3 Multipliers'!$L$3:$N$6,2,FALSE)))</f>
        <v/>
      </c>
      <c r="L254" s="505" t="str">
        <f>IF(J254="","",IF(VLOOKUP(J254,'G-3 Multipliers'!$L$3:$N$6,3,FALSE)=0,"Spatial Data Missing ⚠",VLOOKUP(J254,'G-3 Multipliers'!$L$3:$N$6,3,FALSE)))</f>
        <v/>
      </c>
      <c r="M254" s="506" t="str">
        <f>IF(D254="","",VLOOKUP(D254,'G-6 Hedgerow Data'!$B$1:$AH$15,33,FALSE))</f>
        <v/>
      </c>
      <c r="N254" s="513" t="str">
        <f t="shared" si="23"/>
        <v/>
      </c>
      <c r="O254" s="40"/>
      <c r="P254" s="154"/>
      <c r="Q254" s="203"/>
      <c r="R254" s="532" t="str">
        <f t="shared" si="24"/>
        <v/>
      </c>
      <c r="S254" s="532" t="str">
        <f t="shared" si="25"/>
        <v/>
      </c>
      <c r="T254" s="532" t="str">
        <f t="shared" si="26"/>
        <v/>
      </c>
      <c r="U254" s="557" t="str">
        <f t="shared" si="27"/>
        <v/>
      </c>
      <c r="V254" s="151"/>
      <c r="W254" s="152"/>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c r="AL254" s="31" t="str">
        <f>IFERROR(INDEX('G-6 Hedgerow Data'!$BJ$3:$BJ$15,MATCH(D254,'G-6 Hedgerow Data'!$B$3:$B$15,0)),"")</f>
        <v/>
      </c>
    </row>
    <row r="255" spans="2:38" ht="13.8" x14ac:dyDescent="0.25">
      <c r="B255" s="141">
        <v>246</v>
      </c>
      <c r="C255" s="203"/>
      <c r="D255" s="203"/>
      <c r="E255" s="153"/>
      <c r="F255" s="553" t="str">
        <f>IF(D255="","",VLOOKUP(D255,'G-6 Hedgerow Data'!$B$2:$AG$15,2,FALSE))</f>
        <v/>
      </c>
      <c r="G255" s="499" t="str">
        <f>IF(D255="","",VLOOKUP(D255,'G-6 Hedgerow Data'!$B$2:$AG$15,3,FALSE))</f>
        <v/>
      </c>
      <c r="H255" s="145"/>
      <c r="I255" s="499" t="str">
        <f>IFERROR(VLOOKUP(H255,'G-1 All Habitats'!$Z$2:$AA$9,2,FALSE),"")</f>
        <v/>
      </c>
      <c r="J255" s="145"/>
      <c r="K255" s="507" t="str">
        <f>IF(J255="","",IF(VLOOKUP(J255,'G-3 Multipliers'!$L$3:$N$6,2,FALSE)=0,"Spatial Data Missing ⚠",VLOOKUP(J255,'G-3 Multipliers'!$L$3:$N$6,2,FALSE)))</f>
        <v/>
      </c>
      <c r="L255" s="505" t="str">
        <f>IF(J255="","",IF(VLOOKUP(J255,'G-3 Multipliers'!$L$3:$N$6,3,FALSE)=0,"Spatial Data Missing ⚠",VLOOKUP(J255,'G-3 Multipliers'!$L$3:$N$6,3,FALSE)))</f>
        <v/>
      </c>
      <c r="M255" s="506" t="str">
        <f>IF(D255="","",VLOOKUP(D255,'G-6 Hedgerow Data'!$B$1:$AH$15,33,FALSE))</f>
        <v/>
      </c>
      <c r="N255" s="513" t="str">
        <f t="shared" si="23"/>
        <v/>
      </c>
      <c r="O255" s="40"/>
      <c r="P255" s="154"/>
      <c r="Q255" s="203"/>
      <c r="R255" s="532" t="str">
        <f t="shared" si="24"/>
        <v/>
      </c>
      <c r="S255" s="532" t="str">
        <f t="shared" si="25"/>
        <v/>
      </c>
      <c r="T255" s="532" t="str">
        <f t="shared" si="26"/>
        <v/>
      </c>
      <c r="U255" s="557" t="str">
        <f t="shared" si="27"/>
        <v/>
      </c>
      <c r="V255" s="151"/>
      <c r="W255" s="152"/>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c r="AL255" s="31" t="str">
        <f>IFERROR(INDEX('G-6 Hedgerow Data'!$BJ$3:$BJ$15,MATCH(D255,'G-6 Hedgerow Data'!$B$3:$B$15,0)),"")</f>
        <v/>
      </c>
    </row>
    <row r="256" spans="2:38" ht="13.8" x14ac:dyDescent="0.25">
      <c r="B256" s="141">
        <v>247</v>
      </c>
      <c r="C256" s="203"/>
      <c r="D256" s="203"/>
      <c r="E256" s="153"/>
      <c r="F256" s="553" t="str">
        <f>IF(D256="","",VLOOKUP(D256,'G-6 Hedgerow Data'!$B$2:$AG$15,2,FALSE))</f>
        <v/>
      </c>
      <c r="G256" s="499" t="str">
        <f>IF(D256="","",VLOOKUP(D256,'G-6 Hedgerow Data'!$B$2:$AG$15,3,FALSE))</f>
        <v/>
      </c>
      <c r="H256" s="145"/>
      <c r="I256" s="499" t="str">
        <f>IFERROR(VLOOKUP(H256,'G-1 All Habitats'!$Z$2:$AA$9,2,FALSE),"")</f>
        <v/>
      </c>
      <c r="J256" s="145"/>
      <c r="K256" s="507" t="str">
        <f>IF(J256="","",IF(VLOOKUP(J256,'G-3 Multipliers'!$L$3:$N$6,2,FALSE)=0,"Spatial Data Missing ⚠",VLOOKUP(J256,'G-3 Multipliers'!$L$3:$N$6,2,FALSE)))</f>
        <v/>
      </c>
      <c r="L256" s="505" t="str">
        <f>IF(J256="","",IF(VLOOKUP(J256,'G-3 Multipliers'!$L$3:$N$6,3,FALSE)=0,"Spatial Data Missing ⚠",VLOOKUP(J256,'G-3 Multipliers'!$L$3:$N$6,3,FALSE)))</f>
        <v/>
      </c>
      <c r="M256" s="506" t="str">
        <f>IF(D256="","",VLOOKUP(D256,'G-6 Hedgerow Data'!$B$1:$AH$15,33,FALSE))</f>
        <v/>
      </c>
      <c r="N256" s="513" t="str">
        <f t="shared" si="23"/>
        <v/>
      </c>
      <c r="O256" s="40"/>
      <c r="P256" s="154"/>
      <c r="Q256" s="203"/>
      <c r="R256" s="532" t="str">
        <f t="shared" si="24"/>
        <v/>
      </c>
      <c r="S256" s="532" t="str">
        <f t="shared" si="25"/>
        <v/>
      </c>
      <c r="T256" s="532" t="str">
        <f t="shared" si="26"/>
        <v/>
      </c>
      <c r="U256" s="557" t="str">
        <f t="shared" si="27"/>
        <v/>
      </c>
      <c r="V256" s="151"/>
      <c r="W256" s="152"/>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c r="AL256" s="31" t="str">
        <f>IFERROR(INDEX('G-6 Hedgerow Data'!$BJ$3:$BJ$15,MATCH(D256,'G-6 Hedgerow Data'!$B$3:$B$15,0)),"")</f>
        <v/>
      </c>
    </row>
    <row r="257" spans="2:38" ht="14.4" thickBot="1" x14ac:dyDescent="0.3">
      <c r="B257" s="158">
        <v>248</v>
      </c>
      <c r="C257" s="206"/>
      <c r="D257" s="206"/>
      <c r="E257" s="160"/>
      <c r="F257" s="528" t="str">
        <f>IF(D257="","",VLOOKUP(D257,'G-6 Hedgerow Data'!$B$2:$AG$15,2,FALSE))</f>
        <v/>
      </c>
      <c r="G257" s="499" t="str">
        <f>IF(D257="","",VLOOKUP(D257,'G-6 Hedgerow Data'!$B$2:$AG$15,3,FALSE))</f>
        <v/>
      </c>
      <c r="H257" s="161"/>
      <c r="I257" s="501" t="str">
        <f>IFERROR(VLOOKUP(H257,'G-1 All Habitats'!$Z$2:$AA$9,2,FALSE),"")</f>
        <v/>
      </c>
      <c r="J257" s="161"/>
      <c r="K257" s="508" t="str">
        <f>IF(J257="","",IF(VLOOKUP(J257,'G-3 Multipliers'!$L$3:$N$6,2,FALSE)=0,"Spatial Data Missing ⚠",VLOOKUP(J257,'G-3 Multipliers'!$L$3:$N$6,2,FALSE)))</f>
        <v/>
      </c>
      <c r="L257" s="509" t="str">
        <f>IF(J257="","",IF(VLOOKUP(J257,'G-3 Multipliers'!$L$3:$N$6,3,FALSE)=0,"Spatial Data Missing ⚠",VLOOKUP(J257,'G-3 Multipliers'!$L$3:$N$6,3,FALSE)))</f>
        <v/>
      </c>
      <c r="M257" s="510" t="str">
        <f>IF(D257="","",VLOOKUP(D257,'G-6 Hedgerow Data'!$B$1:$AH$15,33,FALSE))</f>
        <v/>
      </c>
      <c r="N257" s="555" t="str">
        <f t="shared" si="23"/>
        <v/>
      </c>
      <c r="O257" s="40"/>
      <c r="P257" s="210"/>
      <c r="Q257" s="211"/>
      <c r="R257" s="535" t="str">
        <f t="shared" si="24"/>
        <v/>
      </c>
      <c r="S257" s="535" t="str">
        <f t="shared" si="25"/>
        <v/>
      </c>
      <c r="T257" s="532" t="str">
        <f>IF(D257="","",IF(E257-P257-Q257=0&lt;0,"Error in lengths ▲",IF(P257+Q257&gt;E257,"Error in Lengths ▲",E257-P257-Q257)))</f>
        <v/>
      </c>
      <c r="U257" s="557" t="str">
        <f>IF(OR(E257="",N257=""),"",IF(E257-P257-Q257=0&lt;0,"Error in Lengths ▲",IF(P257+Q257&gt;E257,"Error in Lengths ▲",N257-R257-S257)))</f>
        <v/>
      </c>
      <c r="V257" s="163"/>
      <c r="W257" s="164"/>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c r="AL257" s="31" t="str">
        <f>IFERROR(INDEX('G-6 Hedgerow Data'!$BJ$3:$BJ$15,MATCH(D257,'G-6 Hedgerow Data'!$B$3:$B$15,0)),"")</f>
        <v/>
      </c>
    </row>
    <row r="258" spans="2:38" ht="14.4" thickBot="1" x14ac:dyDescent="0.3">
      <c r="D258" s="443"/>
      <c r="E258" s="554">
        <f>SUM(E10:E257)</f>
        <v>3.7999999999999999E-2</v>
      </c>
      <c r="M258" s="443"/>
      <c r="N258" s="556">
        <f>SUM(N10:N257)</f>
        <v>4.3699999999999996E-2</v>
      </c>
      <c r="O258" s="166"/>
      <c r="P258" s="517">
        <f t="shared" ref="P258:U258" si="28">SUM(P10:P257)</f>
        <v>3.7999999999999999E-2</v>
      </c>
      <c r="Q258" s="518">
        <f t="shared" si="28"/>
        <v>0</v>
      </c>
      <c r="R258" s="518">
        <f t="shared" si="28"/>
        <v>4.3699999999999996E-2</v>
      </c>
      <c r="S258" s="518">
        <f t="shared" si="28"/>
        <v>0</v>
      </c>
      <c r="T258" s="518">
        <f t="shared" si="28"/>
        <v>0</v>
      </c>
      <c r="U258" s="514">
        <f t="shared" si="28"/>
        <v>0</v>
      </c>
    </row>
    <row r="259" spans="2:38" ht="13.8" x14ac:dyDescent="0.25">
      <c r="O259" s="166"/>
      <c r="P259" s="166"/>
      <c r="Q259" s="166"/>
      <c r="R259" s="166"/>
      <c r="S259" s="166"/>
      <c r="T259" s="166"/>
      <c r="U259" s="166"/>
    </row>
    <row r="260" spans="2:38" ht="13.8" x14ac:dyDescent="0.25">
      <c r="B260" s="132"/>
      <c r="C260" s="132"/>
    </row>
    <row r="261" spans="2:38" ht="13.8" x14ac:dyDescent="0.25">
      <c r="B261" s="132"/>
      <c r="C261" s="132"/>
    </row>
    <row r="262" spans="2:38" ht="13.8" x14ac:dyDescent="0.25">
      <c r="B262" s="132"/>
      <c r="C262" s="132"/>
    </row>
    <row r="263" spans="2:38" ht="13.8" x14ac:dyDescent="0.25">
      <c r="B263" s="132"/>
      <c r="C263" s="132"/>
    </row>
    <row r="264" spans="2:38" ht="13.8" x14ac:dyDescent="0.25">
      <c r="B264" s="132"/>
      <c r="C264" s="132"/>
    </row>
  </sheetData>
  <sheetProtection algorithmName="SHA-512" hashValue="9X6AsQ//zhxGBc+nnYUzmQ5CXxVC2nhA9+NV96OJYiXWnzyjcKmpAPC2MA0DkBo8bLDFntJs+8+dZcTMvtydDQ==" saltValue="gJdyIw+VuPbprqdOghKHdw=="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J8:L8"/>
    <mergeCell ref="P8:U8"/>
    <mergeCell ref="M8:M9"/>
    <mergeCell ref="B3:D4"/>
  </mergeCells>
  <conditionalFormatting sqref="M10:M257">
    <cfRule type="cellIs" dxfId="132" priority="10" operator="equal">
      <formula>"Like for like or better"</formula>
    </cfRule>
    <cfRule type="cellIs" dxfId="131" priority="11" operator="equal">
      <formula>"Like for like"</formula>
    </cfRule>
    <cfRule type="containsText" dxfId="130" priority="12" operator="containsText" text="Same distinctiveness">
      <formula>NOT(ISERROR(SEARCH("Same distinctiveness",M10)))</formula>
    </cfRule>
  </conditionalFormatting>
  <conditionalFormatting sqref="K10:K257">
    <cfRule type="containsText" dxfId="129" priority="8" operator="containsText" text="Spatial">
      <formula>NOT(ISERROR(SEARCH("Spatial",K10)))</formula>
    </cfRule>
  </conditionalFormatting>
  <conditionalFormatting sqref="L10:L257">
    <cfRule type="containsText" dxfId="128" priority="7" operator="containsText" text="Spatial">
      <formula>NOT(ISERROR(SEARCH("Spatial",L10)))</formula>
    </cfRule>
  </conditionalFormatting>
  <conditionalFormatting sqref="T10:T257">
    <cfRule type="containsText" dxfId="127" priority="6" operator="containsText" text="Error">
      <formula>NOT(ISERROR(SEARCH("Error",T10)))</formula>
    </cfRule>
  </conditionalFormatting>
  <conditionalFormatting sqref="U10:U257">
    <cfRule type="containsText" dxfId="126" priority="5" operator="containsText" text="Error">
      <formula>NOT(ISERROR(SEARCH("Error",U10)))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showRowColHeaders="0" zoomScaleNormal="100" workbookViewId="0">
      <pane ySplit="11" topLeftCell="A12" activePane="bottomLeft" state="frozen"/>
      <selection activeCell="S28" sqref="S28"/>
      <selection pane="bottomLeft" activeCell="H13" sqref="H13"/>
    </sheetView>
  </sheetViews>
  <sheetFormatPr defaultColWidth="0" defaultRowHeight="0" customHeight="1" zeroHeight="1" x14ac:dyDescent="0.25"/>
  <cols>
    <col min="1" max="1" width="2.88671875" style="31" customWidth="1"/>
    <col min="2" max="2" width="12.6640625" style="31" customWidth="1"/>
    <col min="3" max="3" width="10.5546875" style="31" customWidth="1"/>
    <col min="4" max="4" width="62.6640625" style="31" customWidth="1"/>
    <col min="5" max="5" width="10.44140625" style="31" customWidth="1"/>
    <col min="6" max="6" width="18.88671875" style="31" customWidth="1"/>
    <col min="7" max="7" width="13.109375" style="31" customWidth="1"/>
    <col min="8" max="8" width="12.5546875" style="31" bestFit="1" customWidth="1"/>
    <col min="9" max="9" width="12.5546875" style="31" customWidth="1"/>
    <col min="10" max="10" width="41.6640625" style="31" customWidth="1"/>
    <col min="11" max="11" width="18.5546875" style="31" customWidth="1"/>
    <col min="12" max="12" width="12.33203125" style="31" customWidth="1"/>
    <col min="13" max="13" width="19.109375" style="31" customWidth="1"/>
    <col min="14" max="14" width="20" style="31" customWidth="1"/>
    <col min="15" max="15" width="17.6640625" style="31" customWidth="1"/>
    <col min="16" max="16" width="33.33203125" style="31" customWidth="1"/>
    <col min="17" max="17" width="19.109375" style="31" customWidth="1"/>
    <col min="18" max="18" width="15.33203125" style="31" customWidth="1"/>
    <col min="19" max="19" width="13.44140625" style="31" customWidth="1"/>
    <col min="20" max="20" width="18.44140625" style="31" customWidth="1"/>
    <col min="21" max="21" width="13.6640625" style="31" customWidth="1"/>
    <col min="22" max="22" width="11.88671875" style="31" customWidth="1"/>
    <col min="23" max="23" width="12.6640625" style="31" customWidth="1"/>
    <col min="24" max="24" width="42.44140625" style="31" customWidth="1"/>
    <col min="25" max="25" width="43.109375" style="31" customWidth="1"/>
    <col min="26" max="31" width="8.88671875" style="31" customWidth="1"/>
    <col min="32" max="32" width="8.88671875" style="31" hidden="1" customWidth="1"/>
    <col min="33" max="33" width="15.88671875" style="31" hidden="1" customWidth="1"/>
    <col min="34" max="16384" width="8.88671875" style="31" hidden="1"/>
  </cols>
  <sheetData>
    <row r="1" spans="2:33" ht="15.75" customHeight="1" thickBot="1" x14ac:dyDescent="0.3"/>
    <row r="2" spans="2:33" ht="21.6" customHeight="1" thickBot="1" x14ac:dyDescent="0.3">
      <c r="B2" s="833" t="str">
        <f>IF([1]Start!F12="","",[1]Start!F12)</f>
        <v/>
      </c>
      <c r="C2" s="834"/>
      <c r="D2" s="835"/>
    </row>
    <row r="3" spans="2:33" ht="15" customHeight="1" x14ac:dyDescent="0.25">
      <c r="B3" s="941" t="str">
        <f ca="1">MID(CELL("filename",A1),FIND("]",CELL("filename",A1))+1,256)</f>
        <v>B-2 Site Hedge Creation</v>
      </c>
      <c r="C3" s="942"/>
      <c r="D3" s="943"/>
      <c r="M3" s="919" t="str">
        <f>IF(OR(COUNTIF($M$12:M259,"*30+*")&gt;0,COUNTIF($Q$12:Q259,"*30+*")&gt;0),"Note; Habitat selected has a time to target condition greater than 30 years. Non standard agreement may be required. ⚠","")</f>
        <v/>
      </c>
      <c r="N3" s="919"/>
      <c r="O3" s="919"/>
      <c r="P3" s="919"/>
      <c r="Q3" s="919"/>
      <c r="R3" s="919"/>
    </row>
    <row r="4" spans="2:33" ht="15.75" customHeight="1" thickBot="1" x14ac:dyDescent="0.3">
      <c r="B4" s="944"/>
      <c r="C4" s="945"/>
      <c r="D4" s="946"/>
      <c r="M4" s="919"/>
      <c r="N4" s="919"/>
      <c r="O4" s="919"/>
      <c r="P4" s="919"/>
      <c r="Q4" s="919"/>
      <c r="R4" s="919"/>
    </row>
    <row r="5" spans="2:33" ht="15.75" customHeight="1" x14ac:dyDescent="0.25">
      <c r="M5" s="919"/>
      <c r="N5" s="919"/>
      <c r="O5" s="919"/>
      <c r="P5" s="919"/>
      <c r="Q5" s="919"/>
      <c r="R5" s="919"/>
    </row>
    <row r="6" spans="2:33" ht="15.75" customHeight="1" x14ac:dyDescent="0.25">
      <c r="M6" s="403"/>
      <c r="N6" s="403"/>
      <c r="O6" s="403"/>
      <c r="P6" s="403"/>
      <c r="Q6" s="403"/>
    </row>
    <row r="7" spans="2:33" ht="15.75" customHeight="1" x14ac:dyDescent="0.25">
      <c r="B7" s="132"/>
      <c r="C7" s="132"/>
      <c r="M7" s="403"/>
      <c r="N7" s="403"/>
      <c r="O7" s="403"/>
      <c r="P7" s="403"/>
      <c r="Q7" s="403"/>
    </row>
    <row r="8" spans="2:33" ht="13.8" x14ac:dyDescent="0.25"/>
    <row r="9" spans="2:33" ht="19.95" customHeight="1" thickBot="1" x14ac:dyDescent="0.3"/>
    <row r="10" spans="2:33" ht="31.5" customHeight="1" thickBot="1" x14ac:dyDescent="0.3">
      <c r="B10" s="132"/>
      <c r="C10" s="132"/>
      <c r="D10" s="967" t="s">
        <v>301</v>
      </c>
      <c r="E10" s="969"/>
      <c r="F10" s="967" t="s">
        <v>272</v>
      </c>
      <c r="G10" s="969"/>
      <c r="H10" s="967" t="s">
        <v>273</v>
      </c>
      <c r="I10" s="969"/>
      <c r="J10" s="967" t="s">
        <v>191</v>
      </c>
      <c r="K10" s="968"/>
      <c r="L10" s="969"/>
      <c r="M10" s="967" t="s">
        <v>228</v>
      </c>
      <c r="N10" s="968"/>
      <c r="O10" s="968"/>
      <c r="P10" s="968"/>
      <c r="Q10" s="968"/>
      <c r="R10" s="969"/>
      <c r="S10" s="967" t="s">
        <v>252</v>
      </c>
      <c r="T10" s="968"/>
      <c r="U10" s="968"/>
      <c r="V10" s="969"/>
      <c r="W10" s="970" t="s">
        <v>302</v>
      </c>
      <c r="X10" s="958" t="s">
        <v>196</v>
      </c>
      <c r="Y10" s="959"/>
    </row>
    <row r="11" spans="2:33" ht="41.4" x14ac:dyDescent="0.25">
      <c r="B11" s="135" t="s">
        <v>254</v>
      </c>
      <c r="C11" s="136" t="s">
        <v>303</v>
      </c>
      <c r="D11" s="201" t="s">
        <v>275</v>
      </c>
      <c r="E11" s="359" t="s">
        <v>294</v>
      </c>
      <c r="F11" s="304" t="s">
        <v>189</v>
      </c>
      <c r="G11" s="202" t="s">
        <v>206</v>
      </c>
      <c r="H11" s="368" t="s">
        <v>190</v>
      </c>
      <c r="I11" s="202" t="s">
        <v>206</v>
      </c>
      <c r="J11" s="368" t="s">
        <v>191</v>
      </c>
      <c r="K11" s="201" t="s">
        <v>191</v>
      </c>
      <c r="L11" s="202" t="s">
        <v>231</v>
      </c>
      <c r="M11" s="368" t="s">
        <v>304</v>
      </c>
      <c r="N11" s="201" t="s">
        <v>233</v>
      </c>
      <c r="O11" s="201" t="s">
        <v>234</v>
      </c>
      <c r="P11" s="201" t="s">
        <v>235</v>
      </c>
      <c r="Q11" s="201" t="s">
        <v>236</v>
      </c>
      <c r="R11" s="202" t="s">
        <v>237</v>
      </c>
      <c r="S11" s="368" t="s">
        <v>238</v>
      </c>
      <c r="T11" s="201" t="s">
        <v>305</v>
      </c>
      <c r="U11" s="201" t="s">
        <v>240</v>
      </c>
      <c r="V11" s="202" t="s">
        <v>241</v>
      </c>
      <c r="W11" s="982"/>
      <c r="X11" s="141" t="s">
        <v>215</v>
      </c>
      <c r="Y11" s="359" t="s">
        <v>216</v>
      </c>
      <c r="AG11" s="131" t="s">
        <v>200</v>
      </c>
    </row>
    <row r="12" spans="2:33" ht="27.6" x14ac:dyDescent="0.25">
      <c r="B12" s="368">
        <v>1</v>
      </c>
      <c r="C12" s="204">
        <v>1</v>
      </c>
      <c r="D12" s="82" t="s">
        <v>111</v>
      </c>
      <c r="E12" s="70">
        <v>0.11899999999999999</v>
      </c>
      <c r="F12" s="553" t="str">
        <f>IF(D12="","",VLOOKUP(D12,'G-6 Hedgerow Data'!$B$2:$AG$15,2,FALSE))</f>
        <v>Medium</v>
      </c>
      <c r="G12" s="499">
        <f>IF(D12="","",VLOOKUP(D12,'G-6 Hedgerow Data'!$B$2:$AG$15,3,FALSE))</f>
        <v>4</v>
      </c>
      <c r="H12" s="145" t="s">
        <v>20</v>
      </c>
      <c r="I12" s="499">
        <f>IFERROR(VLOOKUP(H12,'G-1 All Habitats'!$Z$2:$AA$9,2,FALSE),"")</f>
        <v>2</v>
      </c>
      <c r="J12" s="145" t="s">
        <v>913</v>
      </c>
      <c r="K12" s="507" t="str">
        <f>IF(J12="","",IF(VLOOKUP(J12,'G-3 Multipliers'!$L$3:$N$6,2,FALSE)=0,"Spatial Data Missing ⚠",VLOOKUP(J12,'G-3 Multipliers'!$L$3:$N$6,2,FALSE)))</f>
        <v xml:space="preserve">High strategic significance </v>
      </c>
      <c r="L12" s="505">
        <f>IF(J12="","",IF(VLOOKUP(J12,'G-3 Multipliers'!$L$3:$N$6,3,FALSE)=0,"Spatial Data Missing ⚠",VLOOKUP(J12,'G-3 Multipliers'!$L$3:$N$6,3,FALSE)))</f>
        <v>1.1499999999999999</v>
      </c>
      <c r="M12" s="498">
        <f>IF(OR(D12="",H12=""),"",(INDEX('G-6 Hedgerow Data'!$E$3:$I$15,MATCH(D12,'G-6 Hedgerow Data'!$B$3:$B$15,0),MATCH(H12,'G-6 Hedgerow Data'!$E$2:$I$2,0))))</f>
        <v>5</v>
      </c>
      <c r="N12" s="195">
        <v>0</v>
      </c>
      <c r="O12" s="195">
        <v>0</v>
      </c>
      <c r="P12" s="507"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Standard time to target condition applied</v>
      </c>
      <c r="Q12" s="521">
        <f>IF(M12="","",IF(LEFT(P12,5)="Error ▲","Check Data ⚠",IF(OR(N12="30+",N12="Habitat already in target condition"),0,IF(O12="30+","30+ ⚠",IF(AND(M12="30+ ⚠",OR(N12="",N12=0)),"30+ ⚠",IF(AND(M12="30+ ⚠",N12&gt;0),32-N12,IF(M12+O12&gt;30,"30+ ⚠",IF(M12+O12-N12&gt;0,M12+O12-N12,IF(M12-N12&lt;0,0,M12+O12-N12)))))))))</f>
        <v>5</v>
      </c>
      <c r="R12" s="522">
        <f t="shared" ref="R12:R75" si="0">IF(M12="","",IF(LEFT(P12,5)="Error ▲","Check Data ⚠",VLOOKUP(Q12,TemporalMultipliers,3,FALSE)))</f>
        <v>0.83682870060000003</v>
      </c>
      <c r="S12" s="498" t="str">
        <f>IF(D12="","",VLOOKUP(D12,'G-6 Hedgerow Data'!$B$3:$AG$15,31,FALSE))</f>
        <v>Low</v>
      </c>
      <c r="T12" s="507" t="str">
        <f>IF(D12="","",IF(Q12="Check Data ⚠","Check Data ⚠",IF(H12="","",IF($P12="Check details - Is there evidence that habitat has reached target condition? ⚠","Low Difficulty - only applicable if all habitat created before losses ⚠","Standard difficulty applied"))))</f>
        <v>Standard difficulty applied</v>
      </c>
      <c r="U12" s="507" t="str">
        <f>(IF(AND(T12="Standard difficulty applied",M12&gt;N12),S12,IF(AND(T12="Low Difficulty - only applicable if all habitat created before losses ⚠",Q12&lt;=0),"Low",S12)))</f>
        <v>Low</v>
      </c>
      <c r="V12" s="499">
        <f>IF(D12="","",VLOOKUP(S12,'G-3 Multipliers'!$P$3:$Q$6,2,FALSE))</f>
        <v>1</v>
      </c>
      <c r="W12" s="529">
        <f>IFERROR(E12*G12*I12*L12*R12*V12,"")</f>
        <v>0.91616006141687989</v>
      </c>
      <c r="X12" s="149" t="s">
        <v>1571</v>
      </c>
      <c r="Y12" s="150"/>
      <c r="AG12" s="31" t="str">
        <f>IFERROR(INDEX('G-6 Hedgerow Data'!$BJ$3:$BJ$15,MATCH(D12,'G-6 Hedgerow Data'!$B$3:$B$15,0)),"")</f>
        <v>Hedgecond1</v>
      </c>
    </row>
    <row r="13" spans="2:33" ht="27.6" x14ac:dyDescent="0.25">
      <c r="B13" s="141">
        <v>2</v>
      </c>
      <c r="C13" s="204">
        <v>2</v>
      </c>
      <c r="D13" s="82" t="s">
        <v>119</v>
      </c>
      <c r="E13" s="70">
        <v>2.5000000000000001E-2</v>
      </c>
      <c r="F13" s="553" t="str">
        <f>IF(D13="","",VLOOKUP(D13,'G-6 Hedgerow Data'!$B$2:$AG$15,2,FALSE))</f>
        <v>V.Low</v>
      </c>
      <c r="G13" s="499">
        <f>IF(D13="","",VLOOKUP(D13,'G-6 Hedgerow Data'!$B$2:$AG$15,3,FALSE))</f>
        <v>1</v>
      </c>
      <c r="H13" s="145" t="s">
        <v>242</v>
      </c>
      <c r="I13" s="499">
        <f>IFERROR(VLOOKUP(H13,'G-1 All Habitats'!$Z$2:$AA$9,2,FALSE),"")</f>
        <v>1</v>
      </c>
      <c r="J13" s="145" t="s">
        <v>913</v>
      </c>
      <c r="K13" s="520" t="str">
        <f>IF(J13="","",IF(VLOOKUP(J13,'G-3 Multipliers'!$L$3:$N$6,2,FALSE)=0,"Spatial Data Missing ⚠",VLOOKUP(J13,'G-3 Multipliers'!$L$3:$N$6,2,FALSE)))</f>
        <v xml:space="preserve">High strategic significance </v>
      </c>
      <c r="L13" s="505">
        <f>IF(J13="","",IF(VLOOKUP(J13,'G-3 Multipliers'!$L$3:$N$6,3,FALSE)=0,"Spatial Data Missing ⚠",VLOOKUP(J13,'G-3 Multipliers'!$L$3:$N$6,3,FALSE)))</f>
        <v>1.1499999999999999</v>
      </c>
      <c r="M13" s="498">
        <f>IF(OR(D13="",H13=""),"",(INDEX('G-6 Hedgerow Data'!$E$3:$I$15,MATCH(D13,'G-6 Hedgerow Data'!$B$3:$B$15,0),MATCH(H13,'G-6 Hedgerow Data'!$E$2:$I$2,0))))</f>
        <v>1</v>
      </c>
      <c r="N13" s="195">
        <v>0</v>
      </c>
      <c r="O13" s="195">
        <v>0</v>
      </c>
      <c r="P13" s="507" t="str">
        <f t="shared" ref="P13:P76" si="1">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Standard time to target condition applied</v>
      </c>
      <c r="Q13" s="521">
        <f t="shared" ref="Q13:Q76" si="2">IF(M13="","",IF(LEFT(P13,5)="Error ▲","Check Data ⚠",IF(OR(N13="30+",N13="Habitat already in target condition"),0,IF(O13="30+","30+ ⚠",IF(AND(M13="30+ ⚠",OR(N13="",N13=0)),"30+ ⚠",IF(AND(M13="30+ ⚠",N13&gt;0),32-N13,IF(M13+O13&gt;30,"30+ ⚠",IF(M13+O13-N13&gt;0,M13+O13-N13,IF(M13-N13&lt;0,0,M13+O13-N13)))))))))</f>
        <v>1</v>
      </c>
      <c r="R13" s="522">
        <f t="shared" si="0"/>
        <v>0.96499999999999997</v>
      </c>
      <c r="S13" s="537" t="str">
        <f>IF(D13="","",VLOOKUP(D13,'G-6 Hedgerow Data'!$B$3:$AG$15,31,FALSE))</f>
        <v>Low</v>
      </c>
      <c r="T13" s="507" t="str">
        <f t="shared" ref="T13:T76" si="3">IF(D13="","",IF(Q13="Check Data ⚠","Check Data ⚠",IF(H13="","",IF($P13="Check details - Is there evidence that habitat has reached target condition? ⚠","Low Difficulty - only applicable if all habitat created before losses ⚠","Standard difficulty applied"))))</f>
        <v>Standard difficulty applied</v>
      </c>
      <c r="U13" s="507" t="str">
        <f t="shared" ref="U13:U76" si="4">(IF(AND(T13="Standard difficulty applied",M13&gt;N13),S13,IF(AND(T13="Low Difficulty - only applicable if all habitat created before losses ⚠",Q13&lt;=0),"Low",S13)))</f>
        <v>Low</v>
      </c>
      <c r="V13" s="524">
        <f>IF(D13="","",VLOOKUP(S13,'G-3 Multipliers'!$P$3:$Q$6,2,FALSE))</f>
        <v>1</v>
      </c>
      <c r="W13" s="529">
        <f t="shared" ref="W13:W76" si="5">IFERROR(E13*G13*I13*L13*R13*V13,"")</f>
        <v>2.7743749999999998E-2</v>
      </c>
      <c r="X13" s="149" t="s">
        <v>1572</v>
      </c>
      <c r="Y13" s="150"/>
      <c r="AG13" s="31" t="str">
        <f>IFERROR(INDEX('G-6 Hedgerow Data'!$BJ$3:$BJ$15,MATCH(D13,'G-6 Hedgerow Data'!$B$3:$B$15,0)),"")</f>
        <v>Hedgecond2</v>
      </c>
    </row>
    <row r="14" spans="2:33" ht="13.8" x14ac:dyDescent="0.25">
      <c r="B14" s="141">
        <v>3</v>
      </c>
      <c r="C14" s="204"/>
      <c r="D14" s="82"/>
      <c r="E14" s="70"/>
      <c r="F14" s="553" t="str">
        <f>IF(D14="","",VLOOKUP(D14,'G-6 Hedgerow Data'!$B$2:$AG$15,2,FALSE))</f>
        <v/>
      </c>
      <c r="G14" s="499" t="str">
        <f>IF(D14="","",VLOOKUP(D14,'G-6 Hedgerow Data'!$B$2:$AG$15,3,FALSE))</f>
        <v/>
      </c>
      <c r="H14" s="145"/>
      <c r="I14" s="499" t="str">
        <f>IFERROR(VLOOKUP(H14,'G-1 All Habitats'!$Z$2:$AA$9,2,FALSE),"")</f>
        <v/>
      </c>
      <c r="J14" s="145"/>
      <c r="K14" s="520" t="str">
        <f>IF(J14="","",IF(VLOOKUP(J14,'G-3 Multipliers'!$L$3:$N$6,2,FALSE)=0,"Spatial Data Missing ⚠",VLOOKUP(J14,'G-3 Multipliers'!$L$3:$N$6,2,FALSE)))</f>
        <v/>
      </c>
      <c r="L14" s="505" t="str">
        <f>IF(J14="","",IF(VLOOKUP(J14,'G-3 Multipliers'!$L$3:$N$6,3,FALSE)=0,"Spatial Data Missing ⚠",VLOOKUP(J14,'G-3 Multipliers'!$L$3:$N$6,3,FALSE)))</f>
        <v/>
      </c>
      <c r="M14" s="498" t="str">
        <f>IF(OR(D14="",H14=""),"",(INDEX('G-6 Hedgerow Data'!$E$3:$I$15,MATCH(D14,'G-6 Hedgerow Data'!$B$3:$B$15,0),MATCH(H14,'G-6 Hedgerow Data'!$E$2:$I$2,0))))</f>
        <v/>
      </c>
      <c r="N14" s="195"/>
      <c r="O14" s="195"/>
      <c r="P14" s="507" t="str">
        <f t="shared" si="1"/>
        <v/>
      </c>
      <c r="Q14" s="521" t="str">
        <f t="shared" si="2"/>
        <v/>
      </c>
      <c r="R14" s="522" t="str">
        <f t="shared" si="0"/>
        <v/>
      </c>
      <c r="S14" s="537" t="str">
        <f>IF(D14="","",VLOOKUP(D14,'G-6 Hedgerow Data'!$B$3:$AG$15,31,FALSE))</f>
        <v/>
      </c>
      <c r="T14" s="507" t="str">
        <f t="shared" si="3"/>
        <v/>
      </c>
      <c r="U14" s="507" t="str">
        <f t="shared" si="4"/>
        <v/>
      </c>
      <c r="V14" s="524" t="str">
        <f>IF(D14="","",VLOOKUP(S14,'G-3 Multipliers'!$P$3:$Q$6,2,FALSE))</f>
        <v/>
      </c>
      <c r="W14" s="529" t="str">
        <f t="shared" si="5"/>
        <v/>
      </c>
      <c r="X14" s="149"/>
      <c r="Y14" s="150"/>
      <c r="AG14" s="31" t="str">
        <f>IFERROR(INDEX('G-6 Hedgerow Data'!$BJ$3:$BJ$15,MATCH(D14,'G-6 Hedgerow Data'!$B$3:$B$15,0)),"")</f>
        <v/>
      </c>
    </row>
    <row r="15" spans="2:33" ht="13.8" x14ac:dyDescent="0.25">
      <c r="B15" s="141">
        <v>4</v>
      </c>
      <c r="C15" s="204"/>
      <c r="D15" s="82"/>
      <c r="E15" s="70"/>
      <c r="F15" s="553" t="str">
        <f>IF(D15="","",VLOOKUP(D15,'G-6 Hedgerow Data'!$B$2:$AG$15,2,FALSE))</f>
        <v/>
      </c>
      <c r="G15" s="499" t="str">
        <f>IF(D15="","",VLOOKUP(D15,'G-6 Hedgerow Data'!$B$2:$AG$15,3,FALSE))</f>
        <v/>
      </c>
      <c r="H15" s="145"/>
      <c r="I15" s="499" t="str">
        <f>IFERROR(VLOOKUP(H15,'G-1 All Habitats'!$Z$2:$AA$9,2,FALSE),"")</f>
        <v/>
      </c>
      <c r="J15" s="145"/>
      <c r="K15" s="520" t="str">
        <f>IF(J15="","",IF(VLOOKUP(J15,'G-3 Multipliers'!$L$3:$N$6,2,FALSE)=0,"Spatial Data Missing ⚠",VLOOKUP(J15,'G-3 Multipliers'!$L$3:$N$6,2,FALSE)))</f>
        <v/>
      </c>
      <c r="L15" s="505" t="str">
        <f>IF(J15="","",IF(VLOOKUP(J15,'G-3 Multipliers'!$L$3:$N$6,3,FALSE)=0,"Spatial Data Missing ⚠",VLOOKUP(J15,'G-3 Multipliers'!$L$3:$N$6,3,FALSE)))</f>
        <v/>
      </c>
      <c r="M15" s="498" t="str">
        <f>IF(OR(D15="",H15=""),"",(INDEX('G-6 Hedgerow Data'!$E$3:$I$15,MATCH(D15,'G-6 Hedgerow Data'!$B$3:$B$15,0),MATCH(H15,'G-6 Hedgerow Data'!$E$2:$I$2,0))))</f>
        <v/>
      </c>
      <c r="N15" s="195"/>
      <c r="O15" s="195"/>
      <c r="P15" s="507" t="str">
        <f t="shared" si="1"/>
        <v/>
      </c>
      <c r="Q15" s="521" t="str">
        <f t="shared" si="2"/>
        <v/>
      </c>
      <c r="R15" s="522" t="str">
        <f t="shared" si="0"/>
        <v/>
      </c>
      <c r="S15" s="537" t="str">
        <f>IF(D15="","",VLOOKUP(D15,'G-6 Hedgerow Data'!$B$3:$AG$15,31,FALSE))</f>
        <v/>
      </c>
      <c r="T15" s="507" t="str">
        <f t="shared" si="3"/>
        <v/>
      </c>
      <c r="U15" s="507" t="str">
        <f t="shared" si="4"/>
        <v/>
      </c>
      <c r="V15" s="524" t="str">
        <f>IF(D15="","",VLOOKUP(S15,'G-3 Multipliers'!$P$3:$Q$6,2,FALSE))</f>
        <v/>
      </c>
      <c r="W15" s="529" t="str">
        <f t="shared" si="5"/>
        <v/>
      </c>
      <c r="X15" s="149"/>
      <c r="Y15" s="150"/>
      <c r="AG15" s="31" t="str">
        <f>IFERROR(INDEX('G-6 Hedgerow Data'!$BJ$3:$BJ$15,MATCH(D15,'G-6 Hedgerow Data'!$B$3:$B$15,0)),"")</f>
        <v/>
      </c>
    </row>
    <row r="16" spans="2:33" ht="13.8" x14ac:dyDescent="0.25">
      <c r="B16" s="141">
        <v>5</v>
      </c>
      <c r="C16" s="205"/>
      <c r="D16" s="195"/>
      <c r="E16" s="172"/>
      <c r="F16" s="553" t="str">
        <f>IF(D16="","",VLOOKUP(D16,'G-6 Hedgerow Data'!$B$2:$AG$15,2,FALSE))</f>
        <v/>
      </c>
      <c r="G16" s="499" t="str">
        <f>IF(D16="","",VLOOKUP(D16,'G-6 Hedgerow Data'!$B$2:$AG$15,3,FALSE))</f>
        <v/>
      </c>
      <c r="H16" s="145"/>
      <c r="I16" s="499" t="str">
        <f>IFERROR(VLOOKUP(H16,'G-1 All Habitats'!$Z$2:$AA$9,2,FALSE),"")</f>
        <v/>
      </c>
      <c r="J16" s="145"/>
      <c r="K16" s="520" t="str">
        <f>IF(J16="","",IF(VLOOKUP(J16,'G-3 Multipliers'!$L$3:$N$6,2,FALSE)=0,"Spatial Data Missing ⚠",VLOOKUP(J16,'G-3 Multipliers'!$L$3:$N$6,2,FALSE)))</f>
        <v/>
      </c>
      <c r="L16" s="505" t="str">
        <f>IF(J16="","",IF(VLOOKUP(J16,'G-3 Multipliers'!$L$3:$N$6,3,FALSE)=0,"Spatial Data Missing ⚠",VLOOKUP(J16,'G-3 Multipliers'!$L$3:$N$6,3,FALSE)))</f>
        <v/>
      </c>
      <c r="M16" s="498" t="str">
        <f>IF(OR(D16="",H16=""),"",(INDEX('G-6 Hedgerow Data'!$E$3:$I$15,MATCH(D16,'G-6 Hedgerow Data'!$B$3:$B$15,0),MATCH(H16,'G-6 Hedgerow Data'!$E$2:$I$2,0))))</f>
        <v/>
      </c>
      <c r="N16" s="195"/>
      <c r="O16" s="195"/>
      <c r="P16" s="507" t="str">
        <f t="shared" si="1"/>
        <v/>
      </c>
      <c r="Q16" s="521" t="str">
        <f t="shared" si="2"/>
        <v/>
      </c>
      <c r="R16" s="522" t="str">
        <f t="shared" si="0"/>
        <v/>
      </c>
      <c r="S16" s="537" t="str">
        <f>IF(D16="","",VLOOKUP(D16,'G-6 Hedgerow Data'!$B$3:$AG$15,31,FALSE))</f>
        <v/>
      </c>
      <c r="T16" s="507" t="str">
        <f t="shared" si="3"/>
        <v/>
      </c>
      <c r="U16" s="507" t="str">
        <f t="shared" si="4"/>
        <v/>
      </c>
      <c r="V16" s="524" t="str">
        <f>IF(D16="","",VLOOKUP(S16,'G-3 Multipliers'!$P$3:$Q$6,2,FALSE))</f>
        <v/>
      </c>
      <c r="W16" s="529" t="str">
        <f t="shared" si="5"/>
        <v/>
      </c>
      <c r="X16" s="149"/>
      <c r="Y16" s="150"/>
      <c r="AG16" s="31" t="str">
        <f>IFERROR(INDEX('G-6 Hedgerow Data'!$BJ$3:$BJ$15,MATCH(D16,'G-6 Hedgerow Data'!$B$3:$B$15,0)),"")</f>
        <v/>
      </c>
    </row>
    <row r="17" spans="2:33" ht="13.8" x14ac:dyDescent="0.25">
      <c r="B17" s="141">
        <v>6</v>
      </c>
      <c r="C17" s="205"/>
      <c r="D17" s="195"/>
      <c r="E17" s="172"/>
      <c r="F17" s="553" t="str">
        <f>IF(D17="","",VLOOKUP(D17,'G-6 Hedgerow Data'!$B$2:$AG$15,2,FALSE))</f>
        <v/>
      </c>
      <c r="G17" s="499" t="str">
        <f>IF(D17="","",VLOOKUP(D17,'G-6 Hedgerow Data'!$B$2:$AG$15,3,FALSE))</f>
        <v/>
      </c>
      <c r="H17" s="145"/>
      <c r="I17" s="499" t="str">
        <f>IFERROR(VLOOKUP(H17,'G-1 All Habitats'!$Z$2:$AA$9,2,FALSE),"")</f>
        <v/>
      </c>
      <c r="J17" s="145"/>
      <c r="K17" s="520" t="str">
        <f>IF(J17="","",IF(VLOOKUP(J17,'G-3 Multipliers'!$L$3:$N$6,2,FALSE)=0,"Spatial Data Missing ⚠",VLOOKUP(J17,'G-3 Multipliers'!$L$3:$N$6,2,FALSE)))</f>
        <v/>
      </c>
      <c r="L17" s="505" t="str">
        <f>IF(J17="","",IF(VLOOKUP(J17,'G-3 Multipliers'!$L$3:$N$6,3,FALSE)=0,"Spatial Data Missing ⚠",VLOOKUP(J17,'G-3 Multipliers'!$L$3:$N$6,3,FALSE)))</f>
        <v/>
      </c>
      <c r="M17" s="498" t="str">
        <f>IF(OR(D17="",H17=""),"",(INDEX('G-6 Hedgerow Data'!$E$3:$I$15,MATCH(D17,'G-6 Hedgerow Data'!$B$3:$B$15,0),MATCH(H17,'G-6 Hedgerow Data'!$E$2:$I$2,0))))</f>
        <v/>
      </c>
      <c r="N17" s="195"/>
      <c r="O17" s="195"/>
      <c r="P17" s="507" t="str">
        <f t="shared" si="1"/>
        <v/>
      </c>
      <c r="Q17" s="521" t="str">
        <f t="shared" si="2"/>
        <v/>
      </c>
      <c r="R17" s="522" t="str">
        <f t="shared" si="0"/>
        <v/>
      </c>
      <c r="S17" s="537" t="str">
        <f>IF(D17="","",VLOOKUP(D17,'G-6 Hedgerow Data'!$B$3:$AG$15,31,FALSE))</f>
        <v/>
      </c>
      <c r="T17" s="507" t="str">
        <f t="shared" si="3"/>
        <v/>
      </c>
      <c r="U17" s="507" t="str">
        <f t="shared" si="4"/>
        <v/>
      </c>
      <c r="V17" s="524" t="str">
        <f>IF(D17="","",VLOOKUP(S17,'G-3 Multipliers'!$P$3:$Q$6,2,FALSE))</f>
        <v/>
      </c>
      <c r="W17" s="529" t="str">
        <f t="shared" si="5"/>
        <v/>
      </c>
      <c r="X17" s="149"/>
      <c r="Y17" s="150"/>
      <c r="AG17" s="31" t="str">
        <f>IFERROR(INDEX('G-6 Hedgerow Data'!$BJ$3:$BJ$15,MATCH(D17,'G-6 Hedgerow Data'!$B$3:$B$15,0)),"")</f>
        <v/>
      </c>
    </row>
    <row r="18" spans="2:33" ht="13.8" x14ac:dyDescent="0.25">
      <c r="B18" s="141">
        <v>7</v>
      </c>
      <c r="C18" s="205"/>
      <c r="D18" s="195"/>
      <c r="E18" s="172"/>
      <c r="F18" s="553" t="str">
        <f>IF(D18="","",VLOOKUP(D18,'G-6 Hedgerow Data'!$B$2:$AG$15,2,FALSE))</f>
        <v/>
      </c>
      <c r="G18" s="499" t="str">
        <f>IF(D18="","",VLOOKUP(D18,'G-6 Hedgerow Data'!$B$2:$AG$15,3,FALSE))</f>
        <v/>
      </c>
      <c r="H18" s="145"/>
      <c r="I18" s="499" t="str">
        <f>IFERROR(VLOOKUP(H18,'G-1 All Habitats'!$Z$2:$AA$9,2,FALSE),"")</f>
        <v/>
      </c>
      <c r="J18" s="145"/>
      <c r="K18" s="520" t="str">
        <f>IF(J18="","",IF(VLOOKUP(J18,'G-3 Multipliers'!$L$3:$N$6,2,FALSE)=0,"Spatial Data Missing ⚠",VLOOKUP(J18,'G-3 Multipliers'!$L$3:$N$6,2,FALSE)))</f>
        <v/>
      </c>
      <c r="L18" s="505" t="str">
        <f>IF(J18="","",IF(VLOOKUP(J18,'G-3 Multipliers'!$L$3:$N$6,3,FALSE)=0,"Spatial Data Missing ⚠",VLOOKUP(J18,'G-3 Multipliers'!$L$3:$N$6,3,FALSE)))</f>
        <v/>
      </c>
      <c r="M18" s="498" t="str">
        <f>IF(OR(D18="",H18=""),"",(INDEX('G-6 Hedgerow Data'!$E$3:$I$15,MATCH(D18,'G-6 Hedgerow Data'!$B$3:$B$15,0),MATCH(H18,'G-6 Hedgerow Data'!$E$2:$I$2,0))))</f>
        <v/>
      </c>
      <c r="N18" s="195"/>
      <c r="O18" s="195"/>
      <c r="P18" s="507" t="str">
        <f t="shared" si="1"/>
        <v/>
      </c>
      <c r="Q18" s="521" t="str">
        <f t="shared" si="2"/>
        <v/>
      </c>
      <c r="R18" s="522" t="str">
        <f t="shared" si="0"/>
        <v/>
      </c>
      <c r="S18" s="537" t="str">
        <f>IF(D18="","",VLOOKUP(D18,'G-6 Hedgerow Data'!$B$3:$AG$15,31,FALSE))</f>
        <v/>
      </c>
      <c r="T18" s="507" t="str">
        <f t="shared" si="3"/>
        <v/>
      </c>
      <c r="U18" s="507" t="str">
        <f t="shared" si="4"/>
        <v/>
      </c>
      <c r="V18" s="524" t="str">
        <f>IF(D18="","",VLOOKUP(S18,'G-3 Multipliers'!$P$3:$Q$6,2,FALSE))</f>
        <v/>
      </c>
      <c r="W18" s="529" t="str">
        <f t="shared" si="5"/>
        <v/>
      </c>
      <c r="X18" s="149"/>
      <c r="Y18" s="150"/>
      <c r="AG18" s="31" t="str">
        <f>IFERROR(INDEX('G-6 Hedgerow Data'!$BJ$3:$BJ$15,MATCH(D18,'G-6 Hedgerow Data'!$B$3:$B$15,0)),"")</f>
        <v/>
      </c>
    </row>
    <row r="19" spans="2:33" ht="13.8" x14ac:dyDescent="0.25">
      <c r="B19" s="141">
        <v>8</v>
      </c>
      <c r="C19" s="205"/>
      <c r="D19" s="195"/>
      <c r="E19" s="172"/>
      <c r="F19" s="553" t="str">
        <f>IF(D19="","",VLOOKUP(D19,'G-6 Hedgerow Data'!$B$2:$AG$15,2,FALSE))</f>
        <v/>
      </c>
      <c r="G19" s="499" t="str">
        <f>IF(D19="","",VLOOKUP(D19,'G-6 Hedgerow Data'!$B$2:$AG$15,3,FALSE))</f>
        <v/>
      </c>
      <c r="H19" s="145"/>
      <c r="I19" s="499" t="str">
        <f>IFERROR(VLOOKUP(H19,'G-1 All Habitats'!$Z$2:$AA$9,2,FALSE),"")</f>
        <v/>
      </c>
      <c r="J19" s="145"/>
      <c r="K19" s="520" t="str">
        <f>IF(J19="","",IF(VLOOKUP(J19,'G-3 Multipliers'!$L$3:$N$6,2,FALSE)=0,"Spatial Data Missing ⚠",VLOOKUP(J19,'G-3 Multipliers'!$L$3:$N$6,2,FALSE)))</f>
        <v/>
      </c>
      <c r="L19" s="505" t="str">
        <f>IF(J19="","",IF(VLOOKUP(J19,'G-3 Multipliers'!$L$3:$N$6,3,FALSE)=0,"Spatial Data Missing ⚠",VLOOKUP(J19,'G-3 Multipliers'!$L$3:$N$6,3,FALSE)))</f>
        <v/>
      </c>
      <c r="M19" s="498" t="str">
        <f>IF(OR(D19="",H19=""),"",(INDEX('G-6 Hedgerow Data'!$E$3:$I$15,MATCH(D19,'G-6 Hedgerow Data'!$B$3:$B$15,0),MATCH(H19,'G-6 Hedgerow Data'!$E$2:$I$2,0))))</f>
        <v/>
      </c>
      <c r="N19" s="195"/>
      <c r="O19" s="195"/>
      <c r="P19" s="507" t="str">
        <f t="shared" si="1"/>
        <v/>
      </c>
      <c r="Q19" s="521" t="str">
        <f t="shared" si="2"/>
        <v/>
      </c>
      <c r="R19" s="522" t="str">
        <f t="shared" si="0"/>
        <v/>
      </c>
      <c r="S19" s="537" t="str">
        <f>IF(D19="","",VLOOKUP(D19,'G-6 Hedgerow Data'!$B$3:$AG$15,31,FALSE))</f>
        <v/>
      </c>
      <c r="T19" s="507" t="str">
        <f t="shared" si="3"/>
        <v/>
      </c>
      <c r="U19" s="507" t="str">
        <f t="shared" si="4"/>
        <v/>
      </c>
      <c r="V19" s="524" t="str">
        <f>IF(D19="","",VLOOKUP(S19,'G-3 Multipliers'!$P$3:$Q$6,2,FALSE))</f>
        <v/>
      </c>
      <c r="W19" s="529" t="str">
        <f t="shared" si="5"/>
        <v/>
      </c>
      <c r="X19" s="149"/>
      <c r="Y19" s="150"/>
      <c r="AG19" s="31" t="str">
        <f>IFERROR(INDEX('G-6 Hedgerow Data'!$BJ$3:$BJ$15,MATCH(D19,'G-6 Hedgerow Data'!$B$3:$B$15,0)),"")</f>
        <v/>
      </c>
    </row>
    <row r="20" spans="2:33" ht="13.8" x14ac:dyDescent="0.25">
      <c r="B20" s="141">
        <v>9</v>
      </c>
      <c r="C20" s="205"/>
      <c r="D20" s="195"/>
      <c r="E20" s="172"/>
      <c r="F20" s="553" t="str">
        <f>IF(D20="","",VLOOKUP(D20,'G-6 Hedgerow Data'!$B$2:$AG$15,2,FALSE))</f>
        <v/>
      </c>
      <c r="G20" s="499" t="str">
        <f>IF(D20="","",VLOOKUP(D20,'G-6 Hedgerow Data'!$B$2:$AG$15,3,FALSE))</f>
        <v/>
      </c>
      <c r="H20" s="145"/>
      <c r="I20" s="499" t="str">
        <f>IFERROR(VLOOKUP(H20,'G-1 All Habitats'!$Z$2:$AA$9,2,FALSE),"")</f>
        <v/>
      </c>
      <c r="J20" s="145"/>
      <c r="K20" s="520" t="str">
        <f>IF(J20="","",IF(VLOOKUP(J20,'G-3 Multipliers'!$L$3:$N$6,2,FALSE)=0,"Spatial Data Missing ⚠",VLOOKUP(J20,'G-3 Multipliers'!$L$3:$N$6,2,FALSE)))</f>
        <v/>
      </c>
      <c r="L20" s="505" t="str">
        <f>IF(J20="","",IF(VLOOKUP(J20,'G-3 Multipliers'!$L$3:$N$6,3,FALSE)=0,"Spatial Data Missing ⚠",VLOOKUP(J20,'G-3 Multipliers'!$L$3:$N$6,3,FALSE)))</f>
        <v/>
      </c>
      <c r="M20" s="498" t="str">
        <f>IF(OR(D20="",H20=""),"",(INDEX('G-6 Hedgerow Data'!$E$3:$I$15,MATCH(D20,'G-6 Hedgerow Data'!$B$3:$B$15,0),MATCH(H20,'G-6 Hedgerow Data'!$E$2:$I$2,0))))</f>
        <v/>
      </c>
      <c r="N20" s="195"/>
      <c r="O20" s="195"/>
      <c r="P20" s="507" t="str">
        <f t="shared" si="1"/>
        <v/>
      </c>
      <c r="Q20" s="521" t="str">
        <f t="shared" si="2"/>
        <v/>
      </c>
      <c r="R20" s="522" t="str">
        <f t="shared" si="0"/>
        <v/>
      </c>
      <c r="S20" s="537" t="str">
        <f>IF(D20="","",VLOOKUP(D20,'G-6 Hedgerow Data'!$B$3:$AG$15,31,FALSE))</f>
        <v/>
      </c>
      <c r="T20" s="507" t="str">
        <f t="shared" si="3"/>
        <v/>
      </c>
      <c r="U20" s="507" t="str">
        <f t="shared" si="4"/>
        <v/>
      </c>
      <c r="V20" s="524" t="str">
        <f>IF(D20="","",VLOOKUP(S20,'G-3 Multipliers'!$P$3:$Q$6,2,FALSE))</f>
        <v/>
      </c>
      <c r="W20" s="529" t="str">
        <f t="shared" si="5"/>
        <v/>
      </c>
      <c r="X20" s="149"/>
      <c r="Y20" s="150"/>
      <c r="AG20" s="31" t="str">
        <f>IFERROR(INDEX('G-6 Hedgerow Data'!$BJ$3:$BJ$15,MATCH(D20,'G-6 Hedgerow Data'!$B$3:$B$15,0)),"")</f>
        <v/>
      </c>
    </row>
    <row r="21" spans="2:33" ht="13.8" x14ac:dyDescent="0.25">
      <c r="B21" s="141">
        <v>10</v>
      </c>
      <c r="C21" s="205"/>
      <c r="D21" s="195"/>
      <c r="E21" s="172"/>
      <c r="F21" s="553" t="str">
        <f>IF(D21="","",VLOOKUP(D21,'G-6 Hedgerow Data'!$B$2:$AG$15,2,FALSE))</f>
        <v/>
      </c>
      <c r="G21" s="499" t="str">
        <f>IF(D21="","",VLOOKUP(D21,'G-6 Hedgerow Data'!$B$2:$AG$15,3,FALSE))</f>
        <v/>
      </c>
      <c r="H21" s="145"/>
      <c r="I21" s="499" t="str">
        <f>IFERROR(VLOOKUP(H21,'G-1 All Habitats'!$Z$2:$AA$9,2,FALSE),"")</f>
        <v/>
      </c>
      <c r="J21" s="145"/>
      <c r="K21" s="520" t="str">
        <f>IF(J21="","",IF(VLOOKUP(J21,'G-3 Multipliers'!$L$3:$N$6,2,FALSE)=0,"Spatial Data Missing ⚠",VLOOKUP(J21,'G-3 Multipliers'!$L$3:$N$6,2,FALSE)))</f>
        <v/>
      </c>
      <c r="L21" s="505" t="str">
        <f>IF(J21="","",IF(VLOOKUP(J21,'G-3 Multipliers'!$L$3:$N$6,3,FALSE)=0,"Spatial Data Missing ⚠",VLOOKUP(J21,'G-3 Multipliers'!$L$3:$N$6,3,FALSE)))</f>
        <v/>
      </c>
      <c r="M21" s="498" t="str">
        <f>IF(OR(D21="",H21=""),"",(INDEX('G-6 Hedgerow Data'!$E$3:$I$15,MATCH(D21,'G-6 Hedgerow Data'!$B$3:$B$15,0),MATCH(H21,'G-6 Hedgerow Data'!$E$2:$I$2,0))))</f>
        <v/>
      </c>
      <c r="N21" s="195"/>
      <c r="O21" s="195"/>
      <c r="P21" s="507" t="str">
        <f t="shared" si="1"/>
        <v/>
      </c>
      <c r="Q21" s="521" t="str">
        <f t="shared" si="2"/>
        <v/>
      </c>
      <c r="R21" s="522" t="str">
        <f t="shared" si="0"/>
        <v/>
      </c>
      <c r="S21" s="537" t="str">
        <f>IF(D21="","",VLOOKUP(D21,'G-6 Hedgerow Data'!$B$3:$AG$15,31,FALSE))</f>
        <v/>
      </c>
      <c r="T21" s="507" t="str">
        <f t="shared" si="3"/>
        <v/>
      </c>
      <c r="U21" s="507" t="str">
        <f t="shared" si="4"/>
        <v/>
      </c>
      <c r="V21" s="524" t="str">
        <f>IF(D21="","",VLOOKUP(S21,'G-3 Multipliers'!$P$3:$Q$6,2,FALSE))</f>
        <v/>
      </c>
      <c r="W21" s="529" t="str">
        <f t="shared" si="5"/>
        <v/>
      </c>
      <c r="X21" s="149"/>
      <c r="Y21" s="150"/>
      <c r="AG21" s="31" t="str">
        <f>IFERROR(INDEX('G-6 Hedgerow Data'!$BJ$3:$BJ$15,MATCH(D21,'G-6 Hedgerow Data'!$B$3:$B$15,0)),"")</f>
        <v/>
      </c>
    </row>
    <row r="22" spans="2:33" ht="13.8" x14ac:dyDescent="0.25">
      <c r="B22" s="141">
        <v>11</v>
      </c>
      <c r="C22" s="205"/>
      <c r="D22" s="195"/>
      <c r="E22" s="172"/>
      <c r="F22" s="553" t="str">
        <f>IF(D22="","",VLOOKUP(D22,'G-6 Hedgerow Data'!$B$2:$AG$15,2,FALSE))</f>
        <v/>
      </c>
      <c r="G22" s="499" t="str">
        <f>IF(D22="","",VLOOKUP(D22,'G-6 Hedgerow Data'!$B$2:$AG$15,3,FALSE))</f>
        <v/>
      </c>
      <c r="H22" s="145"/>
      <c r="I22" s="499" t="str">
        <f>IFERROR(VLOOKUP(H22,'G-1 All Habitats'!$Z$2:$AA$9,2,FALSE),"")</f>
        <v/>
      </c>
      <c r="J22" s="145"/>
      <c r="K22" s="520" t="str">
        <f>IF(J22="","",IF(VLOOKUP(J22,'G-3 Multipliers'!$L$3:$N$6,2,FALSE)=0,"Spatial Data Missing ⚠",VLOOKUP(J22,'G-3 Multipliers'!$L$3:$N$6,2,FALSE)))</f>
        <v/>
      </c>
      <c r="L22" s="505" t="str">
        <f>IF(J22="","",IF(VLOOKUP(J22,'G-3 Multipliers'!$L$3:$N$6,3,FALSE)=0,"Spatial Data Missing ⚠",VLOOKUP(J22,'G-3 Multipliers'!$L$3:$N$6,3,FALSE)))</f>
        <v/>
      </c>
      <c r="M22" s="498" t="str">
        <f>IF(OR(D22="",H22=""),"",(INDEX('G-6 Hedgerow Data'!$E$3:$I$15,MATCH(D22,'G-6 Hedgerow Data'!$B$3:$B$15,0),MATCH(H22,'G-6 Hedgerow Data'!$E$2:$I$2,0))))</f>
        <v/>
      </c>
      <c r="N22" s="195"/>
      <c r="O22" s="195"/>
      <c r="P22" s="507" t="str">
        <f t="shared" si="1"/>
        <v/>
      </c>
      <c r="Q22" s="521" t="str">
        <f t="shared" si="2"/>
        <v/>
      </c>
      <c r="R22" s="522" t="str">
        <f t="shared" si="0"/>
        <v/>
      </c>
      <c r="S22" s="537" t="str">
        <f>IF(D22="","",VLOOKUP(D22,'G-6 Hedgerow Data'!$B$3:$AG$15,31,FALSE))</f>
        <v/>
      </c>
      <c r="T22" s="507" t="str">
        <f t="shared" si="3"/>
        <v/>
      </c>
      <c r="U22" s="507" t="str">
        <f t="shared" si="4"/>
        <v/>
      </c>
      <c r="V22" s="524" t="str">
        <f>IF(D22="","",VLOOKUP(S22,'G-3 Multipliers'!$P$3:$Q$6,2,FALSE))</f>
        <v/>
      </c>
      <c r="W22" s="529" t="str">
        <f t="shared" si="5"/>
        <v/>
      </c>
      <c r="X22" s="149"/>
      <c r="Y22" s="150"/>
      <c r="AG22" s="31" t="str">
        <f>IFERROR(INDEX('G-6 Hedgerow Data'!$BJ$3:$BJ$15,MATCH(D22,'G-6 Hedgerow Data'!$B$3:$B$15,0)),"")</f>
        <v/>
      </c>
    </row>
    <row r="23" spans="2:33" ht="13.8" x14ac:dyDescent="0.25">
      <c r="B23" s="141">
        <v>12</v>
      </c>
      <c r="C23" s="205"/>
      <c r="D23" s="195"/>
      <c r="E23" s="172"/>
      <c r="F23" s="553" t="str">
        <f>IF(D23="","",VLOOKUP(D23,'G-6 Hedgerow Data'!$B$2:$AG$15,2,FALSE))</f>
        <v/>
      </c>
      <c r="G23" s="499" t="str">
        <f>IF(D23="","",VLOOKUP(D23,'G-6 Hedgerow Data'!$B$2:$AG$15,3,FALSE))</f>
        <v/>
      </c>
      <c r="H23" s="145"/>
      <c r="I23" s="499" t="str">
        <f>IFERROR(VLOOKUP(H23,'G-1 All Habitats'!$Z$2:$AA$9,2,FALSE),"")</f>
        <v/>
      </c>
      <c r="J23" s="145"/>
      <c r="K23" s="520" t="str">
        <f>IF(J23="","",IF(VLOOKUP(J23,'G-3 Multipliers'!$L$3:$N$6,2,FALSE)=0,"Spatial Data Missing ⚠",VLOOKUP(J23,'G-3 Multipliers'!$L$3:$N$6,2,FALSE)))</f>
        <v/>
      </c>
      <c r="L23" s="505" t="str">
        <f>IF(J23="","",IF(VLOOKUP(J23,'G-3 Multipliers'!$L$3:$N$6,3,FALSE)=0,"Spatial Data Missing ⚠",VLOOKUP(J23,'G-3 Multipliers'!$L$3:$N$6,3,FALSE)))</f>
        <v/>
      </c>
      <c r="M23" s="498" t="str">
        <f>IF(OR(D23="",H23=""),"",(INDEX('G-6 Hedgerow Data'!$E$3:$I$15,MATCH(D23,'G-6 Hedgerow Data'!$B$3:$B$15,0),MATCH(H23,'G-6 Hedgerow Data'!$E$2:$I$2,0))))</f>
        <v/>
      </c>
      <c r="N23" s="195"/>
      <c r="O23" s="195"/>
      <c r="P23" s="507" t="str">
        <f t="shared" si="1"/>
        <v/>
      </c>
      <c r="Q23" s="521" t="str">
        <f t="shared" si="2"/>
        <v/>
      </c>
      <c r="R23" s="522" t="str">
        <f t="shared" si="0"/>
        <v/>
      </c>
      <c r="S23" s="537" t="str">
        <f>IF(D23="","",VLOOKUP(D23,'G-6 Hedgerow Data'!$B$3:$AG$15,31,FALSE))</f>
        <v/>
      </c>
      <c r="T23" s="507" t="str">
        <f t="shared" si="3"/>
        <v/>
      </c>
      <c r="U23" s="507" t="str">
        <f t="shared" si="4"/>
        <v/>
      </c>
      <c r="V23" s="524" t="str">
        <f>IF(D23="","",VLOOKUP(S23,'G-3 Multipliers'!$P$3:$Q$6,2,FALSE))</f>
        <v/>
      </c>
      <c r="W23" s="529" t="str">
        <f t="shared" si="5"/>
        <v/>
      </c>
      <c r="X23" s="149"/>
      <c r="Y23" s="150"/>
      <c r="AG23" s="31" t="str">
        <f>IFERROR(INDEX('G-6 Hedgerow Data'!$BJ$3:$BJ$15,MATCH(D23,'G-6 Hedgerow Data'!$B$3:$B$15,0)),"")</f>
        <v/>
      </c>
    </row>
    <row r="24" spans="2:33" ht="13.8" x14ac:dyDescent="0.25">
      <c r="B24" s="141">
        <v>13</v>
      </c>
      <c r="C24" s="205"/>
      <c r="D24" s="195"/>
      <c r="E24" s="172"/>
      <c r="F24" s="553" t="str">
        <f>IF(D24="","",VLOOKUP(D24,'G-6 Hedgerow Data'!$B$2:$AG$15,2,FALSE))</f>
        <v/>
      </c>
      <c r="G24" s="499" t="str">
        <f>IF(D24="","",VLOOKUP(D24,'G-6 Hedgerow Data'!$B$2:$AG$15,3,FALSE))</f>
        <v/>
      </c>
      <c r="H24" s="145"/>
      <c r="I24" s="499" t="str">
        <f>IFERROR(VLOOKUP(H24,'G-1 All Habitats'!$Z$2:$AA$9,2,FALSE),"")</f>
        <v/>
      </c>
      <c r="J24" s="145"/>
      <c r="K24" s="520" t="str">
        <f>IF(J24="","",IF(VLOOKUP(J24,'G-3 Multipliers'!$L$3:$N$6,2,FALSE)=0,"Spatial Data Missing ⚠",VLOOKUP(J24,'G-3 Multipliers'!$L$3:$N$6,2,FALSE)))</f>
        <v/>
      </c>
      <c r="L24" s="505" t="str">
        <f>IF(J24="","",IF(VLOOKUP(J24,'G-3 Multipliers'!$L$3:$N$6,3,FALSE)=0,"Spatial Data Missing ⚠",VLOOKUP(J24,'G-3 Multipliers'!$L$3:$N$6,3,FALSE)))</f>
        <v/>
      </c>
      <c r="M24" s="498" t="str">
        <f>IF(OR(D24="",H24=""),"",(INDEX('G-6 Hedgerow Data'!$E$3:$I$15,MATCH(D24,'G-6 Hedgerow Data'!$B$3:$B$15,0),MATCH(H24,'G-6 Hedgerow Data'!$E$2:$I$2,0))))</f>
        <v/>
      </c>
      <c r="N24" s="195"/>
      <c r="O24" s="195"/>
      <c r="P24" s="507" t="str">
        <f t="shared" si="1"/>
        <v/>
      </c>
      <c r="Q24" s="521" t="str">
        <f t="shared" si="2"/>
        <v/>
      </c>
      <c r="R24" s="522" t="str">
        <f t="shared" si="0"/>
        <v/>
      </c>
      <c r="S24" s="537" t="str">
        <f>IF(D24="","",VLOOKUP(D24,'G-6 Hedgerow Data'!$B$3:$AG$15,31,FALSE))</f>
        <v/>
      </c>
      <c r="T24" s="507" t="str">
        <f t="shared" si="3"/>
        <v/>
      </c>
      <c r="U24" s="507" t="str">
        <f t="shared" si="4"/>
        <v/>
      </c>
      <c r="V24" s="524" t="str">
        <f>IF(D24="","",VLOOKUP(S24,'G-3 Multipliers'!$P$3:$Q$6,2,FALSE))</f>
        <v/>
      </c>
      <c r="W24" s="529" t="str">
        <f t="shared" si="5"/>
        <v/>
      </c>
      <c r="X24" s="149"/>
      <c r="Y24" s="150"/>
      <c r="AG24" s="31" t="str">
        <f>IFERROR(INDEX('G-6 Hedgerow Data'!$BJ$3:$BJ$15,MATCH(D24,'G-6 Hedgerow Data'!$B$3:$B$15,0)),"")</f>
        <v/>
      </c>
    </row>
    <row r="25" spans="2:33" ht="13.8" x14ac:dyDescent="0.25">
      <c r="B25" s="141">
        <v>14</v>
      </c>
      <c r="C25" s="205"/>
      <c r="D25" s="195"/>
      <c r="E25" s="172"/>
      <c r="F25" s="553" t="str">
        <f>IF(D25="","",VLOOKUP(D25,'G-6 Hedgerow Data'!$B$2:$AG$15,2,FALSE))</f>
        <v/>
      </c>
      <c r="G25" s="499" t="str">
        <f>IF(D25="","",VLOOKUP(D25,'G-6 Hedgerow Data'!$B$2:$AG$15,3,FALSE))</f>
        <v/>
      </c>
      <c r="H25" s="145"/>
      <c r="I25" s="499" t="str">
        <f>IFERROR(VLOOKUP(H25,'G-1 All Habitats'!$Z$2:$AA$9,2,FALSE),"")</f>
        <v/>
      </c>
      <c r="J25" s="145"/>
      <c r="K25" s="520" t="str">
        <f>IF(J25="","",IF(VLOOKUP(J25,'G-3 Multipliers'!$L$3:$N$6,2,FALSE)=0,"Spatial Data Missing ⚠",VLOOKUP(J25,'G-3 Multipliers'!$L$3:$N$6,2,FALSE)))</f>
        <v/>
      </c>
      <c r="L25" s="505" t="str">
        <f>IF(J25="","",IF(VLOOKUP(J25,'G-3 Multipliers'!$L$3:$N$6,3,FALSE)=0,"Spatial Data Missing ⚠",VLOOKUP(J25,'G-3 Multipliers'!$L$3:$N$6,3,FALSE)))</f>
        <v/>
      </c>
      <c r="M25" s="498" t="str">
        <f>IF(OR(D25="",H25=""),"",(INDEX('G-6 Hedgerow Data'!$E$3:$I$15,MATCH(D25,'G-6 Hedgerow Data'!$B$3:$B$15,0),MATCH(H25,'G-6 Hedgerow Data'!$E$2:$I$2,0))))</f>
        <v/>
      </c>
      <c r="N25" s="195"/>
      <c r="O25" s="195"/>
      <c r="P25" s="507" t="str">
        <f t="shared" si="1"/>
        <v/>
      </c>
      <c r="Q25" s="521" t="str">
        <f t="shared" si="2"/>
        <v/>
      </c>
      <c r="R25" s="522" t="str">
        <f t="shared" si="0"/>
        <v/>
      </c>
      <c r="S25" s="537" t="str">
        <f>IF(D25="","",VLOOKUP(D25,'G-6 Hedgerow Data'!$B$3:$AG$15,31,FALSE))</f>
        <v/>
      </c>
      <c r="T25" s="507" t="str">
        <f t="shared" si="3"/>
        <v/>
      </c>
      <c r="U25" s="507" t="str">
        <f t="shared" si="4"/>
        <v/>
      </c>
      <c r="V25" s="524" t="str">
        <f>IF(D25="","",VLOOKUP(S25,'G-3 Multipliers'!$P$3:$Q$6,2,FALSE))</f>
        <v/>
      </c>
      <c r="W25" s="529" t="str">
        <f t="shared" si="5"/>
        <v/>
      </c>
      <c r="X25" s="149"/>
      <c r="Y25" s="150"/>
      <c r="AG25" s="31" t="str">
        <f>IFERROR(INDEX('G-6 Hedgerow Data'!$BJ$3:$BJ$15,MATCH(D25,'G-6 Hedgerow Data'!$B$3:$B$15,0)),"")</f>
        <v/>
      </c>
    </row>
    <row r="26" spans="2:33" ht="13.8" x14ac:dyDescent="0.25">
      <c r="B26" s="141">
        <v>15</v>
      </c>
      <c r="C26" s="205"/>
      <c r="D26" s="195"/>
      <c r="E26" s="172"/>
      <c r="F26" s="553" t="str">
        <f>IF(D26="","",VLOOKUP(D26,'G-6 Hedgerow Data'!$B$2:$AG$15,2,FALSE))</f>
        <v/>
      </c>
      <c r="G26" s="499" t="str">
        <f>IF(D26="","",VLOOKUP(D26,'G-6 Hedgerow Data'!$B$2:$AG$15,3,FALSE))</f>
        <v/>
      </c>
      <c r="H26" s="145"/>
      <c r="I26" s="499" t="str">
        <f>IFERROR(VLOOKUP(H26,'G-1 All Habitats'!$Z$2:$AA$9,2,FALSE),"")</f>
        <v/>
      </c>
      <c r="J26" s="145"/>
      <c r="K26" s="520" t="str">
        <f>IF(J26="","",IF(VLOOKUP(J26,'G-3 Multipliers'!$L$3:$N$6,2,FALSE)=0,"Spatial Data Missing ⚠",VLOOKUP(J26,'G-3 Multipliers'!$L$3:$N$6,2,FALSE)))</f>
        <v/>
      </c>
      <c r="L26" s="505" t="str">
        <f>IF(J26="","",IF(VLOOKUP(J26,'G-3 Multipliers'!$L$3:$N$6,3,FALSE)=0,"Spatial Data Missing ⚠",VLOOKUP(J26,'G-3 Multipliers'!$L$3:$N$6,3,FALSE)))</f>
        <v/>
      </c>
      <c r="M26" s="498" t="str">
        <f>IF(OR(D26="",H26=""),"",(INDEX('G-6 Hedgerow Data'!$E$3:$I$15,MATCH(D26,'G-6 Hedgerow Data'!$B$3:$B$15,0),MATCH(H26,'G-6 Hedgerow Data'!$E$2:$I$2,0))))</f>
        <v/>
      </c>
      <c r="N26" s="195"/>
      <c r="O26" s="195"/>
      <c r="P26" s="507" t="str">
        <f t="shared" si="1"/>
        <v/>
      </c>
      <c r="Q26" s="521" t="str">
        <f t="shared" si="2"/>
        <v/>
      </c>
      <c r="R26" s="522" t="str">
        <f t="shared" si="0"/>
        <v/>
      </c>
      <c r="S26" s="537" t="str">
        <f>IF(D26="","",VLOOKUP(D26,'G-6 Hedgerow Data'!$B$3:$AG$15,31,FALSE))</f>
        <v/>
      </c>
      <c r="T26" s="507" t="str">
        <f t="shared" si="3"/>
        <v/>
      </c>
      <c r="U26" s="507" t="str">
        <f t="shared" si="4"/>
        <v/>
      </c>
      <c r="V26" s="524" t="str">
        <f>IF(D26="","",VLOOKUP(S26,'G-3 Multipliers'!$P$3:$Q$6,2,FALSE))</f>
        <v/>
      </c>
      <c r="W26" s="529" t="str">
        <f t="shared" si="5"/>
        <v/>
      </c>
      <c r="X26" s="149"/>
      <c r="Y26" s="150"/>
      <c r="AG26" s="31" t="str">
        <f>IFERROR(INDEX('G-6 Hedgerow Data'!$BJ$3:$BJ$15,MATCH(D26,'G-6 Hedgerow Data'!$B$3:$B$15,0)),"")</f>
        <v/>
      </c>
    </row>
    <row r="27" spans="2:33" ht="13.8" x14ac:dyDescent="0.25">
      <c r="B27" s="141">
        <v>16</v>
      </c>
      <c r="C27" s="205"/>
      <c r="D27" s="195"/>
      <c r="E27" s="172"/>
      <c r="F27" s="553" t="str">
        <f>IF(D27="","",VLOOKUP(D27,'G-6 Hedgerow Data'!$B$2:$AG$15,2,FALSE))</f>
        <v/>
      </c>
      <c r="G27" s="499" t="str">
        <f>IF(D27="","",VLOOKUP(D27,'G-6 Hedgerow Data'!$B$2:$AG$15,3,FALSE))</f>
        <v/>
      </c>
      <c r="H27" s="145"/>
      <c r="I27" s="499" t="str">
        <f>IFERROR(VLOOKUP(H27,'G-1 All Habitats'!$Z$2:$AA$9,2,FALSE),"")</f>
        <v/>
      </c>
      <c r="J27" s="145"/>
      <c r="K27" s="520" t="str">
        <f>IF(J27="","",IF(VLOOKUP(J27,'G-3 Multipliers'!$L$3:$N$6,2,FALSE)=0,"Spatial Data Missing ⚠",VLOOKUP(J27,'G-3 Multipliers'!$L$3:$N$6,2,FALSE)))</f>
        <v/>
      </c>
      <c r="L27" s="505" t="str">
        <f>IF(J27="","",IF(VLOOKUP(J27,'G-3 Multipliers'!$L$3:$N$6,3,FALSE)=0,"Spatial Data Missing ⚠",VLOOKUP(J27,'G-3 Multipliers'!$L$3:$N$6,3,FALSE)))</f>
        <v/>
      </c>
      <c r="M27" s="498" t="str">
        <f>IF(OR(D27="",H27=""),"",(INDEX('G-6 Hedgerow Data'!$E$3:$I$15,MATCH(D27,'G-6 Hedgerow Data'!$B$3:$B$15,0),MATCH(H27,'G-6 Hedgerow Data'!$E$2:$I$2,0))))</f>
        <v/>
      </c>
      <c r="N27" s="195"/>
      <c r="O27" s="195"/>
      <c r="P27" s="507" t="str">
        <f t="shared" si="1"/>
        <v/>
      </c>
      <c r="Q27" s="521" t="str">
        <f t="shared" si="2"/>
        <v/>
      </c>
      <c r="R27" s="522" t="str">
        <f t="shared" si="0"/>
        <v/>
      </c>
      <c r="S27" s="537" t="str">
        <f>IF(D27="","",VLOOKUP(D27,'G-6 Hedgerow Data'!$B$3:$AG$15,31,FALSE))</f>
        <v/>
      </c>
      <c r="T27" s="507" t="str">
        <f t="shared" si="3"/>
        <v/>
      </c>
      <c r="U27" s="507" t="str">
        <f t="shared" si="4"/>
        <v/>
      </c>
      <c r="V27" s="524" t="str">
        <f>IF(D27="","",VLOOKUP(S27,'G-3 Multipliers'!$P$3:$Q$6,2,FALSE))</f>
        <v/>
      </c>
      <c r="W27" s="529" t="str">
        <f t="shared" si="5"/>
        <v/>
      </c>
      <c r="X27" s="149"/>
      <c r="Y27" s="150"/>
      <c r="AG27" s="31" t="str">
        <f>IFERROR(INDEX('G-6 Hedgerow Data'!$BJ$3:$BJ$15,MATCH(D27,'G-6 Hedgerow Data'!$B$3:$B$15,0)),"")</f>
        <v/>
      </c>
    </row>
    <row r="28" spans="2:33" ht="13.8" x14ac:dyDescent="0.25">
      <c r="B28" s="141">
        <v>17</v>
      </c>
      <c r="C28" s="205"/>
      <c r="D28" s="195"/>
      <c r="E28" s="172"/>
      <c r="F28" s="553" t="str">
        <f>IF(D28="","",VLOOKUP(D28,'G-6 Hedgerow Data'!$B$2:$AG$15,2,FALSE))</f>
        <v/>
      </c>
      <c r="G28" s="499" t="str">
        <f>IF(D28="","",VLOOKUP(D28,'G-6 Hedgerow Data'!$B$2:$AG$15,3,FALSE))</f>
        <v/>
      </c>
      <c r="H28" s="145"/>
      <c r="I28" s="499" t="str">
        <f>IFERROR(VLOOKUP(H28,'G-1 All Habitats'!$Z$2:$AA$9,2,FALSE),"")</f>
        <v/>
      </c>
      <c r="J28" s="145"/>
      <c r="K28" s="520" t="str">
        <f>IF(J28="","",IF(VLOOKUP(J28,'G-3 Multipliers'!$L$3:$N$6,2,FALSE)=0,"Spatial Data Missing ⚠",VLOOKUP(J28,'G-3 Multipliers'!$L$3:$N$6,2,FALSE)))</f>
        <v/>
      </c>
      <c r="L28" s="505" t="str">
        <f>IF(J28="","",IF(VLOOKUP(J28,'G-3 Multipliers'!$L$3:$N$6,3,FALSE)=0,"Spatial Data Missing ⚠",VLOOKUP(J28,'G-3 Multipliers'!$L$3:$N$6,3,FALSE)))</f>
        <v/>
      </c>
      <c r="M28" s="498" t="str">
        <f>IF(OR(D28="",H28=""),"",(INDEX('G-6 Hedgerow Data'!$E$3:$I$15,MATCH(D28,'G-6 Hedgerow Data'!$B$3:$B$15,0),MATCH(H28,'G-6 Hedgerow Data'!$E$2:$I$2,0))))</f>
        <v/>
      </c>
      <c r="N28" s="195"/>
      <c r="O28" s="195"/>
      <c r="P28" s="507" t="str">
        <f t="shared" si="1"/>
        <v/>
      </c>
      <c r="Q28" s="521" t="str">
        <f t="shared" si="2"/>
        <v/>
      </c>
      <c r="R28" s="522" t="str">
        <f t="shared" si="0"/>
        <v/>
      </c>
      <c r="S28" s="537" t="str">
        <f>IF(D28="","",VLOOKUP(D28,'G-6 Hedgerow Data'!$B$3:$AG$15,31,FALSE))</f>
        <v/>
      </c>
      <c r="T28" s="507" t="str">
        <f t="shared" si="3"/>
        <v/>
      </c>
      <c r="U28" s="507" t="str">
        <f t="shared" si="4"/>
        <v/>
      </c>
      <c r="V28" s="524" t="str">
        <f>IF(D28="","",VLOOKUP(S28,'G-3 Multipliers'!$P$3:$Q$6,2,FALSE))</f>
        <v/>
      </c>
      <c r="W28" s="529" t="str">
        <f t="shared" si="5"/>
        <v/>
      </c>
      <c r="X28" s="149"/>
      <c r="Y28" s="150"/>
      <c r="AG28" s="31" t="str">
        <f>IFERROR(INDEX('G-6 Hedgerow Data'!$BJ$3:$BJ$15,MATCH(D28,'G-6 Hedgerow Data'!$B$3:$B$15,0)),"")</f>
        <v/>
      </c>
    </row>
    <row r="29" spans="2:33" ht="13.8" x14ac:dyDescent="0.25">
      <c r="B29" s="141">
        <v>18</v>
      </c>
      <c r="C29" s="205"/>
      <c r="D29" s="195"/>
      <c r="E29" s="172"/>
      <c r="F29" s="553" t="str">
        <f>IF(D29="","",VLOOKUP(D29,'G-6 Hedgerow Data'!$B$2:$AG$15,2,FALSE))</f>
        <v/>
      </c>
      <c r="G29" s="499" t="str">
        <f>IF(D29="","",VLOOKUP(D29,'G-6 Hedgerow Data'!$B$2:$AG$15,3,FALSE))</f>
        <v/>
      </c>
      <c r="H29" s="145"/>
      <c r="I29" s="499" t="str">
        <f>IFERROR(VLOOKUP(H29,'G-1 All Habitats'!$Z$2:$AA$9,2,FALSE),"")</f>
        <v/>
      </c>
      <c r="J29" s="145"/>
      <c r="K29" s="520" t="str">
        <f>IF(J29="","",IF(VLOOKUP(J29,'G-3 Multipliers'!$L$3:$N$6,2,FALSE)=0,"Spatial Data Missing ⚠",VLOOKUP(J29,'G-3 Multipliers'!$L$3:$N$6,2,FALSE)))</f>
        <v/>
      </c>
      <c r="L29" s="505" t="str">
        <f>IF(J29="","",IF(VLOOKUP(J29,'G-3 Multipliers'!$L$3:$N$6,3,FALSE)=0,"Spatial Data Missing ⚠",VLOOKUP(J29,'G-3 Multipliers'!$L$3:$N$6,3,FALSE)))</f>
        <v/>
      </c>
      <c r="M29" s="498" t="str">
        <f>IF(OR(D29="",H29=""),"",(INDEX('G-6 Hedgerow Data'!$E$3:$I$15,MATCH(D29,'G-6 Hedgerow Data'!$B$3:$B$15,0),MATCH(H29,'G-6 Hedgerow Data'!$E$2:$I$2,0))))</f>
        <v/>
      </c>
      <c r="N29" s="195"/>
      <c r="O29" s="195"/>
      <c r="P29" s="507" t="str">
        <f t="shared" si="1"/>
        <v/>
      </c>
      <c r="Q29" s="521" t="str">
        <f t="shared" si="2"/>
        <v/>
      </c>
      <c r="R29" s="522" t="str">
        <f t="shared" si="0"/>
        <v/>
      </c>
      <c r="S29" s="537" t="str">
        <f>IF(D29="","",VLOOKUP(D29,'G-6 Hedgerow Data'!$B$3:$AG$15,31,FALSE))</f>
        <v/>
      </c>
      <c r="T29" s="507" t="str">
        <f t="shared" si="3"/>
        <v/>
      </c>
      <c r="U29" s="507" t="str">
        <f t="shared" si="4"/>
        <v/>
      </c>
      <c r="V29" s="524" t="str">
        <f>IF(D29="","",VLOOKUP(S29,'G-3 Multipliers'!$P$3:$Q$6,2,FALSE))</f>
        <v/>
      </c>
      <c r="W29" s="529" t="str">
        <f t="shared" si="5"/>
        <v/>
      </c>
      <c r="X29" s="149"/>
      <c r="Y29" s="150"/>
      <c r="AG29" s="31" t="str">
        <f>IFERROR(INDEX('G-6 Hedgerow Data'!$BJ$3:$BJ$15,MATCH(D29,'G-6 Hedgerow Data'!$B$3:$B$15,0)),"")</f>
        <v/>
      </c>
    </row>
    <row r="30" spans="2:33" ht="13.8" x14ac:dyDescent="0.25">
      <c r="B30" s="141">
        <v>19</v>
      </c>
      <c r="C30" s="205"/>
      <c r="D30" s="195"/>
      <c r="E30" s="172"/>
      <c r="F30" s="553" t="str">
        <f>IF(D30="","",VLOOKUP(D30,'G-6 Hedgerow Data'!$B$2:$AG$15,2,FALSE))</f>
        <v/>
      </c>
      <c r="G30" s="499" t="str">
        <f>IF(D30="","",VLOOKUP(D30,'G-6 Hedgerow Data'!$B$2:$AG$15,3,FALSE))</f>
        <v/>
      </c>
      <c r="H30" s="145"/>
      <c r="I30" s="499" t="str">
        <f>IFERROR(VLOOKUP(H30,'G-1 All Habitats'!$Z$2:$AA$9,2,FALSE),"")</f>
        <v/>
      </c>
      <c r="J30" s="145"/>
      <c r="K30" s="520" t="str">
        <f>IF(J30="","",IF(VLOOKUP(J30,'G-3 Multipliers'!$L$3:$N$6,2,FALSE)=0,"Spatial Data Missing ⚠",VLOOKUP(J30,'G-3 Multipliers'!$L$3:$N$6,2,FALSE)))</f>
        <v/>
      </c>
      <c r="L30" s="505" t="str">
        <f>IF(J30="","",IF(VLOOKUP(J30,'G-3 Multipliers'!$L$3:$N$6,3,FALSE)=0,"Spatial Data Missing ⚠",VLOOKUP(J30,'G-3 Multipliers'!$L$3:$N$6,3,FALSE)))</f>
        <v/>
      </c>
      <c r="M30" s="498" t="str">
        <f>IF(OR(D30="",H30=""),"",(INDEX('G-6 Hedgerow Data'!$E$3:$I$15,MATCH(D30,'G-6 Hedgerow Data'!$B$3:$B$15,0),MATCH(H30,'G-6 Hedgerow Data'!$E$2:$I$2,0))))</f>
        <v/>
      </c>
      <c r="N30" s="195"/>
      <c r="O30" s="195"/>
      <c r="P30" s="507" t="str">
        <f t="shared" si="1"/>
        <v/>
      </c>
      <c r="Q30" s="521" t="str">
        <f t="shared" si="2"/>
        <v/>
      </c>
      <c r="R30" s="522" t="str">
        <f t="shared" si="0"/>
        <v/>
      </c>
      <c r="S30" s="537" t="str">
        <f>IF(D30="","",VLOOKUP(D30,'G-6 Hedgerow Data'!$B$3:$AG$15,31,FALSE))</f>
        <v/>
      </c>
      <c r="T30" s="507" t="str">
        <f t="shared" si="3"/>
        <v/>
      </c>
      <c r="U30" s="507" t="str">
        <f t="shared" si="4"/>
        <v/>
      </c>
      <c r="V30" s="524" t="str">
        <f>IF(D30="","",VLOOKUP(S30,'G-3 Multipliers'!$P$3:$Q$6,2,FALSE))</f>
        <v/>
      </c>
      <c r="W30" s="529" t="str">
        <f t="shared" si="5"/>
        <v/>
      </c>
      <c r="X30" s="149"/>
      <c r="Y30" s="150"/>
      <c r="AG30" s="31" t="str">
        <f>IFERROR(INDEX('G-6 Hedgerow Data'!$BJ$3:$BJ$15,MATCH(D30,'G-6 Hedgerow Data'!$B$3:$B$15,0)),"")</f>
        <v/>
      </c>
    </row>
    <row r="31" spans="2:33" ht="13.8" x14ac:dyDescent="0.25">
      <c r="B31" s="141">
        <v>20</v>
      </c>
      <c r="C31" s="205"/>
      <c r="D31" s="195"/>
      <c r="E31" s="172"/>
      <c r="F31" s="553" t="str">
        <f>IF(D31="","",VLOOKUP(D31,'G-6 Hedgerow Data'!$B$2:$AG$15,2,FALSE))</f>
        <v/>
      </c>
      <c r="G31" s="499" t="str">
        <f>IF(D31="","",VLOOKUP(D31,'G-6 Hedgerow Data'!$B$2:$AG$15,3,FALSE))</f>
        <v/>
      </c>
      <c r="H31" s="145"/>
      <c r="I31" s="499" t="str">
        <f>IFERROR(VLOOKUP(H31,'G-1 All Habitats'!$Z$2:$AA$9,2,FALSE),"")</f>
        <v/>
      </c>
      <c r="J31" s="145"/>
      <c r="K31" s="520" t="str">
        <f>IF(J31="","",IF(VLOOKUP(J31,'G-3 Multipliers'!$L$3:$N$6,2,FALSE)=0,"Spatial Data Missing ⚠",VLOOKUP(J31,'G-3 Multipliers'!$L$3:$N$6,2,FALSE)))</f>
        <v/>
      </c>
      <c r="L31" s="505" t="str">
        <f>IF(J31="","",IF(VLOOKUP(J31,'G-3 Multipliers'!$L$3:$N$6,3,FALSE)=0,"Spatial Data Missing ⚠",VLOOKUP(J31,'G-3 Multipliers'!$L$3:$N$6,3,FALSE)))</f>
        <v/>
      </c>
      <c r="M31" s="498" t="str">
        <f>IF(OR(D31="",H31=""),"",(INDEX('G-6 Hedgerow Data'!$E$3:$I$15,MATCH(D31,'G-6 Hedgerow Data'!$B$3:$B$15,0),MATCH(H31,'G-6 Hedgerow Data'!$E$2:$I$2,0))))</f>
        <v/>
      </c>
      <c r="N31" s="195"/>
      <c r="O31" s="195"/>
      <c r="P31" s="507" t="str">
        <f t="shared" si="1"/>
        <v/>
      </c>
      <c r="Q31" s="521" t="str">
        <f t="shared" si="2"/>
        <v/>
      </c>
      <c r="R31" s="522" t="str">
        <f t="shared" si="0"/>
        <v/>
      </c>
      <c r="S31" s="537" t="str">
        <f>IF(D31="","",VLOOKUP(D31,'G-6 Hedgerow Data'!$B$3:$AG$15,31,FALSE))</f>
        <v/>
      </c>
      <c r="T31" s="507" t="str">
        <f t="shared" si="3"/>
        <v/>
      </c>
      <c r="U31" s="507" t="str">
        <f t="shared" si="4"/>
        <v/>
      </c>
      <c r="V31" s="524" t="str">
        <f>IF(D31="","",VLOOKUP(S31,'G-3 Multipliers'!$P$3:$Q$6,2,FALSE))</f>
        <v/>
      </c>
      <c r="W31" s="529" t="str">
        <f t="shared" si="5"/>
        <v/>
      </c>
      <c r="X31" s="149"/>
      <c r="Y31" s="150"/>
      <c r="AG31" s="31" t="str">
        <f>IFERROR(INDEX('G-6 Hedgerow Data'!$BJ$3:$BJ$15,MATCH(D31,'G-6 Hedgerow Data'!$B$3:$B$15,0)),"")</f>
        <v/>
      </c>
    </row>
    <row r="32" spans="2:33" ht="13.8" x14ac:dyDescent="0.25">
      <c r="B32" s="141">
        <v>21</v>
      </c>
      <c r="C32" s="205"/>
      <c r="D32" s="195"/>
      <c r="E32" s="172"/>
      <c r="F32" s="553" t="str">
        <f>IF(D32="","",VLOOKUP(D32,'G-6 Hedgerow Data'!$B$2:$AG$15,2,FALSE))</f>
        <v/>
      </c>
      <c r="G32" s="499" t="str">
        <f>IF(D32="","",VLOOKUP(D32,'G-6 Hedgerow Data'!$B$2:$AG$15,3,FALSE))</f>
        <v/>
      </c>
      <c r="H32" s="145"/>
      <c r="I32" s="499" t="str">
        <f>IFERROR(VLOOKUP(H32,'G-1 All Habitats'!$Z$2:$AA$9,2,FALSE),"")</f>
        <v/>
      </c>
      <c r="J32" s="145"/>
      <c r="K32" s="520" t="str">
        <f>IF(J32="","",IF(VLOOKUP(J32,'G-3 Multipliers'!$L$3:$N$6,2,FALSE)=0,"Spatial Data Missing ⚠",VLOOKUP(J32,'G-3 Multipliers'!$L$3:$N$6,2,FALSE)))</f>
        <v/>
      </c>
      <c r="L32" s="505" t="str">
        <f>IF(J32="","",IF(VLOOKUP(J32,'G-3 Multipliers'!$L$3:$N$6,3,FALSE)=0,"Spatial Data Missing ⚠",VLOOKUP(J32,'G-3 Multipliers'!$L$3:$N$6,3,FALSE)))</f>
        <v/>
      </c>
      <c r="M32" s="498" t="str">
        <f>IF(OR(D32="",H32=""),"",(INDEX('G-6 Hedgerow Data'!$E$3:$I$15,MATCH(D32,'G-6 Hedgerow Data'!$B$3:$B$15,0),MATCH(H32,'G-6 Hedgerow Data'!$E$2:$I$2,0))))</f>
        <v/>
      </c>
      <c r="N32" s="195"/>
      <c r="O32" s="195"/>
      <c r="P32" s="507" t="str">
        <f t="shared" si="1"/>
        <v/>
      </c>
      <c r="Q32" s="521" t="str">
        <f t="shared" si="2"/>
        <v/>
      </c>
      <c r="R32" s="522" t="str">
        <f t="shared" si="0"/>
        <v/>
      </c>
      <c r="S32" s="537" t="str">
        <f>IF(D32="","",VLOOKUP(D32,'G-6 Hedgerow Data'!$B$3:$AG$15,31,FALSE))</f>
        <v/>
      </c>
      <c r="T32" s="507" t="str">
        <f t="shared" si="3"/>
        <v/>
      </c>
      <c r="U32" s="507" t="str">
        <f t="shared" si="4"/>
        <v/>
      </c>
      <c r="V32" s="524" t="str">
        <f>IF(D32="","",VLOOKUP(S32,'G-3 Multipliers'!$P$3:$Q$6,2,FALSE))</f>
        <v/>
      </c>
      <c r="W32" s="529" t="str">
        <f t="shared" si="5"/>
        <v/>
      </c>
      <c r="X32" s="149"/>
      <c r="Y32" s="150"/>
      <c r="AG32" s="31" t="str">
        <f>IFERROR(INDEX('G-6 Hedgerow Data'!$BJ$3:$BJ$15,MATCH(D32,'G-6 Hedgerow Data'!$B$3:$B$15,0)),"")</f>
        <v/>
      </c>
    </row>
    <row r="33" spans="2:33" ht="13.8" x14ac:dyDescent="0.25">
      <c r="B33" s="141">
        <v>22</v>
      </c>
      <c r="C33" s="205"/>
      <c r="D33" s="195"/>
      <c r="E33" s="172"/>
      <c r="F33" s="553" t="str">
        <f>IF(D33="","",VLOOKUP(D33,'G-6 Hedgerow Data'!$B$2:$AG$15,2,FALSE))</f>
        <v/>
      </c>
      <c r="G33" s="499" t="str">
        <f>IF(D33="","",VLOOKUP(D33,'G-6 Hedgerow Data'!$B$2:$AG$15,3,FALSE))</f>
        <v/>
      </c>
      <c r="H33" s="145"/>
      <c r="I33" s="499" t="str">
        <f>IFERROR(VLOOKUP(H33,'G-1 All Habitats'!$Z$2:$AA$9,2,FALSE),"")</f>
        <v/>
      </c>
      <c r="J33" s="145"/>
      <c r="K33" s="520" t="str">
        <f>IF(J33="","",IF(VLOOKUP(J33,'G-3 Multipliers'!$L$3:$N$6,2,FALSE)=0,"Spatial Data Missing ⚠",VLOOKUP(J33,'G-3 Multipliers'!$L$3:$N$6,2,FALSE)))</f>
        <v/>
      </c>
      <c r="L33" s="505" t="str">
        <f>IF(J33="","",IF(VLOOKUP(J33,'G-3 Multipliers'!$L$3:$N$6,3,FALSE)=0,"Spatial Data Missing ⚠",VLOOKUP(J33,'G-3 Multipliers'!$L$3:$N$6,3,FALSE)))</f>
        <v/>
      </c>
      <c r="M33" s="498" t="str">
        <f>IF(OR(D33="",H33=""),"",(INDEX('G-6 Hedgerow Data'!$E$3:$I$15,MATCH(D33,'G-6 Hedgerow Data'!$B$3:$B$15,0),MATCH(H33,'G-6 Hedgerow Data'!$E$2:$I$2,0))))</f>
        <v/>
      </c>
      <c r="N33" s="195"/>
      <c r="O33" s="195"/>
      <c r="P33" s="507" t="str">
        <f t="shared" si="1"/>
        <v/>
      </c>
      <c r="Q33" s="521" t="str">
        <f t="shared" si="2"/>
        <v/>
      </c>
      <c r="R33" s="522" t="str">
        <f t="shared" si="0"/>
        <v/>
      </c>
      <c r="S33" s="537" t="str">
        <f>IF(D33="","",VLOOKUP(D33,'G-6 Hedgerow Data'!$B$3:$AG$15,31,FALSE))</f>
        <v/>
      </c>
      <c r="T33" s="507" t="str">
        <f t="shared" si="3"/>
        <v/>
      </c>
      <c r="U33" s="507" t="str">
        <f t="shared" si="4"/>
        <v/>
      </c>
      <c r="V33" s="524" t="str">
        <f>IF(D33="","",VLOOKUP(S33,'G-3 Multipliers'!$P$3:$Q$6,2,FALSE))</f>
        <v/>
      </c>
      <c r="W33" s="529" t="str">
        <f t="shared" si="5"/>
        <v/>
      </c>
      <c r="X33" s="149"/>
      <c r="Y33" s="150"/>
      <c r="AG33" s="31" t="str">
        <f>IFERROR(INDEX('G-6 Hedgerow Data'!$BJ$3:$BJ$15,MATCH(D33,'G-6 Hedgerow Data'!$B$3:$B$15,0)),"")</f>
        <v/>
      </c>
    </row>
    <row r="34" spans="2:33" ht="13.8" x14ac:dyDescent="0.25">
      <c r="B34" s="141">
        <v>23</v>
      </c>
      <c r="C34" s="205"/>
      <c r="D34" s="195"/>
      <c r="E34" s="172"/>
      <c r="F34" s="553" t="str">
        <f>IF(D34="","",VLOOKUP(D34,'G-6 Hedgerow Data'!$B$2:$AG$15,2,FALSE))</f>
        <v/>
      </c>
      <c r="G34" s="499" t="str">
        <f>IF(D34="","",VLOOKUP(D34,'G-6 Hedgerow Data'!$B$2:$AG$15,3,FALSE))</f>
        <v/>
      </c>
      <c r="H34" s="145"/>
      <c r="I34" s="499" t="str">
        <f>IFERROR(VLOOKUP(H34,'G-1 All Habitats'!$Z$2:$AA$9,2,FALSE),"")</f>
        <v/>
      </c>
      <c r="J34" s="145"/>
      <c r="K34" s="520" t="str">
        <f>IF(J34="","",IF(VLOOKUP(J34,'G-3 Multipliers'!$L$3:$N$6,2,FALSE)=0,"Spatial Data Missing ⚠",VLOOKUP(J34,'G-3 Multipliers'!$L$3:$N$6,2,FALSE)))</f>
        <v/>
      </c>
      <c r="L34" s="505" t="str">
        <f>IF(J34="","",IF(VLOOKUP(J34,'G-3 Multipliers'!$L$3:$N$6,3,FALSE)=0,"Spatial Data Missing ⚠",VLOOKUP(J34,'G-3 Multipliers'!$L$3:$N$6,3,FALSE)))</f>
        <v/>
      </c>
      <c r="M34" s="498" t="str">
        <f>IF(OR(D34="",H34=""),"",(INDEX('G-6 Hedgerow Data'!$E$3:$I$15,MATCH(D34,'G-6 Hedgerow Data'!$B$3:$B$15,0),MATCH(H34,'G-6 Hedgerow Data'!$E$2:$I$2,0))))</f>
        <v/>
      </c>
      <c r="N34" s="195"/>
      <c r="O34" s="195"/>
      <c r="P34" s="507" t="str">
        <f t="shared" si="1"/>
        <v/>
      </c>
      <c r="Q34" s="521" t="str">
        <f t="shared" si="2"/>
        <v/>
      </c>
      <c r="R34" s="522" t="str">
        <f t="shared" si="0"/>
        <v/>
      </c>
      <c r="S34" s="537" t="str">
        <f>IF(D34="","",VLOOKUP(D34,'G-6 Hedgerow Data'!$B$3:$AG$15,31,FALSE))</f>
        <v/>
      </c>
      <c r="T34" s="507" t="str">
        <f t="shared" si="3"/>
        <v/>
      </c>
      <c r="U34" s="507" t="str">
        <f t="shared" si="4"/>
        <v/>
      </c>
      <c r="V34" s="524" t="str">
        <f>IF(D34="","",VLOOKUP(S34,'G-3 Multipliers'!$P$3:$Q$6,2,FALSE))</f>
        <v/>
      </c>
      <c r="W34" s="529" t="str">
        <f t="shared" si="5"/>
        <v/>
      </c>
      <c r="X34" s="149"/>
      <c r="Y34" s="150"/>
      <c r="AG34" s="31" t="str">
        <f>IFERROR(INDEX('G-6 Hedgerow Data'!$BJ$3:$BJ$15,MATCH(D34,'G-6 Hedgerow Data'!$B$3:$B$15,0)),"")</f>
        <v/>
      </c>
    </row>
    <row r="35" spans="2:33" ht="13.8" x14ac:dyDescent="0.25">
      <c r="B35" s="141">
        <v>24</v>
      </c>
      <c r="C35" s="205"/>
      <c r="D35" s="195"/>
      <c r="E35" s="172"/>
      <c r="F35" s="553" t="str">
        <f>IF(D35="","",VLOOKUP(D35,'G-6 Hedgerow Data'!$B$2:$AG$15,2,FALSE))</f>
        <v/>
      </c>
      <c r="G35" s="499" t="str">
        <f>IF(D35="","",VLOOKUP(D35,'G-6 Hedgerow Data'!$B$2:$AG$15,3,FALSE))</f>
        <v/>
      </c>
      <c r="H35" s="145"/>
      <c r="I35" s="499" t="str">
        <f>IFERROR(VLOOKUP(H35,'G-1 All Habitats'!$Z$2:$AA$9,2,FALSE),"")</f>
        <v/>
      </c>
      <c r="J35" s="145"/>
      <c r="K35" s="520" t="str">
        <f>IF(J35="","",IF(VLOOKUP(J35,'G-3 Multipliers'!$L$3:$N$6,2,FALSE)=0,"Spatial Data Missing ⚠",VLOOKUP(J35,'G-3 Multipliers'!$L$3:$N$6,2,FALSE)))</f>
        <v/>
      </c>
      <c r="L35" s="505" t="str">
        <f>IF(J35="","",IF(VLOOKUP(J35,'G-3 Multipliers'!$L$3:$N$6,3,FALSE)=0,"Spatial Data Missing ⚠",VLOOKUP(J35,'G-3 Multipliers'!$L$3:$N$6,3,FALSE)))</f>
        <v/>
      </c>
      <c r="M35" s="498" t="str">
        <f>IF(OR(D35="",H35=""),"",(INDEX('G-6 Hedgerow Data'!$E$3:$I$15,MATCH(D35,'G-6 Hedgerow Data'!$B$3:$B$15,0),MATCH(H35,'G-6 Hedgerow Data'!$E$2:$I$2,0))))</f>
        <v/>
      </c>
      <c r="N35" s="195"/>
      <c r="O35" s="195"/>
      <c r="P35" s="507" t="str">
        <f t="shared" si="1"/>
        <v/>
      </c>
      <c r="Q35" s="521" t="str">
        <f t="shared" si="2"/>
        <v/>
      </c>
      <c r="R35" s="522" t="str">
        <f t="shared" si="0"/>
        <v/>
      </c>
      <c r="S35" s="537" t="str">
        <f>IF(D35="","",VLOOKUP(D35,'G-6 Hedgerow Data'!$B$3:$AG$15,31,FALSE))</f>
        <v/>
      </c>
      <c r="T35" s="507" t="str">
        <f t="shared" si="3"/>
        <v/>
      </c>
      <c r="U35" s="507" t="str">
        <f t="shared" si="4"/>
        <v/>
      </c>
      <c r="V35" s="524" t="str">
        <f>IF(D35="","",VLOOKUP(S35,'G-3 Multipliers'!$P$3:$Q$6,2,FALSE))</f>
        <v/>
      </c>
      <c r="W35" s="529" t="str">
        <f t="shared" si="5"/>
        <v/>
      </c>
      <c r="X35" s="149"/>
      <c r="Y35" s="150"/>
      <c r="AG35" s="31" t="str">
        <f>IFERROR(INDEX('G-6 Hedgerow Data'!$BJ$3:$BJ$15,MATCH(D35,'G-6 Hedgerow Data'!$B$3:$B$15,0)),"")</f>
        <v/>
      </c>
    </row>
    <row r="36" spans="2:33" ht="13.8" x14ac:dyDescent="0.25">
      <c r="B36" s="141">
        <v>25</v>
      </c>
      <c r="C36" s="205"/>
      <c r="D36" s="195"/>
      <c r="E36" s="172"/>
      <c r="F36" s="553" t="str">
        <f>IF(D36="","",VLOOKUP(D36,'G-6 Hedgerow Data'!$B$2:$AG$15,2,FALSE))</f>
        <v/>
      </c>
      <c r="G36" s="499" t="str">
        <f>IF(D36="","",VLOOKUP(D36,'G-6 Hedgerow Data'!$B$2:$AG$15,3,FALSE))</f>
        <v/>
      </c>
      <c r="H36" s="145"/>
      <c r="I36" s="499" t="str">
        <f>IFERROR(VLOOKUP(H36,'G-1 All Habitats'!$Z$2:$AA$9,2,FALSE),"")</f>
        <v/>
      </c>
      <c r="J36" s="145"/>
      <c r="K36" s="520" t="str">
        <f>IF(J36="","",IF(VLOOKUP(J36,'G-3 Multipliers'!$L$3:$N$6,2,FALSE)=0,"Spatial Data Missing ⚠",VLOOKUP(J36,'G-3 Multipliers'!$L$3:$N$6,2,FALSE)))</f>
        <v/>
      </c>
      <c r="L36" s="505" t="str">
        <f>IF(J36="","",IF(VLOOKUP(J36,'G-3 Multipliers'!$L$3:$N$6,3,FALSE)=0,"Spatial Data Missing ⚠",VLOOKUP(J36,'G-3 Multipliers'!$L$3:$N$6,3,FALSE)))</f>
        <v/>
      </c>
      <c r="M36" s="498" t="str">
        <f>IF(OR(D36="",H36=""),"",(INDEX('G-6 Hedgerow Data'!$E$3:$I$15,MATCH(D36,'G-6 Hedgerow Data'!$B$3:$B$15,0),MATCH(H36,'G-6 Hedgerow Data'!$E$2:$I$2,0))))</f>
        <v/>
      </c>
      <c r="N36" s="195"/>
      <c r="O36" s="195"/>
      <c r="P36" s="507" t="str">
        <f t="shared" si="1"/>
        <v/>
      </c>
      <c r="Q36" s="521" t="str">
        <f t="shared" si="2"/>
        <v/>
      </c>
      <c r="R36" s="522" t="str">
        <f t="shared" si="0"/>
        <v/>
      </c>
      <c r="S36" s="537" t="str">
        <f>IF(D36="","",VLOOKUP(D36,'G-6 Hedgerow Data'!$B$3:$AG$15,31,FALSE))</f>
        <v/>
      </c>
      <c r="T36" s="507" t="str">
        <f t="shared" si="3"/>
        <v/>
      </c>
      <c r="U36" s="507" t="str">
        <f t="shared" si="4"/>
        <v/>
      </c>
      <c r="V36" s="524" t="str">
        <f>IF(D36="","",VLOOKUP(S36,'G-3 Multipliers'!$P$3:$Q$6,2,FALSE))</f>
        <v/>
      </c>
      <c r="W36" s="529" t="str">
        <f t="shared" si="5"/>
        <v/>
      </c>
      <c r="X36" s="149"/>
      <c r="Y36" s="150"/>
      <c r="AG36" s="31" t="str">
        <f>IFERROR(INDEX('G-6 Hedgerow Data'!$BJ$3:$BJ$15,MATCH(D36,'G-6 Hedgerow Data'!$B$3:$B$15,0)),"")</f>
        <v/>
      </c>
    </row>
    <row r="37" spans="2:33" ht="13.8" x14ac:dyDescent="0.25">
      <c r="B37" s="141">
        <v>26</v>
      </c>
      <c r="C37" s="205"/>
      <c r="D37" s="195"/>
      <c r="E37" s="172"/>
      <c r="F37" s="553" t="str">
        <f>IF(D37="","",VLOOKUP(D37,'G-6 Hedgerow Data'!$B$2:$AG$15,2,FALSE))</f>
        <v/>
      </c>
      <c r="G37" s="499" t="str">
        <f>IF(D37="","",VLOOKUP(D37,'G-6 Hedgerow Data'!$B$2:$AG$15,3,FALSE))</f>
        <v/>
      </c>
      <c r="H37" s="145"/>
      <c r="I37" s="499" t="str">
        <f>IFERROR(VLOOKUP(H37,'G-1 All Habitats'!$Z$2:$AA$9,2,FALSE),"")</f>
        <v/>
      </c>
      <c r="J37" s="145"/>
      <c r="K37" s="520" t="str">
        <f>IF(J37="","",IF(VLOOKUP(J37,'G-3 Multipliers'!$L$3:$N$6,2,FALSE)=0,"Spatial Data Missing ⚠",VLOOKUP(J37,'G-3 Multipliers'!$L$3:$N$6,2,FALSE)))</f>
        <v/>
      </c>
      <c r="L37" s="505" t="str">
        <f>IF(J37="","",IF(VLOOKUP(J37,'G-3 Multipliers'!$L$3:$N$6,3,FALSE)=0,"Spatial Data Missing ⚠",VLOOKUP(J37,'G-3 Multipliers'!$L$3:$N$6,3,FALSE)))</f>
        <v/>
      </c>
      <c r="M37" s="498" t="str">
        <f>IF(OR(D37="",H37=""),"",(INDEX('G-6 Hedgerow Data'!$E$3:$I$15,MATCH(D37,'G-6 Hedgerow Data'!$B$3:$B$15,0),MATCH(H37,'G-6 Hedgerow Data'!$E$2:$I$2,0))))</f>
        <v/>
      </c>
      <c r="N37" s="195"/>
      <c r="O37" s="195"/>
      <c r="P37" s="507" t="str">
        <f t="shared" si="1"/>
        <v/>
      </c>
      <c r="Q37" s="521" t="str">
        <f t="shared" si="2"/>
        <v/>
      </c>
      <c r="R37" s="522" t="str">
        <f t="shared" si="0"/>
        <v/>
      </c>
      <c r="S37" s="537" t="str">
        <f>IF(D37="","",VLOOKUP(D37,'G-6 Hedgerow Data'!$B$3:$AG$15,31,FALSE))</f>
        <v/>
      </c>
      <c r="T37" s="507" t="str">
        <f t="shared" si="3"/>
        <v/>
      </c>
      <c r="U37" s="507" t="str">
        <f t="shared" si="4"/>
        <v/>
      </c>
      <c r="V37" s="524" t="str">
        <f>IF(D37="","",VLOOKUP(S37,'G-3 Multipliers'!$P$3:$Q$6,2,FALSE))</f>
        <v/>
      </c>
      <c r="W37" s="529" t="str">
        <f t="shared" si="5"/>
        <v/>
      </c>
      <c r="X37" s="149"/>
      <c r="Y37" s="150"/>
      <c r="AG37" s="31" t="str">
        <f>IFERROR(INDEX('G-6 Hedgerow Data'!$BJ$3:$BJ$15,MATCH(D37,'G-6 Hedgerow Data'!$B$3:$B$15,0)),"")</f>
        <v/>
      </c>
    </row>
    <row r="38" spans="2:33" ht="13.8" x14ac:dyDescent="0.25">
      <c r="B38" s="141">
        <v>27</v>
      </c>
      <c r="C38" s="205"/>
      <c r="D38" s="195"/>
      <c r="E38" s="172"/>
      <c r="F38" s="553" t="str">
        <f>IF(D38="","",VLOOKUP(D38,'G-6 Hedgerow Data'!$B$2:$AG$15,2,FALSE))</f>
        <v/>
      </c>
      <c r="G38" s="499" t="str">
        <f>IF(D38="","",VLOOKUP(D38,'G-6 Hedgerow Data'!$B$2:$AG$15,3,FALSE))</f>
        <v/>
      </c>
      <c r="H38" s="145"/>
      <c r="I38" s="499" t="str">
        <f>IFERROR(VLOOKUP(H38,'G-1 All Habitats'!$Z$2:$AA$9,2,FALSE),"")</f>
        <v/>
      </c>
      <c r="J38" s="145"/>
      <c r="K38" s="520" t="str">
        <f>IF(J38="","",IF(VLOOKUP(J38,'G-3 Multipliers'!$L$3:$N$6,2,FALSE)=0,"Spatial Data Missing ⚠",VLOOKUP(J38,'G-3 Multipliers'!$L$3:$N$6,2,FALSE)))</f>
        <v/>
      </c>
      <c r="L38" s="505" t="str">
        <f>IF(J38="","",IF(VLOOKUP(J38,'G-3 Multipliers'!$L$3:$N$6,3,FALSE)=0,"Spatial Data Missing ⚠",VLOOKUP(J38,'G-3 Multipliers'!$L$3:$N$6,3,FALSE)))</f>
        <v/>
      </c>
      <c r="M38" s="498" t="str">
        <f>IF(OR(D38="",H38=""),"",(INDEX('G-6 Hedgerow Data'!$E$3:$I$15,MATCH(D38,'G-6 Hedgerow Data'!$B$3:$B$15,0),MATCH(H38,'G-6 Hedgerow Data'!$E$2:$I$2,0))))</f>
        <v/>
      </c>
      <c r="N38" s="195"/>
      <c r="O38" s="195"/>
      <c r="P38" s="507" t="str">
        <f t="shared" si="1"/>
        <v/>
      </c>
      <c r="Q38" s="521" t="str">
        <f t="shared" si="2"/>
        <v/>
      </c>
      <c r="R38" s="522" t="str">
        <f t="shared" si="0"/>
        <v/>
      </c>
      <c r="S38" s="537" t="str">
        <f>IF(D38="","",VLOOKUP(D38,'G-6 Hedgerow Data'!$B$3:$AG$15,31,FALSE))</f>
        <v/>
      </c>
      <c r="T38" s="507" t="str">
        <f t="shared" si="3"/>
        <v/>
      </c>
      <c r="U38" s="507" t="str">
        <f t="shared" si="4"/>
        <v/>
      </c>
      <c r="V38" s="524" t="str">
        <f>IF(D38="","",VLOOKUP(S38,'G-3 Multipliers'!$P$3:$Q$6,2,FALSE))</f>
        <v/>
      </c>
      <c r="W38" s="529" t="str">
        <f t="shared" si="5"/>
        <v/>
      </c>
      <c r="X38" s="149"/>
      <c r="Y38" s="150"/>
      <c r="AG38" s="31" t="str">
        <f>IFERROR(INDEX('G-6 Hedgerow Data'!$BJ$3:$BJ$15,MATCH(D38,'G-6 Hedgerow Data'!$B$3:$B$15,0)),"")</f>
        <v/>
      </c>
    </row>
    <row r="39" spans="2:33" ht="13.8" x14ac:dyDescent="0.25">
      <c r="B39" s="141">
        <v>28</v>
      </c>
      <c r="C39" s="205"/>
      <c r="D39" s="195"/>
      <c r="E39" s="172"/>
      <c r="F39" s="553" t="str">
        <f>IF(D39="","",VLOOKUP(D39,'G-6 Hedgerow Data'!$B$2:$AG$15,2,FALSE))</f>
        <v/>
      </c>
      <c r="G39" s="499" t="str">
        <f>IF(D39="","",VLOOKUP(D39,'G-6 Hedgerow Data'!$B$2:$AG$15,3,FALSE))</f>
        <v/>
      </c>
      <c r="H39" s="145"/>
      <c r="I39" s="499" t="str">
        <f>IFERROR(VLOOKUP(H39,'G-1 All Habitats'!$Z$2:$AA$9,2,FALSE),"")</f>
        <v/>
      </c>
      <c r="J39" s="145"/>
      <c r="K39" s="520" t="str">
        <f>IF(J39="","",IF(VLOOKUP(J39,'G-3 Multipliers'!$L$3:$N$6,2,FALSE)=0,"Spatial Data Missing ⚠",VLOOKUP(J39,'G-3 Multipliers'!$L$3:$N$6,2,FALSE)))</f>
        <v/>
      </c>
      <c r="L39" s="505" t="str">
        <f>IF(J39="","",IF(VLOOKUP(J39,'G-3 Multipliers'!$L$3:$N$6,3,FALSE)=0,"Spatial Data Missing ⚠",VLOOKUP(J39,'G-3 Multipliers'!$L$3:$N$6,3,FALSE)))</f>
        <v/>
      </c>
      <c r="M39" s="498" t="str">
        <f>IF(OR(D39="",H39=""),"",(INDEX('G-6 Hedgerow Data'!$E$3:$I$15,MATCH(D39,'G-6 Hedgerow Data'!$B$3:$B$15,0),MATCH(H39,'G-6 Hedgerow Data'!$E$2:$I$2,0))))</f>
        <v/>
      </c>
      <c r="N39" s="195"/>
      <c r="O39" s="195"/>
      <c r="P39" s="507" t="str">
        <f t="shared" si="1"/>
        <v/>
      </c>
      <c r="Q39" s="521" t="str">
        <f t="shared" si="2"/>
        <v/>
      </c>
      <c r="R39" s="522" t="str">
        <f t="shared" si="0"/>
        <v/>
      </c>
      <c r="S39" s="537" t="str">
        <f>IF(D39="","",VLOOKUP(D39,'G-6 Hedgerow Data'!$B$3:$AG$15,31,FALSE))</f>
        <v/>
      </c>
      <c r="T39" s="507" t="str">
        <f t="shared" si="3"/>
        <v/>
      </c>
      <c r="U39" s="507" t="str">
        <f t="shared" si="4"/>
        <v/>
      </c>
      <c r="V39" s="524" t="str">
        <f>IF(D39="","",VLOOKUP(S39,'G-3 Multipliers'!$P$3:$Q$6,2,FALSE))</f>
        <v/>
      </c>
      <c r="W39" s="529" t="str">
        <f t="shared" si="5"/>
        <v/>
      </c>
      <c r="X39" s="149"/>
      <c r="Y39" s="150"/>
      <c r="AG39" s="31" t="str">
        <f>IFERROR(INDEX('G-6 Hedgerow Data'!$BJ$3:$BJ$15,MATCH(D39,'G-6 Hedgerow Data'!$B$3:$B$15,0)),"")</f>
        <v/>
      </c>
    </row>
    <row r="40" spans="2:33" ht="13.8" x14ac:dyDescent="0.25">
      <c r="B40" s="141">
        <v>29</v>
      </c>
      <c r="C40" s="205"/>
      <c r="D40" s="195"/>
      <c r="E40" s="172"/>
      <c r="F40" s="553" t="str">
        <f>IF(D40="","",VLOOKUP(D40,'G-6 Hedgerow Data'!$B$2:$AG$15,2,FALSE))</f>
        <v/>
      </c>
      <c r="G40" s="499" t="str">
        <f>IF(D40="","",VLOOKUP(D40,'G-6 Hedgerow Data'!$B$2:$AG$15,3,FALSE))</f>
        <v/>
      </c>
      <c r="H40" s="145"/>
      <c r="I40" s="499" t="str">
        <f>IFERROR(VLOOKUP(H40,'G-1 All Habitats'!$Z$2:$AA$9,2,FALSE),"")</f>
        <v/>
      </c>
      <c r="J40" s="145"/>
      <c r="K40" s="520" t="str">
        <f>IF(J40="","",IF(VLOOKUP(J40,'G-3 Multipliers'!$L$3:$N$6,2,FALSE)=0,"Spatial Data Missing ⚠",VLOOKUP(J40,'G-3 Multipliers'!$L$3:$N$6,2,FALSE)))</f>
        <v/>
      </c>
      <c r="L40" s="505" t="str">
        <f>IF(J40="","",IF(VLOOKUP(J40,'G-3 Multipliers'!$L$3:$N$6,3,FALSE)=0,"Spatial Data Missing ⚠",VLOOKUP(J40,'G-3 Multipliers'!$L$3:$N$6,3,FALSE)))</f>
        <v/>
      </c>
      <c r="M40" s="498" t="str">
        <f>IF(OR(D40="",H40=""),"",(INDEX('G-6 Hedgerow Data'!$E$3:$I$15,MATCH(D40,'G-6 Hedgerow Data'!$B$3:$B$15,0),MATCH(H40,'G-6 Hedgerow Data'!$E$2:$I$2,0))))</f>
        <v/>
      </c>
      <c r="N40" s="195"/>
      <c r="O40" s="195"/>
      <c r="P40" s="507" t="str">
        <f t="shared" si="1"/>
        <v/>
      </c>
      <c r="Q40" s="521" t="str">
        <f t="shared" si="2"/>
        <v/>
      </c>
      <c r="R40" s="522" t="str">
        <f t="shared" si="0"/>
        <v/>
      </c>
      <c r="S40" s="537" t="str">
        <f>IF(D40="","",VLOOKUP(D40,'G-6 Hedgerow Data'!$B$3:$AG$15,31,FALSE))</f>
        <v/>
      </c>
      <c r="T40" s="507" t="str">
        <f t="shared" si="3"/>
        <v/>
      </c>
      <c r="U40" s="507" t="str">
        <f t="shared" si="4"/>
        <v/>
      </c>
      <c r="V40" s="524" t="str">
        <f>IF(D40="","",VLOOKUP(S40,'G-3 Multipliers'!$P$3:$Q$6,2,FALSE))</f>
        <v/>
      </c>
      <c r="W40" s="529" t="str">
        <f t="shared" si="5"/>
        <v/>
      </c>
      <c r="X40" s="149"/>
      <c r="Y40" s="150"/>
      <c r="AG40" s="31" t="str">
        <f>IFERROR(INDEX('G-6 Hedgerow Data'!$BJ$3:$BJ$15,MATCH(D40,'G-6 Hedgerow Data'!$B$3:$B$15,0)),"")</f>
        <v/>
      </c>
    </row>
    <row r="41" spans="2:33" ht="13.8" x14ac:dyDescent="0.25">
      <c r="B41" s="141">
        <v>30</v>
      </c>
      <c r="C41" s="205"/>
      <c r="D41" s="195"/>
      <c r="E41" s="172"/>
      <c r="F41" s="553" t="str">
        <f>IF(D41="","",VLOOKUP(D41,'G-6 Hedgerow Data'!$B$2:$AG$15,2,FALSE))</f>
        <v/>
      </c>
      <c r="G41" s="499" t="str">
        <f>IF(D41="","",VLOOKUP(D41,'G-6 Hedgerow Data'!$B$2:$AG$15,3,FALSE))</f>
        <v/>
      </c>
      <c r="H41" s="145"/>
      <c r="I41" s="499" t="str">
        <f>IFERROR(VLOOKUP(H41,'G-1 All Habitats'!$Z$2:$AA$9,2,FALSE),"")</f>
        <v/>
      </c>
      <c r="J41" s="145"/>
      <c r="K41" s="520" t="str">
        <f>IF(J41="","",IF(VLOOKUP(J41,'G-3 Multipliers'!$L$3:$N$6,2,FALSE)=0,"Spatial Data Missing ⚠",VLOOKUP(J41,'G-3 Multipliers'!$L$3:$N$6,2,FALSE)))</f>
        <v/>
      </c>
      <c r="L41" s="505" t="str">
        <f>IF(J41="","",IF(VLOOKUP(J41,'G-3 Multipliers'!$L$3:$N$6,3,FALSE)=0,"Spatial Data Missing ⚠",VLOOKUP(J41,'G-3 Multipliers'!$L$3:$N$6,3,FALSE)))</f>
        <v/>
      </c>
      <c r="M41" s="498" t="str">
        <f>IF(OR(D41="",H41=""),"",(INDEX('G-6 Hedgerow Data'!$E$3:$I$15,MATCH(D41,'G-6 Hedgerow Data'!$B$3:$B$15,0),MATCH(H41,'G-6 Hedgerow Data'!$E$2:$I$2,0))))</f>
        <v/>
      </c>
      <c r="N41" s="195"/>
      <c r="O41" s="195"/>
      <c r="P41" s="507" t="str">
        <f t="shared" si="1"/>
        <v/>
      </c>
      <c r="Q41" s="521" t="str">
        <f t="shared" si="2"/>
        <v/>
      </c>
      <c r="R41" s="522" t="str">
        <f t="shared" si="0"/>
        <v/>
      </c>
      <c r="S41" s="537" t="str">
        <f>IF(D41="","",VLOOKUP(D41,'G-6 Hedgerow Data'!$B$3:$AG$15,31,FALSE))</f>
        <v/>
      </c>
      <c r="T41" s="507" t="str">
        <f t="shared" si="3"/>
        <v/>
      </c>
      <c r="U41" s="507" t="str">
        <f t="shared" si="4"/>
        <v/>
      </c>
      <c r="V41" s="524" t="str">
        <f>IF(D41="","",VLOOKUP(S41,'G-3 Multipliers'!$P$3:$Q$6,2,FALSE))</f>
        <v/>
      </c>
      <c r="W41" s="529" t="str">
        <f t="shared" si="5"/>
        <v/>
      </c>
      <c r="X41" s="149"/>
      <c r="Y41" s="150"/>
      <c r="AG41" s="31" t="str">
        <f>IFERROR(INDEX('G-6 Hedgerow Data'!$BJ$3:$BJ$15,MATCH(D41,'G-6 Hedgerow Data'!$B$3:$B$15,0)),"")</f>
        <v/>
      </c>
    </row>
    <row r="42" spans="2:33" ht="13.8" x14ac:dyDescent="0.25">
      <c r="B42" s="141">
        <v>31</v>
      </c>
      <c r="C42" s="205"/>
      <c r="D42" s="195"/>
      <c r="E42" s="172"/>
      <c r="F42" s="553" t="str">
        <f>IF(D42="","",VLOOKUP(D42,'G-6 Hedgerow Data'!$B$2:$AG$15,2,FALSE))</f>
        <v/>
      </c>
      <c r="G42" s="499" t="str">
        <f>IF(D42="","",VLOOKUP(D42,'G-6 Hedgerow Data'!$B$2:$AG$15,3,FALSE))</f>
        <v/>
      </c>
      <c r="H42" s="145"/>
      <c r="I42" s="499" t="str">
        <f>IFERROR(VLOOKUP(H42,'G-1 All Habitats'!$Z$2:$AA$9,2,FALSE),"")</f>
        <v/>
      </c>
      <c r="J42" s="145"/>
      <c r="K42" s="520" t="str">
        <f>IF(J42="","",IF(VLOOKUP(J42,'G-3 Multipliers'!$L$3:$N$6,2,FALSE)=0,"Spatial Data Missing ⚠",VLOOKUP(J42,'G-3 Multipliers'!$L$3:$N$6,2,FALSE)))</f>
        <v/>
      </c>
      <c r="L42" s="505" t="str">
        <f>IF(J42="","",IF(VLOOKUP(J42,'G-3 Multipliers'!$L$3:$N$6,3,FALSE)=0,"Spatial Data Missing ⚠",VLOOKUP(J42,'G-3 Multipliers'!$L$3:$N$6,3,FALSE)))</f>
        <v/>
      </c>
      <c r="M42" s="498" t="str">
        <f>IF(OR(D42="",H42=""),"",(INDEX('G-6 Hedgerow Data'!$E$3:$I$15,MATCH(D42,'G-6 Hedgerow Data'!$B$3:$B$15,0),MATCH(H42,'G-6 Hedgerow Data'!$E$2:$I$2,0))))</f>
        <v/>
      </c>
      <c r="N42" s="195"/>
      <c r="O42" s="195"/>
      <c r="P42" s="507" t="str">
        <f t="shared" si="1"/>
        <v/>
      </c>
      <c r="Q42" s="521" t="str">
        <f t="shared" si="2"/>
        <v/>
      </c>
      <c r="R42" s="522" t="str">
        <f t="shared" si="0"/>
        <v/>
      </c>
      <c r="S42" s="537" t="str">
        <f>IF(D42="","",VLOOKUP(D42,'G-6 Hedgerow Data'!$B$3:$AG$15,31,FALSE))</f>
        <v/>
      </c>
      <c r="T42" s="507" t="str">
        <f t="shared" si="3"/>
        <v/>
      </c>
      <c r="U42" s="507" t="str">
        <f t="shared" si="4"/>
        <v/>
      </c>
      <c r="V42" s="524" t="str">
        <f>IF(D42="","",VLOOKUP(S42,'G-3 Multipliers'!$P$3:$Q$6,2,FALSE))</f>
        <v/>
      </c>
      <c r="W42" s="529" t="str">
        <f t="shared" si="5"/>
        <v/>
      </c>
      <c r="X42" s="149"/>
      <c r="Y42" s="150"/>
      <c r="AG42" s="31" t="str">
        <f>IFERROR(INDEX('G-6 Hedgerow Data'!$BJ$3:$BJ$15,MATCH(D42,'G-6 Hedgerow Data'!$B$3:$B$15,0)),"")</f>
        <v/>
      </c>
    </row>
    <row r="43" spans="2:33" ht="13.8" x14ac:dyDescent="0.25">
      <c r="B43" s="141">
        <v>32</v>
      </c>
      <c r="C43" s="205"/>
      <c r="D43" s="195"/>
      <c r="E43" s="172"/>
      <c r="F43" s="553" t="str">
        <f>IF(D43="","",VLOOKUP(D43,'G-6 Hedgerow Data'!$B$2:$AG$15,2,FALSE))</f>
        <v/>
      </c>
      <c r="G43" s="499" t="str">
        <f>IF(D43="","",VLOOKUP(D43,'G-6 Hedgerow Data'!$B$2:$AG$15,3,FALSE))</f>
        <v/>
      </c>
      <c r="H43" s="145"/>
      <c r="I43" s="499" t="str">
        <f>IFERROR(VLOOKUP(H43,'G-1 All Habitats'!$Z$2:$AA$9,2,FALSE),"")</f>
        <v/>
      </c>
      <c r="J43" s="145"/>
      <c r="K43" s="520" t="str">
        <f>IF(J43="","",IF(VLOOKUP(J43,'G-3 Multipliers'!$L$3:$N$6,2,FALSE)=0,"Spatial Data Missing ⚠",VLOOKUP(J43,'G-3 Multipliers'!$L$3:$N$6,2,FALSE)))</f>
        <v/>
      </c>
      <c r="L43" s="505" t="str">
        <f>IF(J43="","",IF(VLOOKUP(J43,'G-3 Multipliers'!$L$3:$N$6,3,FALSE)=0,"Spatial Data Missing ⚠",VLOOKUP(J43,'G-3 Multipliers'!$L$3:$N$6,3,FALSE)))</f>
        <v/>
      </c>
      <c r="M43" s="498" t="str">
        <f>IF(OR(D43="",H43=""),"",(INDEX('G-6 Hedgerow Data'!$E$3:$I$15,MATCH(D43,'G-6 Hedgerow Data'!$B$3:$B$15,0),MATCH(H43,'G-6 Hedgerow Data'!$E$2:$I$2,0))))</f>
        <v/>
      </c>
      <c r="N43" s="195"/>
      <c r="O43" s="195"/>
      <c r="P43" s="507" t="str">
        <f t="shared" si="1"/>
        <v/>
      </c>
      <c r="Q43" s="521" t="str">
        <f t="shared" si="2"/>
        <v/>
      </c>
      <c r="R43" s="522" t="str">
        <f t="shared" si="0"/>
        <v/>
      </c>
      <c r="S43" s="537" t="str">
        <f>IF(D43="","",VLOOKUP(D43,'G-6 Hedgerow Data'!$B$3:$AG$15,31,FALSE))</f>
        <v/>
      </c>
      <c r="T43" s="507" t="str">
        <f t="shared" si="3"/>
        <v/>
      </c>
      <c r="U43" s="507" t="str">
        <f t="shared" si="4"/>
        <v/>
      </c>
      <c r="V43" s="524" t="str">
        <f>IF(D43="","",VLOOKUP(S43,'G-3 Multipliers'!$P$3:$Q$6,2,FALSE))</f>
        <v/>
      </c>
      <c r="W43" s="529" t="str">
        <f t="shared" si="5"/>
        <v/>
      </c>
      <c r="X43" s="149"/>
      <c r="Y43" s="150"/>
      <c r="AG43" s="31" t="str">
        <f>IFERROR(INDEX('G-6 Hedgerow Data'!$BJ$3:$BJ$15,MATCH(D43,'G-6 Hedgerow Data'!$B$3:$B$15,0)),"")</f>
        <v/>
      </c>
    </row>
    <row r="44" spans="2:33" ht="13.8" x14ac:dyDescent="0.25">
      <c r="B44" s="141">
        <v>33</v>
      </c>
      <c r="C44" s="205"/>
      <c r="D44" s="195"/>
      <c r="E44" s="172"/>
      <c r="F44" s="553" t="str">
        <f>IF(D44="","",VLOOKUP(D44,'G-6 Hedgerow Data'!$B$2:$AG$15,2,FALSE))</f>
        <v/>
      </c>
      <c r="G44" s="499" t="str">
        <f>IF(D44="","",VLOOKUP(D44,'G-6 Hedgerow Data'!$B$2:$AG$15,3,FALSE))</f>
        <v/>
      </c>
      <c r="H44" s="145"/>
      <c r="I44" s="499" t="str">
        <f>IFERROR(VLOOKUP(H44,'G-1 All Habitats'!$Z$2:$AA$9,2,FALSE),"")</f>
        <v/>
      </c>
      <c r="J44" s="145"/>
      <c r="K44" s="520" t="str">
        <f>IF(J44="","",IF(VLOOKUP(J44,'G-3 Multipliers'!$L$3:$N$6,2,FALSE)=0,"Spatial Data Missing ⚠",VLOOKUP(J44,'G-3 Multipliers'!$L$3:$N$6,2,FALSE)))</f>
        <v/>
      </c>
      <c r="L44" s="505" t="str">
        <f>IF(J44="","",IF(VLOOKUP(J44,'G-3 Multipliers'!$L$3:$N$6,3,FALSE)=0,"Spatial Data Missing ⚠",VLOOKUP(J44,'G-3 Multipliers'!$L$3:$N$6,3,FALSE)))</f>
        <v/>
      </c>
      <c r="M44" s="498" t="str">
        <f>IF(OR(D44="",H44=""),"",(INDEX('G-6 Hedgerow Data'!$E$3:$I$15,MATCH(D44,'G-6 Hedgerow Data'!$B$3:$B$15,0),MATCH(H44,'G-6 Hedgerow Data'!$E$2:$I$2,0))))</f>
        <v/>
      </c>
      <c r="N44" s="195"/>
      <c r="O44" s="195"/>
      <c r="P44" s="507" t="str">
        <f t="shared" si="1"/>
        <v/>
      </c>
      <c r="Q44" s="521" t="str">
        <f t="shared" si="2"/>
        <v/>
      </c>
      <c r="R44" s="522" t="str">
        <f t="shared" si="0"/>
        <v/>
      </c>
      <c r="S44" s="537" t="str">
        <f>IF(D44="","",VLOOKUP(D44,'G-6 Hedgerow Data'!$B$3:$AG$15,31,FALSE))</f>
        <v/>
      </c>
      <c r="T44" s="507" t="str">
        <f t="shared" si="3"/>
        <v/>
      </c>
      <c r="U44" s="507" t="str">
        <f t="shared" si="4"/>
        <v/>
      </c>
      <c r="V44" s="524" t="str">
        <f>IF(D44="","",VLOOKUP(S44,'G-3 Multipliers'!$P$3:$Q$6,2,FALSE))</f>
        <v/>
      </c>
      <c r="W44" s="529" t="str">
        <f t="shared" si="5"/>
        <v/>
      </c>
      <c r="X44" s="149"/>
      <c r="Y44" s="150"/>
      <c r="AG44" s="31" t="str">
        <f>IFERROR(INDEX('G-6 Hedgerow Data'!$BJ$3:$BJ$15,MATCH(D44,'G-6 Hedgerow Data'!$B$3:$B$15,0)),"")</f>
        <v/>
      </c>
    </row>
    <row r="45" spans="2:33" ht="13.8" x14ac:dyDescent="0.25">
      <c r="B45" s="141">
        <v>34</v>
      </c>
      <c r="C45" s="205"/>
      <c r="D45" s="195"/>
      <c r="E45" s="172"/>
      <c r="F45" s="553" t="str">
        <f>IF(D45="","",VLOOKUP(D45,'G-6 Hedgerow Data'!$B$2:$AG$15,2,FALSE))</f>
        <v/>
      </c>
      <c r="G45" s="499" t="str">
        <f>IF(D45="","",VLOOKUP(D45,'G-6 Hedgerow Data'!$B$2:$AG$15,3,FALSE))</f>
        <v/>
      </c>
      <c r="H45" s="145"/>
      <c r="I45" s="499" t="str">
        <f>IFERROR(VLOOKUP(H45,'G-1 All Habitats'!$Z$2:$AA$9,2,FALSE),"")</f>
        <v/>
      </c>
      <c r="J45" s="145"/>
      <c r="K45" s="520" t="str">
        <f>IF(J45="","",IF(VLOOKUP(J45,'G-3 Multipliers'!$L$3:$N$6,2,FALSE)=0,"Spatial Data Missing ⚠",VLOOKUP(J45,'G-3 Multipliers'!$L$3:$N$6,2,FALSE)))</f>
        <v/>
      </c>
      <c r="L45" s="505" t="str">
        <f>IF(J45="","",IF(VLOOKUP(J45,'G-3 Multipliers'!$L$3:$N$6,3,FALSE)=0,"Spatial Data Missing ⚠",VLOOKUP(J45,'G-3 Multipliers'!$L$3:$N$6,3,FALSE)))</f>
        <v/>
      </c>
      <c r="M45" s="498" t="str">
        <f>IF(OR(D45="",H45=""),"",(INDEX('G-6 Hedgerow Data'!$E$3:$I$15,MATCH(D45,'G-6 Hedgerow Data'!$B$3:$B$15,0),MATCH(H45,'G-6 Hedgerow Data'!$E$2:$I$2,0))))</f>
        <v/>
      </c>
      <c r="N45" s="195"/>
      <c r="O45" s="195"/>
      <c r="P45" s="507" t="str">
        <f t="shared" si="1"/>
        <v/>
      </c>
      <c r="Q45" s="521" t="str">
        <f t="shared" si="2"/>
        <v/>
      </c>
      <c r="R45" s="522" t="str">
        <f t="shared" si="0"/>
        <v/>
      </c>
      <c r="S45" s="537" t="str">
        <f>IF(D45="","",VLOOKUP(D45,'G-6 Hedgerow Data'!$B$3:$AG$15,31,FALSE))</f>
        <v/>
      </c>
      <c r="T45" s="507" t="str">
        <f t="shared" si="3"/>
        <v/>
      </c>
      <c r="U45" s="507" t="str">
        <f t="shared" si="4"/>
        <v/>
      </c>
      <c r="V45" s="524" t="str">
        <f>IF(D45="","",VLOOKUP(S45,'G-3 Multipliers'!$P$3:$Q$6,2,FALSE))</f>
        <v/>
      </c>
      <c r="W45" s="529" t="str">
        <f t="shared" si="5"/>
        <v/>
      </c>
      <c r="X45" s="149"/>
      <c r="Y45" s="150"/>
      <c r="AG45" s="31" t="str">
        <f>IFERROR(INDEX('G-6 Hedgerow Data'!$BJ$3:$BJ$15,MATCH(D45,'G-6 Hedgerow Data'!$B$3:$B$15,0)),"")</f>
        <v/>
      </c>
    </row>
    <row r="46" spans="2:33" ht="13.8" x14ac:dyDescent="0.25">
      <c r="B46" s="141">
        <v>35</v>
      </c>
      <c r="C46" s="205"/>
      <c r="D46" s="195"/>
      <c r="E46" s="172"/>
      <c r="F46" s="553" t="str">
        <f>IF(D46="","",VLOOKUP(D46,'G-6 Hedgerow Data'!$B$2:$AG$15,2,FALSE))</f>
        <v/>
      </c>
      <c r="G46" s="499" t="str">
        <f>IF(D46="","",VLOOKUP(D46,'G-6 Hedgerow Data'!$B$2:$AG$15,3,FALSE))</f>
        <v/>
      </c>
      <c r="H46" s="145"/>
      <c r="I46" s="499" t="str">
        <f>IFERROR(VLOOKUP(H46,'G-1 All Habitats'!$Z$2:$AA$9,2,FALSE),"")</f>
        <v/>
      </c>
      <c r="J46" s="145"/>
      <c r="K46" s="520" t="str">
        <f>IF(J46="","",IF(VLOOKUP(J46,'G-3 Multipliers'!$L$3:$N$6,2,FALSE)=0,"Spatial Data Missing ⚠",VLOOKUP(J46,'G-3 Multipliers'!$L$3:$N$6,2,FALSE)))</f>
        <v/>
      </c>
      <c r="L46" s="505" t="str">
        <f>IF(J46="","",IF(VLOOKUP(J46,'G-3 Multipliers'!$L$3:$N$6,3,FALSE)=0,"Spatial Data Missing ⚠",VLOOKUP(J46,'G-3 Multipliers'!$L$3:$N$6,3,FALSE)))</f>
        <v/>
      </c>
      <c r="M46" s="498" t="str">
        <f>IF(OR(D46="",H46=""),"",(INDEX('G-6 Hedgerow Data'!$E$3:$I$15,MATCH(D46,'G-6 Hedgerow Data'!$B$3:$B$15,0),MATCH(H46,'G-6 Hedgerow Data'!$E$2:$I$2,0))))</f>
        <v/>
      </c>
      <c r="N46" s="195"/>
      <c r="O46" s="195"/>
      <c r="P46" s="507" t="str">
        <f t="shared" si="1"/>
        <v/>
      </c>
      <c r="Q46" s="521" t="str">
        <f t="shared" si="2"/>
        <v/>
      </c>
      <c r="R46" s="522" t="str">
        <f t="shared" si="0"/>
        <v/>
      </c>
      <c r="S46" s="537" t="str">
        <f>IF(D46="","",VLOOKUP(D46,'G-6 Hedgerow Data'!$B$3:$AG$15,31,FALSE))</f>
        <v/>
      </c>
      <c r="T46" s="507" t="str">
        <f t="shared" si="3"/>
        <v/>
      </c>
      <c r="U46" s="507" t="str">
        <f t="shared" si="4"/>
        <v/>
      </c>
      <c r="V46" s="524" t="str">
        <f>IF(D46="","",VLOOKUP(S46,'G-3 Multipliers'!$P$3:$Q$6,2,FALSE))</f>
        <v/>
      </c>
      <c r="W46" s="529" t="str">
        <f t="shared" si="5"/>
        <v/>
      </c>
      <c r="X46" s="149"/>
      <c r="Y46" s="150"/>
      <c r="AG46" s="31" t="str">
        <f>IFERROR(INDEX('G-6 Hedgerow Data'!$BJ$3:$BJ$15,MATCH(D46,'G-6 Hedgerow Data'!$B$3:$B$15,0)),"")</f>
        <v/>
      </c>
    </row>
    <row r="47" spans="2:33" ht="13.8" x14ac:dyDescent="0.25">
      <c r="B47" s="141">
        <v>36</v>
      </c>
      <c r="C47" s="205"/>
      <c r="D47" s="195"/>
      <c r="E47" s="172"/>
      <c r="F47" s="553" t="str">
        <f>IF(D47="","",VLOOKUP(D47,'G-6 Hedgerow Data'!$B$2:$AG$15,2,FALSE))</f>
        <v/>
      </c>
      <c r="G47" s="499" t="str">
        <f>IF(D47="","",VLOOKUP(D47,'G-6 Hedgerow Data'!$B$2:$AG$15,3,FALSE))</f>
        <v/>
      </c>
      <c r="H47" s="145"/>
      <c r="I47" s="499" t="str">
        <f>IFERROR(VLOOKUP(H47,'G-1 All Habitats'!$Z$2:$AA$9,2,FALSE),"")</f>
        <v/>
      </c>
      <c r="J47" s="145"/>
      <c r="K47" s="520" t="str">
        <f>IF(J47="","",IF(VLOOKUP(J47,'G-3 Multipliers'!$L$3:$N$6,2,FALSE)=0,"Spatial Data Missing ⚠",VLOOKUP(J47,'G-3 Multipliers'!$L$3:$N$6,2,FALSE)))</f>
        <v/>
      </c>
      <c r="L47" s="505" t="str">
        <f>IF(J47="","",IF(VLOOKUP(J47,'G-3 Multipliers'!$L$3:$N$6,3,FALSE)=0,"Spatial Data Missing ⚠",VLOOKUP(J47,'G-3 Multipliers'!$L$3:$N$6,3,FALSE)))</f>
        <v/>
      </c>
      <c r="M47" s="498" t="str">
        <f>IF(OR(D47="",H47=""),"",(INDEX('G-6 Hedgerow Data'!$E$3:$I$15,MATCH(D47,'G-6 Hedgerow Data'!$B$3:$B$15,0),MATCH(H47,'G-6 Hedgerow Data'!$E$2:$I$2,0))))</f>
        <v/>
      </c>
      <c r="N47" s="195"/>
      <c r="O47" s="195"/>
      <c r="P47" s="507" t="str">
        <f t="shared" si="1"/>
        <v/>
      </c>
      <c r="Q47" s="521" t="str">
        <f t="shared" si="2"/>
        <v/>
      </c>
      <c r="R47" s="522" t="str">
        <f t="shared" si="0"/>
        <v/>
      </c>
      <c r="S47" s="537" t="str">
        <f>IF(D47="","",VLOOKUP(D47,'G-6 Hedgerow Data'!$B$3:$AG$15,31,FALSE))</f>
        <v/>
      </c>
      <c r="T47" s="507" t="str">
        <f t="shared" si="3"/>
        <v/>
      </c>
      <c r="U47" s="507" t="str">
        <f t="shared" si="4"/>
        <v/>
      </c>
      <c r="V47" s="524" t="str">
        <f>IF(D47="","",VLOOKUP(S47,'G-3 Multipliers'!$P$3:$Q$6,2,FALSE))</f>
        <v/>
      </c>
      <c r="W47" s="529" t="str">
        <f t="shared" si="5"/>
        <v/>
      </c>
      <c r="X47" s="149"/>
      <c r="Y47" s="150"/>
      <c r="AG47" s="31" t="str">
        <f>IFERROR(INDEX('G-6 Hedgerow Data'!$BJ$3:$BJ$15,MATCH(D47,'G-6 Hedgerow Data'!$B$3:$B$15,0)),"")</f>
        <v/>
      </c>
    </row>
    <row r="48" spans="2:33" ht="13.8" x14ac:dyDescent="0.25">
      <c r="B48" s="141">
        <v>37</v>
      </c>
      <c r="C48" s="205"/>
      <c r="D48" s="195"/>
      <c r="E48" s="172"/>
      <c r="F48" s="553" t="str">
        <f>IF(D48="","",VLOOKUP(D48,'G-6 Hedgerow Data'!$B$2:$AG$15,2,FALSE))</f>
        <v/>
      </c>
      <c r="G48" s="499" t="str">
        <f>IF(D48="","",VLOOKUP(D48,'G-6 Hedgerow Data'!$B$2:$AG$15,3,FALSE))</f>
        <v/>
      </c>
      <c r="H48" s="145"/>
      <c r="I48" s="499" t="str">
        <f>IFERROR(VLOOKUP(H48,'G-1 All Habitats'!$Z$2:$AA$9,2,FALSE),"")</f>
        <v/>
      </c>
      <c r="J48" s="145"/>
      <c r="K48" s="520" t="str">
        <f>IF(J48="","",IF(VLOOKUP(J48,'G-3 Multipliers'!$L$3:$N$6,2,FALSE)=0,"Spatial Data Missing ⚠",VLOOKUP(J48,'G-3 Multipliers'!$L$3:$N$6,2,FALSE)))</f>
        <v/>
      </c>
      <c r="L48" s="505" t="str">
        <f>IF(J48="","",IF(VLOOKUP(J48,'G-3 Multipliers'!$L$3:$N$6,3,FALSE)=0,"Spatial Data Missing ⚠",VLOOKUP(J48,'G-3 Multipliers'!$L$3:$N$6,3,FALSE)))</f>
        <v/>
      </c>
      <c r="M48" s="498" t="str">
        <f>IF(OR(D48="",H48=""),"",(INDEX('G-6 Hedgerow Data'!$E$3:$I$15,MATCH(D48,'G-6 Hedgerow Data'!$B$3:$B$15,0),MATCH(H48,'G-6 Hedgerow Data'!$E$2:$I$2,0))))</f>
        <v/>
      </c>
      <c r="N48" s="195"/>
      <c r="O48" s="195"/>
      <c r="P48" s="507" t="str">
        <f t="shared" si="1"/>
        <v/>
      </c>
      <c r="Q48" s="521" t="str">
        <f t="shared" si="2"/>
        <v/>
      </c>
      <c r="R48" s="522" t="str">
        <f t="shared" si="0"/>
        <v/>
      </c>
      <c r="S48" s="537" t="str">
        <f>IF(D48="","",VLOOKUP(D48,'G-6 Hedgerow Data'!$B$3:$AG$15,31,FALSE))</f>
        <v/>
      </c>
      <c r="T48" s="507" t="str">
        <f t="shared" si="3"/>
        <v/>
      </c>
      <c r="U48" s="507" t="str">
        <f t="shared" si="4"/>
        <v/>
      </c>
      <c r="V48" s="524" t="str">
        <f>IF(D48="","",VLOOKUP(S48,'G-3 Multipliers'!$P$3:$Q$6,2,FALSE))</f>
        <v/>
      </c>
      <c r="W48" s="529" t="str">
        <f t="shared" si="5"/>
        <v/>
      </c>
      <c r="X48" s="149"/>
      <c r="Y48" s="150"/>
      <c r="AG48" s="31" t="str">
        <f>IFERROR(INDEX('G-6 Hedgerow Data'!$BJ$3:$BJ$15,MATCH(D48,'G-6 Hedgerow Data'!$B$3:$B$15,0)),"")</f>
        <v/>
      </c>
    </row>
    <row r="49" spans="2:33" ht="13.8" x14ac:dyDescent="0.25">
      <c r="B49" s="141">
        <v>38</v>
      </c>
      <c r="C49" s="205"/>
      <c r="D49" s="195"/>
      <c r="E49" s="172"/>
      <c r="F49" s="553" t="str">
        <f>IF(D49="","",VLOOKUP(D49,'G-6 Hedgerow Data'!$B$2:$AG$15,2,FALSE))</f>
        <v/>
      </c>
      <c r="G49" s="499" t="str">
        <f>IF(D49="","",VLOOKUP(D49,'G-6 Hedgerow Data'!$B$2:$AG$15,3,FALSE))</f>
        <v/>
      </c>
      <c r="H49" s="145"/>
      <c r="I49" s="499" t="str">
        <f>IFERROR(VLOOKUP(H49,'G-1 All Habitats'!$Z$2:$AA$9,2,FALSE),"")</f>
        <v/>
      </c>
      <c r="J49" s="145"/>
      <c r="K49" s="520" t="str">
        <f>IF(J49="","",IF(VLOOKUP(J49,'G-3 Multipliers'!$L$3:$N$6,2,FALSE)=0,"Spatial Data Missing ⚠",VLOOKUP(J49,'G-3 Multipliers'!$L$3:$N$6,2,FALSE)))</f>
        <v/>
      </c>
      <c r="L49" s="505" t="str">
        <f>IF(J49="","",IF(VLOOKUP(J49,'G-3 Multipliers'!$L$3:$N$6,3,FALSE)=0,"Spatial Data Missing ⚠",VLOOKUP(J49,'G-3 Multipliers'!$L$3:$N$6,3,FALSE)))</f>
        <v/>
      </c>
      <c r="M49" s="498" t="str">
        <f>IF(OR(D49="",H49=""),"",(INDEX('G-6 Hedgerow Data'!$E$3:$I$15,MATCH(D49,'G-6 Hedgerow Data'!$B$3:$B$15,0),MATCH(H49,'G-6 Hedgerow Data'!$E$2:$I$2,0))))</f>
        <v/>
      </c>
      <c r="N49" s="195"/>
      <c r="O49" s="195"/>
      <c r="P49" s="507" t="str">
        <f t="shared" si="1"/>
        <v/>
      </c>
      <c r="Q49" s="521" t="str">
        <f t="shared" si="2"/>
        <v/>
      </c>
      <c r="R49" s="522" t="str">
        <f t="shared" si="0"/>
        <v/>
      </c>
      <c r="S49" s="537" t="str">
        <f>IF(D49="","",VLOOKUP(D49,'G-6 Hedgerow Data'!$B$3:$AG$15,31,FALSE))</f>
        <v/>
      </c>
      <c r="T49" s="507" t="str">
        <f t="shared" si="3"/>
        <v/>
      </c>
      <c r="U49" s="507" t="str">
        <f t="shared" si="4"/>
        <v/>
      </c>
      <c r="V49" s="524" t="str">
        <f>IF(D49="","",VLOOKUP(S49,'G-3 Multipliers'!$P$3:$Q$6,2,FALSE))</f>
        <v/>
      </c>
      <c r="W49" s="529" t="str">
        <f t="shared" si="5"/>
        <v/>
      </c>
      <c r="X49" s="149"/>
      <c r="Y49" s="150"/>
      <c r="AG49" s="31" t="str">
        <f>IFERROR(INDEX('G-6 Hedgerow Data'!$BJ$3:$BJ$15,MATCH(D49,'G-6 Hedgerow Data'!$B$3:$B$15,0)),"")</f>
        <v/>
      </c>
    </row>
    <row r="50" spans="2:33" ht="13.8" x14ac:dyDescent="0.25">
      <c r="B50" s="141">
        <v>39</v>
      </c>
      <c r="C50" s="205"/>
      <c r="D50" s="195"/>
      <c r="E50" s="172"/>
      <c r="F50" s="553" t="str">
        <f>IF(D50="","",VLOOKUP(D50,'G-6 Hedgerow Data'!$B$2:$AG$15,2,FALSE))</f>
        <v/>
      </c>
      <c r="G50" s="499" t="str">
        <f>IF(D50="","",VLOOKUP(D50,'G-6 Hedgerow Data'!$B$2:$AG$15,3,FALSE))</f>
        <v/>
      </c>
      <c r="H50" s="145"/>
      <c r="I50" s="499" t="str">
        <f>IFERROR(VLOOKUP(H50,'G-1 All Habitats'!$Z$2:$AA$9,2,FALSE),"")</f>
        <v/>
      </c>
      <c r="J50" s="145"/>
      <c r="K50" s="520" t="str">
        <f>IF(J50="","",IF(VLOOKUP(J50,'G-3 Multipliers'!$L$3:$N$6,2,FALSE)=0,"Spatial Data Missing ⚠",VLOOKUP(J50,'G-3 Multipliers'!$L$3:$N$6,2,FALSE)))</f>
        <v/>
      </c>
      <c r="L50" s="505" t="str">
        <f>IF(J50="","",IF(VLOOKUP(J50,'G-3 Multipliers'!$L$3:$N$6,3,FALSE)=0,"Spatial Data Missing ⚠",VLOOKUP(J50,'G-3 Multipliers'!$L$3:$N$6,3,FALSE)))</f>
        <v/>
      </c>
      <c r="M50" s="498" t="str">
        <f>IF(OR(D50="",H50=""),"",(INDEX('G-6 Hedgerow Data'!$E$3:$I$15,MATCH(D50,'G-6 Hedgerow Data'!$B$3:$B$15,0),MATCH(H50,'G-6 Hedgerow Data'!$E$2:$I$2,0))))</f>
        <v/>
      </c>
      <c r="N50" s="195"/>
      <c r="O50" s="195"/>
      <c r="P50" s="507" t="str">
        <f t="shared" si="1"/>
        <v/>
      </c>
      <c r="Q50" s="521" t="str">
        <f t="shared" si="2"/>
        <v/>
      </c>
      <c r="R50" s="522" t="str">
        <f t="shared" si="0"/>
        <v/>
      </c>
      <c r="S50" s="537" t="str">
        <f>IF(D50="","",VLOOKUP(D50,'G-6 Hedgerow Data'!$B$3:$AG$15,31,FALSE))</f>
        <v/>
      </c>
      <c r="T50" s="507" t="str">
        <f t="shared" si="3"/>
        <v/>
      </c>
      <c r="U50" s="507" t="str">
        <f t="shared" si="4"/>
        <v/>
      </c>
      <c r="V50" s="524" t="str">
        <f>IF(D50="","",VLOOKUP(S50,'G-3 Multipliers'!$P$3:$Q$6,2,FALSE))</f>
        <v/>
      </c>
      <c r="W50" s="529" t="str">
        <f t="shared" si="5"/>
        <v/>
      </c>
      <c r="X50" s="149"/>
      <c r="Y50" s="150"/>
      <c r="AG50" s="31" t="str">
        <f>IFERROR(INDEX('G-6 Hedgerow Data'!$BJ$3:$BJ$15,MATCH(D50,'G-6 Hedgerow Data'!$B$3:$B$15,0)),"")</f>
        <v/>
      </c>
    </row>
    <row r="51" spans="2:33" ht="13.8" x14ac:dyDescent="0.25">
      <c r="B51" s="141">
        <v>40</v>
      </c>
      <c r="C51" s="205"/>
      <c r="D51" s="195"/>
      <c r="E51" s="172"/>
      <c r="F51" s="553" t="str">
        <f>IF(D51="","",VLOOKUP(D51,'G-6 Hedgerow Data'!$B$2:$AG$15,2,FALSE))</f>
        <v/>
      </c>
      <c r="G51" s="499" t="str">
        <f>IF(D51="","",VLOOKUP(D51,'G-6 Hedgerow Data'!$B$2:$AG$15,3,FALSE))</f>
        <v/>
      </c>
      <c r="H51" s="145"/>
      <c r="I51" s="499" t="str">
        <f>IFERROR(VLOOKUP(H51,'G-1 All Habitats'!$Z$2:$AA$9,2,FALSE),"")</f>
        <v/>
      </c>
      <c r="J51" s="145"/>
      <c r="K51" s="520" t="str">
        <f>IF(J51="","",IF(VLOOKUP(J51,'G-3 Multipliers'!$L$3:$N$6,2,FALSE)=0,"Spatial Data Missing ⚠",VLOOKUP(J51,'G-3 Multipliers'!$L$3:$N$6,2,FALSE)))</f>
        <v/>
      </c>
      <c r="L51" s="505" t="str">
        <f>IF(J51="","",IF(VLOOKUP(J51,'G-3 Multipliers'!$L$3:$N$6,3,FALSE)=0,"Spatial Data Missing ⚠",VLOOKUP(J51,'G-3 Multipliers'!$L$3:$N$6,3,FALSE)))</f>
        <v/>
      </c>
      <c r="M51" s="498" t="str">
        <f>IF(OR(D51="",H51=""),"",(INDEX('G-6 Hedgerow Data'!$E$3:$I$15,MATCH(D51,'G-6 Hedgerow Data'!$B$3:$B$15,0),MATCH(H51,'G-6 Hedgerow Data'!$E$2:$I$2,0))))</f>
        <v/>
      </c>
      <c r="N51" s="195"/>
      <c r="O51" s="195"/>
      <c r="P51" s="507" t="str">
        <f t="shared" si="1"/>
        <v/>
      </c>
      <c r="Q51" s="521" t="str">
        <f t="shared" si="2"/>
        <v/>
      </c>
      <c r="R51" s="522" t="str">
        <f t="shared" si="0"/>
        <v/>
      </c>
      <c r="S51" s="537" t="str">
        <f>IF(D51="","",VLOOKUP(D51,'G-6 Hedgerow Data'!$B$3:$AG$15,31,FALSE))</f>
        <v/>
      </c>
      <c r="T51" s="507" t="str">
        <f t="shared" si="3"/>
        <v/>
      </c>
      <c r="U51" s="507" t="str">
        <f t="shared" si="4"/>
        <v/>
      </c>
      <c r="V51" s="524" t="str">
        <f>IF(D51="","",VLOOKUP(S51,'G-3 Multipliers'!$P$3:$Q$6,2,FALSE))</f>
        <v/>
      </c>
      <c r="W51" s="529" t="str">
        <f t="shared" si="5"/>
        <v/>
      </c>
      <c r="X51" s="149"/>
      <c r="Y51" s="150"/>
      <c r="AG51" s="31" t="str">
        <f>IFERROR(INDEX('G-6 Hedgerow Data'!$BJ$3:$BJ$15,MATCH(D51,'G-6 Hedgerow Data'!$B$3:$B$15,0)),"")</f>
        <v/>
      </c>
    </row>
    <row r="52" spans="2:33" ht="13.8" x14ac:dyDescent="0.25">
      <c r="B52" s="141">
        <v>41</v>
      </c>
      <c r="C52" s="205"/>
      <c r="D52" s="195"/>
      <c r="E52" s="172"/>
      <c r="F52" s="553" t="str">
        <f>IF(D52="","",VLOOKUP(D52,'G-6 Hedgerow Data'!$B$2:$AG$15,2,FALSE))</f>
        <v/>
      </c>
      <c r="G52" s="499" t="str">
        <f>IF(D52="","",VLOOKUP(D52,'G-6 Hedgerow Data'!$B$2:$AG$15,3,FALSE))</f>
        <v/>
      </c>
      <c r="H52" s="145"/>
      <c r="I52" s="499" t="str">
        <f>IFERROR(VLOOKUP(H52,'G-1 All Habitats'!$Z$2:$AA$9,2,FALSE),"")</f>
        <v/>
      </c>
      <c r="J52" s="145"/>
      <c r="K52" s="520" t="str">
        <f>IF(J52="","",IF(VLOOKUP(J52,'G-3 Multipliers'!$L$3:$N$6,2,FALSE)=0,"Spatial Data Missing ⚠",VLOOKUP(J52,'G-3 Multipliers'!$L$3:$N$6,2,FALSE)))</f>
        <v/>
      </c>
      <c r="L52" s="505" t="str">
        <f>IF(J52="","",IF(VLOOKUP(J52,'G-3 Multipliers'!$L$3:$N$6,3,FALSE)=0,"Spatial Data Missing ⚠",VLOOKUP(J52,'G-3 Multipliers'!$L$3:$N$6,3,FALSE)))</f>
        <v/>
      </c>
      <c r="M52" s="498" t="str">
        <f>IF(OR(D52="",H52=""),"",(INDEX('G-6 Hedgerow Data'!$E$3:$I$15,MATCH(D52,'G-6 Hedgerow Data'!$B$3:$B$15,0),MATCH(H52,'G-6 Hedgerow Data'!$E$2:$I$2,0))))</f>
        <v/>
      </c>
      <c r="N52" s="195"/>
      <c r="O52" s="195"/>
      <c r="P52" s="507" t="str">
        <f t="shared" si="1"/>
        <v/>
      </c>
      <c r="Q52" s="521" t="str">
        <f t="shared" si="2"/>
        <v/>
      </c>
      <c r="R52" s="522" t="str">
        <f t="shared" si="0"/>
        <v/>
      </c>
      <c r="S52" s="537" t="str">
        <f>IF(D52="","",VLOOKUP(D52,'G-6 Hedgerow Data'!$B$3:$AG$15,31,FALSE))</f>
        <v/>
      </c>
      <c r="T52" s="507" t="str">
        <f t="shared" si="3"/>
        <v/>
      </c>
      <c r="U52" s="507" t="str">
        <f t="shared" si="4"/>
        <v/>
      </c>
      <c r="V52" s="524" t="str">
        <f>IF(D52="","",VLOOKUP(S52,'G-3 Multipliers'!$P$3:$Q$6,2,FALSE))</f>
        <v/>
      </c>
      <c r="W52" s="529" t="str">
        <f t="shared" si="5"/>
        <v/>
      </c>
      <c r="X52" s="149"/>
      <c r="Y52" s="150"/>
      <c r="AG52" s="31" t="str">
        <f>IFERROR(INDEX('G-6 Hedgerow Data'!$BJ$3:$BJ$15,MATCH(D52,'G-6 Hedgerow Data'!$B$3:$B$15,0)),"")</f>
        <v/>
      </c>
    </row>
    <row r="53" spans="2:33" ht="13.8" x14ac:dyDescent="0.25">
      <c r="B53" s="141">
        <v>42</v>
      </c>
      <c r="C53" s="205"/>
      <c r="D53" s="195"/>
      <c r="E53" s="172"/>
      <c r="F53" s="553" t="str">
        <f>IF(D53="","",VLOOKUP(D53,'G-6 Hedgerow Data'!$B$2:$AG$15,2,FALSE))</f>
        <v/>
      </c>
      <c r="G53" s="499" t="str">
        <f>IF(D53="","",VLOOKUP(D53,'G-6 Hedgerow Data'!$B$2:$AG$15,3,FALSE))</f>
        <v/>
      </c>
      <c r="H53" s="145"/>
      <c r="I53" s="499" t="str">
        <f>IFERROR(VLOOKUP(H53,'G-1 All Habitats'!$Z$2:$AA$9,2,FALSE),"")</f>
        <v/>
      </c>
      <c r="J53" s="145"/>
      <c r="K53" s="520" t="str">
        <f>IF(J53="","",IF(VLOOKUP(J53,'G-3 Multipliers'!$L$3:$N$6,2,FALSE)=0,"Spatial Data Missing ⚠",VLOOKUP(J53,'G-3 Multipliers'!$L$3:$N$6,2,FALSE)))</f>
        <v/>
      </c>
      <c r="L53" s="505" t="str">
        <f>IF(J53="","",IF(VLOOKUP(J53,'G-3 Multipliers'!$L$3:$N$6,3,FALSE)=0,"Spatial Data Missing ⚠",VLOOKUP(J53,'G-3 Multipliers'!$L$3:$N$6,3,FALSE)))</f>
        <v/>
      </c>
      <c r="M53" s="498" t="str">
        <f>IF(OR(D53="",H53=""),"",(INDEX('G-6 Hedgerow Data'!$E$3:$I$15,MATCH(D53,'G-6 Hedgerow Data'!$B$3:$B$15,0),MATCH(H53,'G-6 Hedgerow Data'!$E$2:$I$2,0))))</f>
        <v/>
      </c>
      <c r="N53" s="195"/>
      <c r="O53" s="195"/>
      <c r="P53" s="507" t="str">
        <f t="shared" si="1"/>
        <v/>
      </c>
      <c r="Q53" s="521" t="str">
        <f t="shared" si="2"/>
        <v/>
      </c>
      <c r="R53" s="522" t="str">
        <f t="shared" si="0"/>
        <v/>
      </c>
      <c r="S53" s="537" t="str">
        <f>IF(D53="","",VLOOKUP(D53,'G-6 Hedgerow Data'!$B$3:$AG$15,31,FALSE))</f>
        <v/>
      </c>
      <c r="T53" s="507" t="str">
        <f t="shared" si="3"/>
        <v/>
      </c>
      <c r="U53" s="507" t="str">
        <f t="shared" si="4"/>
        <v/>
      </c>
      <c r="V53" s="524" t="str">
        <f>IF(D53="","",VLOOKUP(S53,'G-3 Multipliers'!$P$3:$Q$6,2,FALSE))</f>
        <v/>
      </c>
      <c r="W53" s="529" t="str">
        <f t="shared" si="5"/>
        <v/>
      </c>
      <c r="X53" s="149"/>
      <c r="Y53" s="150"/>
      <c r="AG53" s="31" t="str">
        <f>IFERROR(INDEX('G-6 Hedgerow Data'!$BJ$3:$BJ$15,MATCH(D53,'G-6 Hedgerow Data'!$B$3:$B$15,0)),"")</f>
        <v/>
      </c>
    </row>
    <row r="54" spans="2:33" ht="13.8" x14ac:dyDescent="0.25">
      <c r="B54" s="141">
        <v>43</v>
      </c>
      <c r="C54" s="205"/>
      <c r="D54" s="195"/>
      <c r="E54" s="172"/>
      <c r="F54" s="553" t="str">
        <f>IF(D54="","",VLOOKUP(D54,'G-6 Hedgerow Data'!$B$2:$AG$15,2,FALSE))</f>
        <v/>
      </c>
      <c r="G54" s="499" t="str">
        <f>IF(D54="","",VLOOKUP(D54,'G-6 Hedgerow Data'!$B$2:$AG$15,3,FALSE))</f>
        <v/>
      </c>
      <c r="H54" s="145"/>
      <c r="I54" s="499" t="str">
        <f>IFERROR(VLOOKUP(H54,'G-1 All Habitats'!$Z$2:$AA$9,2,FALSE),"")</f>
        <v/>
      </c>
      <c r="J54" s="145"/>
      <c r="K54" s="520" t="str">
        <f>IF(J54="","",IF(VLOOKUP(J54,'G-3 Multipliers'!$L$3:$N$6,2,FALSE)=0,"Spatial Data Missing ⚠",VLOOKUP(J54,'G-3 Multipliers'!$L$3:$N$6,2,FALSE)))</f>
        <v/>
      </c>
      <c r="L54" s="505" t="str">
        <f>IF(J54="","",IF(VLOOKUP(J54,'G-3 Multipliers'!$L$3:$N$6,3,FALSE)=0,"Spatial Data Missing ⚠",VLOOKUP(J54,'G-3 Multipliers'!$L$3:$N$6,3,FALSE)))</f>
        <v/>
      </c>
      <c r="M54" s="498" t="str">
        <f>IF(OR(D54="",H54=""),"",(INDEX('G-6 Hedgerow Data'!$E$3:$I$15,MATCH(D54,'G-6 Hedgerow Data'!$B$3:$B$15,0),MATCH(H54,'G-6 Hedgerow Data'!$E$2:$I$2,0))))</f>
        <v/>
      </c>
      <c r="N54" s="195"/>
      <c r="O54" s="195"/>
      <c r="P54" s="507" t="str">
        <f t="shared" si="1"/>
        <v/>
      </c>
      <c r="Q54" s="521" t="str">
        <f t="shared" si="2"/>
        <v/>
      </c>
      <c r="R54" s="522" t="str">
        <f t="shared" si="0"/>
        <v/>
      </c>
      <c r="S54" s="537" t="str">
        <f>IF(D54="","",VLOOKUP(D54,'G-6 Hedgerow Data'!$B$3:$AG$15,31,FALSE))</f>
        <v/>
      </c>
      <c r="T54" s="507" t="str">
        <f t="shared" si="3"/>
        <v/>
      </c>
      <c r="U54" s="507" t="str">
        <f t="shared" si="4"/>
        <v/>
      </c>
      <c r="V54" s="524" t="str">
        <f>IF(D54="","",VLOOKUP(S54,'G-3 Multipliers'!$P$3:$Q$6,2,FALSE))</f>
        <v/>
      </c>
      <c r="W54" s="529" t="str">
        <f t="shared" si="5"/>
        <v/>
      </c>
      <c r="X54" s="149"/>
      <c r="Y54" s="150"/>
      <c r="AG54" s="31" t="str">
        <f>IFERROR(INDEX('G-6 Hedgerow Data'!$BJ$3:$BJ$15,MATCH(D54,'G-6 Hedgerow Data'!$B$3:$B$15,0)),"")</f>
        <v/>
      </c>
    </row>
    <row r="55" spans="2:33" ht="13.8" x14ac:dyDescent="0.25">
      <c r="B55" s="141">
        <v>44</v>
      </c>
      <c r="C55" s="205"/>
      <c r="D55" s="195"/>
      <c r="E55" s="172"/>
      <c r="F55" s="553" t="str">
        <f>IF(D55="","",VLOOKUP(D55,'G-6 Hedgerow Data'!$B$2:$AG$15,2,FALSE))</f>
        <v/>
      </c>
      <c r="G55" s="499" t="str">
        <f>IF(D55="","",VLOOKUP(D55,'G-6 Hedgerow Data'!$B$2:$AG$15,3,FALSE))</f>
        <v/>
      </c>
      <c r="H55" s="145"/>
      <c r="I55" s="499" t="str">
        <f>IFERROR(VLOOKUP(H55,'G-1 All Habitats'!$Z$2:$AA$9,2,FALSE),"")</f>
        <v/>
      </c>
      <c r="J55" s="145"/>
      <c r="K55" s="520" t="str">
        <f>IF(J55="","",IF(VLOOKUP(J55,'G-3 Multipliers'!$L$3:$N$6,2,FALSE)=0,"Spatial Data Missing ⚠",VLOOKUP(J55,'G-3 Multipliers'!$L$3:$N$6,2,FALSE)))</f>
        <v/>
      </c>
      <c r="L55" s="505" t="str">
        <f>IF(J55="","",IF(VLOOKUP(J55,'G-3 Multipliers'!$L$3:$N$6,3,FALSE)=0,"Spatial Data Missing ⚠",VLOOKUP(J55,'G-3 Multipliers'!$L$3:$N$6,3,FALSE)))</f>
        <v/>
      </c>
      <c r="M55" s="498" t="str">
        <f>IF(OR(D55="",H55=""),"",(INDEX('G-6 Hedgerow Data'!$E$3:$I$15,MATCH(D55,'G-6 Hedgerow Data'!$B$3:$B$15,0),MATCH(H55,'G-6 Hedgerow Data'!$E$2:$I$2,0))))</f>
        <v/>
      </c>
      <c r="N55" s="195"/>
      <c r="O55" s="195"/>
      <c r="P55" s="507" t="str">
        <f t="shared" si="1"/>
        <v/>
      </c>
      <c r="Q55" s="521" t="str">
        <f t="shared" si="2"/>
        <v/>
      </c>
      <c r="R55" s="522" t="str">
        <f t="shared" si="0"/>
        <v/>
      </c>
      <c r="S55" s="537" t="str">
        <f>IF(D55="","",VLOOKUP(D55,'G-6 Hedgerow Data'!$B$3:$AG$15,31,FALSE))</f>
        <v/>
      </c>
      <c r="T55" s="507" t="str">
        <f t="shared" si="3"/>
        <v/>
      </c>
      <c r="U55" s="507" t="str">
        <f t="shared" si="4"/>
        <v/>
      </c>
      <c r="V55" s="524" t="str">
        <f>IF(D55="","",VLOOKUP(S55,'G-3 Multipliers'!$P$3:$Q$6,2,FALSE))</f>
        <v/>
      </c>
      <c r="W55" s="529" t="str">
        <f t="shared" si="5"/>
        <v/>
      </c>
      <c r="X55" s="149"/>
      <c r="Y55" s="150"/>
      <c r="AG55" s="31" t="str">
        <f>IFERROR(INDEX('G-6 Hedgerow Data'!$BJ$3:$BJ$15,MATCH(D55,'G-6 Hedgerow Data'!$B$3:$B$15,0)),"")</f>
        <v/>
      </c>
    </row>
    <row r="56" spans="2:33" ht="13.8" x14ac:dyDescent="0.25">
      <c r="B56" s="141">
        <v>45</v>
      </c>
      <c r="C56" s="205"/>
      <c r="D56" s="195"/>
      <c r="E56" s="172"/>
      <c r="F56" s="553" t="str">
        <f>IF(D56="","",VLOOKUP(D56,'G-6 Hedgerow Data'!$B$2:$AG$15,2,FALSE))</f>
        <v/>
      </c>
      <c r="G56" s="499" t="str">
        <f>IF(D56="","",VLOOKUP(D56,'G-6 Hedgerow Data'!$B$2:$AG$15,3,FALSE))</f>
        <v/>
      </c>
      <c r="H56" s="145"/>
      <c r="I56" s="499" t="str">
        <f>IFERROR(VLOOKUP(H56,'G-1 All Habitats'!$Z$2:$AA$9,2,FALSE),"")</f>
        <v/>
      </c>
      <c r="J56" s="145"/>
      <c r="K56" s="520" t="str">
        <f>IF(J56="","",IF(VLOOKUP(J56,'G-3 Multipliers'!$L$3:$N$6,2,FALSE)=0,"Spatial Data Missing ⚠",VLOOKUP(J56,'G-3 Multipliers'!$L$3:$N$6,2,FALSE)))</f>
        <v/>
      </c>
      <c r="L56" s="505" t="str">
        <f>IF(J56="","",IF(VLOOKUP(J56,'G-3 Multipliers'!$L$3:$N$6,3,FALSE)=0,"Spatial Data Missing ⚠",VLOOKUP(J56,'G-3 Multipliers'!$L$3:$N$6,3,FALSE)))</f>
        <v/>
      </c>
      <c r="M56" s="498" t="str">
        <f>IF(OR(D56="",H56=""),"",(INDEX('G-6 Hedgerow Data'!$E$3:$I$15,MATCH(D56,'G-6 Hedgerow Data'!$B$3:$B$15,0),MATCH(H56,'G-6 Hedgerow Data'!$E$2:$I$2,0))))</f>
        <v/>
      </c>
      <c r="N56" s="195"/>
      <c r="O56" s="195"/>
      <c r="P56" s="507" t="str">
        <f t="shared" si="1"/>
        <v/>
      </c>
      <c r="Q56" s="521" t="str">
        <f t="shared" si="2"/>
        <v/>
      </c>
      <c r="R56" s="522" t="str">
        <f t="shared" si="0"/>
        <v/>
      </c>
      <c r="S56" s="537" t="str">
        <f>IF(D56="","",VLOOKUP(D56,'G-6 Hedgerow Data'!$B$3:$AG$15,31,FALSE))</f>
        <v/>
      </c>
      <c r="T56" s="507" t="str">
        <f t="shared" si="3"/>
        <v/>
      </c>
      <c r="U56" s="507" t="str">
        <f t="shared" si="4"/>
        <v/>
      </c>
      <c r="V56" s="524" t="str">
        <f>IF(D56="","",VLOOKUP(S56,'G-3 Multipliers'!$P$3:$Q$6,2,FALSE))</f>
        <v/>
      </c>
      <c r="W56" s="529" t="str">
        <f t="shared" si="5"/>
        <v/>
      </c>
      <c r="X56" s="149"/>
      <c r="Y56" s="150"/>
      <c r="AG56" s="31" t="str">
        <f>IFERROR(INDEX('G-6 Hedgerow Data'!$BJ$3:$BJ$15,MATCH(D56,'G-6 Hedgerow Data'!$B$3:$B$15,0)),"")</f>
        <v/>
      </c>
    </row>
    <row r="57" spans="2:33" ht="13.8" x14ac:dyDescent="0.25">
      <c r="B57" s="141">
        <v>46</v>
      </c>
      <c r="C57" s="205"/>
      <c r="D57" s="195"/>
      <c r="E57" s="172"/>
      <c r="F57" s="553" t="str">
        <f>IF(D57="","",VLOOKUP(D57,'G-6 Hedgerow Data'!$B$2:$AG$15,2,FALSE))</f>
        <v/>
      </c>
      <c r="G57" s="499" t="str">
        <f>IF(D57="","",VLOOKUP(D57,'G-6 Hedgerow Data'!$B$2:$AG$15,3,FALSE))</f>
        <v/>
      </c>
      <c r="H57" s="145"/>
      <c r="I57" s="499" t="str">
        <f>IFERROR(VLOOKUP(H57,'G-1 All Habitats'!$Z$2:$AA$9,2,FALSE),"")</f>
        <v/>
      </c>
      <c r="J57" s="145"/>
      <c r="K57" s="520" t="str">
        <f>IF(J57="","",IF(VLOOKUP(J57,'G-3 Multipliers'!$L$3:$N$6,2,FALSE)=0,"Spatial Data Missing ⚠",VLOOKUP(J57,'G-3 Multipliers'!$L$3:$N$6,2,FALSE)))</f>
        <v/>
      </c>
      <c r="L57" s="505" t="str">
        <f>IF(J57="","",IF(VLOOKUP(J57,'G-3 Multipliers'!$L$3:$N$6,3,FALSE)=0,"Spatial Data Missing ⚠",VLOOKUP(J57,'G-3 Multipliers'!$L$3:$N$6,3,FALSE)))</f>
        <v/>
      </c>
      <c r="M57" s="498" t="str">
        <f>IF(OR(D57="",H57=""),"",(INDEX('G-6 Hedgerow Data'!$E$3:$I$15,MATCH(D57,'G-6 Hedgerow Data'!$B$3:$B$15,0),MATCH(H57,'G-6 Hedgerow Data'!$E$2:$I$2,0))))</f>
        <v/>
      </c>
      <c r="N57" s="195"/>
      <c r="O57" s="195"/>
      <c r="P57" s="507" t="str">
        <f t="shared" si="1"/>
        <v/>
      </c>
      <c r="Q57" s="521" t="str">
        <f t="shared" si="2"/>
        <v/>
      </c>
      <c r="R57" s="522" t="str">
        <f t="shared" si="0"/>
        <v/>
      </c>
      <c r="S57" s="537" t="str">
        <f>IF(D57="","",VLOOKUP(D57,'G-6 Hedgerow Data'!$B$3:$AG$15,31,FALSE))</f>
        <v/>
      </c>
      <c r="T57" s="507" t="str">
        <f t="shared" si="3"/>
        <v/>
      </c>
      <c r="U57" s="507" t="str">
        <f t="shared" si="4"/>
        <v/>
      </c>
      <c r="V57" s="524" t="str">
        <f>IF(D57="","",VLOOKUP(S57,'G-3 Multipliers'!$P$3:$Q$6,2,FALSE))</f>
        <v/>
      </c>
      <c r="W57" s="529" t="str">
        <f t="shared" si="5"/>
        <v/>
      </c>
      <c r="X57" s="149"/>
      <c r="Y57" s="150"/>
      <c r="AG57" s="31" t="str">
        <f>IFERROR(INDEX('G-6 Hedgerow Data'!$BJ$3:$BJ$15,MATCH(D57,'G-6 Hedgerow Data'!$B$3:$B$15,0)),"")</f>
        <v/>
      </c>
    </row>
    <row r="58" spans="2:33" ht="13.8" x14ac:dyDescent="0.25">
      <c r="B58" s="141">
        <v>47</v>
      </c>
      <c r="C58" s="205"/>
      <c r="D58" s="195"/>
      <c r="E58" s="172"/>
      <c r="F58" s="553" t="str">
        <f>IF(D58="","",VLOOKUP(D58,'G-6 Hedgerow Data'!$B$2:$AG$15,2,FALSE))</f>
        <v/>
      </c>
      <c r="G58" s="499" t="str">
        <f>IF(D58="","",VLOOKUP(D58,'G-6 Hedgerow Data'!$B$2:$AG$15,3,FALSE))</f>
        <v/>
      </c>
      <c r="H58" s="145"/>
      <c r="I58" s="499" t="str">
        <f>IFERROR(VLOOKUP(H58,'G-1 All Habitats'!$Z$2:$AA$9,2,FALSE),"")</f>
        <v/>
      </c>
      <c r="J58" s="145"/>
      <c r="K58" s="520" t="str">
        <f>IF(J58="","",IF(VLOOKUP(J58,'G-3 Multipliers'!$L$3:$N$6,2,FALSE)=0,"Spatial Data Missing ⚠",VLOOKUP(J58,'G-3 Multipliers'!$L$3:$N$6,2,FALSE)))</f>
        <v/>
      </c>
      <c r="L58" s="505" t="str">
        <f>IF(J58="","",IF(VLOOKUP(J58,'G-3 Multipliers'!$L$3:$N$6,3,FALSE)=0,"Spatial Data Missing ⚠",VLOOKUP(J58,'G-3 Multipliers'!$L$3:$N$6,3,FALSE)))</f>
        <v/>
      </c>
      <c r="M58" s="498" t="str">
        <f>IF(OR(D58="",H58=""),"",(INDEX('G-6 Hedgerow Data'!$E$3:$I$15,MATCH(D58,'G-6 Hedgerow Data'!$B$3:$B$15,0),MATCH(H58,'G-6 Hedgerow Data'!$E$2:$I$2,0))))</f>
        <v/>
      </c>
      <c r="N58" s="195"/>
      <c r="O58" s="195"/>
      <c r="P58" s="507" t="str">
        <f t="shared" si="1"/>
        <v/>
      </c>
      <c r="Q58" s="521" t="str">
        <f t="shared" si="2"/>
        <v/>
      </c>
      <c r="R58" s="522" t="str">
        <f t="shared" si="0"/>
        <v/>
      </c>
      <c r="S58" s="537" t="str">
        <f>IF(D58="","",VLOOKUP(D58,'G-6 Hedgerow Data'!$B$3:$AG$15,31,FALSE))</f>
        <v/>
      </c>
      <c r="T58" s="507" t="str">
        <f t="shared" si="3"/>
        <v/>
      </c>
      <c r="U58" s="507" t="str">
        <f t="shared" si="4"/>
        <v/>
      </c>
      <c r="V58" s="524" t="str">
        <f>IF(D58="","",VLOOKUP(S58,'G-3 Multipliers'!$P$3:$Q$6,2,FALSE))</f>
        <v/>
      </c>
      <c r="W58" s="529" t="str">
        <f t="shared" si="5"/>
        <v/>
      </c>
      <c r="X58" s="149"/>
      <c r="Y58" s="150"/>
      <c r="AG58" s="31" t="str">
        <f>IFERROR(INDEX('G-6 Hedgerow Data'!$BJ$3:$BJ$15,MATCH(D58,'G-6 Hedgerow Data'!$B$3:$B$15,0)),"")</f>
        <v/>
      </c>
    </row>
    <row r="59" spans="2:33" ht="13.8" x14ac:dyDescent="0.25">
      <c r="B59" s="141">
        <v>48</v>
      </c>
      <c r="C59" s="205"/>
      <c r="D59" s="195"/>
      <c r="E59" s="172"/>
      <c r="F59" s="553" t="str">
        <f>IF(D59="","",VLOOKUP(D59,'G-6 Hedgerow Data'!$B$2:$AG$15,2,FALSE))</f>
        <v/>
      </c>
      <c r="G59" s="499" t="str">
        <f>IF(D59="","",VLOOKUP(D59,'G-6 Hedgerow Data'!$B$2:$AG$15,3,FALSE))</f>
        <v/>
      </c>
      <c r="H59" s="145"/>
      <c r="I59" s="499" t="str">
        <f>IFERROR(VLOOKUP(H59,'G-1 All Habitats'!$Z$2:$AA$9,2,FALSE),"")</f>
        <v/>
      </c>
      <c r="J59" s="145"/>
      <c r="K59" s="520" t="str">
        <f>IF(J59="","",IF(VLOOKUP(J59,'G-3 Multipliers'!$L$3:$N$6,2,FALSE)=0,"Spatial Data Missing ⚠",VLOOKUP(J59,'G-3 Multipliers'!$L$3:$N$6,2,FALSE)))</f>
        <v/>
      </c>
      <c r="L59" s="505" t="str">
        <f>IF(J59="","",IF(VLOOKUP(J59,'G-3 Multipliers'!$L$3:$N$6,3,FALSE)=0,"Spatial Data Missing ⚠",VLOOKUP(J59,'G-3 Multipliers'!$L$3:$N$6,3,FALSE)))</f>
        <v/>
      </c>
      <c r="M59" s="498" t="str">
        <f>IF(OR(D59="",H59=""),"",(INDEX('G-6 Hedgerow Data'!$E$3:$I$15,MATCH(D59,'G-6 Hedgerow Data'!$B$3:$B$15,0),MATCH(H59,'G-6 Hedgerow Data'!$E$2:$I$2,0))))</f>
        <v/>
      </c>
      <c r="N59" s="195"/>
      <c r="O59" s="195"/>
      <c r="P59" s="507" t="str">
        <f t="shared" si="1"/>
        <v/>
      </c>
      <c r="Q59" s="521" t="str">
        <f t="shared" si="2"/>
        <v/>
      </c>
      <c r="R59" s="522" t="str">
        <f t="shared" si="0"/>
        <v/>
      </c>
      <c r="S59" s="537" t="str">
        <f>IF(D59="","",VLOOKUP(D59,'G-6 Hedgerow Data'!$B$3:$AG$15,31,FALSE))</f>
        <v/>
      </c>
      <c r="T59" s="507" t="str">
        <f t="shared" si="3"/>
        <v/>
      </c>
      <c r="U59" s="507" t="str">
        <f t="shared" si="4"/>
        <v/>
      </c>
      <c r="V59" s="524" t="str">
        <f>IF(D59="","",VLOOKUP(S59,'G-3 Multipliers'!$P$3:$Q$6,2,FALSE))</f>
        <v/>
      </c>
      <c r="W59" s="529" t="str">
        <f t="shared" si="5"/>
        <v/>
      </c>
      <c r="X59" s="149"/>
      <c r="Y59" s="150"/>
      <c r="AG59" s="31" t="str">
        <f>IFERROR(INDEX('G-6 Hedgerow Data'!$BJ$3:$BJ$15,MATCH(D59,'G-6 Hedgerow Data'!$B$3:$B$15,0)),"")</f>
        <v/>
      </c>
    </row>
    <row r="60" spans="2:33" ht="13.8" x14ac:dyDescent="0.25">
      <c r="B60" s="141">
        <v>49</v>
      </c>
      <c r="C60" s="205"/>
      <c r="D60" s="195"/>
      <c r="E60" s="172"/>
      <c r="F60" s="553" t="str">
        <f>IF(D60="","",VLOOKUP(D60,'G-6 Hedgerow Data'!$B$2:$AG$15,2,FALSE))</f>
        <v/>
      </c>
      <c r="G60" s="499" t="str">
        <f>IF(D60="","",VLOOKUP(D60,'G-6 Hedgerow Data'!$B$2:$AG$15,3,FALSE))</f>
        <v/>
      </c>
      <c r="H60" s="145"/>
      <c r="I60" s="499" t="str">
        <f>IFERROR(VLOOKUP(H60,'G-1 All Habitats'!$Z$2:$AA$9,2,FALSE),"")</f>
        <v/>
      </c>
      <c r="J60" s="145"/>
      <c r="K60" s="520" t="str">
        <f>IF(J60="","",IF(VLOOKUP(J60,'G-3 Multipliers'!$L$3:$N$6,2,FALSE)=0,"Spatial Data Missing ⚠",VLOOKUP(J60,'G-3 Multipliers'!$L$3:$N$6,2,FALSE)))</f>
        <v/>
      </c>
      <c r="L60" s="505" t="str">
        <f>IF(J60="","",IF(VLOOKUP(J60,'G-3 Multipliers'!$L$3:$N$6,3,FALSE)=0,"Spatial Data Missing ⚠",VLOOKUP(J60,'G-3 Multipliers'!$L$3:$N$6,3,FALSE)))</f>
        <v/>
      </c>
      <c r="M60" s="498" t="str">
        <f>IF(OR(D60="",H60=""),"",(INDEX('G-6 Hedgerow Data'!$E$3:$I$15,MATCH(D60,'G-6 Hedgerow Data'!$B$3:$B$15,0),MATCH(H60,'G-6 Hedgerow Data'!$E$2:$I$2,0))))</f>
        <v/>
      </c>
      <c r="N60" s="195"/>
      <c r="O60" s="195"/>
      <c r="P60" s="507" t="str">
        <f t="shared" si="1"/>
        <v/>
      </c>
      <c r="Q60" s="521" t="str">
        <f t="shared" si="2"/>
        <v/>
      </c>
      <c r="R60" s="522" t="str">
        <f t="shared" si="0"/>
        <v/>
      </c>
      <c r="S60" s="537" t="str">
        <f>IF(D60="","",VLOOKUP(D60,'G-6 Hedgerow Data'!$B$3:$AG$15,31,FALSE))</f>
        <v/>
      </c>
      <c r="T60" s="507" t="str">
        <f t="shared" si="3"/>
        <v/>
      </c>
      <c r="U60" s="507" t="str">
        <f t="shared" si="4"/>
        <v/>
      </c>
      <c r="V60" s="524" t="str">
        <f>IF(D60="","",VLOOKUP(S60,'G-3 Multipliers'!$P$3:$Q$6,2,FALSE))</f>
        <v/>
      </c>
      <c r="W60" s="529" t="str">
        <f t="shared" si="5"/>
        <v/>
      </c>
      <c r="X60" s="149"/>
      <c r="Y60" s="150"/>
      <c r="AG60" s="31" t="str">
        <f>IFERROR(INDEX('G-6 Hedgerow Data'!$BJ$3:$BJ$15,MATCH(D60,'G-6 Hedgerow Data'!$B$3:$B$15,0)),"")</f>
        <v/>
      </c>
    </row>
    <row r="61" spans="2:33" ht="13.8" x14ac:dyDescent="0.25">
      <c r="B61" s="141">
        <v>50</v>
      </c>
      <c r="C61" s="205"/>
      <c r="D61" s="195"/>
      <c r="E61" s="172"/>
      <c r="F61" s="553" t="str">
        <f>IF(D61="","",VLOOKUP(D61,'G-6 Hedgerow Data'!$B$2:$AG$15,2,FALSE))</f>
        <v/>
      </c>
      <c r="G61" s="499" t="str">
        <f>IF(D61="","",VLOOKUP(D61,'G-6 Hedgerow Data'!$B$2:$AG$15,3,FALSE))</f>
        <v/>
      </c>
      <c r="H61" s="145"/>
      <c r="I61" s="499" t="str">
        <f>IFERROR(VLOOKUP(H61,'G-1 All Habitats'!$Z$2:$AA$9,2,FALSE),"")</f>
        <v/>
      </c>
      <c r="J61" s="145"/>
      <c r="K61" s="520" t="str">
        <f>IF(J61="","",IF(VLOOKUP(J61,'G-3 Multipliers'!$L$3:$N$6,2,FALSE)=0,"Spatial Data Missing ⚠",VLOOKUP(J61,'G-3 Multipliers'!$L$3:$N$6,2,FALSE)))</f>
        <v/>
      </c>
      <c r="L61" s="505" t="str">
        <f>IF(J61="","",IF(VLOOKUP(J61,'G-3 Multipliers'!$L$3:$N$6,3,FALSE)=0,"Spatial Data Missing ⚠",VLOOKUP(J61,'G-3 Multipliers'!$L$3:$N$6,3,FALSE)))</f>
        <v/>
      </c>
      <c r="M61" s="498" t="str">
        <f>IF(OR(D61="",H61=""),"",(INDEX('G-6 Hedgerow Data'!$E$3:$I$15,MATCH(D61,'G-6 Hedgerow Data'!$B$3:$B$15,0),MATCH(H61,'G-6 Hedgerow Data'!$E$2:$I$2,0))))</f>
        <v/>
      </c>
      <c r="N61" s="195"/>
      <c r="O61" s="195"/>
      <c r="P61" s="507" t="str">
        <f t="shared" si="1"/>
        <v/>
      </c>
      <c r="Q61" s="521" t="str">
        <f t="shared" si="2"/>
        <v/>
      </c>
      <c r="R61" s="522" t="str">
        <f t="shared" si="0"/>
        <v/>
      </c>
      <c r="S61" s="537" t="str">
        <f>IF(D61="","",VLOOKUP(D61,'G-6 Hedgerow Data'!$B$3:$AG$15,31,FALSE))</f>
        <v/>
      </c>
      <c r="T61" s="507" t="str">
        <f t="shared" si="3"/>
        <v/>
      </c>
      <c r="U61" s="507" t="str">
        <f t="shared" si="4"/>
        <v/>
      </c>
      <c r="V61" s="524" t="str">
        <f>IF(D61="","",VLOOKUP(S61,'G-3 Multipliers'!$P$3:$Q$6,2,FALSE))</f>
        <v/>
      </c>
      <c r="W61" s="529" t="str">
        <f t="shared" si="5"/>
        <v/>
      </c>
      <c r="X61" s="149"/>
      <c r="Y61" s="150"/>
      <c r="AG61" s="31" t="str">
        <f>IFERROR(INDEX('G-6 Hedgerow Data'!$BJ$3:$BJ$15,MATCH(D61,'G-6 Hedgerow Data'!$B$3:$B$15,0)),"")</f>
        <v/>
      </c>
    </row>
    <row r="62" spans="2:33" ht="13.8" x14ac:dyDescent="0.25">
      <c r="B62" s="141">
        <v>51</v>
      </c>
      <c r="C62" s="205"/>
      <c r="D62" s="195"/>
      <c r="E62" s="172"/>
      <c r="F62" s="553" t="str">
        <f>IF(D62="","",VLOOKUP(D62,'G-6 Hedgerow Data'!$B$2:$AG$15,2,FALSE))</f>
        <v/>
      </c>
      <c r="G62" s="499" t="str">
        <f>IF(D62="","",VLOOKUP(D62,'G-6 Hedgerow Data'!$B$2:$AG$15,3,FALSE))</f>
        <v/>
      </c>
      <c r="H62" s="145"/>
      <c r="I62" s="499" t="str">
        <f>IFERROR(VLOOKUP(H62,'G-1 All Habitats'!$Z$2:$AA$9,2,FALSE),"")</f>
        <v/>
      </c>
      <c r="J62" s="145"/>
      <c r="K62" s="520" t="str">
        <f>IF(J62="","",IF(VLOOKUP(J62,'G-3 Multipliers'!$L$3:$N$6,2,FALSE)=0,"Spatial Data Missing ⚠",VLOOKUP(J62,'G-3 Multipliers'!$L$3:$N$6,2,FALSE)))</f>
        <v/>
      </c>
      <c r="L62" s="505" t="str">
        <f>IF(J62="","",IF(VLOOKUP(J62,'G-3 Multipliers'!$L$3:$N$6,3,FALSE)=0,"Spatial Data Missing ⚠",VLOOKUP(J62,'G-3 Multipliers'!$L$3:$N$6,3,FALSE)))</f>
        <v/>
      </c>
      <c r="M62" s="498" t="str">
        <f>IF(OR(D62="",H62=""),"",(INDEX('G-6 Hedgerow Data'!$E$3:$I$15,MATCH(D62,'G-6 Hedgerow Data'!$B$3:$B$15,0),MATCH(H62,'G-6 Hedgerow Data'!$E$2:$I$2,0))))</f>
        <v/>
      </c>
      <c r="N62" s="195"/>
      <c r="O62" s="195"/>
      <c r="P62" s="507" t="str">
        <f t="shared" si="1"/>
        <v/>
      </c>
      <c r="Q62" s="521" t="str">
        <f t="shared" si="2"/>
        <v/>
      </c>
      <c r="R62" s="522" t="str">
        <f t="shared" si="0"/>
        <v/>
      </c>
      <c r="S62" s="537" t="str">
        <f>IF(D62="","",VLOOKUP(D62,'G-6 Hedgerow Data'!$B$3:$AG$15,31,FALSE))</f>
        <v/>
      </c>
      <c r="T62" s="507" t="str">
        <f t="shared" si="3"/>
        <v/>
      </c>
      <c r="U62" s="507" t="str">
        <f t="shared" si="4"/>
        <v/>
      </c>
      <c r="V62" s="524" t="str">
        <f>IF(D62="","",VLOOKUP(S62,'G-3 Multipliers'!$P$3:$Q$6,2,FALSE))</f>
        <v/>
      </c>
      <c r="W62" s="529" t="str">
        <f t="shared" si="5"/>
        <v/>
      </c>
      <c r="X62" s="149"/>
      <c r="Y62" s="150"/>
      <c r="AG62" s="31" t="str">
        <f>IFERROR(INDEX('G-6 Hedgerow Data'!$BJ$3:$BJ$15,MATCH(D62,'G-6 Hedgerow Data'!$B$3:$B$15,0)),"")</f>
        <v/>
      </c>
    </row>
    <row r="63" spans="2:33" ht="13.8" x14ac:dyDescent="0.25">
      <c r="B63" s="141">
        <v>52</v>
      </c>
      <c r="C63" s="205"/>
      <c r="D63" s="195"/>
      <c r="E63" s="172"/>
      <c r="F63" s="553" t="str">
        <f>IF(D63="","",VLOOKUP(D63,'G-6 Hedgerow Data'!$B$2:$AG$15,2,FALSE))</f>
        <v/>
      </c>
      <c r="G63" s="499" t="str">
        <f>IF(D63="","",VLOOKUP(D63,'G-6 Hedgerow Data'!$B$2:$AG$15,3,FALSE))</f>
        <v/>
      </c>
      <c r="H63" s="145"/>
      <c r="I63" s="499" t="str">
        <f>IFERROR(VLOOKUP(H63,'G-1 All Habitats'!$Z$2:$AA$9,2,FALSE),"")</f>
        <v/>
      </c>
      <c r="J63" s="145"/>
      <c r="K63" s="520" t="str">
        <f>IF(J63="","",IF(VLOOKUP(J63,'G-3 Multipliers'!$L$3:$N$6,2,FALSE)=0,"Spatial Data Missing ⚠",VLOOKUP(J63,'G-3 Multipliers'!$L$3:$N$6,2,FALSE)))</f>
        <v/>
      </c>
      <c r="L63" s="505" t="str">
        <f>IF(J63="","",IF(VLOOKUP(J63,'G-3 Multipliers'!$L$3:$N$6,3,FALSE)=0,"Spatial Data Missing ⚠",VLOOKUP(J63,'G-3 Multipliers'!$L$3:$N$6,3,FALSE)))</f>
        <v/>
      </c>
      <c r="M63" s="498" t="str">
        <f>IF(OR(D63="",H63=""),"",(INDEX('G-6 Hedgerow Data'!$E$3:$I$15,MATCH(D63,'G-6 Hedgerow Data'!$B$3:$B$15,0),MATCH(H63,'G-6 Hedgerow Data'!$E$2:$I$2,0))))</f>
        <v/>
      </c>
      <c r="N63" s="195"/>
      <c r="O63" s="195"/>
      <c r="P63" s="507" t="str">
        <f t="shared" si="1"/>
        <v/>
      </c>
      <c r="Q63" s="521" t="str">
        <f t="shared" si="2"/>
        <v/>
      </c>
      <c r="R63" s="522" t="str">
        <f t="shared" si="0"/>
        <v/>
      </c>
      <c r="S63" s="537" t="str">
        <f>IF(D63="","",VLOOKUP(D63,'G-6 Hedgerow Data'!$B$3:$AG$15,31,FALSE))</f>
        <v/>
      </c>
      <c r="T63" s="507" t="str">
        <f t="shared" si="3"/>
        <v/>
      </c>
      <c r="U63" s="507" t="str">
        <f t="shared" si="4"/>
        <v/>
      </c>
      <c r="V63" s="524" t="str">
        <f>IF(D63="","",VLOOKUP(S63,'G-3 Multipliers'!$P$3:$Q$6,2,FALSE))</f>
        <v/>
      </c>
      <c r="W63" s="529" t="str">
        <f t="shared" si="5"/>
        <v/>
      </c>
      <c r="X63" s="149"/>
      <c r="Y63" s="150"/>
      <c r="AG63" s="31" t="str">
        <f>IFERROR(INDEX('G-6 Hedgerow Data'!$BJ$3:$BJ$15,MATCH(D63,'G-6 Hedgerow Data'!$B$3:$B$15,0)),"")</f>
        <v/>
      </c>
    </row>
    <row r="64" spans="2:33" ht="13.8" x14ac:dyDescent="0.25">
      <c r="B64" s="141">
        <v>53</v>
      </c>
      <c r="C64" s="205"/>
      <c r="D64" s="195"/>
      <c r="E64" s="172"/>
      <c r="F64" s="553" t="str">
        <f>IF(D64="","",VLOOKUP(D64,'G-6 Hedgerow Data'!$B$2:$AG$15,2,FALSE))</f>
        <v/>
      </c>
      <c r="G64" s="499" t="str">
        <f>IF(D64="","",VLOOKUP(D64,'G-6 Hedgerow Data'!$B$2:$AG$15,3,FALSE))</f>
        <v/>
      </c>
      <c r="H64" s="145"/>
      <c r="I64" s="499" t="str">
        <f>IFERROR(VLOOKUP(H64,'G-1 All Habitats'!$Z$2:$AA$9,2,FALSE),"")</f>
        <v/>
      </c>
      <c r="J64" s="145"/>
      <c r="K64" s="520" t="str">
        <f>IF(J64="","",IF(VLOOKUP(J64,'G-3 Multipliers'!$L$3:$N$6,2,FALSE)=0,"Spatial Data Missing ⚠",VLOOKUP(J64,'G-3 Multipliers'!$L$3:$N$6,2,FALSE)))</f>
        <v/>
      </c>
      <c r="L64" s="505" t="str">
        <f>IF(J64="","",IF(VLOOKUP(J64,'G-3 Multipliers'!$L$3:$N$6,3,FALSE)=0,"Spatial Data Missing ⚠",VLOOKUP(J64,'G-3 Multipliers'!$L$3:$N$6,3,FALSE)))</f>
        <v/>
      </c>
      <c r="M64" s="498" t="str">
        <f>IF(OR(D64="",H64=""),"",(INDEX('G-6 Hedgerow Data'!$E$3:$I$15,MATCH(D64,'G-6 Hedgerow Data'!$B$3:$B$15,0),MATCH(H64,'G-6 Hedgerow Data'!$E$2:$I$2,0))))</f>
        <v/>
      </c>
      <c r="N64" s="195"/>
      <c r="O64" s="195"/>
      <c r="P64" s="507" t="str">
        <f t="shared" si="1"/>
        <v/>
      </c>
      <c r="Q64" s="521" t="str">
        <f t="shared" si="2"/>
        <v/>
      </c>
      <c r="R64" s="522" t="str">
        <f t="shared" si="0"/>
        <v/>
      </c>
      <c r="S64" s="537" t="str">
        <f>IF(D64="","",VLOOKUP(D64,'G-6 Hedgerow Data'!$B$3:$AG$15,31,FALSE))</f>
        <v/>
      </c>
      <c r="T64" s="507" t="str">
        <f t="shared" si="3"/>
        <v/>
      </c>
      <c r="U64" s="507" t="str">
        <f t="shared" si="4"/>
        <v/>
      </c>
      <c r="V64" s="524" t="str">
        <f>IF(D64="","",VLOOKUP(S64,'G-3 Multipliers'!$P$3:$Q$6,2,FALSE))</f>
        <v/>
      </c>
      <c r="W64" s="529" t="str">
        <f t="shared" si="5"/>
        <v/>
      </c>
      <c r="X64" s="149"/>
      <c r="Y64" s="150"/>
      <c r="AG64" s="31" t="str">
        <f>IFERROR(INDEX('G-6 Hedgerow Data'!$BJ$3:$BJ$15,MATCH(D64,'G-6 Hedgerow Data'!$B$3:$B$15,0)),"")</f>
        <v/>
      </c>
    </row>
    <row r="65" spans="2:33" ht="13.8" x14ac:dyDescent="0.25">
      <c r="B65" s="141">
        <v>54</v>
      </c>
      <c r="C65" s="205"/>
      <c r="D65" s="195"/>
      <c r="E65" s="172"/>
      <c r="F65" s="553" t="str">
        <f>IF(D65="","",VLOOKUP(D65,'G-6 Hedgerow Data'!$B$2:$AG$15,2,FALSE))</f>
        <v/>
      </c>
      <c r="G65" s="499" t="str">
        <f>IF(D65="","",VLOOKUP(D65,'G-6 Hedgerow Data'!$B$2:$AG$15,3,FALSE))</f>
        <v/>
      </c>
      <c r="H65" s="145"/>
      <c r="I65" s="499" t="str">
        <f>IFERROR(VLOOKUP(H65,'G-1 All Habitats'!$Z$2:$AA$9,2,FALSE),"")</f>
        <v/>
      </c>
      <c r="J65" s="145"/>
      <c r="K65" s="520" t="str">
        <f>IF(J65="","",IF(VLOOKUP(J65,'G-3 Multipliers'!$L$3:$N$6,2,FALSE)=0,"Spatial Data Missing ⚠",VLOOKUP(J65,'G-3 Multipliers'!$L$3:$N$6,2,FALSE)))</f>
        <v/>
      </c>
      <c r="L65" s="505" t="str">
        <f>IF(J65="","",IF(VLOOKUP(J65,'G-3 Multipliers'!$L$3:$N$6,3,FALSE)=0,"Spatial Data Missing ⚠",VLOOKUP(J65,'G-3 Multipliers'!$L$3:$N$6,3,FALSE)))</f>
        <v/>
      </c>
      <c r="M65" s="498" t="str">
        <f>IF(OR(D65="",H65=""),"",(INDEX('G-6 Hedgerow Data'!$E$3:$I$15,MATCH(D65,'G-6 Hedgerow Data'!$B$3:$B$15,0),MATCH(H65,'G-6 Hedgerow Data'!$E$2:$I$2,0))))</f>
        <v/>
      </c>
      <c r="N65" s="195"/>
      <c r="O65" s="195"/>
      <c r="P65" s="507" t="str">
        <f t="shared" si="1"/>
        <v/>
      </c>
      <c r="Q65" s="521" t="str">
        <f t="shared" si="2"/>
        <v/>
      </c>
      <c r="R65" s="522" t="str">
        <f t="shared" si="0"/>
        <v/>
      </c>
      <c r="S65" s="537" t="str">
        <f>IF(D65="","",VLOOKUP(D65,'G-6 Hedgerow Data'!$B$3:$AG$15,31,FALSE))</f>
        <v/>
      </c>
      <c r="T65" s="507" t="str">
        <f t="shared" si="3"/>
        <v/>
      </c>
      <c r="U65" s="507" t="str">
        <f t="shared" si="4"/>
        <v/>
      </c>
      <c r="V65" s="524" t="str">
        <f>IF(D65="","",VLOOKUP(S65,'G-3 Multipliers'!$P$3:$Q$6,2,FALSE))</f>
        <v/>
      </c>
      <c r="W65" s="529" t="str">
        <f t="shared" si="5"/>
        <v/>
      </c>
      <c r="X65" s="149"/>
      <c r="Y65" s="150"/>
      <c r="AG65" s="31" t="str">
        <f>IFERROR(INDEX('G-6 Hedgerow Data'!$BJ$3:$BJ$15,MATCH(D65,'G-6 Hedgerow Data'!$B$3:$B$15,0)),"")</f>
        <v/>
      </c>
    </row>
    <row r="66" spans="2:33" ht="13.8" x14ac:dyDescent="0.25">
      <c r="B66" s="141">
        <v>55</v>
      </c>
      <c r="C66" s="205"/>
      <c r="D66" s="195"/>
      <c r="E66" s="172"/>
      <c r="F66" s="553" t="str">
        <f>IF(D66="","",VLOOKUP(D66,'G-6 Hedgerow Data'!$B$2:$AG$15,2,FALSE))</f>
        <v/>
      </c>
      <c r="G66" s="499" t="str">
        <f>IF(D66="","",VLOOKUP(D66,'G-6 Hedgerow Data'!$B$2:$AG$15,3,FALSE))</f>
        <v/>
      </c>
      <c r="H66" s="145"/>
      <c r="I66" s="499" t="str">
        <f>IFERROR(VLOOKUP(H66,'G-1 All Habitats'!$Z$2:$AA$9,2,FALSE),"")</f>
        <v/>
      </c>
      <c r="J66" s="145"/>
      <c r="K66" s="520" t="str">
        <f>IF(J66="","",IF(VLOOKUP(J66,'G-3 Multipliers'!$L$3:$N$6,2,FALSE)=0,"Spatial Data Missing ⚠",VLOOKUP(J66,'G-3 Multipliers'!$L$3:$N$6,2,FALSE)))</f>
        <v/>
      </c>
      <c r="L66" s="505" t="str">
        <f>IF(J66="","",IF(VLOOKUP(J66,'G-3 Multipliers'!$L$3:$N$6,3,FALSE)=0,"Spatial Data Missing ⚠",VLOOKUP(J66,'G-3 Multipliers'!$L$3:$N$6,3,FALSE)))</f>
        <v/>
      </c>
      <c r="M66" s="498" t="str">
        <f>IF(OR(D66="",H66=""),"",(INDEX('G-6 Hedgerow Data'!$E$3:$I$15,MATCH(D66,'G-6 Hedgerow Data'!$B$3:$B$15,0),MATCH(H66,'G-6 Hedgerow Data'!$E$2:$I$2,0))))</f>
        <v/>
      </c>
      <c r="N66" s="195"/>
      <c r="O66" s="195"/>
      <c r="P66" s="507" t="str">
        <f t="shared" si="1"/>
        <v/>
      </c>
      <c r="Q66" s="521" t="str">
        <f t="shared" si="2"/>
        <v/>
      </c>
      <c r="R66" s="522" t="str">
        <f t="shared" si="0"/>
        <v/>
      </c>
      <c r="S66" s="537" t="str">
        <f>IF(D66="","",VLOOKUP(D66,'G-6 Hedgerow Data'!$B$3:$AG$15,31,FALSE))</f>
        <v/>
      </c>
      <c r="T66" s="507" t="str">
        <f t="shared" si="3"/>
        <v/>
      </c>
      <c r="U66" s="507" t="str">
        <f t="shared" si="4"/>
        <v/>
      </c>
      <c r="V66" s="524" t="str">
        <f>IF(D66="","",VLOOKUP(S66,'G-3 Multipliers'!$P$3:$Q$6,2,FALSE))</f>
        <v/>
      </c>
      <c r="W66" s="529" t="str">
        <f t="shared" si="5"/>
        <v/>
      </c>
      <c r="X66" s="149"/>
      <c r="Y66" s="150"/>
      <c r="AG66" s="31" t="str">
        <f>IFERROR(INDEX('G-6 Hedgerow Data'!$BJ$3:$BJ$15,MATCH(D66,'G-6 Hedgerow Data'!$B$3:$B$15,0)),"")</f>
        <v/>
      </c>
    </row>
    <row r="67" spans="2:33" ht="13.8" x14ac:dyDescent="0.25">
      <c r="B67" s="141">
        <v>56</v>
      </c>
      <c r="C67" s="205"/>
      <c r="D67" s="195"/>
      <c r="E67" s="172"/>
      <c r="F67" s="553" t="str">
        <f>IF(D67="","",VLOOKUP(D67,'G-6 Hedgerow Data'!$B$2:$AG$15,2,FALSE))</f>
        <v/>
      </c>
      <c r="G67" s="499" t="str">
        <f>IF(D67="","",VLOOKUP(D67,'G-6 Hedgerow Data'!$B$2:$AG$15,3,FALSE))</f>
        <v/>
      </c>
      <c r="H67" s="145"/>
      <c r="I67" s="499" t="str">
        <f>IFERROR(VLOOKUP(H67,'G-1 All Habitats'!$Z$2:$AA$9,2,FALSE),"")</f>
        <v/>
      </c>
      <c r="J67" s="145"/>
      <c r="K67" s="520" t="str">
        <f>IF(J67="","",IF(VLOOKUP(J67,'G-3 Multipliers'!$L$3:$N$6,2,FALSE)=0,"Spatial Data Missing ⚠",VLOOKUP(J67,'G-3 Multipliers'!$L$3:$N$6,2,FALSE)))</f>
        <v/>
      </c>
      <c r="L67" s="505" t="str">
        <f>IF(J67="","",IF(VLOOKUP(J67,'G-3 Multipliers'!$L$3:$N$6,3,FALSE)=0,"Spatial Data Missing ⚠",VLOOKUP(J67,'G-3 Multipliers'!$L$3:$N$6,3,FALSE)))</f>
        <v/>
      </c>
      <c r="M67" s="498" t="str">
        <f>IF(OR(D67="",H67=""),"",(INDEX('G-6 Hedgerow Data'!$E$3:$I$15,MATCH(D67,'G-6 Hedgerow Data'!$B$3:$B$15,0),MATCH(H67,'G-6 Hedgerow Data'!$E$2:$I$2,0))))</f>
        <v/>
      </c>
      <c r="N67" s="195"/>
      <c r="O67" s="195"/>
      <c r="P67" s="507" t="str">
        <f t="shared" si="1"/>
        <v/>
      </c>
      <c r="Q67" s="521" t="str">
        <f t="shared" si="2"/>
        <v/>
      </c>
      <c r="R67" s="522" t="str">
        <f t="shared" si="0"/>
        <v/>
      </c>
      <c r="S67" s="537" t="str">
        <f>IF(D67="","",VLOOKUP(D67,'G-6 Hedgerow Data'!$B$3:$AG$15,31,FALSE))</f>
        <v/>
      </c>
      <c r="T67" s="507" t="str">
        <f t="shared" si="3"/>
        <v/>
      </c>
      <c r="U67" s="507" t="str">
        <f t="shared" si="4"/>
        <v/>
      </c>
      <c r="V67" s="524" t="str">
        <f>IF(D67="","",VLOOKUP(S67,'G-3 Multipliers'!$P$3:$Q$6,2,FALSE))</f>
        <v/>
      </c>
      <c r="W67" s="529" t="str">
        <f t="shared" si="5"/>
        <v/>
      </c>
      <c r="X67" s="149"/>
      <c r="Y67" s="150"/>
      <c r="AG67" s="31" t="str">
        <f>IFERROR(INDEX('G-6 Hedgerow Data'!$BJ$3:$BJ$15,MATCH(D67,'G-6 Hedgerow Data'!$B$3:$B$15,0)),"")</f>
        <v/>
      </c>
    </row>
    <row r="68" spans="2:33" ht="13.8" x14ac:dyDescent="0.25">
      <c r="B68" s="141">
        <v>57</v>
      </c>
      <c r="C68" s="205"/>
      <c r="D68" s="195"/>
      <c r="E68" s="172"/>
      <c r="F68" s="553" t="str">
        <f>IF(D68="","",VLOOKUP(D68,'G-6 Hedgerow Data'!$B$2:$AG$15,2,FALSE))</f>
        <v/>
      </c>
      <c r="G68" s="499" t="str">
        <f>IF(D68="","",VLOOKUP(D68,'G-6 Hedgerow Data'!$B$2:$AG$15,3,FALSE))</f>
        <v/>
      </c>
      <c r="H68" s="145"/>
      <c r="I68" s="499" t="str">
        <f>IFERROR(VLOOKUP(H68,'G-1 All Habitats'!$Z$2:$AA$9,2,FALSE),"")</f>
        <v/>
      </c>
      <c r="J68" s="145"/>
      <c r="K68" s="520" t="str">
        <f>IF(J68="","",IF(VLOOKUP(J68,'G-3 Multipliers'!$L$3:$N$6,2,FALSE)=0,"Spatial Data Missing ⚠",VLOOKUP(J68,'G-3 Multipliers'!$L$3:$N$6,2,FALSE)))</f>
        <v/>
      </c>
      <c r="L68" s="505" t="str">
        <f>IF(J68="","",IF(VLOOKUP(J68,'G-3 Multipliers'!$L$3:$N$6,3,FALSE)=0,"Spatial Data Missing ⚠",VLOOKUP(J68,'G-3 Multipliers'!$L$3:$N$6,3,FALSE)))</f>
        <v/>
      </c>
      <c r="M68" s="498" t="str">
        <f>IF(OR(D68="",H68=""),"",(INDEX('G-6 Hedgerow Data'!$E$3:$I$15,MATCH(D68,'G-6 Hedgerow Data'!$B$3:$B$15,0),MATCH(H68,'G-6 Hedgerow Data'!$E$2:$I$2,0))))</f>
        <v/>
      </c>
      <c r="N68" s="195"/>
      <c r="O68" s="195"/>
      <c r="P68" s="507" t="str">
        <f t="shared" si="1"/>
        <v/>
      </c>
      <c r="Q68" s="521" t="str">
        <f t="shared" si="2"/>
        <v/>
      </c>
      <c r="R68" s="522" t="str">
        <f t="shared" si="0"/>
        <v/>
      </c>
      <c r="S68" s="537" t="str">
        <f>IF(D68="","",VLOOKUP(D68,'G-6 Hedgerow Data'!$B$3:$AG$15,31,FALSE))</f>
        <v/>
      </c>
      <c r="T68" s="507" t="str">
        <f t="shared" si="3"/>
        <v/>
      </c>
      <c r="U68" s="507" t="str">
        <f t="shared" si="4"/>
        <v/>
      </c>
      <c r="V68" s="524" t="str">
        <f>IF(D68="","",VLOOKUP(S68,'G-3 Multipliers'!$P$3:$Q$6,2,FALSE))</f>
        <v/>
      </c>
      <c r="W68" s="529" t="str">
        <f t="shared" si="5"/>
        <v/>
      </c>
      <c r="X68" s="149"/>
      <c r="Y68" s="150"/>
      <c r="AG68" s="31" t="str">
        <f>IFERROR(INDEX('G-6 Hedgerow Data'!$BJ$3:$BJ$15,MATCH(D68,'G-6 Hedgerow Data'!$B$3:$B$15,0)),"")</f>
        <v/>
      </c>
    </row>
    <row r="69" spans="2:33" ht="13.8" x14ac:dyDescent="0.25">
      <c r="B69" s="141">
        <v>58</v>
      </c>
      <c r="C69" s="205"/>
      <c r="D69" s="195"/>
      <c r="E69" s="172"/>
      <c r="F69" s="553" t="str">
        <f>IF(D69="","",VLOOKUP(D69,'G-6 Hedgerow Data'!$B$2:$AG$15,2,FALSE))</f>
        <v/>
      </c>
      <c r="G69" s="499" t="str">
        <f>IF(D69="","",VLOOKUP(D69,'G-6 Hedgerow Data'!$B$2:$AG$15,3,FALSE))</f>
        <v/>
      </c>
      <c r="H69" s="145"/>
      <c r="I69" s="499" t="str">
        <f>IFERROR(VLOOKUP(H69,'G-1 All Habitats'!$Z$2:$AA$9,2,FALSE),"")</f>
        <v/>
      </c>
      <c r="J69" s="145"/>
      <c r="K69" s="520" t="str">
        <f>IF(J69="","",IF(VLOOKUP(J69,'G-3 Multipliers'!$L$3:$N$6,2,FALSE)=0,"Spatial Data Missing ⚠",VLOOKUP(J69,'G-3 Multipliers'!$L$3:$N$6,2,FALSE)))</f>
        <v/>
      </c>
      <c r="L69" s="505" t="str">
        <f>IF(J69="","",IF(VLOOKUP(J69,'G-3 Multipliers'!$L$3:$N$6,3,FALSE)=0,"Spatial Data Missing ⚠",VLOOKUP(J69,'G-3 Multipliers'!$L$3:$N$6,3,FALSE)))</f>
        <v/>
      </c>
      <c r="M69" s="498" t="str">
        <f>IF(OR(D69="",H69=""),"",(INDEX('G-6 Hedgerow Data'!$E$3:$I$15,MATCH(D69,'G-6 Hedgerow Data'!$B$3:$B$15,0),MATCH(H69,'G-6 Hedgerow Data'!$E$2:$I$2,0))))</f>
        <v/>
      </c>
      <c r="N69" s="195"/>
      <c r="O69" s="195"/>
      <c r="P69" s="507" t="str">
        <f t="shared" si="1"/>
        <v/>
      </c>
      <c r="Q69" s="521" t="str">
        <f t="shared" si="2"/>
        <v/>
      </c>
      <c r="R69" s="522" t="str">
        <f t="shared" si="0"/>
        <v/>
      </c>
      <c r="S69" s="537" t="str">
        <f>IF(D69="","",VLOOKUP(D69,'G-6 Hedgerow Data'!$B$3:$AG$15,31,FALSE))</f>
        <v/>
      </c>
      <c r="T69" s="507" t="str">
        <f t="shared" si="3"/>
        <v/>
      </c>
      <c r="U69" s="507" t="str">
        <f t="shared" si="4"/>
        <v/>
      </c>
      <c r="V69" s="524" t="str">
        <f>IF(D69="","",VLOOKUP(S69,'G-3 Multipliers'!$P$3:$Q$6,2,FALSE))</f>
        <v/>
      </c>
      <c r="W69" s="529" t="str">
        <f t="shared" si="5"/>
        <v/>
      </c>
      <c r="X69" s="149"/>
      <c r="Y69" s="150"/>
      <c r="AG69" s="31" t="str">
        <f>IFERROR(INDEX('G-6 Hedgerow Data'!$BJ$3:$BJ$15,MATCH(D69,'G-6 Hedgerow Data'!$B$3:$B$15,0)),"")</f>
        <v/>
      </c>
    </row>
    <row r="70" spans="2:33" ht="13.8" x14ac:dyDescent="0.25">
      <c r="B70" s="141">
        <v>59</v>
      </c>
      <c r="C70" s="205"/>
      <c r="D70" s="195"/>
      <c r="E70" s="172"/>
      <c r="F70" s="553" t="str">
        <f>IF(D70="","",VLOOKUP(D70,'G-6 Hedgerow Data'!$B$2:$AG$15,2,FALSE))</f>
        <v/>
      </c>
      <c r="G70" s="499" t="str">
        <f>IF(D70="","",VLOOKUP(D70,'G-6 Hedgerow Data'!$B$2:$AG$15,3,FALSE))</f>
        <v/>
      </c>
      <c r="H70" s="145"/>
      <c r="I70" s="499" t="str">
        <f>IFERROR(VLOOKUP(H70,'G-1 All Habitats'!$Z$2:$AA$9,2,FALSE),"")</f>
        <v/>
      </c>
      <c r="J70" s="145"/>
      <c r="K70" s="520" t="str">
        <f>IF(J70="","",IF(VLOOKUP(J70,'G-3 Multipliers'!$L$3:$N$6,2,FALSE)=0,"Spatial Data Missing ⚠",VLOOKUP(J70,'G-3 Multipliers'!$L$3:$N$6,2,FALSE)))</f>
        <v/>
      </c>
      <c r="L70" s="505" t="str">
        <f>IF(J70="","",IF(VLOOKUP(J70,'G-3 Multipliers'!$L$3:$N$6,3,FALSE)=0,"Spatial Data Missing ⚠",VLOOKUP(J70,'G-3 Multipliers'!$L$3:$N$6,3,FALSE)))</f>
        <v/>
      </c>
      <c r="M70" s="498" t="str">
        <f>IF(OR(D70="",H70=""),"",(INDEX('G-6 Hedgerow Data'!$E$3:$I$15,MATCH(D70,'G-6 Hedgerow Data'!$B$3:$B$15,0),MATCH(H70,'G-6 Hedgerow Data'!$E$2:$I$2,0))))</f>
        <v/>
      </c>
      <c r="N70" s="195"/>
      <c r="O70" s="195"/>
      <c r="P70" s="507" t="str">
        <f t="shared" si="1"/>
        <v/>
      </c>
      <c r="Q70" s="521" t="str">
        <f t="shared" si="2"/>
        <v/>
      </c>
      <c r="R70" s="522" t="str">
        <f t="shared" si="0"/>
        <v/>
      </c>
      <c r="S70" s="537" t="str">
        <f>IF(D70="","",VLOOKUP(D70,'G-6 Hedgerow Data'!$B$3:$AG$15,31,FALSE))</f>
        <v/>
      </c>
      <c r="T70" s="507" t="str">
        <f t="shared" si="3"/>
        <v/>
      </c>
      <c r="U70" s="507" t="str">
        <f t="shared" si="4"/>
        <v/>
      </c>
      <c r="V70" s="524" t="str">
        <f>IF(D70="","",VLOOKUP(S70,'G-3 Multipliers'!$P$3:$Q$6,2,FALSE))</f>
        <v/>
      </c>
      <c r="W70" s="529" t="str">
        <f t="shared" si="5"/>
        <v/>
      </c>
      <c r="X70" s="149"/>
      <c r="Y70" s="150"/>
      <c r="AG70" s="31" t="str">
        <f>IFERROR(INDEX('G-6 Hedgerow Data'!$BJ$3:$BJ$15,MATCH(D70,'G-6 Hedgerow Data'!$B$3:$B$15,0)),"")</f>
        <v/>
      </c>
    </row>
    <row r="71" spans="2:33" ht="13.8" x14ac:dyDescent="0.25">
      <c r="B71" s="141">
        <v>60</v>
      </c>
      <c r="C71" s="205"/>
      <c r="D71" s="195"/>
      <c r="E71" s="172"/>
      <c r="F71" s="553" t="str">
        <f>IF(D71="","",VLOOKUP(D71,'G-6 Hedgerow Data'!$B$2:$AG$15,2,FALSE))</f>
        <v/>
      </c>
      <c r="G71" s="499" t="str">
        <f>IF(D71="","",VLOOKUP(D71,'G-6 Hedgerow Data'!$B$2:$AG$15,3,FALSE))</f>
        <v/>
      </c>
      <c r="H71" s="145"/>
      <c r="I71" s="499" t="str">
        <f>IFERROR(VLOOKUP(H71,'G-1 All Habitats'!$Z$2:$AA$9,2,FALSE),"")</f>
        <v/>
      </c>
      <c r="J71" s="145"/>
      <c r="K71" s="520" t="str">
        <f>IF(J71="","",IF(VLOOKUP(J71,'G-3 Multipliers'!$L$3:$N$6,2,FALSE)=0,"Spatial Data Missing ⚠",VLOOKUP(J71,'G-3 Multipliers'!$L$3:$N$6,2,FALSE)))</f>
        <v/>
      </c>
      <c r="L71" s="505" t="str">
        <f>IF(J71="","",IF(VLOOKUP(J71,'G-3 Multipliers'!$L$3:$N$6,3,FALSE)=0,"Spatial Data Missing ⚠",VLOOKUP(J71,'G-3 Multipliers'!$L$3:$N$6,3,FALSE)))</f>
        <v/>
      </c>
      <c r="M71" s="498" t="str">
        <f>IF(OR(D71="",H71=""),"",(INDEX('G-6 Hedgerow Data'!$E$3:$I$15,MATCH(D71,'G-6 Hedgerow Data'!$B$3:$B$15,0),MATCH(H71,'G-6 Hedgerow Data'!$E$2:$I$2,0))))</f>
        <v/>
      </c>
      <c r="N71" s="195"/>
      <c r="O71" s="195"/>
      <c r="P71" s="507" t="str">
        <f t="shared" si="1"/>
        <v/>
      </c>
      <c r="Q71" s="521" t="str">
        <f t="shared" si="2"/>
        <v/>
      </c>
      <c r="R71" s="522" t="str">
        <f t="shared" si="0"/>
        <v/>
      </c>
      <c r="S71" s="537" t="str">
        <f>IF(D71="","",VLOOKUP(D71,'G-6 Hedgerow Data'!$B$3:$AG$15,31,FALSE))</f>
        <v/>
      </c>
      <c r="T71" s="507" t="str">
        <f t="shared" si="3"/>
        <v/>
      </c>
      <c r="U71" s="507" t="str">
        <f t="shared" si="4"/>
        <v/>
      </c>
      <c r="V71" s="524" t="str">
        <f>IF(D71="","",VLOOKUP(S71,'G-3 Multipliers'!$P$3:$Q$6,2,FALSE))</f>
        <v/>
      </c>
      <c r="W71" s="529" t="str">
        <f t="shared" si="5"/>
        <v/>
      </c>
      <c r="X71" s="149"/>
      <c r="Y71" s="150"/>
      <c r="AG71" s="31" t="str">
        <f>IFERROR(INDEX('G-6 Hedgerow Data'!$BJ$3:$BJ$15,MATCH(D71,'G-6 Hedgerow Data'!$B$3:$B$15,0)),"")</f>
        <v/>
      </c>
    </row>
    <row r="72" spans="2:33" ht="13.8" x14ac:dyDescent="0.25">
      <c r="B72" s="141">
        <v>61</v>
      </c>
      <c r="C72" s="205"/>
      <c r="D72" s="195"/>
      <c r="E72" s="172"/>
      <c r="F72" s="553" t="str">
        <f>IF(D72="","",VLOOKUP(D72,'G-6 Hedgerow Data'!$B$2:$AG$15,2,FALSE))</f>
        <v/>
      </c>
      <c r="G72" s="499" t="str">
        <f>IF(D72="","",VLOOKUP(D72,'G-6 Hedgerow Data'!$B$2:$AG$15,3,FALSE))</f>
        <v/>
      </c>
      <c r="H72" s="145"/>
      <c r="I72" s="499" t="str">
        <f>IFERROR(VLOOKUP(H72,'G-1 All Habitats'!$Z$2:$AA$9,2,FALSE),"")</f>
        <v/>
      </c>
      <c r="J72" s="145"/>
      <c r="K72" s="520" t="str">
        <f>IF(J72="","",IF(VLOOKUP(J72,'G-3 Multipliers'!$L$3:$N$6,2,FALSE)=0,"Spatial Data Missing ⚠",VLOOKUP(J72,'G-3 Multipliers'!$L$3:$N$6,2,FALSE)))</f>
        <v/>
      </c>
      <c r="L72" s="505" t="str">
        <f>IF(J72="","",IF(VLOOKUP(J72,'G-3 Multipliers'!$L$3:$N$6,3,FALSE)=0,"Spatial Data Missing ⚠",VLOOKUP(J72,'G-3 Multipliers'!$L$3:$N$6,3,FALSE)))</f>
        <v/>
      </c>
      <c r="M72" s="498" t="str">
        <f>IF(OR(D72="",H72=""),"",(INDEX('G-6 Hedgerow Data'!$E$3:$I$15,MATCH(D72,'G-6 Hedgerow Data'!$B$3:$B$15,0),MATCH(H72,'G-6 Hedgerow Data'!$E$2:$I$2,0))))</f>
        <v/>
      </c>
      <c r="N72" s="195"/>
      <c r="O72" s="195"/>
      <c r="P72" s="507" t="str">
        <f t="shared" si="1"/>
        <v/>
      </c>
      <c r="Q72" s="521" t="str">
        <f t="shared" si="2"/>
        <v/>
      </c>
      <c r="R72" s="522" t="str">
        <f t="shared" si="0"/>
        <v/>
      </c>
      <c r="S72" s="537" t="str">
        <f>IF(D72="","",VLOOKUP(D72,'G-6 Hedgerow Data'!$B$3:$AG$15,31,FALSE))</f>
        <v/>
      </c>
      <c r="T72" s="507" t="str">
        <f t="shared" si="3"/>
        <v/>
      </c>
      <c r="U72" s="507" t="str">
        <f t="shared" si="4"/>
        <v/>
      </c>
      <c r="V72" s="524" t="str">
        <f>IF(D72="","",VLOOKUP(S72,'G-3 Multipliers'!$P$3:$Q$6,2,FALSE))</f>
        <v/>
      </c>
      <c r="W72" s="529" t="str">
        <f t="shared" si="5"/>
        <v/>
      </c>
      <c r="X72" s="149"/>
      <c r="Y72" s="150"/>
      <c r="AG72" s="31" t="str">
        <f>IFERROR(INDEX('G-6 Hedgerow Data'!$BJ$3:$BJ$15,MATCH(D72,'G-6 Hedgerow Data'!$B$3:$B$15,0)),"")</f>
        <v/>
      </c>
    </row>
    <row r="73" spans="2:33" ht="13.8" x14ac:dyDescent="0.25">
      <c r="B73" s="141">
        <v>62</v>
      </c>
      <c r="C73" s="205"/>
      <c r="D73" s="195"/>
      <c r="E73" s="172"/>
      <c r="F73" s="553" t="str">
        <f>IF(D73="","",VLOOKUP(D73,'G-6 Hedgerow Data'!$B$2:$AG$15,2,FALSE))</f>
        <v/>
      </c>
      <c r="G73" s="499" t="str">
        <f>IF(D73="","",VLOOKUP(D73,'G-6 Hedgerow Data'!$B$2:$AG$15,3,FALSE))</f>
        <v/>
      </c>
      <c r="H73" s="145"/>
      <c r="I73" s="499" t="str">
        <f>IFERROR(VLOOKUP(H73,'G-1 All Habitats'!$Z$2:$AA$9,2,FALSE),"")</f>
        <v/>
      </c>
      <c r="J73" s="145"/>
      <c r="K73" s="520" t="str">
        <f>IF(J73="","",IF(VLOOKUP(J73,'G-3 Multipliers'!$L$3:$N$6,2,FALSE)=0,"Spatial Data Missing ⚠",VLOOKUP(J73,'G-3 Multipliers'!$L$3:$N$6,2,FALSE)))</f>
        <v/>
      </c>
      <c r="L73" s="505" t="str">
        <f>IF(J73="","",IF(VLOOKUP(J73,'G-3 Multipliers'!$L$3:$N$6,3,FALSE)=0,"Spatial Data Missing ⚠",VLOOKUP(J73,'G-3 Multipliers'!$L$3:$N$6,3,FALSE)))</f>
        <v/>
      </c>
      <c r="M73" s="498" t="str">
        <f>IF(OR(D73="",H73=""),"",(INDEX('G-6 Hedgerow Data'!$E$3:$I$15,MATCH(D73,'G-6 Hedgerow Data'!$B$3:$B$15,0),MATCH(H73,'G-6 Hedgerow Data'!$E$2:$I$2,0))))</f>
        <v/>
      </c>
      <c r="N73" s="195"/>
      <c r="O73" s="195"/>
      <c r="P73" s="507" t="str">
        <f t="shared" si="1"/>
        <v/>
      </c>
      <c r="Q73" s="521" t="str">
        <f t="shared" si="2"/>
        <v/>
      </c>
      <c r="R73" s="522" t="str">
        <f t="shared" si="0"/>
        <v/>
      </c>
      <c r="S73" s="537" t="str">
        <f>IF(D73="","",VLOOKUP(D73,'G-6 Hedgerow Data'!$B$3:$AG$15,31,FALSE))</f>
        <v/>
      </c>
      <c r="T73" s="507" t="str">
        <f t="shared" si="3"/>
        <v/>
      </c>
      <c r="U73" s="507" t="str">
        <f t="shared" si="4"/>
        <v/>
      </c>
      <c r="V73" s="524" t="str">
        <f>IF(D73="","",VLOOKUP(S73,'G-3 Multipliers'!$P$3:$Q$6,2,FALSE))</f>
        <v/>
      </c>
      <c r="W73" s="529" t="str">
        <f t="shared" si="5"/>
        <v/>
      </c>
      <c r="X73" s="149"/>
      <c r="Y73" s="150"/>
      <c r="AG73" s="31" t="str">
        <f>IFERROR(INDEX('G-6 Hedgerow Data'!$BJ$3:$BJ$15,MATCH(D73,'G-6 Hedgerow Data'!$B$3:$B$15,0)),"")</f>
        <v/>
      </c>
    </row>
    <row r="74" spans="2:33" ht="13.8" x14ac:dyDescent="0.25">
      <c r="B74" s="141">
        <v>63</v>
      </c>
      <c r="C74" s="205"/>
      <c r="D74" s="195"/>
      <c r="E74" s="172"/>
      <c r="F74" s="553" t="str">
        <f>IF(D74="","",VLOOKUP(D74,'G-6 Hedgerow Data'!$B$2:$AG$15,2,FALSE))</f>
        <v/>
      </c>
      <c r="G74" s="499" t="str">
        <f>IF(D74="","",VLOOKUP(D74,'G-6 Hedgerow Data'!$B$2:$AG$15,3,FALSE))</f>
        <v/>
      </c>
      <c r="H74" s="145"/>
      <c r="I74" s="499" t="str">
        <f>IFERROR(VLOOKUP(H74,'G-1 All Habitats'!$Z$2:$AA$9,2,FALSE),"")</f>
        <v/>
      </c>
      <c r="J74" s="145"/>
      <c r="K74" s="520" t="str">
        <f>IF(J74="","",IF(VLOOKUP(J74,'G-3 Multipliers'!$L$3:$N$6,2,FALSE)=0,"Spatial Data Missing ⚠",VLOOKUP(J74,'G-3 Multipliers'!$L$3:$N$6,2,FALSE)))</f>
        <v/>
      </c>
      <c r="L74" s="505" t="str">
        <f>IF(J74="","",IF(VLOOKUP(J74,'G-3 Multipliers'!$L$3:$N$6,3,FALSE)=0,"Spatial Data Missing ⚠",VLOOKUP(J74,'G-3 Multipliers'!$L$3:$N$6,3,FALSE)))</f>
        <v/>
      </c>
      <c r="M74" s="498" t="str">
        <f>IF(OR(D74="",H74=""),"",(INDEX('G-6 Hedgerow Data'!$E$3:$I$15,MATCH(D74,'G-6 Hedgerow Data'!$B$3:$B$15,0),MATCH(H74,'G-6 Hedgerow Data'!$E$2:$I$2,0))))</f>
        <v/>
      </c>
      <c r="N74" s="195"/>
      <c r="O74" s="195"/>
      <c r="P74" s="507" t="str">
        <f t="shared" si="1"/>
        <v/>
      </c>
      <c r="Q74" s="521" t="str">
        <f t="shared" si="2"/>
        <v/>
      </c>
      <c r="R74" s="522" t="str">
        <f t="shared" si="0"/>
        <v/>
      </c>
      <c r="S74" s="537" t="str">
        <f>IF(D74="","",VLOOKUP(D74,'G-6 Hedgerow Data'!$B$3:$AG$15,31,FALSE))</f>
        <v/>
      </c>
      <c r="T74" s="507" t="str">
        <f t="shared" si="3"/>
        <v/>
      </c>
      <c r="U74" s="507" t="str">
        <f t="shared" si="4"/>
        <v/>
      </c>
      <c r="V74" s="524" t="str">
        <f>IF(D74="","",VLOOKUP(S74,'G-3 Multipliers'!$P$3:$Q$6,2,FALSE))</f>
        <v/>
      </c>
      <c r="W74" s="529" t="str">
        <f t="shared" si="5"/>
        <v/>
      </c>
      <c r="X74" s="149"/>
      <c r="Y74" s="150"/>
      <c r="AG74" s="31" t="str">
        <f>IFERROR(INDEX('G-6 Hedgerow Data'!$BJ$3:$BJ$15,MATCH(D74,'G-6 Hedgerow Data'!$B$3:$B$15,0)),"")</f>
        <v/>
      </c>
    </row>
    <row r="75" spans="2:33" ht="13.8" x14ac:dyDescent="0.25">
      <c r="B75" s="141">
        <v>64</v>
      </c>
      <c r="C75" s="205"/>
      <c r="D75" s="195"/>
      <c r="E75" s="172"/>
      <c r="F75" s="553" t="str">
        <f>IF(D75="","",VLOOKUP(D75,'G-6 Hedgerow Data'!$B$2:$AG$15,2,FALSE))</f>
        <v/>
      </c>
      <c r="G75" s="499" t="str">
        <f>IF(D75="","",VLOOKUP(D75,'G-6 Hedgerow Data'!$B$2:$AG$15,3,FALSE))</f>
        <v/>
      </c>
      <c r="H75" s="145"/>
      <c r="I75" s="499" t="str">
        <f>IFERROR(VLOOKUP(H75,'G-1 All Habitats'!$Z$2:$AA$9,2,FALSE),"")</f>
        <v/>
      </c>
      <c r="J75" s="145"/>
      <c r="K75" s="520" t="str">
        <f>IF(J75="","",IF(VLOOKUP(J75,'G-3 Multipliers'!$L$3:$N$6,2,FALSE)=0,"Spatial Data Missing ⚠",VLOOKUP(J75,'G-3 Multipliers'!$L$3:$N$6,2,FALSE)))</f>
        <v/>
      </c>
      <c r="L75" s="505" t="str">
        <f>IF(J75="","",IF(VLOOKUP(J75,'G-3 Multipliers'!$L$3:$N$6,3,FALSE)=0,"Spatial Data Missing ⚠",VLOOKUP(J75,'G-3 Multipliers'!$L$3:$N$6,3,FALSE)))</f>
        <v/>
      </c>
      <c r="M75" s="498" t="str">
        <f>IF(OR(D75="",H75=""),"",(INDEX('G-6 Hedgerow Data'!$E$3:$I$15,MATCH(D75,'G-6 Hedgerow Data'!$B$3:$B$15,0),MATCH(H75,'G-6 Hedgerow Data'!$E$2:$I$2,0))))</f>
        <v/>
      </c>
      <c r="N75" s="195"/>
      <c r="O75" s="195"/>
      <c r="P75" s="507" t="str">
        <f t="shared" si="1"/>
        <v/>
      </c>
      <c r="Q75" s="521" t="str">
        <f t="shared" si="2"/>
        <v/>
      </c>
      <c r="R75" s="522" t="str">
        <f t="shared" si="0"/>
        <v/>
      </c>
      <c r="S75" s="537" t="str">
        <f>IF(D75="","",VLOOKUP(D75,'G-6 Hedgerow Data'!$B$3:$AG$15,31,FALSE))</f>
        <v/>
      </c>
      <c r="T75" s="507" t="str">
        <f t="shared" si="3"/>
        <v/>
      </c>
      <c r="U75" s="507" t="str">
        <f t="shared" si="4"/>
        <v/>
      </c>
      <c r="V75" s="524" t="str">
        <f>IF(D75="","",VLOOKUP(S75,'G-3 Multipliers'!$P$3:$Q$6,2,FALSE))</f>
        <v/>
      </c>
      <c r="W75" s="529" t="str">
        <f t="shared" si="5"/>
        <v/>
      </c>
      <c r="X75" s="149"/>
      <c r="Y75" s="150"/>
      <c r="AG75" s="31" t="str">
        <f>IFERROR(INDEX('G-6 Hedgerow Data'!$BJ$3:$BJ$15,MATCH(D75,'G-6 Hedgerow Data'!$B$3:$B$15,0)),"")</f>
        <v/>
      </c>
    </row>
    <row r="76" spans="2:33" ht="13.8" x14ac:dyDescent="0.25">
      <c r="B76" s="141">
        <v>65</v>
      </c>
      <c r="C76" s="205"/>
      <c r="D76" s="195"/>
      <c r="E76" s="172"/>
      <c r="F76" s="553" t="str">
        <f>IF(D76="","",VLOOKUP(D76,'G-6 Hedgerow Data'!$B$2:$AG$15,2,FALSE))</f>
        <v/>
      </c>
      <c r="G76" s="499" t="str">
        <f>IF(D76="","",VLOOKUP(D76,'G-6 Hedgerow Data'!$B$2:$AG$15,3,FALSE))</f>
        <v/>
      </c>
      <c r="H76" s="145"/>
      <c r="I76" s="499" t="str">
        <f>IFERROR(VLOOKUP(H76,'G-1 All Habitats'!$Z$2:$AA$9,2,FALSE),"")</f>
        <v/>
      </c>
      <c r="J76" s="145"/>
      <c r="K76" s="520" t="str">
        <f>IF(J76="","",IF(VLOOKUP(J76,'G-3 Multipliers'!$L$3:$N$6,2,FALSE)=0,"Spatial Data Missing ⚠",VLOOKUP(J76,'G-3 Multipliers'!$L$3:$N$6,2,FALSE)))</f>
        <v/>
      </c>
      <c r="L76" s="505" t="str">
        <f>IF(J76="","",IF(VLOOKUP(J76,'G-3 Multipliers'!$L$3:$N$6,3,FALSE)=0,"Spatial Data Missing ⚠",VLOOKUP(J76,'G-3 Multipliers'!$L$3:$N$6,3,FALSE)))</f>
        <v/>
      </c>
      <c r="M76" s="498" t="str">
        <f>IF(OR(D76="",H76=""),"",(INDEX('G-6 Hedgerow Data'!$E$3:$I$15,MATCH(D76,'G-6 Hedgerow Data'!$B$3:$B$15,0),MATCH(H76,'G-6 Hedgerow Data'!$E$2:$I$2,0))))</f>
        <v/>
      </c>
      <c r="N76" s="195"/>
      <c r="O76" s="195"/>
      <c r="P76" s="507" t="str">
        <f t="shared" si="1"/>
        <v/>
      </c>
      <c r="Q76" s="521" t="str">
        <f t="shared" si="2"/>
        <v/>
      </c>
      <c r="R76" s="522" t="str">
        <f t="shared" ref="R76:R139" si="6">IF(M76="","",IF(LEFT(P76,5)="Error ▲","Check Data ⚠",VLOOKUP(Q76,TemporalMultipliers,3,FALSE)))</f>
        <v/>
      </c>
      <c r="S76" s="537" t="str">
        <f>IF(D76="","",VLOOKUP(D76,'G-6 Hedgerow Data'!$B$3:$AG$15,31,FALSE))</f>
        <v/>
      </c>
      <c r="T76" s="507" t="str">
        <f t="shared" si="3"/>
        <v/>
      </c>
      <c r="U76" s="507" t="str">
        <f t="shared" si="4"/>
        <v/>
      </c>
      <c r="V76" s="524" t="str">
        <f>IF(D76="","",VLOOKUP(S76,'G-3 Multipliers'!$P$3:$Q$6,2,FALSE))</f>
        <v/>
      </c>
      <c r="W76" s="529" t="str">
        <f t="shared" si="5"/>
        <v/>
      </c>
      <c r="X76" s="149"/>
      <c r="Y76" s="150"/>
      <c r="AG76" s="31" t="str">
        <f>IFERROR(INDEX('G-6 Hedgerow Data'!$BJ$3:$BJ$15,MATCH(D76,'G-6 Hedgerow Data'!$B$3:$B$15,0)),"")</f>
        <v/>
      </c>
    </row>
    <row r="77" spans="2:33" ht="13.8" x14ac:dyDescent="0.25">
      <c r="B77" s="141">
        <v>66</v>
      </c>
      <c r="C77" s="205"/>
      <c r="D77" s="195"/>
      <c r="E77" s="172"/>
      <c r="F77" s="553" t="str">
        <f>IF(D77="","",VLOOKUP(D77,'G-6 Hedgerow Data'!$B$2:$AG$15,2,FALSE))</f>
        <v/>
      </c>
      <c r="G77" s="499" t="str">
        <f>IF(D77="","",VLOOKUP(D77,'G-6 Hedgerow Data'!$B$2:$AG$15,3,FALSE))</f>
        <v/>
      </c>
      <c r="H77" s="145"/>
      <c r="I77" s="499" t="str">
        <f>IFERROR(VLOOKUP(H77,'G-1 All Habitats'!$Z$2:$AA$9,2,FALSE),"")</f>
        <v/>
      </c>
      <c r="J77" s="145"/>
      <c r="K77" s="520" t="str">
        <f>IF(J77="","",IF(VLOOKUP(J77,'G-3 Multipliers'!$L$3:$N$6,2,FALSE)=0,"Spatial Data Missing ⚠",VLOOKUP(J77,'G-3 Multipliers'!$L$3:$N$6,2,FALSE)))</f>
        <v/>
      </c>
      <c r="L77" s="505" t="str">
        <f>IF(J77="","",IF(VLOOKUP(J77,'G-3 Multipliers'!$L$3:$N$6,3,FALSE)=0,"Spatial Data Missing ⚠",VLOOKUP(J77,'G-3 Multipliers'!$L$3:$N$6,3,FALSE)))</f>
        <v/>
      </c>
      <c r="M77" s="498" t="str">
        <f>IF(OR(D77="",H77=""),"",(INDEX('G-6 Hedgerow Data'!$E$3:$I$15,MATCH(D77,'G-6 Hedgerow Data'!$B$3:$B$15,0),MATCH(H77,'G-6 Hedgerow Data'!$E$2:$I$2,0))))</f>
        <v/>
      </c>
      <c r="N77" s="195"/>
      <c r="O77" s="195"/>
      <c r="P77" s="507"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521" t="str">
        <f t="shared" ref="Q77:Q140" si="8">IF(M77="","",IF(LEFT(P77,5)="Error ▲","Check Data ⚠",IF(OR(N77="30+",N77="Habitat already in target condition"),0,IF(O77="30+","30+ ⚠",IF(AND(M77="30+ ⚠",OR(N77="",N77=0)),"30+ ⚠",IF(AND(M77="30+ ⚠",N77&gt;0),32-N77,IF(M77+O77&gt;30,"30+ ⚠",IF(M77+O77-N77&gt;0,M77+O77-N77,IF(M77-N77&lt;0,0,M77+O77-N77)))))))))</f>
        <v/>
      </c>
      <c r="R77" s="522" t="str">
        <f t="shared" si="6"/>
        <v/>
      </c>
      <c r="S77" s="537" t="str">
        <f>IF(D77="","",VLOOKUP(D77,'G-6 Hedgerow Data'!$B$3:$AG$15,31,FALSE))</f>
        <v/>
      </c>
      <c r="T77" s="507" t="str">
        <f t="shared" ref="T77:T140" si="9">IF(D77="","",IF(Q77="Check Data ⚠","Check Data ⚠",IF(H77="","",IF($P77="Check details - Is there evidence that habitat has reached target condition? ⚠","Low Difficulty - only applicable if all habitat created before losses ⚠","Standard difficulty applied"))))</f>
        <v/>
      </c>
      <c r="U77" s="507" t="str">
        <f t="shared" ref="U77:U140" si="10">(IF(AND(T77="Standard difficulty applied",M77&gt;N77),S77,IF(AND(T77="Low Difficulty - only applicable if all habitat created before losses ⚠",Q77&lt;=0),"Low",S77)))</f>
        <v/>
      </c>
      <c r="V77" s="524" t="str">
        <f>IF(D77="","",VLOOKUP(S77,'G-3 Multipliers'!$P$3:$Q$6,2,FALSE))</f>
        <v/>
      </c>
      <c r="W77" s="529" t="str">
        <f t="shared" ref="W77:W140" si="11">IFERROR(E77*G77*I77*L77*R77*V77,"")</f>
        <v/>
      </c>
      <c r="X77" s="149"/>
      <c r="Y77" s="150"/>
      <c r="AG77" s="31" t="str">
        <f>IFERROR(INDEX('G-6 Hedgerow Data'!$BJ$3:$BJ$15,MATCH(D77,'G-6 Hedgerow Data'!$B$3:$B$15,0)),"")</f>
        <v/>
      </c>
    </row>
    <row r="78" spans="2:33" ht="13.8" x14ac:dyDescent="0.25">
      <c r="B78" s="141">
        <v>67</v>
      </c>
      <c r="C78" s="205"/>
      <c r="D78" s="195"/>
      <c r="E78" s="172"/>
      <c r="F78" s="553" t="str">
        <f>IF(D78="","",VLOOKUP(D78,'G-6 Hedgerow Data'!$B$2:$AG$15,2,FALSE))</f>
        <v/>
      </c>
      <c r="G78" s="499" t="str">
        <f>IF(D78="","",VLOOKUP(D78,'G-6 Hedgerow Data'!$B$2:$AG$15,3,FALSE))</f>
        <v/>
      </c>
      <c r="H78" s="145"/>
      <c r="I78" s="499" t="str">
        <f>IFERROR(VLOOKUP(H78,'G-1 All Habitats'!$Z$2:$AA$9,2,FALSE),"")</f>
        <v/>
      </c>
      <c r="J78" s="145"/>
      <c r="K78" s="520" t="str">
        <f>IF(J78="","",IF(VLOOKUP(J78,'G-3 Multipliers'!$L$3:$N$6,2,FALSE)=0,"Spatial Data Missing ⚠",VLOOKUP(J78,'G-3 Multipliers'!$L$3:$N$6,2,FALSE)))</f>
        <v/>
      </c>
      <c r="L78" s="505" t="str">
        <f>IF(J78="","",IF(VLOOKUP(J78,'G-3 Multipliers'!$L$3:$N$6,3,FALSE)=0,"Spatial Data Missing ⚠",VLOOKUP(J78,'G-3 Multipliers'!$L$3:$N$6,3,FALSE)))</f>
        <v/>
      </c>
      <c r="M78" s="498" t="str">
        <f>IF(OR(D78="",H78=""),"",(INDEX('G-6 Hedgerow Data'!$E$3:$I$15,MATCH(D78,'G-6 Hedgerow Data'!$B$3:$B$15,0),MATCH(H78,'G-6 Hedgerow Data'!$E$2:$I$2,0))))</f>
        <v/>
      </c>
      <c r="N78" s="195"/>
      <c r="O78" s="195"/>
      <c r="P78" s="507" t="str">
        <f t="shared" si="7"/>
        <v/>
      </c>
      <c r="Q78" s="521" t="str">
        <f t="shared" si="8"/>
        <v/>
      </c>
      <c r="R78" s="522" t="str">
        <f t="shared" si="6"/>
        <v/>
      </c>
      <c r="S78" s="537" t="str">
        <f>IF(D78="","",VLOOKUP(D78,'G-6 Hedgerow Data'!$B$3:$AG$15,31,FALSE))</f>
        <v/>
      </c>
      <c r="T78" s="507" t="str">
        <f t="shared" si="9"/>
        <v/>
      </c>
      <c r="U78" s="507" t="str">
        <f t="shared" si="10"/>
        <v/>
      </c>
      <c r="V78" s="524" t="str">
        <f>IF(D78="","",VLOOKUP(S78,'G-3 Multipliers'!$P$3:$Q$6,2,FALSE))</f>
        <v/>
      </c>
      <c r="W78" s="529" t="str">
        <f t="shared" si="11"/>
        <v/>
      </c>
      <c r="X78" s="149"/>
      <c r="Y78" s="150"/>
      <c r="AG78" s="31" t="str">
        <f>IFERROR(INDEX('G-6 Hedgerow Data'!$BJ$3:$BJ$15,MATCH(D78,'G-6 Hedgerow Data'!$B$3:$B$15,0)),"")</f>
        <v/>
      </c>
    </row>
    <row r="79" spans="2:33" ht="13.8" x14ac:dyDescent="0.25">
      <c r="B79" s="141">
        <v>68</v>
      </c>
      <c r="C79" s="205"/>
      <c r="D79" s="195"/>
      <c r="E79" s="172"/>
      <c r="F79" s="553" t="str">
        <f>IF(D79="","",VLOOKUP(D79,'G-6 Hedgerow Data'!$B$2:$AG$15,2,FALSE))</f>
        <v/>
      </c>
      <c r="G79" s="499" t="str">
        <f>IF(D79="","",VLOOKUP(D79,'G-6 Hedgerow Data'!$B$2:$AG$15,3,FALSE))</f>
        <v/>
      </c>
      <c r="H79" s="145"/>
      <c r="I79" s="499" t="str">
        <f>IFERROR(VLOOKUP(H79,'G-1 All Habitats'!$Z$2:$AA$9,2,FALSE),"")</f>
        <v/>
      </c>
      <c r="J79" s="145"/>
      <c r="K79" s="520" t="str">
        <f>IF(J79="","",IF(VLOOKUP(J79,'G-3 Multipliers'!$L$3:$N$6,2,FALSE)=0,"Spatial Data Missing ⚠",VLOOKUP(J79,'G-3 Multipliers'!$L$3:$N$6,2,FALSE)))</f>
        <v/>
      </c>
      <c r="L79" s="505" t="str">
        <f>IF(J79="","",IF(VLOOKUP(J79,'G-3 Multipliers'!$L$3:$N$6,3,FALSE)=0,"Spatial Data Missing ⚠",VLOOKUP(J79,'G-3 Multipliers'!$L$3:$N$6,3,FALSE)))</f>
        <v/>
      </c>
      <c r="M79" s="498" t="str">
        <f>IF(OR(D79="",H79=""),"",(INDEX('G-6 Hedgerow Data'!$E$3:$I$15,MATCH(D79,'G-6 Hedgerow Data'!$B$3:$B$15,0),MATCH(H79,'G-6 Hedgerow Data'!$E$2:$I$2,0))))</f>
        <v/>
      </c>
      <c r="N79" s="195"/>
      <c r="O79" s="195"/>
      <c r="P79" s="507" t="str">
        <f t="shared" si="7"/>
        <v/>
      </c>
      <c r="Q79" s="521" t="str">
        <f t="shared" si="8"/>
        <v/>
      </c>
      <c r="R79" s="522" t="str">
        <f t="shared" si="6"/>
        <v/>
      </c>
      <c r="S79" s="537" t="str">
        <f>IF(D79="","",VLOOKUP(D79,'G-6 Hedgerow Data'!$B$3:$AG$15,31,FALSE))</f>
        <v/>
      </c>
      <c r="T79" s="507" t="str">
        <f t="shared" si="9"/>
        <v/>
      </c>
      <c r="U79" s="507" t="str">
        <f t="shared" si="10"/>
        <v/>
      </c>
      <c r="V79" s="524" t="str">
        <f>IF(D79="","",VLOOKUP(S79,'G-3 Multipliers'!$P$3:$Q$6,2,FALSE))</f>
        <v/>
      </c>
      <c r="W79" s="529" t="str">
        <f t="shared" si="11"/>
        <v/>
      </c>
      <c r="X79" s="149"/>
      <c r="Y79" s="150"/>
      <c r="AG79" s="31" t="str">
        <f>IFERROR(INDEX('G-6 Hedgerow Data'!$BJ$3:$BJ$15,MATCH(D79,'G-6 Hedgerow Data'!$B$3:$B$15,0)),"")</f>
        <v/>
      </c>
    </row>
    <row r="80" spans="2:33" ht="13.8" x14ac:dyDescent="0.25">
      <c r="B80" s="141">
        <v>69</v>
      </c>
      <c r="C80" s="205"/>
      <c r="D80" s="195"/>
      <c r="E80" s="172"/>
      <c r="F80" s="553" t="str">
        <f>IF(D80="","",VLOOKUP(D80,'G-6 Hedgerow Data'!$B$2:$AG$15,2,FALSE))</f>
        <v/>
      </c>
      <c r="G80" s="499" t="str">
        <f>IF(D80="","",VLOOKUP(D80,'G-6 Hedgerow Data'!$B$2:$AG$15,3,FALSE))</f>
        <v/>
      </c>
      <c r="H80" s="145"/>
      <c r="I80" s="499" t="str">
        <f>IFERROR(VLOOKUP(H80,'G-1 All Habitats'!$Z$2:$AA$9,2,FALSE),"")</f>
        <v/>
      </c>
      <c r="J80" s="145"/>
      <c r="K80" s="520" t="str">
        <f>IF(J80="","",IF(VLOOKUP(J80,'G-3 Multipliers'!$L$3:$N$6,2,FALSE)=0,"Spatial Data Missing ⚠",VLOOKUP(J80,'G-3 Multipliers'!$L$3:$N$6,2,FALSE)))</f>
        <v/>
      </c>
      <c r="L80" s="505" t="str">
        <f>IF(J80="","",IF(VLOOKUP(J80,'G-3 Multipliers'!$L$3:$N$6,3,FALSE)=0,"Spatial Data Missing ⚠",VLOOKUP(J80,'G-3 Multipliers'!$L$3:$N$6,3,FALSE)))</f>
        <v/>
      </c>
      <c r="M80" s="498" t="str">
        <f>IF(OR(D80="",H80=""),"",(INDEX('G-6 Hedgerow Data'!$E$3:$I$15,MATCH(D80,'G-6 Hedgerow Data'!$B$3:$B$15,0),MATCH(H80,'G-6 Hedgerow Data'!$E$2:$I$2,0))))</f>
        <v/>
      </c>
      <c r="N80" s="195"/>
      <c r="O80" s="195"/>
      <c r="P80" s="507" t="str">
        <f t="shared" si="7"/>
        <v/>
      </c>
      <c r="Q80" s="521" t="str">
        <f t="shared" si="8"/>
        <v/>
      </c>
      <c r="R80" s="522" t="str">
        <f t="shared" si="6"/>
        <v/>
      </c>
      <c r="S80" s="537" t="str">
        <f>IF(D80="","",VLOOKUP(D80,'G-6 Hedgerow Data'!$B$3:$AG$15,31,FALSE))</f>
        <v/>
      </c>
      <c r="T80" s="507" t="str">
        <f t="shared" si="9"/>
        <v/>
      </c>
      <c r="U80" s="507" t="str">
        <f t="shared" si="10"/>
        <v/>
      </c>
      <c r="V80" s="524" t="str">
        <f>IF(D80="","",VLOOKUP(S80,'G-3 Multipliers'!$P$3:$Q$6,2,FALSE))</f>
        <v/>
      </c>
      <c r="W80" s="529" t="str">
        <f t="shared" si="11"/>
        <v/>
      </c>
      <c r="X80" s="149"/>
      <c r="Y80" s="150"/>
      <c r="AG80" s="31" t="str">
        <f>IFERROR(INDEX('G-6 Hedgerow Data'!$BJ$3:$BJ$15,MATCH(D80,'G-6 Hedgerow Data'!$B$3:$B$15,0)),"")</f>
        <v/>
      </c>
    </row>
    <row r="81" spans="2:33" ht="13.8" x14ac:dyDescent="0.25">
      <c r="B81" s="141">
        <v>70</v>
      </c>
      <c r="C81" s="205"/>
      <c r="D81" s="195"/>
      <c r="E81" s="172"/>
      <c r="F81" s="553" t="str">
        <f>IF(D81="","",VLOOKUP(D81,'G-6 Hedgerow Data'!$B$2:$AG$15,2,FALSE))</f>
        <v/>
      </c>
      <c r="G81" s="499" t="str">
        <f>IF(D81="","",VLOOKUP(D81,'G-6 Hedgerow Data'!$B$2:$AG$15,3,FALSE))</f>
        <v/>
      </c>
      <c r="H81" s="145"/>
      <c r="I81" s="499" t="str">
        <f>IFERROR(VLOOKUP(H81,'G-1 All Habitats'!$Z$2:$AA$9,2,FALSE),"")</f>
        <v/>
      </c>
      <c r="J81" s="145"/>
      <c r="K81" s="520" t="str">
        <f>IF(J81="","",IF(VLOOKUP(J81,'G-3 Multipliers'!$L$3:$N$6,2,FALSE)=0,"Spatial Data Missing ⚠",VLOOKUP(J81,'G-3 Multipliers'!$L$3:$N$6,2,FALSE)))</f>
        <v/>
      </c>
      <c r="L81" s="505" t="str">
        <f>IF(J81="","",IF(VLOOKUP(J81,'G-3 Multipliers'!$L$3:$N$6,3,FALSE)=0,"Spatial Data Missing ⚠",VLOOKUP(J81,'G-3 Multipliers'!$L$3:$N$6,3,FALSE)))</f>
        <v/>
      </c>
      <c r="M81" s="498" t="str">
        <f>IF(OR(D81="",H81=""),"",(INDEX('G-6 Hedgerow Data'!$E$3:$I$15,MATCH(D81,'G-6 Hedgerow Data'!$B$3:$B$15,0),MATCH(H81,'G-6 Hedgerow Data'!$E$2:$I$2,0))))</f>
        <v/>
      </c>
      <c r="N81" s="195"/>
      <c r="O81" s="195"/>
      <c r="P81" s="507" t="str">
        <f t="shared" si="7"/>
        <v/>
      </c>
      <c r="Q81" s="521" t="str">
        <f t="shared" si="8"/>
        <v/>
      </c>
      <c r="R81" s="522" t="str">
        <f t="shared" si="6"/>
        <v/>
      </c>
      <c r="S81" s="537" t="str">
        <f>IF(D81="","",VLOOKUP(D81,'G-6 Hedgerow Data'!$B$3:$AG$15,31,FALSE))</f>
        <v/>
      </c>
      <c r="T81" s="507" t="str">
        <f t="shared" si="9"/>
        <v/>
      </c>
      <c r="U81" s="507" t="str">
        <f t="shared" si="10"/>
        <v/>
      </c>
      <c r="V81" s="524" t="str">
        <f>IF(D81="","",VLOOKUP(S81,'G-3 Multipliers'!$P$3:$Q$6,2,FALSE))</f>
        <v/>
      </c>
      <c r="W81" s="529" t="str">
        <f t="shared" si="11"/>
        <v/>
      </c>
      <c r="X81" s="149"/>
      <c r="Y81" s="150"/>
      <c r="AG81" s="31" t="str">
        <f>IFERROR(INDEX('G-6 Hedgerow Data'!$BJ$3:$BJ$15,MATCH(D81,'G-6 Hedgerow Data'!$B$3:$B$15,0)),"")</f>
        <v/>
      </c>
    </row>
    <row r="82" spans="2:33" ht="13.8" x14ac:dyDescent="0.25">
      <c r="B82" s="141">
        <v>71</v>
      </c>
      <c r="C82" s="205"/>
      <c r="D82" s="195"/>
      <c r="E82" s="172"/>
      <c r="F82" s="553" t="str">
        <f>IF(D82="","",VLOOKUP(D82,'G-6 Hedgerow Data'!$B$2:$AG$15,2,FALSE))</f>
        <v/>
      </c>
      <c r="G82" s="499" t="str">
        <f>IF(D82="","",VLOOKUP(D82,'G-6 Hedgerow Data'!$B$2:$AG$15,3,FALSE))</f>
        <v/>
      </c>
      <c r="H82" s="145"/>
      <c r="I82" s="499" t="str">
        <f>IFERROR(VLOOKUP(H82,'G-1 All Habitats'!$Z$2:$AA$9,2,FALSE),"")</f>
        <v/>
      </c>
      <c r="J82" s="145"/>
      <c r="K82" s="520" t="str">
        <f>IF(J82="","",IF(VLOOKUP(J82,'G-3 Multipliers'!$L$3:$N$6,2,FALSE)=0,"Spatial Data Missing ⚠",VLOOKUP(J82,'G-3 Multipliers'!$L$3:$N$6,2,FALSE)))</f>
        <v/>
      </c>
      <c r="L82" s="505" t="str">
        <f>IF(J82="","",IF(VLOOKUP(J82,'G-3 Multipliers'!$L$3:$N$6,3,FALSE)=0,"Spatial Data Missing ⚠",VLOOKUP(J82,'G-3 Multipliers'!$L$3:$N$6,3,FALSE)))</f>
        <v/>
      </c>
      <c r="M82" s="498" t="str">
        <f>IF(OR(D82="",H82=""),"",(INDEX('G-6 Hedgerow Data'!$E$3:$I$15,MATCH(D82,'G-6 Hedgerow Data'!$B$3:$B$15,0),MATCH(H82,'G-6 Hedgerow Data'!$E$2:$I$2,0))))</f>
        <v/>
      </c>
      <c r="N82" s="195"/>
      <c r="O82" s="195"/>
      <c r="P82" s="507" t="str">
        <f t="shared" si="7"/>
        <v/>
      </c>
      <c r="Q82" s="521" t="str">
        <f t="shared" si="8"/>
        <v/>
      </c>
      <c r="R82" s="522" t="str">
        <f t="shared" si="6"/>
        <v/>
      </c>
      <c r="S82" s="537" t="str">
        <f>IF(D82="","",VLOOKUP(D82,'G-6 Hedgerow Data'!$B$3:$AG$15,31,FALSE))</f>
        <v/>
      </c>
      <c r="T82" s="507" t="str">
        <f t="shared" si="9"/>
        <v/>
      </c>
      <c r="U82" s="507" t="str">
        <f t="shared" si="10"/>
        <v/>
      </c>
      <c r="V82" s="524" t="str">
        <f>IF(D82="","",VLOOKUP(S82,'G-3 Multipliers'!$P$3:$Q$6,2,FALSE))</f>
        <v/>
      </c>
      <c r="W82" s="529" t="str">
        <f t="shared" si="11"/>
        <v/>
      </c>
      <c r="X82" s="149"/>
      <c r="Y82" s="150"/>
      <c r="AG82" s="31" t="str">
        <f>IFERROR(INDEX('G-6 Hedgerow Data'!$BJ$3:$BJ$15,MATCH(D82,'G-6 Hedgerow Data'!$B$3:$B$15,0)),"")</f>
        <v/>
      </c>
    </row>
    <row r="83" spans="2:33" ht="13.8" x14ac:dyDescent="0.25">
      <c r="B83" s="141">
        <v>72</v>
      </c>
      <c r="C83" s="205"/>
      <c r="D83" s="195"/>
      <c r="E83" s="172"/>
      <c r="F83" s="553" t="str">
        <f>IF(D83="","",VLOOKUP(D83,'G-6 Hedgerow Data'!$B$2:$AG$15,2,FALSE))</f>
        <v/>
      </c>
      <c r="G83" s="499" t="str">
        <f>IF(D83="","",VLOOKUP(D83,'G-6 Hedgerow Data'!$B$2:$AG$15,3,FALSE))</f>
        <v/>
      </c>
      <c r="H83" s="145"/>
      <c r="I83" s="499" t="str">
        <f>IFERROR(VLOOKUP(H83,'G-1 All Habitats'!$Z$2:$AA$9,2,FALSE),"")</f>
        <v/>
      </c>
      <c r="J83" s="145"/>
      <c r="K83" s="520" t="str">
        <f>IF(J83="","",IF(VLOOKUP(J83,'G-3 Multipliers'!$L$3:$N$6,2,FALSE)=0,"Spatial Data Missing ⚠",VLOOKUP(J83,'G-3 Multipliers'!$L$3:$N$6,2,FALSE)))</f>
        <v/>
      </c>
      <c r="L83" s="505" t="str">
        <f>IF(J83="","",IF(VLOOKUP(J83,'G-3 Multipliers'!$L$3:$N$6,3,FALSE)=0,"Spatial Data Missing ⚠",VLOOKUP(J83,'G-3 Multipliers'!$L$3:$N$6,3,FALSE)))</f>
        <v/>
      </c>
      <c r="M83" s="498" t="str">
        <f>IF(OR(D83="",H83=""),"",(INDEX('G-6 Hedgerow Data'!$E$3:$I$15,MATCH(D83,'G-6 Hedgerow Data'!$B$3:$B$15,0),MATCH(H83,'G-6 Hedgerow Data'!$E$2:$I$2,0))))</f>
        <v/>
      </c>
      <c r="N83" s="195"/>
      <c r="O83" s="195"/>
      <c r="P83" s="507" t="str">
        <f t="shared" si="7"/>
        <v/>
      </c>
      <c r="Q83" s="521" t="str">
        <f t="shared" si="8"/>
        <v/>
      </c>
      <c r="R83" s="522" t="str">
        <f t="shared" si="6"/>
        <v/>
      </c>
      <c r="S83" s="537" t="str">
        <f>IF(D83="","",VLOOKUP(D83,'G-6 Hedgerow Data'!$B$3:$AG$15,31,FALSE))</f>
        <v/>
      </c>
      <c r="T83" s="507" t="str">
        <f t="shared" si="9"/>
        <v/>
      </c>
      <c r="U83" s="507" t="str">
        <f t="shared" si="10"/>
        <v/>
      </c>
      <c r="V83" s="524" t="str">
        <f>IF(D83="","",VLOOKUP(S83,'G-3 Multipliers'!$P$3:$Q$6,2,FALSE))</f>
        <v/>
      </c>
      <c r="W83" s="529" t="str">
        <f t="shared" si="11"/>
        <v/>
      </c>
      <c r="X83" s="149"/>
      <c r="Y83" s="150"/>
      <c r="AG83" s="31" t="str">
        <f>IFERROR(INDEX('G-6 Hedgerow Data'!$BJ$3:$BJ$15,MATCH(D83,'G-6 Hedgerow Data'!$B$3:$B$15,0)),"")</f>
        <v/>
      </c>
    </row>
    <row r="84" spans="2:33" ht="13.8" x14ac:dyDescent="0.25">
      <c r="B84" s="141">
        <v>73</v>
      </c>
      <c r="C84" s="205"/>
      <c r="D84" s="195"/>
      <c r="E84" s="172"/>
      <c r="F84" s="553" t="str">
        <f>IF(D84="","",VLOOKUP(D84,'G-6 Hedgerow Data'!$B$2:$AG$15,2,FALSE))</f>
        <v/>
      </c>
      <c r="G84" s="499" t="str">
        <f>IF(D84="","",VLOOKUP(D84,'G-6 Hedgerow Data'!$B$2:$AG$15,3,FALSE))</f>
        <v/>
      </c>
      <c r="H84" s="145"/>
      <c r="I84" s="499" t="str">
        <f>IFERROR(VLOOKUP(H84,'G-1 All Habitats'!$Z$2:$AA$9,2,FALSE),"")</f>
        <v/>
      </c>
      <c r="J84" s="145"/>
      <c r="K84" s="520" t="str">
        <f>IF(J84="","",IF(VLOOKUP(J84,'G-3 Multipliers'!$L$3:$N$6,2,FALSE)=0,"Spatial Data Missing ⚠",VLOOKUP(J84,'G-3 Multipliers'!$L$3:$N$6,2,FALSE)))</f>
        <v/>
      </c>
      <c r="L84" s="505" t="str">
        <f>IF(J84="","",IF(VLOOKUP(J84,'G-3 Multipliers'!$L$3:$N$6,3,FALSE)=0,"Spatial Data Missing ⚠",VLOOKUP(J84,'G-3 Multipliers'!$L$3:$N$6,3,FALSE)))</f>
        <v/>
      </c>
      <c r="M84" s="498" t="str">
        <f>IF(OR(D84="",H84=""),"",(INDEX('G-6 Hedgerow Data'!$E$3:$I$15,MATCH(D84,'G-6 Hedgerow Data'!$B$3:$B$15,0),MATCH(H84,'G-6 Hedgerow Data'!$E$2:$I$2,0))))</f>
        <v/>
      </c>
      <c r="N84" s="195"/>
      <c r="O84" s="195"/>
      <c r="P84" s="507" t="str">
        <f t="shared" si="7"/>
        <v/>
      </c>
      <c r="Q84" s="521" t="str">
        <f t="shared" si="8"/>
        <v/>
      </c>
      <c r="R84" s="522" t="str">
        <f t="shared" si="6"/>
        <v/>
      </c>
      <c r="S84" s="537" t="str">
        <f>IF(D84="","",VLOOKUP(D84,'G-6 Hedgerow Data'!$B$3:$AG$15,31,FALSE))</f>
        <v/>
      </c>
      <c r="T84" s="507" t="str">
        <f t="shared" si="9"/>
        <v/>
      </c>
      <c r="U84" s="507" t="str">
        <f t="shared" si="10"/>
        <v/>
      </c>
      <c r="V84" s="524" t="str">
        <f>IF(D84="","",VLOOKUP(S84,'G-3 Multipliers'!$P$3:$Q$6,2,FALSE))</f>
        <v/>
      </c>
      <c r="W84" s="529" t="str">
        <f t="shared" si="11"/>
        <v/>
      </c>
      <c r="X84" s="149"/>
      <c r="Y84" s="150"/>
      <c r="AG84" s="31" t="str">
        <f>IFERROR(INDEX('G-6 Hedgerow Data'!$BJ$3:$BJ$15,MATCH(D84,'G-6 Hedgerow Data'!$B$3:$B$15,0)),"")</f>
        <v/>
      </c>
    </row>
    <row r="85" spans="2:33" ht="13.8" x14ac:dyDescent="0.25">
      <c r="B85" s="141">
        <v>74</v>
      </c>
      <c r="C85" s="205"/>
      <c r="D85" s="195"/>
      <c r="E85" s="172"/>
      <c r="F85" s="553" t="str">
        <f>IF(D85="","",VLOOKUP(D85,'G-6 Hedgerow Data'!$B$2:$AG$15,2,FALSE))</f>
        <v/>
      </c>
      <c r="G85" s="499" t="str">
        <f>IF(D85="","",VLOOKUP(D85,'G-6 Hedgerow Data'!$B$2:$AG$15,3,FALSE))</f>
        <v/>
      </c>
      <c r="H85" s="145"/>
      <c r="I85" s="499" t="str">
        <f>IFERROR(VLOOKUP(H85,'G-1 All Habitats'!$Z$2:$AA$9,2,FALSE),"")</f>
        <v/>
      </c>
      <c r="J85" s="145"/>
      <c r="K85" s="520" t="str">
        <f>IF(J85="","",IF(VLOOKUP(J85,'G-3 Multipliers'!$L$3:$N$6,2,FALSE)=0,"Spatial Data Missing ⚠",VLOOKUP(J85,'G-3 Multipliers'!$L$3:$N$6,2,FALSE)))</f>
        <v/>
      </c>
      <c r="L85" s="505" t="str">
        <f>IF(J85="","",IF(VLOOKUP(J85,'G-3 Multipliers'!$L$3:$N$6,3,FALSE)=0,"Spatial Data Missing ⚠",VLOOKUP(J85,'G-3 Multipliers'!$L$3:$N$6,3,FALSE)))</f>
        <v/>
      </c>
      <c r="M85" s="498" t="str">
        <f>IF(OR(D85="",H85=""),"",(INDEX('G-6 Hedgerow Data'!$E$3:$I$15,MATCH(D85,'G-6 Hedgerow Data'!$B$3:$B$15,0),MATCH(H85,'G-6 Hedgerow Data'!$E$2:$I$2,0))))</f>
        <v/>
      </c>
      <c r="N85" s="195"/>
      <c r="O85" s="195"/>
      <c r="P85" s="507" t="str">
        <f t="shared" si="7"/>
        <v/>
      </c>
      <c r="Q85" s="521" t="str">
        <f t="shared" si="8"/>
        <v/>
      </c>
      <c r="R85" s="522" t="str">
        <f t="shared" si="6"/>
        <v/>
      </c>
      <c r="S85" s="537" t="str">
        <f>IF(D85="","",VLOOKUP(D85,'G-6 Hedgerow Data'!$B$3:$AG$15,31,FALSE))</f>
        <v/>
      </c>
      <c r="T85" s="507" t="str">
        <f t="shared" si="9"/>
        <v/>
      </c>
      <c r="U85" s="507" t="str">
        <f t="shared" si="10"/>
        <v/>
      </c>
      <c r="V85" s="524" t="str">
        <f>IF(D85="","",VLOOKUP(S85,'G-3 Multipliers'!$P$3:$Q$6,2,FALSE))</f>
        <v/>
      </c>
      <c r="W85" s="529" t="str">
        <f t="shared" si="11"/>
        <v/>
      </c>
      <c r="X85" s="149"/>
      <c r="Y85" s="150"/>
      <c r="AG85" s="31" t="str">
        <f>IFERROR(INDEX('G-6 Hedgerow Data'!$BJ$3:$BJ$15,MATCH(D85,'G-6 Hedgerow Data'!$B$3:$B$15,0)),"")</f>
        <v/>
      </c>
    </row>
    <row r="86" spans="2:33" ht="13.8" x14ac:dyDescent="0.25">
      <c r="B86" s="141">
        <v>75</v>
      </c>
      <c r="C86" s="205"/>
      <c r="D86" s="195"/>
      <c r="E86" s="172"/>
      <c r="F86" s="553" t="str">
        <f>IF(D86="","",VLOOKUP(D86,'G-6 Hedgerow Data'!$B$2:$AG$15,2,FALSE))</f>
        <v/>
      </c>
      <c r="G86" s="499" t="str">
        <f>IF(D86="","",VLOOKUP(D86,'G-6 Hedgerow Data'!$B$2:$AG$15,3,FALSE))</f>
        <v/>
      </c>
      <c r="H86" s="145"/>
      <c r="I86" s="499" t="str">
        <f>IFERROR(VLOOKUP(H86,'G-1 All Habitats'!$Z$2:$AA$9,2,FALSE),"")</f>
        <v/>
      </c>
      <c r="J86" s="145"/>
      <c r="K86" s="520" t="str">
        <f>IF(J86="","",IF(VLOOKUP(J86,'G-3 Multipliers'!$L$3:$N$6,2,FALSE)=0,"Spatial Data Missing ⚠",VLOOKUP(J86,'G-3 Multipliers'!$L$3:$N$6,2,FALSE)))</f>
        <v/>
      </c>
      <c r="L86" s="505" t="str">
        <f>IF(J86="","",IF(VLOOKUP(J86,'G-3 Multipliers'!$L$3:$N$6,3,FALSE)=0,"Spatial Data Missing ⚠",VLOOKUP(J86,'G-3 Multipliers'!$L$3:$N$6,3,FALSE)))</f>
        <v/>
      </c>
      <c r="M86" s="498" t="str">
        <f>IF(OR(D86="",H86=""),"",(INDEX('G-6 Hedgerow Data'!$E$3:$I$15,MATCH(D86,'G-6 Hedgerow Data'!$B$3:$B$15,0),MATCH(H86,'G-6 Hedgerow Data'!$E$2:$I$2,0))))</f>
        <v/>
      </c>
      <c r="N86" s="195"/>
      <c r="O86" s="195"/>
      <c r="P86" s="507" t="str">
        <f t="shared" si="7"/>
        <v/>
      </c>
      <c r="Q86" s="521" t="str">
        <f t="shared" si="8"/>
        <v/>
      </c>
      <c r="R86" s="522" t="str">
        <f t="shared" si="6"/>
        <v/>
      </c>
      <c r="S86" s="537" t="str">
        <f>IF(D86="","",VLOOKUP(D86,'G-6 Hedgerow Data'!$B$3:$AG$15,31,FALSE))</f>
        <v/>
      </c>
      <c r="T86" s="507" t="str">
        <f t="shared" si="9"/>
        <v/>
      </c>
      <c r="U86" s="507" t="str">
        <f t="shared" si="10"/>
        <v/>
      </c>
      <c r="V86" s="524" t="str">
        <f>IF(D86="","",VLOOKUP(S86,'G-3 Multipliers'!$P$3:$Q$6,2,FALSE))</f>
        <v/>
      </c>
      <c r="W86" s="529" t="str">
        <f t="shared" si="11"/>
        <v/>
      </c>
      <c r="X86" s="149"/>
      <c r="Y86" s="150"/>
      <c r="AG86" s="31" t="str">
        <f>IFERROR(INDEX('G-6 Hedgerow Data'!$BJ$3:$BJ$15,MATCH(D86,'G-6 Hedgerow Data'!$B$3:$B$15,0)),"")</f>
        <v/>
      </c>
    </row>
    <row r="87" spans="2:33" ht="13.8" x14ac:dyDescent="0.25">
      <c r="B87" s="141">
        <v>76</v>
      </c>
      <c r="C87" s="205"/>
      <c r="D87" s="195"/>
      <c r="E87" s="172"/>
      <c r="F87" s="553" t="str">
        <f>IF(D87="","",VLOOKUP(D87,'G-6 Hedgerow Data'!$B$2:$AG$15,2,FALSE))</f>
        <v/>
      </c>
      <c r="G87" s="499" t="str">
        <f>IF(D87="","",VLOOKUP(D87,'G-6 Hedgerow Data'!$B$2:$AG$15,3,FALSE))</f>
        <v/>
      </c>
      <c r="H87" s="145"/>
      <c r="I87" s="499" t="str">
        <f>IFERROR(VLOOKUP(H87,'G-1 All Habitats'!$Z$2:$AA$9,2,FALSE),"")</f>
        <v/>
      </c>
      <c r="J87" s="145"/>
      <c r="K87" s="520" t="str">
        <f>IF(J87="","",IF(VLOOKUP(J87,'G-3 Multipliers'!$L$3:$N$6,2,FALSE)=0,"Spatial Data Missing ⚠",VLOOKUP(J87,'G-3 Multipliers'!$L$3:$N$6,2,FALSE)))</f>
        <v/>
      </c>
      <c r="L87" s="505" t="str">
        <f>IF(J87="","",IF(VLOOKUP(J87,'G-3 Multipliers'!$L$3:$N$6,3,FALSE)=0,"Spatial Data Missing ⚠",VLOOKUP(J87,'G-3 Multipliers'!$L$3:$N$6,3,FALSE)))</f>
        <v/>
      </c>
      <c r="M87" s="498" t="str">
        <f>IF(OR(D87="",H87=""),"",(INDEX('G-6 Hedgerow Data'!$E$3:$I$15,MATCH(D87,'G-6 Hedgerow Data'!$B$3:$B$15,0),MATCH(H87,'G-6 Hedgerow Data'!$E$2:$I$2,0))))</f>
        <v/>
      </c>
      <c r="N87" s="195"/>
      <c r="O87" s="195"/>
      <c r="P87" s="507" t="str">
        <f t="shared" si="7"/>
        <v/>
      </c>
      <c r="Q87" s="521" t="str">
        <f t="shared" si="8"/>
        <v/>
      </c>
      <c r="R87" s="522" t="str">
        <f t="shared" si="6"/>
        <v/>
      </c>
      <c r="S87" s="537" t="str">
        <f>IF(D87="","",VLOOKUP(D87,'G-6 Hedgerow Data'!$B$3:$AG$15,31,FALSE))</f>
        <v/>
      </c>
      <c r="T87" s="507" t="str">
        <f t="shared" si="9"/>
        <v/>
      </c>
      <c r="U87" s="507" t="str">
        <f t="shared" si="10"/>
        <v/>
      </c>
      <c r="V87" s="524" t="str">
        <f>IF(D87="","",VLOOKUP(S87,'G-3 Multipliers'!$P$3:$Q$6,2,FALSE))</f>
        <v/>
      </c>
      <c r="W87" s="529" t="str">
        <f t="shared" si="11"/>
        <v/>
      </c>
      <c r="X87" s="149"/>
      <c r="Y87" s="150"/>
      <c r="AG87" s="31" t="str">
        <f>IFERROR(INDEX('G-6 Hedgerow Data'!$BJ$3:$BJ$15,MATCH(D87,'G-6 Hedgerow Data'!$B$3:$B$15,0)),"")</f>
        <v/>
      </c>
    </row>
    <row r="88" spans="2:33" ht="13.8" x14ac:dyDescent="0.25">
      <c r="B88" s="141">
        <v>77</v>
      </c>
      <c r="C88" s="205"/>
      <c r="D88" s="195"/>
      <c r="E88" s="172"/>
      <c r="F88" s="553" t="str">
        <f>IF(D88="","",VLOOKUP(D88,'G-6 Hedgerow Data'!$B$2:$AG$15,2,FALSE))</f>
        <v/>
      </c>
      <c r="G88" s="499" t="str">
        <f>IF(D88="","",VLOOKUP(D88,'G-6 Hedgerow Data'!$B$2:$AG$15,3,FALSE))</f>
        <v/>
      </c>
      <c r="H88" s="145"/>
      <c r="I88" s="499" t="str">
        <f>IFERROR(VLOOKUP(H88,'G-1 All Habitats'!$Z$2:$AA$9,2,FALSE),"")</f>
        <v/>
      </c>
      <c r="J88" s="145"/>
      <c r="K88" s="520" t="str">
        <f>IF(J88="","",IF(VLOOKUP(J88,'G-3 Multipliers'!$L$3:$N$6,2,FALSE)=0,"Spatial Data Missing ⚠",VLOOKUP(J88,'G-3 Multipliers'!$L$3:$N$6,2,FALSE)))</f>
        <v/>
      </c>
      <c r="L88" s="505" t="str">
        <f>IF(J88="","",IF(VLOOKUP(J88,'G-3 Multipliers'!$L$3:$N$6,3,FALSE)=0,"Spatial Data Missing ⚠",VLOOKUP(J88,'G-3 Multipliers'!$L$3:$N$6,3,FALSE)))</f>
        <v/>
      </c>
      <c r="M88" s="498" t="str">
        <f>IF(OR(D88="",H88=""),"",(INDEX('G-6 Hedgerow Data'!$E$3:$I$15,MATCH(D88,'G-6 Hedgerow Data'!$B$3:$B$15,0),MATCH(H88,'G-6 Hedgerow Data'!$E$2:$I$2,0))))</f>
        <v/>
      </c>
      <c r="N88" s="195"/>
      <c r="O88" s="195"/>
      <c r="P88" s="507" t="str">
        <f t="shared" si="7"/>
        <v/>
      </c>
      <c r="Q88" s="521" t="str">
        <f t="shared" si="8"/>
        <v/>
      </c>
      <c r="R88" s="522" t="str">
        <f t="shared" si="6"/>
        <v/>
      </c>
      <c r="S88" s="537" t="str">
        <f>IF(D88="","",VLOOKUP(D88,'G-6 Hedgerow Data'!$B$3:$AG$15,31,FALSE))</f>
        <v/>
      </c>
      <c r="T88" s="507" t="str">
        <f t="shared" si="9"/>
        <v/>
      </c>
      <c r="U88" s="507" t="str">
        <f t="shared" si="10"/>
        <v/>
      </c>
      <c r="V88" s="524" t="str">
        <f>IF(D88="","",VLOOKUP(S88,'G-3 Multipliers'!$P$3:$Q$6,2,FALSE))</f>
        <v/>
      </c>
      <c r="W88" s="529" t="str">
        <f t="shared" si="11"/>
        <v/>
      </c>
      <c r="X88" s="149"/>
      <c r="Y88" s="150"/>
      <c r="AG88" s="31" t="str">
        <f>IFERROR(INDEX('G-6 Hedgerow Data'!$BJ$3:$BJ$15,MATCH(D88,'G-6 Hedgerow Data'!$B$3:$B$15,0)),"")</f>
        <v/>
      </c>
    </row>
    <row r="89" spans="2:33" ht="13.8" x14ac:dyDescent="0.25">
      <c r="B89" s="141">
        <v>78</v>
      </c>
      <c r="C89" s="205"/>
      <c r="D89" s="195"/>
      <c r="E89" s="172"/>
      <c r="F89" s="553" t="str">
        <f>IF(D89="","",VLOOKUP(D89,'G-6 Hedgerow Data'!$B$2:$AG$15,2,FALSE))</f>
        <v/>
      </c>
      <c r="G89" s="499" t="str">
        <f>IF(D89="","",VLOOKUP(D89,'G-6 Hedgerow Data'!$B$2:$AG$15,3,FALSE))</f>
        <v/>
      </c>
      <c r="H89" s="145"/>
      <c r="I89" s="499" t="str">
        <f>IFERROR(VLOOKUP(H89,'G-1 All Habitats'!$Z$2:$AA$9,2,FALSE),"")</f>
        <v/>
      </c>
      <c r="J89" s="145"/>
      <c r="K89" s="520" t="str">
        <f>IF(J89="","",IF(VLOOKUP(J89,'G-3 Multipliers'!$L$3:$N$6,2,FALSE)=0,"Spatial Data Missing ⚠",VLOOKUP(J89,'G-3 Multipliers'!$L$3:$N$6,2,FALSE)))</f>
        <v/>
      </c>
      <c r="L89" s="505" t="str">
        <f>IF(J89="","",IF(VLOOKUP(J89,'G-3 Multipliers'!$L$3:$N$6,3,FALSE)=0,"Spatial Data Missing ⚠",VLOOKUP(J89,'G-3 Multipliers'!$L$3:$N$6,3,FALSE)))</f>
        <v/>
      </c>
      <c r="M89" s="498" t="str">
        <f>IF(OR(D89="",H89=""),"",(INDEX('G-6 Hedgerow Data'!$E$3:$I$15,MATCH(D89,'G-6 Hedgerow Data'!$B$3:$B$15,0),MATCH(H89,'G-6 Hedgerow Data'!$E$2:$I$2,0))))</f>
        <v/>
      </c>
      <c r="N89" s="195"/>
      <c r="O89" s="195"/>
      <c r="P89" s="507" t="str">
        <f t="shared" si="7"/>
        <v/>
      </c>
      <c r="Q89" s="521" t="str">
        <f t="shared" si="8"/>
        <v/>
      </c>
      <c r="R89" s="522" t="str">
        <f t="shared" si="6"/>
        <v/>
      </c>
      <c r="S89" s="537" t="str">
        <f>IF(D89="","",VLOOKUP(D89,'G-6 Hedgerow Data'!$B$3:$AG$15,31,FALSE))</f>
        <v/>
      </c>
      <c r="T89" s="507" t="str">
        <f t="shared" si="9"/>
        <v/>
      </c>
      <c r="U89" s="507" t="str">
        <f t="shared" si="10"/>
        <v/>
      </c>
      <c r="V89" s="524" t="str">
        <f>IF(D89="","",VLOOKUP(S89,'G-3 Multipliers'!$P$3:$Q$6,2,FALSE))</f>
        <v/>
      </c>
      <c r="W89" s="529" t="str">
        <f t="shared" si="11"/>
        <v/>
      </c>
      <c r="X89" s="149"/>
      <c r="Y89" s="150"/>
      <c r="AG89" s="31" t="str">
        <f>IFERROR(INDEX('G-6 Hedgerow Data'!$BJ$3:$BJ$15,MATCH(D89,'G-6 Hedgerow Data'!$B$3:$B$15,0)),"")</f>
        <v/>
      </c>
    </row>
    <row r="90" spans="2:33" ht="13.8" x14ac:dyDescent="0.25">
      <c r="B90" s="141">
        <v>79</v>
      </c>
      <c r="C90" s="205"/>
      <c r="D90" s="195"/>
      <c r="E90" s="172"/>
      <c r="F90" s="553" t="str">
        <f>IF(D90="","",VLOOKUP(D90,'G-6 Hedgerow Data'!$B$2:$AG$15,2,FALSE))</f>
        <v/>
      </c>
      <c r="G90" s="499" t="str">
        <f>IF(D90="","",VLOOKUP(D90,'G-6 Hedgerow Data'!$B$2:$AG$15,3,FALSE))</f>
        <v/>
      </c>
      <c r="H90" s="145"/>
      <c r="I90" s="499" t="str">
        <f>IFERROR(VLOOKUP(H90,'G-1 All Habitats'!$Z$2:$AA$9,2,FALSE),"")</f>
        <v/>
      </c>
      <c r="J90" s="145"/>
      <c r="K90" s="520" t="str">
        <f>IF(J90="","",IF(VLOOKUP(J90,'G-3 Multipliers'!$L$3:$N$6,2,FALSE)=0,"Spatial Data Missing ⚠",VLOOKUP(J90,'G-3 Multipliers'!$L$3:$N$6,2,FALSE)))</f>
        <v/>
      </c>
      <c r="L90" s="505" t="str">
        <f>IF(J90="","",IF(VLOOKUP(J90,'G-3 Multipliers'!$L$3:$N$6,3,FALSE)=0,"Spatial Data Missing ⚠",VLOOKUP(J90,'G-3 Multipliers'!$L$3:$N$6,3,FALSE)))</f>
        <v/>
      </c>
      <c r="M90" s="498" t="str">
        <f>IF(OR(D90="",H90=""),"",(INDEX('G-6 Hedgerow Data'!$E$3:$I$15,MATCH(D90,'G-6 Hedgerow Data'!$B$3:$B$15,0),MATCH(H90,'G-6 Hedgerow Data'!$E$2:$I$2,0))))</f>
        <v/>
      </c>
      <c r="N90" s="195"/>
      <c r="O90" s="195"/>
      <c r="P90" s="507" t="str">
        <f t="shared" si="7"/>
        <v/>
      </c>
      <c r="Q90" s="521" t="str">
        <f t="shared" si="8"/>
        <v/>
      </c>
      <c r="R90" s="522" t="str">
        <f t="shared" si="6"/>
        <v/>
      </c>
      <c r="S90" s="537" t="str">
        <f>IF(D90="","",VLOOKUP(D90,'G-6 Hedgerow Data'!$B$3:$AG$15,31,FALSE))</f>
        <v/>
      </c>
      <c r="T90" s="507" t="str">
        <f t="shared" si="9"/>
        <v/>
      </c>
      <c r="U90" s="507" t="str">
        <f t="shared" si="10"/>
        <v/>
      </c>
      <c r="V90" s="524" t="str">
        <f>IF(D90="","",VLOOKUP(S90,'G-3 Multipliers'!$P$3:$Q$6,2,FALSE))</f>
        <v/>
      </c>
      <c r="W90" s="529" t="str">
        <f t="shared" si="11"/>
        <v/>
      </c>
      <c r="X90" s="149"/>
      <c r="Y90" s="150"/>
      <c r="AG90" s="31" t="str">
        <f>IFERROR(INDEX('G-6 Hedgerow Data'!$BJ$3:$BJ$15,MATCH(D90,'G-6 Hedgerow Data'!$B$3:$B$15,0)),"")</f>
        <v/>
      </c>
    </row>
    <row r="91" spans="2:33" ht="13.8" x14ac:dyDescent="0.25">
      <c r="B91" s="141">
        <v>80</v>
      </c>
      <c r="C91" s="205"/>
      <c r="D91" s="195"/>
      <c r="E91" s="172"/>
      <c r="F91" s="553" t="str">
        <f>IF(D91="","",VLOOKUP(D91,'G-6 Hedgerow Data'!$B$2:$AG$15,2,FALSE))</f>
        <v/>
      </c>
      <c r="G91" s="499" t="str">
        <f>IF(D91="","",VLOOKUP(D91,'G-6 Hedgerow Data'!$B$2:$AG$15,3,FALSE))</f>
        <v/>
      </c>
      <c r="H91" s="145"/>
      <c r="I91" s="499" t="str">
        <f>IFERROR(VLOOKUP(H91,'G-1 All Habitats'!$Z$2:$AA$9,2,FALSE),"")</f>
        <v/>
      </c>
      <c r="J91" s="145"/>
      <c r="K91" s="520" t="str">
        <f>IF(J91="","",IF(VLOOKUP(J91,'G-3 Multipliers'!$L$3:$N$6,2,FALSE)=0,"Spatial Data Missing ⚠",VLOOKUP(J91,'G-3 Multipliers'!$L$3:$N$6,2,FALSE)))</f>
        <v/>
      </c>
      <c r="L91" s="505" t="str">
        <f>IF(J91="","",IF(VLOOKUP(J91,'G-3 Multipliers'!$L$3:$N$6,3,FALSE)=0,"Spatial Data Missing ⚠",VLOOKUP(J91,'G-3 Multipliers'!$L$3:$N$6,3,FALSE)))</f>
        <v/>
      </c>
      <c r="M91" s="498" t="str">
        <f>IF(OR(D91="",H91=""),"",(INDEX('G-6 Hedgerow Data'!$E$3:$I$15,MATCH(D91,'G-6 Hedgerow Data'!$B$3:$B$15,0),MATCH(H91,'G-6 Hedgerow Data'!$E$2:$I$2,0))))</f>
        <v/>
      </c>
      <c r="N91" s="195"/>
      <c r="O91" s="195"/>
      <c r="P91" s="507" t="str">
        <f t="shared" si="7"/>
        <v/>
      </c>
      <c r="Q91" s="521" t="str">
        <f t="shared" si="8"/>
        <v/>
      </c>
      <c r="R91" s="522" t="str">
        <f t="shared" si="6"/>
        <v/>
      </c>
      <c r="S91" s="537" t="str">
        <f>IF(D91="","",VLOOKUP(D91,'G-6 Hedgerow Data'!$B$3:$AG$15,31,FALSE))</f>
        <v/>
      </c>
      <c r="T91" s="507" t="str">
        <f t="shared" si="9"/>
        <v/>
      </c>
      <c r="U91" s="507" t="str">
        <f t="shared" si="10"/>
        <v/>
      </c>
      <c r="V91" s="524" t="str">
        <f>IF(D91="","",VLOOKUP(S91,'G-3 Multipliers'!$P$3:$Q$6,2,FALSE))</f>
        <v/>
      </c>
      <c r="W91" s="529" t="str">
        <f t="shared" si="11"/>
        <v/>
      </c>
      <c r="X91" s="149"/>
      <c r="Y91" s="150"/>
      <c r="AG91" s="31" t="str">
        <f>IFERROR(INDEX('G-6 Hedgerow Data'!$BJ$3:$BJ$15,MATCH(D91,'G-6 Hedgerow Data'!$B$3:$B$15,0)),"")</f>
        <v/>
      </c>
    </row>
    <row r="92" spans="2:33" ht="13.8" x14ac:dyDescent="0.25">
      <c r="B92" s="141">
        <v>81</v>
      </c>
      <c r="C92" s="205"/>
      <c r="D92" s="195"/>
      <c r="E92" s="172"/>
      <c r="F92" s="553" t="str">
        <f>IF(D92="","",VLOOKUP(D92,'G-6 Hedgerow Data'!$B$2:$AG$15,2,FALSE))</f>
        <v/>
      </c>
      <c r="G92" s="499" t="str">
        <f>IF(D92="","",VLOOKUP(D92,'G-6 Hedgerow Data'!$B$2:$AG$15,3,FALSE))</f>
        <v/>
      </c>
      <c r="H92" s="145"/>
      <c r="I92" s="499" t="str">
        <f>IFERROR(VLOOKUP(H92,'G-1 All Habitats'!$Z$2:$AA$9,2,FALSE),"")</f>
        <v/>
      </c>
      <c r="J92" s="145"/>
      <c r="K92" s="520" t="str">
        <f>IF(J92="","",IF(VLOOKUP(J92,'G-3 Multipliers'!$L$3:$N$6,2,FALSE)=0,"Spatial Data Missing ⚠",VLOOKUP(J92,'G-3 Multipliers'!$L$3:$N$6,2,FALSE)))</f>
        <v/>
      </c>
      <c r="L92" s="505" t="str">
        <f>IF(J92="","",IF(VLOOKUP(J92,'G-3 Multipliers'!$L$3:$N$6,3,FALSE)=0,"Spatial Data Missing ⚠",VLOOKUP(J92,'G-3 Multipliers'!$L$3:$N$6,3,FALSE)))</f>
        <v/>
      </c>
      <c r="M92" s="498" t="str">
        <f>IF(OR(D92="",H92=""),"",(INDEX('G-6 Hedgerow Data'!$E$3:$I$15,MATCH(D92,'G-6 Hedgerow Data'!$B$3:$B$15,0),MATCH(H92,'G-6 Hedgerow Data'!$E$2:$I$2,0))))</f>
        <v/>
      </c>
      <c r="N92" s="195"/>
      <c r="O92" s="195"/>
      <c r="P92" s="507" t="str">
        <f t="shared" si="7"/>
        <v/>
      </c>
      <c r="Q92" s="521" t="str">
        <f t="shared" si="8"/>
        <v/>
      </c>
      <c r="R92" s="522" t="str">
        <f t="shared" si="6"/>
        <v/>
      </c>
      <c r="S92" s="537" t="str">
        <f>IF(D92="","",VLOOKUP(D92,'G-6 Hedgerow Data'!$B$3:$AG$15,31,FALSE))</f>
        <v/>
      </c>
      <c r="T92" s="507" t="str">
        <f t="shared" si="9"/>
        <v/>
      </c>
      <c r="U92" s="507" t="str">
        <f t="shared" si="10"/>
        <v/>
      </c>
      <c r="V92" s="524" t="str">
        <f>IF(D92="","",VLOOKUP(S92,'G-3 Multipliers'!$P$3:$Q$6,2,FALSE))</f>
        <v/>
      </c>
      <c r="W92" s="529" t="str">
        <f t="shared" si="11"/>
        <v/>
      </c>
      <c r="X92" s="149"/>
      <c r="Y92" s="150"/>
      <c r="AG92" s="31" t="str">
        <f>IFERROR(INDEX('G-6 Hedgerow Data'!$BJ$3:$BJ$15,MATCH(D92,'G-6 Hedgerow Data'!$B$3:$B$15,0)),"")</f>
        <v/>
      </c>
    </row>
    <row r="93" spans="2:33" ht="13.8" x14ac:dyDescent="0.25">
      <c r="B93" s="141">
        <v>82</v>
      </c>
      <c r="C93" s="205"/>
      <c r="D93" s="195"/>
      <c r="E93" s="172"/>
      <c r="F93" s="553" t="str">
        <f>IF(D93="","",VLOOKUP(D93,'G-6 Hedgerow Data'!$B$2:$AG$15,2,FALSE))</f>
        <v/>
      </c>
      <c r="G93" s="499" t="str">
        <f>IF(D93="","",VLOOKUP(D93,'G-6 Hedgerow Data'!$B$2:$AG$15,3,FALSE))</f>
        <v/>
      </c>
      <c r="H93" s="145"/>
      <c r="I93" s="499" t="str">
        <f>IFERROR(VLOOKUP(H93,'G-1 All Habitats'!$Z$2:$AA$9,2,FALSE),"")</f>
        <v/>
      </c>
      <c r="J93" s="145"/>
      <c r="K93" s="520" t="str">
        <f>IF(J93="","",IF(VLOOKUP(J93,'G-3 Multipliers'!$L$3:$N$6,2,FALSE)=0,"Spatial Data Missing ⚠",VLOOKUP(J93,'G-3 Multipliers'!$L$3:$N$6,2,FALSE)))</f>
        <v/>
      </c>
      <c r="L93" s="505" t="str">
        <f>IF(J93="","",IF(VLOOKUP(J93,'G-3 Multipliers'!$L$3:$N$6,3,FALSE)=0,"Spatial Data Missing ⚠",VLOOKUP(J93,'G-3 Multipliers'!$L$3:$N$6,3,FALSE)))</f>
        <v/>
      </c>
      <c r="M93" s="498" t="str">
        <f>IF(OR(D93="",H93=""),"",(INDEX('G-6 Hedgerow Data'!$E$3:$I$15,MATCH(D93,'G-6 Hedgerow Data'!$B$3:$B$15,0),MATCH(H93,'G-6 Hedgerow Data'!$E$2:$I$2,0))))</f>
        <v/>
      </c>
      <c r="N93" s="195"/>
      <c r="O93" s="195"/>
      <c r="P93" s="507" t="str">
        <f t="shared" si="7"/>
        <v/>
      </c>
      <c r="Q93" s="521" t="str">
        <f t="shared" si="8"/>
        <v/>
      </c>
      <c r="R93" s="522" t="str">
        <f t="shared" si="6"/>
        <v/>
      </c>
      <c r="S93" s="537" t="str">
        <f>IF(D93="","",VLOOKUP(D93,'G-6 Hedgerow Data'!$B$3:$AG$15,31,FALSE))</f>
        <v/>
      </c>
      <c r="T93" s="507" t="str">
        <f t="shared" si="9"/>
        <v/>
      </c>
      <c r="U93" s="507" t="str">
        <f t="shared" si="10"/>
        <v/>
      </c>
      <c r="V93" s="524" t="str">
        <f>IF(D93="","",VLOOKUP(S93,'G-3 Multipliers'!$P$3:$Q$6,2,FALSE))</f>
        <v/>
      </c>
      <c r="W93" s="529" t="str">
        <f t="shared" si="11"/>
        <v/>
      </c>
      <c r="X93" s="149"/>
      <c r="Y93" s="150"/>
      <c r="AG93" s="31" t="str">
        <f>IFERROR(INDEX('G-6 Hedgerow Data'!$BJ$3:$BJ$15,MATCH(D93,'G-6 Hedgerow Data'!$B$3:$B$15,0)),"")</f>
        <v/>
      </c>
    </row>
    <row r="94" spans="2:33" ht="13.8" x14ac:dyDescent="0.25">
      <c r="B94" s="141">
        <v>83</v>
      </c>
      <c r="C94" s="205"/>
      <c r="D94" s="195"/>
      <c r="E94" s="172"/>
      <c r="F94" s="553" t="str">
        <f>IF(D94="","",VLOOKUP(D94,'G-6 Hedgerow Data'!$B$2:$AG$15,2,FALSE))</f>
        <v/>
      </c>
      <c r="G94" s="499" t="str">
        <f>IF(D94="","",VLOOKUP(D94,'G-6 Hedgerow Data'!$B$2:$AG$15,3,FALSE))</f>
        <v/>
      </c>
      <c r="H94" s="145"/>
      <c r="I94" s="499" t="str">
        <f>IFERROR(VLOOKUP(H94,'G-1 All Habitats'!$Z$2:$AA$9,2,FALSE),"")</f>
        <v/>
      </c>
      <c r="J94" s="145"/>
      <c r="K94" s="520" t="str">
        <f>IF(J94="","",IF(VLOOKUP(J94,'G-3 Multipliers'!$L$3:$N$6,2,FALSE)=0,"Spatial Data Missing ⚠",VLOOKUP(J94,'G-3 Multipliers'!$L$3:$N$6,2,FALSE)))</f>
        <v/>
      </c>
      <c r="L94" s="505" t="str">
        <f>IF(J94="","",IF(VLOOKUP(J94,'G-3 Multipliers'!$L$3:$N$6,3,FALSE)=0,"Spatial Data Missing ⚠",VLOOKUP(J94,'G-3 Multipliers'!$L$3:$N$6,3,FALSE)))</f>
        <v/>
      </c>
      <c r="M94" s="498" t="str">
        <f>IF(OR(D94="",H94=""),"",(INDEX('G-6 Hedgerow Data'!$E$3:$I$15,MATCH(D94,'G-6 Hedgerow Data'!$B$3:$B$15,0),MATCH(H94,'G-6 Hedgerow Data'!$E$2:$I$2,0))))</f>
        <v/>
      </c>
      <c r="N94" s="195"/>
      <c r="O94" s="195"/>
      <c r="P94" s="507" t="str">
        <f t="shared" si="7"/>
        <v/>
      </c>
      <c r="Q94" s="521" t="str">
        <f t="shared" si="8"/>
        <v/>
      </c>
      <c r="R94" s="522" t="str">
        <f t="shared" si="6"/>
        <v/>
      </c>
      <c r="S94" s="537" t="str">
        <f>IF(D94="","",VLOOKUP(D94,'G-6 Hedgerow Data'!$B$3:$AG$15,31,FALSE))</f>
        <v/>
      </c>
      <c r="T94" s="507" t="str">
        <f t="shared" si="9"/>
        <v/>
      </c>
      <c r="U94" s="507" t="str">
        <f t="shared" si="10"/>
        <v/>
      </c>
      <c r="V94" s="524" t="str">
        <f>IF(D94="","",VLOOKUP(S94,'G-3 Multipliers'!$P$3:$Q$6,2,FALSE))</f>
        <v/>
      </c>
      <c r="W94" s="529" t="str">
        <f t="shared" si="11"/>
        <v/>
      </c>
      <c r="X94" s="149"/>
      <c r="Y94" s="150"/>
      <c r="AG94" s="31" t="str">
        <f>IFERROR(INDEX('G-6 Hedgerow Data'!$BJ$3:$BJ$15,MATCH(D94,'G-6 Hedgerow Data'!$B$3:$B$15,0)),"")</f>
        <v/>
      </c>
    </row>
    <row r="95" spans="2:33" ht="13.8" x14ac:dyDescent="0.25">
      <c r="B95" s="141">
        <v>84</v>
      </c>
      <c r="C95" s="205"/>
      <c r="D95" s="195"/>
      <c r="E95" s="172"/>
      <c r="F95" s="553" t="str">
        <f>IF(D95="","",VLOOKUP(D95,'G-6 Hedgerow Data'!$B$2:$AG$15,2,FALSE))</f>
        <v/>
      </c>
      <c r="G95" s="499" t="str">
        <f>IF(D95="","",VLOOKUP(D95,'G-6 Hedgerow Data'!$B$2:$AG$15,3,FALSE))</f>
        <v/>
      </c>
      <c r="H95" s="145"/>
      <c r="I95" s="499" t="str">
        <f>IFERROR(VLOOKUP(H95,'G-1 All Habitats'!$Z$2:$AA$9,2,FALSE),"")</f>
        <v/>
      </c>
      <c r="J95" s="145"/>
      <c r="K95" s="520" t="str">
        <f>IF(J95="","",IF(VLOOKUP(J95,'G-3 Multipliers'!$L$3:$N$6,2,FALSE)=0,"Spatial Data Missing ⚠",VLOOKUP(J95,'G-3 Multipliers'!$L$3:$N$6,2,FALSE)))</f>
        <v/>
      </c>
      <c r="L95" s="505" t="str">
        <f>IF(J95="","",IF(VLOOKUP(J95,'G-3 Multipliers'!$L$3:$N$6,3,FALSE)=0,"Spatial Data Missing ⚠",VLOOKUP(J95,'G-3 Multipliers'!$L$3:$N$6,3,FALSE)))</f>
        <v/>
      </c>
      <c r="M95" s="498" t="str">
        <f>IF(OR(D95="",H95=""),"",(INDEX('G-6 Hedgerow Data'!$E$3:$I$15,MATCH(D95,'G-6 Hedgerow Data'!$B$3:$B$15,0),MATCH(H95,'G-6 Hedgerow Data'!$E$2:$I$2,0))))</f>
        <v/>
      </c>
      <c r="N95" s="195"/>
      <c r="O95" s="195"/>
      <c r="P95" s="507" t="str">
        <f t="shared" si="7"/>
        <v/>
      </c>
      <c r="Q95" s="521" t="str">
        <f t="shared" si="8"/>
        <v/>
      </c>
      <c r="R95" s="522" t="str">
        <f t="shared" si="6"/>
        <v/>
      </c>
      <c r="S95" s="537" t="str">
        <f>IF(D95="","",VLOOKUP(D95,'G-6 Hedgerow Data'!$B$3:$AG$15,31,FALSE))</f>
        <v/>
      </c>
      <c r="T95" s="507" t="str">
        <f t="shared" si="9"/>
        <v/>
      </c>
      <c r="U95" s="507" t="str">
        <f t="shared" si="10"/>
        <v/>
      </c>
      <c r="V95" s="524" t="str">
        <f>IF(D95="","",VLOOKUP(S95,'G-3 Multipliers'!$P$3:$Q$6,2,FALSE))</f>
        <v/>
      </c>
      <c r="W95" s="529" t="str">
        <f t="shared" si="11"/>
        <v/>
      </c>
      <c r="X95" s="149"/>
      <c r="Y95" s="150"/>
      <c r="AG95" s="31" t="str">
        <f>IFERROR(INDEX('G-6 Hedgerow Data'!$BJ$3:$BJ$15,MATCH(D95,'G-6 Hedgerow Data'!$B$3:$B$15,0)),"")</f>
        <v/>
      </c>
    </row>
    <row r="96" spans="2:33" ht="13.8" x14ac:dyDescent="0.25">
      <c r="B96" s="141">
        <v>85</v>
      </c>
      <c r="C96" s="205"/>
      <c r="D96" s="195"/>
      <c r="E96" s="172"/>
      <c r="F96" s="553" t="str">
        <f>IF(D96="","",VLOOKUP(D96,'G-6 Hedgerow Data'!$B$2:$AG$15,2,FALSE))</f>
        <v/>
      </c>
      <c r="G96" s="499" t="str">
        <f>IF(D96="","",VLOOKUP(D96,'G-6 Hedgerow Data'!$B$2:$AG$15,3,FALSE))</f>
        <v/>
      </c>
      <c r="H96" s="145"/>
      <c r="I96" s="499" t="str">
        <f>IFERROR(VLOOKUP(H96,'G-1 All Habitats'!$Z$2:$AA$9,2,FALSE),"")</f>
        <v/>
      </c>
      <c r="J96" s="145"/>
      <c r="K96" s="520" t="str">
        <f>IF(J96="","",IF(VLOOKUP(J96,'G-3 Multipliers'!$L$3:$N$6,2,FALSE)=0,"Spatial Data Missing ⚠",VLOOKUP(J96,'G-3 Multipliers'!$L$3:$N$6,2,FALSE)))</f>
        <v/>
      </c>
      <c r="L96" s="505" t="str">
        <f>IF(J96="","",IF(VLOOKUP(J96,'G-3 Multipliers'!$L$3:$N$6,3,FALSE)=0,"Spatial Data Missing ⚠",VLOOKUP(J96,'G-3 Multipliers'!$L$3:$N$6,3,FALSE)))</f>
        <v/>
      </c>
      <c r="M96" s="498" t="str">
        <f>IF(OR(D96="",H96=""),"",(INDEX('G-6 Hedgerow Data'!$E$3:$I$15,MATCH(D96,'G-6 Hedgerow Data'!$B$3:$B$15,0),MATCH(H96,'G-6 Hedgerow Data'!$E$2:$I$2,0))))</f>
        <v/>
      </c>
      <c r="N96" s="195"/>
      <c r="O96" s="195"/>
      <c r="P96" s="507" t="str">
        <f t="shared" si="7"/>
        <v/>
      </c>
      <c r="Q96" s="521" t="str">
        <f t="shared" si="8"/>
        <v/>
      </c>
      <c r="R96" s="522" t="str">
        <f t="shared" si="6"/>
        <v/>
      </c>
      <c r="S96" s="537" t="str">
        <f>IF(D96="","",VLOOKUP(D96,'G-6 Hedgerow Data'!$B$3:$AG$15,31,FALSE))</f>
        <v/>
      </c>
      <c r="T96" s="507" t="str">
        <f t="shared" si="9"/>
        <v/>
      </c>
      <c r="U96" s="507" t="str">
        <f t="shared" si="10"/>
        <v/>
      </c>
      <c r="V96" s="524" t="str">
        <f>IF(D96="","",VLOOKUP(S96,'G-3 Multipliers'!$P$3:$Q$6,2,FALSE))</f>
        <v/>
      </c>
      <c r="W96" s="529" t="str">
        <f t="shared" si="11"/>
        <v/>
      </c>
      <c r="X96" s="149"/>
      <c r="Y96" s="150"/>
      <c r="AG96" s="31" t="str">
        <f>IFERROR(INDEX('G-6 Hedgerow Data'!$BJ$3:$BJ$15,MATCH(D96,'G-6 Hedgerow Data'!$B$3:$B$15,0)),"")</f>
        <v/>
      </c>
    </row>
    <row r="97" spans="2:33" ht="13.8" x14ac:dyDescent="0.25">
      <c r="B97" s="141">
        <v>86</v>
      </c>
      <c r="C97" s="205"/>
      <c r="D97" s="195"/>
      <c r="E97" s="172"/>
      <c r="F97" s="553" t="str">
        <f>IF(D97="","",VLOOKUP(D97,'G-6 Hedgerow Data'!$B$2:$AG$15,2,FALSE))</f>
        <v/>
      </c>
      <c r="G97" s="499" t="str">
        <f>IF(D97="","",VLOOKUP(D97,'G-6 Hedgerow Data'!$B$2:$AG$15,3,FALSE))</f>
        <v/>
      </c>
      <c r="H97" s="145"/>
      <c r="I97" s="499" t="str">
        <f>IFERROR(VLOOKUP(H97,'G-1 All Habitats'!$Z$2:$AA$9,2,FALSE),"")</f>
        <v/>
      </c>
      <c r="J97" s="145"/>
      <c r="K97" s="520" t="str">
        <f>IF(J97="","",IF(VLOOKUP(J97,'G-3 Multipliers'!$L$3:$N$6,2,FALSE)=0,"Spatial Data Missing ⚠",VLOOKUP(J97,'G-3 Multipliers'!$L$3:$N$6,2,FALSE)))</f>
        <v/>
      </c>
      <c r="L97" s="505" t="str">
        <f>IF(J97="","",IF(VLOOKUP(J97,'G-3 Multipliers'!$L$3:$N$6,3,FALSE)=0,"Spatial Data Missing ⚠",VLOOKUP(J97,'G-3 Multipliers'!$L$3:$N$6,3,FALSE)))</f>
        <v/>
      </c>
      <c r="M97" s="498" t="str">
        <f>IF(OR(D97="",H97=""),"",(INDEX('G-6 Hedgerow Data'!$E$3:$I$15,MATCH(D97,'G-6 Hedgerow Data'!$B$3:$B$15,0),MATCH(H97,'G-6 Hedgerow Data'!$E$2:$I$2,0))))</f>
        <v/>
      </c>
      <c r="N97" s="195"/>
      <c r="O97" s="195"/>
      <c r="P97" s="507" t="str">
        <f t="shared" si="7"/>
        <v/>
      </c>
      <c r="Q97" s="521" t="str">
        <f t="shared" si="8"/>
        <v/>
      </c>
      <c r="R97" s="522" t="str">
        <f t="shared" si="6"/>
        <v/>
      </c>
      <c r="S97" s="537" t="str">
        <f>IF(D97="","",VLOOKUP(D97,'G-6 Hedgerow Data'!$B$3:$AG$15,31,FALSE))</f>
        <v/>
      </c>
      <c r="T97" s="507" t="str">
        <f t="shared" si="9"/>
        <v/>
      </c>
      <c r="U97" s="507" t="str">
        <f t="shared" si="10"/>
        <v/>
      </c>
      <c r="V97" s="524" t="str">
        <f>IF(D97="","",VLOOKUP(S97,'G-3 Multipliers'!$P$3:$Q$6,2,FALSE))</f>
        <v/>
      </c>
      <c r="W97" s="529" t="str">
        <f t="shared" si="11"/>
        <v/>
      </c>
      <c r="X97" s="149"/>
      <c r="Y97" s="150"/>
      <c r="AG97" s="31" t="str">
        <f>IFERROR(INDEX('G-6 Hedgerow Data'!$BJ$3:$BJ$15,MATCH(D97,'G-6 Hedgerow Data'!$B$3:$B$15,0)),"")</f>
        <v/>
      </c>
    </row>
    <row r="98" spans="2:33" ht="13.8" x14ac:dyDescent="0.25">
      <c r="B98" s="141">
        <v>87</v>
      </c>
      <c r="C98" s="205"/>
      <c r="D98" s="195"/>
      <c r="E98" s="172"/>
      <c r="F98" s="553" t="str">
        <f>IF(D98="","",VLOOKUP(D98,'G-6 Hedgerow Data'!$B$2:$AG$15,2,FALSE))</f>
        <v/>
      </c>
      <c r="G98" s="499" t="str">
        <f>IF(D98="","",VLOOKUP(D98,'G-6 Hedgerow Data'!$B$2:$AG$15,3,FALSE))</f>
        <v/>
      </c>
      <c r="H98" s="145"/>
      <c r="I98" s="499" t="str">
        <f>IFERROR(VLOOKUP(H98,'G-1 All Habitats'!$Z$2:$AA$9,2,FALSE),"")</f>
        <v/>
      </c>
      <c r="J98" s="145"/>
      <c r="K98" s="520" t="str">
        <f>IF(J98="","",IF(VLOOKUP(J98,'G-3 Multipliers'!$L$3:$N$6,2,FALSE)=0,"Spatial Data Missing ⚠",VLOOKUP(J98,'G-3 Multipliers'!$L$3:$N$6,2,FALSE)))</f>
        <v/>
      </c>
      <c r="L98" s="505" t="str">
        <f>IF(J98="","",IF(VLOOKUP(J98,'G-3 Multipliers'!$L$3:$N$6,3,FALSE)=0,"Spatial Data Missing ⚠",VLOOKUP(J98,'G-3 Multipliers'!$L$3:$N$6,3,FALSE)))</f>
        <v/>
      </c>
      <c r="M98" s="498" t="str">
        <f>IF(OR(D98="",H98=""),"",(INDEX('G-6 Hedgerow Data'!$E$3:$I$15,MATCH(D98,'G-6 Hedgerow Data'!$B$3:$B$15,0),MATCH(H98,'G-6 Hedgerow Data'!$E$2:$I$2,0))))</f>
        <v/>
      </c>
      <c r="N98" s="195"/>
      <c r="O98" s="195"/>
      <c r="P98" s="507" t="str">
        <f t="shared" si="7"/>
        <v/>
      </c>
      <c r="Q98" s="521" t="str">
        <f t="shared" si="8"/>
        <v/>
      </c>
      <c r="R98" s="522" t="str">
        <f t="shared" si="6"/>
        <v/>
      </c>
      <c r="S98" s="537" t="str">
        <f>IF(D98="","",VLOOKUP(D98,'G-6 Hedgerow Data'!$B$3:$AG$15,31,FALSE))</f>
        <v/>
      </c>
      <c r="T98" s="507" t="str">
        <f t="shared" si="9"/>
        <v/>
      </c>
      <c r="U98" s="507" t="str">
        <f t="shared" si="10"/>
        <v/>
      </c>
      <c r="V98" s="524" t="str">
        <f>IF(D98="","",VLOOKUP(S98,'G-3 Multipliers'!$P$3:$Q$6,2,FALSE))</f>
        <v/>
      </c>
      <c r="W98" s="529" t="str">
        <f t="shared" si="11"/>
        <v/>
      </c>
      <c r="X98" s="149"/>
      <c r="Y98" s="150"/>
      <c r="AG98" s="31" t="str">
        <f>IFERROR(INDEX('G-6 Hedgerow Data'!$BJ$3:$BJ$15,MATCH(D98,'G-6 Hedgerow Data'!$B$3:$B$15,0)),"")</f>
        <v/>
      </c>
    </row>
    <row r="99" spans="2:33" ht="13.8" x14ac:dyDescent="0.25">
      <c r="B99" s="141">
        <v>88</v>
      </c>
      <c r="C99" s="205"/>
      <c r="D99" s="195"/>
      <c r="E99" s="172"/>
      <c r="F99" s="553" t="str">
        <f>IF(D99="","",VLOOKUP(D99,'G-6 Hedgerow Data'!$B$2:$AG$15,2,FALSE))</f>
        <v/>
      </c>
      <c r="G99" s="499" t="str">
        <f>IF(D99="","",VLOOKUP(D99,'G-6 Hedgerow Data'!$B$2:$AG$15,3,FALSE))</f>
        <v/>
      </c>
      <c r="H99" s="145"/>
      <c r="I99" s="499" t="str">
        <f>IFERROR(VLOOKUP(H99,'G-1 All Habitats'!$Z$2:$AA$9,2,FALSE),"")</f>
        <v/>
      </c>
      <c r="J99" s="145"/>
      <c r="K99" s="520" t="str">
        <f>IF(J99="","",IF(VLOOKUP(J99,'G-3 Multipliers'!$L$3:$N$6,2,FALSE)=0,"Spatial Data Missing ⚠",VLOOKUP(J99,'G-3 Multipliers'!$L$3:$N$6,2,FALSE)))</f>
        <v/>
      </c>
      <c r="L99" s="505" t="str">
        <f>IF(J99="","",IF(VLOOKUP(J99,'G-3 Multipliers'!$L$3:$N$6,3,FALSE)=0,"Spatial Data Missing ⚠",VLOOKUP(J99,'G-3 Multipliers'!$L$3:$N$6,3,FALSE)))</f>
        <v/>
      </c>
      <c r="M99" s="498" t="str">
        <f>IF(OR(D99="",H99=""),"",(INDEX('G-6 Hedgerow Data'!$E$3:$I$15,MATCH(D99,'G-6 Hedgerow Data'!$B$3:$B$15,0),MATCH(H99,'G-6 Hedgerow Data'!$E$2:$I$2,0))))</f>
        <v/>
      </c>
      <c r="N99" s="195"/>
      <c r="O99" s="195"/>
      <c r="P99" s="507" t="str">
        <f t="shared" si="7"/>
        <v/>
      </c>
      <c r="Q99" s="521" t="str">
        <f t="shared" si="8"/>
        <v/>
      </c>
      <c r="R99" s="522" t="str">
        <f t="shared" si="6"/>
        <v/>
      </c>
      <c r="S99" s="537" t="str">
        <f>IF(D99="","",VLOOKUP(D99,'G-6 Hedgerow Data'!$B$3:$AG$15,31,FALSE))</f>
        <v/>
      </c>
      <c r="T99" s="507" t="str">
        <f t="shared" si="9"/>
        <v/>
      </c>
      <c r="U99" s="507" t="str">
        <f t="shared" si="10"/>
        <v/>
      </c>
      <c r="V99" s="524" t="str">
        <f>IF(D99="","",VLOOKUP(S99,'G-3 Multipliers'!$P$3:$Q$6,2,FALSE))</f>
        <v/>
      </c>
      <c r="W99" s="529" t="str">
        <f t="shared" si="11"/>
        <v/>
      </c>
      <c r="X99" s="149"/>
      <c r="Y99" s="150"/>
      <c r="AG99" s="31" t="str">
        <f>IFERROR(INDEX('G-6 Hedgerow Data'!$BJ$3:$BJ$15,MATCH(D99,'G-6 Hedgerow Data'!$B$3:$B$15,0)),"")</f>
        <v/>
      </c>
    </row>
    <row r="100" spans="2:33" ht="13.8" x14ac:dyDescent="0.25">
      <c r="B100" s="141">
        <v>89</v>
      </c>
      <c r="C100" s="205"/>
      <c r="D100" s="195"/>
      <c r="E100" s="172"/>
      <c r="F100" s="553" t="str">
        <f>IF(D100="","",VLOOKUP(D100,'G-6 Hedgerow Data'!$B$2:$AG$15,2,FALSE))</f>
        <v/>
      </c>
      <c r="G100" s="499" t="str">
        <f>IF(D100="","",VLOOKUP(D100,'G-6 Hedgerow Data'!$B$2:$AG$15,3,FALSE))</f>
        <v/>
      </c>
      <c r="H100" s="145"/>
      <c r="I100" s="499" t="str">
        <f>IFERROR(VLOOKUP(H100,'G-1 All Habitats'!$Z$2:$AA$9,2,FALSE),"")</f>
        <v/>
      </c>
      <c r="J100" s="145"/>
      <c r="K100" s="520" t="str">
        <f>IF(J100="","",IF(VLOOKUP(J100,'G-3 Multipliers'!$L$3:$N$6,2,FALSE)=0,"Spatial Data Missing ⚠",VLOOKUP(J100,'G-3 Multipliers'!$L$3:$N$6,2,FALSE)))</f>
        <v/>
      </c>
      <c r="L100" s="505" t="str">
        <f>IF(J100="","",IF(VLOOKUP(J100,'G-3 Multipliers'!$L$3:$N$6,3,FALSE)=0,"Spatial Data Missing ⚠",VLOOKUP(J100,'G-3 Multipliers'!$L$3:$N$6,3,FALSE)))</f>
        <v/>
      </c>
      <c r="M100" s="498" t="str">
        <f>IF(OR(D100="",H100=""),"",(INDEX('G-6 Hedgerow Data'!$E$3:$I$15,MATCH(D100,'G-6 Hedgerow Data'!$B$3:$B$15,0),MATCH(H100,'G-6 Hedgerow Data'!$E$2:$I$2,0))))</f>
        <v/>
      </c>
      <c r="N100" s="195"/>
      <c r="O100" s="195"/>
      <c r="P100" s="507" t="str">
        <f t="shared" si="7"/>
        <v/>
      </c>
      <c r="Q100" s="521" t="str">
        <f t="shared" si="8"/>
        <v/>
      </c>
      <c r="R100" s="522" t="str">
        <f t="shared" si="6"/>
        <v/>
      </c>
      <c r="S100" s="537" t="str">
        <f>IF(D100="","",VLOOKUP(D100,'G-6 Hedgerow Data'!$B$3:$AG$15,31,FALSE))</f>
        <v/>
      </c>
      <c r="T100" s="507" t="str">
        <f t="shared" si="9"/>
        <v/>
      </c>
      <c r="U100" s="507" t="str">
        <f t="shared" si="10"/>
        <v/>
      </c>
      <c r="V100" s="524" t="str">
        <f>IF(D100="","",VLOOKUP(S100,'G-3 Multipliers'!$P$3:$Q$6,2,FALSE))</f>
        <v/>
      </c>
      <c r="W100" s="529" t="str">
        <f t="shared" si="11"/>
        <v/>
      </c>
      <c r="X100" s="149"/>
      <c r="Y100" s="150"/>
      <c r="AG100" s="31" t="str">
        <f>IFERROR(INDEX('G-6 Hedgerow Data'!$BJ$3:$BJ$15,MATCH(D100,'G-6 Hedgerow Data'!$B$3:$B$15,0)),"")</f>
        <v/>
      </c>
    </row>
    <row r="101" spans="2:33" ht="13.8" x14ac:dyDescent="0.25">
      <c r="B101" s="141">
        <v>90</v>
      </c>
      <c r="C101" s="205"/>
      <c r="D101" s="195"/>
      <c r="E101" s="172"/>
      <c r="F101" s="553" t="str">
        <f>IF(D101="","",VLOOKUP(D101,'G-6 Hedgerow Data'!$B$2:$AG$15,2,FALSE))</f>
        <v/>
      </c>
      <c r="G101" s="499" t="str">
        <f>IF(D101="","",VLOOKUP(D101,'G-6 Hedgerow Data'!$B$2:$AG$15,3,FALSE))</f>
        <v/>
      </c>
      <c r="H101" s="145"/>
      <c r="I101" s="499" t="str">
        <f>IFERROR(VLOOKUP(H101,'G-1 All Habitats'!$Z$2:$AA$9,2,FALSE),"")</f>
        <v/>
      </c>
      <c r="J101" s="145"/>
      <c r="K101" s="520" t="str">
        <f>IF(J101="","",IF(VLOOKUP(J101,'G-3 Multipliers'!$L$3:$N$6,2,FALSE)=0,"Spatial Data Missing ⚠",VLOOKUP(J101,'G-3 Multipliers'!$L$3:$N$6,2,FALSE)))</f>
        <v/>
      </c>
      <c r="L101" s="505" t="str">
        <f>IF(J101="","",IF(VLOOKUP(J101,'G-3 Multipliers'!$L$3:$N$6,3,FALSE)=0,"Spatial Data Missing ⚠",VLOOKUP(J101,'G-3 Multipliers'!$L$3:$N$6,3,FALSE)))</f>
        <v/>
      </c>
      <c r="M101" s="498" t="str">
        <f>IF(OR(D101="",H101=""),"",(INDEX('G-6 Hedgerow Data'!$E$3:$I$15,MATCH(D101,'G-6 Hedgerow Data'!$B$3:$B$15,0),MATCH(H101,'G-6 Hedgerow Data'!$E$2:$I$2,0))))</f>
        <v/>
      </c>
      <c r="N101" s="195"/>
      <c r="O101" s="195"/>
      <c r="P101" s="507" t="str">
        <f t="shared" si="7"/>
        <v/>
      </c>
      <c r="Q101" s="521" t="str">
        <f t="shared" si="8"/>
        <v/>
      </c>
      <c r="R101" s="522" t="str">
        <f t="shared" si="6"/>
        <v/>
      </c>
      <c r="S101" s="537" t="str">
        <f>IF(D101="","",VLOOKUP(D101,'G-6 Hedgerow Data'!$B$3:$AG$15,31,FALSE))</f>
        <v/>
      </c>
      <c r="T101" s="507" t="str">
        <f t="shared" si="9"/>
        <v/>
      </c>
      <c r="U101" s="507" t="str">
        <f t="shared" si="10"/>
        <v/>
      </c>
      <c r="V101" s="524" t="str">
        <f>IF(D101="","",VLOOKUP(S101,'G-3 Multipliers'!$P$3:$Q$6,2,FALSE))</f>
        <v/>
      </c>
      <c r="W101" s="529" t="str">
        <f t="shared" si="11"/>
        <v/>
      </c>
      <c r="X101" s="149"/>
      <c r="Y101" s="150"/>
      <c r="AG101" s="31" t="str">
        <f>IFERROR(INDEX('G-6 Hedgerow Data'!$BJ$3:$BJ$15,MATCH(D101,'G-6 Hedgerow Data'!$B$3:$B$15,0)),"")</f>
        <v/>
      </c>
    </row>
    <row r="102" spans="2:33" ht="13.8" x14ac:dyDescent="0.25">
      <c r="B102" s="141">
        <v>91</v>
      </c>
      <c r="C102" s="205"/>
      <c r="D102" s="195"/>
      <c r="E102" s="172"/>
      <c r="F102" s="553" t="str">
        <f>IF(D102="","",VLOOKUP(D102,'G-6 Hedgerow Data'!$B$2:$AG$15,2,FALSE))</f>
        <v/>
      </c>
      <c r="G102" s="499" t="str">
        <f>IF(D102="","",VLOOKUP(D102,'G-6 Hedgerow Data'!$B$2:$AG$15,3,FALSE))</f>
        <v/>
      </c>
      <c r="H102" s="145"/>
      <c r="I102" s="499" t="str">
        <f>IFERROR(VLOOKUP(H102,'G-1 All Habitats'!$Z$2:$AA$9,2,FALSE),"")</f>
        <v/>
      </c>
      <c r="J102" s="145"/>
      <c r="K102" s="520" t="str">
        <f>IF(J102="","",IF(VLOOKUP(J102,'G-3 Multipliers'!$L$3:$N$6,2,FALSE)=0,"Spatial Data Missing ⚠",VLOOKUP(J102,'G-3 Multipliers'!$L$3:$N$6,2,FALSE)))</f>
        <v/>
      </c>
      <c r="L102" s="505" t="str">
        <f>IF(J102="","",IF(VLOOKUP(J102,'G-3 Multipliers'!$L$3:$N$6,3,FALSE)=0,"Spatial Data Missing ⚠",VLOOKUP(J102,'G-3 Multipliers'!$L$3:$N$6,3,FALSE)))</f>
        <v/>
      </c>
      <c r="M102" s="498" t="str">
        <f>IF(OR(D102="",H102=""),"",(INDEX('G-6 Hedgerow Data'!$E$3:$I$15,MATCH(D102,'G-6 Hedgerow Data'!$B$3:$B$15,0),MATCH(H102,'G-6 Hedgerow Data'!$E$2:$I$2,0))))</f>
        <v/>
      </c>
      <c r="N102" s="195"/>
      <c r="O102" s="195"/>
      <c r="P102" s="507" t="str">
        <f t="shared" si="7"/>
        <v/>
      </c>
      <c r="Q102" s="521" t="str">
        <f t="shared" si="8"/>
        <v/>
      </c>
      <c r="R102" s="522" t="str">
        <f t="shared" si="6"/>
        <v/>
      </c>
      <c r="S102" s="537" t="str">
        <f>IF(D102="","",VLOOKUP(D102,'G-6 Hedgerow Data'!$B$3:$AG$15,31,FALSE))</f>
        <v/>
      </c>
      <c r="T102" s="507" t="str">
        <f t="shared" si="9"/>
        <v/>
      </c>
      <c r="U102" s="507" t="str">
        <f t="shared" si="10"/>
        <v/>
      </c>
      <c r="V102" s="524" t="str">
        <f>IF(D102="","",VLOOKUP(S102,'G-3 Multipliers'!$P$3:$Q$6,2,FALSE))</f>
        <v/>
      </c>
      <c r="W102" s="529" t="str">
        <f t="shared" si="11"/>
        <v/>
      </c>
      <c r="X102" s="149"/>
      <c r="Y102" s="150"/>
      <c r="AG102" s="31" t="str">
        <f>IFERROR(INDEX('G-6 Hedgerow Data'!$BJ$3:$BJ$15,MATCH(D102,'G-6 Hedgerow Data'!$B$3:$B$15,0)),"")</f>
        <v/>
      </c>
    </row>
    <row r="103" spans="2:33" ht="13.8" x14ac:dyDescent="0.25">
      <c r="B103" s="141">
        <v>92</v>
      </c>
      <c r="C103" s="205"/>
      <c r="D103" s="195"/>
      <c r="E103" s="172"/>
      <c r="F103" s="553" t="str">
        <f>IF(D103="","",VLOOKUP(D103,'G-6 Hedgerow Data'!$B$2:$AG$15,2,FALSE))</f>
        <v/>
      </c>
      <c r="G103" s="499" t="str">
        <f>IF(D103="","",VLOOKUP(D103,'G-6 Hedgerow Data'!$B$2:$AG$15,3,FALSE))</f>
        <v/>
      </c>
      <c r="H103" s="145"/>
      <c r="I103" s="499" t="str">
        <f>IFERROR(VLOOKUP(H103,'G-1 All Habitats'!$Z$2:$AA$9,2,FALSE),"")</f>
        <v/>
      </c>
      <c r="J103" s="145"/>
      <c r="K103" s="520" t="str">
        <f>IF(J103="","",IF(VLOOKUP(J103,'G-3 Multipliers'!$L$3:$N$6,2,FALSE)=0,"Spatial Data Missing ⚠",VLOOKUP(J103,'G-3 Multipliers'!$L$3:$N$6,2,FALSE)))</f>
        <v/>
      </c>
      <c r="L103" s="505" t="str">
        <f>IF(J103="","",IF(VLOOKUP(J103,'G-3 Multipliers'!$L$3:$N$6,3,FALSE)=0,"Spatial Data Missing ⚠",VLOOKUP(J103,'G-3 Multipliers'!$L$3:$N$6,3,FALSE)))</f>
        <v/>
      </c>
      <c r="M103" s="498" t="str">
        <f>IF(OR(D103="",H103=""),"",(INDEX('G-6 Hedgerow Data'!$E$3:$I$15,MATCH(D103,'G-6 Hedgerow Data'!$B$3:$B$15,0),MATCH(H103,'G-6 Hedgerow Data'!$E$2:$I$2,0))))</f>
        <v/>
      </c>
      <c r="N103" s="195"/>
      <c r="O103" s="195"/>
      <c r="P103" s="507" t="str">
        <f t="shared" si="7"/>
        <v/>
      </c>
      <c r="Q103" s="521" t="str">
        <f t="shared" si="8"/>
        <v/>
      </c>
      <c r="R103" s="522" t="str">
        <f t="shared" si="6"/>
        <v/>
      </c>
      <c r="S103" s="537" t="str">
        <f>IF(D103="","",VLOOKUP(D103,'G-6 Hedgerow Data'!$B$3:$AG$15,31,FALSE))</f>
        <v/>
      </c>
      <c r="T103" s="507" t="str">
        <f t="shared" si="9"/>
        <v/>
      </c>
      <c r="U103" s="507" t="str">
        <f t="shared" si="10"/>
        <v/>
      </c>
      <c r="V103" s="524" t="str">
        <f>IF(D103="","",VLOOKUP(S103,'G-3 Multipliers'!$P$3:$Q$6,2,FALSE))</f>
        <v/>
      </c>
      <c r="W103" s="529" t="str">
        <f t="shared" si="11"/>
        <v/>
      </c>
      <c r="X103" s="149"/>
      <c r="Y103" s="150"/>
      <c r="AG103" s="31" t="str">
        <f>IFERROR(INDEX('G-6 Hedgerow Data'!$BJ$3:$BJ$15,MATCH(D103,'G-6 Hedgerow Data'!$B$3:$B$15,0)),"")</f>
        <v/>
      </c>
    </row>
    <row r="104" spans="2:33" ht="13.8" x14ac:dyDescent="0.25">
      <c r="B104" s="141">
        <v>93</v>
      </c>
      <c r="C104" s="205"/>
      <c r="D104" s="195"/>
      <c r="E104" s="172"/>
      <c r="F104" s="553" t="str">
        <f>IF(D104="","",VLOOKUP(D104,'G-6 Hedgerow Data'!$B$2:$AG$15,2,FALSE))</f>
        <v/>
      </c>
      <c r="G104" s="499" t="str">
        <f>IF(D104="","",VLOOKUP(D104,'G-6 Hedgerow Data'!$B$2:$AG$15,3,FALSE))</f>
        <v/>
      </c>
      <c r="H104" s="145"/>
      <c r="I104" s="499" t="str">
        <f>IFERROR(VLOOKUP(H104,'G-1 All Habitats'!$Z$2:$AA$9,2,FALSE),"")</f>
        <v/>
      </c>
      <c r="J104" s="145"/>
      <c r="K104" s="520" t="str">
        <f>IF(J104="","",IF(VLOOKUP(J104,'G-3 Multipliers'!$L$3:$N$6,2,FALSE)=0,"Spatial Data Missing ⚠",VLOOKUP(J104,'G-3 Multipliers'!$L$3:$N$6,2,FALSE)))</f>
        <v/>
      </c>
      <c r="L104" s="505" t="str">
        <f>IF(J104="","",IF(VLOOKUP(J104,'G-3 Multipliers'!$L$3:$N$6,3,FALSE)=0,"Spatial Data Missing ⚠",VLOOKUP(J104,'G-3 Multipliers'!$L$3:$N$6,3,FALSE)))</f>
        <v/>
      </c>
      <c r="M104" s="498" t="str">
        <f>IF(OR(D104="",H104=""),"",(INDEX('G-6 Hedgerow Data'!$E$3:$I$15,MATCH(D104,'G-6 Hedgerow Data'!$B$3:$B$15,0),MATCH(H104,'G-6 Hedgerow Data'!$E$2:$I$2,0))))</f>
        <v/>
      </c>
      <c r="N104" s="195"/>
      <c r="O104" s="195"/>
      <c r="P104" s="507" t="str">
        <f t="shared" si="7"/>
        <v/>
      </c>
      <c r="Q104" s="521" t="str">
        <f t="shared" si="8"/>
        <v/>
      </c>
      <c r="R104" s="522" t="str">
        <f t="shared" si="6"/>
        <v/>
      </c>
      <c r="S104" s="537" t="str">
        <f>IF(D104="","",VLOOKUP(D104,'G-6 Hedgerow Data'!$B$3:$AG$15,31,FALSE))</f>
        <v/>
      </c>
      <c r="T104" s="507" t="str">
        <f t="shared" si="9"/>
        <v/>
      </c>
      <c r="U104" s="507" t="str">
        <f t="shared" si="10"/>
        <v/>
      </c>
      <c r="V104" s="524" t="str">
        <f>IF(D104="","",VLOOKUP(S104,'G-3 Multipliers'!$P$3:$Q$6,2,FALSE))</f>
        <v/>
      </c>
      <c r="W104" s="529" t="str">
        <f t="shared" si="11"/>
        <v/>
      </c>
      <c r="X104" s="149"/>
      <c r="Y104" s="150"/>
      <c r="AG104" s="31" t="str">
        <f>IFERROR(INDEX('G-6 Hedgerow Data'!$BJ$3:$BJ$15,MATCH(D104,'G-6 Hedgerow Data'!$B$3:$B$15,0)),"")</f>
        <v/>
      </c>
    </row>
    <row r="105" spans="2:33" ht="13.8" x14ac:dyDescent="0.25">
      <c r="B105" s="141">
        <v>94</v>
      </c>
      <c r="C105" s="205"/>
      <c r="D105" s="195"/>
      <c r="E105" s="172"/>
      <c r="F105" s="553" t="str">
        <f>IF(D105="","",VLOOKUP(D105,'G-6 Hedgerow Data'!$B$2:$AG$15,2,FALSE))</f>
        <v/>
      </c>
      <c r="G105" s="499" t="str">
        <f>IF(D105="","",VLOOKUP(D105,'G-6 Hedgerow Data'!$B$2:$AG$15,3,FALSE))</f>
        <v/>
      </c>
      <c r="H105" s="145"/>
      <c r="I105" s="499" t="str">
        <f>IFERROR(VLOOKUP(H105,'G-1 All Habitats'!$Z$2:$AA$9,2,FALSE),"")</f>
        <v/>
      </c>
      <c r="J105" s="145"/>
      <c r="K105" s="520" t="str">
        <f>IF(J105="","",IF(VLOOKUP(J105,'G-3 Multipliers'!$L$3:$N$6,2,FALSE)=0,"Spatial Data Missing ⚠",VLOOKUP(J105,'G-3 Multipliers'!$L$3:$N$6,2,FALSE)))</f>
        <v/>
      </c>
      <c r="L105" s="505" t="str">
        <f>IF(J105="","",IF(VLOOKUP(J105,'G-3 Multipliers'!$L$3:$N$6,3,FALSE)=0,"Spatial Data Missing ⚠",VLOOKUP(J105,'G-3 Multipliers'!$L$3:$N$6,3,FALSE)))</f>
        <v/>
      </c>
      <c r="M105" s="498" t="str">
        <f>IF(OR(D105="",H105=""),"",(INDEX('G-6 Hedgerow Data'!$E$3:$I$15,MATCH(D105,'G-6 Hedgerow Data'!$B$3:$B$15,0),MATCH(H105,'G-6 Hedgerow Data'!$E$2:$I$2,0))))</f>
        <v/>
      </c>
      <c r="N105" s="195"/>
      <c r="O105" s="195"/>
      <c r="P105" s="507" t="str">
        <f t="shared" si="7"/>
        <v/>
      </c>
      <c r="Q105" s="521" t="str">
        <f t="shared" si="8"/>
        <v/>
      </c>
      <c r="R105" s="522" t="str">
        <f t="shared" si="6"/>
        <v/>
      </c>
      <c r="S105" s="537" t="str">
        <f>IF(D105="","",VLOOKUP(D105,'G-6 Hedgerow Data'!$B$3:$AG$15,31,FALSE))</f>
        <v/>
      </c>
      <c r="T105" s="507" t="str">
        <f t="shared" si="9"/>
        <v/>
      </c>
      <c r="U105" s="507" t="str">
        <f t="shared" si="10"/>
        <v/>
      </c>
      <c r="V105" s="524" t="str">
        <f>IF(D105="","",VLOOKUP(S105,'G-3 Multipliers'!$P$3:$Q$6,2,FALSE))</f>
        <v/>
      </c>
      <c r="W105" s="529" t="str">
        <f t="shared" si="11"/>
        <v/>
      </c>
      <c r="X105" s="149"/>
      <c r="Y105" s="150"/>
      <c r="AG105" s="31" t="str">
        <f>IFERROR(INDEX('G-6 Hedgerow Data'!$BJ$3:$BJ$15,MATCH(D105,'G-6 Hedgerow Data'!$B$3:$B$15,0)),"")</f>
        <v/>
      </c>
    </row>
    <row r="106" spans="2:33" ht="13.8" x14ac:dyDescent="0.25">
      <c r="B106" s="141">
        <v>95</v>
      </c>
      <c r="C106" s="205"/>
      <c r="D106" s="195"/>
      <c r="E106" s="172"/>
      <c r="F106" s="553" t="str">
        <f>IF(D106="","",VLOOKUP(D106,'G-6 Hedgerow Data'!$B$2:$AG$15,2,FALSE))</f>
        <v/>
      </c>
      <c r="G106" s="499" t="str">
        <f>IF(D106="","",VLOOKUP(D106,'G-6 Hedgerow Data'!$B$2:$AG$15,3,FALSE))</f>
        <v/>
      </c>
      <c r="H106" s="145"/>
      <c r="I106" s="499" t="str">
        <f>IFERROR(VLOOKUP(H106,'G-1 All Habitats'!$Z$2:$AA$9,2,FALSE),"")</f>
        <v/>
      </c>
      <c r="J106" s="145"/>
      <c r="K106" s="520" t="str">
        <f>IF(J106="","",IF(VLOOKUP(J106,'G-3 Multipliers'!$L$3:$N$6,2,FALSE)=0,"Spatial Data Missing ⚠",VLOOKUP(J106,'G-3 Multipliers'!$L$3:$N$6,2,FALSE)))</f>
        <v/>
      </c>
      <c r="L106" s="505" t="str">
        <f>IF(J106="","",IF(VLOOKUP(J106,'G-3 Multipliers'!$L$3:$N$6,3,FALSE)=0,"Spatial Data Missing ⚠",VLOOKUP(J106,'G-3 Multipliers'!$L$3:$N$6,3,FALSE)))</f>
        <v/>
      </c>
      <c r="M106" s="498" t="str">
        <f>IF(OR(D106="",H106=""),"",(INDEX('G-6 Hedgerow Data'!$E$3:$I$15,MATCH(D106,'G-6 Hedgerow Data'!$B$3:$B$15,0),MATCH(H106,'G-6 Hedgerow Data'!$E$2:$I$2,0))))</f>
        <v/>
      </c>
      <c r="N106" s="195"/>
      <c r="O106" s="195"/>
      <c r="P106" s="507" t="str">
        <f t="shared" si="7"/>
        <v/>
      </c>
      <c r="Q106" s="521" t="str">
        <f t="shared" si="8"/>
        <v/>
      </c>
      <c r="R106" s="522" t="str">
        <f t="shared" si="6"/>
        <v/>
      </c>
      <c r="S106" s="537" t="str">
        <f>IF(D106="","",VLOOKUP(D106,'G-6 Hedgerow Data'!$B$3:$AG$15,31,FALSE))</f>
        <v/>
      </c>
      <c r="T106" s="507" t="str">
        <f t="shared" si="9"/>
        <v/>
      </c>
      <c r="U106" s="507" t="str">
        <f t="shared" si="10"/>
        <v/>
      </c>
      <c r="V106" s="524" t="str">
        <f>IF(D106="","",VLOOKUP(S106,'G-3 Multipliers'!$P$3:$Q$6,2,FALSE))</f>
        <v/>
      </c>
      <c r="W106" s="529" t="str">
        <f t="shared" si="11"/>
        <v/>
      </c>
      <c r="X106" s="149"/>
      <c r="Y106" s="150"/>
      <c r="AG106" s="31" t="str">
        <f>IFERROR(INDEX('G-6 Hedgerow Data'!$BJ$3:$BJ$15,MATCH(D106,'G-6 Hedgerow Data'!$B$3:$B$15,0)),"")</f>
        <v/>
      </c>
    </row>
    <row r="107" spans="2:33" ht="13.8" x14ac:dyDescent="0.25">
      <c r="B107" s="141">
        <v>96</v>
      </c>
      <c r="C107" s="205"/>
      <c r="D107" s="195"/>
      <c r="E107" s="172"/>
      <c r="F107" s="553" t="str">
        <f>IF(D107="","",VLOOKUP(D107,'G-6 Hedgerow Data'!$B$2:$AG$15,2,FALSE))</f>
        <v/>
      </c>
      <c r="G107" s="499" t="str">
        <f>IF(D107="","",VLOOKUP(D107,'G-6 Hedgerow Data'!$B$2:$AG$15,3,FALSE))</f>
        <v/>
      </c>
      <c r="H107" s="145"/>
      <c r="I107" s="499" t="str">
        <f>IFERROR(VLOOKUP(H107,'G-1 All Habitats'!$Z$2:$AA$9,2,FALSE),"")</f>
        <v/>
      </c>
      <c r="J107" s="145"/>
      <c r="K107" s="520" t="str">
        <f>IF(J107="","",IF(VLOOKUP(J107,'G-3 Multipliers'!$L$3:$N$6,2,FALSE)=0,"Spatial Data Missing ⚠",VLOOKUP(J107,'G-3 Multipliers'!$L$3:$N$6,2,FALSE)))</f>
        <v/>
      </c>
      <c r="L107" s="505" t="str">
        <f>IF(J107="","",IF(VLOOKUP(J107,'G-3 Multipliers'!$L$3:$N$6,3,FALSE)=0,"Spatial Data Missing ⚠",VLOOKUP(J107,'G-3 Multipliers'!$L$3:$N$6,3,FALSE)))</f>
        <v/>
      </c>
      <c r="M107" s="498" t="str">
        <f>IF(OR(D107="",H107=""),"",(INDEX('G-6 Hedgerow Data'!$E$3:$I$15,MATCH(D107,'G-6 Hedgerow Data'!$B$3:$B$15,0),MATCH(H107,'G-6 Hedgerow Data'!$E$2:$I$2,0))))</f>
        <v/>
      </c>
      <c r="N107" s="195"/>
      <c r="O107" s="195"/>
      <c r="P107" s="507" t="str">
        <f t="shared" si="7"/>
        <v/>
      </c>
      <c r="Q107" s="521" t="str">
        <f t="shared" si="8"/>
        <v/>
      </c>
      <c r="R107" s="522" t="str">
        <f t="shared" si="6"/>
        <v/>
      </c>
      <c r="S107" s="537" t="str">
        <f>IF(D107="","",VLOOKUP(D107,'G-6 Hedgerow Data'!$B$3:$AG$15,31,FALSE))</f>
        <v/>
      </c>
      <c r="T107" s="507" t="str">
        <f t="shared" si="9"/>
        <v/>
      </c>
      <c r="U107" s="507" t="str">
        <f t="shared" si="10"/>
        <v/>
      </c>
      <c r="V107" s="524" t="str">
        <f>IF(D107="","",VLOOKUP(S107,'G-3 Multipliers'!$P$3:$Q$6,2,FALSE))</f>
        <v/>
      </c>
      <c r="W107" s="529" t="str">
        <f t="shared" si="11"/>
        <v/>
      </c>
      <c r="X107" s="149"/>
      <c r="Y107" s="150"/>
      <c r="AG107" s="31" t="str">
        <f>IFERROR(INDEX('G-6 Hedgerow Data'!$BJ$3:$BJ$15,MATCH(D107,'G-6 Hedgerow Data'!$B$3:$B$15,0)),"")</f>
        <v/>
      </c>
    </row>
    <row r="108" spans="2:33" ht="13.8" x14ac:dyDescent="0.25">
      <c r="B108" s="141">
        <v>97</v>
      </c>
      <c r="C108" s="205"/>
      <c r="D108" s="195"/>
      <c r="E108" s="172"/>
      <c r="F108" s="553" t="str">
        <f>IF(D108="","",VLOOKUP(D108,'G-6 Hedgerow Data'!$B$2:$AG$15,2,FALSE))</f>
        <v/>
      </c>
      <c r="G108" s="499" t="str">
        <f>IF(D108="","",VLOOKUP(D108,'G-6 Hedgerow Data'!$B$2:$AG$15,3,FALSE))</f>
        <v/>
      </c>
      <c r="H108" s="145"/>
      <c r="I108" s="499" t="str">
        <f>IFERROR(VLOOKUP(H108,'G-1 All Habitats'!$Z$2:$AA$9,2,FALSE),"")</f>
        <v/>
      </c>
      <c r="J108" s="145"/>
      <c r="K108" s="520" t="str">
        <f>IF(J108="","",IF(VLOOKUP(J108,'G-3 Multipliers'!$L$3:$N$6,2,FALSE)=0,"Spatial Data Missing ⚠",VLOOKUP(J108,'G-3 Multipliers'!$L$3:$N$6,2,FALSE)))</f>
        <v/>
      </c>
      <c r="L108" s="505" t="str">
        <f>IF(J108="","",IF(VLOOKUP(J108,'G-3 Multipliers'!$L$3:$N$6,3,FALSE)=0,"Spatial Data Missing ⚠",VLOOKUP(J108,'G-3 Multipliers'!$L$3:$N$6,3,FALSE)))</f>
        <v/>
      </c>
      <c r="M108" s="498" t="str">
        <f>IF(OR(D108="",H108=""),"",(INDEX('G-6 Hedgerow Data'!$E$3:$I$15,MATCH(D108,'G-6 Hedgerow Data'!$B$3:$B$15,0),MATCH(H108,'G-6 Hedgerow Data'!$E$2:$I$2,0))))</f>
        <v/>
      </c>
      <c r="N108" s="195"/>
      <c r="O108" s="195"/>
      <c r="P108" s="507" t="str">
        <f t="shared" si="7"/>
        <v/>
      </c>
      <c r="Q108" s="521" t="str">
        <f t="shared" si="8"/>
        <v/>
      </c>
      <c r="R108" s="522" t="str">
        <f t="shared" si="6"/>
        <v/>
      </c>
      <c r="S108" s="537" t="str">
        <f>IF(D108="","",VLOOKUP(D108,'G-6 Hedgerow Data'!$B$3:$AG$15,31,FALSE))</f>
        <v/>
      </c>
      <c r="T108" s="507" t="str">
        <f t="shared" si="9"/>
        <v/>
      </c>
      <c r="U108" s="507" t="str">
        <f t="shared" si="10"/>
        <v/>
      </c>
      <c r="V108" s="524" t="str">
        <f>IF(D108="","",VLOOKUP(S108,'G-3 Multipliers'!$P$3:$Q$6,2,FALSE))</f>
        <v/>
      </c>
      <c r="W108" s="529" t="str">
        <f t="shared" si="11"/>
        <v/>
      </c>
      <c r="X108" s="149"/>
      <c r="Y108" s="150"/>
      <c r="AG108" s="31" t="str">
        <f>IFERROR(INDEX('G-6 Hedgerow Data'!$BJ$3:$BJ$15,MATCH(D108,'G-6 Hedgerow Data'!$B$3:$B$15,0)),"")</f>
        <v/>
      </c>
    </row>
    <row r="109" spans="2:33" ht="13.8" x14ac:dyDescent="0.25">
      <c r="B109" s="141">
        <v>98</v>
      </c>
      <c r="C109" s="205"/>
      <c r="D109" s="195"/>
      <c r="E109" s="172"/>
      <c r="F109" s="553" t="str">
        <f>IF(D109="","",VLOOKUP(D109,'G-6 Hedgerow Data'!$B$2:$AG$15,2,FALSE))</f>
        <v/>
      </c>
      <c r="G109" s="499" t="str">
        <f>IF(D109="","",VLOOKUP(D109,'G-6 Hedgerow Data'!$B$2:$AG$15,3,FALSE))</f>
        <v/>
      </c>
      <c r="H109" s="145"/>
      <c r="I109" s="499" t="str">
        <f>IFERROR(VLOOKUP(H109,'G-1 All Habitats'!$Z$2:$AA$9,2,FALSE),"")</f>
        <v/>
      </c>
      <c r="J109" s="145"/>
      <c r="K109" s="520" t="str">
        <f>IF(J109="","",IF(VLOOKUP(J109,'G-3 Multipliers'!$L$3:$N$6,2,FALSE)=0,"Spatial Data Missing ⚠",VLOOKUP(J109,'G-3 Multipliers'!$L$3:$N$6,2,FALSE)))</f>
        <v/>
      </c>
      <c r="L109" s="505" t="str">
        <f>IF(J109="","",IF(VLOOKUP(J109,'G-3 Multipliers'!$L$3:$N$6,3,FALSE)=0,"Spatial Data Missing ⚠",VLOOKUP(J109,'G-3 Multipliers'!$L$3:$N$6,3,FALSE)))</f>
        <v/>
      </c>
      <c r="M109" s="498" t="str">
        <f>IF(OR(D109="",H109=""),"",(INDEX('G-6 Hedgerow Data'!$E$3:$I$15,MATCH(D109,'G-6 Hedgerow Data'!$B$3:$B$15,0),MATCH(H109,'G-6 Hedgerow Data'!$E$2:$I$2,0))))</f>
        <v/>
      </c>
      <c r="N109" s="195"/>
      <c r="O109" s="195"/>
      <c r="P109" s="507" t="str">
        <f t="shared" si="7"/>
        <v/>
      </c>
      <c r="Q109" s="521" t="str">
        <f t="shared" si="8"/>
        <v/>
      </c>
      <c r="R109" s="522" t="str">
        <f t="shared" si="6"/>
        <v/>
      </c>
      <c r="S109" s="537" t="str">
        <f>IF(D109="","",VLOOKUP(D109,'G-6 Hedgerow Data'!$B$3:$AG$15,31,FALSE))</f>
        <v/>
      </c>
      <c r="T109" s="507" t="str">
        <f t="shared" si="9"/>
        <v/>
      </c>
      <c r="U109" s="507" t="str">
        <f t="shared" si="10"/>
        <v/>
      </c>
      <c r="V109" s="524" t="str">
        <f>IF(D109="","",VLOOKUP(S109,'G-3 Multipliers'!$P$3:$Q$6,2,FALSE))</f>
        <v/>
      </c>
      <c r="W109" s="529" t="str">
        <f t="shared" si="11"/>
        <v/>
      </c>
      <c r="X109" s="149"/>
      <c r="Y109" s="150"/>
      <c r="AG109" s="31" t="str">
        <f>IFERROR(INDEX('G-6 Hedgerow Data'!$BJ$3:$BJ$15,MATCH(D109,'G-6 Hedgerow Data'!$B$3:$B$15,0)),"")</f>
        <v/>
      </c>
    </row>
    <row r="110" spans="2:33" ht="13.8" x14ac:dyDescent="0.25">
      <c r="B110" s="141">
        <v>99</v>
      </c>
      <c r="C110" s="205"/>
      <c r="D110" s="195"/>
      <c r="E110" s="172"/>
      <c r="F110" s="553" t="str">
        <f>IF(D110="","",VLOOKUP(D110,'G-6 Hedgerow Data'!$B$2:$AG$15,2,FALSE))</f>
        <v/>
      </c>
      <c r="G110" s="499" t="str">
        <f>IF(D110="","",VLOOKUP(D110,'G-6 Hedgerow Data'!$B$2:$AG$15,3,FALSE))</f>
        <v/>
      </c>
      <c r="H110" s="145"/>
      <c r="I110" s="499" t="str">
        <f>IFERROR(VLOOKUP(H110,'G-1 All Habitats'!$Z$2:$AA$9,2,FALSE),"")</f>
        <v/>
      </c>
      <c r="J110" s="145"/>
      <c r="K110" s="520" t="str">
        <f>IF(J110="","",IF(VLOOKUP(J110,'G-3 Multipliers'!$L$3:$N$6,2,FALSE)=0,"Spatial Data Missing ⚠",VLOOKUP(J110,'G-3 Multipliers'!$L$3:$N$6,2,FALSE)))</f>
        <v/>
      </c>
      <c r="L110" s="505" t="str">
        <f>IF(J110="","",IF(VLOOKUP(J110,'G-3 Multipliers'!$L$3:$N$6,3,FALSE)=0,"Spatial Data Missing ⚠",VLOOKUP(J110,'G-3 Multipliers'!$L$3:$N$6,3,FALSE)))</f>
        <v/>
      </c>
      <c r="M110" s="498" t="str">
        <f>IF(OR(D110="",H110=""),"",(INDEX('G-6 Hedgerow Data'!$E$3:$I$15,MATCH(D110,'G-6 Hedgerow Data'!$B$3:$B$15,0),MATCH(H110,'G-6 Hedgerow Data'!$E$2:$I$2,0))))</f>
        <v/>
      </c>
      <c r="N110" s="195"/>
      <c r="O110" s="195"/>
      <c r="P110" s="507" t="str">
        <f t="shared" si="7"/>
        <v/>
      </c>
      <c r="Q110" s="521" t="str">
        <f t="shared" si="8"/>
        <v/>
      </c>
      <c r="R110" s="522" t="str">
        <f t="shared" si="6"/>
        <v/>
      </c>
      <c r="S110" s="537" t="str">
        <f>IF(D110="","",VLOOKUP(D110,'G-6 Hedgerow Data'!$B$3:$AG$15,31,FALSE))</f>
        <v/>
      </c>
      <c r="T110" s="507" t="str">
        <f t="shared" si="9"/>
        <v/>
      </c>
      <c r="U110" s="507" t="str">
        <f t="shared" si="10"/>
        <v/>
      </c>
      <c r="V110" s="524" t="str">
        <f>IF(D110="","",VLOOKUP(S110,'G-3 Multipliers'!$P$3:$Q$6,2,FALSE))</f>
        <v/>
      </c>
      <c r="W110" s="529" t="str">
        <f t="shared" si="11"/>
        <v/>
      </c>
      <c r="X110" s="149"/>
      <c r="Y110" s="150"/>
      <c r="AG110" s="31" t="str">
        <f>IFERROR(INDEX('G-6 Hedgerow Data'!$BJ$3:$BJ$15,MATCH(D110,'G-6 Hedgerow Data'!$B$3:$B$15,0)),"")</f>
        <v/>
      </c>
    </row>
    <row r="111" spans="2:33" ht="13.8" x14ac:dyDescent="0.25">
      <c r="B111" s="141">
        <v>100</v>
      </c>
      <c r="C111" s="205"/>
      <c r="D111" s="195"/>
      <c r="E111" s="172"/>
      <c r="F111" s="553" t="str">
        <f>IF(D111="","",VLOOKUP(D111,'G-6 Hedgerow Data'!$B$2:$AG$15,2,FALSE))</f>
        <v/>
      </c>
      <c r="G111" s="499" t="str">
        <f>IF(D111="","",VLOOKUP(D111,'G-6 Hedgerow Data'!$B$2:$AG$15,3,FALSE))</f>
        <v/>
      </c>
      <c r="H111" s="145"/>
      <c r="I111" s="499" t="str">
        <f>IFERROR(VLOOKUP(H111,'G-1 All Habitats'!$Z$2:$AA$9,2,FALSE),"")</f>
        <v/>
      </c>
      <c r="J111" s="145"/>
      <c r="K111" s="520" t="str">
        <f>IF(J111="","",IF(VLOOKUP(J111,'G-3 Multipliers'!$L$3:$N$6,2,FALSE)=0,"Spatial Data Missing ⚠",VLOOKUP(J111,'G-3 Multipliers'!$L$3:$N$6,2,FALSE)))</f>
        <v/>
      </c>
      <c r="L111" s="505" t="str">
        <f>IF(J111="","",IF(VLOOKUP(J111,'G-3 Multipliers'!$L$3:$N$6,3,FALSE)=0,"Spatial Data Missing ⚠",VLOOKUP(J111,'G-3 Multipliers'!$L$3:$N$6,3,FALSE)))</f>
        <v/>
      </c>
      <c r="M111" s="498" t="str">
        <f>IF(OR(D111="",H111=""),"",(INDEX('G-6 Hedgerow Data'!$E$3:$I$15,MATCH(D111,'G-6 Hedgerow Data'!$B$3:$B$15,0),MATCH(H111,'G-6 Hedgerow Data'!$E$2:$I$2,0))))</f>
        <v/>
      </c>
      <c r="N111" s="195"/>
      <c r="O111" s="195"/>
      <c r="P111" s="507" t="str">
        <f t="shared" si="7"/>
        <v/>
      </c>
      <c r="Q111" s="521" t="str">
        <f t="shared" si="8"/>
        <v/>
      </c>
      <c r="R111" s="522" t="str">
        <f t="shared" si="6"/>
        <v/>
      </c>
      <c r="S111" s="537" t="str">
        <f>IF(D111="","",VLOOKUP(D111,'G-6 Hedgerow Data'!$B$3:$AG$15,31,FALSE))</f>
        <v/>
      </c>
      <c r="T111" s="507" t="str">
        <f t="shared" si="9"/>
        <v/>
      </c>
      <c r="U111" s="507" t="str">
        <f t="shared" si="10"/>
        <v/>
      </c>
      <c r="V111" s="524" t="str">
        <f>IF(D111="","",VLOOKUP(S111,'G-3 Multipliers'!$P$3:$Q$6,2,FALSE))</f>
        <v/>
      </c>
      <c r="W111" s="529" t="str">
        <f t="shared" si="11"/>
        <v/>
      </c>
      <c r="X111" s="149"/>
      <c r="Y111" s="150"/>
      <c r="AG111" s="31" t="str">
        <f>IFERROR(INDEX('G-6 Hedgerow Data'!$BJ$3:$BJ$15,MATCH(D111,'G-6 Hedgerow Data'!$B$3:$B$15,0)),"")</f>
        <v/>
      </c>
    </row>
    <row r="112" spans="2:33" ht="13.8" x14ac:dyDescent="0.25">
      <c r="B112" s="141">
        <v>101</v>
      </c>
      <c r="C112" s="205"/>
      <c r="D112" s="195"/>
      <c r="E112" s="172"/>
      <c r="F112" s="553" t="str">
        <f>IF(D112="","",VLOOKUP(D112,'G-6 Hedgerow Data'!$B$2:$AG$15,2,FALSE))</f>
        <v/>
      </c>
      <c r="G112" s="499" t="str">
        <f>IF(D112="","",VLOOKUP(D112,'G-6 Hedgerow Data'!$B$2:$AG$15,3,FALSE))</f>
        <v/>
      </c>
      <c r="H112" s="145"/>
      <c r="I112" s="499" t="str">
        <f>IFERROR(VLOOKUP(H112,'G-1 All Habitats'!$Z$2:$AA$9,2,FALSE),"")</f>
        <v/>
      </c>
      <c r="J112" s="145"/>
      <c r="K112" s="520" t="str">
        <f>IF(J112="","",IF(VLOOKUP(J112,'G-3 Multipliers'!$L$3:$N$6,2,FALSE)=0,"Spatial Data Missing ⚠",VLOOKUP(J112,'G-3 Multipliers'!$L$3:$N$6,2,FALSE)))</f>
        <v/>
      </c>
      <c r="L112" s="505" t="str">
        <f>IF(J112="","",IF(VLOOKUP(J112,'G-3 Multipliers'!$L$3:$N$6,3,FALSE)=0,"Spatial Data Missing ⚠",VLOOKUP(J112,'G-3 Multipliers'!$L$3:$N$6,3,FALSE)))</f>
        <v/>
      </c>
      <c r="M112" s="498" t="str">
        <f>IF(OR(D112="",H112=""),"",(INDEX('G-6 Hedgerow Data'!$E$3:$I$15,MATCH(D112,'G-6 Hedgerow Data'!$B$3:$B$15,0),MATCH(H112,'G-6 Hedgerow Data'!$E$2:$I$2,0))))</f>
        <v/>
      </c>
      <c r="N112" s="195"/>
      <c r="O112" s="195"/>
      <c r="P112" s="507" t="str">
        <f t="shared" si="7"/>
        <v/>
      </c>
      <c r="Q112" s="521" t="str">
        <f t="shared" si="8"/>
        <v/>
      </c>
      <c r="R112" s="522" t="str">
        <f t="shared" si="6"/>
        <v/>
      </c>
      <c r="S112" s="537" t="str">
        <f>IF(D112="","",VLOOKUP(D112,'G-6 Hedgerow Data'!$B$3:$AG$15,31,FALSE))</f>
        <v/>
      </c>
      <c r="T112" s="507" t="str">
        <f t="shared" si="9"/>
        <v/>
      </c>
      <c r="U112" s="507" t="str">
        <f t="shared" si="10"/>
        <v/>
      </c>
      <c r="V112" s="524" t="str">
        <f>IF(D112="","",VLOOKUP(S112,'G-3 Multipliers'!$P$3:$Q$6,2,FALSE))</f>
        <v/>
      </c>
      <c r="W112" s="529" t="str">
        <f t="shared" si="11"/>
        <v/>
      </c>
      <c r="X112" s="149"/>
      <c r="Y112" s="150"/>
      <c r="AG112" s="31" t="str">
        <f>IFERROR(INDEX('G-6 Hedgerow Data'!$BJ$3:$BJ$15,MATCH(D112,'G-6 Hedgerow Data'!$B$3:$B$15,0)),"")</f>
        <v/>
      </c>
    </row>
    <row r="113" spans="2:33" ht="13.8" x14ac:dyDescent="0.25">
      <c r="B113" s="141">
        <v>102</v>
      </c>
      <c r="C113" s="205"/>
      <c r="D113" s="195"/>
      <c r="E113" s="172"/>
      <c r="F113" s="553" t="str">
        <f>IF(D113="","",VLOOKUP(D113,'G-6 Hedgerow Data'!$B$2:$AG$15,2,FALSE))</f>
        <v/>
      </c>
      <c r="G113" s="499" t="str">
        <f>IF(D113="","",VLOOKUP(D113,'G-6 Hedgerow Data'!$B$2:$AG$15,3,FALSE))</f>
        <v/>
      </c>
      <c r="H113" s="145"/>
      <c r="I113" s="499" t="str">
        <f>IFERROR(VLOOKUP(H113,'G-1 All Habitats'!$Z$2:$AA$9,2,FALSE),"")</f>
        <v/>
      </c>
      <c r="J113" s="145"/>
      <c r="K113" s="520" t="str">
        <f>IF(J113="","",IF(VLOOKUP(J113,'G-3 Multipliers'!$L$3:$N$6,2,FALSE)=0,"Spatial Data Missing ⚠",VLOOKUP(J113,'G-3 Multipliers'!$L$3:$N$6,2,FALSE)))</f>
        <v/>
      </c>
      <c r="L113" s="505" t="str">
        <f>IF(J113="","",IF(VLOOKUP(J113,'G-3 Multipliers'!$L$3:$N$6,3,FALSE)=0,"Spatial Data Missing ⚠",VLOOKUP(J113,'G-3 Multipliers'!$L$3:$N$6,3,FALSE)))</f>
        <v/>
      </c>
      <c r="M113" s="498" t="str">
        <f>IF(OR(D113="",H113=""),"",(INDEX('G-6 Hedgerow Data'!$E$3:$I$15,MATCH(D113,'G-6 Hedgerow Data'!$B$3:$B$15,0),MATCH(H113,'G-6 Hedgerow Data'!$E$2:$I$2,0))))</f>
        <v/>
      </c>
      <c r="N113" s="195"/>
      <c r="O113" s="195"/>
      <c r="P113" s="507" t="str">
        <f t="shared" si="7"/>
        <v/>
      </c>
      <c r="Q113" s="521" t="str">
        <f t="shared" si="8"/>
        <v/>
      </c>
      <c r="R113" s="522" t="str">
        <f t="shared" si="6"/>
        <v/>
      </c>
      <c r="S113" s="537" t="str">
        <f>IF(D113="","",VLOOKUP(D113,'G-6 Hedgerow Data'!$B$3:$AG$15,31,FALSE))</f>
        <v/>
      </c>
      <c r="T113" s="507" t="str">
        <f t="shared" si="9"/>
        <v/>
      </c>
      <c r="U113" s="507" t="str">
        <f t="shared" si="10"/>
        <v/>
      </c>
      <c r="V113" s="524" t="str">
        <f>IF(D113="","",VLOOKUP(S113,'G-3 Multipliers'!$P$3:$Q$6,2,FALSE))</f>
        <v/>
      </c>
      <c r="W113" s="529" t="str">
        <f t="shared" si="11"/>
        <v/>
      </c>
      <c r="X113" s="149"/>
      <c r="Y113" s="150"/>
      <c r="AG113" s="31" t="str">
        <f>IFERROR(INDEX('G-6 Hedgerow Data'!$BJ$3:$BJ$15,MATCH(D113,'G-6 Hedgerow Data'!$B$3:$B$15,0)),"")</f>
        <v/>
      </c>
    </row>
    <row r="114" spans="2:33" ht="13.8" x14ac:dyDescent="0.25">
      <c r="B114" s="141">
        <v>103</v>
      </c>
      <c r="C114" s="205"/>
      <c r="D114" s="195"/>
      <c r="E114" s="172"/>
      <c r="F114" s="553" t="str">
        <f>IF(D114="","",VLOOKUP(D114,'G-6 Hedgerow Data'!$B$2:$AG$15,2,FALSE))</f>
        <v/>
      </c>
      <c r="G114" s="499" t="str">
        <f>IF(D114="","",VLOOKUP(D114,'G-6 Hedgerow Data'!$B$2:$AG$15,3,FALSE))</f>
        <v/>
      </c>
      <c r="H114" s="145"/>
      <c r="I114" s="499" t="str">
        <f>IFERROR(VLOOKUP(H114,'G-1 All Habitats'!$Z$2:$AA$9,2,FALSE),"")</f>
        <v/>
      </c>
      <c r="J114" s="145"/>
      <c r="K114" s="520" t="str">
        <f>IF(J114="","",IF(VLOOKUP(J114,'G-3 Multipliers'!$L$3:$N$6,2,FALSE)=0,"Spatial Data Missing ⚠",VLOOKUP(J114,'G-3 Multipliers'!$L$3:$N$6,2,FALSE)))</f>
        <v/>
      </c>
      <c r="L114" s="505" t="str">
        <f>IF(J114="","",IF(VLOOKUP(J114,'G-3 Multipliers'!$L$3:$N$6,3,FALSE)=0,"Spatial Data Missing ⚠",VLOOKUP(J114,'G-3 Multipliers'!$L$3:$N$6,3,FALSE)))</f>
        <v/>
      </c>
      <c r="M114" s="498" t="str">
        <f>IF(OR(D114="",H114=""),"",(INDEX('G-6 Hedgerow Data'!$E$3:$I$15,MATCH(D114,'G-6 Hedgerow Data'!$B$3:$B$15,0),MATCH(H114,'G-6 Hedgerow Data'!$E$2:$I$2,0))))</f>
        <v/>
      </c>
      <c r="N114" s="195"/>
      <c r="O114" s="195"/>
      <c r="P114" s="507" t="str">
        <f t="shared" si="7"/>
        <v/>
      </c>
      <c r="Q114" s="521" t="str">
        <f t="shared" si="8"/>
        <v/>
      </c>
      <c r="R114" s="522" t="str">
        <f t="shared" si="6"/>
        <v/>
      </c>
      <c r="S114" s="537" t="str">
        <f>IF(D114="","",VLOOKUP(D114,'G-6 Hedgerow Data'!$B$3:$AG$15,31,FALSE))</f>
        <v/>
      </c>
      <c r="T114" s="507" t="str">
        <f t="shared" si="9"/>
        <v/>
      </c>
      <c r="U114" s="507" t="str">
        <f t="shared" si="10"/>
        <v/>
      </c>
      <c r="V114" s="524" t="str">
        <f>IF(D114="","",VLOOKUP(S114,'G-3 Multipliers'!$P$3:$Q$6,2,FALSE))</f>
        <v/>
      </c>
      <c r="W114" s="529" t="str">
        <f t="shared" si="11"/>
        <v/>
      </c>
      <c r="X114" s="149"/>
      <c r="Y114" s="150"/>
      <c r="AG114" s="31" t="str">
        <f>IFERROR(INDEX('G-6 Hedgerow Data'!$BJ$3:$BJ$15,MATCH(D114,'G-6 Hedgerow Data'!$B$3:$B$15,0)),"")</f>
        <v/>
      </c>
    </row>
    <row r="115" spans="2:33" ht="13.8" x14ac:dyDescent="0.25">
      <c r="B115" s="141">
        <v>104</v>
      </c>
      <c r="C115" s="205"/>
      <c r="D115" s="195"/>
      <c r="E115" s="172"/>
      <c r="F115" s="553" t="str">
        <f>IF(D115="","",VLOOKUP(D115,'G-6 Hedgerow Data'!$B$2:$AG$15,2,FALSE))</f>
        <v/>
      </c>
      <c r="G115" s="499" t="str">
        <f>IF(D115="","",VLOOKUP(D115,'G-6 Hedgerow Data'!$B$2:$AG$15,3,FALSE))</f>
        <v/>
      </c>
      <c r="H115" s="145"/>
      <c r="I115" s="499" t="str">
        <f>IFERROR(VLOOKUP(H115,'G-1 All Habitats'!$Z$2:$AA$9,2,FALSE),"")</f>
        <v/>
      </c>
      <c r="J115" s="145"/>
      <c r="K115" s="520" t="str">
        <f>IF(J115="","",IF(VLOOKUP(J115,'G-3 Multipliers'!$L$3:$N$6,2,FALSE)=0,"Spatial Data Missing ⚠",VLOOKUP(J115,'G-3 Multipliers'!$L$3:$N$6,2,FALSE)))</f>
        <v/>
      </c>
      <c r="L115" s="505" t="str">
        <f>IF(J115="","",IF(VLOOKUP(J115,'G-3 Multipliers'!$L$3:$N$6,3,FALSE)=0,"Spatial Data Missing ⚠",VLOOKUP(J115,'G-3 Multipliers'!$L$3:$N$6,3,FALSE)))</f>
        <v/>
      </c>
      <c r="M115" s="498" t="str">
        <f>IF(OR(D115="",H115=""),"",(INDEX('G-6 Hedgerow Data'!$E$3:$I$15,MATCH(D115,'G-6 Hedgerow Data'!$B$3:$B$15,0),MATCH(H115,'G-6 Hedgerow Data'!$E$2:$I$2,0))))</f>
        <v/>
      </c>
      <c r="N115" s="195"/>
      <c r="O115" s="195"/>
      <c r="P115" s="507" t="str">
        <f t="shared" si="7"/>
        <v/>
      </c>
      <c r="Q115" s="521" t="str">
        <f t="shared" si="8"/>
        <v/>
      </c>
      <c r="R115" s="522" t="str">
        <f t="shared" si="6"/>
        <v/>
      </c>
      <c r="S115" s="537" t="str">
        <f>IF(D115="","",VLOOKUP(D115,'G-6 Hedgerow Data'!$B$3:$AG$15,31,FALSE))</f>
        <v/>
      </c>
      <c r="T115" s="507" t="str">
        <f t="shared" si="9"/>
        <v/>
      </c>
      <c r="U115" s="507" t="str">
        <f t="shared" si="10"/>
        <v/>
      </c>
      <c r="V115" s="524" t="str">
        <f>IF(D115="","",VLOOKUP(S115,'G-3 Multipliers'!$P$3:$Q$6,2,FALSE))</f>
        <v/>
      </c>
      <c r="W115" s="529" t="str">
        <f t="shared" si="11"/>
        <v/>
      </c>
      <c r="X115" s="149"/>
      <c r="Y115" s="150"/>
      <c r="AG115" s="31" t="str">
        <f>IFERROR(INDEX('G-6 Hedgerow Data'!$BJ$3:$BJ$15,MATCH(D115,'G-6 Hedgerow Data'!$B$3:$B$15,0)),"")</f>
        <v/>
      </c>
    </row>
    <row r="116" spans="2:33" ht="13.8" x14ac:dyDescent="0.25">
      <c r="B116" s="141">
        <v>105</v>
      </c>
      <c r="C116" s="205"/>
      <c r="D116" s="195"/>
      <c r="E116" s="172"/>
      <c r="F116" s="553" t="str">
        <f>IF(D116="","",VLOOKUP(D116,'G-6 Hedgerow Data'!$B$2:$AG$15,2,FALSE))</f>
        <v/>
      </c>
      <c r="G116" s="499" t="str">
        <f>IF(D116="","",VLOOKUP(D116,'G-6 Hedgerow Data'!$B$2:$AG$15,3,FALSE))</f>
        <v/>
      </c>
      <c r="H116" s="145"/>
      <c r="I116" s="499" t="str">
        <f>IFERROR(VLOOKUP(H116,'G-1 All Habitats'!$Z$2:$AA$9,2,FALSE),"")</f>
        <v/>
      </c>
      <c r="J116" s="145"/>
      <c r="K116" s="520" t="str">
        <f>IF(J116="","",IF(VLOOKUP(J116,'G-3 Multipliers'!$L$3:$N$6,2,FALSE)=0,"Spatial Data Missing ⚠",VLOOKUP(J116,'G-3 Multipliers'!$L$3:$N$6,2,FALSE)))</f>
        <v/>
      </c>
      <c r="L116" s="505" t="str">
        <f>IF(J116="","",IF(VLOOKUP(J116,'G-3 Multipliers'!$L$3:$N$6,3,FALSE)=0,"Spatial Data Missing ⚠",VLOOKUP(J116,'G-3 Multipliers'!$L$3:$N$6,3,FALSE)))</f>
        <v/>
      </c>
      <c r="M116" s="498" t="str">
        <f>IF(OR(D116="",H116=""),"",(INDEX('G-6 Hedgerow Data'!$E$3:$I$15,MATCH(D116,'G-6 Hedgerow Data'!$B$3:$B$15,0),MATCH(H116,'G-6 Hedgerow Data'!$E$2:$I$2,0))))</f>
        <v/>
      </c>
      <c r="N116" s="195"/>
      <c r="O116" s="195"/>
      <c r="P116" s="507" t="str">
        <f t="shared" si="7"/>
        <v/>
      </c>
      <c r="Q116" s="521" t="str">
        <f t="shared" si="8"/>
        <v/>
      </c>
      <c r="R116" s="522" t="str">
        <f t="shared" si="6"/>
        <v/>
      </c>
      <c r="S116" s="537" t="str">
        <f>IF(D116="","",VLOOKUP(D116,'G-6 Hedgerow Data'!$B$3:$AG$15,31,FALSE))</f>
        <v/>
      </c>
      <c r="T116" s="507" t="str">
        <f t="shared" si="9"/>
        <v/>
      </c>
      <c r="U116" s="507" t="str">
        <f t="shared" si="10"/>
        <v/>
      </c>
      <c r="V116" s="524" t="str">
        <f>IF(D116="","",VLOOKUP(S116,'G-3 Multipliers'!$P$3:$Q$6,2,FALSE))</f>
        <v/>
      </c>
      <c r="W116" s="529" t="str">
        <f t="shared" si="11"/>
        <v/>
      </c>
      <c r="X116" s="149"/>
      <c r="Y116" s="150"/>
      <c r="AG116" s="31" t="str">
        <f>IFERROR(INDEX('G-6 Hedgerow Data'!$BJ$3:$BJ$15,MATCH(D116,'G-6 Hedgerow Data'!$B$3:$B$15,0)),"")</f>
        <v/>
      </c>
    </row>
    <row r="117" spans="2:33" ht="13.8" x14ac:dyDescent="0.25">
      <c r="B117" s="141">
        <v>106</v>
      </c>
      <c r="C117" s="205"/>
      <c r="D117" s="195"/>
      <c r="E117" s="172"/>
      <c r="F117" s="553" t="str">
        <f>IF(D117="","",VLOOKUP(D117,'G-6 Hedgerow Data'!$B$2:$AG$15,2,FALSE))</f>
        <v/>
      </c>
      <c r="G117" s="499" t="str">
        <f>IF(D117="","",VLOOKUP(D117,'G-6 Hedgerow Data'!$B$2:$AG$15,3,FALSE))</f>
        <v/>
      </c>
      <c r="H117" s="145"/>
      <c r="I117" s="499" t="str">
        <f>IFERROR(VLOOKUP(H117,'G-1 All Habitats'!$Z$2:$AA$9,2,FALSE),"")</f>
        <v/>
      </c>
      <c r="J117" s="145"/>
      <c r="K117" s="520" t="str">
        <f>IF(J117="","",IF(VLOOKUP(J117,'G-3 Multipliers'!$L$3:$N$6,2,FALSE)=0,"Spatial Data Missing ⚠",VLOOKUP(J117,'G-3 Multipliers'!$L$3:$N$6,2,FALSE)))</f>
        <v/>
      </c>
      <c r="L117" s="505" t="str">
        <f>IF(J117="","",IF(VLOOKUP(J117,'G-3 Multipliers'!$L$3:$N$6,3,FALSE)=0,"Spatial Data Missing ⚠",VLOOKUP(J117,'G-3 Multipliers'!$L$3:$N$6,3,FALSE)))</f>
        <v/>
      </c>
      <c r="M117" s="498" t="str">
        <f>IF(OR(D117="",H117=""),"",(INDEX('G-6 Hedgerow Data'!$E$3:$I$15,MATCH(D117,'G-6 Hedgerow Data'!$B$3:$B$15,0),MATCH(H117,'G-6 Hedgerow Data'!$E$2:$I$2,0))))</f>
        <v/>
      </c>
      <c r="N117" s="195"/>
      <c r="O117" s="195"/>
      <c r="P117" s="507" t="str">
        <f t="shared" si="7"/>
        <v/>
      </c>
      <c r="Q117" s="521" t="str">
        <f t="shared" si="8"/>
        <v/>
      </c>
      <c r="R117" s="522" t="str">
        <f t="shared" si="6"/>
        <v/>
      </c>
      <c r="S117" s="537" t="str">
        <f>IF(D117="","",VLOOKUP(D117,'G-6 Hedgerow Data'!$B$3:$AG$15,31,FALSE))</f>
        <v/>
      </c>
      <c r="T117" s="507" t="str">
        <f t="shared" si="9"/>
        <v/>
      </c>
      <c r="U117" s="507" t="str">
        <f t="shared" si="10"/>
        <v/>
      </c>
      <c r="V117" s="524" t="str">
        <f>IF(D117="","",VLOOKUP(S117,'G-3 Multipliers'!$P$3:$Q$6,2,FALSE))</f>
        <v/>
      </c>
      <c r="W117" s="529" t="str">
        <f t="shared" si="11"/>
        <v/>
      </c>
      <c r="X117" s="149"/>
      <c r="Y117" s="150"/>
      <c r="AG117" s="31" t="str">
        <f>IFERROR(INDEX('G-6 Hedgerow Data'!$BJ$3:$BJ$15,MATCH(D117,'G-6 Hedgerow Data'!$B$3:$B$15,0)),"")</f>
        <v/>
      </c>
    </row>
    <row r="118" spans="2:33" ht="13.8" x14ac:dyDescent="0.25">
      <c r="B118" s="141">
        <v>107</v>
      </c>
      <c r="C118" s="205"/>
      <c r="D118" s="195"/>
      <c r="E118" s="172"/>
      <c r="F118" s="553" t="str">
        <f>IF(D118="","",VLOOKUP(D118,'G-6 Hedgerow Data'!$B$2:$AG$15,2,FALSE))</f>
        <v/>
      </c>
      <c r="G118" s="499" t="str">
        <f>IF(D118="","",VLOOKUP(D118,'G-6 Hedgerow Data'!$B$2:$AG$15,3,FALSE))</f>
        <v/>
      </c>
      <c r="H118" s="145"/>
      <c r="I118" s="499" t="str">
        <f>IFERROR(VLOOKUP(H118,'G-1 All Habitats'!$Z$2:$AA$9,2,FALSE),"")</f>
        <v/>
      </c>
      <c r="J118" s="145"/>
      <c r="K118" s="520" t="str">
        <f>IF(J118="","",IF(VLOOKUP(J118,'G-3 Multipliers'!$L$3:$N$6,2,FALSE)=0,"Spatial Data Missing ⚠",VLOOKUP(J118,'G-3 Multipliers'!$L$3:$N$6,2,FALSE)))</f>
        <v/>
      </c>
      <c r="L118" s="505" t="str">
        <f>IF(J118="","",IF(VLOOKUP(J118,'G-3 Multipliers'!$L$3:$N$6,3,FALSE)=0,"Spatial Data Missing ⚠",VLOOKUP(J118,'G-3 Multipliers'!$L$3:$N$6,3,FALSE)))</f>
        <v/>
      </c>
      <c r="M118" s="498" t="str">
        <f>IF(OR(D118="",H118=""),"",(INDEX('G-6 Hedgerow Data'!$E$3:$I$15,MATCH(D118,'G-6 Hedgerow Data'!$B$3:$B$15,0),MATCH(H118,'G-6 Hedgerow Data'!$E$2:$I$2,0))))</f>
        <v/>
      </c>
      <c r="N118" s="195"/>
      <c r="O118" s="195"/>
      <c r="P118" s="507" t="str">
        <f t="shared" si="7"/>
        <v/>
      </c>
      <c r="Q118" s="521" t="str">
        <f t="shared" si="8"/>
        <v/>
      </c>
      <c r="R118" s="522" t="str">
        <f t="shared" si="6"/>
        <v/>
      </c>
      <c r="S118" s="537" t="str">
        <f>IF(D118="","",VLOOKUP(D118,'G-6 Hedgerow Data'!$B$3:$AG$15,31,FALSE))</f>
        <v/>
      </c>
      <c r="T118" s="507" t="str">
        <f t="shared" si="9"/>
        <v/>
      </c>
      <c r="U118" s="507" t="str">
        <f t="shared" si="10"/>
        <v/>
      </c>
      <c r="V118" s="524" t="str">
        <f>IF(D118="","",VLOOKUP(S118,'G-3 Multipliers'!$P$3:$Q$6,2,FALSE))</f>
        <v/>
      </c>
      <c r="W118" s="529" t="str">
        <f t="shared" si="11"/>
        <v/>
      </c>
      <c r="X118" s="149"/>
      <c r="Y118" s="150"/>
      <c r="AG118" s="31" t="str">
        <f>IFERROR(INDEX('G-6 Hedgerow Data'!$BJ$3:$BJ$15,MATCH(D118,'G-6 Hedgerow Data'!$B$3:$B$15,0)),"")</f>
        <v/>
      </c>
    </row>
    <row r="119" spans="2:33" ht="13.8" x14ac:dyDescent="0.25">
      <c r="B119" s="141">
        <v>108</v>
      </c>
      <c r="C119" s="205"/>
      <c r="D119" s="195"/>
      <c r="E119" s="172"/>
      <c r="F119" s="553" t="str">
        <f>IF(D119="","",VLOOKUP(D119,'G-6 Hedgerow Data'!$B$2:$AG$15,2,FALSE))</f>
        <v/>
      </c>
      <c r="G119" s="499" t="str">
        <f>IF(D119="","",VLOOKUP(D119,'G-6 Hedgerow Data'!$B$2:$AG$15,3,FALSE))</f>
        <v/>
      </c>
      <c r="H119" s="145"/>
      <c r="I119" s="499" t="str">
        <f>IFERROR(VLOOKUP(H119,'G-1 All Habitats'!$Z$2:$AA$9,2,FALSE),"")</f>
        <v/>
      </c>
      <c r="J119" s="145"/>
      <c r="K119" s="520" t="str">
        <f>IF(J119="","",IF(VLOOKUP(J119,'G-3 Multipliers'!$L$3:$N$6,2,FALSE)=0,"Spatial Data Missing ⚠",VLOOKUP(J119,'G-3 Multipliers'!$L$3:$N$6,2,FALSE)))</f>
        <v/>
      </c>
      <c r="L119" s="505" t="str">
        <f>IF(J119="","",IF(VLOOKUP(J119,'G-3 Multipliers'!$L$3:$N$6,3,FALSE)=0,"Spatial Data Missing ⚠",VLOOKUP(J119,'G-3 Multipliers'!$L$3:$N$6,3,FALSE)))</f>
        <v/>
      </c>
      <c r="M119" s="498" t="str">
        <f>IF(OR(D119="",H119=""),"",(INDEX('G-6 Hedgerow Data'!$E$3:$I$15,MATCH(D119,'G-6 Hedgerow Data'!$B$3:$B$15,0),MATCH(H119,'G-6 Hedgerow Data'!$E$2:$I$2,0))))</f>
        <v/>
      </c>
      <c r="N119" s="195"/>
      <c r="O119" s="195"/>
      <c r="P119" s="507" t="str">
        <f t="shared" si="7"/>
        <v/>
      </c>
      <c r="Q119" s="521" t="str">
        <f t="shared" si="8"/>
        <v/>
      </c>
      <c r="R119" s="522" t="str">
        <f t="shared" si="6"/>
        <v/>
      </c>
      <c r="S119" s="537" t="str">
        <f>IF(D119="","",VLOOKUP(D119,'G-6 Hedgerow Data'!$B$3:$AG$15,31,FALSE))</f>
        <v/>
      </c>
      <c r="T119" s="507" t="str">
        <f t="shared" si="9"/>
        <v/>
      </c>
      <c r="U119" s="507" t="str">
        <f t="shared" si="10"/>
        <v/>
      </c>
      <c r="V119" s="524" t="str">
        <f>IF(D119="","",VLOOKUP(S119,'G-3 Multipliers'!$P$3:$Q$6,2,FALSE))</f>
        <v/>
      </c>
      <c r="W119" s="529" t="str">
        <f t="shared" si="11"/>
        <v/>
      </c>
      <c r="X119" s="149"/>
      <c r="Y119" s="150"/>
      <c r="AG119" s="31" t="str">
        <f>IFERROR(INDEX('G-6 Hedgerow Data'!$BJ$3:$BJ$15,MATCH(D119,'G-6 Hedgerow Data'!$B$3:$B$15,0)),"")</f>
        <v/>
      </c>
    </row>
    <row r="120" spans="2:33" ht="13.8" x14ac:dyDescent="0.25">
      <c r="B120" s="141">
        <v>109</v>
      </c>
      <c r="C120" s="205"/>
      <c r="D120" s="195"/>
      <c r="E120" s="172"/>
      <c r="F120" s="553" t="str">
        <f>IF(D120="","",VLOOKUP(D120,'G-6 Hedgerow Data'!$B$2:$AG$15,2,FALSE))</f>
        <v/>
      </c>
      <c r="G120" s="499" t="str">
        <f>IF(D120="","",VLOOKUP(D120,'G-6 Hedgerow Data'!$B$2:$AG$15,3,FALSE))</f>
        <v/>
      </c>
      <c r="H120" s="145"/>
      <c r="I120" s="499" t="str">
        <f>IFERROR(VLOOKUP(H120,'G-1 All Habitats'!$Z$2:$AA$9,2,FALSE),"")</f>
        <v/>
      </c>
      <c r="J120" s="145"/>
      <c r="K120" s="520" t="str">
        <f>IF(J120="","",IF(VLOOKUP(J120,'G-3 Multipliers'!$L$3:$N$6,2,FALSE)=0,"Spatial Data Missing ⚠",VLOOKUP(J120,'G-3 Multipliers'!$L$3:$N$6,2,FALSE)))</f>
        <v/>
      </c>
      <c r="L120" s="505" t="str">
        <f>IF(J120="","",IF(VLOOKUP(J120,'G-3 Multipliers'!$L$3:$N$6,3,FALSE)=0,"Spatial Data Missing ⚠",VLOOKUP(J120,'G-3 Multipliers'!$L$3:$N$6,3,FALSE)))</f>
        <v/>
      </c>
      <c r="M120" s="498" t="str">
        <f>IF(OR(D120="",H120=""),"",(INDEX('G-6 Hedgerow Data'!$E$3:$I$15,MATCH(D120,'G-6 Hedgerow Data'!$B$3:$B$15,0),MATCH(H120,'G-6 Hedgerow Data'!$E$2:$I$2,0))))</f>
        <v/>
      </c>
      <c r="N120" s="195"/>
      <c r="O120" s="195"/>
      <c r="P120" s="507" t="str">
        <f t="shared" si="7"/>
        <v/>
      </c>
      <c r="Q120" s="521" t="str">
        <f t="shared" si="8"/>
        <v/>
      </c>
      <c r="R120" s="522" t="str">
        <f t="shared" si="6"/>
        <v/>
      </c>
      <c r="S120" s="537" t="str">
        <f>IF(D120="","",VLOOKUP(D120,'G-6 Hedgerow Data'!$B$3:$AG$15,31,FALSE))</f>
        <v/>
      </c>
      <c r="T120" s="507" t="str">
        <f t="shared" si="9"/>
        <v/>
      </c>
      <c r="U120" s="507" t="str">
        <f t="shared" si="10"/>
        <v/>
      </c>
      <c r="V120" s="524" t="str">
        <f>IF(D120="","",VLOOKUP(S120,'G-3 Multipliers'!$P$3:$Q$6,2,FALSE))</f>
        <v/>
      </c>
      <c r="W120" s="529" t="str">
        <f t="shared" si="11"/>
        <v/>
      </c>
      <c r="X120" s="149"/>
      <c r="Y120" s="150"/>
      <c r="AG120" s="31" t="str">
        <f>IFERROR(INDEX('G-6 Hedgerow Data'!$BJ$3:$BJ$15,MATCH(D120,'G-6 Hedgerow Data'!$B$3:$B$15,0)),"")</f>
        <v/>
      </c>
    </row>
    <row r="121" spans="2:33" ht="13.8" x14ac:dyDescent="0.25">
      <c r="B121" s="141">
        <v>110</v>
      </c>
      <c r="C121" s="205"/>
      <c r="D121" s="195"/>
      <c r="E121" s="172"/>
      <c r="F121" s="553" t="str">
        <f>IF(D121="","",VLOOKUP(D121,'G-6 Hedgerow Data'!$B$2:$AG$15,2,FALSE))</f>
        <v/>
      </c>
      <c r="G121" s="499" t="str">
        <f>IF(D121="","",VLOOKUP(D121,'G-6 Hedgerow Data'!$B$2:$AG$15,3,FALSE))</f>
        <v/>
      </c>
      <c r="H121" s="145"/>
      <c r="I121" s="499" t="str">
        <f>IFERROR(VLOOKUP(H121,'G-1 All Habitats'!$Z$2:$AA$9,2,FALSE),"")</f>
        <v/>
      </c>
      <c r="J121" s="145"/>
      <c r="K121" s="520" t="str">
        <f>IF(J121="","",IF(VLOOKUP(J121,'G-3 Multipliers'!$L$3:$N$6,2,FALSE)=0,"Spatial Data Missing ⚠",VLOOKUP(J121,'G-3 Multipliers'!$L$3:$N$6,2,FALSE)))</f>
        <v/>
      </c>
      <c r="L121" s="505" t="str">
        <f>IF(J121="","",IF(VLOOKUP(J121,'G-3 Multipliers'!$L$3:$N$6,3,FALSE)=0,"Spatial Data Missing ⚠",VLOOKUP(J121,'G-3 Multipliers'!$L$3:$N$6,3,FALSE)))</f>
        <v/>
      </c>
      <c r="M121" s="498" t="str">
        <f>IF(OR(D121="",H121=""),"",(INDEX('G-6 Hedgerow Data'!$E$3:$I$15,MATCH(D121,'G-6 Hedgerow Data'!$B$3:$B$15,0),MATCH(H121,'G-6 Hedgerow Data'!$E$2:$I$2,0))))</f>
        <v/>
      </c>
      <c r="N121" s="195"/>
      <c r="O121" s="195"/>
      <c r="P121" s="507" t="str">
        <f t="shared" si="7"/>
        <v/>
      </c>
      <c r="Q121" s="521" t="str">
        <f t="shared" si="8"/>
        <v/>
      </c>
      <c r="R121" s="522" t="str">
        <f t="shared" si="6"/>
        <v/>
      </c>
      <c r="S121" s="537" t="str">
        <f>IF(D121="","",VLOOKUP(D121,'G-6 Hedgerow Data'!$B$3:$AG$15,31,FALSE))</f>
        <v/>
      </c>
      <c r="T121" s="507" t="str">
        <f t="shared" si="9"/>
        <v/>
      </c>
      <c r="U121" s="507" t="str">
        <f t="shared" si="10"/>
        <v/>
      </c>
      <c r="V121" s="524" t="str">
        <f>IF(D121="","",VLOOKUP(S121,'G-3 Multipliers'!$P$3:$Q$6,2,FALSE))</f>
        <v/>
      </c>
      <c r="W121" s="529" t="str">
        <f t="shared" si="11"/>
        <v/>
      </c>
      <c r="X121" s="149"/>
      <c r="Y121" s="150"/>
      <c r="AG121" s="31" t="str">
        <f>IFERROR(INDEX('G-6 Hedgerow Data'!$BJ$3:$BJ$15,MATCH(D121,'G-6 Hedgerow Data'!$B$3:$B$15,0)),"")</f>
        <v/>
      </c>
    </row>
    <row r="122" spans="2:33" ht="13.8" x14ac:dyDescent="0.25">
      <c r="B122" s="141">
        <v>111</v>
      </c>
      <c r="C122" s="205"/>
      <c r="D122" s="195"/>
      <c r="E122" s="172"/>
      <c r="F122" s="553" t="str">
        <f>IF(D122="","",VLOOKUP(D122,'G-6 Hedgerow Data'!$B$2:$AG$15,2,FALSE))</f>
        <v/>
      </c>
      <c r="G122" s="499" t="str">
        <f>IF(D122="","",VLOOKUP(D122,'G-6 Hedgerow Data'!$B$2:$AG$15,3,FALSE))</f>
        <v/>
      </c>
      <c r="H122" s="145"/>
      <c r="I122" s="499" t="str">
        <f>IFERROR(VLOOKUP(H122,'G-1 All Habitats'!$Z$2:$AA$9,2,FALSE),"")</f>
        <v/>
      </c>
      <c r="J122" s="145"/>
      <c r="K122" s="520" t="str">
        <f>IF(J122="","",IF(VLOOKUP(J122,'G-3 Multipliers'!$L$3:$N$6,2,FALSE)=0,"Spatial Data Missing ⚠",VLOOKUP(J122,'G-3 Multipliers'!$L$3:$N$6,2,FALSE)))</f>
        <v/>
      </c>
      <c r="L122" s="505" t="str">
        <f>IF(J122="","",IF(VLOOKUP(J122,'G-3 Multipliers'!$L$3:$N$6,3,FALSE)=0,"Spatial Data Missing ⚠",VLOOKUP(J122,'G-3 Multipliers'!$L$3:$N$6,3,FALSE)))</f>
        <v/>
      </c>
      <c r="M122" s="498" t="str">
        <f>IF(OR(D122="",H122=""),"",(INDEX('G-6 Hedgerow Data'!$E$3:$I$15,MATCH(D122,'G-6 Hedgerow Data'!$B$3:$B$15,0),MATCH(H122,'G-6 Hedgerow Data'!$E$2:$I$2,0))))</f>
        <v/>
      </c>
      <c r="N122" s="195"/>
      <c r="O122" s="195"/>
      <c r="P122" s="507" t="str">
        <f t="shared" si="7"/>
        <v/>
      </c>
      <c r="Q122" s="521" t="str">
        <f t="shared" si="8"/>
        <v/>
      </c>
      <c r="R122" s="522" t="str">
        <f t="shared" si="6"/>
        <v/>
      </c>
      <c r="S122" s="537" t="str">
        <f>IF(D122="","",VLOOKUP(D122,'G-6 Hedgerow Data'!$B$3:$AG$15,31,FALSE))</f>
        <v/>
      </c>
      <c r="T122" s="507" t="str">
        <f t="shared" si="9"/>
        <v/>
      </c>
      <c r="U122" s="507" t="str">
        <f t="shared" si="10"/>
        <v/>
      </c>
      <c r="V122" s="524" t="str">
        <f>IF(D122="","",VLOOKUP(S122,'G-3 Multipliers'!$P$3:$Q$6,2,FALSE))</f>
        <v/>
      </c>
      <c r="W122" s="529" t="str">
        <f t="shared" si="11"/>
        <v/>
      </c>
      <c r="X122" s="149"/>
      <c r="Y122" s="150"/>
      <c r="AG122" s="31" t="str">
        <f>IFERROR(INDEX('G-6 Hedgerow Data'!$BJ$3:$BJ$15,MATCH(D122,'G-6 Hedgerow Data'!$B$3:$B$15,0)),"")</f>
        <v/>
      </c>
    </row>
    <row r="123" spans="2:33" ht="13.8" x14ac:dyDescent="0.25">
      <c r="B123" s="141">
        <v>112</v>
      </c>
      <c r="C123" s="205"/>
      <c r="D123" s="195"/>
      <c r="E123" s="172"/>
      <c r="F123" s="553" t="str">
        <f>IF(D123="","",VLOOKUP(D123,'G-6 Hedgerow Data'!$B$2:$AG$15,2,FALSE))</f>
        <v/>
      </c>
      <c r="G123" s="499" t="str">
        <f>IF(D123="","",VLOOKUP(D123,'G-6 Hedgerow Data'!$B$2:$AG$15,3,FALSE))</f>
        <v/>
      </c>
      <c r="H123" s="145"/>
      <c r="I123" s="499" t="str">
        <f>IFERROR(VLOOKUP(H123,'G-1 All Habitats'!$Z$2:$AA$9,2,FALSE),"")</f>
        <v/>
      </c>
      <c r="J123" s="145"/>
      <c r="K123" s="520" t="str">
        <f>IF(J123="","",IF(VLOOKUP(J123,'G-3 Multipliers'!$L$3:$N$6,2,FALSE)=0,"Spatial Data Missing ⚠",VLOOKUP(J123,'G-3 Multipliers'!$L$3:$N$6,2,FALSE)))</f>
        <v/>
      </c>
      <c r="L123" s="505" t="str">
        <f>IF(J123="","",IF(VLOOKUP(J123,'G-3 Multipliers'!$L$3:$N$6,3,FALSE)=0,"Spatial Data Missing ⚠",VLOOKUP(J123,'G-3 Multipliers'!$L$3:$N$6,3,FALSE)))</f>
        <v/>
      </c>
      <c r="M123" s="498" t="str">
        <f>IF(OR(D123="",H123=""),"",(INDEX('G-6 Hedgerow Data'!$E$3:$I$15,MATCH(D123,'G-6 Hedgerow Data'!$B$3:$B$15,0),MATCH(H123,'G-6 Hedgerow Data'!$E$2:$I$2,0))))</f>
        <v/>
      </c>
      <c r="N123" s="195"/>
      <c r="O123" s="195"/>
      <c r="P123" s="507" t="str">
        <f t="shared" si="7"/>
        <v/>
      </c>
      <c r="Q123" s="521" t="str">
        <f t="shared" si="8"/>
        <v/>
      </c>
      <c r="R123" s="522" t="str">
        <f t="shared" si="6"/>
        <v/>
      </c>
      <c r="S123" s="537" t="str">
        <f>IF(D123="","",VLOOKUP(D123,'G-6 Hedgerow Data'!$B$3:$AG$15,31,FALSE))</f>
        <v/>
      </c>
      <c r="T123" s="507" t="str">
        <f t="shared" si="9"/>
        <v/>
      </c>
      <c r="U123" s="507" t="str">
        <f t="shared" si="10"/>
        <v/>
      </c>
      <c r="V123" s="524" t="str">
        <f>IF(D123="","",VLOOKUP(S123,'G-3 Multipliers'!$P$3:$Q$6,2,FALSE))</f>
        <v/>
      </c>
      <c r="W123" s="529" t="str">
        <f t="shared" si="11"/>
        <v/>
      </c>
      <c r="X123" s="149"/>
      <c r="Y123" s="150"/>
      <c r="AG123" s="31" t="str">
        <f>IFERROR(INDEX('G-6 Hedgerow Data'!$BJ$3:$BJ$15,MATCH(D123,'G-6 Hedgerow Data'!$B$3:$B$15,0)),"")</f>
        <v/>
      </c>
    </row>
    <row r="124" spans="2:33" ht="13.8" x14ac:dyDescent="0.25">
      <c r="B124" s="141">
        <v>113</v>
      </c>
      <c r="C124" s="205"/>
      <c r="D124" s="195"/>
      <c r="E124" s="172"/>
      <c r="F124" s="553" t="str">
        <f>IF(D124="","",VLOOKUP(D124,'G-6 Hedgerow Data'!$B$2:$AG$15,2,FALSE))</f>
        <v/>
      </c>
      <c r="G124" s="499" t="str">
        <f>IF(D124="","",VLOOKUP(D124,'G-6 Hedgerow Data'!$B$2:$AG$15,3,FALSE))</f>
        <v/>
      </c>
      <c r="H124" s="145"/>
      <c r="I124" s="499" t="str">
        <f>IFERROR(VLOOKUP(H124,'G-1 All Habitats'!$Z$2:$AA$9,2,FALSE),"")</f>
        <v/>
      </c>
      <c r="J124" s="145"/>
      <c r="K124" s="520" t="str">
        <f>IF(J124="","",IF(VLOOKUP(J124,'G-3 Multipliers'!$L$3:$N$6,2,FALSE)=0,"Spatial Data Missing ⚠",VLOOKUP(J124,'G-3 Multipliers'!$L$3:$N$6,2,FALSE)))</f>
        <v/>
      </c>
      <c r="L124" s="505" t="str">
        <f>IF(J124="","",IF(VLOOKUP(J124,'G-3 Multipliers'!$L$3:$N$6,3,FALSE)=0,"Spatial Data Missing ⚠",VLOOKUP(J124,'G-3 Multipliers'!$L$3:$N$6,3,FALSE)))</f>
        <v/>
      </c>
      <c r="M124" s="498" t="str">
        <f>IF(OR(D124="",H124=""),"",(INDEX('G-6 Hedgerow Data'!$E$3:$I$15,MATCH(D124,'G-6 Hedgerow Data'!$B$3:$B$15,0),MATCH(H124,'G-6 Hedgerow Data'!$E$2:$I$2,0))))</f>
        <v/>
      </c>
      <c r="N124" s="195"/>
      <c r="O124" s="195"/>
      <c r="P124" s="507" t="str">
        <f t="shared" si="7"/>
        <v/>
      </c>
      <c r="Q124" s="521" t="str">
        <f t="shared" si="8"/>
        <v/>
      </c>
      <c r="R124" s="522" t="str">
        <f t="shared" si="6"/>
        <v/>
      </c>
      <c r="S124" s="537" t="str">
        <f>IF(D124="","",VLOOKUP(D124,'G-6 Hedgerow Data'!$B$3:$AG$15,31,FALSE))</f>
        <v/>
      </c>
      <c r="T124" s="507" t="str">
        <f t="shared" si="9"/>
        <v/>
      </c>
      <c r="U124" s="507" t="str">
        <f t="shared" si="10"/>
        <v/>
      </c>
      <c r="V124" s="524" t="str">
        <f>IF(D124="","",VLOOKUP(S124,'G-3 Multipliers'!$P$3:$Q$6,2,FALSE))</f>
        <v/>
      </c>
      <c r="W124" s="529" t="str">
        <f t="shared" si="11"/>
        <v/>
      </c>
      <c r="X124" s="149"/>
      <c r="Y124" s="150"/>
      <c r="AG124" s="31" t="str">
        <f>IFERROR(INDEX('G-6 Hedgerow Data'!$BJ$3:$BJ$15,MATCH(D124,'G-6 Hedgerow Data'!$B$3:$B$15,0)),"")</f>
        <v/>
      </c>
    </row>
    <row r="125" spans="2:33" ht="13.8" x14ac:dyDescent="0.25">
      <c r="B125" s="141">
        <v>114</v>
      </c>
      <c r="C125" s="205"/>
      <c r="D125" s="195"/>
      <c r="E125" s="172"/>
      <c r="F125" s="553" t="str">
        <f>IF(D125="","",VLOOKUP(D125,'G-6 Hedgerow Data'!$B$2:$AG$15,2,FALSE))</f>
        <v/>
      </c>
      <c r="G125" s="499" t="str">
        <f>IF(D125="","",VLOOKUP(D125,'G-6 Hedgerow Data'!$B$2:$AG$15,3,FALSE))</f>
        <v/>
      </c>
      <c r="H125" s="145"/>
      <c r="I125" s="499" t="str">
        <f>IFERROR(VLOOKUP(H125,'G-1 All Habitats'!$Z$2:$AA$9,2,FALSE),"")</f>
        <v/>
      </c>
      <c r="J125" s="145"/>
      <c r="K125" s="520" t="str">
        <f>IF(J125="","",IF(VLOOKUP(J125,'G-3 Multipliers'!$L$3:$N$6,2,FALSE)=0,"Spatial Data Missing ⚠",VLOOKUP(J125,'G-3 Multipliers'!$L$3:$N$6,2,FALSE)))</f>
        <v/>
      </c>
      <c r="L125" s="505" t="str">
        <f>IF(J125="","",IF(VLOOKUP(J125,'G-3 Multipliers'!$L$3:$N$6,3,FALSE)=0,"Spatial Data Missing ⚠",VLOOKUP(J125,'G-3 Multipliers'!$L$3:$N$6,3,FALSE)))</f>
        <v/>
      </c>
      <c r="M125" s="498" t="str">
        <f>IF(OR(D125="",H125=""),"",(INDEX('G-6 Hedgerow Data'!$E$3:$I$15,MATCH(D125,'G-6 Hedgerow Data'!$B$3:$B$15,0),MATCH(H125,'G-6 Hedgerow Data'!$E$2:$I$2,0))))</f>
        <v/>
      </c>
      <c r="N125" s="195"/>
      <c r="O125" s="195"/>
      <c r="P125" s="507" t="str">
        <f t="shared" si="7"/>
        <v/>
      </c>
      <c r="Q125" s="521" t="str">
        <f t="shared" si="8"/>
        <v/>
      </c>
      <c r="R125" s="522" t="str">
        <f t="shared" si="6"/>
        <v/>
      </c>
      <c r="S125" s="537" t="str">
        <f>IF(D125="","",VLOOKUP(D125,'G-6 Hedgerow Data'!$B$3:$AG$15,31,FALSE))</f>
        <v/>
      </c>
      <c r="T125" s="507" t="str">
        <f t="shared" si="9"/>
        <v/>
      </c>
      <c r="U125" s="507" t="str">
        <f t="shared" si="10"/>
        <v/>
      </c>
      <c r="V125" s="524" t="str">
        <f>IF(D125="","",VLOOKUP(S125,'G-3 Multipliers'!$P$3:$Q$6,2,FALSE))</f>
        <v/>
      </c>
      <c r="W125" s="529" t="str">
        <f t="shared" si="11"/>
        <v/>
      </c>
      <c r="X125" s="149"/>
      <c r="Y125" s="150"/>
      <c r="AG125" s="31" t="str">
        <f>IFERROR(INDEX('G-6 Hedgerow Data'!$BJ$3:$BJ$15,MATCH(D125,'G-6 Hedgerow Data'!$B$3:$B$15,0)),"")</f>
        <v/>
      </c>
    </row>
    <row r="126" spans="2:33" ht="13.8" x14ac:dyDescent="0.25">
      <c r="B126" s="141">
        <v>115</v>
      </c>
      <c r="C126" s="205"/>
      <c r="D126" s="195"/>
      <c r="E126" s="172"/>
      <c r="F126" s="553" t="str">
        <f>IF(D126="","",VLOOKUP(D126,'G-6 Hedgerow Data'!$B$2:$AG$15,2,FALSE))</f>
        <v/>
      </c>
      <c r="G126" s="499" t="str">
        <f>IF(D126="","",VLOOKUP(D126,'G-6 Hedgerow Data'!$B$2:$AG$15,3,FALSE))</f>
        <v/>
      </c>
      <c r="H126" s="145"/>
      <c r="I126" s="499" t="str">
        <f>IFERROR(VLOOKUP(H126,'G-1 All Habitats'!$Z$2:$AA$9,2,FALSE),"")</f>
        <v/>
      </c>
      <c r="J126" s="145"/>
      <c r="K126" s="520" t="str">
        <f>IF(J126="","",IF(VLOOKUP(J126,'G-3 Multipliers'!$L$3:$N$6,2,FALSE)=0,"Spatial Data Missing ⚠",VLOOKUP(J126,'G-3 Multipliers'!$L$3:$N$6,2,FALSE)))</f>
        <v/>
      </c>
      <c r="L126" s="505" t="str">
        <f>IF(J126="","",IF(VLOOKUP(J126,'G-3 Multipliers'!$L$3:$N$6,3,FALSE)=0,"Spatial Data Missing ⚠",VLOOKUP(J126,'G-3 Multipliers'!$L$3:$N$6,3,FALSE)))</f>
        <v/>
      </c>
      <c r="M126" s="498" t="str">
        <f>IF(OR(D126="",H126=""),"",(INDEX('G-6 Hedgerow Data'!$E$3:$I$15,MATCH(D126,'G-6 Hedgerow Data'!$B$3:$B$15,0),MATCH(H126,'G-6 Hedgerow Data'!$E$2:$I$2,0))))</f>
        <v/>
      </c>
      <c r="N126" s="195"/>
      <c r="O126" s="195"/>
      <c r="P126" s="507" t="str">
        <f t="shared" si="7"/>
        <v/>
      </c>
      <c r="Q126" s="521" t="str">
        <f t="shared" si="8"/>
        <v/>
      </c>
      <c r="R126" s="522" t="str">
        <f t="shared" si="6"/>
        <v/>
      </c>
      <c r="S126" s="537" t="str">
        <f>IF(D126="","",VLOOKUP(D126,'G-6 Hedgerow Data'!$B$3:$AG$15,31,FALSE))</f>
        <v/>
      </c>
      <c r="T126" s="507" t="str">
        <f t="shared" si="9"/>
        <v/>
      </c>
      <c r="U126" s="507" t="str">
        <f t="shared" si="10"/>
        <v/>
      </c>
      <c r="V126" s="524" t="str">
        <f>IF(D126="","",VLOOKUP(S126,'G-3 Multipliers'!$P$3:$Q$6,2,FALSE))</f>
        <v/>
      </c>
      <c r="W126" s="529" t="str">
        <f t="shared" si="11"/>
        <v/>
      </c>
      <c r="X126" s="149"/>
      <c r="Y126" s="150"/>
      <c r="AG126" s="31" t="str">
        <f>IFERROR(INDEX('G-6 Hedgerow Data'!$BJ$3:$BJ$15,MATCH(D126,'G-6 Hedgerow Data'!$B$3:$B$15,0)),"")</f>
        <v/>
      </c>
    </row>
    <row r="127" spans="2:33" ht="13.8" x14ac:dyDescent="0.25">
      <c r="B127" s="141">
        <v>116</v>
      </c>
      <c r="C127" s="205"/>
      <c r="D127" s="195"/>
      <c r="E127" s="172"/>
      <c r="F127" s="553" t="str">
        <f>IF(D127="","",VLOOKUP(D127,'G-6 Hedgerow Data'!$B$2:$AG$15,2,FALSE))</f>
        <v/>
      </c>
      <c r="G127" s="499" t="str">
        <f>IF(D127="","",VLOOKUP(D127,'G-6 Hedgerow Data'!$B$2:$AG$15,3,FALSE))</f>
        <v/>
      </c>
      <c r="H127" s="145"/>
      <c r="I127" s="499" t="str">
        <f>IFERROR(VLOOKUP(H127,'G-1 All Habitats'!$Z$2:$AA$9,2,FALSE),"")</f>
        <v/>
      </c>
      <c r="J127" s="145"/>
      <c r="K127" s="520" t="str">
        <f>IF(J127="","",IF(VLOOKUP(J127,'G-3 Multipliers'!$L$3:$N$6,2,FALSE)=0,"Spatial Data Missing ⚠",VLOOKUP(J127,'G-3 Multipliers'!$L$3:$N$6,2,FALSE)))</f>
        <v/>
      </c>
      <c r="L127" s="505" t="str">
        <f>IF(J127="","",IF(VLOOKUP(J127,'G-3 Multipliers'!$L$3:$N$6,3,FALSE)=0,"Spatial Data Missing ⚠",VLOOKUP(J127,'G-3 Multipliers'!$L$3:$N$6,3,FALSE)))</f>
        <v/>
      </c>
      <c r="M127" s="498" t="str">
        <f>IF(OR(D127="",H127=""),"",(INDEX('G-6 Hedgerow Data'!$E$3:$I$15,MATCH(D127,'G-6 Hedgerow Data'!$B$3:$B$15,0),MATCH(H127,'G-6 Hedgerow Data'!$E$2:$I$2,0))))</f>
        <v/>
      </c>
      <c r="N127" s="195"/>
      <c r="O127" s="195"/>
      <c r="P127" s="507" t="str">
        <f t="shared" si="7"/>
        <v/>
      </c>
      <c r="Q127" s="521" t="str">
        <f t="shared" si="8"/>
        <v/>
      </c>
      <c r="R127" s="522" t="str">
        <f t="shared" si="6"/>
        <v/>
      </c>
      <c r="S127" s="537" t="str">
        <f>IF(D127="","",VLOOKUP(D127,'G-6 Hedgerow Data'!$B$3:$AG$15,31,FALSE))</f>
        <v/>
      </c>
      <c r="T127" s="507" t="str">
        <f t="shared" si="9"/>
        <v/>
      </c>
      <c r="U127" s="507" t="str">
        <f t="shared" si="10"/>
        <v/>
      </c>
      <c r="V127" s="524" t="str">
        <f>IF(D127="","",VLOOKUP(S127,'G-3 Multipliers'!$P$3:$Q$6,2,FALSE))</f>
        <v/>
      </c>
      <c r="W127" s="529" t="str">
        <f t="shared" si="11"/>
        <v/>
      </c>
      <c r="X127" s="149"/>
      <c r="Y127" s="150"/>
      <c r="AG127" s="31" t="str">
        <f>IFERROR(INDEX('G-6 Hedgerow Data'!$BJ$3:$BJ$15,MATCH(D127,'G-6 Hedgerow Data'!$B$3:$B$15,0)),"")</f>
        <v/>
      </c>
    </row>
    <row r="128" spans="2:33" ht="13.8" x14ac:dyDescent="0.25">
      <c r="B128" s="141">
        <v>117</v>
      </c>
      <c r="C128" s="205"/>
      <c r="D128" s="195"/>
      <c r="E128" s="172"/>
      <c r="F128" s="553" t="str">
        <f>IF(D128="","",VLOOKUP(D128,'G-6 Hedgerow Data'!$B$2:$AG$15,2,FALSE))</f>
        <v/>
      </c>
      <c r="G128" s="499" t="str">
        <f>IF(D128="","",VLOOKUP(D128,'G-6 Hedgerow Data'!$B$2:$AG$15,3,FALSE))</f>
        <v/>
      </c>
      <c r="H128" s="145"/>
      <c r="I128" s="499" t="str">
        <f>IFERROR(VLOOKUP(H128,'G-1 All Habitats'!$Z$2:$AA$9,2,FALSE),"")</f>
        <v/>
      </c>
      <c r="J128" s="145"/>
      <c r="K128" s="520" t="str">
        <f>IF(J128="","",IF(VLOOKUP(J128,'G-3 Multipliers'!$L$3:$N$6,2,FALSE)=0,"Spatial Data Missing ⚠",VLOOKUP(J128,'G-3 Multipliers'!$L$3:$N$6,2,FALSE)))</f>
        <v/>
      </c>
      <c r="L128" s="505" t="str">
        <f>IF(J128="","",IF(VLOOKUP(J128,'G-3 Multipliers'!$L$3:$N$6,3,FALSE)=0,"Spatial Data Missing ⚠",VLOOKUP(J128,'G-3 Multipliers'!$L$3:$N$6,3,FALSE)))</f>
        <v/>
      </c>
      <c r="M128" s="498" t="str">
        <f>IF(OR(D128="",H128=""),"",(INDEX('G-6 Hedgerow Data'!$E$3:$I$15,MATCH(D128,'G-6 Hedgerow Data'!$B$3:$B$15,0),MATCH(H128,'G-6 Hedgerow Data'!$E$2:$I$2,0))))</f>
        <v/>
      </c>
      <c r="N128" s="195"/>
      <c r="O128" s="195"/>
      <c r="P128" s="507" t="str">
        <f t="shared" si="7"/>
        <v/>
      </c>
      <c r="Q128" s="521" t="str">
        <f t="shared" si="8"/>
        <v/>
      </c>
      <c r="R128" s="522" t="str">
        <f t="shared" si="6"/>
        <v/>
      </c>
      <c r="S128" s="537" t="str">
        <f>IF(D128="","",VLOOKUP(D128,'G-6 Hedgerow Data'!$B$3:$AG$15,31,FALSE))</f>
        <v/>
      </c>
      <c r="T128" s="507" t="str">
        <f t="shared" si="9"/>
        <v/>
      </c>
      <c r="U128" s="507" t="str">
        <f t="shared" si="10"/>
        <v/>
      </c>
      <c r="V128" s="524" t="str">
        <f>IF(D128="","",VLOOKUP(S128,'G-3 Multipliers'!$P$3:$Q$6,2,FALSE))</f>
        <v/>
      </c>
      <c r="W128" s="529" t="str">
        <f t="shared" si="11"/>
        <v/>
      </c>
      <c r="X128" s="149"/>
      <c r="Y128" s="150"/>
      <c r="AG128" s="31" t="str">
        <f>IFERROR(INDEX('G-6 Hedgerow Data'!$BJ$3:$BJ$15,MATCH(D128,'G-6 Hedgerow Data'!$B$3:$B$15,0)),"")</f>
        <v/>
      </c>
    </row>
    <row r="129" spans="2:33" ht="13.8" x14ac:dyDescent="0.25">
      <c r="B129" s="141">
        <v>118</v>
      </c>
      <c r="C129" s="205"/>
      <c r="D129" s="195"/>
      <c r="E129" s="172"/>
      <c r="F129" s="553" t="str">
        <f>IF(D129="","",VLOOKUP(D129,'G-6 Hedgerow Data'!$B$2:$AG$15,2,FALSE))</f>
        <v/>
      </c>
      <c r="G129" s="499" t="str">
        <f>IF(D129="","",VLOOKUP(D129,'G-6 Hedgerow Data'!$B$2:$AG$15,3,FALSE))</f>
        <v/>
      </c>
      <c r="H129" s="145"/>
      <c r="I129" s="499" t="str">
        <f>IFERROR(VLOOKUP(H129,'G-1 All Habitats'!$Z$2:$AA$9,2,FALSE),"")</f>
        <v/>
      </c>
      <c r="J129" s="145"/>
      <c r="K129" s="520" t="str">
        <f>IF(J129="","",IF(VLOOKUP(J129,'G-3 Multipliers'!$L$3:$N$6,2,FALSE)=0,"Spatial Data Missing ⚠",VLOOKUP(J129,'G-3 Multipliers'!$L$3:$N$6,2,FALSE)))</f>
        <v/>
      </c>
      <c r="L129" s="505" t="str">
        <f>IF(J129="","",IF(VLOOKUP(J129,'G-3 Multipliers'!$L$3:$N$6,3,FALSE)=0,"Spatial Data Missing ⚠",VLOOKUP(J129,'G-3 Multipliers'!$L$3:$N$6,3,FALSE)))</f>
        <v/>
      </c>
      <c r="M129" s="498" t="str">
        <f>IF(OR(D129="",H129=""),"",(INDEX('G-6 Hedgerow Data'!$E$3:$I$15,MATCH(D129,'G-6 Hedgerow Data'!$B$3:$B$15,0),MATCH(H129,'G-6 Hedgerow Data'!$E$2:$I$2,0))))</f>
        <v/>
      </c>
      <c r="N129" s="195"/>
      <c r="O129" s="195"/>
      <c r="P129" s="507" t="str">
        <f t="shared" si="7"/>
        <v/>
      </c>
      <c r="Q129" s="521" t="str">
        <f t="shared" si="8"/>
        <v/>
      </c>
      <c r="R129" s="522" t="str">
        <f t="shared" si="6"/>
        <v/>
      </c>
      <c r="S129" s="537" t="str">
        <f>IF(D129="","",VLOOKUP(D129,'G-6 Hedgerow Data'!$B$3:$AG$15,31,FALSE))</f>
        <v/>
      </c>
      <c r="T129" s="507" t="str">
        <f t="shared" si="9"/>
        <v/>
      </c>
      <c r="U129" s="507" t="str">
        <f t="shared" si="10"/>
        <v/>
      </c>
      <c r="V129" s="524" t="str">
        <f>IF(D129="","",VLOOKUP(S129,'G-3 Multipliers'!$P$3:$Q$6,2,FALSE))</f>
        <v/>
      </c>
      <c r="W129" s="529" t="str">
        <f t="shared" si="11"/>
        <v/>
      </c>
      <c r="X129" s="149"/>
      <c r="Y129" s="150"/>
      <c r="AG129" s="31" t="str">
        <f>IFERROR(INDEX('G-6 Hedgerow Data'!$BJ$3:$BJ$15,MATCH(D129,'G-6 Hedgerow Data'!$B$3:$B$15,0)),"")</f>
        <v/>
      </c>
    </row>
    <row r="130" spans="2:33" ht="13.8" x14ac:dyDescent="0.25">
      <c r="B130" s="141">
        <v>119</v>
      </c>
      <c r="C130" s="205"/>
      <c r="D130" s="195"/>
      <c r="E130" s="172"/>
      <c r="F130" s="553" t="str">
        <f>IF(D130="","",VLOOKUP(D130,'G-6 Hedgerow Data'!$B$2:$AG$15,2,FALSE))</f>
        <v/>
      </c>
      <c r="G130" s="499" t="str">
        <f>IF(D130="","",VLOOKUP(D130,'G-6 Hedgerow Data'!$B$2:$AG$15,3,FALSE))</f>
        <v/>
      </c>
      <c r="H130" s="145"/>
      <c r="I130" s="499" t="str">
        <f>IFERROR(VLOOKUP(H130,'G-1 All Habitats'!$Z$2:$AA$9,2,FALSE),"")</f>
        <v/>
      </c>
      <c r="J130" s="145"/>
      <c r="K130" s="520" t="str">
        <f>IF(J130="","",IF(VLOOKUP(J130,'G-3 Multipliers'!$L$3:$N$6,2,FALSE)=0,"Spatial Data Missing ⚠",VLOOKUP(J130,'G-3 Multipliers'!$L$3:$N$6,2,FALSE)))</f>
        <v/>
      </c>
      <c r="L130" s="505" t="str">
        <f>IF(J130="","",IF(VLOOKUP(J130,'G-3 Multipliers'!$L$3:$N$6,3,FALSE)=0,"Spatial Data Missing ⚠",VLOOKUP(J130,'G-3 Multipliers'!$L$3:$N$6,3,FALSE)))</f>
        <v/>
      </c>
      <c r="M130" s="498" t="str">
        <f>IF(OR(D130="",H130=""),"",(INDEX('G-6 Hedgerow Data'!$E$3:$I$15,MATCH(D130,'G-6 Hedgerow Data'!$B$3:$B$15,0),MATCH(H130,'G-6 Hedgerow Data'!$E$2:$I$2,0))))</f>
        <v/>
      </c>
      <c r="N130" s="195"/>
      <c r="O130" s="195"/>
      <c r="P130" s="507" t="str">
        <f t="shared" si="7"/>
        <v/>
      </c>
      <c r="Q130" s="521" t="str">
        <f t="shared" si="8"/>
        <v/>
      </c>
      <c r="R130" s="522" t="str">
        <f t="shared" si="6"/>
        <v/>
      </c>
      <c r="S130" s="537" t="str">
        <f>IF(D130="","",VLOOKUP(D130,'G-6 Hedgerow Data'!$B$3:$AG$15,31,FALSE))</f>
        <v/>
      </c>
      <c r="T130" s="507" t="str">
        <f t="shared" si="9"/>
        <v/>
      </c>
      <c r="U130" s="507" t="str">
        <f t="shared" si="10"/>
        <v/>
      </c>
      <c r="V130" s="524" t="str">
        <f>IF(D130="","",VLOOKUP(S130,'G-3 Multipliers'!$P$3:$Q$6,2,FALSE))</f>
        <v/>
      </c>
      <c r="W130" s="529" t="str">
        <f t="shared" si="11"/>
        <v/>
      </c>
      <c r="X130" s="149"/>
      <c r="Y130" s="150"/>
      <c r="AG130" s="31" t="str">
        <f>IFERROR(INDEX('G-6 Hedgerow Data'!$BJ$3:$BJ$15,MATCH(D130,'G-6 Hedgerow Data'!$B$3:$B$15,0)),"")</f>
        <v/>
      </c>
    </row>
    <row r="131" spans="2:33" ht="13.8" x14ac:dyDescent="0.25">
      <c r="B131" s="141">
        <v>120</v>
      </c>
      <c r="C131" s="205"/>
      <c r="D131" s="195"/>
      <c r="E131" s="172"/>
      <c r="F131" s="553" t="str">
        <f>IF(D131="","",VLOOKUP(D131,'G-6 Hedgerow Data'!$B$2:$AG$15,2,FALSE))</f>
        <v/>
      </c>
      <c r="G131" s="499" t="str">
        <f>IF(D131="","",VLOOKUP(D131,'G-6 Hedgerow Data'!$B$2:$AG$15,3,FALSE))</f>
        <v/>
      </c>
      <c r="H131" s="145"/>
      <c r="I131" s="499" t="str">
        <f>IFERROR(VLOOKUP(H131,'G-1 All Habitats'!$Z$2:$AA$9,2,FALSE),"")</f>
        <v/>
      </c>
      <c r="J131" s="145"/>
      <c r="K131" s="520" t="str">
        <f>IF(J131="","",IF(VLOOKUP(J131,'G-3 Multipliers'!$L$3:$N$6,2,FALSE)=0,"Spatial Data Missing ⚠",VLOOKUP(J131,'G-3 Multipliers'!$L$3:$N$6,2,FALSE)))</f>
        <v/>
      </c>
      <c r="L131" s="505" t="str">
        <f>IF(J131="","",IF(VLOOKUP(J131,'G-3 Multipliers'!$L$3:$N$6,3,FALSE)=0,"Spatial Data Missing ⚠",VLOOKUP(J131,'G-3 Multipliers'!$L$3:$N$6,3,FALSE)))</f>
        <v/>
      </c>
      <c r="M131" s="498" t="str">
        <f>IF(OR(D131="",H131=""),"",(INDEX('G-6 Hedgerow Data'!$E$3:$I$15,MATCH(D131,'G-6 Hedgerow Data'!$B$3:$B$15,0),MATCH(H131,'G-6 Hedgerow Data'!$E$2:$I$2,0))))</f>
        <v/>
      </c>
      <c r="N131" s="195"/>
      <c r="O131" s="195"/>
      <c r="P131" s="507" t="str">
        <f t="shared" si="7"/>
        <v/>
      </c>
      <c r="Q131" s="521" t="str">
        <f t="shared" si="8"/>
        <v/>
      </c>
      <c r="R131" s="522" t="str">
        <f t="shared" si="6"/>
        <v/>
      </c>
      <c r="S131" s="537" t="str">
        <f>IF(D131="","",VLOOKUP(D131,'G-6 Hedgerow Data'!$B$3:$AG$15,31,FALSE))</f>
        <v/>
      </c>
      <c r="T131" s="507" t="str">
        <f t="shared" si="9"/>
        <v/>
      </c>
      <c r="U131" s="507" t="str">
        <f t="shared" si="10"/>
        <v/>
      </c>
      <c r="V131" s="524" t="str">
        <f>IF(D131="","",VLOOKUP(S131,'G-3 Multipliers'!$P$3:$Q$6,2,FALSE))</f>
        <v/>
      </c>
      <c r="W131" s="529" t="str">
        <f t="shared" si="11"/>
        <v/>
      </c>
      <c r="X131" s="149"/>
      <c r="Y131" s="150"/>
      <c r="AG131" s="31" t="str">
        <f>IFERROR(INDEX('G-6 Hedgerow Data'!$BJ$3:$BJ$15,MATCH(D131,'G-6 Hedgerow Data'!$B$3:$B$15,0)),"")</f>
        <v/>
      </c>
    </row>
    <row r="132" spans="2:33" ht="13.8" x14ac:dyDescent="0.25">
      <c r="B132" s="141">
        <v>121</v>
      </c>
      <c r="C132" s="205"/>
      <c r="D132" s="195"/>
      <c r="E132" s="172"/>
      <c r="F132" s="553" t="str">
        <f>IF(D132="","",VLOOKUP(D132,'G-6 Hedgerow Data'!$B$2:$AG$15,2,FALSE))</f>
        <v/>
      </c>
      <c r="G132" s="499" t="str">
        <f>IF(D132="","",VLOOKUP(D132,'G-6 Hedgerow Data'!$B$2:$AG$15,3,FALSE))</f>
        <v/>
      </c>
      <c r="H132" s="145"/>
      <c r="I132" s="499" t="str">
        <f>IFERROR(VLOOKUP(H132,'G-1 All Habitats'!$Z$2:$AA$9,2,FALSE),"")</f>
        <v/>
      </c>
      <c r="J132" s="145"/>
      <c r="K132" s="520" t="str">
        <f>IF(J132="","",IF(VLOOKUP(J132,'G-3 Multipliers'!$L$3:$N$6,2,FALSE)=0,"Spatial Data Missing ⚠",VLOOKUP(J132,'G-3 Multipliers'!$L$3:$N$6,2,FALSE)))</f>
        <v/>
      </c>
      <c r="L132" s="505" t="str">
        <f>IF(J132="","",IF(VLOOKUP(J132,'G-3 Multipliers'!$L$3:$N$6,3,FALSE)=0,"Spatial Data Missing ⚠",VLOOKUP(J132,'G-3 Multipliers'!$L$3:$N$6,3,FALSE)))</f>
        <v/>
      </c>
      <c r="M132" s="498" t="str">
        <f>IF(OR(D132="",H132=""),"",(INDEX('G-6 Hedgerow Data'!$E$3:$I$15,MATCH(D132,'G-6 Hedgerow Data'!$B$3:$B$15,0),MATCH(H132,'G-6 Hedgerow Data'!$E$2:$I$2,0))))</f>
        <v/>
      </c>
      <c r="N132" s="195"/>
      <c r="O132" s="195"/>
      <c r="P132" s="507" t="str">
        <f t="shared" si="7"/>
        <v/>
      </c>
      <c r="Q132" s="521" t="str">
        <f t="shared" si="8"/>
        <v/>
      </c>
      <c r="R132" s="522" t="str">
        <f t="shared" si="6"/>
        <v/>
      </c>
      <c r="S132" s="537" t="str">
        <f>IF(D132="","",VLOOKUP(D132,'G-6 Hedgerow Data'!$B$3:$AG$15,31,FALSE))</f>
        <v/>
      </c>
      <c r="T132" s="507" t="str">
        <f t="shared" si="9"/>
        <v/>
      </c>
      <c r="U132" s="507" t="str">
        <f t="shared" si="10"/>
        <v/>
      </c>
      <c r="V132" s="524" t="str">
        <f>IF(D132="","",VLOOKUP(S132,'G-3 Multipliers'!$P$3:$Q$6,2,FALSE))</f>
        <v/>
      </c>
      <c r="W132" s="529" t="str">
        <f t="shared" si="11"/>
        <v/>
      </c>
      <c r="X132" s="149"/>
      <c r="Y132" s="150"/>
      <c r="AG132" s="31" t="str">
        <f>IFERROR(INDEX('G-6 Hedgerow Data'!$BJ$3:$BJ$15,MATCH(D132,'G-6 Hedgerow Data'!$B$3:$B$15,0)),"")</f>
        <v/>
      </c>
    </row>
    <row r="133" spans="2:33" ht="13.8" x14ac:dyDescent="0.25">
      <c r="B133" s="141">
        <v>122</v>
      </c>
      <c r="C133" s="205"/>
      <c r="D133" s="195"/>
      <c r="E133" s="172"/>
      <c r="F133" s="553" t="str">
        <f>IF(D133="","",VLOOKUP(D133,'G-6 Hedgerow Data'!$B$2:$AG$15,2,FALSE))</f>
        <v/>
      </c>
      <c r="G133" s="499" t="str">
        <f>IF(D133="","",VLOOKUP(D133,'G-6 Hedgerow Data'!$B$2:$AG$15,3,FALSE))</f>
        <v/>
      </c>
      <c r="H133" s="145"/>
      <c r="I133" s="499" t="str">
        <f>IFERROR(VLOOKUP(H133,'G-1 All Habitats'!$Z$2:$AA$9,2,FALSE),"")</f>
        <v/>
      </c>
      <c r="J133" s="145"/>
      <c r="K133" s="520" t="str">
        <f>IF(J133="","",IF(VLOOKUP(J133,'G-3 Multipliers'!$L$3:$N$6,2,FALSE)=0,"Spatial Data Missing ⚠",VLOOKUP(J133,'G-3 Multipliers'!$L$3:$N$6,2,FALSE)))</f>
        <v/>
      </c>
      <c r="L133" s="505" t="str">
        <f>IF(J133="","",IF(VLOOKUP(J133,'G-3 Multipliers'!$L$3:$N$6,3,FALSE)=0,"Spatial Data Missing ⚠",VLOOKUP(J133,'G-3 Multipliers'!$L$3:$N$6,3,FALSE)))</f>
        <v/>
      </c>
      <c r="M133" s="498" t="str">
        <f>IF(OR(D133="",H133=""),"",(INDEX('G-6 Hedgerow Data'!$E$3:$I$15,MATCH(D133,'G-6 Hedgerow Data'!$B$3:$B$15,0),MATCH(H133,'G-6 Hedgerow Data'!$E$2:$I$2,0))))</f>
        <v/>
      </c>
      <c r="N133" s="195"/>
      <c r="O133" s="195"/>
      <c r="P133" s="507" t="str">
        <f t="shared" si="7"/>
        <v/>
      </c>
      <c r="Q133" s="521" t="str">
        <f t="shared" si="8"/>
        <v/>
      </c>
      <c r="R133" s="522" t="str">
        <f t="shared" si="6"/>
        <v/>
      </c>
      <c r="S133" s="537" t="str">
        <f>IF(D133="","",VLOOKUP(D133,'G-6 Hedgerow Data'!$B$3:$AG$15,31,FALSE))</f>
        <v/>
      </c>
      <c r="T133" s="507" t="str">
        <f t="shared" si="9"/>
        <v/>
      </c>
      <c r="U133" s="507" t="str">
        <f t="shared" si="10"/>
        <v/>
      </c>
      <c r="V133" s="524" t="str">
        <f>IF(D133="","",VLOOKUP(S133,'G-3 Multipliers'!$P$3:$Q$6,2,FALSE))</f>
        <v/>
      </c>
      <c r="W133" s="529" t="str">
        <f t="shared" si="11"/>
        <v/>
      </c>
      <c r="X133" s="149"/>
      <c r="Y133" s="150"/>
      <c r="AG133" s="31" t="str">
        <f>IFERROR(INDEX('G-6 Hedgerow Data'!$BJ$3:$BJ$15,MATCH(D133,'G-6 Hedgerow Data'!$B$3:$B$15,0)),"")</f>
        <v/>
      </c>
    </row>
    <row r="134" spans="2:33" ht="13.8" x14ac:dyDescent="0.25">
      <c r="B134" s="141">
        <v>123</v>
      </c>
      <c r="C134" s="205"/>
      <c r="D134" s="195"/>
      <c r="E134" s="172"/>
      <c r="F134" s="553" t="str">
        <f>IF(D134="","",VLOOKUP(D134,'G-6 Hedgerow Data'!$B$2:$AG$15,2,FALSE))</f>
        <v/>
      </c>
      <c r="G134" s="499" t="str">
        <f>IF(D134="","",VLOOKUP(D134,'G-6 Hedgerow Data'!$B$2:$AG$15,3,FALSE))</f>
        <v/>
      </c>
      <c r="H134" s="145"/>
      <c r="I134" s="499" t="str">
        <f>IFERROR(VLOOKUP(H134,'G-1 All Habitats'!$Z$2:$AA$9,2,FALSE),"")</f>
        <v/>
      </c>
      <c r="J134" s="145"/>
      <c r="K134" s="520" t="str">
        <f>IF(J134="","",IF(VLOOKUP(J134,'G-3 Multipliers'!$L$3:$N$6,2,FALSE)=0,"Spatial Data Missing ⚠",VLOOKUP(J134,'G-3 Multipliers'!$L$3:$N$6,2,FALSE)))</f>
        <v/>
      </c>
      <c r="L134" s="505" t="str">
        <f>IF(J134="","",IF(VLOOKUP(J134,'G-3 Multipliers'!$L$3:$N$6,3,FALSE)=0,"Spatial Data Missing ⚠",VLOOKUP(J134,'G-3 Multipliers'!$L$3:$N$6,3,FALSE)))</f>
        <v/>
      </c>
      <c r="M134" s="498" t="str">
        <f>IF(OR(D134="",H134=""),"",(INDEX('G-6 Hedgerow Data'!$E$3:$I$15,MATCH(D134,'G-6 Hedgerow Data'!$B$3:$B$15,0),MATCH(H134,'G-6 Hedgerow Data'!$E$2:$I$2,0))))</f>
        <v/>
      </c>
      <c r="N134" s="195"/>
      <c r="O134" s="195"/>
      <c r="P134" s="507" t="str">
        <f t="shared" si="7"/>
        <v/>
      </c>
      <c r="Q134" s="521" t="str">
        <f t="shared" si="8"/>
        <v/>
      </c>
      <c r="R134" s="522" t="str">
        <f t="shared" si="6"/>
        <v/>
      </c>
      <c r="S134" s="537" t="str">
        <f>IF(D134="","",VLOOKUP(D134,'G-6 Hedgerow Data'!$B$3:$AG$15,31,FALSE))</f>
        <v/>
      </c>
      <c r="T134" s="507" t="str">
        <f t="shared" si="9"/>
        <v/>
      </c>
      <c r="U134" s="507" t="str">
        <f t="shared" si="10"/>
        <v/>
      </c>
      <c r="V134" s="524" t="str">
        <f>IF(D134="","",VLOOKUP(S134,'G-3 Multipliers'!$P$3:$Q$6,2,FALSE))</f>
        <v/>
      </c>
      <c r="W134" s="529" t="str">
        <f t="shared" si="11"/>
        <v/>
      </c>
      <c r="X134" s="149"/>
      <c r="Y134" s="150"/>
      <c r="AG134" s="31" t="str">
        <f>IFERROR(INDEX('G-6 Hedgerow Data'!$BJ$3:$BJ$15,MATCH(D134,'G-6 Hedgerow Data'!$B$3:$B$15,0)),"")</f>
        <v/>
      </c>
    </row>
    <row r="135" spans="2:33" ht="13.8" x14ac:dyDescent="0.25">
      <c r="B135" s="141">
        <v>124</v>
      </c>
      <c r="C135" s="205"/>
      <c r="D135" s="195"/>
      <c r="E135" s="172"/>
      <c r="F135" s="553" t="str">
        <f>IF(D135="","",VLOOKUP(D135,'G-6 Hedgerow Data'!$B$2:$AG$15,2,FALSE))</f>
        <v/>
      </c>
      <c r="G135" s="499" t="str">
        <f>IF(D135="","",VLOOKUP(D135,'G-6 Hedgerow Data'!$B$2:$AG$15,3,FALSE))</f>
        <v/>
      </c>
      <c r="H135" s="145"/>
      <c r="I135" s="499" t="str">
        <f>IFERROR(VLOOKUP(H135,'G-1 All Habitats'!$Z$2:$AA$9,2,FALSE),"")</f>
        <v/>
      </c>
      <c r="J135" s="145"/>
      <c r="K135" s="520" t="str">
        <f>IF(J135="","",IF(VLOOKUP(J135,'G-3 Multipliers'!$L$3:$N$6,2,FALSE)=0,"Spatial Data Missing ⚠",VLOOKUP(J135,'G-3 Multipliers'!$L$3:$N$6,2,FALSE)))</f>
        <v/>
      </c>
      <c r="L135" s="505" t="str">
        <f>IF(J135="","",IF(VLOOKUP(J135,'G-3 Multipliers'!$L$3:$N$6,3,FALSE)=0,"Spatial Data Missing ⚠",VLOOKUP(J135,'G-3 Multipliers'!$L$3:$N$6,3,FALSE)))</f>
        <v/>
      </c>
      <c r="M135" s="498" t="str">
        <f>IF(OR(D135="",H135=""),"",(INDEX('G-6 Hedgerow Data'!$E$3:$I$15,MATCH(D135,'G-6 Hedgerow Data'!$B$3:$B$15,0),MATCH(H135,'G-6 Hedgerow Data'!$E$2:$I$2,0))))</f>
        <v/>
      </c>
      <c r="N135" s="195"/>
      <c r="O135" s="195"/>
      <c r="P135" s="507" t="str">
        <f t="shared" si="7"/>
        <v/>
      </c>
      <c r="Q135" s="521" t="str">
        <f t="shared" si="8"/>
        <v/>
      </c>
      <c r="R135" s="522" t="str">
        <f t="shared" si="6"/>
        <v/>
      </c>
      <c r="S135" s="537" t="str">
        <f>IF(D135="","",VLOOKUP(D135,'G-6 Hedgerow Data'!$B$3:$AG$15,31,FALSE))</f>
        <v/>
      </c>
      <c r="T135" s="507" t="str">
        <f t="shared" si="9"/>
        <v/>
      </c>
      <c r="U135" s="507" t="str">
        <f t="shared" si="10"/>
        <v/>
      </c>
      <c r="V135" s="524" t="str">
        <f>IF(D135="","",VLOOKUP(S135,'G-3 Multipliers'!$P$3:$Q$6,2,FALSE))</f>
        <v/>
      </c>
      <c r="W135" s="529" t="str">
        <f t="shared" si="11"/>
        <v/>
      </c>
      <c r="X135" s="149"/>
      <c r="Y135" s="150"/>
      <c r="AG135" s="31" t="str">
        <f>IFERROR(INDEX('G-6 Hedgerow Data'!$BJ$3:$BJ$15,MATCH(D135,'G-6 Hedgerow Data'!$B$3:$B$15,0)),"")</f>
        <v/>
      </c>
    </row>
    <row r="136" spans="2:33" ht="13.8" x14ac:dyDescent="0.25">
      <c r="B136" s="141">
        <v>125</v>
      </c>
      <c r="C136" s="205"/>
      <c r="D136" s="195"/>
      <c r="E136" s="172"/>
      <c r="F136" s="553" t="str">
        <f>IF(D136="","",VLOOKUP(D136,'G-6 Hedgerow Data'!$B$2:$AG$15,2,FALSE))</f>
        <v/>
      </c>
      <c r="G136" s="499" t="str">
        <f>IF(D136="","",VLOOKUP(D136,'G-6 Hedgerow Data'!$B$2:$AG$15,3,FALSE))</f>
        <v/>
      </c>
      <c r="H136" s="145"/>
      <c r="I136" s="499" t="str">
        <f>IFERROR(VLOOKUP(H136,'G-1 All Habitats'!$Z$2:$AA$9,2,FALSE),"")</f>
        <v/>
      </c>
      <c r="J136" s="145"/>
      <c r="K136" s="520" t="str">
        <f>IF(J136="","",IF(VLOOKUP(J136,'G-3 Multipliers'!$L$3:$N$6,2,FALSE)=0,"Spatial Data Missing ⚠",VLOOKUP(J136,'G-3 Multipliers'!$L$3:$N$6,2,FALSE)))</f>
        <v/>
      </c>
      <c r="L136" s="505" t="str">
        <f>IF(J136="","",IF(VLOOKUP(J136,'G-3 Multipliers'!$L$3:$N$6,3,FALSE)=0,"Spatial Data Missing ⚠",VLOOKUP(J136,'G-3 Multipliers'!$L$3:$N$6,3,FALSE)))</f>
        <v/>
      </c>
      <c r="M136" s="498" t="str">
        <f>IF(OR(D136="",H136=""),"",(INDEX('G-6 Hedgerow Data'!$E$3:$I$15,MATCH(D136,'G-6 Hedgerow Data'!$B$3:$B$15,0),MATCH(H136,'G-6 Hedgerow Data'!$E$2:$I$2,0))))</f>
        <v/>
      </c>
      <c r="N136" s="195"/>
      <c r="O136" s="195"/>
      <c r="P136" s="507" t="str">
        <f t="shared" si="7"/>
        <v/>
      </c>
      <c r="Q136" s="521" t="str">
        <f t="shared" si="8"/>
        <v/>
      </c>
      <c r="R136" s="522" t="str">
        <f t="shared" si="6"/>
        <v/>
      </c>
      <c r="S136" s="537" t="str">
        <f>IF(D136="","",VLOOKUP(D136,'G-6 Hedgerow Data'!$B$3:$AG$15,31,FALSE))</f>
        <v/>
      </c>
      <c r="T136" s="507" t="str">
        <f t="shared" si="9"/>
        <v/>
      </c>
      <c r="U136" s="507" t="str">
        <f t="shared" si="10"/>
        <v/>
      </c>
      <c r="V136" s="524" t="str">
        <f>IF(D136="","",VLOOKUP(S136,'G-3 Multipliers'!$P$3:$Q$6,2,FALSE))</f>
        <v/>
      </c>
      <c r="W136" s="529" t="str">
        <f t="shared" si="11"/>
        <v/>
      </c>
      <c r="X136" s="149"/>
      <c r="Y136" s="150"/>
      <c r="AG136" s="31" t="str">
        <f>IFERROR(INDEX('G-6 Hedgerow Data'!$BJ$3:$BJ$15,MATCH(D136,'G-6 Hedgerow Data'!$B$3:$B$15,0)),"")</f>
        <v/>
      </c>
    </row>
    <row r="137" spans="2:33" ht="13.8" x14ac:dyDescent="0.25">
      <c r="B137" s="141">
        <v>126</v>
      </c>
      <c r="C137" s="205"/>
      <c r="D137" s="195"/>
      <c r="E137" s="172"/>
      <c r="F137" s="553" t="str">
        <f>IF(D137="","",VLOOKUP(D137,'G-6 Hedgerow Data'!$B$2:$AG$15,2,FALSE))</f>
        <v/>
      </c>
      <c r="G137" s="499" t="str">
        <f>IF(D137="","",VLOOKUP(D137,'G-6 Hedgerow Data'!$B$2:$AG$15,3,FALSE))</f>
        <v/>
      </c>
      <c r="H137" s="145"/>
      <c r="I137" s="499" t="str">
        <f>IFERROR(VLOOKUP(H137,'G-1 All Habitats'!$Z$2:$AA$9,2,FALSE),"")</f>
        <v/>
      </c>
      <c r="J137" s="145"/>
      <c r="K137" s="520" t="str">
        <f>IF(J137="","",IF(VLOOKUP(J137,'G-3 Multipliers'!$L$3:$N$6,2,FALSE)=0,"Spatial Data Missing ⚠",VLOOKUP(J137,'G-3 Multipliers'!$L$3:$N$6,2,FALSE)))</f>
        <v/>
      </c>
      <c r="L137" s="505" t="str">
        <f>IF(J137="","",IF(VLOOKUP(J137,'G-3 Multipliers'!$L$3:$N$6,3,FALSE)=0,"Spatial Data Missing ⚠",VLOOKUP(J137,'G-3 Multipliers'!$L$3:$N$6,3,FALSE)))</f>
        <v/>
      </c>
      <c r="M137" s="498" t="str">
        <f>IF(OR(D137="",H137=""),"",(INDEX('G-6 Hedgerow Data'!$E$3:$I$15,MATCH(D137,'G-6 Hedgerow Data'!$B$3:$B$15,0),MATCH(H137,'G-6 Hedgerow Data'!$E$2:$I$2,0))))</f>
        <v/>
      </c>
      <c r="N137" s="195"/>
      <c r="O137" s="195"/>
      <c r="P137" s="507" t="str">
        <f t="shared" si="7"/>
        <v/>
      </c>
      <c r="Q137" s="521" t="str">
        <f t="shared" si="8"/>
        <v/>
      </c>
      <c r="R137" s="522" t="str">
        <f t="shared" si="6"/>
        <v/>
      </c>
      <c r="S137" s="537" t="str">
        <f>IF(D137="","",VLOOKUP(D137,'G-6 Hedgerow Data'!$B$3:$AG$15,31,FALSE))</f>
        <v/>
      </c>
      <c r="T137" s="507" t="str">
        <f t="shared" si="9"/>
        <v/>
      </c>
      <c r="U137" s="507" t="str">
        <f t="shared" si="10"/>
        <v/>
      </c>
      <c r="V137" s="524" t="str">
        <f>IF(D137="","",VLOOKUP(S137,'G-3 Multipliers'!$P$3:$Q$6,2,FALSE))</f>
        <v/>
      </c>
      <c r="W137" s="529" t="str">
        <f t="shared" si="11"/>
        <v/>
      </c>
      <c r="X137" s="149"/>
      <c r="Y137" s="150"/>
      <c r="AG137" s="31" t="str">
        <f>IFERROR(INDEX('G-6 Hedgerow Data'!$BJ$3:$BJ$15,MATCH(D137,'G-6 Hedgerow Data'!$B$3:$B$15,0)),"")</f>
        <v/>
      </c>
    </row>
    <row r="138" spans="2:33" ht="13.8" x14ac:dyDescent="0.25">
      <c r="B138" s="141">
        <v>127</v>
      </c>
      <c r="C138" s="205"/>
      <c r="D138" s="195"/>
      <c r="E138" s="172"/>
      <c r="F138" s="553" t="str">
        <f>IF(D138="","",VLOOKUP(D138,'G-6 Hedgerow Data'!$B$2:$AG$15,2,FALSE))</f>
        <v/>
      </c>
      <c r="G138" s="499" t="str">
        <f>IF(D138="","",VLOOKUP(D138,'G-6 Hedgerow Data'!$B$2:$AG$15,3,FALSE))</f>
        <v/>
      </c>
      <c r="H138" s="145"/>
      <c r="I138" s="499" t="str">
        <f>IFERROR(VLOOKUP(H138,'G-1 All Habitats'!$Z$2:$AA$9,2,FALSE),"")</f>
        <v/>
      </c>
      <c r="J138" s="145"/>
      <c r="K138" s="520" t="str">
        <f>IF(J138="","",IF(VLOOKUP(J138,'G-3 Multipliers'!$L$3:$N$6,2,FALSE)=0,"Spatial Data Missing ⚠",VLOOKUP(J138,'G-3 Multipliers'!$L$3:$N$6,2,FALSE)))</f>
        <v/>
      </c>
      <c r="L138" s="505" t="str">
        <f>IF(J138="","",IF(VLOOKUP(J138,'G-3 Multipliers'!$L$3:$N$6,3,FALSE)=0,"Spatial Data Missing ⚠",VLOOKUP(J138,'G-3 Multipliers'!$L$3:$N$6,3,FALSE)))</f>
        <v/>
      </c>
      <c r="M138" s="498" t="str">
        <f>IF(OR(D138="",H138=""),"",(INDEX('G-6 Hedgerow Data'!$E$3:$I$15,MATCH(D138,'G-6 Hedgerow Data'!$B$3:$B$15,0),MATCH(H138,'G-6 Hedgerow Data'!$E$2:$I$2,0))))</f>
        <v/>
      </c>
      <c r="N138" s="195"/>
      <c r="O138" s="195"/>
      <c r="P138" s="507" t="str">
        <f t="shared" si="7"/>
        <v/>
      </c>
      <c r="Q138" s="521" t="str">
        <f t="shared" si="8"/>
        <v/>
      </c>
      <c r="R138" s="522" t="str">
        <f t="shared" si="6"/>
        <v/>
      </c>
      <c r="S138" s="537" t="str">
        <f>IF(D138="","",VLOOKUP(D138,'G-6 Hedgerow Data'!$B$3:$AG$15,31,FALSE))</f>
        <v/>
      </c>
      <c r="T138" s="507" t="str">
        <f t="shared" si="9"/>
        <v/>
      </c>
      <c r="U138" s="507" t="str">
        <f t="shared" si="10"/>
        <v/>
      </c>
      <c r="V138" s="524" t="str">
        <f>IF(D138="","",VLOOKUP(S138,'G-3 Multipliers'!$P$3:$Q$6,2,FALSE))</f>
        <v/>
      </c>
      <c r="W138" s="529" t="str">
        <f t="shared" si="11"/>
        <v/>
      </c>
      <c r="X138" s="149"/>
      <c r="Y138" s="150"/>
      <c r="AG138" s="31" t="str">
        <f>IFERROR(INDEX('G-6 Hedgerow Data'!$BJ$3:$BJ$15,MATCH(D138,'G-6 Hedgerow Data'!$B$3:$B$15,0)),"")</f>
        <v/>
      </c>
    </row>
    <row r="139" spans="2:33" ht="13.8" x14ac:dyDescent="0.25">
      <c r="B139" s="141">
        <v>128</v>
      </c>
      <c r="C139" s="205"/>
      <c r="D139" s="195"/>
      <c r="E139" s="172"/>
      <c r="F139" s="553" t="str">
        <f>IF(D139="","",VLOOKUP(D139,'G-6 Hedgerow Data'!$B$2:$AG$15,2,FALSE))</f>
        <v/>
      </c>
      <c r="G139" s="499" t="str">
        <f>IF(D139="","",VLOOKUP(D139,'G-6 Hedgerow Data'!$B$2:$AG$15,3,FALSE))</f>
        <v/>
      </c>
      <c r="H139" s="145"/>
      <c r="I139" s="499" t="str">
        <f>IFERROR(VLOOKUP(H139,'G-1 All Habitats'!$Z$2:$AA$9,2,FALSE),"")</f>
        <v/>
      </c>
      <c r="J139" s="145"/>
      <c r="K139" s="520" t="str">
        <f>IF(J139="","",IF(VLOOKUP(J139,'G-3 Multipliers'!$L$3:$N$6,2,FALSE)=0,"Spatial Data Missing ⚠",VLOOKUP(J139,'G-3 Multipliers'!$L$3:$N$6,2,FALSE)))</f>
        <v/>
      </c>
      <c r="L139" s="505" t="str">
        <f>IF(J139="","",IF(VLOOKUP(J139,'G-3 Multipliers'!$L$3:$N$6,3,FALSE)=0,"Spatial Data Missing ⚠",VLOOKUP(J139,'G-3 Multipliers'!$L$3:$N$6,3,FALSE)))</f>
        <v/>
      </c>
      <c r="M139" s="498" t="str">
        <f>IF(OR(D139="",H139=""),"",(INDEX('G-6 Hedgerow Data'!$E$3:$I$15,MATCH(D139,'G-6 Hedgerow Data'!$B$3:$B$15,0),MATCH(H139,'G-6 Hedgerow Data'!$E$2:$I$2,0))))</f>
        <v/>
      </c>
      <c r="N139" s="195"/>
      <c r="O139" s="195"/>
      <c r="P139" s="507" t="str">
        <f t="shared" si="7"/>
        <v/>
      </c>
      <c r="Q139" s="521" t="str">
        <f t="shared" si="8"/>
        <v/>
      </c>
      <c r="R139" s="522" t="str">
        <f t="shared" si="6"/>
        <v/>
      </c>
      <c r="S139" s="537" t="str">
        <f>IF(D139="","",VLOOKUP(D139,'G-6 Hedgerow Data'!$B$3:$AG$15,31,FALSE))</f>
        <v/>
      </c>
      <c r="T139" s="507" t="str">
        <f t="shared" si="9"/>
        <v/>
      </c>
      <c r="U139" s="507" t="str">
        <f t="shared" si="10"/>
        <v/>
      </c>
      <c r="V139" s="524" t="str">
        <f>IF(D139="","",VLOOKUP(S139,'G-3 Multipliers'!$P$3:$Q$6,2,FALSE))</f>
        <v/>
      </c>
      <c r="W139" s="529" t="str">
        <f t="shared" si="11"/>
        <v/>
      </c>
      <c r="X139" s="149"/>
      <c r="Y139" s="150"/>
      <c r="AG139" s="31" t="str">
        <f>IFERROR(INDEX('G-6 Hedgerow Data'!$BJ$3:$BJ$15,MATCH(D139,'G-6 Hedgerow Data'!$B$3:$B$15,0)),"")</f>
        <v/>
      </c>
    </row>
    <row r="140" spans="2:33" ht="13.8" x14ac:dyDescent="0.25">
      <c r="B140" s="141">
        <v>129</v>
      </c>
      <c r="C140" s="205"/>
      <c r="D140" s="195"/>
      <c r="E140" s="172"/>
      <c r="F140" s="553" t="str">
        <f>IF(D140="","",VLOOKUP(D140,'G-6 Hedgerow Data'!$B$2:$AG$15,2,FALSE))</f>
        <v/>
      </c>
      <c r="G140" s="499" t="str">
        <f>IF(D140="","",VLOOKUP(D140,'G-6 Hedgerow Data'!$B$2:$AG$15,3,FALSE))</f>
        <v/>
      </c>
      <c r="H140" s="145"/>
      <c r="I140" s="499" t="str">
        <f>IFERROR(VLOOKUP(H140,'G-1 All Habitats'!$Z$2:$AA$9,2,FALSE),"")</f>
        <v/>
      </c>
      <c r="J140" s="145"/>
      <c r="K140" s="520" t="str">
        <f>IF(J140="","",IF(VLOOKUP(J140,'G-3 Multipliers'!$L$3:$N$6,2,FALSE)=0,"Spatial Data Missing ⚠",VLOOKUP(J140,'G-3 Multipliers'!$L$3:$N$6,2,FALSE)))</f>
        <v/>
      </c>
      <c r="L140" s="505" t="str">
        <f>IF(J140="","",IF(VLOOKUP(J140,'G-3 Multipliers'!$L$3:$N$6,3,FALSE)=0,"Spatial Data Missing ⚠",VLOOKUP(J140,'G-3 Multipliers'!$L$3:$N$6,3,FALSE)))</f>
        <v/>
      </c>
      <c r="M140" s="498" t="str">
        <f>IF(OR(D140="",H140=""),"",(INDEX('G-6 Hedgerow Data'!$E$3:$I$15,MATCH(D140,'G-6 Hedgerow Data'!$B$3:$B$15,0),MATCH(H140,'G-6 Hedgerow Data'!$E$2:$I$2,0))))</f>
        <v/>
      </c>
      <c r="N140" s="195"/>
      <c r="O140" s="195"/>
      <c r="P140" s="507" t="str">
        <f t="shared" si="7"/>
        <v/>
      </c>
      <c r="Q140" s="521" t="str">
        <f t="shared" si="8"/>
        <v/>
      </c>
      <c r="R140" s="522" t="str">
        <f t="shared" ref="R140:R203" si="12">IF(M140="","",IF(LEFT(P140,5)="Error ▲","Check Data ⚠",VLOOKUP(Q140,TemporalMultipliers,3,FALSE)))</f>
        <v/>
      </c>
      <c r="S140" s="537" t="str">
        <f>IF(D140="","",VLOOKUP(D140,'G-6 Hedgerow Data'!$B$3:$AG$15,31,FALSE))</f>
        <v/>
      </c>
      <c r="T140" s="507" t="str">
        <f t="shared" si="9"/>
        <v/>
      </c>
      <c r="U140" s="507" t="str">
        <f t="shared" si="10"/>
        <v/>
      </c>
      <c r="V140" s="524" t="str">
        <f>IF(D140="","",VLOOKUP(S140,'G-3 Multipliers'!$P$3:$Q$6,2,FALSE))</f>
        <v/>
      </c>
      <c r="W140" s="529" t="str">
        <f t="shared" si="11"/>
        <v/>
      </c>
      <c r="X140" s="149"/>
      <c r="Y140" s="150"/>
      <c r="AG140" s="31" t="str">
        <f>IFERROR(INDEX('G-6 Hedgerow Data'!$BJ$3:$BJ$15,MATCH(D140,'G-6 Hedgerow Data'!$B$3:$B$15,0)),"")</f>
        <v/>
      </c>
    </row>
    <row r="141" spans="2:33" ht="13.8" x14ac:dyDescent="0.25">
      <c r="B141" s="141">
        <v>130</v>
      </c>
      <c r="C141" s="205"/>
      <c r="D141" s="195"/>
      <c r="E141" s="172"/>
      <c r="F141" s="553" t="str">
        <f>IF(D141="","",VLOOKUP(D141,'G-6 Hedgerow Data'!$B$2:$AG$15,2,FALSE))</f>
        <v/>
      </c>
      <c r="G141" s="499" t="str">
        <f>IF(D141="","",VLOOKUP(D141,'G-6 Hedgerow Data'!$B$2:$AG$15,3,FALSE))</f>
        <v/>
      </c>
      <c r="H141" s="145"/>
      <c r="I141" s="499" t="str">
        <f>IFERROR(VLOOKUP(H141,'G-1 All Habitats'!$Z$2:$AA$9,2,FALSE),"")</f>
        <v/>
      </c>
      <c r="J141" s="145"/>
      <c r="K141" s="520" t="str">
        <f>IF(J141="","",IF(VLOOKUP(J141,'G-3 Multipliers'!$L$3:$N$6,2,FALSE)=0,"Spatial Data Missing ⚠",VLOOKUP(J141,'G-3 Multipliers'!$L$3:$N$6,2,FALSE)))</f>
        <v/>
      </c>
      <c r="L141" s="505" t="str">
        <f>IF(J141="","",IF(VLOOKUP(J141,'G-3 Multipliers'!$L$3:$N$6,3,FALSE)=0,"Spatial Data Missing ⚠",VLOOKUP(J141,'G-3 Multipliers'!$L$3:$N$6,3,FALSE)))</f>
        <v/>
      </c>
      <c r="M141" s="498" t="str">
        <f>IF(OR(D141="",H141=""),"",(INDEX('G-6 Hedgerow Data'!$E$3:$I$15,MATCH(D141,'G-6 Hedgerow Data'!$B$3:$B$15,0),MATCH(H141,'G-6 Hedgerow Data'!$E$2:$I$2,0))))</f>
        <v/>
      </c>
      <c r="N141" s="195"/>
      <c r="O141" s="195"/>
      <c r="P141" s="507"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521" t="str">
        <f t="shared" ref="Q141:Q204" si="14">IF(M141="","",IF(LEFT(P141,5)="Error ▲","Check Data ⚠",IF(OR(N141="30+",N141="Habitat already in target condition"),0,IF(O141="30+","30+ ⚠",IF(AND(M141="30+ ⚠",OR(N141="",N141=0)),"30+ ⚠",IF(AND(M141="30+ ⚠",N141&gt;0),32-N141,IF(M141+O141&gt;30,"30+ ⚠",IF(M141+O141-N141&gt;0,M141+O141-N141,IF(M141-N141&lt;0,0,M141+O141-N141)))))))))</f>
        <v/>
      </c>
      <c r="R141" s="522" t="str">
        <f t="shared" si="12"/>
        <v/>
      </c>
      <c r="S141" s="537" t="str">
        <f>IF(D141="","",VLOOKUP(D141,'G-6 Hedgerow Data'!$B$3:$AG$15,31,FALSE))</f>
        <v/>
      </c>
      <c r="T141" s="507" t="str">
        <f t="shared" ref="T141:T204" si="15">IF(D141="","",IF(Q141="Check Data ⚠","Check Data ⚠",IF(H141="","",IF($P141="Check details - Is there evidence that habitat has reached target condition? ⚠","Low Difficulty - only applicable if all habitat created before losses ⚠","Standard difficulty applied"))))</f>
        <v/>
      </c>
      <c r="U141" s="507" t="str">
        <f t="shared" ref="U141:U204" si="16">(IF(AND(T141="Standard difficulty applied",M141&gt;N141),S141,IF(AND(T141="Low Difficulty - only applicable if all habitat created before losses ⚠",Q141&lt;=0),"Low",S141)))</f>
        <v/>
      </c>
      <c r="V141" s="524" t="str">
        <f>IF(D141="","",VLOOKUP(S141,'G-3 Multipliers'!$P$3:$Q$6,2,FALSE))</f>
        <v/>
      </c>
      <c r="W141" s="529" t="str">
        <f t="shared" ref="W141:W204" si="17">IFERROR(E141*G141*I141*L141*R141*V141,"")</f>
        <v/>
      </c>
      <c r="X141" s="149"/>
      <c r="Y141" s="150"/>
      <c r="AG141" s="31" t="str">
        <f>IFERROR(INDEX('G-6 Hedgerow Data'!$BJ$3:$BJ$15,MATCH(D141,'G-6 Hedgerow Data'!$B$3:$B$15,0)),"")</f>
        <v/>
      </c>
    </row>
    <row r="142" spans="2:33" ht="13.8" x14ac:dyDescent="0.25">
      <c r="B142" s="141">
        <v>131</v>
      </c>
      <c r="C142" s="205"/>
      <c r="D142" s="195"/>
      <c r="E142" s="172"/>
      <c r="F142" s="553" t="str">
        <f>IF(D142="","",VLOOKUP(D142,'G-6 Hedgerow Data'!$B$2:$AG$15,2,FALSE))</f>
        <v/>
      </c>
      <c r="G142" s="499" t="str">
        <f>IF(D142="","",VLOOKUP(D142,'G-6 Hedgerow Data'!$B$2:$AG$15,3,FALSE))</f>
        <v/>
      </c>
      <c r="H142" s="145"/>
      <c r="I142" s="499" t="str">
        <f>IFERROR(VLOOKUP(H142,'G-1 All Habitats'!$Z$2:$AA$9,2,FALSE),"")</f>
        <v/>
      </c>
      <c r="J142" s="145"/>
      <c r="K142" s="520" t="str">
        <f>IF(J142="","",IF(VLOOKUP(J142,'G-3 Multipliers'!$L$3:$N$6,2,FALSE)=0,"Spatial Data Missing ⚠",VLOOKUP(J142,'G-3 Multipliers'!$L$3:$N$6,2,FALSE)))</f>
        <v/>
      </c>
      <c r="L142" s="505" t="str">
        <f>IF(J142="","",IF(VLOOKUP(J142,'G-3 Multipliers'!$L$3:$N$6,3,FALSE)=0,"Spatial Data Missing ⚠",VLOOKUP(J142,'G-3 Multipliers'!$L$3:$N$6,3,FALSE)))</f>
        <v/>
      </c>
      <c r="M142" s="498" t="str">
        <f>IF(OR(D142="",H142=""),"",(INDEX('G-6 Hedgerow Data'!$E$3:$I$15,MATCH(D142,'G-6 Hedgerow Data'!$B$3:$B$15,0),MATCH(H142,'G-6 Hedgerow Data'!$E$2:$I$2,0))))</f>
        <v/>
      </c>
      <c r="N142" s="195"/>
      <c r="O142" s="195"/>
      <c r="P142" s="507" t="str">
        <f t="shared" si="13"/>
        <v/>
      </c>
      <c r="Q142" s="521" t="str">
        <f t="shared" si="14"/>
        <v/>
      </c>
      <c r="R142" s="522" t="str">
        <f t="shared" si="12"/>
        <v/>
      </c>
      <c r="S142" s="537" t="str">
        <f>IF(D142="","",VLOOKUP(D142,'G-6 Hedgerow Data'!$B$3:$AG$15,31,FALSE))</f>
        <v/>
      </c>
      <c r="T142" s="507" t="str">
        <f t="shared" si="15"/>
        <v/>
      </c>
      <c r="U142" s="507" t="str">
        <f t="shared" si="16"/>
        <v/>
      </c>
      <c r="V142" s="524" t="str">
        <f>IF(D142="","",VLOOKUP(S142,'G-3 Multipliers'!$P$3:$Q$6,2,FALSE))</f>
        <v/>
      </c>
      <c r="W142" s="529" t="str">
        <f t="shared" si="17"/>
        <v/>
      </c>
      <c r="X142" s="149"/>
      <c r="Y142" s="150"/>
      <c r="AG142" s="31" t="str">
        <f>IFERROR(INDEX('G-6 Hedgerow Data'!$BJ$3:$BJ$15,MATCH(D142,'G-6 Hedgerow Data'!$B$3:$B$15,0)),"")</f>
        <v/>
      </c>
    </row>
    <row r="143" spans="2:33" ht="13.8" x14ac:dyDescent="0.25">
      <c r="B143" s="141">
        <v>132</v>
      </c>
      <c r="C143" s="205"/>
      <c r="D143" s="195"/>
      <c r="E143" s="172"/>
      <c r="F143" s="553" t="str">
        <f>IF(D143="","",VLOOKUP(D143,'G-6 Hedgerow Data'!$B$2:$AG$15,2,FALSE))</f>
        <v/>
      </c>
      <c r="G143" s="499" t="str">
        <f>IF(D143="","",VLOOKUP(D143,'G-6 Hedgerow Data'!$B$2:$AG$15,3,FALSE))</f>
        <v/>
      </c>
      <c r="H143" s="145"/>
      <c r="I143" s="499" t="str">
        <f>IFERROR(VLOOKUP(H143,'G-1 All Habitats'!$Z$2:$AA$9,2,FALSE),"")</f>
        <v/>
      </c>
      <c r="J143" s="145"/>
      <c r="K143" s="520" t="str">
        <f>IF(J143="","",IF(VLOOKUP(J143,'G-3 Multipliers'!$L$3:$N$6,2,FALSE)=0,"Spatial Data Missing ⚠",VLOOKUP(J143,'G-3 Multipliers'!$L$3:$N$6,2,FALSE)))</f>
        <v/>
      </c>
      <c r="L143" s="505" t="str">
        <f>IF(J143="","",IF(VLOOKUP(J143,'G-3 Multipliers'!$L$3:$N$6,3,FALSE)=0,"Spatial Data Missing ⚠",VLOOKUP(J143,'G-3 Multipliers'!$L$3:$N$6,3,FALSE)))</f>
        <v/>
      </c>
      <c r="M143" s="498" t="str">
        <f>IF(OR(D143="",H143=""),"",(INDEX('G-6 Hedgerow Data'!$E$3:$I$15,MATCH(D143,'G-6 Hedgerow Data'!$B$3:$B$15,0),MATCH(H143,'G-6 Hedgerow Data'!$E$2:$I$2,0))))</f>
        <v/>
      </c>
      <c r="N143" s="195"/>
      <c r="O143" s="195"/>
      <c r="P143" s="507" t="str">
        <f t="shared" si="13"/>
        <v/>
      </c>
      <c r="Q143" s="521" t="str">
        <f t="shared" si="14"/>
        <v/>
      </c>
      <c r="R143" s="522" t="str">
        <f t="shared" si="12"/>
        <v/>
      </c>
      <c r="S143" s="537" t="str">
        <f>IF(D143="","",VLOOKUP(D143,'G-6 Hedgerow Data'!$B$3:$AG$15,31,FALSE))</f>
        <v/>
      </c>
      <c r="T143" s="507" t="str">
        <f t="shared" si="15"/>
        <v/>
      </c>
      <c r="U143" s="507" t="str">
        <f t="shared" si="16"/>
        <v/>
      </c>
      <c r="V143" s="524" t="str">
        <f>IF(D143="","",VLOOKUP(S143,'G-3 Multipliers'!$P$3:$Q$6,2,FALSE))</f>
        <v/>
      </c>
      <c r="W143" s="529" t="str">
        <f t="shared" si="17"/>
        <v/>
      </c>
      <c r="X143" s="149"/>
      <c r="Y143" s="150"/>
      <c r="AG143" s="31" t="str">
        <f>IFERROR(INDEX('G-6 Hedgerow Data'!$BJ$3:$BJ$15,MATCH(D143,'G-6 Hedgerow Data'!$B$3:$B$15,0)),"")</f>
        <v/>
      </c>
    </row>
    <row r="144" spans="2:33" ht="13.8" x14ac:dyDescent="0.25">
      <c r="B144" s="141">
        <v>133</v>
      </c>
      <c r="C144" s="205"/>
      <c r="D144" s="195"/>
      <c r="E144" s="172"/>
      <c r="F144" s="553" t="str">
        <f>IF(D144="","",VLOOKUP(D144,'G-6 Hedgerow Data'!$B$2:$AG$15,2,FALSE))</f>
        <v/>
      </c>
      <c r="G144" s="499" t="str">
        <f>IF(D144="","",VLOOKUP(D144,'G-6 Hedgerow Data'!$B$2:$AG$15,3,FALSE))</f>
        <v/>
      </c>
      <c r="H144" s="145"/>
      <c r="I144" s="499" t="str">
        <f>IFERROR(VLOOKUP(H144,'G-1 All Habitats'!$Z$2:$AA$9,2,FALSE),"")</f>
        <v/>
      </c>
      <c r="J144" s="145"/>
      <c r="K144" s="520" t="str">
        <f>IF(J144="","",IF(VLOOKUP(J144,'G-3 Multipliers'!$L$3:$N$6,2,FALSE)=0,"Spatial Data Missing ⚠",VLOOKUP(J144,'G-3 Multipliers'!$L$3:$N$6,2,FALSE)))</f>
        <v/>
      </c>
      <c r="L144" s="505" t="str">
        <f>IF(J144="","",IF(VLOOKUP(J144,'G-3 Multipliers'!$L$3:$N$6,3,FALSE)=0,"Spatial Data Missing ⚠",VLOOKUP(J144,'G-3 Multipliers'!$L$3:$N$6,3,FALSE)))</f>
        <v/>
      </c>
      <c r="M144" s="498" t="str">
        <f>IF(OR(D144="",H144=""),"",(INDEX('G-6 Hedgerow Data'!$E$3:$I$15,MATCH(D144,'G-6 Hedgerow Data'!$B$3:$B$15,0),MATCH(H144,'G-6 Hedgerow Data'!$E$2:$I$2,0))))</f>
        <v/>
      </c>
      <c r="N144" s="195"/>
      <c r="O144" s="195"/>
      <c r="P144" s="507" t="str">
        <f t="shared" si="13"/>
        <v/>
      </c>
      <c r="Q144" s="521" t="str">
        <f t="shared" si="14"/>
        <v/>
      </c>
      <c r="R144" s="522" t="str">
        <f t="shared" si="12"/>
        <v/>
      </c>
      <c r="S144" s="537" t="str">
        <f>IF(D144="","",VLOOKUP(D144,'G-6 Hedgerow Data'!$B$3:$AG$15,31,FALSE))</f>
        <v/>
      </c>
      <c r="T144" s="507" t="str">
        <f t="shared" si="15"/>
        <v/>
      </c>
      <c r="U144" s="507" t="str">
        <f t="shared" si="16"/>
        <v/>
      </c>
      <c r="V144" s="524" t="str">
        <f>IF(D144="","",VLOOKUP(S144,'G-3 Multipliers'!$P$3:$Q$6,2,FALSE))</f>
        <v/>
      </c>
      <c r="W144" s="529" t="str">
        <f t="shared" si="17"/>
        <v/>
      </c>
      <c r="X144" s="149"/>
      <c r="Y144" s="150"/>
      <c r="AG144" s="31" t="str">
        <f>IFERROR(INDEX('G-6 Hedgerow Data'!$BJ$3:$BJ$15,MATCH(D144,'G-6 Hedgerow Data'!$B$3:$B$15,0)),"")</f>
        <v/>
      </c>
    </row>
    <row r="145" spans="2:33" ht="13.8" x14ac:dyDescent="0.25">
      <c r="B145" s="141">
        <v>134</v>
      </c>
      <c r="C145" s="205"/>
      <c r="D145" s="195"/>
      <c r="E145" s="172"/>
      <c r="F145" s="553" t="str">
        <f>IF(D145="","",VLOOKUP(D145,'G-6 Hedgerow Data'!$B$2:$AG$15,2,FALSE))</f>
        <v/>
      </c>
      <c r="G145" s="499" t="str">
        <f>IF(D145="","",VLOOKUP(D145,'G-6 Hedgerow Data'!$B$2:$AG$15,3,FALSE))</f>
        <v/>
      </c>
      <c r="H145" s="145"/>
      <c r="I145" s="499" t="str">
        <f>IFERROR(VLOOKUP(H145,'G-1 All Habitats'!$Z$2:$AA$9,2,FALSE),"")</f>
        <v/>
      </c>
      <c r="J145" s="145"/>
      <c r="K145" s="520" t="str">
        <f>IF(J145="","",IF(VLOOKUP(J145,'G-3 Multipliers'!$L$3:$N$6,2,FALSE)=0,"Spatial Data Missing ⚠",VLOOKUP(J145,'G-3 Multipliers'!$L$3:$N$6,2,FALSE)))</f>
        <v/>
      </c>
      <c r="L145" s="505" t="str">
        <f>IF(J145="","",IF(VLOOKUP(J145,'G-3 Multipliers'!$L$3:$N$6,3,FALSE)=0,"Spatial Data Missing ⚠",VLOOKUP(J145,'G-3 Multipliers'!$L$3:$N$6,3,FALSE)))</f>
        <v/>
      </c>
      <c r="M145" s="498" t="str">
        <f>IF(OR(D145="",H145=""),"",(INDEX('G-6 Hedgerow Data'!$E$3:$I$15,MATCH(D145,'G-6 Hedgerow Data'!$B$3:$B$15,0),MATCH(H145,'G-6 Hedgerow Data'!$E$2:$I$2,0))))</f>
        <v/>
      </c>
      <c r="N145" s="195"/>
      <c r="O145" s="195"/>
      <c r="P145" s="507" t="str">
        <f t="shared" si="13"/>
        <v/>
      </c>
      <c r="Q145" s="521" t="str">
        <f t="shared" si="14"/>
        <v/>
      </c>
      <c r="R145" s="522" t="str">
        <f t="shared" si="12"/>
        <v/>
      </c>
      <c r="S145" s="537" t="str">
        <f>IF(D145="","",VLOOKUP(D145,'G-6 Hedgerow Data'!$B$3:$AG$15,31,FALSE))</f>
        <v/>
      </c>
      <c r="T145" s="507" t="str">
        <f t="shared" si="15"/>
        <v/>
      </c>
      <c r="U145" s="507" t="str">
        <f t="shared" si="16"/>
        <v/>
      </c>
      <c r="V145" s="524" t="str">
        <f>IF(D145="","",VLOOKUP(S145,'G-3 Multipliers'!$P$3:$Q$6,2,FALSE))</f>
        <v/>
      </c>
      <c r="W145" s="529" t="str">
        <f t="shared" si="17"/>
        <v/>
      </c>
      <c r="X145" s="149"/>
      <c r="Y145" s="150"/>
      <c r="AG145" s="31" t="str">
        <f>IFERROR(INDEX('G-6 Hedgerow Data'!$BJ$3:$BJ$15,MATCH(D145,'G-6 Hedgerow Data'!$B$3:$B$15,0)),"")</f>
        <v/>
      </c>
    </row>
    <row r="146" spans="2:33" ht="13.8" x14ac:dyDescent="0.25">
      <c r="B146" s="141">
        <v>135</v>
      </c>
      <c r="C146" s="205"/>
      <c r="D146" s="195"/>
      <c r="E146" s="172"/>
      <c r="F146" s="553" t="str">
        <f>IF(D146="","",VLOOKUP(D146,'G-6 Hedgerow Data'!$B$2:$AG$15,2,FALSE))</f>
        <v/>
      </c>
      <c r="G146" s="499" t="str">
        <f>IF(D146="","",VLOOKUP(D146,'G-6 Hedgerow Data'!$B$2:$AG$15,3,FALSE))</f>
        <v/>
      </c>
      <c r="H146" s="145"/>
      <c r="I146" s="499" t="str">
        <f>IFERROR(VLOOKUP(H146,'G-1 All Habitats'!$Z$2:$AA$9,2,FALSE),"")</f>
        <v/>
      </c>
      <c r="J146" s="145"/>
      <c r="K146" s="520" t="str">
        <f>IF(J146="","",IF(VLOOKUP(J146,'G-3 Multipliers'!$L$3:$N$6,2,FALSE)=0,"Spatial Data Missing ⚠",VLOOKUP(J146,'G-3 Multipliers'!$L$3:$N$6,2,FALSE)))</f>
        <v/>
      </c>
      <c r="L146" s="505" t="str">
        <f>IF(J146="","",IF(VLOOKUP(J146,'G-3 Multipliers'!$L$3:$N$6,3,FALSE)=0,"Spatial Data Missing ⚠",VLOOKUP(J146,'G-3 Multipliers'!$L$3:$N$6,3,FALSE)))</f>
        <v/>
      </c>
      <c r="M146" s="498" t="str">
        <f>IF(OR(D146="",H146=""),"",(INDEX('G-6 Hedgerow Data'!$E$3:$I$15,MATCH(D146,'G-6 Hedgerow Data'!$B$3:$B$15,0),MATCH(H146,'G-6 Hedgerow Data'!$E$2:$I$2,0))))</f>
        <v/>
      </c>
      <c r="N146" s="195"/>
      <c r="O146" s="195"/>
      <c r="P146" s="507" t="str">
        <f t="shared" si="13"/>
        <v/>
      </c>
      <c r="Q146" s="521" t="str">
        <f t="shared" si="14"/>
        <v/>
      </c>
      <c r="R146" s="522" t="str">
        <f t="shared" si="12"/>
        <v/>
      </c>
      <c r="S146" s="537" t="str">
        <f>IF(D146="","",VLOOKUP(D146,'G-6 Hedgerow Data'!$B$3:$AG$15,31,FALSE))</f>
        <v/>
      </c>
      <c r="T146" s="507" t="str">
        <f t="shared" si="15"/>
        <v/>
      </c>
      <c r="U146" s="507" t="str">
        <f t="shared" si="16"/>
        <v/>
      </c>
      <c r="V146" s="524" t="str">
        <f>IF(D146="","",VLOOKUP(S146,'G-3 Multipliers'!$P$3:$Q$6,2,FALSE))</f>
        <v/>
      </c>
      <c r="W146" s="529" t="str">
        <f t="shared" si="17"/>
        <v/>
      </c>
      <c r="X146" s="149"/>
      <c r="Y146" s="150"/>
      <c r="AG146" s="31" t="str">
        <f>IFERROR(INDEX('G-6 Hedgerow Data'!$BJ$3:$BJ$15,MATCH(D146,'G-6 Hedgerow Data'!$B$3:$B$15,0)),"")</f>
        <v/>
      </c>
    </row>
    <row r="147" spans="2:33" ht="13.8" x14ac:dyDescent="0.25">
      <c r="B147" s="141">
        <v>136</v>
      </c>
      <c r="C147" s="205"/>
      <c r="D147" s="195"/>
      <c r="E147" s="172"/>
      <c r="F147" s="553" t="str">
        <f>IF(D147="","",VLOOKUP(D147,'G-6 Hedgerow Data'!$B$2:$AG$15,2,FALSE))</f>
        <v/>
      </c>
      <c r="G147" s="499" t="str">
        <f>IF(D147="","",VLOOKUP(D147,'G-6 Hedgerow Data'!$B$2:$AG$15,3,FALSE))</f>
        <v/>
      </c>
      <c r="H147" s="145"/>
      <c r="I147" s="499" t="str">
        <f>IFERROR(VLOOKUP(H147,'G-1 All Habitats'!$Z$2:$AA$9,2,FALSE),"")</f>
        <v/>
      </c>
      <c r="J147" s="145"/>
      <c r="K147" s="520" t="str">
        <f>IF(J147="","",IF(VLOOKUP(J147,'G-3 Multipliers'!$L$3:$N$6,2,FALSE)=0,"Spatial Data Missing ⚠",VLOOKUP(J147,'G-3 Multipliers'!$L$3:$N$6,2,FALSE)))</f>
        <v/>
      </c>
      <c r="L147" s="505" t="str">
        <f>IF(J147="","",IF(VLOOKUP(J147,'G-3 Multipliers'!$L$3:$N$6,3,FALSE)=0,"Spatial Data Missing ⚠",VLOOKUP(J147,'G-3 Multipliers'!$L$3:$N$6,3,FALSE)))</f>
        <v/>
      </c>
      <c r="M147" s="498" t="str">
        <f>IF(OR(D147="",H147=""),"",(INDEX('G-6 Hedgerow Data'!$E$3:$I$15,MATCH(D147,'G-6 Hedgerow Data'!$B$3:$B$15,0),MATCH(H147,'G-6 Hedgerow Data'!$E$2:$I$2,0))))</f>
        <v/>
      </c>
      <c r="N147" s="195"/>
      <c r="O147" s="195"/>
      <c r="P147" s="507" t="str">
        <f t="shared" si="13"/>
        <v/>
      </c>
      <c r="Q147" s="521" t="str">
        <f t="shared" si="14"/>
        <v/>
      </c>
      <c r="R147" s="522" t="str">
        <f t="shared" si="12"/>
        <v/>
      </c>
      <c r="S147" s="537" t="str">
        <f>IF(D147="","",VLOOKUP(D147,'G-6 Hedgerow Data'!$B$3:$AG$15,31,FALSE))</f>
        <v/>
      </c>
      <c r="T147" s="507" t="str">
        <f t="shared" si="15"/>
        <v/>
      </c>
      <c r="U147" s="507" t="str">
        <f t="shared" si="16"/>
        <v/>
      </c>
      <c r="V147" s="524" t="str">
        <f>IF(D147="","",VLOOKUP(S147,'G-3 Multipliers'!$P$3:$Q$6,2,FALSE))</f>
        <v/>
      </c>
      <c r="W147" s="529" t="str">
        <f t="shared" si="17"/>
        <v/>
      </c>
      <c r="X147" s="149"/>
      <c r="Y147" s="150"/>
      <c r="AG147" s="31" t="str">
        <f>IFERROR(INDEX('G-6 Hedgerow Data'!$BJ$3:$BJ$15,MATCH(D147,'G-6 Hedgerow Data'!$B$3:$B$15,0)),"")</f>
        <v/>
      </c>
    </row>
    <row r="148" spans="2:33" ht="13.8" x14ac:dyDescent="0.25">
      <c r="B148" s="141">
        <v>137</v>
      </c>
      <c r="C148" s="205"/>
      <c r="D148" s="195"/>
      <c r="E148" s="172"/>
      <c r="F148" s="553" t="str">
        <f>IF(D148="","",VLOOKUP(D148,'G-6 Hedgerow Data'!$B$2:$AG$15,2,FALSE))</f>
        <v/>
      </c>
      <c r="G148" s="499" t="str">
        <f>IF(D148="","",VLOOKUP(D148,'G-6 Hedgerow Data'!$B$2:$AG$15,3,FALSE))</f>
        <v/>
      </c>
      <c r="H148" s="145"/>
      <c r="I148" s="499" t="str">
        <f>IFERROR(VLOOKUP(H148,'G-1 All Habitats'!$Z$2:$AA$9,2,FALSE),"")</f>
        <v/>
      </c>
      <c r="J148" s="145"/>
      <c r="K148" s="520" t="str">
        <f>IF(J148="","",IF(VLOOKUP(J148,'G-3 Multipliers'!$L$3:$N$6,2,FALSE)=0,"Spatial Data Missing ⚠",VLOOKUP(J148,'G-3 Multipliers'!$L$3:$N$6,2,FALSE)))</f>
        <v/>
      </c>
      <c r="L148" s="505" t="str">
        <f>IF(J148="","",IF(VLOOKUP(J148,'G-3 Multipliers'!$L$3:$N$6,3,FALSE)=0,"Spatial Data Missing ⚠",VLOOKUP(J148,'G-3 Multipliers'!$L$3:$N$6,3,FALSE)))</f>
        <v/>
      </c>
      <c r="M148" s="498" t="str">
        <f>IF(OR(D148="",H148=""),"",(INDEX('G-6 Hedgerow Data'!$E$3:$I$15,MATCH(D148,'G-6 Hedgerow Data'!$B$3:$B$15,0),MATCH(H148,'G-6 Hedgerow Data'!$E$2:$I$2,0))))</f>
        <v/>
      </c>
      <c r="N148" s="195"/>
      <c r="O148" s="195"/>
      <c r="P148" s="507" t="str">
        <f t="shared" si="13"/>
        <v/>
      </c>
      <c r="Q148" s="521" t="str">
        <f t="shared" si="14"/>
        <v/>
      </c>
      <c r="R148" s="522" t="str">
        <f t="shared" si="12"/>
        <v/>
      </c>
      <c r="S148" s="537" t="str">
        <f>IF(D148="","",VLOOKUP(D148,'G-6 Hedgerow Data'!$B$3:$AG$15,31,FALSE))</f>
        <v/>
      </c>
      <c r="T148" s="507" t="str">
        <f t="shared" si="15"/>
        <v/>
      </c>
      <c r="U148" s="507" t="str">
        <f t="shared" si="16"/>
        <v/>
      </c>
      <c r="V148" s="524" t="str">
        <f>IF(D148="","",VLOOKUP(S148,'G-3 Multipliers'!$P$3:$Q$6,2,FALSE))</f>
        <v/>
      </c>
      <c r="W148" s="529" t="str">
        <f t="shared" si="17"/>
        <v/>
      </c>
      <c r="X148" s="149"/>
      <c r="Y148" s="150"/>
      <c r="AG148" s="31" t="str">
        <f>IFERROR(INDEX('G-6 Hedgerow Data'!$BJ$3:$BJ$15,MATCH(D148,'G-6 Hedgerow Data'!$B$3:$B$15,0)),"")</f>
        <v/>
      </c>
    </row>
    <row r="149" spans="2:33" ht="13.8" x14ac:dyDescent="0.25">
      <c r="B149" s="141">
        <v>138</v>
      </c>
      <c r="C149" s="205"/>
      <c r="D149" s="195"/>
      <c r="E149" s="172"/>
      <c r="F149" s="553" t="str">
        <f>IF(D149="","",VLOOKUP(D149,'G-6 Hedgerow Data'!$B$2:$AG$15,2,FALSE))</f>
        <v/>
      </c>
      <c r="G149" s="499" t="str">
        <f>IF(D149="","",VLOOKUP(D149,'G-6 Hedgerow Data'!$B$2:$AG$15,3,FALSE))</f>
        <v/>
      </c>
      <c r="H149" s="145"/>
      <c r="I149" s="499" t="str">
        <f>IFERROR(VLOOKUP(H149,'G-1 All Habitats'!$Z$2:$AA$9,2,FALSE),"")</f>
        <v/>
      </c>
      <c r="J149" s="145"/>
      <c r="K149" s="520" t="str">
        <f>IF(J149="","",IF(VLOOKUP(J149,'G-3 Multipliers'!$L$3:$N$6,2,FALSE)=0,"Spatial Data Missing ⚠",VLOOKUP(J149,'G-3 Multipliers'!$L$3:$N$6,2,FALSE)))</f>
        <v/>
      </c>
      <c r="L149" s="505" t="str">
        <f>IF(J149="","",IF(VLOOKUP(J149,'G-3 Multipliers'!$L$3:$N$6,3,FALSE)=0,"Spatial Data Missing ⚠",VLOOKUP(J149,'G-3 Multipliers'!$L$3:$N$6,3,FALSE)))</f>
        <v/>
      </c>
      <c r="M149" s="498" t="str">
        <f>IF(OR(D149="",H149=""),"",(INDEX('G-6 Hedgerow Data'!$E$3:$I$15,MATCH(D149,'G-6 Hedgerow Data'!$B$3:$B$15,0),MATCH(H149,'G-6 Hedgerow Data'!$E$2:$I$2,0))))</f>
        <v/>
      </c>
      <c r="N149" s="195"/>
      <c r="O149" s="195"/>
      <c r="P149" s="507" t="str">
        <f t="shared" si="13"/>
        <v/>
      </c>
      <c r="Q149" s="521" t="str">
        <f t="shared" si="14"/>
        <v/>
      </c>
      <c r="R149" s="522" t="str">
        <f t="shared" si="12"/>
        <v/>
      </c>
      <c r="S149" s="537" t="str">
        <f>IF(D149="","",VLOOKUP(D149,'G-6 Hedgerow Data'!$B$3:$AG$15,31,FALSE))</f>
        <v/>
      </c>
      <c r="T149" s="507" t="str">
        <f t="shared" si="15"/>
        <v/>
      </c>
      <c r="U149" s="507" t="str">
        <f t="shared" si="16"/>
        <v/>
      </c>
      <c r="V149" s="524" t="str">
        <f>IF(D149="","",VLOOKUP(S149,'G-3 Multipliers'!$P$3:$Q$6,2,FALSE))</f>
        <v/>
      </c>
      <c r="W149" s="529" t="str">
        <f t="shared" si="17"/>
        <v/>
      </c>
      <c r="X149" s="149"/>
      <c r="Y149" s="150"/>
      <c r="AG149" s="31" t="str">
        <f>IFERROR(INDEX('G-6 Hedgerow Data'!$BJ$3:$BJ$15,MATCH(D149,'G-6 Hedgerow Data'!$B$3:$B$15,0)),"")</f>
        <v/>
      </c>
    </row>
    <row r="150" spans="2:33" ht="13.8" x14ac:dyDescent="0.25">
      <c r="B150" s="141">
        <v>139</v>
      </c>
      <c r="C150" s="205"/>
      <c r="D150" s="195"/>
      <c r="E150" s="172"/>
      <c r="F150" s="553" t="str">
        <f>IF(D150="","",VLOOKUP(D150,'G-6 Hedgerow Data'!$B$2:$AG$15,2,FALSE))</f>
        <v/>
      </c>
      <c r="G150" s="499" t="str">
        <f>IF(D150="","",VLOOKUP(D150,'G-6 Hedgerow Data'!$B$2:$AG$15,3,FALSE))</f>
        <v/>
      </c>
      <c r="H150" s="145"/>
      <c r="I150" s="499" t="str">
        <f>IFERROR(VLOOKUP(H150,'G-1 All Habitats'!$Z$2:$AA$9,2,FALSE),"")</f>
        <v/>
      </c>
      <c r="J150" s="145"/>
      <c r="K150" s="520" t="str">
        <f>IF(J150="","",IF(VLOOKUP(J150,'G-3 Multipliers'!$L$3:$N$6,2,FALSE)=0,"Spatial Data Missing ⚠",VLOOKUP(J150,'G-3 Multipliers'!$L$3:$N$6,2,FALSE)))</f>
        <v/>
      </c>
      <c r="L150" s="505" t="str">
        <f>IF(J150="","",IF(VLOOKUP(J150,'G-3 Multipliers'!$L$3:$N$6,3,FALSE)=0,"Spatial Data Missing ⚠",VLOOKUP(J150,'G-3 Multipliers'!$L$3:$N$6,3,FALSE)))</f>
        <v/>
      </c>
      <c r="M150" s="498" t="str">
        <f>IF(OR(D150="",H150=""),"",(INDEX('G-6 Hedgerow Data'!$E$3:$I$15,MATCH(D150,'G-6 Hedgerow Data'!$B$3:$B$15,0),MATCH(H150,'G-6 Hedgerow Data'!$E$2:$I$2,0))))</f>
        <v/>
      </c>
      <c r="N150" s="195"/>
      <c r="O150" s="195"/>
      <c r="P150" s="507" t="str">
        <f t="shared" si="13"/>
        <v/>
      </c>
      <c r="Q150" s="521" t="str">
        <f t="shared" si="14"/>
        <v/>
      </c>
      <c r="R150" s="522" t="str">
        <f t="shared" si="12"/>
        <v/>
      </c>
      <c r="S150" s="537" t="str">
        <f>IF(D150="","",VLOOKUP(D150,'G-6 Hedgerow Data'!$B$3:$AG$15,31,FALSE))</f>
        <v/>
      </c>
      <c r="T150" s="507" t="str">
        <f t="shared" si="15"/>
        <v/>
      </c>
      <c r="U150" s="507" t="str">
        <f t="shared" si="16"/>
        <v/>
      </c>
      <c r="V150" s="524" t="str">
        <f>IF(D150="","",VLOOKUP(S150,'G-3 Multipliers'!$P$3:$Q$6,2,FALSE))</f>
        <v/>
      </c>
      <c r="W150" s="529" t="str">
        <f t="shared" si="17"/>
        <v/>
      </c>
      <c r="X150" s="149"/>
      <c r="Y150" s="150"/>
      <c r="AG150" s="31" t="str">
        <f>IFERROR(INDEX('G-6 Hedgerow Data'!$BJ$3:$BJ$15,MATCH(D150,'G-6 Hedgerow Data'!$B$3:$B$15,0)),"")</f>
        <v/>
      </c>
    </row>
    <row r="151" spans="2:33" ht="13.8" x14ac:dyDescent="0.25">
      <c r="B151" s="141">
        <v>140</v>
      </c>
      <c r="C151" s="205"/>
      <c r="D151" s="195"/>
      <c r="E151" s="172"/>
      <c r="F151" s="553" t="str">
        <f>IF(D151="","",VLOOKUP(D151,'G-6 Hedgerow Data'!$B$2:$AG$15,2,FALSE))</f>
        <v/>
      </c>
      <c r="G151" s="499" t="str">
        <f>IF(D151="","",VLOOKUP(D151,'G-6 Hedgerow Data'!$B$2:$AG$15,3,FALSE))</f>
        <v/>
      </c>
      <c r="H151" s="145"/>
      <c r="I151" s="499" t="str">
        <f>IFERROR(VLOOKUP(H151,'G-1 All Habitats'!$Z$2:$AA$9,2,FALSE),"")</f>
        <v/>
      </c>
      <c r="J151" s="145"/>
      <c r="K151" s="520" t="str">
        <f>IF(J151="","",IF(VLOOKUP(J151,'G-3 Multipliers'!$L$3:$N$6,2,FALSE)=0,"Spatial Data Missing ⚠",VLOOKUP(J151,'G-3 Multipliers'!$L$3:$N$6,2,FALSE)))</f>
        <v/>
      </c>
      <c r="L151" s="505" t="str">
        <f>IF(J151="","",IF(VLOOKUP(J151,'G-3 Multipliers'!$L$3:$N$6,3,FALSE)=0,"Spatial Data Missing ⚠",VLOOKUP(J151,'G-3 Multipliers'!$L$3:$N$6,3,FALSE)))</f>
        <v/>
      </c>
      <c r="M151" s="498" t="str">
        <f>IF(OR(D151="",H151=""),"",(INDEX('G-6 Hedgerow Data'!$E$3:$I$15,MATCH(D151,'G-6 Hedgerow Data'!$B$3:$B$15,0),MATCH(H151,'G-6 Hedgerow Data'!$E$2:$I$2,0))))</f>
        <v/>
      </c>
      <c r="N151" s="195"/>
      <c r="O151" s="195"/>
      <c r="P151" s="507" t="str">
        <f t="shared" si="13"/>
        <v/>
      </c>
      <c r="Q151" s="521" t="str">
        <f t="shared" si="14"/>
        <v/>
      </c>
      <c r="R151" s="522" t="str">
        <f t="shared" si="12"/>
        <v/>
      </c>
      <c r="S151" s="537" t="str">
        <f>IF(D151="","",VLOOKUP(D151,'G-6 Hedgerow Data'!$B$3:$AG$15,31,FALSE))</f>
        <v/>
      </c>
      <c r="T151" s="507" t="str">
        <f t="shared" si="15"/>
        <v/>
      </c>
      <c r="U151" s="507" t="str">
        <f t="shared" si="16"/>
        <v/>
      </c>
      <c r="V151" s="524" t="str">
        <f>IF(D151="","",VLOOKUP(S151,'G-3 Multipliers'!$P$3:$Q$6,2,FALSE))</f>
        <v/>
      </c>
      <c r="W151" s="529" t="str">
        <f t="shared" si="17"/>
        <v/>
      </c>
      <c r="X151" s="149"/>
      <c r="Y151" s="150"/>
      <c r="AG151" s="31" t="str">
        <f>IFERROR(INDEX('G-6 Hedgerow Data'!$BJ$3:$BJ$15,MATCH(D151,'G-6 Hedgerow Data'!$B$3:$B$15,0)),"")</f>
        <v/>
      </c>
    </row>
    <row r="152" spans="2:33" ht="13.8" x14ac:dyDescent="0.25">
      <c r="B152" s="141">
        <v>141</v>
      </c>
      <c r="C152" s="205"/>
      <c r="D152" s="195"/>
      <c r="E152" s="172"/>
      <c r="F152" s="553" t="str">
        <f>IF(D152="","",VLOOKUP(D152,'G-6 Hedgerow Data'!$B$2:$AG$15,2,FALSE))</f>
        <v/>
      </c>
      <c r="G152" s="499" t="str">
        <f>IF(D152="","",VLOOKUP(D152,'G-6 Hedgerow Data'!$B$2:$AG$15,3,FALSE))</f>
        <v/>
      </c>
      <c r="H152" s="145"/>
      <c r="I152" s="499" t="str">
        <f>IFERROR(VLOOKUP(H152,'G-1 All Habitats'!$Z$2:$AA$9,2,FALSE),"")</f>
        <v/>
      </c>
      <c r="J152" s="145"/>
      <c r="K152" s="520" t="str">
        <f>IF(J152="","",IF(VLOOKUP(J152,'G-3 Multipliers'!$L$3:$N$6,2,FALSE)=0,"Spatial Data Missing ⚠",VLOOKUP(J152,'G-3 Multipliers'!$L$3:$N$6,2,FALSE)))</f>
        <v/>
      </c>
      <c r="L152" s="505" t="str">
        <f>IF(J152="","",IF(VLOOKUP(J152,'G-3 Multipliers'!$L$3:$N$6,3,FALSE)=0,"Spatial Data Missing ⚠",VLOOKUP(J152,'G-3 Multipliers'!$L$3:$N$6,3,FALSE)))</f>
        <v/>
      </c>
      <c r="M152" s="498" t="str">
        <f>IF(OR(D152="",H152=""),"",(INDEX('G-6 Hedgerow Data'!$E$3:$I$15,MATCH(D152,'G-6 Hedgerow Data'!$B$3:$B$15,0),MATCH(H152,'G-6 Hedgerow Data'!$E$2:$I$2,0))))</f>
        <v/>
      </c>
      <c r="N152" s="195"/>
      <c r="O152" s="195"/>
      <c r="P152" s="507" t="str">
        <f t="shared" si="13"/>
        <v/>
      </c>
      <c r="Q152" s="521" t="str">
        <f t="shared" si="14"/>
        <v/>
      </c>
      <c r="R152" s="522" t="str">
        <f t="shared" si="12"/>
        <v/>
      </c>
      <c r="S152" s="537" t="str">
        <f>IF(D152="","",VLOOKUP(D152,'G-6 Hedgerow Data'!$B$3:$AG$15,31,FALSE))</f>
        <v/>
      </c>
      <c r="T152" s="507" t="str">
        <f t="shared" si="15"/>
        <v/>
      </c>
      <c r="U152" s="507" t="str">
        <f t="shared" si="16"/>
        <v/>
      </c>
      <c r="V152" s="524" t="str">
        <f>IF(D152="","",VLOOKUP(S152,'G-3 Multipliers'!$P$3:$Q$6,2,FALSE))</f>
        <v/>
      </c>
      <c r="W152" s="529" t="str">
        <f t="shared" si="17"/>
        <v/>
      </c>
      <c r="X152" s="149"/>
      <c r="Y152" s="150"/>
      <c r="AG152" s="31" t="str">
        <f>IFERROR(INDEX('G-6 Hedgerow Data'!$BJ$3:$BJ$15,MATCH(D152,'G-6 Hedgerow Data'!$B$3:$B$15,0)),"")</f>
        <v/>
      </c>
    </row>
    <row r="153" spans="2:33" ht="13.8" x14ac:dyDescent="0.25">
      <c r="B153" s="141">
        <v>142</v>
      </c>
      <c r="C153" s="205"/>
      <c r="D153" s="195"/>
      <c r="E153" s="172"/>
      <c r="F153" s="553" t="str">
        <f>IF(D153="","",VLOOKUP(D153,'G-6 Hedgerow Data'!$B$2:$AG$15,2,FALSE))</f>
        <v/>
      </c>
      <c r="G153" s="499" t="str">
        <f>IF(D153="","",VLOOKUP(D153,'G-6 Hedgerow Data'!$B$2:$AG$15,3,FALSE))</f>
        <v/>
      </c>
      <c r="H153" s="145"/>
      <c r="I153" s="499" t="str">
        <f>IFERROR(VLOOKUP(H153,'G-1 All Habitats'!$Z$2:$AA$9,2,FALSE),"")</f>
        <v/>
      </c>
      <c r="J153" s="145"/>
      <c r="K153" s="520" t="str">
        <f>IF(J153="","",IF(VLOOKUP(J153,'G-3 Multipliers'!$L$3:$N$6,2,FALSE)=0,"Spatial Data Missing ⚠",VLOOKUP(J153,'G-3 Multipliers'!$L$3:$N$6,2,FALSE)))</f>
        <v/>
      </c>
      <c r="L153" s="505" t="str">
        <f>IF(J153="","",IF(VLOOKUP(J153,'G-3 Multipliers'!$L$3:$N$6,3,FALSE)=0,"Spatial Data Missing ⚠",VLOOKUP(J153,'G-3 Multipliers'!$L$3:$N$6,3,FALSE)))</f>
        <v/>
      </c>
      <c r="M153" s="498" t="str">
        <f>IF(OR(D153="",H153=""),"",(INDEX('G-6 Hedgerow Data'!$E$3:$I$15,MATCH(D153,'G-6 Hedgerow Data'!$B$3:$B$15,0),MATCH(H153,'G-6 Hedgerow Data'!$E$2:$I$2,0))))</f>
        <v/>
      </c>
      <c r="N153" s="195"/>
      <c r="O153" s="195"/>
      <c r="P153" s="507" t="str">
        <f t="shared" si="13"/>
        <v/>
      </c>
      <c r="Q153" s="521" t="str">
        <f t="shared" si="14"/>
        <v/>
      </c>
      <c r="R153" s="522" t="str">
        <f t="shared" si="12"/>
        <v/>
      </c>
      <c r="S153" s="537" t="str">
        <f>IF(D153="","",VLOOKUP(D153,'G-6 Hedgerow Data'!$B$3:$AG$15,31,FALSE))</f>
        <v/>
      </c>
      <c r="T153" s="507" t="str">
        <f t="shared" si="15"/>
        <v/>
      </c>
      <c r="U153" s="507" t="str">
        <f t="shared" si="16"/>
        <v/>
      </c>
      <c r="V153" s="524" t="str">
        <f>IF(D153="","",VLOOKUP(S153,'G-3 Multipliers'!$P$3:$Q$6,2,FALSE))</f>
        <v/>
      </c>
      <c r="W153" s="529" t="str">
        <f t="shared" si="17"/>
        <v/>
      </c>
      <c r="X153" s="149"/>
      <c r="Y153" s="150"/>
      <c r="AG153" s="31" t="str">
        <f>IFERROR(INDEX('G-6 Hedgerow Data'!$BJ$3:$BJ$15,MATCH(D153,'G-6 Hedgerow Data'!$B$3:$B$15,0)),"")</f>
        <v/>
      </c>
    </row>
    <row r="154" spans="2:33" ht="13.8" x14ac:dyDescent="0.25">
      <c r="B154" s="141">
        <v>143</v>
      </c>
      <c r="C154" s="205"/>
      <c r="D154" s="195"/>
      <c r="E154" s="172"/>
      <c r="F154" s="553" t="str">
        <f>IF(D154="","",VLOOKUP(D154,'G-6 Hedgerow Data'!$B$2:$AG$15,2,FALSE))</f>
        <v/>
      </c>
      <c r="G154" s="499" t="str">
        <f>IF(D154="","",VLOOKUP(D154,'G-6 Hedgerow Data'!$B$2:$AG$15,3,FALSE))</f>
        <v/>
      </c>
      <c r="H154" s="145"/>
      <c r="I154" s="499" t="str">
        <f>IFERROR(VLOOKUP(H154,'G-1 All Habitats'!$Z$2:$AA$9,2,FALSE),"")</f>
        <v/>
      </c>
      <c r="J154" s="145"/>
      <c r="K154" s="520" t="str">
        <f>IF(J154="","",IF(VLOOKUP(J154,'G-3 Multipliers'!$L$3:$N$6,2,FALSE)=0,"Spatial Data Missing ⚠",VLOOKUP(J154,'G-3 Multipliers'!$L$3:$N$6,2,FALSE)))</f>
        <v/>
      </c>
      <c r="L154" s="505" t="str">
        <f>IF(J154="","",IF(VLOOKUP(J154,'G-3 Multipliers'!$L$3:$N$6,3,FALSE)=0,"Spatial Data Missing ⚠",VLOOKUP(J154,'G-3 Multipliers'!$L$3:$N$6,3,FALSE)))</f>
        <v/>
      </c>
      <c r="M154" s="498" t="str">
        <f>IF(OR(D154="",H154=""),"",(INDEX('G-6 Hedgerow Data'!$E$3:$I$15,MATCH(D154,'G-6 Hedgerow Data'!$B$3:$B$15,0),MATCH(H154,'G-6 Hedgerow Data'!$E$2:$I$2,0))))</f>
        <v/>
      </c>
      <c r="N154" s="195"/>
      <c r="O154" s="195"/>
      <c r="P154" s="507" t="str">
        <f t="shared" si="13"/>
        <v/>
      </c>
      <c r="Q154" s="521" t="str">
        <f t="shared" si="14"/>
        <v/>
      </c>
      <c r="R154" s="522" t="str">
        <f t="shared" si="12"/>
        <v/>
      </c>
      <c r="S154" s="537" t="str">
        <f>IF(D154="","",VLOOKUP(D154,'G-6 Hedgerow Data'!$B$3:$AG$15,31,FALSE))</f>
        <v/>
      </c>
      <c r="T154" s="507" t="str">
        <f t="shared" si="15"/>
        <v/>
      </c>
      <c r="U154" s="507" t="str">
        <f t="shared" si="16"/>
        <v/>
      </c>
      <c r="V154" s="524" t="str">
        <f>IF(D154="","",VLOOKUP(S154,'G-3 Multipliers'!$P$3:$Q$6,2,FALSE))</f>
        <v/>
      </c>
      <c r="W154" s="529" t="str">
        <f t="shared" si="17"/>
        <v/>
      </c>
      <c r="X154" s="149"/>
      <c r="Y154" s="150"/>
      <c r="AG154" s="31" t="str">
        <f>IFERROR(INDEX('G-6 Hedgerow Data'!$BJ$3:$BJ$15,MATCH(D154,'G-6 Hedgerow Data'!$B$3:$B$15,0)),"")</f>
        <v/>
      </c>
    </row>
    <row r="155" spans="2:33" ht="13.8" x14ac:dyDescent="0.25">
      <c r="B155" s="141">
        <v>144</v>
      </c>
      <c r="C155" s="205"/>
      <c r="D155" s="195"/>
      <c r="E155" s="172"/>
      <c r="F155" s="553" t="str">
        <f>IF(D155="","",VLOOKUP(D155,'G-6 Hedgerow Data'!$B$2:$AG$15,2,FALSE))</f>
        <v/>
      </c>
      <c r="G155" s="499" t="str">
        <f>IF(D155="","",VLOOKUP(D155,'G-6 Hedgerow Data'!$B$2:$AG$15,3,FALSE))</f>
        <v/>
      </c>
      <c r="H155" s="145"/>
      <c r="I155" s="499" t="str">
        <f>IFERROR(VLOOKUP(H155,'G-1 All Habitats'!$Z$2:$AA$9,2,FALSE),"")</f>
        <v/>
      </c>
      <c r="J155" s="145"/>
      <c r="K155" s="520" t="str">
        <f>IF(J155="","",IF(VLOOKUP(J155,'G-3 Multipliers'!$L$3:$N$6,2,FALSE)=0,"Spatial Data Missing ⚠",VLOOKUP(J155,'G-3 Multipliers'!$L$3:$N$6,2,FALSE)))</f>
        <v/>
      </c>
      <c r="L155" s="505" t="str">
        <f>IF(J155="","",IF(VLOOKUP(J155,'G-3 Multipliers'!$L$3:$N$6,3,FALSE)=0,"Spatial Data Missing ⚠",VLOOKUP(J155,'G-3 Multipliers'!$L$3:$N$6,3,FALSE)))</f>
        <v/>
      </c>
      <c r="M155" s="498" t="str">
        <f>IF(OR(D155="",H155=""),"",(INDEX('G-6 Hedgerow Data'!$E$3:$I$15,MATCH(D155,'G-6 Hedgerow Data'!$B$3:$B$15,0),MATCH(H155,'G-6 Hedgerow Data'!$E$2:$I$2,0))))</f>
        <v/>
      </c>
      <c r="N155" s="195"/>
      <c r="O155" s="195"/>
      <c r="P155" s="507" t="str">
        <f t="shared" si="13"/>
        <v/>
      </c>
      <c r="Q155" s="521" t="str">
        <f t="shared" si="14"/>
        <v/>
      </c>
      <c r="R155" s="522" t="str">
        <f t="shared" si="12"/>
        <v/>
      </c>
      <c r="S155" s="537" t="str">
        <f>IF(D155="","",VLOOKUP(D155,'G-6 Hedgerow Data'!$B$3:$AG$15,31,FALSE))</f>
        <v/>
      </c>
      <c r="T155" s="507" t="str">
        <f t="shared" si="15"/>
        <v/>
      </c>
      <c r="U155" s="507" t="str">
        <f t="shared" si="16"/>
        <v/>
      </c>
      <c r="V155" s="524" t="str">
        <f>IF(D155="","",VLOOKUP(S155,'G-3 Multipliers'!$P$3:$Q$6,2,FALSE))</f>
        <v/>
      </c>
      <c r="W155" s="529" t="str">
        <f t="shared" si="17"/>
        <v/>
      </c>
      <c r="X155" s="149"/>
      <c r="Y155" s="150"/>
      <c r="AG155" s="31" t="str">
        <f>IFERROR(INDEX('G-6 Hedgerow Data'!$BJ$3:$BJ$15,MATCH(D155,'G-6 Hedgerow Data'!$B$3:$B$15,0)),"")</f>
        <v/>
      </c>
    </row>
    <row r="156" spans="2:33" ht="13.8" x14ac:dyDescent="0.25">
      <c r="B156" s="141">
        <v>145</v>
      </c>
      <c r="C156" s="205"/>
      <c r="D156" s="195"/>
      <c r="E156" s="172"/>
      <c r="F156" s="553" t="str">
        <f>IF(D156="","",VLOOKUP(D156,'G-6 Hedgerow Data'!$B$2:$AG$15,2,FALSE))</f>
        <v/>
      </c>
      <c r="G156" s="499" t="str">
        <f>IF(D156="","",VLOOKUP(D156,'G-6 Hedgerow Data'!$B$2:$AG$15,3,FALSE))</f>
        <v/>
      </c>
      <c r="H156" s="145"/>
      <c r="I156" s="499" t="str">
        <f>IFERROR(VLOOKUP(H156,'G-1 All Habitats'!$Z$2:$AA$9,2,FALSE),"")</f>
        <v/>
      </c>
      <c r="J156" s="145"/>
      <c r="K156" s="520" t="str">
        <f>IF(J156="","",IF(VLOOKUP(J156,'G-3 Multipliers'!$L$3:$N$6,2,FALSE)=0,"Spatial Data Missing ⚠",VLOOKUP(J156,'G-3 Multipliers'!$L$3:$N$6,2,FALSE)))</f>
        <v/>
      </c>
      <c r="L156" s="505" t="str">
        <f>IF(J156="","",IF(VLOOKUP(J156,'G-3 Multipliers'!$L$3:$N$6,3,FALSE)=0,"Spatial Data Missing ⚠",VLOOKUP(J156,'G-3 Multipliers'!$L$3:$N$6,3,FALSE)))</f>
        <v/>
      </c>
      <c r="M156" s="498" t="str">
        <f>IF(OR(D156="",H156=""),"",(INDEX('G-6 Hedgerow Data'!$E$3:$I$15,MATCH(D156,'G-6 Hedgerow Data'!$B$3:$B$15,0),MATCH(H156,'G-6 Hedgerow Data'!$E$2:$I$2,0))))</f>
        <v/>
      </c>
      <c r="N156" s="195"/>
      <c r="O156" s="195"/>
      <c r="P156" s="507" t="str">
        <f t="shared" si="13"/>
        <v/>
      </c>
      <c r="Q156" s="521" t="str">
        <f t="shared" si="14"/>
        <v/>
      </c>
      <c r="R156" s="522" t="str">
        <f t="shared" si="12"/>
        <v/>
      </c>
      <c r="S156" s="537" t="str">
        <f>IF(D156="","",VLOOKUP(D156,'G-6 Hedgerow Data'!$B$3:$AG$15,31,FALSE))</f>
        <v/>
      </c>
      <c r="T156" s="507" t="str">
        <f t="shared" si="15"/>
        <v/>
      </c>
      <c r="U156" s="507" t="str">
        <f t="shared" si="16"/>
        <v/>
      </c>
      <c r="V156" s="524" t="str">
        <f>IF(D156="","",VLOOKUP(S156,'G-3 Multipliers'!$P$3:$Q$6,2,FALSE))</f>
        <v/>
      </c>
      <c r="W156" s="529" t="str">
        <f t="shared" si="17"/>
        <v/>
      </c>
      <c r="X156" s="149"/>
      <c r="Y156" s="150"/>
      <c r="AG156" s="31" t="str">
        <f>IFERROR(INDEX('G-6 Hedgerow Data'!$BJ$3:$BJ$15,MATCH(D156,'G-6 Hedgerow Data'!$B$3:$B$15,0)),"")</f>
        <v/>
      </c>
    </row>
    <row r="157" spans="2:33" ht="13.8" x14ac:dyDescent="0.25">
      <c r="B157" s="141">
        <v>146</v>
      </c>
      <c r="C157" s="205"/>
      <c r="D157" s="195"/>
      <c r="E157" s="172"/>
      <c r="F157" s="553" t="str">
        <f>IF(D157="","",VLOOKUP(D157,'G-6 Hedgerow Data'!$B$2:$AG$15,2,FALSE))</f>
        <v/>
      </c>
      <c r="G157" s="499" t="str">
        <f>IF(D157="","",VLOOKUP(D157,'G-6 Hedgerow Data'!$B$2:$AG$15,3,FALSE))</f>
        <v/>
      </c>
      <c r="H157" s="145"/>
      <c r="I157" s="499" t="str">
        <f>IFERROR(VLOOKUP(H157,'G-1 All Habitats'!$Z$2:$AA$9,2,FALSE),"")</f>
        <v/>
      </c>
      <c r="J157" s="145"/>
      <c r="K157" s="520" t="str">
        <f>IF(J157="","",IF(VLOOKUP(J157,'G-3 Multipliers'!$L$3:$N$6,2,FALSE)=0,"Spatial Data Missing ⚠",VLOOKUP(J157,'G-3 Multipliers'!$L$3:$N$6,2,FALSE)))</f>
        <v/>
      </c>
      <c r="L157" s="505" t="str">
        <f>IF(J157="","",IF(VLOOKUP(J157,'G-3 Multipliers'!$L$3:$N$6,3,FALSE)=0,"Spatial Data Missing ⚠",VLOOKUP(J157,'G-3 Multipliers'!$L$3:$N$6,3,FALSE)))</f>
        <v/>
      </c>
      <c r="M157" s="498" t="str">
        <f>IF(OR(D157="",H157=""),"",(INDEX('G-6 Hedgerow Data'!$E$3:$I$15,MATCH(D157,'G-6 Hedgerow Data'!$B$3:$B$15,0),MATCH(H157,'G-6 Hedgerow Data'!$E$2:$I$2,0))))</f>
        <v/>
      </c>
      <c r="N157" s="195"/>
      <c r="O157" s="195"/>
      <c r="P157" s="507" t="str">
        <f t="shared" si="13"/>
        <v/>
      </c>
      <c r="Q157" s="521" t="str">
        <f t="shared" si="14"/>
        <v/>
      </c>
      <c r="R157" s="522" t="str">
        <f t="shared" si="12"/>
        <v/>
      </c>
      <c r="S157" s="537" t="str">
        <f>IF(D157="","",VLOOKUP(D157,'G-6 Hedgerow Data'!$B$3:$AG$15,31,FALSE))</f>
        <v/>
      </c>
      <c r="T157" s="507" t="str">
        <f t="shared" si="15"/>
        <v/>
      </c>
      <c r="U157" s="507" t="str">
        <f t="shared" si="16"/>
        <v/>
      </c>
      <c r="V157" s="524" t="str">
        <f>IF(D157="","",VLOOKUP(S157,'G-3 Multipliers'!$P$3:$Q$6,2,FALSE))</f>
        <v/>
      </c>
      <c r="W157" s="529" t="str">
        <f t="shared" si="17"/>
        <v/>
      </c>
      <c r="X157" s="149"/>
      <c r="Y157" s="150"/>
      <c r="AG157" s="31" t="str">
        <f>IFERROR(INDEX('G-6 Hedgerow Data'!$BJ$3:$BJ$15,MATCH(D157,'G-6 Hedgerow Data'!$B$3:$B$15,0)),"")</f>
        <v/>
      </c>
    </row>
    <row r="158" spans="2:33" ht="13.8" x14ac:dyDescent="0.25">
      <c r="B158" s="141">
        <v>147</v>
      </c>
      <c r="C158" s="205"/>
      <c r="D158" s="195"/>
      <c r="E158" s="172"/>
      <c r="F158" s="553" t="str">
        <f>IF(D158="","",VLOOKUP(D158,'G-6 Hedgerow Data'!$B$2:$AG$15,2,FALSE))</f>
        <v/>
      </c>
      <c r="G158" s="499" t="str">
        <f>IF(D158="","",VLOOKUP(D158,'G-6 Hedgerow Data'!$B$2:$AG$15,3,FALSE))</f>
        <v/>
      </c>
      <c r="H158" s="145"/>
      <c r="I158" s="499" t="str">
        <f>IFERROR(VLOOKUP(H158,'G-1 All Habitats'!$Z$2:$AA$9,2,FALSE),"")</f>
        <v/>
      </c>
      <c r="J158" s="145"/>
      <c r="K158" s="520" t="str">
        <f>IF(J158="","",IF(VLOOKUP(J158,'G-3 Multipliers'!$L$3:$N$6,2,FALSE)=0,"Spatial Data Missing ⚠",VLOOKUP(J158,'G-3 Multipliers'!$L$3:$N$6,2,FALSE)))</f>
        <v/>
      </c>
      <c r="L158" s="505" t="str">
        <f>IF(J158="","",IF(VLOOKUP(J158,'G-3 Multipliers'!$L$3:$N$6,3,FALSE)=0,"Spatial Data Missing ⚠",VLOOKUP(J158,'G-3 Multipliers'!$L$3:$N$6,3,FALSE)))</f>
        <v/>
      </c>
      <c r="M158" s="498" t="str">
        <f>IF(OR(D158="",H158=""),"",(INDEX('G-6 Hedgerow Data'!$E$3:$I$15,MATCH(D158,'G-6 Hedgerow Data'!$B$3:$B$15,0),MATCH(H158,'G-6 Hedgerow Data'!$E$2:$I$2,0))))</f>
        <v/>
      </c>
      <c r="N158" s="195"/>
      <c r="O158" s="195"/>
      <c r="P158" s="507" t="str">
        <f t="shared" si="13"/>
        <v/>
      </c>
      <c r="Q158" s="521" t="str">
        <f t="shared" si="14"/>
        <v/>
      </c>
      <c r="R158" s="522" t="str">
        <f t="shared" si="12"/>
        <v/>
      </c>
      <c r="S158" s="537" t="str">
        <f>IF(D158="","",VLOOKUP(D158,'G-6 Hedgerow Data'!$B$3:$AG$15,31,FALSE))</f>
        <v/>
      </c>
      <c r="T158" s="507" t="str">
        <f t="shared" si="15"/>
        <v/>
      </c>
      <c r="U158" s="507" t="str">
        <f t="shared" si="16"/>
        <v/>
      </c>
      <c r="V158" s="524" t="str">
        <f>IF(D158="","",VLOOKUP(S158,'G-3 Multipliers'!$P$3:$Q$6,2,FALSE))</f>
        <v/>
      </c>
      <c r="W158" s="529" t="str">
        <f t="shared" si="17"/>
        <v/>
      </c>
      <c r="X158" s="149"/>
      <c r="Y158" s="150"/>
      <c r="AG158" s="31" t="str">
        <f>IFERROR(INDEX('G-6 Hedgerow Data'!$BJ$3:$BJ$15,MATCH(D158,'G-6 Hedgerow Data'!$B$3:$B$15,0)),"")</f>
        <v/>
      </c>
    </row>
    <row r="159" spans="2:33" ht="13.8" x14ac:dyDescent="0.25">
      <c r="B159" s="141">
        <v>148</v>
      </c>
      <c r="C159" s="205"/>
      <c r="D159" s="195"/>
      <c r="E159" s="172"/>
      <c r="F159" s="553" t="str">
        <f>IF(D159="","",VLOOKUP(D159,'G-6 Hedgerow Data'!$B$2:$AG$15,2,FALSE))</f>
        <v/>
      </c>
      <c r="G159" s="499" t="str">
        <f>IF(D159="","",VLOOKUP(D159,'G-6 Hedgerow Data'!$B$2:$AG$15,3,FALSE))</f>
        <v/>
      </c>
      <c r="H159" s="145"/>
      <c r="I159" s="499" t="str">
        <f>IFERROR(VLOOKUP(H159,'G-1 All Habitats'!$Z$2:$AA$9,2,FALSE),"")</f>
        <v/>
      </c>
      <c r="J159" s="145"/>
      <c r="K159" s="520" t="str">
        <f>IF(J159="","",IF(VLOOKUP(J159,'G-3 Multipliers'!$L$3:$N$6,2,FALSE)=0,"Spatial Data Missing ⚠",VLOOKUP(J159,'G-3 Multipliers'!$L$3:$N$6,2,FALSE)))</f>
        <v/>
      </c>
      <c r="L159" s="505" t="str">
        <f>IF(J159="","",IF(VLOOKUP(J159,'G-3 Multipliers'!$L$3:$N$6,3,FALSE)=0,"Spatial Data Missing ⚠",VLOOKUP(J159,'G-3 Multipliers'!$L$3:$N$6,3,FALSE)))</f>
        <v/>
      </c>
      <c r="M159" s="498" t="str">
        <f>IF(OR(D159="",H159=""),"",(INDEX('G-6 Hedgerow Data'!$E$3:$I$15,MATCH(D159,'G-6 Hedgerow Data'!$B$3:$B$15,0),MATCH(H159,'G-6 Hedgerow Data'!$E$2:$I$2,0))))</f>
        <v/>
      </c>
      <c r="N159" s="195"/>
      <c r="O159" s="195"/>
      <c r="P159" s="507" t="str">
        <f t="shared" si="13"/>
        <v/>
      </c>
      <c r="Q159" s="521" t="str">
        <f t="shared" si="14"/>
        <v/>
      </c>
      <c r="R159" s="522" t="str">
        <f t="shared" si="12"/>
        <v/>
      </c>
      <c r="S159" s="537" t="str">
        <f>IF(D159="","",VLOOKUP(D159,'G-6 Hedgerow Data'!$B$3:$AG$15,31,FALSE))</f>
        <v/>
      </c>
      <c r="T159" s="507" t="str">
        <f t="shared" si="15"/>
        <v/>
      </c>
      <c r="U159" s="507" t="str">
        <f t="shared" si="16"/>
        <v/>
      </c>
      <c r="V159" s="524" t="str">
        <f>IF(D159="","",VLOOKUP(S159,'G-3 Multipliers'!$P$3:$Q$6,2,FALSE))</f>
        <v/>
      </c>
      <c r="W159" s="529" t="str">
        <f t="shared" si="17"/>
        <v/>
      </c>
      <c r="X159" s="149"/>
      <c r="Y159" s="150"/>
      <c r="AG159" s="31" t="str">
        <f>IFERROR(INDEX('G-6 Hedgerow Data'!$BJ$3:$BJ$15,MATCH(D159,'G-6 Hedgerow Data'!$B$3:$B$15,0)),"")</f>
        <v/>
      </c>
    </row>
    <row r="160" spans="2:33" ht="13.8" x14ac:dyDescent="0.25">
      <c r="B160" s="141">
        <v>149</v>
      </c>
      <c r="C160" s="205"/>
      <c r="D160" s="195"/>
      <c r="E160" s="172"/>
      <c r="F160" s="553" t="str">
        <f>IF(D160="","",VLOOKUP(D160,'G-6 Hedgerow Data'!$B$2:$AG$15,2,FALSE))</f>
        <v/>
      </c>
      <c r="G160" s="499" t="str">
        <f>IF(D160="","",VLOOKUP(D160,'G-6 Hedgerow Data'!$B$2:$AG$15,3,FALSE))</f>
        <v/>
      </c>
      <c r="H160" s="145"/>
      <c r="I160" s="499" t="str">
        <f>IFERROR(VLOOKUP(H160,'G-1 All Habitats'!$Z$2:$AA$9,2,FALSE),"")</f>
        <v/>
      </c>
      <c r="J160" s="145"/>
      <c r="K160" s="520" t="str">
        <f>IF(J160="","",IF(VLOOKUP(J160,'G-3 Multipliers'!$L$3:$N$6,2,FALSE)=0,"Spatial Data Missing ⚠",VLOOKUP(J160,'G-3 Multipliers'!$L$3:$N$6,2,FALSE)))</f>
        <v/>
      </c>
      <c r="L160" s="505" t="str">
        <f>IF(J160="","",IF(VLOOKUP(J160,'G-3 Multipliers'!$L$3:$N$6,3,FALSE)=0,"Spatial Data Missing ⚠",VLOOKUP(J160,'G-3 Multipliers'!$L$3:$N$6,3,FALSE)))</f>
        <v/>
      </c>
      <c r="M160" s="498" t="str">
        <f>IF(OR(D160="",H160=""),"",(INDEX('G-6 Hedgerow Data'!$E$3:$I$15,MATCH(D160,'G-6 Hedgerow Data'!$B$3:$B$15,0),MATCH(H160,'G-6 Hedgerow Data'!$E$2:$I$2,0))))</f>
        <v/>
      </c>
      <c r="N160" s="195"/>
      <c r="O160" s="195"/>
      <c r="P160" s="507" t="str">
        <f t="shared" si="13"/>
        <v/>
      </c>
      <c r="Q160" s="521" t="str">
        <f t="shared" si="14"/>
        <v/>
      </c>
      <c r="R160" s="522" t="str">
        <f t="shared" si="12"/>
        <v/>
      </c>
      <c r="S160" s="537" t="str">
        <f>IF(D160="","",VLOOKUP(D160,'G-6 Hedgerow Data'!$B$3:$AG$15,31,FALSE))</f>
        <v/>
      </c>
      <c r="T160" s="507" t="str">
        <f t="shared" si="15"/>
        <v/>
      </c>
      <c r="U160" s="507" t="str">
        <f t="shared" si="16"/>
        <v/>
      </c>
      <c r="V160" s="524" t="str">
        <f>IF(D160="","",VLOOKUP(S160,'G-3 Multipliers'!$P$3:$Q$6,2,FALSE))</f>
        <v/>
      </c>
      <c r="W160" s="529" t="str">
        <f t="shared" si="17"/>
        <v/>
      </c>
      <c r="X160" s="149"/>
      <c r="Y160" s="150"/>
      <c r="AG160" s="31" t="str">
        <f>IFERROR(INDEX('G-6 Hedgerow Data'!$BJ$3:$BJ$15,MATCH(D160,'G-6 Hedgerow Data'!$B$3:$B$15,0)),"")</f>
        <v/>
      </c>
    </row>
    <row r="161" spans="2:33" ht="13.8" x14ac:dyDescent="0.25">
      <c r="B161" s="141">
        <v>150</v>
      </c>
      <c r="C161" s="205"/>
      <c r="D161" s="195"/>
      <c r="E161" s="172"/>
      <c r="F161" s="553" t="str">
        <f>IF(D161="","",VLOOKUP(D161,'G-6 Hedgerow Data'!$B$2:$AG$15,2,FALSE))</f>
        <v/>
      </c>
      <c r="G161" s="499" t="str">
        <f>IF(D161="","",VLOOKUP(D161,'G-6 Hedgerow Data'!$B$2:$AG$15,3,FALSE))</f>
        <v/>
      </c>
      <c r="H161" s="145"/>
      <c r="I161" s="499" t="str">
        <f>IFERROR(VLOOKUP(H161,'G-1 All Habitats'!$Z$2:$AA$9,2,FALSE),"")</f>
        <v/>
      </c>
      <c r="J161" s="145"/>
      <c r="K161" s="520" t="str">
        <f>IF(J161="","",IF(VLOOKUP(J161,'G-3 Multipliers'!$L$3:$N$6,2,FALSE)=0,"Spatial Data Missing ⚠",VLOOKUP(J161,'G-3 Multipliers'!$L$3:$N$6,2,FALSE)))</f>
        <v/>
      </c>
      <c r="L161" s="505" t="str">
        <f>IF(J161="","",IF(VLOOKUP(J161,'G-3 Multipliers'!$L$3:$N$6,3,FALSE)=0,"Spatial Data Missing ⚠",VLOOKUP(J161,'G-3 Multipliers'!$L$3:$N$6,3,FALSE)))</f>
        <v/>
      </c>
      <c r="M161" s="498" t="str">
        <f>IF(OR(D161="",H161=""),"",(INDEX('G-6 Hedgerow Data'!$E$3:$I$15,MATCH(D161,'G-6 Hedgerow Data'!$B$3:$B$15,0),MATCH(H161,'G-6 Hedgerow Data'!$E$2:$I$2,0))))</f>
        <v/>
      </c>
      <c r="N161" s="195"/>
      <c r="O161" s="195"/>
      <c r="P161" s="507" t="str">
        <f t="shared" si="13"/>
        <v/>
      </c>
      <c r="Q161" s="521" t="str">
        <f t="shared" si="14"/>
        <v/>
      </c>
      <c r="R161" s="522" t="str">
        <f t="shared" si="12"/>
        <v/>
      </c>
      <c r="S161" s="537" t="str">
        <f>IF(D161="","",VLOOKUP(D161,'G-6 Hedgerow Data'!$B$3:$AG$15,31,FALSE))</f>
        <v/>
      </c>
      <c r="T161" s="507" t="str">
        <f t="shared" si="15"/>
        <v/>
      </c>
      <c r="U161" s="507" t="str">
        <f t="shared" si="16"/>
        <v/>
      </c>
      <c r="V161" s="524" t="str">
        <f>IF(D161="","",VLOOKUP(S161,'G-3 Multipliers'!$P$3:$Q$6,2,FALSE))</f>
        <v/>
      </c>
      <c r="W161" s="529" t="str">
        <f t="shared" si="17"/>
        <v/>
      </c>
      <c r="X161" s="149"/>
      <c r="Y161" s="150"/>
      <c r="AG161" s="31" t="str">
        <f>IFERROR(INDEX('G-6 Hedgerow Data'!$BJ$3:$BJ$15,MATCH(D161,'G-6 Hedgerow Data'!$B$3:$B$15,0)),"")</f>
        <v/>
      </c>
    </row>
    <row r="162" spans="2:33" ht="13.8" x14ac:dyDescent="0.25">
      <c r="B162" s="141">
        <v>151</v>
      </c>
      <c r="C162" s="205"/>
      <c r="D162" s="195"/>
      <c r="E162" s="172"/>
      <c r="F162" s="553" t="str">
        <f>IF(D162="","",VLOOKUP(D162,'G-6 Hedgerow Data'!$B$2:$AG$15,2,FALSE))</f>
        <v/>
      </c>
      <c r="G162" s="499" t="str">
        <f>IF(D162="","",VLOOKUP(D162,'G-6 Hedgerow Data'!$B$2:$AG$15,3,FALSE))</f>
        <v/>
      </c>
      <c r="H162" s="145"/>
      <c r="I162" s="499" t="str">
        <f>IFERROR(VLOOKUP(H162,'G-1 All Habitats'!$Z$2:$AA$9,2,FALSE),"")</f>
        <v/>
      </c>
      <c r="J162" s="145"/>
      <c r="K162" s="520" t="str">
        <f>IF(J162="","",IF(VLOOKUP(J162,'G-3 Multipliers'!$L$3:$N$6,2,FALSE)=0,"Spatial Data Missing ⚠",VLOOKUP(J162,'G-3 Multipliers'!$L$3:$N$6,2,FALSE)))</f>
        <v/>
      </c>
      <c r="L162" s="505" t="str">
        <f>IF(J162="","",IF(VLOOKUP(J162,'G-3 Multipliers'!$L$3:$N$6,3,FALSE)=0,"Spatial Data Missing ⚠",VLOOKUP(J162,'G-3 Multipliers'!$L$3:$N$6,3,FALSE)))</f>
        <v/>
      </c>
      <c r="M162" s="498" t="str">
        <f>IF(OR(D162="",H162=""),"",(INDEX('G-6 Hedgerow Data'!$E$3:$I$15,MATCH(D162,'G-6 Hedgerow Data'!$B$3:$B$15,0),MATCH(H162,'G-6 Hedgerow Data'!$E$2:$I$2,0))))</f>
        <v/>
      </c>
      <c r="N162" s="195"/>
      <c r="O162" s="195"/>
      <c r="P162" s="507" t="str">
        <f t="shared" si="13"/>
        <v/>
      </c>
      <c r="Q162" s="521" t="str">
        <f t="shared" si="14"/>
        <v/>
      </c>
      <c r="R162" s="522" t="str">
        <f t="shared" si="12"/>
        <v/>
      </c>
      <c r="S162" s="537" t="str">
        <f>IF(D162="","",VLOOKUP(D162,'G-6 Hedgerow Data'!$B$3:$AG$15,31,FALSE))</f>
        <v/>
      </c>
      <c r="T162" s="507" t="str">
        <f t="shared" si="15"/>
        <v/>
      </c>
      <c r="U162" s="507" t="str">
        <f t="shared" si="16"/>
        <v/>
      </c>
      <c r="V162" s="524" t="str">
        <f>IF(D162="","",VLOOKUP(S162,'G-3 Multipliers'!$P$3:$Q$6,2,FALSE))</f>
        <v/>
      </c>
      <c r="W162" s="529" t="str">
        <f t="shared" si="17"/>
        <v/>
      </c>
      <c r="X162" s="149"/>
      <c r="Y162" s="150"/>
      <c r="AG162" s="31" t="str">
        <f>IFERROR(INDEX('G-6 Hedgerow Data'!$BJ$3:$BJ$15,MATCH(D162,'G-6 Hedgerow Data'!$B$3:$B$15,0)),"")</f>
        <v/>
      </c>
    </row>
    <row r="163" spans="2:33" ht="13.8" x14ac:dyDescent="0.25">
      <c r="B163" s="141">
        <v>152</v>
      </c>
      <c r="C163" s="205"/>
      <c r="D163" s="195"/>
      <c r="E163" s="172"/>
      <c r="F163" s="553" t="str">
        <f>IF(D163="","",VLOOKUP(D163,'G-6 Hedgerow Data'!$B$2:$AG$15,2,FALSE))</f>
        <v/>
      </c>
      <c r="G163" s="499" t="str">
        <f>IF(D163="","",VLOOKUP(D163,'G-6 Hedgerow Data'!$B$2:$AG$15,3,FALSE))</f>
        <v/>
      </c>
      <c r="H163" s="145"/>
      <c r="I163" s="499" t="str">
        <f>IFERROR(VLOOKUP(H163,'G-1 All Habitats'!$Z$2:$AA$9,2,FALSE),"")</f>
        <v/>
      </c>
      <c r="J163" s="145"/>
      <c r="K163" s="520" t="str">
        <f>IF(J163="","",IF(VLOOKUP(J163,'G-3 Multipliers'!$L$3:$N$6,2,FALSE)=0,"Spatial Data Missing ⚠",VLOOKUP(J163,'G-3 Multipliers'!$L$3:$N$6,2,FALSE)))</f>
        <v/>
      </c>
      <c r="L163" s="505" t="str">
        <f>IF(J163="","",IF(VLOOKUP(J163,'G-3 Multipliers'!$L$3:$N$6,3,FALSE)=0,"Spatial Data Missing ⚠",VLOOKUP(J163,'G-3 Multipliers'!$L$3:$N$6,3,FALSE)))</f>
        <v/>
      </c>
      <c r="M163" s="498" t="str">
        <f>IF(OR(D163="",H163=""),"",(INDEX('G-6 Hedgerow Data'!$E$3:$I$15,MATCH(D163,'G-6 Hedgerow Data'!$B$3:$B$15,0),MATCH(H163,'G-6 Hedgerow Data'!$E$2:$I$2,0))))</f>
        <v/>
      </c>
      <c r="N163" s="195"/>
      <c r="O163" s="195"/>
      <c r="P163" s="507" t="str">
        <f t="shared" si="13"/>
        <v/>
      </c>
      <c r="Q163" s="521" t="str">
        <f t="shared" si="14"/>
        <v/>
      </c>
      <c r="R163" s="522" t="str">
        <f t="shared" si="12"/>
        <v/>
      </c>
      <c r="S163" s="537" t="str">
        <f>IF(D163="","",VLOOKUP(D163,'G-6 Hedgerow Data'!$B$3:$AG$15,31,FALSE))</f>
        <v/>
      </c>
      <c r="T163" s="507" t="str">
        <f t="shared" si="15"/>
        <v/>
      </c>
      <c r="U163" s="507" t="str">
        <f t="shared" si="16"/>
        <v/>
      </c>
      <c r="V163" s="524" t="str">
        <f>IF(D163="","",VLOOKUP(S163,'G-3 Multipliers'!$P$3:$Q$6,2,FALSE))</f>
        <v/>
      </c>
      <c r="W163" s="529" t="str">
        <f t="shared" si="17"/>
        <v/>
      </c>
      <c r="X163" s="149"/>
      <c r="Y163" s="150"/>
      <c r="AG163" s="31" t="str">
        <f>IFERROR(INDEX('G-6 Hedgerow Data'!$BJ$3:$BJ$15,MATCH(D163,'G-6 Hedgerow Data'!$B$3:$B$15,0)),"")</f>
        <v/>
      </c>
    </row>
    <row r="164" spans="2:33" ht="13.8" x14ac:dyDescent="0.25">
      <c r="B164" s="141">
        <v>153</v>
      </c>
      <c r="C164" s="205"/>
      <c r="D164" s="195"/>
      <c r="E164" s="172"/>
      <c r="F164" s="553" t="str">
        <f>IF(D164="","",VLOOKUP(D164,'G-6 Hedgerow Data'!$B$2:$AG$15,2,FALSE))</f>
        <v/>
      </c>
      <c r="G164" s="499" t="str">
        <f>IF(D164="","",VLOOKUP(D164,'G-6 Hedgerow Data'!$B$2:$AG$15,3,FALSE))</f>
        <v/>
      </c>
      <c r="H164" s="145"/>
      <c r="I164" s="499" t="str">
        <f>IFERROR(VLOOKUP(H164,'G-1 All Habitats'!$Z$2:$AA$9,2,FALSE),"")</f>
        <v/>
      </c>
      <c r="J164" s="145"/>
      <c r="K164" s="520" t="str">
        <f>IF(J164="","",IF(VLOOKUP(J164,'G-3 Multipliers'!$L$3:$N$6,2,FALSE)=0,"Spatial Data Missing ⚠",VLOOKUP(J164,'G-3 Multipliers'!$L$3:$N$6,2,FALSE)))</f>
        <v/>
      </c>
      <c r="L164" s="505" t="str">
        <f>IF(J164="","",IF(VLOOKUP(J164,'G-3 Multipliers'!$L$3:$N$6,3,FALSE)=0,"Spatial Data Missing ⚠",VLOOKUP(J164,'G-3 Multipliers'!$L$3:$N$6,3,FALSE)))</f>
        <v/>
      </c>
      <c r="M164" s="498" t="str">
        <f>IF(OR(D164="",H164=""),"",(INDEX('G-6 Hedgerow Data'!$E$3:$I$15,MATCH(D164,'G-6 Hedgerow Data'!$B$3:$B$15,0),MATCH(H164,'G-6 Hedgerow Data'!$E$2:$I$2,0))))</f>
        <v/>
      </c>
      <c r="N164" s="195"/>
      <c r="O164" s="195"/>
      <c r="P164" s="507" t="str">
        <f t="shared" si="13"/>
        <v/>
      </c>
      <c r="Q164" s="521" t="str">
        <f t="shared" si="14"/>
        <v/>
      </c>
      <c r="R164" s="522" t="str">
        <f t="shared" si="12"/>
        <v/>
      </c>
      <c r="S164" s="537" t="str">
        <f>IF(D164="","",VLOOKUP(D164,'G-6 Hedgerow Data'!$B$3:$AG$15,31,FALSE))</f>
        <v/>
      </c>
      <c r="T164" s="507" t="str">
        <f t="shared" si="15"/>
        <v/>
      </c>
      <c r="U164" s="507" t="str">
        <f t="shared" si="16"/>
        <v/>
      </c>
      <c r="V164" s="524" t="str">
        <f>IF(D164="","",VLOOKUP(S164,'G-3 Multipliers'!$P$3:$Q$6,2,FALSE))</f>
        <v/>
      </c>
      <c r="W164" s="529" t="str">
        <f t="shared" si="17"/>
        <v/>
      </c>
      <c r="X164" s="149"/>
      <c r="Y164" s="150"/>
      <c r="AG164" s="31" t="str">
        <f>IFERROR(INDEX('G-6 Hedgerow Data'!$BJ$3:$BJ$15,MATCH(D164,'G-6 Hedgerow Data'!$B$3:$B$15,0)),"")</f>
        <v/>
      </c>
    </row>
    <row r="165" spans="2:33" ht="13.8" x14ac:dyDescent="0.25">
      <c r="B165" s="141">
        <v>154</v>
      </c>
      <c r="C165" s="205"/>
      <c r="D165" s="195"/>
      <c r="E165" s="172"/>
      <c r="F165" s="553" t="str">
        <f>IF(D165="","",VLOOKUP(D165,'G-6 Hedgerow Data'!$B$2:$AG$15,2,FALSE))</f>
        <v/>
      </c>
      <c r="G165" s="499" t="str">
        <f>IF(D165="","",VLOOKUP(D165,'G-6 Hedgerow Data'!$B$2:$AG$15,3,FALSE))</f>
        <v/>
      </c>
      <c r="H165" s="145"/>
      <c r="I165" s="499" t="str">
        <f>IFERROR(VLOOKUP(H165,'G-1 All Habitats'!$Z$2:$AA$9,2,FALSE),"")</f>
        <v/>
      </c>
      <c r="J165" s="145"/>
      <c r="K165" s="520" t="str">
        <f>IF(J165="","",IF(VLOOKUP(J165,'G-3 Multipliers'!$L$3:$N$6,2,FALSE)=0,"Spatial Data Missing ⚠",VLOOKUP(J165,'G-3 Multipliers'!$L$3:$N$6,2,FALSE)))</f>
        <v/>
      </c>
      <c r="L165" s="505" t="str">
        <f>IF(J165="","",IF(VLOOKUP(J165,'G-3 Multipliers'!$L$3:$N$6,3,FALSE)=0,"Spatial Data Missing ⚠",VLOOKUP(J165,'G-3 Multipliers'!$L$3:$N$6,3,FALSE)))</f>
        <v/>
      </c>
      <c r="M165" s="498" t="str">
        <f>IF(OR(D165="",H165=""),"",(INDEX('G-6 Hedgerow Data'!$E$3:$I$15,MATCH(D165,'G-6 Hedgerow Data'!$B$3:$B$15,0),MATCH(H165,'G-6 Hedgerow Data'!$E$2:$I$2,0))))</f>
        <v/>
      </c>
      <c r="N165" s="195"/>
      <c r="O165" s="195"/>
      <c r="P165" s="507" t="str">
        <f t="shared" si="13"/>
        <v/>
      </c>
      <c r="Q165" s="521" t="str">
        <f t="shared" si="14"/>
        <v/>
      </c>
      <c r="R165" s="522" t="str">
        <f t="shared" si="12"/>
        <v/>
      </c>
      <c r="S165" s="537" t="str">
        <f>IF(D165="","",VLOOKUP(D165,'G-6 Hedgerow Data'!$B$3:$AG$15,31,FALSE))</f>
        <v/>
      </c>
      <c r="T165" s="507" t="str">
        <f t="shared" si="15"/>
        <v/>
      </c>
      <c r="U165" s="507" t="str">
        <f t="shared" si="16"/>
        <v/>
      </c>
      <c r="V165" s="524" t="str">
        <f>IF(D165="","",VLOOKUP(S165,'G-3 Multipliers'!$P$3:$Q$6,2,FALSE))</f>
        <v/>
      </c>
      <c r="W165" s="529" t="str">
        <f t="shared" si="17"/>
        <v/>
      </c>
      <c r="X165" s="149"/>
      <c r="Y165" s="150"/>
      <c r="AG165" s="31" t="str">
        <f>IFERROR(INDEX('G-6 Hedgerow Data'!$BJ$3:$BJ$15,MATCH(D165,'G-6 Hedgerow Data'!$B$3:$B$15,0)),"")</f>
        <v/>
      </c>
    </row>
    <row r="166" spans="2:33" ht="13.8" x14ac:dyDescent="0.25">
      <c r="B166" s="141">
        <v>155</v>
      </c>
      <c r="C166" s="205"/>
      <c r="D166" s="195"/>
      <c r="E166" s="172"/>
      <c r="F166" s="553" t="str">
        <f>IF(D166="","",VLOOKUP(D166,'G-6 Hedgerow Data'!$B$2:$AG$15,2,FALSE))</f>
        <v/>
      </c>
      <c r="G166" s="499" t="str">
        <f>IF(D166="","",VLOOKUP(D166,'G-6 Hedgerow Data'!$B$2:$AG$15,3,FALSE))</f>
        <v/>
      </c>
      <c r="H166" s="145"/>
      <c r="I166" s="499" t="str">
        <f>IFERROR(VLOOKUP(H166,'G-1 All Habitats'!$Z$2:$AA$9,2,FALSE),"")</f>
        <v/>
      </c>
      <c r="J166" s="145"/>
      <c r="K166" s="520" t="str">
        <f>IF(J166="","",IF(VLOOKUP(J166,'G-3 Multipliers'!$L$3:$N$6,2,FALSE)=0,"Spatial Data Missing ⚠",VLOOKUP(J166,'G-3 Multipliers'!$L$3:$N$6,2,FALSE)))</f>
        <v/>
      </c>
      <c r="L166" s="505" t="str">
        <f>IF(J166="","",IF(VLOOKUP(J166,'G-3 Multipliers'!$L$3:$N$6,3,FALSE)=0,"Spatial Data Missing ⚠",VLOOKUP(J166,'G-3 Multipliers'!$L$3:$N$6,3,FALSE)))</f>
        <v/>
      </c>
      <c r="M166" s="498" t="str">
        <f>IF(OR(D166="",H166=""),"",(INDEX('G-6 Hedgerow Data'!$E$3:$I$15,MATCH(D166,'G-6 Hedgerow Data'!$B$3:$B$15,0),MATCH(H166,'G-6 Hedgerow Data'!$E$2:$I$2,0))))</f>
        <v/>
      </c>
      <c r="N166" s="195"/>
      <c r="O166" s="195"/>
      <c r="P166" s="507" t="str">
        <f t="shared" si="13"/>
        <v/>
      </c>
      <c r="Q166" s="521" t="str">
        <f t="shared" si="14"/>
        <v/>
      </c>
      <c r="R166" s="522" t="str">
        <f t="shared" si="12"/>
        <v/>
      </c>
      <c r="S166" s="537" t="str">
        <f>IF(D166="","",VLOOKUP(D166,'G-6 Hedgerow Data'!$B$3:$AG$15,31,FALSE))</f>
        <v/>
      </c>
      <c r="T166" s="507" t="str">
        <f t="shared" si="15"/>
        <v/>
      </c>
      <c r="U166" s="507" t="str">
        <f t="shared" si="16"/>
        <v/>
      </c>
      <c r="V166" s="524" t="str">
        <f>IF(D166="","",VLOOKUP(S166,'G-3 Multipliers'!$P$3:$Q$6,2,FALSE))</f>
        <v/>
      </c>
      <c r="W166" s="529" t="str">
        <f t="shared" si="17"/>
        <v/>
      </c>
      <c r="X166" s="149"/>
      <c r="Y166" s="150"/>
      <c r="AG166" s="31" t="str">
        <f>IFERROR(INDEX('G-6 Hedgerow Data'!$BJ$3:$BJ$15,MATCH(D166,'G-6 Hedgerow Data'!$B$3:$B$15,0)),"")</f>
        <v/>
      </c>
    </row>
    <row r="167" spans="2:33" ht="13.8" x14ac:dyDescent="0.25">
      <c r="B167" s="141">
        <v>156</v>
      </c>
      <c r="C167" s="205"/>
      <c r="D167" s="195"/>
      <c r="E167" s="172"/>
      <c r="F167" s="553" t="str">
        <f>IF(D167="","",VLOOKUP(D167,'G-6 Hedgerow Data'!$B$2:$AG$15,2,FALSE))</f>
        <v/>
      </c>
      <c r="G167" s="499" t="str">
        <f>IF(D167="","",VLOOKUP(D167,'G-6 Hedgerow Data'!$B$2:$AG$15,3,FALSE))</f>
        <v/>
      </c>
      <c r="H167" s="145"/>
      <c r="I167" s="499" t="str">
        <f>IFERROR(VLOOKUP(H167,'G-1 All Habitats'!$Z$2:$AA$9,2,FALSE),"")</f>
        <v/>
      </c>
      <c r="J167" s="145"/>
      <c r="K167" s="520" t="str">
        <f>IF(J167="","",IF(VLOOKUP(J167,'G-3 Multipliers'!$L$3:$N$6,2,FALSE)=0,"Spatial Data Missing ⚠",VLOOKUP(J167,'G-3 Multipliers'!$L$3:$N$6,2,FALSE)))</f>
        <v/>
      </c>
      <c r="L167" s="505" t="str">
        <f>IF(J167="","",IF(VLOOKUP(J167,'G-3 Multipliers'!$L$3:$N$6,3,FALSE)=0,"Spatial Data Missing ⚠",VLOOKUP(J167,'G-3 Multipliers'!$L$3:$N$6,3,FALSE)))</f>
        <v/>
      </c>
      <c r="M167" s="498" t="str">
        <f>IF(OR(D167="",H167=""),"",(INDEX('G-6 Hedgerow Data'!$E$3:$I$15,MATCH(D167,'G-6 Hedgerow Data'!$B$3:$B$15,0),MATCH(H167,'G-6 Hedgerow Data'!$E$2:$I$2,0))))</f>
        <v/>
      </c>
      <c r="N167" s="195"/>
      <c r="O167" s="195"/>
      <c r="P167" s="507" t="str">
        <f t="shared" si="13"/>
        <v/>
      </c>
      <c r="Q167" s="521" t="str">
        <f t="shared" si="14"/>
        <v/>
      </c>
      <c r="R167" s="522" t="str">
        <f t="shared" si="12"/>
        <v/>
      </c>
      <c r="S167" s="537" t="str">
        <f>IF(D167="","",VLOOKUP(D167,'G-6 Hedgerow Data'!$B$3:$AG$15,31,FALSE))</f>
        <v/>
      </c>
      <c r="T167" s="507" t="str">
        <f t="shared" si="15"/>
        <v/>
      </c>
      <c r="U167" s="507" t="str">
        <f t="shared" si="16"/>
        <v/>
      </c>
      <c r="V167" s="524" t="str">
        <f>IF(D167="","",VLOOKUP(S167,'G-3 Multipliers'!$P$3:$Q$6,2,FALSE))</f>
        <v/>
      </c>
      <c r="W167" s="529" t="str">
        <f t="shared" si="17"/>
        <v/>
      </c>
      <c r="X167" s="149"/>
      <c r="Y167" s="150"/>
      <c r="AG167" s="31" t="str">
        <f>IFERROR(INDEX('G-6 Hedgerow Data'!$BJ$3:$BJ$15,MATCH(D167,'G-6 Hedgerow Data'!$B$3:$B$15,0)),"")</f>
        <v/>
      </c>
    </row>
    <row r="168" spans="2:33" ht="13.8" x14ac:dyDescent="0.25">
      <c r="B168" s="141">
        <v>157</v>
      </c>
      <c r="C168" s="205"/>
      <c r="D168" s="195"/>
      <c r="E168" s="172"/>
      <c r="F168" s="553" t="str">
        <f>IF(D168="","",VLOOKUP(D168,'G-6 Hedgerow Data'!$B$2:$AG$15,2,FALSE))</f>
        <v/>
      </c>
      <c r="G168" s="499" t="str">
        <f>IF(D168="","",VLOOKUP(D168,'G-6 Hedgerow Data'!$B$2:$AG$15,3,FALSE))</f>
        <v/>
      </c>
      <c r="H168" s="145"/>
      <c r="I168" s="499" t="str">
        <f>IFERROR(VLOOKUP(H168,'G-1 All Habitats'!$Z$2:$AA$9,2,FALSE),"")</f>
        <v/>
      </c>
      <c r="J168" s="145"/>
      <c r="K168" s="520" t="str">
        <f>IF(J168="","",IF(VLOOKUP(J168,'G-3 Multipliers'!$L$3:$N$6,2,FALSE)=0,"Spatial Data Missing ⚠",VLOOKUP(J168,'G-3 Multipliers'!$L$3:$N$6,2,FALSE)))</f>
        <v/>
      </c>
      <c r="L168" s="505" t="str">
        <f>IF(J168="","",IF(VLOOKUP(J168,'G-3 Multipliers'!$L$3:$N$6,3,FALSE)=0,"Spatial Data Missing ⚠",VLOOKUP(J168,'G-3 Multipliers'!$L$3:$N$6,3,FALSE)))</f>
        <v/>
      </c>
      <c r="M168" s="498" t="str">
        <f>IF(OR(D168="",H168=""),"",(INDEX('G-6 Hedgerow Data'!$E$3:$I$15,MATCH(D168,'G-6 Hedgerow Data'!$B$3:$B$15,0),MATCH(H168,'G-6 Hedgerow Data'!$E$2:$I$2,0))))</f>
        <v/>
      </c>
      <c r="N168" s="195"/>
      <c r="O168" s="195"/>
      <c r="P168" s="507" t="str">
        <f t="shared" si="13"/>
        <v/>
      </c>
      <c r="Q168" s="521" t="str">
        <f t="shared" si="14"/>
        <v/>
      </c>
      <c r="R168" s="522" t="str">
        <f t="shared" si="12"/>
        <v/>
      </c>
      <c r="S168" s="537" t="str">
        <f>IF(D168="","",VLOOKUP(D168,'G-6 Hedgerow Data'!$B$3:$AG$15,31,FALSE))</f>
        <v/>
      </c>
      <c r="T168" s="507" t="str">
        <f t="shared" si="15"/>
        <v/>
      </c>
      <c r="U168" s="507" t="str">
        <f t="shared" si="16"/>
        <v/>
      </c>
      <c r="V168" s="524" t="str">
        <f>IF(D168="","",VLOOKUP(S168,'G-3 Multipliers'!$P$3:$Q$6,2,FALSE))</f>
        <v/>
      </c>
      <c r="W168" s="529" t="str">
        <f t="shared" si="17"/>
        <v/>
      </c>
      <c r="X168" s="149"/>
      <c r="Y168" s="150"/>
      <c r="AG168" s="31" t="str">
        <f>IFERROR(INDEX('G-6 Hedgerow Data'!$BJ$3:$BJ$15,MATCH(D168,'G-6 Hedgerow Data'!$B$3:$B$15,0)),"")</f>
        <v/>
      </c>
    </row>
    <row r="169" spans="2:33" ht="13.8" x14ac:dyDescent="0.25">
      <c r="B169" s="141">
        <v>158</v>
      </c>
      <c r="C169" s="205"/>
      <c r="D169" s="195"/>
      <c r="E169" s="172"/>
      <c r="F169" s="553" t="str">
        <f>IF(D169="","",VLOOKUP(D169,'G-6 Hedgerow Data'!$B$2:$AG$15,2,FALSE))</f>
        <v/>
      </c>
      <c r="G169" s="499" t="str">
        <f>IF(D169="","",VLOOKUP(D169,'G-6 Hedgerow Data'!$B$2:$AG$15,3,FALSE))</f>
        <v/>
      </c>
      <c r="H169" s="145"/>
      <c r="I169" s="499" t="str">
        <f>IFERROR(VLOOKUP(H169,'G-1 All Habitats'!$Z$2:$AA$9,2,FALSE),"")</f>
        <v/>
      </c>
      <c r="J169" s="145"/>
      <c r="K169" s="520" t="str">
        <f>IF(J169="","",IF(VLOOKUP(J169,'G-3 Multipliers'!$L$3:$N$6,2,FALSE)=0,"Spatial Data Missing ⚠",VLOOKUP(J169,'G-3 Multipliers'!$L$3:$N$6,2,FALSE)))</f>
        <v/>
      </c>
      <c r="L169" s="505" t="str">
        <f>IF(J169="","",IF(VLOOKUP(J169,'G-3 Multipliers'!$L$3:$N$6,3,FALSE)=0,"Spatial Data Missing ⚠",VLOOKUP(J169,'G-3 Multipliers'!$L$3:$N$6,3,FALSE)))</f>
        <v/>
      </c>
      <c r="M169" s="498" t="str">
        <f>IF(OR(D169="",H169=""),"",(INDEX('G-6 Hedgerow Data'!$E$3:$I$15,MATCH(D169,'G-6 Hedgerow Data'!$B$3:$B$15,0),MATCH(H169,'G-6 Hedgerow Data'!$E$2:$I$2,0))))</f>
        <v/>
      </c>
      <c r="N169" s="195"/>
      <c r="O169" s="195"/>
      <c r="P169" s="507" t="str">
        <f t="shared" si="13"/>
        <v/>
      </c>
      <c r="Q169" s="521" t="str">
        <f t="shared" si="14"/>
        <v/>
      </c>
      <c r="R169" s="522" t="str">
        <f t="shared" si="12"/>
        <v/>
      </c>
      <c r="S169" s="537" t="str">
        <f>IF(D169="","",VLOOKUP(D169,'G-6 Hedgerow Data'!$B$3:$AG$15,31,FALSE))</f>
        <v/>
      </c>
      <c r="T169" s="507" t="str">
        <f t="shared" si="15"/>
        <v/>
      </c>
      <c r="U169" s="507" t="str">
        <f t="shared" si="16"/>
        <v/>
      </c>
      <c r="V169" s="524" t="str">
        <f>IF(D169="","",VLOOKUP(S169,'G-3 Multipliers'!$P$3:$Q$6,2,FALSE))</f>
        <v/>
      </c>
      <c r="W169" s="529" t="str">
        <f t="shared" si="17"/>
        <v/>
      </c>
      <c r="X169" s="149"/>
      <c r="Y169" s="150"/>
      <c r="AG169" s="31" t="str">
        <f>IFERROR(INDEX('G-6 Hedgerow Data'!$BJ$3:$BJ$15,MATCH(D169,'G-6 Hedgerow Data'!$B$3:$B$15,0)),"")</f>
        <v/>
      </c>
    </row>
    <row r="170" spans="2:33" ht="13.8" x14ac:dyDescent="0.25">
      <c r="B170" s="141">
        <v>159</v>
      </c>
      <c r="C170" s="205"/>
      <c r="D170" s="195"/>
      <c r="E170" s="172"/>
      <c r="F170" s="553" t="str">
        <f>IF(D170="","",VLOOKUP(D170,'G-6 Hedgerow Data'!$B$2:$AG$15,2,FALSE))</f>
        <v/>
      </c>
      <c r="G170" s="499" t="str">
        <f>IF(D170="","",VLOOKUP(D170,'G-6 Hedgerow Data'!$B$2:$AG$15,3,FALSE))</f>
        <v/>
      </c>
      <c r="H170" s="145"/>
      <c r="I170" s="499" t="str">
        <f>IFERROR(VLOOKUP(H170,'G-1 All Habitats'!$Z$2:$AA$9,2,FALSE),"")</f>
        <v/>
      </c>
      <c r="J170" s="145"/>
      <c r="K170" s="520" t="str">
        <f>IF(J170="","",IF(VLOOKUP(J170,'G-3 Multipliers'!$L$3:$N$6,2,FALSE)=0,"Spatial Data Missing ⚠",VLOOKUP(J170,'G-3 Multipliers'!$L$3:$N$6,2,FALSE)))</f>
        <v/>
      </c>
      <c r="L170" s="505" t="str">
        <f>IF(J170="","",IF(VLOOKUP(J170,'G-3 Multipliers'!$L$3:$N$6,3,FALSE)=0,"Spatial Data Missing ⚠",VLOOKUP(J170,'G-3 Multipliers'!$L$3:$N$6,3,FALSE)))</f>
        <v/>
      </c>
      <c r="M170" s="498" t="str">
        <f>IF(OR(D170="",H170=""),"",(INDEX('G-6 Hedgerow Data'!$E$3:$I$15,MATCH(D170,'G-6 Hedgerow Data'!$B$3:$B$15,0),MATCH(H170,'G-6 Hedgerow Data'!$E$2:$I$2,0))))</f>
        <v/>
      </c>
      <c r="N170" s="195"/>
      <c r="O170" s="195"/>
      <c r="P170" s="507" t="str">
        <f t="shared" si="13"/>
        <v/>
      </c>
      <c r="Q170" s="521" t="str">
        <f t="shared" si="14"/>
        <v/>
      </c>
      <c r="R170" s="522" t="str">
        <f t="shared" si="12"/>
        <v/>
      </c>
      <c r="S170" s="537" t="str">
        <f>IF(D170="","",VLOOKUP(D170,'G-6 Hedgerow Data'!$B$3:$AG$15,31,FALSE))</f>
        <v/>
      </c>
      <c r="T170" s="507" t="str">
        <f t="shared" si="15"/>
        <v/>
      </c>
      <c r="U170" s="507" t="str">
        <f t="shared" si="16"/>
        <v/>
      </c>
      <c r="V170" s="524" t="str">
        <f>IF(D170="","",VLOOKUP(S170,'G-3 Multipliers'!$P$3:$Q$6,2,FALSE))</f>
        <v/>
      </c>
      <c r="W170" s="529" t="str">
        <f t="shared" si="17"/>
        <v/>
      </c>
      <c r="X170" s="149"/>
      <c r="Y170" s="150"/>
      <c r="AG170" s="31" t="str">
        <f>IFERROR(INDEX('G-6 Hedgerow Data'!$BJ$3:$BJ$15,MATCH(D170,'G-6 Hedgerow Data'!$B$3:$B$15,0)),"")</f>
        <v/>
      </c>
    </row>
    <row r="171" spans="2:33" ht="13.8" x14ac:dyDescent="0.25">
      <c r="B171" s="141">
        <v>160</v>
      </c>
      <c r="C171" s="205"/>
      <c r="D171" s="195"/>
      <c r="E171" s="172"/>
      <c r="F171" s="553" t="str">
        <f>IF(D171="","",VLOOKUP(D171,'G-6 Hedgerow Data'!$B$2:$AG$15,2,FALSE))</f>
        <v/>
      </c>
      <c r="G171" s="499" t="str">
        <f>IF(D171="","",VLOOKUP(D171,'G-6 Hedgerow Data'!$B$2:$AG$15,3,FALSE))</f>
        <v/>
      </c>
      <c r="H171" s="145"/>
      <c r="I171" s="499" t="str">
        <f>IFERROR(VLOOKUP(H171,'G-1 All Habitats'!$Z$2:$AA$9,2,FALSE),"")</f>
        <v/>
      </c>
      <c r="J171" s="145"/>
      <c r="K171" s="520" t="str">
        <f>IF(J171="","",IF(VLOOKUP(J171,'G-3 Multipliers'!$L$3:$N$6,2,FALSE)=0,"Spatial Data Missing ⚠",VLOOKUP(J171,'G-3 Multipliers'!$L$3:$N$6,2,FALSE)))</f>
        <v/>
      </c>
      <c r="L171" s="505" t="str">
        <f>IF(J171="","",IF(VLOOKUP(J171,'G-3 Multipliers'!$L$3:$N$6,3,FALSE)=0,"Spatial Data Missing ⚠",VLOOKUP(J171,'G-3 Multipliers'!$L$3:$N$6,3,FALSE)))</f>
        <v/>
      </c>
      <c r="M171" s="498" t="str">
        <f>IF(OR(D171="",H171=""),"",(INDEX('G-6 Hedgerow Data'!$E$3:$I$15,MATCH(D171,'G-6 Hedgerow Data'!$B$3:$B$15,0),MATCH(H171,'G-6 Hedgerow Data'!$E$2:$I$2,0))))</f>
        <v/>
      </c>
      <c r="N171" s="195"/>
      <c r="O171" s="195"/>
      <c r="P171" s="507" t="str">
        <f t="shared" si="13"/>
        <v/>
      </c>
      <c r="Q171" s="521" t="str">
        <f t="shared" si="14"/>
        <v/>
      </c>
      <c r="R171" s="522" t="str">
        <f t="shared" si="12"/>
        <v/>
      </c>
      <c r="S171" s="537" t="str">
        <f>IF(D171="","",VLOOKUP(D171,'G-6 Hedgerow Data'!$B$3:$AG$15,31,FALSE))</f>
        <v/>
      </c>
      <c r="T171" s="507" t="str">
        <f t="shared" si="15"/>
        <v/>
      </c>
      <c r="U171" s="507" t="str">
        <f t="shared" si="16"/>
        <v/>
      </c>
      <c r="V171" s="524" t="str">
        <f>IF(D171="","",VLOOKUP(S171,'G-3 Multipliers'!$P$3:$Q$6,2,FALSE))</f>
        <v/>
      </c>
      <c r="W171" s="529" t="str">
        <f t="shared" si="17"/>
        <v/>
      </c>
      <c r="X171" s="149"/>
      <c r="Y171" s="150"/>
      <c r="AG171" s="31" t="str">
        <f>IFERROR(INDEX('G-6 Hedgerow Data'!$BJ$3:$BJ$15,MATCH(D171,'G-6 Hedgerow Data'!$B$3:$B$15,0)),"")</f>
        <v/>
      </c>
    </row>
    <row r="172" spans="2:33" ht="13.8" x14ac:dyDescent="0.25">
      <c r="B172" s="141">
        <v>161</v>
      </c>
      <c r="C172" s="205"/>
      <c r="D172" s="195"/>
      <c r="E172" s="172"/>
      <c r="F172" s="553" t="str">
        <f>IF(D172="","",VLOOKUP(D172,'G-6 Hedgerow Data'!$B$2:$AG$15,2,FALSE))</f>
        <v/>
      </c>
      <c r="G172" s="499" t="str">
        <f>IF(D172="","",VLOOKUP(D172,'G-6 Hedgerow Data'!$B$2:$AG$15,3,FALSE))</f>
        <v/>
      </c>
      <c r="H172" s="145"/>
      <c r="I172" s="499" t="str">
        <f>IFERROR(VLOOKUP(H172,'G-1 All Habitats'!$Z$2:$AA$9,2,FALSE),"")</f>
        <v/>
      </c>
      <c r="J172" s="145"/>
      <c r="K172" s="520" t="str">
        <f>IF(J172="","",IF(VLOOKUP(J172,'G-3 Multipliers'!$L$3:$N$6,2,FALSE)=0,"Spatial Data Missing ⚠",VLOOKUP(J172,'G-3 Multipliers'!$L$3:$N$6,2,FALSE)))</f>
        <v/>
      </c>
      <c r="L172" s="505" t="str">
        <f>IF(J172="","",IF(VLOOKUP(J172,'G-3 Multipliers'!$L$3:$N$6,3,FALSE)=0,"Spatial Data Missing ⚠",VLOOKUP(J172,'G-3 Multipliers'!$L$3:$N$6,3,FALSE)))</f>
        <v/>
      </c>
      <c r="M172" s="498" t="str">
        <f>IF(OR(D172="",H172=""),"",(INDEX('G-6 Hedgerow Data'!$E$3:$I$15,MATCH(D172,'G-6 Hedgerow Data'!$B$3:$B$15,0),MATCH(H172,'G-6 Hedgerow Data'!$E$2:$I$2,0))))</f>
        <v/>
      </c>
      <c r="N172" s="195"/>
      <c r="O172" s="195"/>
      <c r="P172" s="507" t="str">
        <f t="shared" si="13"/>
        <v/>
      </c>
      <c r="Q172" s="521" t="str">
        <f t="shared" si="14"/>
        <v/>
      </c>
      <c r="R172" s="522" t="str">
        <f t="shared" si="12"/>
        <v/>
      </c>
      <c r="S172" s="537" t="str">
        <f>IF(D172="","",VLOOKUP(D172,'G-6 Hedgerow Data'!$B$3:$AG$15,31,FALSE))</f>
        <v/>
      </c>
      <c r="T172" s="507" t="str">
        <f t="shared" si="15"/>
        <v/>
      </c>
      <c r="U172" s="507" t="str">
        <f t="shared" si="16"/>
        <v/>
      </c>
      <c r="V172" s="524" t="str">
        <f>IF(D172="","",VLOOKUP(S172,'G-3 Multipliers'!$P$3:$Q$6,2,FALSE))</f>
        <v/>
      </c>
      <c r="W172" s="529" t="str">
        <f t="shared" si="17"/>
        <v/>
      </c>
      <c r="X172" s="149"/>
      <c r="Y172" s="150"/>
      <c r="AG172" s="31" t="str">
        <f>IFERROR(INDEX('G-6 Hedgerow Data'!$BJ$3:$BJ$15,MATCH(D172,'G-6 Hedgerow Data'!$B$3:$B$15,0)),"")</f>
        <v/>
      </c>
    </row>
    <row r="173" spans="2:33" ht="13.8" x14ac:dyDescent="0.25">
      <c r="B173" s="141">
        <v>162</v>
      </c>
      <c r="C173" s="205"/>
      <c r="D173" s="195"/>
      <c r="E173" s="172"/>
      <c r="F173" s="553" t="str">
        <f>IF(D173="","",VLOOKUP(D173,'G-6 Hedgerow Data'!$B$2:$AG$15,2,FALSE))</f>
        <v/>
      </c>
      <c r="G173" s="499" t="str">
        <f>IF(D173="","",VLOOKUP(D173,'G-6 Hedgerow Data'!$B$2:$AG$15,3,FALSE))</f>
        <v/>
      </c>
      <c r="H173" s="145"/>
      <c r="I173" s="499" t="str">
        <f>IFERROR(VLOOKUP(H173,'G-1 All Habitats'!$Z$2:$AA$9,2,FALSE),"")</f>
        <v/>
      </c>
      <c r="J173" s="145"/>
      <c r="K173" s="520" t="str">
        <f>IF(J173="","",IF(VLOOKUP(J173,'G-3 Multipliers'!$L$3:$N$6,2,FALSE)=0,"Spatial Data Missing ⚠",VLOOKUP(J173,'G-3 Multipliers'!$L$3:$N$6,2,FALSE)))</f>
        <v/>
      </c>
      <c r="L173" s="505" t="str">
        <f>IF(J173="","",IF(VLOOKUP(J173,'G-3 Multipliers'!$L$3:$N$6,3,FALSE)=0,"Spatial Data Missing ⚠",VLOOKUP(J173,'G-3 Multipliers'!$L$3:$N$6,3,FALSE)))</f>
        <v/>
      </c>
      <c r="M173" s="498" t="str">
        <f>IF(OR(D173="",H173=""),"",(INDEX('G-6 Hedgerow Data'!$E$3:$I$15,MATCH(D173,'G-6 Hedgerow Data'!$B$3:$B$15,0),MATCH(H173,'G-6 Hedgerow Data'!$E$2:$I$2,0))))</f>
        <v/>
      </c>
      <c r="N173" s="195"/>
      <c r="O173" s="195"/>
      <c r="P173" s="507" t="str">
        <f t="shared" si="13"/>
        <v/>
      </c>
      <c r="Q173" s="521" t="str">
        <f t="shared" si="14"/>
        <v/>
      </c>
      <c r="R173" s="522" t="str">
        <f t="shared" si="12"/>
        <v/>
      </c>
      <c r="S173" s="537" t="str">
        <f>IF(D173="","",VLOOKUP(D173,'G-6 Hedgerow Data'!$B$3:$AG$15,31,FALSE))</f>
        <v/>
      </c>
      <c r="T173" s="507" t="str">
        <f t="shared" si="15"/>
        <v/>
      </c>
      <c r="U173" s="507" t="str">
        <f t="shared" si="16"/>
        <v/>
      </c>
      <c r="V173" s="524" t="str">
        <f>IF(D173="","",VLOOKUP(S173,'G-3 Multipliers'!$P$3:$Q$6,2,FALSE))</f>
        <v/>
      </c>
      <c r="W173" s="529" t="str">
        <f t="shared" si="17"/>
        <v/>
      </c>
      <c r="X173" s="149"/>
      <c r="Y173" s="150"/>
      <c r="AG173" s="31" t="str">
        <f>IFERROR(INDEX('G-6 Hedgerow Data'!$BJ$3:$BJ$15,MATCH(D173,'G-6 Hedgerow Data'!$B$3:$B$15,0)),"")</f>
        <v/>
      </c>
    </row>
    <row r="174" spans="2:33" ht="13.8" x14ac:dyDescent="0.25">
      <c r="B174" s="141">
        <v>163</v>
      </c>
      <c r="C174" s="205"/>
      <c r="D174" s="195"/>
      <c r="E174" s="172"/>
      <c r="F174" s="553" t="str">
        <f>IF(D174="","",VLOOKUP(D174,'G-6 Hedgerow Data'!$B$2:$AG$15,2,FALSE))</f>
        <v/>
      </c>
      <c r="G174" s="499" t="str">
        <f>IF(D174="","",VLOOKUP(D174,'G-6 Hedgerow Data'!$B$2:$AG$15,3,FALSE))</f>
        <v/>
      </c>
      <c r="H174" s="145"/>
      <c r="I174" s="499" t="str">
        <f>IFERROR(VLOOKUP(H174,'G-1 All Habitats'!$Z$2:$AA$9,2,FALSE),"")</f>
        <v/>
      </c>
      <c r="J174" s="145"/>
      <c r="K174" s="520" t="str">
        <f>IF(J174="","",IF(VLOOKUP(J174,'G-3 Multipliers'!$L$3:$N$6,2,FALSE)=0,"Spatial Data Missing ⚠",VLOOKUP(J174,'G-3 Multipliers'!$L$3:$N$6,2,FALSE)))</f>
        <v/>
      </c>
      <c r="L174" s="505" t="str">
        <f>IF(J174="","",IF(VLOOKUP(J174,'G-3 Multipliers'!$L$3:$N$6,3,FALSE)=0,"Spatial Data Missing ⚠",VLOOKUP(J174,'G-3 Multipliers'!$L$3:$N$6,3,FALSE)))</f>
        <v/>
      </c>
      <c r="M174" s="498" t="str">
        <f>IF(OR(D174="",H174=""),"",(INDEX('G-6 Hedgerow Data'!$E$3:$I$15,MATCH(D174,'G-6 Hedgerow Data'!$B$3:$B$15,0),MATCH(H174,'G-6 Hedgerow Data'!$E$2:$I$2,0))))</f>
        <v/>
      </c>
      <c r="N174" s="195"/>
      <c r="O174" s="195"/>
      <c r="P174" s="507" t="str">
        <f t="shared" si="13"/>
        <v/>
      </c>
      <c r="Q174" s="521" t="str">
        <f t="shared" si="14"/>
        <v/>
      </c>
      <c r="R174" s="522" t="str">
        <f t="shared" si="12"/>
        <v/>
      </c>
      <c r="S174" s="537" t="str">
        <f>IF(D174="","",VLOOKUP(D174,'G-6 Hedgerow Data'!$B$3:$AG$15,31,FALSE))</f>
        <v/>
      </c>
      <c r="T174" s="507" t="str">
        <f t="shared" si="15"/>
        <v/>
      </c>
      <c r="U174" s="507" t="str">
        <f t="shared" si="16"/>
        <v/>
      </c>
      <c r="V174" s="524" t="str">
        <f>IF(D174="","",VLOOKUP(S174,'G-3 Multipliers'!$P$3:$Q$6,2,FALSE))</f>
        <v/>
      </c>
      <c r="W174" s="529" t="str">
        <f t="shared" si="17"/>
        <v/>
      </c>
      <c r="X174" s="149"/>
      <c r="Y174" s="150"/>
      <c r="AG174" s="31" t="str">
        <f>IFERROR(INDEX('G-6 Hedgerow Data'!$BJ$3:$BJ$15,MATCH(D174,'G-6 Hedgerow Data'!$B$3:$B$15,0)),"")</f>
        <v/>
      </c>
    </row>
    <row r="175" spans="2:33" ht="13.8" x14ac:dyDescent="0.25">
      <c r="B175" s="141">
        <v>164</v>
      </c>
      <c r="C175" s="205"/>
      <c r="D175" s="195"/>
      <c r="E175" s="172"/>
      <c r="F175" s="553" t="str">
        <f>IF(D175="","",VLOOKUP(D175,'G-6 Hedgerow Data'!$B$2:$AG$15,2,FALSE))</f>
        <v/>
      </c>
      <c r="G175" s="499" t="str">
        <f>IF(D175="","",VLOOKUP(D175,'G-6 Hedgerow Data'!$B$2:$AG$15,3,FALSE))</f>
        <v/>
      </c>
      <c r="H175" s="145"/>
      <c r="I175" s="499" t="str">
        <f>IFERROR(VLOOKUP(H175,'G-1 All Habitats'!$Z$2:$AA$9,2,FALSE),"")</f>
        <v/>
      </c>
      <c r="J175" s="145"/>
      <c r="K175" s="520" t="str">
        <f>IF(J175="","",IF(VLOOKUP(J175,'G-3 Multipliers'!$L$3:$N$6,2,FALSE)=0,"Spatial Data Missing ⚠",VLOOKUP(J175,'G-3 Multipliers'!$L$3:$N$6,2,FALSE)))</f>
        <v/>
      </c>
      <c r="L175" s="505" t="str">
        <f>IF(J175="","",IF(VLOOKUP(J175,'G-3 Multipliers'!$L$3:$N$6,3,FALSE)=0,"Spatial Data Missing ⚠",VLOOKUP(J175,'G-3 Multipliers'!$L$3:$N$6,3,FALSE)))</f>
        <v/>
      </c>
      <c r="M175" s="498" t="str">
        <f>IF(OR(D175="",H175=""),"",(INDEX('G-6 Hedgerow Data'!$E$3:$I$15,MATCH(D175,'G-6 Hedgerow Data'!$B$3:$B$15,0),MATCH(H175,'G-6 Hedgerow Data'!$E$2:$I$2,0))))</f>
        <v/>
      </c>
      <c r="N175" s="195"/>
      <c r="O175" s="195"/>
      <c r="P175" s="507" t="str">
        <f t="shared" si="13"/>
        <v/>
      </c>
      <c r="Q175" s="521" t="str">
        <f t="shared" si="14"/>
        <v/>
      </c>
      <c r="R175" s="522" t="str">
        <f t="shared" si="12"/>
        <v/>
      </c>
      <c r="S175" s="537" t="str">
        <f>IF(D175="","",VLOOKUP(D175,'G-6 Hedgerow Data'!$B$3:$AG$15,31,FALSE))</f>
        <v/>
      </c>
      <c r="T175" s="507" t="str">
        <f t="shared" si="15"/>
        <v/>
      </c>
      <c r="U175" s="507" t="str">
        <f t="shared" si="16"/>
        <v/>
      </c>
      <c r="V175" s="524" t="str">
        <f>IF(D175="","",VLOOKUP(S175,'G-3 Multipliers'!$P$3:$Q$6,2,FALSE))</f>
        <v/>
      </c>
      <c r="W175" s="529" t="str">
        <f t="shared" si="17"/>
        <v/>
      </c>
      <c r="X175" s="149"/>
      <c r="Y175" s="150"/>
      <c r="AG175" s="31" t="str">
        <f>IFERROR(INDEX('G-6 Hedgerow Data'!$BJ$3:$BJ$15,MATCH(D175,'G-6 Hedgerow Data'!$B$3:$B$15,0)),"")</f>
        <v/>
      </c>
    </row>
    <row r="176" spans="2:33" ht="13.8" x14ac:dyDescent="0.25">
      <c r="B176" s="141">
        <v>165</v>
      </c>
      <c r="C176" s="205"/>
      <c r="D176" s="195"/>
      <c r="E176" s="172"/>
      <c r="F176" s="553" t="str">
        <f>IF(D176="","",VLOOKUP(D176,'G-6 Hedgerow Data'!$B$2:$AG$15,2,FALSE))</f>
        <v/>
      </c>
      <c r="G176" s="499" t="str">
        <f>IF(D176="","",VLOOKUP(D176,'G-6 Hedgerow Data'!$B$2:$AG$15,3,FALSE))</f>
        <v/>
      </c>
      <c r="H176" s="145"/>
      <c r="I176" s="499" t="str">
        <f>IFERROR(VLOOKUP(H176,'G-1 All Habitats'!$Z$2:$AA$9,2,FALSE),"")</f>
        <v/>
      </c>
      <c r="J176" s="145"/>
      <c r="K176" s="520" t="str">
        <f>IF(J176="","",IF(VLOOKUP(J176,'G-3 Multipliers'!$L$3:$N$6,2,FALSE)=0,"Spatial Data Missing ⚠",VLOOKUP(J176,'G-3 Multipliers'!$L$3:$N$6,2,FALSE)))</f>
        <v/>
      </c>
      <c r="L176" s="505" t="str">
        <f>IF(J176="","",IF(VLOOKUP(J176,'G-3 Multipliers'!$L$3:$N$6,3,FALSE)=0,"Spatial Data Missing ⚠",VLOOKUP(J176,'G-3 Multipliers'!$L$3:$N$6,3,FALSE)))</f>
        <v/>
      </c>
      <c r="M176" s="498" t="str">
        <f>IF(OR(D176="",H176=""),"",(INDEX('G-6 Hedgerow Data'!$E$3:$I$15,MATCH(D176,'G-6 Hedgerow Data'!$B$3:$B$15,0),MATCH(H176,'G-6 Hedgerow Data'!$E$2:$I$2,0))))</f>
        <v/>
      </c>
      <c r="N176" s="195"/>
      <c r="O176" s="195"/>
      <c r="P176" s="507" t="str">
        <f t="shared" si="13"/>
        <v/>
      </c>
      <c r="Q176" s="521" t="str">
        <f t="shared" si="14"/>
        <v/>
      </c>
      <c r="R176" s="522" t="str">
        <f t="shared" si="12"/>
        <v/>
      </c>
      <c r="S176" s="537" t="str">
        <f>IF(D176="","",VLOOKUP(D176,'G-6 Hedgerow Data'!$B$3:$AG$15,31,FALSE))</f>
        <v/>
      </c>
      <c r="T176" s="507" t="str">
        <f t="shared" si="15"/>
        <v/>
      </c>
      <c r="U176" s="507" t="str">
        <f t="shared" si="16"/>
        <v/>
      </c>
      <c r="V176" s="524" t="str">
        <f>IF(D176="","",VLOOKUP(S176,'G-3 Multipliers'!$P$3:$Q$6,2,FALSE))</f>
        <v/>
      </c>
      <c r="W176" s="529" t="str">
        <f t="shared" si="17"/>
        <v/>
      </c>
      <c r="X176" s="149"/>
      <c r="Y176" s="150"/>
      <c r="AG176" s="31" t="str">
        <f>IFERROR(INDEX('G-6 Hedgerow Data'!$BJ$3:$BJ$15,MATCH(D176,'G-6 Hedgerow Data'!$B$3:$B$15,0)),"")</f>
        <v/>
      </c>
    </row>
    <row r="177" spans="2:33" ht="13.8" x14ac:dyDescent="0.25">
      <c r="B177" s="141">
        <v>166</v>
      </c>
      <c r="C177" s="205"/>
      <c r="D177" s="195"/>
      <c r="E177" s="172"/>
      <c r="F177" s="553" t="str">
        <f>IF(D177="","",VLOOKUP(D177,'G-6 Hedgerow Data'!$B$2:$AG$15,2,FALSE))</f>
        <v/>
      </c>
      <c r="G177" s="499" t="str">
        <f>IF(D177="","",VLOOKUP(D177,'G-6 Hedgerow Data'!$B$2:$AG$15,3,FALSE))</f>
        <v/>
      </c>
      <c r="H177" s="145"/>
      <c r="I177" s="499" t="str">
        <f>IFERROR(VLOOKUP(H177,'G-1 All Habitats'!$Z$2:$AA$9,2,FALSE),"")</f>
        <v/>
      </c>
      <c r="J177" s="145"/>
      <c r="K177" s="520" t="str">
        <f>IF(J177="","",IF(VLOOKUP(J177,'G-3 Multipliers'!$L$3:$N$6,2,FALSE)=0,"Spatial Data Missing ⚠",VLOOKUP(J177,'G-3 Multipliers'!$L$3:$N$6,2,FALSE)))</f>
        <v/>
      </c>
      <c r="L177" s="505" t="str">
        <f>IF(J177="","",IF(VLOOKUP(J177,'G-3 Multipliers'!$L$3:$N$6,3,FALSE)=0,"Spatial Data Missing ⚠",VLOOKUP(J177,'G-3 Multipliers'!$L$3:$N$6,3,FALSE)))</f>
        <v/>
      </c>
      <c r="M177" s="498" t="str">
        <f>IF(OR(D177="",H177=""),"",(INDEX('G-6 Hedgerow Data'!$E$3:$I$15,MATCH(D177,'G-6 Hedgerow Data'!$B$3:$B$15,0),MATCH(H177,'G-6 Hedgerow Data'!$E$2:$I$2,0))))</f>
        <v/>
      </c>
      <c r="N177" s="195"/>
      <c r="O177" s="195"/>
      <c r="P177" s="507" t="str">
        <f t="shared" si="13"/>
        <v/>
      </c>
      <c r="Q177" s="521" t="str">
        <f t="shared" si="14"/>
        <v/>
      </c>
      <c r="R177" s="522" t="str">
        <f t="shared" si="12"/>
        <v/>
      </c>
      <c r="S177" s="537" t="str">
        <f>IF(D177="","",VLOOKUP(D177,'G-6 Hedgerow Data'!$B$3:$AG$15,31,FALSE))</f>
        <v/>
      </c>
      <c r="T177" s="507" t="str">
        <f t="shared" si="15"/>
        <v/>
      </c>
      <c r="U177" s="507" t="str">
        <f t="shared" si="16"/>
        <v/>
      </c>
      <c r="V177" s="524" t="str">
        <f>IF(D177="","",VLOOKUP(S177,'G-3 Multipliers'!$P$3:$Q$6,2,FALSE))</f>
        <v/>
      </c>
      <c r="W177" s="529" t="str">
        <f t="shared" si="17"/>
        <v/>
      </c>
      <c r="X177" s="149"/>
      <c r="Y177" s="150"/>
      <c r="AG177" s="31" t="str">
        <f>IFERROR(INDEX('G-6 Hedgerow Data'!$BJ$3:$BJ$15,MATCH(D177,'G-6 Hedgerow Data'!$B$3:$B$15,0)),"")</f>
        <v/>
      </c>
    </row>
    <row r="178" spans="2:33" ht="13.8" x14ac:dyDescent="0.25">
      <c r="B178" s="141">
        <v>167</v>
      </c>
      <c r="C178" s="205"/>
      <c r="D178" s="195"/>
      <c r="E178" s="172"/>
      <c r="F178" s="553" t="str">
        <f>IF(D178="","",VLOOKUP(D178,'G-6 Hedgerow Data'!$B$2:$AG$15,2,FALSE))</f>
        <v/>
      </c>
      <c r="G178" s="499" t="str">
        <f>IF(D178="","",VLOOKUP(D178,'G-6 Hedgerow Data'!$B$2:$AG$15,3,FALSE))</f>
        <v/>
      </c>
      <c r="H178" s="145"/>
      <c r="I178" s="499" t="str">
        <f>IFERROR(VLOOKUP(H178,'G-1 All Habitats'!$Z$2:$AA$9,2,FALSE),"")</f>
        <v/>
      </c>
      <c r="J178" s="145"/>
      <c r="K178" s="520" t="str">
        <f>IF(J178="","",IF(VLOOKUP(J178,'G-3 Multipliers'!$L$3:$N$6,2,FALSE)=0,"Spatial Data Missing ⚠",VLOOKUP(J178,'G-3 Multipliers'!$L$3:$N$6,2,FALSE)))</f>
        <v/>
      </c>
      <c r="L178" s="505" t="str">
        <f>IF(J178="","",IF(VLOOKUP(J178,'G-3 Multipliers'!$L$3:$N$6,3,FALSE)=0,"Spatial Data Missing ⚠",VLOOKUP(J178,'G-3 Multipliers'!$L$3:$N$6,3,FALSE)))</f>
        <v/>
      </c>
      <c r="M178" s="498" t="str">
        <f>IF(OR(D178="",H178=""),"",(INDEX('G-6 Hedgerow Data'!$E$3:$I$15,MATCH(D178,'G-6 Hedgerow Data'!$B$3:$B$15,0),MATCH(H178,'G-6 Hedgerow Data'!$E$2:$I$2,0))))</f>
        <v/>
      </c>
      <c r="N178" s="195"/>
      <c r="O178" s="195"/>
      <c r="P178" s="507" t="str">
        <f t="shared" si="13"/>
        <v/>
      </c>
      <c r="Q178" s="521" t="str">
        <f t="shared" si="14"/>
        <v/>
      </c>
      <c r="R178" s="522" t="str">
        <f t="shared" si="12"/>
        <v/>
      </c>
      <c r="S178" s="537" t="str">
        <f>IF(D178="","",VLOOKUP(D178,'G-6 Hedgerow Data'!$B$3:$AG$15,31,FALSE))</f>
        <v/>
      </c>
      <c r="T178" s="507" t="str">
        <f t="shared" si="15"/>
        <v/>
      </c>
      <c r="U178" s="507" t="str">
        <f t="shared" si="16"/>
        <v/>
      </c>
      <c r="V178" s="524" t="str">
        <f>IF(D178="","",VLOOKUP(S178,'G-3 Multipliers'!$P$3:$Q$6,2,FALSE))</f>
        <v/>
      </c>
      <c r="W178" s="529" t="str">
        <f t="shared" si="17"/>
        <v/>
      </c>
      <c r="X178" s="149"/>
      <c r="Y178" s="150"/>
      <c r="AG178" s="31" t="str">
        <f>IFERROR(INDEX('G-6 Hedgerow Data'!$BJ$3:$BJ$15,MATCH(D178,'G-6 Hedgerow Data'!$B$3:$B$15,0)),"")</f>
        <v/>
      </c>
    </row>
    <row r="179" spans="2:33" ht="13.8" x14ac:dyDescent="0.25">
      <c r="B179" s="141">
        <v>168</v>
      </c>
      <c r="C179" s="205"/>
      <c r="D179" s="195"/>
      <c r="E179" s="172"/>
      <c r="F179" s="553" t="str">
        <f>IF(D179="","",VLOOKUP(D179,'G-6 Hedgerow Data'!$B$2:$AG$15,2,FALSE))</f>
        <v/>
      </c>
      <c r="G179" s="499" t="str">
        <f>IF(D179="","",VLOOKUP(D179,'G-6 Hedgerow Data'!$B$2:$AG$15,3,FALSE))</f>
        <v/>
      </c>
      <c r="H179" s="145"/>
      <c r="I179" s="499" t="str">
        <f>IFERROR(VLOOKUP(H179,'G-1 All Habitats'!$Z$2:$AA$9,2,FALSE),"")</f>
        <v/>
      </c>
      <c r="J179" s="145"/>
      <c r="K179" s="520" t="str">
        <f>IF(J179="","",IF(VLOOKUP(J179,'G-3 Multipliers'!$L$3:$N$6,2,FALSE)=0,"Spatial Data Missing ⚠",VLOOKUP(J179,'G-3 Multipliers'!$L$3:$N$6,2,FALSE)))</f>
        <v/>
      </c>
      <c r="L179" s="505" t="str">
        <f>IF(J179="","",IF(VLOOKUP(J179,'G-3 Multipliers'!$L$3:$N$6,3,FALSE)=0,"Spatial Data Missing ⚠",VLOOKUP(J179,'G-3 Multipliers'!$L$3:$N$6,3,FALSE)))</f>
        <v/>
      </c>
      <c r="M179" s="498" t="str">
        <f>IF(OR(D179="",H179=""),"",(INDEX('G-6 Hedgerow Data'!$E$3:$I$15,MATCH(D179,'G-6 Hedgerow Data'!$B$3:$B$15,0),MATCH(H179,'G-6 Hedgerow Data'!$E$2:$I$2,0))))</f>
        <v/>
      </c>
      <c r="N179" s="195"/>
      <c r="O179" s="195"/>
      <c r="P179" s="507" t="str">
        <f t="shared" si="13"/>
        <v/>
      </c>
      <c r="Q179" s="521" t="str">
        <f t="shared" si="14"/>
        <v/>
      </c>
      <c r="R179" s="522" t="str">
        <f t="shared" si="12"/>
        <v/>
      </c>
      <c r="S179" s="537" t="str">
        <f>IF(D179="","",VLOOKUP(D179,'G-6 Hedgerow Data'!$B$3:$AG$15,31,FALSE))</f>
        <v/>
      </c>
      <c r="T179" s="507" t="str">
        <f t="shared" si="15"/>
        <v/>
      </c>
      <c r="U179" s="507" t="str">
        <f t="shared" si="16"/>
        <v/>
      </c>
      <c r="V179" s="524" t="str">
        <f>IF(D179="","",VLOOKUP(S179,'G-3 Multipliers'!$P$3:$Q$6,2,FALSE))</f>
        <v/>
      </c>
      <c r="W179" s="529" t="str">
        <f t="shared" si="17"/>
        <v/>
      </c>
      <c r="X179" s="149"/>
      <c r="Y179" s="150"/>
      <c r="AG179" s="31" t="str">
        <f>IFERROR(INDEX('G-6 Hedgerow Data'!$BJ$3:$BJ$15,MATCH(D179,'G-6 Hedgerow Data'!$B$3:$B$15,0)),"")</f>
        <v/>
      </c>
    </row>
    <row r="180" spans="2:33" ht="13.8" x14ac:dyDescent="0.25">
      <c r="B180" s="141">
        <v>169</v>
      </c>
      <c r="C180" s="205"/>
      <c r="D180" s="195"/>
      <c r="E180" s="172"/>
      <c r="F180" s="553" t="str">
        <f>IF(D180="","",VLOOKUP(D180,'G-6 Hedgerow Data'!$B$2:$AG$15,2,FALSE))</f>
        <v/>
      </c>
      <c r="G180" s="499" t="str">
        <f>IF(D180="","",VLOOKUP(D180,'G-6 Hedgerow Data'!$B$2:$AG$15,3,FALSE))</f>
        <v/>
      </c>
      <c r="H180" s="145"/>
      <c r="I180" s="499" t="str">
        <f>IFERROR(VLOOKUP(H180,'G-1 All Habitats'!$Z$2:$AA$9,2,FALSE),"")</f>
        <v/>
      </c>
      <c r="J180" s="145"/>
      <c r="K180" s="520" t="str">
        <f>IF(J180="","",IF(VLOOKUP(J180,'G-3 Multipliers'!$L$3:$N$6,2,FALSE)=0,"Spatial Data Missing ⚠",VLOOKUP(J180,'G-3 Multipliers'!$L$3:$N$6,2,FALSE)))</f>
        <v/>
      </c>
      <c r="L180" s="505" t="str">
        <f>IF(J180="","",IF(VLOOKUP(J180,'G-3 Multipliers'!$L$3:$N$6,3,FALSE)=0,"Spatial Data Missing ⚠",VLOOKUP(J180,'G-3 Multipliers'!$L$3:$N$6,3,FALSE)))</f>
        <v/>
      </c>
      <c r="M180" s="498" t="str">
        <f>IF(OR(D180="",H180=""),"",(INDEX('G-6 Hedgerow Data'!$E$3:$I$15,MATCH(D180,'G-6 Hedgerow Data'!$B$3:$B$15,0),MATCH(H180,'G-6 Hedgerow Data'!$E$2:$I$2,0))))</f>
        <v/>
      </c>
      <c r="N180" s="195"/>
      <c r="O180" s="195"/>
      <c r="P180" s="507" t="str">
        <f t="shared" si="13"/>
        <v/>
      </c>
      <c r="Q180" s="521" t="str">
        <f t="shared" si="14"/>
        <v/>
      </c>
      <c r="R180" s="522" t="str">
        <f t="shared" si="12"/>
        <v/>
      </c>
      <c r="S180" s="537" t="str">
        <f>IF(D180="","",VLOOKUP(D180,'G-6 Hedgerow Data'!$B$3:$AG$15,31,FALSE))</f>
        <v/>
      </c>
      <c r="T180" s="507" t="str">
        <f t="shared" si="15"/>
        <v/>
      </c>
      <c r="U180" s="507" t="str">
        <f t="shared" si="16"/>
        <v/>
      </c>
      <c r="V180" s="524" t="str">
        <f>IF(D180="","",VLOOKUP(S180,'G-3 Multipliers'!$P$3:$Q$6,2,FALSE))</f>
        <v/>
      </c>
      <c r="W180" s="529" t="str">
        <f t="shared" si="17"/>
        <v/>
      </c>
      <c r="X180" s="149"/>
      <c r="Y180" s="150"/>
      <c r="AG180" s="31" t="str">
        <f>IFERROR(INDEX('G-6 Hedgerow Data'!$BJ$3:$BJ$15,MATCH(D180,'G-6 Hedgerow Data'!$B$3:$B$15,0)),"")</f>
        <v/>
      </c>
    </row>
    <row r="181" spans="2:33" ht="13.8" x14ac:dyDescent="0.25">
      <c r="B181" s="141">
        <v>170</v>
      </c>
      <c r="C181" s="205"/>
      <c r="D181" s="195"/>
      <c r="E181" s="172"/>
      <c r="F181" s="553" t="str">
        <f>IF(D181="","",VLOOKUP(D181,'G-6 Hedgerow Data'!$B$2:$AG$15,2,FALSE))</f>
        <v/>
      </c>
      <c r="G181" s="499" t="str">
        <f>IF(D181="","",VLOOKUP(D181,'G-6 Hedgerow Data'!$B$2:$AG$15,3,FALSE))</f>
        <v/>
      </c>
      <c r="H181" s="145"/>
      <c r="I181" s="499" t="str">
        <f>IFERROR(VLOOKUP(H181,'G-1 All Habitats'!$Z$2:$AA$9,2,FALSE),"")</f>
        <v/>
      </c>
      <c r="J181" s="145"/>
      <c r="K181" s="520" t="str">
        <f>IF(J181="","",IF(VLOOKUP(J181,'G-3 Multipliers'!$L$3:$N$6,2,FALSE)=0,"Spatial Data Missing ⚠",VLOOKUP(J181,'G-3 Multipliers'!$L$3:$N$6,2,FALSE)))</f>
        <v/>
      </c>
      <c r="L181" s="505" t="str">
        <f>IF(J181="","",IF(VLOOKUP(J181,'G-3 Multipliers'!$L$3:$N$6,3,FALSE)=0,"Spatial Data Missing ⚠",VLOOKUP(J181,'G-3 Multipliers'!$L$3:$N$6,3,FALSE)))</f>
        <v/>
      </c>
      <c r="M181" s="498" t="str">
        <f>IF(OR(D181="",H181=""),"",(INDEX('G-6 Hedgerow Data'!$E$3:$I$15,MATCH(D181,'G-6 Hedgerow Data'!$B$3:$B$15,0),MATCH(H181,'G-6 Hedgerow Data'!$E$2:$I$2,0))))</f>
        <v/>
      </c>
      <c r="N181" s="195"/>
      <c r="O181" s="195"/>
      <c r="P181" s="507" t="str">
        <f t="shared" si="13"/>
        <v/>
      </c>
      <c r="Q181" s="521" t="str">
        <f t="shared" si="14"/>
        <v/>
      </c>
      <c r="R181" s="522" t="str">
        <f t="shared" si="12"/>
        <v/>
      </c>
      <c r="S181" s="537" t="str">
        <f>IF(D181="","",VLOOKUP(D181,'G-6 Hedgerow Data'!$B$3:$AG$15,31,FALSE))</f>
        <v/>
      </c>
      <c r="T181" s="507" t="str">
        <f t="shared" si="15"/>
        <v/>
      </c>
      <c r="U181" s="507" t="str">
        <f t="shared" si="16"/>
        <v/>
      </c>
      <c r="V181" s="524" t="str">
        <f>IF(D181="","",VLOOKUP(S181,'G-3 Multipliers'!$P$3:$Q$6,2,FALSE))</f>
        <v/>
      </c>
      <c r="W181" s="529" t="str">
        <f t="shared" si="17"/>
        <v/>
      </c>
      <c r="X181" s="149"/>
      <c r="Y181" s="150"/>
      <c r="AG181" s="31" t="str">
        <f>IFERROR(INDEX('G-6 Hedgerow Data'!$BJ$3:$BJ$15,MATCH(D181,'G-6 Hedgerow Data'!$B$3:$B$15,0)),"")</f>
        <v/>
      </c>
    </row>
    <row r="182" spans="2:33" ht="13.8" x14ac:dyDescent="0.25">
      <c r="B182" s="141">
        <v>171</v>
      </c>
      <c r="C182" s="205"/>
      <c r="D182" s="195"/>
      <c r="E182" s="172"/>
      <c r="F182" s="553" t="str">
        <f>IF(D182="","",VLOOKUP(D182,'G-6 Hedgerow Data'!$B$2:$AG$15,2,FALSE))</f>
        <v/>
      </c>
      <c r="G182" s="499" t="str">
        <f>IF(D182="","",VLOOKUP(D182,'G-6 Hedgerow Data'!$B$2:$AG$15,3,FALSE))</f>
        <v/>
      </c>
      <c r="H182" s="145"/>
      <c r="I182" s="499" t="str">
        <f>IFERROR(VLOOKUP(H182,'G-1 All Habitats'!$Z$2:$AA$9,2,FALSE),"")</f>
        <v/>
      </c>
      <c r="J182" s="145"/>
      <c r="K182" s="520" t="str">
        <f>IF(J182="","",IF(VLOOKUP(J182,'G-3 Multipliers'!$L$3:$N$6,2,FALSE)=0,"Spatial Data Missing ⚠",VLOOKUP(J182,'G-3 Multipliers'!$L$3:$N$6,2,FALSE)))</f>
        <v/>
      </c>
      <c r="L182" s="505" t="str">
        <f>IF(J182="","",IF(VLOOKUP(J182,'G-3 Multipliers'!$L$3:$N$6,3,FALSE)=0,"Spatial Data Missing ⚠",VLOOKUP(J182,'G-3 Multipliers'!$L$3:$N$6,3,FALSE)))</f>
        <v/>
      </c>
      <c r="M182" s="498" t="str">
        <f>IF(OR(D182="",H182=""),"",(INDEX('G-6 Hedgerow Data'!$E$3:$I$15,MATCH(D182,'G-6 Hedgerow Data'!$B$3:$B$15,0),MATCH(H182,'G-6 Hedgerow Data'!$E$2:$I$2,0))))</f>
        <v/>
      </c>
      <c r="N182" s="195"/>
      <c r="O182" s="195"/>
      <c r="P182" s="507" t="str">
        <f t="shared" si="13"/>
        <v/>
      </c>
      <c r="Q182" s="521" t="str">
        <f t="shared" si="14"/>
        <v/>
      </c>
      <c r="R182" s="522" t="str">
        <f t="shared" si="12"/>
        <v/>
      </c>
      <c r="S182" s="537" t="str">
        <f>IF(D182="","",VLOOKUP(D182,'G-6 Hedgerow Data'!$B$3:$AG$15,31,FALSE))</f>
        <v/>
      </c>
      <c r="T182" s="507" t="str">
        <f t="shared" si="15"/>
        <v/>
      </c>
      <c r="U182" s="507" t="str">
        <f t="shared" si="16"/>
        <v/>
      </c>
      <c r="V182" s="524" t="str">
        <f>IF(D182="","",VLOOKUP(S182,'G-3 Multipliers'!$P$3:$Q$6,2,FALSE))</f>
        <v/>
      </c>
      <c r="W182" s="529" t="str">
        <f t="shared" si="17"/>
        <v/>
      </c>
      <c r="X182" s="149"/>
      <c r="Y182" s="150"/>
      <c r="AG182" s="31" t="str">
        <f>IFERROR(INDEX('G-6 Hedgerow Data'!$BJ$3:$BJ$15,MATCH(D182,'G-6 Hedgerow Data'!$B$3:$B$15,0)),"")</f>
        <v/>
      </c>
    </row>
    <row r="183" spans="2:33" ht="13.8" x14ac:dyDescent="0.25">
      <c r="B183" s="141">
        <v>172</v>
      </c>
      <c r="C183" s="205"/>
      <c r="D183" s="195"/>
      <c r="E183" s="172"/>
      <c r="F183" s="553" t="str">
        <f>IF(D183="","",VLOOKUP(D183,'G-6 Hedgerow Data'!$B$2:$AG$15,2,FALSE))</f>
        <v/>
      </c>
      <c r="G183" s="499" t="str">
        <f>IF(D183="","",VLOOKUP(D183,'G-6 Hedgerow Data'!$B$2:$AG$15,3,FALSE))</f>
        <v/>
      </c>
      <c r="H183" s="145"/>
      <c r="I183" s="499" t="str">
        <f>IFERROR(VLOOKUP(H183,'G-1 All Habitats'!$Z$2:$AA$9,2,FALSE),"")</f>
        <v/>
      </c>
      <c r="J183" s="145"/>
      <c r="K183" s="520" t="str">
        <f>IF(J183="","",IF(VLOOKUP(J183,'G-3 Multipliers'!$L$3:$N$6,2,FALSE)=0,"Spatial Data Missing ⚠",VLOOKUP(J183,'G-3 Multipliers'!$L$3:$N$6,2,FALSE)))</f>
        <v/>
      </c>
      <c r="L183" s="505" t="str">
        <f>IF(J183="","",IF(VLOOKUP(J183,'G-3 Multipliers'!$L$3:$N$6,3,FALSE)=0,"Spatial Data Missing ⚠",VLOOKUP(J183,'G-3 Multipliers'!$L$3:$N$6,3,FALSE)))</f>
        <v/>
      </c>
      <c r="M183" s="498" t="str">
        <f>IF(OR(D183="",H183=""),"",(INDEX('G-6 Hedgerow Data'!$E$3:$I$15,MATCH(D183,'G-6 Hedgerow Data'!$B$3:$B$15,0),MATCH(H183,'G-6 Hedgerow Data'!$E$2:$I$2,0))))</f>
        <v/>
      </c>
      <c r="N183" s="195"/>
      <c r="O183" s="195"/>
      <c r="P183" s="507" t="str">
        <f t="shared" si="13"/>
        <v/>
      </c>
      <c r="Q183" s="521" t="str">
        <f t="shared" si="14"/>
        <v/>
      </c>
      <c r="R183" s="522" t="str">
        <f t="shared" si="12"/>
        <v/>
      </c>
      <c r="S183" s="537" t="str">
        <f>IF(D183="","",VLOOKUP(D183,'G-6 Hedgerow Data'!$B$3:$AG$15,31,FALSE))</f>
        <v/>
      </c>
      <c r="T183" s="507" t="str">
        <f t="shared" si="15"/>
        <v/>
      </c>
      <c r="U183" s="507" t="str">
        <f t="shared" si="16"/>
        <v/>
      </c>
      <c r="V183" s="524" t="str">
        <f>IF(D183="","",VLOOKUP(S183,'G-3 Multipliers'!$P$3:$Q$6,2,FALSE))</f>
        <v/>
      </c>
      <c r="W183" s="529" t="str">
        <f t="shared" si="17"/>
        <v/>
      </c>
      <c r="X183" s="149"/>
      <c r="Y183" s="150"/>
      <c r="AG183" s="31" t="str">
        <f>IFERROR(INDEX('G-6 Hedgerow Data'!$BJ$3:$BJ$15,MATCH(D183,'G-6 Hedgerow Data'!$B$3:$B$15,0)),"")</f>
        <v/>
      </c>
    </row>
    <row r="184" spans="2:33" ht="13.8" x14ac:dyDescent="0.25">
      <c r="B184" s="141">
        <v>173</v>
      </c>
      <c r="C184" s="205"/>
      <c r="D184" s="195"/>
      <c r="E184" s="172"/>
      <c r="F184" s="553" t="str">
        <f>IF(D184="","",VLOOKUP(D184,'G-6 Hedgerow Data'!$B$2:$AG$15,2,FALSE))</f>
        <v/>
      </c>
      <c r="G184" s="499" t="str">
        <f>IF(D184="","",VLOOKUP(D184,'G-6 Hedgerow Data'!$B$2:$AG$15,3,FALSE))</f>
        <v/>
      </c>
      <c r="H184" s="145"/>
      <c r="I184" s="499" t="str">
        <f>IFERROR(VLOOKUP(H184,'G-1 All Habitats'!$Z$2:$AA$9,2,FALSE),"")</f>
        <v/>
      </c>
      <c r="J184" s="145"/>
      <c r="K184" s="520" t="str">
        <f>IF(J184="","",IF(VLOOKUP(J184,'G-3 Multipliers'!$L$3:$N$6,2,FALSE)=0,"Spatial Data Missing ⚠",VLOOKUP(J184,'G-3 Multipliers'!$L$3:$N$6,2,FALSE)))</f>
        <v/>
      </c>
      <c r="L184" s="505" t="str">
        <f>IF(J184="","",IF(VLOOKUP(J184,'G-3 Multipliers'!$L$3:$N$6,3,FALSE)=0,"Spatial Data Missing ⚠",VLOOKUP(J184,'G-3 Multipliers'!$L$3:$N$6,3,FALSE)))</f>
        <v/>
      </c>
      <c r="M184" s="498" t="str">
        <f>IF(OR(D184="",H184=""),"",(INDEX('G-6 Hedgerow Data'!$E$3:$I$15,MATCH(D184,'G-6 Hedgerow Data'!$B$3:$B$15,0),MATCH(H184,'G-6 Hedgerow Data'!$E$2:$I$2,0))))</f>
        <v/>
      </c>
      <c r="N184" s="195"/>
      <c r="O184" s="195"/>
      <c r="P184" s="507" t="str">
        <f t="shared" si="13"/>
        <v/>
      </c>
      <c r="Q184" s="521" t="str">
        <f t="shared" si="14"/>
        <v/>
      </c>
      <c r="R184" s="522" t="str">
        <f t="shared" si="12"/>
        <v/>
      </c>
      <c r="S184" s="537" t="str">
        <f>IF(D184="","",VLOOKUP(D184,'G-6 Hedgerow Data'!$B$3:$AG$15,31,FALSE))</f>
        <v/>
      </c>
      <c r="T184" s="507" t="str">
        <f t="shared" si="15"/>
        <v/>
      </c>
      <c r="U184" s="507" t="str">
        <f t="shared" si="16"/>
        <v/>
      </c>
      <c r="V184" s="524" t="str">
        <f>IF(D184="","",VLOOKUP(S184,'G-3 Multipliers'!$P$3:$Q$6,2,FALSE))</f>
        <v/>
      </c>
      <c r="W184" s="529" t="str">
        <f t="shared" si="17"/>
        <v/>
      </c>
      <c r="X184" s="149"/>
      <c r="Y184" s="150"/>
      <c r="AG184" s="31" t="str">
        <f>IFERROR(INDEX('G-6 Hedgerow Data'!$BJ$3:$BJ$15,MATCH(D184,'G-6 Hedgerow Data'!$B$3:$B$15,0)),"")</f>
        <v/>
      </c>
    </row>
    <row r="185" spans="2:33" ht="13.8" x14ac:dyDescent="0.25">
      <c r="B185" s="141">
        <v>174</v>
      </c>
      <c r="C185" s="205"/>
      <c r="D185" s="195"/>
      <c r="E185" s="172"/>
      <c r="F185" s="553" t="str">
        <f>IF(D185="","",VLOOKUP(D185,'G-6 Hedgerow Data'!$B$2:$AG$15,2,FALSE))</f>
        <v/>
      </c>
      <c r="G185" s="499" t="str">
        <f>IF(D185="","",VLOOKUP(D185,'G-6 Hedgerow Data'!$B$2:$AG$15,3,FALSE))</f>
        <v/>
      </c>
      <c r="H185" s="145"/>
      <c r="I185" s="499" t="str">
        <f>IFERROR(VLOOKUP(H185,'G-1 All Habitats'!$Z$2:$AA$9,2,FALSE),"")</f>
        <v/>
      </c>
      <c r="J185" s="145"/>
      <c r="K185" s="520" t="str">
        <f>IF(J185="","",IF(VLOOKUP(J185,'G-3 Multipliers'!$L$3:$N$6,2,FALSE)=0,"Spatial Data Missing ⚠",VLOOKUP(J185,'G-3 Multipliers'!$L$3:$N$6,2,FALSE)))</f>
        <v/>
      </c>
      <c r="L185" s="505" t="str">
        <f>IF(J185="","",IF(VLOOKUP(J185,'G-3 Multipliers'!$L$3:$N$6,3,FALSE)=0,"Spatial Data Missing ⚠",VLOOKUP(J185,'G-3 Multipliers'!$L$3:$N$6,3,FALSE)))</f>
        <v/>
      </c>
      <c r="M185" s="498" t="str">
        <f>IF(OR(D185="",H185=""),"",(INDEX('G-6 Hedgerow Data'!$E$3:$I$15,MATCH(D185,'G-6 Hedgerow Data'!$B$3:$B$15,0),MATCH(H185,'G-6 Hedgerow Data'!$E$2:$I$2,0))))</f>
        <v/>
      </c>
      <c r="N185" s="195"/>
      <c r="O185" s="195"/>
      <c r="P185" s="507" t="str">
        <f t="shared" si="13"/>
        <v/>
      </c>
      <c r="Q185" s="521" t="str">
        <f t="shared" si="14"/>
        <v/>
      </c>
      <c r="R185" s="522" t="str">
        <f t="shared" si="12"/>
        <v/>
      </c>
      <c r="S185" s="537" t="str">
        <f>IF(D185="","",VLOOKUP(D185,'G-6 Hedgerow Data'!$B$3:$AG$15,31,FALSE))</f>
        <v/>
      </c>
      <c r="T185" s="507" t="str">
        <f t="shared" si="15"/>
        <v/>
      </c>
      <c r="U185" s="507" t="str">
        <f t="shared" si="16"/>
        <v/>
      </c>
      <c r="V185" s="524" t="str">
        <f>IF(D185="","",VLOOKUP(S185,'G-3 Multipliers'!$P$3:$Q$6,2,FALSE))</f>
        <v/>
      </c>
      <c r="W185" s="529" t="str">
        <f t="shared" si="17"/>
        <v/>
      </c>
      <c r="X185" s="149"/>
      <c r="Y185" s="150"/>
      <c r="AG185" s="31" t="str">
        <f>IFERROR(INDEX('G-6 Hedgerow Data'!$BJ$3:$BJ$15,MATCH(D185,'G-6 Hedgerow Data'!$B$3:$B$15,0)),"")</f>
        <v/>
      </c>
    </row>
    <row r="186" spans="2:33" ht="13.8" x14ac:dyDescent="0.25">
      <c r="B186" s="141">
        <v>175</v>
      </c>
      <c r="C186" s="205"/>
      <c r="D186" s="195"/>
      <c r="E186" s="172"/>
      <c r="F186" s="553" t="str">
        <f>IF(D186="","",VLOOKUP(D186,'G-6 Hedgerow Data'!$B$2:$AG$15,2,FALSE))</f>
        <v/>
      </c>
      <c r="G186" s="499" t="str">
        <f>IF(D186="","",VLOOKUP(D186,'G-6 Hedgerow Data'!$B$2:$AG$15,3,FALSE))</f>
        <v/>
      </c>
      <c r="H186" s="145"/>
      <c r="I186" s="499" t="str">
        <f>IFERROR(VLOOKUP(H186,'G-1 All Habitats'!$Z$2:$AA$9,2,FALSE),"")</f>
        <v/>
      </c>
      <c r="J186" s="145"/>
      <c r="K186" s="520" t="str">
        <f>IF(J186="","",IF(VLOOKUP(J186,'G-3 Multipliers'!$L$3:$N$6,2,FALSE)=0,"Spatial Data Missing ⚠",VLOOKUP(J186,'G-3 Multipliers'!$L$3:$N$6,2,FALSE)))</f>
        <v/>
      </c>
      <c r="L186" s="505" t="str">
        <f>IF(J186="","",IF(VLOOKUP(J186,'G-3 Multipliers'!$L$3:$N$6,3,FALSE)=0,"Spatial Data Missing ⚠",VLOOKUP(J186,'G-3 Multipliers'!$L$3:$N$6,3,FALSE)))</f>
        <v/>
      </c>
      <c r="M186" s="498" t="str">
        <f>IF(OR(D186="",H186=""),"",(INDEX('G-6 Hedgerow Data'!$E$3:$I$15,MATCH(D186,'G-6 Hedgerow Data'!$B$3:$B$15,0),MATCH(H186,'G-6 Hedgerow Data'!$E$2:$I$2,0))))</f>
        <v/>
      </c>
      <c r="N186" s="195"/>
      <c r="O186" s="195"/>
      <c r="P186" s="507" t="str">
        <f t="shared" si="13"/>
        <v/>
      </c>
      <c r="Q186" s="521" t="str">
        <f t="shared" si="14"/>
        <v/>
      </c>
      <c r="R186" s="522" t="str">
        <f t="shared" si="12"/>
        <v/>
      </c>
      <c r="S186" s="537" t="str">
        <f>IF(D186="","",VLOOKUP(D186,'G-6 Hedgerow Data'!$B$3:$AG$15,31,FALSE))</f>
        <v/>
      </c>
      <c r="T186" s="507" t="str">
        <f t="shared" si="15"/>
        <v/>
      </c>
      <c r="U186" s="507" t="str">
        <f t="shared" si="16"/>
        <v/>
      </c>
      <c r="V186" s="524" t="str">
        <f>IF(D186="","",VLOOKUP(S186,'G-3 Multipliers'!$P$3:$Q$6,2,FALSE))</f>
        <v/>
      </c>
      <c r="W186" s="529" t="str">
        <f t="shared" si="17"/>
        <v/>
      </c>
      <c r="X186" s="149"/>
      <c r="Y186" s="150"/>
      <c r="AG186" s="31" t="str">
        <f>IFERROR(INDEX('G-6 Hedgerow Data'!$BJ$3:$BJ$15,MATCH(D186,'G-6 Hedgerow Data'!$B$3:$B$15,0)),"")</f>
        <v/>
      </c>
    </row>
    <row r="187" spans="2:33" ht="13.8" x14ac:dyDescent="0.25">
      <c r="B187" s="141">
        <v>176</v>
      </c>
      <c r="C187" s="205"/>
      <c r="D187" s="195"/>
      <c r="E187" s="172"/>
      <c r="F187" s="553" t="str">
        <f>IF(D187="","",VLOOKUP(D187,'G-6 Hedgerow Data'!$B$2:$AG$15,2,FALSE))</f>
        <v/>
      </c>
      <c r="G187" s="499" t="str">
        <f>IF(D187="","",VLOOKUP(D187,'G-6 Hedgerow Data'!$B$2:$AG$15,3,FALSE))</f>
        <v/>
      </c>
      <c r="H187" s="145"/>
      <c r="I187" s="499" t="str">
        <f>IFERROR(VLOOKUP(H187,'G-1 All Habitats'!$Z$2:$AA$9,2,FALSE),"")</f>
        <v/>
      </c>
      <c r="J187" s="145"/>
      <c r="K187" s="520" t="str">
        <f>IF(J187="","",IF(VLOOKUP(J187,'G-3 Multipliers'!$L$3:$N$6,2,FALSE)=0,"Spatial Data Missing ⚠",VLOOKUP(J187,'G-3 Multipliers'!$L$3:$N$6,2,FALSE)))</f>
        <v/>
      </c>
      <c r="L187" s="505" t="str">
        <f>IF(J187="","",IF(VLOOKUP(J187,'G-3 Multipliers'!$L$3:$N$6,3,FALSE)=0,"Spatial Data Missing ⚠",VLOOKUP(J187,'G-3 Multipliers'!$L$3:$N$6,3,FALSE)))</f>
        <v/>
      </c>
      <c r="M187" s="498" t="str">
        <f>IF(OR(D187="",H187=""),"",(INDEX('G-6 Hedgerow Data'!$E$3:$I$15,MATCH(D187,'G-6 Hedgerow Data'!$B$3:$B$15,0),MATCH(H187,'G-6 Hedgerow Data'!$E$2:$I$2,0))))</f>
        <v/>
      </c>
      <c r="N187" s="195"/>
      <c r="O187" s="195"/>
      <c r="P187" s="507" t="str">
        <f t="shared" si="13"/>
        <v/>
      </c>
      <c r="Q187" s="521" t="str">
        <f t="shared" si="14"/>
        <v/>
      </c>
      <c r="R187" s="522" t="str">
        <f t="shared" si="12"/>
        <v/>
      </c>
      <c r="S187" s="537" t="str">
        <f>IF(D187="","",VLOOKUP(D187,'G-6 Hedgerow Data'!$B$3:$AG$15,31,FALSE))</f>
        <v/>
      </c>
      <c r="T187" s="507" t="str">
        <f t="shared" si="15"/>
        <v/>
      </c>
      <c r="U187" s="507" t="str">
        <f t="shared" si="16"/>
        <v/>
      </c>
      <c r="V187" s="524" t="str">
        <f>IF(D187="","",VLOOKUP(S187,'G-3 Multipliers'!$P$3:$Q$6,2,FALSE))</f>
        <v/>
      </c>
      <c r="W187" s="529" t="str">
        <f t="shared" si="17"/>
        <v/>
      </c>
      <c r="X187" s="149"/>
      <c r="Y187" s="150"/>
      <c r="AG187" s="31" t="str">
        <f>IFERROR(INDEX('G-6 Hedgerow Data'!$BJ$3:$BJ$15,MATCH(D187,'G-6 Hedgerow Data'!$B$3:$B$15,0)),"")</f>
        <v/>
      </c>
    </row>
    <row r="188" spans="2:33" ht="13.8" x14ac:dyDescent="0.25">
      <c r="B188" s="141">
        <v>177</v>
      </c>
      <c r="C188" s="205"/>
      <c r="D188" s="195"/>
      <c r="E188" s="172"/>
      <c r="F188" s="553" t="str">
        <f>IF(D188="","",VLOOKUP(D188,'G-6 Hedgerow Data'!$B$2:$AG$15,2,FALSE))</f>
        <v/>
      </c>
      <c r="G188" s="499" t="str">
        <f>IF(D188="","",VLOOKUP(D188,'G-6 Hedgerow Data'!$B$2:$AG$15,3,FALSE))</f>
        <v/>
      </c>
      <c r="H188" s="145"/>
      <c r="I188" s="499" t="str">
        <f>IFERROR(VLOOKUP(H188,'G-1 All Habitats'!$Z$2:$AA$9,2,FALSE),"")</f>
        <v/>
      </c>
      <c r="J188" s="145"/>
      <c r="K188" s="520" t="str">
        <f>IF(J188="","",IF(VLOOKUP(J188,'G-3 Multipliers'!$L$3:$N$6,2,FALSE)=0,"Spatial Data Missing ⚠",VLOOKUP(J188,'G-3 Multipliers'!$L$3:$N$6,2,FALSE)))</f>
        <v/>
      </c>
      <c r="L188" s="505" t="str">
        <f>IF(J188="","",IF(VLOOKUP(J188,'G-3 Multipliers'!$L$3:$N$6,3,FALSE)=0,"Spatial Data Missing ⚠",VLOOKUP(J188,'G-3 Multipliers'!$L$3:$N$6,3,FALSE)))</f>
        <v/>
      </c>
      <c r="M188" s="498" t="str">
        <f>IF(OR(D188="",H188=""),"",(INDEX('G-6 Hedgerow Data'!$E$3:$I$15,MATCH(D188,'G-6 Hedgerow Data'!$B$3:$B$15,0),MATCH(H188,'G-6 Hedgerow Data'!$E$2:$I$2,0))))</f>
        <v/>
      </c>
      <c r="N188" s="195"/>
      <c r="O188" s="195"/>
      <c r="P188" s="507" t="str">
        <f t="shared" si="13"/>
        <v/>
      </c>
      <c r="Q188" s="521" t="str">
        <f t="shared" si="14"/>
        <v/>
      </c>
      <c r="R188" s="522" t="str">
        <f t="shared" si="12"/>
        <v/>
      </c>
      <c r="S188" s="537" t="str">
        <f>IF(D188="","",VLOOKUP(D188,'G-6 Hedgerow Data'!$B$3:$AG$15,31,FALSE))</f>
        <v/>
      </c>
      <c r="T188" s="507" t="str">
        <f t="shared" si="15"/>
        <v/>
      </c>
      <c r="U188" s="507" t="str">
        <f t="shared" si="16"/>
        <v/>
      </c>
      <c r="V188" s="524" t="str">
        <f>IF(D188="","",VLOOKUP(S188,'G-3 Multipliers'!$P$3:$Q$6,2,FALSE))</f>
        <v/>
      </c>
      <c r="W188" s="529" t="str">
        <f t="shared" si="17"/>
        <v/>
      </c>
      <c r="X188" s="149"/>
      <c r="Y188" s="150"/>
      <c r="AG188" s="31" t="str">
        <f>IFERROR(INDEX('G-6 Hedgerow Data'!$BJ$3:$BJ$15,MATCH(D188,'G-6 Hedgerow Data'!$B$3:$B$15,0)),"")</f>
        <v/>
      </c>
    </row>
    <row r="189" spans="2:33" ht="13.8" x14ac:dyDescent="0.25">
      <c r="B189" s="141">
        <v>178</v>
      </c>
      <c r="C189" s="205"/>
      <c r="D189" s="195"/>
      <c r="E189" s="172"/>
      <c r="F189" s="553" t="str">
        <f>IF(D189="","",VLOOKUP(D189,'G-6 Hedgerow Data'!$B$2:$AG$15,2,FALSE))</f>
        <v/>
      </c>
      <c r="G189" s="499" t="str">
        <f>IF(D189="","",VLOOKUP(D189,'G-6 Hedgerow Data'!$B$2:$AG$15,3,FALSE))</f>
        <v/>
      </c>
      <c r="H189" s="145"/>
      <c r="I189" s="499" t="str">
        <f>IFERROR(VLOOKUP(H189,'G-1 All Habitats'!$Z$2:$AA$9,2,FALSE),"")</f>
        <v/>
      </c>
      <c r="J189" s="145"/>
      <c r="K189" s="520" t="str">
        <f>IF(J189="","",IF(VLOOKUP(J189,'G-3 Multipliers'!$L$3:$N$6,2,FALSE)=0,"Spatial Data Missing ⚠",VLOOKUP(J189,'G-3 Multipliers'!$L$3:$N$6,2,FALSE)))</f>
        <v/>
      </c>
      <c r="L189" s="505" t="str">
        <f>IF(J189="","",IF(VLOOKUP(J189,'G-3 Multipliers'!$L$3:$N$6,3,FALSE)=0,"Spatial Data Missing ⚠",VLOOKUP(J189,'G-3 Multipliers'!$L$3:$N$6,3,FALSE)))</f>
        <v/>
      </c>
      <c r="M189" s="498" t="str">
        <f>IF(OR(D189="",H189=""),"",(INDEX('G-6 Hedgerow Data'!$E$3:$I$15,MATCH(D189,'G-6 Hedgerow Data'!$B$3:$B$15,0),MATCH(H189,'G-6 Hedgerow Data'!$E$2:$I$2,0))))</f>
        <v/>
      </c>
      <c r="N189" s="195"/>
      <c r="O189" s="195"/>
      <c r="P189" s="507" t="str">
        <f t="shared" si="13"/>
        <v/>
      </c>
      <c r="Q189" s="521" t="str">
        <f t="shared" si="14"/>
        <v/>
      </c>
      <c r="R189" s="522" t="str">
        <f t="shared" si="12"/>
        <v/>
      </c>
      <c r="S189" s="537" t="str">
        <f>IF(D189="","",VLOOKUP(D189,'G-6 Hedgerow Data'!$B$3:$AG$15,31,FALSE))</f>
        <v/>
      </c>
      <c r="T189" s="507" t="str">
        <f t="shared" si="15"/>
        <v/>
      </c>
      <c r="U189" s="507" t="str">
        <f t="shared" si="16"/>
        <v/>
      </c>
      <c r="V189" s="524" t="str">
        <f>IF(D189="","",VLOOKUP(S189,'G-3 Multipliers'!$P$3:$Q$6,2,FALSE))</f>
        <v/>
      </c>
      <c r="W189" s="529" t="str">
        <f t="shared" si="17"/>
        <v/>
      </c>
      <c r="X189" s="149"/>
      <c r="Y189" s="150"/>
      <c r="AG189" s="31" t="str">
        <f>IFERROR(INDEX('G-6 Hedgerow Data'!$BJ$3:$BJ$15,MATCH(D189,'G-6 Hedgerow Data'!$B$3:$B$15,0)),"")</f>
        <v/>
      </c>
    </row>
    <row r="190" spans="2:33" ht="13.8" x14ac:dyDescent="0.25">
      <c r="B190" s="141">
        <v>179</v>
      </c>
      <c r="C190" s="205"/>
      <c r="D190" s="195"/>
      <c r="E190" s="172"/>
      <c r="F190" s="553" t="str">
        <f>IF(D190="","",VLOOKUP(D190,'G-6 Hedgerow Data'!$B$2:$AG$15,2,FALSE))</f>
        <v/>
      </c>
      <c r="G190" s="499" t="str">
        <f>IF(D190="","",VLOOKUP(D190,'G-6 Hedgerow Data'!$B$2:$AG$15,3,FALSE))</f>
        <v/>
      </c>
      <c r="H190" s="145"/>
      <c r="I190" s="499" t="str">
        <f>IFERROR(VLOOKUP(H190,'G-1 All Habitats'!$Z$2:$AA$9,2,FALSE),"")</f>
        <v/>
      </c>
      <c r="J190" s="145"/>
      <c r="K190" s="520" t="str">
        <f>IF(J190="","",IF(VLOOKUP(J190,'G-3 Multipliers'!$L$3:$N$6,2,FALSE)=0,"Spatial Data Missing ⚠",VLOOKUP(J190,'G-3 Multipliers'!$L$3:$N$6,2,FALSE)))</f>
        <v/>
      </c>
      <c r="L190" s="505" t="str">
        <f>IF(J190="","",IF(VLOOKUP(J190,'G-3 Multipliers'!$L$3:$N$6,3,FALSE)=0,"Spatial Data Missing ⚠",VLOOKUP(J190,'G-3 Multipliers'!$L$3:$N$6,3,FALSE)))</f>
        <v/>
      </c>
      <c r="M190" s="498" t="str">
        <f>IF(OR(D190="",H190=""),"",(INDEX('G-6 Hedgerow Data'!$E$3:$I$15,MATCH(D190,'G-6 Hedgerow Data'!$B$3:$B$15,0),MATCH(H190,'G-6 Hedgerow Data'!$E$2:$I$2,0))))</f>
        <v/>
      </c>
      <c r="N190" s="195"/>
      <c r="O190" s="195"/>
      <c r="P190" s="507" t="str">
        <f t="shared" si="13"/>
        <v/>
      </c>
      <c r="Q190" s="521" t="str">
        <f t="shared" si="14"/>
        <v/>
      </c>
      <c r="R190" s="522" t="str">
        <f t="shared" si="12"/>
        <v/>
      </c>
      <c r="S190" s="537" t="str">
        <f>IF(D190="","",VLOOKUP(D190,'G-6 Hedgerow Data'!$B$3:$AG$15,31,FALSE))</f>
        <v/>
      </c>
      <c r="T190" s="507" t="str">
        <f t="shared" si="15"/>
        <v/>
      </c>
      <c r="U190" s="507" t="str">
        <f t="shared" si="16"/>
        <v/>
      </c>
      <c r="V190" s="524" t="str">
        <f>IF(D190="","",VLOOKUP(S190,'G-3 Multipliers'!$P$3:$Q$6,2,FALSE))</f>
        <v/>
      </c>
      <c r="W190" s="529" t="str">
        <f t="shared" si="17"/>
        <v/>
      </c>
      <c r="X190" s="149"/>
      <c r="Y190" s="150"/>
      <c r="AG190" s="31" t="str">
        <f>IFERROR(INDEX('G-6 Hedgerow Data'!$BJ$3:$BJ$15,MATCH(D190,'G-6 Hedgerow Data'!$B$3:$B$15,0)),"")</f>
        <v/>
      </c>
    </row>
    <row r="191" spans="2:33" ht="13.8" x14ac:dyDescent="0.25">
      <c r="B191" s="141">
        <v>180</v>
      </c>
      <c r="C191" s="205"/>
      <c r="D191" s="195"/>
      <c r="E191" s="172"/>
      <c r="F191" s="553" t="str">
        <f>IF(D191="","",VLOOKUP(D191,'G-6 Hedgerow Data'!$B$2:$AG$15,2,FALSE))</f>
        <v/>
      </c>
      <c r="G191" s="499" t="str">
        <f>IF(D191="","",VLOOKUP(D191,'G-6 Hedgerow Data'!$B$2:$AG$15,3,FALSE))</f>
        <v/>
      </c>
      <c r="H191" s="145"/>
      <c r="I191" s="499" t="str">
        <f>IFERROR(VLOOKUP(H191,'G-1 All Habitats'!$Z$2:$AA$9,2,FALSE),"")</f>
        <v/>
      </c>
      <c r="J191" s="145"/>
      <c r="K191" s="520" t="str">
        <f>IF(J191="","",IF(VLOOKUP(J191,'G-3 Multipliers'!$L$3:$N$6,2,FALSE)=0,"Spatial Data Missing ⚠",VLOOKUP(J191,'G-3 Multipliers'!$L$3:$N$6,2,FALSE)))</f>
        <v/>
      </c>
      <c r="L191" s="505" t="str">
        <f>IF(J191="","",IF(VLOOKUP(J191,'G-3 Multipliers'!$L$3:$N$6,3,FALSE)=0,"Spatial Data Missing ⚠",VLOOKUP(J191,'G-3 Multipliers'!$L$3:$N$6,3,FALSE)))</f>
        <v/>
      </c>
      <c r="M191" s="498" t="str">
        <f>IF(OR(D191="",H191=""),"",(INDEX('G-6 Hedgerow Data'!$E$3:$I$15,MATCH(D191,'G-6 Hedgerow Data'!$B$3:$B$15,0),MATCH(H191,'G-6 Hedgerow Data'!$E$2:$I$2,0))))</f>
        <v/>
      </c>
      <c r="N191" s="195"/>
      <c r="O191" s="195"/>
      <c r="P191" s="507" t="str">
        <f t="shared" si="13"/>
        <v/>
      </c>
      <c r="Q191" s="521" t="str">
        <f t="shared" si="14"/>
        <v/>
      </c>
      <c r="R191" s="522" t="str">
        <f t="shared" si="12"/>
        <v/>
      </c>
      <c r="S191" s="537" t="str">
        <f>IF(D191="","",VLOOKUP(D191,'G-6 Hedgerow Data'!$B$3:$AG$15,31,FALSE))</f>
        <v/>
      </c>
      <c r="T191" s="507" t="str">
        <f t="shared" si="15"/>
        <v/>
      </c>
      <c r="U191" s="507" t="str">
        <f t="shared" si="16"/>
        <v/>
      </c>
      <c r="V191" s="524" t="str">
        <f>IF(D191="","",VLOOKUP(S191,'G-3 Multipliers'!$P$3:$Q$6,2,FALSE))</f>
        <v/>
      </c>
      <c r="W191" s="529" t="str">
        <f t="shared" si="17"/>
        <v/>
      </c>
      <c r="X191" s="149"/>
      <c r="Y191" s="150"/>
      <c r="AG191" s="31" t="str">
        <f>IFERROR(INDEX('G-6 Hedgerow Data'!$BJ$3:$BJ$15,MATCH(D191,'G-6 Hedgerow Data'!$B$3:$B$15,0)),"")</f>
        <v/>
      </c>
    </row>
    <row r="192" spans="2:33" ht="13.8" x14ac:dyDescent="0.25">
      <c r="B192" s="141">
        <v>181</v>
      </c>
      <c r="C192" s="205"/>
      <c r="D192" s="195"/>
      <c r="E192" s="172"/>
      <c r="F192" s="553" t="str">
        <f>IF(D192="","",VLOOKUP(D192,'G-6 Hedgerow Data'!$B$2:$AG$15,2,FALSE))</f>
        <v/>
      </c>
      <c r="G192" s="499" t="str">
        <f>IF(D192="","",VLOOKUP(D192,'G-6 Hedgerow Data'!$B$2:$AG$15,3,FALSE))</f>
        <v/>
      </c>
      <c r="H192" s="145"/>
      <c r="I192" s="499" t="str">
        <f>IFERROR(VLOOKUP(H192,'G-1 All Habitats'!$Z$2:$AA$9,2,FALSE),"")</f>
        <v/>
      </c>
      <c r="J192" s="145"/>
      <c r="K192" s="520" t="str">
        <f>IF(J192="","",IF(VLOOKUP(J192,'G-3 Multipliers'!$L$3:$N$6,2,FALSE)=0,"Spatial Data Missing ⚠",VLOOKUP(J192,'G-3 Multipliers'!$L$3:$N$6,2,FALSE)))</f>
        <v/>
      </c>
      <c r="L192" s="505" t="str">
        <f>IF(J192="","",IF(VLOOKUP(J192,'G-3 Multipliers'!$L$3:$N$6,3,FALSE)=0,"Spatial Data Missing ⚠",VLOOKUP(J192,'G-3 Multipliers'!$L$3:$N$6,3,FALSE)))</f>
        <v/>
      </c>
      <c r="M192" s="498" t="str">
        <f>IF(OR(D192="",H192=""),"",(INDEX('G-6 Hedgerow Data'!$E$3:$I$15,MATCH(D192,'G-6 Hedgerow Data'!$B$3:$B$15,0),MATCH(H192,'G-6 Hedgerow Data'!$E$2:$I$2,0))))</f>
        <v/>
      </c>
      <c r="N192" s="195"/>
      <c r="O192" s="195"/>
      <c r="P192" s="507" t="str">
        <f t="shared" si="13"/>
        <v/>
      </c>
      <c r="Q192" s="521" t="str">
        <f t="shared" si="14"/>
        <v/>
      </c>
      <c r="R192" s="522" t="str">
        <f t="shared" si="12"/>
        <v/>
      </c>
      <c r="S192" s="537" t="str">
        <f>IF(D192="","",VLOOKUP(D192,'G-6 Hedgerow Data'!$B$3:$AG$15,31,FALSE))</f>
        <v/>
      </c>
      <c r="T192" s="507" t="str">
        <f t="shared" si="15"/>
        <v/>
      </c>
      <c r="U192" s="507" t="str">
        <f t="shared" si="16"/>
        <v/>
      </c>
      <c r="V192" s="524" t="str">
        <f>IF(D192="","",VLOOKUP(S192,'G-3 Multipliers'!$P$3:$Q$6,2,FALSE))</f>
        <v/>
      </c>
      <c r="W192" s="529" t="str">
        <f t="shared" si="17"/>
        <v/>
      </c>
      <c r="X192" s="149"/>
      <c r="Y192" s="150"/>
      <c r="AG192" s="31" t="str">
        <f>IFERROR(INDEX('G-6 Hedgerow Data'!$BJ$3:$BJ$15,MATCH(D192,'G-6 Hedgerow Data'!$B$3:$B$15,0)),"")</f>
        <v/>
      </c>
    </row>
    <row r="193" spans="2:33" ht="13.8" x14ac:dyDescent="0.25">
      <c r="B193" s="141">
        <v>182</v>
      </c>
      <c r="C193" s="205"/>
      <c r="D193" s="195"/>
      <c r="E193" s="172"/>
      <c r="F193" s="553" t="str">
        <f>IF(D193="","",VLOOKUP(D193,'G-6 Hedgerow Data'!$B$2:$AG$15,2,FALSE))</f>
        <v/>
      </c>
      <c r="G193" s="499" t="str">
        <f>IF(D193="","",VLOOKUP(D193,'G-6 Hedgerow Data'!$B$2:$AG$15,3,FALSE))</f>
        <v/>
      </c>
      <c r="H193" s="145"/>
      <c r="I193" s="499" t="str">
        <f>IFERROR(VLOOKUP(H193,'G-1 All Habitats'!$Z$2:$AA$9,2,FALSE),"")</f>
        <v/>
      </c>
      <c r="J193" s="145"/>
      <c r="K193" s="520" t="str">
        <f>IF(J193="","",IF(VLOOKUP(J193,'G-3 Multipliers'!$L$3:$N$6,2,FALSE)=0,"Spatial Data Missing ⚠",VLOOKUP(J193,'G-3 Multipliers'!$L$3:$N$6,2,FALSE)))</f>
        <v/>
      </c>
      <c r="L193" s="505" t="str">
        <f>IF(J193="","",IF(VLOOKUP(J193,'G-3 Multipliers'!$L$3:$N$6,3,FALSE)=0,"Spatial Data Missing ⚠",VLOOKUP(J193,'G-3 Multipliers'!$L$3:$N$6,3,FALSE)))</f>
        <v/>
      </c>
      <c r="M193" s="498" t="str">
        <f>IF(OR(D193="",H193=""),"",(INDEX('G-6 Hedgerow Data'!$E$3:$I$15,MATCH(D193,'G-6 Hedgerow Data'!$B$3:$B$15,0),MATCH(H193,'G-6 Hedgerow Data'!$E$2:$I$2,0))))</f>
        <v/>
      </c>
      <c r="N193" s="195"/>
      <c r="O193" s="195"/>
      <c r="P193" s="507" t="str">
        <f t="shared" si="13"/>
        <v/>
      </c>
      <c r="Q193" s="521" t="str">
        <f t="shared" si="14"/>
        <v/>
      </c>
      <c r="R193" s="522" t="str">
        <f t="shared" si="12"/>
        <v/>
      </c>
      <c r="S193" s="537" t="str">
        <f>IF(D193="","",VLOOKUP(D193,'G-6 Hedgerow Data'!$B$3:$AG$15,31,FALSE))</f>
        <v/>
      </c>
      <c r="T193" s="507" t="str">
        <f t="shared" si="15"/>
        <v/>
      </c>
      <c r="U193" s="507" t="str">
        <f t="shared" si="16"/>
        <v/>
      </c>
      <c r="V193" s="524" t="str">
        <f>IF(D193="","",VLOOKUP(S193,'G-3 Multipliers'!$P$3:$Q$6,2,FALSE))</f>
        <v/>
      </c>
      <c r="W193" s="529" t="str">
        <f t="shared" si="17"/>
        <v/>
      </c>
      <c r="X193" s="149"/>
      <c r="Y193" s="150"/>
      <c r="AG193" s="31" t="str">
        <f>IFERROR(INDEX('G-6 Hedgerow Data'!$BJ$3:$BJ$15,MATCH(D193,'G-6 Hedgerow Data'!$B$3:$B$15,0)),"")</f>
        <v/>
      </c>
    </row>
    <row r="194" spans="2:33" ht="13.8" x14ac:dyDescent="0.25">
      <c r="B194" s="141">
        <v>183</v>
      </c>
      <c r="C194" s="205"/>
      <c r="D194" s="195"/>
      <c r="E194" s="172"/>
      <c r="F194" s="553" t="str">
        <f>IF(D194="","",VLOOKUP(D194,'G-6 Hedgerow Data'!$B$2:$AG$15,2,FALSE))</f>
        <v/>
      </c>
      <c r="G194" s="499" t="str">
        <f>IF(D194="","",VLOOKUP(D194,'G-6 Hedgerow Data'!$B$2:$AG$15,3,FALSE))</f>
        <v/>
      </c>
      <c r="H194" s="145"/>
      <c r="I194" s="499" t="str">
        <f>IFERROR(VLOOKUP(H194,'G-1 All Habitats'!$Z$2:$AA$9,2,FALSE),"")</f>
        <v/>
      </c>
      <c r="J194" s="145"/>
      <c r="K194" s="520" t="str">
        <f>IF(J194="","",IF(VLOOKUP(J194,'G-3 Multipliers'!$L$3:$N$6,2,FALSE)=0,"Spatial Data Missing ⚠",VLOOKUP(J194,'G-3 Multipliers'!$L$3:$N$6,2,FALSE)))</f>
        <v/>
      </c>
      <c r="L194" s="505" t="str">
        <f>IF(J194="","",IF(VLOOKUP(J194,'G-3 Multipliers'!$L$3:$N$6,3,FALSE)=0,"Spatial Data Missing ⚠",VLOOKUP(J194,'G-3 Multipliers'!$L$3:$N$6,3,FALSE)))</f>
        <v/>
      </c>
      <c r="M194" s="498" t="str">
        <f>IF(OR(D194="",H194=""),"",(INDEX('G-6 Hedgerow Data'!$E$3:$I$15,MATCH(D194,'G-6 Hedgerow Data'!$B$3:$B$15,0),MATCH(H194,'G-6 Hedgerow Data'!$E$2:$I$2,0))))</f>
        <v/>
      </c>
      <c r="N194" s="195"/>
      <c r="O194" s="195"/>
      <c r="P194" s="507" t="str">
        <f t="shared" si="13"/>
        <v/>
      </c>
      <c r="Q194" s="521" t="str">
        <f t="shared" si="14"/>
        <v/>
      </c>
      <c r="R194" s="522" t="str">
        <f t="shared" si="12"/>
        <v/>
      </c>
      <c r="S194" s="537" t="str">
        <f>IF(D194="","",VLOOKUP(D194,'G-6 Hedgerow Data'!$B$3:$AG$15,31,FALSE))</f>
        <v/>
      </c>
      <c r="T194" s="507" t="str">
        <f t="shared" si="15"/>
        <v/>
      </c>
      <c r="U194" s="507" t="str">
        <f t="shared" si="16"/>
        <v/>
      </c>
      <c r="V194" s="524" t="str">
        <f>IF(D194="","",VLOOKUP(S194,'G-3 Multipliers'!$P$3:$Q$6,2,FALSE))</f>
        <v/>
      </c>
      <c r="W194" s="529" t="str">
        <f t="shared" si="17"/>
        <v/>
      </c>
      <c r="X194" s="149"/>
      <c r="Y194" s="150"/>
      <c r="AG194" s="31" t="str">
        <f>IFERROR(INDEX('G-6 Hedgerow Data'!$BJ$3:$BJ$15,MATCH(D194,'G-6 Hedgerow Data'!$B$3:$B$15,0)),"")</f>
        <v/>
      </c>
    </row>
    <row r="195" spans="2:33" ht="13.8" x14ac:dyDescent="0.25">
      <c r="B195" s="141">
        <v>184</v>
      </c>
      <c r="C195" s="205"/>
      <c r="D195" s="195"/>
      <c r="E195" s="172"/>
      <c r="F195" s="553" t="str">
        <f>IF(D195="","",VLOOKUP(D195,'G-6 Hedgerow Data'!$B$2:$AG$15,2,FALSE))</f>
        <v/>
      </c>
      <c r="G195" s="499" t="str">
        <f>IF(D195="","",VLOOKUP(D195,'G-6 Hedgerow Data'!$B$2:$AG$15,3,FALSE))</f>
        <v/>
      </c>
      <c r="H195" s="145"/>
      <c r="I195" s="499" t="str">
        <f>IFERROR(VLOOKUP(H195,'G-1 All Habitats'!$Z$2:$AA$9,2,FALSE),"")</f>
        <v/>
      </c>
      <c r="J195" s="145"/>
      <c r="K195" s="520" t="str">
        <f>IF(J195="","",IF(VLOOKUP(J195,'G-3 Multipliers'!$L$3:$N$6,2,FALSE)=0,"Spatial Data Missing ⚠",VLOOKUP(J195,'G-3 Multipliers'!$L$3:$N$6,2,FALSE)))</f>
        <v/>
      </c>
      <c r="L195" s="505" t="str">
        <f>IF(J195="","",IF(VLOOKUP(J195,'G-3 Multipliers'!$L$3:$N$6,3,FALSE)=0,"Spatial Data Missing ⚠",VLOOKUP(J195,'G-3 Multipliers'!$L$3:$N$6,3,FALSE)))</f>
        <v/>
      </c>
      <c r="M195" s="498" t="str">
        <f>IF(OR(D195="",H195=""),"",(INDEX('G-6 Hedgerow Data'!$E$3:$I$15,MATCH(D195,'G-6 Hedgerow Data'!$B$3:$B$15,0),MATCH(H195,'G-6 Hedgerow Data'!$E$2:$I$2,0))))</f>
        <v/>
      </c>
      <c r="N195" s="195"/>
      <c r="O195" s="195"/>
      <c r="P195" s="507" t="str">
        <f t="shared" si="13"/>
        <v/>
      </c>
      <c r="Q195" s="521" t="str">
        <f t="shared" si="14"/>
        <v/>
      </c>
      <c r="R195" s="522" t="str">
        <f t="shared" si="12"/>
        <v/>
      </c>
      <c r="S195" s="537" t="str">
        <f>IF(D195="","",VLOOKUP(D195,'G-6 Hedgerow Data'!$B$3:$AG$15,31,FALSE))</f>
        <v/>
      </c>
      <c r="T195" s="507" t="str">
        <f t="shared" si="15"/>
        <v/>
      </c>
      <c r="U195" s="507" t="str">
        <f t="shared" si="16"/>
        <v/>
      </c>
      <c r="V195" s="524" t="str">
        <f>IF(D195="","",VLOOKUP(S195,'G-3 Multipliers'!$P$3:$Q$6,2,FALSE))</f>
        <v/>
      </c>
      <c r="W195" s="529" t="str">
        <f t="shared" si="17"/>
        <v/>
      </c>
      <c r="X195" s="149"/>
      <c r="Y195" s="150"/>
      <c r="AG195" s="31" t="str">
        <f>IFERROR(INDEX('G-6 Hedgerow Data'!$BJ$3:$BJ$15,MATCH(D195,'G-6 Hedgerow Data'!$B$3:$B$15,0)),"")</f>
        <v/>
      </c>
    </row>
    <row r="196" spans="2:33" ht="13.8" x14ac:dyDescent="0.25">
      <c r="B196" s="141">
        <v>185</v>
      </c>
      <c r="C196" s="205"/>
      <c r="D196" s="195"/>
      <c r="E196" s="172"/>
      <c r="F196" s="553" t="str">
        <f>IF(D196="","",VLOOKUP(D196,'G-6 Hedgerow Data'!$B$2:$AG$15,2,FALSE))</f>
        <v/>
      </c>
      <c r="G196" s="499" t="str">
        <f>IF(D196="","",VLOOKUP(D196,'G-6 Hedgerow Data'!$B$2:$AG$15,3,FALSE))</f>
        <v/>
      </c>
      <c r="H196" s="145"/>
      <c r="I196" s="499" t="str">
        <f>IFERROR(VLOOKUP(H196,'G-1 All Habitats'!$Z$2:$AA$9,2,FALSE),"")</f>
        <v/>
      </c>
      <c r="J196" s="145"/>
      <c r="K196" s="520" t="str">
        <f>IF(J196="","",IF(VLOOKUP(J196,'G-3 Multipliers'!$L$3:$N$6,2,FALSE)=0,"Spatial Data Missing ⚠",VLOOKUP(J196,'G-3 Multipliers'!$L$3:$N$6,2,FALSE)))</f>
        <v/>
      </c>
      <c r="L196" s="505" t="str">
        <f>IF(J196="","",IF(VLOOKUP(J196,'G-3 Multipliers'!$L$3:$N$6,3,FALSE)=0,"Spatial Data Missing ⚠",VLOOKUP(J196,'G-3 Multipliers'!$L$3:$N$6,3,FALSE)))</f>
        <v/>
      </c>
      <c r="M196" s="498" t="str">
        <f>IF(OR(D196="",H196=""),"",(INDEX('G-6 Hedgerow Data'!$E$3:$I$15,MATCH(D196,'G-6 Hedgerow Data'!$B$3:$B$15,0),MATCH(H196,'G-6 Hedgerow Data'!$E$2:$I$2,0))))</f>
        <v/>
      </c>
      <c r="N196" s="195"/>
      <c r="O196" s="195"/>
      <c r="P196" s="507" t="str">
        <f t="shared" si="13"/>
        <v/>
      </c>
      <c r="Q196" s="521" t="str">
        <f t="shared" si="14"/>
        <v/>
      </c>
      <c r="R196" s="522" t="str">
        <f t="shared" si="12"/>
        <v/>
      </c>
      <c r="S196" s="537" t="str">
        <f>IF(D196="","",VLOOKUP(D196,'G-6 Hedgerow Data'!$B$3:$AG$15,31,FALSE))</f>
        <v/>
      </c>
      <c r="T196" s="507" t="str">
        <f t="shared" si="15"/>
        <v/>
      </c>
      <c r="U196" s="507" t="str">
        <f t="shared" si="16"/>
        <v/>
      </c>
      <c r="V196" s="524" t="str">
        <f>IF(D196="","",VLOOKUP(S196,'G-3 Multipliers'!$P$3:$Q$6,2,FALSE))</f>
        <v/>
      </c>
      <c r="W196" s="529" t="str">
        <f t="shared" si="17"/>
        <v/>
      </c>
      <c r="X196" s="149"/>
      <c r="Y196" s="150"/>
      <c r="AG196" s="31" t="str">
        <f>IFERROR(INDEX('G-6 Hedgerow Data'!$BJ$3:$BJ$15,MATCH(D196,'G-6 Hedgerow Data'!$B$3:$B$15,0)),"")</f>
        <v/>
      </c>
    </row>
    <row r="197" spans="2:33" ht="13.8" x14ac:dyDescent="0.25">
      <c r="B197" s="141">
        <v>186</v>
      </c>
      <c r="C197" s="205"/>
      <c r="D197" s="195"/>
      <c r="E197" s="172"/>
      <c r="F197" s="553" t="str">
        <f>IF(D197="","",VLOOKUP(D197,'G-6 Hedgerow Data'!$B$2:$AG$15,2,FALSE))</f>
        <v/>
      </c>
      <c r="G197" s="499" t="str">
        <f>IF(D197="","",VLOOKUP(D197,'G-6 Hedgerow Data'!$B$2:$AG$15,3,FALSE))</f>
        <v/>
      </c>
      <c r="H197" s="145"/>
      <c r="I197" s="499" t="str">
        <f>IFERROR(VLOOKUP(H197,'G-1 All Habitats'!$Z$2:$AA$9,2,FALSE),"")</f>
        <v/>
      </c>
      <c r="J197" s="145"/>
      <c r="K197" s="520" t="str">
        <f>IF(J197="","",IF(VLOOKUP(J197,'G-3 Multipliers'!$L$3:$N$6,2,FALSE)=0,"Spatial Data Missing ⚠",VLOOKUP(J197,'G-3 Multipliers'!$L$3:$N$6,2,FALSE)))</f>
        <v/>
      </c>
      <c r="L197" s="505" t="str">
        <f>IF(J197="","",IF(VLOOKUP(J197,'G-3 Multipliers'!$L$3:$N$6,3,FALSE)=0,"Spatial Data Missing ⚠",VLOOKUP(J197,'G-3 Multipliers'!$L$3:$N$6,3,FALSE)))</f>
        <v/>
      </c>
      <c r="M197" s="498" t="str">
        <f>IF(OR(D197="",H197=""),"",(INDEX('G-6 Hedgerow Data'!$E$3:$I$15,MATCH(D197,'G-6 Hedgerow Data'!$B$3:$B$15,0),MATCH(H197,'G-6 Hedgerow Data'!$E$2:$I$2,0))))</f>
        <v/>
      </c>
      <c r="N197" s="195"/>
      <c r="O197" s="195"/>
      <c r="P197" s="507" t="str">
        <f t="shared" si="13"/>
        <v/>
      </c>
      <c r="Q197" s="521" t="str">
        <f t="shared" si="14"/>
        <v/>
      </c>
      <c r="R197" s="522" t="str">
        <f t="shared" si="12"/>
        <v/>
      </c>
      <c r="S197" s="537" t="str">
        <f>IF(D197="","",VLOOKUP(D197,'G-6 Hedgerow Data'!$B$3:$AG$15,31,FALSE))</f>
        <v/>
      </c>
      <c r="T197" s="507" t="str">
        <f t="shared" si="15"/>
        <v/>
      </c>
      <c r="U197" s="507" t="str">
        <f t="shared" si="16"/>
        <v/>
      </c>
      <c r="V197" s="524" t="str">
        <f>IF(D197="","",VLOOKUP(S197,'G-3 Multipliers'!$P$3:$Q$6,2,FALSE))</f>
        <v/>
      </c>
      <c r="W197" s="529" t="str">
        <f t="shared" si="17"/>
        <v/>
      </c>
      <c r="X197" s="149"/>
      <c r="Y197" s="150"/>
      <c r="AG197" s="31" t="str">
        <f>IFERROR(INDEX('G-6 Hedgerow Data'!$BJ$3:$BJ$15,MATCH(D197,'G-6 Hedgerow Data'!$B$3:$B$15,0)),"")</f>
        <v/>
      </c>
    </row>
    <row r="198" spans="2:33" ht="13.8" x14ac:dyDescent="0.25">
      <c r="B198" s="141">
        <v>187</v>
      </c>
      <c r="C198" s="205"/>
      <c r="D198" s="195"/>
      <c r="E198" s="172"/>
      <c r="F198" s="553" t="str">
        <f>IF(D198="","",VLOOKUP(D198,'G-6 Hedgerow Data'!$B$2:$AG$15,2,FALSE))</f>
        <v/>
      </c>
      <c r="G198" s="499" t="str">
        <f>IF(D198="","",VLOOKUP(D198,'G-6 Hedgerow Data'!$B$2:$AG$15,3,FALSE))</f>
        <v/>
      </c>
      <c r="H198" s="145"/>
      <c r="I198" s="499" t="str">
        <f>IFERROR(VLOOKUP(H198,'G-1 All Habitats'!$Z$2:$AA$9,2,FALSE),"")</f>
        <v/>
      </c>
      <c r="J198" s="145"/>
      <c r="K198" s="520" t="str">
        <f>IF(J198="","",IF(VLOOKUP(J198,'G-3 Multipliers'!$L$3:$N$6,2,FALSE)=0,"Spatial Data Missing ⚠",VLOOKUP(J198,'G-3 Multipliers'!$L$3:$N$6,2,FALSE)))</f>
        <v/>
      </c>
      <c r="L198" s="505" t="str">
        <f>IF(J198="","",IF(VLOOKUP(J198,'G-3 Multipliers'!$L$3:$N$6,3,FALSE)=0,"Spatial Data Missing ⚠",VLOOKUP(J198,'G-3 Multipliers'!$L$3:$N$6,3,FALSE)))</f>
        <v/>
      </c>
      <c r="M198" s="498" t="str">
        <f>IF(OR(D198="",H198=""),"",(INDEX('G-6 Hedgerow Data'!$E$3:$I$15,MATCH(D198,'G-6 Hedgerow Data'!$B$3:$B$15,0),MATCH(H198,'G-6 Hedgerow Data'!$E$2:$I$2,0))))</f>
        <v/>
      </c>
      <c r="N198" s="195"/>
      <c r="O198" s="195"/>
      <c r="P198" s="507" t="str">
        <f t="shared" si="13"/>
        <v/>
      </c>
      <c r="Q198" s="521" t="str">
        <f t="shared" si="14"/>
        <v/>
      </c>
      <c r="R198" s="522" t="str">
        <f t="shared" si="12"/>
        <v/>
      </c>
      <c r="S198" s="537" t="str">
        <f>IF(D198="","",VLOOKUP(D198,'G-6 Hedgerow Data'!$B$3:$AG$15,31,FALSE))</f>
        <v/>
      </c>
      <c r="T198" s="507" t="str">
        <f t="shared" si="15"/>
        <v/>
      </c>
      <c r="U198" s="507" t="str">
        <f t="shared" si="16"/>
        <v/>
      </c>
      <c r="V198" s="524" t="str">
        <f>IF(D198="","",VLOOKUP(S198,'G-3 Multipliers'!$P$3:$Q$6,2,FALSE))</f>
        <v/>
      </c>
      <c r="W198" s="529" t="str">
        <f t="shared" si="17"/>
        <v/>
      </c>
      <c r="X198" s="149"/>
      <c r="Y198" s="150"/>
      <c r="AG198" s="31" t="str">
        <f>IFERROR(INDEX('G-6 Hedgerow Data'!$BJ$3:$BJ$15,MATCH(D198,'G-6 Hedgerow Data'!$B$3:$B$15,0)),"")</f>
        <v/>
      </c>
    </row>
    <row r="199" spans="2:33" ht="13.8" x14ac:dyDescent="0.25">
      <c r="B199" s="141">
        <v>188</v>
      </c>
      <c r="C199" s="205"/>
      <c r="D199" s="195"/>
      <c r="E199" s="172"/>
      <c r="F199" s="553" t="str">
        <f>IF(D199="","",VLOOKUP(D199,'G-6 Hedgerow Data'!$B$2:$AG$15,2,FALSE))</f>
        <v/>
      </c>
      <c r="G199" s="499" t="str">
        <f>IF(D199="","",VLOOKUP(D199,'G-6 Hedgerow Data'!$B$2:$AG$15,3,FALSE))</f>
        <v/>
      </c>
      <c r="H199" s="145"/>
      <c r="I199" s="499" t="str">
        <f>IFERROR(VLOOKUP(H199,'G-1 All Habitats'!$Z$2:$AA$9,2,FALSE),"")</f>
        <v/>
      </c>
      <c r="J199" s="145"/>
      <c r="K199" s="520" t="str">
        <f>IF(J199="","",IF(VLOOKUP(J199,'G-3 Multipliers'!$L$3:$N$6,2,FALSE)=0,"Spatial Data Missing ⚠",VLOOKUP(J199,'G-3 Multipliers'!$L$3:$N$6,2,FALSE)))</f>
        <v/>
      </c>
      <c r="L199" s="505" t="str">
        <f>IF(J199="","",IF(VLOOKUP(J199,'G-3 Multipliers'!$L$3:$N$6,3,FALSE)=0,"Spatial Data Missing ⚠",VLOOKUP(J199,'G-3 Multipliers'!$L$3:$N$6,3,FALSE)))</f>
        <v/>
      </c>
      <c r="M199" s="498" t="str">
        <f>IF(OR(D199="",H199=""),"",(INDEX('G-6 Hedgerow Data'!$E$3:$I$15,MATCH(D199,'G-6 Hedgerow Data'!$B$3:$B$15,0),MATCH(H199,'G-6 Hedgerow Data'!$E$2:$I$2,0))))</f>
        <v/>
      </c>
      <c r="N199" s="195"/>
      <c r="O199" s="195"/>
      <c r="P199" s="507" t="str">
        <f t="shared" si="13"/>
        <v/>
      </c>
      <c r="Q199" s="521" t="str">
        <f t="shared" si="14"/>
        <v/>
      </c>
      <c r="R199" s="522" t="str">
        <f t="shared" si="12"/>
        <v/>
      </c>
      <c r="S199" s="537" t="str">
        <f>IF(D199="","",VLOOKUP(D199,'G-6 Hedgerow Data'!$B$3:$AG$15,31,FALSE))</f>
        <v/>
      </c>
      <c r="T199" s="507" t="str">
        <f t="shared" si="15"/>
        <v/>
      </c>
      <c r="U199" s="507" t="str">
        <f t="shared" si="16"/>
        <v/>
      </c>
      <c r="V199" s="524" t="str">
        <f>IF(D199="","",VLOOKUP(S199,'G-3 Multipliers'!$P$3:$Q$6,2,FALSE))</f>
        <v/>
      </c>
      <c r="W199" s="529" t="str">
        <f t="shared" si="17"/>
        <v/>
      </c>
      <c r="X199" s="149"/>
      <c r="Y199" s="150"/>
      <c r="AG199" s="31" t="str">
        <f>IFERROR(INDEX('G-6 Hedgerow Data'!$BJ$3:$BJ$15,MATCH(D199,'G-6 Hedgerow Data'!$B$3:$B$15,0)),"")</f>
        <v/>
      </c>
    </row>
    <row r="200" spans="2:33" ht="13.8" x14ac:dyDescent="0.25">
      <c r="B200" s="141">
        <v>189</v>
      </c>
      <c r="C200" s="205"/>
      <c r="D200" s="195"/>
      <c r="E200" s="172"/>
      <c r="F200" s="553" t="str">
        <f>IF(D200="","",VLOOKUP(D200,'G-6 Hedgerow Data'!$B$2:$AG$15,2,FALSE))</f>
        <v/>
      </c>
      <c r="G200" s="499" t="str">
        <f>IF(D200="","",VLOOKUP(D200,'G-6 Hedgerow Data'!$B$2:$AG$15,3,FALSE))</f>
        <v/>
      </c>
      <c r="H200" s="145"/>
      <c r="I200" s="499" t="str">
        <f>IFERROR(VLOOKUP(H200,'G-1 All Habitats'!$Z$2:$AA$9,2,FALSE),"")</f>
        <v/>
      </c>
      <c r="J200" s="145"/>
      <c r="K200" s="520" t="str">
        <f>IF(J200="","",IF(VLOOKUP(J200,'G-3 Multipliers'!$L$3:$N$6,2,FALSE)=0,"Spatial Data Missing ⚠",VLOOKUP(J200,'G-3 Multipliers'!$L$3:$N$6,2,FALSE)))</f>
        <v/>
      </c>
      <c r="L200" s="505" t="str">
        <f>IF(J200="","",IF(VLOOKUP(J200,'G-3 Multipliers'!$L$3:$N$6,3,FALSE)=0,"Spatial Data Missing ⚠",VLOOKUP(J200,'G-3 Multipliers'!$L$3:$N$6,3,FALSE)))</f>
        <v/>
      </c>
      <c r="M200" s="498" t="str">
        <f>IF(OR(D200="",H200=""),"",(INDEX('G-6 Hedgerow Data'!$E$3:$I$15,MATCH(D200,'G-6 Hedgerow Data'!$B$3:$B$15,0),MATCH(H200,'G-6 Hedgerow Data'!$E$2:$I$2,0))))</f>
        <v/>
      </c>
      <c r="N200" s="195"/>
      <c r="O200" s="195"/>
      <c r="P200" s="507" t="str">
        <f t="shared" si="13"/>
        <v/>
      </c>
      <c r="Q200" s="521" t="str">
        <f t="shared" si="14"/>
        <v/>
      </c>
      <c r="R200" s="522" t="str">
        <f t="shared" si="12"/>
        <v/>
      </c>
      <c r="S200" s="537" t="str">
        <f>IF(D200="","",VLOOKUP(D200,'G-6 Hedgerow Data'!$B$3:$AG$15,31,FALSE))</f>
        <v/>
      </c>
      <c r="T200" s="507" t="str">
        <f t="shared" si="15"/>
        <v/>
      </c>
      <c r="U200" s="507" t="str">
        <f t="shared" si="16"/>
        <v/>
      </c>
      <c r="V200" s="524" t="str">
        <f>IF(D200="","",VLOOKUP(S200,'G-3 Multipliers'!$P$3:$Q$6,2,FALSE))</f>
        <v/>
      </c>
      <c r="W200" s="529" t="str">
        <f t="shared" si="17"/>
        <v/>
      </c>
      <c r="X200" s="149"/>
      <c r="Y200" s="150"/>
      <c r="AG200" s="31" t="str">
        <f>IFERROR(INDEX('G-6 Hedgerow Data'!$BJ$3:$BJ$15,MATCH(D200,'G-6 Hedgerow Data'!$B$3:$B$15,0)),"")</f>
        <v/>
      </c>
    </row>
    <row r="201" spans="2:33" ht="13.8" x14ac:dyDescent="0.25">
      <c r="B201" s="141">
        <v>190</v>
      </c>
      <c r="C201" s="205"/>
      <c r="D201" s="195"/>
      <c r="E201" s="172"/>
      <c r="F201" s="553" t="str">
        <f>IF(D201="","",VLOOKUP(D201,'G-6 Hedgerow Data'!$B$2:$AG$15,2,FALSE))</f>
        <v/>
      </c>
      <c r="G201" s="499" t="str">
        <f>IF(D201="","",VLOOKUP(D201,'G-6 Hedgerow Data'!$B$2:$AG$15,3,FALSE))</f>
        <v/>
      </c>
      <c r="H201" s="145"/>
      <c r="I201" s="499" t="str">
        <f>IFERROR(VLOOKUP(H201,'G-1 All Habitats'!$Z$2:$AA$9,2,FALSE),"")</f>
        <v/>
      </c>
      <c r="J201" s="145"/>
      <c r="K201" s="520" t="str">
        <f>IF(J201="","",IF(VLOOKUP(J201,'G-3 Multipliers'!$L$3:$N$6,2,FALSE)=0,"Spatial Data Missing ⚠",VLOOKUP(J201,'G-3 Multipliers'!$L$3:$N$6,2,FALSE)))</f>
        <v/>
      </c>
      <c r="L201" s="505" t="str">
        <f>IF(J201="","",IF(VLOOKUP(J201,'G-3 Multipliers'!$L$3:$N$6,3,FALSE)=0,"Spatial Data Missing ⚠",VLOOKUP(J201,'G-3 Multipliers'!$L$3:$N$6,3,FALSE)))</f>
        <v/>
      </c>
      <c r="M201" s="498" t="str">
        <f>IF(OR(D201="",H201=""),"",(INDEX('G-6 Hedgerow Data'!$E$3:$I$15,MATCH(D201,'G-6 Hedgerow Data'!$B$3:$B$15,0),MATCH(H201,'G-6 Hedgerow Data'!$E$2:$I$2,0))))</f>
        <v/>
      </c>
      <c r="N201" s="195"/>
      <c r="O201" s="195"/>
      <c r="P201" s="507" t="str">
        <f t="shared" si="13"/>
        <v/>
      </c>
      <c r="Q201" s="521" t="str">
        <f t="shared" si="14"/>
        <v/>
      </c>
      <c r="R201" s="522" t="str">
        <f t="shared" si="12"/>
        <v/>
      </c>
      <c r="S201" s="537" t="str">
        <f>IF(D201="","",VLOOKUP(D201,'G-6 Hedgerow Data'!$B$3:$AG$15,31,FALSE))</f>
        <v/>
      </c>
      <c r="T201" s="507" t="str">
        <f t="shared" si="15"/>
        <v/>
      </c>
      <c r="U201" s="507" t="str">
        <f t="shared" si="16"/>
        <v/>
      </c>
      <c r="V201" s="524" t="str">
        <f>IF(D201="","",VLOOKUP(S201,'G-3 Multipliers'!$P$3:$Q$6,2,FALSE))</f>
        <v/>
      </c>
      <c r="W201" s="529" t="str">
        <f t="shared" si="17"/>
        <v/>
      </c>
      <c r="X201" s="149"/>
      <c r="Y201" s="150"/>
      <c r="AG201" s="31" t="str">
        <f>IFERROR(INDEX('G-6 Hedgerow Data'!$BJ$3:$BJ$15,MATCH(D201,'G-6 Hedgerow Data'!$B$3:$B$15,0)),"")</f>
        <v/>
      </c>
    </row>
    <row r="202" spans="2:33" ht="13.8" x14ac:dyDescent="0.25">
      <c r="B202" s="141">
        <v>191</v>
      </c>
      <c r="C202" s="205"/>
      <c r="D202" s="195"/>
      <c r="E202" s="172"/>
      <c r="F202" s="553" t="str">
        <f>IF(D202="","",VLOOKUP(D202,'G-6 Hedgerow Data'!$B$2:$AG$15,2,FALSE))</f>
        <v/>
      </c>
      <c r="G202" s="499" t="str">
        <f>IF(D202="","",VLOOKUP(D202,'G-6 Hedgerow Data'!$B$2:$AG$15,3,FALSE))</f>
        <v/>
      </c>
      <c r="H202" s="145"/>
      <c r="I202" s="499" t="str">
        <f>IFERROR(VLOOKUP(H202,'G-1 All Habitats'!$Z$2:$AA$9,2,FALSE),"")</f>
        <v/>
      </c>
      <c r="J202" s="145"/>
      <c r="K202" s="520" t="str">
        <f>IF(J202="","",IF(VLOOKUP(J202,'G-3 Multipliers'!$L$3:$N$6,2,FALSE)=0,"Spatial Data Missing ⚠",VLOOKUP(J202,'G-3 Multipliers'!$L$3:$N$6,2,FALSE)))</f>
        <v/>
      </c>
      <c r="L202" s="505" t="str">
        <f>IF(J202="","",IF(VLOOKUP(J202,'G-3 Multipliers'!$L$3:$N$6,3,FALSE)=0,"Spatial Data Missing ⚠",VLOOKUP(J202,'G-3 Multipliers'!$L$3:$N$6,3,FALSE)))</f>
        <v/>
      </c>
      <c r="M202" s="498" t="str">
        <f>IF(OR(D202="",H202=""),"",(INDEX('G-6 Hedgerow Data'!$E$3:$I$15,MATCH(D202,'G-6 Hedgerow Data'!$B$3:$B$15,0),MATCH(H202,'G-6 Hedgerow Data'!$E$2:$I$2,0))))</f>
        <v/>
      </c>
      <c r="N202" s="195"/>
      <c r="O202" s="195"/>
      <c r="P202" s="507" t="str">
        <f t="shared" si="13"/>
        <v/>
      </c>
      <c r="Q202" s="521" t="str">
        <f t="shared" si="14"/>
        <v/>
      </c>
      <c r="R202" s="522" t="str">
        <f t="shared" si="12"/>
        <v/>
      </c>
      <c r="S202" s="537" t="str">
        <f>IF(D202="","",VLOOKUP(D202,'G-6 Hedgerow Data'!$B$3:$AG$15,31,FALSE))</f>
        <v/>
      </c>
      <c r="T202" s="507" t="str">
        <f t="shared" si="15"/>
        <v/>
      </c>
      <c r="U202" s="507" t="str">
        <f t="shared" si="16"/>
        <v/>
      </c>
      <c r="V202" s="524" t="str">
        <f>IF(D202="","",VLOOKUP(S202,'G-3 Multipliers'!$P$3:$Q$6,2,FALSE))</f>
        <v/>
      </c>
      <c r="W202" s="529" t="str">
        <f t="shared" si="17"/>
        <v/>
      </c>
      <c r="X202" s="149"/>
      <c r="Y202" s="150"/>
      <c r="AG202" s="31" t="str">
        <f>IFERROR(INDEX('G-6 Hedgerow Data'!$BJ$3:$BJ$15,MATCH(D202,'G-6 Hedgerow Data'!$B$3:$B$15,0)),"")</f>
        <v/>
      </c>
    </row>
    <row r="203" spans="2:33" ht="13.8" x14ac:dyDescent="0.25">
      <c r="B203" s="141">
        <v>192</v>
      </c>
      <c r="C203" s="205"/>
      <c r="D203" s="195"/>
      <c r="E203" s="172"/>
      <c r="F203" s="553" t="str">
        <f>IF(D203="","",VLOOKUP(D203,'G-6 Hedgerow Data'!$B$2:$AG$15,2,FALSE))</f>
        <v/>
      </c>
      <c r="G203" s="499" t="str">
        <f>IF(D203="","",VLOOKUP(D203,'G-6 Hedgerow Data'!$B$2:$AG$15,3,FALSE))</f>
        <v/>
      </c>
      <c r="H203" s="145"/>
      <c r="I203" s="499" t="str">
        <f>IFERROR(VLOOKUP(H203,'G-1 All Habitats'!$Z$2:$AA$9,2,FALSE),"")</f>
        <v/>
      </c>
      <c r="J203" s="145"/>
      <c r="K203" s="520" t="str">
        <f>IF(J203="","",IF(VLOOKUP(J203,'G-3 Multipliers'!$L$3:$N$6,2,FALSE)=0,"Spatial Data Missing ⚠",VLOOKUP(J203,'G-3 Multipliers'!$L$3:$N$6,2,FALSE)))</f>
        <v/>
      </c>
      <c r="L203" s="505" t="str">
        <f>IF(J203="","",IF(VLOOKUP(J203,'G-3 Multipliers'!$L$3:$N$6,3,FALSE)=0,"Spatial Data Missing ⚠",VLOOKUP(J203,'G-3 Multipliers'!$L$3:$N$6,3,FALSE)))</f>
        <v/>
      </c>
      <c r="M203" s="498" t="str">
        <f>IF(OR(D203="",H203=""),"",(INDEX('G-6 Hedgerow Data'!$E$3:$I$15,MATCH(D203,'G-6 Hedgerow Data'!$B$3:$B$15,0),MATCH(H203,'G-6 Hedgerow Data'!$E$2:$I$2,0))))</f>
        <v/>
      </c>
      <c r="N203" s="195"/>
      <c r="O203" s="195"/>
      <c r="P203" s="507" t="str">
        <f t="shared" si="13"/>
        <v/>
      </c>
      <c r="Q203" s="521" t="str">
        <f t="shared" si="14"/>
        <v/>
      </c>
      <c r="R203" s="522" t="str">
        <f t="shared" si="12"/>
        <v/>
      </c>
      <c r="S203" s="537" t="str">
        <f>IF(D203="","",VLOOKUP(D203,'G-6 Hedgerow Data'!$B$3:$AG$15,31,FALSE))</f>
        <v/>
      </c>
      <c r="T203" s="507" t="str">
        <f t="shared" si="15"/>
        <v/>
      </c>
      <c r="U203" s="507" t="str">
        <f t="shared" si="16"/>
        <v/>
      </c>
      <c r="V203" s="524" t="str">
        <f>IF(D203="","",VLOOKUP(S203,'G-3 Multipliers'!$P$3:$Q$6,2,FALSE))</f>
        <v/>
      </c>
      <c r="W203" s="529" t="str">
        <f t="shared" si="17"/>
        <v/>
      </c>
      <c r="X203" s="149"/>
      <c r="Y203" s="150"/>
      <c r="AG203" s="31" t="str">
        <f>IFERROR(INDEX('G-6 Hedgerow Data'!$BJ$3:$BJ$15,MATCH(D203,'G-6 Hedgerow Data'!$B$3:$B$15,0)),"")</f>
        <v/>
      </c>
    </row>
    <row r="204" spans="2:33" ht="13.8" x14ac:dyDescent="0.25">
      <c r="B204" s="141">
        <v>193</v>
      </c>
      <c r="C204" s="205"/>
      <c r="D204" s="195"/>
      <c r="E204" s="172"/>
      <c r="F204" s="553" t="str">
        <f>IF(D204="","",VLOOKUP(D204,'G-6 Hedgerow Data'!$B$2:$AG$15,2,FALSE))</f>
        <v/>
      </c>
      <c r="G204" s="499" t="str">
        <f>IF(D204="","",VLOOKUP(D204,'G-6 Hedgerow Data'!$B$2:$AG$15,3,FALSE))</f>
        <v/>
      </c>
      <c r="H204" s="145"/>
      <c r="I204" s="499" t="str">
        <f>IFERROR(VLOOKUP(H204,'G-1 All Habitats'!$Z$2:$AA$9,2,FALSE),"")</f>
        <v/>
      </c>
      <c r="J204" s="145"/>
      <c r="K204" s="520" t="str">
        <f>IF(J204="","",IF(VLOOKUP(J204,'G-3 Multipliers'!$L$3:$N$6,2,FALSE)=0,"Spatial Data Missing ⚠",VLOOKUP(J204,'G-3 Multipliers'!$L$3:$N$6,2,FALSE)))</f>
        <v/>
      </c>
      <c r="L204" s="505" t="str">
        <f>IF(J204="","",IF(VLOOKUP(J204,'G-3 Multipliers'!$L$3:$N$6,3,FALSE)=0,"Spatial Data Missing ⚠",VLOOKUP(J204,'G-3 Multipliers'!$L$3:$N$6,3,FALSE)))</f>
        <v/>
      </c>
      <c r="M204" s="498" t="str">
        <f>IF(OR(D204="",H204=""),"",(INDEX('G-6 Hedgerow Data'!$E$3:$I$15,MATCH(D204,'G-6 Hedgerow Data'!$B$3:$B$15,0),MATCH(H204,'G-6 Hedgerow Data'!$E$2:$I$2,0))))</f>
        <v/>
      </c>
      <c r="N204" s="195"/>
      <c r="O204" s="195"/>
      <c r="P204" s="507" t="str">
        <f t="shared" si="13"/>
        <v/>
      </c>
      <c r="Q204" s="521" t="str">
        <f t="shared" si="14"/>
        <v/>
      </c>
      <c r="R204" s="522" t="str">
        <f t="shared" ref="R204:R259" si="18">IF(M204="","",IF(LEFT(P204,5)="Error ▲","Check Data ⚠",VLOOKUP(Q204,TemporalMultipliers,3,FALSE)))</f>
        <v/>
      </c>
      <c r="S204" s="537" t="str">
        <f>IF(D204="","",VLOOKUP(D204,'G-6 Hedgerow Data'!$B$3:$AG$15,31,FALSE))</f>
        <v/>
      </c>
      <c r="T204" s="507" t="str">
        <f t="shared" si="15"/>
        <v/>
      </c>
      <c r="U204" s="507" t="str">
        <f t="shared" si="16"/>
        <v/>
      </c>
      <c r="V204" s="524" t="str">
        <f>IF(D204="","",VLOOKUP(S204,'G-3 Multipliers'!$P$3:$Q$6,2,FALSE))</f>
        <v/>
      </c>
      <c r="W204" s="529" t="str">
        <f t="shared" si="17"/>
        <v/>
      </c>
      <c r="X204" s="149"/>
      <c r="Y204" s="150"/>
      <c r="AG204" s="31" t="str">
        <f>IFERROR(INDEX('G-6 Hedgerow Data'!$BJ$3:$BJ$15,MATCH(D204,'G-6 Hedgerow Data'!$B$3:$B$15,0)),"")</f>
        <v/>
      </c>
    </row>
    <row r="205" spans="2:33" ht="13.8" x14ac:dyDescent="0.25">
      <c r="B205" s="141">
        <v>194</v>
      </c>
      <c r="C205" s="205"/>
      <c r="D205" s="195"/>
      <c r="E205" s="172"/>
      <c r="F205" s="553" t="str">
        <f>IF(D205="","",VLOOKUP(D205,'G-6 Hedgerow Data'!$B$2:$AG$15,2,FALSE))</f>
        <v/>
      </c>
      <c r="G205" s="499" t="str">
        <f>IF(D205="","",VLOOKUP(D205,'G-6 Hedgerow Data'!$B$2:$AG$15,3,FALSE))</f>
        <v/>
      </c>
      <c r="H205" s="145"/>
      <c r="I205" s="499" t="str">
        <f>IFERROR(VLOOKUP(H205,'G-1 All Habitats'!$Z$2:$AA$9,2,FALSE),"")</f>
        <v/>
      </c>
      <c r="J205" s="145"/>
      <c r="K205" s="520" t="str">
        <f>IF(J205="","",IF(VLOOKUP(J205,'G-3 Multipliers'!$L$3:$N$6,2,FALSE)=0,"Spatial Data Missing ⚠",VLOOKUP(J205,'G-3 Multipliers'!$L$3:$N$6,2,FALSE)))</f>
        <v/>
      </c>
      <c r="L205" s="505" t="str">
        <f>IF(J205="","",IF(VLOOKUP(J205,'G-3 Multipliers'!$L$3:$N$6,3,FALSE)=0,"Spatial Data Missing ⚠",VLOOKUP(J205,'G-3 Multipliers'!$L$3:$N$6,3,FALSE)))</f>
        <v/>
      </c>
      <c r="M205" s="498" t="str">
        <f>IF(OR(D205="",H205=""),"",(INDEX('G-6 Hedgerow Data'!$E$3:$I$15,MATCH(D205,'G-6 Hedgerow Data'!$B$3:$B$15,0),MATCH(H205,'G-6 Hedgerow Data'!$E$2:$I$2,0))))</f>
        <v/>
      </c>
      <c r="N205" s="195"/>
      <c r="O205" s="195"/>
      <c r="P205" s="507"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521" t="str">
        <f t="shared" ref="Q205:Q259" si="20">IF(M205="","",IF(LEFT(P205,5)="Error ▲","Check Data ⚠",IF(OR(N205="30+",N205="Habitat already in target condition"),0,IF(O205="30+","30+ ⚠",IF(AND(M205="30+ ⚠",OR(N205="",N205=0)),"30+ ⚠",IF(AND(M205="30+ ⚠",N205&gt;0),32-N205,IF(M205+O205&gt;30,"30+ ⚠",IF(M205+O205-N205&gt;0,M205+O205-N205,IF(M205-N205&lt;0,0,M205+O205-N205)))))))))</f>
        <v/>
      </c>
      <c r="R205" s="522" t="str">
        <f t="shared" si="18"/>
        <v/>
      </c>
      <c r="S205" s="537" t="str">
        <f>IF(D205="","",VLOOKUP(D205,'G-6 Hedgerow Data'!$B$3:$AG$15,31,FALSE))</f>
        <v/>
      </c>
      <c r="T205" s="507" t="str">
        <f t="shared" ref="T205:T259" si="21">IF(D205="","",IF(Q205="Check Data ⚠","Check Data ⚠",IF(H205="","",IF($P205="Check details - Is there evidence that habitat has reached target condition? ⚠","Low Difficulty - only applicable if all habitat created before losses ⚠","Standard difficulty applied"))))</f>
        <v/>
      </c>
      <c r="U205" s="507" t="str">
        <f t="shared" ref="U205:U259" si="22">(IF(AND(T205="Standard difficulty applied",M205&gt;N205),S205,IF(AND(T205="Low Difficulty - only applicable if all habitat created before losses ⚠",Q205&lt;=0),"Low",S205)))</f>
        <v/>
      </c>
      <c r="V205" s="524" t="str">
        <f>IF(D205="","",VLOOKUP(S205,'G-3 Multipliers'!$P$3:$Q$6,2,FALSE))</f>
        <v/>
      </c>
      <c r="W205" s="529" t="str">
        <f t="shared" ref="W205:W259" si="23">IFERROR(E205*G205*I205*L205*R205*V205,"")</f>
        <v/>
      </c>
      <c r="X205" s="149"/>
      <c r="Y205" s="150"/>
      <c r="AG205" s="31" t="str">
        <f>IFERROR(INDEX('G-6 Hedgerow Data'!$BJ$3:$BJ$15,MATCH(D205,'G-6 Hedgerow Data'!$B$3:$B$15,0)),"")</f>
        <v/>
      </c>
    </row>
    <row r="206" spans="2:33" ht="13.8" x14ac:dyDescent="0.25">
      <c r="B206" s="141">
        <v>195</v>
      </c>
      <c r="C206" s="205"/>
      <c r="D206" s="195"/>
      <c r="E206" s="172"/>
      <c r="F206" s="553" t="str">
        <f>IF(D206="","",VLOOKUP(D206,'G-6 Hedgerow Data'!$B$2:$AG$15,2,FALSE))</f>
        <v/>
      </c>
      <c r="G206" s="499" t="str">
        <f>IF(D206="","",VLOOKUP(D206,'G-6 Hedgerow Data'!$B$2:$AG$15,3,FALSE))</f>
        <v/>
      </c>
      <c r="H206" s="145"/>
      <c r="I206" s="499" t="str">
        <f>IFERROR(VLOOKUP(H206,'G-1 All Habitats'!$Z$2:$AA$9,2,FALSE),"")</f>
        <v/>
      </c>
      <c r="J206" s="145"/>
      <c r="K206" s="520" t="str">
        <f>IF(J206="","",IF(VLOOKUP(J206,'G-3 Multipliers'!$L$3:$N$6,2,FALSE)=0,"Spatial Data Missing ⚠",VLOOKUP(J206,'G-3 Multipliers'!$L$3:$N$6,2,FALSE)))</f>
        <v/>
      </c>
      <c r="L206" s="505" t="str">
        <f>IF(J206="","",IF(VLOOKUP(J206,'G-3 Multipliers'!$L$3:$N$6,3,FALSE)=0,"Spatial Data Missing ⚠",VLOOKUP(J206,'G-3 Multipliers'!$L$3:$N$6,3,FALSE)))</f>
        <v/>
      </c>
      <c r="M206" s="498" t="str">
        <f>IF(OR(D206="",H206=""),"",(INDEX('G-6 Hedgerow Data'!$E$3:$I$15,MATCH(D206,'G-6 Hedgerow Data'!$B$3:$B$15,0),MATCH(H206,'G-6 Hedgerow Data'!$E$2:$I$2,0))))</f>
        <v/>
      </c>
      <c r="N206" s="195"/>
      <c r="O206" s="195"/>
      <c r="P206" s="507" t="str">
        <f t="shared" si="19"/>
        <v/>
      </c>
      <c r="Q206" s="521" t="str">
        <f t="shared" si="20"/>
        <v/>
      </c>
      <c r="R206" s="522" t="str">
        <f t="shared" si="18"/>
        <v/>
      </c>
      <c r="S206" s="537" t="str">
        <f>IF(D206="","",VLOOKUP(D206,'G-6 Hedgerow Data'!$B$3:$AG$15,31,FALSE))</f>
        <v/>
      </c>
      <c r="T206" s="507" t="str">
        <f t="shared" si="21"/>
        <v/>
      </c>
      <c r="U206" s="507" t="str">
        <f t="shared" si="22"/>
        <v/>
      </c>
      <c r="V206" s="524" t="str">
        <f>IF(D206="","",VLOOKUP(S206,'G-3 Multipliers'!$P$3:$Q$6,2,FALSE))</f>
        <v/>
      </c>
      <c r="W206" s="529" t="str">
        <f t="shared" si="23"/>
        <v/>
      </c>
      <c r="X206" s="149"/>
      <c r="Y206" s="150"/>
      <c r="AG206" s="31" t="str">
        <f>IFERROR(INDEX('G-6 Hedgerow Data'!$BJ$3:$BJ$15,MATCH(D206,'G-6 Hedgerow Data'!$B$3:$B$15,0)),"")</f>
        <v/>
      </c>
    </row>
    <row r="207" spans="2:33" ht="13.8" x14ac:dyDescent="0.25">
      <c r="B207" s="141">
        <v>196</v>
      </c>
      <c r="C207" s="205"/>
      <c r="D207" s="195"/>
      <c r="E207" s="172"/>
      <c r="F207" s="553" t="str">
        <f>IF(D207="","",VLOOKUP(D207,'G-6 Hedgerow Data'!$B$2:$AG$15,2,FALSE))</f>
        <v/>
      </c>
      <c r="G207" s="499" t="str">
        <f>IF(D207="","",VLOOKUP(D207,'G-6 Hedgerow Data'!$B$2:$AG$15,3,FALSE))</f>
        <v/>
      </c>
      <c r="H207" s="145"/>
      <c r="I207" s="499" t="str">
        <f>IFERROR(VLOOKUP(H207,'G-1 All Habitats'!$Z$2:$AA$9,2,FALSE),"")</f>
        <v/>
      </c>
      <c r="J207" s="145"/>
      <c r="K207" s="520" t="str">
        <f>IF(J207="","",IF(VLOOKUP(J207,'G-3 Multipliers'!$L$3:$N$6,2,FALSE)=0,"Spatial Data Missing ⚠",VLOOKUP(J207,'G-3 Multipliers'!$L$3:$N$6,2,FALSE)))</f>
        <v/>
      </c>
      <c r="L207" s="505" t="str">
        <f>IF(J207="","",IF(VLOOKUP(J207,'G-3 Multipliers'!$L$3:$N$6,3,FALSE)=0,"Spatial Data Missing ⚠",VLOOKUP(J207,'G-3 Multipliers'!$L$3:$N$6,3,FALSE)))</f>
        <v/>
      </c>
      <c r="M207" s="498" t="str">
        <f>IF(OR(D207="",H207=""),"",(INDEX('G-6 Hedgerow Data'!$E$3:$I$15,MATCH(D207,'G-6 Hedgerow Data'!$B$3:$B$15,0),MATCH(H207,'G-6 Hedgerow Data'!$E$2:$I$2,0))))</f>
        <v/>
      </c>
      <c r="N207" s="195"/>
      <c r="O207" s="195"/>
      <c r="P207" s="507" t="str">
        <f t="shared" si="19"/>
        <v/>
      </c>
      <c r="Q207" s="521" t="str">
        <f t="shared" si="20"/>
        <v/>
      </c>
      <c r="R207" s="522" t="str">
        <f t="shared" si="18"/>
        <v/>
      </c>
      <c r="S207" s="537" t="str">
        <f>IF(D207="","",VLOOKUP(D207,'G-6 Hedgerow Data'!$B$3:$AG$15,31,FALSE))</f>
        <v/>
      </c>
      <c r="T207" s="507" t="str">
        <f t="shared" si="21"/>
        <v/>
      </c>
      <c r="U207" s="507" t="str">
        <f t="shared" si="22"/>
        <v/>
      </c>
      <c r="V207" s="524" t="str">
        <f>IF(D207="","",VLOOKUP(S207,'G-3 Multipliers'!$P$3:$Q$6,2,FALSE))</f>
        <v/>
      </c>
      <c r="W207" s="529" t="str">
        <f t="shared" si="23"/>
        <v/>
      </c>
      <c r="X207" s="149"/>
      <c r="Y207" s="150"/>
      <c r="AG207" s="31" t="str">
        <f>IFERROR(INDEX('G-6 Hedgerow Data'!$BJ$3:$BJ$15,MATCH(D207,'G-6 Hedgerow Data'!$B$3:$B$15,0)),"")</f>
        <v/>
      </c>
    </row>
    <row r="208" spans="2:33" ht="13.8" x14ac:dyDescent="0.25">
      <c r="B208" s="141">
        <v>197</v>
      </c>
      <c r="C208" s="205"/>
      <c r="D208" s="195"/>
      <c r="E208" s="172"/>
      <c r="F208" s="553" t="str">
        <f>IF(D208="","",VLOOKUP(D208,'G-6 Hedgerow Data'!$B$2:$AG$15,2,FALSE))</f>
        <v/>
      </c>
      <c r="G208" s="499" t="str">
        <f>IF(D208="","",VLOOKUP(D208,'G-6 Hedgerow Data'!$B$2:$AG$15,3,FALSE))</f>
        <v/>
      </c>
      <c r="H208" s="145"/>
      <c r="I208" s="499" t="str">
        <f>IFERROR(VLOOKUP(H208,'G-1 All Habitats'!$Z$2:$AA$9,2,FALSE),"")</f>
        <v/>
      </c>
      <c r="J208" s="145"/>
      <c r="K208" s="520" t="str">
        <f>IF(J208="","",IF(VLOOKUP(J208,'G-3 Multipliers'!$L$3:$N$6,2,FALSE)=0,"Spatial Data Missing ⚠",VLOOKUP(J208,'G-3 Multipliers'!$L$3:$N$6,2,FALSE)))</f>
        <v/>
      </c>
      <c r="L208" s="505" t="str">
        <f>IF(J208="","",IF(VLOOKUP(J208,'G-3 Multipliers'!$L$3:$N$6,3,FALSE)=0,"Spatial Data Missing ⚠",VLOOKUP(J208,'G-3 Multipliers'!$L$3:$N$6,3,FALSE)))</f>
        <v/>
      </c>
      <c r="M208" s="498" t="str">
        <f>IF(OR(D208="",H208=""),"",(INDEX('G-6 Hedgerow Data'!$E$3:$I$15,MATCH(D208,'G-6 Hedgerow Data'!$B$3:$B$15,0),MATCH(H208,'G-6 Hedgerow Data'!$E$2:$I$2,0))))</f>
        <v/>
      </c>
      <c r="N208" s="195"/>
      <c r="O208" s="195"/>
      <c r="P208" s="507" t="str">
        <f t="shared" si="19"/>
        <v/>
      </c>
      <c r="Q208" s="521" t="str">
        <f t="shared" si="20"/>
        <v/>
      </c>
      <c r="R208" s="522" t="str">
        <f t="shared" si="18"/>
        <v/>
      </c>
      <c r="S208" s="537" t="str">
        <f>IF(D208="","",VLOOKUP(D208,'G-6 Hedgerow Data'!$B$3:$AG$15,31,FALSE))</f>
        <v/>
      </c>
      <c r="T208" s="507" t="str">
        <f t="shared" si="21"/>
        <v/>
      </c>
      <c r="U208" s="507" t="str">
        <f t="shared" si="22"/>
        <v/>
      </c>
      <c r="V208" s="524" t="str">
        <f>IF(D208="","",VLOOKUP(S208,'G-3 Multipliers'!$P$3:$Q$6,2,FALSE))</f>
        <v/>
      </c>
      <c r="W208" s="529" t="str">
        <f t="shared" si="23"/>
        <v/>
      </c>
      <c r="X208" s="149"/>
      <c r="Y208" s="150"/>
      <c r="AG208" s="31" t="str">
        <f>IFERROR(INDEX('G-6 Hedgerow Data'!$BJ$3:$BJ$15,MATCH(D208,'G-6 Hedgerow Data'!$B$3:$B$15,0)),"")</f>
        <v/>
      </c>
    </row>
    <row r="209" spans="2:33" ht="13.8" x14ac:dyDescent="0.25">
      <c r="B209" s="141">
        <v>198</v>
      </c>
      <c r="C209" s="205"/>
      <c r="D209" s="195"/>
      <c r="E209" s="172"/>
      <c r="F209" s="553" t="str">
        <f>IF(D209="","",VLOOKUP(D209,'G-6 Hedgerow Data'!$B$2:$AG$15,2,FALSE))</f>
        <v/>
      </c>
      <c r="G209" s="499" t="str">
        <f>IF(D209="","",VLOOKUP(D209,'G-6 Hedgerow Data'!$B$2:$AG$15,3,FALSE))</f>
        <v/>
      </c>
      <c r="H209" s="145"/>
      <c r="I209" s="499" t="str">
        <f>IFERROR(VLOOKUP(H209,'G-1 All Habitats'!$Z$2:$AA$9,2,FALSE),"")</f>
        <v/>
      </c>
      <c r="J209" s="145"/>
      <c r="K209" s="520" t="str">
        <f>IF(J209="","",IF(VLOOKUP(J209,'G-3 Multipliers'!$L$3:$N$6,2,FALSE)=0,"Spatial Data Missing ⚠",VLOOKUP(J209,'G-3 Multipliers'!$L$3:$N$6,2,FALSE)))</f>
        <v/>
      </c>
      <c r="L209" s="505" t="str">
        <f>IF(J209="","",IF(VLOOKUP(J209,'G-3 Multipliers'!$L$3:$N$6,3,FALSE)=0,"Spatial Data Missing ⚠",VLOOKUP(J209,'G-3 Multipliers'!$L$3:$N$6,3,FALSE)))</f>
        <v/>
      </c>
      <c r="M209" s="498" t="str">
        <f>IF(OR(D209="",H209=""),"",(INDEX('G-6 Hedgerow Data'!$E$3:$I$15,MATCH(D209,'G-6 Hedgerow Data'!$B$3:$B$15,0),MATCH(H209,'G-6 Hedgerow Data'!$E$2:$I$2,0))))</f>
        <v/>
      </c>
      <c r="N209" s="195"/>
      <c r="O209" s="195"/>
      <c r="P209" s="507" t="str">
        <f t="shared" si="19"/>
        <v/>
      </c>
      <c r="Q209" s="521" t="str">
        <f t="shared" si="20"/>
        <v/>
      </c>
      <c r="R209" s="522" t="str">
        <f t="shared" si="18"/>
        <v/>
      </c>
      <c r="S209" s="537" t="str">
        <f>IF(D209="","",VLOOKUP(D209,'G-6 Hedgerow Data'!$B$3:$AG$15,31,FALSE))</f>
        <v/>
      </c>
      <c r="T209" s="507" t="str">
        <f t="shared" si="21"/>
        <v/>
      </c>
      <c r="U209" s="507" t="str">
        <f t="shared" si="22"/>
        <v/>
      </c>
      <c r="V209" s="524" t="str">
        <f>IF(D209="","",VLOOKUP(S209,'G-3 Multipliers'!$P$3:$Q$6,2,FALSE))</f>
        <v/>
      </c>
      <c r="W209" s="529" t="str">
        <f t="shared" si="23"/>
        <v/>
      </c>
      <c r="X209" s="149"/>
      <c r="Y209" s="150"/>
      <c r="AG209" s="31" t="str">
        <f>IFERROR(INDEX('G-6 Hedgerow Data'!$BJ$3:$BJ$15,MATCH(D209,'G-6 Hedgerow Data'!$B$3:$B$15,0)),"")</f>
        <v/>
      </c>
    </row>
    <row r="210" spans="2:33" ht="13.8" x14ac:dyDescent="0.25">
      <c r="B210" s="141">
        <v>199</v>
      </c>
      <c r="C210" s="205"/>
      <c r="D210" s="195"/>
      <c r="E210" s="172"/>
      <c r="F210" s="553" t="str">
        <f>IF(D210="","",VLOOKUP(D210,'G-6 Hedgerow Data'!$B$2:$AG$15,2,FALSE))</f>
        <v/>
      </c>
      <c r="G210" s="499" t="str">
        <f>IF(D210="","",VLOOKUP(D210,'G-6 Hedgerow Data'!$B$2:$AG$15,3,FALSE))</f>
        <v/>
      </c>
      <c r="H210" s="145"/>
      <c r="I210" s="499" t="str">
        <f>IFERROR(VLOOKUP(H210,'G-1 All Habitats'!$Z$2:$AA$9,2,FALSE),"")</f>
        <v/>
      </c>
      <c r="J210" s="145"/>
      <c r="K210" s="520" t="str">
        <f>IF(J210="","",IF(VLOOKUP(J210,'G-3 Multipliers'!$L$3:$N$6,2,FALSE)=0,"Spatial Data Missing ⚠",VLOOKUP(J210,'G-3 Multipliers'!$L$3:$N$6,2,FALSE)))</f>
        <v/>
      </c>
      <c r="L210" s="505" t="str">
        <f>IF(J210="","",IF(VLOOKUP(J210,'G-3 Multipliers'!$L$3:$N$6,3,FALSE)=0,"Spatial Data Missing ⚠",VLOOKUP(J210,'G-3 Multipliers'!$L$3:$N$6,3,FALSE)))</f>
        <v/>
      </c>
      <c r="M210" s="498" t="str">
        <f>IF(OR(D210="",H210=""),"",(INDEX('G-6 Hedgerow Data'!$E$3:$I$15,MATCH(D210,'G-6 Hedgerow Data'!$B$3:$B$15,0),MATCH(H210,'G-6 Hedgerow Data'!$E$2:$I$2,0))))</f>
        <v/>
      </c>
      <c r="N210" s="195"/>
      <c r="O210" s="195"/>
      <c r="P210" s="507" t="str">
        <f t="shared" si="19"/>
        <v/>
      </c>
      <c r="Q210" s="521" t="str">
        <f t="shared" si="20"/>
        <v/>
      </c>
      <c r="R210" s="522" t="str">
        <f t="shared" si="18"/>
        <v/>
      </c>
      <c r="S210" s="537" t="str">
        <f>IF(D210="","",VLOOKUP(D210,'G-6 Hedgerow Data'!$B$3:$AG$15,31,FALSE))</f>
        <v/>
      </c>
      <c r="T210" s="507" t="str">
        <f t="shared" si="21"/>
        <v/>
      </c>
      <c r="U210" s="507" t="str">
        <f t="shared" si="22"/>
        <v/>
      </c>
      <c r="V210" s="524" t="str">
        <f>IF(D210="","",VLOOKUP(S210,'G-3 Multipliers'!$P$3:$Q$6,2,FALSE))</f>
        <v/>
      </c>
      <c r="W210" s="529" t="str">
        <f t="shared" si="23"/>
        <v/>
      </c>
      <c r="X210" s="149"/>
      <c r="Y210" s="150"/>
      <c r="AG210" s="31" t="str">
        <f>IFERROR(INDEX('G-6 Hedgerow Data'!$BJ$3:$BJ$15,MATCH(D210,'G-6 Hedgerow Data'!$B$3:$B$15,0)),"")</f>
        <v/>
      </c>
    </row>
    <row r="211" spans="2:33" ht="13.8" x14ac:dyDescent="0.25">
      <c r="B211" s="141">
        <v>200</v>
      </c>
      <c r="C211" s="205"/>
      <c r="D211" s="195"/>
      <c r="E211" s="172"/>
      <c r="F211" s="553" t="str">
        <f>IF(D211="","",VLOOKUP(D211,'G-6 Hedgerow Data'!$B$2:$AG$15,2,FALSE))</f>
        <v/>
      </c>
      <c r="G211" s="499" t="str">
        <f>IF(D211="","",VLOOKUP(D211,'G-6 Hedgerow Data'!$B$2:$AG$15,3,FALSE))</f>
        <v/>
      </c>
      <c r="H211" s="145"/>
      <c r="I211" s="499" t="str">
        <f>IFERROR(VLOOKUP(H211,'G-1 All Habitats'!$Z$2:$AA$9,2,FALSE),"")</f>
        <v/>
      </c>
      <c r="J211" s="145"/>
      <c r="K211" s="520" t="str">
        <f>IF(J211="","",IF(VLOOKUP(J211,'G-3 Multipliers'!$L$3:$N$6,2,FALSE)=0,"Spatial Data Missing ⚠",VLOOKUP(J211,'G-3 Multipliers'!$L$3:$N$6,2,FALSE)))</f>
        <v/>
      </c>
      <c r="L211" s="505" t="str">
        <f>IF(J211="","",IF(VLOOKUP(J211,'G-3 Multipliers'!$L$3:$N$6,3,FALSE)=0,"Spatial Data Missing ⚠",VLOOKUP(J211,'G-3 Multipliers'!$L$3:$N$6,3,FALSE)))</f>
        <v/>
      </c>
      <c r="M211" s="498" t="str">
        <f>IF(OR(D211="",H211=""),"",(INDEX('G-6 Hedgerow Data'!$E$3:$I$15,MATCH(D211,'G-6 Hedgerow Data'!$B$3:$B$15,0),MATCH(H211,'G-6 Hedgerow Data'!$E$2:$I$2,0))))</f>
        <v/>
      </c>
      <c r="N211" s="195"/>
      <c r="O211" s="195"/>
      <c r="P211" s="507" t="str">
        <f t="shared" si="19"/>
        <v/>
      </c>
      <c r="Q211" s="521" t="str">
        <f t="shared" si="20"/>
        <v/>
      </c>
      <c r="R211" s="522" t="str">
        <f t="shared" si="18"/>
        <v/>
      </c>
      <c r="S211" s="537" t="str">
        <f>IF(D211="","",VLOOKUP(D211,'G-6 Hedgerow Data'!$B$3:$AG$15,31,FALSE))</f>
        <v/>
      </c>
      <c r="T211" s="507" t="str">
        <f t="shared" si="21"/>
        <v/>
      </c>
      <c r="U211" s="507" t="str">
        <f t="shared" si="22"/>
        <v/>
      </c>
      <c r="V211" s="524" t="str">
        <f>IF(D211="","",VLOOKUP(S211,'G-3 Multipliers'!$P$3:$Q$6,2,FALSE))</f>
        <v/>
      </c>
      <c r="W211" s="529" t="str">
        <f t="shared" si="23"/>
        <v/>
      </c>
      <c r="X211" s="149"/>
      <c r="Y211" s="150"/>
      <c r="AG211" s="31" t="str">
        <f>IFERROR(INDEX('G-6 Hedgerow Data'!$BJ$3:$BJ$15,MATCH(D211,'G-6 Hedgerow Data'!$B$3:$B$15,0)),"")</f>
        <v/>
      </c>
    </row>
    <row r="212" spans="2:33" ht="13.8" x14ac:dyDescent="0.25">
      <c r="B212" s="141">
        <v>201</v>
      </c>
      <c r="C212" s="205"/>
      <c r="D212" s="195"/>
      <c r="E212" s="172"/>
      <c r="F212" s="553" t="str">
        <f>IF(D212="","",VLOOKUP(D212,'G-6 Hedgerow Data'!$B$2:$AG$15,2,FALSE))</f>
        <v/>
      </c>
      <c r="G212" s="499" t="str">
        <f>IF(D212="","",VLOOKUP(D212,'G-6 Hedgerow Data'!$B$2:$AG$15,3,FALSE))</f>
        <v/>
      </c>
      <c r="H212" s="145"/>
      <c r="I212" s="499" t="str">
        <f>IFERROR(VLOOKUP(H212,'G-1 All Habitats'!$Z$2:$AA$9,2,FALSE),"")</f>
        <v/>
      </c>
      <c r="J212" s="145"/>
      <c r="K212" s="520" t="str">
        <f>IF(J212="","",IF(VLOOKUP(J212,'G-3 Multipliers'!$L$3:$N$6,2,FALSE)=0,"Spatial Data Missing ⚠",VLOOKUP(J212,'G-3 Multipliers'!$L$3:$N$6,2,FALSE)))</f>
        <v/>
      </c>
      <c r="L212" s="505" t="str">
        <f>IF(J212="","",IF(VLOOKUP(J212,'G-3 Multipliers'!$L$3:$N$6,3,FALSE)=0,"Spatial Data Missing ⚠",VLOOKUP(J212,'G-3 Multipliers'!$L$3:$N$6,3,FALSE)))</f>
        <v/>
      </c>
      <c r="M212" s="498" t="str">
        <f>IF(OR(D212="",H212=""),"",(INDEX('G-6 Hedgerow Data'!$E$3:$I$15,MATCH(D212,'G-6 Hedgerow Data'!$B$3:$B$15,0),MATCH(H212,'G-6 Hedgerow Data'!$E$2:$I$2,0))))</f>
        <v/>
      </c>
      <c r="N212" s="195"/>
      <c r="O212" s="195"/>
      <c r="P212" s="507" t="str">
        <f t="shared" si="19"/>
        <v/>
      </c>
      <c r="Q212" s="521" t="str">
        <f t="shared" si="20"/>
        <v/>
      </c>
      <c r="R212" s="522" t="str">
        <f t="shared" si="18"/>
        <v/>
      </c>
      <c r="S212" s="537" t="str">
        <f>IF(D212="","",VLOOKUP(D212,'G-6 Hedgerow Data'!$B$3:$AG$15,31,FALSE))</f>
        <v/>
      </c>
      <c r="T212" s="507" t="str">
        <f t="shared" si="21"/>
        <v/>
      </c>
      <c r="U212" s="507" t="str">
        <f t="shared" si="22"/>
        <v/>
      </c>
      <c r="V212" s="524" t="str">
        <f>IF(D212="","",VLOOKUP(S212,'G-3 Multipliers'!$P$3:$Q$6,2,FALSE))</f>
        <v/>
      </c>
      <c r="W212" s="529" t="str">
        <f t="shared" si="23"/>
        <v/>
      </c>
      <c r="X212" s="149"/>
      <c r="Y212" s="150"/>
      <c r="AG212" s="31" t="str">
        <f>IFERROR(INDEX('G-6 Hedgerow Data'!$BJ$3:$BJ$15,MATCH(D212,'G-6 Hedgerow Data'!$B$3:$B$15,0)),"")</f>
        <v/>
      </c>
    </row>
    <row r="213" spans="2:33" ht="13.8" x14ac:dyDescent="0.25">
      <c r="B213" s="141">
        <v>202</v>
      </c>
      <c r="C213" s="205"/>
      <c r="D213" s="195"/>
      <c r="E213" s="172"/>
      <c r="F213" s="553" t="str">
        <f>IF(D213="","",VLOOKUP(D213,'G-6 Hedgerow Data'!$B$2:$AG$15,2,FALSE))</f>
        <v/>
      </c>
      <c r="G213" s="499" t="str">
        <f>IF(D213="","",VLOOKUP(D213,'G-6 Hedgerow Data'!$B$2:$AG$15,3,FALSE))</f>
        <v/>
      </c>
      <c r="H213" s="145"/>
      <c r="I213" s="499" t="str">
        <f>IFERROR(VLOOKUP(H213,'G-1 All Habitats'!$Z$2:$AA$9,2,FALSE),"")</f>
        <v/>
      </c>
      <c r="J213" s="145"/>
      <c r="K213" s="520" t="str">
        <f>IF(J213="","",IF(VLOOKUP(J213,'G-3 Multipliers'!$L$3:$N$6,2,FALSE)=0,"Spatial Data Missing ⚠",VLOOKUP(J213,'G-3 Multipliers'!$L$3:$N$6,2,FALSE)))</f>
        <v/>
      </c>
      <c r="L213" s="505" t="str">
        <f>IF(J213="","",IF(VLOOKUP(J213,'G-3 Multipliers'!$L$3:$N$6,3,FALSE)=0,"Spatial Data Missing ⚠",VLOOKUP(J213,'G-3 Multipliers'!$L$3:$N$6,3,FALSE)))</f>
        <v/>
      </c>
      <c r="M213" s="498" t="str">
        <f>IF(OR(D213="",H213=""),"",(INDEX('G-6 Hedgerow Data'!$E$3:$I$15,MATCH(D213,'G-6 Hedgerow Data'!$B$3:$B$15,0),MATCH(H213,'G-6 Hedgerow Data'!$E$2:$I$2,0))))</f>
        <v/>
      </c>
      <c r="N213" s="195"/>
      <c r="O213" s="195"/>
      <c r="P213" s="507" t="str">
        <f t="shared" si="19"/>
        <v/>
      </c>
      <c r="Q213" s="521" t="str">
        <f t="shared" si="20"/>
        <v/>
      </c>
      <c r="R213" s="522" t="str">
        <f t="shared" si="18"/>
        <v/>
      </c>
      <c r="S213" s="537" t="str">
        <f>IF(D213="","",VLOOKUP(D213,'G-6 Hedgerow Data'!$B$3:$AG$15,31,FALSE))</f>
        <v/>
      </c>
      <c r="T213" s="507" t="str">
        <f t="shared" si="21"/>
        <v/>
      </c>
      <c r="U213" s="507" t="str">
        <f t="shared" si="22"/>
        <v/>
      </c>
      <c r="V213" s="524" t="str">
        <f>IF(D213="","",VLOOKUP(S213,'G-3 Multipliers'!$P$3:$Q$6,2,FALSE))</f>
        <v/>
      </c>
      <c r="W213" s="529" t="str">
        <f t="shared" si="23"/>
        <v/>
      </c>
      <c r="X213" s="149"/>
      <c r="Y213" s="150"/>
      <c r="AG213" s="31" t="str">
        <f>IFERROR(INDEX('G-6 Hedgerow Data'!$BJ$3:$BJ$15,MATCH(D213,'G-6 Hedgerow Data'!$B$3:$B$15,0)),"")</f>
        <v/>
      </c>
    </row>
    <row r="214" spans="2:33" ht="13.8" x14ac:dyDescent="0.25">
      <c r="B214" s="141">
        <v>203</v>
      </c>
      <c r="C214" s="205"/>
      <c r="D214" s="195"/>
      <c r="E214" s="172"/>
      <c r="F214" s="553" t="str">
        <f>IF(D214="","",VLOOKUP(D214,'G-6 Hedgerow Data'!$B$2:$AG$15,2,FALSE))</f>
        <v/>
      </c>
      <c r="G214" s="499" t="str">
        <f>IF(D214="","",VLOOKUP(D214,'G-6 Hedgerow Data'!$B$2:$AG$15,3,FALSE))</f>
        <v/>
      </c>
      <c r="H214" s="145"/>
      <c r="I214" s="499" t="str">
        <f>IFERROR(VLOOKUP(H214,'G-1 All Habitats'!$Z$2:$AA$9,2,FALSE),"")</f>
        <v/>
      </c>
      <c r="J214" s="145"/>
      <c r="K214" s="520" t="str">
        <f>IF(J214="","",IF(VLOOKUP(J214,'G-3 Multipliers'!$L$3:$N$6,2,FALSE)=0,"Spatial Data Missing ⚠",VLOOKUP(J214,'G-3 Multipliers'!$L$3:$N$6,2,FALSE)))</f>
        <v/>
      </c>
      <c r="L214" s="505" t="str">
        <f>IF(J214="","",IF(VLOOKUP(J214,'G-3 Multipliers'!$L$3:$N$6,3,FALSE)=0,"Spatial Data Missing ⚠",VLOOKUP(J214,'G-3 Multipliers'!$L$3:$N$6,3,FALSE)))</f>
        <v/>
      </c>
      <c r="M214" s="498" t="str">
        <f>IF(OR(D214="",H214=""),"",(INDEX('G-6 Hedgerow Data'!$E$3:$I$15,MATCH(D214,'G-6 Hedgerow Data'!$B$3:$B$15,0),MATCH(H214,'G-6 Hedgerow Data'!$E$2:$I$2,0))))</f>
        <v/>
      </c>
      <c r="N214" s="195"/>
      <c r="O214" s="195"/>
      <c r="P214" s="507" t="str">
        <f t="shared" si="19"/>
        <v/>
      </c>
      <c r="Q214" s="521" t="str">
        <f t="shared" si="20"/>
        <v/>
      </c>
      <c r="R214" s="522" t="str">
        <f t="shared" si="18"/>
        <v/>
      </c>
      <c r="S214" s="537" t="str">
        <f>IF(D214="","",VLOOKUP(D214,'G-6 Hedgerow Data'!$B$3:$AG$15,31,FALSE))</f>
        <v/>
      </c>
      <c r="T214" s="507" t="str">
        <f t="shared" si="21"/>
        <v/>
      </c>
      <c r="U214" s="507" t="str">
        <f t="shared" si="22"/>
        <v/>
      </c>
      <c r="V214" s="524" t="str">
        <f>IF(D214="","",VLOOKUP(S214,'G-3 Multipliers'!$P$3:$Q$6,2,FALSE))</f>
        <v/>
      </c>
      <c r="W214" s="529" t="str">
        <f t="shared" si="23"/>
        <v/>
      </c>
      <c r="X214" s="149"/>
      <c r="Y214" s="150"/>
      <c r="AG214" s="31" t="str">
        <f>IFERROR(INDEX('G-6 Hedgerow Data'!$BJ$3:$BJ$15,MATCH(D214,'G-6 Hedgerow Data'!$B$3:$B$15,0)),"")</f>
        <v/>
      </c>
    </row>
    <row r="215" spans="2:33" ht="13.8" x14ac:dyDescent="0.25">
      <c r="B215" s="141">
        <v>204</v>
      </c>
      <c r="C215" s="205"/>
      <c r="D215" s="195"/>
      <c r="E215" s="172"/>
      <c r="F215" s="553" t="str">
        <f>IF(D215="","",VLOOKUP(D215,'G-6 Hedgerow Data'!$B$2:$AG$15,2,FALSE))</f>
        <v/>
      </c>
      <c r="G215" s="499" t="str">
        <f>IF(D215="","",VLOOKUP(D215,'G-6 Hedgerow Data'!$B$2:$AG$15,3,FALSE))</f>
        <v/>
      </c>
      <c r="H215" s="145"/>
      <c r="I215" s="499" t="str">
        <f>IFERROR(VLOOKUP(H215,'G-1 All Habitats'!$Z$2:$AA$9,2,FALSE),"")</f>
        <v/>
      </c>
      <c r="J215" s="145"/>
      <c r="K215" s="520" t="str">
        <f>IF(J215="","",IF(VLOOKUP(J215,'G-3 Multipliers'!$L$3:$N$6,2,FALSE)=0,"Spatial Data Missing ⚠",VLOOKUP(J215,'G-3 Multipliers'!$L$3:$N$6,2,FALSE)))</f>
        <v/>
      </c>
      <c r="L215" s="505" t="str">
        <f>IF(J215="","",IF(VLOOKUP(J215,'G-3 Multipliers'!$L$3:$N$6,3,FALSE)=0,"Spatial Data Missing ⚠",VLOOKUP(J215,'G-3 Multipliers'!$L$3:$N$6,3,FALSE)))</f>
        <v/>
      </c>
      <c r="M215" s="498" t="str">
        <f>IF(OR(D215="",H215=""),"",(INDEX('G-6 Hedgerow Data'!$E$3:$I$15,MATCH(D215,'G-6 Hedgerow Data'!$B$3:$B$15,0),MATCH(H215,'G-6 Hedgerow Data'!$E$2:$I$2,0))))</f>
        <v/>
      </c>
      <c r="N215" s="195"/>
      <c r="O215" s="195"/>
      <c r="P215" s="507" t="str">
        <f t="shared" si="19"/>
        <v/>
      </c>
      <c r="Q215" s="521" t="str">
        <f t="shared" si="20"/>
        <v/>
      </c>
      <c r="R215" s="522" t="str">
        <f t="shared" si="18"/>
        <v/>
      </c>
      <c r="S215" s="537" t="str">
        <f>IF(D215="","",VLOOKUP(D215,'G-6 Hedgerow Data'!$B$3:$AG$15,31,FALSE))</f>
        <v/>
      </c>
      <c r="T215" s="507" t="str">
        <f t="shared" si="21"/>
        <v/>
      </c>
      <c r="U215" s="507" t="str">
        <f t="shared" si="22"/>
        <v/>
      </c>
      <c r="V215" s="524" t="str">
        <f>IF(D215="","",VLOOKUP(S215,'G-3 Multipliers'!$P$3:$Q$6,2,FALSE))</f>
        <v/>
      </c>
      <c r="W215" s="529" t="str">
        <f t="shared" si="23"/>
        <v/>
      </c>
      <c r="X215" s="149"/>
      <c r="Y215" s="150"/>
      <c r="AG215" s="31" t="str">
        <f>IFERROR(INDEX('G-6 Hedgerow Data'!$BJ$3:$BJ$15,MATCH(D215,'G-6 Hedgerow Data'!$B$3:$B$15,0)),"")</f>
        <v/>
      </c>
    </row>
    <row r="216" spans="2:33" ht="13.8" x14ac:dyDescent="0.25">
      <c r="B216" s="141">
        <v>205</v>
      </c>
      <c r="C216" s="205"/>
      <c r="D216" s="195"/>
      <c r="E216" s="172"/>
      <c r="F216" s="553" t="str">
        <f>IF(D216="","",VLOOKUP(D216,'G-6 Hedgerow Data'!$B$2:$AG$15,2,FALSE))</f>
        <v/>
      </c>
      <c r="G216" s="499" t="str">
        <f>IF(D216="","",VLOOKUP(D216,'G-6 Hedgerow Data'!$B$2:$AG$15,3,FALSE))</f>
        <v/>
      </c>
      <c r="H216" s="145"/>
      <c r="I216" s="499" t="str">
        <f>IFERROR(VLOOKUP(H216,'G-1 All Habitats'!$Z$2:$AA$9,2,FALSE),"")</f>
        <v/>
      </c>
      <c r="J216" s="145"/>
      <c r="K216" s="520" t="str">
        <f>IF(J216="","",IF(VLOOKUP(J216,'G-3 Multipliers'!$L$3:$N$6,2,FALSE)=0,"Spatial Data Missing ⚠",VLOOKUP(J216,'G-3 Multipliers'!$L$3:$N$6,2,FALSE)))</f>
        <v/>
      </c>
      <c r="L216" s="505" t="str">
        <f>IF(J216="","",IF(VLOOKUP(J216,'G-3 Multipliers'!$L$3:$N$6,3,FALSE)=0,"Spatial Data Missing ⚠",VLOOKUP(J216,'G-3 Multipliers'!$L$3:$N$6,3,FALSE)))</f>
        <v/>
      </c>
      <c r="M216" s="498" t="str">
        <f>IF(OR(D216="",H216=""),"",(INDEX('G-6 Hedgerow Data'!$E$3:$I$15,MATCH(D216,'G-6 Hedgerow Data'!$B$3:$B$15,0),MATCH(H216,'G-6 Hedgerow Data'!$E$2:$I$2,0))))</f>
        <v/>
      </c>
      <c r="N216" s="195"/>
      <c r="O216" s="195"/>
      <c r="P216" s="507" t="str">
        <f t="shared" si="19"/>
        <v/>
      </c>
      <c r="Q216" s="521" t="str">
        <f t="shared" si="20"/>
        <v/>
      </c>
      <c r="R216" s="522" t="str">
        <f t="shared" si="18"/>
        <v/>
      </c>
      <c r="S216" s="537" t="str">
        <f>IF(D216="","",VLOOKUP(D216,'G-6 Hedgerow Data'!$B$3:$AG$15,31,FALSE))</f>
        <v/>
      </c>
      <c r="T216" s="507" t="str">
        <f t="shared" si="21"/>
        <v/>
      </c>
      <c r="U216" s="507" t="str">
        <f t="shared" si="22"/>
        <v/>
      </c>
      <c r="V216" s="524" t="str">
        <f>IF(D216="","",VLOOKUP(S216,'G-3 Multipliers'!$P$3:$Q$6,2,FALSE))</f>
        <v/>
      </c>
      <c r="W216" s="529" t="str">
        <f t="shared" si="23"/>
        <v/>
      </c>
      <c r="X216" s="149"/>
      <c r="Y216" s="150"/>
      <c r="AG216" s="31" t="str">
        <f>IFERROR(INDEX('G-6 Hedgerow Data'!$BJ$3:$BJ$15,MATCH(D216,'G-6 Hedgerow Data'!$B$3:$B$15,0)),"")</f>
        <v/>
      </c>
    </row>
    <row r="217" spans="2:33" ht="13.8" x14ac:dyDescent="0.25">
      <c r="B217" s="141">
        <v>206</v>
      </c>
      <c r="C217" s="205"/>
      <c r="D217" s="195"/>
      <c r="E217" s="172"/>
      <c r="F217" s="553" t="str">
        <f>IF(D217="","",VLOOKUP(D217,'G-6 Hedgerow Data'!$B$2:$AG$15,2,FALSE))</f>
        <v/>
      </c>
      <c r="G217" s="499" t="str">
        <f>IF(D217="","",VLOOKUP(D217,'G-6 Hedgerow Data'!$B$2:$AG$15,3,FALSE))</f>
        <v/>
      </c>
      <c r="H217" s="145"/>
      <c r="I217" s="499" t="str">
        <f>IFERROR(VLOOKUP(H217,'G-1 All Habitats'!$Z$2:$AA$9,2,FALSE),"")</f>
        <v/>
      </c>
      <c r="J217" s="145"/>
      <c r="K217" s="520" t="str">
        <f>IF(J217="","",IF(VLOOKUP(J217,'G-3 Multipliers'!$L$3:$N$6,2,FALSE)=0,"Spatial Data Missing ⚠",VLOOKUP(J217,'G-3 Multipliers'!$L$3:$N$6,2,FALSE)))</f>
        <v/>
      </c>
      <c r="L217" s="505" t="str">
        <f>IF(J217="","",IF(VLOOKUP(J217,'G-3 Multipliers'!$L$3:$N$6,3,FALSE)=0,"Spatial Data Missing ⚠",VLOOKUP(J217,'G-3 Multipliers'!$L$3:$N$6,3,FALSE)))</f>
        <v/>
      </c>
      <c r="M217" s="498" t="str">
        <f>IF(OR(D217="",H217=""),"",(INDEX('G-6 Hedgerow Data'!$E$3:$I$15,MATCH(D217,'G-6 Hedgerow Data'!$B$3:$B$15,0),MATCH(H217,'G-6 Hedgerow Data'!$E$2:$I$2,0))))</f>
        <v/>
      </c>
      <c r="N217" s="195"/>
      <c r="O217" s="195"/>
      <c r="P217" s="507" t="str">
        <f t="shared" si="19"/>
        <v/>
      </c>
      <c r="Q217" s="521" t="str">
        <f t="shared" si="20"/>
        <v/>
      </c>
      <c r="R217" s="522" t="str">
        <f t="shared" si="18"/>
        <v/>
      </c>
      <c r="S217" s="537" t="str">
        <f>IF(D217="","",VLOOKUP(D217,'G-6 Hedgerow Data'!$B$3:$AG$15,31,FALSE))</f>
        <v/>
      </c>
      <c r="T217" s="507" t="str">
        <f t="shared" si="21"/>
        <v/>
      </c>
      <c r="U217" s="507" t="str">
        <f t="shared" si="22"/>
        <v/>
      </c>
      <c r="V217" s="524" t="str">
        <f>IF(D217="","",VLOOKUP(S217,'G-3 Multipliers'!$P$3:$Q$6,2,FALSE))</f>
        <v/>
      </c>
      <c r="W217" s="529" t="str">
        <f t="shared" si="23"/>
        <v/>
      </c>
      <c r="X217" s="149"/>
      <c r="Y217" s="150"/>
      <c r="AG217" s="31" t="str">
        <f>IFERROR(INDEX('G-6 Hedgerow Data'!$BJ$3:$BJ$15,MATCH(D217,'G-6 Hedgerow Data'!$B$3:$B$15,0)),"")</f>
        <v/>
      </c>
    </row>
    <row r="218" spans="2:33" ht="13.8" x14ac:dyDescent="0.25">
      <c r="B218" s="141">
        <v>207</v>
      </c>
      <c r="C218" s="205"/>
      <c r="D218" s="195"/>
      <c r="E218" s="172"/>
      <c r="F218" s="553" t="str">
        <f>IF(D218="","",VLOOKUP(D218,'G-6 Hedgerow Data'!$B$2:$AG$15,2,FALSE))</f>
        <v/>
      </c>
      <c r="G218" s="499" t="str">
        <f>IF(D218="","",VLOOKUP(D218,'G-6 Hedgerow Data'!$B$2:$AG$15,3,FALSE))</f>
        <v/>
      </c>
      <c r="H218" s="145"/>
      <c r="I218" s="499" t="str">
        <f>IFERROR(VLOOKUP(H218,'G-1 All Habitats'!$Z$2:$AA$9,2,FALSE),"")</f>
        <v/>
      </c>
      <c r="J218" s="145"/>
      <c r="K218" s="520" t="str">
        <f>IF(J218="","",IF(VLOOKUP(J218,'G-3 Multipliers'!$L$3:$N$6,2,FALSE)=0,"Spatial Data Missing ⚠",VLOOKUP(J218,'G-3 Multipliers'!$L$3:$N$6,2,FALSE)))</f>
        <v/>
      </c>
      <c r="L218" s="505" t="str">
        <f>IF(J218="","",IF(VLOOKUP(J218,'G-3 Multipliers'!$L$3:$N$6,3,FALSE)=0,"Spatial Data Missing ⚠",VLOOKUP(J218,'G-3 Multipliers'!$L$3:$N$6,3,FALSE)))</f>
        <v/>
      </c>
      <c r="M218" s="498" t="str">
        <f>IF(OR(D218="",H218=""),"",(INDEX('G-6 Hedgerow Data'!$E$3:$I$15,MATCH(D218,'G-6 Hedgerow Data'!$B$3:$B$15,0),MATCH(H218,'G-6 Hedgerow Data'!$E$2:$I$2,0))))</f>
        <v/>
      </c>
      <c r="N218" s="195"/>
      <c r="O218" s="195"/>
      <c r="P218" s="507" t="str">
        <f t="shared" si="19"/>
        <v/>
      </c>
      <c r="Q218" s="521" t="str">
        <f t="shared" si="20"/>
        <v/>
      </c>
      <c r="R218" s="522" t="str">
        <f t="shared" si="18"/>
        <v/>
      </c>
      <c r="S218" s="537" t="str">
        <f>IF(D218="","",VLOOKUP(D218,'G-6 Hedgerow Data'!$B$3:$AG$15,31,FALSE))</f>
        <v/>
      </c>
      <c r="T218" s="507" t="str">
        <f t="shared" si="21"/>
        <v/>
      </c>
      <c r="U218" s="507" t="str">
        <f t="shared" si="22"/>
        <v/>
      </c>
      <c r="V218" s="524" t="str">
        <f>IF(D218="","",VLOOKUP(S218,'G-3 Multipliers'!$P$3:$Q$6,2,FALSE))</f>
        <v/>
      </c>
      <c r="W218" s="529" t="str">
        <f t="shared" si="23"/>
        <v/>
      </c>
      <c r="X218" s="149"/>
      <c r="Y218" s="150"/>
      <c r="AG218" s="31" t="str">
        <f>IFERROR(INDEX('G-6 Hedgerow Data'!$BJ$3:$BJ$15,MATCH(D218,'G-6 Hedgerow Data'!$B$3:$B$15,0)),"")</f>
        <v/>
      </c>
    </row>
    <row r="219" spans="2:33" ht="13.8" x14ac:dyDescent="0.25">
      <c r="B219" s="141">
        <v>208</v>
      </c>
      <c r="C219" s="205"/>
      <c r="D219" s="195"/>
      <c r="E219" s="172"/>
      <c r="F219" s="553" t="str">
        <f>IF(D219="","",VLOOKUP(D219,'G-6 Hedgerow Data'!$B$2:$AG$15,2,FALSE))</f>
        <v/>
      </c>
      <c r="G219" s="499" t="str">
        <f>IF(D219="","",VLOOKUP(D219,'G-6 Hedgerow Data'!$B$2:$AG$15,3,FALSE))</f>
        <v/>
      </c>
      <c r="H219" s="145"/>
      <c r="I219" s="499" t="str">
        <f>IFERROR(VLOOKUP(H219,'G-1 All Habitats'!$Z$2:$AA$9,2,FALSE),"")</f>
        <v/>
      </c>
      <c r="J219" s="145"/>
      <c r="K219" s="520" t="str">
        <f>IF(J219="","",IF(VLOOKUP(J219,'G-3 Multipliers'!$L$3:$N$6,2,FALSE)=0,"Spatial Data Missing ⚠",VLOOKUP(J219,'G-3 Multipliers'!$L$3:$N$6,2,FALSE)))</f>
        <v/>
      </c>
      <c r="L219" s="505" t="str">
        <f>IF(J219="","",IF(VLOOKUP(J219,'G-3 Multipliers'!$L$3:$N$6,3,FALSE)=0,"Spatial Data Missing ⚠",VLOOKUP(J219,'G-3 Multipliers'!$L$3:$N$6,3,FALSE)))</f>
        <v/>
      </c>
      <c r="M219" s="498" t="str">
        <f>IF(OR(D219="",H219=""),"",(INDEX('G-6 Hedgerow Data'!$E$3:$I$15,MATCH(D219,'G-6 Hedgerow Data'!$B$3:$B$15,0),MATCH(H219,'G-6 Hedgerow Data'!$E$2:$I$2,0))))</f>
        <v/>
      </c>
      <c r="N219" s="195"/>
      <c r="O219" s="195"/>
      <c r="P219" s="507" t="str">
        <f t="shared" si="19"/>
        <v/>
      </c>
      <c r="Q219" s="521" t="str">
        <f t="shared" si="20"/>
        <v/>
      </c>
      <c r="R219" s="522" t="str">
        <f t="shared" si="18"/>
        <v/>
      </c>
      <c r="S219" s="537" t="str">
        <f>IF(D219="","",VLOOKUP(D219,'G-6 Hedgerow Data'!$B$3:$AG$15,31,FALSE))</f>
        <v/>
      </c>
      <c r="T219" s="507" t="str">
        <f t="shared" si="21"/>
        <v/>
      </c>
      <c r="U219" s="507" t="str">
        <f t="shared" si="22"/>
        <v/>
      </c>
      <c r="V219" s="524" t="str">
        <f>IF(D219="","",VLOOKUP(S219,'G-3 Multipliers'!$P$3:$Q$6,2,FALSE))</f>
        <v/>
      </c>
      <c r="W219" s="529" t="str">
        <f t="shared" si="23"/>
        <v/>
      </c>
      <c r="X219" s="149"/>
      <c r="Y219" s="150"/>
      <c r="AG219" s="31" t="str">
        <f>IFERROR(INDEX('G-6 Hedgerow Data'!$BJ$3:$BJ$15,MATCH(D219,'G-6 Hedgerow Data'!$B$3:$B$15,0)),"")</f>
        <v/>
      </c>
    </row>
    <row r="220" spans="2:33" ht="13.8" x14ac:dyDescent="0.25">
      <c r="B220" s="141">
        <v>209</v>
      </c>
      <c r="C220" s="205"/>
      <c r="D220" s="195"/>
      <c r="E220" s="172"/>
      <c r="F220" s="553" t="str">
        <f>IF(D220="","",VLOOKUP(D220,'G-6 Hedgerow Data'!$B$2:$AG$15,2,FALSE))</f>
        <v/>
      </c>
      <c r="G220" s="499" t="str">
        <f>IF(D220="","",VLOOKUP(D220,'G-6 Hedgerow Data'!$B$2:$AG$15,3,FALSE))</f>
        <v/>
      </c>
      <c r="H220" s="145"/>
      <c r="I220" s="499" t="str">
        <f>IFERROR(VLOOKUP(H220,'G-1 All Habitats'!$Z$2:$AA$9,2,FALSE),"")</f>
        <v/>
      </c>
      <c r="J220" s="145"/>
      <c r="K220" s="520" t="str">
        <f>IF(J220="","",IF(VLOOKUP(J220,'G-3 Multipliers'!$L$3:$N$6,2,FALSE)=0,"Spatial Data Missing ⚠",VLOOKUP(J220,'G-3 Multipliers'!$L$3:$N$6,2,FALSE)))</f>
        <v/>
      </c>
      <c r="L220" s="505" t="str">
        <f>IF(J220="","",IF(VLOOKUP(J220,'G-3 Multipliers'!$L$3:$N$6,3,FALSE)=0,"Spatial Data Missing ⚠",VLOOKUP(J220,'G-3 Multipliers'!$L$3:$N$6,3,FALSE)))</f>
        <v/>
      </c>
      <c r="M220" s="498" t="str">
        <f>IF(OR(D220="",H220=""),"",(INDEX('G-6 Hedgerow Data'!$E$3:$I$15,MATCH(D220,'G-6 Hedgerow Data'!$B$3:$B$15,0),MATCH(H220,'G-6 Hedgerow Data'!$E$2:$I$2,0))))</f>
        <v/>
      </c>
      <c r="N220" s="195"/>
      <c r="O220" s="195"/>
      <c r="P220" s="507" t="str">
        <f t="shared" si="19"/>
        <v/>
      </c>
      <c r="Q220" s="521" t="str">
        <f t="shared" si="20"/>
        <v/>
      </c>
      <c r="R220" s="522" t="str">
        <f t="shared" si="18"/>
        <v/>
      </c>
      <c r="S220" s="537" t="str">
        <f>IF(D220="","",VLOOKUP(D220,'G-6 Hedgerow Data'!$B$3:$AG$15,31,FALSE))</f>
        <v/>
      </c>
      <c r="T220" s="507" t="str">
        <f t="shared" si="21"/>
        <v/>
      </c>
      <c r="U220" s="507" t="str">
        <f t="shared" si="22"/>
        <v/>
      </c>
      <c r="V220" s="524" t="str">
        <f>IF(D220="","",VLOOKUP(S220,'G-3 Multipliers'!$P$3:$Q$6,2,FALSE))</f>
        <v/>
      </c>
      <c r="W220" s="529" t="str">
        <f t="shared" si="23"/>
        <v/>
      </c>
      <c r="X220" s="149"/>
      <c r="Y220" s="150"/>
      <c r="AG220" s="31" t="str">
        <f>IFERROR(INDEX('G-6 Hedgerow Data'!$BJ$3:$BJ$15,MATCH(D220,'G-6 Hedgerow Data'!$B$3:$B$15,0)),"")</f>
        <v/>
      </c>
    </row>
    <row r="221" spans="2:33" ht="13.8" x14ac:dyDescent="0.25">
      <c r="B221" s="141">
        <v>210</v>
      </c>
      <c r="C221" s="205"/>
      <c r="D221" s="195"/>
      <c r="E221" s="172"/>
      <c r="F221" s="553" t="str">
        <f>IF(D221="","",VLOOKUP(D221,'G-6 Hedgerow Data'!$B$2:$AG$15,2,FALSE))</f>
        <v/>
      </c>
      <c r="G221" s="499" t="str">
        <f>IF(D221="","",VLOOKUP(D221,'G-6 Hedgerow Data'!$B$2:$AG$15,3,FALSE))</f>
        <v/>
      </c>
      <c r="H221" s="145"/>
      <c r="I221" s="499" t="str">
        <f>IFERROR(VLOOKUP(H221,'G-1 All Habitats'!$Z$2:$AA$9,2,FALSE),"")</f>
        <v/>
      </c>
      <c r="J221" s="145"/>
      <c r="K221" s="520" t="str">
        <f>IF(J221="","",IF(VLOOKUP(J221,'G-3 Multipliers'!$L$3:$N$6,2,FALSE)=0,"Spatial Data Missing ⚠",VLOOKUP(J221,'G-3 Multipliers'!$L$3:$N$6,2,FALSE)))</f>
        <v/>
      </c>
      <c r="L221" s="505" t="str">
        <f>IF(J221="","",IF(VLOOKUP(J221,'G-3 Multipliers'!$L$3:$N$6,3,FALSE)=0,"Spatial Data Missing ⚠",VLOOKUP(J221,'G-3 Multipliers'!$L$3:$N$6,3,FALSE)))</f>
        <v/>
      </c>
      <c r="M221" s="498" t="str">
        <f>IF(OR(D221="",H221=""),"",(INDEX('G-6 Hedgerow Data'!$E$3:$I$15,MATCH(D221,'G-6 Hedgerow Data'!$B$3:$B$15,0),MATCH(H221,'G-6 Hedgerow Data'!$E$2:$I$2,0))))</f>
        <v/>
      </c>
      <c r="N221" s="195"/>
      <c r="O221" s="195"/>
      <c r="P221" s="507" t="str">
        <f t="shared" si="19"/>
        <v/>
      </c>
      <c r="Q221" s="521" t="str">
        <f t="shared" si="20"/>
        <v/>
      </c>
      <c r="R221" s="522" t="str">
        <f t="shared" si="18"/>
        <v/>
      </c>
      <c r="S221" s="537" t="str">
        <f>IF(D221="","",VLOOKUP(D221,'G-6 Hedgerow Data'!$B$3:$AG$15,31,FALSE))</f>
        <v/>
      </c>
      <c r="T221" s="507" t="str">
        <f t="shared" si="21"/>
        <v/>
      </c>
      <c r="U221" s="507" t="str">
        <f t="shared" si="22"/>
        <v/>
      </c>
      <c r="V221" s="524" t="str">
        <f>IF(D221="","",VLOOKUP(S221,'G-3 Multipliers'!$P$3:$Q$6,2,FALSE))</f>
        <v/>
      </c>
      <c r="W221" s="529" t="str">
        <f t="shared" si="23"/>
        <v/>
      </c>
      <c r="X221" s="149"/>
      <c r="Y221" s="150"/>
      <c r="AG221" s="31" t="str">
        <f>IFERROR(INDEX('G-6 Hedgerow Data'!$BJ$3:$BJ$15,MATCH(D221,'G-6 Hedgerow Data'!$B$3:$B$15,0)),"")</f>
        <v/>
      </c>
    </row>
    <row r="222" spans="2:33" ht="13.8" x14ac:dyDescent="0.25">
      <c r="B222" s="141">
        <v>211</v>
      </c>
      <c r="C222" s="205"/>
      <c r="D222" s="195"/>
      <c r="E222" s="172"/>
      <c r="F222" s="553" t="str">
        <f>IF(D222="","",VLOOKUP(D222,'G-6 Hedgerow Data'!$B$2:$AG$15,2,FALSE))</f>
        <v/>
      </c>
      <c r="G222" s="499" t="str">
        <f>IF(D222="","",VLOOKUP(D222,'G-6 Hedgerow Data'!$B$2:$AG$15,3,FALSE))</f>
        <v/>
      </c>
      <c r="H222" s="145"/>
      <c r="I222" s="499" t="str">
        <f>IFERROR(VLOOKUP(H222,'G-1 All Habitats'!$Z$2:$AA$9,2,FALSE),"")</f>
        <v/>
      </c>
      <c r="J222" s="145"/>
      <c r="K222" s="520" t="str">
        <f>IF(J222="","",IF(VLOOKUP(J222,'G-3 Multipliers'!$L$3:$N$6,2,FALSE)=0,"Spatial Data Missing ⚠",VLOOKUP(J222,'G-3 Multipliers'!$L$3:$N$6,2,FALSE)))</f>
        <v/>
      </c>
      <c r="L222" s="505" t="str">
        <f>IF(J222="","",IF(VLOOKUP(J222,'G-3 Multipliers'!$L$3:$N$6,3,FALSE)=0,"Spatial Data Missing ⚠",VLOOKUP(J222,'G-3 Multipliers'!$L$3:$N$6,3,FALSE)))</f>
        <v/>
      </c>
      <c r="M222" s="498" t="str">
        <f>IF(OR(D222="",H222=""),"",(INDEX('G-6 Hedgerow Data'!$E$3:$I$15,MATCH(D222,'G-6 Hedgerow Data'!$B$3:$B$15,0),MATCH(H222,'G-6 Hedgerow Data'!$E$2:$I$2,0))))</f>
        <v/>
      </c>
      <c r="N222" s="195"/>
      <c r="O222" s="195"/>
      <c r="P222" s="507" t="str">
        <f t="shared" si="19"/>
        <v/>
      </c>
      <c r="Q222" s="521" t="str">
        <f t="shared" si="20"/>
        <v/>
      </c>
      <c r="R222" s="522" t="str">
        <f t="shared" si="18"/>
        <v/>
      </c>
      <c r="S222" s="537" t="str">
        <f>IF(D222="","",VLOOKUP(D222,'G-6 Hedgerow Data'!$B$3:$AG$15,31,FALSE))</f>
        <v/>
      </c>
      <c r="T222" s="507" t="str">
        <f t="shared" si="21"/>
        <v/>
      </c>
      <c r="U222" s="507" t="str">
        <f t="shared" si="22"/>
        <v/>
      </c>
      <c r="V222" s="524" t="str">
        <f>IF(D222="","",VLOOKUP(S222,'G-3 Multipliers'!$P$3:$Q$6,2,FALSE))</f>
        <v/>
      </c>
      <c r="W222" s="529" t="str">
        <f t="shared" si="23"/>
        <v/>
      </c>
      <c r="X222" s="149"/>
      <c r="Y222" s="150"/>
      <c r="AG222" s="31" t="str">
        <f>IFERROR(INDEX('G-6 Hedgerow Data'!$BJ$3:$BJ$15,MATCH(D222,'G-6 Hedgerow Data'!$B$3:$B$15,0)),"")</f>
        <v/>
      </c>
    </row>
    <row r="223" spans="2:33" ht="13.8" x14ac:dyDescent="0.25">
      <c r="B223" s="141">
        <v>212</v>
      </c>
      <c r="C223" s="205"/>
      <c r="D223" s="195"/>
      <c r="E223" s="172"/>
      <c r="F223" s="553" t="str">
        <f>IF(D223="","",VLOOKUP(D223,'G-6 Hedgerow Data'!$B$2:$AG$15,2,FALSE))</f>
        <v/>
      </c>
      <c r="G223" s="499" t="str">
        <f>IF(D223="","",VLOOKUP(D223,'G-6 Hedgerow Data'!$B$2:$AG$15,3,FALSE))</f>
        <v/>
      </c>
      <c r="H223" s="145"/>
      <c r="I223" s="499" t="str">
        <f>IFERROR(VLOOKUP(H223,'G-1 All Habitats'!$Z$2:$AA$9,2,FALSE),"")</f>
        <v/>
      </c>
      <c r="J223" s="145"/>
      <c r="K223" s="520" t="str">
        <f>IF(J223="","",IF(VLOOKUP(J223,'G-3 Multipliers'!$L$3:$N$6,2,FALSE)=0,"Spatial Data Missing ⚠",VLOOKUP(J223,'G-3 Multipliers'!$L$3:$N$6,2,FALSE)))</f>
        <v/>
      </c>
      <c r="L223" s="505" t="str">
        <f>IF(J223="","",IF(VLOOKUP(J223,'G-3 Multipliers'!$L$3:$N$6,3,FALSE)=0,"Spatial Data Missing ⚠",VLOOKUP(J223,'G-3 Multipliers'!$L$3:$N$6,3,FALSE)))</f>
        <v/>
      </c>
      <c r="M223" s="498" t="str">
        <f>IF(OR(D223="",H223=""),"",(INDEX('G-6 Hedgerow Data'!$E$3:$I$15,MATCH(D223,'G-6 Hedgerow Data'!$B$3:$B$15,0),MATCH(H223,'G-6 Hedgerow Data'!$E$2:$I$2,0))))</f>
        <v/>
      </c>
      <c r="N223" s="195"/>
      <c r="O223" s="195"/>
      <c r="P223" s="507" t="str">
        <f t="shared" si="19"/>
        <v/>
      </c>
      <c r="Q223" s="521" t="str">
        <f t="shared" si="20"/>
        <v/>
      </c>
      <c r="R223" s="522" t="str">
        <f t="shared" si="18"/>
        <v/>
      </c>
      <c r="S223" s="537" t="str">
        <f>IF(D223="","",VLOOKUP(D223,'G-6 Hedgerow Data'!$B$3:$AG$15,31,FALSE))</f>
        <v/>
      </c>
      <c r="T223" s="507" t="str">
        <f t="shared" si="21"/>
        <v/>
      </c>
      <c r="U223" s="507" t="str">
        <f t="shared" si="22"/>
        <v/>
      </c>
      <c r="V223" s="524" t="str">
        <f>IF(D223="","",VLOOKUP(S223,'G-3 Multipliers'!$P$3:$Q$6,2,FALSE))</f>
        <v/>
      </c>
      <c r="W223" s="529" t="str">
        <f t="shared" si="23"/>
        <v/>
      </c>
      <c r="X223" s="149"/>
      <c r="Y223" s="150"/>
      <c r="AG223" s="31" t="str">
        <f>IFERROR(INDEX('G-6 Hedgerow Data'!$BJ$3:$BJ$15,MATCH(D223,'G-6 Hedgerow Data'!$B$3:$B$15,0)),"")</f>
        <v/>
      </c>
    </row>
    <row r="224" spans="2:33" ht="13.8" x14ac:dyDescent="0.25">
      <c r="B224" s="141">
        <v>213</v>
      </c>
      <c r="C224" s="205"/>
      <c r="D224" s="195"/>
      <c r="E224" s="172"/>
      <c r="F224" s="553" t="str">
        <f>IF(D224="","",VLOOKUP(D224,'G-6 Hedgerow Data'!$B$2:$AG$15,2,FALSE))</f>
        <v/>
      </c>
      <c r="G224" s="499" t="str">
        <f>IF(D224="","",VLOOKUP(D224,'G-6 Hedgerow Data'!$B$2:$AG$15,3,FALSE))</f>
        <v/>
      </c>
      <c r="H224" s="145"/>
      <c r="I224" s="499" t="str">
        <f>IFERROR(VLOOKUP(H224,'G-1 All Habitats'!$Z$2:$AA$9,2,FALSE),"")</f>
        <v/>
      </c>
      <c r="J224" s="145"/>
      <c r="K224" s="520" t="str">
        <f>IF(J224="","",IF(VLOOKUP(J224,'G-3 Multipliers'!$L$3:$N$6,2,FALSE)=0,"Spatial Data Missing ⚠",VLOOKUP(J224,'G-3 Multipliers'!$L$3:$N$6,2,FALSE)))</f>
        <v/>
      </c>
      <c r="L224" s="505" t="str">
        <f>IF(J224="","",IF(VLOOKUP(J224,'G-3 Multipliers'!$L$3:$N$6,3,FALSE)=0,"Spatial Data Missing ⚠",VLOOKUP(J224,'G-3 Multipliers'!$L$3:$N$6,3,FALSE)))</f>
        <v/>
      </c>
      <c r="M224" s="498" t="str">
        <f>IF(OR(D224="",H224=""),"",(INDEX('G-6 Hedgerow Data'!$E$3:$I$15,MATCH(D224,'G-6 Hedgerow Data'!$B$3:$B$15,0),MATCH(H224,'G-6 Hedgerow Data'!$E$2:$I$2,0))))</f>
        <v/>
      </c>
      <c r="N224" s="195"/>
      <c r="O224" s="195"/>
      <c r="P224" s="507" t="str">
        <f t="shared" si="19"/>
        <v/>
      </c>
      <c r="Q224" s="521" t="str">
        <f t="shared" si="20"/>
        <v/>
      </c>
      <c r="R224" s="522" t="str">
        <f t="shared" si="18"/>
        <v/>
      </c>
      <c r="S224" s="537" t="str">
        <f>IF(D224="","",VLOOKUP(D224,'G-6 Hedgerow Data'!$B$3:$AG$15,31,FALSE))</f>
        <v/>
      </c>
      <c r="T224" s="507" t="str">
        <f t="shared" si="21"/>
        <v/>
      </c>
      <c r="U224" s="507" t="str">
        <f t="shared" si="22"/>
        <v/>
      </c>
      <c r="V224" s="524" t="str">
        <f>IF(D224="","",VLOOKUP(S224,'G-3 Multipliers'!$P$3:$Q$6,2,FALSE))</f>
        <v/>
      </c>
      <c r="W224" s="529" t="str">
        <f t="shared" si="23"/>
        <v/>
      </c>
      <c r="X224" s="149"/>
      <c r="Y224" s="150"/>
      <c r="AG224" s="31" t="str">
        <f>IFERROR(INDEX('G-6 Hedgerow Data'!$BJ$3:$BJ$15,MATCH(D224,'G-6 Hedgerow Data'!$B$3:$B$15,0)),"")</f>
        <v/>
      </c>
    </row>
    <row r="225" spans="2:33" ht="13.8" x14ac:dyDescent="0.25">
      <c r="B225" s="141">
        <v>214</v>
      </c>
      <c r="C225" s="205"/>
      <c r="D225" s="195"/>
      <c r="E225" s="172"/>
      <c r="F225" s="553" t="str">
        <f>IF(D225="","",VLOOKUP(D225,'G-6 Hedgerow Data'!$B$2:$AG$15,2,FALSE))</f>
        <v/>
      </c>
      <c r="G225" s="499" t="str">
        <f>IF(D225="","",VLOOKUP(D225,'G-6 Hedgerow Data'!$B$2:$AG$15,3,FALSE))</f>
        <v/>
      </c>
      <c r="H225" s="145"/>
      <c r="I225" s="499" t="str">
        <f>IFERROR(VLOOKUP(H225,'G-1 All Habitats'!$Z$2:$AA$9,2,FALSE),"")</f>
        <v/>
      </c>
      <c r="J225" s="145"/>
      <c r="K225" s="520" t="str">
        <f>IF(J225="","",IF(VLOOKUP(J225,'G-3 Multipliers'!$L$3:$N$6,2,FALSE)=0,"Spatial Data Missing ⚠",VLOOKUP(J225,'G-3 Multipliers'!$L$3:$N$6,2,FALSE)))</f>
        <v/>
      </c>
      <c r="L225" s="505" t="str">
        <f>IF(J225="","",IF(VLOOKUP(J225,'G-3 Multipliers'!$L$3:$N$6,3,FALSE)=0,"Spatial Data Missing ⚠",VLOOKUP(J225,'G-3 Multipliers'!$L$3:$N$6,3,FALSE)))</f>
        <v/>
      </c>
      <c r="M225" s="498" t="str">
        <f>IF(OR(D225="",H225=""),"",(INDEX('G-6 Hedgerow Data'!$E$3:$I$15,MATCH(D225,'G-6 Hedgerow Data'!$B$3:$B$15,0),MATCH(H225,'G-6 Hedgerow Data'!$E$2:$I$2,0))))</f>
        <v/>
      </c>
      <c r="N225" s="195"/>
      <c r="O225" s="195"/>
      <c r="P225" s="507" t="str">
        <f t="shared" si="19"/>
        <v/>
      </c>
      <c r="Q225" s="521" t="str">
        <f t="shared" si="20"/>
        <v/>
      </c>
      <c r="R225" s="522" t="str">
        <f t="shared" si="18"/>
        <v/>
      </c>
      <c r="S225" s="537" t="str">
        <f>IF(D225="","",VLOOKUP(D225,'G-6 Hedgerow Data'!$B$3:$AG$15,31,FALSE))</f>
        <v/>
      </c>
      <c r="T225" s="507" t="str">
        <f t="shared" si="21"/>
        <v/>
      </c>
      <c r="U225" s="507" t="str">
        <f t="shared" si="22"/>
        <v/>
      </c>
      <c r="V225" s="524" t="str">
        <f>IF(D225="","",VLOOKUP(S225,'G-3 Multipliers'!$P$3:$Q$6,2,FALSE))</f>
        <v/>
      </c>
      <c r="W225" s="529" t="str">
        <f t="shared" si="23"/>
        <v/>
      </c>
      <c r="X225" s="149"/>
      <c r="Y225" s="150"/>
      <c r="AG225" s="31" t="str">
        <f>IFERROR(INDEX('G-6 Hedgerow Data'!$BJ$3:$BJ$15,MATCH(D225,'G-6 Hedgerow Data'!$B$3:$B$15,0)),"")</f>
        <v/>
      </c>
    </row>
    <row r="226" spans="2:33" ht="13.8" x14ac:dyDescent="0.25">
      <c r="B226" s="141">
        <v>215</v>
      </c>
      <c r="C226" s="205"/>
      <c r="D226" s="195"/>
      <c r="E226" s="172"/>
      <c r="F226" s="553" t="str">
        <f>IF(D226="","",VLOOKUP(D226,'G-6 Hedgerow Data'!$B$2:$AG$15,2,FALSE))</f>
        <v/>
      </c>
      <c r="G226" s="499" t="str">
        <f>IF(D226="","",VLOOKUP(D226,'G-6 Hedgerow Data'!$B$2:$AG$15,3,FALSE))</f>
        <v/>
      </c>
      <c r="H226" s="145"/>
      <c r="I226" s="499" t="str">
        <f>IFERROR(VLOOKUP(H226,'G-1 All Habitats'!$Z$2:$AA$9,2,FALSE),"")</f>
        <v/>
      </c>
      <c r="J226" s="145"/>
      <c r="K226" s="520" t="str">
        <f>IF(J226="","",IF(VLOOKUP(J226,'G-3 Multipliers'!$L$3:$N$6,2,FALSE)=0,"Spatial Data Missing ⚠",VLOOKUP(J226,'G-3 Multipliers'!$L$3:$N$6,2,FALSE)))</f>
        <v/>
      </c>
      <c r="L226" s="505" t="str">
        <f>IF(J226="","",IF(VLOOKUP(J226,'G-3 Multipliers'!$L$3:$N$6,3,FALSE)=0,"Spatial Data Missing ⚠",VLOOKUP(J226,'G-3 Multipliers'!$L$3:$N$6,3,FALSE)))</f>
        <v/>
      </c>
      <c r="M226" s="498" t="str">
        <f>IF(OR(D226="",H226=""),"",(INDEX('G-6 Hedgerow Data'!$E$3:$I$15,MATCH(D226,'G-6 Hedgerow Data'!$B$3:$B$15,0),MATCH(H226,'G-6 Hedgerow Data'!$E$2:$I$2,0))))</f>
        <v/>
      </c>
      <c r="N226" s="195"/>
      <c r="O226" s="195"/>
      <c r="P226" s="507" t="str">
        <f t="shared" si="19"/>
        <v/>
      </c>
      <c r="Q226" s="521" t="str">
        <f t="shared" si="20"/>
        <v/>
      </c>
      <c r="R226" s="522" t="str">
        <f t="shared" si="18"/>
        <v/>
      </c>
      <c r="S226" s="537" t="str">
        <f>IF(D226="","",VLOOKUP(D226,'G-6 Hedgerow Data'!$B$3:$AG$15,31,FALSE))</f>
        <v/>
      </c>
      <c r="T226" s="507" t="str">
        <f t="shared" si="21"/>
        <v/>
      </c>
      <c r="U226" s="507" t="str">
        <f t="shared" si="22"/>
        <v/>
      </c>
      <c r="V226" s="524" t="str">
        <f>IF(D226="","",VLOOKUP(S226,'G-3 Multipliers'!$P$3:$Q$6,2,FALSE))</f>
        <v/>
      </c>
      <c r="W226" s="529" t="str">
        <f t="shared" si="23"/>
        <v/>
      </c>
      <c r="X226" s="149"/>
      <c r="Y226" s="150"/>
      <c r="AG226" s="31" t="str">
        <f>IFERROR(INDEX('G-6 Hedgerow Data'!$BJ$3:$BJ$15,MATCH(D226,'G-6 Hedgerow Data'!$B$3:$B$15,0)),"")</f>
        <v/>
      </c>
    </row>
    <row r="227" spans="2:33" ht="13.8" x14ac:dyDescent="0.25">
      <c r="B227" s="141">
        <v>216</v>
      </c>
      <c r="C227" s="205"/>
      <c r="D227" s="195"/>
      <c r="E227" s="172"/>
      <c r="F227" s="553" t="str">
        <f>IF(D227="","",VLOOKUP(D227,'G-6 Hedgerow Data'!$B$2:$AG$15,2,FALSE))</f>
        <v/>
      </c>
      <c r="G227" s="499" t="str">
        <f>IF(D227="","",VLOOKUP(D227,'G-6 Hedgerow Data'!$B$2:$AG$15,3,FALSE))</f>
        <v/>
      </c>
      <c r="H227" s="145"/>
      <c r="I227" s="499" t="str">
        <f>IFERROR(VLOOKUP(H227,'G-1 All Habitats'!$Z$2:$AA$9,2,FALSE),"")</f>
        <v/>
      </c>
      <c r="J227" s="145"/>
      <c r="K227" s="520" t="str">
        <f>IF(J227="","",IF(VLOOKUP(J227,'G-3 Multipliers'!$L$3:$N$6,2,FALSE)=0,"Spatial Data Missing ⚠",VLOOKUP(J227,'G-3 Multipliers'!$L$3:$N$6,2,FALSE)))</f>
        <v/>
      </c>
      <c r="L227" s="505" t="str">
        <f>IF(J227="","",IF(VLOOKUP(J227,'G-3 Multipliers'!$L$3:$N$6,3,FALSE)=0,"Spatial Data Missing ⚠",VLOOKUP(J227,'G-3 Multipliers'!$L$3:$N$6,3,FALSE)))</f>
        <v/>
      </c>
      <c r="M227" s="498" t="str">
        <f>IF(OR(D227="",H227=""),"",(INDEX('G-6 Hedgerow Data'!$E$3:$I$15,MATCH(D227,'G-6 Hedgerow Data'!$B$3:$B$15,0),MATCH(H227,'G-6 Hedgerow Data'!$E$2:$I$2,0))))</f>
        <v/>
      </c>
      <c r="N227" s="195"/>
      <c r="O227" s="195"/>
      <c r="P227" s="507" t="str">
        <f t="shared" si="19"/>
        <v/>
      </c>
      <c r="Q227" s="521" t="str">
        <f t="shared" si="20"/>
        <v/>
      </c>
      <c r="R227" s="522" t="str">
        <f t="shared" si="18"/>
        <v/>
      </c>
      <c r="S227" s="537" t="str">
        <f>IF(D227="","",VLOOKUP(D227,'G-6 Hedgerow Data'!$B$3:$AG$15,31,FALSE))</f>
        <v/>
      </c>
      <c r="T227" s="507" t="str">
        <f t="shared" si="21"/>
        <v/>
      </c>
      <c r="U227" s="507" t="str">
        <f t="shared" si="22"/>
        <v/>
      </c>
      <c r="V227" s="524" t="str">
        <f>IF(D227="","",VLOOKUP(S227,'G-3 Multipliers'!$P$3:$Q$6,2,FALSE))</f>
        <v/>
      </c>
      <c r="W227" s="529" t="str">
        <f t="shared" si="23"/>
        <v/>
      </c>
      <c r="X227" s="149"/>
      <c r="Y227" s="150"/>
      <c r="AG227" s="31" t="str">
        <f>IFERROR(INDEX('G-6 Hedgerow Data'!$BJ$3:$BJ$15,MATCH(D227,'G-6 Hedgerow Data'!$B$3:$B$15,0)),"")</f>
        <v/>
      </c>
    </row>
    <row r="228" spans="2:33" ht="13.8" x14ac:dyDescent="0.25">
      <c r="B228" s="141">
        <v>217</v>
      </c>
      <c r="C228" s="205"/>
      <c r="D228" s="195"/>
      <c r="E228" s="172"/>
      <c r="F228" s="553" t="str">
        <f>IF(D228="","",VLOOKUP(D228,'G-6 Hedgerow Data'!$B$2:$AG$15,2,FALSE))</f>
        <v/>
      </c>
      <c r="G228" s="499" t="str">
        <f>IF(D228="","",VLOOKUP(D228,'G-6 Hedgerow Data'!$B$2:$AG$15,3,FALSE))</f>
        <v/>
      </c>
      <c r="H228" s="145"/>
      <c r="I228" s="499" t="str">
        <f>IFERROR(VLOOKUP(H228,'G-1 All Habitats'!$Z$2:$AA$9,2,FALSE),"")</f>
        <v/>
      </c>
      <c r="J228" s="145"/>
      <c r="K228" s="520" t="str">
        <f>IF(J228="","",IF(VLOOKUP(J228,'G-3 Multipliers'!$L$3:$N$6,2,FALSE)=0,"Spatial Data Missing ⚠",VLOOKUP(J228,'G-3 Multipliers'!$L$3:$N$6,2,FALSE)))</f>
        <v/>
      </c>
      <c r="L228" s="505" t="str">
        <f>IF(J228="","",IF(VLOOKUP(J228,'G-3 Multipliers'!$L$3:$N$6,3,FALSE)=0,"Spatial Data Missing ⚠",VLOOKUP(J228,'G-3 Multipliers'!$L$3:$N$6,3,FALSE)))</f>
        <v/>
      </c>
      <c r="M228" s="498" t="str">
        <f>IF(OR(D228="",H228=""),"",(INDEX('G-6 Hedgerow Data'!$E$3:$I$15,MATCH(D228,'G-6 Hedgerow Data'!$B$3:$B$15,0),MATCH(H228,'G-6 Hedgerow Data'!$E$2:$I$2,0))))</f>
        <v/>
      </c>
      <c r="N228" s="195"/>
      <c r="O228" s="195"/>
      <c r="P228" s="507" t="str">
        <f t="shared" si="19"/>
        <v/>
      </c>
      <c r="Q228" s="521" t="str">
        <f t="shared" si="20"/>
        <v/>
      </c>
      <c r="R228" s="522" t="str">
        <f t="shared" si="18"/>
        <v/>
      </c>
      <c r="S228" s="537" t="str">
        <f>IF(D228="","",VLOOKUP(D228,'G-6 Hedgerow Data'!$B$3:$AG$15,31,FALSE))</f>
        <v/>
      </c>
      <c r="T228" s="507" t="str">
        <f t="shared" si="21"/>
        <v/>
      </c>
      <c r="U228" s="507" t="str">
        <f t="shared" si="22"/>
        <v/>
      </c>
      <c r="V228" s="524" t="str">
        <f>IF(D228="","",VLOOKUP(S228,'G-3 Multipliers'!$P$3:$Q$6,2,FALSE))</f>
        <v/>
      </c>
      <c r="W228" s="529" t="str">
        <f t="shared" si="23"/>
        <v/>
      </c>
      <c r="X228" s="149"/>
      <c r="Y228" s="150"/>
      <c r="AG228" s="31" t="str">
        <f>IFERROR(INDEX('G-6 Hedgerow Data'!$BJ$3:$BJ$15,MATCH(D228,'G-6 Hedgerow Data'!$B$3:$B$15,0)),"")</f>
        <v/>
      </c>
    </row>
    <row r="229" spans="2:33" ht="13.8" x14ac:dyDescent="0.25">
      <c r="B229" s="141">
        <v>218</v>
      </c>
      <c r="C229" s="205"/>
      <c r="D229" s="195"/>
      <c r="E229" s="172"/>
      <c r="F229" s="553" t="str">
        <f>IF(D229="","",VLOOKUP(D229,'G-6 Hedgerow Data'!$B$2:$AG$15,2,FALSE))</f>
        <v/>
      </c>
      <c r="G229" s="499" t="str">
        <f>IF(D229="","",VLOOKUP(D229,'G-6 Hedgerow Data'!$B$2:$AG$15,3,FALSE))</f>
        <v/>
      </c>
      <c r="H229" s="145"/>
      <c r="I229" s="499" t="str">
        <f>IFERROR(VLOOKUP(H229,'G-1 All Habitats'!$Z$2:$AA$9,2,FALSE),"")</f>
        <v/>
      </c>
      <c r="J229" s="145"/>
      <c r="K229" s="520" t="str">
        <f>IF(J229="","",IF(VLOOKUP(J229,'G-3 Multipliers'!$L$3:$N$6,2,FALSE)=0,"Spatial Data Missing ⚠",VLOOKUP(J229,'G-3 Multipliers'!$L$3:$N$6,2,FALSE)))</f>
        <v/>
      </c>
      <c r="L229" s="505" t="str">
        <f>IF(J229="","",IF(VLOOKUP(J229,'G-3 Multipliers'!$L$3:$N$6,3,FALSE)=0,"Spatial Data Missing ⚠",VLOOKUP(J229,'G-3 Multipliers'!$L$3:$N$6,3,FALSE)))</f>
        <v/>
      </c>
      <c r="M229" s="498" t="str">
        <f>IF(OR(D229="",H229=""),"",(INDEX('G-6 Hedgerow Data'!$E$3:$I$15,MATCH(D229,'G-6 Hedgerow Data'!$B$3:$B$15,0),MATCH(H229,'G-6 Hedgerow Data'!$E$2:$I$2,0))))</f>
        <v/>
      </c>
      <c r="N229" s="195"/>
      <c r="O229" s="195"/>
      <c r="P229" s="507" t="str">
        <f t="shared" si="19"/>
        <v/>
      </c>
      <c r="Q229" s="521" t="str">
        <f t="shared" si="20"/>
        <v/>
      </c>
      <c r="R229" s="522" t="str">
        <f t="shared" si="18"/>
        <v/>
      </c>
      <c r="S229" s="537" t="str">
        <f>IF(D229="","",VLOOKUP(D229,'G-6 Hedgerow Data'!$B$3:$AG$15,31,FALSE))</f>
        <v/>
      </c>
      <c r="T229" s="507" t="str">
        <f t="shared" si="21"/>
        <v/>
      </c>
      <c r="U229" s="507" t="str">
        <f t="shared" si="22"/>
        <v/>
      </c>
      <c r="V229" s="524" t="str">
        <f>IF(D229="","",VLOOKUP(S229,'G-3 Multipliers'!$P$3:$Q$6,2,FALSE))</f>
        <v/>
      </c>
      <c r="W229" s="529" t="str">
        <f t="shared" si="23"/>
        <v/>
      </c>
      <c r="X229" s="149"/>
      <c r="Y229" s="150"/>
      <c r="AG229" s="31" t="str">
        <f>IFERROR(INDEX('G-6 Hedgerow Data'!$BJ$3:$BJ$15,MATCH(D229,'G-6 Hedgerow Data'!$B$3:$B$15,0)),"")</f>
        <v/>
      </c>
    </row>
    <row r="230" spans="2:33" ht="13.8" x14ac:dyDescent="0.25">
      <c r="B230" s="141">
        <v>219</v>
      </c>
      <c r="C230" s="205"/>
      <c r="D230" s="195"/>
      <c r="E230" s="172"/>
      <c r="F230" s="553" t="str">
        <f>IF(D230="","",VLOOKUP(D230,'G-6 Hedgerow Data'!$B$2:$AG$15,2,FALSE))</f>
        <v/>
      </c>
      <c r="G230" s="499" t="str">
        <f>IF(D230="","",VLOOKUP(D230,'G-6 Hedgerow Data'!$B$2:$AG$15,3,FALSE))</f>
        <v/>
      </c>
      <c r="H230" s="145"/>
      <c r="I230" s="499" t="str">
        <f>IFERROR(VLOOKUP(H230,'G-1 All Habitats'!$Z$2:$AA$9,2,FALSE),"")</f>
        <v/>
      </c>
      <c r="J230" s="145"/>
      <c r="K230" s="520" t="str">
        <f>IF(J230="","",IF(VLOOKUP(J230,'G-3 Multipliers'!$L$3:$N$6,2,FALSE)=0,"Spatial Data Missing ⚠",VLOOKUP(J230,'G-3 Multipliers'!$L$3:$N$6,2,FALSE)))</f>
        <v/>
      </c>
      <c r="L230" s="505" t="str">
        <f>IF(J230="","",IF(VLOOKUP(J230,'G-3 Multipliers'!$L$3:$N$6,3,FALSE)=0,"Spatial Data Missing ⚠",VLOOKUP(J230,'G-3 Multipliers'!$L$3:$N$6,3,FALSE)))</f>
        <v/>
      </c>
      <c r="M230" s="498" t="str">
        <f>IF(OR(D230="",H230=""),"",(INDEX('G-6 Hedgerow Data'!$E$3:$I$15,MATCH(D230,'G-6 Hedgerow Data'!$B$3:$B$15,0),MATCH(H230,'G-6 Hedgerow Data'!$E$2:$I$2,0))))</f>
        <v/>
      </c>
      <c r="N230" s="195"/>
      <c r="O230" s="195"/>
      <c r="P230" s="507" t="str">
        <f t="shared" si="19"/>
        <v/>
      </c>
      <c r="Q230" s="521" t="str">
        <f t="shared" si="20"/>
        <v/>
      </c>
      <c r="R230" s="522" t="str">
        <f t="shared" si="18"/>
        <v/>
      </c>
      <c r="S230" s="537" t="str">
        <f>IF(D230="","",VLOOKUP(D230,'G-6 Hedgerow Data'!$B$3:$AG$15,31,FALSE))</f>
        <v/>
      </c>
      <c r="T230" s="507" t="str">
        <f t="shared" si="21"/>
        <v/>
      </c>
      <c r="U230" s="507" t="str">
        <f t="shared" si="22"/>
        <v/>
      </c>
      <c r="V230" s="524" t="str">
        <f>IF(D230="","",VLOOKUP(S230,'G-3 Multipliers'!$P$3:$Q$6,2,FALSE))</f>
        <v/>
      </c>
      <c r="W230" s="529" t="str">
        <f t="shared" si="23"/>
        <v/>
      </c>
      <c r="X230" s="149"/>
      <c r="Y230" s="150"/>
      <c r="AG230" s="31" t="str">
        <f>IFERROR(INDEX('G-6 Hedgerow Data'!$BJ$3:$BJ$15,MATCH(D230,'G-6 Hedgerow Data'!$B$3:$B$15,0)),"")</f>
        <v/>
      </c>
    </row>
    <row r="231" spans="2:33" ht="13.8" x14ac:dyDescent="0.25">
      <c r="B231" s="141">
        <v>220</v>
      </c>
      <c r="C231" s="205"/>
      <c r="D231" s="195"/>
      <c r="E231" s="172"/>
      <c r="F231" s="553" t="str">
        <f>IF(D231="","",VLOOKUP(D231,'G-6 Hedgerow Data'!$B$2:$AG$15,2,FALSE))</f>
        <v/>
      </c>
      <c r="G231" s="499" t="str">
        <f>IF(D231="","",VLOOKUP(D231,'G-6 Hedgerow Data'!$B$2:$AG$15,3,FALSE))</f>
        <v/>
      </c>
      <c r="H231" s="145"/>
      <c r="I231" s="499" t="str">
        <f>IFERROR(VLOOKUP(H231,'G-1 All Habitats'!$Z$2:$AA$9,2,FALSE),"")</f>
        <v/>
      </c>
      <c r="J231" s="145"/>
      <c r="K231" s="520" t="str">
        <f>IF(J231="","",IF(VLOOKUP(J231,'G-3 Multipliers'!$L$3:$N$6,2,FALSE)=0,"Spatial Data Missing ⚠",VLOOKUP(J231,'G-3 Multipliers'!$L$3:$N$6,2,FALSE)))</f>
        <v/>
      </c>
      <c r="L231" s="505" t="str">
        <f>IF(J231="","",IF(VLOOKUP(J231,'G-3 Multipliers'!$L$3:$N$6,3,FALSE)=0,"Spatial Data Missing ⚠",VLOOKUP(J231,'G-3 Multipliers'!$L$3:$N$6,3,FALSE)))</f>
        <v/>
      </c>
      <c r="M231" s="498" t="str">
        <f>IF(OR(D231="",H231=""),"",(INDEX('G-6 Hedgerow Data'!$E$3:$I$15,MATCH(D231,'G-6 Hedgerow Data'!$B$3:$B$15,0),MATCH(H231,'G-6 Hedgerow Data'!$E$2:$I$2,0))))</f>
        <v/>
      </c>
      <c r="N231" s="195"/>
      <c r="O231" s="195"/>
      <c r="P231" s="507" t="str">
        <f t="shared" si="19"/>
        <v/>
      </c>
      <c r="Q231" s="521" t="str">
        <f t="shared" si="20"/>
        <v/>
      </c>
      <c r="R231" s="522" t="str">
        <f t="shared" si="18"/>
        <v/>
      </c>
      <c r="S231" s="537" t="str">
        <f>IF(D231="","",VLOOKUP(D231,'G-6 Hedgerow Data'!$B$3:$AG$15,31,FALSE))</f>
        <v/>
      </c>
      <c r="T231" s="507" t="str">
        <f t="shared" si="21"/>
        <v/>
      </c>
      <c r="U231" s="507" t="str">
        <f t="shared" si="22"/>
        <v/>
      </c>
      <c r="V231" s="524" t="str">
        <f>IF(D231="","",VLOOKUP(S231,'G-3 Multipliers'!$P$3:$Q$6,2,FALSE))</f>
        <v/>
      </c>
      <c r="W231" s="529" t="str">
        <f t="shared" si="23"/>
        <v/>
      </c>
      <c r="X231" s="149"/>
      <c r="Y231" s="150"/>
      <c r="AG231" s="31" t="str">
        <f>IFERROR(INDEX('G-6 Hedgerow Data'!$BJ$3:$BJ$15,MATCH(D231,'G-6 Hedgerow Data'!$B$3:$B$15,0)),"")</f>
        <v/>
      </c>
    </row>
    <row r="232" spans="2:33" ht="13.8" x14ac:dyDescent="0.25">
      <c r="B232" s="141">
        <v>221</v>
      </c>
      <c r="C232" s="205"/>
      <c r="D232" s="195"/>
      <c r="E232" s="172"/>
      <c r="F232" s="553" t="str">
        <f>IF(D232="","",VLOOKUP(D232,'G-6 Hedgerow Data'!$B$2:$AG$15,2,FALSE))</f>
        <v/>
      </c>
      <c r="G232" s="499" t="str">
        <f>IF(D232="","",VLOOKUP(D232,'G-6 Hedgerow Data'!$B$2:$AG$15,3,FALSE))</f>
        <v/>
      </c>
      <c r="H232" s="145"/>
      <c r="I232" s="499" t="str">
        <f>IFERROR(VLOOKUP(H232,'G-1 All Habitats'!$Z$2:$AA$9,2,FALSE),"")</f>
        <v/>
      </c>
      <c r="J232" s="145"/>
      <c r="K232" s="520" t="str">
        <f>IF(J232="","",IF(VLOOKUP(J232,'G-3 Multipliers'!$L$3:$N$6,2,FALSE)=0,"Spatial Data Missing ⚠",VLOOKUP(J232,'G-3 Multipliers'!$L$3:$N$6,2,FALSE)))</f>
        <v/>
      </c>
      <c r="L232" s="505" t="str">
        <f>IF(J232="","",IF(VLOOKUP(J232,'G-3 Multipliers'!$L$3:$N$6,3,FALSE)=0,"Spatial Data Missing ⚠",VLOOKUP(J232,'G-3 Multipliers'!$L$3:$N$6,3,FALSE)))</f>
        <v/>
      </c>
      <c r="M232" s="498" t="str">
        <f>IF(OR(D232="",H232=""),"",(INDEX('G-6 Hedgerow Data'!$E$3:$I$15,MATCH(D232,'G-6 Hedgerow Data'!$B$3:$B$15,0),MATCH(H232,'G-6 Hedgerow Data'!$E$2:$I$2,0))))</f>
        <v/>
      </c>
      <c r="N232" s="195"/>
      <c r="O232" s="195"/>
      <c r="P232" s="507" t="str">
        <f t="shared" si="19"/>
        <v/>
      </c>
      <c r="Q232" s="521" t="str">
        <f t="shared" si="20"/>
        <v/>
      </c>
      <c r="R232" s="522" t="str">
        <f t="shared" si="18"/>
        <v/>
      </c>
      <c r="S232" s="537" t="str">
        <f>IF(D232="","",VLOOKUP(D232,'G-6 Hedgerow Data'!$B$3:$AG$15,31,FALSE))</f>
        <v/>
      </c>
      <c r="T232" s="507" t="str">
        <f t="shared" si="21"/>
        <v/>
      </c>
      <c r="U232" s="507" t="str">
        <f t="shared" si="22"/>
        <v/>
      </c>
      <c r="V232" s="524" t="str">
        <f>IF(D232="","",VLOOKUP(S232,'G-3 Multipliers'!$P$3:$Q$6,2,FALSE))</f>
        <v/>
      </c>
      <c r="W232" s="529" t="str">
        <f t="shared" si="23"/>
        <v/>
      </c>
      <c r="X232" s="149"/>
      <c r="Y232" s="150"/>
      <c r="AG232" s="31" t="str">
        <f>IFERROR(INDEX('G-6 Hedgerow Data'!$BJ$3:$BJ$15,MATCH(D232,'G-6 Hedgerow Data'!$B$3:$B$15,0)),"")</f>
        <v/>
      </c>
    </row>
    <row r="233" spans="2:33" ht="13.8" x14ac:dyDescent="0.25">
      <c r="B233" s="141">
        <v>222</v>
      </c>
      <c r="C233" s="205"/>
      <c r="D233" s="195"/>
      <c r="E233" s="172"/>
      <c r="F233" s="553" t="str">
        <f>IF(D233="","",VLOOKUP(D233,'G-6 Hedgerow Data'!$B$2:$AG$15,2,FALSE))</f>
        <v/>
      </c>
      <c r="G233" s="499" t="str">
        <f>IF(D233="","",VLOOKUP(D233,'G-6 Hedgerow Data'!$B$2:$AG$15,3,FALSE))</f>
        <v/>
      </c>
      <c r="H233" s="145"/>
      <c r="I233" s="499" t="str">
        <f>IFERROR(VLOOKUP(H233,'G-1 All Habitats'!$Z$2:$AA$9,2,FALSE),"")</f>
        <v/>
      </c>
      <c r="J233" s="145"/>
      <c r="K233" s="520" t="str">
        <f>IF(J233="","",IF(VLOOKUP(J233,'G-3 Multipliers'!$L$3:$N$6,2,FALSE)=0,"Spatial Data Missing ⚠",VLOOKUP(J233,'G-3 Multipliers'!$L$3:$N$6,2,FALSE)))</f>
        <v/>
      </c>
      <c r="L233" s="505" t="str">
        <f>IF(J233="","",IF(VLOOKUP(J233,'G-3 Multipliers'!$L$3:$N$6,3,FALSE)=0,"Spatial Data Missing ⚠",VLOOKUP(J233,'G-3 Multipliers'!$L$3:$N$6,3,FALSE)))</f>
        <v/>
      </c>
      <c r="M233" s="498" t="str">
        <f>IF(OR(D233="",H233=""),"",(INDEX('G-6 Hedgerow Data'!$E$3:$I$15,MATCH(D233,'G-6 Hedgerow Data'!$B$3:$B$15,0),MATCH(H233,'G-6 Hedgerow Data'!$E$2:$I$2,0))))</f>
        <v/>
      </c>
      <c r="N233" s="195"/>
      <c r="O233" s="195"/>
      <c r="P233" s="507" t="str">
        <f t="shared" si="19"/>
        <v/>
      </c>
      <c r="Q233" s="521" t="str">
        <f t="shared" si="20"/>
        <v/>
      </c>
      <c r="R233" s="522" t="str">
        <f t="shared" si="18"/>
        <v/>
      </c>
      <c r="S233" s="537" t="str">
        <f>IF(D233="","",VLOOKUP(D233,'G-6 Hedgerow Data'!$B$3:$AG$15,31,FALSE))</f>
        <v/>
      </c>
      <c r="T233" s="507" t="str">
        <f t="shared" si="21"/>
        <v/>
      </c>
      <c r="U233" s="507" t="str">
        <f t="shared" si="22"/>
        <v/>
      </c>
      <c r="V233" s="524" t="str">
        <f>IF(D233="","",VLOOKUP(S233,'G-3 Multipliers'!$P$3:$Q$6,2,FALSE))</f>
        <v/>
      </c>
      <c r="W233" s="529" t="str">
        <f t="shared" si="23"/>
        <v/>
      </c>
      <c r="X233" s="149"/>
      <c r="Y233" s="150"/>
      <c r="AG233" s="31" t="str">
        <f>IFERROR(INDEX('G-6 Hedgerow Data'!$BJ$3:$BJ$15,MATCH(D233,'G-6 Hedgerow Data'!$B$3:$B$15,0)),"")</f>
        <v/>
      </c>
    </row>
    <row r="234" spans="2:33" ht="13.8" x14ac:dyDescent="0.25">
      <c r="B234" s="141">
        <v>223</v>
      </c>
      <c r="C234" s="205"/>
      <c r="D234" s="195"/>
      <c r="E234" s="172"/>
      <c r="F234" s="553" t="str">
        <f>IF(D234="","",VLOOKUP(D234,'G-6 Hedgerow Data'!$B$2:$AG$15,2,FALSE))</f>
        <v/>
      </c>
      <c r="G234" s="499" t="str">
        <f>IF(D234="","",VLOOKUP(D234,'G-6 Hedgerow Data'!$B$2:$AG$15,3,FALSE))</f>
        <v/>
      </c>
      <c r="H234" s="145"/>
      <c r="I234" s="499" t="str">
        <f>IFERROR(VLOOKUP(H234,'G-1 All Habitats'!$Z$2:$AA$9,2,FALSE),"")</f>
        <v/>
      </c>
      <c r="J234" s="145"/>
      <c r="K234" s="520" t="str">
        <f>IF(J234="","",IF(VLOOKUP(J234,'G-3 Multipliers'!$L$3:$N$6,2,FALSE)=0,"Spatial Data Missing ⚠",VLOOKUP(J234,'G-3 Multipliers'!$L$3:$N$6,2,FALSE)))</f>
        <v/>
      </c>
      <c r="L234" s="505" t="str">
        <f>IF(J234="","",IF(VLOOKUP(J234,'G-3 Multipliers'!$L$3:$N$6,3,FALSE)=0,"Spatial Data Missing ⚠",VLOOKUP(J234,'G-3 Multipliers'!$L$3:$N$6,3,FALSE)))</f>
        <v/>
      </c>
      <c r="M234" s="498" t="str">
        <f>IF(OR(D234="",H234=""),"",(INDEX('G-6 Hedgerow Data'!$E$3:$I$15,MATCH(D234,'G-6 Hedgerow Data'!$B$3:$B$15,0),MATCH(H234,'G-6 Hedgerow Data'!$E$2:$I$2,0))))</f>
        <v/>
      </c>
      <c r="N234" s="195"/>
      <c r="O234" s="195"/>
      <c r="P234" s="507" t="str">
        <f t="shared" si="19"/>
        <v/>
      </c>
      <c r="Q234" s="521" t="str">
        <f t="shared" si="20"/>
        <v/>
      </c>
      <c r="R234" s="522" t="str">
        <f t="shared" si="18"/>
        <v/>
      </c>
      <c r="S234" s="537" t="str">
        <f>IF(D234="","",VLOOKUP(D234,'G-6 Hedgerow Data'!$B$3:$AG$15,31,FALSE))</f>
        <v/>
      </c>
      <c r="T234" s="507" t="str">
        <f t="shared" si="21"/>
        <v/>
      </c>
      <c r="U234" s="507" t="str">
        <f t="shared" si="22"/>
        <v/>
      </c>
      <c r="V234" s="524" t="str">
        <f>IF(D234="","",VLOOKUP(S234,'G-3 Multipliers'!$P$3:$Q$6,2,FALSE))</f>
        <v/>
      </c>
      <c r="W234" s="529" t="str">
        <f t="shared" si="23"/>
        <v/>
      </c>
      <c r="X234" s="149"/>
      <c r="Y234" s="150"/>
      <c r="AG234" s="31" t="str">
        <f>IFERROR(INDEX('G-6 Hedgerow Data'!$BJ$3:$BJ$15,MATCH(D234,'G-6 Hedgerow Data'!$B$3:$B$15,0)),"")</f>
        <v/>
      </c>
    </row>
    <row r="235" spans="2:33" ht="13.8" x14ac:dyDescent="0.25">
      <c r="B235" s="141">
        <v>224</v>
      </c>
      <c r="C235" s="205"/>
      <c r="D235" s="195"/>
      <c r="E235" s="172"/>
      <c r="F235" s="553" t="str">
        <f>IF(D235="","",VLOOKUP(D235,'G-6 Hedgerow Data'!$B$2:$AG$15,2,FALSE))</f>
        <v/>
      </c>
      <c r="G235" s="499" t="str">
        <f>IF(D235="","",VLOOKUP(D235,'G-6 Hedgerow Data'!$B$2:$AG$15,3,FALSE))</f>
        <v/>
      </c>
      <c r="H235" s="145"/>
      <c r="I235" s="499" t="str">
        <f>IFERROR(VLOOKUP(H235,'G-1 All Habitats'!$Z$2:$AA$9,2,FALSE),"")</f>
        <v/>
      </c>
      <c r="J235" s="145"/>
      <c r="K235" s="520" t="str">
        <f>IF(J235="","",IF(VLOOKUP(J235,'G-3 Multipliers'!$L$3:$N$6,2,FALSE)=0,"Spatial Data Missing ⚠",VLOOKUP(J235,'G-3 Multipliers'!$L$3:$N$6,2,FALSE)))</f>
        <v/>
      </c>
      <c r="L235" s="505" t="str">
        <f>IF(J235="","",IF(VLOOKUP(J235,'G-3 Multipliers'!$L$3:$N$6,3,FALSE)=0,"Spatial Data Missing ⚠",VLOOKUP(J235,'G-3 Multipliers'!$L$3:$N$6,3,FALSE)))</f>
        <v/>
      </c>
      <c r="M235" s="498" t="str">
        <f>IF(OR(D235="",H235=""),"",(INDEX('G-6 Hedgerow Data'!$E$3:$I$15,MATCH(D235,'G-6 Hedgerow Data'!$B$3:$B$15,0),MATCH(H235,'G-6 Hedgerow Data'!$E$2:$I$2,0))))</f>
        <v/>
      </c>
      <c r="N235" s="195"/>
      <c r="O235" s="195"/>
      <c r="P235" s="507" t="str">
        <f t="shared" si="19"/>
        <v/>
      </c>
      <c r="Q235" s="521" t="str">
        <f t="shared" si="20"/>
        <v/>
      </c>
      <c r="R235" s="522" t="str">
        <f t="shared" si="18"/>
        <v/>
      </c>
      <c r="S235" s="537" t="str">
        <f>IF(D235="","",VLOOKUP(D235,'G-6 Hedgerow Data'!$B$3:$AG$15,31,FALSE))</f>
        <v/>
      </c>
      <c r="T235" s="507" t="str">
        <f t="shared" si="21"/>
        <v/>
      </c>
      <c r="U235" s="507" t="str">
        <f t="shared" si="22"/>
        <v/>
      </c>
      <c r="V235" s="524" t="str">
        <f>IF(D235="","",VLOOKUP(S235,'G-3 Multipliers'!$P$3:$Q$6,2,FALSE))</f>
        <v/>
      </c>
      <c r="W235" s="529" t="str">
        <f t="shared" si="23"/>
        <v/>
      </c>
      <c r="X235" s="149"/>
      <c r="Y235" s="150"/>
      <c r="AG235" s="31" t="str">
        <f>IFERROR(INDEX('G-6 Hedgerow Data'!$BJ$3:$BJ$15,MATCH(D235,'G-6 Hedgerow Data'!$B$3:$B$15,0)),"")</f>
        <v/>
      </c>
    </row>
    <row r="236" spans="2:33" ht="13.8" x14ac:dyDescent="0.25">
      <c r="B236" s="141">
        <v>225</v>
      </c>
      <c r="C236" s="205"/>
      <c r="D236" s="195"/>
      <c r="E236" s="172"/>
      <c r="F236" s="553" t="str">
        <f>IF(D236="","",VLOOKUP(D236,'G-6 Hedgerow Data'!$B$2:$AG$15,2,FALSE))</f>
        <v/>
      </c>
      <c r="G236" s="499" t="str">
        <f>IF(D236="","",VLOOKUP(D236,'G-6 Hedgerow Data'!$B$2:$AG$15,3,FALSE))</f>
        <v/>
      </c>
      <c r="H236" s="145"/>
      <c r="I236" s="499" t="str">
        <f>IFERROR(VLOOKUP(H236,'G-1 All Habitats'!$Z$2:$AA$9,2,FALSE),"")</f>
        <v/>
      </c>
      <c r="J236" s="145"/>
      <c r="K236" s="520" t="str">
        <f>IF(J236="","",IF(VLOOKUP(J236,'G-3 Multipliers'!$L$3:$N$6,2,FALSE)=0,"Spatial Data Missing ⚠",VLOOKUP(J236,'G-3 Multipliers'!$L$3:$N$6,2,FALSE)))</f>
        <v/>
      </c>
      <c r="L236" s="505" t="str">
        <f>IF(J236="","",IF(VLOOKUP(J236,'G-3 Multipliers'!$L$3:$N$6,3,FALSE)=0,"Spatial Data Missing ⚠",VLOOKUP(J236,'G-3 Multipliers'!$L$3:$N$6,3,FALSE)))</f>
        <v/>
      </c>
      <c r="M236" s="498" t="str">
        <f>IF(OR(D236="",H236=""),"",(INDEX('G-6 Hedgerow Data'!$E$3:$I$15,MATCH(D236,'G-6 Hedgerow Data'!$B$3:$B$15,0),MATCH(H236,'G-6 Hedgerow Data'!$E$2:$I$2,0))))</f>
        <v/>
      </c>
      <c r="N236" s="195"/>
      <c r="O236" s="195"/>
      <c r="P236" s="507" t="str">
        <f t="shared" si="19"/>
        <v/>
      </c>
      <c r="Q236" s="521" t="str">
        <f t="shared" si="20"/>
        <v/>
      </c>
      <c r="R236" s="522" t="str">
        <f t="shared" si="18"/>
        <v/>
      </c>
      <c r="S236" s="537" t="str">
        <f>IF(D236="","",VLOOKUP(D236,'G-6 Hedgerow Data'!$B$3:$AG$15,31,FALSE))</f>
        <v/>
      </c>
      <c r="T236" s="507" t="str">
        <f t="shared" si="21"/>
        <v/>
      </c>
      <c r="U236" s="507" t="str">
        <f t="shared" si="22"/>
        <v/>
      </c>
      <c r="V236" s="524" t="str">
        <f>IF(D236="","",VLOOKUP(S236,'G-3 Multipliers'!$P$3:$Q$6,2,FALSE))</f>
        <v/>
      </c>
      <c r="W236" s="529" t="str">
        <f t="shared" si="23"/>
        <v/>
      </c>
      <c r="X236" s="149"/>
      <c r="Y236" s="150"/>
      <c r="AG236" s="31" t="str">
        <f>IFERROR(INDEX('G-6 Hedgerow Data'!$BJ$3:$BJ$15,MATCH(D236,'G-6 Hedgerow Data'!$B$3:$B$15,0)),"")</f>
        <v/>
      </c>
    </row>
    <row r="237" spans="2:33" ht="13.8" x14ac:dyDescent="0.25">
      <c r="B237" s="141">
        <v>226</v>
      </c>
      <c r="C237" s="205"/>
      <c r="D237" s="195"/>
      <c r="E237" s="172"/>
      <c r="F237" s="553" t="str">
        <f>IF(D237="","",VLOOKUP(D237,'G-6 Hedgerow Data'!$B$2:$AG$15,2,FALSE))</f>
        <v/>
      </c>
      <c r="G237" s="499" t="str">
        <f>IF(D237="","",VLOOKUP(D237,'G-6 Hedgerow Data'!$B$2:$AG$15,3,FALSE))</f>
        <v/>
      </c>
      <c r="H237" s="145"/>
      <c r="I237" s="499" t="str">
        <f>IFERROR(VLOOKUP(H237,'G-1 All Habitats'!$Z$2:$AA$9,2,FALSE),"")</f>
        <v/>
      </c>
      <c r="J237" s="145"/>
      <c r="K237" s="520" t="str">
        <f>IF(J237="","",IF(VLOOKUP(J237,'G-3 Multipliers'!$L$3:$N$6,2,FALSE)=0,"Spatial Data Missing ⚠",VLOOKUP(J237,'G-3 Multipliers'!$L$3:$N$6,2,FALSE)))</f>
        <v/>
      </c>
      <c r="L237" s="505" t="str">
        <f>IF(J237="","",IF(VLOOKUP(J237,'G-3 Multipliers'!$L$3:$N$6,3,FALSE)=0,"Spatial Data Missing ⚠",VLOOKUP(J237,'G-3 Multipliers'!$L$3:$N$6,3,FALSE)))</f>
        <v/>
      </c>
      <c r="M237" s="498" t="str">
        <f>IF(OR(D237="",H237=""),"",(INDEX('G-6 Hedgerow Data'!$E$3:$I$15,MATCH(D237,'G-6 Hedgerow Data'!$B$3:$B$15,0),MATCH(H237,'G-6 Hedgerow Data'!$E$2:$I$2,0))))</f>
        <v/>
      </c>
      <c r="N237" s="195"/>
      <c r="O237" s="195"/>
      <c r="P237" s="507" t="str">
        <f t="shared" si="19"/>
        <v/>
      </c>
      <c r="Q237" s="521" t="str">
        <f t="shared" si="20"/>
        <v/>
      </c>
      <c r="R237" s="522" t="str">
        <f t="shared" si="18"/>
        <v/>
      </c>
      <c r="S237" s="537" t="str">
        <f>IF(D237="","",VLOOKUP(D237,'G-6 Hedgerow Data'!$B$3:$AG$15,31,FALSE))</f>
        <v/>
      </c>
      <c r="T237" s="507" t="str">
        <f t="shared" si="21"/>
        <v/>
      </c>
      <c r="U237" s="507" t="str">
        <f t="shared" si="22"/>
        <v/>
      </c>
      <c r="V237" s="524" t="str">
        <f>IF(D237="","",VLOOKUP(S237,'G-3 Multipliers'!$P$3:$Q$6,2,FALSE))</f>
        <v/>
      </c>
      <c r="W237" s="529" t="str">
        <f t="shared" si="23"/>
        <v/>
      </c>
      <c r="X237" s="149"/>
      <c r="Y237" s="150"/>
      <c r="AG237" s="31" t="str">
        <f>IFERROR(INDEX('G-6 Hedgerow Data'!$BJ$3:$BJ$15,MATCH(D237,'G-6 Hedgerow Data'!$B$3:$B$15,0)),"")</f>
        <v/>
      </c>
    </row>
    <row r="238" spans="2:33" ht="13.8" x14ac:dyDescent="0.25">
      <c r="B238" s="141">
        <v>227</v>
      </c>
      <c r="C238" s="205"/>
      <c r="D238" s="195"/>
      <c r="E238" s="172"/>
      <c r="F238" s="553" t="str">
        <f>IF(D238="","",VLOOKUP(D238,'G-6 Hedgerow Data'!$B$2:$AG$15,2,FALSE))</f>
        <v/>
      </c>
      <c r="G238" s="499" t="str">
        <f>IF(D238="","",VLOOKUP(D238,'G-6 Hedgerow Data'!$B$2:$AG$15,3,FALSE))</f>
        <v/>
      </c>
      <c r="H238" s="145"/>
      <c r="I238" s="499" t="str">
        <f>IFERROR(VLOOKUP(H238,'G-1 All Habitats'!$Z$2:$AA$9,2,FALSE),"")</f>
        <v/>
      </c>
      <c r="J238" s="145"/>
      <c r="K238" s="520" t="str">
        <f>IF(J238="","",IF(VLOOKUP(J238,'G-3 Multipliers'!$L$3:$N$6,2,FALSE)=0,"Spatial Data Missing ⚠",VLOOKUP(J238,'G-3 Multipliers'!$L$3:$N$6,2,FALSE)))</f>
        <v/>
      </c>
      <c r="L238" s="505" t="str">
        <f>IF(J238="","",IF(VLOOKUP(J238,'G-3 Multipliers'!$L$3:$N$6,3,FALSE)=0,"Spatial Data Missing ⚠",VLOOKUP(J238,'G-3 Multipliers'!$L$3:$N$6,3,FALSE)))</f>
        <v/>
      </c>
      <c r="M238" s="498" t="str">
        <f>IF(OR(D238="",H238=""),"",(INDEX('G-6 Hedgerow Data'!$E$3:$I$15,MATCH(D238,'G-6 Hedgerow Data'!$B$3:$B$15,0),MATCH(H238,'G-6 Hedgerow Data'!$E$2:$I$2,0))))</f>
        <v/>
      </c>
      <c r="N238" s="195"/>
      <c r="O238" s="195"/>
      <c r="P238" s="507" t="str">
        <f t="shared" si="19"/>
        <v/>
      </c>
      <c r="Q238" s="521" t="str">
        <f t="shared" si="20"/>
        <v/>
      </c>
      <c r="R238" s="522" t="str">
        <f t="shared" si="18"/>
        <v/>
      </c>
      <c r="S238" s="537" t="str">
        <f>IF(D238="","",VLOOKUP(D238,'G-6 Hedgerow Data'!$B$3:$AG$15,31,FALSE))</f>
        <v/>
      </c>
      <c r="T238" s="507" t="str">
        <f t="shared" si="21"/>
        <v/>
      </c>
      <c r="U238" s="507" t="str">
        <f t="shared" si="22"/>
        <v/>
      </c>
      <c r="V238" s="524" t="str">
        <f>IF(D238="","",VLOOKUP(S238,'G-3 Multipliers'!$P$3:$Q$6,2,FALSE))</f>
        <v/>
      </c>
      <c r="W238" s="529" t="str">
        <f t="shared" si="23"/>
        <v/>
      </c>
      <c r="X238" s="149"/>
      <c r="Y238" s="150"/>
      <c r="AG238" s="31" t="str">
        <f>IFERROR(INDEX('G-6 Hedgerow Data'!$BJ$3:$BJ$15,MATCH(D238,'G-6 Hedgerow Data'!$B$3:$B$15,0)),"")</f>
        <v/>
      </c>
    </row>
    <row r="239" spans="2:33" ht="13.8" x14ac:dyDescent="0.25">
      <c r="B239" s="141">
        <v>228</v>
      </c>
      <c r="C239" s="205"/>
      <c r="D239" s="195"/>
      <c r="E239" s="172"/>
      <c r="F239" s="553" t="str">
        <f>IF(D239="","",VLOOKUP(D239,'G-6 Hedgerow Data'!$B$2:$AG$15,2,FALSE))</f>
        <v/>
      </c>
      <c r="G239" s="499" t="str">
        <f>IF(D239="","",VLOOKUP(D239,'G-6 Hedgerow Data'!$B$2:$AG$15,3,FALSE))</f>
        <v/>
      </c>
      <c r="H239" s="145"/>
      <c r="I239" s="499" t="str">
        <f>IFERROR(VLOOKUP(H239,'G-1 All Habitats'!$Z$2:$AA$9,2,FALSE),"")</f>
        <v/>
      </c>
      <c r="J239" s="145"/>
      <c r="K239" s="520" t="str">
        <f>IF(J239="","",IF(VLOOKUP(J239,'G-3 Multipliers'!$L$3:$N$6,2,FALSE)=0,"Spatial Data Missing ⚠",VLOOKUP(J239,'G-3 Multipliers'!$L$3:$N$6,2,FALSE)))</f>
        <v/>
      </c>
      <c r="L239" s="505" t="str">
        <f>IF(J239="","",IF(VLOOKUP(J239,'G-3 Multipliers'!$L$3:$N$6,3,FALSE)=0,"Spatial Data Missing ⚠",VLOOKUP(J239,'G-3 Multipliers'!$L$3:$N$6,3,FALSE)))</f>
        <v/>
      </c>
      <c r="M239" s="498" t="str">
        <f>IF(OR(D239="",H239=""),"",(INDEX('G-6 Hedgerow Data'!$E$3:$I$15,MATCH(D239,'G-6 Hedgerow Data'!$B$3:$B$15,0),MATCH(H239,'G-6 Hedgerow Data'!$E$2:$I$2,0))))</f>
        <v/>
      </c>
      <c r="N239" s="195"/>
      <c r="O239" s="195"/>
      <c r="P239" s="507" t="str">
        <f t="shared" si="19"/>
        <v/>
      </c>
      <c r="Q239" s="521" t="str">
        <f t="shared" si="20"/>
        <v/>
      </c>
      <c r="R239" s="522" t="str">
        <f t="shared" si="18"/>
        <v/>
      </c>
      <c r="S239" s="537" t="str">
        <f>IF(D239="","",VLOOKUP(D239,'G-6 Hedgerow Data'!$B$3:$AG$15,31,FALSE))</f>
        <v/>
      </c>
      <c r="T239" s="507" t="str">
        <f t="shared" si="21"/>
        <v/>
      </c>
      <c r="U239" s="507" t="str">
        <f t="shared" si="22"/>
        <v/>
      </c>
      <c r="V239" s="524" t="str">
        <f>IF(D239="","",VLOOKUP(S239,'G-3 Multipliers'!$P$3:$Q$6,2,FALSE))</f>
        <v/>
      </c>
      <c r="W239" s="529" t="str">
        <f t="shared" si="23"/>
        <v/>
      </c>
      <c r="X239" s="149"/>
      <c r="Y239" s="150"/>
      <c r="AG239" s="31" t="str">
        <f>IFERROR(INDEX('G-6 Hedgerow Data'!$BJ$3:$BJ$15,MATCH(D239,'G-6 Hedgerow Data'!$B$3:$B$15,0)),"")</f>
        <v/>
      </c>
    </row>
    <row r="240" spans="2:33" ht="13.8" x14ac:dyDescent="0.25">
      <c r="B240" s="141">
        <v>229</v>
      </c>
      <c r="C240" s="205"/>
      <c r="D240" s="195"/>
      <c r="E240" s="172"/>
      <c r="F240" s="553" t="str">
        <f>IF(D240="","",VLOOKUP(D240,'G-6 Hedgerow Data'!$B$2:$AG$15,2,FALSE))</f>
        <v/>
      </c>
      <c r="G240" s="499" t="str">
        <f>IF(D240="","",VLOOKUP(D240,'G-6 Hedgerow Data'!$B$2:$AG$15,3,FALSE))</f>
        <v/>
      </c>
      <c r="H240" s="145"/>
      <c r="I240" s="499" t="str">
        <f>IFERROR(VLOOKUP(H240,'G-1 All Habitats'!$Z$2:$AA$9,2,FALSE),"")</f>
        <v/>
      </c>
      <c r="J240" s="145"/>
      <c r="K240" s="520" t="str">
        <f>IF(J240="","",IF(VLOOKUP(J240,'G-3 Multipliers'!$L$3:$N$6,2,FALSE)=0,"Spatial Data Missing ⚠",VLOOKUP(J240,'G-3 Multipliers'!$L$3:$N$6,2,FALSE)))</f>
        <v/>
      </c>
      <c r="L240" s="505" t="str">
        <f>IF(J240="","",IF(VLOOKUP(J240,'G-3 Multipliers'!$L$3:$N$6,3,FALSE)=0,"Spatial Data Missing ⚠",VLOOKUP(J240,'G-3 Multipliers'!$L$3:$N$6,3,FALSE)))</f>
        <v/>
      </c>
      <c r="M240" s="498" t="str">
        <f>IF(OR(D240="",H240=""),"",(INDEX('G-6 Hedgerow Data'!$E$3:$I$15,MATCH(D240,'G-6 Hedgerow Data'!$B$3:$B$15,0),MATCH(H240,'G-6 Hedgerow Data'!$E$2:$I$2,0))))</f>
        <v/>
      </c>
      <c r="N240" s="195"/>
      <c r="O240" s="195"/>
      <c r="P240" s="507" t="str">
        <f t="shared" si="19"/>
        <v/>
      </c>
      <c r="Q240" s="521" t="str">
        <f t="shared" si="20"/>
        <v/>
      </c>
      <c r="R240" s="522" t="str">
        <f t="shared" si="18"/>
        <v/>
      </c>
      <c r="S240" s="537" t="str">
        <f>IF(D240="","",VLOOKUP(D240,'G-6 Hedgerow Data'!$B$3:$AG$15,31,FALSE))</f>
        <v/>
      </c>
      <c r="T240" s="507" t="str">
        <f t="shared" si="21"/>
        <v/>
      </c>
      <c r="U240" s="507" t="str">
        <f t="shared" si="22"/>
        <v/>
      </c>
      <c r="V240" s="524" t="str">
        <f>IF(D240="","",VLOOKUP(S240,'G-3 Multipliers'!$P$3:$Q$6,2,FALSE))</f>
        <v/>
      </c>
      <c r="W240" s="529" t="str">
        <f t="shared" si="23"/>
        <v/>
      </c>
      <c r="X240" s="149"/>
      <c r="Y240" s="150"/>
      <c r="AG240" s="31" t="str">
        <f>IFERROR(INDEX('G-6 Hedgerow Data'!$BJ$3:$BJ$15,MATCH(D240,'G-6 Hedgerow Data'!$B$3:$B$15,0)),"")</f>
        <v/>
      </c>
    </row>
    <row r="241" spans="2:33" ht="13.8" x14ac:dyDescent="0.25">
      <c r="B241" s="141">
        <v>230</v>
      </c>
      <c r="C241" s="205"/>
      <c r="D241" s="195"/>
      <c r="E241" s="172"/>
      <c r="F241" s="553" t="str">
        <f>IF(D241="","",VLOOKUP(D241,'G-6 Hedgerow Data'!$B$2:$AG$15,2,FALSE))</f>
        <v/>
      </c>
      <c r="G241" s="499" t="str">
        <f>IF(D241="","",VLOOKUP(D241,'G-6 Hedgerow Data'!$B$2:$AG$15,3,FALSE))</f>
        <v/>
      </c>
      <c r="H241" s="145"/>
      <c r="I241" s="499" t="str">
        <f>IFERROR(VLOOKUP(H241,'G-1 All Habitats'!$Z$2:$AA$9,2,FALSE),"")</f>
        <v/>
      </c>
      <c r="J241" s="145"/>
      <c r="K241" s="520" t="str">
        <f>IF(J241="","",IF(VLOOKUP(J241,'G-3 Multipliers'!$L$3:$N$6,2,FALSE)=0,"Spatial Data Missing ⚠",VLOOKUP(J241,'G-3 Multipliers'!$L$3:$N$6,2,FALSE)))</f>
        <v/>
      </c>
      <c r="L241" s="505" t="str">
        <f>IF(J241="","",IF(VLOOKUP(J241,'G-3 Multipliers'!$L$3:$N$6,3,FALSE)=0,"Spatial Data Missing ⚠",VLOOKUP(J241,'G-3 Multipliers'!$L$3:$N$6,3,FALSE)))</f>
        <v/>
      </c>
      <c r="M241" s="498" t="str">
        <f>IF(OR(D241="",H241=""),"",(INDEX('G-6 Hedgerow Data'!$E$3:$I$15,MATCH(D241,'G-6 Hedgerow Data'!$B$3:$B$15,0),MATCH(H241,'G-6 Hedgerow Data'!$E$2:$I$2,0))))</f>
        <v/>
      </c>
      <c r="N241" s="195"/>
      <c r="O241" s="195"/>
      <c r="P241" s="507" t="str">
        <f t="shared" si="19"/>
        <v/>
      </c>
      <c r="Q241" s="521" t="str">
        <f t="shared" si="20"/>
        <v/>
      </c>
      <c r="R241" s="522" t="str">
        <f t="shared" si="18"/>
        <v/>
      </c>
      <c r="S241" s="537" t="str">
        <f>IF(D241="","",VLOOKUP(D241,'G-6 Hedgerow Data'!$B$3:$AG$15,31,FALSE))</f>
        <v/>
      </c>
      <c r="T241" s="507" t="str">
        <f t="shared" si="21"/>
        <v/>
      </c>
      <c r="U241" s="507" t="str">
        <f t="shared" si="22"/>
        <v/>
      </c>
      <c r="V241" s="524" t="str">
        <f>IF(D241="","",VLOOKUP(S241,'G-3 Multipliers'!$P$3:$Q$6,2,FALSE))</f>
        <v/>
      </c>
      <c r="W241" s="529" t="str">
        <f t="shared" si="23"/>
        <v/>
      </c>
      <c r="X241" s="149"/>
      <c r="Y241" s="150"/>
      <c r="AG241" s="31" t="str">
        <f>IFERROR(INDEX('G-6 Hedgerow Data'!$BJ$3:$BJ$15,MATCH(D241,'G-6 Hedgerow Data'!$B$3:$B$15,0)),"")</f>
        <v/>
      </c>
    </row>
    <row r="242" spans="2:33" ht="13.8" x14ac:dyDescent="0.25">
      <c r="B242" s="141">
        <v>231</v>
      </c>
      <c r="C242" s="205"/>
      <c r="D242" s="195"/>
      <c r="E242" s="172"/>
      <c r="F242" s="553" t="str">
        <f>IF(D242="","",VLOOKUP(D242,'G-6 Hedgerow Data'!$B$2:$AG$15,2,FALSE))</f>
        <v/>
      </c>
      <c r="G242" s="499" t="str">
        <f>IF(D242="","",VLOOKUP(D242,'G-6 Hedgerow Data'!$B$2:$AG$15,3,FALSE))</f>
        <v/>
      </c>
      <c r="H242" s="145"/>
      <c r="I242" s="499" t="str">
        <f>IFERROR(VLOOKUP(H242,'G-1 All Habitats'!$Z$2:$AA$9,2,FALSE),"")</f>
        <v/>
      </c>
      <c r="J242" s="145"/>
      <c r="K242" s="520" t="str">
        <f>IF(J242="","",IF(VLOOKUP(J242,'G-3 Multipliers'!$L$3:$N$6,2,FALSE)=0,"Spatial Data Missing ⚠",VLOOKUP(J242,'G-3 Multipliers'!$L$3:$N$6,2,FALSE)))</f>
        <v/>
      </c>
      <c r="L242" s="505" t="str">
        <f>IF(J242="","",IF(VLOOKUP(J242,'G-3 Multipliers'!$L$3:$N$6,3,FALSE)=0,"Spatial Data Missing ⚠",VLOOKUP(J242,'G-3 Multipliers'!$L$3:$N$6,3,FALSE)))</f>
        <v/>
      </c>
      <c r="M242" s="498" t="str">
        <f>IF(OR(D242="",H242=""),"",(INDEX('G-6 Hedgerow Data'!$E$3:$I$15,MATCH(D242,'G-6 Hedgerow Data'!$B$3:$B$15,0),MATCH(H242,'G-6 Hedgerow Data'!$E$2:$I$2,0))))</f>
        <v/>
      </c>
      <c r="N242" s="195"/>
      <c r="O242" s="195"/>
      <c r="P242" s="507" t="str">
        <f t="shared" si="19"/>
        <v/>
      </c>
      <c r="Q242" s="521" t="str">
        <f t="shared" si="20"/>
        <v/>
      </c>
      <c r="R242" s="522" t="str">
        <f t="shared" si="18"/>
        <v/>
      </c>
      <c r="S242" s="537" t="str">
        <f>IF(D242="","",VLOOKUP(D242,'G-6 Hedgerow Data'!$B$3:$AG$15,31,FALSE))</f>
        <v/>
      </c>
      <c r="T242" s="507" t="str">
        <f t="shared" si="21"/>
        <v/>
      </c>
      <c r="U242" s="507" t="str">
        <f t="shared" si="22"/>
        <v/>
      </c>
      <c r="V242" s="524" t="str">
        <f>IF(D242="","",VLOOKUP(S242,'G-3 Multipliers'!$P$3:$Q$6,2,FALSE))</f>
        <v/>
      </c>
      <c r="W242" s="529" t="str">
        <f t="shared" si="23"/>
        <v/>
      </c>
      <c r="X242" s="149"/>
      <c r="Y242" s="150"/>
      <c r="AG242" s="31" t="str">
        <f>IFERROR(INDEX('G-6 Hedgerow Data'!$BJ$3:$BJ$15,MATCH(D242,'G-6 Hedgerow Data'!$B$3:$B$15,0)),"")</f>
        <v/>
      </c>
    </row>
    <row r="243" spans="2:33" ht="13.8" x14ac:dyDescent="0.25">
      <c r="B243" s="141">
        <v>232</v>
      </c>
      <c r="C243" s="205"/>
      <c r="D243" s="195"/>
      <c r="E243" s="172"/>
      <c r="F243" s="553" t="str">
        <f>IF(D243="","",VLOOKUP(D243,'G-6 Hedgerow Data'!$B$2:$AG$15,2,FALSE))</f>
        <v/>
      </c>
      <c r="G243" s="499" t="str">
        <f>IF(D243="","",VLOOKUP(D243,'G-6 Hedgerow Data'!$B$2:$AG$15,3,FALSE))</f>
        <v/>
      </c>
      <c r="H243" s="145"/>
      <c r="I243" s="499" t="str">
        <f>IFERROR(VLOOKUP(H243,'G-1 All Habitats'!$Z$2:$AA$9,2,FALSE),"")</f>
        <v/>
      </c>
      <c r="J243" s="145"/>
      <c r="K243" s="520" t="str">
        <f>IF(J243="","",IF(VLOOKUP(J243,'G-3 Multipliers'!$L$3:$N$6,2,FALSE)=0,"Spatial Data Missing ⚠",VLOOKUP(J243,'G-3 Multipliers'!$L$3:$N$6,2,FALSE)))</f>
        <v/>
      </c>
      <c r="L243" s="505" t="str">
        <f>IF(J243="","",IF(VLOOKUP(J243,'G-3 Multipliers'!$L$3:$N$6,3,FALSE)=0,"Spatial Data Missing ⚠",VLOOKUP(J243,'G-3 Multipliers'!$L$3:$N$6,3,FALSE)))</f>
        <v/>
      </c>
      <c r="M243" s="498" t="str">
        <f>IF(OR(D243="",H243=""),"",(INDEX('G-6 Hedgerow Data'!$E$3:$I$15,MATCH(D243,'G-6 Hedgerow Data'!$B$3:$B$15,0),MATCH(H243,'G-6 Hedgerow Data'!$E$2:$I$2,0))))</f>
        <v/>
      </c>
      <c r="N243" s="195"/>
      <c r="O243" s="195"/>
      <c r="P243" s="507" t="str">
        <f t="shared" si="19"/>
        <v/>
      </c>
      <c r="Q243" s="521" t="str">
        <f t="shared" si="20"/>
        <v/>
      </c>
      <c r="R243" s="522" t="str">
        <f t="shared" si="18"/>
        <v/>
      </c>
      <c r="S243" s="537" t="str">
        <f>IF(D243="","",VLOOKUP(D243,'G-6 Hedgerow Data'!$B$3:$AG$15,31,FALSE))</f>
        <v/>
      </c>
      <c r="T243" s="507" t="str">
        <f t="shared" si="21"/>
        <v/>
      </c>
      <c r="U243" s="507" t="str">
        <f t="shared" si="22"/>
        <v/>
      </c>
      <c r="V243" s="524" t="str">
        <f>IF(D243="","",VLOOKUP(S243,'G-3 Multipliers'!$P$3:$Q$6,2,FALSE))</f>
        <v/>
      </c>
      <c r="W243" s="529" t="str">
        <f t="shared" si="23"/>
        <v/>
      </c>
      <c r="X243" s="149"/>
      <c r="Y243" s="150"/>
      <c r="AG243" s="31" t="str">
        <f>IFERROR(INDEX('G-6 Hedgerow Data'!$BJ$3:$BJ$15,MATCH(D243,'G-6 Hedgerow Data'!$B$3:$B$15,0)),"")</f>
        <v/>
      </c>
    </row>
    <row r="244" spans="2:33" ht="13.8" x14ac:dyDescent="0.25">
      <c r="B244" s="141">
        <v>233</v>
      </c>
      <c r="C244" s="205"/>
      <c r="D244" s="195"/>
      <c r="E244" s="172"/>
      <c r="F244" s="553" t="str">
        <f>IF(D244="","",VLOOKUP(D244,'G-6 Hedgerow Data'!$B$2:$AG$15,2,FALSE))</f>
        <v/>
      </c>
      <c r="G244" s="499" t="str">
        <f>IF(D244="","",VLOOKUP(D244,'G-6 Hedgerow Data'!$B$2:$AG$15,3,FALSE))</f>
        <v/>
      </c>
      <c r="H244" s="145"/>
      <c r="I244" s="499" t="str">
        <f>IFERROR(VLOOKUP(H244,'G-1 All Habitats'!$Z$2:$AA$9,2,FALSE),"")</f>
        <v/>
      </c>
      <c r="J244" s="145"/>
      <c r="K244" s="520" t="str">
        <f>IF(J244="","",IF(VLOOKUP(J244,'G-3 Multipliers'!$L$3:$N$6,2,FALSE)=0,"Spatial Data Missing ⚠",VLOOKUP(J244,'G-3 Multipliers'!$L$3:$N$6,2,FALSE)))</f>
        <v/>
      </c>
      <c r="L244" s="505" t="str">
        <f>IF(J244="","",IF(VLOOKUP(J244,'G-3 Multipliers'!$L$3:$N$6,3,FALSE)=0,"Spatial Data Missing ⚠",VLOOKUP(J244,'G-3 Multipliers'!$L$3:$N$6,3,FALSE)))</f>
        <v/>
      </c>
      <c r="M244" s="498" t="str">
        <f>IF(OR(D244="",H244=""),"",(INDEX('G-6 Hedgerow Data'!$E$3:$I$15,MATCH(D244,'G-6 Hedgerow Data'!$B$3:$B$15,0),MATCH(H244,'G-6 Hedgerow Data'!$E$2:$I$2,0))))</f>
        <v/>
      </c>
      <c r="N244" s="195"/>
      <c r="O244" s="195"/>
      <c r="P244" s="507" t="str">
        <f t="shared" si="19"/>
        <v/>
      </c>
      <c r="Q244" s="521" t="str">
        <f t="shared" si="20"/>
        <v/>
      </c>
      <c r="R244" s="522" t="str">
        <f t="shared" si="18"/>
        <v/>
      </c>
      <c r="S244" s="537" t="str">
        <f>IF(D244="","",VLOOKUP(D244,'G-6 Hedgerow Data'!$B$3:$AG$15,31,FALSE))</f>
        <v/>
      </c>
      <c r="T244" s="507" t="str">
        <f t="shared" si="21"/>
        <v/>
      </c>
      <c r="U244" s="507" t="str">
        <f t="shared" si="22"/>
        <v/>
      </c>
      <c r="V244" s="524" t="str">
        <f>IF(D244="","",VLOOKUP(S244,'G-3 Multipliers'!$P$3:$Q$6,2,FALSE))</f>
        <v/>
      </c>
      <c r="W244" s="529" t="str">
        <f t="shared" si="23"/>
        <v/>
      </c>
      <c r="X244" s="149"/>
      <c r="Y244" s="150"/>
      <c r="AG244" s="31" t="str">
        <f>IFERROR(INDEX('G-6 Hedgerow Data'!$BJ$3:$BJ$15,MATCH(D244,'G-6 Hedgerow Data'!$B$3:$B$15,0)),"")</f>
        <v/>
      </c>
    </row>
    <row r="245" spans="2:33" ht="13.8" x14ac:dyDescent="0.25">
      <c r="B245" s="141">
        <v>234</v>
      </c>
      <c r="C245" s="205"/>
      <c r="D245" s="195"/>
      <c r="E245" s="172"/>
      <c r="F245" s="553" t="str">
        <f>IF(D245="","",VLOOKUP(D245,'G-6 Hedgerow Data'!$B$2:$AG$15,2,FALSE))</f>
        <v/>
      </c>
      <c r="G245" s="499" t="str">
        <f>IF(D245="","",VLOOKUP(D245,'G-6 Hedgerow Data'!$B$2:$AG$15,3,FALSE))</f>
        <v/>
      </c>
      <c r="H245" s="145"/>
      <c r="I245" s="499" t="str">
        <f>IFERROR(VLOOKUP(H245,'G-1 All Habitats'!$Z$2:$AA$9,2,FALSE),"")</f>
        <v/>
      </c>
      <c r="J245" s="145"/>
      <c r="K245" s="520" t="str">
        <f>IF(J245="","",IF(VLOOKUP(J245,'G-3 Multipliers'!$L$3:$N$6,2,FALSE)=0,"Spatial Data Missing ⚠",VLOOKUP(J245,'G-3 Multipliers'!$L$3:$N$6,2,FALSE)))</f>
        <v/>
      </c>
      <c r="L245" s="505" t="str">
        <f>IF(J245="","",IF(VLOOKUP(J245,'G-3 Multipliers'!$L$3:$N$6,3,FALSE)=0,"Spatial Data Missing ⚠",VLOOKUP(J245,'G-3 Multipliers'!$L$3:$N$6,3,FALSE)))</f>
        <v/>
      </c>
      <c r="M245" s="498" t="str">
        <f>IF(OR(D245="",H245=""),"",(INDEX('G-6 Hedgerow Data'!$E$3:$I$15,MATCH(D245,'G-6 Hedgerow Data'!$B$3:$B$15,0),MATCH(H245,'G-6 Hedgerow Data'!$E$2:$I$2,0))))</f>
        <v/>
      </c>
      <c r="N245" s="195"/>
      <c r="O245" s="195"/>
      <c r="P245" s="507" t="str">
        <f t="shared" si="19"/>
        <v/>
      </c>
      <c r="Q245" s="521" t="str">
        <f t="shared" si="20"/>
        <v/>
      </c>
      <c r="R245" s="522" t="str">
        <f t="shared" si="18"/>
        <v/>
      </c>
      <c r="S245" s="537" t="str">
        <f>IF(D245="","",VLOOKUP(D245,'G-6 Hedgerow Data'!$B$3:$AG$15,31,FALSE))</f>
        <v/>
      </c>
      <c r="T245" s="507" t="str">
        <f t="shared" si="21"/>
        <v/>
      </c>
      <c r="U245" s="507" t="str">
        <f t="shared" si="22"/>
        <v/>
      </c>
      <c r="V245" s="524" t="str">
        <f>IF(D245="","",VLOOKUP(S245,'G-3 Multipliers'!$P$3:$Q$6,2,FALSE))</f>
        <v/>
      </c>
      <c r="W245" s="529" t="str">
        <f t="shared" si="23"/>
        <v/>
      </c>
      <c r="X245" s="149"/>
      <c r="Y245" s="150"/>
      <c r="AG245" s="31" t="str">
        <f>IFERROR(INDEX('G-6 Hedgerow Data'!$BJ$3:$BJ$15,MATCH(D245,'G-6 Hedgerow Data'!$B$3:$B$15,0)),"")</f>
        <v/>
      </c>
    </row>
    <row r="246" spans="2:33" ht="13.8" x14ac:dyDescent="0.25">
      <c r="B246" s="141">
        <v>235</v>
      </c>
      <c r="C246" s="205"/>
      <c r="D246" s="195"/>
      <c r="E246" s="172"/>
      <c r="F246" s="553" t="str">
        <f>IF(D246="","",VLOOKUP(D246,'G-6 Hedgerow Data'!$B$2:$AG$15,2,FALSE))</f>
        <v/>
      </c>
      <c r="G246" s="499" t="str">
        <f>IF(D246="","",VLOOKUP(D246,'G-6 Hedgerow Data'!$B$2:$AG$15,3,FALSE))</f>
        <v/>
      </c>
      <c r="H246" s="145"/>
      <c r="I246" s="499" t="str">
        <f>IFERROR(VLOOKUP(H246,'G-1 All Habitats'!$Z$2:$AA$9,2,FALSE),"")</f>
        <v/>
      </c>
      <c r="J246" s="145"/>
      <c r="K246" s="520" t="str">
        <f>IF(J246="","",IF(VLOOKUP(J246,'G-3 Multipliers'!$L$3:$N$6,2,FALSE)=0,"Spatial Data Missing ⚠",VLOOKUP(J246,'G-3 Multipliers'!$L$3:$N$6,2,FALSE)))</f>
        <v/>
      </c>
      <c r="L246" s="505" t="str">
        <f>IF(J246="","",IF(VLOOKUP(J246,'G-3 Multipliers'!$L$3:$N$6,3,FALSE)=0,"Spatial Data Missing ⚠",VLOOKUP(J246,'G-3 Multipliers'!$L$3:$N$6,3,FALSE)))</f>
        <v/>
      </c>
      <c r="M246" s="498" t="str">
        <f>IF(OR(D246="",H246=""),"",(INDEX('G-6 Hedgerow Data'!$E$3:$I$15,MATCH(D246,'G-6 Hedgerow Data'!$B$3:$B$15,0),MATCH(H246,'G-6 Hedgerow Data'!$E$2:$I$2,0))))</f>
        <v/>
      </c>
      <c r="N246" s="195"/>
      <c r="O246" s="195"/>
      <c r="P246" s="507" t="str">
        <f t="shared" si="19"/>
        <v/>
      </c>
      <c r="Q246" s="521" t="str">
        <f t="shared" si="20"/>
        <v/>
      </c>
      <c r="R246" s="522" t="str">
        <f t="shared" si="18"/>
        <v/>
      </c>
      <c r="S246" s="537" t="str">
        <f>IF(D246="","",VLOOKUP(D246,'G-6 Hedgerow Data'!$B$3:$AG$15,31,FALSE))</f>
        <v/>
      </c>
      <c r="T246" s="507" t="str">
        <f t="shared" si="21"/>
        <v/>
      </c>
      <c r="U246" s="507" t="str">
        <f t="shared" si="22"/>
        <v/>
      </c>
      <c r="V246" s="524" t="str">
        <f>IF(D246="","",VLOOKUP(S246,'G-3 Multipliers'!$P$3:$Q$6,2,FALSE))</f>
        <v/>
      </c>
      <c r="W246" s="529" t="str">
        <f t="shared" si="23"/>
        <v/>
      </c>
      <c r="X246" s="149"/>
      <c r="Y246" s="150"/>
      <c r="AG246" s="31" t="str">
        <f>IFERROR(INDEX('G-6 Hedgerow Data'!$BJ$3:$BJ$15,MATCH(D246,'G-6 Hedgerow Data'!$B$3:$B$15,0)),"")</f>
        <v/>
      </c>
    </row>
    <row r="247" spans="2:33" ht="13.8" x14ac:dyDescent="0.25">
      <c r="B247" s="141">
        <v>236</v>
      </c>
      <c r="C247" s="205"/>
      <c r="D247" s="195"/>
      <c r="E247" s="172"/>
      <c r="F247" s="553" t="str">
        <f>IF(D247="","",VLOOKUP(D247,'G-6 Hedgerow Data'!$B$2:$AG$15,2,FALSE))</f>
        <v/>
      </c>
      <c r="G247" s="499" t="str">
        <f>IF(D247="","",VLOOKUP(D247,'G-6 Hedgerow Data'!$B$2:$AG$15,3,FALSE))</f>
        <v/>
      </c>
      <c r="H247" s="145"/>
      <c r="I247" s="499" t="str">
        <f>IFERROR(VLOOKUP(H247,'G-1 All Habitats'!$Z$2:$AA$9,2,FALSE),"")</f>
        <v/>
      </c>
      <c r="J247" s="145"/>
      <c r="K247" s="520" t="str">
        <f>IF(J247="","",IF(VLOOKUP(J247,'G-3 Multipliers'!$L$3:$N$6,2,FALSE)=0,"Spatial Data Missing ⚠",VLOOKUP(J247,'G-3 Multipliers'!$L$3:$N$6,2,FALSE)))</f>
        <v/>
      </c>
      <c r="L247" s="505" t="str">
        <f>IF(J247="","",IF(VLOOKUP(J247,'G-3 Multipliers'!$L$3:$N$6,3,FALSE)=0,"Spatial Data Missing ⚠",VLOOKUP(J247,'G-3 Multipliers'!$L$3:$N$6,3,FALSE)))</f>
        <v/>
      </c>
      <c r="M247" s="498" t="str">
        <f>IF(OR(D247="",H247=""),"",(INDEX('G-6 Hedgerow Data'!$E$3:$I$15,MATCH(D247,'G-6 Hedgerow Data'!$B$3:$B$15,0),MATCH(H247,'G-6 Hedgerow Data'!$E$2:$I$2,0))))</f>
        <v/>
      </c>
      <c r="N247" s="195"/>
      <c r="O247" s="195"/>
      <c r="P247" s="507" t="str">
        <f t="shared" si="19"/>
        <v/>
      </c>
      <c r="Q247" s="521" t="str">
        <f t="shared" si="20"/>
        <v/>
      </c>
      <c r="R247" s="522" t="str">
        <f t="shared" si="18"/>
        <v/>
      </c>
      <c r="S247" s="537" t="str">
        <f>IF(D247="","",VLOOKUP(D247,'G-6 Hedgerow Data'!$B$3:$AG$15,31,FALSE))</f>
        <v/>
      </c>
      <c r="T247" s="507" t="str">
        <f t="shared" si="21"/>
        <v/>
      </c>
      <c r="U247" s="507" t="str">
        <f t="shared" si="22"/>
        <v/>
      </c>
      <c r="V247" s="524" t="str">
        <f>IF(D247="","",VLOOKUP(S247,'G-3 Multipliers'!$P$3:$Q$6,2,FALSE))</f>
        <v/>
      </c>
      <c r="W247" s="529" t="str">
        <f t="shared" si="23"/>
        <v/>
      </c>
      <c r="X247" s="149"/>
      <c r="Y247" s="150"/>
      <c r="AG247" s="31" t="str">
        <f>IFERROR(INDEX('G-6 Hedgerow Data'!$BJ$3:$BJ$15,MATCH(D247,'G-6 Hedgerow Data'!$B$3:$B$15,0)),"")</f>
        <v/>
      </c>
    </row>
    <row r="248" spans="2:33" ht="13.8" x14ac:dyDescent="0.25">
      <c r="B248" s="141">
        <v>237</v>
      </c>
      <c r="C248" s="205"/>
      <c r="D248" s="195"/>
      <c r="E248" s="172"/>
      <c r="F248" s="553" t="str">
        <f>IF(D248="","",VLOOKUP(D248,'G-6 Hedgerow Data'!$B$2:$AG$15,2,FALSE))</f>
        <v/>
      </c>
      <c r="G248" s="499" t="str">
        <f>IF(D248="","",VLOOKUP(D248,'G-6 Hedgerow Data'!$B$2:$AG$15,3,FALSE))</f>
        <v/>
      </c>
      <c r="H248" s="145"/>
      <c r="I248" s="499" t="str">
        <f>IFERROR(VLOOKUP(H248,'G-1 All Habitats'!$Z$2:$AA$9,2,FALSE),"")</f>
        <v/>
      </c>
      <c r="J248" s="145"/>
      <c r="K248" s="520" t="str">
        <f>IF(J248="","",IF(VLOOKUP(J248,'G-3 Multipliers'!$L$3:$N$6,2,FALSE)=0,"Spatial Data Missing ⚠",VLOOKUP(J248,'G-3 Multipliers'!$L$3:$N$6,2,FALSE)))</f>
        <v/>
      </c>
      <c r="L248" s="505" t="str">
        <f>IF(J248="","",IF(VLOOKUP(J248,'G-3 Multipliers'!$L$3:$N$6,3,FALSE)=0,"Spatial Data Missing ⚠",VLOOKUP(J248,'G-3 Multipliers'!$L$3:$N$6,3,FALSE)))</f>
        <v/>
      </c>
      <c r="M248" s="498" t="str">
        <f>IF(OR(D248="",H248=""),"",(INDEX('G-6 Hedgerow Data'!$E$3:$I$15,MATCH(D248,'G-6 Hedgerow Data'!$B$3:$B$15,0),MATCH(H248,'G-6 Hedgerow Data'!$E$2:$I$2,0))))</f>
        <v/>
      </c>
      <c r="N248" s="195"/>
      <c r="O248" s="195"/>
      <c r="P248" s="507" t="str">
        <f t="shared" si="19"/>
        <v/>
      </c>
      <c r="Q248" s="521" t="str">
        <f t="shared" si="20"/>
        <v/>
      </c>
      <c r="R248" s="522" t="str">
        <f t="shared" si="18"/>
        <v/>
      </c>
      <c r="S248" s="537" t="str">
        <f>IF(D248="","",VLOOKUP(D248,'G-6 Hedgerow Data'!$B$3:$AG$15,31,FALSE))</f>
        <v/>
      </c>
      <c r="T248" s="507" t="str">
        <f t="shared" si="21"/>
        <v/>
      </c>
      <c r="U248" s="507" t="str">
        <f t="shared" si="22"/>
        <v/>
      </c>
      <c r="V248" s="524" t="str">
        <f>IF(D248="","",VLOOKUP(S248,'G-3 Multipliers'!$P$3:$Q$6,2,FALSE))</f>
        <v/>
      </c>
      <c r="W248" s="529" t="str">
        <f t="shared" si="23"/>
        <v/>
      </c>
      <c r="X248" s="149"/>
      <c r="Y248" s="150"/>
      <c r="AG248" s="31" t="str">
        <f>IFERROR(INDEX('G-6 Hedgerow Data'!$BJ$3:$BJ$15,MATCH(D248,'G-6 Hedgerow Data'!$B$3:$B$15,0)),"")</f>
        <v/>
      </c>
    </row>
    <row r="249" spans="2:33" ht="13.8" x14ac:dyDescent="0.25">
      <c r="B249" s="141">
        <v>238</v>
      </c>
      <c r="C249" s="205"/>
      <c r="D249" s="195"/>
      <c r="E249" s="172"/>
      <c r="F249" s="553" t="str">
        <f>IF(D249="","",VLOOKUP(D249,'G-6 Hedgerow Data'!$B$2:$AG$15,2,FALSE))</f>
        <v/>
      </c>
      <c r="G249" s="499" t="str">
        <f>IF(D249="","",VLOOKUP(D249,'G-6 Hedgerow Data'!$B$2:$AG$15,3,FALSE))</f>
        <v/>
      </c>
      <c r="H249" s="145"/>
      <c r="I249" s="499" t="str">
        <f>IFERROR(VLOOKUP(H249,'G-1 All Habitats'!$Z$2:$AA$9,2,FALSE),"")</f>
        <v/>
      </c>
      <c r="J249" s="145"/>
      <c r="K249" s="520" t="str">
        <f>IF(J249="","",IF(VLOOKUP(J249,'G-3 Multipliers'!$L$3:$N$6,2,FALSE)=0,"Spatial Data Missing ⚠",VLOOKUP(J249,'G-3 Multipliers'!$L$3:$N$6,2,FALSE)))</f>
        <v/>
      </c>
      <c r="L249" s="505" t="str">
        <f>IF(J249="","",IF(VLOOKUP(J249,'G-3 Multipliers'!$L$3:$N$6,3,FALSE)=0,"Spatial Data Missing ⚠",VLOOKUP(J249,'G-3 Multipliers'!$L$3:$N$6,3,FALSE)))</f>
        <v/>
      </c>
      <c r="M249" s="498" t="str">
        <f>IF(OR(D249="",H249=""),"",(INDEX('G-6 Hedgerow Data'!$E$3:$I$15,MATCH(D249,'G-6 Hedgerow Data'!$B$3:$B$15,0),MATCH(H249,'G-6 Hedgerow Data'!$E$2:$I$2,0))))</f>
        <v/>
      </c>
      <c r="N249" s="195"/>
      <c r="O249" s="195"/>
      <c r="P249" s="507" t="str">
        <f t="shared" si="19"/>
        <v/>
      </c>
      <c r="Q249" s="521" t="str">
        <f t="shared" si="20"/>
        <v/>
      </c>
      <c r="R249" s="522" t="str">
        <f t="shared" si="18"/>
        <v/>
      </c>
      <c r="S249" s="537" t="str">
        <f>IF(D249="","",VLOOKUP(D249,'G-6 Hedgerow Data'!$B$3:$AG$15,31,FALSE))</f>
        <v/>
      </c>
      <c r="T249" s="507" t="str">
        <f t="shared" si="21"/>
        <v/>
      </c>
      <c r="U249" s="507" t="str">
        <f t="shared" si="22"/>
        <v/>
      </c>
      <c r="V249" s="524" t="str">
        <f>IF(D249="","",VLOOKUP(S249,'G-3 Multipliers'!$P$3:$Q$6,2,FALSE))</f>
        <v/>
      </c>
      <c r="W249" s="529" t="str">
        <f t="shared" si="23"/>
        <v/>
      </c>
      <c r="X249" s="149"/>
      <c r="Y249" s="150"/>
      <c r="AG249" s="31" t="str">
        <f>IFERROR(INDEX('G-6 Hedgerow Data'!$BJ$3:$BJ$15,MATCH(D249,'G-6 Hedgerow Data'!$B$3:$B$15,0)),"")</f>
        <v/>
      </c>
    </row>
    <row r="250" spans="2:33" ht="13.8" x14ac:dyDescent="0.25">
      <c r="B250" s="141">
        <v>239</v>
      </c>
      <c r="C250" s="205"/>
      <c r="D250" s="195"/>
      <c r="E250" s="172"/>
      <c r="F250" s="553" t="str">
        <f>IF(D250="","",VLOOKUP(D250,'G-6 Hedgerow Data'!$B$2:$AG$15,2,FALSE))</f>
        <v/>
      </c>
      <c r="G250" s="499" t="str">
        <f>IF(D250="","",VLOOKUP(D250,'G-6 Hedgerow Data'!$B$2:$AG$15,3,FALSE))</f>
        <v/>
      </c>
      <c r="H250" s="145"/>
      <c r="I250" s="499" t="str">
        <f>IFERROR(VLOOKUP(H250,'G-1 All Habitats'!$Z$2:$AA$9,2,FALSE),"")</f>
        <v/>
      </c>
      <c r="J250" s="145"/>
      <c r="K250" s="520" t="str">
        <f>IF(J250="","",IF(VLOOKUP(J250,'G-3 Multipliers'!$L$3:$N$6,2,FALSE)=0,"Spatial Data Missing ⚠",VLOOKUP(J250,'G-3 Multipliers'!$L$3:$N$6,2,FALSE)))</f>
        <v/>
      </c>
      <c r="L250" s="505" t="str">
        <f>IF(J250="","",IF(VLOOKUP(J250,'G-3 Multipliers'!$L$3:$N$6,3,FALSE)=0,"Spatial Data Missing ⚠",VLOOKUP(J250,'G-3 Multipliers'!$L$3:$N$6,3,FALSE)))</f>
        <v/>
      </c>
      <c r="M250" s="498" t="str">
        <f>IF(OR(D250="",H250=""),"",(INDEX('G-6 Hedgerow Data'!$E$3:$I$15,MATCH(D250,'G-6 Hedgerow Data'!$B$3:$B$15,0),MATCH(H250,'G-6 Hedgerow Data'!$E$2:$I$2,0))))</f>
        <v/>
      </c>
      <c r="N250" s="195"/>
      <c r="O250" s="195"/>
      <c r="P250" s="507" t="str">
        <f t="shared" si="19"/>
        <v/>
      </c>
      <c r="Q250" s="521" t="str">
        <f t="shared" si="20"/>
        <v/>
      </c>
      <c r="R250" s="522" t="str">
        <f t="shared" si="18"/>
        <v/>
      </c>
      <c r="S250" s="537" t="str">
        <f>IF(D250="","",VLOOKUP(D250,'G-6 Hedgerow Data'!$B$3:$AG$15,31,FALSE))</f>
        <v/>
      </c>
      <c r="T250" s="507" t="str">
        <f t="shared" si="21"/>
        <v/>
      </c>
      <c r="U250" s="507" t="str">
        <f t="shared" si="22"/>
        <v/>
      </c>
      <c r="V250" s="524" t="str">
        <f>IF(D250="","",VLOOKUP(S250,'G-3 Multipliers'!$P$3:$Q$6,2,FALSE))</f>
        <v/>
      </c>
      <c r="W250" s="529" t="str">
        <f t="shared" si="23"/>
        <v/>
      </c>
      <c r="X250" s="149"/>
      <c r="Y250" s="150"/>
      <c r="AG250" s="31" t="str">
        <f>IFERROR(INDEX('G-6 Hedgerow Data'!$BJ$3:$BJ$15,MATCH(D250,'G-6 Hedgerow Data'!$B$3:$B$15,0)),"")</f>
        <v/>
      </c>
    </row>
    <row r="251" spans="2:33" ht="13.8" x14ac:dyDescent="0.25">
      <c r="B251" s="141">
        <v>240</v>
      </c>
      <c r="C251" s="205"/>
      <c r="D251" s="195"/>
      <c r="E251" s="172"/>
      <c r="F251" s="553" t="str">
        <f>IF(D251="","",VLOOKUP(D251,'G-6 Hedgerow Data'!$B$2:$AG$15,2,FALSE))</f>
        <v/>
      </c>
      <c r="G251" s="499" t="str">
        <f>IF(D251="","",VLOOKUP(D251,'G-6 Hedgerow Data'!$B$2:$AG$15,3,FALSE))</f>
        <v/>
      </c>
      <c r="H251" s="145"/>
      <c r="I251" s="499" t="str">
        <f>IFERROR(VLOOKUP(H251,'G-1 All Habitats'!$Z$2:$AA$9,2,FALSE),"")</f>
        <v/>
      </c>
      <c r="J251" s="145"/>
      <c r="K251" s="520" t="str">
        <f>IF(J251="","",IF(VLOOKUP(J251,'G-3 Multipliers'!$L$3:$N$6,2,FALSE)=0,"Spatial Data Missing ⚠",VLOOKUP(J251,'G-3 Multipliers'!$L$3:$N$6,2,FALSE)))</f>
        <v/>
      </c>
      <c r="L251" s="505" t="str">
        <f>IF(J251="","",IF(VLOOKUP(J251,'G-3 Multipliers'!$L$3:$N$6,3,FALSE)=0,"Spatial Data Missing ⚠",VLOOKUP(J251,'G-3 Multipliers'!$L$3:$N$6,3,FALSE)))</f>
        <v/>
      </c>
      <c r="M251" s="498" t="str">
        <f>IF(OR(D251="",H251=""),"",(INDEX('G-6 Hedgerow Data'!$E$3:$I$15,MATCH(D251,'G-6 Hedgerow Data'!$B$3:$B$15,0),MATCH(H251,'G-6 Hedgerow Data'!$E$2:$I$2,0))))</f>
        <v/>
      </c>
      <c r="N251" s="195"/>
      <c r="O251" s="195"/>
      <c r="P251" s="507" t="str">
        <f t="shared" si="19"/>
        <v/>
      </c>
      <c r="Q251" s="521" t="str">
        <f t="shared" si="20"/>
        <v/>
      </c>
      <c r="R251" s="522" t="str">
        <f t="shared" si="18"/>
        <v/>
      </c>
      <c r="S251" s="537" t="str">
        <f>IF(D251="","",VLOOKUP(D251,'G-6 Hedgerow Data'!$B$3:$AG$15,31,FALSE))</f>
        <v/>
      </c>
      <c r="T251" s="507" t="str">
        <f t="shared" si="21"/>
        <v/>
      </c>
      <c r="U251" s="507" t="str">
        <f t="shared" si="22"/>
        <v/>
      </c>
      <c r="V251" s="524" t="str">
        <f>IF(D251="","",VLOOKUP(S251,'G-3 Multipliers'!$P$3:$Q$6,2,FALSE))</f>
        <v/>
      </c>
      <c r="W251" s="529" t="str">
        <f t="shared" si="23"/>
        <v/>
      </c>
      <c r="X251" s="149"/>
      <c r="Y251" s="150"/>
      <c r="AG251" s="31" t="str">
        <f>IFERROR(INDEX('G-6 Hedgerow Data'!$BJ$3:$BJ$15,MATCH(D251,'G-6 Hedgerow Data'!$B$3:$B$15,0)),"")</f>
        <v/>
      </c>
    </row>
    <row r="252" spans="2:33" ht="13.8" x14ac:dyDescent="0.25">
      <c r="B252" s="141">
        <v>241</v>
      </c>
      <c r="C252" s="205"/>
      <c r="D252" s="195"/>
      <c r="E252" s="172"/>
      <c r="F252" s="553" t="str">
        <f>IF(D252="","",VLOOKUP(D252,'G-6 Hedgerow Data'!$B$2:$AG$15,2,FALSE))</f>
        <v/>
      </c>
      <c r="G252" s="499" t="str">
        <f>IF(D252="","",VLOOKUP(D252,'G-6 Hedgerow Data'!$B$2:$AG$15,3,FALSE))</f>
        <v/>
      </c>
      <c r="H252" s="145"/>
      <c r="I252" s="499" t="str">
        <f>IFERROR(VLOOKUP(H252,'G-1 All Habitats'!$Z$2:$AA$9,2,FALSE),"")</f>
        <v/>
      </c>
      <c r="J252" s="145"/>
      <c r="K252" s="520" t="str">
        <f>IF(J252="","",IF(VLOOKUP(J252,'G-3 Multipliers'!$L$3:$N$6,2,FALSE)=0,"Spatial Data Missing ⚠",VLOOKUP(J252,'G-3 Multipliers'!$L$3:$N$6,2,FALSE)))</f>
        <v/>
      </c>
      <c r="L252" s="505" t="str">
        <f>IF(J252="","",IF(VLOOKUP(J252,'G-3 Multipliers'!$L$3:$N$6,3,FALSE)=0,"Spatial Data Missing ⚠",VLOOKUP(J252,'G-3 Multipliers'!$L$3:$N$6,3,FALSE)))</f>
        <v/>
      </c>
      <c r="M252" s="498" t="str">
        <f>IF(OR(D252="",H252=""),"",(INDEX('G-6 Hedgerow Data'!$E$3:$I$15,MATCH(D252,'G-6 Hedgerow Data'!$B$3:$B$15,0),MATCH(H252,'G-6 Hedgerow Data'!$E$2:$I$2,0))))</f>
        <v/>
      </c>
      <c r="N252" s="195"/>
      <c r="O252" s="195"/>
      <c r="P252" s="507" t="str">
        <f t="shared" si="19"/>
        <v/>
      </c>
      <c r="Q252" s="521" t="str">
        <f t="shared" si="20"/>
        <v/>
      </c>
      <c r="R252" s="522" t="str">
        <f t="shared" si="18"/>
        <v/>
      </c>
      <c r="S252" s="537" t="str">
        <f>IF(D252="","",VLOOKUP(D252,'G-6 Hedgerow Data'!$B$3:$AG$15,31,FALSE))</f>
        <v/>
      </c>
      <c r="T252" s="507" t="str">
        <f t="shared" si="21"/>
        <v/>
      </c>
      <c r="U252" s="507" t="str">
        <f t="shared" si="22"/>
        <v/>
      </c>
      <c r="V252" s="524" t="str">
        <f>IF(D252="","",VLOOKUP(S252,'G-3 Multipliers'!$P$3:$Q$6,2,FALSE))</f>
        <v/>
      </c>
      <c r="W252" s="529" t="str">
        <f t="shared" si="23"/>
        <v/>
      </c>
      <c r="X252" s="149"/>
      <c r="Y252" s="150"/>
      <c r="AG252" s="31" t="str">
        <f>IFERROR(INDEX('G-6 Hedgerow Data'!$BJ$3:$BJ$15,MATCH(D252,'G-6 Hedgerow Data'!$B$3:$B$15,0)),"")</f>
        <v/>
      </c>
    </row>
    <row r="253" spans="2:33" ht="13.8" x14ac:dyDescent="0.25">
      <c r="B253" s="141">
        <v>242</v>
      </c>
      <c r="C253" s="205"/>
      <c r="D253" s="195"/>
      <c r="E253" s="172"/>
      <c r="F253" s="553" t="str">
        <f>IF(D253="","",VLOOKUP(D253,'G-6 Hedgerow Data'!$B$2:$AG$15,2,FALSE))</f>
        <v/>
      </c>
      <c r="G253" s="499" t="str">
        <f>IF(D253="","",VLOOKUP(D253,'G-6 Hedgerow Data'!$B$2:$AG$15,3,FALSE))</f>
        <v/>
      </c>
      <c r="H253" s="145"/>
      <c r="I253" s="499" t="str">
        <f>IFERROR(VLOOKUP(H253,'G-1 All Habitats'!$Z$2:$AA$9,2,FALSE),"")</f>
        <v/>
      </c>
      <c r="J253" s="145"/>
      <c r="K253" s="520" t="str">
        <f>IF(J253="","",IF(VLOOKUP(J253,'G-3 Multipliers'!$L$3:$N$6,2,FALSE)=0,"Spatial Data Missing ⚠",VLOOKUP(J253,'G-3 Multipliers'!$L$3:$N$6,2,FALSE)))</f>
        <v/>
      </c>
      <c r="L253" s="505" t="str">
        <f>IF(J253="","",IF(VLOOKUP(J253,'G-3 Multipliers'!$L$3:$N$6,3,FALSE)=0,"Spatial Data Missing ⚠",VLOOKUP(J253,'G-3 Multipliers'!$L$3:$N$6,3,FALSE)))</f>
        <v/>
      </c>
      <c r="M253" s="498" t="str">
        <f>IF(OR(D253="",H253=""),"",(INDEX('G-6 Hedgerow Data'!$E$3:$I$15,MATCH(D253,'G-6 Hedgerow Data'!$B$3:$B$15,0),MATCH(H253,'G-6 Hedgerow Data'!$E$2:$I$2,0))))</f>
        <v/>
      </c>
      <c r="N253" s="195"/>
      <c r="O253" s="195"/>
      <c r="P253" s="507" t="str">
        <f t="shared" si="19"/>
        <v/>
      </c>
      <c r="Q253" s="521" t="str">
        <f t="shared" si="20"/>
        <v/>
      </c>
      <c r="R253" s="522" t="str">
        <f t="shared" si="18"/>
        <v/>
      </c>
      <c r="S253" s="537" t="str">
        <f>IF(D253="","",VLOOKUP(D253,'G-6 Hedgerow Data'!$B$3:$AG$15,31,FALSE))</f>
        <v/>
      </c>
      <c r="T253" s="507" t="str">
        <f t="shared" si="21"/>
        <v/>
      </c>
      <c r="U253" s="507" t="str">
        <f t="shared" si="22"/>
        <v/>
      </c>
      <c r="V253" s="524" t="str">
        <f>IF(D253="","",VLOOKUP(S253,'G-3 Multipliers'!$P$3:$Q$6,2,FALSE))</f>
        <v/>
      </c>
      <c r="W253" s="529" t="str">
        <f t="shared" si="23"/>
        <v/>
      </c>
      <c r="X253" s="149"/>
      <c r="Y253" s="150"/>
      <c r="AG253" s="31" t="str">
        <f>IFERROR(INDEX('G-6 Hedgerow Data'!$BJ$3:$BJ$15,MATCH(D253,'G-6 Hedgerow Data'!$B$3:$B$15,0)),"")</f>
        <v/>
      </c>
    </row>
    <row r="254" spans="2:33" ht="13.8" x14ac:dyDescent="0.25">
      <c r="B254" s="141">
        <v>243</v>
      </c>
      <c r="C254" s="205"/>
      <c r="D254" s="195"/>
      <c r="E254" s="172"/>
      <c r="F254" s="553" t="str">
        <f>IF(D254="","",VLOOKUP(D254,'G-6 Hedgerow Data'!$B$2:$AG$15,2,FALSE))</f>
        <v/>
      </c>
      <c r="G254" s="499" t="str">
        <f>IF(D254="","",VLOOKUP(D254,'G-6 Hedgerow Data'!$B$2:$AG$15,3,FALSE))</f>
        <v/>
      </c>
      <c r="H254" s="145"/>
      <c r="I254" s="499" t="str">
        <f>IFERROR(VLOOKUP(H254,'G-1 All Habitats'!$Z$2:$AA$9,2,FALSE),"")</f>
        <v/>
      </c>
      <c r="J254" s="145"/>
      <c r="K254" s="520" t="str">
        <f>IF(J254="","",IF(VLOOKUP(J254,'G-3 Multipliers'!$L$3:$N$6,2,FALSE)=0,"Spatial Data Missing ⚠",VLOOKUP(J254,'G-3 Multipliers'!$L$3:$N$6,2,FALSE)))</f>
        <v/>
      </c>
      <c r="L254" s="505" t="str">
        <f>IF(J254="","",IF(VLOOKUP(J254,'G-3 Multipliers'!$L$3:$N$6,3,FALSE)=0,"Spatial Data Missing ⚠",VLOOKUP(J254,'G-3 Multipliers'!$L$3:$N$6,3,FALSE)))</f>
        <v/>
      </c>
      <c r="M254" s="498" t="str">
        <f>IF(OR(D254="",H254=""),"",(INDEX('G-6 Hedgerow Data'!$E$3:$I$15,MATCH(D254,'G-6 Hedgerow Data'!$B$3:$B$15,0),MATCH(H254,'G-6 Hedgerow Data'!$E$2:$I$2,0))))</f>
        <v/>
      </c>
      <c r="N254" s="195"/>
      <c r="O254" s="195"/>
      <c r="P254" s="507" t="str">
        <f t="shared" si="19"/>
        <v/>
      </c>
      <c r="Q254" s="521" t="str">
        <f t="shared" si="20"/>
        <v/>
      </c>
      <c r="R254" s="522" t="str">
        <f t="shared" si="18"/>
        <v/>
      </c>
      <c r="S254" s="537" t="str">
        <f>IF(D254="","",VLOOKUP(D254,'G-6 Hedgerow Data'!$B$3:$AG$15,31,FALSE))</f>
        <v/>
      </c>
      <c r="T254" s="507" t="str">
        <f t="shared" si="21"/>
        <v/>
      </c>
      <c r="U254" s="507" t="str">
        <f t="shared" si="22"/>
        <v/>
      </c>
      <c r="V254" s="524" t="str">
        <f>IF(D254="","",VLOOKUP(S254,'G-3 Multipliers'!$P$3:$Q$6,2,FALSE))</f>
        <v/>
      </c>
      <c r="W254" s="529" t="str">
        <f t="shared" si="23"/>
        <v/>
      </c>
      <c r="X254" s="149"/>
      <c r="Y254" s="150"/>
      <c r="AG254" s="31" t="str">
        <f>IFERROR(INDEX('G-6 Hedgerow Data'!$BJ$3:$BJ$15,MATCH(D254,'G-6 Hedgerow Data'!$B$3:$B$15,0)),"")</f>
        <v/>
      </c>
    </row>
    <row r="255" spans="2:33" ht="13.8" x14ac:dyDescent="0.25">
      <c r="B255" s="141">
        <v>244</v>
      </c>
      <c r="C255" s="205"/>
      <c r="D255" s="195"/>
      <c r="E255" s="172"/>
      <c r="F255" s="553" t="str">
        <f>IF(D255="","",VLOOKUP(D255,'G-6 Hedgerow Data'!$B$2:$AG$15,2,FALSE))</f>
        <v/>
      </c>
      <c r="G255" s="499" t="str">
        <f>IF(D255="","",VLOOKUP(D255,'G-6 Hedgerow Data'!$B$2:$AG$15,3,FALSE))</f>
        <v/>
      </c>
      <c r="H255" s="145"/>
      <c r="I255" s="499" t="str">
        <f>IFERROR(VLOOKUP(H255,'G-1 All Habitats'!$Z$2:$AA$9,2,FALSE),"")</f>
        <v/>
      </c>
      <c r="J255" s="145"/>
      <c r="K255" s="520" t="str">
        <f>IF(J255="","",IF(VLOOKUP(J255,'G-3 Multipliers'!$L$3:$N$6,2,FALSE)=0,"Spatial Data Missing ⚠",VLOOKUP(J255,'G-3 Multipliers'!$L$3:$N$6,2,FALSE)))</f>
        <v/>
      </c>
      <c r="L255" s="505" t="str">
        <f>IF(J255="","",IF(VLOOKUP(J255,'G-3 Multipliers'!$L$3:$N$6,3,FALSE)=0,"Spatial Data Missing ⚠",VLOOKUP(J255,'G-3 Multipliers'!$L$3:$N$6,3,FALSE)))</f>
        <v/>
      </c>
      <c r="M255" s="498" t="str">
        <f>IF(OR(D255="",H255=""),"",(INDEX('G-6 Hedgerow Data'!$E$3:$I$15,MATCH(D255,'G-6 Hedgerow Data'!$B$3:$B$15,0),MATCH(H255,'G-6 Hedgerow Data'!$E$2:$I$2,0))))</f>
        <v/>
      </c>
      <c r="N255" s="195"/>
      <c r="O255" s="195"/>
      <c r="P255" s="507" t="str">
        <f t="shared" si="19"/>
        <v/>
      </c>
      <c r="Q255" s="521" t="str">
        <f t="shared" si="20"/>
        <v/>
      </c>
      <c r="R255" s="522" t="str">
        <f t="shared" si="18"/>
        <v/>
      </c>
      <c r="S255" s="537" t="str">
        <f>IF(D255="","",VLOOKUP(D255,'G-6 Hedgerow Data'!$B$3:$AG$15,31,FALSE))</f>
        <v/>
      </c>
      <c r="T255" s="507" t="str">
        <f t="shared" si="21"/>
        <v/>
      </c>
      <c r="U255" s="507" t="str">
        <f t="shared" si="22"/>
        <v/>
      </c>
      <c r="V255" s="524" t="str">
        <f>IF(D255="","",VLOOKUP(S255,'G-3 Multipliers'!$P$3:$Q$6,2,FALSE))</f>
        <v/>
      </c>
      <c r="W255" s="529" t="str">
        <f t="shared" si="23"/>
        <v/>
      </c>
      <c r="X255" s="149"/>
      <c r="Y255" s="150"/>
      <c r="AG255" s="31" t="str">
        <f>IFERROR(INDEX('G-6 Hedgerow Data'!$BJ$3:$BJ$15,MATCH(D255,'G-6 Hedgerow Data'!$B$3:$B$15,0)),"")</f>
        <v/>
      </c>
    </row>
    <row r="256" spans="2:33" ht="13.8" x14ac:dyDescent="0.25">
      <c r="B256" s="141">
        <v>245</v>
      </c>
      <c r="C256" s="205"/>
      <c r="D256" s="195"/>
      <c r="E256" s="172"/>
      <c r="F256" s="553" t="str">
        <f>IF(D256="","",VLOOKUP(D256,'G-6 Hedgerow Data'!$B$2:$AG$15,2,FALSE))</f>
        <v/>
      </c>
      <c r="G256" s="499" t="str">
        <f>IF(D256="","",VLOOKUP(D256,'G-6 Hedgerow Data'!$B$2:$AG$15,3,FALSE))</f>
        <v/>
      </c>
      <c r="H256" s="145"/>
      <c r="I256" s="499" t="str">
        <f>IFERROR(VLOOKUP(H256,'G-1 All Habitats'!$Z$2:$AA$9,2,FALSE),"")</f>
        <v/>
      </c>
      <c r="J256" s="145"/>
      <c r="K256" s="520" t="str">
        <f>IF(J256="","",IF(VLOOKUP(J256,'G-3 Multipliers'!$L$3:$N$6,2,FALSE)=0,"Spatial Data Missing ⚠",VLOOKUP(J256,'G-3 Multipliers'!$L$3:$N$6,2,FALSE)))</f>
        <v/>
      </c>
      <c r="L256" s="505" t="str">
        <f>IF(J256="","",IF(VLOOKUP(J256,'G-3 Multipliers'!$L$3:$N$6,3,FALSE)=0,"Spatial Data Missing ⚠",VLOOKUP(J256,'G-3 Multipliers'!$L$3:$N$6,3,FALSE)))</f>
        <v/>
      </c>
      <c r="M256" s="498" t="str">
        <f>IF(OR(D256="",H256=""),"",(INDEX('G-6 Hedgerow Data'!$E$3:$I$15,MATCH(D256,'G-6 Hedgerow Data'!$B$3:$B$15,0),MATCH(H256,'G-6 Hedgerow Data'!$E$2:$I$2,0))))</f>
        <v/>
      </c>
      <c r="N256" s="195"/>
      <c r="O256" s="195"/>
      <c r="P256" s="507" t="str">
        <f t="shared" si="19"/>
        <v/>
      </c>
      <c r="Q256" s="521" t="str">
        <f t="shared" si="20"/>
        <v/>
      </c>
      <c r="R256" s="522" t="str">
        <f t="shared" si="18"/>
        <v/>
      </c>
      <c r="S256" s="537" t="str">
        <f>IF(D256="","",VLOOKUP(D256,'G-6 Hedgerow Data'!$B$3:$AG$15,31,FALSE))</f>
        <v/>
      </c>
      <c r="T256" s="507" t="str">
        <f t="shared" si="21"/>
        <v/>
      </c>
      <c r="U256" s="507" t="str">
        <f t="shared" si="22"/>
        <v/>
      </c>
      <c r="V256" s="524" t="str">
        <f>IF(D256="","",VLOOKUP(S256,'G-3 Multipliers'!$P$3:$Q$6,2,FALSE))</f>
        <v/>
      </c>
      <c r="W256" s="529" t="str">
        <f t="shared" si="23"/>
        <v/>
      </c>
      <c r="X256" s="149"/>
      <c r="Y256" s="150"/>
      <c r="AG256" s="31" t="str">
        <f>IFERROR(INDEX('G-6 Hedgerow Data'!$BJ$3:$BJ$15,MATCH(D256,'G-6 Hedgerow Data'!$B$3:$B$15,0)),"")</f>
        <v/>
      </c>
    </row>
    <row r="257" spans="2:33" ht="13.8" x14ac:dyDescent="0.25">
      <c r="B257" s="141">
        <v>246</v>
      </c>
      <c r="C257" s="205"/>
      <c r="D257" s="195"/>
      <c r="E257" s="172"/>
      <c r="F257" s="553" t="str">
        <f>IF(D257="","",VLOOKUP(D257,'G-6 Hedgerow Data'!$B$2:$AG$15,2,FALSE))</f>
        <v/>
      </c>
      <c r="G257" s="499" t="str">
        <f>IF(D257="","",VLOOKUP(D257,'G-6 Hedgerow Data'!$B$2:$AG$15,3,FALSE))</f>
        <v/>
      </c>
      <c r="H257" s="145"/>
      <c r="I257" s="499" t="str">
        <f>IFERROR(VLOOKUP(H257,'G-1 All Habitats'!$Z$2:$AA$9,2,FALSE),"")</f>
        <v/>
      </c>
      <c r="J257" s="145"/>
      <c r="K257" s="520" t="str">
        <f>IF(J257="","",IF(VLOOKUP(J257,'G-3 Multipliers'!$L$3:$N$6,2,FALSE)=0,"Spatial Data Missing ⚠",VLOOKUP(J257,'G-3 Multipliers'!$L$3:$N$6,2,FALSE)))</f>
        <v/>
      </c>
      <c r="L257" s="505" t="str">
        <f>IF(J257="","",IF(VLOOKUP(J257,'G-3 Multipliers'!$L$3:$N$6,3,FALSE)=0,"Spatial Data Missing ⚠",VLOOKUP(J257,'G-3 Multipliers'!$L$3:$N$6,3,FALSE)))</f>
        <v/>
      </c>
      <c r="M257" s="498" t="str">
        <f>IF(OR(D257="",H257=""),"",(INDEX('G-6 Hedgerow Data'!$E$3:$I$15,MATCH(D257,'G-6 Hedgerow Data'!$B$3:$B$15,0),MATCH(H257,'G-6 Hedgerow Data'!$E$2:$I$2,0))))</f>
        <v/>
      </c>
      <c r="N257" s="195"/>
      <c r="O257" s="195"/>
      <c r="P257" s="507" t="str">
        <f t="shared" si="19"/>
        <v/>
      </c>
      <c r="Q257" s="521" t="str">
        <f t="shared" si="20"/>
        <v/>
      </c>
      <c r="R257" s="522" t="str">
        <f t="shared" si="18"/>
        <v/>
      </c>
      <c r="S257" s="537" t="str">
        <f>IF(D257="","",VLOOKUP(D257,'G-6 Hedgerow Data'!$B$3:$AG$15,31,FALSE))</f>
        <v/>
      </c>
      <c r="T257" s="507" t="str">
        <f t="shared" si="21"/>
        <v/>
      </c>
      <c r="U257" s="507" t="str">
        <f t="shared" si="22"/>
        <v/>
      </c>
      <c r="V257" s="524" t="str">
        <f>IF(D257="","",VLOOKUP(S257,'G-3 Multipliers'!$P$3:$Q$6,2,FALSE))</f>
        <v/>
      </c>
      <c r="W257" s="529" t="str">
        <f t="shared" si="23"/>
        <v/>
      </c>
      <c r="X257" s="149"/>
      <c r="Y257" s="150"/>
      <c r="AG257" s="31" t="str">
        <f>IFERROR(INDEX('G-6 Hedgerow Data'!$BJ$3:$BJ$15,MATCH(D257,'G-6 Hedgerow Data'!$B$3:$B$15,0)),"")</f>
        <v/>
      </c>
    </row>
    <row r="258" spans="2:33" ht="13.8" x14ac:dyDescent="0.25">
      <c r="B258" s="141">
        <v>247</v>
      </c>
      <c r="C258" s="205"/>
      <c r="D258" s="195"/>
      <c r="E258" s="172"/>
      <c r="F258" s="553" t="str">
        <f>IF(D258="","",VLOOKUP(D258,'G-6 Hedgerow Data'!$B$2:$AG$15,2,FALSE))</f>
        <v/>
      </c>
      <c r="G258" s="499" t="str">
        <f>IF(D258="","",VLOOKUP(D258,'G-6 Hedgerow Data'!$B$2:$AG$15,3,FALSE))</f>
        <v/>
      </c>
      <c r="H258" s="145"/>
      <c r="I258" s="499" t="str">
        <f>IFERROR(VLOOKUP(H258,'G-1 All Habitats'!$Z$2:$AA$9,2,FALSE),"")</f>
        <v/>
      </c>
      <c r="J258" s="145"/>
      <c r="K258" s="520" t="str">
        <f>IF(J258="","",IF(VLOOKUP(J258,'G-3 Multipliers'!$L$3:$N$6,2,FALSE)=0,"Spatial Data Missing ⚠",VLOOKUP(J258,'G-3 Multipliers'!$L$3:$N$6,2,FALSE)))</f>
        <v/>
      </c>
      <c r="L258" s="505" t="str">
        <f>IF(J258="","",IF(VLOOKUP(J258,'G-3 Multipliers'!$L$3:$N$6,3,FALSE)=0,"Spatial Data Missing ⚠",VLOOKUP(J258,'G-3 Multipliers'!$L$3:$N$6,3,FALSE)))</f>
        <v/>
      </c>
      <c r="M258" s="498" t="str">
        <f>IF(OR(D258="",H258=""),"",(INDEX('G-6 Hedgerow Data'!$E$3:$I$15,MATCH(D258,'G-6 Hedgerow Data'!$B$3:$B$15,0),MATCH(H258,'G-6 Hedgerow Data'!$E$2:$I$2,0))))</f>
        <v/>
      </c>
      <c r="N258" s="195"/>
      <c r="O258" s="195"/>
      <c r="P258" s="507" t="str">
        <f t="shared" si="19"/>
        <v/>
      </c>
      <c r="Q258" s="521" t="str">
        <f t="shared" si="20"/>
        <v/>
      </c>
      <c r="R258" s="522" t="str">
        <f t="shared" si="18"/>
        <v/>
      </c>
      <c r="S258" s="537" t="str">
        <f>IF(D258="","",VLOOKUP(D258,'G-6 Hedgerow Data'!$B$3:$AG$15,31,FALSE))</f>
        <v/>
      </c>
      <c r="T258" s="507" t="str">
        <f t="shared" si="21"/>
        <v/>
      </c>
      <c r="U258" s="507" t="str">
        <f t="shared" si="22"/>
        <v/>
      </c>
      <c r="V258" s="524" t="str">
        <f>IF(D258="","",VLOOKUP(S258,'G-3 Multipliers'!$P$3:$Q$6,2,FALSE))</f>
        <v/>
      </c>
      <c r="W258" s="529" t="str">
        <f t="shared" si="23"/>
        <v/>
      </c>
      <c r="X258" s="149"/>
      <c r="Y258" s="150"/>
      <c r="AG258" s="31" t="str">
        <f>IFERROR(INDEX('G-6 Hedgerow Data'!$BJ$3:$BJ$15,MATCH(D258,'G-6 Hedgerow Data'!$B$3:$B$15,0)),"")</f>
        <v/>
      </c>
    </row>
    <row r="259" spans="2:33" ht="14.4" thickBot="1" x14ac:dyDescent="0.3">
      <c r="B259" s="158">
        <v>248</v>
      </c>
      <c r="C259" s="311"/>
      <c r="D259" s="206"/>
      <c r="E259" s="160"/>
      <c r="F259" s="528" t="str">
        <f>IF(D259="","",VLOOKUP(D259,'G-6 Hedgerow Data'!$B$2:$AG$15,2,FALSE))</f>
        <v/>
      </c>
      <c r="G259" s="499" t="str">
        <f>IF(D259="","",VLOOKUP(D259,'G-6 Hedgerow Data'!$B$2:$AG$15,3,FALSE))</f>
        <v/>
      </c>
      <c r="H259" s="161"/>
      <c r="I259" s="501" t="str">
        <f>IFERROR(VLOOKUP(H259,'G-1 All Habitats'!$Z$2:$AA$9,2,FALSE),"")</f>
        <v/>
      </c>
      <c r="J259" s="161"/>
      <c r="K259" s="508" t="str">
        <f>IF(J259="","",IF(VLOOKUP(J259,'G-3 Multipliers'!$L$3:$N$6,2,FALSE)=0,"Spatial Data Missing ⚠",VLOOKUP(J259,'G-3 Multipliers'!$L$3:$N$6,2,FALSE)))</f>
        <v/>
      </c>
      <c r="L259" s="509" t="str">
        <f>IF(J259="","",IF(VLOOKUP(J259,'G-3 Multipliers'!$L$3:$N$6,3,FALSE)=0,"Spatial Data Missing ⚠",VLOOKUP(J259,'G-3 Multipliers'!$L$3:$N$6,3,FALSE)))</f>
        <v/>
      </c>
      <c r="M259" s="500" t="str">
        <f>IF(OR(D259="",H259=""),"",(INDEX('G-6 Hedgerow Data'!$E$3:$I$15,MATCH(D259,'G-6 Hedgerow Data'!$B$3:$B$15,0),MATCH(H259,'G-6 Hedgerow Data'!$E$2:$I$2,0))))</f>
        <v/>
      </c>
      <c r="N259" s="195"/>
      <c r="O259" s="206"/>
      <c r="P259" s="507" t="str">
        <f t="shared" si="19"/>
        <v/>
      </c>
      <c r="Q259" s="521" t="str">
        <f t="shared" si="20"/>
        <v/>
      </c>
      <c r="R259" s="527" t="str">
        <f t="shared" si="18"/>
        <v/>
      </c>
      <c r="S259" s="500" t="str">
        <f>IF(D259="","",VLOOKUP(D259,'G-6 Hedgerow Data'!$B$3:$AG$15,31,FALSE))</f>
        <v/>
      </c>
      <c r="T259" s="507" t="str">
        <f t="shared" si="21"/>
        <v/>
      </c>
      <c r="U259" s="507" t="str">
        <f t="shared" si="22"/>
        <v/>
      </c>
      <c r="V259" s="501" t="str">
        <f>IF(D259="","",VLOOKUP(S259,'G-3 Multipliers'!$P$3:$Q$6,2,FALSE))</f>
        <v/>
      </c>
      <c r="W259" s="530" t="str">
        <f t="shared" si="23"/>
        <v/>
      </c>
      <c r="X259" s="163"/>
      <c r="Y259" s="164"/>
      <c r="AG259" s="31" t="str">
        <f>IFERROR(INDEX('G-6 Hedgerow Data'!$BJ$3:$BJ$15,MATCH(D259,'G-6 Hedgerow Data'!$B$3:$B$15,0)),"")</f>
        <v/>
      </c>
    </row>
    <row r="260" spans="2:33" ht="15.75" customHeight="1" thickBot="1" x14ac:dyDescent="0.3">
      <c r="B260" s="46"/>
      <c r="C260" s="46"/>
      <c r="D260" s="277"/>
      <c r="E260" s="503">
        <f>SUM(E12:E259)</f>
        <v>0.14399999999999999</v>
      </c>
      <c r="F260" s="46"/>
      <c r="G260" s="46"/>
      <c r="H260" s="46"/>
      <c r="I260" s="46"/>
      <c r="J260" s="46"/>
      <c r="K260" s="46"/>
      <c r="L260" s="46"/>
      <c r="M260" s="46"/>
      <c r="N260" s="46"/>
      <c r="O260" s="46"/>
      <c r="P260" s="46"/>
      <c r="Q260" s="46"/>
      <c r="R260" s="46"/>
      <c r="S260" s="46"/>
      <c r="T260" s="46"/>
      <c r="U260" s="983"/>
      <c r="V260" s="984"/>
      <c r="W260" s="503">
        <f>SUM(W12:W259)</f>
        <v>0.94390381141687985</v>
      </c>
      <c r="X260" s="46"/>
      <c r="Y260" s="46"/>
    </row>
    <row r="261" spans="2:33" ht="28.95" customHeight="1" x14ac:dyDescent="0.25">
      <c r="E261" s="981"/>
      <c r="F261" s="981"/>
      <c r="G261" s="981"/>
      <c r="H261" s="981"/>
      <c r="I261" s="981"/>
      <c r="J261" s="981"/>
    </row>
    <row r="262" spans="2:33" ht="27" customHeight="1" x14ac:dyDescent="0.25"/>
    <row r="263" spans="2:33" ht="13.8" x14ac:dyDescent="0.25"/>
    <row r="264" spans="2:33" ht="13.8" x14ac:dyDescent="0.25"/>
    <row r="265" spans="2:33" ht="13.8" x14ac:dyDescent="0.25"/>
    <row r="266" spans="2:33" ht="13.8" x14ac:dyDescent="0.25"/>
    <row r="267" spans="2:33" ht="13.8" x14ac:dyDescent="0.25"/>
    <row r="268" spans="2:33" ht="13.8" x14ac:dyDescent="0.25"/>
  </sheetData>
  <sheetProtection algorithmName="SHA-512" hashValue="B4/85q9Hcg51igq2vtp6l/Ztkm1N9X/1T9F3PtU4Pg9stXU8FnbJv4JUeNo0w2/VaJTN41+7ojBJyhDbBHu3vA==" saltValue="gilfv+GP3AvHxu7d0mRAyg=="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3">
    <mergeCell ref="E261:J261"/>
    <mergeCell ref="W10:W11"/>
    <mergeCell ref="X10:Y10"/>
    <mergeCell ref="B2:D2"/>
    <mergeCell ref="B3:D4"/>
    <mergeCell ref="D10:E10"/>
    <mergeCell ref="H10:I10"/>
    <mergeCell ref="J10:L10"/>
    <mergeCell ref="S10:V10"/>
    <mergeCell ref="M10:R10"/>
    <mergeCell ref="F10:G10"/>
    <mergeCell ref="U260:V260"/>
    <mergeCell ref="M3:R5"/>
  </mergeCells>
  <conditionalFormatting sqref="W12:W259">
    <cfRule type="containsText" dxfId="125" priority="12" operator="containsText" text="Existing Value Not Required">
      <formula>NOT(ISERROR(SEARCH("Existing Value Not Required",W12)))</formula>
    </cfRule>
    <cfRule type="containsText" dxfId="124" priority="13" operator="containsText" text="Existing Value Required">
      <formula>NOT(ISERROR(SEARCH("Existing Value Required",W12)))</formula>
    </cfRule>
  </conditionalFormatting>
  <conditionalFormatting sqref="K12:K259">
    <cfRule type="containsText" dxfId="123" priority="11" operator="containsText" text="Spatial">
      <formula>NOT(ISERROR(SEARCH("Spatial",K12)))</formula>
    </cfRule>
  </conditionalFormatting>
  <conditionalFormatting sqref="L12:L259">
    <cfRule type="containsText" dxfId="122" priority="10" operator="containsText" text="Spatial">
      <formula>NOT(ISERROR(SEARCH("Spatial",L12)))</formula>
    </cfRule>
  </conditionalFormatting>
  <conditionalFormatting sqref="M6:Q7 M3">
    <cfRule type="containsText" dxfId="121" priority="9" operator="containsText" text="Note">
      <formula>NOT(ISERROR(SEARCH("Note",M3)))</formula>
    </cfRule>
  </conditionalFormatting>
  <conditionalFormatting sqref="P12:P259">
    <cfRule type="containsText" dxfId="120" priority="7" operator="containsText" text="Check">
      <formula>NOT(ISERROR(SEARCH("Check",P12)))</formula>
    </cfRule>
    <cfRule type="containsText" dxfId="119" priority="8" operator="containsText" text="Error">
      <formula>NOT(ISERROR(SEARCH("Error",P12)))</formula>
    </cfRule>
  </conditionalFormatting>
  <conditionalFormatting sqref="Q12:Q259">
    <cfRule type="containsText" dxfId="118" priority="6" operator="containsText" text="Check">
      <formula>NOT(ISERROR(SEARCH("Check",Q12)))</formula>
    </cfRule>
  </conditionalFormatting>
  <conditionalFormatting sqref="R12:R259">
    <cfRule type="containsText" dxfId="117" priority="5" operator="containsText" text="Check">
      <formula>NOT(ISERROR(SEARCH("Check",R12)))</formula>
    </cfRule>
  </conditionalFormatting>
  <conditionalFormatting sqref="T12:T259">
    <cfRule type="containsText" dxfId="116" priority="3" operator="containsText" text="No - Low Difficulty">
      <formula>NOT(ISERROR(SEARCH("No - Low Difficulty",T12)))</formula>
    </cfRule>
    <cfRule type="containsText" dxfId="115" priority="4" operator="containsText" text="Check">
      <formula>NOT(ISERROR(SEARCH("Check",T12)))</formula>
    </cfRule>
  </conditionalFormatting>
  <conditionalFormatting sqref="E261:J261">
    <cfRule type="containsText" dxfId="114" priority="2" operator="containsText" text="Check">
      <formula>NOT(ISERROR(SEARCH("Check",E261)))</formula>
    </cfRule>
  </conditionalFormatting>
  <conditionalFormatting sqref="Q12:Q259">
    <cfRule type="containsText" dxfId="113" priority="1" operator="containsText" text="30+">
      <formula>NOT(ISERROR(SEARCH("30+",Q12)))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multipliers'!$A$41:$A$72</xm:f>
          </x14:formula1>
          <xm:sqref>N12:O259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showRowColHeaders="0" zoomScaleNormal="100" workbookViewId="0">
      <pane ySplit="11" topLeftCell="A12" activePane="bottomLeft" state="frozen"/>
      <selection activeCell="S28" sqref="S28"/>
      <selection pane="bottomLeft" activeCell="B3" sqref="B3:D4"/>
    </sheetView>
  </sheetViews>
  <sheetFormatPr defaultColWidth="0" defaultRowHeight="0" customHeight="1" zeroHeight="1" x14ac:dyDescent="0.25"/>
  <cols>
    <col min="1" max="1" width="2.88671875" style="31" customWidth="1"/>
    <col min="2" max="2" width="10" style="31" customWidth="1"/>
    <col min="3" max="3" width="53.33203125" style="31" customWidth="1"/>
    <col min="4" max="4" width="9" style="31" customWidth="1"/>
    <col min="5" max="5" width="18.6640625" style="31" customWidth="1"/>
    <col min="6" max="6" width="17.5546875" style="31" customWidth="1"/>
    <col min="7" max="7" width="18.109375" style="31" customWidth="1"/>
    <col min="8" max="11" width="19.33203125" style="31" customWidth="1"/>
    <col min="12" max="12" width="33.44140625" style="31" customWidth="1"/>
    <col min="13" max="13" width="68.6640625" style="31" customWidth="1"/>
    <col min="14" max="15" width="34.33203125" style="31" customWidth="1"/>
    <col min="16" max="16" width="10.33203125" style="31" customWidth="1"/>
    <col min="17" max="17" width="17.5546875" style="31" customWidth="1"/>
    <col min="18" max="18" width="13.109375" style="31" customWidth="1"/>
    <col min="19" max="19" width="12.5546875" style="31" bestFit="1" customWidth="1"/>
    <col min="20" max="20" width="12.5546875" style="31" customWidth="1"/>
    <col min="21" max="21" width="41.6640625" style="31" customWidth="1"/>
    <col min="22" max="22" width="15.44140625" style="31" customWidth="1"/>
    <col min="23" max="23" width="12.33203125" style="31" customWidth="1"/>
    <col min="24" max="24" width="18.88671875" style="31" customWidth="1"/>
    <col min="25" max="25" width="21.6640625" style="31" customWidth="1"/>
    <col min="26" max="26" width="22.88671875" style="31" customWidth="1"/>
    <col min="27" max="27" width="33.5546875" style="31" customWidth="1"/>
    <col min="28" max="28" width="18.88671875" style="31" customWidth="1"/>
    <col min="29" max="29" width="15.33203125" style="31" customWidth="1"/>
    <col min="30" max="30" width="15.6640625" style="31" customWidth="1"/>
    <col min="31" max="31" width="24" style="31" customWidth="1"/>
    <col min="32" max="32" width="22.109375" style="31" customWidth="1"/>
    <col min="33" max="33" width="13.44140625" style="31" customWidth="1"/>
    <col min="34" max="34" width="12.6640625" style="31" customWidth="1"/>
    <col min="35" max="36" width="34.88671875" style="31" customWidth="1"/>
    <col min="37" max="45" width="8.88671875" style="31" customWidth="1"/>
    <col min="46" max="46" width="15.6640625" style="31" hidden="1" customWidth="1"/>
    <col min="47" max="16384" width="8.88671875" style="31" hidden="1"/>
  </cols>
  <sheetData>
    <row r="1" spans="2:46" ht="15.75" customHeight="1" thickBot="1" x14ac:dyDescent="0.3"/>
    <row r="2" spans="2:46" ht="19.95" customHeight="1" thickBot="1" x14ac:dyDescent="0.3">
      <c r="B2" s="987" t="str">
        <f>IF(Start!F12="","",Start!F12)</f>
        <v>Land at Doncaster Road, Goldthorpe, Rotherham</v>
      </c>
      <c r="C2" s="988"/>
      <c r="D2" s="989"/>
      <c r="O2" s="132"/>
      <c r="X2" s="919" t="str">
        <f>IF(OR(COUNTIF($X$12:X257,"*30+*")&gt;0,COUNTIF($AB$12:AB257,"*30+*")&gt;0),"Note; Habitat selected has a time to target condition greater than 30 years. Non standard agreement may be required.","")</f>
        <v/>
      </c>
      <c r="Y2" s="919"/>
      <c r="Z2" s="919"/>
      <c r="AA2" s="919"/>
      <c r="AB2" s="919"/>
      <c r="AC2" s="919"/>
    </row>
    <row r="3" spans="2:46" ht="21" customHeight="1" x14ac:dyDescent="0.25">
      <c r="B3" s="941" t="str">
        <f ca="1">MID(CELL("filename",A1),FIND("]",CELL("filename",A1))+1,256)</f>
        <v>B-3 Site Hedge Enhancement</v>
      </c>
      <c r="C3" s="942"/>
      <c r="D3" s="943"/>
      <c r="X3" s="919"/>
      <c r="Y3" s="919"/>
      <c r="Z3" s="919"/>
      <c r="AA3" s="919"/>
      <c r="AB3" s="919"/>
      <c r="AC3" s="919"/>
    </row>
    <row r="4" spans="2:46" ht="15.75" customHeight="1" thickBot="1" x14ac:dyDescent="0.35">
      <c r="B4" s="944"/>
      <c r="C4" s="945"/>
      <c r="D4" s="946"/>
      <c r="V4" s="33"/>
      <c r="W4" s="193"/>
      <c r="X4" s="919"/>
      <c r="Y4" s="919"/>
      <c r="Z4" s="919"/>
      <c r="AA4" s="919"/>
      <c r="AB4" s="919"/>
      <c r="AC4" s="919"/>
      <c r="AD4" s="193"/>
      <c r="AE4" s="193"/>
      <c r="AF4" s="193"/>
      <c r="AG4" s="193"/>
      <c r="AH4" s="193"/>
      <c r="AI4" s="193"/>
      <c r="AJ4" s="193"/>
    </row>
    <row r="5" spans="2:46" ht="15.75" customHeight="1" x14ac:dyDescent="0.25">
      <c r="X5" s="403"/>
      <c r="Y5" s="403"/>
      <c r="Z5" s="403"/>
      <c r="AA5" s="403"/>
      <c r="AB5" s="403"/>
    </row>
    <row r="6" spans="2:46" ht="15.75" customHeight="1" x14ac:dyDescent="0.25">
      <c r="X6" s="403"/>
      <c r="Y6" s="403"/>
      <c r="Z6" s="403"/>
      <c r="AA6" s="403"/>
      <c r="AB6" s="403"/>
    </row>
    <row r="7" spans="2:46" ht="13.8" x14ac:dyDescent="0.25">
      <c r="B7" s="132"/>
      <c r="C7" s="132"/>
      <c r="M7" s="131"/>
    </row>
    <row r="8" spans="2:46" ht="19.95" customHeight="1" thickBot="1" x14ac:dyDescent="0.3"/>
    <row r="9" spans="2:46" ht="14.4" thickBot="1" x14ac:dyDescent="0.3">
      <c r="C9" s="131"/>
      <c r="D9" s="131"/>
      <c r="E9" s="131"/>
      <c r="F9" s="131"/>
      <c r="G9" s="131"/>
      <c r="H9" s="131"/>
      <c r="I9" s="131"/>
      <c r="J9" s="131"/>
      <c r="K9" s="131"/>
      <c r="L9" s="131"/>
      <c r="M9" s="990" t="s">
        <v>225</v>
      </c>
      <c r="N9" s="991"/>
      <c r="O9" s="991"/>
      <c r="P9" s="991"/>
      <c r="Q9" s="991"/>
      <c r="R9" s="991"/>
      <c r="S9" s="991"/>
      <c r="T9" s="991"/>
      <c r="U9" s="991"/>
      <c r="V9" s="991"/>
      <c r="W9" s="991"/>
      <c r="X9" s="991"/>
      <c r="Y9" s="991"/>
      <c r="Z9" s="991"/>
      <c r="AA9" s="991"/>
      <c r="AB9" s="991"/>
      <c r="AC9" s="991"/>
      <c r="AD9" s="991"/>
      <c r="AE9" s="991"/>
      <c r="AF9" s="991"/>
      <c r="AG9" s="992"/>
    </row>
    <row r="10" spans="2:46" ht="28.2" customHeight="1" thickBot="1" x14ac:dyDescent="0.3">
      <c r="B10" s="198"/>
      <c r="C10" s="986" t="s">
        <v>306</v>
      </c>
      <c r="D10" s="986"/>
      <c r="E10" s="986"/>
      <c r="F10" s="986"/>
      <c r="G10" s="986"/>
      <c r="H10" s="986"/>
      <c r="I10" s="986"/>
      <c r="J10" s="986"/>
      <c r="K10" s="986"/>
      <c r="L10" s="986"/>
      <c r="M10" s="939" t="s">
        <v>307</v>
      </c>
      <c r="N10" s="993" t="s">
        <v>308</v>
      </c>
      <c r="O10" s="993"/>
      <c r="P10" s="939" t="s">
        <v>294</v>
      </c>
      <c r="Q10" s="880" t="s">
        <v>189</v>
      </c>
      <c r="R10" s="878"/>
      <c r="S10" s="956" t="s">
        <v>190</v>
      </c>
      <c r="T10" s="878"/>
      <c r="U10" s="950" t="s">
        <v>191</v>
      </c>
      <c r="V10" s="950"/>
      <c r="W10" s="950"/>
      <c r="X10" s="967" t="s">
        <v>228</v>
      </c>
      <c r="Y10" s="968"/>
      <c r="Z10" s="968"/>
      <c r="AA10" s="968"/>
      <c r="AB10" s="968"/>
      <c r="AC10" s="969"/>
      <c r="AD10" s="940" t="s">
        <v>252</v>
      </c>
      <c r="AE10" s="940"/>
      <c r="AF10" s="940"/>
      <c r="AG10" s="940"/>
      <c r="AH10" s="940" t="s">
        <v>302</v>
      </c>
      <c r="AI10" s="959" t="s">
        <v>196</v>
      </c>
      <c r="AJ10" s="950"/>
    </row>
    <row r="11" spans="2:46" ht="61.5" customHeight="1" x14ac:dyDescent="0.25">
      <c r="B11" s="135" t="s">
        <v>254</v>
      </c>
      <c r="C11" s="136" t="s">
        <v>255</v>
      </c>
      <c r="D11" s="136" t="s">
        <v>294</v>
      </c>
      <c r="E11" s="136" t="s">
        <v>257</v>
      </c>
      <c r="F11" s="136" t="s">
        <v>258</v>
      </c>
      <c r="G11" s="136" t="s">
        <v>259</v>
      </c>
      <c r="H11" s="136" t="s">
        <v>260</v>
      </c>
      <c r="I11" s="136" t="s">
        <v>261</v>
      </c>
      <c r="J11" s="136" t="s">
        <v>262</v>
      </c>
      <c r="K11" s="136" t="s">
        <v>263</v>
      </c>
      <c r="L11" s="137" t="s">
        <v>309</v>
      </c>
      <c r="M11" s="940"/>
      <c r="N11" s="368" t="s">
        <v>310</v>
      </c>
      <c r="O11" s="202" t="s">
        <v>311</v>
      </c>
      <c r="P11" s="940"/>
      <c r="Q11" s="141" t="s">
        <v>189</v>
      </c>
      <c r="R11" s="359" t="s">
        <v>206</v>
      </c>
      <c r="S11" s="369" t="s">
        <v>190</v>
      </c>
      <c r="T11" s="359" t="s">
        <v>206</v>
      </c>
      <c r="U11" s="368" t="s">
        <v>191</v>
      </c>
      <c r="V11" s="201" t="s">
        <v>191</v>
      </c>
      <c r="W11" s="202" t="s">
        <v>231</v>
      </c>
      <c r="X11" s="368" t="s">
        <v>304</v>
      </c>
      <c r="Y11" s="201" t="s">
        <v>268</v>
      </c>
      <c r="Z11" s="201" t="s">
        <v>269</v>
      </c>
      <c r="AA11" s="201" t="s">
        <v>235</v>
      </c>
      <c r="AB11" s="201" t="s">
        <v>236</v>
      </c>
      <c r="AC11" s="202" t="s">
        <v>312</v>
      </c>
      <c r="AD11" s="368" t="s">
        <v>313</v>
      </c>
      <c r="AE11" s="201" t="s">
        <v>305</v>
      </c>
      <c r="AF11" s="201" t="s">
        <v>314</v>
      </c>
      <c r="AG11" s="202" t="s">
        <v>241</v>
      </c>
      <c r="AH11" s="985"/>
      <c r="AI11" s="369" t="s">
        <v>215</v>
      </c>
      <c r="AJ11" s="359" t="s">
        <v>216</v>
      </c>
      <c r="AT11" s="131" t="s">
        <v>200</v>
      </c>
    </row>
    <row r="12" spans="2:46" ht="13.8" x14ac:dyDescent="0.25">
      <c r="B12" s="531" t="str">
        <f>'B-1 Site Hedge Baseline'!AK10</f>
        <v/>
      </c>
      <c r="C12" s="520" t="str">
        <f>IF(B12="","",IF(ISNA(VLOOKUP($B12,'B-1 Site Hedge Baseline'!$B$1:$L$257,3,FALSE)),"",(VLOOKUP($B12,'B-1 Site Hedge Baseline'!$B$1:$L$257,3,FALSE))))</f>
        <v/>
      </c>
      <c r="D12" s="520" t="str">
        <f>IF(B12="","",IF(ISNA(VLOOKUP($B12,'B-1 Site Hedge Baseline'!$B$1:$L$257,4,FALSE)),"",(VLOOKUP($B12,'B-1 Site Hedge Baseline'!$B$1:$L$257,4,FALSE))))</f>
        <v/>
      </c>
      <c r="E12" s="520" t="str">
        <f>IF(B12="","",IF(ISNA(VLOOKUP($B12,'B-1 Site Hedge Baseline'!$B$1:$L$257,5,FALSE)),"",(VLOOKUP($B12,'B-1 Site Hedge Baseline'!$B$1:$L$257,5,FALSE))))</f>
        <v/>
      </c>
      <c r="F12" s="520" t="str">
        <f>IF(B12="","",IF(ISNA(VLOOKUP($B12,'B-1 Site Hedge Baseline'!$B$1:$L$257,6,FALSE)),"",(VLOOKUP($B12,'B-1 Site Hedge Baseline'!$B$1:$L$257,6,FALSE))))</f>
        <v/>
      </c>
      <c r="G12" s="520" t="str">
        <f>IF(B12="","",IF(ISNA(VLOOKUP($B12,'B-1 Site Hedge Baseline'!$B$1:$L$257,7,FALSE)),"",(VLOOKUP($B12,'B-1 Site Hedge Baseline'!$B$1:$L$257,7,FALSE))))</f>
        <v/>
      </c>
      <c r="H12" s="520" t="str">
        <f>IF(B12="","",IF(ISNA(VLOOKUP($B12,'B-1 Site Hedge Baseline'!$B$1:$L$257,8,FALSE)),"",(VLOOKUP($B12,'B-1 Site Hedge Baseline'!$B$1:$L$257,8,FALSE))))</f>
        <v/>
      </c>
      <c r="I12" s="520" t="str">
        <f>IF(B12="","",IF(ISNA(VLOOKUP($B12,'B-1 Site Hedge Baseline'!$B$1:$L$257,10,FALSE)),"",(VLOOKUP($B12,'B-1 Site Hedge Baseline'!$B$1:$L$257,10,FALSE))))</f>
        <v/>
      </c>
      <c r="J12" s="520" t="str">
        <f>IF(B12="","",IF(ISNA(VLOOKUP($B12,'B-1 Site Hedge Baseline'!$B$1:$L$257,11,FALSE)),"",(VLOOKUP($B12,'B-1 Site Hedge Baseline'!$B$1:$L$257,11,FALSE))))</f>
        <v/>
      </c>
      <c r="K12" s="520" t="str">
        <f>IF(B12="","",IF(ISNA(VLOOKUP($B12,'B-1 Site Hedge Baseline'!$B$1:$U$257,13,FALSE)),"",(VLOOKUP($B12,'B-1 Site Hedge Baseline'!$B$1:$U$257,13,FALSE))))</f>
        <v/>
      </c>
      <c r="L12" s="524" t="str">
        <f>IF(B12="","",IF(ISNA(VLOOKUP($B12,'B-1 Site Hedge Baseline'!$B$1:$U$257,12,FALSE)),"",(VLOOKUP($B12,'B-1 Site Hedge Baseline'!$B$1:$U$257,12,FALSE))))</f>
        <v/>
      </c>
      <c r="M12" s="415" t="str">
        <f t="shared" ref="M12:M77" si="0">IF(B12="","",C12)</f>
        <v/>
      </c>
      <c r="N12" s="498" t="str">
        <f>IFERROR(IF(B12="","",INDEX('G-6 Hedgerow Data'!$AN$3:$AZ$15,MATCH(C12,'G-6 Hedgerow Data'!$AM$3:$AM$15,0),MATCH(M12,'G-6 Hedgerow Data'!$AN$2:$AZ$2,0))),"")</f>
        <v/>
      </c>
      <c r="O12" s="499"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59" t="str">
        <f>IF(B12="","",VLOOKUP(B12,'B-1 Site Hedge Baseline'!$B$10:T257,16,FALSE))</f>
        <v/>
      </c>
      <c r="Q12" s="498" t="str">
        <f>IF(M12="","",VLOOKUP(M12,'G-6 Hedgerow Data'!$B$2:$AG$15,2,FALSE))</f>
        <v/>
      </c>
      <c r="R12" s="499" t="str">
        <f>IF(M12="","",VLOOKUP(M12,'G-6 Hedgerow Data'!$B$2:$AG$15,3,FALSE))</f>
        <v/>
      </c>
      <c r="S12" s="72"/>
      <c r="T12" s="540" t="str">
        <f>IFERROR(VLOOKUP(S12,'G-1 All Habitats'!$Z$2:$AA$9,2,FALSE),"")</f>
        <v/>
      </c>
      <c r="U12" s="146"/>
      <c r="V12" s="520" t="str">
        <f>IF(U12="","",IF(VLOOKUP(U12,'G-3 Multipliers'!$L$3:$N$6,2,FALSE)=0,"Spatial Data Missing ⚠",VLOOKUP(U12,'G-3 Multipliers'!$L$3:$N$6,2,FALSE)))</f>
        <v/>
      </c>
      <c r="W12" s="524" t="str">
        <f>IF(U12="","",IF(VLOOKUP(U12,'G-3 Multipliers'!$L$3:$N$6,3,FALSE)=0,"Spatial Data Missing ⚠",VLOOKUP(U12,'G-3 Multipliers'!$L$3:$N$6,3,FALSE)))</f>
        <v/>
      </c>
      <c r="X12" s="498"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7"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1" t="str">
        <f>IF(X12="","",IF(AA12="Check Data ⚠","Check Data ⚠",IF(Y12="30+",0,IF(Z12="30+","30+ ⚠",IF(X12+Z12&gt;30,"30+ 'C-1 Site River Baseline'!",IF(LEFT(AA12,5)="Error ▲","Check Data ⚠",IF(X12+Z12-Y12&gt;0,X12+Z12-Y12,IF(X12-Y12&lt;=0,0,))))))))</f>
        <v/>
      </c>
      <c r="AC12" s="522" t="str">
        <f t="shared" ref="AC12:AC75" si="1">IF(OR(S12="",M12=""),"",IF(LEFT(AB12,5)="Error ▲","Check Data ⚠",IF(AB12="Check Data ⚠","Check Data ⚠",VLOOKUP(AB12,TemporalMultipliers,3,FALSE))))</f>
        <v/>
      </c>
      <c r="AD12" s="498" t="str">
        <f>IF(M12="","",VLOOKUP(M12,'G-6 Hedgerow Data'!$B$3:$AG$15,31,FALSE))</f>
        <v/>
      </c>
      <c r="AE12" s="507" t="str">
        <f>IF(M12="","",IF(OR(LEFT(AA12,5)="Error ▲",AA12="Check Data ⚠"),"Check Data ⚠",IF(X12="","",IF($AA12="Check details - Is there evidence that habitat has reached target condition? ⚠","Low Difficulty - only applicable if all habitat created before losses ⚠","Standard difficulty applied"))))</f>
        <v/>
      </c>
      <c r="AF12" s="507" t="str">
        <f>(IF(AND(AE12="Standard difficulty applied",X12&gt;Y12),AD12,IF(AND(AE12="Low Difficulty - only applicable if all habitat created before losses ⚠",Y12&gt;=X12),"Low",AD12)))</f>
        <v/>
      </c>
      <c r="AG12" s="499" t="str">
        <f>IFERROR(IF(O12="","",VLOOKUP(AD12,'G-3 Multipliers'!$P$3:$Q$6,2,FALSE)),"")</f>
        <v/>
      </c>
      <c r="AH12" s="513" t="str">
        <f>IFERROR(IF(OR(M12="",S12="",U12=""),"",(((((P12*R12*T12)-(P12*F12*H12))*(AG12*AC12))+(P12*F12*H12))*(W12))),"")</f>
        <v/>
      </c>
      <c r="AI12" s="419"/>
      <c r="AJ12" s="240"/>
      <c r="AT12" s="31" t="str">
        <f>IFERROR(INDEX('G-6 Hedgerow Data'!$BJ$3:$BJ$15,MATCH(M12,'G-6 Hedgerow Data'!$B$3:$B$15,0)),"")</f>
        <v/>
      </c>
    </row>
    <row r="13" spans="2:46" ht="13.8" x14ac:dyDescent="0.25">
      <c r="B13" s="531" t="str">
        <f>'B-1 Site Hedge Baseline'!AK11</f>
        <v/>
      </c>
      <c r="C13" s="520" t="str">
        <f>IF(B13="","",IF(ISNA(VLOOKUP($B13,'B-1 Site Hedge Baseline'!$B$1:$L$257,3,FALSE)),"",(VLOOKUP($B13,'B-1 Site Hedge Baseline'!$B$1:$L$257,3,FALSE))))</f>
        <v/>
      </c>
      <c r="D13" s="520" t="str">
        <f>IF(B13="","",IF(ISNA(VLOOKUP($B13,'B-1 Site Hedge Baseline'!$B$1:$L$257,4,FALSE)),"",(VLOOKUP($B13,'B-1 Site Hedge Baseline'!$B$1:$L$257,4,FALSE))))</f>
        <v/>
      </c>
      <c r="E13" s="520" t="str">
        <f>IF(B13="","",IF(ISNA(VLOOKUP($B13,'B-1 Site Hedge Baseline'!$B$1:$L$257,5,FALSE)),"",(VLOOKUP($B13,'B-1 Site Hedge Baseline'!$B$1:$L$257,5,FALSE))))</f>
        <v/>
      </c>
      <c r="F13" s="520" t="str">
        <f>IF(B13="","",IF(ISNA(VLOOKUP($B13,'B-1 Site Hedge Baseline'!$B$1:$L$257,6,FALSE)),"",(VLOOKUP($B13,'B-1 Site Hedge Baseline'!$B$1:$L$257,6,FALSE))))</f>
        <v/>
      </c>
      <c r="G13" s="520" t="str">
        <f>IF(B13="","",IF(ISNA(VLOOKUP($B13,'B-1 Site Hedge Baseline'!$B$1:$L$257,7,FALSE)),"",(VLOOKUP($B13,'B-1 Site Hedge Baseline'!$B$1:$L$257,7,FALSE))))</f>
        <v/>
      </c>
      <c r="H13" s="520" t="str">
        <f>IF(B13="","",IF(ISNA(VLOOKUP($B13,'B-1 Site Hedge Baseline'!$B$1:$L$257,8,FALSE)),"",(VLOOKUP($B13,'B-1 Site Hedge Baseline'!$B$1:$L$257,8,FALSE))))</f>
        <v/>
      </c>
      <c r="I13" s="520" t="str">
        <f>IF(B13="","",IF(ISNA(VLOOKUP($B13,'B-1 Site Hedge Baseline'!$B$1:$L$257,10,FALSE)),"",(VLOOKUP($B13,'B-1 Site Hedge Baseline'!$B$1:$L$257,10,FALSE))))</f>
        <v/>
      </c>
      <c r="J13" s="520" t="str">
        <f>IF(B13="","",IF(ISNA(VLOOKUP($B13,'B-1 Site Hedge Baseline'!$B$1:$L$257,11,FALSE)),"",(VLOOKUP($B13,'B-1 Site Hedge Baseline'!$B$1:$L$257,11,FALSE))))</f>
        <v/>
      </c>
      <c r="K13" s="520" t="str">
        <f>IF(B13="","",IF(ISNA(VLOOKUP($B13,'B-1 Site Hedge Baseline'!$B$1:$U$257,13,FALSE)),"",(VLOOKUP($B13,'B-1 Site Hedge Baseline'!$B$1:$U$257,13,FALSE))))</f>
        <v/>
      </c>
      <c r="L13" s="524" t="str">
        <f>IF(B13="","",IF(ISNA(VLOOKUP($B13,'B-1 Site Hedge Baseline'!$B$1:$U$257,12,FALSE)),"",(VLOOKUP($B13,'B-1 Site Hedge Baseline'!$B$1:$U$257,12,FALSE))))</f>
        <v/>
      </c>
      <c r="M13" s="415" t="str">
        <f>IF(B13="","",C13)</f>
        <v/>
      </c>
      <c r="N13" s="498" t="str">
        <f>IFERROR(IF(B13="","",INDEX('G-6 Hedgerow Data'!$AN$3:$AZ$15,MATCH(C13,'G-6 Hedgerow Data'!$AM$3:$AM$15,0),MATCH(M13,'G-6 Hedgerow Data'!$AN$2:$AZ$2,0))),"")</f>
        <v/>
      </c>
      <c r="O13" s="499"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59" t="str">
        <f>IF(B13="","",VLOOKUP(B13,'B-1 Site Hedge Baseline'!$B$10:T258,16,FALSE))</f>
        <v/>
      </c>
      <c r="Q13" s="498" t="str">
        <f>IF(M13="","",VLOOKUP(M13,'G-6 Hedgerow Data'!$B$2:$AG$15,2,FALSE))</f>
        <v/>
      </c>
      <c r="R13" s="499" t="str">
        <f>IF(M13="","",VLOOKUP(M13,'G-6 Hedgerow Data'!$B$2:$AG$15,3,FALSE))</f>
        <v/>
      </c>
      <c r="S13" s="72"/>
      <c r="T13" s="540" t="str">
        <f>IFERROR(VLOOKUP(S13,'G-1 All Habitats'!$Z$2:$AA$9,2,FALSE),"")</f>
        <v/>
      </c>
      <c r="U13" s="146"/>
      <c r="V13" s="520" t="str">
        <f>IF(U13="","",IF(VLOOKUP(U13,'G-3 Multipliers'!$L$3:$N$6,2,FALSE)=0,"Spatial Data Missing ⚠",VLOOKUP(U13,'G-3 Multipliers'!$L$3:$N$6,2,FALSE)))</f>
        <v/>
      </c>
      <c r="W13" s="524" t="str">
        <f>IF(U13="","",IF(VLOOKUP(U13,'G-3 Multipliers'!$L$3:$N$6,3,FALSE)=0,"Spatial Data Missing ⚠",VLOOKUP(U13,'G-3 Multipliers'!$L$3:$N$6,3,FALSE)))</f>
        <v/>
      </c>
      <c r="X13" s="498"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7"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1" t="str">
        <f t="shared" ref="AB13:AB76" si="4">IF(X13="","",IF(AA13="Check Data ⚠","Check Data ⚠",IF(Y13="30+",0,IF(Z13="30+","30+ ⚠",IF(X13+Z13&gt;30,"30+ ⚠",IF(LEFT(AA13,5)="Error ▲","Check Data ⚠",IF(X13+Z13-Y13&gt;0,X13+Z13-Y13,IF(X13-Y13&lt;=0,0,))))))))</f>
        <v/>
      </c>
      <c r="AC13" s="522" t="str">
        <f t="shared" si="1"/>
        <v/>
      </c>
      <c r="AD13" s="537" t="str">
        <f>IF(M13="","",VLOOKUP(M13,'G-6 Hedgerow Data'!$B$3:$AG$15,31,FALSE))</f>
        <v/>
      </c>
      <c r="AE13" s="507" t="str">
        <f t="shared" ref="AE13:AE76" si="5">IF(M13="","",IF(OR(LEFT(AA13,5)="Error ▲",AA13="Check Data ⚠"),"Check Data ⚠",IF(X13="","",IF($AA13="Check details - Is there evidence that habitat has reached target condition? ⚠","Low Difficulty - only applicable if all habitat created before losses ⚠","Standard difficulty applied"))))</f>
        <v/>
      </c>
      <c r="AF13" s="507" t="str">
        <f t="shared" ref="AF13:AF76" si="6">(IF(AND(AE13="Standard difficulty applied",X13&gt;Y13),AD13,IF(AND(AE13="Low Difficulty - only applicable if all habitat created before losses ⚠",Y13&gt;=X13),"Low",AD13)))</f>
        <v/>
      </c>
      <c r="AG13" s="524" t="str">
        <f>IFERROR(IF(O13="","",VLOOKUP(AD13,'G-3 Multipliers'!$P$3:$Q$6,2,FALSE)),"")</f>
        <v/>
      </c>
      <c r="AH13" s="513" t="str">
        <f t="shared" ref="AH13:AH75" si="7">IFERROR(IF(OR(M13="",S13="",U13=""),"",(((((P13*R13*T13)-(P13*F13*H13))*(AG13*AC13))+(P13*F13*H13))*(W13))),"")</f>
        <v/>
      </c>
      <c r="AI13" s="419"/>
      <c r="AJ13" s="240"/>
      <c r="AT13" s="31" t="str">
        <f>IFERROR(INDEX('G-6 Hedgerow Data'!$BJ$3:$BJ$15,MATCH(M13,'G-6 Hedgerow Data'!$B$3:$B$15,0)),"")</f>
        <v/>
      </c>
    </row>
    <row r="14" spans="2:46" ht="13.8" x14ac:dyDescent="0.25">
      <c r="B14" s="531" t="str">
        <f>'B-1 Site Hedge Baseline'!AK12</f>
        <v/>
      </c>
      <c r="C14" s="520" t="str">
        <f>IF(B14="","",IF(ISNA(VLOOKUP($B14,'B-1 Site Hedge Baseline'!$B$1:$L$257,3,FALSE)),"",(VLOOKUP($B14,'B-1 Site Hedge Baseline'!$B$1:$L$257,3,FALSE))))</f>
        <v/>
      </c>
      <c r="D14" s="520" t="str">
        <f>IF(B14="","",IF(ISNA(VLOOKUP($B14,'B-1 Site Hedge Baseline'!$B$1:$L$257,4,FALSE)),"",(VLOOKUP($B14,'B-1 Site Hedge Baseline'!$B$1:$L$257,4,FALSE))))</f>
        <v/>
      </c>
      <c r="E14" s="520" t="str">
        <f>IF(B14="","",IF(ISNA(VLOOKUP($B14,'B-1 Site Hedge Baseline'!$B$1:$L$257,5,FALSE)),"",(VLOOKUP($B14,'B-1 Site Hedge Baseline'!$B$1:$L$257,5,FALSE))))</f>
        <v/>
      </c>
      <c r="F14" s="520" t="str">
        <f>IF(B14="","",IF(ISNA(VLOOKUP($B14,'B-1 Site Hedge Baseline'!$B$1:$L$257,6,FALSE)),"",(VLOOKUP($B14,'B-1 Site Hedge Baseline'!$B$1:$L$257,6,FALSE))))</f>
        <v/>
      </c>
      <c r="G14" s="520" t="str">
        <f>IF(B14="","",IF(ISNA(VLOOKUP($B14,'B-1 Site Hedge Baseline'!$B$1:$L$257,7,FALSE)),"",(VLOOKUP($B14,'B-1 Site Hedge Baseline'!$B$1:$L$257,7,FALSE))))</f>
        <v/>
      </c>
      <c r="H14" s="520" t="str">
        <f>IF(B14="","",IF(ISNA(VLOOKUP($B14,'B-1 Site Hedge Baseline'!$B$1:$L$257,8,FALSE)),"",(VLOOKUP($B14,'B-1 Site Hedge Baseline'!$B$1:$L$257,8,FALSE))))</f>
        <v/>
      </c>
      <c r="I14" s="520" t="str">
        <f>IF(B14="","",IF(ISNA(VLOOKUP($B14,'B-1 Site Hedge Baseline'!$B$1:$L$257,10,FALSE)),"",(VLOOKUP($B14,'B-1 Site Hedge Baseline'!$B$1:$L$257,10,FALSE))))</f>
        <v/>
      </c>
      <c r="J14" s="520" t="str">
        <f>IF(B14="","",IF(ISNA(VLOOKUP($B14,'B-1 Site Hedge Baseline'!$B$1:$L$257,11,FALSE)),"",(VLOOKUP($B14,'B-1 Site Hedge Baseline'!$B$1:$L$257,11,FALSE))))</f>
        <v/>
      </c>
      <c r="K14" s="520" t="str">
        <f>IF(B14="","",IF(ISNA(VLOOKUP($B14,'B-1 Site Hedge Baseline'!$B$1:$U$257,13,FALSE)),"",(VLOOKUP($B14,'B-1 Site Hedge Baseline'!$B$1:$U$257,13,FALSE))))</f>
        <v/>
      </c>
      <c r="L14" s="524" t="str">
        <f>IF(B14="","",IF(ISNA(VLOOKUP($B14,'B-1 Site Hedge Baseline'!$B$1:$U$257,12,FALSE)),"",(VLOOKUP($B14,'B-1 Site Hedge Baseline'!$B$1:$U$257,12,FALSE))))</f>
        <v/>
      </c>
      <c r="M14" s="415" t="str">
        <f t="shared" si="0"/>
        <v/>
      </c>
      <c r="N14" s="498" t="str">
        <f>IFERROR(IF(B14="","",INDEX('G-6 Hedgerow Data'!$AN$3:$AZ$15,MATCH(C14,'G-6 Hedgerow Data'!$AM$3:$AM$15,0),MATCH(M14,'G-6 Hedgerow Data'!$AN$2:$AZ$2,0))),"")</f>
        <v/>
      </c>
      <c r="O14" s="499" t="str">
        <f t="shared" si="2"/>
        <v/>
      </c>
      <c r="P14" s="559" t="str">
        <f>IF(B14="","",VLOOKUP(B14,'B-1 Site Hedge Baseline'!$B$10:T259,16,FALSE))</f>
        <v/>
      </c>
      <c r="Q14" s="498" t="str">
        <f>IF(M14="","",VLOOKUP(M14,'G-6 Hedgerow Data'!$B$2:$AG$15,2,FALSE))</f>
        <v/>
      </c>
      <c r="R14" s="499" t="str">
        <f>IF(M14="","",VLOOKUP(M14,'G-6 Hedgerow Data'!$B$2:$AG$15,3,FALSE))</f>
        <v/>
      </c>
      <c r="S14" s="72"/>
      <c r="T14" s="540" t="str">
        <f>IFERROR(VLOOKUP(S14,'G-1 All Habitats'!$Z$2:$AA$9,2,FALSE),"")</f>
        <v/>
      </c>
      <c r="U14" s="146"/>
      <c r="V14" s="520" t="str">
        <f>IF(U14="","",IF(VLOOKUP(U14,'G-3 Multipliers'!$L$3:$N$6,2,FALSE)=0,"Spatial Data Missing ⚠",VLOOKUP(U14,'G-3 Multipliers'!$L$3:$N$6,2,FALSE)))</f>
        <v/>
      </c>
      <c r="W14" s="524" t="str">
        <f>IF(U14="","",IF(VLOOKUP(U14,'G-3 Multipliers'!$L$3:$N$6,3,FALSE)=0,"Spatial Data Missing ⚠",VLOOKUP(U14,'G-3 Multipliers'!$L$3:$N$6,3,FALSE)))</f>
        <v/>
      </c>
      <c r="X14" s="498"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7" t="str">
        <f t="shared" si="3"/>
        <v/>
      </c>
      <c r="AB14" s="521" t="str">
        <f t="shared" si="4"/>
        <v/>
      </c>
      <c r="AC14" s="522" t="str">
        <f t="shared" si="1"/>
        <v/>
      </c>
      <c r="AD14" s="537" t="str">
        <f>IF(M14="","",VLOOKUP(M14,'G-6 Hedgerow Data'!$B$3:$AG$15,31,FALSE))</f>
        <v/>
      </c>
      <c r="AE14" s="507" t="str">
        <f t="shared" si="5"/>
        <v/>
      </c>
      <c r="AF14" s="507" t="str">
        <f t="shared" si="6"/>
        <v/>
      </c>
      <c r="AG14" s="524" t="str">
        <f>IFERROR(IF(O14="","",VLOOKUP(AD14,'G-3 Multipliers'!$P$3:$Q$6,2,FALSE)),"")</f>
        <v/>
      </c>
      <c r="AH14" s="513" t="str">
        <f t="shared" si="7"/>
        <v/>
      </c>
      <c r="AI14" s="419"/>
      <c r="AJ14" s="240"/>
      <c r="AT14" s="31" t="str">
        <f>IFERROR(INDEX('G-6 Hedgerow Data'!$BJ$3:$BJ$15,MATCH(M14,'G-6 Hedgerow Data'!$B$3:$B$15,0)),"")</f>
        <v/>
      </c>
    </row>
    <row r="15" spans="2:46" ht="13.8" x14ac:dyDescent="0.25">
      <c r="B15" s="531" t="str">
        <f>'B-1 Site Hedge Baseline'!AK13</f>
        <v/>
      </c>
      <c r="C15" s="520" t="str">
        <f>IF(B15="","",IF(ISNA(VLOOKUP($B15,'B-1 Site Hedge Baseline'!$B$1:$L$257,3,FALSE)),"",(VLOOKUP($B15,'B-1 Site Hedge Baseline'!$B$1:$L$257,3,FALSE))))</f>
        <v/>
      </c>
      <c r="D15" s="520" t="str">
        <f>IF(B15="","",IF(ISNA(VLOOKUP($B15,'B-1 Site Hedge Baseline'!$B$1:$L$257,4,FALSE)),"",(VLOOKUP($B15,'B-1 Site Hedge Baseline'!$B$1:$L$257,4,FALSE))))</f>
        <v/>
      </c>
      <c r="E15" s="520" t="str">
        <f>IF(B15="","",IF(ISNA(VLOOKUP($B15,'B-1 Site Hedge Baseline'!$B$1:$L$257,5,FALSE)),"",(VLOOKUP($B15,'B-1 Site Hedge Baseline'!$B$1:$L$257,5,FALSE))))</f>
        <v/>
      </c>
      <c r="F15" s="520" t="str">
        <f>IF(B15="","",IF(ISNA(VLOOKUP($B15,'B-1 Site Hedge Baseline'!$B$1:$L$257,6,FALSE)),"",(VLOOKUP($B15,'B-1 Site Hedge Baseline'!$B$1:$L$257,6,FALSE))))</f>
        <v/>
      </c>
      <c r="G15" s="520" t="str">
        <f>IF(B15="","",IF(ISNA(VLOOKUP($B15,'B-1 Site Hedge Baseline'!$B$1:$L$257,7,FALSE)),"",(VLOOKUP($B15,'B-1 Site Hedge Baseline'!$B$1:$L$257,7,FALSE))))</f>
        <v/>
      </c>
      <c r="H15" s="520" t="str">
        <f>IF(B15="","",IF(ISNA(VLOOKUP($B15,'B-1 Site Hedge Baseline'!$B$1:$L$257,8,FALSE)),"",(VLOOKUP($B15,'B-1 Site Hedge Baseline'!$B$1:$L$257,8,FALSE))))</f>
        <v/>
      </c>
      <c r="I15" s="520" t="str">
        <f>IF(B15="","",IF(ISNA(VLOOKUP($B15,'B-1 Site Hedge Baseline'!$B$1:$L$257,10,FALSE)),"",(VLOOKUP($B15,'B-1 Site Hedge Baseline'!$B$1:$L$257,10,FALSE))))</f>
        <v/>
      </c>
      <c r="J15" s="520" t="str">
        <f>IF(B15="","",IF(ISNA(VLOOKUP($B15,'B-1 Site Hedge Baseline'!$B$1:$L$257,11,FALSE)),"",(VLOOKUP($B15,'B-1 Site Hedge Baseline'!$B$1:$L$257,11,FALSE))))</f>
        <v/>
      </c>
      <c r="K15" s="520" t="str">
        <f>IF(B15="","",IF(ISNA(VLOOKUP($B15,'B-1 Site Hedge Baseline'!$B$1:$U$257,13,FALSE)),"",(VLOOKUP($B15,'B-1 Site Hedge Baseline'!$B$1:$U$257,13,FALSE))))</f>
        <v/>
      </c>
      <c r="L15" s="524" t="str">
        <f>IF(B15="","",IF(ISNA(VLOOKUP($B15,'B-1 Site Hedge Baseline'!$B$1:$U$257,12,FALSE)),"",(VLOOKUP($B15,'B-1 Site Hedge Baseline'!$B$1:$U$257,12,FALSE))))</f>
        <v/>
      </c>
      <c r="M15" s="415" t="str">
        <f t="shared" si="0"/>
        <v/>
      </c>
      <c r="N15" s="498" t="str">
        <f>IFERROR(IF(B15="","",INDEX('G-6 Hedgerow Data'!$AN$3:$AZ$15,MATCH(C15,'G-6 Hedgerow Data'!$AM$3:$AM$15,0),MATCH(M15,'G-6 Hedgerow Data'!$AN$2:$AZ$2,0))),"")</f>
        <v/>
      </c>
      <c r="O15" s="499" t="str">
        <f t="shared" si="2"/>
        <v/>
      </c>
      <c r="P15" s="559" t="str">
        <f>IF(B15="","",VLOOKUP(B15,'B-1 Site Hedge Baseline'!$B$10:T260,16,FALSE))</f>
        <v/>
      </c>
      <c r="Q15" s="498" t="str">
        <f>IF(M15="","",VLOOKUP(M15,'G-6 Hedgerow Data'!$B$2:$AG$15,2,FALSE))</f>
        <v/>
      </c>
      <c r="R15" s="499" t="str">
        <f>IF(M15="","",VLOOKUP(M15,'G-6 Hedgerow Data'!$B$2:$AG$15,3,FALSE))</f>
        <v/>
      </c>
      <c r="S15" s="72"/>
      <c r="T15" s="540" t="str">
        <f>IFERROR(VLOOKUP(S15,'G-1 All Habitats'!$Z$2:$AA$9,2,FALSE),"")</f>
        <v/>
      </c>
      <c r="U15" s="146"/>
      <c r="V15" s="520" t="str">
        <f>IF(U15="","",IF(VLOOKUP(U15,'G-3 Multipliers'!$L$3:$N$6,2,FALSE)=0,"Spatial Data Missing ⚠",VLOOKUP(U15,'G-3 Multipliers'!$L$3:$N$6,2,FALSE)))</f>
        <v/>
      </c>
      <c r="W15" s="524" t="str">
        <f>IF(U15="","",IF(VLOOKUP(U15,'G-3 Multipliers'!$L$3:$N$6,3,FALSE)=0,"Spatial Data Missing ⚠",VLOOKUP(U15,'G-3 Multipliers'!$L$3:$N$6,3,FALSE)))</f>
        <v/>
      </c>
      <c r="X15" s="498"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7" t="str">
        <f t="shared" si="3"/>
        <v/>
      </c>
      <c r="AB15" s="521" t="str">
        <f t="shared" si="4"/>
        <v/>
      </c>
      <c r="AC15" s="522" t="str">
        <f t="shared" si="1"/>
        <v/>
      </c>
      <c r="AD15" s="537" t="str">
        <f>IF(M15="","",VLOOKUP(M15,'G-6 Hedgerow Data'!$B$3:$AG$15,31,FALSE))</f>
        <v/>
      </c>
      <c r="AE15" s="507" t="str">
        <f t="shared" si="5"/>
        <v/>
      </c>
      <c r="AF15" s="507" t="str">
        <f t="shared" si="6"/>
        <v/>
      </c>
      <c r="AG15" s="524" t="str">
        <f>IFERROR(IF(O15="","",VLOOKUP(AD15,'G-3 Multipliers'!$P$3:$Q$6,2,FALSE)),"")</f>
        <v/>
      </c>
      <c r="AH15" s="513" t="str">
        <f t="shared" si="7"/>
        <v/>
      </c>
      <c r="AI15" s="419"/>
      <c r="AJ15" s="240"/>
      <c r="AT15" s="31" t="str">
        <f>IFERROR(INDEX('G-6 Hedgerow Data'!$BJ$3:$BJ$15,MATCH(M15,'G-6 Hedgerow Data'!$B$3:$B$15,0)),"")</f>
        <v/>
      </c>
    </row>
    <row r="16" spans="2:46" ht="13.8" x14ac:dyDescent="0.25">
      <c r="B16" s="531" t="str">
        <f>'B-1 Site Hedge Baseline'!AK14</f>
        <v/>
      </c>
      <c r="C16" s="520" t="str">
        <f>IF(B16="","",IF(ISNA(VLOOKUP($B16,'B-1 Site Hedge Baseline'!$B$1:$L$257,3,FALSE)),"",(VLOOKUP($B16,'B-1 Site Hedge Baseline'!$B$1:$L$257,3,FALSE))))</f>
        <v/>
      </c>
      <c r="D16" s="520" t="str">
        <f>IF(B16="","",IF(ISNA(VLOOKUP($B16,'B-1 Site Hedge Baseline'!$B$1:$L$257,4,FALSE)),"",(VLOOKUP($B16,'B-1 Site Hedge Baseline'!$B$1:$L$257,4,FALSE))))</f>
        <v/>
      </c>
      <c r="E16" s="520" t="str">
        <f>IF(B16="","",IF(ISNA(VLOOKUP($B16,'B-1 Site Hedge Baseline'!$B$1:$L$257,5,FALSE)),"",(VLOOKUP($B16,'B-1 Site Hedge Baseline'!$B$1:$L$257,5,FALSE))))</f>
        <v/>
      </c>
      <c r="F16" s="520" t="str">
        <f>IF(B16="","",IF(ISNA(VLOOKUP($B16,'B-1 Site Hedge Baseline'!$B$1:$L$257,6,FALSE)),"",(VLOOKUP($B16,'B-1 Site Hedge Baseline'!$B$1:$L$257,6,FALSE))))</f>
        <v/>
      </c>
      <c r="G16" s="520" t="str">
        <f>IF(B16="","",IF(ISNA(VLOOKUP($B16,'B-1 Site Hedge Baseline'!$B$1:$L$257,7,FALSE)),"",(VLOOKUP($B16,'B-1 Site Hedge Baseline'!$B$1:$L$257,7,FALSE))))</f>
        <v/>
      </c>
      <c r="H16" s="520" t="str">
        <f>IF(B16="","",IF(ISNA(VLOOKUP($B16,'B-1 Site Hedge Baseline'!$B$1:$L$257,8,FALSE)),"",(VLOOKUP($B16,'B-1 Site Hedge Baseline'!$B$1:$L$257,8,FALSE))))</f>
        <v/>
      </c>
      <c r="I16" s="520" t="str">
        <f>IF(B16="","",IF(ISNA(VLOOKUP($B16,'B-1 Site Hedge Baseline'!$B$1:$L$257,10,FALSE)),"",(VLOOKUP($B16,'B-1 Site Hedge Baseline'!$B$1:$L$257,10,FALSE))))</f>
        <v/>
      </c>
      <c r="J16" s="520" t="str">
        <f>IF(B16="","",IF(ISNA(VLOOKUP($B16,'B-1 Site Hedge Baseline'!$B$1:$L$257,11,FALSE)),"",(VLOOKUP($B16,'B-1 Site Hedge Baseline'!$B$1:$L$257,11,FALSE))))</f>
        <v/>
      </c>
      <c r="K16" s="520" t="str">
        <f>IF(B16="","",IF(ISNA(VLOOKUP($B16,'B-1 Site Hedge Baseline'!$B$1:$U$257,13,FALSE)),"",(VLOOKUP($B16,'B-1 Site Hedge Baseline'!$B$1:$U$257,13,FALSE))))</f>
        <v/>
      </c>
      <c r="L16" s="524" t="str">
        <f>IF(B16="","",IF(ISNA(VLOOKUP($B16,'B-1 Site Hedge Baseline'!$B$1:$U$257,12,FALSE)),"",(VLOOKUP($B16,'B-1 Site Hedge Baseline'!$B$1:$U$257,12,FALSE))))</f>
        <v/>
      </c>
      <c r="M16" s="415" t="str">
        <f t="shared" si="0"/>
        <v/>
      </c>
      <c r="N16" s="498" t="str">
        <f>IFERROR(IF(B16="","",INDEX('G-6 Hedgerow Data'!$AN$3:$AZ$15,MATCH(C16,'G-6 Hedgerow Data'!$AM$3:$AM$15,0),MATCH(M16,'G-6 Hedgerow Data'!$AN$2:$AZ$2,0))),"")</f>
        <v/>
      </c>
      <c r="O16" s="499" t="str">
        <f t="shared" si="2"/>
        <v/>
      </c>
      <c r="P16" s="559" t="str">
        <f>IF(B16="","",VLOOKUP(B16,'B-1 Site Hedge Baseline'!$B$10:T261,16,FALSE))</f>
        <v/>
      </c>
      <c r="Q16" s="498" t="str">
        <f>IF(M16="","",VLOOKUP(M16,'G-6 Hedgerow Data'!$B$2:$AG$15,2,FALSE))</f>
        <v/>
      </c>
      <c r="R16" s="499" t="str">
        <f>IF(M16="","",VLOOKUP(M16,'G-6 Hedgerow Data'!$B$2:$AG$15,3,FALSE))</f>
        <v/>
      </c>
      <c r="S16" s="157"/>
      <c r="T16" s="540" t="str">
        <f>IFERROR(VLOOKUP(S16,'G-1 All Habitats'!$Z$2:$AA$9,2,FALSE),"")</f>
        <v/>
      </c>
      <c r="U16" s="146"/>
      <c r="V16" s="520" t="str">
        <f>IF(U16="","",IF(VLOOKUP(U16,'G-3 Multipliers'!$L$3:$N$6,2,FALSE)=0,"Spatial Data Missing ⚠",VLOOKUP(U16,'G-3 Multipliers'!$L$3:$N$6,2,FALSE)))</f>
        <v/>
      </c>
      <c r="W16" s="524" t="str">
        <f>IF(U16="","",IF(VLOOKUP(U16,'G-3 Multipliers'!$L$3:$N$6,3,FALSE)=0,"Spatial Data Missing ⚠",VLOOKUP(U16,'G-3 Multipliers'!$L$3:$N$6,3,FALSE)))</f>
        <v/>
      </c>
      <c r="X16" s="498"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7" t="str">
        <f t="shared" si="3"/>
        <v/>
      </c>
      <c r="AB16" s="521" t="str">
        <f t="shared" si="4"/>
        <v/>
      </c>
      <c r="AC16" s="522" t="str">
        <f t="shared" si="1"/>
        <v/>
      </c>
      <c r="AD16" s="537" t="str">
        <f>IF(M16="","",VLOOKUP(M16,'G-6 Hedgerow Data'!$B$3:$AG$15,31,FALSE))</f>
        <v/>
      </c>
      <c r="AE16" s="507" t="str">
        <f t="shared" si="5"/>
        <v/>
      </c>
      <c r="AF16" s="507" t="str">
        <f t="shared" si="6"/>
        <v/>
      </c>
      <c r="AG16" s="524" t="str">
        <f>IFERROR(IF(O16="","",VLOOKUP(AD16,'G-3 Multipliers'!$P$3:$Q$6,2,FALSE)),"")</f>
        <v/>
      </c>
      <c r="AH16" s="513" t="str">
        <f>IFERROR(IF(OR(M16="",S16="",U16=""),"",(((((P16*R16*T16)-(P16*F16*H16))*(AG16*AC16))+(P16*F16*H16))*(W16))),"")</f>
        <v/>
      </c>
      <c r="AI16" s="231"/>
      <c r="AJ16" s="150"/>
      <c r="AT16" s="31" t="str">
        <f>IFERROR(INDEX('G-6 Hedgerow Data'!$BJ$3:$BJ$15,MATCH(M16,'G-6 Hedgerow Data'!$B$3:$B$15,0)),"")</f>
        <v/>
      </c>
    </row>
    <row r="17" spans="2:46" ht="13.8" x14ac:dyDescent="0.25">
      <c r="B17" s="531" t="str">
        <f>'B-1 Site Hedge Baseline'!AK15</f>
        <v/>
      </c>
      <c r="C17" s="520" t="str">
        <f>IF(B17="","",IF(ISNA(VLOOKUP($B17,'B-1 Site Hedge Baseline'!$B$1:$L$257,3,FALSE)),"",(VLOOKUP($B17,'B-1 Site Hedge Baseline'!$B$1:$L$257,3,FALSE))))</f>
        <v/>
      </c>
      <c r="D17" s="520" t="str">
        <f>IF(B17="","",IF(ISNA(VLOOKUP($B17,'B-1 Site Hedge Baseline'!$B$1:$L$257,4,FALSE)),"",(VLOOKUP($B17,'B-1 Site Hedge Baseline'!$B$1:$L$257,4,FALSE))))</f>
        <v/>
      </c>
      <c r="E17" s="520" t="str">
        <f>IF(B17="","",IF(ISNA(VLOOKUP($B17,'B-1 Site Hedge Baseline'!$B$1:$L$257,5,FALSE)),"",(VLOOKUP($B17,'B-1 Site Hedge Baseline'!$B$1:$L$257,5,FALSE))))</f>
        <v/>
      </c>
      <c r="F17" s="520" t="str">
        <f>IF(B17="","",IF(ISNA(VLOOKUP($B17,'B-1 Site Hedge Baseline'!$B$1:$L$257,6,FALSE)),"",(VLOOKUP($B17,'B-1 Site Hedge Baseline'!$B$1:$L$257,6,FALSE))))</f>
        <v/>
      </c>
      <c r="G17" s="520" t="str">
        <f>IF(B17="","",IF(ISNA(VLOOKUP($B17,'B-1 Site Hedge Baseline'!$B$1:$L$257,7,FALSE)),"",(VLOOKUP($B17,'B-1 Site Hedge Baseline'!$B$1:$L$257,7,FALSE))))</f>
        <v/>
      </c>
      <c r="H17" s="520" t="str">
        <f>IF(B17="","",IF(ISNA(VLOOKUP($B17,'B-1 Site Hedge Baseline'!$B$1:$L$257,8,FALSE)),"",(VLOOKUP($B17,'B-1 Site Hedge Baseline'!$B$1:$L$257,8,FALSE))))</f>
        <v/>
      </c>
      <c r="I17" s="520" t="str">
        <f>IF(B17="","",IF(ISNA(VLOOKUP($B17,'B-1 Site Hedge Baseline'!$B$1:$L$257,10,FALSE)),"",(VLOOKUP($B17,'B-1 Site Hedge Baseline'!$B$1:$L$257,10,FALSE))))</f>
        <v/>
      </c>
      <c r="J17" s="520" t="str">
        <f>IF(B17="","",IF(ISNA(VLOOKUP($B17,'B-1 Site Hedge Baseline'!$B$1:$L$257,11,FALSE)),"",(VLOOKUP($B17,'B-1 Site Hedge Baseline'!$B$1:$L$257,11,FALSE))))</f>
        <v/>
      </c>
      <c r="K17" s="520" t="str">
        <f>IF(B17="","",IF(ISNA(VLOOKUP($B17,'B-1 Site Hedge Baseline'!$B$1:$U$257,13,FALSE)),"",(VLOOKUP($B17,'B-1 Site Hedge Baseline'!$B$1:$U$257,13,FALSE))))</f>
        <v/>
      </c>
      <c r="L17" s="524" t="str">
        <f>IF(B17="","",IF(ISNA(VLOOKUP($B17,'B-1 Site Hedge Baseline'!$B$1:$U$257,12,FALSE)),"",(VLOOKUP($B17,'B-1 Site Hedge Baseline'!$B$1:$U$257,12,FALSE))))</f>
        <v/>
      </c>
      <c r="M17" s="416" t="str">
        <f t="shared" si="0"/>
        <v/>
      </c>
      <c r="N17" s="498" t="str">
        <f>IFERROR(IF(B17="","",INDEX('G-6 Hedgerow Data'!$AN$3:$AZ$15,MATCH(C17,'G-6 Hedgerow Data'!$AM$3:$AM$15,0),MATCH(M17,'G-6 Hedgerow Data'!$AN$2:$AZ$2,0))),"")</f>
        <v/>
      </c>
      <c r="O17" s="499" t="str">
        <f t="shared" si="2"/>
        <v/>
      </c>
      <c r="P17" s="559" t="str">
        <f>IF(B17="","",VLOOKUP(B17,'B-1 Site Hedge Baseline'!$B$10:T262,16,FALSE))</f>
        <v/>
      </c>
      <c r="Q17" s="498" t="str">
        <f>IF(M17="","",VLOOKUP(M17,'G-6 Hedgerow Data'!$B$2:$AG$15,2,FALSE))</f>
        <v/>
      </c>
      <c r="R17" s="499" t="str">
        <f>IF(M17="","",VLOOKUP(M17,'G-6 Hedgerow Data'!$B$2:$AG$15,3,FALSE))</f>
        <v/>
      </c>
      <c r="S17" s="157"/>
      <c r="T17" s="540" t="str">
        <f>IFERROR(VLOOKUP(S17,'G-1 All Habitats'!$Z$2:$AA$9,2,FALSE),"")</f>
        <v/>
      </c>
      <c r="U17" s="154"/>
      <c r="V17" s="520" t="str">
        <f>IF(U17="","",IF(VLOOKUP(U17,'G-3 Multipliers'!$L$3:$N$6,2,FALSE)=0,"Spatial Data Missing ⚠",VLOOKUP(U17,'G-3 Multipliers'!$L$3:$N$6,2,FALSE)))</f>
        <v/>
      </c>
      <c r="W17" s="524" t="str">
        <f>IF(U17="","",IF(VLOOKUP(U17,'G-3 Multipliers'!$L$3:$N$6,3,FALSE)=0,"Spatial Data Missing ⚠",VLOOKUP(U17,'G-3 Multipliers'!$L$3:$N$6,3,FALSE)))</f>
        <v/>
      </c>
      <c r="X17" s="498"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7" t="str">
        <f t="shared" si="3"/>
        <v/>
      </c>
      <c r="AB17" s="521" t="str">
        <f t="shared" si="4"/>
        <v/>
      </c>
      <c r="AC17" s="522" t="str">
        <f t="shared" si="1"/>
        <v/>
      </c>
      <c r="AD17" s="537" t="str">
        <f>IF(M17="","",VLOOKUP(M17,'G-6 Hedgerow Data'!$B$3:$AG$15,31,FALSE))</f>
        <v/>
      </c>
      <c r="AE17" s="507" t="str">
        <f t="shared" si="5"/>
        <v/>
      </c>
      <c r="AF17" s="507" t="str">
        <f t="shared" si="6"/>
        <v/>
      </c>
      <c r="AG17" s="524" t="str">
        <f>IFERROR(IF(O17="","",VLOOKUP(AD17,'G-3 Multipliers'!$P$3:$Q$6,2,FALSE)),"")</f>
        <v/>
      </c>
      <c r="AH17" s="513" t="str">
        <f t="shared" si="7"/>
        <v/>
      </c>
      <c r="AI17" s="231"/>
      <c r="AJ17" s="150"/>
      <c r="AT17" s="31" t="str">
        <f>IFERROR(INDEX('G-6 Hedgerow Data'!$BJ$3:$BJ$15,MATCH(M17,'G-6 Hedgerow Data'!$B$3:$B$15,0)),"")</f>
        <v/>
      </c>
    </row>
    <row r="18" spans="2:46" ht="13.8" x14ac:dyDescent="0.25">
      <c r="B18" s="531" t="str">
        <f>'B-1 Site Hedge Baseline'!AK16</f>
        <v/>
      </c>
      <c r="C18" s="520" t="str">
        <f>IF(B18="","",IF(ISNA(VLOOKUP($B18,'B-1 Site Hedge Baseline'!$B$1:$L$257,3,FALSE)),"",(VLOOKUP($B18,'B-1 Site Hedge Baseline'!$B$1:$L$257,3,FALSE))))</f>
        <v/>
      </c>
      <c r="D18" s="520" t="str">
        <f>IF(B18="","",IF(ISNA(VLOOKUP($B18,'B-1 Site Hedge Baseline'!$B$1:$L$257,4,FALSE)),"",(VLOOKUP($B18,'B-1 Site Hedge Baseline'!$B$1:$L$257,4,FALSE))))</f>
        <v/>
      </c>
      <c r="E18" s="520" t="str">
        <f>IF(B18="","",IF(ISNA(VLOOKUP($B18,'B-1 Site Hedge Baseline'!$B$1:$L$257,5,FALSE)),"",(VLOOKUP($B18,'B-1 Site Hedge Baseline'!$B$1:$L$257,5,FALSE))))</f>
        <v/>
      </c>
      <c r="F18" s="520" t="str">
        <f>IF(B18="","",IF(ISNA(VLOOKUP($B18,'B-1 Site Hedge Baseline'!$B$1:$L$257,6,FALSE)),"",(VLOOKUP($B18,'B-1 Site Hedge Baseline'!$B$1:$L$257,6,FALSE))))</f>
        <v/>
      </c>
      <c r="G18" s="520" t="str">
        <f>IF(B18="","",IF(ISNA(VLOOKUP($B18,'B-1 Site Hedge Baseline'!$B$1:$L$257,7,FALSE)),"",(VLOOKUP($B18,'B-1 Site Hedge Baseline'!$B$1:$L$257,7,FALSE))))</f>
        <v/>
      </c>
      <c r="H18" s="520" t="str">
        <f>IF(B18="","",IF(ISNA(VLOOKUP($B18,'B-1 Site Hedge Baseline'!$B$1:$L$257,8,FALSE)),"",(VLOOKUP($B18,'B-1 Site Hedge Baseline'!$B$1:$L$257,8,FALSE))))</f>
        <v/>
      </c>
      <c r="I18" s="520" t="str">
        <f>IF(B18="","",IF(ISNA(VLOOKUP($B18,'B-1 Site Hedge Baseline'!$B$1:$L$257,10,FALSE)),"",(VLOOKUP($B18,'B-1 Site Hedge Baseline'!$B$1:$L$257,10,FALSE))))</f>
        <v/>
      </c>
      <c r="J18" s="520" t="str">
        <f>IF(B18="","",IF(ISNA(VLOOKUP($B18,'B-1 Site Hedge Baseline'!$B$1:$L$257,11,FALSE)),"",(VLOOKUP($B18,'B-1 Site Hedge Baseline'!$B$1:$L$257,11,FALSE))))</f>
        <v/>
      </c>
      <c r="K18" s="520" t="str">
        <f>IF(B18="","",IF(ISNA(VLOOKUP($B18,'B-1 Site Hedge Baseline'!$B$1:$U$257,13,FALSE)),"",(VLOOKUP($B18,'B-1 Site Hedge Baseline'!$B$1:$U$257,13,FALSE))))</f>
        <v/>
      </c>
      <c r="L18" s="524" t="str">
        <f>IF(B18="","",IF(ISNA(VLOOKUP($B18,'B-1 Site Hedge Baseline'!$B$1:$U$257,12,FALSE)),"",(VLOOKUP($B18,'B-1 Site Hedge Baseline'!$B$1:$U$257,12,FALSE))))</f>
        <v/>
      </c>
      <c r="M18" s="416" t="str">
        <f t="shared" si="0"/>
        <v/>
      </c>
      <c r="N18" s="498" t="str">
        <f>IFERROR(IF(B18="","",INDEX('G-6 Hedgerow Data'!$AN$3:$AZ$15,MATCH(C18,'G-6 Hedgerow Data'!$AM$3:$AM$15,0),MATCH(M18,'G-6 Hedgerow Data'!$AN$2:$AZ$2,0))),"")</f>
        <v/>
      </c>
      <c r="O18" s="499" t="str">
        <f t="shared" si="2"/>
        <v/>
      </c>
      <c r="P18" s="559" t="str">
        <f>IF(B18="","",VLOOKUP(B18,'B-1 Site Hedge Baseline'!$B$10:T263,16,FALSE))</f>
        <v/>
      </c>
      <c r="Q18" s="498" t="str">
        <f>IF(M18="","",VLOOKUP(M18,'G-6 Hedgerow Data'!$B$2:$AG$15,2,FALSE))</f>
        <v/>
      </c>
      <c r="R18" s="499" t="str">
        <f>IF(M18="","",VLOOKUP(M18,'G-6 Hedgerow Data'!$B$2:$AG$15,3,FALSE))</f>
        <v/>
      </c>
      <c r="S18" s="157"/>
      <c r="T18" s="540" t="str">
        <f>IFERROR(VLOOKUP(S18,'G-1 All Habitats'!$Z$2:$AA$9,2,FALSE),"")</f>
        <v/>
      </c>
      <c r="U18" s="154"/>
      <c r="V18" s="520" t="str">
        <f>IF(U18="","",IF(VLOOKUP(U18,'G-3 Multipliers'!$L$3:$N$6,2,FALSE)=0,"Spatial Data Missing ⚠",VLOOKUP(U18,'G-3 Multipliers'!$L$3:$N$6,2,FALSE)))</f>
        <v/>
      </c>
      <c r="W18" s="524" t="str">
        <f>IF(U18="","",IF(VLOOKUP(U18,'G-3 Multipliers'!$L$3:$N$6,3,FALSE)=0,"Spatial Data Missing ⚠",VLOOKUP(U18,'G-3 Multipliers'!$L$3:$N$6,3,FALSE)))</f>
        <v/>
      </c>
      <c r="X18" s="498"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7" t="str">
        <f t="shared" si="3"/>
        <v/>
      </c>
      <c r="AB18" s="521" t="str">
        <f t="shared" si="4"/>
        <v/>
      </c>
      <c r="AC18" s="522" t="str">
        <f t="shared" si="1"/>
        <v/>
      </c>
      <c r="AD18" s="537" t="str">
        <f>IF(M18="","",VLOOKUP(M18,'G-6 Hedgerow Data'!$B$3:$AG$15,31,FALSE))</f>
        <v/>
      </c>
      <c r="AE18" s="507" t="str">
        <f t="shared" si="5"/>
        <v/>
      </c>
      <c r="AF18" s="507" t="str">
        <f t="shared" si="6"/>
        <v/>
      </c>
      <c r="AG18" s="524" t="str">
        <f>IFERROR(IF(O18="","",VLOOKUP(AD18,'G-3 Multipliers'!$P$3:$Q$6,2,FALSE)),"")</f>
        <v/>
      </c>
      <c r="AH18" s="513" t="str">
        <f t="shared" si="7"/>
        <v/>
      </c>
      <c r="AI18" s="231"/>
      <c r="AJ18" s="150"/>
      <c r="AT18" s="31" t="str">
        <f>IFERROR(INDEX('G-6 Hedgerow Data'!$BJ$3:$BJ$15,MATCH(M18,'G-6 Hedgerow Data'!$B$3:$B$15,0)),"")</f>
        <v/>
      </c>
    </row>
    <row r="19" spans="2:46" ht="13.8" x14ac:dyDescent="0.25">
      <c r="B19" s="531" t="str">
        <f>'B-1 Site Hedge Baseline'!AK17</f>
        <v/>
      </c>
      <c r="C19" s="520" t="str">
        <f>IF(B19="","",IF(ISNA(VLOOKUP($B19,'B-1 Site Hedge Baseline'!$B$1:$L$257,3,FALSE)),"",(VLOOKUP($B19,'B-1 Site Hedge Baseline'!$B$1:$L$257,3,FALSE))))</f>
        <v/>
      </c>
      <c r="D19" s="520" t="str">
        <f>IF(B19="","",IF(ISNA(VLOOKUP($B19,'B-1 Site Hedge Baseline'!$B$1:$L$257,4,FALSE)),"",(VLOOKUP($B19,'B-1 Site Hedge Baseline'!$B$1:$L$257,4,FALSE))))</f>
        <v/>
      </c>
      <c r="E19" s="520" t="str">
        <f>IF(B19="","",IF(ISNA(VLOOKUP($B19,'B-1 Site Hedge Baseline'!$B$1:$L$257,5,FALSE)),"",(VLOOKUP($B19,'B-1 Site Hedge Baseline'!$B$1:$L$257,5,FALSE))))</f>
        <v/>
      </c>
      <c r="F19" s="520" t="str">
        <f>IF(B19="","",IF(ISNA(VLOOKUP($B19,'B-1 Site Hedge Baseline'!$B$1:$L$257,6,FALSE)),"",(VLOOKUP($B19,'B-1 Site Hedge Baseline'!$B$1:$L$257,6,FALSE))))</f>
        <v/>
      </c>
      <c r="G19" s="520" t="str">
        <f>IF(B19="","",IF(ISNA(VLOOKUP($B19,'B-1 Site Hedge Baseline'!$B$1:$L$257,7,FALSE)),"",(VLOOKUP($B19,'B-1 Site Hedge Baseline'!$B$1:$L$257,7,FALSE))))</f>
        <v/>
      </c>
      <c r="H19" s="520" t="str">
        <f>IF(B19="","",IF(ISNA(VLOOKUP($B19,'B-1 Site Hedge Baseline'!$B$1:$L$257,8,FALSE)),"",(VLOOKUP($B19,'B-1 Site Hedge Baseline'!$B$1:$L$257,8,FALSE))))</f>
        <v/>
      </c>
      <c r="I19" s="520" t="str">
        <f>IF(B19="","",IF(ISNA(VLOOKUP($B19,'B-1 Site Hedge Baseline'!$B$1:$L$257,10,FALSE)),"",(VLOOKUP($B19,'B-1 Site Hedge Baseline'!$B$1:$L$257,10,FALSE))))</f>
        <v/>
      </c>
      <c r="J19" s="520" t="str">
        <f>IF(B19="","",IF(ISNA(VLOOKUP($B19,'B-1 Site Hedge Baseline'!$B$1:$L$257,11,FALSE)),"",(VLOOKUP($B19,'B-1 Site Hedge Baseline'!$B$1:$L$257,11,FALSE))))</f>
        <v/>
      </c>
      <c r="K19" s="520" t="str">
        <f>IF(B19="","",IF(ISNA(VLOOKUP($B19,'B-1 Site Hedge Baseline'!$B$1:$U$257,13,FALSE)),"",(VLOOKUP($B19,'B-1 Site Hedge Baseline'!$B$1:$U$257,13,FALSE))))</f>
        <v/>
      </c>
      <c r="L19" s="524" t="str">
        <f>IF(B19="","",IF(ISNA(VLOOKUP($B19,'B-1 Site Hedge Baseline'!$B$1:$U$257,12,FALSE)),"",(VLOOKUP($B19,'B-1 Site Hedge Baseline'!$B$1:$U$257,12,FALSE))))</f>
        <v/>
      </c>
      <c r="M19" s="416" t="str">
        <f t="shared" si="0"/>
        <v/>
      </c>
      <c r="N19" s="498" t="str">
        <f>IFERROR(IF(B19="","",INDEX('G-6 Hedgerow Data'!$AN$3:$AZ$15,MATCH(C19,'G-6 Hedgerow Data'!$AM$3:$AM$15,0),MATCH(M19,'G-6 Hedgerow Data'!$AN$2:$AZ$2,0))),"")</f>
        <v/>
      </c>
      <c r="O19" s="499" t="str">
        <f t="shared" si="2"/>
        <v/>
      </c>
      <c r="P19" s="559" t="str">
        <f>IF(B19="","",VLOOKUP(B19,'B-1 Site Hedge Baseline'!$B$10:T264,16,FALSE))</f>
        <v/>
      </c>
      <c r="Q19" s="498" t="str">
        <f>IF(M19="","",VLOOKUP(M19,'G-6 Hedgerow Data'!$B$2:$AG$15,2,FALSE))</f>
        <v/>
      </c>
      <c r="R19" s="499" t="str">
        <f>IF(M19="","",VLOOKUP(M19,'G-6 Hedgerow Data'!$B$2:$AG$15,3,FALSE))</f>
        <v/>
      </c>
      <c r="S19" s="157"/>
      <c r="T19" s="540" t="str">
        <f>IFERROR(VLOOKUP(S19,'G-1 All Habitats'!$Z$2:$AA$9,2,FALSE),"")</f>
        <v/>
      </c>
      <c r="U19" s="154"/>
      <c r="V19" s="520" t="str">
        <f>IF(U19="","",IF(VLOOKUP(U19,'G-3 Multipliers'!$L$3:$N$6,2,FALSE)=0,"Spatial Data Missing ⚠",VLOOKUP(U19,'G-3 Multipliers'!$L$3:$N$6,2,FALSE)))</f>
        <v/>
      </c>
      <c r="W19" s="524" t="str">
        <f>IF(U19="","",IF(VLOOKUP(U19,'G-3 Multipliers'!$L$3:$N$6,3,FALSE)=0,"Spatial Data Missing ⚠",VLOOKUP(U19,'G-3 Multipliers'!$L$3:$N$6,3,FALSE)))</f>
        <v/>
      </c>
      <c r="X19" s="498"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7" t="str">
        <f t="shared" si="3"/>
        <v/>
      </c>
      <c r="AB19" s="521" t="str">
        <f t="shared" si="4"/>
        <v/>
      </c>
      <c r="AC19" s="522" t="str">
        <f t="shared" si="1"/>
        <v/>
      </c>
      <c r="AD19" s="537" t="str">
        <f>IF(M19="","",VLOOKUP(M19,'G-6 Hedgerow Data'!$B$3:$AG$15,31,FALSE))</f>
        <v/>
      </c>
      <c r="AE19" s="507" t="str">
        <f t="shared" si="5"/>
        <v/>
      </c>
      <c r="AF19" s="507" t="str">
        <f t="shared" si="6"/>
        <v/>
      </c>
      <c r="AG19" s="524" t="str">
        <f>IFERROR(IF(O19="","",VLOOKUP(AD19,'G-3 Multipliers'!$P$3:$Q$6,2,FALSE)),"")</f>
        <v/>
      </c>
      <c r="AH19" s="513" t="str">
        <f t="shared" si="7"/>
        <v/>
      </c>
      <c r="AI19" s="231"/>
      <c r="AJ19" s="150"/>
      <c r="AT19" s="31" t="str">
        <f>IFERROR(INDEX('G-6 Hedgerow Data'!$BJ$3:$BJ$15,MATCH(M19,'G-6 Hedgerow Data'!$B$3:$B$15,0)),"")</f>
        <v/>
      </c>
    </row>
    <row r="20" spans="2:46" ht="13.8" x14ac:dyDescent="0.25">
      <c r="B20" s="531" t="str">
        <f>'B-1 Site Hedge Baseline'!AK18</f>
        <v/>
      </c>
      <c r="C20" s="520" t="str">
        <f>IF(B20="","",IF(ISNA(VLOOKUP($B20,'B-1 Site Hedge Baseline'!$B$1:$L$257,3,FALSE)),"",(VLOOKUP($B20,'B-1 Site Hedge Baseline'!$B$1:$L$257,3,FALSE))))</f>
        <v/>
      </c>
      <c r="D20" s="520" t="str">
        <f>IF(B20="","",IF(ISNA(VLOOKUP($B20,'B-1 Site Hedge Baseline'!$B$1:$L$257,4,FALSE)),"",(VLOOKUP($B20,'B-1 Site Hedge Baseline'!$B$1:$L$257,4,FALSE))))</f>
        <v/>
      </c>
      <c r="E20" s="520" t="str">
        <f>IF(B20="","",IF(ISNA(VLOOKUP($B20,'B-1 Site Hedge Baseline'!$B$1:$L$257,5,FALSE)),"",(VLOOKUP($B20,'B-1 Site Hedge Baseline'!$B$1:$L$257,5,FALSE))))</f>
        <v/>
      </c>
      <c r="F20" s="520" t="str">
        <f>IF(B20="","",IF(ISNA(VLOOKUP($B20,'B-1 Site Hedge Baseline'!$B$1:$L$257,6,FALSE)),"",(VLOOKUP($B20,'B-1 Site Hedge Baseline'!$B$1:$L$257,6,FALSE))))</f>
        <v/>
      </c>
      <c r="G20" s="520" t="str">
        <f>IF(B20="","",IF(ISNA(VLOOKUP($B20,'B-1 Site Hedge Baseline'!$B$1:$L$257,7,FALSE)),"",(VLOOKUP($B20,'B-1 Site Hedge Baseline'!$B$1:$L$257,7,FALSE))))</f>
        <v/>
      </c>
      <c r="H20" s="520" t="str">
        <f>IF(B20="","",IF(ISNA(VLOOKUP($B20,'B-1 Site Hedge Baseline'!$B$1:$L$257,8,FALSE)),"",(VLOOKUP($B20,'B-1 Site Hedge Baseline'!$B$1:$L$257,8,FALSE))))</f>
        <v/>
      </c>
      <c r="I20" s="520" t="str">
        <f>IF(B20="","",IF(ISNA(VLOOKUP($B20,'B-1 Site Hedge Baseline'!$B$1:$L$257,10,FALSE)),"",(VLOOKUP($B20,'B-1 Site Hedge Baseline'!$B$1:$L$257,10,FALSE))))</f>
        <v/>
      </c>
      <c r="J20" s="520" t="str">
        <f>IF(B20="","",IF(ISNA(VLOOKUP($B20,'B-1 Site Hedge Baseline'!$B$1:$L$257,11,FALSE)),"",(VLOOKUP($B20,'B-1 Site Hedge Baseline'!$B$1:$L$257,11,FALSE))))</f>
        <v/>
      </c>
      <c r="K20" s="520" t="str">
        <f>IF(B20="","",IF(ISNA(VLOOKUP($B20,'B-1 Site Hedge Baseline'!$B$1:$U$257,13,FALSE)),"",(VLOOKUP($B20,'B-1 Site Hedge Baseline'!$B$1:$U$257,13,FALSE))))</f>
        <v/>
      </c>
      <c r="L20" s="524" t="str">
        <f>IF(B20="","",IF(ISNA(VLOOKUP($B20,'B-1 Site Hedge Baseline'!$B$1:$U$257,12,FALSE)),"",(VLOOKUP($B20,'B-1 Site Hedge Baseline'!$B$1:$U$257,12,FALSE))))</f>
        <v/>
      </c>
      <c r="M20" s="416" t="str">
        <f t="shared" si="0"/>
        <v/>
      </c>
      <c r="N20" s="498" t="str">
        <f>IFERROR(IF(B20="","",INDEX('G-6 Hedgerow Data'!$AN$3:$AZ$15,MATCH(C20,'G-6 Hedgerow Data'!$AM$3:$AM$15,0),MATCH(M20,'G-6 Hedgerow Data'!$AN$2:$AZ$2,0))),"")</f>
        <v/>
      </c>
      <c r="O20" s="499" t="str">
        <f t="shared" si="2"/>
        <v/>
      </c>
      <c r="P20" s="559" t="str">
        <f>IF(B20="","",VLOOKUP(B20,'B-1 Site Hedge Baseline'!$B$10:T265,16,FALSE))</f>
        <v/>
      </c>
      <c r="Q20" s="498" t="str">
        <f>IF(M20="","",VLOOKUP(M20,'G-6 Hedgerow Data'!$B$2:$AG$15,2,FALSE))</f>
        <v/>
      </c>
      <c r="R20" s="499" t="str">
        <f>IF(M20="","",VLOOKUP(M20,'G-6 Hedgerow Data'!$B$2:$AG$15,3,FALSE))</f>
        <v/>
      </c>
      <c r="S20" s="157"/>
      <c r="T20" s="540" t="str">
        <f>IFERROR(VLOOKUP(S20,'G-1 All Habitats'!$Z$2:$AA$9,2,FALSE),"")</f>
        <v/>
      </c>
      <c r="U20" s="154"/>
      <c r="V20" s="520" t="str">
        <f>IF(U20="","",IF(VLOOKUP(U20,'G-3 Multipliers'!$L$3:$N$6,2,FALSE)=0,"Spatial Data Missing ⚠",VLOOKUP(U20,'G-3 Multipliers'!$L$3:$N$6,2,FALSE)))</f>
        <v/>
      </c>
      <c r="W20" s="524" t="str">
        <f>IF(U20="","",IF(VLOOKUP(U20,'G-3 Multipliers'!$L$3:$N$6,3,FALSE)=0,"Spatial Data Missing ⚠",VLOOKUP(U20,'G-3 Multipliers'!$L$3:$N$6,3,FALSE)))</f>
        <v/>
      </c>
      <c r="X20" s="498"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7" t="str">
        <f t="shared" si="3"/>
        <v/>
      </c>
      <c r="AB20" s="521" t="str">
        <f t="shared" si="4"/>
        <v/>
      </c>
      <c r="AC20" s="522" t="str">
        <f t="shared" si="1"/>
        <v/>
      </c>
      <c r="AD20" s="537" t="str">
        <f>IF(M20="","",VLOOKUP(M20,'G-6 Hedgerow Data'!$B$3:$AG$15,31,FALSE))</f>
        <v/>
      </c>
      <c r="AE20" s="507" t="str">
        <f t="shared" si="5"/>
        <v/>
      </c>
      <c r="AF20" s="507" t="str">
        <f t="shared" si="6"/>
        <v/>
      </c>
      <c r="AG20" s="524" t="str">
        <f>IFERROR(IF(O20="","",VLOOKUP(AD20,'G-3 Multipliers'!$P$3:$Q$6,2,FALSE)),"")</f>
        <v/>
      </c>
      <c r="AH20" s="513" t="str">
        <f t="shared" si="7"/>
        <v/>
      </c>
      <c r="AI20" s="231"/>
      <c r="AJ20" s="150"/>
      <c r="AT20" s="31" t="str">
        <f>IFERROR(INDEX('G-6 Hedgerow Data'!$BJ$3:$BJ$15,MATCH(M20,'G-6 Hedgerow Data'!$B$3:$B$15,0)),"")</f>
        <v/>
      </c>
    </row>
    <row r="21" spans="2:46" ht="13.8" x14ac:dyDescent="0.25">
      <c r="B21" s="531" t="str">
        <f>'B-1 Site Hedge Baseline'!AK19</f>
        <v/>
      </c>
      <c r="C21" s="520" t="str">
        <f>IF(B21="","",IF(ISNA(VLOOKUP($B21,'B-1 Site Hedge Baseline'!$B$1:$L$257,3,FALSE)),"",(VLOOKUP($B21,'B-1 Site Hedge Baseline'!$B$1:$L$257,3,FALSE))))</f>
        <v/>
      </c>
      <c r="D21" s="520" t="str">
        <f>IF(B21="","",IF(ISNA(VLOOKUP($B21,'B-1 Site Hedge Baseline'!$B$1:$L$257,4,FALSE)),"",(VLOOKUP($B21,'B-1 Site Hedge Baseline'!$B$1:$L$257,4,FALSE))))</f>
        <v/>
      </c>
      <c r="E21" s="520" t="str">
        <f>IF(B21="","",IF(ISNA(VLOOKUP($B21,'B-1 Site Hedge Baseline'!$B$1:$L$257,5,FALSE)),"",(VLOOKUP($B21,'B-1 Site Hedge Baseline'!$B$1:$L$257,5,FALSE))))</f>
        <v/>
      </c>
      <c r="F21" s="520" t="str">
        <f>IF(B21="","",IF(ISNA(VLOOKUP($B21,'B-1 Site Hedge Baseline'!$B$1:$L$257,6,FALSE)),"",(VLOOKUP($B21,'B-1 Site Hedge Baseline'!$B$1:$L$257,6,FALSE))))</f>
        <v/>
      </c>
      <c r="G21" s="520" t="str">
        <f>IF(B21="","",IF(ISNA(VLOOKUP($B21,'B-1 Site Hedge Baseline'!$B$1:$L$257,7,FALSE)),"",(VLOOKUP($B21,'B-1 Site Hedge Baseline'!$B$1:$L$257,7,FALSE))))</f>
        <v/>
      </c>
      <c r="H21" s="520" t="str">
        <f>IF(B21="","",IF(ISNA(VLOOKUP($B21,'B-1 Site Hedge Baseline'!$B$1:$L$257,8,FALSE)),"",(VLOOKUP($B21,'B-1 Site Hedge Baseline'!$B$1:$L$257,8,FALSE))))</f>
        <v/>
      </c>
      <c r="I21" s="520" t="str">
        <f>IF(B21="","",IF(ISNA(VLOOKUP($B21,'B-1 Site Hedge Baseline'!$B$1:$L$257,10,FALSE)),"",(VLOOKUP($B21,'B-1 Site Hedge Baseline'!$B$1:$L$257,10,FALSE))))</f>
        <v/>
      </c>
      <c r="J21" s="520" t="str">
        <f>IF(B21="","",IF(ISNA(VLOOKUP($B21,'B-1 Site Hedge Baseline'!$B$1:$L$257,11,FALSE)),"",(VLOOKUP($B21,'B-1 Site Hedge Baseline'!$B$1:$L$257,11,FALSE))))</f>
        <v/>
      </c>
      <c r="K21" s="520" t="str">
        <f>IF(B21="","",IF(ISNA(VLOOKUP($B21,'B-1 Site Hedge Baseline'!$B$1:$U$257,13,FALSE)),"",(VLOOKUP($B21,'B-1 Site Hedge Baseline'!$B$1:$U$257,13,FALSE))))</f>
        <v/>
      </c>
      <c r="L21" s="524" t="str">
        <f>IF(B21="","",IF(ISNA(VLOOKUP($B21,'B-1 Site Hedge Baseline'!$B$1:$U$257,12,FALSE)),"",(VLOOKUP($B21,'B-1 Site Hedge Baseline'!$B$1:$U$257,12,FALSE))))</f>
        <v/>
      </c>
      <c r="M21" s="416" t="str">
        <f t="shared" si="0"/>
        <v/>
      </c>
      <c r="N21" s="498" t="str">
        <f>IFERROR(IF(B21="","",INDEX('G-6 Hedgerow Data'!$AN$3:$AZ$15,MATCH(C21,'G-6 Hedgerow Data'!$AM$3:$AM$15,0),MATCH(M21,'G-6 Hedgerow Data'!$AN$2:$AZ$2,0))),"")</f>
        <v/>
      </c>
      <c r="O21" s="499" t="str">
        <f t="shared" si="2"/>
        <v/>
      </c>
      <c r="P21" s="559" t="str">
        <f>IF(B21="","",VLOOKUP(B21,'B-1 Site Hedge Baseline'!$B$10:T266,16,FALSE))</f>
        <v/>
      </c>
      <c r="Q21" s="498" t="str">
        <f>IF(M21="","",VLOOKUP(M21,'G-6 Hedgerow Data'!$B$2:$AG$15,2,FALSE))</f>
        <v/>
      </c>
      <c r="R21" s="499" t="str">
        <f>IF(M21="","",VLOOKUP(M21,'G-6 Hedgerow Data'!$B$2:$AG$15,3,FALSE))</f>
        <v/>
      </c>
      <c r="S21" s="157"/>
      <c r="T21" s="540" t="str">
        <f>IFERROR(VLOOKUP(S21,'G-1 All Habitats'!$Z$2:$AA$9,2,FALSE),"")</f>
        <v/>
      </c>
      <c r="U21" s="154"/>
      <c r="V21" s="520" t="str">
        <f>IF(U21="","",IF(VLOOKUP(U21,'G-3 Multipliers'!$L$3:$N$6,2,FALSE)=0,"Spatial Data Missing ⚠",VLOOKUP(U21,'G-3 Multipliers'!$L$3:$N$6,2,FALSE)))</f>
        <v/>
      </c>
      <c r="W21" s="524" t="str">
        <f>IF(U21="","",IF(VLOOKUP(U21,'G-3 Multipliers'!$L$3:$N$6,3,FALSE)=0,"Spatial Data Missing ⚠",VLOOKUP(U21,'G-3 Multipliers'!$L$3:$N$6,3,FALSE)))</f>
        <v/>
      </c>
      <c r="X21" s="498"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7" t="str">
        <f t="shared" si="3"/>
        <v/>
      </c>
      <c r="AB21" s="521" t="str">
        <f t="shared" si="4"/>
        <v/>
      </c>
      <c r="AC21" s="522" t="str">
        <f t="shared" si="1"/>
        <v/>
      </c>
      <c r="AD21" s="537" t="str">
        <f>IF(M21="","",VLOOKUP(M21,'G-6 Hedgerow Data'!$B$3:$AG$15,31,FALSE))</f>
        <v/>
      </c>
      <c r="AE21" s="507" t="str">
        <f t="shared" si="5"/>
        <v/>
      </c>
      <c r="AF21" s="507" t="str">
        <f t="shared" si="6"/>
        <v/>
      </c>
      <c r="AG21" s="524" t="str">
        <f>IFERROR(IF(O21="","",VLOOKUP(AD21,'G-3 Multipliers'!$P$3:$Q$6,2,FALSE)),"")</f>
        <v/>
      </c>
      <c r="AH21" s="513" t="str">
        <f t="shared" si="7"/>
        <v/>
      </c>
      <c r="AI21" s="231"/>
      <c r="AJ21" s="150"/>
      <c r="AT21" s="31" t="str">
        <f>IFERROR(INDEX('G-6 Hedgerow Data'!$BJ$3:$BJ$15,MATCH(M21,'G-6 Hedgerow Data'!$B$3:$B$15,0)),"")</f>
        <v/>
      </c>
    </row>
    <row r="22" spans="2:46" ht="13.8" x14ac:dyDescent="0.25">
      <c r="B22" s="531" t="str">
        <f>'B-1 Site Hedge Baseline'!AK20</f>
        <v/>
      </c>
      <c r="C22" s="520" t="str">
        <f>IF(B22="","",IF(ISNA(VLOOKUP($B22,'B-1 Site Hedge Baseline'!$B$1:$L$257,3,FALSE)),"",(VLOOKUP($B22,'B-1 Site Hedge Baseline'!$B$1:$L$257,3,FALSE))))</f>
        <v/>
      </c>
      <c r="D22" s="520" t="str">
        <f>IF(B22="","",IF(ISNA(VLOOKUP($B22,'B-1 Site Hedge Baseline'!$B$1:$L$257,4,FALSE)),"",(VLOOKUP($B22,'B-1 Site Hedge Baseline'!$B$1:$L$257,4,FALSE))))</f>
        <v/>
      </c>
      <c r="E22" s="520" t="str">
        <f>IF(B22="","",IF(ISNA(VLOOKUP($B22,'B-1 Site Hedge Baseline'!$B$1:$L$257,5,FALSE)),"",(VLOOKUP($B22,'B-1 Site Hedge Baseline'!$B$1:$L$257,5,FALSE))))</f>
        <v/>
      </c>
      <c r="F22" s="520" t="str">
        <f>IF(B22="","",IF(ISNA(VLOOKUP($B22,'B-1 Site Hedge Baseline'!$B$1:$L$257,6,FALSE)),"",(VLOOKUP($B22,'B-1 Site Hedge Baseline'!$B$1:$L$257,6,FALSE))))</f>
        <v/>
      </c>
      <c r="G22" s="520" t="str">
        <f>IF(B22="","",IF(ISNA(VLOOKUP($B22,'B-1 Site Hedge Baseline'!$B$1:$L$257,7,FALSE)),"",(VLOOKUP($B22,'B-1 Site Hedge Baseline'!$B$1:$L$257,7,FALSE))))</f>
        <v/>
      </c>
      <c r="H22" s="520" t="str">
        <f>IF(B22="","",IF(ISNA(VLOOKUP($B22,'B-1 Site Hedge Baseline'!$B$1:$L$257,8,FALSE)),"",(VLOOKUP($B22,'B-1 Site Hedge Baseline'!$B$1:$L$257,8,FALSE))))</f>
        <v/>
      </c>
      <c r="I22" s="520" t="str">
        <f>IF(B22="","",IF(ISNA(VLOOKUP($B22,'B-1 Site Hedge Baseline'!$B$1:$L$257,10,FALSE)),"",(VLOOKUP($B22,'B-1 Site Hedge Baseline'!$B$1:$L$257,10,FALSE))))</f>
        <v/>
      </c>
      <c r="J22" s="520" t="str">
        <f>IF(B22="","",IF(ISNA(VLOOKUP($B22,'B-1 Site Hedge Baseline'!$B$1:$L$257,11,FALSE)),"",(VLOOKUP($B22,'B-1 Site Hedge Baseline'!$B$1:$L$257,11,FALSE))))</f>
        <v/>
      </c>
      <c r="K22" s="520" t="str">
        <f>IF(B22="","",IF(ISNA(VLOOKUP($B22,'B-1 Site Hedge Baseline'!$B$1:$U$257,13,FALSE)),"",(VLOOKUP($B22,'B-1 Site Hedge Baseline'!$B$1:$U$257,13,FALSE))))</f>
        <v/>
      </c>
      <c r="L22" s="524" t="str">
        <f>IF(B22="","",IF(ISNA(VLOOKUP($B22,'B-1 Site Hedge Baseline'!$B$1:$U$257,12,FALSE)),"",(VLOOKUP($B22,'B-1 Site Hedge Baseline'!$B$1:$U$257,12,FALSE))))</f>
        <v/>
      </c>
      <c r="M22" s="416" t="str">
        <f t="shared" si="0"/>
        <v/>
      </c>
      <c r="N22" s="498" t="str">
        <f>IFERROR(IF(B22="","",INDEX('G-6 Hedgerow Data'!$AN$3:$AZ$15,MATCH(C22,'G-6 Hedgerow Data'!$AM$3:$AM$15,0),MATCH(M22,'G-6 Hedgerow Data'!$AN$2:$AZ$2,0))),"")</f>
        <v/>
      </c>
      <c r="O22" s="499" t="str">
        <f t="shared" si="2"/>
        <v/>
      </c>
      <c r="P22" s="559" t="str">
        <f>IF(B22="","",VLOOKUP(B22,'B-1 Site Hedge Baseline'!$B$10:T267,16,FALSE))</f>
        <v/>
      </c>
      <c r="Q22" s="498" t="str">
        <f>IF(M22="","",VLOOKUP(M22,'G-6 Hedgerow Data'!$B$2:$AG$15,2,FALSE))</f>
        <v/>
      </c>
      <c r="R22" s="499" t="str">
        <f>IF(M22="","",VLOOKUP(M22,'G-6 Hedgerow Data'!$B$2:$AG$15,3,FALSE))</f>
        <v/>
      </c>
      <c r="S22" s="157"/>
      <c r="T22" s="540" t="str">
        <f>IFERROR(VLOOKUP(S22,'G-1 All Habitats'!$Z$2:$AA$9,2,FALSE),"")</f>
        <v/>
      </c>
      <c r="U22" s="154"/>
      <c r="V22" s="520" t="str">
        <f>IF(U22="","",IF(VLOOKUP(U22,'G-3 Multipliers'!$L$3:$N$6,2,FALSE)=0,"Spatial Data Missing ⚠",VLOOKUP(U22,'G-3 Multipliers'!$L$3:$N$6,2,FALSE)))</f>
        <v/>
      </c>
      <c r="W22" s="524" t="str">
        <f>IF(U22="","",IF(VLOOKUP(U22,'G-3 Multipliers'!$L$3:$N$6,3,FALSE)=0,"Spatial Data Missing ⚠",VLOOKUP(U22,'G-3 Multipliers'!$L$3:$N$6,3,FALSE)))</f>
        <v/>
      </c>
      <c r="X22" s="498"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7" t="str">
        <f t="shared" si="3"/>
        <v/>
      </c>
      <c r="AB22" s="521" t="str">
        <f t="shared" si="4"/>
        <v/>
      </c>
      <c r="AC22" s="522" t="str">
        <f t="shared" si="1"/>
        <v/>
      </c>
      <c r="AD22" s="537" t="str">
        <f>IF(M22="","",VLOOKUP(M22,'G-6 Hedgerow Data'!$B$3:$AG$15,31,FALSE))</f>
        <v/>
      </c>
      <c r="AE22" s="507" t="str">
        <f t="shared" si="5"/>
        <v/>
      </c>
      <c r="AF22" s="507" t="str">
        <f t="shared" si="6"/>
        <v/>
      </c>
      <c r="AG22" s="524" t="str">
        <f>IFERROR(IF(O22="","",VLOOKUP(AD22,'G-3 Multipliers'!$P$3:$Q$6,2,FALSE)),"")</f>
        <v/>
      </c>
      <c r="AH22" s="513" t="str">
        <f t="shared" si="7"/>
        <v/>
      </c>
      <c r="AI22" s="231"/>
      <c r="AJ22" s="150"/>
      <c r="AT22" s="31" t="str">
        <f>IFERROR(INDEX('G-6 Hedgerow Data'!$BJ$3:$BJ$15,MATCH(M22,'G-6 Hedgerow Data'!$B$3:$B$15,0)),"")</f>
        <v/>
      </c>
    </row>
    <row r="23" spans="2:46" ht="13.8" x14ac:dyDescent="0.25">
      <c r="B23" s="531" t="str">
        <f>'B-1 Site Hedge Baseline'!AK21</f>
        <v/>
      </c>
      <c r="C23" s="520" t="str">
        <f>IF(B23="","",IF(ISNA(VLOOKUP($B23,'B-1 Site Hedge Baseline'!$B$1:$L$257,3,FALSE)),"",(VLOOKUP($B23,'B-1 Site Hedge Baseline'!$B$1:$L$257,3,FALSE))))</f>
        <v/>
      </c>
      <c r="D23" s="520" t="str">
        <f>IF(B23="","",IF(ISNA(VLOOKUP($B23,'B-1 Site Hedge Baseline'!$B$1:$L$257,4,FALSE)),"",(VLOOKUP($B23,'B-1 Site Hedge Baseline'!$B$1:$L$257,4,FALSE))))</f>
        <v/>
      </c>
      <c r="E23" s="520" t="str">
        <f>IF(B23="","",IF(ISNA(VLOOKUP($B23,'B-1 Site Hedge Baseline'!$B$1:$L$257,5,FALSE)),"",(VLOOKUP($B23,'B-1 Site Hedge Baseline'!$B$1:$L$257,5,FALSE))))</f>
        <v/>
      </c>
      <c r="F23" s="520" t="str">
        <f>IF(B23="","",IF(ISNA(VLOOKUP($B23,'B-1 Site Hedge Baseline'!$B$1:$L$257,6,FALSE)),"",(VLOOKUP($B23,'B-1 Site Hedge Baseline'!$B$1:$L$257,6,FALSE))))</f>
        <v/>
      </c>
      <c r="G23" s="520" t="str">
        <f>IF(B23="","",IF(ISNA(VLOOKUP($B23,'B-1 Site Hedge Baseline'!$B$1:$L$257,7,FALSE)),"",(VLOOKUP($B23,'B-1 Site Hedge Baseline'!$B$1:$L$257,7,FALSE))))</f>
        <v/>
      </c>
      <c r="H23" s="520" t="str">
        <f>IF(B23="","",IF(ISNA(VLOOKUP($B23,'B-1 Site Hedge Baseline'!$B$1:$L$257,8,FALSE)),"",(VLOOKUP($B23,'B-1 Site Hedge Baseline'!$B$1:$L$257,8,FALSE))))</f>
        <v/>
      </c>
      <c r="I23" s="520" t="str">
        <f>IF(B23="","",IF(ISNA(VLOOKUP($B23,'B-1 Site Hedge Baseline'!$B$1:$L$257,10,FALSE)),"",(VLOOKUP($B23,'B-1 Site Hedge Baseline'!$B$1:$L$257,10,FALSE))))</f>
        <v/>
      </c>
      <c r="J23" s="520" t="str">
        <f>IF(B23="","",IF(ISNA(VLOOKUP($B23,'B-1 Site Hedge Baseline'!$B$1:$L$257,11,FALSE)),"",(VLOOKUP($B23,'B-1 Site Hedge Baseline'!$B$1:$L$257,11,FALSE))))</f>
        <v/>
      </c>
      <c r="K23" s="520" t="str">
        <f>IF(B23="","",IF(ISNA(VLOOKUP($B23,'B-1 Site Hedge Baseline'!$B$1:$U$257,13,FALSE)),"",(VLOOKUP($B23,'B-1 Site Hedge Baseline'!$B$1:$U$257,13,FALSE))))</f>
        <v/>
      </c>
      <c r="L23" s="524" t="str">
        <f>IF(B23="","",IF(ISNA(VLOOKUP($B23,'B-1 Site Hedge Baseline'!$B$1:$U$257,12,FALSE)),"",(VLOOKUP($B23,'B-1 Site Hedge Baseline'!$B$1:$U$257,12,FALSE))))</f>
        <v/>
      </c>
      <c r="M23" s="416" t="str">
        <f t="shared" si="0"/>
        <v/>
      </c>
      <c r="N23" s="498" t="str">
        <f>IFERROR(IF(B23="","",INDEX('G-6 Hedgerow Data'!$AN$3:$AZ$15,MATCH(C23,'G-6 Hedgerow Data'!$AM$3:$AM$15,0),MATCH(M23,'G-6 Hedgerow Data'!$AN$2:$AZ$2,0))),"")</f>
        <v/>
      </c>
      <c r="O23" s="499" t="str">
        <f t="shared" si="2"/>
        <v/>
      </c>
      <c r="P23" s="559" t="str">
        <f>IF(B23="","",VLOOKUP(B23,'B-1 Site Hedge Baseline'!$B$10:T268,16,FALSE))</f>
        <v/>
      </c>
      <c r="Q23" s="498" t="str">
        <f>IF(M23="","",VLOOKUP(M23,'G-6 Hedgerow Data'!$B$2:$AG$15,2,FALSE))</f>
        <v/>
      </c>
      <c r="R23" s="499" t="str">
        <f>IF(M23="","",VLOOKUP(M23,'G-6 Hedgerow Data'!$B$2:$AG$15,3,FALSE))</f>
        <v/>
      </c>
      <c r="S23" s="157"/>
      <c r="T23" s="540" t="str">
        <f>IFERROR(VLOOKUP(S23,'G-1 All Habitats'!$Z$2:$AA$9,2,FALSE),"")</f>
        <v/>
      </c>
      <c r="U23" s="154"/>
      <c r="V23" s="520" t="str">
        <f>IF(U23="","",IF(VLOOKUP(U23,'G-3 Multipliers'!$L$3:$N$6,2,FALSE)=0,"Spatial Data Missing ⚠",VLOOKUP(U23,'G-3 Multipliers'!$L$3:$N$6,2,FALSE)))</f>
        <v/>
      </c>
      <c r="W23" s="524" t="str">
        <f>IF(U23="","",IF(VLOOKUP(U23,'G-3 Multipliers'!$L$3:$N$6,3,FALSE)=0,"Spatial Data Missing ⚠",VLOOKUP(U23,'G-3 Multipliers'!$L$3:$N$6,3,FALSE)))</f>
        <v/>
      </c>
      <c r="X23" s="498"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7" t="str">
        <f t="shared" si="3"/>
        <v/>
      </c>
      <c r="AB23" s="521" t="str">
        <f t="shared" si="4"/>
        <v/>
      </c>
      <c r="AC23" s="522" t="str">
        <f t="shared" si="1"/>
        <v/>
      </c>
      <c r="AD23" s="537" t="str">
        <f>IF(M23="","",VLOOKUP(M23,'G-6 Hedgerow Data'!$B$3:$AG$15,31,FALSE))</f>
        <v/>
      </c>
      <c r="AE23" s="507" t="str">
        <f t="shared" si="5"/>
        <v/>
      </c>
      <c r="AF23" s="507" t="str">
        <f t="shared" si="6"/>
        <v/>
      </c>
      <c r="AG23" s="524" t="str">
        <f>IFERROR(IF(O23="","",VLOOKUP(AD23,'G-3 Multipliers'!$P$3:$Q$6,2,FALSE)),"")</f>
        <v/>
      </c>
      <c r="AH23" s="513" t="str">
        <f t="shared" si="7"/>
        <v/>
      </c>
      <c r="AI23" s="231"/>
      <c r="AJ23" s="150"/>
      <c r="AT23" s="31" t="str">
        <f>IFERROR(INDEX('G-6 Hedgerow Data'!$BJ$3:$BJ$15,MATCH(M23,'G-6 Hedgerow Data'!$B$3:$B$15,0)),"")</f>
        <v/>
      </c>
    </row>
    <row r="24" spans="2:46" ht="13.8" x14ac:dyDescent="0.25">
      <c r="B24" s="531" t="str">
        <f>'B-1 Site Hedge Baseline'!AK22</f>
        <v/>
      </c>
      <c r="C24" s="520" t="str">
        <f>IF(B24="","",IF(ISNA(VLOOKUP($B24,'B-1 Site Hedge Baseline'!$B$1:$L$257,3,FALSE)),"",(VLOOKUP($B24,'B-1 Site Hedge Baseline'!$B$1:$L$257,3,FALSE))))</f>
        <v/>
      </c>
      <c r="D24" s="520" t="str">
        <f>IF(B24="","",IF(ISNA(VLOOKUP($B24,'B-1 Site Hedge Baseline'!$B$1:$L$257,4,FALSE)),"",(VLOOKUP($B24,'B-1 Site Hedge Baseline'!$B$1:$L$257,4,FALSE))))</f>
        <v/>
      </c>
      <c r="E24" s="520" t="str">
        <f>IF(B24="","",IF(ISNA(VLOOKUP($B24,'B-1 Site Hedge Baseline'!$B$1:$L$257,5,FALSE)),"",(VLOOKUP($B24,'B-1 Site Hedge Baseline'!$B$1:$L$257,5,FALSE))))</f>
        <v/>
      </c>
      <c r="F24" s="520" t="str">
        <f>IF(B24="","",IF(ISNA(VLOOKUP($B24,'B-1 Site Hedge Baseline'!$B$1:$L$257,6,FALSE)),"",(VLOOKUP($B24,'B-1 Site Hedge Baseline'!$B$1:$L$257,6,FALSE))))</f>
        <v/>
      </c>
      <c r="G24" s="520" t="str">
        <f>IF(B24="","",IF(ISNA(VLOOKUP($B24,'B-1 Site Hedge Baseline'!$B$1:$L$257,7,FALSE)),"",(VLOOKUP($B24,'B-1 Site Hedge Baseline'!$B$1:$L$257,7,FALSE))))</f>
        <v/>
      </c>
      <c r="H24" s="520" t="str">
        <f>IF(B24="","",IF(ISNA(VLOOKUP($B24,'B-1 Site Hedge Baseline'!$B$1:$L$257,8,FALSE)),"",(VLOOKUP($B24,'B-1 Site Hedge Baseline'!$B$1:$L$257,8,FALSE))))</f>
        <v/>
      </c>
      <c r="I24" s="520" t="str">
        <f>IF(B24="","",IF(ISNA(VLOOKUP($B24,'B-1 Site Hedge Baseline'!$B$1:$L$257,10,FALSE)),"",(VLOOKUP($B24,'B-1 Site Hedge Baseline'!$B$1:$L$257,10,FALSE))))</f>
        <v/>
      </c>
      <c r="J24" s="520" t="str">
        <f>IF(B24="","",IF(ISNA(VLOOKUP($B24,'B-1 Site Hedge Baseline'!$B$1:$L$257,11,FALSE)),"",(VLOOKUP($B24,'B-1 Site Hedge Baseline'!$B$1:$L$257,11,FALSE))))</f>
        <v/>
      </c>
      <c r="K24" s="520" t="str">
        <f>IF(B24="","",IF(ISNA(VLOOKUP($B24,'B-1 Site Hedge Baseline'!$B$1:$U$257,13,FALSE)),"",(VLOOKUP($B24,'B-1 Site Hedge Baseline'!$B$1:$U$257,13,FALSE))))</f>
        <v/>
      </c>
      <c r="L24" s="524" t="str">
        <f>IF(B24="","",IF(ISNA(VLOOKUP($B24,'B-1 Site Hedge Baseline'!$B$1:$U$257,12,FALSE)),"",(VLOOKUP($B24,'B-1 Site Hedge Baseline'!$B$1:$U$257,12,FALSE))))</f>
        <v/>
      </c>
      <c r="M24" s="416" t="str">
        <f t="shared" si="0"/>
        <v/>
      </c>
      <c r="N24" s="498" t="str">
        <f>IFERROR(IF(B24="","",INDEX('G-6 Hedgerow Data'!$AN$3:$AZ$15,MATCH(C24,'G-6 Hedgerow Data'!$AM$3:$AM$15,0),MATCH(M24,'G-6 Hedgerow Data'!$AN$2:$AZ$2,0))),"")</f>
        <v/>
      </c>
      <c r="O24" s="499" t="str">
        <f t="shared" si="2"/>
        <v/>
      </c>
      <c r="P24" s="559" t="str">
        <f>IF(B24="","",VLOOKUP(B24,'B-1 Site Hedge Baseline'!$B$10:T269,16,FALSE))</f>
        <v/>
      </c>
      <c r="Q24" s="498" t="str">
        <f>IF(M24="","",VLOOKUP(M24,'G-6 Hedgerow Data'!$B$2:$AG$15,2,FALSE))</f>
        <v/>
      </c>
      <c r="R24" s="499" t="str">
        <f>IF(M24="","",VLOOKUP(M24,'G-6 Hedgerow Data'!$B$2:$AG$15,3,FALSE))</f>
        <v/>
      </c>
      <c r="S24" s="157"/>
      <c r="T24" s="540" t="str">
        <f>IFERROR(VLOOKUP(S24,'G-1 All Habitats'!$Z$2:$AA$9,2,FALSE),"")</f>
        <v/>
      </c>
      <c r="U24" s="154"/>
      <c r="V24" s="520" t="str">
        <f>IF(U24="","",IF(VLOOKUP(U24,'G-3 Multipliers'!$L$3:$N$6,2,FALSE)=0,"Spatial Data Missing ⚠",VLOOKUP(U24,'G-3 Multipliers'!$L$3:$N$6,2,FALSE)))</f>
        <v/>
      </c>
      <c r="W24" s="524" t="str">
        <f>IF(U24="","",IF(VLOOKUP(U24,'G-3 Multipliers'!$L$3:$N$6,3,FALSE)=0,"Spatial Data Missing ⚠",VLOOKUP(U24,'G-3 Multipliers'!$L$3:$N$6,3,FALSE)))</f>
        <v/>
      </c>
      <c r="X24" s="498"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7" t="str">
        <f t="shared" si="3"/>
        <v/>
      </c>
      <c r="AB24" s="521" t="str">
        <f t="shared" si="4"/>
        <v/>
      </c>
      <c r="AC24" s="522" t="str">
        <f t="shared" si="1"/>
        <v/>
      </c>
      <c r="AD24" s="537" t="str">
        <f>IF(M24="","",VLOOKUP(M24,'G-6 Hedgerow Data'!$B$3:$AG$15,31,FALSE))</f>
        <v/>
      </c>
      <c r="AE24" s="507" t="str">
        <f t="shared" si="5"/>
        <v/>
      </c>
      <c r="AF24" s="507" t="str">
        <f t="shared" si="6"/>
        <v/>
      </c>
      <c r="AG24" s="524" t="str">
        <f>IFERROR(IF(O24="","",VLOOKUP(AD24,'G-3 Multipliers'!$P$3:$Q$6,2,FALSE)),"")</f>
        <v/>
      </c>
      <c r="AH24" s="513" t="str">
        <f t="shared" si="7"/>
        <v/>
      </c>
      <c r="AI24" s="231"/>
      <c r="AJ24" s="150"/>
      <c r="AT24" s="31" t="str">
        <f>IFERROR(INDEX('G-6 Hedgerow Data'!$BJ$3:$BJ$15,MATCH(M24,'G-6 Hedgerow Data'!$B$3:$B$15,0)),"")</f>
        <v/>
      </c>
    </row>
    <row r="25" spans="2:46" ht="13.8" x14ac:dyDescent="0.25">
      <c r="B25" s="531" t="str">
        <f>'B-1 Site Hedge Baseline'!AK23</f>
        <v/>
      </c>
      <c r="C25" s="520" t="str">
        <f>IF(B25="","",IF(ISNA(VLOOKUP($B25,'B-1 Site Hedge Baseline'!$B$1:$L$257,3,FALSE)),"",(VLOOKUP($B25,'B-1 Site Hedge Baseline'!$B$1:$L$257,3,FALSE))))</f>
        <v/>
      </c>
      <c r="D25" s="520" t="str">
        <f>IF(B25="","",IF(ISNA(VLOOKUP($B25,'B-1 Site Hedge Baseline'!$B$1:$L$257,4,FALSE)),"",(VLOOKUP($B25,'B-1 Site Hedge Baseline'!$B$1:$L$257,4,FALSE))))</f>
        <v/>
      </c>
      <c r="E25" s="520" t="str">
        <f>IF(B25="","",IF(ISNA(VLOOKUP($B25,'B-1 Site Hedge Baseline'!$B$1:$L$257,5,FALSE)),"",(VLOOKUP($B25,'B-1 Site Hedge Baseline'!$B$1:$L$257,5,FALSE))))</f>
        <v/>
      </c>
      <c r="F25" s="520" t="str">
        <f>IF(B25="","",IF(ISNA(VLOOKUP($B25,'B-1 Site Hedge Baseline'!$B$1:$L$257,6,FALSE)),"",(VLOOKUP($B25,'B-1 Site Hedge Baseline'!$B$1:$L$257,6,FALSE))))</f>
        <v/>
      </c>
      <c r="G25" s="520" t="str">
        <f>IF(B25="","",IF(ISNA(VLOOKUP($B25,'B-1 Site Hedge Baseline'!$B$1:$L$257,7,FALSE)),"",(VLOOKUP($B25,'B-1 Site Hedge Baseline'!$B$1:$L$257,7,FALSE))))</f>
        <v/>
      </c>
      <c r="H25" s="520" t="str">
        <f>IF(B25="","",IF(ISNA(VLOOKUP($B25,'B-1 Site Hedge Baseline'!$B$1:$L$257,8,FALSE)),"",(VLOOKUP($B25,'B-1 Site Hedge Baseline'!$B$1:$L$257,8,FALSE))))</f>
        <v/>
      </c>
      <c r="I25" s="520" t="str">
        <f>IF(B25="","",IF(ISNA(VLOOKUP($B25,'B-1 Site Hedge Baseline'!$B$1:$L$257,10,FALSE)),"",(VLOOKUP($B25,'B-1 Site Hedge Baseline'!$B$1:$L$257,10,FALSE))))</f>
        <v/>
      </c>
      <c r="J25" s="520" t="str">
        <f>IF(B25="","",IF(ISNA(VLOOKUP($B25,'B-1 Site Hedge Baseline'!$B$1:$L$257,11,FALSE)),"",(VLOOKUP($B25,'B-1 Site Hedge Baseline'!$B$1:$L$257,11,FALSE))))</f>
        <v/>
      </c>
      <c r="K25" s="520" t="str">
        <f>IF(B25="","",IF(ISNA(VLOOKUP($B25,'B-1 Site Hedge Baseline'!$B$1:$U$257,13,FALSE)),"",(VLOOKUP($B25,'B-1 Site Hedge Baseline'!$B$1:$U$257,13,FALSE))))</f>
        <v/>
      </c>
      <c r="L25" s="524" t="str">
        <f>IF(B25="","",IF(ISNA(VLOOKUP($B25,'B-1 Site Hedge Baseline'!$B$1:$U$257,12,FALSE)),"",(VLOOKUP($B25,'B-1 Site Hedge Baseline'!$B$1:$U$257,12,FALSE))))</f>
        <v/>
      </c>
      <c r="M25" s="416" t="str">
        <f t="shared" si="0"/>
        <v/>
      </c>
      <c r="N25" s="498" t="str">
        <f>IFERROR(IF(B25="","",INDEX('G-6 Hedgerow Data'!$AN$3:$AZ$15,MATCH(C25,'G-6 Hedgerow Data'!$AM$3:$AM$15,0),MATCH(M25,'G-6 Hedgerow Data'!$AN$2:$AZ$2,0))),"")</f>
        <v/>
      </c>
      <c r="O25" s="499" t="str">
        <f t="shared" si="2"/>
        <v/>
      </c>
      <c r="P25" s="559" t="str">
        <f>IF(B25="","",VLOOKUP(B25,'B-1 Site Hedge Baseline'!$B$10:T270,16,FALSE))</f>
        <v/>
      </c>
      <c r="Q25" s="498" t="str">
        <f>IF(M25="","",VLOOKUP(M25,'G-6 Hedgerow Data'!$B$2:$AG$15,2,FALSE))</f>
        <v/>
      </c>
      <c r="R25" s="499" t="str">
        <f>IF(M25="","",VLOOKUP(M25,'G-6 Hedgerow Data'!$B$2:$AG$15,3,FALSE))</f>
        <v/>
      </c>
      <c r="S25" s="157"/>
      <c r="T25" s="540" t="str">
        <f>IFERROR(VLOOKUP(S25,'G-1 All Habitats'!$Z$2:$AA$9,2,FALSE),"")</f>
        <v/>
      </c>
      <c r="U25" s="154"/>
      <c r="V25" s="520" t="str">
        <f>IF(U25="","",IF(VLOOKUP(U25,'G-3 Multipliers'!$L$3:$N$6,2,FALSE)=0,"Spatial Data Missing ⚠",VLOOKUP(U25,'G-3 Multipliers'!$L$3:$N$6,2,FALSE)))</f>
        <v/>
      </c>
      <c r="W25" s="524" t="str">
        <f>IF(U25="","",IF(VLOOKUP(U25,'G-3 Multipliers'!$L$3:$N$6,3,FALSE)=0,"Spatial Data Missing ⚠",VLOOKUP(U25,'G-3 Multipliers'!$L$3:$N$6,3,FALSE)))</f>
        <v/>
      </c>
      <c r="X25" s="498"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7" t="str">
        <f t="shared" si="3"/>
        <v/>
      </c>
      <c r="AB25" s="521" t="str">
        <f t="shared" si="4"/>
        <v/>
      </c>
      <c r="AC25" s="522" t="str">
        <f t="shared" si="1"/>
        <v/>
      </c>
      <c r="AD25" s="537" t="str">
        <f>IF(M25="","",VLOOKUP(M25,'G-6 Hedgerow Data'!$B$3:$AG$15,31,FALSE))</f>
        <v/>
      </c>
      <c r="AE25" s="507" t="str">
        <f t="shared" si="5"/>
        <v/>
      </c>
      <c r="AF25" s="507" t="str">
        <f t="shared" si="6"/>
        <v/>
      </c>
      <c r="AG25" s="524" t="str">
        <f>IFERROR(IF(O25="","",VLOOKUP(AD25,'G-3 Multipliers'!$P$3:$Q$6,2,FALSE)),"")</f>
        <v/>
      </c>
      <c r="AH25" s="513" t="str">
        <f t="shared" si="7"/>
        <v/>
      </c>
      <c r="AI25" s="231"/>
      <c r="AJ25" s="150"/>
      <c r="AT25" s="31" t="str">
        <f>IFERROR(INDEX('G-6 Hedgerow Data'!$BJ$3:$BJ$15,MATCH(M25,'G-6 Hedgerow Data'!$B$3:$B$15,0)),"")</f>
        <v/>
      </c>
    </row>
    <row r="26" spans="2:46" ht="13.8" x14ac:dyDescent="0.25">
      <c r="B26" s="531" t="str">
        <f>'B-1 Site Hedge Baseline'!AK24</f>
        <v/>
      </c>
      <c r="C26" s="520" t="str">
        <f>IF(B26="","",IF(ISNA(VLOOKUP($B26,'B-1 Site Hedge Baseline'!$B$1:$L$257,3,FALSE)),"",(VLOOKUP($B26,'B-1 Site Hedge Baseline'!$B$1:$L$257,3,FALSE))))</f>
        <v/>
      </c>
      <c r="D26" s="520" t="str">
        <f>IF(B26="","",IF(ISNA(VLOOKUP($B26,'B-1 Site Hedge Baseline'!$B$1:$L$257,4,FALSE)),"",(VLOOKUP($B26,'B-1 Site Hedge Baseline'!$B$1:$L$257,4,FALSE))))</f>
        <v/>
      </c>
      <c r="E26" s="520" t="str">
        <f>IF(B26="","",IF(ISNA(VLOOKUP($B26,'B-1 Site Hedge Baseline'!$B$1:$L$257,5,FALSE)),"",(VLOOKUP($B26,'B-1 Site Hedge Baseline'!$B$1:$L$257,5,FALSE))))</f>
        <v/>
      </c>
      <c r="F26" s="520" t="str">
        <f>IF(B26="","",IF(ISNA(VLOOKUP($B26,'B-1 Site Hedge Baseline'!$B$1:$L$257,6,FALSE)),"",(VLOOKUP($B26,'B-1 Site Hedge Baseline'!$B$1:$L$257,6,FALSE))))</f>
        <v/>
      </c>
      <c r="G26" s="520" t="str">
        <f>IF(B26="","",IF(ISNA(VLOOKUP($B26,'B-1 Site Hedge Baseline'!$B$1:$L$257,7,FALSE)),"",(VLOOKUP($B26,'B-1 Site Hedge Baseline'!$B$1:$L$257,7,FALSE))))</f>
        <v/>
      </c>
      <c r="H26" s="520" t="str">
        <f>IF(B26="","",IF(ISNA(VLOOKUP($B26,'B-1 Site Hedge Baseline'!$B$1:$L$257,8,FALSE)),"",(VLOOKUP($B26,'B-1 Site Hedge Baseline'!$B$1:$L$257,8,FALSE))))</f>
        <v/>
      </c>
      <c r="I26" s="520" t="str">
        <f>IF(B26="","",IF(ISNA(VLOOKUP($B26,'B-1 Site Hedge Baseline'!$B$1:$L$257,10,FALSE)),"",(VLOOKUP($B26,'B-1 Site Hedge Baseline'!$B$1:$L$257,10,FALSE))))</f>
        <v/>
      </c>
      <c r="J26" s="520" t="str">
        <f>IF(B26="","",IF(ISNA(VLOOKUP($B26,'B-1 Site Hedge Baseline'!$B$1:$L$257,11,FALSE)),"",(VLOOKUP($B26,'B-1 Site Hedge Baseline'!$B$1:$L$257,11,FALSE))))</f>
        <v/>
      </c>
      <c r="K26" s="520" t="str">
        <f>IF(B26="","",IF(ISNA(VLOOKUP($B26,'B-1 Site Hedge Baseline'!$B$1:$U$257,13,FALSE)),"",(VLOOKUP($B26,'B-1 Site Hedge Baseline'!$B$1:$U$257,13,FALSE))))</f>
        <v/>
      </c>
      <c r="L26" s="524" t="str">
        <f>IF(B26="","",IF(ISNA(VLOOKUP($B26,'B-1 Site Hedge Baseline'!$B$1:$U$257,12,FALSE)),"",(VLOOKUP($B26,'B-1 Site Hedge Baseline'!$B$1:$U$257,12,FALSE))))</f>
        <v/>
      </c>
      <c r="M26" s="416" t="str">
        <f t="shared" si="0"/>
        <v/>
      </c>
      <c r="N26" s="498" t="str">
        <f>IFERROR(IF(B26="","",INDEX('G-6 Hedgerow Data'!$AN$3:$AZ$15,MATCH(C26,'G-6 Hedgerow Data'!$AM$3:$AM$15,0),MATCH(M26,'G-6 Hedgerow Data'!$AN$2:$AZ$2,0))),"")</f>
        <v/>
      </c>
      <c r="O26" s="499" t="str">
        <f t="shared" si="2"/>
        <v/>
      </c>
      <c r="P26" s="559" t="str">
        <f>IF(B26="","",VLOOKUP(B26,'B-1 Site Hedge Baseline'!$B$10:T271,16,FALSE))</f>
        <v/>
      </c>
      <c r="Q26" s="498" t="str">
        <f>IF(M26="","",VLOOKUP(M26,'G-6 Hedgerow Data'!$B$2:$AG$15,2,FALSE))</f>
        <v/>
      </c>
      <c r="R26" s="499" t="str">
        <f>IF(M26="","",VLOOKUP(M26,'G-6 Hedgerow Data'!$B$2:$AG$15,3,FALSE))</f>
        <v/>
      </c>
      <c r="S26" s="157"/>
      <c r="T26" s="540" t="str">
        <f>IFERROR(VLOOKUP(S26,'G-1 All Habitats'!$Z$2:$AA$9,2,FALSE),"")</f>
        <v/>
      </c>
      <c r="U26" s="154"/>
      <c r="V26" s="520" t="str">
        <f>IF(U26="","",IF(VLOOKUP(U26,'G-3 Multipliers'!$L$3:$N$6,2,FALSE)=0,"Spatial Data Missing ⚠",VLOOKUP(U26,'G-3 Multipliers'!$L$3:$N$6,2,FALSE)))</f>
        <v/>
      </c>
      <c r="W26" s="524" t="str">
        <f>IF(U26="","",IF(VLOOKUP(U26,'G-3 Multipliers'!$L$3:$N$6,3,FALSE)=0,"Spatial Data Missing ⚠",VLOOKUP(U26,'G-3 Multipliers'!$L$3:$N$6,3,FALSE)))</f>
        <v/>
      </c>
      <c r="X26" s="498"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7" t="str">
        <f t="shared" si="3"/>
        <v/>
      </c>
      <c r="AB26" s="521" t="str">
        <f t="shared" si="4"/>
        <v/>
      </c>
      <c r="AC26" s="522" t="str">
        <f t="shared" si="1"/>
        <v/>
      </c>
      <c r="AD26" s="537" t="str">
        <f>IF(M26="","",VLOOKUP(M26,'G-6 Hedgerow Data'!$B$3:$AG$15,31,FALSE))</f>
        <v/>
      </c>
      <c r="AE26" s="507" t="str">
        <f t="shared" si="5"/>
        <v/>
      </c>
      <c r="AF26" s="507" t="str">
        <f t="shared" si="6"/>
        <v/>
      </c>
      <c r="AG26" s="524" t="str">
        <f>IFERROR(IF(O26="","",VLOOKUP(AD26,'G-3 Multipliers'!$P$3:$Q$6,2,FALSE)),"")</f>
        <v/>
      </c>
      <c r="AH26" s="513" t="str">
        <f t="shared" si="7"/>
        <v/>
      </c>
      <c r="AI26" s="231"/>
      <c r="AJ26" s="150"/>
      <c r="AT26" s="31" t="str">
        <f>IFERROR(INDEX('G-6 Hedgerow Data'!$BJ$3:$BJ$15,MATCH(M26,'G-6 Hedgerow Data'!$B$3:$B$15,0)),"")</f>
        <v/>
      </c>
    </row>
    <row r="27" spans="2:46" ht="13.8" x14ac:dyDescent="0.25">
      <c r="B27" s="531" t="str">
        <f>'B-1 Site Hedge Baseline'!AK25</f>
        <v/>
      </c>
      <c r="C27" s="520" t="str">
        <f>IF(B27="","",IF(ISNA(VLOOKUP($B27,'B-1 Site Hedge Baseline'!$B$1:$L$257,3,FALSE)),"",(VLOOKUP($B27,'B-1 Site Hedge Baseline'!$B$1:$L$257,3,FALSE))))</f>
        <v/>
      </c>
      <c r="D27" s="520" t="str">
        <f>IF(B27="","",IF(ISNA(VLOOKUP($B27,'B-1 Site Hedge Baseline'!$B$1:$L$257,4,FALSE)),"",(VLOOKUP($B27,'B-1 Site Hedge Baseline'!$B$1:$L$257,4,FALSE))))</f>
        <v/>
      </c>
      <c r="E27" s="520" t="str">
        <f>IF(B27="","",IF(ISNA(VLOOKUP($B27,'B-1 Site Hedge Baseline'!$B$1:$L$257,5,FALSE)),"",(VLOOKUP($B27,'B-1 Site Hedge Baseline'!$B$1:$L$257,5,FALSE))))</f>
        <v/>
      </c>
      <c r="F27" s="520" t="str">
        <f>IF(B27="","",IF(ISNA(VLOOKUP($B27,'B-1 Site Hedge Baseline'!$B$1:$L$257,6,FALSE)),"",(VLOOKUP($B27,'B-1 Site Hedge Baseline'!$B$1:$L$257,6,FALSE))))</f>
        <v/>
      </c>
      <c r="G27" s="520" t="str">
        <f>IF(B27="","",IF(ISNA(VLOOKUP($B27,'B-1 Site Hedge Baseline'!$B$1:$L$257,7,FALSE)),"",(VLOOKUP($B27,'B-1 Site Hedge Baseline'!$B$1:$L$257,7,FALSE))))</f>
        <v/>
      </c>
      <c r="H27" s="520" t="str">
        <f>IF(B27="","",IF(ISNA(VLOOKUP($B27,'B-1 Site Hedge Baseline'!$B$1:$L$257,8,FALSE)),"",(VLOOKUP($B27,'B-1 Site Hedge Baseline'!$B$1:$L$257,8,FALSE))))</f>
        <v/>
      </c>
      <c r="I27" s="520" t="str">
        <f>IF(B27="","",IF(ISNA(VLOOKUP($B27,'B-1 Site Hedge Baseline'!$B$1:$L$257,10,FALSE)),"",(VLOOKUP($B27,'B-1 Site Hedge Baseline'!$B$1:$L$257,10,FALSE))))</f>
        <v/>
      </c>
      <c r="J27" s="520" t="str">
        <f>IF(B27="","",IF(ISNA(VLOOKUP($B27,'B-1 Site Hedge Baseline'!$B$1:$L$257,11,FALSE)),"",(VLOOKUP($B27,'B-1 Site Hedge Baseline'!$B$1:$L$257,11,FALSE))))</f>
        <v/>
      </c>
      <c r="K27" s="520" t="str">
        <f>IF(B27="","",IF(ISNA(VLOOKUP($B27,'B-1 Site Hedge Baseline'!$B$1:$U$257,13,FALSE)),"",(VLOOKUP($B27,'B-1 Site Hedge Baseline'!$B$1:$U$257,13,FALSE))))</f>
        <v/>
      </c>
      <c r="L27" s="524" t="str">
        <f>IF(B27="","",IF(ISNA(VLOOKUP($B27,'B-1 Site Hedge Baseline'!$B$1:$U$257,12,FALSE)),"",(VLOOKUP($B27,'B-1 Site Hedge Baseline'!$B$1:$U$257,12,FALSE))))</f>
        <v/>
      </c>
      <c r="M27" s="416" t="str">
        <f t="shared" si="0"/>
        <v/>
      </c>
      <c r="N27" s="498" t="str">
        <f>IFERROR(IF(B27="","",INDEX('G-6 Hedgerow Data'!$AN$3:$AZ$15,MATCH(C27,'G-6 Hedgerow Data'!$AM$3:$AM$15,0),MATCH(M27,'G-6 Hedgerow Data'!$AN$2:$AZ$2,0))),"")</f>
        <v/>
      </c>
      <c r="O27" s="499" t="str">
        <f t="shared" si="2"/>
        <v/>
      </c>
      <c r="P27" s="559" t="str">
        <f>IF(B27="","",VLOOKUP(B27,'B-1 Site Hedge Baseline'!$B$10:T272,16,FALSE))</f>
        <v/>
      </c>
      <c r="Q27" s="498" t="str">
        <f>IF(M27="","",VLOOKUP(M27,'G-6 Hedgerow Data'!$B$2:$AG$15,2,FALSE))</f>
        <v/>
      </c>
      <c r="R27" s="499" t="str">
        <f>IF(M27="","",VLOOKUP(M27,'G-6 Hedgerow Data'!$B$2:$AG$15,3,FALSE))</f>
        <v/>
      </c>
      <c r="S27" s="157"/>
      <c r="T27" s="540" t="str">
        <f>IFERROR(VLOOKUP(S27,'G-1 All Habitats'!$Z$2:$AA$9,2,FALSE),"")</f>
        <v/>
      </c>
      <c r="U27" s="154"/>
      <c r="V27" s="520" t="str">
        <f>IF(U27="","",IF(VLOOKUP(U27,'G-3 Multipliers'!$L$3:$N$6,2,FALSE)=0,"Spatial Data Missing ⚠",VLOOKUP(U27,'G-3 Multipliers'!$L$3:$N$6,2,FALSE)))</f>
        <v/>
      </c>
      <c r="W27" s="524" t="str">
        <f>IF(U27="","",IF(VLOOKUP(U27,'G-3 Multipliers'!$L$3:$N$6,3,FALSE)=0,"Spatial Data Missing ⚠",VLOOKUP(U27,'G-3 Multipliers'!$L$3:$N$6,3,FALSE)))</f>
        <v/>
      </c>
      <c r="X27" s="498"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7" t="str">
        <f t="shared" si="3"/>
        <v/>
      </c>
      <c r="AB27" s="521" t="str">
        <f t="shared" si="4"/>
        <v/>
      </c>
      <c r="AC27" s="522" t="str">
        <f t="shared" si="1"/>
        <v/>
      </c>
      <c r="AD27" s="537" t="str">
        <f>IF(M27="","",VLOOKUP(M27,'G-6 Hedgerow Data'!$B$3:$AG$15,31,FALSE))</f>
        <v/>
      </c>
      <c r="AE27" s="507" t="str">
        <f t="shared" si="5"/>
        <v/>
      </c>
      <c r="AF27" s="507" t="str">
        <f t="shared" si="6"/>
        <v/>
      </c>
      <c r="AG27" s="524" t="str">
        <f>IFERROR(IF(O27="","",VLOOKUP(AD27,'G-3 Multipliers'!$P$3:$Q$6,2,FALSE)),"")</f>
        <v/>
      </c>
      <c r="AH27" s="513" t="str">
        <f t="shared" si="7"/>
        <v/>
      </c>
      <c r="AI27" s="231"/>
      <c r="AJ27" s="150"/>
      <c r="AT27" s="31" t="str">
        <f>IFERROR(INDEX('G-6 Hedgerow Data'!$BJ$3:$BJ$15,MATCH(M27,'G-6 Hedgerow Data'!$B$3:$B$15,0)),"")</f>
        <v/>
      </c>
    </row>
    <row r="28" spans="2:46" ht="13.8" x14ac:dyDescent="0.25">
      <c r="B28" s="531" t="str">
        <f>'B-1 Site Hedge Baseline'!AK26</f>
        <v/>
      </c>
      <c r="C28" s="520" t="str">
        <f>IF(B28="","",IF(ISNA(VLOOKUP($B28,'B-1 Site Hedge Baseline'!$B$1:$L$257,3,FALSE)),"",(VLOOKUP($B28,'B-1 Site Hedge Baseline'!$B$1:$L$257,3,FALSE))))</f>
        <v/>
      </c>
      <c r="D28" s="520" t="str">
        <f>IF(B28="","",IF(ISNA(VLOOKUP($B28,'B-1 Site Hedge Baseline'!$B$1:$L$257,4,FALSE)),"",(VLOOKUP($B28,'B-1 Site Hedge Baseline'!$B$1:$L$257,4,FALSE))))</f>
        <v/>
      </c>
      <c r="E28" s="520" t="str">
        <f>IF(B28="","",IF(ISNA(VLOOKUP($B28,'B-1 Site Hedge Baseline'!$B$1:$L$257,5,FALSE)),"",(VLOOKUP($B28,'B-1 Site Hedge Baseline'!$B$1:$L$257,5,FALSE))))</f>
        <v/>
      </c>
      <c r="F28" s="520" t="str">
        <f>IF(B28="","",IF(ISNA(VLOOKUP($B28,'B-1 Site Hedge Baseline'!$B$1:$L$257,6,FALSE)),"",(VLOOKUP($B28,'B-1 Site Hedge Baseline'!$B$1:$L$257,6,FALSE))))</f>
        <v/>
      </c>
      <c r="G28" s="520" t="str">
        <f>IF(B28="","",IF(ISNA(VLOOKUP($B28,'B-1 Site Hedge Baseline'!$B$1:$L$257,7,FALSE)),"",(VLOOKUP($B28,'B-1 Site Hedge Baseline'!$B$1:$L$257,7,FALSE))))</f>
        <v/>
      </c>
      <c r="H28" s="520" t="str">
        <f>IF(B28="","",IF(ISNA(VLOOKUP($B28,'B-1 Site Hedge Baseline'!$B$1:$L$257,8,FALSE)),"",(VLOOKUP($B28,'B-1 Site Hedge Baseline'!$B$1:$L$257,8,FALSE))))</f>
        <v/>
      </c>
      <c r="I28" s="520" t="str">
        <f>IF(B28="","",IF(ISNA(VLOOKUP($B28,'B-1 Site Hedge Baseline'!$B$1:$L$257,10,FALSE)),"",(VLOOKUP($B28,'B-1 Site Hedge Baseline'!$B$1:$L$257,10,FALSE))))</f>
        <v/>
      </c>
      <c r="J28" s="520" t="str">
        <f>IF(B28="","",IF(ISNA(VLOOKUP($B28,'B-1 Site Hedge Baseline'!$B$1:$L$257,11,FALSE)),"",(VLOOKUP($B28,'B-1 Site Hedge Baseline'!$B$1:$L$257,11,FALSE))))</f>
        <v/>
      </c>
      <c r="K28" s="520" t="str">
        <f>IF(B28="","",IF(ISNA(VLOOKUP($B28,'B-1 Site Hedge Baseline'!$B$1:$U$257,13,FALSE)),"",(VLOOKUP($B28,'B-1 Site Hedge Baseline'!$B$1:$U$257,13,FALSE))))</f>
        <v/>
      </c>
      <c r="L28" s="524" t="str">
        <f>IF(B28="","",IF(ISNA(VLOOKUP($B28,'B-1 Site Hedge Baseline'!$B$1:$U$257,12,FALSE)),"",(VLOOKUP($B28,'B-1 Site Hedge Baseline'!$B$1:$U$257,12,FALSE))))</f>
        <v/>
      </c>
      <c r="M28" s="416" t="str">
        <f t="shared" si="0"/>
        <v/>
      </c>
      <c r="N28" s="498" t="str">
        <f>IFERROR(IF(B28="","",INDEX('G-6 Hedgerow Data'!$AN$3:$AZ$15,MATCH(C28,'G-6 Hedgerow Data'!$AM$3:$AM$15,0),MATCH(M28,'G-6 Hedgerow Data'!$AN$2:$AZ$2,0))),"")</f>
        <v/>
      </c>
      <c r="O28" s="499" t="str">
        <f t="shared" si="2"/>
        <v/>
      </c>
      <c r="P28" s="559" t="str">
        <f>IF(B28="","",VLOOKUP(B28,'B-1 Site Hedge Baseline'!$B$10:T273,16,FALSE))</f>
        <v/>
      </c>
      <c r="Q28" s="498" t="str">
        <f>IF(M28="","",VLOOKUP(M28,'G-6 Hedgerow Data'!$B$2:$AG$15,2,FALSE))</f>
        <v/>
      </c>
      <c r="R28" s="499" t="str">
        <f>IF(M28="","",VLOOKUP(M28,'G-6 Hedgerow Data'!$B$2:$AG$15,3,FALSE))</f>
        <v/>
      </c>
      <c r="S28" s="157"/>
      <c r="T28" s="540" t="str">
        <f>IFERROR(VLOOKUP(S28,'G-1 All Habitats'!$Z$2:$AA$9,2,FALSE),"")</f>
        <v/>
      </c>
      <c r="U28" s="154"/>
      <c r="V28" s="520" t="str">
        <f>IF(U28="","",IF(VLOOKUP(U28,'G-3 Multipliers'!$L$3:$N$6,2,FALSE)=0,"Spatial Data Missing ⚠",VLOOKUP(U28,'G-3 Multipliers'!$L$3:$N$6,2,FALSE)))</f>
        <v/>
      </c>
      <c r="W28" s="524" t="str">
        <f>IF(U28="","",IF(VLOOKUP(U28,'G-3 Multipliers'!$L$3:$N$6,3,FALSE)=0,"Spatial Data Missing ⚠",VLOOKUP(U28,'G-3 Multipliers'!$L$3:$N$6,3,FALSE)))</f>
        <v/>
      </c>
      <c r="X28" s="498"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7" t="str">
        <f t="shared" si="3"/>
        <v/>
      </c>
      <c r="AB28" s="521" t="str">
        <f t="shared" si="4"/>
        <v/>
      </c>
      <c r="AC28" s="522" t="str">
        <f t="shared" si="1"/>
        <v/>
      </c>
      <c r="AD28" s="537" t="str">
        <f>IF(M28="","",VLOOKUP(M28,'G-6 Hedgerow Data'!$B$3:$AG$15,31,FALSE))</f>
        <v/>
      </c>
      <c r="AE28" s="507" t="str">
        <f t="shared" si="5"/>
        <v/>
      </c>
      <c r="AF28" s="507" t="str">
        <f t="shared" si="6"/>
        <v/>
      </c>
      <c r="AG28" s="524" t="str">
        <f>IFERROR(IF(O28="","",VLOOKUP(AD28,'G-3 Multipliers'!$P$3:$Q$6,2,FALSE)),"")</f>
        <v/>
      </c>
      <c r="AH28" s="513" t="str">
        <f t="shared" si="7"/>
        <v/>
      </c>
      <c r="AI28" s="231"/>
      <c r="AJ28" s="150"/>
      <c r="AT28" s="31" t="str">
        <f>IFERROR(INDEX('G-6 Hedgerow Data'!$BJ$3:$BJ$15,MATCH(M28,'G-6 Hedgerow Data'!$B$3:$B$15,0)),"")</f>
        <v/>
      </c>
    </row>
    <row r="29" spans="2:46" ht="13.8" x14ac:dyDescent="0.25">
      <c r="B29" s="531" t="str">
        <f>'B-1 Site Hedge Baseline'!AK27</f>
        <v/>
      </c>
      <c r="C29" s="520" t="str">
        <f>IF(B29="","",IF(ISNA(VLOOKUP($B29,'B-1 Site Hedge Baseline'!$B$1:$L$257,3,FALSE)),"",(VLOOKUP($B29,'B-1 Site Hedge Baseline'!$B$1:$L$257,3,FALSE))))</f>
        <v/>
      </c>
      <c r="D29" s="520" t="str">
        <f>IF(B29="","",IF(ISNA(VLOOKUP($B29,'B-1 Site Hedge Baseline'!$B$1:$L$257,4,FALSE)),"",(VLOOKUP($B29,'B-1 Site Hedge Baseline'!$B$1:$L$257,4,FALSE))))</f>
        <v/>
      </c>
      <c r="E29" s="520" t="str">
        <f>IF(B29="","",IF(ISNA(VLOOKUP($B29,'B-1 Site Hedge Baseline'!$B$1:$L$257,5,FALSE)),"",(VLOOKUP($B29,'B-1 Site Hedge Baseline'!$B$1:$L$257,5,FALSE))))</f>
        <v/>
      </c>
      <c r="F29" s="520" t="str">
        <f>IF(B29="","",IF(ISNA(VLOOKUP($B29,'B-1 Site Hedge Baseline'!$B$1:$L$257,6,FALSE)),"",(VLOOKUP($B29,'B-1 Site Hedge Baseline'!$B$1:$L$257,6,FALSE))))</f>
        <v/>
      </c>
      <c r="G29" s="520" t="str">
        <f>IF(B29="","",IF(ISNA(VLOOKUP($B29,'B-1 Site Hedge Baseline'!$B$1:$L$257,7,FALSE)),"",(VLOOKUP($B29,'B-1 Site Hedge Baseline'!$B$1:$L$257,7,FALSE))))</f>
        <v/>
      </c>
      <c r="H29" s="520" t="str">
        <f>IF(B29="","",IF(ISNA(VLOOKUP($B29,'B-1 Site Hedge Baseline'!$B$1:$L$257,8,FALSE)),"",(VLOOKUP($B29,'B-1 Site Hedge Baseline'!$B$1:$L$257,8,FALSE))))</f>
        <v/>
      </c>
      <c r="I29" s="520" t="str">
        <f>IF(B29="","",IF(ISNA(VLOOKUP($B29,'B-1 Site Hedge Baseline'!$B$1:$L$257,10,FALSE)),"",(VLOOKUP($B29,'B-1 Site Hedge Baseline'!$B$1:$L$257,10,FALSE))))</f>
        <v/>
      </c>
      <c r="J29" s="520" t="str">
        <f>IF(B29="","",IF(ISNA(VLOOKUP($B29,'B-1 Site Hedge Baseline'!$B$1:$L$257,11,FALSE)),"",(VLOOKUP($B29,'B-1 Site Hedge Baseline'!$B$1:$L$257,11,FALSE))))</f>
        <v/>
      </c>
      <c r="K29" s="520" t="str">
        <f>IF(B29="","",IF(ISNA(VLOOKUP($B29,'B-1 Site Hedge Baseline'!$B$1:$U$257,13,FALSE)),"",(VLOOKUP($B29,'B-1 Site Hedge Baseline'!$B$1:$U$257,13,FALSE))))</f>
        <v/>
      </c>
      <c r="L29" s="524" t="str">
        <f>IF(B29="","",IF(ISNA(VLOOKUP($B29,'B-1 Site Hedge Baseline'!$B$1:$U$257,12,FALSE)),"",(VLOOKUP($B29,'B-1 Site Hedge Baseline'!$B$1:$U$257,12,FALSE))))</f>
        <v/>
      </c>
      <c r="M29" s="416" t="str">
        <f t="shared" si="0"/>
        <v/>
      </c>
      <c r="N29" s="498" t="str">
        <f>IFERROR(IF(B29="","",INDEX('G-6 Hedgerow Data'!$AN$3:$AZ$15,MATCH(C29,'G-6 Hedgerow Data'!$AM$3:$AM$15,0),MATCH(M29,'G-6 Hedgerow Data'!$AN$2:$AZ$2,0))),"")</f>
        <v/>
      </c>
      <c r="O29" s="499" t="str">
        <f t="shared" si="2"/>
        <v/>
      </c>
      <c r="P29" s="559" t="str">
        <f>IF(B29="","",VLOOKUP(B29,'B-1 Site Hedge Baseline'!$B$10:T274,16,FALSE))</f>
        <v/>
      </c>
      <c r="Q29" s="498" t="str">
        <f>IF(M29="","",VLOOKUP(M29,'G-6 Hedgerow Data'!$B$2:$AG$15,2,FALSE))</f>
        <v/>
      </c>
      <c r="R29" s="499" t="str">
        <f>IF(M29="","",VLOOKUP(M29,'G-6 Hedgerow Data'!$B$2:$AG$15,3,FALSE))</f>
        <v/>
      </c>
      <c r="S29" s="157"/>
      <c r="T29" s="540" t="str">
        <f>IFERROR(VLOOKUP(S29,'G-1 All Habitats'!$Z$2:$AA$9,2,FALSE),"")</f>
        <v/>
      </c>
      <c r="U29" s="154"/>
      <c r="V29" s="520" t="str">
        <f>IF(U29="","",IF(VLOOKUP(U29,'G-3 Multipliers'!$L$3:$N$6,2,FALSE)=0,"Spatial Data Missing ⚠",VLOOKUP(U29,'G-3 Multipliers'!$L$3:$N$6,2,FALSE)))</f>
        <v/>
      </c>
      <c r="W29" s="524" t="str">
        <f>IF(U29="","",IF(VLOOKUP(U29,'G-3 Multipliers'!$L$3:$N$6,3,FALSE)=0,"Spatial Data Missing ⚠",VLOOKUP(U29,'G-3 Multipliers'!$L$3:$N$6,3,FALSE)))</f>
        <v/>
      </c>
      <c r="X29" s="498"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7" t="str">
        <f t="shared" si="3"/>
        <v/>
      </c>
      <c r="AB29" s="521" t="str">
        <f t="shared" si="4"/>
        <v/>
      </c>
      <c r="AC29" s="522" t="str">
        <f t="shared" si="1"/>
        <v/>
      </c>
      <c r="AD29" s="537" t="str">
        <f>IF(M29="","",VLOOKUP(M29,'G-6 Hedgerow Data'!$B$3:$AG$15,31,FALSE))</f>
        <v/>
      </c>
      <c r="AE29" s="507" t="str">
        <f t="shared" si="5"/>
        <v/>
      </c>
      <c r="AF29" s="507" t="str">
        <f t="shared" si="6"/>
        <v/>
      </c>
      <c r="AG29" s="524" t="str">
        <f>IFERROR(IF(O29="","",VLOOKUP(AD29,'G-3 Multipliers'!$P$3:$Q$6,2,FALSE)),"")</f>
        <v/>
      </c>
      <c r="AH29" s="513" t="str">
        <f t="shared" si="7"/>
        <v/>
      </c>
      <c r="AI29" s="231"/>
      <c r="AJ29" s="150"/>
      <c r="AT29" s="31" t="str">
        <f>IFERROR(INDEX('G-6 Hedgerow Data'!$BJ$3:$BJ$15,MATCH(M29,'G-6 Hedgerow Data'!$B$3:$B$15,0)),"")</f>
        <v/>
      </c>
    </row>
    <row r="30" spans="2:46" ht="13.8" x14ac:dyDescent="0.25">
      <c r="B30" s="531" t="str">
        <f>'B-1 Site Hedge Baseline'!AK28</f>
        <v/>
      </c>
      <c r="C30" s="520" t="str">
        <f>IF(B30="","",IF(ISNA(VLOOKUP($B30,'B-1 Site Hedge Baseline'!$B$1:$L$257,3,FALSE)),"",(VLOOKUP($B30,'B-1 Site Hedge Baseline'!$B$1:$L$257,3,FALSE))))</f>
        <v/>
      </c>
      <c r="D30" s="520" t="str">
        <f>IF(B30="","",IF(ISNA(VLOOKUP($B30,'B-1 Site Hedge Baseline'!$B$1:$L$257,4,FALSE)),"",(VLOOKUP($B30,'B-1 Site Hedge Baseline'!$B$1:$L$257,4,FALSE))))</f>
        <v/>
      </c>
      <c r="E30" s="520" t="str">
        <f>IF(B30="","",IF(ISNA(VLOOKUP($B30,'B-1 Site Hedge Baseline'!$B$1:$L$257,5,FALSE)),"",(VLOOKUP($B30,'B-1 Site Hedge Baseline'!$B$1:$L$257,5,FALSE))))</f>
        <v/>
      </c>
      <c r="F30" s="520" t="str">
        <f>IF(B30="","",IF(ISNA(VLOOKUP($B30,'B-1 Site Hedge Baseline'!$B$1:$L$257,6,FALSE)),"",(VLOOKUP($B30,'B-1 Site Hedge Baseline'!$B$1:$L$257,6,FALSE))))</f>
        <v/>
      </c>
      <c r="G30" s="520" t="str">
        <f>IF(B30="","",IF(ISNA(VLOOKUP($B30,'B-1 Site Hedge Baseline'!$B$1:$L$257,7,FALSE)),"",(VLOOKUP($B30,'B-1 Site Hedge Baseline'!$B$1:$L$257,7,FALSE))))</f>
        <v/>
      </c>
      <c r="H30" s="520" t="str">
        <f>IF(B30="","",IF(ISNA(VLOOKUP($B30,'B-1 Site Hedge Baseline'!$B$1:$L$257,8,FALSE)),"",(VLOOKUP($B30,'B-1 Site Hedge Baseline'!$B$1:$L$257,8,FALSE))))</f>
        <v/>
      </c>
      <c r="I30" s="520" t="str">
        <f>IF(B30="","",IF(ISNA(VLOOKUP($B30,'B-1 Site Hedge Baseline'!$B$1:$L$257,10,FALSE)),"",(VLOOKUP($B30,'B-1 Site Hedge Baseline'!$B$1:$L$257,10,FALSE))))</f>
        <v/>
      </c>
      <c r="J30" s="520" t="str">
        <f>IF(B30="","",IF(ISNA(VLOOKUP($B30,'B-1 Site Hedge Baseline'!$B$1:$L$257,11,FALSE)),"",(VLOOKUP($B30,'B-1 Site Hedge Baseline'!$B$1:$L$257,11,FALSE))))</f>
        <v/>
      </c>
      <c r="K30" s="520" t="str">
        <f>IF(B30="","",IF(ISNA(VLOOKUP($B30,'B-1 Site Hedge Baseline'!$B$1:$U$257,13,FALSE)),"",(VLOOKUP($B30,'B-1 Site Hedge Baseline'!$B$1:$U$257,13,FALSE))))</f>
        <v/>
      </c>
      <c r="L30" s="524" t="str">
        <f>IF(B30="","",IF(ISNA(VLOOKUP($B30,'B-1 Site Hedge Baseline'!$B$1:$U$257,12,FALSE)),"",(VLOOKUP($B30,'B-1 Site Hedge Baseline'!$B$1:$U$257,12,FALSE))))</f>
        <v/>
      </c>
      <c r="M30" s="416" t="str">
        <f t="shared" si="0"/>
        <v/>
      </c>
      <c r="N30" s="498" t="str">
        <f>IFERROR(IF(B30="","",INDEX('G-6 Hedgerow Data'!$AN$3:$AZ$15,MATCH(C30,'G-6 Hedgerow Data'!$AM$3:$AM$15,0),MATCH(M30,'G-6 Hedgerow Data'!$AN$2:$AZ$2,0))),"")</f>
        <v/>
      </c>
      <c r="O30" s="499" t="str">
        <f t="shared" si="2"/>
        <v/>
      </c>
      <c r="P30" s="559" t="str">
        <f>IF(B30="","",VLOOKUP(B30,'B-1 Site Hedge Baseline'!$B$10:T275,16,FALSE))</f>
        <v/>
      </c>
      <c r="Q30" s="498" t="str">
        <f>IF(M30="","",VLOOKUP(M30,'G-6 Hedgerow Data'!$B$2:$AG$15,2,FALSE))</f>
        <v/>
      </c>
      <c r="R30" s="499" t="str">
        <f>IF(M30="","",VLOOKUP(M30,'G-6 Hedgerow Data'!$B$2:$AG$15,3,FALSE))</f>
        <v/>
      </c>
      <c r="S30" s="157"/>
      <c r="T30" s="540" t="str">
        <f>IFERROR(VLOOKUP(S30,'G-1 All Habitats'!$Z$2:$AA$9,2,FALSE),"")</f>
        <v/>
      </c>
      <c r="U30" s="154"/>
      <c r="V30" s="520" t="str">
        <f>IF(U30="","",IF(VLOOKUP(U30,'G-3 Multipliers'!$L$3:$N$6,2,FALSE)=0,"Spatial Data Missing ⚠",VLOOKUP(U30,'G-3 Multipliers'!$L$3:$N$6,2,FALSE)))</f>
        <v/>
      </c>
      <c r="W30" s="524" t="str">
        <f>IF(U30="","",IF(VLOOKUP(U30,'G-3 Multipliers'!$L$3:$N$6,3,FALSE)=0,"Spatial Data Missing ⚠",VLOOKUP(U30,'G-3 Multipliers'!$L$3:$N$6,3,FALSE)))</f>
        <v/>
      </c>
      <c r="X30" s="498"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7" t="str">
        <f t="shared" si="3"/>
        <v/>
      </c>
      <c r="AB30" s="521" t="str">
        <f t="shared" si="4"/>
        <v/>
      </c>
      <c r="AC30" s="522" t="str">
        <f t="shared" si="1"/>
        <v/>
      </c>
      <c r="AD30" s="537" t="str">
        <f>IF(M30="","",VLOOKUP(M30,'G-6 Hedgerow Data'!$B$3:$AG$15,31,FALSE))</f>
        <v/>
      </c>
      <c r="AE30" s="507" t="str">
        <f t="shared" si="5"/>
        <v/>
      </c>
      <c r="AF30" s="507" t="str">
        <f t="shared" si="6"/>
        <v/>
      </c>
      <c r="AG30" s="524" t="str">
        <f>IFERROR(IF(O30="","",VLOOKUP(AD30,'G-3 Multipliers'!$P$3:$Q$6,2,FALSE)),"")</f>
        <v/>
      </c>
      <c r="AH30" s="513" t="str">
        <f t="shared" si="7"/>
        <v/>
      </c>
      <c r="AI30" s="231"/>
      <c r="AJ30" s="150"/>
      <c r="AT30" s="31" t="str">
        <f>IFERROR(INDEX('G-6 Hedgerow Data'!$BJ$3:$BJ$15,MATCH(M30,'G-6 Hedgerow Data'!$B$3:$B$15,0)),"")</f>
        <v/>
      </c>
    </row>
    <row r="31" spans="2:46" ht="13.8" x14ac:dyDescent="0.25">
      <c r="B31" s="531" t="str">
        <f>'B-1 Site Hedge Baseline'!AK29</f>
        <v/>
      </c>
      <c r="C31" s="520" t="str">
        <f>IF(B31="","",IF(ISNA(VLOOKUP($B31,'B-1 Site Hedge Baseline'!$B$1:$L$257,3,FALSE)),"",(VLOOKUP($B31,'B-1 Site Hedge Baseline'!$B$1:$L$257,3,FALSE))))</f>
        <v/>
      </c>
      <c r="D31" s="520" t="str">
        <f>IF(B31="","",IF(ISNA(VLOOKUP($B31,'B-1 Site Hedge Baseline'!$B$1:$L$257,4,FALSE)),"",(VLOOKUP($B31,'B-1 Site Hedge Baseline'!$B$1:$L$257,4,FALSE))))</f>
        <v/>
      </c>
      <c r="E31" s="520" t="str">
        <f>IF(B31="","",IF(ISNA(VLOOKUP($B31,'B-1 Site Hedge Baseline'!$B$1:$L$257,5,FALSE)),"",(VLOOKUP($B31,'B-1 Site Hedge Baseline'!$B$1:$L$257,5,FALSE))))</f>
        <v/>
      </c>
      <c r="F31" s="520" t="str">
        <f>IF(B31="","",IF(ISNA(VLOOKUP($B31,'B-1 Site Hedge Baseline'!$B$1:$L$257,6,FALSE)),"",(VLOOKUP($B31,'B-1 Site Hedge Baseline'!$B$1:$L$257,6,FALSE))))</f>
        <v/>
      </c>
      <c r="G31" s="520" t="str">
        <f>IF(B31="","",IF(ISNA(VLOOKUP($B31,'B-1 Site Hedge Baseline'!$B$1:$L$257,7,FALSE)),"",(VLOOKUP($B31,'B-1 Site Hedge Baseline'!$B$1:$L$257,7,FALSE))))</f>
        <v/>
      </c>
      <c r="H31" s="520" t="str">
        <f>IF(B31="","",IF(ISNA(VLOOKUP($B31,'B-1 Site Hedge Baseline'!$B$1:$L$257,8,FALSE)),"",(VLOOKUP($B31,'B-1 Site Hedge Baseline'!$B$1:$L$257,8,FALSE))))</f>
        <v/>
      </c>
      <c r="I31" s="520" t="str">
        <f>IF(B31="","",IF(ISNA(VLOOKUP($B31,'B-1 Site Hedge Baseline'!$B$1:$L$257,10,FALSE)),"",(VLOOKUP($B31,'B-1 Site Hedge Baseline'!$B$1:$L$257,10,FALSE))))</f>
        <v/>
      </c>
      <c r="J31" s="520" t="str">
        <f>IF(B31="","",IF(ISNA(VLOOKUP($B31,'B-1 Site Hedge Baseline'!$B$1:$L$257,11,FALSE)),"",(VLOOKUP($B31,'B-1 Site Hedge Baseline'!$B$1:$L$257,11,FALSE))))</f>
        <v/>
      </c>
      <c r="K31" s="520" t="str">
        <f>IF(B31="","",IF(ISNA(VLOOKUP($B31,'B-1 Site Hedge Baseline'!$B$1:$U$257,13,FALSE)),"",(VLOOKUP($B31,'B-1 Site Hedge Baseline'!$B$1:$U$257,13,FALSE))))</f>
        <v/>
      </c>
      <c r="L31" s="524" t="str">
        <f>IF(B31="","",IF(ISNA(VLOOKUP($B31,'B-1 Site Hedge Baseline'!$B$1:$U$257,12,FALSE)),"",(VLOOKUP($B31,'B-1 Site Hedge Baseline'!$B$1:$U$257,12,FALSE))))</f>
        <v/>
      </c>
      <c r="M31" s="416" t="str">
        <f t="shared" si="0"/>
        <v/>
      </c>
      <c r="N31" s="498" t="str">
        <f>IFERROR(IF(B31="","",INDEX('G-6 Hedgerow Data'!$AN$3:$AZ$15,MATCH(C31,'G-6 Hedgerow Data'!$AM$3:$AM$15,0),MATCH(M31,'G-6 Hedgerow Data'!$AN$2:$AZ$2,0))),"")</f>
        <v/>
      </c>
      <c r="O31" s="499" t="str">
        <f t="shared" si="2"/>
        <v/>
      </c>
      <c r="P31" s="559" t="str">
        <f>IF(B31="","",VLOOKUP(B31,'B-1 Site Hedge Baseline'!$B$10:T276,16,FALSE))</f>
        <v/>
      </c>
      <c r="Q31" s="498" t="str">
        <f>IF(M31="","",VLOOKUP(M31,'G-6 Hedgerow Data'!$B$2:$AG$15,2,FALSE))</f>
        <v/>
      </c>
      <c r="R31" s="499" t="str">
        <f>IF(M31="","",VLOOKUP(M31,'G-6 Hedgerow Data'!$B$2:$AG$15,3,FALSE))</f>
        <v/>
      </c>
      <c r="S31" s="157"/>
      <c r="T31" s="540" t="str">
        <f>IFERROR(VLOOKUP(S31,'G-1 All Habitats'!$Z$2:$AA$9,2,FALSE),"")</f>
        <v/>
      </c>
      <c r="U31" s="154"/>
      <c r="V31" s="520" t="str">
        <f>IF(U31="","",IF(VLOOKUP(U31,'G-3 Multipliers'!$L$3:$N$6,2,FALSE)=0,"Spatial Data Missing ⚠",VLOOKUP(U31,'G-3 Multipliers'!$L$3:$N$6,2,FALSE)))</f>
        <v/>
      </c>
      <c r="W31" s="524" t="str">
        <f>IF(U31="","",IF(VLOOKUP(U31,'G-3 Multipliers'!$L$3:$N$6,3,FALSE)=0,"Spatial Data Missing ⚠",VLOOKUP(U31,'G-3 Multipliers'!$L$3:$N$6,3,FALSE)))</f>
        <v/>
      </c>
      <c r="X31" s="498"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7" t="str">
        <f t="shared" si="3"/>
        <v/>
      </c>
      <c r="AB31" s="521" t="str">
        <f t="shared" si="4"/>
        <v/>
      </c>
      <c r="AC31" s="522" t="str">
        <f t="shared" si="1"/>
        <v/>
      </c>
      <c r="AD31" s="537" t="str">
        <f>IF(M31="","",VLOOKUP(M31,'G-6 Hedgerow Data'!$B$3:$AG$15,31,FALSE))</f>
        <v/>
      </c>
      <c r="AE31" s="507" t="str">
        <f t="shared" si="5"/>
        <v/>
      </c>
      <c r="AF31" s="507" t="str">
        <f t="shared" si="6"/>
        <v/>
      </c>
      <c r="AG31" s="524" t="str">
        <f>IFERROR(IF(O31="","",VLOOKUP(AD31,'G-3 Multipliers'!$P$3:$Q$6,2,FALSE)),"")</f>
        <v/>
      </c>
      <c r="AH31" s="513" t="str">
        <f t="shared" si="7"/>
        <v/>
      </c>
      <c r="AI31" s="231"/>
      <c r="AJ31" s="150"/>
      <c r="AT31" s="31" t="str">
        <f>IFERROR(INDEX('G-6 Hedgerow Data'!$BJ$3:$BJ$15,MATCH(M31,'G-6 Hedgerow Data'!$B$3:$B$15,0)),"")</f>
        <v/>
      </c>
    </row>
    <row r="32" spans="2:46" ht="13.8" x14ac:dyDescent="0.25">
      <c r="B32" s="531" t="str">
        <f>'B-1 Site Hedge Baseline'!AK30</f>
        <v/>
      </c>
      <c r="C32" s="520" t="str">
        <f>IF(B32="","",IF(ISNA(VLOOKUP($B32,'B-1 Site Hedge Baseline'!$B$1:$L$257,3,FALSE)),"",(VLOOKUP($B32,'B-1 Site Hedge Baseline'!$B$1:$L$257,3,FALSE))))</f>
        <v/>
      </c>
      <c r="D32" s="520" t="str">
        <f>IF(B32="","",IF(ISNA(VLOOKUP($B32,'B-1 Site Hedge Baseline'!$B$1:$L$257,4,FALSE)),"",(VLOOKUP($B32,'B-1 Site Hedge Baseline'!$B$1:$L$257,4,FALSE))))</f>
        <v/>
      </c>
      <c r="E32" s="520" t="str">
        <f>IF(B32="","",IF(ISNA(VLOOKUP($B32,'B-1 Site Hedge Baseline'!$B$1:$L$257,5,FALSE)),"",(VLOOKUP($B32,'B-1 Site Hedge Baseline'!$B$1:$L$257,5,FALSE))))</f>
        <v/>
      </c>
      <c r="F32" s="520" t="str">
        <f>IF(B32="","",IF(ISNA(VLOOKUP($B32,'B-1 Site Hedge Baseline'!$B$1:$L$257,6,FALSE)),"",(VLOOKUP($B32,'B-1 Site Hedge Baseline'!$B$1:$L$257,6,FALSE))))</f>
        <v/>
      </c>
      <c r="G32" s="520" t="str">
        <f>IF(B32="","",IF(ISNA(VLOOKUP($B32,'B-1 Site Hedge Baseline'!$B$1:$L$257,7,FALSE)),"",(VLOOKUP($B32,'B-1 Site Hedge Baseline'!$B$1:$L$257,7,FALSE))))</f>
        <v/>
      </c>
      <c r="H32" s="520" t="str">
        <f>IF(B32="","",IF(ISNA(VLOOKUP($B32,'B-1 Site Hedge Baseline'!$B$1:$L$257,8,FALSE)),"",(VLOOKUP($B32,'B-1 Site Hedge Baseline'!$B$1:$L$257,8,FALSE))))</f>
        <v/>
      </c>
      <c r="I32" s="520" t="str">
        <f>IF(B32="","",IF(ISNA(VLOOKUP($B32,'B-1 Site Hedge Baseline'!$B$1:$L$257,10,FALSE)),"",(VLOOKUP($B32,'B-1 Site Hedge Baseline'!$B$1:$L$257,10,FALSE))))</f>
        <v/>
      </c>
      <c r="J32" s="520" t="str">
        <f>IF(B32="","",IF(ISNA(VLOOKUP($B32,'B-1 Site Hedge Baseline'!$B$1:$L$257,11,FALSE)),"",(VLOOKUP($B32,'B-1 Site Hedge Baseline'!$B$1:$L$257,11,FALSE))))</f>
        <v/>
      </c>
      <c r="K32" s="520" t="str">
        <f>IF(B32="","",IF(ISNA(VLOOKUP($B32,'B-1 Site Hedge Baseline'!$B$1:$U$257,13,FALSE)),"",(VLOOKUP($B32,'B-1 Site Hedge Baseline'!$B$1:$U$257,13,FALSE))))</f>
        <v/>
      </c>
      <c r="L32" s="524" t="str">
        <f>IF(B32="","",IF(ISNA(VLOOKUP($B32,'B-1 Site Hedge Baseline'!$B$1:$U$257,12,FALSE)),"",(VLOOKUP($B32,'B-1 Site Hedge Baseline'!$B$1:$U$257,12,FALSE))))</f>
        <v/>
      </c>
      <c r="M32" s="416" t="str">
        <f t="shared" si="0"/>
        <v/>
      </c>
      <c r="N32" s="498" t="str">
        <f>IFERROR(IF(B32="","",INDEX('G-6 Hedgerow Data'!$AN$3:$AZ$15,MATCH(C32,'G-6 Hedgerow Data'!$AM$3:$AM$15,0),MATCH(M32,'G-6 Hedgerow Data'!$AN$2:$AZ$2,0))),"")</f>
        <v/>
      </c>
      <c r="O32" s="499" t="str">
        <f t="shared" si="2"/>
        <v/>
      </c>
      <c r="P32" s="559" t="str">
        <f>IF(B32="","",VLOOKUP(B32,'B-1 Site Hedge Baseline'!$B$10:T277,16,FALSE))</f>
        <v/>
      </c>
      <c r="Q32" s="498" t="str">
        <f>IF(M32="","",VLOOKUP(M32,'G-6 Hedgerow Data'!$B$2:$AG$15,2,FALSE))</f>
        <v/>
      </c>
      <c r="R32" s="499" t="str">
        <f>IF(M32="","",VLOOKUP(M32,'G-6 Hedgerow Data'!$B$2:$AG$15,3,FALSE))</f>
        <v/>
      </c>
      <c r="S32" s="157"/>
      <c r="T32" s="540" t="str">
        <f>IFERROR(VLOOKUP(S32,'G-1 All Habitats'!$Z$2:$AA$9,2,FALSE),"")</f>
        <v/>
      </c>
      <c r="U32" s="154"/>
      <c r="V32" s="520" t="str">
        <f>IF(U32="","",IF(VLOOKUP(U32,'G-3 Multipliers'!$L$3:$N$6,2,FALSE)=0,"Spatial Data Missing ⚠",VLOOKUP(U32,'G-3 Multipliers'!$L$3:$N$6,2,FALSE)))</f>
        <v/>
      </c>
      <c r="W32" s="524" t="str">
        <f>IF(U32="","",IF(VLOOKUP(U32,'G-3 Multipliers'!$L$3:$N$6,3,FALSE)=0,"Spatial Data Missing ⚠",VLOOKUP(U32,'G-3 Multipliers'!$L$3:$N$6,3,FALSE)))</f>
        <v/>
      </c>
      <c r="X32" s="498"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7" t="str">
        <f t="shared" si="3"/>
        <v/>
      </c>
      <c r="AB32" s="521" t="str">
        <f t="shared" si="4"/>
        <v/>
      </c>
      <c r="AC32" s="522" t="str">
        <f t="shared" si="1"/>
        <v/>
      </c>
      <c r="AD32" s="537" t="str">
        <f>IF(M32="","",VLOOKUP(M32,'G-6 Hedgerow Data'!$B$3:$AG$15,31,FALSE))</f>
        <v/>
      </c>
      <c r="AE32" s="507" t="str">
        <f t="shared" si="5"/>
        <v/>
      </c>
      <c r="AF32" s="507" t="str">
        <f t="shared" si="6"/>
        <v/>
      </c>
      <c r="AG32" s="524" t="str">
        <f>IFERROR(IF(O32="","",VLOOKUP(AD32,'G-3 Multipliers'!$P$3:$Q$6,2,FALSE)),"")</f>
        <v/>
      </c>
      <c r="AH32" s="513" t="str">
        <f t="shared" si="7"/>
        <v/>
      </c>
      <c r="AI32" s="231"/>
      <c r="AJ32" s="150"/>
      <c r="AT32" s="31" t="str">
        <f>IFERROR(INDEX('G-6 Hedgerow Data'!$BJ$3:$BJ$15,MATCH(M32,'G-6 Hedgerow Data'!$B$3:$B$15,0)),"")</f>
        <v/>
      </c>
    </row>
    <row r="33" spans="2:46" ht="13.8" x14ac:dyDescent="0.25">
      <c r="B33" s="531" t="str">
        <f>'B-1 Site Hedge Baseline'!AK31</f>
        <v/>
      </c>
      <c r="C33" s="520" t="str">
        <f>IF(B33="","",IF(ISNA(VLOOKUP($B33,'B-1 Site Hedge Baseline'!$B$1:$L$257,3,FALSE)),"",(VLOOKUP($B33,'B-1 Site Hedge Baseline'!$B$1:$L$257,3,FALSE))))</f>
        <v/>
      </c>
      <c r="D33" s="520" t="str">
        <f>IF(B33="","",IF(ISNA(VLOOKUP($B33,'B-1 Site Hedge Baseline'!$B$1:$L$257,4,FALSE)),"",(VLOOKUP($B33,'B-1 Site Hedge Baseline'!$B$1:$L$257,4,FALSE))))</f>
        <v/>
      </c>
      <c r="E33" s="520" t="str">
        <f>IF(B33="","",IF(ISNA(VLOOKUP($B33,'B-1 Site Hedge Baseline'!$B$1:$L$257,5,FALSE)),"",(VLOOKUP($B33,'B-1 Site Hedge Baseline'!$B$1:$L$257,5,FALSE))))</f>
        <v/>
      </c>
      <c r="F33" s="520" t="str">
        <f>IF(B33="","",IF(ISNA(VLOOKUP($B33,'B-1 Site Hedge Baseline'!$B$1:$L$257,6,FALSE)),"",(VLOOKUP($B33,'B-1 Site Hedge Baseline'!$B$1:$L$257,6,FALSE))))</f>
        <v/>
      </c>
      <c r="G33" s="520" t="str">
        <f>IF(B33="","",IF(ISNA(VLOOKUP($B33,'B-1 Site Hedge Baseline'!$B$1:$L$257,7,FALSE)),"",(VLOOKUP($B33,'B-1 Site Hedge Baseline'!$B$1:$L$257,7,FALSE))))</f>
        <v/>
      </c>
      <c r="H33" s="520" t="str">
        <f>IF(B33="","",IF(ISNA(VLOOKUP($B33,'B-1 Site Hedge Baseline'!$B$1:$L$257,8,FALSE)),"",(VLOOKUP($B33,'B-1 Site Hedge Baseline'!$B$1:$L$257,8,FALSE))))</f>
        <v/>
      </c>
      <c r="I33" s="520" t="str">
        <f>IF(B33="","",IF(ISNA(VLOOKUP($B33,'B-1 Site Hedge Baseline'!$B$1:$L$257,10,FALSE)),"",(VLOOKUP($B33,'B-1 Site Hedge Baseline'!$B$1:$L$257,10,FALSE))))</f>
        <v/>
      </c>
      <c r="J33" s="520" t="str">
        <f>IF(B33="","",IF(ISNA(VLOOKUP($B33,'B-1 Site Hedge Baseline'!$B$1:$L$257,11,FALSE)),"",(VLOOKUP($B33,'B-1 Site Hedge Baseline'!$B$1:$L$257,11,FALSE))))</f>
        <v/>
      </c>
      <c r="K33" s="520" t="str">
        <f>IF(B33="","",IF(ISNA(VLOOKUP($B33,'B-1 Site Hedge Baseline'!$B$1:$U$257,13,FALSE)),"",(VLOOKUP($B33,'B-1 Site Hedge Baseline'!$B$1:$U$257,13,FALSE))))</f>
        <v/>
      </c>
      <c r="L33" s="524" t="str">
        <f>IF(B33="","",IF(ISNA(VLOOKUP($B33,'B-1 Site Hedge Baseline'!$B$1:$U$257,12,FALSE)),"",(VLOOKUP($B33,'B-1 Site Hedge Baseline'!$B$1:$U$257,12,FALSE))))</f>
        <v/>
      </c>
      <c r="M33" s="416" t="str">
        <f t="shared" si="0"/>
        <v/>
      </c>
      <c r="N33" s="498" t="str">
        <f>IFERROR(IF(B33="","",INDEX('G-6 Hedgerow Data'!$AN$3:$AZ$15,MATCH(C33,'G-6 Hedgerow Data'!$AM$3:$AM$15,0),MATCH(M33,'G-6 Hedgerow Data'!$AN$2:$AZ$2,0))),"")</f>
        <v/>
      </c>
      <c r="O33" s="499" t="str">
        <f t="shared" si="2"/>
        <v/>
      </c>
      <c r="P33" s="559" t="str">
        <f>IF(B33="","",VLOOKUP(B33,'B-1 Site Hedge Baseline'!$B$10:T278,16,FALSE))</f>
        <v/>
      </c>
      <c r="Q33" s="498" t="str">
        <f>IF(M33="","",VLOOKUP(M33,'G-6 Hedgerow Data'!$B$2:$AG$15,2,FALSE))</f>
        <v/>
      </c>
      <c r="R33" s="499" t="str">
        <f>IF(M33="","",VLOOKUP(M33,'G-6 Hedgerow Data'!$B$2:$AG$15,3,FALSE))</f>
        <v/>
      </c>
      <c r="S33" s="157"/>
      <c r="T33" s="540" t="str">
        <f>IFERROR(VLOOKUP(S33,'G-1 All Habitats'!$Z$2:$AA$9,2,FALSE),"")</f>
        <v/>
      </c>
      <c r="U33" s="154"/>
      <c r="V33" s="520" t="str">
        <f>IF(U33="","",IF(VLOOKUP(U33,'G-3 Multipliers'!$L$3:$N$6,2,FALSE)=0,"Spatial Data Missing ⚠",VLOOKUP(U33,'G-3 Multipliers'!$L$3:$N$6,2,FALSE)))</f>
        <v/>
      </c>
      <c r="W33" s="524" t="str">
        <f>IF(U33="","",IF(VLOOKUP(U33,'G-3 Multipliers'!$L$3:$N$6,3,FALSE)=0,"Spatial Data Missing ⚠",VLOOKUP(U33,'G-3 Multipliers'!$L$3:$N$6,3,FALSE)))</f>
        <v/>
      </c>
      <c r="X33" s="498"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7" t="str">
        <f t="shared" si="3"/>
        <v/>
      </c>
      <c r="AB33" s="521" t="str">
        <f t="shared" si="4"/>
        <v/>
      </c>
      <c r="AC33" s="522" t="str">
        <f t="shared" si="1"/>
        <v/>
      </c>
      <c r="AD33" s="537" t="str">
        <f>IF(M33="","",VLOOKUP(M33,'G-6 Hedgerow Data'!$B$3:$AG$15,31,FALSE))</f>
        <v/>
      </c>
      <c r="AE33" s="507" t="str">
        <f t="shared" si="5"/>
        <v/>
      </c>
      <c r="AF33" s="507" t="str">
        <f t="shared" si="6"/>
        <v/>
      </c>
      <c r="AG33" s="524" t="str">
        <f>IFERROR(IF(O33="","",VLOOKUP(AD33,'G-3 Multipliers'!$P$3:$Q$6,2,FALSE)),"")</f>
        <v/>
      </c>
      <c r="AH33" s="513" t="str">
        <f t="shared" si="7"/>
        <v/>
      </c>
      <c r="AI33" s="231"/>
      <c r="AJ33" s="150"/>
      <c r="AT33" s="31" t="str">
        <f>IFERROR(INDEX('G-6 Hedgerow Data'!$BJ$3:$BJ$15,MATCH(M33,'G-6 Hedgerow Data'!$B$3:$B$15,0)),"")</f>
        <v/>
      </c>
    </row>
    <row r="34" spans="2:46" ht="13.8" x14ac:dyDescent="0.25">
      <c r="B34" s="531" t="str">
        <f>'B-1 Site Hedge Baseline'!AK32</f>
        <v/>
      </c>
      <c r="C34" s="520" t="str">
        <f>IF(B34="","",IF(ISNA(VLOOKUP($B34,'B-1 Site Hedge Baseline'!$B$1:$L$257,3,FALSE)),"",(VLOOKUP($B34,'B-1 Site Hedge Baseline'!$B$1:$L$257,3,FALSE))))</f>
        <v/>
      </c>
      <c r="D34" s="520" t="str">
        <f>IF(B34="","",IF(ISNA(VLOOKUP($B34,'B-1 Site Hedge Baseline'!$B$1:$L$257,4,FALSE)),"",(VLOOKUP($B34,'B-1 Site Hedge Baseline'!$B$1:$L$257,4,FALSE))))</f>
        <v/>
      </c>
      <c r="E34" s="520" t="str">
        <f>IF(B34="","",IF(ISNA(VLOOKUP($B34,'B-1 Site Hedge Baseline'!$B$1:$L$257,5,FALSE)),"",(VLOOKUP($B34,'B-1 Site Hedge Baseline'!$B$1:$L$257,5,FALSE))))</f>
        <v/>
      </c>
      <c r="F34" s="520" t="str">
        <f>IF(B34="","",IF(ISNA(VLOOKUP($B34,'B-1 Site Hedge Baseline'!$B$1:$L$257,6,FALSE)),"",(VLOOKUP($B34,'B-1 Site Hedge Baseline'!$B$1:$L$257,6,FALSE))))</f>
        <v/>
      </c>
      <c r="G34" s="520" t="str">
        <f>IF(B34="","",IF(ISNA(VLOOKUP($B34,'B-1 Site Hedge Baseline'!$B$1:$L$257,7,FALSE)),"",(VLOOKUP($B34,'B-1 Site Hedge Baseline'!$B$1:$L$257,7,FALSE))))</f>
        <v/>
      </c>
      <c r="H34" s="520" t="str">
        <f>IF(B34="","",IF(ISNA(VLOOKUP($B34,'B-1 Site Hedge Baseline'!$B$1:$L$257,8,FALSE)),"",(VLOOKUP($B34,'B-1 Site Hedge Baseline'!$B$1:$L$257,8,FALSE))))</f>
        <v/>
      </c>
      <c r="I34" s="520" t="str">
        <f>IF(B34="","",IF(ISNA(VLOOKUP($B34,'B-1 Site Hedge Baseline'!$B$1:$L$257,10,FALSE)),"",(VLOOKUP($B34,'B-1 Site Hedge Baseline'!$B$1:$L$257,10,FALSE))))</f>
        <v/>
      </c>
      <c r="J34" s="520" t="str">
        <f>IF(B34="","",IF(ISNA(VLOOKUP($B34,'B-1 Site Hedge Baseline'!$B$1:$L$257,11,FALSE)),"",(VLOOKUP($B34,'B-1 Site Hedge Baseline'!$B$1:$L$257,11,FALSE))))</f>
        <v/>
      </c>
      <c r="K34" s="520" t="str">
        <f>IF(B34="","",IF(ISNA(VLOOKUP($B34,'B-1 Site Hedge Baseline'!$B$1:$U$257,13,FALSE)),"",(VLOOKUP($B34,'B-1 Site Hedge Baseline'!$B$1:$U$257,13,FALSE))))</f>
        <v/>
      </c>
      <c r="L34" s="524" t="str">
        <f>IF(B34="","",IF(ISNA(VLOOKUP($B34,'B-1 Site Hedge Baseline'!$B$1:$U$257,12,FALSE)),"",(VLOOKUP($B34,'B-1 Site Hedge Baseline'!$B$1:$U$257,12,FALSE))))</f>
        <v/>
      </c>
      <c r="M34" s="416" t="str">
        <f t="shared" si="0"/>
        <v/>
      </c>
      <c r="N34" s="498" t="str">
        <f>IFERROR(IF(B34="","",INDEX('G-6 Hedgerow Data'!$AN$3:$AZ$15,MATCH(C34,'G-6 Hedgerow Data'!$AM$3:$AM$15,0),MATCH(M34,'G-6 Hedgerow Data'!$AN$2:$AZ$2,0))),"")</f>
        <v/>
      </c>
      <c r="O34" s="499" t="str">
        <f t="shared" si="2"/>
        <v/>
      </c>
      <c r="P34" s="559" t="str">
        <f>IF(B34="","",VLOOKUP(B34,'B-1 Site Hedge Baseline'!$B$10:T279,16,FALSE))</f>
        <v/>
      </c>
      <c r="Q34" s="498" t="str">
        <f>IF(M34="","",VLOOKUP(M34,'G-6 Hedgerow Data'!$B$2:$AG$15,2,FALSE))</f>
        <v/>
      </c>
      <c r="R34" s="499" t="str">
        <f>IF(M34="","",VLOOKUP(M34,'G-6 Hedgerow Data'!$B$2:$AG$15,3,FALSE))</f>
        <v/>
      </c>
      <c r="S34" s="157"/>
      <c r="T34" s="540" t="str">
        <f>IFERROR(VLOOKUP(S34,'G-1 All Habitats'!$Z$2:$AA$9,2,FALSE),"")</f>
        <v/>
      </c>
      <c r="U34" s="154"/>
      <c r="V34" s="520" t="str">
        <f>IF(U34="","",IF(VLOOKUP(U34,'G-3 Multipliers'!$L$3:$N$6,2,FALSE)=0,"Spatial Data Missing ⚠",VLOOKUP(U34,'G-3 Multipliers'!$L$3:$N$6,2,FALSE)))</f>
        <v/>
      </c>
      <c r="W34" s="524" t="str">
        <f>IF(U34="","",IF(VLOOKUP(U34,'G-3 Multipliers'!$L$3:$N$6,3,FALSE)=0,"Spatial Data Missing ⚠",VLOOKUP(U34,'G-3 Multipliers'!$L$3:$N$6,3,FALSE)))</f>
        <v/>
      </c>
      <c r="X34" s="498"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7" t="str">
        <f t="shared" si="3"/>
        <v/>
      </c>
      <c r="AB34" s="521" t="str">
        <f t="shared" si="4"/>
        <v/>
      </c>
      <c r="AC34" s="522" t="str">
        <f t="shared" si="1"/>
        <v/>
      </c>
      <c r="AD34" s="537" t="str">
        <f>IF(M34="","",VLOOKUP(M34,'G-6 Hedgerow Data'!$B$3:$AG$15,31,FALSE))</f>
        <v/>
      </c>
      <c r="AE34" s="507" t="str">
        <f t="shared" si="5"/>
        <v/>
      </c>
      <c r="AF34" s="507" t="str">
        <f t="shared" si="6"/>
        <v/>
      </c>
      <c r="AG34" s="524" t="str">
        <f>IFERROR(IF(O34="","",VLOOKUP(AD34,'G-3 Multipliers'!$P$3:$Q$6,2,FALSE)),"")</f>
        <v/>
      </c>
      <c r="AH34" s="513" t="str">
        <f t="shared" si="7"/>
        <v/>
      </c>
      <c r="AI34" s="231"/>
      <c r="AJ34" s="150"/>
      <c r="AT34" s="31" t="str">
        <f>IFERROR(INDEX('G-6 Hedgerow Data'!$BJ$3:$BJ$15,MATCH(M34,'G-6 Hedgerow Data'!$B$3:$B$15,0)),"")</f>
        <v/>
      </c>
    </row>
    <row r="35" spans="2:46" ht="13.8" x14ac:dyDescent="0.25">
      <c r="B35" s="531" t="str">
        <f>'B-1 Site Hedge Baseline'!AK33</f>
        <v/>
      </c>
      <c r="C35" s="520" t="str">
        <f>IF(B35="","",IF(ISNA(VLOOKUP($B35,'B-1 Site Hedge Baseline'!$B$1:$L$257,3,FALSE)),"",(VLOOKUP($B35,'B-1 Site Hedge Baseline'!$B$1:$L$257,3,FALSE))))</f>
        <v/>
      </c>
      <c r="D35" s="520" t="str">
        <f>IF(B35="","",IF(ISNA(VLOOKUP($B35,'B-1 Site Hedge Baseline'!$B$1:$L$257,4,FALSE)),"",(VLOOKUP($B35,'B-1 Site Hedge Baseline'!$B$1:$L$257,4,FALSE))))</f>
        <v/>
      </c>
      <c r="E35" s="520" t="str">
        <f>IF(B35="","",IF(ISNA(VLOOKUP($B35,'B-1 Site Hedge Baseline'!$B$1:$L$257,5,FALSE)),"",(VLOOKUP($B35,'B-1 Site Hedge Baseline'!$B$1:$L$257,5,FALSE))))</f>
        <v/>
      </c>
      <c r="F35" s="520" t="str">
        <f>IF(B35="","",IF(ISNA(VLOOKUP($B35,'B-1 Site Hedge Baseline'!$B$1:$L$257,6,FALSE)),"",(VLOOKUP($B35,'B-1 Site Hedge Baseline'!$B$1:$L$257,6,FALSE))))</f>
        <v/>
      </c>
      <c r="G35" s="520" t="str">
        <f>IF(B35="","",IF(ISNA(VLOOKUP($B35,'B-1 Site Hedge Baseline'!$B$1:$L$257,7,FALSE)),"",(VLOOKUP($B35,'B-1 Site Hedge Baseline'!$B$1:$L$257,7,FALSE))))</f>
        <v/>
      </c>
      <c r="H35" s="520" t="str">
        <f>IF(B35="","",IF(ISNA(VLOOKUP($B35,'B-1 Site Hedge Baseline'!$B$1:$L$257,8,FALSE)),"",(VLOOKUP($B35,'B-1 Site Hedge Baseline'!$B$1:$L$257,8,FALSE))))</f>
        <v/>
      </c>
      <c r="I35" s="520" t="str">
        <f>IF(B35="","",IF(ISNA(VLOOKUP($B35,'B-1 Site Hedge Baseline'!$B$1:$L$257,10,FALSE)),"",(VLOOKUP($B35,'B-1 Site Hedge Baseline'!$B$1:$L$257,10,FALSE))))</f>
        <v/>
      </c>
      <c r="J35" s="520" t="str">
        <f>IF(B35="","",IF(ISNA(VLOOKUP($B35,'B-1 Site Hedge Baseline'!$B$1:$L$257,11,FALSE)),"",(VLOOKUP($B35,'B-1 Site Hedge Baseline'!$B$1:$L$257,11,FALSE))))</f>
        <v/>
      </c>
      <c r="K35" s="520" t="str">
        <f>IF(B35="","",IF(ISNA(VLOOKUP($B35,'B-1 Site Hedge Baseline'!$B$1:$U$257,13,FALSE)),"",(VLOOKUP($B35,'B-1 Site Hedge Baseline'!$B$1:$U$257,13,FALSE))))</f>
        <v/>
      </c>
      <c r="L35" s="524" t="str">
        <f>IF(B35="","",IF(ISNA(VLOOKUP($B35,'B-1 Site Hedge Baseline'!$B$1:$U$257,12,FALSE)),"",(VLOOKUP($B35,'B-1 Site Hedge Baseline'!$B$1:$U$257,12,FALSE))))</f>
        <v/>
      </c>
      <c r="M35" s="416" t="str">
        <f t="shared" si="0"/>
        <v/>
      </c>
      <c r="N35" s="498" t="str">
        <f>IFERROR(IF(B35="","",INDEX('G-6 Hedgerow Data'!$AN$3:$AZ$15,MATCH(C35,'G-6 Hedgerow Data'!$AM$3:$AM$15,0),MATCH(M35,'G-6 Hedgerow Data'!$AN$2:$AZ$2,0))),"")</f>
        <v/>
      </c>
      <c r="O35" s="499" t="str">
        <f t="shared" si="2"/>
        <v/>
      </c>
      <c r="P35" s="559" t="str">
        <f>IF(B35="","",VLOOKUP(B35,'B-1 Site Hedge Baseline'!$B$10:T280,16,FALSE))</f>
        <v/>
      </c>
      <c r="Q35" s="498" t="str">
        <f>IF(M35="","",VLOOKUP(M35,'G-6 Hedgerow Data'!$B$2:$AG$15,2,FALSE))</f>
        <v/>
      </c>
      <c r="R35" s="499" t="str">
        <f>IF(M35="","",VLOOKUP(M35,'G-6 Hedgerow Data'!$B$2:$AG$15,3,FALSE))</f>
        <v/>
      </c>
      <c r="S35" s="157"/>
      <c r="T35" s="540" t="str">
        <f>IFERROR(VLOOKUP(S35,'G-1 All Habitats'!$Z$2:$AA$9,2,FALSE),"")</f>
        <v/>
      </c>
      <c r="U35" s="154"/>
      <c r="V35" s="520" t="str">
        <f>IF(U35="","",IF(VLOOKUP(U35,'G-3 Multipliers'!$L$3:$N$6,2,FALSE)=0,"Spatial Data Missing ⚠",VLOOKUP(U35,'G-3 Multipliers'!$L$3:$N$6,2,FALSE)))</f>
        <v/>
      </c>
      <c r="W35" s="524" t="str">
        <f>IF(U35="","",IF(VLOOKUP(U35,'G-3 Multipliers'!$L$3:$N$6,3,FALSE)=0,"Spatial Data Missing ⚠",VLOOKUP(U35,'G-3 Multipliers'!$L$3:$N$6,3,FALSE)))</f>
        <v/>
      </c>
      <c r="X35" s="498"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7" t="str">
        <f t="shared" si="3"/>
        <v/>
      </c>
      <c r="AB35" s="521" t="str">
        <f t="shared" si="4"/>
        <v/>
      </c>
      <c r="AC35" s="522" t="str">
        <f t="shared" si="1"/>
        <v/>
      </c>
      <c r="AD35" s="537" t="str">
        <f>IF(M35="","",VLOOKUP(M35,'G-6 Hedgerow Data'!$B$3:$AG$15,31,FALSE))</f>
        <v/>
      </c>
      <c r="AE35" s="507" t="str">
        <f t="shared" si="5"/>
        <v/>
      </c>
      <c r="AF35" s="507" t="str">
        <f t="shared" si="6"/>
        <v/>
      </c>
      <c r="AG35" s="524" t="str">
        <f>IFERROR(IF(O35="","",VLOOKUP(AD35,'G-3 Multipliers'!$P$3:$Q$6,2,FALSE)),"")</f>
        <v/>
      </c>
      <c r="AH35" s="513" t="str">
        <f t="shared" si="7"/>
        <v/>
      </c>
      <c r="AI35" s="231"/>
      <c r="AJ35" s="150"/>
      <c r="AT35" s="31" t="str">
        <f>IFERROR(INDEX('G-6 Hedgerow Data'!$BJ$3:$BJ$15,MATCH(M35,'G-6 Hedgerow Data'!$B$3:$B$15,0)),"")</f>
        <v/>
      </c>
    </row>
    <row r="36" spans="2:46" ht="13.8" x14ac:dyDescent="0.25">
      <c r="B36" s="531" t="str">
        <f>'B-1 Site Hedge Baseline'!AK34</f>
        <v/>
      </c>
      <c r="C36" s="520" t="str">
        <f>IF(B36="","",IF(ISNA(VLOOKUP($B36,'B-1 Site Hedge Baseline'!$B$1:$L$257,3,FALSE)),"",(VLOOKUP($B36,'B-1 Site Hedge Baseline'!$B$1:$L$257,3,FALSE))))</f>
        <v/>
      </c>
      <c r="D36" s="520" t="str">
        <f>IF(B36="","",IF(ISNA(VLOOKUP($B36,'B-1 Site Hedge Baseline'!$B$1:$L$257,4,FALSE)),"",(VLOOKUP($B36,'B-1 Site Hedge Baseline'!$B$1:$L$257,4,FALSE))))</f>
        <v/>
      </c>
      <c r="E36" s="520" t="str">
        <f>IF(B36="","",IF(ISNA(VLOOKUP($B36,'B-1 Site Hedge Baseline'!$B$1:$L$257,5,FALSE)),"",(VLOOKUP($B36,'B-1 Site Hedge Baseline'!$B$1:$L$257,5,FALSE))))</f>
        <v/>
      </c>
      <c r="F36" s="520" t="str">
        <f>IF(B36="","",IF(ISNA(VLOOKUP($B36,'B-1 Site Hedge Baseline'!$B$1:$L$257,6,FALSE)),"",(VLOOKUP($B36,'B-1 Site Hedge Baseline'!$B$1:$L$257,6,FALSE))))</f>
        <v/>
      </c>
      <c r="G36" s="520" t="str">
        <f>IF(B36="","",IF(ISNA(VLOOKUP($B36,'B-1 Site Hedge Baseline'!$B$1:$L$257,7,FALSE)),"",(VLOOKUP($B36,'B-1 Site Hedge Baseline'!$B$1:$L$257,7,FALSE))))</f>
        <v/>
      </c>
      <c r="H36" s="520" t="str">
        <f>IF(B36="","",IF(ISNA(VLOOKUP($B36,'B-1 Site Hedge Baseline'!$B$1:$L$257,8,FALSE)),"",(VLOOKUP($B36,'B-1 Site Hedge Baseline'!$B$1:$L$257,8,FALSE))))</f>
        <v/>
      </c>
      <c r="I36" s="520" t="str">
        <f>IF(B36="","",IF(ISNA(VLOOKUP($B36,'B-1 Site Hedge Baseline'!$B$1:$L$257,10,FALSE)),"",(VLOOKUP($B36,'B-1 Site Hedge Baseline'!$B$1:$L$257,10,FALSE))))</f>
        <v/>
      </c>
      <c r="J36" s="520" t="str">
        <f>IF(B36="","",IF(ISNA(VLOOKUP($B36,'B-1 Site Hedge Baseline'!$B$1:$L$257,11,FALSE)),"",(VLOOKUP($B36,'B-1 Site Hedge Baseline'!$B$1:$L$257,11,FALSE))))</f>
        <v/>
      </c>
      <c r="K36" s="520" t="str">
        <f>IF(B36="","",IF(ISNA(VLOOKUP($B36,'B-1 Site Hedge Baseline'!$B$1:$U$257,13,FALSE)),"",(VLOOKUP($B36,'B-1 Site Hedge Baseline'!$B$1:$U$257,13,FALSE))))</f>
        <v/>
      </c>
      <c r="L36" s="524" t="str">
        <f>IF(B36="","",IF(ISNA(VLOOKUP($B36,'B-1 Site Hedge Baseline'!$B$1:$U$257,12,FALSE)),"",(VLOOKUP($B36,'B-1 Site Hedge Baseline'!$B$1:$U$257,12,FALSE))))</f>
        <v/>
      </c>
      <c r="M36" s="416" t="str">
        <f t="shared" si="0"/>
        <v/>
      </c>
      <c r="N36" s="498" t="str">
        <f>IFERROR(IF(B36="","",INDEX('G-6 Hedgerow Data'!$AN$3:$AZ$15,MATCH(C36,'G-6 Hedgerow Data'!$AM$3:$AM$15,0),MATCH(M36,'G-6 Hedgerow Data'!$AN$2:$AZ$2,0))),"")</f>
        <v/>
      </c>
      <c r="O36" s="499" t="str">
        <f t="shared" si="2"/>
        <v/>
      </c>
      <c r="P36" s="559" t="str">
        <f>IF(B36="","",VLOOKUP(B36,'B-1 Site Hedge Baseline'!$B$10:T281,16,FALSE))</f>
        <v/>
      </c>
      <c r="Q36" s="498" t="str">
        <f>IF(M36="","",VLOOKUP(M36,'G-6 Hedgerow Data'!$B$2:$AG$15,2,FALSE))</f>
        <v/>
      </c>
      <c r="R36" s="499" t="str">
        <f>IF(M36="","",VLOOKUP(M36,'G-6 Hedgerow Data'!$B$2:$AG$15,3,FALSE))</f>
        <v/>
      </c>
      <c r="S36" s="157"/>
      <c r="T36" s="540" t="str">
        <f>IFERROR(VLOOKUP(S36,'G-1 All Habitats'!$Z$2:$AA$9,2,FALSE),"")</f>
        <v/>
      </c>
      <c r="U36" s="154"/>
      <c r="V36" s="520" t="str">
        <f>IF(U36="","",IF(VLOOKUP(U36,'G-3 Multipliers'!$L$3:$N$6,2,FALSE)=0,"Spatial Data Missing ⚠",VLOOKUP(U36,'G-3 Multipliers'!$L$3:$N$6,2,FALSE)))</f>
        <v/>
      </c>
      <c r="W36" s="524" t="str">
        <f>IF(U36="","",IF(VLOOKUP(U36,'G-3 Multipliers'!$L$3:$N$6,3,FALSE)=0,"Spatial Data Missing ⚠",VLOOKUP(U36,'G-3 Multipliers'!$L$3:$N$6,3,FALSE)))</f>
        <v/>
      </c>
      <c r="X36" s="498"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7" t="str">
        <f t="shared" si="3"/>
        <v/>
      </c>
      <c r="AB36" s="521" t="str">
        <f t="shared" si="4"/>
        <v/>
      </c>
      <c r="AC36" s="522" t="str">
        <f t="shared" si="1"/>
        <v/>
      </c>
      <c r="AD36" s="537" t="str">
        <f>IF(M36="","",VLOOKUP(M36,'G-6 Hedgerow Data'!$B$3:$AG$15,31,FALSE))</f>
        <v/>
      </c>
      <c r="AE36" s="507" t="str">
        <f t="shared" si="5"/>
        <v/>
      </c>
      <c r="AF36" s="507" t="str">
        <f t="shared" si="6"/>
        <v/>
      </c>
      <c r="AG36" s="524" t="str">
        <f>IFERROR(IF(O36="","",VLOOKUP(AD36,'G-3 Multipliers'!$P$3:$Q$6,2,FALSE)),"")</f>
        <v/>
      </c>
      <c r="AH36" s="513" t="str">
        <f t="shared" si="7"/>
        <v/>
      </c>
      <c r="AI36" s="231"/>
      <c r="AJ36" s="150"/>
      <c r="AT36" s="31" t="str">
        <f>IFERROR(INDEX('G-6 Hedgerow Data'!$BJ$3:$BJ$15,MATCH(M36,'G-6 Hedgerow Data'!$B$3:$B$15,0)),"")</f>
        <v/>
      </c>
    </row>
    <row r="37" spans="2:46" ht="13.8" x14ac:dyDescent="0.25">
      <c r="B37" s="531" t="str">
        <f>'B-1 Site Hedge Baseline'!AK35</f>
        <v/>
      </c>
      <c r="C37" s="520" t="str">
        <f>IF(B37="","",IF(ISNA(VLOOKUP($B37,'B-1 Site Hedge Baseline'!$B$1:$L$257,3,FALSE)),"",(VLOOKUP($B37,'B-1 Site Hedge Baseline'!$B$1:$L$257,3,FALSE))))</f>
        <v/>
      </c>
      <c r="D37" s="520" t="str">
        <f>IF(B37="","",IF(ISNA(VLOOKUP($B37,'B-1 Site Hedge Baseline'!$B$1:$L$257,4,FALSE)),"",(VLOOKUP($B37,'B-1 Site Hedge Baseline'!$B$1:$L$257,4,FALSE))))</f>
        <v/>
      </c>
      <c r="E37" s="520" t="str">
        <f>IF(B37="","",IF(ISNA(VLOOKUP($B37,'B-1 Site Hedge Baseline'!$B$1:$L$257,5,FALSE)),"",(VLOOKUP($B37,'B-1 Site Hedge Baseline'!$B$1:$L$257,5,FALSE))))</f>
        <v/>
      </c>
      <c r="F37" s="520" t="str">
        <f>IF(B37="","",IF(ISNA(VLOOKUP($B37,'B-1 Site Hedge Baseline'!$B$1:$L$257,6,FALSE)),"",(VLOOKUP($B37,'B-1 Site Hedge Baseline'!$B$1:$L$257,6,FALSE))))</f>
        <v/>
      </c>
      <c r="G37" s="520" t="str">
        <f>IF(B37="","",IF(ISNA(VLOOKUP($B37,'B-1 Site Hedge Baseline'!$B$1:$L$257,7,FALSE)),"",(VLOOKUP($B37,'B-1 Site Hedge Baseline'!$B$1:$L$257,7,FALSE))))</f>
        <v/>
      </c>
      <c r="H37" s="520" t="str">
        <f>IF(B37="","",IF(ISNA(VLOOKUP($B37,'B-1 Site Hedge Baseline'!$B$1:$L$257,8,FALSE)),"",(VLOOKUP($B37,'B-1 Site Hedge Baseline'!$B$1:$L$257,8,FALSE))))</f>
        <v/>
      </c>
      <c r="I37" s="520" t="str">
        <f>IF(B37="","",IF(ISNA(VLOOKUP($B37,'B-1 Site Hedge Baseline'!$B$1:$L$257,10,FALSE)),"",(VLOOKUP($B37,'B-1 Site Hedge Baseline'!$B$1:$L$257,10,FALSE))))</f>
        <v/>
      </c>
      <c r="J37" s="520" t="str">
        <f>IF(B37="","",IF(ISNA(VLOOKUP($B37,'B-1 Site Hedge Baseline'!$B$1:$L$257,11,FALSE)),"",(VLOOKUP($B37,'B-1 Site Hedge Baseline'!$B$1:$L$257,11,FALSE))))</f>
        <v/>
      </c>
      <c r="K37" s="520" t="str">
        <f>IF(B37="","",IF(ISNA(VLOOKUP($B37,'B-1 Site Hedge Baseline'!$B$1:$U$257,13,FALSE)),"",(VLOOKUP($B37,'B-1 Site Hedge Baseline'!$B$1:$U$257,13,FALSE))))</f>
        <v/>
      </c>
      <c r="L37" s="524" t="str">
        <f>IF(B37="","",IF(ISNA(VLOOKUP($B37,'B-1 Site Hedge Baseline'!$B$1:$U$257,12,FALSE)),"",(VLOOKUP($B37,'B-1 Site Hedge Baseline'!$B$1:$U$257,12,FALSE))))</f>
        <v/>
      </c>
      <c r="M37" s="416" t="str">
        <f t="shared" si="0"/>
        <v/>
      </c>
      <c r="N37" s="498" t="str">
        <f>IFERROR(IF(B37="","",INDEX('G-6 Hedgerow Data'!$AN$3:$AZ$15,MATCH(C37,'G-6 Hedgerow Data'!$AM$3:$AM$15,0),MATCH(M37,'G-6 Hedgerow Data'!$AN$2:$AZ$2,0))),"")</f>
        <v/>
      </c>
      <c r="O37" s="499" t="str">
        <f t="shared" si="2"/>
        <v/>
      </c>
      <c r="P37" s="559" t="str">
        <f>IF(B37="","",VLOOKUP(B37,'B-1 Site Hedge Baseline'!$B$10:T282,16,FALSE))</f>
        <v/>
      </c>
      <c r="Q37" s="498" t="str">
        <f>IF(M37="","",VLOOKUP(M37,'G-6 Hedgerow Data'!$B$2:$AG$15,2,FALSE))</f>
        <v/>
      </c>
      <c r="R37" s="499" t="str">
        <f>IF(M37="","",VLOOKUP(M37,'G-6 Hedgerow Data'!$B$2:$AG$15,3,FALSE))</f>
        <v/>
      </c>
      <c r="S37" s="157"/>
      <c r="T37" s="540" t="str">
        <f>IFERROR(VLOOKUP(S37,'G-1 All Habitats'!$Z$2:$AA$9,2,FALSE),"")</f>
        <v/>
      </c>
      <c r="U37" s="154"/>
      <c r="V37" s="520" t="str">
        <f>IF(U37="","",IF(VLOOKUP(U37,'G-3 Multipliers'!$L$3:$N$6,2,FALSE)=0,"Spatial Data Missing ⚠",VLOOKUP(U37,'G-3 Multipliers'!$L$3:$N$6,2,FALSE)))</f>
        <v/>
      </c>
      <c r="W37" s="524" t="str">
        <f>IF(U37="","",IF(VLOOKUP(U37,'G-3 Multipliers'!$L$3:$N$6,3,FALSE)=0,"Spatial Data Missing ⚠",VLOOKUP(U37,'G-3 Multipliers'!$L$3:$N$6,3,FALSE)))</f>
        <v/>
      </c>
      <c r="X37" s="498"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7" t="str">
        <f t="shared" si="3"/>
        <v/>
      </c>
      <c r="AB37" s="521" t="str">
        <f t="shared" si="4"/>
        <v/>
      </c>
      <c r="AC37" s="522" t="str">
        <f t="shared" si="1"/>
        <v/>
      </c>
      <c r="AD37" s="537" t="str">
        <f>IF(M37="","",VLOOKUP(M37,'G-6 Hedgerow Data'!$B$3:$AG$15,31,FALSE))</f>
        <v/>
      </c>
      <c r="AE37" s="507" t="str">
        <f t="shared" si="5"/>
        <v/>
      </c>
      <c r="AF37" s="507" t="str">
        <f t="shared" si="6"/>
        <v/>
      </c>
      <c r="AG37" s="524" t="str">
        <f>IFERROR(IF(O37="","",VLOOKUP(AD37,'G-3 Multipliers'!$P$3:$Q$6,2,FALSE)),"")</f>
        <v/>
      </c>
      <c r="AH37" s="513" t="str">
        <f t="shared" si="7"/>
        <v/>
      </c>
      <c r="AI37" s="231"/>
      <c r="AJ37" s="150"/>
      <c r="AT37" s="31" t="str">
        <f>IFERROR(INDEX('G-6 Hedgerow Data'!$BJ$3:$BJ$15,MATCH(M37,'G-6 Hedgerow Data'!$B$3:$B$15,0)),"")</f>
        <v/>
      </c>
    </row>
    <row r="38" spans="2:46" ht="13.8" x14ac:dyDescent="0.25">
      <c r="B38" s="531" t="str">
        <f>'B-1 Site Hedge Baseline'!AK36</f>
        <v/>
      </c>
      <c r="C38" s="520" t="str">
        <f>IF(B38="","",IF(ISNA(VLOOKUP($B38,'B-1 Site Hedge Baseline'!$B$1:$L$257,3,FALSE)),"",(VLOOKUP($B38,'B-1 Site Hedge Baseline'!$B$1:$L$257,3,FALSE))))</f>
        <v/>
      </c>
      <c r="D38" s="520" t="str">
        <f>IF(B38="","",IF(ISNA(VLOOKUP($B38,'B-1 Site Hedge Baseline'!$B$1:$L$257,4,FALSE)),"",(VLOOKUP($B38,'B-1 Site Hedge Baseline'!$B$1:$L$257,4,FALSE))))</f>
        <v/>
      </c>
      <c r="E38" s="520" t="str">
        <f>IF(B38="","",IF(ISNA(VLOOKUP($B38,'B-1 Site Hedge Baseline'!$B$1:$L$257,5,FALSE)),"",(VLOOKUP($B38,'B-1 Site Hedge Baseline'!$B$1:$L$257,5,FALSE))))</f>
        <v/>
      </c>
      <c r="F38" s="520" t="str">
        <f>IF(B38="","",IF(ISNA(VLOOKUP($B38,'B-1 Site Hedge Baseline'!$B$1:$L$257,6,FALSE)),"",(VLOOKUP($B38,'B-1 Site Hedge Baseline'!$B$1:$L$257,6,FALSE))))</f>
        <v/>
      </c>
      <c r="G38" s="520" t="str">
        <f>IF(B38="","",IF(ISNA(VLOOKUP($B38,'B-1 Site Hedge Baseline'!$B$1:$L$257,7,FALSE)),"",(VLOOKUP($B38,'B-1 Site Hedge Baseline'!$B$1:$L$257,7,FALSE))))</f>
        <v/>
      </c>
      <c r="H38" s="520" t="str">
        <f>IF(B38="","",IF(ISNA(VLOOKUP($B38,'B-1 Site Hedge Baseline'!$B$1:$L$257,8,FALSE)),"",(VLOOKUP($B38,'B-1 Site Hedge Baseline'!$B$1:$L$257,8,FALSE))))</f>
        <v/>
      </c>
      <c r="I38" s="520" t="str">
        <f>IF(B38="","",IF(ISNA(VLOOKUP($B38,'B-1 Site Hedge Baseline'!$B$1:$L$257,10,FALSE)),"",(VLOOKUP($B38,'B-1 Site Hedge Baseline'!$B$1:$L$257,10,FALSE))))</f>
        <v/>
      </c>
      <c r="J38" s="520" t="str">
        <f>IF(B38="","",IF(ISNA(VLOOKUP($B38,'B-1 Site Hedge Baseline'!$B$1:$L$257,11,FALSE)),"",(VLOOKUP($B38,'B-1 Site Hedge Baseline'!$B$1:$L$257,11,FALSE))))</f>
        <v/>
      </c>
      <c r="K38" s="520" t="str">
        <f>IF(B38="","",IF(ISNA(VLOOKUP($B38,'B-1 Site Hedge Baseline'!$B$1:$U$257,13,FALSE)),"",(VLOOKUP($B38,'B-1 Site Hedge Baseline'!$B$1:$U$257,13,FALSE))))</f>
        <v/>
      </c>
      <c r="L38" s="524" t="str">
        <f>IF(B38="","",IF(ISNA(VLOOKUP($B38,'B-1 Site Hedge Baseline'!$B$1:$U$257,12,FALSE)),"",(VLOOKUP($B38,'B-1 Site Hedge Baseline'!$B$1:$U$257,12,FALSE))))</f>
        <v/>
      </c>
      <c r="M38" s="416" t="str">
        <f t="shared" si="0"/>
        <v/>
      </c>
      <c r="N38" s="498" t="str">
        <f>IFERROR(IF(B38="","",INDEX('G-6 Hedgerow Data'!$AN$3:$AZ$15,MATCH(C38,'G-6 Hedgerow Data'!$AM$3:$AM$15,0),MATCH(M38,'G-6 Hedgerow Data'!$AN$2:$AZ$2,0))),"")</f>
        <v/>
      </c>
      <c r="O38" s="499" t="str">
        <f t="shared" si="2"/>
        <v/>
      </c>
      <c r="P38" s="559" t="str">
        <f>IF(B38="","",VLOOKUP(B38,'B-1 Site Hedge Baseline'!$B$10:T283,16,FALSE))</f>
        <v/>
      </c>
      <c r="Q38" s="498" t="str">
        <f>IF(M38="","",VLOOKUP(M38,'G-6 Hedgerow Data'!$B$2:$AG$15,2,FALSE))</f>
        <v/>
      </c>
      <c r="R38" s="499" t="str">
        <f>IF(M38="","",VLOOKUP(M38,'G-6 Hedgerow Data'!$B$2:$AG$15,3,FALSE))</f>
        <v/>
      </c>
      <c r="S38" s="157"/>
      <c r="T38" s="540" t="str">
        <f>IFERROR(VLOOKUP(S38,'G-1 All Habitats'!$Z$2:$AA$9,2,FALSE),"")</f>
        <v/>
      </c>
      <c r="U38" s="154"/>
      <c r="V38" s="520" t="str">
        <f>IF(U38="","",IF(VLOOKUP(U38,'G-3 Multipliers'!$L$3:$N$6,2,FALSE)=0,"Spatial Data Missing ⚠",VLOOKUP(U38,'G-3 Multipliers'!$L$3:$N$6,2,FALSE)))</f>
        <v/>
      </c>
      <c r="W38" s="524" t="str">
        <f>IF(U38="","",IF(VLOOKUP(U38,'G-3 Multipliers'!$L$3:$N$6,3,FALSE)=0,"Spatial Data Missing ⚠",VLOOKUP(U38,'G-3 Multipliers'!$L$3:$N$6,3,FALSE)))</f>
        <v/>
      </c>
      <c r="X38" s="498"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7" t="str">
        <f t="shared" si="3"/>
        <v/>
      </c>
      <c r="AB38" s="521" t="str">
        <f t="shared" si="4"/>
        <v/>
      </c>
      <c r="AC38" s="522" t="str">
        <f t="shared" si="1"/>
        <v/>
      </c>
      <c r="AD38" s="537" t="str">
        <f>IF(M38="","",VLOOKUP(M38,'G-6 Hedgerow Data'!$B$3:$AG$15,31,FALSE))</f>
        <v/>
      </c>
      <c r="AE38" s="507" t="str">
        <f t="shared" si="5"/>
        <v/>
      </c>
      <c r="AF38" s="507" t="str">
        <f t="shared" si="6"/>
        <v/>
      </c>
      <c r="AG38" s="524" t="str">
        <f>IFERROR(IF(O38="","",VLOOKUP(AD38,'G-3 Multipliers'!$P$3:$Q$6,2,FALSE)),"")</f>
        <v/>
      </c>
      <c r="AH38" s="513" t="str">
        <f t="shared" si="7"/>
        <v/>
      </c>
      <c r="AI38" s="231"/>
      <c r="AJ38" s="150"/>
      <c r="AT38" s="31" t="str">
        <f>IFERROR(INDEX('G-6 Hedgerow Data'!$BJ$3:$BJ$15,MATCH(M38,'G-6 Hedgerow Data'!$B$3:$B$15,0)),"")</f>
        <v/>
      </c>
    </row>
    <row r="39" spans="2:46" ht="13.8" x14ac:dyDescent="0.25">
      <c r="B39" s="531" t="str">
        <f>'B-1 Site Hedge Baseline'!AK37</f>
        <v/>
      </c>
      <c r="C39" s="520" t="str">
        <f>IF(B39="","",IF(ISNA(VLOOKUP($B39,'B-1 Site Hedge Baseline'!$B$1:$L$257,3,FALSE)),"",(VLOOKUP($B39,'B-1 Site Hedge Baseline'!$B$1:$L$257,3,FALSE))))</f>
        <v/>
      </c>
      <c r="D39" s="520" t="str">
        <f>IF(B39="","",IF(ISNA(VLOOKUP($B39,'B-1 Site Hedge Baseline'!$B$1:$L$257,4,FALSE)),"",(VLOOKUP($B39,'B-1 Site Hedge Baseline'!$B$1:$L$257,4,FALSE))))</f>
        <v/>
      </c>
      <c r="E39" s="520" t="str">
        <f>IF(B39="","",IF(ISNA(VLOOKUP($B39,'B-1 Site Hedge Baseline'!$B$1:$L$257,5,FALSE)),"",(VLOOKUP($B39,'B-1 Site Hedge Baseline'!$B$1:$L$257,5,FALSE))))</f>
        <v/>
      </c>
      <c r="F39" s="520" t="str">
        <f>IF(B39="","",IF(ISNA(VLOOKUP($B39,'B-1 Site Hedge Baseline'!$B$1:$L$257,6,FALSE)),"",(VLOOKUP($B39,'B-1 Site Hedge Baseline'!$B$1:$L$257,6,FALSE))))</f>
        <v/>
      </c>
      <c r="G39" s="520" t="str">
        <f>IF(B39="","",IF(ISNA(VLOOKUP($B39,'B-1 Site Hedge Baseline'!$B$1:$L$257,7,FALSE)),"",(VLOOKUP($B39,'B-1 Site Hedge Baseline'!$B$1:$L$257,7,FALSE))))</f>
        <v/>
      </c>
      <c r="H39" s="520" t="str">
        <f>IF(B39="","",IF(ISNA(VLOOKUP($B39,'B-1 Site Hedge Baseline'!$B$1:$L$257,8,FALSE)),"",(VLOOKUP($B39,'B-1 Site Hedge Baseline'!$B$1:$L$257,8,FALSE))))</f>
        <v/>
      </c>
      <c r="I39" s="520" t="str">
        <f>IF(B39="","",IF(ISNA(VLOOKUP($B39,'B-1 Site Hedge Baseline'!$B$1:$L$257,10,FALSE)),"",(VLOOKUP($B39,'B-1 Site Hedge Baseline'!$B$1:$L$257,10,FALSE))))</f>
        <v/>
      </c>
      <c r="J39" s="520" t="str">
        <f>IF(B39="","",IF(ISNA(VLOOKUP($B39,'B-1 Site Hedge Baseline'!$B$1:$L$257,11,FALSE)),"",(VLOOKUP($B39,'B-1 Site Hedge Baseline'!$B$1:$L$257,11,FALSE))))</f>
        <v/>
      </c>
      <c r="K39" s="520" t="str">
        <f>IF(B39="","",IF(ISNA(VLOOKUP($B39,'B-1 Site Hedge Baseline'!$B$1:$U$257,13,FALSE)),"",(VLOOKUP($B39,'B-1 Site Hedge Baseline'!$B$1:$U$257,13,FALSE))))</f>
        <v/>
      </c>
      <c r="L39" s="524" t="str">
        <f>IF(B39="","",IF(ISNA(VLOOKUP($B39,'B-1 Site Hedge Baseline'!$B$1:$U$257,12,FALSE)),"",(VLOOKUP($B39,'B-1 Site Hedge Baseline'!$B$1:$U$257,12,FALSE))))</f>
        <v/>
      </c>
      <c r="M39" s="416" t="str">
        <f t="shared" si="0"/>
        <v/>
      </c>
      <c r="N39" s="498" t="str">
        <f>IFERROR(IF(B39="","",INDEX('G-6 Hedgerow Data'!$AN$3:$AZ$15,MATCH(C39,'G-6 Hedgerow Data'!$AM$3:$AM$15,0),MATCH(M39,'G-6 Hedgerow Data'!$AN$2:$AZ$2,0))),"")</f>
        <v/>
      </c>
      <c r="O39" s="499" t="str">
        <f t="shared" si="2"/>
        <v/>
      </c>
      <c r="P39" s="559" t="str">
        <f>IF(B39="","",VLOOKUP(B39,'B-1 Site Hedge Baseline'!$B$10:T284,16,FALSE))</f>
        <v/>
      </c>
      <c r="Q39" s="498" t="str">
        <f>IF(M39="","",VLOOKUP(M39,'G-6 Hedgerow Data'!$B$2:$AG$15,2,FALSE))</f>
        <v/>
      </c>
      <c r="R39" s="499" t="str">
        <f>IF(M39="","",VLOOKUP(M39,'G-6 Hedgerow Data'!$B$2:$AG$15,3,FALSE))</f>
        <v/>
      </c>
      <c r="S39" s="157"/>
      <c r="T39" s="540" t="str">
        <f>IFERROR(VLOOKUP(S39,'G-1 All Habitats'!$Z$2:$AA$9,2,FALSE),"")</f>
        <v/>
      </c>
      <c r="U39" s="154"/>
      <c r="V39" s="520" t="str">
        <f>IF(U39="","",IF(VLOOKUP(U39,'G-3 Multipliers'!$L$3:$N$6,2,FALSE)=0,"Spatial Data Missing ⚠",VLOOKUP(U39,'G-3 Multipliers'!$L$3:$N$6,2,FALSE)))</f>
        <v/>
      </c>
      <c r="W39" s="524" t="str">
        <f>IF(U39="","",IF(VLOOKUP(U39,'G-3 Multipliers'!$L$3:$N$6,3,FALSE)=0,"Spatial Data Missing ⚠",VLOOKUP(U39,'G-3 Multipliers'!$L$3:$N$6,3,FALSE)))</f>
        <v/>
      </c>
      <c r="X39" s="498"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7" t="str">
        <f t="shared" si="3"/>
        <v/>
      </c>
      <c r="AB39" s="521" t="str">
        <f t="shared" si="4"/>
        <v/>
      </c>
      <c r="AC39" s="522" t="str">
        <f t="shared" si="1"/>
        <v/>
      </c>
      <c r="AD39" s="537" t="str">
        <f>IF(M39="","",VLOOKUP(M39,'G-6 Hedgerow Data'!$B$3:$AG$15,31,FALSE))</f>
        <v/>
      </c>
      <c r="AE39" s="507" t="str">
        <f t="shared" si="5"/>
        <v/>
      </c>
      <c r="AF39" s="507" t="str">
        <f t="shared" si="6"/>
        <v/>
      </c>
      <c r="AG39" s="524" t="str">
        <f>IFERROR(IF(O39="","",VLOOKUP(AD39,'G-3 Multipliers'!$P$3:$Q$6,2,FALSE)),"")</f>
        <v/>
      </c>
      <c r="AH39" s="513" t="str">
        <f t="shared" si="7"/>
        <v/>
      </c>
      <c r="AI39" s="231"/>
      <c r="AJ39" s="150"/>
      <c r="AT39" s="31" t="str">
        <f>IFERROR(INDEX('G-6 Hedgerow Data'!$BJ$3:$BJ$15,MATCH(M39,'G-6 Hedgerow Data'!$B$3:$B$15,0)),"")</f>
        <v/>
      </c>
    </row>
    <row r="40" spans="2:46" ht="13.8" x14ac:dyDescent="0.25">
      <c r="B40" s="531" t="str">
        <f>'B-1 Site Hedge Baseline'!AK38</f>
        <v/>
      </c>
      <c r="C40" s="520" t="str">
        <f>IF(B40="","",IF(ISNA(VLOOKUP($B40,'B-1 Site Hedge Baseline'!$B$1:$L$257,3,FALSE)),"",(VLOOKUP($B40,'B-1 Site Hedge Baseline'!$B$1:$L$257,3,FALSE))))</f>
        <v/>
      </c>
      <c r="D40" s="520" t="str">
        <f>IF(B40="","",IF(ISNA(VLOOKUP($B40,'B-1 Site Hedge Baseline'!$B$1:$L$257,4,FALSE)),"",(VLOOKUP($B40,'B-1 Site Hedge Baseline'!$B$1:$L$257,4,FALSE))))</f>
        <v/>
      </c>
      <c r="E40" s="520" t="str">
        <f>IF(B40="","",IF(ISNA(VLOOKUP($B40,'B-1 Site Hedge Baseline'!$B$1:$L$257,5,FALSE)),"",(VLOOKUP($B40,'B-1 Site Hedge Baseline'!$B$1:$L$257,5,FALSE))))</f>
        <v/>
      </c>
      <c r="F40" s="520" t="str">
        <f>IF(B40="","",IF(ISNA(VLOOKUP($B40,'B-1 Site Hedge Baseline'!$B$1:$L$257,6,FALSE)),"",(VLOOKUP($B40,'B-1 Site Hedge Baseline'!$B$1:$L$257,6,FALSE))))</f>
        <v/>
      </c>
      <c r="G40" s="520" t="str">
        <f>IF(B40="","",IF(ISNA(VLOOKUP($B40,'B-1 Site Hedge Baseline'!$B$1:$L$257,7,FALSE)),"",(VLOOKUP($B40,'B-1 Site Hedge Baseline'!$B$1:$L$257,7,FALSE))))</f>
        <v/>
      </c>
      <c r="H40" s="520" t="str">
        <f>IF(B40="","",IF(ISNA(VLOOKUP($B40,'B-1 Site Hedge Baseline'!$B$1:$L$257,8,FALSE)),"",(VLOOKUP($B40,'B-1 Site Hedge Baseline'!$B$1:$L$257,8,FALSE))))</f>
        <v/>
      </c>
      <c r="I40" s="520" t="str">
        <f>IF(B40="","",IF(ISNA(VLOOKUP($B40,'B-1 Site Hedge Baseline'!$B$1:$L$257,10,FALSE)),"",(VLOOKUP($B40,'B-1 Site Hedge Baseline'!$B$1:$L$257,10,FALSE))))</f>
        <v/>
      </c>
      <c r="J40" s="520" t="str">
        <f>IF(B40="","",IF(ISNA(VLOOKUP($B40,'B-1 Site Hedge Baseline'!$B$1:$L$257,11,FALSE)),"",(VLOOKUP($B40,'B-1 Site Hedge Baseline'!$B$1:$L$257,11,FALSE))))</f>
        <v/>
      </c>
      <c r="K40" s="520" t="str">
        <f>IF(B40="","",IF(ISNA(VLOOKUP($B40,'B-1 Site Hedge Baseline'!$B$1:$U$257,13,FALSE)),"",(VLOOKUP($B40,'B-1 Site Hedge Baseline'!$B$1:$U$257,13,FALSE))))</f>
        <v/>
      </c>
      <c r="L40" s="524" t="str">
        <f>IF(B40="","",IF(ISNA(VLOOKUP($B40,'B-1 Site Hedge Baseline'!$B$1:$U$257,12,FALSE)),"",(VLOOKUP($B40,'B-1 Site Hedge Baseline'!$B$1:$U$257,12,FALSE))))</f>
        <v/>
      </c>
      <c r="M40" s="416" t="str">
        <f t="shared" si="0"/>
        <v/>
      </c>
      <c r="N40" s="498" t="str">
        <f>IFERROR(IF(B40="","",INDEX('G-6 Hedgerow Data'!$AN$3:$AZ$15,MATCH(C40,'G-6 Hedgerow Data'!$AM$3:$AM$15,0),MATCH(M40,'G-6 Hedgerow Data'!$AN$2:$AZ$2,0))),"")</f>
        <v/>
      </c>
      <c r="O40" s="499" t="str">
        <f t="shared" si="2"/>
        <v/>
      </c>
      <c r="P40" s="559" t="str">
        <f>IF(B40="","",VLOOKUP(B40,'B-1 Site Hedge Baseline'!$B$10:T285,16,FALSE))</f>
        <v/>
      </c>
      <c r="Q40" s="498" t="str">
        <f>IF(M40="","",VLOOKUP(M40,'G-6 Hedgerow Data'!$B$2:$AG$15,2,FALSE))</f>
        <v/>
      </c>
      <c r="R40" s="499" t="str">
        <f>IF(M40="","",VLOOKUP(M40,'G-6 Hedgerow Data'!$B$2:$AG$15,3,FALSE))</f>
        <v/>
      </c>
      <c r="S40" s="157"/>
      <c r="T40" s="540" t="str">
        <f>IFERROR(VLOOKUP(S40,'G-1 All Habitats'!$Z$2:$AA$9,2,FALSE),"")</f>
        <v/>
      </c>
      <c r="U40" s="154"/>
      <c r="V40" s="520" t="str">
        <f>IF(U40="","",IF(VLOOKUP(U40,'G-3 Multipliers'!$L$3:$N$6,2,FALSE)=0,"Spatial Data Missing ⚠",VLOOKUP(U40,'G-3 Multipliers'!$L$3:$N$6,2,FALSE)))</f>
        <v/>
      </c>
      <c r="W40" s="524" t="str">
        <f>IF(U40="","",IF(VLOOKUP(U40,'G-3 Multipliers'!$L$3:$N$6,3,FALSE)=0,"Spatial Data Missing ⚠",VLOOKUP(U40,'G-3 Multipliers'!$L$3:$N$6,3,FALSE)))</f>
        <v/>
      </c>
      <c r="X40" s="498"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7" t="str">
        <f t="shared" si="3"/>
        <v/>
      </c>
      <c r="AB40" s="521" t="str">
        <f t="shared" si="4"/>
        <v/>
      </c>
      <c r="AC40" s="522" t="str">
        <f t="shared" si="1"/>
        <v/>
      </c>
      <c r="AD40" s="537" t="str">
        <f>IF(M40="","",VLOOKUP(M40,'G-6 Hedgerow Data'!$B$3:$AG$15,31,FALSE))</f>
        <v/>
      </c>
      <c r="AE40" s="507" t="str">
        <f t="shared" si="5"/>
        <v/>
      </c>
      <c r="AF40" s="507" t="str">
        <f t="shared" si="6"/>
        <v/>
      </c>
      <c r="AG40" s="524" t="str">
        <f>IFERROR(IF(O40="","",VLOOKUP(AD40,'G-3 Multipliers'!$P$3:$Q$6,2,FALSE)),"")</f>
        <v/>
      </c>
      <c r="AH40" s="513" t="str">
        <f t="shared" si="7"/>
        <v/>
      </c>
      <c r="AI40" s="231"/>
      <c r="AJ40" s="150"/>
      <c r="AT40" s="31" t="str">
        <f>IFERROR(INDEX('G-6 Hedgerow Data'!$BJ$3:$BJ$15,MATCH(M40,'G-6 Hedgerow Data'!$B$3:$B$15,0)),"")</f>
        <v/>
      </c>
    </row>
    <row r="41" spans="2:46" ht="13.8" x14ac:dyDescent="0.25">
      <c r="B41" s="531" t="str">
        <f>'B-1 Site Hedge Baseline'!AK39</f>
        <v/>
      </c>
      <c r="C41" s="520" t="str">
        <f>IF(B41="","",IF(ISNA(VLOOKUP($B41,'B-1 Site Hedge Baseline'!$B$1:$L$257,3,FALSE)),"",(VLOOKUP($B41,'B-1 Site Hedge Baseline'!$B$1:$L$257,3,FALSE))))</f>
        <v/>
      </c>
      <c r="D41" s="520" t="str">
        <f>IF(B41="","",IF(ISNA(VLOOKUP($B41,'B-1 Site Hedge Baseline'!$B$1:$L$257,4,FALSE)),"",(VLOOKUP($B41,'B-1 Site Hedge Baseline'!$B$1:$L$257,4,FALSE))))</f>
        <v/>
      </c>
      <c r="E41" s="520" t="str">
        <f>IF(B41="","",IF(ISNA(VLOOKUP($B41,'B-1 Site Hedge Baseline'!$B$1:$L$257,5,FALSE)),"",(VLOOKUP($B41,'B-1 Site Hedge Baseline'!$B$1:$L$257,5,FALSE))))</f>
        <v/>
      </c>
      <c r="F41" s="520" t="str">
        <f>IF(B41="","",IF(ISNA(VLOOKUP($B41,'B-1 Site Hedge Baseline'!$B$1:$L$257,6,FALSE)),"",(VLOOKUP($B41,'B-1 Site Hedge Baseline'!$B$1:$L$257,6,FALSE))))</f>
        <v/>
      </c>
      <c r="G41" s="520" t="str">
        <f>IF(B41="","",IF(ISNA(VLOOKUP($B41,'B-1 Site Hedge Baseline'!$B$1:$L$257,7,FALSE)),"",(VLOOKUP($B41,'B-1 Site Hedge Baseline'!$B$1:$L$257,7,FALSE))))</f>
        <v/>
      </c>
      <c r="H41" s="520" t="str">
        <f>IF(B41="","",IF(ISNA(VLOOKUP($B41,'B-1 Site Hedge Baseline'!$B$1:$L$257,8,FALSE)),"",(VLOOKUP($B41,'B-1 Site Hedge Baseline'!$B$1:$L$257,8,FALSE))))</f>
        <v/>
      </c>
      <c r="I41" s="520" t="str">
        <f>IF(B41="","",IF(ISNA(VLOOKUP($B41,'B-1 Site Hedge Baseline'!$B$1:$L$257,10,FALSE)),"",(VLOOKUP($B41,'B-1 Site Hedge Baseline'!$B$1:$L$257,10,FALSE))))</f>
        <v/>
      </c>
      <c r="J41" s="520" t="str">
        <f>IF(B41="","",IF(ISNA(VLOOKUP($B41,'B-1 Site Hedge Baseline'!$B$1:$L$257,11,FALSE)),"",(VLOOKUP($B41,'B-1 Site Hedge Baseline'!$B$1:$L$257,11,FALSE))))</f>
        <v/>
      </c>
      <c r="K41" s="520" t="str">
        <f>IF(B41="","",IF(ISNA(VLOOKUP($B41,'B-1 Site Hedge Baseline'!$B$1:$U$257,13,FALSE)),"",(VLOOKUP($B41,'B-1 Site Hedge Baseline'!$B$1:$U$257,13,FALSE))))</f>
        <v/>
      </c>
      <c r="L41" s="524" t="str">
        <f>IF(B41="","",IF(ISNA(VLOOKUP($B41,'B-1 Site Hedge Baseline'!$B$1:$U$257,12,FALSE)),"",(VLOOKUP($B41,'B-1 Site Hedge Baseline'!$B$1:$U$257,12,FALSE))))</f>
        <v/>
      </c>
      <c r="M41" s="416" t="str">
        <f t="shared" si="0"/>
        <v/>
      </c>
      <c r="N41" s="498" t="str">
        <f>IFERROR(IF(B41="","",INDEX('G-6 Hedgerow Data'!$AN$3:$AZ$15,MATCH(C41,'G-6 Hedgerow Data'!$AM$3:$AM$15,0),MATCH(M41,'G-6 Hedgerow Data'!$AN$2:$AZ$2,0))),"")</f>
        <v/>
      </c>
      <c r="O41" s="499" t="str">
        <f t="shared" si="2"/>
        <v/>
      </c>
      <c r="P41" s="559" t="str">
        <f>IF(B41="","",VLOOKUP(B41,'B-1 Site Hedge Baseline'!$B$10:T286,16,FALSE))</f>
        <v/>
      </c>
      <c r="Q41" s="498" t="str">
        <f>IF(M41="","",VLOOKUP(M41,'G-6 Hedgerow Data'!$B$2:$AG$15,2,FALSE))</f>
        <v/>
      </c>
      <c r="R41" s="499" t="str">
        <f>IF(M41="","",VLOOKUP(M41,'G-6 Hedgerow Data'!$B$2:$AG$15,3,FALSE))</f>
        <v/>
      </c>
      <c r="S41" s="157"/>
      <c r="T41" s="540" t="str">
        <f>IFERROR(VLOOKUP(S41,'G-1 All Habitats'!$Z$2:$AA$9,2,FALSE),"")</f>
        <v/>
      </c>
      <c r="U41" s="154"/>
      <c r="V41" s="520" t="str">
        <f>IF(U41="","",IF(VLOOKUP(U41,'G-3 Multipliers'!$L$3:$N$6,2,FALSE)=0,"Spatial Data Missing ⚠",VLOOKUP(U41,'G-3 Multipliers'!$L$3:$N$6,2,FALSE)))</f>
        <v/>
      </c>
      <c r="W41" s="524" t="str">
        <f>IF(U41="","",IF(VLOOKUP(U41,'G-3 Multipliers'!$L$3:$N$6,3,FALSE)=0,"Spatial Data Missing ⚠",VLOOKUP(U41,'G-3 Multipliers'!$L$3:$N$6,3,FALSE)))</f>
        <v/>
      </c>
      <c r="X41" s="498"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7" t="str">
        <f t="shared" si="3"/>
        <v/>
      </c>
      <c r="AB41" s="521" t="str">
        <f t="shared" si="4"/>
        <v/>
      </c>
      <c r="AC41" s="522" t="str">
        <f t="shared" si="1"/>
        <v/>
      </c>
      <c r="AD41" s="537" t="str">
        <f>IF(M41="","",VLOOKUP(M41,'G-6 Hedgerow Data'!$B$3:$AG$15,31,FALSE))</f>
        <v/>
      </c>
      <c r="AE41" s="507" t="str">
        <f t="shared" si="5"/>
        <v/>
      </c>
      <c r="AF41" s="507" t="str">
        <f t="shared" si="6"/>
        <v/>
      </c>
      <c r="AG41" s="524" t="str">
        <f>IFERROR(IF(O41="","",VLOOKUP(AD41,'G-3 Multipliers'!$P$3:$Q$6,2,FALSE)),"")</f>
        <v/>
      </c>
      <c r="AH41" s="513" t="str">
        <f t="shared" si="7"/>
        <v/>
      </c>
      <c r="AI41" s="231"/>
      <c r="AJ41" s="150"/>
      <c r="AT41" s="31" t="str">
        <f>IFERROR(INDEX('G-6 Hedgerow Data'!$BJ$3:$BJ$15,MATCH(M41,'G-6 Hedgerow Data'!$B$3:$B$15,0)),"")</f>
        <v/>
      </c>
    </row>
    <row r="42" spans="2:46" ht="13.8" x14ac:dyDescent="0.25">
      <c r="B42" s="531" t="str">
        <f>'B-1 Site Hedge Baseline'!AK40</f>
        <v/>
      </c>
      <c r="C42" s="520" t="str">
        <f>IF(B42="","",IF(ISNA(VLOOKUP($B42,'B-1 Site Hedge Baseline'!$B$1:$L$257,3,FALSE)),"",(VLOOKUP($B42,'B-1 Site Hedge Baseline'!$B$1:$L$257,3,FALSE))))</f>
        <v/>
      </c>
      <c r="D42" s="520" t="str">
        <f>IF(B42="","",IF(ISNA(VLOOKUP($B42,'B-1 Site Hedge Baseline'!$B$1:$L$257,4,FALSE)),"",(VLOOKUP($B42,'B-1 Site Hedge Baseline'!$B$1:$L$257,4,FALSE))))</f>
        <v/>
      </c>
      <c r="E42" s="520" t="str">
        <f>IF(B42="","",IF(ISNA(VLOOKUP($B42,'B-1 Site Hedge Baseline'!$B$1:$L$257,5,FALSE)),"",(VLOOKUP($B42,'B-1 Site Hedge Baseline'!$B$1:$L$257,5,FALSE))))</f>
        <v/>
      </c>
      <c r="F42" s="520" t="str">
        <f>IF(B42="","",IF(ISNA(VLOOKUP($B42,'B-1 Site Hedge Baseline'!$B$1:$L$257,6,FALSE)),"",(VLOOKUP($B42,'B-1 Site Hedge Baseline'!$B$1:$L$257,6,FALSE))))</f>
        <v/>
      </c>
      <c r="G42" s="520" t="str">
        <f>IF(B42="","",IF(ISNA(VLOOKUP($B42,'B-1 Site Hedge Baseline'!$B$1:$L$257,7,FALSE)),"",(VLOOKUP($B42,'B-1 Site Hedge Baseline'!$B$1:$L$257,7,FALSE))))</f>
        <v/>
      </c>
      <c r="H42" s="520" t="str">
        <f>IF(B42="","",IF(ISNA(VLOOKUP($B42,'B-1 Site Hedge Baseline'!$B$1:$L$257,8,FALSE)),"",(VLOOKUP($B42,'B-1 Site Hedge Baseline'!$B$1:$L$257,8,FALSE))))</f>
        <v/>
      </c>
      <c r="I42" s="520" t="str">
        <f>IF(B42="","",IF(ISNA(VLOOKUP($B42,'B-1 Site Hedge Baseline'!$B$1:$L$257,10,FALSE)),"",(VLOOKUP($B42,'B-1 Site Hedge Baseline'!$B$1:$L$257,10,FALSE))))</f>
        <v/>
      </c>
      <c r="J42" s="520" t="str">
        <f>IF(B42="","",IF(ISNA(VLOOKUP($B42,'B-1 Site Hedge Baseline'!$B$1:$L$257,11,FALSE)),"",(VLOOKUP($B42,'B-1 Site Hedge Baseline'!$B$1:$L$257,11,FALSE))))</f>
        <v/>
      </c>
      <c r="K42" s="520" t="str">
        <f>IF(B42="","",IF(ISNA(VLOOKUP($B42,'B-1 Site Hedge Baseline'!$B$1:$U$257,13,FALSE)),"",(VLOOKUP($B42,'B-1 Site Hedge Baseline'!$B$1:$U$257,13,FALSE))))</f>
        <v/>
      </c>
      <c r="L42" s="524" t="str">
        <f>IF(B42="","",IF(ISNA(VLOOKUP($B42,'B-1 Site Hedge Baseline'!$B$1:$U$257,12,FALSE)),"",(VLOOKUP($B42,'B-1 Site Hedge Baseline'!$B$1:$U$257,12,FALSE))))</f>
        <v/>
      </c>
      <c r="M42" s="416" t="str">
        <f t="shared" si="0"/>
        <v/>
      </c>
      <c r="N42" s="498" t="str">
        <f>IFERROR(IF(B42="","",INDEX('G-6 Hedgerow Data'!$AN$3:$AZ$15,MATCH(C42,'G-6 Hedgerow Data'!$AM$3:$AM$15,0),MATCH(M42,'G-6 Hedgerow Data'!$AN$2:$AZ$2,0))),"")</f>
        <v/>
      </c>
      <c r="O42" s="499" t="str">
        <f t="shared" si="2"/>
        <v/>
      </c>
      <c r="P42" s="559" t="str">
        <f>IF(B42="","",VLOOKUP(B42,'B-1 Site Hedge Baseline'!$B$10:T287,16,FALSE))</f>
        <v/>
      </c>
      <c r="Q42" s="498" t="str">
        <f>IF(M42="","",VLOOKUP(M42,'G-6 Hedgerow Data'!$B$2:$AG$15,2,FALSE))</f>
        <v/>
      </c>
      <c r="R42" s="499" t="str">
        <f>IF(M42="","",VLOOKUP(M42,'G-6 Hedgerow Data'!$B$2:$AG$15,3,FALSE))</f>
        <v/>
      </c>
      <c r="S42" s="157"/>
      <c r="T42" s="540" t="str">
        <f>IFERROR(VLOOKUP(S42,'G-1 All Habitats'!$Z$2:$AA$9,2,FALSE),"")</f>
        <v/>
      </c>
      <c r="U42" s="154"/>
      <c r="V42" s="520" t="str">
        <f>IF(U42="","",IF(VLOOKUP(U42,'G-3 Multipliers'!$L$3:$N$6,2,FALSE)=0,"Spatial Data Missing ⚠",VLOOKUP(U42,'G-3 Multipliers'!$L$3:$N$6,2,FALSE)))</f>
        <v/>
      </c>
      <c r="W42" s="524" t="str">
        <f>IF(U42="","",IF(VLOOKUP(U42,'G-3 Multipliers'!$L$3:$N$6,3,FALSE)=0,"Spatial Data Missing ⚠",VLOOKUP(U42,'G-3 Multipliers'!$L$3:$N$6,3,FALSE)))</f>
        <v/>
      </c>
      <c r="X42" s="498"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7" t="str">
        <f t="shared" si="3"/>
        <v/>
      </c>
      <c r="AB42" s="521" t="str">
        <f t="shared" si="4"/>
        <v/>
      </c>
      <c r="AC42" s="522" t="str">
        <f t="shared" si="1"/>
        <v/>
      </c>
      <c r="AD42" s="537" t="str">
        <f>IF(M42="","",VLOOKUP(M42,'G-6 Hedgerow Data'!$B$3:$AG$15,31,FALSE))</f>
        <v/>
      </c>
      <c r="AE42" s="507" t="str">
        <f t="shared" si="5"/>
        <v/>
      </c>
      <c r="AF42" s="507" t="str">
        <f t="shared" si="6"/>
        <v/>
      </c>
      <c r="AG42" s="524" t="str">
        <f>IFERROR(IF(O42="","",VLOOKUP(AD42,'G-3 Multipliers'!$P$3:$Q$6,2,FALSE)),"")</f>
        <v/>
      </c>
      <c r="AH42" s="513" t="str">
        <f t="shared" si="7"/>
        <v/>
      </c>
      <c r="AI42" s="231"/>
      <c r="AJ42" s="150"/>
      <c r="AT42" s="31" t="str">
        <f>IFERROR(INDEX('G-6 Hedgerow Data'!$BJ$3:$BJ$15,MATCH(M42,'G-6 Hedgerow Data'!$B$3:$B$15,0)),"")</f>
        <v/>
      </c>
    </row>
    <row r="43" spans="2:46" ht="13.8" x14ac:dyDescent="0.25">
      <c r="B43" s="531" t="str">
        <f>'B-1 Site Hedge Baseline'!AK41</f>
        <v/>
      </c>
      <c r="C43" s="520" t="str">
        <f>IF(B43="","",IF(ISNA(VLOOKUP($B43,'B-1 Site Hedge Baseline'!$B$1:$L$257,3,FALSE)),"",(VLOOKUP($B43,'B-1 Site Hedge Baseline'!$B$1:$L$257,3,FALSE))))</f>
        <v/>
      </c>
      <c r="D43" s="520" t="str">
        <f>IF(B43="","",IF(ISNA(VLOOKUP($B43,'B-1 Site Hedge Baseline'!$B$1:$L$257,4,FALSE)),"",(VLOOKUP($B43,'B-1 Site Hedge Baseline'!$B$1:$L$257,4,FALSE))))</f>
        <v/>
      </c>
      <c r="E43" s="520" t="str">
        <f>IF(B43="","",IF(ISNA(VLOOKUP($B43,'B-1 Site Hedge Baseline'!$B$1:$L$257,5,FALSE)),"",(VLOOKUP($B43,'B-1 Site Hedge Baseline'!$B$1:$L$257,5,FALSE))))</f>
        <v/>
      </c>
      <c r="F43" s="520" t="str">
        <f>IF(B43="","",IF(ISNA(VLOOKUP($B43,'B-1 Site Hedge Baseline'!$B$1:$L$257,6,FALSE)),"",(VLOOKUP($B43,'B-1 Site Hedge Baseline'!$B$1:$L$257,6,FALSE))))</f>
        <v/>
      </c>
      <c r="G43" s="520" t="str">
        <f>IF(B43="","",IF(ISNA(VLOOKUP($B43,'B-1 Site Hedge Baseline'!$B$1:$L$257,7,FALSE)),"",(VLOOKUP($B43,'B-1 Site Hedge Baseline'!$B$1:$L$257,7,FALSE))))</f>
        <v/>
      </c>
      <c r="H43" s="520" t="str">
        <f>IF(B43="","",IF(ISNA(VLOOKUP($B43,'B-1 Site Hedge Baseline'!$B$1:$L$257,8,FALSE)),"",(VLOOKUP($B43,'B-1 Site Hedge Baseline'!$B$1:$L$257,8,FALSE))))</f>
        <v/>
      </c>
      <c r="I43" s="520" t="str">
        <f>IF(B43="","",IF(ISNA(VLOOKUP($B43,'B-1 Site Hedge Baseline'!$B$1:$L$257,10,FALSE)),"",(VLOOKUP($B43,'B-1 Site Hedge Baseline'!$B$1:$L$257,10,FALSE))))</f>
        <v/>
      </c>
      <c r="J43" s="520" t="str">
        <f>IF(B43="","",IF(ISNA(VLOOKUP($B43,'B-1 Site Hedge Baseline'!$B$1:$L$257,11,FALSE)),"",(VLOOKUP($B43,'B-1 Site Hedge Baseline'!$B$1:$L$257,11,FALSE))))</f>
        <v/>
      </c>
      <c r="K43" s="520" t="str">
        <f>IF(B43="","",IF(ISNA(VLOOKUP($B43,'B-1 Site Hedge Baseline'!$B$1:$U$257,13,FALSE)),"",(VLOOKUP($B43,'B-1 Site Hedge Baseline'!$B$1:$U$257,13,FALSE))))</f>
        <v/>
      </c>
      <c r="L43" s="524" t="str">
        <f>IF(B43="","",IF(ISNA(VLOOKUP($B43,'B-1 Site Hedge Baseline'!$B$1:$U$257,12,FALSE)),"",(VLOOKUP($B43,'B-1 Site Hedge Baseline'!$B$1:$U$257,12,FALSE))))</f>
        <v/>
      </c>
      <c r="M43" s="416" t="str">
        <f t="shared" si="0"/>
        <v/>
      </c>
      <c r="N43" s="498" t="str">
        <f>IFERROR(IF(B43="","",INDEX('G-6 Hedgerow Data'!$AN$3:$AZ$15,MATCH(C43,'G-6 Hedgerow Data'!$AM$3:$AM$15,0),MATCH(M43,'G-6 Hedgerow Data'!$AN$2:$AZ$2,0))),"")</f>
        <v/>
      </c>
      <c r="O43" s="499" t="str">
        <f t="shared" si="2"/>
        <v/>
      </c>
      <c r="P43" s="559" t="str">
        <f>IF(B43="","",VLOOKUP(B43,'B-1 Site Hedge Baseline'!$B$10:T288,16,FALSE))</f>
        <v/>
      </c>
      <c r="Q43" s="498" t="str">
        <f>IF(M43="","",VLOOKUP(M43,'G-6 Hedgerow Data'!$B$2:$AG$15,2,FALSE))</f>
        <v/>
      </c>
      <c r="R43" s="499" t="str">
        <f>IF(M43="","",VLOOKUP(M43,'G-6 Hedgerow Data'!$B$2:$AG$15,3,FALSE))</f>
        <v/>
      </c>
      <c r="S43" s="157"/>
      <c r="T43" s="540" t="str">
        <f>IFERROR(VLOOKUP(S43,'G-1 All Habitats'!$Z$2:$AA$9,2,FALSE),"")</f>
        <v/>
      </c>
      <c r="U43" s="154"/>
      <c r="V43" s="520" t="str">
        <f>IF(U43="","",IF(VLOOKUP(U43,'G-3 Multipliers'!$L$3:$N$6,2,FALSE)=0,"Spatial Data Missing ⚠",VLOOKUP(U43,'G-3 Multipliers'!$L$3:$N$6,2,FALSE)))</f>
        <v/>
      </c>
      <c r="W43" s="524" t="str">
        <f>IF(U43="","",IF(VLOOKUP(U43,'G-3 Multipliers'!$L$3:$N$6,3,FALSE)=0,"Spatial Data Missing ⚠",VLOOKUP(U43,'G-3 Multipliers'!$L$3:$N$6,3,FALSE)))</f>
        <v/>
      </c>
      <c r="X43" s="498"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7" t="str">
        <f t="shared" si="3"/>
        <v/>
      </c>
      <c r="AB43" s="521" t="str">
        <f t="shared" si="4"/>
        <v/>
      </c>
      <c r="AC43" s="522" t="str">
        <f t="shared" si="1"/>
        <v/>
      </c>
      <c r="AD43" s="537" t="str">
        <f>IF(M43="","",VLOOKUP(M43,'G-6 Hedgerow Data'!$B$3:$AG$15,31,FALSE))</f>
        <v/>
      </c>
      <c r="AE43" s="507" t="str">
        <f t="shared" si="5"/>
        <v/>
      </c>
      <c r="AF43" s="507" t="str">
        <f t="shared" si="6"/>
        <v/>
      </c>
      <c r="AG43" s="524" t="str">
        <f>IFERROR(IF(O43="","",VLOOKUP(AD43,'G-3 Multipliers'!$P$3:$Q$6,2,FALSE)),"")</f>
        <v/>
      </c>
      <c r="AH43" s="513" t="str">
        <f t="shared" si="7"/>
        <v/>
      </c>
      <c r="AI43" s="231"/>
      <c r="AJ43" s="150"/>
      <c r="AT43" s="31" t="str">
        <f>IFERROR(INDEX('G-6 Hedgerow Data'!$BJ$3:$BJ$15,MATCH(M43,'G-6 Hedgerow Data'!$B$3:$B$15,0)),"")</f>
        <v/>
      </c>
    </row>
    <row r="44" spans="2:46" ht="13.8" x14ac:dyDescent="0.25">
      <c r="B44" s="531" t="str">
        <f>'B-1 Site Hedge Baseline'!AK42</f>
        <v/>
      </c>
      <c r="C44" s="520" t="str">
        <f>IF(B44="","",IF(ISNA(VLOOKUP($B44,'B-1 Site Hedge Baseline'!$B$1:$L$257,3,FALSE)),"",(VLOOKUP($B44,'B-1 Site Hedge Baseline'!$B$1:$L$257,3,FALSE))))</f>
        <v/>
      </c>
      <c r="D44" s="520" t="str">
        <f>IF(B44="","",IF(ISNA(VLOOKUP($B44,'B-1 Site Hedge Baseline'!$B$1:$L$257,4,FALSE)),"",(VLOOKUP($B44,'B-1 Site Hedge Baseline'!$B$1:$L$257,4,FALSE))))</f>
        <v/>
      </c>
      <c r="E44" s="520" t="str">
        <f>IF(B44="","",IF(ISNA(VLOOKUP($B44,'B-1 Site Hedge Baseline'!$B$1:$L$257,5,FALSE)),"",(VLOOKUP($B44,'B-1 Site Hedge Baseline'!$B$1:$L$257,5,FALSE))))</f>
        <v/>
      </c>
      <c r="F44" s="520" t="str">
        <f>IF(B44="","",IF(ISNA(VLOOKUP($B44,'B-1 Site Hedge Baseline'!$B$1:$L$257,6,FALSE)),"",(VLOOKUP($B44,'B-1 Site Hedge Baseline'!$B$1:$L$257,6,FALSE))))</f>
        <v/>
      </c>
      <c r="G44" s="520" t="str">
        <f>IF(B44="","",IF(ISNA(VLOOKUP($B44,'B-1 Site Hedge Baseline'!$B$1:$L$257,7,FALSE)),"",(VLOOKUP($B44,'B-1 Site Hedge Baseline'!$B$1:$L$257,7,FALSE))))</f>
        <v/>
      </c>
      <c r="H44" s="520" t="str">
        <f>IF(B44="","",IF(ISNA(VLOOKUP($B44,'B-1 Site Hedge Baseline'!$B$1:$L$257,8,FALSE)),"",(VLOOKUP($B44,'B-1 Site Hedge Baseline'!$B$1:$L$257,8,FALSE))))</f>
        <v/>
      </c>
      <c r="I44" s="520" t="str">
        <f>IF(B44="","",IF(ISNA(VLOOKUP($B44,'B-1 Site Hedge Baseline'!$B$1:$L$257,10,FALSE)),"",(VLOOKUP($B44,'B-1 Site Hedge Baseline'!$B$1:$L$257,10,FALSE))))</f>
        <v/>
      </c>
      <c r="J44" s="520" t="str">
        <f>IF(B44="","",IF(ISNA(VLOOKUP($B44,'B-1 Site Hedge Baseline'!$B$1:$L$257,11,FALSE)),"",(VLOOKUP($B44,'B-1 Site Hedge Baseline'!$B$1:$L$257,11,FALSE))))</f>
        <v/>
      </c>
      <c r="K44" s="520" t="str">
        <f>IF(B44="","",IF(ISNA(VLOOKUP($B44,'B-1 Site Hedge Baseline'!$B$1:$U$257,13,FALSE)),"",(VLOOKUP($B44,'B-1 Site Hedge Baseline'!$B$1:$U$257,13,FALSE))))</f>
        <v/>
      </c>
      <c r="L44" s="524" t="str">
        <f>IF(B44="","",IF(ISNA(VLOOKUP($B44,'B-1 Site Hedge Baseline'!$B$1:$U$257,12,FALSE)),"",(VLOOKUP($B44,'B-1 Site Hedge Baseline'!$B$1:$U$257,12,FALSE))))</f>
        <v/>
      </c>
      <c r="M44" s="416" t="str">
        <f t="shared" si="0"/>
        <v/>
      </c>
      <c r="N44" s="498" t="str">
        <f>IFERROR(IF(B44="","",INDEX('G-6 Hedgerow Data'!$AN$3:$AZ$15,MATCH(C44,'G-6 Hedgerow Data'!$AM$3:$AM$15,0),MATCH(M44,'G-6 Hedgerow Data'!$AN$2:$AZ$2,0))),"")</f>
        <v/>
      </c>
      <c r="O44" s="499" t="str">
        <f t="shared" si="2"/>
        <v/>
      </c>
      <c r="P44" s="559" t="str">
        <f>IF(B44="","",VLOOKUP(B44,'B-1 Site Hedge Baseline'!$B$10:T289,16,FALSE))</f>
        <v/>
      </c>
      <c r="Q44" s="498" t="str">
        <f>IF(M44="","",VLOOKUP(M44,'G-6 Hedgerow Data'!$B$2:$AG$15,2,FALSE))</f>
        <v/>
      </c>
      <c r="R44" s="499" t="str">
        <f>IF(M44="","",VLOOKUP(M44,'G-6 Hedgerow Data'!$B$2:$AG$15,3,FALSE))</f>
        <v/>
      </c>
      <c r="S44" s="157"/>
      <c r="T44" s="540" t="str">
        <f>IFERROR(VLOOKUP(S44,'G-1 All Habitats'!$Z$2:$AA$9,2,FALSE),"")</f>
        <v/>
      </c>
      <c r="U44" s="154"/>
      <c r="V44" s="520" t="str">
        <f>IF(U44="","",IF(VLOOKUP(U44,'G-3 Multipliers'!$L$3:$N$6,2,FALSE)=0,"Spatial Data Missing ⚠",VLOOKUP(U44,'G-3 Multipliers'!$L$3:$N$6,2,FALSE)))</f>
        <v/>
      </c>
      <c r="W44" s="524" t="str">
        <f>IF(U44="","",IF(VLOOKUP(U44,'G-3 Multipliers'!$L$3:$N$6,3,FALSE)=0,"Spatial Data Missing ⚠",VLOOKUP(U44,'G-3 Multipliers'!$L$3:$N$6,3,FALSE)))</f>
        <v/>
      </c>
      <c r="X44" s="498"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7" t="str">
        <f t="shared" si="3"/>
        <v/>
      </c>
      <c r="AB44" s="521" t="str">
        <f t="shared" si="4"/>
        <v/>
      </c>
      <c r="AC44" s="522" t="str">
        <f t="shared" si="1"/>
        <v/>
      </c>
      <c r="AD44" s="537" t="str">
        <f>IF(M44="","",VLOOKUP(M44,'G-6 Hedgerow Data'!$B$3:$AG$15,31,FALSE))</f>
        <v/>
      </c>
      <c r="AE44" s="507" t="str">
        <f t="shared" si="5"/>
        <v/>
      </c>
      <c r="AF44" s="507" t="str">
        <f t="shared" si="6"/>
        <v/>
      </c>
      <c r="AG44" s="524" t="str">
        <f>IFERROR(IF(O44="","",VLOOKUP(AD44,'G-3 Multipliers'!$P$3:$Q$6,2,FALSE)),"")</f>
        <v/>
      </c>
      <c r="AH44" s="513" t="str">
        <f t="shared" si="7"/>
        <v/>
      </c>
      <c r="AI44" s="231"/>
      <c r="AJ44" s="150"/>
      <c r="AT44" s="31" t="str">
        <f>IFERROR(INDEX('G-6 Hedgerow Data'!$BJ$3:$BJ$15,MATCH(M44,'G-6 Hedgerow Data'!$B$3:$B$15,0)),"")</f>
        <v/>
      </c>
    </row>
    <row r="45" spans="2:46" ht="13.8" x14ac:dyDescent="0.25">
      <c r="B45" s="531" t="str">
        <f>'B-1 Site Hedge Baseline'!AK43</f>
        <v/>
      </c>
      <c r="C45" s="520" t="str">
        <f>IF(B45="","",IF(ISNA(VLOOKUP($B45,'B-1 Site Hedge Baseline'!$B$1:$L$257,3,FALSE)),"",(VLOOKUP($B45,'B-1 Site Hedge Baseline'!$B$1:$L$257,3,FALSE))))</f>
        <v/>
      </c>
      <c r="D45" s="520" t="str">
        <f>IF(B45="","",IF(ISNA(VLOOKUP($B45,'B-1 Site Hedge Baseline'!$B$1:$L$257,4,FALSE)),"",(VLOOKUP($B45,'B-1 Site Hedge Baseline'!$B$1:$L$257,4,FALSE))))</f>
        <v/>
      </c>
      <c r="E45" s="520" t="str">
        <f>IF(B45="","",IF(ISNA(VLOOKUP($B45,'B-1 Site Hedge Baseline'!$B$1:$L$257,5,FALSE)),"",(VLOOKUP($B45,'B-1 Site Hedge Baseline'!$B$1:$L$257,5,FALSE))))</f>
        <v/>
      </c>
      <c r="F45" s="520" t="str">
        <f>IF(B45="","",IF(ISNA(VLOOKUP($B45,'B-1 Site Hedge Baseline'!$B$1:$L$257,6,FALSE)),"",(VLOOKUP($B45,'B-1 Site Hedge Baseline'!$B$1:$L$257,6,FALSE))))</f>
        <v/>
      </c>
      <c r="G45" s="520" t="str">
        <f>IF(B45="","",IF(ISNA(VLOOKUP($B45,'B-1 Site Hedge Baseline'!$B$1:$L$257,7,FALSE)),"",(VLOOKUP($B45,'B-1 Site Hedge Baseline'!$B$1:$L$257,7,FALSE))))</f>
        <v/>
      </c>
      <c r="H45" s="520" t="str">
        <f>IF(B45="","",IF(ISNA(VLOOKUP($B45,'B-1 Site Hedge Baseline'!$B$1:$L$257,8,FALSE)),"",(VLOOKUP($B45,'B-1 Site Hedge Baseline'!$B$1:$L$257,8,FALSE))))</f>
        <v/>
      </c>
      <c r="I45" s="520" t="str">
        <f>IF(B45="","",IF(ISNA(VLOOKUP($B45,'B-1 Site Hedge Baseline'!$B$1:$L$257,10,FALSE)),"",(VLOOKUP($B45,'B-1 Site Hedge Baseline'!$B$1:$L$257,10,FALSE))))</f>
        <v/>
      </c>
      <c r="J45" s="520" t="str">
        <f>IF(B45="","",IF(ISNA(VLOOKUP($B45,'B-1 Site Hedge Baseline'!$B$1:$L$257,11,FALSE)),"",(VLOOKUP($B45,'B-1 Site Hedge Baseline'!$B$1:$L$257,11,FALSE))))</f>
        <v/>
      </c>
      <c r="K45" s="520" t="str">
        <f>IF(B45="","",IF(ISNA(VLOOKUP($B45,'B-1 Site Hedge Baseline'!$B$1:$U$257,13,FALSE)),"",(VLOOKUP($B45,'B-1 Site Hedge Baseline'!$B$1:$U$257,13,FALSE))))</f>
        <v/>
      </c>
      <c r="L45" s="524" t="str">
        <f>IF(B45="","",IF(ISNA(VLOOKUP($B45,'B-1 Site Hedge Baseline'!$B$1:$U$257,12,FALSE)),"",(VLOOKUP($B45,'B-1 Site Hedge Baseline'!$B$1:$U$257,12,FALSE))))</f>
        <v/>
      </c>
      <c r="M45" s="416" t="str">
        <f t="shared" si="0"/>
        <v/>
      </c>
      <c r="N45" s="498" t="str">
        <f>IFERROR(IF(B45="","",INDEX('G-6 Hedgerow Data'!$AN$3:$AZ$15,MATCH(C45,'G-6 Hedgerow Data'!$AM$3:$AM$15,0),MATCH(M45,'G-6 Hedgerow Data'!$AN$2:$AZ$2,0))),"")</f>
        <v/>
      </c>
      <c r="O45" s="499" t="str">
        <f t="shared" si="2"/>
        <v/>
      </c>
      <c r="P45" s="559" t="str">
        <f>IF(B45="","",VLOOKUP(B45,'B-1 Site Hedge Baseline'!$B$10:T290,16,FALSE))</f>
        <v/>
      </c>
      <c r="Q45" s="498" t="str">
        <f>IF(M45="","",VLOOKUP(M45,'G-6 Hedgerow Data'!$B$2:$AG$15,2,FALSE))</f>
        <v/>
      </c>
      <c r="R45" s="499" t="str">
        <f>IF(M45="","",VLOOKUP(M45,'G-6 Hedgerow Data'!$B$2:$AG$15,3,FALSE))</f>
        <v/>
      </c>
      <c r="S45" s="157"/>
      <c r="T45" s="540" t="str">
        <f>IFERROR(VLOOKUP(S45,'G-1 All Habitats'!$Z$2:$AA$9,2,FALSE),"")</f>
        <v/>
      </c>
      <c r="U45" s="154"/>
      <c r="V45" s="520" t="str">
        <f>IF(U45="","",IF(VLOOKUP(U45,'G-3 Multipliers'!$L$3:$N$6,2,FALSE)=0,"Spatial Data Missing ⚠",VLOOKUP(U45,'G-3 Multipliers'!$L$3:$N$6,2,FALSE)))</f>
        <v/>
      </c>
      <c r="W45" s="524" t="str">
        <f>IF(U45="","",IF(VLOOKUP(U45,'G-3 Multipliers'!$L$3:$N$6,3,FALSE)=0,"Spatial Data Missing ⚠",VLOOKUP(U45,'G-3 Multipliers'!$L$3:$N$6,3,FALSE)))</f>
        <v/>
      </c>
      <c r="X45" s="498"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7" t="str">
        <f t="shared" si="3"/>
        <v/>
      </c>
      <c r="AB45" s="521" t="str">
        <f t="shared" si="4"/>
        <v/>
      </c>
      <c r="AC45" s="522" t="str">
        <f t="shared" si="1"/>
        <v/>
      </c>
      <c r="AD45" s="537" t="str">
        <f>IF(M45="","",VLOOKUP(M45,'G-6 Hedgerow Data'!$B$3:$AG$15,31,FALSE))</f>
        <v/>
      </c>
      <c r="AE45" s="507" t="str">
        <f t="shared" si="5"/>
        <v/>
      </c>
      <c r="AF45" s="507" t="str">
        <f t="shared" si="6"/>
        <v/>
      </c>
      <c r="AG45" s="524" t="str">
        <f>IFERROR(IF(O45="","",VLOOKUP(AD45,'G-3 Multipliers'!$P$3:$Q$6,2,FALSE)),"")</f>
        <v/>
      </c>
      <c r="AH45" s="513" t="str">
        <f t="shared" si="7"/>
        <v/>
      </c>
      <c r="AI45" s="231"/>
      <c r="AJ45" s="150"/>
      <c r="AT45" s="31" t="str">
        <f>IFERROR(INDEX('G-6 Hedgerow Data'!$BJ$3:$BJ$15,MATCH(M45,'G-6 Hedgerow Data'!$B$3:$B$15,0)),"")</f>
        <v/>
      </c>
    </row>
    <row r="46" spans="2:46" ht="13.8" x14ac:dyDescent="0.25">
      <c r="B46" s="531" t="str">
        <f>'B-1 Site Hedge Baseline'!AK44</f>
        <v/>
      </c>
      <c r="C46" s="520" t="str">
        <f>IF(B46="","",IF(ISNA(VLOOKUP($B46,'B-1 Site Hedge Baseline'!$B$1:$L$257,3,FALSE)),"",(VLOOKUP($B46,'B-1 Site Hedge Baseline'!$B$1:$L$257,3,FALSE))))</f>
        <v/>
      </c>
      <c r="D46" s="520" t="str">
        <f>IF(B46="","",IF(ISNA(VLOOKUP($B46,'B-1 Site Hedge Baseline'!$B$1:$L$257,4,FALSE)),"",(VLOOKUP($B46,'B-1 Site Hedge Baseline'!$B$1:$L$257,4,FALSE))))</f>
        <v/>
      </c>
      <c r="E46" s="520" t="str">
        <f>IF(B46="","",IF(ISNA(VLOOKUP($B46,'B-1 Site Hedge Baseline'!$B$1:$L$257,5,FALSE)),"",(VLOOKUP($B46,'B-1 Site Hedge Baseline'!$B$1:$L$257,5,FALSE))))</f>
        <v/>
      </c>
      <c r="F46" s="520" t="str">
        <f>IF(B46="","",IF(ISNA(VLOOKUP($B46,'B-1 Site Hedge Baseline'!$B$1:$L$257,6,FALSE)),"",(VLOOKUP($B46,'B-1 Site Hedge Baseline'!$B$1:$L$257,6,FALSE))))</f>
        <v/>
      </c>
      <c r="G46" s="520" t="str">
        <f>IF(B46="","",IF(ISNA(VLOOKUP($B46,'B-1 Site Hedge Baseline'!$B$1:$L$257,7,FALSE)),"",(VLOOKUP($B46,'B-1 Site Hedge Baseline'!$B$1:$L$257,7,FALSE))))</f>
        <v/>
      </c>
      <c r="H46" s="520" t="str">
        <f>IF(B46="","",IF(ISNA(VLOOKUP($B46,'B-1 Site Hedge Baseline'!$B$1:$L$257,8,FALSE)),"",(VLOOKUP($B46,'B-1 Site Hedge Baseline'!$B$1:$L$257,8,FALSE))))</f>
        <v/>
      </c>
      <c r="I46" s="520" t="str">
        <f>IF(B46="","",IF(ISNA(VLOOKUP($B46,'B-1 Site Hedge Baseline'!$B$1:$L$257,10,FALSE)),"",(VLOOKUP($B46,'B-1 Site Hedge Baseline'!$B$1:$L$257,10,FALSE))))</f>
        <v/>
      </c>
      <c r="J46" s="520" t="str">
        <f>IF(B46="","",IF(ISNA(VLOOKUP($B46,'B-1 Site Hedge Baseline'!$B$1:$L$257,11,FALSE)),"",(VLOOKUP($B46,'B-1 Site Hedge Baseline'!$B$1:$L$257,11,FALSE))))</f>
        <v/>
      </c>
      <c r="K46" s="520" t="str">
        <f>IF(B46="","",IF(ISNA(VLOOKUP($B46,'B-1 Site Hedge Baseline'!$B$1:$U$257,13,FALSE)),"",(VLOOKUP($B46,'B-1 Site Hedge Baseline'!$B$1:$U$257,13,FALSE))))</f>
        <v/>
      </c>
      <c r="L46" s="524" t="str">
        <f>IF(B46="","",IF(ISNA(VLOOKUP($B46,'B-1 Site Hedge Baseline'!$B$1:$U$257,12,FALSE)),"",(VLOOKUP($B46,'B-1 Site Hedge Baseline'!$B$1:$U$257,12,FALSE))))</f>
        <v/>
      </c>
      <c r="M46" s="416" t="str">
        <f t="shared" si="0"/>
        <v/>
      </c>
      <c r="N46" s="498" t="str">
        <f>IFERROR(IF(B46="","",INDEX('G-6 Hedgerow Data'!$AN$3:$AZ$15,MATCH(C46,'G-6 Hedgerow Data'!$AM$3:$AM$15,0),MATCH(M46,'G-6 Hedgerow Data'!$AN$2:$AZ$2,0))),"")</f>
        <v/>
      </c>
      <c r="O46" s="499" t="str">
        <f t="shared" si="2"/>
        <v/>
      </c>
      <c r="P46" s="559" t="str">
        <f>IF(B46="","",VLOOKUP(B46,'B-1 Site Hedge Baseline'!$B$10:T291,16,FALSE))</f>
        <v/>
      </c>
      <c r="Q46" s="498" t="str">
        <f>IF(M46="","",VLOOKUP(M46,'G-6 Hedgerow Data'!$B$2:$AG$15,2,FALSE))</f>
        <v/>
      </c>
      <c r="R46" s="499" t="str">
        <f>IF(M46="","",VLOOKUP(M46,'G-6 Hedgerow Data'!$B$2:$AG$15,3,FALSE))</f>
        <v/>
      </c>
      <c r="S46" s="157"/>
      <c r="T46" s="540" t="str">
        <f>IFERROR(VLOOKUP(S46,'G-1 All Habitats'!$Z$2:$AA$9,2,FALSE),"")</f>
        <v/>
      </c>
      <c r="U46" s="154"/>
      <c r="V46" s="520" t="str">
        <f>IF(U46="","",IF(VLOOKUP(U46,'G-3 Multipliers'!$L$3:$N$6,2,FALSE)=0,"Spatial Data Missing ⚠",VLOOKUP(U46,'G-3 Multipliers'!$L$3:$N$6,2,FALSE)))</f>
        <v/>
      </c>
      <c r="W46" s="524" t="str">
        <f>IF(U46="","",IF(VLOOKUP(U46,'G-3 Multipliers'!$L$3:$N$6,3,FALSE)=0,"Spatial Data Missing ⚠",VLOOKUP(U46,'G-3 Multipliers'!$L$3:$N$6,3,FALSE)))</f>
        <v/>
      </c>
      <c r="X46" s="498"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7" t="str">
        <f t="shared" si="3"/>
        <v/>
      </c>
      <c r="AB46" s="521" t="str">
        <f t="shared" si="4"/>
        <v/>
      </c>
      <c r="AC46" s="522" t="str">
        <f t="shared" si="1"/>
        <v/>
      </c>
      <c r="AD46" s="537" t="str">
        <f>IF(M46="","",VLOOKUP(M46,'G-6 Hedgerow Data'!$B$3:$AG$15,31,FALSE))</f>
        <v/>
      </c>
      <c r="AE46" s="507" t="str">
        <f t="shared" si="5"/>
        <v/>
      </c>
      <c r="AF46" s="507" t="str">
        <f t="shared" si="6"/>
        <v/>
      </c>
      <c r="AG46" s="524" t="str">
        <f>IFERROR(IF(O46="","",VLOOKUP(AD46,'G-3 Multipliers'!$P$3:$Q$6,2,FALSE)),"")</f>
        <v/>
      </c>
      <c r="AH46" s="513" t="str">
        <f t="shared" si="7"/>
        <v/>
      </c>
      <c r="AI46" s="231"/>
      <c r="AJ46" s="150"/>
      <c r="AT46" s="31" t="str">
        <f>IFERROR(INDEX('G-6 Hedgerow Data'!$BJ$3:$BJ$15,MATCH(M46,'G-6 Hedgerow Data'!$B$3:$B$15,0)),"")</f>
        <v/>
      </c>
    </row>
    <row r="47" spans="2:46" ht="13.8" x14ac:dyDescent="0.25">
      <c r="B47" s="531" t="str">
        <f>'B-1 Site Hedge Baseline'!AK45</f>
        <v/>
      </c>
      <c r="C47" s="520" t="str">
        <f>IF(B47="","",IF(ISNA(VLOOKUP($B47,'B-1 Site Hedge Baseline'!$B$1:$L$257,3,FALSE)),"",(VLOOKUP($B47,'B-1 Site Hedge Baseline'!$B$1:$L$257,3,FALSE))))</f>
        <v/>
      </c>
      <c r="D47" s="520" t="str">
        <f>IF(B47="","",IF(ISNA(VLOOKUP($B47,'B-1 Site Hedge Baseline'!$B$1:$L$257,4,FALSE)),"",(VLOOKUP($B47,'B-1 Site Hedge Baseline'!$B$1:$L$257,4,FALSE))))</f>
        <v/>
      </c>
      <c r="E47" s="520" t="str">
        <f>IF(B47="","",IF(ISNA(VLOOKUP($B47,'B-1 Site Hedge Baseline'!$B$1:$L$257,5,FALSE)),"",(VLOOKUP($B47,'B-1 Site Hedge Baseline'!$B$1:$L$257,5,FALSE))))</f>
        <v/>
      </c>
      <c r="F47" s="520" t="str">
        <f>IF(B47="","",IF(ISNA(VLOOKUP($B47,'B-1 Site Hedge Baseline'!$B$1:$L$257,6,FALSE)),"",(VLOOKUP($B47,'B-1 Site Hedge Baseline'!$B$1:$L$257,6,FALSE))))</f>
        <v/>
      </c>
      <c r="G47" s="520" t="str">
        <f>IF(B47="","",IF(ISNA(VLOOKUP($B47,'B-1 Site Hedge Baseline'!$B$1:$L$257,7,FALSE)),"",(VLOOKUP($B47,'B-1 Site Hedge Baseline'!$B$1:$L$257,7,FALSE))))</f>
        <v/>
      </c>
      <c r="H47" s="520" t="str">
        <f>IF(B47="","",IF(ISNA(VLOOKUP($B47,'B-1 Site Hedge Baseline'!$B$1:$L$257,8,FALSE)),"",(VLOOKUP($B47,'B-1 Site Hedge Baseline'!$B$1:$L$257,8,FALSE))))</f>
        <v/>
      </c>
      <c r="I47" s="520" t="str">
        <f>IF(B47="","",IF(ISNA(VLOOKUP($B47,'B-1 Site Hedge Baseline'!$B$1:$L$257,10,FALSE)),"",(VLOOKUP($B47,'B-1 Site Hedge Baseline'!$B$1:$L$257,10,FALSE))))</f>
        <v/>
      </c>
      <c r="J47" s="520" t="str">
        <f>IF(B47="","",IF(ISNA(VLOOKUP($B47,'B-1 Site Hedge Baseline'!$B$1:$L$257,11,FALSE)),"",(VLOOKUP($B47,'B-1 Site Hedge Baseline'!$B$1:$L$257,11,FALSE))))</f>
        <v/>
      </c>
      <c r="K47" s="520" t="str">
        <f>IF(B47="","",IF(ISNA(VLOOKUP($B47,'B-1 Site Hedge Baseline'!$B$1:$U$257,13,FALSE)),"",(VLOOKUP($B47,'B-1 Site Hedge Baseline'!$B$1:$U$257,13,FALSE))))</f>
        <v/>
      </c>
      <c r="L47" s="524" t="str">
        <f>IF(B47="","",IF(ISNA(VLOOKUP($B47,'B-1 Site Hedge Baseline'!$B$1:$U$257,12,FALSE)),"",(VLOOKUP($B47,'B-1 Site Hedge Baseline'!$B$1:$U$257,12,FALSE))))</f>
        <v/>
      </c>
      <c r="M47" s="416" t="str">
        <f t="shared" si="0"/>
        <v/>
      </c>
      <c r="N47" s="498" t="str">
        <f>IFERROR(IF(B47="","",INDEX('G-6 Hedgerow Data'!$AN$3:$AZ$15,MATCH(C47,'G-6 Hedgerow Data'!$AM$3:$AM$15,0),MATCH(M47,'G-6 Hedgerow Data'!$AN$2:$AZ$2,0))),"")</f>
        <v/>
      </c>
      <c r="O47" s="499" t="str">
        <f t="shared" si="2"/>
        <v/>
      </c>
      <c r="P47" s="559" t="str">
        <f>IF(B47="","",VLOOKUP(B47,'B-1 Site Hedge Baseline'!$B$10:T292,16,FALSE))</f>
        <v/>
      </c>
      <c r="Q47" s="498" t="str">
        <f>IF(M47="","",VLOOKUP(M47,'G-6 Hedgerow Data'!$B$2:$AG$15,2,FALSE))</f>
        <v/>
      </c>
      <c r="R47" s="499" t="str">
        <f>IF(M47="","",VLOOKUP(M47,'G-6 Hedgerow Data'!$B$2:$AG$15,3,FALSE))</f>
        <v/>
      </c>
      <c r="S47" s="157"/>
      <c r="T47" s="540" t="str">
        <f>IFERROR(VLOOKUP(S47,'G-1 All Habitats'!$Z$2:$AA$9,2,FALSE),"")</f>
        <v/>
      </c>
      <c r="U47" s="154"/>
      <c r="V47" s="520" t="str">
        <f>IF(U47="","",IF(VLOOKUP(U47,'G-3 Multipliers'!$L$3:$N$6,2,FALSE)=0,"Spatial Data Missing ⚠",VLOOKUP(U47,'G-3 Multipliers'!$L$3:$N$6,2,FALSE)))</f>
        <v/>
      </c>
      <c r="W47" s="524" t="str">
        <f>IF(U47="","",IF(VLOOKUP(U47,'G-3 Multipliers'!$L$3:$N$6,3,FALSE)=0,"Spatial Data Missing ⚠",VLOOKUP(U47,'G-3 Multipliers'!$L$3:$N$6,3,FALSE)))</f>
        <v/>
      </c>
      <c r="X47" s="498"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7" t="str">
        <f t="shared" si="3"/>
        <v/>
      </c>
      <c r="AB47" s="521" t="str">
        <f t="shared" si="4"/>
        <v/>
      </c>
      <c r="AC47" s="522" t="str">
        <f t="shared" si="1"/>
        <v/>
      </c>
      <c r="AD47" s="537" t="str">
        <f>IF(M47="","",VLOOKUP(M47,'G-6 Hedgerow Data'!$B$3:$AG$15,31,FALSE))</f>
        <v/>
      </c>
      <c r="AE47" s="507" t="str">
        <f t="shared" si="5"/>
        <v/>
      </c>
      <c r="AF47" s="507" t="str">
        <f t="shared" si="6"/>
        <v/>
      </c>
      <c r="AG47" s="524" t="str">
        <f>IFERROR(IF(O47="","",VLOOKUP(AD47,'G-3 Multipliers'!$P$3:$Q$6,2,FALSE)),"")</f>
        <v/>
      </c>
      <c r="AH47" s="513" t="str">
        <f t="shared" si="7"/>
        <v/>
      </c>
      <c r="AI47" s="231"/>
      <c r="AJ47" s="150"/>
      <c r="AT47" s="31" t="str">
        <f>IFERROR(INDEX('G-6 Hedgerow Data'!$BJ$3:$BJ$15,MATCH(M47,'G-6 Hedgerow Data'!$B$3:$B$15,0)),"")</f>
        <v/>
      </c>
    </row>
    <row r="48" spans="2:46" ht="13.8" x14ac:dyDescent="0.25">
      <c r="B48" s="531" t="str">
        <f>'B-1 Site Hedge Baseline'!AK46</f>
        <v/>
      </c>
      <c r="C48" s="520" t="str">
        <f>IF(B48="","",IF(ISNA(VLOOKUP($B48,'B-1 Site Hedge Baseline'!$B$1:$L$257,3,FALSE)),"",(VLOOKUP($B48,'B-1 Site Hedge Baseline'!$B$1:$L$257,3,FALSE))))</f>
        <v/>
      </c>
      <c r="D48" s="520" t="str">
        <f>IF(B48="","",IF(ISNA(VLOOKUP($B48,'B-1 Site Hedge Baseline'!$B$1:$L$257,4,FALSE)),"",(VLOOKUP($B48,'B-1 Site Hedge Baseline'!$B$1:$L$257,4,FALSE))))</f>
        <v/>
      </c>
      <c r="E48" s="520" t="str">
        <f>IF(B48="","",IF(ISNA(VLOOKUP($B48,'B-1 Site Hedge Baseline'!$B$1:$L$257,5,FALSE)),"",(VLOOKUP($B48,'B-1 Site Hedge Baseline'!$B$1:$L$257,5,FALSE))))</f>
        <v/>
      </c>
      <c r="F48" s="520" t="str">
        <f>IF(B48="","",IF(ISNA(VLOOKUP($B48,'B-1 Site Hedge Baseline'!$B$1:$L$257,6,FALSE)),"",(VLOOKUP($B48,'B-1 Site Hedge Baseline'!$B$1:$L$257,6,FALSE))))</f>
        <v/>
      </c>
      <c r="G48" s="520" t="str">
        <f>IF(B48="","",IF(ISNA(VLOOKUP($B48,'B-1 Site Hedge Baseline'!$B$1:$L$257,7,FALSE)),"",(VLOOKUP($B48,'B-1 Site Hedge Baseline'!$B$1:$L$257,7,FALSE))))</f>
        <v/>
      </c>
      <c r="H48" s="520" t="str">
        <f>IF(B48="","",IF(ISNA(VLOOKUP($B48,'B-1 Site Hedge Baseline'!$B$1:$L$257,8,FALSE)),"",(VLOOKUP($B48,'B-1 Site Hedge Baseline'!$B$1:$L$257,8,FALSE))))</f>
        <v/>
      </c>
      <c r="I48" s="520" t="str">
        <f>IF(B48="","",IF(ISNA(VLOOKUP($B48,'B-1 Site Hedge Baseline'!$B$1:$L$257,10,FALSE)),"",(VLOOKUP($B48,'B-1 Site Hedge Baseline'!$B$1:$L$257,10,FALSE))))</f>
        <v/>
      </c>
      <c r="J48" s="520" t="str">
        <f>IF(B48="","",IF(ISNA(VLOOKUP($B48,'B-1 Site Hedge Baseline'!$B$1:$L$257,11,FALSE)),"",(VLOOKUP($B48,'B-1 Site Hedge Baseline'!$B$1:$L$257,11,FALSE))))</f>
        <v/>
      </c>
      <c r="K48" s="520" t="str">
        <f>IF(B48="","",IF(ISNA(VLOOKUP($B48,'B-1 Site Hedge Baseline'!$B$1:$U$257,13,FALSE)),"",(VLOOKUP($B48,'B-1 Site Hedge Baseline'!$B$1:$U$257,13,FALSE))))</f>
        <v/>
      </c>
      <c r="L48" s="524" t="str">
        <f>IF(B48="","",IF(ISNA(VLOOKUP($B48,'B-1 Site Hedge Baseline'!$B$1:$U$257,12,FALSE)),"",(VLOOKUP($B48,'B-1 Site Hedge Baseline'!$B$1:$U$257,12,FALSE))))</f>
        <v/>
      </c>
      <c r="M48" s="416" t="str">
        <f t="shared" si="0"/>
        <v/>
      </c>
      <c r="N48" s="498" t="str">
        <f>IFERROR(IF(B48="","",INDEX('G-6 Hedgerow Data'!$AN$3:$AZ$15,MATCH(C48,'G-6 Hedgerow Data'!$AM$3:$AM$15,0),MATCH(M48,'G-6 Hedgerow Data'!$AN$2:$AZ$2,0))),"")</f>
        <v/>
      </c>
      <c r="O48" s="499" t="str">
        <f t="shared" si="2"/>
        <v/>
      </c>
      <c r="P48" s="559" t="str">
        <f>IF(B48="","",VLOOKUP(B48,'B-1 Site Hedge Baseline'!$B$10:T293,16,FALSE))</f>
        <v/>
      </c>
      <c r="Q48" s="498" t="str">
        <f>IF(M48="","",VLOOKUP(M48,'G-6 Hedgerow Data'!$B$2:$AG$15,2,FALSE))</f>
        <v/>
      </c>
      <c r="R48" s="499" t="str">
        <f>IF(M48="","",VLOOKUP(M48,'G-6 Hedgerow Data'!$B$2:$AG$15,3,FALSE))</f>
        <v/>
      </c>
      <c r="S48" s="157"/>
      <c r="T48" s="540" t="str">
        <f>IFERROR(VLOOKUP(S48,'G-1 All Habitats'!$Z$2:$AA$9,2,FALSE),"")</f>
        <v/>
      </c>
      <c r="U48" s="154"/>
      <c r="V48" s="520" t="str">
        <f>IF(U48="","",IF(VLOOKUP(U48,'G-3 Multipliers'!$L$3:$N$6,2,FALSE)=0,"Spatial Data Missing ⚠",VLOOKUP(U48,'G-3 Multipliers'!$L$3:$N$6,2,FALSE)))</f>
        <v/>
      </c>
      <c r="W48" s="524" t="str">
        <f>IF(U48="","",IF(VLOOKUP(U48,'G-3 Multipliers'!$L$3:$N$6,3,FALSE)=0,"Spatial Data Missing ⚠",VLOOKUP(U48,'G-3 Multipliers'!$L$3:$N$6,3,FALSE)))</f>
        <v/>
      </c>
      <c r="X48" s="498"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7" t="str">
        <f t="shared" si="3"/>
        <v/>
      </c>
      <c r="AB48" s="521" t="str">
        <f t="shared" si="4"/>
        <v/>
      </c>
      <c r="AC48" s="522" t="str">
        <f t="shared" si="1"/>
        <v/>
      </c>
      <c r="AD48" s="537" t="str">
        <f>IF(M48="","",VLOOKUP(M48,'G-6 Hedgerow Data'!$B$3:$AG$15,31,FALSE))</f>
        <v/>
      </c>
      <c r="AE48" s="507" t="str">
        <f t="shared" si="5"/>
        <v/>
      </c>
      <c r="AF48" s="507" t="str">
        <f t="shared" si="6"/>
        <v/>
      </c>
      <c r="AG48" s="524" t="str">
        <f>IFERROR(IF(O48="","",VLOOKUP(AD48,'G-3 Multipliers'!$P$3:$Q$6,2,FALSE)),"")</f>
        <v/>
      </c>
      <c r="AH48" s="513" t="str">
        <f t="shared" si="7"/>
        <v/>
      </c>
      <c r="AI48" s="231"/>
      <c r="AJ48" s="150"/>
      <c r="AT48" s="31" t="str">
        <f>IFERROR(INDEX('G-6 Hedgerow Data'!$BJ$3:$BJ$15,MATCH(M48,'G-6 Hedgerow Data'!$B$3:$B$15,0)),"")</f>
        <v/>
      </c>
    </row>
    <row r="49" spans="2:46" ht="13.8" x14ac:dyDescent="0.25">
      <c r="B49" s="531" t="str">
        <f>'B-1 Site Hedge Baseline'!AK47</f>
        <v/>
      </c>
      <c r="C49" s="520" t="str">
        <f>IF(B49="","",IF(ISNA(VLOOKUP($B49,'B-1 Site Hedge Baseline'!$B$1:$L$257,3,FALSE)),"",(VLOOKUP($B49,'B-1 Site Hedge Baseline'!$B$1:$L$257,3,FALSE))))</f>
        <v/>
      </c>
      <c r="D49" s="520" t="str">
        <f>IF(B49="","",IF(ISNA(VLOOKUP($B49,'B-1 Site Hedge Baseline'!$B$1:$L$257,4,FALSE)),"",(VLOOKUP($B49,'B-1 Site Hedge Baseline'!$B$1:$L$257,4,FALSE))))</f>
        <v/>
      </c>
      <c r="E49" s="520" t="str">
        <f>IF(B49="","",IF(ISNA(VLOOKUP($B49,'B-1 Site Hedge Baseline'!$B$1:$L$257,5,FALSE)),"",(VLOOKUP($B49,'B-1 Site Hedge Baseline'!$B$1:$L$257,5,FALSE))))</f>
        <v/>
      </c>
      <c r="F49" s="520" t="str">
        <f>IF(B49="","",IF(ISNA(VLOOKUP($B49,'B-1 Site Hedge Baseline'!$B$1:$L$257,6,FALSE)),"",(VLOOKUP($B49,'B-1 Site Hedge Baseline'!$B$1:$L$257,6,FALSE))))</f>
        <v/>
      </c>
      <c r="G49" s="520" t="str">
        <f>IF(B49="","",IF(ISNA(VLOOKUP($B49,'B-1 Site Hedge Baseline'!$B$1:$L$257,7,FALSE)),"",(VLOOKUP($B49,'B-1 Site Hedge Baseline'!$B$1:$L$257,7,FALSE))))</f>
        <v/>
      </c>
      <c r="H49" s="520" t="str">
        <f>IF(B49="","",IF(ISNA(VLOOKUP($B49,'B-1 Site Hedge Baseline'!$B$1:$L$257,8,FALSE)),"",(VLOOKUP($B49,'B-1 Site Hedge Baseline'!$B$1:$L$257,8,FALSE))))</f>
        <v/>
      </c>
      <c r="I49" s="520" t="str">
        <f>IF(B49="","",IF(ISNA(VLOOKUP($B49,'B-1 Site Hedge Baseline'!$B$1:$L$257,10,FALSE)),"",(VLOOKUP($B49,'B-1 Site Hedge Baseline'!$B$1:$L$257,10,FALSE))))</f>
        <v/>
      </c>
      <c r="J49" s="520" t="str">
        <f>IF(B49="","",IF(ISNA(VLOOKUP($B49,'B-1 Site Hedge Baseline'!$B$1:$L$257,11,FALSE)),"",(VLOOKUP($B49,'B-1 Site Hedge Baseline'!$B$1:$L$257,11,FALSE))))</f>
        <v/>
      </c>
      <c r="K49" s="520" t="str">
        <f>IF(B49="","",IF(ISNA(VLOOKUP($B49,'B-1 Site Hedge Baseline'!$B$1:$U$257,13,FALSE)),"",(VLOOKUP($B49,'B-1 Site Hedge Baseline'!$B$1:$U$257,13,FALSE))))</f>
        <v/>
      </c>
      <c r="L49" s="524" t="str">
        <f>IF(B49="","",IF(ISNA(VLOOKUP($B49,'B-1 Site Hedge Baseline'!$B$1:$U$257,12,FALSE)),"",(VLOOKUP($B49,'B-1 Site Hedge Baseline'!$B$1:$U$257,12,FALSE))))</f>
        <v/>
      </c>
      <c r="M49" s="416" t="str">
        <f t="shared" si="0"/>
        <v/>
      </c>
      <c r="N49" s="498" t="str">
        <f>IFERROR(IF(B49="","",INDEX('G-6 Hedgerow Data'!$AN$3:$AZ$15,MATCH(C49,'G-6 Hedgerow Data'!$AM$3:$AM$15,0),MATCH(M49,'G-6 Hedgerow Data'!$AN$2:$AZ$2,0))),"")</f>
        <v/>
      </c>
      <c r="O49" s="499" t="str">
        <f t="shared" si="2"/>
        <v/>
      </c>
      <c r="P49" s="559" t="str">
        <f>IF(B49="","",VLOOKUP(B49,'B-1 Site Hedge Baseline'!$B$10:T294,16,FALSE))</f>
        <v/>
      </c>
      <c r="Q49" s="498" t="str">
        <f>IF(M49="","",VLOOKUP(M49,'G-6 Hedgerow Data'!$B$2:$AG$15,2,FALSE))</f>
        <v/>
      </c>
      <c r="R49" s="499" t="str">
        <f>IF(M49="","",VLOOKUP(M49,'G-6 Hedgerow Data'!$B$2:$AG$15,3,FALSE))</f>
        <v/>
      </c>
      <c r="S49" s="157"/>
      <c r="T49" s="540" t="str">
        <f>IFERROR(VLOOKUP(S49,'G-1 All Habitats'!$Z$2:$AA$9,2,FALSE),"")</f>
        <v/>
      </c>
      <c r="U49" s="154"/>
      <c r="V49" s="520" t="str">
        <f>IF(U49="","",IF(VLOOKUP(U49,'G-3 Multipliers'!$L$3:$N$6,2,FALSE)=0,"Spatial Data Missing ⚠",VLOOKUP(U49,'G-3 Multipliers'!$L$3:$N$6,2,FALSE)))</f>
        <v/>
      </c>
      <c r="W49" s="524" t="str">
        <f>IF(U49="","",IF(VLOOKUP(U49,'G-3 Multipliers'!$L$3:$N$6,3,FALSE)=0,"Spatial Data Missing ⚠",VLOOKUP(U49,'G-3 Multipliers'!$L$3:$N$6,3,FALSE)))</f>
        <v/>
      </c>
      <c r="X49" s="498"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7" t="str">
        <f t="shared" si="3"/>
        <v/>
      </c>
      <c r="AB49" s="521" t="str">
        <f t="shared" si="4"/>
        <v/>
      </c>
      <c r="AC49" s="522" t="str">
        <f t="shared" si="1"/>
        <v/>
      </c>
      <c r="AD49" s="537" t="str">
        <f>IF(M49="","",VLOOKUP(M49,'G-6 Hedgerow Data'!$B$3:$AG$15,31,FALSE))</f>
        <v/>
      </c>
      <c r="AE49" s="507" t="str">
        <f t="shared" si="5"/>
        <v/>
      </c>
      <c r="AF49" s="507" t="str">
        <f t="shared" si="6"/>
        <v/>
      </c>
      <c r="AG49" s="524" t="str">
        <f>IFERROR(IF(O49="","",VLOOKUP(AD49,'G-3 Multipliers'!$P$3:$Q$6,2,FALSE)),"")</f>
        <v/>
      </c>
      <c r="AH49" s="513" t="str">
        <f t="shared" si="7"/>
        <v/>
      </c>
      <c r="AI49" s="231"/>
      <c r="AJ49" s="150"/>
      <c r="AT49" s="31" t="str">
        <f>IFERROR(INDEX('G-6 Hedgerow Data'!$BJ$3:$BJ$15,MATCH(M49,'G-6 Hedgerow Data'!$B$3:$B$15,0)),"")</f>
        <v/>
      </c>
    </row>
    <row r="50" spans="2:46" ht="13.8" x14ac:dyDescent="0.25">
      <c r="B50" s="531" t="str">
        <f>'B-1 Site Hedge Baseline'!AK48</f>
        <v/>
      </c>
      <c r="C50" s="520" t="str">
        <f>IF(B50="","",IF(ISNA(VLOOKUP($B50,'B-1 Site Hedge Baseline'!$B$1:$L$257,3,FALSE)),"",(VLOOKUP($B50,'B-1 Site Hedge Baseline'!$B$1:$L$257,3,FALSE))))</f>
        <v/>
      </c>
      <c r="D50" s="520" t="str">
        <f>IF(B50="","",IF(ISNA(VLOOKUP($B50,'B-1 Site Hedge Baseline'!$B$1:$L$257,4,FALSE)),"",(VLOOKUP($B50,'B-1 Site Hedge Baseline'!$B$1:$L$257,4,FALSE))))</f>
        <v/>
      </c>
      <c r="E50" s="520" t="str">
        <f>IF(B50="","",IF(ISNA(VLOOKUP($B50,'B-1 Site Hedge Baseline'!$B$1:$L$257,5,FALSE)),"",(VLOOKUP($B50,'B-1 Site Hedge Baseline'!$B$1:$L$257,5,FALSE))))</f>
        <v/>
      </c>
      <c r="F50" s="520" t="str">
        <f>IF(B50="","",IF(ISNA(VLOOKUP($B50,'B-1 Site Hedge Baseline'!$B$1:$L$257,6,FALSE)),"",(VLOOKUP($B50,'B-1 Site Hedge Baseline'!$B$1:$L$257,6,FALSE))))</f>
        <v/>
      </c>
      <c r="G50" s="520" t="str">
        <f>IF(B50="","",IF(ISNA(VLOOKUP($B50,'B-1 Site Hedge Baseline'!$B$1:$L$257,7,FALSE)),"",(VLOOKUP($B50,'B-1 Site Hedge Baseline'!$B$1:$L$257,7,FALSE))))</f>
        <v/>
      </c>
      <c r="H50" s="520" t="str">
        <f>IF(B50="","",IF(ISNA(VLOOKUP($B50,'B-1 Site Hedge Baseline'!$B$1:$L$257,8,FALSE)),"",(VLOOKUP($B50,'B-1 Site Hedge Baseline'!$B$1:$L$257,8,FALSE))))</f>
        <v/>
      </c>
      <c r="I50" s="520" t="str">
        <f>IF(B50="","",IF(ISNA(VLOOKUP($B50,'B-1 Site Hedge Baseline'!$B$1:$L$257,10,FALSE)),"",(VLOOKUP($B50,'B-1 Site Hedge Baseline'!$B$1:$L$257,10,FALSE))))</f>
        <v/>
      </c>
      <c r="J50" s="520" t="str">
        <f>IF(B50="","",IF(ISNA(VLOOKUP($B50,'B-1 Site Hedge Baseline'!$B$1:$L$257,11,FALSE)),"",(VLOOKUP($B50,'B-1 Site Hedge Baseline'!$B$1:$L$257,11,FALSE))))</f>
        <v/>
      </c>
      <c r="K50" s="520" t="str">
        <f>IF(B50="","",IF(ISNA(VLOOKUP($B50,'B-1 Site Hedge Baseline'!$B$1:$U$257,13,FALSE)),"",(VLOOKUP($B50,'B-1 Site Hedge Baseline'!$B$1:$U$257,13,FALSE))))</f>
        <v/>
      </c>
      <c r="L50" s="524" t="str">
        <f>IF(B50="","",IF(ISNA(VLOOKUP($B50,'B-1 Site Hedge Baseline'!$B$1:$U$257,12,FALSE)),"",(VLOOKUP($B50,'B-1 Site Hedge Baseline'!$B$1:$U$257,12,FALSE))))</f>
        <v/>
      </c>
      <c r="M50" s="416" t="str">
        <f t="shared" si="0"/>
        <v/>
      </c>
      <c r="N50" s="498" t="str">
        <f>IFERROR(IF(B50="","",INDEX('G-6 Hedgerow Data'!$AN$3:$AZ$15,MATCH(C50,'G-6 Hedgerow Data'!$AM$3:$AM$15,0),MATCH(M50,'G-6 Hedgerow Data'!$AN$2:$AZ$2,0))),"")</f>
        <v/>
      </c>
      <c r="O50" s="499" t="str">
        <f t="shared" si="2"/>
        <v/>
      </c>
      <c r="P50" s="559" t="str">
        <f>IF(B50="","",VLOOKUP(B50,'B-1 Site Hedge Baseline'!$B$10:T295,16,FALSE))</f>
        <v/>
      </c>
      <c r="Q50" s="498" t="str">
        <f>IF(M50="","",VLOOKUP(M50,'G-6 Hedgerow Data'!$B$2:$AG$15,2,FALSE))</f>
        <v/>
      </c>
      <c r="R50" s="499" t="str">
        <f>IF(M50="","",VLOOKUP(M50,'G-6 Hedgerow Data'!$B$2:$AG$15,3,FALSE))</f>
        <v/>
      </c>
      <c r="S50" s="157"/>
      <c r="T50" s="540" t="str">
        <f>IFERROR(VLOOKUP(S50,'G-1 All Habitats'!$Z$2:$AA$9,2,FALSE),"")</f>
        <v/>
      </c>
      <c r="U50" s="154"/>
      <c r="V50" s="520" t="str">
        <f>IF(U50="","",IF(VLOOKUP(U50,'G-3 Multipliers'!$L$3:$N$6,2,FALSE)=0,"Spatial Data Missing ⚠",VLOOKUP(U50,'G-3 Multipliers'!$L$3:$N$6,2,FALSE)))</f>
        <v/>
      </c>
      <c r="W50" s="524" t="str">
        <f>IF(U50="","",IF(VLOOKUP(U50,'G-3 Multipliers'!$L$3:$N$6,3,FALSE)=0,"Spatial Data Missing ⚠",VLOOKUP(U50,'G-3 Multipliers'!$L$3:$N$6,3,FALSE)))</f>
        <v/>
      </c>
      <c r="X50" s="498"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7" t="str">
        <f t="shared" si="3"/>
        <v/>
      </c>
      <c r="AB50" s="521" t="str">
        <f t="shared" si="4"/>
        <v/>
      </c>
      <c r="AC50" s="522" t="str">
        <f t="shared" si="1"/>
        <v/>
      </c>
      <c r="AD50" s="537" t="str">
        <f>IF(M50="","",VLOOKUP(M50,'G-6 Hedgerow Data'!$B$3:$AG$15,31,FALSE))</f>
        <v/>
      </c>
      <c r="AE50" s="507" t="str">
        <f t="shared" si="5"/>
        <v/>
      </c>
      <c r="AF50" s="507" t="str">
        <f t="shared" si="6"/>
        <v/>
      </c>
      <c r="AG50" s="524" t="str">
        <f>IFERROR(IF(O50="","",VLOOKUP(AD50,'G-3 Multipliers'!$P$3:$Q$6,2,FALSE)),"")</f>
        <v/>
      </c>
      <c r="AH50" s="513" t="str">
        <f t="shared" si="7"/>
        <v/>
      </c>
      <c r="AI50" s="231"/>
      <c r="AJ50" s="150"/>
      <c r="AT50" s="31" t="str">
        <f>IFERROR(INDEX('G-6 Hedgerow Data'!$BJ$3:$BJ$15,MATCH(M50,'G-6 Hedgerow Data'!$B$3:$B$15,0)),"")</f>
        <v/>
      </c>
    </row>
    <row r="51" spans="2:46" ht="13.8" x14ac:dyDescent="0.25">
      <c r="B51" s="531" t="str">
        <f>'B-1 Site Hedge Baseline'!AK49</f>
        <v/>
      </c>
      <c r="C51" s="520" t="str">
        <f>IF(B51="","",IF(ISNA(VLOOKUP($B51,'B-1 Site Hedge Baseline'!$B$1:$L$257,3,FALSE)),"",(VLOOKUP($B51,'B-1 Site Hedge Baseline'!$B$1:$L$257,3,FALSE))))</f>
        <v/>
      </c>
      <c r="D51" s="520" t="str">
        <f>IF(B51="","",IF(ISNA(VLOOKUP($B51,'B-1 Site Hedge Baseline'!$B$1:$L$257,4,FALSE)),"",(VLOOKUP($B51,'B-1 Site Hedge Baseline'!$B$1:$L$257,4,FALSE))))</f>
        <v/>
      </c>
      <c r="E51" s="520" t="str">
        <f>IF(B51="","",IF(ISNA(VLOOKUP($B51,'B-1 Site Hedge Baseline'!$B$1:$L$257,5,FALSE)),"",(VLOOKUP($B51,'B-1 Site Hedge Baseline'!$B$1:$L$257,5,FALSE))))</f>
        <v/>
      </c>
      <c r="F51" s="520" t="str">
        <f>IF(B51="","",IF(ISNA(VLOOKUP($B51,'B-1 Site Hedge Baseline'!$B$1:$L$257,6,FALSE)),"",(VLOOKUP($B51,'B-1 Site Hedge Baseline'!$B$1:$L$257,6,FALSE))))</f>
        <v/>
      </c>
      <c r="G51" s="520" t="str">
        <f>IF(B51="","",IF(ISNA(VLOOKUP($B51,'B-1 Site Hedge Baseline'!$B$1:$L$257,7,FALSE)),"",(VLOOKUP($B51,'B-1 Site Hedge Baseline'!$B$1:$L$257,7,FALSE))))</f>
        <v/>
      </c>
      <c r="H51" s="520" t="str">
        <f>IF(B51="","",IF(ISNA(VLOOKUP($B51,'B-1 Site Hedge Baseline'!$B$1:$L$257,8,FALSE)),"",(VLOOKUP($B51,'B-1 Site Hedge Baseline'!$B$1:$L$257,8,FALSE))))</f>
        <v/>
      </c>
      <c r="I51" s="520" t="str">
        <f>IF(B51="","",IF(ISNA(VLOOKUP($B51,'B-1 Site Hedge Baseline'!$B$1:$L$257,10,FALSE)),"",(VLOOKUP($B51,'B-1 Site Hedge Baseline'!$B$1:$L$257,10,FALSE))))</f>
        <v/>
      </c>
      <c r="J51" s="520" t="str">
        <f>IF(B51="","",IF(ISNA(VLOOKUP($B51,'B-1 Site Hedge Baseline'!$B$1:$L$257,11,FALSE)),"",(VLOOKUP($B51,'B-1 Site Hedge Baseline'!$B$1:$L$257,11,FALSE))))</f>
        <v/>
      </c>
      <c r="K51" s="520" t="str">
        <f>IF(B51="","",IF(ISNA(VLOOKUP($B51,'B-1 Site Hedge Baseline'!$B$1:$U$257,13,FALSE)),"",(VLOOKUP($B51,'B-1 Site Hedge Baseline'!$B$1:$U$257,13,FALSE))))</f>
        <v/>
      </c>
      <c r="L51" s="524" t="str">
        <f>IF(B51="","",IF(ISNA(VLOOKUP($B51,'B-1 Site Hedge Baseline'!$B$1:$U$257,12,FALSE)),"",(VLOOKUP($B51,'B-1 Site Hedge Baseline'!$B$1:$U$257,12,FALSE))))</f>
        <v/>
      </c>
      <c r="M51" s="416" t="str">
        <f t="shared" si="0"/>
        <v/>
      </c>
      <c r="N51" s="498" t="str">
        <f>IFERROR(IF(B51="","",INDEX('G-6 Hedgerow Data'!$AN$3:$AZ$15,MATCH(C51,'G-6 Hedgerow Data'!$AM$3:$AM$15,0),MATCH(M51,'G-6 Hedgerow Data'!$AN$2:$AZ$2,0))),"")</f>
        <v/>
      </c>
      <c r="O51" s="499" t="str">
        <f t="shared" si="2"/>
        <v/>
      </c>
      <c r="P51" s="559" t="str">
        <f>IF(B51="","",VLOOKUP(B51,'B-1 Site Hedge Baseline'!$B$10:T296,16,FALSE))</f>
        <v/>
      </c>
      <c r="Q51" s="498" t="str">
        <f>IF(M51="","",VLOOKUP(M51,'G-6 Hedgerow Data'!$B$2:$AG$15,2,FALSE))</f>
        <v/>
      </c>
      <c r="R51" s="499" t="str">
        <f>IF(M51="","",VLOOKUP(M51,'G-6 Hedgerow Data'!$B$2:$AG$15,3,FALSE))</f>
        <v/>
      </c>
      <c r="S51" s="157"/>
      <c r="T51" s="540" t="str">
        <f>IFERROR(VLOOKUP(S51,'G-1 All Habitats'!$Z$2:$AA$9,2,FALSE),"")</f>
        <v/>
      </c>
      <c r="U51" s="154"/>
      <c r="V51" s="520" t="str">
        <f>IF(U51="","",IF(VLOOKUP(U51,'G-3 Multipliers'!$L$3:$N$6,2,FALSE)=0,"Spatial Data Missing ⚠",VLOOKUP(U51,'G-3 Multipliers'!$L$3:$N$6,2,FALSE)))</f>
        <v/>
      </c>
      <c r="W51" s="524" t="str">
        <f>IF(U51="","",IF(VLOOKUP(U51,'G-3 Multipliers'!$L$3:$N$6,3,FALSE)=0,"Spatial Data Missing ⚠",VLOOKUP(U51,'G-3 Multipliers'!$L$3:$N$6,3,FALSE)))</f>
        <v/>
      </c>
      <c r="X51" s="498"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7" t="str">
        <f t="shared" si="3"/>
        <v/>
      </c>
      <c r="AB51" s="521" t="str">
        <f t="shared" si="4"/>
        <v/>
      </c>
      <c r="AC51" s="522" t="str">
        <f t="shared" si="1"/>
        <v/>
      </c>
      <c r="AD51" s="537" t="str">
        <f>IF(M51="","",VLOOKUP(M51,'G-6 Hedgerow Data'!$B$3:$AG$15,31,FALSE))</f>
        <v/>
      </c>
      <c r="AE51" s="507" t="str">
        <f t="shared" si="5"/>
        <v/>
      </c>
      <c r="AF51" s="507" t="str">
        <f t="shared" si="6"/>
        <v/>
      </c>
      <c r="AG51" s="524" t="str">
        <f>IFERROR(IF(O51="","",VLOOKUP(AD51,'G-3 Multipliers'!$P$3:$Q$6,2,FALSE)),"")</f>
        <v/>
      </c>
      <c r="AH51" s="513" t="str">
        <f t="shared" si="7"/>
        <v/>
      </c>
      <c r="AI51" s="231"/>
      <c r="AJ51" s="150"/>
      <c r="AT51" s="31" t="str">
        <f>IFERROR(INDEX('G-6 Hedgerow Data'!$BJ$3:$BJ$15,MATCH(M51,'G-6 Hedgerow Data'!$B$3:$B$15,0)),"")</f>
        <v/>
      </c>
    </row>
    <row r="52" spans="2:46" ht="13.8" x14ac:dyDescent="0.25">
      <c r="B52" s="531" t="str">
        <f>'B-1 Site Hedge Baseline'!AK50</f>
        <v/>
      </c>
      <c r="C52" s="520" t="str">
        <f>IF(B52="","",IF(ISNA(VLOOKUP($B52,'B-1 Site Hedge Baseline'!$B$1:$L$257,3,FALSE)),"",(VLOOKUP($B52,'B-1 Site Hedge Baseline'!$B$1:$L$257,3,FALSE))))</f>
        <v/>
      </c>
      <c r="D52" s="520" t="str">
        <f>IF(B52="","",IF(ISNA(VLOOKUP($B52,'B-1 Site Hedge Baseline'!$B$1:$L$257,4,FALSE)),"",(VLOOKUP($B52,'B-1 Site Hedge Baseline'!$B$1:$L$257,4,FALSE))))</f>
        <v/>
      </c>
      <c r="E52" s="520" t="str">
        <f>IF(B52="","",IF(ISNA(VLOOKUP($B52,'B-1 Site Hedge Baseline'!$B$1:$L$257,5,FALSE)),"",(VLOOKUP($B52,'B-1 Site Hedge Baseline'!$B$1:$L$257,5,FALSE))))</f>
        <v/>
      </c>
      <c r="F52" s="520" t="str">
        <f>IF(B52="","",IF(ISNA(VLOOKUP($B52,'B-1 Site Hedge Baseline'!$B$1:$L$257,6,FALSE)),"",(VLOOKUP($B52,'B-1 Site Hedge Baseline'!$B$1:$L$257,6,FALSE))))</f>
        <v/>
      </c>
      <c r="G52" s="520" t="str">
        <f>IF(B52="","",IF(ISNA(VLOOKUP($B52,'B-1 Site Hedge Baseline'!$B$1:$L$257,7,FALSE)),"",(VLOOKUP($B52,'B-1 Site Hedge Baseline'!$B$1:$L$257,7,FALSE))))</f>
        <v/>
      </c>
      <c r="H52" s="520" t="str">
        <f>IF(B52="","",IF(ISNA(VLOOKUP($B52,'B-1 Site Hedge Baseline'!$B$1:$L$257,8,FALSE)),"",(VLOOKUP($B52,'B-1 Site Hedge Baseline'!$B$1:$L$257,8,FALSE))))</f>
        <v/>
      </c>
      <c r="I52" s="520" t="str">
        <f>IF(B52="","",IF(ISNA(VLOOKUP($B52,'B-1 Site Hedge Baseline'!$B$1:$L$257,10,FALSE)),"",(VLOOKUP($B52,'B-1 Site Hedge Baseline'!$B$1:$L$257,10,FALSE))))</f>
        <v/>
      </c>
      <c r="J52" s="520" t="str">
        <f>IF(B52="","",IF(ISNA(VLOOKUP($B52,'B-1 Site Hedge Baseline'!$B$1:$L$257,11,FALSE)),"",(VLOOKUP($B52,'B-1 Site Hedge Baseline'!$B$1:$L$257,11,FALSE))))</f>
        <v/>
      </c>
      <c r="K52" s="520" t="str">
        <f>IF(B52="","",IF(ISNA(VLOOKUP($B52,'B-1 Site Hedge Baseline'!$B$1:$U$257,13,FALSE)),"",(VLOOKUP($B52,'B-1 Site Hedge Baseline'!$B$1:$U$257,13,FALSE))))</f>
        <v/>
      </c>
      <c r="L52" s="524" t="str">
        <f>IF(B52="","",IF(ISNA(VLOOKUP($B52,'B-1 Site Hedge Baseline'!$B$1:$U$257,12,FALSE)),"",(VLOOKUP($B52,'B-1 Site Hedge Baseline'!$B$1:$U$257,12,FALSE))))</f>
        <v/>
      </c>
      <c r="M52" s="416" t="str">
        <f t="shared" si="0"/>
        <v/>
      </c>
      <c r="N52" s="498" t="str">
        <f>IFERROR(IF(B52="","",INDEX('G-6 Hedgerow Data'!$AN$3:$AZ$15,MATCH(C52,'G-6 Hedgerow Data'!$AM$3:$AM$15,0),MATCH(M52,'G-6 Hedgerow Data'!$AN$2:$AZ$2,0))),"")</f>
        <v/>
      </c>
      <c r="O52" s="499" t="str">
        <f t="shared" si="2"/>
        <v/>
      </c>
      <c r="P52" s="559" t="str">
        <f>IF(B52="","",VLOOKUP(B52,'B-1 Site Hedge Baseline'!$B$10:T297,16,FALSE))</f>
        <v/>
      </c>
      <c r="Q52" s="498" t="str">
        <f>IF(M52="","",VLOOKUP(M52,'G-6 Hedgerow Data'!$B$2:$AG$15,2,FALSE))</f>
        <v/>
      </c>
      <c r="R52" s="499" t="str">
        <f>IF(M52="","",VLOOKUP(M52,'G-6 Hedgerow Data'!$B$2:$AG$15,3,FALSE))</f>
        <v/>
      </c>
      <c r="S52" s="157"/>
      <c r="T52" s="540" t="str">
        <f>IFERROR(VLOOKUP(S52,'G-1 All Habitats'!$Z$2:$AA$9,2,FALSE),"")</f>
        <v/>
      </c>
      <c r="U52" s="154"/>
      <c r="V52" s="520" t="str">
        <f>IF(U52="","",IF(VLOOKUP(U52,'G-3 Multipliers'!$L$3:$N$6,2,FALSE)=0,"Spatial Data Missing ⚠",VLOOKUP(U52,'G-3 Multipliers'!$L$3:$N$6,2,FALSE)))</f>
        <v/>
      </c>
      <c r="W52" s="524" t="str">
        <f>IF(U52="","",IF(VLOOKUP(U52,'G-3 Multipliers'!$L$3:$N$6,3,FALSE)=0,"Spatial Data Missing ⚠",VLOOKUP(U52,'G-3 Multipliers'!$L$3:$N$6,3,FALSE)))</f>
        <v/>
      </c>
      <c r="X52" s="498"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7" t="str">
        <f t="shared" si="3"/>
        <v/>
      </c>
      <c r="AB52" s="521" t="str">
        <f t="shared" si="4"/>
        <v/>
      </c>
      <c r="AC52" s="522" t="str">
        <f t="shared" si="1"/>
        <v/>
      </c>
      <c r="AD52" s="537" t="str">
        <f>IF(M52="","",VLOOKUP(M52,'G-6 Hedgerow Data'!$B$3:$AG$15,31,FALSE))</f>
        <v/>
      </c>
      <c r="AE52" s="507" t="str">
        <f t="shared" si="5"/>
        <v/>
      </c>
      <c r="AF52" s="507" t="str">
        <f t="shared" si="6"/>
        <v/>
      </c>
      <c r="AG52" s="524" t="str">
        <f>IFERROR(IF(O52="","",VLOOKUP(AD52,'G-3 Multipliers'!$P$3:$Q$6,2,FALSE)),"")</f>
        <v/>
      </c>
      <c r="AH52" s="513" t="str">
        <f t="shared" si="7"/>
        <v/>
      </c>
      <c r="AI52" s="231"/>
      <c r="AJ52" s="150"/>
      <c r="AT52" s="31" t="str">
        <f>IFERROR(INDEX('G-6 Hedgerow Data'!$BJ$3:$BJ$15,MATCH(M52,'G-6 Hedgerow Data'!$B$3:$B$15,0)),"")</f>
        <v/>
      </c>
    </row>
    <row r="53" spans="2:46" ht="13.8" x14ac:dyDescent="0.25">
      <c r="B53" s="531" t="str">
        <f>'B-1 Site Hedge Baseline'!AK51</f>
        <v/>
      </c>
      <c r="C53" s="520" t="str">
        <f>IF(B53="","",IF(ISNA(VLOOKUP($B53,'B-1 Site Hedge Baseline'!$B$1:$L$257,3,FALSE)),"",(VLOOKUP($B53,'B-1 Site Hedge Baseline'!$B$1:$L$257,3,FALSE))))</f>
        <v/>
      </c>
      <c r="D53" s="520" t="str">
        <f>IF(B53="","",IF(ISNA(VLOOKUP($B53,'B-1 Site Hedge Baseline'!$B$1:$L$257,4,FALSE)),"",(VLOOKUP($B53,'B-1 Site Hedge Baseline'!$B$1:$L$257,4,FALSE))))</f>
        <v/>
      </c>
      <c r="E53" s="520" t="str">
        <f>IF(B53="","",IF(ISNA(VLOOKUP($B53,'B-1 Site Hedge Baseline'!$B$1:$L$257,5,FALSE)),"",(VLOOKUP($B53,'B-1 Site Hedge Baseline'!$B$1:$L$257,5,FALSE))))</f>
        <v/>
      </c>
      <c r="F53" s="520" t="str">
        <f>IF(B53="","",IF(ISNA(VLOOKUP($B53,'B-1 Site Hedge Baseline'!$B$1:$L$257,6,FALSE)),"",(VLOOKUP($B53,'B-1 Site Hedge Baseline'!$B$1:$L$257,6,FALSE))))</f>
        <v/>
      </c>
      <c r="G53" s="520" t="str">
        <f>IF(B53="","",IF(ISNA(VLOOKUP($B53,'B-1 Site Hedge Baseline'!$B$1:$L$257,7,FALSE)),"",(VLOOKUP($B53,'B-1 Site Hedge Baseline'!$B$1:$L$257,7,FALSE))))</f>
        <v/>
      </c>
      <c r="H53" s="520" t="str">
        <f>IF(B53="","",IF(ISNA(VLOOKUP($B53,'B-1 Site Hedge Baseline'!$B$1:$L$257,8,FALSE)),"",(VLOOKUP($B53,'B-1 Site Hedge Baseline'!$B$1:$L$257,8,FALSE))))</f>
        <v/>
      </c>
      <c r="I53" s="520" t="str">
        <f>IF(B53="","",IF(ISNA(VLOOKUP($B53,'B-1 Site Hedge Baseline'!$B$1:$L$257,10,FALSE)),"",(VLOOKUP($B53,'B-1 Site Hedge Baseline'!$B$1:$L$257,10,FALSE))))</f>
        <v/>
      </c>
      <c r="J53" s="520" t="str">
        <f>IF(B53="","",IF(ISNA(VLOOKUP($B53,'B-1 Site Hedge Baseline'!$B$1:$L$257,11,FALSE)),"",(VLOOKUP($B53,'B-1 Site Hedge Baseline'!$B$1:$L$257,11,FALSE))))</f>
        <v/>
      </c>
      <c r="K53" s="520" t="str">
        <f>IF(B53="","",IF(ISNA(VLOOKUP($B53,'B-1 Site Hedge Baseline'!$B$1:$U$257,13,FALSE)),"",(VLOOKUP($B53,'B-1 Site Hedge Baseline'!$B$1:$U$257,13,FALSE))))</f>
        <v/>
      </c>
      <c r="L53" s="524" t="str">
        <f>IF(B53="","",IF(ISNA(VLOOKUP($B53,'B-1 Site Hedge Baseline'!$B$1:$U$257,12,FALSE)),"",(VLOOKUP($B53,'B-1 Site Hedge Baseline'!$B$1:$U$257,12,FALSE))))</f>
        <v/>
      </c>
      <c r="M53" s="416" t="str">
        <f t="shared" si="0"/>
        <v/>
      </c>
      <c r="N53" s="498" t="str">
        <f>IFERROR(IF(B53="","",INDEX('G-6 Hedgerow Data'!$AN$3:$AZ$15,MATCH(C53,'G-6 Hedgerow Data'!$AM$3:$AM$15,0),MATCH(M53,'G-6 Hedgerow Data'!$AN$2:$AZ$2,0))),"")</f>
        <v/>
      </c>
      <c r="O53" s="499" t="str">
        <f t="shared" si="2"/>
        <v/>
      </c>
      <c r="P53" s="559" t="str">
        <f>IF(B53="","",VLOOKUP(B53,'B-1 Site Hedge Baseline'!$B$10:T298,16,FALSE))</f>
        <v/>
      </c>
      <c r="Q53" s="498" t="str">
        <f>IF(M53="","",VLOOKUP(M53,'G-6 Hedgerow Data'!$B$2:$AG$15,2,FALSE))</f>
        <v/>
      </c>
      <c r="R53" s="499" t="str">
        <f>IF(M53="","",VLOOKUP(M53,'G-6 Hedgerow Data'!$B$2:$AG$15,3,FALSE))</f>
        <v/>
      </c>
      <c r="S53" s="157"/>
      <c r="T53" s="540" t="str">
        <f>IFERROR(VLOOKUP(S53,'G-1 All Habitats'!$Z$2:$AA$9,2,FALSE),"")</f>
        <v/>
      </c>
      <c r="U53" s="154"/>
      <c r="V53" s="520" t="str">
        <f>IF(U53="","",IF(VLOOKUP(U53,'G-3 Multipliers'!$L$3:$N$6,2,FALSE)=0,"Spatial Data Missing ⚠",VLOOKUP(U53,'G-3 Multipliers'!$L$3:$N$6,2,FALSE)))</f>
        <v/>
      </c>
      <c r="W53" s="524" t="str">
        <f>IF(U53="","",IF(VLOOKUP(U53,'G-3 Multipliers'!$L$3:$N$6,3,FALSE)=0,"Spatial Data Missing ⚠",VLOOKUP(U53,'G-3 Multipliers'!$L$3:$N$6,3,FALSE)))</f>
        <v/>
      </c>
      <c r="X53" s="498"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7" t="str">
        <f t="shared" si="3"/>
        <v/>
      </c>
      <c r="AB53" s="521" t="str">
        <f t="shared" si="4"/>
        <v/>
      </c>
      <c r="AC53" s="522" t="str">
        <f t="shared" si="1"/>
        <v/>
      </c>
      <c r="AD53" s="537" t="str">
        <f>IF(M53="","",VLOOKUP(M53,'G-6 Hedgerow Data'!$B$3:$AG$15,31,FALSE))</f>
        <v/>
      </c>
      <c r="AE53" s="507" t="str">
        <f t="shared" si="5"/>
        <v/>
      </c>
      <c r="AF53" s="507" t="str">
        <f t="shared" si="6"/>
        <v/>
      </c>
      <c r="AG53" s="524" t="str">
        <f>IFERROR(IF(O53="","",VLOOKUP(AD53,'G-3 Multipliers'!$P$3:$Q$6,2,FALSE)),"")</f>
        <v/>
      </c>
      <c r="AH53" s="513" t="str">
        <f t="shared" si="7"/>
        <v/>
      </c>
      <c r="AI53" s="231"/>
      <c r="AJ53" s="150"/>
      <c r="AT53" s="31" t="str">
        <f>IFERROR(INDEX('G-6 Hedgerow Data'!$BJ$3:$BJ$15,MATCH(M53,'G-6 Hedgerow Data'!$B$3:$B$15,0)),"")</f>
        <v/>
      </c>
    </row>
    <row r="54" spans="2:46" ht="13.8" x14ac:dyDescent="0.25">
      <c r="B54" s="531" t="str">
        <f>'B-1 Site Hedge Baseline'!AK52</f>
        <v/>
      </c>
      <c r="C54" s="520" t="str">
        <f>IF(B54="","",IF(ISNA(VLOOKUP($B54,'B-1 Site Hedge Baseline'!$B$1:$L$257,3,FALSE)),"",(VLOOKUP($B54,'B-1 Site Hedge Baseline'!$B$1:$L$257,3,FALSE))))</f>
        <v/>
      </c>
      <c r="D54" s="520" t="str">
        <f>IF(B54="","",IF(ISNA(VLOOKUP($B54,'B-1 Site Hedge Baseline'!$B$1:$L$257,4,FALSE)),"",(VLOOKUP($B54,'B-1 Site Hedge Baseline'!$B$1:$L$257,4,FALSE))))</f>
        <v/>
      </c>
      <c r="E54" s="520" t="str">
        <f>IF(B54="","",IF(ISNA(VLOOKUP($B54,'B-1 Site Hedge Baseline'!$B$1:$L$257,5,FALSE)),"",(VLOOKUP($B54,'B-1 Site Hedge Baseline'!$B$1:$L$257,5,FALSE))))</f>
        <v/>
      </c>
      <c r="F54" s="520" t="str">
        <f>IF(B54="","",IF(ISNA(VLOOKUP($B54,'B-1 Site Hedge Baseline'!$B$1:$L$257,6,FALSE)),"",(VLOOKUP($B54,'B-1 Site Hedge Baseline'!$B$1:$L$257,6,FALSE))))</f>
        <v/>
      </c>
      <c r="G54" s="520" t="str">
        <f>IF(B54="","",IF(ISNA(VLOOKUP($B54,'B-1 Site Hedge Baseline'!$B$1:$L$257,7,FALSE)),"",(VLOOKUP($B54,'B-1 Site Hedge Baseline'!$B$1:$L$257,7,FALSE))))</f>
        <v/>
      </c>
      <c r="H54" s="520" t="str">
        <f>IF(B54="","",IF(ISNA(VLOOKUP($B54,'B-1 Site Hedge Baseline'!$B$1:$L$257,8,FALSE)),"",(VLOOKUP($B54,'B-1 Site Hedge Baseline'!$B$1:$L$257,8,FALSE))))</f>
        <v/>
      </c>
      <c r="I54" s="520" t="str">
        <f>IF(B54="","",IF(ISNA(VLOOKUP($B54,'B-1 Site Hedge Baseline'!$B$1:$L$257,10,FALSE)),"",(VLOOKUP($B54,'B-1 Site Hedge Baseline'!$B$1:$L$257,10,FALSE))))</f>
        <v/>
      </c>
      <c r="J54" s="520" t="str">
        <f>IF(B54="","",IF(ISNA(VLOOKUP($B54,'B-1 Site Hedge Baseline'!$B$1:$L$257,11,FALSE)),"",(VLOOKUP($B54,'B-1 Site Hedge Baseline'!$B$1:$L$257,11,FALSE))))</f>
        <v/>
      </c>
      <c r="K54" s="520" t="str">
        <f>IF(B54="","",IF(ISNA(VLOOKUP($B54,'B-1 Site Hedge Baseline'!$B$1:$U$257,13,FALSE)),"",(VLOOKUP($B54,'B-1 Site Hedge Baseline'!$B$1:$U$257,13,FALSE))))</f>
        <v/>
      </c>
      <c r="L54" s="524" t="str">
        <f>IF(B54="","",IF(ISNA(VLOOKUP($B54,'B-1 Site Hedge Baseline'!$B$1:$U$257,12,FALSE)),"",(VLOOKUP($B54,'B-1 Site Hedge Baseline'!$B$1:$U$257,12,FALSE))))</f>
        <v/>
      </c>
      <c r="M54" s="416" t="str">
        <f t="shared" si="0"/>
        <v/>
      </c>
      <c r="N54" s="498" t="str">
        <f>IFERROR(IF(B54="","",INDEX('G-6 Hedgerow Data'!$AN$3:$AZ$15,MATCH(C54,'G-6 Hedgerow Data'!$AM$3:$AM$15,0),MATCH(M54,'G-6 Hedgerow Data'!$AN$2:$AZ$2,0))),"")</f>
        <v/>
      </c>
      <c r="O54" s="499" t="str">
        <f t="shared" si="2"/>
        <v/>
      </c>
      <c r="P54" s="559" t="str">
        <f>IF(B54="","",VLOOKUP(B54,'B-1 Site Hedge Baseline'!$B$10:T299,16,FALSE))</f>
        <v/>
      </c>
      <c r="Q54" s="498" t="str">
        <f>IF(M54="","",VLOOKUP(M54,'G-6 Hedgerow Data'!$B$2:$AG$15,2,FALSE))</f>
        <v/>
      </c>
      <c r="R54" s="499" t="str">
        <f>IF(M54="","",VLOOKUP(M54,'G-6 Hedgerow Data'!$B$2:$AG$15,3,FALSE))</f>
        <v/>
      </c>
      <c r="S54" s="157"/>
      <c r="T54" s="540" t="str">
        <f>IFERROR(VLOOKUP(S54,'G-1 All Habitats'!$Z$2:$AA$9,2,FALSE),"")</f>
        <v/>
      </c>
      <c r="U54" s="154"/>
      <c r="V54" s="520" t="str">
        <f>IF(U54="","",IF(VLOOKUP(U54,'G-3 Multipliers'!$L$3:$N$6,2,FALSE)=0,"Spatial Data Missing ⚠",VLOOKUP(U54,'G-3 Multipliers'!$L$3:$N$6,2,FALSE)))</f>
        <v/>
      </c>
      <c r="W54" s="524" t="str">
        <f>IF(U54="","",IF(VLOOKUP(U54,'G-3 Multipliers'!$L$3:$N$6,3,FALSE)=0,"Spatial Data Missing ⚠",VLOOKUP(U54,'G-3 Multipliers'!$L$3:$N$6,3,FALSE)))</f>
        <v/>
      </c>
      <c r="X54" s="498"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7" t="str">
        <f t="shared" si="3"/>
        <v/>
      </c>
      <c r="AB54" s="521" t="str">
        <f t="shared" si="4"/>
        <v/>
      </c>
      <c r="AC54" s="522" t="str">
        <f t="shared" si="1"/>
        <v/>
      </c>
      <c r="AD54" s="537" t="str">
        <f>IF(M54="","",VLOOKUP(M54,'G-6 Hedgerow Data'!$B$3:$AG$15,31,FALSE))</f>
        <v/>
      </c>
      <c r="AE54" s="507" t="str">
        <f t="shared" si="5"/>
        <v/>
      </c>
      <c r="AF54" s="507" t="str">
        <f t="shared" si="6"/>
        <v/>
      </c>
      <c r="AG54" s="524" t="str">
        <f>IFERROR(IF(O54="","",VLOOKUP(AD54,'G-3 Multipliers'!$P$3:$Q$6,2,FALSE)),"")</f>
        <v/>
      </c>
      <c r="AH54" s="513" t="str">
        <f t="shared" si="7"/>
        <v/>
      </c>
      <c r="AI54" s="231"/>
      <c r="AJ54" s="150"/>
      <c r="AT54" s="31" t="str">
        <f>IFERROR(INDEX('G-6 Hedgerow Data'!$BJ$3:$BJ$15,MATCH(M54,'G-6 Hedgerow Data'!$B$3:$B$15,0)),"")</f>
        <v/>
      </c>
    </row>
    <row r="55" spans="2:46" ht="13.8" x14ac:dyDescent="0.25">
      <c r="B55" s="531" t="str">
        <f>'B-1 Site Hedge Baseline'!AK53</f>
        <v/>
      </c>
      <c r="C55" s="520" t="str">
        <f>IF(B55="","",IF(ISNA(VLOOKUP($B55,'B-1 Site Hedge Baseline'!$B$1:$L$257,3,FALSE)),"",(VLOOKUP($B55,'B-1 Site Hedge Baseline'!$B$1:$L$257,3,FALSE))))</f>
        <v/>
      </c>
      <c r="D55" s="520" t="str">
        <f>IF(B55="","",IF(ISNA(VLOOKUP($B55,'B-1 Site Hedge Baseline'!$B$1:$L$257,4,FALSE)),"",(VLOOKUP($B55,'B-1 Site Hedge Baseline'!$B$1:$L$257,4,FALSE))))</f>
        <v/>
      </c>
      <c r="E55" s="520" t="str">
        <f>IF(B55="","",IF(ISNA(VLOOKUP($B55,'B-1 Site Hedge Baseline'!$B$1:$L$257,5,FALSE)),"",(VLOOKUP($B55,'B-1 Site Hedge Baseline'!$B$1:$L$257,5,FALSE))))</f>
        <v/>
      </c>
      <c r="F55" s="520" t="str">
        <f>IF(B55="","",IF(ISNA(VLOOKUP($B55,'B-1 Site Hedge Baseline'!$B$1:$L$257,6,FALSE)),"",(VLOOKUP($B55,'B-1 Site Hedge Baseline'!$B$1:$L$257,6,FALSE))))</f>
        <v/>
      </c>
      <c r="G55" s="520" t="str">
        <f>IF(B55="","",IF(ISNA(VLOOKUP($B55,'B-1 Site Hedge Baseline'!$B$1:$L$257,7,FALSE)),"",(VLOOKUP($B55,'B-1 Site Hedge Baseline'!$B$1:$L$257,7,FALSE))))</f>
        <v/>
      </c>
      <c r="H55" s="520" t="str">
        <f>IF(B55="","",IF(ISNA(VLOOKUP($B55,'B-1 Site Hedge Baseline'!$B$1:$L$257,8,FALSE)),"",(VLOOKUP($B55,'B-1 Site Hedge Baseline'!$B$1:$L$257,8,FALSE))))</f>
        <v/>
      </c>
      <c r="I55" s="520" t="str">
        <f>IF(B55="","",IF(ISNA(VLOOKUP($B55,'B-1 Site Hedge Baseline'!$B$1:$L$257,10,FALSE)),"",(VLOOKUP($B55,'B-1 Site Hedge Baseline'!$B$1:$L$257,10,FALSE))))</f>
        <v/>
      </c>
      <c r="J55" s="520" t="str">
        <f>IF(B55="","",IF(ISNA(VLOOKUP($B55,'B-1 Site Hedge Baseline'!$B$1:$L$257,11,FALSE)),"",(VLOOKUP($B55,'B-1 Site Hedge Baseline'!$B$1:$L$257,11,FALSE))))</f>
        <v/>
      </c>
      <c r="K55" s="520" t="str">
        <f>IF(B55="","",IF(ISNA(VLOOKUP($B55,'B-1 Site Hedge Baseline'!$B$1:$U$257,13,FALSE)),"",(VLOOKUP($B55,'B-1 Site Hedge Baseline'!$B$1:$U$257,13,FALSE))))</f>
        <v/>
      </c>
      <c r="L55" s="524" t="str">
        <f>IF(B55="","",IF(ISNA(VLOOKUP($B55,'B-1 Site Hedge Baseline'!$B$1:$U$257,12,FALSE)),"",(VLOOKUP($B55,'B-1 Site Hedge Baseline'!$B$1:$U$257,12,FALSE))))</f>
        <v/>
      </c>
      <c r="M55" s="416" t="str">
        <f t="shared" si="0"/>
        <v/>
      </c>
      <c r="N55" s="498" t="str">
        <f>IFERROR(IF(B55="","",INDEX('G-6 Hedgerow Data'!$AN$3:$AZ$15,MATCH(C55,'G-6 Hedgerow Data'!$AM$3:$AM$15,0),MATCH(M55,'G-6 Hedgerow Data'!$AN$2:$AZ$2,0))),"")</f>
        <v/>
      </c>
      <c r="O55" s="499" t="str">
        <f t="shared" si="2"/>
        <v/>
      </c>
      <c r="P55" s="559" t="str">
        <f>IF(B55="","",VLOOKUP(B55,'B-1 Site Hedge Baseline'!$B$10:T300,16,FALSE))</f>
        <v/>
      </c>
      <c r="Q55" s="498" t="str">
        <f>IF(M55="","",VLOOKUP(M55,'G-6 Hedgerow Data'!$B$2:$AG$15,2,FALSE))</f>
        <v/>
      </c>
      <c r="R55" s="499" t="str">
        <f>IF(M55="","",VLOOKUP(M55,'G-6 Hedgerow Data'!$B$2:$AG$15,3,FALSE))</f>
        <v/>
      </c>
      <c r="S55" s="157"/>
      <c r="T55" s="540" t="str">
        <f>IFERROR(VLOOKUP(S55,'G-1 All Habitats'!$Z$2:$AA$9,2,FALSE),"")</f>
        <v/>
      </c>
      <c r="U55" s="154"/>
      <c r="V55" s="520" t="str">
        <f>IF(U55="","",IF(VLOOKUP(U55,'G-3 Multipliers'!$L$3:$N$6,2,FALSE)=0,"Spatial Data Missing ⚠",VLOOKUP(U55,'G-3 Multipliers'!$L$3:$N$6,2,FALSE)))</f>
        <v/>
      </c>
      <c r="W55" s="524" t="str">
        <f>IF(U55="","",IF(VLOOKUP(U55,'G-3 Multipliers'!$L$3:$N$6,3,FALSE)=0,"Spatial Data Missing ⚠",VLOOKUP(U55,'G-3 Multipliers'!$L$3:$N$6,3,FALSE)))</f>
        <v/>
      </c>
      <c r="X55" s="498"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7" t="str">
        <f t="shared" si="3"/>
        <v/>
      </c>
      <c r="AB55" s="521" t="str">
        <f t="shared" si="4"/>
        <v/>
      </c>
      <c r="AC55" s="522" t="str">
        <f t="shared" si="1"/>
        <v/>
      </c>
      <c r="AD55" s="537" t="str">
        <f>IF(M55="","",VLOOKUP(M55,'G-6 Hedgerow Data'!$B$3:$AG$15,31,FALSE))</f>
        <v/>
      </c>
      <c r="AE55" s="507" t="str">
        <f t="shared" si="5"/>
        <v/>
      </c>
      <c r="AF55" s="507" t="str">
        <f t="shared" si="6"/>
        <v/>
      </c>
      <c r="AG55" s="524" t="str">
        <f>IFERROR(IF(O55="","",VLOOKUP(AD55,'G-3 Multipliers'!$P$3:$Q$6,2,FALSE)),"")</f>
        <v/>
      </c>
      <c r="AH55" s="513" t="str">
        <f t="shared" si="7"/>
        <v/>
      </c>
      <c r="AI55" s="231"/>
      <c r="AJ55" s="150"/>
      <c r="AT55" s="31" t="str">
        <f>IFERROR(INDEX('G-6 Hedgerow Data'!$BJ$3:$BJ$15,MATCH(M55,'G-6 Hedgerow Data'!$B$3:$B$15,0)),"")</f>
        <v/>
      </c>
    </row>
    <row r="56" spans="2:46" ht="13.8" x14ac:dyDescent="0.25">
      <c r="B56" s="531" t="str">
        <f>'B-1 Site Hedge Baseline'!AK54</f>
        <v/>
      </c>
      <c r="C56" s="520" t="str">
        <f>IF(B56="","",IF(ISNA(VLOOKUP($B56,'B-1 Site Hedge Baseline'!$B$1:$L$257,3,FALSE)),"",(VLOOKUP($B56,'B-1 Site Hedge Baseline'!$B$1:$L$257,3,FALSE))))</f>
        <v/>
      </c>
      <c r="D56" s="520" t="str">
        <f>IF(B56="","",IF(ISNA(VLOOKUP($B56,'B-1 Site Hedge Baseline'!$B$1:$L$257,4,FALSE)),"",(VLOOKUP($B56,'B-1 Site Hedge Baseline'!$B$1:$L$257,4,FALSE))))</f>
        <v/>
      </c>
      <c r="E56" s="520" t="str">
        <f>IF(B56="","",IF(ISNA(VLOOKUP($B56,'B-1 Site Hedge Baseline'!$B$1:$L$257,5,FALSE)),"",(VLOOKUP($B56,'B-1 Site Hedge Baseline'!$B$1:$L$257,5,FALSE))))</f>
        <v/>
      </c>
      <c r="F56" s="520" t="str">
        <f>IF(B56="","",IF(ISNA(VLOOKUP($B56,'B-1 Site Hedge Baseline'!$B$1:$L$257,6,FALSE)),"",(VLOOKUP($B56,'B-1 Site Hedge Baseline'!$B$1:$L$257,6,FALSE))))</f>
        <v/>
      </c>
      <c r="G56" s="520" t="str">
        <f>IF(B56="","",IF(ISNA(VLOOKUP($B56,'B-1 Site Hedge Baseline'!$B$1:$L$257,7,FALSE)),"",(VLOOKUP($B56,'B-1 Site Hedge Baseline'!$B$1:$L$257,7,FALSE))))</f>
        <v/>
      </c>
      <c r="H56" s="520" t="str">
        <f>IF(B56="","",IF(ISNA(VLOOKUP($B56,'B-1 Site Hedge Baseline'!$B$1:$L$257,8,FALSE)),"",(VLOOKUP($B56,'B-1 Site Hedge Baseline'!$B$1:$L$257,8,FALSE))))</f>
        <v/>
      </c>
      <c r="I56" s="520" t="str">
        <f>IF(B56="","",IF(ISNA(VLOOKUP($B56,'B-1 Site Hedge Baseline'!$B$1:$L$257,10,FALSE)),"",(VLOOKUP($B56,'B-1 Site Hedge Baseline'!$B$1:$L$257,10,FALSE))))</f>
        <v/>
      </c>
      <c r="J56" s="520" t="str">
        <f>IF(B56="","",IF(ISNA(VLOOKUP($B56,'B-1 Site Hedge Baseline'!$B$1:$L$257,11,FALSE)),"",(VLOOKUP($B56,'B-1 Site Hedge Baseline'!$B$1:$L$257,11,FALSE))))</f>
        <v/>
      </c>
      <c r="K56" s="520" t="str">
        <f>IF(B56="","",IF(ISNA(VLOOKUP($B56,'B-1 Site Hedge Baseline'!$B$1:$U$257,13,FALSE)),"",(VLOOKUP($B56,'B-1 Site Hedge Baseline'!$B$1:$U$257,13,FALSE))))</f>
        <v/>
      </c>
      <c r="L56" s="524" t="str">
        <f>IF(B56="","",IF(ISNA(VLOOKUP($B56,'B-1 Site Hedge Baseline'!$B$1:$U$257,12,FALSE)),"",(VLOOKUP($B56,'B-1 Site Hedge Baseline'!$B$1:$U$257,12,FALSE))))</f>
        <v/>
      </c>
      <c r="M56" s="416" t="str">
        <f t="shared" si="0"/>
        <v/>
      </c>
      <c r="N56" s="498" t="str">
        <f>IFERROR(IF(B56="","",INDEX('G-6 Hedgerow Data'!$AN$3:$AZ$15,MATCH(C56,'G-6 Hedgerow Data'!$AM$3:$AM$15,0),MATCH(M56,'G-6 Hedgerow Data'!$AN$2:$AZ$2,0))),"")</f>
        <v/>
      </c>
      <c r="O56" s="499" t="str">
        <f t="shared" si="2"/>
        <v/>
      </c>
      <c r="P56" s="559" t="str">
        <f>IF(B56="","",VLOOKUP(B56,'B-1 Site Hedge Baseline'!$B$10:T301,16,FALSE))</f>
        <v/>
      </c>
      <c r="Q56" s="498" t="str">
        <f>IF(M56="","",VLOOKUP(M56,'G-6 Hedgerow Data'!$B$2:$AG$15,2,FALSE))</f>
        <v/>
      </c>
      <c r="R56" s="499" t="str">
        <f>IF(M56="","",VLOOKUP(M56,'G-6 Hedgerow Data'!$B$2:$AG$15,3,FALSE))</f>
        <v/>
      </c>
      <c r="S56" s="157"/>
      <c r="T56" s="540" t="str">
        <f>IFERROR(VLOOKUP(S56,'G-1 All Habitats'!$Z$2:$AA$9,2,FALSE),"")</f>
        <v/>
      </c>
      <c r="U56" s="154"/>
      <c r="V56" s="520" t="str">
        <f>IF(U56="","",IF(VLOOKUP(U56,'G-3 Multipliers'!$L$3:$N$6,2,FALSE)=0,"Spatial Data Missing ⚠",VLOOKUP(U56,'G-3 Multipliers'!$L$3:$N$6,2,FALSE)))</f>
        <v/>
      </c>
      <c r="W56" s="524" t="str">
        <f>IF(U56="","",IF(VLOOKUP(U56,'G-3 Multipliers'!$L$3:$N$6,3,FALSE)=0,"Spatial Data Missing ⚠",VLOOKUP(U56,'G-3 Multipliers'!$L$3:$N$6,3,FALSE)))</f>
        <v/>
      </c>
      <c r="X56" s="498"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7" t="str">
        <f t="shared" si="3"/>
        <v/>
      </c>
      <c r="AB56" s="521" t="str">
        <f t="shared" si="4"/>
        <v/>
      </c>
      <c r="AC56" s="522" t="str">
        <f t="shared" si="1"/>
        <v/>
      </c>
      <c r="AD56" s="537" t="str">
        <f>IF(M56="","",VLOOKUP(M56,'G-6 Hedgerow Data'!$B$3:$AG$15,31,FALSE))</f>
        <v/>
      </c>
      <c r="AE56" s="507" t="str">
        <f t="shared" si="5"/>
        <v/>
      </c>
      <c r="AF56" s="507" t="str">
        <f t="shared" si="6"/>
        <v/>
      </c>
      <c r="AG56" s="524" t="str">
        <f>IFERROR(IF(O56="","",VLOOKUP(AD56,'G-3 Multipliers'!$P$3:$Q$6,2,FALSE)),"")</f>
        <v/>
      </c>
      <c r="AH56" s="513" t="str">
        <f t="shared" si="7"/>
        <v/>
      </c>
      <c r="AI56" s="231"/>
      <c r="AJ56" s="150"/>
      <c r="AT56" s="31" t="str">
        <f>IFERROR(INDEX('G-6 Hedgerow Data'!$BJ$3:$BJ$15,MATCH(M56,'G-6 Hedgerow Data'!$B$3:$B$15,0)),"")</f>
        <v/>
      </c>
    </row>
    <row r="57" spans="2:46" ht="13.8" x14ac:dyDescent="0.25">
      <c r="B57" s="531" t="str">
        <f>'B-1 Site Hedge Baseline'!AK55</f>
        <v/>
      </c>
      <c r="C57" s="520" t="str">
        <f>IF(B57="","",IF(ISNA(VLOOKUP($B57,'B-1 Site Hedge Baseline'!$B$1:$L$257,3,FALSE)),"",(VLOOKUP($B57,'B-1 Site Hedge Baseline'!$B$1:$L$257,3,FALSE))))</f>
        <v/>
      </c>
      <c r="D57" s="520" t="str">
        <f>IF(B57="","",IF(ISNA(VLOOKUP($B57,'B-1 Site Hedge Baseline'!$B$1:$L$257,4,FALSE)),"",(VLOOKUP($B57,'B-1 Site Hedge Baseline'!$B$1:$L$257,4,FALSE))))</f>
        <v/>
      </c>
      <c r="E57" s="520" t="str">
        <f>IF(B57="","",IF(ISNA(VLOOKUP($B57,'B-1 Site Hedge Baseline'!$B$1:$L$257,5,FALSE)),"",(VLOOKUP($B57,'B-1 Site Hedge Baseline'!$B$1:$L$257,5,FALSE))))</f>
        <v/>
      </c>
      <c r="F57" s="520" t="str">
        <f>IF(B57="","",IF(ISNA(VLOOKUP($B57,'B-1 Site Hedge Baseline'!$B$1:$L$257,6,FALSE)),"",(VLOOKUP($B57,'B-1 Site Hedge Baseline'!$B$1:$L$257,6,FALSE))))</f>
        <v/>
      </c>
      <c r="G57" s="520" t="str">
        <f>IF(B57="","",IF(ISNA(VLOOKUP($B57,'B-1 Site Hedge Baseline'!$B$1:$L$257,7,FALSE)),"",(VLOOKUP($B57,'B-1 Site Hedge Baseline'!$B$1:$L$257,7,FALSE))))</f>
        <v/>
      </c>
      <c r="H57" s="520" t="str">
        <f>IF(B57="","",IF(ISNA(VLOOKUP($B57,'B-1 Site Hedge Baseline'!$B$1:$L$257,8,FALSE)),"",(VLOOKUP($B57,'B-1 Site Hedge Baseline'!$B$1:$L$257,8,FALSE))))</f>
        <v/>
      </c>
      <c r="I57" s="520" t="str">
        <f>IF(B57="","",IF(ISNA(VLOOKUP($B57,'B-1 Site Hedge Baseline'!$B$1:$L$257,10,FALSE)),"",(VLOOKUP($B57,'B-1 Site Hedge Baseline'!$B$1:$L$257,10,FALSE))))</f>
        <v/>
      </c>
      <c r="J57" s="520" t="str">
        <f>IF(B57="","",IF(ISNA(VLOOKUP($B57,'B-1 Site Hedge Baseline'!$B$1:$L$257,11,FALSE)),"",(VLOOKUP($B57,'B-1 Site Hedge Baseline'!$B$1:$L$257,11,FALSE))))</f>
        <v/>
      </c>
      <c r="K57" s="520" t="str">
        <f>IF(B57="","",IF(ISNA(VLOOKUP($B57,'B-1 Site Hedge Baseline'!$B$1:$U$257,13,FALSE)),"",(VLOOKUP($B57,'B-1 Site Hedge Baseline'!$B$1:$U$257,13,FALSE))))</f>
        <v/>
      </c>
      <c r="L57" s="524" t="str">
        <f>IF(B57="","",IF(ISNA(VLOOKUP($B57,'B-1 Site Hedge Baseline'!$B$1:$U$257,12,FALSE)),"",(VLOOKUP($B57,'B-1 Site Hedge Baseline'!$B$1:$U$257,12,FALSE))))</f>
        <v/>
      </c>
      <c r="M57" s="416" t="str">
        <f t="shared" si="0"/>
        <v/>
      </c>
      <c r="N57" s="498" t="str">
        <f>IFERROR(IF(B57="","",INDEX('G-6 Hedgerow Data'!$AN$3:$AZ$15,MATCH(C57,'G-6 Hedgerow Data'!$AM$3:$AM$15,0),MATCH(M57,'G-6 Hedgerow Data'!$AN$2:$AZ$2,0))),"")</f>
        <v/>
      </c>
      <c r="O57" s="499" t="str">
        <f t="shared" si="2"/>
        <v/>
      </c>
      <c r="P57" s="559" t="str">
        <f>IF(B57="","",VLOOKUP(B57,'B-1 Site Hedge Baseline'!$B$10:T302,16,FALSE))</f>
        <v/>
      </c>
      <c r="Q57" s="498" t="str">
        <f>IF(M57="","",VLOOKUP(M57,'G-6 Hedgerow Data'!$B$2:$AG$15,2,FALSE))</f>
        <v/>
      </c>
      <c r="R57" s="499" t="str">
        <f>IF(M57="","",VLOOKUP(M57,'G-6 Hedgerow Data'!$B$2:$AG$15,3,FALSE))</f>
        <v/>
      </c>
      <c r="S57" s="157"/>
      <c r="T57" s="540" t="str">
        <f>IFERROR(VLOOKUP(S57,'G-1 All Habitats'!$Z$2:$AA$9,2,FALSE),"")</f>
        <v/>
      </c>
      <c r="U57" s="154"/>
      <c r="V57" s="520" t="str">
        <f>IF(U57="","",IF(VLOOKUP(U57,'G-3 Multipliers'!$L$3:$N$6,2,FALSE)=0,"Spatial Data Missing ⚠",VLOOKUP(U57,'G-3 Multipliers'!$L$3:$N$6,2,FALSE)))</f>
        <v/>
      </c>
      <c r="W57" s="524" t="str">
        <f>IF(U57="","",IF(VLOOKUP(U57,'G-3 Multipliers'!$L$3:$N$6,3,FALSE)=0,"Spatial Data Missing ⚠",VLOOKUP(U57,'G-3 Multipliers'!$L$3:$N$6,3,FALSE)))</f>
        <v/>
      </c>
      <c r="X57" s="498"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7" t="str">
        <f t="shared" si="3"/>
        <v/>
      </c>
      <c r="AB57" s="521" t="str">
        <f t="shared" si="4"/>
        <v/>
      </c>
      <c r="AC57" s="522" t="str">
        <f t="shared" si="1"/>
        <v/>
      </c>
      <c r="AD57" s="537" t="str">
        <f>IF(M57="","",VLOOKUP(M57,'G-6 Hedgerow Data'!$B$3:$AG$15,31,FALSE))</f>
        <v/>
      </c>
      <c r="AE57" s="507" t="str">
        <f t="shared" si="5"/>
        <v/>
      </c>
      <c r="AF57" s="507" t="str">
        <f t="shared" si="6"/>
        <v/>
      </c>
      <c r="AG57" s="524" t="str">
        <f>IFERROR(IF(O57="","",VLOOKUP(AD57,'G-3 Multipliers'!$P$3:$Q$6,2,FALSE)),"")</f>
        <v/>
      </c>
      <c r="AH57" s="513" t="str">
        <f t="shared" si="7"/>
        <v/>
      </c>
      <c r="AI57" s="231"/>
      <c r="AJ57" s="150"/>
      <c r="AT57" s="31" t="str">
        <f>IFERROR(INDEX('G-6 Hedgerow Data'!$BJ$3:$BJ$15,MATCH(M57,'G-6 Hedgerow Data'!$B$3:$B$15,0)),"")</f>
        <v/>
      </c>
    </row>
    <row r="58" spans="2:46" ht="13.8" x14ac:dyDescent="0.25">
      <c r="B58" s="531" t="str">
        <f>'B-1 Site Hedge Baseline'!AK56</f>
        <v/>
      </c>
      <c r="C58" s="520" t="str">
        <f>IF(B58="","",IF(ISNA(VLOOKUP($B58,'B-1 Site Hedge Baseline'!$B$1:$L$257,3,FALSE)),"",(VLOOKUP($B58,'B-1 Site Hedge Baseline'!$B$1:$L$257,3,FALSE))))</f>
        <v/>
      </c>
      <c r="D58" s="520" t="str">
        <f>IF(B58="","",IF(ISNA(VLOOKUP($B58,'B-1 Site Hedge Baseline'!$B$1:$L$257,4,FALSE)),"",(VLOOKUP($B58,'B-1 Site Hedge Baseline'!$B$1:$L$257,4,FALSE))))</f>
        <v/>
      </c>
      <c r="E58" s="520" t="str">
        <f>IF(B58="","",IF(ISNA(VLOOKUP($B58,'B-1 Site Hedge Baseline'!$B$1:$L$257,5,FALSE)),"",(VLOOKUP($B58,'B-1 Site Hedge Baseline'!$B$1:$L$257,5,FALSE))))</f>
        <v/>
      </c>
      <c r="F58" s="520" t="str">
        <f>IF(B58="","",IF(ISNA(VLOOKUP($B58,'B-1 Site Hedge Baseline'!$B$1:$L$257,6,FALSE)),"",(VLOOKUP($B58,'B-1 Site Hedge Baseline'!$B$1:$L$257,6,FALSE))))</f>
        <v/>
      </c>
      <c r="G58" s="520" t="str">
        <f>IF(B58="","",IF(ISNA(VLOOKUP($B58,'B-1 Site Hedge Baseline'!$B$1:$L$257,7,FALSE)),"",(VLOOKUP($B58,'B-1 Site Hedge Baseline'!$B$1:$L$257,7,FALSE))))</f>
        <v/>
      </c>
      <c r="H58" s="520" t="str">
        <f>IF(B58="","",IF(ISNA(VLOOKUP($B58,'B-1 Site Hedge Baseline'!$B$1:$L$257,8,FALSE)),"",(VLOOKUP($B58,'B-1 Site Hedge Baseline'!$B$1:$L$257,8,FALSE))))</f>
        <v/>
      </c>
      <c r="I58" s="520" t="str">
        <f>IF(B58="","",IF(ISNA(VLOOKUP($B58,'B-1 Site Hedge Baseline'!$B$1:$L$257,10,FALSE)),"",(VLOOKUP($B58,'B-1 Site Hedge Baseline'!$B$1:$L$257,10,FALSE))))</f>
        <v/>
      </c>
      <c r="J58" s="520" t="str">
        <f>IF(B58="","",IF(ISNA(VLOOKUP($B58,'B-1 Site Hedge Baseline'!$B$1:$L$257,11,FALSE)),"",(VLOOKUP($B58,'B-1 Site Hedge Baseline'!$B$1:$L$257,11,FALSE))))</f>
        <v/>
      </c>
      <c r="K58" s="520" t="str">
        <f>IF(B58="","",IF(ISNA(VLOOKUP($B58,'B-1 Site Hedge Baseline'!$B$1:$U$257,13,FALSE)),"",(VLOOKUP($B58,'B-1 Site Hedge Baseline'!$B$1:$U$257,13,FALSE))))</f>
        <v/>
      </c>
      <c r="L58" s="524" t="str">
        <f>IF(B58="","",IF(ISNA(VLOOKUP($B58,'B-1 Site Hedge Baseline'!$B$1:$U$257,12,FALSE)),"",(VLOOKUP($B58,'B-1 Site Hedge Baseline'!$B$1:$U$257,12,FALSE))))</f>
        <v/>
      </c>
      <c r="M58" s="416" t="str">
        <f t="shared" si="0"/>
        <v/>
      </c>
      <c r="N58" s="498" t="str">
        <f>IFERROR(IF(B58="","",INDEX('G-6 Hedgerow Data'!$AN$3:$AZ$15,MATCH(C58,'G-6 Hedgerow Data'!$AM$3:$AM$15,0),MATCH(M58,'G-6 Hedgerow Data'!$AN$2:$AZ$2,0))),"")</f>
        <v/>
      </c>
      <c r="O58" s="499" t="str">
        <f t="shared" si="2"/>
        <v/>
      </c>
      <c r="P58" s="559" t="str">
        <f>IF(B58="","",VLOOKUP(B58,'B-1 Site Hedge Baseline'!$B$10:T303,16,FALSE))</f>
        <v/>
      </c>
      <c r="Q58" s="498" t="str">
        <f>IF(M58="","",VLOOKUP(M58,'G-6 Hedgerow Data'!$B$2:$AG$15,2,FALSE))</f>
        <v/>
      </c>
      <c r="R58" s="499" t="str">
        <f>IF(M58="","",VLOOKUP(M58,'G-6 Hedgerow Data'!$B$2:$AG$15,3,FALSE))</f>
        <v/>
      </c>
      <c r="S58" s="157"/>
      <c r="T58" s="540" t="str">
        <f>IFERROR(VLOOKUP(S58,'G-1 All Habitats'!$Z$2:$AA$9,2,FALSE),"")</f>
        <v/>
      </c>
      <c r="U58" s="154"/>
      <c r="V58" s="520" t="str">
        <f>IF(U58="","",IF(VLOOKUP(U58,'G-3 Multipliers'!$L$3:$N$6,2,FALSE)=0,"Spatial Data Missing ⚠",VLOOKUP(U58,'G-3 Multipliers'!$L$3:$N$6,2,FALSE)))</f>
        <v/>
      </c>
      <c r="W58" s="524" t="str">
        <f>IF(U58="","",IF(VLOOKUP(U58,'G-3 Multipliers'!$L$3:$N$6,3,FALSE)=0,"Spatial Data Missing ⚠",VLOOKUP(U58,'G-3 Multipliers'!$L$3:$N$6,3,FALSE)))</f>
        <v/>
      </c>
      <c r="X58" s="498"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7" t="str">
        <f t="shared" si="3"/>
        <v/>
      </c>
      <c r="AB58" s="521" t="str">
        <f t="shared" si="4"/>
        <v/>
      </c>
      <c r="AC58" s="522" t="str">
        <f t="shared" si="1"/>
        <v/>
      </c>
      <c r="AD58" s="537" t="str">
        <f>IF(M58="","",VLOOKUP(M58,'G-6 Hedgerow Data'!$B$3:$AG$15,31,FALSE))</f>
        <v/>
      </c>
      <c r="AE58" s="507" t="str">
        <f t="shared" si="5"/>
        <v/>
      </c>
      <c r="AF58" s="507" t="str">
        <f t="shared" si="6"/>
        <v/>
      </c>
      <c r="AG58" s="524" t="str">
        <f>IFERROR(IF(O58="","",VLOOKUP(AD58,'G-3 Multipliers'!$P$3:$Q$6,2,FALSE)),"")</f>
        <v/>
      </c>
      <c r="AH58" s="513" t="str">
        <f t="shared" si="7"/>
        <v/>
      </c>
      <c r="AI58" s="231"/>
      <c r="AJ58" s="150"/>
      <c r="AT58" s="31" t="str">
        <f>IFERROR(INDEX('G-6 Hedgerow Data'!$BJ$3:$BJ$15,MATCH(M58,'G-6 Hedgerow Data'!$B$3:$B$15,0)),"")</f>
        <v/>
      </c>
    </row>
    <row r="59" spans="2:46" ht="13.8" x14ac:dyDescent="0.25">
      <c r="B59" s="531" t="str">
        <f>'B-1 Site Hedge Baseline'!AK57</f>
        <v/>
      </c>
      <c r="C59" s="520" t="str">
        <f>IF(B59="","",IF(ISNA(VLOOKUP($B59,'B-1 Site Hedge Baseline'!$B$1:$L$257,3,FALSE)),"",(VLOOKUP($B59,'B-1 Site Hedge Baseline'!$B$1:$L$257,3,FALSE))))</f>
        <v/>
      </c>
      <c r="D59" s="520" t="str">
        <f>IF(B59="","",IF(ISNA(VLOOKUP($B59,'B-1 Site Hedge Baseline'!$B$1:$L$257,4,FALSE)),"",(VLOOKUP($B59,'B-1 Site Hedge Baseline'!$B$1:$L$257,4,FALSE))))</f>
        <v/>
      </c>
      <c r="E59" s="520" t="str">
        <f>IF(B59="","",IF(ISNA(VLOOKUP($B59,'B-1 Site Hedge Baseline'!$B$1:$L$257,5,FALSE)),"",(VLOOKUP($B59,'B-1 Site Hedge Baseline'!$B$1:$L$257,5,FALSE))))</f>
        <v/>
      </c>
      <c r="F59" s="520" t="str">
        <f>IF(B59="","",IF(ISNA(VLOOKUP($B59,'B-1 Site Hedge Baseline'!$B$1:$L$257,6,FALSE)),"",(VLOOKUP($B59,'B-1 Site Hedge Baseline'!$B$1:$L$257,6,FALSE))))</f>
        <v/>
      </c>
      <c r="G59" s="520" t="str">
        <f>IF(B59="","",IF(ISNA(VLOOKUP($B59,'B-1 Site Hedge Baseline'!$B$1:$L$257,7,FALSE)),"",(VLOOKUP($B59,'B-1 Site Hedge Baseline'!$B$1:$L$257,7,FALSE))))</f>
        <v/>
      </c>
      <c r="H59" s="520" t="str">
        <f>IF(B59="","",IF(ISNA(VLOOKUP($B59,'B-1 Site Hedge Baseline'!$B$1:$L$257,8,FALSE)),"",(VLOOKUP($B59,'B-1 Site Hedge Baseline'!$B$1:$L$257,8,FALSE))))</f>
        <v/>
      </c>
      <c r="I59" s="520" t="str">
        <f>IF(B59="","",IF(ISNA(VLOOKUP($B59,'B-1 Site Hedge Baseline'!$B$1:$L$257,10,FALSE)),"",(VLOOKUP($B59,'B-1 Site Hedge Baseline'!$B$1:$L$257,10,FALSE))))</f>
        <v/>
      </c>
      <c r="J59" s="520" t="str">
        <f>IF(B59="","",IF(ISNA(VLOOKUP($B59,'B-1 Site Hedge Baseline'!$B$1:$L$257,11,FALSE)),"",(VLOOKUP($B59,'B-1 Site Hedge Baseline'!$B$1:$L$257,11,FALSE))))</f>
        <v/>
      </c>
      <c r="K59" s="520" t="str">
        <f>IF(B59="","",IF(ISNA(VLOOKUP($B59,'B-1 Site Hedge Baseline'!$B$1:$U$257,13,FALSE)),"",(VLOOKUP($B59,'B-1 Site Hedge Baseline'!$B$1:$U$257,13,FALSE))))</f>
        <v/>
      </c>
      <c r="L59" s="524" t="str">
        <f>IF(B59="","",IF(ISNA(VLOOKUP($B59,'B-1 Site Hedge Baseline'!$B$1:$U$257,12,FALSE)),"",(VLOOKUP($B59,'B-1 Site Hedge Baseline'!$B$1:$U$257,12,FALSE))))</f>
        <v/>
      </c>
      <c r="M59" s="416" t="str">
        <f t="shared" si="0"/>
        <v/>
      </c>
      <c r="N59" s="498" t="str">
        <f>IFERROR(IF(B59="","",INDEX('G-6 Hedgerow Data'!$AN$3:$AZ$15,MATCH(C59,'G-6 Hedgerow Data'!$AM$3:$AM$15,0),MATCH(M59,'G-6 Hedgerow Data'!$AN$2:$AZ$2,0))),"")</f>
        <v/>
      </c>
      <c r="O59" s="499" t="str">
        <f t="shared" si="2"/>
        <v/>
      </c>
      <c r="P59" s="559" t="str">
        <f>IF(B59="","",VLOOKUP(B59,'B-1 Site Hedge Baseline'!$B$10:T304,16,FALSE))</f>
        <v/>
      </c>
      <c r="Q59" s="498" t="str">
        <f>IF(M59="","",VLOOKUP(M59,'G-6 Hedgerow Data'!$B$2:$AG$15,2,FALSE))</f>
        <v/>
      </c>
      <c r="R59" s="499" t="str">
        <f>IF(M59="","",VLOOKUP(M59,'G-6 Hedgerow Data'!$B$2:$AG$15,3,FALSE))</f>
        <v/>
      </c>
      <c r="S59" s="157"/>
      <c r="T59" s="540" t="str">
        <f>IFERROR(VLOOKUP(S59,'G-1 All Habitats'!$Z$2:$AA$9,2,FALSE),"")</f>
        <v/>
      </c>
      <c r="U59" s="154"/>
      <c r="V59" s="520" t="str">
        <f>IF(U59="","",IF(VLOOKUP(U59,'G-3 Multipliers'!$L$3:$N$6,2,FALSE)=0,"Spatial Data Missing ⚠",VLOOKUP(U59,'G-3 Multipliers'!$L$3:$N$6,2,FALSE)))</f>
        <v/>
      </c>
      <c r="W59" s="524" t="str">
        <f>IF(U59="","",IF(VLOOKUP(U59,'G-3 Multipliers'!$L$3:$N$6,3,FALSE)=0,"Spatial Data Missing ⚠",VLOOKUP(U59,'G-3 Multipliers'!$L$3:$N$6,3,FALSE)))</f>
        <v/>
      </c>
      <c r="X59" s="498"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7" t="str">
        <f t="shared" si="3"/>
        <v/>
      </c>
      <c r="AB59" s="521" t="str">
        <f t="shared" si="4"/>
        <v/>
      </c>
      <c r="AC59" s="522" t="str">
        <f t="shared" si="1"/>
        <v/>
      </c>
      <c r="AD59" s="537" t="str">
        <f>IF(M59="","",VLOOKUP(M59,'G-6 Hedgerow Data'!$B$3:$AG$15,31,FALSE))</f>
        <v/>
      </c>
      <c r="AE59" s="507" t="str">
        <f t="shared" si="5"/>
        <v/>
      </c>
      <c r="AF59" s="507" t="str">
        <f t="shared" si="6"/>
        <v/>
      </c>
      <c r="AG59" s="524" t="str">
        <f>IFERROR(IF(O59="","",VLOOKUP(AD59,'G-3 Multipliers'!$P$3:$Q$6,2,FALSE)),"")</f>
        <v/>
      </c>
      <c r="AH59" s="513" t="str">
        <f t="shared" si="7"/>
        <v/>
      </c>
      <c r="AI59" s="231"/>
      <c r="AJ59" s="150"/>
      <c r="AT59" s="31" t="str">
        <f>IFERROR(INDEX('G-6 Hedgerow Data'!$BJ$3:$BJ$15,MATCH(M59,'G-6 Hedgerow Data'!$B$3:$B$15,0)),"")</f>
        <v/>
      </c>
    </row>
    <row r="60" spans="2:46" ht="13.8" x14ac:dyDescent="0.25">
      <c r="B60" s="531" t="str">
        <f>'B-1 Site Hedge Baseline'!AK58</f>
        <v/>
      </c>
      <c r="C60" s="520" t="str">
        <f>IF(B60="","",IF(ISNA(VLOOKUP($B60,'B-1 Site Hedge Baseline'!$B$1:$L$257,3,FALSE)),"",(VLOOKUP($B60,'B-1 Site Hedge Baseline'!$B$1:$L$257,3,FALSE))))</f>
        <v/>
      </c>
      <c r="D60" s="520" t="str">
        <f>IF(B60="","",IF(ISNA(VLOOKUP($B60,'B-1 Site Hedge Baseline'!$B$1:$L$257,4,FALSE)),"",(VLOOKUP($B60,'B-1 Site Hedge Baseline'!$B$1:$L$257,4,FALSE))))</f>
        <v/>
      </c>
      <c r="E60" s="520" t="str">
        <f>IF(B60="","",IF(ISNA(VLOOKUP($B60,'B-1 Site Hedge Baseline'!$B$1:$L$257,5,FALSE)),"",(VLOOKUP($B60,'B-1 Site Hedge Baseline'!$B$1:$L$257,5,FALSE))))</f>
        <v/>
      </c>
      <c r="F60" s="520" t="str">
        <f>IF(B60="","",IF(ISNA(VLOOKUP($B60,'B-1 Site Hedge Baseline'!$B$1:$L$257,6,FALSE)),"",(VLOOKUP($B60,'B-1 Site Hedge Baseline'!$B$1:$L$257,6,FALSE))))</f>
        <v/>
      </c>
      <c r="G60" s="520" t="str">
        <f>IF(B60="","",IF(ISNA(VLOOKUP($B60,'B-1 Site Hedge Baseline'!$B$1:$L$257,7,FALSE)),"",(VLOOKUP($B60,'B-1 Site Hedge Baseline'!$B$1:$L$257,7,FALSE))))</f>
        <v/>
      </c>
      <c r="H60" s="520" t="str">
        <f>IF(B60="","",IF(ISNA(VLOOKUP($B60,'B-1 Site Hedge Baseline'!$B$1:$L$257,8,FALSE)),"",(VLOOKUP($B60,'B-1 Site Hedge Baseline'!$B$1:$L$257,8,FALSE))))</f>
        <v/>
      </c>
      <c r="I60" s="520" t="str">
        <f>IF(B60="","",IF(ISNA(VLOOKUP($B60,'B-1 Site Hedge Baseline'!$B$1:$L$257,10,FALSE)),"",(VLOOKUP($B60,'B-1 Site Hedge Baseline'!$B$1:$L$257,10,FALSE))))</f>
        <v/>
      </c>
      <c r="J60" s="520" t="str">
        <f>IF(B60="","",IF(ISNA(VLOOKUP($B60,'B-1 Site Hedge Baseline'!$B$1:$L$257,11,FALSE)),"",(VLOOKUP($B60,'B-1 Site Hedge Baseline'!$B$1:$L$257,11,FALSE))))</f>
        <v/>
      </c>
      <c r="K60" s="520" t="str">
        <f>IF(B60="","",IF(ISNA(VLOOKUP($B60,'B-1 Site Hedge Baseline'!$B$1:$U$257,13,FALSE)),"",(VLOOKUP($B60,'B-1 Site Hedge Baseline'!$B$1:$U$257,13,FALSE))))</f>
        <v/>
      </c>
      <c r="L60" s="524" t="str">
        <f>IF(B60="","",IF(ISNA(VLOOKUP($B60,'B-1 Site Hedge Baseline'!$B$1:$U$257,12,FALSE)),"",(VLOOKUP($B60,'B-1 Site Hedge Baseline'!$B$1:$U$257,12,FALSE))))</f>
        <v/>
      </c>
      <c r="M60" s="416" t="str">
        <f t="shared" si="0"/>
        <v/>
      </c>
      <c r="N60" s="498" t="str">
        <f>IFERROR(IF(B60="","",INDEX('G-6 Hedgerow Data'!$AN$3:$AZ$15,MATCH(C60,'G-6 Hedgerow Data'!$AM$3:$AM$15,0),MATCH(M60,'G-6 Hedgerow Data'!$AN$2:$AZ$2,0))),"")</f>
        <v/>
      </c>
      <c r="O60" s="499" t="str">
        <f t="shared" si="2"/>
        <v/>
      </c>
      <c r="P60" s="559" t="str">
        <f>IF(B60="","",VLOOKUP(B60,'B-1 Site Hedge Baseline'!$B$10:T305,16,FALSE))</f>
        <v/>
      </c>
      <c r="Q60" s="498" t="str">
        <f>IF(M60="","",VLOOKUP(M60,'G-6 Hedgerow Data'!$B$2:$AG$15,2,FALSE))</f>
        <v/>
      </c>
      <c r="R60" s="499" t="str">
        <f>IF(M60="","",VLOOKUP(M60,'G-6 Hedgerow Data'!$B$2:$AG$15,3,FALSE))</f>
        <v/>
      </c>
      <c r="S60" s="157"/>
      <c r="T60" s="540" t="str">
        <f>IFERROR(VLOOKUP(S60,'G-1 All Habitats'!$Z$2:$AA$9,2,FALSE),"")</f>
        <v/>
      </c>
      <c r="U60" s="154"/>
      <c r="V60" s="520" t="str">
        <f>IF(U60="","",IF(VLOOKUP(U60,'G-3 Multipliers'!$L$3:$N$6,2,FALSE)=0,"Spatial Data Missing ⚠",VLOOKUP(U60,'G-3 Multipliers'!$L$3:$N$6,2,FALSE)))</f>
        <v/>
      </c>
      <c r="W60" s="524" t="str">
        <f>IF(U60="","",IF(VLOOKUP(U60,'G-3 Multipliers'!$L$3:$N$6,3,FALSE)=0,"Spatial Data Missing ⚠",VLOOKUP(U60,'G-3 Multipliers'!$L$3:$N$6,3,FALSE)))</f>
        <v/>
      </c>
      <c r="X60" s="498"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7" t="str">
        <f t="shared" si="3"/>
        <v/>
      </c>
      <c r="AB60" s="521" t="str">
        <f t="shared" si="4"/>
        <v/>
      </c>
      <c r="AC60" s="522" t="str">
        <f t="shared" si="1"/>
        <v/>
      </c>
      <c r="AD60" s="537" t="str">
        <f>IF(M60="","",VLOOKUP(M60,'G-6 Hedgerow Data'!$B$3:$AG$15,31,FALSE))</f>
        <v/>
      </c>
      <c r="AE60" s="507" t="str">
        <f t="shared" si="5"/>
        <v/>
      </c>
      <c r="AF60" s="507" t="str">
        <f t="shared" si="6"/>
        <v/>
      </c>
      <c r="AG60" s="524" t="str">
        <f>IFERROR(IF(O60="","",VLOOKUP(AD60,'G-3 Multipliers'!$P$3:$Q$6,2,FALSE)),"")</f>
        <v/>
      </c>
      <c r="AH60" s="513" t="str">
        <f t="shared" si="7"/>
        <v/>
      </c>
      <c r="AI60" s="231"/>
      <c r="AJ60" s="150"/>
      <c r="AT60" s="31" t="str">
        <f>IFERROR(INDEX('G-6 Hedgerow Data'!$BJ$3:$BJ$15,MATCH(M60,'G-6 Hedgerow Data'!$B$3:$B$15,0)),"")</f>
        <v/>
      </c>
    </row>
    <row r="61" spans="2:46" ht="13.8" x14ac:dyDescent="0.25">
      <c r="B61" s="531" t="str">
        <f>'B-1 Site Hedge Baseline'!AK59</f>
        <v/>
      </c>
      <c r="C61" s="520" t="str">
        <f>IF(B61="","",IF(ISNA(VLOOKUP($B61,'B-1 Site Hedge Baseline'!$B$1:$L$257,3,FALSE)),"",(VLOOKUP($B61,'B-1 Site Hedge Baseline'!$B$1:$L$257,3,FALSE))))</f>
        <v/>
      </c>
      <c r="D61" s="520" t="str">
        <f>IF(B61="","",IF(ISNA(VLOOKUP($B61,'B-1 Site Hedge Baseline'!$B$1:$L$257,4,FALSE)),"",(VLOOKUP($B61,'B-1 Site Hedge Baseline'!$B$1:$L$257,4,FALSE))))</f>
        <v/>
      </c>
      <c r="E61" s="520" t="str">
        <f>IF(B61="","",IF(ISNA(VLOOKUP($B61,'B-1 Site Hedge Baseline'!$B$1:$L$257,5,FALSE)),"",(VLOOKUP($B61,'B-1 Site Hedge Baseline'!$B$1:$L$257,5,FALSE))))</f>
        <v/>
      </c>
      <c r="F61" s="520" t="str">
        <f>IF(B61="","",IF(ISNA(VLOOKUP($B61,'B-1 Site Hedge Baseline'!$B$1:$L$257,6,FALSE)),"",(VLOOKUP($B61,'B-1 Site Hedge Baseline'!$B$1:$L$257,6,FALSE))))</f>
        <v/>
      </c>
      <c r="G61" s="520" t="str">
        <f>IF(B61="","",IF(ISNA(VLOOKUP($B61,'B-1 Site Hedge Baseline'!$B$1:$L$257,7,FALSE)),"",(VLOOKUP($B61,'B-1 Site Hedge Baseline'!$B$1:$L$257,7,FALSE))))</f>
        <v/>
      </c>
      <c r="H61" s="520" t="str">
        <f>IF(B61="","",IF(ISNA(VLOOKUP($B61,'B-1 Site Hedge Baseline'!$B$1:$L$257,8,FALSE)),"",(VLOOKUP($B61,'B-1 Site Hedge Baseline'!$B$1:$L$257,8,FALSE))))</f>
        <v/>
      </c>
      <c r="I61" s="520" t="str">
        <f>IF(B61="","",IF(ISNA(VLOOKUP($B61,'B-1 Site Hedge Baseline'!$B$1:$L$257,10,FALSE)),"",(VLOOKUP($B61,'B-1 Site Hedge Baseline'!$B$1:$L$257,10,FALSE))))</f>
        <v/>
      </c>
      <c r="J61" s="520" t="str">
        <f>IF(B61="","",IF(ISNA(VLOOKUP($B61,'B-1 Site Hedge Baseline'!$B$1:$L$257,11,FALSE)),"",(VLOOKUP($B61,'B-1 Site Hedge Baseline'!$B$1:$L$257,11,FALSE))))</f>
        <v/>
      </c>
      <c r="K61" s="520" t="str">
        <f>IF(B61="","",IF(ISNA(VLOOKUP($B61,'B-1 Site Hedge Baseline'!$B$1:$U$257,13,FALSE)),"",(VLOOKUP($B61,'B-1 Site Hedge Baseline'!$B$1:$U$257,13,FALSE))))</f>
        <v/>
      </c>
      <c r="L61" s="524" t="str">
        <f>IF(B61="","",IF(ISNA(VLOOKUP($B61,'B-1 Site Hedge Baseline'!$B$1:$U$257,12,FALSE)),"",(VLOOKUP($B61,'B-1 Site Hedge Baseline'!$B$1:$U$257,12,FALSE))))</f>
        <v/>
      </c>
      <c r="M61" s="416" t="str">
        <f t="shared" si="0"/>
        <v/>
      </c>
      <c r="N61" s="498" t="str">
        <f>IFERROR(IF(B61="","",INDEX('G-6 Hedgerow Data'!$AN$3:$AZ$15,MATCH(C61,'G-6 Hedgerow Data'!$AM$3:$AM$15,0),MATCH(M61,'G-6 Hedgerow Data'!$AN$2:$AZ$2,0))),"")</f>
        <v/>
      </c>
      <c r="O61" s="499" t="str">
        <f t="shared" si="2"/>
        <v/>
      </c>
      <c r="P61" s="559" t="str">
        <f>IF(B61="","",VLOOKUP(B61,'B-1 Site Hedge Baseline'!$B$10:T306,16,FALSE))</f>
        <v/>
      </c>
      <c r="Q61" s="498" t="str">
        <f>IF(M61="","",VLOOKUP(M61,'G-6 Hedgerow Data'!$B$2:$AG$15,2,FALSE))</f>
        <v/>
      </c>
      <c r="R61" s="499" t="str">
        <f>IF(M61="","",VLOOKUP(M61,'G-6 Hedgerow Data'!$B$2:$AG$15,3,FALSE))</f>
        <v/>
      </c>
      <c r="S61" s="157"/>
      <c r="T61" s="540" t="str">
        <f>IFERROR(VLOOKUP(S61,'G-1 All Habitats'!$Z$2:$AA$9,2,FALSE),"")</f>
        <v/>
      </c>
      <c r="U61" s="154"/>
      <c r="V61" s="520" t="str">
        <f>IF(U61="","",IF(VLOOKUP(U61,'G-3 Multipliers'!$L$3:$N$6,2,FALSE)=0,"Spatial Data Missing ⚠",VLOOKUP(U61,'G-3 Multipliers'!$L$3:$N$6,2,FALSE)))</f>
        <v/>
      </c>
      <c r="W61" s="524" t="str">
        <f>IF(U61="","",IF(VLOOKUP(U61,'G-3 Multipliers'!$L$3:$N$6,3,FALSE)=0,"Spatial Data Missing ⚠",VLOOKUP(U61,'G-3 Multipliers'!$L$3:$N$6,3,FALSE)))</f>
        <v/>
      </c>
      <c r="X61" s="498"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7" t="str">
        <f t="shared" si="3"/>
        <v/>
      </c>
      <c r="AB61" s="521" t="str">
        <f t="shared" si="4"/>
        <v/>
      </c>
      <c r="AC61" s="522" t="str">
        <f t="shared" si="1"/>
        <v/>
      </c>
      <c r="AD61" s="537" t="str">
        <f>IF(M61="","",VLOOKUP(M61,'G-6 Hedgerow Data'!$B$3:$AG$15,31,FALSE))</f>
        <v/>
      </c>
      <c r="AE61" s="507" t="str">
        <f t="shared" si="5"/>
        <v/>
      </c>
      <c r="AF61" s="507" t="str">
        <f t="shared" si="6"/>
        <v/>
      </c>
      <c r="AG61" s="524" t="str">
        <f>IFERROR(IF(O61="","",VLOOKUP(AD61,'G-3 Multipliers'!$P$3:$Q$6,2,FALSE)),"")</f>
        <v/>
      </c>
      <c r="AH61" s="513" t="str">
        <f t="shared" si="7"/>
        <v/>
      </c>
      <c r="AI61" s="231"/>
      <c r="AJ61" s="150"/>
      <c r="AT61" s="31" t="str">
        <f>IFERROR(INDEX('G-6 Hedgerow Data'!$BJ$3:$BJ$15,MATCH(M61,'G-6 Hedgerow Data'!$B$3:$B$15,0)),"")</f>
        <v/>
      </c>
    </row>
    <row r="62" spans="2:46" ht="13.8" x14ac:dyDescent="0.25">
      <c r="B62" s="531" t="str">
        <f>'B-1 Site Hedge Baseline'!AK60</f>
        <v/>
      </c>
      <c r="C62" s="520" t="str">
        <f>IF(B62="","",IF(ISNA(VLOOKUP($B62,'B-1 Site Hedge Baseline'!$B$1:$L$257,3,FALSE)),"",(VLOOKUP($B62,'B-1 Site Hedge Baseline'!$B$1:$L$257,3,FALSE))))</f>
        <v/>
      </c>
      <c r="D62" s="520" t="str">
        <f>IF(B62="","",IF(ISNA(VLOOKUP($B62,'B-1 Site Hedge Baseline'!$B$1:$L$257,4,FALSE)),"",(VLOOKUP($B62,'B-1 Site Hedge Baseline'!$B$1:$L$257,4,FALSE))))</f>
        <v/>
      </c>
      <c r="E62" s="520" t="str">
        <f>IF(B62="","",IF(ISNA(VLOOKUP($B62,'B-1 Site Hedge Baseline'!$B$1:$L$257,5,FALSE)),"",(VLOOKUP($B62,'B-1 Site Hedge Baseline'!$B$1:$L$257,5,FALSE))))</f>
        <v/>
      </c>
      <c r="F62" s="520" t="str">
        <f>IF(B62="","",IF(ISNA(VLOOKUP($B62,'B-1 Site Hedge Baseline'!$B$1:$L$257,6,FALSE)),"",(VLOOKUP($B62,'B-1 Site Hedge Baseline'!$B$1:$L$257,6,FALSE))))</f>
        <v/>
      </c>
      <c r="G62" s="520" t="str">
        <f>IF(B62="","",IF(ISNA(VLOOKUP($B62,'B-1 Site Hedge Baseline'!$B$1:$L$257,7,FALSE)),"",(VLOOKUP($B62,'B-1 Site Hedge Baseline'!$B$1:$L$257,7,FALSE))))</f>
        <v/>
      </c>
      <c r="H62" s="520" t="str">
        <f>IF(B62="","",IF(ISNA(VLOOKUP($B62,'B-1 Site Hedge Baseline'!$B$1:$L$257,8,FALSE)),"",(VLOOKUP($B62,'B-1 Site Hedge Baseline'!$B$1:$L$257,8,FALSE))))</f>
        <v/>
      </c>
      <c r="I62" s="520" t="str">
        <f>IF(B62="","",IF(ISNA(VLOOKUP($B62,'B-1 Site Hedge Baseline'!$B$1:$L$257,10,FALSE)),"",(VLOOKUP($B62,'B-1 Site Hedge Baseline'!$B$1:$L$257,10,FALSE))))</f>
        <v/>
      </c>
      <c r="J62" s="520" t="str">
        <f>IF(B62="","",IF(ISNA(VLOOKUP($B62,'B-1 Site Hedge Baseline'!$B$1:$L$257,11,FALSE)),"",(VLOOKUP($B62,'B-1 Site Hedge Baseline'!$B$1:$L$257,11,FALSE))))</f>
        <v/>
      </c>
      <c r="K62" s="520" t="str">
        <f>IF(B62="","",IF(ISNA(VLOOKUP($B62,'B-1 Site Hedge Baseline'!$B$1:$U$257,13,FALSE)),"",(VLOOKUP($B62,'B-1 Site Hedge Baseline'!$B$1:$U$257,13,FALSE))))</f>
        <v/>
      </c>
      <c r="L62" s="524" t="str">
        <f>IF(B62="","",IF(ISNA(VLOOKUP($B62,'B-1 Site Hedge Baseline'!$B$1:$U$257,12,FALSE)),"",(VLOOKUP($B62,'B-1 Site Hedge Baseline'!$B$1:$U$257,12,FALSE))))</f>
        <v/>
      </c>
      <c r="M62" s="416" t="str">
        <f t="shared" si="0"/>
        <v/>
      </c>
      <c r="N62" s="498" t="str">
        <f>IFERROR(IF(B62="","",INDEX('G-6 Hedgerow Data'!$AN$3:$AZ$15,MATCH(C62,'G-6 Hedgerow Data'!$AM$3:$AM$15,0),MATCH(M62,'G-6 Hedgerow Data'!$AN$2:$AZ$2,0))),"")</f>
        <v/>
      </c>
      <c r="O62" s="499" t="str">
        <f t="shared" si="2"/>
        <v/>
      </c>
      <c r="P62" s="559" t="str">
        <f>IF(B62="","",VLOOKUP(B62,'B-1 Site Hedge Baseline'!$B$10:T307,16,FALSE))</f>
        <v/>
      </c>
      <c r="Q62" s="498" t="str">
        <f>IF(M62="","",VLOOKUP(M62,'G-6 Hedgerow Data'!$B$2:$AG$15,2,FALSE))</f>
        <v/>
      </c>
      <c r="R62" s="499" t="str">
        <f>IF(M62="","",VLOOKUP(M62,'G-6 Hedgerow Data'!$B$2:$AG$15,3,FALSE))</f>
        <v/>
      </c>
      <c r="S62" s="157"/>
      <c r="T62" s="540" t="str">
        <f>IFERROR(VLOOKUP(S62,'G-1 All Habitats'!$Z$2:$AA$9,2,FALSE),"")</f>
        <v/>
      </c>
      <c r="U62" s="154"/>
      <c r="V62" s="520" t="str">
        <f>IF(U62="","",IF(VLOOKUP(U62,'G-3 Multipliers'!$L$3:$N$6,2,FALSE)=0,"Spatial Data Missing ⚠",VLOOKUP(U62,'G-3 Multipliers'!$L$3:$N$6,2,FALSE)))</f>
        <v/>
      </c>
      <c r="W62" s="524" t="str">
        <f>IF(U62="","",IF(VLOOKUP(U62,'G-3 Multipliers'!$L$3:$N$6,3,FALSE)=0,"Spatial Data Missing ⚠",VLOOKUP(U62,'G-3 Multipliers'!$L$3:$N$6,3,FALSE)))</f>
        <v/>
      </c>
      <c r="X62" s="498"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7" t="str">
        <f t="shared" si="3"/>
        <v/>
      </c>
      <c r="AB62" s="521" t="str">
        <f t="shared" si="4"/>
        <v/>
      </c>
      <c r="AC62" s="522" t="str">
        <f t="shared" si="1"/>
        <v/>
      </c>
      <c r="AD62" s="537" t="str">
        <f>IF(M62="","",VLOOKUP(M62,'G-6 Hedgerow Data'!$B$3:$AG$15,31,FALSE))</f>
        <v/>
      </c>
      <c r="AE62" s="507" t="str">
        <f t="shared" si="5"/>
        <v/>
      </c>
      <c r="AF62" s="507" t="str">
        <f t="shared" si="6"/>
        <v/>
      </c>
      <c r="AG62" s="524" t="str">
        <f>IFERROR(IF(O62="","",VLOOKUP(AD62,'G-3 Multipliers'!$P$3:$Q$6,2,FALSE)),"")</f>
        <v/>
      </c>
      <c r="AH62" s="513" t="str">
        <f t="shared" si="7"/>
        <v/>
      </c>
      <c r="AI62" s="231"/>
      <c r="AJ62" s="150"/>
      <c r="AT62" s="31" t="str">
        <f>IFERROR(INDEX('G-6 Hedgerow Data'!$BJ$3:$BJ$15,MATCH(M62,'G-6 Hedgerow Data'!$B$3:$B$15,0)),"")</f>
        <v/>
      </c>
    </row>
    <row r="63" spans="2:46" ht="13.8" x14ac:dyDescent="0.25">
      <c r="B63" s="531" t="str">
        <f>'B-1 Site Hedge Baseline'!AK61</f>
        <v/>
      </c>
      <c r="C63" s="520" t="str">
        <f>IF(B63="","",IF(ISNA(VLOOKUP($B63,'B-1 Site Hedge Baseline'!$B$1:$L$257,3,FALSE)),"",(VLOOKUP($B63,'B-1 Site Hedge Baseline'!$B$1:$L$257,3,FALSE))))</f>
        <v/>
      </c>
      <c r="D63" s="520" t="str">
        <f>IF(B63="","",IF(ISNA(VLOOKUP($B63,'B-1 Site Hedge Baseline'!$B$1:$L$257,4,FALSE)),"",(VLOOKUP($B63,'B-1 Site Hedge Baseline'!$B$1:$L$257,4,FALSE))))</f>
        <v/>
      </c>
      <c r="E63" s="520" t="str">
        <f>IF(B63="","",IF(ISNA(VLOOKUP($B63,'B-1 Site Hedge Baseline'!$B$1:$L$257,5,FALSE)),"",(VLOOKUP($B63,'B-1 Site Hedge Baseline'!$B$1:$L$257,5,FALSE))))</f>
        <v/>
      </c>
      <c r="F63" s="520" t="str">
        <f>IF(B63="","",IF(ISNA(VLOOKUP($B63,'B-1 Site Hedge Baseline'!$B$1:$L$257,6,FALSE)),"",(VLOOKUP($B63,'B-1 Site Hedge Baseline'!$B$1:$L$257,6,FALSE))))</f>
        <v/>
      </c>
      <c r="G63" s="520" t="str">
        <f>IF(B63="","",IF(ISNA(VLOOKUP($B63,'B-1 Site Hedge Baseline'!$B$1:$L$257,7,FALSE)),"",(VLOOKUP($B63,'B-1 Site Hedge Baseline'!$B$1:$L$257,7,FALSE))))</f>
        <v/>
      </c>
      <c r="H63" s="520" t="str">
        <f>IF(B63="","",IF(ISNA(VLOOKUP($B63,'B-1 Site Hedge Baseline'!$B$1:$L$257,8,FALSE)),"",(VLOOKUP($B63,'B-1 Site Hedge Baseline'!$B$1:$L$257,8,FALSE))))</f>
        <v/>
      </c>
      <c r="I63" s="520" t="str">
        <f>IF(B63="","",IF(ISNA(VLOOKUP($B63,'B-1 Site Hedge Baseline'!$B$1:$L$257,10,FALSE)),"",(VLOOKUP($B63,'B-1 Site Hedge Baseline'!$B$1:$L$257,10,FALSE))))</f>
        <v/>
      </c>
      <c r="J63" s="520" t="str">
        <f>IF(B63="","",IF(ISNA(VLOOKUP($B63,'B-1 Site Hedge Baseline'!$B$1:$L$257,11,FALSE)),"",(VLOOKUP($B63,'B-1 Site Hedge Baseline'!$B$1:$L$257,11,FALSE))))</f>
        <v/>
      </c>
      <c r="K63" s="520" t="str">
        <f>IF(B63="","",IF(ISNA(VLOOKUP($B63,'B-1 Site Hedge Baseline'!$B$1:$U$257,13,FALSE)),"",(VLOOKUP($B63,'B-1 Site Hedge Baseline'!$B$1:$U$257,13,FALSE))))</f>
        <v/>
      </c>
      <c r="L63" s="524" t="str">
        <f>IF(B63="","",IF(ISNA(VLOOKUP($B63,'B-1 Site Hedge Baseline'!$B$1:$U$257,12,FALSE)),"",(VLOOKUP($B63,'B-1 Site Hedge Baseline'!$B$1:$U$257,12,FALSE))))</f>
        <v/>
      </c>
      <c r="M63" s="416" t="str">
        <f t="shared" si="0"/>
        <v/>
      </c>
      <c r="N63" s="498" t="str">
        <f>IFERROR(IF(B63="","",INDEX('G-6 Hedgerow Data'!$AN$3:$AZ$15,MATCH(C63,'G-6 Hedgerow Data'!$AM$3:$AM$15,0),MATCH(M63,'G-6 Hedgerow Data'!$AN$2:$AZ$2,0))),"")</f>
        <v/>
      </c>
      <c r="O63" s="499" t="str">
        <f t="shared" si="2"/>
        <v/>
      </c>
      <c r="P63" s="559" t="str">
        <f>IF(B63="","",VLOOKUP(B63,'B-1 Site Hedge Baseline'!$B$10:T308,16,FALSE))</f>
        <v/>
      </c>
      <c r="Q63" s="498" t="str">
        <f>IF(M63="","",VLOOKUP(M63,'G-6 Hedgerow Data'!$B$2:$AG$15,2,FALSE))</f>
        <v/>
      </c>
      <c r="R63" s="499" t="str">
        <f>IF(M63="","",VLOOKUP(M63,'G-6 Hedgerow Data'!$B$2:$AG$15,3,FALSE))</f>
        <v/>
      </c>
      <c r="S63" s="157"/>
      <c r="T63" s="540" t="str">
        <f>IFERROR(VLOOKUP(S63,'G-1 All Habitats'!$Z$2:$AA$9,2,FALSE),"")</f>
        <v/>
      </c>
      <c r="U63" s="154"/>
      <c r="V63" s="520" t="str">
        <f>IF(U63="","",IF(VLOOKUP(U63,'G-3 Multipliers'!$L$3:$N$6,2,FALSE)=0,"Spatial Data Missing ⚠",VLOOKUP(U63,'G-3 Multipliers'!$L$3:$N$6,2,FALSE)))</f>
        <v/>
      </c>
      <c r="W63" s="524" t="str">
        <f>IF(U63="","",IF(VLOOKUP(U63,'G-3 Multipliers'!$L$3:$N$6,3,FALSE)=0,"Spatial Data Missing ⚠",VLOOKUP(U63,'G-3 Multipliers'!$L$3:$N$6,3,FALSE)))</f>
        <v/>
      </c>
      <c r="X63" s="498"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7" t="str">
        <f t="shared" si="3"/>
        <v/>
      </c>
      <c r="AB63" s="521" t="str">
        <f t="shared" si="4"/>
        <v/>
      </c>
      <c r="AC63" s="522" t="str">
        <f t="shared" si="1"/>
        <v/>
      </c>
      <c r="AD63" s="537" t="str">
        <f>IF(M63="","",VLOOKUP(M63,'G-6 Hedgerow Data'!$B$3:$AG$15,31,FALSE))</f>
        <v/>
      </c>
      <c r="AE63" s="507" t="str">
        <f t="shared" si="5"/>
        <v/>
      </c>
      <c r="AF63" s="507" t="str">
        <f t="shared" si="6"/>
        <v/>
      </c>
      <c r="AG63" s="524" t="str">
        <f>IFERROR(IF(O63="","",VLOOKUP(AD63,'G-3 Multipliers'!$P$3:$Q$6,2,FALSE)),"")</f>
        <v/>
      </c>
      <c r="AH63" s="513" t="str">
        <f t="shared" si="7"/>
        <v/>
      </c>
      <c r="AI63" s="231"/>
      <c r="AJ63" s="150"/>
      <c r="AT63" s="31" t="str">
        <f>IFERROR(INDEX('G-6 Hedgerow Data'!$BJ$3:$BJ$15,MATCH(M63,'G-6 Hedgerow Data'!$B$3:$B$15,0)),"")</f>
        <v/>
      </c>
    </row>
    <row r="64" spans="2:46" ht="13.8" x14ac:dyDescent="0.25">
      <c r="B64" s="531" t="str">
        <f>'B-1 Site Hedge Baseline'!AK62</f>
        <v/>
      </c>
      <c r="C64" s="520" t="str">
        <f>IF(B64="","",IF(ISNA(VLOOKUP($B64,'B-1 Site Hedge Baseline'!$B$1:$L$257,3,FALSE)),"",(VLOOKUP($B64,'B-1 Site Hedge Baseline'!$B$1:$L$257,3,FALSE))))</f>
        <v/>
      </c>
      <c r="D64" s="520" t="str">
        <f>IF(B64="","",IF(ISNA(VLOOKUP($B64,'B-1 Site Hedge Baseline'!$B$1:$L$257,4,FALSE)),"",(VLOOKUP($B64,'B-1 Site Hedge Baseline'!$B$1:$L$257,4,FALSE))))</f>
        <v/>
      </c>
      <c r="E64" s="520" t="str">
        <f>IF(B64="","",IF(ISNA(VLOOKUP($B64,'B-1 Site Hedge Baseline'!$B$1:$L$257,5,FALSE)),"",(VLOOKUP($B64,'B-1 Site Hedge Baseline'!$B$1:$L$257,5,FALSE))))</f>
        <v/>
      </c>
      <c r="F64" s="520" t="str">
        <f>IF(B64="","",IF(ISNA(VLOOKUP($B64,'B-1 Site Hedge Baseline'!$B$1:$L$257,6,FALSE)),"",(VLOOKUP($B64,'B-1 Site Hedge Baseline'!$B$1:$L$257,6,FALSE))))</f>
        <v/>
      </c>
      <c r="G64" s="520" t="str">
        <f>IF(B64="","",IF(ISNA(VLOOKUP($B64,'B-1 Site Hedge Baseline'!$B$1:$L$257,7,FALSE)),"",(VLOOKUP($B64,'B-1 Site Hedge Baseline'!$B$1:$L$257,7,FALSE))))</f>
        <v/>
      </c>
      <c r="H64" s="520" t="str">
        <f>IF(B64="","",IF(ISNA(VLOOKUP($B64,'B-1 Site Hedge Baseline'!$B$1:$L$257,8,FALSE)),"",(VLOOKUP($B64,'B-1 Site Hedge Baseline'!$B$1:$L$257,8,FALSE))))</f>
        <v/>
      </c>
      <c r="I64" s="520" t="str">
        <f>IF(B64="","",IF(ISNA(VLOOKUP($B64,'B-1 Site Hedge Baseline'!$B$1:$L$257,10,FALSE)),"",(VLOOKUP($B64,'B-1 Site Hedge Baseline'!$B$1:$L$257,10,FALSE))))</f>
        <v/>
      </c>
      <c r="J64" s="520" t="str">
        <f>IF(B64="","",IF(ISNA(VLOOKUP($B64,'B-1 Site Hedge Baseline'!$B$1:$L$257,11,FALSE)),"",(VLOOKUP($B64,'B-1 Site Hedge Baseline'!$B$1:$L$257,11,FALSE))))</f>
        <v/>
      </c>
      <c r="K64" s="520" t="str">
        <f>IF(B64="","",IF(ISNA(VLOOKUP($B64,'B-1 Site Hedge Baseline'!$B$1:$U$257,13,FALSE)),"",(VLOOKUP($B64,'B-1 Site Hedge Baseline'!$B$1:$U$257,13,FALSE))))</f>
        <v/>
      </c>
      <c r="L64" s="524" t="str">
        <f>IF(B64="","",IF(ISNA(VLOOKUP($B64,'B-1 Site Hedge Baseline'!$B$1:$U$257,12,FALSE)),"",(VLOOKUP($B64,'B-1 Site Hedge Baseline'!$B$1:$U$257,12,FALSE))))</f>
        <v/>
      </c>
      <c r="M64" s="416" t="str">
        <f t="shared" si="0"/>
        <v/>
      </c>
      <c r="N64" s="498" t="str">
        <f>IFERROR(IF(B64="","",INDEX('G-6 Hedgerow Data'!$AN$3:$AZ$15,MATCH(C64,'G-6 Hedgerow Data'!$AM$3:$AM$15,0),MATCH(M64,'G-6 Hedgerow Data'!$AN$2:$AZ$2,0))),"")</f>
        <v/>
      </c>
      <c r="O64" s="499" t="str">
        <f t="shared" si="2"/>
        <v/>
      </c>
      <c r="P64" s="559" t="str">
        <f>IF(B64="","",VLOOKUP(B64,'B-1 Site Hedge Baseline'!$B$10:T309,16,FALSE))</f>
        <v/>
      </c>
      <c r="Q64" s="498" t="str">
        <f>IF(M64="","",VLOOKUP(M64,'G-6 Hedgerow Data'!$B$2:$AG$15,2,FALSE))</f>
        <v/>
      </c>
      <c r="R64" s="499" t="str">
        <f>IF(M64="","",VLOOKUP(M64,'G-6 Hedgerow Data'!$B$2:$AG$15,3,FALSE))</f>
        <v/>
      </c>
      <c r="S64" s="157"/>
      <c r="T64" s="540" t="str">
        <f>IFERROR(VLOOKUP(S64,'G-1 All Habitats'!$Z$2:$AA$9,2,FALSE),"")</f>
        <v/>
      </c>
      <c r="U64" s="154"/>
      <c r="V64" s="520" t="str">
        <f>IF(U64="","",IF(VLOOKUP(U64,'G-3 Multipliers'!$L$3:$N$6,2,FALSE)=0,"Spatial Data Missing ⚠",VLOOKUP(U64,'G-3 Multipliers'!$L$3:$N$6,2,FALSE)))</f>
        <v/>
      </c>
      <c r="W64" s="524" t="str">
        <f>IF(U64="","",IF(VLOOKUP(U64,'G-3 Multipliers'!$L$3:$N$6,3,FALSE)=0,"Spatial Data Missing ⚠",VLOOKUP(U64,'G-3 Multipliers'!$L$3:$N$6,3,FALSE)))</f>
        <v/>
      </c>
      <c r="X64" s="498"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7" t="str">
        <f t="shared" si="3"/>
        <v/>
      </c>
      <c r="AB64" s="521" t="str">
        <f t="shared" si="4"/>
        <v/>
      </c>
      <c r="AC64" s="522" t="str">
        <f t="shared" si="1"/>
        <v/>
      </c>
      <c r="AD64" s="537" t="str">
        <f>IF(M64="","",VLOOKUP(M64,'G-6 Hedgerow Data'!$B$3:$AG$15,31,FALSE))</f>
        <v/>
      </c>
      <c r="AE64" s="507" t="str">
        <f t="shared" si="5"/>
        <v/>
      </c>
      <c r="AF64" s="507" t="str">
        <f t="shared" si="6"/>
        <v/>
      </c>
      <c r="AG64" s="524" t="str">
        <f>IFERROR(IF(O64="","",VLOOKUP(AD64,'G-3 Multipliers'!$P$3:$Q$6,2,FALSE)),"")</f>
        <v/>
      </c>
      <c r="AH64" s="513" t="str">
        <f t="shared" si="7"/>
        <v/>
      </c>
      <c r="AI64" s="231"/>
      <c r="AJ64" s="150"/>
      <c r="AT64" s="31" t="str">
        <f>IFERROR(INDEX('G-6 Hedgerow Data'!$BJ$3:$BJ$15,MATCH(M64,'G-6 Hedgerow Data'!$B$3:$B$15,0)),"")</f>
        <v/>
      </c>
    </row>
    <row r="65" spans="2:46" ht="13.8" x14ac:dyDescent="0.25">
      <c r="B65" s="531" t="str">
        <f>'B-1 Site Hedge Baseline'!AK63</f>
        <v/>
      </c>
      <c r="C65" s="520" t="str">
        <f>IF(B65="","",IF(ISNA(VLOOKUP($B65,'B-1 Site Hedge Baseline'!$B$1:$L$257,3,FALSE)),"",(VLOOKUP($B65,'B-1 Site Hedge Baseline'!$B$1:$L$257,3,FALSE))))</f>
        <v/>
      </c>
      <c r="D65" s="520" t="str">
        <f>IF(B65="","",IF(ISNA(VLOOKUP($B65,'B-1 Site Hedge Baseline'!$B$1:$L$257,4,FALSE)),"",(VLOOKUP($B65,'B-1 Site Hedge Baseline'!$B$1:$L$257,4,FALSE))))</f>
        <v/>
      </c>
      <c r="E65" s="520" t="str">
        <f>IF(B65="","",IF(ISNA(VLOOKUP($B65,'B-1 Site Hedge Baseline'!$B$1:$L$257,5,FALSE)),"",(VLOOKUP($B65,'B-1 Site Hedge Baseline'!$B$1:$L$257,5,FALSE))))</f>
        <v/>
      </c>
      <c r="F65" s="520" t="str">
        <f>IF(B65="","",IF(ISNA(VLOOKUP($B65,'B-1 Site Hedge Baseline'!$B$1:$L$257,6,FALSE)),"",(VLOOKUP($B65,'B-1 Site Hedge Baseline'!$B$1:$L$257,6,FALSE))))</f>
        <v/>
      </c>
      <c r="G65" s="520" t="str">
        <f>IF(B65="","",IF(ISNA(VLOOKUP($B65,'B-1 Site Hedge Baseline'!$B$1:$L$257,7,FALSE)),"",(VLOOKUP($B65,'B-1 Site Hedge Baseline'!$B$1:$L$257,7,FALSE))))</f>
        <v/>
      </c>
      <c r="H65" s="520" t="str">
        <f>IF(B65="","",IF(ISNA(VLOOKUP($B65,'B-1 Site Hedge Baseline'!$B$1:$L$257,8,FALSE)),"",(VLOOKUP($B65,'B-1 Site Hedge Baseline'!$B$1:$L$257,8,FALSE))))</f>
        <v/>
      </c>
      <c r="I65" s="520" t="str">
        <f>IF(B65="","",IF(ISNA(VLOOKUP($B65,'B-1 Site Hedge Baseline'!$B$1:$L$257,10,FALSE)),"",(VLOOKUP($B65,'B-1 Site Hedge Baseline'!$B$1:$L$257,10,FALSE))))</f>
        <v/>
      </c>
      <c r="J65" s="520" t="str">
        <f>IF(B65="","",IF(ISNA(VLOOKUP($B65,'B-1 Site Hedge Baseline'!$B$1:$L$257,11,FALSE)),"",(VLOOKUP($B65,'B-1 Site Hedge Baseline'!$B$1:$L$257,11,FALSE))))</f>
        <v/>
      </c>
      <c r="K65" s="520" t="str">
        <f>IF(B65="","",IF(ISNA(VLOOKUP($B65,'B-1 Site Hedge Baseline'!$B$1:$U$257,13,FALSE)),"",(VLOOKUP($B65,'B-1 Site Hedge Baseline'!$B$1:$U$257,13,FALSE))))</f>
        <v/>
      </c>
      <c r="L65" s="524" t="str">
        <f>IF(B65="","",IF(ISNA(VLOOKUP($B65,'B-1 Site Hedge Baseline'!$B$1:$U$257,12,FALSE)),"",(VLOOKUP($B65,'B-1 Site Hedge Baseline'!$B$1:$U$257,12,FALSE))))</f>
        <v/>
      </c>
      <c r="M65" s="416" t="str">
        <f t="shared" si="0"/>
        <v/>
      </c>
      <c r="N65" s="498" t="str">
        <f>IFERROR(IF(B65="","",INDEX('G-6 Hedgerow Data'!$AN$3:$AZ$15,MATCH(C65,'G-6 Hedgerow Data'!$AM$3:$AM$15,0),MATCH(M65,'G-6 Hedgerow Data'!$AN$2:$AZ$2,0))),"")</f>
        <v/>
      </c>
      <c r="O65" s="499" t="str">
        <f t="shared" si="2"/>
        <v/>
      </c>
      <c r="P65" s="559" t="str">
        <f>IF(B65="","",VLOOKUP(B65,'B-1 Site Hedge Baseline'!$B$10:T310,16,FALSE))</f>
        <v/>
      </c>
      <c r="Q65" s="498" t="str">
        <f>IF(M65="","",VLOOKUP(M65,'G-6 Hedgerow Data'!$B$2:$AG$15,2,FALSE))</f>
        <v/>
      </c>
      <c r="R65" s="499" t="str">
        <f>IF(M65="","",VLOOKUP(M65,'G-6 Hedgerow Data'!$B$2:$AG$15,3,FALSE))</f>
        <v/>
      </c>
      <c r="S65" s="157"/>
      <c r="T65" s="540" t="str">
        <f>IFERROR(VLOOKUP(S65,'G-1 All Habitats'!$Z$2:$AA$9,2,FALSE),"")</f>
        <v/>
      </c>
      <c r="U65" s="154"/>
      <c r="V65" s="520" t="str">
        <f>IF(U65="","",IF(VLOOKUP(U65,'G-3 Multipliers'!$L$3:$N$6,2,FALSE)=0,"Spatial Data Missing ⚠",VLOOKUP(U65,'G-3 Multipliers'!$L$3:$N$6,2,FALSE)))</f>
        <v/>
      </c>
      <c r="W65" s="524" t="str">
        <f>IF(U65="","",IF(VLOOKUP(U65,'G-3 Multipliers'!$L$3:$N$6,3,FALSE)=0,"Spatial Data Missing ⚠",VLOOKUP(U65,'G-3 Multipliers'!$L$3:$N$6,3,FALSE)))</f>
        <v/>
      </c>
      <c r="X65" s="498"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7" t="str">
        <f t="shared" si="3"/>
        <v/>
      </c>
      <c r="AB65" s="521" t="str">
        <f t="shared" si="4"/>
        <v/>
      </c>
      <c r="AC65" s="522" t="str">
        <f t="shared" si="1"/>
        <v/>
      </c>
      <c r="AD65" s="537" t="str">
        <f>IF(M65="","",VLOOKUP(M65,'G-6 Hedgerow Data'!$B$3:$AG$15,31,FALSE))</f>
        <v/>
      </c>
      <c r="AE65" s="507" t="str">
        <f t="shared" si="5"/>
        <v/>
      </c>
      <c r="AF65" s="507" t="str">
        <f t="shared" si="6"/>
        <v/>
      </c>
      <c r="AG65" s="524" t="str">
        <f>IFERROR(IF(O65="","",VLOOKUP(AD65,'G-3 Multipliers'!$P$3:$Q$6,2,FALSE)),"")</f>
        <v/>
      </c>
      <c r="AH65" s="513" t="str">
        <f t="shared" si="7"/>
        <v/>
      </c>
      <c r="AI65" s="231"/>
      <c r="AJ65" s="150"/>
      <c r="AT65" s="31" t="str">
        <f>IFERROR(INDEX('G-6 Hedgerow Data'!$BJ$3:$BJ$15,MATCH(M65,'G-6 Hedgerow Data'!$B$3:$B$15,0)),"")</f>
        <v/>
      </c>
    </row>
    <row r="66" spans="2:46" ht="13.8" x14ac:dyDescent="0.25">
      <c r="B66" s="531" t="str">
        <f>'B-1 Site Hedge Baseline'!AK64</f>
        <v/>
      </c>
      <c r="C66" s="520" t="str">
        <f>IF(B66="","",IF(ISNA(VLOOKUP($B66,'B-1 Site Hedge Baseline'!$B$1:$L$257,3,FALSE)),"",(VLOOKUP($B66,'B-1 Site Hedge Baseline'!$B$1:$L$257,3,FALSE))))</f>
        <v/>
      </c>
      <c r="D66" s="520" t="str">
        <f>IF(B66="","",IF(ISNA(VLOOKUP($B66,'B-1 Site Hedge Baseline'!$B$1:$L$257,4,FALSE)),"",(VLOOKUP($B66,'B-1 Site Hedge Baseline'!$B$1:$L$257,4,FALSE))))</f>
        <v/>
      </c>
      <c r="E66" s="520" t="str">
        <f>IF(B66="","",IF(ISNA(VLOOKUP($B66,'B-1 Site Hedge Baseline'!$B$1:$L$257,5,FALSE)),"",(VLOOKUP($B66,'B-1 Site Hedge Baseline'!$B$1:$L$257,5,FALSE))))</f>
        <v/>
      </c>
      <c r="F66" s="520" t="str">
        <f>IF(B66="","",IF(ISNA(VLOOKUP($B66,'B-1 Site Hedge Baseline'!$B$1:$L$257,6,FALSE)),"",(VLOOKUP($B66,'B-1 Site Hedge Baseline'!$B$1:$L$257,6,FALSE))))</f>
        <v/>
      </c>
      <c r="G66" s="520" t="str">
        <f>IF(B66="","",IF(ISNA(VLOOKUP($B66,'B-1 Site Hedge Baseline'!$B$1:$L$257,7,FALSE)),"",(VLOOKUP($B66,'B-1 Site Hedge Baseline'!$B$1:$L$257,7,FALSE))))</f>
        <v/>
      </c>
      <c r="H66" s="520" t="str">
        <f>IF(B66="","",IF(ISNA(VLOOKUP($B66,'B-1 Site Hedge Baseline'!$B$1:$L$257,8,FALSE)),"",(VLOOKUP($B66,'B-1 Site Hedge Baseline'!$B$1:$L$257,8,FALSE))))</f>
        <v/>
      </c>
      <c r="I66" s="520" t="str">
        <f>IF(B66="","",IF(ISNA(VLOOKUP($B66,'B-1 Site Hedge Baseline'!$B$1:$L$257,10,FALSE)),"",(VLOOKUP($B66,'B-1 Site Hedge Baseline'!$B$1:$L$257,10,FALSE))))</f>
        <v/>
      </c>
      <c r="J66" s="520" t="str">
        <f>IF(B66="","",IF(ISNA(VLOOKUP($B66,'B-1 Site Hedge Baseline'!$B$1:$L$257,11,FALSE)),"",(VLOOKUP($B66,'B-1 Site Hedge Baseline'!$B$1:$L$257,11,FALSE))))</f>
        <v/>
      </c>
      <c r="K66" s="520" t="str">
        <f>IF(B66="","",IF(ISNA(VLOOKUP($B66,'B-1 Site Hedge Baseline'!$B$1:$U$257,13,FALSE)),"",(VLOOKUP($B66,'B-1 Site Hedge Baseline'!$B$1:$U$257,13,FALSE))))</f>
        <v/>
      </c>
      <c r="L66" s="524" t="str">
        <f>IF(B66="","",IF(ISNA(VLOOKUP($B66,'B-1 Site Hedge Baseline'!$B$1:$U$257,12,FALSE)),"",(VLOOKUP($B66,'B-1 Site Hedge Baseline'!$B$1:$U$257,12,FALSE))))</f>
        <v/>
      </c>
      <c r="M66" s="416" t="str">
        <f t="shared" si="0"/>
        <v/>
      </c>
      <c r="N66" s="498" t="str">
        <f>IFERROR(IF(B66="","",INDEX('G-6 Hedgerow Data'!$AN$3:$AZ$15,MATCH(C66,'G-6 Hedgerow Data'!$AM$3:$AM$15,0),MATCH(M66,'G-6 Hedgerow Data'!$AN$2:$AZ$2,0))),"")</f>
        <v/>
      </c>
      <c r="O66" s="499" t="str">
        <f t="shared" si="2"/>
        <v/>
      </c>
      <c r="P66" s="559" t="str">
        <f>IF(B66="","",VLOOKUP(B66,'B-1 Site Hedge Baseline'!$B$10:T311,16,FALSE))</f>
        <v/>
      </c>
      <c r="Q66" s="498" t="str">
        <f>IF(M66="","",VLOOKUP(M66,'G-6 Hedgerow Data'!$B$2:$AG$15,2,FALSE))</f>
        <v/>
      </c>
      <c r="R66" s="499" t="str">
        <f>IF(M66="","",VLOOKUP(M66,'G-6 Hedgerow Data'!$B$2:$AG$15,3,FALSE))</f>
        <v/>
      </c>
      <c r="S66" s="157"/>
      <c r="T66" s="540" t="str">
        <f>IFERROR(VLOOKUP(S66,'G-1 All Habitats'!$Z$2:$AA$9,2,FALSE),"")</f>
        <v/>
      </c>
      <c r="U66" s="154"/>
      <c r="V66" s="520" t="str">
        <f>IF(U66="","",IF(VLOOKUP(U66,'G-3 Multipliers'!$L$3:$N$6,2,FALSE)=0,"Spatial Data Missing ⚠",VLOOKUP(U66,'G-3 Multipliers'!$L$3:$N$6,2,FALSE)))</f>
        <v/>
      </c>
      <c r="W66" s="524" t="str">
        <f>IF(U66="","",IF(VLOOKUP(U66,'G-3 Multipliers'!$L$3:$N$6,3,FALSE)=0,"Spatial Data Missing ⚠",VLOOKUP(U66,'G-3 Multipliers'!$L$3:$N$6,3,FALSE)))</f>
        <v/>
      </c>
      <c r="X66" s="498"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7" t="str">
        <f t="shared" si="3"/>
        <v/>
      </c>
      <c r="AB66" s="521" t="str">
        <f t="shared" si="4"/>
        <v/>
      </c>
      <c r="AC66" s="522" t="str">
        <f t="shared" si="1"/>
        <v/>
      </c>
      <c r="AD66" s="537" t="str">
        <f>IF(M66="","",VLOOKUP(M66,'G-6 Hedgerow Data'!$B$3:$AG$15,31,FALSE))</f>
        <v/>
      </c>
      <c r="AE66" s="507" t="str">
        <f t="shared" si="5"/>
        <v/>
      </c>
      <c r="AF66" s="507" t="str">
        <f t="shared" si="6"/>
        <v/>
      </c>
      <c r="AG66" s="524" t="str">
        <f>IFERROR(IF(O66="","",VLOOKUP(AD66,'G-3 Multipliers'!$P$3:$Q$6,2,FALSE)),"")</f>
        <v/>
      </c>
      <c r="AH66" s="513" t="str">
        <f t="shared" si="7"/>
        <v/>
      </c>
      <c r="AI66" s="231"/>
      <c r="AJ66" s="150"/>
      <c r="AT66" s="31" t="str">
        <f>IFERROR(INDEX('G-6 Hedgerow Data'!$BJ$3:$BJ$15,MATCH(M66,'G-6 Hedgerow Data'!$B$3:$B$15,0)),"")</f>
        <v/>
      </c>
    </row>
    <row r="67" spans="2:46" ht="13.8" x14ac:dyDescent="0.25">
      <c r="B67" s="531" t="str">
        <f>'B-1 Site Hedge Baseline'!AK65</f>
        <v/>
      </c>
      <c r="C67" s="520" t="str">
        <f>IF(B67="","",IF(ISNA(VLOOKUP($B67,'B-1 Site Hedge Baseline'!$B$1:$L$257,3,FALSE)),"",(VLOOKUP($B67,'B-1 Site Hedge Baseline'!$B$1:$L$257,3,FALSE))))</f>
        <v/>
      </c>
      <c r="D67" s="520" t="str">
        <f>IF(B67="","",IF(ISNA(VLOOKUP($B67,'B-1 Site Hedge Baseline'!$B$1:$L$257,4,FALSE)),"",(VLOOKUP($B67,'B-1 Site Hedge Baseline'!$B$1:$L$257,4,FALSE))))</f>
        <v/>
      </c>
      <c r="E67" s="520" t="str">
        <f>IF(B67="","",IF(ISNA(VLOOKUP($B67,'B-1 Site Hedge Baseline'!$B$1:$L$257,5,FALSE)),"",(VLOOKUP($B67,'B-1 Site Hedge Baseline'!$B$1:$L$257,5,FALSE))))</f>
        <v/>
      </c>
      <c r="F67" s="520" t="str">
        <f>IF(B67="","",IF(ISNA(VLOOKUP($B67,'B-1 Site Hedge Baseline'!$B$1:$L$257,6,FALSE)),"",(VLOOKUP($B67,'B-1 Site Hedge Baseline'!$B$1:$L$257,6,FALSE))))</f>
        <v/>
      </c>
      <c r="G67" s="520" t="str">
        <f>IF(B67="","",IF(ISNA(VLOOKUP($B67,'B-1 Site Hedge Baseline'!$B$1:$L$257,7,FALSE)),"",(VLOOKUP($B67,'B-1 Site Hedge Baseline'!$B$1:$L$257,7,FALSE))))</f>
        <v/>
      </c>
      <c r="H67" s="520" t="str">
        <f>IF(B67="","",IF(ISNA(VLOOKUP($B67,'B-1 Site Hedge Baseline'!$B$1:$L$257,8,FALSE)),"",(VLOOKUP($B67,'B-1 Site Hedge Baseline'!$B$1:$L$257,8,FALSE))))</f>
        <v/>
      </c>
      <c r="I67" s="520" t="str">
        <f>IF(B67="","",IF(ISNA(VLOOKUP($B67,'B-1 Site Hedge Baseline'!$B$1:$L$257,10,FALSE)),"",(VLOOKUP($B67,'B-1 Site Hedge Baseline'!$B$1:$L$257,10,FALSE))))</f>
        <v/>
      </c>
      <c r="J67" s="520" t="str">
        <f>IF(B67="","",IF(ISNA(VLOOKUP($B67,'B-1 Site Hedge Baseline'!$B$1:$L$257,11,FALSE)),"",(VLOOKUP($B67,'B-1 Site Hedge Baseline'!$B$1:$L$257,11,FALSE))))</f>
        <v/>
      </c>
      <c r="K67" s="520" t="str">
        <f>IF(B67="","",IF(ISNA(VLOOKUP($B67,'B-1 Site Hedge Baseline'!$B$1:$U$257,13,FALSE)),"",(VLOOKUP($B67,'B-1 Site Hedge Baseline'!$B$1:$U$257,13,FALSE))))</f>
        <v/>
      </c>
      <c r="L67" s="524" t="str">
        <f>IF(B67="","",IF(ISNA(VLOOKUP($B67,'B-1 Site Hedge Baseline'!$B$1:$U$257,12,FALSE)),"",(VLOOKUP($B67,'B-1 Site Hedge Baseline'!$B$1:$U$257,12,FALSE))))</f>
        <v/>
      </c>
      <c r="M67" s="416" t="str">
        <f t="shared" si="0"/>
        <v/>
      </c>
      <c r="N67" s="498" t="str">
        <f>IFERROR(IF(B67="","",INDEX('G-6 Hedgerow Data'!$AN$3:$AZ$15,MATCH(C67,'G-6 Hedgerow Data'!$AM$3:$AM$15,0),MATCH(M67,'G-6 Hedgerow Data'!$AN$2:$AZ$2,0))),"")</f>
        <v/>
      </c>
      <c r="O67" s="499" t="str">
        <f t="shared" si="2"/>
        <v/>
      </c>
      <c r="P67" s="559" t="str">
        <f>IF(B67="","",VLOOKUP(B67,'B-1 Site Hedge Baseline'!$B$10:T312,16,FALSE))</f>
        <v/>
      </c>
      <c r="Q67" s="498" t="str">
        <f>IF(M67="","",VLOOKUP(M67,'G-6 Hedgerow Data'!$B$2:$AG$15,2,FALSE))</f>
        <v/>
      </c>
      <c r="R67" s="499" t="str">
        <f>IF(M67="","",VLOOKUP(M67,'G-6 Hedgerow Data'!$B$2:$AG$15,3,FALSE))</f>
        <v/>
      </c>
      <c r="S67" s="157"/>
      <c r="T67" s="540" t="str">
        <f>IFERROR(VLOOKUP(S67,'G-1 All Habitats'!$Z$2:$AA$9,2,FALSE),"")</f>
        <v/>
      </c>
      <c r="U67" s="154"/>
      <c r="V67" s="520" t="str">
        <f>IF(U67="","",IF(VLOOKUP(U67,'G-3 Multipliers'!$L$3:$N$6,2,FALSE)=0,"Spatial Data Missing ⚠",VLOOKUP(U67,'G-3 Multipliers'!$L$3:$N$6,2,FALSE)))</f>
        <v/>
      </c>
      <c r="W67" s="524" t="str">
        <f>IF(U67="","",IF(VLOOKUP(U67,'G-3 Multipliers'!$L$3:$N$6,3,FALSE)=0,"Spatial Data Missing ⚠",VLOOKUP(U67,'G-3 Multipliers'!$L$3:$N$6,3,FALSE)))</f>
        <v/>
      </c>
      <c r="X67" s="498"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7" t="str">
        <f t="shared" si="3"/>
        <v/>
      </c>
      <c r="AB67" s="521" t="str">
        <f t="shared" si="4"/>
        <v/>
      </c>
      <c r="AC67" s="522" t="str">
        <f t="shared" si="1"/>
        <v/>
      </c>
      <c r="AD67" s="537" t="str">
        <f>IF(M67="","",VLOOKUP(M67,'G-6 Hedgerow Data'!$B$3:$AG$15,31,FALSE))</f>
        <v/>
      </c>
      <c r="AE67" s="507" t="str">
        <f t="shared" si="5"/>
        <v/>
      </c>
      <c r="AF67" s="507" t="str">
        <f t="shared" si="6"/>
        <v/>
      </c>
      <c r="AG67" s="524" t="str">
        <f>IFERROR(IF(O67="","",VLOOKUP(AD67,'G-3 Multipliers'!$P$3:$Q$6,2,FALSE)),"")</f>
        <v/>
      </c>
      <c r="AH67" s="513" t="str">
        <f t="shared" si="7"/>
        <v/>
      </c>
      <c r="AI67" s="231"/>
      <c r="AJ67" s="150"/>
      <c r="AT67" s="31" t="str">
        <f>IFERROR(INDEX('G-6 Hedgerow Data'!$BJ$3:$BJ$15,MATCH(M67,'G-6 Hedgerow Data'!$B$3:$B$15,0)),"")</f>
        <v/>
      </c>
    </row>
    <row r="68" spans="2:46" ht="13.8" x14ac:dyDescent="0.25">
      <c r="B68" s="531" t="str">
        <f>'B-1 Site Hedge Baseline'!AK66</f>
        <v/>
      </c>
      <c r="C68" s="520" t="str">
        <f>IF(B68="","",IF(ISNA(VLOOKUP($B68,'B-1 Site Hedge Baseline'!$B$1:$L$257,3,FALSE)),"",(VLOOKUP($B68,'B-1 Site Hedge Baseline'!$B$1:$L$257,3,FALSE))))</f>
        <v/>
      </c>
      <c r="D68" s="520" t="str">
        <f>IF(B68="","",IF(ISNA(VLOOKUP($B68,'B-1 Site Hedge Baseline'!$B$1:$L$257,4,FALSE)),"",(VLOOKUP($B68,'B-1 Site Hedge Baseline'!$B$1:$L$257,4,FALSE))))</f>
        <v/>
      </c>
      <c r="E68" s="520" t="str">
        <f>IF(B68="","",IF(ISNA(VLOOKUP($B68,'B-1 Site Hedge Baseline'!$B$1:$L$257,5,FALSE)),"",(VLOOKUP($B68,'B-1 Site Hedge Baseline'!$B$1:$L$257,5,FALSE))))</f>
        <v/>
      </c>
      <c r="F68" s="520" t="str">
        <f>IF(B68="","",IF(ISNA(VLOOKUP($B68,'B-1 Site Hedge Baseline'!$B$1:$L$257,6,FALSE)),"",(VLOOKUP($B68,'B-1 Site Hedge Baseline'!$B$1:$L$257,6,FALSE))))</f>
        <v/>
      </c>
      <c r="G68" s="520" t="str">
        <f>IF(B68="","",IF(ISNA(VLOOKUP($B68,'B-1 Site Hedge Baseline'!$B$1:$L$257,7,FALSE)),"",(VLOOKUP($B68,'B-1 Site Hedge Baseline'!$B$1:$L$257,7,FALSE))))</f>
        <v/>
      </c>
      <c r="H68" s="520" t="str">
        <f>IF(B68="","",IF(ISNA(VLOOKUP($B68,'B-1 Site Hedge Baseline'!$B$1:$L$257,8,FALSE)),"",(VLOOKUP($B68,'B-1 Site Hedge Baseline'!$B$1:$L$257,8,FALSE))))</f>
        <v/>
      </c>
      <c r="I68" s="520" t="str">
        <f>IF(B68="","",IF(ISNA(VLOOKUP($B68,'B-1 Site Hedge Baseline'!$B$1:$L$257,10,FALSE)),"",(VLOOKUP($B68,'B-1 Site Hedge Baseline'!$B$1:$L$257,10,FALSE))))</f>
        <v/>
      </c>
      <c r="J68" s="520" t="str">
        <f>IF(B68="","",IF(ISNA(VLOOKUP($B68,'B-1 Site Hedge Baseline'!$B$1:$L$257,11,FALSE)),"",(VLOOKUP($B68,'B-1 Site Hedge Baseline'!$B$1:$L$257,11,FALSE))))</f>
        <v/>
      </c>
      <c r="K68" s="520" t="str">
        <f>IF(B68="","",IF(ISNA(VLOOKUP($B68,'B-1 Site Hedge Baseline'!$B$1:$U$257,13,FALSE)),"",(VLOOKUP($B68,'B-1 Site Hedge Baseline'!$B$1:$U$257,13,FALSE))))</f>
        <v/>
      </c>
      <c r="L68" s="524" t="str">
        <f>IF(B68="","",IF(ISNA(VLOOKUP($B68,'B-1 Site Hedge Baseline'!$B$1:$U$257,12,FALSE)),"",(VLOOKUP($B68,'B-1 Site Hedge Baseline'!$B$1:$U$257,12,FALSE))))</f>
        <v/>
      </c>
      <c r="M68" s="416" t="str">
        <f t="shared" si="0"/>
        <v/>
      </c>
      <c r="N68" s="498" t="str">
        <f>IFERROR(IF(B68="","",INDEX('G-6 Hedgerow Data'!$AN$3:$AZ$15,MATCH(C68,'G-6 Hedgerow Data'!$AM$3:$AM$15,0),MATCH(M68,'G-6 Hedgerow Data'!$AN$2:$AZ$2,0))),"")</f>
        <v/>
      </c>
      <c r="O68" s="499" t="str">
        <f t="shared" si="2"/>
        <v/>
      </c>
      <c r="P68" s="559" t="str">
        <f>IF(B68="","",VLOOKUP(B68,'B-1 Site Hedge Baseline'!$B$10:T313,16,FALSE))</f>
        <v/>
      </c>
      <c r="Q68" s="498" t="str">
        <f>IF(M68="","",VLOOKUP(M68,'G-6 Hedgerow Data'!$B$2:$AG$15,2,FALSE))</f>
        <v/>
      </c>
      <c r="R68" s="499" t="str">
        <f>IF(M68="","",VLOOKUP(M68,'G-6 Hedgerow Data'!$B$2:$AG$15,3,FALSE))</f>
        <v/>
      </c>
      <c r="S68" s="157"/>
      <c r="T68" s="540" t="str">
        <f>IFERROR(VLOOKUP(S68,'G-1 All Habitats'!$Z$2:$AA$9,2,FALSE),"")</f>
        <v/>
      </c>
      <c r="U68" s="154"/>
      <c r="V68" s="520" t="str">
        <f>IF(U68="","",IF(VLOOKUP(U68,'G-3 Multipliers'!$L$3:$N$6,2,FALSE)=0,"Spatial Data Missing ⚠",VLOOKUP(U68,'G-3 Multipliers'!$L$3:$N$6,2,FALSE)))</f>
        <v/>
      </c>
      <c r="W68" s="524" t="str">
        <f>IF(U68="","",IF(VLOOKUP(U68,'G-3 Multipliers'!$L$3:$N$6,3,FALSE)=0,"Spatial Data Missing ⚠",VLOOKUP(U68,'G-3 Multipliers'!$L$3:$N$6,3,FALSE)))</f>
        <v/>
      </c>
      <c r="X68" s="498"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7" t="str">
        <f t="shared" si="3"/>
        <v/>
      </c>
      <c r="AB68" s="521" t="str">
        <f t="shared" si="4"/>
        <v/>
      </c>
      <c r="AC68" s="522" t="str">
        <f t="shared" si="1"/>
        <v/>
      </c>
      <c r="AD68" s="537" t="str">
        <f>IF(M68="","",VLOOKUP(M68,'G-6 Hedgerow Data'!$B$3:$AG$15,31,FALSE))</f>
        <v/>
      </c>
      <c r="AE68" s="507" t="str">
        <f t="shared" si="5"/>
        <v/>
      </c>
      <c r="AF68" s="507" t="str">
        <f t="shared" si="6"/>
        <v/>
      </c>
      <c r="AG68" s="524" t="str">
        <f>IFERROR(IF(O68="","",VLOOKUP(AD68,'G-3 Multipliers'!$P$3:$Q$6,2,FALSE)),"")</f>
        <v/>
      </c>
      <c r="AH68" s="513" t="str">
        <f t="shared" si="7"/>
        <v/>
      </c>
      <c r="AI68" s="231"/>
      <c r="AJ68" s="150"/>
      <c r="AT68" s="31" t="str">
        <f>IFERROR(INDEX('G-6 Hedgerow Data'!$BJ$3:$BJ$15,MATCH(M68,'G-6 Hedgerow Data'!$B$3:$B$15,0)),"")</f>
        <v/>
      </c>
    </row>
    <row r="69" spans="2:46" ht="13.8" x14ac:dyDescent="0.25">
      <c r="B69" s="531" t="str">
        <f>'B-1 Site Hedge Baseline'!AK67</f>
        <v/>
      </c>
      <c r="C69" s="520" t="str">
        <f>IF(B69="","",IF(ISNA(VLOOKUP($B69,'B-1 Site Hedge Baseline'!$B$1:$L$257,3,FALSE)),"",(VLOOKUP($B69,'B-1 Site Hedge Baseline'!$B$1:$L$257,3,FALSE))))</f>
        <v/>
      </c>
      <c r="D69" s="520" t="str">
        <f>IF(B69="","",IF(ISNA(VLOOKUP($B69,'B-1 Site Hedge Baseline'!$B$1:$L$257,4,FALSE)),"",(VLOOKUP($B69,'B-1 Site Hedge Baseline'!$B$1:$L$257,4,FALSE))))</f>
        <v/>
      </c>
      <c r="E69" s="520" t="str">
        <f>IF(B69="","",IF(ISNA(VLOOKUP($B69,'B-1 Site Hedge Baseline'!$B$1:$L$257,5,FALSE)),"",(VLOOKUP($B69,'B-1 Site Hedge Baseline'!$B$1:$L$257,5,FALSE))))</f>
        <v/>
      </c>
      <c r="F69" s="520" t="str">
        <f>IF(B69="","",IF(ISNA(VLOOKUP($B69,'B-1 Site Hedge Baseline'!$B$1:$L$257,6,FALSE)),"",(VLOOKUP($B69,'B-1 Site Hedge Baseline'!$B$1:$L$257,6,FALSE))))</f>
        <v/>
      </c>
      <c r="G69" s="520" t="str">
        <f>IF(B69="","",IF(ISNA(VLOOKUP($B69,'B-1 Site Hedge Baseline'!$B$1:$L$257,7,FALSE)),"",(VLOOKUP($B69,'B-1 Site Hedge Baseline'!$B$1:$L$257,7,FALSE))))</f>
        <v/>
      </c>
      <c r="H69" s="520" t="str">
        <f>IF(B69="","",IF(ISNA(VLOOKUP($B69,'B-1 Site Hedge Baseline'!$B$1:$L$257,8,FALSE)),"",(VLOOKUP($B69,'B-1 Site Hedge Baseline'!$B$1:$L$257,8,FALSE))))</f>
        <v/>
      </c>
      <c r="I69" s="520" t="str">
        <f>IF(B69="","",IF(ISNA(VLOOKUP($B69,'B-1 Site Hedge Baseline'!$B$1:$L$257,10,FALSE)),"",(VLOOKUP($B69,'B-1 Site Hedge Baseline'!$B$1:$L$257,10,FALSE))))</f>
        <v/>
      </c>
      <c r="J69" s="520" t="str">
        <f>IF(B69="","",IF(ISNA(VLOOKUP($B69,'B-1 Site Hedge Baseline'!$B$1:$L$257,11,FALSE)),"",(VLOOKUP($B69,'B-1 Site Hedge Baseline'!$B$1:$L$257,11,FALSE))))</f>
        <v/>
      </c>
      <c r="K69" s="520" t="str">
        <f>IF(B69="","",IF(ISNA(VLOOKUP($B69,'B-1 Site Hedge Baseline'!$B$1:$U$257,13,FALSE)),"",(VLOOKUP($B69,'B-1 Site Hedge Baseline'!$B$1:$U$257,13,FALSE))))</f>
        <v/>
      </c>
      <c r="L69" s="524" t="str">
        <f>IF(B69="","",IF(ISNA(VLOOKUP($B69,'B-1 Site Hedge Baseline'!$B$1:$U$257,12,FALSE)),"",(VLOOKUP($B69,'B-1 Site Hedge Baseline'!$B$1:$U$257,12,FALSE))))</f>
        <v/>
      </c>
      <c r="M69" s="416" t="str">
        <f t="shared" si="0"/>
        <v/>
      </c>
      <c r="N69" s="498" t="str">
        <f>IFERROR(IF(B69="","",INDEX('G-6 Hedgerow Data'!$AN$3:$AZ$15,MATCH(C69,'G-6 Hedgerow Data'!$AM$3:$AM$15,0),MATCH(M69,'G-6 Hedgerow Data'!$AN$2:$AZ$2,0))),"")</f>
        <v/>
      </c>
      <c r="O69" s="499" t="str">
        <f t="shared" si="2"/>
        <v/>
      </c>
      <c r="P69" s="559" t="str">
        <f>IF(B69="","",VLOOKUP(B69,'B-1 Site Hedge Baseline'!$B$10:T314,16,FALSE))</f>
        <v/>
      </c>
      <c r="Q69" s="498" t="str">
        <f>IF(M69="","",VLOOKUP(M69,'G-6 Hedgerow Data'!$B$2:$AG$15,2,FALSE))</f>
        <v/>
      </c>
      <c r="R69" s="499" t="str">
        <f>IF(M69="","",VLOOKUP(M69,'G-6 Hedgerow Data'!$B$2:$AG$15,3,FALSE))</f>
        <v/>
      </c>
      <c r="S69" s="157"/>
      <c r="T69" s="540" t="str">
        <f>IFERROR(VLOOKUP(S69,'G-1 All Habitats'!$Z$2:$AA$9,2,FALSE),"")</f>
        <v/>
      </c>
      <c r="U69" s="154"/>
      <c r="V69" s="520" t="str">
        <f>IF(U69="","",IF(VLOOKUP(U69,'G-3 Multipliers'!$L$3:$N$6,2,FALSE)=0,"Spatial Data Missing ⚠",VLOOKUP(U69,'G-3 Multipliers'!$L$3:$N$6,2,FALSE)))</f>
        <v/>
      </c>
      <c r="W69" s="524" t="str">
        <f>IF(U69="","",IF(VLOOKUP(U69,'G-3 Multipliers'!$L$3:$N$6,3,FALSE)=0,"Spatial Data Missing ⚠",VLOOKUP(U69,'G-3 Multipliers'!$L$3:$N$6,3,FALSE)))</f>
        <v/>
      </c>
      <c r="X69" s="498"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7" t="str">
        <f t="shared" si="3"/>
        <v/>
      </c>
      <c r="AB69" s="521" t="str">
        <f t="shared" si="4"/>
        <v/>
      </c>
      <c r="AC69" s="522" t="str">
        <f t="shared" si="1"/>
        <v/>
      </c>
      <c r="AD69" s="537" t="str">
        <f>IF(M69="","",VLOOKUP(M69,'G-6 Hedgerow Data'!$B$3:$AG$15,31,FALSE))</f>
        <v/>
      </c>
      <c r="AE69" s="507" t="str">
        <f t="shared" si="5"/>
        <v/>
      </c>
      <c r="AF69" s="507" t="str">
        <f t="shared" si="6"/>
        <v/>
      </c>
      <c r="AG69" s="524" t="str">
        <f>IFERROR(IF(O69="","",VLOOKUP(AD69,'G-3 Multipliers'!$P$3:$Q$6,2,FALSE)),"")</f>
        <v/>
      </c>
      <c r="AH69" s="513" t="str">
        <f t="shared" si="7"/>
        <v/>
      </c>
      <c r="AI69" s="231"/>
      <c r="AJ69" s="150"/>
      <c r="AT69" s="31" t="str">
        <f>IFERROR(INDEX('G-6 Hedgerow Data'!$BJ$3:$BJ$15,MATCH(M69,'G-6 Hedgerow Data'!$B$3:$B$15,0)),"")</f>
        <v/>
      </c>
    </row>
    <row r="70" spans="2:46" ht="13.8" x14ac:dyDescent="0.25">
      <c r="B70" s="531" t="str">
        <f>'B-1 Site Hedge Baseline'!AK68</f>
        <v/>
      </c>
      <c r="C70" s="520" t="str">
        <f>IF(B70="","",IF(ISNA(VLOOKUP($B70,'B-1 Site Hedge Baseline'!$B$1:$L$257,3,FALSE)),"",(VLOOKUP($B70,'B-1 Site Hedge Baseline'!$B$1:$L$257,3,FALSE))))</f>
        <v/>
      </c>
      <c r="D70" s="520" t="str">
        <f>IF(B70="","",IF(ISNA(VLOOKUP($B70,'B-1 Site Hedge Baseline'!$B$1:$L$257,4,FALSE)),"",(VLOOKUP($B70,'B-1 Site Hedge Baseline'!$B$1:$L$257,4,FALSE))))</f>
        <v/>
      </c>
      <c r="E70" s="520" t="str">
        <f>IF(B70="","",IF(ISNA(VLOOKUP($B70,'B-1 Site Hedge Baseline'!$B$1:$L$257,5,FALSE)),"",(VLOOKUP($B70,'B-1 Site Hedge Baseline'!$B$1:$L$257,5,FALSE))))</f>
        <v/>
      </c>
      <c r="F70" s="520" t="str">
        <f>IF(B70="","",IF(ISNA(VLOOKUP($B70,'B-1 Site Hedge Baseline'!$B$1:$L$257,6,FALSE)),"",(VLOOKUP($B70,'B-1 Site Hedge Baseline'!$B$1:$L$257,6,FALSE))))</f>
        <v/>
      </c>
      <c r="G70" s="520" t="str">
        <f>IF(B70="","",IF(ISNA(VLOOKUP($B70,'B-1 Site Hedge Baseline'!$B$1:$L$257,7,FALSE)),"",(VLOOKUP($B70,'B-1 Site Hedge Baseline'!$B$1:$L$257,7,FALSE))))</f>
        <v/>
      </c>
      <c r="H70" s="520" t="str">
        <f>IF(B70="","",IF(ISNA(VLOOKUP($B70,'B-1 Site Hedge Baseline'!$B$1:$L$257,8,FALSE)),"",(VLOOKUP($B70,'B-1 Site Hedge Baseline'!$B$1:$L$257,8,FALSE))))</f>
        <v/>
      </c>
      <c r="I70" s="520" t="str">
        <f>IF(B70="","",IF(ISNA(VLOOKUP($B70,'B-1 Site Hedge Baseline'!$B$1:$L$257,10,FALSE)),"",(VLOOKUP($B70,'B-1 Site Hedge Baseline'!$B$1:$L$257,10,FALSE))))</f>
        <v/>
      </c>
      <c r="J70" s="520" t="str">
        <f>IF(B70="","",IF(ISNA(VLOOKUP($B70,'B-1 Site Hedge Baseline'!$B$1:$L$257,11,FALSE)),"",(VLOOKUP($B70,'B-1 Site Hedge Baseline'!$B$1:$L$257,11,FALSE))))</f>
        <v/>
      </c>
      <c r="K70" s="520" t="str">
        <f>IF(B70="","",IF(ISNA(VLOOKUP($B70,'B-1 Site Hedge Baseline'!$B$1:$U$257,13,FALSE)),"",(VLOOKUP($B70,'B-1 Site Hedge Baseline'!$B$1:$U$257,13,FALSE))))</f>
        <v/>
      </c>
      <c r="L70" s="524" t="str">
        <f>IF(B70="","",IF(ISNA(VLOOKUP($B70,'B-1 Site Hedge Baseline'!$B$1:$U$257,12,FALSE)),"",(VLOOKUP($B70,'B-1 Site Hedge Baseline'!$B$1:$U$257,12,FALSE))))</f>
        <v/>
      </c>
      <c r="M70" s="416" t="str">
        <f t="shared" si="0"/>
        <v/>
      </c>
      <c r="N70" s="498" t="str">
        <f>IFERROR(IF(B70="","",INDEX('G-6 Hedgerow Data'!$AN$3:$AZ$15,MATCH(C70,'G-6 Hedgerow Data'!$AM$3:$AM$15,0),MATCH(M70,'G-6 Hedgerow Data'!$AN$2:$AZ$2,0))),"")</f>
        <v/>
      </c>
      <c r="O70" s="499" t="str">
        <f t="shared" si="2"/>
        <v/>
      </c>
      <c r="P70" s="559" t="str">
        <f>IF(B70="","",VLOOKUP(B70,'B-1 Site Hedge Baseline'!$B$10:T315,16,FALSE))</f>
        <v/>
      </c>
      <c r="Q70" s="498" t="str">
        <f>IF(M70="","",VLOOKUP(M70,'G-6 Hedgerow Data'!$B$2:$AG$15,2,FALSE))</f>
        <v/>
      </c>
      <c r="R70" s="499" t="str">
        <f>IF(M70="","",VLOOKUP(M70,'G-6 Hedgerow Data'!$B$2:$AG$15,3,FALSE))</f>
        <v/>
      </c>
      <c r="S70" s="157"/>
      <c r="T70" s="540" t="str">
        <f>IFERROR(VLOOKUP(S70,'G-1 All Habitats'!$Z$2:$AA$9,2,FALSE),"")</f>
        <v/>
      </c>
      <c r="U70" s="154"/>
      <c r="V70" s="520" t="str">
        <f>IF(U70="","",IF(VLOOKUP(U70,'G-3 Multipliers'!$L$3:$N$6,2,FALSE)=0,"Spatial Data Missing ⚠",VLOOKUP(U70,'G-3 Multipliers'!$L$3:$N$6,2,FALSE)))</f>
        <v/>
      </c>
      <c r="W70" s="524" t="str">
        <f>IF(U70="","",IF(VLOOKUP(U70,'G-3 Multipliers'!$L$3:$N$6,3,FALSE)=0,"Spatial Data Missing ⚠",VLOOKUP(U70,'G-3 Multipliers'!$L$3:$N$6,3,FALSE)))</f>
        <v/>
      </c>
      <c r="X70" s="498"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7" t="str">
        <f t="shared" si="3"/>
        <v/>
      </c>
      <c r="AB70" s="521" t="str">
        <f t="shared" si="4"/>
        <v/>
      </c>
      <c r="AC70" s="522" t="str">
        <f t="shared" si="1"/>
        <v/>
      </c>
      <c r="AD70" s="537" t="str">
        <f>IF(M70="","",VLOOKUP(M70,'G-6 Hedgerow Data'!$B$3:$AG$15,31,FALSE))</f>
        <v/>
      </c>
      <c r="AE70" s="507" t="str">
        <f t="shared" si="5"/>
        <v/>
      </c>
      <c r="AF70" s="507" t="str">
        <f t="shared" si="6"/>
        <v/>
      </c>
      <c r="AG70" s="524" t="str">
        <f>IFERROR(IF(O70="","",VLOOKUP(AD70,'G-3 Multipliers'!$P$3:$Q$6,2,FALSE)),"")</f>
        <v/>
      </c>
      <c r="AH70" s="513" t="str">
        <f t="shared" si="7"/>
        <v/>
      </c>
      <c r="AI70" s="231"/>
      <c r="AJ70" s="150"/>
      <c r="AT70" s="31" t="str">
        <f>IFERROR(INDEX('G-6 Hedgerow Data'!$BJ$3:$BJ$15,MATCH(M70,'G-6 Hedgerow Data'!$B$3:$B$15,0)),"")</f>
        <v/>
      </c>
    </row>
    <row r="71" spans="2:46" ht="13.8" x14ac:dyDescent="0.25">
      <c r="B71" s="531" t="str">
        <f>'B-1 Site Hedge Baseline'!AK69</f>
        <v/>
      </c>
      <c r="C71" s="520" t="str">
        <f>IF(B71="","",IF(ISNA(VLOOKUP($B71,'B-1 Site Hedge Baseline'!$B$1:$L$257,3,FALSE)),"",(VLOOKUP($B71,'B-1 Site Hedge Baseline'!$B$1:$L$257,3,FALSE))))</f>
        <v/>
      </c>
      <c r="D71" s="520" t="str">
        <f>IF(B71="","",IF(ISNA(VLOOKUP($B71,'B-1 Site Hedge Baseline'!$B$1:$L$257,4,FALSE)),"",(VLOOKUP($B71,'B-1 Site Hedge Baseline'!$B$1:$L$257,4,FALSE))))</f>
        <v/>
      </c>
      <c r="E71" s="520" t="str">
        <f>IF(B71="","",IF(ISNA(VLOOKUP($B71,'B-1 Site Hedge Baseline'!$B$1:$L$257,5,FALSE)),"",(VLOOKUP($B71,'B-1 Site Hedge Baseline'!$B$1:$L$257,5,FALSE))))</f>
        <v/>
      </c>
      <c r="F71" s="520" t="str">
        <f>IF(B71="","",IF(ISNA(VLOOKUP($B71,'B-1 Site Hedge Baseline'!$B$1:$L$257,6,FALSE)),"",(VLOOKUP($B71,'B-1 Site Hedge Baseline'!$B$1:$L$257,6,FALSE))))</f>
        <v/>
      </c>
      <c r="G71" s="520" t="str">
        <f>IF(B71="","",IF(ISNA(VLOOKUP($B71,'B-1 Site Hedge Baseline'!$B$1:$L$257,7,FALSE)),"",(VLOOKUP($B71,'B-1 Site Hedge Baseline'!$B$1:$L$257,7,FALSE))))</f>
        <v/>
      </c>
      <c r="H71" s="520" t="str">
        <f>IF(B71="","",IF(ISNA(VLOOKUP($B71,'B-1 Site Hedge Baseline'!$B$1:$L$257,8,FALSE)),"",(VLOOKUP($B71,'B-1 Site Hedge Baseline'!$B$1:$L$257,8,FALSE))))</f>
        <v/>
      </c>
      <c r="I71" s="520" t="str">
        <f>IF(B71="","",IF(ISNA(VLOOKUP($B71,'B-1 Site Hedge Baseline'!$B$1:$L$257,10,FALSE)),"",(VLOOKUP($B71,'B-1 Site Hedge Baseline'!$B$1:$L$257,10,FALSE))))</f>
        <v/>
      </c>
      <c r="J71" s="520" t="str">
        <f>IF(B71="","",IF(ISNA(VLOOKUP($B71,'B-1 Site Hedge Baseline'!$B$1:$L$257,11,FALSE)),"",(VLOOKUP($B71,'B-1 Site Hedge Baseline'!$B$1:$L$257,11,FALSE))))</f>
        <v/>
      </c>
      <c r="K71" s="520" t="str">
        <f>IF(B71="","",IF(ISNA(VLOOKUP($B71,'B-1 Site Hedge Baseline'!$B$1:$U$257,13,FALSE)),"",(VLOOKUP($B71,'B-1 Site Hedge Baseline'!$B$1:$U$257,13,FALSE))))</f>
        <v/>
      </c>
      <c r="L71" s="524" t="str">
        <f>IF(B71="","",IF(ISNA(VLOOKUP($B71,'B-1 Site Hedge Baseline'!$B$1:$U$257,12,FALSE)),"",(VLOOKUP($B71,'B-1 Site Hedge Baseline'!$B$1:$U$257,12,FALSE))))</f>
        <v/>
      </c>
      <c r="M71" s="416" t="str">
        <f t="shared" si="0"/>
        <v/>
      </c>
      <c r="N71" s="498" t="str">
        <f>IFERROR(IF(B71="","",INDEX('G-6 Hedgerow Data'!$AN$3:$AZ$15,MATCH(C71,'G-6 Hedgerow Data'!$AM$3:$AM$15,0),MATCH(M71,'G-6 Hedgerow Data'!$AN$2:$AZ$2,0))),"")</f>
        <v/>
      </c>
      <c r="O71" s="499" t="str">
        <f t="shared" si="2"/>
        <v/>
      </c>
      <c r="P71" s="559" t="str">
        <f>IF(B71="","",VLOOKUP(B71,'B-1 Site Hedge Baseline'!$B$10:T316,16,FALSE))</f>
        <v/>
      </c>
      <c r="Q71" s="498" t="str">
        <f>IF(M71="","",VLOOKUP(M71,'G-6 Hedgerow Data'!$B$2:$AG$15,2,FALSE))</f>
        <v/>
      </c>
      <c r="R71" s="499" t="str">
        <f>IF(M71="","",VLOOKUP(M71,'G-6 Hedgerow Data'!$B$2:$AG$15,3,FALSE))</f>
        <v/>
      </c>
      <c r="S71" s="157"/>
      <c r="T71" s="540" t="str">
        <f>IFERROR(VLOOKUP(S71,'G-1 All Habitats'!$Z$2:$AA$9,2,FALSE),"")</f>
        <v/>
      </c>
      <c r="U71" s="154"/>
      <c r="V71" s="520" t="str">
        <f>IF(U71="","",IF(VLOOKUP(U71,'G-3 Multipliers'!$L$3:$N$6,2,FALSE)=0,"Spatial Data Missing ⚠",VLOOKUP(U71,'G-3 Multipliers'!$L$3:$N$6,2,FALSE)))</f>
        <v/>
      </c>
      <c r="W71" s="524" t="str">
        <f>IF(U71="","",IF(VLOOKUP(U71,'G-3 Multipliers'!$L$3:$N$6,3,FALSE)=0,"Spatial Data Missing ⚠",VLOOKUP(U71,'G-3 Multipliers'!$L$3:$N$6,3,FALSE)))</f>
        <v/>
      </c>
      <c r="X71" s="498"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7" t="str">
        <f t="shared" si="3"/>
        <v/>
      </c>
      <c r="AB71" s="521" t="str">
        <f t="shared" si="4"/>
        <v/>
      </c>
      <c r="AC71" s="522" t="str">
        <f t="shared" si="1"/>
        <v/>
      </c>
      <c r="AD71" s="537" t="str">
        <f>IF(M71="","",VLOOKUP(M71,'G-6 Hedgerow Data'!$B$3:$AG$15,31,FALSE))</f>
        <v/>
      </c>
      <c r="AE71" s="507" t="str">
        <f t="shared" si="5"/>
        <v/>
      </c>
      <c r="AF71" s="507" t="str">
        <f t="shared" si="6"/>
        <v/>
      </c>
      <c r="AG71" s="524" t="str">
        <f>IFERROR(IF(O71="","",VLOOKUP(AD71,'G-3 Multipliers'!$P$3:$Q$6,2,FALSE)),"")</f>
        <v/>
      </c>
      <c r="AH71" s="513" t="str">
        <f t="shared" si="7"/>
        <v/>
      </c>
      <c r="AI71" s="231"/>
      <c r="AJ71" s="150"/>
      <c r="AT71" s="31" t="str">
        <f>IFERROR(INDEX('G-6 Hedgerow Data'!$BJ$3:$BJ$15,MATCH(M71,'G-6 Hedgerow Data'!$B$3:$B$15,0)),"")</f>
        <v/>
      </c>
    </row>
    <row r="72" spans="2:46" ht="13.8" x14ac:dyDescent="0.25">
      <c r="B72" s="531" t="str">
        <f>'B-1 Site Hedge Baseline'!AK70</f>
        <v/>
      </c>
      <c r="C72" s="520" t="str">
        <f>IF(B72="","",IF(ISNA(VLOOKUP($B72,'B-1 Site Hedge Baseline'!$B$1:$L$257,3,FALSE)),"",(VLOOKUP($B72,'B-1 Site Hedge Baseline'!$B$1:$L$257,3,FALSE))))</f>
        <v/>
      </c>
      <c r="D72" s="520" t="str">
        <f>IF(B72="","",IF(ISNA(VLOOKUP($B72,'B-1 Site Hedge Baseline'!$B$1:$L$257,4,FALSE)),"",(VLOOKUP($B72,'B-1 Site Hedge Baseline'!$B$1:$L$257,4,FALSE))))</f>
        <v/>
      </c>
      <c r="E72" s="520" t="str">
        <f>IF(B72="","",IF(ISNA(VLOOKUP($B72,'B-1 Site Hedge Baseline'!$B$1:$L$257,5,FALSE)),"",(VLOOKUP($B72,'B-1 Site Hedge Baseline'!$B$1:$L$257,5,FALSE))))</f>
        <v/>
      </c>
      <c r="F72" s="520" t="str">
        <f>IF(B72="","",IF(ISNA(VLOOKUP($B72,'B-1 Site Hedge Baseline'!$B$1:$L$257,6,FALSE)),"",(VLOOKUP($B72,'B-1 Site Hedge Baseline'!$B$1:$L$257,6,FALSE))))</f>
        <v/>
      </c>
      <c r="G72" s="520" t="str">
        <f>IF(B72="","",IF(ISNA(VLOOKUP($B72,'B-1 Site Hedge Baseline'!$B$1:$L$257,7,FALSE)),"",(VLOOKUP($B72,'B-1 Site Hedge Baseline'!$B$1:$L$257,7,FALSE))))</f>
        <v/>
      </c>
      <c r="H72" s="520" t="str">
        <f>IF(B72="","",IF(ISNA(VLOOKUP($B72,'B-1 Site Hedge Baseline'!$B$1:$L$257,8,FALSE)),"",(VLOOKUP($B72,'B-1 Site Hedge Baseline'!$B$1:$L$257,8,FALSE))))</f>
        <v/>
      </c>
      <c r="I72" s="520" t="str">
        <f>IF(B72="","",IF(ISNA(VLOOKUP($B72,'B-1 Site Hedge Baseline'!$B$1:$L$257,10,FALSE)),"",(VLOOKUP($B72,'B-1 Site Hedge Baseline'!$B$1:$L$257,10,FALSE))))</f>
        <v/>
      </c>
      <c r="J72" s="520" t="str">
        <f>IF(B72="","",IF(ISNA(VLOOKUP($B72,'B-1 Site Hedge Baseline'!$B$1:$L$257,11,FALSE)),"",(VLOOKUP($B72,'B-1 Site Hedge Baseline'!$B$1:$L$257,11,FALSE))))</f>
        <v/>
      </c>
      <c r="K72" s="520" t="str">
        <f>IF(B72="","",IF(ISNA(VLOOKUP($B72,'B-1 Site Hedge Baseline'!$B$1:$U$257,13,FALSE)),"",(VLOOKUP($B72,'B-1 Site Hedge Baseline'!$B$1:$U$257,13,FALSE))))</f>
        <v/>
      </c>
      <c r="L72" s="524" t="str">
        <f>IF(B72="","",IF(ISNA(VLOOKUP($B72,'B-1 Site Hedge Baseline'!$B$1:$U$257,12,FALSE)),"",(VLOOKUP($B72,'B-1 Site Hedge Baseline'!$B$1:$U$257,12,FALSE))))</f>
        <v/>
      </c>
      <c r="M72" s="416" t="str">
        <f t="shared" si="0"/>
        <v/>
      </c>
      <c r="N72" s="498" t="str">
        <f>IFERROR(IF(B72="","",INDEX('G-6 Hedgerow Data'!$AN$3:$AZ$15,MATCH(C72,'G-6 Hedgerow Data'!$AM$3:$AM$15,0),MATCH(M72,'G-6 Hedgerow Data'!$AN$2:$AZ$2,0))),"")</f>
        <v/>
      </c>
      <c r="O72" s="499" t="str">
        <f t="shared" si="2"/>
        <v/>
      </c>
      <c r="P72" s="559" t="str">
        <f>IF(B72="","",VLOOKUP(B72,'B-1 Site Hedge Baseline'!$B$10:T317,16,FALSE))</f>
        <v/>
      </c>
      <c r="Q72" s="498" t="str">
        <f>IF(M72="","",VLOOKUP(M72,'G-6 Hedgerow Data'!$B$2:$AG$15,2,FALSE))</f>
        <v/>
      </c>
      <c r="R72" s="499" t="str">
        <f>IF(M72="","",VLOOKUP(M72,'G-6 Hedgerow Data'!$B$2:$AG$15,3,FALSE))</f>
        <v/>
      </c>
      <c r="S72" s="157"/>
      <c r="T72" s="540" t="str">
        <f>IFERROR(VLOOKUP(S72,'G-1 All Habitats'!$Z$2:$AA$9,2,FALSE),"")</f>
        <v/>
      </c>
      <c r="U72" s="154"/>
      <c r="V72" s="520" t="str">
        <f>IF(U72="","",IF(VLOOKUP(U72,'G-3 Multipliers'!$L$3:$N$6,2,FALSE)=0,"Spatial Data Missing ⚠",VLOOKUP(U72,'G-3 Multipliers'!$L$3:$N$6,2,FALSE)))</f>
        <v/>
      </c>
      <c r="W72" s="524" t="str">
        <f>IF(U72="","",IF(VLOOKUP(U72,'G-3 Multipliers'!$L$3:$N$6,3,FALSE)=0,"Spatial Data Missing ⚠",VLOOKUP(U72,'G-3 Multipliers'!$L$3:$N$6,3,FALSE)))</f>
        <v/>
      </c>
      <c r="X72" s="498"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7" t="str">
        <f t="shared" si="3"/>
        <v/>
      </c>
      <c r="AB72" s="521" t="str">
        <f t="shared" si="4"/>
        <v/>
      </c>
      <c r="AC72" s="522" t="str">
        <f t="shared" si="1"/>
        <v/>
      </c>
      <c r="AD72" s="537" t="str">
        <f>IF(M72="","",VLOOKUP(M72,'G-6 Hedgerow Data'!$B$3:$AG$15,31,FALSE))</f>
        <v/>
      </c>
      <c r="AE72" s="507" t="str">
        <f t="shared" si="5"/>
        <v/>
      </c>
      <c r="AF72" s="507" t="str">
        <f t="shared" si="6"/>
        <v/>
      </c>
      <c r="AG72" s="524" t="str">
        <f>IFERROR(IF(O72="","",VLOOKUP(AD72,'G-3 Multipliers'!$P$3:$Q$6,2,FALSE)),"")</f>
        <v/>
      </c>
      <c r="AH72" s="513" t="str">
        <f t="shared" si="7"/>
        <v/>
      </c>
      <c r="AI72" s="231"/>
      <c r="AJ72" s="150"/>
      <c r="AT72" s="31" t="str">
        <f>IFERROR(INDEX('G-6 Hedgerow Data'!$BJ$3:$BJ$15,MATCH(M72,'G-6 Hedgerow Data'!$B$3:$B$15,0)),"")</f>
        <v/>
      </c>
    </row>
    <row r="73" spans="2:46" ht="13.8" x14ac:dyDescent="0.25">
      <c r="B73" s="531" t="str">
        <f>'B-1 Site Hedge Baseline'!AK71</f>
        <v/>
      </c>
      <c r="C73" s="520" t="str">
        <f>IF(B73="","",IF(ISNA(VLOOKUP($B73,'B-1 Site Hedge Baseline'!$B$1:$L$257,3,FALSE)),"",(VLOOKUP($B73,'B-1 Site Hedge Baseline'!$B$1:$L$257,3,FALSE))))</f>
        <v/>
      </c>
      <c r="D73" s="520" t="str">
        <f>IF(B73="","",IF(ISNA(VLOOKUP($B73,'B-1 Site Hedge Baseline'!$B$1:$L$257,4,FALSE)),"",(VLOOKUP($B73,'B-1 Site Hedge Baseline'!$B$1:$L$257,4,FALSE))))</f>
        <v/>
      </c>
      <c r="E73" s="520" t="str">
        <f>IF(B73="","",IF(ISNA(VLOOKUP($B73,'B-1 Site Hedge Baseline'!$B$1:$L$257,5,FALSE)),"",(VLOOKUP($B73,'B-1 Site Hedge Baseline'!$B$1:$L$257,5,FALSE))))</f>
        <v/>
      </c>
      <c r="F73" s="520" t="str">
        <f>IF(B73="","",IF(ISNA(VLOOKUP($B73,'B-1 Site Hedge Baseline'!$B$1:$L$257,6,FALSE)),"",(VLOOKUP($B73,'B-1 Site Hedge Baseline'!$B$1:$L$257,6,FALSE))))</f>
        <v/>
      </c>
      <c r="G73" s="520" t="str">
        <f>IF(B73="","",IF(ISNA(VLOOKUP($B73,'B-1 Site Hedge Baseline'!$B$1:$L$257,7,FALSE)),"",(VLOOKUP($B73,'B-1 Site Hedge Baseline'!$B$1:$L$257,7,FALSE))))</f>
        <v/>
      </c>
      <c r="H73" s="520" t="str">
        <f>IF(B73="","",IF(ISNA(VLOOKUP($B73,'B-1 Site Hedge Baseline'!$B$1:$L$257,8,FALSE)),"",(VLOOKUP($B73,'B-1 Site Hedge Baseline'!$B$1:$L$257,8,FALSE))))</f>
        <v/>
      </c>
      <c r="I73" s="520" t="str">
        <f>IF(B73="","",IF(ISNA(VLOOKUP($B73,'B-1 Site Hedge Baseline'!$B$1:$L$257,10,FALSE)),"",(VLOOKUP($B73,'B-1 Site Hedge Baseline'!$B$1:$L$257,10,FALSE))))</f>
        <v/>
      </c>
      <c r="J73" s="520" t="str">
        <f>IF(B73="","",IF(ISNA(VLOOKUP($B73,'B-1 Site Hedge Baseline'!$B$1:$L$257,11,FALSE)),"",(VLOOKUP($B73,'B-1 Site Hedge Baseline'!$B$1:$L$257,11,FALSE))))</f>
        <v/>
      </c>
      <c r="K73" s="520" t="str">
        <f>IF(B73="","",IF(ISNA(VLOOKUP($B73,'B-1 Site Hedge Baseline'!$B$1:$U$257,13,FALSE)),"",(VLOOKUP($B73,'B-1 Site Hedge Baseline'!$B$1:$U$257,13,FALSE))))</f>
        <v/>
      </c>
      <c r="L73" s="524" t="str">
        <f>IF(B73="","",IF(ISNA(VLOOKUP($B73,'B-1 Site Hedge Baseline'!$B$1:$U$257,12,FALSE)),"",(VLOOKUP($B73,'B-1 Site Hedge Baseline'!$B$1:$U$257,12,FALSE))))</f>
        <v/>
      </c>
      <c r="M73" s="416" t="str">
        <f t="shared" si="0"/>
        <v/>
      </c>
      <c r="N73" s="498" t="str">
        <f>IFERROR(IF(B73="","",INDEX('G-6 Hedgerow Data'!$AN$3:$AZ$15,MATCH(C73,'G-6 Hedgerow Data'!$AM$3:$AM$15,0),MATCH(M73,'G-6 Hedgerow Data'!$AN$2:$AZ$2,0))),"")</f>
        <v/>
      </c>
      <c r="O73" s="499" t="str">
        <f t="shared" si="2"/>
        <v/>
      </c>
      <c r="P73" s="559" t="str">
        <f>IF(B73="","",VLOOKUP(B73,'B-1 Site Hedge Baseline'!$B$10:T318,16,FALSE))</f>
        <v/>
      </c>
      <c r="Q73" s="498" t="str">
        <f>IF(M73="","",VLOOKUP(M73,'G-6 Hedgerow Data'!$B$2:$AG$15,2,FALSE))</f>
        <v/>
      </c>
      <c r="R73" s="499" t="str">
        <f>IF(M73="","",VLOOKUP(M73,'G-6 Hedgerow Data'!$B$2:$AG$15,3,FALSE))</f>
        <v/>
      </c>
      <c r="S73" s="157"/>
      <c r="T73" s="540" t="str">
        <f>IFERROR(VLOOKUP(S73,'G-1 All Habitats'!$Z$2:$AA$9,2,FALSE),"")</f>
        <v/>
      </c>
      <c r="U73" s="154"/>
      <c r="V73" s="520" t="str">
        <f>IF(U73="","",IF(VLOOKUP(U73,'G-3 Multipliers'!$L$3:$N$6,2,FALSE)=0,"Spatial Data Missing ⚠",VLOOKUP(U73,'G-3 Multipliers'!$L$3:$N$6,2,FALSE)))</f>
        <v/>
      </c>
      <c r="W73" s="524" t="str">
        <f>IF(U73="","",IF(VLOOKUP(U73,'G-3 Multipliers'!$L$3:$N$6,3,FALSE)=0,"Spatial Data Missing ⚠",VLOOKUP(U73,'G-3 Multipliers'!$L$3:$N$6,3,FALSE)))</f>
        <v/>
      </c>
      <c r="X73" s="498"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7" t="str">
        <f t="shared" si="3"/>
        <v/>
      </c>
      <c r="AB73" s="521" t="str">
        <f t="shared" si="4"/>
        <v/>
      </c>
      <c r="AC73" s="522" t="str">
        <f t="shared" si="1"/>
        <v/>
      </c>
      <c r="AD73" s="537" t="str">
        <f>IF(M73="","",VLOOKUP(M73,'G-6 Hedgerow Data'!$B$3:$AG$15,31,FALSE))</f>
        <v/>
      </c>
      <c r="AE73" s="507" t="str">
        <f t="shared" si="5"/>
        <v/>
      </c>
      <c r="AF73" s="507" t="str">
        <f t="shared" si="6"/>
        <v/>
      </c>
      <c r="AG73" s="524" t="str">
        <f>IFERROR(IF(O73="","",VLOOKUP(AD73,'G-3 Multipliers'!$P$3:$Q$6,2,FALSE)),"")</f>
        <v/>
      </c>
      <c r="AH73" s="513" t="str">
        <f t="shared" si="7"/>
        <v/>
      </c>
      <c r="AI73" s="231"/>
      <c r="AJ73" s="150"/>
      <c r="AT73" s="31" t="str">
        <f>IFERROR(INDEX('G-6 Hedgerow Data'!$BJ$3:$BJ$15,MATCH(M73,'G-6 Hedgerow Data'!$B$3:$B$15,0)),"")</f>
        <v/>
      </c>
    </row>
    <row r="74" spans="2:46" ht="13.8" x14ac:dyDescent="0.25">
      <c r="B74" s="531" t="str">
        <f>'B-1 Site Hedge Baseline'!AK72</f>
        <v/>
      </c>
      <c r="C74" s="520" t="str">
        <f>IF(B74="","",IF(ISNA(VLOOKUP($B74,'B-1 Site Hedge Baseline'!$B$1:$L$257,3,FALSE)),"",(VLOOKUP($B74,'B-1 Site Hedge Baseline'!$B$1:$L$257,3,FALSE))))</f>
        <v/>
      </c>
      <c r="D74" s="520" t="str">
        <f>IF(B74="","",IF(ISNA(VLOOKUP($B74,'B-1 Site Hedge Baseline'!$B$1:$L$257,4,FALSE)),"",(VLOOKUP($B74,'B-1 Site Hedge Baseline'!$B$1:$L$257,4,FALSE))))</f>
        <v/>
      </c>
      <c r="E74" s="520" t="str">
        <f>IF(B74="","",IF(ISNA(VLOOKUP($B74,'B-1 Site Hedge Baseline'!$B$1:$L$257,5,FALSE)),"",(VLOOKUP($B74,'B-1 Site Hedge Baseline'!$B$1:$L$257,5,FALSE))))</f>
        <v/>
      </c>
      <c r="F74" s="520" t="str">
        <f>IF(B74="","",IF(ISNA(VLOOKUP($B74,'B-1 Site Hedge Baseline'!$B$1:$L$257,6,FALSE)),"",(VLOOKUP($B74,'B-1 Site Hedge Baseline'!$B$1:$L$257,6,FALSE))))</f>
        <v/>
      </c>
      <c r="G74" s="520" t="str">
        <f>IF(B74="","",IF(ISNA(VLOOKUP($B74,'B-1 Site Hedge Baseline'!$B$1:$L$257,7,FALSE)),"",(VLOOKUP($B74,'B-1 Site Hedge Baseline'!$B$1:$L$257,7,FALSE))))</f>
        <v/>
      </c>
      <c r="H74" s="520" t="str">
        <f>IF(B74="","",IF(ISNA(VLOOKUP($B74,'B-1 Site Hedge Baseline'!$B$1:$L$257,8,FALSE)),"",(VLOOKUP($B74,'B-1 Site Hedge Baseline'!$B$1:$L$257,8,FALSE))))</f>
        <v/>
      </c>
      <c r="I74" s="520" t="str">
        <f>IF(B74="","",IF(ISNA(VLOOKUP($B74,'B-1 Site Hedge Baseline'!$B$1:$L$257,10,FALSE)),"",(VLOOKUP($B74,'B-1 Site Hedge Baseline'!$B$1:$L$257,10,FALSE))))</f>
        <v/>
      </c>
      <c r="J74" s="520" t="str">
        <f>IF(B74="","",IF(ISNA(VLOOKUP($B74,'B-1 Site Hedge Baseline'!$B$1:$L$257,11,FALSE)),"",(VLOOKUP($B74,'B-1 Site Hedge Baseline'!$B$1:$L$257,11,FALSE))))</f>
        <v/>
      </c>
      <c r="K74" s="520" t="str">
        <f>IF(B74="","",IF(ISNA(VLOOKUP($B74,'B-1 Site Hedge Baseline'!$B$1:$U$257,13,FALSE)),"",(VLOOKUP($B74,'B-1 Site Hedge Baseline'!$B$1:$U$257,13,FALSE))))</f>
        <v/>
      </c>
      <c r="L74" s="524" t="str">
        <f>IF(B74="","",IF(ISNA(VLOOKUP($B74,'B-1 Site Hedge Baseline'!$B$1:$U$257,12,FALSE)),"",(VLOOKUP($B74,'B-1 Site Hedge Baseline'!$B$1:$U$257,12,FALSE))))</f>
        <v/>
      </c>
      <c r="M74" s="416" t="str">
        <f t="shared" si="0"/>
        <v/>
      </c>
      <c r="N74" s="498" t="str">
        <f>IFERROR(IF(B74="","",INDEX('G-6 Hedgerow Data'!$AN$3:$AZ$15,MATCH(C74,'G-6 Hedgerow Data'!$AM$3:$AM$15,0),MATCH(M74,'G-6 Hedgerow Data'!$AN$2:$AZ$2,0))),"")</f>
        <v/>
      </c>
      <c r="O74" s="499" t="str">
        <f t="shared" si="2"/>
        <v/>
      </c>
      <c r="P74" s="559" t="str">
        <f>IF(B74="","",VLOOKUP(B74,'B-1 Site Hedge Baseline'!$B$10:T319,16,FALSE))</f>
        <v/>
      </c>
      <c r="Q74" s="498" t="str">
        <f>IF(M74="","",VLOOKUP(M74,'G-6 Hedgerow Data'!$B$2:$AG$15,2,FALSE))</f>
        <v/>
      </c>
      <c r="R74" s="499" t="str">
        <f>IF(M74="","",VLOOKUP(M74,'G-6 Hedgerow Data'!$B$2:$AG$15,3,FALSE))</f>
        <v/>
      </c>
      <c r="S74" s="157"/>
      <c r="T74" s="540" t="str">
        <f>IFERROR(VLOOKUP(S74,'G-1 All Habitats'!$Z$2:$AA$9,2,FALSE),"")</f>
        <v/>
      </c>
      <c r="U74" s="154"/>
      <c r="V74" s="520" t="str">
        <f>IF(U74="","",IF(VLOOKUP(U74,'G-3 Multipliers'!$L$3:$N$6,2,FALSE)=0,"Spatial Data Missing ⚠",VLOOKUP(U74,'G-3 Multipliers'!$L$3:$N$6,2,FALSE)))</f>
        <v/>
      </c>
      <c r="W74" s="524" t="str">
        <f>IF(U74="","",IF(VLOOKUP(U74,'G-3 Multipliers'!$L$3:$N$6,3,FALSE)=0,"Spatial Data Missing ⚠",VLOOKUP(U74,'G-3 Multipliers'!$L$3:$N$6,3,FALSE)))</f>
        <v/>
      </c>
      <c r="X74" s="498"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7" t="str">
        <f t="shared" si="3"/>
        <v/>
      </c>
      <c r="AB74" s="521" t="str">
        <f t="shared" si="4"/>
        <v/>
      </c>
      <c r="AC74" s="522" t="str">
        <f t="shared" si="1"/>
        <v/>
      </c>
      <c r="AD74" s="537" t="str">
        <f>IF(M74="","",VLOOKUP(M74,'G-6 Hedgerow Data'!$B$3:$AG$15,31,FALSE))</f>
        <v/>
      </c>
      <c r="AE74" s="507" t="str">
        <f t="shared" si="5"/>
        <v/>
      </c>
      <c r="AF74" s="507" t="str">
        <f t="shared" si="6"/>
        <v/>
      </c>
      <c r="AG74" s="524" t="str">
        <f>IFERROR(IF(O74="","",VLOOKUP(AD74,'G-3 Multipliers'!$P$3:$Q$6,2,FALSE)),"")</f>
        <v/>
      </c>
      <c r="AH74" s="513" t="str">
        <f t="shared" si="7"/>
        <v/>
      </c>
      <c r="AI74" s="231"/>
      <c r="AJ74" s="150"/>
      <c r="AT74" s="31" t="str">
        <f>IFERROR(INDEX('G-6 Hedgerow Data'!$BJ$3:$BJ$15,MATCH(M74,'G-6 Hedgerow Data'!$B$3:$B$15,0)),"")</f>
        <v/>
      </c>
    </row>
    <row r="75" spans="2:46" ht="13.8" x14ac:dyDescent="0.25">
      <c r="B75" s="531" t="str">
        <f>'B-1 Site Hedge Baseline'!AK73</f>
        <v/>
      </c>
      <c r="C75" s="520" t="str">
        <f>IF(B75="","",IF(ISNA(VLOOKUP($B75,'B-1 Site Hedge Baseline'!$B$1:$L$257,3,FALSE)),"",(VLOOKUP($B75,'B-1 Site Hedge Baseline'!$B$1:$L$257,3,FALSE))))</f>
        <v/>
      </c>
      <c r="D75" s="520" t="str">
        <f>IF(B75="","",IF(ISNA(VLOOKUP($B75,'B-1 Site Hedge Baseline'!$B$1:$L$257,4,FALSE)),"",(VLOOKUP($B75,'B-1 Site Hedge Baseline'!$B$1:$L$257,4,FALSE))))</f>
        <v/>
      </c>
      <c r="E75" s="520" t="str">
        <f>IF(B75="","",IF(ISNA(VLOOKUP($B75,'B-1 Site Hedge Baseline'!$B$1:$L$257,5,FALSE)),"",(VLOOKUP($B75,'B-1 Site Hedge Baseline'!$B$1:$L$257,5,FALSE))))</f>
        <v/>
      </c>
      <c r="F75" s="520" t="str">
        <f>IF(B75="","",IF(ISNA(VLOOKUP($B75,'B-1 Site Hedge Baseline'!$B$1:$L$257,6,FALSE)),"",(VLOOKUP($B75,'B-1 Site Hedge Baseline'!$B$1:$L$257,6,FALSE))))</f>
        <v/>
      </c>
      <c r="G75" s="520" t="str">
        <f>IF(B75="","",IF(ISNA(VLOOKUP($B75,'B-1 Site Hedge Baseline'!$B$1:$L$257,7,FALSE)),"",(VLOOKUP($B75,'B-1 Site Hedge Baseline'!$B$1:$L$257,7,FALSE))))</f>
        <v/>
      </c>
      <c r="H75" s="520" t="str">
        <f>IF(B75="","",IF(ISNA(VLOOKUP($B75,'B-1 Site Hedge Baseline'!$B$1:$L$257,8,FALSE)),"",(VLOOKUP($B75,'B-1 Site Hedge Baseline'!$B$1:$L$257,8,FALSE))))</f>
        <v/>
      </c>
      <c r="I75" s="520" t="str">
        <f>IF(B75="","",IF(ISNA(VLOOKUP($B75,'B-1 Site Hedge Baseline'!$B$1:$L$257,10,FALSE)),"",(VLOOKUP($B75,'B-1 Site Hedge Baseline'!$B$1:$L$257,10,FALSE))))</f>
        <v/>
      </c>
      <c r="J75" s="520" t="str">
        <f>IF(B75="","",IF(ISNA(VLOOKUP($B75,'B-1 Site Hedge Baseline'!$B$1:$L$257,11,FALSE)),"",(VLOOKUP($B75,'B-1 Site Hedge Baseline'!$B$1:$L$257,11,FALSE))))</f>
        <v/>
      </c>
      <c r="K75" s="520" t="str">
        <f>IF(B75="","",IF(ISNA(VLOOKUP($B75,'B-1 Site Hedge Baseline'!$B$1:$U$257,13,FALSE)),"",(VLOOKUP($B75,'B-1 Site Hedge Baseline'!$B$1:$U$257,13,FALSE))))</f>
        <v/>
      </c>
      <c r="L75" s="524" t="str">
        <f>IF(B75="","",IF(ISNA(VLOOKUP($B75,'B-1 Site Hedge Baseline'!$B$1:$U$257,12,FALSE)),"",(VLOOKUP($B75,'B-1 Site Hedge Baseline'!$B$1:$U$257,12,FALSE))))</f>
        <v/>
      </c>
      <c r="M75" s="416" t="str">
        <f t="shared" si="0"/>
        <v/>
      </c>
      <c r="N75" s="498" t="str">
        <f>IFERROR(IF(B75="","",INDEX('G-6 Hedgerow Data'!$AN$3:$AZ$15,MATCH(C75,'G-6 Hedgerow Data'!$AM$3:$AM$15,0),MATCH(M75,'G-6 Hedgerow Data'!$AN$2:$AZ$2,0))),"")</f>
        <v/>
      </c>
      <c r="O75" s="499" t="str">
        <f t="shared" si="2"/>
        <v/>
      </c>
      <c r="P75" s="559" t="str">
        <f>IF(B75="","",VLOOKUP(B75,'B-1 Site Hedge Baseline'!$B$10:T320,16,FALSE))</f>
        <v/>
      </c>
      <c r="Q75" s="498" t="str">
        <f>IF(M75="","",VLOOKUP(M75,'G-6 Hedgerow Data'!$B$2:$AG$15,2,FALSE))</f>
        <v/>
      </c>
      <c r="R75" s="499" t="str">
        <f>IF(M75="","",VLOOKUP(M75,'G-6 Hedgerow Data'!$B$2:$AG$15,3,FALSE))</f>
        <v/>
      </c>
      <c r="S75" s="157"/>
      <c r="T75" s="540" t="str">
        <f>IFERROR(VLOOKUP(S75,'G-1 All Habitats'!$Z$2:$AA$9,2,FALSE),"")</f>
        <v/>
      </c>
      <c r="U75" s="154"/>
      <c r="V75" s="520" t="str">
        <f>IF(U75="","",IF(VLOOKUP(U75,'G-3 Multipliers'!$L$3:$N$6,2,FALSE)=0,"Spatial Data Missing ⚠",VLOOKUP(U75,'G-3 Multipliers'!$L$3:$N$6,2,FALSE)))</f>
        <v/>
      </c>
      <c r="W75" s="524" t="str">
        <f>IF(U75="","",IF(VLOOKUP(U75,'G-3 Multipliers'!$L$3:$N$6,3,FALSE)=0,"Spatial Data Missing ⚠",VLOOKUP(U75,'G-3 Multipliers'!$L$3:$N$6,3,FALSE)))</f>
        <v/>
      </c>
      <c r="X75" s="498"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7" t="str">
        <f t="shared" si="3"/>
        <v/>
      </c>
      <c r="AB75" s="521" t="str">
        <f t="shared" si="4"/>
        <v/>
      </c>
      <c r="AC75" s="522" t="str">
        <f t="shared" si="1"/>
        <v/>
      </c>
      <c r="AD75" s="537" t="str">
        <f>IF(M75="","",VLOOKUP(M75,'G-6 Hedgerow Data'!$B$3:$AG$15,31,FALSE))</f>
        <v/>
      </c>
      <c r="AE75" s="507" t="str">
        <f t="shared" si="5"/>
        <v/>
      </c>
      <c r="AF75" s="507" t="str">
        <f t="shared" si="6"/>
        <v/>
      </c>
      <c r="AG75" s="524" t="str">
        <f>IFERROR(IF(O75="","",VLOOKUP(AD75,'G-3 Multipliers'!$P$3:$Q$6,2,FALSE)),"")</f>
        <v/>
      </c>
      <c r="AH75" s="513" t="str">
        <f t="shared" si="7"/>
        <v/>
      </c>
      <c r="AI75" s="231"/>
      <c r="AJ75" s="150"/>
      <c r="AT75" s="31" t="str">
        <f>IFERROR(INDEX('G-6 Hedgerow Data'!$BJ$3:$BJ$15,MATCH(M75,'G-6 Hedgerow Data'!$B$3:$B$15,0)),"")</f>
        <v/>
      </c>
    </row>
    <row r="76" spans="2:46" ht="13.8" x14ac:dyDescent="0.25">
      <c r="B76" s="531" t="str">
        <f>'B-1 Site Hedge Baseline'!AK74</f>
        <v/>
      </c>
      <c r="C76" s="520" t="str">
        <f>IF(B76="","",IF(ISNA(VLOOKUP($B76,'B-1 Site Hedge Baseline'!$B$1:$L$257,3,FALSE)),"",(VLOOKUP($B76,'B-1 Site Hedge Baseline'!$B$1:$L$257,3,FALSE))))</f>
        <v/>
      </c>
      <c r="D76" s="520" t="str">
        <f>IF(B76="","",IF(ISNA(VLOOKUP($B76,'B-1 Site Hedge Baseline'!$B$1:$L$257,4,FALSE)),"",(VLOOKUP($B76,'B-1 Site Hedge Baseline'!$B$1:$L$257,4,FALSE))))</f>
        <v/>
      </c>
      <c r="E76" s="520" t="str">
        <f>IF(B76="","",IF(ISNA(VLOOKUP($B76,'B-1 Site Hedge Baseline'!$B$1:$L$257,5,FALSE)),"",(VLOOKUP($B76,'B-1 Site Hedge Baseline'!$B$1:$L$257,5,FALSE))))</f>
        <v/>
      </c>
      <c r="F76" s="520" t="str">
        <f>IF(B76="","",IF(ISNA(VLOOKUP($B76,'B-1 Site Hedge Baseline'!$B$1:$L$257,6,FALSE)),"",(VLOOKUP($B76,'B-1 Site Hedge Baseline'!$B$1:$L$257,6,FALSE))))</f>
        <v/>
      </c>
      <c r="G76" s="520" t="str">
        <f>IF(B76="","",IF(ISNA(VLOOKUP($B76,'B-1 Site Hedge Baseline'!$B$1:$L$257,7,FALSE)),"",(VLOOKUP($B76,'B-1 Site Hedge Baseline'!$B$1:$L$257,7,FALSE))))</f>
        <v/>
      </c>
      <c r="H76" s="520" t="str">
        <f>IF(B76="","",IF(ISNA(VLOOKUP($B76,'B-1 Site Hedge Baseline'!$B$1:$L$257,8,FALSE)),"",(VLOOKUP($B76,'B-1 Site Hedge Baseline'!$B$1:$L$257,8,FALSE))))</f>
        <v/>
      </c>
      <c r="I76" s="520" t="str">
        <f>IF(B76="","",IF(ISNA(VLOOKUP($B76,'B-1 Site Hedge Baseline'!$B$1:$L$257,10,FALSE)),"",(VLOOKUP($B76,'B-1 Site Hedge Baseline'!$B$1:$L$257,10,FALSE))))</f>
        <v/>
      </c>
      <c r="J76" s="520" t="str">
        <f>IF(B76="","",IF(ISNA(VLOOKUP($B76,'B-1 Site Hedge Baseline'!$B$1:$L$257,11,FALSE)),"",(VLOOKUP($B76,'B-1 Site Hedge Baseline'!$B$1:$L$257,11,FALSE))))</f>
        <v/>
      </c>
      <c r="K76" s="520" t="str">
        <f>IF(B76="","",IF(ISNA(VLOOKUP($B76,'B-1 Site Hedge Baseline'!$B$1:$U$257,13,FALSE)),"",(VLOOKUP($B76,'B-1 Site Hedge Baseline'!$B$1:$U$257,13,FALSE))))</f>
        <v/>
      </c>
      <c r="L76" s="524" t="str">
        <f>IF(B76="","",IF(ISNA(VLOOKUP($B76,'B-1 Site Hedge Baseline'!$B$1:$U$257,12,FALSE)),"",(VLOOKUP($B76,'B-1 Site Hedge Baseline'!$B$1:$U$257,12,FALSE))))</f>
        <v/>
      </c>
      <c r="M76" s="416" t="str">
        <f t="shared" si="0"/>
        <v/>
      </c>
      <c r="N76" s="498" t="str">
        <f>IFERROR(IF(B76="","",INDEX('G-6 Hedgerow Data'!$AN$3:$AZ$15,MATCH(C76,'G-6 Hedgerow Data'!$AM$3:$AM$15,0),MATCH(M76,'G-6 Hedgerow Data'!$AN$2:$AZ$2,0))),"")</f>
        <v/>
      </c>
      <c r="O76" s="499" t="str">
        <f t="shared" si="2"/>
        <v/>
      </c>
      <c r="P76" s="559" t="str">
        <f>IF(B76="","",VLOOKUP(B76,'B-1 Site Hedge Baseline'!$B$10:T321,16,FALSE))</f>
        <v/>
      </c>
      <c r="Q76" s="498" t="str">
        <f>IF(M76="","",VLOOKUP(M76,'G-6 Hedgerow Data'!$B$2:$AG$15,2,FALSE))</f>
        <v/>
      </c>
      <c r="R76" s="499" t="str">
        <f>IF(M76="","",VLOOKUP(M76,'G-6 Hedgerow Data'!$B$2:$AG$15,3,FALSE))</f>
        <v/>
      </c>
      <c r="S76" s="157"/>
      <c r="T76" s="540" t="str">
        <f>IFERROR(VLOOKUP(S76,'G-1 All Habitats'!$Z$2:$AA$9,2,FALSE),"")</f>
        <v/>
      </c>
      <c r="U76" s="154"/>
      <c r="V76" s="520" t="str">
        <f>IF(U76="","",IF(VLOOKUP(U76,'G-3 Multipliers'!$L$3:$N$6,2,FALSE)=0,"Spatial Data Missing ⚠",VLOOKUP(U76,'G-3 Multipliers'!$L$3:$N$6,2,FALSE)))</f>
        <v/>
      </c>
      <c r="W76" s="524" t="str">
        <f>IF(U76="","",IF(VLOOKUP(U76,'G-3 Multipliers'!$L$3:$N$6,3,FALSE)=0,"Spatial Data Missing ⚠",VLOOKUP(U76,'G-3 Multipliers'!$L$3:$N$6,3,FALSE)))</f>
        <v/>
      </c>
      <c r="X76" s="498"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7" t="str">
        <f t="shared" si="3"/>
        <v/>
      </c>
      <c r="AB76" s="521" t="str">
        <f t="shared" si="4"/>
        <v/>
      </c>
      <c r="AC76" s="522" t="str">
        <f t="shared" ref="AC76:AC139" si="8">IF(OR(S76="",M76=""),"",IF(LEFT(AB76,5)="Error ▲","Check Data ⚠",IF(AB76="Check Data ⚠","Check Data ⚠",VLOOKUP(AB76,TemporalMultipliers,3,FALSE))))</f>
        <v/>
      </c>
      <c r="AD76" s="537" t="str">
        <f>IF(M76="","",VLOOKUP(M76,'G-6 Hedgerow Data'!$B$3:$AG$15,31,FALSE))</f>
        <v/>
      </c>
      <c r="AE76" s="507" t="str">
        <f t="shared" si="5"/>
        <v/>
      </c>
      <c r="AF76" s="507" t="str">
        <f t="shared" si="6"/>
        <v/>
      </c>
      <c r="AG76" s="524" t="str">
        <f>IFERROR(IF(O76="","",VLOOKUP(AD76,'G-3 Multipliers'!$P$3:$Q$6,2,FALSE)),"")</f>
        <v/>
      </c>
      <c r="AH76" s="513" t="str">
        <f t="shared" ref="AH76:AH139" si="9">IFERROR(IF(OR(M76="",S76="",U76=""),"",(((((P76*R76*T76)-(P76*F76*H76))*(AG76*AC76))+(P76*F76*H76))*(W76))),"")</f>
        <v/>
      </c>
      <c r="AI76" s="231"/>
      <c r="AJ76" s="150"/>
      <c r="AT76" s="31" t="str">
        <f>IFERROR(INDEX('G-6 Hedgerow Data'!$BJ$3:$BJ$15,MATCH(M76,'G-6 Hedgerow Data'!$B$3:$B$15,0)),"")</f>
        <v/>
      </c>
    </row>
    <row r="77" spans="2:46" ht="13.8" x14ac:dyDescent="0.25">
      <c r="B77" s="531" t="str">
        <f>'B-1 Site Hedge Baseline'!AK75</f>
        <v/>
      </c>
      <c r="C77" s="520" t="str">
        <f>IF(B77="","",IF(ISNA(VLOOKUP($B77,'B-1 Site Hedge Baseline'!$B$1:$L$257,3,FALSE)),"",(VLOOKUP($B77,'B-1 Site Hedge Baseline'!$B$1:$L$257,3,FALSE))))</f>
        <v/>
      </c>
      <c r="D77" s="520" t="str">
        <f>IF(B77="","",IF(ISNA(VLOOKUP($B77,'B-1 Site Hedge Baseline'!$B$1:$L$257,4,FALSE)),"",(VLOOKUP($B77,'B-1 Site Hedge Baseline'!$B$1:$L$257,4,FALSE))))</f>
        <v/>
      </c>
      <c r="E77" s="520" t="str">
        <f>IF(B77="","",IF(ISNA(VLOOKUP($B77,'B-1 Site Hedge Baseline'!$B$1:$L$257,5,FALSE)),"",(VLOOKUP($B77,'B-1 Site Hedge Baseline'!$B$1:$L$257,5,FALSE))))</f>
        <v/>
      </c>
      <c r="F77" s="520" t="str">
        <f>IF(B77="","",IF(ISNA(VLOOKUP($B77,'B-1 Site Hedge Baseline'!$B$1:$L$257,6,FALSE)),"",(VLOOKUP($B77,'B-1 Site Hedge Baseline'!$B$1:$L$257,6,FALSE))))</f>
        <v/>
      </c>
      <c r="G77" s="520" t="str">
        <f>IF(B77="","",IF(ISNA(VLOOKUP($B77,'B-1 Site Hedge Baseline'!$B$1:$L$257,7,FALSE)),"",(VLOOKUP($B77,'B-1 Site Hedge Baseline'!$B$1:$L$257,7,FALSE))))</f>
        <v/>
      </c>
      <c r="H77" s="520" t="str">
        <f>IF(B77="","",IF(ISNA(VLOOKUP($B77,'B-1 Site Hedge Baseline'!$B$1:$L$257,8,FALSE)),"",(VLOOKUP($B77,'B-1 Site Hedge Baseline'!$B$1:$L$257,8,FALSE))))</f>
        <v/>
      </c>
      <c r="I77" s="520" t="str">
        <f>IF(B77="","",IF(ISNA(VLOOKUP($B77,'B-1 Site Hedge Baseline'!$B$1:$L$257,10,FALSE)),"",(VLOOKUP($B77,'B-1 Site Hedge Baseline'!$B$1:$L$257,10,FALSE))))</f>
        <v/>
      </c>
      <c r="J77" s="520" t="str">
        <f>IF(B77="","",IF(ISNA(VLOOKUP($B77,'B-1 Site Hedge Baseline'!$B$1:$L$257,11,FALSE)),"",(VLOOKUP($B77,'B-1 Site Hedge Baseline'!$B$1:$L$257,11,FALSE))))</f>
        <v/>
      </c>
      <c r="K77" s="520" t="str">
        <f>IF(B77="","",IF(ISNA(VLOOKUP($B77,'B-1 Site Hedge Baseline'!$B$1:$U$257,13,FALSE)),"",(VLOOKUP($B77,'B-1 Site Hedge Baseline'!$B$1:$U$257,13,FALSE))))</f>
        <v/>
      </c>
      <c r="L77" s="524" t="str">
        <f>IF(B77="","",IF(ISNA(VLOOKUP($B77,'B-1 Site Hedge Baseline'!$B$1:$U$257,12,FALSE)),"",(VLOOKUP($B77,'B-1 Site Hedge Baseline'!$B$1:$U$257,12,FALSE))))</f>
        <v/>
      </c>
      <c r="M77" s="416" t="str">
        <f t="shared" si="0"/>
        <v/>
      </c>
      <c r="N77" s="498" t="str">
        <f>IFERROR(IF(B77="","",INDEX('G-6 Hedgerow Data'!$AN$3:$AZ$15,MATCH(C77,'G-6 Hedgerow Data'!$AM$3:$AM$15,0),MATCH(M77,'G-6 Hedgerow Data'!$AN$2:$AZ$2,0))),"")</f>
        <v/>
      </c>
      <c r="O77" s="499"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59" t="str">
        <f>IF(B77="","",VLOOKUP(B77,'B-1 Site Hedge Baseline'!$B$10:T322,16,FALSE))</f>
        <v/>
      </c>
      <c r="Q77" s="498" t="str">
        <f>IF(M77="","",VLOOKUP(M77,'G-6 Hedgerow Data'!$B$2:$AG$15,2,FALSE))</f>
        <v/>
      </c>
      <c r="R77" s="499" t="str">
        <f>IF(M77="","",VLOOKUP(M77,'G-6 Hedgerow Data'!$B$2:$AG$15,3,FALSE))</f>
        <v/>
      </c>
      <c r="S77" s="157"/>
      <c r="T77" s="540" t="str">
        <f>IFERROR(VLOOKUP(S77,'G-1 All Habitats'!$Z$2:$AA$9,2,FALSE),"")</f>
        <v/>
      </c>
      <c r="U77" s="154"/>
      <c r="V77" s="520" t="str">
        <f>IF(U77="","",IF(VLOOKUP(U77,'G-3 Multipliers'!$L$3:$N$6,2,FALSE)=0,"Spatial Data Missing ⚠",VLOOKUP(U77,'G-3 Multipliers'!$L$3:$N$6,2,FALSE)))</f>
        <v/>
      </c>
      <c r="W77" s="524" t="str">
        <f>IF(U77="","",IF(VLOOKUP(U77,'G-3 Multipliers'!$L$3:$N$6,3,FALSE)=0,"Spatial Data Missing ⚠",VLOOKUP(U77,'G-3 Multipliers'!$L$3:$N$6,3,FALSE)))</f>
        <v/>
      </c>
      <c r="X77" s="498"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7"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1" t="str">
        <f t="shared" ref="AB77:AB140" si="12">IF(X77="","",IF(AA77="Check Data ⚠","Check Data ⚠",IF(Y77="30+",0,IF(Z77="30+","30+ ⚠",IF(X77+Z77&gt;30,"30+ ⚠",IF(LEFT(AA77,5)="Error ▲","Check Data ⚠",IF(X77+Z77-Y77&gt;0,X77+Z77-Y77,IF(X77-Y77&lt;=0,0,))))))))</f>
        <v/>
      </c>
      <c r="AC77" s="522" t="str">
        <f t="shared" si="8"/>
        <v/>
      </c>
      <c r="AD77" s="537" t="str">
        <f>IF(M77="","",VLOOKUP(M77,'G-6 Hedgerow Data'!$B$3:$AG$15,31,FALSE))</f>
        <v/>
      </c>
      <c r="AE77" s="507"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07" t="str">
        <f t="shared" ref="AF77:AF140" si="14">(IF(AND(AE77="Standard difficulty applied",X77&gt;Y77),AD77,IF(AND(AE77="Low Difficulty - only applicable if all habitat created before losses ⚠",Y77&gt;=X77),"Low",AD77)))</f>
        <v/>
      </c>
      <c r="AG77" s="524" t="str">
        <f>IFERROR(IF(O77="","",VLOOKUP(AD77,'G-3 Multipliers'!$P$3:$Q$6,2,FALSE)),"")</f>
        <v/>
      </c>
      <c r="AH77" s="513" t="str">
        <f t="shared" si="9"/>
        <v/>
      </c>
      <c r="AI77" s="231"/>
      <c r="AJ77" s="150"/>
      <c r="AT77" s="31" t="str">
        <f>IFERROR(INDEX('G-6 Hedgerow Data'!$BJ$3:$BJ$15,MATCH(M77,'G-6 Hedgerow Data'!$B$3:$B$15,0)),"")</f>
        <v/>
      </c>
    </row>
    <row r="78" spans="2:46" ht="13.8" x14ac:dyDescent="0.25">
      <c r="B78" s="531" t="str">
        <f>'B-1 Site Hedge Baseline'!AK76</f>
        <v/>
      </c>
      <c r="C78" s="520" t="str">
        <f>IF(B78="","",IF(ISNA(VLOOKUP($B78,'B-1 Site Hedge Baseline'!$B$1:$L$257,3,FALSE)),"",(VLOOKUP($B78,'B-1 Site Hedge Baseline'!$B$1:$L$257,3,FALSE))))</f>
        <v/>
      </c>
      <c r="D78" s="520" t="str">
        <f>IF(B78="","",IF(ISNA(VLOOKUP($B78,'B-1 Site Hedge Baseline'!$B$1:$L$257,4,FALSE)),"",(VLOOKUP($B78,'B-1 Site Hedge Baseline'!$B$1:$L$257,4,FALSE))))</f>
        <v/>
      </c>
      <c r="E78" s="520" t="str">
        <f>IF(B78="","",IF(ISNA(VLOOKUP($B78,'B-1 Site Hedge Baseline'!$B$1:$L$257,5,FALSE)),"",(VLOOKUP($B78,'B-1 Site Hedge Baseline'!$B$1:$L$257,5,FALSE))))</f>
        <v/>
      </c>
      <c r="F78" s="520" t="str">
        <f>IF(B78="","",IF(ISNA(VLOOKUP($B78,'B-1 Site Hedge Baseline'!$B$1:$L$257,6,FALSE)),"",(VLOOKUP($B78,'B-1 Site Hedge Baseline'!$B$1:$L$257,6,FALSE))))</f>
        <v/>
      </c>
      <c r="G78" s="520" t="str">
        <f>IF(B78="","",IF(ISNA(VLOOKUP($B78,'B-1 Site Hedge Baseline'!$B$1:$L$257,7,FALSE)),"",(VLOOKUP($B78,'B-1 Site Hedge Baseline'!$B$1:$L$257,7,FALSE))))</f>
        <v/>
      </c>
      <c r="H78" s="520" t="str">
        <f>IF(B78="","",IF(ISNA(VLOOKUP($B78,'B-1 Site Hedge Baseline'!$B$1:$L$257,8,FALSE)),"",(VLOOKUP($B78,'B-1 Site Hedge Baseline'!$B$1:$L$257,8,FALSE))))</f>
        <v/>
      </c>
      <c r="I78" s="520" t="str">
        <f>IF(B78="","",IF(ISNA(VLOOKUP($B78,'B-1 Site Hedge Baseline'!$B$1:$L$257,10,FALSE)),"",(VLOOKUP($B78,'B-1 Site Hedge Baseline'!$B$1:$L$257,10,FALSE))))</f>
        <v/>
      </c>
      <c r="J78" s="520" t="str">
        <f>IF(B78="","",IF(ISNA(VLOOKUP($B78,'B-1 Site Hedge Baseline'!$B$1:$L$257,11,FALSE)),"",(VLOOKUP($B78,'B-1 Site Hedge Baseline'!$B$1:$L$257,11,FALSE))))</f>
        <v/>
      </c>
      <c r="K78" s="520" t="str">
        <f>IF(B78="","",IF(ISNA(VLOOKUP($B78,'B-1 Site Hedge Baseline'!$B$1:$U$257,13,FALSE)),"",(VLOOKUP($B78,'B-1 Site Hedge Baseline'!$B$1:$U$257,13,FALSE))))</f>
        <v/>
      </c>
      <c r="L78" s="524" t="str">
        <f>IF(B78="","",IF(ISNA(VLOOKUP($B78,'B-1 Site Hedge Baseline'!$B$1:$U$257,12,FALSE)),"",(VLOOKUP($B78,'B-1 Site Hedge Baseline'!$B$1:$U$257,12,FALSE))))</f>
        <v/>
      </c>
      <c r="M78" s="416" t="str">
        <f t="shared" ref="M78:M141" si="15">IF(B78="","",C78)</f>
        <v/>
      </c>
      <c r="N78" s="498" t="str">
        <f>IFERROR(IF(B78="","",INDEX('G-6 Hedgerow Data'!$AN$3:$AZ$15,MATCH(C78,'G-6 Hedgerow Data'!$AM$3:$AM$15,0),MATCH(M78,'G-6 Hedgerow Data'!$AN$2:$AZ$2,0))),"")</f>
        <v/>
      </c>
      <c r="O78" s="499" t="str">
        <f t="shared" si="10"/>
        <v/>
      </c>
      <c r="P78" s="559" t="str">
        <f>IF(B78="","",VLOOKUP(B78,'B-1 Site Hedge Baseline'!$B$10:T323,16,FALSE))</f>
        <v/>
      </c>
      <c r="Q78" s="498" t="str">
        <f>IF(M78="","",VLOOKUP(M78,'G-6 Hedgerow Data'!$B$2:$AG$15,2,FALSE))</f>
        <v/>
      </c>
      <c r="R78" s="499" t="str">
        <f>IF(M78="","",VLOOKUP(M78,'G-6 Hedgerow Data'!$B$2:$AG$15,3,FALSE))</f>
        <v/>
      </c>
      <c r="S78" s="157"/>
      <c r="T78" s="540" t="str">
        <f>IFERROR(VLOOKUP(S78,'G-1 All Habitats'!$Z$2:$AA$9,2,FALSE),"")</f>
        <v/>
      </c>
      <c r="U78" s="154"/>
      <c r="V78" s="520" t="str">
        <f>IF(U78="","",IF(VLOOKUP(U78,'G-3 Multipliers'!$L$3:$N$6,2,FALSE)=0,"Spatial Data Missing ⚠",VLOOKUP(U78,'G-3 Multipliers'!$L$3:$N$6,2,FALSE)))</f>
        <v/>
      </c>
      <c r="W78" s="524" t="str">
        <f>IF(U78="","",IF(VLOOKUP(U78,'G-3 Multipliers'!$L$3:$N$6,3,FALSE)=0,"Spatial Data Missing ⚠",VLOOKUP(U78,'G-3 Multipliers'!$L$3:$N$6,3,FALSE)))</f>
        <v/>
      </c>
      <c r="X78" s="498"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7" t="str">
        <f t="shared" si="11"/>
        <v/>
      </c>
      <c r="AB78" s="521" t="str">
        <f t="shared" si="12"/>
        <v/>
      </c>
      <c r="AC78" s="522" t="str">
        <f t="shared" si="8"/>
        <v/>
      </c>
      <c r="AD78" s="537" t="str">
        <f>IF(M78="","",VLOOKUP(M78,'G-6 Hedgerow Data'!$B$3:$AG$15,31,FALSE))</f>
        <v/>
      </c>
      <c r="AE78" s="507" t="str">
        <f t="shared" si="13"/>
        <v/>
      </c>
      <c r="AF78" s="507" t="str">
        <f t="shared" si="14"/>
        <v/>
      </c>
      <c r="AG78" s="524" t="str">
        <f>IFERROR(IF(O78="","",VLOOKUP(AD78,'G-3 Multipliers'!$P$3:$Q$6,2,FALSE)),"")</f>
        <v/>
      </c>
      <c r="AH78" s="513" t="str">
        <f t="shared" si="9"/>
        <v/>
      </c>
      <c r="AI78" s="231"/>
      <c r="AJ78" s="150"/>
      <c r="AT78" s="31" t="str">
        <f>IFERROR(INDEX('G-6 Hedgerow Data'!$BJ$3:$BJ$15,MATCH(M78,'G-6 Hedgerow Data'!$B$3:$B$15,0)),"")</f>
        <v/>
      </c>
    </row>
    <row r="79" spans="2:46" ht="13.8" x14ac:dyDescent="0.25">
      <c r="B79" s="531" t="str">
        <f>'B-1 Site Hedge Baseline'!AK77</f>
        <v/>
      </c>
      <c r="C79" s="520" t="str">
        <f>IF(B79="","",IF(ISNA(VLOOKUP($B79,'B-1 Site Hedge Baseline'!$B$1:$L$257,3,FALSE)),"",(VLOOKUP($B79,'B-1 Site Hedge Baseline'!$B$1:$L$257,3,FALSE))))</f>
        <v/>
      </c>
      <c r="D79" s="520" t="str">
        <f>IF(B79="","",IF(ISNA(VLOOKUP($B79,'B-1 Site Hedge Baseline'!$B$1:$L$257,4,FALSE)),"",(VLOOKUP($B79,'B-1 Site Hedge Baseline'!$B$1:$L$257,4,FALSE))))</f>
        <v/>
      </c>
      <c r="E79" s="520" t="str">
        <f>IF(B79="","",IF(ISNA(VLOOKUP($B79,'B-1 Site Hedge Baseline'!$B$1:$L$257,5,FALSE)),"",(VLOOKUP($B79,'B-1 Site Hedge Baseline'!$B$1:$L$257,5,FALSE))))</f>
        <v/>
      </c>
      <c r="F79" s="520" t="str">
        <f>IF(B79="","",IF(ISNA(VLOOKUP($B79,'B-1 Site Hedge Baseline'!$B$1:$L$257,6,FALSE)),"",(VLOOKUP($B79,'B-1 Site Hedge Baseline'!$B$1:$L$257,6,FALSE))))</f>
        <v/>
      </c>
      <c r="G79" s="520" t="str">
        <f>IF(B79="","",IF(ISNA(VLOOKUP($B79,'B-1 Site Hedge Baseline'!$B$1:$L$257,7,FALSE)),"",(VLOOKUP($B79,'B-1 Site Hedge Baseline'!$B$1:$L$257,7,FALSE))))</f>
        <v/>
      </c>
      <c r="H79" s="520" t="str">
        <f>IF(B79="","",IF(ISNA(VLOOKUP($B79,'B-1 Site Hedge Baseline'!$B$1:$L$257,8,FALSE)),"",(VLOOKUP($B79,'B-1 Site Hedge Baseline'!$B$1:$L$257,8,FALSE))))</f>
        <v/>
      </c>
      <c r="I79" s="520" t="str">
        <f>IF(B79="","",IF(ISNA(VLOOKUP($B79,'B-1 Site Hedge Baseline'!$B$1:$L$257,10,FALSE)),"",(VLOOKUP($B79,'B-1 Site Hedge Baseline'!$B$1:$L$257,10,FALSE))))</f>
        <v/>
      </c>
      <c r="J79" s="520" t="str">
        <f>IF(B79="","",IF(ISNA(VLOOKUP($B79,'B-1 Site Hedge Baseline'!$B$1:$L$257,11,FALSE)),"",(VLOOKUP($B79,'B-1 Site Hedge Baseline'!$B$1:$L$257,11,FALSE))))</f>
        <v/>
      </c>
      <c r="K79" s="520" t="str">
        <f>IF(B79="","",IF(ISNA(VLOOKUP($B79,'B-1 Site Hedge Baseline'!$B$1:$U$257,13,FALSE)),"",(VLOOKUP($B79,'B-1 Site Hedge Baseline'!$B$1:$U$257,13,FALSE))))</f>
        <v/>
      </c>
      <c r="L79" s="524" t="str">
        <f>IF(B79="","",IF(ISNA(VLOOKUP($B79,'B-1 Site Hedge Baseline'!$B$1:$U$257,12,FALSE)),"",(VLOOKUP($B79,'B-1 Site Hedge Baseline'!$B$1:$U$257,12,FALSE))))</f>
        <v/>
      </c>
      <c r="M79" s="416" t="str">
        <f t="shared" si="15"/>
        <v/>
      </c>
      <c r="N79" s="498" t="str">
        <f>IFERROR(IF(B79="","",INDEX('G-6 Hedgerow Data'!$AN$3:$AZ$15,MATCH(C79,'G-6 Hedgerow Data'!$AM$3:$AM$15,0),MATCH(M79,'G-6 Hedgerow Data'!$AN$2:$AZ$2,0))),"")</f>
        <v/>
      </c>
      <c r="O79" s="499" t="str">
        <f t="shared" si="10"/>
        <v/>
      </c>
      <c r="P79" s="559" t="str">
        <f>IF(B79="","",VLOOKUP(B79,'B-1 Site Hedge Baseline'!$B$10:T324,16,FALSE))</f>
        <v/>
      </c>
      <c r="Q79" s="498" t="str">
        <f>IF(M79="","",VLOOKUP(M79,'G-6 Hedgerow Data'!$B$2:$AG$15,2,FALSE))</f>
        <v/>
      </c>
      <c r="R79" s="499" t="str">
        <f>IF(M79="","",VLOOKUP(M79,'G-6 Hedgerow Data'!$B$2:$AG$15,3,FALSE))</f>
        <v/>
      </c>
      <c r="S79" s="157"/>
      <c r="T79" s="540" t="str">
        <f>IFERROR(VLOOKUP(S79,'G-1 All Habitats'!$Z$2:$AA$9,2,FALSE),"")</f>
        <v/>
      </c>
      <c r="U79" s="154"/>
      <c r="V79" s="520" t="str">
        <f>IF(U79="","",IF(VLOOKUP(U79,'G-3 Multipliers'!$L$3:$N$6,2,FALSE)=0,"Spatial Data Missing ⚠",VLOOKUP(U79,'G-3 Multipliers'!$L$3:$N$6,2,FALSE)))</f>
        <v/>
      </c>
      <c r="W79" s="524" t="str">
        <f>IF(U79="","",IF(VLOOKUP(U79,'G-3 Multipliers'!$L$3:$N$6,3,FALSE)=0,"Spatial Data Missing ⚠",VLOOKUP(U79,'G-3 Multipliers'!$L$3:$N$6,3,FALSE)))</f>
        <v/>
      </c>
      <c r="X79" s="498"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7" t="str">
        <f t="shared" si="11"/>
        <v/>
      </c>
      <c r="AB79" s="521" t="str">
        <f t="shared" si="12"/>
        <v/>
      </c>
      <c r="AC79" s="522" t="str">
        <f t="shared" si="8"/>
        <v/>
      </c>
      <c r="AD79" s="537" t="str">
        <f>IF(M79="","",VLOOKUP(M79,'G-6 Hedgerow Data'!$B$3:$AG$15,31,FALSE))</f>
        <v/>
      </c>
      <c r="AE79" s="507" t="str">
        <f t="shared" si="13"/>
        <v/>
      </c>
      <c r="AF79" s="507" t="str">
        <f t="shared" si="14"/>
        <v/>
      </c>
      <c r="AG79" s="524" t="str">
        <f>IFERROR(IF(O79="","",VLOOKUP(AD79,'G-3 Multipliers'!$P$3:$Q$6,2,FALSE)),"")</f>
        <v/>
      </c>
      <c r="AH79" s="513" t="str">
        <f t="shared" si="9"/>
        <v/>
      </c>
      <c r="AI79" s="231"/>
      <c r="AJ79" s="150"/>
      <c r="AT79" s="31" t="str">
        <f>IFERROR(INDEX('G-6 Hedgerow Data'!$BJ$3:$BJ$15,MATCH(M79,'G-6 Hedgerow Data'!$B$3:$B$15,0)),"")</f>
        <v/>
      </c>
    </row>
    <row r="80" spans="2:46" ht="13.8" x14ac:dyDescent="0.25">
      <c r="B80" s="531" t="str">
        <f>'B-1 Site Hedge Baseline'!AK78</f>
        <v/>
      </c>
      <c r="C80" s="520" t="str">
        <f>IF(B80="","",IF(ISNA(VLOOKUP($B80,'B-1 Site Hedge Baseline'!$B$1:$L$257,3,FALSE)),"",(VLOOKUP($B80,'B-1 Site Hedge Baseline'!$B$1:$L$257,3,FALSE))))</f>
        <v/>
      </c>
      <c r="D80" s="520" t="str">
        <f>IF(B80="","",IF(ISNA(VLOOKUP($B80,'B-1 Site Hedge Baseline'!$B$1:$L$257,4,FALSE)),"",(VLOOKUP($B80,'B-1 Site Hedge Baseline'!$B$1:$L$257,4,FALSE))))</f>
        <v/>
      </c>
      <c r="E80" s="520" t="str">
        <f>IF(B80="","",IF(ISNA(VLOOKUP($B80,'B-1 Site Hedge Baseline'!$B$1:$L$257,5,FALSE)),"",(VLOOKUP($B80,'B-1 Site Hedge Baseline'!$B$1:$L$257,5,FALSE))))</f>
        <v/>
      </c>
      <c r="F80" s="520" t="str">
        <f>IF(B80="","",IF(ISNA(VLOOKUP($B80,'B-1 Site Hedge Baseline'!$B$1:$L$257,6,FALSE)),"",(VLOOKUP($B80,'B-1 Site Hedge Baseline'!$B$1:$L$257,6,FALSE))))</f>
        <v/>
      </c>
      <c r="G80" s="520" t="str">
        <f>IF(B80="","",IF(ISNA(VLOOKUP($B80,'B-1 Site Hedge Baseline'!$B$1:$L$257,7,FALSE)),"",(VLOOKUP($B80,'B-1 Site Hedge Baseline'!$B$1:$L$257,7,FALSE))))</f>
        <v/>
      </c>
      <c r="H80" s="520" t="str">
        <f>IF(B80="","",IF(ISNA(VLOOKUP($B80,'B-1 Site Hedge Baseline'!$B$1:$L$257,8,FALSE)),"",(VLOOKUP($B80,'B-1 Site Hedge Baseline'!$B$1:$L$257,8,FALSE))))</f>
        <v/>
      </c>
      <c r="I80" s="520" t="str">
        <f>IF(B80="","",IF(ISNA(VLOOKUP($B80,'B-1 Site Hedge Baseline'!$B$1:$L$257,10,FALSE)),"",(VLOOKUP($B80,'B-1 Site Hedge Baseline'!$B$1:$L$257,10,FALSE))))</f>
        <v/>
      </c>
      <c r="J80" s="520" t="str">
        <f>IF(B80="","",IF(ISNA(VLOOKUP($B80,'B-1 Site Hedge Baseline'!$B$1:$L$257,11,FALSE)),"",(VLOOKUP($B80,'B-1 Site Hedge Baseline'!$B$1:$L$257,11,FALSE))))</f>
        <v/>
      </c>
      <c r="K80" s="520" t="str">
        <f>IF(B80="","",IF(ISNA(VLOOKUP($B80,'B-1 Site Hedge Baseline'!$B$1:$U$257,13,FALSE)),"",(VLOOKUP($B80,'B-1 Site Hedge Baseline'!$B$1:$U$257,13,FALSE))))</f>
        <v/>
      </c>
      <c r="L80" s="524" t="str">
        <f>IF(B80="","",IF(ISNA(VLOOKUP($B80,'B-1 Site Hedge Baseline'!$B$1:$U$257,12,FALSE)),"",(VLOOKUP($B80,'B-1 Site Hedge Baseline'!$B$1:$U$257,12,FALSE))))</f>
        <v/>
      </c>
      <c r="M80" s="416" t="str">
        <f t="shared" si="15"/>
        <v/>
      </c>
      <c r="N80" s="498" t="str">
        <f>IFERROR(IF(B80="","",INDEX('G-6 Hedgerow Data'!$AN$3:$AZ$15,MATCH(C80,'G-6 Hedgerow Data'!$AM$3:$AM$15,0),MATCH(M80,'G-6 Hedgerow Data'!$AN$2:$AZ$2,0))),"")</f>
        <v/>
      </c>
      <c r="O80" s="499" t="str">
        <f t="shared" si="10"/>
        <v/>
      </c>
      <c r="P80" s="559" t="str">
        <f>IF(B80="","",VLOOKUP(B80,'B-1 Site Hedge Baseline'!$B$10:T325,16,FALSE))</f>
        <v/>
      </c>
      <c r="Q80" s="498" t="str">
        <f>IF(M80="","",VLOOKUP(M80,'G-6 Hedgerow Data'!$B$2:$AG$15,2,FALSE))</f>
        <v/>
      </c>
      <c r="R80" s="499" t="str">
        <f>IF(M80="","",VLOOKUP(M80,'G-6 Hedgerow Data'!$B$2:$AG$15,3,FALSE))</f>
        <v/>
      </c>
      <c r="S80" s="157"/>
      <c r="T80" s="540" t="str">
        <f>IFERROR(VLOOKUP(S80,'G-1 All Habitats'!$Z$2:$AA$9,2,FALSE),"")</f>
        <v/>
      </c>
      <c r="U80" s="154"/>
      <c r="V80" s="520" t="str">
        <f>IF(U80="","",IF(VLOOKUP(U80,'G-3 Multipliers'!$L$3:$N$6,2,FALSE)=0,"Spatial Data Missing ⚠",VLOOKUP(U80,'G-3 Multipliers'!$L$3:$N$6,2,FALSE)))</f>
        <v/>
      </c>
      <c r="W80" s="524" t="str">
        <f>IF(U80="","",IF(VLOOKUP(U80,'G-3 Multipliers'!$L$3:$N$6,3,FALSE)=0,"Spatial Data Missing ⚠",VLOOKUP(U80,'G-3 Multipliers'!$L$3:$N$6,3,FALSE)))</f>
        <v/>
      </c>
      <c r="X80" s="498"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7" t="str">
        <f t="shared" si="11"/>
        <v/>
      </c>
      <c r="AB80" s="521" t="str">
        <f t="shared" si="12"/>
        <v/>
      </c>
      <c r="AC80" s="522" t="str">
        <f t="shared" si="8"/>
        <v/>
      </c>
      <c r="AD80" s="537" t="str">
        <f>IF(M80="","",VLOOKUP(M80,'G-6 Hedgerow Data'!$B$3:$AG$15,31,FALSE))</f>
        <v/>
      </c>
      <c r="AE80" s="507" t="str">
        <f t="shared" si="13"/>
        <v/>
      </c>
      <c r="AF80" s="507" t="str">
        <f t="shared" si="14"/>
        <v/>
      </c>
      <c r="AG80" s="524" t="str">
        <f>IFERROR(IF(O80="","",VLOOKUP(AD80,'G-3 Multipliers'!$P$3:$Q$6,2,FALSE)),"")</f>
        <v/>
      </c>
      <c r="AH80" s="513" t="str">
        <f t="shared" si="9"/>
        <v/>
      </c>
      <c r="AI80" s="231"/>
      <c r="AJ80" s="150"/>
      <c r="AT80" s="31" t="str">
        <f>IFERROR(INDEX('G-6 Hedgerow Data'!$BJ$3:$BJ$15,MATCH(M80,'G-6 Hedgerow Data'!$B$3:$B$15,0)),"")</f>
        <v/>
      </c>
    </row>
    <row r="81" spans="2:46" ht="13.8" x14ac:dyDescent="0.25">
      <c r="B81" s="531" t="str">
        <f>'B-1 Site Hedge Baseline'!AK79</f>
        <v/>
      </c>
      <c r="C81" s="520" t="str">
        <f>IF(B81="","",IF(ISNA(VLOOKUP($B81,'B-1 Site Hedge Baseline'!$B$1:$L$257,3,FALSE)),"",(VLOOKUP($B81,'B-1 Site Hedge Baseline'!$B$1:$L$257,3,FALSE))))</f>
        <v/>
      </c>
      <c r="D81" s="520" t="str">
        <f>IF(B81="","",IF(ISNA(VLOOKUP($B81,'B-1 Site Hedge Baseline'!$B$1:$L$257,4,FALSE)),"",(VLOOKUP($B81,'B-1 Site Hedge Baseline'!$B$1:$L$257,4,FALSE))))</f>
        <v/>
      </c>
      <c r="E81" s="520" t="str">
        <f>IF(B81="","",IF(ISNA(VLOOKUP($B81,'B-1 Site Hedge Baseline'!$B$1:$L$257,5,FALSE)),"",(VLOOKUP($B81,'B-1 Site Hedge Baseline'!$B$1:$L$257,5,FALSE))))</f>
        <v/>
      </c>
      <c r="F81" s="520" t="str">
        <f>IF(B81="","",IF(ISNA(VLOOKUP($B81,'B-1 Site Hedge Baseline'!$B$1:$L$257,6,FALSE)),"",(VLOOKUP($B81,'B-1 Site Hedge Baseline'!$B$1:$L$257,6,FALSE))))</f>
        <v/>
      </c>
      <c r="G81" s="520" t="str">
        <f>IF(B81="","",IF(ISNA(VLOOKUP($B81,'B-1 Site Hedge Baseline'!$B$1:$L$257,7,FALSE)),"",(VLOOKUP($B81,'B-1 Site Hedge Baseline'!$B$1:$L$257,7,FALSE))))</f>
        <v/>
      </c>
      <c r="H81" s="520" t="str">
        <f>IF(B81="","",IF(ISNA(VLOOKUP($B81,'B-1 Site Hedge Baseline'!$B$1:$L$257,8,FALSE)),"",(VLOOKUP($B81,'B-1 Site Hedge Baseline'!$B$1:$L$257,8,FALSE))))</f>
        <v/>
      </c>
      <c r="I81" s="520" t="str">
        <f>IF(B81="","",IF(ISNA(VLOOKUP($B81,'B-1 Site Hedge Baseline'!$B$1:$L$257,10,FALSE)),"",(VLOOKUP($B81,'B-1 Site Hedge Baseline'!$B$1:$L$257,10,FALSE))))</f>
        <v/>
      </c>
      <c r="J81" s="520" t="str">
        <f>IF(B81="","",IF(ISNA(VLOOKUP($B81,'B-1 Site Hedge Baseline'!$B$1:$L$257,11,FALSE)),"",(VLOOKUP($B81,'B-1 Site Hedge Baseline'!$B$1:$L$257,11,FALSE))))</f>
        <v/>
      </c>
      <c r="K81" s="520" t="str">
        <f>IF(B81="","",IF(ISNA(VLOOKUP($B81,'B-1 Site Hedge Baseline'!$B$1:$U$257,13,FALSE)),"",(VLOOKUP($B81,'B-1 Site Hedge Baseline'!$B$1:$U$257,13,FALSE))))</f>
        <v/>
      </c>
      <c r="L81" s="524" t="str">
        <f>IF(B81="","",IF(ISNA(VLOOKUP($B81,'B-1 Site Hedge Baseline'!$B$1:$U$257,12,FALSE)),"",(VLOOKUP($B81,'B-1 Site Hedge Baseline'!$B$1:$U$257,12,FALSE))))</f>
        <v/>
      </c>
      <c r="M81" s="416" t="str">
        <f t="shared" si="15"/>
        <v/>
      </c>
      <c r="N81" s="498" t="str">
        <f>IFERROR(IF(B81="","",INDEX('G-6 Hedgerow Data'!$AN$3:$AZ$15,MATCH(C81,'G-6 Hedgerow Data'!$AM$3:$AM$15,0),MATCH(M81,'G-6 Hedgerow Data'!$AN$2:$AZ$2,0))),"")</f>
        <v/>
      </c>
      <c r="O81" s="499" t="str">
        <f t="shared" si="10"/>
        <v/>
      </c>
      <c r="P81" s="559" t="str">
        <f>IF(B81="","",VLOOKUP(B81,'B-1 Site Hedge Baseline'!$B$10:T326,16,FALSE))</f>
        <v/>
      </c>
      <c r="Q81" s="498" t="str">
        <f>IF(M81="","",VLOOKUP(M81,'G-6 Hedgerow Data'!$B$2:$AG$15,2,FALSE))</f>
        <v/>
      </c>
      <c r="R81" s="499" t="str">
        <f>IF(M81="","",VLOOKUP(M81,'G-6 Hedgerow Data'!$B$2:$AG$15,3,FALSE))</f>
        <v/>
      </c>
      <c r="S81" s="157"/>
      <c r="T81" s="540" t="str">
        <f>IFERROR(VLOOKUP(S81,'G-1 All Habitats'!$Z$2:$AA$9,2,FALSE),"")</f>
        <v/>
      </c>
      <c r="U81" s="154"/>
      <c r="V81" s="520" t="str">
        <f>IF(U81="","",IF(VLOOKUP(U81,'G-3 Multipliers'!$L$3:$N$6,2,FALSE)=0,"Spatial Data Missing ⚠",VLOOKUP(U81,'G-3 Multipliers'!$L$3:$N$6,2,FALSE)))</f>
        <v/>
      </c>
      <c r="W81" s="524" t="str">
        <f>IF(U81="","",IF(VLOOKUP(U81,'G-3 Multipliers'!$L$3:$N$6,3,FALSE)=0,"Spatial Data Missing ⚠",VLOOKUP(U81,'G-3 Multipliers'!$L$3:$N$6,3,FALSE)))</f>
        <v/>
      </c>
      <c r="X81" s="498"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7" t="str">
        <f t="shared" si="11"/>
        <v/>
      </c>
      <c r="AB81" s="521" t="str">
        <f t="shared" si="12"/>
        <v/>
      </c>
      <c r="AC81" s="522" t="str">
        <f t="shared" si="8"/>
        <v/>
      </c>
      <c r="AD81" s="537" t="str">
        <f>IF(M81="","",VLOOKUP(M81,'G-6 Hedgerow Data'!$B$3:$AG$15,31,FALSE))</f>
        <v/>
      </c>
      <c r="AE81" s="507" t="str">
        <f t="shared" si="13"/>
        <v/>
      </c>
      <c r="AF81" s="507" t="str">
        <f t="shared" si="14"/>
        <v/>
      </c>
      <c r="AG81" s="524" t="str">
        <f>IFERROR(IF(O81="","",VLOOKUP(AD81,'G-3 Multipliers'!$P$3:$Q$6,2,FALSE)),"")</f>
        <v/>
      </c>
      <c r="AH81" s="513" t="str">
        <f t="shared" si="9"/>
        <v/>
      </c>
      <c r="AI81" s="231"/>
      <c r="AJ81" s="150"/>
      <c r="AT81" s="31" t="str">
        <f>IFERROR(INDEX('G-6 Hedgerow Data'!$BJ$3:$BJ$15,MATCH(M81,'G-6 Hedgerow Data'!$B$3:$B$15,0)),"")</f>
        <v/>
      </c>
    </row>
    <row r="82" spans="2:46" ht="13.8" x14ac:dyDescent="0.25">
      <c r="B82" s="531" t="str">
        <f>'B-1 Site Hedge Baseline'!AK80</f>
        <v/>
      </c>
      <c r="C82" s="520" t="str">
        <f>IF(B82="","",IF(ISNA(VLOOKUP($B82,'B-1 Site Hedge Baseline'!$B$1:$L$257,3,FALSE)),"",(VLOOKUP($B82,'B-1 Site Hedge Baseline'!$B$1:$L$257,3,FALSE))))</f>
        <v/>
      </c>
      <c r="D82" s="520" t="str">
        <f>IF(B82="","",IF(ISNA(VLOOKUP($B82,'B-1 Site Hedge Baseline'!$B$1:$L$257,4,FALSE)),"",(VLOOKUP($B82,'B-1 Site Hedge Baseline'!$B$1:$L$257,4,FALSE))))</f>
        <v/>
      </c>
      <c r="E82" s="520" t="str">
        <f>IF(B82="","",IF(ISNA(VLOOKUP($B82,'B-1 Site Hedge Baseline'!$B$1:$L$257,5,FALSE)),"",(VLOOKUP($B82,'B-1 Site Hedge Baseline'!$B$1:$L$257,5,FALSE))))</f>
        <v/>
      </c>
      <c r="F82" s="520" t="str">
        <f>IF(B82="","",IF(ISNA(VLOOKUP($B82,'B-1 Site Hedge Baseline'!$B$1:$L$257,6,FALSE)),"",(VLOOKUP($B82,'B-1 Site Hedge Baseline'!$B$1:$L$257,6,FALSE))))</f>
        <v/>
      </c>
      <c r="G82" s="520" t="str">
        <f>IF(B82="","",IF(ISNA(VLOOKUP($B82,'B-1 Site Hedge Baseline'!$B$1:$L$257,7,FALSE)),"",(VLOOKUP($B82,'B-1 Site Hedge Baseline'!$B$1:$L$257,7,FALSE))))</f>
        <v/>
      </c>
      <c r="H82" s="520" t="str">
        <f>IF(B82="","",IF(ISNA(VLOOKUP($B82,'B-1 Site Hedge Baseline'!$B$1:$L$257,8,FALSE)),"",(VLOOKUP($B82,'B-1 Site Hedge Baseline'!$B$1:$L$257,8,FALSE))))</f>
        <v/>
      </c>
      <c r="I82" s="520" t="str">
        <f>IF(B82="","",IF(ISNA(VLOOKUP($B82,'B-1 Site Hedge Baseline'!$B$1:$L$257,10,FALSE)),"",(VLOOKUP($B82,'B-1 Site Hedge Baseline'!$B$1:$L$257,10,FALSE))))</f>
        <v/>
      </c>
      <c r="J82" s="520" t="str">
        <f>IF(B82="","",IF(ISNA(VLOOKUP($B82,'B-1 Site Hedge Baseline'!$B$1:$L$257,11,FALSE)),"",(VLOOKUP($B82,'B-1 Site Hedge Baseline'!$B$1:$L$257,11,FALSE))))</f>
        <v/>
      </c>
      <c r="K82" s="520" t="str">
        <f>IF(B82="","",IF(ISNA(VLOOKUP($B82,'B-1 Site Hedge Baseline'!$B$1:$U$257,13,FALSE)),"",(VLOOKUP($B82,'B-1 Site Hedge Baseline'!$B$1:$U$257,13,FALSE))))</f>
        <v/>
      </c>
      <c r="L82" s="524" t="str">
        <f>IF(B82="","",IF(ISNA(VLOOKUP($B82,'B-1 Site Hedge Baseline'!$B$1:$U$257,12,FALSE)),"",(VLOOKUP($B82,'B-1 Site Hedge Baseline'!$B$1:$U$257,12,FALSE))))</f>
        <v/>
      </c>
      <c r="M82" s="416" t="str">
        <f t="shared" si="15"/>
        <v/>
      </c>
      <c r="N82" s="498" t="str">
        <f>IFERROR(IF(B82="","",INDEX('G-6 Hedgerow Data'!$AN$3:$AZ$15,MATCH(C82,'G-6 Hedgerow Data'!$AM$3:$AM$15,0),MATCH(M82,'G-6 Hedgerow Data'!$AN$2:$AZ$2,0))),"")</f>
        <v/>
      </c>
      <c r="O82" s="499" t="str">
        <f t="shared" si="10"/>
        <v/>
      </c>
      <c r="P82" s="559" t="str">
        <f>IF(B82="","",VLOOKUP(B82,'B-1 Site Hedge Baseline'!$B$10:T327,16,FALSE))</f>
        <v/>
      </c>
      <c r="Q82" s="498" t="str">
        <f>IF(M82="","",VLOOKUP(M82,'G-6 Hedgerow Data'!$B$2:$AG$15,2,FALSE))</f>
        <v/>
      </c>
      <c r="R82" s="499" t="str">
        <f>IF(M82="","",VLOOKUP(M82,'G-6 Hedgerow Data'!$B$2:$AG$15,3,FALSE))</f>
        <v/>
      </c>
      <c r="S82" s="157"/>
      <c r="T82" s="540" t="str">
        <f>IFERROR(VLOOKUP(S82,'G-1 All Habitats'!$Z$2:$AA$9,2,FALSE),"")</f>
        <v/>
      </c>
      <c r="U82" s="154"/>
      <c r="V82" s="520" t="str">
        <f>IF(U82="","",IF(VLOOKUP(U82,'G-3 Multipliers'!$L$3:$N$6,2,FALSE)=0,"Spatial Data Missing ⚠",VLOOKUP(U82,'G-3 Multipliers'!$L$3:$N$6,2,FALSE)))</f>
        <v/>
      </c>
      <c r="W82" s="524" t="str">
        <f>IF(U82="","",IF(VLOOKUP(U82,'G-3 Multipliers'!$L$3:$N$6,3,FALSE)=0,"Spatial Data Missing ⚠",VLOOKUP(U82,'G-3 Multipliers'!$L$3:$N$6,3,FALSE)))</f>
        <v/>
      </c>
      <c r="X82" s="498"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7" t="str">
        <f t="shared" si="11"/>
        <v/>
      </c>
      <c r="AB82" s="521" t="str">
        <f t="shared" si="12"/>
        <v/>
      </c>
      <c r="AC82" s="522" t="str">
        <f t="shared" si="8"/>
        <v/>
      </c>
      <c r="AD82" s="537" t="str">
        <f>IF(M82="","",VLOOKUP(M82,'G-6 Hedgerow Data'!$B$3:$AG$15,31,FALSE))</f>
        <v/>
      </c>
      <c r="AE82" s="507" t="str">
        <f t="shared" si="13"/>
        <v/>
      </c>
      <c r="AF82" s="507" t="str">
        <f t="shared" si="14"/>
        <v/>
      </c>
      <c r="AG82" s="524" t="str">
        <f>IFERROR(IF(O82="","",VLOOKUP(AD82,'G-3 Multipliers'!$P$3:$Q$6,2,FALSE)),"")</f>
        <v/>
      </c>
      <c r="AH82" s="513" t="str">
        <f t="shared" si="9"/>
        <v/>
      </c>
      <c r="AI82" s="231"/>
      <c r="AJ82" s="150"/>
      <c r="AT82" s="31" t="str">
        <f>IFERROR(INDEX('G-6 Hedgerow Data'!$BJ$3:$BJ$15,MATCH(M82,'G-6 Hedgerow Data'!$B$3:$B$15,0)),"")</f>
        <v/>
      </c>
    </row>
    <row r="83" spans="2:46" ht="13.8" x14ac:dyDescent="0.25">
      <c r="B83" s="531" t="str">
        <f>'B-1 Site Hedge Baseline'!AK81</f>
        <v/>
      </c>
      <c r="C83" s="520" t="str">
        <f>IF(B83="","",IF(ISNA(VLOOKUP($B83,'B-1 Site Hedge Baseline'!$B$1:$L$257,3,FALSE)),"",(VLOOKUP($B83,'B-1 Site Hedge Baseline'!$B$1:$L$257,3,FALSE))))</f>
        <v/>
      </c>
      <c r="D83" s="520" t="str">
        <f>IF(B83="","",IF(ISNA(VLOOKUP($B83,'B-1 Site Hedge Baseline'!$B$1:$L$257,4,FALSE)),"",(VLOOKUP($B83,'B-1 Site Hedge Baseline'!$B$1:$L$257,4,FALSE))))</f>
        <v/>
      </c>
      <c r="E83" s="520" t="str">
        <f>IF(B83="","",IF(ISNA(VLOOKUP($B83,'B-1 Site Hedge Baseline'!$B$1:$L$257,5,FALSE)),"",(VLOOKUP($B83,'B-1 Site Hedge Baseline'!$B$1:$L$257,5,FALSE))))</f>
        <v/>
      </c>
      <c r="F83" s="520" t="str">
        <f>IF(B83="","",IF(ISNA(VLOOKUP($B83,'B-1 Site Hedge Baseline'!$B$1:$L$257,6,FALSE)),"",(VLOOKUP($B83,'B-1 Site Hedge Baseline'!$B$1:$L$257,6,FALSE))))</f>
        <v/>
      </c>
      <c r="G83" s="520" t="str">
        <f>IF(B83="","",IF(ISNA(VLOOKUP($B83,'B-1 Site Hedge Baseline'!$B$1:$L$257,7,FALSE)),"",(VLOOKUP($B83,'B-1 Site Hedge Baseline'!$B$1:$L$257,7,FALSE))))</f>
        <v/>
      </c>
      <c r="H83" s="520" t="str">
        <f>IF(B83="","",IF(ISNA(VLOOKUP($B83,'B-1 Site Hedge Baseline'!$B$1:$L$257,8,FALSE)),"",(VLOOKUP($B83,'B-1 Site Hedge Baseline'!$B$1:$L$257,8,FALSE))))</f>
        <v/>
      </c>
      <c r="I83" s="520" t="str">
        <f>IF(B83="","",IF(ISNA(VLOOKUP($B83,'B-1 Site Hedge Baseline'!$B$1:$L$257,10,FALSE)),"",(VLOOKUP($B83,'B-1 Site Hedge Baseline'!$B$1:$L$257,10,FALSE))))</f>
        <v/>
      </c>
      <c r="J83" s="520" t="str">
        <f>IF(B83="","",IF(ISNA(VLOOKUP($B83,'B-1 Site Hedge Baseline'!$B$1:$L$257,11,FALSE)),"",(VLOOKUP($B83,'B-1 Site Hedge Baseline'!$B$1:$L$257,11,FALSE))))</f>
        <v/>
      </c>
      <c r="K83" s="520" t="str">
        <f>IF(B83="","",IF(ISNA(VLOOKUP($B83,'B-1 Site Hedge Baseline'!$B$1:$U$257,13,FALSE)),"",(VLOOKUP($B83,'B-1 Site Hedge Baseline'!$B$1:$U$257,13,FALSE))))</f>
        <v/>
      </c>
      <c r="L83" s="524" t="str">
        <f>IF(B83="","",IF(ISNA(VLOOKUP($B83,'B-1 Site Hedge Baseline'!$B$1:$U$257,12,FALSE)),"",(VLOOKUP($B83,'B-1 Site Hedge Baseline'!$B$1:$U$257,12,FALSE))))</f>
        <v/>
      </c>
      <c r="M83" s="416" t="str">
        <f t="shared" si="15"/>
        <v/>
      </c>
      <c r="N83" s="498" t="str">
        <f>IFERROR(IF(B83="","",INDEX('G-6 Hedgerow Data'!$AN$3:$AZ$15,MATCH(C83,'G-6 Hedgerow Data'!$AM$3:$AM$15,0),MATCH(M83,'G-6 Hedgerow Data'!$AN$2:$AZ$2,0))),"")</f>
        <v/>
      </c>
      <c r="O83" s="499" t="str">
        <f t="shared" si="10"/>
        <v/>
      </c>
      <c r="P83" s="559" t="str">
        <f>IF(B83="","",VLOOKUP(B83,'B-1 Site Hedge Baseline'!$B$10:T328,16,FALSE))</f>
        <v/>
      </c>
      <c r="Q83" s="498" t="str">
        <f>IF(M83="","",VLOOKUP(M83,'G-6 Hedgerow Data'!$B$2:$AG$15,2,FALSE))</f>
        <v/>
      </c>
      <c r="R83" s="499" t="str">
        <f>IF(M83="","",VLOOKUP(M83,'G-6 Hedgerow Data'!$B$2:$AG$15,3,FALSE))</f>
        <v/>
      </c>
      <c r="S83" s="157"/>
      <c r="T83" s="540" t="str">
        <f>IFERROR(VLOOKUP(S83,'G-1 All Habitats'!$Z$2:$AA$9,2,FALSE),"")</f>
        <v/>
      </c>
      <c r="U83" s="154"/>
      <c r="V83" s="520" t="str">
        <f>IF(U83="","",IF(VLOOKUP(U83,'G-3 Multipliers'!$L$3:$N$6,2,FALSE)=0,"Spatial Data Missing ⚠",VLOOKUP(U83,'G-3 Multipliers'!$L$3:$N$6,2,FALSE)))</f>
        <v/>
      </c>
      <c r="W83" s="524" t="str">
        <f>IF(U83="","",IF(VLOOKUP(U83,'G-3 Multipliers'!$L$3:$N$6,3,FALSE)=0,"Spatial Data Missing ⚠",VLOOKUP(U83,'G-3 Multipliers'!$L$3:$N$6,3,FALSE)))</f>
        <v/>
      </c>
      <c r="X83" s="498"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7" t="str">
        <f t="shared" si="11"/>
        <v/>
      </c>
      <c r="AB83" s="521" t="str">
        <f t="shared" si="12"/>
        <v/>
      </c>
      <c r="AC83" s="522" t="str">
        <f t="shared" si="8"/>
        <v/>
      </c>
      <c r="AD83" s="537" t="str">
        <f>IF(M83="","",VLOOKUP(M83,'G-6 Hedgerow Data'!$B$3:$AG$15,31,FALSE))</f>
        <v/>
      </c>
      <c r="AE83" s="507" t="str">
        <f t="shared" si="13"/>
        <v/>
      </c>
      <c r="AF83" s="507" t="str">
        <f t="shared" si="14"/>
        <v/>
      </c>
      <c r="AG83" s="524" t="str">
        <f>IFERROR(IF(O83="","",VLOOKUP(AD83,'G-3 Multipliers'!$P$3:$Q$6,2,FALSE)),"")</f>
        <v/>
      </c>
      <c r="AH83" s="513" t="str">
        <f t="shared" si="9"/>
        <v/>
      </c>
      <c r="AI83" s="231"/>
      <c r="AJ83" s="150"/>
      <c r="AT83" s="31" t="str">
        <f>IFERROR(INDEX('G-6 Hedgerow Data'!$BJ$3:$BJ$15,MATCH(M83,'G-6 Hedgerow Data'!$B$3:$B$15,0)),"")</f>
        <v/>
      </c>
    </row>
    <row r="84" spans="2:46" ht="13.8" x14ac:dyDescent="0.25">
      <c r="B84" s="531" t="str">
        <f>'B-1 Site Hedge Baseline'!AK82</f>
        <v/>
      </c>
      <c r="C84" s="520" t="str">
        <f>IF(B84="","",IF(ISNA(VLOOKUP($B84,'B-1 Site Hedge Baseline'!$B$1:$L$257,3,FALSE)),"",(VLOOKUP($B84,'B-1 Site Hedge Baseline'!$B$1:$L$257,3,FALSE))))</f>
        <v/>
      </c>
      <c r="D84" s="520" t="str">
        <f>IF(B84="","",IF(ISNA(VLOOKUP($B84,'B-1 Site Hedge Baseline'!$B$1:$L$257,4,FALSE)),"",(VLOOKUP($B84,'B-1 Site Hedge Baseline'!$B$1:$L$257,4,FALSE))))</f>
        <v/>
      </c>
      <c r="E84" s="520" t="str">
        <f>IF(B84="","",IF(ISNA(VLOOKUP($B84,'B-1 Site Hedge Baseline'!$B$1:$L$257,5,FALSE)),"",(VLOOKUP($B84,'B-1 Site Hedge Baseline'!$B$1:$L$257,5,FALSE))))</f>
        <v/>
      </c>
      <c r="F84" s="520" t="str">
        <f>IF(B84="","",IF(ISNA(VLOOKUP($B84,'B-1 Site Hedge Baseline'!$B$1:$L$257,6,FALSE)),"",(VLOOKUP($B84,'B-1 Site Hedge Baseline'!$B$1:$L$257,6,FALSE))))</f>
        <v/>
      </c>
      <c r="G84" s="520" t="str">
        <f>IF(B84="","",IF(ISNA(VLOOKUP($B84,'B-1 Site Hedge Baseline'!$B$1:$L$257,7,FALSE)),"",(VLOOKUP($B84,'B-1 Site Hedge Baseline'!$B$1:$L$257,7,FALSE))))</f>
        <v/>
      </c>
      <c r="H84" s="520" t="str">
        <f>IF(B84="","",IF(ISNA(VLOOKUP($B84,'B-1 Site Hedge Baseline'!$B$1:$L$257,8,FALSE)),"",(VLOOKUP($B84,'B-1 Site Hedge Baseline'!$B$1:$L$257,8,FALSE))))</f>
        <v/>
      </c>
      <c r="I84" s="520" t="str">
        <f>IF(B84="","",IF(ISNA(VLOOKUP($B84,'B-1 Site Hedge Baseline'!$B$1:$L$257,10,FALSE)),"",(VLOOKUP($B84,'B-1 Site Hedge Baseline'!$B$1:$L$257,10,FALSE))))</f>
        <v/>
      </c>
      <c r="J84" s="520" t="str">
        <f>IF(B84="","",IF(ISNA(VLOOKUP($B84,'B-1 Site Hedge Baseline'!$B$1:$L$257,11,FALSE)),"",(VLOOKUP($B84,'B-1 Site Hedge Baseline'!$B$1:$L$257,11,FALSE))))</f>
        <v/>
      </c>
      <c r="K84" s="520" t="str">
        <f>IF(B84="","",IF(ISNA(VLOOKUP($B84,'B-1 Site Hedge Baseline'!$B$1:$U$257,13,FALSE)),"",(VLOOKUP($B84,'B-1 Site Hedge Baseline'!$B$1:$U$257,13,FALSE))))</f>
        <v/>
      </c>
      <c r="L84" s="524" t="str">
        <f>IF(B84="","",IF(ISNA(VLOOKUP($B84,'B-1 Site Hedge Baseline'!$B$1:$U$257,12,FALSE)),"",(VLOOKUP($B84,'B-1 Site Hedge Baseline'!$B$1:$U$257,12,FALSE))))</f>
        <v/>
      </c>
      <c r="M84" s="416" t="str">
        <f t="shared" si="15"/>
        <v/>
      </c>
      <c r="N84" s="498" t="str">
        <f>IFERROR(IF(B84="","",INDEX('G-6 Hedgerow Data'!$AN$3:$AZ$15,MATCH(C84,'G-6 Hedgerow Data'!$AM$3:$AM$15,0),MATCH(M84,'G-6 Hedgerow Data'!$AN$2:$AZ$2,0))),"")</f>
        <v/>
      </c>
      <c r="O84" s="499" t="str">
        <f t="shared" si="10"/>
        <v/>
      </c>
      <c r="P84" s="559" t="str">
        <f>IF(B84="","",VLOOKUP(B84,'B-1 Site Hedge Baseline'!$B$10:T329,16,FALSE))</f>
        <v/>
      </c>
      <c r="Q84" s="498" t="str">
        <f>IF(M84="","",VLOOKUP(M84,'G-6 Hedgerow Data'!$B$2:$AG$15,2,FALSE))</f>
        <v/>
      </c>
      <c r="R84" s="499" t="str">
        <f>IF(M84="","",VLOOKUP(M84,'G-6 Hedgerow Data'!$B$2:$AG$15,3,FALSE))</f>
        <v/>
      </c>
      <c r="S84" s="157"/>
      <c r="T84" s="540" t="str">
        <f>IFERROR(VLOOKUP(S84,'G-1 All Habitats'!$Z$2:$AA$9,2,FALSE),"")</f>
        <v/>
      </c>
      <c r="U84" s="154"/>
      <c r="V84" s="520" t="str">
        <f>IF(U84="","",IF(VLOOKUP(U84,'G-3 Multipliers'!$L$3:$N$6,2,FALSE)=0,"Spatial Data Missing ⚠",VLOOKUP(U84,'G-3 Multipliers'!$L$3:$N$6,2,FALSE)))</f>
        <v/>
      </c>
      <c r="W84" s="524" t="str">
        <f>IF(U84="","",IF(VLOOKUP(U84,'G-3 Multipliers'!$L$3:$N$6,3,FALSE)=0,"Spatial Data Missing ⚠",VLOOKUP(U84,'G-3 Multipliers'!$L$3:$N$6,3,FALSE)))</f>
        <v/>
      </c>
      <c r="X84" s="498"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7" t="str">
        <f t="shared" si="11"/>
        <v/>
      </c>
      <c r="AB84" s="521" t="str">
        <f t="shared" si="12"/>
        <v/>
      </c>
      <c r="AC84" s="522" t="str">
        <f t="shared" si="8"/>
        <v/>
      </c>
      <c r="AD84" s="537" t="str">
        <f>IF(M84="","",VLOOKUP(M84,'G-6 Hedgerow Data'!$B$3:$AG$15,31,FALSE))</f>
        <v/>
      </c>
      <c r="AE84" s="507" t="str">
        <f t="shared" si="13"/>
        <v/>
      </c>
      <c r="AF84" s="507" t="str">
        <f t="shared" si="14"/>
        <v/>
      </c>
      <c r="AG84" s="524" t="str">
        <f>IFERROR(IF(O84="","",VLOOKUP(AD84,'G-3 Multipliers'!$P$3:$Q$6,2,FALSE)),"")</f>
        <v/>
      </c>
      <c r="AH84" s="513" t="str">
        <f t="shared" si="9"/>
        <v/>
      </c>
      <c r="AI84" s="231"/>
      <c r="AJ84" s="150"/>
      <c r="AT84" s="31" t="str">
        <f>IFERROR(INDEX('G-6 Hedgerow Data'!$BJ$3:$BJ$15,MATCH(M84,'G-6 Hedgerow Data'!$B$3:$B$15,0)),"")</f>
        <v/>
      </c>
    </row>
    <row r="85" spans="2:46" ht="13.8" x14ac:dyDescent="0.25">
      <c r="B85" s="531" t="str">
        <f>'B-1 Site Hedge Baseline'!AK83</f>
        <v/>
      </c>
      <c r="C85" s="520" t="str">
        <f>IF(B85="","",IF(ISNA(VLOOKUP($B85,'B-1 Site Hedge Baseline'!$B$1:$L$257,3,FALSE)),"",(VLOOKUP($B85,'B-1 Site Hedge Baseline'!$B$1:$L$257,3,FALSE))))</f>
        <v/>
      </c>
      <c r="D85" s="520" t="str">
        <f>IF(B85="","",IF(ISNA(VLOOKUP($B85,'B-1 Site Hedge Baseline'!$B$1:$L$257,4,FALSE)),"",(VLOOKUP($B85,'B-1 Site Hedge Baseline'!$B$1:$L$257,4,FALSE))))</f>
        <v/>
      </c>
      <c r="E85" s="520" t="str">
        <f>IF(B85="","",IF(ISNA(VLOOKUP($B85,'B-1 Site Hedge Baseline'!$B$1:$L$257,5,FALSE)),"",(VLOOKUP($B85,'B-1 Site Hedge Baseline'!$B$1:$L$257,5,FALSE))))</f>
        <v/>
      </c>
      <c r="F85" s="520" t="str">
        <f>IF(B85="","",IF(ISNA(VLOOKUP($B85,'B-1 Site Hedge Baseline'!$B$1:$L$257,6,FALSE)),"",(VLOOKUP($B85,'B-1 Site Hedge Baseline'!$B$1:$L$257,6,FALSE))))</f>
        <v/>
      </c>
      <c r="G85" s="520" t="str">
        <f>IF(B85="","",IF(ISNA(VLOOKUP($B85,'B-1 Site Hedge Baseline'!$B$1:$L$257,7,FALSE)),"",(VLOOKUP($B85,'B-1 Site Hedge Baseline'!$B$1:$L$257,7,FALSE))))</f>
        <v/>
      </c>
      <c r="H85" s="520" t="str">
        <f>IF(B85="","",IF(ISNA(VLOOKUP($B85,'B-1 Site Hedge Baseline'!$B$1:$L$257,8,FALSE)),"",(VLOOKUP($B85,'B-1 Site Hedge Baseline'!$B$1:$L$257,8,FALSE))))</f>
        <v/>
      </c>
      <c r="I85" s="520" t="str">
        <f>IF(B85="","",IF(ISNA(VLOOKUP($B85,'B-1 Site Hedge Baseline'!$B$1:$L$257,10,FALSE)),"",(VLOOKUP($B85,'B-1 Site Hedge Baseline'!$B$1:$L$257,10,FALSE))))</f>
        <v/>
      </c>
      <c r="J85" s="520" t="str">
        <f>IF(B85="","",IF(ISNA(VLOOKUP($B85,'B-1 Site Hedge Baseline'!$B$1:$L$257,11,FALSE)),"",(VLOOKUP($B85,'B-1 Site Hedge Baseline'!$B$1:$L$257,11,FALSE))))</f>
        <v/>
      </c>
      <c r="K85" s="520" t="str">
        <f>IF(B85="","",IF(ISNA(VLOOKUP($B85,'B-1 Site Hedge Baseline'!$B$1:$U$257,13,FALSE)),"",(VLOOKUP($B85,'B-1 Site Hedge Baseline'!$B$1:$U$257,13,FALSE))))</f>
        <v/>
      </c>
      <c r="L85" s="524" t="str">
        <f>IF(B85="","",IF(ISNA(VLOOKUP($B85,'B-1 Site Hedge Baseline'!$B$1:$U$257,12,FALSE)),"",(VLOOKUP($B85,'B-1 Site Hedge Baseline'!$B$1:$U$257,12,FALSE))))</f>
        <v/>
      </c>
      <c r="M85" s="416" t="str">
        <f t="shared" si="15"/>
        <v/>
      </c>
      <c r="N85" s="498" t="str">
        <f>IFERROR(IF(B85="","",INDEX('G-6 Hedgerow Data'!$AN$3:$AZ$15,MATCH(C85,'G-6 Hedgerow Data'!$AM$3:$AM$15,0),MATCH(M85,'G-6 Hedgerow Data'!$AN$2:$AZ$2,0))),"")</f>
        <v/>
      </c>
      <c r="O85" s="499" t="str">
        <f t="shared" si="10"/>
        <v/>
      </c>
      <c r="P85" s="559" t="str">
        <f>IF(B85="","",VLOOKUP(B85,'B-1 Site Hedge Baseline'!$B$10:T330,16,FALSE))</f>
        <v/>
      </c>
      <c r="Q85" s="498" t="str">
        <f>IF(M85="","",VLOOKUP(M85,'G-6 Hedgerow Data'!$B$2:$AG$15,2,FALSE))</f>
        <v/>
      </c>
      <c r="R85" s="499" t="str">
        <f>IF(M85="","",VLOOKUP(M85,'G-6 Hedgerow Data'!$B$2:$AG$15,3,FALSE))</f>
        <v/>
      </c>
      <c r="S85" s="157"/>
      <c r="T85" s="540" t="str">
        <f>IFERROR(VLOOKUP(S85,'G-1 All Habitats'!$Z$2:$AA$9,2,FALSE),"")</f>
        <v/>
      </c>
      <c r="U85" s="154"/>
      <c r="V85" s="520" t="str">
        <f>IF(U85="","",IF(VLOOKUP(U85,'G-3 Multipliers'!$L$3:$N$6,2,FALSE)=0,"Spatial Data Missing ⚠",VLOOKUP(U85,'G-3 Multipliers'!$L$3:$N$6,2,FALSE)))</f>
        <v/>
      </c>
      <c r="W85" s="524" t="str">
        <f>IF(U85="","",IF(VLOOKUP(U85,'G-3 Multipliers'!$L$3:$N$6,3,FALSE)=0,"Spatial Data Missing ⚠",VLOOKUP(U85,'G-3 Multipliers'!$L$3:$N$6,3,FALSE)))</f>
        <v/>
      </c>
      <c r="X85" s="498"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7" t="str">
        <f t="shared" si="11"/>
        <v/>
      </c>
      <c r="AB85" s="521" t="str">
        <f t="shared" si="12"/>
        <v/>
      </c>
      <c r="AC85" s="522" t="str">
        <f t="shared" si="8"/>
        <v/>
      </c>
      <c r="AD85" s="537" t="str">
        <f>IF(M85="","",VLOOKUP(M85,'G-6 Hedgerow Data'!$B$3:$AG$15,31,FALSE))</f>
        <v/>
      </c>
      <c r="AE85" s="507" t="str">
        <f t="shared" si="13"/>
        <v/>
      </c>
      <c r="AF85" s="507" t="str">
        <f t="shared" si="14"/>
        <v/>
      </c>
      <c r="AG85" s="524" t="str">
        <f>IFERROR(IF(O85="","",VLOOKUP(AD85,'G-3 Multipliers'!$P$3:$Q$6,2,FALSE)),"")</f>
        <v/>
      </c>
      <c r="AH85" s="513" t="str">
        <f t="shared" si="9"/>
        <v/>
      </c>
      <c r="AI85" s="231"/>
      <c r="AJ85" s="150"/>
      <c r="AT85" s="31" t="str">
        <f>IFERROR(INDEX('G-6 Hedgerow Data'!$BJ$3:$BJ$15,MATCH(M85,'G-6 Hedgerow Data'!$B$3:$B$15,0)),"")</f>
        <v/>
      </c>
    </row>
    <row r="86" spans="2:46" ht="13.8" x14ac:dyDescent="0.25">
      <c r="B86" s="531" t="str">
        <f>'B-1 Site Hedge Baseline'!AK84</f>
        <v/>
      </c>
      <c r="C86" s="520" t="str">
        <f>IF(B86="","",IF(ISNA(VLOOKUP($B86,'B-1 Site Hedge Baseline'!$B$1:$L$257,3,FALSE)),"",(VLOOKUP($B86,'B-1 Site Hedge Baseline'!$B$1:$L$257,3,FALSE))))</f>
        <v/>
      </c>
      <c r="D86" s="520" t="str">
        <f>IF(B86="","",IF(ISNA(VLOOKUP($B86,'B-1 Site Hedge Baseline'!$B$1:$L$257,4,FALSE)),"",(VLOOKUP($B86,'B-1 Site Hedge Baseline'!$B$1:$L$257,4,FALSE))))</f>
        <v/>
      </c>
      <c r="E86" s="520" t="str">
        <f>IF(B86="","",IF(ISNA(VLOOKUP($B86,'B-1 Site Hedge Baseline'!$B$1:$L$257,5,FALSE)),"",(VLOOKUP($B86,'B-1 Site Hedge Baseline'!$B$1:$L$257,5,FALSE))))</f>
        <v/>
      </c>
      <c r="F86" s="520" t="str">
        <f>IF(B86="","",IF(ISNA(VLOOKUP($B86,'B-1 Site Hedge Baseline'!$B$1:$L$257,6,FALSE)),"",(VLOOKUP($B86,'B-1 Site Hedge Baseline'!$B$1:$L$257,6,FALSE))))</f>
        <v/>
      </c>
      <c r="G86" s="520" t="str">
        <f>IF(B86="","",IF(ISNA(VLOOKUP($B86,'B-1 Site Hedge Baseline'!$B$1:$L$257,7,FALSE)),"",(VLOOKUP($B86,'B-1 Site Hedge Baseline'!$B$1:$L$257,7,FALSE))))</f>
        <v/>
      </c>
      <c r="H86" s="520" t="str">
        <f>IF(B86="","",IF(ISNA(VLOOKUP($B86,'B-1 Site Hedge Baseline'!$B$1:$L$257,8,FALSE)),"",(VLOOKUP($B86,'B-1 Site Hedge Baseline'!$B$1:$L$257,8,FALSE))))</f>
        <v/>
      </c>
      <c r="I86" s="520" t="str">
        <f>IF(B86="","",IF(ISNA(VLOOKUP($B86,'B-1 Site Hedge Baseline'!$B$1:$L$257,10,FALSE)),"",(VLOOKUP($B86,'B-1 Site Hedge Baseline'!$B$1:$L$257,10,FALSE))))</f>
        <v/>
      </c>
      <c r="J86" s="520" t="str">
        <f>IF(B86="","",IF(ISNA(VLOOKUP($B86,'B-1 Site Hedge Baseline'!$B$1:$L$257,11,FALSE)),"",(VLOOKUP($B86,'B-1 Site Hedge Baseline'!$B$1:$L$257,11,FALSE))))</f>
        <v/>
      </c>
      <c r="K86" s="520" t="str">
        <f>IF(B86="","",IF(ISNA(VLOOKUP($B86,'B-1 Site Hedge Baseline'!$B$1:$U$257,13,FALSE)),"",(VLOOKUP($B86,'B-1 Site Hedge Baseline'!$B$1:$U$257,13,FALSE))))</f>
        <v/>
      </c>
      <c r="L86" s="524" t="str">
        <f>IF(B86="","",IF(ISNA(VLOOKUP($B86,'B-1 Site Hedge Baseline'!$B$1:$U$257,12,FALSE)),"",(VLOOKUP($B86,'B-1 Site Hedge Baseline'!$B$1:$U$257,12,FALSE))))</f>
        <v/>
      </c>
      <c r="M86" s="416" t="str">
        <f t="shared" si="15"/>
        <v/>
      </c>
      <c r="N86" s="498" t="str">
        <f>IFERROR(IF(B86="","",INDEX('G-6 Hedgerow Data'!$AN$3:$AZ$15,MATCH(C86,'G-6 Hedgerow Data'!$AM$3:$AM$15,0),MATCH(M86,'G-6 Hedgerow Data'!$AN$2:$AZ$2,0))),"")</f>
        <v/>
      </c>
      <c r="O86" s="499" t="str">
        <f t="shared" si="10"/>
        <v/>
      </c>
      <c r="P86" s="559" t="str">
        <f>IF(B86="","",VLOOKUP(B86,'B-1 Site Hedge Baseline'!$B$10:T331,16,FALSE))</f>
        <v/>
      </c>
      <c r="Q86" s="498" t="str">
        <f>IF(M86="","",VLOOKUP(M86,'G-6 Hedgerow Data'!$B$2:$AG$15,2,FALSE))</f>
        <v/>
      </c>
      <c r="R86" s="499" t="str">
        <f>IF(M86="","",VLOOKUP(M86,'G-6 Hedgerow Data'!$B$2:$AG$15,3,FALSE))</f>
        <v/>
      </c>
      <c r="S86" s="157"/>
      <c r="T86" s="540" t="str">
        <f>IFERROR(VLOOKUP(S86,'G-1 All Habitats'!$Z$2:$AA$9,2,FALSE),"")</f>
        <v/>
      </c>
      <c r="U86" s="154"/>
      <c r="V86" s="520" t="str">
        <f>IF(U86="","",IF(VLOOKUP(U86,'G-3 Multipliers'!$L$3:$N$6,2,FALSE)=0,"Spatial Data Missing ⚠",VLOOKUP(U86,'G-3 Multipliers'!$L$3:$N$6,2,FALSE)))</f>
        <v/>
      </c>
      <c r="W86" s="524" t="str">
        <f>IF(U86="","",IF(VLOOKUP(U86,'G-3 Multipliers'!$L$3:$N$6,3,FALSE)=0,"Spatial Data Missing ⚠",VLOOKUP(U86,'G-3 Multipliers'!$L$3:$N$6,3,FALSE)))</f>
        <v/>
      </c>
      <c r="X86" s="498"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7" t="str">
        <f t="shared" si="11"/>
        <v/>
      </c>
      <c r="AB86" s="521" t="str">
        <f t="shared" si="12"/>
        <v/>
      </c>
      <c r="AC86" s="522" t="str">
        <f t="shared" si="8"/>
        <v/>
      </c>
      <c r="AD86" s="537" t="str">
        <f>IF(M86="","",VLOOKUP(M86,'G-6 Hedgerow Data'!$B$3:$AG$15,31,FALSE))</f>
        <v/>
      </c>
      <c r="AE86" s="507" t="str">
        <f t="shared" si="13"/>
        <v/>
      </c>
      <c r="AF86" s="507" t="str">
        <f t="shared" si="14"/>
        <v/>
      </c>
      <c r="AG86" s="524" t="str">
        <f>IFERROR(IF(O86="","",VLOOKUP(AD86,'G-3 Multipliers'!$P$3:$Q$6,2,FALSE)),"")</f>
        <v/>
      </c>
      <c r="AH86" s="513" t="str">
        <f t="shared" si="9"/>
        <v/>
      </c>
      <c r="AI86" s="231"/>
      <c r="AJ86" s="150"/>
      <c r="AT86" s="31" t="str">
        <f>IFERROR(INDEX('G-6 Hedgerow Data'!$BJ$3:$BJ$15,MATCH(M86,'G-6 Hedgerow Data'!$B$3:$B$15,0)),"")</f>
        <v/>
      </c>
    </row>
    <row r="87" spans="2:46" ht="13.8" x14ac:dyDescent="0.25">
      <c r="B87" s="531" t="str">
        <f>'B-1 Site Hedge Baseline'!AK85</f>
        <v/>
      </c>
      <c r="C87" s="520" t="str">
        <f>IF(B87="","",IF(ISNA(VLOOKUP($B87,'B-1 Site Hedge Baseline'!$B$1:$L$257,3,FALSE)),"",(VLOOKUP($B87,'B-1 Site Hedge Baseline'!$B$1:$L$257,3,FALSE))))</f>
        <v/>
      </c>
      <c r="D87" s="520" t="str">
        <f>IF(B87="","",IF(ISNA(VLOOKUP($B87,'B-1 Site Hedge Baseline'!$B$1:$L$257,4,FALSE)),"",(VLOOKUP($B87,'B-1 Site Hedge Baseline'!$B$1:$L$257,4,FALSE))))</f>
        <v/>
      </c>
      <c r="E87" s="520" t="str">
        <f>IF(B87="","",IF(ISNA(VLOOKUP($B87,'B-1 Site Hedge Baseline'!$B$1:$L$257,5,FALSE)),"",(VLOOKUP($B87,'B-1 Site Hedge Baseline'!$B$1:$L$257,5,FALSE))))</f>
        <v/>
      </c>
      <c r="F87" s="520" t="str">
        <f>IF(B87="","",IF(ISNA(VLOOKUP($B87,'B-1 Site Hedge Baseline'!$B$1:$L$257,6,FALSE)),"",(VLOOKUP($B87,'B-1 Site Hedge Baseline'!$B$1:$L$257,6,FALSE))))</f>
        <v/>
      </c>
      <c r="G87" s="520" t="str">
        <f>IF(B87="","",IF(ISNA(VLOOKUP($B87,'B-1 Site Hedge Baseline'!$B$1:$L$257,7,FALSE)),"",(VLOOKUP($B87,'B-1 Site Hedge Baseline'!$B$1:$L$257,7,FALSE))))</f>
        <v/>
      </c>
      <c r="H87" s="520" t="str">
        <f>IF(B87="","",IF(ISNA(VLOOKUP($B87,'B-1 Site Hedge Baseline'!$B$1:$L$257,8,FALSE)),"",(VLOOKUP($B87,'B-1 Site Hedge Baseline'!$B$1:$L$257,8,FALSE))))</f>
        <v/>
      </c>
      <c r="I87" s="520" t="str">
        <f>IF(B87="","",IF(ISNA(VLOOKUP($B87,'B-1 Site Hedge Baseline'!$B$1:$L$257,10,FALSE)),"",(VLOOKUP($B87,'B-1 Site Hedge Baseline'!$B$1:$L$257,10,FALSE))))</f>
        <v/>
      </c>
      <c r="J87" s="520" t="str">
        <f>IF(B87="","",IF(ISNA(VLOOKUP($B87,'B-1 Site Hedge Baseline'!$B$1:$L$257,11,FALSE)),"",(VLOOKUP($B87,'B-1 Site Hedge Baseline'!$B$1:$L$257,11,FALSE))))</f>
        <v/>
      </c>
      <c r="K87" s="520" t="str">
        <f>IF(B87="","",IF(ISNA(VLOOKUP($B87,'B-1 Site Hedge Baseline'!$B$1:$U$257,13,FALSE)),"",(VLOOKUP($B87,'B-1 Site Hedge Baseline'!$B$1:$U$257,13,FALSE))))</f>
        <v/>
      </c>
      <c r="L87" s="524" t="str">
        <f>IF(B87="","",IF(ISNA(VLOOKUP($B87,'B-1 Site Hedge Baseline'!$B$1:$U$257,12,FALSE)),"",(VLOOKUP($B87,'B-1 Site Hedge Baseline'!$B$1:$U$257,12,FALSE))))</f>
        <v/>
      </c>
      <c r="M87" s="416" t="str">
        <f t="shared" si="15"/>
        <v/>
      </c>
      <c r="N87" s="498" t="str">
        <f>IFERROR(IF(B87="","",INDEX('G-6 Hedgerow Data'!$AN$3:$AZ$15,MATCH(C87,'G-6 Hedgerow Data'!$AM$3:$AM$15,0),MATCH(M87,'G-6 Hedgerow Data'!$AN$2:$AZ$2,0))),"")</f>
        <v/>
      </c>
      <c r="O87" s="499" t="str">
        <f t="shared" si="10"/>
        <v/>
      </c>
      <c r="P87" s="559" t="str">
        <f>IF(B87="","",VLOOKUP(B87,'B-1 Site Hedge Baseline'!$B$10:T332,16,FALSE))</f>
        <v/>
      </c>
      <c r="Q87" s="498" t="str">
        <f>IF(M87="","",VLOOKUP(M87,'G-6 Hedgerow Data'!$B$2:$AG$15,2,FALSE))</f>
        <v/>
      </c>
      <c r="R87" s="499" t="str">
        <f>IF(M87="","",VLOOKUP(M87,'G-6 Hedgerow Data'!$B$2:$AG$15,3,FALSE))</f>
        <v/>
      </c>
      <c r="S87" s="157"/>
      <c r="T87" s="540" t="str">
        <f>IFERROR(VLOOKUP(S87,'G-1 All Habitats'!$Z$2:$AA$9,2,FALSE),"")</f>
        <v/>
      </c>
      <c r="U87" s="154"/>
      <c r="V87" s="520" t="str">
        <f>IF(U87="","",IF(VLOOKUP(U87,'G-3 Multipliers'!$L$3:$N$6,2,FALSE)=0,"Spatial Data Missing ⚠",VLOOKUP(U87,'G-3 Multipliers'!$L$3:$N$6,2,FALSE)))</f>
        <v/>
      </c>
      <c r="W87" s="524" t="str">
        <f>IF(U87="","",IF(VLOOKUP(U87,'G-3 Multipliers'!$L$3:$N$6,3,FALSE)=0,"Spatial Data Missing ⚠",VLOOKUP(U87,'G-3 Multipliers'!$L$3:$N$6,3,FALSE)))</f>
        <v/>
      </c>
      <c r="X87" s="498"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7" t="str">
        <f t="shared" si="11"/>
        <v/>
      </c>
      <c r="AB87" s="521" t="str">
        <f t="shared" si="12"/>
        <v/>
      </c>
      <c r="AC87" s="522" t="str">
        <f t="shared" si="8"/>
        <v/>
      </c>
      <c r="AD87" s="537" t="str">
        <f>IF(M87="","",VLOOKUP(M87,'G-6 Hedgerow Data'!$B$3:$AG$15,31,FALSE))</f>
        <v/>
      </c>
      <c r="AE87" s="507" t="str">
        <f t="shared" si="13"/>
        <v/>
      </c>
      <c r="AF87" s="507" t="str">
        <f t="shared" si="14"/>
        <v/>
      </c>
      <c r="AG87" s="524" t="str">
        <f>IFERROR(IF(O87="","",VLOOKUP(AD87,'G-3 Multipliers'!$P$3:$Q$6,2,FALSE)),"")</f>
        <v/>
      </c>
      <c r="AH87" s="513" t="str">
        <f t="shared" si="9"/>
        <v/>
      </c>
      <c r="AI87" s="231"/>
      <c r="AJ87" s="150"/>
      <c r="AT87" s="31" t="str">
        <f>IFERROR(INDEX('G-6 Hedgerow Data'!$BJ$3:$BJ$15,MATCH(M87,'G-6 Hedgerow Data'!$B$3:$B$15,0)),"")</f>
        <v/>
      </c>
    </row>
    <row r="88" spans="2:46" ht="13.8" x14ac:dyDescent="0.25">
      <c r="B88" s="531" t="str">
        <f>'B-1 Site Hedge Baseline'!AK86</f>
        <v/>
      </c>
      <c r="C88" s="520" t="str">
        <f>IF(B88="","",IF(ISNA(VLOOKUP($B88,'B-1 Site Hedge Baseline'!$B$1:$L$257,3,FALSE)),"",(VLOOKUP($B88,'B-1 Site Hedge Baseline'!$B$1:$L$257,3,FALSE))))</f>
        <v/>
      </c>
      <c r="D88" s="520" t="str">
        <f>IF(B88="","",IF(ISNA(VLOOKUP($B88,'B-1 Site Hedge Baseline'!$B$1:$L$257,4,FALSE)),"",(VLOOKUP($B88,'B-1 Site Hedge Baseline'!$B$1:$L$257,4,FALSE))))</f>
        <v/>
      </c>
      <c r="E88" s="520" t="str">
        <f>IF(B88="","",IF(ISNA(VLOOKUP($B88,'B-1 Site Hedge Baseline'!$B$1:$L$257,5,FALSE)),"",(VLOOKUP($B88,'B-1 Site Hedge Baseline'!$B$1:$L$257,5,FALSE))))</f>
        <v/>
      </c>
      <c r="F88" s="520" t="str">
        <f>IF(B88="","",IF(ISNA(VLOOKUP($B88,'B-1 Site Hedge Baseline'!$B$1:$L$257,6,FALSE)),"",(VLOOKUP($B88,'B-1 Site Hedge Baseline'!$B$1:$L$257,6,FALSE))))</f>
        <v/>
      </c>
      <c r="G88" s="520" t="str">
        <f>IF(B88="","",IF(ISNA(VLOOKUP($B88,'B-1 Site Hedge Baseline'!$B$1:$L$257,7,FALSE)),"",(VLOOKUP($B88,'B-1 Site Hedge Baseline'!$B$1:$L$257,7,FALSE))))</f>
        <v/>
      </c>
      <c r="H88" s="520" t="str">
        <f>IF(B88="","",IF(ISNA(VLOOKUP($B88,'B-1 Site Hedge Baseline'!$B$1:$L$257,8,FALSE)),"",(VLOOKUP($B88,'B-1 Site Hedge Baseline'!$B$1:$L$257,8,FALSE))))</f>
        <v/>
      </c>
      <c r="I88" s="520" t="str">
        <f>IF(B88="","",IF(ISNA(VLOOKUP($B88,'B-1 Site Hedge Baseline'!$B$1:$L$257,10,FALSE)),"",(VLOOKUP($B88,'B-1 Site Hedge Baseline'!$B$1:$L$257,10,FALSE))))</f>
        <v/>
      </c>
      <c r="J88" s="520" t="str">
        <f>IF(B88="","",IF(ISNA(VLOOKUP($B88,'B-1 Site Hedge Baseline'!$B$1:$L$257,11,FALSE)),"",(VLOOKUP($B88,'B-1 Site Hedge Baseline'!$B$1:$L$257,11,FALSE))))</f>
        <v/>
      </c>
      <c r="K88" s="520" t="str">
        <f>IF(B88="","",IF(ISNA(VLOOKUP($B88,'B-1 Site Hedge Baseline'!$B$1:$U$257,13,FALSE)),"",(VLOOKUP($B88,'B-1 Site Hedge Baseline'!$B$1:$U$257,13,FALSE))))</f>
        <v/>
      </c>
      <c r="L88" s="524" t="str">
        <f>IF(B88="","",IF(ISNA(VLOOKUP($B88,'B-1 Site Hedge Baseline'!$B$1:$U$257,12,FALSE)),"",(VLOOKUP($B88,'B-1 Site Hedge Baseline'!$B$1:$U$257,12,FALSE))))</f>
        <v/>
      </c>
      <c r="M88" s="416" t="str">
        <f t="shared" si="15"/>
        <v/>
      </c>
      <c r="N88" s="498" t="str">
        <f>IFERROR(IF(B88="","",INDEX('G-6 Hedgerow Data'!$AN$3:$AZ$15,MATCH(C88,'G-6 Hedgerow Data'!$AM$3:$AM$15,0),MATCH(M88,'G-6 Hedgerow Data'!$AN$2:$AZ$2,0))),"")</f>
        <v/>
      </c>
      <c r="O88" s="499" t="str">
        <f t="shared" si="10"/>
        <v/>
      </c>
      <c r="P88" s="559" t="str">
        <f>IF(B88="","",VLOOKUP(B88,'B-1 Site Hedge Baseline'!$B$10:T333,16,FALSE))</f>
        <v/>
      </c>
      <c r="Q88" s="498" t="str">
        <f>IF(M88="","",VLOOKUP(M88,'G-6 Hedgerow Data'!$B$2:$AG$15,2,FALSE))</f>
        <v/>
      </c>
      <c r="R88" s="499" t="str">
        <f>IF(M88="","",VLOOKUP(M88,'G-6 Hedgerow Data'!$B$2:$AG$15,3,FALSE))</f>
        <v/>
      </c>
      <c r="S88" s="157"/>
      <c r="T88" s="540" t="str">
        <f>IFERROR(VLOOKUP(S88,'G-1 All Habitats'!$Z$2:$AA$9,2,FALSE),"")</f>
        <v/>
      </c>
      <c r="U88" s="154"/>
      <c r="V88" s="520" t="str">
        <f>IF(U88="","",IF(VLOOKUP(U88,'G-3 Multipliers'!$L$3:$N$6,2,FALSE)=0,"Spatial Data Missing ⚠",VLOOKUP(U88,'G-3 Multipliers'!$L$3:$N$6,2,FALSE)))</f>
        <v/>
      </c>
      <c r="W88" s="524" t="str">
        <f>IF(U88="","",IF(VLOOKUP(U88,'G-3 Multipliers'!$L$3:$N$6,3,FALSE)=0,"Spatial Data Missing ⚠",VLOOKUP(U88,'G-3 Multipliers'!$L$3:$N$6,3,FALSE)))</f>
        <v/>
      </c>
      <c r="X88" s="498"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7" t="str">
        <f t="shared" si="11"/>
        <v/>
      </c>
      <c r="AB88" s="521" t="str">
        <f t="shared" si="12"/>
        <v/>
      </c>
      <c r="AC88" s="522" t="str">
        <f t="shared" si="8"/>
        <v/>
      </c>
      <c r="AD88" s="537" t="str">
        <f>IF(M88="","",VLOOKUP(M88,'G-6 Hedgerow Data'!$B$3:$AG$15,31,FALSE))</f>
        <v/>
      </c>
      <c r="AE88" s="507" t="str">
        <f t="shared" si="13"/>
        <v/>
      </c>
      <c r="AF88" s="507" t="str">
        <f t="shared" si="14"/>
        <v/>
      </c>
      <c r="AG88" s="524" t="str">
        <f>IFERROR(IF(O88="","",VLOOKUP(AD88,'G-3 Multipliers'!$P$3:$Q$6,2,FALSE)),"")</f>
        <v/>
      </c>
      <c r="AH88" s="513" t="str">
        <f t="shared" si="9"/>
        <v/>
      </c>
      <c r="AI88" s="231"/>
      <c r="AJ88" s="150"/>
      <c r="AT88" s="31" t="str">
        <f>IFERROR(INDEX('G-6 Hedgerow Data'!$BJ$3:$BJ$15,MATCH(M88,'G-6 Hedgerow Data'!$B$3:$B$15,0)),"")</f>
        <v/>
      </c>
    </row>
    <row r="89" spans="2:46" ht="13.8" x14ac:dyDescent="0.25">
      <c r="B89" s="531" t="str">
        <f>'B-1 Site Hedge Baseline'!AK87</f>
        <v/>
      </c>
      <c r="C89" s="520" t="str">
        <f>IF(B89="","",IF(ISNA(VLOOKUP($B89,'B-1 Site Hedge Baseline'!$B$1:$L$257,3,FALSE)),"",(VLOOKUP($B89,'B-1 Site Hedge Baseline'!$B$1:$L$257,3,FALSE))))</f>
        <v/>
      </c>
      <c r="D89" s="520" t="str">
        <f>IF(B89="","",IF(ISNA(VLOOKUP($B89,'B-1 Site Hedge Baseline'!$B$1:$L$257,4,FALSE)),"",(VLOOKUP($B89,'B-1 Site Hedge Baseline'!$B$1:$L$257,4,FALSE))))</f>
        <v/>
      </c>
      <c r="E89" s="520" t="str">
        <f>IF(B89="","",IF(ISNA(VLOOKUP($B89,'B-1 Site Hedge Baseline'!$B$1:$L$257,5,FALSE)),"",(VLOOKUP($B89,'B-1 Site Hedge Baseline'!$B$1:$L$257,5,FALSE))))</f>
        <v/>
      </c>
      <c r="F89" s="520" t="str">
        <f>IF(B89="","",IF(ISNA(VLOOKUP($B89,'B-1 Site Hedge Baseline'!$B$1:$L$257,6,FALSE)),"",(VLOOKUP($B89,'B-1 Site Hedge Baseline'!$B$1:$L$257,6,FALSE))))</f>
        <v/>
      </c>
      <c r="G89" s="520" t="str">
        <f>IF(B89="","",IF(ISNA(VLOOKUP($B89,'B-1 Site Hedge Baseline'!$B$1:$L$257,7,FALSE)),"",(VLOOKUP($B89,'B-1 Site Hedge Baseline'!$B$1:$L$257,7,FALSE))))</f>
        <v/>
      </c>
      <c r="H89" s="520" t="str">
        <f>IF(B89="","",IF(ISNA(VLOOKUP($B89,'B-1 Site Hedge Baseline'!$B$1:$L$257,8,FALSE)),"",(VLOOKUP($B89,'B-1 Site Hedge Baseline'!$B$1:$L$257,8,FALSE))))</f>
        <v/>
      </c>
      <c r="I89" s="520" t="str">
        <f>IF(B89="","",IF(ISNA(VLOOKUP($B89,'B-1 Site Hedge Baseline'!$B$1:$L$257,10,FALSE)),"",(VLOOKUP($B89,'B-1 Site Hedge Baseline'!$B$1:$L$257,10,FALSE))))</f>
        <v/>
      </c>
      <c r="J89" s="520" t="str">
        <f>IF(B89="","",IF(ISNA(VLOOKUP($B89,'B-1 Site Hedge Baseline'!$B$1:$L$257,11,FALSE)),"",(VLOOKUP($B89,'B-1 Site Hedge Baseline'!$B$1:$L$257,11,FALSE))))</f>
        <v/>
      </c>
      <c r="K89" s="520" t="str">
        <f>IF(B89="","",IF(ISNA(VLOOKUP($B89,'B-1 Site Hedge Baseline'!$B$1:$U$257,13,FALSE)),"",(VLOOKUP($B89,'B-1 Site Hedge Baseline'!$B$1:$U$257,13,FALSE))))</f>
        <v/>
      </c>
      <c r="L89" s="524" t="str">
        <f>IF(B89="","",IF(ISNA(VLOOKUP($B89,'B-1 Site Hedge Baseline'!$B$1:$U$257,12,FALSE)),"",(VLOOKUP($B89,'B-1 Site Hedge Baseline'!$B$1:$U$257,12,FALSE))))</f>
        <v/>
      </c>
      <c r="M89" s="416" t="str">
        <f t="shared" si="15"/>
        <v/>
      </c>
      <c r="N89" s="498" t="str">
        <f>IFERROR(IF(B89="","",INDEX('G-6 Hedgerow Data'!$AN$3:$AZ$15,MATCH(C89,'G-6 Hedgerow Data'!$AM$3:$AM$15,0),MATCH(M89,'G-6 Hedgerow Data'!$AN$2:$AZ$2,0))),"")</f>
        <v/>
      </c>
      <c r="O89" s="499" t="str">
        <f t="shared" si="10"/>
        <v/>
      </c>
      <c r="P89" s="559" t="str">
        <f>IF(B89="","",VLOOKUP(B89,'B-1 Site Hedge Baseline'!$B$10:T334,16,FALSE))</f>
        <v/>
      </c>
      <c r="Q89" s="498" t="str">
        <f>IF(M89="","",VLOOKUP(M89,'G-6 Hedgerow Data'!$B$2:$AG$15,2,FALSE))</f>
        <v/>
      </c>
      <c r="R89" s="499" t="str">
        <f>IF(M89="","",VLOOKUP(M89,'G-6 Hedgerow Data'!$B$2:$AG$15,3,FALSE))</f>
        <v/>
      </c>
      <c r="S89" s="157"/>
      <c r="T89" s="540" t="str">
        <f>IFERROR(VLOOKUP(S89,'G-1 All Habitats'!$Z$2:$AA$9,2,FALSE),"")</f>
        <v/>
      </c>
      <c r="U89" s="154"/>
      <c r="V89" s="520" t="str">
        <f>IF(U89="","",IF(VLOOKUP(U89,'G-3 Multipliers'!$L$3:$N$6,2,FALSE)=0,"Spatial Data Missing ⚠",VLOOKUP(U89,'G-3 Multipliers'!$L$3:$N$6,2,FALSE)))</f>
        <v/>
      </c>
      <c r="W89" s="524" t="str">
        <f>IF(U89="","",IF(VLOOKUP(U89,'G-3 Multipliers'!$L$3:$N$6,3,FALSE)=0,"Spatial Data Missing ⚠",VLOOKUP(U89,'G-3 Multipliers'!$L$3:$N$6,3,FALSE)))</f>
        <v/>
      </c>
      <c r="X89" s="498"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7" t="str">
        <f t="shared" si="11"/>
        <v/>
      </c>
      <c r="AB89" s="521" t="str">
        <f t="shared" si="12"/>
        <v/>
      </c>
      <c r="AC89" s="522" t="str">
        <f t="shared" si="8"/>
        <v/>
      </c>
      <c r="AD89" s="537" t="str">
        <f>IF(M89="","",VLOOKUP(M89,'G-6 Hedgerow Data'!$B$3:$AG$15,31,FALSE))</f>
        <v/>
      </c>
      <c r="AE89" s="507" t="str">
        <f t="shared" si="13"/>
        <v/>
      </c>
      <c r="AF89" s="507" t="str">
        <f t="shared" si="14"/>
        <v/>
      </c>
      <c r="AG89" s="524" t="str">
        <f>IFERROR(IF(O89="","",VLOOKUP(AD89,'G-3 Multipliers'!$P$3:$Q$6,2,FALSE)),"")</f>
        <v/>
      </c>
      <c r="AH89" s="513" t="str">
        <f t="shared" si="9"/>
        <v/>
      </c>
      <c r="AI89" s="231"/>
      <c r="AJ89" s="150"/>
      <c r="AT89" s="31" t="str">
        <f>IFERROR(INDEX('G-6 Hedgerow Data'!$BJ$3:$BJ$15,MATCH(M89,'G-6 Hedgerow Data'!$B$3:$B$15,0)),"")</f>
        <v/>
      </c>
    </row>
    <row r="90" spans="2:46" ht="13.8" x14ac:dyDescent="0.25">
      <c r="B90" s="531" t="str">
        <f>'B-1 Site Hedge Baseline'!AK88</f>
        <v/>
      </c>
      <c r="C90" s="520" t="str">
        <f>IF(B90="","",IF(ISNA(VLOOKUP($B90,'B-1 Site Hedge Baseline'!$B$1:$L$257,3,FALSE)),"",(VLOOKUP($B90,'B-1 Site Hedge Baseline'!$B$1:$L$257,3,FALSE))))</f>
        <v/>
      </c>
      <c r="D90" s="520" t="str">
        <f>IF(B90="","",IF(ISNA(VLOOKUP($B90,'B-1 Site Hedge Baseline'!$B$1:$L$257,4,FALSE)),"",(VLOOKUP($B90,'B-1 Site Hedge Baseline'!$B$1:$L$257,4,FALSE))))</f>
        <v/>
      </c>
      <c r="E90" s="520" t="str">
        <f>IF(B90="","",IF(ISNA(VLOOKUP($B90,'B-1 Site Hedge Baseline'!$B$1:$L$257,5,FALSE)),"",(VLOOKUP($B90,'B-1 Site Hedge Baseline'!$B$1:$L$257,5,FALSE))))</f>
        <v/>
      </c>
      <c r="F90" s="520" t="str">
        <f>IF(B90="","",IF(ISNA(VLOOKUP($B90,'B-1 Site Hedge Baseline'!$B$1:$L$257,6,FALSE)),"",(VLOOKUP($B90,'B-1 Site Hedge Baseline'!$B$1:$L$257,6,FALSE))))</f>
        <v/>
      </c>
      <c r="G90" s="520" t="str">
        <f>IF(B90="","",IF(ISNA(VLOOKUP($B90,'B-1 Site Hedge Baseline'!$B$1:$L$257,7,FALSE)),"",(VLOOKUP($B90,'B-1 Site Hedge Baseline'!$B$1:$L$257,7,FALSE))))</f>
        <v/>
      </c>
      <c r="H90" s="520" t="str">
        <f>IF(B90="","",IF(ISNA(VLOOKUP($B90,'B-1 Site Hedge Baseline'!$B$1:$L$257,8,FALSE)),"",(VLOOKUP($B90,'B-1 Site Hedge Baseline'!$B$1:$L$257,8,FALSE))))</f>
        <v/>
      </c>
      <c r="I90" s="520" t="str">
        <f>IF(B90="","",IF(ISNA(VLOOKUP($B90,'B-1 Site Hedge Baseline'!$B$1:$L$257,10,FALSE)),"",(VLOOKUP($B90,'B-1 Site Hedge Baseline'!$B$1:$L$257,10,FALSE))))</f>
        <v/>
      </c>
      <c r="J90" s="520" t="str">
        <f>IF(B90="","",IF(ISNA(VLOOKUP($B90,'B-1 Site Hedge Baseline'!$B$1:$L$257,11,FALSE)),"",(VLOOKUP($B90,'B-1 Site Hedge Baseline'!$B$1:$L$257,11,FALSE))))</f>
        <v/>
      </c>
      <c r="K90" s="520" t="str">
        <f>IF(B90="","",IF(ISNA(VLOOKUP($B90,'B-1 Site Hedge Baseline'!$B$1:$U$257,13,FALSE)),"",(VLOOKUP($B90,'B-1 Site Hedge Baseline'!$B$1:$U$257,13,FALSE))))</f>
        <v/>
      </c>
      <c r="L90" s="524" t="str">
        <f>IF(B90="","",IF(ISNA(VLOOKUP($B90,'B-1 Site Hedge Baseline'!$B$1:$U$257,12,FALSE)),"",(VLOOKUP($B90,'B-1 Site Hedge Baseline'!$B$1:$U$257,12,FALSE))))</f>
        <v/>
      </c>
      <c r="M90" s="416" t="str">
        <f t="shared" si="15"/>
        <v/>
      </c>
      <c r="N90" s="498" t="str">
        <f>IFERROR(IF(B90="","",INDEX('G-6 Hedgerow Data'!$AN$3:$AZ$15,MATCH(C90,'G-6 Hedgerow Data'!$AM$3:$AM$15,0),MATCH(M90,'G-6 Hedgerow Data'!$AN$2:$AZ$2,0))),"")</f>
        <v/>
      </c>
      <c r="O90" s="499" t="str">
        <f t="shared" si="10"/>
        <v/>
      </c>
      <c r="P90" s="559" t="str">
        <f>IF(B90="","",VLOOKUP(B90,'B-1 Site Hedge Baseline'!$B$10:T335,16,FALSE))</f>
        <v/>
      </c>
      <c r="Q90" s="498" t="str">
        <f>IF(M90="","",VLOOKUP(M90,'G-6 Hedgerow Data'!$B$2:$AG$15,2,FALSE))</f>
        <v/>
      </c>
      <c r="R90" s="499" t="str">
        <f>IF(M90="","",VLOOKUP(M90,'G-6 Hedgerow Data'!$B$2:$AG$15,3,FALSE))</f>
        <v/>
      </c>
      <c r="S90" s="157"/>
      <c r="T90" s="540" t="str">
        <f>IFERROR(VLOOKUP(S90,'G-1 All Habitats'!$Z$2:$AA$9,2,FALSE),"")</f>
        <v/>
      </c>
      <c r="U90" s="154"/>
      <c r="V90" s="520" t="str">
        <f>IF(U90="","",IF(VLOOKUP(U90,'G-3 Multipliers'!$L$3:$N$6,2,FALSE)=0,"Spatial Data Missing ⚠",VLOOKUP(U90,'G-3 Multipliers'!$L$3:$N$6,2,FALSE)))</f>
        <v/>
      </c>
      <c r="W90" s="524" t="str">
        <f>IF(U90="","",IF(VLOOKUP(U90,'G-3 Multipliers'!$L$3:$N$6,3,FALSE)=0,"Spatial Data Missing ⚠",VLOOKUP(U90,'G-3 Multipliers'!$L$3:$N$6,3,FALSE)))</f>
        <v/>
      </c>
      <c r="X90" s="498"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7" t="str">
        <f t="shared" si="11"/>
        <v/>
      </c>
      <c r="AB90" s="521" t="str">
        <f t="shared" si="12"/>
        <v/>
      </c>
      <c r="AC90" s="522" t="str">
        <f t="shared" si="8"/>
        <v/>
      </c>
      <c r="AD90" s="537" t="str">
        <f>IF(M90="","",VLOOKUP(M90,'G-6 Hedgerow Data'!$B$3:$AG$15,31,FALSE))</f>
        <v/>
      </c>
      <c r="AE90" s="507" t="str">
        <f t="shared" si="13"/>
        <v/>
      </c>
      <c r="AF90" s="507" t="str">
        <f t="shared" si="14"/>
        <v/>
      </c>
      <c r="AG90" s="524" t="str">
        <f>IFERROR(IF(O90="","",VLOOKUP(AD90,'G-3 Multipliers'!$P$3:$Q$6,2,FALSE)),"")</f>
        <v/>
      </c>
      <c r="AH90" s="513" t="str">
        <f t="shared" si="9"/>
        <v/>
      </c>
      <c r="AI90" s="231"/>
      <c r="AJ90" s="150"/>
      <c r="AT90" s="31" t="str">
        <f>IFERROR(INDEX('G-6 Hedgerow Data'!$BJ$3:$BJ$15,MATCH(M90,'G-6 Hedgerow Data'!$B$3:$B$15,0)),"")</f>
        <v/>
      </c>
    </row>
    <row r="91" spans="2:46" ht="13.8" x14ac:dyDescent="0.25">
      <c r="B91" s="531" t="str">
        <f>'B-1 Site Hedge Baseline'!AK89</f>
        <v/>
      </c>
      <c r="C91" s="520" t="str">
        <f>IF(B91="","",IF(ISNA(VLOOKUP($B91,'B-1 Site Hedge Baseline'!$B$1:$L$257,3,FALSE)),"",(VLOOKUP($B91,'B-1 Site Hedge Baseline'!$B$1:$L$257,3,FALSE))))</f>
        <v/>
      </c>
      <c r="D91" s="520" t="str">
        <f>IF(B91="","",IF(ISNA(VLOOKUP($B91,'B-1 Site Hedge Baseline'!$B$1:$L$257,4,FALSE)),"",(VLOOKUP($B91,'B-1 Site Hedge Baseline'!$B$1:$L$257,4,FALSE))))</f>
        <v/>
      </c>
      <c r="E91" s="520" t="str">
        <f>IF(B91="","",IF(ISNA(VLOOKUP($B91,'B-1 Site Hedge Baseline'!$B$1:$L$257,5,FALSE)),"",(VLOOKUP($B91,'B-1 Site Hedge Baseline'!$B$1:$L$257,5,FALSE))))</f>
        <v/>
      </c>
      <c r="F91" s="520" t="str">
        <f>IF(B91="","",IF(ISNA(VLOOKUP($B91,'B-1 Site Hedge Baseline'!$B$1:$L$257,6,FALSE)),"",(VLOOKUP($B91,'B-1 Site Hedge Baseline'!$B$1:$L$257,6,FALSE))))</f>
        <v/>
      </c>
      <c r="G91" s="520" t="str">
        <f>IF(B91="","",IF(ISNA(VLOOKUP($B91,'B-1 Site Hedge Baseline'!$B$1:$L$257,7,FALSE)),"",(VLOOKUP($B91,'B-1 Site Hedge Baseline'!$B$1:$L$257,7,FALSE))))</f>
        <v/>
      </c>
      <c r="H91" s="520" t="str">
        <f>IF(B91="","",IF(ISNA(VLOOKUP($B91,'B-1 Site Hedge Baseline'!$B$1:$L$257,8,FALSE)),"",(VLOOKUP($B91,'B-1 Site Hedge Baseline'!$B$1:$L$257,8,FALSE))))</f>
        <v/>
      </c>
      <c r="I91" s="520" t="str">
        <f>IF(B91="","",IF(ISNA(VLOOKUP($B91,'B-1 Site Hedge Baseline'!$B$1:$L$257,10,FALSE)),"",(VLOOKUP($B91,'B-1 Site Hedge Baseline'!$B$1:$L$257,10,FALSE))))</f>
        <v/>
      </c>
      <c r="J91" s="520" t="str">
        <f>IF(B91="","",IF(ISNA(VLOOKUP($B91,'B-1 Site Hedge Baseline'!$B$1:$L$257,11,FALSE)),"",(VLOOKUP($B91,'B-1 Site Hedge Baseline'!$B$1:$L$257,11,FALSE))))</f>
        <v/>
      </c>
      <c r="K91" s="520" t="str">
        <f>IF(B91="","",IF(ISNA(VLOOKUP($B91,'B-1 Site Hedge Baseline'!$B$1:$U$257,13,FALSE)),"",(VLOOKUP($B91,'B-1 Site Hedge Baseline'!$B$1:$U$257,13,FALSE))))</f>
        <v/>
      </c>
      <c r="L91" s="524" t="str">
        <f>IF(B91="","",IF(ISNA(VLOOKUP($B91,'B-1 Site Hedge Baseline'!$B$1:$U$257,12,FALSE)),"",(VLOOKUP($B91,'B-1 Site Hedge Baseline'!$B$1:$U$257,12,FALSE))))</f>
        <v/>
      </c>
      <c r="M91" s="416" t="str">
        <f t="shared" si="15"/>
        <v/>
      </c>
      <c r="N91" s="498" t="str">
        <f>IFERROR(IF(B91="","",INDEX('G-6 Hedgerow Data'!$AN$3:$AZ$15,MATCH(C91,'G-6 Hedgerow Data'!$AM$3:$AM$15,0),MATCH(M91,'G-6 Hedgerow Data'!$AN$2:$AZ$2,0))),"")</f>
        <v/>
      </c>
      <c r="O91" s="499" t="str">
        <f t="shared" si="10"/>
        <v/>
      </c>
      <c r="P91" s="559" t="str">
        <f>IF(B91="","",VLOOKUP(B91,'B-1 Site Hedge Baseline'!$B$10:T336,16,FALSE))</f>
        <v/>
      </c>
      <c r="Q91" s="498" t="str">
        <f>IF(M91="","",VLOOKUP(M91,'G-6 Hedgerow Data'!$B$2:$AG$15,2,FALSE))</f>
        <v/>
      </c>
      <c r="R91" s="499" t="str">
        <f>IF(M91="","",VLOOKUP(M91,'G-6 Hedgerow Data'!$B$2:$AG$15,3,FALSE))</f>
        <v/>
      </c>
      <c r="S91" s="157"/>
      <c r="T91" s="540" t="str">
        <f>IFERROR(VLOOKUP(S91,'G-1 All Habitats'!$Z$2:$AA$9,2,FALSE),"")</f>
        <v/>
      </c>
      <c r="U91" s="154"/>
      <c r="V91" s="520" t="str">
        <f>IF(U91="","",IF(VLOOKUP(U91,'G-3 Multipliers'!$L$3:$N$6,2,FALSE)=0,"Spatial Data Missing ⚠",VLOOKUP(U91,'G-3 Multipliers'!$L$3:$N$6,2,FALSE)))</f>
        <v/>
      </c>
      <c r="W91" s="524" t="str">
        <f>IF(U91="","",IF(VLOOKUP(U91,'G-3 Multipliers'!$L$3:$N$6,3,FALSE)=0,"Spatial Data Missing ⚠",VLOOKUP(U91,'G-3 Multipliers'!$L$3:$N$6,3,FALSE)))</f>
        <v/>
      </c>
      <c r="X91" s="498"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7" t="str">
        <f t="shared" si="11"/>
        <v/>
      </c>
      <c r="AB91" s="521" t="str">
        <f t="shared" si="12"/>
        <v/>
      </c>
      <c r="AC91" s="522" t="str">
        <f t="shared" si="8"/>
        <v/>
      </c>
      <c r="AD91" s="537" t="str">
        <f>IF(M91="","",VLOOKUP(M91,'G-6 Hedgerow Data'!$B$3:$AG$15,31,FALSE))</f>
        <v/>
      </c>
      <c r="AE91" s="507" t="str">
        <f t="shared" si="13"/>
        <v/>
      </c>
      <c r="AF91" s="507" t="str">
        <f t="shared" si="14"/>
        <v/>
      </c>
      <c r="AG91" s="524" t="str">
        <f>IFERROR(IF(O91="","",VLOOKUP(AD91,'G-3 Multipliers'!$P$3:$Q$6,2,FALSE)),"")</f>
        <v/>
      </c>
      <c r="AH91" s="513" t="str">
        <f t="shared" si="9"/>
        <v/>
      </c>
      <c r="AI91" s="231"/>
      <c r="AJ91" s="150"/>
      <c r="AT91" s="31" t="str">
        <f>IFERROR(INDEX('G-6 Hedgerow Data'!$BJ$3:$BJ$15,MATCH(M91,'G-6 Hedgerow Data'!$B$3:$B$15,0)),"")</f>
        <v/>
      </c>
    </row>
    <row r="92" spans="2:46" ht="13.8" x14ac:dyDescent="0.25">
      <c r="B92" s="531" t="str">
        <f>'B-1 Site Hedge Baseline'!AK90</f>
        <v/>
      </c>
      <c r="C92" s="520" t="str">
        <f>IF(B92="","",IF(ISNA(VLOOKUP($B92,'B-1 Site Hedge Baseline'!$B$1:$L$257,3,FALSE)),"",(VLOOKUP($B92,'B-1 Site Hedge Baseline'!$B$1:$L$257,3,FALSE))))</f>
        <v/>
      </c>
      <c r="D92" s="520" t="str">
        <f>IF(B92="","",IF(ISNA(VLOOKUP($B92,'B-1 Site Hedge Baseline'!$B$1:$L$257,4,FALSE)),"",(VLOOKUP($B92,'B-1 Site Hedge Baseline'!$B$1:$L$257,4,FALSE))))</f>
        <v/>
      </c>
      <c r="E92" s="520" t="str">
        <f>IF(B92="","",IF(ISNA(VLOOKUP($B92,'B-1 Site Hedge Baseline'!$B$1:$L$257,5,FALSE)),"",(VLOOKUP($B92,'B-1 Site Hedge Baseline'!$B$1:$L$257,5,FALSE))))</f>
        <v/>
      </c>
      <c r="F92" s="520" t="str">
        <f>IF(B92="","",IF(ISNA(VLOOKUP($B92,'B-1 Site Hedge Baseline'!$B$1:$L$257,6,FALSE)),"",(VLOOKUP($B92,'B-1 Site Hedge Baseline'!$B$1:$L$257,6,FALSE))))</f>
        <v/>
      </c>
      <c r="G92" s="520" t="str">
        <f>IF(B92="","",IF(ISNA(VLOOKUP($B92,'B-1 Site Hedge Baseline'!$B$1:$L$257,7,FALSE)),"",(VLOOKUP($B92,'B-1 Site Hedge Baseline'!$B$1:$L$257,7,FALSE))))</f>
        <v/>
      </c>
      <c r="H92" s="520" t="str">
        <f>IF(B92="","",IF(ISNA(VLOOKUP($B92,'B-1 Site Hedge Baseline'!$B$1:$L$257,8,FALSE)),"",(VLOOKUP($B92,'B-1 Site Hedge Baseline'!$B$1:$L$257,8,FALSE))))</f>
        <v/>
      </c>
      <c r="I92" s="520" t="str">
        <f>IF(B92="","",IF(ISNA(VLOOKUP($B92,'B-1 Site Hedge Baseline'!$B$1:$L$257,10,FALSE)),"",(VLOOKUP($B92,'B-1 Site Hedge Baseline'!$B$1:$L$257,10,FALSE))))</f>
        <v/>
      </c>
      <c r="J92" s="520" t="str">
        <f>IF(B92="","",IF(ISNA(VLOOKUP($B92,'B-1 Site Hedge Baseline'!$B$1:$L$257,11,FALSE)),"",(VLOOKUP($B92,'B-1 Site Hedge Baseline'!$B$1:$L$257,11,FALSE))))</f>
        <v/>
      </c>
      <c r="K92" s="520" t="str">
        <f>IF(B92="","",IF(ISNA(VLOOKUP($B92,'B-1 Site Hedge Baseline'!$B$1:$U$257,13,FALSE)),"",(VLOOKUP($B92,'B-1 Site Hedge Baseline'!$B$1:$U$257,13,FALSE))))</f>
        <v/>
      </c>
      <c r="L92" s="524" t="str">
        <f>IF(B92="","",IF(ISNA(VLOOKUP($B92,'B-1 Site Hedge Baseline'!$B$1:$U$257,12,FALSE)),"",(VLOOKUP($B92,'B-1 Site Hedge Baseline'!$B$1:$U$257,12,FALSE))))</f>
        <v/>
      </c>
      <c r="M92" s="416" t="str">
        <f t="shared" si="15"/>
        <v/>
      </c>
      <c r="N92" s="498" t="str">
        <f>IFERROR(IF(B92="","",INDEX('G-6 Hedgerow Data'!$AN$3:$AZ$15,MATCH(C92,'G-6 Hedgerow Data'!$AM$3:$AM$15,0),MATCH(M92,'G-6 Hedgerow Data'!$AN$2:$AZ$2,0))),"")</f>
        <v/>
      </c>
      <c r="O92" s="499" t="str">
        <f t="shared" si="10"/>
        <v/>
      </c>
      <c r="P92" s="559" t="str">
        <f>IF(B92="","",VLOOKUP(B92,'B-1 Site Hedge Baseline'!$B$10:T337,16,FALSE))</f>
        <v/>
      </c>
      <c r="Q92" s="498" t="str">
        <f>IF(M92="","",VLOOKUP(M92,'G-6 Hedgerow Data'!$B$2:$AG$15,2,FALSE))</f>
        <v/>
      </c>
      <c r="R92" s="499" t="str">
        <f>IF(M92="","",VLOOKUP(M92,'G-6 Hedgerow Data'!$B$2:$AG$15,3,FALSE))</f>
        <v/>
      </c>
      <c r="S92" s="157"/>
      <c r="T92" s="540" t="str">
        <f>IFERROR(VLOOKUP(S92,'G-1 All Habitats'!$Z$2:$AA$9,2,FALSE),"")</f>
        <v/>
      </c>
      <c r="U92" s="154"/>
      <c r="V92" s="520" t="str">
        <f>IF(U92="","",IF(VLOOKUP(U92,'G-3 Multipliers'!$L$3:$N$6,2,FALSE)=0,"Spatial Data Missing ⚠",VLOOKUP(U92,'G-3 Multipliers'!$L$3:$N$6,2,FALSE)))</f>
        <v/>
      </c>
      <c r="W92" s="524" t="str">
        <f>IF(U92="","",IF(VLOOKUP(U92,'G-3 Multipliers'!$L$3:$N$6,3,FALSE)=0,"Spatial Data Missing ⚠",VLOOKUP(U92,'G-3 Multipliers'!$L$3:$N$6,3,FALSE)))</f>
        <v/>
      </c>
      <c r="X92" s="498"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7" t="str">
        <f t="shared" si="11"/>
        <v/>
      </c>
      <c r="AB92" s="521" t="str">
        <f t="shared" si="12"/>
        <v/>
      </c>
      <c r="AC92" s="522" t="str">
        <f t="shared" si="8"/>
        <v/>
      </c>
      <c r="AD92" s="537" t="str">
        <f>IF(M92="","",VLOOKUP(M92,'G-6 Hedgerow Data'!$B$3:$AG$15,31,FALSE))</f>
        <v/>
      </c>
      <c r="AE92" s="507" t="str">
        <f t="shared" si="13"/>
        <v/>
      </c>
      <c r="AF92" s="507" t="str">
        <f t="shared" si="14"/>
        <v/>
      </c>
      <c r="AG92" s="524" t="str">
        <f>IFERROR(IF(O92="","",VLOOKUP(AD92,'G-3 Multipliers'!$P$3:$Q$6,2,FALSE)),"")</f>
        <v/>
      </c>
      <c r="AH92" s="513" t="str">
        <f t="shared" si="9"/>
        <v/>
      </c>
      <c r="AI92" s="231"/>
      <c r="AJ92" s="150"/>
      <c r="AT92" s="31" t="str">
        <f>IFERROR(INDEX('G-6 Hedgerow Data'!$BJ$3:$BJ$15,MATCH(M92,'G-6 Hedgerow Data'!$B$3:$B$15,0)),"")</f>
        <v/>
      </c>
    </row>
    <row r="93" spans="2:46" ht="13.8" x14ac:dyDescent="0.25">
      <c r="B93" s="531" t="str">
        <f>'B-1 Site Hedge Baseline'!AK91</f>
        <v/>
      </c>
      <c r="C93" s="520" t="str">
        <f>IF(B93="","",IF(ISNA(VLOOKUP($B93,'B-1 Site Hedge Baseline'!$B$1:$L$257,3,FALSE)),"",(VLOOKUP($B93,'B-1 Site Hedge Baseline'!$B$1:$L$257,3,FALSE))))</f>
        <v/>
      </c>
      <c r="D93" s="520" t="str">
        <f>IF(B93="","",IF(ISNA(VLOOKUP($B93,'B-1 Site Hedge Baseline'!$B$1:$L$257,4,FALSE)),"",(VLOOKUP($B93,'B-1 Site Hedge Baseline'!$B$1:$L$257,4,FALSE))))</f>
        <v/>
      </c>
      <c r="E93" s="520" t="str">
        <f>IF(B93="","",IF(ISNA(VLOOKUP($B93,'B-1 Site Hedge Baseline'!$B$1:$L$257,5,FALSE)),"",(VLOOKUP($B93,'B-1 Site Hedge Baseline'!$B$1:$L$257,5,FALSE))))</f>
        <v/>
      </c>
      <c r="F93" s="520" t="str">
        <f>IF(B93="","",IF(ISNA(VLOOKUP($B93,'B-1 Site Hedge Baseline'!$B$1:$L$257,6,FALSE)),"",(VLOOKUP($B93,'B-1 Site Hedge Baseline'!$B$1:$L$257,6,FALSE))))</f>
        <v/>
      </c>
      <c r="G93" s="520" t="str">
        <f>IF(B93="","",IF(ISNA(VLOOKUP($B93,'B-1 Site Hedge Baseline'!$B$1:$L$257,7,FALSE)),"",(VLOOKUP($B93,'B-1 Site Hedge Baseline'!$B$1:$L$257,7,FALSE))))</f>
        <v/>
      </c>
      <c r="H93" s="520" t="str">
        <f>IF(B93="","",IF(ISNA(VLOOKUP($B93,'B-1 Site Hedge Baseline'!$B$1:$L$257,8,FALSE)),"",(VLOOKUP($B93,'B-1 Site Hedge Baseline'!$B$1:$L$257,8,FALSE))))</f>
        <v/>
      </c>
      <c r="I93" s="520" t="str">
        <f>IF(B93="","",IF(ISNA(VLOOKUP($B93,'B-1 Site Hedge Baseline'!$B$1:$L$257,10,FALSE)),"",(VLOOKUP($B93,'B-1 Site Hedge Baseline'!$B$1:$L$257,10,FALSE))))</f>
        <v/>
      </c>
      <c r="J93" s="520" t="str">
        <f>IF(B93="","",IF(ISNA(VLOOKUP($B93,'B-1 Site Hedge Baseline'!$B$1:$L$257,11,FALSE)),"",(VLOOKUP($B93,'B-1 Site Hedge Baseline'!$B$1:$L$257,11,FALSE))))</f>
        <v/>
      </c>
      <c r="K93" s="520" t="str">
        <f>IF(B93="","",IF(ISNA(VLOOKUP($B93,'B-1 Site Hedge Baseline'!$B$1:$U$257,13,FALSE)),"",(VLOOKUP($B93,'B-1 Site Hedge Baseline'!$B$1:$U$257,13,FALSE))))</f>
        <v/>
      </c>
      <c r="L93" s="524" t="str">
        <f>IF(B93="","",IF(ISNA(VLOOKUP($B93,'B-1 Site Hedge Baseline'!$B$1:$U$257,12,FALSE)),"",(VLOOKUP($B93,'B-1 Site Hedge Baseline'!$B$1:$U$257,12,FALSE))))</f>
        <v/>
      </c>
      <c r="M93" s="416" t="str">
        <f t="shared" si="15"/>
        <v/>
      </c>
      <c r="N93" s="498" t="str">
        <f>IFERROR(IF(B93="","",INDEX('G-6 Hedgerow Data'!$AN$3:$AZ$15,MATCH(C93,'G-6 Hedgerow Data'!$AM$3:$AM$15,0),MATCH(M93,'G-6 Hedgerow Data'!$AN$2:$AZ$2,0))),"")</f>
        <v/>
      </c>
      <c r="O93" s="499" t="str">
        <f t="shared" si="10"/>
        <v/>
      </c>
      <c r="P93" s="559" t="str">
        <f>IF(B93="","",VLOOKUP(B93,'B-1 Site Hedge Baseline'!$B$10:T338,16,FALSE))</f>
        <v/>
      </c>
      <c r="Q93" s="498" t="str">
        <f>IF(M93="","",VLOOKUP(M93,'G-6 Hedgerow Data'!$B$2:$AG$15,2,FALSE))</f>
        <v/>
      </c>
      <c r="R93" s="499" t="str">
        <f>IF(M93="","",VLOOKUP(M93,'G-6 Hedgerow Data'!$B$2:$AG$15,3,FALSE))</f>
        <v/>
      </c>
      <c r="S93" s="157"/>
      <c r="T93" s="540" t="str">
        <f>IFERROR(VLOOKUP(S93,'G-1 All Habitats'!$Z$2:$AA$9,2,FALSE),"")</f>
        <v/>
      </c>
      <c r="U93" s="154"/>
      <c r="V93" s="520" t="str">
        <f>IF(U93="","",IF(VLOOKUP(U93,'G-3 Multipliers'!$L$3:$N$6,2,FALSE)=0,"Spatial Data Missing ⚠",VLOOKUP(U93,'G-3 Multipliers'!$L$3:$N$6,2,FALSE)))</f>
        <v/>
      </c>
      <c r="W93" s="524" t="str">
        <f>IF(U93="","",IF(VLOOKUP(U93,'G-3 Multipliers'!$L$3:$N$6,3,FALSE)=0,"Spatial Data Missing ⚠",VLOOKUP(U93,'G-3 Multipliers'!$L$3:$N$6,3,FALSE)))</f>
        <v/>
      </c>
      <c r="X93" s="498"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7" t="str">
        <f t="shared" si="11"/>
        <v/>
      </c>
      <c r="AB93" s="521" t="str">
        <f t="shared" si="12"/>
        <v/>
      </c>
      <c r="AC93" s="522" t="str">
        <f t="shared" si="8"/>
        <v/>
      </c>
      <c r="AD93" s="537" t="str">
        <f>IF(M93="","",VLOOKUP(M93,'G-6 Hedgerow Data'!$B$3:$AG$15,31,FALSE))</f>
        <v/>
      </c>
      <c r="AE93" s="507" t="str">
        <f t="shared" si="13"/>
        <v/>
      </c>
      <c r="AF93" s="507" t="str">
        <f t="shared" si="14"/>
        <v/>
      </c>
      <c r="AG93" s="524" t="str">
        <f>IFERROR(IF(O93="","",VLOOKUP(AD93,'G-3 Multipliers'!$P$3:$Q$6,2,FALSE)),"")</f>
        <v/>
      </c>
      <c r="AH93" s="513" t="str">
        <f t="shared" si="9"/>
        <v/>
      </c>
      <c r="AI93" s="231"/>
      <c r="AJ93" s="150"/>
      <c r="AT93" s="31" t="str">
        <f>IFERROR(INDEX('G-6 Hedgerow Data'!$BJ$3:$BJ$15,MATCH(M93,'G-6 Hedgerow Data'!$B$3:$B$15,0)),"")</f>
        <v/>
      </c>
    </row>
    <row r="94" spans="2:46" ht="13.8" x14ac:dyDescent="0.25">
      <c r="B94" s="531" t="str">
        <f>'B-1 Site Hedge Baseline'!AK92</f>
        <v/>
      </c>
      <c r="C94" s="520" t="str">
        <f>IF(B94="","",IF(ISNA(VLOOKUP($B94,'B-1 Site Hedge Baseline'!$B$1:$L$257,3,FALSE)),"",(VLOOKUP($B94,'B-1 Site Hedge Baseline'!$B$1:$L$257,3,FALSE))))</f>
        <v/>
      </c>
      <c r="D94" s="520" t="str">
        <f>IF(B94="","",IF(ISNA(VLOOKUP($B94,'B-1 Site Hedge Baseline'!$B$1:$L$257,4,FALSE)),"",(VLOOKUP($B94,'B-1 Site Hedge Baseline'!$B$1:$L$257,4,FALSE))))</f>
        <v/>
      </c>
      <c r="E94" s="520" t="str">
        <f>IF(B94="","",IF(ISNA(VLOOKUP($B94,'B-1 Site Hedge Baseline'!$B$1:$L$257,5,FALSE)),"",(VLOOKUP($B94,'B-1 Site Hedge Baseline'!$B$1:$L$257,5,FALSE))))</f>
        <v/>
      </c>
      <c r="F94" s="520" t="str">
        <f>IF(B94="","",IF(ISNA(VLOOKUP($B94,'B-1 Site Hedge Baseline'!$B$1:$L$257,6,FALSE)),"",(VLOOKUP($B94,'B-1 Site Hedge Baseline'!$B$1:$L$257,6,FALSE))))</f>
        <v/>
      </c>
      <c r="G94" s="520" t="str">
        <f>IF(B94="","",IF(ISNA(VLOOKUP($B94,'B-1 Site Hedge Baseline'!$B$1:$L$257,7,FALSE)),"",(VLOOKUP($B94,'B-1 Site Hedge Baseline'!$B$1:$L$257,7,FALSE))))</f>
        <v/>
      </c>
      <c r="H94" s="520" t="str">
        <f>IF(B94="","",IF(ISNA(VLOOKUP($B94,'B-1 Site Hedge Baseline'!$B$1:$L$257,8,FALSE)),"",(VLOOKUP($B94,'B-1 Site Hedge Baseline'!$B$1:$L$257,8,FALSE))))</f>
        <v/>
      </c>
      <c r="I94" s="520" t="str">
        <f>IF(B94="","",IF(ISNA(VLOOKUP($B94,'B-1 Site Hedge Baseline'!$B$1:$L$257,10,FALSE)),"",(VLOOKUP($B94,'B-1 Site Hedge Baseline'!$B$1:$L$257,10,FALSE))))</f>
        <v/>
      </c>
      <c r="J94" s="520" t="str">
        <f>IF(B94="","",IF(ISNA(VLOOKUP($B94,'B-1 Site Hedge Baseline'!$B$1:$L$257,11,FALSE)),"",(VLOOKUP($B94,'B-1 Site Hedge Baseline'!$B$1:$L$257,11,FALSE))))</f>
        <v/>
      </c>
      <c r="K94" s="520" t="str">
        <f>IF(B94="","",IF(ISNA(VLOOKUP($B94,'B-1 Site Hedge Baseline'!$B$1:$U$257,13,FALSE)),"",(VLOOKUP($B94,'B-1 Site Hedge Baseline'!$B$1:$U$257,13,FALSE))))</f>
        <v/>
      </c>
      <c r="L94" s="524" t="str">
        <f>IF(B94="","",IF(ISNA(VLOOKUP($B94,'B-1 Site Hedge Baseline'!$B$1:$U$257,12,FALSE)),"",(VLOOKUP($B94,'B-1 Site Hedge Baseline'!$B$1:$U$257,12,FALSE))))</f>
        <v/>
      </c>
      <c r="M94" s="416" t="str">
        <f t="shared" si="15"/>
        <v/>
      </c>
      <c r="N94" s="498" t="str">
        <f>IFERROR(IF(B94="","",INDEX('G-6 Hedgerow Data'!$AN$3:$AZ$15,MATCH(C94,'G-6 Hedgerow Data'!$AM$3:$AM$15,0),MATCH(M94,'G-6 Hedgerow Data'!$AN$2:$AZ$2,0))),"")</f>
        <v/>
      </c>
      <c r="O94" s="499" t="str">
        <f t="shared" si="10"/>
        <v/>
      </c>
      <c r="P94" s="559" t="str">
        <f>IF(B94="","",VLOOKUP(B94,'B-1 Site Hedge Baseline'!$B$10:T339,16,FALSE))</f>
        <v/>
      </c>
      <c r="Q94" s="498" t="str">
        <f>IF(M94="","",VLOOKUP(M94,'G-6 Hedgerow Data'!$B$2:$AG$15,2,FALSE))</f>
        <v/>
      </c>
      <c r="R94" s="499" t="str">
        <f>IF(M94="","",VLOOKUP(M94,'G-6 Hedgerow Data'!$B$2:$AG$15,3,FALSE))</f>
        <v/>
      </c>
      <c r="S94" s="157"/>
      <c r="T94" s="540" t="str">
        <f>IFERROR(VLOOKUP(S94,'G-1 All Habitats'!$Z$2:$AA$9,2,FALSE),"")</f>
        <v/>
      </c>
      <c r="U94" s="154"/>
      <c r="V94" s="520" t="str">
        <f>IF(U94="","",IF(VLOOKUP(U94,'G-3 Multipliers'!$L$3:$N$6,2,FALSE)=0,"Spatial Data Missing ⚠",VLOOKUP(U94,'G-3 Multipliers'!$L$3:$N$6,2,FALSE)))</f>
        <v/>
      </c>
      <c r="W94" s="524" t="str">
        <f>IF(U94="","",IF(VLOOKUP(U94,'G-3 Multipliers'!$L$3:$N$6,3,FALSE)=0,"Spatial Data Missing ⚠",VLOOKUP(U94,'G-3 Multipliers'!$L$3:$N$6,3,FALSE)))</f>
        <v/>
      </c>
      <c r="X94" s="498"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7" t="str">
        <f t="shared" si="11"/>
        <v/>
      </c>
      <c r="AB94" s="521" t="str">
        <f t="shared" si="12"/>
        <v/>
      </c>
      <c r="AC94" s="522" t="str">
        <f t="shared" si="8"/>
        <v/>
      </c>
      <c r="AD94" s="537" t="str">
        <f>IF(M94="","",VLOOKUP(M94,'G-6 Hedgerow Data'!$B$3:$AG$15,31,FALSE))</f>
        <v/>
      </c>
      <c r="AE94" s="507" t="str">
        <f t="shared" si="13"/>
        <v/>
      </c>
      <c r="AF94" s="507" t="str">
        <f t="shared" si="14"/>
        <v/>
      </c>
      <c r="AG94" s="524" t="str">
        <f>IFERROR(IF(O94="","",VLOOKUP(AD94,'G-3 Multipliers'!$P$3:$Q$6,2,FALSE)),"")</f>
        <v/>
      </c>
      <c r="AH94" s="513" t="str">
        <f t="shared" si="9"/>
        <v/>
      </c>
      <c r="AI94" s="231"/>
      <c r="AJ94" s="150"/>
      <c r="AT94" s="31" t="str">
        <f>IFERROR(INDEX('G-6 Hedgerow Data'!$BJ$3:$BJ$15,MATCH(M94,'G-6 Hedgerow Data'!$B$3:$B$15,0)),"")</f>
        <v/>
      </c>
    </row>
    <row r="95" spans="2:46" ht="13.8" x14ac:dyDescent="0.25">
      <c r="B95" s="531" t="str">
        <f>'B-1 Site Hedge Baseline'!AK93</f>
        <v/>
      </c>
      <c r="C95" s="520" t="str">
        <f>IF(B95="","",IF(ISNA(VLOOKUP($B95,'B-1 Site Hedge Baseline'!$B$1:$L$257,3,FALSE)),"",(VLOOKUP($B95,'B-1 Site Hedge Baseline'!$B$1:$L$257,3,FALSE))))</f>
        <v/>
      </c>
      <c r="D95" s="520" t="str">
        <f>IF(B95="","",IF(ISNA(VLOOKUP($B95,'B-1 Site Hedge Baseline'!$B$1:$L$257,4,FALSE)),"",(VLOOKUP($B95,'B-1 Site Hedge Baseline'!$B$1:$L$257,4,FALSE))))</f>
        <v/>
      </c>
      <c r="E95" s="520" t="str">
        <f>IF(B95="","",IF(ISNA(VLOOKUP($B95,'B-1 Site Hedge Baseline'!$B$1:$L$257,5,FALSE)),"",(VLOOKUP($B95,'B-1 Site Hedge Baseline'!$B$1:$L$257,5,FALSE))))</f>
        <v/>
      </c>
      <c r="F95" s="520" t="str">
        <f>IF(B95="","",IF(ISNA(VLOOKUP($B95,'B-1 Site Hedge Baseline'!$B$1:$L$257,6,FALSE)),"",(VLOOKUP($B95,'B-1 Site Hedge Baseline'!$B$1:$L$257,6,FALSE))))</f>
        <v/>
      </c>
      <c r="G95" s="520" t="str">
        <f>IF(B95="","",IF(ISNA(VLOOKUP($B95,'B-1 Site Hedge Baseline'!$B$1:$L$257,7,FALSE)),"",(VLOOKUP($B95,'B-1 Site Hedge Baseline'!$B$1:$L$257,7,FALSE))))</f>
        <v/>
      </c>
      <c r="H95" s="520" t="str">
        <f>IF(B95="","",IF(ISNA(VLOOKUP($B95,'B-1 Site Hedge Baseline'!$B$1:$L$257,8,FALSE)),"",(VLOOKUP($B95,'B-1 Site Hedge Baseline'!$B$1:$L$257,8,FALSE))))</f>
        <v/>
      </c>
      <c r="I95" s="520" t="str">
        <f>IF(B95="","",IF(ISNA(VLOOKUP($B95,'B-1 Site Hedge Baseline'!$B$1:$L$257,10,FALSE)),"",(VLOOKUP($B95,'B-1 Site Hedge Baseline'!$B$1:$L$257,10,FALSE))))</f>
        <v/>
      </c>
      <c r="J95" s="520" t="str">
        <f>IF(B95="","",IF(ISNA(VLOOKUP($B95,'B-1 Site Hedge Baseline'!$B$1:$L$257,11,FALSE)),"",(VLOOKUP($B95,'B-1 Site Hedge Baseline'!$B$1:$L$257,11,FALSE))))</f>
        <v/>
      </c>
      <c r="K95" s="520" t="str">
        <f>IF(B95="","",IF(ISNA(VLOOKUP($B95,'B-1 Site Hedge Baseline'!$B$1:$U$257,13,FALSE)),"",(VLOOKUP($B95,'B-1 Site Hedge Baseline'!$B$1:$U$257,13,FALSE))))</f>
        <v/>
      </c>
      <c r="L95" s="524" t="str">
        <f>IF(B95="","",IF(ISNA(VLOOKUP($B95,'B-1 Site Hedge Baseline'!$B$1:$U$257,12,FALSE)),"",(VLOOKUP($B95,'B-1 Site Hedge Baseline'!$B$1:$U$257,12,FALSE))))</f>
        <v/>
      </c>
      <c r="M95" s="416" t="str">
        <f t="shared" si="15"/>
        <v/>
      </c>
      <c r="N95" s="498" t="str">
        <f>IFERROR(IF(B95="","",INDEX('G-6 Hedgerow Data'!$AN$3:$AZ$15,MATCH(C95,'G-6 Hedgerow Data'!$AM$3:$AM$15,0),MATCH(M95,'G-6 Hedgerow Data'!$AN$2:$AZ$2,0))),"")</f>
        <v/>
      </c>
      <c r="O95" s="499" t="str">
        <f t="shared" si="10"/>
        <v/>
      </c>
      <c r="P95" s="559" t="str">
        <f>IF(B95="","",VLOOKUP(B95,'B-1 Site Hedge Baseline'!$B$10:T340,16,FALSE))</f>
        <v/>
      </c>
      <c r="Q95" s="498" t="str">
        <f>IF(M95="","",VLOOKUP(M95,'G-6 Hedgerow Data'!$B$2:$AG$15,2,FALSE))</f>
        <v/>
      </c>
      <c r="R95" s="499" t="str">
        <f>IF(M95="","",VLOOKUP(M95,'G-6 Hedgerow Data'!$B$2:$AG$15,3,FALSE))</f>
        <v/>
      </c>
      <c r="S95" s="157"/>
      <c r="T95" s="540" t="str">
        <f>IFERROR(VLOOKUP(S95,'G-1 All Habitats'!$Z$2:$AA$9,2,FALSE),"")</f>
        <v/>
      </c>
      <c r="U95" s="154"/>
      <c r="V95" s="520" t="str">
        <f>IF(U95="","",IF(VLOOKUP(U95,'G-3 Multipliers'!$L$3:$N$6,2,FALSE)=0,"Spatial Data Missing ⚠",VLOOKUP(U95,'G-3 Multipliers'!$L$3:$N$6,2,FALSE)))</f>
        <v/>
      </c>
      <c r="W95" s="524" t="str">
        <f>IF(U95="","",IF(VLOOKUP(U95,'G-3 Multipliers'!$L$3:$N$6,3,FALSE)=0,"Spatial Data Missing ⚠",VLOOKUP(U95,'G-3 Multipliers'!$L$3:$N$6,3,FALSE)))</f>
        <v/>
      </c>
      <c r="X95" s="498"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7" t="str">
        <f t="shared" si="11"/>
        <v/>
      </c>
      <c r="AB95" s="521" t="str">
        <f t="shared" si="12"/>
        <v/>
      </c>
      <c r="AC95" s="522" t="str">
        <f t="shared" si="8"/>
        <v/>
      </c>
      <c r="AD95" s="537" t="str">
        <f>IF(M95="","",VLOOKUP(M95,'G-6 Hedgerow Data'!$B$3:$AG$15,31,FALSE))</f>
        <v/>
      </c>
      <c r="AE95" s="507" t="str">
        <f t="shared" si="13"/>
        <v/>
      </c>
      <c r="AF95" s="507" t="str">
        <f t="shared" si="14"/>
        <v/>
      </c>
      <c r="AG95" s="524" t="str">
        <f>IFERROR(IF(O95="","",VLOOKUP(AD95,'G-3 Multipliers'!$P$3:$Q$6,2,FALSE)),"")</f>
        <v/>
      </c>
      <c r="AH95" s="513" t="str">
        <f t="shared" si="9"/>
        <v/>
      </c>
      <c r="AI95" s="231"/>
      <c r="AJ95" s="150"/>
      <c r="AT95" s="31" t="str">
        <f>IFERROR(INDEX('G-6 Hedgerow Data'!$BJ$3:$BJ$15,MATCH(M95,'G-6 Hedgerow Data'!$B$3:$B$15,0)),"")</f>
        <v/>
      </c>
    </row>
    <row r="96" spans="2:46" ht="13.8" x14ac:dyDescent="0.25">
      <c r="B96" s="531" t="str">
        <f>'B-1 Site Hedge Baseline'!AK94</f>
        <v/>
      </c>
      <c r="C96" s="520" t="str">
        <f>IF(B96="","",IF(ISNA(VLOOKUP($B96,'B-1 Site Hedge Baseline'!$B$1:$L$257,3,FALSE)),"",(VLOOKUP($B96,'B-1 Site Hedge Baseline'!$B$1:$L$257,3,FALSE))))</f>
        <v/>
      </c>
      <c r="D96" s="520" t="str">
        <f>IF(B96="","",IF(ISNA(VLOOKUP($B96,'B-1 Site Hedge Baseline'!$B$1:$L$257,4,FALSE)),"",(VLOOKUP($B96,'B-1 Site Hedge Baseline'!$B$1:$L$257,4,FALSE))))</f>
        <v/>
      </c>
      <c r="E96" s="520" t="str">
        <f>IF(B96="","",IF(ISNA(VLOOKUP($B96,'B-1 Site Hedge Baseline'!$B$1:$L$257,5,FALSE)),"",(VLOOKUP($B96,'B-1 Site Hedge Baseline'!$B$1:$L$257,5,FALSE))))</f>
        <v/>
      </c>
      <c r="F96" s="520" t="str">
        <f>IF(B96="","",IF(ISNA(VLOOKUP($B96,'B-1 Site Hedge Baseline'!$B$1:$L$257,6,FALSE)),"",(VLOOKUP($B96,'B-1 Site Hedge Baseline'!$B$1:$L$257,6,FALSE))))</f>
        <v/>
      </c>
      <c r="G96" s="520" t="str">
        <f>IF(B96="","",IF(ISNA(VLOOKUP($B96,'B-1 Site Hedge Baseline'!$B$1:$L$257,7,FALSE)),"",(VLOOKUP($B96,'B-1 Site Hedge Baseline'!$B$1:$L$257,7,FALSE))))</f>
        <v/>
      </c>
      <c r="H96" s="520" t="str">
        <f>IF(B96="","",IF(ISNA(VLOOKUP($B96,'B-1 Site Hedge Baseline'!$B$1:$L$257,8,FALSE)),"",(VLOOKUP($B96,'B-1 Site Hedge Baseline'!$B$1:$L$257,8,FALSE))))</f>
        <v/>
      </c>
      <c r="I96" s="520" t="str">
        <f>IF(B96="","",IF(ISNA(VLOOKUP($B96,'B-1 Site Hedge Baseline'!$B$1:$L$257,10,FALSE)),"",(VLOOKUP($B96,'B-1 Site Hedge Baseline'!$B$1:$L$257,10,FALSE))))</f>
        <v/>
      </c>
      <c r="J96" s="520" t="str">
        <f>IF(B96="","",IF(ISNA(VLOOKUP($B96,'B-1 Site Hedge Baseline'!$B$1:$L$257,11,FALSE)),"",(VLOOKUP($B96,'B-1 Site Hedge Baseline'!$B$1:$L$257,11,FALSE))))</f>
        <v/>
      </c>
      <c r="K96" s="520" t="str">
        <f>IF(B96="","",IF(ISNA(VLOOKUP($B96,'B-1 Site Hedge Baseline'!$B$1:$U$257,13,FALSE)),"",(VLOOKUP($B96,'B-1 Site Hedge Baseline'!$B$1:$U$257,13,FALSE))))</f>
        <v/>
      </c>
      <c r="L96" s="524" t="str">
        <f>IF(B96="","",IF(ISNA(VLOOKUP($B96,'B-1 Site Hedge Baseline'!$B$1:$U$257,12,FALSE)),"",(VLOOKUP($B96,'B-1 Site Hedge Baseline'!$B$1:$U$257,12,FALSE))))</f>
        <v/>
      </c>
      <c r="M96" s="416" t="str">
        <f t="shared" si="15"/>
        <v/>
      </c>
      <c r="N96" s="498" t="str">
        <f>IFERROR(IF(B96="","",INDEX('G-6 Hedgerow Data'!$AN$3:$AZ$15,MATCH(C96,'G-6 Hedgerow Data'!$AM$3:$AM$15,0),MATCH(M96,'G-6 Hedgerow Data'!$AN$2:$AZ$2,0))),"")</f>
        <v/>
      </c>
      <c r="O96" s="499" t="str">
        <f t="shared" si="10"/>
        <v/>
      </c>
      <c r="P96" s="559" t="str">
        <f>IF(B96="","",VLOOKUP(B96,'B-1 Site Hedge Baseline'!$B$10:T341,16,FALSE))</f>
        <v/>
      </c>
      <c r="Q96" s="498" t="str">
        <f>IF(M96="","",VLOOKUP(M96,'G-6 Hedgerow Data'!$B$2:$AG$15,2,FALSE))</f>
        <v/>
      </c>
      <c r="R96" s="499" t="str">
        <f>IF(M96="","",VLOOKUP(M96,'G-6 Hedgerow Data'!$B$2:$AG$15,3,FALSE))</f>
        <v/>
      </c>
      <c r="S96" s="157"/>
      <c r="T96" s="540" t="str">
        <f>IFERROR(VLOOKUP(S96,'G-1 All Habitats'!$Z$2:$AA$9,2,FALSE),"")</f>
        <v/>
      </c>
      <c r="U96" s="154"/>
      <c r="V96" s="520" t="str">
        <f>IF(U96="","",IF(VLOOKUP(U96,'G-3 Multipliers'!$L$3:$N$6,2,FALSE)=0,"Spatial Data Missing ⚠",VLOOKUP(U96,'G-3 Multipliers'!$L$3:$N$6,2,FALSE)))</f>
        <v/>
      </c>
      <c r="W96" s="524" t="str">
        <f>IF(U96="","",IF(VLOOKUP(U96,'G-3 Multipliers'!$L$3:$N$6,3,FALSE)=0,"Spatial Data Missing ⚠",VLOOKUP(U96,'G-3 Multipliers'!$L$3:$N$6,3,FALSE)))</f>
        <v/>
      </c>
      <c r="X96" s="498"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7" t="str">
        <f t="shared" si="11"/>
        <v/>
      </c>
      <c r="AB96" s="521" t="str">
        <f t="shared" si="12"/>
        <v/>
      </c>
      <c r="AC96" s="522" t="str">
        <f t="shared" si="8"/>
        <v/>
      </c>
      <c r="AD96" s="537" t="str">
        <f>IF(M96="","",VLOOKUP(M96,'G-6 Hedgerow Data'!$B$3:$AG$15,31,FALSE))</f>
        <v/>
      </c>
      <c r="AE96" s="507" t="str">
        <f t="shared" si="13"/>
        <v/>
      </c>
      <c r="AF96" s="507" t="str">
        <f t="shared" si="14"/>
        <v/>
      </c>
      <c r="AG96" s="524" t="str">
        <f>IFERROR(IF(O96="","",VLOOKUP(AD96,'G-3 Multipliers'!$P$3:$Q$6,2,FALSE)),"")</f>
        <v/>
      </c>
      <c r="AH96" s="513" t="str">
        <f t="shared" si="9"/>
        <v/>
      </c>
      <c r="AI96" s="231"/>
      <c r="AJ96" s="150"/>
      <c r="AT96" s="31" t="str">
        <f>IFERROR(INDEX('G-6 Hedgerow Data'!$BJ$3:$BJ$15,MATCH(M96,'G-6 Hedgerow Data'!$B$3:$B$15,0)),"")</f>
        <v/>
      </c>
    </row>
    <row r="97" spans="2:46" ht="13.8" x14ac:dyDescent="0.25">
      <c r="B97" s="531" t="str">
        <f>'B-1 Site Hedge Baseline'!AK95</f>
        <v/>
      </c>
      <c r="C97" s="520" t="str">
        <f>IF(B97="","",IF(ISNA(VLOOKUP($B97,'B-1 Site Hedge Baseline'!$B$1:$L$257,3,FALSE)),"",(VLOOKUP($B97,'B-1 Site Hedge Baseline'!$B$1:$L$257,3,FALSE))))</f>
        <v/>
      </c>
      <c r="D97" s="520" t="str">
        <f>IF(B97="","",IF(ISNA(VLOOKUP($B97,'B-1 Site Hedge Baseline'!$B$1:$L$257,4,FALSE)),"",(VLOOKUP($B97,'B-1 Site Hedge Baseline'!$B$1:$L$257,4,FALSE))))</f>
        <v/>
      </c>
      <c r="E97" s="520" t="str">
        <f>IF(B97="","",IF(ISNA(VLOOKUP($B97,'B-1 Site Hedge Baseline'!$B$1:$L$257,5,FALSE)),"",(VLOOKUP($B97,'B-1 Site Hedge Baseline'!$B$1:$L$257,5,FALSE))))</f>
        <v/>
      </c>
      <c r="F97" s="520" t="str">
        <f>IF(B97="","",IF(ISNA(VLOOKUP($B97,'B-1 Site Hedge Baseline'!$B$1:$L$257,6,FALSE)),"",(VLOOKUP($B97,'B-1 Site Hedge Baseline'!$B$1:$L$257,6,FALSE))))</f>
        <v/>
      </c>
      <c r="G97" s="520" t="str">
        <f>IF(B97="","",IF(ISNA(VLOOKUP($B97,'B-1 Site Hedge Baseline'!$B$1:$L$257,7,FALSE)),"",(VLOOKUP($B97,'B-1 Site Hedge Baseline'!$B$1:$L$257,7,FALSE))))</f>
        <v/>
      </c>
      <c r="H97" s="520" t="str">
        <f>IF(B97="","",IF(ISNA(VLOOKUP($B97,'B-1 Site Hedge Baseline'!$B$1:$L$257,8,FALSE)),"",(VLOOKUP($B97,'B-1 Site Hedge Baseline'!$B$1:$L$257,8,FALSE))))</f>
        <v/>
      </c>
      <c r="I97" s="520" t="str">
        <f>IF(B97="","",IF(ISNA(VLOOKUP($B97,'B-1 Site Hedge Baseline'!$B$1:$L$257,10,FALSE)),"",(VLOOKUP($B97,'B-1 Site Hedge Baseline'!$B$1:$L$257,10,FALSE))))</f>
        <v/>
      </c>
      <c r="J97" s="520" t="str">
        <f>IF(B97="","",IF(ISNA(VLOOKUP($B97,'B-1 Site Hedge Baseline'!$B$1:$L$257,11,FALSE)),"",(VLOOKUP($B97,'B-1 Site Hedge Baseline'!$B$1:$L$257,11,FALSE))))</f>
        <v/>
      </c>
      <c r="K97" s="520" t="str">
        <f>IF(B97="","",IF(ISNA(VLOOKUP($B97,'B-1 Site Hedge Baseline'!$B$1:$U$257,13,FALSE)),"",(VLOOKUP($B97,'B-1 Site Hedge Baseline'!$B$1:$U$257,13,FALSE))))</f>
        <v/>
      </c>
      <c r="L97" s="524" t="str">
        <f>IF(B97="","",IF(ISNA(VLOOKUP($B97,'B-1 Site Hedge Baseline'!$B$1:$U$257,12,FALSE)),"",(VLOOKUP($B97,'B-1 Site Hedge Baseline'!$B$1:$U$257,12,FALSE))))</f>
        <v/>
      </c>
      <c r="M97" s="416" t="str">
        <f t="shared" si="15"/>
        <v/>
      </c>
      <c r="N97" s="498" t="str">
        <f>IFERROR(IF(B97="","",INDEX('G-6 Hedgerow Data'!$AN$3:$AZ$15,MATCH(C97,'G-6 Hedgerow Data'!$AM$3:$AM$15,0),MATCH(M97,'G-6 Hedgerow Data'!$AN$2:$AZ$2,0))),"")</f>
        <v/>
      </c>
      <c r="O97" s="499" t="str">
        <f t="shared" si="10"/>
        <v/>
      </c>
      <c r="P97" s="559" t="str">
        <f>IF(B97="","",VLOOKUP(B97,'B-1 Site Hedge Baseline'!$B$10:T342,16,FALSE))</f>
        <v/>
      </c>
      <c r="Q97" s="498" t="str">
        <f>IF(M97="","",VLOOKUP(M97,'G-6 Hedgerow Data'!$B$2:$AG$15,2,FALSE))</f>
        <v/>
      </c>
      <c r="R97" s="499" t="str">
        <f>IF(M97="","",VLOOKUP(M97,'G-6 Hedgerow Data'!$B$2:$AG$15,3,FALSE))</f>
        <v/>
      </c>
      <c r="S97" s="157"/>
      <c r="T97" s="540" t="str">
        <f>IFERROR(VLOOKUP(S97,'G-1 All Habitats'!$Z$2:$AA$9,2,FALSE),"")</f>
        <v/>
      </c>
      <c r="U97" s="154"/>
      <c r="V97" s="520" t="str">
        <f>IF(U97="","",IF(VLOOKUP(U97,'G-3 Multipliers'!$L$3:$N$6,2,FALSE)=0,"Spatial Data Missing ⚠",VLOOKUP(U97,'G-3 Multipliers'!$L$3:$N$6,2,FALSE)))</f>
        <v/>
      </c>
      <c r="W97" s="524" t="str">
        <f>IF(U97="","",IF(VLOOKUP(U97,'G-3 Multipliers'!$L$3:$N$6,3,FALSE)=0,"Spatial Data Missing ⚠",VLOOKUP(U97,'G-3 Multipliers'!$L$3:$N$6,3,FALSE)))</f>
        <v/>
      </c>
      <c r="X97" s="498"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7" t="str">
        <f t="shared" si="11"/>
        <v/>
      </c>
      <c r="AB97" s="521" t="str">
        <f t="shared" si="12"/>
        <v/>
      </c>
      <c r="AC97" s="522" t="str">
        <f t="shared" si="8"/>
        <v/>
      </c>
      <c r="AD97" s="537" t="str">
        <f>IF(M97="","",VLOOKUP(M97,'G-6 Hedgerow Data'!$B$3:$AG$15,31,FALSE))</f>
        <v/>
      </c>
      <c r="AE97" s="507" t="str">
        <f t="shared" si="13"/>
        <v/>
      </c>
      <c r="AF97" s="507" t="str">
        <f t="shared" si="14"/>
        <v/>
      </c>
      <c r="AG97" s="524" t="str">
        <f>IFERROR(IF(O97="","",VLOOKUP(AD97,'G-3 Multipliers'!$P$3:$Q$6,2,FALSE)),"")</f>
        <v/>
      </c>
      <c r="AH97" s="513" t="str">
        <f t="shared" si="9"/>
        <v/>
      </c>
      <c r="AI97" s="231"/>
      <c r="AJ97" s="150"/>
      <c r="AT97" s="31" t="str">
        <f>IFERROR(INDEX('G-6 Hedgerow Data'!$BJ$3:$BJ$15,MATCH(M97,'G-6 Hedgerow Data'!$B$3:$B$15,0)),"")</f>
        <v/>
      </c>
    </row>
    <row r="98" spans="2:46" ht="13.8" x14ac:dyDescent="0.25">
      <c r="B98" s="531" t="str">
        <f>'B-1 Site Hedge Baseline'!AK96</f>
        <v/>
      </c>
      <c r="C98" s="520" t="str">
        <f>IF(B98="","",IF(ISNA(VLOOKUP($B98,'B-1 Site Hedge Baseline'!$B$1:$L$257,3,FALSE)),"",(VLOOKUP($B98,'B-1 Site Hedge Baseline'!$B$1:$L$257,3,FALSE))))</f>
        <v/>
      </c>
      <c r="D98" s="520" t="str">
        <f>IF(B98="","",IF(ISNA(VLOOKUP($B98,'B-1 Site Hedge Baseline'!$B$1:$L$257,4,FALSE)),"",(VLOOKUP($B98,'B-1 Site Hedge Baseline'!$B$1:$L$257,4,FALSE))))</f>
        <v/>
      </c>
      <c r="E98" s="520" t="str">
        <f>IF(B98="","",IF(ISNA(VLOOKUP($B98,'B-1 Site Hedge Baseline'!$B$1:$L$257,5,FALSE)),"",(VLOOKUP($B98,'B-1 Site Hedge Baseline'!$B$1:$L$257,5,FALSE))))</f>
        <v/>
      </c>
      <c r="F98" s="520" t="str">
        <f>IF(B98="","",IF(ISNA(VLOOKUP($B98,'B-1 Site Hedge Baseline'!$B$1:$L$257,6,FALSE)),"",(VLOOKUP($B98,'B-1 Site Hedge Baseline'!$B$1:$L$257,6,FALSE))))</f>
        <v/>
      </c>
      <c r="G98" s="520" t="str">
        <f>IF(B98="","",IF(ISNA(VLOOKUP($B98,'B-1 Site Hedge Baseline'!$B$1:$L$257,7,FALSE)),"",(VLOOKUP($B98,'B-1 Site Hedge Baseline'!$B$1:$L$257,7,FALSE))))</f>
        <v/>
      </c>
      <c r="H98" s="520" t="str">
        <f>IF(B98="","",IF(ISNA(VLOOKUP($B98,'B-1 Site Hedge Baseline'!$B$1:$L$257,8,FALSE)),"",(VLOOKUP($B98,'B-1 Site Hedge Baseline'!$B$1:$L$257,8,FALSE))))</f>
        <v/>
      </c>
      <c r="I98" s="520" t="str">
        <f>IF(B98="","",IF(ISNA(VLOOKUP($B98,'B-1 Site Hedge Baseline'!$B$1:$L$257,10,FALSE)),"",(VLOOKUP($B98,'B-1 Site Hedge Baseline'!$B$1:$L$257,10,FALSE))))</f>
        <v/>
      </c>
      <c r="J98" s="520" t="str">
        <f>IF(B98="","",IF(ISNA(VLOOKUP($B98,'B-1 Site Hedge Baseline'!$B$1:$L$257,11,FALSE)),"",(VLOOKUP($B98,'B-1 Site Hedge Baseline'!$B$1:$L$257,11,FALSE))))</f>
        <v/>
      </c>
      <c r="K98" s="520" t="str">
        <f>IF(B98="","",IF(ISNA(VLOOKUP($B98,'B-1 Site Hedge Baseline'!$B$1:$U$257,13,FALSE)),"",(VLOOKUP($B98,'B-1 Site Hedge Baseline'!$B$1:$U$257,13,FALSE))))</f>
        <v/>
      </c>
      <c r="L98" s="524" t="str">
        <f>IF(B98="","",IF(ISNA(VLOOKUP($B98,'B-1 Site Hedge Baseline'!$B$1:$U$257,12,FALSE)),"",(VLOOKUP($B98,'B-1 Site Hedge Baseline'!$B$1:$U$257,12,FALSE))))</f>
        <v/>
      </c>
      <c r="M98" s="416" t="str">
        <f t="shared" si="15"/>
        <v/>
      </c>
      <c r="N98" s="498" t="str">
        <f>IFERROR(IF(B98="","",INDEX('G-6 Hedgerow Data'!$AN$3:$AZ$15,MATCH(C98,'G-6 Hedgerow Data'!$AM$3:$AM$15,0),MATCH(M98,'G-6 Hedgerow Data'!$AN$2:$AZ$2,0))),"")</f>
        <v/>
      </c>
      <c r="O98" s="499" t="str">
        <f t="shared" si="10"/>
        <v/>
      </c>
      <c r="P98" s="559" t="str">
        <f>IF(B98="","",VLOOKUP(B98,'B-1 Site Hedge Baseline'!$B$10:T343,16,FALSE))</f>
        <v/>
      </c>
      <c r="Q98" s="498" t="str">
        <f>IF(M98="","",VLOOKUP(M98,'G-6 Hedgerow Data'!$B$2:$AG$15,2,FALSE))</f>
        <v/>
      </c>
      <c r="R98" s="499" t="str">
        <f>IF(M98="","",VLOOKUP(M98,'G-6 Hedgerow Data'!$B$2:$AG$15,3,FALSE))</f>
        <v/>
      </c>
      <c r="S98" s="157"/>
      <c r="T98" s="540" t="str">
        <f>IFERROR(VLOOKUP(S98,'G-1 All Habitats'!$Z$2:$AA$9,2,FALSE),"")</f>
        <v/>
      </c>
      <c r="U98" s="154"/>
      <c r="V98" s="520" t="str">
        <f>IF(U98="","",IF(VLOOKUP(U98,'G-3 Multipliers'!$L$3:$N$6,2,FALSE)=0,"Spatial Data Missing ⚠",VLOOKUP(U98,'G-3 Multipliers'!$L$3:$N$6,2,FALSE)))</f>
        <v/>
      </c>
      <c r="W98" s="524" t="str">
        <f>IF(U98="","",IF(VLOOKUP(U98,'G-3 Multipliers'!$L$3:$N$6,3,FALSE)=0,"Spatial Data Missing ⚠",VLOOKUP(U98,'G-3 Multipliers'!$L$3:$N$6,3,FALSE)))</f>
        <v/>
      </c>
      <c r="X98" s="498"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7" t="str">
        <f t="shared" si="11"/>
        <v/>
      </c>
      <c r="AB98" s="521" t="str">
        <f t="shared" si="12"/>
        <v/>
      </c>
      <c r="AC98" s="522" t="str">
        <f t="shared" si="8"/>
        <v/>
      </c>
      <c r="AD98" s="537" t="str">
        <f>IF(M98="","",VLOOKUP(M98,'G-6 Hedgerow Data'!$B$3:$AG$15,31,FALSE))</f>
        <v/>
      </c>
      <c r="AE98" s="507" t="str">
        <f t="shared" si="13"/>
        <v/>
      </c>
      <c r="AF98" s="507" t="str">
        <f t="shared" si="14"/>
        <v/>
      </c>
      <c r="AG98" s="524" t="str">
        <f>IFERROR(IF(O98="","",VLOOKUP(AD98,'G-3 Multipliers'!$P$3:$Q$6,2,FALSE)),"")</f>
        <v/>
      </c>
      <c r="AH98" s="513" t="str">
        <f t="shared" si="9"/>
        <v/>
      </c>
      <c r="AI98" s="231"/>
      <c r="AJ98" s="150"/>
      <c r="AT98" s="31" t="str">
        <f>IFERROR(INDEX('G-6 Hedgerow Data'!$BJ$3:$BJ$15,MATCH(M98,'G-6 Hedgerow Data'!$B$3:$B$15,0)),"")</f>
        <v/>
      </c>
    </row>
    <row r="99" spans="2:46" ht="13.8" x14ac:dyDescent="0.25">
      <c r="B99" s="531" t="str">
        <f>'B-1 Site Hedge Baseline'!AK97</f>
        <v/>
      </c>
      <c r="C99" s="520" t="str">
        <f>IF(B99="","",IF(ISNA(VLOOKUP($B99,'B-1 Site Hedge Baseline'!$B$1:$L$257,3,FALSE)),"",(VLOOKUP($B99,'B-1 Site Hedge Baseline'!$B$1:$L$257,3,FALSE))))</f>
        <v/>
      </c>
      <c r="D99" s="520" t="str">
        <f>IF(B99="","",IF(ISNA(VLOOKUP($B99,'B-1 Site Hedge Baseline'!$B$1:$L$257,4,FALSE)),"",(VLOOKUP($B99,'B-1 Site Hedge Baseline'!$B$1:$L$257,4,FALSE))))</f>
        <v/>
      </c>
      <c r="E99" s="520" t="str">
        <f>IF(B99="","",IF(ISNA(VLOOKUP($B99,'B-1 Site Hedge Baseline'!$B$1:$L$257,5,FALSE)),"",(VLOOKUP($B99,'B-1 Site Hedge Baseline'!$B$1:$L$257,5,FALSE))))</f>
        <v/>
      </c>
      <c r="F99" s="520" t="str">
        <f>IF(B99="","",IF(ISNA(VLOOKUP($B99,'B-1 Site Hedge Baseline'!$B$1:$L$257,6,FALSE)),"",(VLOOKUP($B99,'B-1 Site Hedge Baseline'!$B$1:$L$257,6,FALSE))))</f>
        <v/>
      </c>
      <c r="G99" s="520" t="str">
        <f>IF(B99="","",IF(ISNA(VLOOKUP($B99,'B-1 Site Hedge Baseline'!$B$1:$L$257,7,FALSE)),"",(VLOOKUP($B99,'B-1 Site Hedge Baseline'!$B$1:$L$257,7,FALSE))))</f>
        <v/>
      </c>
      <c r="H99" s="520" t="str">
        <f>IF(B99="","",IF(ISNA(VLOOKUP($B99,'B-1 Site Hedge Baseline'!$B$1:$L$257,8,FALSE)),"",(VLOOKUP($B99,'B-1 Site Hedge Baseline'!$B$1:$L$257,8,FALSE))))</f>
        <v/>
      </c>
      <c r="I99" s="520" t="str">
        <f>IF(B99="","",IF(ISNA(VLOOKUP($B99,'B-1 Site Hedge Baseline'!$B$1:$L$257,10,FALSE)),"",(VLOOKUP($B99,'B-1 Site Hedge Baseline'!$B$1:$L$257,10,FALSE))))</f>
        <v/>
      </c>
      <c r="J99" s="520" t="str">
        <f>IF(B99="","",IF(ISNA(VLOOKUP($B99,'B-1 Site Hedge Baseline'!$B$1:$L$257,11,FALSE)),"",(VLOOKUP($B99,'B-1 Site Hedge Baseline'!$B$1:$L$257,11,FALSE))))</f>
        <v/>
      </c>
      <c r="K99" s="520" t="str">
        <f>IF(B99="","",IF(ISNA(VLOOKUP($B99,'B-1 Site Hedge Baseline'!$B$1:$U$257,13,FALSE)),"",(VLOOKUP($B99,'B-1 Site Hedge Baseline'!$B$1:$U$257,13,FALSE))))</f>
        <v/>
      </c>
      <c r="L99" s="524" t="str">
        <f>IF(B99="","",IF(ISNA(VLOOKUP($B99,'B-1 Site Hedge Baseline'!$B$1:$U$257,12,FALSE)),"",(VLOOKUP($B99,'B-1 Site Hedge Baseline'!$B$1:$U$257,12,FALSE))))</f>
        <v/>
      </c>
      <c r="M99" s="416" t="str">
        <f t="shared" si="15"/>
        <v/>
      </c>
      <c r="N99" s="498" t="str">
        <f>IFERROR(IF(B99="","",INDEX('G-6 Hedgerow Data'!$AN$3:$AZ$15,MATCH(C99,'G-6 Hedgerow Data'!$AM$3:$AM$15,0),MATCH(M99,'G-6 Hedgerow Data'!$AN$2:$AZ$2,0))),"")</f>
        <v/>
      </c>
      <c r="O99" s="499" t="str">
        <f t="shared" si="10"/>
        <v/>
      </c>
      <c r="P99" s="559" t="str">
        <f>IF(B99="","",VLOOKUP(B99,'B-1 Site Hedge Baseline'!$B$10:T344,16,FALSE))</f>
        <v/>
      </c>
      <c r="Q99" s="498" t="str">
        <f>IF(M99="","",VLOOKUP(M99,'G-6 Hedgerow Data'!$B$2:$AG$15,2,FALSE))</f>
        <v/>
      </c>
      <c r="R99" s="499" t="str">
        <f>IF(M99="","",VLOOKUP(M99,'G-6 Hedgerow Data'!$B$2:$AG$15,3,FALSE))</f>
        <v/>
      </c>
      <c r="S99" s="157"/>
      <c r="T99" s="540" t="str">
        <f>IFERROR(VLOOKUP(S99,'G-1 All Habitats'!$Z$2:$AA$9,2,FALSE),"")</f>
        <v/>
      </c>
      <c r="U99" s="154"/>
      <c r="V99" s="520" t="str">
        <f>IF(U99="","",IF(VLOOKUP(U99,'G-3 Multipliers'!$L$3:$N$6,2,FALSE)=0,"Spatial Data Missing ⚠",VLOOKUP(U99,'G-3 Multipliers'!$L$3:$N$6,2,FALSE)))</f>
        <v/>
      </c>
      <c r="W99" s="524" t="str">
        <f>IF(U99="","",IF(VLOOKUP(U99,'G-3 Multipliers'!$L$3:$N$6,3,FALSE)=0,"Spatial Data Missing ⚠",VLOOKUP(U99,'G-3 Multipliers'!$L$3:$N$6,3,FALSE)))</f>
        <v/>
      </c>
      <c r="X99" s="498"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7" t="str">
        <f t="shared" si="11"/>
        <v/>
      </c>
      <c r="AB99" s="521" t="str">
        <f t="shared" si="12"/>
        <v/>
      </c>
      <c r="AC99" s="522" t="str">
        <f t="shared" si="8"/>
        <v/>
      </c>
      <c r="AD99" s="537" t="str">
        <f>IF(M99="","",VLOOKUP(M99,'G-6 Hedgerow Data'!$B$3:$AG$15,31,FALSE))</f>
        <v/>
      </c>
      <c r="AE99" s="507" t="str">
        <f t="shared" si="13"/>
        <v/>
      </c>
      <c r="AF99" s="507" t="str">
        <f t="shared" si="14"/>
        <v/>
      </c>
      <c r="AG99" s="524" t="str">
        <f>IFERROR(IF(O99="","",VLOOKUP(AD99,'G-3 Multipliers'!$P$3:$Q$6,2,FALSE)),"")</f>
        <v/>
      </c>
      <c r="AH99" s="513" t="str">
        <f t="shared" si="9"/>
        <v/>
      </c>
      <c r="AI99" s="231"/>
      <c r="AJ99" s="150"/>
      <c r="AT99" s="31" t="str">
        <f>IFERROR(INDEX('G-6 Hedgerow Data'!$BJ$3:$BJ$15,MATCH(M99,'G-6 Hedgerow Data'!$B$3:$B$15,0)),"")</f>
        <v/>
      </c>
    </row>
    <row r="100" spans="2:46" ht="13.8" x14ac:dyDescent="0.25">
      <c r="B100" s="531" t="str">
        <f>'B-1 Site Hedge Baseline'!AK98</f>
        <v/>
      </c>
      <c r="C100" s="520" t="str">
        <f>IF(B100="","",IF(ISNA(VLOOKUP($B100,'B-1 Site Hedge Baseline'!$B$1:$L$257,3,FALSE)),"",(VLOOKUP($B100,'B-1 Site Hedge Baseline'!$B$1:$L$257,3,FALSE))))</f>
        <v/>
      </c>
      <c r="D100" s="520" t="str">
        <f>IF(B100="","",IF(ISNA(VLOOKUP($B100,'B-1 Site Hedge Baseline'!$B$1:$L$257,4,FALSE)),"",(VLOOKUP($B100,'B-1 Site Hedge Baseline'!$B$1:$L$257,4,FALSE))))</f>
        <v/>
      </c>
      <c r="E100" s="520" t="str">
        <f>IF(B100="","",IF(ISNA(VLOOKUP($B100,'B-1 Site Hedge Baseline'!$B$1:$L$257,5,FALSE)),"",(VLOOKUP($B100,'B-1 Site Hedge Baseline'!$B$1:$L$257,5,FALSE))))</f>
        <v/>
      </c>
      <c r="F100" s="520" t="str">
        <f>IF(B100="","",IF(ISNA(VLOOKUP($B100,'B-1 Site Hedge Baseline'!$B$1:$L$257,6,FALSE)),"",(VLOOKUP($B100,'B-1 Site Hedge Baseline'!$B$1:$L$257,6,FALSE))))</f>
        <v/>
      </c>
      <c r="G100" s="520" t="str">
        <f>IF(B100="","",IF(ISNA(VLOOKUP($B100,'B-1 Site Hedge Baseline'!$B$1:$L$257,7,FALSE)),"",(VLOOKUP($B100,'B-1 Site Hedge Baseline'!$B$1:$L$257,7,FALSE))))</f>
        <v/>
      </c>
      <c r="H100" s="520" t="str">
        <f>IF(B100="","",IF(ISNA(VLOOKUP($B100,'B-1 Site Hedge Baseline'!$B$1:$L$257,8,FALSE)),"",(VLOOKUP($B100,'B-1 Site Hedge Baseline'!$B$1:$L$257,8,FALSE))))</f>
        <v/>
      </c>
      <c r="I100" s="520" t="str">
        <f>IF(B100="","",IF(ISNA(VLOOKUP($B100,'B-1 Site Hedge Baseline'!$B$1:$L$257,10,FALSE)),"",(VLOOKUP($B100,'B-1 Site Hedge Baseline'!$B$1:$L$257,10,FALSE))))</f>
        <v/>
      </c>
      <c r="J100" s="520" t="str">
        <f>IF(B100="","",IF(ISNA(VLOOKUP($B100,'B-1 Site Hedge Baseline'!$B$1:$L$257,11,FALSE)),"",(VLOOKUP($B100,'B-1 Site Hedge Baseline'!$B$1:$L$257,11,FALSE))))</f>
        <v/>
      </c>
      <c r="K100" s="520" t="str">
        <f>IF(B100="","",IF(ISNA(VLOOKUP($B100,'B-1 Site Hedge Baseline'!$B$1:$U$257,13,FALSE)),"",(VLOOKUP($B100,'B-1 Site Hedge Baseline'!$B$1:$U$257,13,FALSE))))</f>
        <v/>
      </c>
      <c r="L100" s="524" t="str">
        <f>IF(B100="","",IF(ISNA(VLOOKUP($B100,'B-1 Site Hedge Baseline'!$B$1:$U$257,12,FALSE)),"",(VLOOKUP($B100,'B-1 Site Hedge Baseline'!$B$1:$U$257,12,FALSE))))</f>
        <v/>
      </c>
      <c r="M100" s="416" t="str">
        <f t="shared" si="15"/>
        <v/>
      </c>
      <c r="N100" s="498" t="str">
        <f>IFERROR(IF(B100="","",INDEX('G-6 Hedgerow Data'!$AN$3:$AZ$15,MATCH(C100,'G-6 Hedgerow Data'!$AM$3:$AM$15,0),MATCH(M100,'G-6 Hedgerow Data'!$AN$2:$AZ$2,0))),"")</f>
        <v/>
      </c>
      <c r="O100" s="499" t="str">
        <f t="shared" si="10"/>
        <v/>
      </c>
      <c r="P100" s="559" t="str">
        <f>IF(B100="","",VLOOKUP(B100,'B-1 Site Hedge Baseline'!$B$10:T345,16,FALSE))</f>
        <v/>
      </c>
      <c r="Q100" s="498" t="str">
        <f>IF(M100="","",VLOOKUP(M100,'G-6 Hedgerow Data'!$B$2:$AG$15,2,FALSE))</f>
        <v/>
      </c>
      <c r="R100" s="499" t="str">
        <f>IF(M100="","",VLOOKUP(M100,'G-6 Hedgerow Data'!$B$2:$AG$15,3,FALSE))</f>
        <v/>
      </c>
      <c r="S100" s="157"/>
      <c r="T100" s="540" t="str">
        <f>IFERROR(VLOOKUP(S100,'G-1 All Habitats'!$Z$2:$AA$9,2,FALSE),"")</f>
        <v/>
      </c>
      <c r="U100" s="154"/>
      <c r="V100" s="520" t="str">
        <f>IF(U100="","",IF(VLOOKUP(U100,'G-3 Multipliers'!$L$3:$N$6,2,FALSE)=0,"Spatial Data Missing ⚠",VLOOKUP(U100,'G-3 Multipliers'!$L$3:$N$6,2,FALSE)))</f>
        <v/>
      </c>
      <c r="W100" s="524" t="str">
        <f>IF(U100="","",IF(VLOOKUP(U100,'G-3 Multipliers'!$L$3:$N$6,3,FALSE)=0,"Spatial Data Missing ⚠",VLOOKUP(U100,'G-3 Multipliers'!$L$3:$N$6,3,FALSE)))</f>
        <v/>
      </c>
      <c r="X100" s="498"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7" t="str">
        <f t="shared" si="11"/>
        <v/>
      </c>
      <c r="AB100" s="521" t="str">
        <f t="shared" si="12"/>
        <v/>
      </c>
      <c r="AC100" s="522" t="str">
        <f t="shared" si="8"/>
        <v/>
      </c>
      <c r="AD100" s="537" t="str">
        <f>IF(M100="","",VLOOKUP(M100,'G-6 Hedgerow Data'!$B$3:$AG$15,31,FALSE))</f>
        <v/>
      </c>
      <c r="AE100" s="507" t="str">
        <f t="shared" si="13"/>
        <v/>
      </c>
      <c r="AF100" s="507" t="str">
        <f t="shared" si="14"/>
        <v/>
      </c>
      <c r="AG100" s="524" t="str">
        <f>IFERROR(IF(O100="","",VLOOKUP(AD100,'G-3 Multipliers'!$P$3:$Q$6,2,FALSE)),"")</f>
        <v/>
      </c>
      <c r="AH100" s="513" t="str">
        <f t="shared" si="9"/>
        <v/>
      </c>
      <c r="AI100" s="231"/>
      <c r="AJ100" s="150"/>
      <c r="AT100" s="31" t="str">
        <f>IFERROR(INDEX('G-6 Hedgerow Data'!$BJ$3:$BJ$15,MATCH(M100,'G-6 Hedgerow Data'!$B$3:$B$15,0)),"")</f>
        <v/>
      </c>
    </row>
    <row r="101" spans="2:46" ht="13.8" x14ac:dyDescent="0.25">
      <c r="B101" s="531" t="str">
        <f>'B-1 Site Hedge Baseline'!AK99</f>
        <v/>
      </c>
      <c r="C101" s="520" t="str">
        <f>IF(B101="","",IF(ISNA(VLOOKUP($B101,'B-1 Site Hedge Baseline'!$B$1:$L$257,3,FALSE)),"",(VLOOKUP($B101,'B-1 Site Hedge Baseline'!$B$1:$L$257,3,FALSE))))</f>
        <v/>
      </c>
      <c r="D101" s="520" t="str">
        <f>IF(B101="","",IF(ISNA(VLOOKUP($B101,'B-1 Site Hedge Baseline'!$B$1:$L$257,4,FALSE)),"",(VLOOKUP($B101,'B-1 Site Hedge Baseline'!$B$1:$L$257,4,FALSE))))</f>
        <v/>
      </c>
      <c r="E101" s="520" t="str">
        <f>IF(B101="","",IF(ISNA(VLOOKUP($B101,'B-1 Site Hedge Baseline'!$B$1:$L$257,5,FALSE)),"",(VLOOKUP($B101,'B-1 Site Hedge Baseline'!$B$1:$L$257,5,FALSE))))</f>
        <v/>
      </c>
      <c r="F101" s="520" t="str">
        <f>IF(B101="","",IF(ISNA(VLOOKUP($B101,'B-1 Site Hedge Baseline'!$B$1:$L$257,6,FALSE)),"",(VLOOKUP($B101,'B-1 Site Hedge Baseline'!$B$1:$L$257,6,FALSE))))</f>
        <v/>
      </c>
      <c r="G101" s="520" t="str">
        <f>IF(B101="","",IF(ISNA(VLOOKUP($B101,'B-1 Site Hedge Baseline'!$B$1:$L$257,7,FALSE)),"",(VLOOKUP($B101,'B-1 Site Hedge Baseline'!$B$1:$L$257,7,FALSE))))</f>
        <v/>
      </c>
      <c r="H101" s="520" t="str">
        <f>IF(B101="","",IF(ISNA(VLOOKUP($B101,'B-1 Site Hedge Baseline'!$B$1:$L$257,8,FALSE)),"",(VLOOKUP($B101,'B-1 Site Hedge Baseline'!$B$1:$L$257,8,FALSE))))</f>
        <v/>
      </c>
      <c r="I101" s="520" t="str">
        <f>IF(B101="","",IF(ISNA(VLOOKUP($B101,'B-1 Site Hedge Baseline'!$B$1:$L$257,10,FALSE)),"",(VLOOKUP($B101,'B-1 Site Hedge Baseline'!$B$1:$L$257,10,FALSE))))</f>
        <v/>
      </c>
      <c r="J101" s="520" t="str">
        <f>IF(B101="","",IF(ISNA(VLOOKUP($B101,'B-1 Site Hedge Baseline'!$B$1:$L$257,11,FALSE)),"",(VLOOKUP($B101,'B-1 Site Hedge Baseline'!$B$1:$L$257,11,FALSE))))</f>
        <v/>
      </c>
      <c r="K101" s="520" t="str">
        <f>IF(B101="","",IF(ISNA(VLOOKUP($B101,'B-1 Site Hedge Baseline'!$B$1:$U$257,13,FALSE)),"",(VLOOKUP($B101,'B-1 Site Hedge Baseline'!$B$1:$U$257,13,FALSE))))</f>
        <v/>
      </c>
      <c r="L101" s="524" t="str">
        <f>IF(B101="","",IF(ISNA(VLOOKUP($B101,'B-1 Site Hedge Baseline'!$B$1:$U$257,12,FALSE)),"",(VLOOKUP($B101,'B-1 Site Hedge Baseline'!$B$1:$U$257,12,FALSE))))</f>
        <v/>
      </c>
      <c r="M101" s="416" t="str">
        <f t="shared" si="15"/>
        <v/>
      </c>
      <c r="N101" s="498" t="str">
        <f>IFERROR(IF(B101="","",INDEX('G-6 Hedgerow Data'!$AN$3:$AZ$15,MATCH(C101,'G-6 Hedgerow Data'!$AM$3:$AM$15,0),MATCH(M101,'G-6 Hedgerow Data'!$AN$2:$AZ$2,0))),"")</f>
        <v/>
      </c>
      <c r="O101" s="499" t="str">
        <f t="shared" si="10"/>
        <v/>
      </c>
      <c r="P101" s="559" t="str">
        <f>IF(B101="","",VLOOKUP(B101,'B-1 Site Hedge Baseline'!$B$10:T346,16,FALSE))</f>
        <v/>
      </c>
      <c r="Q101" s="498" t="str">
        <f>IF(M101="","",VLOOKUP(M101,'G-6 Hedgerow Data'!$B$2:$AG$15,2,FALSE))</f>
        <v/>
      </c>
      <c r="R101" s="499" t="str">
        <f>IF(M101="","",VLOOKUP(M101,'G-6 Hedgerow Data'!$B$2:$AG$15,3,FALSE))</f>
        <v/>
      </c>
      <c r="S101" s="157"/>
      <c r="T101" s="540" t="str">
        <f>IFERROR(VLOOKUP(S101,'G-1 All Habitats'!$Z$2:$AA$9,2,FALSE),"")</f>
        <v/>
      </c>
      <c r="U101" s="154"/>
      <c r="V101" s="520" t="str">
        <f>IF(U101="","",IF(VLOOKUP(U101,'G-3 Multipliers'!$L$3:$N$6,2,FALSE)=0,"Spatial Data Missing ⚠",VLOOKUP(U101,'G-3 Multipliers'!$L$3:$N$6,2,FALSE)))</f>
        <v/>
      </c>
      <c r="W101" s="524" t="str">
        <f>IF(U101="","",IF(VLOOKUP(U101,'G-3 Multipliers'!$L$3:$N$6,3,FALSE)=0,"Spatial Data Missing ⚠",VLOOKUP(U101,'G-3 Multipliers'!$L$3:$N$6,3,FALSE)))</f>
        <v/>
      </c>
      <c r="X101" s="498"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7" t="str">
        <f t="shared" si="11"/>
        <v/>
      </c>
      <c r="AB101" s="521" t="str">
        <f t="shared" si="12"/>
        <v/>
      </c>
      <c r="AC101" s="522" t="str">
        <f t="shared" si="8"/>
        <v/>
      </c>
      <c r="AD101" s="537" t="str">
        <f>IF(M101="","",VLOOKUP(M101,'G-6 Hedgerow Data'!$B$3:$AG$15,31,FALSE))</f>
        <v/>
      </c>
      <c r="AE101" s="507" t="str">
        <f t="shared" si="13"/>
        <v/>
      </c>
      <c r="AF101" s="507" t="str">
        <f t="shared" si="14"/>
        <v/>
      </c>
      <c r="AG101" s="524" t="str">
        <f>IFERROR(IF(O101="","",VLOOKUP(AD101,'G-3 Multipliers'!$P$3:$Q$6,2,FALSE)),"")</f>
        <v/>
      </c>
      <c r="AH101" s="513" t="str">
        <f t="shared" si="9"/>
        <v/>
      </c>
      <c r="AI101" s="231"/>
      <c r="AJ101" s="150"/>
      <c r="AT101" s="31" t="str">
        <f>IFERROR(INDEX('G-6 Hedgerow Data'!$BJ$3:$BJ$15,MATCH(M101,'G-6 Hedgerow Data'!$B$3:$B$15,0)),"")</f>
        <v/>
      </c>
    </row>
    <row r="102" spans="2:46" ht="13.8" x14ac:dyDescent="0.25">
      <c r="B102" s="531" t="str">
        <f>'B-1 Site Hedge Baseline'!AK100</f>
        <v/>
      </c>
      <c r="C102" s="520" t="str">
        <f>IF(B102="","",IF(ISNA(VLOOKUP($B102,'B-1 Site Hedge Baseline'!$B$1:$L$257,3,FALSE)),"",(VLOOKUP($B102,'B-1 Site Hedge Baseline'!$B$1:$L$257,3,FALSE))))</f>
        <v/>
      </c>
      <c r="D102" s="520" t="str">
        <f>IF(B102="","",IF(ISNA(VLOOKUP($B102,'B-1 Site Hedge Baseline'!$B$1:$L$257,4,FALSE)),"",(VLOOKUP($B102,'B-1 Site Hedge Baseline'!$B$1:$L$257,4,FALSE))))</f>
        <v/>
      </c>
      <c r="E102" s="520" t="str">
        <f>IF(B102="","",IF(ISNA(VLOOKUP($B102,'B-1 Site Hedge Baseline'!$B$1:$L$257,5,FALSE)),"",(VLOOKUP($B102,'B-1 Site Hedge Baseline'!$B$1:$L$257,5,FALSE))))</f>
        <v/>
      </c>
      <c r="F102" s="520" t="str">
        <f>IF(B102="","",IF(ISNA(VLOOKUP($B102,'B-1 Site Hedge Baseline'!$B$1:$L$257,6,FALSE)),"",(VLOOKUP($B102,'B-1 Site Hedge Baseline'!$B$1:$L$257,6,FALSE))))</f>
        <v/>
      </c>
      <c r="G102" s="520" t="str">
        <f>IF(B102="","",IF(ISNA(VLOOKUP($B102,'B-1 Site Hedge Baseline'!$B$1:$L$257,7,FALSE)),"",(VLOOKUP($B102,'B-1 Site Hedge Baseline'!$B$1:$L$257,7,FALSE))))</f>
        <v/>
      </c>
      <c r="H102" s="520" t="str">
        <f>IF(B102="","",IF(ISNA(VLOOKUP($B102,'B-1 Site Hedge Baseline'!$B$1:$L$257,8,FALSE)),"",(VLOOKUP($B102,'B-1 Site Hedge Baseline'!$B$1:$L$257,8,FALSE))))</f>
        <v/>
      </c>
      <c r="I102" s="520" t="str">
        <f>IF(B102="","",IF(ISNA(VLOOKUP($B102,'B-1 Site Hedge Baseline'!$B$1:$L$257,10,FALSE)),"",(VLOOKUP($B102,'B-1 Site Hedge Baseline'!$B$1:$L$257,10,FALSE))))</f>
        <v/>
      </c>
      <c r="J102" s="520" t="str">
        <f>IF(B102="","",IF(ISNA(VLOOKUP($B102,'B-1 Site Hedge Baseline'!$B$1:$L$257,11,FALSE)),"",(VLOOKUP($B102,'B-1 Site Hedge Baseline'!$B$1:$L$257,11,FALSE))))</f>
        <v/>
      </c>
      <c r="K102" s="520" t="str">
        <f>IF(B102="","",IF(ISNA(VLOOKUP($B102,'B-1 Site Hedge Baseline'!$B$1:$U$257,13,FALSE)),"",(VLOOKUP($B102,'B-1 Site Hedge Baseline'!$B$1:$U$257,13,FALSE))))</f>
        <v/>
      </c>
      <c r="L102" s="524" t="str">
        <f>IF(B102="","",IF(ISNA(VLOOKUP($B102,'B-1 Site Hedge Baseline'!$B$1:$U$257,12,FALSE)),"",(VLOOKUP($B102,'B-1 Site Hedge Baseline'!$B$1:$U$257,12,FALSE))))</f>
        <v/>
      </c>
      <c r="M102" s="416" t="str">
        <f t="shared" si="15"/>
        <v/>
      </c>
      <c r="N102" s="498" t="str">
        <f>IFERROR(IF(B102="","",INDEX('G-6 Hedgerow Data'!$AN$3:$AZ$15,MATCH(C102,'G-6 Hedgerow Data'!$AM$3:$AM$15,0),MATCH(M102,'G-6 Hedgerow Data'!$AN$2:$AZ$2,0))),"")</f>
        <v/>
      </c>
      <c r="O102" s="499" t="str">
        <f t="shared" si="10"/>
        <v/>
      </c>
      <c r="P102" s="559" t="str">
        <f>IF(B102="","",VLOOKUP(B102,'B-1 Site Hedge Baseline'!$B$10:T347,16,FALSE))</f>
        <v/>
      </c>
      <c r="Q102" s="498" t="str">
        <f>IF(M102="","",VLOOKUP(M102,'G-6 Hedgerow Data'!$B$2:$AG$15,2,FALSE))</f>
        <v/>
      </c>
      <c r="R102" s="499" t="str">
        <f>IF(M102="","",VLOOKUP(M102,'G-6 Hedgerow Data'!$B$2:$AG$15,3,FALSE))</f>
        <v/>
      </c>
      <c r="S102" s="157"/>
      <c r="T102" s="540" t="str">
        <f>IFERROR(VLOOKUP(S102,'G-1 All Habitats'!$Z$2:$AA$9,2,FALSE),"")</f>
        <v/>
      </c>
      <c r="U102" s="154"/>
      <c r="V102" s="520" t="str">
        <f>IF(U102="","",IF(VLOOKUP(U102,'G-3 Multipliers'!$L$3:$N$6,2,FALSE)=0,"Spatial Data Missing ⚠",VLOOKUP(U102,'G-3 Multipliers'!$L$3:$N$6,2,FALSE)))</f>
        <v/>
      </c>
      <c r="W102" s="524" t="str">
        <f>IF(U102="","",IF(VLOOKUP(U102,'G-3 Multipliers'!$L$3:$N$6,3,FALSE)=0,"Spatial Data Missing ⚠",VLOOKUP(U102,'G-3 Multipliers'!$L$3:$N$6,3,FALSE)))</f>
        <v/>
      </c>
      <c r="X102" s="498"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7" t="str">
        <f t="shared" si="11"/>
        <v/>
      </c>
      <c r="AB102" s="521" t="str">
        <f t="shared" si="12"/>
        <v/>
      </c>
      <c r="AC102" s="522" t="str">
        <f t="shared" si="8"/>
        <v/>
      </c>
      <c r="AD102" s="537" t="str">
        <f>IF(M102="","",VLOOKUP(M102,'G-6 Hedgerow Data'!$B$3:$AG$15,31,FALSE))</f>
        <v/>
      </c>
      <c r="AE102" s="507" t="str">
        <f t="shared" si="13"/>
        <v/>
      </c>
      <c r="AF102" s="507" t="str">
        <f t="shared" si="14"/>
        <v/>
      </c>
      <c r="AG102" s="524" t="str">
        <f>IFERROR(IF(O102="","",VLOOKUP(AD102,'G-3 Multipliers'!$P$3:$Q$6,2,FALSE)),"")</f>
        <v/>
      </c>
      <c r="AH102" s="513" t="str">
        <f t="shared" si="9"/>
        <v/>
      </c>
      <c r="AI102" s="231"/>
      <c r="AJ102" s="150"/>
      <c r="AT102" s="31" t="str">
        <f>IFERROR(INDEX('G-6 Hedgerow Data'!$BJ$3:$BJ$15,MATCH(M102,'G-6 Hedgerow Data'!$B$3:$B$15,0)),"")</f>
        <v/>
      </c>
    </row>
    <row r="103" spans="2:46" ht="13.8" x14ac:dyDescent="0.25">
      <c r="B103" s="531" t="str">
        <f>'B-1 Site Hedge Baseline'!AK101</f>
        <v/>
      </c>
      <c r="C103" s="520" t="str">
        <f>IF(B103="","",IF(ISNA(VLOOKUP($B103,'B-1 Site Hedge Baseline'!$B$1:$L$257,3,FALSE)),"",(VLOOKUP($B103,'B-1 Site Hedge Baseline'!$B$1:$L$257,3,FALSE))))</f>
        <v/>
      </c>
      <c r="D103" s="520" t="str">
        <f>IF(B103="","",IF(ISNA(VLOOKUP($B103,'B-1 Site Hedge Baseline'!$B$1:$L$257,4,FALSE)),"",(VLOOKUP($B103,'B-1 Site Hedge Baseline'!$B$1:$L$257,4,FALSE))))</f>
        <v/>
      </c>
      <c r="E103" s="520" t="str">
        <f>IF(B103="","",IF(ISNA(VLOOKUP($B103,'B-1 Site Hedge Baseline'!$B$1:$L$257,5,FALSE)),"",(VLOOKUP($B103,'B-1 Site Hedge Baseline'!$B$1:$L$257,5,FALSE))))</f>
        <v/>
      </c>
      <c r="F103" s="520" t="str">
        <f>IF(B103="","",IF(ISNA(VLOOKUP($B103,'B-1 Site Hedge Baseline'!$B$1:$L$257,6,FALSE)),"",(VLOOKUP($B103,'B-1 Site Hedge Baseline'!$B$1:$L$257,6,FALSE))))</f>
        <v/>
      </c>
      <c r="G103" s="520" t="str">
        <f>IF(B103="","",IF(ISNA(VLOOKUP($B103,'B-1 Site Hedge Baseline'!$B$1:$L$257,7,FALSE)),"",(VLOOKUP($B103,'B-1 Site Hedge Baseline'!$B$1:$L$257,7,FALSE))))</f>
        <v/>
      </c>
      <c r="H103" s="520" t="str">
        <f>IF(B103="","",IF(ISNA(VLOOKUP($B103,'B-1 Site Hedge Baseline'!$B$1:$L$257,8,FALSE)),"",(VLOOKUP($B103,'B-1 Site Hedge Baseline'!$B$1:$L$257,8,FALSE))))</f>
        <v/>
      </c>
      <c r="I103" s="520" t="str">
        <f>IF(B103="","",IF(ISNA(VLOOKUP($B103,'B-1 Site Hedge Baseline'!$B$1:$L$257,10,FALSE)),"",(VLOOKUP($B103,'B-1 Site Hedge Baseline'!$B$1:$L$257,10,FALSE))))</f>
        <v/>
      </c>
      <c r="J103" s="520" t="str">
        <f>IF(B103="","",IF(ISNA(VLOOKUP($B103,'B-1 Site Hedge Baseline'!$B$1:$L$257,11,FALSE)),"",(VLOOKUP($B103,'B-1 Site Hedge Baseline'!$B$1:$L$257,11,FALSE))))</f>
        <v/>
      </c>
      <c r="K103" s="520" t="str">
        <f>IF(B103="","",IF(ISNA(VLOOKUP($B103,'B-1 Site Hedge Baseline'!$B$1:$U$257,13,FALSE)),"",(VLOOKUP($B103,'B-1 Site Hedge Baseline'!$B$1:$U$257,13,FALSE))))</f>
        <v/>
      </c>
      <c r="L103" s="524" t="str">
        <f>IF(B103="","",IF(ISNA(VLOOKUP($B103,'B-1 Site Hedge Baseline'!$B$1:$U$257,12,FALSE)),"",(VLOOKUP($B103,'B-1 Site Hedge Baseline'!$B$1:$U$257,12,FALSE))))</f>
        <v/>
      </c>
      <c r="M103" s="416" t="str">
        <f t="shared" si="15"/>
        <v/>
      </c>
      <c r="N103" s="498" t="str">
        <f>IFERROR(IF(B103="","",INDEX('G-6 Hedgerow Data'!$AN$3:$AZ$15,MATCH(C103,'G-6 Hedgerow Data'!$AM$3:$AM$15,0),MATCH(M103,'G-6 Hedgerow Data'!$AN$2:$AZ$2,0))),"")</f>
        <v/>
      </c>
      <c r="O103" s="499" t="str">
        <f t="shared" si="10"/>
        <v/>
      </c>
      <c r="P103" s="559" t="str">
        <f>IF(B103="","",VLOOKUP(B103,'B-1 Site Hedge Baseline'!$B$10:T348,16,FALSE))</f>
        <v/>
      </c>
      <c r="Q103" s="498" t="str">
        <f>IF(M103="","",VLOOKUP(M103,'G-6 Hedgerow Data'!$B$2:$AG$15,2,FALSE))</f>
        <v/>
      </c>
      <c r="R103" s="499" t="str">
        <f>IF(M103="","",VLOOKUP(M103,'G-6 Hedgerow Data'!$B$2:$AG$15,3,FALSE))</f>
        <v/>
      </c>
      <c r="S103" s="157"/>
      <c r="T103" s="540" t="str">
        <f>IFERROR(VLOOKUP(S103,'G-1 All Habitats'!$Z$2:$AA$9,2,FALSE),"")</f>
        <v/>
      </c>
      <c r="U103" s="154"/>
      <c r="V103" s="520" t="str">
        <f>IF(U103="","",IF(VLOOKUP(U103,'G-3 Multipliers'!$L$3:$N$6,2,FALSE)=0,"Spatial Data Missing ⚠",VLOOKUP(U103,'G-3 Multipliers'!$L$3:$N$6,2,FALSE)))</f>
        <v/>
      </c>
      <c r="W103" s="524" t="str">
        <f>IF(U103="","",IF(VLOOKUP(U103,'G-3 Multipliers'!$L$3:$N$6,3,FALSE)=0,"Spatial Data Missing ⚠",VLOOKUP(U103,'G-3 Multipliers'!$L$3:$N$6,3,FALSE)))</f>
        <v/>
      </c>
      <c r="X103" s="498"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7" t="str">
        <f t="shared" si="11"/>
        <v/>
      </c>
      <c r="AB103" s="521" t="str">
        <f t="shared" si="12"/>
        <v/>
      </c>
      <c r="AC103" s="522" t="str">
        <f t="shared" si="8"/>
        <v/>
      </c>
      <c r="AD103" s="537" t="str">
        <f>IF(M103="","",VLOOKUP(M103,'G-6 Hedgerow Data'!$B$3:$AG$15,31,FALSE))</f>
        <v/>
      </c>
      <c r="AE103" s="507" t="str">
        <f t="shared" si="13"/>
        <v/>
      </c>
      <c r="AF103" s="507" t="str">
        <f t="shared" si="14"/>
        <v/>
      </c>
      <c r="AG103" s="524" t="str">
        <f>IFERROR(IF(O103="","",VLOOKUP(AD103,'G-3 Multipliers'!$P$3:$Q$6,2,FALSE)),"")</f>
        <v/>
      </c>
      <c r="AH103" s="513" t="str">
        <f t="shared" si="9"/>
        <v/>
      </c>
      <c r="AI103" s="231"/>
      <c r="AJ103" s="150"/>
      <c r="AT103" s="31" t="str">
        <f>IFERROR(INDEX('G-6 Hedgerow Data'!$BJ$3:$BJ$15,MATCH(M103,'G-6 Hedgerow Data'!$B$3:$B$15,0)),"")</f>
        <v/>
      </c>
    </row>
    <row r="104" spans="2:46" ht="13.8" x14ac:dyDescent="0.25">
      <c r="B104" s="531" t="str">
        <f>'B-1 Site Hedge Baseline'!AK102</f>
        <v/>
      </c>
      <c r="C104" s="520" t="str">
        <f>IF(B104="","",IF(ISNA(VLOOKUP($B104,'B-1 Site Hedge Baseline'!$B$1:$L$257,3,FALSE)),"",(VLOOKUP($B104,'B-1 Site Hedge Baseline'!$B$1:$L$257,3,FALSE))))</f>
        <v/>
      </c>
      <c r="D104" s="520" t="str">
        <f>IF(B104="","",IF(ISNA(VLOOKUP($B104,'B-1 Site Hedge Baseline'!$B$1:$L$257,4,FALSE)),"",(VLOOKUP($B104,'B-1 Site Hedge Baseline'!$B$1:$L$257,4,FALSE))))</f>
        <v/>
      </c>
      <c r="E104" s="520" t="str">
        <f>IF(B104="","",IF(ISNA(VLOOKUP($B104,'B-1 Site Hedge Baseline'!$B$1:$L$257,5,FALSE)),"",(VLOOKUP($B104,'B-1 Site Hedge Baseline'!$B$1:$L$257,5,FALSE))))</f>
        <v/>
      </c>
      <c r="F104" s="520" t="str">
        <f>IF(B104="","",IF(ISNA(VLOOKUP($B104,'B-1 Site Hedge Baseline'!$B$1:$L$257,6,FALSE)),"",(VLOOKUP($B104,'B-1 Site Hedge Baseline'!$B$1:$L$257,6,FALSE))))</f>
        <v/>
      </c>
      <c r="G104" s="520" t="str">
        <f>IF(B104="","",IF(ISNA(VLOOKUP($B104,'B-1 Site Hedge Baseline'!$B$1:$L$257,7,FALSE)),"",(VLOOKUP($B104,'B-1 Site Hedge Baseline'!$B$1:$L$257,7,FALSE))))</f>
        <v/>
      </c>
      <c r="H104" s="520" t="str">
        <f>IF(B104="","",IF(ISNA(VLOOKUP($B104,'B-1 Site Hedge Baseline'!$B$1:$L$257,8,FALSE)),"",(VLOOKUP($B104,'B-1 Site Hedge Baseline'!$B$1:$L$257,8,FALSE))))</f>
        <v/>
      </c>
      <c r="I104" s="520" t="str">
        <f>IF(B104="","",IF(ISNA(VLOOKUP($B104,'B-1 Site Hedge Baseline'!$B$1:$L$257,10,FALSE)),"",(VLOOKUP($B104,'B-1 Site Hedge Baseline'!$B$1:$L$257,10,FALSE))))</f>
        <v/>
      </c>
      <c r="J104" s="520" t="str">
        <f>IF(B104="","",IF(ISNA(VLOOKUP($B104,'B-1 Site Hedge Baseline'!$B$1:$L$257,11,FALSE)),"",(VLOOKUP($B104,'B-1 Site Hedge Baseline'!$B$1:$L$257,11,FALSE))))</f>
        <v/>
      </c>
      <c r="K104" s="520" t="str">
        <f>IF(B104="","",IF(ISNA(VLOOKUP($B104,'B-1 Site Hedge Baseline'!$B$1:$U$257,13,FALSE)),"",(VLOOKUP($B104,'B-1 Site Hedge Baseline'!$B$1:$U$257,13,FALSE))))</f>
        <v/>
      </c>
      <c r="L104" s="524" t="str">
        <f>IF(B104="","",IF(ISNA(VLOOKUP($B104,'B-1 Site Hedge Baseline'!$B$1:$U$257,12,FALSE)),"",(VLOOKUP($B104,'B-1 Site Hedge Baseline'!$B$1:$U$257,12,FALSE))))</f>
        <v/>
      </c>
      <c r="M104" s="416" t="str">
        <f t="shared" si="15"/>
        <v/>
      </c>
      <c r="N104" s="498" t="str">
        <f>IFERROR(IF(B104="","",INDEX('G-6 Hedgerow Data'!$AN$3:$AZ$15,MATCH(C104,'G-6 Hedgerow Data'!$AM$3:$AM$15,0),MATCH(M104,'G-6 Hedgerow Data'!$AN$2:$AZ$2,0))),"")</f>
        <v/>
      </c>
      <c r="O104" s="499" t="str">
        <f t="shared" si="10"/>
        <v/>
      </c>
      <c r="P104" s="559" t="str">
        <f>IF(B104="","",VLOOKUP(B104,'B-1 Site Hedge Baseline'!$B$10:T349,16,FALSE))</f>
        <v/>
      </c>
      <c r="Q104" s="498" t="str">
        <f>IF(M104="","",VLOOKUP(M104,'G-6 Hedgerow Data'!$B$2:$AG$15,2,FALSE))</f>
        <v/>
      </c>
      <c r="R104" s="499" t="str">
        <f>IF(M104="","",VLOOKUP(M104,'G-6 Hedgerow Data'!$B$2:$AG$15,3,FALSE))</f>
        <v/>
      </c>
      <c r="S104" s="157"/>
      <c r="T104" s="540" t="str">
        <f>IFERROR(VLOOKUP(S104,'G-1 All Habitats'!$Z$2:$AA$9,2,FALSE),"")</f>
        <v/>
      </c>
      <c r="U104" s="154"/>
      <c r="V104" s="520" t="str">
        <f>IF(U104="","",IF(VLOOKUP(U104,'G-3 Multipliers'!$L$3:$N$6,2,FALSE)=0,"Spatial Data Missing ⚠",VLOOKUP(U104,'G-3 Multipliers'!$L$3:$N$6,2,FALSE)))</f>
        <v/>
      </c>
      <c r="W104" s="524" t="str">
        <f>IF(U104="","",IF(VLOOKUP(U104,'G-3 Multipliers'!$L$3:$N$6,3,FALSE)=0,"Spatial Data Missing ⚠",VLOOKUP(U104,'G-3 Multipliers'!$L$3:$N$6,3,FALSE)))</f>
        <v/>
      </c>
      <c r="X104" s="498"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7" t="str">
        <f t="shared" si="11"/>
        <v/>
      </c>
      <c r="AB104" s="521" t="str">
        <f t="shared" si="12"/>
        <v/>
      </c>
      <c r="AC104" s="522" t="str">
        <f t="shared" si="8"/>
        <v/>
      </c>
      <c r="AD104" s="537" t="str">
        <f>IF(M104="","",VLOOKUP(M104,'G-6 Hedgerow Data'!$B$3:$AG$15,31,FALSE))</f>
        <v/>
      </c>
      <c r="AE104" s="507" t="str">
        <f t="shared" si="13"/>
        <v/>
      </c>
      <c r="AF104" s="507" t="str">
        <f t="shared" si="14"/>
        <v/>
      </c>
      <c r="AG104" s="524" t="str">
        <f>IFERROR(IF(O104="","",VLOOKUP(AD104,'G-3 Multipliers'!$P$3:$Q$6,2,FALSE)),"")</f>
        <v/>
      </c>
      <c r="AH104" s="513" t="str">
        <f t="shared" si="9"/>
        <v/>
      </c>
      <c r="AI104" s="231"/>
      <c r="AJ104" s="150"/>
      <c r="AT104" s="31" t="str">
        <f>IFERROR(INDEX('G-6 Hedgerow Data'!$BJ$3:$BJ$15,MATCH(M104,'G-6 Hedgerow Data'!$B$3:$B$15,0)),"")</f>
        <v/>
      </c>
    </row>
    <row r="105" spans="2:46" ht="13.8" x14ac:dyDescent="0.25">
      <c r="B105" s="531" t="str">
        <f>'B-1 Site Hedge Baseline'!AK103</f>
        <v/>
      </c>
      <c r="C105" s="520" t="str">
        <f>IF(B105="","",IF(ISNA(VLOOKUP($B105,'B-1 Site Hedge Baseline'!$B$1:$L$257,3,FALSE)),"",(VLOOKUP($B105,'B-1 Site Hedge Baseline'!$B$1:$L$257,3,FALSE))))</f>
        <v/>
      </c>
      <c r="D105" s="520" t="str">
        <f>IF(B105="","",IF(ISNA(VLOOKUP($B105,'B-1 Site Hedge Baseline'!$B$1:$L$257,4,FALSE)),"",(VLOOKUP($B105,'B-1 Site Hedge Baseline'!$B$1:$L$257,4,FALSE))))</f>
        <v/>
      </c>
      <c r="E105" s="520" t="str">
        <f>IF(B105="","",IF(ISNA(VLOOKUP($B105,'B-1 Site Hedge Baseline'!$B$1:$L$257,5,FALSE)),"",(VLOOKUP($B105,'B-1 Site Hedge Baseline'!$B$1:$L$257,5,FALSE))))</f>
        <v/>
      </c>
      <c r="F105" s="520" t="str">
        <f>IF(B105="","",IF(ISNA(VLOOKUP($B105,'B-1 Site Hedge Baseline'!$B$1:$L$257,6,FALSE)),"",(VLOOKUP($B105,'B-1 Site Hedge Baseline'!$B$1:$L$257,6,FALSE))))</f>
        <v/>
      </c>
      <c r="G105" s="520" t="str">
        <f>IF(B105="","",IF(ISNA(VLOOKUP($B105,'B-1 Site Hedge Baseline'!$B$1:$L$257,7,FALSE)),"",(VLOOKUP($B105,'B-1 Site Hedge Baseline'!$B$1:$L$257,7,FALSE))))</f>
        <v/>
      </c>
      <c r="H105" s="520" t="str">
        <f>IF(B105="","",IF(ISNA(VLOOKUP($B105,'B-1 Site Hedge Baseline'!$B$1:$L$257,8,FALSE)),"",(VLOOKUP($B105,'B-1 Site Hedge Baseline'!$B$1:$L$257,8,FALSE))))</f>
        <v/>
      </c>
      <c r="I105" s="520" t="str">
        <f>IF(B105="","",IF(ISNA(VLOOKUP($B105,'B-1 Site Hedge Baseline'!$B$1:$L$257,10,FALSE)),"",(VLOOKUP($B105,'B-1 Site Hedge Baseline'!$B$1:$L$257,10,FALSE))))</f>
        <v/>
      </c>
      <c r="J105" s="520" t="str">
        <f>IF(B105="","",IF(ISNA(VLOOKUP($B105,'B-1 Site Hedge Baseline'!$B$1:$L$257,11,FALSE)),"",(VLOOKUP($B105,'B-1 Site Hedge Baseline'!$B$1:$L$257,11,FALSE))))</f>
        <v/>
      </c>
      <c r="K105" s="520" t="str">
        <f>IF(B105="","",IF(ISNA(VLOOKUP($B105,'B-1 Site Hedge Baseline'!$B$1:$U$257,13,FALSE)),"",(VLOOKUP($B105,'B-1 Site Hedge Baseline'!$B$1:$U$257,13,FALSE))))</f>
        <v/>
      </c>
      <c r="L105" s="524" t="str">
        <f>IF(B105="","",IF(ISNA(VLOOKUP($B105,'B-1 Site Hedge Baseline'!$B$1:$U$257,12,FALSE)),"",(VLOOKUP($B105,'B-1 Site Hedge Baseline'!$B$1:$U$257,12,FALSE))))</f>
        <v/>
      </c>
      <c r="M105" s="416" t="str">
        <f t="shared" si="15"/>
        <v/>
      </c>
      <c r="N105" s="498" t="str">
        <f>IFERROR(IF(B105="","",INDEX('G-6 Hedgerow Data'!$AN$3:$AZ$15,MATCH(C105,'G-6 Hedgerow Data'!$AM$3:$AM$15,0),MATCH(M105,'G-6 Hedgerow Data'!$AN$2:$AZ$2,0))),"")</f>
        <v/>
      </c>
      <c r="O105" s="499" t="str">
        <f t="shared" si="10"/>
        <v/>
      </c>
      <c r="P105" s="559" t="str">
        <f>IF(B105="","",VLOOKUP(B105,'B-1 Site Hedge Baseline'!$B$10:T350,16,FALSE))</f>
        <v/>
      </c>
      <c r="Q105" s="498" t="str">
        <f>IF(M105="","",VLOOKUP(M105,'G-6 Hedgerow Data'!$B$2:$AG$15,2,FALSE))</f>
        <v/>
      </c>
      <c r="R105" s="499" t="str">
        <f>IF(M105="","",VLOOKUP(M105,'G-6 Hedgerow Data'!$B$2:$AG$15,3,FALSE))</f>
        <v/>
      </c>
      <c r="S105" s="157"/>
      <c r="T105" s="540" t="str">
        <f>IFERROR(VLOOKUP(S105,'G-1 All Habitats'!$Z$2:$AA$9,2,FALSE),"")</f>
        <v/>
      </c>
      <c r="U105" s="154"/>
      <c r="V105" s="520" t="str">
        <f>IF(U105="","",IF(VLOOKUP(U105,'G-3 Multipliers'!$L$3:$N$6,2,FALSE)=0,"Spatial Data Missing ⚠",VLOOKUP(U105,'G-3 Multipliers'!$L$3:$N$6,2,FALSE)))</f>
        <v/>
      </c>
      <c r="W105" s="524" t="str">
        <f>IF(U105="","",IF(VLOOKUP(U105,'G-3 Multipliers'!$L$3:$N$6,3,FALSE)=0,"Spatial Data Missing ⚠",VLOOKUP(U105,'G-3 Multipliers'!$L$3:$N$6,3,FALSE)))</f>
        <v/>
      </c>
      <c r="X105" s="498"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7" t="str">
        <f t="shared" si="11"/>
        <v/>
      </c>
      <c r="AB105" s="521" t="str">
        <f t="shared" si="12"/>
        <v/>
      </c>
      <c r="AC105" s="522" t="str">
        <f t="shared" si="8"/>
        <v/>
      </c>
      <c r="AD105" s="537" t="str">
        <f>IF(M105="","",VLOOKUP(M105,'G-6 Hedgerow Data'!$B$3:$AG$15,31,FALSE))</f>
        <v/>
      </c>
      <c r="AE105" s="507" t="str">
        <f t="shared" si="13"/>
        <v/>
      </c>
      <c r="AF105" s="507" t="str">
        <f t="shared" si="14"/>
        <v/>
      </c>
      <c r="AG105" s="524" t="str">
        <f>IFERROR(IF(O105="","",VLOOKUP(AD105,'G-3 Multipliers'!$P$3:$Q$6,2,FALSE)),"")</f>
        <v/>
      </c>
      <c r="AH105" s="513" t="str">
        <f t="shared" si="9"/>
        <v/>
      </c>
      <c r="AI105" s="231"/>
      <c r="AJ105" s="150"/>
      <c r="AT105" s="31" t="str">
        <f>IFERROR(INDEX('G-6 Hedgerow Data'!$BJ$3:$BJ$15,MATCH(M105,'G-6 Hedgerow Data'!$B$3:$B$15,0)),"")</f>
        <v/>
      </c>
    </row>
    <row r="106" spans="2:46" ht="13.8" x14ac:dyDescent="0.25">
      <c r="B106" s="531" t="str">
        <f>'B-1 Site Hedge Baseline'!AK104</f>
        <v/>
      </c>
      <c r="C106" s="520" t="str">
        <f>IF(B106="","",IF(ISNA(VLOOKUP($B106,'B-1 Site Hedge Baseline'!$B$1:$L$257,3,FALSE)),"",(VLOOKUP($B106,'B-1 Site Hedge Baseline'!$B$1:$L$257,3,FALSE))))</f>
        <v/>
      </c>
      <c r="D106" s="520" t="str">
        <f>IF(B106="","",IF(ISNA(VLOOKUP($B106,'B-1 Site Hedge Baseline'!$B$1:$L$257,4,FALSE)),"",(VLOOKUP($B106,'B-1 Site Hedge Baseline'!$B$1:$L$257,4,FALSE))))</f>
        <v/>
      </c>
      <c r="E106" s="520" t="str">
        <f>IF(B106="","",IF(ISNA(VLOOKUP($B106,'B-1 Site Hedge Baseline'!$B$1:$L$257,5,FALSE)),"",(VLOOKUP($B106,'B-1 Site Hedge Baseline'!$B$1:$L$257,5,FALSE))))</f>
        <v/>
      </c>
      <c r="F106" s="520" t="str">
        <f>IF(B106="","",IF(ISNA(VLOOKUP($B106,'B-1 Site Hedge Baseline'!$B$1:$L$257,6,FALSE)),"",(VLOOKUP($B106,'B-1 Site Hedge Baseline'!$B$1:$L$257,6,FALSE))))</f>
        <v/>
      </c>
      <c r="G106" s="520" t="str">
        <f>IF(B106="","",IF(ISNA(VLOOKUP($B106,'B-1 Site Hedge Baseline'!$B$1:$L$257,7,FALSE)),"",(VLOOKUP($B106,'B-1 Site Hedge Baseline'!$B$1:$L$257,7,FALSE))))</f>
        <v/>
      </c>
      <c r="H106" s="520" t="str">
        <f>IF(B106="","",IF(ISNA(VLOOKUP($B106,'B-1 Site Hedge Baseline'!$B$1:$L$257,8,FALSE)),"",(VLOOKUP($B106,'B-1 Site Hedge Baseline'!$B$1:$L$257,8,FALSE))))</f>
        <v/>
      </c>
      <c r="I106" s="520" t="str">
        <f>IF(B106="","",IF(ISNA(VLOOKUP($B106,'B-1 Site Hedge Baseline'!$B$1:$L$257,10,FALSE)),"",(VLOOKUP($B106,'B-1 Site Hedge Baseline'!$B$1:$L$257,10,FALSE))))</f>
        <v/>
      </c>
      <c r="J106" s="520" t="str">
        <f>IF(B106="","",IF(ISNA(VLOOKUP($B106,'B-1 Site Hedge Baseline'!$B$1:$L$257,11,FALSE)),"",(VLOOKUP($B106,'B-1 Site Hedge Baseline'!$B$1:$L$257,11,FALSE))))</f>
        <v/>
      </c>
      <c r="K106" s="520" t="str">
        <f>IF(B106="","",IF(ISNA(VLOOKUP($B106,'B-1 Site Hedge Baseline'!$B$1:$U$257,13,FALSE)),"",(VLOOKUP($B106,'B-1 Site Hedge Baseline'!$B$1:$U$257,13,FALSE))))</f>
        <v/>
      </c>
      <c r="L106" s="524" t="str">
        <f>IF(B106="","",IF(ISNA(VLOOKUP($B106,'B-1 Site Hedge Baseline'!$B$1:$U$257,12,FALSE)),"",(VLOOKUP($B106,'B-1 Site Hedge Baseline'!$B$1:$U$257,12,FALSE))))</f>
        <v/>
      </c>
      <c r="M106" s="416" t="str">
        <f t="shared" si="15"/>
        <v/>
      </c>
      <c r="N106" s="498" t="str">
        <f>IFERROR(IF(B106="","",INDEX('G-6 Hedgerow Data'!$AN$3:$AZ$15,MATCH(C106,'G-6 Hedgerow Data'!$AM$3:$AM$15,0),MATCH(M106,'G-6 Hedgerow Data'!$AN$2:$AZ$2,0))),"")</f>
        <v/>
      </c>
      <c r="O106" s="499" t="str">
        <f t="shared" si="10"/>
        <v/>
      </c>
      <c r="P106" s="559" t="str">
        <f>IF(B106="","",VLOOKUP(B106,'B-1 Site Hedge Baseline'!$B$10:T351,16,FALSE))</f>
        <v/>
      </c>
      <c r="Q106" s="498" t="str">
        <f>IF(M106="","",VLOOKUP(M106,'G-6 Hedgerow Data'!$B$2:$AG$15,2,FALSE))</f>
        <v/>
      </c>
      <c r="R106" s="499" t="str">
        <f>IF(M106="","",VLOOKUP(M106,'G-6 Hedgerow Data'!$B$2:$AG$15,3,FALSE))</f>
        <v/>
      </c>
      <c r="S106" s="157"/>
      <c r="T106" s="540" t="str">
        <f>IFERROR(VLOOKUP(S106,'G-1 All Habitats'!$Z$2:$AA$9,2,FALSE),"")</f>
        <v/>
      </c>
      <c r="U106" s="154"/>
      <c r="V106" s="520" t="str">
        <f>IF(U106="","",IF(VLOOKUP(U106,'G-3 Multipliers'!$L$3:$N$6,2,FALSE)=0,"Spatial Data Missing ⚠",VLOOKUP(U106,'G-3 Multipliers'!$L$3:$N$6,2,FALSE)))</f>
        <v/>
      </c>
      <c r="W106" s="524" t="str">
        <f>IF(U106="","",IF(VLOOKUP(U106,'G-3 Multipliers'!$L$3:$N$6,3,FALSE)=0,"Spatial Data Missing ⚠",VLOOKUP(U106,'G-3 Multipliers'!$L$3:$N$6,3,FALSE)))</f>
        <v/>
      </c>
      <c r="X106" s="498"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7" t="str">
        <f t="shared" si="11"/>
        <v/>
      </c>
      <c r="AB106" s="521" t="str">
        <f t="shared" si="12"/>
        <v/>
      </c>
      <c r="AC106" s="522" t="str">
        <f t="shared" si="8"/>
        <v/>
      </c>
      <c r="AD106" s="537" t="str">
        <f>IF(M106="","",VLOOKUP(M106,'G-6 Hedgerow Data'!$B$3:$AG$15,31,FALSE))</f>
        <v/>
      </c>
      <c r="AE106" s="507" t="str">
        <f t="shared" si="13"/>
        <v/>
      </c>
      <c r="AF106" s="507" t="str">
        <f t="shared" si="14"/>
        <v/>
      </c>
      <c r="AG106" s="524" t="str">
        <f>IFERROR(IF(O106="","",VLOOKUP(AD106,'G-3 Multipliers'!$P$3:$Q$6,2,FALSE)),"")</f>
        <v/>
      </c>
      <c r="AH106" s="513" t="str">
        <f t="shared" si="9"/>
        <v/>
      </c>
      <c r="AI106" s="231"/>
      <c r="AJ106" s="150"/>
      <c r="AT106" s="31" t="str">
        <f>IFERROR(INDEX('G-6 Hedgerow Data'!$BJ$3:$BJ$15,MATCH(M106,'G-6 Hedgerow Data'!$B$3:$B$15,0)),"")</f>
        <v/>
      </c>
    </row>
    <row r="107" spans="2:46" ht="13.8" x14ac:dyDescent="0.25">
      <c r="B107" s="531" t="str">
        <f>'B-1 Site Hedge Baseline'!AK105</f>
        <v/>
      </c>
      <c r="C107" s="520" t="str">
        <f>IF(B107="","",IF(ISNA(VLOOKUP($B107,'B-1 Site Hedge Baseline'!$B$1:$L$257,3,FALSE)),"",(VLOOKUP($B107,'B-1 Site Hedge Baseline'!$B$1:$L$257,3,FALSE))))</f>
        <v/>
      </c>
      <c r="D107" s="520" t="str">
        <f>IF(B107="","",IF(ISNA(VLOOKUP($B107,'B-1 Site Hedge Baseline'!$B$1:$L$257,4,FALSE)),"",(VLOOKUP($B107,'B-1 Site Hedge Baseline'!$B$1:$L$257,4,FALSE))))</f>
        <v/>
      </c>
      <c r="E107" s="520" t="str">
        <f>IF(B107="","",IF(ISNA(VLOOKUP($B107,'B-1 Site Hedge Baseline'!$B$1:$L$257,5,FALSE)),"",(VLOOKUP($B107,'B-1 Site Hedge Baseline'!$B$1:$L$257,5,FALSE))))</f>
        <v/>
      </c>
      <c r="F107" s="520" t="str">
        <f>IF(B107="","",IF(ISNA(VLOOKUP($B107,'B-1 Site Hedge Baseline'!$B$1:$L$257,6,FALSE)),"",(VLOOKUP($B107,'B-1 Site Hedge Baseline'!$B$1:$L$257,6,FALSE))))</f>
        <v/>
      </c>
      <c r="G107" s="520" t="str">
        <f>IF(B107="","",IF(ISNA(VLOOKUP($B107,'B-1 Site Hedge Baseline'!$B$1:$L$257,7,FALSE)),"",(VLOOKUP($B107,'B-1 Site Hedge Baseline'!$B$1:$L$257,7,FALSE))))</f>
        <v/>
      </c>
      <c r="H107" s="520" t="str">
        <f>IF(B107="","",IF(ISNA(VLOOKUP($B107,'B-1 Site Hedge Baseline'!$B$1:$L$257,8,FALSE)),"",(VLOOKUP($B107,'B-1 Site Hedge Baseline'!$B$1:$L$257,8,FALSE))))</f>
        <v/>
      </c>
      <c r="I107" s="520" t="str">
        <f>IF(B107="","",IF(ISNA(VLOOKUP($B107,'B-1 Site Hedge Baseline'!$B$1:$L$257,10,FALSE)),"",(VLOOKUP($B107,'B-1 Site Hedge Baseline'!$B$1:$L$257,10,FALSE))))</f>
        <v/>
      </c>
      <c r="J107" s="520" t="str">
        <f>IF(B107="","",IF(ISNA(VLOOKUP($B107,'B-1 Site Hedge Baseline'!$B$1:$L$257,11,FALSE)),"",(VLOOKUP($B107,'B-1 Site Hedge Baseline'!$B$1:$L$257,11,FALSE))))</f>
        <v/>
      </c>
      <c r="K107" s="520" t="str">
        <f>IF(B107="","",IF(ISNA(VLOOKUP($B107,'B-1 Site Hedge Baseline'!$B$1:$U$257,13,FALSE)),"",(VLOOKUP($B107,'B-1 Site Hedge Baseline'!$B$1:$U$257,13,FALSE))))</f>
        <v/>
      </c>
      <c r="L107" s="524" t="str">
        <f>IF(B107="","",IF(ISNA(VLOOKUP($B107,'B-1 Site Hedge Baseline'!$B$1:$U$257,12,FALSE)),"",(VLOOKUP($B107,'B-1 Site Hedge Baseline'!$B$1:$U$257,12,FALSE))))</f>
        <v/>
      </c>
      <c r="M107" s="416" t="str">
        <f t="shared" si="15"/>
        <v/>
      </c>
      <c r="N107" s="498" t="str">
        <f>IFERROR(IF(B107="","",INDEX('G-6 Hedgerow Data'!$AN$3:$AZ$15,MATCH(C107,'G-6 Hedgerow Data'!$AM$3:$AM$15,0),MATCH(M107,'G-6 Hedgerow Data'!$AN$2:$AZ$2,0))),"")</f>
        <v/>
      </c>
      <c r="O107" s="499" t="str">
        <f t="shared" si="10"/>
        <v/>
      </c>
      <c r="P107" s="559" t="str">
        <f>IF(B107="","",VLOOKUP(B107,'B-1 Site Hedge Baseline'!$B$10:T352,16,FALSE))</f>
        <v/>
      </c>
      <c r="Q107" s="498" t="str">
        <f>IF(M107="","",VLOOKUP(M107,'G-6 Hedgerow Data'!$B$2:$AG$15,2,FALSE))</f>
        <v/>
      </c>
      <c r="R107" s="499" t="str">
        <f>IF(M107="","",VLOOKUP(M107,'G-6 Hedgerow Data'!$B$2:$AG$15,3,FALSE))</f>
        <v/>
      </c>
      <c r="S107" s="157"/>
      <c r="T107" s="540" t="str">
        <f>IFERROR(VLOOKUP(S107,'G-1 All Habitats'!$Z$2:$AA$9,2,FALSE),"")</f>
        <v/>
      </c>
      <c r="U107" s="154"/>
      <c r="V107" s="520" t="str">
        <f>IF(U107="","",IF(VLOOKUP(U107,'G-3 Multipliers'!$L$3:$N$6,2,FALSE)=0,"Spatial Data Missing ⚠",VLOOKUP(U107,'G-3 Multipliers'!$L$3:$N$6,2,FALSE)))</f>
        <v/>
      </c>
      <c r="W107" s="524" t="str">
        <f>IF(U107="","",IF(VLOOKUP(U107,'G-3 Multipliers'!$L$3:$N$6,3,FALSE)=0,"Spatial Data Missing ⚠",VLOOKUP(U107,'G-3 Multipliers'!$L$3:$N$6,3,FALSE)))</f>
        <v/>
      </c>
      <c r="X107" s="498"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7" t="str">
        <f t="shared" si="11"/>
        <v/>
      </c>
      <c r="AB107" s="521" t="str">
        <f t="shared" si="12"/>
        <v/>
      </c>
      <c r="AC107" s="522" t="str">
        <f t="shared" si="8"/>
        <v/>
      </c>
      <c r="AD107" s="537" t="str">
        <f>IF(M107="","",VLOOKUP(M107,'G-6 Hedgerow Data'!$B$3:$AG$15,31,FALSE))</f>
        <v/>
      </c>
      <c r="AE107" s="507" t="str">
        <f t="shared" si="13"/>
        <v/>
      </c>
      <c r="AF107" s="507" t="str">
        <f t="shared" si="14"/>
        <v/>
      </c>
      <c r="AG107" s="524" t="str">
        <f>IFERROR(IF(O107="","",VLOOKUP(AD107,'G-3 Multipliers'!$P$3:$Q$6,2,FALSE)),"")</f>
        <v/>
      </c>
      <c r="AH107" s="513" t="str">
        <f t="shared" si="9"/>
        <v/>
      </c>
      <c r="AI107" s="231"/>
      <c r="AJ107" s="150"/>
      <c r="AT107" s="31" t="str">
        <f>IFERROR(INDEX('G-6 Hedgerow Data'!$BJ$3:$BJ$15,MATCH(M107,'G-6 Hedgerow Data'!$B$3:$B$15,0)),"")</f>
        <v/>
      </c>
    </row>
    <row r="108" spans="2:46" ht="13.8" x14ac:dyDescent="0.25">
      <c r="B108" s="531" t="str">
        <f>'B-1 Site Hedge Baseline'!AK106</f>
        <v/>
      </c>
      <c r="C108" s="520" t="str">
        <f>IF(B108="","",IF(ISNA(VLOOKUP($B108,'B-1 Site Hedge Baseline'!$B$1:$L$257,3,FALSE)),"",(VLOOKUP($B108,'B-1 Site Hedge Baseline'!$B$1:$L$257,3,FALSE))))</f>
        <v/>
      </c>
      <c r="D108" s="520" t="str">
        <f>IF(B108="","",IF(ISNA(VLOOKUP($B108,'B-1 Site Hedge Baseline'!$B$1:$L$257,4,FALSE)),"",(VLOOKUP($B108,'B-1 Site Hedge Baseline'!$B$1:$L$257,4,FALSE))))</f>
        <v/>
      </c>
      <c r="E108" s="520" t="str">
        <f>IF(B108="","",IF(ISNA(VLOOKUP($B108,'B-1 Site Hedge Baseline'!$B$1:$L$257,5,FALSE)),"",(VLOOKUP($B108,'B-1 Site Hedge Baseline'!$B$1:$L$257,5,FALSE))))</f>
        <v/>
      </c>
      <c r="F108" s="520" t="str">
        <f>IF(B108="","",IF(ISNA(VLOOKUP($B108,'B-1 Site Hedge Baseline'!$B$1:$L$257,6,FALSE)),"",(VLOOKUP($B108,'B-1 Site Hedge Baseline'!$B$1:$L$257,6,FALSE))))</f>
        <v/>
      </c>
      <c r="G108" s="520" t="str">
        <f>IF(B108="","",IF(ISNA(VLOOKUP($B108,'B-1 Site Hedge Baseline'!$B$1:$L$257,7,FALSE)),"",(VLOOKUP($B108,'B-1 Site Hedge Baseline'!$B$1:$L$257,7,FALSE))))</f>
        <v/>
      </c>
      <c r="H108" s="520" t="str">
        <f>IF(B108="","",IF(ISNA(VLOOKUP($B108,'B-1 Site Hedge Baseline'!$B$1:$L$257,8,FALSE)),"",(VLOOKUP($B108,'B-1 Site Hedge Baseline'!$B$1:$L$257,8,FALSE))))</f>
        <v/>
      </c>
      <c r="I108" s="520" t="str">
        <f>IF(B108="","",IF(ISNA(VLOOKUP($B108,'B-1 Site Hedge Baseline'!$B$1:$L$257,10,FALSE)),"",(VLOOKUP($B108,'B-1 Site Hedge Baseline'!$B$1:$L$257,10,FALSE))))</f>
        <v/>
      </c>
      <c r="J108" s="520" t="str">
        <f>IF(B108="","",IF(ISNA(VLOOKUP($B108,'B-1 Site Hedge Baseline'!$B$1:$L$257,11,FALSE)),"",(VLOOKUP($B108,'B-1 Site Hedge Baseline'!$B$1:$L$257,11,FALSE))))</f>
        <v/>
      </c>
      <c r="K108" s="520" t="str">
        <f>IF(B108="","",IF(ISNA(VLOOKUP($B108,'B-1 Site Hedge Baseline'!$B$1:$U$257,13,FALSE)),"",(VLOOKUP($B108,'B-1 Site Hedge Baseline'!$B$1:$U$257,13,FALSE))))</f>
        <v/>
      </c>
      <c r="L108" s="524" t="str">
        <f>IF(B108="","",IF(ISNA(VLOOKUP($B108,'B-1 Site Hedge Baseline'!$B$1:$U$257,12,FALSE)),"",(VLOOKUP($B108,'B-1 Site Hedge Baseline'!$B$1:$U$257,12,FALSE))))</f>
        <v/>
      </c>
      <c r="M108" s="416" t="str">
        <f t="shared" si="15"/>
        <v/>
      </c>
      <c r="N108" s="498" t="str">
        <f>IFERROR(IF(B108="","",INDEX('G-6 Hedgerow Data'!$AN$3:$AZ$15,MATCH(C108,'G-6 Hedgerow Data'!$AM$3:$AM$15,0),MATCH(M108,'G-6 Hedgerow Data'!$AN$2:$AZ$2,0))),"")</f>
        <v/>
      </c>
      <c r="O108" s="499" t="str">
        <f t="shared" si="10"/>
        <v/>
      </c>
      <c r="P108" s="559" t="str">
        <f>IF(B108="","",VLOOKUP(B108,'B-1 Site Hedge Baseline'!$B$10:T353,16,FALSE))</f>
        <v/>
      </c>
      <c r="Q108" s="498" t="str">
        <f>IF(M108="","",VLOOKUP(M108,'G-6 Hedgerow Data'!$B$2:$AG$15,2,FALSE))</f>
        <v/>
      </c>
      <c r="R108" s="499" t="str">
        <f>IF(M108="","",VLOOKUP(M108,'G-6 Hedgerow Data'!$B$2:$AG$15,3,FALSE))</f>
        <v/>
      </c>
      <c r="S108" s="157"/>
      <c r="T108" s="540" t="str">
        <f>IFERROR(VLOOKUP(S108,'G-1 All Habitats'!$Z$2:$AA$9,2,FALSE),"")</f>
        <v/>
      </c>
      <c r="U108" s="154"/>
      <c r="V108" s="520" t="str">
        <f>IF(U108="","",IF(VLOOKUP(U108,'G-3 Multipliers'!$L$3:$N$6,2,FALSE)=0,"Spatial Data Missing ⚠",VLOOKUP(U108,'G-3 Multipliers'!$L$3:$N$6,2,FALSE)))</f>
        <v/>
      </c>
      <c r="W108" s="524" t="str">
        <f>IF(U108="","",IF(VLOOKUP(U108,'G-3 Multipliers'!$L$3:$N$6,3,FALSE)=0,"Spatial Data Missing ⚠",VLOOKUP(U108,'G-3 Multipliers'!$L$3:$N$6,3,FALSE)))</f>
        <v/>
      </c>
      <c r="X108" s="498"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7" t="str">
        <f t="shared" si="11"/>
        <v/>
      </c>
      <c r="AB108" s="521" t="str">
        <f t="shared" si="12"/>
        <v/>
      </c>
      <c r="AC108" s="522" t="str">
        <f t="shared" si="8"/>
        <v/>
      </c>
      <c r="AD108" s="537" t="str">
        <f>IF(M108="","",VLOOKUP(M108,'G-6 Hedgerow Data'!$B$3:$AG$15,31,FALSE))</f>
        <v/>
      </c>
      <c r="AE108" s="507" t="str">
        <f t="shared" si="13"/>
        <v/>
      </c>
      <c r="AF108" s="507" t="str">
        <f t="shared" si="14"/>
        <v/>
      </c>
      <c r="AG108" s="524" t="str">
        <f>IFERROR(IF(O108="","",VLOOKUP(AD108,'G-3 Multipliers'!$P$3:$Q$6,2,FALSE)),"")</f>
        <v/>
      </c>
      <c r="AH108" s="513" t="str">
        <f t="shared" si="9"/>
        <v/>
      </c>
      <c r="AI108" s="231"/>
      <c r="AJ108" s="150"/>
      <c r="AT108" s="31" t="str">
        <f>IFERROR(INDEX('G-6 Hedgerow Data'!$BJ$3:$BJ$15,MATCH(M108,'G-6 Hedgerow Data'!$B$3:$B$15,0)),"")</f>
        <v/>
      </c>
    </row>
    <row r="109" spans="2:46" ht="13.8" x14ac:dyDescent="0.25">
      <c r="B109" s="531" t="str">
        <f>'B-1 Site Hedge Baseline'!AK107</f>
        <v/>
      </c>
      <c r="C109" s="520" t="str">
        <f>IF(B109="","",IF(ISNA(VLOOKUP($B109,'B-1 Site Hedge Baseline'!$B$1:$L$257,3,FALSE)),"",(VLOOKUP($B109,'B-1 Site Hedge Baseline'!$B$1:$L$257,3,FALSE))))</f>
        <v/>
      </c>
      <c r="D109" s="520" t="str">
        <f>IF(B109="","",IF(ISNA(VLOOKUP($B109,'B-1 Site Hedge Baseline'!$B$1:$L$257,4,FALSE)),"",(VLOOKUP($B109,'B-1 Site Hedge Baseline'!$B$1:$L$257,4,FALSE))))</f>
        <v/>
      </c>
      <c r="E109" s="520" t="str">
        <f>IF(B109="","",IF(ISNA(VLOOKUP($B109,'B-1 Site Hedge Baseline'!$B$1:$L$257,5,FALSE)),"",(VLOOKUP($B109,'B-1 Site Hedge Baseline'!$B$1:$L$257,5,FALSE))))</f>
        <v/>
      </c>
      <c r="F109" s="520" t="str">
        <f>IF(B109="","",IF(ISNA(VLOOKUP($B109,'B-1 Site Hedge Baseline'!$B$1:$L$257,6,FALSE)),"",(VLOOKUP($B109,'B-1 Site Hedge Baseline'!$B$1:$L$257,6,FALSE))))</f>
        <v/>
      </c>
      <c r="G109" s="520" t="str">
        <f>IF(B109="","",IF(ISNA(VLOOKUP($B109,'B-1 Site Hedge Baseline'!$B$1:$L$257,7,FALSE)),"",(VLOOKUP($B109,'B-1 Site Hedge Baseline'!$B$1:$L$257,7,FALSE))))</f>
        <v/>
      </c>
      <c r="H109" s="520" t="str">
        <f>IF(B109="","",IF(ISNA(VLOOKUP($B109,'B-1 Site Hedge Baseline'!$B$1:$L$257,8,FALSE)),"",(VLOOKUP($B109,'B-1 Site Hedge Baseline'!$B$1:$L$257,8,FALSE))))</f>
        <v/>
      </c>
      <c r="I109" s="520" t="str">
        <f>IF(B109="","",IF(ISNA(VLOOKUP($B109,'B-1 Site Hedge Baseline'!$B$1:$L$257,10,FALSE)),"",(VLOOKUP($B109,'B-1 Site Hedge Baseline'!$B$1:$L$257,10,FALSE))))</f>
        <v/>
      </c>
      <c r="J109" s="520" t="str">
        <f>IF(B109="","",IF(ISNA(VLOOKUP($B109,'B-1 Site Hedge Baseline'!$B$1:$L$257,11,FALSE)),"",(VLOOKUP($B109,'B-1 Site Hedge Baseline'!$B$1:$L$257,11,FALSE))))</f>
        <v/>
      </c>
      <c r="K109" s="520" t="str">
        <f>IF(B109="","",IF(ISNA(VLOOKUP($B109,'B-1 Site Hedge Baseline'!$B$1:$U$257,13,FALSE)),"",(VLOOKUP($B109,'B-1 Site Hedge Baseline'!$B$1:$U$257,13,FALSE))))</f>
        <v/>
      </c>
      <c r="L109" s="524" t="str">
        <f>IF(B109="","",IF(ISNA(VLOOKUP($B109,'B-1 Site Hedge Baseline'!$B$1:$U$257,12,FALSE)),"",(VLOOKUP($B109,'B-1 Site Hedge Baseline'!$B$1:$U$257,12,FALSE))))</f>
        <v/>
      </c>
      <c r="M109" s="416" t="str">
        <f t="shared" si="15"/>
        <v/>
      </c>
      <c r="N109" s="498" t="str">
        <f>IFERROR(IF(B109="","",INDEX('G-6 Hedgerow Data'!$AN$3:$AZ$15,MATCH(C109,'G-6 Hedgerow Data'!$AM$3:$AM$15,0),MATCH(M109,'G-6 Hedgerow Data'!$AN$2:$AZ$2,0))),"")</f>
        <v/>
      </c>
      <c r="O109" s="499" t="str">
        <f t="shared" si="10"/>
        <v/>
      </c>
      <c r="P109" s="559" t="str">
        <f>IF(B109="","",VLOOKUP(B109,'B-1 Site Hedge Baseline'!$B$10:T354,16,FALSE))</f>
        <v/>
      </c>
      <c r="Q109" s="498" t="str">
        <f>IF(M109="","",VLOOKUP(M109,'G-6 Hedgerow Data'!$B$2:$AG$15,2,FALSE))</f>
        <v/>
      </c>
      <c r="R109" s="499" t="str">
        <f>IF(M109="","",VLOOKUP(M109,'G-6 Hedgerow Data'!$B$2:$AG$15,3,FALSE))</f>
        <v/>
      </c>
      <c r="S109" s="157"/>
      <c r="T109" s="540" t="str">
        <f>IFERROR(VLOOKUP(S109,'G-1 All Habitats'!$Z$2:$AA$9,2,FALSE),"")</f>
        <v/>
      </c>
      <c r="U109" s="154"/>
      <c r="V109" s="520" t="str">
        <f>IF(U109="","",IF(VLOOKUP(U109,'G-3 Multipliers'!$L$3:$N$6,2,FALSE)=0,"Spatial Data Missing ⚠",VLOOKUP(U109,'G-3 Multipliers'!$L$3:$N$6,2,FALSE)))</f>
        <v/>
      </c>
      <c r="W109" s="524" t="str">
        <f>IF(U109="","",IF(VLOOKUP(U109,'G-3 Multipliers'!$L$3:$N$6,3,FALSE)=0,"Spatial Data Missing ⚠",VLOOKUP(U109,'G-3 Multipliers'!$L$3:$N$6,3,FALSE)))</f>
        <v/>
      </c>
      <c r="X109" s="498"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7" t="str">
        <f t="shared" si="11"/>
        <v/>
      </c>
      <c r="AB109" s="521" t="str">
        <f t="shared" si="12"/>
        <v/>
      </c>
      <c r="AC109" s="522" t="str">
        <f t="shared" si="8"/>
        <v/>
      </c>
      <c r="AD109" s="537" t="str">
        <f>IF(M109="","",VLOOKUP(M109,'G-6 Hedgerow Data'!$B$3:$AG$15,31,FALSE))</f>
        <v/>
      </c>
      <c r="AE109" s="507" t="str">
        <f t="shared" si="13"/>
        <v/>
      </c>
      <c r="AF109" s="507" t="str">
        <f t="shared" si="14"/>
        <v/>
      </c>
      <c r="AG109" s="524" t="str">
        <f>IFERROR(IF(O109="","",VLOOKUP(AD109,'G-3 Multipliers'!$P$3:$Q$6,2,FALSE)),"")</f>
        <v/>
      </c>
      <c r="AH109" s="513" t="str">
        <f t="shared" si="9"/>
        <v/>
      </c>
      <c r="AI109" s="231"/>
      <c r="AJ109" s="150"/>
      <c r="AT109" s="31" t="str">
        <f>IFERROR(INDEX('G-6 Hedgerow Data'!$BJ$3:$BJ$15,MATCH(M109,'G-6 Hedgerow Data'!$B$3:$B$15,0)),"")</f>
        <v/>
      </c>
    </row>
    <row r="110" spans="2:46" ht="13.8" x14ac:dyDescent="0.25">
      <c r="B110" s="531" t="str">
        <f>'B-1 Site Hedge Baseline'!AK108</f>
        <v/>
      </c>
      <c r="C110" s="520" t="str">
        <f>IF(B110="","",IF(ISNA(VLOOKUP($B110,'B-1 Site Hedge Baseline'!$B$1:$L$257,3,FALSE)),"",(VLOOKUP($B110,'B-1 Site Hedge Baseline'!$B$1:$L$257,3,FALSE))))</f>
        <v/>
      </c>
      <c r="D110" s="520" t="str">
        <f>IF(B110="","",IF(ISNA(VLOOKUP($B110,'B-1 Site Hedge Baseline'!$B$1:$L$257,4,FALSE)),"",(VLOOKUP($B110,'B-1 Site Hedge Baseline'!$B$1:$L$257,4,FALSE))))</f>
        <v/>
      </c>
      <c r="E110" s="520" t="str">
        <f>IF(B110="","",IF(ISNA(VLOOKUP($B110,'B-1 Site Hedge Baseline'!$B$1:$L$257,5,FALSE)),"",(VLOOKUP($B110,'B-1 Site Hedge Baseline'!$B$1:$L$257,5,FALSE))))</f>
        <v/>
      </c>
      <c r="F110" s="520" t="str">
        <f>IF(B110="","",IF(ISNA(VLOOKUP($B110,'B-1 Site Hedge Baseline'!$B$1:$L$257,6,FALSE)),"",(VLOOKUP($B110,'B-1 Site Hedge Baseline'!$B$1:$L$257,6,FALSE))))</f>
        <v/>
      </c>
      <c r="G110" s="520" t="str">
        <f>IF(B110="","",IF(ISNA(VLOOKUP($B110,'B-1 Site Hedge Baseline'!$B$1:$L$257,7,FALSE)),"",(VLOOKUP($B110,'B-1 Site Hedge Baseline'!$B$1:$L$257,7,FALSE))))</f>
        <v/>
      </c>
      <c r="H110" s="520" t="str">
        <f>IF(B110="","",IF(ISNA(VLOOKUP($B110,'B-1 Site Hedge Baseline'!$B$1:$L$257,8,FALSE)),"",(VLOOKUP($B110,'B-1 Site Hedge Baseline'!$B$1:$L$257,8,FALSE))))</f>
        <v/>
      </c>
      <c r="I110" s="520" t="str">
        <f>IF(B110="","",IF(ISNA(VLOOKUP($B110,'B-1 Site Hedge Baseline'!$B$1:$L$257,10,FALSE)),"",(VLOOKUP($B110,'B-1 Site Hedge Baseline'!$B$1:$L$257,10,FALSE))))</f>
        <v/>
      </c>
      <c r="J110" s="520" t="str">
        <f>IF(B110="","",IF(ISNA(VLOOKUP($B110,'B-1 Site Hedge Baseline'!$B$1:$L$257,11,FALSE)),"",(VLOOKUP($B110,'B-1 Site Hedge Baseline'!$B$1:$L$257,11,FALSE))))</f>
        <v/>
      </c>
      <c r="K110" s="520" t="str">
        <f>IF(B110="","",IF(ISNA(VLOOKUP($B110,'B-1 Site Hedge Baseline'!$B$1:$U$257,13,FALSE)),"",(VLOOKUP($B110,'B-1 Site Hedge Baseline'!$B$1:$U$257,13,FALSE))))</f>
        <v/>
      </c>
      <c r="L110" s="524" t="str">
        <f>IF(B110="","",IF(ISNA(VLOOKUP($B110,'B-1 Site Hedge Baseline'!$B$1:$U$257,12,FALSE)),"",(VLOOKUP($B110,'B-1 Site Hedge Baseline'!$B$1:$U$257,12,FALSE))))</f>
        <v/>
      </c>
      <c r="M110" s="416" t="str">
        <f t="shared" si="15"/>
        <v/>
      </c>
      <c r="N110" s="498" t="str">
        <f>IFERROR(IF(B110="","",INDEX('G-6 Hedgerow Data'!$AN$3:$AZ$15,MATCH(C110,'G-6 Hedgerow Data'!$AM$3:$AM$15,0),MATCH(M110,'G-6 Hedgerow Data'!$AN$2:$AZ$2,0))),"")</f>
        <v/>
      </c>
      <c r="O110" s="499" t="str">
        <f t="shared" si="10"/>
        <v/>
      </c>
      <c r="P110" s="559" t="str">
        <f>IF(B110="","",VLOOKUP(B110,'B-1 Site Hedge Baseline'!$B$10:T355,16,FALSE))</f>
        <v/>
      </c>
      <c r="Q110" s="498" t="str">
        <f>IF(M110="","",VLOOKUP(M110,'G-6 Hedgerow Data'!$B$2:$AG$15,2,FALSE))</f>
        <v/>
      </c>
      <c r="R110" s="499" t="str">
        <f>IF(M110="","",VLOOKUP(M110,'G-6 Hedgerow Data'!$B$2:$AG$15,3,FALSE))</f>
        <v/>
      </c>
      <c r="S110" s="157"/>
      <c r="T110" s="540" t="str">
        <f>IFERROR(VLOOKUP(S110,'G-1 All Habitats'!$Z$2:$AA$9,2,FALSE),"")</f>
        <v/>
      </c>
      <c r="U110" s="154"/>
      <c r="V110" s="520" t="str">
        <f>IF(U110="","",IF(VLOOKUP(U110,'G-3 Multipliers'!$L$3:$N$6,2,FALSE)=0,"Spatial Data Missing ⚠",VLOOKUP(U110,'G-3 Multipliers'!$L$3:$N$6,2,FALSE)))</f>
        <v/>
      </c>
      <c r="W110" s="524" t="str">
        <f>IF(U110="","",IF(VLOOKUP(U110,'G-3 Multipliers'!$L$3:$N$6,3,FALSE)=0,"Spatial Data Missing ⚠",VLOOKUP(U110,'G-3 Multipliers'!$L$3:$N$6,3,FALSE)))</f>
        <v/>
      </c>
      <c r="X110" s="498"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7" t="str">
        <f t="shared" si="11"/>
        <v/>
      </c>
      <c r="AB110" s="521" t="str">
        <f t="shared" si="12"/>
        <v/>
      </c>
      <c r="AC110" s="522" t="str">
        <f t="shared" si="8"/>
        <v/>
      </c>
      <c r="AD110" s="537" t="str">
        <f>IF(M110="","",VLOOKUP(M110,'G-6 Hedgerow Data'!$B$3:$AG$15,31,FALSE))</f>
        <v/>
      </c>
      <c r="AE110" s="507" t="str">
        <f t="shared" si="13"/>
        <v/>
      </c>
      <c r="AF110" s="507" t="str">
        <f t="shared" si="14"/>
        <v/>
      </c>
      <c r="AG110" s="524" t="str">
        <f>IFERROR(IF(O110="","",VLOOKUP(AD110,'G-3 Multipliers'!$P$3:$Q$6,2,FALSE)),"")</f>
        <v/>
      </c>
      <c r="AH110" s="513" t="str">
        <f t="shared" si="9"/>
        <v/>
      </c>
      <c r="AI110" s="231"/>
      <c r="AJ110" s="150"/>
      <c r="AT110" s="31" t="str">
        <f>IFERROR(INDEX('G-6 Hedgerow Data'!$BJ$3:$BJ$15,MATCH(M110,'G-6 Hedgerow Data'!$B$3:$B$15,0)),"")</f>
        <v/>
      </c>
    </row>
    <row r="111" spans="2:46" ht="13.8" x14ac:dyDescent="0.25">
      <c r="B111" s="531" t="str">
        <f>'B-1 Site Hedge Baseline'!AK109</f>
        <v/>
      </c>
      <c r="C111" s="520" t="str">
        <f>IF(B111="","",IF(ISNA(VLOOKUP($B111,'B-1 Site Hedge Baseline'!$B$1:$L$257,3,FALSE)),"",(VLOOKUP($B111,'B-1 Site Hedge Baseline'!$B$1:$L$257,3,FALSE))))</f>
        <v/>
      </c>
      <c r="D111" s="520" t="str">
        <f>IF(B111="","",IF(ISNA(VLOOKUP($B111,'B-1 Site Hedge Baseline'!$B$1:$L$257,4,FALSE)),"",(VLOOKUP($B111,'B-1 Site Hedge Baseline'!$B$1:$L$257,4,FALSE))))</f>
        <v/>
      </c>
      <c r="E111" s="520" t="str">
        <f>IF(B111="","",IF(ISNA(VLOOKUP($B111,'B-1 Site Hedge Baseline'!$B$1:$L$257,5,FALSE)),"",(VLOOKUP($B111,'B-1 Site Hedge Baseline'!$B$1:$L$257,5,FALSE))))</f>
        <v/>
      </c>
      <c r="F111" s="520" t="str">
        <f>IF(B111="","",IF(ISNA(VLOOKUP($B111,'B-1 Site Hedge Baseline'!$B$1:$L$257,6,FALSE)),"",(VLOOKUP($B111,'B-1 Site Hedge Baseline'!$B$1:$L$257,6,FALSE))))</f>
        <v/>
      </c>
      <c r="G111" s="520" t="str">
        <f>IF(B111="","",IF(ISNA(VLOOKUP($B111,'B-1 Site Hedge Baseline'!$B$1:$L$257,7,FALSE)),"",(VLOOKUP($B111,'B-1 Site Hedge Baseline'!$B$1:$L$257,7,FALSE))))</f>
        <v/>
      </c>
      <c r="H111" s="520" t="str">
        <f>IF(B111="","",IF(ISNA(VLOOKUP($B111,'B-1 Site Hedge Baseline'!$B$1:$L$257,8,FALSE)),"",(VLOOKUP($B111,'B-1 Site Hedge Baseline'!$B$1:$L$257,8,FALSE))))</f>
        <v/>
      </c>
      <c r="I111" s="520" t="str">
        <f>IF(B111="","",IF(ISNA(VLOOKUP($B111,'B-1 Site Hedge Baseline'!$B$1:$L$257,10,FALSE)),"",(VLOOKUP($B111,'B-1 Site Hedge Baseline'!$B$1:$L$257,10,FALSE))))</f>
        <v/>
      </c>
      <c r="J111" s="520" t="str">
        <f>IF(B111="","",IF(ISNA(VLOOKUP($B111,'B-1 Site Hedge Baseline'!$B$1:$L$257,11,FALSE)),"",(VLOOKUP($B111,'B-1 Site Hedge Baseline'!$B$1:$L$257,11,FALSE))))</f>
        <v/>
      </c>
      <c r="K111" s="520" t="str">
        <f>IF(B111="","",IF(ISNA(VLOOKUP($B111,'B-1 Site Hedge Baseline'!$B$1:$U$257,13,FALSE)),"",(VLOOKUP($B111,'B-1 Site Hedge Baseline'!$B$1:$U$257,13,FALSE))))</f>
        <v/>
      </c>
      <c r="L111" s="524" t="str">
        <f>IF(B111="","",IF(ISNA(VLOOKUP($B111,'B-1 Site Hedge Baseline'!$B$1:$U$257,12,FALSE)),"",(VLOOKUP($B111,'B-1 Site Hedge Baseline'!$B$1:$U$257,12,FALSE))))</f>
        <v/>
      </c>
      <c r="M111" s="416" t="str">
        <f t="shared" si="15"/>
        <v/>
      </c>
      <c r="N111" s="498" t="str">
        <f>IFERROR(IF(B111="","",INDEX('G-6 Hedgerow Data'!$AN$3:$AZ$15,MATCH(C111,'G-6 Hedgerow Data'!$AM$3:$AM$15,0),MATCH(M111,'G-6 Hedgerow Data'!$AN$2:$AZ$2,0))),"")</f>
        <v/>
      </c>
      <c r="O111" s="499" t="str">
        <f t="shared" si="10"/>
        <v/>
      </c>
      <c r="P111" s="559" t="str">
        <f>IF(B111="","",VLOOKUP(B111,'B-1 Site Hedge Baseline'!$B$10:T356,16,FALSE))</f>
        <v/>
      </c>
      <c r="Q111" s="498" t="str">
        <f>IF(M111="","",VLOOKUP(M111,'G-6 Hedgerow Data'!$B$2:$AG$15,2,FALSE))</f>
        <v/>
      </c>
      <c r="R111" s="499" t="str">
        <f>IF(M111="","",VLOOKUP(M111,'G-6 Hedgerow Data'!$B$2:$AG$15,3,FALSE))</f>
        <v/>
      </c>
      <c r="S111" s="157"/>
      <c r="T111" s="540" t="str">
        <f>IFERROR(VLOOKUP(S111,'G-1 All Habitats'!$Z$2:$AA$9,2,FALSE),"")</f>
        <v/>
      </c>
      <c r="U111" s="154"/>
      <c r="V111" s="520" t="str">
        <f>IF(U111="","",IF(VLOOKUP(U111,'G-3 Multipliers'!$L$3:$N$6,2,FALSE)=0,"Spatial Data Missing ⚠",VLOOKUP(U111,'G-3 Multipliers'!$L$3:$N$6,2,FALSE)))</f>
        <v/>
      </c>
      <c r="W111" s="524" t="str">
        <f>IF(U111="","",IF(VLOOKUP(U111,'G-3 Multipliers'!$L$3:$N$6,3,FALSE)=0,"Spatial Data Missing ⚠",VLOOKUP(U111,'G-3 Multipliers'!$L$3:$N$6,3,FALSE)))</f>
        <v/>
      </c>
      <c r="X111" s="498"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7" t="str">
        <f t="shared" si="11"/>
        <v/>
      </c>
      <c r="AB111" s="521" t="str">
        <f t="shared" si="12"/>
        <v/>
      </c>
      <c r="AC111" s="522" t="str">
        <f t="shared" si="8"/>
        <v/>
      </c>
      <c r="AD111" s="537" t="str">
        <f>IF(M111="","",VLOOKUP(M111,'G-6 Hedgerow Data'!$B$3:$AG$15,31,FALSE))</f>
        <v/>
      </c>
      <c r="AE111" s="507" t="str">
        <f t="shared" si="13"/>
        <v/>
      </c>
      <c r="AF111" s="507" t="str">
        <f t="shared" si="14"/>
        <v/>
      </c>
      <c r="AG111" s="524" t="str">
        <f>IFERROR(IF(O111="","",VLOOKUP(AD111,'G-3 Multipliers'!$P$3:$Q$6,2,FALSE)),"")</f>
        <v/>
      </c>
      <c r="AH111" s="513" t="str">
        <f t="shared" si="9"/>
        <v/>
      </c>
      <c r="AI111" s="231"/>
      <c r="AJ111" s="150"/>
      <c r="AT111" s="31" t="str">
        <f>IFERROR(INDEX('G-6 Hedgerow Data'!$BJ$3:$BJ$15,MATCH(M111,'G-6 Hedgerow Data'!$B$3:$B$15,0)),"")</f>
        <v/>
      </c>
    </row>
    <row r="112" spans="2:46" ht="13.8" x14ac:dyDescent="0.25">
      <c r="B112" s="531" t="str">
        <f>'B-1 Site Hedge Baseline'!AK110</f>
        <v/>
      </c>
      <c r="C112" s="520" t="str">
        <f>IF(B112="","",IF(ISNA(VLOOKUP($B112,'B-1 Site Hedge Baseline'!$B$1:$L$257,3,FALSE)),"",(VLOOKUP($B112,'B-1 Site Hedge Baseline'!$B$1:$L$257,3,FALSE))))</f>
        <v/>
      </c>
      <c r="D112" s="520" t="str">
        <f>IF(B112="","",IF(ISNA(VLOOKUP($B112,'B-1 Site Hedge Baseline'!$B$1:$L$257,4,FALSE)),"",(VLOOKUP($B112,'B-1 Site Hedge Baseline'!$B$1:$L$257,4,FALSE))))</f>
        <v/>
      </c>
      <c r="E112" s="520" t="str">
        <f>IF(B112="","",IF(ISNA(VLOOKUP($B112,'B-1 Site Hedge Baseline'!$B$1:$L$257,5,FALSE)),"",(VLOOKUP($B112,'B-1 Site Hedge Baseline'!$B$1:$L$257,5,FALSE))))</f>
        <v/>
      </c>
      <c r="F112" s="520" t="str">
        <f>IF(B112="","",IF(ISNA(VLOOKUP($B112,'B-1 Site Hedge Baseline'!$B$1:$L$257,6,FALSE)),"",(VLOOKUP($B112,'B-1 Site Hedge Baseline'!$B$1:$L$257,6,FALSE))))</f>
        <v/>
      </c>
      <c r="G112" s="520" t="str">
        <f>IF(B112="","",IF(ISNA(VLOOKUP($B112,'B-1 Site Hedge Baseline'!$B$1:$L$257,7,FALSE)),"",(VLOOKUP($B112,'B-1 Site Hedge Baseline'!$B$1:$L$257,7,FALSE))))</f>
        <v/>
      </c>
      <c r="H112" s="520" t="str">
        <f>IF(B112="","",IF(ISNA(VLOOKUP($B112,'B-1 Site Hedge Baseline'!$B$1:$L$257,8,FALSE)),"",(VLOOKUP($B112,'B-1 Site Hedge Baseline'!$B$1:$L$257,8,FALSE))))</f>
        <v/>
      </c>
      <c r="I112" s="520" t="str">
        <f>IF(B112="","",IF(ISNA(VLOOKUP($B112,'B-1 Site Hedge Baseline'!$B$1:$L$257,10,FALSE)),"",(VLOOKUP($B112,'B-1 Site Hedge Baseline'!$B$1:$L$257,10,FALSE))))</f>
        <v/>
      </c>
      <c r="J112" s="520" t="str">
        <f>IF(B112="","",IF(ISNA(VLOOKUP($B112,'B-1 Site Hedge Baseline'!$B$1:$L$257,11,FALSE)),"",(VLOOKUP($B112,'B-1 Site Hedge Baseline'!$B$1:$L$257,11,FALSE))))</f>
        <v/>
      </c>
      <c r="K112" s="520" t="str">
        <f>IF(B112="","",IF(ISNA(VLOOKUP($B112,'B-1 Site Hedge Baseline'!$B$1:$U$257,13,FALSE)),"",(VLOOKUP($B112,'B-1 Site Hedge Baseline'!$B$1:$U$257,13,FALSE))))</f>
        <v/>
      </c>
      <c r="L112" s="524" t="str">
        <f>IF(B112="","",IF(ISNA(VLOOKUP($B112,'B-1 Site Hedge Baseline'!$B$1:$U$257,12,FALSE)),"",(VLOOKUP($B112,'B-1 Site Hedge Baseline'!$B$1:$U$257,12,FALSE))))</f>
        <v/>
      </c>
      <c r="M112" s="416" t="str">
        <f t="shared" si="15"/>
        <v/>
      </c>
      <c r="N112" s="498" t="str">
        <f>IFERROR(IF(B112="","",INDEX('G-6 Hedgerow Data'!$AN$3:$AZ$15,MATCH(C112,'G-6 Hedgerow Data'!$AM$3:$AM$15,0),MATCH(M112,'G-6 Hedgerow Data'!$AN$2:$AZ$2,0))),"")</f>
        <v/>
      </c>
      <c r="O112" s="499" t="str">
        <f t="shared" si="10"/>
        <v/>
      </c>
      <c r="P112" s="559" t="str">
        <f>IF(B112="","",VLOOKUP(B112,'B-1 Site Hedge Baseline'!$B$10:T357,16,FALSE))</f>
        <v/>
      </c>
      <c r="Q112" s="498" t="str">
        <f>IF(M112="","",VLOOKUP(M112,'G-6 Hedgerow Data'!$B$2:$AG$15,2,FALSE))</f>
        <v/>
      </c>
      <c r="R112" s="499" t="str">
        <f>IF(M112="","",VLOOKUP(M112,'G-6 Hedgerow Data'!$B$2:$AG$15,3,FALSE))</f>
        <v/>
      </c>
      <c r="S112" s="157"/>
      <c r="T112" s="540" t="str">
        <f>IFERROR(VLOOKUP(S112,'G-1 All Habitats'!$Z$2:$AA$9,2,FALSE),"")</f>
        <v/>
      </c>
      <c r="U112" s="154"/>
      <c r="V112" s="520" t="str">
        <f>IF(U112="","",IF(VLOOKUP(U112,'G-3 Multipliers'!$L$3:$N$6,2,FALSE)=0,"Spatial Data Missing ⚠",VLOOKUP(U112,'G-3 Multipliers'!$L$3:$N$6,2,FALSE)))</f>
        <v/>
      </c>
      <c r="W112" s="524" t="str">
        <f>IF(U112="","",IF(VLOOKUP(U112,'G-3 Multipliers'!$L$3:$N$6,3,FALSE)=0,"Spatial Data Missing ⚠",VLOOKUP(U112,'G-3 Multipliers'!$L$3:$N$6,3,FALSE)))</f>
        <v/>
      </c>
      <c r="X112" s="498"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7" t="str">
        <f t="shared" si="11"/>
        <v/>
      </c>
      <c r="AB112" s="521" t="str">
        <f t="shared" si="12"/>
        <v/>
      </c>
      <c r="AC112" s="522" t="str">
        <f t="shared" si="8"/>
        <v/>
      </c>
      <c r="AD112" s="537" t="str">
        <f>IF(M112="","",VLOOKUP(M112,'G-6 Hedgerow Data'!$B$3:$AG$15,31,FALSE))</f>
        <v/>
      </c>
      <c r="AE112" s="507" t="str">
        <f t="shared" si="13"/>
        <v/>
      </c>
      <c r="AF112" s="507" t="str">
        <f t="shared" si="14"/>
        <v/>
      </c>
      <c r="AG112" s="524" t="str">
        <f>IFERROR(IF(O112="","",VLOOKUP(AD112,'G-3 Multipliers'!$P$3:$Q$6,2,FALSE)),"")</f>
        <v/>
      </c>
      <c r="AH112" s="513" t="str">
        <f t="shared" si="9"/>
        <v/>
      </c>
      <c r="AI112" s="231"/>
      <c r="AJ112" s="150"/>
      <c r="AT112" s="31" t="str">
        <f>IFERROR(INDEX('G-6 Hedgerow Data'!$BJ$3:$BJ$15,MATCH(M112,'G-6 Hedgerow Data'!$B$3:$B$15,0)),"")</f>
        <v/>
      </c>
    </row>
    <row r="113" spans="2:46" ht="13.8" x14ac:dyDescent="0.25">
      <c r="B113" s="531" t="str">
        <f>'B-1 Site Hedge Baseline'!AK111</f>
        <v/>
      </c>
      <c r="C113" s="520" t="str">
        <f>IF(B113="","",IF(ISNA(VLOOKUP($B113,'B-1 Site Hedge Baseline'!$B$1:$L$257,3,FALSE)),"",(VLOOKUP($B113,'B-1 Site Hedge Baseline'!$B$1:$L$257,3,FALSE))))</f>
        <v/>
      </c>
      <c r="D113" s="520" t="str">
        <f>IF(B113="","",IF(ISNA(VLOOKUP($B113,'B-1 Site Hedge Baseline'!$B$1:$L$257,4,FALSE)),"",(VLOOKUP($B113,'B-1 Site Hedge Baseline'!$B$1:$L$257,4,FALSE))))</f>
        <v/>
      </c>
      <c r="E113" s="520" t="str">
        <f>IF(B113="","",IF(ISNA(VLOOKUP($B113,'B-1 Site Hedge Baseline'!$B$1:$L$257,5,FALSE)),"",(VLOOKUP($B113,'B-1 Site Hedge Baseline'!$B$1:$L$257,5,FALSE))))</f>
        <v/>
      </c>
      <c r="F113" s="520" t="str">
        <f>IF(B113="","",IF(ISNA(VLOOKUP($B113,'B-1 Site Hedge Baseline'!$B$1:$L$257,6,FALSE)),"",(VLOOKUP($B113,'B-1 Site Hedge Baseline'!$B$1:$L$257,6,FALSE))))</f>
        <v/>
      </c>
      <c r="G113" s="520" t="str">
        <f>IF(B113="","",IF(ISNA(VLOOKUP($B113,'B-1 Site Hedge Baseline'!$B$1:$L$257,7,FALSE)),"",(VLOOKUP($B113,'B-1 Site Hedge Baseline'!$B$1:$L$257,7,FALSE))))</f>
        <v/>
      </c>
      <c r="H113" s="520" t="str">
        <f>IF(B113="","",IF(ISNA(VLOOKUP($B113,'B-1 Site Hedge Baseline'!$B$1:$L$257,8,FALSE)),"",(VLOOKUP($B113,'B-1 Site Hedge Baseline'!$B$1:$L$257,8,FALSE))))</f>
        <v/>
      </c>
      <c r="I113" s="520" t="str">
        <f>IF(B113="","",IF(ISNA(VLOOKUP($B113,'B-1 Site Hedge Baseline'!$B$1:$L$257,10,FALSE)),"",(VLOOKUP($B113,'B-1 Site Hedge Baseline'!$B$1:$L$257,10,FALSE))))</f>
        <v/>
      </c>
      <c r="J113" s="520" t="str">
        <f>IF(B113="","",IF(ISNA(VLOOKUP($B113,'B-1 Site Hedge Baseline'!$B$1:$L$257,11,FALSE)),"",(VLOOKUP($B113,'B-1 Site Hedge Baseline'!$B$1:$L$257,11,FALSE))))</f>
        <v/>
      </c>
      <c r="K113" s="520" t="str">
        <f>IF(B113="","",IF(ISNA(VLOOKUP($B113,'B-1 Site Hedge Baseline'!$B$1:$U$257,13,FALSE)),"",(VLOOKUP($B113,'B-1 Site Hedge Baseline'!$B$1:$U$257,13,FALSE))))</f>
        <v/>
      </c>
      <c r="L113" s="524" t="str">
        <f>IF(B113="","",IF(ISNA(VLOOKUP($B113,'B-1 Site Hedge Baseline'!$B$1:$U$257,12,FALSE)),"",(VLOOKUP($B113,'B-1 Site Hedge Baseline'!$B$1:$U$257,12,FALSE))))</f>
        <v/>
      </c>
      <c r="M113" s="416" t="str">
        <f t="shared" si="15"/>
        <v/>
      </c>
      <c r="N113" s="498" t="str">
        <f>IFERROR(IF(B113="","",INDEX('G-6 Hedgerow Data'!$AN$3:$AZ$15,MATCH(C113,'G-6 Hedgerow Data'!$AM$3:$AM$15,0),MATCH(M113,'G-6 Hedgerow Data'!$AN$2:$AZ$2,0))),"")</f>
        <v/>
      </c>
      <c r="O113" s="499" t="str">
        <f t="shared" si="10"/>
        <v/>
      </c>
      <c r="P113" s="559" t="str">
        <f>IF(B113="","",VLOOKUP(B113,'B-1 Site Hedge Baseline'!$B$10:T358,16,FALSE))</f>
        <v/>
      </c>
      <c r="Q113" s="498" t="str">
        <f>IF(M113="","",VLOOKUP(M113,'G-6 Hedgerow Data'!$B$2:$AG$15,2,FALSE))</f>
        <v/>
      </c>
      <c r="R113" s="499" t="str">
        <f>IF(M113="","",VLOOKUP(M113,'G-6 Hedgerow Data'!$B$2:$AG$15,3,FALSE))</f>
        <v/>
      </c>
      <c r="S113" s="157"/>
      <c r="T113" s="540" t="str">
        <f>IFERROR(VLOOKUP(S113,'G-1 All Habitats'!$Z$2:$AA$9,2,FALSE),"")</f>
        <v/>
      </c>
      <c r="U113" s="154"/>
      <c r="V113" s="520" t="str">
        <f>IF(U113="","",IF(VLOOKUP(U113,'G-3 Multipliers'!$L$3:$N$6,2,FALSE)=0,"Spatial Data Missing ⚠",VLOOKUP(U113,'G-3 Multipliers'!$L$3:$N$6,2,FALSE)))</f>
        <v/>
      </c>
      <c r="W113" s="524" t="str">
        <f>IF(U113="","",IF(VLOOKUP(U113,'G-3 Multipliers'!$L$3:$N$6,3,FALSE)=0,"Spatial Data Missing ⚠",VLOOKUP(U113,'G-3 Multipliers'!$L$3:$N$6,3,FALSE)))</f>
        <v/>
      </c>
      <c r="X113" s="498"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7" t="str">
        <f t="shared" si="11"/>
        <v/>
      </c>
      <c r="AB113" s="521" t="str">
        <f t="shared" si="12"/>
        <v/>
      </c>
      <c r="AC113" s="522" t="str">
        <f t="shared" si="8"/>
        <v/>
      </c>
      <c r="AD113" s="537" t="str">
        <f>IF(M113="","",VLOOKUP(M113,'G-6 Hedgerow Data'!$B$3:$AG$15,31,FALSE))</f>
        <v/>
      </c>
      <c r="AE113" s="507" t="str">
        <f t="shared" si="13"/>
        <v/>
      </c>
      <c r="AF113" s="507" t="str">
        <f t="shared" si="14"/>
        <v/>
      </c>
      <c r="AG113" s="524" t="str">
        <f>IFERROR(IF(O113="","",VLOOKUP(AD113,'G-3 Multipliers'!$P$3:$Q$6,2,FALSE)),"")</f>
        <v/>
      </c>
      <c r="AH113" s="513" t="str">
        <f t="shared" si="9"/>
        <v/>
      </c>
      <c r="AI113" s="231"/>
      <c r="AJ113" s="150"/>
      <c r="AT113" s="31" t="str">
        <f>IFERROR(INDEX('G-6 Hedgerow Data'!$BJ$3:$BJ$15,MATCH(M113,'G-6 Hedgerow Data'!$B$3:$B$15,0)),"")</f>
        <v/>
      </c>
    </row>
    <row r="114" spans="2:46" ht="13.8" x14ac:dyDescent="0.25">
      <c r="B114" s="531" t="str">
        <f>'B-1 Site Hedge Baseline'!AK112</f>
        <v/>
      </c>
      <c r="C114" s="520" t="str">
        <f>IF(B114="","",IF(ISNA(VLOOKUP($B114,'B-1 Site Hedge Baseline'!$B$1:$L$257,3,FALSE)),"",(VLOOKUP($B114,'B-1 Site Hedge Baseline'!$B$1:$L$257,3,FALSE))))</f>
        <v/>
      </c>
      <c r="D114" s="520" t="str">
        <f>IF(B114="","",IF(ISNA(VLOOKUP($B114,'B-1 Site Hedge Baseline'!$B$1:$L$257,4,FALSE)),"",(VLOOKUP($B114,'B-1 Site Hedge Baseline'!$B$1:$L$257,4,FALSE))))</f>
        <v/>
      </c>
      <c r="E114" s="520" t="str">
        <f>IF(B114="","",IF(ISNA(VLOOKUP($B114,'B-1 Site Hedge Baseline'!$B$1:$L$257,5,FALSE)),"",(VLOOKUP($B114,'B-1 Site Hedge Baseline'!$B$1:$L$257,5,FALSE))))</f>
        <v/>
      </c>
      <c r="F114" s="520" t="str">
        <f>IF(B114="","",IF(ISNA(VLOOKUP($B114,'B-1 Site Hedge Baseline'!$B$1:$L$257,6,FALSE)),"",(VLOOKUP($B114,'B-1 Site Hedge Baseline'!$B$1:$L$257,6,FALSE))))</f>
        <v/>
      </c>
      <c r="G114" s="520" t="str">
        <f>IF(B114="","",IF(ISNA(VLOOKUP($B114,'B-1 Site Hedge Baseline'!$B$1:$L$257,7,FALSE)),"",(VLOOKUP($B114,'B-1 Site Hedge Baseline'!$B$1:$L$257,7,FALSE))))</f>
        <v/>
      </c>
      <c r="H114" s="520" t="str">
        <f>IF(B114="","",IF(ISNA(VLOOKUP($B114,'B-1 Site Hedge Baseline'!$B$1:$L$257,8,FALSE)),"",(VLOOKUP($B114,'B-1 Site Hedge Baseline'!$B$1:$L$257,8,FALSE))))</f>
        <v/>
      </c>
      <c r="I114" s="520" t="str">
        <f>IF(B114="","",IF(ISNA(VLOOKUP($B114,'B-1 Site Hedge Baseline'!$B$1:$L$257,10,FALSE)),"",(VLOOKUP($B114,'B-1 Site Hedge Baseline'!$B$1:$L$257,10,FALSE))))</f>
        <v/>
      </c>
      <c r="J114" s="520" t="str">
        <f>IF(B114="","",IF(ISNA(VLOOKUP($B114,'B-1 Site Hedge Baseline'!$B$1:$L$257,11,FALSE)),"",(VLOOKUP($B114,'B-1 Site Hedge Baseline'!$B$1:$L$257,11,FALSE))))</f>
        <v/>
      </c>
      <c r="K114" s="520" t="str">
        <f>IF(B114="","",IF(ISNA(VLOOKUP($B114,'B-1 Site Hedge Baseline'!$B$1:$U$257,13,FALSE)),"",(VLOOKUP($B114,'B-1 Site Hedge Baseline'!$B$1:$U$257,13,FALSE))))</f>
        <v/>
      </c>
      <c r="L114" s="524" t="str">
        <f>IF(B114="","",IF(ISNA(VLOOKUP($B114,'B-1 Site Hedge Baseline'!$B$1:$U$257,12,FALSE)),"",(VLOOKUP($B114,'B-1 Site Hedge Baseline'!$B$1:$U$257,12,FALSE))))</f>
        <v/>
      </c>
      <c r="M114" s="416" t="str">
        <f t="shared" si="15"/>
        <v/>
      </c>
      <c r="N114" s="498" t="str">
        <f>IFERROR(IF(B114="","",INDEX('G-6 Hedgerow Data'!$AN$3:$AZ$15,MATCH(C114,'G-6 Hedgerow Data'!$AM$3:$AM$15,0),MATCH(M114,'G-6 Hedgerow Data'!$AN$2:$AZ$2,0))),"")</f>
        <v/>
      </c>
      <c r="O114" s="499" t="str">
        <f t="shared" si="10"/>
        <v/>
      </c>
      <c r="P114" s="559" t="str">
        <f>IF(B114="","",VLOOKUP(B114,'B-1 Site Hedge Baseline'!$B$10:T359,16,FALSE))</f>
        <v/>
      </c>
      <c r="Q114" s="498" t="str">
        <f>IF(M114="","",VLOOKUP(M114,'G-6 Hedgerow Data'!$B$2:$AG$15,2,FALSE))</f>
        <v/>
      </c>
      <c r="R114" s="499" t="str">
        <f>IF(M114="","",VLOOKUP(M114,'G-6 Hedgerow Data'!$B$2:$AG$15,3,FALSE))</f>
        <v/>
      </c>
      <c r="S114" s="157"/>
      <c r="T114" s="540" t="str">
        <f>IFERROR(VLOOKUP(S114,'G-1 All Habitats'!$Z$2:$AA$9,2,FALSE),"")</f>
        <v/>
      </c>
      <c r="U114" s="154"/>
      <c r="V114" s="520" t="str">
        <f>IF(U114="","",IF(VLOOKUP(U114,'G-3 Multipliers'!$L$3:$N$6,2,FALSE)=0,"Spatial Data Missing ⚠",VLOOKUP(U114,'G-3 Multipliers'!$L$3:$N$6,2,FALSE)))</f>
        <v/>
      </c>
      <c r="W114" s="524" t="str">
        <f>IF(U114="","",IF(VLOOKUP(U114,'G-3 Multipliers'!$L$3:$N$6,3,FALSE)=0,"Spatial Data Missing ⚠",VLOOKUP(U114,'G-3 Multipliers'!$L$3:$N$6,3,FALSE)))</f>
        <v/>
      </c>
      <c r="X114" s="498"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7" t="str">
        <f t="shared" si="11"/>
        <v/>
      </c>
      <c r="AB114" s="521" t="str">
        <f t="shared" si="12"/>
        <v/>
      </c>
      <c r="AC114" s="522" t="str">
        <f t="shared" si="8"/>
        <v/>
      </c>
      <c r="AD114" s="537" t="str">
        <f>IF(M114="","",VLOOKUP(M114,'G-6 Hedgerow Data'!$B$3:$AG$15,31,FALSE))</f>
        <v/>
      </c>
      <c r="AE114" s="507" t="str">
        <f t="shared" si="13"/>
        <v/>
      </c>
      <c r="AF114" s="507" t="str">
        <f t="shared" si="14"/>
        <v/>
      </c>
      <c r="AG114" s="524" t="str">
        <f>IFERROR(IF(O114="","",VLOOKUP(AD114,'G-3 Multipliers'!$P$3:$Q$6,2,FALSE)),"")</f>
        <v/>
      </c>
      <c r="AH114" s="513" t="str">
        <f t="shared" si="9"/>
        <v/>
      </c>
      <c r="AI114" s="231"/>
      <c r="AJ114" s="150"/>
      <c r="AT114" s="31" t="str">
        <f>IFERROR(INDEX('G-6 Hedgerow Data'!$BJ$3:$BJ$15,MATCH(M114,'G-6 Hedgerow Data'!$B$3:$B$15,0)),"")</f>
        <v/>
      </c>
    </row>
    <row r="115" spans="2:46" ht="13.8" x14ac:dyDescent="0.25">
      <c r="B115" s="531" t="str">
        <f>'B-1 Site Hedge Baseline'!AK113</f>
        <v/>
      </c>
      <c r="C115" s="520" t="str">
        <f>IF(B115="","",IF(ISNA(VLOOKUP($B115,'B-1 Site Hedge Baseline'!$B$1:$L$257,3,FALSE)),"",(VLOOKUP($B115,'B-1 Site Hedge Baseline'!$B$1:$L$257,3,FALSE))))</f>
        <v/>
      </c>
      <c r="D115" s="520" t="str">
        <f>IF(B115="","",IF(ISNA(VLOOKUP($B115,'B-1 Site Hedge Baseline'!$B$1:$L$257,4,FALSE)),"",(VLOOKUP($B115,'B-1 Site Hedge Baseline'!$B$1:$L$257,4,FALSE))))</f>
        <v/>
      </c>
      <c r="E115" s="520" t="str">
        <f>IF(B115="","",IF(ISNA(VLOOKUP($B115,'B-1 Site Hedge Baseline'!$B$1:$L$257,5,FALSE)),"",(VLOOKUP($B115,'B-1 Site Hedge Baseline'!$B$1:$L$257,5,FALSE))))</f>
        <v/>
      </c>
      <c r="F115" s="520" t="str">
        <f>IF(B115="","",IF(ISNA(VLOOKUP($B115,'B-1 Site Hedge Baseline'!$B$1:$L$257,6,FALSE)),"",(VLOOKUP($B115,'B-1 Site Hedge Baseline'!$B$1:$L$257,6,FALSE))))</f>
        <v/>
      </c>
      <c r="G115" s="520" t="str">
        <f>IF(B115="","",IF(ISNA(VLOOKUP($B115,'B-1 Site Hedge Baseline'!$B$1:$L$257,7,FALSE)),"",(VLOOKUP($B115,'B-1 Site Hedge Baseline'!$B$1:$L$257,7,FALSE))))</f>
        <v/>
      </c>
      <c r="H115" s="520" t="str">
        <f>IF(B115="","",IF(ISNA(VLOOKUP($B115,'B-1 Site Hedge Baseline'!$B$1:$L$257,8,FALSE)),"",(VLOOKUP($B115,'B-1 Site Hedge Baseline'!$B$1:$L$257,8,FALSE))))</f>
        <v/>
      </c>
      <c r="I115" s="520" t="str">
        <f>IF(B115="","",IF(ISNA(VLOOKUP($B115,'B-1 Site Hedge Baseline'!$B$1:$L$257,10,FALSE)),"",(VLOOKUP($B115,'B-1 Site Hedge Baseline'!$B$1:$L$257,10,FALSE))))</f>
        <v/>
      </c>
      <c r="J115" s="520" t="str">
        <f>IF(B115="","",IF(ISNA(VLOOKUP($B115,'B-1 Site Hedge Baseline'!$B$1:$L$257,11,FALSE)),"",(VLOOKUP($B115,'B-1 Site Hedge Baseline'!$B$1:$L$257,11,FALSE))))</f>
        <v/>
      </c>
      <c r="K115" s="520" t="str">
        <f>IF(B115="","",IF(ISNA(VLOOKUP($B115,'B-1 Site Hedge Baseline'!$B$1:$U$257,13,FALSE)),"",(VLOOKUP($B115,'B-1 Site Hedge Baseline'!$B$1:$U$257,13,FALSE))))</f>
        <v/>
      </c>
      <c r="L115" s="524" t="str">
        <f>IF(B115="","",IF(ISNA(VLOOKUP($B115,'B-1 Site Hedge Baseline'!$B$1:$U$257,12,FALSE)),"",(VLOOKUP($B115,'B-1 Site Hedge Baseline'!$B$1:$U$257,12,FALSE))))</f>
        <v/>
      </c>
      <c r="M115" s="416" t="str">
        <f t="shared" si="15"/>
        <v/>
      </c>
      <c r="N115" s="498" t="str">
        <f>IFERROR(IF(B115="","",INDEX('G-6 Hedgerow Data'!$AN$3:$AZ$15,MATCH(C115,'G-6 Hedgerow Data'!$AM$3:$AM$15,0),MATCH(M115,'G-6 Hedgerow Data'!$AN$2:$AZ$2,0))),"")</f>
        <v/>
      </c>
      <c r="O115" s="499" t="str">
        <f t="shared" si="10"/>
        <v/>
      </c>
      <c r="P115" s="559" t="str">
        <f>IF(B115="","",VLOOKUP(B115,'B-1 Site Hedge Baseline'!$B$10:T360,16,FALSE))</f>
        <v/>
      </c>
      <c r="Q115" s="498" t="str">
        <f>IF(M115="","",VLOOKUP(M115,'G-6 Hedgerow Data'!$B$2:$AG$15,2,FALSE))</f>
        <v/>
      </c>
      <c r="R115" s="499" t="str">
        <f>IF(M115="","",VLOOKUP(M115,'G-6 Hedgerow Data'!$B$2:$AG$15,3,FALSE))</f>
        <v/>
      </c>
      <c r="S115" s="157"/>
      <c r="T115" s="540" t="str">
        <f>IFERROR(VLOOKUP(S115,'G-1 All Habitats'!$Z$2:$AA$9,2,FALSE),"")</f>
        <v/>
      </c>
      <c r="U115" s="154"/>
      <c r="V115" s="520" t="str">
        <f>IF(U115="","",IF(VLOOKUP(U115,'G-3 Multipliers'!$L$3:$N$6,2,FALSE)=0,"Spatial Data Missing ⚠",VLOOKUP(U115,'G-3 Multipliers'!$L$3:$N$6,2,FALSE)))</f>
        <v/>
      </c>
      <c r="W115" s="524" t="str">
        <f>IF(U115="","",IF(VLOOKUP(U115,'G-3 Multipliers'!$L$3:$N$6,3,FALSE)=0,"Spatial Data Missing ⚠",VLOOKUP(U115,'G-3 Multipliers'!$L$3:$N$6,3,FALSE)))</f>
        <v/>
      </c>
      <c r="X115" s="498"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7" t="str">
        <f t="shared" si="11"/>
        <v/>
      </c>
      <c r="AB115" s="521" t="str">
        <f t="shared" si="12"/>
        <v/>
      </c>
      <c r="AC115" s="522" t="str">
        <f t="shared" si="8"/>
        <v/>
      </c>
      <c r="AD115" s="537" t="str">
        <f>IF(M115="","",VLOOKUP(M115,'G-6 Hedgerow Data'!$B$3:$AG$15,31,FALSE))</f>
        <v/>
      </c>
      <c r="AE115" s="507" t="str">
        <f t="shared" si="13"/>
        <v/>
      </c>
      <c r="AF115" s="507" t="str">
        <f t="shared" si="14"/>
        <v/>
      </c>
      <c r="AG115" s="524" t="str">
        <f>IFERROR(IF(O115="","",VLOOKUP(AD115,'G-3 Multipliers'!$P$3:$Q$6,2,FALSE)),"")</f>
        <v/>
      </c>
      <c r="AH115" s="513" t="str">
        <f t="shared" si="9"/>
        <v/>
      </c>
      <c r="AI115" s="231"/>
      <c r="AJ115" s="150"/>
      <c r="AT115" s="31" t="str">
        <f>IFERROR(INDEX('G-6 Hedgerow Data'!$BJ$3:$BJ$15,MATCH(M115,'G-6 Hedgerow Data'!$B$3:$B$15,0)),"")</f>
        <v/>
      </c>
    </row>
    <row r="116" spans="2:46" ht="13.8" x14ac:dyDescent="0.25">
      <c r="B116" s="531" t="str">
        <f>'B-1 Site Hedge Baseline'!AK114</f>
        <v/>
      </c>
      <c r="C116" s="520" t="str">
        <f>IF(B116="","",IF(ISNA(VLOOKUP($B116,'B-1 Site Hedge Baseline'!$B$1:$L$257,3,FALSE)),"",(VLOOKUP($B116,'B-1 Site Hedge Baseline'!$B$1:$L$257,3,FALSE))))</f>
        <v/>
      </c>
      <c r="D116" s="520" t="str">
        <f>IF(B116="","",IF(ISNA(VLOOKUP($B116,'B-1 Site Hedge Baseline'!$B$1:$L$257,4,FALSE)),"",(VLOOKUP($B116,'B-1 Site Hedge Baseline'!$B$1:$L$257,4,FALSE))))</f>
        <v/>
      </c>
      <c r="E116" s="520" t="str">
        <f>IF(B116="","",IF(ISNA(VLOOKUP($B116,'B-1 Site Hedge Baseline'!$B$1:$L$257,5,FALSE)),"",(VLOOKUP($B116,'B-1 Site Hedge Baseline'!$B$1:$L$257,5,FALSE))))</f>
        <v/>
      </c>
      <c r="F116" s="520" t="str">
        <f>IF(B116="","",IF(ISNA(VLOOKUP($B116,'B-1 Site Hedge Baseline'!$B$1:$L$257,6,FALSE)),"",(VLOOKUP($B116,'B-1 Site Hedge Baseline'!$B$1:$L$257,6,FALSE))))</f>
        <v/>
      </c>
      <c r="G116" s="520" t="str">
        <f>IF(B116="","",IF(ISNA(VLOOKUP($B116,'B-1 Site Hedge Baseline'!$B$1:$L$257,7,FALSE)),"",(VLOOKUP($B116,'B-1 Site Hedge Baseline'!$B$1:$L$257,7,FALSE))))</f>
        <v/>
      </c>
      <c r="H116" s="520" t="str">
        <f>IF(B116="","",IF(ISNA(VLOOKUP($B116,'B-1 Site Hedge Baseline'!$B$1:$L$257,8,FALSE)),"",(VLOOKUP($B116,'B-1 Site Hedge Baseline'!$B$1:$L$257,8,FALSE))))</f>
        <v/>
      </c>
      <c r="I116" s="520" t="str">
        <f>IF(B116="","",IF(ISNA(VLOOKUP($B116,'B-1 Site Hedge Baseline'!$B$1:$L$257,10,FALSE)),"",(VLOOKUP($B116,'B-1 Site Hedge Baseline'!$B$1:$L$257,10,FALSE))))</f>
        <v/>
      </c>
      <c r="J116" s="520" t="str">
        <f>IF(B116="","",IF(ISNA(VLOOKUP($B116,'B-1 Site Hedge Baseline'!$B$1:$L$257,11,FALSE)),"",(VLOOKUP($B116,'B-1 Site Hedge Baseline'!$B$1:$L$257,11,FALSE))))</f>
        <v/>
      </c>
      <c r="K116" s="520" t="str">
        <f>IF(B116="","",IF(ISNA(VLOOKUP($B116,'B-1 Site Hedge Baseline'!$B$1:$U$257,13,FALSE)),"",(VLOOKUP($B116,'B-1 Site Hedge Baseline'!$B$1:$U$257,13,FALSE))))</f>
        <v/>
      </c>
      <c r="L116" s="524" t="str">
        <f>IF(B116="","",IF(ISNA(VLOOKUP($B116,'B-1 Site Hedge Baseline'!$B$1:$U$257,12,FALSE)),"",(VLOOKUP($B116,'B-1 Site Hedge Baseline'!$B$1:$U$257,12,FALSE))))</f>
        <v/>
      </c>
      <c r="M116" s="416" t="str">
        <f t="shared" si="15"/>
        <v/>
      </c>
      <c r="N116" s="498" t="str">
        <f>IFERROR(IF(B116="","",INDEX('G-6 Hedgerow Data'!$AN$3:$AZ$15,MATCH(C116,'G-6 Hedgerow Data'!$AM$3:$AM$15,0),MATCH(M116,'G-6 Hedgerow Data'!$AN$2:$AZ$2,0))),"")</f>
        <v/>
      </c>
      <c r="O116" s="499" t="str">
        <f t="shared" si="10"/>
        <v/>
      </c>
      <c r="P116" s="559" t="str">
        <f>IF(B116="","",VLOOKUP(B116,'B-1 Site Hedge Baseline'!$B$10:T361,16,FALSE))</f>
        <v/>
      </c>
      <c r="Q116" s="498" t="str">
        <f>IF(M116="","",VLOOKUP(M116,'G-6 Hedgerow Data'!$B$2:$AG$15,2,FALSE))</f>
        <v/>
      </c>
      <c r="R116" s="499" t="str">
        <f>IF(M116="","",VLOOKUP(M116,'G-6 Hedgerow Data'!$B$2:$AG$15,3,FALSE))</f>
        <v/>
      </c>
      <c r="S116" s="157"/>
      <c r="T116" s="540" t="str">
        <f>IFERROR(VLOOKUP(S116,'G-1 All Habitats'!$Z$2:$AA$9,2,FALSE),"")</f>
        <v/>
      </c>
      <c r="U116" s="154"/>
      <c r="V116" s="520" t="str">
        <f>IF(U116="","",IF(VLOOKUP(U116,'G-3 Multipliers'!$L$3:$N$6,2,FALSE)=0,"Spatial Data Missing ⚠",VLOOKUP(U116,'G-3 Multipliers'!$L$3:$N$6,2,FALSE)))</f>
        <v/>
      </c>
      <c r="W116" s="524" t="str">
        <f>IF(U116="","",IF(VLOOKUP(U116,'G-3 Multipliers'!$L$3:$N$6,3,FALSE)=0,"Spatial Data Missing ⚠",VLOOKUP(U116,'G-3 Multipliers'!$L$3:$N$6,3,FALSE)))</f>
        <v/>
      </c>
      <c r="X116" s="498"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7" t="str">
        <f t="shared" si="11"/>
        <v/>
      </c>
      <c r="AB116" s="521" t="str">
        <f t="shared" si="12"/>
        <v/>
      </c>
      <c r="AC116" s="522" t="str">
        <f t="shared" si="8"/>
        <v/>
      </c>
      <c r="AD116" s="537" t="str">
        <f>IF(M116="","",VLOOKUP(M116,'G-6 Hedgerow Data'!$B$3:$AG$15,31,FALSE))</f>
        <v/>
      </c>
      <c r="AE116" s="507" t="str">
        <f t="shared" si="13"/>
        <v/>
      </c>
      <c r="AF116" s="507" t="str">
        <f t="shared" si="14"/>
        <v/>
      </c>
      <c r="AG116" s="524" t="str">
        <f>IFERROR(IF(O116="","",VLOOKUP(AD116,'G-3 Multipliers'!$P$3:$Q$6,2,FALSE)),"")</f>
        <v/>
      </c>
      <c r="AH116" s="513" t="str">
        <f t="shared" si="9"/>
        <v/>
      </c>
      <c r="AI116" s="231"/>
      <c r="AJ116" s="150"/>
      <c r="AT116" s="31" t="str">
        <f>IFERROR(INDEX('G-6 Hedgerow Data'!$BJ$3:$BJ$15,MATCH(M116,'G-6 Hedgerow Data'!$B$3:$B$15,0)),"")</f>
        <v/>
      </c>
    </row>
    <row r="117" spans="2:46" ht="13.8" x14ac:dyDescent="0.25">
      <c r="B117" s="531" t="str">
        <f>'B-1 Site Hedge Baseline'!AK115</f>
        <v/>
      </c>
      <c r="C117" s="520" t="str">
        <f>IF(B117="","",IF(ISNA(VLOOKUP($B117,'B-1 Site Hedge Baseline'!$B$1:$L$257,3,FALSE)),"",(VLOOKUP($B117,'B-1 Site Hedge Baseline'!$B$1:$L$257,3,FALSE))))</f>
        <v/>
      </c>
      <c r="D117" s="520" t="str">
        <f>IF(B117="","",IF(ISNA(VLOOKUP($B117,'B-1 Site Hedge Baseline'!$B$1:$L$257,4,FALSE)),"",(VLOOKUP($B117,'B-1 Site Hedge Baseline'!$B$1:$L$257,4,FALSE))))</f>
        <v/>
      </c>
      <c r="E117" s="520" t="str">
        <f>IF(B117="","",IF(ISNA(VLOOKUP($B117,'B-1 Site Hedge Baseline'!$B$1:$L$257,5,FALSE)),"",(VLOOKUP($B117,'B-1 Site Hedge Baseline'!$B$1:$L$257,5,FALSE))))</f>
        <v/>
      </c>
      <c r="F117" s="520" t="str">
        <f>IF(B117="","",IF(ISNA(VLOOKUP($B117,'B-1 Site Hedge Baseline'!$B$1:$L$257,6,FALSE)),"",(VLOOKUP($B117,'B-1 Site Hedge Baseline'!$B$1:$L$257,6,FALSE))))</f>
        <v/>
      </c>
      <c r="G117" s="520" t="str">
        <f>IF(B117="","",IF(ISNA(VLOOKUP($B117,'B-1 Site Hedge Baseline'!$B$1:$L$257,7,FALSE)),"",(VLOOKUP($B117,'B-1 Site Hedge Baseline'!$B$1:$L$257,7,FALSE))))</f>
        <v/>
      </c>
      <c r="H117" s="520" t="str">
        <f>IF(B117="","",IF(ISNA(VLOOKUP($B117,'B-1 Site Hedge Baseline'!$B$1:$L$257,8,FALSE)),"",(VLOOKUP($B117,'B-1 Site Hedge Baseline'!$B$1:$L$257,8,FALSE))))</f>
        <v/>
      </c>
      <c r="I117" s="520" t="str">
        <f>IF(B117="","",IF(ISNA(VLOOKUP($B117,'B-1 Site Hedge Baseline'!$B$1:$L$257,10,FALSE)),"",(VLOOKUP($B117,'B-1 Site Hedge Baseline'!$B$1:$L$257,10,FALSE))))</f>
        <v/>
      </c>
      <c r="J117" s="520" t="str">
        <f>IF(B117="","",IF(ISNA(VLOOKUP($B117,'B-1 Site Hedge Baseline'!$B$1:$L$257,11,FALSE)),"",(VLOOKUP($B117,'B-1 Site Hedge Baseline'!$B$1:$L$257,11,FALSE))))</f>
        <v/>
      </c>
      <c r="K117" s="520" t="str">
        <f>IF(B117="","",IF(ISNA(VLOOKUP($B117,'B-1 Site Hedge Baseline'!$B$1:$U$257,13,FALSE)),"",(VLOOKUP($B117,'B-1 Site Hedge Baseline'!$B$1:$U$257,13,FALSE))))</f>
        <v/>
      </c>
      <c r="L117" s="524" t="str">
        <f>IF(B117="","",IF(ISNA(VLOOKUP($B117,'B-1 Site Hedge Baseline'!$B$1:$U$257,12,FALSE)),"",(VLOOKUP($B117,'B-1 Site Hedge Baseline'!$B$1:$U$257,12,FALSE))))</f>
        <v/>
      </c>
      <c r="M117" s="416" t="str">
        <f t="shared" si="15"/>
        <v/>
      </c>
      <c r="N117" s="498" t="str">
        <f>IFERROR(IF(B117="","",INDEX('G-6 Hedgerow Data'!$AN$3:$AZ$15,MATCH(C117,'G-6 Hedgerow Data'!$AM$3:$AM$15,0),MATCH(M117,'G-6 Hedgerow Data'!$AN$2:$AZ$2,0))),"")</f>
        <v/>
      </c>
      <c r="O117" s="499" t="str">
        <f t="shared" si="10"/>
        <v/>
      </c>
      <c r="P117" s="559" t="str">
        <f>IF(B117="","",VLOOKUP(B117,'B-1 Site Hedge Baseline'!$B$10:T362,16,FALSE))</f>
        <v/>
      </c>
      <c r="Q117" s="498" t="str">
        <f>IF(M117="","",VLOOKUP(M117,'G-6 Hedgerow Data'!$B$2:$AG$15,2,FALSE))</f>
        <v/>
      </c>
      <c r="R117" s="499" t="str">
        <f>IF(M117="","",VLOOKUP(M117,'G-6 Hedgerow Data'!$B$2:$AG$15,3,FALSE))</f>
        <v/>
      </c>
      <c r="S117" s="157"/>
      <c r="T117" s="540" t="str">
        <f>IFERROR(VLOOKUP(S117,'G-1 All Habitats'!$Z$2:$AA$9,2,FALSE),"")</f>
        <v/>
      </c>
      <c r="U117" s="154"/>
      <c r="V117" s="520" t="str">
        <f>IF(U117="","",IF(VLOOKUP(U117,'G-3 Multipliers'!$L$3:$N$6,2,FALSE)=0,"Spatial Data Missing ⚠",VLOOKUP(U117,'G-3 Multipliers'!$L$3:$N$6,2,FALSE)))</f>
        <v/>
      </c>
      <c r="W117" s="524" t="str">
        <f>IF(U117="","",IF(VLOOKUP(U117,'G-3 Multipliers'!$L$3:$N$6,3,FALSE)=0,"Spatial Data Missing ⚠",VLOOKUP(U117,'G-3 Multipliers'!$L$3:$N$6,3,FALSE)))</f>
        <v/>
      </c>
      <c r="X117" s="498"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7" t="str">
        <f t="shared" si="11"/>
        <v/>
      </c>
      <c r="AB117" s="521" t="str">
        <f t="shared" si="12"/>
        <v/>
      </c>
      <c r="AC117" s="522" t="str">
        <f t="shared" si="8"/>
        <v/>
      </c>
      <c r="AD117" s="537" t="str">
        <f>IF(M117="","",VLOOKUP(M117,'G-6 Hedgerow Data'!$B$3:$AG$15,31,FALSE))</f>
        <v/>
      </c>
      <c r="AE117" s="507" t="str">
        <f t="shared" si="13"/>
        <v/>
      </c>
      <c r="AF117" s="507" t="str">
        <f t="shared" si="14"/>
        <v/>
      </c>
      <c r="AG117" s="524" t="str">
        <f>IFERROR(IF(O117="","",VLOOKUP(AD117,'G-3 Multipliers'!$P$3:$Q$6,2,FALSE)),"")</f>
        <v/>
      </c>
      <c r="AH117" s="513" t="str">
        <f t="shared" si="9"/>
        <v/>
      </c>
      <c r="AI117" s="231"/>
      <c r="AJ117" s="150"/>
      <c r="AT117" s="31" t="str">
        <f>IFERROR(INDEX('G-6 Hedgerow Data'!$BJ$3:$BJ$15,MATCH(M117,'G-6 Hedgerow Data'!$B$3:$B$15,0)),"")</f>
        <v/>
      </c>
    </row>
    <row r="118" spans="2:46" ht="13.8" x14ac:dyDescent="0.25">
      <c r="B118" s="531" t="str">
        <f>'B-1 Site Hedge Baseline'!AK116</f>
        <v/>
      </c>
      <c r="C118" s="520" t="str">
        <f>IF(B118="","",IF(ISNA(VLOOKUP($B118,'B-1 Site Hedge Baseline'!$B$1:$L$257,3,FALSE)),"",(VLOOKUP($B118,'B-1 Site Hedge Baseline'!$B$1:$L$257,3,FALSE))))</f>
        <v/>
      </c>
      <c r="D118" s="520" t="str">
        <f>IF(B118="","",IF(ISNA(VLOOKUP($B118,'B-1 Site Hedge Baseline'!$B$1:$L$257,4,FALSE)),"",(VLOOKUP($B118,'B-1 Site Hedge Baseline'!$B$1:$L$257,4,FALSE))))</f>
        <v/>
      </c>
      <c r="E118" s="520" t="str">
        <f>IF(B118="","",IF(ISNA(VLOOKUP($B118,'B-1 Site Hedge Baseline'!$B$1:$L$257,5,FALSE)),"",(VLOOKUP($B118,'B-1 Site Hedge Baseline'!$B$1:$L$257,5,FALSE))))</f>
        <v/>
      </c>
      <c r="F118" s="520" t="str">
        <f>IF(B118="","",IF(ISNA(VLOOKUP($B118,'B-1 Site Hedge Baseline'!$B$1:$L$257,6,FALSE)),"",(VLOOKUP($B118,'B-1 Site Hedge Baseline'!$B$1:$L$257,6,FALSE))))</f>
        <v/>
      </c>
      <c r="G118" s="520" t="str">
        <f>IF(B118="","",IF(ISNA(VLOOKUP($B118,'B-1 Site Hedge Baseline'!$B$1:$L$257,7,FALSE)),"",(VLOOKUP($B118,'B-1 Site Hedge Baseline'!$B$1:$L$257,7,FALSE))))</f>
        <v/>
      </c>
      <c r="H118" s="520" t="str">
        <f>IF(B118="","",IF(ISNA(VLOOKUP($B118,'B-1 Site Hedge Baseline'!$B$1:$L$257,8,FALSE)),"",(VLOOKUP($B118,'B-1 Site Hedge Baseline'!$B$1:$L$257,8,FALSE))))</f>
        <v/>
      </c>
      <c r="I118" s="520" t="str">
        <f>IF(B118="","",IF(ISNA(VLOOKUP($B118,'B-1 Site Hedge Baseline'!$B$1:$L$257,10,FALSE)),"",(VLOOKUP($B118,'B-1 Site Hedge Baseline'!$B$1:$L$257,10,FALSE))))</f>
        <v/>
      </c>
      <c r="J118" s="520" t="str">
        <f>IF(B118="","",IF(ISNA(VLOOKUP($B118,'B-1 Site Hedge Baseline'!$B$1:$L$257,11,FALSE)),"",(VLOOKUP($B118,'B-1 Site Hedge Baseline'!$B$1:$L$257,11,FALSE))))</f>
        <v/>
      </c>
      <c r="K118" s="520" t="str">
        <f>IF(B118="","",IF(ISNA(VLOOKUP($B118,'B-1 Site Hedge Baseline'!$B$1:$U$257,13,FALSE)),"",(VLOOKUP($B118,'B-1 Site Hedge Baseline'!$B$1:$U$257,13,FALSE))))</f>
        <v/>
      </c>
      <c r="L118" s="524" t="str">
        <f>IF(B118="","",IF(ISNA(VLOOKUP($B118,'B-1 Site Hedge Baseline'!$B$1:$U$257,12,FALSE)),"",(VLOOKUP($B118,'B-1 Site Hedge Baseline'!$B$1:$U$257,12,FALSE))))</f>
        <v/>
      </c>
      <c r="M118" s="416" t="str">
        <f t="shared" si="15"/>
        <v/>
      </c>
      <c r="N118" s="498" t="str">
        <f>IFERROR(IF(B118="","",INDEX('G-6 Hedgerow Data'!$AN$3:$AZ$15,MATCH(C118,'G-6 Hedgerow Data'!$AM$3:$AM$15,0),MATCH(M118,'G-6 Hedgerow Data'!$AN$2:$AZ$2,0))),"")</f>
        <v/>
      </c>
      <c r="O118" s="499" t="str">
        <f t="shared" si="10"/>
        <v/>
      </c>
      <c r="P118" s="559" t="str">
        <f>IF(B118="","",VLOOKUP(B118,'B-1 Site Hedge Baseline'!$B$10:T363,16,FALSE))</f>
        <v/>
      </c>
      <c r="Q118" s="498" t="str">
        <f>IF(M118="","",VLOOKUP(M118,'G-6 Hedgerow Data'!$B$2:$AG$15,2,FALSE))</f>
        <v/>
      </c>
      <c r="R118" s="499" t="str">
        <f>IF(M118="","",VLOOKUP(M118,'G-6 Hedgerow Data'!$B$2:$AG$15,3,FALSE))</f>
        <v/>
      </c>
      <c r="S118" s="157"/>
      <c r="T118" s="540" t="str">
        <f>IFERROR(VLOOKUP(S118,'G-1 All Habitats'!$Z$2:$AA$9,2,FALSE),"")</f>
        <v/>
      </c>
      <c r="U118" s="154"/>
      <c r="V118" s="520" t="str">
        <f>IF(U118="","",IF(VLOOKUP(U118,'G-3 Multipliers'!$L$3:$N$6,2,FALSE)=0,"Spatial Data Missing ⚠",VLOOKUP(U118,'G-3 Multipliers'!$L$3:$N$6,2,FALSE)))</f>
        <v/>
      </c>
      <c r="W118" s="524" t="str">
        <f>IF(U118="","",IF(VLOOKUP(U118,'G-3 Multipliers'!$L$3:$N$6,3,FALSE)=0,"Spatial Data Missing ⚠",VLOOKUP(U118,'G-3 Multipliers'!$L$3:$N$6,3,FALSE)))</f>
        <v/>
      </c>
      <c r="X118" s="498"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7" t="str">
        <f t="shared" si="11"/>
        <v/>
      </c>
      <c r="AB118" s="521" t="str">
        <f t="shared" si="12"/>
        <v/>
      </c>
      <c r="AC118" s="522" t="str">
        <f t="shared" si="8"/>
        <v/>
      </c>
      <c r="AD118" s="537" t="str">
        <f>IF(M118="","",VLOOKUP(M118,'G-6 Hedgerow Data'!$B$3:$AG$15,31,FALSE))</f>
        <v/>
      </c>
      <c r="AE118" s="507" t="str">
        <f t="shared" si="13"/>
        <v/>
      </c>
      <c r="AF118" s="507" t="str">
        <f t="shared" si="14"/>
        <v/>
      </c>
      <c r="AG118" s="524" t="str">
        <f>IFERROR(IF(O118="","",VLOOKUP(AD118,'G-3 Multipliers'!$P$3:$Q$6,2,FALSE)),"")</f>
        <v/>
      </c>
      <c r="AH118" s="513" t="str">
        <f t="shared" si="9"/>
        <v/>
      </c>
      <c r="AI118" s="231"/>
      <c r="AJ118" s="150"/>
      <c r="AT118" s="31" t="str">
        <f>IFERROR(INDEX('G-6 Hedgerow Data'!$BJ$3:$BJ$15,MATCH(M118,'G-6 Hedgerow Data'!$B$3:$B$15,0)),"")</f>
        <v/>
      </c>
    </row>
    <row r="119" spans="2:46" ht="13.8" x14ac:dyDescent="0.25">
      <c r="B119" s="531" t="str">
        <f>'B-1 Site Hedge Baseline'!AK117</f>
        <v/>
      </c>
      <c r="C119" s="520" t="str">
        <f>IF(B119="","",IF(ISNA(VLOOKUP($B119,'B-1 Site Hedge Baseline'!$B$1:$L$257,3,FALSE)),"",(VLOOKUP($B119,'B-1 Site Hedge Baseline'!$B$1:$L$257,3,FALSE))))</f>
        <v/>
      </c>
      <c r="D119" s="520" t="str">
        <f>IF(B119="","",IF(ISNA(VLOOKUP($B119,'B-1 Site Hedge Baseline'!$B$1:$L$257,4,FALSE)),"",(VLOOKUP($B119,'B-1 Site Hedge Baseline'!$B$1:$L$257,4,FALSE))))</f>
        <v/>
      </c>
      <c r="E119" s="520" t="str">
        <f>IF(B119="","",IF(ISNA(VLOOKUP($B119,'B-1 Site Hedge Baseline'!$B$1:$L$257,5,FALSE)),"",(VLOOKUP($B119,'B-1 Site Hedge Baseline'!$B$1:$L$257,5,FALSE))))</f>
        <v/>
      </c>
      <c r="F119" s="520" t="str">
        <f>IF(B119="","",IF(ISNA(VLOOKUP($B119,'B-1 Site Hedge Baseline'!$B$1:$L$257,6,FALSE)),"",(VLOOKUP($B119,'B-1 Site Hedge Baseline'!$B$1:$L$257,6,FALSE))))</f>
        <v/>
      </c>
      <c r="G119" s="520" t="str">
        <f>IF(B119="","",IF(ISNA(VLOOKUP($B119,'B-1 Site Hedge Baseline'!$B$1:$L$257,7,FALSE)),"",(VLOOKUP($B119,'B-1 Site Hedge Baseline'!$B$1:$L$257,7,FALSE))))</f>
        <v/>
      </c>
      <c r="H119" s="520" t="str">
        <f>IF(B119="","",IF(ISNA(VLOOKUP($B119,'B-1 Site Hedge Baseline'!$B$1:$L$257,8,FALSE)),"",(VLOOKUP($B119,'B-1 Site Hedge Baseline'!$B$1:$L$257,8,FALSE))))</f>
        <v/>
      </c>
      <c r="I119" s="520" t="str">
        <f>IF(B119="","",IF(ISNA(VLOOKUP($B119,'B-1 Site Hedge Baseline'!$B$1:$L$257,10,FALSE)),"",(VLOOKUP($B119,'B-1 Site Hedge Baseline'!$B$1:$L$257,10,FALSE))))</f>
        <v/>
      </c>
      <c r="J119" s="520" t="str">
        <f>IF(B119="","",IF(ISNA(VLOOKUP($B119,'B-1 Site Hedge Baseline'!$B$1:$L$257,11,FALSE)),"",(VLOOKUP($B119,'B-1 Site Hedge Baseline'!$B$1:$L$257,11,FALSE))))</f>
        <v/>
      </c>
      <c r="K119" s="520" t="str">
        <f>IF(B119="","",IF(ISNA(VLOOKUP($B119,'B-1 Site Hedge Baseline'!$B$1:$U$257,13,FALSE)),"",(VLOOKUP($B119,'B-1 Site Hedge Baseline'!$B$1:$U$257,13,FALSE))))</f>
        <v/>
      </c>
      <c r="L119" s="524" t="str">
        <f>IF(B119="","",IF(ISNA(VLOOKUP($B119,'B-1 Site Hedge Baseline'!$B$1:$U$257,12,FALSE)),"",(VLOOKUP($B119,'B-1 Site Hedge Baseline'!$B$1:$U$257,12,FALSE))))</f>
        <v/>
      </c>
      <c r="M119" s="416" t="str">
        <f t="shared" si="15"/>
        <v/>
      </c>
      <c r="N119" s="498" t="str">
        <f>IFERROR(IF(B119="","",INDEX('G-6 Hedgerow Data'!$AN$3:$AZ$15,MATCH(C119,'G-6 Hedgerow Data'!$AM$3:$AM$15,0),MATCH(M119,'G-6 Hedgerow Data'!$AN$2:$AZ$2,0))),"")</f>
        <v/>
      </c>
      <c r="O119" s="499" t="str">
        <f t="shared" si="10"/>
        <v/>
      </c>
      <c r="P119" s="559" t="str">
        <f>IF(B119="","",VLOOKUP(B119,'B-1 Site Hedge Baseline'!$B$10:T364,16,FALSE))</f>
        <v/>
      </c>
      <c r="Q119" s="498" t="str">
        <f>IF(M119="","",VLOOKUP(M119,'G-6 Hedgerow Data'!$B$2:$AG$15,2,FALSE))</f>
        <v/>
      </c>
      <c r="R119" s="499" t="str">
        <f>IF(M119="","",VLOOKUP(M119,'G-6 Hedgerow Data'!$B$2:$AG$15,3,FALSE))</f>
        <v/>
      </c>
      <c r="S119" s="157"/>
      <c r="T119" s="540" t="str">
        <f>IFERROR(VLOOKUP(S119,'G-1 All Habitats'!$Z$2:$AA$9,2,FALSE),"")</f>
        <v/>
      </c>
      <c r="U119" s="154"/>
      <c r="V119" s="520" t="str">
        <f>IF(U119="","",IF(VLOOKUP(U119,'G-3 Multipliers'!$L$3:$N$6,2,FALSE)=0,"Spatial Data Missing ⚠",VLOOKUP(U119,'G-3 Multipliers'!$L$3:$N$6,2,FALSE)))</f>
        <v/>
      </c>
      <c r="W119" s="524" t="str">
        <f>IF(U119="","",IF(VLOOKUP(U119,'G-3 Multipliers'!$L$3:$N$6,3,FALSE)=0,"Spatial Data Missing ⚠",VLOOKUP(U119,'G-3 Multipliers'!$L$3:$N$6,3,FALSE)))</f>
        <v/>
      </c>
      <c r="X119" s="498"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7" t="str">
        <f t="shared" si="11"/>
        <v/>
      </c>
      <c r="AB119" s="521" t="str">
        <f t="shared" si="12"/>
        <v/>
      </c>
      <c r="AC119" s="522" t="str">
        <f t="shared" si="8"/>
        <v/>
      </c>
      <c r="AD119" s="537" t="str">
        <f>IF(M119="","",VLOOKUP(M119,'G-6 Hedgerow Data'!$B$3:$AG$15,31,FALSE))</f>
        <v/>
      </c>
      <c r="AE119" s="507" t="str">
        <f t="shared" si="13"/>
        <v/>
      </c>
      <c r="AF119" s="507" t="str">
        <f t="shared" si="14"/>
        <v/>
      </c>
      <c r="AG119" s="524" t="str">
        <f>IFERROR(IF(O119="","",VLOOKUP(AD119,'G-3 Multipliers'!$P$3:$Q$6,2,FALSE)),"")</f>
        <v/>
      </c>
      <c r="AH119" s="513" t="str">
        <f t="shared" si="9"/>
        <v/>
      </c>
      <c r="AI119" s="231"/>
      <c r="AJ119" s="150"/>
      <c r="AT119" s="31" t="str">
        <f>IFERROR(INDEX('G-6 Hedgerow Data'!$BJ$3:$BJ$15,MATCH(M119,'G-6 Hedgerow Data'!$B$3:$B$15,0)),"")</f>
        <v/>
      </c>
    </row>
    <row r="120" spans="2:46" ht="13.8" x14ac:dyDescent="0.25">
      <c r="B120" s="531" t="str">
        <f>'B-1 Site Hedge Baseline'!AK118</f>
        <v/>
      </c>
      <c r="C120" s="520" t="str">
        <f>IF(B120="","",IF(ISNA(VLOOKUP($B120,'B-1 Site Hedge Baseline'!$B$1:$L$257,3,FALSE)),"",(VLOOKUP($B120,'B-1 Site Hedge Baseline'!$B$1:$L$257,3,FALSE))))</f>
        <v/>
      </c>
      <c r="D120" s="520" t="str">
        <f>IF(B120="","",IF(ISNA(VLOOKUP($B120,'B-1 Site Hedge Baseline'!$B$1:$L$257,4,FALSE)),"",(VLOOKUP($B120,'B-1 Site Hedge Baseline'!$B$1:$L$257,4,FALSE))))</f>
        <v/>
      </c>
      <c r="E120" s="520" t="str">
        <f>IF(B120="","",IF(ISNA(VLOOKUP($B120,'B-1 Site Hedge Baseline'!$B$1:$L$257,5,FALSE)),"",(VLOOKUP($B120,'B-1 Site Hedge Baseline'!$B$1:$L$257,5,FALSE))))</f>
        <v/>
      </c>
      <c r="F120" s="520" t="str">
        <f>IF(B120="","",IF(ISNA(VLOOKUP($B120,'B-1 Site Hedge Baseline'!$B$1:$L$257,6,FALSE)),"",(VLOOKUP($B120,'B-1 Site Hedge Baseline'!$B$1:$L$257,6,FALSE))))</f>
        <v/>
      </c>
      <c r="G120" s="520" t="str">
        <f>IF(B120="","",IF(ISNA(VLOOKUP($B120,'B-1 Site Hedge Baseline'!$B$1:$L$257,7,FALSE)),"",(VLOOKUP($B120,'B-1 Site Hedge Baseline'!$B$1:$L$257,7,FALSE))))</f>
        <v/>
      </c>
      <c r="H120" s="520" t="str">
        <f>IF(B120="","",IF(ISNA(VLOOKUP($B120,'B-1 Site Hedge Baseline'!$B$1:$L$257,8,FALSE)),"",(VLOOKUP($B120,'B-1 Site Hedge Baseline'!$B$1:$L$257,8,FALSE))))</f>
        <v/>
      </c>
      <c r="I120" s="520" t="str">
        <f>IF(B120="","",IF(ISNA(VLOOKUP($B120,'B-1 Site Hedge Baseline'!$B$1:$L$257,10,FALSE)),"",(VLOOKUP($B120,'B-1 Site Hedge Baseline'!$B$1:$L$257,10,FALSE))))</f>
        <v/>
      </c>
      <c r="J120" s="520" t="str">
        <f>IF(B120="","",IF(ISNA(VLOOKUP($B120,'B-1 Site Hedge Baseline'!$B$1:$L$257,11,FALSE)),"",(VLOOKUP($B120,'B-1 Site Hedge Baseline'!$B$1:$L$257,11,FALSE))))</f>
        <v/>
      </c>
      <c r="K120" s="520" t="str">
        <f>IF(B120="","",IF(ISNA(VLOOKUP($B120,'B-1 Site Hedge Baseline'!$B$1:$U$257,13,FALSE)),"",(VLOOKUP($B120,'B-1 Site Hedge Baseline'!$B$1:$U$257,13,FALSE))))</f>
        <v/>
      </c>
      <c r="L120" s="524" t="str">
        <f>IF(B120="","",IF(ISNA(VLOOKUP($B120,'B-1 Site Hedge Baseline'!$B$1:$U$257,12,FALSE)),"",(VLOOKUP($B120,'B-1 Site Hedge Baseline'!$B$1:$U$257,12,FALSE))))</f>
        <v/>
      </c>
      <c r="M120" s="416" t="str">
        <f t="shared" si="15"/>
        <v/>
      </c>
      <c r="N120" s="498" t="str">
        <f>IFERROR(IF(B120="","",INDEX('G-6 Hedgerow Data'!$AN$3:$AZ$15,MATCH(C120,'G-6 Hedgerow Data'!$AM$3:$AM$15,0),MATCH(M120,'G-6 Hedgerow Data'!$AN$2:$AZ$2,0))),"")</f>
        <v/>
      </c>
      <c r="O120" s="499" t="str">
        <f t="shared" si="10"/>
        <v/>
      </c>
      <c r="P120" s="559" t="str">
        <f>IF(B120="","",VLOOKUP(B120,'B-1 Site Hedge Baseline'!$B$10:T365,16,FALSE))</f>
        <v/>
      </c>
      <c r="Q120" s="498" t="str">
        <f>IF(M120="","",VLOOKUP(M120,'G-6 Hedgerow Data'!$B$2:$AG$15,2,FALSE))</f>
        <v/>
      </c>
      <c r="R120" s="499" t="str">
        <f>IF(M120="","",VLOOKUP(M120,'G-6 Hedgerow Data'!$B$2:$AG$15,3,FALSE))</f>
        <v/>
      </c>
      <c r="S120" s="157"/>
      <c r="T120" s="540" t="str">
        <f>IFERROR(VLOOKUP(S120,'G-1 All Habitats'!$Z$2:$AA$9,2,FALSE),"")</f>
        <v/>
      </c>
      <c r="U120" s="154"/>
      <c r="V120" s="520" t="str">
        <f>IF(U120="","",IF(VLOOKUP(U120,'G-3 Multipliers'!$L$3:$N$6,2,FALSE)=0,"Spatial Data Missing ⚠",VLOOKUP(U120,'G-3 Multipliers'!$L$3:$N$6,2,FALSE)))</f>
        <v/>
      </c>
      <c r="W120" s="524" t="str">
        <f>IF(U120="","",IF(VLOOKUP(U120,'G-3 Multipliers'!$L$3:$N$6,3,FALSE)=0,"Spatial Data Missing ⚠",VLOOKUP(U120,'G-3 Multipliers'!$L$3:$N$6,3,FALSE)))</f>
        <v/>
      </c>
      <c r="X120" s="498"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7" t="str">
        <f t="shared" si="11"/>
        <v/>
      </c>
      <c r="AB120" s="521" t="str">
        <f t="shared" si="12"/>
        <v/>
      </c>
      <c r="AC120" s="522" t="str">
        <f t="shared" si="8"/>
        <v/>
      </c>
      <c r="AD120" s="537" t="str">
        <f>IF(M120="","",VLOOKUP(M120,'G-6 Hedgerow Data'!$B$3:$AG$15,31,FALSE))</f>
        <v/>
      </c>
      <c r="AE120" s="507" t="str">
        <f t="shared" si="13"/>
        <v/>
      </c>
      <c r="AF120" s="507" t="str">
        <f t="shared" si="14"/>
        <v/>
      </c>
      <c r="AG120" s="524" t="str">
        <f>IFERROR(IF(O120="","",VLOOKUP(AD120,'G-3 Multipliers'!$P$3:$Q$6,2,FALSE)),"")</f>
        <v/>
      </c>
      <c r="AH120" s="513" t="str">
        <f t="shared" si="9"/>
        <v/>
      </c>
      <c r="AI120" s="231"/>
      <c r="AJ120" s="150"/>
      <c r="AT120" s="31" t="str">
        <f>IFERROR(INDEX('G-6 Hedgerow Data'!$BJ$3:$BJ$15,MATCH(M120,'G-6 Hedgerow Data'!$B$3:$B$15,0)),"")</f>
        <v/>
      </c>
    </row>
    <row r="121" spans="2:46" ht="13.8" x14ac:dyDescent="0.25">
      <c r="B121" s="531" t="str">
        <f>'B-1 Site Hedge Baseline'!AK119</f>
        <v/>
      </c>
      <c r="C121" s="520" t="str">
        <f>IF(B121="","",IF(ISNA(VLOOKUP($B121,'B-1 Site Hedge Baseline'!$B$1:$L$257,3,FALSE)),"",(VLOOKUP($B121,'B-1 Site Hedge Baseline'!$B$1:$L$257,3,FALSE))))</f>
        <v/>
      </c>
      <c r="D121" s="520" t="str">
        <f>IF(B121="","",IF(ISNA(VLOOKUP($B121,'B-1 Site Hedge Baseline'!$B$1:$L$257,4,FALSE)),"",(VLOOKUP($B121,'B-1 Site Hedge Baseline'!$B$1:$L$257,4,FALSE))))</f>
        <v/>
      </c>
      <c r="E121" s="520" t="str">
        <f>IF(B121="","",IF(ISNA(VLOOKUP($B121,'B-1 Site Hedge Baseline'!$B$1:$L$257,5,FALSE)),"",(VLOOKUP($B121,'B-1 Site Hedge Baseline'!$B$1:$L$257,5,FALSE))))</f>
        <v/>
      </c>
      <c r="F121" s="520" t="str">
        <f>IF(B121="","",IF(ISNA(VLOOKUP($B121,'B-1 Site Hedge Baseline'!$B$1:$L$257,6,FALSE)),"",(VLOOKUP($B121,'B-1 Site Hedge Baseline'!$B$1:$L$257,6,FALSE))))</f>
        <v/>
      </c>
      <c r="G121" s="520" t="str">
        <f>IF(B121="","",IF(ISNA(VLOOKUP($B121,'B-1 Site Hedge Baseline'!$B$1:$L$257,7,FALSE)),"",(VLOOKUP($B121,'B-1 Site Hedge Baseline'!$B$1:$L$257,7,FALSE))))</f>
        <v/>
      </c>
      <c r="H121" s="520" t="str">
        <f>IF(B121="","",IF(ISNA(VLOOKUP($B121,'B-1 Site Hedge Baseline'!$B$1:$L$257,8,FALSE)),"",(VLOOKUP($B121,'B-1 Site Hedge Baseline'!$B$1:$L$257,8,FALSE))))</f>
        <v/>
      </c>
      <c r="I121" s="520" t="str">
        <f>IF(B121="","",IF(ISNA(VLOOKUP($B121,'B-1 Site Hedge Baseline'!$B$1:$L$257,10,FALSE)),"",(VLOOKUP($B121,'B-1 Site Hedge Baseline'!$B$1:$L$257,10,FALSE))))</f>
        <v/>
      </c>
      <c r="J121" s="520" t="str">
        <f>IF(B121="","",IF(ISNA(VLOOKUP($B121,'B-1 Site Hedge Baseline'!$B$1:$L$257,11,FALSE)),"",(VLOOKUP($B121,'B-1 Site Hedge Baseline'!$B$1:$L$257,11,FALSE))))</f>
        <v/>
      </c>
      <c r="K121" s="520" t="str">
        <f>IF(B121="","",IF(ISNA(VLOOKUP($B121,'B-1 Site Hedge Baseline'!$B$1:$U$257,13,FALSE)),"",(VLOOKUP($B121,'B-1 Site Hedge Baseline'!$B$1:$U$257,13,FALSE))))</f>
        <v/>
      </c>
      <c r="L121" s="524" t="str">
        <f>IF(B121="","",IF(ISNA(VLOOKUP($B121,'B-1 Site Hedge Baseline'!$B$1:$U$257,12,FALSE)),"",(VLOOKUP($B121,'B-1 Site Hedge Baseline'!$B$1:$U$257,12,FALSE))))</f>
        <v/>
      </c>
      <c r="M121" s="416" t="str">
        <f t="shared" si="15"/>
        <v/>
      </c>
      <c r="N121" s="498" t="str">
        <f>IFERROR(IF(B121="","",INDEX('G-6 Hedgerow Data'!$AN$3:$AZ$15,MATCH(C121,'G-6 Hedgerow Data'!$AM$3:$AM$15,0),MATCH(M121,'G-6 Hedgerow Data'!$AN$2:$AZ$2,0))),"")</f>
        <v/>
      </c>
      <c r="O121" s="499" t="str">
        <f t="shared" si="10"/>
        <v/>
      </c>
      <c r="P121" s="559" t="str">
        <f>IF(B121="","",VLOOKUP(B121,'B-1 Site Hedge Baseline'!$B$10:T366,16,FALSE))</f>
        <v/>
      </c>
      <c r="Q121" s="498" t="str">
        <f>IF(M121="","",VLOOKUP(M121,'G-6 Hedgerow Data'!$B$2:$AG$15,2,FALSE))</f>
        <v/>
      </c>
      <c r="R121" s="499" t="str">
        <f>IF(M121="","",VLOOKUP(M121,'G-6 Hedgerow Data'!$B$2:$AG$15,3,FALSE))</f>
        <v/>
      </c>
      <c r="S121" s="157"/>
      <c r="T121" s="540" t="str">
        <f>IFERROR(VLOOKUP(S121,'G-1 All Habitats'!$Z$2:$AA$9,2,FALSE),"")</f>
        <v/>
      </c>
      <c r="U121" s="154"/>
      <c r="V121" s="520" t="str">
        <f>IF(U121="","",IF(VLOOKUP(U121,'G-3 Multipliers'!$L$3:$N$6,2,FALSE)=0,"Spatial Data Missing ⚠",VLOOKUP(U121,'G-3 Multipliers'!$L$3:$N$6,2,FALSE)))</f>
        <v/>
      </c>
      <c r="W121" s="524" t="str">
        <f>IF(U121="","",IF(VLOOKUP(U121,'G-3 Multipliers'!$L$3:$N$6,3,FALSE)=0,"Spatial Data Missing ⚠",VLOOKUP(U121,'G-3 Multipliers'!$L$3:$N$6,3,FALSE)))</f>
        <v/>
      </c>
      <c r="X121" s="498"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7" t="str">
        <f t="shared" si="11"/>
        <v/>
      </c>
      <c r="AB121" s="521" t="str">
        <f t="shared" si="12"/>
        <v/>
      </c>
      <c r="AC121" s="522" t="str">
        <f t="shared" si="8"/>
        <v/>
      </c>
      <c r="AD121" s="537" t="str">
        <f>IF(M121="","",VLOOKUP(M121,'G-6 Hedgerow Data'!$B$3:$AG$15,31,FALSE))</f>
        <v/>
      </c>
      <c r="AE121" s="507" t="str">
        <f t="shared" si="13"/>
        <v/>
      </c>
      <c r="AF121" s="507" t="str">
        <f t="shared" si="14"/>
        <v/>
      </c>
      <c r="AG121" s="524" t="str">
        <f>IFERROR(IF(O121="","",VLOOKUP(AD121,'G-3 Multipliers'!$P$3:$Q$6,2,FALSE)),"")</f>
        <v/>
      </c>
      <c r="AH121" s="513" t="str">
        <f t="shared" si="9"/>
        <v/>
      </c>
      <c r="AI121" s="231"/>
      <c r="AJ121" s="150"/>
      <c r="AT121" s="31" t="str">
        <f>IFERROR(INDEX('G-6 Hedgerow Data'!$BJ$3:$BJ$15,MATCH(M121,'G-6 Hedgerow Data'!$B$3:$B$15,0)),"")</f>
        <v/>
      </c>
    </row>
    <row r="122" spans="2:46" ht="13.8" x14ac:dyDescent="0.25">
      <c r="B122" s="531" t="str">
        <f>'B-1 Site Hedge Baseline'!AK120</f>
        <v/>
      </c>
      <c r="C122" s="520" t="str">
        <f>IF(B122="","",IF(ISNA(VLOOKUP($B122,'B-1 Site Hedge Baseline'!$B$1:$L$257,3,FALSE)),"",(VLOOKUP($B122,'B-1 Site Hedge Baseline'!$B$1:$L$257,3,FALSE))))</f>
        <v/>
      </c>
      <c r="D122" s="520" t="str">
        <f>IF(B122="","",IF(ISNA(VLOOKUP($B122,'B-1 Site Hedge Baseline'!$B$1:$L$257,4,FALSE)),"",(VLOOKUP($B122,'B-1 Site Hedge Baseline'!$B$1:$L$257,4,FALSE))))</f>
        <v/>
      </c>
      <c r="E122" s="520" t="str">
        <f>IF(B122="","",IF(ISNA(VLOOKUP($B122,'B-1 Site Hedge Baseline'!$B$1:$L$257,5,FALSE)),"",(VLOOKUP($B122,'B-1 Site Hedge Baseline'!$B$1:$L$257,5,FALSE))))</f>
        <v/>
      </c>
      <c r="F122" s="520" t="str">
        <f>IF(B122="","",IF(ISNA(VLOOKUP($B122,'B-1 Site Hedge Baseline'!$B$1:$L$257,6,FALSE)),"",(VLOOKUP($B122,'B-1 Site Hedge Baseline'!$B$1:$L$257,6,FALSE))))</f>
        <v/>
      </c>
      <c r="G122" s="520" t="str">
        <f>IF(B122="","",IF(ISNA(VLOOKUP($B122,'B-1 Site Hedge Baseline'!$B$1:$L$257,7,FALSE)),"",(VLOOKUP($B122,'B-1 Site Hedge Baseline'!$B$1:$L$257,7,FALSE))))</f>
        <v/>
      </c>
      <c r="H122" s="520" t="str">
        <f>IF(B122="","",IF(ISNA(VLOOKUP($B122,'B-1 Site Hedge Baseline'!$B$1:$L$257,8,FALSE)),"",(VLOOKUP($B122,'B-1 Site Hedge Baseline'!$B$1:$L$257,8,FALSE))))</f>
        <v/>
      </c>
      <c r="I122" s="520" t="str">
        <f>IF(B122="","",IF(ISNA(VLOOKUP($B122,'B-1 Site Hedge Baseline'!$B$1:$L$257,10,FALSE)),"",(VLOOKUP($B122,'B-1 Site Hedge Baseline'!$B$1:$L$257,10,FALSE))))</f>
        <v/>
      </c>
      <c r="J122" s="520" t="str">
        <f>IF(B122="","",IF(ISNA(VLOOKUP($B122,'B-1 Site Hedge Baseline'!$B$1:$L$257,11,FALSE)),"",(VLOOKUP($B122,'B-1 Site Hedge Baseline'!$B$1:$L$257,11,FALSE))))</f>
        <v/>
      </c>
      <c r="K122" s="520" t="str">
        <f>IF(B122="","",IF(ISNA(VLOOKUP($B122,'B-1 Site Hedge Baseline'!$B$1:$U$257,13,FALSE)),"",(VLOOKUP($B122,'B-1 Site Hedge Baseline'!$B$1:$U$257,13,FALSE))))</f>
        <v/>
      </c>
      <c r="L122" s="524" t="str">
        <f>IF(B122="","",IF(ISNA(VLOOKUP($B122,'B-1 Site Hedge Baseline'!$B$1:$U$257,12,FALSE)),"",(VLOOKUP($B122,'B-1 Site Hedge Baseline'!$B$1:$U$257,12,FALSE))))</f>
        <v/>
      </c>
      <c r="M122" s="416" t="str">
        <f t="shared" si="15"/>
        <v/>
      </c>
      <c r="N122" s="498" t="str">
        <f>IFERROR(IF(B122="","",INDEX('G-6 Hedgerow Data'!$AN$3:$AZ$15,MATCH(C122,'G-6 Hedgerow Data'!$AM$3:$AM$15,0),MATCH(M122,'G-6 Hedgerow Data'!$AN$2:$AZ$2,0))),"")</f>
        <v/>
      </c>
      <c r="O122" s="499" t="str">
        <f t="shared" si="10"/>
        <v/>
      </c>
      <c r="P122" s="559" t="str">
        <f>IF(B122="","",VLOOKUP(B122,'B-1 Site Hedge Baseline'!$B$10:T367,16,FALSE))</f>
        <v/>
      </c>
      <c r="Q122" s="498" t="str">
        <f>IF(M122="","",VLOOKUP(M122,'G-6 Hedgerow Data'!$B$2:$AG$15,2,FALSE))</f>
        <v/>
      </c>
      <c r="R122" s="499" t="str">
        <f>IF(M122="","",VLOOKUP(M122,'G-6 Hedgerow Data'!$B$2:$AG$15,3,FALSE))</f>
        <v/>
      </c>
      <c r="S122" s="157"/>
      <c r="T122" s="540" t="str">
        <f>IFERROR(VLOOKUP(S122,'G-1 All Habitats'!$Z$2:$AA$9,2,FALSE),"")</f>
        <v/>
      </c>
      <c r="U122" s="154"/>
      <c r="V122" s="520" t="str">
        <f>IF(U122="","",IF(VLOOKUP(U122,'G-3 Multipliers'!$L$3:$N$6,2,FALSE)=0,"Spatial Data Missing ⚠",VLOOKUP(U122,'G-3 Multipliers'!$L$3:$N$6,2,FALSE)))</f>
        <v/>
      </c>
      <c r="W122" s="524" t="str">
        <f>IF(U122="","",IF(VLOOKUP(U122,'G-3 Multipliers'!$L$3:$N$6,3,FALSE)=0,"Spatial Data Missing ⚠",VLOOKUP(U122,'G-3 Multipliers'!$L$3:$N$6,3,FALSE)))</f>
        <v/>
      </c>
      <c r="X122" s="498"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7" t="str">
        <f t="shared" si="11"/>
        <v/>
      </c>
      <c r="AB122" s="521" t="str">
        <f t="shared" si="12"/>
        <v/>
      </c>
      <c r="AC122" s="522" t="str">
        <f t="shared" si="8"/>
        <v/>
      </c>
      <c r="AD122" s="537" t="str">
        <f>IF(M122="","",VLOOKUP(M122,'G-6 Hedgerow Data'!$B$3:$AG$15,31,FALSE))</f>
        <v/>
      </c>
      <c r="AE122" s="507" t="str">
        <f t="shared" si="13"/>
        <v/>
      </c>
      <c r="AF122" s="507" t="str">
        <f t="shared" si="14"/>
        <v/>
      </c>
      <c r="AG122" s="524" t="str">
        <f>IFERROR(IF(O122="","",VLOOKUP(AD122,'G-3 Multipliers'!$P$3:$Q$6,2,FALSE)),"")</f>
        <v/>
      </c>
      <c r="AH122" s="513" t="str">
        <f t="shared" si="9"/>
        <v/>
      </c>
      <c r="AI122" s="231"/>
      <c r="AJ122" s="150"/>
      <c r="AT122" s="31" t="str">
        <f>IFERROR(INDEX('G-6 Hedgerow Data'!$BJ$3:$BJ$15,MATCH(M122,'G-6 Hedgerow Data'!$B$3:$B$15,0)),"")</f>
        <v/>
      </c>
    </row>
    <row r="123" spans="2:46" ht="13.8" x14ac:dyDescent="0.25">
      <c r="B123" s="531" t="str">
        <f>'B-1 Site Hedge Baseline'!AK121</f>
        <v/>
      </c>
      <c r="C123" s="520" t="str">
        <f>IF(B123="","",IF(ISNA(VLOOKUP($B123,'B-1 Site Hedge Baseline'!$B$1:$L$257,3,FALSE)),"",(VLOOKUP($B123,'B-1 Site Hedge Baseline'!$B$1:$L$257,3,FALSE))))</f>
        <v/>
      </c>
      <c r="D123" s="520" t="str">
        <f>IF(B123="","",IF(ISNA(VLOOKUP($B123,'B-1 Site Hedge Baseline'!$B$1:$L$257,4,FALSE)),"",(VLOOKUP($B123,'B-1 Site Hedge Baseline'!$B$1:$L$257,4,FALSE))))</f>
        <v/>
      </c>
      <c r="E123" s="520" t="str">
        <f>IF(B123="","",IF(ISNA(VLOOKUP($B123,'B-1 Site Hedge Baseline'!$B$1:$L$257,5,FALSE)),"",(VLOOKUP($B123,'B-1 Site Hedge Baseline'!$B$1:$L$257,5,FALSE))))</f>
        <v/>
      </c>
      <c r="F123" s="520" t="str">
        <f>IF(B123="","",IF(ISNA(VLOOKUP($B123,'B-1 Site Hedge Baseline'!$B$1:$L$257,6,FALSE)),"",(VLOOKUP($B123,'B-1 Site Hedge Baseline'!$B$1:$L$257,6,FALSE))))</f>
        <v/>
      </c>
      <c r="G123" s="520" t="str">
        <f>IF(B123="","",IF(ISNA(VLOOKUP($B123,'B-1 Site Hedge Baseline'!$B$1:$L$257,7,FALSE)),"",(VLOOKUP($B123,'B-1 Site Hedge Baseline'!$B$1:$L$257,7,FALSE))))</f>
        <v/>
      </c>
      <c r="H123" s="520" t="str">
        <f>IF(B123="","",IF(ISNA(VLOOKUP($B123,'B-1 Site Hedge Baseline'!$B$1:$L$257,8,FALSE)),"",(VLOOKUP($B123,'B-1 Site Hedge Baseline'!$B$1:$L$257,8,FALSE))))</f>
        <v/>
      </c>
      <c r="I123" s="520" t="str">
        <f>IF(B123="","",IF(ISNA(VLOOKUP($B123,'B-1 Site Hedge Baseline'!$B$1:$L$257,10,FALSE)),"",(VLOOKUP($B123,'B-1 Site Hedge Baseline'!$B$1:$L$257,10,FALSE))))</f>
        <v/>
      </c>
      <c r="J123" s="520" t="str">
        <f>IF(B123="","",IF(ISNA(VLOOKUP($B123,'B-1 Site Hedge Baseline'!$B$1:$L$257,11,FALSE)),"",(VLOOKUP($B123,'B-1 Site Hedge Baseline'!$B$1:$L$257,11,FALSE))))</f>
        <v/>
      </c>
      <c r="K123" s="520" t="str">
        <f>IF(B123="","",IF(ISNA(VLOOKUP($B123,'B-1 Site Hedge Baseline'!$B$1:$U$257,13,FALSE)),"",(VLOOKUP($B123,'B-1 Site Hedge Baseline'!$B$1:$U$257,13,FALSE))))</f>
        <v/>
      </c>
      <c r="L123" s="524" t="str">
        <f>IF(B123="","",IF(ISNA(VLOOKUP($B123,'B-1 Site Hedge Baseline'!$B$1:$U$257,12,FALSE)),"",(VLOOKUP($B123,'B-1 Site Hedge Baseline'!$B$1:$U$257,12,FALSE))))</f>
        <v/>
      </c>
      <c r="M123" s="416" t="str">
        <f t="shared" si="15"/>
        <v/>
      </c>
      <c r="N123" s="498" t="str">
        <f>IFERROR(IF(B123="","",INDEX('G-6 Hedgerow Data'!$AN$3:$AZ$15,MATCH(C123,'G-6 Hedgerow Data'!$AM$3:$AM$15,0),MATCH(M123,'G-6 Hedgerow Data'!$AN$2:$AZ$2,0))),"")</f>
        <v/>
      </c>
      <c r="O123" s="499" t="str">
        <f t="shared" si="10"/>
        <v/>
      </c>
      <c r="P123" s="559" t="str">
        <f>IF(B123="","",VLOOKUP(B123,'B-1 Site Hedge Baseline'!$B$10:T368,16,FALSE))</f>
        <v/>
      </c>
      <c r="Q123" s="498" t="str">
        <f>IF(M123="","",VLOOKUP(M123,'G-6 Hedgerow Data'!$B$2:$AG$15,2,FALSE))</f>
        <v/>
      </c>
      <c r="R123" s="499" t="str">
        <f>IF(M123="","",VLOOKUP(M123,'G-6 Hedgerow Data'!$B$2:$AG$15,3,FALSE))</f>
        <v/>
      </c>
      <c r="S123" s="157"/>
      <c r="T123" s="540" t="str">
        <f>IFERROR(VLOOKUP(S123,'G-1 All Habitats'!$Z$2:$AA$9,2,FALSE),"")</f>
        <v/>
      </c>
      <c r="U123" s="154"/>
      <c r="V123" s="520" t="str">
        <f>IF(U123="","",IF(VLOOKUP(U123,'G-3 Multipliers'!$L$3:$N$6,2,FALSE)=0,"Spatial Data Missing ⚠",VLOOKUP(U123,'G-3 Multipliers'!$L$3:$N$6,2,FALSE)))</f>
        <v/>
      </c>
      <c r="W123" s="524" t="str">
        <f>IF(U123="","",IF(VLOOKUP(U123,'G-3 Multipliers'!$L$3:$N$6,3,FALSE)=0,"Spatial Data Missing ⚠",VLOOKUP(U123,'G-3 Multipliers'!$L$3:$N$6,3,FALSE)))</f>
        <v/>
      </c>
      <c r="X123" s="498"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7" t="str">
        <f t="shared" si="11"/>
        <v/>
      </c>
      <c r="AB123" s="521" t="str">
        <f t="shared" si="12"/>
        <v/>
      </c>
      <c r="AC123" s="522" t="str">
        <f t="shared" si="8"/>
        <v/>
      </c>
      <c r="AD123" s="537" t="str">
        <f>IF(M123="","",VLOOKUP(M123,'G-6 Hedgerow Data'!$B$3:$AG$15,31,FALSE))</f>
        <v/>
      </c>
      <c r="AE123" s="507" t="str">
        <f t="shared" si="13"/>
        <v/>
      </c>
      <c r="AF123" s="507" t="str">
        <f t="shared" si="14"/>
        <v/>
      </c>
      <c r="AG123" s="524" t="str">
        <f>IFERROR(IF(O123="","",VLOOKUP(AD123,'G-3 Multipliers'!$P$3:$Q$6,2,FALSE)),"")</f>
        <v/>
      </c>
      <c r="AH123" s="513" t="str">
        <f t="shared" si="9"/>
        <v/>
      </c>
      <c r="AI123" s="231"/>
      <c r="AJ123" s="150"/>
      <c r="AT123" s="31" t="str">
        <f>IFERROR(INDEX('G-6 Hedgerow Data'!$BJ$3:$BJ$15,MATCH(M123,'G-6 Hedgerow Data'!$B$3:$B$15,0)),"")</f>
        <v/>
      </c>
    </row>
    <row r="124" spans="2:46" ht="13.8" x14ac:dyDescent="0.25">
      <c r="B124" s="531" t="str">
        <f>'B-1 Site Hedge Baseline'!AK122</f>
        <v/>
      </c>
      <c r="C124" s="520" t="str">
        <f>IF(B124="","",IF(ISNA(VLOOKUP($B124,'B-1 Site Hedge Baseline'!$B$1:$L$257,3,FALSE)),"",(VLOOKUP($B124,'B-1 Site Hedge Baseline'!$B$1:$L$257,3,FALSE))))</f>
        <v/>
      </c>
      <c r="D124" s="520" t="str">
        <f>IF(B124="","",IF(ISNA(VLOOKUP($B124,'B-1 Site Hedge Baseline'!$B$1:$L$257,4,FALSE)),"",(VLOOKUP($B124,'B-1 Site Hedge Baseline'!$B$1:$L$257,4,FALSE))))</f>
        <v/>
      </c>
      <c r="E124" s="520" t="str">
        <f>IF(B124="","",IF(ISNA(VLOOKUP($B124,'B-1 Site Hedge Baseline'!$B$1:$L$257,5,FALSE)),"",(VLOOKUP($B124,'B-1 Site Hedge Baseline'!$B$1:$L$257,5,FALSE))))</f>
        <v/>
      </c>
      <c r="F124" s="520" t="str">
        <f>IF(B124="","",IF(ISNA(VLOOKUP($B124,'B-1 Site Hedge Baseline'!$B$1:$L$257,6,FALSE)),"",(VLOOKUP($B124,'B-1 Site Hedge Baseline'!$B$1:$L$257,6,FALSE))))</f>
        <v/>
      </c>
      <c r="G124" s="520" t="str">
        <f>IF(B124="","",IF(ISNA(VLOOKUP($B124,'B-1 Site Hedge Baseline'!$B$1:$L$257,7,FALSE)),"",(VLOOKUP($B124,'B-1 Site Hedge Baseline'!$B$1:$L$257,7,FALSE))))</f>
        <v/>
      </c>
      <c r="H124" s="520" t="str">
        <f>IF(B124="","",IF(ISNA(VLOOKUP($B124,'B-1 Site Hedge Baseline'!$B$1:$L$257,8,FALSE)),"",(VLOOKUP($B124,'B-1 Site Hedge Baseline'!$B$1:$L$257,8,FALSE))))</f>
        <v/>
      </c>
      <c r="I124" s="520" t="str">
        <f>IF(B124="","",IF(ISNA(VLOOKUP($B124,'B-1 Site Hedge Baseline'!$B$1:$L$257,10,FALSE)),"",(VLOOKUP($B124,'B-1 Site Hedge Baseline'!$B$1:$L$257,10,FALSE))))</f>
        <v/>
      </c>
      <c r="J124" s="520" t="str">
        <f>IF(B124="","",IF(ISNA(VLOOKUP($B124,'B-1 Site Hedge Baseline'!$B$1:$L$257,11,FALSE)),"",(VLOOKUP($B124,'B-1 Site Hedge Baseline'!$B$1:$L$257,11,FALSE))))</f>
        <v/>
      </c>
      <c r="K124" s="520" t="str">
        <f>IF(B124="","",IF(ISNA(VLOOKUP($B124,'B-1 Site Hedge Baseline'!$B$1:$U$257,13,FALSE)),"",(VLOOKUP($B124,'B-1 Site Hedge Baseline'!$B$1:$U$257,13,FALSE))))</f>
        <v/>
      </c>
      <c r="L124" s="524" t="str">
        <f>IF(B124="","",IF(ISNA(VLOOKUP($B124,'B-1 Site Hedge Baseline'!$B$1:$U$257,12,FALSE)),"",(VLOOKUP($B124,'B-1 Site Hedge Baseline'!$B$1:$U$257,12,FALSE))))</f>
        <v/>
      </c>
      <c r="M124" s="416" t="str">
        <f t="shared" si="15"/>
        <v/>
      </c>
      <c r="N124" s="498" t="str">
        <f>IFERROR(IF(B124="","",INDEX('G-6 Hedgerow Data'!$AN$3:$AZ$15,MATCH(C124,'G-6 Hedgerow Data'!$AM$3:$AM$15,0),MATCH(M124,'G-6 Hedgerow Data'!$AN$2:$AZ$2,0))),"")</f>
        <v/>
      </c>
      <c r="O124" s="499" t="str">
        <f t="shared" si="10"/>
        <v/>
      </c>
      <c r="P124" s="559" t="str">
        <f>IF(B124="","",VLOOKUP(B124,'B-1 Site Hedge Baseline'!$B$10:T369,16,FALSE))</f>
        <v/>
      </c>
      <c r="Q124" s="498" t="str">
        <f>IF(M124="","",VLOOKUP(M124,'G-6 Hedgerow Data'!$B$2:$AG$15,2,FALSE))</f>
        <v/>
      </c>
      <c r="R124" s="499" t="str">
        <f>IF(M124="","",VLOOKUP(M124,'G-6 Hedgerow Data'!$B$2:$AG$15,3,FALSE))</f>
        <v/>
      </c>
      <c r="S124" s="157"/>
      <c r="T124" s="540" t="str">
        <f>IFERROR(VLOOKUP(S124,'G-1 All Habitats'!$Z$2:$AA$9,2,FALSE),"")</f>
        <v/>
      </c>
      <c r="U124" s="154"/>
      <c r="V124" s="520" t="str">
        <f>IF(U124="","",IF(VLOOKUP(U124,'G-3 Multipliers'!$L$3:$N$6,2,FALSE)=0,"Spatial Data Missing ⚠",VLOOKUP(U124,'G-3 Multipliers'!$L$3:$N$6,2,FALSE)))</f>
        <v/>
      </c>
      <c r="W124" s="524" t="str">
        <f>IF(U124="","",IF(VLOOKUP(U124,'G-3 Multipliers'!$L$3:$N$6,3,FALSE)=0,"Spatial Data Missing ⚠",VLOOKUP(U124,'G-3 Multipliers'!$L$3:$N$6,3,FALSE)))</f>
        <v/>
      </c>
      <c r="X124" s="498"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7" t="str">
        <f t="shared" si="11"/>
        <v/>
      </c>
      <c r="AB124" s="521" t="str">
        <f t="shared" si="12"/>
        <v/>
      </c>
      <c r="AC124" s="522" t="str">
        <f t="shared" si="8"/>
        <v/>
      </c>
      <c r="AD124" s="537" t="str">
        <f>IF(M124="","",VLOOKUP(M124,'G-6 Hedgerow Data'!$B$3:$AG$15,31,FALSE))</f>
        <v/>
      </c>
      <c r="AE124" s="507" t="str">
        <f t="shared" si="13"/>
        <v/>
      </c>
      <c r="AF124" s="507" t="str">
        <f t="shared" si="14"/>
        <v/>
      </c>
      <c r="AG124" s="524" t="str">
        <f>IFERROR(IF(O124="","",VLOOKUP(AD124,'G-3 Multipliers'!$P$3:$Q$6,2,FALSE)),"")</f>
        <v/>
      </c>
      <c r="AH124" s="513" t="str">
        <f t="shared" si="9"/>
        <v/>
      </c>
      <c r="AI124" s="231"/>
      <c r="AJ124" s="150"/>
      <c r="AT124" s="31" t="str">
        <f>IFERROR(INDEX('G-6 Hedgerow Data'!$BJ$3:$BJ$15,MATCH(M124,'G-6 Hedgerow Data'!$B$3:$B$15,0)),"")</f>
        <v/>
      </c>
    </row>
    <row r="125" spans="2:46" ht="13.8" x14ac:dyDescent="0.25">
      <c r="B125" s="531" t="str">
        <f>'B-1 Site Hedge Baseline'!AK123</f>
        <v/>
      </c>
      <c r="C125" s="520" t="str">
        <f>IF(B125="","",IF(ISNA(VLOOKUP($B125,'B-1 Site Hedge Baseline'!$B$1:$L$257,3,FALSE)),"",(VLOOKUP($B125,'B-1 Site Hedge Baseline'!$B$1:$L$257,3,FALSE))))</f>
        <v/>
      </c>
      <c r="D125" s="520" t="str">
        <f>IF(B125="","",IF(ISNA(VLOOKUP($B125,'B-1 Site Hedge Baseline'!$B$1:$L$257,4,FALSE)),"",(VLOOKUP($B125,'B-1 Site Hedge Baseline'!$B$1:$L$257,4,FALSE))))</f>
        <v/>
      </c>
      <c r="E125" s="520" t="str">
        <f>IF(B125="","",IF(ISNA(VLOOKUP($B125,'B-1 Site Hedge Baseline'!$B$1:$L$257,5,FALSE)),"",(VLOOKUP($B125,'B-1 Site Hedge Baseline'!$B$1:$L$257,5,FALSE))))</f>
        <v/>
      </c>
      <c r="F125" s="520" t="str">
        <f>IF(B125="","",IF(ISNA(VLOOKUP($B125,'B-1 Site Hedge Baseline'!$B$1:$L$257,6,FALSE)),"",(VLOOKUP($B125,'B-1 Site Hedge Baseline'!$B$1:$L$257,6,FALSE))))</f>
        <v/>
      </c>
      <c r="G125" s="520" t="str">
        <f>IF(B125="","",IF(ISNA(VLOOKUP($B125,'B-1 Site Hedge Baseline'!$B$1:$L$257,7,FALSE)),"",(VLOOKUP($B125,'B-1 Site Hedge Baseline'!$B$1:$L$257,7,FALSE))))</f>
        <v/>
      </c>
      <c r="H125" s="520" t="str">
        <f>IF(B125="","",IF(ISNA(VLOOKUP($B125,'B-1 Site Hedge Baseline'!$B$1:$L$257,8,FALSE)),"",(VLOOKUP($B125,'B-1 Site Hedge Baseline'!$B$1:$L$257,8,FALSE))))</f>
        <v/>
      </c>
      <c r="I125" s="520" t="str">
        <f>IF(B125="","",IF(ISNA(VLOOKUP($B125,'B-1 Site Hedge Baseline'!$B$1:$L$257,10,FALSE)),"",(VLOOKUP($B125,'B-1 Site Hedge Baseline'!$B$1:$L$257,10,FALSE))))</f>
        <v/>
      </c>
      <c r="J125" s="520" t="str">
        <f>IF(B125="","",IF(ISNA(VLOOKUP($B125,'B-1 Site Hedge Baseline'!$B$1:$L$257,11,FALSE)),"",(VLOOKUP($B125,'B-1 Site Hedge Baseline'!$B$1:$L$257,11,FALSE))))</f>
        <v/>
      </c>
      <c r="K125" s="520" t="str">
        <f>IF(B125="","",IF(ISNA(VLOOKUP($B125,'B-1 Site Hedge Baseline'!$B$1:$U$257,13,FALSE)),"",(VLOOKUP($B125,'B-1 Site Hedge Baseline'!$B$1:$U$257,13,FALSE))))</f>
        <v/>
      </c>
      <c r="L125" s="524" t="str">
        <f>IF(B125="","",IF(ISNA(VLOOKUP($B125,'B-1 Site Hedge Baseline'!$B$1:$U$257,12,FALSE)),"",(VLOOKUP($B125,'B-1 Site Hedge Baseline'!$B$1:$U$257,12,FALSE))))</f>
        <v/>
      </c>
      <c r="M125" s="416" t="str">
        <f t="shared" si="15"/>
        <v/>
      </c>
      <c r="N125" s="498" t="str">
        <f>IFERROR(IF(B125="","",INDEX('G-6 Hedgerow Data'!$AN$3:$AZ$15,MATCH(C125,'G-6 Hedgerow Data'!$AM$3:$AM$15,0),MATCH(M125,'G-6 Hedgerow Data'!$AN$2:$AZ$2,0))),"")</f>
        <v/>
      </c>
      <c r="O125" s="499" t="str">
        <f t="shared" si="10"/>
        <v/>
      </c>
      <c r="P125" s="559" t="str">
        <f>IF(B125="","",VLOOKUP(B125,'B-1 Site Hedge Baseline'!$B$10:T370,16,FALSE))</f>
        <v/>
      </c>
      <c r="Q125" s="498" t="str">
        <f>IF(M125="","",VLOOKUP(M125,'G-6 Hedgerow Data'!$B$2:$AG$15,2,FALSE))</f>
        <v/>
      </c>
      <c r="R125" s="499" t="str">
        <f>IF(M125="","",VLOOKUP(M125,'G-6 Hedgerow Data'!$B$2:$AG$15,3,FALSE))</f>
        <v/>
      </c>
      <c r="S125" s="157"/>
      <c r="T125" s="540" t="str">
        <f>IFERROR(VLOOKUP(S125,'G-1 All Habitats'!$Z$2:$AA$9,2,FALSE),"")</f>
        <v/>
      </c>
      <c r="U125" s="154"/>
      <c r="V125" s="520" t="str">
        <f>IF(U125="","",IF(VLOOKUP(U125,'G-3 Multipliers'!$L$3:$N$6,2,FALSE)=0,"Spatial Data Missing ⚠",VLOOKUP(U125,'G-3 Multipliers'!$L$3:$N$6,2,FALSE)))</f>
        <v/>
      </c>
      <c r="W125" s="524" t="str">
        <f>IF(U125="","",IF(VLOOKUP(U125,'G-3 Multipliers'!$L$3:$N$6,3,FALSE)=0,"Spatial Data Missing ⚠",VLOOKUP(U125,'G-3 Multipliers'!$L$3:$N$6,3,FALSE)))</f>
        <v/>
      </c>
      <c r="X125" s="498"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7" t="str">
        <f t="shared" si="11"/>
        <v/>
      </c>
      <c r="AB125" s="521" t="str">
        <f t="shared" si="12"/>
        <v/>
      </c>
      <c r="AC125" s="522" t="str">
        <f t="shared" si="8"/>
        <v/>
      </c>
      <c r="AD125" s="537" t="str">
        <f>IF(M125="","",VLOOKUP(M125,'G-6 Hedgerow Data'!$B$3:$AG$15,31,FALSE))</f>
        <v/>
      </c>
      <c r="AE125" s="507" t="str">
        <f t="shared" si="13"/>
        <v/>
      </c>
      <c r="AF125" s="507" t="str">
        <f t="shared" si="14"/>
        <v/>
      </c>
      <c r="AG125" s="524" t="str">
        <f>IFERROR(IF(O125="","",VLOOKUP(AD125,'G-3 Multipliers'!$P$3:$Q$6,2,FALSE)),"")</f>
        <v/>
      </c>
      <c r="AH125" s="513" t="str">
        <f t="shared" si="9"/>
        <v/>
      </c>
      <c r="AI125" s="231"/>
      <c r="AJ125" s="150"/>
      <c r="AT125" s="31" t="str">
        <f>IFERROR(INDEX('G-6 Hedgerow Data'!$BJ$3:$BJ$15,MATCH(M125,'G-6 Hedgerow Data'!$B$3:$B$15,0)),"")</f>
        <v/>
      </c>
    </row>
    <row r="126" spans="2:46" ht="13.8" x14ac:dyDescent="0.25">
      <c r="B126" s="531" t="str">
        <f>'B-1 Site Hedge Baseline'!AK124</f>
        <v/>
      </c>
      <c r="C126" s="520" t="str">
        <f>IF(B126="","",IF(ISNA(VLOOKUP($B126,'B-1 Site Hedge Baseline'!$B$1:$L$257,3,FALSE)),"",(VLOOKUP($B126,'B-1 Site Hedge Baseline'!$B$1:$L$257,3,FALSE))))</f>
        <v/>
      </c>
      <c r="D126" s="520" t="str">
        <f>IF(B126="","",IF(ISNA(VLOOKUP($B126,'B-1 Site Hedge Baseline'!$B$1:$L$257,4,FALSE)),"",(VLOOKUP($B126,'B-1 Site Hedge Baseline'!$B$1:$L$257,4,FALSE))))</f>
        <v/>
      </c>
      <c r="E126" s="520" t="str">
        <f>IF(B126="","",IF(ISNA(VLOOKUP($B126,'B-1 Site Hedge Baseline'!$B$1:$L$257,5,FALSE)),"",(VLOOKUP($B126,'B-1 Site Hedge Baseline'!$B$1:$L$257,5,FALSE))))</f>
        <v/>
      </c>
      <c r="F126" s="520" t="str">
        <f>IF(B126="","",IF(ISNA(VLOOKUP($B126,'B-1 Site Hedge Baseline'!$B$1:$L$257,6,FALSE)),"",(VLOOKUP($B126,'B-1 Site Hedge Baseline'!$B$1:$L$257,6,FALSE))))</f>
        <v/>
      </c>
      <c r="G126" s="520" t="str">
        <f>IF(B126="","",IF(ISNA(VLOOKUP($B126,'B-1 Site Hedge Baseline'!$B$1:$L$257,7,FALSE)),"",(VLOOKUP($B126,'B-1 Site Hedge Baseline'!$B$1:$L$257,7,FALSE))))</f>
        <v/>
      </c>
      <c r="H126" s="520" t="str">
        <f>IF(B126="","",IF(ISNA(VLOOKUP($B126,'B-1 Site Hedge Baseline'!$B$1:$L$257,8,FALSE)),"",(VLOOKUP($B126,'B-1 Site Hedge Baseline'!$B$1:$L$257,8,FALSE))))</f>
        <v/>
      </c>
      <c r="I126" s="520" t="str">
        <f>IF(B126="","",IF(ISNA(VLOOKUP($B126,'B-1 Site Hedge Baseline'!$B$1:$L$257,10,FALSE)),"",(VLOOKUP($B126,'B-1 Site Hedge Baseline'!$B$1:$L$257,10,FALSE))))</f>
        <v/>
      </c>
      <c r="J126" s="520" t="str">
        <f>IF(B126="","",IF(ISNA(VLOOKUP($B126,'B-1 Site Hedge Baseline'!$B$1:$L$257,11,FALSE)),"",(VLOOKUP($B126,'B-1 Site Hedge Baseline'!$B$1:$L$257,11,FALSE))))</f>
        <v/>
      </c>
      <c r="K126" s="520" t="str">
        <f>IF(B126="","",IF(ISNA(VLOOKUP($B126,'B-1 Site Hedge Baseline'!$B$1:$U$257,13,FALSE)),"",(VLOOKUP($B126,'B-1 Site Hedge Baseline'!$B$1:$U$257,13,FALSE))))</f>
        <v/>
      </c>
      <c r="L126" s="524" t="str">
        <f>IF(B126="","",IF(ISNA(VLOOKUP($B126,'B-1 Site Hedge Baseline'!$B$1:$U$257,12,FALSE)),"",(VLOOKUP($B126,'B-1 Site Hedge Baseline'!$B$1:$U$257,12,FALSE))))</f>
        <v/>
      </c>
      <c r="M126" s="416" t="str">
        <f t="shared" si="15"/>
        <v/>
      </c>
      <c r="N126" s="498" t="str">
        <f>IFERROR(IF(B126="","",INDEX('G-6 Hedgerow Data'!$AN$3:$AZ$15,MATCH(C126,'G-6 Hedgerow Data'!$AM$3:$AM$15,0),MATCH(M126,'G-6 Hedgerow Data'!$AN$2:$AZ$2,0))),"")</f>
        <v/>
      </c>
      <c r="O126" s="499" t="str">
        <f t="shared" si="10"/>
        <v/>
      </c>
      <c r="P126" s="559" t="str">
        <f>IF(B126="","",VLOOKUP(B126,'B-1 Site Hedge Baseline'!$B$10:T371,16,FALSE))</f>
        <v/>
      </c>
      <c r="Q126" s="498" t="str">
        <f>IF(M126="","",VLOOKUP(M126,'G-6 Hedgerow Data'!$B$2:$AG$15,2,FALSE))</f>
        <v/>
      </c>
      <c r="R126" s="499" t="str">
        <f>IF(M126="","",VLOOKUP(M126,'G-6 Hedgerow Data'!$B$2:$AG$15,3,FALSE))</f>
        <v/>
      </c>
      <c r="S126" s="157"/>
      <c r="T126" s="540" t="str">
        <f>IFERROR(VLOOKUP(S126,'G-1 All Habitats'!$Z$2:$AA$9,2,FALSE),"")</f>
        <v/>
      </c>
      <c r="U126" s="154"/>
      <c r="V126" s="520" t="str">
        <f>IF(U126="","",IF(VLOOKUP(U126,'G-3 Multipliers'!$L$3:$N$6,2,FALSE)=0,"Spatial Data Missing ⚠",VLOOKUP(U126,'G-3 Multipliers'!$L$3:$N$6,2,FALSE)))</f>
        <v/>
      </c>
      <c r="W126" s="524" t="str">
        <f>IF(U126="","",IF(VLOOKUP(U126,'G-3 Multipliers'!$L$3:$N$6,3,FALSE)=0,"Spatial Data Missing ⚠",VLOOKUP(U126,'G-3 Multipliers'!$L$3:$N$6,3,FALSE)))</f>
        <v/>
      </c>
      <c r="X126" s="498"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7" t="str">
        <f t="shared" si="11"/>
        <v/>
      </c>
      <c r="AB126" s="521" t="str">
        <f t="shared" si="12"/>
        <v/>
      </c>
      <c r="AC126" s="522" t="str">
        <f t="shared" si="8"/>
        <v/>
      </c>
      <c r="AD126" s="537" t="str">
        <f>IF(M126="","",VLOOKUP(M126,'G-6 Hedgerow Data'!$B$3:$AG$15,31,FALSE))</f>
        <v/>
      </c>
      <c r="AE126" s="507" t="str">
        <f t="shared" si="13"/>
        <v/>
      </c>
      <c r="AF126" s="507" t="str">
        <f t="shared" si="14"/>
        <v/>
      </c>
      <c r="AG126" s="524" t="str">
        <f>IFERROR(IF(O126="","",VLOOKUP(AD126,'G-3 Multipliers'!$P$3:$Q$6,2,FALSE)),"")</f>
        <v/>
      </c>
      <c r="AH126" s="513" t="str">
        <f t="shared" si="9"/>
        <v/>
      </c>
      <c r="AI126" s="231"/>
      <c r="AJ126" s="150"/>
      <c r="AT126" s="31" t="str">
        <f>IFERROR(INDEX('G-6 Hedgerow Data'!$BJ$3:$BJ$15,MATCH(M126,'G-6 Hedgerow Data'!$B$3:$B$15,0)),"")</f>
        <v/>
      </c>
    </row>
    <row r="127" spans="2:46" ht="13.8" x14ac:dyDescent="0.25">
      <c r="B127" s="531" t="str">
        <f>'B-1 Site Hedge Baseline'!AK125</f>
        <v/>
      </c>
      <c r="C127" s="520" t="str">
        <f>IF(B127="","",IF(ISNA(VLOOKUP($B127,'B-1 Site Hedge Baseline'!$B$1:$L$257,3,FALSE)),"",(VLOOKUP($B127,'B-1 Site Hedge Baseline'!$B$1:$L$257,3,FALSE))))</f>
        <v/>
      </c>
      <c r="D127" s="520" t="str">
        <f>IF(B127="","",IF(ISNA(VLOOKUP($B127,'B-1 Site Hedge Baseline'!$B$1:$L$257,4,FALSE)),"",(VLOOKUP($B127,'B-1 Site Hedge Baseline'!$B$1:$L$257,4,FALSE))))</f>
        <v/>
      </c>
      <c r="E127" s="520" t="str">
        <f>IF(B127="","",IF(ISNA(VLOOKUP($B127,'B-1 Site Hedge Baseline'!$B$1:$L$257,5,FALSE)),"",(VLOOKUP($B127,'B-1 Site Hedge Baseline'!$B$1:$L$257,5,FALSE))))</f>
        <v/>
      </c>
      <c r="F127" s="520" t="str">
        <f>IF(B127="","",IF(ISNA(VLOOKUP($B127,'B-1 Site Hedge Baseline'!$B$1:$L$257,6,FALSE)),"",(VLOOKUP($B127,'B-1 Site Hedge Baseline'!$B$1:$L$257,6,FALSE))))</f>
        <v/>
      </c>
      <c r="G127" s="520" t="str">
        <f>IF(B127="","",IF(ISNA(VLOOKUP($B127,'B-1 Site Hedge Baseline'!$B$1:$L$257,7,FALSE)),"",(VLOOKUP($B127,'B-1 Site Hedge Baseline'!$B$1:$L$257,7,FALSE))))</f>
        <v/>
      </c>
      <c r="H127" s="520" t="str">
        <f>IF(B127="","",IF(ISNA(VLOOKUP($B127,'B-1 Site Hedge Baseline'!$B$1:$L$257,8,FALSE)),"",(VLOOKUP($B127,'B-1 Site Hedge Baseline'!$B$1:$L$257,8,FALSE))))</f>
        <v/>
      </c>
      <c r="I127" s="520" t="str">
        <f>IF(B127="","",IF(ISNA(VLOOKUP($B127,'B-1 Site Hedge Baseline'!$B$1:$L$257,10,FALSE)),"",(VLOOKUP($B127,'B-1 Site Hedge Baseline'!$B$1:$L$257,10,FALSE))))</f>
        <v/>
      </c>
      <c r="J127" s="520" t="str">
        <f>IF(B127="","",IF(ISNA(VLOOKUP($B127,'B-1 Site Hedge Baseline'!$B$1:$L$257,11,FALSE)),"",(VLOOKUP($B127,'B-1 Site Hedge Baseline'!$B$1:$L$257,11,FALSE))))</f>
        <v/>
      </c>
      <c r="K127" s="520" t="str">
        <f>IF(B127="","",IF(ISNA(VLOOKUP($B127,'B-1 Site Hedge Baseline'!$B$1:$U$257,13,FALSE)),"",(VLOOKUP($B127,'B-1 Site Hedge Baseline'!$B$1:$U$257,13,FALSE))))</f>
        <v/>
      </c>
      <c r="L127" s="524" t="str">
        <f>IF(B127="","",IF(ISNA(VLOOKUP($B127,'B-1 Site Hedge Baseline'!$B$1:$U$257,12,FALSE)),"",(VLOOKUP($B127,'B-1 Site Hedge Baseline'!$B$1:$U$257,12,FALSE))))</f>
        <v/>
      </c>
      <c r="M127" s="416" t="str">
        <f t="shared" si="15"/>
        <v/>
      </c>
      <c r="N127" s="498" t="str">
        <f>IFERROR(IF(B127="","",INDEX('G-6 Hedgerow Data'!$AN$3:$AZ$15,MATCH(C127,'G-6 Hedgerow Data'!$AM$3:$AM$15,0),MATCH(M127,'G-6 Hedgerow Data'!$AN$2:$AZ$2,0))),"")</f>
        <v/>
      </c>
      <c r="O127" s="499" t="str">
        <f t="shared" si="10"/>
        <v/>
      </c>
      <c r="P127" s="559" t="str">
        <f>IF(B127="","",VLOOKUP(B127,'B-1 Site Hedge Baseline'!$B$10:T372,16,FALSE))</f>
        <v/>
      </c>
      <c r="Q127" s="498" t="str">
        <f>IF(M127="","",VLOOKUP(M127,'G-6 Hedgerow Data'!$B$2:$AG$15,2,FALSE))</f>
        <v/>
      </c>
      <c r="R127" s="499" t="str">
        <f>IF(M127="","",VLOOKUP(M127,'G-6 Hedgerow Data'!$B$2:$AG$15,3,FALSE))</f>
        <v/>
      </c>
      <c r="S127" s="157"/>
      <c r="T127" s="540" t="str">
        <f>IFERROR(VLOOKUP(S127,'G-1 All Habitats'!$Z$2:$AA$9,2,FALSE),"")</f>
        <v/>
      </c>
      <c r="U127" s="154"/>
      <c r="V127" s="520" t="str">
        <f>IF(U127="","",IF(VLOOKUP(U127,'G-3 Multipliers'!$L$3:$N$6,2,FALSE)=0,"Spatial Data Missing ⚠",VLOOKUP(U127,'G-3 Multipliers'!$L$3:$N$6,2,FALSE)))</f>
        <v/>
      </c>
      <c r="W127" s="524" t="str">
        <f>IF(U127="","",IF(VLOOKUP(U127,'G-3 Multipliers'!$L$3:$N$6,3,FALSE)=0,"Spatial Data Missing ⚠",VLOOKUP(U127,'G-3 Multipliers'!$L$3:$N$6,3,FALSE)))</f>
        <v/>
      </c>
      <c r="X127" s="498"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7" t="str">
        <f t="shared" si="11"/>
        <v/>
      </c>
      <c r="AB127" s="521" t="str">
        <f t="shared" si="12"/>
        <v/>
      </c>
      <c r="AC127" s="522" t="str">
        <f t="shared" si="8"/>
        <v/>
      </c>
      <c r="AD127" s="537" t="str">
        <f>IF(M127="","",VLOOKUP(M127,'G-6 Hedgerow Data'!$B$3:$AG$15,31,FALSE))</f>
        <v/>
      </c>
      <c r="AE127" s="507" t="str">
        <f t="shared" si="13"/>
        <v/>
      </c>
      <c r="AF127" s="507" t="str">
        <f t="shared" si="14"/>
        <v/>
      </c>
      <c r="AG127" s="524" t="str">
        <f>IFERROR(IF(O127="","",VLOOKUP(AD127,'G-3 Multipliers'!$P$3:$Q$6,2,FALSE)),"")</f>
        <v/>
      </c>
      <c r="AH127" s="513" t="str">
        <f t="shared" si="9"/>
        <v/>
      </c>
      <c r="AI127" s="231"/>
      <c r="AJ127" s="150"/>
      <c r="AT127" s="31" t="str">
        <f>IFERROR(INDEX('G-6 Hedgerow Data'!$BJ$3:$BJ$15,MATCH(M127,'G-6 Hedgerow Data'!$B$3:$B$15,0)),"")</f>
        <v/>
      </c>
    </row>
    <row r="128" spans="2:46" ht="13.8" x14ac:dyDescent="0.25">
      <c r="B128" s="531" t="str">
        <f>'B-1 Site Hedge Baseline'!AK126</f>
        <v/>
      </c>
      <c r="C128" s="520" t="str">
        <f>IF(B128="","",IF(ISNA(VLOOKUP($B128,'B-1 Site Hedge Baseline'!$B$1:$L$257,3,FALSE)),"",(VLOOKUP($B128,'B-1 Site Hedge Baseline'!$B$1:$L$257,3,FALSE))))</f>
        <v/>
      </c>
      <c r="D128" s="520" t="str">
        <f>IF(B128="","",IF(ISNA(VLOOKUP($B128,'B-1 Site Hedge Baseline'!$B$1:$L$257,4,FALSE)),"",(VLOOKUP($B128,'B-1 Site Hedge Baseline'!$B$1:$L$257,4,FALSE))))</f>
        <v/>
      </c>
      <c r="E128" s="520" t="str">
        <f>IF(B128="","",IF(ISNA(VLOOKUP($B128,'B-1 Site Hedge Baseline'!$B$1:$L$257,5,FALSE)),"",(VLOOKUP($B128,'B-1 Site Hedge Baseline'!$B$1:$L$257,5,FALSE))))</f>
        <v/>
      </c>
      <c r="F128" s="520" t="str">
        <f>IF(B128="","",IF(ISNA(VLOOKUP($B128,'B-1 Site Hedge Baseline'!$B$1:$L$257,6,FALSE)),"",(VLOOKUP($B128,'B-1 Site Hedge Baseline'!$B$1:$L$257,6,FALSE))))</f>
        <v/>
      </c>
      <c r="G128" s="520" t="str">
        <f>IF(B128="","",IF(ISNA(VLOOKUP($B128,'B-1 Site Hedge Baseline'!$B$1:$L$257,7,FALSE)),"",(VLOOKUP($B128,'B-1 Site Hedge Baseline'!$B$1:$L$257,7,FALSE))))</f>
        <v/>
      </c>
      <c r="H128" s="520" t="str">
        <f>IF(B128="","",IF(ISNA(VLOOKUP($B128,'B-1 Site Hedge Baseline'!$B$1:$L$257,8,FALSE)),"",(VLOOKUP($B128,'B-1 Site Hedge Baseline'!$B$1:$L$257,8,FALSE))))</f>
        <v/>
      </c>
      <c r="I128" s="520" t="str">
        <f>IF(B128="","",IF(ISNA(VLOOKUP($B128,'B-1 Site Hedge Baseline'!$B$1:$L$257,10,FALSE)),"",(VLOOKUP($B128,'B-1 Site Hedge Baseline'!$B$1:$L$257,10,FALSE))))</f>
        <v/>
      </c>
      <c r="J128" s="520" t="str">
        <f>IF(B128="","",IF(ISNA(VLOOKUP($B128,'B-1 Site Hedge Baseline'!$B$1:$L$257,11,FALSE)),"",(VLOOKUP($B128,'B-1 Site Hedge Baseline'!$B$1:$L$257,11,FALSE))))</f>
        <v/>
      </c>
      <c r="K128" s="520" t="str">
        <f>IF(B128="","",IF(ISNA(VLOOKUP($B128,'B-1 Site Hedge Baseline'!$B$1:$U$257,13,FALSE)),"",(VLOOKUP($B128,'B-1 Site Hedge Baseline'!$B$1:$U$257,13,FALSE))))</f>
        <v/>
      </c>
      <c r="L128" s="524" t="str">
        <f>IF(B128="","",IF(ISNA(VLOOKUP($B128,'B-1 Site Hedge Baseline'!$B$1:$U$257,12,FALSE)),"",(VLOOKUP($B128,'B-1 Site Hedge Baseline'!$B$1:$U$257,12,FALSE))))</f>
        <v/>
      </c>
      <c r="M128" s="416" t="str">
        <f t="shared" si="15"/>
        <v/>
      </c>
      <c r="N128" s="498" t="str">
        <f>IFERROR(IF(B128="","",INDEX('G-6 Hedgerow Data'!$AN$3:$AZ$15,MATCH(C128,'G-6 Hedgerow Data'!$AM$3:$AM$15,0),MATCH(M128,'G-6 Hedgerow Data'!$AN$2:$AZ$2,0))),"")</f>
        <v/>
      </c>
      <c r="O128" s="499" t="str">
        <f t="shared" si="10"/>
        <v/>
      </c>
      <c r="P128" s="559" t="str">
        <f>IF(B128="","",VLOOKUP(B128,'B-1 Site Hedge Baseline'!$B$10:T373,16,FALSE))</f>
        <v/>
      </c>
      <c r="Q128" s="498" t="str">
        <f>IF(M128="","",VLOOKUP(M128,'G-6 Hedgerow Data'!$B$2:$AG$15,2,FALSE))</f>
        <v/>
      </c>
      <c r="R128" s="499" t="str">
        <f>IF(M128="","",VLOOKUP(M128,'G-6 Hedgerow Data'!$B$2:$AG$15,3,FALSE))</f>
        <v/>
      </c>
      <c r="S128" s="157"/>
      <c r="T128" s="540" t="str">
        <f>IFERROR(VLOOKUP(S128,'G-1 All Habitats'!$Z$2:$AA$9,2,FALSE),"")</f>
        <v/>
      </c>
      <c r="U128" s="154"/>
      <c r="V128" s="520" t="str">
        <f>IF(U128="","",IF(VLOOKUP(U128,'G-3 Multipliers'!$L$3:$N$6,2,FALSE)=0,"Spatial Data Missing ⚠",VLOOKUP(U128,'G-3 Multipliers'!$L$3:$N$6,2,FALSE)))</f>
        <v/>
      </c>
      <c r="W128" s="524" t="str">
        <f>IF(U128="","",IF(VLOOKUP(U128,'G-3 Multipliers'!$L$3:$N$6,3,FALSE)=0,"Spatial Data Missing ⚠",VLOOKUP(U128,'G-3 Multipliers'!$L$3:$N$6,3,FALSE)))</f>
        <v/>
      </c>
      <c r="X128" s="498"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7" t="str">
        <f t="shared" si="11"/>
        <v/>
      </c>
      <c r="AB128" s="521" t="str">
        <f t="shared" si="12"/>
        <v/>
      </c>
      <c r="AC128" s="522" t="str">
        <f t="shared" si="8"/>
        <v/>
      </c>
      <c r="AD128" s="537" t="str">
        <f>IF(M128="","",VLOOKUP(M128,'G-6 Hedgerow Data'!$B$3:$AG$15,31,FALSE))</f>
        <v/>
      </c>
      <c r="AE128" s="507" t="str">
        <f t="shared" si="13"/>
        <v/>
      </c>
      <c r="AF128" s="507" t="str">
        <f t="shared" si="14"/>
        <v/>
      </c>
      <c r="AG128" s="524" t="str">
        <f>IFERROR(IF(O128="","",VLOOKUP(AD128,'G-3 Multipliers'!$P$3:$Q$6,2,FALSE)),"")</f>
        <v/>
      </c>
      <c r="AH128" s="513" t="str">
        <f t="shared" si="9"/>
        <v/>
      </c>
      <c r="AI128" s="231"/>
      <c r="AJ128" s="150"/>
      <c r="AT128" s="31" t="str">
        <f>IFERROR(INDEX('G-6 Hedgerow Data'!$BJ$3:$BJ$15,MATCH(M128,'G-6 Hedgerow Data'!$B$3:$B$15,0)),"")</f>
        <v/>
      </c>
    </row>
    <row r="129" spans="2:46" ht="13.8" x14ac:dyDescent="0.25">
      <c r="B129" s="531" t="str">
        <f>'B-1 Site Hedge Baseline'!AK127</f>
        <v/>
      </c>
      <c r="C129" s="520" t="str">
        <f>IF(B129="","",IF(ISNA(VLOOKUP($B129,'B-1 Site Hedge Baseline'!$B$1:$L$257,3,FALSE)),"",(VLOOKUP($B129,'B-1 Site Hedge Baseline'!$B$1:$L$257,3,FALSE))))</f>
        <v/>
      </c>
      <c r="D129" s="520" t="str">
        <f>IF(B129="","",IF(ISNA(VLOOKUP($B129,'B-1 Site Hedge Baseline'!$B$1:$L$257,4,FALSE)),"",(VLOOKUP($B129,'B-1 Site Hedge Baseline'!$B$1:$L$257,4,FALSE))))</f>
        <v/>
      </c>
      <c r="E129" s="520" t="str">
        <f>IF(B129="","",IF(ISNA(VLOOKUP($B129,'B-1 Site Hedge Baseline'!$B$1:$L$257,5,FALSE)),"",(VLOOKUP($B129,'B-1 Site Hedge Baseline'!$B$1:$L$257,5,FALSE))))</f>
        <v/>
      </c>
      <c r="F129" s="520" t="str">
        <f>IF(B129="","",IF(ISNA(VLOOKUP($B129,'B-1 Site Hedge Baseline'!$B$1:$L$257,6,FALSE)),"",(VLOOKUP($B129,'B-1 Site Hedge Baseline'!$B$1:$L$257,6,FALSE))))</f>
        <v/>
      </c>
      <c r="G129" s="520" t="str">
        <f>IF(B129="","",IF(ISNA(VLOOKUP($B129,'B-1 Site Hedge Baseline'!$B$1:$L$257,7,FALSE)),"",(VLOOKUP($B129,'B-1 Site Hedge Baseline'!$B$1:$L$257,7,FALSE))))</f>
        <v/>
      </c>
      <c r="H129" s="520" t="str">
        <f>IF(B129="","",IF(ISNA(VLOOKUP($B129,'B-1 Site Hedge Baseline'!$B$1:$L$257,8,FALSE)),"",(VLOOKUP($B129,'B-1 Site Hedge Baseline'!$B$1:$L$257,8,FALSE))))</f>
        <v/>
      </c>
      <c r="I129" s="520" t="str">
        <f>IF(B129="","",IF(ISNA(VLOOKUP($B129,'B-1 Site Hedge Baseline'!$B$1:$L$257,10,FALSE)),"",(VLOOKUP($B129,'B-1 Site Hedge Baseline'!$B$1:$L$257,10,FALSE))))</f>
        <v/>
      </c>
      <c r="J129" s="520" t="str">
        <f>IF(B129="","",IF(ISNA(VLOOKUP($B129,'B-1 Site Hedge Baseline'!$B$1:$L$257,11,FALSE)),"",(VLOOKUP($B129,'B-1 Site Hedge Baseline'!$B$1:$L$257,11,FALSE))))</f>
        <v/>
      </c>
      <c r="K129" s="520" t="str">
        <f>IF(B129="","",IF(ISNA(VLOOKUP($B129,'B-1 Site Hedge Baseline'!$B$1:$U$257,13,FALSE)),"",(VLOOKUP($B129,'B-1 Site Hedge Baseline'!$B$1:$U$257,13,FALSE))))</f>
        <v/>
      </c>
      <c r="L129" s="524" t="str">
        <f>IF(B129="","",IF(ISNA(VLOOKUP($B129,'B-1 Site Hedge Baseline'!$B$1:$U$257,12,FALSE)),"",(VLOOKUP($B129,'B-1 Site Hedge Baseline'!$B$1:$U$257,12,FALSE))))</f>
        <v/>
      </c>
      <c r="M129" s="416" t="str">
        <f t="shared" si="15"/>
        <v/>
      </c>
      <c r="N129" s="498" t="str">
        <f>IFERROR(IF(B129="","",INDEX('G-6 Hedgerow Data'!$AN$3:$AZ$15,MATCH(C129,'G-6 Hedgerow Data'!$AM$3:$AM$15,0),MATCH(M129,'G-6 Hedgerow Data'!$AN$2:$AZ$2,0))),"")</f>
        <v/>
      </c>
      <c r="O129" s="499" t="str">
        <f t="shared" si="10"/>
        <v/>
      </c>
      <c r="P129" s="559" t="str">
        <f>IF(B129="","",VLOOKUP(B129,'B-1 Site Hedge Baseline'!$B$10:T374,16,FALSE))</f>
        <v/>
      </c>
      <c r="Q129" s="498" t="str">
        <f>IF(M129="","",VLOOKUP(M129,'G-6 Hedgerow Data'!$B$2:$AG$15,2,FALSE))</f>
        <v/>
      </c>
      <c r="R129" s="499" t="str">
        <f>IF(M129="","",VLOOKUP(M129,'G-6 Hedgerow Data'!$B$2:$AG$15,3,FALSE))</f>
        <v/>
      </c>
      <c r="S129" s="157"/>
      <c r="T129" s="540" t="str">
        <f>IFERROR(VLOOKUP(S129,'G-1 All Habitats'!$Z$2:$AA$9,2,FALSE),"")</f>
        <v/>
      </c>
      <c r="U129" s="154"/>
      <c r="V129" s="520" t="str">
        <f>IF(U129="","",IF(VLOOKUP(U129,'G-3 Multipliers'!$L$3:$N$6,2,FALSE)=0,"Spatial Data Missing ⚠",VLOOKUP(U129,'G-3 Multipliers'!$L$3:$N$6,2,FALSE)))</f>
        <v/>
      </c>
      <c r="W129" s="524" t="str">
        <f>IF(U129="","",IF(VLOOKUP(U129,'G-3 Multipliers'!$L$3:$N$6,3,FALSE)=0,"Spatial Data Missing ⚠",VLOOKUP(U129,'G-3 Multipliers'!$L$3:$N$6,3,FALSE)))</f>
        <v/>
      </c>
      <c r="X129" s="498"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7" t="str">
        <f t="shared" si="11"/>
        <v/>
      </c>
      <c r="AB129" s="521" t="str">
        <f t="shared" si="12"/>
        <v/>
      </c>
      <c r="AC129" s="522" t="str">
        <f t="shared" si="8"/>
        <v/>
      </c>
      <c r="AD129" s="537" t="str">
        <f>IF(M129="","",VLOOKUP(M129,'G-6 Hedgerow Data'!$B$3:$AG$15,31,FALSE))</f>
        <v/>
      </c>
      <c r="AE129" s="507" t="str">
        <f t="shared" si="13"/>
        <v/>
      </c>
      <c r="AF129" s="507" t="str">
        <f t="shared" si="14"/>
        <v/>
      </c>
      <c r="AG129" s="524" t="str">
        <f>IFERROR(IF(O129="","",VLOOKUP(AD129,'G-3 Multipliers'!$P$3:$Q$6,2,FALSE)),"")</f>
        <v/>
      </c>
      <c r="AH129" s="513" t="str">
        <f t="shared" si="9"/>
        <v/>
      </c>
      <c r="AI129" s="231"/>
      <c r="AJ129" s="150"/>
      <c r="AT129" s="31" t="str">
        <f>IFERROR(INDEX('G-6 Hedgerow Data'!$BJ$3:$BJ$15,MATCH(M129,'G-6 Hedgerow Data'!$B$3:$B$15,0)),"")</f>
        <v/>
      </c>
    </row>
    <row r="130" spans="2:46" ht="13.8" x14ac:dyDescent="0.25">
      <c r="B130" s="531" t="str">
        <f>'B-1 Site Hedge Baseline'!AK128</f>
        <v/>
      </c>
      <c r="C130" s="520" t="str">
        <f>IF(B130="","",IF(ISNA(VLOOKUP($B130,'B-1 Site Hedge Baseline'!$B$1:$L$257,3,FALSE)),"",(VLOOKUP($B130,'B-1 Site Hedge Baseline'!$B$1:$L$257,3,FALSE))))</f>
        <v/>
      </c>
      <c r="D130" s="520" t="str">
        <f>IF(B130="","",IF(ISNA(VLOOKUP($B130,'B-1 Site Hedge Baseline'!$B$1:$L$257,4,FALSE)),"",(VLOOKUP($B130,'B-1 Site Hedge Baseline'!$B$1:$L$257,4,FALSE))))</f>
        <v/>
      </c>
      <c r="E130" s="520" t="str">
        <f>IF(B130="","",IF(ISNA(VLOOKUP($B130,'B-1 Site Hedge Baseline'!$B$1:$L$257,5,FALSE)),"",(VLOOKUP($B130,'B-1 Site Hedge Baseline'!$B$1:$L$257,5,FALSE))))</f>
        <v/>
      </c>
      <c r="F130" s="520" t="str">
        <f>IF(B130="","",IF(ISNA(VLOOKUP($B130,'B-1 Site Hedge Baseline'!$B$1:$L$257,6,FALSE)),"",(VLOOKUP($B130,'B-1 Site Hedge Baseline'!$B$1:$L$257,6,FALSE))))</f>
        <v/>
      </c>
      <c r="G130" s="520" t="str">
        <f>IF(B130="","",IF(ISNA(VLOOKUP($B130,'B-1 Site Hedge Baseline'!$B$1:$L$257,7,FALSE)),"",(VLOOKUP($B130,'B-1 Site Hedge Baseline'!$B$1:$L$257,7,FALSE))))</f>
        <v/>
      </c>
      <c r="H130" s="520" t="str">
        <f>IF(B130="","",IF(ISNA(VLOOKUP($B130,'B-1 Site Hedge Baseline'!$B$1:$L$257,8,FALSE)),"",(VLOOKUP($B130,'B-1 Site Hedge Baseline'!$B$1:$L$257,8,FALSE))))</f>
        <v/>
      </c>
      <c r="I130" s="520" t="str">
        <f>IF(B130="","",IF(ISNA(VLOOKUP($B130,'B-1 Site Hedge Baseline'!$B$1:$L$257,10,FALSE)),"",(VLOOKUP($B130,'B-1 Site Hedge Baseline'!$B$1:$L$257,10,FALSE))))</f>
        <v/>
      </c>
      <c r="J130" s="520" t="str">
        <f>IF(B130="","",IF(ISNA(VLOOKUP($B130,'B-1 Site Hedge Baseline'!$B$1:$L$257,11,FALSE)),"",(VLOOKUP($B130,'B-1 Site Hedge Baseline'!$B$1:$L$257,11,FALSE))))</f>
        <v/>
      </c>
      <c r="K130" s="520" t="str">
        <f>IF(B130="","",IF(ISNA(VLOOKUP($B130,'B-1 Site Hedge Baseline'!$B$1:$U$257,13,FALSE)),"",(VLOOKUP($B130,'B-1 Site Hedge Baseline'!$B$1:$U$257,13,FALSE))))</f>
        <v/>
      </c>
      <c r="L130" s="524" t="str">
        <f>IF(B130="","",IF(ISNA(VLOOKUP($B130,'B-1 Site Hedge Baseline'!$B$1:$U$257,12,FALSE)),"",(VLOOKUP($B130,'B-1 Site Hedge Baseline'!$B$1:$U$257,12,FALSE))))</f>
        <v/>
      </c>
      <c r="M130" s="416" t="str">
        <f t="shared" si="15"/>
        <v/>
      </c>
      <c r="N130" s="498" t="str">
        <f>IFERROR(IF(B130="","",INDEX('G-6 Hedgerow Data'!$AN$3:$AZ$15,MATCH(C130,'G-6 Hedgerow Data'!$AM$3:$AM$15,0),MATCH(M130,'G-6 Hedgerow Data'!$AN$2:$AZ$2,0))),"")</f>
        <v/>
      </c>
      <c r="O130" s="499" t="str">
        <f t="shared" si="10"/>
        <v/>
      </c>
      <c r="P130" s="559" t="str">
        <f>IF(B130="","",VLOOKUP(B130,'B-1 Site Hedge Baseline'!$B$10:T375,16,FALSE))</f>
        <v/>
      </c>
      <c r="Q130" s="498" t="str">
        <f>IF(M130="","",VLOOKUP(M130,'G-6 Hedgerow Data'!$B$2:$AG$15,2,FALSE))</f>
        <v/>
      </c>
      <c r="R130" s="499" t="str">
        <f>IF(M130="","",VLOOKUP(M130,'G-6 Hedgerow Data'!$B$2:$AG$15,3,FALSE))</f>
        <v/>
      </c>
      <c r="S130" s="157"/>
      <c r="T130" s="540" t="str">
        <f>IFERROR(VLOOKUP(S130,'G-1 All Habitats'!$Z$2:$AA$9,2,FALSE),"")</f>
        <v/>
      </c>
      <c r="U130" s="154"/>
      <c r="V130" s="520" t="str">
        <f>IF(U130="","",IF(VLOOKUP(U130,'G-3 Multipliers'!$L$3:$N$6,2,FALSE)=0,"Spatial Data Missing ⚠",VLOOKUP(U130,'G-3 Multipliers'!$L$3:$N$6,2,FALSE)))</f>
        <v/>
      </c>
      <c r="W130" s="524" t="str">
        <f>IF(U130="","",IF(VLOOKUP(U130,'G-3 Multipliers'!$L$3:$N$6,3,FALSE)=0,"Spatial Data Missing ⚠",VLOOKUP(U130,'G-3 Multipliers'!$L$3:$N$6,3,FALSE)))</f>
        <v/>
      </c>
      <c r="X130" s="498"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7" t="str">
        <f t="shared" si="11"/>
        <v/>
      </c>
      <c r="AB130" s="521" t="str">
        <f t="shared" si="12"/>
        <v/>
      </c>
      <c r="AC130" s="522" t="str">
        <f t="shared" si="8"/>
        <v/>
      </c>
      <c r="AD130" s="537" t="str">
        <f>IF(M130="","",VLOOKUP(M130,'G-6 Hedgerow Data'!$B$3:$AG$15,31,FALSE))</f>
        <v/>
      </c>
      <c r="AE130" s="507" t="str">
        <f t="shared" si="13"/>
        <v/>
      </c>
      <c r="AF130" s="507" t="str">
        <f t="shared" si="14"/>
        <v/>
      </c>
      <c r="AG130" s="524" t="str">
        <f>IFERROR(IF(O130="","",VLOOKUP(AD130,'G-3 Multipliers'!$P$3:$Q$6,2,FALSE)),"")</f>
        <v/>
      </c>
      <c r="AH130" s="513" t="str">
        <f t="shared" si="9"/>
        <v/>
      </c>
      <c r="AI130" s="231"/>
      <c r="AJ130" s="150"/>
      <c r="AT130" s="31" t="str">
        <f>IFERROR(INDEX('G-6 Hedgerow Data'!$BJ$3:$BJ$15,MATCH(M130,'G-6 Hedgerow Data'!$B$3:$B$15,0)),"")</f>
        <v/>
      </c>
    </row>
    <row r="131" spans="2:46" ht="13.8" x14ac:dyDescent="0.25">
      <c r="B131" s="531" t="str">
        <f>'B-1 Site Hedge Baseline'!AK129</f>
        <v/>
      </c>
      <c r="C131" s="520" t="str">
        <f>IF(B131="","",IF(ISNA(VLOOKUP($B131,'B-1 Site Hedge Baseline'!$B$1:$L$257,3,FALSE)),"",(VLOOKUP($B131,'B-1 Site Hedge Baseline'!$B$1:$L$257,3,FALSE))))</f>
        <v/>
      </c>
      <c r="D131" s="520" t="str">
        <f>IF(B131="","",IF(ISNA(VLOOKUP($B131,'B-1 Site Hedge Baseline'!$B$1:$L$257,4,FALSE)),"",(VLOOKUP($B131,'B-1 Site Hedge Baseline'!$B$1:$L$257,4,FALSE))))</f>
        <v/>
      </c>
      <c r="E131" s="520" t="str">
        <f>IF(B131="","",IF(ISNA(VLOOKUP($B131,'B-1 Site Hedge Baseline'!$B$1:$L$257,5,FALSE)),"",(VLOOKUP($B131,'B-1 Site Hedge Baseline'!$B$1:$L$257,5,FALSE))))</f>
        <v/>
      </c>
      <c r="F131" s="520" t="str">
        <f>IF(B131="","",IF(ISNA(VLOOKUP($B131,'B-1 Site Hedge Baseline'!$B$1:$L$257,6,FALSE)),"",(VLOOKUP($B131,'B-1 Site Hedge Baseline'!$B$1:$L$257,6,FALSE))))</f>
        <v/>
      </c>
      <c r="G131" s="520" t="str">
        <f>IF(B131="","",IF(ISNA(VLOOKUP($B131,'B-1 Site Hedge Baseline'!$B$1:$L$257,7,FALSE)),"",(VLOOKUP($B131,'B-1 Site Hedge Baseline'!$B$1:$L$257,7,FALSE))))</f>
        <v/>
      </c>
      <c r="H131" s="520" t="str">
        <f>IF(B131="","",IF(ISNA(VLOOKUP($B131,'B-1 Site Hedge Baseline'!$B$1:$L$257,8,FALSE)),"",(VLOOKUP($B131,'B-1 Site Hedge Baseline'!$B$1:$L$257,8,FALSE))))</f>
        <v/>
      </c>
      <c r="I131" s="520" t="str">
        <f>IF(B131="","",IF(ISNA(VLOOKUP($B131,'B-1 Site Hedge Baseline'!$B$1:$L$257,10,FALSE)),"",(VLOOKUP($B131,'B-1 Site Hedge Baseline'!$B$1:$L$257,10,FALSE))))</f>
        <v/>
      </c>
      <c r="J131" s="520" t="str">
        <f>IF(B131="","",IF(ISNA(VLOOKUP($B131,'B-1 Site Hedge Baseline'!$B$1:$L$257,11,FALSE)),"",(VLOOKUP($B131,'B-1 Site Hedge Baseline'!$B$1:$L$257,11,FALSE))))</f>
        <v/>
      </c>
      <c r="K131" s="520" t="str">
        <f>IF(B131="","",IF(ISNA(VLOOKUP($B131,'B-1 Site Hedge Baseline'!$B$1:$U$257,13,FALSE)),"",(VLOOKUP($B131,'B-1 Site Hedge Baseline'!$B$1:$U$257,13,FALSE))))</f>
        <v/>
      </c>
      <c r="L131" s="524" t="str">
        <f>IF(B131="","",IF(ISNA(VLOOKUP($B131,'B-1 Site Hedge Baseline'!$B$1:$U$257,12,FALSE)),"",(VLOOKUP($B131,'B-1 Site Hedge Baseline'!$B$1:$U$257,12,FALSE))))</f>
        <v/>
      </c>
      <c r="M131" s="416" t="str">
        <f t="shared" si="15"/>
        <v/>
      </c>
      <c r="N131" s="498" t="str">
        <f>IFERROR(IF(B131="","",INDEX('G-6 Hedgerow Data'!$AN$3:$AZ$15,MATCH(C131,'G-6 Hedgerow Data'!$AM$3:$AM$15,0),MATCH(M131,'G-6 Hedgerow Data'!$AN$2:$AZ$2,0))),"")</f>
        <v/>
      </c>
      <c r="O131" s="499" t="str">
        <f t="shared" si="10"/>
        <v/>
      </c>
      <c r="P131" s="559" t="str">
        <f>IF(B131="","",VLOOKUP(B131,'B-1 Site Hedge Baseline'!$B$10:T376,16,FALSE))</f>
        <v/>
      </c>
      <c r="Q131" s="498" t="str">
        <f>IF(M131="","",VLOOKUP(M131,'G-6 Hedgerow Data'!$B$2:$AG$15,2,FALSE))</f>
        <v/>
      </c>
      <c r="R131" s="499" t="str">
        <f>IF(M131="","",VLOOKUP(M131,'G-6 Hedgerow Data'!$B$2:$AG$15,3,FALSE))</f>
        <v/>
      </c>
      <c r="S131" s="157"/>
      <c r="T131" s="540" t="str">
        <f>IFERROR(VLOOKUP(S131,'G-1 All Habitats'!$Z$2:$AA$9,2,FALSE),"")</f>
        <v/>
      </c>
      <c r="U131" s="154"/>
      <c r="V131" s="520" t="str">
        <f>IF(U131="","",IF(VLOOKUP(U131,'G-3 Multipliers'!$L$3:$N$6,2,FALSE)=0,"Spatial Data Missing ⚠",VLOOKUP(U131,'G-3 Multipliers'!$L$3:$N$6,2,FALSE)))</f>
        <v/>
      </c>
      <c r="W131" s="524" t="str">
        <f>IF(U131="","",IF(VLOOKUP(U131,'G-3 Multipliers'!$L$3:$N$6,3,FALSE)=0,"Spatial Data Missing ⚠",VLOOKUP(U131,'G-3 Multipliers'!$L$3:$N$6,3,FALSE)))</f>
        <v/>
      </c>
      <c r="X131" s="498"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7" t="str">
        <f t="shared" si="11"/>
        <v/>
      </c>
      <c r="AB131" s="521" t="str">
        <f t="shared" si="12"/>
        <v/>
      </c>
      <c r="AC131" s="522" t="str">
        <f t="shared" si="8"/>
        <v/>
      </c>
      <c r="AD131" s="537" t="str">
        <f>IF(M131="","",VLOOKUP(M131,'G-6 Hedgerow Data'!$B$3:$AG$15,31,FALSE))</f>
        <v/>
      </c>
      <c r="AE131" s="507" t="str">
        <f t="shared" si="13"/>
        <v/>
      </c>
      <c r="AF131" s="507" t="str">
        <f t="shared" si="14"/>
        <v/>
      </c>
      <c r="AG131" s="524" t="str">
        <f>IFERROR(IF(O131="","",VLOOKUP(AD131,'G-3 Multipliers'!$P$3:$Q$6,2,FALSE)),"")</f>
        <v/>
      </c>
      <c r="AH131" s="513" t="str">
        <f t="shared" si="9"/>
        <v/>
      </c>
      <c r="AI131" s="231"/>
      <c r="AJ131" s="150"/>
      <c r="AT131" s="31" t="str">
        <f>IFERROR(INDEX('G-6 Hedgerow Data'!$BJ$3:$BJ$15,MATCH(M131,'G-6 Hedgerow Data'!$B$3:$B$15,0)),"")</f>
        <v/>
      </c>
    </row>
    <row r="132" spans="2:46" ht="13.8" x14ac:dyDescent="0.25">
      <c r="B132" s="531" t="str">
        <f>'B-1 Site Hedge Baseline'!AK130</f>
        <v/>
      </c>
      <c r="C132" s="520" t="str">
        <f>IF(B132="","",IF(ISNA(VLOOKUP($B132,'B-1 Site Hedge Baseline'!$B$1:$L$257,3,FALSE)),"",(VLOOKUP($B132,'B-1 Site Hedge Baseline'!$B$1:$L$257,3,FALSE))))</f>
        <v/>
      </c>
      <c r="D132" s="520" t="str">
        <f>IF(B132="","",IF(ISNA(VLOOKUP($B132,'B-1 Site Hedge Baseline'!$B$1:$L$257,4,FALSE)),"",(VLOOKUP($B132,'B-1 Site Hedge Baseline'!$B$1:$L$257,4,FALSE))))</f>
        <v/>
      </c>
      <c r="E132" s="520" t="str">
        <f>IF(B132="","",IF(ISNA(VLOOKUP($B132,'B-1 Site Hedge Baseline'!$B$1:$L$257,5,FALSE)),"",(VLOOKUP($B132,'B-1 Site Hedge Baseline'!$B$1:$L$257,5,FALSE))))</f>
        <v/>
      </c>
      <c r="F132" s="520" t="str">
        <f>IF(B132="","",IF(ISNA(VLOOKUP($B132,'B-1 Site Hedge Baseline'!$B$1:$L$257,6,FALSE)),"",(VLOOKUP($B132,'B-1 Site Hedge Baseline'!$B$1:$L$257,6,FALSE))))</f>
        <v/>
      </c>
      <c r="G132" s="520" t="str">
        <f>IF(B132="","",IF(ISNA(VLOOKUP($B132,'B-1 Site Hedge Baseline'!$B$1:$L$257,7,FALSE)),"",(VLOOKUP($B132,'B-1 Site Hedge Baseline'!$B$1:$L$257,7,FALSE))))</f>
        <v/>
      </c>
      <c r="H132" s="520" t="str">
        <f>IF(B132="","",IF(ISNA(VLOOKUP($B132,'B-1 Site Hedge Baseline'!$B$1:$L$257,8,FALSE)),"",(VLOOKUP($B132,'B-1 Site Hedge Baseline'!$B$1:$L$257,8,FALSE))))</f>
        <v/>
      </c>
      <c r="I132" s="520" t="str">
        <f>IF(B132="","",IF(ISNA(VLOOKUP($B132,'B-1 Site Hedge Baseline'!$B$1:$L$257,10,FALSE)),"",(VLOOKUP($B132,'B-1 Site Hedge Baseline'!$B$1:$L$257,10,FALSE))))</f>
        <v/>
      </c>
      <c r="J132" s="520" t="str">
        <f>IF(B132="","",IF(ISNA(VLOOKUP($B132,'B-1 Site Hedge Baseline'!$B$1:$L$257,11,FALSE)),"",(VLOOKUP($B132,'B-1 Site Hedge Baseline'!$B$1:$L$257,11,FALSE))))</f>
        <v/>
      </c>
      <c r="K132" s="520" t="str">
        <f>IF(B132="","",IF(ISNA(VLOOKUP($B132,'B-1 Site Hedge Baseline'!$B$1:$U$257,13,FALSE)),"",(VLOOKUP($B132,'B-1 Site Hedge Baseline'!$B$1:$U$257,13,FALSE))))</f>
        <v/>
      </c>
      <c r="L132" s="524" t="str">
        <f>IF(B132="","",IF(ISNA(VLOOKUP($B132,'B-1 Site Hedge Baseline'!$B$1:$U$257,12,FALSE)),"",(VLOOKUP($B132,'B-1 Site Hedge Baseline'!$B$1:$U$257,12,FALSE))))</f>
        <v/>
      </c>
      <c r="M132" s="416" t="str">
        <f t="shared" si="15"/>
        <v/>
      </c>
      <c r="N132" s="498" t="str">
        <f>IFERROR(IF(B132="","",INDEX('G-6 Hedgerow Data'!$AN$3:$AZ$15,MATCH(C132,'G-6 Hedgerow Data'!$AM$3:$AM$15,0),MATCH(M132,'G-6 Hedgerow Data'!$AN$2:$AZ$2,0))),"")</f>
        <v/>
      </c>
      <c r="O132" s="499" t="str">
        <f t="shared" si="10"/>
        <v/>
      </c>
      <c r="P132" s="559" t="str">
        <f>IF(B132="","",VLOOKUP(B132,'B-1 Site Hedge Baseline'!$B$10:T377,16,FALSE))</f>
        <v/>
      </c>
      <c r="Q132" s="498" t="str">
        <f>IF(M132="","",VLOOKUP(M132,'G-6 Hedgerow Data'!$B$2:$AG$15,2,FALSE))</f>
        <v/>
      </c>
      <c r="R132" s="499" t="str">
        <f>IF(M132="","",VLOOKUP(M132,'G-6 Hedgerow Data'!$B$2:$AG$15,3,FALSE))</f>
        <v/>
      </c>
      <c r="S132" s="157"/>
      <c r="T132" s="540" t="str">
        <f>IFERROR(VLOOKUP(S132,'G-1 All Habitats'!$Z$2:$AA$9,2,FALSE),"")</f>
        <v/>
      </c>
      <c r="U132" s="154"/>
      <c r="V132" s="520" t="str">
        <f>IF(U132="","",IF(VLOOKUP(U132,'G-3 Multipliers'!$L$3:$N$6,2,FALSE)=0,"Spatial Data Missing ⚠",VLOOKUP(U132,'G-3 Multipliers'!$L$3:$N$6,2,FALSE)))</f>
        <v/>
      </c>
      <c r="W132" s="524" t="str">
        <f>IF(U132="","",IF(VLOOKUP(U132,'G-3 Multipliers'!$L$3:$N$6,3,FALSE)=0,"Spatial Data Missing ⚠",VLOOKUP(U132,'G-3 Multipliers'!$L$3:$N$6,3,FALSE)))</f>
        <v/>
      </c>
      <c r="X132" s="498"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7" t="str">
        <f t="shared" si="11"/>
        <v/>
      </c>
      <c r="AB132" s="521" t="str">
        <f t="shared" si="12"/>
        <v/>
      </c>
      <c r="AC132" s="522" t="str">
        <f t="shared" si="8"/>
        <v/>
      </c>
      <c r="AD132" s="537" t="str">
        <f>IF(M132="","",VLOOKUP(M132,'G-6 Hedgerow Data'!$B$3:$AG$15,31,FALSE))</f>
        <v/>
      </c>
      <c r="AE132" s="507" t="str">
        <f t="shared" si="13"/>
        <v/>
      </c>
      <c r="AF132" s="507" t="str">
        <f t="shared" si="14"/>
        <v/>
      </c>
      <c r="AG132" s="524" t="str">
        <f>IFERROR(IF(O132="","",VLOOKUP(AD132,'G-3 Multipliers'!$P$3:$Q$6,2,FALSE)),"")</f>
        <v/>
      </c>
      <c r="AH132" s="513" t="str">
        <f t="shared" si="9"/>
        <v/>
      </c>
      <c r="AI132" s="231"/>
      <c r="AJ132" s="150"/>
      <c r="AT132" s="31" t="str">
        <f>IFERROR(INDEX('G-6 Hedgerow Data'!$BJ$3:$BJ$15,MATCH(M132,'G-6 Hedgerow Data'!$B$3:$B$15,0)),"")</f>
        <v/>
      </c>
    </row>
    <row r="133" spans="2:46" ht="13.8" x14ac:dyDescent="0.25">
      <c r="B133" s="531" t="str">
        <f>'B-1 Site Hedge Baseline'!AK131</f>
        <v/>
      </c>
      <c r="C133" s="520" t="str">
        <f>IF(B133="","",IF(ISNA(VLOOKUP($B133,'B-1 Site Hedge Baseline'!$B$1:$L$257,3,FALSE)),"",(VLOOKUP($B133,'B-1 Site Hedge Baseline'!$B$1:$L$257,3,FALSE))))</f>
        <v/>
      </c>
      <c r="D133" s="520" t="str">
        <f>IF(B133="","",IF(ISNA(VLOOKUP($B133,'B-1 Site Hedge Baseline'!$B$1:$L$257,4,FALSE)),"",(VLOOKUP($B133,'B-1 Site Hedge Baseline'!$B$1:$L$257,4,FALSE))))</f>
        <v/>
      </c>
      <c r="E133" s="520" t="str">
        <f>IF(B133="","",IF(ISNA(VLOOKUP($B133,'B-1 Site Hedge Baseline'!$B$1:$L$257,5,FALSE)),"",(VLOOKUP($B133,'B-1 Site Hedge Baseline'!$B$1:$L$257,5,FALSE))))</f>
        <v/>
      </c>
      <c r="F133" s="520" t="str">
        <f>IF(B133="","",IF(ISNA(VLOOKUP($B133,'B-1 Site Hedge Baseline'!$B$1:$L$257,6,FALSE)),"",(VLOOKUP($B133,'B-1 Site Hedge Baseline'!$B$1:$L$257,6,FALSE))))</f>
        <v/>
      </c>
      <c r="G133" s="520" t="str">
        <f>IF(B133="","",IF(ISNA(VLOOKUP($B133,'B-1 Site Hedge Baseline'!$B$1:$L$257,7,FALSE)),"",(VLOOKUP($B133,'B-1 Site Hedge Baseline'!$B$1:$L$257,7,FALSE))))</f>
        <v/>
      </c>
      <c r="H133" s="520" t="str">
        <f>IF(B133="","",IF(ISNA(VLOOKUP($B133,'B-1 Site Hedge Baseline'!$B$1:$L$257,8,FALSE)),"",(VLOOKUP($B133,'B-1 Site Hedge Baseline'!$B$1:$L$257,8,FALSE))))</f>
        <v/>
      </c>
      <c r="I133" s="520" t="str">
        <f>IF(B133="","",IF(ISNA(VLOOKUP($B133,'B-1 Site Hedge Baseline'!$B$1:$L$257,10,FALSE)),"",(VLOOKUP($B133,'B-1 Site Hedge Baseline'!$B$1:$L$257,10,FALSE))))</f>
        <v/>
      </c>
      <c r="J133" s="520" t="str">
        <f>IF(B133="","",IF(ISNA(VLOOKUP($B133,'B-1 Site Hedge Baseline'!$B$1:$L$257,11,FALSE)),"",(VLOOKUP($B133,'B-1 Site Hedge Baseline'!$B$1:$L$257,11,FALSE))))</f>
        <v/>
      </c>
      <c r="K133" s="520" t="str">
        <f>IF(B133="","",IF(ISNA(VLOOKUP($B133,'B-1 Site Hedge Baseline'!$B$1:$U$257,13,FALSE)),"",(VLOOKUP($B133,'B-1 Site Hedge Baseline'!$B$1:$U$257,13,FALSE))))</f>
        <v/>
      </c>
      <c r="L133" s="524" t="str">
        <f>IF(B133="","",IF(ISNA(VLOOKUP($B133,'B-1 Site Hedge Baseline'!$B$1:$U$257,12,FALSE)),"",(VLOOKUP($B133,'B-1 Site Hedge Baseline'!$B$1:$U$257,12,FALSE))))</f>
        <v/>
      </c>
      <c r="M133" s="416" t="str">
        <f t="shared" si="15"/>
        <v/>
      </c>
      <c r="N133" s="498" t="str">
        <f>IFERROR(IF(B133="","",INDEX('G-6 Hedgerow Data'!$AN$3:$AZ$15,MATCH(C133,'G-6 Hedgerow Data'!$AM$3:$AM$15,0),MATCH(M133,'G-6 Hedgerow Data'!$AN$2:$AZ$2,0))),"")</f>
        <v/>
      </c>
      <c r="O133" s="499" t="str">
        <f t="shared" si="10"/>
        <v/>
      </c>
      <c r="P133" s="559" t="str">
        <f>IF(B133="","",VLOOKUP(B133,'B-1 Site Hedge Baseline'!$B$10:T378,16,FALSE))</f>
        <v/>
      </c>
      <c r="Q133" s="498" t="str">
        <f>IF(M133="","",VLOOKUP(M133,'G-6 Hedgerow Data'!$B$2:$AG$15,2,FALSE))</f>
        <v/>
      </c>
      <c r="R133" s="499" t="str">
        <f>IF(M133="","",VLOOKUP(M133,'G-6 Hedgerow Data'!$B$2:$AG$15,3,FALSE))</f>
        <v/>
      </c>
      <c r="S133" s="157"/>
      <c r="T133" s="540" t="str">
        <f>IFERROR(VLOOKUP(S133,'G-1 All Habitats'!$Z$2:$AA$9,2,FALSE),"")</f>
        <v/>
      </c>
      <c r="U133" s="154"/>
      <c r="V133" s="520" t="str">
        <f>IF(U133="","",IF(VLOOKUP(U133,'G-3 Multipliers'!$L$3:$N$6,2,FALSE)=0,"Spatial Data Missing ⚠",VLOOKUP(U133,'G-3 Multipliers'!$L$3:$N$6,2,FALSE)))</f>
        <v/>
      </c>
      <c r="W133" s="524" t="str">
        <f>IF(U133="","",IF(VLOOKUP(U133,'G-3 Multipliers'!$L$3:$N$6,3,FALSE)=0,"Spatial Data Missing ⚠",VLOOKUP(U133,'G-3 Multipliers'!$L$3:$N$6,3,FALSE)))</f>
        <v/>
      </c>
      <c r="X133" s="498"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7" t="str">
        <f t="shared" si="11"/>
        <v/>
      </c>
      <c r="AB133" s="521" t="str">
        <f t="shared" si="12"/>
        <v/>
      </c>
      <c r="AC133" s="522" t="str">
        <f t="shared" si="8"/>
        <v/>
      </c>
      <c r="AD133" s="537" t="str">
        <f>IF(M133="","",VLOOKUP(M133,'G-6 Hedgerow Data'!$B$3:$AG$15,31,FALSE))</f>
        <v/>
      </c>
      <c r="AE133" s="507" t="str">
        <f t="shared" si="13"/>
        <v/>
      </c>
      <c r="AF133" s="507" t="str">
        <f t="shared" si="14"/>
        <v/>
      </c>
      <c r="AG133" s="524" t="str">
        <f>IFERROR(IF(O133="","",VLOOKUP(AD133,'G-3 Multipliers'!$P$3:$Q$6,2,FALSE)),"")</f>
        <v/>
      </c>
      <c r="AH133" s="513" t="str">
        <f t="shared" si="9"/>
        <v/>
      </c>
      <c r="AI133" s="231"/>
      <c r="AJ133" s="150"/>
      <c r="AT133" s="31" t="str">
        <f>IFERROR(INDEX('G-6 Hedgerow Data'!$BJ$3:$BJ$15,MATCH(M133,'G-6 Hedgerow Data'!$B$3:$B$15,0)),"")</f>
        <v/>
      </c>
    </row>
    <row r="134" spans="2:46" ht="13.8" x14ac:dyDescent="0.25">
      <c r="B134" s="531" t="str">
        <f>'B-1 Site Hedge Baseline'!AK132</f>
        <v/>
      </c>
      <c r="C134" s="520" t="str">
        <f>IF(B134="","",IF(ISNA(VLOOKUP($B134,'B-1 Site Hedge Baseline'!$B$1:$L$257,3,FALSE)),"",(VLOOKUP($B134,'B-1 Site Hedge Baseline'!$B$1:$L$257,3,FALSE))))</f>
        <v/>
      </c>
      <c r="D134" s="520" t="str">
        <f>IF(B134="","",IF(ISNA(VLOOKUP($B134,'B-1 Site Hedge Baseline'!$B$1:$L$257,4,FALSE)),"",(VLOOKUP($B134,'B-1 Site Hedge Baseline'!$B$1:$L$257,4,FALSE))))</f>
        <v/>
      </c>
      <c r="E134" s="520" t="str">
        <f>IF(B134="","",IF(ISNA(VLOOKUP($B134,'B-1 Site Hedge Baseline'!$B$1:$L$257,5,FALSE)),"",(VLOOKUP($B134,'B-1 Site Hedge Baseline'!$B$1:$L$257,5,FALSE))))</f>
        <v/>
      </c>
      <c r="F134" s="520" t="str">
        <f>IF(B134="","",IF(ISNA(VLOOKUP($B134,'B-1 Site Hedge Baseline'!$B$1:$L$257,6,FALSE)),"",(VLOOKUP($B134,'B-1 Site Hedge Baseline'!$B$1:$L$257,6,FALSE))))</f>
        <v/>
      </c>
      <c r="G134" s="520" t="str">
        <f>IF(B134="","",IF(ISNA(VLOOKUP($B134,'B-1 Site Hedge Baseline'!$B$1:$L$257,7,FALSE)),"",(VLOOKUP($B134,'B-1 Site Hedge Baseline'!$B$1:$L$257,7,FALSE))))</f>
        <v/>
      </c>
      <c r="H134" s="520" t="str">
        <f>IF(B134="","",IF(ISNA(VLOOKUP($B134,'B-1 Site Hedge Baseline'!$B$1:$L$257,8,FALSE)),"",(VLOOKUP($B134,'B-1 Site Hedge Baseline'!$B$1:$L$257,8,FALSE))))</f>
        <v/>
      </c>
      <c r="I134" s="520" t="str">
        <f>IF(B134="","",IF(ISNA(VLOOKUP($B134,'B-1 Site Hedge Baseline'!$B$1:$L$257,10,FALSE)),"",(VLOOKUP($B134,'B-1 Site Hedge Baseline'!$B$1:$L$257,10,FALSE))))</f>
        <v/>
      </c>
      <c r="J134" s="520" t="str">
        <f>IF(B134="","",IF(ISNA(VLOOKUP($B134,'B-1 Site Hedge Baseline'!$B$1:$L$257,11,FALSE)),"",(VLOOKUP($B134,'B-1 Site Hedge Baseline'!$B$1:$L$257,11,FALSE))))</f>
        <v/>
      </c>
      <c r="K134" s="520" t="str">
        <f>IF(B134="","",IF(ISNA(VLOOKUP($B134,'B-1 Site Hedge Baseline'!$B$1:$U$257,13,FALSE)),"",(VLOOKUP($B134,'B-1 Site Hedge Baseline'!$B$1:$U$257,13,FALSE))))</f>
        <v/>
      </c>
      <c r="L134" s="524" t="str">
        <f>IF(B134="","",IF(ISNA(VLOOKUP($B134,'B-1 Site Hedge Baseline'!$B$1:$U$257,12,FALSE)),"",(VLOOKUP($B134,'B-1 Site Hedge Baseline'!$B$1:$U$257,12,FALSE))))</f>
        <v/>
      </c>
      <c r="M134" s="416" t="str">
        <f t="shared" si="15"/>
        <v/>
      </c>
      <c r="N134" s="498" t="str">
        <f>IFERROR(IF(B134="","",INDEX('G-6 Hedgerow Data'!$AN$3:$AZ$15,MATCH(C134,'G-6 Hedgerow Data'!$AM$3:$AM$15,0),MATCH(M134,'G-6 Hedgerow Data'!$AN$2:$AZ$2,0))),"")</f>
        <v/>
      </c>
      <c r="O134" s="499" t="str">
        <f t="shared" si="10"/>
        <v/>
      </c>
      <c r="P134" s="559" t="str">
        <f>IF(B134="","",VLOOKUP(B134,'B-1 Site Hedge Baseline'!$B$10:T379,16,FALSE))</f>
        <v/>
      </c>
      <c r="Q134" s="498" t="str">
        <f>IF(M134="","",VLOOKUP(M134,'G-6 Hedgerow Data'!$B$2:$AG$15,2,FALSE))</f>
        <v/>
      </c>
      <c r="R134" s="499" t="str">
        <f>IF(M134="","",VLOOKUP(M134,'G-6 Hedgerow Data'!$B$2:$AG$15,3,FALSE))</f>
        <v/>
      </c>
      <c r="S134" s="157"/>
      <c r="T134" s="540" t="str">
        <f>IFERROR(VLOOKUP(S134,'G-1 All Habitats'!$Z$2:$AA$9,2,FALSE),"")</f>
        <v/>
      </c>
      <c r="U134" s="154"/>
      <c r="V134" s="520" t="str">
        <f>IF(U134="","",IF(VLOOKUP(U134,'G-3 Multipliers'!$L$3:$N$6,2,FALSE)=0,"Spatial Data Missing ⚠",VLOOKUP(U134,'G-3 Multipliers'!$L$3:$N$6,2,FALSE)))</f>
        <v/>
      </c>
      <c r="W134" s="524" t="str">
        <f>IF(U134="","",IF(VLOOKUP(U134,'G-3 Multipliers'!$L$3:$N$6,3,FALSE)=0,"Spatial Data Missing ⚠",VLOOKUP(U134,'G-3 Multipliers'!$L$3:$N$6,3,FALSE)))</f>
        <v/>
      </c>
      <c r="X134" s="498"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7" t="str">
        <f t="shared" si="11"/>
        <v/>
      </c>
      <c r="AB134" s="521" t="str">
        <f t="shared" si="12"/>
        <v/>
      </c>
      <c r="AC134" s="522" t="str">
        <f t="shared" si="8"/>
        <v/>
      </c>
      <c r="AD134" s="537" t="str">
        <f>IF(M134="","",VLOOKUP(M134,'G-6 Hedgerow Data'!$B$3:$AG$15,31,FALSE))</f>
        <v/>
      </c>
      <c r="AE134" s="507" t="str">
        <f t="shared" si="13"/>
        <v/>
      </c>
      <c r="AF134" s="507" t="str">
        <f t="shared" si="14"/>
        <v/>
      </c>
      <c r="AG134" s="524" t="str">
        <f>IFERROR(IF(O134="","",VLOOKUP(AD134,'G-3 Multipliers'!$P$3:$Q$6,2,FALSE)),"")</f>
        <v/>
      </c>
      <c r="AH134" s="513" t="str">
        <f t="shared" si="9"/>
        <v/>
      </c>
      <c r="AI134" s="231"/>
      <c r="AJ134" s="150"/>
      <c r="AT134" s="31" t="str">
        <f>IFERROR(INDEX('G-6 Hedgerow Data'!$BJ$3:$BJ$15,MATCH(M134,'G-6 Hedgerow Data'!$B$3:$B$15,0)),"")</f>
        <v/>
      </c>
    </row>
    <row r="135" spans="2:46" ht="13.8" x14ac:dyDescent="0.25">
      <c r="B135" s="531" t="str">
        <f>'B-1 Site Hedge Baseline'!AK133</f>
        <v/>
      </c>
      <c r="C135" s="520" t="str">
        <f>IF(B135="","",IF(ISNA(VLOOKUP($B135,'B-1 Site Hedge Baseline'!$B$1:$L$257,3,FALSE)),"",(VLOOKUP($B135,'B-1 Site Hedge Baseline'!$B$1:$L$257,3,FALSE))))</f>
        <v/>
      </c>
      <c r="D135" s="520" t="str">
        <f>IF(B135="","",IF(ISNA(VLOOKUP($B135,'B-1 Site Hedge Baseline'!$B$1:$L$257,4,FALSE)),"",(VLOOKUP($B135,'B-1 Site Hedge Baseline'!$B$1:$L$257,4,FALSE))))</f>
        <v/>
      </c>
      <c r="E135" s="520" t="str">
        <f>IF(B135="","",IF(ISNA(VLOOKUP($B135,'B-1 Site Hedge Baseline'!$B$1:$L$257,5,FALSE)),"",(VLOOKUP($B135,'B-1 Site Hedge Baseline'!$B$1:$L$257,5,FALSE))))</f>
        <v/>
      </c>
      <c r="F135" s="520" t="str">
        <f>IF(B135="","",IF(ISNA(VLOOKUP($B135,'B-1 Site Hedge Baseline'!$B$1:$L$257,6,FALSE)),"",(VLOOKUP($B135,'B-1 Site Hedge Baseline'!$B$1:$L$257,6,FALSE))))</f>
        <v/>
      </c>
      <c r="G135" s="520" t="str">
        <f>IF(B135="","",IF(ISNA(VLOOKUP($B135,'B-1 Site Hedge Baseline'!$B$1:$L$257,7,FALSE)),"",(VLOOKUP($B135,'B-1 Site Hedge Baseline'!$B$1:$L$257,7,FALSE))))</f>
        <v/>
      </c>
      <c r="H135" s="520" t="str">
        <f>IF(B135="","",IF(ISNA(VLOOKUP($B135,'B-1 Site Hedge Baseline'!$B$1:$L$257,8,FALSE)),"",(VLOOKUP($B135,'B-1 Site Hedge Baseline'!$B$1:$L$257,8,FALSE))))</f>
        <v/>
      </c>
      <c r="I135" s="520" t="str">
        <f>IF(B135="","",IF(ISNA(VLOOKUP($B135,'B-1 Site Hedge Baseline'!$B$1:$L$257,10,FALSE)),"",(VLOOKUP($B135,'B-1 Site Hedge Baseline'!$B$1:$L$257,10,FALSE))))</f>
        <v/>
      </c>
      <c r="J135" s="520" t="str">
        <f>IF(B135="","",IF(ISNA(VLOOKUP($B135,'B-1 Site Hedge Baseline'!$B$1:$L$257,11,FALSE)),"",(VLOOKUP($B135,'B-1 Site Hedge Baseline'!$B$1:$L$257,11,FALSE))))</f>
        <v/>
      </c>
      <c r="K135" s="520" t="str">
        <f>IF(B135="","",IF(ISNA(VLOOKUP($B135,'B-1 Site Hedge Baseline'!$B$1:$U$257,13,FALSE)),"",(VLOOKUP($B135,'B-1 Site Hedge Baseline'!$B$1:$U$257,13,FALSE))))</f>
        <v/>
      </c>
      <c r="L135" s="524" t="str">
        <f>IF(B135="","",IF(ISNA(VLOOKUP($B135,'B-1 Site Hedge Baseline'!$B$1:$U$257,12,FALSE)),"",(VLOOKUP($B135,'B-1 Site Hedge Baseline'!$B$1:$U$257,12,FALSE))))</f>
        <v/>
      </c>
      <c r="M135" s="416" t="str">
        <f t="shared" si="15"/>
        <v/>
      </c>
      <c r="N135" s="498" t="str">
        <f>IFERROR(IF(B135="","",INDEX('G-6 Hedgerow Data'!$AN$3:$AZ$15,MATCH(C135,'G-6 Hedgerow Data'!$AM$3:$AM$15,0),MATCH(M135,'G-6 Hedgerow Data'!$AN$2:$AZ$2,0))),"")</f>
        <v/>
      </c>
      <c r="O135" s="499" t="str">
        <f t="shared" si="10"/>
        <v/>
      </c>
      <c r="P135" s="559" t="str">
        <f>IF(B135="","",VLOOKUP(B135,'B-1 Site Hedge Baseline'!$B$10:T380,16,FALSE))</f>
        <v/>
      </c>
      <c r="Q135" s="498" t="str">
        <f>IF(M135="","",VLOOKUP(M135,'G-6 Hedgerow Data'!$B$2:$AG$15,2,FALSE))</f>
        <v/>
      </c>
      <c r="R135" s="499" t="str">
        <f>IF(M135="","",VLOOKUP(M135,'G-6 Hedgerow Data'!$B$2:$AG$15,3,FALSE))</f>
        <v/>
      </c>
      <c r="S135" s="157"/>
      <c r="T135" s="540" t="str">
        <f>IFERROR(VLOOKUP(S135,'G-1 All Habitats'!$Z$2:$AA$9,2,FALSE),"")</f>
        <v/>
      </c>
      <c r="U135" s="154"/>
      <c r="V135" s="520" t="str">
        <f>IF(U135="","",IF(VLOOKUP(U135,'G-3 Multipliers'!$L$3:$N$6,2,FALSE)=0,"Spatial Data Missing ⚠",VLOOKUP(U135,'G-3 Multipliers'!$L$3:$N$6,2,FALSE)))</f>
        <v/>
      </c>
      <c r="W135" s="524" t="str">
        <f>IF(U135="","",IF(VLOOKUP(U135,'G-3 Multipliers'!$L$3:$N$6,3,FALSE)=0,"Spatial Data Missing ⚠",VLOOKUP(U135,'G-3 Multipliers'!$L$3:$N$6,3,FALSE)))</f>
        <v/>
      </c>
      <c r="X135" s="498"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7" t="str">
        <f t="shared" si="11"/>
        <v/>
      </c>
      <c r="AB135" s="521" t="str">
        <f t="shared" si="12"/>
        <v/>
      </c>
      <c r="AC135" s="522" t="str">
        <f t="shared" si="8"/>
        <v/>
      </c>
      <c r="AD135" s="537" t="str">
        <f>IF(M135="","",VLOOKUP(M135,'G-6 Hedgerow Data'!$B$3:$AG$15,31,FALSE))</f>
        <v/>
      </c>
      <c r="AE135" s="507" t="str">
        <f t="shared" si="13"/>
        <v/>
      </c>
      <c r="AF135" s="507" t="str">
        <f t="shared" si="14"/>
        <v/>
      </c>
      <c r="AG135" s="524" t="str">
        <f>IFERROR(IF(O135="","",VLOOKUP(AD135,'G-3 Multipliers'!$P$3:$Q$6,2,FALSE)),"")</f>
        <v/>
      </c>
      <c r="AH135" s="513" t="str">
        <f t="shared" si="9"/>
        <v/>
      </c>
      <c r="AI135" s="231"/>
      <c r="AJ135" s="150"/>
      <c r="AT135" s="31" t="str">
        <f>IFERROR(INDEX('G-6 Hedgerow Data'!$BJ$3:$BJ$15,MATCH(M135,'G-6 Hedgerow Data'!$B$3:$B$15,0)),"")</f>
        <v/>
      </c>
    </row>
    <row r="136" spans="2:46" ht="13.8" x14ac:dyDescent="0.25">
      <c r="B136" s="531" t="str">
        <f>'B-1 Site Hedge Baseline'!AK134</f>
        <v/>
      </c>
      <c r="C136" s="520" t="str">
        <f>IF(B136="","",IF(ISNA(VLOOKUP($B136,'B-1 Site Hedge Baseline'!$B$1:$L$257,3,FALSE)),"",(VLOOKUP($B136,'B-1 Site Hedge Baseline'!$B$1:$L$257,3,FALSE))))</f>
        <v/>
      </c>
      <c r="D136" s="520" t="str">
        <f>IF(B136="","",IF(ISNA(VLOOKUP($B136,'B-1 Site Hedge Baseline'!$B$1:$L$257,4,FALSE)),"",(VLOOKUP($B136,'B-1 Site Hedge Baseline'!$B$1:$L$257,4,FALSE))))</f>
        <v/>
      </c>
      <c r="E136" s="520" t="str">
        <f>IF(B136="","",IF(ISNA(VLOOKUP($B136,'B-1 Site Hedge Baseline'!$B$1:$L$257,5,FALSE)),"",(VLOOKUP($B136,'B-1 Site Hedge Baseline'!$B$1:$L$257,5,FALSE))))</f>
        <v/>
      </c>
      <c r="F136" s="520" t="str">
        <f>IF(B136="","",IF(ISNA(VLOOKUP($B136,'B-1 Site Hedge Baseline'!$B$1:$L$257,6,FALSE)),"",(VLOOKUP($B136,'B-1 Site Hedge Baseline'!$B$1:$L$257,6,FALSE))))</f>
        <v/>
      </c>
      <c r="G136" s="520" t="str">
        <f>IF(B136="","",IF(ISNA(VLOOKUP($B136,'B-1 Site Hedge Baseline'!$B$1:$L$257,7,FALSE)),"",(VLOOKUP($B136,'B-1 Site Hedge Baseline'!$B$1:$L$257,7,FALSE))))</f>
        <v/>
      </c>
      <c r="H136" s="520" t="str">
        <f>IF(B136="","",IF(ISNA(VLOOKUP($B136,'B-1 Site Hedge Baseline'!$B$1:$L$257,8,FALSE)),"",(VLOOKUP($B136,'B-1 Site Hedge Baseline'!$B$1:$L$257,8,FALSE))))</f>
        <v/>
      </c>
      <c r="I136" s="520" t="str">
        <f>IF(B136="","",IF(ISNA(VLOOKUP($B136,'B-1 Site Hedge Baseline'!$B$1:$L$257,10,FALSE)),"",(VLOOKUP($B136,'B-1 Site Hedge Baseline'!$B$1:$L$257,10,FALSE))))</f>
        <v/>
      </c>
      <c r="J136" s="520" t="str">
        <f>IF(B136="","",IF(ISNA(VLOOKUP($B136,'B-1 Site Hedge Baseline'!$B$1:$L$257,11,FALSE)),"",(VLOOKUP($B136,'B-1 Site Hedge Baseline'!$B$1:$L$257,11,FALSE))))</f>
        <v/>
      </c>
      <c r="K136" s="520" t="str">
        <f>IF(B136="","",IF(ISNA(VLOOKUP($B136,'B-1 Site Hedge Baseline'!$B$1:$U$257,13,FALSE)),"",(VLOOKUP($B136,'B-1 Site Hedge Baseline'!$B$1:$U$257,13,FALSE))))</f>
        <v/>
      </c>
      <c r="L136" s="524" t="str">
        <f>IF(B136="","",IF(ISNA(VLOOKUP($B136,'B-1 Site Hedge Baseline'!$B$1:$U$257,12,FALSE)),"",(VLOOKUP($B136,'B-1 Site Hedge Baseline'!$B$1:$U$257,12,FALSE))))</f>
        <v/>
      </c>
      <c r="M136" s="416" t="str">
        <f t="shared" si="15"/>
        <v/>
      </c>
      <c r="N136" s="498" t="str">
        <f>IFERROR(IF(B136="","",INDEX('G-6 Hedgerow Data'!$AN$3:$AZ$15,MATCH(C136,'G-6 Hedgerow Data'!$AM$3:$AM$15,0),MATCH(M136,'G-6 Hedgerow Data'!$AN$2:$AZ$2,0))),"")</f>
        <v/>
      </c>
      <c r="O136" s="499" t="str">
        <f t="shared" si="10"/>
        <v/>
      </c>
      <c r="P136" s="559" t="str">
        <f>IF(B136="","",VLOOKUP(B136,'B-1 Site Hedge Baseline'!$B$10:T381,16,FALSE))</f>
        <v/>
      </c>
      <c r="Q136" s="498" t="str">
        <f>IF(M136="","",VLOOKUP(M136,'G-6 Hedgerow Data'!$B$2:$AG$15,2,FALSE))</f>
        <v/>
      </c>
      <c r="R136" s="499" t="str">
        <f>IF(M136="","",VLOOKUP(M136,'G-6 Hedgerow Data'!$B$2:$AG$15,3,FALSE))</f>
        <v/>
      </c>
      <c r="S136" s="157"/>
      <c r="T136" s="540" t="str">
        <f>IFERROR(VLOOKUP(S136,'G-1 All Habitats'!$Z$2:$AA$9,2,FALSE),"")</f>
        <v/>
      </c>
      <c r="U136" s="154"/>
      <c r="V136" s="520" t="str">
        <f>IF(U136="","",IF(VLOOKUP(U136,'G-3 Multipliers'!$L$3:$N$6,2,FALSE)=0,"Spatial Data Missing ⚠",VLOOKUP(U136,'G-3 Multipliers'!$L$3:$N$6,2,FALSE)))</f>
        <v/>
      </c>
      <c r="W136" s="524" t="str">
        <f>IF(U136="","",IF(VLOOKUP(U136,'G-3 Multipliers'!$L$3:$N$6,3,FALSE)=0,"Spatial Data Missing ⚠",VLOOKUP(U136,'G-3 Multipliers'!$L$3:$N$6,3,FALSE)))</f>
        <v/>
      </c>
      <c r="X136" s="498"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7" t="str">
        <f t="shared" si="11"/>
        <v/>
      </c>
      <c r="AB136" s="521" t="str">
        <f t="shared" si="12"/>
        <v/>
      </c>
      <c r="AC136" s="522" t="str">
        <f t="shared" si="8"/>
        <v/>
      </c>
      <c r="AD136" s="537" t="str">
        <f>IF(M136="","",VLOOKUP(M136,'G-6 Hedgerow Data'!$B$3:$AG$15,31,FALSE))</f>
        <v/>
      </c>
      <c r="AE136" s="507" t="str">
        <f t="shared" si="13"/>
        <v/>
      </c>
      <c r="AF136" s="507" t="str">
        <f t="shared" si="14"/>
        <v/>
      </c>
      <c r="AG136" s="524" t="str">
        <f>IFERROR(IF(O136="","",VLOOKUP(AD136,'G-3 Multipliers'!$P$3:$Q$6,2,FALSE)),"")</f>
        <v/>
      </c>
      <c r="AH136" s="513" t="str">
        <f t="shared" si="9"/>
        <v/>
      </c>
      <c r="AI136" s="231"/>
      <c r="AJ136" s="150"/>
      <c r="AT136" s="31" t="str">
        <f>IFERROR(INDEX('G-6 Hedgerow Data'!$BJ$3:$BJ$15,MATCH(M136,'G-6 Hedgerow Data'!$B$3:$B$15,0)),"")</f>
        <v/>
      </c>
    </row>
    <row r="137" spans="2:46" ht="13.8" x14ac:dyDescent="0.25">
      <c r="B137" s="531" t="str">
        <f>'B-1 Site Hedge Baseline'!AK135</f>
        <v/>
      </c>
      <c r="C137" s="520" t="str">
        <f>IF(B137="","",IF(ISNA(VLOOKUP($B137,'B-1 Site Hedge Baseline'!$B$1:$L$257,3,FALSE)),"",(VLOOKUP($B137,'B-1 Site Hedge Baseline'!$B$1:$L$257,3,FALSE))))</f>
        <v/>
      </c>
      <c r="D137" s="520" t="str">
        <f>IF(B137="","",IF(ISNA(VLOOKUP($B137,'B-1 Site Hedge Baseline'!$B$1:$L$257,4,FALSE)),"",(VLOOKUP($B137,'B-1 Site Hedge Baseline'!$B$1:$L$257,4,FALSE))))</f>
        <v/>
      </c>
      <c r="E137" s="520" t="str">
        <f>IF(B137="","",IF(ISNA(VLOOKUP($B137,'B-1 Site Hedge Baseline'!$B$1:$L$257,5,FALSE)),"",(VLOOKUP($B137,'B-1 Site Hedge Baseline'!$B$1:$L$257,5,FALSE))))</f>
        <v/>
      </c>
      <c r="F137" s="520" t="str">
        <f>IF(B137="","",IF(ISNA(VLOOKUP($B137,'B-1 Site Hedge Baseline'!$B$1:$L$257,6,FALSE)),"",(VLOOKUP($B137,'B-1 Site Hedge Baseline'!$B$1:$L$257,6,FALSE))))</f>
        <v/>
      </c>
      <c r="G137" s="520" t="str">
        <f>IF(B137="","",IF(ISNA(VLOOKUP($B137,'B-1 Site Hedge Baseline'!$B$1:$L$257,7,FALSE)),"",(VLOOKUP($B137,'B-1 Site Hedge Baseline'!$B$1:$L$257,7,FALSE))))</f>
        <v/>
      </c>
      <c r="H137" s="520" t="str">
        <f>IF(B137="","",IF(ISNA(VLOOKUP($B137,'B-1 Site Hedge Baseline'!$B$1:$L$257,8,FALSE)),"",(VLOOKUP($B137,'B-1 Site Hedge Baseline'!$B$1:$L$257,8,FALSE))))</f>
        <v/>
      </c>
      <c r="I137" s="520" t="str">
        <f>IF(B137="","",IF(ISNA(VLOOKUP($B137,'B-1 Site Hedge Baseline'!$B$1:$L$257,10,FALSE)),"",(VLOOKUP($B137,'B-1 Site Hedge Baseline'!$B$1:$L$257,10,FALSE))))</f>
        <v/>
      </c>
      <c r="J137" s="520" t="str">
        <f>IF(B137="","",IF(ISNA(VLOOKUP($B137,'B-1 Site Hedge Baseline'!$B$1:$L$257,11,FALSE)),"",(VLOOKUP($B137,'B-1 Site Hedge Baseline'!$B$1:$L$257,11,FALSE))))</f>
        <v/>
      </c>
      <c r="K137" s="520" t="str">
        <f>IF(B137="","",IF(ISNA(VLOOKUP($B137,'B-1 Site Hedge Baseline'!$B$1:$U$257,13,FALSE)),"",(VLOOKUP($B137,'B-1 Site Hedge Baseline'!$B$1:$U$257,13,FALSE))))</f>
        <v/>
      </c>
      <c r="L137" s="524" t="str">
        <f>IF(B137="","",IF(ISNA(VLOOKUP($B137,'B-1 Site Hedge Baseline'!$B$1:$U$257,12,FALSE)),"",(VLOOKUP($B137,'B-1 Site Hedge Baseline'!$B$1:$U$257,12,FALSE))))</f>
        <v/>
      </c>
      <c r="M137" s="416" t="str">
        <f t="shared" si="15"/>
        <v/>
      </c>
      <c r="N137" s="498" t="str">
        <f>IFERROR(IF(B137="","",INDEX('G-6 Hedgerow Data'!$AN$3:$AZ$15,MATCH(C137,'G-6 Hedgerow Data'!$AM$3:$AM$15,0),MATCH(M137,'G-6 Hedgerow Data'!$AN$2:$AZ$2,0))),"")</f>
        <v/>
      </c>
      <c r="O137" s="499" t="str">
        <f t="shared" si="10"/>
        <v/>
      </c>
      <c r="P137" s="559" t="str">
        <f>IF(B137="","",VLOOKUP(B137,'B-1 Site Hedge Baseline'!$B$10:T382,16,FALSE))</f>
        <v/>
      </c>
      <c r="Q137" s="498" t="str">
        <f>IF(M137="","",VLOOKUP(M137,'G-6 Hedgerow Data'!$B$2:$AG$15,2,FALSE))</f>
        <v/>
      </c>
      <c r="R137" s="499" t="str">
        <f>IF(M137="","",VLOOKUP(M137,'G-6 Hedgerow Data'!$B$2:$AG$15,3,FALSE))</f>
        <v/>
      </c>
      <c r="S137" s="157"/>
      <c r="T137" s="540" t="str">
        <f>IFERROR(VLOOKUP(S137,'G-1 All Habitats'!$Z$2:$AA$9,2,FALSE),"")</f>
        <v/>
      </c>
      <c r="U137" s="154"/>
      <c r="V137" s="520" t="str">
        <f>IF(U137="","",IF(VLOOKUP(U137,'G-3 Multipliers'!$L$3:$N$6,2,FALSE)=0,"Spatial Data Missing ⚠",VLOOKUP(U137,'G-3 Multipliers'!$L$3:$N$6,2,FALSE)))</f>
        <v/>
      </c>
      <c r="W137" s="524" t="str">
        <f>IF(U137="","",IF(VLOOKUP(U137,'G-3 Multipliers'!$L$3:$N$6,3,FALSE)=0,"Spatial Data Missing ⚠",VLOOKUP(U137,'G-3 Multipliers'!$L$3:$N$6,3,FALSE)))</f>
        <v/>
      </c>
      <c r="X137" s="498"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7" t="str">
        <f t="shared" si="11"/>
        <v/>
      </c>
      <c r="AB137" s="521" t="str">
        <f t="shared" si="12"/>
        <v/>
      </c>
      <c r="AC137" s="522" t="str">
        <f t="shared" si="8"/>
        <v/>
      </c>
      <c r="AD137" s="537" t="str">
        <f>IF(M137="","",VLOOKUP(M137,'G-6 Hedgerow Data'!$B$3:$AG$15,31,FALSE))</f>
        <v/>
      </c>
      <c r="AE137" s="507" t="str">
        <f t="shared" si="13"/>
        <v/>
      </c>
      <c r="AF137" s="507" t="str">
        <f t="shared" si="14"/>
        <v/>
      </c>
      <c r="AG137" s="524" t="str">
        <f>IFERROR(IF(O137="","",VLOOKUP(AD137,'G-3 Multipliers'!$P$3:$Q$6,2,FALSE)),"")</f>
        <v/>
      </c>
      <c r="AH137" s="513" t="str">
        <f t="shared" si="9"/>
        <v/>
      </c>
      <c r="AI137" s="231"/>
      <c r="AJ137" s="150"/>
      <c r="AT137" s="31" t="str">
        <f>IFERROR(INDEX('G-6 Hedgerow Data'!$BJ$3:$BJ$15,MATCH(M137,'G-6 Hedgerow Data'!$B$3:$B$15,0)),"")</f>
        <v/>
      </c>
    </row>
    <row r="138" spans="2:46" ht="13.8" x14ac:dyDescent="0.25">
      <c r="B138" s="531" t="str">
        <f>'B-1 Site Hedge Baseline'!AK136</f>
        <v/>
      </c>
      <c r="C138" s="520" t="str">
        <f>IF(B138="","",IF(ISNA(VLOOKUP($B138,'B-1 Site Hedge Baseline'!$B$1:$L$257,3,FALSE)),"",(VLOOKUP($B138,'B-1 Site Hedge Baseline'!$B$1:$L$257,3,FALSE))))</f>
        <v/>
      </c>
      <c r="D138" s="520" t="str">
        <f>IF(B138="","",IF(ISNA(VLOOKUP($B138,'B-1 Site Hedge Baseline'!$B$1:$L$257,4,FALSE)),"",(VLOOKUP($B138,'B-1 Site Hedge Baseline'!$B$1:$L$257,4,FALSE))))</f>
        <v/>
      </c>
      <c r="E138" s="520" t="str">
        <f>IF(B138="","",IF(ISNA(VLOOKUP($B138,'B-1 Site Hedge Baseline'!$B$1:$L$257,5,FALSE)),"",(VLOOKUP($B138,'B-1 Site Hedge Baseline'!$B$1:$L$257,5,FALSE))))</f>
        <v/>
      </c>
      <c r="F138" s="520" t="str">
        <f>IF(B138="","",IF(ISNA(VLOOKUP($B138,'B-1 Site Hedge Baseline'!$B$1:$L$257,6,FALSE)),"",(VLOOKUP($B138,'B-1 Site Hedge Baseline'!$B$1:$L$257,6,FALSE))))</f>
        <v/>
      </c>
      <c r="G138" s="520" t="str">
        <f>IF(B138="","",IF(ISNA(VLOOKUP($B138,'B-1 Site Hedge Baseline'!$B$1:$L$257,7,FALSE)),"",(VLOOKUP($B138,'B-1 Site Hedge Baseline'!$B$1:$L$257,7,FALSE))))</f>
        <v/>
      </c>
      <c r="H138" s="520" t="str">
        <f>IF(B138="","",IF(ISNA(VLOOKUP($B138,'B-1 Site Hedge Baseline'!$B$1:$L$257,8,FALSE)),"",(VLOOKUP($B138,'B-1 Site Hedge Baseline'!$B$1:$L$257,8,FALSE))))</f>
        <v/>
      </c>
      <c r="I138" s="520" t="str">
        <f>IF(B138="","",IF(ISNA(VLOOKUP($B138,'B-1 Site Hedge Baseline'!$B$1:$L$257,10,FALSE)),"",(VLOOKUP($B138,'B-1 Site Hedge Baseline'!$B$1:$L$257,10,FALSE))))</f>
        <v/>
      </c>
      <c r="J138" s="520" t="str">
        <f>IF(B138="","",IF(ISNA(VLOOKUP($B138,'B-1 Site Hedge Baseline'!$B$1:$L$257,11,FALSE)),"",(VLOOKUP($B138,'B-1 Site Hedge Baseline'!$B$1:$L$257,11,FALSE))))</f>
        <v/>
      </c>
      <c r="K138" s="520" t="str">
        <f>IF(B138="","",IF(ISNA(VLOOKUP($B138,'B-1 Site Hedge Baseline'!$B$1:$U$257,13,FALSE)),"",(VLOOKUP($B138,'B-1 Site Hedge Baseline'!$B$1:$U$257,13,FALSE))))</f>
        <v/>
      </c>
      <c r="L138" s="524" t="str">
        <f>IF(B138="","",IF(ISNA(VLOOKUP($B138,'B-1 Site Hedge Baseline'!$B$1:$U$257,12,FALSE)),"",(VLOOKUP($B138,'B-1 Site Hedge Baseline'!$B$1:$U$257,12,FALSE))))</f>
        <v/>
      </c>
      <c r="M138" s="416" t="str">
        <f t="shared" si="15"/>
        <v/>
      </c>
      <c r="N138" s="498" t="str">
        <f>IFERROR(IF(B138="","",INDEX('G-6 Hedgerow Data'!$AN$3:$AZ$15,MATCH(C138,'G-6 Hedgerow Data'!$AM$3:$AM$15,0),MATCH(M138,'G-6 Hedgerow Data'!$AN$2:$AZ$2,0))),"")</f>
        <v/>
      </c>
      <c r="O138" s="499" t="str">
        <f t="shared" si="10"/>
        <v/>
      </c>
      <c r="P138" s="559" t="str">
        <f>IF(B138="","",VLOOKUP(B138,'B-1 Site Hedge Baseline'!$B$10:T383,16,FALSE))</f>
        <v/>
      </c>
      <c r="Q138" s="498" t="str">
        <f>IF(M138="","",VLOOKUP(M138,'G-6 Hedgerow Data'!$B$2:$AG$15,2,FALSE))</f>
        <v/>
      </c>
      <c r="R138" s="499" t="str">
        <f>IF(M138="","",VLOOKUP(M138,'G-6 Hedgerow Data'!$B$2:$AG$15,3,FALSE))</f>
        <v/>
      </c>
      <c r="S138" s="157"/>
      <c r="T138" s="540" t="str">
        <f>IFERROR(VLOOKUP(S138,'G-1 All Habitats'!$Z$2:$AA$9,2,FALSE),"")</f>
        <v/>
      </c>
      <c r="U138" s="154"/>
      <c r="V138" s="520" t="str">
        <f>IF(U138="","",IF(VLOOKUP(U138,'G-3 Multipliers'!$L$3:$N$6,2,FALSE)=0,"Spatial Data Missing ⚠",VLOOKUP(U138,'G-3 Multipliers'!$L$3:$N$6,2,FALSE)))</f>
        <v/>
      </c>
      <c r="W138" s="524" t="str">
        <f>IF(U138="","",IF(VLOOKUP(U138,'G-3 Multipliers'!$L$3:$N$6,3,FALSE)=0,"Spatial Data Missing ⚠",VLOOKUP(U138,'G-3 Multipliers'!$L$3:$N$6,3,FALSE)))</f>
        <v/>
      </c>
      <c r="X138" s="498"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7" t="str">
        <f t="shared" si="11"/>
        <v/>
      </c>
      <c r="AB138" s="521" t="str">
        <f t="shared" si="12"/>
        <v/>
      </c>
      <c r="AC138" s="522" t="str">
        <f t="shared" si="8"/>
        <v/>
      </c>
      <c r="AD138" s="537" t="str">
        <f>IF(M138="","",VLOOKUP(M138,'G-6 Hedgerow Data'!$B$3:$AG$15,31,FALSE))</f>
        <v/>
      </c>
      <c r="AE138" s="507" t="str">
        <f t="shared" si="13"/>
        <v/>
      </c>
      <c r="AF138" s="507" t="str">
        <f t="shared" si="14"/>
        <v/>
      </c>
      <c r="AG138" s="524" t="str">
        <f>IFERROR(IF(O138="","",VLOOKUP(AD138,'G-3 Multipliers'!$P$3:$Q$6,2,FALSE)),"")</f>
        <v/>
      </c>
      <c r="AH138" s="513" t="str">
        <f t="shared" si="9"/>
        <v/>
      </c>
      <c r="AI138" s="231"/>
      <c r="AJ138" s="150"/>
      <c r="AT138" s="31" t="str">
        <f>IFERROR(INDEX('G-6 Hedgerow Data'!$BJ$3:$BJ$15,MATCH(M138,'G-6 Hedgerow Data'!$B$3:$B$15,0)),"")</f>
        <v/>
      </c>
    </row>
    <row r="139" spans="2:46" ht="13.8" x14ac:dyDescent="0.25">
      <c r="B139" s="531" t="str">
        <f>'B-1 Site Hedge Baseline'!AK137</f>
        <v/>
      </c>
      <c r="C139" s="520" t="str">
        <f>IF(B139="","",IF(ISNA(VLOOKUP($B139,'B-1 Site Hedge Baseline'!$B$1:$L$257,3,FALSE)),"",(VLOOKUP($B139,'B-1 Site Hedge Baseline'!$B$1:$L$257,3,FALSE))))</f>
        <v/>
      </c>
      <c r="D139" s="520" t="str">
        <f>IF(B139="","",IF(ISNA(VLOOKUP($B139,'B-1 Site Hedge Baseline'!$B$1:$L$257,4,FALSE)),"",(VLOOKUP($B139,'B-1 Site Hedge Baseline'!$B$1:$L$257,4,FALSE))))</f>
        <v/>
      </c>
      <c r="E139" s="520" t="str">
        <f>IF(B139="","",IF(ISNA(VLOOKUP($B139,'B-1 Site Hedge Baseline'!$B$1:$L$257,5,FALSE)),"",(VLOOKUP($B139,'B-1 Site Hedge Baseline'!$B$1:$L$257,5,FALSE))))</f>
        <v/>
      </c>
      <c r="F139" s="520" t="str">
        <f>IF(B139="","",IF(ISNA(VLOOKUP($B139,'B-1 Site Hedge Baseline'!$B$1:$L$257,6,FALSE)),"",(VLOOKUP($B139,'B-1 Site Hedge Baseline'!$B$1:$L$257,6,FALSE))))</f>
        <v/>
      </c>
      <c r="G139" s="520" t="str">
        <f>IF(B139="","",IF(ISNA(VLOOKUP($B139,'B-1 Site Hedge Baseline'!$B$1:$L$257,7,FALSE)),"",(VLOOKUP($B139,'B-1 Site Hedge Baseline'!$B$1:$L$257,7,FALSE))))</f>
        <v/>
      </c>
      <c r="H139" s="520" t="str">
        <f>IF(B139="","",IF(ISNA(VLOOKUP($B139,'B-1 Site Hedge Baseline'!$B$1:$L$257,8,FALSE)),"",(VLOOKUP($B139,'B-1 Site Hedge Baseline'!$B$1:$L$257,8,FALSE))))</f>
        <v/>
      </c>
      <c r="I139" s="520" t="str">
        <f>IF(B139="","",IF(ISNA(VLOOKUP($B139,'B-1 Site Hedge Baseline'!$B$1:$L$257,10,FALSE)),"",(VLOOKUP($B139,'B-1 Site Hedge Baseline'!$B$1:$L$257,10,FALSE))))</f>
        <v/>
      </c>
      <c r="J139" s="520" t="str">
        <f>IF(B139="","",IF(ISNA(VLOOKUP($B139,'B-1 Site Hedge Baseline'!$B$1:$L$257,11,FALSE)),"",(VLOOKUP($B139,'B-1 Site Hedge Baseline'!$B$1:$L$257,11,FALSE))))</f>
        <v/>
      </c>
      <c r="K139" s="520" t="str">
        <f>IF(B139="","",IF(ISNA(VLOOKUP($B139,'B-1 Site Hedge Baseline'!$B$1:$U$257,13,FALSE)),"",(VLOOKUP($B139,'B-1 Site Hedge Baseline'!$B$1:$U$257,13,FALSE))))</f>
        <v/>
      </c>
      <c r="L139" s="524" t="str">
        <f>IF(B139="","",IF(ISNA(VLOOKUP($B139,'B-1 Site Hedge Baseline'!$B$1:$U$257,12,FALSE)),"",(VLOOKUP($B139,'B-1 Site Hedge Baseline'!$B$1:$U$257,12,FALSE))))</f>
        <v/>
      </c>
      <c r="M139" s="416" t="str">
        <f t="shared" si="15"/>
        <v/>
      </c>
      <c r="N139" s="498" t="str">
        <f>IFERROR(IF(B139="","",INDEX('G-6 Hedgerow Data'!$AN$3:$AZ$15,MATCH(C139,'G-6 Hedgerow Data'!$AM$3:$AM$15,0),MATCH(M139,'G-6 Hedgerow Data'!$AN$2:$AZ$2,0))),"")</f>
        <v/>
      </c>
      <c r="O139" s="499" t="str">
        <f t="shared" si="10"/>
        <v/>
      </c>
      <c r="P139" s="559" t="str">
        <f>IF(B139="","",VLOOKUP(B139,'B-1 Site Hedge Baseline'!$B$10:T384,16,FALSE))</f>
        <v/>
      </c>
      <c r="Q139" s="498" t="str">
        <f>IF(M139="","",VLOOKUP(M139,'G-6 Hedgerow Data'!$B$2:$AG$15,2,FALSE))</f>
        <v/>
      </c>
      <c r="R139" s="499" t="str">
        <f>IF(M139="","",VLOOKUP(M139,'G-6 Hedgerow Data'!$B$2:$AG$15,3,FALSE))</f>
        <v/>
      </c>
      <c r="S139" s="157"/>
      <c r="T139" s="540" t="str">
        <f>IFERROR(VLOOKUP(S139,'G-1 All Habitats'!$Z$2:$AA$9,2,FALSE),"")</f>
        <v/>
      </c>
      <c r="U139" s="154"/>
      <c r="V139" s="520" t="str">
        <f>IF(U139="","",IF(VLOOKUP(U139,'G-3 Multipliers'!$L$3:$N$6,2,FALSE)=0,"Spatial Data Missing ⚠",VLOOKUP(U139,'G-3 Multipliers'!$L$3:$N$6,2,FALSE)))</f>
        <v/>
      </c>
      <c r="W139" s="524" t="str">
        <f>IF(U139="","",IF(VLOOKUP(U139,'G-3 Multipliers'!$L$3:$N$6,3,FALSE)=0,"Spatial Data Missing ⚠",VLOOKUP(U139,'G-3 Multipliers'!$L$3:$N$6,3,FALSE)))</f>
        <v/>
      </c>
      <c r="X139" s="498"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7" t="str">
        <f t="shared" si="11"/>
        <v/>
      </c>
      <c r="AB139" s="521" t="str">
        <f t="shared" si="12"/>
        <v/>
      </c>
      <c r="AC139" s="522" t="str">
        <f t="shared" si="8"/>
        <v/>
      </c>
      <c r="AD139" s="537" t="str">
        <f>IF(M139="","",VLOOKUP(M139,'G-6 Hedgerow Data'!$B$3:$AG$15,31,FALSE))</f>
        <v/>
      </c>
      <c r="AE139" s="507" t="str">
        <f t="shared" si="13"/>
        <v/>
      </c>
      <c r="AF139" s="507" t="str">
        <f t="shared" si="14"/>
        <v/>
      </c>
      <c r="AG139" s="524" t="str">
        <f>IFERROR(IF(O139="","",VLOOKUP(AD139,'G-3 Multipliers'!$P$3:$Q$6,2,FALSE)),"")</f>
        <v/>
      </c>
      <c r="AH139" s="513" t="str">
        <f t="shared" si="9"/>
        <v/>
      </c>
      <c r="AI139" s="231"/>
      <c r="AJ139" s="150"/>
      <c r="AT139" s="31" t="str">
        <f>IFERROR(INDEX('G-6 Hedgerow Data'!$BJ$3:$BJ$15,MATCH(M139,'G-6 Hedgerow Data'!$B$3:$B$15,0)),"")</f>
        <v/>
      </c>
    </row>
    <row r="140" spans="2:46" ht="13.8" x14ac:dyDescent="0.25">
      <c r="B140" s="531" t="str">
        <f>'B-1 Site Hedge Baseline'!AK138</f>
        <v/>
      </c>
      <c r="C140" s="520" t="str">
        <f>IF(B140="","",IF(ISNA(VLOOKUP($B140,'B-1 Site Hedge Baseline'!$B$1:$L$257,3,FALSE)),"",(VLOOKUP($B140,'B-1 Site Hedge Baseline'!$B$1:$L$257,3,FALSE))))</f>
        <v/>
      </c>
      <c r="D140" s="520" t="str">
        <f>IF(B140="","",IF(ISNA(VLOOKUP($B140,'B-1 Site Hedge Baseline'!$B$1:$L$257,4,FALSE)),"",(VLOOKUP($B140,'B-1 Site Hedge Baseline'!$B$1:$L$257,4,FALSE))))</f>
        <v/>
      </c>
      <c r="E140" s="520" t="str">
        <f>IF(B140="","",IF(ISNA(VLOOKUP($B140,'B-1 Site Hedge Baseline'!$B$1:$L$257,5,FALSE)),"",(VLOOKUP($B140,'B-1 Site Hedge Baseline'!$B$1:$L$257,5,FALSE))))</f>
        <v/>
      </c>
      <c r="F140" s="520" t="str">
        <f>IF(B140="","",IF(ISNA(VLOOKUP($B140,'B-1 Site Hedge Baseline'!$B$1:$L$257,6,FALSE)),"",(VLOOKUP($B140,'B-1 Site Hedge Baseline'!$B$1:$L$257,6,FALSE))))</f>
        <v/>
      </c>
      <c r="G140" s="520" t="str">
        <f>IF(B140="","",IF(ISNA(VLOOKUP($B140,'B-1 Site Hedge Baseline'!$B$1:$L$257,7,FALSE)),"",(VLOOKUP($B140,'B-1 Site Hedge Baseline'!$B$1:$L$257,7,FALSE))))</f>
        <v/>
      </c>
      <c r="H140" s="520" t="str">
        <f>IF(B140="","",IF(ISNA(VLOOKUP($B140,'B-1 Site Hedge Baseline'!$B$1:$L$257,8,FALSE)),"",(VLOOKUP($B140,'B-1 Site Hedge Baseline'!$B$1:$L$257,8,FALSE))))</f>
        <v/>
      </c>
      <c r="I140" s="520" t="str">
        <f>IF(B140="","",IF(ISNA(VLOOKUP($B140,'B-1 Site Hedge Baseline'!$B$1:$L$257,10,FALSE)),"",(VLOOKUP($B140,'B-1 Site Hedge Baseline'!$B$1:$L$257,10,FALSE))))</f>
        <v/>
      </c>
      <c r="J140" s="520" t="str">
        <f>IF(B140="","",IF(ISNA(VLOOKUP($B140,'B-1 Site Hedge Baseline'!$B$1:$L$257,11,FALSE)),"",(VLOOKUP($B140,'B-1 Site Hedge Baseline'!$B$1:$L$257,11,FALSE))))</f>
        <v/>
      </c>
      <c r="K140" s="520" t="str">
        <f>IF(B140="","",IF(ISNA(VLOOKUP($B140,'B-1 Site Hedge Baseline'!$B$1:$U$257,13,FALSE)),"",(VLOOKUP($B140,'B-1 Site Hedge Baseline'!$B$1:$U$257,13,FALSE))))</f>
        <v/>
      </c>
      <c r="L140" s="524" t="str">
        <f>IF(B140="","",IF(ISNA(VLOOKUP($B140,'B-1 Site Hedge Baseline'!$B$1:$U$257,12,FALSE)),"",(VLOOKUP($B140,'B-1 Site Hedge Baseline'!$B$1:$U$257,12,FALSE))))</f>
        <v/>
      </c>
      <c r="M140" s="416" t="str">
        <f t="shared" si="15"/>
        <v/>
      </c>
      <c r="N140" s="498" t="str">
        <f>IFERROR(IF(B140="","",INDEX('G-6 Hedgerow Data'!$AN$3:$AZ$15,MATCH(C140,'G-6 Hedgerow Data'!$AM$3:$AM$15,0),MATCH(M140,'G-6 Hedgerow Data'!$AN$2:$AZ$2,0))),"")</f>
        <v/>
      </c>
      <c r="O140" s="499" t="str">
        <f t="shared" si="10"/>
        <v/>
      </c>
      <c r="P140" s="559" t="str">
        <f>IF(B140="","",VLOOKUP(B140,'B-1 Site Hedge Baseline'!$B$10:T385,16,FALSE))</f>
        <v/>
      </c>
      <c r="Q140" s="498" t="str">
        <f>IF(M140="","",VLOOKUP(M140,'G-6 Hedgerow Data'!$B$2:$AG$15,2,FALSE))</f>
        <v/>
      </c>
      <c r="R140" s="499" t="str">
        <f>IF(M140="","",VLOOKUP(M140,'G-6 Hedgerow Data'!$B$2:$AG$15,3,FALSE))</f>
        <v/>
      </c>
      <c r="S140" s="157"/>
      <c r="T140" s="540" t="str">
        <f>IFERROR(VLOOKUP(S140,'G-1 All Habitats'!$Z$2:$AA$9,2,FALSE),"")</f>
        <v/>
      </c>
      <c r="U140" s="154"/>
      <c r="V140" s="520" t="str">
        <f>IF(U140="","",IF(VLOOKUP(U140,'G-3 Multipliers'!$L$3:$N$6,2,FALSE)=0,"Spatial Data Missing ⚠",VLOOKUP(U140,'G-3 Multipliers'!$L$3:$N$6,2,FALSE)))</f>
        <v/>
      </c>
      <c r="W140" s="524" t="str">
        <f>IF(U140="","",IF(VLOOKUP(U140,'G-3 Multipliers'!$L$3:$N$6,3,FALSE)=0,"Spatial Data Missing ⚠",VLOOKUP(U140,'G-3 Multipliers'!$L$3:$N$6,3,FALSE)))</f>
        <v/>
      </c>
      <c r="X140" s="498"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7" t="str">
        <f t="shared" si="11"/>
        <v/>
      </c>
      <c r="AB140" s="521" t="str">
        <f t="shared" si="12"/>
        <v/>
      </c>
      <c r="AC140" s="522" t="str">
        <f t="shared" ref="AC140:AC203" si="16">IF(OR(S140="",M140=""),"",IF(LEFT(AB140,5)="Error ▲","Check Data ⚠",IF(AB140="Check Data ⚠","Check Data ⚠",VLOOKUP(AB140,TemporalMultipliers,3,FALSE))))</f>
        <v/>
      </c>
      <c r="AD140" s="537" t="str">
        <f>IF(M140="","",VLOOKUP(M140,'G-6 Hedgerow Data'!$B$3:$AG$15,31,FALSE))</f>
        <v/>
      </c>
      <c r="AE140" s="507" t="str">
        <f t="shared" si="13"/>
        <v/>
      </c>
      <c r="AF140" s="507" t="str">
        <f t="shared" si="14"/>
        <v/>
      </c>
      <c r="AG140" s="524" t="str">
        <f>IFERROR(IF(O140="","",VLOOKUP(AD140,'G-3 Multipliers'!$P$3:$Q$6,2,FALSE)),"")</f>
        <v/>
      </c>
      <c r="AH140" s="513" t="str">
        <f t="shared" ref="AH140:AH203" si="17">IFERROR(IF(OR(M140="",S140="",U140=""),"",(((((P140*R140*T140)-(P140*F140*H140))*(AG140*AC140))+(P140*F140*H140))*(W140))),"")</f>
        <v/>
      </c>
      <c r="AI140" s="231"/>
      <c r="AJ140" s="150"/>
      <c r="AT140" s="31" t="str">
        <f>IFERROR(INDEX('G-6 Hedgerow Data'!$BJ$3:$BJ$15,MATCH(M140,'G-6 Hedgerow Data'!$B$3:$B$15,0)),"")</f>
        <v/>
      </c>
    </row>
    <row r="141" spans="2:46" ht="13.8" x14ac:dyDescent="0.25">
      <c r="B141" s="531" t="str">
        <f>'B-1 Site Hedge Baseline'!AK139</f>
        <v/>
      </c>
      <c r="C141" s="520" t="str">
        <f>IF(B141="","",IF(ISNA(VLOOKUP($B141,'B-1 Site Hedge Baseline'!$B$1:$L$257,3,FALSE)),"",(VLOOKUP($B141,'B-1 Site Hedge Baseline'!$B$1:$L$257,3,FALSE))))</f>
        <v/>
      </c>
      <c r="D141" s="520" t="str">
        <f>IF(B141="","",IF(ISNA(VLOOKUP($B141,'B-1 Site Hedge Baseline'!$B$1:$L$257,4,FALSE)),"",(VLOOKUP($B141,'B-1 Site Hedge Baseline'!$B$1:$L$257,4,FALSE))))</f>
        <v/>
      </c>
      <c r="E141" s="520" t="str">
        <f>IF(B141="","",IF(ISNA(VLOOKUP($B141,'B-1 Site Hedge Baseline'!$B$1:$L$257,5,FALSE)),"",(VLOOKUP($B141,'B-1 Site Hedge Baseline'!$B$1:$L$257,5,FALSE))))</f>
        <v/>
      </c>
      <c r="F141" s="520" t="str">
        <f>IF(B141="","",IF(ISNA(VLOOKUP($B141,'B-1 Site Hedge Baseline'!$B$1:$L$257,6,FALSE)),"",(VLOOKUP($B141,'B-1 Site Hedge Baseline'!$B$1:$L$257,6,FALSE))))</f>
        <v/>
      </c>
      <c r="G141" s="520" t="str">
        <f>IF(B141="","",IF(ISNA(VLOOKUP($B141,'B-1 Site Hedge Baseline'!$B$1:$L$257,7,FALSE)),"",(VLOOKUP($B141,'B-1 Site Hedge Baseline'!$B$1:$L$257,7,FALSE))))</f>
        <v/>
      </c>
      <c r="H141" s="520" t="str">
        <f>IF(B141="","",IF(ISNA(VLOOKUP($B141,'B-1 Site Hedge Baseline'!$B$1:$L$257,8,FALSE)),"",(VLOOKUP($B141,'B-1 Site Hedge Baseline'!$B$1:$L$257,8,FALSE))))</f>
        <v/>
      </c>
      <c r="I141" s="520" t="str">
        <f>IF(B141="","",IF(ISNA(VLOOKUP($B141,'B-1 Site Hedge Baseline'!$B$1:$L$257,10,FALSE)),"",(VLOOKUP($B141,'B-1 Site Hedge Baseline'!$B$1:$L$257,10,FALSE))))</f>
        <v/>
      </c>
      <c r="J141" s="520" t="str">
        <f>IF(B141="","",IF(ISNA(VLOOKUP($B141,'B-1 Site Hedge Baseline'!$B$1:$L$257,11,FALSE)),"",(VLOOKUP($B141,'B-1 Site Hedge Baseline'!$B$1:$L$257,11,FALSE))))</f>
        <v/>
      </c>
      <c r="K141" s="520" t="str">
        <f>IF(B141="","",IF(ISNA(VLOOKUP($B141,'B-1 Site Hedge Baseline'!$B$1:$U$257,13,FALSE)),"",(VLOOKUP($B141,'B-1 Site Hedge Baseline'!$B$1:$U$257,13,FALSE))))</f>
        <v/>
      </c>
      <c r="L141" s="524" t="str">
        <f>IF(B141="","",IF(ISNA(VLOOKUP($B141,'B-1 Site Hedge Baseline'!$B$1:$U$257,12,FALSE)),"",(VLOOKUP($B141,'B-1 Site Hedge Baseline'!$B$1:$U$257,12,FALSE))))</f>
        <v/>
      </c>
      <c r="M141" s="416" t="str">
        <f t="shared" si="15"/>
        <v/>
      </c>
      <c r="N141" s="498" t="str">
        <f>IFERROR(IF(B141="","",INDEX('G-6 Hedgerow Data'!$AN$3:$AZ$15,MATCH(C141,'G-6 Hedgerow Data'!$AM$3:$AM$15,0),MATCH(M141,'G-6 Hedgerow Data'!$AN$2:$AZ$2,0))),"")</f>
        <v/>
      </c>
      <c r="O141" s="499"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59" t="str">
        <f>IF(B141="","",VLOOKUP(B141,'B-1 Site Hedge Baseline'!$B$10:T386,16,FALSE))</f>
        <v/>
      </c>
      <c r="Q141" s="498" t="str">
        <f>IF(M141="","",VLOOKUP(M141,'G-6 Hedgerow Data'!$B$2:$AG$15,2,FALSE))</f>
        <v/>
      </c>
      <c r="R141" s="499" t="str">
        <f>IF(M141="","",VLOOKUP(M141,'G-6 Hedgerow Data'!$B$2:$AG$15,3,FALSE))</f>
        <v/>
      </c>
      <c r="S141" s="157"/>
      <c r="T141" s="540" t="str">
        <f>IFERROR(VLOOKUP(S141,'G-1 All Habitats'!$Z$2:$AA$9,2,FALSE),"")</f>
        <v/>
      </c>
      <c r="U141" s="154"/>
      <c r="V141" s="520" t="str">
        <f>IF(U141="","",IF(VLOOKUP(U141,'G-3 Multipliers'!$L$3:$N$6,2,FALSE)=0,"Spatial Data Missing ⚠",VLOOKUP(U141,'G-3 Multipliers'!$L$3:$N$6,2,FALSE)))</f>
        <v/>
      </c>
      <c r="W141" s="524" t="str">
        <f>IF(U141="","",IF(VLOOKUP(U141,'G-3 Multipliers'!$L$3:$N$6,3,FALSE)=0,"Spatial Data Missing ⚠",VLOOKUP(U141,'G-3 Multipliers'!$L$3:$N$6,3,FALSE)))</f>
        <v/>
      </c>
      <c r="X141" s="498"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7"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1" t="str">
        <f t="shared" ref="AB141:AB204" si="20">IF(X141="","",IF(AA141="Check Data ⚠","Check Data ⚠",IF(Y141="30+",0,IF(Z141="30+","30+ ⚠",IF(X141+Z141&gt;30,"30+ ⚠",IF(LEFT(AA141,5)="Error ▲","Check Data ⚠",IF(X141+Z141-Y141&gt;0,X141+Z141-Y141,IF(X141-Y141&lt;=0,0,))))))))</f>
        <v/>
      </c>
      <c r="AC141" s="522" t="str">
        <f t="shared" si="16"/>
        <v/>
      </c>
      <c r="AD141" s="537" t="str">
        <f>IF(M141="","",VLOOKUP(M141,'G-6 Hedgerow Data'!$B$3:$AG$15,31,FALSE))</f>
        <v/>
      </c>
      <c r="AE141" s="507"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07" t="str">
        <f t="shared" ref="AF141:AF204" si="22">(IF(AND(AE141="Standard difficulty applied",X141&gt;Y141),AD141,IF(AND(AE141="Low Difficulty - only applicable if all habitat created before losses ⚠",Y141&gt;=X141),"Low",AD141)))</f>
        <v/>
      </c>
      <c r="AG141" s="524" t="str">
        <f>IFERROR(IF(O141="","",VLOOKUP(AD141,'G-3 Multipliers'!$P$3:$Q$6,2,FALSE)),"")</f>
        <v/>
      </c>
      <c r="AH141" s="513" t="str">
        <f t="shared" si="17"/>
        <v/>
      </c>
      <c r="AI141" s="231"/>
      <c r="AJ141" s="150"/>
      <c r="AT141" s="31" t="str">
        <f>IFERROR(INDEX('G-6 Hedgerow Data'!$BJ$3:$BJ$15,MATCH(M141,'G-6 Hedgerow Data'!$B$3:$B$15,0)),"")</f>
        <v/>
      </c>
    </row>
    <row r="142" spans="2:46" ht="13.8" x14ac:dyDescent="0.25">
      <c r="B142" s="531" t="str">
        <f>'B-1 Site Hedge Baseline'!AK140</f>
        <v/>
      </c>
      <c r="C142" s="520" t="str">
        <f>IF(B142="","",IF(ISNA(VLOOKUP($B142,'B-1 Site Hedge Baseline'!$B$1:$L$257,3,FALSE)),"",(VLOOKUP($B142,'B-1 Site Hedge Baseline'!$B$1:$L$257,3,FALSE))))</f>
        <v/>
      </c>
      <c r="D142" s="520" t="str">
        <f>IF(B142="","",IF(ISNA(VLOOKUP($B142,'B-1 Site Hedge Baseline'!$B$1:$L$257,4,FALSE)),"",(VLOOKUP($B142,'B-1 Site Hedge Baseline'!$B$1:$L$257,4,FALSE))))</f>
        <v/>
      </c>
      <c r="E142" s="520" t="str">
        <f>IF(B142="","",IF(ISNA(VLOOKUP($B142,'B-1 Site Hedge Baseline'!$B$1:$L$257,5,FALSE)),"",(VLOOKUP($B142,'B-1 Site Hedge Baseline'!$B$1:$L$257,5,FALSE))))</f>
        <v/>
      </c>
      <c r="F142" s="520" t="str">
        <f>IF(B142="","",IF(ISNA(VLOOKUP($B142,'B-1 Site Hedge Baseline'!$B$1:$L$257,6,FALSE)),"",(VLOOKUP($B142,'B-1 Site Hedge Baseline'!$B$1:$L$257,6,FALSE))))</f>
        <v/>
      </c>
      <c r="G142" s="520" t="str">
        <f>IF(B142="","",IF(ISNA(VLOOKUP($B142,'B-1 Site Hedge Baseline'!$B$1:$L$257,7,FALSE)),"",(VLOOKUP($B142,'B-1 Site Hedge Baseline'!$B$1:$L$257,7,FALSE))))</f>
        <v/>
      </c>
      <c r="H142" s="520" t="str">
        <f>IF(B142="","",IF(ISNA(VLOOKUP($B142,'B-1 Site Hedge Baseline'!$B$1:$L$257,8,FALSE)),"",(VLOOKUP($B142,'B-1 Site Hedge Baseline'!$B$1:$L$257,8,FALSE))))</f>
        <v/>
      </c>
      <c r="I142" s="520" t="str">
        <f>IF(B142="","",IF(ISNA(VLOOKUP($B142,'B-1 Site Hedge Baseline'!$B$1:$L$257,10,FALSE)),"",(VLOOKUP($B142,'B-1 Site Hedge Baseline'!$B$1:$L$257,10,FALSE))))</f>
        <v/>
      </c>
      <c r="J142" s="520" t="str">
        <f>IF(B142="","",IF(ISNA(VLOOKUP($B142,'B-1 Site Hedge Baseline'!$B$1:$L$257,11,FALSE)),"",(VLOOKUP($B142,'B-1 Site Hedge Baseline'!$B$1:$L$257,11,FALSE))))</f>
        <v/>
      </c>
      <c r="K142" s="520" t="str">
        <f>IF(B142="","",IF(ISNA(VLOOKUP($B142,'B-1 Site Hedge Baseline'!$B$1:$U$257,13,FALSE)),"",(VLOOKUP($B142,'B-1 Site Hedge Baseline'!$B$1:$U$257,13,FALSE))))</f>
        <v/>
      </c>
      <c r="L142" s="524" t="str">
        <f>IF(B142="","",IF(ISNA(VLOOKUP($B142,'B-1 Site Hedge Baseline'!$B$1:$U$257,12,FALSE)),"",(VLOOKUP($B142,'B-1 Site Hedge Baseline'!$B$1:$U$257,12,FALSE))))</f>
        <v/>
      </c>
      <c r="M142" s="416" t="str">
        <f t="shared" ref="M142:M205" si="23">IF(B142="","",C142)</f>
        <v/>
      </c>
      <c r="N142" s="498" t="str">
        <f>IFERROR(IF(B142="","",INDEX('G-6 Hedgerow Data'!$AN$3:$AZ$15,MATCH(C142,'G-6 Hedgerow Data'!$AM$3:$AM$15,0),MATCH(M142,'G-6 Hedgerow Data'!$AN$2:$AZ$2,0))),"")</f>
        <v/>
      </c>
      <c r="O142" s="499" t="str">
        <f t="shared" si="18"/>
        <v/>
      </c>
      <c r="P142" s="559" t="str">
        <f>IF(B142="","",VLOOKUP(B142,'B-1 Site Hedge Baseline'!$B$10:T387,16,FALSE))</f>
        <v/>
      </c>
      <c r="Q142" s="498" t="str">
        <f>IF(M142="","",VLOOKUP(M142,'G-6 Hedgerow Data'!$B$2:$AG$15,2,FALSE))</f>
        <v/>
      </c>
      <c r="R142" s="499" t="str">
        <f>IF(M142="","",VLOOKUP(M142,'G-6 Hedgerow Data'!$B$2:$AG$15,3,FALSE))</f>
        <v/>
      </c>
      <c r="S142" s="157"/>
      <c r="T142" s="540" t="str">
        <f>IFERROR(VLOOKUP(S142,'G-1 All Habitats'!$Z$2:$AA$9,2,FALSE),"")</f>
        <v/>
      </c>
      <c r="U142" s="154"/>
      <c r="V142" s="520" t="str">
        <f>IF(U142="","",IF(VLOOKUP(U142,'G-3 Multipliers'!$L$3:$N$6,2,FALSE)=0,"Spatial Data Missing ⚠",VLOOKUP(U142,'G-3 Multipliers'!$L$3:$N$6,2,FALSE)))</f>
        <v/>
      </c>
      <c r="W142" s="524" t="str">
        <f>IF(U142="","",IF(VLOOKUP(U142,'G-3 Multipliers'!$L$3:$N$6,3,FALSE)=0,"Spatial Data Missing ⚠",VLOOKUP(U142,'G-3 Multipliers'!$L$3:$N$6,3,FALSE)))</f>
        <v/>
      </c>
      <c r="X142" s="498"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7" t="str">
        <f t="shared" si="19"/>
        <v/>
      </c>
      <c r="AB142" s="521" t="str">
        <f t="shared" si="20"/>
        <v/>
      </c>
      <c r="AC142" s="522" t="str">
        <f t="shared" si="16"/>
        <v/>
      </c>
      <c r="AD142" s="537" t="str">
        <f>IF(M142="","",VLOOKUP(M142,'G-6 Hedgerow Data'!$B$3:$AG$15,31,FALSE))</f>
        <v/>
      </c>
      <c r="AE142" s="507" t="str">
        <f t="shared" si="21"/>
        <v/>
      </c>
      <c r="AF142" s="507" t="str">
        <f t="shared" si="22"/>
        <v/>
      </c>
      <c r="AG142" s="524" t="str">
        <f>IFERROR(IF(O142="","",VLOOKUP(AD142,'G-3 Multipliers'!$P$3:$Q$6,2,FALSE)),"")</f>
        <v/>
      </c>
      <c r="AH142" s="513" t="str">
        <f t="shared" si="17"/>
        <v/>
      </c>
      <c r="AI142" s="231"/>
      <c r="AJ142" s="150"/>
      <c r="AT142" s="31" t="str">
        <f>IFERROR(INDEX('G-6 Hedgerow Data'!$BJ$3:$BJ$15,MATCH(M142,'G-6 Hedgerow Data'!$B$3:$B$15,0)),"")</f>
        <v/>
      </c>
    </row>
    <row r="143" spans="2:46" ht="13.8" x14ac:dyDescent="0.25">
      <c r="B143" s="531" t="str">
        <f>'B-1 Site Hedge Baseline'!AK141</f>
        <v/>
      </c>
      <c r="C143" s="520" t="str">
        <f>IF(B143="","",IF(ISNA(VLOOKUP($B143,'B-1 Site Hedge Baseline'!$B$1:$L$257,3,FALSE)),"",(VLOOKUP($B143,'B-1 Site Hedge Baseline'!$B$1:$L$257,3,FALSE))))</f>
        <v/>
      </c>
      <c r="D143" s="520" t="str">
        <f>IF(B143="","",IF(ISNA(VLOOKUP($B143,'B-1 Site Hedge Baseline'!$B$1:$L$257,4,FALSE)),"",(VLOOKUP($B143,'B-1 Site Hedge Baseline'!$B$1:$L$257,4,FALSE))))</f>
        <v/>
      </c>
      <c r="E143" s="520" t="str">
        <f>IF(B143="","",IF(ISNA(VLOOKUP($B143,'B-1 Site Hedge Baseline'!$B$1:$L$257,5,FALSE)),"",(VLOOKUP($B143,'B-1 Site Hedge Baseline'!$B$1:$L$257,5,FALSE))))</f>
        <v/>
      </c>
      <c r="F143" s="520" t="str">
        <f>IF(B143="","",IF(ISNA(VLOOKUP($B143,'B-1 Site Hedge Baseline'!$B$1:$L$257,6,FALSE)),"",(VLOOKUP($B143,'B-1 Site Hedge Baseline'!$B$1:$L$257,6,FALSE))))</f>
        <v/>
      </c>
      <c r="G143" s="520" t="str">
        <f>IF(B143="","",IF(ISNA(VLOOKUP($B143,'B-1 Site Hedge Baseline'!$B$1:$L$257,7,FALSE)),"",(VLOOKUP($B143,'B-1 Site Hedge Baseline'!$B$1:$L$257,7,FALSE))))</f>
        <v/>
      </c>
      <c r="H143" s="520" t="str">
        <f>IF(B143="","",IF(ISNA(VLOOKUP($B143,'B-1 Site Hedge Baseline'!$B$1:$L$257,8,FALSE)),"",(VLOOKUP($B143,'B-1 Site Hedge Baseline'!$B$1:$L$257,8,FALSE))))</f>
        <v/>
      </c>
      <c r="I143" s="520" t="str">
        <f>IF(B143="","",IF(ISNA(VLOOKUP($B143,'B-1 Site Hedge Baseline'!$B$1:$L$257,10,FALSE)),"",(VLOOKUP($B143,'B-1 Site Hedge Baseline'!$B$1:$L$257,10,FALSE))))</f>
        <v/>
      </c>
      <c r="J143" s="520" t="str">
        <f>IF(B143="","",IF(ISNA(VLOOKUP($B143,'B-1 Site Hedge Baseline'!$B$1:$L$257,11,FALSE)),"",(VLOOKUP($B143,'B-1 Site Hedge Baseline'!$B$1:$L$257,11,FALSE))))</f>
        <v/>
      </c>
      <c r="K143" s="520" t="str">
        <f>IF(B143="","",IF(ISNA(VLOOKUP($B143,'B-1 Site Hedge Baseline'!$B$1:$U$257,13,FALSE)),"",(VLOOKUP($B143,'B-1 Site Hedge Baseline'!$B$1:$U$257,13,FALSE))))</f>
        <v/>
      </c>
      <c r="L143" s="524" t="str">
        <f>IF(B143="","",IF(ISNA(VLOOKUP($B143,'B-1 Site Hedge Baseline'!$B$1:$U$257,12,FALSE)),"",(VLOOKUP($B143,'B-1 Site Hedge Baseline'!$B$1:$U$257,12,FALSE))))</f>
        <v/>
      </c>
      <c r="M143" s="416" t="str">
        <f t="shared" si="23"/>
        <v/>
      </c>
      <c r="N143" s="498" t="str">
        <f>IFERROR(IF(B143="","",INDEX('G-6 Hedgerow Data'!$AN$3:$AZ$15,MATCH(C143,'G-6 Hedgerow Data'!$AM$3:$AM$15,0),MATCH(M143,'G-6 Hedgerow Data'!$AN$2:$AZ$2,0))),"")</f>
        <v/>
      </c>
      <c r="O143" s="499" t="str">
        <f t="shared" si="18"/>
        <v/>
      </c>
      <c r="P143" s="559" t="str">
        <f>IF(B143="","",VLOOKUP(B143,'B-1 Site Hedge Baseline'!$B$10:T388,16,FALSE))</f>
        <v/>
      </c>
      <c r="Q143" s="498" t="str">
        <f>IF(M143="","",VLOOKUP(M143,'G-6 Hedgerow Data'!$B$2:$AG$15,2,FALSE))</f>
        <v/>
      </c>
      <c r="R143" s="499" t="str">
        <f>IF(M143="","",VLOOKUP(M143,'G-6 Hedgerow Data'!$B$2:$AG$15,3,FALSE))</f>
        <v/>
      </c>
      <c r="S143" s="157"/>
      <c r="T143" s="540" t="str">
        <f>IFERROR(VLOOKUP(S143,'G-1 All Habitats'!$Z$2:$AA$9,2,FALSE),"")</f>
        <v/>
      </c>
      <c r="U143" s="154"/>
      <c r="V143" s="520" t="str">
        <f>IF(U143="","",IF(VLOOKUP(U143,'G-3 Multipliers'!$L$3:$N$6,2,FALSE)=0,"Spatial Data Missing ⚠",VLOOKUP(U143,'G-3 Multipliers'!$L$3:$N$6,2,FALSE)))</f>
        <v/>
      </c>
      <c r="W143" s="524" t="str">
        <f>IF(U143="","",IF(VLOOKUP(U143,'G-3 Multipliers'!$L$3:$N$6,3,FALSE)=0,"Spatial Data Missing ⚠",VLOOKUP(U143,'G-3 Multipliers'!$L$3:$N$6,3,FALSE)))</f>
        <v/>
      </c>
      <c r="X143" s="498"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7" t="str">
        <f t="shared" si="19"/>
        <v/>
      </c>
      <c r="AB143" s="521" t="str">
        <f t="shared" si="20"/>
        <v/>
      </c>
      <c r="AC143" s="522" t="str">
        <f t="shared" si="16"/>
        <v/>
      </c>
      <c r="AD143" s="537" t="str">
        <f>IF(M143="","",VLOOKUP(M143,'G-6 Hedgerow Data'!$B$3:$AG$15,31,FALSE))</f>
        <v/>
      </c>
      <c r="AE143" s="507" t="str">
        <f t="shared" si="21"/>
        <v/>
      </c>
      <c r="AF143" s="507" t="str">
        <f t="shared" si="22"/>
        <v/>
      </c>
      <c r="AG143" s="524" t="str">
        <f>IFERROR(IF(O143="","",VLOOKUP(AD143,'G-3 Multipliers'!$P$3:$Q$6,2,FALSE)),"")</f>
        <v/>
      </c>
      <c r="AH143" s="513" t="str">
        <f t="shared" si="17"/>
        <v/>
      </c>
      <c r="AI143" s="231"/>
      <c r="AJ143" s="150"/>
      <c r="AT143" s="31" t="str">
        <f>IFERROR(INDEX('G-6 Hedgerow Data'!$BJ$3:$BJ$15,MATCH(M143,'G-6 Hedgerow Data'!$B$3:$B$15,0)),"")</f>
        <v/>
      </c>
    </row>
    <row r="144" spans="2:46" ht="13.8" x14ac:dyDescent="0.25">
      <c r="B144" s="531" t="str">
        <f>'B-1 Site Hedge Baseline'!AK142</f>
        <v/>
      </c>
      <c r="C144" s="520" t="str">
        <f>IF(B144="","",IF(ISNA(VLOOKUP($B144,'B-1 Site Hedge Baseline'!$B$1:$L$257,3,FALSE)),"",(VLOOKUP($B144,'B-1 Site Hedge Baseline'!$B$1:$L$257,3,FALSE))))</f>
        <v/>
      </c>
      <c r="D144" s="520" t="str">
        <f>IF(B144="","",IF(ISNA(VLOOKUP($B144,'B-1 Site Hedge Baseline'!$B$1:$L$257,4,FALSE)),"",(VLOOKUP($B144,'B-1 Site Hedge Baseline'!$B$1:$L$257,4,FALSE))))</f>
        <v/>
      </c>
      <c r="E144" s="520" t="str">
        <f>IF(B144="","",IF(ISNA(VLOOKUP($B144,'B-1 Site Hedge Baseline'!$B$1:$L$257,5,FALSE)),"",(VLOOKUP($B144,'B-1 Site Hedge Baseline'!$B$1:$L$257,5,FALSE))))</f>
        <v/>
      </c>
      <c r="F144" s="520" t="str">
        <f>IF(B144="","",IF(ISNA(VLOOKUP($B144,'B-1 Site Hedge Baseline'!$B$1:$L$257,6,FALSE)),"",(VLOOKUP($B144,'B-1 Site Hedge Baseline'!$B$1:$L$257,6,FALSE))))</f>
        <v/>
      </c>
      <c r="G144" s="520" t="str">
        <f>IF(B144="","",IF(ISNA(VLOOKUP($B144,'B-1 Site Hedge Baseline'!$B$1:$L$257,7,FALSE)),"",(VLOOKUP($B144,'B-1 Site Hedge Baseline'!$B$1:$L$257,7,FALSE))))</f>
        <v/>
      </c>
      <c r="H144" s="520" t="str">
        <f>IF(B144="","",IF(ISNA(VLOOKUP($B144,'B-1 Site Hedge Baseline'!$B$1:$L$257,8,FALSE)),"",(VLOOKUP($B144,'B-1 Site Hedge Baseline'!$B$1:$L$257,8,FALSE))))</f>
        <v/>
      </c>
      <c r="I144" s="520" t="str">
        <f>IF(B144="","",IF(ISNA(VLOOKUP($B144,'B-1 Site Hedge Baseline'!$B$1:$L$257,10,FALSE)),"",(VLOOKUP($B144,'B-1 Site Hedge Baseline'!$B$1:$L$257,10,FALSE))))</f>
        <v/>
      </c>
      <c r="J144" s="520" t="str">
        <f>IF(B144="","",IF(ISNA(VLOOKUP($B144,'B-1 Site Hedge Baseline'!$B$1:$L$257,11,FALSE)),"",(VLOOKUP($B144,'B-1 Site Hedge Baseline'!$B$1:$L$257,11,FALSE))))</f>
        <v/>
      </c>
      <c r="K144" s="520" t="str">
        <f>IF(B144="","",IF(ISNA(VLOOKUP($B144,'B-1 Site Hedge Baseline'!$B$1:$U$257,13,FALSE)),"",(VLOOKUP($B144,'B-1 Site Hedge Baseline'!$B$1:$U$257,13,FALSE))))</f>
        <v/>
      </c>
      <c r="L144" s="524" t="str">
        <f>IF(B144="","",IF(ISNA(VLOOKUP($B144,'B-1 Site Hedge Baseline'!$B$1:$U$257,12,FALSE)),"",(VLOOKUP($B144,'B-1 Site Hedge Baseline'!$B$1:$U$257,12,FALSE))))</f>
        <v/>
      </c>
      <c r="M144" s="416" t="str">
        <f t="shared" si="23"/>
        <v/>
      </c>
      <c r="N144" s="498" t="str">
        <f>IFERROR(IF(B144="","",INDEX('G-6 Hedgerow Data'!$AN$3:$AZ$15,MATCH(C144,'G-6 Hedgerow Data'!$AM$3:$AM$15,0),MATCH(M144,'G-6 Hedgerow Data'!$AN$2:$AZ$2,0))),"")</f>
        <v/>
      </c>
      <c r="O144" s="499" t="str">
        <f t="shared" si="18"/>
        <v/>
      </c>
      <c r="P144" s="559" t="str">
        <f>IF(B144="","",VLOOKUP(B144,'B-1 Site Hedge Baseline'!$B$10:T389,16,FALSE))</f>
        <v/>
      </c>
      <c r="Q144" s="498" t="str">
        <f>IF(M144="","",VLOOKUP(M144,'G-6 Hedgerow Data'!$B$2:$AG$15,2,FALSE))</f>
        <v/>
      </c>
      <c r="R144" s="499" t="str">
        <f>IF(M144="","",VLOOKUP(M144,'G-6 Hedgerow Data'!$B$2:$AG$15,3,FALSE))</f>
        <v/>
      </c>
      <c r="S144" s="157"/>
      <c r="T144" s="540" t="str">
        <f>IFERROR(VLOOKUP(S144,'G-1 All Habitats'!$Z$2:$AA$9,2,FALSE),"")</f>
        <v/>
      </c>
      <c r="U144" s="154"/>
      <c r="V144" s="520" t="str">
        <f>IF(U144="","",IF(VLOOKUP(U144,'G-3 Multipliers'!$L$3:$N$6,2,FALSE)=0,"Spatial Data Missing ⚠",VLOOKUP(U144,'G-3 Multipliers'!$L$3:$N$6,2,FALSE)))</f>
        <v/>
      </c>
      <c r="W144" s="524" t="str">
        <f>IF(U144="","",IF(VLOOKUP(U144,'G-3 Multipliers'!$L$3:$N$6,3,FALSE)=0,"Spatial Data Missing ⚠",VLOOKUP(U144,'G-3 Multipliers'!$L$3:$N$6,3,FALSE)))</f>
        <v/>
      </c>
      <c r="X144" s="498"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7" t="str">
        <f t="shared" si="19"/>
        <v/>
      </c>
      <c r="AB144" s="521" t="str">
        <f t="shared" si="20"/>
        <v/>
      </c>
      <c r="AC144" s="522" t="str">
        <f t="shared" si="16"/>
        <v/>
      </c>
      <c r="AD144" s="537" t="str">
        <f>IF(M144="","",VLOOKUP(M144,'G-6 Hedgerow Data'!$B$3:$AG$15,31,FALSE))</f>
        <v/>
      </c>
      <c r="AE144" s="507" t="str">
        <f t="shared" si="21"/>
        <v/>
      </c>
      <c r="AF144" s="507" t="str">
        <f t="shared" si="22"/>
        <v/>
      </c>
      <c r="AG144" s="524" t="str">
        <f>IFERROR(IF(O144="","",VLOOKUP(AD144,'G-3 Multipliers'!$P$3:$Q$6,2,FALSE)),"")</f>
        <v/>
      </c>
      <c r="AH144" s="513" t="str">
        <f t="shared" si="17"/>
        <v/>
      </c>
      <c r="AI144" s="231"/>
      <c r="AJ144" s="150"/>
      <c r="AT144" s="31" t="str">
        <f>IFERROR(INDEX('G-6 Hedgerow Data'!$BJ$3:$BJ$15,MATCH(M144,'G-6 Hedgerow Data'!$B$3:$B$15,0)),"")</f>
        <v/>
      </c>
    </row>
    <row r="145" spans="2:46" ht="13.8" x14ac:dyDescent="0.25">
      <c r="B145" s="531" t="str">
        <f>'B-1 Site Hedge Baseline'!AK143</f>
        <v/>
      </c>
      <c r="C145" s="520" t="str">
        <f>IF(B145="","",IF(ISNA(VLOOKUP($B145,'B-1 Site Hedge Baseline'!$B$1:$L$257,3,FALSE)),"",(VLOOKUP($B145,'B-1 Site Hedge Baseline'!$B$1:$L$257,3,FALSE))))</f>
        <v/>
      </c>
      <c r="D145" s="520" t="str">
        <f>IF(B145="","",IF(ISNA(VLOOKUP($B145,'B-1 Site Hedge Baseline'!$B$1:$L$257,4,FALSE)),"",(VLOOKUP($B145,'B-1 Site Hedge Baseline'!$B$1:$L$257,4,FALSE))))</f>
        <v/>
      </c>
      <c r="E145" s="520" t="str">
        <f>IF(B145="","",IF(ISNA(VLOOKUP($B145,'B-1 Site Hedge Baseline'!$B$1:$L$257,5,FALSE)),"",(VLOOKUP($B145,'B-1 Site Hedge Baseline'!$B$1:$L$257,5,FALSE))))</f>
        <v/>
      </c>
      <c r="F145" s="520" t="str">
        <f>IF(B145="","",IF(ISNA(VLOOKUP($B145,'B-1 Site Hedge Baseline'!$B$1:$L$257,6,FALSE)),"",(VLOOKUP($B145,'B-1 Site Hedge Baseline'!$B$1:$L$257,6,FALSE))))</f>
        <v/>
      </c>
      <c r="G145" s="520" t="str">
        <f>IF(B145="","",IF(ISNA(VLOOKUP($B145,'B-1 Site Hedge Baseline'!$B$1:$L$257,7,FALSE)),"",(VLOOKUP($B145,'B-1 Site Hedge Baseline'!$B$1:$L$257,7,FALSE))))</f>
        <v/>
      </c>
      <c r="H145" s="520" t="str">
        <f>IF(B145="","",IF(ISNA(VLOOKUP($B145,'B-1 Site Hedge Baseline'!$B$1:$L$257,8,FALSE)),"",(VLOOKUP($B145,'B-1 Site Hedge Baseline'!$B$1:$L$257,8,FALSE))))</f>
        <v/>
      </c>
      <c r="I145" s="520" t="str">
        <f>IF(B145="","",IF(ISNA(VLOOKUP($B145,'B-1 Site Hedge Baseline'!$B$1:$L$257,10,FALSE)),"",(VLOOKUP($B145,'B-1 Site Hedge Baseline'!$B$1:$L$257,10,FALSE))))</f>
        <v/>
      </c>
      <c r="J145" s="520" t="str">
        <f>IF(B145="","",IF(ISNA(VLOOKUP($B145,'B-1 Site Hedge Baseline'!$B$1:$L$257,11,FALSE)),"",(VLOOKUP($B145,'B-1 Site Hedge Baseline'!$B$1:$L$257,11,FALSE))))</f>
        <v/>
      </c>
      <c r="K145" s="520" t="str">
        <f>IF(B145="","",IF(ISNA(VLOOKUP($B145,'B-1 Site Hedge Baseline'!$B$1:$U$257,13,FALSE)),"",(VLOOKUP($B145,'B-1 Site Hedge Baseline'!$B$1:$U$257,13,FALSE))))</f>
        <v/>
      </c>
      <c r="L145" s="524" t="str">
        <f>IF(B145="","",IF(ISNA(VLOOKUP($B145,'B-1 Site Hedge Baseline'!$B$1:$U$257,12,FALSE)),"",(VLOOKUP($B145,'B-1 Site Hedge Baseline'!$B$1:$U$257,12,FALSE))))</f>
        <v/>
      </c>
      <c r="M145" s="416" t="str">
        <f t="shared" si="23"/>
        <v/>
      </c>
      <c r="N145" s="498" t="str">
        <f>IFERROR(IF(B145="","",INDEX('G-6 Hedgerow Data'!$AN$3:$AZ$15,MATCH(C145,'G-6 Hedgerow Data'!$AM$3:$AM$15,0),MATCH(M145,'G-6 Hedgerow Data'!$AN$2:$AZ$2,0))),"")</f>
        <v/>
      </c>
      <c r="O145" s="499" t="str">
        <f t="shared" si="18"/>
        <v/>
      </c>
      <c r="P145" s="559" t="str">
        <f>IF(B145="","",VLOOKUP(B145,'B-1 Site Hedge Baseline'!$B$10:T390,16,FALSE))</f>
        <v/>
      </c>
      <c r="Q145" s="498" t="str">
        <f>IF(M145="","",VLOOKUP(M145,'G-6 Hedgerow Data'!$B$2:$AG$15,2,FALSE))</f>
        <v/>
      </c>
      <c r="R145" s="499" t="str">
        <f>IF(M145="","",VLOOKUP(M145,'G-6 Hedgerow Data'!$B$2:$AG$15,3,FALSE))</f>
        <v/>
      </c>
      <c r="S145" s="157"/>
      <c r="T145" s="540" t="str">
        <f>IFERROR(VLOOKUP(S145,'G-1 All Habitats'!$Z$2:$AA$9,2,FALSE),"")</f>
        <v/>
      </c>
      <c r="U145" s="154"/>
      <c r="V145" s="520" t="str">
        <f>IF(U145="","",IF(VLOOKUP(U145,'G-3 Multipliers'!$L$3:$N$6,2,FALSE)=0,"Spatial Data Missing ⚠",VLOOKUP(U145,'G-3 Multipliers'!$L$3:$N$6,2,FALSE)))</f>
        <v/>
      </c>
      <c r="W145" s="524" t="str">
        <f>IF(U145="","",IF(VLOOKUP(U145,'G-3 Multipliers'!$L$3:$N$6,3,FALSE)=0,"Spatial Data Missing ⚠",VLOOKUP(U145,'G-3 Multipliers'!$L$3:$N$6,3,FALSE)))</f>
        <v/>
      </c>
      <c r="X145" s="498"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7" t="str">
        <f t="shared" si="19"/>
        <v/>
      </c>
      <c r="AB145" s="521" t="str">
        <f t="shared" si="20"/>
        <v/>
      </c>
      <c r="AC145" s="522" t="str">
        <f t="shared" si="16"/>
        <v/>
      </c>
      <c r="AD145" s="537" t="str">
        <f>IF(M145="","",VLOOKUP(M145,'G-6 Hedgerow Data'!$B$3:$AG$15,31,FALSE))</f>
        <v/>
      </c>
      <c r="AE145" s="507" t="str">
        <f t="shared" si="21"/>
        <v/>
      </c>
      <c r="AF145" s="507" t="str">
        <f t="shared" si="22"/>
        <v/>
      </c>
      <c r="AG145" s="524" t="str">
        <f>IFERROR(IF(O145="","",VLOOKUP(AD145,'G-3 Multipliers'!$P$3:$Q$6,2,FALSE)),"")</f>
        <v/>
      </c>
      <c r="AH145" s="513" t="str">
        <f t="shared" si="17"/>
        <v/>
      </c>
      <c r="AI145" s="231"/>
      <c r="AJ145" s="150"/>
      <c r="AT145" s="31" t="str">
        <f>IFERROR(INDEX('G-6 Hedgerow Data'!$BJ$3:$BJ$15,MATCH(M145,'G-6 Hedgerow Data'!$B$3:$B$15,0)),"")</f>
        <v/>
      </c>
    </row>
    <row r="146" spans="2:46" ht="13.8" x14ac:dyDescent="0.25">
      <c r="B146" s="531" t="str">
        <f>'B-1 Site Hedge Baseline'!AK144</f>
        <v/>
      </c>
      <c r="C146" s="520" t="str">
        <f>IF(B146="","",IF(ISNA(VLOOKUP($B146,'B-1 Site Hedge Baseline'!$B$1:$L$257,3,FALSE)),"",(VLOOKUP($B146,'B-1 Site Hedge Baseline'!$B$1:$L$257,3,FALSE))))</f>
        <v/>
      </c>
      <c r="D146" s="520" t="str">
        <f>IF(B146="","",IF(ISNA(VLOOKUP($B146,'B-1 Site Hedge Baseline'!$B$1:$L$257,4,FALSE)),"",(VLOOKUP($B146,'B-1 Site Hedge Baseline'!$B$1:$L$257,4,FALSE))))</f>
        <v/>
      </c>
      <c r="E146" s="520" t="str">
        <f>IF(B146="","",IF(ISNA(VLOOKUP($B146,'B-1 Site Hedge Baseline'!$B$1:$L$257,5,FALSE)),"",(VLOOKUP($B146,'B-1 Site Hedge Baseline'!$B$1:$L$257,5,FALSE))))</f>
        <v/>
      </c>
      <c r="F146" s="520" t="str">
        <f>IF(B146="","",IF(ISNA(VLOOKUP($B146,'B-1 Site Hedge Baseline'!$B$1:$L$257,6,FALSE)),"",(VLOOKUP($B146,'B-1 Site Hedge Baseline'!$B$1:$L$257,6,FALSE))))</f>
        <v/>
      </c>
      <c r="G146" s="520" t="str">
        <f>IF(B146="","",IF(ISNA(VLOOKUP($B146,'B-1 Site Hedge Baseline'!$B$1:$L$257,7,FALSE)),"",(VLOOKUP($B146,'B-1 Site Hedge Baseline'!$B$1:$L$257,7,FALSE))))</f>
        <v/>
      </c>
      <c r="H146" s="520" t="str">
        <f>IF(B146="","",IF(ISNA(VLOOKUP($B146,'B-1 Site Hedge Baseline'!$B$1:$L$257,8,FALSE)),"",(VLOOKUP($B146,'B-1 Site Hedge Baseline'!$B$1:$L$257,8,FALSE))))</f>
        <v/>
      </c>
      <c r="I146" s="520" t="str">
        <f>IF(B146="","",IF(ISNA(VLOOKUP($B146,'B-1 Site Hedge Baseline'!$B$1:$L$257,10,FALSE)),"",(VLOOKUP($B146,'B-1 Site Hedge Baseline'!$B$1:$L$257,10,FALSE))))</f>
        <v/>
      </c>
      <c r="J146" s="520" t="str">
        <f>IF(B146="","",IF(ISNA(VLOOKUP($B146,'B-1 Site Hedge Baseline'!$B$1:$L$257,11,FALSE)),"",(VLOOKUP($B146,'B-1 Site Hedge Baseline'!$B$1:$L$257,11,FALSE))))</f>
        <v/>
      </c>
      <c r="K146" s="520" t="str">
        <f>IF(B146="","",IF(ISNA(VLOOKUP($B146,'B-1 Site Hedge Baseline'!$B$1:$U$257,13,FALSE)),"",(VLOOKUP($B146,'B-1 Site Hedge Baseline'!$B$1:$U$257,13,FALSE))))</f>
        <v/>
      </c>
      <c r="L146" s="524" t="str">
        <f>IF(B146="","",IF(ISNA(VLOOKUP($B146,'B-1 Site Hedge Baseline'!$B$1:$U$257,12,FALSE)),"",(VLOOKUP($B146,'B-1 Site Hedge Baseline'!$B$1:$U$257,12,FALSE))))</f>
        <v/>
      </c>
      <c r="M146" s="416" t="str">
        <f t="shared" si="23"/>
        <v/>
      </c>
      <c r="N146" s="498" t="str">
        <f>IFERROR(IF(B146="","",INDEX('G-6 Hedgerow Data'!$AN$3:$AZ$15,MATCH(C146,'G-6 Hedgerow Data'!$AM$3:$AM$15,0),MATCH(M146,'G-6 Hedgerow Data'!$AN$2:$AZ$2,0))),"")</f>
        <v/>
      </c>
      <c r="O146" s="499" t="str">
        <f t="shared" si="18"/>
        <v/>
      </c>
      <c r="P146" s="559" t="str">
        <f>IF(B146="","",VLOOKUP(B146,'B-1 Site Hedge Baseline'!$B$10:T391,16,FALSE))</f>
        <v/>
      </c>
      <c r="Q146" s="498" t="str">
        <f>IF(M146="","",VLOOKUP(M146,'G-6 Hedgerow Data'!$B$2:$AG$15,2,FALSE))</f>
        <v/>
      </c>
      <c r="R146" s="499" t="str">
        <f>IF(M146="","",VLOOKUP(M146,'G-6 Hedgerow Data'!$B$2:$AG$15,3,FALSE))</f>
        <v/>
      </c>
      <c r="S146" s="157"/>
      <c r="T146" s="540" t="str">
        <f>IFERROR(VLOOKUP(S146,'G-1 All Habitats'!$Z$2:$AA$9,2,FALSE),"")</f>
        <v/>
      </c>
      <c r="U146" s="154"/>
      <c r="V146" s="520" t="str">
        <f>IF(U146="","",IF(VLOOKUP(U146,'G-3 Multipliers'!$L$3:$N$6,2,FALSE)=0,"Spatial Data Missing ⚠",VLOOKUP(U146,'G-3 Multipliers'!$L$3:$N$6,2,FALSE)))</f>
        <v/>
      </c>
      <c r="W146" s="524" t="str">
        <f>IF(U146="","",IF(VLOOKUP(U146,'G-3 Multipliers'!$L$3:$N$6,3,FALSE)=0,"Spatial Data Missing ⚠",VLOOKUP(U146,'G-3 Multipliers'!$L$3:$N$6,3,FALSE)))</f>
        <v/>
      </c>
      <c r="X146" s="498"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7" t="str">
        <f t="shared" si="19"/>
        <v/>
      </c>
      <c r="AB146" s="521" t="str">
        <f t="shared" si="20"/>
        <v/>
      </c>
      <c r="AC146" s="522" t="str">
        <f t="shared" si="16"/>
        <v/>
      </c>
      <c r="AD146" s="537" t="str">
        <f>IF(M146="","",VLOOKUP(M146,'G-6 Hedgerow Data'!$B$3:$AG$15,31,FALSE))</f>
        <v/>
      </c>
      <c r="AE146" s="507" t="str">
        <f t="shared" si="21"/>
        <v/>
      </c>
      <c r="AF146" s="507" t="str">
        <f t="shared" si="22"/>
        <v/>
      </c>
      <c r="AG146" s="524" t="str">
        <f>IFERROR(IF(O146="","",VLOOKUP(AD146,'G-3 Multipliers'!$P$3:$Q$6,2,FALSE)),"")</f>
        <v/>
      </c>
      <c r="AH146" s="513" t="str">
        <f t="shared" si="17"/>
        <v/>
      </c>
      <c r="AI146" s="231"/>
      <c r="AJ146" s="150"/>
      <c r="AT146" s="31" t="str">
        <f>IFERROR(INDEX('G-6 Hedgerow Data'!$BJ$3:$BJ$15,MATCH(M146,'G-6 Hedgerow Data'!$B$3:$B$15,0)),"")</f>
        <v/>
      </c>
    </row>
    <row r="147" spans="2:46" ht="13.8" x14ac:dyDescent="0.25">
      <c r="B147" s="531" t="str">
        <f>'B-1 Site Hedge Baseline'!AK145</f>
        <v/>
      </c>
      <c r="C147" s="520" t="str">
        <f>IF(B147="","",IF(ISNA(VLOOKUP($B147,'B-1 Site Hedge Baseline'!$B$1:$L$257,3,FALSE)),"",(VLOOKUP($B147,'B-1 Site Hedge Baseline'!$B$1:$L$257,3,FALSE))))</f>
        <v/>
      </c>
      <c r="D147" s="520" t="str">
        <f>IF(B147="","",IF(ISNA(VLOOKUP($B147,'B-1 Site Hedge Baseline'!$B$1:$L$257,4,FALSE)),"",(VLOOKUP($B147,'B-1 Site Hedge Baseline'!$B$1:$L$257,4,FALSE))))</f>
        <v/>
      </c>
      <c r="E147" s="520" t="str">
        <f>IF(B147="","",IF(ISNA(VLOOKUP($B147,'B-1 Site Hedge Baseline'!$B$1:$L$257,5,FALSE)),"",(VLOOKUP($B147,'B-1 Site Hedge Baseline'!$B$1:$L$257,5,FALSE))))</f>
        <v/>
      </c>
      <c r="F147" s="520" t="str">
        <f>IF(B147="","",IF(ISNA(VLOOKUP($B147,'B-1 Site Hedge Baseline'!$B$1:$L$257,6,FALSE)),"",(VLOOKUP($B147,'B-1 Site Hedge Baseline'!$B$1:$L$257,6,FALSE))))</f>
        <v/>
      </c>
      <c r="G147" s="520" t="str">
        <f>IF(B147="","",IF(ISNA(VLOOKUP($B147,'B-1 Site Hedge Baseline'!$B$1:$L$257,7,FALSE)),"",(VLOOKUP($B147,'B-1 Site Hedge Baseline'!$B$1:$L$257,7,FALSE))))</f>
        <v/>
      </c>
      <c r="H147" s="520" t="str">
        <f>IF(B147="","",IF(ISNA(VLOOKUP($B147,'B-1 Site Hedge Baseline'!$B$1:$L$257,8,FALSE)),"",(VLOOKUP($B147,'B-1 Site Hedge Baseline'!$B$1:$L$257,8,FALSE))))</f>
        <v/>
      </c>
      <c r="I147" s="520" t="str">
        <f>IF(B147="","",IF(ISNA(VLOOKUP($B147,'B-1 Site Hedge Baseline'!$B$1:$L$257,10,FALSE)),"",(VLOOKUP($B147,'B-1 Site Hedge Baseline'!$B$1:$L$257,10,FALSE))))</f>
        <v/>
      </c>
      <c r="J147" s="520" t="str">
        <f>IF(B147="","",IF(ISNA(VLOOKUP($B147,'B-1 Site Hedge Baseline'!$B$1:$L$257,11,FALSE)),"",(VLOOKUP($B147,'B-1 Site Hedge Baseline'!$B$1:$L$257,11,FALSE))))</f>
        <v/>
      </c>
      <c r="K147" s="520" t="str">
        <f>IF(B147="","",IF(ISNA(VLOOKUP($B147,'B-1 Site Hedge Baseline'!$B$1:$U$257,13,FALSE)),"",(VLOOKUP($B147,'B-1 Site Hedge Baseline'!$B$1:$U$257,13,FALSE))))</f>
        <v/>
      </c>
      <c r="L147" s="524" t="str">
        <f>IF(B147="","",IF(ISNA(VLOOKUP($B147,'B-1 Site Hedge Baseline'!$B$1:$U$257,12,FALSE)),"",(VLOOKUP($B147,'B-1 Site Hedge Baseline'!$B$1:$U$257,12,FALSE))))</f>
        <v/>
      </c>
      <c r="M147" s="416" t="str">
        <f t="shared" si="23"/>
        <v/>
      </c>
      <c r="N147" s="498" t="str">
        <f>IFERROR(IF(B147="","",INDEX('G-6 Hedgerow Data'!$AN$3:$AZ$15,MATCH(C147,'G-6 Hedgerow Data'!$AM$3:$AM$15,0),MATCH(M147,'G-6 Hedgerow Data'!$AN$2:$AZ$2,0))),"")</f>
        <v/>
      </c>
      <c r="O147" s="499" t="str">
        <f t="shared" si="18"/>
        <v/>
      </c>
      <c r="P147" s="559" t="str">
        <f>IF(B147="","",VLOOKUP(B147,'B-1 Site Hedge Baseline'!$B$10:T392,16,FALSE))</f>
        <v/>
      </c>
      <c r="Q147" s="498" t="str">
        <f>IF(M147="","",VLOOKUP(M147,'G-6 Hedgerow Data'!$B$2:$AG$15,2,FALSE))</f>
        <v/>
      </c>
      <c r="R147" s="499" t="str">
        <f>IF(M147="","",VLOOKUP(M147,'G-6 Hedgerow Data'!$B$2:$AG$15,3,FALSE))</f>
        <v/>
      </c>
      <c r="S147" s="157"/>
      <c r="T147" s="540" t="str">
        <f>IFERROR(VLOOKUP(S147,'G-1 All Habitats'!$Z$2:$AA$9,2,FALSE),"")</f>
        <v/>
      </c>
      <c r="U147" s="154"/>
      <c r="V147" s="520" t="str">
        <f>IF(U147="","",IF(VLOOKUP(U147,'G-3 Multipliers'!$L$3:$N$6,2,FALSE)=0,"Spatial Data Missing ⚠",VLOOKUP(U147,'G-3 Multipliers'!$L$3:$N$6,2,FALSE)))</f>
        <v/>
      </c>
      <c r="W147" s="524" t="str">
        <f>IF(U147="","",IF(VLOOKUP(U147,'G-3 Multipliers'!$L$3:$N$6,3,FALSE)=0,"Spatial Data Missing ⚠",VLOOKUP(U147,'G-3 Multipliers'!$L$3:$N$6,3,FALSE)))</f>
        <v/>
      </c>
      <c r="X147" s="498"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7" t="str">
        <f t="shared" si="19"/>
        <v/>
      </c>
      <c r="AB147" s="521" t="str">
        <f t="shared" si="20"/>
        <v/>
      </c>
      <c r="AC147" s="522" t="str">
        <f t="shared" si="16"/>
        <v/>
      </c>
      <c r="AD147" s="537" t="str">
        <f>IF(M147="","",VLOOKUP(M147,'G-6 Hedgerow Data'!$B$3:$AG$15,31,FALSE))</f>
        <v/>
      </c>
      <c r="AE147" s="507" t="str">
        <f t="shared" si="21"/>
        <v/>
      </c>
      <c r="AF147" s="507" t="str">
        <f t="shared" si="22"/>
        <v/>
      </c>
      <c r="AG147" s="524" t="str">
        <f>IFERROR(IF(O147="","",VLOOKUP(AD147,'G-3 Multipliers'!$P$3:$Q$6,2,FALSE)),"")</f>
        <v/>
      </c>
      <c r="AH147" s="513" t="str">
        <f t="shared" si="17"/>
        <v/>
      </c>
      <c r="AI147" s="231"/>
      <c r="AJ147" s="150"/>
      <c r="AT147" s="31" t="str">
        <f>IFERROR(INDEX('G-6 Hedgerow Data'!$BJ$3:$BJ$15,MATCH(M147,'G-6 Hedgerow Data'!$B$3:$B$15,0)),"")</f>
        <v/>
      </c>
    </row>
    <row r="148" spans="2:46" ht="13.8" x14ac:dyDescent="0.25">
      <c r="B148" s="531" t="str">
        <f>'B-1 Site Hedge Baseline'!AK146</f>
        <v/>
      </c>
      <c r="C148" s="520" t="str">
        <f>IF(B148="","",IF(ISNA(VLOOKUP($B148,'B-1 Site Hedge Baseline'!$B$1:$L$257,3,FALSE)),"",(VLOOKUP($B148,'B-1 Site Hedge Baseline'!$B$1:$L$257,3,FALSE))))</f>
        <v/>
      </c>
      <c r="D148" s="520" t="str">
        <f>IF(B148="","",IF(ISNA(VLOOKUP($B148,'B-1 Site Hedge Baseline'!$B$1:$L$257,4,FALSE)),"",(VLOOKUP($B148,'B-1 Site Hedge Baseline'!$B$1:$L$257,4,FALSE))))</f>
        <v/>
      </c>
      <c r="E148" s="520" t="str">
        <f>IF(B148="","",IF(ISNA(VLOOKUP($B148,'B-1 Site Hedge Baseline'!$B$1:$L$257,5,FALSE)),"",(VLOOKUP($B148,'B-1 Site Hedge Baseline'!$B$1:$L$257,5,FALSE))))</f>
        <v/>
      </c>
      <c r="F148" s="520" t="str">
        <f>IF(B148="","",IF(ISNA(VLOOKUP($B148,'B-1 Site Hedge Baseline'!$B$1:$L$257,6,FALSE)),"",(VLOOKUP($B148,'B-1 Site Hedge Baseline'!$B$1:$L$257,6,FALSE))))</f>
        <v/>
      </c>
      <c r="G148" s="520" t="str">
        <f>IF(B148="","",IF(ISNA(VLOOKUP($B148,'B-1 Site Hedge Baseline'!$B$1:$L$257,7,FALSE)),"",(VLOOKUP($B148,'B-1 Site Hedge Baseline'!$B$1:$L$257,7,FALSE))))</f>
        <v/>
      </c>
      <c r="H148" s="520" t="str">
        <f>IF(B148="","",IF(ISNA(VLOOKUP($B148,'B-1 Site Hedge Baseline'!$B$1:$L$257,8,FALSE)),"",(VLOOKUP($B148,'B-1 Site Hedge Baseline'!$B$1:$L$257,8,FALSE))))</f>
        <v/>
      </c>
      <c r="I148" s="520" t="str">
        <f>IF(B148="","",IF(ISNA(VLOOKUP($B148,'B-1 Site Hedge Baseline'!$B$1:$L$257,10,FALSE)),"",(VLOOKUP($B148,'B-1 Site Hedge Baseline'!$B$1:$L$257,10,FALSE))))</f>
        <v/>
      </c>
      <c r="J148" s="520" t="str">
        <f>IF(B148="","",IF(ISNA(VLOOKUP($B148,'B-1 Site Hedge Baseline'!$B$1:$L$257,11,FALSE)),"",(VLOOKUP($B148,'B-1 Site Hedge Baseline'!$B$1:$L$257,11,FALSE))))</f>
        <v/>
      </c>
      <c r="K148" s="520" t="str">
        <f>IF(B148="","",IF(ISNA(VLOOKUP($B148,'B-1 Site Hedge Baseline'!$B$1:$U$257,13,FALSE)),"",(VLOOKUP($B148,'B-1 Site Hedge Baseline'!$B$1:$U$257,13,FALSE))))</f>
        <v/>
      </c>
      <c r="L148" s="524" t="str">
        <f>IF(B148="","",IF(ISNA(VLOOKUP($B148,'B-1 Site Hedge Baseline'!$B$1:$U$257,12,FALSE)),"",(VLOOKUP($B148,'B-1 Site Hedge Baseline'!$B$1:$U$257,12,FALSE))))</f>
        <v/>
      </c>
      <c r="M148" s="416" t="str">
        <f t="shared" si="23"/>
        <v/>
      </c>
      <c r="N148" s="498" t="str">
        <f>IFERROR(IF(B148="","",INDEX('G-6 Hedgerow Data'!$AN$3:$AZ$15,MATCH(C148,'G-6 Hedgerow Data'!$AM$3:$AM$15,0),MATCH(M148,'G-6 Hedgerow Data'!$AN$2:$AZ$2,0))),"")</f>
        <v/>
      </c>
      <c r="O148" s="499" t="str">
        <f t="shared" si="18"/>
        <v/>
      </c>
      <c r="P148" s="559" t="str">
        <f>IF(B148="","",VLOOKUP(B148,'B-1 Site Hedge Baseline'!$B$10:T393,16,FALSE))</f>
        <v/>
      </c>
      <c r="Q148" s="498" t="str">
        <f>IF(M148="","",VLOOKUP(M148,'G-6 Hedgerow Data'!$B$2:$AG$15,2,FALSE))</f>
        <v/>
      </c>
      <c r="R148" s="499" t="str">
        <f>IF(M148="","",VLOOKUP(M148,'G-6 Hedgerow Data'!$B$2:$AG$15,3,FALSE))</f>
        <v/>
      </c>
      <c r="S148" s="157"/>
      <c r="T148" s="540" t="str">
        <f>IFERROR(VLOOKUP(S148,'G-1 All Habitats'!$Z$2:$AA$9,2,FALSE),"")</f>
        <v/>
      </c>
      <c r="U148" s="154"/>
      <c r="V148" s="520" t="str">
        <f>IF(U148="","",IF(VLOOKUP(U148,'G-3 Multipliers'!$L$3:$N$6,2,FALSE)=0,"Spatial Data Missing ⚠",VLOOKUP(U148,'G-3 Multipliers'!$L$3:$N$6,2,FALSE)))</f>
        <v/>
      </c>
      <c r="W148" s="524" t="str">
        <f>IF(U148="","",IF(VLOOKUP(U148,'G-3 Multipliers'!$L$3:$N$6,3,FALSE)=0,"Spatial Data Missing ⚠",VLOOKUP(U148,'G-3 Multipliers'!$L$3:$N$6,3,FALSE)))</f>
        <v/>
      </c>
      <c r="X148" s="498"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7" t="str">
        <f t="shared" si="19"/>
        <v/>
      </c>
      <c r="AB148" s="521" t="str">
        <f t="shared" si="20"/>
        <v/>
      </c>
      <c r="AC148" s="522" t="str">
        <f t="shared" si="16"/>
        <v/>
      </c>
      <c r="AD148" s="537" t="str">
        <f>IF(M148="","",VLOOKUP(M148,'G-6 Hedgerow Data'!$B$3:$AG$15,31,FALSE))</f>
        <v/>
      </c>
      <c r="AE148" s="507" t="str">
        <f t="shared" si="21"/>
        <v/>
      </c>
      <c r="AF148" s="507" t="str">
        <f t="shared" si="22"/>
        <v/>
      </c>
      <c r="AG148" s="524" t="str">
        <f>IFERROR(IF(O148="","",VLOOKUP(AD148,'G-3 Multipliers'!$P$3:$Q$6,2,FALSE)),"")</f>
        <v/>
      </c>
      <c r="AH148" s="513" t="str">
        <f t="shared" si="17"/>
        <v/>
      </c>
      <c r="AI148" s="231"/>
      <c r="AJ148" s="150"/>
      <c r="AT148" s="31" t="str">
        <f>IFERROR(INDEX('G-6 Hedgerow Data'!$BJ$3:$BJ$15,MATCH(M148,'G-6 Hedgerow Data'!$B$3:$B$15,0)),"")</f>
        <v/>
      </c>
    </row>
    <row r="149" spans="2:46" ht="13.8" x14ac:dyDescent="0.25">
      <c r="B149" s="531" t="str">
        <f>'B-1 Site Hedge Baseline'!AK147</f>
        <v/>
      </c>
      <c r="C149" s="520" t="str">
        <f>IF(B149="","",IF(ISNA(VLOOKUP($B149,'B-1 Site Hedge Baseline'!$B$1:$L$257,3,FALSE)),"",(VLOOKUP($B149,'B-1 Site Hedge Baseline'!$B$1:$L$257,3,FALSE))))</f>
        <v/>
      </c>
      <c r="D149" s="520" t="str">
        <f>IF(B149="","",IF(ISNA(VLOOKUP($B149,'B-1 Site Hedge Baseline'!$B$1:$L$257,4,FALSE)),"",(VLOOKUP($B149,'B-1 Site Hedge Baseline'!$B$1:$L$257,4,FALSE))))</f>
        <v/>
      </c>
      <c r="E149" s="520" t="str">
        <f>IF(B149="","",IF(ISNA(VLOOKUP($B149,'B-1 Site Hedge Baseline'!$B$1:$L$257,5,FALSE)),"",(VLOOKUP($B149,'B-1 Site Hedge Baseline'!$B$1:$L$257,5,FALSE))))</f>
        <v/>
      </c>
      <c r="F149" s="520" t="str">
        <f>IF(B149="","",IF(ISNA(VLOOKUP($B149,'B-1 Site Hedge Baseline'!$B$1:$L$257,6,FALSE)),"",(VLOOKUP($B149,'B-1 Site Hedge Baseline'!$B$1:$L$257,6,FALSE))))</f>
        <v/>
      </c>
      <c r="G149" s="520" t="str">
        <f>IF(B149="","",IF(ISNA(VLOOKUP($B149,'B-1 Site Hedge Baseline'!$B$1:$L$257,7,FALSE)),"",(VLOOKUP($B149,'B-1 Site Hedge Baseline'!$B$1:$L$257,7,FALSE))))</f>
        <v/>
      </c>
      <c r="H149" s="520" t="str">
        <f>IF(B149="","",IF(ISNA(VLOOKUP($B149,'B-1 Site Hedge Baseline'!$B$1:$L$257,8,FALSE)),"",(VLOOKUP($B149,'B-1 Site Hedge Baseline'!$B$1:$L$257,8,FALSE))))</f>
        <v/>
      </c>
      <c r="I149" s="520" t="str">
        <f>IF(B149="","",IF(ISNA(VLOOKUP($B149,'B-1 Site Hedge Baseline'!$B$1:$L$257,10,FALSE)),"",(VLOOKUP($B149,'B-1 Site Hedge Baseline'!$B$1:$L$257,10,FALSE))))</f>
        <v/>
      </c>
      <c r="J149" s="520" t="str">
        <f>IF(B149="","",IF(ISNA(VLOOKUP($B149,'B-1 Site Hedge Baseline'!$B$1:$L$257,11,FALSE)),"",(VLOOKUP($B149,'B-1 Site Hedge Baseline'!$B$1:$L$257,11,FALSE))))</f>
        <v/>
      </c>
      <c r="K149" s="520" t="str">
        <f>IF(B149="","",IF(ISNA(VLOOKUP($B149,'B-1 Site Hedge Baseline'!$B$1:$U$257,13,FALSE)),"",(VLOOKUP($B149,'B-1 Site Hedge Baseline'!$B$1:$U$257,13,FALSE))))</f>
        <v/>
      </c>
      <c r="L149" s="524" t="str">
        <f>IF(B149="","",IF(ISNA(VLOOKUP($B149,'B-1 Site Hedge Baseline'!$B$1:$U$257,12,FALSE)),"",(VLOOKUP($B149,'B-1 Site Hedge Baseline'!$B$1:$U$257,12,FALSE))))</f>
        <v/>
      </c>
      <c r="M149" s="416" t="str">
        <f t="shared" si="23"/>
        <v/>
      </c>
      <c r="N149" s="498" t="str">
        <f>IFERROR(IF(B149="","",INDEX('G-6 Hedgerow Data'!$AN$3:$AZ$15,MATCH(C149,'G-6 Hedgerow Data'!$AM$3:$AM$15,0),MATCH(M149,'G-6 Hedgerow Data'!$AN$2:$AZ$2,0))),"")</f>
        <v/>
      </c>
      <c r="O149" s="499" t="str">
        <f t="shared" si="18"/>
        <v/>
      </c>
      <c r="P149" s="559" t="str">
        <f>IF(B149="","",VLOOKUP(B149,'B-1 Site Hedge Baseline'!$B$10:T394,16,FALSE))</f>
        <v/>
      </c>
      <c r="Q149" s="498" t="str">
        <f>IF(M149="","",VLOOKUP(M149,'G-6 Hedgerow Data'!$B$2:$AG$15,2,FALSE))</f>
        <v/>
      </c>
      <c r="R149" s="499" t="str">
        <f>IF(M149="","",VLOOKUP(M149,'G-6 Hedgerow Data'!$B$2:$AG$15,3,FALSE))</f>
        <v/>
      </c>
      <c r="S149" s="157"/>
      <c r="T149" s="540" t="str">
        <f>IFERROR(VLOOKUP(S149,'G-1 All Habitats'!$Z$2:$AA$9,2,FALSE),"")</f>
        <v/>
      </c>
      <c r="U149" s="154"/>
      <c r="V149" s="520" t="str">
        <f>IF(U149="","",IF(VLOOKUP(U149,'G-3 Multipliers'!$L$3:$N$6,2,FALSE)=0,"Spatial Data Missing ⚠",VLOOKUP(U149,'G-3 Multipliers'!$L$3:$N$6,2,FALSE)))</f>
        <v/>
      </c>
      <c r="W149" s="524" t="str">
        <f>IF(U149="","",IF(VLOOKUP(U149,'G-3 Multipliers'!$L$3:$N$6,3,FALSE)=0,"Spatial Data Missing ⚠",VLOOKUP(U149,'G-3 Multipliers'!$L$3:$N$6,3,FALSE)))</f>
        <v/>
      </c>
      <c r="X149" s="498"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7" t="str">
        <f t="shared" si="19"/>
        <v/>
      </c>
      <c r="AB149" s="521" t="str">
        <f t="shared" si="20"/>
        <v/>
      </c>
      <c r="AC149" s="522" t="str">
        <f t="shared" si="16"/>
        <v/>
      </c>
      <c r="AD149" s="537" t="str">
        <f>IF(M149="","",VLOOKUP(M149,'G-6 Hedgerow Data'!$B$3:$AG$15,31,FALSE))</f>
        <v/>
      </c>
      <c r="AE149" s="507" t="str">
        <f t="shared" si="21"/>
        <v/>
      </c>
      <c r="AF149" s="507" t="str">
        <f t="shared" si="22"/>
        <v/>
      </c>
      <c r="AG149" s="524" t="str">
        <f>IFERROR(IF(O149="","",VLOOKUP(AD149,'G-3 Multipliers'!$P$3:$Q$6,2,FALSE)),"")</f>
        <v/>
      </c>
      <c r="AH149" s="513" t="str">
        <f t="shared" si="17"/>
        <v/>
      </c>
      <c r="AI149" s="231"/>
      <c r="AJ149" s="150"/>
      <c r="AT149" s="31" t="str">
        <f>IFERROR(INDEX('G-6 Hedgerow Data'!$BJ$3:$BJ$15,MATCH(M149,'G-6 Hedgerow Data'!$B$3:$B$15,0)),"")</f>
        <v/>
      </c>
    </row>
    <row r="150" spans="2:46" ht="13.8" x14ac:dyDescent="0.25">
      <c r="B150" s="531" t="str">
        <f>'B-1 Site Hedge Baseline'!AK148</f>
        <v/>
      </c>
      <c r="C150" s="520" t="str">
        <f>IF(B150="","",IF(ISNA(VLOOKUP($B150,'B-1 Site Hedge Baseline'!$B$1:$L$257,3,FALSE)),"",(VLOOKUP($B150,'B-1 Site Hedge Baseline'!$B$1:$L$257,3,FALSE))))</f>
        <v/>
      </c>
      <c r="D150" s="520" t="str">
        <f>IF(B150="","",IF(ISNA(VLOOKUP($B150,'B-1 Site Hedge Baseline'!$B$1:$L$257,4,FALSE)),"",(VLOOKUP($B150,'B-1 Site Hedge Baseline'!$B$1:$L$257,4,FALSE))))</f>
        <v/>
      </c>
      <c r="E150" s="520" t="str">
        <f>IF(B150="","",IF(ISNA(VLOOKUP($B150,'B-1 Site Hedge Baseline'!$B$1:$L$257,5,FALSE)),"",(VLOOKUP($B150,'B-1 Site Hedge Baseline'!$B$1:$L$257,5,FALSE))))</f>
        <v/>
      </c>
      <c r="F150" s="520" t="str">
        <f>IF(B150="","",IF(ISNA(VLOOKUP($B150,'B-1 Site Hedge Baseline'!$B$1:$L$257,6,FALSE)),"",(VLOOKUP($B150,'B-1 Site Hedge Baseline'!$B$1:$L$257,6,FALSE))))</f>
        <v/>
      </c>
      <c r="G150" s="520" t="str">
        <f>IF(B150="","",IF(ISNA(VLOOKUP($B150,'B-1 Site Hedge Baseline'!$B$1:$L$257,7,FALSE)),"",(VLOOKUP($B150,'B-1 Site Hedge Baseline'!$B$1:$L$257,7,FALSE))))</f>
        <v/>
      </c>
      <c r="H150" s="520" t="str">
        <f>IF(B150="","",IF(ISNA(VLOOKUP($B150,'B-1 Site Hedge Baseline'!$B$1:$L$257,8,FALSE)),"",(VLOOKUP($B150,'B-1 Site Hedge Baseline'!$B$1:$L$257,8,FALSE))))</f>
        <v/>
      </c>
      <c r="I150" s="520" t="str">
        <f>IF(B150="","",IF(ISNA(VLOOKUP($B150,'B-1 Site Hedge Baseline'!$B$1:$L$257,10,FALSE)),"",(VLOOKUP($B150,'B-1 Site Hedge Baseline'!$B$1:$L$257,10,FALSE))))</f>
        <v/>
      </c>
      <c r="J150" s="520" t="str">
        <f>IF(B150="","",IF(ISNA(VLOOKUP($B150,'B-1 Site Hedge Baseline'!$B$1:$L$257,11,FALSE)),"",(VLOOKUP($B150,'B-1 Site Hedge Baseline'!$B$1:$L$257,11,FALSE))))</f>
        <v/>
      </c>
      <c r="K150" s="520" t="str">
        <f>IF(B150="","",IF(ISNA(VLOOKUP($B150,'B-1 Site Hedge Baseline'!$B$1:$U$257,13,FALSE)),"",(VLOOKUP($B150,'B-1 Site Hedge Baseline'!$B$1:$U$257,13,FALSE))))</f>
        <v/>
      </c>
      <c r="L150" s="524" t="str">
        <f>IF(B150="","",IF(ISNA(VLOOKUP($B150,'B-1 Site Hedge Baseline'!$B$1:$U$257,12,FALSE)),"",(VLOOKUP($B150,'B-1 Site Hedge Baseline'!$B$1:$U$257,12,FALSE))))</f>
        <v/>
      </c>
      <c r="M150" s="416" t="str">
        <f t="shared" si="23"/>
        <v/>
      </c>
      <c r="N150" s="498" t="str">
        <f>IFERROR(IF(B150="","",INDEX('G-6 Hedgerow Data'!$AN$3:$AZ$15,MATCH(C150,'G-6 Hedgerow Data'!$AM$3:$AM$15,0),MATCH(M150,'G-6 Hedgerow Data'!$AN$2:$AZ$2,0))),"")</f>
        <v/>
      </c>
      <c r="O150" s="499" t="str">
        <f t="shared" si="18"/>
        <v/>
      </c>
      <c r="P150" s="559" t="str">
        <f>IF(B150="","",VLOOKUP(B150,'B-1 Site Hedge Baseline'!$B$10:T395,16,FALSE))</f>
        <v/>
      </c>
      <c r="Q150" s="498" t="str">
        <f>IF(M150="","",VLOOKUP(M150,'G-6 Hedgerow Data'!$B$2:$AG$15,2,FALSE))</f>
        <v/>
      </c>
      <c r="R150" s="499" t="str">
        <f>IF(M150="","",VLOOKUP(M150,'G-6 Hedgerow Data'!$B$2:$AG$15,3,FALSE))</f>
        <v/>
      </c>
      <c r="S150" s="157"/>
      <c r="T150" s="540" t="str">
        <f>IFERROR(VLOOKUP(S150,'G-1 All Habitats'!$Z$2:$AA$9,2,FALSE),"")</f>
        <v/>
      </c>
      <c r="U150" s="154"/>
      <c r="V150" s="520" t="str">
        <f>IF(U150="","",IF(VLOOKUP(U150,'G-3 Multipliers'!$L$3:$N$6,2,FALSE)=0,"Spatial Data Missing ⚠",VLOOKUP(U150,'G-3 Multipliers'!$L$3:$N$6,2,FALSE)))</f>
        <v/>
      </c>
      <c r="W150" s="524" t="str">
        <f>IF(U150="","",IF(VLOOKUP(U150,'G-3 Multipliers'!$L$3:$N$6,3,FALSE)=0,"Spatial Data Missing ⚠",VLOOKUP(U150,'G-3 Multipliers'!$L$3:$N$6,3,FALSE)))</f>
        <v/>
      </c>
      <c r="X150" s="498"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7" t="str">
        <f t="shared" si="19"/>
        <v/>
      </c>
      <c r="AB150" s="521" t="str">
        <f t="shared" si="20"/>
        <v/>
      </c>
      <c r="AC150" s="522" t="str">
        <f t="shared" si="16"/>
        <v/>
      </c>
      <c r="AD150" s="537" t="str">
        <f>IF(M150="","",VLOOKUP(M150,'G-6 Hedgerow Data'!$B$3:$AG$15,31,FALSE))</f>
        <v/>
      </c>
      <c r="AE150" s="507" t="str">
        <f t="shared" si="21"/>
        <v/>
      </c>
      <c r="AF150" s="507" t="str">
        <f t="shared" si="22"/>
        <v/>
      </c>
      <c r="AG150" s="524" t="str">
        <f>IFERROR(IF(O150="","",VLOOKUP(AD150,'G-3 Multipliers'!$P$3:$Q$6,2,FALSE)),"")</f>
        <v/>
      </c>
      <c r="AH150" s="513" t="str">
        <f t="shared" si="17"/>
        <v/>
      </c>
      <c r="AI150" s="231"/>
      <c r="AJ150" s="150"/>
      <c r="AT150" s="31" t="str">
        <f>IFERROR(INDEX('G-6 Hedgerow Data'!$BJ$3:$BJ$15,MATCH(M150,'G-6 Hedgerow Data'!$B$3:$B$15,0)),"")</f>
        <v/>
      </c>
    </row>
    <row r="151" spans="2:46" ht="13.8" x14ac:dyDescent="0.25">
      <c r="B151" s="531" t="str">
        <f>'B-1 Site Hedge Baseline'!AK149</f>
        <v/>
      </c>
      <c r="C151" s="520" t="str">
        <f>IF(B151="","",IF(ISNA(VLOOKUP($B151,'B-1 Site Hedge Baseline'!$B$1:$L$257,3,FALSE)),"",(VLOOKUP($B151,'B-1 Site Hedge Baseline'!$B$1:$L$257,3,FALSE))))</f>
        <v/>
      </c>
      <c r="D151" s="520" t="str">
        <f>IF(B151="","",IF(ISNA(VLOOKUP($B151,'B-1 Site Hedge Baseline'!$B$1:$L$257,4,FALSE)),"",(VLOOKUP($B151,'B-1 Site Hedge Baseline'!$B$1:$L$257,4,FALSE))))</f>
        <v/>
      </c>
      <c r="E151" s="520" t="str">
        <f>IF(B151="","",IF(ISNA(VLOOKUP($B151,'B-1 Site Hedge Baseline'!$B$1:$L$257,5,FALSE)),"",(VLOOKUP($B151,'B-1 Site Hedge Baseline'!$B$1:$L$257,5,FALSE))))</f>
        <v/>
      </c>
      <c r="F151" s="520" t="str">
        <f>IF(B151="","",IF(ISNA(VLOOKUP($B151,'B-1 Site Hedge Baseline'!$B$1:$L$257,6,FALSE)),"",(VLOOKUP($B151,'B-1 Site Hedge Baseline'!$B$1:$L$257,6,FALSE))))</f>
        <v/>
      </c>
      <c r="G151" s="520" t="str">
        <f>IF(B151="","",IF(ISNA(VLOOKUP($B151,'B-1 Site Hedge Baseline'!$B$1:$L$257,7,FALSE)),"",(VLOOKUP($B151,'B-1 Site Hedge Baseline'!$B$1:$L$257,7,FALSE))))</f>
        <v/>
      </c>
      <c r="H151" s="520" t="str">
        <f>IF(B151="","",IF(ISNA(VLOOKUP($B151,'B-1 Site Hedge Baseline'!$B$1:$L$257,8,FALSE)),"",(VLOOKUP($B151,'B-1 Site Hedge Baseline'!$B$1:$L$257,8,FALSE))))</f>
        <v/>
      </c>
      <c r="I151" s="520" t="str">
        <f>IF(B151="","",IF(ISNA(VLOOKUP($B151,'B-1 Site Hedge Baseline'!$B$1:$L$257,10,FALSE)),"",(VLOOKUP($B151,'B-1 Site Hedge Baseline'!$B$1:$L$257,10,FALSE))))</f>
        <v/>
      </c>
      <c r="J151" s="520" t="str">
        <f>IF(B151="","",IF(ISNA(VLOOKUP($B151,'B-1 Site Hedge Baseline'!$B$1:$L$257,11,FALSE)),"",(VLOOKUP($B151,'B-1 Site Hedge Baseline'!$B$1:$L$257,11,FALSE))))</f>
        <v/>
      </c>
      <c r="K151" s="520" t="str">
        <f>IF(B151="","",IF(ISNA(VLOOKUP($B151,'B-1 Site Hedge Baseline'!$B$1:$U$257,13,FALSE)),"",(VLOOKUP($B151,'B-1 Site Hedge Baseline'!$B$1:$U$257,13,FALSE))))</f>
        <v/>
      </c>
      <c r="L151" s="524" t="str">
        <f>IF(B151="","",IF(ISNA(VLOOKUP($B151,'B-1 Site Hedge Baseline'!$B$1:$U$257,12,FALSE)),"",(VLOOKUP($B151,'B-1 Site Hedge Baseline'!$B$1:$U$257,12,FALSE))))</f>
        <v/>
      </c>
      <c r="M151" s="416" t="str">
        <f t="shared" si="23"/>
        <v/>
      </c>
      <c r="N151" s="498" t="str">
        <f>IFERROR(IF(B151="","",INDEX('G-6 Hedgerow Data'!$AN$3:$AZ$15,MATCH(C151,'G-6 Hedgerow Data'!$AM$3:$AM$15,0),MATCH(M151,'G-6 Hedgerow Data'!$AN$2:$AZ$2,0))),"")</f>
        <v/>
      </c>
      <c r="O151" s="499" t="str">
        <f t="shared" si="18"/>
        <v/>
      </c>
      <c r="P151" s="559" t="str">
        <f>IF(B151="","",VLOOKUP(B151,'B-1 Site Hedge Baseline'!$B$10:T396,16,FALSE))</f>
        <v/>
      </c>
      <c r="Q151" s="498" t="str">
        <f>IF(M151="","",VLOOKUP(M151,'G-6 Hedgerow Data'!$B$2:$AG$15,2,FALSE))</f>
        <v/>
      </c>
      <c r="R151" s="499" t="str">
        <f>IF(M151="","",VLOOKUP(M151,'G-6 Hedgerow Data'!$B$2:$AG$15,3,FALSE))</f>
        <v/>
      </c>
      <c r="S151" s="157"/>
      <c r="T151" s="540" t="str">
        <f>IFERROR(VLOOKUP(S151,'G-1 All Habitats'!$Z$2:$AA$9,2,FALSE),"")</f>
        <v/>
      </c>
      <c r="U151" s="154"/>
      <c r="V151" s="520" t="str">
        <f>IF(U151="","",IF(VLOOKUP(U151,'G-3 Multipliers'!$L$3:$N$6,2,FALSE)=0,"Spatial Data Missing ⚠",VLOOKUP(U151,'G-3 Multipliers'!$L$3:$N$6,2,FALSE)))</f>
        <v/>
      </c>
      <c r="W151" s="524" t="str">
        <f>IF(U151="","",IF(VLOOKUP(U151,'G-3 Multipliers'!$L$3:$N$6,3,FALSE)=0,"Spatial Data Missing ⚠",VLOOKUP(U151,'G-3 Multipliers'!$L$3:$N$6,3,FALSE)))</f>
        <v/>
      </c>
      <c r="X151" s="498"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7" t="str">
        <f t="shared" si="19"/>
        <v/>
      </c>
      <c r="AB151" s="521" t="str">
        <f t="shared" si="20"/>
        <v/>
      </c>
      <c r="AC151" s="522" t="str">
        <f t="shared" si="16"/>
        <v/>
      </c>
      <c r="AD151" s="537" t="str">
        <f>IF(M151="","",VLOOKUP(M151,'G-6 Hedgerow Data'!$B$3:$AG$15,31,FALSE))</f>
        <v/>
      </c>
      <c r="AE151" s="507" t="str">
        <f t="shared" si="21"/>
        <v/>
      </c>
      <c r="AF151" s="507" t="str">
        <f t="shared" si="22"/>
        <v/>
      </c>
      <c r="AG151" s="524" t="str">
        <f>IFERROR(IF(O151="","",VLOOKUP(AD151,'G-3 Multipliers'!$P$3:$Q$6,2,FALSE)),"")</f>
        <v/>
      </c>
      <c r="AH151" s="513" t="str">
        <f t="shared" si="17"/>
        <v/>
      </c>
      <c r="AI151" s="231"/>
      <c r="AJ151" s="150"/>
      <c r="AT151" s="31" t="str">
        <f>IFERROR(INDEX('G-6 Hedgerow Data'!$BJ$3:$BJ$15,MATCH(M151,'G-6 Hedgerow Data'!$B$3:$B$15,0)),"")</f>
        <v/>
      </c>
    </row>
    <row r="152" spans="2:46" ht="13.8" x14ac:dyDescent="0.25">
      <c r="B152" s="531" t="str">
        <f>'B-1 Site Hedge Baseline'!AK150</f>
        <v/>
      </c>
      <c r="C152" s="520" t="str">
        <f>IF(B152="","",IF(ISNA(VLOOKUP($B152,'B-1 Site Hedge Baseline'!$B$1:$L$257,3,FALSE)),"",(VLOOKUP($B152,'B-1 Site Hedge Baseline'!$B$1:$L$257,3,FALSE))))</f>
        <v/>
      </c>
      <c r="D152" s="520" t="str">
        <f>IF(B152="","",IF(ISNA(VLOOKUP($B152,'B-1 Site Hedge Baseline'!$B$1:$L$257,4,FALSE)),"",(VLOOKUP($B152,'B-1 Site Hedge Baseline'!$B$1:$L$257,4,FALSE))))</f>
        <v/>
      </c>
      <c r="E152" s="520" t="str">
        <f>IF(B152="","",IF(ISNA(VLOOKUP($B152,'B-1 Site Hedge Baseline'!$B$1:$L$257,5,FALSE)),"",(VLOOKUP($B152,'B-1 Site Hedge Baseline'!$B$1:$L$257,5,FALSE))))</f>
        <v/>
      </c>
      <c r="F152" s="520" t="str">
        <f>IF(B152="","",IF(ISNA(VLOOKUP($B152,'B-1 Site Hedge Baseline'!$B$1:$L$257,6,FALSE)),"",(VLOOKUP($B152,'B-1 Site Hedge Baseline'!$B$1:$L$257,6,FALSE))))</f>
        <v/>
      </c>
      <c r="G152" s="520" t="str">
        <f>IF(B152="","",IF(ISNA(VLOOKUP($B152,'B-1 Site Hedge Baseline'!$B$1:$L$257,7,FALSE)),"",(VLOOKUP($B152,'B-1 Site Hedge Baseline'!$B$1:$L$257,7,FALSE))))</f>
        <v/>
      </c>
      <c r="H152" s="520" t="str">
        <f>IF(B152="","",IF(ISNA(VLOOKUP($B152,'B-1 Site Hedge Baseline'!$B$1:$L$257,8,FALSE)),"",(VLOOKUP($B152,'B-1 Site Hedge Baseline'!$B$1:$L$257,8,FALSE))))</f>
        <v/>
      </c>
      <c r="I152" s="520" t="str">
        <f>IF(B152="","",IF(ISNA(VLOOKUP($B152,'B-1 Site Hedge Baseline'!$B$1:$L$257,10,FALSE)),"",(VLOOKUP($B152,'B-1 Site Hedge Baseline'!$B$1:$L$257,10,FALSE))))</f>
        <v/>
      </c>
      <c r="J152" s="520" t="str">
        <f>IF(B152="","",IF(ISNA(VLOOKUP($B152,'B-1 Site Hedge Baseline'!$B$1:$L$257,11,FALSE)),"",(VLOOKUP($B152,'B-1 Site Hedge Baseline'!$B$1:$L$257,11,FALSE))))</f>
        <v/>
      </c>
      <c r="K152" s="520" t="str">
        <f>IF(B152="","",IF(ISNA(VLOOKUP($B152,'B-1 Site Hedge Baseline'!$B$1:$U$257,13,FALSE)),"",(VLOOKUP($B152,'B-1 Site Hedge Baseline'!$B$1:$U$257,13,FALSE))))</f>
        <v/>
      </c>
      <c r="L152" s="524" t="str">
        <f>IF(B152="","",IF(ISNA(VLOOKUP($B152,'B-1 Site Hedge Baseline'!$B$1:$U$257,12,FALSE)),"",(VLOOKUP($B152,'B-1 Site Hedge Baseline'!$B$1:$U$257,12,FALSE))))</f>
        <v/>
      </c>
      <c r="M152" s="416" t="str">
        <f t="shared" si="23"/>
        <v/>
      </c>
      <c r="N152" s="498" t="str">
        <f>IFERROR(IF(B152="","",INDEX('G-6 Hedgerow Data'!$AN$3:$AZ$15,MATCH(C152,'G-6 Hedgerow Data'!$AM$3:$AM$15,0),MATCH(M152,'G-6 Hedgerow Data'!$AN$2:$AZ$2,0))),"")</f>
        <v/>
      </c>
      <c r="O152" s="499" t="str">
        <f t="shared" si="18"/>
        <v/>
      </c>
      <c r="P152" s="559" t="str">
        <f>IF(B152="","",VLOOKUP(B152,'B-1 Site Hedge Baseline'!$B$10:T397,16,FALSE))</f>
        <v/>
      </c>
      <c r="Q152" s="498" t="str">
        <f>IF(M152="","",VLOOKUP(M152,'G-6 Hedgerow Data'!$B$2:$AG$15,2,FALSE))</f>
        <v/>
      </c>
      <c r="R152" s="499" t="str">
        <f>IF(M152="","",VLOOKUP(M152,'G-6 Hedgerow Data'!$B$2:$AG$15,3,FALSE))</f>
        <v/>
      </c>
      <c r="S152" s="157"/>
      <c r="T152" s="540" t="str">
        <f>IFERROR(VLOOKUP(S152,'G-1 All Habitats'!$Z$2:$AA$9,2,FALSE),"")</f>
        <v/>
      </c>
      <c r="U152" s="154"/>
      <c r="V152" s="520" t="str">
        <f>IF(U152="","",IF(VLOOKUP(U152,'G-3 Multipliers'!$L$3:$N$6,2,FALSE)=0,"Spatial Data Missing ⚠",VLOOKUP(U152,'G-3 Multipliers'!$L$3:$N$6,2,FALSE)))</f>
        <v/>
      </c>
      <c r="W152" s="524" t="str">
        <f>IF(U152="","",IF(VLOOKUP(U152,'G-3 Multipliers'!$L$3:$N$6,3,FALSE)=0,"Spatial Data Missing ⚠",VLOOKUP(U152,'G-3 Multipliers'!$L$3:$N$6,3,FALSE)))</f>
        <v/>
      </c>
      <c r="X152" s="498"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7" t="str">
        <f t="shared" si="19"/>
        <v/>
      </c>
      <c r="AB152" s="521" t="str">
        <f t="shared" si="20"/>
        <v/>
      </c>
      <c r="AC152" s="522" t="str">
        <f t="shared" si="16"/>
        <v/>
      </c>
      <c r="AD152" s="537" t="str">
        <f>IF(M152="","",VLOOKUP(M152,'G-6 Hedgerow Data'!$B$3:$AG$15,31,FALSE))</f>
        <v/>
      </c>
      <c r="AE152" s="507" t="str">
        <f t="shared" si="21"/>
        <v/>
      </c>
      <c r="AF152" s="507" t="str">
        <f t="shared" si="22"/>
        <v/>
      </c>
      <c r="AG152" s="524" t="str">
        <f>IFERROR(IF(O152="","",VLOOKUP(AD152,'G-3 Multipliers'!$P$3:$Q$6,2,FALSE)),"")</f>
        <v/>
      </c>
      <c r="AH152" s="513" t="str">
        <f t="shared" si="17"/>
        <v/>
      </c>
      <c r="AI152" s="231"/>
      <c r="AJ152" s="150"/>
      <c r="AT152" s="31" t="str">
        <f>IFERROR(INDEX('G-6 Hedgerow Data'!$BJ$3:$BJ$15,MATCH(M152,'G-6 Hedgerow Data'!$B$3:$B$15,0)),"")</f>
        <v/>
      </c>
    </row>
    <row r="153" spans="2:46" ht="13.8" x14ac:dyDescent="0.25">
      <c r="B153" s="531" t="str">
        <f>'B-1 Site Hedge Baseline'!AK151</f>
        <v/>
      </c>
      <c r="C153" s="520" t="str">
        <f>IF(B153="","",IF(ISNA(VLOOKUP($B153,'B-1 Site Hedge Baseline'!$B$1:$L$257,3,FALSE)),"",(VLOOKUP($B153,'B-1 Site Hedge Baseline'!$B$1:$L$257,3,FALSE))))</f>
        <v/>
      </c>
      <c r="D153" s="520" t="str">
        <f>IF(B153="","",IF(ISNA(VLOOKUP($B153,'B-1 Site Hedge Baseline'!$B$1:$L$257,4,FALSE)),"",(VLOOKUP($B153,'B-1 Site Hedge Baseline'!$B$1:$L$257,4,FALSE))))</f>
        <v/>
      </c>
      <c r="E153" s="520" t="str">
        <f>IF(B153="","",IF(ISNA(VLOOKUP($B153,'B-1 Site Hedge Baseline'!$B$1:$L$257,5,FALSE)),"",(VLOOKUP($B153,'B-1 Site Hedge Baseline'!$B$1:$L$257,5,FALSE))))</f>
        <v/>
      </c>
      <c r="F153" s="520" t="str">
        <f>IF(B153="","",IF(ISNA(VLOOKUP($B153,'B-1 Site Hedge Baseline'!$B$1:$L$257,6,FALSE)),"",(VLOOKUP($B153,'B-1 Site Hedge Baseline'!$B$1:$L$257,6,FALSE))))</f>
        <v/>
      </c>
      <c r="G153" s="520" t="str">
        <f>IF(B153="","",IF(ISNA(VLOOKUP($B153,'B-1 Site Hedge Baseline'!$B$1:$L$257,7,FALSE)),"",(VLOOKUP($B153,'B-1 Site Hedge Baseline'!$B$1:$L$257,7,FALSE))))</f>
        <v/>
      </c>
      <c r="H153" s="520" t="str">
        <f>IF(B153="","",IF(ISNA(VLOOKUP($B153,'B-1 Site Hedge Baseline'!$B$1:$L$257,8,FALSE)),"",(VLOOKUP($B153,'B-1 Site Hedge Baseline'!$B$1:$L$257,8,FALSE))))</f>
        <v/>
      </c>
      <c r="I153" s="520" t="str">
        <f>IF(B153="","",IF(ISNA(VLOOKUP($B153,'B-1 Site Hedge Baseline'!$B$1:$L$257,10,FALSE)),"",(VLOOKUP($B153,'B-1 Site Hedge Baseline'!$B$1:$L$257,10,FALSE))))</f>
        <v/>
      </c>
      <c r="J153" s="520" t="str">
        <f>IF(B153="","",IF(ISNA(VLOOKUP($B153,'B-1 Site Hedge Baseline'!$B$1:$L$257,11,FALSE)),"",(VLOOKUP($B153,'B-1 Site Hedge Baseline'!$B$1:$L$257,11,FALSE))))</f>
        <v/>
      </c>
      <c r="K153" s="520" t="str">
        <f>IF(B153="","",IF(ISNA(VLOOKUP($B153,'B-1 Site Hedge Baseline'!$B$1:$U$257,13,FALSE)),"",(VLOOKUP($B153,'B-1 Site Hedge Baseline'!$B$1:$U$257,13,FALSE))))</f>
        <v/>
      </c>
      <c r="L153" s="524" t="str">
        <f>IF(B153="","",IF(ISNA(VLOOKUP($B153,'B-1 Site Hedge Baseline'!$B$1:$U$257,12,FALSE)),"",(VLOOKUP($B153,'B-1 Site Hedge Baseline'!$B$1:$U$257,12,FALSE))))</f>
        <v/>
      </c>
      <c r="M153" s="416" t="str">
        <f t="shared" si="23"/>
        <v/>
      </c>
      <c r="N153" s="498" t="str">
        <f>IFERROR(IF(B153="","",INDEX('G-6 Hedgerow Data'!$AN$3:$AZ$15,MATCH(C153,'G-6 Hedgerow Data'!$AM$3:$AM$15,0),MATCH(M153,'G-6 Hedgerow Data'!$AN$2:$AZ$2,0))),"")</f>
        <v/>
      </c>
      <c r="O153" s="499" t="str">
        <f t="shared" si="18"/>
        <v/>
      </c>
      <c r="P153" s="559" t="str">
        <f>IF(B153="","",VLOOKUP(B153,'B-1 Site Hedge Baseline'!$B$10:T398,16,FALSE))</f>
        <v/>
      </c>
      <c r="Q153" s="498" t="str">
        <f>IF(M153="","",VLOOKUP(M153,'G-6 Hedgerow Data'!$B$2:$AG$15,2,FALSE))</f>
        <v/>
      </c>
      <c r="R153" s="499" t="str">
        <f>IF(M153="","",VLOOKUP(M153,'G-6 Hedgerow Data'!$B$2:$AG$15,3,FALSE))</f>
        <v/>
      </c>
      <c r="S153" s="157"/>
      <c r="T153" s="540" t="str">
        <f>IFERROR(VLOOKUP(S153,'G-1 All Habitats'!$Z$2:$AA$9,2,FALSE),"")</f>
        <v/>
      </c>
      <c r="U153" s="154"/>
      <c r="V153" s="520" t="str">
        <f>IF(U153="","",IF(VLOOKUP(U153,'G-3 Multipliers'!$L$3:$N$6,2,FALSE)=0,"Spatial Data Missing ⚠",VLOOKUP(U153,'G-3 Multipliers'!$L$3:$N$6,2,FALSE)))</f>
        <v/>
      </c>
      <c r="W153" s="524" t="str">
        <f>IF(U153="","",IF(VLOOKUP(U153,'G-3 Multipliers'!$L$3:$N$6,3,FALSE)=0,"Spatial Data Missing ⚠",VLOOKUP(U153,'G-3 Multipliers'!$L$3:$N$6,3,FALSE)))</f>
        <v/>
      </c>
      <c r="X153" s="498"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7" t="str">
        <f t="shared" si="19"/>
        <v/>
      </c>
      <c r="AB153" s="521" t="str">
        <f t="shared" si="20"/>
        <v/>
      </c>
      <c r="AC153" s="522" t="str">
        <f t="shared" si="16"/>
        <v/>
      </c>
      <c r="AD153" s="537" t="str">
        <f>IF(M153="","",VLOOKUP(M153,'G-6 Hedgerow Data'!$B$3:$AG$15,31,FALSE))</f>
        <v/>
      </c>
      <c r="AE153" s="507" t="str">
        <f t="shared" si="21"/>
        <v/>
      </c>
      <c r="AF153" s="507" t="str">
        <f t="shared" si="22"/>
        <v/>
      </c>
      <c r="AG153" s="524" t="str">
        <f>IFERROR(IF(O153="","",VLOOKUP(AD153,'G-3 Multipliers'!$P$3:$Q$6,2,FALSE)),"")</f>
        <v/>
      </c>
      <c r="AH153" s="513" t="str">
        <f t="shared" si="17"/>
        <v/>
      </c>
      <c r="AI153" s="231"/>
      <c r="AJ153" s="150"/>
      <c r="AT153" s="31" t="str">
        <f>IFERROR(INDEX('G-6 Hedgerow Data'!$BJ$3:$BJ$15,MATCH(M153,'G-6 Hedgerow Data'!$B$3:$B$15,0)),"")</f>
        <v/>
      </c>
    </row>
    <row r="154" spans="2:46" ht="13.8" x14ac:dyDescent="0.25">
      <c r="B154" s="531" t="str">
        <f>'B-1 Site Hedge Baseline'!AK152</f>
        <v/>
      </c>
      <c r="C154" s="520" t="str">
        <f>IF(B154="","",IF(ISNA(VLOOKUP($B154,'B-1 Site Hedge Baseline'!$B$1:$L$257,3,FALSE)),"",(VLOOKUP($B154,'B-1 Site Hedge Baseline'!$B$1:$L$257,3,FALSE))))</f>
        <v/>
      </c>
      <c r="D154" s="520" t="str">
        <f>IF(B154="","",IF(ISNA(VLOOKUP($B154,'B-1 Site Hedge Baseline'!$B$1:$L$257,4,FALSE)),"",(VLOOKUP($B154,'B-1 Site Hedge Baseline'!$B$1:$L$257,4,FALSE))))</f>
        <v/>
      </c>
      <c r="E154" s="520" t="str">
        <f>IF(B154="","",IF(ISNA(VLOOKUP($B154,'B-1 Site Hedge Baseline'!$B$1:$L$257,5,FALSE)),"",(VLOOKUP($B154,'B-1 Site Hedge Baseline'!$B$1:$L$257,5,FALSE))))</f>
        <v/>
      </c>
      <c r="F154" s="520" t="str">
        <f>IF(B154="","",IF(ISNA(VLOOKUP($B154,'B-1 Site Hedge Baseline'!$B$1:$L$257,6,FALSE)),"",(VLOOKUP($B154,'B-1 Site Hedge Baseline'!$B$1:$L$257,6,FALSE))))</f>
        <v/>
      </c>
      <c r="G154" s="520" t="str">
        <f>IF(B154="","",IF(ISNA(VLOOKUP($B154,'B-1 Site Hedge Baseline'!$B$1:$L$257,7,FALSE)),"",(VLOOKUP($B154,'B-1 Site Hedge Baseline'!$B$1:$L$257,7,FALSE))))</f>
        <v/>
      </c>
      <c r="H154" s="520" t="str">
        <f>IF(B154="","",IF(ISNA(VLOOKUP($B154,'B-1 Site Hedge Baseline'!$B$1:$L$257,8,FALSE)),"",(VLOOKUP($B154,'B-1 Site Hedge Baseline'!$B$1:$L$257,8,FALSE))))</f>
        <v/>
      </c>
      <c r="I154" s="520" t="str">
        <f>IF(B154="","",IF(ISNA(VLOOKUP($B154,'B-1 Site Hedge Baseline'!$B$1:$L$257,10,FALSE)),"",(VLOOKUP($B154,'B-1 Site Hedge Baseline'!$B$1:$L$257,10,FALSE))))</f>
        <v/>
      </c>
      <c r="J154" s="520" t="str">
        <f>IF(B154="","",IF(ISNA(VLOOKUP($B154,'B-1 Site Hedge Baseline'!$B$1:$L$257,11,FALSE)),"",(VLOOKUP($B154,'B-1 Site Hedge Baseline'!$B$1:$L$257,11,FALSE))))</f>
        <v/>
      </c>
      <c r="K154" s="520" t="str">
        <f>IF(B154="","",IF(ISNA(VLOOKUP($B154,'B-1 Site Hedge Baseline'!$B$1:$U$257,13,FALSE)),"",(VLOOKUP($B154,'B-1 Site Hedge Baseline'!$B$1:$U$257,13,FALSE))))</f>
        <v/>
      </c>
      <c r="L154" s="524" t="str">
        <f>IF(B154="","",IF(ISNA(VLOOKUP($B154,'B-1 Site Hedge Baseline'!$B$1:$U$257,12,FALSE)),"",(VLOOKUP($B154,'B-1 Site Hedge Baseline'!$B$1:$U$257,12,FALSE))))</f>
        <v/>
      </c>
      <c r="M154" s="416" t="str">
        <f t="shared" si="23"/>
        <v/>
      </c>
      <c r="N154" s="498" t="str">
        <f>IFERROR(IF(B154="","",INDEX('G-6 Hedgerow Data'!$AN$3:$AZ$15,MATCH(C154,'G-6 Hedgerow Data'!$AM$3:$AM$15,0),MATCH(M154,'G-6 Hedgerow Data'!$AN$2:$AZ$2,0))),"")</f>
        <v/>
      </c>
      <c r="O154" s="499" t="str">
        <f t="shared" si="18"/>
        <v/>
      </c>
      <c r="P154" s="559" t="str">
        <f>IF(B154="","",VLOOKUP(B154,'B-1 Site Hedge Baseline'!$B$10:T399,16,FALSE))</f>
        <v/>
      </c>
      <c r="Q154" s="498" t="str">
        <f>IF(M154="","",VLOOKUP(M154,'G-6 Hedgerow Data'!$B$2:$AG$15,2,FALSE))</f>
        <v/>
      </c>
      <c r="R154" s="499" t="str">
        <f>IF(M154="","",VLOOKUP(M154,'G-6 Hedgerow Data'!$B$2:$AG$15,3,FALSE))</f>
        <v/>
      </c>
      <c r="S154" s="157"/>
      <c r="T154" s="540" t="str">
        <f>IFERROR(VLOOKUP(S154,'G-1 All Habitats'!$Z$2:$AA$9,2,FALSE),"")</f>
        <v/>
      </c>
      <c r="U154" s="154"/>
      <c r="V154" s="520" t="str">
        <f>IF(U154="","",IF(VLOOKUP(U154,'G-3 Multipliers'!$L$3:$N$6,2,FALSE)=0,"Spatial Data Missing ⚠",VLOOKUP(U154,'G-3 Multipliers'!$L$3:$N$6,2,FALSE)))</f>
        <v/>
      </c>
      <c r="W154" s="524" t="str">
        <f>IF(U154="","",IF(VLOOKUP(U154,'G-3 Multipliers'!$L$3:$N$6,3,FALSE)=0,"Spatial Data Missing ⚠",VLOOKUP(U154,'G-3 Multipliers'!$L$3:$N$6,3,FALSE)))</f>
        <v/>
      </c>
      <c r="X154" s="498"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7" t="str">
        <f t="shared" si="19"/>
        <v/>
      </c>
      <c r="AB154" s="521" t="str">
        <f t="shared" si="20"/>
        <v/>
      </c>
      <c r="AC154" s="522" t="str">
        <f t="shared" si="16"/>
        <v/>
      </c>
      <c r="AD154" s="537" t="str">
        <f>IF(M154="","",VLOOKUP(M154,'G-6 Hedgerow Data'!$B$3:$AG$15,31,FALSE))</f>
        <v/>
      </c>
      <c r="AE154" s="507" t="str">
        <f t="shared" si="21"/>
        <v/>
      </c>
      <c r="AF154" s="507" t="str">
        <f t="shared" si="22"/>
        <v/>
      </c>
      <c r="AG154" s="524" t="str">
        <f>IFERROR(IF(O154="","",VLOOKUP(AD154,'G-3 Multipliers'!$P$3:$Q$6,2,FALSE)),"")</f>
        <v/>
      </c>
      <c r="AH154" s="513" t="str">
        <f t="shared" si="17"/>
        <v/>
      </c>
      <c r="AI154" s="231"/>
      <c r="AJ154" s="150"/>
      <c r="AT154" s="31" t="str">
        <f>IFERROR(INDEX('G-6 Hedgerow Data'!$BJ$3:$BJ$15,MATCH(M154,'G-6 Hedgerow Data'!$B$3:$B$15,0)),"")</f>
        <v/>
      </c>
    </row>
    <row r="155" spans="2:46" ht="13.8" x14ac:dyDescent="0.25">
      <c r="B155" s="531" t="str">
        <f>'B-1 Site Hedge Baseline'!AK153</f>
        <v/>
      </c>
      <c r="C155" s="520" t="str">
        <f>IF(B155="","",IF(ISNA(VLOOKUP($B155,'B-1 Site Hedge Baseline'!$B$1:$L$257,3,FALSE)),"",(VLOOKUP($B155,'B-1 Site Hedge Baseline'!$B$1:$L$257,3,FALSE))))</f>
        <v/>
      </c>
      <c r="D155" s="520" t="str">
        <f>IF(B155="","",IF(ISNA(VLOOKUP($B155,'B-1 Site Hedge Baseline'!$B$1:$L$257,4,FALSE)),"",(VLOOKUP($B155,'B-1 Site Hedge Baseline'!$B$1:$L$257,4,FALSE))))</f>
        <v/>
      </c>
      <c r="E155" s="520" t="str">
        <f>IF(B155="","",IF(ISNA(VLOOKUP($B155,'B-1 Site Hedge Baseline'!$B$1:$L$257,5,FALSE)),"",(VLOOKUP($B155,'B-1 Site Hedge Baseline'!$B$1:$L$257,5,FALSE))))</f>
        <v/>
      </c>
      <c r="F155" s="520" t="str">
        <f>IF(B155="","",IF(ISNA(VLOOKUP($B155,'B-1 Site Hedge Baseline'!$B$1:$L$257,6,FALSE)),"",(VLOOKUP($B155,'B-1 Site Hedge Baseline'!$B$1:$L$257,6,FALSE))))</f>
        <v/>
      </c>
      <c r="G155" s="520" t="str">
        <f>IF(B155="","",IF(ISNA(VLOOKUP($B155,'B-1 Site Hedge Baseline'!$B$1:$L$257,7,FALSE)),"",(VLOOKUP($B155,'B-1 Site Hedge Baseline'!$B$1:$L$257,7,FALSE))))</f>
        <v/>
      </c>
      <c r="H155" s="520" t="str">
        <f>IF(B155="","",IF(ISNA(VLOOKUP($B155,'B-1 Site Hedge Baseline'!$B$1:$L$257,8,FALSE)),"",(VLOOKUP($B155,'B-1 Site Hedge Baseline'!$B$1:$L$257,8,FALSE))))</f>
        <v/>
      </c>
      <c r="I155" s="520" t="str">
        <f>IF(B155="","",IF(ISNA(VLOOKUP($B155,'B-1 Site Hedge Baseline'!$B$1:$L$257,10,FALSE)),"",(VLOOKUP($B155,'B-1 Site Hedge Baseline'!$B$1:$L$257,10,FALSE))))</f>
        <v/>
      </c>
      <c r="J155" s="520" t="str">
        <f>IF(B155="","",IF(ISNA(VLOOKUP($B155,'B-1 Site Hedge Baseline'!$B$1:$L$257,11,FALSE)),"",(VLOOKUP($B155,'B-1 Site Hedge Baseline'!$B$1:$L$257,11,FALSE))))</f>
        <v/>
      </c>
      <c r="K155" s="520" t="str">
        <f>IF(B155="","",IF(ISNA(VLOOKUP($B155,'B-1 Site Hedge Baseline'!$B$1:$U$257,13,FALSE)),"",(VLOOKUP($B155,'B-1 Site Hedge Baseline'!$B$1:$U$257,13,FALSE))))</f>
        <v/>
      </c>
      <c r="L155" s="524" t="str">
        <f>IF(B155="","",IF(ISNA(VLOOKUP($B155,'B-1 Site Hedge Baseline'!$B$1:$U$257,12,FALSE)),"",(VLOOKUP($B155,'B-1 Site Hedge Baseline'!$B$1:$U$257,12,FALSE))))</f>
        <v/>
      </c>
      <c r="M155" s="416" t="str">
        <f t="shared" si="23"/>
        <v/>
      </c>
      <c r="N155" s="498" t="str">
        <f>IFERROR(IF(B155="","",INDEX('G-6 Hedgerow Data'!$AN$3:$AZ$15,MATCH(C155,'G-6 Hedgerow Data'!$AM$3:$AM$15,0),MATCH(M155,'G-6 Hedgerow Data'!$AN$2:$AZ$2,0))),"")</f>
        <v/>
      </c>
      <c r="O155" s="499" t="str">
        <f t="shared" si="18"/>
        <v/>
      </c>
      <c r="P155" s="559" t="str">
        <f>IF(B155="","",VLOOKUP(B155,'B-1 Site Hedge Baseline'!$B$10:T400,16,FALSE))</f>
        <v/>
      </c>
      <c r="Q155" s="498" t="str">
        <f>IF(M155="","",VLOOKUP(M155,'G-6 Hedgerow Data'!$B$2:$AG$15,2,FALSE))</f>
        <v/>
      </c>
      <c r="R155" s="499" t="str">
        <f>IF(M155="","",VLOOKUP(M155,'G-6 Hedgerow Data'!$B$2:$AG$15,3,FALSE))</f>
        <v/>
      </c>
      <c r="S155" s="157"/>
      <c r="T155" s="540" t="str">
        <f>IFERROR(VLOOKUP(S155,'G-1 All Habitats'!$Z$2:$AA$9,2,FALSE),"")</f>
        <v/>
      </c>
      <c r="U155" s="154"/>
      <c r="V155" s="520" t="str">
        <f>IF(U155="","",IF(VLOOKUP(U155,'G-3 Multipliers'!$L$3:$N$6,2,FALSE)=0,"Spatial Data Missing ⚠",VLOOKUP(U155,'G-3 Multipliers'!$L$3:$N$6,2,FALSE)))</f>
        <v/>
      </c>
      <c r="W155" s="524" t="str">
        <f>IF(U155="","",IF(VLOOKUP(U155,'G-3 Multipliers'!$L$3:$N$6,3,FALSE)=0,"Spatial Data Missing ⚠",VLOOKUP(U155,'G-3 Multipliers'!$L$3:$N$6,3,FALSE)))</f>
        <v/>
      </c>
      <c r="X155" s="498"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7" t="str">
        <f t="shared" si="19"/>
        <v/>
      </c>
      <c r="AB155" s="521" t="str">
        <f t="shared" si="20"/>
        <v/>
      </c>
      <c r="AC155" s="522" t="str">
        <f t="shared" si="16"/>
        <v/>
      </c>
      <c r="AD155" s="537" t="str">
        <f>IF(M155="","",VLOOKUP(M155,'G-6 Hedgerow Data'!$B$3:$AG$15,31,FALSE))</f>
        <v/>
      </c>
      <c r="AE155" s="507" t="str">
        <f t="shared" si="21"/>
        <v/>
      </c>
      <c r="AF155" s="507" t="str">
        <f t="shared" si="22"/>
        <v/>
      </c>
      <c r="AG155" s="524" t="str">
        <f>IFERROR(IF(O155="","",VLOOKUP(AD155,'G-3 Multipliers'!$P$3:$Q$6,2,FALSE)),"")</f>
        <v/>
      </c>
      <c r="AH155" s="513" t="str">
        <f t="shared" si="17"/>
        <v/>
      </c>
      <c r="AI155" s="231"/>
      <c r="AJ155" s="150"/>
      <c r="AT155" s="31" t="str">
        <f>IFERROR(INDEX('G-6 Hedgerow Data'!$BJ$3:$BJ$15,MATCH(M155,'G-6 Hedgerow Data'!$B$3:$B$15,0)),"")</f>
        <v/>
      </c>
    </row>
    <row r="156" spans="2:46" ht="13.8" x14ac:dyDescent="0.25">
      <c r="B156" s="531" t="str">
        <f>'B-1 Site Hedge Baseline'!AK154</f>
        <v/>
      </c>
      <c r="C156" s="520" t="str">
        <f>IF(B156="","",IF(ISNA(VLOOKUP($B156,'B-1 Site Hedge Baseline'!$B$1:$L$257,3,FALSE)),"",(VLOOKUP($B156,'B-1 Site Hedge Baseline'!$B$1:$L$257,3,FALSE))))</f>
        <v/>
      </c>
      <c r="D156" s="520" t="str">
        <f>IF(B156="","",IF(ISNA(VLOOKUP($B156,'B-1 Site Hedge Baseline'!$B$1:$L$257,4,FALSE)),"",(VLOOKUP($B156,'B-1 Site Hedge Baseline'!$B$1:$L$257,4,FALSE))))</f>
        <v/>
      </c>
      <c r="E156" s="520" t="str">
        <f>IF(B156="","",IF(ISNA(VLOOKUP($B156,'B-1 Site Hedge Baseline'!$B$1:$L$257,5,FALSE)),"",(VLOOKUP($B156,'B-1 Site Hedge Baseline'!$B$1:$L$257,5,FALSE))))</f>
        <v/>
      </c>
      <c r="F156" s="520" t="str">
        <f>IF(B156="","",IF(ISNA(VLOOKUP($B156,'B-1 Site Hedge Baseline'!$B$1:$L$257,6,FALSE)),"",(VLOOKUP($B156,'B-1 Site Hedge Baseline'!$B$1:$L$257,6,FALSE))))</f>
        <v/>
      </c>
      <c r="G156" s="520" t="str">
        <f>IF(B156="","",IF(ISNA(VLOOKUP($B156,'B-1 Site Hedge Baseline'!$B$1:$L$257,7,FALSE)),"",(VLOOKUP($B156,'B-1 Site Hedge Baseline'!$B$1:$L$257,7,FALSE))))</f>
        <v/>
      </c>
      <c r="H156" s="520" t="str">
        <f>IF(B156="","",IF(ISNA(VLOOKUP($B156,'B-1 Site Hedge Baseline'!$B$1:$L$257,8,FALSE)),"",(VLOOKUP($B156,'B-1 Site Hedge Baseline'!$B$1:$L$257,8,FALSE))))</f>
        <v/>
      </c>
      <c r="I156" s="520" t="str">
        <f>IF(B156="","",IF(ISNA(VLOOKUP($B156,'B-1 Site Hedge Baseline'!$B$1:$L$257,10,FALSE)),"",(VLOOKUP($B156,'B-1 Site Hedge Baseline'!$B$1:$L$257,10,FALSE))))</f>
        <v/>
      </c>
      <c r="J156" s="520" t="str">
        <f>IF(B156="","",IF(ISNA(VLOOKUP($B156,'B-1 Site Hedge Baseline'!$B$1:$L$257,11,FALSE)),"",(VLOOKUP($B156,'B-1 Site Hedge Baseline'!$B$1:$L$257,11,FALSE))))</f>
        <v/>
      </c>
      <c r="K156" s="520" t="str">
        <f>IF(B156="","",IF(ISNA(VLOOKUP($B156,'B-1 Site Hedge Baseline'!$B$1:$U$257,13,FALSE)),"",(VLOOKUP($B156,'B-1 Site Hedge Baseline'!$B$1:$U$257,13,FALSE))))</f>
        <v/>
      </c>
      <c r="L156" s="524" t="str">
        <f>IF(B156="","",IF(ISNA(VLOOKUP($B156,'B-1 Site Hedge Baseline'!$B$1:$U$257,12,FALSE)),"",(VLOOKUP($B156,'B-1 Site Hedge Baseline'!$B$1:$U$257,12,FALSE))))</f>
        <v/>
      </c>
      <c r="M156" s="416" t="str">
        <f t="shared" si="23"/>
        <v/>
      </c>
      <c r="N156" s="498" t="str">
        <f>IFERROR(IF(B156="","",INDEX('G-6 Hedgerow Data'!$AN$3:$AZ$15,MATCH(C156,'G-6 Hedgerow Data'!$AM$3:$AM$15,0),MATCH(M156,'G-6 Hedgerow Data'!$AN$2:$AZ$2,0))),"")</f>
        <v/>
      </c>
      <c r="O156" s="499" t="str">
        <f t="shared" si="18"/>
        <v/>
      </c>
      <c r="P156" s="559" t="str">
        <f>IF(B156="","",VLOOKUP(B156,'B-1 Site Hedge Baseline'!$B$10:T401,16,FALSE))</f>
        <v/>
      </c>
      <c r="Q156" s="498" t="str">
        <f>IF(M156="","",VLOOKUP(M156,'G-6 Hedgerow Data'!$B$2:$AG$15,2,FALSE))</f>
        <v/>
      </c>
      <c r="R156" s="499" t="str">
        <f>IF(M156="","",VLOOKUP(M156,'G-6 Hedgerow Data'!$B$2:$AG$15,3,FALSE))</f>
        <v/>
      </c>
      <c r="S156" s="157"/>
      <c r="T156" s="540" t="str">
        <f>IFERROR(VLOOKUP(S156,'G-1 All Habitats'!$Z$2:$AA$9,2,FALSE),"")</f>
        <v/>
      </c>
      <c r="U156" s="154"/>
      <c r="V156" s="520" t="str">
        <f>IF(U156="","",IF(VLOOKUP(U156,'G-3 Multipliers'!$L$3:$N$6,2,FALSE)=0,"Spatial Data Missing ⚠",VLOOKUP(U156,'G-3 Multipliers'!$L$3:$N$6,2,FALSE)))</f>
        <v/>
      </c>
      <c r="W156" s="524" t="str">
        <f>IF(U156="","",IF(VLOOKUP(U156,'G-3 Multipliers'!$L$3:$N$6,3,FALSE)=0,"Spatial Data Missing ⚠",VLOOKUP(U156,'G-3 Multipliers'!$L$3:$N$6,3,FALSE)))</f>
        <v/>
      </c>
      <c r="X156" s="498"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7" t="str">
        <f t="shared" si="19"/>
        <v/>
      </c>
      <c r="AB156" s="521" t="str">
        <f t="shared" si="20"/>
        <v/>
      </c>
      <c r="AC156" s="522" t="str">
        <f t="shared" si="16"/>
        <v/>
      </c>
      <c r="AD156" s="537" t="str">
        <f>IF(M156="","",VLOOKUP(M156,'G-6 Hedgerow Data'!$B$3:$AG$15,31,FALSE))</f>
        <v/>
      </c>
      <c r="AE156" s="507" t="str">
        <f t="shared" si="21"/>
        <v/>
      </c>
      <c r="AF156" s="507" t="str">
        <f t="shared" si="22"/>
        <v/>
      </c>
      <c r="AG156" s="524" t="str">
        <f>IFERROR(IF(O156="","",VLOOKUP(AD156,'G-3 Multipliers'!$P$3:$Q$6,2,FALSE)),"")</f>
        <v/>
      </c>
      <c r="AH156" s="513" t="str">
        <f t="shared" si="17"/>
        <v/>
      </c>
      <c r="AI156" s="231"/>
      <c r="AJ156" s="150"/>
      <c r="AT156" s="31" t="str">
        <f>IFERROR(INDEX('G-6 Hedgerow Data'!$BJ$3:$BJ$15,MATCH(M156,'G-6 Hedgerow Data'!$B$3:$B$15,0)),"")</f>
        <v/>
      </c>
    </row>
    <row r="157" spans="2:46" ht="13.8" x14ac:dyDescent="0.25">
      <c r="B157" s="531" t="str">
        <f>'B-1 Site Hedge Baseline'!AK155</f>
        <v/>
      </c>
      <c r="C157" s="520" t="str">
        <f>IF(B157="","",IF(ISNA(VLOOKUP($B157,'B-1 Site Hedge Baseline'!$B$1:$L$257,3,FALSE)),"",(VLOOKUP($B157,'B-1 Site Hedge Baseline'!$B$1:$L$257,3,FALSE))))</f>
        <v/>
      </c>
      <c r="D157" s="520" t="str">
        <f>IF(B157="","",IF(ISNA(VLOOKUP($B157,'B-1 Site Hedge Baseline'!$B$1:$L$257,4,FALSE)),"",(VLOOKUP($B157,'B-1 Site Hedge Baseline'!$B$1:$L$257,4,FALSE))))</f>
        <v/>
      </c>
      <c r="E157" s="520" t="str">
        <f>IF(B157="","",IF(ISNA(VLOOKUP($B157,'B-1 Site Hedge Baseline'!$B$1:$L$257,5,FALSE)),"",(VLOOKUP($B157,'B-1 Site Hedge Baseline'!$B$1:$L$257,5,FALSE))))</f>
        <v/>
      </c>
      <c r="F157" s="520" t="str">
        <f>IF(B157="","",IF(ISNA(VLOOKUP($B157,'B-1 Site Hedge Baseline'!$B$1:$L$257,6,FALSE)),"",(VLOOKUP($B157,'B-1 Site Hedge Baseline'!$B$1:$L$257,6,FALSE))))</f>
        <v/>
      </c>
      <c r="G157" s="520" t="str">
        <f>IF(B157="","",IF(ISNA(VLOOKUP($B157,'B-1 Site Hedge Baseline'!$B$1:$L$257,7,FALSE)),"",(VLOOKUP($B157,'B-1 Site Hedge Baseline'!$B$1:$L$257,7,FALSE))))</f>
        <v/>
      </c>
      <c r="H157" s="520" t="str">
        <f>IF(B157="","",IF(ISNA(VLOOKUP($B157,'B-1 Site Hedge Baseline'!$B$1:$L$257,8,FALSE)),"",(VLOOKUP($B157,'B-1 Site Hedge Baseline'!$B$1:$L$257,8,FALSE))))</f>
        <v/>
      </c>
      <c r="I157" s="520" t="str">
        <f>IF(B157="","",IF(ISNA(VLOOKUP($B157,'B-1 Site Hedge Baseline'!$B$1:$L$257,10,FALSE)),"",(VLOOKUP($B157,'B-1 Site Hedge Baseline'!$B$1:$L$257,10,FALSE))))</f>
        <v/>
      </c>
      <c r="J157" s="520" t="str">
        <f>IF(B157="","",IF(ISNA(VLOOKUP($B157,'B-1 Site Hedge Baseline'!$B$1:$L$257,11,FALSE)),"",(VLOOKUP($B157,'B-1 Site Hedge Baseline'!$B$1:$L$257,11,FALSE))))</f>
        <v/>
      </c>
      <c r="K157" s="520" t="str">
        <f>IF(B157="","",IF(ISNA(VLOOKUP($B157,'B-1 Site Hedge Baseline'!$B$1:$U$257,13,FALSE)),"",(VLOOKUP($B157,'B-1 Site Hedge Baseline'!$B$1:$U$257,13,FALSE))))</f>
        <v/>
      </c>
      <c r="L157" s="524" t="str">
        <f>IF(B157="","",IF(ISNA(VLOOKUP($B157,'B-1 Site Hedge Baseline'!$B$1:$U$257,12,FALSE)),"",(VLOOKUP($B157,'B-1 Site Hedge Baseline'!$B$1:$U$257,12,FALSE))))</f>
        <v/>
      </c>
      <c r="M157" s="416" t="str">
        <f t="shared" si="23"/>
        <v/>
      </c>
      <c r="N157" s="498" t="str">
        <f>IFERROR(IF(B157="","",INDEX('G-6 Hedgerow Data'!$AN$3:$AZ$15,MATCH(C157,'G-6 Hedgerow Data'!$AM$3:$AM$15,0),MATCH(M157,'G-6 Hedgerow Data'!$AN$2:$AZ$2,0))),"")</f>
        <v/>
      </c>
      <c r="O157" s="499" t="str">
        <f t="shared" si="18"/>
        <v/>
      </c>
      <c r="P157" s="559" t="str">
        <f>IF(B157="","",VLOOKUP(B157,'B-1 Site Hedge Baseline'!$B$10:T402,16,FALSE))</f>
        <v/>
      </c>
      <c r="Q157" s="498" t="str">
        <f>IF(M157="","",VLOOKUP(M157,'G-6 Hedgerow Data'!$B$2:$AG$15,2,FALSE))</f>
        <v/>
      </c>
      <c r="R157" s="499" t="str">
        <f>IF(M157="","",VLOOKUP(M157,'G-6 Hedgerow Data'!$B$2:$AG$15,3,FALSE))</f>
        <v/>
      </c>
      <c r="S157" s="157"/>
      <c r="T157" s="540" t="str">
        <f>IFERROR(VLOOKUP(S157,'G-1 All Habitats'!$Z$2:$AA$9,2,FALSE),"")</f>
        <v/>
      </c>
      <c r="U157" s="154"/>
      <c r="V157" s="520" t="str">
        <f>IF(U157="","",IF(VLOOKUP(U157,'G-3 Multipliers'!$L$3:$N$6,2,FALSE)=0,"Spatial Data Missing ⚠",VLOOKUP(U157,'G-3 Multipliers'!$L$3:$N$6,2,FALSE)))</f>
        <v/>
      </c>
      <c r="W157" s="524" t="str">
        <f>IF(U157="","",IF(VLOOKUP(U157,'G-3 Multipliers'!$L$3:$N$6,3,FALSE)=0,"Spatial Data Missing ⚠",VLOOKUP(U157,'G-3 Multipliers'!$L$3:$N$6,3,FALSE)))</f>
        <v/>
      </c>
      <c r="X157" s="498"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7" t="str">
        <f t="shared" si="19"/>
        <v/>
      </c>
      <c r="AB157" s="521" t="str">
        <f t="shared" si="20"/>
        <v/>
      </c>
      <c r="AC157" s="522" t="str">
        <f t="shared" si="16"/>
        <v/>
      </c>
      <c r="AD157" s="537" t="str">
        <f>IF(M157="","",VLOOKUP(M157,'G-6 Hedgerow Data'!$B$3:$AG$15,31,FALSE))</f>
        <v/>
      </c>
      <c r="AE157" s="507" t="str">
        <f t="shared" si="21"/>
        <v/>
      </c>
      <c r="AF157" s="507" t="str">
        <f t="shared" si="22"/>
        <v/>
      </c>
      <c r="AG157" s="524" t="str">
        <f>IFERROR(IF(O157="","",VLOOKUP(AD157,'G-3 Multipliers'!$P$3:$Q$6,2,FALSE)),"")</f>
        <v/>
      </c>
      <c r="AH157" s="513" t="str">
        <f t="shared" si="17"/>
        <v/>
      </c>
      <c r="AI157" s="231"/>
      <c r="AJ157" s="150"/>
      <c r="AT157" s="31" t="str">
        <f>IFERROR(INDEX('G-6 Hedgerow Data'!$BJ$3:$BJ$15,MATCH(M157,'G-6 Hedgerow Data'!$B$3:$B$15,0)),"")</f>
        <v/>
      </c>
    </row>
    <row r="158" spans="2:46" ht="13.8" x14ac:dyDescent="0.25">
      <c r="B158" s="531" t="str">
        <f>'B-1 Site Hedge Baseline'!AK156</f>
        <v/>
      </c>
      <c r="C158" s="520" t="str">
        <f>IF(B158="","",IF(ISNA(VLOOKUP($B158,'B-1 Site Hedge Baseline'!$B$1:$L$257,3,FALSE)),"",(VLOOKUP($B158,'B-1 Site Hedge Baseline'!$B$1:$L$257,3,FALSE))))</f>
        <v/>
      </c>
      <c r="D158" s="520" t="str">
        <f>IF(B158="","",IF(ISNA(VLOOKUP($B158,'B-1 Site Hedge Baseline'!$B$1:$L$257,4,FALSE)),"",(VLOOKUP($B158,'B-1 Site Hedge Baseline'!$B$1:$L$257,4,FALSE))))</f>
        <v/>
      </c>
      <c r="E158" s="520" t="str">
        <f>IF(B158="","",IF(ISNA(VLOOKUP($B158,'B-1 Site Hedge Baseline'!$B$1:$L$257,5,FALSE)),"",(VLOOKUP($B158,'B-1 Site Hedge Baseline'!$B$1:$L$257,5,FALSE))))</f>
        <v/>
      </c>
      <c r="F158" s="520" t="str">
        <f>IF(B158="","",IF(ISNA(VLOOKUP($B158,'B-1 Site Hedge Baseline'!$B$1:$L$257,6,FALSE)),"",(VLOOKUP($B158,'B-1 Site Hedge Baseline'!$B$1:$L$257,6,FALSE))))</f>
        <v/>
      </c>
      <c r="G158" s="520" t="str">
        <f>IF(B158="","",IF(ISNA(VLOOKUP($B158,'B-1 Site Hedge Baseline'!$B$1:$L$257,7,FALSE)),"",(VLOOKUP($B158,'B-1 Site Hedge Baseline'!$B$1:$L$257,7,FALSE))))</f>
        <v/>
      </c>
      <c r="H158" s="520" t="str">
        <f>IF(B158="","",IF(ISNA(VLOOKUP($B158,'B-1 Site Hedge Baseline'!$B$1:$L$257,8,FALSE)),"",(VLOOKUP($B158,'B-1 Site Hedge Baseline'!$B$1:$L$257,8,FALSE))))</f>
        <v/>
      </c>
      <c r="I158" s="520" t="str">
        <f>IF(B158="","",IF(ISNA(VLOOKUP($B158,'B-1 Site Hedge Baseline'!$B$1:$L$257,10,FALSE)),"",(VLOOKUP($B158,'B-1 Site Hedge Baseline'!$B$1:$L$257,10,FALSE))))</f>
        <v/>
      </c>
      <c r="J158" s="520" t="str">
        <f>IF(B158="","",IF(ISNA(VLOOKUP($B158,'B-1 Site Hedge Baseline'!$B$1:$L$257,11,FALSE)),"",(VLOOKUP($B158,'B-1 Site Hedge Baseline'!$B$1:$L$257,11,FALSE))))</f>
        <v/>
      </c>
      <c r="K158" s="520" t="str">
        <f>IF(B158="","",IF(ISNA(VLOOKUP($B158,'B-1 Site Hedge Baseline'!$B$1:$U$257,13,FALSE)),"",(VLOOKUP($B158,'B-1 Site Hedge Baseline'!$B$1:$U$257,13,FALSE))))</f>
        <v/>
      </c>
      <c r="L158" s="524" t="str">
        <f>IF(B158="","",IF(ISNA(VLOOKUP($B158,'B-1 Site Hedge Baseline'!$B$1:$U$257,12,FALSE)),"",(VLOOKUP($B158,'B-1 Site Hedge Baseline'!$B$1:$U$257,12,FALSE))))</f>
        <v/>
      </c>
      <c r="M158" s="416" t="str">
        <f t="shared" si="23"/>
        <v/>
      </c>
      <c r="N158" s="498" t="str">
        <f>IFERROR(IF(B158="","",INDEX('G-6 Hedgerow Data'!$AN$3:$AZ$15,MATCH(C158,'G-6 Hedgerow Data'!$AM$3:$AM$15,0),MATCH(M158,'G-6 Hedgerow Data'!$AN$2:$AZ$2,0))),"")</f>
        <v/>
      </c>
      <c r="O158" s="499" t="str">
        <f t="shared" si="18"/>
        <v/>
      </c>
      <c r="P158" s="559" t="str">
        <f>IF(B158="","",VLOOKUP(B158,'B-1 Site Hedge Baseline'!$B$10:T403,16,FALSE))</f>
        <v/>
      </c>
      <c r="Q158" s="498" t="str">
        <f>IF(M158="","",VLOOKUP(M158,'G-6 Hedgerow Data'!$B$2:$AG$15,2,FALSE))</f>
        <v/>
      </c>
      <c r="R158" s="499" t="str">
        <f>IF(M158="","",VLOOKUP(M158,'G-6 Hedgerow Data'!$B$2:$AG$15,3,FALSE))</f>
        <v/>
      </c>
      <c r="S158" s="157"/>
      <c r="T158" s="540" t="str">
        <f>IFERROR(VLOOKUP(S158,'G-1 All Habitats'!$Z$2:$AA$9,2,FALSE),"")</f>
        <v/>
      </c>
      <c r="U158" s="154"/>
      <c r="V158" s="520" t="str">
        <f>IF(U158="","",IF(VLOOKUP(U158,'G-3 Multipliers'!$L$3:$N$6,2,FALSE)=0,"Spatial Data Missing ⚠",VLOOKUP(U158,'G-3 Multipliers'!$L$3:$N$6,2,FALSE)))</f>
        <v/>
      </c>
      <c r="W158" s="524" t="str">
        <f>IF(U158="","",IF(VLOOKUP(U158,'G-3 Multipliers'!$L$3:$N$6,3,FALSE)=0,"Spatial Data Missing ⚠",VLOOKUP(U158,'G-3 Multipliers'!$L$3:$N$6,3,FALSE)))</f>
        <v/>
      </c>
      <c r="X158" s="498"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7" t="str">
        <f t="shared" si="19"/>
        <v/>
      </c>
      <c r="AB158" s="521" t="str">
        <f t="shared" si="20"/>
        <v/>
      </c>
      <c r="AC158" s="522" t="str">
        <f t="shared" si="16"/>
        <v/>
      </c>
      <c r="AD158" s="537" t="str">
        <f>IF(M158="","",VLOOKUP(M158,'G-6 Hedgerow Data'!$B$3:$AG$15,31,FALSE))</f>
        <v/>
      </c>
      <c r="AE158" s="507" t="str">
        <f t="shared" si="21"/>
        <v/>
      </c>
      <c r="AF158" s="507" t="str">
        <f t="shared" si="22"/>
        <v/>
      </c>
      <c r="AG158" s="524" t="str">
        <f>IFERROR(IF(O158="","",VLOOKUP(AD158,'G-3 Multipliers'!$P$3:$Q$6,2,FALSE)),"")</f>
        <v/>
      </c>
      <c r="AH158" s="513" t="str">
        <f t="shared" si="17"/>
        <v/>
      </c>
      <c r="AI158" s="231"/>
      <c r="AJ158" s="150"/>
      <c r="AT158" s="31" t="str">
        <f>IFERROR(INDEX('G-6 Hedgerow Data'!$BJ$3:$BJ$15,MATCH(M158,'G-6 Hedgerow Data'!$B$3:$B$15,0)),"")</f>
        <v/>
      </c>
    </row>
    <row r="159" spans="2:46" ht="13.8" x14ac:dyDescent="0.25">
      <c r="B159" s="531" t="str">
        <f>'B-1 Site Hedge Baseline'!AK157</f>
        <v/>
      </c>
      <c r="C159" s="520" t="str">
        <f>IF(B159="","",IF(ISNA(VLOOKUP($B159,'B-1 Site Hedge Baseline'!$B$1:$L$257,3,FALSE)),"",(VLOOKUP($B159,'B-1 Site Hedge Baseline'!$B$1:$L$257,3,FALSE))))</f>
        <v/>
      </c>
      <c r="D159" s="520" t="str">
        <f>IF(B159="","",IF(ISNA(VLOOKUP($B159,'B-1 Site Hedge Baseline'!$B$1:$L$257,4,FALSE)),"",(VLOOKUP($B159,'B-1 Site Hedge Baseline'!$B$1:$L$257,4,FALSE))))</f>
        <v/>
      </c>
      <c r="E159" s="520" t="str">
        <f>IF(B159="","",IF(ISNA(VLOOKUP($B159,'B-1 Site Hedge Baseline'!$B$1:$L$257,5,FALSE)),"",(VLOOKUP($B159,'B-1 Site Hedge Baseline'!$B$1:$L$257,5,FALSE))))</f>
        <v/>
      </c>
      <c r="F159" s="520" t="str">
        <f>IF(B159="","",IF(ISNA(VLOOKUP($B159,'B-1 Site Hedge Baseline'!$B$1:$L$257,6,FALSE)),"",(VLOOKUP($B159,'B-1 Site Hedge Baseline'!$B$1:$L$257,6,FALSE))))</f>
        <v/>
      </c>
      <c r="G159" s="520" t="str">
        <f>IF(B159="","",IF(ISNA(VLOOKUP($B159,'B-1 Site Hedge Baseline'!$B$1:$L$257,7,FALSE)),"",(VLOOKUP($B159,'B-1 Site Hedge Baseline'!$B$1:$L$257,7,FALSE))))</f>
        <v/>
      </c>
      <c r="H159" s="520" t="str">
        <f>IF(B159="","",IF(ISNA(VLOOKUP($B159,'B-1 Site Hedge Baseline'!$B$1:$L$257,8,FALSE)),"",(VLOOKUP($B159,'B-1 Site Hedge Baseline'!$B$1:$L$257,8,FALSE))))</f>
        <v/>
      </c>
      <c r="I159" s="520" t="str">
        <f>IF(B159="","",IF(ISNA(VLOOKUP($B159,'B-1 Site Hedge Baseline'!$B$1:$L$257,10,FALSE)),"",(VLOOKUP($B159,'B-1 Site Hedge Baseline'!$B$1:$L$257,10,FALSE))))</f>
        <v/>
      </c>
      <c r="J159" s="520" t="str">
        <f>IF(B159="","",IF(ISNA(VLOOKUP($B159,'B-1 Site Hedge Baseline'!$B$1:$L$257,11,FALSE)),"",(VLOOKUP($B159,'B-1 Site Hedge Baseline'!$B$1:$L$257,11,FALSE))))</f>
        <v/>
      </c>
      <c r="K159" s="520" t="str">
        <f>IF(B159="","",IF(ISNA(VLOOKUP($B159,'B-1 Site Hedge Baseline'!$B$1:$U$257,13,FALSE)),"",(VLOOKUP($B159,'B-1 Site Hedge Baseline'!$B$1:$U$257,13,FALSE))))</f>
        <v/>
      </c>
      <c r="L159" s="524" t="str">
        <f>IF(B159="","",IF(ISNA(VLOOKUP($B159,'B-1 Site Hedge Baseline'!$B$1:$U$257,12,FALSE)),"",(VLOOKUP($B159,'B-1 Site Hedge Baseline'!$B$1:$U$257,12,FALSE))))</f>
        <v/>
      </c>
      <c r="M159" s="416" t="str">
        <f t="shared" si="23"/>
        <v/>
      </c>
      <c r="N159" s="498" t="str">
        <f>IFERROR(IF(B159="","",INDEX('G-6 Hedgerow Data'!$AN$3:$AZ$15,MATCH(C159,'G-6 Hedgerow Data'!$AM$3:$AM$15,0),MATCH(M159,'G-6 Hedgerow Data'!$AN$2:$AZ$2,0))),"")</f>
        <v/>
      </c>
      <c r="O159" s="499" t="str">
        <f t="shared" si="18"/>
        <v/>
      </c>
      <c r="P159" s="559" t="str">
        <f>IF(B159="","",VLOOKUP(B159,'B-1 Site Hedge Baseline'!$B$10:T404,16,FALSE))</f>
        <v/>
      </c>
      <c r="Q159" s="498" t="str">
        <f>IF(M159="","",VLOOKUP(M159,'G-6 Hedgerow Data'!$B$2:$AG$15,2,FALSE))</f>
        <v/>
      </c>
      <c r="R159" s="499" t="str">
        <f>IF(M159="","",VLOOKUP(M159,'G-6 Hedgerow Data'!$B$2:$AG$15,3,FALSE))</f>
        <v/>
      </c>
      <c r="S159" s="157"/>
      <c r="T159" s="540" t="str">
        <f>IFERROR(VLOOKUP(S159,'G-1 All Habitats'!$Z$2:$AA$9,2,FALSE),"")</f>
        <v/>
      </c>
      <c r="U159" s="154"/>
      <c r="V159" s="520" t="str">
        <f>IF(U159="","",IF(VLOOKUP(U159,'G-3 Multipliers'!$L$3:$N$6,2,FALSE)=0,"Spatial Data Missing ⚠",VLOOKUP(U159,'G-3 Multipliers'!$L$3:$N$6,2,FALSE)))</f>
        <v/>
      </c>
      <c r="W159" s="524" t="str">
        <f>IF(U159="","",IF(VLOOKUP(U159,'G-3 Multipliers'!$L$3:$N$6,3,FALSE)=0,"Spatial Data Missing ⚠",VLOOKUP(U159,'G-3 Multipliers'!$L$3:$N$6,3,FALSE)))</f>
        <v/>
      </c>
      <c r="X159" s="498"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7" t="str">
        <f t="shared" si="19"/>
        <v/>
      </c>
      <c r="AB159" s="521" t="str">
        <f t="shared" si="20"/>
        <v/>
      </c>
      <c r="AC159" s="522" t="str">
        <f t="shared" si="16"/>
        <v/>
      </c>
      <c r="AD159" s="537" t="str">
        <f>IF(M159="","",VLOOKUP(M159,'G-6 Hedgerow Data'!$B$3:$AG$15,31,FALSE))</f>
        <v/>
      </c>
      <c r="AE159" s="507" t="str">
        <f t="shared" si="21"/>
        <v/>
      </c>
      <c r="AF159" s="507" t="str">
        <f t="shared" si="22"/>
        <v/>
      </c>
      <c r="AG159" s="524" t="str">
        <f>IFERROR(IF(O159="","",VLOOKUP(AD159,'G-3 Multipliers'!$P$3:$Q$6,2,FALSE)),"")</f>
        <v/>
      </c>
      <c r="AH159" s="513" t="str">
        <f t="shared" si="17"/>
        <v/>
      </c>
      <c r="AI159" s="231"/>
      <c r="AJ159" s="150"/>
      <c r="AT159" s="31" t="str">
        <f>IFERROR(INDEX('G-6 Hedgerow Data'!$BJ$3:$BJ$15,MATCH(M159,'G-6 Hedgerow Data'!$B$3:$B$15,0)),"")</f>
        <v/>
      </c>
    </row>
    <row r="160" spans="2:46" ht="13.8" x14ac:dyDescent="0.25">
      <c r="B160" s="531" t="str">
        <f>'B-1 Site Hedge Baseline'!AK158</f>
        <v/>
      </c>
      <c r="C160" s="520" t="str">
        <f>IF(B160="","",IF(ISNA(VLOOKUP($B160,'B-1 Site Hedge Baseline'!$B$1:$L$257,3,FALSE)),"",(VLOOKUP($B160,'B-1 Site Hedge Baseline'!$B$1:$L$257,3,FALSE))))</f>
        <v/>
      </c>
      <c r="D160" s="520" t="str">
        <f>IF(B160="","",IF(ISNA(VLOOKUP($B160,'B-1 Site Hedge Baseline'!$B$1:$L$257,4,FALSE)),"",(VLOOKUP($B160,'B-1 Site Hedge Baseline'!$B$1:$L$257,4,FALSE))))</f>
        <v/>
      </c>
      <c r="E160" s="520" t="str">
        <f>IF(B160="","",IF(ISNA(VLOOKUP($B160,'B-1 Site Hedge Baseline'!$B$1:$L$257,5,FALSE)),"",(VLOOKUP($B160,'B-1 Site Hedge Baseline'!$B$1:$L$257,5,FALSE))))</f>
        <v/>
      </c>
      <c r="F160" s="520" t="str">
        <f>IF(B160="","",IF(ISNA(VLOOKUP($B160,'B-1 Site Hedge Baseline'!$B$1:$L$257,6,FALSE)),"",(VLOOKUP($B160,'B-1 Site Hedge Baseline'!$B$1:$L$257,6,FALSE))))</f>
        <v/>
      </c>
      <c r="G160" s="520" t="str">
        <f>IF(B160="","",IF(ISNA(VLOOKUP($B160,'B-1 Site Hedge Baseline'!$B$1:$L$257,7,FALSE)),"",(VLOOKUP($B160,'B-1 Site Hedge Baseline'!$B$1:$L$257,7,FALSE))))</f>
        <v/>
      </c>
      <c r="H160" s="520" t="str">
        <f>IF(B160="","",IF(ISNA(VLOOKUP($B160,'B-1 Site Hedge Baseline'!$B$1:$L$257,8,FALSE)),"",(VLOOKUP($B160,'B-1 Site Hedge Baseline'!$B$1:$L$257,8,FALSE))))</f>
        <v/>
      </c>
      <c r="I160" s="520" t="str">
        <f>IF(B160="","",IF(ISNA(VLOOKUP($B160,'B-1 Site Hedge Baseline'!$B$1:$L$257,10,FALSE)),"",(VLOOKUP($B160,'B-1 Site Hedge Baseline'!$B$1:$L$257,10,FALSE))))</f>
        <v/>
      </c>
      <c r="J160" s="520" t="str">
        <f>IF(B160="","",IF(ISNA(VLOOKUP($B160,'B-1 Site Hedge Baseline'!$B$1:$L$257,11,FALSE)),"",(VLOOKUP($B160,'B-1 Site Hedge Baseline'!$B$1:$L$257,11,FALSE))))</f>
        <v/>
      </c>
      <c r="K160" s="520" t="str">
        <f>IF(B160="","",IF(ISNA(VLOOKUP($B160,'B-1 Site Hedge Baseline'!$B$1:$U$257,13,FALSE)),"",(VLOOKUP($B160,'B-1 Site Hedge Baseline'!$B$1:$U$257,13,FALSE))))</f>
        <v/>
      </c>
      <c r="L160" s="524" t="str">
        <f>IF(B160="","",IF(ISNA(VLOOKUP($B160,'B-1 Site Hedge Baseline'!$B$1:$U$257,12,FALSE)),"",(VLOOKUP($B160,'B-1 Site Hedge Baseline'!$B$1:$U$257,12,FALSE))))</f>
        <v/>
      </c>
      <c r="M160" s="416" t="str">
        <f t="shared" si="23"/>
        <v/>
      </c>
      <c r="N160" s="498" t="str">
        <f>IFERROR(IF(B160="","",INDEX('G-6 Hedgerow Data'!$AN$3:$AZ$15,MATCH(C160,'G-6 Hedgerow Data'!$AM$3:$AM$15,0),MATCH(M160,'G-6 Hedgerow Data'!$AN$2:$AZ$2,0))),"")</f>
        <v/>
      </c>
      <c r="O160" s="499" t="str">
        <f t="shared" si="18"/>
        <v/>
      </c>
      <c r="P160" s="559" t="str">
        <f>IF(B160="","",VLOOKUP(B160,'B-1 Site Hedge Baseline'!$B$10:T405,16,FALSE))</f>
        <v/>
      </c>
      <c r="Q160" s="498" t="str">
        <f>IF(M160="","",VLOOKUP(M160,'G-6 Hedgerow Data'!$B$2:$AG$15,2,FALSE))</f>
        <v/>
      </c>
      <c r="R160" s="499" t="str">
        <f>IF(M160="","",VLOOKUP(M160,'G-6 Hedgerow Data'!$B$2:$AG$15,3,FALSE))</f>
        <v/>
      </c>
      <c r="S160" s="157"/>
      <c r="T160" s="540" t="str">
        <f>IFERROR(VLOOKUP(S160,'G-1 All Habitats'!$Z$2:$AA$9,2,FALSE),"")</f>
        <v/>
      </c>
      <c r="U160" s="154"/>
      <c r="V160" s="520" t="str">
        <f>IF(U160="","",IF(VLOOKUP(U160,'G-3 Multipliers'!$L$3:$N$6,2,FALSE)=0,"Spatial Data Missing ⚠",VLOOKUP(U160,'G-3 Multipliers'!$L$3:$N$6,2,FALSE)))</f>
        <v/>
      </c>
      <c r="W160" s="524" t="str">
        <f>IF(U160="","",IF(VLOOKUP(U160,'G-3 Multipliers'!$L$3:$N$6,3,FALSE)=0,"Spatial Data Missing ⚠",VLOOKUP(U160,'G-3 Multipliers'!$L$3:$N$6,3,FALSE)))</f>
        <v/>
      </c>
      <c r="X160" s="498"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7" t="str">
        <f t="shared" si="19"/>
        <v/>
      </c>
      <c r="AB160" s="521" t="str">
        <f t="shared" si="20"/>
        <v/>
      </c>
      <c r="AC160" s="522" t="str">
        <f t="shared" si="16"/>
        <v/>
      </c>
      <c r="AD160" s="537" t="str">
        <f>IF(M160="","",VLOOKUP(M160,'G-6 Hedgerow Data'!$B$3:$AG$15,31,FALSE))</f>
        <v/>
      </c>
      <c r="AE160" s="507" t="str">
        <f t="shared" si="21"/>
        <v/>
      </c>
      <c r="AF160" s="507" t="str">
        <f t="shared" si="22"/>
        <v/>
      </c>
      <c r="AG160" s="524" t="str">
        <f>IFERROR(IF(O160="","",VLOOKUP(AD160,'G-3 Multipliers'!$P$3:$Q$6,2,FALSE)),"")</f>
        <v/>
      </c>
      <c r="AH160" s="513" t="str">
        <f t="shared" si="17"/>
        <v/>
      </c>
      <c r="AI160" s="231"/>
      <c r="AJ160" s="150"/>
      <c r="AT160" s="31" t="str">
        <f>IFERROR(INDEX('G-6 Hedgerow Data'!$BJ$3:$BJ$15,MATCH(M160,'G-6 Hedgerow Data'!$B$3:$B$15,0)),"")</f>
        <v/>
      </c>
    </row>
    <row r="161" spans="2:46" ht="13.8" x14ac:dyDescent="0.25">
      <c r="B161" s="531" t="str">
        <f>'B-1 Site Hedge Baseline'!AK159</f>
        <v/>
      </c>
      <c r="C161" s="520" t="str">
        <f>IF(B161="","",IF(ISNA(VLOOKUP($B161,'B-1 Site Hedge Baseline'!$B$1:$L$257,3,FALSE)),"",(VLOOKUP($B161,'B-1 Site Hedge Baseline'!$B$1:$L$257,3,FALSE))))</f>
        <v/>
      </c>
      <c r="D161" s="520" t="str">
        <f>IF(B161="","",IF(ISNA(VLOOKUP($B161,'B-1 Site Hedge Baseline'!$B$1:$L$257,4,FALSE)),"",(VLOOKUP($B161,'B-1 Site Hedge Baseline'!$B$1:$L$257,4,FALSE))))</f>
        <v/>
      </c>
      <c r="E161" s="520" t="str">
        <f>IF(B161="","",IF(ISNA(VLOOKUP($B161,'B-1 Site Hedge Baseline'!$B$1:$L$257,5,FALSE)),"",(VLOOKUP($B161,'B-1 Site Hedge Baseline'!$B$1:$L$257,5,FALSE))))</f>
        <v/>
      </c>
      <c r="F161" s="520" t="str">
        <f>IF(B161="","",IF(ISNA(VLOOKUP($B161,'B-1 Site Hedge Baseline'!$B$1:$L$257,6,FALSE)),"",(VLOOKUP($B161,'B-1 Site Hedge Baseline'!$B$1:$L$257,6,FALSE))))</f>
        <v/>
      </c>
      <c r="G161" s="520" t="str">
        <f>IF(B161="","",IF(ISNA(VLOOKUP($B161,'B-1 Site Hedge Baseline'!$B$1:$L$257,7,FALSE)),"",(VLOOKUP($B161,'B-1 Site Hedge Baseline'!$B$1:$L$257,7,FALSE))))</f>
        <v/>
      </c>
      <c r="H161" s="520" t="str">
        <f>IF(B161="","",IF(ISNA(VLOOKUP($B161,'B-1 Site Hedge Baseline'!$B$1:$L$257,8,FALSE)),"",(VLOOKUP($B161,'B-1 Site Hedge Baseline'!$B$1:$L$257,8,FALSE))))</f>
        <v/>
      </c>
      <c r="I161" s="520" t="str">
        <f>IF(B161="","",IF(ISNA(VLOOKUP($B161,'B-1 Site Hedge Baseline'!$B$1:$L$257,10,FALSE)),"",(VLOOKUP($B161,'B-1 Site Hedge Baseline'!$B$1:$L$257,10,FALSE))))</f>
        <v/>
      </c>
      <c r="J161" s="520" t="str">
        <f>IF(B161="","",IF(ISNA(VLOOKUP($B161,'B-1 Site Hedge Baseline'!$B$1:$L$257,11,FALSE)),"",(VLOOKUP($B161,'B-1 Site Hedge Baseline'!$B$1:$L$257,11,FALSE))))</f>
        <v/>
      </c>
      <c r="K161" s="520" t="str">
        <f>IF(B161="","",IF(ISNA(VLOOKUP($B161,'B-1 Site Hedge Baseline'!$B$1:$U$257,13,FALSE)),"",(VLOOKUP($B161,'B-1 Site Hedge Baseline'!$B$1:$U$257,13,FALSE))))</f>
        <v/>
      </c>
      <c r="L161" s="524" t="str">
        <f>IF(B161="","",IF(ISNA(VLOOKUP($B161,'B-1 Site Hedge Baseline'!$B$1:$U$257,12,FALSE)),"",(VLOOKUP($B161,'B-1 Site Hedge Baseline'!$B$1:$U$257,12,FALSE))))</f>
        <v/>
      </c>
      <c r="M161" s="416" t="str">
        <f t="shared" si="23"/>
        <v/>
      </c>
      <c r="N161" s="498" t="str">
        <f>IFERROR(IF(B161="","",INDEX('G-6 Hedgerow Data'!$AN$3:$AZ$15,MATCH(C161,'G-6 Hedgerow Data'!$AM$3:$AM$15,0),MATCH(M161,'G-6 Hedgerow Data'!$AN$2:$AZ$2,0))),"")</f>
        <v/>
      </c>
      <c r="O161" s="499" t="str">
        <f t="shared" si="18"/>
        <v/>
      </c>
      <c r="P161" s="559" t="str">
        <f>IF(B161="","",VLOOKUP(B161,'B-1 Site Hedge Baseline'!$B$10:T406,16,FALSE))</f>
        <v/>
      </c>
      <c r="Q161" s="498" t="str">
        <f>IF(M161="","",VLOOKUP(M161,'G-6 Hedgerow Data'!$B$2:$AG$15,2,FALSE))</f>
        <v/>
      </c>
      <c r="R161" s="499" t="str">
        <f>IF(M161="","",VLOOKUP(M161,'G-6 Hedgerow Data'!$B$2:$AG$15,3,FALSE))</f>
        <v/>
      </c>
      <c r="S161" s="157"/>
      <c r="T161" s="540" t="str">
        <f>IFERROR(VLOOKUP(S161,'G-1 All Habitats'!$Z$2:$AA$9,2,FALSE),"")</f>
        <v/>
      </c>
      <c r="U161" s="154"/>
      <c r="V161" s="520" t="str">
        <f>IF(U161="","",IF(VLOOKUP(U161,'G-3 Multipliers'!$L$3:$N$6,2,FALSE)=0,"Spatial Data Missing ⚠",VLOOKUP(U161,'G-3 Multipliers'!$L$3:$N$6,2,FALSE)))</f>
        <v/>
      </c>
      <c r="W161" s="524" t="str">
        <f>IF(U161="","",IF(VLOOKUP(U161,'G-3 Multipliers'!$L$3:$N$6,3,FALSE)=0,"Spatial Data Missing ⚠",VLOOKUP(U161,'G-3 Multipliers'!$L$3:$N$6,3,FALSE)))</f>
        <v/>
      </c>
      <c r="X161" s="498"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7" t="str">
        <f t="shared" si="19"/>
        <v/>
      </c>
      <c r="AB161" s="521" t="str">
        <f t="shared" si="20"/>
        <v/>
      </c>
      <c r="AC161" s="522" t="str">
        <f t="shared" si="16"/>
        <v/>
      </c>
      <c r="AD161" s="537" t="str">
        <f>IF(M161="","",VLOOKUP(M161,'G-6 Hedgerow Data'!$B$3:$AG$15,31,FALSE))</f>
        <v/>
      </c>
      <c r="AE161" s="507" t="str">
        <f t="shared" si="21"/>
        <v/>
      </c>
      <c r="AF161" s="507" t="str">
        <f t="shared" si="22"/>
        <v/>
      </c>
      <c r="AG161" s="524" t="str">
        <f>IFERROR(IF(O161="","",VLOOKUP(AD161,'G-3 Multipliers'!$P$3:$Q$6,2,FALSE)),"")</f>
        <v/>
      </c>
      <c r="AH161" s="513" t="str">
        <f t="shared" si="17"/>
        <v/>
      </c>
      <c r="AI161" s="231"/>
      <c r="AJ161" s="150"/>
      <c r="AT161" s="31" t="str">
        <f>IFERROR(INDEX('G-6 Hedgerow Data'!$BJ$3:$BJ$15,MATCH(M161,'G-6 Hedgerow Data'!$B$3:$B$15,0)),"")</f>
        <v/>
      </c>
    </row>
    <row r="162" spans="2:46" ht="13.8" x14ac:dyDescent="0.25">
      <c r="B162" s="531" t="str">
        <f>'B-1 Site Hedge Baseline'!AK160</f>
        <v/>
      </c>
      <c r="C162" s="520" t="str">
        <f>IF(B162="","",IF(ISNA(VLOOKUP($B162,'B-1 Site Hedge Baseline'!$B$1:$L$257,3,FALSE)),"",(VLOOKUP($B162,'B-1 Site Hedge Baseline'!$B$1:$L$257,3,FALSE))))</f>
        <v/>
      </c>
      <c r="D162" s="520" t="str">
        <f>IF(B162="","",IF(ISNA(VLOOKUP($B162,'B-1 Site Hedge Baseline'!$B$1:$L$257,4,FALSE)),"",(VLOOKUP($B162,'B-1 Site Hedge Baseline'!$B$1:$L$257,4,FALSE))))</f>
        <v/>
      </c>
      <c r="E162" s="520" t="str">
        <f>IF(B162="","",IF(ISNA(VLOOKUP($B162,'B-1 Site Hedge Baseline'!$B$1:$L$257,5,FALSE)),"",(VLOOKUP($B162,'B-1 Site Hedge Baseline'!$B$1:$L$257,5,FALSE))))</f>
        <v/>
      </c>
      <c r="F162" s="520" t="str">
        <f>IF(B162="","",IF(ISNA(VLOOKUP($B162,'B-1 Site Hedge Baseline'!$B$1:$L$257,6,FALSE)),"",(VLOOKUP($B162,'B-1 Site Hedge Baseline'!$B$1:$L$257,6,FALSE))))</f>
        <v/>
      </c>
      <c r="G162" s="520" t="str">
        <f>IF(B162="","",IF(ISNA(VLOOKUP($B162,'B-1 Site Hedge Baseline'!$B$1:$L$257,7,FALSE)),"",(VLOOKUP($B162,'B-1 Site Hedge Baseline'!$B$1:$L$257,7,FALSE))))</f>
        <v/>
      </c>
      <c r="H162" s="520" t="str">
        <f>IF(B162="","",IF(ISNA(VLOOKUP($B162,'B-1 Site Hedge Baseline'!$B$1:$L$257,8,FALSE)),"",(VLOOKUP($B162,'B-1 Site Hedge Baseline'!$B$1:$L$257,8,FALSE))))</f>
        <v/>
      </c>
      <c r="I162" s="520" t="str">
        <f>IF(B162="","",IF(ISNA(VLOOKUP($B162,'B-1 Site Hedge Baseline'!$B$1:$L$257,10,FALSE)),"",(VLOOKUP($B162,'B-1 Site Hedge Baseline'!$B$1:$L$257,10,FALSE))))</f>
        <v/>
      </c>
      <c r="J162" s="520" t="str">
        <f>IF(B162="","",IF(ISNA(VLOOKUP($B162,'B-1 Site Hedge Baseline'!$B$1:$L$257,11,FALSE)),"",(VLOOKUP($B162,'B-1 Site Hedge Baseline'!$B$1:$L$257,11,FALSE))))</f>
        <v/>
      </c>
      <c r="K162" s="520" t="str">
        <f>IF(B162="","",IF(ISNA(VLOOKUP($B162,'B-1 Site Hedge Baseline'!$B$1:$U$257,13,FALSE)),"",(VLOOKUP($B162,'B-1 Site Hedge Baseline'!$B$1:$U$257,13,FALSE))))</f>
        <v/>
      </c>
      <c r="L162" s="524" t="str">
        <f>IF(B162="","",IF(ISNA(VLOOKUP($B162,'B-1 Site Hedge Baseline'!$B$1:$U$257,12,FALSE)),"",(VLOOKUP($B162,'B-1 Site Hedge Baseline'!$B$1:$U$257,12,FALSE))))</f>
        <v/>
      </c>
      <c r="M162" s="416" t="str">
        <f t="shared" si="23"/>
        <v/>
      </c>
      <c r="N162" s="498" t="str">
        <f>IFERROR(IF(B162="","",INDEX('G-6 Hedgerow Data'!$AN$3:$AZ$15,MATCH(C162,'G-6 Hedgerow Data'!$AM$3:$AM$15,0),MATCH(M162,'G-6 Hedgerow Data'!$AN$2:$AZ$2,0))),"")</f>
        <v/>
      </c>
      <c r="O162" s="499" t="str">
        <f t="shared" si="18"/>
        <v/>
      </c>
      <c r="P162" s="559" t="str">
        <f>IF(B162="","",VLOOKUP(B162,'B-1 Site Hedge Baseline'!$B$10:T407,16,FALSE))</f>
        <v/>
      </c>
      <c r="Q162" s="498" t="str">
        <f>IF(M162="","",VLOOKUP(M162,'G-6 Hedgerow Data'!$B$2:$AG$15,2,FALSE))</f>
        <v/>
      </c>
      <c r="R162" s="499" t="str">
        <f>IF(M162="","",VLOOKUP(M162,'G-6 Hedgerow Data'!$B$2:$AG$15,3,FALSE))</f>
        <v/>
      </c>
      <c r="S162" s="157"/>
      <c r="T162" s="540" t="str">
        <f>IFERROR(VLOOKUP(S162,'G-1 All Habitats'!$Z$2:$AA$9,2,FALSE),"")</f>
        <v/>
      </c>
      <c r="U162" s="154"/>
      <c r="V162" s="520" t="str">
        <f>IF(U162="","",IF(VLOOKUP(U162,'G-3 Multipliers'!$L$3:$N$6,2,FALSE)=0,"Spatial Data Missing ⚠",VLOOKUP(U162,'G-3 Multipliers'!$L$3:$N$6,2,FALSE)))</f>
        <v/>
      </c>
      <c r="W162" s="524" t="str">
        <f>IF(U162="","",IF(VLOOKUP(U162,'G-3 Multipliers'!$L$3:$N$6,3,FALSE)=0,"Spatial Data Missing ⚠",VLOOKUP(U162,'G-3 Multipliers'!$L$3:$N$6,3,FALSE)))</f>
        <v/>
      </c>
      <c r="X162" s="498"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7" t="str">
        <f t="shared" si="19"/>
        <v/>
      </c>
      <c r="AB162" s="521" t="str">
        <f t="shared" si="20"/>
        <v/>
      </c>
      <c r="AC162" s="522" t="str">
        <f t="shared" si="16"/>
        <v/>
      </c>
      <c r="AD162" s="537" t="str">
        <f>IF(M162="","",VLOOKUP(M162,'G-6 Hedgerow Data'!$B$3:$AG$15,31,FALSE))</f>
        <v/>
      </c>
      <c r="AE162" s="507" t="str">
        <f t="shared" si="21"/>
        <v/>
      </c>
      <c r="AF162" s="507" t="str">
        <f t="shared" si="22"/>
        <v/>
      </c>
      <c r="AG162" s="524" t="str">
        <f>IFERROR(IF(O162="","",VLOOKUP(AD162,'G-3 Multipliers'!$P$3:$Q$6,2,FALSE)),"")</f>
        <v/>
      </c>
      <c r="AH162" s="513" t="str">
        <f t="shared" si="17"/>
        <v/>
      </c>
      <c r="AI162" s="231"/>
      <c r="AJ162" s="150"/>
      <c r="AT162" s="31" t="str">
        <f>IFERROR(INDEX('G-6 Hedgerow Data'!$BJ$3:$BJ$15,MATCH(M162,'G-6 Hedgerow Data'!$B$3:$B$15,0)),"")</f>
        <v/>
      </c>
    </row>
    <row r="163" spans="2:46" ht="13.8" x14ac:dyDescent="0.25">
      <c r="B163" s="531" t="str">
        <f>'B-1 Site Hedge Baseline'!AK161</f>
        <v/>
      </c>
      <c r="C163" s="520" t="str">
        <f>IF(B163="","",IF(ISNA(VLOOKUP($B163,'B-1 Site Hedge Baseline'!$B$1:$L$257,3,FALSE)),"",(VLOOKUP($B163,'B-1 Site Hedge Baseline'!$B$1:$L$257,3,FALSE))))</f>
        <v/>
      </c>
      <c r="D163" s="520" t="str">
        <f>IF(B163="","",IF(ISNA(VLOOKUP($B163,'B-1 Site Hedge Baseline'!$B$1:$L$257,4,FALSE)),"",(VLOOKUP($B163,'B-1 Site Hedge Baseline'!$B$1:$L$257,4,FALSE))))</f>
        <v/>
      </c>
      <c r="E163" s="520" t="str">
        <f>IF(B163="","",IF(ISNA(VLOOKUP($B163,'B-1 Site Hedge Baseline'!$B$1:$L$257,5,FALSE)),"",(VLOOKUP($B163,'B-1 Site Hedge Baseline'!$B$1:$L$257,5,FALSE))))</f>
        <v/>
      </c>
      <c r="F163" s="520" t="str">
        <f>IF(B163="","",IF(ISNA(VLOOKUP($B163,'B-1 Site Hedge Baseline'!$B$1:$L$257,6,FALSE)),"",(VLOOKUP($B163,'B-1 Site Hedge Baseline'!$B$1:$L$257,6,FALSE))))</f>
        <v/>
      </c>
      <c r="G163" s="520" t="str">
        <f>IF(B163="","",IF(ISNA(VLOOKUP($B163,'B-1 Site Hedge Baseline'!$B$1:$L$257,7,FALSE)),"",(VLOOKUP($B163,'B-1 Site Hedge Baseline'!$B$1:$L$257,7,FALSE))))</f>
        <v/>
      </c>
      <c r="H163" s="520" t="str">
        <f>IF(B163="","",IF(ISNA(VLOOKUP($B163,'B-1 Site Hedge Baseline'!$B$1:$L$257,8,FALSE)),"",(VLOOKUP($B163,'B-1 Site Hedge Baseline'!$B$1:$L$257,8,FALSE))))</f>
        <v/>
      </c>
      <c r="I163" s="520" t="str">
        <f>IF(B163="","",IF(ISNA(VLOOKUP($B163,'B-1 Site Hedge Baseline'!$B$1:$L$257,10,FALSE)),"",(VLOOKUP($B163,'B-1 Site Hedge Baseline'!$B$1:$L$257,10,FALSE))))</f>
        <v/>
      </c>
      <c r="J163" s="520" t="str">
        <f>IF(B163="","",IF(ISNA(VLOOKUP($B163,'B-1 Site Hedge Baseline'!$B$1:$L$257,11,FALSE)),"",(VLOOKUP($B163,'B-1 Site Hedge Baseline'!$B$1:$L$257,11,FALSE))))</f>
        <v/>
      </c>
      <c r="K163" s="520" t="str">
        <f>IF(B163="","",IF(ISNA(VLOOKUP($B163,'B-1 Site Hedge Baseline'!$B$1:$U$257,13,FALSE)),"",(VLOOKUP($B163,'B-1 Site Hedge Baseline'!$B$1:$U$257,13,FALSE))))</f>
        <v/>
      </c>
      <c r="L163" s="524" t="str">
        <f>IF(B163="","",IF(ISNA(VLOOKUP($B163,'B-1 Site Hedge Baseline'!$B$1:$U$257,12,FALSE)),"",(VLOOKUP($B163,'B-1 Site Hedge Baseline'!$B$1:$U$257,12,FALSE))))</f>
        <v/>
      </c>
      <c r="M163" s="416" t="str">
        <f t="shared" si="23"/>
        <v/>
      </c>
      <c r="N163" s="498" t="str">
        <f>IFERROR(IF(B163="","",INDEX('G-6 Hedgerow Data'!$AN$3:$AZ$15,MATCH(C163,'G-6 Hedgerow Data'!$AM$3:$AM$15,0),MATCH(M163,'G-6 Hedgerow Data'!$AN$2:$AZ$2,0))),"")</f>
        <v/>
      </c>
      <c r="O163" s="499" t="str">
        <f t="shared" si="18"/>
        <v/>
      </c>
      <c r="P163" s="559" t="str">
        <f>IF(B163="","",VLOOKUP(B163,'B-1 Site Hedge Baseline'!$B$10:T408,16,FALSE))</f>
        <v/>
      </c>
      <c r="Q163" s="498" t="str">
        <f>IF(M163="","",VLOOKUP(M163,'G-6 Hedgerow Data'!$B$2:$AG$15,2,FALSE))</f>
        <v/>
      </c>
      <c r="R163" s="499" t="str">
        <f>IF(M163="","",VLOOKUP(M163,'G-6 Hedgerow Data'!$B$2:$AG$15,3,FALSE))</f>
        <v/>
      </c>
      <c r="S163" s="157"/>
      <c r="T163" s="540" t="str">
        <f>IFERROR(VLOOKUP(S163,'G-1 All Habitats'!$Z$2:$AA$9,2,FALSE),"")</f>
        <v/>
      </c>
      <c r="U163" s="154"/>
      <c r="V163" s="520" t="str">
        <f>IF(U163="","",IF(VLOOKUP(U163,'G-3 Multipliers'!$L$3:$N$6,2,FALSE)=0,"Spatial Data Missing ⚠",VLOOKUP(U163,'G-3 Multipliers'!$L$3:$N$6,2,FALSE)))</f>
        <v/>
      </c>
      <c r="W163" s="524" t="str">
        <f>IF(U163="","",IF(VLOOKUP(U163,'G-3 Multipliers'!$L$3:$N$6,3,FALSE)=0,"Spatial Data Missing ⚠",VLOOKUP(U163,'G-3 Multipliers'!$L$3:$N$6,3,FALSE)))</f>
        <v/>
      </c>
      <c r="X163" s="498"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7" t="str">
        <f t="shared" si="19"/>
        <v/>
      </c>
      <c r="AB163" s="521" t="str">
        <f t="shared" si="20"/>
        <v/>
      </c>
      <c r="AC163" s="522" t="str">
        <f t="shared" si="16"/>
        <v/>
      </c>
      <c r="AD163" s="537" t="str">
        <f>IF(M163="","",VLOOKUP(M163,'G-6 Hedgerow Data'!$B$3:$AG$15,31,FALSE))</f>
        <v/>
      </c>
      <c r="AE163" s="507" t="str">
        <f t="shared" si="21"/>
        <v/>
      </c>
      <c r="AF163" s="507" t="str">
        <f t="shared" si="22"/>
        <v/>
      </c>
      <c r="AG163" s="524" t="str">
        <f>IFERROR(IF(O163="","",VLOOKUP(AD163,'G-3 Multipliers'!$P$3:$Q$6,2,FALSE)),"")</f>
        <v/>
      </c>
      <c r="AH163" s="513" t="str">
        <f t="shared" si="17"/>
        <v/>
      </c>
      <c r="AI163" s="231"/>
      <c r="AJ163" s="150"/>
      <c r="AT163" s="31" t="str">
        <f>IFERROR(INDEX('G-6 Hedgerow Data'!$BJ$3:$BJ$15,MATCH(M163,'G-6 Hedgerow Data'!$B$3:$B$15,0)),"")</f>
        <v/>
      </c>
    </row>
    <row r="164" spans="2:46" ht="13.8" x14ac:dyDescent="0.25">
      <c r="B164" s="531" t="str">
        <f>'B-1 Site Hedge Baseline'!AK162</f>
        <v/>
      </c>
      <c r="C164" s="520" t="str">
        <f>IF(B164="","",IF(ISNA(VLOOKUP($B164,'B-1 Site Hedge Baseline'!$B$1:$L$257,3,FALSE)),"",(VLOOKUP($B164,'B-1 Site Hedge Baseline'!$B$1:$L$257,3,FALSE))))</f>
        <v/>
      </c>
      <c r="D164" s="520" t="str">
        <f>IF(B164="","",IF(ISNA(VLOOKUP($B164,'B-1 Site Hedge Baseline'!$B$1:$L$257,4,FALSE)),"",(VLOOKUP($B164,'B-1 Site Hedge Baseline'!$B$1:$L$257,4,FALSE))))</f>
        <v/>
      </c>
      <c r="E164" s="520" t="str">
        <f>IF(B164="","",IF(ISNA(VLOOKUP($B164,'B-1 Site Hedge Baseline'!$B$1:$L$257,5,FALSE)),"",(VLOOKUP($B164,'B-1 Site Hedge Baseline'!$B$1:$L$257,5,FALSE))))</f>
        <v/>
      </c>
      <c r="F164" s="520" t="str">
        <f>IF(B164="","",IF(ISNA(VLOOKUP($B164,'B-1 Site Hedge Baseline'!$B$1:$L$257,6,FALSE)),"",(VLOOKUP($B164,'B-1 Site Hedge Baseline'!$B$1:$L$257,6,FALSE))))</f>
        <v/>
      </c>
      <c r="G164" s="520" t="str">
        <f>IF(B164="","",IF(ISNA(VLOOKUP($B164,'B-1 Site Hedge Baseline'!$B$1:$L$257,7,FALSE)),"",(VLOOKUP($B164,'B-1 Site Hedge Baseline'!$B$1:$L$257,7,FALSE))))</f>
        <v/>
      </c>
      <c r="H164" s="520" t="str">
        <f>IF(B164="","",IF(ISNA(VLOOKUP($B164,'B-1 Site Hedge Baseline'!$B$1:$L$257,8,FALSE)),"",(VLOOKUP($B164,'B-1 Site Hedge Baseline'!$B$1:$L$257,8,FALSE))))</f>
        <v/>
      </c>
      <c r="I164" s="520" t="str">
        <f>IF(B164="","",IF(ISNA(VLOOKUP($B164,'B-1 Site Hedge Baseline'!$B$1:$L$257,10,FALSE)),"",(VLOOKUP($B164,'B-1 Site Hedge Baseline'!$B$1:$L$257,10,FALSE))))</f>
        <v/>
      </c>
      <c r="J164" s="520" t="str">
        <f>IF(B164="","",IF(ISNA(VLOOKUP($B164,'B-1 Site Hedge Baseline'!$B$1:$L$257,11,FALSE)),"",(VLOOKUP($B164,'B-1 Site Hedge Baseline'!$B$1:$L$257,11,FALSE))))</f>
        <v/>
      </c>
      <c r="K164" s="520" t="str">
        <f>IF(B164="","",IF(ISNA(VLOOKUP($B164,'B-1 Site Hedge Baseline'!$B$1:$U$257,13,FALSE)),"",(VLOOKUP($B164,'B-1 Site Hedge Baseline'!$B$1:$U$257,13,FALSE))))</f>
        <v/>
      </c>
      <c r="L164" s="524" t="str">
        <f>IF(B164="","",IF(ISNA(VLOOKUP($B164,'B-1 Site Hedge Baseline'!$B$1:$U$257,12,FALSE)),"",(VLOOKUP($B164,'B-1 Site Hedge Baseline'!$B$1:$U$257,12,FALSE))))</f>
        <v/>
      </c>
      <c r="M164" s="416" t="str">
        <f t="shared" si="23"/>
        <v/>
      </c>
      <c r="N164" s="498" t="str">
        <f>IFERROR(IF(B164="","",INDEX('G-6 Hedgerow Data'!$AN$3:$AZ$15,MATCH(C164,'G-6 Hedgerow Data'!$AM$3:$AM$15,0),MATCH(M164,'G-6 Hedgerow Data'!$AN$2:$AZ$2,0))),"")</f>
        <v/>
      </c>
      <c r="O164" s="499" t="str">
        <f t="shared" si="18"/>
        <v/>
      </c>
      <c r="P164" s="559" t="str">
        <f>IF(B164="","",VLOOKUP(B164,'B-1 Site Hedge Baseline'!$B$10:T409,16,FALSE))</f>
        <v/>
      </c>
      <c r="Q164" s="498" t="str">
        <f>IF(M164="","",VLOOKUP(M164,'G-6 Hedgerow Data'!$B$2:$AG$15,2,FALSE))</f>
        <v/>
      </c>
      <c r="R164" s="499" t="str">
        <f>IF(M164="","",VLOOKUP(M164,'G-6 Hedgerow Data'!$B$2:$AG$15,3,FALSE))</f>
        <v/>
      </c>
      <c r="S164" s="157"/>
      <c r="T164" s="540" t="str">
        <f>IFERROR(VLOOKUP(S164,'G-1 All Habitats'!$Z$2:$AA$9,2,FALSE),"")</f>
        <v/>
      </c>
      <c r="U164" s="154"/>
      <c r="V164" s="520" t="str">
        <f>IF(U164="","",IF(VLOOKUP(U164,'G-3 Multipliers'!$L$3:$N$6,2,FALSE)=0,"Spatial Data Missing ⚠",VLOOKUP(U164,'G-3 Multipliers'!$L$3:$N$6,2,FALSE)))</f>
        <v/>
      </c>
      <c r="W164" s="524" t="str">
        <f>IF(U164="","",IF(VLOOKUP(U164,'G-3 Multipliers'!$L$3:$N$6,3,FALSE)=0,"Spatial Data Missing ⚠",VLOOKUP(U164,'G-3 Multipliers'!$L$3:$N$6,3,FALSE)))</f>
        <v/>
      </c>
      <c r="X164" s="498"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7" t="str">
        <f t="shared" si="19"/>
        <v/>
      </c>
      <c r="AB164" s="521" t="str">
        <f t="shared" si="20"/>
        <v/>
      </c>
      <c r="AC164" s="522" t="str">
        <f t="shared" si="16"/>
        <v/>
      </c>
      <c r="AD164" s="537" t="str">
        <f>IF(M164="","",VLOOKUP(M164,'G-6 Hedgerow Data'!$B$3:$AG$15,31,FALSE))</f>
        <v/>
      </c>
      <c r="AE164" s="507" t="str">
        <f t="shared" si="21"/>
        <v/>
      </c>
      <c r="AF164" s="507" t="str">
        <f t="shared" si="22"/>
        <v/>
      </c>
      <c r="AG164" s="524" t="str">
        <f>IFERROR(IF(O164="","",VLOOKUP(AD164,'G-3 Multipliers'!$P$3:$Q$6,2,FALSE)),"")</f>
        <v/>
      </c>
      <c r="AH164" s="513" t="str">
        <f t="shared" si="17"/>
        <v/>
      </c>
      <c r="AI164" s="231"/>
      <c r="AJ164" s="150"/>
      <c r="AT164" s="31" t="str">
        <f>IFERROR(INDEX('G-6 Hedgerow Data'!$BJ$3:$BJ$15,MATCH(M164,'G-6 Hedgerow Data'!$B$3:$B$15,0)),"")</f>
        <v/>
      </c>
    </row>
    <row r="165" spans="2:46" ht="13.8" x14ac:dyDescent="0.25">
      <c r="B165" s="531" t="str">
        <f>'B-1 Site Hedge Baseline'!AK163</f>
        <v/>
      </c>
      <c r="C165" s="520" t="str">
        <f>IF(B165="","",IF(ISNA(VLOOKUP($B165,'B-1 Site Hedge Baseline'!$B$1:$L$257,3,FALSE)),"",(VLOOKUP($B165,'B-1 Site Hedge Baseline'!$B$1:$L$257,3,FALSE))))</f>
        <v/>
      </c>
      <c r="D165" s="520" t="str">
        <f>IF(B165="","",IF(ISNA(VLOOKUP($B165,'B-1 Site Hedge Baseline'!$B$1:$L$257,4,FALSE)),"",(VLOOKUP($B165,'B-1 Site Hedge Baseline'!$B$1:$L$257,4,FALSE))))</f>
        <v/>
      </c>
      <c r="E165" s="520" t="str">
        <f>IF(B165="","",IF(ISNA(VLOOKUP($B165,'B-1 Site Hedge Baseline'!$B$1:$L$257,5,FALSE)),"",(VLOOKUP($B165,'B-1 Site Hedge Baseline'!$B$1:$L$257,5,FALSE))))</f>
        <v/>
      </c>
      <c r="F165" s="520" t="str">
        <f>IF(B165="","",IF(ISNA(VLOOKUP($B165,'B-1 Site Hedge Baseline'!$B$1:$L$257,6,FALSE)),"",(VLOOKUP($B165,'B-1 Site Hedge Baseline'!$B$1:$L$257,6,FALSE))))</f>
        <v/>
      </c>
      <c r="G165" s="520" t="str">
        <f>IF(B165="","",IF(ISNA(VLOOKUP($B165,'B-1 Site Hedge Baseline'!$B$1:$L$257,7,FALSE)),"",(VLOOKUP($B165,'B-1 Site Hedge Baseline'!$B$1:$L$257,7,FALSE))))</f>
        <v/>
      </c>
      <c r="H165" s="520" t="str">
        <f>IF(B165="","",IF(ISNA(VLOOKUP($B165,'B-1 Site Hedge Baseline'!$B$1:$L$257,8,FALSE)),"",(VLOOKUP($B165,'B-1 Site Hedge Baseline'!$B$1:$L$257,8,FALSE))))</f>
        <v/>
      </c>
      <c r="I165" s="520" t="str">
        <f>IF(B165="","",IF(ISNA(VLOOKUP($B165,'B-1 Site Hedge Baseline'!$B$1:$L$257,10,FALSE)),"",(VLOOKUP($B165,'B-1 Site Hedge Baseline'!$B$1:$L$257,10,FALSE))))</f>
        <v/>
      </c>
      <c r="J165" s="520" t="str">
        <f>IF(B165="","",IF(ISNA(VLOOKUP($B165,'B-1 Site Hedge Baseline'!$B$1:$L$257,11,FALSE)),"",(VLOOKUP($B165,'B-1 Site Hedge Baseline'!$B$1:$L$257,11,FALSE))))</f>
        <v/>
      </c>
      <c r="K165" s="520" t="str">
        <f>IF(B165="","",IF(ISNA(VLOOKUP($B165,'B-1 Site Hedge Baseline'!$B$1:$U$257,13,FALSE)),"",(VLOOKUP($B165,'B-1 Site Hedge Baseline'!$B$1:$U$257,13,FALSE))))</f>
        <v/>
      </c>
      <c r="L165" s="524" t="str">
        <f>IF(B165="","",IF(ISNA(VLOOKUP($B165,'B-1 Site Hedge Baseline'!$B$1:$U$257,12,FALSE)),"",(VLOOKUP($B165,'B-1 Site Hedge Baseline'!$B$1:$U$257,12,FALSE))))</f>
        <v/>
      </c>
      <c r="M165" s="416" t="str">
        <f t="shared" si="23"/>
        <v/>
      </c>
      <c r="N165" s="498" t="str">
        <f>IFERROR(IF(B165="","",INDEX('G-6 Hedgerow Data'!$AN$3:$AZ$15,MATCH(C165,'G-6 Hedgerow Data'!$AM$3:$AM$15,0),MATCH(M165,'G-6 Hedgerow Data'!$AN$2:$AZ$2,0))),"")</f>
        <v/>
      </c>
      <c r="O165" s="499" t="str">
        <f t="shared" si="18"/>
        <v/>
      </c>
      <c r="P165" s="559" t="str">
        <f>IF(B165="","",VLOOKUP(B165,'B-1 Site Hedge Baseline'!$B$10:T410,16,FALSE))</f>
        <v/>
      </c>
      <c r="Q165" s="498" t="str">
        <f>IF(M165="","",VLOOKUP(M165,'G-6 Hedgerow Data'!$B$2:$AG$15,2,FALSE))</f>
        <v/>
      </c>
      <c r="R165" s="499" t="str">
        <f>IF(M165="","",VLOOKUP(M165,'G-6 Hedgerow Data'!$B$2:$AG$15,3,FALSE))</f>
        <v/>
      </c>
      <c r="S165" s="157"/>
      <c r="T165" s="540" t="str">
        <f>IFERROR(VLOOKUP(S165,'G-1 All Habitats'!$Z$2:$AA$9,2,FALSE),"")</f>
        <v/>
      </c>
      <c r="U165" s="154"/>
      <c r="V165" s="520" t="str">
        <f>IF(U165="","",IF(VLOOKUP(U165,'G-3 Multipliers'!$L$3:$N$6,2,FALSE)=0,"Spatial Data Missing ⚠",VLOOKUP(U165,'G-3 Multipliers'!$L$3:$N$6,2,FALSE)))</f>
        <v/>
      </c>
      <c r="W165" s="524" t="str">
        <f>IF(U165="","",IF(VLOOKUP(U165,'G-3 Multipliers'!$L$3:$N$6,3,FALSE)=0,"Spatial Data Missing ⚠",VLOOKUP(U165,'G-3 Multipliers'!$L$3:$N$6,3,FALSE)))</f>
        <v/>
      </c>
      <c r="X165" s="498"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7" t="str">
        <f t="shared" si="19"/>
        <v/>
      </c>
      <c r="AB165" s="521" t="str">
        <f t="shared" si="20"/>
        <v/>
      </c>
      <c r="AC165" s="522" t="str">
        <f t="shared" si="16"/>
        <v/>
      </c>
      <c r="AD165" s="537" t="str">
        <f>IF(M165="","",VLOOKUP(M165,'G-6 Hedgerow Data'!$B$3:$AG$15,31,FALSE))</f>
        <v/>
      </c>
      <c r="AE165" s="507" t="str">
        <f t="shared" si="21"/>
        <v/>
      </c>
      <c r="AF165" s="507" t="str">
        <f t="shared" si="22"/>
        <v/>
      </c>
      <c r="AG165" s="524" t="str">
        <f>IFERROR(IF(O165="","",VLOOKUP(AD165,'G-3 Multipliers'!$P$3:$Q$6,2,FALSE)),"")</f>
        <v/>
      </c>
      <c r="AH165" s="513" t="str">
        <f t="shared" si="17"/>
        <v/>
      </c>
      <c r="AI165" s="231"/>
      <c r="AJ165" s="150"/>
      <c r="AT165" s="31" t="str">
        <f>IFERROR(INDEX('G-6 Hedgerow Data'!$BJ$3:$BJ$15,MATCH(M165,'G-6 Hedgerow Data'!$B$3:$B$15,0)),"")</f>
        <v/>
      </c>
    </row>
    <row r="166" spans="2:46" ht="13.8" x14ac:dyDescent="0.25">
      <c r="B166" s="531" t="str">
        <f>'B-1 Site Hedge Baseline'!AK164</f>
        <v/>
      </c>
      <c r="C166" s="520" t="str">
        <f>IF(B166="","",IF(ISNA(VLOOKUP($B166,'B-1 Site Hedge Baseline'!$B$1:$L$257,3,FALSE)),"",(VLOOKUP($B166,'B-1 Site Hedge Baseline'!$B$1:$L$257,3,FALSE))))</f>
        <v/>
      </c>
      <c r="D166" s="520" t="str">
        <f>IF(B166="","",IF(ISNA(VLOOKUP($B166,'B-1 Site Hedge Baseline'!$B$1:$L$257,4,FALSE)),"",(VLOOKUP($B166,'B-1 Site Hedge Baseline'!$B$1:$L$257,4,FALSE))))</f>
        <v/>
      </c>
      <c r="E166" s="520" t="str">
        <f>IF(B166="","",IF(ISNA(VLOOKUP($B166,'B-1 Site Hedge Baseline'!$B$1:$L$257,5,FALSE)),"",(VLOOKUP($B166,'B-1 Site Hedge Baseline'!$B$1:$L$257,5,FALSE))))</f>
        <v/>
      </c>
      <c r="F166" s="520" t="str">
        <f>IF(B166="","",IF(ISNA(VLOOKUP($B166,'B-1 Site Hedge Baseline'!$B$1:$L$257,6,FALSE)),"",(VLOOKUP($B166,'B-1 Site Hedge Baseline'!$B$1:$L$257,6,FALSE))))</f>
        <v/>
      </c>
      <c r="G166" s="520" t="str">
        <f>IF(B166="","",IF(ISNA(VLOOKUP($B166,'B-1 Site Hedge Baseline'!$B$1:$L$257,7,FALSE)),"",(VLOOKUP($B166,'B-1 Site Hedge Baseline'!$B$1:$L$257,7,FALSE))))</f>
        <v/>
      </c>
      <c r="H166" s="520" t="str">
        <f>IF(B166="","",IF(ISNA(VLOOKUP($B166,'B-1 Site Hedge Baseline'!$B$1:$L$257,8,FALSE)),"",(VLOOKUP($B166,'B-1 Site Hedge Baseline'!$B$1:$L$257,8,FALSE))))</f>
        <v/>
      </c>
      <c r="I166" s="520" t="str">
        <f>IF(B166="","",IF(ISNA(VLOOKUP($B166,'B-1 Site Hedge Baseline'!$B$1:$L$257,10,FALSE)),"",(VLOOKUP($B166,'B-1 Site Hedge Baseline'!$B$1:$L$257,10,FALSE))))</f>
        <v/>
      </c>
      <c r="J166" s="520" t="str">
        <f>IF(B166="","",IF(ISNA(VLOOKUP($B166,'B-1 Site Hedge Baseline'!$B$1:$L$257,11,FALSE)),"",(VLOOKUP($B166,'B-1 Site Hedge Baseline'!$B$1:$L$257,11,FALSE))))</f>
        <v/>
      </c>
      <c r="K166" s="520" t="str">
        <f>IF(B166="","",IF(ISNA(VLOOKUP($B166,'B-1 Site Hedge Baseline'!$B$1:$U$257,13,FALSE)),"",(VLOOKUP($B166,'B-1 Site Hedge Baseline'!$B$1:$U$257,13,FALSE))))</f>
        <v/>
      </c>
      <c r="L166" s="524" t="str">
        <f>IF(B166="","",IF(ISNA(VLOOKUP($B166,'B-1 Site Hedge Baseline'!$B$1:$U$257,12,FALSE)),"",(VLOOKUP($B166,'B-1 Site Hedge Baseline'!$B$1:$U$257,12,FALSE))))</f>
        <v/>
      </c>
      <c r="M166" s="416" t="str">
        <f t="shared" si="23"/>
        <v/>
      </c>
      <c r="N166" s="498" t="str">
        <f>IFERROR(IF(B166="","",INDEX('G-6 Hedgerow Data'!$AN$3:$AZ$15,MATCH(C166,'G-6 Hedgerow Data'!$AM$3:$AM$15,0),MATCH(M166,'G-6 Hedgerow Data'!$AN$2:$AZ$2,0))),"")</f>
        <v/>
      </c>
      <c r="O166" s="499" t="str">
        <f t="shared" si="18"/>
        <v/>
      </c>
      <c r="P166" s="559" t="str">
        <f>IF(B166="","",VLOOKUP(B166,'B-1 Site Hedge Baseline'!$B$10:T411,16,FALSE))</f>
        <v/>
      </c>
      <c r="Q166" s="498" t="str">
        <f>IF(M166="","",VLOOKUP(M166,'G-6 Hedgerow Data'!$B$2:$AG$15,2,FALSE))</f>
        <v/>
      </c>
      <c r="R166" s="499" t="str">
        <f>IF(M166="","",VLOOKUP(M166,'G-6 Hedgerow Data'!$B$2:$AG$15,3,FALSE))</f>
        <v/>
      </c>
      <c r="S166" s="157"/>
      <c r="T166" s="540" t="str">
        <f>IFERROR(VLOOKUP(S166,'G-1 All Habitats'!$Z$2:$AA$9,2,FALSE),"")</f>
        <v/>
      </c>
      <c r="U166" s="154"/>
      <c r="V166" s="520" t="str">
        <f>IF(U166="","",IF(VLOOKUP(U166,'G-3 Multipliers'!$L$3:$N$6,2,FALSE)=0,"Spatial Data Missing ⚠",VLOOKUP(U166,'G-3 Multipliers'!$L$3:$N$6,2,FALSE)))</f>
        <v/>
      </c>
      <c r="W166" s="524" t="str">
        <f>IF(U166="","",IF(VLOOKUP(U166,'G-3 Multipliers'!$L$3:$N$6,3,FALSE)=0,"Spatial Data Missing ⚠",VLOOKUP(U166,'G-3 Multipliers'!$L$3:$N$6,3,FALSE)))</f>
        <v/>
      </c>
      <c r="X166" s="498"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7" t="str">
        <f t="shared" si="19"/>
        <v/>
      </c>
      <c r="AB166" s="521" t="str">
        <f t="shared" si="20"/>
        <v/>
      </c>
      <c r="AC166" s="522" t="str">
        <f t="shared" si="16"/>
        <v/>
      </c>
      <c r="AD166" s="537" t="str">
        <f>IF(M166="","",VLOOKUP(M166,'G-6 Hedgerow Data'!$B$3:$AG$15,31,FALSE))</f>
        <v/>
      </c>
      <c r="AE166" s="507" t="str">
        <f t="shared" si="21"/>
        <v/>
      </c>
      <c r="AF166" s="507" t="str">
        <f t="shared" si="22"/>
        <v/>
      </c>
      <c r="AG166" s="524" t="str">
        <f>IFERROR(IF(O166="","",VLOOKUP(AD166,'G-3 Multipliers'!$P$3:$Q$6,2,FALSE)),"")</f>
        <v/>
      </c>
      <c r="AH166" s="513" t="str">
        <f t="shared" si="17"/>
        <v/>
      </c>
      <c r="AI166" s="231"/>
      <c r="AJ166" s="150"/>
      <c r="AT166" s="31" t="str">
        <f>IFERROR(INDEX('G-6 Hedgerow Data'!$BJ$3:$BJ$15,MATCH(M166,'G-6 Hedgerow Data'!$B$3:$B$15,0)),"")</f>
        <v/>
      </c>
    </row>
    <row r="167" spans="2:46" ht="13.8" x14ac:dyDescent="0.25">
      <c r="B167" s="531" t="str">
        <f>'B-1 Site Hedge Baseline'!AK165</f>
        <v/>
      </c>
      <c r="C167" s="520" t="str">
        <f>IF(B167="","",IF(ISNA(VLOOKUP($B167,'B-1 Site Hedge Baseline'!$B$1:$L$257,3,FALSE)),"",(VLOOKUP($B167,'B-1 Site Hedge Baseline'!$B$1:$L$257,3,FALSE))))</f>
        <v/>
      </c>
      <c r="D167" s="520" t="str">
        <f>IF(B167="","",IF(ISNA(VLOOKUP($B167,'B-1 Site Hedge Baseline'!$B$1:$L$257,4,FALSE)),"",(VLOOKUP($B167,'B-1 Site Hedge Baseline'!$B$1:$L$257,4,FALSE))))</f>
        <v/>
      </c>
      <c r="E167" s="520" t="str">
        <f>IF(B167="","",IF(ISNA(VLOOKUP($B167,'B-1 Site Hedge Baseline'!$B$1:$L$257,5,FALSE)),"",(VLOOKUP($B167,'B-1 Site Hedge Baseline'!$B$1:$L$257,5,FALSE))))</f>
        <v/>
      </c>
      <c r="F167" s="520" t="str">
        <f>IF(B167="","",IF(ISNA(VLOOKUP($B167,'B-1 Site Hedge Baseline'!$B$1:$L$257,6,FALSE)),"",(VLOOKUP($B167,'B-1 Site Hedge Baseline'!$B$1:$L$257,6,FALSE))))</f>
        <v/>
      </c>
      <c r="G167" s="520" t="str">
        <f>IF(B167="","",IF(ISNA(VLOOKUP($B167,'B-1 Site Hedge Baseline'!$B$1:$L$257,7,FALSE)),"",(VLOOKUP($B167,'B-1 Site Hedge Baseline'!$B$1:$L$257,7,FALSE))))</f>
        <v/>
      </c>
      <c r="H167" s="520" t="str">
        <f>IF(B167="","",IF(ISNA(VLOOKUP($B167,'B-1 Site Hedge Baseline'!$B$1:$L$257,8,FALSE)),"",(VLOOKUP($B167,'B-1 Site Hedge Baseline'!$B$1:$L$257,8,FALSE))))</f>
        <v/>
      </c>
      <c r="I167" s="520" t="str">
        <f>IF(B167="","",IF(ISNA(VLOOKUP($B167,'B-1 Site Hedge Baseline'!$B$1:$L$257,10,FALSE)),"",(VLOOKUP($B167,'B-1 Site Hedge Baseline'!$B$1:$L$257,10,FALSE))))</f>
        <v/>
      </c>
      <c r="J167" s="520" t="str">
        <f>IF(B167="","",IF(ISNA(VLOOKUP($B167,'B-1 Site Hedge Baseline'!$B$1:$L$257,11,FALSE)),"",(VLOOKUP($B167,'B-1 Site Hedge Baseline'!$B$1:$L$257,11,FALSE))))</f>
        <v/>
      </c>
      <c r="K167" s="520" t="str">
        <f>IF(B167="","",IF(ISNA(VLOOKUP($B167,'B-1 Site Hedge Baseline'!$B$1:$U$257,13,FALSE)),"",(VLOOKUP($B167,'B-1 Site Hedge Baseline'!$B$1:$U$257,13,FALSE))))</f>
        <v/>
      </c>
      <c r="L167" s="524" t="str">
        <f>IF(B167="","",IF(ISNA(VLOOKUP($B167,'B-1 Site Hedge Baseline'!$B$1:$U$257,12,FALSE)),"",(VLOOKUP($B167,'B-1 Site Hedge Baseline'!$B$1:$U$257,12,FALSE))))</f>
        <v/>
      </c>
      <c r="M167" s="416" t="str">
        <f t="shared" si="23"/>
        <v/>
      </c>
      <c r="N167" s="498" t="str">
        <f>IFERROR(IF(B167="","",INDEX('G-6 Hedgerow Data'!$AN$3:$AZ$15,MATCH(C167,'G-6 Hedgerow Data'!$AM$3:$AM$15,0),MATCH(M167,'G-6 Hedgerow Data'!$AN$2:$AZ$2,0))),"")</f>
        <v/>
      </c>
      <c r="O167" s="499" t="str">
        <f t="shared" si="18"/>
        <v/>
      </c>
      <c r="P167" s="559" t="str">
        <f>IF(B167="","",VLOOKUP(B167,'B-1 Site Hedge Baseline'!$B$10:T412,16,FALSE))</f>
        <v/>
      </c>
      <c r="Q167" s="498" t="str">
        <f>IF(M167="","",VLOOKUP(M167,'G-6 Hedgerow Data'!$B$2:$AG$15,2,FALSE))</f>
        <v/>
      </c>
      <c r="R167" s="499" t="str">
        <f>IF(M167="","",VLOOKUP(M167,'G-6 Hedgerow Data'!$B$2:$AG$15,3,FALSE))</f>
        <v/>
      </c>
      <c r="S167" s="157"/>
      <c r="T167" s="540" t="str">
        <f>IFERROR(VLOOKUP(S167,'G-1 All Habitats'!$Z$2:$AA$9,2,FALSE),"")</f>
        <v/>
      </c>
      <c r="U167" s="154"/>
      <c r="V167" s="520" t="str">
        <f>IF(U167="","",IF(VLOOKUP(U167,'G-3 Multipliers'!$L$3:$N$6,2,FALSE)=0,"Spatial Data Missing ⚠",VLOOKUP(U167,'G-3 Multipliers'!$L$3:$N$6,2,FALSE)))</f>
        <v/>
      </c>
      <c r="W167" s="524" t="str">
        <f>IF(U167="","",IF(VLOOKUP(U167,'G-3 Multipliers'!$L$3:$N$6,3,FALSE)=0,"Spatial Data Missing ⚠",VLOOKUP(U167,'G-3 Multipliers'!$L$3:$N$6,3,FALSE)))</f>
        <v/>
      </c>
      <c r="X167" s="498"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7" t="str">
        <f t="shared" si="19"/>
        <v/>
      </c>
      <c r="AB167" s="521" t="str">
        <f t="shared" si="20"/>
        <v/>
      </c>
      <c r="AC167" s="522" t="str">
        <f t="shared" si="16"/>
        <v/>
      </c>
      <c r="AD167" s="537" t="str">
        <f>IF(M167="","",VLOOKUP(M167,'G-6 Hedgerow Data'!$B$3:$AG$15,31,FALSE))</f>
        <v/>
      </c>
      <c r="AE167" s="507" t="str">
        <f t="shared" si="21"/>
        <v/>
      </c>
      <c r="AF167" s="507" t="str">
        <f t="shared" si="22"/>
        <v/>
      </c>
      <c r="AG167" s="524" t="str">
        <f>IFERROR(IF(O167="","",VLOOKUP(AD167,'G-3 Multipliers'!$P$3:$Q$6,2,FALSE)),"")</f>
        <v/>
      </c>
      <c r="AH167" s="513" t="str">
        <f t="shared" si="17"/>
        <v/>
      </c>
      <c r="AI167" s="231"/>
      <c r="AJ167" s="150"/>
      <c r="AT167" s="31" t="str">
        <f>IFERROR(INDEX('G-6 Hedgerow Data'!$BJ$3:$BJ$15,MATCH(M167,'G-6 Hedgerow Data'!$B$3:$B$15,0)),"")</f>
        <v/>
      </c>
    </row>
    <row r="168" spans="2:46" ht="13.8" x14ac:dyDescent="0.25">
      <c r="B168" s="531" t="str">
        <f>'B-1 Site Hedge Baseline'!AK166</f>
        <v/>
      </c>
      <c r="C168" s="520" t="str">
        <f>IF(B168="","",IF(ISNA(VLOOKUP($B168,'B-1 Site Hedge Baseline'!$B$1:$L$257,3,FALSE)),"",(VLOOKUP($B168,'B-1 Site Hedge Baseline'!$B$1:$L$257,3,FALSE))))</f>
        <v/>
      </c>
      <c r="D168" s="520" t="str">
        <f>IF(B168="","",IF(ISNA(VLOOKUP($B168,'B-1 Site Hedge Baseline'!$B$1:$L$257,4,FALSE)),"",(VLOOKUP($B168,'B-1 Site Hedge Baseline'!$B$1:$L$257,4,FALSE))))</f>
        <v/>
      </c>
      <c r="E168" s="520" t="str">
        <f>IF(B168="","",IF(ISNA(VLOOKUP($B168,'B-1 Site Hedge Baseline'!$B$1:$L$257,5,FALSE)),"",(VLOOKUP($B168,'B-1 Site Hedge Baseline'!$B$1:$L$257,5,FALSE))))</f>
        <v/>
      </c>
      <c r="F168" s="520" t="str">
        <f>IF(B168="","",IF(ISNA(VLOOKUP($B168,'B-1 Site Hedge Baseline'!$B$1:$L$257,6,FALSE)),"",(VLOOKUP($B168,'B-1 Site Hedge Baseline'!$B$1:$L$257,6,FALSE))))</f>
        <v/>
      </c>
      <c r="G168" s="520" t="str">
        <f>IF(B168="","",IF(ISNA(VLOOKUP($B168,'B-1 Site Hedge Baseline'!$B$1:$L$257,7,FALSE)),"",(VLOOKUP($B168,'B-1 Site Hedge Baseline'!$B$1:$L$257,7,FALSE))))</f>
        <v/>
      </c>
      <c r="H168" s="520" t="str">
        <f>IF(B168="","",IF(ISNA(VLOOKUP($B168,'B-1 Site Hedge Baseline'!$B$1:$L$257,8,FALSE)),"",(VLOOKUP($B168,'B-1 Site Hedge Baseline'!$B$1:$L$257,8,FALSE))))</f>
        <v/>
      </c>
      <c r="I168" s="520" t="str">
        <f>IF(B168="","",IF(ISNA(VLOOKUP($B168,'B-1 Site Hedge Baseline'!$B$1:$L$257,10,FALSE)),"",(VLOOKUP($B168,'B-1 Site Hedge Baseline'!$B$1:$L$257,10,FALSE))))</f>
        <v/>
      </c>
      <c r="J168" s="520" t="str">
        <f>IF(B168="","",IF(ISNA(VLOOKUP($B168,'B-1 Site Hedge Baseline'!$B$1:$L$257,11,FALSE)),"",(VLOOKUP($B168,'B-1 Site Hedge Baseline'!$B$1:$L$257,11,FALSE))))</f>
        <v/>
      </c>
      <c r="K168" s="520" t="str">
        <f>IF(B168="","",IF(ISNA(VLOOKUP($B168,'B-1 Site Hedge Baseline'!$B$1:$U$257,13,FALSE)),"",(VLOOKUP($B168,'B-1 Site Hedge Baseline'!$B$1:$U$257,13,FALSE))))</f>
        <v/>
      </c>
      <c r="L168" s="524" t="str">
        <f>IF(B168="","",IF(ISNA(VLOOKUP($B168,'B-1 Site Hedge Baseline'!$B$1:$U$257,12,FALSE)),"",(VLOOKUP($B168,'B-1 Site Hedge Baseline'!$B$1:$U$257,12,FALSE))))</f>
        <v/>
      </c>
      <c r="M168" s="416" t="str">
        <f t="shared" si="23"/>
        <v/>
      </c>
      <c r="N168" s="498" t="str">
        <f>IFERROR(IF(B168="","",INDEX('G-6 Hedgerow Data'!$AN$3:$AZ$15,MATCH(C168,'G-6 Hedgerow Data'!$AM$3:$AM$15,0),MATCH(M168,'G-6 Hedgerow Data'!$AN$2:$AZ$2,0))),"")</f>
        <v/>
      </c>
      <c r="O168" s="499" t="str">
        <f t="shared" si="18"/>
        <v/>
      </c>
      <c r="P168" s="559" t="str">
        <f>IF(B168="","",VLOOKUP(B168,'B-1 Site Hedge Baseline'!$B$10:T413,16,FALSE))</f>
        <v/>
      </c>
      <c r="Q168" s="498" t="str">
        <f>IF(M168="","",VLOOKUP(M168,'G-6 Hedgerow Data'!$B$2:$AG$15,2,FALSE))</f>
        <v/>
      </c>
      <c r="R168" s="499" t="str">
        <f>IF(M168="","",VLOOKUP(M168,'G-6 Hedgerow Data'!$B$2:$AG$15,3,FALSE))</f>
        <v/>
      </c>
      <c r="S168" s="157"/>
      <c r="T168" s="540" t="str">
        <f>IFERROR(VLOOKUP(S168,'G-1 All Habitats'!$Z$2:$AA$9,2,FALSE),"")</f>
        <v/>
      </c>
      <c r="U168" s="154"/>
      <c r="V168" s="520" t="str">
        <f>IF(U168="","",IF(VLOOKUP(U168,'G-3 Multipliers'!$L$3:$N$6,2,FALSE)=0,"Spatial Data Missing ⚠",VLOOKUP(U168,'G-3 Multipliers'!$L$3:$N$6,2,FALSE)))</f>
        <v/>
      </c>
      <c r="W168" s="524" t="str">
        <f>IF(U168="","",IF(VLOOKUP(U168,'G-3 Multipliers'!$L$3:$N$6,3,FALSE)=0,"Spatial Data Missing ⚠",VLOOKUP(U168,'G-3 Multipliers'!$L$3:$N$6,3,FALSE)))</f>
        <v/>
      </c>
      <c r="X168" s="498"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7" t="str">
        <f t="shared" si="19"/>
        <v/>
      </c>
      <c r="AB168" s="521" t="str">
        <f t="shared" si="20"/>
        <v/>
      </c>
      <c r="AC168" s="522" t="str">
        <f t="shared" si="16"/>
        <v/>
      </c>
      <c r="AD168" s="537" t="str">
        <f>IF(M168="","",VLOOKUP(M168,'G-6 Hedgerow Data'!$B$3:$AG$15,31,FALSE))</f>
        <v/>
      </c>
      <c r="AE168" s="507" t="str">
        <f t="shared" si="21"/>
        <v/>
      </c>
      <c r="AF168" s="507" t="str">
        <f t="shared" si="22"/>
        <v/>
      </c>
      <c r="AG168" s="524" t="str">
        <f>IFERROR(IF(O168="","",VLOOKUP(AD168,'G-3 Multipliers'!$P$3:$Q$6,2,FALSE)),"")</f>
        <v/>
      </c>
      <c r="AH168" s="513" t="str">
        <f t="shared" si="17"/>
        <v/>
      </c>
      <c r="AI168" s="231"/>
      <c r="AJ168" s="150"/>
      <c r="AT168" s="31" t="str">
        <f>IFERROR(INDEX('G-6 Hedgerow Data'!$BJ$3:$BJ$15,MATCH(M168,'G-6 Hedgerow Data'!$B$3:$B$15,0)),"")</f>
        <v/>
      </c>
    </row>
    <row r="169" spans="2:46" ht="13.8" x14ac:dyDescent="0.25">
      <c r="B169" s="531" t="str">
        <f>'B-1 Site Hedge Baseline'!AK167</f>
        <v/>
      </c>
      <c r="C169" s="520" t="str">
        <f>IF(B169="","",IF(ISNA(VLOOKUP($B169,'B-1 Site Hedge Baseline'!$B$1:$L$257,3,FALSE)),"",(VLOOKUP($B169,'B-1 Site Hedge Baseline'!$B$1:$L$257,3,FALSE))))</f>
        <v/>
      </c>
      <c r="D169" s="520" t="str">
        <f>IF(B169="","",IF(ISNA(VLOOKUP($B169,'B-1 Site Hedge Baseline'!$B$1:$L$257,4,FALSE)),"",(VLOOKUP($B169,'B-1 Site Hedge Baseline'!$B$1:$L$257,4,FALSE))))</f>
        <v/>
      </c>
      <c r="E169" s="520" t="str">
        <f>IF(B169="","",IF(ISNA(VLOOKUP($B169,'B-1 Site Hedge Baseline'!$B$1:$L$257,5,FALSE)),"",(VLOOKUP($B169,'B-1 Site Hedge Baseline'!$B$1:$L$257,5,FALSE))))</f>
        <v/>
      </c>
      <c r="F169" s="520" t="str">
        <f>IF(B169="","",IF(ISNA(VLOOKUP($B169,'B-1 Site Hedge Baseline'!$B$1:$L$257,6,FALSE)),"",(VLOOKUP($B169,'B-1 Site Hedge Baseline'!$B$1:$L$257,6,FALSE))))</f>
        <v/>
      </c>
      <c r="G169" s="520" t="str">
        <f>IF(B169="","",IF(ISNA(VLOOKUP($B169,'B-1 Site Hedge Baseline'!$B$1:$L$257,7,FALSE)),"",(VLOOKUP($B169,'B-1 Site Hedge Baseline'!$B$1:$L$257,7,FALSE))))</f>
        <v/>
      </c>
      <c r="H169" s="520" t="str">
        <f>IF(B169="","",IF(ISNA(VLOOKUP($B169,'B-1 Site Hedge Baseline'!$B$1:$L$257,8,FALSE)),"",(VLOOKUP($B169,'B-1 Site Hedge Baseline'!$B$1:$L$257,8,FALSE))))</f>
        <v/>
      </c>
      <c r="I169" s="520" t="str">
        <f>IF(B169="","",IF(ISNA(VLOOKUP($B169,'B-1 Site Hedge Baseline'!$B$1:$L$257,10,FALSE)),"",(VLOOKUP($B169,'B-1 Site Hedge Baseline'!$B$1:$L$257,10,FALSE))))</f>
        <v/>
      </c>
      <c r="J169" s="520" t="str">
        <f>IF(B169="","",IF(ISNA(VLOOKUP($B169,'B-1 Site Hedge Baseline'!$B$1:$L$257,11,FALSE)),"",(VLOOKUP($B169,'B-1 Site Hedge Baseline'!$B$1:$L$257,11,FALSE))))</f>
        <v/>
      </c>
      <c r="K169" s="520" t="str">
        <f>IF(B169="","",IF(ISNA(VLOOKUP($B169,'B-1 Site Hedge Baseline'!$B$1:$U$257,13,FALSE)),"",(VLOOKUP($B169,'B-1 Site Hedge Baseline'!$B$1:$U$257,13,FALSE))))</f>
        <v/>
      </c>
      <c r="L169" s="524" t="str">
        <f>IF(B169="","",IF(ISNA(VLOOKUP($B169,'B-1 Site Hedge Baseline'!$B$1:$U$257,12,FALSE)),"",(VLOOKUP($B169,'B-1 Site Hedge Baseline'!$B$1:$U$257,12,FALSE))))</f>
        <v/>
      </c>
      <c r="M169" s="416" t="str">
        <f t="shared" si="23"/>
        <v/>
      </c>
      <c r="N169" s="498" t="str">
        <f>IFERROR(IF(B169="","",INDEX('G-6 Hedgerow Data'!$AN$3:$AZ$15,MATCH(C169,'G-6 Hedgerow Data'!$AM$3:$AM$15,0),MATCH(M169,'G-6 Hedgerow Data'!$AN$2:$AZ$2,0))),"")</f>
        <v/>
      </c>
      <c r="O169" s="499" t="str">
        <f t="shared" si="18"/>
        <v/>
      </c>
      <c r="P169" s="559" t="str">
        <f>IF(B169="","",VLOOKUP(B169,'B-1 Site Hedge Baseline'!$B$10:T414,16,FALSE))</f>
        <v/>
      </c>
      <c r="Q169" s="498" t="str">
        <f>IF(M169="","",VLOOKUP(M169,'G-6 Hedgerow Data'!$B$2:$AG$15,2,FALSE))</f>
        <v/>
      </c>
      <c r="R169" s="499" t="str">
        <f>IF(M169="","",VLOOKUP(M169,'G-6 Hedgerow Data'!$B$2:$AG$15,3,FALSE))</f>
        <v/>
      </c>
      <c r="S169" s="157"/>
      <c r="T169" s="540" t="str">
        <f>IFERROR(VLOOKUP(S169,'G-1 All Habitats'!$Z$2:$AA$9,2,FALSE),"")</f>
        <v/>
      </c>
      <c r="U169" s="154"/>
      <c r="V169" s="520" t="str">
        <f>IF(U169="","",IF(VLOOKUP(U169,'G-3 Multipliers'!$L$3:$N$6,2,FALSE)=0,"Spatial Data Missing ⚠",VLOOKUP(U169,'G-3 Multipliers'!$L$3:$N$6,2,FALSE)))</f>
        <v/>
      </c>
      <c r="W169" s="524" t="str">
        <f>IF(U169="","",IF(VLOOKUP(U169,'G-3 Multipliers'!$L$3:$N$6,3,FALSE)=0,"Spatial Data Missing ⚠",VLOOKUP(U169,'G-3 Multipliers'!$L$3:$N$6,3,FALSE)))</f>
        <v/>
      </c>
      <c r="X169" s="498"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7" t="str">
        <f t="shared" si="19"/>
        <v/>
      </c>
      <c r="AB169" s="521" t="str">
        <f t="shared" si="20"/>
        <v/>
      </c>
      <c r="AC169" s="522" t="str">
        <f t="shared" si="16"/>
        <v/>
      </c>
      <c r="AD169" s="537" t="str">
        <f>IF(M169="","",VLOOKUP(M169,'G-6 Hedgerow Data'!$B$3:$AG$15,31,FALSE))</f>
        <v/>
      </c>
      <c r="AE169" s="507" t="str">
        <f t="shared" si="21"/>
        <v/>
      </c>
      <c r="AF169" s="507" t="str">
        <f t="shared" si="22"/>
        <v/>
      </c>
      <c r="AG169" s="524" t="str">
        <f>IFERROR(IF(O169="","",VLOOKUP(AD169,'G-3 Multipliers'!$P$3:$Q$6,2,FALSE)),"")</f>
        <v/>
      </c>
      <c r="AH169" s="513" t="str">
        <f t="shared" si="17"/>
        <v/>
      </c>
      <c r="AI169" s="231"/>
      <c r="AJ169" s="150"/>
      <c r="AT169" s="31" t="str">
        <f>IFERROR(INDEX('G-6 Hedgerow Data'!$BJ$3:$BJ$15,MATCH(M169,'G-6 Hedgerow Data'!$B$3:$B$15,0)),"")</f>
        <v/>
      </c>
    </row>
    <row r="170" spans="2:46" ht="13.8" x14ac:dyDescent="0.25">
      <c r="B170" s="531" t="str">
        <f>'B-1 Site Hedge Baseline'!AK168</f>
        <v/>
      </c>
      <c r="C170" s="520" t="str">
        <f>IF(B170="","",IF(ISNA(VLOOKUP($B170,'B-1 Site Hedge Baseline'!$B$1:$L$257,3,FALSE)),"",(VLOOKUP($B170,'B-1 Site Hedge Baseline'!$B$1:$L$257,3,FALSE))))</f>
        <v/>
      </c>
      <c r="D170" s="520" t="str">
        <f>IF(B170="","",IF(ISNA(VLOOKUP($B170,'B-1 Site Hedge Baseline'!$B$1:$L$257,4,FALSE)),"",(VLOOKUP($B170,'B-1 Site Hedge Baseline'!$B$1:$L$257,4,FALSE))))</f>
        <v/>
      </c>
      <c r="E170" s="520" t="str">
        <f>IF(B170="","",IF(ISNA(VLOOKUP($B170,'B-1 Site Hedge Baseline'!$B$1:$L$257,5,FALSE)),"",(VLOOKUP($B170,'B-1 Site Hedge Baseline'!$B$1:$L$257,5,FALSE))))</f>
        <v/>
      </c>
      <c r="F170" s="520" t="str">
        <f>IF(B170="","",IF(ISNA(VLOOKUP($B170,'B-1 Site Hedge Baseline'!$B$1:$L$257,6,FALSE)),"",(VLOOKUP($B170,'B-1 Site Hedge Baseline'!$B$1:$L$257,6,FALSE))))</f>
        <v/>
      </c>
      <c r="G170" s="520" t="str">
        <f>IF(B170="","",IF(ISNA(VLOOKUP($B170,'B-1 Site Hedge Baseline'!$B$1:$L$257,7,FALSE)),"",(VLOOKUP($B170,'B-1 Site Hedge Baseline'!$B$1:$L$257,7,FALSE))))</f>
        <v/>
      </c>
      <c r="H170" s="520" t="str">
        <f>IF(B170="","",IF(ISNA(VLOOKUP($B170,'B-1 Site Hedge Baseline'!$B$1:$L$257,8,FALSE)),"",(VLOOKUP($B170,'B-1 Site Hedge Baseline'!$B$1:$L$257,8,FALSE))))</f>
        <v/>
      </c>
      <c r="I170" s="520" t="str">
        <f>IF(B170="","",IF(ISNA(VLOOKUP($B170,'B-1 Site Hedge Baseline'!$B$1:$L$257,10,FALSE)),"",(VLOOKUP($B170,'B-1 Site Hedge Baseline'!$B$1:$L$257,10,FALSE))))</f>
        <v/>
      </c>
      <c r="J170" s="520" t="str">
        <f>IF(B170="","",IF(ISNA(VLOOKUP($B170,'B-1 Site Hedge Baseline'!$B$1:$L$257,11,FALSE)),"",(VLOOKUP($B170,'B-1 Site Hedge Baseline'!$B$1:$L$257,11,FALSE))))</f>
        <v/>
      </c>
      <c r="K170" s="520" t="str">
        <f>IF(B170="","",IF(ISNA(VLOOKUP($B170,'B-1 Site Hedge Baseline'!$B$1:$U$257,13,FALSE)),"",(VLOOKUP($B170,'B-1 Site Hedge Baseline'!$B$1:$U$257,13,FALSE))))</f>
        <v/>
      </c>
      <c r="L170" s="524" t="str">
        <f>IF(B170="","",IF(ISNA(VLOOKUP($B170,'B-1 Site Hedge Baseline'!$B$1:$U$257,12,FALSE)),"",(VLOOKUP($B170,'B-1 Site Hedge Baseline'!$B$1:$U$257,12,FALSE))))</f>
        <v/>
      </c>
      <c r="M170" s="416" t="str">
        <f t="shared" si="23"/>
        <v/>
      </c>
      <c r="N170" s="498" t="str">
        <f>IFERROR(IF(B170="","",INDEX('G-6 Hedgerow Data'!$AN$3:$AZ$15,MATCH(C170,'G-6 Hedgerow Data'!$AM$3:$AM$15,0),MATCH(M170,'G-6 Hedgerow Data'!$AN$2:$AZ$2,0))),"")</f>
        <v/>
      </c>
      <c r="O170" s="499" t="str">
        <f t="shared" si="18"/>
        <v/>
      </c>
      <c r="P170" s="559" t="str">
        <f>IF(B170="","",VLOOKUP(B170,'B-1 Site Hedge Baseline'!$B$10:T415,16,FALSE))</f>
        <v/>
      </c>
      <c r="Q170" s="498" t="str">
        <f>IF(M170="","",VLOOKUP(M170,'G-6 Hedgerow Data'!$B$2:$AG$15,2,FALSE))</f>
        <v/>
      </c>
      <c r="R170" s="499" t="str">
        <f>IF(M170="","",VLOOKUP(M170,'G-6 Hedgerow Data'!$B$2:$AG$15,3,FALSE))</f>
        <v/>
      </c>
      <c r="S170" s="157"/>
      <c r="T170" s="540" t="str">
        <f>IFERROR(VLOOKUP(S170,'G-1 All Habitats'!$Z$2:$AA$9,2,FALSE),"")</f>
        <v/>
      </c>
      <c r="U170" s="154"/>
      <c r="V170" s="520" t="str">
        <f>IF(U170="","",IF(VLOOKUP(U170,'G-3 Multipliers'!$L$3:$N$6,2,FALSE)=0,"Spatial Data Missing ⚠",VLOOKUP(U170,'G-3 Multipliers'!$L$3:$N$6,2,FALSE)))</f>
        <v/>
      </c>
      <c r="W170" s="524" t="str">
        <f>IF(U170="","",IF(VLOOKUP(U170,'G-3 Multipliers'!$L$3:$N$6,3,FALSE)=0,"Spatial Data Missing ⚠",VLOOKUP(U170,'G-3 Multipliers'!$L$3:$N$6,3,FALSE)))</f>
        <v/>
      </c>
      <c r="X170" s="498"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7" t="str">
        <f t="shared" si="19"/>
        <v/>
      </c>
      <c r="AB170" s="521" t="str">
        <f t="shared" si="20"/>
        <v/>
      </c>
      <c r="AC170" s="522" t="str">
        <f t="shared" si="16"/>
        <v/>
      </c>
      <c r="AD170" s="537" t="str">
        <f>IF(M170="","",VLOOKUP(M170,'G-6 Hedgerow Data'!$B$3:$AG$15,31,FALSE))</f>
        <v/>
      </c>
      <c r="AE170" s="507" t="str">
        <f t="shared" si="21"/>
        <v/>
      </c>
      <c r="AF170" s="507" t="str">
        <f t="shared" si="22"/>
        <v/>
      </c>
      <c r="AG170" s="524" t="str">
        <f>IFERROR(IF(O170="","",VLOOKUP(AD170,'G-3 Multipliers'!$P$3:$Q$6,2,FALSE)),"")</f>
        <v/>
      </c>
      <c r="AH170" s="513" t="str">
        <f t="shared" si="17"/>
        <v/>
      </c>
      <c r="AI170" s="231"/>
      <c r="AJ170" s="150"/>
      <c r="AT170" s="31" t="str">
        <f>IFERROR(INDEX('G-6 Hedgerow Data'!$BJ$3:$BJ$15,MATCH(M170,'G-6 Hedgerow Data'!$B$3:$B$15,0)),"")</f>
        <v/>
      </c>
    </row>
    <row r="171" spans="2:46" ht="13.8" x14ac:dyDescent="0.25">
      <c r="B171" s="531" t="str">
        <f>'B-1 Site Hedge Baseline'!AK169</f>
        <v/>
      </c>
      <c r="C171" s="520" t="str">
        <f>IF(B171="","",IF(ISNA(VLOOKUP($B171,'B-1 Site Hedge Baseline'!$B$1:$L$257,3,FALSE)),"",(VLOOKUP($B171,'B-1 Site Hedge Baseline'!$B$1:$L$257,3,FALSE))))</f>
        <v/>
      </c>
      <c r="D171" s="520" t="str">
        <f>IF(B171="","",IF(ISNA(VLOOKUP($B171,'B-1 Site Hedge Baseline'!$B$1:$L$257,4,FALSE)),"",(VLOOKUP($B171,'B-1 Site Hedge Baseline'!$B$1:$L$257,4,FALSE))))</f>
        <v/>
      </c>
      <c r="E171" s="520" t="str">
        <f>IF(B171="","",IF(ISNA(VLOOKUP($B171,'B-1 Site Hedge Baseline'!$B$1:$L$257,5,FALSE)),"",(VLOOKUP($B171,'B-1 Site Hedge Baseline'!$B$1:$L$257,5,FALSE))))</f>
        <v/>
      </c>
      <c r="F171" s="520" t="str">
        <f>IF(B171="","",IF(ISNA(VLOOKUP($B171,'B-1 Site Hedge Baseline'!$B$1:$L$257,6,FALSE)),"",(VLOOKUP($B171,'B-1 Site Hedge Baseline'!$B$1:$L$257,6,FALSE))))</f>
        <v/>
      </c>
      <c r="G171" s="520" t="str">
        <f>IF(B171="","",IF(ISNA(VLOOKUP($B171,'B-1 Site Hedge Baseline'!$B$1:$L$257,7,FALSE)),"",(VLOOKUP($B171,'B-1 Site Hedge Baseline'!$B$1:$L$257,7,FALSE))))</f>
        <v/>
      </c>
      <c r="H171" s="520" t="str">
        <f>IF(B171="","",IF(ISNA(VLOOKUP($B171,'B-1 Site Hedge Baseline'!$B$1:$L$257,8,FALSE)),"",(VLOOKUP($B171,'B-1 Site Hedge Baseline'!$B$1:$L$257,8,FALSE))))</f>
        <v/>
      </c>
      <c r="I171" s="520" t="str">
        <f>IF(B171="","",IF(ISNA(VLOOKUP($B171,'B-1 Site Hedge Baseline'!$B$1:$L$257,10,FALSE)),"",(VLOOKUP($B171,'B-1 Site Hedge Baseline'!$B$1:$L$257,10,FALSE))))</f>
        <v/>
      </c>
      <c r="J171" s="520" t="str">
        <f>IF(B171="","",IF(ISNA(VLOOKUP($B171,'B-1 Site Hedge Baseline'!$B$1:$L$257,11,FALSE)),"",(VLOOKUP($B171,'B-1 Site Hedge Baseline'!$B$1:$L$257,11,FALSE))))</f>
        <v/>
      </c>
      <c r="K171" s="520" t="str">
        <f>IF(B171="","",IF(ISNA(VLOOKUP($B171,'B-1 Site Hedge Baseline'!$B$1:$U$257,13,FALSE)),"",(VLOOKUP($B171,'B-1 Site Hedge Baseline'!$B$1:$U$257,13,FALSE))))</f>
        <v/>
      </c>
      <c r="L171" s="524" t="str">
        <f>IF(B171="","",IF(ISNA(VLOOKUP($B171,'B-1 Site Hedge Baseline'!$B$1:$U$257,12,FALSE)),"",(VLOOKUP($B171,'B-1 Site Hedge Baseline'!$B$1:$U$257,12,FALSE))))</f>
        <v/>
      </c>
      <c r="M171" s="416" t="str">
        <f t="shared" si="23"/>
        <v/>
      </c>
      <c r="N171" s="498" t="str">
        <f>IFERROR(IF(B171="","",INDEX('G-6 Hedgerow Data'!$AN$3:$AZ$15,MATCH(C171,'G-6 Hedgerow Data'!$AM$3:$AM$15,0),MATCH(M171,'G-6 Hedgerow Data'!$AN$2:$AZ$2,0))),"")</f>
        <v/>
      </c>
      <c r="O171" s="499" t="str">
        <f t="shared" si="18"/>
        <v/>
      </c>
      <c r="P171" s="559" t="str">
        <f>IF(B171="","",VLOOKUP(B171,'B-1 Site Hedge Baseline'!$B$10:T416,16,FALSE))</f>
        <v/>
      </c>
      <c r="Q171" s="498" t="str">
        <f>IF(M171="","",VLOOKUP(M171,'G-6 Hedgerow Data'!$B$2:$AG$15,2,FALSE))</f>
        <v/>
      </c>
      <c r="R171" s="499" t="str">
        <f>IF(M171="","",VLOOKUP(M171,'G-6 Hedgerow Data'!$B$2:$AG$15,3,FALSE))</f>
        <v/>
      </c>
      <c r="S171" s="157"/>
      <c r="T171" s="540" t="str">
        <f>IFERROR(VLOOKUP(S171,'G-1 All Habitats'!$Z$2:$AA$9,2,FALSE),"")</f>
        <v/>
      </c>
      <c r="U171" s="154"/>
      <c r="V171" s="520" t="str">
        <f>IF(U171="","",IF(VLOOKUP(U171,'G-3 Multipliers'!$L$3:$N$6,2,FALSE)=0,"Spatial Data Missing ⚠",VLOOKUP(U171,'G-3 Multipliers'!$L$3:$N$6,2,FALSE)))</f>
        <v/>
      </c>
      <c r="W171" s="524" t="str">
        <f>IF(U171="","",IF(VLOOKUP(U171,'G-3 Multipliers'!$L$3:$N$6,3,FALSE)=0,"Spatial Data Missing ⚠",VLOOKUP(U171,'G-3 Multipliers'!$L$3:$N$6,3,FALSE)))</f>
        <v/>
      </c>
      <c r="X171" s="498"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7" t="str">
        <f t="shared" si="19"/>
        <v/>
      </c>
      <c r="AB171" s="521" t="str">
        <f t="shared" si="20"/>
        <v/>
      </c>
      <c r="AC171" s="522" t="str">
        <f t="shared" si="16"/>
        <v/>
      </c>
      <c r="AD171" s="537" t="str">
        <f>IF(M171="","",VLOOKUP(M171,'G-6 Hedgerow Data'!$B$3:$AG$15,31,FALSE))</f>
        <v/>
      </c>
      <c r="AE171" s="507" t="str">
        <f t="shared" si="21"/>
        <v/>
      </c>
      <c r="AF171" s="507" t="str">
        <f t="shared" si="22"/>
        <v/>
      </c>
      <c r="AG171" s="524" t="str">
        <f>IFERROR(IF(O171="","",VLOOKUP(AD171,'G-3 Multipliers'!$P$3:$Q$6,2,FALSE)),"")</f>
        <v/>
      </c>
      <c r="AH171" s="513" t="str">
        <f t="shared" si="17"/>
        <v/>
      </c>
      <c r="AI171" s="231"/>
      <c r="AJ171" s="150"/>
      <c r="AT171" s="31" t="str">
        <f>IFERROR(INDEX('G-6 Hedgerow Data'!$BJ$3:$BJ$15,MATCH(M171,'G-6 Hedgerow Data'!$B$3:$B$15,0)),"")</f>
        <v/>
      </c>
    </row>
    <row r="172" spans="2:46" ht="13.8" x14ac:dyDescent="0.25">
      <c r="B172" s="531" t="str">
        <f>'B-1 Site Hedge Baseline'!AK170</f>
        <v/>
      </c>
      <c r="C172" s="520" t="str">
        <f>IF(B172="","",IF(ISNA(VLOOKUP($B172,'B-1 Site Hedge Baseline'!$B$1:$L$257,3,FALSE)),"",(VLOOKUP($B172,'B-1 Site Hedge Baseline'!$B$1:$L$257,3,FALSE))))</f>
        <v/>
      </c>
      <c r="D172" s="520" t="str">
        <f>IF(B172="","",IF(ISNA(VLOOKUP($B172,'B-1 Site Hedge Baseline'!$B$1:$L$257,4,FALSE)),"",(VLOOKUP($B172,'B-1 Site Hedge Baseline'!$B$1:$L$257,4,FALSE))))</f>
        <v/>
      </c>
      <c r="E172" s="520" t="str">
        <f>IF(B172="","",IF(ISNA(VLOOKUP($B172,'B-1 Site Hedge Baseline'!$B$1:$L$257,5,FALSE)),"",(VLOOKUP($B172,'B-1 Site Hedge Baseline'!$B$1:$L$257,5,FALSE))))</f>
        <v/>
      </c>
      <c r="F172" s="520" t="str">
        <f>IF(B172="","",IF(ISNA(VLOOKUP($B172,'B-1 Site Hedge Baseline'!$B$1:$L$257,6,FALSE)),"",(VLOOKUP($B172,'B-1 Site Hedge Baseline'!$B$1:$L$257,6,FALSE))))</f>
        <v/>
      </c>
      <c r="G172" s="520" t="str">
        <f>IF(B172="","",IF(ISNA(VLOOKUP($B172,'B-1 Site Hedge Baseline'!$B$1:$L$257,7,FALSE)),"",(VLOOKUP($B172,'B-1 Site Hedge Baseline'!$B$1:$L$257,7,FALSE))))</f>
        <v/>
      </c>
      <c r="H172" s="520" t="str">
        <f>IF(B172="","",IF(ISNA(VLOOKUP($B172,'B-1 Site Hedge Baseline'!$B$1:$L$257,8,FALSE)),"",(VLOOKUP($B172,'B-1 Site Hedge Baseline'!$B$1:$L$257,8,FALSE))))</f>
        <v/>
      </c>
      <c r="I172" s="520" t="str">
        <f>IF(B172="","",IF(ISNA(VLOOKUP($B172,'B-1 Site Hedge Baseline'!$B$1:$L$257,10,FALSE)),"",(VLOOKUP($B172,'B-1 Site Hedge Baseline'!$B$1:$L$257,10,FALSE))))</f>
        <v/>
      </c>
      <c r="J172" s="520" t="str">
        <f>IF(B172="","",IF(ISNA(VLOOKUP($B172,'B-1 Site Hedge Baseline'!$B$1:$L$257,11,FALSE)),"",(VLOOKUP($B172,'B-1 Site Hedge Baseline'!$B$1:$L$257,11,FALSE))))</f>
        <v/>
      </c>
      <c r="K172" s="520" t="str">
        <f>IF(B172="","",IF(ISNA(VLOOKUP($B172,'B-1 Site Hedge Baseline'!$B$1:$U$257,13,FALSE)),"",(VLOOKUP($B172,'B-1 Site Hedge Baseline'!$B$1:$U$257,13,FALSE))))</f>
        <v/>
      </c>
      <c r="L172" s="524" t="str">
        <f>IF(B172="","",IF(ISNA(VLOOKUP($B172,'B-1 Site Hedge Baseline'!$B$1:$U$257,12,FALSE)),"",(VLOOKUP($B172,'B-1 Site Hedge Baseline'!$B$1:$U$257,12,FALSE))))</f>
        <v/>
      </c>
      <c r="M172" s="416" t="str">
        <f t="shared" si="23"/>
        <v/>
      </c>
      <c r="N172" s="498" t="str">
        <f>IFERROR(IF(B172="","",INDEX('G-6 Hedgerow Data'!$AN$3:$AZ$15,MATCH(C172,'G-6 Hedgerow Data'!$AM$3:$AM$15,0),MATCH(M172,'G-6 Hedgerow Data'!$AN$2:$AZ$2,0))),"")</f>
        <v/>
      </c>
      <c r="O172" s="499" t="str">
        <f t="shared" si="18"/>
        <v/>
      </c>
      <c r="P172" s="559" t="str">
        <f>IF(B172="","",VLOOKUP(B172,'B-1 Site Hedge Baseline'!$B$10:T417,16,FALSE))</f>
        <v/>
      </c>
      <c r="Q172" s="498" t="str">
        <f>IF(M172="","",VLOOKUP(M172,'G-6 Hedgerow Data'!$B$2:$AG$15,2,FALSE))</f>
        <v/>
      </c>
      <c r="R172" s="499" t="str">
        <f>IF(M172="","",VLOOKUP(M172,'G-6 Hedgerow Data'!$B$2:$AG$15,3,FALSE))</f>
        <v/>
      </c>
      <c r="S172" s="157"/>
      <c r="T172" s="540" t="str">
        <f>IFERROR(VLOOKUP(S172,'G-1 All Habitats'!$Z$2:$AA$9,2,FALSE),"")</f>
        <v/>
      </c>
      <c r="U172" s="154"/>
      <c r="V172" s="520" t="str">
        <f>IF(U172="","",IF(VLOOKUP(U172,'G-3 Multipliers'!$L$3:$N$6,2,FALSE)=0,"Spatial Data Missing ⚠",VLOOKUP(U172,'G-3 Multipliers'!$L$3:$N$6,2,FALSE)))</f>
        <v/>
      </c>
      <c r="W172" s="524" t="str">
        <f>IF(U172="","",IF(VLOOKUP(U172,'G-3 Multipliers'!$L$3:$N$6,3,FALSE)=0,"Spatial Data Missing ⚠",VLOOKUP(U172,'G-3 Multipliers'!$L$3:$N$6,3,FALSE)))</f>
        <v/>
      </c>
      <c r="X172" s="498"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7" t="str">
        <f t="shared" si="19"/>
        <v/>
      </c>
      <c r="AB172" s="521" t="str">
        <f t="shared" si="20"/>
        <v/>
      </c>
      <c r="AC172" s="522" t="str">
        <f t="shared" si="16"/>
        <v/>
      </c>
      <c r="AD172" s="537" t="str">
        <f>IF(M172="","",VLOOKUP(M172,'G-6 Hedgerow Data'!$B$3:$AG$15,31,FALSE))</f>
        <v/>
      </c>
      <c r="AE172" s="507" t="str">
        <f t="shared" si="21"/>
        <v/>
      </c>
      <c r="AF172" s="507" t="str">
        <f t="shared" si="22"/>
        <v/>
      </c>
      <c r="AG172" s="524" t="str">
        <f>IFERROR(IF(O172="","",VLOOKUP(AD172,'G-3 Multipliers'!$P$3:$Q$6,2,FALSE)),"")</f>
        <v/>
      </c>
      <c r="AH172" s="513" t="str">
        <f t="shared" si="17"/>
        <v/>
      </c>
      <c r="AI172" s="231"/>
      <c r="AJ172" s="150"/>
      <c r="AT172" s="31" t="str">
        <f>IFERROR(INDEX('G-6 Hedgerow Data'!$BJ$3:$BJ$15,MATCH(M172,'G-6 Hedgerow Data'!$B$3:$B$15,0)),"")</f>
        <v/>
      </c>
    </row>
    <row r="173" spans="2:46" ht="13.8" x14ac:dyDescent="0.25">
      <c r="B173" s="531" t="str">
        <f>'B-1 Site Hedge Baseline'!AK171</f>
        <v/>
      </c>
      <c r="C173" s="520" t="str">
        <f>IF(B173="","",IF(ISNA(VLOOKUP($B173,'B-1 Site Hedge Baseline'!$B$1:$L$257,3,FALSE)),"",(VLOOKUP($B173,'B-1 Site Hedge Baseline'!$B$1:$L$257,3,FALSE))))</f>
        <v/>
      </c>
      <c r="D173" s="520" t="str">
        <f>IF(B173="","",IF(ISNA(VLOOKUP($B173,'B-1 Site Hedge Baseline'!$B$1:$L$257,4,FALSE)),"",(VLOOKUP($B173,'B-1 Site Hedge Baseline'!$B$1:$L$257,4,FALSE))))</f>
        <v/>
      </c>
      <c r="E173" s="520" t="str">
        <f>IF(B173="","",IF(ISNA(VLOOKUP($B173,'B-1 Site Hedge Baseline'!$B$1:$L$257,5,FALSE)),"",(VLOOKUP($B173,'B-1 Site Hedge Baseline'!$B$1:$L$257,5,FALSE))))</f>
        <v/>
      </c>
      <c r="F173" s="520" t="str">
        <f>IF(B173="","",IF(ISNA(VLOOKUP($B173,'B-1 Site Hedge Baseline'!$B$1:$L$257,6,FALSE)),"",(VLOOKUP($B173,'B-1 Site Hedge Baseline'!$B$1:$L$257,6,FALSE))))</f>
        <v/>
      </c>
      <c r="G173" s="520" t="str">
        <f>IF(B173="","",IF(ISNA(VLOOKUP($B173,'B-1 Site Hedge Baseline'!$B$1:$L$257,7,FALSE)),"",(VLOOKUP($B173,'B-1 Site Hedge Baseline'!$B$1:$L$257,7,FALSE))))</f>
        <v/>
      </c>
      <c r="H173" s="520" t="str">
        <f>IF(B173="","",IF(ISNA(VLOOKUP($B173,'B-1 Site Hedge Baseline'!$B$1:$L$257,8,FALSE)),"",(VLOOKUP($B173,'B-1 Site Hedge Baseline'!$B$1:$L$257,8,FALSE))))</f>
        <v/>
      </c>
      <c r="I173" s="520" t="str">
        <f>IF(B173="","",IF(ISNA(VLOOKUP($B173,'B-1 Site Hedge Baseline'!$B$1:$L$257,10,FALSE)),"",(VLOOKUP($B173,'B-1 Site Hedge Baseline'!$B$1:$L$257,10,FALSE))))</f>
        <v/>
      </c>
      <c r="J173" s="520" t="str">
        <f>IF(B173="","",IF(ISNA(VLOOKUP($B173,'B-1 Site Hedge Baseline'!$B$1:$L$257,11,FALSE)),"",(VLOOKUP($B173,'B-1 Site Hedge Baseline'!$B$1:$L$257,11,FALSE))))</f>
        <v/>
      </c>
      <c r="K173" s="520" t="str">
        <f>IF(B173="","",IF(ISNA(VLOOKUP($B173,'B-1 Site Hedge Baseline'!$B$1:$U$257,13,FALSE)),"",(VLOOKUP($B173,'B-1 Site Hedge Baseline'!$B$1:$U$257,13,FALSE))))</f>
        <v/>
      </c>
      <c r="L173" s="524" t="str">
        <f>IF(B173="","",IF(ISNA(VLOOKUP($B173,'B-1 Site Hedge Baseline'!$B$1:$U$257,12,FALSE)),"",(VLOOKUP($B173,'B-1 Site Hedge Baseline'!$B$1:$U$257,12,FALSE))))</f>
        <v/>
      </c>
      <c r="M173" s="416" t="str">
        <f t="shared" si="23"/>
        <v/>
      </c>
      <c r="N173" s="498" t="str">
        <f>IFERROR(IF(B173="","",INDEX('G-6 Hedgerow Data'!$AN$3:$AZ$15,MATCH(C173,'G-6 Hedgerow Data'!$AM$3:$AM$15,0),MATCH(M173,'G-6 Hedgerow Data'!$AN$2:$AZ$2,0))),"")</f>
        <v/>
      </c>
      <c r="O173" s="499" t="str">
        <f t="shared" si="18"/>
        <v/>
      </c>
      <c r="P173" s="559" t="str">
        <f>IF(B173="","",VLOOKUP(B173,'B-1 Site Hedge Baseline'!$B$10:T418,16,FALSE))</f>
        <v/>
      </c>
      <c r="Q173" s="498" t="str">
        <f>IF(M173="","",VLOOKUP(M173,'G-6 Hedgerow Data'!$B$2:$AG$15,2,FALSE))</f>
        <v/>
      </c>
      <c r="R173" s="499" t="str">
        <f>IF(M173="","",VLOOKUP(M173,'G-6 Hedgerow Data'!$B$2:$AG$15,3,FALSE))</f>
        <v/>
      </c>
      <c r="S173" s="157"/>
      <c r="T173" s="540" t="str">
        <f>IFERROR(VLOOKUP(S173,'G-1 All Habitats'!$Z$2:$AA$9,2,FALSE),"")</f>
        <v/>
      </c>
      <c r="U173" s="154"/>
      <c r="V173" s="520" t="str">
        <f>IF(U173="","",IF(VLOOKUP(U173,'G-3 Multipliers'!$L$3:$N$6,2,FALSE)=0,"Spatial Data Missing ⚠",VLOOKUP(U173,'G-3 Multipliers'!$L$3:$N$6,2,FALSE)))</f>
        <v/>
      </c>
      <c r="W173" s="524" t="str">
        <f>IF(U173="","",IF(VLOOKUP(U173,'G-3 Multipliers'!$L$3:$N$6,3,FALSE)=0,"Spatial Data Missing ⚠",VLOOKUP(U173,'G-3 Multipliers'!$L$3:$N$6,3,FALSE)))</f>
        <v/>
      </c>
      <c r="X173" s="498"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7" t="str">
        <f t="shared" si="19"/>
        <v/>
      </c>
      <c r="AB173" s="521" t="str">
        <f t="shared" si="20"/>
        <v/>
      </c>
      <c r="AC173" s="522" t="str">
        <f t="shared" si="16"/>
        <v/>
      </c>
      <c r="AD173" s="537" t="str">
        <f>IF(M173="","",VLOOKUP(M173,'G-6 Hedgerow Data'!$B$3:$AG$15,31,FALSE))</f>
        <v/>
      </c>
      <c r="AE173" s="507" t="str">
        <f t="shared" si="21"/>
        <v/>
      </c>
      <c r="AF173" s="507" t="str">
        <f t="shared" si="22"/>
        <v/>
      </c>
      <c r="AG173" s="524" t="str">
        <f>IFERROR(IF(O173="","",VLOOKUP(AD173,'G-3 Multipliers'!$P$3:$Q$6,2,FALSE)),"")</f>
        <v/>
      </c>
      <c r="AH173" s="513" t="str">
        <f t="shared" si="17"/>
        <v/>
      </c>
      <c r="AI173" s="231"/>
      <c r="AJ173" s="150"/>
      <c r="AT173" s="31" t="str">
        <f>IFERROR(INDEX('G-6 Hedgerow Data'!$BJ$3:$BJ$15,MATCH(M173,'G-6 Hedgerow Data'!$B$3:$B$15,0)),"")</f>
        <v/>
      </c>
    </row>
    <row r="174" spans="2:46" ht="13.8" x14ac:dyDescent="0.25">
      <c r="B174" s="531" t="str">
        <f>'B-1 Site Hedge Baseline'!AK172</f>
        <v/>
      </c>
      <c r="C174" s="520" t="str">
        <f>IF(B174="","",IF(ISNA(VLOOKUP($B174,'B-1 Site Hedge Baseline'!$B$1:$L$257,3,FALSE)),"",(VLOOKUP($B174,'B-1 Site Hedge Baseline'!$B$1:$L$257,3,FALSE))))</f>
        <v/>
      </c>
      <c r="D174" s="520" t="str">
        <f>IF(B174="","",IF(ISNA(VLOOKUP($B174,'B-1 Site Hedge Baseline'!$B$1:$L$257,4,FALSE)),"",(VLOOKUP($B174,'B-1 Site Hedge Baseline'!$B$1:$L$257,4,FALSE))))</f>
        <v/>
      </c>
      <c r="E174" s="520" t="str">
        <f>IF(B174="","",IF(ISNA(VLOOKUP($B174,'B-1 Site Hedge Baseline'!$B$1:$L$257,5,FALSE)),"",(VLOOKUP($B174,'B-1 Site Hedge Baseline'!$B$1:$L$257,5,FALSE))))</f>
        <v/>
      </c>
      <c r="F174" s="520" t="str">
        <f>IF(B174="","",IF(ISNA(VLOOKUP($B174,'B-1 Site Hedge Baseline'!$B$1:$L$257,6,FALSE)),"",(VLOOKUP($B174,'B-1 Site Hedge Baseline'!$B$1:$L$257,6,FALSE))))</f>
        <v/>
      </c>
      <c r="G174" s="520" t="str">
        <f>IF(B174="","",IF(ISNA(VLOOKUP($B174,'B-1 Site Hedge Baseline'!$B$1:$L$257,7,FALSE)),"",(VLOOKUP($B174,'B-1 Site Hedge Baseline'!$B$1:$L$257,7,FALSE))))</f>
        <v/>
      </c>
      <c r="H174" s="520" t="str">
        <f>IF(B174="","",IF(ISNA(VLOOKUP($B174,'B-1 Site Hedge Baseline'!$B$1:$L$257,8,FALSE)),"",(VLOOKUP($B174,'B-1 Site Hedge Baseline'!$B$1:$L$257,8,FALSE))))</f>
        <v/>
      </c>
      <c r="I174" s="520" t="str">
        <f>IF(B174="","",IF(ISNA(VLOOKUP($B174,'B-1 Site Hedge Baseline'!$B$1:$L$257,10,FALSE)),"",(VLOOKUP($B174,'B-1 Site Hedge Baseline'!$B$1:$L$257,10,FALSE))))</f>
        <v/>
      </c>
      <c r="J174" s="520" t="str">
        <f>IF(B174="","",IF(ISNA(VLOOKUP($B174,'B-1 Site Hedge Baseline'!$B$1:$L$257,11,FALSE)),"",(VLOOKUP($B174,'B-1 Site Hedge Baseline'!$B$1:$L$257,11,FALSE))))</f>
        <v/>
      </c>
      <c r="K174" s="520" t="str">
        <f>IF(B174="","",IF(ISNA(VLOOKUP($B174,'B-1 Site Hedge Baseline'!$B$1:$U$257,13,FALSE)),"",(VLOOKUP($B174,'B-1 Site Hedge Baseline'!$B$1:$U$257,13,FALSE))))</f>
        <v/>
      </c>
      <c r="L174" s="524" t="str">
        <f>IF(B174="","",IF(ISNA(VLOOKUP($B174,'B-1 Site Hedge Baseline'!$B$1:$U$257,12,FALSE)),"",(VLOOKUP($B174,'B-1 Site Hedge Baseline'!$B$1:$U$257,12,FALSE))))</f>
        <v/>
      </c>
      <c r="M174" s="416" t="str">
        <f t="shared" si="23"/>
        <v/>
      </c>
      <c r="N174" s="498" t="str">
        <f>IFERROR(IF(B174="","",INDEX('G-6 Hedgerow Data'!$AN$3:$AZ$15,MATCH(C174,'G-6 Hedgerow Data'!$AM$3:$AM$15,0),MATCH(M174,'G-6 Hedgerow Data'!$AN$2:$AZ$2,0))),"")</f>
        <v/>
      </c>
      <c r="O174" s="499" t="str">
        <f t="shared" si="18"/>
        <v/>
      </c>
      <c r="P174" s="559" t="str">
        <f>IF(B174="","",VLOOKUP(B174,'B-1 Site Hedge Baseline'!$B$10:T419,16,FALSE))</f>
        <v/>
      </c>
      <c r="Q174" s="498" t="str">
        <f>IF(M174="","",VLOOKUP(M174,'G-6 Hedgerow Data'!$B$2:$AG$15,2,FALSE))</f>
        <v/>
      </c>
      <c r="R174" s="499" t="str">
        <f>IF(M174="","",VLOOKUP(M174,'G-6 Hedgerow Data'!$B$2:$AG$15,3,FALSE))</f>
        <v/>
      </c>
      <c r="S174" s="157"/>
      <c r="T174" s="540" t="str">
        <f>IFERROR(VLOOKUP(S174,'G-1 All Habitats'!$Z$2:$AA$9,2,FALSE),"")</f>
        <v/>
      </c>
      <c r="U174" s="154"/>
      <c r="V174" s="520" t="str">
        <f>IF(U174="","",IF(VLOOKUP(U174,'G-3 Multipliers'!$L$3:$N$6,2,FALSE)=0,"Spatial Data Missing ⚠",VLOOKUP(U174,'G-3 Multipliers'!$L$3:$N$6,2,FALSE)))</f>
        <v/>
      </c>
      <c r="W174" s="524" t="str">
        <f>IF(U174="","",IF(VLOOKUP(U174,'G-3 Multipliers'!$L$3:$N$6,3,FALSE)=0,"Spatial Data Missing ⚠",VLOOKUP(U174,'G-3 Multipliers'!$L$3:$N$6,3,FALSE)))</f>
        <v/>
      </c>
      <c r="X174" s="498"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7" t="str">
        <f t="shared" si="19"/>
        <v/>
      </c>
      <c r="AB174" s="521" t="str">
        <f t="shared" si="20"/>
        <v/>
      </c>
      <c r="AC174" s="522" t="str">
        <f t="shared" si="16"/>
        <v/>
      </c>
      <c r="AD174" s="537" t="str">
        <f>IF(M174="","",VLOOKUP(M174,'G-6 Hedgerow Data'!$B$3:$AG$15,31,FALSE))</f>
        <v/>
      </c>
      <c r="AE174" s="507" t="str">
        <f t="shared" si="21"/>
        <v/>
      </c>
      <c r="AF174" s="507" t="str">
        <f t="shared" si="22"/>
        <v/>
      </c>
      <c r="AG174" s="524" t="str">
        <f>IFERROR(IF(O174="","",VLOOKUP(AD174,'G-3 Multipliers'!$P$3:$Q$6,2,FALSE)),"")</f>
        <v/>
      </c>
      <c r="AH174" s="513" t="str">
        <f t="shared" si="17"/>
        <v/>
      </c>
      <c r="AI174" s="231"/>
      <c r="AJ174" s="150"/>
      <c r="AT174" s="31" t="str">
        <f>IFERROR(INDEX('G-6 Hedgerow Data'!$BJ$3:$BJ$15,MATCH(M174,'G-6 Hedgerow Data'!$B$3:$B$15,0)),"")</f>
        <v/>
      </c>
    </row>
    <row r="175" spans="2:46" ht="13.8" x14ac:dyDescent="0.25">
      <c r="B175" s="531" t="str">
        <f>'B-1 Site Hedge Baseline'!AK173</f>
        <v/>
      </c>
      <c r="C175" s="520" t="str">
        <f>IF(B175="","",IF(ISNA(VLOOKUP($B175,'B-1 Site Hedge Baseline'!$B$1:$L$257,3,FALSE)),"",(VLOOKUP($B175,'B-1 Site Hedge Baseline'!$B$1:$L$257,3,FALSE))))</f>
        <v/>
      </c>
      <c r="D175" s="520" t="str">
        <f>IF(B175="","",IF(ISNA(VLOOKUP($B175,'B-1 Site Hedge Baseline'!$B$1:$L$257,4,FALSE)),"",(VLOOKUP($B175,'B-1 Site Hedge Baseline'!$B$1:$L$257,4,FALSE))))</f>
        <v/>
      </c>
      <c r="E175" s="520" t="str">
        <f>IF(B175="","",IF(ISNA(VLOOKUP($B175,'B-1 Site Hedge Baseline'!$B$1:$L$257,5,FALSE)),"",(VLOOKUP($B175,'B-1 Site Hedge Baseline'!$B$1:$L$257,5,FALSE))))</f>
        <v/>
      </c>
      <c r="F175" s="520" t="str">
        <f>IF(B175="","",IF(ISNA(VLOOKUP($B175,'B-1 Site Hedge Baseline'!$B$1:$L$257,6,FALSE)),"",(VLOOKUP($B175,'B-1 Site Hedge Baseline'!$B$1:$L$257,6,FALSE))))</f>
        <v/>
      </c>
      <c r="G175" s="520" t="str">
        <f>IF(B175="","",IF(ISNA(VLOOKUP($B175,'B-1 Site Hedge Baseline'!$B$1:$L$257,7,FALSE)),"",(VLOOKUP($B175,'B-1 Site Hedge Baseline'!$B$1:$L$257,7,FALSE))))</f>
        <v/>
      </c>
      <c r="H175" s="520" t="str">
        <f>IF(B175="","",IF(ISNA(VLOOKUP($B175,'B-1 Site Hedge Baseline'!$B$1:$L$257,8,FALSE)),"",(VLOOKUP($B175,'B-1 Site Hedge Baseline'!$B$1:$L$257,8,FALSE))))</f>
        <v/>
      </c>
      <c r="I175" s="520" t="str">
        <f>IF(B175="","",IF(ISNA(VLOOKUP($B175,'B-1 Site Hedge Baseline'!$B$1:$L$257,10,FALSE)),"",(VLOOKUP($B175,'B-1 Site Hedge Baseline'!$B$1:$L$257,10,FALSE))))</f>
        <v/>
      </c>
      <c r="J175" s="520" t="str">
        <f>IF(B175="","",IF(ISNA(VLOOKUP($B175,'B-1 Site Hedge Baseline'!$B$1:$L$257,11,FALSE)),"",(VLOOKUP($B175,'B-1 Site Hedge Baseline'!$B$1:$L$257,11,FALSE))))</f>
        <v/>
      </c>
      <c r="K175" s="520" t="str">
        <f>IF(B175="","",IF(ISNA(VLOOKUP($B175,'B-1 Site Hedge Baseline'!$B$1:$U$257,13,FALSE)),"",(VLOOKUP($B175,'B-1 Site Hedge Baseline'!$B$1:$U$257,13,FALSE))))</f>
        <v/>
      </c>
      <c r="L175" s="524" t="str">
        <f>IF(B175="","",IF(ISNA(VLOOKUP($B175,'B-1 Site Hedge Baseline'!$B$1:$U$257,12,FALSE)),"",(VLOOKUP($B175,'B-1 Site Hedge Baseline'!$B$1:$U$257,12,FALSE))))</f>
        <v/>
      </c>
      <c r="M175" s="416" t="str">
        <f t="shared" si="23"/>
        <v/>
      </c>
      <c r="N175" s="498" t="str">
        <f>IFERROR(IF(B175="","",INDEX('G-6 Hedgerow Data'!$AN$3:$AZ$15,MATCH(C175,'G-6 Hedgerow Data'!$AM$3:$AM$15,0),MATCH(M175,'G-6 Hedgerow Data'!$AN$2:$AZ$2,0))),"")</f>
        <v/>
      </c>
      <c r="O175" s="499" t="str">
        <f t="shared" si="18"/>
        <v/>
      </c>
      <c r="P175" s="559" t="str">
        <f>IF(B175="","",VLOOKUP(B175,'B-1 Site Hedge Baseline'!$B$10:T420,16,FALSE))</f>
        <v/>
      </c>
      <c r="Q175" s="498" t="str">
        <f>IF(M175="","",VLOOKUP(M175,'G-6 Hedgerow Data'!$B$2:$AG$15,2,FALSE))</f>
        <v/>
      </c>
      <c r="R175" s="499" t="str">
        <f>IF(M175="","",VLOOKUP(M175,'G-6 Hedgerow Data'!$B$2:$AG$15,3,FALSE))</f>
        <v/>
      </c>
      <c r="S175" s="157"/>
      <c r="T175" s="540" t="str">
        <f>IFERROR(VLOOKUP(S175,'G-1 All Habitats'!$Z$2:$AA$9,2,FALSE),"")</f>
        <v/>
      </c>
      <c r="U175" s="154"/>
      <c r="V175" s="520" t="str">
        <f>IF(U175="","",IF(VLOOKUP(U175,'G-3 Multipliers'!$L$3:$N$6,2,FALSE)=0,"Spatial Data Missing ⚠",VLOOKUP(U175,'G-3 Multipliers'!$L$3:$N$6,2,FALSE)))</f>
        <v/>
      </c>
      <c r="W175" s="524" t="str">
        <f>IF(U175="","",IF(VLOOKUP(U175,'G-3 Multipliers'!$L$3:$N$6,3,FALSE)=0,"Spatial Data Missing ⚠",VLOOKUP(U175,'G-3 Multipliers'!$L$3:$N$6,3,FALSE)))</f>
        <v/>
      </c>
      <c r="X175" s="498"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7" t="str">
        <f t="shared" si="19"/>
        <v/>
      </c>
      <c r="AB175" s="521" t="str">
        <f t="shared" si="20"/>
        <v/>
      </c>
      <c r="AC175" s="522" t="str">
        <f t="shared" si="16"/>
        <v/>
      </c>
      <c r="AD175" s="537" t="str">
        <f>IF(M175="","",VLOOKUP(M175,'G-6 Hedgerow Data'!$B$3:$AG$15,31,FALSE))</f>
        <v/>
      </c>
      <c r="AE175" s="507" t="str">
        <f t="shared" si="21"/>
        <v/>
      </c>
      <c r="AF175" s="507" t="str">
        <f t="shared" si="22"/>
        <v/>
      </c>
      <c r="AG175" s="524" t="str">
        <f>IFERROR(IF(O175="","",VLOOKUP(AD175,'G-3 Multipliers'!$P$3:$Q$6,2,FALSE)),"")</f>
        <v/>
      </c>
      <c r="AH175" s="513" t="str">
        <f t="shared" si="17"/>
        <v/>
      </c>
      <c r="AI175" s="231"/>
      <c r="AJ175" s="150"/>
      <c r="AT175" s="31" t="str">
        <f>IFERROR(INDEX('G-6 Hedgerow Data'!$BJ$3:$BJ$15,MATCH(M175,'G-6 Hedgerow Data'!$B$3:$B$15,0)),"")</f>
        <v/>
      </c>
    </row>
    <row r="176" spans="2:46" ht="13.8" x14ac:dyDescent="0.25">
      <c r="B176" s="531" t="str">
        <f>'B-1 Site Hedge Baseline'!AK174</f>
        <v/>
      </c>
      <c r="C176" s="520" t="str">
        <f>IF(B176="","",IF(ISNA(VLOOKUP($B176,'B-1 Site Hedge Baseline'!$B$1:$L$257,3,FALSE)),"",(VLOOKUP($B176,'B-1 Site Hedge Baseline'!$B$1:$L$257,3,FALSE))))</f>
        <v/>
      </c>
      <c r="D176" s="520" t="str">
        <f>IF(B176="","",IF(ISNA(VLOOKUP($B176,'B-1 Site Hedge Baseline'!$B$1:$L$257,4,FALSE)),"",(VLOOKUP($B176,'B-1 Site Hedge Baseline'!$B$1:$L$257,4,FALSE))))</f>
        <v/>
      </c>
      <c r="E176" s="520" t="str">
        <f>IF(B176="","",IF(ISNA(VLOOKUP($B176,'B-1 Site Hedge Baseline'!$B$1:$L$257,5,FALSE)),"",(VLOOKUP($B176,'B-1 Site Hedge Baseline'!$B$1:$L$257,5,FALSE))))</f>
        <v/>
      </c>
      <c r="F176" s="520" t="str">
        <f>IF(B176="","",IF(ISNA(VLOOKUP($B176,'B-1 Site Hedge Baseline'!$B$1:$L$257,6,FALSE)),"",(VLOOKUP($B176,'B-1 Site Hedge Baseline'!$B$1:$L$257,6,FALSE))))</f>
        <v/>
      </c>
      <c r="G176" s="520" t="str">
        <f>IF(B176="","",IF(ISNA(VLOOKUP($B176,'B-1 Site Hedge Baseline'!$B$1:$L$257,7,FALSE)),"",(VLOOKUP($B176,'B-1 Site Hedge Baseline'!$B$1:$L$257,7,FALSE))))</f>
        <v/>
      </c>
      <c r="H176" s="520" t="str">
        <f>IF(B176="","",IF(ISNA(VLOOKUP($B176,'B-1 Site Hedge Baseline'!$B$1:$L$257,8,FALSE)),"",(VLOOKUP($B176,'B-1 Site Hedge Baseline'!$B$1:$L$257,8,FALSE))))</f>
        <v/>
      </c>
      <c r="I176" s="520" t="str">
        <f>IF(B176="","",IF(ISNA(VLOOKUP($B176,'B-1 Site Hedge Baseline'!$B$1:$L$257,10,FALSE)),"",(VLOOKUP($B176,'B-1 Site Hedge Baseline'!$B$1:$L$257,10,FALSE))))</f>
        <v/>
      </c>
      <c r="J176" s="520" t="str">
        <f>IF(B176="","",IF(ISNA(VLOOKUP($B176,'B-1 Site Hedge Baseline'!$B$1:$L$257,11,FALSE)),"",(VLOOKUP($B176,'B-1 Site Hedge Baseline'!$B$1:$L$257,11,FALSE))))</f>
        <v/>
      </c>
      <c r="K176" s="520" t="str">
        <f>IF(B176="","",IF(ISNA(VLOOKUP($B176,'B-1 Site Hedge Baseline'!$B$1:$U$257,13,FALSE)),"",(VLOOKUP($B176,'B-1 Site Hedge Baseline'!$B$1:$U$257,13,FALSE))))</f>
        <v/>
      </c>
      <c r="L176" s="524" t="str">
        <f>IF(B176="","",IF(ISNA(VLOOKUP($B176,'B-1 Site Hedge Baseline'!$B$1:$U$257,12,FALSE)),"",(VLOOKUP($B176,'B-1 Site Hedge Baseline'!$B$1:$U$257,12,FALSE))))</f>
        <v/>
      </c>
      <c r="M176" s="416" t="str">
        <f t="shared" si="23"/>
        <v/>
      </c>
      <c r="N176" s="498" t="str">
        <f>IFERROR(IF(B176="","",INDEX('G-6 Hedgerow Data'!$AN$3:$AZ$15,MATCH(C176,'G-6 Hedgerow Data'!$AM$3:$AM$15,0),MATCH(M176,'G-6 Hedgerow Data'!$AN$2:$AZ$2,0))),"")</f>
        <v/>
      </c>
      <c r="O176" s="499" t="str">
        <f t="shared" si="18"/>
        <v/>
      </c>
      <c r="P176" s="559" t="str">
        <f>IF(B176="","",VLOOKUP(B176,'B-1 Site Hedge Baseline'!$B$10:T421,16,FALSE))</f>
        <v/>
      </c>
      <c r="Q176" s="498" t="str">
        <f>IF(M176="","",VLOOKUP(M176,'G-6 Hedgerow Data'!$B$2:$AG$15,2,FALSE))</f>
        <v/>
      </c>
      <c r="R176" s="499" t="str">
        <f>IF(M176="","",VLOOKUP(M176,'G-6 Hedgerow Data'!$B$2:$AG$15,3,FALSE))</f>
        <v/>
      </c>
      <c r="S176" s="157"/>
      <c r="T176" s="540" t="str">
        <f>IFERROR(VLOOKUP(S176,'G-1 All Habitats'!$Z$2:$AA$9,2,FALSE),"")</f>
        <v/>
      </c>
      <c r="U176" s="154"/>
      <c r="V176" s="520" t="str">
        <f>IF(U176="","",IF(VLOOKUP(U176,'G-3 Multipliers'!$L$3:$N$6,2,FALSE)=0,"Spatial Data Missing ⚠",VLOOKUP(U176,'G-3 Multipliers'!$L$3:$N$6,2,FALSE)))</f>
        <v/>
      </c>
      <c r="W176" s="524" t="str">
        <f>IF(U176="","",IF(VLOOKUP(U176,'G-3 Multipliers'!$L$3:$N$6,3,FALSE)=0,"Spatial Data Missing ⚠",VLOOKUP(U176,'G-3 Multipliers'!$L$3:$N$6,3,FALSE)))</f>
        <v/>
      </c>
      <c r="X176" s="498"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7" t="str">
        <f t="shared" si="19"/>
        <v/>
      </c>
      <c r="AB176" s="521" t="str">
        <f t="shared" si="20"/>
        <v/>
      </c>
      <c r="AC176" s="522" t="str">
        <f t="shared" si="16"/>
        <v/>
      </c>
      <c r="AD176" s="537" t="str">
        <f>IF(M176="","",VLOOKUP(M176,'G-6 Hedgerow Data'!$B$3:$AG$15,31,FALSE))</f>
        <v/>
      </c>
      <c r="AE176" s="507" t="str">
        <f t="shared" si="21"/>
        <v/>
      </c>
      <c r="AF176" s="507" t="str">
        <f t="shared" si="22"/>
        <v/>
      </c>
      <c r="AG176" s="524" t="str">
        <f>IFERROR(IF(O176="","",VLOOKUP(AD176,'G-3 Multipliers'!$P$3:$Q$6,2,FALSE)),"")</f>
        <v/>
      </c>
      <c r="AH176" s="513" t="str">
        <f t="shared" si="17"/>
        <v/>
      </c>
      <c r="AI176" s="231"/>
      <c r="AJ176" s="150"/>
      <c r="AT176" s="31" t="str">
        <f>IFERROR(INDEX('G-6 Hedgerow Data'!$BJ$3:$BJ$15,MATCH(M176,'G-6 Hedgerow Data'!$B$3:$B$15,0)),"")</f>
        <v/>
      </c>
    </row>
    <row r="177" spans="2:46" ht="13.8" x14ac:dyDescent="0.25">
      <c r="B177" s="531" t="str">
        <f>'B-1 Site Hedge Baseline'!AK175</f>
        <v/>
      </c>
      <c r="C177" s="520" t="str">
        <f>IF(B177="","",IF(ISNA(VLOOKUP($B177,'B-1 Site Hedge Baseline'!$B$1:$L$257,3,FALSE)),"",(VLOOKUP($B177,'B-1 Site Hedge Baseline'!$B$1:$L$257,3,FALSE))))</f>
        <v/>
      </c>
      <c r="D177" s="520" t="str">
        <f>IF(B177="","",IF(ISNA(VLOOKUP($B177,'B-1 Site Hedge Baseline'!$B$1:$L$257,4,FALSE)),"",(VLOOKUP($B177,'B-1 Site Hedge Baseline'!$B$1:$L$257,4,FALSE))))</f>
        <v/>
      </c>
      <c r="E177" s="520" t="str">
        <f>IF(B177="","",IF(ISNA(VLOOKUP($B177,'B-1 Site Hedge Baseline'!$B$1:$L$257,5,FALSE)),"",(VLOOKUP($B177,'B-1 Site Hedge Baseline'!$B$1:$L$257,5,FALSE))))</f>
        <v/>
      </c>
      <c r="F177" s="520" t="str">
        <f>IF(B177="","",IF(ISNA(VLOOKUP($B177,'B-1 Site Hedge Baseline'!$B$1:$L$257,6,FALSE)),"",(VLOOKUP($B177,'B-1 Site Hedge Baseline'!$B$1:$L$257,6,FALSE))))</f>
        <v/>
      </c>
      <c r="G177" s="520" t="str">
        <f>IF(B177="","",IF(ISNA(VLOOKUP($B177,'B-1 Site Hedge Baseline'!$B$1:$L$257,7,FALSE)),"",(VLOOKUP($B177,'B-1 Site Hedge Baseline'!$B$1:$L$257,7,FALSE))))</f>
        <v/>
      </c>
      <c r="H177" s="520" t="str">
        <f>IF(B177="","",IF(ISNA(VLOOKUP($B177,'B-1 Site Hedge Baseline'!$B$1:$L$257,8,FALSE)),"",(VLOOKUP($B177,'B-1 Site Hedge Baseline'!$B$1:$L$257,8,FALSE))))</f>
        <v/>
      </c>
      <c r="I177" s="520" t="str">
        <f>IF(B177="","",IF(ISNA(VLOOKUP($B177,'B-1 Site Hedge Baseline'!$B$1:$L$257,10,FALSE)),"",(VLOOKUP($B177,'B-1 Site Hedge Baseline'!$B$1:$L$257,10,FALSE))))</f>
        <v/>
      </c>
      <c r="J177" s="520" t="str">
        <f>IF(B177="","",IF(ISNA(VLOOKUP($B177,'B-1 Site Hedge Baseline'!$B$1:$L$257,11,FALSE)),"",(VLOOKUP($B177,'B-1 Site Hedge Baseline'!$B$1:$L$257,11,FALSE))))</f>
        <v/>
      </c>
      <c r="K177" s="520" t="str">
        <f>IF(B177="","",IF(ISNA(VLOOKUP($B177,'B-1 Site Hedge Baseline'!$B$1:$U$257,13,FALSE)),"",(VLOOKUP($B177,'B-1 Site Hedge Baseline'!$B$1:$U$257,13,FALSE))))</f>
        <v/>
      </c>
      <c r="L177" s="524" t="str">
        <f>IF(B177="","",IF(ISNA(VLOOKUP($B177,'B-1 Site Hedge Baseline'!$B$1:$U$257,12,FALSE)),"",(VLOOKUP($B177,'B-1 Site Hedge Baseline'!$B$1:$U$257,12,FALSE))))</f>
        <v/>
      </c>
      <c r="M177" s="416" t="str">
        <f t="shared" si="23"/>
        <v/>
      </c>
      <c r="N177" s="498" t="str">
        <f>IFERROR(IF(B177="","",INDEX('G-6 Hedgerow Data'!$AN$3:$AZ$15,MATCH(C177,'G-6 Hedgerow Data'!$AM$3:$AM$15,0),MATCH(M177,'G-6 Hedgerow Data'!$AN$2:$AZ$2,0))),"")</f>
        <v/>
      </c>
      <c r="O177" s="499" t="str">
        <f t="shared" si="18"/>
        <v/>
      </c>
      <c r="P177" s="559" t="str">
        <f>IF(B177="","",VLOOKUP(B177,'B-1 Site Hedge Baseline'!$B$10:T422,16,FALSE))</f>
        <v/>
      </c>
      <c r="Q177" s="498" t="str">
        <f>IF(M177="","",VLOOKUP(M177,'G-6 Hedgerow Data'!$B$2:$AG$15,2,FALSE))</f>
        <v/>
      </c>
      <c r="R177" s="499" t="str">
        <f>IF(M177="","",VLOOKUP(M177,'G-6 Hedgerow Data'!$B$2:$AG$15,3,FALSE))</f>
        <v/>
      </c>
      <c r="S177" s="157"/>
      <c r="T177" s="540" t="str">
        <f>IFERROR(VLOOKUP(S177,'G-1 All Habitats'!$Z$2:$AA$9,2,FALSE),"")</f>
        <v/>
      </c>
      <c r="U177" s="154"/>
      <c r="V177" s="520" t="str">
        <f>IF(U177="","",IF(VLOOKUP(U177,'G-3 Multipliers'!$L$3:$N$6,2,FALSE)=0,"Spatial Data Missing ⚠",VLOOKUP(U177,'G-3 Multipliers'!$L$3:$N$6,2,FALSE)))</f>
        <v/>
      </c>
      <c r="W177" s="524" t="str">
        <f>IF(U177="","",IF(VLOOKUP(U177,'G-3 Multipliers'!$L$3:$N$6,3,FALSE)=0,"Spatial Data Missing ⚠",VLOOKUP(U177,'G-3 Multipliers'!$L$3:$N$6,3,FALSE)))</f>
        <v/>
      </c>
      <c r="X177" s="498"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7" t="str">
        <f t="shared" si="19"/>
        <v/>
      </c>
      <c r="AB177" s="521" t="str">
        <f t="shared" si="20"/>
        <v/>
      </c>
      <c r="AC177" s="522" t="str">
        <f t="shared" si="16"/>
        <v/>
      </c>
      <c r="AD177" s="537" t="str">
        <f>IF(M177="","",VLOOKUP(M177,'G-6 Hedgerow Data'!$B$3:$AG$15,31,FALSE))</f>
        <v/>
      </c>
      <c r="AE177" s="507" t="str">
        <f t="shared" si="21"/>
        <v/>
      </c>
      <c r="AF177" s="507" t="str">
        <f t="shared" si="22"/>
        <v/>
      </c>
      <c r="AG177" s="524" t="str">
        <f>IFERROR(IF(O177="","",VLOOKUP(AD177,'G-3 Multipliers'!$P$3:$Q$6,2,FALSE)),"")</f>
        <v/>
      </c>
      <c r="AH177" s="513" t="str">
        <f t="shared" si="17"/>
        <v/>
      </c>
      <c r="AI177" s="231"/>
      <c r="AJ177" s="150"/>
      <c r="AT177" s="31" t="str">
        <f>IFERROR(INDEX('G-6 Hedgerow Data'!$BJ$3:$BJ$15,MATCH(M177,'G-6 Hedgerow Data'!$B$3:$B$15,0)),"")</f>
        <v/>
      </c>
    </row>
    <row r="178" spans="2:46" ht="13.8" x14ac:dyDescent="0.25">
      <c r="B178" s="531" t="str">
        <f>'B-1 Site Hedge Baseline'!AK176</f>
        <v/>
      </c>
      <c r="C178" s="520" t="str">
        <f>IF(B178="","",IF(ISNA(VLOOKUP($B178,'B-1 Site Hedge Baseline'!$B$1:$L$257,3,FALSE)),"",(VLOOKUP($B178,'B-1 Site Hedge Baseline'!$B$1:$L$257,3,FALSE))))</f>
        <v/>
      </c>
      <c r="D178" s="520" t="str">
        <f>IF(B178="","",IF(ISNA(VLOOKUP($B178,'B-1 Site Hedge Baseline'!$B$1:$L$257,4,FALSE)),"",(VLOOKUP($B178,'B-1 Site Hedge Baseline'!$B$1:$L$257,4,FALSE))))</f>
        <v/>
      </c>
      <c r="E178" s="520" t="str">
        <f>IF(B178="","",IF(ISNA(VLOOKUP($B178,'B-1 Site Hedge Baseline'!$B$1:$L$257,5,FALSE)),"",(VLOOKUP($B178,'B-1 Site Hedge Baseline'!$B$1:$L$257,5,FALSE))))</f>
        <v/>
      </c>
      <c r="F178" s="520" t="str">
        <f>IF(B178="","",IF(ISNA(VLOOKUP($B178,'B-1 Site Hedge Baseline'!$B$1:$L$257,6,FALSE)),"",(VLOOKUP($B178,'B-1 Site Hedge Baseline'!$B$1:$L$257,6,FALSE))))</f>
        <v/>
      </c>
      <c r="G178" s="520" t="str">
        <f>IF(B178="","",IF(ISNA(VLOOKUP($B178,'B-1 Site Hedge Baseline'!$B$1:$L$257,7,FALSE)),"",(VLOOKUP($B178,'B-1 Site Hedge Baseline'!$B$1:$L$257,7,FALSE))))</f>
        <v/>
      </c>
      <c r="H178" s="520" t="str">
        <f>IF(B178="","",IF(ISNA(VLOOKUP($B178,'B-1 Site Hedge Baseline'!$B$1:$L$257,8,FALSE)),"",(VLOOKUP($B178,'B-1 Site Hedge Baseline'!$B$1:$L$257,8,FALSE))))</f>
        <v/>
      </c>
      <c r="I178" s="520" t="str">
        <f>IF(B178="","",IF(ISNA(VLOOKUP($B178,'B-1 Site Hedge Baseline'!$B$1:$L$257,10,FALSE)),"",(VLOOKUP($B178,'B-1 Site Hedge Baseline'!$B$1:$L$257,10,FALSE))))</f>
        <v/>
      </c>
      <c r="J178" s="520" t="str">
        <f>IF(B178="","",IF(ISNA(VLOOKUP($B178,'B-1 Site Hedge Baseline'!$B$1:$L$257,11,FALSE)),"",(VLOOKUP($B178,'B-1 Site Hedge Baseline'!$B$1:$L$257,11,FALSE))))</f>
        <v/>
      </c>
      <c r="K178" s="520" t="str">
        <f>IF(B178="","",IF(ISNA(VLOOKUP($B178,'B-1 Site Hedge Baseline'!$B$1:$U$257,13,FALSE)),"",(VLOOKUP($B178,'B-1 Site Hedge Baseline'!$B$1:$U$257,13,FALSE))))</f>
        <v/>
      </c>
      <c r="L178" s="524" t="str">
        <f>IF(B178="","",IF(ISNA(VLOOKUP($B178,'B-1 Site Hedge Baseline'!$B$1:$U$257,12,FALSE)),"",(VLOOKUP($B178,'B-1 Site Hedge Baseline'!$B$1:$U$257,12,FALSE))))</f>
        <v/>
      </c>
      <c r="M178" s="416" t="str">
        <f t="shared" si="23"/>
        <v/>
      </c>
      <c r="N178" s="498" t="str">
        <f>IFERROR(IF(B178="","",INDEX('G-6 Hedgerow Data'!$AN$3:$AZ$15,MATCH(C178,'G-6 Hedgerow Data'!$AM$3:$AM$15,0),MATCH(M178,'G-6 Hedgerow Data'!$AN$2:$AZ$2,0))),"")</f>
        <v/>
      </c>
      <c r="O178" s="499" t="str">
        <f t="shared" si="18"/>
        <v/>
      </c>
      <c r="P178" s="559" t="str">
        <f>IF(B178="","",VLOOKUP(B178,'B-1 Site Hedge Baseline'!$B$10:T423,16,FALSE))</f>
        <v/>
      </c>
      <c r="Q178" s="498" t="str">
        <f>IF(M178="","",VLOOKUP(M178,'G-6 Hedgerow Data'!$B$2:$AG$15,2,FALSE))</f>
        <v/>
      </c>
      <c r="R178" s="499" t="str">
        <f>IF(M178="","",VLOOKUP(M178,'G-6 Hedgerow Data'!$B$2:$AG$15,3,FALSE))</f>
        <v/>
      </c>
      <c r="S178" s="157"/>
      <c r="T178" s="540" t="str">
        <f>IFERROR(VLOOKUP(S178,'G-1 All Habitats'!$Z$2:$AA$9,2,FALSE),"")</f>
        <v/>
      </c>
      <c r="U178" s="154"/>
      <c r="V178" s="520" t="str">
        <f>IF(U178="","",IF(VLOOKUP(U178,'G-3 Multipliers'!$L$3:$N$6,2,FALSE)=0,"Spatial Data Missing ⚠",VLOOKUP(U178,'G-3 Multipliers'!$L$3:$N$6,2,FALSE)))</f>
        <v/>
      </c>
      <c r="W178" s="524" t="str">
        <f>IF(U178="","",IF(VLOOKUP(U178,'G-3 Multipliers'!$L$3:$N$6,3,FALSE)=0,"Spatial Data Missing ⚠",VLOOKUP(U178,'G-3 Multipliers'!$L$3:$N$6,3,FALSE)))</f>
        <v/>
      </c>
      <c r="X178" s="498"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7" t="str">
        <f t="shared" si="19"/>
        <v/>
      </c>
      <c r="AB178" s="521" t="str">
        <f t="shared" si="20"/>
        <v/>
      </c>
      <c r="AC178" s="522" t="str">
        <f t="shared" si="16"/>
        <v/>
      </c>
      <c r="AD178" s="537" t="str">
        <f>IF(M178="","",VLOOKUP(M178,'G-6 Hedgerow Data'!$B$3:$AG$15,31,FALSE))</f>
        <v/>
      </c>
      <c r="AE178" s="507" t="str">
        <f t="shared" si="21"/>
        <v/>
      </c>
      <c r="AF178" s="507" t="str">
        <f t="shared" si="22"/>
        <v/>
      </c>
      <c r="AG178" s="524" t="str">
        <f>IFERROR(IF(O178="","",VLOOKUP(AD178,'G-3 Multipliers'!$P$3:$Q$6,2,FALSE)),"")</f>
        <v/>
      </c>
      <c r="AH178" s="513" t="str">
        <f t="shared" si="17"/>
        <v/>
      </c>
      <c r="AI178" s="231"/>
      <c r="AJ178" s="150"/>
      <c r="AT178" s="31" t="str">
        <f>IFERROR(INDEX('G-6 Hedgerow Data'!$BJ$3:$BJ$15,MATCH(M178,'G-6 Hedgerow Data'!$B$3:$B$15,0)),"")</f>
        <v/>
      </c>
    </row>
    <row r="179" spans="2:46" ht="13.8" x14ac:dyDescent="0.25">
      <c r="B179" s="531" t="str">
        <f>'B-1 Site Hedge Baseline'!AK177</f>
        <v/>
      </c>
      <c r="C179" s="520" t="str">
        <f>IF(B179="","",IF(ISNA(VLOOKUP($B179,'B-1 Site Hedge Baseline'!$B$1:$L$257,3,FALSE)),"",(VLOOKUP($B179,'B-1 Site Hedge Baseline'!$B$1:$L$257,3,FALSE))))</f>
        <v/>
      </c>
      <c r="D179" s="520" t="str">
        <f>IF(B179="","",IF(ISNA(VLOOKUP($B179,'B-1 Site Hedge Baseline'!$B$1:$L$257,4,FALSE)),"",(VLOOKUP($B179,'B-1 Site Hedge Baseline'!$B$1:$L$257,4,FALSE))))</f>
        <v/>
      </c>
      <c r="E179" s="520" t="str">
        <f>IF(B179="","",IF(ISNA(VLOOKUP($B179,'B-1 Site Hedge Baseline'!$B$1:$L$257,5,FALSE)),"",(VLOOKUP($B179,'B-1 Site Hedge Baseline'!$B$1:$L$257,5,FALSE))))</f>
        <v/>
      </c>
      <c r="F179" s="520" t="str">
        <f>IF(B179="","",IF(ISNA(VLOOKUP($B179,'B-1 Site Hedge Baseline'!$B$1:$L$257,6,FALSE)),"",(VLOOKUP($B179,'B-1 Site Hedge Baseline'!$B$1:$L$257,6,FALSE))))</f>
        <v/>
      </c>
      <c r="G179" s="520" t="str">
        <f>IF(B179="","",IF(ISNA(VLOOKUP($B179,'B-1 Site Hedge Baseline'!$B$1:$L$257,7,FALSE)),"",(VLOOKUP($B179,'B-1 Site Hedge Baseline'!$B$1:$L$257,7,FALSE))))</f>
        <v/>
      </c>
      <c r="H179" s="520" t="str">
        <f>IF(B179="","",IF(ISNA(VLOOKUP($B179,'B-1 Site Hedge Baseline'!$B$1:$L$257,8,FALSE)),"",(VLOOKUP($B179,'B-1 Site Hedge Baseline'!$B$1:$L$257,8,FALSE))))</f>
        <v/>
      </c>
      <c r="I179" s="520" t="str">
        <f>IF(B179="","",IF(ISNA(VLOOKUP($B179,'B-1 Site Hedge Baseline'!$B$1:$L$257,10,FALSE)),"",(VLOOKUP($B179,'B-1 Site Hedge Baseline'!$B$1:$L$257,10,FALSE))))</f>
        <v/>
      </c>
      <c r="J179" s="520" t="str">
        <f>IF(B179="","",IF(ISNA(VLOOKUP($B179,'B-1 Site Hedge Baseline'!$B$1:$L$257,11,FALSE)),"",(VLOOKUP($B179,'B-1 Site Hedge Baseline'!$B$1:$L$257,11,FALSE))))</f>
        <v/>
      </c>
      <c r="K179" s="520" t="str">
        <f>IF(B179="","",IF(ISNA(VLOOKUP($B179,'B-1 Site Hedge Baseline'!$B$1:$U$257,13,FALSE)),"",(VLOOKUP($B179,'B-1 Site Hedge Baseline'!$B$1:$U$257,13,FALSE))))</f>
        <v/>
      </c>
      <c r="L179" s="524" t="str">
        <f>IF(B179="","",IF(ISNA(VLOOKUP($B179,'B-1 Site Hedge Baseline'!$B$1:$U$257,12,FALSE)),"",(VLOOKUP($B179,'B-1 Site Hedge Baseline'!$B$1:$U$257,12,FALSE))))</f>
        <v/>
      </c>
      <c r="M179" s="416" t="str">
        <f t="shared" si="23"/>
        <v/>
      </c>
      <c r="N179" s="498" t="str">
        <f>IFERROR(IF(B179="","",INDEX('G-6 Hedgerow Data'!$AN$3:$AZ$15,MATCH(C179,'G-6 Hedgerow Data'!$AM$3:$AM$15,0),MATCH(M179,'G-6 Hedgerow Data'!$AN$2:$AZ$2,0))),"")</f>
        <v/>
      </c>
      <c r="O179" s="499" t="str">
        <f t="shared" si="18"/>
        <v/>
      </c>
      <c r="P179" s="559" t="str">
        <f>IF(B179="","",VLOOKUP(B179,'B-1 Site Hedge Baseline'!$B$10:T424,16,FALSE))</f>
        <v/>
      </c>
      <c r="Q179" s="498" t="str">
        <f>IF(M179="","",VLOOKUP(M179,'G-6 Hedgerow Data'!$B$2:$AG$15,2,FALSE))</f>
        <v/>
      </c>
      <c r="R179" s="499" t="str">
        <f>IF(M179="","",VLOOKUP(M179,'G-6 Hedgerow Data'!$B$2:$AG$15,3,FALSE))</f>
        <v/>
      </c>
      <c r="S179" s="157"/>
      <c r="T179" s="540" t="str">
        <f>IFERROR(VLOOKUP(S179,'G-1 All Habitats'!$Z$2:$AA$9,2,FALSE),"")</f>
        <v/>
      </c>
      <c r="U179" s="154"/>
      <c r="V179" s="520" t="str">
        <f>IF(U179="","",IF(VLOOKUP(U179,'G-3 Multipliers'!$L$3:$N$6,2,FALSE)=0,"Spatial Data Missing ⚠",VLOOKUP(U179,'G-3 Multipliers'!$L$3:$N$6,2,FALSE)))</f>
        <v/>
      </c>
      <c r="W179" s="524" t="str">
        <f>IF(U179="","",IF(VLOOKUP(U179,'G-3 Multipliers'!$L$3:$N$6,3,FALSE)=0,"Spatial Data Missing ⚠",VLOOKUP(U179,'G-3 Multipliers'!$L$3:$N$6,3,FALSE)))</f>
        <v/>
      </c>
      <c r="X179" s="498"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7" t="str">
        <f t="shared" si="19"/>
        <v/>
      </c>
      <c r="AB179" s="521" t="str">
        <f t="shared" si="20"/>
        <v/>
      </c>
      <c r="AC179" s="522" t="str">
        <f t="shared" si="16"/>
        <v/>
      </c>
      <c r="AD179" s="537" t="str">
        <f>IF(M179="","",VLOOKUP(M179,'G-6 Hedgerow Data'!$B$3:$AG$15,31,FALSE))</f>
        <v/>
      </c>
      <c r="AE179" s="507" t="str">
        <f t="shared" si="21"/>
        <v/>
      </c>
      <c r="AF179" s="507" t="str">
        <f t="shared" si="22"/>
        <v/>
      </c>
      <c r="AG179" s="524" t="str">
        <f>IFERROR(IF(O179="","",VLOOKUP(AD179,'G-3 Multipliers'!$P$3:$Q$6,2,FALSE)),"")</f>
        <v/>
      </c>
      <c r="AH179" s="513" t="str">
        <f t="shared" si="17"/>
        <v/>
      </c>
      <c r="AI179" s="231"/>
      <c r="AJ179" s="150"/>
      <c r="AT179" s="31" t="str">
        <f>IFERROR(INDEX('G-6 Hedgerow Data'!$BJ$3:$BJ$15,MATCH(M179,'G-6 Hedgerow Data'!$B$3:$B$15,0)),"")</f>
        <v/>
      </c>
    </row>
    <row r="180" spans="2:46" ht="13.8" x14ac:dyDescent="0.25">
      <c r="B180" s="531" t="str">
        <f>'B-1 Site Hedge Baseline'!AK178</f>
        <v/>
      </c>
      <c r="C180" s="520" t="str">
        <f>IF(B180="","",IF(ISNA(VLOOKUP($B180,'B-1 Site Hedge Baseline'!$B$1:$L$257,3,FALSE)),"",(VLOOKUP($B180,'B-1 Site Hedge Baseline'!$B$1:$L$257,3,FALSE))))</f>
        <v/>
      </c>
      <c r="D180" s="520" t="str">
        <f>IF(B180="","",IF(ISNA(VLOOKUP($B180,'B-1 Site Hedge Baseline'!$B$1:$L$257,4,FALSE)),"",(VLOOKUP($B180,'B-1 Site Hedge Baseline'!$B$1:$L$257,4,FALSE))))</f>
        <v/>
      </c>
      <c r="E180" s="520" t="str">
        <f>IF(B180="","",IF(ISNA(VLOOKUP($B180,'B-1 Site Hedge Baseline'!$B$1:$L$257,5,FALSE)),"",(VLOOKUP($B180,'B-1 Site Hedge Baseline'!$B$1:$L$257,5,FALSE))))</f>
        <v/>
      </c>
      <c r="F180" s="520" t="str">
        <f>IF(B180="","",IF(ISNA(VLOOKUP($B180,'B-1 Site Hedge Baseline'!$B$1:$L$257,6,FALSE)),"",(VLOOKUP($B180,'B-1 Site Hedge Baseline'!$B$1:$L$257,6,FALSE))))</f>
        <v/>
      </c>
      <c r="G180" s="520" t="str">
        <f>IF(B180="","",IF(ISNA(VLOOKUP($B180,'B-1 Site Hedge Baseline'!$B$1:$L$257,7,FALSE)),"",(VLOOKUP($B180,'B-1 Site Hedge Baseline'!$B$1:$L$257,7,FALSE))))</f>
        <v/>
      </c>
      <c r="H180" s="520" t="str">
        <f>IF(B180="","",IF(ISNA(VLOOKUP($B180,'B-1 Site Hedge Baseline'!$B$1:$L$257,8,FALSE)),"",(VLOOKUP($B180,'B-1 Site Hedge Baseline'!$B$1:$L$257,8,FALSE))))</f>
        <v/>
      </c>
      <c r="I180" s="520" t="str">
        <f>IF(B180="","",IF(ISNA(VLOOKUP($B180,'B-1 Site Hedge Baseline'!$B$1:$L$257,10,FALSE)),"",(VLOOKUP($B180,'B-1 Site Hedge Baseline'!$B$1:$L$257,10,FALSE))))</f>
        <v/>
      </c>
      <c r="J180" s="520" t="str">
        <f>IF(B180="","",IF(ISNA(VLOOKUP($B180,'B-1 Site Hedge Baseline'!$B$1:$L$257,11,FALSE)),"",(VLOOKUP($B180,'B-1 Site Hedge Baseline'!$B$1:$L$257,11,FALSE))))</f>
        <v/>
      </c>
      <c r="K180" s="520" t="str">
        <f>IF(B180="","",IF(ISNA(VLOOKUP($B180,'B-1 Site Hedge Baseline'!$B$1:$U$257,13,FALSE)),"",(VLOOKUP($B180,'B-1 Site Hedge Baseline'!$B$1:$U$257,13,FALSE))))</f>
        <v/>
      </c>
      <c r="L180" s="524" t="str">
        <f>IF(B180="","",IF(ISNA(VLOOKUP($B180,'B-1 Site Hedge Baseline'!$B$1:$U$257,12,FALSE)),"",(VLOOKUP($B180,'B-1 Site Hedge Baseline'!$B$1:$U$257,12,FALSE))))</f>
        <v/>
      </c>
      <c r="M180" s="416" t="str">
        <f t="shared" si="23"/>
        <v/>
      </c>
      <c r="N180" s="498" t="str">
        <f>IFERROR(IF(B180="","",INDEX('G-6 Hedgerow Data'!$AN$3:$AZ$15,MATCH(C180,'G-6 Hedgerow Data'!$AM$3:$AM$15,0),MATCH(M180,'G-6 Hedgerow Data'!$AN$2:$AZ$2,0))),"")</f>
        <v/>
      </c>
      <c r="O180" s="499" t="str">
        <f t="shared" si="18"/>
        <v/>
      </c>
      <c r="P180" s="559" t="str">
        <f>IF(B180="","",VLOOKUP(B180,'B-1 Site Hedge Baseline'!$B$10:T425,16,FALSE))</f>
        <v/>
      </c>
      <c r="Q180" s="498" t="str">
        <f>IF(M180="","",VLOOKUP(M180,'G-6 Hedgerow Data'!$B$2:$AG$15,2,FALSE))</f>
        <v/>
      </c>
      <c r="R180" s="499" t="str">
        <f>IF(M180="","",VLOOKUP(M180,'G-6 Hedgerow Data'!$B$2:$AG$15,3,FALSE))</f>
        <v/>
      </c>
      <c r="S180" s="157"/>
      <c r="T180" s="540" t="str">
        <f>IFERROR(VLOOKUP(S180,'G-1 All Habitats'!$Z$2:$AA$9,2,FALSE),"")</f>
        <v/>
      </c>
      <c r="U180" s="154"/>
      <c r="V180" s="520" t="str">
        <f>IF(U180="","",IF(VLOOKUP(U180,'G-3 Multipliers'!$L$3:$N$6,2,FALSE)=0,"Spatial Data Missing ⚠",VLOOKUP(U180,'G-3 Multipliers'!$L$3:$N$6,2,FALSE)))</f>
        <v/>
      </c>
      <c r="W180" s="524" t="str">
        <f>IF(U180="","",IF(VLOOKUP(U180,'G-3 Multipliers'!$L$3:$N$6,3,FALSE)=0,"Spatial Data Missing ⚠",VLOOKUP(U180,'G-3 Multipliers'!$L$3:$N$6,3,FALSE)))</f>
        <v/>
      </c>
      <c r="X180" s="498"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7" t="str">
        <f t="shared" si="19"/>
        <v/>
      </c>
      <c r="AB180" s="521" t="str">
        <f t="shared" si="20"/>
        <v/>
      </c>
      <c r="AC180" s="522" t="str">
        <f t="shared" si="16"/>
        <v/>
      </c>
      <c r="AD180" s="537" t="str">
        <f>IF(M180="","",VLOOKUP(M180,'G-6 Hedgerow Data'!$B$3:$AG$15,31,FALSE))</f>
        <v/>
      </c>
      <c r="AE180" s="507" t="str">
        <f t="shared" si="21"/>
        <v/>
      </c>
      <c r="AF180" s="507" t="str">
        <f t="shared" si="22"/>
        <v/>
      </c>
      <c r="AG180" s="524" t="str">
        <f>IFERROR(IF(O180="","",VLOOKUP(AD180,'G-3 Multipliers'!$P$3:$Q$6,2,FALSE)),"")</f>
        <v/>
      </c>
      <c r="AH180" s="513" t="str">
        <f t="shared" si="17"/>
        <v/>
      </c>
      <c r="AI180" s="231"/>
      <c r="AJ180" s="150"/>
      <c r="AT180" s="31" t="str">
        <f>IFERROR(INDEX('G-6 Hedgerow Data'!$BJ$3:$BJ$15,MATCH(M180,'G-6 Hedgerow Data'!$B$3:$B$15,0)),"")</f>
        <v/>
      </c>
    </row>
    <row r="181" spans="2:46" ht="13.8" x14ac:dyDescent="0.25">
      <c r="B181" s="531" t="str">
        <f>'B-1 Site Hedge Baseline'!AK179</f>
        <v/>
      </c>
      <c r="C181" s="520" t="str">
        <f>IF(B181="","",IF(ISNA(VLOOKUP($B181,'B-1 Site Hedge Baseline'!$B$1:$L$257,3,FALSE)),"",(VLOOKUP($B181,'B-1 Site Hedge Baseline'!$B$1:$L$257,3,FALSE))))</f>
        <v/>
      </c>
      <c r="D181" s="520" t="str">
        <f>IF(B181="","",IF(ISNA(VLOOKUP($B181,'B-1 Site Hedge Baseline'!$B$1:$L$257,4,FALSE)),"",(VLOOKUP($B181,'B-1 Site Hedge Baseline'!$B$1:$L$257,4,FALSE))))</f>
        <v/>
      </c>
      <c r="E181" s="520" t="str">
        <f>IF(B181="","",IF(ISNA(VLOOKUP($B181,'B-1 Site Hedge Baseline'!$B$1:$L$257,5,FALSE)),"",(VLOOKUP($B181,'B-1 Site Hedge Baseline'!$B$1:$L$257,5,FALSE))))</f>
        <v/>
      </c>
      <c r="F181" s="520" t="str">
        <f>IF(B181="","",IF(ISNA(VLOOKUP($B181,'B-1 Site Hedge Baseline'!$B$1:$L$257,6,FALSE)),"",(VLOOKUP($B181,'B-1 Site Hedge Baseline'!$B$1:$L$257,6,FALSE))))</f>
        <v/>
      </c>
      <c r="G181" s="520" t="str">
        <f>IF(B181="","",IF(ISNA(VLOOKUP($B181,'B-1 Site Hedge Baseline'!$B$1:$L$257,7,FALSE)),"",(VLOOKUP($B181,'B-1 Site Hedge Baseline'!$B$1:$L$257,7,FALSE))))</f>
        <v/>
      </c>
      <c r="H181" s="520" t="str">
        <f>IF(B181="","",IF(ISNA(VLOOKUP($B181,'B-1 Site Hedge Baseline'!$B$1:$L$257,8,FALSE)),"",(VLOOKUP($B181,'B-1 Site Hedge Baseline'!$B$1:$L$257,8,FALSE))))</f>
        <v/>
      </c>
      <c r="I181" s="520" t="str">
        <f>IF(B181="","",IF(ISNA(VLOOKUP($B181,'B-1 Site Hedge Baseline'!$B$1:$L$257,10,FALSE)),"",(VLOOKUP($B181,'B-1 Site Hedge Baseline'!$B$1:$L$257,10,FALSE))))</f>
        <v/>
      </c>
      <c r="J181" s="520" t="str">
        <f>IF(B181="","",IF(ISNA(VLOOKUP($B181,'B-1 Site Hedge Baseline'!$B$1:$L$257,11,FALSE)),"",(VLOOKUP($B181,'B-1 Site Hedge Baseline'!$B$1:$L$257,11,FALSE))))</f>
        <v/>
      </c>
      <c r="K181" s="520" t="str">
        <f>IF(B181="","",IF(ISNA(VLOOKUP($B181,'B-1 Site Hedge Baseline'!$B$1:$U$257,13,FALSE)),"",(VLOOKUP($B181,'B-1 Site Hedge Baseline'!$B$1:$U$257,13,FALSE))))</f>
        <v/>
      </c>
      <c r="L181" s="524" t="str">
        <f>IF(B181="","",IF(ISNA(VLOOKUP($B181,'B-1 Site Hedge Baseline'!$B$1:$U$257,12,FALSE)),"",(VLOOKUP($B181,'B-1 Site Hedge Baseline'!$B$1:$U$257,12,FALSE))))</f>
        <v/>
      </c>
      <c r="M181" s="416" t="str">
        <f t="shared" si="23"/>
        <v/>
      </c>
      <c r="N181" s="498" t="str">
        <f>IFERROR(IF(B181="","",INDEX('G-6 Hedgerow Data'!$AN$3:$AZ$15,MATCH(C181,'G-6 Hedgerow Data'!$AM$3:$AM$15,0),MATCH(M181,'G-6 Hedgerow Data'!$AN$2:$AZ$2,0))),"")</f>
        <v/>
      </c>
      <c r="O181" s="499" t="str">
        <f t="shared" si="18"/>
        <v/>
      </c>
      <c r="P181" s="559" t="str">
        <f>IF(B181="","",VLOOKUP(B181,'B-1 Site Hedge Baseline'!$B$10:T426,16,FALSE))</f>
        <v/>
      </c>
      <c r="Q181" s="498" t="str">
        <f>IF(M181="","",VLOOKUP(M181,'G-6 Hedgerow Data'!$B$2:$AG$15,2,FALSE))</f>
        <v/>
      </c>
      <c r="R181" s="499" t="str">
        <f>IF(M181="","",VLOOKUP(M181,'G-6 Hedgerow Data'!$B$2:$AG$15,3,FALSE))</f>
        <v/>
      </c>
      <c r="S181" s="157"/>
      <c r="T181" s="540" t="str">
        <f>IFERROR(VLOOKUP(S181,'G-1 All Habitats'!$Z$2:$AA$9,2,FALSE),"")</f>
        <v/>
      </c>
      <c r="U181" s="154"/>
      <c r="V181" s="520" t="str">
        <f>IF(U181="","",IF(VLOOKUP(U181,'G-3 Multipliers'!$L$3:$N$6,2,FALSE)=0,"Spatial Data Missing ⚠",VLOOKUP(U181,'G-3 Multipliers'!$L$3:$N$6,2,FALSE)))</f>
        <v/>
      </c>
      <c r="W181" s="524" t="str">
        <f>IF(U181="","",IF(VLOOKUP(U181,'G-3 Multipliers'!$L$3:$N$6,3,FALSE)=0,"Spatial Data Missing ⚠",VLOOKUP(U181,'G-3 Multipliers'!$L$3:$N$6,3,FALSE)))</f>
        <v/>
      </c>
      <c r="X181" s="498"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7" t="str">
        <f t="shared" si="19"/>
        <v/>
      </c>
      <c r="AB181" s="521" t="str">
        <f t="shared" si="20"/>
        <v/>
      </c>
      <c r="AC181" s="522" t="str">
        <f t="shared" si="16"/>
        <v/>
      </c>
      <c r="AD181" s="537" t="str">
        <f>IF(M181="","",VLOOKUP(M181,'G-6 Hedgerow Data'!$B$3:$AG$15,31,FALSE))</f>
        <v/>
      </c>
      <c r="AE181" s="507" t="str">
        <f t="shared" si="21"/>
        <v/>
      </c>
      <c r="AF181" s="507" t="str">
        <f t="shared" si="22"/>
        <v/>
      </c>
      <c r="AG181" s="524" t="str">
        <f>IFERROR(IF(O181="","",VLOOKUP(AD181,'G-3 Multipliers'!$P$3:$Q$6,2,FALSE)),"")</f>
        <v/>
      </c>
      <c r="AH181" s="513" t="str">
        <f t="shared" si="17"/>
        <v/>
      </c>
      <c r="AI181" s="231"/>
      <c r="AJ181" s="150"/>
      <c r="AT181" s="31" t="str">
        <f>IFERROR(INDEX('G-6 Hedgerow Data'!$BJ$3:$BJ$15,MATCH(M181,'G-6 Hedgerow Data'!$B$3:$B$15,0)),"")</f>
        <v/>
      </c>
    </row>
    <row r="182" spans="2:46" ht="13.8" x14ac:dyDescent="0.25">
      <c r="B182" s="531" t="str">
        <f>'B-1 Site Hedge Baseline'!AK180</f>
        <v/>
      </c>
      <c r="C182" s="520" t="str">
        <f>IF(B182="","",IF(ISNA(VLOOKUP($B182,'B-1 Site Hedge Baseline'!$B$1:$L$257,3,FALSE)),"",(VLOOKUP($B182,'B-1 Site Hedge Baseline'!$B$1:$L$257,3,FALSE))))</f>
        <v/>
      </c>
      <c r="D182" s="520" t="str">
        <f>IF(B182="","",IF(ISNA(VLOOKUP($B182,'B-1 Site Hedge Baseline'!$B$1:$L$257,4,FALSE)),"",(VLOOKUP($B182,'B-1 Site Hedge Baseline'!$B$1:$L$257,4,FALSE))))</f>
        <v/>
      </c>
      <c r="E182" s="520" t="str">
        <f>IF(B182="","",IF(ISNA(VLOOKUP($B182,'B-1 Site Hedge Baseline'!$B$1:$L$257,5,FALSE)),"",(VLOOKUP($B182,'B-1 Site Hedge Baseline'!$B$1:$L$257,5,FALSE))))</f>
        <v/>
      </c>
      <c r="F182" s="520" t="str">
        <f>IF(B182="","",IF(ISNA(VLOOKUP($B182,'B-1 Site Hedge Baseline'!$B$1:$L$257,6,FALSE)),"",(VLOOKUP($B182,'B-1 Site Hedge Baseline'!$B$1:$L$257,6,FALSE))))</f>
        <v/>
      </c>
      <c r="G182" s="520" t="str">
        <f>IF(B182="","",IF(ISNA(VLOOKUP($B182,'B-1 Site Hedge Baseline'!$B$1:$L$257,7,FALSE)),"",(VLOOKUP($B182,'B-1 Site Hedge Baseline'!$B$1:$L$257,7,FALSE))))</f>
        <v/>
      </c>
      <c r="H182" s="520" t="str">
        <f>IF(B182="","",IF(ISNA(VLOOKUP($B182,'B-1 Site Hedge Baseline'!$B$1:$L$257,8,FALSE)),"",(VLOOKUP($B182,'B-1 Site Hedge Baseline'!$B$1:$L$257,8,FALSE))))</f>
        <v/>
      </c>
      <c r="I182" s="520" t="str">
        <f>IF(B182="","",IF(ISNA(VLOOKUP($B182,'B-1 Site Hedge Baseline'!$B$1:$L$257,10,FALSE)),"",(VLOOKUP($B182,'B-1 Site Hedge Baseline'!$B$1:$L$257,10,FALSE))))</f>
        <v/>
      </c>
      <c r="J182" s="520" t="str">
        <f>IF(B182="","",IF(ISNA(VLOOKUP($B182,'B-1 Site Hedge Baseline'!$B$1:$L$257,11,FALSE)),"",(VLOOKUP($B182,'B-1 Site Hedge Baseline'!$B$1:$L$257,11,FALSE))))</f>
        <v/>
      </c>
      <c r="K182" s="520" t="str">
        <f>IF(B182="","",IF(ISNA(VLOOKUP($B182,'B-1 Site Hedge Baseline'!$B$1:$U$257,13,FALSE)),"",(VLOOKUP($B182,'B-1 Site Hedge Baseline'!$B$1:$U$257,13,FALSE))))</f>
        <v/>
      </c>
      <c r="L182" s="524" t="str">
        <f>IF(B182="","",IF(ISNA(VLOOKUP($B182,'B-1 Site Hedge Baseline'!$B$1:$U$257,12,FALSE)),"",(VLOOKUP($B182,'B-1 Site Hedge Baseline'!$B$1:$U$257,12,FALSE))))</f>
        <v/>
      </c>
      <c r="M182" s="416" t="str">
        <f t="shared" si="23"/>
        <v/>
      </c>
      <c r="N182" s="498" t="str">
        <f>IFERROR(IF(B182="","",INDEX('G-6 Hedgerow Data'!$AN$3:$AZ$15,MATCH(C182,'G-6 Hedgerow Data'!$AM$3:$AM$15,0),MATCH(M182,'G-6 Hedgerow Data'!$AN$2:$AZ$2,0))),"")</f>
        <v/>
      </c>
      <c r="O182" s="499" t="str">
        <f t="shared" si="18"/>
        <v/>
      </c>
      <c r="P182" s="559" t="str">
        <f>IF(B182="","",VLOOKUP(B182,'B-1 Site Hedge Baseline'!$B$10:T427,16,FALSE))</f>
        <v/>
      </c>
      <c r="Q182" s="498" t="str">
        <f>IF(M182="","",VLOOKUP(M182,'G-6 Hedgerow Data'!$B$2:$AG$15,2,FALSE))</f>
        <v/>
      </c>
      <c r="R182" s="499" t="str">
        <f>IF(M182="","",VLOOKUP(M182,'G-6 Hedgerow Data'!$B$2:$AG$15,3,FALSE))</f>
        <v/>
      </c>
      <c r="S182" s="157"/>
      <c r="T182" s="540" t="str">
        <f>IFERROR(VLOOKUP(S182,'G-1 All Habitats'!$Z$2:$AA$9,2,FALSE),"")</f>
        <v/>
      </c>
      <c r="U182" s="154"/>
      <c r="V182" s="520" t="str">
        <f>IF(U182="","",IF(VLOOKUP(U182,'G-3 Multipliers'!$L$3:$N$6,2,FALSE)=0,"Spatial Data Missing ⚠",VLOOKUP(U182,'G-3 Multipliers'!$L$3:$N$6,2,FALSE)))</f>
        <v/>
      </c>
      <c r="W182" s="524" t="str">
        <f>IF(U182="","",IF(VLOOKUP(U182,'G-3 Multipliers'!$L$3:$N$6,3,FALSE)=0,"Spatial Data Missing ⚠",VLOOKUP(U182,'G-3 Multipliers'!$L$3:$N$6,3,FALSE)))</f>
        <v/>
      </c>
      <c r="X182" s="498"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7" t="str">
        <f t="shared" si="19"/>
        <v/>
      </c>
      <c r="AB182" s="521" t="str">
        <f t="shared" si="20"/>
        <v/>
      </c>
      <c r="AC182" s="522" t="str">
        <f t="shared" si="16"/>
        <v/>
      </c>
      <c r="AD182" s="537" t="str">
        <f>IF(M182="","",VLOOKUP(M182,'G-6 Hedgerow Data'!$B$3:$AG$15,31,FALSE))</f>
        <v/>
      </c>
      <c r="AE182" s="507" t="str">
        <f t="shared" si="21"/>
        <v/>
      </c>
      <c r="AF182" s="507" t="str">
        <f t="shared" si="22"/>
        <v/>
      </c>
      <c r="AG182" s="524" t="str">
        <f>IFERROR(IF(O182="","",VLOOKUP(AD182,'G-3 Multipliers'!$P$3:$Q$6,2,FALSE)),"")</f>
        <v/>
      </c>
      <c r="AH182" s="513" t="str">
        <f t="shared" si="17"/>
        <v/>
      </c>
      <c r="AI182" s="231"/>
      <c r="AJ182" s="150"/>
      <c r="AT182" s="31" t="str">
        <f>IFERROR(INDEX('G-6 Hedgerow Data'!$BJ$3:$BJ$15,MATCH(M182,'G-6 Hedgerow Data'!$B$3:$B$15,0)),"")</f>
        <v/>
      </c>
    </row>
    <row r="183" spans="2:46" ht="13.8" x14ac:dyDescent="0.25">
      <c r="B183" s="531" t="str">
        <f>'B-1 Site Hedge Baseline'!AK181</f>
        <v/>
      </c>
      <c r="C183" s="520" t="str">
        <f>IF(B183="","",IF(ISNA(VLOOKUP($B183,'B-1 Site Hedge Baseline'!$B$1:$L$257,3,FALSE)),"",(VLOOKUP($B183,'B-1 Site Hedge Baseline'!$B$1:$L$257,3,FALSE))))</f>
        <v/>
      </c>
      <c r="D183" s="520" t="str">
        <f>IF(B183="","",IF(ISNA(VLOOKUP($B183,'B-1 Site Hedge Baseline'!$B$1:$L$257,4,FALSE)),"",(VLOOKUP($B183,'B-1 Site Hedge Baseline'!$B$1:$L$257,4,FALSE))))</f>
        <v/>
      </c>
      <c r="E183" s="520" t="str">
        <f>IF(B183="","",IF(ISNA(VLOOKUP($B183,'B-1 Site Hedge Baseline'!$B$1:$L$257,5,FALSE)),"",(VLOOKUP($B183,'B-1 Site Hedge Baseline'!$B$1:$L$257,5,FALSE))))</f>
        <v/>
      </c>
      <c r="F183" s="520" t="str">
        <f>IF(B183="","",IF(ISNA(VLOOKUP($B183,'B-1 Site Hedge Baseline'!$B$1:$L$257,6,FALSE)),"",(VLOOKUP($B183,'B-1 Site Hedge Baseline'!$B$1:$L$257,6,FALSE))))</f>
        <v/>
      </c>
      <c r="G183" s="520" t="str">
        <f>IF(B183="","",IF(ISNA(VLOOKUP($B183,'B-1 Site Hedge Baseline'!$B$1:$L$257,7,FALSE)),"",(VLOOKUP($B183,'B-1 Site Hedge Baseline'!$B$1:$L$257,7,FALSE))))</f>
        <v/>
      </c>
      <c r="H183" s="520" t="str">
        <f>IF(B183="","",IF(ISNA(VLOOKUP($B183,'B-1 Site Hedge Baseline'!$B$1:$L$257,8,FALSE)),"",(VLOOKUP($B183,'B-1 Site Hedge Baseline'!$B$1:$L$257,8,FALSE))))</f>
        <v/>
      </c>
      <c r="I183" s="520" t="str">
        <f>IF(B183="","",IF(ISNA(VLOOKUP($B183,'B-1 Site Hedge Baseline'!$B$1:$L$257,10,FALSE)),"",(VLOOKUP($B183,'B-1 Site Hedge Baseline'!$B$1:$L$257,10,FALSE))))</f>
        <v/>
      </c>
      <c r="J183" s="520" t="str">
        <f>IF(B183="","",IF(ISNA(VLOOKUP($B183,'B-1 Site Hedge Baseline'!$B$1:$L$257,11,FALSE)),"",(VLOOKUP($B183,'B-1 Site Hedge Baseline'!$B$1:$L$257,11,FALSE))))</f>
        <v/>
      </c>
      <c r="K183" s="520" t="str">
        <f>IF(B183="","",IF(ISNA(VLOOKUP($B183,'B-1 Site Hedge Baseline'!$B$1:$U$257,13,FALSE)),"",(VLOOKUP($B183,'B-1 Site Hedge Baseline'!$B$1:$U$257,13,FALSE))))</f>
        <v/>
      </c>
      <c r="L183" s="524" t="str">
        <f>IF(B183="","",IF(ISNA(VLOOKUP($B183,'B-1 Site Hedge Baseline'!$B$1:$U$257,12,FALSE)),"",(VLOOKUP($B183,'B-1 Site Hedge Baseline'!$B$1:$U$257,12,FALSE))))</f>
        <v/>
      </c>
      <c r="M183" s="416" t="str">
        <f t="shared" si="23"/>
        <v/>
      </c>
      <c r="N183" s="498" t="str">
        <f>IFERROR(IF(B183="","",INDEX('G-6 Hedgerow Data'!$AN$3:$AZ$15,MATCH(C183,'G-6 Hedgerow Data'!$AM$3:$AM$15,0),MATCH(M183,'G-6 Hedgerow Data'!$AN$2:$AZ$2,0))),"")</f>
        <v/>
      </c>
      <c r="O183" s="499" t="str">
        <f t="shared" si="18"/>
        <v/>
      </c>
      <c r="P183" s="559" t="str">
        <f>IF(B183="","",VLOOKUP(B183,'B-1 Site Hedge Baseline'!$B$10:T428,16,FALSE))</f>
        <v/>
      </c>
      <c r="Q183" s="498" t="str">
        <f>IF(M183="","",VLOOKUP(M183,'G-6 Hedgerow Data'!$B$2:$AG$15,2,FALSE))</f>
        <v/>
      </c>
      <c r="R183" s="499" t="str">
        <f>IF(M183="","",VLOOKUP(M183,'G-6 Hedgerow Data'!$B$2:$AG$15,3,FALSE))</f>
        <v/>
      </c>
      <c r="S183" s="157"/>
      <c r="T183" s="540" t="str">
        <f>IFERROR(VLOOKUP(S183,'G-1 All Habitats'!$Z$2:$AA$9,2,FALSE),"")</f>
        <v/>
      </c>
      <c r="U183" s="154"/>
      <c r="V183" s="520" t="str">
        <f>IF(U183="","",IF(VLOOKUP(U183,'G-3 Multipliers'!$L$3:$N$6,2,FALSE)=0,"Spatial Data Missing ⚠",VLOOKUP(U183,'G-3 Multipliers'!$L$3:$N$6,2,FALSE)))</f>
        <v/>
      </c>
      <c r="W183" s="524" t="str">
        <f>IF(U183="","",IF(VLOOKUP(U183,'G-3 Multipliers'!$L$3:$N$6,3,FALSE)=0,"Spatial Data Missing ⚠",VLOOKUP(U183,'G-3 Multipliers'!$L$3:$N$6,3,FALSE)))</f>
        <v/>
      </c>
      <c r="X183" s="498"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7" t="str">
        <f t="shared" si="19"/>
        <v/>
      </c>
      <c r="AB183" s="521" t="str">
        <f t="shared" si="20"/>
        <v/>
      </c>
      <c r="AC183" s="522" t="str">
        <f t="shared" si="16"/>
        <v/>
      </c>
      <c r="AD183" s="537" t="str">
        <f>IF(M183="","",VLOOKUP(M183,'G-6 Hedgerow Data'!$B$3:$AG$15,31,FALSE))</f>
        <v/>
      </c>
      <c r="AE183" s="507" t="str">
        <f t="shared" si="21"/>
        <v/>
      </c>
      <c r="AF183" s="507" t="str">
        <f t="shared" si="22"/>
        <v/>
      </c>
      <c r="AG183" s="524" t="str">
        <f>IFERROR(IF(O183="","",VLOOKUP(AD183,'G-3 Multipliers'!$P$3:$Q$6,2,FALSE)),"")</f>
        <v/>
      </c>
      <c r="AH183" s="513" t="str">
        <f t="shared" si="17"/>
        <v/>
      </c>
      <c r="AI183" s="231"/>
      <c r="AJ183" s="150"/>
      <c r="AT183" s="31" t="str">
        <f>IFERROR(INDEX('G-6 Hedgerow Data'!$BJ$3:$BJ$15,MATCH(M183,'G-6 Hedgerow Data'!$B$3:$B$15,0)),"")</f>
        <v/>
      </c>
    </row>
    <row r="184" spans="2:46" ht="13.8" x14ac:dyDescent="0.25">
      <c r="B184" s="531" t="str">
        <f>'B-1 Site Hedge Baseline'!AK182</f>
        <v/>
      </c>
      <c r="C184" s="520" t="str">
        <f>IF(B184="","",IF(ISNA(VLOOKUP($B184,'B-1 Site Hedge Baseline'!$B$1:$L$257,3,FALSE)),"",(VLOOKUP($B184,'B-1 Site Hedge Baseline'!$B$1:$L$257,3,FALSE))))</f>
        <v/>
      </c>
      <c r="D184" s="520" t="str">
        <f>IF(B184="","",IF(ISNA(VLOOKUP($B184,'B-1 Site Hedge Baseline'!$B$1:$L$257,4,FALSE)),"",(VLOOKUP($B184,'B-1 Site Hedge Baseline'!$B$1:$L$257,4,FALSE))))</f>
        <v/>
      </c>
      <c r="E184" s="520" t="str">
        <f>IF(B184="","",IF(ISNA(VLOOKUP($B184,'B-1 Site Hedge Baseline'!$B$1:$L$257,5,FALSE)),"",(VLOOKUP($B184,'B-1 Site Hedge Baseline'!$B$1:$L$257,5,FALSE))))</f>
        <v/>
      </c>
      <c r="F184" s="520" t="str">
        <f>IF(B184="","",IF(ISNA(VLOOKUP($B184,'B-1 Site Hedge Baseline'!$B$1:$L$257,6,FALSE)),"",(VLOOKUP($B184,'B-1 Site Hedge Baseline'!$B$1:$L$257,6,FALSE))))</f>
        <v/>
      </c>
      <c r="G184" s="520" t="str">
        <f>IF(B184="","",IF(ISNA(VLOOKUP($B184,'B-1 Site Hedge Baseline'!$B$1:$L$257,7,FALSE)),"",(VLOOKUP($B184,'B-1 Site Hedge Baseline'!$B$1:$L$257,7,FALSE))))</f>
        <v/>
      </c>
      <c r="H184" s="520" t="str">
        <f>IF(B184="","",IF(ISNA(VLOOKUP($B184,'B-1 Site Hedge Baseline'!$B$1:$L$257,8,FALSE)),"",(VLOOKUP($B184,'B-1 Site Hedge Baseline'!$B$1:$L$257,8,FALSE))))</f>
        <v/>
      </c>
      <c r="I184" s="520" t="str">
        <f>IF(B184="","",IF(ISNA(VLOOKUP($B184,'B-1 Site Hedge Baseline'!$B$1:$L$257,10,FALSE)),"",(VLOOKUP($B184,'B-1 Site Hedge Baseline'!$B$1:$L$257,10,FALSE))))</f>
        <v/>
      </c>
      <c r="J184" s="520" t="str">
        <f>IF(B184="","",IF(ISNA(VLOOKUP($B184,'B-1 Site Hedge Baseline'!$B$1:$L$257,11,FALSE)),"",(VLOOKUP($B184,'B-1 Site Hedge Baseline'!$B$1:$L$257,11,FALSE))))</f>
        <v/>
      </c>
      <c r="K184" s="520" t="str">
        <f>IF(B184="","",IF(ISNA(VLOOKUP($B184,'B-1 Site Hedge Baseline'!$B$1:$U$257,13,FALSE)),"",(VLOOKUP($B184,'B-1 Site Hedge Baseline'!$B$1:$U$257,13,FALSE))))</f>
        <v/>
      </c>
      <c r="L184" s="524" t="str">
        <f>IF(B184="","",IF(ISNA(VLOOKUP($B184,'B-1 Site Hedge Baseline'!$B$1:$U$257,12,FALSE)),"",(VLOOKUP($B184,'B-1 Site Hedge Baseline'!$B$1:$U$257,12,FALSE))))</f>
        <v/>
      </c>
      <c r="M184" s="416" t="str">
        <f t="shared" si="23"/>
        <v/>
      </c>
      <c r="N184" s="498" t="str">
        <f>IFERROR(IF(B184="","",INDEX('G-6 Hedgerow Data'!$AN$3:$AZ$15,MATCH(C184,'G-6 Hedgerow Data'!$AM$3:$AM$15,0),MATCH(M184,'G-6 Hedgerow Data'!$AN$2:$AZ$2,0))),"")</f>
        <v/>
      </c>
      <c r="O184" s="499" t="str">
        <f t="shared" si="18"/>
        <v/>
      </c>
      <c r="P184" s="559" t="str">
        <f>IF(B184="","",VLOOKUP(B184,'B-1 Site Hedge Baseline'!$B$10:T429,16,FALSE))</f>
        <v/>
      </c>
      <c r="Q184" s="498" t="str">
        <f>IF(M184="","",VLOOKUP(M184,'G-6 Hedgerow Data'!$B$2:$AG$15,2,FALSE))</f>
        <v/>
      </c>
      <c r="R184" s="499" t="str">
        <f>IF(M184="","",VLOOKUP(M184,'G-6 Hedgerow Data'!$B$2:$AG$15,3,FALSE))</f>
        <v/>
      </c>
      <c r="S184" s="157"/>
      <c r="T184" s="540" t="str">
        <f>IFERROR(VLOOKUP(S184,'G-1 All Habitats'!$Z$2:$AA$9,2,FALSE),"")</f>
        <v/>
      </c>
      <c r="U184" s="154"/>
      <c r="V184" s="520" t="str">
        <f>IF(U184="","",IF(VLOOKUP(U184,'G-3 Multipliers'!$L$3:$N$6,2,FALSE)=0,"Spatial Data Missing ⚠",VLOOKUP(U184,'G-3 Multipliers'!$L$3:$N$6,2,FALSE)))</f>
        <v/>
      </c>
      <c r="W184" s="524" t="str">
        <f>IF(U184="","",IF(VLOOKUP(U184,'G-3 Multipliers'!$L$3:$N$6,3,FALSE)=0,"Spatial Data Missing ⚠",VLOOKUP(U184,'G-3 Multipliers'!$L$3:$N$6,3,FALSE)))</f>
        <v/>
      </c>
      <c r="X184" s="498"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7" t="str">
        <f t="shared" si="19"/>
        <v/>
      </c>
      <c r="AB184" s="521" t="str">
        <f t="shared" si="20"/>
        <v/>
      </c>
      <c r="AC184" s="522" t="str">
        <f t="shared" si="16"/>
        <v/>
      </c>
      <c r="AD184" s="537" t="str">
        <f>IF(M184="","",VLOOKUP(M184,'G-6 Hedgerow Data'!$B$3:$AG$15,31,FALSE))</f>
        <v/>
      </c>
      <c r="AE184" s="507" t="str">
        <f t="shared" si="21"/>
        <v/>
      </c>
      <c r="AF184" s="507" t="str">
        <f t="shared" si="22"/>
        <v/>
      </c>
      <c r="AG184" s="524" t="str">
        <f>IFERROR(IF(O184="","",VLOOKUP(AD184,'G-3 Multipliers'!$P$3:$Q$6,2,FALSE)),"")</f>
        <v/>
      </c>
      <c r="AH184" s="513" t="str">
        <f t="shared" si="17"/>
        <v/>
      </c>
      <c r="AI184" s="231"/>
      <c r="AJ184" s="150"/>
      <c r="AT184" s="31" t="str">
        <f>IFERROR(INDEX('G-6 Hedgerow Data'!$BJ$3:$BJ$15,MATCH(M184,'G-6 Hedgerow Data'!$B$3:$B$15,0)),"")</f>
        <v/>
      </c>
    </row>
    <row r="185" spans="2:46" ht="13.8" x14ac:dyDescent="0.25">
      <c r="B185" s="531" t="str">
        <f>'B-1 Site Hedge Baseline'!AK183</f>
        <v/>
      </c>
      <c r="C185" s="520" t="str">
        <f>IF(B185="","",IF(ISNA(VLOOKUP($B185,'B-1 Site Hedge Baseline'!$B$1:$L$257,3,FALSE)),"",(VLOOKUP($B185,'B-1 Site Hedge Baseline'!$B$1:$L$257,3,FALSE))))</f>
        <v/>
      </c>
      <c r="D185" s="520" t="str">
        <f>IF(B185="","",IF(ISNA(VLOOKUP($B185,'B-1 Site Hedge Baseline'!$B$1:$L$257,4,FALSE)),"",(VLOOKUP($B185,'B-1 Site Hedge Baseline'!$B$1:$L$257,4,FALSE))))</f>
        <v/>
      </c>
      <c r="E185" s="520" t="str">
        <f>IF(B185="","",IF(ISNA(VLOOKUP($B185,'B-1 Site Hedge Baseline'!$B$1:$L$257,5,FALSE)),"",(VLOOKUP($B185,'B-1 Site Hedge Baseline'!$B$1:$L$257,5,FALSE))))</f>
        <v/>
      </c>
      <c r="F185" s="520" t="str">
        <f>IF(B185="","",IF(ISNA(VLOOKUP($B185,'B-1 Site Hedge Baseline'!$B$1:$L$257,6,FALSE)),"",(VLOOKUP($B185,'B-1 Site Hedge Baseline'!$B$1:$L$257,6,FALSE))))</f>
        <v/>
      </c>
      <c r="G185" s="520" t="str">
        <f>IF(B185="","",IF(ISNA(VLOOKUP($B185,'B-1 Site Hedge Baseline'!$B$1:$L$257,7,FALSE)),"",(VLOOKUP($B185,'B-1 Site Hedge Baseline'!$B$1:$L$257,7,FALSE))))</f>
        <v/>
      </c>
      <c r="H185" s="520" t="str">
        <f>IF(B185="","",IF(ISNA(VLOOKUP($B185,'B-1 Site Hedge Baseline'!$B$1:$L$257,8,FALSE)),"",(VLOOKUP($B185,'B-1 Site Hedge Baseline'!$B$1:$L$257,8,FALSE))))</f>
        <v/>
      </c>
      <c r="I185" s="520" t="str">
        <f>IF(B185="","",IF(ISNA(VLOOKUP($B185,'B-1 Site Hedge Baseline'!$B$1:$L$257,10,FALSE)),"",(VLOOKUP($B185,'B-1 Site Hedge Baseline'!$B$1:$L$257,10,FALSE))))</f>
        <v/>
      </c>
      <c r="J185" s="520" t="str">
        <f>IF(B185="","",IF(ISNA(VLOOKUP($B185,'B-1 Site Hedge Baseline'!$B$1:$L$257,11,FALSE)),"",(VLOOKUP($B185,'B-1 Site Hedge Baseline'!$B$1:$L$257,11,FALSE))))</f>
        <v/>
      </c>
      <c r="K185" s="520" t="str">
        <f>IF(B185="","",IF(ISNA(VLOOKUP($B185,'B-1 Site Hedge Baseline'!$B$1:$U$257,13,FALSE)),"",(VLOOKUP($B185,'B-1 Site Hedge Baseline'!$B$1:$U$257,13,FALSE))))</f>
        <v/>
      </c>
      <c r="L185" s="524" t="str">
        <f>IF(B185="","",IF(ISNA(VLOOKUP($B185,'B-1 Site Hedge Baseline'!$B$1:$U$257,12,FALSE)),"",(VLOOKUP($B185,'B-1 Site Hedge Baseline'!$B$1:$U$257,12,FALSE))))</f>
        <v/>
      </c>
      <c r="M185" s="416" t="str">
        <f t="shared" si="23"/>
        <v/>
      </c>
      <c r="N185" s="498" t="str">
        <f>IFERROR(IF(B185="","",INDEX('G-6 Hedgerow Data'!$AN$3:$AZ$15,MATCH(C185,'G-6 Hedgerow Data'!$AM$3:$AM$15,0),MATCH(M185,'G-6 Hedgerow Data'!$AN$2:$AZ$2,0))),"")</f>
        <v/>
      </c>
      <c r="O185" s="499" t="str">
        <f t="shared" si="18"/>
        <v/>
      </c>
      <c r="P185" s="559" t="str">
        <f>IF(B185="","",VLOOKUP(B185,'B-1 Site Hedge Baseline'!$B$10:T430,16,FALSE))</f>
        <v/>
      </c>
      <c r="Q185" s="498" t="str">
        <f>IF(M185="","",VLOOKUP(M185,'G-6 Hedgerow Data'!$B$2:$AG$15,2,FALSE))</f>
        <v/>
      </c>
      <c r="R185" s="499" t="str">
        <f>IF(M185="","",VLOOKUP(M185,'G-6 Hedgerow Data'!$B$2:$AG$15,3,FALSE))</f>
        <v/>
      </c>
      <c r="S185" s="157"/>
      <c r="T185" s="540" t="str">
        <f>IFERROR(VLOOKUP(S185,'G-1 All Habitats'!$Z$2:$AA$9,2,FALSE),"")</f>
        <v/>
      </c>
      <c r="U185" s="154"/>
      <c r="V185" s="520" t="str">
        <f>IF(U185="","",IF(VLOOKUP(U185,'G-3 Multipliers'!$L$3:$N$6,2,FALSE)=0,"Spatial Data Missing ⚠",VLOOKUP(U185,'G-3 Multipliers'!$L$3:$N$6,2,FALSE)))</f>
        <v/>
      </c>
      <c r="W185" s="524" t="str">
        <f>IF(U185="","",IF(VLOOKUP(U185,'G-3 Multipliers'!$L$3:$N$6,3,FALSE)=0,"Spatial Data Missing ⚠",VLOOKUP(U185,'G-3 Multipliers'!$L$3:$N$6,3,FALSE)))</f>
        <v/>
      </c>
      <c r="X185" s="498"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7" t="str">
        <f t="shared" si="19"/>
        <v/>
      </c>
      <c r="AB185" s="521" t="str">
        <f t="shared" si="20"/>
        <v/>
      </c>
      <c r="AC185" s="522" t="str">
        <f t="shared" si="16"/>
        <v/>
      </c>
      <c r="AD185" s="537" t="str">
        <f>IF(M185="","",VLOOKUP(M185,'G-6 Hedgerow Data'!$B$3:$AG$15,31,FALSE))</f>
        <v/>
      </c>
      <c r="AE185" s="507" t="str">
        <f t="shared" si="21"/>
        <v/>
      </c>
      <c r="AF185" s="507" t="str">
        <f t="shared" si="22"/>
        <v/>
      </c>
      <c r="AG185" s="524" t="str">
        <f>IFERROR(IF(O185="","",VLOOKUP(AD185,'G-3 Multipliers'!$P$3:$Q$6,2,FALSE)),"")</f>
        <v/>
      </c>
      <c r="AH185" s="513" t="str">
        <f t="shared" si="17"/>
        <v/>
      </c>
      <c r="AI185" s="231"/>
      <c r="AJ185" s="150"/>
      <c r="AT185" s="31" t="str">
        <f>IFERROR(INDEX('G-6 Hedgerow Data'!$BJ$3:$BJ$15,MATCH(M185,'G-6 Hedgerow Data'!$B$3:$B$15,0)),"")</f>
        <v/>
      </c>
    </row>
    <row r="186" spans="2:46" ht="13.8" x14ac:dyDescent="0.25">
      <c r="B186" s="531" t="str">
        <f>'B-1 Site Hedge Baseline'!AK184</f>
        <v/>
      </c>
      <c r="C186" s="520" t="str">
        <f>IF(B186="","",IF(ISNA(VLOOKUP($B186,'B-1 Site Hedge Baseline'!$B$1:$L$257,3,FALSE)),"",(VLOOKUP($B186,'B-1 Site Hedge Baseline'!$B$1:$L$257,3,FALSE))))</f>
        <v/>
      </c>
      <c r="D186" s="520" t="str">
        <f>IF(B186="","",IF(ISNA(VLOOKUP($B186,'B-1 Site Hedge Baseline'!$B$1:$L$257,4,FALSE)),"",(VLOOKUP($B186,'B-1 Site Hedge Baseline'!$B$1:$L$257,4,FALSE))))</f>
        <v/>
      </c>
      <c r="E186" s="520" t="str">
        <f>IF(B186="","",IF(ISNA(VLOOKUP($B186,'B-1 Site Hedge Baseline'!$B$1:$L$257,5,FALSE)),"",(VLOOKUP($B186,'B-1 Site Hedge Baseline'!$B$1:$L$257,5,FALSE))))</f>
        <v/>
      </c>
      <c r="F186" s="520" t="str">
        <f>IF(B186="","",IF(ISNA(VLOOKUP($B186,'B-1 Site Hedge Baseline'!$B$1:$L$257,6,FALSE)),"",(VLOOKUP($B186,'B-1 Site Hedge Baseline'!$B$1:$L$257,6,FALSE))))</f>
        <v/>
      </c>
      <c r="G186" s="520" t="str">
        <f>IF(B186="","",IF(ISNA(VLOOKUP($B186,'B-1 Site Hedge Baseline'!$B$1:$L$257,7,FALSE)),"",(VLOOKUP($B186,'B-1 Site Hedge Baseline'!$B$1:$L$257,7,FALSE))))</f>
        <v/>
      </c>
      <c r="H186" s="520" t="str">
        <f>IF(B186="","",IF(ISNA(VLOOKUP($B186,'B-1 Site Hedge Baseline'!$B$1:$L$257,8,FALSE)),"",(VLOOKUP($B186,'B-1 Site Hedge Baseline'!$B$1:$L$257,8,FALSE))))</f>
        <v/>
      </c>
      <c r="I186" s="520" t="str">
        <f>IF(B186="","",IF(ISNA(VLOOKUP($B186,'B-1 Site Hedge Baseline'!$B$1:$L$257,10,FALSE)),"",(VLOOKUP($B186,'B-1 Site Hedge Baseline'!$B$1:$L$257,10,FALSE))))</f>
        <v/>
      </c>
      <c r="J186" s="520" t="str">
        <f>IF(B186="","",IF(ISNA(VLOOKUP($B186,'B-1 Site Hedge Baseline'!$B$1:$L$257,11,FALSE)),"",(VLOOKUP($B186,'B-1 Site Hedge Baseline'!$B$1:$L$257,11,FALSE))))</f>
        <v/>
      </c>
      <c r="K186" s="520" t="str">
        <f>IF(B186="","",IF(ISNA(VLOOKUP($B186,'B-1 Site Hedge Baseline'!$B$1:$U$257,13,FALSE)),"",(VLOOKUP($B186,'B-1 Site Hedge Baseline'!$B$1:$U$257,13,FALSE))))</f>
        <v/>
      </c>
      <c r="L186" s="524" t="str">
        <f>IF(B186="","",IF(ISNA(VLOOKUP($B186,'B-1 Site Hedge Baseline'!$B$1:$U$257,12,FALSE)),"",(VLOOKUP($B186,'B-1 Site Hedge Baseline'!$B$1:$U$257,12,FALSE))))</f>
        <v/>
      </c>
      <c r="M186" s="416" t="str">
        <f t="shared" si="23"/>
        <v/>
      </c>
      <c r="N186" s="498" t="str">
        <f>IFERROR(IF(B186="","",INDEX('G-6 Hedgerow Data'!$AN$3:$AZ$15,MATCH(C186,'G-6 Hedgerow Data'!$AM$3:$AM$15,0),MATCH(M186,'G-6 Hedgerow Data'!$AN$2:$AZ$2,0))),"")</f>
        <v/>
      </c>
      <c r="O186" s="499" t="str">
        <f t="shared" si="18"/>
        <v/>
      </c>
      <c r="P186" s="559" t="str">
        <f>IF(B186="","",VLOOKUP(B186,'B-1 Site Hedge Baseline'!$B$10:T431,16,FALSE))</f>
        <v/>
      </c>
      <c r="Q186" s="498" t="str">
        <f>IF(M186="","",VLOOKUP(M186,'G-6 Hedgerow Data'!$B$2:$AG$15,2,FALSE))</f>
        <v/>
      </c>
      <c r="R186" s="499" t="str">
        <f>IF(M186="","",VLOOKUP(M186,'G-6 Hedgerow Data'!$B$2:$AG$15,3,FALSE))</f>
        <v/>
      </c>
      <c r="S186" s="157"/>
      <c r="T186" s="540" t="str">
        <f>IFERROR(VLOOKUP(S186,'G-1 All Habitats'!$Z$2:$AA$9,2,FALSE),"")</f>
        <v/>
      </c>
      <c r="U186" s="154"/>
      <c r="V186" s="520" t="str">
        <f>IF(U186="","",IF(VLOOKUP(U186,'G-3 Multipliers'!$L$3:$N$6,2,FALSE)=0,"Spatial Data Missing ⚠",VLOOKUP(U186,'G-3 Multipliers'!$L$3:$N$6,2,FALSE)))</f>
        <v/>
      </c>
      <c r="W186" s="524" t="str">
        <f>IF(U186="","",IF(VLOOKUP(U186,'G-3 Multipliers'!$L$3:$N$6,3,FALSE)=0,"Spatial Data Missing ⚠",VLOOKUP(U186,'G-3 Multipliers'!$L$3:$N$6,3,FALSE)))</f>
        <v/>
      </c>
      <c r="X186" s="498"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7" t="str">
        <f t="shared" si="19"/>
        <v/>
      </c>
      <c r="AB186" s="521" t="str">
        <f t="shared" si="20"/>
        <v/>
      </c>
      <c r="AC186" s="522" t="str">
        <f t="shared" si="16"/>
        <v/>
      </c>
      <c r="AD186" s="537" t="str">
        <f>IF(M186="","",VLOOKUP(M186,'G-6 Hedgerow Data'!$B$3:$AG$15,31,FALSE))</f>
        <v/>
      </c>
      <c r="AE186" s="507" t="str">
        <f t="shared" si="21"/>
        <v/>
      </c>
      <c r="AF186" s="507" t="str">
        <f t="shared" si="22"/>
        <v/>
      </c>
      <c r="AG186" s="524" t="str">
        <f>IFERROR(IF(O186="","",VLOOKUP(AD186,'G-3 Multipliers'!$P$3:$Q$6,2,FALSE)),"")</f>
        <v/>
      </c>
      <c r="AH186" s="513" t="str">
        <f t="shared" si="17"/>
        <v/>
      </c>
      <c r="AI186" s="231"/>
      <c r="AJ186" s="150"/>
      <c r="AT186" s="31" t="str">
        <f>IFERROR(INDEX('G-6 Hedgerow Data'!$BJ$3:$BJ$15,MATCH(M186,'G-6 Hedgerow Data'!$B$3:$B$15,0)),"")</f>
        <v/>
      </c>
    </row>
    <row r="187" spans="2:46" ht="13.8" x14ac:dyDescent="0.25">
      <c r="B187" s="531" t="str">
        <f>'B-1 Site Hedge Baseline'!AK185</f>
        <v/>
      </c>
      <c r="C187" s="520" t="str">
        <f>IF(B187="","",IF(ISNA(VLOOKUP($B187,'B-1 Site Hedge Baseline'!$B$1:$L$257,3,FALSE)),"",(VLOOKUP($B187,'B-1 Site Hedge Baseline'!$B$1:$L$257,3,FALSE))))</f>
        <v/>
      </c>
      <c r="D187" s="520" t="str">
        <f>IF(B187="","",IF(ISNA(VLOOKUP($B187,'B-1 Site Hedge Baseline'!$B$1:$L$257,4,FALSE)),"",(VLOOKUP($B187,'B-1 Site Hedge Baseline'!$B$1:$L$257,4,FALSE))))</f>
        <v/>
      </c>
      <c r="E187" s="520" t="str">
        <f>IF(B187="","",IF(ISNA(VLOOKUP($B187,'B-1 Site Hedge Baseline'!$B$1:$L$257,5,FALSE)),"",(VLOOKUP($B187,'B-1 Site Hedge Baseline'!$B$1:$L$257,5,FALSE))))</f>
        <v/>
      </c>
      <c r="F187" s="520" t="str">
        <f>IF(B187="","",IF(ISNA(VLOOKUP($B187,'B-1 Site Hedge Baseline'!$B$1:$L$257,6,FALSE)),"",(VLOOKUP($B187,'B-1 Site Hedge Baseline'!$B$1:$L$257,6,FALSE))))</f>
        <v/>
      </c>
      <c r="G187" s="520" t="str">
        <f>IF(B187="","",IF(ISNA(VLOOKUP($B187,'B-1 Site Hedge Baseline'!$B$1:$L$257,7,FALSE)),"",(VLOOKUP($B187,'B-1 Site Hedge Baseline'!$B$1:$L$257,7,FALSE))))</f>
        <v/>
      </c>
      <c r="H187" s="520" t="str">
        <f>IF(B187="","",IF(ISNA(VLOOKUP($B187,'B-1 Site Hedge Baseline'!$B$1:$L$257,8,FALSE)),"",(VLOOKUP($B187,'B-1 Site Hedge Baseline'!$B$1:$L$257,8,FALSE))))</f>
        <v/>
      </c>
      <c r="I187" s="520" t="str">
        <f>IF(B187="","",IF(ISNA(VLOOKUP($B187,'B-1 Site Hedge Baseline'!$B$1:$L$257,10,FALSE)),"",(VLOOKUP($B187,'B-1 Site Hedge Baseline'!$B$1:$L$257,10,FALSE))))</f>
        <v/>
      </c>
      <c r="J187" s="520" t="str">
        <f>IF(B187="","",IF(ISNA(VLOOKUP($B187,'B-1 Site Hedge Baseline'!$B$1:$L$257,11,FALSE)),"",(VLOOKUP($B187,'B-1 Site Hedge Baseline'!$B$1:$L$257,11,FALSE))))</f>
        <v/>
      </c>
      <c r="K187" s="520" t="str">
        <f>IF(B187="","",IF(ISNA(VLOOKUP($B187,'B-1 Site Hedge Baseline'!$B$1:$U$257,13,FALSE)),"",(VLOOKUP($B187,'B-1 Site Hedge Baseline'!$B$1:$U$257,13,FALSE))))</f>
        <v/>
      </c>
      <c r="L187" s="524" t="str">
        <f>IF(B187="","",IF(ISNA(VLOOKUP($B187,'B-1 Site Hedge Baseline'!$B$1:$U$257,12,FALSE)),"",(VLOOKUP($B187,'B-1 Site Hedge Baseline'!$B$1:$U$257,12,FALSE))))</f>
        <v/>
      </c>
      <c r="M187" s="416" t="str">
        <f t="shared" si="23"/>
        <v/>
      </c>
      <c r="N187" s="498" t="str">
        <f>IFERROR(IF(B187="","",INDEX('G-6 Hedgerow Data'!$AN$3:$AZ$15,MATCH(C187,'G-6 Hedgerow Data'!$AM$3:$AM$15,0),MATCH(M187,'G-6 Hedgerow Data'!$AN$2:$AZ$2,0))),"")</f>
        <v/>
      </c>
      <c r="O187" s="499" t="str">
        <f t="shared" si="18"/>
        <v/>
      </c>
      <c r="P187" s="559" t="str">
        <f>IF(B187="","",VLOOKUP(B187,'B-1 Site Hedge Baseline'!$B$10:T432,16,FALSE))</f>
        <v/>
      </c>
      <c r="Q187" s="498" t="str">
        <f>IF(M187="","",VLOOKUP(M187,'G-6 Hedgerow Data'!$B$2:$AG$15,2,FALSE))</f>
        <v/>
      </c>
      <c r="R187" s="499" t="str">
        <f>IF(M187="","",VLOOKUP(M187,'G-6 Hedgerow Data'!$B$2:$AG$15,3,FALSE))</f>
        <v/>
      </c>
      <c r="S187" s="157"/>
      <c r="T187" s="540" t="str">
        <f>IFERROR(VLOOKUP(S187,'G-1 All Habitats'!$Z$2:$AA$9,2,FALSE),"")</f>
        <v/>
      </c>
      <c r="U187" s="154"/>
      <c r="V187" s="520" t="str">
        <f>IF(U187="","",IF(VLOOKUP(U187,'G-3 Multipliers'!$L$3:$N$6,2,FALSE)=0,"Spatial Data Missing ⚠",VLOOKUP(U187,'G-3 Multipliers'!$L$3:$N$6,2,FALSE)))</f>
        <v/>
      </c>
      <c r="W187" s="524" t="str">
        <f>IF(U187="","",IF(VLOOKUP(U187,'G-3 Multipliers'!$L$3:$N$6,3,FALSE)=0,"Spatial Data Missing ⚠",VLOOKUP(U187,'G-3 Multipliers'!$L$3:$N$6,3,FALSE)))</f>
        <v/>
      </c>
      <c r="X187" s="498"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7" t="str">
        <f t="shared" si="19"/>
        <v/>
      </c>
      <c r="AB187" s="521" t="str">
        <f t="shared" si="20"/>
        <v/>
      </c>
      <c r="AC187" s="522" t="str">
        <f t="shared" si="16"/>
        <v/>
      </c>
      <c r="AD187" s="537" t="str">
        <f>IF(M187="","",VLOOKUP(M187,'G-6 Hedgerow Data'!$B$3:$AG$15,31,FALSE))</f>
        <v/>
      </c>
      <c r="AE187" s="507" t="str">
        <f t="shared" si="21"/>
        <v/>
      </c>
      <c r="AF187" s="507" t="str">
        <f t="shared" si="22"/>
        <v/>
      </c>
      <c r="AG187" s="524" t="str">
        <f>IFERROR(IF(O187="","",VLOOKUP(AD187,'G-3 Multipliers'!$P$3:$Q$6,2,FALSE)),"")</f>
        <v/>
      </c>
      <c r="AH187" s="513" t="str">
        <f t="shared" si="17"/>
        <v/>
      </c>
      <c r="AI187" s="231"/>
      <c r="AJ187" s="150"/>
      <c r="AT187" s="31" t="str">
        <f>IFERROR(INDEX('G-6 Hedgerow Data'!$BJ$3:$BJ$15,MATCH(M187,'G-6 Hedgerow Data'!$B$3:$B$15,0)),"")</f>
        <v/>
      </c>
    </row>
    <row r="188" spans="2:46" ht="13.8" x14ac:dyDescent="0.25">
      <c r="B188" s="531" t="str">
        <f>'B-1 Site Hedge Baseline'!AK186</f>
        <v/>
      </c>
      <c r="C188" s="520" t="str">
        <f>IF(B188="","",IF(ISNA(VLOOKUP($B188,'B-1 Site Hedge Baseline'!$B$1:$L$257,3,FALSE)),"",(VLOOKUP($B188,'B-1 Site Hedge Baseline'!$B$1:$L$257,3,FALSE))))</f>
        <v/>
      </c>
      <c r="D188" s="520" t="str">
        <f>IF(B188="","",IF(ISNA(VLOOKUP($B188,'B-1 Site Hedge Baseline'!$B$1:$L$257,4,FALSE)),"",(VLOOKUP($B188,'B-1 Site Hedge Baseline'!$B$1:$L$257,4,FALSE))))</f>
        <v/>
      </c>
      <c r="E188" s="520" t="str">
        <f>IF(B188="","",IF(ISNA(VLOOKUP($B188,'B-1 Site Hedge Baseline'!$B$1:$L$257,5,FALSE)),"",(VLOOKUP($B188,'B-1 Site Hedge Baseline'!$B$1:$L$257,5,FALSE))))</f>
        <v/>
      </c>
      <c r="F188" s="520" t="str">
        <f>IF(B188="","",IF(ISNA(VLOOKUP($B188,'B-1 Site Hedge Baseline'!$B$1:$L$257,6,FALSE)),"",(VLOOKUP($B188,'B-1 Site Hedge Baseline'!$B$1:$L$257,6,FALSE))))</f>
        <v/>
      </c>
      <c r="G188" s="520" t="str">
        <f>IF(B188="","",IF(ISNA(VLOOKUP($B188,'B-1 Site Hedge Baseline'!$B$1:$L$257,7,FALSE)),"",(VLOOKUP($B188,'B-1 Site Hedge Baseline'!$B$1:$L$257,7,FALSE))))</f>
        <v/>
      </c>
      <c r="H188" s="520" t="str">
        <f>IF(B188="","",IF(ISNA(VLOOKUP($B188,'B-1 Site Hedge Baseline'!$B$1:$L$257,8,FALSE)),"",(VLOOKUP($B188,'B-1 Site Hedge Baseline'!$B$1:$L$257,8,FALSE))))</f>
        <v/>
      </c>
      <c r="I188" s="520" t="str">
        <f>IF(B188="","",IF(ISNA(VLOOKUP($B188,'B-1 Site Hedge Baseline'!$B$1:$L$257,10,FALSE)),"",(VLOOKUP($B188,'B-1 Site Hedge Baseline'!$B$1:$L$257,10,FALSE))))</f>
        <v/>
      </c>
      <c r="J188" s="520" t="str">
        <f>IF(B188="","",IF(ISNA(VLOOKUP($B188,'B-1 Site Hedge Baseline'!$B$1:$L$257,11,FALSE)),"",(VLOOKUP($B188,'B-1 Site Hedge Baseline'!$B$1:$L$257,11,FALSE))))</f>
        <v/>
      </c>
      <c r="K188" s="520" t="str">
        <f>IF(B188="","",IF(ISNA(VLOOKUP($B188,'B-1 Site Hedge Baseline'!$B$1:$U$257,13,FALSE)),"",(VLOOKUP($B188,'B-1 Site Hedge Baseline'!$B$1:$U$257,13,FALSE))))</f>
        <v/>
      </c>
      <c r="L188" s="524" t="str">
        <f>IF(B188="","",IF(ISNA(VLOOKUP($B188,'B-1 Site Hedge Baseline'!$B$1:$U$257,12,FALSE)),"",(VLOOKUP($B188,'B-1 Site Hedge Baseline'!$B$1:$U$257,12,FALSE))))</f>
        <v/>
      </c>
      <c r="M188" s="416" t="str">
        <f t="shared" si="23"/>
        <v/>
      </c>
      <c r="N188" s="498" t="str">
        <f>IFERROR(IF(B188="","",INDEX('G-6 Hedgerow Data'!$AN$3:$AZ$15,MATCH(C188,'G-6 Hedgerow Data'!$AM$3:$AM$15,0),MATCH(M188,'G-6 Hedgerow Data'!$AN$2:$AZ$2,0))),"")</f>
        <v/>
      </c>
      <c r="O188" s="499" t="str">
        <f t="shared" si="18"/>
        <v/>
      </c>
      <c r="P188" s="559" t="str">
        <f>IF(B188="","",VLOOKUP(B188,'B-1 Site Hedge Baseline'!$B$10:T433,16,FALSE))</f>
        <v/>
      </c>
      <c r="Q188" s="498" t="str">
        <f>IF(M188="","",VLOOKUP(M188,'G-6 Hedgerow Data'!$B$2:$AG$15,2,FALSE))</f>
        <v/>
      </c>
      <c r="R188" s="499" t="str">
        <f>IF(M188="","",VLOOKUP(M188,'G-6 Hedgerow Data'!$B$2:$AG$15,3,FALSE))</f>
        <v/>
      </c>
      <c r="S188" s="157"/>
      <c r="T188" s="540" t="str">
        <f>IFERROR(VLOOKUP(S188,'G-1 All Habitats'!$Z$2:$AA$9,2,FALSE),"")</f>
        <v/>
      </c>
      <c r="U188" s="154"/>
      <c r="V188" s="520" t="str">
        <f>IF(U188="","",IF(VLOOKUP(U188,'G-3 Multipliers'!$L$3:$N$6,2,FALSE)=0,"Spatial Data Missing ⚠",VLOOKUP(U188,'G-3 Multipliers'!$L$3:$N$6,2,FALSE)))</f>
        <v/>
      </c>
      <c r="W188" s="524" t="str">
        <f>IF(U188="","",IF(VLOOKUP(U188,'G-3 Multipliers'!$L$3:$N$6,3,FALSE)=0,"Spatial Data Missing ⚠",VLOOKUP(U188,'G-3 Multipliers'!$L$3:$N$6,3,FALSE)))</f>
        <v/>
      </c>
      <c r="X188" s="498"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7" t="str">
        <f t="shared" si="19"/>
        <v/>
      </c>
      <c r="AB188" s="521" t="str">
        <f t="shared" si="20"/>
        <v/>
      </c>
      <c r="AC188" s="522" t="str">
        <f t="shared" si="16"/>
        <v/>
      </c>
      <c r="AD188" s="537" t="str">
        <f>IF(M188="","",VLOOKUP(M188,'G-6 Hedgerow Data'!$B$3:$AG$15,31,FALSE))</f>
        <v/>
      </c>
      <c r="AE188" s="507" t="str">
        <f t="shared" si="21"/>
        <v/>
      </c>
      <c r="AF188" s="507" t="str">
        <f t="shared" si="22"/>
        <v/>
      </c>
      <c r="AG188" s="524" t="str">
        <f>IFERROR(IF(O188="","",VLOOKUP(AD188,'G-3 Multipliers'!$P$3:$Q$6,2,FALSE)),"")</f>
        <v/>
      </c>
      <c r="AH188" s="513" t="str">
        <f t="shared" si="17"/>
        <v/>
      </c>
      <c r="AI188" s="231"/>
      <c r="AJ188" s="150"/>
      <c r="AT188" s="31" t="str">
        <f>IFERROR(INDEX('G-6 Hedgerow Data'!$BJ$3:$BJ$15,MATCH(M188,'G-6 Hedgerow Data'!$B$3:$B$15,0)),"")</f>
        <v/>
      </c>
    </row>
    <row r="189" spans="2:46" ht="13.8" x14ac:dyDescent="0.25">
      <c r="B189" s="531" t="str">
        <f>'B-1 Site Hedge Baseline'!AK187</f>
        <v/>
      </c>
      <c r="C189" s="520" t="str">
        <f>IF(B189="","",IF(ISNA(VLOOKUP($B189,'B-1 Site Hedge Baseline'!$B$1:$L$257,3,FALSE)),"",(VLOOKUP($B189,'B-1 Site Hedge Baseline'!$B$1:$L$257,3,FALSE))))</f>
        <v/>
      </c>
      <c r="D189" s="520" t="str">
        <f>IF(B189="","",IF(ISNA(VLOOKUP($B189,'B-1 Site Hedge Baseline'!$B$1:$L$257,4,FALSE)),"",(VLOOKUP($B189,'B-1 Site Hedge Baseline'!$B$1:$L$257,4,FALSE))))</f>
        <v/>
      </c>
      <c r="E189" s="520" t="str">
        <f>IF(B189="","",IF(ISNA(VLOOKUP($B189,'B-1 Site Hedge Baseline'!$B$1:$L$257,5,FALSE)),"",(VLOOKUP($B189,'B-1 Site Hedge Baseline'!$B$1:$L$257,5,FALSE))))</f>
        <v/>
      </c>
      <c r="F189" s="520" t="str">
        <f>IF(B189="","",IF(ISNA(VLOOKUP($B189,'B-1 Site Hedge Baseline'!$B$1:$L$257,6,FALSE)),"",(VLOOKUP($B189,'B-1 Site Hedge Baseline'!$B$1:$L$257,6,FALSE))))</f>
        <v/>
      </c>
      <c r="G189" s="520" t="str">
        <f>IF(B189="","",IF(ISNA(VLOOKUP($B189,'B-1 Site Hedge Baseline'!$B$1:$L$257,7,FALSE)),"",(VLOOKUP($B189,'B-1 Site Hedge Baseline'!$B$1:$L$257,7,FALSE))))</f>
        <v/>
      </c>
      <c r="H189" s="520" t="str">
        <f>IF(B189="","",IF(ISNA(VLOOKUP($B189,'B-1 Site Hedge Baseline'!$B$1:$L$257,8,FALSE)),"",(VLOOKUP($B189,'B-1 Site Hedge Baseline'!$B$1:$L$257,8,FALSE))))</f>
        <v/>
      </c>
      <c r="I189" s="520" t="str">
        <f>IF(B189="","",IF(ISNA(VLOOKUP($B189,'B-1 Site Hedge Baseline'!$B$1:$L$257,10,FALSE)),"",(VLOOKUP($B189,'B-1 Site Hedge Baseline'!$B$1:$L$257,10,FALSE))))</f>
        <v/>
      </c>
      <c r="J189" s="520" t="str">
        <f>IF(B189="","",IF(ISNA(VLOOKUP($B189,'B-1 Site Hedge Baseline'!$B$1:$L$257,11,FALSE)),"",(VLOOKUP($B189,'B-1 Site Hedge Baseline'!$B$1:$L$257,11,FALSE))))</f>
        <v/>
      </c>
      <c r="K189" s="520" t="str">
        <f>IF(B189="","",IF(ISNA(VLOOKUP($B189,'B-1 Site Hedge Baseline'!$B$1:$U$257,13,FALSE)),"",(VLOOKUP($B189,'B-1 Site Hedge Baseline'!$B$1:$U$257,13,FALSE))))</f>
        <v/>
      </c>
      <c r="L189" s="524" t="str">
        <f>IF(B189="","",IF(ISNA(VLOOKUP($B189,'B-1 Site Hedge Baseline'!$B$1:$U$257,12,FALSE)),"",(VLOOKUP($B189,'B-1 Site Hedge Baseline'!$B$1:$U$257,12,FALSE))))</f>
        <v/>
      </c>
      <c r="M189" s="416" t="str">
        <f t="shared" si="23"/>
        <v/>
      </c>
      <c r="N189" s="498" t="str">
        <f>IFERROR(IF(B189="","",INDEX('G-6 Hedgerow Data'!$AN$3:$AZ$15,MATCH(C189,'G-6 Hedgerow Data'!$AM$3:$AM$15,0),MATCH(M189,'G-6 Hedgerow Data'!$AN$2:$AZ$2,0))),"")</f>
        <v/>
      </c>
      <c r="O189" s="499" t="str">
        <f t="shared" si="18"/>
        <v/>
      </c>
      <c r="P189" s="559" t="str">
        <f>IF(B189="","",VLOOKUP(B189,'B-1 Site Hedge Baseline'!$B$10:T434,16,FALSE))</f>
        <v/>
      </c>
      <c r="Q189" s="498" t="str">
        <f>IF(M189="","",VLOOKUP(M189,'G-6 Hedgerow Data'!$B$2:$AG$15,2,FALSE))</f>
        <v/>
      </c>
      <c r="R189" s="499" t="str">
        <f>IF(M189="","",VLOOKUP(M189,'G-6 Hedgerow Data'!$B$2:$AG$15,3,FALSE))</f>
        <v/>
      </c>
      <c r="S189" s="157"/>
      <c r="T189" s="540" t="str">
        <f>IFERROR(VLOOKUP(S189,'G-1 All Habitats'!$Z$2:$AA$9,2,FALSE),"")</f>
        <v/>
      </c>
      <c r="U189" s="154"/>
      <c r="V189" s="520" t="str">
        <f>IF(U189="","",IF(VLOOKUP(U189,'G-3 Multipliers'!$L$3:$N$6,2,FALSE)=0,"Spatial Data Missing ⚠",VLOOKUP(U189,'G-3 Multipliers'!$L$3:$N$6,2,FALSE)))</f>
        <v/>
      </c>
      <c r="W189" s="524" t="str">
        <f>IF(U189="","",IF(VLOOKUP(U189,'G-3 Multipliers'!$L$3:$N$6,3,FALSE)=0,"Spatial Data Missing ⚠",VLOOKUP(U189,'G-3 Multipliers'!$L$3:$N$6,3,FALSE)))</f>
        <v/>
      </c>
      <c r="X189" s="498"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7" t="str">
        <f t="shared" si="19"/>
        <v/>
      </c>
      <c r="AB189" s="521" t="str">
        <f t="shared" si="20"/>
        <v/>
      </c>
      <c r="AC189" s="522" t="str">
        <f t="shared" si="16"/>
        <v/>
      </c>
      <c r="AD189" s="537" t="str">
        <f>IF(M189="","",VLOOKUP(M189,'G-6 Hedgerow Data'!$B$3:$AG$15,31,FALSE))</f>
        <v/>
      </c>
      <c r="AE189" s="507" t="str">
        <f t="shared" si="21"/>
        <v/>
      </c>
      <c r="AF189" s="507" t="str">
        <f t="shared" si="22"/>
        <v/>
      </c>
      <c r="AG189" s="524" t="str">
        <f>IFERROR(IF(O189="","",VLOOKUP(AD189,'G-3 Multipliers'!$P$3:$Q$6,2,FALSE)),"")</f>
        <v/>
      </c>
      <c r="AH189" s="513" t="str">
        <f t="shared" si="17"/>
        <v/>
      </c>
      <c r="AI189" s="231"/>
      <c r="AJ189" s="150"/>
      <c r="AT189" s="31" t="str">
        <f>IFERROR(INDEX('G-6 Hedgerow Data'!$BJ$3:$BJ$15,MATCH(M189,'G-6 Hedgerow Data'!$B$3:$B$15,0)),"")</f>
        <v/>
      </c>
    </row>
    <row r="190" spans="2:46" ht="13.8" x14ac:dyDescent="0.25">
      <c r="B190" s="531" t="str">
        <f>'B-1 Site Hedge Baseline'!AK188</f>
        <v/>
      </c>
      <c r="C190" s="520" t="str">
        <f>IF(B190="","",IF(ISNA(VLOOKUP($B190,'B-1 Site Hedge Baseline'!$B$1:$L$257,3,FALSE)),"",(VLOOKUP($B190,'B-1 Site Hedge Baseline'!$B$1:$L$257,3,FALSE))))</f>
        <v/>
      </c>
      <c r="D190" s="520" t="str">
        <f>IF(B190="","",IF(ISNA(VLOOKUP($B190,'B-1 Site Hedge Baseline'!$B$1:$L$257,4,FALSE)),"",(VLOOKUP($B190,'B-1 Site Hedge Baseline'!$B$1:$L$257,4,FALSE))))</f>
        <v/>
      </c>
      <c r="E190" s="520" t="str">
        <f>IF(B190="","",IF(ISNA(VLOOKUP($B190,'B-1 Site Hedge Baseline'!$B$1:$L$257,5,FALSE)),"",(VLOOKUP($B190,'B-1 Site Hedge Baseline'!$B$1:$L$257,5,FALSE))))</f>
        <v/>
      </c>
      <c r="F190" s="520" t="str">
        <f>IF(B190="","",IF(ISNA(VLOOKUP($B190,'B-1 Site Hedge Baseline'!$B$1:$L$257,6,FALSE)),"",(VLOOKUP($B190,'B-1 Site Hedge Baseline'!$B$1:$L$257,6,FALSE))))</f>
        <v/>
      </c>
      <c r="G190" s="520" t="str">
        <f>IF(B190="","",IF(ISNA(VLOOKUP($B190,'B-1 Site Hedge Baseline'!$B$1:$L$257,7,FALSE)),"",(VLOOKUP($B190,'B-1 Site Hedge Baseline'!$B$1:$L$257,7,FALSE))))</f>
        <v/>
      </c>
      <c r="H190" s="520" t="str">
        <f>IF(B190="","",IF(ISNA(VLOOKUP($B190,'B-1 Site Hedge Baseline'!$B$1:$L$257,8,FALSE)),"",(VLOOKUP($B190,'B-1 Site Hedge Baseline'!$B$1:$L$257,8,FALSE))))</f>
        <v/>
      </c>
      <c r="I190" s="520" t="str">
        <f>IF(B190="","",IF(ISNA(VLOOKUP($B190,'B-1 Site Hedge Baseline'!$B$1:$L$257,10,FALSE)),"",(VLOOKUP($B190,'B-1 Site Hedge Baseline'!$B$1:$L$257,10,FALSE))))</f>
        <v/>
      </c>
      <c r="J190" s="520" t="str">
        <f>IF(B190="","",IF(ISNA(VLOOKUP($B190,'B-1 Site Hedge Baseline'!$B$1:$L$257,11,FALSE)),"",(VLOOKUP($B190,'B-1 Site Hedge Baseline'!$B$1:$L$257,11,FALSE))))</f>
        <v/>
      </c>
      <c r="K190" s="520" t="str">
        <f>IF(B190="","",IF(ISNA(VLOOKUP($B190,'B-1 Site Hedge Baseline'!$B$1:$U$257,13,FALSE)),"",(VLOOKUP($B190,'B-1 Site Hedge Baseline'!$B$1:$U$257,13,FALSE))))</f>
        <v/>
      </c>
      <c r="L190" s="524" t="str">
        <f>IF(B190="","",IF(ISNA(VLOOKUP($B190,'B-1 Site Hedge Baseline'!$B$1:$U$257,12,FALSE)),"",(VLOOKUP($B190,'B-1 Site Hedge Baseline'!$B$1:$U$257,12,FALSE))))</f>
        <v/>
      </c>
      <c r="M190" s="416" t="str">
        <f t="shared" si="23"/>
        <v/>
      </c>
      <c r="N190" s="498" t="str">
        <f>IFERROR(IF(B190="","",INDEX('G-6 Hedgerow Data'!$AN$3:$AZ$15,MATCH(C190,'G-6 Hedgerow Data'!$AM$3:$AM$15,0),MATCH(M190,'G-6 Hedgerow Data'!$AN$2:$AZ$2,0))),"")</f>
        <v/>
      </c>
      <c r="O190" s="499" t="str">
        <f t="shared" si="18"/>
        <v/>
      </c>
      <c r="P190" s="559" t="str">
        <f>IF(B190="","",VLOOKUP(B190,'B-1 Site Hedge Baseline'!$B$10:T435,16,FALSE))</f>
        <v/>
      </c>
      <c r="Q190" s="498" t="str">
        <f>IF(M190="","",VLOOKUP(M190,'G-6 Hedgerow Data'!$B$2:$AG$15,2,FALSE))</f>
        <v/>
      </c>
      <c r="R190" s="499" t="str">
        <f>IF(M190="","",VLOOKUP(M190,'G-6 Hedgerow Data'!$B$2:$AG$15,3,FALSE))</f>
        <v/>
      </c>
      <c r="S190" s="157"/>
      <c r="T190" s="540" t="str">
        <f>IFERROR(VLOOKUP(S190,'G-1 All Habitats'!$Z$2:$AA$9,2,FALSE),"")</f>
        <v/>
      </c>
      <c r="U190" s="154"/>
      <c r="V190" s="520" t="str">
        <f>IF(U190="","",IF(VLOOKUP(U190,'G-3 Multipliers'!$L$3:$N$6,2,FALSE)=0,"Spatial Data Missing ⚠",VLOOKUP(U190,'G-3 Multipliers'!$L$3:$N$6,2,FALSE)))</f>
        <v/>
      </c>
      <c r="W190" s="524" t="str">
        <f>IF(U190="","",IF(VLOOKUP(U190,'G-3 Multipliers'!$L$3:$N$6,3,FALSE)=0,"Spatial Data Missing ⚠",VLOOKUP(U190,'G-3 Multipliers'!$L$3:$N$6,3,FALSE)))</f>
        <v/>
      </c>
      <c r="X190" s="498"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7" t="str">
        <f t="shared" si="19"/>
        <v/>
      </c>
      <c r="AB190" s="521" t="str">
        <f t="shared" si="20"/>
        <v/>
      </c>
      <c r="AC190" s="522" t="str">
        <f t="shared" si="16"/>
        <v/>
      </c>
      <c r="AD190" s="537" t="str">
        <f>IF(M190="","",VLOOKUP(M190,'G-6 Hedgerow Data'!$B$3:$AG$15,31,FALSE))</f>
        <v/>
      </c>
      <c r="AE190" s="507" t="str">
        <f t="shared" si="21"/>
        <v/>
      </c>
      <c r="AF190" s="507" t="str">
        <f t="shared" si="22"/>
        <v/>
      </c>
      <c r="AG190" s="524" t="str">
        <f>IFERROR(IF(O190="","",VLOOKUP(AD190,'G-3 Multipliers'!$P$3:$Q$6,2,FALSE)),"")</f>
        <v/>
      </c>
      <c r="AH190" s="513" t="str">
        <f t="shared" si="17"/>
        <v/>
      </c>
      <c r="AI190" s="231"/>
      <c r="AJ190" s="150"/>
      <c r="AT190" s="31" t="str">
        <f>IFERROR(INDEX('G-6 Hedgerow Data'!$BJ$3:$BJ$15,MATCH(M190,'G-6 Hedgerow Data'!$B$3:$B$15,0)),"")</f>
        <v/>
      </c>
    </row>
    <row r="191" spans="2:46" ht="13.8" x14ac:dyDescent="0.25">
      <c r="B191" s="531" t="str">
        <f>'B-1 Site Hedge Baseline'!AK189</f>
        <v/>
      </c>
      <c r="C191" s="520" t="str">
        <f>IF(B191="","",IF(ISNA(VLOOKUP($B191,'B-1 Site Hedge Baseline'!$B$1:$L$257,3,FALSE)),"",(VLOOKUP($B191,'B-1 Site Hedge Baseline'!$B$1:$L$257,3,FALSE))))</f>
        <v/>
      </c>
      <c r="D191" s="520" t="str">
        <f>IF(B191="","",IF(ISNA(VLOOKUP($B191,'B-1 Site Hedge Baseline'!$B$1:$L$257,4,FALSE)),"",(VLOOKUP($B191,'B-1 Site Hedge Baseline'!$B$1:$L$257,4,FALSE))))</f>
        <v/>
      </c>
      <c r="E191" s="520" t="str">
        <f>IF(B191="","",IF(ISNA(VLOOKUP($B191,'B-1 Site Hedge Baseline'!$B$1:$L$257,5,FALSE)),"",(VLOOKUP($B191,'B-1 Site Hedge Baseline'!$B$1:$L$257,5,FALSE))))</f>
        <v/>
      </c>
      <c r="F191" s="520" t="str">
        <f>IF(B191="","",IF(ISNA(VLOOKUP($B191,'B-1 Site Hedge Baseline'!$B$1:$L$257,6,FALSE)),"",(VLOOKUP($B191,'B-1 Site Hedge Baseline'!$B$1:$L$257,6,FALSE))))</f>
        <v/>
      </c>
      <c r="G191" s="520" t="str">
        <f>IF(B191="","",IF(ISNA(VLOOKUP($B191,'B-1 Site Hedge Baseline'!$B$1:$L$257,7,FALSE)),"",(VLOOKUP($B191,'B-1 Site Hedge Baseline'!$B$1:$L$257,7,FALSE))))</f>
        <v/>
      </c>
      <c r="H191" s="520" t="str">
        <f>IF(B191="","",IF(ISNA(VLOOKUP($B191,'B-1 Site Hedge Baseline'!$B$1:$L$257,8,FALSE)),"",(VLOOKUP($B191,'B-1 Site Hedge Baseline'!$B$1:$L$257,8,FALSE))))</f>
        <v/>
      </c>
      <c r="I191" s="520" t="str">
        <f>IF(B191="","",IF(ISNA(VLOOKUP($B191,'B-1 Site Hedge Baseline'!$B$1:$L$257,10,FALSE)),"",(VLOOKUP($B191,'B-1 Site Hedge Baseline'!$B$1:$L$257,10,FALSE))))</f>
        <v/>
      </c>
      <c r="J191" s="520" t="str">
        <f>IF(B191="","",IF(ISNA(VLOOKUP($B191,'B-1 Site Hedge Baseline'!$B$1:$L$257,11,FALSE)),"",(VLOOKUP($B191,'B-1 Site Hedge Baseline'!$B$1:$L$257,11,FALSE))))</f>
        <v/>
      </c>
      <c r="K191" s="520" t="str">
        <f>IF(B191="","",IF(ISNA(VLOOKUP($B191,'B-1 Site Hedge Baseline'!$B$1:$U$257,13,FALSE)),"",(VLOOKUP($B191,'B-1 Site Hedge Baseline'!$B$1:$U$257,13,FALSE))))</f>
        <v/>
      </c>
      <c r="L191" s="524" t="str">
        <f>IF(B191="","",IF(ISNA(VLOOKUP($B191,'B-1 Site Hedge Baseline'!$B$1:$U$257,12,FALSE)),"",(VLOOKUP($B191,'B-1 Site Hedge Baseline'!$B$1:$U$257,12,FALSE))))</f>
        <v/>
      </c>
      <c r="M191" s="416" t="str">
        <f t="shared" si="23"/>
        <v/>
      </c>
      <c r="N191" s="498" t="str">
        <f>IFERROR(IF(B191="","",INDEX('G-6 Hedgerow Data'!$AN$3:$AZ$15,MATCH(C191,'G-6 Hedgerow Data'!$AM$3:$AM$15,0),MATCH(M191,'G-6 Hedgerow Data'!$AN$2:$AZ$2,0))),"")</f>
        <v/>
      </c>
      <c r="O191" s="499" t="str">
        <f t="shared" si="18"/>
        <v/>
      </c>
      <c r="P191" s="559" t="str">
        <f>IF(B191="","",VLOOKUP(B191,'B-1 Site Hedge Baseline'!$B$10:T436,16,FALSE))</f>
        <v/>
      </c>
      <c r="Q191" s="498" t="str">
        <f>IF(M191="","",VLOOKUP(M191,'G-6 Hedgerow Data'!$B$2:$AG$15,2,FALSE))</f>
        <v/>
      </c>
      <c r="R191" s="499" t="str">
        <f>IF(M191="","",VLOOKUP(M191,'G-6 Hedgerow Data'!$B$2:$AG$15,3,FALSE))</f>
        <v/>
      </c>
      <c r="S191" s="157"/>
      <c r="T191" s="540" t="str">
        <f>IFERROR(VLOOKUP(S191,'G-1 All Habitats'!$Z$2:$AA$9,2,FALSE),"")</f>
        <v/>
      </c>
      <c r="U191" s="154"/>
      <c r="V191" s="520" t="str">
        <f>IF(U191="","",IF(VLOOKUP(U191,'G-3 Multipliers'!$L$3:$N$6,2,FALSE)=0,"Spatial Data Missing ⚠",VLOOKUP(U191,'G-3 Multipliers'!$L$3:$N$6,2,FALSE)))</f>
        <v/>
      </c>
      <c r="W191" s="524" t="str">
        <f>IF(U191="","",IF(VLOOKUP(U191,'G-3 Multipliers'!$L$3:$N$6,3,FALSE)=0,"Spatial Data Missing ⚠",VLOOKUP(U191,'G-3 Multipliers'!$L$3:$N$6,3,FALSE)))</f>
        <v/>
      </c>
      <c r="X191" s="498"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7" t="str">
        <f t="shared" si="19"/>
        <v/>
      </c>
      <c r="AB191" s="521" t="str">
        <f t="shared" si="20"/>
        <v/>
      </c>
      <c r="AC191" s="522" t="str">
        <f t="shared" si="16"/>
        <v/>
      </c>
      <c r="AD191" s="537" t="str">
        <f>IF(M191="","",VLOOKUP(M191,'G-6 Hedgerow Data'!$B$3:$AG$15,31,FALSE))</f>
        <v/>
      </c>
      <c r="AE191" s="507" t="str">
        <f t="shared" si="21"/>
        <v/>
      </c>
      <c r="AF191" s="507" t="str">
        <f t="shared" si="22"/>
        <v/>
      </c>
      <c r="AG191" s="524" t="str">
        <f>IFERROR(IF(O191="","",VLOOKUP(AD191,'G-3 Multipliers'!$P$3:$Q$6,2,FALSE)),"")</f>
        <v/>
      </c>
      <c r="AH191" s="513" t="str">
        <f t="shared" si="17"/>
        <v/>
      </c>
      <c r="AI191" s="231"/>
      <c r="AJ191" s="150"/>
      <c r="AT191" s="31" t="str">
        <f>IFERROR(INDEX('G-6 Hedgerow Data'!$BJ$3:$BJ$15,MATCH(M191,'G-6 Hedgerow Data'!$B$3:$B$15,0)),"")</f>
        <v/>
      </c>
    </row>
    <row r="192" spans="2:46" ht="13.8" x14ac:dyDescent="0.25">
      <c r="B192" s="531" t="str">
        <f>'B-1 Site Hedge Baseline'!AK190</f>
        <v/>
      </c>
      <c r="C192" s="520" t="str">
        <f>IF(B192="","",IF(ISNA(VLOOKUP($B192,'B-1 Site Hedge Baseline'!$B$1:$L$257,3,FALSE)),"",(VLOOKUP($B192,'B-1 Site Hedge Baseline'!$B$1:$L$257,3,FALSE))))</f>
        <v/>
      </c>
      <c r="D192" s="520" t="str">
        <f>IF(B192="","",IF(ISNA(VLOOKUP($B192,'B-1 Site Hedge Baseline'!$B$1:$L$257,4,FALSE)),"",(VLOOKUP($B192,'B-1 Site Hedge Baseline'!$B$1:$L$257,4,FALSE))))</f>
        <v/>
      </c>
      <c r="E192" s="520" t="str">
        <f>IF(B192="","",IF(ISNA(VLOOKUP($B192,'B-1 Site Hedge Baseline'!$B$1:$L$257,5,FALSE)),"",(VLOOKUP($B192,'B-1 Site Hedge Baseline'!$B$1:$L$257,5,FALSE))))</f>
        <v/>
      </c>
      <c r="F192" s="520" t="str">
        <f>IF(B192="","",IF(ISNA(VLOOKUP($B192,'B-1 Site Hedge Baseline'!$B$1:$L$257,6,FALSE)),"",(VLOOKUP($B192,'B-1 Site Hedge Baseline'!$B$1:$L$257,6,FALSE))))</f>
        <v/>
      </c>
      <c r="G192" s="520" t="str">
        <f>IF(B192="","",IF(ISNA(VLOOKUP($B192,'B-1 Site Hedge Baseline'!$B$1:$L$257,7,FALSE)),"",(VLOOKUP($B192,'B-1 Site Hedge Baseline'!$B$1:$L$257,7,FALSE))))</f>
        <v/>
      </c>
      <c r="H192" s="520" t="str">
        <f>IF(B192="","",IF(ISNA(VLOOKUP($B192,'B-1 Site Hedge Baseline'!$B$1:$L$257,8,FALSE)),"",(VLOOKUP($B192,'B-1 Site Hedge Baseline'!$B$1:$L$257,8,FALSE))))</f>
        <v/>
      </c>
      <c r="I192" s="520" t="str">
        <f>IF(B192="","",IF(ISNA(VLOOKUP($B192,'B-1 Site Hedge Baseline'!$B$1:$L$257,10,FALSE)),"",(VLOOKUP($B192,'B-1 Site Hedge Baseline'!$B$1:$L$257,10,FALSE))))</f>
        <v/>
      </c>
      <c r="J192" s="520" t="str">
        <f>IF(B192="","",IF(ISNA(VLOOKUP($B192,'B-1 Site Hedge Baseline'!$B$1:$L$257,11,FALSE)),"",(VLOOKUP($B192,'B-1 Site Hedge Baseline'!$B$1:$L$257,11,FALSE))))</f>
        <v/>
      </c>
      <c r="K192" s="520" t="str">
        <f>IF(B192="","",IF(ISNA(VLOOKUP($B192,'B-1 Site Hedge Baseline'!$B$1:$U$257,13,FALSE)),"",(VLOOKUP($B192,'B-1 Site Hedge Baseline'!$B$1:$U$257,13,FALSE))))</f>
        <v/>
      </c>
      <c r="L192" s="524" t="str">
        <f>IF(B192="","",IF(ISNA(VLOOKUP($B192,'B-1 Site Hedge Baseline'!$B$1:$U$257,12,FALSE)),"",(VLOOKUP($B192,'B-1 Site Hedge Baseline'!$B$1:$U$257,12,FALSE))))</f>
        <v/>
      </c>
      <c r="M192" s="416" t="str">
        <f t="shared" si="23"/>
        <v/>
      </c>
      <c r="N192" s="498" t="str">
        <f>IFERROR(IF(B192="","",INDEX('G-6 Hedgerow Data'!$AN$3:$AZ$15,MATCH(C192,'G-6 Hedgerow Data'!$AM$3:$AM$15,0),MATCH(M192,'G-6 Hedgerow Data'!$AN$2:$AZ$2,0))),"")</f>
        <v/>
      </c>
      <c r="O192" s="499" t="str">
        <f t="shared" si="18"/>
        <v/>
      </c>
      <c r="P192" s="559" t="str">
        <f>IF(B192="","",VLOOKUP(B192,'B-1 Site Hedge Baseline'!$B$10:T437,16,FALSE))</f>
        <v/>
      </c>
      <c r="Q192" s="498" t="str">
        <f>IF(M192="","",VLOOKUP(M192,'G-6 Hedgerow Data'!$B$2:$AG$15,2,FALSE))</f>
        <v/>
      </c>
      <c r="R192" s="499" t="str">
        <f>IF(M192="","",VLOOKUP(M192,'G-6 Hedgerow Data'!$B$2:$AG$15,3,FALSE))</f>
        <v/>
      </c>
      <c r="S192" s="157"/>
      <c r="T192" s="540" t="str">
        <f>IFERROR(VLOOKUP(S192,'G-1 All Habitats'!$Z$2:$AA$9,2,FALSE),"")</f>
        <v/>
      </c>
      <c r="U192" s="154"/>
      <c r="V192" s="520" t="str">
        <f>IF(U192="","",IF(VLOOKUP(U192,'G-3 Multipliers'!$L$3:$N$6,2,FALSE)=0,"Spatial Data Missing ⚠",VLOOKUP(U192,'G-3 Multipliers'!$L$3:$N$6,2,FALSE)))</f>
        <v/>
      </c>
      <c r="W192" s="524" t="str">
        <f>IF(U192="","",IF(VLOOKUP(U192,'G-3 Multipliers'!$L$3:$N$6,3,FALSE)=0,"Spatial Data Missing ⚠",VLOOKUP(U192,'G-3 Multipliers'!$L$3:$N$6,3,FALSE)))</f>
        <v/>
      </c>
      <c r="X192" s="498"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7" t="str">
        <f t="shared" si="19"/>
        <v/>
      </c>
      <c r="AB192" s="521" t="str">
        <f t="shared" si="20"/>
        <v/>
      </c>
      <c r="AC192" s="522" t="str">
        <f t="shared" si="16"/>
        <v/>
      </c>
      <c r="AD192" s="537" t="str">
        <f>IF(M192="","",VLOOKUP(M192,'G-6 Hedgerow Data'!$B$3:$AG$15,31,FALSE))</f>
        <v/>
      </c>
      <c r="AE192" s="507" t="str">
        <f t="shared" si="21"/>
        <v/>
      </c>
      <c r="AF192" s="507" t="str">
        <f t="shared" si="22"/>
        <v/>
      </c>
      <c r="AG192" s="524" t="str">
        <f>IFERROR(IF(O192="","",VLOOKUP(AD192,'G-3 Multipliers'!$P$3:$Q$6,2,FALSE)),"")</f>
        <v/>
      </c>
      <c r="AH192" s="513" t="str">
        <f t="shared" si="17"/>
        <v/>
      </c>
      <c r="AI192" s="231"/>
      <c r="AJ192" s="150"/>
      <c r="AT192" s="31" t="str">
        <f>IFERROR(INDEX('G-6 Hedgerow Data'!$BJ$3:$BJ$15,MATCH(M192,'G-6 Hedgerow Data'!$B$3:$B$15,0)),"")</f>
        <v/>
      </c>
    </row>
    <row r="193" spans="2:46" ht="13.8" x14ac:dyDescent="0.25">
      <c r="B193" s="531" t="str">
        <f>'B-1 Site Hedge Baseline'!AK191</f>
        <v/>
      </c>
      <c r="C193" s="520" t="str">
        <f>IF(B193="","",IF(ISNA(VLOOKUP($B193,'B-1 Site Hedge Baseline'!$B$1:$L$257,3,FALSE)),"",(VLOOKUP($B193,'B-1 Site Hedge Baseline'!$B$1:$L$257,3,FALSE))))</f>
        <v/>
      </c>
      <c r="D193" s="520" t="str">
        <f>IF(B193="","",IF(ISNA(VLOOKUP($B193,'B-1 Site Hedge Baseline'!$B$1:$L$257,4,FALSE)),"",(VLOOKUP($B193,'B-1 Site Hedge Baseline'!$B$1:$L$257,4,FALSE))))</f>
        <v/>
      </c>
      <c r="E193" s="520" t="str">
        <f>IF(B193="","",IF(ISNA(VLOOKUP($B193,'B-1 Site Hedge Baseline'!$B$1:$L$257,5,FALSE)),"",(VLOOKUP($B193,'B-1 Site Hedge Baseline'!$B$1:$L$257,5,FALSE))))</f>
        <v/>
      </c>
      <c r="F193" s="520" t="str">
        <f>IF(B193="","",IF(ISNA(VLOOKUP($B193,'B-1 Site Hedge Baseline'!$B$1:$L$257,6,FALSE)),"",(VLOOKUP($B193,'B-1 Site Hedge Baseline'!$B$1:$L$257,6,FALSE))))</f>
        <v/>
      </c>
      <c r="G193" s="520" t="str">
        <f>IF(B193="","",IF(ISNA(VLOOKUP($B193,'B-1 Site Hedge Baseline'!$B$1:$L$257,7,FALSE)),"",(VLOOKUP($B193,'B-1 Site Hedge Baseline'!$B$1:$L$257,7,FALSE))))</f>
        <v/>
      </c>
      <c r="H193" s="520" t="str">
        <f>IF(B193="","",IF(ISNA(VLOOKUP($B193,'B-1 Site Hedge Baseline'!$B$1:$L$257,8,FALSE)),"",(VLOOKUP($B193,'B-1 Site Hedge Baseline'!$B$1:$L$257,8,FALSE))))</f>
        <v/>
      </c>
      <c r="I193" s="520" t="str">
        <f>IF(B193="","",IF(ISNA(VLOOKUP($B193,'B-1 Site Hedge Baseline'!$B$1:$L$257,10,FALSE)),"",(VLOOKUP($B193,'B-1 Site Hedge Baseline'!$B$1:$L$257,10,FALSE))))</f>
        <v/>
      </c>
      <c r="J193" s="520" t="str">
        <f>IF(B193="","",IF(ISNA(VLOOKUP($B193,'B-1 Site Hedge Baseline'!$B$1:$L$257,11,FALSE)),"",(VLOOKUP($B193,'B-1 Site Hedge Baseline'!$B$1:$L$257,11,FALSE))))</f>
        <v/>
      </c>
      <c r="K193" s="520" t="str">
        <f>IF(B193="","",IF(ISNA(VLOOKUP($B193,'B-1 Site Hedge Baseline'!$B$1:$U$257,13,FALSE)),"",(VLOOKUP($B193,'B-1 Site Hedge Baseline'!$B$1:$U$257,13,FALSE))))</f>
        <v/>
      </c>
      <c r="L193" s="524" t="str">
        <f>IF(B193="","",IF(ISNA(VLOOKUP($B193,'B-1 Site Hedge Baseline'!$B$1:$U$257,12,FALSE)),"",(VLOOKUP($B193,'B-1 Site Hedge Baseline'!$B$1:$U$257,12,FALSE))))</f>
        <v/>
      </c>
      <c r="M193" s="416" t="str">
        <f t="shared" si="23"/>
        <v/>
      </c>
      <c r="N193" s="498" t="str">
        <f>IFERROR(IF(B193="","",INDEX('G-6 Hedgerow Data'!$AN$3:$AZ$15,MATCH(C193,'G-6 Hedgerow Data'!$AM$3:$AM$15,0),MATCH(M193,'G-6 Hedgerow Data'!$AN$2:$AZ$2,0))),"")</f>
        <v/>
      </c>
      <c r="O193" s="499" t="str">
        <f t="shared" si="18"/>
        <v/>
      </c>
      <c r="P193" s="559" t="str">
        <f>IF(B193="","",VLOOKUP(B193,'B-1 Site Hedge Baseline'!$B$10:T438,16,FALSE))</f>
        <v/>
      </c>
      <c r="Q193" s="498" t="str">
        <f>IF(M193="","",VLOOKUP(M193,'G-6 Hedgerow Data'!$B$2:$AG$15,2,FALSE))</f>
        <v/>
      </c>
      <c r="R193" s="499" t="str">
        <f>IF(M193="","",VLOOKUP(M193,'G-6 Hedgerow Data'!$B$2:$AG$15,3,FALSE))</f>
        <v/>
      </c>
      <c r="S193" s="157"/>
      <c r="T193" s="540" t="str">
        <f>IFERROR(VLOOKUP(S193,'G-1 All Habitats'!$Z$2:$AA$9,2,FALSE),"")</f>
        <v/>
      </c>
      <c r="U193" s="154"/>
      <c r="V193" s="520" t="str">
        <f>IF(U193="","",IF(VLOOKUP(U193,'G-3 Multipliers'!$L$3:$N$6,2,FALSE)=0,"Spatial Data Missing ⚠",VLOOKUP(U193,'G-3 Multipliers'!$L$3:$N$6,2,FALSE)))</f>
        <v/>
      </c>
      <c r="W193" s="524" t="str">
        <f>IF(U193="","",IF(VLOOKUP(U193,'G-3 Multipliers'!$L$3:$N$6,3,FALSE)=0,"Spatial Data Missing ⚠",VLOOKUP(U193,'G-3 Multipliers'!$L$3:$N$6,3,FALSE)))</f>
        <v/>
      </c>
      <c r="X193" s="498"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7" t="str">
        <f t="shared" si="19"/>
        <v/>
      </c>
      <c r="AB193" s="521" t="str">
        <f t="shared" si="20"/>
        <v/>
      </c>
      <c r="AC193" s="522" t="str">
        <f t="shared" si="16"/>
        <v/>
      </c>
      <c r="AD193" s="537" t="str">
        <f>IF(M193="","",VLOOKUP(M193,'G-6 Hedgerow Data'!$B$3:$AG$15,31,FALSE))</f>
        <v/>
      </c>
      <c r="AE193" s="507" t="str">
        <f t="shared" si="21"/>
        <v/>
      </c>
      <c r="AF193" s="507" t="str">
        <f t="shared" si="22"/>
        <v/>
      </c>
      <c r="AG193" s="524" t="str">
        <f>IFERROR(IF(O193="","",VLOOKUP(AD193,'G-3 Multipliers'!$P$3:$Q$6,2,FALSE)),"")</f>
        <v/>
      </c>
      <c r="AH193" s="513" t="str">
        <f t="shared" si="17"/>
        <v/>
      </c>
      <c r="AI193" s="231"/>
      <c r="AJ193" s="150"/>
      <c r="AT193" s="31" t="str">
        <f>IFERROR(INDEX('G-6 Hedgerow Data'!$BJ$3:$BJ$15,MATCH(M193,'G-6 Hedgerow Data'!$B$3:$B$15,0)),"")</f>
        <v/>
      </c>
    </row>
    <row r="194" spans="2:46" ht="13.8" x14ac:dyDescent="0.25">
      <c r="B194" s="531" t="str">
        <f>'B-1 Site Hedge Baseline'!AK192</f>
        <v/>
      </c>
      <c r="C194" s="520" t="str">
        <f>IF(B194="","",IF(ISNA(VLOOKUP($B194,'B-1 Site Hedge Baseline'!$B$1:$L$257,3,FALSE)),"",(VLOOKUP($B194,'B-1 Site Hedge Baseline'!$B$1:$L$257,3,FALSE))))</f>
        <v/>
      </c>
      <c r="D194" s="520" t="str">
        <f>IF(B194="","",IF(ISNA(VLOOKUP($B194,'B-1 Site Hedge Baseline'!$B$1:$L$257,4,FALSE)),"",(VLOOKUP($B194,'B-1 Site Hedge Baseline'!$B$1:$L$257,4,FALSE))))</f>
        <v/>
      </c>
      <c r="E194" s="520" t="str">
        <f>IF(B194="","",IF(ISNA(VLOOKUP($B194,'B-1 Site Hedge Baseline'!$B$1:$L$257,5,FALSE)),"",(VLOOKUP($B194,'B-1 Site Hedge Baseline'!$B$1:$L$257,5,FALSE))))</f>
        <v/>
      </c>
      <c r="F194" s="520" t="str">
        <f>IF(B194="","",IF(ISNA(VLOOKUP($B194,'B-1 Site Hedge Baseline'!$B$1:$L$257,6,FALSE)),"",(VLOOKUP($B194,'B-1 Site Hedge Baseline'!$B$1:$L$257,6,FALSE))))</f>
        <v/>
      </c>
      <c r="G194" s="520" t="str">
        <f>IF(B194="","",IF(ISNA(VLOOKUP($B194,'B-1 Site Hedge Baseline'!$B$1:$L$257,7,FALSE)),"",(VLOOKUP($B194,'B-1 Site Hedge Baseline'!$B$1:$L$257,7,FALSE))))</f>
        <v/>
      </c>
      <c r="H194" s="520" t="str">
        <f>IF(B194="","",IF(ISNA(VLOOKUP($B194,'B-1 Site Hedge Baseline'!$B$1:$L$257,8,FALSE)),"",(VLOOKUP($B194,'B-1 Site Hedge Baseline'!$B$1:$L$257,8,FALSE))))</f>
        <v/>
      </c>
      <c r="I194" s="520" t="str">
        <f>IF(B194="","",IF(ISNA(VLOOKUP($B194,'B-1 Site Hedge Baseline'!$B$1:$L$257,10,FALSE)),"",(VLOOKUP($B194,'B-1 Site Hedge Baseline'!$B$1:$L$257,10,FALSE))))</f>
        <v/>
      </c>
      <c r="J194" s="520" t="str">
        <f>IF(B194="","",IF(ISNA(VLOOKUP($B194,'B-1 Site Hedge Baseline'!$B$1:$L$257,11,FALSE)),"",(VLOOKUP($B194,'B-1 Site Hedge Baseline'!$B$1:$L$257,11,FALSE))))</f>
        <v/>
      </c>
      <c r="K194" s="520" t="str">
        <f>IF(B194="","",IF(ISNA(VLOOKUP($B194,'B-1 Site Hedge Baseline'!$B$1:$U$257,13,FALSE)),"",(VLOOKUP($B194,'B-1 Site Hedge Baseline'!$B$1:$U$257,13,FALSE))))</f>
        <v/>
      </c>
      <c r="L194" s="524" t="str">
        <f>IF(B194="","",IF(ISNA(VLOOKUP($B194,'B-1 Site Hedge Baseline'!$B$1:$U$257,12,FALSE)),"",(VLOOKUP($B194,'B-1 Site Hedge Baseline'!$B$1:$U$257,12,FALSE))))</f>
        <v/>
      </c>
      <c r="M194" s="416" t="str">
        <f t="shared" si="23"/>
        <v/>
      </c>
      <c r="N194" s="498" t="str">
        <f>IFERROR(IF(B194="","",INDEX('G-6 Hedgerow Data'!$AN$3:$AZ$15,MATCH(C194,'G-6 Hedgerow Data'!$AM$3:$AM$15,0),MATCH(M194,'G-6 Hedgerow Data'!$AN$2:$AZ$2,0))),"")</f>
        <v/>
      </c>
      <c r="O194" s="499" t="str">
        <f t="shared" si="18"/>
        <v/>
      </c>
      <c r="P194" s="559" t="str">
        <f>IF(B194="","",VLOOKUP(B194,'B-1 Site Hedge Baseline'!$B$10:T439,16,FALSE))</f>
        <v/>
      </c>
      <c r="Q194" s="498" t="str">
        <f>IF(M194="","",VLOOKUP(M194,'G-6 Hedgerow Data'!$B$2:$AG$15,2,FALSE))</f>
        <v/>
      </c>
      <c r="R194" s="499" t="str">
        <f>IF(M194="","",VLOOKUP(M194,'G-6 Hedgerow Data'!$B$2:$AG$15,3,FALSE))</f>
        <v/>
      </c>
      <c r="S194" s="157"/>
      <c r="T194" s="540" t="str">
        <f>IFERROR(VLOOKUP(S194,'G-1 All Habitats'!$Z$2:$AA$9,2,FALSE),"")</f>
        <v/>
      </c>
      <c r="U194" s="154"/>
      <c r="V194" s="520" t="str">
        <f>IF(U194="","",IF(VLOOKUP(U194,'G-3 Multipliers'!$L$3:$N$6,2,FALSE)=0,"Spatial Data Missing ⚠",VLOOKUP(U194,'G-3 Multipliers'!$L$3:$N$6,2,FALSE)))</f>
        <v/>
      </c>
      <c r="W194" s="524" t="str">
        <f>IF(U194="","",IF(VLOOKUP(U194,'G-3 Multipliers'!$L$3:$N$6,3,FALSE)=0,"Spatial Data Missing ⚠",VLOOKUP(U194,'G-3 Multipliers'!$L$3:$N$6,3,FALSE)))</f>
        <v/>
      </c>
      <c r="X194" s="498"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7" t="str">
        <f t="shared" si="19"/>
        <v/>
      </c>
      <c r="AB194" s="521" t="str">
        <f t="shared" si="20"/>
        <v/>
      </c>
      <c r="AC194" s="522" t="str">
        <f t="shared" si="16"/>
        <v/>
      </c>
      <c r="AD194" s="537" t="str">
        <f>IF(M194="","",VLOOKUP(M194,'G-6 Hedgerow Data'!$B$3:$AG$15,31,FALSE))</f>
        <v/>
      </c>
      <c r="AE194" s="507" t="str">
        <f t="shared" si="21"/>
        <v/>
      </c>
      <c r="AF194" s="507" t="str">
        <f t="shared" si="22"/>
        <v/>
      </c>
      <c r="AG194" s="524" t="str">
        <f>IFERROR(IF(O194="","",VLOOKUP(AD194,'G-3 Multipliers'!$P$3:$Q$6,2,FALSE)),"")</f>
        <v/>
      </c>
      <c r="AH194" s="513" t="str">
        <f t="shared" si="17"/>
        <v/>
      </c>
      <c r="AI194" s="231"/>
      <c r="AJ194" s="150"/>
      <c r="AT194" s="31" t="str">
        <f>IFERROR(INDEX('G-6 Hedgerow Data'!$BJ$3:$BJ$15,MATCH(M194,'G-6 Hedgerow Data'!$B$3:$B$15,0)),"")</f>
        <v/>
      </c>
    </row>
    <row r="195" spans="2:46" ht="13.8" x14ac:dyDescent="0.25">
      <c r="B195" s="531" t="str">
        <f>'B-1 Site Hedge Baseline'!AK193</f>
        <v/>
      </c>
      <c r="C195" s="520" t="str">
        <f>IF(B195="","",IF(ISNA(VLOOKUP($B195,'B-1 Site Hedge Baseline'!$B$1:$L$257,3,FALSE)),"",(VLOOKUP($B195,'B-1 Site Hedge Baseline'!$B$1:$L$257,3,FALSE))))</f>
        <v/>
      </c>
      <c r="D195" s="520" t="str">
        <f>IF(B195="","",IF(ISNA(VLOOKUP($B195,'B-1 Site Hedge Baseline'!$B$1:$L$257,4,FALSE)),"",(VLOOKUP($B195,'B-1 Site Hedge Baseline'!$B$1:$L$257,4,FALSE))))</f>
        <v/>
      </c>
      <c r="E195" s="520" t="str">
        <f>IF(B195="","",IF(ISNA(VLOOKUP($B195,'B-1 Site Hedge Baseline'!$B$1:$L$257,5,FALSE)),"",(VLOOKUP($B195,'B-1 Site Hedge Baseline'!$B$1:$L$257,5,FALSE))))</f>
        <v/>
      </c>
      <c r="F195" s="520" t="str">
        <f>IF(B195="","",IF(ISNA(VLOOKUP($B195,'B-1 Site Hedge Baseline'!$B$1:$L$257,6,FALSE)),"",(VLOOKUP($B195,'B-1 Site Hedge Baseline'!$B$1:$L$257,6,FALSE))))</f>
        <v/>
      </c>
      <c r="G195" s="520" t="str">
        <f>IF(B195="","",IF(ISNA(VLOOKUP($B195,'B-1 Site Hedge Baseline'!$B$1:$L$257,7,FALSE)),"",(VLOOKUP($B195,'B-1 Site Hedge Baseline'!$B$1:$L$257,7,FALSE))))</f>
        <v/>
      </c>
      <c r="H195" s="520" t="str">
        <f>IF(B195="","",IF(ISNA(VLOOKUP($B195,'B-1 Site Hedge Baseline'!$B$1:$L$257,8,FALSE)),"",(VLOOKUP($B195,'B-1 Site Hedge Baseline'!$B$1:$L$257,8,FALSE))))</f>
        <v/>
      </c>
      <c r="I195" s="520" t="str">
        <f>IF(B195="","",IF(ISNA(VLOOKUP($B195,'B-1 Site Hedge Baseline'!$B$1:$L$257,10,FALSE)),"",(VLOOKUP($B195,'B-1 Site Hedge Baseline'!$B$1:$L$257,10,FALSE))))</f>
        <v/>
      </c>
      <c r="J195" s="520" t="str">
        <f>IF(B195="","",IF(ISNA(VLOOKUP($B195,'B-1 Site Hedge Baseline'!$B$1:$L$257,11,FALSE)),"",(VLOOKUP($B195,'B-1 Site Hedge Baseline'!$B$1:$L$257,11,FALSE))))</f>
        <v/>
      </c>
      <c r="K195" s="520" t="str">
        <f>IF(B195="","",IF(ISNA(VLOOKUP($B195,'B-1 Site Hedge Baseline'!$B$1:$U$257,13,FALSE)),"",(VLOOKUP($B195,'B-1 Site Hedge Baseline'!$B$1:$U$257,13,FALSE))))</f>
        <v/>
      </c>
      <c r="L195" s="524" t="str">
        <f>IF(B195="","",IF(ISNA(VLOOKUP($B195,'B-1 Site Hedge Baseline'!$B$1:$U$257,12,FALSE)),"",(VLOOKUP($B195,'B-1 Site Hedge Baseline'!$B$1:$U$257,12,FALSE))))</f>
        <v/>
      </c>
      <c r="M195" s="416" t="str">
        <f t="shared" si="23"/>
        <v/>
      </c>
      <c r="N195" s="498" t="str">
        <f>IFERROR(IF(B195="","",INDEX('G-6 Hedgerow Data'!$AN$3:$AZ$15,MATCH(C195,'G-6 Hedgerow Data'!$AM$3:$AM$15,0),MATCH(M195,'G-6 Hedgerow Data'!$AN$2:$AZ$2,0))),"")</f>
        <v/>
      </c>
      <c r="O195" s="499" t="str">
        <f t="shared" si="18"/>
        <v/>
      </c>
      <c r="P195" s="559" t="str">
        <f>IF(B195="","",VLOOKUP(B195,'B-1 Site Hedge Baseline'!$B$10:T440,16,FALSE))</f>
        <v/>
      </c>
      <c r="Q195" s="498" t="str">
        <f>IF(M195="","",VLOOKUP(M195,'G-6 Hedgerow Data'!$B$2:$AG$15,2,FALSE))</f>
        <v/>
      </c>
      <c r="R195" s="499" t="str">
        <f>IF(M195="","",VLOOKUP(M195,'G-6 Hedgerow Data'!$B$2:$AG$15,3,FALSE))</f>
        <v/>
      </c>
      <c r="S195" s="157"/>
      <c r="T195" s="540" t="str">
        <f>IFERROR(VLOOKUP(S195,'G-1 All Habitats'!$Z$2:$AA$9,2,FALSE),"")</f>
        <v/>
      </c>
      <c r="U195" s="154"/>
      <c r="V195" s="520" t="str">
        <f>IF(U195="","",IF(VLOOKUP(U195,'G-3 Multipliers'!$L$3:$N$6,2,FALSE)=0,"Spatial Data Missing ⚠",VLOOKUP(U195,'G-3 Multipliers'!$L$3:$N$6,2,FALSE)))</f>
        <v/>
      </c>
      <c r="W195" s="524" t="str">
        <f>IF(U195="","",IF(VLOOKUP(U195,'G-3 Multipliers'!$L$3:$N$6,3,FALSE)=0,"Spatial Data Missing ⚠",VLOOKUP(U195,'G-3 Multipliers'!$L$3:$N$6,3,FALSE)))</f>
        <v/>
      </c>
      <c r="X195" s="498"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7" t="str">
        <f t="shared" si="19"/>
        <v/>
      </c>
      <c r="AB195" s="521" t="str">
        <f t="shared" si="20"/>
        <v/>
      </c>
      <c r="AC195" s="522" t="str">
        <f t="shared" si="16"/>
        <v/>
      </c>
      <c r="AD195" s="537" t="str">
        <f>IF(M195="","",VLOOKUP(M195,'G-6 Hedgerow Data'!$B$3:$AG$15,31,FALSE))</f>
        <v/>
      </c>
      <c r="AE195" s="507" t="str">
        <f t="shared" si="21"/>
        <v/>
      </c>
      <c r="AF195" s="507" t="str">
        <f t="shared" si="22"/>
        <v/>
      </c>
      <c r="AG195" s="524" t="str">
        <f>IFERROR(IF(O195="","",VLOOKUP(AD195,'G-3 Multipliers'!$P$3:$Q$6,2,FALSE)),"")</f>
        <v/>
      </c>
      <c r="AH195" s="513" t="str">
        <f t="shared" si="17"/>
        <v/>
      </c>
      <c r="AI195" s="231"/>
      <c r="AJ195" s="150"/>
      <c r="AT195" s="31" t="str">
        <f>IFERROR(INDEX('G-6 Hedgerow Data'!$BJ$3:$BJ$15,MATCH(M195,'G-6 Hedgerow Data'!$B$3:$B$15,0)),"")</f>
        <v/>
      </c>
    </row>
    <row r="196" spans="2:46" ht="13.8" x14ac:dyDescent="0.25">
      <c r="B196" s="531" t="str">
        <f>'B-1 Site Hedge Baseline'!AK194</f>
        <v/>
      </c>
      <c r="C196" s="520" t="str">
        <f>IF(B196="","",IF(ISNA(VLOOKUP($B196,'B-1 Site Hedge Baseline'!$B$1:$L$257,3,FALSE)),"",(VLOOKUP($B196,'B-1 Site Hedge Baseline'!$B$1:$L$257,3,FALSE))))</f>
        <v/>
      </c>
      <c r="D196" s="520" t="str">
        <f>IF(B196="","",IF(ISNA(VLOOKUP($B196,'B-1 Site Hedge Baseline'!$B$1:$L$257,4,FALSE)),"",(VLOOKUP($B196,'B-1 Site Hedge Baseline'!$B$1:$L$257,4,FALSE))))</f>
        <v/>
      </c>
      <c r="E196" s="520" t="str">
        <f>IF(B196="","",IF(ISNA(VLOOKUP($B196,'B-1 Site Hedge Baseline'!$B$1:$L$257,5,FALSE)),"",(VLOOKUP($B196,'B-1 Site Hedge Baseline'!$B$1:$L$257,5,FALSE))))</f>
        <v/>
      </c>
      <c r="F196" s="520" t="str">
        <f>IF(B196="","",IF(ISNA(VLOOKUP($B196,'B-1 Site Hedge Baseline'!$B$1:$L$257,6,FALSE)),"",(VLOOKUP($B196,'B-1 Site Hedge Baseline'!$B$1:$L$257,6,FALSE))))</f>
        <v/>
      </c>
      <c r="G196" s="520" t="str">
        <f>IF(B196="","",IF(ISNA(VLOOKUP($B196,'B-1 Site Hedge Baseline'!$B$1:$L$257,7,FALSE)),"",(VLOOKUP($B196,'B-1 Site Hedge Baseline'!$B$1:$L$257,7,FALSE))))</f>
        <v/>
      </c>
      <c r="H196" s="520" t="str">
        <f>IF(B196="","",IF(ISNA(VLOOKUP($B196,'B-1 Site Hedge Baseline'!$B$1:$L$257,8,FALSE)),"",(VLOOKUP($B196,'B-1 Site Hedge Baseline'!$B$1:$L$257,8,FALSE))))</f>
        <v/>
      </c>
      <c r="I196" s="520" t="str">
        <f>IF(B196="","",IF(ISNA(VLOOKUP($B196,'B-1 Site Hedge Baseline'!$B$1:$L$257,10,FALSE)),"",(VLOOKUP($B196,'B-1 Site Hedge Baseline'!$B$1:$L$257,10,FALSE))))</f>
        <v/>
      </c>
      <c r="J196" s="520" t="str">
        <f>IF(B196="","",IF(ISNA(VLOOKUP($B196,'B-1 Site Hedge Baseline'!$B$1:$L$257,11,FALSE)),"",(VLOOKUP($B196,'B-1 Site Hedge Baseline'!$B$1:$L$257,11,FALSE))))</f>
        <v/>
      </c>
      <c r="K196" s="520" t="str">
        <f>IF(B196="","",IF(ISNA(VLOOKUP($B196,'B-1 Site Hedge Baseline'!$B$1:$U$257,13,FALSE)),"",(VLOOKUP($B196,'B-1 Site Hedge Baseline'!$B$1:$U$257,13,FALSE))))</f>
        <v/>
      </c>
      <c r="L196" s="524" t="str">
        <f>IF(B196="","",IF(ISNA(VLOOKUP($B196,'B-1 Site Hedge Baseline'!$B$1:$U$257,12,FALSE)),"",(VLOOKUP($B196,'B-1 Site Hedge Baseline'!$B$1:$U$257,12,FALSE))))</f>
        <v/>
      </c>
      <c r="M196" s="416" t="str">
        <f t="shared" si="23"/>
        <v/>
      </c>
      <c r="N196" s="498" t="str">
        <f>IFERROR(IF(B196="","",INDEX('G-6 Hedgerow Data'!$AN$3:$AZ$15,MATCH(C196,'G-6 Hedgerow Data'!$AM$3:$AM$15,0),MATCH(M196,'G-6 Hedgerow Data'!$AN$2:$AZ$2,0))),"")</f>
        <v/>
      </c>
      <c r="O196" s="499" t="str">
        <f t="shared" si="18"/>
        <v/>
      </c>
      <c r="P196" s="559" t="str">
        <f>IF(B196="","",VLOOKUP(B196,'B-1 Site Hedge Baseline'!$B$10:T441,16,FALSE))</f>
        <v/>
      </c>
      <c r="Q196" s="498" t="str">
        <f>IF(M196="","",VLOOKUP(M196,'G-6 Hedgerow Data'!$B$2:$AG$15,2,FALSE))</f>
        <v/>
      </c>
      <c r="R196" s="499" t="str">
        <f>IF(M196="","",VLOOKUP(M196,'G-6 Hedgerow Data'!$B$2:$AG$15,3,FALSE))</f>
        <v/>
      </c>
      <c r="S196" s="157"/>
      <c r="T196" s="540" t="str">
        <f>IFERROR(VLOOKUP(S196,'G-1 All Habitats'!$Z$2:$AA$9,2,FALSE),"")</f>
        <v/>
      </c>
      <c r="U196" s="154"/>
      <c r="V196" s="520" t="str">
        <f>IF(U196="","",IF(VLOOKUP(U196,'G-3 Multipliers'!$L$3:$N$6,2,FALSE)=0,"Spatial Data Missing ⚠",VLOOKUP(U196,'G-3 Multipliers'!$L$3:$N$6,2,FALSE)))</f>
        <v/>
      </c>
      <c r="W196" s="524" t="str">
        <f>IF(U196="","",IF(VLOOKUP(U196,'G-3 Multipliers'!$L$3:$N$6,3,FALSE)=0,"Spatial Data Missing ⚠",VLOOKUP(U196,'G-3 Multipliers'!$L$3:$N$6,3,FALSE)))</f>
        <v/>
      </c>
      <c r="X196" s="498"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7" t="str">
        <f t="shared" si="19"/>
        <v/>
      </c>
      <c r="AB196" s="521" t="str">
        <f t="shared" si="20"/>
        <v/>
      </c>
      <c r="AC196" s="522" t="str">
        <f t="shared" si="16"/>
        <v/>
      </c>
      <c r="AD196" s="537" t="str">
        <f>IF(M196="","",VLOOKUP(M196,'G-6 Hedgerow Data'!$B$3:$AG$15,31,FALSE))</f>
        <v/>
      </c>
      <c r="AE196" s="507" t="str">
        <f t="shared" si="21"/>
        <v/>
      </c>
      <c r="AF196" s="507" t="str">
        <f t="shared" si="22"/>
        <v/>
      </c>
      <c r="AG196" s="524" t="str">
        <f>IFERROR(IF(O196="","",VLOOKUP(AD196,'G-3 Multipliers'!$P$3:$Q$6,2,FALSE)),"")</f>
        <v/>
      </c>
      <c r="AH196" s="513" t="str">
        <f t="shared" si="17"/>
        <v/>
      </c>
      <c r="AI196" s="231"/>
      <c r="AJ196" s="150"/>
      <c r="AT196" s="31" t="str">
        <f>IFERROR(INDEX('G-6 Hedgerow Data'!$BJ$3:$BJ$15,MATCH(M196,'G-6 Hedgerow Data'!$B$3:$B$15,0)),"")</f>
        <v/>
      </c>
    </row>
    <row r="197" spans="2:46" ht="13.8" x14ac:dyDescent="0.25">
      <c r="B197" s="531" t="str">
        <f>'B-1 Site Hedge Baseline'!AK195</f>
        <v/>
      </c>
      <c r="C197" s="520" t="str">
        <f>IF(B197="","",IF(ISNA(VLOOKUP($B197,'B-1 Site Hedge Baseline'!$B$1:$L$257,3,FALSE)),"",(VLOOKUP($B197,'B-1 Site Hedge Baseline'!$B$1:$L$257,3,FALSE))))</f>
        <v/>
      </c>
      <c r="D197" s="520" t="str">
        <f>IF(B197="","",IF(ISNA(VLOOKUP($B197,'B-1 Site Hedge Baseline'!$B$1:$L$257,4,FALSE)),"",(VLOOKUP($B197,'B-1 Site Hedge Baseline'!$B$1:$L$257,4,FALSE))))</f>
        <v/>
      </c>
      <c r="E197" s="520" t="str">
        <f>IF(B197="","",IF(ISNA(VLOOKUP($B197,'B-1 Site Hedge Baseline'!$B$1:$L$257,5,FALSE)),"",(VLOOKUP($B197,'B-1 Site Hedge Baseline'!$B$1:$L$257,5,FALSE))))</f>
        <v/>
      </c>
      <c r="F197" s="520" t="str">
        <f>IF(B197="","",IF(ISNA(VLOOKUP($B197,'B-1 Site Hedge Baseline'!$B$1:$L$257,6,FALSE)),"",(VLOOKUP($B197,'B-1 Site Hedge Baseline'!$B$1:$L$257,6,FALSE))))</f>
        <v/>
      </c>
      <c r="G197" s="520" t="str">
        <f>IF(B197="","",IF(ISNA(VLOOKUP($B197,'B-1 Site Hedge Baseline'!$B$1:$L$257,7,FALSE)),"",(VLOOKUP($B197,'B-1 Site Hedge Baseline'!$B$1:$L$257,7,FALSE))))</f>
        <v/>
      </c>
      <c r="H197" s="520" t="str">
        <f>IF(B197="","",IF(ISNA(VLOOKUP($B197,'B-1 Site Hedge Baseline'!$B$1:$L$257,8,FALSE)),"",(VLOOKUP($B197,'B-1 Site Hedge Baseline'!$B$1:$L$257,8,FALSE))))</f>
        <v/>
      </c>
      <c r="I197" s="520" t="str">
        <f>IF(B197="","",IF(ISNA(VLOOKUP($B197,'B-1 Site Hedge Baseline'!$B$1:$L$257,10,FALSE)),"",(VLOOKUP($B197,'B-1 Site Hedge Baseline'!$B$1:$L$257,10,FALSE))))</f>
        <v/>
      </c>
      <c r="J197" s="520" t="str">
        <f>IF(B197="","",IF(ISNA(VLOOKUP($B197,'B-1 Site Hedge Baseline'!$B$1:$L$257,11,FALSE)),"",(VLOOKUP($B197,'B-1 Site Hedge Baseline'!$B$1:$L$257,11,FALSE))))</f>
        <v/>
      </c>
      <c r="K197" s="520" t="str">
        <f>IF(B197="","",IF(ISNA(VLOOKUP($B197,'B-1 Site Hedge Baseline'!$B$1:$U$257,13,FALSE)),"",(VLOOKUP($B197,'B-1 Site Hedge Baseline'!$B$1:$U$257,13,FALSE))))</f>
        <v/>
      </c>
      <c r="L197" s="524" t="str">
        <f>IF(B197="","",IF(ISNA(VLOOKUP($B197,'B-1 Site Hedge Baseline'!$B$1:$U$257,12,FALSE)),"",(VLOOKUP($B197,'B-1 Site Hedge Baseline'!$B$1:$U$257,12,FALSE))))</f>
        <v/>
      </c>
      <c r="M197" s="416" t="str">
        <f t="shared" si="23"/>
        <v/>
      </c>
      <c r="N197" s="498" t="str">
        <f>IFERROR(IF(B197="","",INDEX('G-6 Hedgerow Data'!$AN$3:$AZ$15,MATCH(C197,'G-6 Hedgerow Data'!$AM$3:$AM$15,0),MATCH(M197,'G-6 Hedgerow Data'!$AN$2:$AZ$2,0))),"")</f>
        <v/>
      </c>
      <c r="O197" s="499" t="str">
        <f t="shared" si="18"/>
        <v/>
      </c>
      <c r="P197" s="559" t="str">
        <f>IF(B197="","",VLOOKUP(B197,'B-1 Site Hedge Baseline'!$B$10:T442,16,FALSE))</f>
        <v/>
      </c>
      <c r="Q197" s="498" t="str">
        <f>IF(M197="","",VLOOKUP(M197,'G-6 Hedgerow Data'!$B$2:$AG$15,2,FALSE))</f>
        <v/>
      </c>
      <c r="R197" s="499" t="str">
        <f>IF(M197="","",VLOOKUP(M197,'G-6 Hedgerow Data'!$B$2:$AG$15,3,FALSE))</f>
        <v/>
      </c>
      <c r="S197" s="157"/>
      <c r="T197" s="540" t="str">
        <f>IFERROR(VLOOKUP(S197,'G-1 All Habitats'!$Z$2:$AA$9,2,FALSE),"")</f>
        <v/>
      </c>
      <c r="U197" s="154"/>
      <c r="V197" s="520" t="str">
        <f>IF(U197="","",IF(VLOOKUP(U197,'G-3 Multipliers'!$L$3:$N$6,2,FALSE)=0,"Spatial Data Missing ⚠",VLOOKUP(U197,'G-3 Multipliers'!$L$3:$N$6,2,FALSE)))</f>
        <v/>
      </c>
      <c r="W197" s="524" t="str">
        <f>IF(U197="","",IF(VLOOKUP(U197,'G-3 Multipliers'!$L$3:$N$6,3,FALSE)=0,"Spatial Data Missing ⚠",VLOOKUP(U197,'G-3 Multipliers'!$L$3:$N$6,3,FALSE)))</f>
        <v/>
      </c>
      <c r="X197" s="498"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7" t="str">
        <f t="shared" si="19"/>
        <v/>
      </c>
      <c r="AB197" s="521" t="str">
        <f t="shared" si="20"/>
        <v/>
      </c>
      <c r="AC197" s="522" t="str">
        <f t="shared" si="16"/>
        <v/>
      </c>
      <c r="AD197" s="537" t="str">
        <f>IF(M197="","",VLOOKUP(M197,'G-6 Hedgerow Data'!$B$3:$AG$15,31,FALSE))</f>
        <v/>
      </c>
      <c r="AE197" s="507" t="str">
        <f t="shared" si="21"/>
        <v/>
      </c>
      <c r="AF197" s="507" t="str">
        <f t="shared" si="22"/>
        <v/>
      </c>
      <c r="AG197" s="524" t="str">
        <f>IFERROR(IF(O197="","",VLOOKUP(AD197,'G-3 Multipliers'!$P$3:$Q$6,2,FALSE)),"")</f>
        <v/>
      </c>
      <c r="AH197" s="513" t="str">
        <f t="shared" si="17"/>
        <v/>
      </c>
      <c r="AI197" s="231"/>
      <c r="AJ197" s="150"/>
      <c r="AT197" s="31" t="str">
        <f>IFERROR(INDEX('G-6 Hedgerow Data'!$BJ$3:$BJ$15,MATCH(M197,'G-6 Hedgerow Data'!$B$3:$B$15,0)),"")</f>
        <v/>
      </c>
    </row>
    <row r="198" spans="2:46" ht="13.8" x14ac:dyDescent="0.25">
      <c r="B198" s="531" t="str">
        <f>'B-1 Site Hedge Baseline'!AK196</f>
        <v/>
      </c>
      <c r="C198" s="520" t="str">
        <f>IF(B198="","",IF(ISNA(VLOOKUP($B198,'B-1 Site Hedge Baseline'!$B$1:$L$257,3,FALSE)),"",(VLOOKUP($B198,'B-1 Site Hedge Baseline'!$B$1:$L$257,3,FALSE))))</f>
        <v/>
      </c>
      <c r="D198" s="520" t="str">
        <f>IF(B198="","",IF(ISNA(VLOOKUP($B198,'B-1 Site Hedge Baseline'!$B$1:$L$257,4,FALSE)),"",(VLOOKUP($B198,'B-1 Site Hedge Baseline'!$B$1:$L$257,4,FALSE))))</f>
        <v/>
      </c>
      <c r="E198" s="520" t="str">
        <f>IF(B198="","",IF(ISNA(VLOOKUP($B198,'B-1 Site Hedge Baseline'!$B$1:$L$257,5,FALSE)),"",(VLOOKUP($B198,'B-1 Site Hedge Baseline'!$B$1:$L$257,5,FALSE))))</f>
        <v/>
      </c>
      <c r="F198" s="520" t="str">
        <f>IF(B198="","",IF(ISNA(VLOOKUP($B198,'B-1 Site Hedge Baseline'!$B$1:$L$257,6,FALSE)),"",(VLOOKUP($B198,'B-1 Site Hedge Baseline'!$B$1:$L$257,6,FALSE))))</f>
        <v/>
      </c>
      <c r="G198" s="520" t="str">
        <f>IF(B198="","",IF(ISNA(VLOOKUP($B198,'B-1 Site Hedge Baseline'!$B$1:$L$257,7,FALSE)),"",(VLOOKUP($B198,'B-1 Site Hedge Baseline'!$B$1:$L$257,7,FALSE))))</f>
        <v/>
      </c>
      <c r="H198" s="520" t="str">
        <f>IF(B198="","",IF(ISNA(VLOOKUP($B198,'B-1 Site Hedge Baseline'!$B$1:$L$257,8,FALSE)),"",(VLOOKUP($B198,'B-1 Site Hedge Baseline'!$B$1:$L$257,8,FALSE))))</f>
        <v/>
      </c>
      <c r="I198" s="520" t="str">
        <f>IF(B198="","",IF(ISNA(VLOOKUP($B198,'B-1 Site Hedge Baseline'!$B$1:$L$257,10,FALSE)),"",(VLOOKUP($B198,'B-1 Site Hedge Baseline'!$B$1:$L$257,10,FALSE))))</f>
        <v/>
      </c>
      <c r="J198" s="520" t="str">
        <f>IF(B198="","",IF(ISNA(VLOOKUP($B198,'B-1 Site Hedge Baseline'!$B$1:$L$257,11,FALSE)),"",(VLOOKUP($B198,'B-1 Site Hedge Baseline'!$B$1:$L$257,11,FALSE))))</f>
        <v/>
      </c>
      <c r="K198" s="520" t="str">
        <f>IF(B198="","",IF(ISNA(VLOOKUP($B198,'B-1 Site Hedge Baseline'!$B$1:$U$257,13,FALSE)),"",(VLOOKUP($B198,'B-1 Site Hedge Baseline'!$B$1:$U$257,13,FALSE))))</f>
        <v/>
      </c>
      <c r="L198" s="524" t="str">
        <f>IF(B198="","",IF(ISNA(VLOOKUP($B198,'B-1 Site Hedge Baseline'!$B$1:$U$257,12,FALSE)),"",(VLOOKUP($B198,'B-1 Site Hedge Baseline'!$B$1:$U$257,12,FALSE))))</f>
        <v/>
      </c>
      <c r="M198" s="416" t="str">
        <f t="shared" si="23"/>
        <v/>
      </c>
      <c r="N198" s="498" t="str">
        <f>IFERROR(IF(B198="","",INDEX('G-6 Hedgerow Data'!$AN$3:$AZ$15,MATCH(C198,'G-6 Hedgerow Data'!$AM$3:$AM$15,0),MATCH(M198,'G-6 Hedgerow Data'!$AN$2:$AZ$2,0))),"")</f>
        <v/>
      </c>
      <c r="O198" s="499" t="str">
        <f t="shared" si="18"/>
        <v/>
      </c>
      <c r="P198" s="559" t="str">
        <f>IF(B198="","",VLOOKUP(B198,'B-1 Site Hedge Baseline'!$B$10:T443,16,FALSE))</f>
        <v/>
      </c>
      <c r="Q198" s="498" t="str">
        <f>IF(M198="","",VLOOKUP(M198,'G-6 Hedgerow Data'!$B$2:$AG$15,2,FALSE))</f>
        <v/>
      </c>
      <c r="R198" s="499" t="str">
        <f>IF(M198="","",VLOOKUP(M198,'G-6 Hedgerow Data'!$B$2:$AG$15,3,FALSE))</f>
        <v/>
      </c>
      <c r="S198" s="157"/>
      <c r="T198" s="540" t="str">
        <f>IFERROR(VLOOKUP(S198,'G-1 All Habitats'!$Z$2:$AA$9,2,FALSE),"")</f>
        <v/>
      </c>
      <c r="U198" s="154"/>
      <c r="V198" s="520" t="str">
        <f>IF(U198="","",IF(VLOOKUP(U198,'G-3 Multipliers'!$L$3:$N$6,2,FALSE)=0,"Spatial Data Missing ⚠",VLOOKUP(U198,'G-3 Multipliers'!$L$3:$N$6,2,FALSE)))</f>
        <v/>
      </c>
      <c r="W198" s="524" t="str">
        <f>IF(U198="","",IF(VLOOKUP(U198,'G-3 Multipliers'!$L$3:$N$6,3,FALSE)=0,"Spatial Data Missing ⚠",VLOOKUP(U198,'G-3 Multipliers'!$L$3:$N$6,3,FALSE)))</f>
        <v/>
      </c>
      <c r="X198" s="498"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7" t="str">
        <f t="shared" si="19"/>
        <v/>
      </c>
      <c r="AB198" s="521" t="str">
        <f t="shared" si="20"/>
        <v/>
      </c>
      <c r="AC198" s="522" t="str">
        <f t="shared" si="16"/>
        <v/>
      </c>
      <c r="AD198" s="537" t="str">
        <f>IF(M198="","",VLOOKUP(M198,'G-6 Hedgerow Data'!$B$3:$AG$15,31,FALSE))</f>
        <v/>
      </c>
      <c r="AE198" s="507" t="str">
        <f t="shared" si="21"/>
        <v/>
      </c>
      <c r="AF198" s="507" t="str">
        <f t="shared" si="22"/>
        <v/>
      </c>
      <c r="AG198" s="524" t="str">
        <f>IFERROR(IF(O198="","",VLOOKUP(AD198,'G-3 Multipliers'!$P$3:$Q$6,2,FALSE)),"")</f>
        <v/>
      </c>
      <c r="AH198" s="513" t="str">
        <f t="shared" si="17"/>
        <v/>
      </c>
      <c r="AI198" s="231"/>
      <c r="AJ198" s="150"/>
      <c r="AT198" s="31" t="str">
        <f>IFERROR(INDEX('G-6 Hedgerow Data'!$BJ$3:$BJ$15,MATCH(M198,'G-6 Hedgerow Data'!$B$3:$B$15,0)),"")</f>
        <v/>
      </c>
    </row>
    <row r="199" spans="2:46" ht="13.8" x14ac:dyDescent="0.25">
      <c r="B199" s="531" t="str">
        <f>'B-1 Site Hedge Baseline'!AK197</f>
        <v/>
      </c>
      <c r="C199" s="520" t="str">
        <f>IF(B199="","",IF(ISNA(VLOOKUP($B199,'B-1 Site Hedge Baseline'!$B$1:$L$257,3,FALSE)),"",(VLOOKUP($B199,'B-1 Site Hedge Baseline'!$B$1:$L$257,3,FALSE))))</f>
        <v/>
      </c>
      <c r="D199" s="520" t="str">
        <f>IF(B199="","",IF(ISNA(VLOOKUP($B199,'B-1 Site Hedge Baseline'!$B$1:$L$257,4,FALSE)),"",(VLOOKUP($B199,'B-1 Site Hedge Baseline'!$B$1:$L$257,4,FALSE))))</f>
        <v/>
      </c>
      <c r="E199" s="520" t="str">
        <f>IF(B199="","",IF(ISNA(VLOOKUP($B199,'B-1 Site Hedge Baseline'!$B$1:$L$257,5,FALSE)),"",(VLOOKUP($B199,'B-1 Site Hedge Baseline'!$B$1:$L$257,5,FALSE))))</f>
        <v/>
      </c>
      <c r="F199" s="520" t="str">
        <f>IF(B199="","",IF(ISNA(VLOOKUP($B199,'B-1 Site Hedge Baseline'!$B$1:$L$257,6,FALSE)),"",(VLOOKUP($B199,'B-1 Site Hedge Baseline'!$B$1:$L$257,6,FALSE))))</f>
        <v/>
      </c>
      <c r="G199" s="520" t="str">
        <f>IF(B199="","",IF(ISNA(VLOOKUP($B199,'B-1 Site Hedge Baseline'!$B$1:$L$257,7,FALSE)),"",(VLOOKUP($B199,'B-1 Site Hedge Baseline'!$B$1:$L$257,7,FALSE))))</f>
        <v/>
      </c>
      <c r="H199" s="520" t="str">
        <f>IF(B199="","",IF(ISNA(VLOOKUP($B199,'B-1 Site Hedge Baseline'!$B$1:$L$257,8,FALSE)),"",(VLOOKUP($B199,'B-1 Site Hedge Baseline'!$B$1:$L$257,8,FALSE))))</f>
        <v/>
      </c>
      <c r="I199" s="520" t="str">
        <f>IF(B199="","",IF(ISNA(VLOOKUP($B199,'B-1 Site Hedge Baseline'!$B$1:$L$257,10,FALSE)),"",(VLOOKUP($B199,'B-1 Site Hedge Baseline'!$B$1:$L$257,10,FALSE))))</f>
        <v/>
      </c>
      <c r="J199" s="520" t="str">
        <f>IF(B199="","",IF(ISNA(VLOOKUP($B199,'B-1 Site Hedge Baseline'!$B$1:$L$257,11,FALSE)),"",(VLOOKUP($B199,'B-1 Site Hedge Baseline'!$B$1:$L$257,11,FALSE))))</f>
        <v/>
      </c>
      <c r="K199" s="520" t="str">
        <f>IF(B199="","",IF(ISNA(VLOOKUP($B199,'B-1 Site Hedge Baseline'!$B$1:$U$257,13,FALSE)),"",(VLOOKUP($B199,'B-1 Site Hedge Baseline'!$B$1:$U$257,13,FALSE))))</f>
        <v/>
      </c>
      <c r="L199" s="524" t="str">
        <f>IF(B199="","",IF(ISNA(VLOOKUP($B199,'B-1 Site Hedge Baseline'!$B$1:$U$257,12,FALSE)),"",(VLOOKUP($B199,'B-1 Site Hedge Baseline'!$B$1:$U$257,12,FALSE))))</f>
        <v/>
      </c>
      <c r="M199" s="416" t="str">
        <f t="shared" si="23"/>
        <v/>
      </c>
      <c r="N199" s="498" t="str">
        <f>IFERROR(IF(B199="","",INDEX('G-6 Hedgerow Data'!$AN$3:$AZ$15,MATCH(C199,'G-6 Hedgerow Data'!$AM$3:$AM$15,0),MATCH(M199,'G-6 Hedgerow Data'!$AN$2:$AZ$2,0))),"")</f>
        <v/>
      </c>
      <c r="O199" s="499" t="str">
        <f t="shared" si="18"/>
        <v/>
      </c>
      <c r="P199" s="559" t="str">
        <f>IF(B199="","",VLOOKUP(B199,'B-1 Site Hedge Baseline'!$B$10:T444,16,FALSE))</f>
        <v/>
      </c>
      <c r="Q199" s="498" t="str">
        <f>IF(M199="","",VLOOKUP(M199,'G-6 Hedgerow Data'!$B$2:$AG$15,2,FALSE))</f>
        <v/>
      </c>
      <c r="R199" s="499" t="str">
        <f>IF(M199="","",VLOOKUP(M199,'G-6 Hedgerow Data'!$B$2:$AG$15,3,FALSE))</f>
        <v/>
      </c>
      <c r="S199" s="157"/>
      <c r="T199" s="540" t="str">
        <f>IFERROR(VLOOKUP(S199,'G-1 All Habitats'!$Z$2:$AA$9,2,FALSE),"")</f>
        <v/>
      </c>
      <c r="U199" s="154"/>
      <c r="V199" s="520" t="str">
        <f>IF(U199="","",IF(VLOOKUP(U199,'G-3 Multipliers'!$L$3:$N$6,2,FALSE)=0,"Spatial Data Missing ⚠",VLOOKUP(U199,'G-3 Multipliers'!$L$3:$N$6,2,FALSE)))</f>
        <v/>
      </c>
      <c r="W199" s="524" t="str">
        <f>IF(U199="","",IF(VLOOKUP(U199,'G-3 Multipliers'!$L$3:$N$6,3,FALSE)=0,"Spatial Data Missing ⚠",VLOOKUP(U199,'G-3 Multipliers'!$L$3:$N$6,3,FALSE)))</f>
        <v/>
      </c>
      <c r="X199" s="498"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7" t="str">
        <f t="shared" si="19"/>
        <v/>
      </c>
      <c r="AB199" s="521" t="str">
        <f t="shared" si="20"/>
        <v/>
      </c>
      <c r="AC199" s="522" t="str">
        <f t="shared" si="16"/>
        <v/>
      </c>
      <c r="AD199" s="537" t="str">
        <f>IF(M199="","",VLOOKUP(M199,'G-6 Hedgerow Data'!$B$3:$AG$15,31,FALSE))</f>
        <v/>
      </c>
      <c r="AE199" s="507" t="str">
        <f t="shared" si="21"/>
        <v/>
      </c>
      <c r="AF199" s="507" t="str">
        <f t="shared" si="22"/>
        <v/>
      </c>
      <c r="AG199" s="524" t="str">
        <f>IFERROR(IF(O199="","",VLOOKUP(AD199,'G-3 Multipliers'!$P$3:$Q$6,2,FALSE)),"")</f>
        <v/>
      </c>
      <c r="AH199" s="513" t="str">
        <f t="shared" si="17"/>
        <v/>
      </c>
      <c r="AI199" s="231"/>
      <c r="AJ199" s="150"/>
      <c r="AT199" s="31" t="str">
        <f>IFERROR(INDEX('G-6 Hedgerow Data'!$BJ$3:$BJ$15,MATCH(M199,'G-6 Hedgerow Data'!$B$3:$B$15,0)),"")</f>
        <v/>
      </c>
    </row>
    <row r="200" spans="2:46" ht="13.8" x14ac:dyDescent="0.25">
      <c r="B200" s="531" t="str">
        <f>'B-1 Site Hedge Baseline'!AK198</f>
        <v/>
      </c>
      <c r="C200" s="520" t="str">
        <f>IF(B200="","",IF(ISNA(VLOOKUP($B200,'B-1 Site Hedge Baseline'!$B$1:$L$257,3,FALSE)),"",(VLOOKUP($B200,'B-1 Site Hedge Baseline'!$B$1:$L$257,3,FALSE))))</f>
        <v/>
      </c>
      <c r="D200" s="520" t="str">
        <f>IF(B200="","",IF(ISNA(VLOOKUP($B200,'B-1 Site Hedge Baseline'!$B$1:$L$257,4,FALSE)),"",(VLOOKUP($B200,'B-1 Site Hedge Baseline'!$B$1:$L$257,4,FALSE))))</f>
        <v/>
      </c>
      <c r="E200" s="520" t="str">
        <f>IF(B200="","",IF(ISNA(VLOOKUP($B200,'B-1 Site Hedge Baseline'!$B$1:$L$257,5,FALSE)),"",(VLOOKUP($B200,'B-1 Site Hedge Baseline'!$B$1:$L$257,5,FALSE))))</f>
        <v/>
      </c>
      <c r="F200" s="520" t="str">
        <f>IF(B200="","",IF(ISNA(VLOOKUP($B200,'B-1 Site Hedge Baseline'!$B$1:$L$257,6,FALSE)),"",(VLOOKUP($B200,'B-1 Site Hedge Baseline'!$B$1:$L$257,6,FALSE))))</f>
        <v/>
      </c>
      <c r="G200" s="520" t="str">
        <f>IF(B200="","",IF(ISNA(VLOOKUP($B200,'B-1 Site Hedge Baseline'!$B$1:$L$257,7,FALSE)),"",(VLOOKUP($B200,'B-1 Site Hedge Baseline'!$B$1:$L$257,7,FALSE))))</f>
        <v/>
      </c>
      <c r="H200" s="520" t="str">
        <f>IF(B200="","",IF(ISNA(VLOOKUP($B200,'B-1 Site Hedge Baseline'!$B$1:$L$257,8,FALSE)),"",(VLOOKUP($B200,'B-1 Site Hedge Baseline'!$B$1:$L$257,8,FALSE))))</f>
        <v/>
      </c>
      <c r="I200" s="520" t="str">
        <f>IF(B200="","",IF(ISNA(VLOOKUP($B200,'B-1 Site Hedge Baseline'!$B$1:$L$257,10,FALSE)),"",(VLOOKUP($B200,'B-1 Site Hedge Baseline'!$B$1:$L$257,10,FALSE))))</f>
        <v/>
      </c>
      <c r="J200" s="520" t="str">
        <f>IF(B200="","",IF(ISNA(VLOOKUP($B200,'B-1 Site Hedge Baseline'!$B$1:$L$257,11,FALSE)),"",(VLOOKUP($B200,'B-1 Site Hedge Baseline'!$B$1:$L$257,11,FALSE))))</f>
        <v/>
      </c>
      <c r="K200" s="520" t="str">
        <f>IF(B200="","",IF(ISNA(VLOOKUP($B200,'B-1 Site Hedge Baseline'!$B$1:$U$257,13,FALSE)),"",(VLOOKUP($B200,'B-1 Site Hedge Baseline'!$B$1:$U$257,13,FALSE))))</f>
        <v/>
      </c>
      <c r="L200" s="524" t="str">
        <f>IF(B200="","",IF(ISNA(VLOOKUP($B200,'B-1 Site Hedge Baseline'!$B$1:$U$257,12,FALSE)),"",(VLOOKUP($B200,'B-1 Site Hedge Baseline'!$B$1:$U$257,12,FALSE))))</f>
        <v/>
      </c>
      <c r="M200" s="416" t="str">
        <f t="shared" si="23"/>
        <v/>
      </c>
      <c r="N200" s="498" t="str">
        <f>IFERROR(IF(B200="","",INDEX('G-6 Hedgerow Data'!$AN$3:$AZ$15,MATCH(C200,'G-6 Hedgerow Data'!$AM$3:$AM$15,0),MATCH(M200,'G-6 Hedgerow Data'!$AN$2:$AZ$2,0))),"")</f>
        <v/>
      </c>
      <c r="O200" s="499" t="str">
        <f t="shared" si="18"/>
        <v/>
      </c>
      <c r="P200" s="559" t="str">
        <f>IF(B200="","",VLOOKUP(B200,'B-1 Site Hedge Baseline'!$B$10:T445,16,FALSE))</f>
        <v/>
      </c>
      <c r="Q200" s="498" t="str">
        <f>IF(M200="","",VLOOKUP(M200,'G-6 Hedgerow Data'!$B$2:$AG$15,2,FALSE))</f>
        <v/>
      </c>
      <c r="R200" s="499" t="str">
        <f>IF(M200="","",VLOOKUP(M200,'G-6 Hedgerow Data'!$B$2:$AG$15,3,FALSE))</f>
        <v/>
      </c>
      <c r="S200" s="157"/>
      <c r="T200" s="540" t="str">
        <f>IFERROR(VLOOKUP(S200,'G-1 All Habitats'!$Z$2:$AA$9,2,FALSE),"")</f>
        <v/>
      </c>
      <c r="U200" s="154"/>
      <c r="V200" s="520" t="str">
        <f>IF(U200="","",IF(VLOOKUP(U200,'G-3 Multipliers'!$L$3:$N$6,2,FALSE)=0,"Spatial Data Missing ⚠",VLOOKUP(U200,'G-3 Multipliers'!$L$3:$N$6,2,FALSE)))</f>
        <v/>
      </c>
      <c r="W200" s="524" t="str">
        <f>IF(U200="","",IF(VLOOKUP(U200,'G-3 Multipliers'!$L$3:$N$6,3,FALSE)=0,"Spatial Data Missing ⚠",VLOOKUP(U200,'G-3 Multipliers'!$L$3:$N$6,3,FALSE)))</f>
        <v/>
      </c>
      <c r="X200" s="498"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7" t="str">
        <f t="shared" si="19"/>
        <v/>
      </c>
      <c r="AB200" s="521" t="str">
        <f t="shared" si="20"/>
        <v/>
      </c>
      <c r="AC200" s="522" t="str">
        <f t="shared" si="16"/>
        <v/>
      </c>
      <c r="AD200" s="537" t="str">
        <f>IF(M200="","",VLOOKUP(M200,'G-6 Hedgerow Data'!$B$3:$AG$15,31,FALSE))</f>
        <v/>
      </c>
      <c r="AE200" s="507" t="str">
        <f t="shared" si="21"/>
        <v/>
      </c>
      <c r="AF200" s="507" t="str">
        <f t="shared" si="22"/>
        <v/>
      </c>
      <c r="AG200" s="524" t="str">
        <f>IFERROR(IF(O200="","",VLOOKUP(AD200,'G-3 Multipliers'!$P$3:$Q$6,2,FALSE)),"")</f>
        <v/>
      </c>
      <c r="AH200" s="513" t="str">
        <f t="shared" si="17"/>
        <v/>
      </c>
      <c r="AI200" s="231"/>
      <c r="AJ200" s="150"/>
      <c r="AT200" s="31" t="str">
        <f>IFERROR(INDEX('G-6 Hedgerow Data'!$BJ$3:$BJ$15,MATCH(M200,'G-6 Hedgerow Data'!$B$3:$B$15,0)),"")</f>
        <v/>
      </c>
    </row>
    <row r="201" spans="2:46" ht="13.8" x14ac:dyDescent="0.25">
      <c r="B201" s="531" t="str">
        <f>'B-1 Site Hedge Baseline'!AK199</f>
        <v/>
      </c>
      <c r="C201" s="520" t="str">
        <f>IF(B201="","",IF(ISNA(VLOOKUP($B201,'B-1 Site Hedge Baseline'!$B$1:$L$257,3,FALSE)),"",(VLOOKUP($B201,'B-1 Site Hedge Baseline'!$B$1:$L$257,3,FALSE))))</f>
        <v/>
      </c>
      <c r="D201" s="520" t="str">
        <f>IF(B201="","",IF(ISNA(VLOOKUP($B201,'B-1 Site Hedge Baseline'!$B$1:$L$257,4,FALSE)),"",(VLOOKUP($B201,'B-1 Site Hedge Baseline'!$B$1:$L$257,4,FALSE))))</f>
        <v/>
      </c>
      <c r="E201" s="520" t="str">
        <f>IF(B201="","",IF(ISNA(VLOOKUP($B201,'B-1 Site Hedge Baseline'!$B$1:$L$257,5,FALSE)),"",(VLOOKUP($B201,'B-1 Site Hedge Baseline'!$B$1:$L$257,5,FALSE))))</f>
        <v/>
      </c>
      <c r="F201" s="520" t="str">
        <f>IF(B201="","",IF(ISNA(VLOOKUP($B201,'B-1 Site Hedge Baseline'!$B$1:$L$257,6,FALSE)),"",(VLOOKUP($B201,'B-1 Site Hedge Baseline'!$B$1:$L$257,6,FALSE))))</f>
        <v/>
      </c>
      <c r="G201" s="520" t="str">
        <f>IF(B201="","",IF(ISNA(VLOOKUP($B201,'B-1 Site Hedge Baseline'!$B$1:$L$257,7,FALSE)),"",(VLOOKUP($B201,'B-1 Site Hedge Baseline'!$B$1:$L$257,7,FALSE))))</f>
        <v/>
      </c>
      <c r="H201" s="520" t="str">
        <f>IF(B201="","",IF(ISNA(VLOOKUP($B201,'B-1 Site Hedge Baseline'!$B$1:$L$257,8,FALSE)),"",(VLOOKUP($B201,'B-1 Site Hedge Baseline'!$B$1:$L$257,8,FALSE))))</f>
        <v/>
      </c>
      <c r="I201" s="520" t="str">
        <f>IF(B201="","",IF(ISNA(VLOOKUP($B201,'B-1 Site Hedge Baseline'!$B$1:$L$257,10,FALSE)),"",(VLOOKUP($B201,'B-1 Site Hedge Baseline'!$B$1:$L$257,10,FALSE))))</f>
        <v/>
      </c>
      <c r="J201" s="520" t="str">
        <f>IF(B201="","",IF(ISNA(VLOOKUP($B201,'B-1 Site Hedge Baseline'!$B$1:$L$257,11,FALSE)),"",(VLOOKUP($B201,'B-1 Site Hedge Baseline'!$B$1:$L$257,11,FALSE))))</f>
        <v/>
      </c>
      <c r="K201" s="520" t="str">
        <f>IF(B201="","",IF(ISNA(VLOOKUP($B201,'B-1 Site Hedge Baseline'!$B$1:$U$257,13,FALSE)),"",(VLOOKUP($B201,'B-1 Site Hedge Baseline'!$B$1:$U$257,13,FALSE))))</f>
        <v/>
      </c>
      <c r="L201" s="524" t="str">
        <f>IF(B201="","",IF(ISNA(VLOOKUP($B201,'B-1 Site Hedge Baseline'!$B$1:$U$257,12,FALSE)),"",(VLOOKUP($B201,'B-1 Site Hedge Baseline'!$B$1:$U$257,12,FALSE))))</f>
        <v/>
      </c>
      <c r="M201" s="416" t="str">
        <f t="shared" si="23"/>
        <v/>
      </c>
      <c r="N201" s="498" t="str">
        <f>IFERROR(IF(B201="","",INDEX('G-6 Hedgerow Data'!$AN$3:$AZ$15,MATCH(C201,'G-6 Hedgerow Data'!$AM$3:$AM$15,0),MATCH(M201,'G-6 Hedgerow Data'!$AN$2:$AZ$2,0))),"")</f>
        <v/>
      </c>
      <c r="O201" s="499" t="str">
        <f t="shared" si="18"/>
        <v/>
      </c>
      <c r="P201" s="559" t="str">
        <f>IF(B201="","",VLOOKUP(B201,'B-1 Site Hedge Baseline'!$B$10:T446,16,FALSE))</f>
        <v/>
      </c>
      <c r="Q201" s="498" t="str">
        <f>IF(M201="","",VLOOKUP(M201,'G-6 Hedgerow Data'!$B$2:$AG$15,2,FALSE))</f>
        <v/>
      </c>
      <c r="R201" s="499" t="str">
        <f>IF(M201="","",VLOOKUP(M201,'G-6 Hedgerow Data'!$B$2:$AG$15,3,FALSE))</f>
        <v/>
      </c>
      <c r="S201" s="157"/>
      <c r="T201" s="540" t="str">
        <f>IFERROR(VLOOKUP(S201,'G-1 All Habitats'!$Z$2:$AA$9,2,FALSE),"")</f>
        <v/>
      </c>
      <c r="U201" s="154"/>
      <c r="V201" s="520" t="str">
        <f>IF(U201="","",IF(VLOOKUP(U201,'G-3 Multipliers'!$L$3:$N$6,2,FALSE)=0,"Spatial Data Missing ⚠",VLOOKUP(U201,'G-3 Multipliers'!$L$3:$N$6,2,FALSE)))</f>
        <v/>
      </c>
      <c r="W201" s="524" t="str">
        <f>IF(U201="","",IF(VLOOKUP(U201,'G-3 Multipliers'!$L$3:$N$6,3,FALSE)=0,"Spatial Data Missing ⚠",VLOOKUP(U201,'G-3 Multipliers'!$L$3:$N$6,3,FALSE)))</f>
        <v/>
      </c>
      <c r="X201" s="498"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7" t="str">
        <f t="shared" si="19"/>
        <v/>
      </c>
      <c r="AB201" s="521" t="str">
        <f t="shared" si="20"/>
        <v/>
      </c>
      <c r="AC201" s="522" t="str">
        <f t="shared" si="16"/>
        <v/>
      </c>
      <c r="AD201" s="537" t="str">
        <f>IF(M201="","",VLOOKUP(M201,'G-6 Hedgerow Data'!$B$3:$AG$15,31,FALSE))</f>
        <v/>
      </c>
      <c r="AE201" s="507" t="str">
        <f t="shared" si="21"/>
        <v/>
      </c>
      <c r="AF201" s="507" t="str">
        <f t="shared" si="22"/>
        <v/>
      </c>
      <c r="AG201" s="524" t="str">
        <f>IFERROR(IF(O201="","",VLOOKUP(AD201,'G-3 Multipliers'!$P$3:$Q$6,2,FALSE)),"")</f>
        <v/>
      </c>
      <c r="AH201" s="513" t="str">
        <f t="shared" si="17"/>
        <v/>
      </c>
      <c r="AI201" s="231"/>
      <c r="AJ201" s="150"/>
      <c r="AT201" s="31" t="str">
        <f>IFERROR(INDEX('G-6 Hedgerow Data'!$BJ$3:$BJ$15,MATCH(M201,'G-6 Hedgerow Data'!$B$3:$B$15,0)),"")</f>
        <v/>
      </c>
    </row>
    <row r="202" spans="2:46" ht="13.8" x14ac:dyDescent="0.25">
      <c r="B202" s="531" t="str">
        <f>'B-1 Site Hedge Baseline'!AK200</f>
        <v/>
      </c>
      <c r="C202" s="520" t="str">
        <f>IF(B202="","",IF(ISNA(VLOOKUP($B202,'B-1 Site Hedge Baseline'!$B$1:$L$257,3,FALSE)),"",(VLOOKUP($B202,'B-1 Site Hedge Baseline'!$B$1:$L$257,3,FALSE))))</f>
        <v/>
      </c>
      <c r="D202" s="520" t="str">
        <f>IF(B202="","",IF(ISNA(VLOOKUP($B202,'B-1 Site Hedge Baseline'!$B$1:$L$257,4,FALSE)),"",(VLOOKUP($B202,'B-1 Site Hedge Baseline'!$B$1:$L$257,4,FALSE))))</f>
        <v/>
      </c>
      <c r="E202" s="520" t="str">
        <f>IF(B202="","",IF(ISNA(VLOOKUP($B202,'B-1 Site Hedge Baseline'!$B$1:$L$257,5,FALSE)),"",(VLOOKUP($B202,'B-1 Site Hedge Baseline'!$B$1:$L$257,5,FALSE))))</f>
        <v/>
      </c>
      <c r="F202" s="520" t="str">
        <f>IF(B202="","",IF(ISNA(VLOOKUP($B202,'B-1 Site Hedge Baseline'!$B$1:$L$257,6,FALSE)),"",(VLOOKUP($B202,'B-1 Site Hedge Baseline'!$B$1:$L$257,6,FALSE))))</f>
        <v/>
      </c>
      <c r="G202" s="520" t="str">
        <f>IF(B202="","",IF(ISNA(VLOOKUP($B202,'B-1 Site Hedge Baseline'!$B$1:$L$257,7,FALSE)),"",(VLOOKUP($B202,'B-1 Site Hedge Baseline'!$B$1:$L$257,7,FALSE))))</f>
        <v/>
      </c>
      <c r="H202" s="520" t="str">
        <f>IF(B202="","",IF(ISNA(VLOOKUP($B202,'B-1 Site Hedge Baseline'!$B$1:$L$257,8,FALSE)),"",(VLOOKUP($B202,'B-1 Site Hedge Baseline'!$B$1:$L$257,8,FALSE))))</f>
        <v/>
      </c>
      <c r="I202" s="520" t="str">
        <f>IF(B202="","",IF(ISNA(VLOOKUP($B202,'B-1 Site Hedge Baseline'!$B$1:$L$257,10,FALSE)),"",(VLOOKUP($B202,'B-1 Site Hedge Baseline'!$B$1:$L$257,10,FALSE))))</f>
        <v/>
      </c>
      <c r="J202" s="520" t="str">
        <f>IF(B202="","",IF(ISNA(VLOOKUP($B202,'B-1 Site Hedge Baseline'!$B$1:$L$257,11,FALSE)),"",(VLOOKUP($B202,'B-1 Site Hedge Baseline'!$B$1:$L$257,11,FALSE))))</f>
        <v/>
      </c>
      <c r="K202" s="520" t="str">
        <f>IF(B202="","",IF(ISNA(VLOOKUP($B202,'B-1 Site Hedge Baseline'!$B$1:$U$257,13,FALSE)),"",(VLOOKUP($B202,'B-1 Site Hedge Baseline'!$B$1:$U$257,13,FALSE))))</f>
        <v/>
      </c>
      <c r="L202" s="524" t="str">
        <f>IF(B202="","",IF(ISNA(VLOOKUP($B202,'B-1 Site Hedge Baseline'!$B$1:$U$257,12,FALSE)),"",(VLOOKUP($B202,'B-1 Site Hedge Baseline'!$B$1:$U$257,12,FALSE))))</f>
        <v/>
      </c>
      <c r="M202" s="416" t="str">
        <f t="shared" si="23"/>
        <v/>
      </c>
      <c r="N202" s="498" t="str">
        <f>IFERROR(IF(B202="","",INDEX('G-6 Hedgerow Data'!$AN$3:$AZ$15,MATCH(C202,'G-6 Hedgerow Data'!$AM$3:$AM$15,0),MATCH(M202,'G-6 Hedgerow Data'!$AN$2:$AZ$2,0))),"")</f>
        <v/>
      </c>
      <c r="O202" s="499" t="str">
        <f t="shared" si="18"/>
        <v/>
      </c>
      <c r="P202" s="559" t="str">
        <f>IF(B202="","",VLOOKUP(B202,'B-1 Site Hedge Baseline'!$B$10:T447,16,FALSE))</f>
        <v/>
      </c>
      <c r="Q202" s="498" t="str">
        <f>IF(M202="","",VLOOKUP(M202,'G-6 Hedgerow Data'!$B$2:$AG$15,2,FALSE))</f>
        <v/>
      </c>
      <c r="R202" s="499" t="str">
        <f>IF(M202="","",VLOOKUP(M202,'G-6 Hedgerow Data'!$B$2:$AG$15,3,FALSE))</f>
        <v/>
      </c>
      <c r="S202" s="157"/>
      <c r="T202" s="540" t="str">
        <f>IFERROR(VLOOKUP(S202,'G-1 All Habitats'!$Z$2:$AA$9,2,FALSE),"")</f>
        <v/>
      </c>
      <c r="U202" s="154"/>
      <c r="V202" s="520" t="str">
        <f>IF(U202="","",IF(VLOOKUP(U202,'G-3 Multipliers'!$L$3:$N$6,2,FALSE)=0,"Spatial Data Missing ⚠",VLOOKUP(U202,'G-3 Multipliers'!$L$3:$N$6,2,FALSE)))</f>
        <v/>
      </c>
      <c r="W202" s="524" t="str">
        <f>IF(U202="","",IF(VLOOKUP(U202,'G-3 Multipliers'!$L$3:$N$6,3,FALSE)=0,"Spatial Data Missing ⚠",VLOOKUP(U202,'G-3 Multipliers'!$L$3:$N$6,3,FALSE)))</f>
        <v/>
      </c>
      <c r="X202" s="498"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7" t="str">
        <f t="shared" si="19"/>
        <v/>
      </c>
      <c r="AB202" s="521" t="str">
        <f t="shared" si="20"/>
        <v/>
      </c>
      <c r="AC202" s="522" t="str">
        <f t="shared" si="16"/>
        <v/>
      </c>
      <c r="AD202" s="537" t="str">
        <f>IF(M202="","",VLOOKUP(M202,'G-6 Hedgerow Data'!$B$3:$AG$15,31,FALSE))</f>
        <v/>
      </c>
      <c r="AE202" s="507" t="str">
        <f t="shared" si="21"/>
        <v/>
      </c>
      <c r="AF202" s="507" t="str">
        <f t="shared" si="22"/>
        <v/>
      </c>
      <c r="AG202" s="524" t="str">
        <f>IFERROR(IF(O202="","",VLOOKUP(AD202,'G-3 Multipliers'!$P$3:$Q$6,2,FALSE)),"")</f>
        <v/>
      </c>
      <c r="AH202" s="513" t="str">
        <f t="shared" si="17"/>
        <v/>
      </c>
      <c r="AI202" s="231"/>
      <c r="AJ202" s="150"/>
      <c r="AT202" s="31" t="str">
        <f>IFERROR(INDEX('G-6 Hedgerow Data'!$BJ$3:$BJ$15,MATCH(M202,'G-6 Hedgerow Data'!$B$3:$B$15,0)),"")</f>
        <v/>
      </c>
    </row>
    <row r="203" spans="2:46" ht="13.8" x14ac:dyDescent="0.25">
      <c r="B203" s="531" t="str">
        <f>'B-1 Site Hedge Baseline'!AK201</f>
        <v/>
      </c>
      <c r="C203" s="520" t="str">
        <f>IF(B203="","",IF(ISNA(VLOOKUP($B203,'B-1 Site Hedge Baseline'!$B$1:$L$257,3,FALSE)),"",(VLOOKUP($B203,'B-1 Site Hedge Baseline'!$B$1:$L$257,3,FALSE))))</f>
        <v/>
      </c>
      <c r="D203" s="520" t="str">
        <f>IF(B203="","",IF(ISNA(VLOOKUP($B203,'B-1 Site Hedge Baseline'!$B$1:$L$257,4,FALSE)),"",(VLOOKUP($B203,'B-1 Site Hedge Baseline'!$B$1:$L$257,4,FALSE))))</f>
        <v/>
      </c>
      <c r="E203" s="520" t="str">
        <f>IF(B203="","",IF(ISNA(VLOOKUP($B203,'B-1 Site Hedge Baseline'!$B$1:$L$257,5,FALSE)),"",(VLOOKUP($B203,'B-1 Site Hedge Baseline'!$B$1:$L$257,5,FALSE))))</f>
        <v/>
      </c>
      <c r="F203" s="520" t="str">
        <f>IF(B203="","",IF(ISNA(VLOOKUP($B203,'B-1 Site Hedge Baseline'!$B$1:$L$257,6,FALSE)),"",(VLOOKUP($B203,'B-1 Site Hedge Baseline'!$B$1:$L$257,6,FALSE))))</f>
        <v/>
      </c>
      <c r="G203" s="520" t="str">
        <f>IF(B203="","",IF(ISNA(VLOOKUP($B203,'B-1 Site Hedge Baseline'!$B$1:$L$257,7,FALSE)),"",(VLOOKUP($B203,'B-1 Site Hedge Baseline'!$B$1:$L$257,7,FALSE))))</f>
        <v/>
      </c>
      <c r="H203" s="520" t="str">
        <f>IF(B203="","",IF(ISNA(VLOOKUP($B203,'B-1 Site Hedge Baseline'!$B$1:$L$257,8,FALSE)),"",(VLOOKUP($B203,'B-1 Site Hedge Baseline'!$B$1:$L$257,8,FALSE))))</f>
        <v/>
      </c>
      <c r="I203" s="520" t="str">
        <f>IF(B203="","",IF(ISNA(VLOOKUP($B203,'B-1 Site Hedge Baseline'!$B$1:$L$257,10,FALSE)),"",(VLOOKUP($B203,'B-1 Site Hedge Baseline'!$B$1:$L$257,10,FALSE))))</f>
        <v/>
      </c>
      <c r="J203" s="520" t="str">
        <f>IF(B203="","",IF(ISNA(VLOOKUP($B203,'B-1 Site Hedge Baseline'!$B$1:$L$257,11,FALSE)),"",(VLOOKUP($B203,'B-1 Site Hedge Baseline'!$B$1:$L$257,11,FALSE))))</f>
        <v/>
      </c>
      <c r="K203" s="520" t="str">
        <f>IF(B203="","",IF(ISNA(VLOOKUP($B203,'B-1 Site Hedge Baseline'!$B$1:$U$257,13,FALSE)),"",(VLOOKUP($B203,'B-1 Site Hedge Baseline'!$B$1:$U$257,13,FALSE))))</f>
        <v/>
      </c>
      <c r="L203" s="524" t="str">
        <f>IF(B203="","",IF(ISNA(VLOOKUP($B203,'B-1 Site Hedge Baseline'!$B$1:$U$257,12,FALSE)),"",(VLOOKUP($B203,'B-1 Site Hedge Baseline'!$B$1:$U$257,12,FALSE))))</f>
        <v/>
      </c>
      <c r="M203" s="416" t="str">
        <f t="shared" si="23"/>
        <v/>
      </c>
      <c r="N203" s="498" t="str">
        <f>IFERROR(IF(B203="","",INDEX('G-6 Hedgerow Data'!$AN$3:$AZ$15,MATCH(C203,'G-6 Hedgerow Data'!$AM$3:$AM$15,0),MATCH(M203,'G-6 Hedgerow Data'!$AN$2:$AZ$2,0))),"")</f>
        <v/>
      </c>
      <c r="O203" s="499" t="str">
        <f t="shared" si="18"/>
        <v/>
      </c>
      <c r="P203" s="559" t="str">
        <f>IF(B203="","",VLOOKUP(B203,'B-1 Site Hedge Baseline'!$B$10:T448,16,FALSE))</f>
        <v/>
      </c>
      <c r="Q203" s="498" t="str">
        <f>IF(M203="","",VLOOKUP(M203,'G-6 Hedgerow Data'!$B$2:$AG$15,2,FALSE))</f>
        <v/>
      </c>
      <c r="R203" s="499" t="str">
        <f>IF(M203="","",VLOOKUP(M203,'G-6 Hedgerow Data'!$B$2:$AG$15,3,FALSE))</f>
        <v/>
      </c>
      <c r="S203" s="157"/>
      <c r="T203" s="540" t="str">
        <f>IFERROR(VLOOKUP(S203,'G-1 All Habitats'!$Z$2:$AA$9,2,FALSE),"")</f>
        <v/>
      </c>
      <c r="U203" s="154"/>
      <c r="V203" s="520" t="str">
        <f>IF(U203="","",IF(VLOOKUP(U203,'G-3 Multipliers'!$L$3:$N$6,2,FALSE)=0,"Spatial Data Missing ⚠",VLOOKUP(U203,'G-3 Multipliers'!$L$3:$N$6,2,FALSE)))</f>
        <v/>
      </c>
      <c r="W203" s="524" t="str">
        <f>IF(U203="","",IF(VLOOKUP(U203,'G-3 Multipliers'!$L$3:$N$6,3,FALSE)=0,"Spatial Data Missing ⚠",VLOOKUP(U203,'G-3 Multipliers'!$L$3:$N$6,3,FALSE)))</f>
        <v/>
      </c>
      <c r="X203" s="498"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7" t="str">
        <f t="shared" si="19"/>
        <v/>
      </c>
      <c r="AB203" s="521" t="str">
        <f t="shared" si="20"/>
        <v/>
      </c>
      <c r="AC203" s="522" t="str">
        <f t="shared" si="16"/>
        <v/>
      </c>
      <c r="AD203" s="537" t="str">
        <f>IF(M203="","",VLOOKUP(M203,'G-6 Hedgerow Data'!$B$3:$AG$15,31,FALSE))</f>
        <v/>
      </c>
      <c r="AE203" s="507" t="str">
        <f t="shared" si="21"/>
        <v/>
      </c>
      <c r="AF203" s="507" t="str">
        <f t="shared" si="22"/>
        <v/>
      </c>
      <c r="AG203" s="524" t="str">
        <f>IFERROR(IF(O203="","",VLOOKUP(AD203,'G-3 Multipliers'!$P$3:$Q$6,2,FALSE)),"")</f>
        <v/>
      </c>
      <c r="AH203" s="513" t="str">
        <f t="shared" si="17"/>
        <v/>
      </c>
      <c r="AI203" s="231"/>
      <c r="AJ203" s="150"/>
      <c r="AT203" s="31" t="str">
        <f>IFERROR(INDEX('G-6 Hedgerow Data'!$BJ$3:$BJ$15,MATCH(M203,'G-6 Hedgerow Data'!$B$3:$B$15,0)),"")</f>
        <v/>
      </c>
    </row>
    <row r="204" spans="2:46" ht="13.8" x14ac:dyDescent="0.25">
      <c r="B204" s="531" t="str">
        <f>'B-1 Site Hedge Baseline'!AK202</f>
        <v/>
      </c>
      <c r="C204" s="520" t="str">
        <f>IF(B204="","",IF(ISNA(VLOOKUP($B204,'B-1 Site Hedge Baseline'!$B$1:$L$257,3,FALSE)),"",(VLOOKUP($B204,'B-1 Site Hedge Baseline'!$B$1:$L$257,3,FALSE))))</f>
        <v/>
      </c>
      <c r="D204" s="520" t="str">
        <f>IF(B204="","",IF(ISNA(VLOOKUP($B204,'B-1 Site Hedge Baseline'!$B$1:$L$257,4,FALSE)),"",(VLOOKUP($B204,'B-1 Site Hedge Baseline'!$B$1:$L$257,4,FALSE))))</f>
        <v/>
      </c>
      <c r="E204" s="520" t="str">
        <f>IF(B204="","",IF(ISNA(VLOOKUP($B204,'B-1 Site Hedge Baseline'!$B$1:$L$257,5,FALSE)),"",(VLOOKUP($B204,'B-1 Site Hedge Baseline'!$B$1:$L$257,5,FALSE))))</f>
        <v/>
      </c>
      <c r="F204" s="520" t="str">
        <f>IF(B204="","",IF(ISNA(VLOOKUP($B204,'B-1 Site Hedge Baseline'!$B$1:$L$257,6,FALSE)),"",(VLOOKUP($B204,'B-1 Site Hedge Baseline'!$B$1:$L$257,6,FALSE))))</f>
        <v/>
      </c>
      <c r="G204" s="520" t="str">
        <f>IF(B204="","",IF(ISNA(VLOOKUP($B204,'B-1 Site Hedge Baseline'!$B$1:$L$257,7,FALSE)),"",(VLOOKUP($B204,'B-1 Site Hedge Baseline'!$B$1:$L$257,7,FALSE))))</f>
        <v/>
      </c>
      <c r="H204" s="520" t="str">
        <f>IF(B204="","",IF(ISNA(VLOOKUP($B204,'B-1 Site Hedge Baseline'!$B$1:$L$257,8,FALSE)),"",(VLOOKUP($B204,'B-1 Site Hedge Baseline'!$B$1:$L$257,8,FALSE))))</f>
        <v/>
      </c>
      <c r="I204" s="520" t="str">
        <f>IF(B204="","",IF(ISNA(VLOOKUP($B204,'B-1 Site Hedge Baseline'!$B$1:$L$257,10,FALSE)),"",(VLOOKUP($B204,'B-1 Site Hedge Baseline'!$B$1:$L$257,10,FALSE))))</f>
        <v/>
      </c>
      <c r="J204" s="520" t="str">
        <f>IF(B204="","",IF(ISNA(VLOOKUP($B204,'B-1 Site Hedge Baseline'!$B$1:$L$257,11,FALSE)),"",(VLOOKUP($B204,'B-1 Site Hedge Baseline'!$B$1:$L$257,11,FALSE))))</f>
        <v/>
      </c>
      <c r="K204" s="520" t="str">
        <f>IF(B204="","",IF(ISNA(VLOOKUP($B204,'B-1 Site Hedge Baseline'!$B$1:$U$257,13,FALSE)),"",(VLOOKUP($B204,'B-1 Site Hedge Baseline'!$B$1:$U$257,13,FALSE))))</f>
        <v/>
      </c>
      <c r="L204" s="524" t="str">
        <f>IF(B204="","",IF(ISNA(VLOOKUP($B204,'B-1 Site Hedge Baseline'!$B$1:$U$257,12,FALSE)),"",(VLOOKUP($B204,'B-1 Site Hedge Baseline'!$B$1:$U$257,12,FALSE))))</f>
        <v/>
      </c>
      <c r="M204" s="416" t="str">
        <f t="shared" si="23"/>
        <v/>
      </c>
      <c r="N204" s="498" t="str">
        <f>IFERROR(IF(B204="","",INDEX('G-6 Hedgerow Data'!$AN$3:$AZ$15,MATCH(C204,'G-6 Hedgerow Data'!$AM$3:$AM$15,0),MATCH(M204,'G-6 Hedgerow Data'!$AN$2:$AZ$2,0))),"")</f>
        <v/>
      </c>
      <c r="O204" s="499" t="str">
        <f t="shared" si="18"/>
        <v/>
      </c>
      <c r="P204" s="559" t="str">
        <f>IF(B204="","",VLOOKUP(B204,'B-1 Site Hedge Baseline'!$B$10:T449,16,FALSE))</f>
        <v/>
      </c>
      <c r="Q204" s="498" t="str">
        <f>IF(M204="","",VLOOKUP(M204,'G-6 Hedgerow Data'!$B$2:$AG$15,2,FALSE))</f>
        <v/>
      </c>
      <c r="R204" s="499" t="str">
        <f>IF(M204="","",VLOOKUP(M204,'G-6 Hedgerow Data'!$B$2:$AG$15,3,FALSE))</f>
        <v/>
      </c>
      <c r="S204" s="157"/>
      <c r="T204" s="540" t="str">
        <f>IFERROR(VLOOKUP(S204,'G-1 All Habitats'!$Z$2:$AA$9,2,FALSE),"")</f>
        <v/>
      </c>
      <c r="U204" s="154"/>
      <c r="V204" s="520" t="str">
        <f>IF(U204="","",IF(VLOOKUP(U204,'G-3 Multipliers'!$L$3:$N$6,2,FALSE)=0,"Spatial Data Missing ⚠",VLOOKUP(U204,'G-3 Multipliers'!$L$3:$N$6,2,FALSE)))</f>
        <v/>
      </c>
      <c r="W204" s="524" t="str">
        <f>IF(U204="","",IF(VLOOKUP(U204,'G-3 Multipliers'!$L$3:$N$6,3,FALSE)=0,"Spatial Data Missing ⚠",VLOOKUP(U204,'G-3 Multipliers'!$L$3:$N$6,3,FALSE)))</f>
        <v/>
      </c>
      <c r="X204" s="498"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7" t="str">
        <f t="shared" si="19"/>
        <v/>
      </c>
      <c r="AB204" s="521" t="str">
        <f t="shared" si="20"/>
        <v/>
      </c>
      <c r="AC204" s="522" t="str">
        <f t="shared" ref="AC204:AC257" si="24">IF(OR(S204="",M204=""),"",IF(LEFT(AB204,5)="Error ▲","Check Data ⚠",IF(AB204="Check Data ⚠","Check Data ⚠",VLOOKUP(AB204,TemporalMultipliers,3,FALSE))))</f>
        <v/>
      </c>
      <c r="AD204" s="537" t="str">
        <f>IF(M204="","",VLOOKUP(M204,'G-6 Hedgerow Data'!$B$3:$AG$15,31,FALSE))</f>
        <v/>
      </c>
      <c r="AE204" s="507" t="str">
        <f t="shared" si="21"/>
        <v/>
      </c>
      <c r="AF204" s="507" t="str">
        <f t="shared" si="22"/>
        <v/>
      </c>
      <c r="AG204" s="524" t="str">
        <f>IFERROR(IF(O204="","",VLOOKUP(AD204,'G-3 Multipliers'!$P$3:$Q$6,2,FALSE)),"")</f>
        <v/>
      </c>
      <c r="AH204" s="513" t="str">
        <f t="shared" ref="AH204:AH257" si="25">IFERROR(IF(OR(M204="",S204="",U204=""),"",(((((P204*R204*T204)-(P204*F204*H204))*(AG204*AC204))+(P204*F204*H204))*(W204))),"")</f>
        <v/>
      </c>
      <c r="AI204" s="231"/>
      <c r="AJ204" s="150"/>
      <c r="AT204" s="31" t="str">
        <f>IFERROR(INDEX('G-6 Hedgerow Data'!$BJ$3:$BJ$15,MATCH(M204,'G-6 Hedgerow Data'!$B$3:$B$15,0)),"")</f>
        <v/>
      </c>
    </row>
    <row r="205" spans="2:46" ht="13.8" x14ac:dyDescent="0.25">
      <c r="B205" s="531" t="str">
        <f>'B-1 Site Hedge Baseline'!AK203</f>
        <v/>
      </c>
      <c r="C205" s="520" t="str">
        <f>IF(B205="","",IF(ISNA(VLOOKUP($B205,'B-1 Site Hedge Baseline'!$B$1:$L$257,3,FALSE)),"",(VLOOKUP($B205,'B-1 Site Hedge Baseline'!$B$1:$L$257,3,FALSE))))</f>
        <v/>
      </c>
      <c r="D205" s="520" t="str">
        <f>IF(B205="","",IF(ISNA(VLOOKUP($B205,'B-1 Site Hedge Baseline'!$B$1:$L$257,4,FALSE)),"",(VLOOKUP($B205,'B-1 Site Hedge Baseline'!$B$1:$L$257,4,FALSE))))</f>
        <v/>
      </c>
      <c r="E205" s="520" t="str">
        <f>IF(B205="","",IF(ISNA(VLOOKUP($B205,'B-1 Site Hedge Baseline'!$B$1:$L$257,5,FALSE)),"",(VLOOKUP($B205,'B-1 Site Hedge Baseline'!$B$1:$L$257,5,FALSE))))</f>
        <v/>
      </c>
      <c r="F205" s="520" t="str">
        <f>IF(B205="","",IF(ISNA(VLOOKUP($B205,'B-1 Site Hedge Baseline'!$B$1:$L$257,6,FALSE)),"",(VLOOKUP($B205,'B-1 Site Hedge Baseline'!$B$1:$L$257,6,FALSE))))</f>
        <v/>
      </c>
      <c r="G205" s="520" t="str">
        <f>IF(B205="","",IF(ISNA(VLOOKUP($B205,'B-1 Site Hedge Baseline'!$B$1:$L$257,7,FALSE)),"",(VLOOKUP($B205,'B-1 Site Hedge Baseline'!$B$1:$L$257,7,FALSE))))</f>
        <v/>
      </c>
      <c r="H205" s="520" t="str">
        <f>IF(B205="","",IF(ISNA(VLOOKUP($B205,'B-1 Site Hedge Baseline'!$B$1:$L$257,8,FALSE)),"",(VLOOKUP($B205,'B-1 Site Hedge Baseline'!$B$1:$L$257,8,FALSE))))</f>
        <v/>
      </c>
      <c r="I205" s="520" t="str">
        <f>IF(B205="","",IF(ISNA(VLOOKUP($B205,'B-1 Site Hedge Baseline'!$B$1:$L$257,10,FALSE)),"",(VLOOKUP($B205,'B-1 Site Hedge Baseline'!$B$1:$L$257,10,FALSE))))</f>
        <v/>
      </c>
      <c r="J205" s="520" t="str">
        <f>IF(B205="","",IF(ISNA(VLOOKUP($B205,'B-1 Site Hedge Baseline'!$B$1:$L$257,11,FALSE)),"",(VLOOKUP($B205,'B-1 Site Hedge Baseline'!$B$1:$L$257,11,FALSE))))</f>
        <v/>
      </c>
      <c r="K205" s="520" t="str">
        <f>IF(B205="","",IF(ISNA(VLOOKUP($B205,'B-1 Site Hedge Baseline'!$B$1:$U$257,13,FALSE)),"",(VLOOKUP($B205,'B-1 Site Hedge Baseline'!$B$1:$U$257,13,FALSE))))</f>
        <v/>
      </c>
      <c r="L205" s="524" t="str">
        <f>IF(B205="","",IF(ISNA(VLOOKUP($B205,'B-1 Site Hedge Baseline'!$B$1:$U$257,12,FALSE)),"",(VLOOKUP($B205,'B-1 Site Hedge Baseline'!$B$1:$U$257,12,FALSE))))</f>
        <v/>
      </c>
      <c r="M205" s="416" t="str">
        <f t="shared" si="23"/>
        <v/>
      </c>
      <c r="N205" s="498" t="str">
        <f>IFERROR(IF(B205="","",INDEX('G-6 Hedgerow Data'!$AN$3:$AZ$15,MATCH(C205,'G-6 Hedgerow Data'!$AM$3:$AM$15,0),MATCH(M205,'G-6 Hedgerow Data'!$AN$2:$AZ$2,0))),"")</f>
        <v/>
      </c>
      <c r="O205" s="499" t="str">
        <f t="shared" ref="O205:O256"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59" t="str">
        <f>IF(B205="","",VLOOKUP(B205,'B-1 Site Hedge Baseline'!$B$10:T450,16,FALSE))</f>
        <v/>
      </c>
      <c r="Q205" s="498" t="str">
        <f>IF(M205="","",VLOOKUP(M205,'G-6 Hedgerow Data'!$B$2:$AG$15,2,FALSE))</f>
        <v/>
      </c>
      <c r="R205" s="499" t="str">
        <f>IF(M205="","",VLOOKUP(M205,'G-6 Hedgerow Data'!$B$2:$AG$15,3,FALSE))</f>
        <v/>
      </c>
      <c r="S205" s="157"/>
      <c r="T205" s="540" t="str">
        <f>IFERROR(VLOOKUP(S205,'G-1 All Habitats'!$Z$2:$AA$9,2,FALSE),"")</f>
        <v/>
      </c>
      <c r="U205" s="154"/>
      <c r="V205" s="520" t="str">
        <f>IF(U205="","",IF(VLOOKUP(U205,'G-3 Multipliers'!$L$3:$N$6,2,FALSE)=0,"Spatial Data Missing ⚠",VLOOKUP(U205,'G-3 Multipliers'!$L$3:$N$6,2,FALSE)))</f>
        <v/>
      </c>
      <c r="W205" s="524" t="str">
        <f>IF(U205="","",IF(VLOOKUP(U205,'G-3 Multipliers'!$L$3:$N$6,3,FALSE)=0,"Spatial Data Missing ⚠",VLOOKUP(U205,'G-3 Multipliers'!$L$3:$N$6,3,FALSE)))</f>
        <v/>
      </c>
      <c r="X205" s="498"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7"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1" t="str">
        <f t="shared" ref="AB205:AB256" si="28">IF(X205="","",IF(AA205="Check Data ⚠","Check Data ⚠",IF(Y205="30+",0,IF(Z205="30+","30+ ⚠",IF(X205+Z205&gt;30,"30+ ⚠",IF(LEFT(AA205,5)="Error ▲","Check Data ⚠",IF(X205+Z205-Y205&gt;0,X205+Z205-Y205,IF(X205-Y205&lt;=0,0,))))))))</f>
        <v/>
      </c>
      <c r="AC205" s="522" t="str">
        <f t="shared" si="24"/>
        <v/>
      </c>
      <c r="AD205" s="537" t="str">
        <f>IF(M205="","",VLOOKUP(M205,'G-6 Hedgerow Data'!$B$3:$AG$15,31,FALSE))</f>
        <v/>
      </c>
      <c r="AE205" s="507"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07" t="str">
        <f t="shared" ref="AF205:AF257" si="30">(IF(AND(AE205="Standard difficulty applied",X205&gt;Y205),AD205,IF(AND(AE205="Low Difficulty - only applicable if all habitat created before losses ⚠",Y205&gt;=X205),"Low",AD205)))</f>
        <v/>
      </c>
      <c r="AG205" s="524" t="str">
        <f>IFERROR(IF(O205="","",VLOOKUP(AD205,'G-3 Multipliers'!$P$3:$Q$6,2,FALSE)),"")</f>
        <v/>
      </c>
      <c r="AH205" s="513" t="str">
        <f t="shared" si="25"/>
        <v/>
      </c>
      <c r="AI205" s="231"/>
      <c r="AJ205" s="150"/>
      <c r="AT205" s="31" t="str">
        <f>IFERROR(INDEX('G-6 Hedgerow Data'!$BJ$3:$BJ$15,MATCH(M205,'G-6 Hedgerow Data'!$B$3:$B$15,0)),"")</f>
        <v/>
      </c>
    </row>
    <row r="206" spans="2:46" ht="13.8" x14ac:dyDescent="0.25">
      <c r="B206" s="531" t="str">
        <f>'B-1 Site Hedge Baseline'!AK204</f>
        <v/>
      </c>
      <c r="C206" s="520" t="str">
        <f>IF(B206="","",IF(ISNA(VLOOKUP($B206,'B-1 Site Hedge Baseline'!$B$1:$L$257,3,FALSE)),"",(VLOOKUP($B206,'B-1 Site Hedge Baseline'!$B$1:$L$257,3,FALSE))))</f>
        <v/>
      </c>
      <c r="D206" s="520" t="str">
        <f>IF(B206="","",IF(ISNA(VLOOKUP($B206,'B-1 Site Hedge Baseline'!$B$1:$L$257,4,FALSE)),"",(VLOOKUP($B206,'B-1 Site Hedge Baseline'!$B$1:$L$257,4,FALSE))))</f>
        <v/>
      </c>
      <c r="E206" s="520" t="str">
        <f>IF(B206="","",IF(ISNA(VLOOKUP($B206,'B-1 Site Hedge Baseline'!$B$1:$L$257,5,FALSE)),"",(VLOOKUP($B206,'B-1 Site Hedge Baseline'!$B$1:$L$257,5,FALSE))))</f>
        <v/>
      </c>
      <c r="F206" s="520" t="str">
        <f>IF(B206="","",IF(ISNA(VLOOKUP($B206,'B-1 Site Hedge Baseline'!$B$1:$L$257,6,FALSE)),"",(VLOOKUP($B206,'B-1 Site Hedge Baseline'!$B$1:$L$257,6,FALSE))))</f>
        <v/>
      </c>
      <c r="G206" s="520" t="str">
        <f>IF(B206="","",IF(ISNA(VLOOKUP($B206,'B-1 Site Hedge Baseline'!$B$1:$L$257,7,FALSE)),"",(VLOOKUP($B206,'B-1 Site Hedge Baseline'!$B$1:$L$257,7,FALSE))))</f>
        <v/>
      </c>
      <c r="H206" s="520" t="str">
        <f>IF(B206="","",IF(ISNA(VLOOKUP($B206,'B-1 Site Hedge Baseline'!$B$1:$L$257,8,FALSE)),"",(VLOOKUP($B206,'B-1 Site Hedge Baseline'!$B$1:$L$257,8,FALSE))))</f>
        <v/>
      </c>
      <c r="I206" s="520" t="str">
        <f>IF(B206="","",IF(ISNA(VLOOKUP($B206,'B-1 Site Hedge Baseline'!$B$1:$L$257,10,FALSE)),"",(VLOOKUP($B206,'B-1 Site Hedge Baseline'!$B$1:$L$257,10,FALSE))))</f>
        <v/>
      </c>
      <c r="J206" s="520" t="str">
        <f>IF(B206="","",IF(ISNA(VLOOKUP($B206,'B-1 Site Hedge Baseline'!$B$1:$L$257,11,FALSE)),"",(VLOOKUP($B206,'B-1 Site Hedge Baseline'!$B$1:$L$257,11,FALSE))))</f>
        <v/>
      </c>
      <c r="K206" s="520" t="str">
        <f>IF(B206="","",IF(ISNA(VLOOKUP($B206,'B-1 Site Hedge Baseline'!$B$1:$U$257,13,FALSE)),"",(VLOOKUP($B206,'B-1 Site Hedge Baseline'!$B$1:$U$257,13,FALSE))))</f>
        <v/>
      </c>
      <c r="L206" s="524" t="str">
        <f>IF(B206="","",IF(ISNA(VLOOKUP($B206,'B-1 Site Hedge Baseline'!$B$1:$U$257,12,FALSE)),"",(VLOOKUP($B206,'B-1 Site Hedge Baseline'!$B$1:$U$257,12,FALSE))))</f>
        <v/>
      </c>
      <c r="M206" s="416" t="str">
        <f t="shared" ref="M206:M257" si="31">IF(B206="","",C206)</f>
        <v/>
      </c>
      <c r="N206" s="498" t="str">
        <f>IFERROR(IF(B206="","",INDEX('G-6 Hedgerow Data'!$AN$3:$AZ$15,MATCH(C206,'G-6 Hedgerow Data'!$AM$3:$AM$15,0),MATCH(M206,'G-6 Hedgerow Data'!$AN$2:$AZ$2,0))),"")</f>
        <v/>
      </c>
      <c r="O206" s="499" t="str">
        <f t="shared" si="26"/>
        <v/>
      </c>
      <c r="P206" s="559" t="str">
        <f>IF(B206="","",VLOOKUP(B206,'B-1 Site Hedge Baseline'!$B$10:T451,16,FALSE))</f>
        <v/>
      </c>
      <c r="Q206" s="498" t="str">
        <f>IF(M206="","",VLOOKUP(M206,'G-6 Hedgerow Data'!$B$2:$AG$15,2,FALSE))</f>
        <v/>
      </c>
      <c r="R206" s="499" t="str">
        <f>IF(M206="","",VLOOKUP(M206,'G-6 Hedgerow Data'!$B$2:$AG$15,3,FALSE))</f>
        <v/>
      </c>
      <c r="S206" s="157"/>
      <c r="T206" s="540" t="str">
        <f>IFERROR(VLOOKUP(S206,'G-1 All Habitats'!$Z$2:$AA$9,2,FALSE),"")</f>
        <v/>
      </c>
      <c r="U206" s="154"/>
      <c r="V206" s="520" t="str">
        <f>IF(U206="","",IF(VLOOKUP(U206,'G-3 Multipliers'!$L$3:$N$6,2,FALSE)=0,"Spatial Data Missing ⚠",VLOOKUP(U206,'G-3 Multipliers'!$L$3:$N$6,2,FALSE)))</f>
        <v/>
      </c>
      <c r="W206" s="524" t="str">
        <f>IF(U206="","",IF(VLOOKUP(U206,'G-3 Multipliers'!$L$3:$N$6,3,FALSE)=0,"Spatial Data Missing ⚠",VLOOKUP(U206,'G-3 Multipliers'!$L$3:$N$6,3,FALSE)))</f>
        <v/>
      </c>
      <c r="X206" s="498"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7" t="str">
        <f t="shared" si="27"/>
        <v/>
      </c>
      <c r="AB206" s="521" t="str">
        <f t="shared" si="28"/>
        <v/>
      </c>
      <c r="AC206" s="522" t="str">
        <f t="shared" si="24"/>
        <v/>
      </c>
      <c r="AD206" s="537" t="str">
        <f>IF(M206="","",VLOOKUP(M206,'G-6 Hedgerow Data'!$B$3:$AG$15,31,FALSE))</f>
        <v/>
      </c>
      <c r="AE206" s="507" t="str">
        <f t="shared" si="29"/>
        <v/>
      </c>
      <c r="AF206" s="507" t="str">
        <f t="shared" si="30"/>
        <v/>
      </c>
      <c r="AG206" s="524" t="str">
        <f>IFERROR(IF(O206="","",VLOOKUP(AD206,'G-3 Multipliers'!$P$3:$Q$6,2,FALSE)),"")</f>
        <v/>
      </c>
      <c r="AH206" s="513" t="str">
        <f t="shared" si="25"/>
        <v/>
      </c>
      <c r="AI206" s="231"/>
      <c r="AJ206" s="150"/>
      <c r="AT206" s="31" t="str">
        <f>IFERROR(INDEX('G-6 Hedgerow Data'!$BJ$3:$BJ$15,MATCH(M206,'G-6 Hedgerow Data'!$B$3:$B$15,0)),"")</f>
        <v/>
      </c>
    </row>
    <row r="207" spans="2:46" ht="13.8" x14ac:dyDescent="0.25">
      <c r="B207" s="531" t="str">
        <f>'B-1 Site Hedge Baseline'!AK205</f>
        <v/>
      </c>
      <c r="C207" s="520" t="str">
        <f>IF(B207="","",IF(ISNA(VLOOKUP($B207,'B-1 Site Hedge Baseline'!$B$1:$L$257,3,FALSE)),"",(VLOOKUP($B207,'B-1 Site Hedge Baseline'!$B$1:$L$257,3,FALSE))))</f>
        <v/>
      </c>
      <c r="D207" s="520" t="str">
        <f>IF(B207="","",IF(ISNA(VLOOKUP($B207,'B-1 Site Hedge Baseline'!$B$1:$L$257,4,FALSE)),"",(VLOOKUP($B207,'B-1 Site Hedge Baseline'!$B$1:$L$257,4,FALSE))))</f>
        <v/>
      </c>
      <c r="E207" s="520" t="str">
        <f>IF(B207="","",IF(ISNA(VLOOKUP($B207,'B-1 Site Hedge Baseline'!$B$1:$L$257,5,FALSE)),"",(VLOOKUP($B207,'B-1 Site Hedge Baseline'!$B$1:$L$257,5,FALSE))))</f>
        <v/>
      </c>
      <c r="F207" s="520" t="str">
        <f>IF(B207="","",IF(ISNA(VLOOKUP($B207,'B-1 Site Hedge Baseline'!$B$1:$L$257,6,FALSE)),"",(VLOOKUP($B207,'B-1 Site Hedge Baseline'!$B$1:$L$257,6,FALSE))))</f>
        <v/>
      </c>
      <c r="G207" s="520" t="str">
        <f>IF(B207="","",IF(ISNA(VLOOKUP($B207,'B-1 Site Hedge Baseline'!$B$1:$L$257,7,FALSE)),"",(VLOOKUP($B207,'B-1 Site Hedge Baseline'!$B$1:$L$257,7,FALSE))))</f>
        <v/>
      </c>
      <c r="H207" s="520" t="str">
        <f>IF(B207="","",IF(ISNA(VLOOKUP($B207,'B-1 Site Hedge Baseline'!$B$1:$L$257,8,FALSE)),"",(VLOOKUP($B207,'B-1 Site Hedge Baseline'!$B$1:$L$257,8,FALSE))))</f>
        <v/>
      </c>
      <c r="I207" s="520" t="str">
        <f>IF(B207="","",IF(ISNA(VLOOKUP($B207,'B-1 Site Hedge Baseline'!$B$1:$L$257,10,FALSE)),"",(VLOOKUP($B207,'B-1 Site Hedge Baseline'!$B$1:$L$257,10,FALSE))))</f>
        <v/>
      </c>
      <c r="J207" s="520" t="str">
        <f>IF(B207="","",IF(ISNA(VLOOKUP($B207,'B-1 Site Hedge Baseline'!$B$1:$L$257,11,FALSE)),"",(VLOOKUP($B207,'B-1 Site Hedge Baseline'!$B$1:$L$257,11,FALSE))))</f>
        <v/>
      </c>
      <c r="K207" s="520" t="str">
        <f>IF(B207="","",IF(ISNA(VLOOKUP($B207,'B-1 Site Hedge Baseline'!$B$1:$U$257,13,FALSE)),"",(VLOOKUP($B207,'B-1 Site Hedge Baseline'!$B$1:$U$257,13,FALSE))))</f>
        <v/>
      </c>
      <c r="L207" s="524" t="str">
        <f>IF(B207="","",IF(ISNA(VLOOKUP($B207,'B-1 Site Hedge Baseline'!$B$1:$U$257,12,FALSE)),"",(VLOOKUP($B207,'B-1 Site Hedge Baseline'!$B$1:$U$257,12,FALSE))))</f>
        <v/>
      </c>
      <c r="M207" s="416" t="str">
        <f t="shared" si="31"/>
        <v/>
      </c>
      <c r="N207" s="498" t="str">
        <f>IFERROR(IF(B207="","",INDEX('G-6 Hedgerow Data'!$AN$3:$AZ$15,MATCH(C207,'G-6 Hedgerow Data'!$AM$3:$AM$15,0),MATCH(M207,'G-6 Hedgerow Data'!$AN$2:$AZ$2,0))),"")</f>
        <v/>
      </c>
      <c r="O207" s="499" t="str">
        <f t="shared" si="26"/>
        <v/>
      </c>
      <c r="P207" s="559" t="str">
        <f>IF(B207="","",VLOOKUP(B207,'B-1 Site Hedge Baseline'!$B$10:T452,16,FALSE))</f>
        <v/>
      </c>
      <c r="Q207" s="498" t="str">
        <f>IF(M207="","",VLOOKUP(M207,'G-6 Hedgerow Data'!$B$2:$AG$15,2,FALSE))</f>
        <v/>
      </c>
      <c r="R207" s="499" t="str">
        <f>IF(M207="","",VLOOKUP(M207,'G-6 Hedgerow Data'!$B$2:$AG$15,3,FALSE))</f>
        <v/>
      </c>
      <c r="S207" s="157"/>
      <c r="T207" s="540" t="str">
        <f>IFERROR(VLOOKUP(S207,'G-1 All Habitats'!$Z$2:$AA$9,2,FALSE),"")</f>
        <v/>
      </c>
      <c r="U207" s="154"/>
      <c r="V207" s="520" t="str">
        <f>IF(U207="","",IF(VLOOKUP(U207,'G-3 Multipliers'!$L$3:$N$6,2,FALSE)=0,"Spatial Data Missing ⚠",VLOOKUP(U207,'G-3 Multipliers'!$L$3:$N$6,2,FALSE)))</f>
        <v/>
      </c>
      <c r="W207" s="524" t="str">
        <f>IF(U207="","",IF(VLOOKUP(U207,'G-3 Multipliers'!$L$3:$N$6,3,FALSE)=0,"Spatial Data Missing ⚠",VLOOKUP(U207,'G-3 Multipliers'!$L$3:$N$6,3,FALSE)))</f>
        <v/>
      </c>
      <c r="X207" s="498"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7" t="str">
        <f t="shared" si="27"/>
        <v/>
      </c>
      <c r="AB207" s="521" t="str">
        <f t="shared" si="28"/>
        <v/>
      </c>
      <c r="AC207" s="522" t="str">
        <f t="shared" si="24"/>
        <v/>
      </c>
      <c r="AD207" s="537" t="str">
        <f>IF(M207="","",VLOOKUP(M207,'G-6 Hedgerow Data'!$B$3:$AG$15,31,FALSE))</f>
        <v/>
      </c>
      <c r="AE207" s="507" t="str">
        <f t="shared" si="29"/>
        <v/>
      </c>
      <c r="AF207" s="507" t="str">
        <f t="shared" si="30"/>
        <v/>
      </c>
      <c r="AG207" s="524" t="str">
        <f>IFERROR(IF(O207="","",VLOOKUP(AD207,'G-3 Multipliers'!$P$3:$Q$6,2,FALSE)),"")</f>
        <v/>
      </c>
      <c r="AH207" s="513" t="str">
        <f t="shared" si="25"/>
        <v/>
      </c>
      <c r="AI207" s="231"/>
      <c r="AJ207" s="150"/>
      <c r="AT207" s="31" t="str">
        <f>IFERROR(INDEX('G-6 Hedgerow Data'!$BJ$3:$BJ$15,MATCH(M207,'G-6 Hedgerow Data'!$B$3:$B$15,0)),"")</f>
        <v/>
      </c>
    </row>
    <row r="208" spans="2:46" ht="13.8" x14ac:dyDescent="0.25">
      <c r="B208" s="531" t="str">
        <f>'B-1 Site Hedge Baseline'!AK206</f>
        <v/>
      </c>
      <c r="C208" s="520" t="str">
        <f>IF(B208="","",IF(ISNA(VLOOKUP($B208,'B-1 Site Hedge Baseline'!$B$1:$L$257,3,FALSE)),"",(VLOOKUP($B208,'B-1 Site Hedge Baseline'!$B$1:$L$257,3,FALSE))))</f>
        <v/>
      </c>
      <c r="D208" s="520" t="str">
        <f>IF(B208="","",IF(ISNA(VLOOKUP($B208,'B-1 Site Hedge Baseline'!$B$1:$L$257,4,FALSE)),"",(VLOOKUP($B208,'B-1 Site Hedge Baseline'!$B$1:$L$257,4,FALSE))))</f>
        <v/>
      </c>
      <c r="E208" s="520" t="str">
        <f>IF(B208="","",IF(ISNA(VLOOKUP($B208,'B-1 Site Hedge Baseline'!$B$1:$L$257,5,FALSE)),"",(VLOOKUP($B208,'B-1 Site Hedge Baseline'!$B$1:$L$257,5,FALSE))))</f>
        <v/>
      </c>
      <c r="F208" s="520" t="str">
        <f>IF(B208="","",IF(ISNA(VLOOKUP($B208,'B-1 Site Hedge Baseline'!$B$1:$L$257,6,FALSE)),"",(VLOOKUP($B208,'B-1 Site Hedge Baseline'!$B$1:$L$257,6,FALSE))))</f>
        <v/>
      </c>
      <c r="G208" s="520" t="str">
        <f>IF(B208="","",IF(ISNA(VLOOKUP($B208,'B-1 Site Hedge Baseline'!$B$1:$L$257,7,FALSE)),"",(VLOOKUP($B208,'B-1 Site Hedge Baseline'!$B$1:$L$257,7,FALSE))))</f>
        <v/>
      </c>
      <c r="H208" s="520" t="str">
        <f>IF(B208="","",IF(ISNA(VLOOKUP($B208,'B-1 Site Hedge Baseline'!$B$1:$L$257,8,FALSE)),"",(VLOOKUP($B208,'B-1 Site Hedge Baseline'!$B$1:$L$257,8,FALSE))))</f>
        <v/>
      </c>
      <c r="I208" s="520" t="str">
        <f>IF(B208="","",IF(ISNA(VLOOKUP($B208,'B-1 Site Hedge Baseline'!$B$1:$L$257,10,FALSE)),"",(VLOOKUP($B208,'B-1 Site Hedge Baseline'!$B$1:$L$257,10,FALSE))))</f>
        <v/>
      </c>
      <c r="J208" s="520" t="str">
        <f>IF(B208="","",IF(ISNA(VLOOKUP($B208,'B-1 Site Hedge Baseline'!$B$1:$L$257,11,FALSE)),"",(VLOOKUP($B208,'B-1 Site Hedge Baseline'!$B$1:$L$257,11,FALSE))))</f>
        <v/>
      </c>
      <c r="K208" s="520" t="str">
        <f>IF(B208="","",IF(ISNA(VLOOKUP($B208,'B-1 Site Hedge Baseline'!$B$1:$U$257,13,FALSE)),"",(VLOOKUP($B208,'B-1 Site Hedge Baseline'!$B$1:$U$257,13,FALSE))))</f>
        <v/>
      </c>
      <c r="L208" s="524" t="str">
        <f>IF(B208="","",IF(ISNA(VLOOKUP($B208,'B-1 Site Hedge Baseline'!$B$1:$U$257,12,FALSE)),"",(VLOOKUP($B208,'B-1 Site Hedge Baseline'!$B$1:$U$257,12,FALSE))))</f>
        <v/>
      </c>
      <c r="M208" s="416" t="str">
        <f t="shared" si="31"/>
        <v/>
      </c>
      <c r="N208" s="498" t="str">
        <f>IFERROR(IF(B208="","",INDEX('G-6 Hedgerow Data'!$AN$3:$AZ$15,MATCH(C208,'G-6 Hedgerow Data'!$AM$3:$AM$15,0),MATCH(M208,'G-6 Hedgerow Data'!$AN$2:$AZ$2,0))),"")</f>
        <v/>
      </c>
      <c r="O208" s="499" t="str">
        <f t="shared" si="26"/>
        <v/>
      </c>
      <c r="P208" s="559" t="str">
        <f>IF(B208="","",VLOOKUP(B208,'B-1 Site Hedge Baseline'!$B$10:T453,16,FALSE))</f>
        <v/>
      </c>
      <c r="Q208" s="498" t="str">
        <f>IF(M208="","",VLOOKUP(M208,'G-6 Hedgerow Data'!$B$2:$AG$15,2,FALSE))</f>
        <v/>
      </c>
      <c r="R208" s="499" t="str">
        <f>IF(M208="","",VLOOKUP(M208,'G-6 Hedgerow Data'!$B$2:$AG$15,3,FALSE))</f>
        <v/>
      </c>
      <c r="S208" s="157"/>
      <c r="T208" s="540" t="str">
        <f>IFERROR(VLOOKUP(S208,'G-1 All Habitats'!$Z$2:$AA$9,2,FALSE),"")</f>
        <v/>
      </c>
      <c r="U208" s="154"/>
      <c r="V208" s="520" t="str">
        <f>IF(U208="","",IF(VLOOKUP(U208,'G-3 Multipliers'!$L$3:$N$6,2,FALSE)=0,"Spatial Data Missing ⚠",VLOOKUP(U208,'G-3 Multipliers'!$L$3:$N$6,2,FALSE)))</f>
        <v/>
      </c>
      <c r="W208" s="524" t="str">
        <f>IF(U208="","",IF(VLOOKUP(U208,'G-3 Multipliers'!$L$3:$N$6,3,FALSE)=0,"Spatial Data Missing ⚠",VLOOKUP(U208,'G-3 Multipliers'!$L$3:$N$6,3,FALSE)))</f>
        <v/>
      </c>
      <c r="X208" s="498"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7" t="str">
        <f t="shared" si="27"/>
        <v/>
      </c>
      <c r="AB208" s="521" t="str">
        <f t="shared" si="28"/>
        <v/>
      </c>
      <c r="AC208" s="522" t="str">
        <f t="shared" si="24"/>
        <v/>
      </c>
      <c r="AD208" s="537" t="str">
        <f>IF(M208="","",VLOOKUP(M208,'G-6 Hedgerow Data'!$B$3:$AG$15,31,FALSE))</f>
        <v/>
      </c>
      <c r="AE208" s="507" t="str">
        <f t="shared" si="29"/>
        <v/>
      </c>
      <c r="AF208" s="507" t="str">
        <f t="shared" si="30"/>
        <v/>
      </c>
      <c r="AG208" s="524" t="str">
        <f>IFERROR(IF(O208="","",VLOOKUP(AD208,'G-3 Multipliers'!$P$3:$Q$6,2,FALSE)),"")</f>
        <v/>
      </c>
      <c r="AH208" s="513" t="str">
        <f t="shared" si="25"/>
        <v/>
      </c>
      <c r="AI208" s="231"/>
      <c r="AJ208" s="150"/>
      <c r="AT208" s="31" t="str">
        <f>IFERROR(INDEX('G-6 Hedgerow Data'!$BJ$3:$BJ$15,MATCH(M208,'G-6 Hedgerow Data'!$B$3:$B$15,0)),"")</f>
        <v/>
      </c>
    </row>
    <row r="209" spans="2:46" ht="13.8" x14ac:dyDescent="0.25">
      <c r="B209" s="531" t="str">
        <f>'B-1 Site Hedge Baseline'!AK207</f>
        <v/>
      </c>
      <c r="C209" s="520" t="str">
        <f>IF(B209="","",IF(ISNA(VLOOKUP($B209,'B-1 Site Hedge Baseline'!$B$1:$L$257,3,FALSE)),"",(VLOOKUP($B209,'B-1 Site Hedge Baseline'!$B$1:$L$257,3,FALSE))))</f>
        <v/>
      </c>
      <c r="D209" s="520" t="str">
        <f>IF(B209="","",IF(ISNA(VLOOKUP($B209,'B-1 Site Hedge Baseline'!$B$1:$L$257,4,FALSE)),"",(VLOOKUP($B209,'B-1 Site Hedge Baseline'!$B$1:$L$257,4,FALSE))))</f>
        <v/>
      </c>
      <c r="E209" s="520" t="str">
        <f>IF(B209="","",IF(ISNA(VLOOKUP($B209,'B-1 Site Hedge Baseline'!$B$1:$L$257,5,FALSE)),"",(VLOOKUP($B209,'B-1 Site Hedge Baseline'!$B$1:$L$257,5,FALSE))))</f>
        <v/>
      </c>
      <c r="F209" s="520" t="str">
        <f>IF(B209="","",IF(ISNA(VLOOKUP($B209,'B-1 Site Hedge Baseline'!$B$1:$L$257,6,FALSE)),"",(VLOOKUP($B209,'B-1 Site Hedge Baseline'!$B$1:$L$257,6,FALSE))))</f>
        <v/>
      </c>
      <c r="G209" s="520" t="str">
        <f>IF(B209="","",IF(ISNA(VLOOKUP($B209,'B-1 Site Hedge Baseline'!$B$1:$L$257,7,FALSE)),"",(VLOOKUP($B209,'B-1 Site Hedge Baseline'!$B$1:$L$257,7,FALSE))))</f>
        <v/>
      </c>
      <c r="H209" s="520" t="str">
        <f>IF(B209="","",IF(ISNA(VLOOKUP($B209,'B-1 Site Hedge Baseline'!$B$1:$L$257,8,FALSE)),"",(VLOOKUP($B209,'B-1 Site Hedge Baseline'!$B$1:$L$257,8,FALSE))))</f>
        <v/>
      </c>
      <c r="I209" s="520" t="str">
        <f>IF(B209="","",IF(ISNA(VLOOKUP($B209,'B-1 Site Hedge Baseline'!$B$1:$L$257,10,FALSE)),"",(VLOOKUP($B209,'B-1 Site Hedge Baseline'!$B$1:$L$257,10,FALSE))))</f>
        <v/>
      </c>
      <c r="J209" s="520" t="str">
        <f>IF(B209="","",IF(ISNA(VLOOKUP($B209,'B-1 Site Hedge Baseline'!$B$1:$L$257,11,FALSE)),"",(VLOOKUP($B209,'B-1 Site Hedge Baseline'!$B$1:$L$257,11,FALSE))))</f>
        <v/>
      </c>
      <c r="K209" s="520" t="str">
        <f>IF(B209="","",IF(ISNA(VLOOKUP($B209,'B-1 Site Hedge Baseline'!$B$1:$U$257,13,FALSE)),"",(VLOOKUP($B209,'B-1 Site Hedge Baseline'!$B$1:$U$257,13,FALSE))))</f>
        <v/>
      </c>
      <c r="L209" s="524" t="str">
        <f>IF(B209="","",IF(ISNA(VLOOKUP($B209,'B-1 Site Hedge Baseline'!$B$1:$U$257,12,FALSE)),"",(VLOOKUP($B209,'B-1 Site Hedge Baseline'!$B$1:$U$257,12,FALSE))))</f>
        <v/>
      </c>
      <c r="M209" s="416" t="str">
        <f t="shared" si="31"/>
        <v/>
      </c>
      <c r="N209" s="498" t="str">
        <f>IFERROR(IF(B209="","",INDEX('G-6 Hedgerow Data'!$AN$3:$AZ$15,MATCH(C209,'G-6 Hedgerow Data'!$AM$3:$AM$15,0),MATCH(M209,'G-6 Hedgerow Data'!$AN$2:$AZ$2,0))),"")</f>
        <v/>
      </c>
      <c r="O209" s="499" t="str">
        <f t="shared" si="26"/>
        <v/>
      </c>
      <c r="P209" s="559" t="str">
        <f>IF(B209="","",VLOOKUP(B209,'B-1 Site Hedge Baseline'!$B$10:T454,16,FALSE))</f>
        <v/>
      </c>
      <c r="Q209" s="498" t="str">
        <f>IF(M209="","",VLOOKUP(M209,'G-6 Hedgerow Data'!$B$2:$AG$15,2,FALSE))</f>
        <v/>
      </c>
      <c r="R209" s="499" t="str">
        <f>IF(M209="","",VLOOKUP(M209,'G-6 Hedgerow Data'!$B$2:$AG$15,3,FALSE))</f>
        <v/>
      </c>
      <c r="S209" s="157"/>
      <c r="T209" s="540" t="str">
        <f>IFERROR(VLOOKUP(S209,'G-1 All Habitats'!$Z$2:$AA$9,2,FALSE),"")</f>
        <v/>
      </c>
      <c r="U209" s="154"/>
      <c r="V209" s="520" t="str">
        <f>IF(U209="","",IF(VLOOKUP(U209,'G-3 Multipliers'!$L$3:$N$6,2,FALSE)=0,"Spatial Data Missing ⚠",VLOOKUP(U209,'G-3 Multipliers'!$L$3:$N$6,2,FALSE)))</f>
        <v/>
      </c>
      <c r="W209" s="524" t="str">
        <f>IF(U209="","",IF(VLOOKUP(U209,'G-3 Multipliers'!$L$3:$N$6,3,FALSE)=0,"Spatial Data Missing ⚠",VLOOKUP(U209,'G-3 Multipliers'!$L$3:$N$6,3,FALSE)))</f>
        <v/>
      </c>
      <c r="X209" s="498"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7" t="str">
        <f t="shared" si="27"/>
        <v/>
      </c>
      <c r="AB209" s="521" t="str">
        <f t="shared" si="28"/>
        <v/>
      </c>
      <c r="AC209" s="522" t="str">
        <f t="shared" si="24"/>
        <v/>
      </c>
      <c r="AD209" s="537" t="str">
        <f>IF(M209="","",VLOOKUP(M209,'G-6 Hedgerow Data'!$B$3:$AG$15,31,FALSE))</f>
        <v/>
      </c>
      <c r="AE209" s="507" t="str">
        <f t="shared" si="29"/>
        <v/>
      </c>
      <c r="AF209" s="507" t="str">
        <f t="shared" si="30"/>
        <v/>
      </c>
      <c r="AG209" s="524" t="str">
        <f>IFERROR(IF(O209="","",VLOOKUP(AD209,'G-3 Multipliers'!$P$3:$Q$6,2,FALSE)),"")</f>
        <v/>
      </c>
      <c r="AH209" s="513" t="str">
        <f t="shared" si="25"/>
        <v/>
      </c>
      <c r="AI209" s="231"/>
      <c r="AJ209" s="150"/>
      <c r="AT209" s="31" t="str">
        <f>IFERROR(INDEX('G-6 Hedgerow Data'!$BJ$3:$BJ$15,MATCH(M209,'G-6 Hedgerow Data'!$B$3:$B$15,0)),"")</f>
        <v/>
      </c>
    </row>
    <row r="210" spans="2:46" ht="13.8" x14ac:dyDescent="0.25">
      <c r="B210" s="531" t="str">
        <f>'B-1 Site Hedge Baseline'!AK208</f>
        <v/>
      </c>
      <c r="C210" s="520" t="str">
        <f>IF(B210="","",IF(ISNA(VLOOKUP($B210,'B-1 Site Hedge Baseline'!$B$1:$L$257,3,FALSE)),"",(VLOOKUP($B210,'B-1 Site Hedge Baseline'!$B$1:$L$257,3,FALSE))))</f>
        <v/>
      </c>
      <c r="D210" s="520" t="str">
        <f>IF(B210="","",IF(ISNA(VLOOKUP($B210,'B-1 Site Hedge Baseline'!$B$1:$L$257,4,FALSE)),"",(VLOOKUP($B210,'B-1 Site Hedge Baseline'!$B$1:$L$257,4,FALSE))))</f>
        <v/>
      </c>
      <c r="E210" s="520" t="str">
        <f>IF(B210="","",IF(ISNA(VLOOKUP($B210,'B-1 Site Hedge Baseline'!$B$1:$L$257,5,FALSE)),"",(VLOOKUP($B210,'B-1 Site Hedge Baseline'!$B$1:$L$257,5,FALSE))))</f>
        <v/>
      </c>
      <c r="F210" s="520" t="str">
        <f>IF(B210="","",IF(ISNA(VLOOKUP($B210,'B-1 Site Hedge Baseline'!$B$1:$L$257,6,FALSE)),"",(VLOOKUP($B210,'B-1 Site Hedge Baseline'!$B$1:$L$257,6,FALSE))))</f>
        <v/>
      </c>
      <c r="G210" s="520" t="str">
        <f>IF(B210="","",IF(ISNA(VLOOKUP($B210,'B-1 Site Hedge Baseline'!$B$1:$L$257,7,FALSE)),"",(VLOOKUP($B210,'B-1 Site Hedge Baseline'!$B$1:$L$257,7,FALSE))))</f>
        <v/>
      </c>
      <c r="H210" s="520" t="str">
        <f>IF(B210="","",IF(ISNA(VLOOKUP($B210,'B-1 Site Hedge Baseline'!$B$1:$L$257,8,FALSE)),"",(VLOOKUP($B210,'B-1 Site Hedge Baseline'!$B$1:$L$257,8,FALSE))))</f>
        <v/>
      </c>
      <c r="I210" s="520" t="str">
        <f>IF(B210="","",IF(ISNA(VLOOKUP($B210,'B-1 Site Hedge Baseline'!$B$1:$L$257,10,FALSE)),"",(VLOOKUP($B210,'B-1 Site Hedge Baseline'!$B$1:$L$257,10,FALSE))))</f>
        <v/>
      </c>
      <c r="J210" s="520" t="str">
        <f>IF(B210="","",IF(ISNA(VLOOKUP($B210,'B-1 Site Hedge Baseline'!$B$1:$L$257,11,FALSE)),"",(VLOOKUP($B210,'B-1 Site Hedge Baseline'!$B$1:$L$257,11,FALSE))))</f>
        <v/>
      </c>
      <c r="K210" s="520" t="str">
        <f>IF(B210="","",IF(ISNA(VLOOKUP($B210,'B-1 Site Hedge Baseline'!$B$1:$U$257,13,FALSE)),"",(VLOOKUP($B210,'B-1 Site Hedge Baseline'!$B$1:$U$257,13,FALSE))))</f>
        <v/>
      </c>
      <c r="L210" s="524" t="str">
        <f>IF(B210="","",IF(ISNA(VLOOKUP($B210,'B-1 Site Hedge Baseline'!$B$1:$U$257,12,FALSE)),"",(VLOOKUP($B210,'B-1 Site Hedge Baseline'!$B$1:$U$257,12,FALSE))))</f>
        <v/>
      </c>
      <c r="M210" s="416" t="str">
        <f t="shared" si="31"/>
        <v/>
      </c>
      <c r="N210" s="498" t="str">
        <f>IFERROR(IF(B210="","",INDEX('G-6 Hedgerow Data'!$AN$3:$AZ$15,MATCH(C210,'G-6 Hedgerow Data'!$AM$3:$AM$15,0),MATCH(M210,'G-6 Hedgerow Data'!$AN$2:$AZ$2,0))),"")</f>
        <v/>
      </c>
      <c r="O210" s="499" t="str">
        <f t="shared" si="26"/>
        <v/>
      </c>
      <c r="P210" s="559" t="str">
        <f>IF(B210="","",VLOOKUP(B210,'B-1 Site Hedge Baseline'!$B$10:T455,16,FALSE))</f>
        <v/>
      </c>
      <c r="Q210" s="498" t="str">
        <f>IF(M210="","",VLOOKUP(M210,'G-6 Hedgerow Data'!$B$2:$AG$15,2,FALSE))</f>
        <v/>
      </c>
      <c r="R210" s="499" t="str">
        <f>IF(M210="","",VLOOKUP(M210,'G-6 Hedgerow Data'!$B$2:$AG$15,3,FALSE))</f>
        <v/>
      </c>
      <c r="S210" s="157"/>
      <c r="T210" s="540" t="str">
        <f>IFERROR(VLOOKUP(S210,'G-1 All Habitats'!$Z$2:$AA$9,2,FALSE),"")</f>
        <v/>
      </c>
      <c r="U210" s="154"/>
      <c r="V210" s="520" t="str">
        <f>IF(U210="","",IF(VLOOKUP(U210,'G-3 Multipliers'!$L$3:$N$6,2,FALSE)=0,"Spatial Data Missing ⚠",VLOOKUP(U210,'G-3 Multipliers'!$L$3:$N$6,2,FALSE)))</f>
        <v/>
      </c>
      <c r="W210" s="524" t="str">
        <f>IF(U210="","",IF(VLOOKUP(U210,'G-3 Multipliers'!$L$3:$N$6,3,FALSE)=0,"Spatial Data Missing ⚠",VLOOKUP(U210,'G-3 Multipliers'!$L$3:$N$6,3,FALSE)))</f>
        <v/>
      </c>
      <c r="X210" s="498"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7" t="str">
        <f t="shared" si="27"/>
        <v/>
      </c>
      <c r="AB210" s="521" t="str">
        <f t="shared" si="28"/>
        <v/>
      </c>
      <c r="AC210" s="522" t="str">
        <f t="shared" si="24"/>
        <v/>
      </c>
      <c r="AD210" s="537" t="str">
        <f>IF(M210="","",VLOOKUP(M210,'G-6 Hedgerow Data'!$B$3:$AG$15,31,FALSE))</f>
        <v/>
      </c>
      <c r="AE210" s="507" t="str">
        <f t="shared" si="29"/>
        <v/>
      </c>
      <c r="AF210" s="507" t="str">
        <f t="shared" si="30"/>
        <v/>
      </c>
      <c r="AG210" s="524" t="str">
        <f>IFERROR(IF(O210="","",VLOOKUP(AD210,'G-3 Multipliers'!$P$3:$Q$6,2,FALSE)),"")</f>
        <v/>
      </c>
      <c r="AH210" s="513" t="str">
        <f t="shared" si="25"/>
        <v/>
      </c>
      <c r="AI210" s="231"/>
      <c r="AJ210" s="150"/>
      <c r="AT210" s="31" t="str">
        <f>IFERROR(INDEX('G-6 Hedgerow Data'!$BJ$3:$BJ$15,MATCH(M210,'G-6 Hedgerow Data'!$B$3:$B$15,0)),"")</f>
        <v/>
      </c>
    </row>
    <row r="211" spans="2:46" ht="13.8" x14ac:dyDescent="0.25">
      <c r="B211" s="531" t="str">
        <f>'B-1 Site Hedge Baseline'!AK209</f>
        <v/>
      </c>
      <c r="C211" s="520" t="str">
        <f>IF(B211="","",IF(ISNA(VLOOKUP($B211,'B-1 Site Hedge Baseline'!$B$1:$L$257,3,FALSE)),"",(VLOOKUP($B211,'B-1 Site Hedge Baseline'!$B$1:$L$257,3,FALSE))))</f>
        <v/>
      </c>
      <c r="D211" s="520" t="str">
        <f>IF(B211="","",IF(ISNA(VLOOKUP($B211,'B-1 Site Hedge Baseline'!$B$1:$L$257,4,FALSE)),"",(VLOOKUP($B211,'B-1 Site Hedge Baseline'!$B$1:$L$257,4,FALSE))))</f>
        <v/>
      </c>
      <c r="E211" s="520" t="str">
        <f>IF(B211="","",IF(ISNA(VLOOKUP($B211,'B-1 Site Hedge Baseline'!$B$1:$L$257,5,FALSE)),"",(VLOOKUP($B211,'B-1 Site Hedge Baseline'!$B$1:$L$257,5,FALSE))))</f>
        <v/>
      </c>
      <c r="F211" s="520" t="str">
        <f>IF(B211="","",IF(ISNA(VLOOKUP($B211,'B-1 Site Hedge Baseline'!$B$1:$L$257,6,FALSE)),"",(VLOOKUP($B211,'B-1 Site Hedge Baseline'!$B$1:$L$257,6,FALSE))))</f>
        <v/>
      </c>
      <c r="G211" s="520" t="str">
        <f>IF(B211="","",IF(ISNA(VLOOKUP($B211,'B-1 Site Hedge Baseline'!$B$1:$L$257,7,FALSE)),"",(VLOOKUP($B211,'B-1 Site Hedge Baseline'!$B$1:$L$257,7,FALSE))))</f>
        <v/>
      </c>
      <c r="H211" s="520" t="str">
        <f>IF(B211="","",IF(ISNA(VLOOKUP($B211,'B-1 Site Hedge Baseline'!$B$1:$L$257,8,FALSE)),"",(VLOOKUP($B211,'B-1 Site Hedge Baseline'!$B$1:$L$257,8,FALSE))))</f>
        <v/>
      </c>
      <c r="I211" s="520" t="str">
        <f>IF(B211="","",IF(ISNA(VLOOKUP($B211,'B-1 Site Hedge Baseline'!$B$1:$L$257,10,FALSE)),"",(VLOOKUP($B211,'B-1 Site Hedge Baseline'!$B$1:$L$257,10,FALSE))))</f>
        <v/>
      </c>
      <c r="J211" s="520" t="str">
        <f>IF(B211="","",IF(ISNA(VLOOKUP($B211,'B-1 Site Hedge Baseline'!$B$1:$L$257,11,FALSE)),"",(VLOOKUP($B211,'B-1 Site Hedge Baseline'!$B$1:$L$257,11,FALSE))))</f>
        <v/>
      </c>
      <c r="K211" s="520" t="str">
        <f>IF(B211="","",IF(ISNA(VLOOKUP($B211,'B-1 Site Hedge Baseline'!$B$1:$U$257,13,FALSE)),"",(VLOOKUP($B211,'B-1 Site Hedge Baseline'!$B$1:$U$257,13,FALSE))))</f>
        <v/>
      </c>
      <c r="L211" s="524" t="str">
        <f>IF(B211="","",IF(ISNA(VLOOKUP($B211,'B-1 Site Hedge Baseline'!$B$1:$U$257,12,FALSE)),"",(VLOOKUP($B211,'B-1 Site Hedge Baseline'!$B$1:$U$257,12,FALSE))))</f>
        <v/>
      </c>
      <c r="M211" s="416" t="str">
        <f t="shared" si="31"/>
        <v/>
      </c>
      <c r="N211" s="498" t="str">
        <f>IFERROR(IF(B211="","",INDEX('G-6 Hedgerow Data'!$AN$3:$AZ$15,MATCH(C211,'G-6 Hedgerow Data'!$AM$3:$AM$15,0),MATCH(M211,'G-6 Hedgerow Data'!$AN$2:$AZ$2,0))),"")</f>
        <v/>
      </c>
      <c r="O211" s="499" t="str">
        <f t="shared" si="26"/>
        <v/>
      </c>
      <c r="P211" s="559" t="str">
        <f>IF(B211="","",VLOOKUP(B211,'B-1 Site Hedge Baseline'!$B$10:T456,16,FALSE))</f>
        <v/>
      </c>
      <c r="Q211" s="498" t="str">
        <f>IF(M211="","",VLOOKUP(M211,'G-6 Hedgerow Data'!$B$2:$AG$15,2,FALSE))</f>
        <v/>
      </c>
      <c r="R211" s="499" t="str">
        <f>IF(M211="","",VLOOKUP(M211,'G-6 Hedgerow Data'!$B$2:$AG$15,3,FALSE))</f>
        <v/>
      </c>
      <c r="S211" s="157"/>
      <c r="T211" s="540" t="str">
        <f>IFERROR(VLOOKUP(S211,'G-1 All Habitats'!$Z$2:$AA$9,2,FALSE),"")</f>
        <v/>
      </c>
      <c r="U211" s="154"/>
      <c r="V211" s="520" t="str">
        <f>IF(U211="","",IF(VLOOKUP(U211,'G-3 Multipliers'!$L$3:$N$6,2,FALSE)=0,"Spatial Data Missing ⚠",VLOOKUP(U211,'G-3 Multipliers'!$L$3:$N$6,2,FALSE)))</f>
        <v/>
      </c>
      <c r="W211" s="524" t="str">
        <f>IF(U211="","",IF(VLOOKUP(U211,'G-3 Multipliers'!$L$3:$N$6,3,FALSE)=0,"Spatial Data Missing ⚠",VLOOKUP(U211,'G-3 Multipliers'!$L$3:$N$6,3,FALSE)))</f>
        <v/>
      </c>
      <c r="X211" s="498"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7" t="str">
        <f t="shared" si="27"/>
        <v/>
      </c>
      <c r="AB211" s="521" t="str">
        <f t="shared" si="28"/>
        <v/>
      </c>
      <c r="AC211" s="522" t="str">
        <f t="shared" si="24"/>
        <v/>
      </c>
      <c r="AD211" s="537" t="str">
        <f>IF(M211="","",VLOOKUP(M211,'G-6 Hedgerow Data'!$B$3:$AG$15,31,FALSE))</f>
        <v/>
      </c>
      <c r="AE211" s="507" t="str">
        <f t="shared" si="29"/>
        <v/>
      </c>
      <c r="AF211" s="507" t="str">
        <f t="shared" si="30"/>
        <v/>
      </c>
      <c r="AG211" s="524" t="str">
        <f>IFERROR(IF(O211="","",VLOOKUP(AD211,'G-3 Multipliers'!$P$3:$Q$6,2,FALSE)),"")</f>
        <v/>
      </c>
      <c r="AH211" s="513" t="str">
        <f t="shared" si="25"/>
        <v/>
      </c>
      <c r="AI211" s="231"/>
      <c r="AJ211" s="150"/>
      <c r="AT211" s="31" t="str">
        <f>IFERROR(INDEX('G-6 Hedgerow Data'!$BJ$3:$BJ$15,MATCH(M211,'G-6 Hedgerow Data'!$B$3:$B$15,0)),"")</f>
        <v/>
      </c>
    </row>
    <row r="212" spans="2:46" ht="13.8" x14ac:dyDescent="0.25">
      <c r="B212" s="531" t="str">
        <f>'B-1 Site Hedge Baseline'!AK210</f>
        <v/>
      </c>
      <c r="C212" s="520" t="str">
        <f>IF(B212="","",IF(ISNA(VLOOKUP($B212,'B-1 Site Hedge Baseline'!$B$1:$L$257,3,FALSE)),"",(VLOOKUP($B212,'B-1 Site Hedge Baseline'!$B$1:$L$257,3,FALSE))))</f>
        <v/>
      </c>
      <c r="D212" s="520" t="str">
        <f>IF(B212="","",IF(ISNA(VLOOKUP($B212,'B-1 Site Hedge Baseline'!$B$1:$L$257,4,FALSE)),"",(VLOOKUP($B212,'B-1 Site Hedge Baseline'!$B$1:$L$257,4,FALSE))))</f>
        <v/>
      </c>
      <c r="E212" s="520" t="str">
        <f>IF(B212="","",IF(ISNA(VLOOKUP($B212,'B-1 Site Hedge Baseline'!$B$1:$L$257,5,FALSE)),"",(VLOOKUP($B212,'B-1 Site Hedge Baseline'!$B$1:$L$257,5,FALSE))))</f>
        <v/>
      </c>
      <c r="F212" s="520" t="str">
        <f>IF(B212="","",IF(ISNA(VLOOKUP($B212,'B-1 Site Hedge Baseline'!$B$1:$L$257,6,FALSE)),"",(VLOOKUP($B212,'B-1 Site Hedge Baseline'!$B$1:$L$257,6,FALSE))))</f>
        <v/>
      </c>
      <c r="G212" s="520" t="str">
        <f>IF(B212="","",IF(ISNA(VLOOKUP($B212,'B-1 Site Hedge Baseline'!$B$1:$L$257,7,FALSE)),"",(VLOOKUP($B212,'B-1 Site Hedge Baseline'!$B$1:$L$257,7,FALSE))))</f>
        <v/>
      </c>
      <c r="H212" s="520" t="str">
        <f>IF(B212="","",IF(ISNA(VLOOKUP($B212,'B-1 Site Hedge Baseline'!$B$1:$L$257,8,FALSE)),"",(VLOOKUP($B212,'B-1 Site Hedge Baseline'!$B$1:$L$257,8,FALSE))))</f>
        <v/>
      </c>
      <c r="I212" s="520" t="str">
        <f>IF(B212="","",IF(ISNA(VLOOKUP($B212,'B-1 Site Hedge Baseline'!$B$1:$L$257,10,FALSE)),"",(VLOOKUP($B212,'B-1 Site Hedge Baseline'!$B$1:$L$257,10,FALSE))))</f>
        <v/>
      </c>
      <c r="J212" s="520" t="str">
        <f>IF(B212="","",IF(ISNA(VLOOKUP($B212,'B-1 Site Hedge Baseline'!$B$1:$L$257,11,FALSE)),"",(VLOOKUP($B212,'B-1 Site Hedge Baseline'!$B$1:$L$257,11,FALSE))))</f>
        <v/>
      </c>
      <c r="K212" s="520" t="str">
        <f>IF(B212="","",IF(ISNA(VLOOKUP($B212,'B-1 Site Hedge Baseline'!$B$1:$U$257,13,FALSE)),"",(VLOOKUP($B212,'B-1 Site Hedge Baseline'!$B$1:$U$257,13,FALSE))))</f>
        <v/>
      </c>
      <c r="L212" s="524" t="str">
        <f>IF(B212="","",IF(ISNA(VLOOKUP($B212,'B-1 Site Hedge Baseline'!$B$1:$U$257,12,FALSE)),"",(VLOOKUP($B212,'B-1 Site Hedge Baseline'!$B$1:$U$257,12,FALSE))))</f>
        <v/>
      </c>
      <c r="M212" s="416" t="str">
        <f t="shared" si="31"/>
        <v/>
      </c>
      <c r="N212" s="498" t="str">
        <f>IFERROR(IF(B212="","",INDEX('G-6 Hedgerow Data'!$AN$3:$AZ$15,MATCH(C212,'G-6 Hedgerow Data'!$AM$3:$AM$15,0),MATCH(M212,'G-6 Hedgerow Data'!$AN$2:$AZ$2,0))),"")</f>
        <v/>
      </c>
      <c r="O212" s="499" t="str">
        <f t="shared" si="26"/>
        <v/>
      </c>
      <c r="P212" s="559" t="str">
        <f>IF(B212="","",VLOOKUP(B212,'B-1 Site Hedge Baseline'!$B$10:T457,16,FALSE))</f>
        <v/>
      </c>
      <c r="Q212" s="498" t="str">
        <f>IF(M212="","",VLOOKUP(M212,'G-6 Hedgerow Data'!$B$2:$AG$15,2,FALSE))</f>
        <v/>
      </c>
      <c r="R212" s="499" t="str">
        <f>IF(M212="","",VLOOKUP(M212,'G-6 Hedgerow Data'!$B$2:$AG$15,3,FALSE))</f>
        <v/>
      </c>
      <c r="S212" s="157"/>
      <c r="T212" s="540" t="str">
        <f>IFERROR(VLOOKUP(S212,'G-1 All Habitats'!$Z$2:$AA$9,2,FALSE),"")</f>
        <v/>
      </c>
      <c r="U212" s="154"/>
      <c r="V212" s="520" t="str">
        <f>IF(U212="","",IF(VLOOKUP(U212,'G-3 Multipliers'!$L$3:$N$6,2,FALSE)=0,"Spatial Data Missing ⚠",VLOOKUP(U212,'G-3 Multipliers'!$L$3:$N$6,2,FALSE)))</f>
        <v/>
      </c>
      <c r="W212" s="524" t="str">
        <f>IF(U212="","",IF(VLOOKUP(U212,'G-3 Multipliers'!$L$3:$N$6,3,FALSE)=0,"Spatial Data Missing ⚠",VLOOKUP(U212,'G-3 Multipliers'!$L$3:$N$6,3,FALSE)))</f>
        <v/>
      </c>
      <c r="X212" s="498"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7" t="str">
        <f t="shared" si="27"/>
        <v/>
      </c>
      <c r="AB212" s="521" t="str">
        <f t="shared" si="28"/>
        <v/>
      </c>
      <c r="AC212" s="522" t="str">
        <f t="shared" si="24"/>
        <v/>
      </c>
      <c r="AD212" s="537" t="str">
        <f>IF(M212="","",VLOOKUP(M212,'G-6 Hedgerow Data'!$B$3:$AG$15,31,FALSE))</f>
        <v/>
      </c>
      <c r="AE212" s="507" t="str">
        <f t="shared" si="29"/>
        <v/>
      </c>
      <c r="AF212" s="507" t="str">
        <f t="shared" si="30"/>
        <v/>
      </c>
      <c r="AG212" s="524" t="str">
        <f>IFERROR(IF(O212="","",VLOOKUP(AD212,'G-3 Multipliers'!$P$3:$Q$6,2,FALSE)),"")</f>
        <v/>
      </c>
      <c r="AH212" s="513" t="str">
        <f t="shared" si="25"/>
        <v/>
      </c>
      <c r="AI212" s="231"/>
      <c r="AJ212" s="150"/>
      <c r="AT212" s="31" t="str">
        <f>IFERROR(INDEX('G-6 Hedgerow Data'!$BJ$3:$BJ$15,MATCH(M212,'G-6 Hedgerow Data'!$B$3:$B$15,0)),"")</f>
        <v/>
      </c>
    </row>
    <row r="213" spans="2:46" ht="13.8" x14ac:dyDescent="0.25">
      <c r="B213" s="531" t="str">
        <f>'B-1 Site Hedge Baseline'!AK211</f>
        <v/>
      </c>
      <c r="C213" s="520" t="str">
        <f>IF(B213="","",IF(ISNA(VLOOKUP($B213,'B-1 Site Hedge Baseline'!$B$1:$L$257,3,FALSE)),"",(VLOOKUP($B213,'B-1 Site Hedge Baseline'!$B$1:$L$257,3,FALSE))))</f>
        <v/>
      </c>
      <c r="D213" s="520" t="str">
        <f>IF(B213="","",IF(ISNA(VLOOKUP($B213,'B-1 Site Hedge Baseline'!$B$1:$L$257,4,FALSE)),"",(VLOOKUP($B213,'B-1 Site Hedge Baseline'!$B$1:$L$257,4,FALSE))))</f>
        <v/>
      </c>
      <c r="E213" s="520" t="str">
        <f>IF(B213="","",IF(ISNA(VLOOKUP($B213,'B-1 Site Hedge Baseline'!$B$1:$L$257,5,FALSE)),"",(VLOOKUP($B213,'B-1 Site Hedge Baseline'!$B$1:$L$257,5,FALSE))))</f>
        <v/>
      </c>
      <c r="F213" s="520" t="str">
        <f>IF(B213="","",IF(ISNA(VLOOKUP($B213,'B-1 Site Hedge Baseline'!$B$1:$L$257,6,FALSE)),"",(VLOOKUP($B213,'B-1 Site Hedge Baseline'!$B$1:$L$257,6,FALSE))))</f>
        <v/>
      </c>
      <c r="G213" s="520" t="str">
        <f>IF(B213="","",IF(ISNA(VLOOKUP($B213,'B-1 Site Hedge Baseline'!$B$1:$L$257,7,FALSE)),"",(VLOOKUP($B213,'B-1 Site Hedge Baseline'!$B$1:$L$257,7,FALSE))))</f>
        <v/>
      </c>
      <c r="H213" s="520" t="str">
        <f>IF(B213="","",IF(ISNA(VLOOKUP($B213,'B-1 Site Hedge Baseline'!$B$1:$L$257,8,FALSE)),"",(VLOOKUP($B213,'B-1 Site Hedge Baseline'!$B$1:$L$257,8,FALSE))))</f>
        <v/>
      </c>
      <c r="I213" s="520" t="str">
        <f>IF(B213="","",IF(ISNA(VLOOKUP($B213,'B-1 Site Hedge Baseline'!$B$1:$L$257,10,FALSE)),"",(VLOOKUP($B213,'B-1 Site Hedge Baseline'!$B$1:$L$257,10,FALSE))))</f>
        <v/>
      </c>
      <c r="J213" s="520" t="str">
        <f>IF(B213="","",IF(ISNA(VLOOKUP($B213,'B-1 Site Hedge Baseline'!$B$1:$L$257,11,FALSE)),"",(VLOOKUP($B213,'B-1 Site Hedge Baseline'!$B$1:$L$257,11,FALSE))))</f>
        <v/>
      </c>
      <c r="K213" s="520" t="str">
        <f>IF(B213="","",IF(ISNA(VLOOKUP($B213,'B-1 Site Hedge Baseline'!$B$1:$U$257,13,FALSE)),"",(VLOOKUP($B213,'B-1 Site Hedge Baseline'!$B$1:$U$257,13,FALSE))))</f>
        <v/>
      </c>
      <c r="L213" s="524" t="str">
        <f>IF(B213="","",IF(ISNA(VLOOKUP($B213,'B-1 Site Hedge Baseline'!$B$1:$U$257,12,FALSE)),"",(VLOOKUP($B213,'B-1 Site Hedge Baseline'!$B$1:$U$257,12,FALSE))))</f>
        <v/>
      </c>
      <c r="M213" s="416" t="str">
        <f t="shared" si="31"/>
        <v/>
      </c>
      <c r="N213" s="498" t="str">
        <f>IFERROR(IF(B213="","",INDEX('G-6 Hedgerow Data'!$AN$3:$AZ$15,MATCH(C213,'G-6 Hedgerow Data'!$AM$3:$AM$15,0),MATCH(M213,'G-6 Hedgerow Data'!$AN$2:$AZ$2,0))),"")</f>
        <v/>
      </c>
      <c r="O213" s="499" t="str">
        <f t="shared" si="26"/>
        <v/>
      </c>
      <c r="P213" s="559" t="str">
        <f>IF(B213="","",VLOOKUP(B213,'B-1 Site Hedge Baseline'!$B$10:T458,16,FALSE))</f>
        <v/>
      </c>
      <c r="Q213" s="498" t="str">
        <f>IF(M213="","",VLOOKUP(M213,'G-6 Hedgerow Data'!$B$2:$AG$15,2,FALSE))</f>
        <v/>
      </c>
      <c r="R213" s="499" t="str">
        <f>IF(M213="","",VLOOKUP(M213,'G-6 Hedgerow Data'!$B$2:$AG$15,3,FALSE))</f>
        <v/>
      </c>
      <c r="S213" s="157"/>
      <c r="T213" s="540" t="str">
        <f>IFERROR(VLOOKUP(S213,'G-1 All Habitats'!$Z$2:$AA$9,2,FALSE),"")</f>
        <v/>
      </c>
      <c r="U213" s="154"/>
      <c r="V213" s="520" t="str">
        <f>IF(U213="","",IF(VLOOKUP(U213,'G-3 Multipliers'!$L$3:$N$6,2,FALSE)=0,"Spatial Data Missing ⚠",VLOOKUP(U213,'G-3 Multipliers'!$L$3:$N$6,2,FALSE)))</f>
        <v/>
      </c>
      <c r="W213" s="524" t="str">
        <f>IF(U213="","",IF(VLOOKUP(U213,'G-3 Multipliers'!$L$3:$N$6,3,FALSE)=0,"Spatial Data Missing ⚠",VLOOKUP(U213,'G-3 Multipliers'!$L$3:$N$6,3,FALSE)))</f>
        <v/>
      </c>
      <c r="X213" s="498"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7" t="str">
        <f t="shared" si="27"/>
        <v/>
      </c>
      <c r="AB213" s="521" t="str">
        <f t="shared" si="28"/>
        <v/>
      </c>
      <c r="AC213" s="522" t="str">
        <f t="shared" si="24"/>
        <v/>
      </c>
      <c r="AD213" s="537" t="str">
        <f>IF(M213="","",VLOOKUP(M213,'G-6 Hedgerow Data'!$B$3:$AG$15,31,FALSE))</f>
        <v/>
      </c>
      <c r="AE213" s="507" t="str">
        <f t="shared" si="29"/>
        <v/>
      </c>
      <c r="AF213" s="507" t="str">
        <f t="shared" si="30"/>
        <v/>
      </c>
      <c r="AG213" s="524" t="str">
        <f>IFERROR(IF(O213="","",VLOOKUP(AD213,'G-3 Multipliers'!$P$3:$Q$6,2,FALSE)),"")</f>
        <v/>
      </c>
      <c r="AH213" s="513" t="str">
        <f t="shared" si="25"/>
        <v/>
      </c>
      <c r="AI213" s="231"/>
      <c r="AJ213" s="150"/>
      <c r="AT213" s="31" t="str">
        <f>IFERROR(INDEX('G-6 Hedgerow Data'!$BJ$3:$BJ$15,MATCH(M213,'G-6 Hedgerow Data'!$B$3:$B$15,0)),"")</f>
        <v/>
      </c>
    </row>
    <row r="214" spans="2:46" ht="13.8" x14ac:dyDescent="0.25">
      <c r="B214" s="531" t="str">
        <f>'B-1 Site Hedge Baseline'!AK212</f>
        <v/>
      </c>
      <c r="C214" s="520" t="str">
        <f>IF(B214="","",IF(ISNA(VLOOKUP($B214,'B-1 Site Hedge Baseline'!$B$1:$L$257,3,FALSE)),"",(VLOOKUP($B214,'B-1 Site Hedge Baseline'!$B$1:$L$257,3,FALSE))))</f>
        <v/>
      </c>
      <c r="D214" s="520" t="str">
        <f>IF(B214="","",IF(ISNA(VLOOKUP($B214,'B-1 Site Hedge Baseline'!$B$1:$L$257,4,FALSE)),"",(VLOOKUP($B214,'B-1 Site Hedge Baseline'!$B$1:$L$257,4,FALSE))))</f>
        <v/>
      </c>
      <c r="E214" s="520" t="str">
        <f>IF(B214="","",IF(ISNA(VLOOKUP($B214,'B-1 Site Hedge Baseline'!$B$1:$L$257,5,FALSE)),"",(VLOOKUP($B214,'B-1 Site Hedge Baseline'!$B$1:$L$257,5,FALSE))))</f>
        <v/>
      </c>
      <c r="F214" s="520" t="str">
        <f>IF(B214="","",IF(ISNA(VLOOKUP($B214,'B-1 Site Hedge Baseline'!$B$1:$L$257,6,FALSE)),"",(VLOOKUP($B214,'B-1 Site Hedge Baseline'!$B$1:$L$257,6,FALSE))))</f>
        <v/>
      </c>
      <c r="G214" s="520" t="str">
        <f>IF(B214="","",IF(ISNA(VLOOKUP($B214,'B-1 Site Hedge Baseline'!$B$1:$L$257,7,FALSE)),"",(VLOOKUP($B214,'B-1 Site Hedge Baseline'!$B$1:$L$257,7,FALSE))))</f>
        <v/>
      </c>
      <c r="H214" s="520" t="str">
        <f>IF(B214="","",IF(ISNA(VLOOKUP($B214,'B-1 Site Hedge Baseline'!$B$1:$L$257,8,FALSE)),"",(VLOOKUP($B214,'B-1 Site Hedge Baseline'!$B$1:$L$257,8,FALSE))))</f>
        <v/>
      </c>
      <c r="I214" s="520" t="str">
        <f>IF(B214="","",IF(ISNA(VLOOKUP($B214,'B-1 Site Hedge Baseline'!$B$1:$L$257,10,FALSE)),"",(VLOOKUP($B214,'B-1 Site Hedge Baseline'!$B$1:$L$257,10,FALSE))))</f>
        <v/>
      </c>
      <c r="J214" s="520" t="str">
        <f>IF(B214="","",IF(ISNA(VLOOKUP($B214,'B-1 Site Hedge Baseline'!$B$1:$L$257,11,FALSE)),"",(VLOOKUP($B214,'B-1 Site Hedge Baseline'!$B$1:$L$257,11,FALSE))))</f>
        <v/>
      </c>
      <c r="K214" s="520" t="str">
        <f>IF(B214="","",IF(ISNA(VLOOKUP($B214,'B-1 Site Hedge Baseline'!$B$1:$U$257,13,FALSE)),"",(VLOOKUP($B214,'B-1 Site Hedge Baseline'!$B$1:$U$257,13,FALSE))))</f>
        <v/>
      </c>
      <c r="L214" s="524" t="str">
        <f>IF(B214="","",IF(ISNA(VLOOKUP($B214,'B-1 Site Hedge Baseline'!$B$1:$U$257,12,FALSE)),"",(VLOOKUP($B214,'B-1 Site Hedge Baseline'!$B$1:$U$257,12,FALSE))))</f>
        <v/>
      </c>
      <c r="M214" s="416" t="str">
        <f t="shared" si="31"/>
        <v/>
      </c>
      <c r="N214" s="498" t="str">
        <f>IFERROR(IF(B214="","",INDEX('G-6 Hedgerow Data'!$AN$3:$AZ$15,MATCH(C214,'G-6 Hedgerow Data'!$AM$3:$AM$15,0),MATCH(M214,'G-6 Hedgerow Data'!$AN$2:$AZ$2,0))),"")</f>
        <v/>
      </c>
      <c r="O214" s="499" t="str">
        <f t="shared" si="26"/>
        <v/>
      </c>
      <c r="P214" s="559" t="str">
        <f>IF(B214="","",VLOOKUP(B214,'B-1 Site Hedge Baseline'!$B$10:T459,16,FALSE))</f>
        <v/>
      </c>
      <c r="Q214" s="498" t="str">
        <f>IF(M214="","",VLOOKUP(M214,'G-6 Hedgerow Data'!$B$2:$AG$15,2,FALSE))</f>
        <v/>
      </c>
      <c r="R214" s="499" t="str">
        <f>IF(M214="","",VLOOKUP(M214,'G-6 Hedgerow Data'!$B$2:$AG$15,3,FALSE))</f>
        <v/>
      </c>
      <c r="S214" s="157"/>
      <c r="T214" s="540" t="str">
        <f>IFERROR(VLOOKUP(S214,'G-1 All Habitats'!$Z$2:$AA$9,2,FALSE),"")</f>
        <v/>
      </c>
      <c r="U214" s="154"/>
      <c r="V214" s="520" t="str">
        <f>IF(U214="","",IF(VLOOKUP(U214,'G-3 Multipliers'!$L$3:$N$6,2,FALSE)=0,"Spatial Data Missing ⚠",VLOOKUP(U214,'G-3 Multipliers'!$L$3:$N$6,2,FALSE)))</f>
        <v/>
      </c>
      <c r="W214" s="524" t="str">
        <f>IF(U214="","",IF(VLOOKUP(U214,'G-3 Multipliers'!$L$3:$N$6,3,FALSE)=0,"Spatial Data Missing ⚠",VLOOKUP(U214,'G-3 Multipliers'!$L$3:$N$6,3,FALSE)))</f>
        <v/>
      </c>
      <c r="X214" s="498"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7" t="str">
        <f t="shared" si="27"/>
        <v/>
      </c>
      <c r="AB214" s="521" t="str">
        <f t="shared" si="28"/>
        <v/>
      </c>
      <c r="AC214" s="522" t="str">
        <f t="shared" si="24"/>
        <v/>
      </c>
      <c r="AD214" s="537" t="str">
        <f>IF(M214="","",VLOOKUP(M214,'G-6 Hedgerow Data'!$B$3:$AG$15,31,FALSE))</f>
        <v/>
      </c>
      <c r="AE214" s="507" t="str">
        <f t="shared" si="29"/>
        <v/>
      </c>
      <c r="AF214" s="507" t="str">
        <f t="shared" si="30"/>
        <v/>
      </c>
      <c r="AG214" s="524" t="str">
        <f>IFERROR(IF(O214="","",VLOOKUP(AD214,'G-3 Multipliers'!$P$3:$Q$6,2,FALSE)),"")</f>
        <v/>
      </c>
      <c r="AH214" s="513" t="str">
        <f t="shared" si="25"/>
        <v/>
      </c>
      <c r="AI214" s="231"/>
      <c r="AJ214" s="150"/>
      <c r="AT214" s="31" t="str">
        <f>IFERROR(INDEX('G-6 Hedgerow Data'!$BJ$3:$BJ$15,MATCH(M214,'G-6 Hedgerow Data'!$B$3:$B$15,0)),"")</f>
        <v/>
      </c>
    </row>
    <row r="215" spans="2:46" ht="13.8" x14ac:dyDescent="0.25">
      <c r="B215" s="531" t="str">
        <f>'B-1 Site Hedge Baseline'!AK213</f>
        <v/>
      </c>
      <c r="C215" s="520" t="str">
        <f>IF(B215="","",IF(ISNA(VLOOKUP($B215,'B-1 Site Hedge Baseline'!$B$1:$L$257,3,FALSE)),"",(VLOOKUP($B215,'B-1 Site Hedge Baseline'!$B$1:$L$257,3,FALSE))))</f>
        <v/>
      </c>
      <c r="D215" s="520" t="str">
        <f>IF(B215="","",IF(ISNA(VLOOKUP($B215,'B-1 Site Hedge Baseline'!$B$1:$L$257,4,FALSE)),"",(VLOOKUP($B215,'B-1 Site Hedge Baseline'!$B$1:$L$257,4,FALSE))))</f>
        <v/>
      </c>
      <c r="E215" s="520" t="str">
        <f>IF(B215="","",IF(ISNA(VLOOKUP($B215,'B-1 Site Hedge Baseline'!$B$1:$L$257,5,FALSE)),"",(VLOOKUP($B215,'B-1 Site Hedge Baseline'!$B$1:$L$257,5,FALSE))))</f>
        <v/>
      </c>
      <c r="F215" s="520" t="str">
        <f>IF(B215="","",IF(ISNA(VLOOKUP($B215,'B-1 Site Hedge Baseline'!$B$1:$L$257,6,FALSE)),"",(VLOOKUP($B215,'B-1 Site Hedge Baseline'!$B$1:$L$257,6,FALSE))))</f>
        <v/>
      </c>
      <c r="G215" s="520" t="str">
        <f>IF(B215="","",IF(ISNA(VLOOKUP($B215,'B-1 Site Hedge Baseline'!$B$1:$L$257,7,FALSE)),"",(VLOOKUP($B215,'B-1 Site Hedge Baseline'!$B$1:$L$257,7,FALSE))))</f>
        <v/>
      </c>
      <c r="H215" s="520" t="str">
        <f>IF(B215="","",IF(ISNA(VLOOKUP($B215,'B-1 Site Hedge Baseline'!$B$1:$L$257,8,FALSE)),"",(VLOOKUP($B215,'B-1 Site Hedge Baseline'!$B$1:$L$257,8,FALSE))))</f>
        <v/>
      </c>
      <c r="I215" s="520" t="str">
        <f>IF(B215="","",IF(ISNA(VLOOKUP($B215,'B-1 Site Hedge Baseline'!$B$1:$L$257,10,FALSE)),"",(VLOOKUP($B215,'B-1 Site Hedge Baseline'!$B$1:$L$257,10,FALSE))))</f>
        <v/>
      </c>
      <c r="J215" s="520" t="str">
        <f>IF(B215="","",IF(ISNA(VLOOKUP($B215,'B-1 Site Hedge Baseline'!$B$1:$L$257,11,FALSE)),"",(VLOOKUP($B215,'B-1 Site Hedge Baseline'!$B$1:$L$257,11,FALSE))))</f>
        <v/>
      </c>
      <c r="K215" s="520" t="str">
        <f>IF(B215="","",IF(ISNA(VLOOKUP($B215,'B-1 Site Hedge Baseline'!$B$1:$U$257,13,FALSE)),"",(VLOOKUP($B215,'B-1 Site Hedge Baseline'!$B$1:$U$257,13,FALSE))))</f>
        <v/>
      </c>
      <c r="L215" s="524" t="str">
        <f>IF(B215="","",IF(ISNA(VLOOKUP($B215,'B-1 Site Hedge Baseline'!$B$1:$U$257,12,FALSE)),"",(VLOOKUP($B215,'B-1 Site Hedge Baseline'!$B$1:$U$257,12,FALSE))))</f>
        <v/>
      </c>
      <c r="M215" s="416" t="str">
        <f t="shared" si="31"/>
        <v/>
      </c>
      <c r="N215" s="498" t="str">
        <f>IFERROR(IF(B215="","",INDEX('G-6 Hedgerow Data'!$AN$3:$AZ$15,MATCH(C215,'G-6 Hedgerow Data'!$AM$3:$AM$15,0),MATCH(M215,'G-6 Hedgerow Data'!$AN$2:$AZ$2,0))),"")</f>
        <v/>
      </c>
      <c r="O215" s="499" t="str">
        <f t="shared" si="26"/>
        <v/>
      </c>
      <c r="P215" s="559" t="str">
        <f>IF(B215="","",VLOOKUP(B215,'B-1 Site Hedge Baseline'!$B$10:T460,16,FALSE))</f>
        <v/>
      </c>
      <c r="Q215" s="498" t="str">
        <f>IF(M215="","",VLOOKUP(M215,'G-6 Hedgerow Data'!$B$2:$AG$15,2,FALSE))</f>
        <v/>
      </c>
      <c r="R215" s="499" t="str">
        <f>IF(M215="","",VLOOKUP(M215,'G-6 Hedgerow Data'!$B$2:$AG$15,3,FALSE))</f>
        <v/>
      </c>
      <c r="S215" s="157"/>
      <c r="T215" s="540" t="str">
        <f>IFERROR(VLOOKUP(S215,'G-1 All Habitats'!$Z$2:$AA$9,2,FALSE),"")</f>
        <v/>
      </c>
      <c r="U215" s="154"/>
      <c r="V215" s="520" t="str">
        <f>IF(U215="","",IF(VLOOKUP(U215,'G-3 Multipliers'!$L$3:$N$6,2,FALSE)=0,"Spatial Data Missing ⚠",VLOOKUP(U215,'G-3 Multipliers'!$L$3:$N$6,2,FALSE)))</f>
        <v/>
      </c>
      <c r="W215" s="524" t="str">
        <f>IF(U215="","",IF(VLOOKUP(U215,'G-3 Multipliers'!$L$3:$N$6,3,FALSE)=0,"Spatial Data Missing ⚠",VLOOKUP(U215,'G-3 Multipliers'!$L$3:$N$6,3,FALSE)))</f>
        <v/>
      </c>
      <c r="X215" s="498"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7" t="str">
        <f t="shared" si="27"/>
        <v/>
      </c>
      <c r="AB215" s="521" t="str">
        <f t="shared" si="28"/>
        <v/>
      </c>
      <c r="AC215" s="522" t="str">
        <f t="shared" si="24"/>
        <v/>
      </c>
      <c r="AD215" s="537" t="str">
        <f>IF(M215="","",VLOOKUP(M215,'G-6 Hedgerow Data'!$B$3:$AG$15,31,FALSE))</f>
        <v/>
      </c>
      <c r="AE215" s="507" t="str">
        <f t="shared" si="29"/>
        <v/>
      </c>
      <c r="AF215" s="507" t="str">
        <f t="shared" si="30"/>
        <v/>
      </c>
      <c r="AG215" s="524" t="str">
        <f>IFERROR(IF(O215="","",VLOOKUP(AD215,'G-3 Multipliers'!$P$3:$Q$6,2,FALSE)),"")</f>
        <v/>
      </c>
      <c r="AH215" s="513" t="str">
        <f t="shared" si="25"/>
        <v/>
      </c>
      <c r="AI215" s="231"/>
      <c r="AJ215" s="150"/>
      <c r="AT215" s="31" t="str">
        <f>IFERROR(INDEX('G-6 Hedgerow Data'!$BJ$3:$BJ$15,MATCH(M215,'G-6 Hedgerow Data'!$B$3:$B$15,0)),"")</f>
        <v/>
      </c>
    </row>
    <row r="216" spans="2:46" ht="13.8" x14ac:dyDescent="0.25">
      <c r="B216" s="531" t="str">
        <f>'B-1 Site Hedge Baseline'!AK214</f>
        <v/>
      </c>
      <c r="C216" s="520" t="str">
        <f>IF(B216="","",IF(ISNA(VLOOKUP($B216,'B-1 Site Hedge Baseline'!$B$1:$L$257,3,FALSE)),"",(VLOOKUP($B216,'B-1 Site Hedge Baseline'!$B$1:$L$257,3,FALSE))))</f>
        <v/>
      </c>
      <c r="D216" s="520" t="str">
        <f>IF(B216="","",IF(ISNA(VLOOKUP($B216,'B-1 Site Hedge Baseline'!$B$1:$L$257,4,FALSE)),"",(VLOOKUP($B216,'B-1 Site Hedge Baseline'!$B$1:$L$257,4,FALSE))))</f>
        <v/>
      </c>
      <c r="E216" s="520" t="str">
        <f>IF(B216="","",IF(ISNA(VLOOKUP($B216,'B-1 Site Hedge Baseline'!$B$1:$L$257,5,FALSE)),"",(VLOOKUP($B216,'B-1 Site Hedge Baseline'!$B$1:$L$257,5,FALSE))))</f>
        <v/>
      </c>
      <c r="F216" s="520" t="str">
        <f>IF(B216="","",IF(ISNA(VLOOKUP($B216,'B-1 Site Hedge Baseline'!$B$1:$L$257,6,FALSE)),"",(VLOOKUP($B216,'B-1 Site Hedge Baseline'!$B$1:$L$257,6,FALSE))))</f>
        <v/>
      </c>
      <c r="G216" s="520" t="str">
        <f>IF(B216="","",IF(ISNA(VLOOKUP($B216,'B-1 Site Hedge Baseline'!$B$1:$L$257,7,FALSE)),"",(VLOOKUP($B216,'B-1 Site Hedge Baseline'!$B$1:$L$257,7,FALSE))))</f>
        <v/>
      </c>
      <c r="H216" s="520" t="str">
        <f>IF(B216="","",IF(ISNA(VLOOKUP($B216,'B-1 Site Hedge Baseline'!$B$1:$L$257,8,FALSE)),"",(VLOOKUP($B216,'B-1 Site Hedge Baseline'!$B$1:$L$257,8,FALSE))))</f>
        <v/>
      </c>
      <c r="I216" s="520" t="str">
        <f>IF(B216="","",IF(ISNA(VLOOKUP($B216,'B-1 Site Hedge Baseline'!$B$1:$L$257,10,FALSE)),"",(VLOOKUP($B216,'B-1 Site Hedge Baseline'!$B$1:$L$257,10,FALSE))))</f>
        <v/>
      </c>
      <c r="J216" s="520" t="str">
        <f>IF(B216="","",IF(ISNA(VLOOKUP($B216,'B-1 Site Hedge Baseline'!$B$1:$L$257,11,FALSE)),"",(VLOOKUP($B216,'B-1 Site Hedge Baseline'!$B$1:$L$257,11,FALSE))))</f>
        <v/>
      </c>
      <c r="K216" s="520" t="str">
        <f>IF(B216="","",IF(ISNA(VLOOKUP($B216,'B-1 Site Hedge Baseline'!$B$1:$U$257,13,FALSE)),"",(VLOOKUP($B216,'B-1 Site Hedge Baseline'!$B$1:$U$257,13,FALSE))))</f>
        <v/>
      </c>
      <c r="L216" s="524" t="str">
        <f>IF(B216="","",IF(ISNA(VLOOKUP($B216,'B-1 Site Hedge Baseline'!$B$1:$U$257,12,FALSE)),"",(VLOOKUP($B216,'B-1 Site Hedge Baseline'!$B$1:$U$257,12,FALSE))))</f>
        <v/>
      </c>
      <c r="M216" s="416" t="str">
        <f t="shared" si="31"/>
        <v/>
      </c>
      <c r="N216" s="498" t="str">
        <f>IFERROR(IF(B216="","",INDEX('G-6 Hedgerow Data'!$AN$3:$AZ$15,MATCH(C216,'G-6 Hedgerow Data'!$AM$3:$AM$15,0),MATCH(M216,'G-6 Hedgerow Data'!$AN$2:$AZ$2,0))),"")</f>
        <v/>
      </c>
      <c r="O216" s="499" t="str">
        <f t="shared" si="26"/>
        <v/>
      </c>
      <c r="P216" s="559" t="str">
        <f>IF(B216="","",VLOOKUP(B216,'B-1 Site Hedge Baseline'!$B$10:T461,16,FALSE))</f>
        <v/>
      </c>
      <c r="Q216" s="498" t="str">
        <f>IF(M216="","",VLOOKUP(M216,'G-6 Hedgerow Data'!$B$2:$AG$15,2,FALSE))</f>
        <v/>
      </c>
      <c r="R216" s="499" t="str">
        <f>IF(M216="","",VLOOKUP(M216,'G-6 Hedgerow Data'!$B$2:$AG$15,3,FALSE))</f>
        <v/>
      </c>
      <c r="S216" s="157"/>
      <c r="T216" s="540" t="str">
        <f>IFERROR(VLOOKUP(S216,'G-1 All Habitats'!$Z$2:$AA$9,2,FALSE),"")</f>
        <v/>
      </c>
      <c r="U216" s="154"/>
      <c r="V216" s="520" t="str">
        <f>IF(U216="","",IF(VLOOKUP(U216,'G-3 Multipliers'!$L$3:$N$6,2,FALSE)=0,"Spatial Data Missing ⚠",VLOOKUP(U216,'G-3 Multipliers'!$L$3:$N$6,2,FALSE)))</f>
        <v/>
      </c>
      <c r="W216" s="524" t="str">
        <f>IF(U216="","",IF(VLOOKUP(U216,'G-3 Multipliers'!$L$3:$N$6,3,FALSE)=0,"Spatial Data Missing ⚠",VLOOKUP(U216,'G-3 Multipliers'!$L$3:$N$6,3,FALSE)))</f>
        <v/>
      </c>
      <c r="X216" s="498"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7" t="str">
        <f t="shared" si="27"/>
        <v/>
      </c>
      <c r="AB216" s="521" t="str">
        <f t="shared" si="28"/>
        <v/>
      </c>
      <c r="AC216" s="522" t="str">
        <f t="shared" si="24"/>
        <v/>
      </c>
      <c r="AD216" s="537" t="str">
        <f>IF(M216="","",VLOOKUP(M216,'G-6 Hedgerow Data'!$B$3:$AG$15,31,FALSE))</f>
        <v/>
      </c>
      <c r="AE216" s="507" t="str">
        <f t="shared" si="29"/>
        <v/>
      </c>
      <c r="AF216" s="507" t="str">
        <f t="shared" si="30"/>
        <v/>
      </c>
      <c r="AG216" s="524" t="str">
        <f>IFERROR(IF(O216="","",VLOOKUP(AD216,'G-3 Multipliers'!$P$3:$Q$6,2,FALSE)),"")</f>
        <v/>
      </c>
      <c r="AH216" s="513" t="str">
        <f t="shared" si="25"/>
        <v/>
      </c>
      <c r="AI216" s="231"/>
      <c r="AJ216" s="150"/>
      <c r="AT216" s="31" t="str">
        <f>IFERROR(INDEX('G-6 Hedgerow Data'!$BJ$3:$BJ$15,MATCH(M216,'G-6 Hedgerow Data'!$B$3:$B$15,0)),"")</f>
        <v/>
      </c>
    </row>
    <row r="217" spans="2:46" ht="13.8" x14ac:dyDescent="0.25">
      <c r="B217" s="531" t="str">
        <f>'B-1 Site Hedge Baseline'!AK215</f>
        <v/>
      </c>
      <c r="C217" s="520" t="str">
        <f>IF(B217="","",IF(ISNA(VLOOKUP($B217,'B-1 Site Hedge Baseline'!$B$1:$L$257,3,FALSE)),"",(VLOOKUP($B217,'B-1 Site Hedge Baseline'!$B$1:$L$257,3,FALSE))))</f>
        <v/>
      </c>
      <c r="D217" s="520" t="str">
        <f>IF(B217="","",IF(ISNA(VLOOKUP($B217,'B-1 Site Hedge Baseline'!$B$1:$L$257,4,FALSE)),"",(VLOOKUP($B217,'B-1 Site Hedge Baseline'!$B$1:$L$257,4,FALSE))))</f>
        <v/>
      </c>
      <c r="E217" s="520" t="str">
        <f>IF(B217="","",IF(ISNA(VLOOKUP($B217,'B-1 Site Hedge Baseline'!$B$1:$L$257,5,FALSE)),"",(VLOOKUP($B217,'B-1 Site Hedge Baseline'!$B$1:$L$257,5,FALSE))))</f>
        <v/>
      </c>
      <c r="F217" s="520" t="str">
        <f>IF(B217="","",IF(ISNA(VLOOKUP($B217,'B-1 Site Hedge Baseline'!$B$1:$L$257,6,FALSE)),"",(VLOOKUP($B217,'B-1 Site Hedge Baseline'!$B$1:$L$257,6,FALSE))))</f>
        <v/>
      </c>
      <c r="G217" s="520" t="str">
        <f>IF(B217="","",IF(ISNA(VLOOKUP($B217,'B-1 Site Hedge Baseline'!$B$1:$L$257,7,FALSE)),"",(VLOOKUP($B217,'B-1 Site Hedge Baseline'!$B$1:$L$257,7,FALSE))))</f>
        <v/>
      </c>
      <c r="H217" s="520" t="str">
        <f>IF(B217="","",IF(ISNA(VLOOKUP($B217,'B-1 Site Hedge Baseline'!$B$1:$L$257,8,FALSE)),"",(VLOOKUP($B217,'B-1 Site Hedge Baseline'!$B$1:$L$257,8,FALSE))))</f>
        <v/>
      </c>
      <c r="I217" s="520" t="str">
        <f>IF(B217="","",IF(ISNA(VLOOKUP($B217,'B-1 Site Hedge Baseline'!$B$1:$L$257,10,FALSE)),"",(VLOOKUP($B217,'B-1 Site Hedge Baseline'!$B$1:$L$257,10,FALSE))))</f>
        <v/>
      </c>
      <c r="J217" s="520" t="str">
        <f>IF(B217="","",IF(ISNA(VLOOKUP($B217,'B-1 Site Hedge Baseline'!$B$1:$L$257,11,FALSE)),"",(VLOOKUP($B217,'B-1 Site Hedge Baseline'!$B$1:$L$257,11,FALSE))))</f>
        <v/>
      </c>
      <c r="K217" s="520" t="str">
        <f>IF(B217="","",IF(ISNA(VLOOKUP($B217,'B-1 Site Hedge Baseline'!$B$1:$U$257,13,FALSE)),"",(VLOOKUP($B217,'B-1 Site Hedge Baseline'!$B$1:$U$257,13,FALSE))))</f>
        <v/>
      </c>
      <c r="L217" s="524" t="str">
        <f>IF(B217="","",IF(ISNA(VLOOKUP($B217,'B-1 Site Hedge Baseline'!$B$1:$U$257,12,FALSE)),"",(VLOOKUP($B217,'B-1 Site Hedge Baseline'!$B$1:$U$257,12,FALSE))))</f>
        <v/>
      </c>
      <c r="M217" s="416" t="str">
        <f t="shared" si="31"/>
        <v/>
      </c>
      <c r="N217" s="498" t="str">
        <f>IFERROR(IF(B217="","",INDEX('G-6 Hedgerow Data'!$AN$3:$AZ$15,MATCH(C217,'G-6 Hedgerow Data'!$AM$3:$AM$15,0),MATCH(M217,'G-6 Hedgerow Data'!$AN$2:$AZ$2,0))),"")</f>
        <v/>
      </c>
      <c r="O217" s="499" t="str">
        <f t="shared" si="26"/>
        <v/>
      </c>
      <c r="P217" s="559" t="str">
        <f>IF(B217="","",VLOOKUP(B217,'B-1 Site Hedge Baseline'!$B$10:T462,16,FALSE))</f>
        <v/>
      </c>
      <c r="Q217" s="498" t="str">
        <f>IF(M217="","",VLOOKUP(M217,'G-6 Hedgerow Data'!$B$2:$AG$15,2,FALSE))</f>
        <v/>
      </c>
      <c r="R217" s="499" t="str">
        <f>IF(M217="","",VLOOKUP(M217,'G-6 Hedgerow Data'!$B$2:$AG$15,3,FALSE))</f>
        <v/>
      </c>
      <c r="S217" s="157"/>
      <c r="T217" s="540" t="str">
        <f>IFERROR(VLOOKUP(S217,'G-1 All Habitats'!$Z$2:$AA$9,2,FALSE),"")</f>
        <v/>
      </c>
      <c r="U217" s="154"/>
      <c r="V217" s="520" t="str">
        <f>IF(U217="","",IF(VLOOKUP(U217,'G-3 Multipliers'!$L$3:$N$6,2,FALSE)=0,"Spatial Data Missing ⚠",VLOOKUP(U217,'G-3 Multipliers'!$L$3:$N$6,2,FALSE)))</f>
        <v/>
      </c>
      <c r="W217" s="524" t="str">
        <f>IF(U217="","",IF(VLOOKUP(U217,'G-3 Multipliers'!$L$3:$N$6,3,FALSE)=0,"Spatial Data Missing ⚠",VLOOKUP(U217,'G-3 Multipliers'!$L$3:$N$6,3,FALSE)))</f>
        <v/>
      </c>
      <c r="X217" s="498"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7" t="str">
        <f t="shared" si="27"/>
        <v/>
      </c>
      <c r="AB217" s="521" t="str">
        <f t="shared" si="28"/>
        <v/>
      </c>
      <c r="AC217" s="522" t="str">
        <f t="shared" si="24"/>
        <v/>
      </c>
      <c r="AD217" s="537" t="str">
        <f>IF(M217="","",VLOOKUP(M217,'G-6 Hedgerow Data'!$B$3:$AG$15,31,FALSE))</f>
        <v/>
      </c>
      <c r="AE217" s="507" t="str">
        <f t="shared" si="29"/>
        <v/>
      </c>
      <c r="AF217" s="507" t="str">
        <f t="shared" si="30"/>
        <v/>
      </c>
      <c r="AG217" s="524" t="str">
        <f>IFERROR(IF(O217="","",VLOOKUP(AD217,'G-3 Multipliers'!$P$3:$Q$6,2,FALSE)),"")</f>
        <v/>
      </c>
      <c r="AH217" s="513" t="str">
        <f t="shared" si="25"/>
        <v/>
      </c>
      <c r="AI217" s="231"/>
      <c r="AJ217" s="150"/>
      <c r="AT217" s="31" t="str">
        <f>IFERROR(INDEX('G-6 Hedgerow Data'!$BJ$3:$BJ$15,MATCH(M217,'G-6 Hedgerow Data'!$B$3:$B$15,0)),"")</f>
        <v/>
      </c>
    </row>
    <row r="218" spans="2:46" ht="13.8" x14ac:dyDescent="0.25">
      <c r="B218" s="531" t="str">
        <f>'B-1 Site Hedge Baseline'!AK216</f>
        <v/>
      </c>
      <c r="C218" s="520" t="str">
        <f>IF(B218="","",IF(ISNA(VLOOKUP($B218,'B-1 Site Hedge Baseline'!$B$1:$L$257,3,FALSE)),"",(VLOOKUP($B218,'B-1 Site Hedge Baseline'!$B$1:$L$257,3,FALSE))))</f>
        <v/>
      </c>
      <c r="D218" s="520" t="str">
        <f>IF(B218="","",IF(ISNA(VLOOKUP($B218,'B-1 Site Hedge Baseline'!$B$1:$L$257,4,FALSE)),"",(VLOOKUP($B218,'B-1 Site Hedge Baseline'!$B$1:$L$257,4,FALSE))))</f>
        <v/>
      </c>
      <c r="E218" s="520" t="str">
        <f>IF(B218="","",IF(ISNA(VLOOKUP($B218,'B-1 Site Hedge Baseline'!$B$1:$L$257,5,FALSE)),"",(VLOOKUP($B218,'B-1 Site Hedge Baseline'!$B$1:$L$257,5,FALSE))))</f>
        <v/>
      </c>
      <c r="F218" s="520" t="str">
        <f>IF(B218="","",IF(ISNA(VLOOKUP($B218,'B-1 Site Hedge Baseline'!$B$1:$L$257,6,FALSE)),"",(VLOOKUP($B218,'B-1 Site Hedge Baseline'!$B$1:$L$257,6,FALSE))))</f>
        <v/>
      </c>
      <c r="G218" s="520" t="str">
        <f>IF(B218="","",IF(ISNA(VLOOKUP($B218,'B-1 Site Hedge Baseline'!$B$1:$L$257,7,FALSE)),"",(VLOOKUP($B218,'B-1 Site Hedge Baseline'!$B$1:$L$257,7,FALSE))))</f>
        <v/>
      </c>
      <c r="H218" s="520" t="str">
        <f>IF(B218="","",IF(ISNA(VLOOKUP($B218,'B-1 Site Hedge Baseline'!$B$1:$L$257,8,FALSE)),"",(VLOOKUP($B218,'B-1 Site Hedge Baseline'!$B$1:$L$257,8,FALSE))))</f>
        <v/>
      </c>
      <c r="I218" s="520" t="str">
        <f>IF(B218="","",IF(ISNA(VLOOKUP($B218,'B-1 Site Hedge Baseline'!$B$1:$L$257,10,FALSE)),"",(VLOOKUP($B218,'B-1 Site Hedge Baseline'!$B$1:$L$257,10,FALSE))))</f>
        <v/>
      </c>
      <c r="J218" s="520" t="str">
        <f>IF(B218="","",IF(ISNA(VLOOKUP($B218,'B-1 Site Hedge Baseline'!$B$1:$L$257,11,FALSE)),"",(VLOOKUP($B218,'B-1 Site Hedge Baseline'!$B$1:$L$257,11,FALSE))))</f>
        <v/>
      </c>
      <c r="K218" s="520" t="str">
        <f>IF(B218="","",IF(ISNA(VLOOKUP($B218,'B-1 Site Hedge Baseline'!$B$1:$U$257,13,FALSE)),"",(VLOOKUP($B218,'B-1 Site Hedge Baseline'!$B$1:$U$257,13,FALSE))))</f>
        <v/>
      </c>
      <c r="L218" s="524" t="str">
        <f>IF(B218="","",IF(ISNA(VLOOKUP($B218,'B-1 Site Hedge Baseline'!$B$1:$U$257,12,FALSE)),"",(VLOOKUP($B218,'B-1 Site Hedge Baseline'!$B$1:$U$257,12,FALSE))))</f>
        <v/>
      </c>
      <c r="M218" s="416" t="str">
        <f t="shared" si="31"/>
        <v/>
      </c>
      <c r="N218" s="498" t="str">
        <f>IFERROR(IF(B218="","",INDEX('G-6 Hedgerow Data'!$AN$3:$AZ$15,MATCH(C218,'G-6 Hedgerow Data'!$AM$3:$AM$15,0),MATCH(M218,'G-6 Hedgerow Data'!$AN$2:$AZ$2,0))),"")</f>
        <v/>
      </c>
      <c r="O218" s="499" t="str">
        <f t="shared" si="26"/>
        <v/>
      </c>
      <c r="P218" s="559" t="str">
        <f>IF(B218="","",VLOOKUP(B218,'B-1 Site Hedge Baseline'!$B$10:T463,16,FALSE))</f>
        <v/>
      </c>
      <c r="Q218" s="498" t="str">
        <f>IF(M218="","",VLOOKUP(M218,'G-6 Hedgerow Data'!$B$2:$AG$15,2,FALSE))</f>
        <v/>
      </c>
      <c r="R218" s="499" t="str">
        <f>IF(M218="","",VLOOKUP(M218,'G-6 Hedgerow Data'!$B$2:$AG$15,3,FALSE))</f>
        <v/>
      </c>
      <c r="S218" s="157"/>
      <c r="T218" s="540" t="str">
        <f>IFERROR(VLOOKUP(S218,'G-1 All Habitats'!$Z$2:$AA$9,2,FALSE),"")</f>
        <v/>
      </c>
      <c r="U218" s="154"/>
      <c r="V218" s="520" t="str">
        <f>IF(U218="","",IF(VLOOKUP(U218,'G-3 Multipliers'!$L$3:$N$6,2,FALSE)=0,"Spatial Data Missing ⚠",VLOOKUP(U218,'G-3 Multipliers'!$L$3:$N$6,2,FALSE)))</f>
        <v/>
      </c>
      <c r="W218" s="524" t="str">
        <f>IF(U218="","",IF(VLOOKUP(U218,'G-3 Multipliers'!$L$3:$N$6,3,FALSE)=0,"Spatial Data Missing ⚠",VLOOKUP(U218,'G-3 Multipliers'!$L$3:$N$6,3,FALSE)))</f>
        <v/>
      </c>
      <c r="X218" s="498"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7" t="str">
        <f t="shared" si="27"/>
        <v/>
      </c>
      <c r="AB218" s="521" t="str">
        <f t="shared" si="28"/>
        <v/>
      </c>
      <c r="AC218" s="522" t="str">
        <f t="shared" si="24"/>
        <v/>
      </c>
      <c r="AD218" s="537" t="str">
        <f>IF(M218="","",VLOOKUP(M218,'G-6 Hedgerow Data'!$B$3:$AG$15,31,FALSE))</f>
        <v/>
      </c>
      <c r="AE218" s="507" t="str">
        <f t="shared" si="29"/>
        <v/>
      </c>
      <c r="AF218" s="507" t="str">
        <f t="shared" si="30"/>
        <v/>
      </c>
      <c r="AG218" s="524" t="str">
        <f>IFERROR(IF(O218="","",VLOOKUP(AD218,'G-3 Multipliers'!$P$3:$Q$6,2,FALSE)),"")</f>
        <v/>
      </c>
      <c r="AH218" s="513" t="str">
        <f t="shared" si="25"/>
        <v/>
      </c>
      <c r="AI218" s="231"/>
      <c r="AJ218" s="150"/>
      <c r="AT218" s="31" t="str">
        <f>IFERROR(INDEX('G-6 Hedgerow Data'!$BJ$3:$BJ$15,MATCH(M218,'G-6 Hedgerow Data'!$B$3:$B$15,0)),"")</f>
        <v/>
      </c>
    </row>
    <row r="219" spans="2:46" ht="13.8" x14ac:dyDescent="0.25">
      <c r="B219" s="531" t="str">
        <f>'B-1 Site Hedge Baseline'!AK217</f>
        <v/>
      </c>
      <c r="C219" s="520" t="str">
        <f>IF(B219="","",IF(ISNA(VLOOKUP($B219,'B-1 Site Hedge Baseline'!$B$1:$L$257,3,FALSE)),"",(VLOOKUP($B219,'B-1 Site Hedge Baseline'!$B$1:$L$257,3,FALSE))))</f>
        <v/>
      </c>
      <c r="D219" s="520" t="str">
        <f>IF(B219="","",IF(ISNA(VLOOKUP($B219,'B-1 Site Hedge Baseline'!$B$1:$L$257,4,FALSE)),"",(VLOOKUP($B219,'B-1 Site Hedge Baseline'!$B$1:$L$257,4,FALSE))))</f>
        <v/>
      </c>
      <c r="E219" s="520" t="str">
        <f>IF(B219="","",IF(ISNA(VLOOKUP($B219,'B-1 Site Hedge Baseline'!$B$1:$L$257,5,FALSE)),"",(VLOOKUP($B219,'B-1 Site Hedge Baseline'!$B$1:$L$257,5,FALSE))))</f>
        <v/>
      </c>
      <c r="F219" s="520" t="str">
        <f>IF(B219="","",IF(ISNA(VLOOKUP($B219,'B-1 Site Hedge Baseline'!$B$1:$L$257,6,FALSE)),"",(VLOOKUP($B219,'B-1 Site Hedge Baseline'!$B$1:$L$257,6,FALSE))))</f>
        <v/>
      </c>
      <c r="G219" s="520" t="str">
        <f>IF(B219="","",IF(ISNA(VLOOKUP($B219,'B-1 Site Hedge Baseline'!$B$1:$L$257,7,FALSE)),"",(VLOOKUP($B219,'B-1 Site Hedge Baseline'!$B$1:$L$257,7,FALSE))))</f>
        <v/>
      </c>
      <c r="H219" s="520" t="str">
        <f>IF(B219="","",IF(ISNA(VLOOKUP($B219,'B-1 Site Hedge Baseline'!$B$1:$L$257,8,FALSE)),"",(VLOOKUP($B219,'B-1 Site Hedge Baseline'!$B$1:$L$257,8,FALSE))))</f>
        <v/>
      </c>
      <c r="I219" s="520" t="str">
        <f>IF(B219="","",IF(ISNA(VLOOKUP($B219,'B-1 Site Hedge Baseline'!$B$1:$L$257,10,FALSE)),"",(VLOOKUP($B219,'B-1 Site Hedge Baseline'!$B$1:$L$257,10,FALSE))))</f>
        <v/>
      </c>
      <c r="J219" s="520" t="str">
        <f>IF(B219="","",IF(ISNA(VLOOKUP($B219,'B-1 Site Hedge Baseline'!$B$1:$L$257,11,FALSE)),"",(VLOOKUP($B219,'B-1 Site Hedge Baseline'!$B$1:$L$257,11,FALSE))))</f>
        <v/>
      </c>
      <c r="K219" s="520" t="str">
        <f>IF(B219="","",IF(ISNA(VLOOKUP($B219,'B-1 Site Hedge Baseline'!$B$1:$U$257,13,FALSE)),"",(VLOOKUP($B219,'B-1 Site Hedge Baseline'!$B$1:$U$257,13,FALSE))))</f>
        <v/>
      </c>
      <c r="L219" s="524" t="str">
        <f>IF(B219="","",IF(ISNA(VLOOKUP($B219,'B-1 Site Hedge Baseline'!$B$1:$U$257,12,FALSE)),"",(VLOOKUP($B219,'B-1 Site Hedge Baseline'!$B$1:$U$257,12,FALSE))))</f>
        <v/>
      </c>
      <c r="M219" s="416" t="str">
        <f t="shared" si="31"/>
        <v/>
      </c>
      <c r="N219" s="498" t="str">
        <f>IFERROR(IF(B219="","",INDEX('G-6 Hedgerow Data'!$AN$3:$AZ$15,MATCH(C219,'G-6 Hedgerow Data'!$AM$3:$AM$15,0),MATCH(M219,'G-6 Hedgerow Data'!$AN$2:$AZ$2,0))),"")</f>
        <v/>
      </c>
      <c r="O219" s="499" t="str">
        <f t="shared" si="26"/>
        <v/>
      </c>
      <c r="P219" s="559" t="str">
        <f>IF(B219="","",VLOOKUP(B219,'B-1 Site Hedge Baseline'!$B$10:T464,16,FALSE))</f>
        <v/>
      </c>
      <c r="Q219" s="498" t="str">
        <f>IF(M219="","",VLOOKUP(M219,'G-6 Hedgerow Data'!$B$2:$AG$15,2,FALSE))</f>
        <v/>
      </c>
      <c r="R219" s="499" t="str">
        <f>IF(M219="","",VLOOKUP(M219,'G-6 Hedgerow Data'!$B$2:$AG$15,3,FALSE))</f>
        <v/>
      </c>
      <c r="S219" s="157"/>
      <c r="T219" s="540" t="str">
        <f>IFERROR(VLOOKUP(S219,'G-1 All Habitats'!$Z$2:$AA$9,2,FALSE),"")</f>
        <v/>
      </c>
      <c r="U219" s="154"/>
      <c r="V219" s="520" t="str">
        <f>IF(U219="","",IF(VLOOKUP(U219,'G-3 Multipliers'!$L$3:$N$6,2,FALSE)=0,"Spatial Data Missing ⚠",VLOOKUP(U219,'G-3 Multipliers'!$L$3:$N$6,2,FALSE)))</f>
        <v/>
      </c>
      <c r="W219" s="524" t="str">
        <f>IF(U219="","",IF(VLOOKUP(U219,'G-3 Multipliers'!$L$3:$N$6,3,FALSE)=0,"Spatial Data Missing ⚠",VLOOKUP(U219,'G-3 Multipliers'!$L$3:$N$6,3,FALSE)))</f>
        <v/>
      </c>
      <c r="X219" s="498"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7" t="str">
        <f t="shared" si="27"/>
        <v/>
      </c>
      <c r="AB219" s="521" t="str">
        <f t="shared" si="28"/>
        <v/>
      </c>
      <c r="AC219" s="522" t="str">
        <f t="shared" si="24"/>
        <v/>
      </c>
      <c r="AD219" s="537" t="str">
        <f>IF(M219="","",VLOOKUP(M219,'G-6 Hedgerow Data'!$B$3:$AG$15,31,FALSE))</f>
        <v/>
      </c>
      <c r="AE219" s="507" t="str">
        <f t="shared" si="29"/>
        <v/>
      </c>
      <c r="AF219" s="507" t="str">
        <f t="shared" si="30"/>
        <v/>
      </c>
      <c r="AG219" s="524" t="str">
        <f>IFERROR(IF(O219="","",VLOOKUP(AD219,'G-3 Multipliers'!$P$3:$Q$6,2,FALSE)),"")</f>
        <v/>
      </c>
      <c r="AH219" s="513" t="str">
        <f t="shared" si="25"/>
        <v/>
      </c>
      <c r="AI219" s="231"/>
      <c r="AJ219" s="150"/>
      <c r="AT219" s="31" t="str">
        <f>IFERROR(INDEX('G-6 Hedgerow Data'!$BJ$3:$BJ$15,MATCH(M219,'G-6 Hedgerow Data'!$B$3:$B$15,0)),"")</f>
        <v/>
      </c>
    </row>
    <row r="220" spans="2:46" ht="13.8" x14ac:dyDescent="0.25">
      <c r="B220" s="531" t="str">
        <f>'B-1 Site Hedge Baseline'!AK218</f>
        <v/>
      </c>
      <c r="C220" s="520" t="str">
        <f>IF(B220="","",IF(ISNA(VLOOKUP($B220,'B-1 Site Hedge Baseline'!$B$1:$L$257,3,FALSE)),"",(VLOOKUP($B220,'B-1 Site Hedge Baseline'!$B$1:$L$257,3,FALSE))))</f>
        <v/>
      </c>
      <c r="D220" s="520" t="str">
        <f>IF(B220="","",IF(ISNA(VLOOKUP($B220,'B-1 Site Hedge Baseline'!$B$1:$L$257,4,FALSE)),"",(VLOOKUP($B220,'B-1 Site Hedge Baseline'!$B$1:$L$257,4,FALSE))))</f>
        <v/>
      </c>
      <c r="E220" s="520" t="str">
        <f>IF(B220="","",IF(ISNA(VLOOKUP($B220,'B-1 Site Hedge Baseline'!$B$1:$L$257,5,FALSE)),"",(VLOOKUP($B220,'B-1 Site Hedge Baseline'!$B$1:$L$257,5,FALSE))))</f>
        <v/>
      </c>
      <c r="F220" s="520" t="str">
        <f>IF(B220="","",IF(ISNA(VLOOKUP($B220,'B-1 Site Hedge Baseline'!$B$1:$L$257,6,FALSE)),"",(VLOOKUP($B220,'B-1 Site Hedge Baseline'!$B$1:$L$257,6,FALSE))))</f>
        <v/>
      </c>
      <c r="G220" s="520" t="str">
        <f>IF(B220="","",IF(ISNA(VLOOKUP($B220,'B-1 Site Hedge Baseline'!$B$1:$L$257,7,FALSE)),"",(VLOOKUP($B220,'B-1 Site Hedge Baseline'!$B$1:$L$257,7,FALSE))))</f>
        <v/>
      </c>
      <c r="H220" s="520" t="str">
        <f>IF(B220="","",IF(ISNA(VLOOKUP($B220,'B-1 Site Hedge Baseline'!$B$1:$L$257,8,FALSE)),"",(VLOOKUP($B220,'B-1 Site Hedge Baseline'!$B$1:$L$257,8,FALSE))))</f>
        <v/>
      </c>
      <c r="I220" s="520" t="str">
        <f>IF(B220="","",IF(ISNA(VLOOKUP($B220,'B-1 Site Hedge Baseline'!$B$1:$L$257,10,FALSE)),"",(VLOOKUP($B220,'B-1 Site Hedge Baseline'!$B$1:$L$257,10,FALSE))))</f>
        <v/>
      </c>
      <c r="J220" s="520" t="str">
        <f>IF(B220="","",IF(ISNA(VLOOKUP($B220,'B-1 Site Hedge Baseline'!$B$1:$L$257,11,FALSE)),"",(VLOOKUP($B220,'B-1 Site Hedge Baseline'!$B$1:$L$257,11,FALSE))))</f>
        <v/>
      </c>
      <c r="K220" s="520" t="str">
        <f>IF(B220="","",IF(ISNA(VLOOKUP($B220,'B-1 Site Hedge Baseline'!$B$1:$U$257,13,FALSE)),"",(VLOOKUP($B220,'B-1 Site Hedge Baseline'!$B$1:$U$257,13,FALSE))))</f>
        <v/>
      </c>
      <c r="L220" s="524" t="str">
        <f>IF(B220="","",IF(ISNA(VLOOKUP($B220,'B-1 Site Hedge Baseline'!$B$1:$U$257,12,FALSE)),"",(VLOOKUP($B220,'B-1 Site Hedge Baseline'!$B$1:$U$257,12,FALSE))))</f>
        <v/>
      </c>
      <c r="M220" s="416" t="str">
        <f t="shared" si="31"/>
        <v/>
      </c>
      <c r="N220" s="498" t="str">
        <f>IFERROR(IF(B220="","",INDEX('G-6 Hedgerow Data'!$AN$3:$AZ$15,MATCH(C220,'G-6 Hedgerow Data'!$AM$3:$AM$15,0),MATCH(M220,'G-6 Hedgerow Data'!$AN$2:$AZ$2,0))),"")</f>
        <v/>
      </c>
      <c r="O220" s="499" t="str">
        <f t="shared" si="26"/>
        <v/>
      </c>
      <c r="P220" s="559" t="str">
        <f>IF(B220="","",VLOOKUP(B220,'B-1 Site Hedge Baseline'!$B$10:T465,16,FALSE))</f>
        <v/>
      </c>
      <c r="Q220" s="498" t="str">
        <f>IF(M220="","",VLOOKUP(M220,'G-6 Hedgerow Data'!$B$2:$AG$15,2,FALSE))</f>
        <v/>
      </c>
      <c r="R220" s="499" t="str">
        <f>IF(M220="","",VLOOKUP(M220,'G-6 Hedgerow Data'!$B$2:$AG$15,3,FALSE))</f>
        <v/>
      </c>
      <c r="S220" s="157"/>
      <c r="T220" s="540" t="str">
        <f>IFERROR(VLOOKUP(S220,'G-1 All Habitats'!$Z$2:$AA$9,2,FALSE),"")</f>
        <v/>
      </c>
      <c r="U220" s="154"/>
      <c r="V220" s="520" t="str">
        <f>IF(U220="","",IF(VLOOKUP(U220,'G-3 Multipliers'!$L$3:$N$6,2,FALSE)=0,"Spatial Data Missing ⚠",VLOOKUP(U220,'G-3 Multipliers'!$L$3:$N$6,2,FALSE)))</f>
        <v/>
      </c>
      <c r="W220" s="524" t="str">
        <f>IF(U220="","",IF(VLOOKUP(U220,'G-3 Multipliers'!$L$3:$N$6,3,FALSE)=0,"Spatial Data Missing ⚠",VLOOKUP(U220,'G-3 Multipliers'!$L$3:$N$6,3,FALSE)))</f>
        <v/>
      </c>
      <c r="X220" s="498"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7" t="str">
        <f t="shared" si="27"/>
        <v/>
      </c>
      <c r="AB220" s="521" t="str">
        <f t="shared" si="28"/>
        <v/>
      </c>
      <c r="AC220" s="522" t="str">
        <f t="shared" si="24"/>
        <v/>
      </c>
      <c r="AD220" s="537" t="str">
        <f>IF(M220="","",VLOOKUP(M220,'G-6 Hedgerow Data'!$B$3:$AG$15,31,FALSE))</f>
        <v/>
      </c>
      <c r="AE220" s="507" t="str">
        <f t="shared" si="29"/>
        <v/>
      </c>
      <c r="AF220" s="507" t="str">
        <f t="shared" si="30"/>
        <v/>
      </c>
      <c r="AG220" s="524" t="str">
        <f>IFERROR(IF(O220="","",VLOOKUP(AD220,'G-3 Multipliers'!$P$3:$Q$6,2,FALSE)),"")</f>
        <v/>
      </c>
      <c r="AH220" s="513" t="str">
        <f t="shared" si="25"/>
        <v/>
      </c>
      <c r="AI220" s="231"/>
      <c r="AJ220" s="150"/>
      <c r="AT220" s="31" t="str">
        <f>IFERROR(INDEX('G-6 Hedgerow Data'!$BJ$3:$BJ$15,MATCH(M220,'G-6 Hedgerow Data'!$B$3:$B$15,0)),"")</f>
        <v/>
      </c>
    </row>
    <row r="221" spans="2:46" ht="13.8" x14ac:dyDescent="0.25">
      <c r="B221" s="531" t="str">
        <f>'B-1 Site Hedge Baseline'!AK219</f>
        <v/>
      </c>
      <c r="C221" s="520" t="str">
        <f>IF(B221="","",IF(ISNA(VLOOKUP($B221,'B-1 Site Hedge Baseline'!$B$1:$L$257,3,FALSE)),"",(VLOOKUP($B221,'B-1 Site Hedge Baseline'!$B$1:$L$257,3,FALSE))))</f>
        <v/>
      </c>
      <c r="D221" s="520" t="str">
        <f>IF(B221="","",IF(ISNA(VLOOKUP($B221,'B-1 Site Hedge Baseline'!$B$1:$L$257,4,FALSE)),"",(VLOOKUP($B221,'B-1 Site Hedge Baseline'!$B$1:$L$257,4,FALSE))))</f>
        <v/>
      </c>
      <c r="E221" s="520" t="str">
        <f>IF(B221="","",IF(ISNA(VLOOKUP($B221,'B-1 Site Hedge Baseline'!$B$1:$L$257,5,FALSE)),"",(VLOOKUP($B221,'B-1 Site Hedge Baseline'!$B$1:$L$257,5,FALSE))))</f>
        <v/>
      </c>
      <c r="F221" s="520" t="str">
        <f>IF(B221="","",IF(ISNA(VLOOKUP($B221,'B-1 Site Hedge Baseline'!$B$1:$L$257,6,FALSE)),"",(VLOOKUP($B221,'B-1 Site Hedge Baseline'!$B$1:$L$257,6,FALSE))))</f>
        <v/>
      </c>
      <c r="G221" s="520" t="str">
        <f>IF(B221="","",IF(ISNA(VLOOKUP($B221,'B-1 Site Hedge Baseline'!$B$1:$L$257,7,FALSE)),"",(VLOOKUP($B221,'B-1 Site Hedge Baseline'!$B$1:$L$257,7,FALSE))))</f>
        <v/>
      </c>
      <c r="H221" s="520" t="str">
        <f>IF(B221="","",IF(ISNA(VLOOKUP($B221,'B-1 Site Hedge Baseline'!$B$1:$L$257,8,FALSE)),"",(VLOOKUP($B221,'B-1 Site Hedge Baseline'!$B$1:$L$257,8,FALSE))))</f>
        <v/>
      </c>
      <c r="I221" s="520" t="str">
        <f>IF(B221="","",IF(ISNA(VLOOKUP($B221,'B-1 Site Hedge Baseline'!$B$1:$L$257,10,FALSE)),"",(VLOOKUP($B221,'B-1 Site Hedge Baseline'!$B$1:$L$257,10,FALSE))))</f>
        <v/>
      </c>
      <c r="J221" s="520" t="str">
        <f>IF(B221="","",IF(ISNA(VLOOKUP($B221,'B-1 Site Hedge Baseline'!$B$1:$L$257,11,FALSE)),"",(VLOOKUP($B221,'B-1 Site Hedge Baseline'!$B$1:$L$257,11,FALSE))))</f>
        <v/>
      </c>
      <c r="K221" s="520" t="str">
        <f>IF(B221="","",IF(ISNA(VLOOKUP($B221,'B-1 Site Hedge Baseline'!$B$1:$U$257,13,FALSE)),"",(VLOOKUP($B221,'B-1 Site Hedge Baseline'!$B$1:$U$257,13,FALSE))))</f>
        <v/>
      </c>
      <c r="L221" s="524" t="str">
        <f>IF(B221="","",IF(ISNA(VLOOKUP($B221,'B-1 Site Hedge Baseline'!$B$1:$U$257,12,FALSE)),"",(VLOOKUP($B221,'B-1 Site Hedge Baseline'!$B$1:$U$257,12,FALSE))))</f>
        <v/>
      </c>
      <c r="M221" s="416" t="str">
        <f t="shared" si="31"/>
        <v/>
      </c>
      <c r="N221" s="498" t="str">
        <f>IFERROR(IF(B221="","",INDEX('G-6 Hedgerow Data'!$AN$3:$AZ$15,MATCH(C221,'G-6 Hedgerow Data'!$AM$3:$AM$15,0),MATCH(M221,'G-6 Hedgerow Data'!$AN$2:$AZ$2,0))),"")</f>
        <v/>
      </c>
      <c r="O221" s="499" t="str">
        <f t="shared" si="26"/>
        <v/>
      </c>
      <c r="P221" s="559" t="str">
        <f>IF(B221="","",VLOOKUP(B221,'B-1 Site Hedge Baseline'!$B$10:T466,16,FALSE))</f>
        <v/>
      </c>
      <c r="Q221" s="498" t="str">
        <f>IF(M221="","",VLOOKUP(M221,'G-6 Hedgerow Data'!$B$2:$AG$15,2,FALSE))</f>
        <v/>
      </c>
      <c r="R221" s="499" t="str">
        <f>IF(M221="","",VLOOKUP(M221,'G-6 Hedgerow Data'!$B$2:$AG$15,3,FALSE))</f>
        <v/>
      </c>
      <c r="S221" s="157"/>
      <c r="T221" s="540" t="str">
        <f>IFERROR(VLOOKUP(S221,'G-1 All Habitats'!$Z$2:$AA$9,2,FALSE),"")</f>
        <v/>
      </c>
      <c r="U221" s="154"/>
      <c r="V221" s="520" t="str">
        <f>IF(U221="","",IF(VLOOKUP(U221,'G-3 Multipliers'!$L$3:$N$6,2,FALSE)=0,"Spatial Data Missing ⚠",VLOOKUP(U221,'G-3 Multipliers'!$L$3:$N$6,2,FALSE)))</f>
        <v/>
      </c>
      <c r="W221" s="524" t="str">
        <f>IF(U221="","",IF(VLOOKUP(U221,'G-3 Multipliers'!$L$3:$N$6,3,FALSE)=0,"Spatial Data Missing ⚠",VLOOKUP(U221,'G-3 Multipliers'!$L$3:$N$6,3,FALSE)))</f>
        <v/>
      </c>
      <c r="X221" s="498"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7" t="str">
        <f t="shared" si="27"/>
        <v/>
      </c>
      <c r="AB221" s="521" t="str">
        <f t="shared" si="28"/>
        <v/>
      </c>
      <c r="AC221" s="522" t="str">
        <f t="shared" si="24"/>
        <v/>
      </c>
      <c r="AD221" s="537" t="str">
        <f>IF(M221="","",VLOOKUP(M221,'G-6 Hedgerow Data'!$B$3:$AG$15,31,FALSE))</f>
        <v/>
      </c>
      <c r="AE221" s="507" t="str">
        <f t="shared" si="29"/>
        <v/>
      </c>
      <c r="AF221" s="507" t="str">
        <f t="shared" si="30"/>
        <v/>
      </c>
      <c r="AG221" s="524" t="str">
        <f>IFERROR(IF(O221="","",VLOOKUP(AD221,'G-3 Multipliers'!$P$3:$Q$6,2,FALSE)),"")</f>
        <v/>
      </c>
      <c r="AH221" s="513" t="str">
        <f t="shared" si="25"/>
        <v/>
      </c>
      <c r="AI221" s="231"/>
      <c r="AJ221" s="150"/>
      <c r="AT221" s="31" t="str">
        <f>IFERROR(INDEX('G-6 Hedgerow Data'!$BJ$3:$BJ$15,MATCH(M221,'G-6 Hedgerow Data'!$B$3:$B$15,0)),"")</f>
        <v/>
      </c>
    </row>
    <row r="222" spans="2:46" ht="13.8" x14ac:dyDescent="0.25">
      <c r="B222" s="531" t="str">
        <f>'B-1 Site Hedge Baseline'!AK220</f>
        <v/>
      </c>
      <c r="C222" s="520" t="str">
        <f>IF(B222="","",IF(ISNA(VLOOKUP($B222,'B-1 Site Hedge Baseline'!$B$1:$L$257,3,FALSE)),"",(VLOOKUP($B222,'B-1 Site Hedge Baseline'!$B$1:$L$257,3,FALSE))))</f>
        <v/>
      </c>
      <c r="D222" s="520" t="str">
        <f>IF(B222="","",IF(ISNA(VLOOKUP($B222,'B-1 Site Hedge Baseline'!$B$1:$L$257,4,FALSE)),"",(VLOOKUP($B222,'B-1 Site Hedge Baseline'!$B$1:$L$257,4,FALSE))))</f>
        <v/>
      </c>
      <c r="E222" s="520" t="str">
        <f>IF(B222="","",IF(ISNA(VLOOKUP($B222,'B-1 Site Hedge Baseline'!$B$1:$L$257,5,FALSE)),"",(VLOOKUP($B222,'B-1 Site Hedge Baseline'!$B$1:$L$257,5,FALSE))))</f>
        <v/>
      </c>
      <c r="F222" s="520" t="str">
        <f>IF(B222="","",IF(ISNA(VLOOKUP($B222,'B-1 Site Hedge Baseline'!$B$1:$L$257,6,FALSE)),"",(VLOOKUP($B222,'B-1 Site Hedge Baseline'!$B$1:$L$257,6,FALSE))))</f>
        <v/>
      </c>
      <c r="G222" s="520" t="str">
        <f>IF(B222="","",IF(ISNA(VLOOKUP($B222,'B-1 Site Hedge Baseline'!$B$1:$L$257,7,FALSE)),"",(VLOOKUP($B222,'B-1 Site Hedge Baseline'!$B$1:$L$257,7,FALSE))))</f>
        <v/>
      </c>
      <c r="H222" s="520" t="str">
        <f>IF(B222="","",IF(ISNA(VLOOKUP($B222,'B-1 Site Hedge Baseline'!$B$1:$L$257,8,FALSE)),"",(VLOOKUP($B222,'B-1 Site Hedge Baseline'!$B$1:$L$257,8,FALSE))))</f>
        <v/>
      </c>
      <c r="I222" s="520" t="str">
        <f>IF(B222="","",IF(ISNA(VLOOKUP($B222,'B-1 Site Hedge Baseline'!$B$1:$L$257,10,FALSE)),"",(VLOOKUP($B222,'B-1 Site Hedge Baseline'!$B$1:$L$257,10,FALSE))))</f>
        <v/>
      </c>
      <c r="J222" s="520" t="str">
        <f>IF(B222="","",IF(ISNA(VLOOKUP($B222,'B-1 Site Hedge Baseline'!$B$1:$L$257,11,FALSE)),"",(VLOOKUP($B222,'B-1 Site Hedge Baseline'!$B$1:$L$257,11,FALSE))))</f>
        <v/>
      </c>
      <c r="K222" s="520" t="str">
        <f>IF(B222="","",IF(ISNA(VLOOKUP($B222,'B-1 Site Hedge Baseline'!$B$1:$U$257,13,FALSE)),"",(VLOOKUP($B222,'B-1 Site Hedge Baseline'!$B$1:$U$257,13,FALSE))))</f>
        <v/>
      </c>
      <c r="L222" s="524" t="str">
        <f>IF(B222="","",IF(ISNA(VLOOKUP($B222,'B-1 Site Hedge Baseline'!$B$1:$U$257,12,FALSE)),"",(VLOOKUP($B222,'B-1 Site Hedge Baseline'!$B$1:$U$257,12,FALSE))))</f>
        <v/>
      </c>
      <c r="M222" s="416" t="str">
        <f t="shared" si="31"/>
        <v/>
      </c>
      <c r="N222" s="498" t="str">
        <f>IFERROR(IF(B222="","",INDEX('G-6 Hedgerow Data'!$AN$3:$AZ$15,MATCH(C222,'G-6 Hedgerow Data'!$AM$3:$AM$15,0),MATCH(M222,'G-6 Hedgerow Data'!$AN$2:$AZ$2,0))),"")</f>
        <v/>
      </c>
      <c r="O222" s="499" t="str">
        <f t="shared" si="26"/>
        <v/>
      </c>
      <c r="P222" s="559" t="str">
        <f>IF(B222="","",VLOOKUP(B222,'B-1 Site Hedge Baseline'!$B$10:T467,16,FALSE))</f>
        <v/>
      </c>
      <c r="Q222" s="498" t="str">
        <f>IF(M222="","",VLOOKUP(M222,'G-6 Hedgerow Data'!$B$2:$AG$15,2,FALSE))</f>
        <v/>
      </c>
      <c r="R222" s="499" t="str">
        <f>IF(M222="","",VLOOKUP(M222,'G-6 Hedgerow Data'!$B$2:$AG$15,3,FALSE))</f>
        <v/>
      </c>
      <c r="S222" s="157"/>
      <c r="T222" s="540" t="str">
        <f>IFERROR(VLOOKUP(S222,'G-1 All Habitats'!$Z$2:$AA$9,2,FALSE),"")</f>
        <v/>
      </c>
      <c r="U222" s="154"/>
      <c r="V222" s="520" t="str">
        <f>IF(U222="","",IF(VLOOKUP(U222,'G-3 Multipliers'!$L$3:$N$6,2,FALSE)=0,"Spatial Data Missing ⚠",VLOOKUP(U222,'G-3 Multipliers'!$L$3:$N$6,2,FALSE)))</f>
        <v/>
      </c>
      <c r="W222" s="524" t="str">
        <f>IF(U222="","",IF(VLOOKUP(U222,'G-3 Multipliers'!$L$3:$N$6,3,FALSE)=0,"Spatial Data Missing ⚠",VLOOKUP(U222,'G-3 Multipliers'!$L$3:$N$6,3,FALSE)))</f>
        <v/>
      </c>
      <c r="X222" s="498"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7" t="str">
        <f t="shared" si="27"/>
        <v/>
      </c>
      <c r="AB222" s="521" t="str">
        <f t="shared" si="28"/>
        <v/>
      </c>
      <c r="AC222" s="522" t="str">
        <f t="shared" si="24"/>
        <v/>
      </c>
      <c r="AD222" s="537" t="str">
        <f>IF(M222="","",VLOOKUP(M222,'G-6 Hedgerow Data'!$B$3:$AG$15,31,FALSE))</f>
        <v/>
      </c>
      <c r="AE222" s="507" t="str">
        <f t="shared" si="29"/>
        <v/>
      </c>
      <c r="AF222" s="507" t="str">
        <f t="shared" si="30"/>
        <v/>
      </c>
      <c r="AG222" s="524" t="str">
        <f>IFERROR(IF(O222="","",VLOOKUP(AD222,'G-3 Multipliers'!$P$3:$Q$6,2,FALSE)),"")</f>
        <v/>
      </c>
      <c r="AH222" s="513" t="str">
        <f t="shared" si="25"/>
        <v/>
      </c>
      <c r="AI222" s="231"/>
      <c r="AJ222" s="150"/>
      <c r="AT222" s="31" t="str">
        <f>IFERROR(INDEX('G-6 Hedgerow Data'!$BJ$3:$BJ$15,MATCH(M222,'G-6 Hedgerow Data'!$B$3:$B$15,0)),"")</f>
        <v/>
      </c>
    </row>
    <row r="223" spans="2:46" ht="13.8" x14ac:dyDescent="0.25">
      <c r="B223" s="531" t="str">
        <f>'B-1 Site Hedge Baseline'!AK221</f>
        <v/>
      </c>
      <c r="C223" s="520" t="str">
        <f>IF(B223="","",IF(ISNA(VLOOKUP($B223,'B-1 Site Hedge Baseline'!$B$1:$L$257,3,FALSE)),"",(VLOOKUP($B223,'B-1 Site Hedge Baseline'!$B$1:$L$257,3,FALSE))))</f>
        <v/>
      </c>
      <c r="D223" s="520" t="str">
        <f>IF(B223="","",IF(ISNA(VLOOKUP($B223,'B-1 Site Hedge Baseline'!$B$1:$L$257,4,FALSE)),"",(VLOOKUP($B223,'B-1 Site Hedge Baseline'!$B$1:$L$257,4,FALSE))))</f>
        <v/>
      </c>
      <c r="E223" s="520" t="str">
        <f>IF(B223="","",IF(ISNA(VLOOKUP($B223,'B-1 Site Hedge Baseline'!$B$1:$L$257,5,FALSE)),"",(VLOOKUP($B223,'B-1 Site Hedge Baseline'!$B$1:$L$257,5,FALSE))))</f>
        <v/>
      </c>
      <c r="F223" s="520" t="str">
        <f>IF(B223="","",IF(ISNA(VLOOKUP($B223,'B-1 Site Hedge Baseline'!$B$1:$L$257,6,FALSE)),"",(VLOOKUP($B223,'B-1 Site Hedge Baseline'!$B$1:$L$257,6,FALSE))))</f>
        <v/>
      </c>
      <c r="G223" s="520" t="str">
        <f>IF(B223="","",IF(ISNA(VLOOKUP($B223,'B-1 Site Hedge Baseline'!$B$1:$L$257,7,FALSE)),"",(VLOOKUP($B223,'B-1 Site Hedge Baseline'!$B$1:$L$257,7,FALSE))))</f>
        <v/>
      </c>
      <c r="H223" s="520" t="str">
        <f>IF(B223="","",IF(ISNA(VLOOKUP($B223,'B-1 Site Hedge Baseline'!$B$1:$L$257,8,FALSE)),"",(VLOOKUP($B223,'B-1 Site Hedge Baseline'!$B$1:$L$257,8,FALSE))))</f>
        <v/>
      </c>
      <c r="I223" s="520" t="str">
        <f>IF(B223="","",IF(ISNA(VLOOKUP($B223,'B-1 Site Hedge Baseline'!$B$1:$L$257,10,FALSE)),"",(VLOOKUP($B223,'B-1 Site Hedge Baseline'!$B$1:$L$257,10,FALSE))))</f>
        <v/>
      </c>
      <c r="J223" s="520" t="str">
        <f>IF(B223="","",IF(ISNA(VLOOKUP($B223,'B-1 Site Hedge Baseline'!$B$1:$L$257,11,FALSE)),"",(VLOOKUP($B223,'B-1 Site Hedge Baseline'!$B$1:$L$257,11,FALSE))))</f>
        <v/>
      </c>
      <c r="K223" s="520" t="str">
        <f>IF(B223="","",IF(ISNA(VLOOKUP($B223,'B-1 Site Hedge Baseline'!$B$1:$U$257,13,FALSE)),"",(VLOOKUP($B223,'B-1 Site Hedge Baseline'!$B$1:$U$257,13,FALSE))))</f>
        <v/>
      </c>
      <c r="L223" s="524" t="str">
        <f>IF(B223="","",IF(ISNA(VLOOKUP($B223,'B-1 Site Hedge Baseline'!$B$1:$U$257,12,FALSE)),"",(VLOOKUP($B223,'B-1 Site Hedge Baseline'!$B$1:$U$257,12,FALSE))))</f>
        <v/>
      </c>
      <c r="M223" s="416" t="str">
        <f t="shared" si="31"/>
        <v/>
      </c>
      <c r="N223" s="498" t="str">
        <f>IFERROR(IF(B223="","",INDEX('G-6 Hedgerow Data'!$AN$3:$AZ$15,MATCH(C223,'G-6 Hedgerow Data'!$AM$3:$AM$15,0),MATCH(M223,'G-6 Hedgerow Data'!$AN$2:$AZ$2,0))),"")</f>
        <v/>
      </c>
      <c r="O223" s="499" t="str">
        <f t="shared" si="26"/>
        <v/>
      </c>
      <c r="P223" s="559" t="str">
        <f>IF(B223="","",VLOOKUP(B223,'B-1 Site Hedge Baseline'!$B$10:T468,16,FALSE))</f>
        <v/>
      </c>
      <c r="Q223" s="498" t="str">
        <f>IF(M223="","",VLOOKUP(M223,'G-6 Hedgerow Data'!$B$2:$AG$15,2,FALSE))</f>
        <v/>
      </c>
      <c r="R223" s="499" t="str">
        <f>IF(M223="","",VLOOKUP(M223,'G-6 Hedgerow Data'!$B$2:$AG$15,3,FALSE))</f>
        <v/>
      </c>
      <c r="S223" s="157"/>
      <c r="T223" s="540" t="str">
        <f>IFERROR(VLOOKUP(S223,'G-1 All Habitats'!$Z$2:$AA$9,2,FALSE),"")</f>
        <v/>
      </c>
      <c r="U223" s="154"/>
      <c r="V223" s="520" t="str">
        <f>IF(U223="","",IF(VLOOKUP(U223,'G-3 Multipliers'!$L$3:$N$6,2,FALSE)=0,"Spatial Data Missing ⚠",VLOOKUP(U223,'G-3 Multipliers'!$L$3:$N$6,2,FALSE)))</f>
        <v/>
      </c>
      <c r="W223" s="524" t="str">
        <f>IF(U223="","",IF(VLOOKUP(U223,'G-3 Multipliers'!$L$3:$N$6,3,FALSE)=0,"Spatial Data Missing ⚠",VLOOKUP(U223,'G-3 Multipliers'!$L$3:$N$6,3,FALSE)))</f>
        <v/>
      </c>
      <c r="X223" s="498"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7" t="str">
        <f t="shared" si="27"/>
        <v/>
      </c>
      <c r="AB223" s="521" t="str">
        <f t="shared" si="28"/>
        <v/>
      </c>
      <c r="AC223" s="522" t="str">
        <f t="shared" si="24"/>
        <v/>
      </c>
      <c r="AD223" s="537" t="str">
        <f>IF(M223="","",VLOOKUP(M223,'G-6 Hedgerow Data'!$B$3:$AG$15,31,FALSE))</f>
        <v/>
      </c>
      <c r="AE223" s="507" t="str">
        <f t="shared" si="29"/>
        <v/>
      </c>
      <c r="AF223" s="507" t="str">
        <f t="shared" si="30"/>
        <v/>
      </c>
      <c r="AG223" s="524" t="str">
        <f>IFERROR(IF(O223="","",VLOOKUP(AD223,'G-3 Multipliers'!$P$3:$Q$6,2,FALSE)),"")</f>
        <v/>
      </c>
      <c r="AH223" s="513" t="str">
        <f t="shared" si="25"/>
        <v/>
      </c>
      <c r="AI223" s="231"/>
      <c r="AJ223" s="150"/>
      <c r="AT223" s="31" t="str">
        <f>IFERROR(INDEX('G-6 Hedgerow Data'!$BJ$3:$BJ$15,MATCH(M223,'G-6 Hedgerow Data'!$B$3:$B$15,0)),"")</f>
        <v/>
      </c>
    </row>
    <row r="224" spans="2:46" ht="13.8" x14ac:dyDescent="0.25">
      <c r="B224" s="531" t="str">
        <f>'B-1 Site Hedge Baseline'!AK222</f>
        <v/>
      </c>
      <c r="C224" s="520" t="str">
        <f>IF(B224="","",IF(ISNA(VLOOKUP($B224,'B-1 Site Hedge Baseline'!$B$1:$L$257,3,FALSE)),"",(VLOOKUP($B224,'B-1 Site Hedge Baseline'!$B$1:$L$257,3,FALSE))))</f>
        <v/>
      </c>
      <c r="D224" s="520" t="str">
        <f>IF(B224="","",IF(ISNA(VLOOKUP($B224,'B-1 Site Hedge Baseline'!$B$1:$L$257,4,FALSE)),"",(VLOOKUP($B224,'B-1 Site Hedge Baseline'!$B$1:$L$257,4,FALSE))))</f>
        <v/>
      </c>
      <c r="E224" s="520" t="str">
        <f>IF(B224="","",IF(ISNA(VLOOKUP($B224,'B-1 Site Hedge Baseline'!$B$1:$L$257,5,FALSE)),"",(VLOOKUP($B224,'B-1 Site Hedge Baseline'!$B$1:$L$257,5,FALSE))))</f>
        <v/>
      </c>
      <c r="F224" s="520" t="str">
        <f>IF(B224="","",IF(ISNA(VLOOKUP($B224,'B-1 Site Hedge Baseline'!$B$1:$L$257,6,FALSE)),"",(VLOOKUP($B224,'B-1 Site Hedge Baseline'!$B$1:$L$257,6,FALSE))))</f>
        <v/>
      </c>
      <c r="G224" s="520" t="str">
        <f>IF(B224="","",IF(ISNA(VLOOKUP($B224,'B-1 Site Hedge Baseline'!$B$1:$L$257,7,FALSE)),"",(VLOOKUP($B224,'B-1 Site Hedge Baseline'!$B$1:$L$257,7,FALSE))))</f>
        <v/>
      </c>
      <c r="H224" s="520" t="str">
        <f>IF(B224="","",IF(ISNA(VLOOKUP($B224,'B-1 Site Hedge Baseline'!$B$1:$L$257,8,FALSE)),"",(VLOOKUP($B224,'B-1 Site Hedge Baseline'!$B$1:$L$257,8,FALSE))))</f>
        <v/>
      </c>
      <c r="I224" s="520" t="str">
        <f>IF(B224="","",IF(ISNA(VLOOKUP($B224,'B-1 Site Hedge Baseline'!$B$1:$L$257,10,FALSE)),"",(VLOOKUP($B224,'B-1 Site Hedge Baseline'!$B$1:$L$257,10,FALSE))))</f>
        <v/>
      </c>
      <c r="J224" s="520" t="str">
        <f>IF(B224="","",IF(ISNA(VLOOKUP($B224,'B-1 Site Hedge Baseline'!$B$1:$L$257,11,FALSE)),"",(VLOOKUP($B224,'B-1 Site Hedge Baseline'!$B$1:$L$257,11,FALSE))))</f>
        <v/>
      </c>
      <c r="K224" s="520" t="str">
        <f>IF(B224="","",IF(ISNA(VLOOKUP($B224,'B-1 Site Hedge Baseline'!$B$1:$U$257,13,FALSE)),"",(VLOOKUP($B224,'B-1 Site Hedge Baseline'!$B$1:$U$257,13,FALSE))))</f>
        <v/>
      </c>
      <c r="L224" s="524" t="str">
        <f>IF(B224="","",IF(ISNA(VLOOKUP($B224,'B-1 Site Hedge Baseline'!$B$1:$U$257,12,FALSE)),"",(VLOOKUP($B224,'B-1 Site Hedge Baseline'!$B$1:$U$257,12,FALSE))))</f>
        <v/>
      </c>
      <c r="M224" s="416" t="str">
        <f t="shared" si="31"/>
        <v/>
      </c>
      <c r="N224" s="498" t="str">
        <f>IFERROR(IF(B224="","",INDEX('G-6 Hedgerow Data'!$AN$3:$AZ$15,MATCH(C224,'G-6 Hedgerow Data'!$AM$3:$AM$15,0),MATCH(M224,'G-6 Hedgerow Data'!$AN$2:$AZ$2,0))),"")</f>
        <v/>
      </c>
      <c r="O224" s="499" t="str">
        <f t="shared" si="26"/>
        <v/>
      </c>
      <c r="P224" s="559" t="str">
        <f>IF(B224="","",VLOOKUP(B224,'B-1 Site Hedge Baseline'!$B$10:T469,16,FALSE))</f>
        <v/>
      </c>
      <c r="Q224" s="498" t="str">
        <f>IF(M224="","",VLOOKUP(M224,'G-6 Hedgerow Data'!$B$2:$AG$15,2,FALSE))</f>
        <v/>
      </c>
      <c r="R224" s="499" t="str">
        <f>IF(M224="","",VLOOKUP(M224,'G-6 Hedgerow Data'!$B$2:$AG$15,3,FALSE))</f>
        <v/>
      </c>
      <c r="S224" s="157"/>
      <c r="T224" s="540" t="str">
        <f>IFERROR(VLOOKUP(S224,'G-1 All Habitats'!$Z$2:$AA$9,2,FALSE),"")</f>
        <v/>
      </c>
      <c r="U224" s="154"/>
      <c r="V224" s="520" t="str">
        <f>IF(U224="","",IF(VLOOKUP(U224,'G-3 Multipliers'!$L$3:$N$6,2,FALSE)=0,"Spatial Data Missing ⚠",VLOOKUP(U224,'G-3 Multipliers'!$L$3:$N$6,2,FALSE)))</f>
        <v/>
      </c>
      <c r="W224" s="524" t="str">
        <f>IF(U224="","",IF(VLOOKUP(U224,'G-3 Multipliers'!$L$3:$N$6,3,FALSE)=0,"Spatial Data Missing ⚠",VLOOKUP(U224,'G-3 Multipliers'!$L$3:$N$6,3,FALSE)))</f>
        <v/>
      </c>
      <c r="X224" s="498"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7" t="str">
        <f t="shared" si="27"/>
        <v/>
      </c>
      <c r="AB224" s="521" t="str">
        <f t="shared" si="28"/>
        <v/>
      </c>
      <c r="AC224" s="522" t="str">
        <f t="shared" si="24"/>
        <v/>
      </c>
      <c r="AD224" s="537" t="str">
        <f>IF(M224="","",VLOOKUP(M224,'G-6 Hedgerow Data'!$B$3:$AG$15,31,FALSE))</f>
        <v/>
      </c>
      <c r="AE224" s="507" t="str">
        <f t="shared" si="29"/>
        <v/>
      </c>
      <c r="AF224" s="507" t="str">
        <f t="shared" si="30"/>
        <v/>
      </c>
      <c r="AG224" s="524" t="str">
        <f>IFERROR(IF(O224="","",VLOOKUP(AD224,'G-3 Multipliers'!$P$3:$Q$6,2,FALSE)),"")</f>
        <v/>
      </c>
      <c r="AH224" s="513" t="str">
        <f t="shared" si="25"/>
        <v/>
      </c>
      <c r="AI224" s="231"/>
      <c r="AJ224" s="150"/>
      <c r="AT224" s="31" t="str">
        <f>IFERROR(INDEX('G-6 Hedgerow Data'!$BJ$3:$BJ$15,MATCH(M224,'G-6 Hedgerow Data'!$B$3:$B$15,0)),"")</f>
        <v/>
      </c>
    </row>
    <row r="225" spans="2:46" ht="13.8" x14ac:dyDescent="0.25">
      <c r="B225" s="531" t="str">
        <f>'B-1 Site Hedge Baseline'!AK223</f>
        <v/>
      </c>
      <c r="C225" s="520" t="str">
        <f>IF(B225="","",IF(ISNA(VLOOKUP($B225,'B-1 Site Hedge Baseline'!$B$1:$L$257,3,FALSE)),"",(VLOOKUP($B225,'B-1 Site Hedge Baseline'!$B$1:$L$257,3,FALSE))))</f>
        <v/>
      </c>
      <c r="D225" s="520" t="str">
        <f>IF(B225="","",IF(ISNA(VLOOKUP($B225,'B-1 Site Hedge Baseline'!$B$1:$L$257,4,FALSE)),"",(VLOOKUP($B225,'B-1 Site Hedge Baseline'!$B$1:$L$257,4,FALSE))))</f>
        <v/>
      </c>
      <c r="E225" s="520" t="str">
        <f>IF(B225="","",IF(ISNA(VLOOKUP($B225,'B-1 Site Hedge Baseline'!$B$1:$L$257,5,FALSE)),"",(VLOOKUP($B225,'B-1 Site Hedge Baseline'!$B$1:$L$257,5,FALSE))))</f>
        <v/>
      </c>
      <c r="F225" s="520" t="str">
        <f>IF(B225="","",IF(ISNA(VLOOKUP($B225,'B-1 Site Hedge Baseline'!$B$1:$L$257,6,FALSE)),"",(VLOOKUP($B225,'B-1 Site Hedge Baseline'!$B$1:$L$257,6,FALSE))))</f>
        <v/>
      </c>
      <c r="G225" s="520" t="str">
        <f>IF(B225="","",IF(ISNA(VLOOKUP($B225,'B-1 Site Hedge Baseline'!$B$1:$L$257,7,FALSE)),"",(VLOOKUP($B225,'B-1 Site Hedge Baseline'!$B$1:$L$257,7,FALSE))))</f>
        <v/>
      </c>
      <c r="H225" s="520" t="str">
        <f>IF(B225="","",IF(ISNA(VLOOKUP($B225,'B-1 Site Hedge Baseline'!$B$1:$L$257,8,FALSE)),"",(VLOOKUP($B225,'B-1 Site Hedge Baseline'!$B$1:$L$257,8,FALSE))))</f>
        <v/>
      </c>
      <c r="I225" s="520" t="str">
        <f>IF(B225="","",IF(ISNA(VLOOKUP($B225,'B-1 Site Hedge Baseline'!$B$1:$L$257,10,FALSE)),"",(VLOOKUP($B225,'B-1 Site Hedge Baseline'!$B$1:$L$257,10,FALSE))))</f>
        <v/>
      </c>
      <c r="J225" s="520" t="str">
        <f>IF(B225="","",IF(ISNA(VLOOKUP($B225,'B-1 Site Hedge Baseline'!$B$1:$L$257,11,FALSE)),"",(VLOOKUP($B225,'B-1 Site Hedge Baseline'!$B$1:$L$257,11,FALSE))))</f>
        <v/>
      </c>
      <c r="K225" s="520" t="str">
        <f>IF(B225="","",IF(ISNA(VLOOKUP($B225,'B-1 Site Hedge Baseline'!$B$1:$U$257,13,FALSE)),"",(VLOOKUP($B225,'B-1 Site Hedge Baseline'!$B$1:$U$257,13,FALSE))))</f>
        <v/>
      </c>
      <c r="L225" s="524" t="str">
        <f>IF(B225="","",IF(ISNA(VLOOKUP($B225,'B-1 Site Hedge Baseline'!$B$1:$U$257,12,FALSE)),"",(VLOOKUP($B225,'B-1 Site Hedge Baseline'!$B$1:$U$257,12,FALSE))))</f>
        <v/>
      </c>
      <c r="M225" s="416" t="str">
        <f t="shared" si="31"/>
        <v/>
      </c>
      <c r="N225" s="498" t="str">
        <f>IFERROR(IF(B225="","",INDEX('G-6 Hedgerow Data'!$AN$3:$AZ$15,MATCH(C225,'G-6 Hedgerow Data'!$AM$3:$AM$15,0),MATCH(M225,'G-6 Hedgerow Data'!$AN$2:$AZ$2,0))),"")</f>
        <v/>
      </c>
      <c r="O225" s="499" t="str">
        <f t="shared" si="26"/>
        <v/>
      </c>
      <c r="P225" s="559" t="str">
        <f>IF(B225="","",VLOOKUP(B225,'B-1 Site Hedge Baseline'!$B$10:T470,16,FALSE))</f>
        <v/>
      </c>
      <c r="Q225" s="498" t="str">
        <f>IF(M225="","",VLOOKUP(M225,'G-6 Hedgerow Data'!$B$2:$AG$15,2,FALSE))</f>
        <v/>
      </c>
      <c r="R225" s="499" t="str">
        <f>IF(M225="","",VLOOKUP(M225,'G-6 Hedgerow Data'!$B$2:$AG$15,3,FALSE))</f>
        <v/>
      </c>
      <c r="S225" s="157"/>
      <c r="T225" s="540" t="str">
        <f>IFERROR(VLOOKUP(S225,'G-1 All Habitats'!$Z$2:$AA$9,2,FALSE),"")</f>
        <v/>
      </c>
      <c r="U225" s="154"/>
      <c r="V225" s="520" t="str">
        <f>IF(U225="","",IF(VLOOKUP(U225,'G-3 Multipliers'!$L$3:$N$6,2,FALSE)=0,"Spatial Data Missing ⚠",VLOOKUP(U225,'G-3 Multipliers'!$L$3:$N$6,2,FALSE)))</f>
        <v/>
      </c>
      <c r="W225" s="524" t="str">
        <f>IF(U225="","",IF(VLOOKUP(U225,'G-3 Multipliers'!$L$3:$N$6,3,FALSE)=0,"Spatial Data Missing ⚠",VLOOKUP(U225,'G-3 Multipliers'!$L$3:$N$6,3,FALSE)))</f>
        <v/>
      </c>
      <c r="X225" s="498"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7" t="str">
        <f t="shared" si="27"/>
        <v/>
      </c>
      <c r="AB225" s="521" t="str">
        <f t="shared" si="28"/>
        <v/>
      </c>
      <c r="AC225" s="522" t="str">
        <f t="shared" si="24"/>
        <v/>
      </c>
      <c r="AD225" s="537" t="str">
        <f>IF(M225="","",VLOOKUP(M225,'G-6 Hedgerow Data'!$B$3:$AG$15,31,FALSE))</f>
        <v/>
      </c>
      <c r="AE225" s="507" t="str">
        <f t="shared" si="29"/>
        <v/>
      </c>
      <c r="AF225" s="507" t="str">
        <f t="shared" si="30"/>
        <v/>
      </c>
      <c r="AG225" s="524" t="str">
        <f>IFERROR(IF(O225="","",VLOOKUP(AD225,'G-3 Multipliers'!$P$3:$Q$6,2,FALSE)),"")</f>
        <v/>
      </c>
      <c r="AH225" s="513" t="str">
        <f t="shared" si="25"/>
        <v/>
      </c>
      <c r="AI225" s="231"/>
      <c r="AJ225" s="150"/>
      <c r="AT225" s="31" t="str">
        <f>IFERROR(INDEX('G-6 Hedgerow Data'!$BJ$3:$BJ$15,MATCH(M225,'G-6 Hedgerow Data'!$B$3:$B$15,0)),"")</f>
        <v/>
      </c>
    </row>
    <row r="226" spans="2:46" ht="13.8" x14ac:dyDescent="0.25">
      <c r="B226" s="531" t="str">
        <f>'B-1 Site Hedge Baseline'!AK224</f>
        <v/>
      </c>
      <c r="C226" s="520" t="str">
        <f>IF(B226="","",IF(ISNA(VLOOKUP($B226,'B-1 Site Hedge Baseline'!$B$1:$L$257,3,FALSE)),"",(VLOOKUP($B226,'B-1 Site Hedge Baseline'!$B$1:$L$257,3,FALSE))))</f>
        <v/>
      </c>
      <c r="D226" s="520" t="str">
        <f>IF(B226="","",IF(ISNA(VLOOKUP($B226,'B-1 Site Hedge Baseline'!$B$1:$L$257,4,FALSE)),"",(VLOOKUP($B226,'B-1 Site Hedge Baseline'!$B$1:$L$257,4,FALSE))))</f>
        <v/>
      </c>
      <c r="E226" s="520" t="str">
        <f>IF(B226="","",IF(ISNA(VLOOKUP($B226,'B-1 Site Hedge Baseline'!$B$1:$L$257,5,FALSE)),"",(VLOOKUP($B226,'B-1 Site Hedge Baseline'!$B$1:$L$257,5,FALSE))))</f>
        <v/>
      </c>
      <c r="F226" s="520" t="str">
        <f>IF(B226="","",IF(ISNA(VLOOKUP($B226,'B-1 Site Hedge Baseline'!$B$1:$L$257,6,FALSE)),"",(VLOOKUP($B226,'B-1 Site Hedge Baseline'!$B$1:$L$257,6,FALSE))))</f>
        <v/>
      </c>
      <c r="G226" s="520" t="str">
        <f>IF(B226="","",IF(ISNA(VLOOKUP($B226,'B-1 Site Hedge Baseline'!$B$1:$L$257,7,FALSE)),"",(VLOOKUP($B226,'B-1 Site Hedge Baseline'!$B$1:$L$257,7,FALSE))))</f>
        <v/>
      </c>
      <c r="H226" s="520" t="str">
        <f>IF(B226="","",IF(ISNA(VLOOKUP($B226,'B-1 Site Hedge Baseline'!$B$1:$L$257,8,FALSE)),"",(VLOOKUP($B226,'B-1 Site Hedge Baseline'!$B$1:$L$257,8,FALSE))))</f>
        <v/>
      </c>
      <c r="I226" s="520" t="str">
        <f>IF(B226="","",IF(ISNA(VLOOKUP($B226,'B-1 Site Hedge Baseline'!$B$1:$L$257,10,FALSE)),"",(VLOOKUP($B226,'B-1 Site Hedge Baseline'!$B$1:$L$257,10,FALSE))))</f>
        <v/>
      </c>
      <c r="J226" s="520" t="str">
        <f>IF(B226="","",IF(ISNA(VLOOKUP($B226,'B-1 Site Hedge Baseline'!$B$1:$L$257,11,FALSE)),"",(VLOOKUP($B226,'B-1 Site Hedge Baseline'!$B$1:$L$257,11,FALSE))))</f>
        <v/>
      </c>
      <c r="K226" s="520" t="str">
        <f>IF(B226="","",IF(ISNA(VLOOKUP($B226,'B-1 Site Hedge Baseline'!$B$1:$U$257,13,FALSE)),"",(VLOOKUP($B226,'B-1 Site Hedge Baseline'!$B$1:$U$257,13,FALSE))))</f>
        <v/>
      </c>
      <c r="L226" s="524" t="str">
        <f>IF(B226="","",IF(ISNA(VLOOKUP($B226,'B-1 Site Hedge Baseline'!$B$1:$U$257,12,FALSE)),"",(VLOOKUP($B226,'B-1 Site Hedge Baseline'!$B$1:$U$257,12,FALSE))))</f>
        <v/>
      </c>
      <c r="M226" s="416" t="str">
        <f t="shared" si="31"/>
        <v/>
      </c>
      <c r="N226" s="498" t="str">
        <f>IFERROR(IF(B226="","",INDEX('G-6 Hedgerow Data'!$AN$3:$AZ$15,MATCH(C226,'G-6 Hedgerow Data'!$AM$3:$AM$15,0),MATCH(M226,'G-6 Hedgerow Data'!$AN$2:$AZ$2,0))),"")</f>
        <v/>
      </c>
      <c r="O226" s="499" t="str">
        <f t="shared" si="26"/>
        <v/>
      </c>
      <c r="P226" s="559" t="str">
        <f>IF(B226="","",VLOOKUP(B226,'B-1 Site Hedge Baseline'!$B$10:T471,16,FALSE))</f>
        <v/>
      </c>
      <c r="Q226" s="498" t="str">
        <f>IF(M226="","",VLOOKUP(M226,'G-6 Hedgerow Data'!$B$2:$AG$15,2,FALSE))</f>
        <v/>
      </c>
      <c r="R226" s="499" t="str">
        <f>IF(M226="","",VLOOKUP(M226,'G-6 Hedgerow Data'!$B$2:$AG$15,3,FALSE))</f>
        <v/>
      </c>
      <c r="S226" s="157"/>
      <c r="T226" s="540" t="str">
        <f>IFERROR(VLOOKUP(S226,'G-1 All Habitats'!$Z$2:$AA$9,2,FALSE),"")</f>
        <v/>
      </c>
      <c r="U226" s="154"/>
      <c r="V226" s="520" t="str">
        <f>IF(U226="","",IF(VLOOKUP(U226,'G-3 Multipliers'!$L$3:$N$6,2,FALSE)=0,"Spatial Data Missing ⚠",VLOOKUP(U226,'G-3 Multipliers'!$L$3:$N$6,2,FALSE)))</f>
        <v/>
      </c>
      <c r="W226" s="524" t="str">
        <f>IF(U226="","",IF(VLOOKUP(U226,'G-3 Multipliers'!$L$3:$N$6,3,FALSE)=0,"Spatial Data Missing ⚠",VLOOKUP(U226,'G-3 Multipliers'!$L$3:$N$6,3,FALSE)))</f>
        <v/>
      </c>
      <c r="X226" s="498"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7" t="str">
        <f t="shared" si="27"/>
        <v/>
      </c>
      <c r="AB226" s="521" t="str">
        <f t="shared" si="28"/>
        <v/>
      </c>
      <c r="AC226" s="522" t="str">
        <f t="shared" si="24"/>
        <v/>
      </c>
      <c r="AD226" s="537" t="str">
        <f>IF(M226="","",VLOOKUP(M226,'G-6 Hedgerow Data'!$B$3:$AG$15,31,FALSE))</f>
        <v/>
      </c>
      <c r="AE226" s="507" t="str">
        <f t="shared" si="29"/>
        <v/>
      </c>
      <c r="AF226" s="507" t="str">
        <f t="shared" si="30"/>
        <v/>
      </c>
      <c r="AG226" s="524" t="str">
        <f>IFERROR(IF(O226="","",VLOOKUP(AD226,'G-3 Multipliers'!$P$3:$Q$6,2,FALSE)),"")</f>
        <v/>
      </c>
      <c r="AH226" s="513" t="str">
        <f t="shared" si="25"/>
        <v/>
      </c>
      <c r="AI226" s="231"/>
      <c r="AJ226" s="150"/>
      <c r="AT226" s="31" t="str">
        <f>IFERROR(INDEX('G-6 Hedgerow Data'!$BJ$3:$BJ$15,MATCH(M226,'G-6 Hedgerow Data'!$B$3:$B$15,0)),"")</f>
        <v/>
      </c>
    </row>
    <row r="227" spans="2:46" ht="13.8" x14ac:dyDescent="0.25">
      <c r="B227" s="531" t="str">
        <f>'B-1 Site Hedge Baseline'!AK225</f>
        <v/>
      </c>
      <c r="C227" s="520" t="str">
        <f>IF(B227="","",IF(ISNA(VLOOKUP($B227,'B-1 Site Hedge Baseline'!$B$1:$L$257,3,FALSE)),"",(VLOOKUP($B227,'B-1 Site Hedge Baseline'!$B$1:$L$257,3,FALSE))))</f>
        <v/>
      </c>
      <c r="D227" s="520" t="str">
        <f>IF(B227="","",IF(ISNA(VLOOKUP($B227,'B-1 Site Hedge Baseline'!$B$1:$L$257,4,FALSE)),"",(VLOOKUP($B227,'B-1 Site Hedge Baseline'!$B$1:$L$257,4,FALSE))))</f>
        <v/>
      </c>
      <c r="E227" s="520" t="str">
        <f>IF(B227="","",IF(ISNA(VLOOKUP($B227,'B-1 Site Hedge Baseline'!$B$1:$L$257,5,FALSE)),"",(VLOOKUP($B227,'B-1 Site Hedge Baseline'!$B$1:$L$257,5,FALSE))))</f>
        <v/>
      </c>
      <c r="F227" s="520" t="str">
        <f>IF(B227="","",IF(ISNA(VLOOKUP($B227,'B-1 Site Hedge Baseline'!$B$1:$L$257,6,FALSE)),"",(VLOOKUP($B227,'B-1 Site Hedge Baseline'!$B$1:$L$257,6,FALSE))))</f>
        <v/>
      </c>
      <c r="G227" s="520" t="str">
        <f>IF(B227="","",IF(ISNA(VLOOKUP($B227,'B-1 Site Hedge Baseline'!$B$1:$L$257,7,FALSE)),"",(VLOOKUP($B227,'B-1 Site Hedge Baseline'!$B$1:$L$257,7,FALSE))))</f>
        <v/>
      </c>
      <c r="H227" s="520" t="str">
        <f>IF(B227="","",IF(ISNA(VLOOKUP($B227,'B-1 Site Hedge Baseline'!$B$1:$L$257,8,FALSE)),"",(VLOOKUP($B227,'B-1 Site Hedge Baseline'!$B$1:$L$257,8,FALSE))))</f>
        <v/>
      </c>
      <c r="I227" s="520" t="str">
        <f>IF(B227="","",IF(ISNA(VLOOKUP($B227,'B-1 Site Hedge Baseline'!$B$1:$L$257,10,FALSE)),"",(VLOOKUP($B227,'B-1 Site Hedge Baseline'!$B$1:$L$257,10,FALSE))))</f>
        <v/>
      </c>
      <c r="J227" s="520" t="str">
        <f>IF(B227="","",IF(ISNA(VLOOKUP($B227,'B-1 Site Hedge Baseline'!$B$1:$L$257,11,FALSE)),"",(VLOOKUP($B227,'B-1 Site Hedge Baseline'!$B$1:$L$257,11,FALSE))))</f>
        <v/>
      </c>
      <c r="K227" s="520" t="str">
        <f>IF(B227="","",IF(ISNA(VLOOKUP($B227,'B-1 Site Hedge Baseline'!$B$1:$U$257,13,FALSE)),"",(VLOOKUP($B227,'B-1 Site Hedge Baseline'!$B$1:$U$257,13,FALSE))))</f>
        <v/>
      </c>
      <c r="L227" s="524" t="str">
        <f>IF(B227="","",IF(ISNA(VLOOKUP($B227,'B-1 Site Hedge Baseline'!$B$1:$U$257,12,FALSE)),"",(VLOOKUP($B227,'B-1 Site Hedge Baseline'!$B$1:$U$257,12,FALSE))))</f>
        <v/>
      </c>
      <c r="M227" s="416" t="str">
        <f t="shared" si="31"/>
        <v/>
      </c>
      <c r="N227" s="498" t="str">
        <f>IFERROR(IF(B227="","",INDEX('G-6 Hedgerow Data'!$AN$3:$AZ$15,MATCH(C227,'G-6 Hedgerow Data'!$AM$3:$AM$15,0),MATCH(M227,'G-6 Hedgerow Data'!$AN$2:$AZ$2,0))),"")</f>
        <v/>
      </c>
      <c r="O227" s="499" t="str">
        <f t="shared" si="26"/>
        <v/>
      </c>
      <c r="P227" s="559" t="str">
        <f>IF(B227="","",VLOOKUP(B227,'B-1 Site Hedge Baseline'!$B$10:T472,16,FALSE))</f>
        <v/>
      </c>
      <c r="Q227" s="498" t="str">
        <f>IF(M227="","",VLOOKUP(M227,'G-6 Hedgerow Data'!$B$2:$AG$15,2,FALSE))</f>
        <v/>
      </c>
      <c r="R227" s="499" t="str">
        <f>IF(M227="","",VLOOKUP(M227,'G-6 Hedgerow Data'!$B$2:$AG$15,3,FALSE))</f>
        <v/>
      </c>
      <c r="S227" s="157"/>
      <c r="T227" s="540" t="str">
        <f>IFERROR(VLOOKUP(S227,'G-1 All Habitats'!$Z$2:$AA$9,2,FALSE),"")</f>
        <v/>
      </c>
      <c r="U227" s="154"/>
      <c r="V227" s="520" t="str">
        <f>IF(U227="","",IF(VLOOKUP(U227,'G-3 Multipliers'!$L$3:$N$6,2,FALSE)=0,"Spatial Data Missing ⚠",VLOOKUP(U227,'G-3 Multipliers'!$L$3:$N$6,2,FALSE)))</f>
        <v/>
      </c>
      <c r="W227" s="524" t="str">
        <f>IF(U227="","",IF(VLOOKUP(U227,'G-3 Multipliers'!$L$3:$N$6,3,FALSE)=0,"Spatial Data Missing ⚠",VLOOKUP(U227,'G-3 Multipliers'!$L$3:$N$6,3,FALSE)))</f>
        <v/>
      </c>
      <c r="X227" s="498"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7" t="str">
        <f t="shared" si="27"/>
        <v/>
      </c>
      <c r="AB227" s="521" t="str">
        <f t="shared" si="28"/>
        <v/>
      </c>
      <c r="AC227" s="522" t="str">
        <f t="shared" si="24"/>
        <v/>
      </c>
      <c r="AD227" s="537" t="str">
        <f>IF(M227="","",VLOOKUP(M227,'G-6 Hedgerow Data'!$B$3:$AG$15,31,FALSE))</f>
        <v/>
      </c>
      <c r="AE227" s="507" t="str">
        <f t="shared" si="29"/>
        <v/>
      </c>
      <c r="AF227" s="507" t="str">
        <f t="shared" si="30"/>
        <v/>
      </c>
      <c r="AG227" s="524" t="str">
        <f>IFERROR(IF(O227="","",VLOOKUP(AD227,'G-3 Multipliers'!$P$3:$Q$6,2,FALSE)),"")</f>
        <v/>
      </c>
      <c r="AH227" s="513" t="str">
        <f t="shared" si="25"/>
        <v/>
      </c>
      <c r="AI227" s="231"/>
      <c r="AJ227" s="150"/>
      <c r="AT227" s="31" t="str">
        <f>IFERROR(INDEX('G-6 Hedgerow Data'!$BJ$3:$BJ$15,MATCH(M227,'G-6 Hedgerow Data'!$B$3:$B$15,0)),"")</f>
        <v/>
      </c>
    </row>
    <row r="228" spans="2:46" ht="13.8" x14ac:dyDescent="0.25">
      <c r="B228" s="531" t="str">
        <f>'B-1 Site Hedge Baseline'!AK226</f>
        <v/>
      </c>
      <c r="C228" s="520" t="str">
        <f>IF(B228="","",IF(ISNA(VLOOKUP($B228,'B-1 Site Hedge Baseline'!$B$1:$L$257,3,FALSE)),"",(VLOOKUP($B228,'B-1 Site Hedge Baseline'!$B$1:$L$257,3,FALSE))))</f>
        <v/>
      </c>
      <c r="D228" s="520" t="str">
        <f>IF(B228="","",IF(ISNA(VLOOKUP($B228,'B-1 Site Hedge Baseline'!$B$1:$L$257,4,FALSE)),"",(VLOOKUP($B228,'B-1 Site Hedge Baseline'!$B$1:$L$257,4,FALSE))))</f>
        <v/>
      </c>
      <c r="E228" s="520" t="str">
        <f>IF(B228="","",IF(ISNA(VLOOKUP($B228,'B-1 Site Hedge Baseline'!$B$1:$L$257,5,FALSE)),"",(VLOOKUP($B228,'B-1 Site Hedge Baseline'!$B$1:$L$257,5,FALSE))))</f>
        <v/>
      </c>
      <c r="F228" s="520" t="str">
        <f>IF(B228="","",IF(ISNA(VLOOKUP($B228,'B-1 Site Hedge Baseline'!$B$1:$L$257,6,FALSE)),"",(VLOOKUP($B228,'B-1 Site Hedge Baseline'!$B$1:$L$257,6,FALSE))))</f>
        <v/>
      </c>
      <c r="G228" s="520" t="str">
        <f>IF(B228="","",IF(ISNA(VLOOKUP($B228,'B-1 Site Hedge Baseline'!$B$1:$L$257,7,FALSE)),"",(VLOOKUP($B228,'B-1 Site Hedge Baseline'!$B$1:$L$257,7,FALSE))))</f>
        <v/>
      </c>
      <c r="H228" s="520" t="str">
        <f>IF(B228="","",IF(ISNA(VLOOKUP($B228,'B-1 Site Hedge Baseline'!$B$1:$L$257,8,FALSE)),"",(VLOOKUP($B228,'B-1 Site Hedge Baseline'!$B$1:$L$257,8,FALSE))))</f>
        <v/>
      </c>
      <c r="I228" s="520" t="str">
        <f>IF(B228="","",IF(ISNA(VLOOKUP($B228,'B-1 Site Hedge Baseline'!$B$1:$L$257,10,FALSE)),"",(VLOOKUP($B228,'B-1 Site Hedge Baseline'!$B$1:$L$257,10,FALSE))))</f>
        <v/>
      </c>
      <c r="J228" s="520" t="str">
        <f>IF(B228="","",IF(ISNA(VLOOKUP($B228,'B-1 Site Hedge Baseline'!$B$1:$L$257,11,FALSE)),"",(VLOOKUP($B228,'B-1 Site Hedge Baseline'!$B$1:$L$257,11,FALSE))))</f>
        <v/>
      </c>
      <c r="K228" s="520" t="str">
        <f>IF(B228="","",IF(ISNA(VLOOKUP($B228,'B-1 Site Hedge Baseline'!$B$1:$U$257,13,FALSE)),"",(VLOOKUP($B228,'B-1 Site Hedge Baseline'!$B$1:$U$257,13,FALSE))))</f>
        <v/>
      </c>
      <c r="L228" s="524" t="str">
        <f>IF(B228="","",IF(ISNA(VLOOKUP($B228,'B-1 Site Hedge Baseline'!$B$1:$U$257,12,FALSE)),"",(VLOOKUP($B228,'B-1 Site Hedge Baseline'!$B$1:$U$257,12,FALSE))))</f>
        <v/>
      </c>
      <c r="M228" s="416" t="str">
        <f t="shared" si="31"/>
        <v/>
      </c>
      <c r="N228" s="498" t="str">
        <f>IFERROR(IF(B228="","",INDEX('G-6 Hedgerow Data'!$AN$3:$AZ$15,MATCH(C228,'G-6 Hedgerow Data'!$AM$3:$AM$15,0),MATCH(M228,'G-6 Hedgerow Data'!$AN$2:$AZ$2,0))),"")</f>
        <v/>
      </c>
      <c r="O228" s="499" t="str">
        <f t="shared" si="26"/>
        <v/>
      </c>
      <c r="P228" s="559" t="str">
        <f>IF(B228="","",VLOOKUP(B228,'B-1 Site Hedge Baseline'!$B$10:T473,16,FALSE))</f>
        <v/>
      </c>
      <c r="Q228" s="498" t="str">
        <f>IF(M228="","",VLOOKUP(M228,'G-6 Hedgerow Data'!$B$2:$AG$15,2,FALSE))</f>
        <v/>
      </c>
      <c r="R228" s="499" t="str">
        <f>IF(M228="","",VLOOKUP(M228,'G-6 Hedgerow Data'!$B$2:$AG$15,3,FALSE))</f>
        <v/>
      </c>
      <c r="S228" s="157"/>
      <c r="T228" s="540" t="str">
        <f>IFERROR(VLOOKUP(S228,'G-1 All Habitats'!$Z$2:$AA$9,2,FALSE),"")</f>
        <v/>
      </c>
      <c r="U228" s="154"/>
      <c r="V228" s="520" t="str">
        <f>IF(U228="","",IF(VLOOKUP(U228,'G-3 Multipliers'!$L$3:$N$6,2,FALSE)=0,"Spatial Data Missing ⚠",VLOOKUP(U228,'G-3 Multipliers'!$L$3:$N$6,2,FALSE)))</f>
        <v/>
      </c>
      <c r="W228" s="524" t="str">
        <f>IF(U228="","",IF(VLOOKUP(U228,'G-3 Multipliers'!$L$3:$N$6,3,FALSE)=0,"Spatial Data Missing ⚠",VLOOKUP(U228,'G-3 Multipliers'!$L$3:$N$6,3,FALSE)))</f>
        <v/>
      </c>
      <c r="X228" s="498"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7" t="str">
        <f t="shared" si="27"/>
        <v/>
      </c>
      <c r="AB228" s="521" t="str">
        <f t="shared" si="28"/>
        <v/>
      </c>
      <c r="AC228" s="522" t="str">
        <f t="shared" si="24"/>
        <v/>
      </c>
      <c r="AD228" s="537" t="str">
        <f>IF(M228="","",VLOOKUP(M228,'G-6 Hedgerow Data'!$B$3:$AG$15,31,FALSE))</f>
        <v/>
      </c>
      <c r="AE228" s="507" t="str">
        <f t="shared" si="29"/>
        <v/>
      </c>
      <c r="AF228" s="507" t="str">
        <f t="shared" si="30"/>
        <v/>
      </c>
      <c r="AG228" s="524" t="str">
        <f>IFERROR(IF(O228="","",VLOOKUP(AD228,'G-3 Multipliers'!$P$3:$Q$6,2,FALSE)),"")</f>
        <v/>
      </c>
      <c r="AH228" s="513" t="str">
        <f t="shared" si="25"/>
        <v/>
      </c>
      <c r="AI228" s="231"/>
      <c r="AJ228" s="150"/>
      <c r="AT228" s="31" t="str">
        <f>IFERROR(INDEX('G-6 Hedgerow Data'!$BJ$3:$BJ$15,MATCH(M228,'G-6 Hedgerow Data'!$B$3:$B$15,0)),"")</f>
        <v/>
      </c>
    </row>
    <row r="229" spans="2:46" ht="13.8" x14ac:dyDescent="0.25">
      <c r="B229" s="531" t="str">
        <f>'B-1 Site Hedge Baseline'!AK227</f>
        <v/>
      </c>
      <c r="C229" s="520" t="str">
        <f>IF(B229="","",IF(ISNA(VLOOKUP($B229,'B-1 Site Hedge Baseline'!$B$1:$L$257,3,FALSE)),"",(VLOOKUP($B229,'B-1 Site Hedge Baseline'!$B$1:$L$257,3,FALSE))))</f>
        <v/>
      </c>
      <c r="D229" s="520" t="str">
        <f>IF(B229="","",IF(ISNA(VLOOKUP($B229,'B-1 Site Hedge Baseline'!$B$1:$L$257,4,FALSE)),"",(VLOOKUP($B229,'B-1 Site Hedge Baseline'!$B$1:$L$257,4,FALSE))))</f>
        <v/>
      </c>
      <c r="E229" s="520" t="str">
        <f>IF(B229="","",IF(ISNA(VLOOKUP($B229,'B-1 Site Hedge Baseline'!$B$1:$L$257,5,FALSE)),"",(VLOOKUP($B229,'B-1 Site Hedge Baseline'!$B$1:$L$257,5,FALSE))))</f>
        <v/>
      </c>
      <c r="F229" s="520" t="str">
        <f>IF(B229="","",IF(ISNA(VLOOKUP($B229,'B-1 Site Hedge Baseline'!$B$1:$L$257,6,FALSE)),"",(VLOOKUP($B229,'B-1 Site Hedge Baseline'!$B$1:$L$257,6,FALSE))))</f>
        <v/>
      </c>
      <c r="G229" s="520" t="str">
        <f>IF(B229="","",IF(ISNA(VLOOKUP($B229,'B-1 Site Hedge Baseline'!$B$1:$L$257,7,FALSE)),"",(VLOOKUP($B229,'B-1 Site Hedge Baseline'!$B$1:$L$257,7,FALSE))))</f>
        <v/>
      </c>
      <c r="H229" s="520" t="str">
        <f>IF(B229="","",IF(ISNA(VLOOKUP($B229,'B-1 Site Hedge Baseline'!$B$1:$L$257,8,FALSE)),"",(VLOOKUP($B229,'B-1 Site Hedge Baseline'!$B$1:$L$257,8,FALSE))))</f>
        <v/>
      </c>
      <c r="I229" s="520" t="str">
        <f>IF(B229="","",IF(ISNA(VLOOKUP($B229,'B-1 Site Hedge Baseline'!$B$1:$L$257,10,FALSE)),"",(VLOOKUP($B229,'B-1 Site Hedge Baseline'!$B$1:$L$257,10,FALSE))))</f>
        <v/>
      </c>
      <c r="J229" s="520" t="str">
        <f>IF(B229="","",IF(ISNA(VLOOKUP($B229,'B-1 Site Hedge Baseline'!$B$1:$L$257,11,FALSE)),"",(VLOOKUP($B229,'B-1 Site Hedge Baseline'!$B$1:$L$257,11,FALSE))))</f>
        <v/>
      </c>
      <c r="K229" s="520" t="str">
        <f>IF(B229="","",IF(ISNA(VLOOKUP($B229,'B-1 Site Hedge Baseline'!$B$1:$U$257,13,FALSE)),"",(VLOOKUP($B229,'B-1 Site Hedge Baseline'!$B$1:$U$257,13,FALSE))))</f>
        <v/>
      </c>
      <c r="L229" s="524" t="str">
        <f>IF(B229="","",IF(ISNA(VLOOKUP($B229,'B-1 Site Hedge Baseline'!$B$1:$U$257,12,FALSE)),"",(VLOOKUP($B229,'B-1 Site Hedge Baseline'!$B$1:$U$257,12,FALSE))))</f>
        <v/>
      </c>
      <c r="M229" s="416" t="str">
        <f t="shared" si="31"/>
        <v/>
      </c>
      <c r="N229" s="498" t="str">
        <f>IFERROR(IF(B229="","",INDEX('G-6 Hedgerow Data'!$AN$3:$AZ$15,MATCH(C229,'G-6 Hedgerow Data'!$AM$3:$AM$15,0),MATCH(M229,'G-6 Hedgerow Data'!$AN$2:$AZ$2,0))),"")</f>
        <v/>
      </c>
      <c r="O229" s="499" t="str">
        <f t="shared" si="26"/>
        <v/>
      </c>
      <c r="P229" s="559" t="str">
        <f>IF(B229="","",VLOOKUP(B229,'B-1 Site Hedge Baseline'!$B$10:T474,16,FALSE))</f>
        <v/>
      </c>
      <c r="Q229" s="498" t="str">
        <f>IF(M229="","",VLOOKUP(M229,'G-6 Hedgerow Data'!$B$2:$AG$15,2,FALSE))</f>
        <v/>
      </c>
      <c r="R229" s="499" t="str">
        <f>IF(M229="","",VLOOKUP(M229,'G-6 Hedgerow Data'!$B$2:$AG$15,3,FALSE))</f>
        <v/>
      </c>
      <c r="S229" s="157"/>
      <c r="T229" s="540" t="str">
        <f>IFERROR(VLOOKUP(S229,'G-1 All Habitats'!$Z$2:$AA$9,2,FALSE),"")</f>
        <v/>
      </c>
      <c r="U229" s="154"/>
      <c r="V229" s="520" t="str">
        <f>IF(U229="","",IF(VLOOKUP(U229,'G-3 Multipliers'!$L$3:$N$6,2,FALSE)=0,"Spatial Data Missing ⚠",VLOOKUP(U229,'G-3 Multipliers'!$L$3:$N$6,2,FALSE)))</f>
        <v/>
      </c>
      <c r="W229" s="524" t="str">
        <f>IF(U229="","",IF(VLOOKUP(U229,'G-3 Multipliers'!$L$3:$N$6,3,FALSE)=0,"Spatial Data Missing ⚠",VLOOKUP(U229,'G-3 Multipliers'!$L$3:$N$6,3,FALSE)))</f>
        <v/>
      </c>
      <c r="X229" s="498"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7" t="str">
        <f t="shared" si="27"/>
        <v/>
      </c>
      <c r="AB229" s="521" t="str">
        <f t="shared" si="28"/>
        <v/>
      </c>
      <c r="AC229" s="522" t="str">
        <f t="shared" si="24"/>
        <v/>
      </c>
      <c r="AD229" s="537" t="str">
        <f>IF(M229="","",VLOOKUP(M229,'G-6 Hedgerow Data'!$B$3:$AG$15,31,FALSE))</f>
        <v/>
      </c>
      <c r="AE229" s="507" t="str">
        <f t="shared" si="29"/>
        <v/>
      </c>
      <c r="AF229" s="507" t="str">
        <f t="shared" si="30"/>
        <v/>
      </c>
      <c r="AG229" s="524" t="str">
        <f>IFERROR(IF(O229="","",VLOOKUP(AD229,'G-3 Multipliers'!$P$3:$Q$6,2,FALSE)),"")</f>
        <v/>
      </c>
      <c r="AH229" s="513" t="str">
        <f t="shared" si="25"/>
        <v/>
      </c>
      <c r="AI229" s="231"/>
      <c r="AJ229" s="150"/>
      <c r="AT229" s="31" t="str">
        <f>IFERROR(INDEX('G-6 Hedgerow Data'!$BJ$3:$BJ$15,MATCH(M229,'G-6 Hedgerow Data'!$B$3:$B$15,0)),"")</f>
        <v/>
      </c>
    </row>
    <row r="230" spans="2:46" ht="13.8" x14ac:dyDescent="0.25">
      <c r="B230" s="531" t="str">
        <f>'B-1 Site Hedge Baseline'!AK228</f>
        <v/>
      </c>
      <c r="C230" s="520" t="str">
        <f>IF(B230="","",IF(ISNA(VLOOKUP($B230,'B-1 Site Hedge Baseline'!$B$1:$L$257,3,FALSE)),"",(VLOOKUP($B230,'B-1 Site Hedge Baseline'!$B$1:$L$257,3,FALSE))))</f>
        <v/>
      </c>
      <c r="D230" s="520" t="str">
        <f>IF(B230="","",IF(ISNA(VLOOKUP($B230,'B-1 Site Hedge Baseline'!$B$1:$L$257,4,FALSE)),"",(VLOOKUP($B230,'B-1 Site Hedge Baseline'!$B$1:$L$257,4,FALSE))))</f>
        <v/>
      </c>
      <c r="E230" s="520" t="str">
        <f>IF(B230="","",IF(ISNA(VLOOKUP($B230,'B-1 Site Hedge Baseline'!$B$1:$L$257,5,FALSE)),"",(VLOOKUP($B230,'B-1 Site Hedge Baseline'!$B$1:$L$257,5,FALSE))))</f>
        <v/>
      </c>
      <c r="F230" s="520" t="str">
        <f>IF(B230="","",IF(ISNA(VLOOKUP($B230,'B-1 Site Hedge Baseline'!$B$1:$L$257,6,FALSE)),"",(VLOOKUP($B230,'B-1 Site Hedge Baseline'!$B$1:$L$257,6,FALSE))))</f>
        <v/>
      </c>
      <c r="G230" s="520" t="str">
        <f>IF(B230="","",IF(ISNA(VLOOKUP($B230,'B-1 Site Hedge Baseline'!$B$1:$L$257,7,FALSE)),"",(VLOOKUP($B230,'B-1 Site Hedge Baseline'!$B$1:$L$257,7,FALSE))))</f>
        <v/>
      </c>
      <c r="H230" s="520" t="str">
        <f>IF(B230="","",IF(ISNA(VLOOKUP($B230,'B-1 Site Hedge Baseline'!$B$1:$L$257,8,FALSE)),"",(VLOOKUP($B230,'B-1 Site Hedge Baseline'!$B$1:$L$257,8,FALSE))))</f>
        <v/>
      </c>
      <c r="I230" s="520" t="str">
        <f>IF(B230="","",IF(ISNA(VLOOKUP($B230,'B-1 Site Hedge Baseline'!$B$1:$L$257,10,FALSE)),"",(VLOOKUP($B230,'B-1 Site Hedge Baseline'!$B$1:$L$257,10,FALSE))))</f>
        <v/>
      </c>
      <c r="J230" s="520" t="str">
        <f>IF(B230="","",IF(ISNA(VLOOKUP($B230,'B-1 Site Hedge Baseline'!$B$1:$L$257,11,FALSE)),"",(VLOOKUP($B230,'B-1 Site Hedge Baseline'!$B$1:$L$257,11,FALSE))))</f>
        <v/>
      </c>
      <c r="K230" s="520" t="str">
        <f>IF(B230="","",IF(ISNA(VLOOKUP($B230,'B-1 Site Hedge Baseline'!$B$1:$U$257,13,FALSE)),"",(VLOOKUP($B230,'B-1 Site Hedge Baseline'!$B$1:$U$257,13,FALSE))))</f>
        <v/>
      </c>
      <c r="L230" s="524" t="str">
        <f>IF(B230="","",IF(ISNA(VLOOKUP($B230,'B-1 Site Hedge Baseline'!$B$1:$U$257,12,FALSE)),"",(VLOOKUP($B230,'B-1 Site Hedge Baseline'!$B$1:$U$257,12,FALSE))))</f>
        <v/>
      </c>
      <c r="M230" s="416" t="str">
        <f t="shared" si="31"/>
        <v/>
      </c>
      <c r="N230" s="498" t="str">
        <f>IFERROR(IF(B230="","",INDEX('G-6 Hedgerow Data'!$AN$3:$AZ$15,MATCH(C230,'G-6 Hedgerow Data'!$AM$3:$AM$15,0),MATCH(M230,'G-6 Hedgerow Data'!$AN$2:$AZ$2,0))),"")</f>
        <v/>
      </c>
      <c r="O230" s="499" t="str">
        <f t="shared" si="26"/>
        <v/>
      </c>
      <c r="P230" s="559" t="str">
        <f>IF(B230="","",VLOOKUP(B230,'B-1 Site Hedge Baseline'!$B$10:T475,16,FALSE))</f>
        <v/>
      </c>
      <c r="Q230" s="498" t="str">
        <f>IF(M230="","",VLOOKUP(M230,'G-6 Hedgerow Data'!$B$2:$AG$15,2,FALSE))</f>
        <v/>
      </c>
      <c r="R230" s="499" t="str">
        <f>IF(M230="","",VLOOKUP(M230,'G-6 Hedgerow Data'!$B$2:$AG$15,3,FALSE))</f>
        <v/>
      </c>
      <c r="S230" s="157"/>
      <c r="T230" s="540" t="str">
        <f>IFERROR(VLOOKUP(S230,'G-1 All Habitats'!$Z$2:$AA$9,2,FALSE),"")</f>
        <v/>
      </c>
      <c r="U230" s="154"/>
      <c r="V230" s="520" t="str">
        <f>IF(U230="","",IF(VLOOKUP(U230,'G-3 Multipliers'!$L$3:$N$6,2,FALSE)=0,"Spatial Data Missing ⚠",VLOOKUP(U230,'G-3 Multipliers'!$L$3:$N$6,2,FALSE)))</f>
        <v/>
      </c>
      <c r="W230" s="524" t="str">
        <f>IF(U230="","",IF(VLOOKUP(U230,'G-3 Multipliers'!$L$3:$N$6,3,FALSE)=0,"Spatial Data Missing ⚠",VLOOKUP(U230,'G-3 Multipliers'!$L$3:$N$6,3,FALSE)))</f>
        <v/>
      </c>
      <c r="X230" s="498"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7" t="str">
        <f t="shared" si="27"/>
        <v/>
      </c>
      <c r="AB230" s="521" t="str">
        <f t="shared" si="28"/>
        <v/>
      </c>
      <c r="AC230" s="522" t="str">
        <f t="shared" si="24"/>
        <v/>
      </c>
      <c r="AD230" s="537" t="str">
        <f>IF(M230="","",VLOOKUP(M230,'G-6 Hedgerow Data'!$B$3:$AG$15,31,FALSE))</f>
        <v/>
      </c>
      <c r="AE230" s="507" t="str">
        <f t="shared" si="29"/>
        <v/>
      </c>
      <c r="AF230" s="507" t="str">
        <f t="shared" si="30"/>
        <v/>
      </c>
      <c r="AG230" s="524" t="str">
        <f>IFERROR(IF(O230="","",VLOOKUP(AD230,'G-3 Multipliers'!$P$3:$Q$6,2,FALSE)),"")</f>
        <v/>
      </c>
      <c r="AH230" s="513" t="str">
        <f t="shared" si="25"/>
        <v/>
      </c>
      <c r="AI230" s="231"/>
      <c r="AJ230" s="150"/>
      <c r="AT230" s="31" t="str">
        <f>IFERROR(INDEX('G-6 Hedgerow Data'!$BJ$3:$BJ$15,MATCH(M230,'G-6 Hedgerow Data'!$B$3:$B$15,0)),"")</f>
        <v/>
      </c>
    </row>
    <row r="231" spans="2:46" ht="13.8" x14ac:dyDescent="0.25">
      <c r="B231" s="531" t="str">
        <f>'B-1 Site Hedge Baseline'!AK229</f>
        <v/>
      </c>
      <c r="C231" s="520" t="str">
        <f>IF(B231="","",IF(ISNA(VLOOKUP($B231,'B-1 Site Hedge Baseline'!$B$1:$L$257,3,FALSE)),"",(VLOOKUP($B231,'B-1 Site Hedge Baseline'!$B$1:$L$257,3,FALSE))))</f>
        <v/>
      </c>
      <c r="D231" s="520" t="str">
        <f>IF(B231="","",IF(ISNA(VLOOKUP($B231,'B-1 Site Hedge Baseline'!$B$1:$L$257,4,FALSE)),"",(VLOOKUP($B231,'B-1 Site Hedge Baseline'!$B$1:$L$257,4,FALSE))))</f>
        <v/>
      </c>
      <c r="E231" s="520" t="str">
        <f>IF(B231="","",IF(ISNA(VLOOKUP($B231,'B-1 Site Hedge Baseline'!$B$1:$L$257,5,FALSE)),"",(VLOOKUP($B231,'B-1 Site Hedge Baseline'!$B$1:$L$257,5,FALSE))))</f>
        <v/>
      </c>
      <c r="F231" s="520" t="str">
        <f>IF(B231="","",IF(ISNA(VLOOKUP($B231,'B-1 Site Hedge Baseline'!$B$1:$L$257,6,FALSE)),"",(VLOOKUP($B231,'B-1 Site Hedge Baseline'!$B$1:$L$257,6,FALSE))))</f>
        <v/>
      </c>
      <c r="G231" s="520" t="str">
        <f>IF(B231="","",IF(ISNA(VLOOKUP($B231,'B-1 Site Hedge Baseline'!$B$1:$L$257,7,FALSE)),"",(VLOOKUP($B231,'B-1 Site Hedge Baseline'!$B$1:$L$257,7,FALSE))))</f>
        <v/>
      </c>
      <c r="H231" s="520" t="str">
        <f>IF(B231="","",IF(ISNA(VLOOKUP($B231,'B-1 Site Hedge Baseline'!$B$1:$L$257,8,FALSE)),"",(VLOOKUP($B231,'B-1 Site Hedge Baseline'!$B$1:$L$257,8,FALSE))))</f>
        <v/>
      </c>
      <c r="I231" s="520" t="str">
        <f>IF(B231="","",IF(ISNA(VLOOKUP($B231,'B-1 Site Hedge Baseline'!$B$1:$L$257,10,FALSE)),"",(VLOOKUP($B231,'B-1 Site Hedge Baseline'!$B$1:$L$257,10,FALSE))))</f>
        <v/>
      </c>
      <c r="J231" s="520" t="str">
        <f>IF(B231="","",IF(ISNA(VLOOKUP($B231,'B-1 Site Hedge Baseline'!$B$1:$L$257,11,FALSE)),"",(VLOOKUP($B231,'B-1 Site Hedge Baseline'!$B$1:$L$257,11,FALSE))))</f>
        <v/>
      </c>
      <c r="K231" s="520" t="str">
        <f>IF(B231="","",IF(ISNA(VLOOKUP($B231,'B-1 Site Hedge Baseline'!$B$1:$U$257,13,FALSE)),"",(VLOOKUP($B231,'B-1 Site Hedge Baseline'!$B$1:$U$257,13,FALSE))))</f>
        <v/>
      </c>
      <c r="L231" s="524" t="str">
        <f>IF(B231="","",IF(ISNA(VLOOKUP($B231,'B-1 Site Hedge Baseline'!$B$1:$U$257,12,FALSE)),"",(VLOOKUP($B231,'B-1 Site Hedge Baseline'!$B$1:$U$257,12,FALSE))))</f>
        <v/>
      </c>
      <c r="M231" s="416" t="str">
        <f t="shared" si="31"/>
        <v/>
      </c>
      <c r="N231" s="498" t="str">
        <f>IFERROR(IF(B231="","",INDEX('G-6 Hedgerow Data'!$AN$3:$AZ$15,MATCH(C231,'G-6 Hedgerow Data'!$AM$3:$AM$15,0),MATCH(M231,'G-6 Hedgerow Data'!$AN$2:$AZ$2,0))),"")</f>
        <v/>
      </c>
      <c r="O231" s="499" t="str">
        <f t="shared" si="26"/>
        <v/>
      </c>
      <c r="P231" s="559" t="str">
        <f>IF(B231="","",VLOOKUP(B231,'B-1 Site Hedge Baseline'!$B$10:T476,16,FALSE))</f>
        <v/>
      </c>
      <c r="Q231" s="498" t="str">
        <f>IF(M231="","",VLOOKUP(M231,'G-6 Hedgerow Data'!$B$2:$AG$15,2,FALSE))</f>
        <v/>
      </c>
      <c r="R231" s="499" t="str">
        <f>IF(M231="","",VLOOKUP(M231,'G-6 Hedgerow Data'!$B$2:$AG$15,3,FALSE))</f>
        <v/>
      </c>
      <c r="S231" s="157"/>
      <c r="T231" s="540" t="str">
        <f>IFERROR(VLOOKUP(S231,'G-1 All Habitats'!$Z$2:$AA$9,2,FALSE),"")</f>
        <v/>
      </c>
      <c r="U231" s="154"/>
      <c r="V231" s="520" t="str">
        <f>IF(U231="","",IF(VLOOKUP(U231,'G-3 Multipliers'!$L$3:$N$6,2,FALSE)=0,"Spatial Data Missing ⚠",VLOOKUP(U231,'G-3 Multipliers'!$L$3:$N$6,2,FALSE)))</f>
        <v/>
      </c>
      <c r="W231" s="524" t="str">
        <f>IF(U231="","",IF(VLOOKUP(U231,'G-3 Multipliers'!$L$3:$N$6,3,FALSE)=0,"Spatial Data Missing ⚠",VLOOKUP(U231,'G-3 Multipliers'!$L$3:$N$6,3,FALSE)))</f>
        <v/>
      </c>
      <c r="X231" s="498"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7" t="str">
        <f t="shared" si="27"/>
        <v/>
      </c>
      <c r="AB231" s="521" t="str">
        <f t="shared" si="28"/>
        <v/>
      </c>
      <c r="AC231" s="522" t="str">
        <f t="shared" si="24"/>
        <v/>
      </c>
      <c r="AD231" s="537" t="str">
        <f>IF(M231="","",VLOOKUP(M231,'G-6 Hedgerow Data'!$B$3:$AG$15,31,FALSE))</f>
        <v/>
      </c>
      <c r="AE231" s="507" t="str">
        <f t="shared" si="29"/>
        <v/>
      </c>
      <c r="AF231" s="507" t="str">
        <f t="shared" si="30"/>
        <v/>
      </c>
      <c r="AG231" s="524" t="str">
        <f>IFERROR(IF(O231="","",VLOOKUP(AD231,'G-3 Multipliers'!$P$3:$Q$6,2,FALSE)),"")</f>
        <v/>
      </c>
      <c r="AH231" s="513" t="str">
        <f t="shared" si="25"/>
        <v/>
      </c>
      <c r="AI231" s="231"/>
      <c r="AJ231" s="150"/>
      <c r="AT231" s="31" t="str">
        <f>IFERROR(INDEX('G-6 Hedgerow Data'!$BJ$3:$BJ$15,MATCH(M231,'G-6 Hedgerow Data'!$B$3:$B$15,0)),"")</f>
        <v/>
      </c>
    </row>
    <row r="232" spans="2:46" ht="13.8" x14ac:dyDescent="0.25">
      <c r="B232" s="531" t="str">
        <f>'B-1 Site Hedge Baseline'!AK230</f>
        <v/>
      </c>
      <c r="C232" s="520" t="str">
        <f>IF(B232="","",IF(ISNA(VLOOKUP($B232,'B-1 Site Hedge Baseline'!$B$1:$L$257,3,FALSE)),"",(VLOOKUP($B232,'B-1 Site Hedge Baseline'!$B$1:$L$257,3,FALSE))))</f>
        <v/>
      </c>
      <c r="D232" s="520" t="str">
        <f>IF(B232="","",IF(ISNA(VLOOKUP($B232,'B-1 Site Hedge Baseline'!$B$1:$L$257,4,FALSE)),"",(VLOOKUP($B232,'B-1 Site Hedge Baseline'!$B$1:$L$257,4,FALSE))))</f>
        <v/>
      </c>
      <c r="E232" s="520" t="str">
        <f>IF(B232="","",IF(ISNA(VLOOKUP($B232,'B-1 Site Hedge Baseline'!$B$1:$L$257,5,FALSE)),"",(VLOOKUP($B232,'B-1 Site Hedge Baseline'!$B$1:$L$257,5,FALSE))))</f>
        <v/>
      </c>
      <c r="F232" s="520" t="str">
        <f>IF(B232="","",IF(ISNA(VLOOKUP($B232,'B-1 Site Hedge Baseline'!$B$1:$L$257,6,FALSE)),"",(VLOOKUP($B232,'B-1 Site Hedge Baseline'!$B$1:$L$257,6,FALSE))))</f>
        <v/>
      </c>
      <c r="G232" s="520" t="str">
        <f>IF(B232="","",IF(ISNA(VLOOKUP($B232,'B-1 Site Hedge Baseline'!$B$1:$L$257,7,FALSE)),"",(VLOOKUP($B232,'B-1 Site Hedge Baseline'!$B$1:$L$257,7,FALSE))))</f>
        <v/>
      </c>
      <c r="H232" s="520" t="str">
        <f>IF(B232="","",IF(ISNA(VLOOKUP($B232,'B-1 Site Hedge Baseline'!$B$1:$L$257,8,FALSE)),"",(VLOOKUP($B232,'B-1 Site Hedge Baseline'!$B$1:$L$257,8,FALSE))))</f>
        <v/>
      </c>
      <c r="I232" s="520" t="str">
        <f>IF(B232="","",IF(ISNA(VLOOKUP($B232,'B-1 Site Hedge Baseline'!$B$1:$L$257,10,FALSE)),"",(VLOOKUP($B232,'B-1 Site Hedge Baseline'!$B$1:$L$257,10,FALSE))))</f>
        <v/>
      </c>
      <c r="J232" s="520" t="str">
        <f>IF(B232="","",IF(ISNA(VLOOKUP($B232,'B-1 Site Hedge Baseline'!$B$1:$L$257,11,FALSE)),"",(VLOOKUP($B232,'B-1 Site Hedge Baseline'!$B$1:$L$257,11,FALSE))))</f>
        <v/>
      </c>
      <c r="K232" s="520" t="str">
        <f>IF(B232="","",IF(ISNA(VLOOKUP($B232,'B-1 Site Hedge Baseline'!$B$1:$U$257,13,FALSE)),"",(VLOOKUP($B232,'B-1 Site Hedge Baseline'!$B$1:$U$257,13,FALSE))))</f>
        <v/>
      </c>
      <c r="L232" s="524" t="str">
        <f>IF(B232="","",IF(ISNA(VLOOKUP($B232,'B-1 Site Hedge Baseline'!$B$1:$U$257,12,FALSE)),"",(VLOOKUP($B232,'B-1 Site Hedge Baseline'!$B$1:$U$257,12,FALSE))))</f>
        <v/>
      </c>
      <c r="M232" s="416" t="str">
        <f t="shared" si="31"/>
        <v/>
      </c>
      <c r="N232" s="498" t="str">
        <f>IFERROR(IF(B232="","",INDEX('G-6 Hedgerow Data'!$AN$3:$AZ$15,MATCH(C232,'G-6 Hedgerow Data'!$AM$3:$AM$15,0),MATCH(M232,'G-6 Hedgerow Data'!$AN$2:$AZ$2,0))),"")</f>
        <v/>
      </c>
      <c r="O232" s="499" t="str">
        <f t="shared" si="26"/>
        <v/>
      </c>
      <c r="P232" s="559" t="str">
        <f>IF(B232="","",VLOOKUP(B232,'B-1 Site Hedge Baseline'!$B$10:T477,16,FALSE))</f>
        <v/>
      </c>
      <c r="Q232" s="498" t="str">
        <f>IF(M232="","",VLOOKUP(M232,'G-6 Hedgerow Data'!$B$2:$AG$15,2,FALSE))</f>
        <v/>
      </c>
      <c r="R232" s="499" t="str">
        <f>IF(M232="","",VLOOKUP(M232,'G-6 Hedgerow Data'!$B$2:$AG$15,3,FALSE))</f>
        <v/>
      </c>
      <c r="S232" s="157"/>
      <c r="T232" s="540" t="str">
        <f>IFERROR(VLOOKUP(S232,'G-1 All Habitats'!$Z$2:$AA$9,2,FALSE),"")</f>
        <v/>
      </c>
      <c r="U232" s="154"/>
      <c r="V232" s="520" t="str">
        <f>IF(U232="","",IF(VLOOKUP(U232,'G-3 Multipliers'!$L$3:$N$6,2,FALSE)=0,"Spatial Data Missing ⚠",VLOOKUP(U232,'G-3 Multipliers'!$L$3:$N$6,2,FALSE)))</f>
        <v/>
      </c>
      <c r="W232" s="524" t="str">
        <f>IF(U232="","",IF(VLOOKUP(U232,'G-3 Multipliers'!$L$3:$N$6,3,FALSE)=0,"Spatial Data Missing ⚠",VLOOKUP(U232,'G-3 Multipliers'!$L$3:$N$6,3,FALSE)))</f>
        <v/>
      </c>
      <c r="X232" s="498"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7" t="str">
        <f t="shared" si="27"/>
        <v/>
      </c>
      <c r="AB232" s="521" t="str">
        <f t="shared" si="28"/>
        <v/>
      </c>
      <c r="AC232" s="522" t="str">
        <f t="shared" si="24"/>
        <v/>
      </c>
      <c r="AD232" s="537" t="str">
        <f>IF(M232="","",VLOOKUP(M232,'G-6 Hedgerow Data'!$B$3:$AG$15,31,FALSE))</f>
        <v/>
      </c>
      <c r="AE232" s="507" t="str">
        <f t="shared" si="29"/>
        <v/>
      </c>
      <c r="AF232" s="507" t="str">
        <f t="shared" si="30"/>
        <v/>
      </c>
      <c r="AG232" s="524" t="str">
        <f>IFERROR(IF(O232="","",VLOOKUP(AD232,'G-3 Multipliers'!$P$3:$Q$6,2,FALSE)),"")</f>
        <v/>
      </c>
      <c r="AH232" s="513" t="str">
        <f t="shared" si="25"/>
        <v/>
      </c>
      <c r="AI232" s="231"/>
      <c r="AJ232" s="150"/>
      <c r="AT232" s="31" t="str">
        <f>IFERROR(INDEX('G-6 Hedgerow Data'!$BJ$3:$BJ$15,MATCH(M232,'G-6 Hedgerow Data'!$B$3:$B$15,0)),"")</f>
        <v/>
      </c>
    </row>
    <row r="233" spans="2:46" ht="13.8" x14ac:dyDescent="0.25">
      <c r="B233" s="531" t="str">
        <f>'B-1 Site Hedge Baseline'!AK231</f>
        <v/>
      </c>
      <c r="C233" s="520" t="str">
        <f>IF(B233="","",IF(ISNA(VLOOKUP($B233,'B-1 Site Hedge Baseline'!$B$1:$L$257,3,FALSE)),"",(VLOOKUP($B233,'B-1 Site Hedge Baseline'!$B$1:$L$257,3,FALSE))))</f>
        <v/>
      </c>
      <c r="D233" s="520" t="str">
        <f>IF(B233="","",IF(ISNA(VLOOKUP($B233,'B-1 Site Hedge Baseline'!$B$1:$L$257,4,FALSE)),"",(VLOOKUP($B233,'B-1 Site Hedge Baseline'!$B$1:$L$257,4,FALSE))))</f>
        <v/>
      </c>
      <c r="E233" s="520" t="str">
        <f>IF(B233="","",IF(ISNA(VLOOKUP($B233,'B-1 Site Hedge Baseline'!$B$1:$L$257,5,FALSE)),"",(VLOOKUP($B233,'B-1 Site Hedge Baseline'!$B$1:$L$257,5,FALSE))))</f>
        <v/>
      </c>
      <c r="F233" s="520" t="str">
        <f>IF(B233="","",IF(ISNA(VLOOKUP($B233,'B-1 Site Hedge Baseline'!$B$1:$L$257,6,FALSE)),"",(VLOOKUP($B233,'B-1 Site Hedge Baseline'!$B$1:$L$257,6,FALSE))))</f>
        <v/>
      </c>
      <c r="G233" s="520" t="str">
        <f>IF(B233="","",IF(ISNA(VLOOKUP($B233,'B-1 Site Hedge Baseline'!$B$1:$L$257,7,FALSE)),"",(VLOOKUP($B233,'B-1 Site Hedge Baseline'!$B$1:$L$257,7,FALSE))))</f>
        <v/>
      </c>
      <c r="H233" s="520" t="str">
        <f>IF(B233="","",IF(ISNA(VLOOKUP($B233,'B-1 Site Hedge Baseline'!$B$1:$L$257,8,FALSE)),"",(VLOOKUP($B233,'B-1 Site Hedge Baseline'!$B$1:$L$257,8,FALSE))))</f>
        <v/>
      </c>
      <c r="I233" s="520" t="str">
        <f>IF(B233="","",IF(ISNA(VLOOKUP($B233,'B-1 Site Hedge Baseline'!$B$1:$L$257,10,FALSE)),"",(VLOOKUP($B233,'B-1 Site Hedge Baseline'!$B$1:$L$257,10,FALSE))))</f>
        <v/>
      </c>
      <c r="J233" s="520" t="str">
        <f>IF(B233="","",IF(ISNA(VLOOKUP($B233,'B-1 Site Hedge Baseline'!$B$1:$L$257,11,FALSE)),"",(VLOOKUP($B233,'B-1 Site Hedge Baseline'!$B$1:$L$257,11,FALSE))))</f>
        <v/>
      </c>
      <c r="K233" s="520" t="str">
        <f>IF(B233="","",IF(ISNA(VLOOKUP($B233,'B-1 Site Hedge Baseline'!$B$1:$U$257,13,FALSE)),"",(VLOOKUP($B233,'B-1 Site Hedge Baseline'!$B$1:$U$257,13,FALSE))))</f>
        <v/>
      </c>
      <c r="L233" s="524" t="str">
        <f>IF(B233="","",IF(ISNA(VLOOKUP($B233,'B-1 Site Hedge Baseline'!$B$1:$U$257,12,FALSE)),"",(VLOOKUP($B233,'B-1 Site Hedge Baseline'!$B$1:$U$257,12,FALSE))))</f>
        <v/>
      </c>
      <c r="M233" s="416" t="str">
        <f t="shared" si="31"/>
        <v/>
      </c>
      <c r="N233" s="498" t="str">
        <f>IFERROR(IF(B233="","",INDEX('G-6 Hedgerow Data'!$AN$3:$AZ$15,MATCH(C233,'G-6 Hedgerow Data'!$AM$3:$AM$15,0),MATCH(M233,'G-6 Hedgerow Data'!$AN$2:$AZ$2,0))),"")</f>
        <v/>
      </c>
      <c r="O233" s="499" t="str">
        <f t="shared" si="26"/>
        <v/>
      </c>
      <c r="P233" s="559" t="str">
        <f>IF(B233="","",VLOOKUP(B233,'B-1 Site Hedge Baseline'!$B$10:T478,16,FALSE))</f>
        <v/>
      </c>
      <c r="Q233" s="498" t="str">
        <f>IF(M233="","",VLOOKUP(M233,'G-6 Hedgerow Data'!$B$2:$AG$15,2,FALSE))</f>
        <v/>
      </c>
      <c r="R233" s="499" t="str">
        <f>IF(M233="","",VLOOKUP(M233,'G-6 Hedgerow Data'!$B$2:$AG$15,3,FALSE))</f>
        <v/>
      </c>
      <c r="S233" s="157"/>
      <c r="T233" s="540" t="str">
        <f>IFERROR(VLOOKUP(S233,'G-1 All Habitats'!$Z$2:$AA$9,2,FALSE),"")</f>
        <v/>
      </c>
      <c r="U233" s="154"/>
      <c r="V233" s="520" t="str">
        <f>IF(U233="","",IF(VLOOKUP(U233,'G-3 Multipliers'!$L$3:$N$6,2,FALSE)=0,"Spatial Data Missing ⚠",VLOOKUP(U233,'G-3 Multipliers'!$L$3:$N$6,2,FALSE)))</f>
        <v/>
      </c>
      <c r="W233" s="524" t="str">
        <f>IF(U233="","",IF(VLOOKUP(U233,'G-3 Multipliers'!$L$3:$N$6,3,FALSE)=0,"Spatial Data Missing ⚠",VLOOKUP(U233,'G-3 Multipliers'!$L$3:$N$6,3,FALSE)))</f>
        <v/>
      </c>
      <c r="X233" s="498"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7" t="str">
        <f t="shared" si="27"/>
        <v/>
      </c>
      <c r="AB233" s="521" t="str">
        <f t="shared" si="28"/>
        <v/>
      </c>
      <c r="AC233" s="522" t="str">
        <f t="shared" si="24"/>
        <v/>
      </c>
      <c r="AD233" s="537" t="str">
        <f>IF(M233="","",VLOOKUP(M233,'G-6 Hedgerow Data'!$B$3:$AG$15,31,FALSE))</f>
        <v/>
      </c>
      <c r="AE233" s="507" t="str">
        <f t="shared" si="29"/>
        <v/>
      </c>
      <c r="AF233" s="507" t="str">
        <f t="shared" si="30"/>
        <v/>
      </c>
      <c r="AG233" s="524" t="str">
        <f>IFERROR(IF(O233="","",VLOOKUP(AD233,'G-3 Multipliers'!$P$3:$Q$6,2,FALSE)),"")</f>
        <v/>
      </c>
      <c r="AH233" s="513" t="str">
        <f t="shared" si="25"/>
        <v/>
      </c>
      <c r="AI233" s="231"/>
      <c r="AJ233" s="150"/>
      <c r="AT233" s="31" t="str">
        <f>IFERROR(INDEX('G-6 Hedgerow Data'!$BJ$3:$BJ$15,MATCH(M233,'G-6 Hedgerow Data'!$B$3:$B$15,0)),"")</f>
        <v/>
      </c>
    </row>
    <row r="234" spans="2:46" ht="13.8" x14ac:dyDescent="0.25">
      <c r="B234" s="531" t="str">
        <f>'B-1 Site Hedge Baseline'!AK232</f>
        <v/>
      </c>
      <c r="C234" s="520" t="str">
        <f>IF(B234="","",IF(ISNA(VLOOKUP($B234,'B-1 Site Hedge Baseline'!$B$1:$L$257,3,FALSE)),"",(VLOOKUP($B234,'B-1 Site Hedge Baseline'!$B$1:$L$257,3,FALSE))))</f>
        <v/>
      </c>
      <c r="D234" s="520" t="str">
        <f>IF(B234="","",IF(ISNA(VLOOKUP($B234,'B-1 Site Hedge Baseline'!$B$1:$L$257,4,FALSE)),"",(VLOOKUP($B234,'B-1 Site Hedge Baseline'!$B$1:$L$257,4,FALSE))))</f>
        <v/>
      </c>
      <c r="E234" s="520" t="str">
        <f>IF(B234="","",IF(ISNA(VLOOKUP($B234,'B-1 Site Hedge Baseline'!$B$1:$L$257,5,FALSE)),"",(VLOOKUP($B234,'B-1 Site Hedge Baseline'!$B$1:$L$257,5,FALSE))))</f>
        <v/>
      </c>
      <c r="F234" s="520" t="str">
        <f>IF(B234="","",IF(ISNA(VLOOKUP($B234,'B-1 Site Hedge Baseline'!$B$1:$L$257,6,FALSE)),"",(VLOOKUP($B234,'B-1 Site Hedge Baseline'!$B$1:$L$257,6,FALSE))))</f>
        <v/>
      </c>
      <c r="G234" s="520" t="str">
        <f>IF(B234="","",IF(ISNA(VLOOKUP($B234,'B-1 Site Hedge Baseline'!$B$1:$L$257,7,FALSE)),"",(VLOOKUP($B234,'B-1 Site Hedge Baseline'!$B$1:$L$257,7,FALSE))))</f>
        <v/>
      </c>
      <c r="H234" s="520" t="str">
        <f>IF(B234="","",IF(ISNA(VLOOKUP($B234,'B-1 Site Hedge Baseline'!$B$1:$L$257,8,FALSE)),"",(VLOOKUP($B234,'B-1 Site Hedge Baseline'!$B$1:$L$257,8,FALSE))))</f>
        <v/>
      </c>
      <c r="I234" s="520" t="str">
        <f>IF(B234="","",IF(ISNA(VLOOKUP($B234,'B-1 Site Hedge Baseline'!$B$1:$L$257,10,FALSE)),"",(VLOOKUP($B234,'B-1 Site Hedge Baseline'!$B$1:$L$257,10,FALSE))))</f>
        <v/>
      </c>
      <c r="J234" s="520" t="str">
        <f>IF(B234="","",IF(ISNA(VLOOKUP($B234,'B-1 Site Hedge Baseline'!$B$1:$L$257,11,FALSE)),"",(VLOOKUP($B234,'B-1 Site Hedge Baseline'!$B$1:$L$257,11,FALSE))))</f>
        <v/>
      </c>
      <c r="K234" s="520" t="str">
        <f>IF(B234="","",IF(ISNA(VLOOKUP($B234,'B-1 Site Hedge Baseline'!$B$1:$U$257,13,FALSE)),"",(VLOOKUP($B234,'B-1 Site Hedge Baseline'!$B$1:$U$257,13,FALSE))))</f>
        <v/>
      </c>
      <c r="L234" s="524" t="str">
        <f>IF(B234="","",IF(ISNA(VLOOKUP($B234,'B-1 Site Hedge Baseline'!$B$1:$U$257,12,FALSE)),"",(VLOOKUP($B234,'B-1 Site Hedge Baseline'!$B$1:$U$257,12,FALSE))))</f>
        <v/>
      </c>
      <c r="M234" s="416" t="str">
        <f t="shared" si="31"/>
        <v/>
      </c>
      <c r="N234" s="498" t="str">
        <f>IFERROR(IF(B234="","",INDEX('G-6 Hedgerow Data'!$AN$3:$AZ$15,MATCH(C234,'G-6 Hedgerow Data'!$AM$3:$AM$15,0),MATCH(M234,'G-6 Hedgerow Data'!$AN$2:$AZ$2,0))),"")</f>
        <v/>
      </c>
      <c r="O234" s="499" t="str">
        <f t="shared" si="26"/>
        <v/>
      </c>
      <c r="P234" s="559" t="str">
        <f>IF(B234="","",VLOOKUP(B234,'B-1 Site Hedge Baseline'!$B$10:T479,16,FALSE))</f>
        <v/>
      </c>
      <c r="Q234" s="498" t="str">
        <f>IF(M234="","",VLOOKUP(M234,'G-6 Hedgerow Data'!$B$2:$AG$15,2,FALSE))</f>
        <v/>
      </c>
      <c r="R234" s="499" t="str">
        <f>IF(M234="","",VLOOKUP(M234,'G-6 Hedgerow Data'!$B$2:$AG$15,3,FALSE))</f>
        <v/>
      </c>
      <c r="S234" s="157"/>
      <c r="T234" s="540" t="str">
        <f>IFERROR(VLOOKUP(S234,'G-1 All Habitats'!$Z$2:$AA$9,2,FALSE),"")</f>
        <v/>
      </c>
      <c r="U234" s="154"/>
      <c r="V234" s="520" t="str">
        <f>IF(U234="","",IF(VLOOKUP(U234,'G-3 Multipliers'!$L$3:$N$6,2,FALSE)=0,"Spatial Data Missing ⚠",VLOOKUP(U234,'G-3 Multipliers'!$L$3:$N$6,2,FALSE)))</f>
        <v/>
      </c>
      <c r="W234" s="524" t="str">
        <f>IF(U234="","",IF(VLOOKUP(U234,'G-3 Multipliers'!$L$3:$N$6,3,FALSE)=0,"Spatial Data Missing ⚠",VLOOKUP(U234,'G-3 Multipliers'!$L$3:$N$6,3,FALSE)))</f>
        <v/>
      </c>
      <c r="X234" s="498"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7" t="str">
        <f t="shared" si="27"/>
        <v/>
      </c>
      <c r="AB234" s="521" t="str">
        <f t="shared" si="28"/>
        <v/>
      </c>
      <c r="AC234" s="522" t="str">
        <f t="shared" si="24"/>
        <v/>
      </c>
      <c r="AD234" s="537" t="str">
        <f>IF(M234="","",VLOOKUP(M234,'G-6 Hedgerow Data'!$B$3:$AG$15,31,FALSE))</f>
        <v/>
      </c>
      <c r="AE234" s="507" t="str">
        <f t="shared" si="29"/>
        <v/>
      </c>
      <c r="AF234" s="507" t="str">
        <f t="shared" si="30"/>
        <v/>
      </c>
      <c r="AG234" s="524" t="str">
        <f>IFERROR(IF(O234="","",VLOOKUP(AD234,'G-3 Multipliers'!$P$3:$Q$6,2,FALSE)),"")</f>
        <v/>
      </c>
      <c r="AH234" s="513" t="str">
        <f t="shared" si="25"/>
        <v/>
      </c>
      <c r="AI234" s="231"/>
      <c r="AJ234" s="150"/>
      <c r="AT234" s="31" t="str">
        <f>IFERROR(INDEX('G-6 Hedgerow Data'!$BJ$3:$BJ$15,MATCH(M234,'G-6 Hedgerow Data'!$B$3:$B$15,0)),"")</f>
        <v/>
      </c>
    </row>
    <row r="235" spans="2:46" ht="13.8" x14ac:dyDescent="0.25">
      <c r="B235" s="531" t="str">
        <f>'B-1 Site Hedge Baseline'!AK233</f>
        <v/>
      </c>
      <c r="C235" s="520" t="str">
        <f>IF(B235="","",IF(ISNA(VLOOKUP($B235,'B-1 Site Hedge Baseline'!$B$1:$L$257,3,FALSE)),"",(VLOOKUP($B235,'B-1 Site Hedge Baseline'!$B$1:$L$257,3,FALSE))))</f>
        <v/>
      </c>
      <c r="D235" s="520" t="str">
        <f>IF(B235="","",IF(ISNA(VLOOKUP($B235,'B-1 Site Hedge Baseline'!$B$1:$L$257,4,FALSE)),"",(VLOOKUP($B235,'B-1 Site Hedge Baseline'!$B$1:$L$257,4,FALSE))))</f>
        <v/>
      </c>
      <c r="E235" s="520" t="str">
        <f>IF(B235="","",IF(ISNA(VLOOKUP($B235,'B-1 Site Hedge Baseline'!$B$1:$L$257,5,FALSE)),"",(VLOOKUP($B235,'B-1 Site Hedge Baseline'!$B$1:$L$257,5,FALSE))))</f>
        <v/>
      </c>
      <c r="F235" s="520" t="str">
        <f>IF(B235="","",IF(ISNA(VLOOKUP($B235,'B-1 Site Hedge Baseline'!$B$1:$L$257,6,FALSE)),"",(VLOOKUP($B235,'B-1 Site Hedge Baseline'!$B$1:$L$257,6,FALSE))))</f>
        <v/>
      </c>
      <c r="G235" s="520" t="str">
        <f>IF(B235="","",IF(ISNA(VLOOKUP($B235,'B-1 Site Hedge Baseline'!$B$1:$L$257,7,FALSE)),"",(VLOOKUP($B235,'B-1 Site Hedge Baseline'!$B$1:$L$257,7,FALSE))))</f>
        <v/>
      </c>
      <c r="H235" s="520" t="str">
        <f>IF(B235="","",IF(ISNA(VLOOKUP($B235,'B-1 Site Hedge Baseline'!$B$1:$L$257,8,FALSE)),"",(VLOOKUP($B235,'B-1 Site Hedge Baseline'!$B$1:$L$257,8,FALSE))))</f>
        <v/>
      </c>
      <c r="I235" s="520" t="str">
        <f>IF(B235="","",IF(ISNA(VLOOKUP($B235,'B-1 Site Hedge Baseline'!$B$1:$L$257,10,FALSE)),"",(VLOOKUP($B235,'B-1 Site Hedge Baseline'!$B$1:$L$257,10,FALSE))))</f>
        <v/>
      </c>
      <c r="J235" s="520" t="str">
        <f>IF(B235="","",IF(ISNA(VLOOKUP($B235,'B-1 Site Hedge Baseline'!$B$1:$L$257,11,FALSE)),"",(VLOOKUP($B235,'B-1 Site Hedge Baseline'!$B$1:$L$257,11,FALSE))))</f>
        <v/>
      </c>
      <c r="K235" s="520" t="str">
        <f>IF(B235="","",IF(ISNA(VLOOKUP($B235,'B-1 Site Hedge Baseline'!$B$1:$U$257,13,FALSE)),"",(VLOOKUP($B235,'B-1 Site Hedge Baseline'!$B$1:$U$257,13,FALSE))))</f>
        <v/>
      </c>
      <c r="L235" s="524" t="str">
        <f>IF(B235="","",IF(ISNA(VLOOKUP($B235,'B-1 Site Hedge Baseline'!$B$1:$U$257,12,FALSE)),"",(VLOOKUP($B235,'B-1 Site Hedge Baseline'!$B$1:$U$257,12,FALSE))))</f>
        <v/>
      </c>
      <c r="M235" s="416" t="str">
        <f t="shared" si="31"/>
        <v/>
      </c>
      <c r="N235" s="498" t="str">
        <f>IFERROR(IF(B235="","",INDEX('G-6 Hedgerow Data'!$AN$3:$AZ$15,MATCH(C235,'G-6 Hedgerow Data'!$AM$3:$AM$15,0),MATCH(M235,'G-6 Hedgerow Data'!$AN$2:$AZ$2,0))),"")</f>
        <v/>
      </c>
      <c r="O235" s="499" t="str">
        <f t="shared" si="26"/>
        <v/>
      </c>
      <c r="P235" s="559" t="str">
        <f>IF(B235="","",VLOOKUP(B235,'B-1 Site Hedge Baseline'!$B$10:T480,16,FALSE))</f>
        <v/>
      </c>
      <c r="Q235" s="498" t="str">
        <f>IF(M235="","",VLOOKUP(M235,'G-6 Hedgerow Data'!$B$2:$AG$15,2,FALSE))</f>
        <v/>
      </c>
      <c r="R235" s="499" t="str">
        <f>IF(M235="","",VLOOKUP(M235,'G-6 Hedgerow Data'!$B$2:$AG$15,3,FALSE))</f>
        <v/>
      </c>
      <c r="S235" s="157"/>
      <c r="T235" s="540" t="str">
        <f>IFERROR(VLOOKUP(S235,'G-1 All Habitats'!$Z$2:$AA$9,2,FALSE),"")</f>
        <v/>
      </c>
      <c r="U235" s="154"/>
      <c r="V235" s="520" t="str">
        <f>IF(U235="","",IF(VLOOKUP(U235,'G-3 Multipliers'!$L$3:$N$6,2,FALSE)=0,"Spatial Data Missing ⚠",VLOOKUP(U235,'G-3 Multipliers'!$L$3:$N$6,2,FALSE)))</f>
        <v/>
      </c>
      <c r="W235" s="524" t="str">
        <f>IF(U235="","",IF(VLOOKUP(U235,'G-3 Multipliers'!$L$3:$N$6,3,FALSE)=0,"Spatial Data Missing ⚠",VLOOKUP(U235,'G-3 Multipliers'!$L$3:$N$6,3,FALSE)))</f>
        <v/>
      </c>
      <c r="X235" s="498"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7" t="str">
        <f t="shared" si="27"/>
        <v/>
      </c>
      <c r="AB235" s="521" t="str">
        <f t="shared" si="28"/>
        <v/>
      </c>
      <c r="AC235" s="522" t="str">
        <f t="shared" si="24"/>
        <v/>
      </c>
      <c r="AD235" s="537" t="str">
        <f>IF(M235="","",VLOOKUP(M235,'G-6 Hedgerow Data'!$B$3:$AG$15,31,FALSE))</f>
        <v/>
      </c>
      <c r="AE235" s="507" t="str">
        <f t="shared" si="29"/>
        <v/>
      </c>
      <c r="AF235" s="507" t="str">
        <f t="shared" si="30"/>
        <v/>
      </c>
      <c r="AG235" s="524" t="str">
        <f>IFERROR(IF(O235="","",VLOOKUP(AD235,'G-3 Multipliers'!$P$3:$Q$6,2,FALSE)),"")</f>
        <v/>
      </c>
      <c r="AH235" s="513" t="str">
        <f t="shared" si="25"/>
        <v/>
      </c>
      <c r="AI235" s="231"/>
      <c r="AJ235" s="150"/>
      <c r="AT235" s="31" t="str">
        <f>IFERROR(INDEX('G-6 Hedgerow Data'!$BJ$3:$BJ$15,MATCH(M235,'G-6 Hedgerow Data'!$B$3:$B$15,0)),"")</f>
        <v/>
      </c>
    </row>
    <row r="236" spans="2:46" ht="13.8" x14ac:dyDescent="0.25">
      <c r="B236" s="531" t="str">
        <f>'B-1 Site Hedge Baseline'!AK234</f>
        <v/>
      </c>
      <c r="C236" s="520" t="str">
        <f>IF(B236="","",IF(ISNA(VLOOKUP($B236,'B-1 Site Hedge Baseline'!$B$1:$L$257,3,FALSE)),"",(VLOOKUP($B236,'B-1 Site Hedge Baseline'!$B$1:$L$257,3,FALSE))))</f>
        <v/>
      </c>
      <c r="D236" s="520" t="str">
        <f>IF(B236="","",IF(ISNA(VLOOKUP($B236,'B-1 Site Hedge Baseline'!$B$1:$L$257,4,FALSE)),"",(VLOOKUP($B236,'B-1 Site Hedge Baseline'!$B$1:$L$257,4,FALSE))))</f>
        <v/>
      </c>
      <c r="E236" s="520" t="str">
        <f>IF(B236="","",IF(ISNA(VLOOKUP($B236,'B-1 Site Hedge Baseline'!$B$1:$L$257,5,FALSE)),"",(VLOOKUP($B236,'B-1 Site Hedge Baseline'!$B$1:$L$257,5,FALSE))))</f>
        <v/>
      </c>
      <c r="F236" s="520" t="str">
        <f>IF(B236="","",IF(ISNA(VLOOKUP($B236,'B-1 Site Hedge Baseline'!$B$1:$L$257,6,FALSE)),"",(VLOOKUP($B236,'B-1 Site Hedge Baseline'!$B$1:$L$257,6,FALSE))))</f>
        <v/>
      </c>
      <c r="G236" s="520" t="str">
        <f>IF(B236="","",IF(ISNA(VLOOKUP($B236,'B-1 Site Hedge Baseline'!$B$1:$L$257,7,FALSE)),"",(VLOOKUP($B236,'B-1 Site Hedge Baseline'!$B$1:$L$257,7,FALSE))))</f>
        <v/>
      </c>
      <c r="H236" s="520" t="str">
        <f>IF(B236="","",IF(ISNA(VLOOKUP($B236,'B-1 Site Hedge Baseline'!$B$1:$L$257,8,FALSE)),"",(VLOOKUP($B236,'B-1 Site Hedge Baseline'!$B$1:$L$257,8,FALSE))))</f>
        <v/>
      </c>
      <c r="I236" s="520" t="str">
        <f>IF(B236="","",IF(ISNA(VLOOKUP($B236,'B-1 Site Hedge Baseline'!$B$1:$L$257,10,FALSE)),"",(VLOOKUP($B236,'B-1 Site Hedge Baseline'!$B$1:$L$257,10,FALSE))))</f>
        <v/>
      </c>
      <c r="J236" s="520" t="str">
        <f>IF(B236="","",IF(ISNA(VLOOKUP($B236,'B-1 Site Hedge Baseline'!$B$1:$L$257,11,FALSE)),"",(VLOOKUP($B236,'B-1 Site Hedge Baseline'!$B$1:$L$257,11,FALSE))))</f>
        <v/>
      </c>
      <c r="K236" s="520" t="str">
        <f>IF(B236="","",IF(ISNA(VLOOKUP($B236,'B-1 Site Hedge Baseline'!$B$1:$U$257,13,FALSE)),"",(VLOOKUP($B236,'B-1 Site Hedge Baseline'!$B$1:$U$257,13,FALSE))))</f>
        <v/>
      </c>
      <c r="L236" s="524" t="str">
        <f>IF(B236="","",IF(ISNA(VLOOKUP($B236,'B-1 Site Hedge Baseline'!$B$1:$U$257,12,FALSE)),"",(VLOOKUP($B236,'B-1 Site Hedge Baseline'!$B$1:$U$257,12,FALSE))))</f>
        <v/>
      </c>
      <c r="M236" s="416" t="str">
        <f t="shared" si="31"/>
        <v/>
      </c>
      <c r="N236" s="498" t="str">
        <f>IFERROR(IF(B236="","",INDEX('G-6 Hedgerow Data'!$AN$3:$AZ$15,MATCH(C236,'G-6 Hedgerow Data'!$AM$3:$AM$15,0),MATCH(M236,'G-6 Hedgerow Data'!$AN$2:$AZ$2,0))),"")</f>
        <v/>
      </c>
      <c r="O236" s="499" t="str">
        <f t="shared" si="26"/>
        <v/>
      </c>
      <c r="P236" s="559" t="str">
        <f>IF(B236="","",VLOOKUP(B236,'B-1 Site Hedge Baseline'!$B$10:T481,16,FALSE))</f>
        <v/>
      </c>
      <c r="Q236" s="498" t="str">
        <f>IF(M236="","",VLOOKUP(M236,'G-6 Hedgerow Data'!$B$2:$AG$15,2,FALSE))</f>
        <v/>
      </c>
      <c r="R236" s="499" t="str">
        <f>IF(M236="","",VLOOKUP(M236,'G-6 Hedgerow Data'!$B$2:$AG$15,3,FALSE))</f>
        <v/>
      </c>
      <c r="S236" s="157"/>
      <c r="T236" s="540" t="str">
        <f>IFERROR(VLOOKUP(S236,'G-1 All Habitats'!$Z$2:$AA$9,2,FALSE),"")</f>
        <v/>
      </c>
      <c r="U236" s="154"/>
      <c r="V236" s="520" t="str">
        <f>IF(U236="","",IF(VLOOKUP(U236,'G-3 Multipliers'!$L$3:$N$6,2,FALSE)=0,"Spatial Data Missing ⚠",VLOOKUP(U236,'G-3 Multipliers'!$L$3:$N$6,2,FALSE)))</f>
        <v/>
      </c>
      <c r="W236" s="524" t="str">
        <f>IF(U236="","",IF(VLOOKUP(U236,'G-3 Multipliers'!$L$3:$N$6,3,FALSE)=0,"Spatial Data Missing ⚠",VLOOKUP(U236,'G-3 Multipliers'!$L$3:$N$6,3,FALSE)))</f>
        <v/>
      </c>
      <c r="X236" s="498"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7" t="str">
        <f t="shared" si="27"/>
        <v/>
      </c>
      <c r="AB236" s="521" t="str">
        <f t="shared" si="28"/>
        <v/>
      </c>
      <c r="AC236" s="522" t="str">
        <f t="shared" si="24"/>
        <v/>
      </c>
      <c r="AD236" s="537" t="str">
        <f>IF(M236="","",VLOOKUP(M236,'G-6 Hedgerow Data'!$B$3:$AG$15,31,FALSE))</f>
        <v/>
      </c>
      <c r="AE236" s="507" t="str">
        <f t="shared" si="29"/>
        <v/>
      </c>
      <c r="AF236" s="507" t="str">
        <f t="shared" si="30"/>
        <v/>
      </c>
      <c r="AG236" s="524" t="str">
        <f>IFERROR(IF(O236="","",VLOOKUP(AD236,'G-3 Multipliers'!$P$3:$Q$6,2,FALSE)),"")</f>
        <v/>
      </c>
      <c r="AH236" s="513" t="str">
        <f t="shared" si="25"/>
        <v/>
      </c>
      <c r="AI236" s="231"/>
      <c r="AJ236" s="150"/>
      <c r="AT236" s="31" t="str">
        <f>IFERROR(INDEX('G-6 Hedgerow Data'!$BJ$3:$BJ$15,MATCH(M236,'G-6 Hedgerow Data'!$B$3:$B$15,0)),"")</f>
        <v/>
      </c>
    </row>
    <row r="237" spans="2:46" ht="13.8" x14ac:dyDescent="0.25">
      <c r="B237" s="531" t="str">
        <f>'B-1 Site Hedge Baseline'!AK235</f>
        <v/>
      </c>
      <c r="C237" s="520" t="str">
        <f>IF(B237="","",IF(ISNA(VLOOKUP($B237,'B-1 Site Hedge Baseline'!$B$1:$L$257,3,FALSE)),"",(VLOOKUP($B237,'B-1 Site Hedge Baseline'!$B$1:$L$257,3,FALSE))))</f>
        <v/>
      </c>
      <c r="D237" s="520" t="str">
        <f>IF(B237="","",IF(ISNA(VLOOKUP($B237,'B-1 Site Hedge Baseline'!$B$1:$L$257,4,FALSE)),"",(VLOOKUP($B237,'B-1 Site Hedge Baseline'!$B$1:$L$257,4,FALSE))))</f>
        <v/>
      </c>
      <c r="E237" s="520" t="str">
        <f>IF(B237="","",IF(ISNA(VLOOKUP($B237,'B-1 Site Hedge Baseline'!$B$1:$L$257,5,FALSE)),"",(VLOOKUP($B237,'B-1 Site Hedge Baseline'!$B$1:$L$257,5,FALSE))))</f>
        <v/>
      </c>
      <c r="F237" s="520" t="str">
        <f>IF(B237="","",IF(ISNA(VLOOKUP($B237,'B-1 Site Hedge Baseline'!$B$1:$L$257,6,FALSE)),"",(VLOOKUP($B237,'B-1 Site Hedge Baseline'!$B$1:$L$257,6,FALSE))))</f>
        <v/>
      </c>
      <c r="G237" s="520" t="str">
        <f>IF(B237="","",IF(ISNA(VLOOKUP($B237,'B-1 Site Hedge Baseline'!$B$1:$L$257,7,FALSE)),"",(VLOOKUP($B237,'B-1 Site Hedge Baseline'!$B$1:$L$257,7,FALSE))))</f>
        <v/>
      </c>
      <c r="H237" s="520" t="str">
        <f>IF(B237="","",IF(ISNA(VLOOKUP($B237,'B-1 Site Hedge Baseline'!$B$1:$L$257,8,FALSE)),"",(VLOOKUP($B237,'B-1 Site Hedge Baseline'!$B$1:$L$257,8,FALSE))))</f>
        <v/>
      </c>
      <c r="I237" s="520" t="str">
        <f>IF(B237="","",IF(ISNA(VLOOKUP($B237,'B-1 Site Hedge Baseline'!$B$1:$L$257,10,FALSE)),"",(VLOOKUP($B237,'B-1 Site Hedge Baseline'!$B$1:$L$257,10,FALSE))))</f>
        <v/>
      </c>
      <c r="J237" s="520" t="str">
        <f>IF(B237="","",IF(ISNA(VLOOKUP($B237,'B-1 Site Hedge Baseline'!$B$1:$L$257,11,FALSE)),"",(VLOOKUP($B237,'B-1 Site Hedge Baseline'!$B$1:$L$257,11,FALSE))))</f>
        <v/>
      </c>
      <c r="K237" s="520" t="str">
        <f>IF(B237="","",IF(ISNA(VLOOKUP($B237,'B-1 Site Hedge Baseline'!$B$1:$U$257,13,FALSE)),"",(VLOOKUP($B237,'B-1 Site Hedge Baseline'!$B$1:$U$257,13,FALSE))))</f>
        <v/>
      </c>
      <c r="L237" s="524" t="str">
        <f>IF(B237="","",IF(ISNA(VLOOKUP($B237,'B-1 Site Hedge Baseline'!$B$1:$U$257,12,FALSE)),"",(VLOOKUP($B237,'B-1 Site Hedge Baseline'!$B$1:$U$257,12,FALSE))))</f>
        <v/>
      </c>
      <c r="M237" s="416" t="str">
        <f t="shared" si="31"/>
        <v/>
      </c>
      <c r="N237" s="498" t="str">
        <f>IFERROR(IF(B237="","",INDEX('G-6 Hedgerow Data'!$AN$3:$AZ$15,MATCH(C237,'G-6 Hedgerow Data'!$AM$3:$AM$15,0),MATCH(M237,'G-6 Hedgerow Data'!$AN$2:$AZ$2,0))),"")</f>
        <v/>
      </c>
      <c r="O237" s="499" t="str">
        <f t="shared" si="26"/>
        <v/>
      </c>
      <c r="P237" s="559" t="str">
        <f>IF(B237="","",VLOOKUP(B237,'B-1 Site Hedge Baseline'!$B$10:T482,16,FALSE))</f>
        <v/>
      </c>
      <c r="Q237" s="498" t="str">
        <f>IF(M237="","",VLOOKUP(M237,'G-6 Hedgerow Data'!$B$2:$AG$15,2,FALSE))</f>
        <v/>
      </c>
      <c r="R237" s="499" t="str">
        <f>IF(M237="","",VLOOKUP(M237,'G-6 Hedgerow Data'!$B$2:$AG$15,3,FALSE))</f>
        <v/>
      </c>
      <c r="S237" s="157"/>
      <c r="T237" s="540" t="str">
        <f>IFERROR(VLOOKUP(S237,'G-1 All Habitats'!$Z$2:$AA$9,2,FALSE),"")</f>
        <v/>
      </c>
      <c r="U237" s="154"/>
      <c r="V237" s="520" t="str">
        <f>IF(U237="","",IF(VLOOKUP(U237,'G-3 Multipliers'!$L$3:$N$6,2,FALSE)=0,"Spatial Data Missing ⚠",VLOOKUP(U237,'G-3 Multipliers'!$L$3:$N$6,2,FALSE)))</f>
        <v/>
      </c>
      <c r="W237" s="524" t="str">
        <f>IF(U237="","",IF(VLOOKUP(U237,'G-3 Multipliers'!$L$3:$N$6,3,FALSE)=0,"Spatial Data Missing ⚠",VLOOKUP(U237,'G-3 Multipliers'!$L$3:$N$6,3,FALSE)))</f>
        <v/>
      </c>
      <c r="X237" s="498"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7" t="str">
        <f t="shared" si="27"/>
        <v/>
      </c>
      <c r="AB237" s="521" t="str">
        <f t="shared" si="28"/>
        <v/>
      </c>
      <c r="AC237" s="522" t="str">
        <f t="shared" si="24"/>
        <v/>
      </c>
      <c r="AD237" s="537" t="str">
        <f>IF(M237="","",VLOOKUP(M237,'G-6 Hedgerow Data'!$B$3:$AG$15,31,FALSE))</f>
        <v/>
      </c>
      <c r="AE237" s="507" t="str">
        <f t="shared" si="29"/>
        <v/>
      </c>
      <c r="AF237" s="507" t="str">
        <f t="shared" si="30"/>
        <v/>
      </c>
      <c r="AG237" s="524" t="str">
        <f>IFERROR(IF(O237="","",VLOOKUP(AD237,'G-3 Multipliers'!$P$3:$Q$6,2,FALSE)),"")</f>
        <v/>
      </c>
      <c r="AH237" s="513" t="str">
        <f t="shared" si="25"/>
        <v/>
      </c>
      <c r="AI237" s="231"/>
      <c r="AJ237" s="150"/>
      <c r="AT237" s="31" t="str">
        <f>IFERROR(INDEX('G-6 Hedgerow Data'!$BJ$3:$BJ$15,MATCH(M237,'G-6 Hedgerow Data'!$B$3:$B$15,0)),"")</f>
        <v/>
      </c>
    </row>
    <row r="238" spans="2:46" ht="13.8" x14ac:dyDescent="0.25">
      <c r="B238" s="531" t="str">
        <f>'B-1 Site Hedge Baseline'!AK236</f>
        <v/>
      </c>
      <c r="C238" s="520" t="str">
        <f>IF(B238="","",IF(ISNA(VLOOKUP($B238,'B-1 Site Hedge Baseline'!$B$1:$L$257,3,FALSE)),"",(VLOOKUP($B238,'B-1 Site Hedge Baseline'!$B$1:$L$257,3,FALSE))))</f>
        <v/>
      </c>
      <c r="D238" s="520" t="str">
        <f>IF(B238="","",IF(ISNA(VLOOKUP($B238,'B-1 Site Hedge Baseline'!$B$1:$L$257,4,FALSE)),"",(VLOOKUP($B238,'B-1 Site Hedge Baseline'!$B$1:$L$257,4,FALSE))))</f>
        <v/>
      </c>
      <c r="E238" s="520" t="str">
        <f>IF(B238="","",IF(ISNA(VLOOKUP($B238,'B-1 Site Hedge Baseline'!$B$1:$L$257,5,FALSE)),"",(VLOOKUP($B238,'B-1 Site Hedge Baseline'!$B$1:$L$257,5,FALSE))))</f>
        <v/>
      </c>
      <c r="F238" s="520" t="str">
        <f>IF(B238="","",IF(ISNA(VLOOKUP($B238,'B-1 Site Hedge Baseline'!$B$1:$L$257,6,FALSE)),"",(VLOOKUP($B238,'B-1 Site Hedge Baseline'!$B$1:$L$257,6,FALSE))))</f>
        <v/>
      </c>
      <c r="G238" s="520" t="str">
        <f>IF(B238="","",IF(ISNA(VLOOKUP($B238,'B-1 Site Hedge Baseline'!$B$1:$L$257,7,FALSE)),"",(VLOOKUP($B238,'B-1 Site Hedge Baseline'!$B$1:$L$257,7,FALSE))))</f>
        <v/>
      </c>
      <c r="H238" s="520" t="str">
        <f>IF(B238="","",IF(ISNA(VLOOKUP($B238,'B-1 Site Hedge Baseline'!$B$1:$L$257,8,FALSE)),"",(VLOOKUP($B238,'B-1 Site Hedge Baseline'!$B$1:$L$257,8,FALSE))))</f>
        <v/>
      </c>
      <c r="I238" s="520" t="str">
        <f>IF(B238="","",IF(ISNA(VLOOKUP($B238,'B-1 Site Hedge Baseline'!$B$1:$L$257,10,FALSE)),"",(VLOOKUP($B238,'B-1 Site Hedge Baseline'!$B$1:$L$257,10,FALSE))))</f>
        <v/>
      </c>
      <c r="J238" s="520" t="str">
        <f>IF(B238="","",IF(ISNA(VLOOKUP($B238,'B-1 Site Hedge Baseline'!$B$1:$L$257,11,FALSE)),"",(VLOOKUP($B238,'B-1 Site Hedge Baseline'!$B$1:$L$257,11,FALSE))))</f>
        <v/>
      </c>
      <c r="K238" s="520" t="str">
        <f>IF(B238="","",IF(ISNA(VLOOKUP($B238,'B-1 Site Hedge Baseline'!$B$1:$U$257,13,FALSE)),"",(VLOOKUP($B238,'B-1 Site Hedge Baseline'!$B$1:$U$257,13,FALSE))))</f>
        <v/>
      </c>
      <c r="L238" s="524" t="str">
        <f>IF(B238="","",IF(ISNA(VLOOKUP($B238,'B-1 Site Hedge Baseline'!$B$1:$U$257,12,FALSE)),"",(VLOOKUP($B238,'B-1 Site Hedge Baseline'!$B$1:$U$257,12,FALSE))))</f>
        <v/>
      </c>
      <c r="M238" s="416" t="str">
        <f t="shared" si="31"/>
        <v/>
      </c>
      <c r="N238" s="498" t="str">
        <f>IFERROR(IF(B238="","",INDEX('G-6 Hedgerow Data'!$AN$3:$AZ$15,MATCH(C238,'G-6 Hedgerow Data'!$AM$3:$AM$15,0),MATCH(M238,'G-6 Hedgerow Data'!$AN$2:$AZ$2,0))),"")</f>
        <v/>
      </c>
      <c r="O238" s="499" t="str">
        <f t="shared" si="26"/>
        <v/>
      </c>
      <c r="P238" s="559" t="str">
        <f>IF(B238="","",VLOOKUP(B238,'B-1 Site Hedge Baseline'!$B$10:T483,16,FALSE))</f>
        <v/>
      </c>
      <c r="Q238" s="498" t="str">
        <f>IF(M238="","",VLOOKUP(M238,'G-6 Hedgerow Data'!$B$2:$AG$15,2,FALSE))</f>
        <v/>
      </c>
      <c r="R238" s="499" t="str">
        <f>IF(M238="","",VLOOKUP(M238,'G-6 Hedgerow Data'!$B$2:$AG$15,3,FALSE))</f>
        <v/>
      </c>
      <c r="S238" s="157"/>
      <c r="T238" s="540" t="str">
        <f>IFERROR(VLOOKUP(S238,'G-1 All Habitats'!$Z$2:$AA$9,2,FALSE),"")</f>
        <v/>
      </c>
      <c r="U238" s="154"/>
      <c r="V238" s="520" t="str">
        <f>IF(U238="","",IF(VLOOKUP(U238,'G-3 Multipliers'!$L$3:$N$6,2,FALSE)=0,"Spatial Data Missing ⚠",VLOOKUP(U238,'G-3 Multipliers'!$L$3:$N$6,2,FALSE)))</f>
        <v/>
      </c>
      <c r="W238" s="524" t="str">
        <f>IF(U238="","",IF(VLOOKUP(U238,'G-3 Multipliers'!$L$3:$N$6,3,FALSE)=0,"Spatial Data Missing ⚠",VLOOKUP(U238,'G-3 Multipliers'!$L$3:$N$6,3,FALSE)))</f>
        <v/>
      </c>
      <c r="X238" s="498"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7" t="str">
        <f t="shared" si="27"/>
        <v/>
      </c>
      <c r="AB238" s="521" t="str">
        <f t="shared" si="28"/>
        <v/>
      </c>
      <c r="AC238" s="522" t="str">
        <f t="shared" si="24"/>
        <v/>
      </c>
      <c r="AD238" s="537" t="str">
        <f>IF(M238="","",VLOOKUP(M238,'G-6 Hedgerow Data'!$B$3:$AG$15,31,FALSE))</f>
        <v/>
      </c>
      <c r="AE238" s="507" t="str">
        <f t="shared" si="29"/>
        <v/>
      </c>
      <c r="AF238" s="507" t="str">
        <f t="shared" si="30"/>
        <v/>
      </c>
      <c r="AG238" s="524" t="str">
        <f>IFERROR(IF(O238="","",VLOOKUP(AD238,'G-3 Multipliers'!$P$3:$Q$6,2,FALSE)),"")</f>
        <v/>
      </c>
      <c r="AH238" s="513" t="str">
        <f t="shared" si="25"/>
        <v/>
      </c>
      <c r="AI238" s="231"/>
      <c r="AJ238" s="150"/>
      <c r="AT238" s="31" t="str">
        <f>IFERROR(INDEX('G-6 Hedgerow Data'!$BJ$3:$BJ$15,MATCH(M238,'G-6 Hedgerow Data'!$B$3:$B$15,0)),"")</f>
        <v/>
      </c>
    </row>
    <row r="239" spans="2:46" ht="13.8" x14ac:dyDescent="0.25">
      <c r="B239" s="531" t="str">
        <f>'B-1 Site Hedge Baseline'!AK237</f>
        <v/>
      </c>
      <c r="C239" s="520" t="str">
        <f>IF(B239="","",IF(ISNA(VLOOKUP($B239,'B-1 Site Hedge Baseline'!$B$1:$L$257,3,FALSE)),"",(VLOOKUP($B239,'B-1 Site Hedge Baseline'!$B$1:$L$257,3,FALSE))))</f>
        <v/>
      </c>
      <c r="D239" s="520" t="str">
        <f>IF(B239="","",IF(ISNA(VLOOKUP($B239,'B-1 Site Hedge Baseline'!$B$1:$L$257,4,FALSE)),"",(VLOOKUP($B239,'B-1 Site Hedge Baseline'!$B$1:$L$257,4,FALSE))))</f>
        <v/>
      </c>
      <c r="E239" s="520" t="str">
        <f>IF(B239="","",IF(ISNA(VLOOKUP($B239,'B-1 Site Hedge Baseline'!$B$1:$L$257,5,FALSE)),"",(VLOOKUP($B239,'B-1 Site Hedge Baseline'!$B$1:$L$257,5,FALSE))))</f>
        <v/>
      </c>
      <c r="F239" s="520" t="str">
        <f>IF(B239="","",IF(ISNA(VLOOKUP($B239,'B-1 Site Hedge Baseline'!$B$1:$L$257,6,FALSE)),"",(VLOOKUP($B239,'B-1 Site Hedge Baseline'!$B$1:$L$257,6,FALSE))))</f>
        <v/>
      </c>
      <c r="G239" s="520" t="str">
        <f>IF(B239="","",IF(ISNA(VLOOKUP($B239,'B-1 Site Hedge Baseline'!$B$1:$L$257,7,FALSE)),"",(VLOOKUP($B239,'B-1 Site Hedge Baseline'!$B$1:$L$257,7,FALSE))))</f>
        <v/>
      </c>
      <c r="H239" s="520" t="str">
        <f>IF(B239="","",IF(ISNA(VLOOKUP($B239,'B-1 Site Hedge Baseline'!$B$1:$L$257,8,FALSE)),"",(VLOOKUP($B239,'B-1 Site Hedge Baseline'!$B$1:$L$257,8,FALSE))))</f>
        <v/>
      </c>
      <c r="I239" s="520" t="str">
        <f>IF(B239="","",IF(ISNA(VLOOKUP($B239,'B-1 Site Hedge Baseline'!$B$1:$L$257,10,FALSE)),"",(VLOOKUP($B239,'B-1 Site Hedge Baseline'!$B$1:$L$257,10,FALSE))))</f>
        <v/>
      </c>
      <c r="J239" s="520" t="str">
        <f>IF(B239="","",IF(ISNA(VLOOKUP($B239,'B-1 Site Hedge Baseline'!$B$1:$L$257,11,FALSE)),"",(VLOOKUP($B239,'B-1 Site Hedge Baseline'!$B$1:$L$257,11,FALSE))))</f>
        <v/>
      </c>
      <c r="K239" s="520" t="str">
        <f>IF(B239="","",IF(ISNA(VLOOKUP($B239,'B-1 Site Hedge Baseline'!$B$1:$U$257,13,FALSE)),"",(VLOOKUP($B239,'B-1 Site Hedge Baseline'!$B$1:$U$257,13,FALSE))))</f>
        <v/>
      </c>
      <c r="L239" s="524" t="str">
        <f>IF(B239="","",IF(ISNA(VLOOKUP($B239,'B-1 Site Hedge Baseline'!$B$1:$U$257,12,FALSE)),"",(VLOOKUP($B239,'B-1 Site Hedge Baseline'!$B$1:$U$257,12,FALSE))))</f>
        <v/>
      </c>
      <c r="M239" s="416" t="str">
        <f t="shared" si="31"/>
        <v/>
      </c>
      <c r="N239" s="498" t="str">
        <f>IFERROR(IF(B239="","",INDEX('G-6 Hedgerow Data'!$AN$3:$AZ$15,MATCH(C239,'G-6 Hedgerow Data'!$AM$3:$AM$15,0),MATCH(M239,'G-6 Hedgerow Data'!$AN$2:$AZ$2,0))),"")</f>
        <v/>
      </c>
      <c r="O239" s="499" t="str">
        <f t="shared" si="26"/>
        <v/>
      </c>
      <c r="P239" s="559" t="str">
        <f>IF(B239="","",VLOOKUP(B239,'B-1 Site Hedge Baseline'!$B$10:T484,16,FALSE))</f>
        <v/>
      </c>
      <c r="Q239" s="498" t="str">
        <f>IF(M239="","",VLOOKUP(M239,'G-6 Hedgerow Data'!$B$2:$AG$15,2,FALSE))</f>
        <v/>
      </c>
      <c r="R239" s="499" t="str">
        <f>IF(M239="","",VLOOKUP(M239,'G-6 Hedgerow Data'!$B$2:$AG$15,3,FALSE))</f>
        <v/>
      </c>
      <c r="S239" s="157"/>
      <c r="T239" s="540" t="str">
        <f>IFERROR(VLOOKUP(S239,'G-1 All Habitats'!$Z$2:$AA$9,2,FALSE),"")</f>
        <v/>
      </c>
      <c r="U239" s="154"/>
      <c r="V239" s="520" t="str">
        <f>IF(U239="","",IF(VLOOKUP(U239,'G-3 Multipliers'!$L$3:$N$6,2,FALSE)=0,"Spatial Data Missing ⚠",VLOOKUP(U239,'G-3 Multipliers'!$L$3:$N$6,2,FALSE)))</f>
        <v/>
      </c>
      <c r="W239" s="524" t="str">
        <f>IF(U239="","",IF(VLOOKUP(U239,'G-3 Multipliers'!$L$3:$N$6,3,FALSE)=0,"Spatial Data Missing ⚠",VLOOKUP(U239,'G-3 Multipliers'!$L$3:$N$6,3,FALSE)))</f>
        <v/>
      </c>
      <c r="X239" s="498"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7" t="str">
        <f t="shared" si="27"/>
        <v/>
      </c>
      <c r="AB239" s="521" t="str">
        <f t="shared" si="28"/>
        <v/>
      </c>
      <c r="AC239" s="522" t="str">
        <f t="shared" si="24"/>
        <v/>
      </c>
      <c r="AD239" s="537" t="str">
        <f>IF(M239="","",VLOOKUP(M239,'G-6 Hedgerow Data'!$B$3:$AG$15,31,FALSE))</f>
        <v/>
      </c>
      <c r="AE239" s="507" t="str">
        <f t="shared" si="29"/>
        <v/>
      </c>
      <c r="AF239" s="507" t="str">
        <f t="shared" si="30"/>
        <v/>
      </c>
      <c r="AG239" s="524" t="str">
        <f>IFERROR(IF(O239="","",VLOOKUP(AD239,'G-3 Multipliers'!$P$3:$Q$6,2,FALSE)),"")</f>
        <v/>
      </c>
      <c r="AH239" s="513" t="str">
        <f t="shared" si="25"/>
        <v/>
      </c>
      <c r="AI239" s="231"/>
      <c r="AJ239" s="150"/>
      <c r="AT239" s="31" t="str">
        <f>IFERROR(INDEX('G-6 Hedgerow Data'!$BJ$3:$BJ$15,MATCH(M239,'G-6 Hedgerow Data'!$B$3:$B$15,0)),"")</f>
        <v/>
      </c>
    </row>
    <row r="240" spans="2:46" ht="13.8" x14ac:dyDescent="0.25">
      <c r="B240" s="531" t="str">
        <f>'B-1 Site Hedge Baseline'!AK238</f>
        <v/>
      </c>
      <c r="C240" s="520" t="str">
        <f>IF(B240="","",IF(ISNA(VLOOKUP($B240,'B-1 Site Hedge Baseline'!$B$1:$L$257,3,FALSE)),"",(VLOOKUP($B240,'B-1 Site Hedge Baseline'!$B$1:$L$257,3,FALSE))))</f>
        <v/>
      </c>
      <c r="D240" s="520" t="str">
        <f>IF(B240="","",IF(ISNA(VLOOKUP($B240,'B-1 Site Hedge Baseline'!$B$1:$L$257,4,FALSE)),"",(VLOOKUP($B240,'B-1 Site Hedge Baseline'!$B$1:$L$257,4,FALSE))))</f>
        <v/>
      </c>
      <c r="E240" s="520" t="str">
        <f>IF(B240="","",IF(ISNA(VLOOKUP($B240,'B-1 Site Hedge Baseline'!$B$1:$L$257,5,FALSE)),"",(VLOOKUP($B240,'B-1 Site Hedge Baseline'!$B$1:$L$257,5,FALSE))))</f>
        <v/>
      </c>
      <c r="F240" s="520" t="str">
        <f>IF(B240="","",IF(ISNA(VLOOKUP($B240,'B-1 Site Hedge Baseline'!$B$1:$L$257,6,FALSE)),"",(VLOOKUP($B240,'B-1 Site Hedge Baseline'!$B$1:$L$257,6,FALSE))))</f>
        <v/>
      </c>
      <c r="G240" s="520" t="str">
        <f>IF(B240="","",IF(ISNA(VLOOKUP($B240,'B-1 Site Hedge Baseline'!$B$1:$L$257,7,FALSE)),"",(VLOOKUP($B240,'B-1 Site Hedge Baseline'!$B$1:$L$257,7,FALSE))))</f>
        <v/>
      </c>
      <c r="H240" s="520" t="str">
        <f>IF(B240="","",IF(ISNA(VLOOKUP($B240,'B-1 Site Hedge Baseline'!$B$1:$L$257,8,FALSE)),"",(VLOOKUP($B240,'B-1 Site Hedge Baseline'!$B$1:$L$257,8,FALSE))))</f>
        <v/>
      </c>
      <c r="I240" s="520" t="str">
        <f>IF(B240="","",IF(ISNA(VLOOKUP($B240,'B-1 Site Hedge Baseline'!$B$1:$L$257,10,FALSE)),"",(VLOOKUP($B240,'B-1 Site Hedge Baseline'!$B$1:$L$257,10,FALSE))))</f>
        <v/>
      </c>
      <c r="J240" s="520" t="str">
        <f>IF(B240="","",IF(ISNA(VLOOKUP($B240,'B-1 Site Hedge Baseline'!$B$1:$L$257,11,FALSE)),"",(VLOOKUP($B240,'B-1 Site Hedge Baseline'!$B$1:$L$257,11,FALSE))))</f>
        <v/>
      </c>
      <c r="K240" s="520" t="str">
        <f>IF(B240="","",IF(ISNA(VLOOKUP($B240,'B-1 Site Hedge Baseline'!$B$1:$U$257,13,FALSE)),"",(VLOOKUP($B240,'B-1 Site Hedge Baseline'!$B$1:$U$257,13,FALSE))))</f>
        <v/>
      </c>
      <c r="L240" s="524" t="str">
        <f>IF(B240="","",IF(ISNA(VLOOKUP($B240,'B-1 Site Hedge Baseline'!$B$1:$U$257,12,FALSE)),"",(VLOOKUP($B240,'B-1 Site Hedge Baseline'!$B$1:$U$257,12,FALSE))))</f>
        <v/>
      </c>
      <c r="M240" s="416" t="str">
        <f t="shared" si="31"/>
        <v/>
      </c>
      <c r="N240" s="498" t="str">
        <f>IFERROR(IF(B240="","",INDEX('G-6 Hedgerow Data'!$AN$3:$AZ$15,MATCH(C240,'G-6 Hedgerow Data'!$AM$3:$AM$15,0),MATCH(M240,'G-6 Hedgerow Data'!$AN$2:$AZ$2,0))),"")</f>
        <v/>
      </c>
      <c r="O240" s="499" t="str">
        <f t="shared" si="26"/>
        <v/>
      </c>
      <c r="P240" s="559" t="str">
        <f>IF(B240="","",VLOOKUP(B240,'B-1 Site Hedge Baseline'!$B$10:T485,16,FALSE))</f>
        <v/>
      </c>
      <c r="Q240" s="498" t="str">
        <f>IF(M240="","",VLOOKUP(M240,'G-6 Hedgerow Data'!$B$2:$AG$15,2,FALSE))</f>
        <v/>
      </c>
      <c r="R240" s="499" t="str">
        <f>IF(M240="","",VLOOKUP(M240,'G-6 Hedgerow Data'!$B$2:$AG$15,3,FALSE))</f>
        <v/>
      </c>
      <c r="S240" s="157"/>
      <c r="T240" s="540" t="str">
        <f>IFERROR(VLOOKUP(S240,'G-1 All Habitats'!$Z$2:$AA$9,2,FALSE),"")</f>
        <v/>
      </c>
      <c r="U240" s="154"/>
      <c r="V240" s="520" t="str">
        <f>IF(U240="","",IF(VLOOKUP(U240,'G-3 Multipliers'!$L$3:$N$6,2,FALSE)=0,"Spatial Data Missing ⚠",VLOOKUP(U240,'G-3 Multipliers'!$L$3:$N$6,2,FALSE)))</f>
        <v/>
      </c>
      <c r="W240" s="524" t="str">
        <f>IF(U240="","",IF(VLOOKUP(U240,'G-3 Multipliers'!$L$3:$N$6,3,FALSE)=0,"Spatial Data Missing ⚠",VLOOKUP(U240,'G-3 Multipliers'!$L$3:$N$6,3,FALSE)))</f>
        <v/>
      </c>
      <c r="X240" s="498"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7" t="str">
        <f t="shared" si="27"/>
        <v/>
      </c>
      <c r="AB240" s="521" t="str">
        <f t="shared" si="28"/>
        <v/>
      </c>
      <c r="AC240" s="522" t="str">
        <f t="shared" si="24"/>
        <v/>
      </c>
      <c r="AD240" s="537" t="str">
        <f>IF(M240="","",VLOOKUP(M240,'G-6 Hedgerow Data'!$B$3:$AG$15,31,FALSE))</f>
        <v/>
      </c>
      <c r="AE240" s="507" t="str">
        <f t="shared" si="29"/>
        <v/>
      </c>
      <c r="AF240" s="507" t="str">
        <f t="shared" si="30"/>
        <v/>
      </c>
      <c r="AG240" s="524" t="str">
        <f>IFERROR(IF(O240="","",VLOOKUP(AD240,'G-3 Multipliers'!$P$3:$Q$6,2,FALSE)),"")</f>
        <v/>
      </c>
      <c r="AH240" s="513" t="str">
        <f t="shared" si="25"/>
        <v/>
      </c>
      <c r="AI240" s="231"/>
      <c r="AJ240" s="150"/>
      <c r="AT240" s="31" t="str">
        <f>IFERROR(INDEX('G-6 Hedgerow Data'!$BJ$3:$BJ$15,MATCH(M240,'G-6 Hedgerow Data'!$B$3:$B$15,0)),"")</f>
        <v/>
      </c>
    </row>
    <row r="241" spans="2:46" ht="13.8" x14ac:dyDescent="0.25">
      <c r="B241" s="531" t="str">
        <f>'B-1 Site Hedge Baseline'!AK239</f>
        <v/>
      </c>
      <c r="C241" s="520" t="str">
        <f>IF(B241="","",IF(ISNA(VLOOKUP($B241,'B-1 Site Hedge Baseline'!$B$1:$L$257,3,FALSE)),"",(VLOOKUP($B241,'B-1 Site Hedge Baseline'!$B$1:$L$257,3,FALSE))))</f>
        <v/>
      </c>
      <c r="D241" s="520" t="str">
        <f>IF(B241="","",IF(ISNA(VLOOKUP($B241,'B-1 Site Hedge Baseline'!$B$1:$L$257,4,FALSE)),"",(VLOOKUP($B241,'B-1 Site Hedge Baseline'!$B$1:$L$257,4,FALSE))))</f>
        <v/>
      </c>
      <c r="E241" s="520" t="str">
        <f>IF(B241="","",IF(ISNA(VLOOKUP($B241,'B-1 Site Hedge Baseline'!$B$1:$L$257,5,FALSE)),"",(VLOOKUP($B241,'B-1 Site Hedge Baseline'!$B$1:$L$257,5,FALSE))))</f>
        <v/>
      </c>
      <c r="F241" s="520" t="str">
        <f>IF(B241="","",IF(ISNA(VLOOKUP($B241,'B-1 Site Hedge Baseline'!$B$1:$L$257,6,FALSE)),"",(VLOOKUP($B241,'B-1 Site Hedge Baseline'!$B$1:$L$257,6,FALSE))))</f>
        <v/>
      </c>
      <c r="G241" s="520" t="str">
        <f>IF(B241="","",IF(ISNA(VLOOKUP($B241,'B-1 Site Hedge Baseline'!$B$1:$L$257,7,FALSE)),"",(VLOOKUP($B241,'B-1 Site Hedge Baseline'!$B$1:$L$257,7,FALSE))))</f>
        <v/>
      </c>
      <c r="H241" s="520" t="str">
        <f>IF(B241="","",IF(ISNA(VLOOKUP($B241,'B-1 Site Hedge Baseline'!$B$1:$L$257,8,FALSE)),"",(VLOOKUP($B241,'B-1 Site Hedge Baseline'!$B$1:$L$257,8,FALSE))))</f>
        <v/>
      </c>
      <c r="I241" s="520" t="str">
        <f>IF(B241="","",IF(ISNA(VLOOKUP($B241,'B-1 Site Hedge Baseline'!$B$1:$L$257,10,FALSE)),"",(VLOOKUP($B241,'B-1 Site Hedge Baseline'!$B$1:$L$257,10,FALSE))))</f>
        <v/>
      </c>
      <c r="J241" s="520" t="str">
        <f>IF(B241="","",IF(ISNA(VLOOKUP($B241,'B-1 Site Hedge Baseline'!$B$1:$L$257,11,FALSE)),"",(VLOOKUP($B241,'B-1 Site Hedge Baseline'!$B$1:$L$257,11,FALSE))))</f>
        <v/>
      </c>
      <c r="K241" s="520" t="str">
        <f>IF(B241="","",IF(ISNA(VLOOKUP($B241,'B-1 Site Hedge Baseline'!$B$1:$U$257,13,FALSE)),"",(VLOOKUP($B241,'B-1 Site Hedge Baseline'!$B$1:$U$257,13,FALSE))))</f>
        <v/>
      </c>
      <c r="L241" s="524" t="str">
        <f>IF(B241="","",IF(ISNA(VLOOKUP($B241,'B-1 Site Hedge Baseline'!$B$1:$U$257,12,FALSE)),"",(VLOOKUP($B241,'B-1 Site Hedge Baseline'!$B$1:$U$257,12,FALSE))))</f>
        <v/>
      </c>
      <c r="M241" s="416" t="str">
        <f t="shared" si="31"/>
        <v/>
      </c>
      <c r="N241" s="498" t="str">
        <f>IFERROR(IF(B241="","",INDEX('G-6 Hedgerow Data'!$AN$3:$AZ$15,MATCH(C241,'G-6 Hedgerow Data'!$AM$3:$AM$15,0),MATCH(M241,'G-6 Hedgerow Data'!$AN$2:$AZ$2,0))),"")</f>
        <v/>
      </c>
      <c r="O241" s="499" t="str">
        <f t="shared" si="26"/>
        <v/>
      </c>
      <c r="P241" s="559" t="str">
        <f>IF(B241="","",VLOOKUP(B241,'B-1 Site Hedge Baseline'!$B$10:T486,16,FALSE))</f>
        <v/>
      </c>
      <c r="Q241" s="498" t="str">
        <f>IF(M241="","",VLOOKUP(M241,'G-6 Hedgerow Data'!$B$2:$AG$15,2,FALSE))</f>
        <v/>
      </c>
      <c r="R241" s="499" t="str">
        <f>IF(M241="","",VLOOKUP(M241,'G-6 Hedgerow Data'!$B$2:$AG$15,3,FALSE))</f>
        <v/>
      </c>
      <c r="S241" s="157"/>
      <c r="T241" s="540" t="str">
        <f>IFERROR(VLOOKUP(S241,'G-1 All Habitats'!$Z$2:$AA$9,2,FALSE),"")</f>
        <v/>
      </c>
      <c r="U241" s="154"/>
      <c r="V241" s="520" t="str">
        <f>IF(U241="","",IF(VLOOKUP(U241,'G-3 Multipliers'!$L$3:$N$6,2,FALSE)=0,"Spatial Data Missing ⚠",VLOOKUP(U241,'G-3 Multipliers'!$L$3:$N$6,2,FALSE)))</f>
        <v/>
      </c>
      <c r="W241" s="524" t="str">
        <f>IF(U241="","",IF(VLOOKUP(U241,'G-3 Multipliers'!$L$3:$N$6,3,FALSE)=0,"Spatial Data Missing ⚠",VLOOKUP(U241,'G-3 Multipliers'!$L$3:$N$6,3,FALSE)))</f>
        <v/>
      </c>
      <c r="X241" s="498"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7" t="str">
        <f t="shared" si="27"/>
        <v/>
      </c>
      <c r="AB241" s="521" t="str">
        <f t="shared" si="28"/>
        <v/>
      </c>
      <c r="AC241" s="522" t="str">
        <f t="shared" si="24"/>
        <v/>
      </c>
      <c r="AD241" s="537" t="str">
        <f>IF(M241="","",VLOOKUP(M241,'G-6 Hedgerow Data'!$B$3:$AG$15,31,FALSE))</f>
        <v/>
      </c>
      <c r="AE241" s="507" t="str">
        <f t="shared" si="29"/>
        <v/>
      </c>
      <c r="AF241" s="507" t="str">
        <f t="shared" si="30"/>
        <v/>
      </c>
      <c r="AG241" s="524" t="str">
        <f>IFERROR(IF(O241="","",VLOOKUP(AD241,'G-3 Multipliers'!$P$3:$Q$6,2,FALSE)),"")</f>
        <v/>
      </c>
      <c r="AH241" s="513" t="str">
        <f t="shared" si="25"/>
        <v/>
      </c>
      <c r="AI241" s="231"/>
      <c r="AJ241" s="150"/>
      <c r="AT241" s="31" t="str">
        <f>IFERROR(INDEX('G-6 Hedgerow Data'!$BJ$3:$BJ$15,MATCH(M241,'G-6 Hedgerow Data'!$B$3:$B$15,0)),"")</f>
        <v/>
      </c>
    </row>
    <row r="242" spans="2:46" ht="13.8" x14ac:dyDescent="0.25">
      <c r="B242" s="531" t="str">
        <f>'B-1 Site Hedge Baseline'!AK240</f>
        <v/>
      </c>
      <c r="C242" s="520" t="str">
        <f>IF(B242="","",IF(ISNA(VLOOKUP($B242,'B-1 Site Hedge Baseline'!$B$1:$L$257,3,FALSE)),"",(VLOOKUP($B242,'B-1 Site Hedge Baseline'!$B$1:$L$257,3,FALSE))))</f>
        <v/>
      </c>
      <c r="D242" s="520" t="str">
        <f>IF(B242="","",IF(ISNA(VLOOKUP($B242,'B-1 Site Hedge Baseline'!$B$1:$L$257,4,FALSE)),"",(VLOOKUP($B242,'B-1 Site Hedge Baseline'!$B$1:$L$257,4,FALSE))))</f>
        <v/>
      </c>
      <c r="E242" s="520" t="str">
        <f>IF(B242="","",IF(ISNA(VLOOKUP($B242,'B-1 Site Hedge Baseline'!$B$1:$L$257,5,FALSE)),"",(VLOOKUP($B242,'B-1 Site Hedge Baseline'!$B$1:$L$257,5,FALSE))))</f>
        <v/>
      </c>
      <c r="F242" s="520" t="str">
        <f>IF(B242="","",IF(ISNA(VLOOKUP($B242,'B-1 Site Hedge Baseline'!$B$1:$L$257,6,FALSE)),"",(VLOOKUP($B242,'B-1 Site Hedge Baseline'!$B$1:$L$257,6,FALSE))))</f>
        <v/>
      </c>
      <c r="G242" s="520" t="str">
        <f>IF(B242="","",IF(ISNA(VLOOKUP($B242,'B-1 Site Hedge Baseline'!$B$1:$L$257,7,FALSE)),"",(VLOOKUP($B242,'B-1 Site Hedge Baseline'!$B$1:$L$257,7,FALSE))))</f>
        <v/>
      </c>
      <c r="H242" s="520" t="str">
        <f>IF(B242="","",IF(ISNA(VLOOKUP($B242,'B-1 Site Hedge Baseline'!$B$1:$L$257,8,FALSE)),"",(VLOOKUP($B242,'B-1 Site Hedge Baseline'!$B$1:$L$257,8,FALSE))))</f>
        <v/>
      </c>
      <c r="I242" s="520" t="str">
        <f>IF(B242="","",IF(ISNA(VLOOKUP($B242,'B-1 Site Hedge Baseline'!$B$1:$L$257,10,FALSE)),"",(VLOOKUP($B242,'B-1 Site Hedge Baseline'!$B$1:$L$257,10,FALSE))))</f>
        <v/>
      </c>
      <c r="J242" s="520" t="str">
        <f>IF(B242="","",IF(ISNA(VLOOKUP($B242,'B-1 Site Hedge Baseline'!$B$1:$L$257,11,FALSE)),"",(VLOOKUP($B242,'B-1 Site Hedge Baseline'!$B$1:$L$257,11,FALSE))))</f>
        <v/>
      </c>
      <c r="K242" s="520" t="str">
        <f>IF(B242="","",IF(ISNA(VLOOKUP($B242,'B-1 Site Hedge Baseline'!$B$1:$U$257,13,FALSE)),"",(VLOOKUP($B242,'B-1 Site Hedge Baseline'!$B$1:$U$257,13,FALSE))))</f>
        <v/>
      </c>
      <c r="L242" s="524" t="str">
        <f>IF(B242="","",IF(ISNA(VLOOKUP($B242,'B-1 Site Hedge Baseline'!$B$1:$U$257,12,FALSE)),"",(VLOOKUP($B242,'B-1 Site Hedge Baseline'!$B$1:$U$257,12,FALSE))))</f>
        <v/>
      </c>
      <c r="M242" s="416" t="str">
        <f t="shared" si="31"/>
        <v/>
      </c>
      <c r="N242" s="498" t="str">
        <f>IFERROR(IF(B242="","",INDEX('G-6 Hedgerow Data'!$AN$3:$AZ$15,MATCH(C242,'G-6 Hedgerow Data'!$AM$3:$AM$15,0),MATCH(M242,'G-6 Hedgerow Data'!$AN$2:$AZ$2,0))),"")</f>
        <v/>
      </c>
      <c r="O242" s="499" t="str">
        <f t="shared" si="26"/>
        <v/>
      </c>
      <c r="P242" s="559" t="str">
        <f>IF(B242="","",VLOOKUP(B242,'B-1 Site Hedge Baseline'!$B$10:T487,16,FALSE))</f>
        <v/>
      </c>
      <c r="Q242" s="498" t="str">
        <f>IF(M242="","",VLOOKUP(M242,'G-6 Hedgerow Data'!$B$2:$AG$15,2,FALSE))</f>
        <v/>
      </c>
      <c r="R242" s="499" t="str">
        <f>IF(M242="","",VLOOKUP(M242,'G-6 Hedgerow Data'!$B$2:$AG$15,3,FALSE))</f>
        <v/>
      </c>
      <c r="S242" s="157"/>
      <c r="T242" s="540" t="str">
        <f>IFERROR(VLOOKUP(S242,'G-1 All Habitats'!$Z$2:$AA$9,2,FALSE),"")</f>
        <v/>
      </c>
      <c r="U242" s="154"/>
      <c r="V242" s="520" t="str">
        <f>IF(U242="","",IF(VLOOKUP(U242,'G-3 Multipliers'!$L$3:$N$6,2,FALSE)=0,"Spatial Data Missing ⚠",VLOOKUP(U242,'G-3 Multipliers'!$L$3:$N$6,2,FALSE)))</f>
        <v/>
      </c>
      <c r="W242" s="524" t="str">
        <f>IF(U242="","",IF(VLOOKUP(U242,'G-3 Multipliers'!$L$3:$N$6,3,FALSE)=0,"Spatial Data Missing ⚠",VLOOKUP(U242,'G-3 Multipliers'!$L$3:$N$6,3,FALSE)))</f>
        <v/>
      </c>
      <c r="X242" s="498"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7" t="str">
        <f t="shared" si="27"/>
        <v/>
      </c>
      <c r="AB242" s="521" t="str">
        <f t="shared" si="28"/>
        <v/>
      </c>
      <c r="AC242" s="522" t="str">
        <f t="shared" si="24"/>
        <v/>
      </c>
      <c r="AD242" s="537" t="str">
        <f>IF(M242="","",VLOOKUP(M242,'G-6 Hedgerow Data'!$B$3:$AG$15,31,FALSE))</f>
        <v/>
      </c>
      <c r="AE242" s="507" t="str">
        <f t="shared" si="29"/>
        <v/>
      </c>
      <c r="AF242" s="507" t="str">
        <f t="shared" si="30"/>
        <v/>
      </c>
      <c r="AG242" s="524" t="str">
        <f>IFERROR(IF(O242="","",VLOOKUP(AD242,'G-3 Multipliers'!$P$3:$Q$6,2,FALSE)),"")</f>
        <v/>
      </c>
      <c r="AH242" s="513" t="str">
        <f t="shared" si="25"/>
        <v/>
      </c>
      <c r="AI242" s="231"/>
      <c r="AJ242" s="150"/>
      <c r="AT242" s="31" t="str">
        <f>IFERROR(INDEX('G-6 Hedgerow Data'!$BJ$3:$BJ$15,MATCH(M242,'G-6 Hedgerow Data'!$B$3:$B$15,0)),"")</f>
        <v/>
      </c>
    </row>
    <row r="243" spans="2:46" ht="13.8" x14ac:dyDescent="0.25">
      <c r="B243" s="531" t="str">
        <f>'B-1 Site Hedge Baseline'!AK241</f>
        <v/>
      </c>
      <c r="C243" s="520" t="str">
        <f>IF(B243="","",IF(ISNA(VLOOKUP($B243,'B-1 Site Hedge Baseline'!$B$1:$L$257,3,FALSE)),"",(VLOOKUP($B243,'B-1 Site Hedge Baseline'!$B$1:$L$257,3,FALSE))))</f>
        <v/>
      </c>
      <c r="D243" s="520" t="str">
        <f>IF(B243="","",IF(ISNA(VLOOKUP($B243,'B-1 Site Hedge Baseline'!$B$1:$L$257,4,FALSE)),"",(VLOOKUP($B243,'B-1 Site Hedge Baseline'!$B$1:$L$257,4,FALSE))))</f>
        <v/>
      </c>
      <c r="E243" s="520" t="str">
        <f>IF(B243="","",IF(ISNA(VLOOKUP($B243,'B-1 Site Hedge Baseline'!$B$1:$L$257,5,FALSE)),"",(VLOOKUP($B243,'B-1 Site Hedge Baseline'!$B$1:$L$257,5,FALSE))))</f>
        <v/>
      </c>
      <c r="F243" s="520" t="str">
        <f>IF(B243="","",IF(ISNA(VLOOKUP($B243,'B-1 Site Hedge Baseline'!$B$1:$L$257,6,FALSE)),"",(VLOOKUP($B243,'B-1 Site Hedge Baseline'!$B$1:$L$257,6,FALSE))))</f>
        <v/>
      </c>
      <c r="G243" s="520" t="str">
        <f>IF(B243="","",IF(ISNA(VLOOKUP($B243,'B-1 Site Hedge Baseline'!$B$1:$L$257,7,FALSE)),"",(VLOOKUP($B243,'B-1 Site Hedge Baseline'!$B$1:$L$257,7,FALSE))))</f>
        <v/>
      </c>
      <c r="H243" s="520" t="str">
        <f>IF(B243="","",IF(ISNA(VLOOKUP($B243,'B-1 Site Hedge Baseline'!$B$1:$L$257,8,FALSE)),"",(VLOOKUP($B243,'B-1 Site Hedge Baseline'!$B$1:$L$257,8,FALSE))))</f>
        <v/>
      </c>
      <c r="I243" s="520" t="str">
        <f>IF(B243="","",IF(ISNA(VLOOKUP($B243,'B-1 Site Hedge Baseline'!$B$1:$L$257,10,FALSE)),"",(VLOOKUP($B243,'B-1 Site Hedge Baseline'!$B$1:$L$257,10,FALSE))))</f>
        <v/>
      </c>
      <c r="J243" s="520" t="str">
        <f>IF(B243="","",IF(ISNA(VLOOKUP($B243,'B-1 Site Hedge Baseline'!$B$1:$L$257,11,FALSE)),"",(VLOOKUP($B243,'B-1 Site Hedge Baseline'!$B$1:$L$257,11,FALSE))))</f>
        <v/>
      </c>
      <c r="K243" s="520" t="str">
        <f>IF(B243="","",IF(ISNA(VLOOKUP($B243,'B-1 Site Hedge Baseline'!$B$1:$U$257,13,FALSE)),"",(VLOOKUP($B243,'B-1 Site Hedge Baseline'!$B$1:$U$257,13,FALSE))))</f>
        <v/>
      </c>
      <c r="L243" s="524" t="str">
        <f>IF(B243="","",IF(ISNA(VLOOKUP($B243,'B-1 Site Hedge Baseline'!$B$1:$U$257,12,FALSE)),"",(VLOOKUP($B243,'B-1 Site Hedge Baseline'!$B$1:$U$257,12,FALSE))))</f>
        <v/>
      </c>
      <c r="M243" s="416" t="str">
        <f t="shared" si="31"/>
        <v/>
      </c>
      <c r="N243" s="498" t="str">
        <f>IFERROR(IF(B243="","",INDEX('G-6 Hedgerow Data'!$AN$3:$AZ$15,MATCH(C243,'G-6 Hedgerow Data'!$AM$3:$AM$15,0),MATCH(M243,'G-6 Hedgerow Data'!$AN$2:$AZ$2,0))),"")</f>
        <v/>
      </c>
      <c r="O243" s="499" t="str">
        <f t="shared" si="26"/>
        <v/>
      </c>
      <c r="P243" s="559" t="str">
        <f>IF(B243="","",VLOOKUP(B243,'B-1 Site Hedge Baseline'!$B$10:T488,16,FALSE))</f>
        <v/>
      </c>
      <c r="Q243" s="498" t="str">
        <f>IF(M243="","",VLOOKUP(M243,'G-6 Hedgerow Data'!$B$2:$AG$15,2,FALSE))</f>
        <v/>
      </c>
      <c r="R243" s="499" t="str">
        <f>IF(M243="","",VLOOKUP(M243,'G-6 Hedgerow Data'!$B$2:$AG$15,3,FALSE))</f>
        <v/>
      </c>
      <c r="S243" s="157"/>
      <c r="T243" s="540" t="str">
        <f>IFERROR(VLOOKUP(S243,'G-1 All Habitats'!$Z$2:$AA$9,2,FALSE),"")</f>
        <v/>
      </c>
      <c r="U243" s="154"/>
      <c r="V243" s="520" t="str">
        <f>IF(U243="","",IF(VLOOKUP(U243,'G-3 Multipliers'!$L$3:$N$6,2,FALSE)=0,"Spatial Data Missing ⚠",VLOOKUP(U243,'G-3 Multipliers'!$L$3:$N$6,2,FALSE)))</f>
        <v/>
      </c>
      <c r="W243" s="524" t="str">
        <f>IF(U243="","",IF(VLOOKUP(U243,'G-3 Multipliers'!$L$3:$N$6,3,FALSE)=0,"Spatial Data Missing ⚠",VLOOKUP(U243,'G-3 Multipliers'!$L$3:$N$6,3,FALSE)))</f>
        <v/>
      </c>
      <c r="X243" s="498"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7" t="str">
        <f t="shared" si="27"/>
        <v/>
      </c>
      <c r="AB243" s="521" t="str">
        <f t="shared" si="28"/>
        <v/>
      </c>
      <c r="AC243" s="522" t="str">
        <f t="shared" si="24"/>
        <v/>
      </c>
      <c r="AD243" s="537" t="str">
        <f>IF(M243="","",VLOOKUP(M243,'G-6 Hedgerow Data'!$B$3:$AG$15,31,FALSE))</f>
        <v/>
      </c>
      <c r="AE243" s="507" t="str">
        <f t="shared" si="29"/>
        <v/>
      </c>
      <c r="AF243" s="507" t="str">
        <f t="shared" si="30"/>
        <v/>
      </c>
      <c r="AG243" s="524" t="str">
        <f>IFERROR(IF(O243="","",VLOOKUP(AD243,'G-3 Multipliers'!$P$3:$Q$6,2,FALSE)),"")</f>
        <v/>
      </c>
      <c r="AH243" s="513" t="str">
        <f t="shared" si="25"/>
        <v/>
      </c>
      <c r="AI243" s="231"/>
      <c r="AJ243" s="150"/>
      <c r="AT243" s="31" t="str">
        <f>IFERROR(INDEX('G-6 Hedgerow Data'!$BJ$3:$BJ$15,MATCH(M243,'G-6 Hedgerow Data'!$B$3:$B$15,0)),"")</f>
        <v/>
      </c>
    </row>
    <row r="244" spans="2:46" ht="13.8" x14ac:dyDescent="0.25">
      <c r="B244" s="531" t="str">
        <f>'B-1 Site Hedge Baseline'!AK242</f>
        <v/>
      </c>
      <c r="C244" s="520" t="str">
        <f>IF(B244="","",IF(ISNA(VLOOKUP($B244,'B-1 Site Hedge Baseline'!$B$1:$L$257,3,FALSE)),"",(VLOOKUP($B244,'B-1 Site Hedge Baseline'!$B$1:$L$257,3,FALSE))))</f>
        <v/>
      </c>
      <c r="D244" s="520" t="str">
        <f>IF(B244="","",IF(ISNA(VLOOKUP($B244,'B-1 Site Hedge Baseline'!$B$1:$L$257,4,FALSE)),"",(VLOOKUP($B244,'B-1 Site Hedge Baseline'!$B$1:$L$257,4,FALSE))))</f>
        <v/>
      </c>
      <c r="E244" s="520" t="str">
        <f>IF(B244="","",IF(ISNA(VLOOKUP($B244,'B-1 Site Hedge Baseline'!$B$1:$L$257,5,FALSE)),"",(VLOOKUP($B244,'B-1 Site Hedge Baseline'!$B$1:$L$257,5,FALSE))))</f>
        <v/>
      </c>
      <c r="F244" s="520" t="str">
        <f>IF(B244="","",IF(ISNA(VLOOKUP($B244,'B-1 Site Hedge Baseline'!$B$1:$L$257,6,FALSE)),"",(VLOOKUP($B244,'B-1 Site Hedge Baseline'!$B$1:$L$257,6,FALSE))))</f>
        <v/>
      </c>
      <c r="G244" s="520" t="str">
        <f>IF(B244="","",IF(ISNA(VLOOKUP($B244,'B-1 Site Hedge Baseline'!$B$1:$L$257,7,FALSE)),"",(VLOOKUP($B244,'B-1 Site Hedge Baseline'!$B$1:$L$257,7,FALSE))))</f>
        <v/>
      </c>
      <c r="H244" s="520" t="str">
        <f>IF(B244="","",IF(ISNA(VLOOKUP($B244,'B-1 Site Hedge Baseline'!$B$1:$L$257,8,FALSE)),"",(VLOOKUP($B244,'B-1 Site Hedge Baseline'!$B$1:$L$257,8,FALSE))))</f>
        <v/>
      </c>
      <c r="I244" s="520" t="str">
        <f>IF(B244="","",IF(ISNA(VLOOKUP($B244,'B-1 Site Hedge Baseline'!$B$1:$L$257,10,FALSE)),"",(VLOOKUP($B244,'B-1 Site Hedge Baseline'!$B$1:$L$257,10,FALSE))))</f>
        <v/>
      </c>
      <c r="J244" s="520" t="str">
        <f>IF(B244="","",IF(ISNA(VLOOKUP($B244,'B-1 Site Hedge Baseline'!$B$1:$L$257,11,FALSE)),"",(VLOOKUP($B244,'B-1 Site Hedge Baseline'!$B$1:$L$257,11,FALSE))))</f>
        <v/>
      </c>
      <c r="K244" s="520" t="str">
        <f>IF(B244="","",IF(ISNA(VLOOKUP($B244,'B-1 Site Hedge Baseline'!$B$1:$U$257,13,FALSE)),"",(VLOOKUP($B244,'B-1 Site Hedge Baseline'!$B$1:$U$257,13,FALSE))))</f>
        <v/>
      </c>
      <c r="L244" s="524" t="str">
        <f>IF(B244="","",IF(ISNA(VLOOKUP($B244,'B-1 Site Hedge Baseline'!$B$1:$U$257,12,FALSE)),"",(VLOOKUP($B244,'B-1 Site Hedge Baseline'!$B$1:$U$257,12,FALSE))))</f>
        <v/>
      </c>
      <c r="M244" s="416" t="str">
        <f t="shared" si="31"/>
        <v/>
      </c>
      <c r="N244" s="498" t="str">
        <f>IFERROR(IF(B244="","",INDEX('G-6 Hedgerow Data'!$AN$3:$AZ$15,MATCH(C244,'G-6 Hedgerow Data'!$AM$3:$AM$15,0),MATCH(M244,'G-6 Hedgerow Data'!$AN$2:$AZ$2,0))),"")</f>
        <v/>
      </c>
      <c r="O244" s="499" t="str">
        <f t="shared" si="26"/>
        <v/>
      </c>
      <c r="P244" s="559" t="str">
        <f>IF(B244="","",VLOOKUP(B244,'B-1 Site Hedge Baseline'!$B$10:T489,16,FALSE))</f>
        <v/>
      </c>
      <c r="Q244" s="498" t="str">
        <f>IF(M244="","",VLOOKUP(M244,'G-6 Hedgerow Data'!$B$2:$AG$15,2,FALSE))</f>
        <v/>
      </c>
      <c r="R244" s="499" t="str">
        <f>IF(M244="","",VLOOKUP(M244,'G-6 Hedgerow Data'!$B$2:$AG$15,3,FALSE))</f>
        <v/>
      </c>
      <c r="S244" s="157"/>
      <c r="T244" s="540" t="str">
        <f>IFERROR(VLOOKUP(S244,'G-1 All Habitats'!$Z$2:$AA$9,2,FALSE),"")</f>
        <v/>
      </c>
      <c r="U244" s="154"/>
      <c r="V244" s="520" t="str">
        <f>IF(U244="","",IF(VLOOKUP(U244,'G-3 Multipliers'!$L$3:$N$6,2,FALSE)=0,"Spatial Data Missing ⚠",VLOOKUP(U244,'G-3 Multipliers'!$L$3:$N$6,2,FALSE)))</f>
        <v/>
      </c>
      <c r="W244" s="524" t="str">
        <f>IF(U244="","",IF(VLOOKUP(U244,'G-3 Multipliers'!$L$3:$N$6,3,FALSE)=0,"Spatial Data Missing ⚠",VLOOKUP(U244,'G-3 Multipliers'!$L$3:$N$6,3,FALSE)))</f>
        <v/>
      </c>
      <c r="X244" s="498"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7" t="str">
        <f t="shared" si="27"/>
        <v/>
      </c>
      <c r="AB244" s="521" t="str">
        <f t="shared" si="28"/>
        <v/>
      </c>
      <c r="AC244" s="522" t="str">
        <f t="shared" si="24"/>
        <v/>
      </c>
      <c r="AD244" s="537" t="str">
        <f>IF(M244="","",VLOOKUP(M244,'G-6 Hedgerow Data'!$B$3:$AG$15,31,FALSE))</f>
        <v/>
      </c>
      <c r="AE244" s="507" t="str">
        <f t="shared" si="29"/>
        <v/>
      </c>
      <c r="AF244" s="507" t="str">
        <f t="shared" si="30"/>
        <v/>
      </c>
      <c r="AG244" s="524" t="str">
        <f>IFERROR(IF(O244="","",VLOOKUP(AD244,'G-3 Multipliers'!$P$3:$Q$6,2,FALSE)),"")</f>
        <v/>
      </c>
      <c r="AH244" s="513" t="str">
        <f t="shared" si="25"/>
        <v/>
      </c>
      <c r="AI244" s="231"/>
      <c r="AJ244" s="150"/>
      <c r="AT244" s="31" t="str">
        <f>IFERROR(INDEX('G-6 Hedgerow Data'!$BJ$3:$BJ$15,MATCH(M244,'G-6 Hedgerow Data'!$B$3:$B$15,0)),"")</f>
        <v/>
      </c>
    </row>
    <row r="245" spans="2:46" ht="13.8" x14ac:dyDescent="0.25">
      <c r="B245" s="531" t="str">
        <f>'B-1 Site Hedge Baseline'!AK243</f>
        <v/>
      </c>
      <c r="C245" s="520" t="str">
        <f>IF(B245="","",IF(ISNA(VLOOKUP($B245,'B-1 Site Hedge Baseline'!$B$1:$L$257,3,FALSE)),"",(VLOOKUP($B245,'B-1 Site Hedge Baseline'!$B$1:$L$257,3,FALSE))))</f>
        <v/>
      </c>
      <c r="D245" s="520" t="str">
        <f>IF(B245="","",IF(ISNA(VLOOKUP($B245,'B-1 Site Hedge Baseline'!$B$1:$L$257,4,FALSE)),"",(VLOOKUP($B245,'B-1 Site Hedge Baseline'!$B$1:$L$257,4,FALSE))))</f>
        <v/>
      </c>
      <c r="E245" s="520" t="str">
        <f>IF(B245="","",IF(ISNA(VLOOKUP($B245,'B-1 Site Hedge Baseline'!$B$1:$L$257,5,FALSE)),"",(VLOOKUP($B245,'B-1 Site Hedge Baseline'!$B$1:$L$257,5,FALSE))))</f>
        <v/>
      </c>
      <c r="F245" s="520" t="str">
        <f>IF(B245="","",IF(ISNA(VLOOKUP($B245,'B-1 Site Hedge Baseline'!$B$1:$L$257,6,FALSE)),"",(VLOOKUP($B245,'B-1 Site Hedge Baseline'!$B$1:$L$257,6,FALSE))))</f>
        <v/>
      </c>
      <c r="G245" s="520" t="str">
        <f>IF(B245="","",IF(ISNA(VLOOKUP($B245,'B-1 Site Hedge Baseline'!$B$1:$L$257,7,FALSE)),"",(VLOOKUP($B245,'B-1 Site Hedge Baseline'!$B$1:$L$257,7,FALSE))))</f>
        <v/>
      </c>
      <c r="H245" s="520" t="str">
        <f>IF(B245="","",IF(ISNA(VLOOKUP($B245,'B-1 Site Hedge Baseline'!$B$1:$L$257,8,FALSE)),"",(VLOOKUP($B245,'B-1 Site Hedge Baseline'!$B$1:$L$257,8,FALSE))))</f>
        <v/>
      </c>
      <c r="I245" s="520" t="str">
        <f>IF(B245="","",IF(ISNA(VLOOKUP($B245,'B-1 Site Hedge Baseline'!$B$1:$L$257,10,FALSE)),"",(VLOOKUP($B245,'B-1 Site Hedge Baseline'!$B$1:$L$257,10,FALSE))))</f>
        <v/>
      </c>
      <c r="J245" s="520" t="str">
        <f>IF(B245="","",IF(ISNA(VLOOKUP($B245,'B-1 Site Hedge Baseline'!$B$1:$L$257,11,FALSE)),"",(VLOOKUP($B245,'B-1 Site Hedge Baseline'!$B$1:$L$257,11,FALSE))))</f>
        <v/>
      </c>
      <c r="K245" s="520" t="str">
        <f>IF(B245="","",IF(ISNA(VLOOKUP($B245,'B-1 Site Hedge Baseline'!$B$1:$U$257,13,FALSE)),"",(VLOOKUP($B245,'B-1 Site Hedge Baseline'!$B$1:$U$257,13,FALSE))))</f>
        <v/>
      </c>
      <c r="L245" s="524" t="str">
        <f>IF(B245="","",IF(ISNA(VLOOKUP($B245,'B-1 Site Hedge Baseline'!$B$1:$U$257,12,FALSE)),"",(VLOOKUP($B245,'B-1 Site Hedge Baseline'!$B$1:$U$257,12,FALSE))))</f>
        <v/>
      </c>
      <c r="M245" s="416" t="str">
        <f t="shared" si="31"/>
        <v/>
      </c>
      <c r="N245" s="498" t="str">
        <f>IFERROR(IF(B245="","",INDEX('G-6 Hedgerow Data'!$AN$3:$AZ$15,MATCH(C245,'G-6 Hedgerow Data'!$AM$3:$AM$15,0),MATCH(M245,'G-6 Hedgerow Data'!$AN$2:$AZ$2,0))),"")</f>
        <v/>
      </c>
      <c r="O245" s="499" t="str">
        <f t="shared" si="26"/>
        <v/>
      </c>
      <c r="P245" s="559" t="str">
        <f>IF(B245="","",VLOOKUP(B245,'B-1 Site Hedge Baseline'!$B$10:T490,16,FALSE))</f>
        <v/>
      </c>
      <c r="Q245" s="498" t="str">
        <f>IF(M245="","",VLOOKUP(M245,'G-6 Hedgerow Data'!$B$2:$AG$15,2,FALSE))</f>
        <v/>
      </c>
      <c r="R245" s="499" t="str">
        <f>IF(M245="","",VLOOKUP(M245,'G-6 Hedgerow Data'!$B$2:$AG$15,3,FALSE))</f>
        <v/>
      </c>
      <c r="S245" s="157"/>
      <c r="T245" s="540" t="str">
        <f>IFERROR(VLOOKUP(S245,'G-1 All Habitats'!$Z$2:$AA$9,2,FALSE),"")</f>
        <v/>
      </c>
      <c r="U245" s="154"/>
      <c r="V245" s="520" t="str">
        <f>IF(U245="","",IF(VLOOKUP(U245,'G-3 Multipliers'!$L$3:$N$6,2,FALSE)=0,"Spatial Data Missing ⚠",VLOOKUP(U245,'G-3 Multipliers'!$L$3:$N$6,2,FALSE)))</f>
        <v/>
      </c>
      <c r="W245" s="524" t="str">
        <f>IF(U245="","",IF(VLOOKUP(U245,'G-3 Multipliers'!$L$3:$N$6,3,FALSE)=0,"Spatial Data Missing ⚠",VLOOKUP(U245,'G-3 Multipliers'!$L$3:$N$6,3,FALSE)))</f>
        <v/>
      </c>
      <c r="X245" s="498"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7" t="str">
        <f t="shared" si="27"/>
        <v/>
      </c>
      <c r="AB245" s="521" t="str">
        <f t="shared" si="28"/>
        <v/>
      </c>
      <c r="AC245" s="522" t="str">
        <f t="shared" si="24"/>
        <v/>
      </c>
      <c r="AD245" s="537" t="str">
        <f>IF(M245="","",VLOOKUP(M245,'G-6 Hedgerow Data'!$B$3:$AG$15,31,FALSE))</f>
        <v/>
      </c>
      <c r="AE245" s="507" t="str">
        <f t="shared" si="29"/>
        <v/>
      </c>
      <c r="AF245" s="507" t="str">
        <f t="shared" si="30"/>
        <v/>
      </c>
      <c r="AG245" s="524" t="str">
        <f>IFERROR(IF(O245="","",VLOOKUP(AD245,'G-3 Multipliers'!$P$3:$Q$6,2,FALSE)),"")</f>
        <v/>
      </c>
      <c r="AH245" s="513" t="str">
        <f t="shared" si="25"/>
        <v/>
      </c>
      <c r="AI245" s="231"/>
      <c r="AJ245" s="150"/>
      <c r="AT245" s="31" t="str">
        <f>IFERROR(INDEX('G-6 Hedgerow Data'!$BJ$3:$BJ$15,MATCH(M245,'G-6 Hedgerow Data'!$B$3:$B$15,0)),"")</f>
        <v/>
      </c>
    </row>
    <row r="246" spans="2:46" ht="13.8" x14ac:dyDescent="0.25">
      <c r="B246" s="531" t="str">
        <f>'B-1 Site Hedge Baseline'!AK244</f>
        <v/>
      </c>
      <c r="C246" s="520" t="str">
        <f>IF(B246="","",IF(ISNA(VLOOKUP($B246,'B-1 Site Hedge Baseline'!$B$1:$L$257,3,FALSE)),"",(VLOOKUP($B246,'B-1 Site Hedge Baseline'!$B$1:$L$257,3,FALSE))))</f>
        <v/>
      </c>
      <c r="D246" s="520" t="str">
        <f>IF(B246="","",IF(ISNA(VLOOKUP($B246,'B-1 Site Hedge Baseline'!$B$1:$L$257,4,FALSE)),"",(VLOOKUP($B246,'B-1 Site Hedge Baseline'!$B$1:$L$257,4,FALSE))))</f>
        <v/>
      </c>
      <c r="E246" s="520" t="str">
        <f>IF(B246="","",IF(ISNA(VLOOKUP($B246,'B-1 Site Hedge Baseline'!$B$1:$L$257,5,FALSE)),"",(VLOOKUP($B246,'B-1 Site Hedge Baseline'!$B$1:$L$257,5,FALSE))))</f>
        <v/>
      </c>
      <c r="F246" s="520" t="str">
        <f>IF(B246="","",IF(ISNA(VLOOKUP($B246,'B-1 Site Hedge Baseline'!$B$1:$L$257,6,FALSE)),"",(VLOOKUP($B246,'B-1 Site Hedge Baseline'!$B$1:$L$257,6,FALSE))))</f>
        <v/>
      </c>
      <c r="G246" s="520" t="str">
        <f>IF(B246="","",IF(ISNA(VLOOKUP($B246,'B-1 Site Hedge Baseline'!$B$1:$L$257,7,FALSE)),"",(VLOOKUP($B246,'B-1 Site Hedge Baseline'!$B$1:$L$257,7,FALSE))))</f>
        <v/>
      </c>
      <c r="H246" s="520" t="str">
        <f>IF(B246="","",IF(ISNA(VLOOKUP($B246,'B-1 Site Hedge Baseline'!$B$1:$L$257,8,FALSE)),"",(VLOOKUP($B246,'B-1 Site Hedge Baseline'!$B$1:$L$257,8,FALSE))))</f>
        <v/>
      </c>
      <c r="I246" s="520" t="str">
        <f>IF(B246="","",IF(ISNA(VLOOKUP($B246,'B-1 Site Hedge Baseline'!$B$1:$L$257,10,FALSE)),"",(VLOOKUP($B246,'B-1 Site Hedge Baseline'!$B$1:$L$257,10,FALSE))))</f>
        <v/>
      </c>
      <c r="J246" s="520" t="str">
        <f>IF(B246="","",IF(ISNA(VLOOKUP($B246,'B-1 Site Hedge Baseline'!$B$1:$L$257,11,FALSE)),"",(VLOOKUP($B246,'B-1 Site Hedge Baseline'!$B$1:$L$257,11,FALSE))))</f>
        <v/>
      </c>
      <c r="K246" s="520" t="str">
        <f>IF(B246="","",IF(ISNA(VLOOKUP($B246,'B-1 Site Hedge Baseline'!$B$1:$U$257,13,FALSE)),"",(VLOOKUP($B246,'B-1 Site Hedge Baseline'!$B$1:$U$257,13,FALSE))))</f>
        <v/>
      </c>
      <c r="L246" s="524" t="str">
        <f>IF(B246="","",IF(ISNA(VLOOKUP($B246,'B-1 Site Hedge Baseline'!$B$1:$U$257,12,FALSE)),"",(VLOOKUP($B246,'B-1 Site Hedge Baseline'!$B$1:$U$257,12,FALSE))))</f>
        <v/>
      </c>
      <c r="M246" s="416" t="str">
        <f t="shared" si="31"/>
        <v/>
      </c>
      <c r="N246" s="498" t="str">
        <f>IFERROR(IF(B246="","",INDEX('G-6 Hedgerow Data'!$AN$3:$AZ$15,MATCH(C246,'G-6 Hedgerow Data'!$AM$3:$AM$15,0),MATCH(M246,'G-6 Hedgerow Data'!$AN$2:$AZ$2,0))),"")</f>
        <v/>
      </c>
      <c r="O246" s="499" t="str">
        <f t="shared" si="26"/>
        <v/>
      </c>
      <c r="P246" s="559" t="str">
        <f>IF(B246="","",VLOOKUP(B246,'B-1 Site Hedge Baseline'!$B$10:T491,16,FALSE))</f>
        <v/>
      </c>
      <c r="Q246" s="498" t="str">
        <f>IF(M246="","",VLOOKUP(M246,'G-6 Hedgerow Data'!$B$2:$AG$15,2,FALSE))</f>
        <v/>
      </c>
      <c r="R246" s="499" t="str">
        <f>IF(M246="","",VLOOKUP(M246,'G-6 Hedgerow Data'!$B$2:$AG$15,3,FALSE))</f>
        <v/>
      </c>
      <c r="S246" s="157"/>
      <c r="T246" s="540" t="str">
        <f>IFERROR(VLOOKUP(S246,'G-1 All Habitats'!$Z$2:$AA$9,2,FALSE),"")</f>
        <v/>
      </c>
      <c r="U246" s="154"/>
      <c r="V246" s="520" t="str">
        <f>IF(U246="","",IF(VLOOKUP(U246,'G-3 Multipliers'!$L$3:$N$6,2,FALSE)=0,"Spatial Data Missing ⚠",VLOOKUP(U246,'G-3 Multipliers'!$L$3:$N$6,2,FALSE)))</f>
        <v/>
      </c>
      <c r="W246" s="524" t="str">
        <f>IF(U246="","",IF(VLOOKUP(U246,'G-3 Multipliers'!$L$3:$N$6,3,FALSE)=0,"Spatial Data Missing ⚠",VLOOKUP(U246,'G-3 Multipliers'!$L$3:$N$6,3,FALSE)))</f>
        <v/>
      </c>
      <c r="X246" s="498"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7" t="str">
        <f t="shared" si="27"/>
        <v/>
      </c>
      <c r="AB246" s="521" t="str">
        <f t="shared" si="28"/>
        <v/>
      </c>
      <c r="AC246" s="522" t="str">
        <f t="shared" si="24"/>
        <v/>
      </c>
      <c r="AD246" s="537" t="str">
        <f>IF(M246="","",VLOOKUP(M246,'G-6 Hedgerow Data'!$B$3:$AG$15,31,FALSE))</f>
        <v/>
      </c>
      <c r="AE246" s="507" t="str">
        <f t="shared" si="29"/>
        <v/>
      </c>
      <c r="AF246" s="507" t="str">
        <f t="shared" si="30"/>
        <v/>
      </c>
      <c r="AG246" s="524" t="str">
        <f>IFERROR(IF(O246="","",VLOOKUP(AD246,'G-3 Multipliers'!$P$3:$Q$6,2,FALSE)),"")</f>
        <v/>
      </c>
      <c r="AH246" s="513" t="str">
        <f t="shared" si="25"/>
        <v/>
      </c>
      <c r="AI246" s="231"/>
      <c r="AJ246" s="150"/>
      <c r="AT246" s="31" t="str">
        <f>IFERROR(INDEX('G-6 Hedgerow Data'!$BJ$3:$BJ$15,MATCH(M246,'G-6 Hedgerow Data'!$B$3:$B$15,0)),"")</f>
        <v/>
      </c>
    </row>
    <row r="247" spans="2:46" ht="13.8" x14ac:dyDescent="0.25">
      <c r="B247" s="531" t="str">
        <f>'B-1 Site Hedge Baseline'!AK245</f>
        <v/>
      </c>
      <c r="C247" s="520" t="str">
        <f>IF(B247="","",IF(ISNA(VLOOKUP($B247,'B-1 Site Hedge Baseline'!$B$1:$L$257,3,FALSE)),"",(VLOOKUP($B247,'B-1 Site Hedge Baseline'!$B$1:$L$257,3,FALSE))))</f>
        <v/>
      </c>
      <c r="D247" s="520" t="str">
        <f>IF(B247="","",IF(ISNA(VLOOKUP($B247,'B-1 Site Hedge Baseline'!$B$1:$L$257,4,FALSE)),"",(VLOOKUP($B247,'B-1 Site Hedge Baseline'!$B$1:$L$257,4,FALSE))))</f>
        <v/>
      </c>
      <c r="E247" s="520" t="str">
        <f>IF(B247="","",IF(ISNA(VLOOKUP($B247,'B-1 Site Hedge Baseline'!$B$1:$L$257,5,FALSE)),"",(VLOOKUP($B247,'B-1 Site Hedge Baseline'!$B$1:$L$257,5,FALSE))))</f>
        <v/>
      </c>
      <c r="F247" s="520" t="str">
        <f>IF(B247="","",IF(ISNA(VLOOKUP($B247,'B-1 Site Hedge Baseline'!$B$1:$L$257,6,FALSE)),"",(VLOOKUP($B247,'B-1 Site Hedge Baseline'!$B$1:$L$257,6,FALSE))))</f>
        <v/>
      </c>
      <c r="G247" s="520" t="str">
        <f>IF(B247="","",IF(ISNA(VLOOKUP($B247,'B-1 Site Hedge Baseline'!$B$1:$L$257,7,FALSE)),"",(VLOOKUP($B247,'B-1 Site Hedge Baseline'!$B$1:$L$257,7,FALSE))))</f>
        <v/>
      </c>
      <c r="H247" s="520" t="str">
        <f>IF(B247="","",IF(ISNA(VLOOKUP($B247,'B-1 Site Hedge Baseline'!$B$1:$L$257,8,FALSE)),"",(VLOOKUP($B247,'B-1 Site Hedge Baseline'!$B$1:$L$257,8,FALSE))))</f>
        <v/>
      </c>
      <c r="I247" s="520" t="str">
        <f>IF(B247="","",IF(ISNA(VLOOKUP($B247,'B-1 Site Hedge Baseline'!$B$1:$L$257,10,FALSE)),"",(VLOOKUP($B247,'B-1 Site Hedge Baseline'!$B$1:$L$257,10,FALSE))))</f>
        <v/>
      </c>
      <c r="J247" s="520" t="str">
        <f>IF(B247="","",IF(ISNA(VLOOKUP($B247,'B-1 Site Hedge Baseline'!$B$1:$L$257,11,FALSE)),"",(VLOOKUP($B247,'B-1 Site Hedge Baseline'!$B$1:$L$257,11,FALSE))))</f>
        <v/>
      </c>
      <c r="K247" s="520" t="str">
        <f>IF(B247="","",IF(ISNA(VLOOKUP($B247,'B-1 Site Hedge Baseline'!$B$1:$U$257,13,FALSE)),"",(VLOOKUP($B247,'B-1 Site Hedge Baseline'!$B$1:$U$257,13,FALSE))))</f>
        <v/>
      </c>
      <c r="L247" s="524" t="str">
        <f>IF(B247="","",IF(ISNA(VLOOKUP($B247,'B-1 Site Hedge Baseline'!$B$1:$U$257,12,FALSE)),"",(VLOOKUP($B247,'B-1 Site Hedge Baseline'!$B$1:$U$257,12,FALSE))))</f>
        <v/>
      </c>
      <c r="M247" s="416" t="str">
        <f t="shared" si="31"/>
        <v/>
      </c>
      <c r="N247" s="498" t="str">
        <f>IFERROR(IF(B247="","",INDEX('G-6 Hedgerow Data'!$AN$3:$AZ$15,MATCH(C247,'G-6 Hedgerow Data'!$AM$3:$AM$15,0),MATCH(M247,'G-6 Hedgerow Data'!$AN$2:$AZ$2,0))),"")</f>
        <v/>
      </c>
      <c r="O247" s="499" t="str">
        <f t="shared" si="26"/>
        <v/>
      </c>
      <c r="P247" s="559" t="str">
        <f>IF(B247="","",VLOOKUP(B247,'B-1 Site Hedge Baseline'!$B$10:T492,16,FALSE))</f>
        <v/>
      </c>
      <c r="Q247" s="498" t="str">
        <f>IF(M247="","",VLOOKUP(M247,'G-6 Hedgerow Data'!$B$2:$AG$15,2,FALSE))</f>
        <v/>
      </c>
      <c r="R247" s="499" t="str">
        <f>IF(M247="","",VLOOKUP(M247,'G-6 Hedgerow Data'!$B$2:$AG$15,3,FALSE))</f>
        <v/>
      </c>
      <c r="S247" s="157"/>
      <c r="T247" s="540" t="str">
        <f>IFERROR(VLOOKUP(S247,'G-1 All Habitats'!$Z$2:$AA$9,2,FALSE),"")</f>
        <v/>
      </c>
      <c r="U247" s="154"/>
      <c r="V247" s="520" t="str">
        <f>IF(U247="","",IF(VLOOKUP(U247,'G-3 Multipliers'!$L$3:$N$6,2,FALSE)=0,"Spatial Data Missing ⚠",VLOOKUP(U247,'G-3 Multipliers'!$L$3:$N$6,2,FALSE)))</f>
        <v/>
      </c>
      <c r="W247" s="524" t="str">
        <f>IF(U247="","",IF(VLOOKUP(U247,'G-3 Multipliers'!$L$3:$N$6,3,FALSE)=0,"Spatial Data Missing ⚠",VLOOKUP(U247,'G-3 Multipliers'!$L$3:$N$6,3,FALSE)))</f>
        <v/>
      </c>
      <c r="X247" s="498"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7" t="str">
        <f t="shared" si="27"/>
        <v/>
      </c>
      <c r="AB247" s="521" t="str">
        <f t="shared" si="28"/>
        <v/>
      </c>
      <c r="AC247" s="522" t="str">
        <f t="shared" si="24"/>
        <v/>
      </c>
      <c r="AD247" s="537" t="str">
        <f>IF(M247="","",VLOOKUP(M247,'G-6 Hedgerow Data'!$B$3:$AG$15,31,FALSE))</f>
        <v/>
      </c>
      <c r="AE247" s="507" t="str">
        <f t="shared" si="29"/>
        <v/>
      </c>
      <c r="AF247" s="507" t="str">
        <f t="shared" si="30"/>
        <v/>
      </c>
      <c r="AG247" s="524" t="str">
        <f>IFERROR(IF(O247="","",VLOOKUP(AD247,'G-3 Multipliers'!$P$3:$Q$6,2,FALSE)),"")</f>
        <v/>
      </c>
      <c r="AH247" s="513" t="str">
        <f t="shared" si="25"/>
        <v/>
      </c>
      <c r="AI247" s="231"/>
      <c r="AJ247" s="150"/>
      <c r="AT247" s="31" t="str">
        <f>IFERROR(INDEX('G-6 Hedgerow Data'!$BJ$3:$BJ$15,MATCH(M247,'G-6 Hedgerow Data'!$B$3:$B$15,0)),"")</f>
        <v/>
      </c>
    </row>
    <row r="248" spans="2:46" ht="13.8" x14ac:dyDescent="0.25">
      <c r="B248" s="531" t="str">
        <f>'B-1 Site Hedge Baseline'!AK246</f>
        <v/>
      </c>
      <c r="C248" s="520" t="str">
        <f>IF(B248="","",IF(ISNA(VLOOKUP($B248,'B-1 Site Hedge Baseline'!$B$1:$L$257,3,FALSE)),"",(VLOOKUP($B248,'B-1 Site Hedge Baseline'!$B$1:$L$257,3,FALSE))))</f>
        <v/>
      </c>
      <c r="D248" s="520" t="str">
        <f>IF(B248="","",IF(ISNA(VLOOKUP($B248,'B-1 Site Hedge Baseline'!$B$1:$L$257,4,FALSE)),"",(VLOOKUP($B248,'B-1 Site Hedge Baseline'!$B$1:$L$257,4,FALSE))))</f>
        <v/>
      </c>
      <c r="E248" s="520" t="str">
        <f>IF(B248="","",IF(ISNA(VLOOKUP($B248,'B-1 Site Hedge Baseline'!$B$1:$L$257,5,FALSE)),"",(VLOOKUP($B248,'B-1 Site Hedge Baseline'!$B$1:$L$257,5,FALSE))))</f>
        <v/>
      </c>
      <c r="F248" s="520" t="str">
        <f>IF(B248="","",IF(ISNA(VLOOKUP($B248,'B-1 Site Hedge Baseline'!$B$1:$L$257,6,FALSE)),"",(VLOOKUP($B248,'B-1 Site Hedge Baseline'!$B$1:$L$257,6,FALSE))))</f>
        <v/>
      </c>
      <c r="G248" s="520" t="str">
        <f>IF(B248="","",IF(ISNA(VLOOKUP($B248,'B-1 Site Hedge Baseline'!$B$1:$L$257,7,FALSE)),"",(VLOOKUP($B248,'B-1 Site Hedge Baseline'!$B$1:$L$257,7,FALSE))))</f>
        <v/>
      </c>
      <c r="H248" s="520" t="str">
        <f>IF(B248="","",IF(ISNA(VLOOKUP($B248,'B-1 Site Hedge Baseline'!$B$1:$L$257,8,FALSE)),"",(VLOOKUP($B248,'B-1 Site Hedge Baseline'!$B$1:$L$257,8,FALSE))))</f>
        <v/>
      </c>
      <c r="I248" s="520" t="str">
        <f>IF(B248="","",IF(ISNA(VLOOKUP($B248,'B-1 Site Hedge Baseline'!$B$1:$L$257,10,FALSE)),"",(VLOOKUP($B248,'B-1 Site Hedge Baseline'!$B$1:$L$257,10,FALSE))))</f>
        <v/>
      </c>
      <c r="J248" s="520" t="str">
        <f>IF(B248="","",IF(ISNA(VLOOKUP($B248,'B-1 Site Hedge Baseline'!$B$1:$L$257,11,FALSE)),"",(VLOOKUP($B248,'B-1 Site Hedge Baseline'!$B$1:$L$257,11,FALSE))))</f>
        <v/>
      </c>
      <c r="K248" s="520" t="str">
        <f>IF(B248="","",IF(ISNA(VLOOKUP($B248,'B-1 Site Hedge Baseline'!$B$1:$U$257,13,FALSE)),"",(VLOOKUP($B248,'B-1 Site Hedge Baseline'!$B$1:$U$257,13,FALSE))))</f>
        <v/>
      </c>
      <c r="L248" s="524" t="str">
        <f>IF(B248="","",IF(ISNA(VLOOKUP($B248,'B-1 Site Hedge Baseline'!$B$1:$U$257,12,FALSE)),"",(VLOOKUP($B248,'B-1 Site Hedge Baseline'!$B$1:$U$257,12,FALSE))))</f>
        <v/>
      </c>
      <c r="M248" s="416" t="str">
        <f t="shared" si="31"/>
        <v/>
      </c>
      <c r="N248" s="498" t="str">
        <f>IFERROR(IF(B248="","",INDEX('G-6 Hedgerow Data'!$AN$3:$AZ$15,MATCH(C248,'G-6 Hedgerow Data'!$AM$3:$AM$15,0),MATCH(M248,'G-6 Hedgerow Data'!$AN$2:$AZ$2,0))),"")</f>
        <v/>
      </c>
      <c r="O248" s="499" t="str">
        <f t="shared" si="26"/>
        <v/>
      </c>
      <c r="P248" s="559" t="str">
        <f>IF(B248="","",VLOOKUP(B248,'B-1 Site Hedge Baseline'!$B$10:T493,16,FALSE))</f>
        <v/>
      </c>
      <c r="Q248" s="498" t="str">
        <f>IF(M248="","",VLOOKUP(M248,'G-6 Hedgerow Data'!$B$2:$AG$15,2,FALSE))</f>
        <v/>
      </c>
      <c r="R248" s="499" t="str">
        <f>IF(M248="","",VLOOKUP(M248,'G-6 Hedgerow Data'!$B$2:$AG$15,3,FALSE))</f>
        <v/>
      </c>
      <c r="S248" s="157"/>
      <c r="T248" s="540" t="str">
        <f>IFERROR(VLOOKUP(S248,'G-1 All Habitats'!$Z$2:$AA$9,2,FALSE),"")</f>
        <v/>
      </c>
      <c r="U248" s="154"/>
      <c r="V248" s="520" t="str">
        <f>IF(U248="","",IF(VLOOKUP(U248,'G-3 Multipliers'!$L$3:$N$6,2,FALSE)=0,"Spatial Data Missing ⚠",VLOOKUP(U248,'G-3 Multipliers'!$L$3:$N$6,2,FALSE)))</f>
        <v/>
      </c>
      <c r="W248" s="524" t="str">
        <f>IF(U248="","",IF(VLOOKUP(U248,'G-3 Multipliers'!$L$3:$N$6,3,FALSE)=0,"Spatial Data Missing ⚠",VLOOKUP(U248,'G-3 Multipliers'!$L$3:$N$6,3,FALSE)))</f>
        <v/>
      </c>
      <c r="X248" s="498"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7" t="str">
        <f t="shared" si="27"/>
        <v/>
      </c>
      <c r="AB248" s="521" t="str">
        <f t="shared" si="28"/>
        <v/>
      </c>
      <c r="AC248" s="522" t="str">
        <f t="shared" si="24"/>
        <v/>
      </c>
      <c r="AD248" s="537" t="str">
        <f>IF(M248="","",VLOOKUP(M248,'G-6 Hedgerow Data'!$B$3:$AG$15,31,FALSE))</f>
        <v/>
      </c>
      <c r="AE248" s="507" t="str">
        <f t="shared" si="29"/>
        <v/>
      </c>
      <c r="AF248" s="507" t="str">
        <f t="shared" si="30"/>
        <v/>
      </c>
      <c r="AG248" s="524" t="str">
        <f>IFERROR(IF(O248="","",VLOOKUP(AD248,'G-3 Multipliers'!$P$3:$Q$6,2,FALSE)),"")</f>
        <v/>
      </c>
      <c r="AH248" s="513" t="str">
        <f t="shared" si="25"/>
        <v/>
      </c>
      <c r="AI248" s="231"/>
      <c r="AJ248" s="150"/>
      <c r="AT248" s="31" t="str">
        <f>IFERROR(INDEX('G-6 Hedgerow Data'!$BJ$3:$BJ$15,MATCH(M248,'G-6 Hedgerow Data'!$B$3:$B$15,0)),"")</f>
        <v/>
      </c>
    </row>
    <row r="249" spans="2:46" ht="13.8" x14ac:dyDescent="0.25">
      <c r="B249" s="531" t="str">
        <f>'B-1 Site Hedge Baseline'!AK247</f>
        <v/>
      </c>
      <c r="C249" s="520" t="str">
        <f>IF(B249="","",IF(ISNA(VLOOKUP($B249,'B-1 Site Hedge Baseline'!$B$1:$L$257,3,FALSE)),"",(VLOOKUP($B249,'B-1 Site Hedge Baseline'!$B$1:$L$257,3,FALSE))))</f>
        <v/>
      </c>
      <c r="D249" s="520" t="str">
        <f>IF(B249="","",IF(ISNA(VLOOKUP($B249,'B-1 Site Hedge Baseline'!$B$1:$L$257,4,FALSE)),"",(VLOOKUP($B249,'B-1 Site Hedge Baseline'!$B$1:$L$257,4,FALSE))))</f>
        <v/>
      </c>
      <c r="E249" s="520" t="str">
        <f>IF(B249="","",IF(ISNA(VLOOKUP($B249,'B-1 Site Hedge Baseline'!$B$1:$L$257,5,FALSE)),"",(VLOOKUP($B249,'B-1 Site Hedge Baseline'!$B$1:$L$257,5,FALSE))))</f>
        <v/>
      </c>
      <c r="F249" s="520" t="str">
        <f>IF(B249="","",IF(ISNA(VLOOKUP($B249,'B-1 Site Hedge Baseline'!$B$1:$L$257,6,FALSE)),"",(VLOOKUP($B249,'B-1 Site Hedge Baseline'!$B$1:$L$257,6,FALSE))))</f>
        <v/>
      </c>
      <c r="G249" s="520" t="str">
        <f>IF(B249="","",IF(ISNA(VLOOKUP($B249,'B-1 Site Hedge Baseline'!$B$1:$L$257,7,FALSE)),"",(VLOOKUP($B249,'B-1 Site Hedge Baseline'!$B$1:$L$257,7,FALSE))))</f>
        <v/>
      </c>
      <c r="H249" s="520" t="str">
        <f>IF(B249="","",IF(ISNA(VLOOKUP($B249,'B-1 Site Hedge Baseline'!$B$1:$L$257,8,FALSE)),"",(VLOOKUP($B249,'B-1 Site Hedge Baseline'!$B$1:$L$257,8,FALSE))))</f>
        <v/>
      </c>
      <c r="I249" s="520" t="str">
        <f>IF(B249="","",IF(ISNA(VLOOKUP($B249,'B-1 Site Hedge Baseline'!$B$1:$L$257,10,FALSE)),"",(VLOOKUP($B249,'B-1 Site Hedge Baseline'!$B$1:$L$257,10,FALSE))))</f>
        <v/>
      </c>
      <c r="J249" s="520" t="str">
        <f>IF(B249="","",IF(ISNA(VLOOKUP($B249,'B-1 Site Hedge Baseline'!$B$1:$L$257,11,FALSE)),"",(VLOOKUP($B249,'B-1 Site Hedge Baseline'!$B$1:$L$257,11,FALSE))))</f>
        <v/>
      </c>
      <c r="K249" s="520" t="str">
        <f>IF(B249="","",IF(ISNA(VLOOKUP($B249,'B-1 Site Hedge Baseline'!$B$1:$U$257,13,FALSE)),"",(VLOOKUP($B249,'B-1 Site Hedge Baseline'!$B$1:$U$257,13,FALSE))))</f>
        <v/>
      </c>
      <c r="L249" s="524" t="str">
        <f>IF(B249="","",IF(ISNA(VLOOKUP($B249,'B-1 Site Hedge Baseline'!$B$1:$U$257,12,FALSE)),"",(VLOOKUP($B249,'B-1 Site Hedge Baseline'!$B$1:$U$257,12,FALSE))))</f>
        <v/>
      </c>
      <c r="M249" s="416" t="str">
        <f t="shared" si="31"/>
        <v/>
      </c>
      <c r="N249" s="498" t="str">
        <f>IFERROR(IF(B249="","",INDEX('G-6 Hedgerow Data'!$AN$3:$AZ$15,MATCH(C249,'G-6 Hedgerow Data'!$AM$3:$AM$15,0),MATCH(M249,'G-6 Hedgerow Data'!$AN$2:$AZ$2,0))),"")</f>
        <v/>
      </c>
      <c r="O249" s="499" t="str">
        <f t="shared" si="26"/>
        <v/>
      </c>
      <c r="P249" s="559" t="str">
        <f>IF(B249="","",VLOOKUP(B249,'B-1 Site Hedge Baseline'!$B$10:T494,16,FALSE))</f>
        <v/>
      </c>
      <c r="Q249" s="498" t="str">
        <f>IF(M249="","",VLOOKUP(M249,'G-6 Hedgerow Data'!$B$2:$AG$15,2,FALSE))</f>
        <v/>
      </c>
      <c r="R249" s="499" t="str">
        <f>IF(M249="","",VLOOKUP(M249,'G-6 Hedgerow Data'!$B$2:$AG$15,3,FALSE))</f>
        <v/>
      </c>
      <c r="S249" s="157"/>
      <c r="T249" s="540" t="str">
        <f>IFERROR(VLOOKUP(S249,'G-1 All Habitats'!$Z$2:$AA$9,2,FALSE),"")</f>
        <v/>
      </c>
      <c r="U249" s="154"/>
      <c r="V249" s="520" t="str">
        <f>IF(U249="","",IF(VLOOKUP(U249,'G-3 Multipliers'!$L$3:$N$6,2,FALSE)=0,"Spatial Data Missing ⚠",VLOOKUP(U249,'G-3 Multipliers'!$L$3:$N$6,2,FALSE)))</f>
        <v/>
      </c>
      <c r="W249" s="524" t="str">
        <f>IF(U249="","",IF(VLOOKUP(U249,'G-3 Multipliers'!$L$3:$N$6,3,FALSE)=0,"Spatial Data Missing ⚠",VLOOKUP(U249,'G-3 Multipliers'!$L$3:$N$6,3,FALSE)))</f>
        <v/>
      </c>
      <c r="X249" s="498"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7" t="str">
        <f t="shared" si="27"/>
        <v/>
      </c>
      <c r="AB249" s="521" t="str">
        <f t="shared" si="28"/>
        <v/>
      </c>
      <c r="AC249" s="522" t="str">
        <f t="shared" si="24"/>
        <v/>
      </c>
      <c r="AD249" s="537" t="str">
        <f>IF(M249="","",VLOOKUP(M249,'G-6 Hedgerow Data'!$B$3:$AG$15,31,FALSE))</f>
        <v/>
      </c>
      <c r="AE249" s="507" t="str">
        <f t="shared" si="29"/>
        <v/>
      </c>
      <c r="AF249" s="507" t="str">
        <f t="shared" si="30"/>
        <v/>
      </c>
      <c r="AG249" s="524" t="str">
        <f>IFERROR(IF(O249="","",VLOOKUP(AD249,'G-3 Multipliers'!$P$3:$Q$6,2,FALSE)),"")</f>
        <v/>
      </c>
      <c r="AH249" s="513" t="str">
        <f t="shared" si="25"/>
        <v/>
      </c>
      <c r="AI249" s="231"/>
      <c r="AJ249" s="150"/>
      <c r="AT249" s="31" t="str">
        <f>IFERROR(INDEX('G-6 Hedgerow Data'!$BJ$3:$BJ$15,MATCH(M249,'G-6 Hedgerow Data'!$B$3:$B$15,0)),"")</f>
        <v/>
      </c>
    </row>
    <row r="250" spans="2:46" ht="13.8" x14ac:dyDescent="0.25">
      <c r="B250" s="531" t="str">
        <f>'B-1 Site Hedge Baseline'!AK248</f>
        <v/>
      </c>
      <c r="C250" s="520" t="str">
        <f>IF(B250="","",IF(ISNA(VLOOKUP($B250,'B-1 Site Hedge Baseline'!$B$1:$L$257,3,FALSE)),"",(VLOOKUP($B250,'B-1 Site Hedge Baseline'!$B$1:$L$257,3,FALSE))))</f>
        <v/>
      </c>
      <c r="D250" s="520" t="str">
        <f>IF(B250="","",IF(ISNA(VLOOKUP($B250,'B-1 Site Hedge Baseline'!$B$1:$L$257,4,FALSE)),"",(VLOOKUP($B250,'B-1 Site Hedge Baseline'!$B$1:$L$257,4,FALSE))))</f>
        <v/>
      </c>
      <c r="E250" s="520" t="str">
        <f>IF(B250="","",IF(ISNA(VLOOKUP($B250,'B-1 Site Hedge Baseline'!$B$1:$L$257,5,FALSE)),"",(VLOOKUP($B250,'B-1 Site Hedge Baseline'!$B$1:$L$257,5,FALSE))))</f>
        <v/>
      </c>
      <c r="F250" s="520" t="str">
        <f>IF(B250="","",IF(ISNA(VLOOKUP($B250,'B-1 Site Hedge Baseline'!$B$1:$L$257,6,FALSE)),"",(VLOOKUP($B250,'B-1 Site Hedge Baseline'!$B$1:$L$257,6,FALSE))))</f>
        <v/>
      </c>
      <c r="G250" s="520" t="str">
        <f>IF(B250="","",IF(ISNA(VLOOKUP($B250,'B-1 Site Hedge Baseline'!$B$1:$L$257,7,FALSE)),"",(VLOOKUP($B250,'B-1 Site Hedge Baseline'!$B$1:$L$257,7,FALSE))))</f>
        <v/>
      </c>
      <c r="H250" s="520" t="str">
        <f>IF(B250="","",IF(ISNA(VLOOKUP($B250,'B-1 Site Hedge Baseline'!$B$1:$L$257,8,FALSE)),"",(VLOOKUP($B250,'B-1 Site Hedge Baseline'!$B$1:$L$257,8,FALSE))))</f>
        <v/>
      </c>
      <c r="I250" s="520" t="str">
        <f>IF(B250="","",IF(ISNA(VLOOKUP($B250,'B-1 Site Hedge Baseline'!$B$1:$L$257,10,FALSE)),"",(VLOOKUP($B250,'B-1 Site Hedge Baseline'!$B$1:$L$257,10,FALSE))))</f>
        <v/>
      </c>
      <c r="J250" s="520" t="str">
        <f>IF(B250="","",IF(ISNA(VLOOKUP($B250,'B-1 Site Hedge Baseline'!$B$1:$L$257,11,FALSE)),"",(VLOOKUP($B250,'B-1 Site Hedge Baseline'!$B$1:$L$257,11,FALSE))))</f>
        <v/>
      </c>
      <c r="K250" s="520" t="str">
        <f>IF(B250="","",IF(ISNA(VLOOKUP($B250,'B-1 Site Hedge Baseline'!$B$1:$U$257,13,FALSE)),"",(VLOOKUP($B250,'B-1 Site Hedge Baseline'!$B$1:$U$257,13,FALSE))))</f>
        <v/>
      </c>
      <c r="L250" s="524" t="str">
        <f>IF(B250="","",IF(ISNA(VLOOKUP($B250,'B-1 Site Hedge Baseline'!$B$1:$U$257,12,FALSE)),"",(VLOOKUP($B250,'B-1 Site Hedge Baseline'!$B$1:$U$257,12,FALSE))))</f>
        <v/>
      </c>
      <c r="M250" s="416" t="str">
        <f t="shared" si="31"/>
        <v/>
      </c>
      <c r="N250" s="498" t="str">
        <f>IFERROR(IF(B250="","",INDEX('G-6 Hedgerow Data'!$AN$3:$AZ$15,MATCH(C250,'G-6 Hedgerow Data'!$AM$3:$AM$15,0),MATCH(M250,'G-6 Hedgerow Data'!$AN$2:$AZ$2,0))),"")</f>
        <v/>
      </c>
      <c r="O250" s="499" t="str">
        <f t="shared" si="26"/>
        <v/>
      </c>
      <c r="P250" s="559" t="str">
        <f>IF(B250="","",VLOOKUP(B250,'B-1 Site Hedge Baseline'!$B$10:T495,16,FALSE))</f>
        <v/>
      </c>
      <c r="Q250" s="498" t="str">
        <f>IF(M250="","",VLOOKUP(M250,'G-6 Hedgerow Data'!$B$2:$AG$15,2,FALSE))</f>
        <v/>
      </c>
      <c r="R250" s="499" t="str">
        <f>IF(M250="","",VLOOKUP(M250,'G-6 Hedgerow Data'!$B$2:$AG$15,3,FALSE))</f>
        <v/>
      </c>
      <c r="S250" s="157"/>
      <c r="T250" s="540" t="str">
        <f>IFERROR(VLOOKUP(S250,'G-1 All Habitats'!$Z$2:$AA$9,2,FALSE),"")</f>
        <v/>
      </c>
      <c r="U250" s="154"/>
      <c r="V250" s="520" t="str">
        <f>IF(U250="","",IF(VLOOKUP(U250,'G-3 Multipliers'!$L$3:$N$6,2,FALSE)=0,"Spatial Data Missing ⚠",VLOOKUP(U250,'G-3 Multipliers'!$L$3:$N$6,2,FALSE)))</f>
        <v/>
      </c>
      <c r="W250" s="524" t="str">
        <f>IF(U250="","",IF(VLOOKUP(U250,'G-3 Multipliers'!$L$3:$N$6,3,FALSE)=0,"Spatial Data Missing ⚠",VLOOKUP(U250,'G-3 Multipliers'!$L$3:$N$6,3,FALSE)))</f>
        <v/>
      </c>
      <c r="X250" s="498"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7" t="str">
        <f t="shared" si="27"/>
        <v/>
      </c>
      <c r="AB250" s="521" t="str">
        <f t="shared" si="28"/>
        <v/>
      </c>
      <c r="AC250" s="522" t="str">
        <f t="shared" si="24"/>
        <v/>
      </c>
      <c r="AD250" s="537" t="str">
        <f>IF(M250="","",VLOOKUP(M250,'G-6 Hedgerow Data'!$B$3:$AG$15,31,FALSE))</f>
        <v/>
      </c>
      <c r="AE250" s="507" t="str">
        <f t="shared" si="29"/>
        <v/>
      </c>
      <c r="AF250" s="507" t="str">
        <f t="shared" si="30"/>
        <v/>
      </c>
      <c r="AG250" s="524" t="str">
        <f>IFERROR(IF(O250="","",VLOOKUP(AD250,'G-3 Multipliers'!$P$3:$Q$6,2,FALSE)),"")</f>
        <v/>
      </c>
      <c r="AH250" s="513" t="str">
        <f t="shared" si="25"/>
        <v/>
      </c>
      <c r="AI250" s="231"/>
      <c r="AJ250" s="150"/>
      <c r="AT250" s="31" t="str">
        <f>IFERROR(INDEX('G-6 Hedgerow Data'!$BJ$3:$BJ$15,MATCH(M250,'G-6 Hedgerow Data'!$B$3:$B$15,0)),"")</f>
        <v/>
      </c>
    </row>
    <row r="251" spans="2:46" ht="13.8" x14ac:dyDescent="0.25">
      <c r="B251" s="531" t="str">
        <f>'B-1 Site Hedge Baseline'!AK249</f>
        <v/>
      </c>
      <c r="C251" s="520" t="str">
        <f>IF(B251="","",IF(ISNA(VLOOKUP($B251,'B-1 Site Hedge Baseline'!$B$1:$L$257,3,FALSE)),"",(VLOOKUP($B251,'B-1 Site Hedge Baseline'!$B$1:$L$257,3,FALSE))))</f>
        <v/>
      </c>
      <c r="D251" s="520" t="str">
        <f>IF(B251="","",IF(ISNA(VLOOKUP($B251,'B-1 Site Hedge Baseline'!$B$1:$L$257,4,FALSE)),"",(VLOOKUP($B251,'B-1 Site Hedge Baseline'!$B$1:$L$257,4,FALSE))))</f>
        <v/>
      </c>
      <c r="E251" s="520" t="str">
        <f>IF(B251="","",IF(ISNA(VLOOKUP($B251,'B-1 Site Hedge Baseline'!$B$1:$L$257,5,FALSE)),"",(VLOOKUP($B251,'B-1 Site Hedge Baseline'!$B$1:$L$257,5,FALSE))))</f>
        <v/>
      </c>
      <c r="F251" s="520" t="str">
        <f>IF(B251="","",IF(ISNA(VLOOKUP($B251,'B-1 Site Hedge Baseline'!$B$1:$L$257,6,FALSE)),"",(VLOOKUP($B251,'B-1 Site Hedge Baseline'!$B$1:$L$257,6,FALSE))))</f>
        <v/>
      </c>
      <c r="G251" s="520" t="str">
        <f>IF(B251="","",IF(ISNA(VLOOKUP($B251,'B-1 Site Hedge Baseline'!$B$1:$L$257,7,FALSE)),"",(VLOOKUP($B251,'B-1 Site Hedge Baseline'!$B$1:$L$257,7,FALSE))))</f>
        <v/>
      </c>
      <c r="H251" s="520" t="str">
        <f>IF(B251="","",IF(ISNA(VLOOKUP($B251,'B-1 Site Hedge Baseline'!$B$1:$L$257,8,FALSE)),"",(VLOOKUP($B251,'B-1 Site Hedge Baseline'!$B$1:$L$257,8,FALSE))))</f>
        <v/>
      </c>
      <c r="I251" s="520" t="str">
        <f>IF(B251="","",IF(ISNA(VLOOKUP($B251,'B-1 Site Hedge Baseline'!$B$1:$L$257,10,FALSE)),"",(VLOOKUP($B251,'B-1 Site Hedge Baseline'!$B$1:$L$257,10,FALSE))))</f>
        <v/>
      </c>
      <c r="J251" s="520" t="str">
        <f>IF(B251="","",IF(ISNA(VLOOKUP($B251,'B-1 Site Hedge Baseline'!$B$1:$L$257,11,FALSE)),"",(VLOOKUP($B251,'B-1 Site Hedge Baseline'!$B$1:$L$257,11,FALSE))))</f>
        <v/>
      </c>
      <c r="K251" s="520" t="str">
        <f>IF(B251="","",IF(ISNA(VLOOKUP($B251,'B-1 Site Hedge Baseline'!$B$1:$U$257,13,FALSE)),"",(VLOOKUP($B251,'B-1 Site Hedge Baseline'!$B$1:$U$257,13,FALSE))))</f>
        <v/>
      </c>
      <c r="L251" s="524" t="str">
        <f>IF(B251="","",IF(ISNA(VLOOKUP($B251,'B-1 Site Hedge Baseline'!$B$1:$U$257,12,FALSE)),"",(VLOOKUP($B251,'B-1 Site Hedge Baseline'!$B$1:$U$257,12,FALSE))))</f>
        <v/>
      </c>
      <c r="M251" s="416" t="str">
        <f t="shared" si="31"/>
        <v/>
      </c>
      <c r="N251" s="498" t="str">
        <f>IFERROR(IF(B251="","",INDEX('G-6 Hedgerow Data'!$AN$3:$AZ$15,MATCH(C251,'G-6 Hedgerow Data'!$AM$3:$AM$15,0),MATCH(M251,'G-6 Hedgerow Data'!$AN$2:$AZ$2,0))),"")</f>
        <v/>
      </c>
      <c r="O251" s="499" t="str">
        <f t="shared" si="26"/>
        <v/>
      </c>
      <c r="P251" s="559" t="str">
        <f>IF(B251="","",VLOOKUP(B251,'B-1 Site Hedge Baseline'!$B$10:T496,16,FALSE))</f>
        <v/>
      </c>
      <c r="Q251" s="498" t="str">
        <f>IF(M251="","",VLOOKUP(M251,'G-6 Hedgerow Data'!$B$2:$AG$15,2,FALSE))</f>
        <v/>
      </c>
      <c r="R251" s="499" t="str">
        <f>IF(M251="","",VLOOKUP(M251,'G-6 Hedgerow Data'!$B$2:$AG$15,3,FALSE))</f>
        <v/>
      </c>
      <c r="S251" s="157"/>
      <c r="T251" s="540" t="str">
        <f>IFERROR(VLOOKUP(S251,'G-1 All Habitats'!$Z$2:$AA$9,2,FALSE),"")</f>
        <v/>
      </c>
      <c r="U251" s="154"/>
      <c r="V251" s="520" t="str">
        <f>IF(U251="","",IF(VLOOKUP(U251,'G-3 Multipliers'!$L$3:$N$6,2,FALSE)=0,"Spatial Data Missing ⚠",VLOOKUP(U251,'G-3 Multipliers'!$L$3:$N$6,2,FALSE)))</f>
        <v/>
      </c>
      <c r="W251" s="524" t="str">
        <f>IF(U251="","",IF(VLOOKUP(U251,'G-3 Multipliers'!$L$3:$N$6,3,FALSE)=0,"Spatial Data Missing ⚠",VLOOKUP(U251,'G-3 Multipliers'!$L$3:$N$6,3,FALSE)))</f>
        <v/>
      </c>
      <c r="X251" s="498"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7" t="str">
        <f t="shared" si="27"/>
        <v/>
      </c>
      <c r="AB251" s="521" t="str">
        <f t="shared" si="28"/>
        <v/>
      </c>
      <c r="AC251" s="522" t="str">
        <f t="shared" si="24"/>
        <v/>
      </c>
      <c r="AD251" s="537" t="str">
        <f>IF(M251="","",VLOOKUP(M251,'G-6 Hedgerow Data'!$B$3:$AG$15,31,FALSE))</f>
        <v/>
      </c>
      <c r="AE251" s="507" t="str">
        <f t="shared" si="29"/>
        <v/>
      </c>
      <c r="AF251" s="507" t="str">
        <f t="shared" si="30"/>
        <v/>
      </c>
      <c r="AG251" s="524" t="str">
        <f>IFERROR(IF(O251="","",VLOOKUP(AD251,'G-3 Multipliers'!$P$3:$Q$6,2,FALSE)),"")</f>
        <v/>
      </c>
      <c r="AH251" s="513" t="str">
        <f t="shared" si="25"/>
        <v/>
      </c>
      <c r="AI251" s="231"/>
      <c r="AJ251" s="150"/>
      <c r="AT251" s="31" t="str">
        <f>IFERROR(INDEX('G-6 Hedgerow Data'!$BJ$3:$BJ$15,MATCH(M251,'G-6 Hedgerow Data'!$B$3:$B$15,0)),"")</f>
        <v/>
      </c>
    </row>
    <row r="252" spans="2:46" ht="13.8" x14ac:dyDescent="0.25">
      <c r="B252" s="531" t="str">
        <f>'B-1 Site Hedge Baseline'!AK250</f>
        <v/>
      </c>
      <c r="C252" s="520" t="str">
        <f>IF(B252="","",IF(ISNA(VLOOKUP($B252,'B-1 Site Hedge Baseline'!$B$1:$L$257,3,FALSE)),"",(VLOOKUP($B252,'B-1 Site Hedge Baseline'!$B$1:$L$257,3,FALSE))))</f>
        <v/>
      </c>
      <c r="D252" s="520" t="str">
        <f>IF(B252="","",IF(ISNA(VLOOKUP($B252,'B-1 Site Hedge Baseline'!$B$1:$L$257,4,FALSE)),"",(VLOOKUP($B252,'B-1 Site Hedge Baseline'!$B$1:$L$257,4,FALSE))))</f>
        <v/>
      </c>
      <c r="E252" s="520" t="str">
        <f>IF(B252="","",IF(ISNA(VLOOKUP($B252,'B-1 Site Hedge Baseline'!$B$1:$L$257,5,FALSE)),"",(VLOOKUP($B252,'B-1 Site Hedge Baseline'!$B$1:$L$257,5,FALSE))))</f>
        <v/>
      </c>
      <c r="F252" s="520" t="str">
        <f>IF(B252="","",IF(ISNA(VLOOKUP($B252,'B-1 Site Hedge Baseline'!$B$1:$L$257,6,FALSE)),"",(VLOOKUP($B252,'B-1 Site Hedge Baseline'!$B$1:$L$257,6,FALSE))))</f>
        <v/>
      </c>
      <c r="G252" s="520" t="str">
        <f>IF(B252="","",IF(ISNA(VLOOKUP($B252,'B-1 Site Hedge Baseline'!$B$1:$L$257,7,FALSE)),"",(VLOOKUP($B252,'B-1 Site Hedge Baseline'!$B$1:$L$257,7,FALSE))))</f>
        <v/>
      </c>
      <c r="H252" s="520" t="str">
        <f>IF(B252="","",IF(ISNA(VLOOKUP($B252,'B-1 Site Hedge Baseline'!$B$1:$L$257,8,FALSE)),"",(VLOOKUP($B252,'B-1 Site Hedge Baseline'!$B$1:$L$257,8,FALSE))))</f>
        <v/>
      </c>
      <c r="I252" s="520" t="str">
        <f>IF(B252="","",IF(ISNA(VLOOKUP($B252,'B-1 Site Hedge Baseline'!$B$1:$L$257,10,FALSE)),"",(VLOOKUP($B252,'B-1 Site Hedge Baseline'!$B$1:$L$257,10,FALSE))))</f>
        <v/>
      </c>
      <c r="J252" s="520" t="str">
        <f>IF(B252="","",IF(ISNA(VLOOKUP($B252,'B-1 Site Hedge Baseline'!$B$1:$L$257,11,FALSE)),"",(VLOOKUP($B252,'B-1 Site Hedge Baseline'!$B$1:$L$257,11,FALSE))))</f>
        <v/>
      </c>
      <c r="K252" s="520" t="str">
        <f>IF(B252="","",IF(ISNA(VLOOKUP($B252,'B-1 Site Hedge Baseline'!$B$1:$U$257,13,FALSE)),"",(VLOOKUP($B252,'B-1 Site Hedge Baseline'!$B$1:$U$257,13,FALSE))))</f>
        <v/>
      </c>
      <c r="L252" s="524" t="str">
        <f>IF(B252="","",IF(ISNA(VLOOKUP($B252,'B-1 Site Hedge Baseline'!$B$1:$U$257,12,FALSE)),"",(VLOOKUP($B252,'B-1 Site Hedge Baseline'!$B$1:$U$257,12,FALSE))))</f>
        <v/>
      </c>
      <c r="M252" s="416" t="str">
        <f t="shared" si="31"/>
        <v/>
      </c>
      <c r="N252" s="498" t="str">
        <f>IFERROR(IF(B252="","",INDEX('G-6 Hedgerow Data'!$AN$3:$AZ$15,MATCH(C252,'G-6 Hedgerow Data'!$AM$3:$AM$15,0),MATCH(M252,'G-6 Hedgerow Data'!$AN$2:$AZ$2,0))),"")</f>
        <v/>
      </c>
      <c r="O252" s="499" t="str">
        <f t="shared" si="26"/>
        <v/>
      </c>
      <c r="P252" s="559" t="str">
        <f>IF(B252="","",VLOOKUP(B252,'B-1 Site Hedge Baseline'!$B$10:T497,16,FALSE))</f>
        <v/>
      </c>
      <c r="Q252" s="498" t="str">
        <f>IF(M252="","",VLOOKUP(M252,'G-6 Hedgerow Data'!$B$2:$AG$15,2,FALSE))</f>
        <v/>
      </c>
      <c r="R252" s="499" t="str">
        <f>IF(M252="","",VLOOKUP(M252,'G-6 Hedgerow Data'!$B$2:$AG$15,3,FALSE))</f>
        <v/>
      </c>
      <c r="S252" s="157"/>
      <c r="T252" s="540" t="str">
        <f>IFERROR(VLOOKUP(S252,'G-1 All Habitats'!$Z$2:$AA$9,2,FALSE),"")</f>
        <v/>
      </c>
      <c r="U252" s="154"/>
      <c r="V252" s="520" t="str">
        <f>IF(U252="","",IF(VLOOKUP(U252,'G-3 Multipliers'!$L$3:$N$6,2,FALSE)=0,"Spatial Data Missing ⚠",VLOOKUP(U252,'G-3 Multipliers'!$L$3:$N$6,2,FALSE)))</f>
        <v/>
      </c>
      <c r="W252" s="524" t="str">
        <f>IF(U252="","",IF(VLOOKUP(U252,'G-3 Multipliers'!$L$3:$N$6,3,FALSE)=0,"Spatial Data Missing ⚠",VLOOKUP(U252,'G-3 Multipliers'!$L$3:$N$6,3,FALSE)))</f>
        <v/>
      </c>
      <c r="X252" s="498"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7" t="str">
        <f t="shared" si="27"/>
        <v/>
      </c>
      <c r="AB252" s="521" t="str">
        <f t="shared" si="28"/>
        <v/>
      </c>
      <c r="AC252" s="522" t="str">
        <f t="shared" si="24"/>
        <v/>
      </c>
      <c r="AD252" s="537" t="str">
        <f>IF(M252="","",VLOOKUP(M252,'G-6 Hedgerow Data'!$B$3:$AG$15,31,FALSE))</f>
        <v/>
      </c>
      <c r="AE252" s="507" t="str">
        <f t="shared" si="29"/>
        <v/>
      </c>
      <c r="AF252" s="507" t="str">
        <f t="shared" si="30"/>
        <v/>
      </c>
      <c r="AG252" s="524" t="str">
        <f>IFERROR(IF(O252="","",VLOOKUP(AD252,'G-3 Multipliers'!$P$3:$Q$6,2,FALSE)),"")</f>
        <v/>
      </c>
      <c r="AH252" s="513" t="str">
        <f t="shared" si="25"/>
        <v/>
      </c>
      <c r="AI252" s="231"/>
      <c r="AJ252" s="150"/>
      <c r="AT252" s="31" t="str">
        <f>IFERROR(INDEX('G-6 Hedgerow Data'!$BJ$3:$BJ$15,MATCH(M252,'G-6 Hedgerow Data'!$B$3:$B$15,0)),"")</f>
        <v/>
      </c>
    </row>
    <row r="253" spans="2:46" ht="13.8" x14ac:dyDescent="0.25">
      <c r="B253" s="531" t="str">
        <f>'B-1 Site Hedge Baseline'!AK251</f>
        <v/>
      </c>
      <c r="C253" s="520" t="str">
        <f>IF(B253="","",IF(ISNA(VLOOKUP($B253,'B-1 Site Hedge Baseline'!$B$1:$L$257,3,FALSE)),"",(VLOOKUP($B253,'B-1 Site Hedge Baseline'!$B$1:$L$257,3,FALSE))))</f>
        <v/>
      </c>
      <c r="D253" s="520" t="str">
        <f>IF(B253="","",IF(ISNA(VLOOKUP($B253,'B-1 Site Hedge Baseline'!$B$1:$L$257,4,FALSE)),"",(VLOOKUP($B253,'B-1 Site Hedge Baseline'!$B$1:$L$257,4,FALSE))))</f>
        <v/>
      </c>
      <c r="E253" s="520" t="str">
        <f>IF(B253="","",IF(ISNA(VLOOKUP($B253,'B-1 Site Hedge Baseline'!$B$1:$L$257,5,FALSE)),"",(VLOOKUP($B253,'B-1 Site Hedge Baseline'!$B$1:$L$257,5,FALSE))))</f>
        <v/>
      </c>
      <c r="F253" s="520" t="str">
        <f>IF(B253="","",IF(ISNA(VLOOKUP($B253,'B-1 Site Hedge Baseline'!$B$1:$L$257,6,FALSE)),"",(VLOOKUP($B253,'B-1 Site Hedge Baseline'!$B$1:$L$257,6,FALSE))))</f>
        <v/>
      </c>
      <c r="G253" s="520" t="str">
        <f>IF(B253="","",IF(ISNA(VLOOKUP($B253,'B-1 Site Hedge Baseline'!$B$1:$L$257,7,FALSE)),"",(VLOOKUP($B253,'B-1 Site Hedge Baseline'!$B$1:$L$257,7,FALSE))))</f>
        <v/>
      </c>
      <c r="H253" s="520" t="str">
        <f>IF(B253="","",IF(ISNA(VLOOKUP($B253,'B-1 Site Hedge Baseline'!$B$1:$L$257,8,FALSE)),"",(VLOOKUP($B253,'B-1 Site Hedge Baseline'!$B$1:$L$257,8,FALSE))))</f>
        <v/>
      </c>
      <c r="I253" s="520" t="str">
        <f>IF(B253="","",IF(ISNA(VLOOKUP($B253,'B-1 Site Hedge Baseline'!$B$1:$L$257,10,FALSE)),"",(VLOOKUP($B253,'B-1 Site Hedge Baseline'!$B$1:$L$257,10,FALSE))))</f>
        <v/>
      </c>
      <c r="J253" s="520" t="str">
        <f>IF(B253="","",IF(ISNA(VLOOKUP($B253,'B-1 Site Hedge Baseline'!$B$1:$L$257,11,FALSE)),"",(VLOOKUP($B253,'B-1 Site Hedge Baseline'!$B$1:$L$257,11,FALSE))))</f>
        <v/>
      </c>
      <c r="K253" s="520" t="str">
        <f>IF(B253="","",IF(ISNA(VLOOKUP($B253,'B-1 Site Hedge Baseline'!$B$1:$U$257,13,FALSE)),"",(VLOOKUP($B253,'B-1 Site Hedge Baseline'!$B$1:$U$257,13,FALSE))))</f>
        <v/>
      </c>
      <c r="L253" s="524" t="str">
        <f>IF(B253="","",IF(ISNA(VLOOKUP($B253,'B-1 Site Hedge Baseline'!$B$1:$U$257,12,FALSE)),"",(VLOOKUP($B253,'B-1 Site Hedge Baseline'!$B$1:$U$257,12,FALSE))))</f>
        <v/>
      </c>
      <c r="M253" s="416" t="str">
        <f t="shared" si="31"/>
        <v/>
      </c>
      <c r="N253" s="498" t="str">
        <f>IFERROR(IF(B253="","",INDEX('G-6 Hedgerow Data'!$AN$3:$AZ$15,MATCH(C253,'G-6 Hedgerow Data'!$AM$3:$AM$15,0),MATCH(M253,'G-6 Hedgerow Data'!$AN$2:$AZ$2,0))),"")</f>
        <v/>
      </c>
      <c r="O253" s="499" t="str">
        <f t="shared" si="26"/>
        <v/>
      </c>
      <c r="P253" s="559" t="str">
        <f>IF(B253="","",VLOOKUP(B253,'B-1 Site Hedge Baseline'!$B$10:T498,16,FALSE))</f>
        <v/>
      </c>
      <c r="Q253" s="498" t="str">
        <f>IF(M253="","",VLOOKUP(M253,'G-6 Hedgerow Data'!$B$2:$AG$15,2,FALSE))</f>
        <v/>
      </c>
      <c r="R253" s="499" t="str">
        <f>IF(M253="","",VLOOKUP(M253,'G-6 Hedgerow Data'!$B$2:$AG$15,3,FALSE))</f>
        <v/>
      </c>
      <c r="S253" s="157"/>
      <c r="T253" s="540" t="str">
        <f>IFERROR(VLOOKUP(S253,'G-1 All Habitats'!$Z$2:$AA$9,2,FALSE),"")</f>
        <v/>
      </c>
      <c r="U253" s="154"/>
      <c r="V253" s="520" t="str">
        <f>IF(U253="","",IF(VLOOKUP(U253,'G-3 Multipliers'!$L$3:$N$6,2,FALSE)=0,"Spatial Data Missing ⚠",VLOOKUP(U253,'G-3 Multipliers'!$L$3:$N$6,2,FALSE)))</f>
        <v/>
      </c>
      <c r="W253" s="524" t="str">
        <f>IF(U253="","",IF(VLOOKUP(U253,'G-3 Multipliers'!$L$3:$N$6,3,FALSE)=0,"Spatial Data Missing ⚠",VLOOKUP(U253,'G-3 Multipliers'!$L$3:$N$6,3,FALSE)))</f>
        <v/>
      </c>
      <c r="X253" s="498"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7" t="str">
        <f t="shared" si="27"/>
        <v/>
      </c>
      <c r="AB253" s="521" t="str">
        <f t="shared" si="28"/>
        <v/>
      </c>
      <c r="AC253" s="522" t="str">
        <f t="shared" si="24"/>
        <v/>
      </c>
      <c r="AD253" s="537" t="str">
        <f>IF(M253="","",VLOOKUP(M253,'G-6 Hedgerow Data'!$B$3:$AG$15,31,FALSE))</f>
        <v/>
      </c>
      <c r="AE253" s="507" t="str">
        <f t="shared" si="29"/>
        <v/>
      </c>
      <c r="AF253" s="507" t="str">
        <f t="shared" si="30"/>
        <v/>
      </c>
      <c r="AG253" s="524" t="str">
        <f>IFERROR(IF(O253="","",VLOOKUP(AD253,'G-3 Multipliers'!$P$3:$Q$6,2,FALSE)),"")</f>
        <v/>
      </c>
      <c r="AH253" s="513" t="str">
        <f t="shared" si="25"/>
        <v/>
      </c>
      <c r="AI253" s="231"/>
      <c r="AJ253" s="150"/>
      <c r="AT253" s="31" t="str">
        <f>IFERROR(INDEX('G-6 Hedgerow Data'!$BJ$3:$BJ$15,MATCH(M253,'G-6 Hedgerow Data'!$B$3:$B$15,0)),"")</f>
        <v/>
      </c>
    </row>
    <row r="254" spans="2:46" ht="13.8" x14ac:dyDescent="0.25">
      <c r="B254" s="531" t="str">
        <f>'B-1 Site Hedge Baseline'!AK252</f>
        <v/>
      </c>
      <c r="C254" s="520" t="str">
        <f>IF(B254="","",IF(ISNA(VLOOKUP($B254,'B-1 Site Hedge Baseline'!$B$1:$L$257,3,FALSE)),"",(VLOOKUP($B254,'B-1 Site Hedge Baseline'!$B$1:$L$257,3,FALSE))))</f>
        <v/>
      </c>
      <c r="D254" s="520" t="str">
        <f>IF(B254="","",IF(ISNA(VLOOKUP($B254,'B-1 Site Hedge Baseline'!$B$1:$L$257,4,FALSE)),"",(VLOOKUP($B254,'B-1 Site Hedge Baseline'!$B$1:$L$257,4,FALSE))))</f>
        <v/>
      </c>
      <c r="E254" s="520" t="str">
        <f>IF(B254="","",IF(ISNA(VLOOKUP($B254,'B-1 Site Hedge Baseline'!$B$1:$L$257,5,FALSE)),"",(VLOOKUP($B254,'B-1 Site Hedge Baseline'!$B$1:$L$257,5,FALSE))))</f>
        <v/>
      </c>
      <c r="F254" s="520" t="str">
        <f>IF(B254="","",IF(ISNA(VLOOKUP($B254,'B-1 Site Hedge Baseline'!$B$1:$L$257,6,FALSE)),"",(VLOOKUP($B254,'B-1 Site Hedge Baseline'!$B$1:$L$257,6,FALSE))))</f>
        <v/>
      </c>
      <c r="G254" s="520" t="str">
        <f>IF(B254="","",IF(ISNA(VLOOKUP($B254,'B-1 Site Hedge Baseline'!$B$1:$L$257,7,FALSE)),"",(VLOOKUP($B254,'B-1 Site Hedge Baseline'!$B$1:$L$257,7,FALSE))))</f>
        <v/>
      </c>
      <c r="H254" s="520" t="str">
        <f>IF(B254="","",IF(ISNA(VLOOKUP($B254,'B-1 Site Hedge Baseline'!$B$1:$L$257,8,FALSE)),"",(VLOOKUP($B254,'B-1 Site Hedge Baseline'!$B$1:$L$257,8,FALSE))))</f>
        <v/>
      </c>
      <c r="I254" s="520" t="str">
        <f>IF(B254="","",IF(ISNA(VLOOKUP($B254,'B-1 Site Hedge Baseline'!$B$1:$L$257,10,FALSE)),"",(VLOOKUP($B254,'B-1 Site Hedge Baseline'!$B$1:$L$257,10,FALSE))))</f>
        <v/>
      </c>
      <c r="J254" s="520" t="str">
        <f>IF(B254="","",IF(ISNA(VLOOKUP($B254,'B-1 Site Hedge Baseline'!$B$1:$L$257,11,FALSE)),"",(VLOOKUP($B254,'B-1 Site Hedge Baseline'!$B$1:$L$257,11,FALSE))))</f>
        <v/>
      </c>
      <c r="K254" s="520" t="str">
        <f>IF(B254="","",IF(ISNA(VLOOKUP($B254,'B-1 Site Hedge Baseline'!$B$1:$U$257,13,FALSE)),"",(VLOOKUP($B254,'B-1 Site Hedge Baseline'!$B$1:$U$257,13,FALSE))))</f>
        <v/>
      </c>
      <c r="L254" s="524" t="str">
        <f>IF(B254="","",IF(ISNA(VLOOKUP($B254,'B-1 Site Hedge Baseline'!$B$1:$U$257,12,FALSE)),"",(VLOOKUP($B254,'B-1 Site Hedge Baseline'!$B$1:$U$257,12,FALSE))))</f>
        <v/>
      </c>
      <c r="M254" s="416" t="str">
        <f t="shared" si="31"/>
        <v/>
      </c>
      <c r="N254" s="498" t="str">
        <f>IFERROR(IF(B254="","",INDEX('G-6 Hedgerow Data'!$AN$3:$AZ$15,MATCH(C254,'G-6 Hedgerow Data'!$AM$3:$AM$15,0),MATCH(M254,'G-6 Hedgerow Data'!$AN$2:$AZ$2,0))),"")</f>
        <v/>
      </c>
      <c r="O254" s="499" t="str">
        <f t="shared" si="26"/>
        <v/>
      </c>
      <c r="P254" s="559" t="str">
        <f>IF(B254="","",VLOOKUP(B254,'B-1 Site Hedge Baseline'!$B$10:T499,16,FALSE))</f>
        <v/>
      </c>
      <c r="Q254" s="498" t="str">
        <f>IF(M254="","",VLOOKUP(M254,'G-6 Hedgerow Data'!$B$2:$AG$15,2,FALSE))</f>
        <v/>
      </c>
      <c r="R254" s="499" t="str">
        <f>IF(M254="","",VLOOKUP(M254,'G-6 Hedgerow Data'!$B$2:$AG$15,3,FALSE))</f>
        <v/>
      </c>
      <c r="S254" s="157"/>
      <c r="T254" s="540" t="str">
        <f>IFERROR(VLOOKUP(S254,'G-1 All Habitats'!$Z$2:$AA$9,2,FALSE),"")</f>
        <v/>
      </c>
      <c r="U254" s="154"/>
      <c r="V254" s="520" t="str">
        <f>IF(U254="","",IF(VLOOKUP(U254,'G-3 Multipliers'!$L$3:$N$6,2,FALSE)=0,"Spatial Data Missing ⚠",VLOOKUP(U254,'G-3 Multipliers'!$L$3:$N$6,2,FALSE)))</f>
        <v/>
      </c>
      <c r="W254" s="524" t="str">
        <f>IF(U254="","",IF(VLOOKUP(U254,'G-3 Multipliers'!$L$3:$N$6,3,FALSE)=0,"Spatial Data Missing ⚠",VLOOKUP(U254,'G-3 Multipliers'!$L$3:$N$6,3,FALSE)))</f>
        <v/>
      </c>
      <c r="X254" s="498"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7" t="str">
        <f t="shared" si="27"/>
        <v/>
      </c>
      <c r="AB254" s="521" t="str">
        <f t="shared" si="28"/>
        <v/>
      </c>
      <c r="AC254" s="522" t="str">
        <f t="shared" si="24"/>
        <v/>
      </c>
      <c r="AD254" s="537" t="str">
        <f>IF(M254="","",VLOOKUP(M254,'G-6 Hedgerow Data'!$B$3:$AG$15,31,FALSE))</f>
        <v/>
      </c>
      <c r="AE254" s="507" t="str">
        <f t="shared" si="29"/>
        <v/>
      </c>
      <c r="AF254" s="507" t="str">
        <f t="shared" si="30"/>
        <v/>
      </c>
      <c r="AG254" s="524" t="str">
        <f>IFERROR(IF(O254="","",VLOOKUP(AD254,'G-3 Multipliers'!$P$3:$Q$6,2,FALSE)),"")</f>
        <v/>
      </c>
      <c r="AH254" s="513" t="str">
        <f t="shared" si="25"/>
        <v/>
      </c>
      <c r="AI254" s="231"/>
      <c r="AJ254" s="150"/>
      <c r="AT254" s="31" t="str">
        <f>IFERROR(INDEX('G-6 Hedgerow Data'!$BJ$3:$BJ$15,MATCH(M254,'G-6 Hedgerow Data'!$B$3:$B$15,0)),"")</f>
        <v/>
      </c>
    </row>
    <row r="255" spans="2:46" ht="13.8" x14ac:dyDescent="0.25">
      <c r="B255" s="531" t="str">
        <f>'B-1 Site Hedge Baseline'!AK253</f>
        <v/>
      </c>
      <c r="C255" s="520" t="str">
        <f>IF(B255="","",IF(ISNA(VLOOKUP($B255,'B-1 Site Hedge Baseline'!$B$1:$L$257,3,FALSE)),"",(VLOOKUP($B255,'B-1 Site Hedge Baseline'!$B$1:$L$257,3,FALSE))))</f>
        <v/>
      </c>
      <c r="D255" s="520" t="str">
        <f>IF(B255="","",IF(ISNA(VLOOKUP($B255,'B-1 Site Hedge Baseline'!$B$1:$L$257,4,FALSE)),"",(VLOOKUP($B255,'B-1 Site Hedge Baseline'!$B$1:$L$257,4,FALSE))))</f>
        <v/>
      </c>
      <c r="E255" s="520" t="str">
        <f>IF(B255="","",IF(ISNA(VLOOKUP($B255,'B-1 Site Hedge Baseline'!$B$1:$L$257,5,FALSE)),"",(VLOOKUP($B255,'B-1 Site Hedge Baseline'!$B$1:$L$257,5,FALSE))))</f>
        <v/>
      </c>
      <c r="F255" s="520" t="str">
        <f>IF(B255="","",IF(ISNA(VLOOKUP($B255,'B-1 Site Hedge Baseline'!$B$1:$L$257,6,FALSE)),"",(VLOOKUP($B255,'B-1 Site Hedge Baseline'!$B$1:$L$257,6,FALSE))))</f>
        <v/>
      </c>
      <c r="G255" s="520" t="str">
        <f>IF(B255="","",IF(ISNA(VLOOKUP($B255,'B-1 Site Hedge Baseline'!$B$1:$L$257,7,FALSE)),"",(VLOOKUP($B255,'B-1 Site Hedge Baseline'!$B$1:$L$257,7,FALSE))))</f>
        <v/>
      </c>
      <c r="H255" s="520" t="str">
        <f>IF(B255="","",IF(ISNA(VLOOKUP($B255,'B-1 Site Hedge Baseline'!$B$1:$L$257,8,FALSE)),"",(VLOOKUP($B255,'B-1 Site Hedge Baseline'!$B$1:$L$257,8,FALSE))))</f>
        <v/>
      </c>
      <c r="I255" s="520" t="str">
        <f>IF(B255="","",IF(ISNA(VLOOKUP($B255,'B-1 Site Hedge Baseline'!$B$1:$L$257,10,FALSE)),"",(VLOOKUP($B255,'B-1 Site Hedge Baseline'!$B$1:$L$257,10,FALSE))))</f>
        <v/>
      </c>
      <c r="J255" s="520" t="str">
        <f>IF(B255="","",IF(ISNA(VLOOKUP($B255,'B-1 Site Hedge Baseline'!$B$1:$L$257,11,FALSE)),"",(VLOOKUP($B255,'B-1 Site Hedge Baseline'!$B$1:$L$257,11,FALSE))))</f>
        <v/>
      </c>
      <c r="K255" s="520" t="str">
        <f>IF(B255="","",IF(ISNA(VLOOKUP($B255,'B-1 Site Hedge Baseline'!$B$1:$U$257,13,FALSE)),"",(VLOOKUP($B255,'B-1 Site Hedge Baseline'!$B$1:$U$257,13,FALSE))))</f>
        <v/>
      </c>
      <c r="L255" s="524" t="str">
        <f>IF(B255="","",IF(ISNA(VLOOKUP($B255,'B-1 Site Hedge Baseline'!$B$1:$U$257,12,FALSE)),"",(VLOOKUP($B255,'B-1 Site Hedge Baseline'!$B$1:$U$257,12,FALSE))))</f>
        <v/>
      </c>
      <c r="M255" s="416" t="str">
        <f t="shared" si="31"/>
        <v/>
      </c>
      <c r="N255" s="498" t="str">
        <f>IFERROR(IF(B255="","",INDEX('G-6 Hedgerow Data'!$AN$3:$AZ$15,MATCH(C255,'G-6 Hedgerow Data'!$AM$3:$AM$15,0),MATCH(M255,'G-6 Hedgerow Data'!$AN$2:$AZ$2,0))),"")</f>
        <v/>
      </c>
      <c r="O255" s="499" t="str">
        <f t="shared" si="26"/>
        <v/>
      </c>
      <c r="P255" s="559" t="str">
        <f>IF(B255="","",VLOOKUP(B255,'B-1 Site Hedge Baseline'!$B$10:T500,16,FALSE))</f>
        <v/>
      </c>
      <c r="Q255" s="498" t="str">
        <f>IF(M255="","",VLOOKUP(M255,'G-6 Hedgerow Data'!$B$2:$AG$15,2,FALSE))</f>
        <v/>
      </c>
      <c r="R255" s="499" t="str">
        <f>IF(M255="","",VLOOKUP(M255,'G-6 Hedgerow Data'!$B$2:$AG$15,3,FALSE))</f>
        <v/>
      </c>
      <c r="S255" s="157"/>
      <c r="T255" s="540" t="str">
        <f>IFERROR(VLOOKUP(S255,'G-1 All Habitats'!$Z$2:$AA$9,2,FALSE),"")</f>
        <v/>
      </c>
      <c r="U255" s="154"/>
      <c r="V255" s="520" t="str">
        <f>IF(U255="","",IF(VLOOKUP(U255,'G-3 Multipliers'!$L$3:$N$6,2,FALSE)=0,"Spatial Data Missing ⚠",VLOOKUP(U255,'G-3 Multipliers'!$L$3:$N$6,2,FALSE)))</f>
        <v/>
      </c>
      <c r="W255" s="524" t="str">
        <f>IF(U255="","",IF(VLOOKUP(U255,'G-3 Multipliers'!$L$3:$N$6,3,FALSE)=0,"Spatial Data Missing ⚠",VLOOKUP(U255,'G-3 Multipliers'!$L$3:$N$6,3,FALSE)))</f>
        <v/>
      </c>
      <c r="X255" s="498"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7" t="str">
        <f t="shared" si="27"/>
        <v/>
      </c>
      <c r="AB255" s="521" t="str">
        <f t="shared" si="28"/>
        <v/>
      </c>
      <c r="AC255" s="522" t="str">
        <f t="shared" si="24"/>
        <v/>
      </c>
      <c r="AD255" s="537" t="str">
        <f>IF(M255="","",VLOOKUP(M255,'G-6 Hedgerow Data'!$B$3:$AG$15,31,FALSE))</f>
        <v/>
      </c>
      <c r="AE255" s="507" t="str">
        <f t="shared" si="29"/>
        <v/>
      </c>
      <c r="AF255" s="507" t="str">
        <f t="shared" si="30"/>
        <v/>
      </c>
      <c r="AG255" s="524" t="str">
        <f>IFERROR(IF(O255="","",VLOOKUP(AD255,'G-3 Multipliers'!$P$3:$Q$6,2,FALSE)),"")</f>
        <v/>
      </c>
      <c r="AH255" s="513" t="str">
        <f t="shared" si="25"/>
        <v/>
      </c>
      <c r="AI255" s="231"/>
      <c r="AJ255" s="150"/>
      <c r="AT255" s="31" t="str">
        <f>IFERROR(INDEX('G-6 Hedgerow Data'!$BJ$3:$BJ$15,MATCH(M255,'G-6 Hedgerow Data'!$B$3:$B$15,0)),"")</f>
        <v/>
      </c>
    </row>
    <row r="256" spans="2:46" ht="13.8" x14ac:dyDescent="0.25">
      <c r="B256" s="531" t="str">
        <f>'B-1 Site Hedge Baseline'!AK254</f>
        <v/>
      </c>
      <c r="C256" s="520" t="str">
        <f>IF(B256="","",IF(ISNA(VLOOKUP($B256,'B-1 Site Hedge Baseline'!$B$1:$L$257,3,FALSE)),"",(VLOOKUP($B256,'B-1 Site Hedge Baseline'!$B$1:$L$257,3,FALSE))))</f>
        <v/>
      </c>
      <c r="D256" s="520" t="str">
        <f>IF(B256="","",IF(ISNA(VLOOKUP($B256,'B-1 Site Hedge Baseline'!$B$1:$L$257,4,FALSE)),"",(VLOOKUP($B256,'B-1 Site Hedge Baseline'!$B$1:$L$257,4,FALSE))))</f>
        <v/>
      </c>
      <c r="E256" s="520" t="str">
        <f>IF(B256="","",IF(ISNA(VLOOKUP($B256,'B-1 Site Hedge Baseline'!$B$1:$L$257,5,FALSE)),"",(VLOOKUP($B256,'B-1 Site Hedge Baseline'!$B$1:$L$257,5,FALSE))))</f>
        <v/>
      </c>
      <c r="F256" s="520" t="str">
        <f>IF(B256="","",IF(ISNA(VLOOKUP($B256,'B-1 Site Hedge Baseline'!$B$1:$L$257,6,FALSE)),"",(VLOOKUP($B256,'B-1 Site Hedge Baseline'!$B$1:$L$257,6,FALSE))))</f>
        <v/>
      </c>
      <c r="G256" s="520" t="str">
        <f>IF(B256="","",IF(ISNA(VLOOKUP($B256,'B-1 Site Hedge Baseline'!$B$1:$L$257,7,FALSE)),"",(VLOOKUP($B256,'B-1 Site Hedge Baseline'!$B$1:$L$257,7,FALSE))))</f>
        <v/>
      </c>
      <c r="H256" s="520" t="str">
        <f>IF(B256="","",IF(ISNA(VLOOKUP($B256,'B-1 Site Hedge Baseline'!$B$1:$L$257,8,FALSE)),"",(VLOOKUP($B256,'B-1 Site Hedge Baseline'!$B$1:$L$257,8,FALSE))))</f>
        <v/>
      </c>
      <c r="I256" s="520" t="str">
        <f>IF(B256="","",IF(ISNA(VLOOKUP($B256,'B-1 Site Hedge Baseline'!$B$1:$L$257,10,FALSE)),"",(VLOOKUP($B256,'B-1 Site Hedge Baseline'!$B$1:$L$257,10,FALSE))))</f>
        <v/>
      </c>
      <c r="J256" s="520" t="str">
        <f>IF(B256="","",IF(ISNA(VLOOKUP($B256,'B-1 Site Hedge Baseline'!$B$1:$L$257,11,FALSE)),"",(VLOOKUP($B256,'B-1 Site Hedge Baseline'!$B$1:$L$257,11,FALSE))))</f>
        <v/>
      </c>
      <c r="K256" s="520" t="str">
        <f>IF(B256="","",IF(ISNA(VLOOKUP($B256,'B-1 Site Hedge Baseline'!$B$1:$U$257,13,FALSE)),"",(VLOOKUP($B256,'B-1 Site Hedge Baseline'!$B$1:$U$257,13,FALSE))))</f>
        <v/>
      </c>
      <c r="L256" s="524" t="str">
        <f>IF(B256="","",IF(ISNA(VLOOKUP($B256,'B-1 Site Hedge Baseline'!$B$1:$U$257,12,FALSE)),"",(VLOOKUP($B256,'B-1 Site Hedge Baseline'!$B$1:$U$257,12,FALSE))))</f>
        <v/>
      </c>
      <c r="M256" s="416" t="str">
        <f t="shared" si="31"/>
        <v/>
      </c>
      <c r="N256" s="498" t="str">
        <f>IFERROR(IF(B256="","",INDEX('G-6 Hedgerow Data'!$AN$3:$AZ$15,MATCH(C256,'G-6 Hedgerow Data'!$AM$3:$AM$15,0),MATCH(M256,'G-6 Hedgerow Data'!$AN$2:$AZ$2,0))),"")</f>
        <v/>
      </c>
      <c r="O256" s="499" t="str">
        <f t="shared" si="26"/>
        <v/>
      </c>
      <c r="P256" s="559" t="str">
        <f>IF(B256="","",VLOOKUP(B256,'B-1 Site Hedge Baseline'!$B$10:T501,16,FALSE))</f>
        <v/>
      </c>
      <c r="Q256" s="498" t="str">
        <f>IF(M256="","",VLOOKUP(M256,'G-6 Hedgerow Data'!$B$2:$AG$15,2,FALSE))</f>
        <v/>
      </c>
      <c r="R256" s="499" t="str">
        <f>IF(M256="","",VLOOKUP(M256,'G-6 Hedgerow Data'!$B$2:$AG$15,3,FALSE))</f>
        <v/>
      </c>
      <c r="S256" s="157"/>
      <c r="T256" s="540" t="str">
        <f>IFERROR(VLOOKUP(S256,'G-1 All Habitats'!$Z$2:$AA$9,2,FALSE),"")</f>
        <v/>
      </c>
      <c r="U256" s="154"/>
      <c r="V256" s="520" t="str">
        <f>IF(U256="","",IF(VLOOKUP(U256,'G-3 Multipliers'!$L$3:$N$6,2,FALSE)=0,"Spatial Data Missing ⚠",VLOOKUP(U256,'G-3 Multipliers'!$L$3:$N$6,2,FALSE)))</f>
        <v/>
      </c>
      <c r="W256" s="524" t="str">
        <f>IF(U256="","",IF(VLOOKUP(U256,'G-3 Multipliers'!$L$3:$N$6,3,FALSE)=0,"Spatial Data Missing ⚠",VLOOKUP(U256,'G-3 Multipliers'!$L$3:$N$6,3,FALSE)))</f>
        <v/>
      </c>
      <c r="X256" s="498"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7" t="str">
        <f t="shared" si="27"/>
        <v/>
      </c>
      <c r="AB256" s="521" t="str">
        <f t="shared" si="28"/>
        <v/>
      </c>
      <c r="AC256" s="522" t="str">
        <f t="shared" si="24"/>
        <v/>
      </c>
      <c r="AD256" s="537" t="str">
        <f>IF(M256="","",VLOOKUP(M256,'G-6 Hedgerow Data'!$B$3:$AG$15,31,FALSE))</f>
        <v/>
      </c>
      <c r="AE256" s="507" t="str">
        <f t="shared" si="29"/>
        <v/>
      </c>
      <c r="AF256" s="507" t="str">
        <f t="shared" si="30"/>
        <v/>
      </c>
      <c r="AG256" s="524" t="str">
        <f>IFERROR(IF(O256="","",VLOOKUP(AD256,'G-3 Multipliers'!$P$3:$Q$6,2,FALSE)),"")</f>
        <v/>
      </c>
      <c r="AH256" s="513" t="str">
        <f t="shared" si="25"/>
        <v/>
      </c>
      <c r="AI256" s="231"/>
      <c r="AJ256" s="150"/>
      <c r="AT256" s="31" t="str">
        <f>IFERROR(INDEX('G-6 Hedgerow Data'!$BJ$3:$BJ$15,MATCH(M256,'G-6 Hedgerow Data'!$B$3:$B$15,0)),"")</f>
        <v/>
      </c>
    </row>
    <row r="257" spans="2:46" ht="14.4" thickBot="1" x14ac:dyDescent="0.3">
      <c r="B257" s="558" t="str">
        <f>'B-1 Site Hedge Baseline'!AK255</f>
        <v/>
      </c>
      <c r="C257" s="508" t="str">
        <f>IF(B257="","",IF(ISNA(VLOOKUP($B257,'B-1 Site Hedge Baseline'!$B$1:$L$257,3,FALSE)),"",(VLOOKUP($B257,'B-1 Site Hedge Baseline'!$B$1:$L$257,3,FALSE))))</f>
        <v/>
      </c>
      <c r="D257" s="508" t="str">
        <f>IF(B257="","",IF(ISNA(VLOOKUP($B257,'B-1 Site Hedge Baseline'!$B$1:$L$257,4,FALSE)),"",(VLOOKUP($B257,'B-1 Site Hedge Baseline'!$B$1:$L$257,4,FALSE))))</f>
        <v/>
      </c>
      <c r="E257" s="508" t="str">
        <f>IF(B257="","",IF(ISNA(VLOOKUP($B257,'B-1 Site Hedge Baseline'!$B$1:$L$257,5,FALSE)),"",(VLOOKUP($B257,'B-1 Site Hedge Baseline'!$B$1:$L$257,5,FALSE))))</f>
        <v/>
      </c>
      <c r="F257" s="508" t="str">
        <f>IF(B257="","",IF(ISNA(VLOOKUP($B257,'B-1 Site Hedge Baseline'!$B$1:$L$257,6,FALSE)),"",(VLOOKUP($B257,'B-1 Site Hedge Baseline'!$B$1:$L$257,6,FALSE))))</f>
        <v/>
      </c>
      <c r="G257" s="508" t="str">
        <f>IF(B257="","",IF(ISNA(VLOOKUP($B257,'B-1 Site Hedge Baseline'!$B$1:$L$257,7,FALSE)),"",(VLOOKUP($B257,'B-1 Site Hedge Baseline'!$B$1:$L$257,7,FALSE))))</f>
        <v/>
      </c>
      <c r="H257" s="508" t="str">
        <f>IF(B257="","",IF(ISNA(VLOOKUP($B257,'B-1 Site Hedge Baseline'!$B$1:$L$257,8,FALSE)),"",(VLOOKUP($B257,'B-1 Site Hedge Baseline'!$B$1:$L$257,8,FALSE))))</f>
        <v/>
      </c>
      <c r="I257" s="508" t="str">
        <f>IF(B257="","",IF(ISNA(VLOOKUP($B257,'B-1 Site Hedge Baseline'!$B$1:$L$257,10,FALSE)),"",(VLOOKUP($B257,'B-1 Site Hedge Baseline'!$B$1:$L$257,10,FALSE))))</f>
        <v/>
      </c>
      <c r="J257" s="508" t="str">
        <f>IF(B257="","",IF(ISNA(VLOOKUP($B257,'B-1 Site Hedge Baseline'!$B$1:$L$257,11,FALSE)),"",(VLOOKUP($B257,'B-1 Site Hedge Baseline'!$B$1:$L$257,11,FALSE))))</f>
        <v/>
      </c>
      <c r="K257" s="508" t="str">
        <f>IF(B257="","",IF(ISNA(VLOOKUP($B257,'B-1 Site Hedge Baseline'!$B$1:$U$257,13,FALSE)),"",(VLOOKUP($B257,'B-1 Site Hedge Baseline'!$B$1:$U$257,13,FALSE))))</f>
        <v/>
      </c>
      <c r="L257" s="501" t="str">
        <f>IF(B257="","",IF(ISNA(VLOOKUP($B257,'B-1 Site Hedge Baseline'!$B$1:$U$257,12,FALSE)),"",(VLOOKUP($B257,'B-1 Site Hedge Baseline'!$B$1:$U$257,12,FALSE))))</f>
        <v/>
      </c>
      <c r="M257" s="417" t="str">
        <f t="shared" si="31"/>
        <v/>
      </c>
      <c r="N257" s="500" t="str">
        <f>IFERROR(IF(B257="","",INDEX('G-6 Hedgerow Data'!$AN$3:$AZ$15,MATCH(C257,'G-6 Hedgerow Data'!$AM$3:$AM$15,0),MATCH(M257,'G-6 Hedgerow Data'!$AN$2:$AZ$2,0))),"")</f>
        <v/>
      </c>
      <c r="O257" s="501" t="str">
        <f>IFERROR(IF(B257="","",IF(AND(LEFT(C257,55)&lt;&gt;LEFT(M257,55),N257="High - High"),"Error - Not like for like ▲",IF(AND(LEFT(C257,55)&lt;&gt;LEFT(M257,55),N257="Medium - Medium"),"Error - Not like for like ▲",IF(H257&gt;T257,"Error - Can not reduce condition ▲",IF(AND(F257=R257,H257=T257),"Error - No enhancement ▲",IF(AND(C257&lt;&gt;M257,F257&lt;R257),"Lower Distinctiveness Habitat"&amp;" - "&amp;S257,G257&amp;" - "&amp;S257)))))),"")</f>
        <v/>
      </c>
      <c r="P257" s="560" t="str">
        <f>IF(B257="","",VLOOKUP(B257,'B-1 Site Hedge Baseline'!$B$10:T502,16,FALSE))</f>
        <v/>
      </c>
      <c r="Q257" s="500" t="str">
        <f>IF(M257="","",VLOOKUP(M257,'G-6 Hedgerow Data'!$B$2:$AG$15,2,FALSE))</f>
        <v/>
      </c>
      <c r="R257" s="499" t="str">
        <f>IF(M257="","",VLOOKUP(M257,'G-6 Hedgerow Data'!$B$2:$AG$15,3,FALSE))</f>
        <v/>
      </c>
      <c r="S257" s="270"/>
      <c r="T257" s="501" t="str">
        <f>IFERROR(VLOOKUP(S257,'G-1 All Habitats'!$Z$2:$AA$9,2,FALSE),"")</f>
        <v/>
      </c>
      <c r="U257" s="161"/>
      <c r="V257" s="508" t="str">
        <f>IF(U257="","",IF(VLOOKUP(U257,'G-3 Multipliers'!$L$3:$N$6,2,FALSE)=0,"Spatial Data Missing ⚠",VLOOKUP(U257,'G-3 Multipliers'!$L$3:$N$6,2,FALSE)))</f>
        <v/>
      </c>
      <c r="W257" s="501" t="str">
        <f>IF(U257="","",IF(VLOOKUP(U257,'G-3 Multipliers'!$L$3:$N$6,3,FALSE)=0,"Spatial Data Missing ⚠",VLOOKUP(U257,'G-3 Multipliers'!$L$3:$N$6,3,FALSE)))</f>
        <v/>
      </c>
      <c r="X257" s="500" t="str">
        <f>IFERROR(IF(OR(LEFT(O257,5)="Error ▲",LEFT(N257,5)="Error ▲",T257="Error ▲"),"Check Data ⚠",IF(F257&lt;R257,INDEX('G-6 Hedgerow Data'!$S$3:$AE$14,MATCH(C257,'G-6 Hedgerow Data'!$B$3:$B$14,0),MATCH(M257,'G-6 Hedgerow Data'!$S$2:$AE$2,0)),INDEX('G-6 Hedgerow Data'!$K$3:$Q$14,MATCH(M257,'G-6 Hedgerow Data'!$B$3:$B$14,0),MATCH(O257,'G-6 Hedgerow Data'!$K$2:$Q$2,0)))),"")</f>
        <v/>
      </c>
      <c r="Y257" s="195"/>
      <c r="Z257" s="206"/>
      <c r="AA257" s="507" t="str">
        <f t="shared" si="27"/>
        <v/>
      </c>
      <c r="AB257" s="521" t="str">
        <f>IF(X257="","",IF(AA257="Check Data ⚠","Check Data ⚠",IF(Y257="30+",0,IF(Z257="30+","30+ ⚠",IF(X257+Z257&gt;30,"30+ ⚠",IF(LEFT(AA257,5)="Error ▲","Check Data ⚠",IF(X257+Z257-Y257&gt;0,X257+Z257-Y257,IF(X257-Y257&lt;=0,0,))))))))</f>
        <v/>
      </c>
      <c r="AC257" s="522" t="str">
        <f t="shared" si="24"/>
        <v/>
      </c>
      <c r="AD257" s="500" t="str">
        <f>IF(M257="","",VLOOKUP(M257,'G-6 Hedgerow Data'!$B$3:$AG$15,31,FALSE))</f>
        <v/>
      </c>
      <c r="AE257" s="507" t="str">
        <f t="shared" si="29"/>
        <v/>
      </c>
      <c r="AF257" s="507" t="str">
        <f t="shared" si="30"/>
        <v/>
      </c>
      <c r="AG257" s="501" t="str">
        <f>IFERROR(IF(O257="","",VLOOKUP(AD257,'G-3 Multipliers'!$P$3:$Q$6,2,FALSE)),"")</f>
        <v/>
      </c>
      <c r="AH257" s="480" t="str">
        <f t="shared" si="25"/>
        <v/>
      </c>
      <c r="AI257" s="163"/>
      <c r="AJ257" s="164"/>
      <c r="AT257" s="31" t="str">
        <f>IFERROR(INDEX('G-6 Hedgerow Data'!$BJ$3:$BJ$15,MATCH(M257,'G-6 Hedgerow Data'!$B$3:$B$15,0)),"")</f>
        <v/>
      </c>
    </row>
    <row r="258" spans="2:46" ht="14.4" thickBot="1" x14ac:dyDescent="0.3">
      <c r="B258" s="46"/>
      <c r="C258" s="46"/>
      <c r="D258" s="46"/>
      <c r="E258" s="46"/>
      <c r="F258" s="46"/>
      <c r="G258" s="46"/>
      <c r="H258" s="46"/>
      <c r="I258" s="46"/>
      <c r="J258" s="46"/>
      <c r="K258" s="46"/>
      <c r="L258" s="46"/>
      <c r="M258" s="46"/>
      <c r="N258" s="46"/>
      <c r="O258" s="428"/>
      <c r="P258" s="503">
        <f>SUM(P12:P257)</f>
        <v>0</v>
      </c>
      <c r="Q258" s="46"/>
      <c r="R258" s="46"/>
      <c r="S258" s="46"/>
      <c r="T258" s="46"/>
      <c r="U258" s="46"/>
      <c r="V258" s="46"/>
      <c r="W258" s="46"/>
      <c r="X258" s="46"/>
      <c r="Y258" s="46"/>
      <c r="Z258" s="46"/>
      <c r="AA258" s="46"/>
      <c r="AB258" s="46"/>
      <c r="AC258" s="46"/>
      <c r="AD258" s="46"/>
      <c r="AE258" s="46"/>
      <c r="AF258" s="427"/>
      <c r="AG258" s="427"/>
      <c r="AH258" s="503">
        <f>SUM(AH12:AH257)</f>
        <v>0</v>
      </c>
      <c r="AI258" s="46"/>
      <c r="AJ258" s="46"/>
    </row>
    <row r="259" spans="2:46" ht="13.8" x14ac:dyDescent="0.25"/>
    <row r="260" spans="2:46" ht="13.8" x14ac:dyDescent="0.25"/>
    <row r="261" spans="2:46" ht="13.8" x14ac:dyDescent="0.25"/>
    <row r="262" spans="2:46" ht="13.8" x14ac:dyDescent="0.25"/>
    <row r="263" spans="2:46" ht="13.8" x14ac:dyDescent="0.25"/>
    <row r="264" spans="2:46" ht="13.8" x14ac:dyDescent="0.25"/>
    <row r="265" spans="2:46" ht="13.8" x14ac:dyDescent="0.25"/>
    <row r="266" spans="2:46" ht="13.8" x14ac:dyDescent="0.25"/>
  </sheetData>
  <sheetProtection algorithmName="SHA-512" hashValue="AYrZXoRdiFCu2IXQX/Nsn48O9HFbR2wnrpkjRozV4HId6Yk49625q5Dweklhuy8+m3PRse/+P+K44IqVRSbhmg==" saltValue="6bGlhOQSQyyQKYFHeAHMLA=="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s>
  <conditionalFormatting sqref="AH258">
    <cfRule type="containsText" dxfId="112" priority="24" operator="containsText" text="Existing Value Not Required">
      <formula>NOT(ISERROR(SEARCH("Existing Value Not Required",AH258)))</formula>
    </cfRule>
    <cfRule type="containsText" dxfId="111" priority="25" operator="containsText" text="Existing Value Required">
      <formula>NOT(ISERROR(SEARCH("Existing Value Required",AH258)))</formula>
    </cfRule>
  </conditionalFormatting>
  <conditionalFormatting sqref="AH12:AH257">
    <cfRule type="containsText" dxfId="110" priority="20" operator="containsText" text="Existing Value Not Required">
      <formula>NOT(ISERROR(SEARCH("Existing Value Not Required",AH12)))</formula>
    </cfRule>
    <cfRule type="containsText" dxfId="109" priority="21" operator="containsText" text="Existing Value Required">
      <formula>NOT(ISERROR(SEARCH("Existing Value Required",AH12)))</formula>
    </cfRule>
  </conditionalFormatting>
  <conditionalFormatting sqref="L12:L257">
    <cfRule type="cellIs" dxfId="108" priority="17" operator="equal">
      <formula>"Same distinctiveness band or better"</formula>
    </cfRule>
    <cfRule type="cellIs" dxfId="107" priority="18" operator="equal">
      <formula>"Like for like or better"</formula>
    </cfRule>
    <cfRule type="cellIs" dxfId="106" priority="19" operator="equal">
      <formula>"Like for Like"</formula>
    </cfRule>
  </conditionalFormatting>
  <conditionalFormatting sqref="N12:N257">
    <cfRule type="beginsWith" dxfId="105" priority="16" operator="beginsWith" text="Error">
      <formula>LEFT(N12,LEN("Error"))="Error"</formula>
    </cfRule>
  </conditionalFormatting>
  <conditionalFormatting sqref="O12:O257">
    <cfRule type="beginsWith" dxfId="104" priority="15" operator="beginsWith" text="Error">
      <formula>LEFT(O12,LEN("Error"))="Error"</formula>
    </cfRule>
  </conditionalFormatting>
  <conditionalFormatting sqref="V12:V257">
    <cfRule type="containsText" dxfId="103" priority="14" operator="containsText" text="Spatial">
      <formula>NOT(ISERROR(SEARCH("Spatial",V12)))</formula>
    </cfRule>
  </conditionalFormatting>
  <conditionalFormatting sqref="W12:W257">
    <cfRule type="containsText" dxfId="102" priority="13" operator="containsText" text="Spatial">
      <formula>NOT(ISERROR(SEARCH("Spatial",W12)))</formula>
    </cfRule>
  </conditionalFormatting>
  <conditionalFormatting sqref="X12:X257">
    <cfRule type="containsText" dxfId="101" priority="11" operator="containsText" text="Error">
      <formula>NOT(ISERROR(SEARCH("Error",X12)))</formula>
    </cfRule>
    <cfRule type="containsText" dxfId="100" priority="12" operator="containsText" text="Check">
      <formula>NOT(ISERROR(SEARCH("Check",X12)))</formula>
    </cfRule>
  </conditionalFormatting>
  <conditionalFormatting sqref="AA12:AA257">
    <cfRule type="containsText" dxfId="99" priority="9" operator="containsText" text="Error">
      <formula>NOT(ISERROR(SEARCH("Error",AA12)))</formula>
    </cfRule>
    <cfRule type="containsText" dxfId="98" priority="10" operator="containsText" text="Check">
      <formula>NOT(ISERROR(SEARCH("Check",AA12)))</formula>
    </cfRule>
  </conditionalFormatting>
  <conditionalFormatting sqref="AB12:AB257">
    <cfRule type="cellIs" dxfId="97" priority="1" operator="equal">
      <formula>"30+ ⚠"</formula>
    </cfRule>
    <cfRule type="containsText" dxfId="96" priority="7" operator="containsText" text="Error">
      <formula>NOT(ISERROR(SEARCH("Error",AB12)))</formula>
    </cfRule>
    <cfRule type="containsText" dxfId="95" priority="8" operator="containsText" text="Check">
      <formula>NOT(ISERROR(SEARCH("Check",AB12)))</formula>
    </cfRule>
  </conditionalFormatting>
  <conditionalFormatting sqref="AC12:AC257">
    <cfRule type="containsText" dxfId="94" priority="5" operator="containsText" text="Error">
      <formula>NOT(ISERROR(SEARCH("Error",AC12)))</formula>
    </cfRule>
    <cfRule type="containsText" dxfId="93" priority="6" operator="containsText" text="Check">
      <formula>NOT(ISERROR(SEARCH("Check",AC12)))</formula>
    </cfRule>
  </conditionalFormatting>
  <conditionalFormatting sqref="AE12:AE257">
    <cfRule type="beginsWith" dxfId="92" priority="3" operator="beginsWith" text="No - Low Difficulty">
      <formula>LEFT(AE12,LEN("No - Low Difficulty"))="No - Low Difficulty"</formula>
    </cfRule>
    <cfRule type="containsText" dxfId="91" priority="4" operator="containsText" text="Check">
      <formula>NOT(ISERROR(SEARCH("Check",AE12)))</formula>
    </cfRule>
  </conditionalFormatting>
  <conditionalFormatting sqref="X5:AB6 X2">
    <cfRule type="containsText" dxfId="90" priority="2" operator="containsText" text="Note">
      <formula>NOT(ISERROR(SEARCH("Note",X2)))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multipliers'!$A$41:$A$72</xm:f>
          </x14:formula1>
          <xm:sqref>Y12:Z257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AK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5" style="31" customWidth="1"/>
    <col min="2" max="2" width="11.44140625" style="31" customWidth="1"/>
    <col min="3" max="3" width="9.5546875" style="31" bestFit="1" customWidth="1"/>
    <col min="4" max="4" width="53.6640625" style="31" bestFit="1" customWidth="1"/>
    <col min="5" max="5" width="8.88671875" style="31" customWidth="1"/>
    <col min="6" max="6" width="17.5546875" style="31" customWidth="1"/>
    <col min="7" max="7" width="8.44140625" style="31" customWidth="1"/>
    <col min="8" max="8" width="11.6640625" style="31" bestFit="1" customWidth="1"/>
    <col min="9" max="9" width="8.6640625" style="31" customWidth="1"/>
    <col min="10" max="10" width="41.6640625" style="31" customWidth="1"/>
    <col min="11" max="11" width="14.5546875" style="31" customWidth="1"/>
    <col min="12" max="12" width="11.88671875" style="31" customWidth="1"/>
    <col min="13" max="13" width="21.109375" style="31" bestFit="1" customWidth="1"/>
    <col min="14" max="14" width="13.109375" style="31" customWidth="1"/>
    <col min="15" max="15" width="3.6640625" style="31" customWidth="1"/>
    <col min="16" max="16" width="10.33203125" style="31" bestFit="1" customWidth="1"/>
    <col min="17" max="17" width="11.6640625" style="31" customWidth="1"/>
    <col min="18" max="18" width="10.5546875" style="31" customWidth="1"/>
    <col min="19" max="19" width="11.6640625" style="31" customWidth="1"/>
    <col min="20" max="20" width="13.5546875" style="31" customWidth="1"/>
    <col min="21" max="21" width="8.33203125" style="31" customWidth="1"/>
    <col min="22" max="22" width="23.109375" style="31" bestFit="1" customWidth="1"/>
    <col min="23" max="23" width="23.44140625" style="31" bestFit="1" customWidth="1"/>
    <col min="24" max="27" width="8.88671875" style="31" customWidth="1"/>
    <col min="28" max="28" width="19.5546875" style="31" hidden="1" customWidth="1"/>
    <col min="29" max="30" width="8.88671875" style="31" hidden="1"/>
    <col min="31" max="31" width="9.33203125" style="31" hidden="1" customWidth="1"/>
    <col min="32" max="32" width="10.44140625" style="31" hidden="1" customWidth="1"/>
    <col min="33" max="33" width="8.88671875" style="31" hidden="1"/>
    <col min="34" max="34" width="12.44140625" style="31" hidden="1" customWidth="1"/>
    <col min="35" max="35" width="8.88671875" style="31" hidden="1"/>
    <col min="36" max="36" width="9.33203125" style="31" hidden="1" customWidth="1"/>
    <col min="37" max="37" width="10.44140625" style="31" hidden="1" customWidth="1"/>
    <col min="38" max="16384" width="8.88671875" style="31" hidden="1"/>
  </cols>
  <sheetData>
    <row r="1" spans="2:37" ht="15.75" customHeight="1" thickBot="1" x14ac:dyDescent="0.3"/>
    <row r="2" spans="2:37" ht="15.75" customHeight="1" thickBot="1" x14ac:dyDescent="0.3">
      <c r="B2" s="744" t="str">
        <f>IF(Start!$F$12="","",Start!$F$12)</f>
        <v>Land at Doncaster Road, Goldthorpe, Rotherham</v>
      </c>
      <c r="C2" s="745"/>
      <c r="D2" s="746"/>
    </row>
    <row r="3" spans="2:37" ht="15.75" customHeight="1" x14ac:dyDescent="0.25">
      <c r="B3" s="975" t="str">
        <f ca="1">MID(CELL("filename",A1),FIND("]",CELL("filename",A1))+1,256)</f>
        <v>E-1 Off Site Hedge Baseline</v>
      </c>
      <c r="C3" s="976"/>
      <c r="D3" s="977"/>
    </row>
    <row r="4" spans="2:37" ht="15.75" customHeight="1" thickBot="1" x14ac:dyDescent="0.3">
      <c r="B4" s="978"/>
      <c r="C4" s="979"/>
      <c r="D4" s="980"/>
    </row>
    <row r="5" spans="2:37" ht="37.950000000000003" customHeight="1" x14ac:dyDescent="0.25"/>
    <row r="6" spans="2:37" ht="28.95" customHeight="1" x14ac:dyDescent="0.25"/>
    <row r="7" spans="2:37" ht="15.75" customHeight="1" thickBot="1" x14ac:dyDescent="0.3">
      <c r="B7" s="132"/>
      <c r="C7" s="132"/>
      <c r="D7" s="131"/>
    </row>
    <row r="8" spans="2:37" s="42" customFormat="1" ht="28.2" thickBot="1" x14ac:dyDescent="0.3">
      <c r="B8" s="40"/>
      <c r="C8" s="967" t="s">
        <v>315</v>
      </c>
      <c r="D8" s="968"/>
      <c r="E8" s="969"/>
      <c r="F8" s="967" t="s">
        <v>272</v>
      </c>
      <c r="G8" s="969"/>
      <c r="H8" s="967" t="s">
        <v>273</v>
      </c>
      <c r="I8" s="969"/>
      <c r="J8" s="967" t="s">
        <v>191</v>
      </c>
      <c r="K8" s="968"/>
      <c r="L8" s="969"/>
      <c r="M8" s="970" t="s">
        <v>309</v>
      </c>
      <c r="N8" s="167" t="s">
        <v>193</v>
      </c>
      <c r="O8" s="138"/>
      <c r="P8" s="994" t="s">
        <v>194</v>
      </c>
      <c r="Q8" s="996"/>
      <c r="R8" s="996"/>
      <c r="S8" s="996"/>
      <c r="T8" s="996"/>
      <c r="U8" s="995"/>
      <c r="V8" s="994" t="s">
        <v>196</v>
      </c>
      <c r="W8" s="995"/>
    </row>
    <row r="9" spans="2:37" ht="42" thickBot="1" x14ac:dyDescent="0.3">
      <c r="B9" s="135" t="s">
        <v>254</v>
      </c>
      <c r="C9" s="201" t="s">
        <v>293</v>
      </c>
      <c r="D9" s="201" t="s">
        <v>99</v>
      </c>
      <c r="E9" s="202" t="s">
        <v>294</v>
      </c>
      <c r="F9" s="368" t="s">
        <v>189</v>
      </c>
      <c r="G9" s="202" t="s">
        <v>206</v>
      </c>
      <c r="H9" s="368" t="s">
        <v>190</v>
      </c>
      <c r="I9" s="202" t="s">
        <v>206</v>
      </c>
      <c r="J9" s="368" t="s">
        <v>191</v>
      </c>
      <c r="K9" s="201" t="s">
        <v>191</v>
      </c>
      <c r="L9" s="202" t="s">
        <v>231</v>
      </c>
      <c r="M9" s="997"/>
      <c r="N9" s="207" t="s">
        <v>295</v>
      </c>
      <c r="O9" s="138"/>
      <c r="P9" s="406" t="s">
        <v>296</v>
      </c>
      <c r="Q9" s="407" t="s">
        <v>297</v>
      </c>
      <c r="R9" s="408" t="s">
        <v>298</v>
      </c>
      <c r="S9" s="408" t="s">
        <v>299</v>
      </c>
      <c r="T9" s="408" t="s">
        <v>300</v>
      </c>
      <c r="U9" s="409" t="s">
        <v>214</v>
      </c>
      <c r="V9" s="406" t="s">
        <v>215</v>
      </c>
      <c r="W9" s="409" t="s">
        <v>216</v>
      </c>
      <c r="AB9" s="131" t="s">
        <v>200</v>
      </c>
      <c r="AE9" s="156" t="s">
        <v>219</v>
      </c>
      <c r="AF9" s="156" t="s">
        <v>220</v>
      </c>
      <c r="AH9" s="156" t="s">
        <v>222</v>
      </c>
      <c r="AJ9" s="156" t="s">
        <v>219</v>
      </c>
      <c r="AK9" s="156" t="s">
        <v>220</v>
      </c>
    </row>
    <row r="10" spans="2:37" ht="13.8" x14ac:dyDescent="0.25">
      <c r="B10" s="141">
        <v>1</v>
      </c>
      <c r="C10" s="203"/>
      <c r="D10" s="203"/>
      <c r="E10" s="153"/>
      <c r="F10" s="498" t="str">
        <f>IF(D10="","",VLOOKUP(D10,'G-6 Hedgerow Data'!$B$2:$AG$15,2,FALSE))</f>
        <v/>
      </c>
      <c r="G10" s="499" t="str">
        <f>IF(D10="","",VLOOKUP(D10,'G-6 Hedgerow Data'!$B$2:$AG$15,3,FALSE))</f>
        <v/>
      </c>
      <c r="H10" s="71"/>
      <c r="I10" s="499" t="str">
        <f>IFERROR(IF(AND(F10="V.Low",OR(H10="Good",H10="Moderate")),"Error ▲",VLOOKUP(H10,'G-1 All Habitats'!$Z$2:$AA$9,2,FALSE)),"")</f>
        <v/>
      </c>
      <c r="J10" s="154"/>
      <c r="K10" s="520" t="str">
        <f>IF(J10="","",IF(VLOOKUP(J10,'G-3 Multipliers'!$L$3:$N$6,2,FALSE)=0,"Spatial Data Missing ⚠",VLOOKUP(J10,'G-3 Multipliers'!$L$3:$N$6,2,FALSE)))</f>
        <v/>
      </c>
      <c r="L10" s="524" t="str">
        <f>IF(J10="","",IF(VLOOKUP(J10,'G-3 Multipliers'!$L$3:$N$6,3,FALSE)=0,"Spatial Data Missing ⚠",VLOOKUP(J10,'G-3 Multipliers'!$L$3:$N$6,3,FALSE)))</f>
        <v/>
      </c>
      <c r="M10" s="506" t="str">
        <f>IF(D10="","",VLOOKUP(D10,'G-6 Hedgerow Data'!$B$1:$AH$15,33,FALSE))</f>
        <v/>
      </c>
      <c r="N10" s="513" t="str">
        <f>IFERROR(E10*G10*I10*L10,"")</f>
        <v/>
      </c>
      <c r="O10" s="40"/>
      <c r="P10" s="71"/>
      <c r="Q10" s="72"/>
      <c r="R10" s="507" t="str">
        <f>IFERROR(P10*G10*I10*L10,"")</f>
        <v/>
      </c>
      <c r="S10" s="507" t="str">
        <f>IFERROR(Q10*G10*I10*L10,"")</f>
        <v/>
      </c>
      <c r="T10" s="511" t="str">
        <f>IF(D10="","",IF(E10&lt;P10+Q10,"Error in Lengths ▲",E10-P10-Q10))</f>
        <v/>
      </c>
      <c r="U10" s="515" t="str">
        <f>IF(OR(E10="",N10=""),"",IF(E10&lt;P10+Q10,"Error in Lengths",N10-R10-S10))</f>
        <v/>
      </c>
      <c r="V10" s="149"/>
      <c r="W10" s="150"/>
      <c r="AB10" s="31" t="str">
        <f>IFERROR(INDEX('G-6 Hedgerow Data'!$BJ$3:$BJ$15,MATCH(D10,'G-6 Hedgerow Data'!$B$3:$B$15,0)),"")</f>
        <v/>
      </c>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row>
    <row r="11" spans="2:37" ht="13.8" x14ac:dyDescent="0.25">
      <c r="B11" s="141">
        <v>2</v>
      </c>
      <c r="C11" s="203"/>
      <c r="D11" s="203"/>
      <c r="E11" s="153"/>
      <c r="F11" s="498" t="str">
        <f>IF(D11="","",VLOOKUP(D11,'G-6 Hedgerow Data'!$B$2:$AG$15,2,FALSE))</f>
        <v/>
      </c>
      <c r="G11" s="499" t="str">
        <f>IF(D11="","",VLOOKUP(D11,'G-6 Hedgerow Data'!$B$2:$AG$15,3,FALSE))</f>
        <v/>
      </c>
      <c r="H11" s="71"/>
      <c r="I11" s="499" t="str">
        <f>IFERROR(IF(AND(F11="V.Low",OR(H11="Good",H11="Moderate")),"Error ▲",VLOOKUP(H11,'G-1 All Habitats'!$Z$2:$AA$9,2,FALSE)),"")</f>
        <v/>
      </c>
      <c r="J11" s="154"/>
      <c r="K11" s="520" t="str">
        <f>IF(J11="","",IF(VLOOKUP(J11,'G-3 Multipliers'!$L$3:$N$6,2,FALSE)=0,"Spatial Data Missing ⚠",VLOOKUP(J11,'G-3 Multipliers'!$L$3:$N$6,2,FALSE)))</f>
        <v/>
      </c>
      <c r="L11" s="524" t="str">
        <f>IF(J11="","",IF(VLOOKUP(J11,'G-3 Multipliers'!$L$3:$N$6,3,FALSE)=0,"Spatial Data Missing ⚠",VLOOKUP(J11,'G-3 Multipliers'!$L$3:$N$6,3,FALSE)))</f>
        <v/>
      </c>
      <c r="M11" s="506" t="str">
        <f>IF(D11="","",VLOOKUP(D11,'G-6 Hedgerow Data'!$B$1:$AH$15,33,FALSE))</f>
        <v/>
      </c>
      <c r="N11" s="513" t="str">
        <f t="shared" ref="N11:N74" si="2">IFERROR(E11*G11*I11*L11,"")</f>
        <v/>
      </c>
      <c r="O11" s="40"/>
      <c r="P11" s="71"/>
      <c r="Q11" s="72"/>
      <c r="R11" s="507" t="str">
        <f t="shared" ref="R11:R74" si="3">IFERROR(P11*G11*I11*L11,"")</f>
        <v/>
      </c>
      <c r="S11" s="507" t="str">
        <f t="shared" ref="S11:S74" si="4">IFERROR(Q11*G11*I11*L11,"")</f>
        <v/>
      </c>
      <c r="T11" s="511" t="str">
        <f t="shared" ref="T11:T74" si="5">IF(D11="","",IF(E11&lt;P11+Q11,"Error in Lengths ▲",E11-P11-Q11))</f>
        <v/>
      </c>
      <c r="U11" s="515" t="str">
        <f t="shared" ref="U11:U74" si="6">IF(OR(E11="",N11=""),"",IF(E11&lt;P11+Q11,"Error in Lengths",N11-R11-S11))</f>
        <v/>
      </c>
      <c r="V11" s="151"/>
      <c r="W11" s="152"/>
      <c r="AB11" s="31" t="str">
        <f>IFERROR(INDEX('G-6 Hedgerow Data'!$BJ$3:$BJ$15,MATCH(D11,'G-6 Hedgerow Data'!$B$3:$B$15,0)),"")</f>
        <v/>
      </c>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row>
    <row r="12" spans="2:37" ht="13.8" x14ac:dyDescent="0.25">
      <c r="B12" s="141">
        <v>3</v>
      </c>
      <c r="C12" s="203"/>
      <c r="D12" s="203"/>
      <c r="E12" s="153"/>
      <c r="F12" s="498" t="str">
        <f>IF(D12="","",VLOOKUP(D12,'G-6 Hedgerow Data'!$B$2:$AG$15,2,FALSE))</f>
        <v/>
      </c>
      <c r="G12" s="499" t="str">
        <f>IF(D12="","",VLOOKUP(D12,'G-6 Hedgerow Data'!$B$2:$AG$15,3,FALSE))</f>
        <v/>
      </c>
      <c r="H12" s="71"/>
      <c r="I12" s="499" t="str">
        <f>IFERROR(IF(AND(F12="V.Low",OR(H12="Good",H12="Moderate")),"Error ▲",VLOOKUP(H12,'G-1 All Habitats'!$Z$2:$AA$9,2,FALSE)),"")</f>
        <v/>
      </c>
      <c r="J12" s="154"/>
      <c r="K12" s="520" t="str">
        <f>IF(J12="","",IF(VLOOKUP(J12,'G-3 Multipliers'!$L$3:$N$6,2,FALSE)=0,"Spatial Data Missing ⚠",VLOOKUP(J12,'G-3 Multipliers'!$L$3:$N$6,2,FALSE)))</f>
        <v/>
      </c>
      <c r="L12" s="524" t="str">
        <f>IF(J12="","",IF(VLOOKUP(J12,'G-3 Multipliers'!$L$3:$N$6,3,FALSE)=0,"Spatial Data Missing ⚠",VLOOKUP(J12,'G-3 Multipliers'!$L$3:$N$6,3,FALSE)))</f>
        <v/>
      </c>
      <c r="M12" s="506" t="str">
        <f>IF(D12="","",VLOOKUP(D12,'G-6 Hedgerow Data'!$B$1:$AH$15,33,FALSE))</f>
        <v/>
      </c>
      <c r="N12" s="513" t="str">
        <f t="shared" si="2"/>
        <v/>
      </c>
      <c r="O12" s="40"/>
      <c r="P12" s="71"/>
      <c r="Q12" s="72"/>
      <c r="R12" s="507" t="str">
        <f t="shared" si="3"/>
        <v/>
      </c>
      <c r="S12" s="507" t="str">
        <f t="shared" si="4"/>
        <v/>
      </c>
      <c r="T12" s="511" t="str">
        <f t="shared" si="5"/>
        <v/>
      </c>
      <c r="U12" s="515" t="str">
        <f t="shared" si="6"/>
        <v/>
      </c>
      <c r="V12" s="151"/>
      <c r="W12" s="152"/>
      <c r="AB12" s="31" t="str">
        <f>IFERROR(INDEX('G-6 Hedgerow Data'!$BJ$3:$BJ$15,MATCH(D12,'G-6 Hedgerow Data'!$B$3:$B$15,0)),"")</f>
        <v/>
      </c>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row>
    <row r="13" spans="2:37" ht="13.8" x14ac:dyDescent="0.25">
      <c r="B13" s="141">
        <v>4</v>
      </c>
      <c r="C13" s="203"/>
      <c r="D13" s="203"/>
      <c r="E13" s="153"/>
      <c r="F13" s="498" t="str">
        <f>IF(D13="","",VLOOKUP(D13,'G-6 Hedgerow Data'!$B$2:$AG$15,2,FALSE))</f>
        <v/>
      </c>
      <c r="G13" s="499" t="str">
        <f>IF(D13="","",VLOOKUP(D13,'G-6 Hedgerow Data'!$B$2:$AG$15,3,FALSE))</f>
        <v/>
      </c>
      <c r="H13" s="71"/>
      <c r="I13" s="499" t="str">
        <f>IFERROR(IF(AND(F13="V.Low",OR(H13="Good",H13="Moderate")),"Error ▲",VLOOKUP(H13,'G-1 All Habitats'!$Z$2:$AA$9,2,FALSE)),"")</f>
        <v/>
      </c>
      <c r="J13" s="154"/>
      <c r="K13" s="520" t="str">
        <f>IF(J13="","",IF(VLOOKUP(J13,'G-3 Multipliers'!$L$3:$N$6,2,FALSE)=0,"Spatial Data Missing ⚠",VLOOKUP(J13,'G-3 Multipliers'!$L$3:$N$6,2,FALSE)))</f>
        <v/>
      </c>
      <c r="L13" s="524" t="str">
        <f>IF(J13="","",IF(VLOOKUP(J13,'G-3 Multipliers'!$L$3:$N$6,3,FALSE)=0,"Spatial Data Missing ⚠",VLOOKUP(J13,'G-3 Multipliers'!$L$3:$N$6,3,FALSE)))</f>
        <v/>
      </c>
      <c r="M13" s="506" t="str">
        <f>IF(D13="","",VLOOKUP(D13,'G-6 Hedgerow Data'!$B$1:$AH$15,33,FALSE))</f>
        <v/>
      </c>
      <c r="N13" s="513" t="str">
        <f t="shared" si="2"/>
        <v/>
      </c>
      <c r="O13" s="40"/>
      <c r="P13" s="71"/>
      <c r="Q13" s="72"/>
      <c r="R13" s="507" t="str">
        <f t="shared" si="3"/>
        <v/>
      </c>
      <c r="S13" s="507" t="str">
        <f t="shared" si="4"/>
        <v/>
      </c>
      <c r="T13" s="511" t="str">
        <f t="shared" si="5"/>
        <v/>
      </c>
      <c r="U13" s="515" t="str">
        <f t="shared" si="6"/>
        <v/>
      </c>
      <c r="V13" s="151"/>
      <c r="W13" s="152"/>
      <c r="AB13" s="31" t="str">
        <f>IFERROR(INDEX('G-6 Hedgerow Data'!$BJ$3:$BJ$15,MATCH(D13,'G-6 Hedgerow Data'!$B$3:$B$15,0)),"")</f>
        <v/>
      </c>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row>
    <row r="14" spans="2:37" ht="13.8" x14ac:dyDescent="0.25">
      <c r="B14" s="141">
        <v>5</v>
      </c>
      <c r="C14" s="203"/>
      <c r="D14" s="203"/>
      <c r="E14" s="153"/>
      <c r="F14" s="498" t="str">
        <f>IF(D14="","",VLOOKUP(D14,'G-6 Hedgerow Data'!$B$2:$AG$15,2,FALSE))</f>
        <v/>
      </c>
      <c r="G14" s="499" t="str">
        <f>IF(D14="","",VLOOKUP(D14,'G-6 Hedgerow Data'!$B$2:$AG$15,3,FALSE))</f>
        <v/>
      </c>
      <c r="H14" s="145"/>
      <c r="I14" s="499" t="str">
        <f>IFERROR(IF(AND(F14="V.Low",OR(H14="Good",H14="Moderate")),"Error ▲",VLOOKUP(H14,'G-1 All Habitats'!$Z$2:$AA$9,2,FALSE)),"")</f>
        <v/>
      </c>
      <c r="J14" s="154"/>
      <c r="K14" s="520" t="str">
        <f>IF(J14="","",IF(VLOOKUP(J14,'G-3 Multipliers'!$L$3:$N$6,2,FALSE)=0,"Spatial Data Missing ⚠",VLOOKUP(J14,'G-3 Multipliers'!$L$3:$N$6,2,FALSE)))</f>
        <v/>
      </c>
      <c r="L14" s="524" t="str">
        <f>IF(J14="","",IF(VLOOKUP(J14,'G-3 Multipliers'!$L$3:$N$6,3,FALSE)=0,"Spatial Data Missing ⚠",VLOOKUP(J14,'G-3 Multipliers'!$L$3:$N$6,3,FALSE)))</f>
        <v/>
      </c>
      <c r="M14" s="506" t="str">
        <f>IF(D14="","",VLOOKUP(D14,'G-6 Hedgerow Data'!$B$1:$AH$15,33,FALSE))</f>
        <v/>
      </c>
      <c r="N14" s="513" t="str">
        <f t="shared" si="2"/>
        <v/>
      </c>
      <c r="O14" s="40"/>
      <c r="P14" s="71"/>
      <c r="Q14" s="72"/>
      <c r="R14" s="507" t="str">
        <f t="shared" si="3"/>
        <v/>
      </c>
      <c r="S14" s="507" t="str">
        <f t="shared" si="4"/>
        <v/>
      </c>
      <c r="T14" s="511" t="str">
        <f t="shared" si="5"/>
        <v/>
      </c>
      <c r="U14" s="515" t="str">
        <f t="shared" si="6"/>
        <v/>
      </c>
      <c r="V14" s="151"/>
      <c r="W14" s="152"/>
      <c r="AB14" s="31" t="str">
        <f>IFERROR(INDEX('G-6 Hedgerow Data'!$BJ$3:$BJ$15,MATCH(D14,'G-6 Hedgerow Data'!$B$3:$B$15,0)),"")</f>
        <v/>
      </c>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row>
    <row r="15" spans="2:37" ht="13.8" x14ac:dyDescent="0.25">
      <c r="B15" s="141">
        <v>6</v>
      </c>
      <c r="C15" s="203"/>
      <c r="D15" s="203"/>
      <c r="E15" s="153"/>
      <c r="F15" s="498" t="str">
        <f>IF(D15="","",VLOOKUP(D15,'G-6 Hedgerow Data'!$B$2:$AG$15,2,FALSE))</f>
        <v/>
      </c>
      <c r="G15" s="499" t="str">
        <f>IF(D15="","",VLOOKUP(D15,'G-6 Hedgerow Data'!$B$2:$AG$15,3,FALSE))</f>
        <v/>
      </c>
      <c r="H15" s="145"/>
      <c r="I15" s="499" t="str">
        <f>IFERROR(IF(AND(F15="V.Low",OR(H15="Good",H15="Moderate")),"Error ▲",VLOOKUP(H15,'G-1 All Habitats'!$Z$2:$AA$9,2,FALSE)),"")</f>
        <v/>
      </c>
      <c r="J15" s="154"/>
      <c r="K15" s="520" t="str">
        <f>IF(J15="","",IF(VLOOKUP(J15,'G-3 Multipliers'!$L$3:$N$6,2,FALSE)=0,"Spatial Data Missing ⚠",VLOOKUP(J15,'G-3 Multipliers'!$L$3:$N$6,2,FALSE)))</f>
        <v/>
      </c>
      <c r="L15" s="524" t="str">
        <f>IF(J15="","",IF(VLOOKUP(J15,'G-3 Multipliers'!$L$3:$N$6,3,FALSE)=0,"Spatial Data Missing ⚠",VLOOKUP(J15,'G-3 Multipliers'!$L$3:$N$6,3,FALSE)))</f>
        <v/>
      </c>
      <c r="M15" s="506" t="str">
        <f>IF(D15="","",VLOOKUP(D15,'G-6 Hedgerow Data'!$B$1:$AH$15,33,FALSE))</f>
        <v/>
      </c>
      <c r="N15" s="513" t="str">
        <f t="shared" si="2"/>
        <v/>
      </c>
      <c r="O15" s="40"/>
      <c r="P15" s="145"/>
      <c r="Q15" s="72"/>
      <c r="R15" s="507" t="str">
        <f t="shared" si="3"/>
        <v/>
      </c>
      <c r="S15" s="507" t="str">
        <f t="shared" si="4"/>
        <v/>
      </c>
      <c r="T15" s="511" t="str">
        <f t="shared" si="5"/>
        <v/>
      </c>
      <c r="U15" s="515" t="str">
        <f t="shared" si="6"/>
        <v/>
      </c>
      <c r="V15" s="151"/>
      <c r="W15" s="152"/>
      <c r="AB15" s="31" t="str">
        <f>IFERROR(INDEX('G-6 Hedgerow Data'!$BJ$3:$BJ$15,MATCH(D15,'G-6 Hedgerow Data'!$B$3:$B$15,0)),"")</f>
        <v/>
      </c>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row>
    <row r="16" spans="2:37" ht="13.8" x14ac:dyDescent="0.25">
      <c r="B16" s="141">
        <v>7</v>
      </c>
      <c r="C16" s="203"/>
      <c r="D16" s="203"/>
      <c r="E16" s="153"/>
      <c r="F16" s="498" t="str">
        <f>IF(D16="","",VLOOKUP(D16,'G-6 Hedgerow Data'!$B$2:$AG$15,2,FALSE))</f>
        <v/>
      </c>
      <c r="G16" s="499" t="str">
        <f>IF(D16="","",VLOOKUP(D16,'G-6 Hedgerow Data'!$B$2:$AG$15,3,FALSE))</f>
        <v/>
      </c>
      <c r="H16" s="145"/>
      <c r="I16" s="499" t="str">
        <f>IFERROR(IF(AND(F16="V.Low",OR(H16="Good",H16="Moderate")),"Error ▲",VLOOKUP(H16,'G-1 All Habitats'!$Z$2:$AA$9,2,FALSE)),"")</f>
        <v/>
      </c>
      <c r="J16" s="154"/>
      <c r="K16" s="520" t="str">
        <f>IF(J16="","",IF(VLOOKUP(J16,'G-3 Multipliers'!$L$3:$N$6,2,FALSE)=0,"Spatial Data Missing ⚠",VLOOKUP(J16,'G-3 Multipliers'!$L$3:$N$6,2,FALSE)))</f>
        <v/>
      </c>
      <c r="L16" s="524" t="str">
        <f>IF(J16="","",IF(VLOOKUP(J16,'G-3 Multipliers'!$L$3:$N$6,3,FALSE)=0,"Spatial Data Missing ⚠",VLOOKUP(J16,'G-3 Multipliers'!$L$3:$N$6,3,FALSE)))</f>
        <v/>
      </c>
      <c r="M16" s="506" t="str">
        <f>IF(D16="","",VLOOKUP(D16,'G-6 Hedgerow Data'!$B$1:$AH$15,33,FALSE))</f>
        <v/>
      </c>
      <c r="N16" s="513" t="str">
        <f t="shared" si="2"/>
        <v/>
      </c>
      <c r="O16" s="40"/>
      <c r="P16" s="145"/>
      <c r="Q16" s="72"/>
      <c r="R16" s="507" t="str">
        <f t="shared" si="3"/>
        <v/>
      </c>
      <c r="S16" s="507" t="str">
        <f t="shared" si="4"/>
        <v/>
      </c>
      <c r="T16" s="511" t="str">
        <f t="shared" si="5"/>
        <v/>
      </c>
      <c r="U16" s="515" t="str">
        <f t="shared" si="6"/>
        <v/>
      </c>
      <c r="V16" s="151"/>
      <c r="W16" s="152"/>
      <c r="AB16" s="31" t="str">
        <f>IFERROR(INDEX('G-6 Hedgerow Data'!$BJ$3:$BJ$15,MATCH(D16,'G-6 Hedgerow Data'!$B$3:$B$15,0)),"")</f>
        <v/>
      </c>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row>
    <row r="17" spans="2:37" ht="13.8" x14ac:dyDescent="0.25">
      <c r="B17" s="141">
        <v>8</v>
      </c>
      <c r="C17" s="203"/>
      <c r="D17" s="203"/>
      <c r="E17" s="153"/>
      <c r="F17" s="498" t="str">
        <f>IF(D17="","",VLOOKUP(D17,'G-6 Hedgerow Data'!$B$2:$AG$15,2,FALSE))</f>
        <v/>
      </c>
      <c r="G17" s="499" t="str">
        <f>IF(D17="","",VLOOKUP(D17,'G-6 Hedgerow Data'!$B$2:$AG$15,3,FALSE))</f>
        <v/>
      </c>
      <c r="H17" s="145"/>
      <c r="I17" s="499" t="str">
        <f>IFERROR(IF(AND(F17="V.Low",OR(H17="Good",H17="Moderate")),"Error ▲",VLOOKUP(H17,'G-1 All Habitats'!$Z$2:$AA$9,2,FALSE)),"")</f>
        <v/>
      </c>
      <c r="J17" s="154"/>
      <c r="K17" s="520" t="str">
        <f>IF(J17="","",IF(VLOOKUP(J17,'G-3 Multipliers'!$L$3:$N$6,2,FALSE)=0,"Spatial Data Missing ⚠",VLOOKUP(J17,'G-3 Multipliers'!$L$3:$N$6,2,FALSE)))</f>
        <v/>
      </c>
      <c r="L17" s="524" t="str">
        <f>IF(J17="","",IF(VLOOKUP(J17,'G-3 Multipliers'!$L$3:$N$6,3,FALSE)=0,"Spatial Data Missing ⚠",VLOOKUP(J17,'G-3 Multipliers'!$L$3:$N$6,3,FALSE)))</f>
        <v/>
      </c>
      <c r="M17" s="506" t="str">
        <f>IF(D17="","",VLOOKUP(D17,'G-6 Hedgerow Data'!$B$1:$AH$15,33,FALSE))</f>
        <v/>
      </c>
      <c r="N17" s="513" t="str">
        <f t="shared" si="2"/>
        <v/>
      </c>
      <c r="O17" s="40"/>
      <c r="P17" s="145"/>
      <c r="Q17" s="72"/>
      <c r="R17" s="507" t="str">
        <f t="shared" si="3"/>
        <v/>
      </c>
      <c r="S17" s="507" t="str">
        <f t="shared" si="4"/>
        <v/>
      </c>
      <c r="T17" s="511" t="str">
        <f t="shared" si="5"/>
        <v/>
      </c>
      <c r="U17" s="515" t="str">
        <f t="shared" si="6"/>
        <v/>
      </c>
      <c r="V17" s="151"/>
      <c r="W17" s="152"/>
      <c r="AB17" s="31" t="str">
        <f>IFERROR(INDEX('G-6 Hedgerow Data'!$BJ$3:$BJ$15,MATCH(D17,'G-6 Hedgerow Data'!$B$3:$B$15,0)),"")</f>
        <v/>
      </c>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row>
    <row r="18" spans="2:37" ht="13.8" x14ac:dyDescent="0.25">
      <c r="B18" s="141">
        <v>9</v>
      </c>
      <c r="C18" s="203"/>
      <c r="D18" s="203"/>
      <c r="E18" s="153"/>
      <c r="F18" s="498" t="str">
        <f>IF(D18="","",VLOOKUP(D18,'G-6 Hedgerow Data'!$B$2:$AG$15,2,FALSE))</f>
        <v/>
      </c>
      <c r="G18" s="499" t="str">
        <f>IF(D18="","",VLOOKUP(D18,'G-6 Hedgerow Data'!$B$2:$AG$15,3,FALSE))</f>
        <v/>
      </c>
      <c r="H18" s="145"/>
      <c r="I18" s="499" t="str">
        <f>IFERROR(IF(AND(F18="V.Low",OR(H18="Good",H18="Moderate")),"Error ▲",VLOOKUP(H18,'G-1 All Habitats'!$Z$2:$AA$9,2,FALSE)),"")</f>
        <v/>
      </c>
      <c r="J18" s="154"/>
      <c r="K18" s="520" t="str">
        <f>IF(J18="","",IF(VLOOKUP(J18,'G-3 Multipliers'!$L$3:$N$6,2,FALSE)=0,"Spatial Data Missing ⚠",VLOOKUP(J18,'G-3 Multipliers'!$L$3:$N$6,2,FALSE)))</f>
        <v/>
      </c>
      <c r="L18" s="524" t="str">
        <f>IF(J18="","",IF(VLOOKUP(J18,'G-3 Multipliers'!$L$3:$N$6,3,FALSE)=0,"Spatial Data Missing ⚠",VLOOKUP(J18,'G-3 Multipliers'!$L$3:$N$6,3,FALSE)))</f>
        <v/>
      </c>
      <c r="M18" s="506" t="str">
        <f>IF(D18="","",VLOOKUP(D18,'G-6 Hedgerow Data'!$B$1:$AH$15,33,FALSE))</f>
        <v/>
      </c>
      <c r="N18" s="513" t="str">
        <f t="shared" si="2"/>
        <v/>
      </c>
      <c r="O18" s="40"/>
      <c r="P18" s="145"/>
      <c r="Q18" s="72"/>
      <c r="R18" s="507" t="str">
        <f t="shared" si="3"/>
        <v/>
      </c>
      <c r="S18" s="507" t="str">
        <f t="shared" si="4"/>
        <v/>
      </c>
      <c r="T18" s="511" t="str">
        <f t="shared" si="5"/>
        <v/>
      </c>
      <c r="U18" s="515" t="str">
        <f t="shared" si="6"/>
        <v/>
      </c>
      <c r="V18" s="151"/>
      <c r="W18" s="152"/>
      <c r="AB18" s="31" t="str">
        <f>IFERROR(INDEX('G-6 Hedgerow Data'!$BJ$3:$BJ$15,MATCH(D18,'G-6 Hedgerow Data'!$B$3:$B$15,0)),"")</f>
        <v/>
      </c>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row>
    <row r="19" spans="2:37" ht="13.8" x14ac:dyDescent="0.25">
      <c r="B19" s="141">
        <v>10</v>
      </c>
      <c r="C19" s="203"/>
      <c r="D19" s="203"/>
      <c r="E19" s="153"/>
      <c r="F19" s="498" t="str">
        <f>IF(D19="","",VLOOKUP(D19,'G-6 Hedgerow Data'!$B$2:$AG$15,2,FALSE))</f>
        <v/>
      </c>
      <c r="G19" s="499" t="str">
        <f>IF(D19="","",VLOOKUP(D19,'G-6 Hedgerow Data'!$B$2:$AG$15,3,FALSE))</f>
        <v/>
      </c>
      <c r="H19" s="145"/>
      <c r="I19" s="499" t="str">
        <f>IFERROR(IF(AND(F19="V.Low",OR(H19="Good",H19="Moderate")),"Error ▲",VLOOKUP(H19,'G-1 All Habitats'!$Z$2:$AA$9,2,FALSE)),"")</f>
        <v/>
      </c>
      <c r="J19" s="154"/>
      <c r="K19" s="520" t="str">
        <f>IF(J19="","",IF(VLOOKUP(J19,'G-3 Multipliers'!$L$3:$N$6,2,FALSE)=0,"Spatial Data Missing ⚠",VLOOKUP(J19,'G-3 Multipliers'!$L$3:$N$6,2,FALSE)))</f>
        <v/>
      </c>
      <c r="L19" s="524" t="str">
        <f>IF(J19="","",IF(VLOOKUP(J19,'G-3 Multipliers'!$L$3:$N$6,3,FALSE)=0,"Spatial Data Missing ⚠",VLOOKUP(J19,'G-3 Multipliers'!$L$3:$N$6,3,FALSE)))</f>
        <v/>
      </c>
      <c r="M19" s="506" t="str">
        <f>IF(D19="","",VLOOKUP(D19,'G-6 Hedgerow Data'!$B$1:$AH$15,33,FALSE))</f>
        <v/>
      </c>
      <c r="N19" s="513" t="str">
        <f t="shared" si="2"/>
        <v/>
      </c>
      <c r="O19" s="40"/>
      <c r="P19" s="145"/>
      <c r="Q19" s="72"/>
      <c r="R19" s="507" t="str">
        <f t="shared" si="3"/>
        <v/>
      </c>
      <c r="S19" s="507" t="str">
        <f t="shared" si="4"/>
        <v/>
      </c>
      <c r="T19" s="511" t="str">
        <f t="shared" si="5"/>
        <v/>
      </c>
      <c r="U19" s="515" t="str">
        <f t="shared" si="6"/>
        <v/>
      </c>
      <c r="V19" s="151"/>
      <c r="W19" s="152"/>
      <c r="AB19" s="31" t="str">
        <f>IFERROR(INDEX('G-6 Hedgerow Data'!$BJ$3:$BJ$15,MATCH(D19,'G-6 Hedgerow Data'!$B$3:$B$15,0)),"")</f>
        <v/>
      </c>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row>
    <row r="20" spans="2:37" ht="13.8" x14ac:dyDescent="0.25">
      <c r="B20" s="141">
        <v>11</v>
      </c>
      <c r="C20" s="203"/>
      <c r="D20" s="203"/>
      <c r="E20" s="153"/>
      <c r="F20" s="498" t="str">
        <f>IF(D20="","",VLOOKUP(D20,'G-6 Hedgerow Data'!$B$2:$AG$15,2,FALSE))</f>
        <v/>
      </c>
      <c r="G20" s="499" t="str">
        <f>IF(D20="","",VLOOKUP(D20,'G-6 Hedgerow Data'!$B$2:$AG$15,3,FALSE))</f>
        <v/>
      </c>
      <c r="H20" s="145"/>
      <c r="I20" s="499" t="str">
        <f>IFERROR(IF(AND(F20="V.Low",OR(H20="Good",H20="Moderate")),"Error ▲",VLOOKUP(H20,'G-1 All Habitats'!$Z$2:$AA$9,2,FALSE)),"")</f>
        <v/>
      </c>
      <c r="J20" s="154"/>
      <c r="K20" s="520" t="str">
        <f>IF(J20="","",IF(VLOOKUP(J20,'G-3 Multipliers'!$L$3:$N$6,2,FALSE)=0,"Spatial Data Missing ⚠",VLOOKUP(J20,'G-3 Multipliers'!$L$3:$N$6,2,FALSE)))</f>
        <v/>
      </c>
      <c r="L20" s="524" t="str">
        <f>IF(J20="","",IF(VLOOKUP(J20,'G-3 Multipliers'!$L$3:$N$6,3,FALSE)=0,"Spatial Data Missing ⚠",VLOOKUP(J20,'G-3 Multipliers'!$L$3:$N$6,3,FALSE)))</f>
        <v/>
      </c>
      <c r="M20" s="506" t="str">
        <f>IF(D20="","",VLOOKUP(D20,'G-6 Hedgerow Data'!$B$1:$AH$15,33,FALSE))</f>
        <v/>
      </c>
      <c r="N20" s="513" t="str">
        <f t="shared" si="2"/>
        <v/>
      </c>
      <c r="O20" s="40"/>
      <c r="P20" s="145"/>
      <c r="Q20" s="72"/>
      <c r="R20" s="507" t="str">
        <f t="shared" si="3"/>
        <v/>
      </c>
      <c r="S20" s="507" t="str">
        <f t="shared" si="4"/>
        <v/>
      </c>
      <c r="T20" s="511" t="str">
        <f t="shared" si="5"/>
        <v/>
      </c>
      <c r="U20" s="515" t="str">
        <f t="shared" si="6"/>
        <v/>
      </c>
      <c r="V20" s="151"/>
      <c r="W20" s="152"/>
      <c r="AB20" s="31" t="str">
        <f>IFERROR(INDEX('G-6 Hedgerow Data'!$BJ$3:$BJ$15,MATCH(D20,'G-6 Hedgerow Data'!$B$3:$B$15,0)),"")</f>
        <v/>
      </c>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row>
    <row r="21" spans="2:37" ht="13.8" x14ac:dyDescent="0.25">
      <c r="B21" s="141">
        <v>12</v>
      </c>
      <c r="C21" s="203"/>
      <c r="D21" s="203"/>
      <c r="E21" s="153"/>
      <c r="F21" s="498" t="str">
        <f>IF(D21="","",VLOOKUP(D21,'G-6 Hedgerow Data'!$B$2:$AG$15,2,FALSE))</f>
        <v/>
      </c>
      <c r="G21" s="499" t="str">
        <f>IF(D21="","",VLOOKUP(D21,'G-6 Hedgerow Data'!$B$2:$AG$15,3,FALSE))</f>
        <v/>
      </c>
      <c r="H21" s="145"/>
      <c r="I21" s="499" t="str">
        <f>IFERROR(IF(AND(F21="V.Low",OR(H21="Good",H21="Moderate")),"Error ▲",VLOOKUP(H21,'G-1 All Habitats'!$Z$2:$AA$9,2,FALSE)),"")</f>
        <v/>
      </c>
      <c r="J21" s="154"/>
      <c r="K21" s="520" t="str">
        <f>IF(J21="","",IF(VLOOKUP(J21,'G-3 Multipliers'!$L$3:$N$6,2,FALSE)=0,"Spatial Data Missing ⚠",VLOOKUP(J21,'G-3 Multipliers'!$L$3:$N$6,2,FALSE)))</f>
        <v/>
      </c>
      <c r="L21" s="524" t="str">
        <f>IF(J21="","",IF(VLOOKUP(J21,'G-3 Multipliers'!$L$3:$N$6,3,FALSE)=0,"Spatial Data Missing ⚠",VLOOKUP(J21,'G-3 Multipliers'!$L$3:$N$6,3,FALSE)))</f>
        <v/>
      </c>
      <c r="M21" s="506" t="str">
        <f>IF(D21="","",VLOOKUP(D21,'G-6 Hedgerow Data'!$B$1:$AH$15,33,FALSE))</f>
        <v/>
      </c>
      <c r="N21" s="513" t="str">
        <f t="shared" si="2"/>
        <v/>
      </c>
      <c r="O21" s="40"/>
      <c r="P21" s="145"/>
      <c r="Q21" s="72"/>
      <c r="R21" s="507" t="str">
        <f t="shared" si="3"/>
        <v/>
      </c>
      <c r="S21" s="507" t="str">
        <f t="shared" si="4"/>
        <v/>
      </c>
      <c r="T21" s="511" t="str">
        <f t="shared" si="5"/>
        <v/>
      </c>
      <c r="U21" s="515" t="str">
        <f t="shared" si="6"/>
        <v/>
      </c>
      <c r="V21" s="151"/>
      <c r="W21" s="152"/>
      <c r="AB21" s="31" t="str">
        <f>IFERROR(INDEX('G-6 Hedgerow Data'!$BJ$3:$BJ$15,MATCH(D21,'G-6 Hedgerow Data'!$B$3:$B$15,0)),"")</f>
        <v/>
      </c>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row>
    <row r="22" spans="2:37" ht="13.8" x14ac:dyDescent="0.25">
      <c r="B22" s="141">
        <v>13</v>
      </c>
      <c r="C22" s="203"/>
      <c r="D22" s="203"/>
      <c r="E22" s="153"/>
      <c r="F22" s="498" t="str">
        <f>IF(D22="","",VLOOKUP(D22,'G-6 Hedgerow Data'!$B$2:$AG$15,2,FALSE))</f>
        <v/>
      </c>
      <c r="G22" s="499" t="str">
        <f>IF(D22="","",VLOOKUP(D22,'G-6 Hedgerow Data'!$B$2:$AG$15,3,FALSE))</f>
        <v/>
      </c>
      <c r="H22" s="145"/>
      <c r="I22" s="499" t="str">
        <f>IFERROR(IF(AND(F22="V.Low",OR(H22="Good",H22="Moderate")),"Error ▲",VLOOKUP(H22,'G-1 All Habitats'!$Z$2:$AA$9,2,FALSE)),"")</f>
        <v/>
      </c>
      <c r="J22" s="154"/>
      <c r="K22" s="520" t="str">
        <f>IF(J22="","",IF(VLOOKUP(J22,'G-3 Multipliers'!$L$3:$N$6,2,FALSE)=0,"Spatial Data Missing ⚠",VLOOKUP(J22,'G-3 Multipliers'!$L$3:$N$6,2,FALSE)))</f>
        <v/>
      </c>
      <c r="L22" s="524" t="str">
        <f>IF(J22="","",IF(VLOOKUP(J22,'G-3 Multipliers'!$L$3:$N$6,3,FALSE)=0,"Spatial Data Missing ⚠",VLOOKUP(J22,'G-3 Multipliers'!$L$3:$N$6,3,FALSE)))</f>
        <v/>
      </c>
      <c r="M22" s="506" t="str">
        <f>IF(D22="","",VLOOKUP(D22,'G-6 Hedgerow Data'!$B$1:$AH$15,33,FALSE))</f>
        <v/>
      </c>
      <c r="N22" s="513" t="str">
        <f t="shared" si="2"/>
        <v/>
      </c>
      <c r="O22" s="40"/>
      <c r="P22" s="145"/>
      <c r="Q22" s="157"/>
      <c r="R22" s="507" t="str">
        <f t="shared" si="3"/>
        <v/>
      </c>
      <c r="S22" s="507" t="str">
        <f t="shared" si="4"/>
        <v/>
      </c>
      <c r="T22" s="511" t="str">
        <f t="shared" si="5"/>
        <v/>
      </c>
      <c r="U22" s="515" t="str">
        <f t="shared" si="6"/>
        <v/>
      </c>
      <c r="V22" s="151"/>
      <c r="W22" s="152"/>
      <c r="AB22" s="31" t="str">
        <f>IFERROR(INDEX('G-6 Hedgerow Data'!$BJ$3:$BJ$15,MATCH(D22,'G-6 Hedgerow Data'!$B$3:$B$15,0)),"")</f>
        <v/>
      </c>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row>
    <row r="23" spans="2:37" ht="13.8" x14ac:dyDescent="0.25">
      <c r="B23" s="141">
        <v>14</v>
      </c>
      <c r="C23" s="203"/>
      <c r="D23" s="203"/>
      <c r="E23" s="153"/>
      <c r="F23" s="498" t="str">
        <f>IF(D23="","",VLOOKUP(D23,'G-6 Hedgerow Data'!$B$2:$AG$15,2,FALSE))</f>
        <v/>
      </c>
      <c r="G23" s="499" t="str">
        <f>IF(D23="","",VLOOKUP(D23,'G-6 Hedgerow Data'!$B$2:$AG$15,3,FALSE))</f>
        <v/>
      </c>
      <c r="H23" s="145"/>
      <c r="I23" s="499" t="str">
        <f>IFERROR(IF(AND(F23="V.Low",OR(H23="Good",H23="Moderate")),"Error ▲",VLOOKUP(H23,'G-1 All Habitats'!$Z$2:$AA$9,2,FALSE)),"")</f>
        <v/>
      </c>
      <c r="J23" s="154"/>
      <c r="K23" s="520" t="str">
        <f>IF(J23="","",IF(VLOOKUP(J23,'G-3 Multipliers'!$L$3:$N$6,2,FALSE)=0,"Spatial Data Missing ⚠",VLOOKUP(J23,'G-3 Multipliers'!$L$3:$N$6,2,FALSE)))</f>
        <v/>
      </c>
      <c r="L23" s="524" t="str">
        <f>IF(J23="","",IF(VLOOKUP(J23,'G-3 Multipliers'!$L$3:$N$6,3,FALSE)=0,"Spatial Data Missing ⚠",VLOOKUP(J23,'G-3 Multipliers'!$L$3:$N$6,3,FALSE)))</f>
        <v/>
      </c>
      <c r="M23" s="506" t="str">
        <f>IF(D23="","",VLOOKUP(D23,'G-6 Hedgerow Data'!$B$1:$AH$15,33,FALSE))</f>
        <v/>
      </c>
      <c r="N23" s="513" t="str">
        <f t="shared" si="2"/>
        <v/>
      </c>
      <c r="O23" s="40"/>
      <c r="P23" s="145"/>
      <c r="Q23" s="157"/>
      <c r="R23" s="507" t="str">
        <f t="shared" si="3"/>
        <v/>
      </c>
      <c r="S23" s="507" t="str">
        <f t="shared" si="4"/>
        <v/>
      </c>
      <c r="T23" s="511" t="str">
        <f t="shared" si="5"/>
        <v/>
      </c>
      <c r="U23" s="515" t="str">
        <f t="shared" si="6"/>
        <v/>
      </c>
      <c r="V23" s="151"/>
      <c r="W23" s="152"/>
      <c r="AB23" s="31" t="str">
        <f>IFERROR(INDEX('G-6 Hedgerow Data'!$BJ$3:$BJ$15,MATCH(D23,'G-6 Hedgerow Data'!$B$3:$B$15,0)),"")</f>
        <v/>
      </c>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row>
    <row r="24" spans="2:37" ht="13.8" x14ac:dyDescent="0.25">
      <c r="B24" s="141">
        <v>15</v>
      </c>
      <c r="C24" s="203"/>
      <c r="D24" s="203"/>
      <c r="E24" s="153"/>
      <c r="F24" s="498" t="str">
        <f>IF(D24="","",VLOOKUP(D24,'G-6 Hedgerow Data'!$B$2:$AG$15,2,FALSE))</f>
        <v/>
      </c>
      <c r="G24" s="499" t="str">
        <f>IF(D24="","",VLOOKUP(D24,'G-6 Hedgerow Data'!$B$2:$AG$15,3,FALSE))</f>
        <v/>
      </c>
      <c r="H24" s="145"/>
      <c r="I24" s="499" t="str">
        <f>IFERROR(IF(AND(F24="V.Low",OR(H24="Good",H24="Moderate")),"Error ▲",VLOOKUP(H24,'G-1 All Habitats'!$Z$2:$AA$9,2,FALSE)),"")</f>
        <v/>
      </c>
      <c r="J24" s="154"/>
      <c r="K24" s="520" t="str">
        <f>IF(J24="","",IF(VLOOKUP(J24,'G-3 Multipliers'!$L$3:$N$6,2,FALSE)=0,"Spatial Data Missing ⚠",VLOOKUP(J24,'G-3 Multipliers'!$L$3:$N$6,2,FALSE)))</f>
        <v/>
      </c>
      <c r="L24" s="524" t="str">
        <f>IF(J24="","",IF(VLOOKUP(J24,'G-3 Multipliers'!$L$3:$N$6,3,FALSE)=0,"Spatial Data Missing ⚠",VLOOKUP(J24,'G-3 Multipliers'!$L$3:$N$6,3,FALSE)))</f>
        <v/>
      </c>
      <c r="M24" s="506" t="str">
        <f>IF(D24="","",VLOOKUP(D24,'G-6 Hedgerow Data'!$B$1:$AH$15,33,FALSE))</f>
        <v/>
      </c>
      <c r="N24" s="513" t="str">
        <f t="shared" si="2"/>
        <v/>
      </c>
      <c r="O24" s="40"/>
      <c r="P24" s="145"/>
      <c r="Q24" s="157"/>
      <c r="R24" s="507" t="str">
        <f t="shared" si="3"/>
        <v/>
      </c>
      <c r="S24" s="507" t="str">
        <f t="shared" si="4"/>
        <v/>
      </c>
      <c r="T24" s="511" t="str">
        <f t="shared" si="5"/>
        <v/>
      </c>
      <c r="U24" s="515" t="str">
        <f t="shared" si="6"/>
        <v/>
      </c>
      <c r="V24" s="151"/>
      <c r="W24" s="152"/>
      <c r="AB24" s="31" t="str">
        <f>IFERROR(INDEX('G-6 Hedgerow Data'!$BJ$3:$BJ$15,MATCH(D24,'G-6 Hedgerow Data'!$B$3:$B$15,0)),"")</f>
        <v/>
      </c>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row>
    <row r="25" spans="2:37" ht="13.8" x14ac:dyDescent="0.25">
      <c r="B25" s="141">
        <v>16</v>
      </c>
      <c r="C25" s="203"/>
      <c r="D25" s="203"/>
      <c r="E25" s="153"/>
      <c r="F25" s="498" t="str">
        <f>IF(D25="","",VLOOKUP(D25,'G-6 Hedgerow Data'!$B$2:$AG$15,2,FALSE))</f>
        <v/>
      </c>
      <c r="G25" s="499" t="str">
        <f>IF(D25="","",VLOOKUP(D25,'G-6 Hedgerow Data'!$B$2:$AG$15,3,FALSE))</f>
        <v/>
      </c>
      <c r="H25" s="145"/>
      <c r="I25" s="499" t="str">
        <f>IFERROR(IF(AND(F25="V.Low",OR(H25="Good",H25="Moderate")),"Error ▲",VLOOKUP(H25,'G-1 All Habitats'!$Z$2:$AA$9,2,FALSE)),"")</f>
        <v/>
      </c>
      <c r="J25" s="154"/>
      <c r="K25" s="520" t="str">
        <f>IF(J25="","",IF(VLOOKUP(J25,'G-3 Multipliers'!$L$3:$N$6,2,FALSE)=0,"Spatial Data Missing ⚠",VLOOKUP(J25,'G-3 Multipliers'!$L$3:$N$6,2,FALSE)))</f>
        <v/>
      </c>
      <c r="L25" s="524" t="str">
        <f>IF(J25="","",IF(VLOOKUP(J25,'G-3 Multipliers'!$L$3:$N$6,3,FALSE)=0,"Spatial Data Missing ⚠",VLOOKUP(J25,'G-3 Multipliers'!$L$3:$N$6,3,FALSE)))</f>
        <v/>
      </c>
      <c r="M25" s="506" t="str">
        <f>IF(D25="","",VLOOKUP(D25,'G-6 Hedgerow Data'!$B$1:$AH$15,33,FALSE))</f>
        <v/>
      </c>
      <c r="N25" s="513" t="str">
        <f t="shared" si="2"/>
        <v/>
      </c>
      <c r="O25" s="40"/>
      <c r="P25" s="145"/>
      <c r="Q25" s="157"/>
      <c r="R25" s="507" t="str">
        <f t="shared" si="3"/>
        <v/>
      </c>
      <c r="S25" s="507" t="str">
        <f t="shared" si="4"/>
        <v/>
      </c>
      <c r="T25" s="511" t="str">
        <f t="shared" si="5"/>
        <v/>
      </c>
      <c r="U25" s="515" t="str">
        <f t="shared" si="6"/>
        <v/>
      </c>
      <c r="V25" s="151"/>
      <c r="W25" s="152"/>
      <c r="AB25" s="31" t="str">
        <f>IFERROR(INDEX('G-6 Hedgerow Data'!$BJ$3:$BJ$15,MATCH(D25,'G-6 Hedgerow Data'!$B$3:$B$15,0)),"")</f>
        <v/>
      </c>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row>
    <row r="26" spans="2:37" ht="13.8" x14ac:dyDescent="0.25">
      <c r="B26" s="141">
        <v>17</v>
      </c>
      <c r="C26" s="203"/>
      <c r="D26" s="203"/>
      <c r="E26" s="153"/>
      <c r="F26" s="498" t="str">
        <f>IF(D26="","",VLOOKUP(D26,'G-6 Hedgerow Data'!$B$2:$AG$15,2,FALSE))</f>
        <v/>
      </c>
      <c r="G26" s="499" t="str">
        <f>IF(D26="","",VLOOKUP(D26,'G-6 Hedgerow Data'!$B$2:$AG$15,3,FALSE))</f>
        <v/>
      </c>
      <c r="H26" s="145"/>
      <c r="I26" s="499" t="str">
        <f>IFERROR(IF(AND(F26="V.Low",OR(H26="Good",H26="Moderate")),"Error ▲",VLOOKUP(H26,'G-1 All Habitats'!$Z$2:$AA$9,2,FALSE)),"")</f>
        <v/>
      </c>
      <c r="J26" s="154"/>
      <c r="K26" s="520" t="str">
        <f>IF(J26="","",IF(VLOOKUP(J26,'G-3 Multipliers'!$L$3:$N$6,2,FALSE)=0,"Spatial Data Missing ⚠",VLOOKUP(J26,'G-3 Multipliers'!$L$3:$N$6,2,FALSE)))</f>
        <v/>
      </c>
      <c r="L26" s="524" t="str">
        <f>IF(J26="","",IF(VLOOKUP(J26,'G-3 Multipliers'!$L$3:$N$6,3,FALSE)=0,"Spatial Data Missing ⚠",VLOOKUP(J26,'G-3 Multipliers'!$L$3:$N$6,3,FALSE)))</f>
        <v/>
      </c>
      <c r="M26" s="506" t="str">
        <f>IF(D26="","",VLOOKUP(D26,'G-6 Hedgerow Data'!$B$1:$AH$15,33,FALSE))</f>
        <v/>
      </c>
      <c r="N26" s="513" t="str">
        <f t="shared" si="2"/>
        <v/>
      </c>
      <c r="O26" s="40"/>
      <c r="P26" s="145"/>
      <c r="Q26" s="157"/>
      <c r="R26" s="507" t="str">
        <f t="shared" si="3"/>
        <v/>
      </c>
      <c r="S26" s="507" t="str">
        <f t="shared" si="4"/>
        <v/>
      </c>
      <c r="T26" s="511" t="str">
        <f t="shared" si="5"/>
        <v/>
      </c>
      <c r="U26" s="515" t="str">
        <f t="shared" si="6"/>
        <v/>
      </c>
      <c r="V26" s="151"/>
      <c r="W26" s="152"/>
      <c r="AB26" s="31" t="str">
        <f>IFERROR(INDEX('G-6 Hedgerow Data'!$BJ$3:$BJ$15,MATCH(D26,'G-6 Hedgerow Data'!$B$3:$B$15,0)),"")</f>
        <v/>
      </c>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row>
    <row r="27" spans="2:37" ht="13.8" x14ac:dyDescent="0.25">
      <c r="B27" s="141">
        <v>18</v>
      </c>
      <c r="C27" s="203"/>
      <c r="D27" s="203"/>
      <c r="E27" s="153"/>
      <c r="F27" s="498" t="str">
        <f>IF(D27="","",VLOOKUP(D27,'G-6 Hedgerow Data'!$B$2:$AG$15,2,FALSE))</f>
        <v/>
      </c>
      <c r="G27" s="499" t="str">
        <f>IF(D27="","",VLOOKUP(D27,'G-6 Hedgerow Data'!$B$2:$AG$15,3,FALSE))</f>
        <v/>
      </c>
      <c r="H27" s="145"/>
      <c r="I27" s="499" t="str">
        <f>IFERROR(IF(AND(F27="V.Low",OR(H27="Good",H27="Moderate")),"Error ▲",VLOOKUP(H27,'G-1 All Habitats'!$Z$2:$AA$9,2,FALSE)),"")</f>
        <v/>
      </c>
      <c r="J27" s="154"/>
      <c r="K27" s="520" t="str">
        <f>IF(J27="","",IF(VLOOKUP(J27,'G-3 Multipliers'!$L$3:$N$6,2,FALSE)=0,"Spatial Data Missing ⚠",VLOOKUP(J27,'G-3 Multipliers'!$L$3:$N$6,2,FALSE)))</f>
        <v/>
      </c>
      <c r="L27" s="524" t="str">
        <f>IF(J27="","",IF(VLOOKUP(J27,'G-3 Multipliers'!$L$3:$N$6,3,FALSE)=0,"Spatial Data Missing ⚠",VLOOKUP(J27,'G-3 Multipliers'!$L$3:$N$6,3,FALSE)))</f>
        <v/>
      </c>
      <c r="M27" s="506" t="str">
        <f>IF(D27="","",VLOOKUP(D27,'G-6 Hedgerow Data'!$B$1:$AH$15,33,FALSE))</f>
        <v/>
      </c>
      <c r="N27" s="513" t="str">
        <f t="shared" si="2"/>
        <v/>
      </c>
      <c r="O27" s="40"/>
      <c r="P27" s="145"/>
      <c r="Q27" s="157"/>
      <c r="R27" s="507" t="str">
        <f t="shared" si="3"/>
        <v/>
      </c>
      <c r="S27" s="507" t="str">
        <f t="shared" si="4"/>
        <v/>
      </c>
      <c r="T27" s="511" t="str">
        <f t="shared" si="5"/>
        <v/>
      </c>
      <c r="U27" s="515" t="str">
        <f t="shared" si="6"/>
        <v/>
      </c>
      <c r="V27" s="151"/>
      <c r="W27" s="152"/>
      <c r="AB27" s="31" t="str">
        <f>IFERROR(INDEX('G-6 Hedgerow Data'!$BJ$3:$BJ$15,MATCH(D27,'G-6 Hedgerow Data'!$B$3:$B$15,0)),"")</f>
        <v/>
      </c>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row>
    <row r="28" spans="2:37" ht="13.8" x14ac:dyDescent="0.25">
      <c r="B28" s="141">
        <v>19</v>
      </c>
      <c r="C28" s="203"/>
      <c r="D28" s="203"/>
      <c r="E28" s="153"/>
      <c r="F28" s="498" t="str">
        <f>IF(D28="","",VLOOKUP(D28,'G-6 Hedgerow Data'!$B$2:$AG$15,2,FALSE))</f>
        <v/>
      </c>
      <c r="G28" s="499" t="str">
        <f>IF(D28="","",VLOOKUP(D28,'G-6 Hedgerow Data'!$B$2:$AG$15,3,FALSE))</f>
        <v/>
      </c>
      <c r="H28" s="145"/>
      <c r="I28" s="499" t="str">
        <f>IFERROR(IF(AND(F28="V.Low",OR(H28="Good",H28="Moderate")),"Error ▲",VLOOKUP(H28,'G-1 All Habitats'!$Z$2:$AA$9,2,FALSE)),"")</f>
        <v/>
      </c>
      <c r="J28" s="154"/>
      <c r="K28" s="520" t="str">
        <f>IF(J28="","",IF(VLOOKUP(J28,'G-3 Multipliers'!$L$3:$N$6,2,FALSE)=0,"Spatial Data Missing ⚠",VLOOKUP(J28,'G-3 Multipliers'!$L$3:$N$6,2,FALSE)))</f>
        <v/>
      </c>
      <c r="L28" s="524" t="str">
        <f>IF(J28="","",IF(VLOOKUP(J28,'G-3 Multipliers'!$L$3:$N$6,3,FALSE)=0,"Spatial Data Missing ⚠",VLOOKUP(J28,'G-3 Multipliers'!$L$3:$N$6,3,FALSE)))</f>
        <v/>
      </c>
      <c r="M28" s="506" t="str">
        <f>IF(D28="","",VLOOKUP(D28,'G-6 Hedgerow Data'!$B$1:$AH$15,33,FALSE))</f>
        <v/>
      </c>
      <c r="N28" s="513" t="str">
        <f t="shared" si="2"/>
        <v/>
      </c>
      <c r="O28" s="40"/>
      <c r="P28" s="145"/>
      <c r="Q28" s="157"/>
      <c r="R28" s="507" t="str">
        <f t="shared" si="3"/>
        <v/>
      </c>
      <c r="S28" s="507" t="str">
        <f t="shared" si="4"/>
        <v/>
      </c>
      <c r="T28" s="511" t="str">
        <f t="shared" si="5"/>
        <v/>
      </c>
      <c r="U28" s="515" t="str">
        <f t="shared" si="6"/>
        <v/>
      </c>
      <c r="V28" s="151"/>
      <c r="W28" s="152"/>
      <c r="AB28" s="31" t="str">
        <f>IFERROR(INDEX('G-6 Hedgerow Data'!$BJ$3:$BJ$15,MATCH(D28,'G-6 Hedgerow Data'!$B$3:$B$15,0)),"")</f>
        <v/>
      </c>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row>
    <row r="29" spans="2:37" ht="13.8" x14ac:dyDescent="0.25">
      <c r="B29" s="141">
        <v>20</v>
      </c>
      <c r="C29" s="203"/>
      <c r="D29" s="203"/>
      <c r="E29" s="153"/>
      <c r="F29" s="498" t="str">
        <f>IF(D29="","",VLOOKUP(D29,'G-6 Hedgerow Data'!$B$2:$AG$15,2,FALSE))</f>
        <v/>
      </c>
      <c r="G29" s="499" t="str">
        <f>IF(D29="","",VLOOKUP(D29,'G-6 Hedgerow Data'!$B$2:$AG$15,3,FALSE))</f>
        <v/>
      </c>
      <c r="H29" s="145"/>
      <c r="I29" s="499" t="str">
        <f>IFERROR(IF(AND(F29="V.Low",OR(H29="Good",H29="Moderate")),"Error ▲",VLOOKUP(H29,'G-1 All Habitats'!$Z$2:$AA$9,2,FALSE)),"")</f>
        <v/>
      </c>
      <c r="J29" s="154"/>
      <c r="K29" s="520" t="str">
        <f>IF(J29="","",IF(VLOOKUP(J29,'G-3 Multipliers'!$L$3:$N$6,2,FALSE)=0,"Spatial Data Missing ⚠",VLOOKUP(J29,'G-3 Multipliers'!$L$3:$N$6,2,FALSE)))</f>
        <v/>
      </c>
      <c r="L29" s="524" t="str">
        <f>IF(J29="","",IF(VLOOKUP(J29,'G-3 Multipliers'!$L$3:$N$6,3,FALSE)=0,"Spatial Data Missing ⚠",VLOOKUP(J29,'G-3 Multipliers'!$L$3:$N$6,3,FALSE)))</f>
        <v/>
      </c>
      <c r="M29" s="506" t="str">
        <f>IF(D29="","",VLOOKUP(D29,'G-6 Hedgerow Data'!$B$1:$AH$15,33,FALSE))</f>
        <v/>
      </c>
      <c r="N29" s="513" t="str">
        <f t="shared" si="2"/>
        <v/>
      </c>
      <c r="O29" s="40"/>
      <c r="P29" s="145"/>
      <c r="Q29" s="157"/>
      <c r="R29" s="507" t="str">
        <f t="shared" si="3"/>
        <v/>
      </c>
      <c r="S29" s="507" t="str">
        <f t="shared" si="4"/>
        <v/>
      </c>
      <c r="T29" s="511" t="str">
        <f t="shared" si="5"/>
        <v/>
      </c>
      <c r="U29" s="515" t="str">
        <f t="shared" si="6"/>
        <v/>
      </c>
      <c r="V29" s="151"/>
      <c r="W29" s="152"/>
      <c r="AB29" s="31" t="str">
        <f>IFERROR(INDEX('G-6 Hedgerow Data'!$BJ$3:$BJ$15,MATCH(D29,'G-6 Hedgerow Data'!$B$3:$B$15,0)),"")</f>
        <v/>
      </c>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row>
    <row r="30" spans="2:37" ht="13.8" x14ac:dyDescent="0.25">
      <c r="B30" s="141">
        <v>21</v>
      </c>
      <c r="C30" s="203"/>
      <c r="D30" s="203"/>
      <c r="E30" s="153"/>
      <c r="F30" s="498" t="str">
        <f>IF(D30="","",VLOOKUP(D30,'G-6 Hedgerow Data'!$B$2:$AG$15,2,FALSE))</f>
        <v/>
      </c>
      <c r="G30" s="499" t="str">
        <f>IF(D30="","",VLOOKUP(D30,'G-6 Hedgerow Data'!$B$2:$AG$15,3,FALSE))</f>
        <v/>
      </c>
      <c r="H30" s="145"/>
      <c r="I30" s="499" t="str">
        <f>IFERROR(IF(AND(F30="V.Low",OR(H30="Good",H30="Moderate")),"Error ▲",VLOOKUP(H30,'G-1 All Habitats'!$Z$2:$AA$9,2,FALSE)),"")</f>
        <v/>
      </c>
      <c r="J30" s="154"/>
      <c r="K30" s="520" t="str">
        <f>IF(J30="","",IF(VLOOKUP(J30,'G-3 Multipliers'!$L$3:$N$6,2,FALSE)=0,"Spatial Data Missing ⚠",VLOOKUP(J30,'G-3 Multipliers'!$L$3:$N$6,2,FALSE)))</f>
        <v/>
      </c>
      <c r="L30" s="524" t="str">
        <f>IF(J30="","",IF(VLOOKUP(J30,'G-3 Multipliers'!$L$3:$N$6,3,FALSE)=0,"Spatial Data Missing ⚠",VLOOKUP(J30,'G-3 Multipliers'!$L$3:$N$6,3,FALSE)))</f>
        <v/>
      </c>
      <c r="M30" s="506" t="str">
        <f>IF(D30="","",VLOOKUP(D30,'G-6 Hedgerow Data'!$B$1:$AH$15,33,FALSE))</f>
        <v/>
      </c>
      <c r="N30" s="513" t="str">
        <f t="shared" si="2"/>
        <v/>
      </c>
      <c r="O30" s="40"/>
      <c r="P30" s="145"/>
      <c r="Q30" s="157"/>
      <c r="R30" s="507" t="str">
        <f t="shared" si="3"/>
        <v/>
      </c>
      <c r="S30" s="507" t="str">
        <f t="shared" si="4"/>
        <v/>
      </c>
      <c r="T30" s="511" t="str">
        <f t="shared" si="5"/>
        <v/>
      </c>
      <c r="U30" s="515" t="str">
        <f t="shared" si="6"/>
        <v/>
      </c>
      <c r="V30" s="151"/>
      <c r="W30" s="152"/>
      <c r="AB30" s="31" t="str">
        <f>IFERROR(INDEX('G-6 Hedgerow Data'!$BJ$3:$BJ$15,MATCH(D30,'G-6 Hedgerow Data'!$B$3:$B$15,0)),"")</f>
        <v/>
      </c>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row>
    <row r="31" spans="2:37" ht="13.8" x14ac:dyDescent="0.25">
      <c r="B31" s="141">
        <v>22</v>
      </c>
      <c r="C31" s="203"/>
      <c r="D31" s="203"/>
      <c r="E31" s="153"/>
      <c r="F31" s="498" t="str">
        <f>IF(D31="","",VLOOKUP(D31,'G-6 Hedgerow Data'!$B$2:$AG$15,2,FALSE))</f>
        <v/>
      </c>
      <c r="G31" s="499" t="str">
        <f>IF(D31="","",VLOOKUP(D31,'G-6 Hedgerow Data'!$B$2:$AG$15,3,FALSE))</f>
        <v/>
      </c>
      <c r="H31" s="145"/>
      <c r="I31" s="499" t="str">
        <f>IFERROR(IF(AND(F31="V.Low",OR(H31="Good",H31="Moderate")),"Error ▲",VLOOKUP(H31,'G-1 All Habitats'!$Z$2:$AA$9,2,FALSE)),"")</f>
        <v/>
      </c>
      <c r="J31" s="154"/>
      <c r="K31" s="520" t="str">
        <f>IF(J31="","",IF(VLOOKUP(J31,'G-3 Multipliers'!$L$3:$N$6,2,FALSE)=0,"Spatial Data Missing ⚠",VLOOKUP(J31,'G-3 Multipliers'!$L$3:$N$6,2,FALSE)))</f>
        <v/>
      </c>
      <c r="L31" s="524" t="str">
        <f>IF(J31="","",IF(VLOOKUP(J31,'G-3 Multipliers'!$L$3:$N$6,3,FALSE)=0,"Spatial Data Missing ⚠",VLOOKUP(J31,'G-3 Multipliers'!$L$3:$N$6,3,FALSE)))</f>
        <v/>
      </c>
      <c r="M31" s="506" t="str">
        <f>IF(D31="","",VLOOKUP(D31,'G-6 Hedgerow Data'!$B$1:$AH$15,33,FALSE))</f>
        <v/>
      </c>
      <c r="N31" s="513" t="str">
        <f t="shared" si="2"/>
        <v/>
      </c>
      <c r="O31" s="40"/>
      <c r="P31" s="145"/>
      <c r="Q31" s="157"/>
      <c r="R31" s="507" t="str">
        <f t="shared" si="3"/>
        <v/>
      </c>
      <c r="S31" s="507" t="str">
        <f t="shared" si="4"/>
        <v/>
      </c>
      <c r="T31" s="511" t="str">
        <f t="shared" si="5"/>
        <v/>
      </c>
      <c r="U31" s="515" t="str">
        <f t="shared" si="6"/>
        <v/>
      </c>
      <c r="V31" s="151"/>
      <c r="W31" s="152"/>
      <c r="AB31" s="31" t="str">
        <f>IFERROR(INDEX('G-6 Hedgerow Data'!$BJ$3:$BJ$15,MATCH(D31,'G-6 Hedgerow Data'!$B$3:$B$15,0)),"")</f>
        <v/>
      </c>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row>
    <row r="32" spans="2:37" ht="13.8" x14ac:dyDescent="0.25">
      <c r="B32" s="141">
        <v>23</v>
      </c>
      <c r="C32" s="203"/>
      <c r="D32" s="203"/>
      <c r="E32" s="153"/>
      <c r="F32" s="498" t="str">
        <f>IF(D32="","",VLOOKUP(D32,'G-6 Hedgerow Data'!$B$2:$AG$15,2,FALSE))</f>
        <v/>
      </c>
      <c r="G32" s="499" t="str">
        <f>IF(D32="","",VLOOKUP(D32,'G-6 Hedgerow Data'!$B$2:$AG$15,3,FALSE))</f>
        <v/>
      </c>
      <c r="H32" s="145"/>
      <c r="I32" s="499" t="str">
        <f>IFERROR(IF(AND(F32="V.Low",OR(H32="Good",H32="Moderate")),"Error ▲",VLOOKUP(H32,'G-1 All Habitats'!$Z$2:$AA$9,2,FALSE)),"")</f>
        <v/>
      </c>
      <c r="J32" s="154"/>
      <c r="K32" s="520" t="str">
        <f>IF(J32="","",IF(VLOOKUP(J32,'G-3 Multipliers'!$L$3:$N$6,2,FALSE)=0,"Spatial Data Missing ⚠",VLOOKUP(J32,'G-3 Multipliers'!$L$3:$N$6,2,FALSE)))</f>
        <v/>
      </c>
      <c r="L32" s="524" t="str">
        <f>IF(J32="","",IF(VLOOKUP(J32,'G-3 Multipliers'!$L$3:$N$6,3,FALSE)=0,"Spatial Data Missing ⚠",VLOOKUP(J32,'G-3 Multipliers'!$L$3:$N$6,3,FALSE)))</f>
        <v/>
      </c>
      <c r="M32" s="506" t="str">
        <f>IF(D32="","",VLOOKUP(D32,'G-6 Hedgerow Data'!$B$1:$AH$15,33,FALSE))</f>
        <v/>
      </c>
      <c r="N32" s="513" t="str">
        <f t="shared" si="2"/>
        <v/>
      </c>
      <c r="O32" s="40"/>
      <c r="P32" s="145"/>
      <c r="Q32" s="157"/>
      <c r="R32" s="507" t="str">
        <f t="shared" si="3"/>
        <v/>
      </c>
      <c r="S32" s="507" t="str">
        <f t="shared" si="4"/>
        <v/>
      </c>
      <c r="T32" s="511" t="str">
        <f t="shared" si="5"/>
        <v/>
      </c>
      <c r="U32" s="515" t="str">
        <f t="shared" si="6"/>
        <v/>
      </c>
      <c r="V32" s="151"/>
      <c r="W32" s="152"/>
      <c r="AB32" s="31" t="str">
        <f>IFERROR(INDEX('G-6 Hedgerow Data'!$BJ$3:$BJ$15,MATCH(D32,'G-6 Hedgerow Data'!$B$3:$B$15,0)),"")</f>
        <v/>
      </c>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row>
    <row r="33" spans="2:37" ht="13.8" x14ac:dyDescent="0.25">
      <c r="B33" s="141">
        <v>24</v>
      </c>
      <c r="C33" s="203"/>
      <c r="D33" s="203"/>
      <c r="E33" s="153"/>
      <c r="F33" s="498" t="str">
        <f>IF(D33="","",VLOOKUP(D33,'G-6 Hedgerow Data'!$B$2:$AG$15,2,FALSE))</f>
        <v/>
      </c>
      <c r="G33" s="499" t="str">
        <f>IF(D33="","",VLOOKUP(D33,'G-6 Hedgerow Data'!$B$2:$AG$15,3,FALSE))</f>
        <v/>
      </c>
      <c r="H33" s="145"/>
      <c r="I33" s="499" t="str">
        <f>IFERROR(IF(AND(F33="V.Low",OR(H33="Good",H33="Moderate")),"Error ▲",VLOOKUP(H33,'G-1 All Habitats'!$Z$2:$AA$9,2,FALSE)),"")</f>
        <v/>
      </c>
      <c r="J33" s="154"/>
      <c r="K33" s="520" t="str">
        <f>IF(J33="","",IF(VLOOKUP(J33,'G-3 Multipliers'!$L$3:$N$6,2,FALSE)=0,"Spatial Data Missing ⚠",VLOOKUP(J33,'G-3 Multipliers'!$L$3:$N$6,2,FALSE)))</f>
        <v/>
      </c>
      <c r="L33" s="524" t="str">
        <f>IF(J33="","",IF(VLOOKUP(J33,'G-3 Multipliers'!$L$3:$N$6,3,FALSE)=0,"Spatial Data Missing ⚠",VLOOKUP(J33,'G-3 Multipliers'!$L$3:$N$6,3,FALSE)))</f>
        <v/>
      </c>
      <c r="M33" s="506" t="str">
        <f>IF(D33="","",VLOOKUP(D33,'G-6 Hedgerow Data'!$B$1:$AH$15,33,FALSE))</f>
        <v/>
      </c>
      <c r="N33" s="513" t="str">
        <f t="shared" si="2"/>
        <v/>
      </c>
      <c r="O33" s="40"/>
      <c r="P33" s="145"/>
      <c r="Q33" s="157"/>
      <c r="R33" s="507" t="str">
        <f t="shared" si="3"/>
        <v/>
      </c>
      <c r="S33" s="507" t="str">
        <f t="shared" si="4"/>
        <v/>
      </c>
      <c r="T33" s="511" t="str">
        <f t="shared" si="5"/>
        <v/>
      </c>
      <c r="U33" s="515" t="str">
        <f t="shared" si="6"/>
        <v/>
      </c>
      <c r="V33" s="151"/>
      <c r="W33" s="152"/>
      <c r="AB33" s="31" t="str">
        <f>IFERROR(INDEX('G-6 Hedgerow Data'!$BJ$3:$BJ$15,MATCH(D33,'G-6 Hedgerow Data'!$B$3:$B$15,0)),"")</f>
        <v/>
      </c>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row>
    <row r="34" spans="2:37" ht="13.8" x14ac:dyDescent="0.25">
      <c r="B34" s="141">
        <v>25</v>
      </c>
      <c r="C34" s="203"/>
      <c r="D34" s="203"/>
      <c r="E34" s="153"/>
      <c r="F34" s="498" t="str">
        <f>IF(D34="","",VLOOKUP(D34,'G-6 Hedgerow Data'!$B$2:$AG$15,2,FALSE))</f>
        <v/>
      </c>
      <c r="G34" s="499" t="str">
        <f>IF(D34="","",VLOOKUP(D34,'G-6 Hedgerow Data'!$B$2:$AG$15,3,FALSE))</f>
        <v/>
      </c>
      <c r="H34" s="145"/>
      <c r="I34" s="499" t="str">
        <f>IFERROR(IF(AND(F34="V.Low",OR(H34="Good",H34="Moderate")),"Error ▲",VLOOKUP(H34,'G-1 All Habitats'!$Z$2:$AA$9,2,FALSE)),"")</f>
        <v/>
      </c>
      <c r="J34" s="154"/>
      <c r="K34" s="520" t="str">
        <f>IF(J34="","",IF(VLOOKUP(J34,'G-3 Multipliers'!$L$3:$N$6,2,FALSE)=0,"Spatial Data Missing ⚠",VLOOKUP(J34,'G-3 Multipliers'!$L$3:$N$6,2,FALSE)))</f>
        <v/>
      </c>
      <c r="L34" s="524" t="str">
        <f>IF(J34="","",IF(VLOOKUP(J34,'G-3 Multipliers'!$L$3:$N$6,3,FALSE)=0,"Spatial Data Missing ⚠",VLOOKUP(J34,'G-3 Multipliers'!$L$3:$N$6,3,FALSE)))</f>
        <v/>
      </c>
      <c r="M34" s="506" t="str">
        <f>IF(D34="","",VLOOKUP(D34,'G-6 Hedgerow Data'!$B$1:$AH$15,33,FALSE))</f>
        <v/>
      </c>
      <c r="N34" s="513" t="str">
        <f t="shared" si="2"/>
        <v/>
      </c>
      <c r="O34" s="40"/>
      <c r="P34" s="145"/>
      <c r="Q34" s="157"/>
      <c r="R34" s="507" t="str">
        <f t="shared" si="3"/>
        <v/>
      </c>
      <c r="S34" s="507" t="str">
        <f t="shared" si="4"/>
        <v/>
      </c>
      <c r="T34" s="511" t="str">
        <f t="shared" si="5"/>
        <v/>
      </c>
      <c r="U34" s="515" t="str">
        <f t="shared" si="6"/>
        <v/>
      </c>
      <c r="V34" s="151"/>
      <c r="W34" s="152"/>
      <c r="AB34" s="31" t="str">
        <f>IFERROR(INDEX('G-6 Hedgerow Data'!$BJ$3:$BJ$15,MATCH(D34,'G-6 Hedgerow Data'!$B$3:$B$15,0)),"")</f>
        <v/>
      </c>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row>
    <row r="35" spans="2:37" ht="13.8" x14ac:dyDescent="0.25">
      <c r="B35" s="141">
        <v>26</v>
      </c>
      <c r="C35" s="203"/>
      <c r="D35" s="203"/>
      <c r="E35" s="153"/>
      <c r="F35" s="498" t="str">
        <f>IF(D35="","",VLOOKUP(D35,'G-6 Hedgerow Data'!$B$2:$AG$15,2,FALSE))</f>
        <v/>
      </c>
      <c r="G35" s="499" t="str">
        <f>IF(D35="","",VLOOKUP(D35,'G-6 Hedgerow Data'!$B$2:$AG$15,3,FALSE))</f>
        <v/>
      </c>
      <c r="H35" s="145"/>
      <c r="I35" s="499" t="str">
        <f>IFERROR(IF(AND(F35="V.Low",OR(H35="Good",H35="Moderate")),"Error ▲",VLOOKUP(H35,'G-1 All Habitats'!$Z$2:$AA$9,2,FALSE)),"")</f>
        <v/>
      </c>
      <c r="J35" s="154"/>
      <c r="K35" s="520" t="str">
        <f>IF(J35="","",IF(VLOOKUP(J35,'G-3 Multipliers'!$L$3:$N$6,2,FALSE)=0,"Spatial Data Missing ⚠",VLOOKUP(J35,'G-3 Multipliers'!$L$3:$N$6,2,FALSE)))</f>
        <v/>
      </c>
      <c r="L35" s="524" t="str">
        <f>IF(J35="","",IF(VLOOKUP(J35,'G-3 Multipliers'!$L$3:$N$6,3,FALSE)=0,"Spatial Data Missing ⚠",VLOOKUP(J35,'G-3 Multipliers'!$L$3:$N$6,3,FALSE)))</f>
        <v/>
      </c>
      <c r="M35" s="506" t="str">
        <f>IF(D35="","",VLOOKUP(D35,'G-6 Hedgerow Data'!$B$1:$AH$15,33,FALSE))</f>
        <v/>
      </c>
      <c r="N35" s="513" t="str">
        <f t="shared" si="2"/>
        <v/>
      </c>
      <c r="O35" s="40"/>
      <c r="P35" s="145"/>
      <c r="Q35" s="157"/>
      <c r="R35" s="507" t="str">
        <f t="shared" si="3"/>
        <v/>
      </c>
      <c r="S35" s="507" t="str">
        <f t="shared" si="4"/>
        <v/>
      </c>
      <c r="T35" s="511" t="str">
        <f t="shared" si="5"/>
        <v/>
      </c>
      <c r="U35" s="515" t="str">
        <f t="shared" si="6"/>
        <v/>
      </c>
      <c r="V35" s="151"/>
      <c r="W35" s="152"/>
      <c r="AB35" s="31" t="str">
        <f>IFERROR(INDEX('G-6 Hedgerow Data'!$BJ$3:$BJ$15,MATCH(D35,'G-6 Hedgerow Data'!$B$3:$B$15,0)),"")</f>
        <v/>
      </c>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row>
    <row r="36" spans="2:37" ht="13.8" x14ac:dyDescent="0.25">
      <c r="B36" s="141">
        <v>27</v>
      </c>
      <c r="C36" s="203"/>
      <c r="D36" s="203"/>
      <c r="E36" s="153"/>
      <c r="F36" s="498" t="str">
        <f>IF(D36="","",VLOOKUP(D36,'G-6 Hedgerow Data'!$B$2:$AG$15,2,FALSE))</f>
        <v/>
      </c>
      <c r="G36" s="499" t="str">
        <f>IF(D36="","",VLOOKUP(D36,'G-6 Hedgerow Data'!$B$2:$AG$15,3,FALSE))</f>
        <v/>
      </c>
      <c r="H36" s="145"/>
      <c r="I36" s="499" t="str">
        <f>IFERROR(IF(AND(F36="V.Low",OR(H36="Good",H36="Moderate")),"Error ▲",VLOOKUP(H36,'G-1 All Habitats'!$Z$2:$AA$9,2,FALSE)),"")</f>
        <v/>
      </c>
      <c r="J36" s="154"/>
      <c r="K36" s="520" t="str">
        <f>IF(J36="","",IF(VLOOKUP(J36,'G-3 Multipliers'!$L$3:$N$6,2,FALSE)=0,"Spatial Data Missing ⚠",VLOOKUP(J36,'G-3 Multipliers'!$L$3:$N$6,2,FALSE)))</f>
        <v/>
      </c>
      <c r="L36" s="524" t="str">
        <f>IF(J36="","",IF(VLOOKUP(J36,'G-3 Multipliers'!$L$3:$N$6,3,FALSE)=0,"Spatial Data Missing ⚠",VLOOKUP(J36,'G-3 Multipliers'!$L$3:$N$6,3,FALSE)))</f>
        <v/>
      </c>
      <c r="M36" s="506" t="str">
        <f>IF(D36="","",VLOOKUP(D36,'G-6 Hedgerow Data'!$B$1:$AH$15,33,FALSE))</f>
        <v/>
      </c>
      <c r="N36" s="513" t="str">
        <f t="shared" si="2"/>
        <v/>
      </c>
      <c r="O36" s="40"/>
      <c r="P36" s="145"/>
      <c r="Q36" s="157"/>
      <c r="R36" s="507" t="str">
        <f t="shared" si="3"/>
        <v/>
      </c>
      <c r="S36" s="507" t="str">
        <f t="shared" si="4"/>
        <v/>
      </c>
      <c r="T36" s="511" t="str">
        <f t="shared" si="5"/>
        <v/>
      </c>
      <c r="U36" s="515" t="str">
        <f t="shared" si="6"/>
        <v/>
      </c>
      <c r="V36" s="151"/>
      <c r="W36" s="152"/>
      <c r="AB36" s="31" t="str">
        <f>IFERROR(INDEX('G-6 Hedgerow Data'!$BJ$3:$BJ$15,MATCH(D36,'G-6 Hedgerow Data'!$B$3:$B$15,0)),"")</f>
        <v/>
      </c>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row>
    <row r="37" spans="2:37" ht="13.8" x14ac:dyDescent="0.25">
      <c r="B37" s="141">
        <v>28</v>
      </c>
      <c r="C37" s="203"/>
      <c r="D37" s="203"/>
      <c r="E37" s="153"/>
      <c r="F37" s="498" t="str">
        <f>IF(D37="","",VLOOKUP(D37,'G-6 Hedgerow Data'!$B$2:$AG$15,2,FALSE))</f>
        <v/>
      </c>
      <c r="G37" s="499" t="str">
        <f>IF(D37="","",VLOOKUP(D37,'G-6 Hedgerow Data'!$B$2:$AG$15,3,FALSE))</f>
        <v/>
      </c>
      <c r="H37" s="145"/>
      <c r="I37" s="499" t="str">
        <f>IFERROR(IF(AND(F37="V.Low",OR(H37="Good",H37="Moderate")),"Error ▲",VLOOKUP(H37,'G-1 All Habitats'!$Z$2:$AA$9,2,FALSE)),"")</f>
        <v/>
      </c>
      <c r="J37" s="154"/>
      <c r="K37" s="520" t="str">
        <f>IF(J37="","",IF(VLOOKUP(J37,'G-3 Multipliers'!$L$3:$N$6,2,FALSE)=0,"Spatial Data Missing ⚠",VLOOKUP(J37,'G-3 Multipliers'!$L$3:$N$6,2,FALSE)))</f>
        <v/>
      </c>
      <c r="L37" s="524" t="str">
        <f>IF(J37="","",IF(VLOOKUP(J37,'G-3 Multipliers'!$L$3:$N$6,3,FALSE)=0,"Spatial Data Missing ⚠",VLOOKUP(J37,'G-3 Multipliers'!$L$3:$N$6,3,FALSE)))</f>
        <v/>
      </c>
      <c r="M37" s="506" t="str">
        <f>IF(D37="","",VLOOKUP(D37,'G-6 Hedgerow Data'!$B$1:$AH$15,33,FALSE))</f>
        <v/>
      </c>
      <c r="N37" s="513" t="str">
        <f t="shared" si="2"/>
        <v/>
      </c>
      <c r="O37" s="40"/>
      <c r="P37" s="145"/>
      <c r="Q37" s="157"/>
      <c r="R37" s="507" t="str">
        <f t="shared" si="3"/>
        <v/>
      </c>
      <c r="S37" s="507" t="str">
        <f t="shared" si="4"/>
        <v/>
      </c>
      <c r="T37" s="511" t="str">
        <f t="shared" si="5"/>
        <v/>
      </c>
      <c r="U37" s="515" t="str">
        <f t="shared" si="6"/>
        <v/>
      </c>
      <c r="V37" s="151"/>
      <c r="W37" s="152"/>
      <c r="AB37" s="31" t="str">
        <f>IFERROR(INDEX('G-6 Hedgerow Data'!$BJ$3:$BJ$15,MATCH(D37,'G-6 Hedgerow Data'!$B$3:$B$15,0)),"")</f>
        <v/>
      </c>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row>
    <row r="38" spans="2:37" ht="13.8" x14ac:dyDescent="0.25">
      <c r="B38" s="141">
        <v>29</v>
      </c>
      <c r="C38" s="203"/>
      <c r="D38" s="203"/>
      <c r="E38" s="153"/>
      <c r="F38" s="498" t="str">
        <f>IF(D38="","",VLOOKUP(D38,'G-6 Hedgerow Data'!$B$2:$AG$15,2,FALSE))</f>
        <v/>
      </c>
      <c r="G38" s="499" t="str">
        <f>IF(D38="","",VLOOKUP(D38,'G-6 Hedgerow Data'!$B$2:$AG$15,3,FALSE))</f>
        <v/>
      </c>
      <c r="H38" s="145"/>
      <c r="I38" s="499" t="str">
        <f>IFERROR(IF(AND(F38="V.Low",OR(H38="Good",H38="Moderate")),"Error ▲",VLOOKUP(H38,'G-1 All Habitats'!$Z$2:$AA$9,2,FALSE)),"")</f>
        <v/>
      </c>
      <c r="J38" s="154"/>
      <c r="K38" s="520" t="str">
        <f>IF(J38="","",IF(VLOOKUP(J38,'G-3 Multipliers'!$L$3:$N$6,2,FALSE)=0,"Spatial Data Missing ⚠",VLOOKUP(J38,'G-3 Multipliers'!$L$3:$N$6,2,FALSE)))</f>
        <v/>
      </c>
      <c r="L38" s="524" t="str">
        <f>IF(J38="","",IF(VLOOKUP(J38,'G-3 Multipliers'!$L$3:$N$6,3,FALSE)=0,"Spatial Data Missing ⚠",VLOOKUP(J38,'G-3 Multipliers'!$L$3:$N$6,3,FALSE)))</f>
        <v/>
      </c>
      <c r="M38" s="506" t="str">
        <f>IF(D38="","",VLOOKUP(D38,'G-6 Hedgerow Data'!$B$1:$AH$15,33,FALSE))</f>
        <v/>
      </c>
      <c r="N38" s="513" t="str">
        <f t="shared" si="2"/>
        <v/>
      </c>
      <c r="O38" s="40"/>
      <c r="P38" s="145"/>
      <c r="Q38" s="157"/>
      <c r="R38" s="507" t="str">
        <f t="shared" si="3"/>
        <v/>
      </c>
      <c r="S38" s="507" t="str">
        <f t="shared" si="4"/>
        <v/>
      </c>
      <c r="T38" s="511" t="str">
        <f t="shared" si="5"/>
        <v/>
      </c>
      <c r="U38" s="515" t="str">
        <f t="shared" si="6"/>
        <v/>
      </c>
      <c r="V38" s="151"/>
      <c r="W38" s="152"/>
      <c r="AB38" s="31" t="str">
        <f>IFERROR(INDEX('G-6 Hedgerow Data'!$BJ$3:$BJ$15,MATCH(D38,'G-6 Hedgerow Data'!$B$3:$B$15,0)),"")</f>
        <v/>
      </c>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row>
    <row r="39" spans="2:37" ht="13.8" x14ac:dyDescent="0.25">
      <c r="B39" s="141">
        <v>30</v>
      </c>
      <c r="C39" s="203"/>
      <c r="D39" s="203"/>
      <c r="E39" s="153"/>
      <c r="F39" s="498" t="str">
        <f>IF(D39="","",VLOOKUP(D39,'G-6 Hedgerow Data'!$B$2:$AG$15,2,FALSE))</f>
        <v/>
      </c>
      <c r="G39" s="499" t="str">
        <f>IF(D39="","",VLOOKUP(D39,'G-6 Hedgerow Data'!$B$2:$AG$15,3,FALSE))</f>
        <v/>
      </c>
      <c r="H39" s="145"/>
      <c r="I39" s="499" t="str">
        <f>IFERROR(IF(AND(F39="V.Low",OR(H39="Good",H39="Moderate")),"Error ▲",VLOOKUP(H39,'G-1 All Habitats'!$Z$2:$AA$9,2,FALSE)),"")</f>
        <v/>
      </c>
      <c r="J39" s="154"/>
      <c r="K39" s="520" t="str">
        <f>IF(J39="","",IF(VLOOKUP(J39,'G-3 Multipliers'!$L$3:$N$6,2,FALSE)=0,"Spatial Data Missing ⚠",VLOOKUP(J39,'G-3 Multipliers'!$L$3:$N$6,2,FALSE)))</f>
        <v/>
      </c>
      <c r="L39" s="524" t="str">
        <f>IF(J39="","",IF(VLOOKUP(J39,'G-3 Multipliers'!$L$3:$N$6,3,FALSE)=0,"Spatial Data Missing ⚠",VLOOKUP(J39,'G-3 Multipliers'!$L$3:$N$6,3,FALSE)))</f>
        <v/>
      </c>
      <c r="M39" s="506" t="str">
        <f>IF(D39="","",VLOOKUP(D39,'G-6 Hedgerow Data'!$B$1:$AH$15,33,FALSE))</f>
        <v/>
      </c>
      <c r="N39" s="513" t="str">
        <f t="shared" si="2"/>
        <v/>
      </c>
      <c r="O39" s="40"/>
      <c r="P39" s="145"/>
      <c r="Q39" s="157"/>
      <c r="R39" s="507" t="str">
        <f t="shared" si="3"/>
        <v/>
      </c>
      <c r="S39" s="507" t="str">
        <f t="shared" si="4"/>
        <v/>
      </c>
      <c r="T39" s="511" t="str">
        <f t="shared" si="5"/>
        <v/>
      </c>
      <c r="U39" s="515" t="str">
        <f t="shared" si="6"/>
        <v/>
      </c>
      <c r="V39" s="151"/>
      <c r="W39" s="152"/>
      <c r="AB39" s="31" t="str">
        <f>IFERROR(INDEX('G-6 Hedgerow Data'!$BJ$3:$BJ$15,MATCH(D39,'G-6 Hedgerow Data'!$B$3:$B$15,0)),"")</f>
        <v/>
      </c>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row>
    <row r="40" spans="2:37" ht="13.8" x14ac:dyDescent="0.25">
      <c r="B40" s="141">
        <v>31</v>
      </c>
      <c r="C40" s="203"/>
      <c r="D40" s="203"/>
      <c r="E40" s="153"/>
      <c r="F40" s="498" t="str">
        <f>IF(D40="","",VLOOKUP(D40,'G-6 Hedgerow Data'!$B$2:$AG$15,2,FALSE))</f>
        <v/>
      </c>
      <c r="G40" s="499" t="str">
        <f>IF(D40="","",VLOOKUP(D40,'G-6 Hedgerow Data'!$B$2:$AG$15,3,FALSE))</f>
        <v/>
      </c>
      <c r="H40" s="145"/>
      <c r="I40" s="499" t="str">
        <f>IFERROR(IF(AND(F40="V.Low",OR(H40="Good",H40="Moderate")),"Error ▲",VLOOKUP(H40,'G-1 All Habitats'!$Z$2:$AA$9,2,FALSE)),"")</f>
        <v/>
      </c>
      <c r="J40" s="154"/>
      <c r="K40" s="520" t="str">
        <f>IF(J40="","",IF(VLOOKUP(J40,'G-3 Multipliers'!$L$3:$N$6,2,FALSE)=0,"Spatial Data Missing ⚠",VLOOKUP(J40,'G-3 Multipliers'!$L$3:$N$6,2,FALSE)))</f>
        <v/>
      </c>
      <c r="L40" s="524" t="str">
        <f>IF(J40="","",IF(VLOOKUP(J40,'G-3 Multipliers'!$L$3:$N$6,3,FALSE)=0,"Spatial Data Missing ⚠",VLOOKUP(J40,'G-3 Multipliers'!$L$3:$N$6,3,FALSE)))</f>
        <v/>
      </c>
      <c r="M40" s="506" t="str">
        <f>IF(D40="","",VLOOKUP(D40,'G-6 Hedgerow Data'!$B$1:$AH$15,33,FALSE))</f>
        <v/>
      </c>
      <c r="N40" s="513" t="str">
        <f t="shared" si="2"/>
        <v/>
      </c>
      <c r="O40" s="40"/>
      <c r="P40" s="145"/>
      <c r="Q40" s="157"/>
      <c r="R40" s="507" t="str">
        <f t="shared" si="3"/>
        <v/>
      </c>
      <c r="S40" s="507" t="str">
        <f t="shared" si="4"/>
        <v/>
      </c>
      <c r="T40" s="511" t="str">
        <f t="shared" si="5"/>
        <v/>
      </c>
      <c r="U40" s="515" t="str">
        <f t="shared" si="6"/>
        <v/>
      </c>
      <c r="V40" s="151"/>
      <c r="W40" s="152"/>
      <c r="AB40" s="31" t="str">
        <f>IFERROR(INDEX('G-6 Hedgerow Data'!$BJ$3:$BJ$15,MATCH(D40,'G-6 Hedgerow Data'!$B$3:$B$15,0)),"")</f>
        <v/>
      </c>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row>
    <row r="41" spans="2:37" ht="13.8" x14ac:dyDescent="0.25">
      <c r="B41" s="141">
        <v>32</v>
      </c>
      <c r="C41" s="203"/>
      <c r="D41" s="203"/>
      <c r="E41" s="153"/>
      <c r="F41" s="498" t="str">
        <f>IF(D41="","",VLOOKUP(D41,'G-6 Hedgerow Data'!$B$2:$AG$15,2,FALSE))</f>
        <v/>
      </c>
      <c r="G41" s="499" t="str">
        <f>IF(D41="","",VLOOKUP(D41,'G-6 Hedgerow Data'!$B$2:$AG$15,3,FALSE))</f>
        <v/>
      </c>
      <c r="H41" s="145"/>
      <c r="I41" s="499" t="str">
        <f>IFERROR(IF(AND(F41="V.Low",OR(H41="Good",H41="Moderate")),"Error ▲",VLOOKUP(H41,'G-1 All Habitats'!$Z$2:$AA$9,2,FALSE)),"")</f>
        <v/>
      </c>
      <c r="J41" s="154"/>
      <c r="K41" s="520" t="str">
        <f>IF(J41="","",IF(VLOOKUP(J41,'G-3 Multipliers'!$L$3:$N$6,2,FALSE)=0,"Spatial Data Missing ⚠",VLOOKUP(J41,'G-3 Multipliers'!$L$3:$N$6,2,FALSE)))</f>
        <v/>
      </c>
      <c r="L41" s="524" t="str">
        <f>IF(J41="","",IF(VLOOKUP(J41,'G-3 Multipliers'!$L$3:$N$6,3,FALSE)=0,"Spatial Data Missing ⚠",VLOOKUP(J41,'G-3 Multipliers'!$L$3:$N$6,3,FALSE)))</f>
        <v/>
      </c>
      <c r="M41" s="506" t="str">
        <f>IF(D41="","",VLOOKUP(D41,'G-6 Hedgerow Data'!$B$1:$AH$15,33,FALSE))</f>
        <v/>
      </c>
      <c r="N41" s="513" t="str">
        <f t="shared" si="2"/>
        <v/>
      </c>
      <c r="O41" s="40"/>
      <c r="P41" s="145"/>
      <c r="Q41" s="157"/>
      <c r="R41" s="507" t="str">
        <f t="shared" si="3"/>
        <v/>
      </c>
      <c r="S41" s="507" t="str">
        <f t="shared" si="4"/>
        <v/>
      </c>
      <c r="T41" s="511" t="str">
        <f t="shared" si="5"/>
        <v/>
      </c>
      <c r="U41" s="515" t="str">
        <f t="shared" si="6"/>
        <v/>
      </c>
      <c r="V41" s="151"/>
      <c r="W41" s="152"/>
      <c r="AB41" s="31" t="str">
        <f>IFERROR(INDEX('G-6 Hedgerow Data'!$BJ$3:$BJ$15,MATCH(D41,'G-6 Hedgerow Data'!$B$3:$B$15,0)),"")</f>
        <v/>
      </c>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row>
    <row r="42" spans="2:37" ht="13.8" x14ac:dyDescent="0.25">
      <c r="B42" s="141">
        <v>33</v>
      </c>
      <c r="C42" s="203"/>
      <c r="D42" s="203"/>
      <c r="E42" s="153"/>
      <c r="F42" s="498" t="str">
        <f>IF(D42="","",VLOOKUP(D42,'G-6 Hedgerow Data'!$B$2:$AG$15,2,FALSE))</f>
        <v/>
      </c>
      <c r="G42" s="499" t="str">
        <f>IF(D42="","",VLOOKUP(D42,'G-6 Hedgerow Data'!$B$2:$AG$15,3,FALSE))</f>
        <v/>
      </c>
      <c r="H42" s="145"/>
      <c r="I42" s="499" t="str">
        <f>IFERROR(IF(AND(F42="V.Low",OR(H42="Good",H42="Moderate")),"Error ▲",VLOOKUP(H42,'G-1 All Habitats'!$Z$2:$AA$9,2,FALSE)),"")</f>
        <v/>
      </c>
      <c r="J42" s="154"/>
      <c r="K42" s="520" t="str">
        <f>IF(J42="","",IF(VLOOKUP(J42,'G-3 Multipliers'!$L$3:$N$6,2,FALSE)=0,"Spatial Data Missing ⚠",VLOOKUP(J42,'G-3 Multipliers'!$L$3:$N$6,2,FALSE)))</f>
        <v/>
      </c>
      <c r="L42" s="524" t="str">
        <f>IF(J42="","",IF(VLOOKUP(J42,'G-3 Multipliers'!$L$3:$N$6,3,FALSE)=0,"Spatial Data Missing ⚠",VLOOKUP(J42,'G-3 Multipliers'!$L$3:$N$6,3,FALSE)))</f>
        <v/>
      </c>
      <c r="M42" s="506" t="str">
        <f>IF(D42="","",VLOOKUP(D42,'G-6 Hedgerow Data'!$B$1:$AH$15,33,FALSE))</f>
        <v/>
      </c>
      <c r="N42" s="513" t="str">
        <f t="shared" si="2"/>
        <v/>
      </c>
      <c r="O42" s="40"/>
      <c r="P42" s="145"/>
      <c r="Q42" s="157"/>
      <c r="R42" s="507" t="str">
        <f t="shared" si="3"/>
        <v/>
      </c>
      <c r="S42" s="507" t="str">
        <f t="shared" si="4"/>
        <v/>
      </c>
      <c r="T42" s="511" t="str">
        <f t="shared" si="5"/>
        <v/>
      </c>
      <c r="U42" s="515" t="str">
        <f t="shared" si="6"/>
        <v/>
      </c>
      <c r="V42" s="151"/>
      <c r="W42" s="152"/>
      <c r="AB42" s="31" t="str">
        <f>IFERROR(INDEX('G-6 Hedgerow Data'!$BJ$3:$BJ$15,MATCH(D42,'G-6 Hedgerow Data'!$B$3:$B$15,0)),"")</f>
        <v/>
      </c>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row>
    <row r="43" spans="2:37" ht="13.8" x14ac:dyDescent="0.25">
      <c r="B43" s="141">
        <v>34</v>
      </c>
      <c r="C43" s="203"/>
      <c r="D43" s="203"/>
      <c r="E43" s="153"/>
      <c r="F43" s="498" t="str">
        <f>IF(D43="","",VLOOKUP(D43,'G-6 Hedgerow Data'!$B$2:$AG$15,2,FALSE))</f>
        <v/>
      </c>
      <c r="G43" s="499" t="str">
        <f>IF(D43="","",VLOOKUP(D43,'G-6 Hedgerow Data'!$B$2:$AG$15,3,FALSE))</f>
        <v/>
      </c>
      <c r="H43" s="145"/>
      <c r="I43" s="499" t="str">
        <f>IFERROR(IF(AND(F43="V.Low",OR(H43="Good",H43="Moderate")),"Error ▲",VLOOKUP(H43,'G-1 All Habitats'!$Z$2:$AA$9,2,FALSE)),"")</f>
        <v/>
      </c>
      <c r="J43" s="154"/>
      <c r="K43" s="520" t="str">
        <f>IF(J43="","",IF(VLOOKUP(J43,'G-3 Multipliers'!$L$3:$N$6,2,FALSE)=0,"Spatial Data Missing ⚠",VLOOKUP(J43,'G-3 Multipliers'!$L$3:$N$6,2,FALSE)))</f>
        <v/>
      </c>
      <c r="L43" s="524" t="str">
        <f>IF(J43="","",IF(VLOOKUP(J43,'G-3 Multipliers'!$L$3:$N$6,3,FALSE)=0,"Spatial Data Missing ⚠",VLOOKUP(J43,'G-3 Multipliers'!$L$3:$N$6,3,FALSE)))</f>
        <v/>
      </c>
      <c r="M43" s="506" t="str">
        <f>IF(D43="","",VLOOKUP(D43,'G-6 Hedgerow Data'!$B$1:$AH$15,33,FALSE))</f>
        <v/>
      </c>
      <c r="N43" s="513" t="str">
        <f t="shared" si="2"/>
        <v/>
      </c>
      <c r="O43" s="40"/>
      <c r="P43" s="145"/>
      <c r="Q43" s="157"/>
      <c r="R43" s="507" t="str">
        <f t="shared" si="3"/>
        <v/>
      </c>
      <c r="S43" s="507" t="str">
        <f t="shared" si="4"/>
        <v/>
      </c>
      <c r="T43" s="511" t="str">
        <f t="shared" si="5"/>
        <v/>
      </c>
      <c r="U43" s="515" t="str">
        <f t="shared" si="6"/>
        <v/>
      </c>
      <c r="V43" s="151"/>
      <c r="W43" s="152"/>
      <c r="AB43" s="31" t="str">
        <f>IFERROR(INDEX('G-6 Hedgerow Data'!$BJ$3:$BJ$15,MATCH(D43,'G-6 Hedgerow Data'!$B$3:$B$15,0)),"")</f>
        <v/>
      </c>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row>
    <row r="44" spans="2:37" ht="13.8" x14ac:dyDescent="0.25">
      <c r="B44" s="141">
        <v>35</v>
      </c>
      <c r="C44" s="203"/>
      <c r="D44" s="203"/>
      <c r="E44" s="153"/>
      <c r="F44" s="498" t="str">
        <f>IF(D44="","",VLOOKUP(D44,'G-6 Hedgerow Data'!$B$2:$AG$15,2,FALSE))</f>
        <v/>
      </c>
      <c r="G44" s="499" t="str">
        <f>IF(D44="","",VLOOKUP(D44,'G-6 Hedgerow Data'!$B$2:$AG$15,3,FALSE))</f>
        <v/>
      </c>
      <c r="H44" s="145"/>
      <c r="I44" s="499" t="str">
        <f>IFERROR(IF(AND(F44="V.Low",OR(H44="Good",H44="Moderate")),"Error ▲",VLOOKUP(H44,'G-1 All Habitats'!$Z$2:$AA$9,2,FALSE)),"")</f>
        <v/>
      </c>
      <c r="J44" s="154"/>
      <c r="K44" s="520" t="str">
        <f>IF(J44="","",IF(VLOOKUP(J44,'G-3 Multipliers'!$L$3:$N$6,2,FALSE)=0,"Spatial Data Missing ⚠",VLOOKUP(J44,'G-3 Multipliers'!$L$3:$N$6,2,FALSE)))</f>
        <v/>
      </c>
      <c r="L44" s="524" t="str">
        <f>IF(J44="","",IF(VLOOKUP(J44,'G-3 Multipliers'!$L$3:$N$6,3,FALSE)=0,"Spatial Data Missing ⚠",VLOOKUP(J44,'G-3 Multipliers'!$L$3:$N$6,3,FALSE)))</f>
        <v/>
      </c>
      <c r="M44" s="506" t="str">
        <f>IF(D44="","",VLOOKUP(D44,'G-6 Hedgerow Data'!$B$1:$AH$15,33,FALSE))</f>
        <v/>
      </c>
      <c r="N44" s="513" t="str">
        <f t="shared" si="2"/>
        <v/>
      </c>
      <c r="O44" s="40"/>
      <c r="P44" s="145"/>
      <c r="Q44" s="157"/>
      <c r="R44" s="507" t="str">
        <f t="shared" si="3"/>
        <v/>
      </c>
      <c r="S44" s="507" t="str">
        <f t="shared" si="4"/>
        <v/>
      </c>
      <c r="T44" s="511" t="str">
        <f t="shared" si="5"/>
        <v/>
      </c>
      <c r="U44" s="515" t="str">
        <f t="shared" si="6"/>
        <v/>
      </c>
      <c r="V44" s="151"/>
      <c r="W44" s="152"/>
      <c r="AB44" s="31" t="str">
        <f>IFERROR(INDEX('G-6 Hedgerow Data'!$BJ$3:$BJ$15,MATCH(D44,'G-6 Hedgerow Data'!$B$3:$B$15,0)),"")</f>
        <v/>
      </c>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row>
    <row r="45" spans="2:37" ht="13.8" x14ac:dyDescent="0.25">
      <c r="B45" s="141">
        <v>36</v>
      </c>
      <c r="C45" s="203"/>
      <c r="D45" s="203"/>
      <c r="E45" s="153"/>
      <c r="F45" s="498" t="str">
        <f>IF(D45="","",VLOOKUP(D45,'G-6 Hedgerow Data'!$B$2:$AG$15,2,FALSE))</f>
        <v/>
      </c>
      <c r="G45" s="499" t="str">
        <f>IF(D45="","",VLOOKUP(D45,'G-6 Hedgerow Data'!$B$2:$AG$15,3,FALSE))</f>
        <v/>
      </c>
      <c r="H45" s="145"/>
      <c r="I45" s="499" t="str">
        <f>IFERROR(IF(AND(F45="V.Low",OR(H45="Good",H45="Moderate")),"Error ▲",VLOOKUP(H45,'G-1 All Habitats'!$Z$2:$AA$9,2,FALSE)),"")</f>
        <v/>
      </c>
      <c r="J45" s="154"/>
      <c r="K45" s="520" t="str">
        <f>IF(J45="","",IF(VLOOKUP(J45,'G-3 Multipliers'!$L$3:$N$6,2,FALSE)=0,"Spatial Data Missing ⚠",VLOOKUP(J45,'G-3 Multipliers'!$L$3:$N$6,2,FALSE)))</f>
        <v/>
      </c>
      <c r="L45" s="524" t="str">
        <f>IF(J45="","",IF(VLOOKUP(J45,'G-3 Multipliers'!$L$3:$N$6,3,FALSE)=0,"Spatial Data Missing ⚠",VLOOKUP(J45,'G-3 Multipliers'!$L$3:$N$6,3,FALSE)))</f>
        <v/>
      </c>
      <c r="M45" s="506" t="str">
        <f>IF(D45="","",VLOOKUP(D45,'G-6 Hedgerow Data'!$B$1:$AH$15,33,FALSE))</f>
        <v/>
      </c>
      <c r="N45" s="513" t="str">
        <f t="shared" si="2"/>
        <v/>
      </c>
      <c r="O45" s="40"/>
      <c r="P45" s="145"/>
      <c r="Q45" s="157"/>
      <c r="R45" s="507" t="str">
        <f t="shared" si="3"/>
        <v/>
      </c>
      <c r="S45" s="507" t="str">
        <f t="shared" si="4"/>
        <v/>
      </c>
      <c r="T45" s="511" t="str">
        <f t="shared" si="5"/>
        <v/>
      </c>
      <c r="U45" s="515" t="str">
        <f t="shared" si="6"/>
        <v/>
      </c>
      <c r="V45" s="151"/>
      <c r="W45" s="152"/>
      <c r="AB45" s="31" t="str">
        <f>IFERROR(INDEX('G-6 Hedgerow Data'!$BJ$3:$BJ$15,MATCH(D45,'G-6 Hedgerow Data'!$B$3:$B$15,0)),"")</f>
        <v/>
      </c>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row>
    <row r="46" spans="2:37" ht="13.8" x14ac:dyDescent="0.25">
      <c r="B46" s="141">
        <v>37</v>
      </c>
      <c r="C46" s="203"/>
      <c r="D46" s="203"/>
      <c r="E46" s="153"/>
      <c r="F46" s="498" t="str">
        <f>IF(D46="","",VLOOKUP(D46,'G-6 Hedgerow Data'!$B$2:$AG$15,2,FALSE))</f>
        <v/>
      </c>
      <c r="G46" s="499" t="str">
        <f>IF(D46="","",VLOOKUP(D46,'G-6 Hedgerow Data'!$B$2:$AG$15,3,FALSE))</f>
        <v/>
      </c>
      <c r="H46" s="145"/>
      <c r="I46" s="499" t="str">
        <f>IFERROR(IF(AND(F46="V.Low",OR(H46="Good",H46="Moderate")),"Error ▲",VLOOKUP(H46,'G-1 All Habitats'!$Z$2:$AA$9,2,FALSE)),"")</f>
        <v/>
      </c>
      <c r="J46" s="154"/>
      <c r="K46" s="520" t="str">
        <f>IF(J46="","",IF(VLOOKUP(J46,'G-3 Multipliers'!$L$3:$N$6,2,FALSE)=0,"Spatial Data Missing ⚠",VLOOKUP(J46,'G-3 Multipliers'!$L$3:$N$6,2,FALSE)))</f>
        <v/>
      </c>
      <c r="L46" s="524" t="str">
        <f>IF(J46="","",IF(VLOOKUP(J46,'G-3 Multipliers'!$L$3:$N$6,3,FALSE)=0,"Spatial Data Missing ⚠",VLOOKUP(J46,'G-3 Multipliers'!$L$3:$N$6,3,FALSE)))</f>
        <v/>
      </c>
      <c r="M46" s="506" t="str">
        <f>IF(D46="","",VLOOKUP(D46,'G-6 Hedgerow Data'!$B$1:$AH$15,33,FALSE))</f>
        <v/>
      </c>
      <c r="N46" s="513" t="str">
        <f t="shared" si="2"/>
        <v/>
      </c>
      <c r="O46" s="40"/>
      <c r="P46" s="145"/>
      <c r="Q46" s="157"/>
      <c r="R46" s="507" t="str">
        <f t="shared" si="3"/>
        <v/>
      </c>
      <c r="S46" s="507" t="str">
        <f t="shared" si="4"/>
        <v/>
      </c>
      <c r="T46" s="511" t="str">
        <f t="shared" si="5"/>
        <v/>
      </c>
      <c r="U46" s="515" t="str">
        <f t="shared" si="6"/>
        <v/>
      </c>
      <c r="V46" s="151"/>
      <c r="W46" s="152"/>
      <c r="AB46" s="31" t="str">
        <f>IFERROR(INDEX('G-6 Hedgerow Data'!$BJ$3:$BJ$15,MATCH(D46,'G-6 Hedgerow Data'!$B$3:$B$15,0)),"")</f>
        <v/>
      </c>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row>
    <row r="47" spans="2:37" ht="13.8" x14ac:dyDescent="0.25">
      <c r="B47" s="141">
        <v>38</v>
      </c>
      <c r="C47" s="203"/>
      <c r="D47" s="203"/>
      <c r="E47" s="153"/>
      <c r="F47" s="498" t="str">
        <f>IF(D47="","",VLOOKUP(D47,'G-6 Hedgerow Data'!$B$2:$AG$15,2,FALSE))</f>
        <v/>
      </c>
      <c r="G47" s="499" t="str">
        <f>IF(D47="","",VLOOKUP(D47,'G-6 Hedgerow Data'!$B$2:$AG$15,3,FALSE))</f>
        <v/>
      </c>
      <c r="H47" s="145"/>
      <c r="I47" s="499" t="str">
        <f>IFERROR(IF(AND(F47="V.Low",OR(H47="Good",H47="Moderate")),"Error ▲",VLOOKUP(H47,'G-1 All Habitats'!$Z$2:$AA$9,2,FALSE)),"")</f>
        <v/>
      </c>
      <c r="J47" s="154"/>
      <c r="K47" s="520" t="str">
        <f>IF(J47="","",IF(VLOOKUP(J47,'G-3 Multipliers'!$L$3:$N$6,2,FALSE)=0,"Spatial Data Missing ⚠",VLOOKUP(J47,'G-3 Multipliers'!$L$3:$N$6,2,FALSE)))</f>
        <v/>
      </c>
      <c r="L47" s="524" t="str">
        <f>IF(J47="","",IF(VLOOKUP(J47,'G-3 Multipliers'!$L$3:$N$6,3,FALSE)=0,"Spatial Data Missing ⚠",VLOOKUP(J47,'G-3 Multipliers'!$L$3:$N$6,3,FALSE)))</f>
        <v/>
      </c>
      <c r="M47" s="506" t="str">
        <f>IF(D47="","",VLOOKUP(D47,'G-6 Hedgerow Data'!$B$1:$AH$15,33,FALSE))</f>
        <v/>
      </c>
      <c r="N47" s="513" t="str">
        <f t="shared" si="2"/>
        <v/>
      </c>
      <c r="O47" s="40"/>
      <c r="P47" s="145"/>
      <c r="Q47" s="157"/>
      <c r="R47" s="507" t="str">
        <f t="shared" si="3"/>
        <v/>
      </c>
      <c r="S47" s="507" t="str">
        <f t="shared" si="4"/>
        <v/>
      </c>
      <c r="T47" s="511" t="str">
        <f t="shared" si="5"/>
        <v/>
      </c>
      <c r="U47" s="515" t="str">
        <f t="shared" si="6"/>
        <v/>
      </c>
      <c r="V47" s="151"/>
      <c r="W47" s="152"/>
      <c r="AB47" s="31" t="str">
        <f>IFERROR(INDEX('G-6 Hedgerow Data'!$BJ$3:$BJ$15,MATCH(D47,'G-6 Hedgerow Data'!$B$3:$B$15,0)),"")</f>
        <v/>
      </c>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row>
    <row r="48" spans="2:37" ht="13.8" x14ac:dyDescent="0.25">
      <c r="B48" s="141">
        <v>39</v>
      </c>
      <c r="C48" s="203"/>
      <c r="D48" s="203"/>
      <c r="E48" s="153"/>
      <c r="F48" s="498" t="str">
        <f>IF(D48="","",VLOOKUP(D48,'G-6 Hedgerow Data'!$B$2:$AG$15,2,FALSE))</f>
        <v/>
      </c>
      <c r="G48" s="499" t="str">
        <f>IF(D48="","",VLOOKUP(D48,'G-6 Hedgerow Data'!$B$2:$AG$15,3,FALSE))</f>
        <v/>
      </c>
      <c r="H48" s="145"/>
      <c r="I48" s="499" t="str">
        <f>IFERROR(IF(AND(F48="V.Low",OR(H48="Good",H48="Moderate")),"Error ▲",VLOOKUP(H48,'G-1 All Habitats'!$Z$2:$AA$9,2,FALSE)),"")</f>
        <v/>
      </c>
      <c r="J48" s="154"/>
      <c r="K48" s="520" t="str">
        <f>IF(J48="","",IF(VLOOKUP(J48,'G-3 Multipliers'!$L$3:$N$6,2,FALSE)=0,"Spatial Data Missing ⚠",VLOOKUP(J48,'G-3 Multipliers'!$L$3:$N$6,2,FALSE)))</f>
        <v/>
      </c>
      <c r="L48" s="524" t="str">
        <f>IF(J48="","",IF(VLOOKUP(J48,'G-3 Multipliers'!$L$3:$N$6,3,FALSE)=0,"Spatial Data Missing ⚠",VLOOKUP(J48,'G-3 Multipliers'!$L$3:$N$6,3,FALSE)))</f>
        <v/>
      </c>
      <c r="M48" s="506" t="str">
        <f>IF(D48="","",VLOOKUP(D48,'G-6 Hedgerow Data'!$B$1:$AH$15,33,FALSE))</f>
        <v/>
      </c>
      <c r="N48" s="513" t="str">
        <f t="shared" si="2"/>
        <v/>
      </c>
      <c r="O48" s="40"/>
      <c r="P48" s="145"/>
      <c r="Q48" s="157"/>
      <c r="R48" s="507" t="str">
        <f t="shared" si="3"/>
        <v/>
      </c>
      <c r="S48" s="507" t="str">
        <f t="shared" si="4"/>
        <v/>
      </c>
      <c r="T48" s="511" t="str">
        <f t="shared" si="5"/>
        <v/>
      </c>
      <c r="U48" s="515" t="str">
        <f t="shared" si="6"/>
        <v/>
      </c>
      <c r="V48" s="151"/>
      <c r="W48" s="152"/>
      <c r="AB48" s="31" t="str">
        <f>IFERROR(INDEX('G-6 Hedgerow Data'!$BJ$3:$BJ$15,MATCH(D48,'G-6 Hedgerow Data'!$B$3:$B$15,0)),"")</f>
        <v/>
      </c>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row>
    <row r="49" spans="2:37" ht="13.8" x14ac:dyDescent="0.25">
      <c r="B49" s="141">
        <v>40</v>
      </c>
      <c r="C49" s="203"/>
      <c r="D49" s="203"/>
      <c r="E49" s="153"/>
      <c r="F49" s="498" t="str">
        <f>IF(D49="","",VLOOKUP(D49,'G-6 Hedgerow Data'!$B$2:$AG$15,2,FALSE))</f>
        <v/>
      </c>
      <c r="G49" s="499" t="str">
        <f>IF(D49="","",VLOOKUP(D49,'G-6 Hedgerow Data'!$B$2:$AG$15,3,FALSE))</f>
        <v/>
      </c>
      <c r="H49" s="145"/>
      <c r="I49" s="499" t="str">
        <f>IFERROR(IF(AND(F49="V.Low",OR(H49="Good",H49="Moderate")),"Error ▲",VLOOKUP(H49,'G-1 All Habitats'!$Z$2:$AA$9,2,FALSE)),"")</f>
        <v/>
      </c>
      <c r="J49" s="154"/>
      <c r="K49" s="520" t="str">
        <f>IF(J49="","",IF(VLOOKUP(J49,'G-3 Multipliers'!$L$3:$N$6,2,FALSE)=0,"Spatial Data Missing ⚠",VLOOKUP(J49,'G-3 Multipliers'!$L$3:$N$6,2,FALSE)))</f>
        <v/>
      </c>
      <c r="L49" s="524" t="str">
        <f>IF(J49="","",IF(VLOOKUP(J49,'G-3 Multipliers'!$L$3:$N$6,3,FALSE)=0,"Spatial Data Missing ⚠",VLOOKUP(J49,'G-3 Multipliers'!$L$3:$N$6,3,FALSE)))</f>
        <v/>
      </c>
      <c r="M49" s="506" t="str">
        <f>IF(D49="","",VLOOKUP(D49,'G-6 Hedgerow Data'!$B$1:$AH$15,33,FALSE))</f>
        <v/>
      </c>
      <c r="N49" s="513" t="str">
        <f t="shared" si="2"/>
        <v/>
      </c>
      <c r="O49" s="40"/>
      <c r="P49" s="145"/>
      <c r="Q49" s="157"/>
      <c r="R49" s="507" t="str">
        <f t="shared" si="3"/>
        <v/>
      </c>
      <c r="S49" s="507" t="str">
        <f t="shared" si="4"/>
        <v/>
      </c>
      <c r="T49" s="511" t="str">
        <f t="shared" si="5"/>
        <v/>
      </c>
      <c r="U49" s="515" t="str">
        <f t="shared" si="6"/>
        <v/>
      </c>
      <c r="V49" s="151"/>
      <c r="W49" s="152"/>
      <c r="AB49" s="31" t="str">
        <f>IFERROR(INDEX('G-6 Hedgerow Data'!$BJ$3:$BJ$15,MATCH(D49,'G-6 Hedgerow Data'!$B$3:$B$15,0)),"")</f>
        <v/>
      </c>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row>
    <row r="50" spans="2:37" ht="13.8" x14ac:dyDescent="0.25">
      <c r="B50" s="141">
        <v>41</v>
      </c>
      <c r="C50" s="203"/>
      <c r="D50" s="203"/>
      <c r="E50" s="153"/>
      <c r="F50" s="498" t="str">
        <f>IF(D50="","",VLOOKUP(D50,'G-6 Hedgerow Data'!$B$2:$AG$15,2,FALSE))</f>
        <v/>
      </c>
      <c r="G50" s="499" t="str">
        <f>IF(D50="","",VLOOKUP(D50,'G-6 Hedgerow Data'!$B$2:$AG$15,3,FALSE))</f>
        <v/>
      </c>
      <c r="H50" s="145"/>
      <c r="I50" s="499" t="str">
        <f>IFERROR(IF(AND(F50="V.Low",OR(H50="Good",H50="Moderate")),"Error ▲",VLOOKUP(H50,'G-1 All Habitats'!$Z$2:$AA$9,2,FALSE)),"")</f>
        <v/>
      </c>
      <c r="J50" s="154"/>
      <c r="K50" s="520" t="str">
        <f>IF(J50="","",IF(VLOOKUP(J50,'G-3 Multipliers'!$L$3:$N$6,2,FALSE)=0,"Spatial Data Missing ⚠",VLOOKUP(J50,'G-3 Multipliers'!$L$3:$N$6,2,FALSE)))</f>
        <v/>
      </c>
      <c r="L50" s="524" t="str">
        <f>IF(J50="","",IF(VLOOKUP(J50,'G-3 Multipliers'!$L$3:$N$6,3,FALSE)=0,"Spatial Data Missing ⚠",VLOOKUP(J50,'G-3 Multipliers'!$L$3:$N$6,3,FALSE)))</f>
        <v/>
      </c>
      <c r="M50" s="506" t="str">
        <f>IF(D50="","",VLOOKUP(D50,'G-6 Hedgerow Data'!$B$1:$AH$15,33,FALSE))</f>
        <v/>
      </c>
      <c r="N50" s="513" t="str">
        <f t="shared" si="2"/>
        <v/>
      </c>
      <c r="O50" s="40"/>
      <c r="P50" s="145"/>
      <c r="Q50" s="157"/>
      <c r="R50" s="507" t="str">
        <f t="shared" si="3"/>
        <v/>
      </c>
      <c r="S50" s="507" t="str">
        <f t="shared" si="4"/>
        <v/>
      </c>
      <c r="T50" s="511" t="str">
        <f t="shared" si="5"/>
        <v/>
      </c>
      <c r="U50" s="515" t="str">
        <f t="shared" si="6"/>
        <v/>
      </c>
      <c r="V50" s="151"/>
      <c r="W50" s="152"/>
      <c r="AB50" s="31" t="str">
        <f>IFERROR(INDEX('G-6 Hedgerow Data'!$BJ$3:$BJ$15,MATCH(D50,'G-6 Hedgerow Data'!$B$3:$B$15,0)),"")</f>
        <v/>
      </c>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row>
    <row r="51" spans="2:37" ht="13.8" x14ac:dyDescent="0.25">
      <c r="B51" s="141">
        <v>42</v>
      </c>
      <c r="C51" s="203"/>
      <c r="D51" s="203"/>
      <c r="E51" s="153"/>
      <c r="F51" s="498" t="str">
        <f>IF(D51="","",VLOOKUP(D51,'G-6 Hedgerow Data'!$B$2:$AG$15,2,FALSE))</f>
        <v/>
      </c>
      <c r="G51" s="499" t="str">
        <f>IF(D51="","",VLOOKUP(D51,'G-6 Hedgerow Data'!$B$2:$AG$15,3,FALSE))</f>
        <v/>
      </c>
      <c r="H51" s="145"/>
      <c r="I51" s="499" t="str">
        <f>IFERROR(IF(AND(F51="V.Low",OR(H51="Good",H51="Moderate")),"Error ▲",VLOOKUP(H51,'G-1 All Habitats'!$Z$2:$AA$9,2,FALSE)),"")</f>
        <v/>
      </c>
      <c r="J51" s="154"/>
      <c r="K51" s="520" t="str">
        <f>IF(J51="","",IF(VLOOKUP(J51,'G-3 Multipliers'!$L$3:$N$6,2,FALSE)=0,"Spatial Data Missing ⚠",VLOOKUP(J51,'G-3 Multipliers'!$L$3:$N$6,2,FALSE)))</f>
        <v/>
      </c>
      <c r="L51" s="524" t="str">
        <f>IF(J51="","",IF(VLOOKUP(J51,'G-3 Multipliers'!$L$3:$N$6,3,FALSE)=0,"Spatial Data Missing ⚠",VLOOKUP(J51,'G-3 Multipliers'!$L$3:$N$6,3,FALSE)))</f>
        <v/>
      </c>
      <c r="M51" s="506" t="str">
        <f>IF(D51="","",VLOOKUP(D51,'G-6 Hedgerow Data'!$B$1:$AH$15,33,FALSE))</f>
        <v/>
      </c>
      <c r="N51" s="513" t="str">
        <f t="shared" si="2"/>
        <v/>
      </c>
      <c r="O51" s="40"/>
      <c r="P51" s="145"/>
      <c r="Q51" s="157"/>
      <c r="R51" s="507" t="str">
        <f t="shared" si="3"/>
        <v/>
      </c>
      <c r="S51" s="507" t="str">
        <f t="shared" si="4"/>
        <v/>
      </c>
      <c r="T51" s="511" t="str">
        <f t="shared" si="5"/>
        <v/>
      </c>
      <c r="U51" s="515" t="str">
        <f t="shared" si="6"/>
        <v/>
      </c>
      <c r="V51" s="151"/>
      <c r="W51" s="152"/>
      <c r="AB51" s="31" t="str">
        <f>IFERROR(INDEX('G-6 Hedgerow Data'!$BJ$3:$BJ$15,MATCH(D51,'G-6 Hedgerow Data'!$B$3:$B$15,0)),"")</f>
        <v/>
      </c>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row>
    <row r="52" spans="2:37" ht="13.8" x14ac:dyDescent="0.25">
      <c r="B52" s="141">
        <v>43</v>
      </c>
      <c r="C52" s="203"/>
      <c r="D52" s="203"/>
      <c r="E52" s="153"/>
      <c r="F52" s="498" t="str">
        <f>IF(D52="","",VLOOKUP(D52,'G-6 Hedgerow Data'!$B$2:$AG$15,2,FALSE))</f>
        <v/>
      </c>
      <c r="G52" s="499" t="str">
        <f>IF(D52="","",VLOOKUP(D52,'G-6 Hedgerow Data'!$B$2:$AG$15,3,FALSE))</f>
        <v/>
      </c>
      <c r="H52" s="145"/>
      <c r="I52" s="499" t="str">
        <f>IFERROR(IF(AND(F52="V.Low",OR(H52="Good",H52="Moderate")),"Error ▲",VLOOKUP(H52,'G-1 All Habitats'!$Z$2:$AA$9,2,FALSE)),"")</f>
        <v/>
      </c>
      <c r="J52" s="154"/>
      <c r="K52" s="520" t="str">
        <f>IF(J52="","",IF(VLOOKUP(J52,'G-3 Multipliers'!$L$3:$N$6,2,FALSE)=0,"Spatial Data Missing ⚠",VLOOKUP(J52,'G-3 Multipliers'!$L$3:$N$6,2,FALSE)))</f>
        <v/>
      </c>
      <c r="L52" s="524" t="str">
        <f>IF(J52="","",IF(VLOOKUP(J52,'G-3 Multipliers'!$L$3:$N$6,3,FALSE)=0,"Spatial Data Missing ⚠",VLOOKUP(J52,'G-3 Multipliers'!$L$3:$N$6,3,FALSE)))</f>
        <v/>
      </c>
      <c r="M52" s="506" t="str">
        <f>IF(D52="","",VLOOKUP(D52,'G-6 Hedgerow Data'!$B$1:$AH$15,33,FALSE))</f>
        <v/>
      </c>
      <c r="N52" s="513" t="str">
        <f t="shared" si="2"/>
        <v/>
      </c>
      <c r="O52" s="40"/>
      <c r="P52" s="145"/>
      <c r="Q52" s="157"/>
      <c r="R52" s="507" t="str">
        <f t="shared" si="3"/>
        <v/>
      </c>
      <c r="S52" s="507" t="str">
        <f t="shared" si="4"/>
        <v/>
      </c>
      <c r="T52" s="511" t="str">
        <f t="shared" si="5"/>
        <v/>
      </c>
      <c r="U52" s="515" t="str">
        <f t="shared" si="6"/>
        <v/>
      </c>
      <c r="V52" s="151"/>
      <c r="W52" s="152"/>
      <c r="AB52" s="31" t="str">
        <f>IFERROR(INDEX('G-6 Hedgerow Data'!$BJ$3:$BJ$15,MATCH(D52,'G-6 Hedgerow Data'!$B$3:$B$15,0)),"")</f>
        <v/>
      </c>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row>
    <row r="53" spans="2:37" ht="13.8" x14ac:dyDescent="0.25">
      <c r="B53" s="141">
        <v>44</v>
      </c>
      <c r="C53" s="203"/>
      <c r="D53" s="203"/>
      <c r="E53" s="153"/>
      <c r="F53" s="498" t="str">
        <f>IF(D53="","",VLOOKUP(D53,'G-6 Hedgerow Data'!$B$2:$AG$15,2,FALSE))</f>
        <v/>
      </c>
      <c r="G53" s="499" t="str">
        <f>IF(D53="","",VLOOKUP(D53,'G-6 Hedgerow Data'!$B$2:$AG$15,3,FALSE))</f>
        <v/>
      </c>
      <c r="H53" s="145"/>
      <c r="I53" s="499" t="str">
        <f>IFERROR(IF(AND(F53="V.Low",OR(H53="Good",H53="Moderate")),"Error ▲",VLOOKUP(H53,'G-1 All Habitats'!$Z$2:$AA$9,2,FALSE)),"")</f>
        <v/>
      </c>
      <c r="J53" s="154"/>
      <c r="K53" s="520" t="str">
        <f>IF(J53="","",IF(VLOOKUP(J53,'G-3 Multipliers'!$L$3:$N$6,2,FALSE)=0,"Spatial Data Missing ⚠",VLOOKUP(J53,'G-3 Multipliers'!$L$3:$N$6,2,FALSE)))</f>
        <v/>
      </c>
      <c r="L53" s="524" t="str">
        <f>IF(J53="","",IF(VLOOKUP(J53,'G-3 Multipliers'!$L$3:$N$6,3,FALSE)=0,"Spatial Data Missing ⚠",VLOOKUP(J53,'G-3 Multipliers'!$L$3:$N$6,3,FALSE)))</f>
        <v/>
      </c>
      <c r="M53" s="506" t="str">
        <f>IF(D53="","",VLOOKUP(D53,'G-6 Hedgerow Data'!$B$1:$AH$15,33,FALSE))</f>
        <v/>
      </c>
      <c r="N53" s="513" t="str">
        <f t="shared" si="2"/>
        <v/>
      </c>
      <c r="O53" s="40"/>
      <c r="P53" s="145"/>
      <c r="Q53" s="157"/>
      <c r="R53" s="507" t="str">
        <f t="shared" si="3"/>
        <v/>
      </c>
      <c r="S53" s="507" t="str">
        <f t="shared" si="4"/>
        <v/>
      </c>
      <c r="T53" s="511" t="str">
        <f t="shared" si="5"/>
        <v/>
      </c>
      <c r="U53" s="515" t="str">
        <f t="shared" si="6"/>
        <v/>
      </c>
      <c r="V53" s="151"/>
      <c r="W53" s="152"/>
      <c r="AB53" s="31" t="str">
        <f>IFERROR(INDEX('G-6 Hedgerow Data'!$BJ$3:$BJ$15,MATCH(D53,'G-6 Hedgerow Data'!$B$3:$B$15,0)),"")</f>
        <v/>
      </c>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row>
    <row r="54" spans="2:37" ht="13.8" x14ac:dyDescent="0.25">
      <c r="B54" s="141">
        <v>45</v>
      </c>
      <c r="C54" s="203"/>
      <c r="D54" s="203"/>
      <c r="E54" s="153"/>
      <c r="F54" s="498" t="str">
        <f>IF(D54="","",VLOOKUP(D54,'G-6 Hedgerow Data'!$B$2:$AG$15,2,FALSE))</f>
        <v/>
      </c>
      <c r="G54" s="499" t="str">
        <f>IF(D54="","",VLOOKUP(D54,'G-6 Hedgerow Data'!$B$2:$AG$15,3,FALSE))</f>
        <v/>
      </c>
      <c r="H54" s="145"/>
      <c r="I54" s="499" t="str">
        <f>IFERROR(IF(AND(F54="V.Low",OR(H54="Good",H54="Moderate")),"Error ▲",VLOOKUP(H54,'G-1 All Habitats'!$Z$2:$AA$9,2,FALSE)),"")</f>
        <v/>
      </c>
      <c r="J54" s="154"/>
      <c r="K54" s="520" t="str">
        <f>IF(J54="","",IF(VLOOKUP(J54,'G-3 Multipliers'!$L$3:$N$6,2,FALSE)=0,"Spatial Data Missing ⚠",VLOOKUP(J54,'G-3 Multipliers'!$L$3:$N$6,2,FALSE)))</f>
        <v/>
      </c>
      <c r="L54" s="524" t="str">
        <f>IF(J54="","",IF(VLOOKUP(J54,'G-3 Multipliers'!$L$3:$N$6,3,FALSE)=0,"Spatial Data Missing ⚠",VLOOKUP(J54,'G-3 Multipliers'!$L$3:$N$6,3,FALSE)))</f>
        <v/>
      </c>
      <c r="M54" s="506" t="str">
        <f>IF(D54="","",VLOOKUP(D54,'G-6 Hedgerow Data'!$B$1:$AH$15,33,FALSE))</f>
        <v/>
      </c>
      <c r="N54" s="513" t="str">
        <f t="shared" si="2"/>
        <v/>
      </c>
      <c r="O54" s="40"/>
      <c r="P54" s="145"/>
      <c r="Q54" s="157"/>
      <c r="R54" s="507" t="str">
        <f t="shared" si="3"/>
        <v/>
      </c>
      <c r="S54" s="507" t="str">
        <f t="shared" si="4"/>
        <v/>
      </c>
      <c r="T54" s="511" t="str">
        <f t="shared" si="5"/>
        <v/>
      </c>
      <c r="U54" s="515" t="str">
        <f t="shared" si="6"/>
        <v/>
      </c>
      <c r="V54" s="151"/>
      <c r="W54" s="152"/>
      <c r="AB54" s="31" t="str">
        <f>IFERROR(INDEX('G-6 Hedgerow Data'!$BJ$3:$BJ$15,MATCH(D54,'G-6 Hedgerow Data'!$B$3:$B$15,0)),"")</f>
        <v/>
      </c>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row>
    <row r="55" spans="2:37" ht="13.8" x14ac:dyDescent="0.25">
      <c r="B55" s="141">
        <v>46</v>
      </c>
      <c r="C55" s="203"/>
      <c r="D55" s="203"/>
      <c r="E55" s="153"/>
      <c r="F55" s="498" t="str">
        <f>IF(D55="","",VLOOKUP(D55,'G-6 Hedgerow Data'!$B$2:$AG$15,2,FALSE))</f>
        <v/>
      </c>
      <c r="G55" s="499" t="str">
        <f>IF(D55="","",VLOOKUP(D55,'G-6 Hedgerow Data'!$B$2:$AG$15,3,FALSE))</f>
        <v/>
      </c>
      <c r="H55" s="145"/>
      <c r="I55" s="499" t="str">
        <f>IFERROR(IF(AND(F55="V.Low",OR(H55="Good",H55="Moderate")),"Error ▲",VLOOKUP(H55,'G-1 All Habitats'!$Z$2:$AA$9,2,FALSE)),"")</f>
        <v/>
      </c>
      <c r="J55" s="154"/>
      <c r="K55" s="520" t="str">
        <f>IF(J55="","",IF(VLOOKUP(J55,'G-3 Multipliers'!$L$3:$N$6,2,FALSE)=0,"Spatial Data Missing ⚠",VLOOKUP(J55,'G-3 Multipliers'!$L$3:$N$6,2,FALSE)))</f>
        <v/>
      </c>
      <c r="L55" s="524" t="str">
        <f>IF(J55="","",IF(VLOOKUP(J55,'G-3 Multipliers'!$L$3:$N$6,3,FALSE)=0,"Spatial Data Missing ⚠",VLOOKUP(J55,'G-3 Multipliers'!$L$3:$N$6,3,FALSE)))</f>
        <v/>
      </c>
      <c r="M55" s="506" t="str">
        <f>IF(D55="","",VLOOKUP(D55,'G-6 Hedgerow Data'!$B$1:$AH$15,33,FALSE))</f>
        <v/>
      </c>
      <c r="N55" s="513" t="str">
        <f t="shared" si="2"/>
        <v/>
      </c>
      <c r="O55" s="40"/>
      <c r="P55" s="145"/>
      <c r="Q55" s="157"/>
      <c r="R55" s="507" t="str">
        <f t="shared" si="3"/>
        <v/>
      </c>
      <c r="S55" s="507" t="str">
        <f t="shared" si="4"/>
        <v/>
      </c>
      <c r="T55" s="511" t="str">
        <f t="shared" si="5"/>
        <v/>
      </c>
      <c r="U55" s="515" t="str">
        <f t="shared" si="6"/>
        <v/>
      </c>
      <c r="V55" s="151"/>
      <c r="W55" s="152"/>
      <c r="AB55" s="31" t="str">
        <f>IFERROR(INDEX('G-6 Hedgerow Data'!$BJ$3:$BJ$15,MATCH(D55,'G-6 Hedgerow Data'!$B$3:$B$15,0)),"")</f>
        <v/>
      </c>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row>
    <row r="56" spans="2:37" ht="13.8" x14ac:dyDescent="0.25">
      <c r="B56" s="141">
        <v>47</v>
      </c>
      <c r="C56" s="203"/>
      <c r="D56" s="203"/>
      <c r="E56" s="153"/>
      <c r="F56" s="498" t="str">
        <f>IF(D56="","",VLOOKUP(D56,'G-6 Hedgerow Data'!$B$2:$AG$15,2,FALSE))</f>
        <v/>
      </c>
      <c r="G56" s="499" t="str">
        <f>IF(D56="","",VLOOKUP(D56,'G-6 Hedgerow Data'!$B$2:$AG$15,3,FALSE))</f>
        <v/>
      </c>
      <c r="H56" s="145"/>
      <c r="I56" s="499" t="str">
        <f>IFERROR(IF(AND(F56="V.Low",OR(H56="Good",H56="Moderate")),"Error ▲",VLOOKUP(H56,'G-1 All Habitats'!$Z$2:$AA$9,2,FALSE)),"")</f>
        <v/>
      </c>
      <c r="J56" s="154"/>
      <c r="K56" s="520" t="str">
        <f>IF(J56="","",IF(VLOOKUP(J56,'G-3 Multipliers'!$L$3:$N$6,2,FALSE)=0,"Spatial Data Missing ⚠",VLOOKUP(J56,'G-3 Multipliers'!$L$3:$N$6,2,FALSE)))</f>
        <v/>
      </c>
      <c r="L56" s="524" t="str">
        <f>IF(J56="","",IF(VLOOKUP(J56,'G-3 Multipliers'!$L$3:$N$6,3,FALSE)=0,"Spatial Data Missing ⚠",VLOOKUP(J56,'G-3 Multipliers'!$L$3:$N$6,3,FALSE)))</f>
        <v/>
      </c>
      <c r="M56" s="506" t="str">
        <f>IF(D56="","",VLOOKUP(D56,'G-6 Hedgerow Data'!$B$1:$AH$15,33,FALSE))</f>
        <v/>
      </c>
      <c r="N56" s="513" t="str">
        <f t="shared" si="2"/>
        <v/>
      </c>
      <c r="O56" s="40"/>
      <c r="P56" s="145"/>
      <c r="Q56" s="157"/>
      <c r="R56" s="507" t="str">
        <f t="shared" si="3"/>
        <v/>
      </c>
      <c r="S56" s="507" t="str">
        <f t="shared" si="4"/>
        <v/>
      </c>
      <c r="T56" s="511" t="str">
        <f t="shared" si="5"/>
        <v/>
      </c>
      <c r="U56" s="515" t="str">
        <f t="shared" si="6"/>
        <v/>
      </c>
      <c r="V56" s="151"/>
      <c r="W56" s="152"/>
      <c r="AB56" s="31" t="str">
        <f>IFERROR(INDEX('G-6 Hedgerow Data'!$BJ$3:$BJ$15,MATCH(D56,'G-6 Hedgerow Data'!$B$3:$B$15,0)),"")</f>
        <v/>
      </c>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row>
    <row r="57" spans="2:37" ht="13.8" x14ac:dyDescent="0.25">
      <c r="B57" s="141">
        <v>48</v>
      </c>
      <c r="C57" s="203"/>
      <c r="D57" s="203"/>
      <c r="E57" s="153"/>
      <c r="F57" s="498" t="str">
        <f>IF(D57="","",VLOOKUP(D57,'G-6 Hedgerow Data'!$B$2:$AG$15,2,FALSE))</f>
        <v/>
      </c>
      <c r="G57" s="499" t="str">
        <f>IF(D57="","",VLOOKUP(D57,'G-6 Hedgerow Data'!$B$2:$AG$15,3,FALSE))</f>
        <v/>
      </c>
      <c r="H57" s="145"/>
      <c r="I57" s="499" t="str">
        <f>IFERROR(IF(AND(F57="V.Low",OR(H57="Good",H57="Moderate")),"Error ▲",VLOOKUP(H57,'G-1 All Habitats'!$Z$2:$AA$9,2,FALSE)),"")</f>
        <v/>
      </c>
      <c r="J57" s="154"/>
      <c r="K57" s="520" t="str">
        <f>IF(J57="","",IF(VLOOKUP(J57,'G-3 Multipliers'!$L$3:$N$6,2,FALSE)=0,"Spatial Data Missing ⚠",VLOOKUP(J57,'G-3 Multipliers'!$L$3:$N$6,2,FALSE)))</f>
        <v/>
      </c>
      <c r="L57" s="524" t="str">
        <f>IF(J57="","",IF(VLOOKUP(J57,'G-3 Multipliers'!$L$3:$N$6,3,FALSE)=0,"Spatial Data Missing ⚠",VLOOKUP(J57,'G-3 Multipliers'!$L$3:$N$6,3,FALSE)))</f>
        <v/>
      </c>
      <c r="M57" s="506" t="str">
        <f>IF(D57="","",VLOOKUP(D57,'G-6 Hedgerow Data'!$B$1:$AH$15,33,FALSE))</f>
        <v/>
      </c>
      <c r="N57" s="513" t="str">
        <f t="shared" si="2"/>
        <v/>
      </c>
      <c r="O57" s="40"/>
      <c r="P57" s="145"/>
      <c r="Q57" s="157"/>
      <c r="R57" s="507" t="str">
        <f t="shared" si="3"/>
        <v/>
      </c>
      <c r="S57" s="507" t="str">
        <f t="shared" si="4"/>
        <v/>
      </c>
      <c r="T57" s="511" t="str">
        <f t="shared" si="5"/>
        <v/>
      </c>
      <c r="U57" s="515" t="str">
        <f t="shared" si="6"/>
        <v/>
      </c>
      <c r="V57" s="151"/>
      <c r="W57" s="152"/>
      <c r="AB57" s="31" t="str">
        <f>IFERROR(INDEX('G-6 Hedgerow Data'!$BJ$3:$BJ$15,MATCH(D57,'G-6 Hedgerow Data'!$B$3:$B$15,0)),"")</f>
        <v/>
      </c>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row>
    <row r="58" spans="2:37" ht="13.8" x14ac:dyDescent="0.25">
      <c r="B58" s="141">
        <v>49</v>
      </c>
      <c r="C58" s="203"/>
      <c r="D58" s="203"/>
      <c r="E58" s="153"/>
      <c r="F58" s="498" t="str">
        <f>IF(D58="","",VLOOKUP(D58,'G-6 Hedgerow Data'!$B$2:$AG$15,2,FALSE))</f>
        <v/>
      </c>
      <c r="G58" s="499" t="str">
        <f>IF(D58="","",VLOOKUP(D58,'G-6 Hedgerow Data'!$B$2:$AG$15,3,FALSE))</f>
        <v/>
      </c>
      <c r="H58" s="145"/>
      <c r="I58" s="499" t="str">
        <f>IFERROR(IF(AND(F58="V.Low",OR(H58="Good",H58="Moderate")),"Error ▲",VLOOKUP(H58,'G-1 All Habitats'!$Z$2:$AA$9,2,FALSE)),"")</f>
        <v/>
      </c>
      <c r="J58" s="154"/>
      <c r="K58" s="520" t="str">
        <f>IF(J58="","",IF(VLOOKUP(J58,'G-3 Multipliers'!$L$3:$N$6,2,FALSE)=0,"Spatial Data Missing ⚠",VLOOKUP(J58,'G-3 Multipliers'!$L$3:$N$6,2,FALSE)))</f>
        <v/>
      </c>
      <c r="L58" s="524" t="str">
        <f>IF(J58="","",IF(VLOOKUP(J58,'G-3 Multipliers'!$L$3:$N$6,3,FALSE)=0,"Spatial Data Missing ⚠",VLOOKUP(J58,'G-3 Multipliers'!$L$3:$N$6,3,FALSE)))</f>
        <v/>
      </c>
      <c r="M58" s="506" t="str">
        <f>IF(D58="","",VLOOKUP(D58,'G-6 Hedgerow Data'!$B$1:$AH$15,33,FALSE))</f>
        <v/>
      </c>
      <c r="N58" s="513" t="str">
        <f t="shared" si="2"/>
        <v/>
      </c>
      <c r="O58" s="40"/>
      <c r="P58" s="145"/>
      <c r="Q58" s="157"/>
      <c r="R58" s="507" t="str">
        <f t="shared" si="3"/>
        <v/>
      </c>
      <c r="S58" s="507" t="str">
        <f t="shared" si="4"/>
        <v/>
      </c>
      <c r="T58" s="511" t="str">
        <f t="shared" si="5"/>
        <v/>
      </c>
      <c r="U58" s="515" t="str">
        <f t="shared" si="6"/>
        <v/>
      </c>
      <c r="V58" s="151"/>
      <c r="W58" s="152"/>
      <c r="AB58" s="31" t="str">
        <f>IFERROR(INDEX('G-6 Hedgerow Data'!$BJ$3:$BJ$15,MATCH(D58,'G-6 Hedgerow Data'!$B$3:$B$15,0)),"")</f>
        <v/>
      </c>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row>
    <row r="59" spans="2:37" ht="13.8" x14ac:dyDescent="0.25">
      <c r="B59" s="141">
        <v>50</v>
      </c>
      <c r="C59" s="203"/>
      <c r="D59" s="203"/>
      <c r="E59" s="153"/>
      <c r="F59" s="498" t="str">
        <f>IF(D59="","",VLOOKUP(D59,'G-6 Hedgerow Data'!$B$2:$AG$15,2,FALSE))</f>
        <v/>
      </c>
      <c r="G59" s="499" t="str">
        <f>IF(D59="","",VLOOKUP(D59,'G-6 Hedgerow Data'!$B$2:$AG$15,3,FALSE))</f>
        <v/>
      </c>
      <c r="H59" s="145"/>
      <c r="I59" s="499" t="str">
        <f>IFERROR(IF(AND(F59="V.Low",OR(H59="Good",H59="Moderate")),"Error ▲",VLOOKUP(H59,'G-1 All Habitats'!$Z$2:$AA$9,2,FALSE)),"")</f>
        <v/>
      </c>
      <c r="J59" s="154"/>
      <c r="K59" s="520" t="str">
        <f>IF(J59="","",IF(VLOOKUP(J59,'G-3 Multipliers'!$L$3:$N$6,2,FALSE)=0,"Spatial Data Missing ⚠",VLOOKUP(J59,'G-3 Multipliers'!$L$3:$N$6,2,FALSE)))</f>
        <v/>
      </c>
      <c r="L59" s="524" t="str">
        <f>IF(J59="","",IF(VLOOKUP(J59,'G-3 Multipliers'!$L$3:$N$6,3,FALSE)=0,"Spatial Data Missing ⚠",VLOOKUP(J59,'G-3 Multipliers'!$L$3:$N$6,3,FALSE)))</f>
        <v/>
      </c>
      <c r="M59" s="506" t="str">
        <f>IF(D59="","",VLOOKUP(D59,'G-6 Hedgerow Data'!$B$1:$AH$15,33,FALSE))</f>
        <v/>
      </c>
      <c r="N59" s="513" t="str">
        <f t="shared" si="2"/>
        <v/>
      </c>
      <c r="O59" s="40"/>
      <c r="P59" s="145"/>
      <c r="Q59" s="157"/>
      <c r="R59" s="507" t="str">
        <f t="shared" si="3"/>
        <v/>
      </c>
      <c r="S59" s="507" t="str">
        <f t="shared" si="4"/>
        <v/>
      </c>
      <c r="T59" s="511" t="str">
        <f t="shared" si="5"/>
        <v/>
      </c>
      <c r="U59" s="515" t="str">
        <f t="shared" si="6"/>
        <v/>
      </c>
      <c r="V59" s="151"/>
      <c r="W59" s="152"/>
      <c r="AB59" s="31" t="str">
        <f>IFERROR(INDEX('G-6 Hedgerow Data'!$BJ$3:$BJ$15,MATCH(D59,'G-6 Hedgerow Data'!$B$3:$B$15,0)),"")</f>
        <v/>
      </c>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row>
    <row r="60" spans="2:37" ht="13.8" x14ac:dyDescent="0.25">
      <c r="B60" s="141">
        <v>51</v>
      </c>
      <c r="C60" s="203"/>
      <c r="D60" s="203"/>
      <c r="E60" s="153"/>
      <c r="F60" s="498" t="str">
        <f>IF(D60="","",VLOOKUP(D60,'G-6 Hedgerow Data'!$B$2:$AG$15,2,FALSE))</f>
        <v/>
      </c>
      <c r="G60" s="499" t="str">
        <f>IF(D60="","",VLOOKUP(D60,'G-6 Hedgerow Data'!$B$2:$AG$15,3,FALSE))</f>
        <v/>
      </c>
      <c r="H60" s="145"/>
      <c r="I60" s="499" t="str">
        <f>IFERROR(IF(AND(F60="V.Low",OR(H60="Good",H60="Moderate")),"Error ▲",VLOOKUP(H60,'G-1 All Habitats'!$Z$2:$AA$9,2,FALSE)),"")</f>
        <v/>
      </c>
      <c r="J60" s="154"/>
      <c r="K60" s="520" t="str">
        <f>IF(J60="","",IF(VLOOKUP(J60,'G-3 Multipliers'!$L$3:$N$6,2,FALSE)=0,"Spatial Data Missing ⚠",VLOOKUP(J60,'G-3 Multipliers'!$L$3:$N$6,2,FALSE)))</f>
        <v/>
      </c>
      <c r="L60" s="524" t="str">
        <f>IF(J60="","",IF(VLOOKUP(J60,'G-3 Multipliers'!$L$3:$N$6,3,FALSE)=0,"Spatial Data Missing ⚠",VLOOKUP(J60,'G-3 Multipliers'!$L$3:$N$6,3,FALSE)))</f>
        <v/>
      </c>
      <c r="M60" s="506" t="str">
        <f>IF(D60="","",VLOOKUP(D60,'G-6 Hedgerow Data'!$B$1:$AH$15,33,FALSE))</f>
        <v/>
      </c>
      <c r="N60" s="513" t="str">
        <f t="shared" si="2"/>
        <v/>
      </c>
      <c r="O60" s="40"/>
      <c r="P60" s="145"/>
      <c r="Q60" s="157"/>
      <c r="R60" s="507" t="str">
        <f t="shared" si="3"/>
        <v/>
      </c>
      <c r="S60" s="507" t="str">
        <f t="shared" si="4"/>
        <v/>
      </c>
      <c r="T60" s="511" t="str">
        <f t="shared" si="5"/>
        <v/>
      </c>
      <c r="U60" s="515" t="str">
        <f t="shared" si="6"/>
        <v/>
      </c>
      <c r="V60" s="151"/>
      <c r="W60" s="152"/>
      <c r="AB60" s="31" t="str">
        <f>IFERROR(INDEX('G-6 Hedgerow Data'!$BJ$3:$BJ$15,MATCH(D60,'G-6 Hedgerow Data'!$B$3:$B$15,0)),"")</f>
        <v/>
      </c>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row>
    <row r="61" spans="2:37" ht="13.8" x14ac:dyDescent="0.25">
      <c r="B61" s="141">
        <v>52</v>
      </c>
      <c r="C61" s="203"/>
      <c r="D61" s="203"/>
      <c r="E61" s="153"/>
      <c r="F61" s="498" t="str">
        <f>IF(D61="","",VLOOKUP(D61,'G-6 Hedgerow Data'!$B$2:$AG$15,2,FALSE))</f>
        <v/>
      </c>
      <c r="G61" s="499" t="str">
        <f>IF(D61="","",VLOOKUP(D61,'G-6 Hedgerow Data'!$B$2:$AG$15,3,FALSE))</f>
        <v/>
      </c>
      <c r="H61" s="145"/>
      <c r="I61" s="499" t="str">
        <f>IFERROR(IF(AND(F61="V.Low",OR(H61="Good",H61="Moderate")),"Error ▲",VLOOKUP(H61,'G-1 All Habitats'!$Z$2:$AA$9,2,FALSE)),"")</f>
        <v/>
      </c>
      <c r="J61" s="154"/>
      <c r="K61" s="520" t="str">
        <f>IF(J61="","",IF(VLOOKUP(J61,'G-3 Multipliers'!$L$3:$N$6,2,FALSE)=0,"Spatial Data Missing ⚠",VLOOKUP(J61,'G-3 Multipliers'!$L$3:$N$6,2,FALSE)))</f>
        <v/>
      </c>
      <c r="L61" s="524" t="str">
        <f>IF(J61="","",IF(VLOOKUP(J61,'G-3 Multipliers'!$L$3:$N$6,3,FALSE)=0,"Spatial Data Missing ⚠",VLOOKUP(J61,'G-3 Multipliers'!$L$3:$N$6,3,FALSE)))</f>
        <v/>
      </c>
      <c r="M61" s="506" t="str">
        <f>IF(D61="","",VLOOKUP(D61,'G-6 Hedgerow Data'!$B$1:$AH$15,33,FALSE))</f>
        <v/>
      </c>
      <c r="N61" s="513" t="str">
        <f t="shared" si="2"/>
        <v/>
      </c>
      <c r="O61" s="40"/>
      <c r="P61" s="145"/>
      <c r="Q61" s="157"/>
      <c r="R61" s="507" t="str">
        <f t="shared" si="3"/>
        <v/>
      </c>
      <c r="S61" s="507" t="str">
        <f t="shared" si="4"/>
        <v/>
      </c>
      <c r="T61" s="511" t="str">
        <f t="shared" si="5"/>
        <v/>
      </c>
      <c r="U61" s="515" t="str">
        <f t="shared" si="6"/>
        <v/>
      </c>
      <c r="V61" s="151"/>
      <c r="W61" s="152"/>
      <c r="AB61" s="31" t="str">
        <f>IFERROR(INDEX('G-6 Hedgerow Data'!$BJ$3:$BJ$15,MATCH(D61,'G-6 Hedgerow Data'!$B$3:$B$15,0)),"")</f>
        <v/>
      </c>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row>
    <row r="62" spans="2:37" ht="13.8" x14ac:dyDescent="0.25">
      <c r="B62" s="141">
        <v>53</v>
      </c>
      <c r="C62" s="203"/>
      <c r="D62" s="203"/>
      <c r="E62" s="153"/>
      <c r="F62" s="498" t="str">
        <f>IF(D62="","",VLOOKUP(D62,'G-6 Hedgerow Data'!$B$2:$AG$15,2,FALSE))</f>
        <v/>
      </c>
      <c r="G62" s="499" t="str">
        <f>IF(D62="","",VLOOKUP(D62,'G-6 Hedgerow Data'!$B$2:$AG$15,3,FALSE))</f>
        <v/>
      </c>
      <c r="H62" s="145"/>
      <c r="I62" s="499" t="str">
        <f>IFERROR(IF(AND(F62="V.Low",OR(H62="Good",H62="Moderate")),"Error ▲",VLOOKUP(H62,'G-1 All Habitats'!$Z$2:$AA$9,2,FALSE)),"")</f>
        <v/>
      </c>
      <c r="J62" s="154"/>
      <c r="K62" s="520" t="str">
        <f>IF(J62="","",IF(VLOOKUP(J62,'G-3 Multipliers'!$L$3:$N$6,2,FALSE)=0,"Spatial Data Missing ⚠",VLOOKUP(J62,'G-3 Multipliers'!$L$3:$N$6,2,FALSE)))</f>
        <v/>
      </c>
      <c r="L62" s="524" t="str">
        <f>IF(J62="","",IF(VLOOKUP(J62,'G-3 Multipliers'!$L$3:$N$6,3,FALSE)=0,"Spatial Data Missing ⚠",VLOOKUP(J62,'G-3 Multipliers'!$L$3:$N$6,3,FALSE)))</f>
        <v/>
      </c>
      <c r="M62" s="506" t="str">
        <f>IF(D62="","",VLOOKUP(D62,'G-6 Hedgerow Data'!$B$1:$AH$15,33,FALSE))</f>
        <v/>
      </c>
      <c r="N62" s="513" t="str">
        <f t="shared" si="2"/>
        <v/>
      </c>
      <c r="O62" s="40"/>
      <c r="P62" s="145"/>
      <c r="Q62" s="157"/>
      <c r="R62" s="507" t="str">
        <f t="shared" si="3"/>
        <v/>
      </c>
      <c r="S62" s="507" t="str">
        <f t="shared" si="4"/>
        <v/>
      </c>
      <c r="T62" s="511" t="str">
        <f t="shared" si="5"/>
        <v/>
      </c>
      <c r="U62" s="515" t="str">
        <f t="shared" si="6"/>
        <v/>
      </c>
      <c r="V62" s="151"/>
      <c r="W62" s="152"/>
      <c r="AB62" s="31" t="str">
        <f>IFERROR(INDEX('G-6 Hedgerow Data'!$BJ$3:$BJ$15,MATCH(D62,'G-6 Hedgerow Data'!$B$3:$B$15,0)),"")</f>
        <v/>
      </c>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row>
    <row r="63" spans="2:37" ht="13.8" x14ac:dyDescent="0.25">
      <c r="B63" s="141">
        <v>54</v>
      </c>
      <c r="C63" s="203"/>
      <c r="D63" s="203"/>
      <c r="E63" s="153"/>
      <c r="F63" s="498" t="str">
        <f>IF(D63="","",VLOOKUP(D63,'G-6 Hedgerow Data'!$B$2:$AG$15,2,FALSE))</f>
        <v/>
      </c>
      <c r="G63" s="499" t="str">
        <f>IF(D63="","",VLOOKUP(D63,'G-6 Hedgerow Data'!$B$2:$AG$15,3,FALSE))</f>
        <v/>
      </c>
      <c r="H63" s="145"/>
      <c r="I63" s="499" t="str">
        <f>IFERROR(IF(AND(F63="V.Low",OR(H63="Good",H63="Moderate")),"Error ▲",VLOOKUP(H63,'G-1 All Habitats'!$Z$2:$AA$9,2,FALSE)),"")</f>
        <v/>
      </c>
      <c r="J63" s="154"/>
      <c r="K63" s="520" t="str">
        <f>IF(J63="","",IF(VLOOKUP(J63,'G-3 Multipliers'!$L$3:$N$6,2,FALSE)=0,"Spatial Data Missing ⚠",VLOOKUP(J63,'G-3 Multipliers'!$L$3:$N$6,2,FALSE)))</f>
        <v/>
      </c>
      <c r="L63" s="524" t="str">
        <f>IF(J63="","",IF(VLOOKUP(J63,'G-3 Multipliers'!$L$3:$N$6,3,FALSE)=0,"Spatial Data Missing ⚠",VLOOKUP(J63,'G-3 Multipliers'!$L$3:$N$6,3,FALSE)))</f>
        <v/>
      </c>
      <c r="M63" s="506" t="str">
        <f>IF(D63="","",VLOOKUP(D63,'G-6 Hedgerow Data'!$B$1:$AH$15,33,FALSE))</f>
        <v/>
      </c>
      <c r="N63" s="513" t="str">
        <f t="shared" si="2"/>
        <v/>
      </c>
      <c r="O63" s="40"/>
      <c r="P63" s="145"/>
      <c r="Q63" s="157"/>
      <c r="R63" s="507" t="str">
        <f t="shared" si="3"/>
        <v/>
      </c>
      <c r="S63" s="507" t="str">
        <f t="shared" si="4"/>
        <v/>
      </c>
      <c r="T63" s="511" t="str">
        <f t="shared" si="5"/>
        <v/>
      </c>
      <c r="U63" s="515" t="str">
        <f t="shared" si="6"/>
        <v/>
      </c>
      <c r="V63" s="151"/>
      <c r="W63" s="152"/>
      <c r="AB63" s="31" t="str">
        <f>IFERROR(INDEX('G-6 Hedgerow Data'!$BJ$3:$BJ$15,MATCH(D63,'G-6 Hedgerow Data'!$B$3:$B$15,0)),"")</f>
        <v/>
      </c>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row>
    <row r="64" spans="2:37" ht="13.8" x14ac:dyDescent="0.25">
      <c r="B64" s="141">
        <v>55</v>
      </c>
      <c r="C64" s="203"/>
      <c r="D64" s="203"/>
      <c r="E64" s="153"/>
      <c r="F64" s="498" t="str">
        <f>IF(D64="","",VLOOKUP(D64,'G-6 Hedgerow Data'!$B$2:$AG$15,2,FALSE))</f>
        <v/>
      </c>
      <c r="G64" s="499" t="str">
        <f>IF(D64="","",VLOOKUP(D64,'G-6 Hedgerow Data'!$B$2:$AG$15,3,FALSE))</f>
        <v/>
      </c>
      <c r="H64" s="145"/>
      <c r="I64" s="499" t="str">
        <f>IFERROR(IF(AND(F64="V.Low",OR(H64="Good",H64="Moderate")),"Error ▲",VLOOKUP(H64,'G-1 All Habitats'!$Z$2:$AA$9,2,FALSE)),"")</f>
        <v/>
      </c>
      <c r="J64" s="154"/>
      <c r="K64" s="520" t="str">
        <f>IF(J64="","",IF(VLOOKUP(J64,'G-3 Multipliers'!$L$3:$N$6,2,FALSE)=0,"Spatial Data Missing ⚠",VLOOKUP(J64,'G-3 Multipliers'!$L$3:$N$6,2,FALSE)))</f>
        <v/>
      </c>
      <c r="L64" s="524" t="str">
        <f>IF(J64="","",IF(VLOOKUP(J64,'G-3 Multipliers'!$L$3:$N$6,3,FALSE)=0,"Spatial Data Missing ⚠",VLOOKUP(J64,'G-3 Multipliers'!$L$3:$N$6,3,FALSE)))</f>
        <v/>
      </c>
      <c r="M64" s="506" t="str">
        <f>IF(D64="","",VLOOKUP(D64,'G-6 Hedgerow Data'!$B$1:$AH$15,33,FALSE))</f>
        <v/>
      </c>
      <c r="N64" s="513" t="str">
        <f t="shared" si="2"/>
        <v/>
      </c>
      <c r="O64" s="40"/>
      <c r="P64" s="145"/>
      <c r="Q64" s="157"/>
      <c r="R64" s="507" t="str">
        <f t="shared" si="3"/>
        <v/>
      </c>
      <c r="S64" s="507" t="str">
        <f t="shared" si="4"/>
        <v/>
      </c>
      <c r="T64" s="511" t="str">
        <f t="shared" si="5"/>
        <v/>
      </c>
      <c r="U64" s="515" t="str">
        <f t="shared" si="6"/>
        <v/>
      </c>
      <c r="V64" s="151"/>
      <c r="W64" s="152"/>
      <c r="AB64" s="31" t="str">
        <f>IFERROR(INDEX('G-6 Hedgerow Data'!$BJ$3:$BJ$15,MATCH(D64,'G-6 Hedgerow Data'!$B$3:$B$15,0)),"")</f>
        <v/>
      </c>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row>
    <row r="65" spans="2:37" ht="13.8" x14ac:dyDescent="0.25">
      <c r="B65" s="141">
        <v>56</v>
      </c>
      <c r="C65" s="203"/>
      <c r="D65" s="203"/>
      <c r="E65" s="153"/>
      <c r="F65" s="498" t="str">
        <f>IF(D65="","",VLOOKUP(D65,'G-6 Hedgerow Data'!$B$2:$AG$15,2,FALSE))</f>
        <v/>
      </c>
      <c r="G65" s="499" t="str">
        <f>IF(D65="","",VLOOKUP(D65,'G-6 Hedgerow Data'!$B$2:$AG$15,3,FALSE))</f>
        <v/>
      </c>
      <c r="H65" s="145"/>
      <c r="I65" s="499" t="str">
        <f>IFERROR(IF(AND(F65="V.Low",OR(H65="Good",H65="Moderate")),"Error ▲",VLOOKUP(H65,'G-1 All Habitats'!$Z$2:$AA$9,2,FALSE)),"")</f>
        <v/>
      </c>
      <c r="J65" s="154"/>
      <c r="K65" s="520" t="str">
        <f>IF(J65="","",IF(VLOOKUP(J65,'G-3 Multipliers'!$L$3:$N$6,2,FALSE)=0,"Spatial Data Missing ⚠",VLOOKUP(J65,'G-3 Multipliers'!$L$3:$N$6,2,FALSE)))</f>
        <v/>
      </c>
      <c r="L65" s="524" t="str">
        <f>IF(J65="","",IF(VLOOKUP(J65,'G-3 Multipliers'!$L$3:$N$6,3,FALSE)=0,"Spatial Data Missing ⚠",VLOOKUP(J65,'G-3 Multipliers'!$L$3:$N$6,3,FALSE)))</f>
        <v/>
      </c>
      <c r="M65" s="506" t="str">
        <f>IF(D65="","",VLOOKUP(D65,'G-6 Hedgerow Data'!$B$1:$AH$15,33,FALSE))</f>
        <v/>
      </c>
      <c r="N65" s="513" t="str">
        <f t="shared" si="2"/>
        <v/>
      </c>
      <c r="O65" s="40"/>
      <c r="P65" s="145"/>
      <c r="Q65" s="157"/>
      <c r="R65" s="507" t="str">
        <f t="shared" si="3"/>
        <v/>
      </c>
      <c r="S65" s="507" t="str">
        <f t="shared" si="4"/>
        <v/>
      </c>
      <c r="T65" s="511" t="str">
        <f t="shared" si="5"/>
        <v/>
      </c>
      <c r="U65" s="515" t="str">
        <f t="shared" si="6"/>
        <v/>
      </c>
      <c r="V65" s="151"/>
      <c r="W65" s="152"/>
      <c r="AB65" s="31" t="str">
        <f>IFERROR(INDEX('G-6 Hedgerow Data'!$BJ$3:$BJ$15,MATCH(D65,'G-6 Hedgerow Data'!$B$3:$B$15,0)),"")</f>
        <v/>
      </c>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row>
    <row r="66" spans="2:37" ht="13.8" x14ac:dyDescent="0.25">
      <c r="B66" s="141">
        <v>57</v>
      </c>
      <c r="C66" s="203"/>
      <c r="D66" s="203"/>
      <c r="E66" s="153"/>
      <c r="F66" s="498" t="str">
        <f>IF(D66="","",VLOOKUP(D66,'G-6 Hedgerow Data'!$B$2:$AG$15,2,FALSE))</f>
        <v/>
      </c>
      <c r="G66" s="499" t="str">
        <f>IF(D66="","",VLOOKUP(D66,'G-6 Hedgerow Data'!$B$2:$AG$15,3,FALSE))</f>
        <v/>
      </c>
      <c r="H66" s="145"/>
      <c r="I66" s="499" t="str">
        <f>IFERROR(IF(AND(F66="V.Low",OR(H66="Good",H66="Moderate")),"Error ▲",VLOOKUP(H66,'G-1 All Habitats'!$Z$2:$AA$9,2,FALSE)),"")</f>
        <v/>
      </c>
      <c r="J66" s="154"/>
      <c r="K66" s="520" t="str">
        <f>IF(J66="","",IF(VLOOKUP(J66,'G-3 Multipliers'!$L$3:$N$6,2,FALSE)=0,"Spatial Data Missing ⚠",VLOOKUP(J66,'G-3 Multipliers'!$L$3:$N$6,2,FALSE)))</f>
        <v/>
      </c>
      <c r="L66" s="524" t="str">
        <f>IF(J66="","",IF(VLOOKUP(J66,'G-3 Multipliers'!$L$3:$N$6,3,FALSE)=0,"Spatial Data Missing ⚠",VLOOKUP(J66,'G-3 Multipliers'!$L$3:$N$6,3,FALSE)))</f>
        <v/>
      </c>
      <c r="M66" s="506" t="str">
        <f>IF(D66="","",VLOOKUP(D66,'G-6 Hedgerow Data'!$B$1:$AH$15,33,FALSE))</f>
        <v/>
      </c>
      <c r="N66" s="513" t="str">
        <f t="shared" si="2"/>
        <v/>
      </c>
      <c r="O66" s="40"/>
      <c r="P66" s="145"/>
      <c r="Q66" s="157"/>
      <c r="R66" s="507" t="str">
        <f t="shared" si="3"/>
        <v/>
      </c>
      <c r="S66" s="507" t="str">
        <f t="shared" si="4"/>
        <v/>
      </c>
      <c r="T66" s="511" t="str">
        <f t="shared" si="5"/>
        <v/>
      </c>
      <c r="U66" s="515" t="str">
        <f t="shared" si="6"/>
        <v/>
      </c>
      <c r="V66" s="151"/>
      <c r="W66" s="152"/>
      <c r="AB66" s="31" t="str">
        <f>IFERROR(INDEX('G-6 Hedgerow Data'!$BJ$3:$BJ$15,MATCH(D66,'G-6 Hedgerow Data'!$B$3:$B$15,0)),"")</f>
        <v/>
      </c>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row>
    <row r="67" spans="2:37" ht="13.8" x14ac:dyDescent="0.25">
      <c r="B67" s="141">
        <v>58</v>
      </c>
      <c r="C67" s="203"/>
      <c r="D67" s="203"/>
      <c r="E67" s="153"/>
      <c r="F67" s="498" t="str">
        <f>IF(D67="","",VLOOKUP(D67,'G-6 Hedgerow Data'!$B$2:$AG$15,2,FALSE))</f>
        <v/>
      </c>
      <c r="G67" s="499" t="str">
        <f>IF(D67="","",VLOOKUP(D67,'G-6 Hedgerow Data'!$B$2:$AG$15,3,FALSE))</f>
        <v/>
      </c>
      <c r="H67" s="145"/>
      <c r="I67" s="499" t="str">
        <f>IFERROR(IF(AND(F67="V.Low",OR(H67="Good",H67="Moderate")),"Error ▲",VLOOKUP(H67,'G-1 All Habitats'!$Z$2:$AA$9,2,FALSE)),"")</f>
        <v/>
      </c>
      <c r="J67" s="154"/>
      <c r="K67" s="520" t="str">
        <f>IF(J67="","",IF(VLOOKUP(J67,'G-3 Multipliers'!$L$3:$N$6,2,FALSE)=0,"Spatial Data Missing ⚠",VLOOKUP(J67,'G-3 Multipliers'!$L$3:$N$6,2,FALSE)))</f>
        <v/>
      </c>
      <c r="L67" s="524" t="str">
        <f>IF(J67="","",IF(VLOOKUP(J67,'G-3 Multipliers'!$L$3:$N$6,3,FALSE)=0,"Spatial Data Missing ⚠",VLOOKUP(J67,'G-3 Multipliers'!$L$3:$N$6,3,FALSE)))</f>
        <v/>
      </c>
      <c r="M67" s="506" t="str">
        <f>IF(D67="","",VLOOKUP(D67,'G-6 Hedgerow Data'!$B$1:$AH$15,33,FALSE))</f>
        <v/>
      </c>
      <c r="N67" s="513" t="str">
        <f t="shared" si="2"/>
        <v/>
      </c>
      <c r="O67" s="40"/>
      <c r="P67" s="145"/>
      <c r="Q67" s="157"/>
      <c r="R67" s="507" t="str">
        <f t="shared" si="3"/>
        <v/>
      </c>
      <c r="S67" s="507" t="str">
        <f t="shared" si="4"/>
        <v/>
      </c>
      <c r="T67" s="511" t="str">
        <f t="shared" si="5"/>
        <v/>
      </c>
      <c r="U67" s="515" t="str">
        <f t="shared" si="6"/>
        <v/>
      </c>
      <c r="V67" s="151"/>
      <c r="W67" s="152"/>
      <c r="AB67" s="31" t="str">
        <f>IFERROR(INDEX('G-6 Hedgerow Data'!$BJ$3:$BJ$15,MATCH(D67,'G-6 Hedgerow Data'!$B$3:$B$15,0)),"")</f>
        <v/>
      </c>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row>
    <row r="68" spans="2:37" ht="13.8" x14ac:dyDescent="0.25">
      <c r="B68" s="141">
        <v>59</v>
      </c>
      <c r="C68" s="203"/>
      <c r="D68" s="203"/>
      <c r="E68" s="153"/>
      <c r="F68" s="498" t="str">
        <f>IF(D68="","",VLOOKUP(D68,'G-6 Hedgerow Data'!$B$2:$AG$15,2,FALSE))</f>
        <v/>
      </c>
      <c r="G68" s="499" t="str">
        <f>IF(D68="","",VLOOKUP(D68,'G-6 Hedgerow Data'!$B$2:$AG$15,3,FALSE))</f>
        <v/>
      </c>
      <c r="H68" s="145"/>
      <c r="I68" s="499" t="str">
        <f>IFERROR(IF(AND(F68="V.Low",OR(H68="Good",H68="Moderate")),"Error ▲",VLOOKUP(H68,'G-1 All Habitats'!$Z$2:$AA$9,2,FALSE)),"")</f>
        <v/>
      </c>
      <c r="J68" s="154"/>
      <c r="K68" s="520" t="str">
        <f>IF(J68="","",IF(VLOOKUP(J68,'G-3 Multipliers'!$L$3:$N$6,2,FALSE)=0,"Spatial Data Missing ⚠",VLOOKUP(J68,'G-3 Multipliers'!$L$3:$N$6,2,FALSE)))</f>
        <v/>
      </c>
      <c r="L68" s="524" t="str">
        <f>IF(J68="","",IF(VLOOKUP(J68,'G-3 Multipliers'!$L$3:$N$6,3,FALSE)=0,"Spatial Data Missing ⚠",VLOOKUP(J68,'G-3 Multipliers'!$L$3:$N$6,3,FALSE)))</f>
        <v/>
      </c>
      <c r="M68" s="506" t="str">
        <f>IF(D68="","",VLOOKUP(D68,'G-6 Hedgerow Data'!$B$1:$AH$15,33,FALSE))</f>
        <v/>
      </c>
      <c r="N68" s="513" t="str">
        <f t="shared" si="2"/>
        <v/>
      </c>
      <c r="O68" s="40"/>
      <c r="P68" s="145"/>
      <c r="Q68" s="157"/>
      <c r="R68" s="507" t="str">
        <f t="shared" si="3"/>
        <v/>
      </c>
      <c r="S68" s="507" t="str">
        <f t="shared" si="4"/>
        <v/>
      </c>
      <c r="T68" s="511" t="str">
        <f t="shared" si="5"/>
        <v/>
      </c>
      <c r="U68" s="515" t="str">
        <f t="shared" si="6"/>
        <v/>
      </c>
      <c r="V68" s="151"/>
      <c r="W68" s="152"/>
      <c r="AB68" s="31" t="str">
        <f>IFERROR(INDEX('G-6 Hedgerow Data'!$BJ$3:$BJ$15,MATCH(D68,'G-6 Hedgerow Data'!$B$3:$B$15,0)),"")</f>
        <v/>
      </c>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row>
    <row r="69" spans="2:37" ht="13.8" x14ac:dyDescent="0.25">
      <c r="B69" s="141">
        <v>60</v>
      </c>
      <c r="C69" s="203"/>
      <c r="D69" s="203"/>
      <c r="E69" s="153"/>
      <c r="F69" s="498" t="str">
        <f>IF(D69="","",VLOOKUP(D69,'G-6 Hedgerow Data'!$B$2:$AG$15,2,FALSE))</f>
        <v/>
      </c>
      <c r="G69" s="499" t="str">
        <f>IF(D69="","",VLOOKUP(D69,'G-6 Hedgerow Data'!$B$2:$AG$15,3,FALSE))</f>
        <v/>
      </c>
      <c r="H69" s="145"/>
      <c r="I69" s="499" t="str">
        <f>IFERROR(IF(AND(F69="V.Low",OR(H69="Good",H69="Moderate")),"Error ▲",VLOOKUP(H69,'G-1 All Habitats'!$Z$2:$AA$9,2,FALSE)),"")</f>
        <v/>
      </c>
      <c r="J69" s="154"/>
      <c r="K69" s="520" t="str">
        <f>IF(J69="","",IF(VLOOKUP(J69,'G-3 Multipliers'!$L$3:$N$6,2,FALSE)=0,"Spatial Data Missing ⚠",VLOOKUP(J69,'G-3 Multipliers'!$L$3:$N$6,2,FALSE)))</f>
        <v/>
      </c>
      <c r="L69" s="524" t="str">
        <f>IF(J69="","",IF(VLOOKUP(J69,'G-3 Multipliers'!$L$3:$N$6,3,FALSE)=0,"Spatial Data Missing ⚠",VLOOKUP(J69,'G-3 Multipliers'!$L$3:$N$6,3,FALSE)))</f>
        <v/>
      </c>
      <c r="M69" s="506" t="str">
        <f>IF(D69="","",VLOOKUP(D69,'G-6 Hedgerow Data'!$B$1:$AH$15,33,FALSE))</f>
        <v/>
      </c>
      <c r="N69" s="513" t="str">
        <f t="shared" si="2"/>
        <v/>
      </c>
      <c r="O69" s="40"/>
      <c r="P69" s="145"/>
      <c r="Q69" s="157"/>
      <c r="R69" s="507" t="str">
        <f t="shared" si="3"/>
        <v/>
      </c>
      <c r="S69" s="507" t="str">
        <f t="shared" si="4"/>
        <v/>
      </c>
      <c r="T69" s="511" t="str">
        <f t="shared" si="5"/>
        <v/>
      </c>
      <c r="U69" s="515" t="str">
        <f t="shared" si="6"/>
        <v/>
      </c>
      <c r="V69" s="151"/>
      <c r="W69" s="152"/>
      <c r="AB69" s="31" t="str">
        <f>IFERROR(INDEX('G-6 Hedgerow Data'!$BJ$3:$BJ$15,MATCH(D69,'G-6 Hedgerow Data'!$B$3:$B$15,0)),"")</f>
        <v/>
      </c>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row>
    <row r="70" spans="2:37" ht="13.8" x14ac:dyDescent="0.25">
      <c r="B70" s="141">
        <v>61</v>
      </c>
      <c r="C70" s="203"/>
      <c r="D70" s="203"/>
      <c r="E70" s="153"/>
      <c r="F70" s="498" t="str">
        <f>IF(D70="","",VLOOKUP(D70,'G-6 Hedgerow Data'!$B$2:$AG$15,2,FALSE))</f>
        <v/>
      </c>
      <c r="G70" s="499" t="str">
        <f>IF(D70="","",VLOOKUP(D70,'G-6 Hedgerow Data'!$B$2:$AG$15,3,FALSE))</f>
        <v/>
      </c>
      <c r="H70" s="145"/>
      <c r="I70" s="499" t="str">
        <f>IFERROR(IF(AND(F70="V.Low",OR(H70="Good",H70="Moderate")),"Error ▲",VLOOKUP(H70,'G-1 All Habitats'!$Z$2:$AA$9,2,FALSE)),"")</f>
        <v/>
      </c>
      <c r="J70" s="154"/>
      <c r="K70" s="520" t="str">
        <f>IF(J70="","",IF(VLOOKUP(J70,'G-3 Multipliers'!$L$3:$N$6,2,FALSE)=0,"Spatial Data Missing ⚠",VLOOKUP(J70,'G-3 Multipliers'!$L$3:$N$6,2,FALSE)))</f>
        <v/>
      </c>
      <c r="L70" s="524" t="str">
        <f>IF(J70="","",IF(VLOOKUP(J70,'G-3 Multipliers'!$L$3:$N$6,3,FALSE)=0,"Spatial Data Missing ⚠",VLOOKUP(J70,'G-3 Multipliers'!$L$3:$N$6,3,FALSE)))</f>
        <v/>
      </c>
      <c r="M70" s="506" t="str">
        <f>IF(D70="","",VLOOKUP(D70,'G-6 Hedgerow Data'!$B$1:$AH$15,33,FALSE))</f>
        <v/>
      </c>
      <c r="N70" s="513" t="str">
        <f t="shared" si="2"/>
        <v/>
      </c>
      <c r="O70" s="40"/>
      <c r="P70" s="145"/>
      <c r="Q70" s="157"/>
      <c r="R70" s="507" t="str">
        <f t="shared" si="3"/>
        <v/>
      </c>
      <c r="S70" s="507" t="str">
        <f t="shared" si="4"/>
        <v/>
      </c>
      <c r="T70" s="511" t="str">
        <f t="shared" si="5"/>
        <v/>
      </c>
      <c r="U70" s="515" t="str">
        <f t="shared" si="6"/>
        <v/>
      </c>
      <c r="V70" s="151"/>
      <c r="W70" s="152"/>
      <c r="AB70" s="31" t="str">
        <f>IFERROR(INDEX('G-6 Hedgerow Data'!$BJ$3:$BJ$15,MATCH(D70,'G-6 Hedgerow Data'!$B$3:$B$15,0)),"")</f>
        <v/>
      </c>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row>
    <row r="71" spans="2:37" ht="13.8" x14ac:dyDescent="0.25">
      <c r="B71" s="141">
        <v>62</v>
      </c>
      <c r="C71" s="203"/>
      <c r="D71" s="203"/>
      <c r="E71" s="153"/>
      <c r="F71" s="498" t="str">
        <f>IF(D71="","",VLOOKUP(D71,'G-6 Hedgerow Data'!$B$2:$AG$15,2,FALSE))</f>
        <v/>
      </c>
      <c r="G71" s="499" t="str">
        <f>IF(D71="","",VLOOKUP(D71,'G-6 Hedgerow Data'!$B$2:$AG$15,3,FALSE))</f>
        <v/>
      </c>
      <c r="H71" s="145"/>
      <c r="I71" s="499" t="str">
        <f>IFERROR(IF(AND(F71="V.Low",OR(H71="Good",H71="Moderate")),"Error ▲",VLOOKUP(H71,'G-1 All Habitats'!$Z$2:$AA$9,2,FALSE)),"")</f>
        <v/>
      </c>
      <c r="J71" s="154"/>
      <c r="K71" s="520" t="str">
        <f>IF(J71="","",IF(VLOOKUP(J71,'G-3 Multipliers'!$L$3:$N$6,2,FALSE)=0,"Spatial Data Missing ⚠",VLOOKUP(J71,'G-3 Multipliers'!$L$3:$N$6,2,FALSE)))</f>
        <v/>
      </c>
      <c r="L71" s="524" t="str">
        <f>IF(J71="","",IF(VLOOKUP(J71,'G-3 Multipliers'!$L$3:$N$6,3,FALSE)=0,"Spatial Data Missing ⚠",VLOOKUP(J71,'G-3 Multipliers'!$L$3:$N$6,3,FALSE)))</f>
        <v/>
      </c>
      <c r="M71" s="506" t="str">
        <f>IF(D71="","",VLOOKUP(D71,'G-6 Hedgerow Data'!$B$1:$AH$15,33,FALSE))</f>
        <v/>
      </c>
      <c r="N71" s="513" t="str">
        <f t="shared" si="2"/>
        <v/>
      </c>
      <c r="O71" s="40"/>
      <c r="P71" s="145"/>
      <c r="Q71" s="157"/>
      <c r="R71" s="507" t="str">
        <f t="shared" si="3"/>
        <v/>
      </c>
      <c r="S71" s="507" t="str">
        <f t="shared" si="4"/>
        <v/>
      </c>
      <c r="T71" s="511" t="str">
        <f t="shared" si="5"/>
        <v/>
      </c>
      <c r="U71" s="515" t="str">
        <f t="shared" si="6"/>
        <v/>
      </c>
      <c r="V71" s="151"/>
      <c r="W71" s="152"/>
      <c r="AB71" s="31" t="str">
        <f>IFERROR(INDEX('G-6 Hedgerow Data'!$BJ$3:$BJ$15,MATCH(D71,'G-6 Hedgerow Data'!$B$3:$B$15,0)),"")</f>
        <v/>
      </c>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row>
    <row r="72" spans="2:37" ht="13.8" x14ac:dyDescent="0.25">
      <c r="B72" s="141">
        <v>63</v>
      </c>
      <c r="C72" s="203"/>
      <c r="D72" s="203"/>
      <c r="E72" s="153"/>
      <c r="F72" s="498" t="str">
        <f>IF(D72="","",VLOOKUP(D72,'G-6 Hedgerow Data'!$B$2:$AG$15,2,FALSE))</f>
        <v/>
      </c>
      <c r="G72" s="499" t="str">
        <f>IF(D72="","",VLOOKUP(D72,'G-6 Hedgerow Data'!$B$2:$AG$15,3,FALSE))</f>
        <v/>
      </c>
      <c r="H72" s="145"/>
      <c r="I72" s="499" t="str">
        <f>IFERROR(IF(AND(F72="V.Low",OR(H72="Good",H72="Moderate")),"Error ▲",VLOOKUP(H72,'G-1 All Habitats'!$Z$2:$AA$9,2,FALSE)),"")</f>
        <v/>
      </c>
      <c r="J72" s="154"/>
      <c r="K72" s="520" t="str">
        <f>IF(J72="","",IF(VLOOKUP(J72,'G-3 Multipliers'!$L$3:$N$6,2,FALSE)=0,"Spatial Data Missing ⚠",VLOOKUP(J72,'G-3 Multipliers'!$L$3:$N$6,2,FALSE)))</f>
        <v/>
      </c>
      <c r="L72" s="524" t="str">
        <f>IF(J72="","",IF(VLOOKUP(J72,'G-3 Multipliers'!$L$3:$N$6,3,FALSE)=0,"Spatial Data Missing ⚠",VLOOKUP(J72,'G-3 Multipliers'!$L$3:$N$6,3,FALSE)))</f>
        <v/>
      </c>
      <c r="M72" s="506" t="str">
        <f>IF(D72="","",VLOOKUP(D72,'G-6 Hedgerow Data'!$B$1:$AH$15,33,FALSE))</f>
        <v/>
      </c>
      <c r="N72" s="513" t="str">
        <f t="shared" si="2"/>
        <v/>
      </c>
      <c r="O72" s="40"/>
      <c r="P72" s="145"/>
      <c r="Q72" s="157"/>
      <c r="R72" s="507" t="str">
        <f t="shared" si="3"/>
        <v/>
      </c>
      <c r="S72" s="507" t="str">
        <f t="shared" si="4"/>
        <v/>
      </c>
      <c r="T72" s="511" t="str">
        <f t="shared" si="5"/>
        <v/>
      </c>
      <c r="U72" s="515" t="str">
        <f t="shared" si="6"/>
        <v/>
      </c>
      <c r="V72" s="151"/>
      <c r="W72" s="152"/>
      <c r="AB72" s="31" t="str">
        <f>IFERROR(INDEX('G-6 Hedgerow Data'!$BJ$3:$BJ$15,MATCH(D72,'G-6 Hedgerow Data'!$B$3:$B$15,0)),"")</f>
        <v/>
      </c>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row>
    <row r="73" spans="2:37" ht="13.8" x14ac:dyDescent="0.25">
      <c r="B73" s="141">
        <v>64</v>
      </c>
      <c r="C73" s="203"/>
      <c r="D73" s="203"/>
      <c r="E73" s="153"/>
      <c r="F73" s="498" t="str">
        <f>IF(D73="","",VLOOKUP(D73,'G-6 Hedgerow Data'!$B$2:$AG$15,2,FALSE))</f>
        <v/>
      </c>
      <c r="G73" s="499" t="str">
        <f>IF(D73="","",VLOOKUP(D73,'G-6 Hedgerow Data'!$B$2:$AG$15,3,FALSE))</f>
        <v/>
      </c>
      <c r="H73" s="145"/>
      <c r="I73" s="499" t="str">
        <f>IFERROR(IF(AND(F73="V.Low",OR(H73="Good",H73="Moderate")),"Error ▲",VLOOKUP(H73,'G-1 All Habitats'!$Z$2:$AA$9,2,FALSE)),"")</f>
        <v/>
      </c>
      <c r="J73" s="154"/>
      <c r="K73" s="520" t="str">
        <f>IF(J73="","",IF(VLOOKUP(J73,'G-3 Multipliers'!$L$3:$N$6,2,FALSE)=0,"Spatial Data Missing ⚠",VLOOKUP(J73,'G-3 Multipliers'!$L$3:$N$6,2,FALSE)))</f>
        <v/>
      </c>
      <c r="L73" s="524" t="str">
        <f>IF(J73="","",IF(VLOOKUP(J73,'G-3 Multipliers'!$L$3:$N$6,3,FALSE)=0,"Spatial Data Missing ⚠",VLOOKUP(J73,'G-3 Multipliers'!$L$3:$N$6,3,FALSE)))</f>
        <v/>
      </c>
      <c r="M73" s="506" t="str">
        <f>IF(D73="","",VLOOKUP(D73,'G-6 Hedgerow Data'!$B$1:$AH$15,33,FALSE))</f>
        <v/>
      </c>
      <c r="N73" s="513" t="str">
        <f t="shared" si="2"/>
        <v/>
      </c>
      <c r="O73" s="40"/>
      <c r="P73" s="145"/>
      <c r="Q73" s="157"/>
      <c r="R73" s="507" t="str">
        <f t="shared" si="3"/>
        <v/>
      </c>
      <c r="S73" s="507" t="str">
        <f t="shared" si="4"/>
        <v/>
      </c>
      <c r="T73" s="511" t="str">
        <f t="shared" si="5"/>
        <v/>
      </c>
      <c r="U73" s="515" t="str">
        <f t="shared" si="6"/>
        <v/>
      </c>
      <c r="V73" s="151"/>
      <c r="W73" s="152"/>
      <c r="AB73" s="31" t="str">
        <f>IFERROR(INDEX('G-6 Hedgerow Data'!$BJ$3:$BJ$15,MATCH(D73,'G-6 Hedgerow Data'!$B$3:$B$15,0)),"")</f>
        <v/>
      </c>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row>
    <row r="74" spans="2:37" ht="13.8" x14ac:dyDescent="0.25">
      <c r="B74" s="141">
        <v>65</v>
      </c>
      <c r="C74" s="203"/>
      <c r="D74" s="203"/>
      <c r="E74" s="153"/>
      <c r="F74" s="498" t="str">
        <f>IF(D74="","",VLOOKUP(D74,'G-6 Hedgerow Data'!$B$2:$AG$15,2,FALSE))</f>
        <v/>
      </c>
      <c r="G74" s="499" t="str">
        <f>IF(D74="","",VLOOKUP(D74,'G-6 Hedgerow Data'!$B$2:$AG$15,3,FALSE))</f>
        <v/>
      </c>
      <c r="H74" s="145"/>
      <c r="I74" s="499" t="str">
        <f>IFERROR(IF(AND(F74="V.Low",OR(H74="Good",H74="Moderate")),"Error ▲",VLOOKUP(H74,'G-1 All Habitats'!$Z$2:$AA$9,2,FALSE)),"")</f>
        <v/>
      </c>
      <c r="J74" s="154"/>
      <c r="K74" s="520" t="str">
        <f>IF(J74="","",IF(VLOOKUP(J74,'G-3 Multipliers'!$L$3:$N$6,2,FALSE)=0,"Spatial Data Missing ⚠",VLOOKUP(J74,'G-3 Multipliers'!$L$3:$N$6,2,FALSE)))</f>
        <v/>
      </c>
      <c r="L74" s="524" t="str">
        <f>IF(J74="","",IF(VLOOKUP(J74,'G-3 Multipliers'!$L$3:$N$6,3,FALSE)=0,"Spatial Data Missing ⚠",VLOOKUP(J74,'G-3 Multipliers'!$L$3:$N$6,3,FALSE)))</f>
        <v/>
      </c>
      <c r="M74" s="506" t="str">
        <f>IF(D74="","",VLOOKUP(D74,'G-6 Hedgerow Data'!$B$1:$AH$15,33,FALSE))</f>
        <v/>
      </c>
      <c r="N74" s="513" t="str">
        <f t="shared" si="2"/>
        <v/>
      </c>
      <c r="O74" s="40"/>
      <c r="P74" s="145"/>
      <c r="Q74" s="157"/>
      <c r="R74" s="507" t="str">
        <f t="shared" si="3"/>
        <v/>
      </c>
      <c r="S74" s="507" t="str">
        <f t="shared" si="4"/>
        <v/>
      </c>
      <c r="T74" s="511" t="str">
        <f t="shared" si="5"/>
        <v/>
      </c>
      <c r="U74" s="515" t="str">
        <f t="shared" si="6"/>
        <v/>
      </c>
      <c r="V74" s="151"/>
      <c r="W74" s="152"/>
      <c r="AB74" s="31" t="str">
        <f>IFERROR(INDEX('G-6 Hedgerow Data'!$BJ$3:$BJ$15,MATCH(D74,'G-6 Hedgerow Data'!$B$3:$B$15,0)),"")</f>
        <v/>
      </c>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row>
    <row r="75" spans="2:37" ht="13.8" x14ac:dyDescent="0.25">
      <c r="B75" s="141">
        <v>66</v>
      </c>
      <c r="C75" s="203"/>
      <c r="D75" s="203"/>
      <c r="E75" s="153"/>
      <c r="F75" s="498" t="str">
        <f>IF(D75="","",VLOOKUP(D75,'G-6 Hedgerow Data'!$B$2:$AG$15,2,FALSE))</f>
        <v/>
      </c>
      <c r="G75" s="499" t="str">
        <f>IF(D75="","",VLOOKUP(D75,'G-6 Hedgerow Data'!$B$2:$AG$15,3,FALSE))</f>
        <v/>
      </c>
      <c r="H75" s="145"/>
      <c r="I75" s="499" t="str">
        <f>IFERROR(IF(AND(F75="V.Low",OR(H75="Good",H75="Moderate")),"Error ▲",VLOOKUP(H75,'G-1 All Habitats'!$Z$2:$AA$9,2,FALSE)),"")</f>
        <v/>
      </c>
      <c r="J75" s="154"/>
      <c r="K75" s="520" t="str">
        <f>IF(J75="","",IF(VLOOKUP(J75,'G-3 Multipliers'!$L$3:$N$6,2,FALSE)=0,"Spatial Data Missing ⚠",VLOOKUP(J75,'G-3 Multipliers'!$L$3:$N$6,2,FALSE)))</f>
        <v/>
      </c>
      <c r="L75" s="524" t="str">
        <f>IF(J75="","",IF(VLOOKUP(J75,'G-3 Multipliers'!$L$3:$N$6,3,FALSE)=0,"Spatial Data Missing ⚠",VLOOKUP(J75,'G-3 Multipliers'!$L$3:$N$6,3,FALSE)))</f>
        <v/>
      </c>
      <c r="M75" s="506" t="str">
        <f>IF(D75="","",VLOOKUP(D75,'G-6 Hedgerow Data'!$B$1:$AH$15,33,FALSE))</f>
        <v/>
      </c>
      <c r="N75" s="513" t="str">
        <f t="shared" ref="N75:N138" si="9">IFERROR(E75*G75*I75*L75,"")</f>
        <v/>
      </c>
      <c r="O75" s="40"/>
      <c r="P75" s="145"/>
      <c r="Q75" s="157"/>
      <c r="R75" s="507" t="str">
        <f t="shared" ref="R75:R138" si="10">IFERROR(P75*G75*I75*L75,"")</f>
        <v/>
      </c>
      <c r="S75" s="507" t="str">
        <f t="shared" ref="S75:S138" si="11">IFERROR(Q75*G75*I75*L75,"")</f>
        <v/>
      </c>
      <c r="T75" s="511" t="str">
        <f t="shared" ref="T75:T138" si="12">IF(D75="","",IF(E75&lt;P75+Q75,"Error in Lengths ▲",E75-P75-Q75))</f>
        <v/>
      </c>
      <c r="U75" s="515" t="str">
        <f t="shared" ref="U75:U138" si="13">IF(OR(E75="",N75=""),"",IF(E75&lt;P75+Q75,"Error in Lengths",N75-R75-S75))</f>
        <v/>
      </c>
      <c r="V75" s="151"/>
      <c r="W75" s="152"/>
      <c r="AB75" s="31" t="str">
        <f>IFERROR(INDEX('G-6 Hedgerow Data'!$BJ$3:$BJ$15,MATCH(D75,'G-6 Hedgerow Data'!$B$3:$B$15,0)),"")</f>
        <v/>
      </c>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row>
    <row r="76" spans="2:37" ht="13.8" x14ac:dyDescent="0.25">
      <c r="B76" s="141">
        <v>67</v>
      </c>
      <c r="C76" s="203"/>
      <c r="D76" s="203"/>
      <c r="E76" s="153"/>
      <c r="F76" s="498" t="str">
        <f>IF(D76="","",VLOOKUP(D76,'G-6 Hedgerow Data'!$B$2:$AG$15,2,FALSE))</f>
        <v/>
      </c>
      <c r="G76" s="499" t="str">
        <f>IF(D76="","",VLOOKUP(D76,'G-6 Hedgerow Data'!$B$2:$AG$15,3,FALSE))</f>
        <v/>
      </c>
      <c r="H76" s="145"/>
      <c r="I76" s="499" t="str">
        <f>IFERROR(IF(AND(F76="V.Low",OR(H76="Good",H76="Moderate")),"Error ▲",VLOOKUP(H76,'G-1 All Habitats'!$Z$2:$AA$9,2,FALSE)),"")</f>
        <v/>
      </c>
      <c r="J76" s="154"/>
      <c r="K76" s="520" t="str">
        <f>IF(J76="","",IF(VLOOKUP(J76,'G-3 Multipliers'!$L$3:$N$6,2,FALSE)=0,"Spatial Data Missing ⚠",VLOOKUP(J76,'G-3 Multipliers'!$L$3:$N$6,2,FALSE)))</f>
        <v/>
      </c>
      <c r="L76" s="524" t="str">
        <f>IF(J76="","",IF(VLOOKUP(J76,'G-3 Multipliers'!$L$3:$N$6,3,FALSE)=0,"Spatial Data Missing ⚠",VLOOKUP(J76,'G-3 Multipliers'!$L$3:$N$6,3,FALSE)))</f>
        <v/>
      </c>
      <c r="M76" s="506" t="str">
        <f>IF(D76="","",VLOOKUP(D76,'G-6 Hedgerow Data'!$B$1:$AH$15,33,FALSE))</f>
        <v/>
      </c>
      <c r="N76" s="513" t="str">
        <f t="shared" si="9"/>
        <v/>
      </c>
      <c r="O76" s="40"/>
      <c r="P76" s="145"/>
      <c r="Q76" s="157"/>
      <c r="R76" s="507" t="str">
        <f t="shared" si="10"/>
        <v/>
      </c>
      <c r="S76" s="507" t="str">
        <f t="shared" si="11"/>
        <v/>
      </c>
      <c r="T76" s="511" t="str">
        <f t="shared" si="12"/>
        <v/>
      </c>
      <c r="U76" s="515" t="str">
        <f t="shared" si="13"/>
        <v/>
      </c>
      <c r="V76" s="151"/>
      <c r="W76" s="152"/>
      <c r="AB76" s="31" t="str">
        <f>IFERROR(INDEX('G-6 Hedgerow Data'!$BJ$3:$BJ$15,MATCH(D76,'G-6 Hedgerow Data'!$B$3:$B$15,0)),"")</f>
        <v/>
      </c>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row>
    <row r="77" spans="2:37" ht="13.8" x14ac:dyDescent="0.25">
      <c r="B77" s="141">
        <v>68</v>
      </c>
      <c r="C77" s="203"/>
      <c r="D77" s="203"/>
      <c r="E77" s="153"/>
      <c r="F77" s="498" t="str">
        <f>IF(D77="","",VLOOKUP(D77,'G-6 Hedgerow Data'!$B$2:$AG$15,2,FALSE))</f>
        <v/>
      </c>
      <c r="G77" s="499" t="str">
        <f>IF(D77="","",VLOOKUP(D77,'G-6 Hedgerow Data'!$B$2:$AG$15,3,FALSE))</f>
        <v/>
      </c>
      <c r="H77" s="145"/>
      <c r="I77" s="499" t="str">
        <f>IFERROR(IF(AND(F77="V.Low",OR(H77="Good",H77="Moderate")),"Error ▲",VLOOKUP(H77,'G-1 All Habitats'!$Z$2:$AA$9,2,FALSE)),"")</f>
        <v/>
      </c>
      <c r="J77" s="154"/>
      <c r="K77" s="520" t="str">
        <f>IF(J77="","",IF(VLOOKUP(J77,'G-3 Multipliers'!$L$3:$N$6,2,FALSE)=0,"Spatial Data Missing ⚠",VLOOKUP(J77,'G-3 Multipliers'!$L$3:$N$6,2,FALSE)))</f>
        <v/>
      </c>
      <c r="L77" s="524" t="str">
        <f>IF(J77="","",IF(VLOOKUP(J77,'G-3 Multipliers'!$L$3:$N$6,3,FALSE)=0,"Spatial Data Missing ⚠",VLOOKUP(J77,'G-3 Multipliers'!$L$3:$N$6,3,FALSE)))</f>
        <v/>
      </c>
      <c r="M77" s="506" t="str">
        <f>IF(D77="","",VLOOKUP(D77,'G-6 Hedgerow Data'!$B$1:$AH$15,33,FALSE))</f>
        <v/>
      </c>
      <c r="N77" s="513" t="str">
        <f t="shared" si="9"/>
        <v/>
      </c>
      <c r="O77" s="40"/>
      <c r="P77" s="145"/>
      <c r="Q77" s="157"/>
      <c r="R77" s="507" t="str">
        <f t="shared" si="10"/>
        <v/>
      </c>
      <c r="S77" s="507" t="str">
        <f t="shared" si="11"/>
        <v/>
      </c>
      <c r="T77" s="511" t="str">
        <f t="shared" si="12"/>
        <v/>
      </c>
      <c r="U77" s="515" t="str">
        <f t="shared" si="13"/>
        <v/>
      </c>
      <c r="V77" s="151"/>
      <c r="W77" s="152"/>
      <c r="AB77" s="31" t="str">
        <f>IFERROR(INDEX('G-6 Hedgerow Data'!$BJ$3:$BJ$15,MATCH(D77,'G-6 Hedgerow Data'!$B$3:$B$15,0)),"")</f>
        <v/>
      </c>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row>
    <row r="78" spans="2:37" ht="13.8" x14ac:dyDescent="0.25">
      <c r="B78" s="141">
        <v>69</v>
      </c>
      <c r="C78" s="203"/>
      <c r="D78" s="203"/>
      <c r="E78" s="153"/>
      <c r="F78" s="498" t="str">
        <f>IF(D78="","",VLOOKUP(D78,'G-6 Hedgerow Data'!$B$2:$AG$15,2,FALSE))</f>
        <v/>
      </c>
      <c r="G78" s="499" t="str">
        <f>IF(D78="","",VLOOKUP(D78,'G-6 Hedgerow Data'!$B$2:$AG$15,3,FALSE))</f>
        <v/>
      </c>
      <c r="H78" s="145"/>
      <c r="I78" s="499" t="str">
        <f>IFERROR(IF(AND(F78="V.Low",OR(H78="Good",H78="Moderate")),"Error ▲",VLOOKUP(H78,'G-1 All Habitats'!$Z$2:$AA$9,2,FALSE)),"")</f>
        <v/>
      </c>
      <c r="J78" s="154"/>
      <c r="K78" s="520" t="str">
        <f>IF(J78="","",IF(VLOOKUP(J78,'G-3 Multipliers'!$L$3:$N$6,2,FALSE)=0,"Spatial Data Missing ⚠",VLOOKUP(J78,'G-3 Multipliers'!$L$3:$N$6,2,FALSE)))</f>
        <v/>
      </c>
      <c r="L78" s="524" t="str">
        <f>IF(J78="","",IF(VLOOKUP(J78,'G-3 Multipliers'!$L$3:$N$6,3,FALSE)=0,"Spatial Data Missing ⚠",VLOOKUP(J78,'G-3 Multipliers'!$L$3:$N$6,3,FALSE)))</f>
        <v/>
      </c>
      <c r="M78" s="506" t="str">
        <f>IF(D78="","",VLOOKUP(D78,'G-6 Hedgerow Data'!$B$1:$AH$15,33,FALSE))</f>
        <v/>
      </c>
      <c r="N78" s="513" t="str">
        <f t="shared" si="9"/>
        <v/>
      </c>
      <c r="O78" s="40"/>
      <c r="P78" s="145"/>
      <c r="Q78" s="157"/>
      <c r="R78" s="507" t="str">
        <f t="shared" si="10"/>
        <v/>
      </c>
      <c r="S78" s="507" t="str">
        <f t="shared" si="11"/>
        <v/>
      </c>
      <c r="T78" s="511" t="str">
        <f t="shared" si="12"/>
        <v/>
      </c>
      <c r="U78" s="515" t="str">
        <f t="shared" si="13"/>
        <v/>
      </c>
      <c r="V78" s="151"/>
      <c r="W78" s="152"/>
      <c r="AB78" s="31" t="str">
        <f>IFERROR(INDEX('G-6 Hedgerow Data'!$BJ$3:$BJ$15,MATCH(D78,'G-6 Hedgerow Data'!$B$3:$B$15,0)),"")</f>
        <v/>
      </c>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row>
    <row r="79" spans="2:37" ht="13.8" x14ac:dyDescent="0.25">
      <c r="B79" s="141">
        <v>70</v>
      </c>
      <c r="C79" s="203"/>
      <c r="D79" s="203"/>
      <c r="E79" s="153"/>
      <c r="F79" s="498" t="str">
        <f>IF(D79="","",VLOOKUP(D79,'G-6 Hedgerow Data'!$B$2:$AG$15,2,FALSE))</f>
        <v/>
      </c>
      <c r="G79" s="499" t="str">
        <f>IF(D79="","",VLOOKUP(D79,'G-6 Hedgerow Data'!$B$2:$AG$15,3,FALSE))</f>
        <v/>
      </c>
      <c r="H79" s="145"/>
      <c r="I79" s="499" t="str">
        <f>IFERROR(IF(AND(F79="V.Low",OR(H79="Good",H79="Moderate")),"Error ▲",VLOOKUP(H79,'G-1 All Habitats'!$Z$2:$AA$9,2,FALSE)),"")</f>
        <v/>
      </c>
      <c r="J79" s="154"/>
      <c r="K79" s="520" t="str">
        <f>IF(J79="","",IF(VLOOKUP(J79,'G-3 Multipliers'!$L$3:$N$6,2,FALSE)=0,"Spatial Data Missing ⚠",VLOOKUP(J79,'G-3 Multipliers'!$L$3:$N$6,2,FALSE)))</f>
        <v/>
      </c>
      <c r="L79" s="524" t="str">
        <f>IF(J79="","",IF(VLOOKUP(J79,'G-3 Multipliers'!$L$3:$N$6,3,FALSE)=0,"Spatial Data Missing ⚠",VLOOKUP(J79,'G-3 Multipliers'!$L$3:$N$6,3,FALSE)))</f>
        <v/>
      </c>
      <c r="M79" s="506" t="str">
        <f>IF(D79="","",VLOOKUP(D79,'G-6 Hedgerow Data'!$B$1:$AH$15,33,FALSE))</f>
        <v/>
      </c>
      <c r="N79" s="513" t="str">
        <f t="shared" si="9"/>
        <v/>
      </c>
      <c r="O79" s="40"/>
      <c r="P79" s="145"/>
      <c r="Q79" s="157"/>
      <c r="R79" s="507" t="str">
        <f t="shared" si="10"/>
        <v/>
      </c>
      <c r="S79" s="507" t="str">
        <f t="shared" si="11"/>
        <v/>
      </c>
      <c r="T79" s="511" t="str">
        <f t="shared" si="12"/>
        <v/>
      </c>
      <c r="U79" s="515" t="str">
        <f t="shared" si="13"/>
        <v/>
      </c>
      <c r="V79" s="151"/>
      <c r="W79" s="152"/>
      <c r="AB79" s="31" t="str">
        <f>IFERROR(INDEX('G-6 Hedgerow Data'!$BJ$3:$BJ$15,MATCH(D79,'G-6 Hedgerow Data'!$B$3:$B$15,0)),"")</f>
        <v/>
      </c>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row>
    <row r="80" spans="2:37" ht="13.8" x14ac:dyDescent="0.25">
      <c r="B80" s="141">
        <v>71</v>
      </c>
      <c r="C80" s="203"/>
      <c r="D80" s="203"/>
      <c r="E80" s="153"/>
      <c r="F80" s="498" t="str">
        <f>IF(D80="","",VLOOKUP(D80,'G-6 Hedgerow Data'!$B$2:$AG$15,2,FALSE))</f>
        <v/>
      </c>
      <c r="G80" s="499" t="str">
        <f>IF(D80="","",VLOOKUP(D80,'G-6 Hedgerow Data'!$B$2:$AG$15,3,FALSE))</f>
        <v/>
      </c>
      <c r="H80" s="145"/>
      <c r="I80" s="499" t="str">
        <f>IFERROR(IF(AND(F80="V.Low",OR(H80="Good",H80="Moderate")),"Error ▲",VLOOKUP(H80,'G-1 All Habitats'!$Z$2:$AA$9,2,FALSE)),"")</f>
        <v/>
      </c>
      <c r="J80" s="154"/>
      <c r="K80" s="520" t="str">
        <f>IF(J80="","",IF(VLOOKUP(J80,'G-3 Multipliers'!$L$3:$N$6,2,FALSE)=0,"Spatial Data Missing ⚠",VLOOKUP(J80,'G-3 Multipliers'!$L$3:$N$6,2,FALSE)))</f>
        <v/>
      </c>
      <c r="L80" s="524" t="str">
        <f>IF(J80="","",IF(VLOOKUP(J80,'G-3 Multipliers'!$L$3:$N$6,3,FALSE)=0,"Spatial Data Missing ⚠",VLOOKUP(J80,'G-3 Multipliers'!$L$3:$N$6,3,FALSE)))</f>
        <v/>
      </c>
      <c r="M80" s="506" t="str">
        <f>IF(D80="","",VLOOKUP(D80,'G-6 Hedgerow Data'!$B$1:$AH$15,33,FALSE))</f>
        <v/>
      </c>
      <c r="N80" s="513" t="str">
        <f t="shared" si="9"/>
        <v/>
      </c>
      <c r="O80" s="40"/>
      <c r="P80" s="145"/>
      <c r="Q80" s="157"/>
      <c r="R80" s="507" t="str">
        <f t="shared" si="10"/>
        <v/>
      </c>
      <c r="S80" s="507" t="str">
        <f t="shared" si="11"/>
        <v/>
      </c>
      <c r="T80" s="511" t="str">
        <f t="shared" si="12"/>
        <v/>
      </c>
      <c r="U80" s="515" t="str">
        <f t="shared" si="13"/>
        <v/>
      </c>
      <c r="V80" s="151"/>
      <c r="W80" s="152"/>
      <c r="AB80" s="31" t="str">
        <f>IFERROR(INDEX('G-6 Hedgerow Data'!$BJ$3:$BJ$15,MATCH(D80,'G-6 Hedgerow Data'!$B$3:$B$15,0)),"")</f>
        <v/>
      </c>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row>
    <row r="81" spans="2:37" ht="13.8" x14ac:dyDescent="0.25">
      <c r="B81" s="141">
        <v>72</v>
      </c>
      <c r="C81" s="203"/>
      <c r="D81" s="203"/>
      <c r="E81" s="153"/>
      <c r="F81" s="498" t="str">
        <f>IF(D81="","",VLOOKUP(D81,'G-6 Hedgerow Data'!$B$2:$AG$15,2,FALSE))</f>
        <v/>
      </c>
      <c r="G81" s="499" t="str">
        <f>IF(D81="","",VLOOKUP(D81,'G-6 Hedgerow Data'!$B$2:$AG$15,3,FALSE))</f>
        <v/>
      </c>
      <c r="H81" s="145"/>
      <c r="I81" s="499" t="str">
        <f>IFERROR(IF(AND(F81="V.Low",OR(H81="Good",H81="Moderate")),"Error ▲",VLOOKUP(H81,'G-1 All Habitats'!$Z$2:$AA$9,2,FALSE)),"")</f>
        <v/>
      </c>
      <c r="J81" s="154"/>
      <c r="K81" s="520" t="str">
        <f>IF(J81="","",IF(VLOOKUP(J81,'G-3 Multipliers'!$L$3:$N$6,2,FALSE)=0,"Spatial Data Missing ⚠",VLOOKUP(J81,'G-3 Multipliers'!$L$3:$N$6,2,FALSE)))</f>
        <v/>
      </c>
      <c r="L81" s="524" t="str">
        <f>IF(J81="","",IF(VLOOKUP(J81,'G-3 Multipliers'!$L$3:$N$6,3,FALSE)=0,"Spatial Data Missing ⚠",VLOOKUP(J81,'G-3 Multipliers'!$L$3:$N$6,3,FALSE)))</f>
        <v/>
      </c>
      <c r="M81" s="506" t="str">
        <f>IF(D81="","",VLOOKUP(D81,'G-6 Hedgerow Data'!$B$1:$AH$15,33,FALSE))</f>
        <v/>
      </c>
      <c r="N81" s="513" t="str">
        <f t="shared" si="9"/>
        <v/>
      </c>
      <c r="O81" s="40"/>
      <c r="P81" s="145"/>
      <c r="Q81" s="157"/>
      <c r="R81" s="507" t="str">
        <f t="shared" si="10"/>
        <v/>
      </c>
      <c r="S81" s="507" t="str">
        <f t="shared" si="11"/>
        <v/>
      </c>
      <c r="T81" s="511" t="str">
        <f t="shared" si="12"/>
        <v/>
      </c>
      <c r="U81" s="515" t="str">
        <f t="shared" si="13"/>
        <v/>
      </c>
      <c r="V81" s="151"/>
      <c r="W81" s="152"/>
      <c r="AB81" s="31" t="str">
        <f>IFERROR(INDEX('G-6 Hedgerow Data'!$BJ$3:$BJ$15,MATCH(D81,'G-6 Hedgerow Data'!$B$3:$B$15,0)),"")</f>
        <v/>
      </c>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row>
    <row r="82" spans="2:37" ht="13.8" x14ac:dyDescent="0.25">
      <c r="B82" s="141">
        <v>73</v>
      </c>
      <c r="C82" s="203"/>
      <c r="D82" s="203"/>
      <c r="E82" s="153"/>
      <c r="F82" s="498" t="str">
        <f>IF(D82="","",VLOOKUP(D82,'G-6 Hedgerow Data'!$B$2:$AG$15,2,FALSE))</f>
        <v/>
      </c>
      <c r="G82" s="499" t="str">
        <f>IF(D82="","",VLOOKUP(D82,'G-6 Hedgerow Data'!$B$2:$AG$15,3,FALSE))</f>
        <v/>
      </c>
      <c r="H82" s="145"/>
      <c r="I82" s="499" t="str">
        <f>IFERROR(IF(AND(F82="V.Low",OR(H82="Good",H82="Moderate")),"Error ▲",VLOOKUP(H82,'G-1 All Habitats'!$Z$2:$AA$9,2,FALSE)),"")</f>
        <v/>
      </c>
      <c r="J82" s="154"/>
      <c r="K82" s="520" t="str">
        <f>IF(J82="","",IF(VLOOKUP(J82,'G-3 Multipliers'!$L$3:$N$6,2,FALSE)=0,"Spatial Data Missing ⚠",VLOOKUP(J82,'G-3 Multipliers'!$L$3:$N$6,2,FALSE)))</f>
        <v/>
      </c>
      <c r="L82" s="524" t="str">
        <f>IF(J82="","",IF(VLOOKUP(J82,'G-3 Multipliers'!$L$3:$N$6,3,FALSE)=0,"Spatial Data Missing ⚠",VLOOKUP(J82,'G-3 Multipliers'!$L$3:$N$6,3,FALSE)))</f>
        <v/>
      </c>
      <c r="M82" s="506" t="str">
        <f>IF(D82="","",VLOOKUP(D82,'G-6 Hedgerow Data'!$B$1:$AH$15,33,FALSE))</f>
        <v/>
      </c>
      <c r="N82" s="513" t="str">
        <f t="shared" si="9"/>
        <v/>
      </c>
      <c r="O82" s="40"/>
      <c r="P82" s="145"/>
      <c r="Q82" s="157"/>
      <c r="R82" s="507" t="str">
        <f t="shared" si="10"/>
        <v/>
      </c>
      <c r="S82" s="507" t="str">
        <f t="shared" si="11"/>
        <v/>
      </c>
      <c r="T82" s="511" t="str">
        <f t="shared" si="12"/>
        <v/>
      </c>
      <c r="U82" s="515" t="str">
        <f t="shared" si="13"/>
        <v/>
      </c>
      <c r="V82" s="151"/>
      <c r="W82" s="152"/>
      <c r="AB82" s="31" t="str">
        <f>IFERROR(INDEX('G-6 Hedgerow Data'!$BJ$3:$BJ$15,MATCH(D82,'G-6 Hedgerow Data'!$B$3:$B$15,0)),"")</f>
        <v/>
      </c>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row>
    <row r="83" spans="2:37" ht="13.8" x14ac:dyDescent="0.25">
      <c r="B83" s="141">
        <v>74</v>
      </c>
      <c r="C83" s="203"/>
      <c r="D83" s="203"/>
      <c r="E83" s="153"/>
      <c r="F83" s="498" t="str">
        <f>IF(D83="","",VLOOKUP(D83,'G-6 Hedgerow Data'!$B$2:$AG$15,2,FALSE))</f>
        <v/>
      </c>
      <c r="G83" s="499" t="str">
        <f>IF(D83="","",VLOOKUP(D83,'G-6 Hedgerow Data'!$B$2:$AG$15,3,FALSE))</f>
        <v/>
      </c>
      <c r="H83" s="145"/>
      <c r="I83" s="499" t="str">
        <f>IFERROR(IF(AND(F83="V.Low",OR(H83="Good",H83="Moderate")),"Error ▲",VLOOKUP(H83,'G-1 All Habitats'!$Z$2:$AA$9,2,FALSE)),"")</f>
        <v/>
      </c>
      <c r="J83" s="154"/>
      <c r="K83" s="520" t="str">
        <f>IF(J83="","",IF(VLOOKUP(J83,'G-3 Multipliers'!$L$3:$N$6,2,FALSE)=0,"Spatial Data Missing ⚠",VLOOKUP(J83,'G-3 Multipliers'!$L$3:$N$6,2,FALSE)))</f>
        <v/>
      </c>
      <c r="L83" s="524" t="str">
        <f>IF(J83="","",IF(VLOOKUP(J83,'G-3 Multipliers'!$L$3:$N$6,3,FALSE)=0,"Spatial Data Missing ⚠",VLOOKUP(J83,'G-3 Multipliers'!$L$3:$N$6,3,FALSE)))</f>
        <v/>
      </c>
      <c r="M83" s="506" t="str">
        <f>IF(D83="","",VLOOKUP(D83,'G-6 Hedgerow Data'!$B$1:$AH$15,33,FALSE))</f>
        <v/>
      </c>
      <c r="N83" s="513" t="str">
        <f t="shared" si="9"/>
        <v/>
      </c>
      <c r="O83" s="40"/>
      <c r="P83" s="145"/>
      <c r="Q83" s="157"/>
      <c r="R83" s="507" t="str">
        <f t="shared" si="10"/>
        <v/>
      </c>
      <c r="S83" s="507" t="str">
        <f t="shared" si="11"/>
        <v/>
      </c>
      <c r="T83" s="511" t="str">
        <f t="shared" si="12"/>
        <v/>
      </c>
      <c r="U83" s="515" t="str">
        <f t="shared" si="13"/>
        <v/>
      </c>
      <c r="V83" s="151"/>
      <c r="W83" s="152"/>
      <c r="AB83" s="31" t="str">
        <f>IFERROR(INDEX('G-6 Hedgerow Data'!$BJ$3:$BJ$15,MATCH(D83,'G-6 Hedgerow Data'!$B$3:$B$15,0)),"")</f>
        <v/>
      </c>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row>
    <row r="84" spans="2:37" ht="13.8" x14ac:dyDescent="0.25">
      <c r="B84" s="141">
        <v>75</v>
      </c>
      <c r="C84" s="203"/>
      <c r="D84" s="203"/>
      <c r="E84" s="153"/>
      <c r="F84" s="498" t="str">
        <f>IF(D84="","",VLOOKUP(D84,'G-6 Hedgerow Data'!$B$2:$AG$15,2,FALSE))</f>
        <v/>
      </c>
      <c r="G84" s="499" t="str">
        <f>IF(D84="","",VLOOKUP(D84,'G-6 Hedgerow Data'!$B$2:$AG$15,3,FALSE))</f>
        <v/>
      </c>
      <c r="H84" s="145"/>
      <c r="I84" s="499" t="str">
        <f>IFERROR(IF(AND(F84="V.Low",OR(H84="Good",H84="Moderate")),"Error ▲",VLOOKUP(H84,'G-1 All Habitats'!$Z$2:$AA$9,2,FALSE)),"")</f>
        <v/>
      </c>
      <c r="J84" s="154"/>
      <c r="K84" s="520" t="str">
        <f>IF(J84="","",IF(VLOOKUP(J84,'G-3 Multipliers'!$L$3:$N$6,2,FALSE)=0,"Spatial Data Missing ⚠",VLOOKUP(J84,'G-3 Multipliers'!$L$3:$N$6,2,FALSE)))</f>
        <v/>
      </c>
      <c r="L84" s="524" t="str">
        <f>IF(J84="","",IF(VLOOKUP(J84,'G-3 Multipliers'!$L$3:$N$6,3,FALSE)=0,"Spatial Data Missing ⚠",VLOOKUP(J84,'G-3 Multipliers'!$L$3:$N$6,3,FALSE)))</f>
        <v/>
      </c>
      <c r="M84" s="506" t="str">
        <f>IF(D84="","",VLOOKUP(D84,'G-6 Hedgerow Data'!$B$1:$AH$15,33,FALSE))</f>
        <v/>
      </c>
      <c r="N84" s="513" t="str">
        <f t="shared" si="9"/>
        <v/>
      </c>
      <c r="O84" s="40"/>
      <c r="P84" s="145"/>
      <c r="Q84" s="157"/>
      <c r="R84" s="507" t="str">
        <f t="shared" si="10"/>
        <v/>
      </c>
      <c r="S84" s="507" t="str">
        <f t="shared" si="11"/>
        <v/>
      </c>
      <c r="T84" s="511" t="str">
        <f t="shared" si="12"/>
        <v/>
      </c>
      <c r="U84" s="515" t="str">
        <f t="shared" si="13"/>
        <v/>
      </c>
      <c r="V84" s="151"/>
      <c r="W84" s="152"/>
      <c r="AB84" s="31" t="str">
        <f>IFERROR(INDEX('G-6 Hedgerow Data'!$BJ$3:$BJ$15,MATCH(D84,'G-6 Hedgerow Data'!$B$3:$B$15,0)),"")</f>
        <v/>
      </c>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row>
    <row r="85" spans="2:37" ht="13.8" x14ac:dyDescent="0.25">
      <c r="B85" s="141">
        <v>76</v>
      </c>
      <c r="C85" s="203"/>
      <c r="D85" s="203"/>
      <c r="E85" s="153"/>
      <c r="F85" s="498" t="str">
        <f>IF(D85="","",VLOOKUP(D85,'G-6 Hedgerow Data'!$B$2:$AG$15,2,FALSE))</f>
        <v/>
      </c>
      <c r="G85" s="499" t="str">
        <f>IF(D85="","",VLOOKUP(D85,'G-6 Hedgerow Data'!$B$2:$AG$15,3,FALSE))</f>
        <v/>
      </c>
      <c r="H85" s="145"/>
      <c r="I85" s="499" t="str">
        <f>IFERROR(IF(AND(F85="V.Low",OR(H85="Good",H85="Moderate")),"Error ▲",VLOOKUP(H85,'G-1 All Habitats'!$Z$2:$AA$9,2,FALSE)),"")</f>
        <v/>
      </c>
      <c r="J85" s="154"/>
      <c r="K85" s="520" t="str">
        <f>IF(J85="","",IF(VLOOKUP(J85,'G-3 Multipliers'!$L$3:$N$6,2,FALSE)=0,"Spatial Data Missing ⚠",VLOOKUP(J85,'G-3 Multipliers'!$L$3:$N$6,2,FALSE)))</f>
        <v/>
      </c>
      <c r="L85" s="524" t="str">
        <f>IF(J85="","",IF(VLOOKUP(J85,'G-3 Multipliers'!$L$3:$N$6,3,FALSE)=0,"Spatial Data Missing ⚠",VLOOKUP(J85,'G-3 Multipliers'!$L$3:$N$6,3,FALSE)))</f>
        <v/>
      </c>
      <c r="M85" s="506" t="str">
        <f>IF(D85="","",VLOOKUP(D85,'G-6 Hedgerow Data'!$B$1:$AH$15,33,FALSE))</f>
        <v/>
      </c>
      <c r="N85" s="513" t="str">
        <f t="shared" si="9"/>
        <v/>
      </c>
      <c r="O85" s="40"/>
      <c r="P85" s="145"/>
      <c r="Q85" s="157"/>
      <c r="R85" s="507" t="str">
        <f t="shared" si="10"/>
        <v/>
      </c>
      <c r="S85" s="507" t="str">
        <f t="shared" si="11"/>
        <v/>
      </c>
      <c r="T85" s="511" t="str">
        <f t="shared" si="12"/>
        <v/>
      </c>
      <c r="U85" s="515" t="str">
        <f t="shared" si="13"/>
        <v/>
      </c>
      <c r="V85" s="151"/>
      <c r="W85" s="152"/>
      <c r="AB85" s="31" t="str">
        <f>IFERROR(INDEX('G-6 Hedgerow Data'!$BJ$3:$BJ$15,MATCH(D85,'G-6 Hedgerow Data'!$B$3:$B$15,0)),"")</f>
        <v/>
      </c>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row>
    <row r="86" spans="2:37" ht="13.8" x14ac:dyDescent="0.25">
      <c r="B86" s="141">
        <v>77</v>
      </c>
      <c r="C86" s="203"/>
      <c r="D86" s="203"/>
      <c r="E86" s="153"/>
      <c r="F86" s="498" t="str">
        <f>IF(D86="","",VLOOKUP(D86,'G-6 Hedgerow Data'!$B$2:$AG$15,2,FALSE))</f>
        <v/>
      </c>
      <c r="G86" s="499" t="str">
        <f>IF(D86="","",VLOOKUP(D86,'G-6 Hedgerow Data'!$B$2:$AG$15,3,FALSE))</f>
        <v/>
      </c>
      <c r="H86" s="145"/>
      <c r="I86" s="499" t="str">
        <f>IFERROR(IF(AND(F86="V.Low",OR(H86="Good",H86="Moderate")),"Error ▲",VLOOKUP(H86,'G-1 All Habitats'!$Z$2:$AA$9,2,FALSE)),"")</f>
        <v/>
      </c>
      <c r="J86" s="154"/>
      <c r="K86" s="520" t="str">
        <f>IF(J86="","",IF(VLOOKUP(J86,'G-3 Multipliers'!$L$3:$N$6,2,FALSE)=0,"Spatial Data Missing ⚠",VLOOKUP(J86,'G-3 Multipliers'!$L$3:$N$6,2,FALSE)))</f>
        <v/>
      </c>
      <c r="L86" s="524" t="str">
        <f>IF(J86="","",IF(VLOOKUP(J86,'G-3 Multipliers'!$L$3:$N$6,3,FALSE)=0,"Spatial Data Missing ⚠",VLOOKUP(J86,'G-3 Multipliers'!$L$3:$N$6,3,FALSE)))</f>
        <v/>
      </c>
      <c r="M86" s="506" t="str">
        <f>IF(D86="","",VLOOKUP(D86,'G-6 Hedgerow Data'!$B$1:$AH$15,33,FALSE))</f>
        <v/>
      </c>
      <c r="N86" s="513" t="str">
        <f t="shared" si="9"/>
        <v/>
      </c>
      <c r="O86" s="40"/>
      <c r="P86" s="145"/>
      <c r="Q86" s="157"/>
      <c r="R86" s="507" t="str">
        <f t="shared" si="10"/>
        <v/>
      </c>
      <c r="S86" s="507" t="str">
        <f t="shared" si="11"/>
        <v/>
      </c>
      <c r="T86" s="511" t="str">
        <f t="shared" si="12"/>
        <v/>
      </c>
      <c r="U86" s="515" t="str">
        <f t="shared" si="13"/>
        <v/>
      </c>
      <c r="V86" s="151"/>
      <c r="W86" s="152"/>
      <c r="AB86" s="31" t="str">
        <f>IFERROR(INDEX('G-6 Hedgerow Data'!$BJ$3:$BJ$15,MATCH(D86,'G-6 Hedgerow Data'!$B$3:$B$15,0)),"")</f>
        <v/>
      </c>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row>
    <row r="87" spans="2:37" ht="13.8" x14ac:dyDescent="0.25">
      <c r="B87" s="141">
        <v>78</v>
      </c>
      <c r="C87" s="203"/>
      <c r="D87" s="203"/>
      <c r="E87" s="153"/>
      <c r="F87" s="498" t="str">
        <f>IF(D87="","",VLOOKUP(D87,'G-6 Hedgerow Data'!$B$2:$AG$15,2,FALSE))</f>
        <v/>
      </c>
      <c r="G87" s="499" t="str">
        <f>IF(D87="","",VLOOKUP(D87,'G-6 Hedgerow Data'!$B$2:$AG$15,3,FALSE))</f>
        <v/>
      </c>
      <c r="H87" s="145"/>
      <c r="I87" s="499" t="str">
        <f>IFERROR(IF(AND(F87="V.Low",OR(H87="Good",H87="Moderate")),"Error ▲",VLOOKUP(H87,'G-1 All Habitats'!$Z$2:$AA$9,2,FALSE)),"")</f>
        <v/>
      </c>
      <c r="J87" s="154"/>
      <c r="K87" s="520" t="str">
        <f>IF(J87="","",IF(VLOOKUP(J87,'G-3 Multipliers'!$L$3:$N$6,2,FALSE)=0,"Spatial Data Missing ⚠",VLOOKUP(J87,'G-3 Multipliers'!$L$3:$N$6,2,FALSE)))</f>
        <v/>
      </c>
      <c r="L87" s="524" t="str">
        <f>IF(J87="","",IF(VLOOKUP(J87,'G-3 Multipliers'!$L$3:$N$6,3,FALSE)=0,"Spatial Data Missing ⚠",VLOOKUP(J87,'G-3 Multipliers'!$L$3:$N$6,3,FALSE)))</f>
        <v/>
      </c>
      <c r="M87" s="506" t="str">
        <f>IF(D87="","",VLOOKUP(D87,'G-6 Hedgerow Data'!$B$1:$AH$15,33,FALSE))</f>
        <v/>
      </c>
      <c r="N87" s="513" t="str">
        <f t="shared" si="9"/>
        <v/>
      </c>
      <c r="O87" s="40"/>
      <c r="P87" s="145"/>
      <c r="Q87" s="157"/>
      <c r="R87" s="507" t="str">
        <f t="shared" si="10"/>
        <v/>
      </c>
      <c r="S87" s="507" t="str">
        <f t="shared" si="11"/>
        <v/>
      </c>
      <c r="T87" s="511" t="str">
        <f t="shared" si="12"/>
        <v/>
      </c>
      <c r="U87" s="515" t="str">
        <f t="shared" si="13"/>
        <v/>
      </c>
      <c r="V87" s="151"/>
      <c r="W87" s="152"/>
      <c r="AB87" s="31" t="str">
        <f>IFERROR(INDEX('G-6 Hedgerow Data'!$BJ$3:$BJ$15,MATCH(D87,'G-6 Hedgerow Data'!$B$3:$B$15,0)),"")</f>
        <v/>
      </c>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row>
    <row r="88" spans="2:37" ht="13.8" x14ac:dyDescent="0.25">
      <c r="B88" s="141">
        <v>79</v>
      </c>
      <c r="C88" s="203"/>
      <c r="D88" s="203"/>
      <c r="E88" s="153"/>
      <c r="F88" s="498" t="str">
        <f>IF(D88="","",VLOOKUP(D88,'G-6 Hedgerow Data'!$B$2:$AG$15,2,FALSE))</f>
        <v/>
      </c>
      <c r="G88" s="499" t="str">
        <f>IF(D88="","",VLOOKUP(D88,'G-6 Hedgerow Data'!$B$2:$AG$15,3,FALSE))</f>
        <v/>
      </c>
      <c r="H88" s="145"/>
      <c r="I88" s="499" t="str">
        <f>IFERROR(IF(AND(F88="V.Low",OR(H88="Good",H88="Moderate")),"Error ▲",VLOOKUP(H88,'G-1 All Habitats'!$Z$2:$AA$9,2,FALSE)),"")</f>
        <v/>
      </c>
      <c r="J88" s="154"/>
      <c r="K88" s="520" t="str">
        <f>IF(J88="","",IF(VLOOKUP(J88,'G-3 Multipliers'!$L$3:$N$6,2,FALSE)=0,"Spatial Data Missing ⚠",VLOOKUP(J88,'G-3 Multipliers'!$L$3:$N$6,2,FALSE)))</f>
        <v/>
      </c>
      <c r="L88" s="524" t="str">
        <f>IF(J88="","",IF(VLOOKUP(J88,'G-3 Multipliers'!$L$3:$N$6,3,FALSE)=0,"Spatial Data Missing ⚠",VLOOKUP(J88,'G-3 Multipliers'!$L$3:$N$6,3,FALSE)))</f>
        <v/>
      </c>
      <c r="M88" s="506" t="str">
        <f>IF(D88="","",VLOOKUP(D88,'G-6 Hedgerow Data'!$B$1:$AH$15,33,FALSE))</f>
        <v/>
      </c>
      <c r="N88" s="513" t="str">
        <f t="shared" si="9"/>
        <v/>
      </c>
      <c r="O88" s="40"/>
      <c r="P88" s="145"/>
      <c r="Q88" s="157"/>
      <c r="R88" s="507" t="str">
        <f t="shared" si="10"/>
        <v/>
      </c>
      <c r="S88" s="507" t="str">
        <f t="shared" si="11"/>
        <v/>
      </c>
      <c r="T88" s="511" t="str">
        <f t="shared" si="12"/>
        <v/>
      </c>
      <c r="U88" s="515" t="str">
        <f t="shared" si="13"/>
        <v/>
      </c>
      <c r="V88" s="151"/>
      <c r="W88" s="152"/>
      <c r="AB88" s="31" t="str">
        <f>IFERROR(INDEX('G-6 Hedgerow Data'!$BJ$3:$BJ$15,MATCH(D88,'G-6 Hedgerow Data'!$B$3:$B$15,0)),"")</f>
        <v/>
      </c>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row>
    <row r="89" spans="2:37" ht="13.8" x14ac:dyDescent="0.25">
      <c r="B89" s="141">
        <v>80</v>
      </c>
      <c r="C89" s="203"/>
      <c r="D89" s="203"/>
      <c r="E89" s="153"/>
      <c r="F89" s="498" t="str">
        <f>IF(D89="","",VLOOKUP(D89,'G-6 Hedgerow Data'!$B$2:$AG$15,2,FALSE))</f>
        <v/>
      </c>
      <c r="G89" s="499" t="str">
        <f>IF(D89="","",VLOOKUP(D89,'G-6 Hedgerow Data'!$B$2:$AG$15,3,FALSE))</f>
        <v/>
      </c>
      <c r="H89" s="145"/>
      <c r="I89" s="499" t="str">
        <f>IFERROR(IF(AND(F89="V.Low",OR(H89="Good",H89="Moderate")),"Error ▲",VLOOKUP(H89,'G-1 All Habitats'!$Z$2:$AA$9,2,FALSE)),"")</f>
        <v/>
      </c>
      <c r="J89" s="154"/>
      <c r="K89" s="520" t="str">
        <f>IF(J89="","",IF(VLOOKUP(J89,'G-3 Multipliers'!$L$3:$N$6,2,FALSE)=0,"Spatial Data Missing ⚠",VLOOKUP(J89,'G-3 Multipliers'!$L$3:$N$6,2,FALSE)))</f>
        <v/>
      </c>
      <c r="L89" s="524" t="str">
        <f>IF(J89="","",IF(VLOOKUP(J89,'G-3 Multipliers'!$L$3:$N$6,3,FALSE)=0,"Spatial Data Missing ⚠",VLOOKUP(J89,'G-3 Multipliers'!$L$3:$N$6,3,FALSE)))</f>
        <v/>
      </c>
      <c r="M89" s="506" t="str">
        <f>IF(D89="","",VLOOKUP(D89,'G-6 Hedgerow Data'!$B$1:$AH$15,33,FALSE))</f>
        <v/>
      </c>
      <c r="N89" s="513" t="str">
        <f t="shared" si="9"/>
        <v/>
      </c>
      <c r="O89" s="40"/>
      <c r="P89" s="145"/>
      <c r="Q89" s="157"/>
      <c r="R89" s="507" t="str">
        <f t="shared" si="10"/>
        <v/>
      </c>
      <c r="S89" s="507" t="str">
        <f t="shared" si="11"/>
        <v/>
      </c>
      <c r="T89" s="511" t="str">
        <f t="shared" si="12"/>
        <v/>
      </c>
      <c r="U89" s="515" t="str">
        <f t="shared" si="13"/>
        <v/>
      </c>
      <c r="V89" s="151"/>
      <c r="W89" s="152"/>
      <c r="AB89" s="31" t="str">
        <f>IFERROR(INDEX('G-6 Hedgerow Data'!$BJ$3:$BJ$15,MATCH(D89,'G-6 Hedgerow Data'!$B$3:$B$15,0)),"")</f>
        <v/>
      </c>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row>
    <row r="90" spans="2:37" ht="13.8" x14ac:dyDescent="0.25">
      <c r="B90" s="141">
        <v>81</v>
      </c>
      <c r="C90" s="203"/>
      <c r="D90" s="203"/>
      <c r="E90" s="153"/>
      <c r="F90" s="498" t="str">
        <f>IF(D90="","",VLOOKUP(D90,'G-6 Hedgerow Data'!$B$2:$AG$15,2,FALSE))</f>
        <v/>
      </c>
      <c r="G90" s="499" t="str">
        <f>IF(D90="","",VLOOKUP(D90,'G-6 Hedgerow Data'!$B$2:$AG$15,3,FALSE))</f>
        <v/>
      </c>
      <c r="H90" s="145"/>
      <c r="I90" s="499" t="str">
        <f>IFERROR(IF(AND(F90="V.Low",OR(H90="Good",H90="Moderate")),"Error ▲",VLOOKUP(H90,'G-1 All Habitats'!$Z$2:$AA$9,2,FALSE)),"")</f>
        <v/>
      </c>
      <c r="J90" s="154"/>
      <c r="K90" s="520" t="str">
        <f>IF(J90="","",IF(VLOOKUP(J90,'G-3 Multipliers'!$L$3:$N$6,2,FALSE)=0,"Spatial Data Missing ⚠",VLOOKUP(J90,'G-3 Multipliers'!$L$3:$N$6,2,FALSE)))</f>
        <v/>
      </c>
      <c r="L90" s="524" t="str">
        <f>IF(J90="","",IF(VLOOKUP(J90,'G-3 Multipliers'!$L$3:$N$6,3,FALSE)=0,"Spatial Data Missing ⚠",VLOOKUP(J90,'G-3 Multipliers'!$L$3:$N$6,3,FALSE)))</f>
        <v/>
      </c>
      <c r="M90" s="506" t="str">
        <f>IF(D90="","",VLOOKUP(D90,'G-6 Hedgerow Data'!$B$1:$AH$15,33,FALSE))</f>
        <v/>
      </c>
      <c r="N90" s="513" t="str">
        <f t="shared" si="9"/>
        <v/>
      </c>
      <c r="O90" s="40"/>
      <c r="P90" s="145"/>
      <c r="Q90" s="157"/>
      <c r="R90" s="507" t="str">
        <f t="shared" si="10"/>
        <v/>
      </c>
      <c r="S90" s="507" t="str">
        <f t="shared" si="11"/>
        <v/>
      </c>
      <c r="T90" s="511" t="str">
        <f t="shared" si="12"/>
        <v/>
      </c>
      <c r="U90" s="515" t="str">
        <f t="shared" si="13"/>
        <v/>
      </c>
      <c r="V90" s="151"/>
      <c r="W90" s="152"/>
      <c r="AB90" s="31" t="str">
        <f>IFERROR(INDEX('G-6 Hedgerow Data'!$BJ$3:$BJ$15,MATCH(D90,'G-6 Hedgerow Data'!$B$3:$B$15,0)),"")</f>
        <v/>
      </c>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row>
    <row r="91" spans="2:37" ht="13.8" x14ac:dyDescent="0.25">
      <c r="B91" s="141">
        <v>82</v>
      </c>
      <c r="C91" s="203"/>
      <c r="D91" s="203"/>
      <c r="E91" s="153"/>
      <c r="F91" s="498" t="str">
        <f>IF(D91="","",VLOOKUP(D91,'G-6 Hedgerow Data'!$B$2:$AG$15,2,FALSE))</f>
        <v/>
      </c>
      <c r="G91" s="499" t="str">
        <f>IF(D91="","",VLOOKUP(D91,'G-6 Hedgerow Data'!$B$2:$AG$15,3,FALSE))</f>
        <v/>
      </c>
      <c r="H91" s="145"/>
      <c r="I91" s="499" t="str">
        <f>IFERROR(IF(AND(F91="V.Low",OR(H91="Good",H91="Moderate")),"Error ▲",VLOOKUP(H91,'G-1 All Habitats'!$Z$2:$AA$9,2,FALSE)),"")</f>
        <v/>
      </c>
      <c r="J91" s="154"/>
      <c r="K91" s="520" t="str">
        <f>IF(J91="","",IF(VLOOKUP(J91,'G-3 Multipliers'!$L$3:$N$6,2,FALSE)=0,"Spatial Data Missing ⚠",VLOOKUP(J91,'G-3 Multipliers'!$L$3:$N$6,2,FALSE)))</f>
        <v/>
      </c>
      <c r="L91" s="524" t="str">
        <f>IF(J91="","",IF(VLOOKUP(J91,'G-3 Multipliers'!$L$3:$N$6,3,FALSE)=0,"Spatial Data Missing ⚠",VLOOKUP(J91,'G-3 Multipliers'!$L$3:$N$6,3,FALSE)))</f>
        <v/>
      </c>
      <c r="M91" s="506" t="str">
        <f>IF(D91="","",VLOOKUP(D91,'G-6 Hedgerow Data'!$B$1:$AH$15,33,FALSE))</f>
        <v/>
      </c>
      <c r="N91" s="513" t="str">
        <f t="shared" si="9"/>
        <v/>
      </c>
      <c r="O91" s="40"/>
      <c r="P91" s="145"/>
      <c r="Q91" s="157"/>
      <c r="R91" s="507" t="str">
        <f t="shared" si="10"/>
        <v/>
      </c>
      <c r="S91" s="507" t="str">
        <f t="shared" si="11"/>
        <v/>
      </c>
      <c r="T91" s="511" t="str">
        <f t="shared" si="12"/>
        <v/>
      </c>
      <c r="U91" s="515" t="str">
        <f t="shared" si="13"/>
        <v/>
      </c>
      <c r="V91" s="151"/>
      <c r="W91" s="152"/>
      <c r="AB91" s="31" t="str">
        <f>IFERROR(INDEX('G-6 Hedgerow Data'!$BJ$3:$BJ$15,MATCH(D91,'G-6 Hedgerow Data'!$B$3:$B$15,0)),"")</f>
        <v/>
      </c>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row>
    <row r="92" spans="2:37" ht="13.8" x14ac:dyDescent="0.25">
      <c r="B92" s="141">
        <v>83</v>
      </c>
      <c r="C92" s="203"/>
      <c r="D92" s="203"/>
      <c r="E92" s="153"/>
      <c r="F92" s="498" t="str">
        <f>IF(D92="","",VLOOKUP(D92,'G-6 Hedgerow Data'!$B$2:$AG$15,2,FALSE))</f>
        <v/>
      </c>
      <c r="G92" s="499" t="str">
        <f>IF(D92="","",VLOOKUP(D92,'G-6 Hedgerow Data'!$B$2:$AG$15,3,FALSE))</f>
        <v/>
      </c>
      <c r="H92" s="145"/>
      <c r="I92" s="499" t="str">
        <f>IFERROR(IF(AND(F92="V.Low",OR(H92="Good",H92="Moderate")),"Error ▲",VLOOKUP(H92,'G-1 All Habitats'!$Z$2:$AA$9,2,FALSE)),"")</f>
        <v/>
      </c>
      <c r="J92" s="154"/>
      <c r="K92" s="520" t="str">
        <f>IF(J92="","",IF(VLOOKUP(J92,'G-3 Multipliers'!$L$3:$N$6,2,FALSE)=0,"Spatial Data Missing ⚠",VLOOKUP(J92,'G-3 Multipliers'!$L$3:$N$6,2,FALSE)))</f>
        <v/>
      </c>
      <c r="L92" s="524" t="str">
        <f>IF(J92="","",IF(VLOOKUP(J92,'G-3 Multipliers'!$L$3:$N$6,3,FALSE)=0,"Spatial Data Missing ⚠",VLOOKUP(J92,'G-3 Multipliers'!$L$3:$N$6,3,FALSE)))</f>
        <v/>
      </c>
      <c r="M92" s="506" t="str">
        <f>IF(D92="","",VLOOKUP(D92,'G-6 Hedgerow Data'!$B$1:$AH$15,33,FALSE))</f>
        <v/>
      </c>
      <c r="N92" s="513" t="str">
        <f t="shared" si="9"/>
        <v/>
      </c>
      <c r="O92" s="40"/>
      <c r="P92" s="145"/>
      <c r="Q92" s="157"/>
      <c r="R92" s="507" t="str">
        <f t="shared" si="10"/>
        <v/>
      </c>
      <c r="S92" s="507" t="str">
        <f t="shared" si="11"/>
        <v/>
      </c>
      <c r="T92" s="511" t="str">
        <f t="shared" si="12"/>
        <v/>
      </c>
      <c r="U92" s="515" t="str">
        <f t="shared" si="13"/>
        <v/>
      </c>
      <c r="V92" s="151"/>
      <c r="W92" s="152"/>
      <c r="AB92" s="31" t="str">
        <f>IFERROR(INDEX('G-6 Hedgerow Data'!$BJ$3:$BJ$15,MATCH(D92,'G-6 Hedgerow Data'!$B$3:$B$15,0)),"")</f>
        <v/>
      </c>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row>
    <row r="93" spans="2:37" ht="13.8" x14ac:dyDescent="0.25">
      <c r="B93" s="141">
        <v>84</v>
      </c>
      <c r="C93" s="203"/>
      <c r="D93" s="203"/>
      <c r="E93" s="153"/>
      <c r="F93" s="498" t="str">
        <f>IF(D93="","",VLOOKUP(D93,'G-6 Hedgerow Data'!$B$2:$AG$15,2,FALSE))</f>
        <v/>
      </c>
      <c r="G93" s="499" t="str">
        <f>IF(D93="","",VLOOKUP(D93,'G-6 Hedgerow Data'!$B$2:$AG$15,3,FALSE))</f>
        <v/>
      </c>
      <c r="H93" s="145"/>
      <c r="I93" s="499" t="str">
        <f>IFERROR(IF(AND(F93="V.Low",OR(H93="Good",H93="Moderate")),"Error ▲",VLOOKUP(H93,'G-1 All Habitats'!$Z$2:$AA$9,2,FALSE)),"")</f>
        <v/>
      </c>
      <c r="J93" s="154"/>
      <c r="K93" s="520" t="str">
        <f>IF(J93="","",IF(VLOOKUP(J93,'G-3 Multipliers'!$L$3:$N$6,2,FALSE)=0,"Spatial Data Missing ⚠",VLOOKUP(J93,'G-3 Multipliers'!$L$3:$N$6,2,FALSE)))</f>
        <v/>
      </c>
      <c r="L93" s="524" t="str">
        <f>IF(J93="","",IF(VLOOKUP(J93,'G-3 Multipliers'!$L$3:$N$6,3,FALSE)=0,"Spatial Data Missing ⚠",VLOOKUP(J93,'G-3 Multipliers'!$L$3:$N$6,3,FALSE)))</f>
        <v/>
      </c>
      <c r="M93" s="506" t="str">
        <f>IF(D93="","",VLOOKUP(D93,'G-6 Hedgerow Data'!$B$1:$AH$15,33,FALSE))</f>
        <v/>
      </c>
      <c r="N93" s="513" t="str">
        <f t="shared" si="9"/>
        <v/>
      </c>
      <c r="O93" s="40"/>
      <c r="P93" s="145"/>
      <c r="Q93" s="157"/>
      <c r="R93" s="507" t="str">
        <f t="shared" si="10"/>
        <v/>
      </c>
      <c r="S93" s="507" t="str">
        <f t="shared" si="11"/>
        <v/>
      </c>
      <c r="T93" s="511" t="str">
        <f t="shared" si="12"/>
        <v/>
      </c>
      <c r="U93" s="515" t="str">
        <f t="shared" si="13"/>
        <v/>
      </c>
      <c r="V93" s="151"/>
      <c r="W93" s="152"/>
      <c r="AB93" s="31" t="str">
        <f>IFERROR(INDEX('G-6 Hedgerow Data'!$BJ$3:$BJ$15,MATCH(D93,'G-6 Hedgerow Data'!$B$3:$B$15,0)),"")</f>
        <v/>
      </c>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row>
    <row r="94" spans="2:37" ht="13.8" x14ac:dyDescent="0.25">
      <c r="B94" s="141">
        <v>85</v>
      </c>
      <c r="C94" s="203"/>
      <c r="D94" s="203"/>
      <c r="E94" s="153"/>
      <c r="F94" s="498" t="str">
        <f>IF(D94="","",VLOOKUP(D94,'G-6 Hedgerow Data'!$B$2:$AG$15,2,FALSE))</f>
        <v/>
      </c>
      <c r="G94" s="499" t="str">
        <f>IF(D94="","",VLOOKUP(D94,'G-6 Hedgerow Data'!$B$2:$AG$15,3,FALSE))</f>
        <v/>
      </c>
      <c r="H94" s="145"/>
      <c r="I94" s="499" t="str">
        <f>IFERROR(IF(AND(F94="V.Low",OR(H94="Good",H94="Moderate")),"Error ▲",VLOOKUP(H94,'G-1 All Habitats'!$Z$2:$AA$9,2,FALSE)),"")</f>
        <v/>
      </c>
      <c r="J94" s="154"/>
      <c r="K94" s="520" t="str">
        <f>IF(J94="","",IF(VLOOKUP(J94,'G-3 Multipliers'!$L$3:$N$6,2,FALSE)=0,"Spatial Data Missing ⚠",VLOOKUP(J94,'G-3 Multipliers'!$L$3:$N$6,2,FALSE)))</f>
        <v/>
      </c>
      <c r="L94" s="524" t="str">
        <f>IF(J94="","",IF(VLOOKUP(J94,'G-3 Multipliers'!$L$3:$N$6,3,FALSE)=0,"Spatial Data Missing ⚠",VLOOKUP(J94,'G-3 Multipliers'!$L$3:$N$6,3,FALSE)))</f>
        <v/>
      </c>
      <c r="M94" s="506" t="str">
        <f>IF(D94="","",VLOOKUP(D94,'G-6 Hedgerow Data'!$B$1:$AH$15,33,FALSE))</f>
        <v/>
      </c>
      <c r="N94" s="513" t="str">
        <f t="shared" si="9"/>
        <v/>
      </c>
      <c r="O94" s="40"/>
      <c r="P94" s="145"/>
      <c r="Q94" s="157"/>
      <c r="R94" s="507" t="str">
        <f t="shared" si="10"/>
        <v/>
      </c>
      <c r="S94" s="507" t="str">
        <f t="shared" si="11"/>
        <v/>
      </c>
      <c r="T94" s="511" t="str">
        <f t="shared" si="12"/>
        <v/>
      </c>
      <c r="U94" s="515" t="str">
        <f t="shared" si="13"/>
        <v/>
      </c>
      <c r="V94" s="151"/>
      <c r="W94" s="152"/>
      <c r="AB94" s="31" t="str">
        <f>IFERROR(INDEX('G-6 Hedgerow Data'!$BJ$3:$BJ$15,MATCH(D94,'G-6 Hedgerow Data'!$B$3:$B$15,0)),"")</f>
        <v/>
      </c>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row>
    <row r="95" spans="2:37" ht="13.8" x14ac:dyDescent="0.25">
      <c r="B95" s="141">
        <v>86</v>
      </c>
      <c r="C95" s="203"/>
      <c r="D95" s="203"/>
      <c r="E95" s="153"/>
      <c r="F95" s="498" t="str">
        <f>IF(D95="","",VLOOKUP(D95,'G-6 Hedgerow Data'!$B$2:$AG$15,2,FALSE))</f>
        <v/>
      </c>
      <c r="G95" s="499" t="str">
        <f>IF(D95="","",VLOOKUP(D95,'G-6 Hedgerow Data'!$B$2:$AG$15,3,FALSE))</f>
        <v/>
      </c>
      <c r="H95" s="145"/>
      <c r="I95" s="499" t="str">
        <f>IFERROR(IF(AND(F95="V.Low",OR(H95="Good",H95="Moderate")),"Error ▲",VLOOKUP(H95,'G-1 All Habitats'!$Z$2:$AA$9,2,FALSE)),"")</f>
        <v/>
      </c>
      <c r="J95" s="154"/>
      <c r="K95" s="520" t="str">
        <f>IF(J95="","",IF(VLOOKUP(J95,'G-3 Multipliers'!$L$3:$N$6,2,FALSE)=0,"Spatial Data Missing ⚠",VLOOKUP(J95,'G-3 Multipliers'!$L$3:$N$6,2,FALSE)))</f>
        <v/>
      </c>
      <c r="L95" s="524" t="str">
        <f>IF(J95="","",IF(VLOOKUP(J95,'G-3 Multipliers'!$L$3:$N$6,3,FALSE)=0,"Spatial Data Missing ⚠",VLOOKUP(J95,'G-3 Multipliers'!$L$3:$N$6,3,FALSE)))</f>
        <v/>
      </c>
      <c r="M95" s="506" t="str">
        <f>IF(D95="","",VLOOKUP(D95,'G-6 Hedgerow Data'!$B$1:$AH$15,33,FALSE))</f>
        <v/>
      </c>
      <c r="N95" s="513" t="str">
        <f t="shared" si="9"/>
        <v/>
      </c>
      <c r="O95" s="40"/>
      <c r="P95" s="145"/>
      <c r="Q95" s="157"/>
      <c r="R95" s="507" t="str">
        <f t="shared" si="10"/>
        <v/>
      </c>
      <c r="S95" s="507" t="str">
        <f t="shared" si="11"/>
        <v/>
      </c>
      <c r="T95" s="511" t="str">
        <f t="shared" si="12"/>
        <v/>
      </c>
      <c r="U95" s="515" t="str">
        <f t="shared" si="13"/>
        <v/>
      </c>
      <c r="V95" s="151"/>
      <c r="W95" s="152"/>
      <c r="AB95" s="31" t="str">
        <f>IFERROR(INDEX('G-6 Hedgerow Data'!$BJ$3:$BJ$15,MATCH(D95,'G-6 Hedgerow Data'!$B$3:$B$15,0)),"")</f>
        <v/>
      </c>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row>
    <row r="96" spans="2:37" ht="13.8" x14ac:dyDescent="0.25">
      <c r="B96" s="141">
        <v>87</v>
      </c>
      <c r="C96" s="203"/>
      <c r="D96" s="203"/>
      <c r="E96" s="153"/>
      <c r="F96" s="498" t="str">
        <f>IF(D96="","",VLOOKUP(D96,'G-6 Hedgerow Data'!$B$2:$AG$15,2,FALSE))</f>
        <v/>
      </c>
      <c r="G96" s="499" t="str">
        <f>IF(D96="","",VLOOKUP(D96,'G-6 Hedgerow Data'!$B$2:$AG$15,3,FALSE))</f>
        <v/>
      </c>
      <c r="H96" s="145"/>
      <c r="I96" s="499" t="str">
        <f>IFERROR(IF(AND(F96="V.Low",OR(H96="Good",H96="Moderate")),"Error ▲",VLOOKUP(H96,'G-1 All Habitats'!$Z$2:$AA$9,2,FALSE)),"")</f>
        <v/>
      </c>
      <c r="J96" s="154"/>
      <c r="K96" s="520" t="str">
        <f>IF(J96="","",IF(VLOOKUP(J96,'G-3 Multipliers'!$L$3:$N$6,2,FALSE)=0,"Spatial Data Missing ⚠",VLOOKUP(J96,'G-3 Multipliers'!$L$3:$N$6,2,FALSE)))</f>
        <v/>
      </c>
      <c r="L96" s="524" t="str">
        <f>IF(J96="","",IF(VLOOKUP(J96,'G-3 Multipliers'!$L$3:$N$6,3,FALSE)=0,"Spatial Data Missing ⚠",VLOOKUP(J96,'G-3 Multipliers'!$L$3:$N$6,3,FALSE)))</f>
        <v/>
      </c>
      <c r="M96" s="506" t="str">
        <f>IF(D96="","",VLOOKUP(D96,'G-6 Hedgerow Data'!$B$1:$AH$15,33,FALSE))</f>
        <v/>
      </c>
      <c r="N96" s="513" t="str">
        <f t="shared" si="9"/>
        <v/>
      </c>
      <c r="O96" s="40"/>
      <c r="P96" s="145"/>
      <c r="Q96" s="157"/>
      <c r="R96" s="507" t="str">
        <f t="shared" si="10"/>
        <v/>
      </c>
      <c r="S96" s="507" t="str">
        <f t="shared" si="11"/>
        <v/>
      </c>
      <c r="T96" s="511" t="str">
        <f t="shared" si="12"/>
        <v/>
      </c>
      <c r="U96" s="515" t="str">
        <f t="shared" si="13"/>
        <v/>
      </c>
      <c r="V96" s="151"/>
      <c r="W96" s="152"/>
      <c r="AB96" s="31" t="str">
        <f>IFERROR(INDEX('G-6 Hedgerow Data'!$BJ$3:$BJ$15,MATCH(D96,'G-6 Hedgerow Data'!$B$3:$B$15,0)),"")</f>
        <v/>
      </c>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row>
    <row r="97" spans="2:37" ht="13.8" x14ac:dyDescent="0.25">
      <c r="B97" s="141">
        <v>88</v>
      </c>
      <c r="C97" s="203"/>
      <c r="D97" s="203"/>
      <c r="E97" s="153"/>
      <c r="F97" s="498" t="str">
        <f>IF(D97="","",VLOOKUP(D97,'G-6 Hedgerow Data'!$B$2:$AG$15,2,FALSE))</f>
        <v/>
      </c>
      <c r="G97" s="499" t="str">
        <f>IF(D97="","",VLOOKUP(D97,'G-6 Hedgerow Data'!$B$2:$AG$15,3,FALSE))</f>
        <v/>
      </c>
      <c r="H97" s="145"/>
      <c r="I97" s="499" t="str">
        <f>IFERROR(IF(AND(F97="V.Low",OR(H97="Good",H97="Moderate")),"Error ▲",VLOOKUP(H97,'G-1 All Habitats'!$Z$2:$AA$9,2,FALSE)),"")</f>
        <v/>
      </c>
      <c r="J97" s="154"/>
      <c r="K97" s="520" t="str">
        <f>IF(J97="","",IF(VLOOKUP(J97,'G-3 Multipliers'!$L$3:$N$6,2,FALSE)=0,"Spatial Data Missing ⚠",VLOOKUP(J97,'G-3 Multipliers'!$L$3:$N$6,2,FALSE)))</f>
        <v/>
      </c>
      <c r="L97" s="524" t="str">
        <f>IF(J97="","",IF(VLOOKUP(J97,'G-3 Multipliers'!$L$3:$N$6,3,FALSE)=0,"Spatial Data Missing ⚠",VLOOKUP(J97,'G-3 Multipliers'!$L$3:$N$6,3,FALSE)))</f>
        <v/>
      </c>
      <c r="M97" s="506" t="str">
        <f>IF(D97="","",VLOOKUP(D97,'G-6 Hedgerow Data'!$B$1:$AH$15,33,FALSE))</f>
        <v/>
      </c>
      <c r="N97" s="513" t="str">
        <f t="shared" si="9"/>
        <v/>
      </c>
      <c r="O97" s="40"/>
      <c r="P97" s="145"/>
      <c r="Q97" s="157"/>
      <c r="R97" s="507" t="str">
        <f t="shared" si="10"/>
        <v/>
      </c>
      <c r="S97" s="507" t="str">
        <f t="shared" si="11"/>
        <v/>
      </c>
      <c r="T97" s="511" t="str">
        <f t="shared" si="12"/>
        <v/>
      </c>
      <c r="U97" s="515" t="str">
        <f t="shared" si="13"/>
        <v/>
      </c>
      <c r="V97" s="151"/>
      <c r="W97" s="152"/>
      <c r="AB97" s="31" t="str">
        <f>IFERROR(INDEX('G-6 Hedgerow Data'!$BJ$3:$BJ$15,MATCH(D97,'G-6 Hedgerow Data'!$B$3:$B$15,0)),"")</f>
        <v/>
      </c>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row>
    <row r="98" spans="2:37" ht="13.8" x14ac:dyDescent="0.25">
      <c r="B98" s="141">
        <v>89</v>
      </c>
      <c r="C98" s="203"/>
      <c r="D98" s="203"/>
      <c r="E98" s="153"/>
      <c r="F98" s="498" t="str">
        <f>IF(D98="","",VLOOKUP(D98,'G-6 Hedgerow Data'!$B$2:$AG$15,2,FALSE))</f>
        <v/>
      </c>
      <c r="G98" s="499" t="str">
        <f>IF(D98="","",VLOOKUP(D98,'G-6 Hedgerow Data'!$B$2:$AG$15,3,FALSE))</f>
        <v/>
      </c>
      <c r="H98" s="145"/>
      <c r="I98" s="499" t="str">
        <f>IFERROR(IF(AND(F98="V.Low",OR(H98="Good",H98="Moderate")),"Error ▲",VLOOKUP(H98,'G-1 All Habitats'!$Z$2:$AA$9,2,FALSE)),"")</f>
        <v/>
      </c>
      <c r="J98" s="154"/>
      <c r="K98" s="520" t="str">
        <f>IF(J98="","",IF(VLOOKUP(J98,'G-3 Multipliers'!$L$3:$N$6,2,FALSE)=0,"Spatial Data Missing ⚠",VLOOKUP(J98,'G-3 Multipliers'!$L$3:$N$6,2,FALSE)))</f>
        <v/>
      </c>
      <c r="L98" s="524" t="str">
        <f>IF(J98="","",IF(VLOOKUP(J98,'G-3 Multipliers'!$L$3:$N$6,3,FALSE)=0,"Spatial Data Missing ⚠",VLOOKUP(J98,'G-3 Multipliers'!$L$3:$N$6,3,FALSE)))</f>
        <v/>
      </c>
      <c r="M98" s="506" t="str">
        <f>IF(D98="","",VLOOKUP(D98,'G-6 Hedgerow Data'!$B$1:$AH$15,33,FALSE))</f>
        <v/>
      </c>
      <c r="N98" s="513" t="str">
        <f t="shared" si="9"/>
        <v/>
      </c>
      <c r="O98" s="40"/>
      <c r="P98" s="145"/>
      <c r="Q98" s="157"/>
      <c r="R98" s="507" t="str">
        <f t="shared" si="10"/>
        <v/>
      </c>
      <c r="S98" s="507" t="str">
        <f t="shared" si="11"/>
        <v/>
      </c>
      <c r="T98" s="511" t="str">
        <f t="shared" si="12"/>
        <v/>
      </c>
      <c r="U98" s="515" t="str">
        <f t="shared" si="13"/>
        <v/>
      </c>
      <c r="V98" s="151"/>
      <c r="W98" s="152"/>
      <c r="AB98" s="31" t="str">
        <f>IFERROR(INDEX('G-6 Hedgerow Data'!$BJ$3:$BJ$15,MATCH(D98,'G-6 Hedgerow Data'!$B$3:$B$15,0)),"")</f>
        <v/>
      </c>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row>
    <row r="99" spans="2:37" ht="13.8" x14ac:dyDescent="0.25">
      <c r="B99" s="141">
        <v>90</v>
      </c>
      <c r="C99" s="203"/>
      <c r="D99" s="203"/>
      <c r="E99" s="153"/>
      <c r="F99" s="498" t="str">
        <f>IF(D99="","",VLOOKUP(D99,'G-6 Hedgerow Data'!$B$2:$AG$15,2,FALSE))</f>
        <v/>
      </c>
      <c r="G99" s="499" t="str">
        <f>IF(D99="","",VLOOKUP(D99,'G-6 Hedgerow Data'!$B$2:$AG$15,3,FALSE))</f>
        <v/>
      </c>
      <c r="H99" s="145"/>
      <c r="I99" s="499" t="str">
        <f>IFERROR(IF(AND(F99="V.Low",OR(H99="Good",H99="Moderate")),"Error ▲",VLOOKUP(H99,'G-1 All Habitats'!$Z$2:$AA$9,2,FALSE)),"")</f>
        <v/>
      </c>
      <c r="J99" s="154"/>
      <c r="K99" s="520" t="str">
        <f>IF(J99="","",IF(VLOOKUP(J99,'G-3 Multipliers'!$L$3:$N$6,2,FALSE)=0,"Spatial Data Missing ⚠",VLOOKUP(J99,'G-3 Multipliers'!$L$3:$N$6,2,FALSE)))</f>
        <v/>
      </c>
      <c r="L99" s="524" t="str">
        <f>IF(J99="","",IF(VLOOKUP(J99,'G-3 Multipliers'!$L$3:$N$6,3,FALSE)=0,"Spatial Data Missing ⚠",VLOOKUP(J99,'G-3 Multipliers'!$L$3:$N$6,3,FALSE)))</f>
        <v/>
      </c>
      <c r="M99" s="506" t="str">
        <f>IF(D99="","",VLOOKUP(D99,'G-6 Hedgerow Data'!$B$1:$AH$15,33,FALSE))</f>
        <v/>
      </c>
      <c r="N99" s="513" t="str">
        <f t="shared" si="9"/>
        <v/>
      </c>
      <c r="O99" s="40"/>
      <c r="P99" s="145"/>
      <c r="Q99" s="157"/>
      <c r="R99" s="507" t="str">
        <f t="shared" si="10"/>
        <v/>
      </c>
      <c r="S99" s="507" t="str">
        <f t="shared" si="11"/>
        <v/>
      </c>
      <c r="T99" s="511" t="str">
        <f t="shared" si="12"/>
        <v/>
      </c>
      <c r="U99" s="515" t="str">
        <f t="shared" si="13"/>
        <v/>
      </c>
      <c r="V99" s="151"/>
      <c r="W99" s="152"/>
      <c r="AB99" s="31" t="str">
        <f>IFERROR(INDEX('G-6 Hedgerow Data'!$BJ$3:$BJ$15,MATCH(D99,'G-6 Hedgerow Data'!$B$3:$B$15,0)),"")</f>
        <v/>
      </c>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row>
    <row r="100" spans="2:37" ht="13.8" x14ac:dyDescent="0.25">
      <c r="B100" s="141">
        <v>91</v>
      </c>
      <c r="C100" s="203"/>
      <c r="D100" s="203"/>
      <c r="E100" s="153"/>
      <c r="F100" s="498" t="str">
        <f>IF(D100="","",VLOOKUP(D100,'G-6 Hedgerow Data'!$B$2:$AG$15,2,FALSE))</f>
        <v/>
      </c>
      <c r="G100" s="499" t="str">
        <f>IF(D100="","",VLOOKUP(D100,'G-6 Hedgerow Data'!$B$2:$AG$15,3,FALSE))</f>
        <v/>
      </c>
      <c r="H100" s="145"/>
      <c r="I100" s="499" t="str">
        <f>IFERROR(IF(AND(F100="V.Low",OR(H100="Good",H100="Moderate")),"Error ▲",VLOOKUP(H100,'G-1 All Habitats'!$Z$2:$AA$9,2,FALSE)),"")</f>
        <v/>
      </c>
      <c r="J100" s="154"/>
      <c r="K100" s="520" t="str">
        <f>IF(J100="","",IF(VLOOKUP(J100,'G-3 Multipliers'!$L$3:$N$6,2,FALSE)=0,"Spatial Data Missing ⚠",VLOOKUP(J100,'G-3 Multipliers'!$L$3:$N$6,2,FALSE)))</f>
        <v/>
      </c>
      <c r="L100" s="524" t="str">
        <f>IF(J100="","",IF(VLOOKUP(J100,'G-3 Multipliers'!$L$3:$N$6,3,FALSE)=0,"Spatial Data Missing ⚠",VLOOKUP(J100,'G-3 Multipliers'!$L$3:$N$6,3,FALSE)))</f>
        <v/>
      </c>
      <c r="M100" s="506" t="str">
        <f>IF(D100="","",VLOOKUP(D100,'G-6 Hedgerow Data'!$B$1:$AH$15,33,FALSE))</f>
        <v/>
      </c>
      <c r="N100" s="513" t="str">
        <f t="shared" si="9"/>
        <v/>
      </c>
      <c r="O100" s="40"/>
      <c r="P100" s="145"/>
      <c r="Q100" s="157"/>
      <c r="R100" s="507" t="str">
        <f t="shared" si="10"/>
        <v/>
      </c>
      <c r="S100" s="507" t="str">
        <f t="shared" si="11"/>
        <v/>
      </c>
      <c r="T100" s="511" t="str">
        <f t="shared" si="12"/>
        <v/>
      </c>
      <c r="U100" s="515" t="str">
        <f t="shared" si="13"/>
        <v/>
      </c>
      <c r="V100" s="151"/>
      <c r="W100" s="152"/>
      <c r="AB100" s="31" t="str">
        <f>IFERROR(INDEX('G-6 Hedgerow Data'!$BJ$3:$BJ$15,MATCH(D100,'G-6 Hedgerow Data'!$B$3:$B$15,0)),"")</f>
        <v/>
      </c>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row>
    <row r="101" spans="2:37" ht="13.8" x14ac:dyDescent="0.25">
      <c r="B101" s="141">
        <v>92</v>
      </c>
      <c r="C101" s="203"/>
      <c r="D101" s="203"/>
      <c r="E101" s="153"/>
      <c r="F101" s="498" t="str">
        <f>IF(D101="","",VLOOKUP(D101,'G-6 Hedgerow Data'!$B$2:$AG$15,2,FALSE))</f>
        <v/>
      </c>
      <c r="G101" s="499" t="str">
        <f>IF(D101="","",VLOOKUP(D101,'G-6 Hedgerow Data'!$B$2:$AG$15,3,FALSE))</f>
        <v/>
      </c>
      <c r="H101" s="145"/>
      <c r="I101" s="499" t="str">
        <f>IFERROR(IF(AND(F101="V.Low",OR(H101="Good",H101="Moderate")),"Error ▲",VLOOKUP(H101,'G-1 All Habitats'!$Z$2:$AA$9,2,FALSE)),"")</f>
        <v/>
      </c>
      <c r="J101" s="154"/>
      <c r="K101" s="520" t="str">
        <f>IF(J101="","",IF(VLOOKUP(J101,'G-3 Multipliers'!$L$3:$N$6,2,FALSE)=0,"Spatial Data Missing ⚠",VLOOKUP(J101,'G-3 Multipliers'!$L$3:$N$6,2,FALSE)))</f>
        <v/>
      </c>
      <c r="L101" s="524" t="str">
        <f>IF(J101="","",IF(VLOOKUP(J101,'G-3 Multipliers'!$L$3:$N$6,3,FALSE)=0,"Spatial Data Missing ⚠",VLOOKUP(J101,'G-3 Multipliers'!$L$3:$N$6,3,FALSE)))</f>
        <v/>
      </c>
      <c r="M101" s="506" t="str">
        <f>IF(D101="","",VLOOKUP(D101,'G-6 Hedgerow Data'!$B$1:$AH$15,33,FALSE))</f>
        <v/>
      </c>
      <c r="N101" s="513" t="str">
        <f t="shared" si="9"/>
        <v/>
      </c>
      <c r="O101" s="40"/>
      <c r="P101" s="145"/>
      <c r="Q101" s="157"/>
      <c r="R101" s="507" t="str">
        <f t="shared" si="10"/>
        <v/>
      </c>
      <c r="S101" s="507" t="str">
        <f t="shared" si="11"/>
        <v/>
      </c>
      <c r="T101" s="511" t="str">
        <f t="shared" si="12"/>
        <v/>
      </c>
      <c r="U101" s="515" t="str">
        <f t="shared" si="13"/>
        <v/>
      </c>
      <c r="V101" s="151"/>
      <c r="W101" s="152"/>
      <c r="AB101" s="31" t="str">
        <f>IFERROR(INDEX('G-6 Hedgerow Data'!$BJ$3:$BJ$15,MATCH(D101,'G-6 Hedgerow Data'!$B$3:$B$15,0)),"")</f>
        <v/>
      </c>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row>
    <row r="102" spans="2:37" ht="13.8" x14ac:dyDescent="0.25">
      <c r="B102" s="141">
        <v>93</v>
      </c>
      <c r="C102" s="203"/>
      <c r="D102" s="203"/>
      <c r="E102" s="153"/>
      <c r="F102" s="498" t="str">
        <f>IF(D102="","",VLOOKUP(D102,'G-6 Hedgerow Data'!$B$2:$AG$15,2,FALSE))</f>
        <v/>
      </c>
      <c r="G102" s="499" t="str">
        <f>IF(D102="","",VLOOKUP(D102,'G-6 Hedgerow Data'!$B$2:$AG$15,3,FALSE))</f>
        <v/>
      </c>
      <c r="H102" s="145"/>
      <c r="I102" s="499" t="str">
        <f>IFERROR(IF(AND(F102="V.Low",OR(H102="Good",H102="Moderate")),"Error ▲",VLOOKUP(H102,'G-1 All Habitats'!$Z$2:$AA$9,2,FALSE)),"")</f>
        <v/>
      </c>
      <c r="J102" s="154"/>
      <c r="K102" s="520" t="str">
        <f>IF(J102="","",IF(VLOOKUP(J102,'G-3 Multipliers'!$L$3:$N$6,2,FALSE)=0,"Spatial Data Missing ⚠",VLOOKUP(J102,'G-3 Multipliers'!$L$3:$N$6,2,FALSE)))</f>
        <v/>
      </c>
      <c r="L102" s="524" t="str">
        <f>IF(J102="","",IF(VLOOKUP(J102,'G-3 Multipliers'!$L$3:$N$6,3,FALSE)=0,"Spatial Data Missing ⚠",VLOOKUP(J102,'G-3 Multipliers'!$L$3:$N$6,3,FALSE)))</f>
        <v/>
      </c>
      <c r="M102" s="506" t="str">
        <f>IF(D102="","",VLOOKUP(D102,'G-6 Hedgerow Data'!$B$1:$AH$15,33,FALSE))</f>
        <v/>
      </c>
      <c r="N102" s="513" t="str">
        <f t="shared" si="9"/>
        <v/>
      </c>
      <c r="O102" s="40"/>
      <c r="P102" s="145"/>
      <c r="Q102" s="157"/>
      <c r="R102" s="507" t="str">
        <f t="shared" si="10"/>
        <v/>
      </c>
      <c r="S102" s="507" t="str">
        <f t="shared" si="11"/>
        <v/>
      </c>
      <c r="T102" s="511" t="str">
        <f t="shared" si="12"/>
        <v/>
      </c>
      <c r="U102" s="515" t="str">
        <f t="shared" si="13"/>
        <v/>
      </c>
      <c r="V102" s="151"/>
      <c r="W102" s="152"/>
      <c r="AB102" s="31" t="str">
        <f>IFERROR(INDEX('G-6 Hedgerow Data'!$BJ$3:$BJ$15,MATCH(D102,'G-6 Hedgerow Data'!$B$3:$B$15,0)),"")</f>
        <v/>
      </c>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row>
    <row r="103" spans="2:37" ht="13.8" x14ac:dyDescent="0.25">
      <c r="B103" s="141">
        <v>94</v>
      </c>
      <c r="C103" s="203"/>
      <c r="D103" s="203"/>
      <c r="E103" s="153"/>
      <c r="F103" s="498" t="str">
        <f>IF(D103="","",VLOOKUP(D103,'G-6 Hedgerow Data'!$B$2:$AG$15,2,FALSE))</f>
        <v/>
      </c>
      <c r="G103" s="499" t="str">
        <f>IF(D103="","",VLOOKUP(D103,'G-6 Hedgerow Data'!$B$2:$AG$15,3,FALSE))</f>
        <v/>
      </c>
      <c r="H103" s="145"/>
      <c r="I103" s="499" t="str">
        <f>IFERROR(IF(AND(F103="V.Low",OR(H103="Good",H103="Moderate")),"Error ▲",VLOOKUP(H103,'G-1 All Habitats'!$Z$2:$AA$9,2,FALSE)),"")</f>
        <v/>
      </c>
      <c r="J103" s="154"/>
      <c r="K103" s="520" t="str">
        <f>IF(J103="","",IF(VLOOKUP(J103,'G-3 Multipliers'!$L$3:$N$6,2,FALSE)=0,"Spatial Data Missing ⚠",VLOOKUP(J103,'G-3 Multipliers'!$L$3:$N$6,2,FALSE)))</f>
        <v/>
      </c>
      <c r="L103" s="524" t="str">
        <f>IF(J103="","",IF(VLOOKUP(J103,'G-3 Multipliers'!$L$3:$N$6,3,FALSE)=0,"Spatial Data Missing ⚠",VLOOKUP(J103,'G-3 Multipliers'!$L$3:$N$6,3,FALSE)))</f>
        <v/>
      </c>
      <c r="M103" s="506" t="str">
        <f>IF(D103="","",VLOOKUP(D103,'G-6 Hedgerow Data'!$B$1:$AH$15,33,FALSE))</f>
        <v/>
      </c>
      <c r="N103" s="513" t="str">
        <f t="shared" si="9"/>
        <v/>
      </c>
      <c r="O103" s="40"/>
      <c r="P103" s="145"/>
      <c r="Q103" s="157"/>
      <c r="R103" s="507" t="str">
        <f t="shared" si="10"/>
        <v/>
      </c>
      <c r="S103" s="507" t="str">
        <f t="shared" si="11"/>
        <v/>
      </c>
      <c r="T103" s="511" t="str">
        <f t="shared" si="12"/>
        <v/>
      </c>
      <c r="U103" s="515" t="str">
        <f t="shared" si="13"/>
        <v/>
      </c>
      <c r="V103" s="151"/>
      <c r="W103" s="152"/>
      <c r="AB103" s="31" t="str">
        <f>IFERROR(INDEX('G-6 Hedgerow Data'!$BJ$3:$BJ$15,MATCH(D103,'G-6 Hedgerow Data'!$B$3:$B$15,0)),"")</f>
        <v/>
      </c>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row>
    <row r="104" spans="2:37" ht="13.8" x14ac:dyDescent="0.25">
      <c r="B104" s="141">
        <v>95</v>
      </c>
      <c r="C104" s="203"/>
      <c r="D104" s="203"/>
      <c r="E104" s="153"/>
      <c r="F104" s="498" t="str">
        <f>IF(D104="","",VLOOKUP(D104,'G-6 Hedgerow Data'!$B$2:$AG$15,2,FALSE))</f>
        <v/>
      </c>
      <c r="G104" s="499" t="str">
        <f>IF(D104="","",VLOOKUP(D104,'G-6 Hedgerow Data'!$B$2:$AG$15,3,FALSE))</f>
        <v/>
      </c>
      <c r="H104" s="145"/>
      <c r="I104" s="499" t="str">
        <f>IFERROR(IF(AND(F104="V.Low",OR(H104="Good",H104="Moderate")),"Error ▲",VLOOKUP(H104,'G-1 All Habitats'!$Z$2:$AA$9,2,FALSE)),"")</f>
        <v/>
      </c>
      <c r="J104" s="154"/>
      <c r="K104" s="520" t="str">
        <f>IF(J104="","",IF(VLOOKUP(J104,'G-3 Multipliers'!$L$3:$N$6,2,FALSE)=0,"Spatial Data Missing ⚠",VLOOKUP(J104,'G-3 Multipliers'!$L$3:$N$6,2,FALSE)))</f>
        <v/>
      </c>
      <c r="L104" s="524" t="str">
        <f>IF(J104="","",IF(VLOOKUP(J104,'G-3 Multipliers'!$L$3:$N$6,3,FALSE)=0,"Spatial Data Missing ⚠",VLOOKUP(J104,'G-3 Multipliers'!$L$3:$N$6,3,FALSE)))</f>
        <v/>
      </c>
      <c r="M104" s="506" t="str">
        <f>IF(D104="","",VLOOKUP(D104,'G-6 Hedgerow Data'!$B$1:$AH$15,33,FALSE))</f>
        <v/>
      </c>
      <c r="N104" s="513" t="str">
        <f t="shared" si="9"/>
        <v/>
      </c>
      <c r="O104" s="40"/>
      <c r="P104" s="145"/>
      <c r="Q104" s="157"/>
      <c r="R104" s="507" t="str">
        <f t="shared" si="10"/>
        <v/>
      </c>
      <c r="S104" s="507" t="str">
        <f t="shared" si="11"/>
        <v/>
      </c>
      <c r="T104" s="511" t="str">
        <f t="shared" si="12"/>
        <v/>
      </c>
      <c r="U104" s="515" t="str">
        <f t="shared" si="13"/>
        <v/>
      </c>
      <c r="V104" s="151"/>
      <c r="W104" s="152"/>
      <c r="AB104" s="31" t="str">
        <f>IFERROR(INDEX('G-6 Hedgerow Data'!$BJ$3:$BJ$15,MATCH(D104,'G-6 Hedgerow Data'!$B$3:$B$15,0)),"")</f>
        <v/>
      </c>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row>
    <row r="105" spans="2:37" ht="13.8" x14ac:dyDescent="0.25">
      <c r="B105" s="141">
        <v>96</v>
      </c>
      <c r="C105" s="203"/>
      <c r="D105" s="203"/>
      <c r="E105" s="153"/>
      <c r="F105" s="498" t="str">
        <f>IF(D105="","",VLOOKUP(D105,'G-6 Hedgerow Data'!$B$2:$AG$15,2,FALSE))</f>
        <v/>
      </c>
      <c r="G105" s="499" t="str">
        <f>IF(D105="","",VLOOKUP(D105,'G-6 Hedgerow Data'!$B$2:$AG$15,3,FALSE))</f>
        <v/>
      </c>
      <c r="H105" s="145"/>
      <c r="I105" s="499" t="str">
        <f>IFERROR(IF(AND(F105="V.Low",OR(H105="Good",H105="Moderate")),"Error ▲",VLOOKUP(H105,'G-1 All Habitats'!$Z$2:$AA$9,2,FALSE)),"")</f>
        <v/>
      </c>
      <c r="J105" s="154"/>
      <c r="K105" s="520" t="str">
        <f>IF(J105="","",IF(VLOOKUP(J105,'G-3 Multipliers'!$L$3:$N$6,2,FALSE)=0,"Spatial Data Missing ⚠",VLOOKUP(J105,'G-3 Multipliers'!$L$3:$N$6,2,FALSE)))</f>
        <v/>
      </c>
      <c r="L105" s="524" t="str">
        <f>IF(J105="","",IF(VLOOKUP(J105,'G-3 Multipliers'!$L$3:$N$6,3,FALSE)=0,"Spatial Data Missing ⚠",VLOOKUP(J105,'G-3 Multipliers'!$L$3:$N$6,3,FALSE)))</f>
        <v/>
      </c>
      <c r="M105" s="506" t="str">
        <f>IF(D105="","",VLOOKUP(D105,'G-6 Hedgerow Data'!$B$1:$AH$15,33,FALSE))</f>
        <v/>
      </c>
      <c r="N105" s="513" t="str">
        <f t="shared" si="9"/>
        <v/>
      </c>
      <c r="O105" s="40"/>
      <c r="P105" s="145"/>
      <c r="Q105" s="157"/>
      <c r="R105" s="507" t="str">
        <f t="shared" si="10"/>
        <v/>
      </c>
      <c r="S105" s="507" t="str">
        <f t="shared" si="11"/>
        <v/>
      </c>
      <c r="T105" s="511" t="str">
        <f t="shared" si="12"/>
        <v/>
      </c>
      <c r="U105" s="515" t="str">
        <f t="shared" si="13"/>
        <v/>
      </c>
      <c r="V105" s="151"/>
      <c r="W105" s="152"/>
      <c r="AB105" s="31" t="str">
        <f>IFERROR(INDEX('G-6 Hedgerow Data'!$BJ$3:$BJ$15,MATCH(D105,'G-6 Hedgerow Data'!$B$3:$B$15,0)),"")</f>
        <v/>
      </c>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row>
    <row r="106" spans="2:37" ht="13.8" x14ac:dyDescent="0.25">
      <c r="B106" s="141">
        <v>97</v>
      </c>
      <c r="C106" s="203"/>
      <c r="D106" s="203"/>
      <c r="E106" s="153"/>
      <c r="F106" s="498" t="str">
        <f>IF(D106="","",VLOOKUP(D106,'G-6 Hedgerow Data'!$B$2:$AG$15,2,FALSE))</f>
        <v/>
      </c>
      <c r="G106" s="499" t="str">
        <f>IF(D106="","",VLOOKUP(D106,'G-6 Hedgerow Data'!$B$2:$AG$15,3,FALSE))</f>
        <v/>
      </c>
      <c r="H106" s="145"/>
      <c r="I106" s="499" t="str">
        <f>IFERROR(IF(AND(F106="V.Low",OR(H106="Good",H106="Moderate")),"Error ▲",VLOOKUP(H106,'G-1 All Habitats'!$Z$2:$AA$9,2,FALSE)),"")</f>
        <v/>
      </c>
      <c r="J106" s="154"/>
      <c r="K106" s="520" t="str">
        <f>IF(J106="","",IF(VLOOKUP(J106,'G-3 Multipliers'!$L$3:$N$6,2,FALSE)=0,"Spatial Data Missing ⚠",VLOOKUP(J106,'G-3 Multipliers'!$L$3:$N$6,2,FALSE)))</f>
        <v/>
      </c>
      <c r="L106" s="524" t="str">
        <f>IF(J106="","",IF(VLOOKUP(J106,'G-3 Multipliers'!$L$3:$N$6,3,FALSE)=0,"Spatial Data Missing ⚠",VLOOKUP(J106,'G-3 Multipliers'!$L$3:$N$6,3,FALSE)))</f>
        <v/>
      </c>
      <c r="M106" s="506" t="str">
        <f>IF(D106="","",VLOOKUP(D106,'G-6 Hedgerow Data'!$B$1:$AH$15,33,FALSE))</f>
        <v/>
      </c>
      <c r="N106" s="513" t="str">
        <f t="shared" si="9"/>
        <v/>
      </c>
      <c r="O106" s="40"/>
      <c r="P106" s="145"/>
      <c r="Q106" s="157"/>
      <c r="R106" s="507" t="str">
        <f t="shared" si="10"/>
        <v/>
      </c>
      <c r="S106" s="507" t="str">
        <f t="shared" si="11"/>
        <v/>
      </c>
      <c r="T106" s="511" t="str">
        <f t="shared" si="12"/>
        <v/>
      </c>
      <c r="U106" s="515" t="str">
        <f t="shared" si="13"/>
        <v/>
      </c>
      <c r="V106" s="151"/>
      <c r="W106" s="152"/>
      <c r="AB106" s="31" t="str">
        <f>IFERROR(INDEX('G-6 Hedgerow Data'!$BJ$3:$BJ$15,MATCH(D106,'G-6 Hedgerow Data'!$B$3:$B$15,0)),"")</f>
        <v/>
      </c>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row>
    <row r="107" spans="2:37" ht="13.8" x14ac:dyDescent="0.25">
      <c r="B107" s="141">
        <v>98</v>
      </c>
      <c r="C107" s="203"/>
      <c r="D107" s="203"/>
      <c r="E107" s="153"/>
      <c r="F107" s="498" t="str">
        <f>IF(D107="","",VLOOKUP(D107,'G-6 Hedgerow Data'!$B$2:$AG$15,2,FALSE))</f>
        <v/>
      </c>
      <c r="G107" s="499" t="str">
        <f>IF(D107="","",VLOOKUP(D107,'G-6 Hedgerow Data'!$B$2:$AG$15,3,FALSE))</f>
        <v/>
      </c>
      <c r="H107" s="145"/>
      <c r="I107" s="499" t="str">
        <f>IFERROR(IF(AND(F107="V.Low",OR(H107="Good",H107="Moderate")),"Error ▲",VLOOKUP(H107,'G-1 All Habitats'!$Z$2:$AA$9,2,FALSE)),"")</f>
        <v/>
      </c>
      <c r="J107" s="154"/>
      <c r="K107" s="520" t="str">
        <f>IF(J107="","",IF(VLOOKUP(J107,'G-3 Multipliers'!$L$3:$N$6,2,FALSE)=0,"Spatial Data Missing ⚠",VLOOKUP(J107,'G-3 Multipliers'!$L$3:$N$6,2,FALSE)))</f>
        <v/>
      </c>
      <c r="L107" s="524" t="str">
        <f>IF(J107="","",IF(VLOOKUP(J107,'G-3 Multipliers'!$L$3:$N$6,3,FALSE)=0,"Spatial Data Missing ⚠",VLOOKUP(J107,'G-3 Multipliers'!$L$3:$N$6,3,FALSE)))</f>
        <v/>
      </c>
      <c r="M107" s="506" t="str">
        <f>IF(D107="","",VLOOKUP(D107,'G-6 Hedgerow Data'!$B$1:$AH$15,33,FALSE))</f>
        <v/>
      </c>
      <c r="N107" s="513" t="str">
        <f t="shared" si="9"/>
        <v/>
      </c>
      <c r="O107" s="40"/>
      <c r="P107" s="145"/>
      <c r="Q107" s="157"/>
      <c r="R107" s="507" t="str">
        <f t="shared" si="10"/>
        <v/>
      </c>
      <c r="S107" s="507" t="str">
        <f t="shared" si="11"/>
        <v/>
      </c>
      <c r="T107" s="511" t="str">
        <f t="shared" si="12"/>
        <v/>
      </c>
      <c r="U107" s="515" t="str">
        <f t="shared" si="13"/>
        <v/>
      </c>
      <c r="V107" s="151"/>
      <c r="W107" s="152"/>
      <c r="AB107" s="31" t="str">
        <f>IFERROR(INDEX('G-6 Hedgerow Data'!$BJ$3:$BJ$15,MATCH(D107,'G-6 Hedgerow Data'!$B$3:$B$15,0)),"")</f>
        <v/>
      </c>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row>
    <row r="108" spans="2:37" ht="13.8" x14ac:dyDescent="0.25">
      <c r="B108" s="141">
        <v>99</v>
      </c>
      <c r="C108" s="203"/>
      <c r="D108" s="203"/>
      <c r="E108" s="153"/>
      <c r="F108" s="498" t="str">
        <f>IF(D108="","",VLOOKUP(D108,'G-6 Hedgerow Data'!$B$2:$AG$15,2,FALSE))</f>
        <v/>
      </c>
      <c r="G108" s="499" t="str">
        <f>IF(D108="","",VLOOKUP(D108,'G-6 Hedgerow Data'!$B$2:$AG$15,3,FALSE))</f>
        <v/>
      </c>
      <c r="H108" s="145"/>
      <c r="I108" s="499" t="str">
        <f>IFERROR(IF(AND(F108="V.Low",OR(H108="Good",H108="Moderate")),"Error ▲",VLOOKUP(H108,'G-1 All Habitats'!$Z$2:$AA$9,2,FALSE)),"")</f>
        <v/>
      </c>
      <c r="J108" s="154"/>
      <c r="K108" s="520" t="str">
        <f>IF(J108="","",IF(VLOOKUP(J108,'G-3 Multipliers'!$L$3:$N$6,2,FALSE)=0,"Spatial Data Missing ⚠",VLOOKUP(J108,'G-3 Multipliers'!$L$3:$N$6,2,FALSE)))</f>
        <v/>
      </c>
      <c r="L108" s="524" t="str">
        <f>IF(J108="","",IF(VLOOKUP(J108,'G-3 Multipliers'!$L$3:$N$6,3,FALSE)=0,"Spatial Data Missing ⚠",VLOOKUP(J108,'G-3 Multipliers'!$L$3:$N$6,3,FALSE)))</f>
        <v/>
      </c>
      <c r="M108" s="506" t="str">
        <f>IF(D108="","",VLOOKUP(D108,'G-6 Hedgerow Data'!$B$1:$AH$15,33,FALSE))</f>
        <v/>
      </c>
      <c r="N108" s="513" t="str">
        <f t="shared" si="9"/>
        <v/>
      </c>
      <c r="O108" s="40"/>
      <c r="P108" s="145"/>
      <c r="Q108" s="157"/>
      <c r="R108" s="507" t="str">
        <f t="shared" si="10"/>
        <v/>
      </c>
      <c r="S108" s="507" t="str">
        <f t="shared" si="11"/>
        <v/>
      </c>
      <c r="T108" s="511" t="str">
        <f t="shared" si="12"/>
        <v/>
      </c>
      <c r="U108" s="515" t="str">
        <f t="shared" si="13"/>
        <v/>
      </c>
      <c r="V108" s="151"/>
      <c r="W108" s="152"/>
      <c r="AB108" s="31" t="str">
        <f>IFERROR(INDEX('G-6 Hedgerow Data'!$BJ$3:$BJ$15,MATCH(D108,'G-6 Hedgerow Data'!$B$3:$B$15,0)),"")</f>
        <v/>
      </c>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row>
    <row r="109" spans="2:37" ht="13.8" x14ac:dyDescent="0.25">
      <c r="B109" s="141">
        <v>100</v>
      </c>
      <c r="C109" s="203"/>
      <c r="D109" s="203"/>
      <c r="E109" s="153"/>
      <c r="F109" s="498" t="str">
        <f>IF(D109="","",VLOOKUP(D109,'G-6 Hedgerow Data'!$B$2:$AG$15,2,FALSE))</f>
        <v/>
      </c>
      <c r="G109" s="499" t="str">
        <f>IF(D109="","",VLOOKUP(D109,'G-6 Hedgerow Data'!$B$2:$AG$15,3,FALSE))</f>
        <v/>
      </c>
      <c r="H109" s="145"/>
      <c r="I109" s="499" t="str">
        <f>IFERROR(IF(AND(F109="V.Low",OR(H109="Good",H109="Moderate")),"Error ▲",VLOOKUP(H109,'G-1 All Habitats'!$Z$2:$AA$9,2,FALSE)),"")</f>
        <v/>
      </c>
      <c r="J109" s="154"/>
      <c r="K109" s="520" t="str">
        <f>IF(J109="","",IF(VLOOKUP(J109,'G-3 Multipliers'!$L$3:$N$6,2,FALSE)=0,"Spatial Data Missing ⚠",VLOOKUP(J109,'G-3 Multipliers'!$L$3:$N$6,2,FALSE)))</f>
        <v/>
      </c>
      <c r="L109" s="524" t="str">
        <f>IF(J109="","",IF(VLOOKUP(J109,'G-3 Multipliers'!$L$3:$N$6,3,FALSE)=0,"Spatial Data Missing ⚠",VLOOKUP(J109,'G-3 Multipliers'!$L$3:$N$6,3,FALSE)))</f>
        <v/>
      </c>
      <c r="M109" s="506" t="str">
        <f>IF(D109="","",VLOOKUP(D109,'G-6 Hedgerow Data'!$B$1:$AH$15,33,FALSE))</f>
        <v/>
      </c>
      <c r="N109" s="513" t="str">
        <f t="shared" si="9"/>
        <v/>
      </c>
      <c r="O109" s="40"/>
      <c r="P109" s="145"/>
      <c r="Q109" s="157"/>
      <c r="R109" s="507" t="str">
        <f t="shared" si="10"/>
        <v/>
      </c>
      <c r="S109" s="507" t="str">
        <f t="shared" si="11"/>
        <v/>
      </c>
      <c r="T109" s="511" t="str">
        <f t="shared" si="12"/>
        <v/>
      </c>
      <c r="U109" s="515" t="str">
        <f t="shared" si="13"/>
        <v/>
      </c>
      <c r="V109" s="151"/>
      <c r="W109" s="152"/>
      <c r="AB109" s="31" t="str">
        <f>IFERROR(INDEX('G-6 Hedgerow Data'!$BJ$3:$BJ$15,MATCH(D109,'G-6 Hedgerow Data'!$B$3:$B$15,0)),"")</f>
        <v/>
      </c>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row>
    <row r="110" spans="2:37" ht="13.8" x14ac:dyDescent="0.25">
      <c r="B110" s="141">
        <v>101</v>
      </c>
      <c r="C110" s="203"/>
      <c r="D110" s="203"/>
      <c r="E110" s="153"/>
      <c r="F110" s="498" t="str">
        <f>IF(D110="","",VLOOKUP(D110,'G-6 Hedgerow Data'!$B$2:$AG$15,2,FALSE))</f>
        <v/>
      </c>
      <c r="G110" s="499" t="str">
        <f>IF(D110="","",VLOOKUP(D110,'G-6 Hedgerow Data'!$B$2:$AG$15,3,FALSE))</f>
        <v/>
      </c>
      <c r="H110" s="145"/>
      <c r="I110" s="499" t="str">
        <f>IFERROR(IF(AND(F110="V.Low",OR(H110="Good",H110="Moderate")),"Error ▲",VLOOKUP(H110,'G-1 All Habitats'!$Z$2:$AA$9,2,FALSE)),"")</f>
        <v/>
      </c>
      <c r="J110" s="154"/>
      <c r="K110" s="520" t="str">
        <f>IF(J110="","",IF(VLOOKUP(J110,'G-3 Multipliers'!$L$3:$N$6,2,FALSE)=0,"Spatial Data Missing ⚠",VLOOKUP(J110,'G-3 Multipliers'!$L$3:$N$6,2,FALSE)))</f>
        <v/>
      </c>
      <c r="L110" s="524" t="str">
        <f>IF(J110="","",IF(VLOOKUP(J110,'G-3 Multipliers'!$L$3:$N$6,3,FALSE)=0,"Spatial Data Missing ⚠",VLOOKUP(J110,'G-3 Multipliers'!$L$3:$N$6,3,FALSE)))</f>
        <v/>
      </c>
      <c r="M110" s="506" t="str">
        <f>IF(D110="","",VLOOKUP(D110,'G-6 Hedgerow Data'!$B$1:$AH$15,33,FALSE))</f>
        <v/>
      </c>
      <c r="N110" s="513" t="str">
        <f t="shared" si="9"/>
        <v/>
      </c>
      <c r="O110" s="40"/>
      <c r="P110" s="145"/>
      <c r="Q110" s="157"/>
      <c r="R110" s="507" t="str">
        <f t="shared" si="10"/>
        <v/>
      </c>
      <c r="S110" s="507" t="str">
        <f t="shared" si="11"/>
        <v/>
      </c>
      <c r="T110" s="511" t="str">
        <f t="shared" si="12"/>
        <v/>
      </c>
      <c r="U110" s="515" t="str">
        <f t="shared" si="13"/>
        <v/>
      </c>
      <c r="V110" s="151"/>
      <c r="W110" s="152"/>
      <c r="AB110" s="31" t="str">
        <f>IFERROR(INDEX('G-6 Hedgerow Data'!$BJ$3:$BJ$15,MATCH(D110,'G-6 Hedgerow Data'!$B$3:$B$15,0)),"")</f>
        <v/>
      </c>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row>
    <row r="111" spans="2:37" ht="13.8" x14ac:dyDescent="0.25">
      <c r="B111" s="141">
        <v>102</v>
      </c>
      <c r="C111" s="203"/>
      <c r="D111" s="203"/>
      <c r="E111" s="153"/>
      <c r="F111" s="498" t="str">
        <f>IF(D111="","",VLOOKUP(D111,'G-6 Hedgerow Data'!$B$2:$AG$15,2,FALSE))</f>
        <v/>
      </c>
      <c r="G111" s="499" t="str">
        <f>IF(D111="","",VLOOKUP(D111,'G-6 Hedgerow Data'!$B$2:$AG$15,3,FALSE))</f>
        <v/>
      </c>
      <c r="H111" s="145"/>
      <c r="I111" s="499" t="str">
        <f>IFERROR(IF(AND(F111="V.Low",OR(H111="Good",H111="Moderate")),"Error ▲",VLOOKUP(H111,'G-1 All Habitats'!$Z$2:$AA$9,2,FALSE)),"")</f>
        <v/>
      </c>
      <c r="J111" s="154"/>
      <c r="K111" s="520" t="str">
        <f>IF(J111="","",IF(VLOOKUP(J111,'G-3 Multipliers'!$L$3:$N$6,2,FALSE)=0,"Spatial Data Missing ⚠",VLOOKUP(J111,'G-3 Multipliers'!$L$3:$N$6,2,FALSE)))</f>
        <v/>
      </c>
      <c r="L111" s="524" t="str">
        <f>IF(J111="","",IF(VLOOKUP(J111,'G-3 Multipliers'!$L$3:$N$6,3,FALSE)=0,"Spatial Data Missing ⚠",VLOOKUP(J111,'G-3 Multipliers'!$L$3:$N$6,3,FALSE)))</f>
        <v/>
      </c>
      <c r="M111" s="506" t="str">
        <f>IF(D111="","",VLOOKUP(D111,'G-6 Hedgerow Data'!$B$1:$AH$15,33,FALSE))</f>
        <v/>
      </c>
      <c r="N111" s="513" t="str">
        <f t="shared" si="9"/>
        <v/>
      </c>
      <c r="O111" s="40"/>
      <c r="P111" s="145"/>
      <c r="Q111" s="157"/>
      <c r="R111" s="507" t="str">
        <f t="shared" si="10"/>
        <v/>
      </c>
      <c r="S111" s="507" t="str">
        <f t="shared" si="11"/>
        <v/>
      </c>
      <c r="T111" s="511" t="str">
        <f t="shared" si="12"/>
        <v/>
      </c>
      <c r="U111" s="515" t="str">
        <f t="shared" si="13"/>
        <v/>
      </c>
      <c r="V111" s="151"/>
      <c r="W111" s="152"/>
      <c r="AB111" s="31" t="str">
        <f>IFERROR(INDEX('G-6 Hedgerow Data'!$BJ$3:$BJ$15,MATCH(D111,'G-6 Hedgerow Data'!$B$3:$B$15,0)),"")</f>
        <v/>
      </c>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row>
    <row r="112" spans="2:37" ht="13.8" x14ac:dyDescent="0.25">
      <c r="B112" s="141">
        <v>103</v>
      </c>
      <c r="C112" s="203"/>
      <c r="D112" s="203"/>
      <c r="E112" s="153"/>
      <c r="F112" s="498" t="str">
        <f>IF(D112="","",VLOOKUP(D112,'G-6 Hedgerow Data'!$B$2:$AG$15,2,FALSE))</f>
        <v/>
      </c>
      <c r="G112" s="499" t="str">
        <f>IF(D112="","",VLOOKUP(D112,'G-6 Hedgerow Data'!$B$2:$AG$15,3,FALSE))</f>
        <v/>
      </c>
      <c r="H112" s="145"/>
      <c r="I112" s="499" t="str">
        <f>IFERROR(IF(AND(F112="V.Low",OR(H112="Good",H112="Moderate")),"Error ▲",VLOOKUP(H112,'G-1 All Habitats'!$Z$2:$AA$9,2,FALSE)),"")</f>
        <v/>
      </c>
      <c r="J112" s="154"/>
      <c r="K112" s="520" t="str">
        <f>IF(J112="","",IF(VLOOKUP(J112,'G-3 Multipliers'!$L$3:$N$6,2,FALSE)=0,"Spatial Data Missing ⚠",VLOOKUP(J112,'G-3 Multipliers'!$L$3:$N$6,2,FALSE)))</f>
        <v/>
      </c>
      <c r="L112" s="524" t="str">
        <f>IF(J112="","",IF(VLOOKUP(J112,'G-3 Multipliers'!$L$3:$N$6,3,FALSE)=0,"Spatial Data Missing ⚠",VLOOKUP(J112,'G-3 Multipliers'!$L$3:$N$6,3,FALSE)))</f>
        <v/>
      </c>
      <c r="M112" s="506" t="str">
        <f>IF(D112="","",VLOOKUP(D112,'G-6 Hedgerow Data'!$B$1:$AH$15,33,FALSE))</f>
        <v/>
      </c>
      <c r="N112" s="513" t="str">
        <f t="shared" si="9"/>
        <v/>
      </c>
      <c r="O112" s="40"/>
      <c r="P112" s="145"/>
      <c r="Q112" s="157"/>
      <c r="R112" s="507" t="str">
        <f t="shared" si="10"/>
        <v/>
      </c>
      <c r="S112" s="507" t="str">
        <f t="shared" si="11"/>
        <v/>
      </c>
      <c r="T112" s="511" t="str">
        <f t="shared" si="12"/>
        <v/>
      </c>
      <c r="U112" s="515" t="str">
        <f t="shared" si="13"/>
        <v/>
      </c>
      <c r="V112" s="151"/>
      <c r="W112" s="152"/>
      <c r="AB112" s="31" t="str">
        <f>IFERROR(INDEX('G-6 Hedgerow Data'!$BJ$3:$BJ$15,MATCH(D112,'G-6 Hedgerow Data'!$B$3:$B$15,0)),"")</f>
        <v/>
      </c>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row>
    <row r="113" spans="2:37" ht="13.8" x14ac:dyDescent="0.25">
      <c r="B113" s="141">
        <v>104</v>
      </c>
      <c r="C113" s="203"/>
      <c r="D113" s="203"/>
      <c r="E113" s="153"/>
      <c r="F113" s="498" t="str">
        <f>IF(D113="","",VLOOKUP(D113,'G-6 Hedgerow Data'!$B$2:$AG$15,2,FALSE))</f>
        <v/>
      </c>
      <c r="G113" s="499" t="str">
        <f>IF(D113="","",VLOOKUP(D113,'G-6 Hedgerow Data'!$B$2:$AG$15,3,FALSE))</f>
        <v/>
      </c>
      <c r="H113" s="145"/>
      <c r="I113" s="499" t="str">
        <f>IFERROR(IF(AND(F113="V.Low",OR(H113="Good",H113="Moderate")),"Error ▲",VLOOKUP(H113,'G-1 All Habitats'!$Z$2:$AA$9,2,FALSE)),"")</f>
        <v/>
      </c>
      <c r="J113" s="154"/>
      <c r="K113" s="520" t="str">
        <f>IF(J113="","",IF(VLOOKUP(J113,'G-3 Multipliers'!$L$3:$N$6,2,FALSE)=0,"Spatial Data Missing ⚠",VLOOKUP(J113,'G-3 Multipliers'!$L$3:$N$6,2,FALSE)))</f>
        <v/>
      </c>
      <c r="L113" s="524" t="str">
        <f>IF(J113="","",IF(VLOOKUP(J113,'G-3 Multipliers'!$L$3:$N$6,3,FALSE)=0,"Spatial Data Missing ⚠",VLOOKUP(J113,'G-3 Multipliers'!$L$3:$N$6,3,FALSE)))</f>
        <v/>
      </c>
      <c r="M113" s="506" t="str">
        <f>IF(D113="","",VLOOKUP(D113,'G-6 Hedgerow Data'!$B$1:$AH$15,33,FALSE))</f>
        <v/>
      </c>
      <c r="N113" s="513" t="str">
        <f t="shared" si="9"/>
        <v/>
      </c>
      <c r="O113" s="40"/>
      <c r="P113" s="145"/>
      <c r="Q113" s="157"/>
      <c r="R113" s="507" t="str">
        <f t="shared" si="10"/>
        <v/>
      </c>
      <c r="S113" s="507" t="str">
        <f t="shared" si="11"/>
        <v/>
      </c>
      <c r="T113" s="511" t="str">
        <f t="shared" si="12"/>
        <v/>
      </c>
      <c r="U113" s="515" t="str">
        <f t="shared" si="13"/>
        <v/>
      </c>
      <c r="V113" s="151"/>
      <c r="W113" s="152"/>
      <c r="AB113" s="31" t="str">
        <f>IFERROR(INDEX('G-6 Hedgerow Data'!$BJ$3:$BJ$15,MATCH(D113,'G-6 Hedgerow Data'!$B$3:$B$15,0)),"")</f>
        <v/>
      </c>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row>
    <row r="114" spans="2:37" ht="13.8" x14ac:dyDescent="0.25">
      <c r="B114" s="141">
        <v>105</v>
      </c>
      <c r="C114" s="203"/>
      <c r="D114" s="203"/>
      <c r="E114" s="153"/>
      <c r="F114" s="498" t="str">
        <f>IF(D114="","",VLOOKUP(D114,'G-6 Hedgerow Data'!$B$2:$AG$15,2,FALSE))</f>
        <v/>
      </c>
      <c r="G114" s="499" t="str">
        <f>IF(D114="","",VLOOKUP(D114,'G-6 Hedgerow Data'!$B$2:$AG$15,3,FALSE))</f>
        <v/>
      </c>
      <c r="H114" s="145"/>
      <c r="I114" s="499" t="str">
        <f>IFERROR(IF(AND(F114="V.Low",OR(H114="Good",H114="Moderate")),"Error ▲",VLOOKUP(H114,'G-1 All Habitats'!$Z$2:$AA$9,2,FALSE)),"")</f>
        <v/>
      </c>
      <c r="J114" s="154"/>
      <c r="K114" s="520" t="str">
        <f>IF(J114="","",IF(VLOOKUP(J114,'G-3 Multipliers'!$L$3:$N$6,2,FALSE)=0,"Spatial Data Missing ⚠",VLOOKUP(J114,'G-3 Multipliers'!$L$3:$N$6,2,FALSE)))</f>
        <v/>
      </c>
      <c r="L114" s="524" t="str">
        <f>IF(J114="","",IF(VLOOKUP(J114,'G-3 Multipliers'!$L$3:$N$6,3,FALSE)=0,"Spatial Data Missing ⚠",VLOOKUP(J114,'G-3 Multipliers'!$L$3:$N$6,3,FALSE)))</f>
        <v/>
      </c>
      <c r="M114" s="506" t="str">
        <f>IF(D114="","",VLOOKUP(D114,'G-6 Hedgerow Data'!$B$1:$AH$15,33,FALSE))</f>
        <v/>
      </c>
      <c r="N114" s="513" t="str">
        <f t="shared" si="9"/>
        <v/>
      </c>
      <c r="O114" s="40"/>
      <c r="P114" s="145"/>
      <c r="Q114" s="157"/>
      <c r="R114" s="507" t="str">
        <f t="shared" si="10"/>
        <v/>
      </c>
      <c r="S114" s="507" t="str">
        <f t="shared" si="11"/>
        <v/>
      </c>
      <c r="T114" s="511" t="str">
        <f t="shared" si="12"/>
        <v/>
      </c>
      <c r="U114" s="515" t="str">
        <f t="shared" si="13"/>
        <v/>
      </c>
      <c r="V114" s="151"/>
      <c r="W114" s="152"/>
      <c r="AB114" s="31" t="str">
        <f>IFERROR(INDEX('G-6 Hedgerow Data'!$BJ$3:$BJ$15,MATCH(D114,'G-6 Hedgerow Data'!$B$3:$B$15,0)),"")</f>
        <v/>
      </c>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row>
    <row r="115" spans="2:37" ht="13.8" x14ac:dyDescent="0.25">
      <c r="B115" s="141">
        <v>106</v>
      </c>
      <c r="C115" s="203"/>
      <c r="D115" s="203"/>
      <c r="E115" s="153"/>
      <c r="F115" s="498" t="str">
        <f>IF(D115="","",VLOOKUP(D115,'G-6 Hedgerow Data'!$B$2:$AG$15,2,FALSE))</f>
        <v/>
      </c>
      <c r="G115" s="499" t="str">
        <f>IF(D115="","",VLOOKUP(D115,'G-6 Hedgerow Data'!$B$2:$AG$15,3,FALSE))</f>
        <v/>
      </c>
      <c r="H115" s="145"/>
      <c r="I115" s="499" t="str">
        <f>IFERROR(IF(AND(F115="V.Low",OR(H115="Good",H115="Moderate")),"Error ▲",VLOOKUP(H115,'G-1 All Habitats'!$Z$2:$AA$9,2,FALSE)),"")</f>
        <v/>
      </c>
      <c r="J115" s="154"/>
      <c r="K115" s="520" t="str">
        <f>IF(J115="","",IF(VLOOKUP(J115,'G-3 Multipliers'!$L$3:$N$6,2,FALSE)=0,"Spatial Data Missing ⚠",VLOOKUP(J115,'G-3 Multipliers'!$L$3:$N$6,2,FALSE)))</f>
        <v/>
      </c>
      <c r="L115" s="524" t="str">
        <f>IF(J115="","",IF(VLOOKUP(J115,'G-3 Multipliers'!$L$3:$N$6,3,FALSE)=0,"Spatial Data Missing ⚠",VLOOKUP(J115,'G-3 Multipliers'!$L$3:$N$6,3,FALSE)))</f>
        <v/>
      </c>
      <c r="M115" s="506" t="str">
        <f>IF(D115="","",VLOOKUP(D115,'G-6 Hedgerow Data'!$B$1:$AH$15,33,FALSE))</f>
        <v/>
      </c>
      <c r="N115" s="513" t="str">
        <f t="shared" si="9"/>
        <v/>
      </c>
      <c r="O115" s="40"/>
      <c r="P115" s="145"/>
      <c r="Q115" s="157"/>
      <c r="R115" s="507" t="str">
        <f t="shared" si="10"/>
        <v/>
      </c>
      <c r="S115" s="507" t="str">
        <f t="shared" si="11"/>
        <v/>
      </c>
      <c r="T115" s="511" t="str">
        <f t="shared" si="12"/>
        <v/>
      </c>
      <c r="U115" s="515" t="str">
        <f t="shared" si="13"/>
        <v/>
      </c>
      <c r="V115" s="151"/>
      <c r="W115" s="152"/>
      <c r="AB115" s="31" t="str">
        <f>IFERROR(INDEX('G-6 Hedgerow Data'!$BJ$3:$BJ$15,MATCH(D115,'G-6 Hedgerow Data'!$B$3:$B$15,0)),"")</f>
        <v/>
      </c>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row>
    <row r="116" spans="2:37" ht="13.8" x14ac:dyDescent="0.25">
      <c r="B116" s="141">
        <v>107</v>
      </c>
      <c r="C116" s="203"/>
      <c r="D116" s="203"/>
      <c r="E116" s="153"/>
      <c r="F116" s="498" t="str">
        <f>IF(D116="","",VLOOKUP(D116,'G-6 Hedgerow Data'!$B$2:$AG$15,2,FALSE))</f>
        <v/>
      </c>
      <c r="G116" s="499" t="str">
        <f>IF(D116="","",VLOOKUP(D116,'G-6 Hedgerow Data'!$B$2:$AG$15,3,FALSE))</f>
        <v/>
      </c>
      <c r="H116" s="145"/>
      <c r="I116" s="499" t="str">
        <f>IFERROR(IF(AND(F116="V.Low",OR(H116="Good",H116="Moderate")),"Error ▲",VLOOKUP(H116,'G-1 All Habitats'!$Z$2:$AA$9,2,FALSE)),"")</f>
        <v/>
      </c>
      <c r="J116" s="154"/>
      <c r="K116" s="520" t="str">
        <f>IF(J116="","",IF(VLOOKUP(J116,'G-3 Multipliers'!$L$3:$N$6,2,FALSE)=0,"Spatial Data Missing ⚠",VLOOKUP(J116,'G-3 Multipliers'!$L$3:$N$6,2,FALSE)))</f>
        <v/>
      </c>
      <c r="L116" s="524" t="str">
        <f>IF(J116="","",IF(VLOOKUP(J116,'G-3 Multipliers'!$L$3:$N$6,3,FALSE)=0,"Spatial Data Missing ⚠",VLOOKUP(J116,'G-3 Multipliers'!$L$3:$N$6,3,FALSE)))</f>
        <v/>
      </c>
      <c r="M116" s="506" t="str">
        <f>IF(D116="","",VLOOKUP(D116,'G-6 Hedgerow Data'!$B$1:$AH$15,33,FALSE))</f>
        <v/>
      </c>
      <c r="N116" s="513" t="str">
        <f t="shared" si="9"/>
        <v/>
      </c>
      <c r="O116" s="40"/>
      <c r="P116" s="145"/>
      <c r="Q116" s="157"/>
      <c r="R116" s="507" t="str">
        <f t="shared" si="10"/>
        <v/>
      </c>
      <c r="S116" s="507" t="str">
        <f t="shared" si="11"/>
        <v/>
      </c>
      <c r="T116" s="511" t="str">
        <f t="shared" si="12"/>
        <v/>
      </c>
      <c r="U116" s="515" t="str">
        <f t="shared" si="13"/>
        <v/>
      </c>
      <c r="V116" s="151"/>
      <c r="W116" s="152"/>
      <c r="AB116" s="31" t="str">
        <f>IFERROR(INDEX('G-6 Hedgerow Data'!$BJ$3:$BJ$15,MATCH(D116,'G-6 Hedgerow Data'!$B$3:$B$15,0)),"")</f>
        <v/>
      </c>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row>
    <row r="117" spans="2:37" ht="13.8" x14ac:dyDescent="0.25">
      <c r="B117" s="141">
        <v>108</v>
      </c>
      <c r="C117" s="203"/>
      <c r="D117" s="203"/>
      <c r="E117" s="153"/>
      <c r="F117" s="498" t="str">
        <f>IF(D117="","",VLOOKUP(D117,'G-6 Hedgerow Data'!$B$2:$AG$15,2,FALSE))</f>
        <v/>
      </c>
      <c r="G117" s="499" t="str">
        <f>IF(D117="","",VLOOKUP(D117,'G-6 Hedgerow Data'!$B$2:$AG$15,3,FALSE))</f>
        <v/>
      </c>
      <c r="H117" s="145"/>
      <c r="I117" s="499" t="str">
        <f>IFERROR(IF(AND(F117="V.Low",OR(H117="Good",H117="Moderate")),"Error ▲",VLOOKUP(H117,'G-1 All Habitats'!$Z$2:$AA$9,2,FALSE)),"")</f>
        <v/>
      </c>
      <c r="J117" s="154"/>
      <c r="K117" s="520" t="str">
        <f>IF(J117="","",IF(VLOOKUP(J117,'G-3 Multipliers'!$L$3:$N$6,2,FALSE)=0,"Spatial Data Missing ⚠",VLOOKUP(J117,'G-3 Multipliers'!$L$3:$N$6,2,FALSE)))</f>
        <v/>
      </c>
      <c r="L117" s="524" t="str">
        <f>IF(J117="","",IF(VLOOKUP(J117,'G-3 Multipliers'!$L$3:$N$6,3,FALSE)=0,"Spatial Data Missing ⚠",VLOOKUP(J117,'G-3 Multipliers'!$L$3:$N$6,3,FALSE)))</f>
        <v/>
      </c>
      <c r="M117" s="506" t="str">
        <f>IF(D117="","",VLOOKUP(D117,'G-6 Hedgerow Data'!$B$1:$AH$15,33,FALSE))</f>
        <v/>
      </c>
      <c r="N117" s="513" t="str">
        <f t="shared" si="9"/>
        <v/>
      </c>
      <c r="O117" s="40"/>
      <c r="P117" s="145"/>
      <c r="Q117" s="157"/>
      <c r="R117" s="507" t="str">
        <f t="shared" si="10"/>
        <v/>
      </c>
      <c r="S117" s="507" t="str">
        <f t="shared" si="11"/>
        <v/>
      </c>
      <c r="T117" s="511" t="str">
        <f t="shared" si="12"/>
        <v/>
      </c>
      <c r="U117" s="515" t="str">
        <f t="shared" si="13"/>
        <v/>
      </c>
      <c r="V117" s="151"/>
      <c r="W117" s="152"/>
      <c r="AB117" s="31" t="str">
        <f>IFERROR(INDEX('G-6 Hedgerow Data'!$BJ$3:$BJ$15,MATCH(D117,'G-6 Hedgerow Data'!$B$3:$B$15,0)),"")</f>
        <v/>
      </c>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row>
    <row r="118" spans="2:37" ht="13.8" x14ac:dyDescent="0.25">
      <c r="B118" s="141">
        <v>109</v>
      </c>
      <c r="C118" s="203"/>
      <c r="D118" s="203"/>
      <c r="E118" s="153"/>
      <c r="F118" s="498" t="str">
        <f>IF(D118="","",VLOOKUP(D118,'G-6 Hedgerow Data'!$B$2:$AG$15,2,FALSE))</f>
        <v/>
      </c>
      <c r="G118" s="499" t="str">
        <f>IF(D118="","",VLOOKUP(D118,'G-6 Hedgerow Data'!$B$2:$AG$15,3,FALSE))</f>
        <v/>
      </c>
      <c r="H118" s="145"/>
      <c r="I118" s="499" t="str">
        <f>IFERROR(IF(AND(F118="V.Low",OR(H118="Good",H118="Moderate")),"Error ▲",VLOOKUP(H118,'G-1 All Habitats'!$Z$2:$AA$9,2,FALSE)),"")</f>
        <v/>
      </c>
      <c r="J118" s="154"/>
      <c r="K118" s="520" t="str">
        <f>IF(J118="","",IF(VLOOKUP(J118,'G-3 Multipliers'!$L$3:$N$6,2,FALSE)=0,"Spatial Data Missing ⚠",VLOOKUP(J118,'G-3 Multipliers'!$L$3:$N$6,2,FALSE)))</f>
        <v/>
      </c>
      <c r="L118" s="524" t="str">
        <f>IF(J118="","",IF(VLOOKUP(J118,'G-3 Multipliers'!$L$3:$N$6,3,FALSE)=0,"Spatial Data Missing ⚠",VLOOKUP(J118,'G-3 Multipliers'!$L$3:$N$6,3,FALSE)))</f>
        <v/>
      </c>
      <c r="M118" s="506" t="str">
        <f>IF(D118="","",VLOOKUP(D118,'G-6 Hedgerow Data'!$B$1:$AH$15,33,FALSE))</f>
        <v/>
      </c>
      <c r="N118" s="513" t="str">
        <f t="shared" si="9"/>
        <v/>
      </c>
      <c r="O118" s="40"/>
      <c r="P118" s="145"/>
      <c r="Q118" s="157"/>
      <c r="R118" s="507" t="str">
        <f t="shared" si="10"/>
        <v/>
      </c>
      <c r="S118" s="507" t="str">
        <f t="shared" si="11"/>
        <v/>
      </c>
      <c r="T118" s="511" t="str">
        <f t="shared" si="12"/>
        <v/>
      </c>
      <c r="U118" s="515" t="str">
        <f t="shared" si="13"/>
        <v/>
      </c>
      <c r="V118" s="151"/>
      <c r="W118" s="152"/>
      <c r="AB118" s="31" t="str">
        <f>IFERROR(INDEX('G-6 Hedgerow Data'!$BJ$3:$BJ$15,MATCH(D118,'G-6 Hedgerow Data'!$B$3:$B$15,0)),"")</f>
        <v/>
      </c>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row>
    <row r="119" spans="2:37" ht="13.8" x14ac:dyDescent="0.25">
      <c r="B119" s="141">
        <v>110</v>
      </c>
      <c r="C119" s="203"/>
      <c r="D119" s="203"/>
      <c r="E119" s="153"/>
      <c r="F119" s="498" t="str">
        <f>IF(D119="","",VLOOKUP(D119,'G-6 Hedgerow Data'!$B$2:$AG$15,2,FALSE))</f>
        <v/>
      </c>
      <c r="G119" s="499" t="str">
        <f>IF(D119="","",VLOOKUP(D119,'G-6 Hedgerow Data'!$B$2:$AG$15,3,FALSE))</f>
        <v/>
      </c>
      <c r="H119" s="145"/>
      <c r="I119" s="499" t="str">
        <f>IFERROR(IF(AND(F119="V.Low",OR(H119="Good",H119="Moderate")),"Error ▲",VLOOKUP(H119,'G-1 All Habitats'!$Z$2:$AA$9,2,FALSE)),"")</f>
        <v/>
      </c>
      <c r="J119" s="154"/>
      <c r="K119" s="520" t="str">
        <f>IF(J119="","",IF(VLOOKUP(J119,'G-3 Multipliers'!$L$3:$N$6,2,FALSE)=0,"Spatial Data Missing ⚠",VLOOKUP(J119,'G-3 Multipliers'!$L$3:$N$6,2,FALSE)))</f>
        <v/>
      </c>
      <c r="L119" s="524" t="str">
        <f>IF(J119="","",IF(VLOOKUP(J119,'G-3 Multipliers'!$L$3:$N$6,3,FALSE)=0,"Spatial Data Missing ⚠",VLOOKUP(J119,'G-3 Multipliers'!$L$3:$N$6,3,FALSE)))</f>
        <v/>
      </c>
      <c r="M119" s="506" t="str">
        <f>IF(D119="","",VLOOKUP(D119,'G-6 Hedgerow Data'!$B$1:$AH$15,33,FALSE))</f>
        <v/>
      </c>
      <c r="N119" s="513" t="str">
        <f t="shared" si="9"/>
        <v/>
      </c>
      <c r="O119" s="40"/>
      <c r="P119" s="145"/>
      <c r="Q119" s="157"/>
      <c r="R119" s="507" t="str">
        <f t="shared" si="10"/>
        <v/>
      </c>
      <c r="S119" s="507" t="str">
        <f t="shared" si="11"/>
        <v/>
      </c>
      <c r="T119" s="511" t="str">
        <f t="shared" si="12"/>
        <v/>
      </c>
      <c r="U119" s="515" t="str">
        <f t="shared" si="13"/>
        <v/>
      </c>
      <c r="V119" s="151"/>
      <c r="W119" s="152"/>
      <c r="AB119" s="31" t="str">
        <f>IFERROR(INDEX('G-6 Hedgerow Data'!$BJ$3:$BJ$15,MATCH(D119,'G-6 Hedgerow Data'!$B$3:$B$15,0)),"")</f>
        <v/>
      </c>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row>
    <row r="120" spans="2:37" ht="13.8" x14ac:dyDescent="0.25">
      <c r="B120" s="141">
        <v>111</v>
      </c>
      <c r="C120" s="203"/>
      <c r="D120" s="203"/>
      <c r="E120" s="153"/>
      <c r="F120" s="498" t="str">
        <f>IF(D120="","",VLOOKUP(D120,'G-6 Hedgerow Data'!$B$2:$AG$15,2,FALSE))</f>
        <v/>
      </c>
      <c r="G120" s="499" t="str">
        <f>IF(D120="","",VLOOKUP(D120,'G-6 Hedgerow Data'!$B$2:$AG$15,3,FALSE))</f>
        <v/>
      </c>
      <c r="H120" s="145"/>
      <c r="I120" s="499" t="str">
        <f>IFERROR(IF(AND(F120="V.Low",OR(H120="Good",H120="Moderate")),"Error ▲",VLOOKUP(H120,'G-1 All Habitats'!$Z$2:$AA$9,2,FALSE)),"")</f>
        <v/>
      </c>
      <c r="J120" s="154"/>
      <c r="K120" s="520" t="str">
        <f>IF(J120="","",IF(VLOOKUP(J120,'G-3 Multipliers'!$L$3:$N$6,2,FALSE)=0,"Spatial Data Missing ⚠",VLOOKUP(J120,'G-3 Multipliers'!$L$3:$N$6,2,FALSE)))</f>
        <v/>
      </c>
      <c r="L120" s="524" t="str">
        <f>IF(J120="","",IF(VLOOKUP(J120,'G-3 Multipliers'!$L$3:$N$6,3,FALSE)=0,"Spatial Data Missing ⚠",VLOOKUP(J120,'G-3 Multipliers'!$L$3:$N$6,3,FALSE)))</f>
        <v/>
      </c>
      <c r="M120" s="506" t="str">
        <f>IF(D120="","",VLOOKUP(D120,'G-6 Hedgerow Data'!$B$1:$AH$15,33,FALSE))</f>
        <v/>
      </c>
      <c r="N120" s="513" t="str">
        <f t="shared" si="9"/>
        <v/>
      </c>
      <c r="O120" s="40"/>
      <c r="P120" s="145"/>
      <c r="Q120" s="157"/>
      <c r="R120" s="507" t="str">
        <f t="shared" si="10"/>
        <v/>
      </c>
      <c r="S120" s="507" t="str">
        <f t="shared" si="11"/>
        <v/>
      </c>
      <c r="T120" s="511" t="str">
        <f t="shared" si="12"/>
        <v/>
      </c>
      <c r="U120" s="515" t="str">
        <f t="shared" si="13"/>
        <v/>
      </c>
      <c r="V120" s="151"/>
      <c r="W120" s="152"/>
      <c r="AB120" s="31" t="str">
        <f>IFERROR(INDEX('G-6 Hedgerow Data'!$BJ$3:$BJ$15,MATCH(D120,'G-6 Hedgerow Data'!$B$3:$B$15,0)),"")</f>
        <v/>
      </c>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row>
    <row r="121" spans="2:37" ht="13.8" x14ac:dyDescent="0.25">
      <c r="B121" s="141">
        <v>112</v>
      </c>
      <c r="C121" s="203"/>
      <c r="D121" s="203"/>
      <c r="E121" s="153"/>
      <c r="F121" s="498" t="str">
        <f>IF(D121="","",VLOOKUP(D121,'G-6 Hedgerow Data'!$B$2:$AG$15,2,FALSE))</f>
        <v/>
      </c>
      <c r="G121" s="499" t="str">
        <f>IF(D121="","",VLOOKUP(D121,'G-6 Hedgerow Data'!$B$2:$AG$15,3,FALSE))</f>
        <v/>
      </c>
      <c r="H121" s="145"/>
      <c r="I121" s="499" t="str">
        <f>IFERROR(IF(AND(F121="V.Low",OR(H121="Good",H121="Moderate")),"Error ▲",VLOOKUP(H121,'G-1 All Habitats'!$Z$2:$AA$9,2,FALSE)),"")</f>
        <v/>
      </c>
      <c r="J121" s="154"/>
      <c r="K121" s="520" t="str">
        <f>IF(J121="","",IF(VLOOKUP(J121,'G-3 Multipliers'!$L$3:$N$6,2,FALSE)=0,"Spatial Data Missing ⚠",VLOOKUP(J121,'G-3 Multipliers'!$L$3:$N$6,2,FALSE)))</f>
        <v/>
      </c>
      <c r="L121" s="524" t="str">
        <f>IF(J121="","",IF(VLOOKUP(J121,'G-3 Multipliers'!$L$3:$N$6,3,FALSE)=0,"Spatial Data Missing ⚠",VLOOKUP(J121,'G-3 Multipliers'!$L$3:$N$6,3,FALSE)))</f>
        <v/>
      </c>
      <c r="M121" s="506" t="str">
        <f>IF(D121="","",VLOOKUP(D121,'G-6 Hedgerow Data'!$B$1:$AH$15,33,FALSE))</f>
        <v/>
      </c>
      <c r="N121" s="513" t="str">
        <f t="shared" si="9"/>
        <v/>
      </c>
      <c r="O121" s="40"/>
      <c r="P121" s="145"/>
      <c r="Q121" s="157"/>
      <c r="R121" s="507" t="str">
        <f t="shared" si="10"/>
        <v/>
      </c>
      <c r="S121" s="507" t="str">
        <f t="shared" si="11"/>
        <v/>
      </c>
      <c r="T121" s="511" t="str">
        <f t="shared" si="12"/>
        <v/>
      </c>
      <c r="U121" s="515" t="str">
        <f t="shared" si="13"/>
        <v/>
      </c>
      <c r="V121" s="151"/>
      <c r="W121" s="152"/>
      <c r="AB121" s="31" t="str">
        <f>IFERROR(INDEX('G-6 Hedgerow Data'!$BJ$3:$BJ$15,MATCH(D121,'G-6 Hedgerow Data'!$B$3:$B$15,0)),"")</f>
        <v/>
      </c>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row>
    <row r="122" spans="2:37" ht="13.8" x14ac:dyDescent="0.25">
      <c r="B122" s="141">
        <v>113</v>
      </c>
      <c r="C122" s="203"/>
      <c r="D122" s="203"/>
      <c r="E122" s="153"/>
      <c r="F122" s="498" t="str">
        <f>IF(D122="","",VLOOKUP(D122,'G-6 Hedgerow Data'!$B$2:$AG$15,2,FALSE))</f>
        <v/>
      </c>
      <c r="G122" s="499" t="str">
        <f>IF(D122="","",VLOOKUP(D122,'G-6 Hedgerow Data'!$B$2:$AG$15,3,FALSE))</f>
        <v/>
      </c>
      <c r="H122" s="145"/>
      <c r="I122" s="499" t="str">
        <f>IFERROR(IF(AND(F122="V.Low",OR(H122="Good",H122="Moderate")),"Error ▲",VLOOKUP(H122,'G-1 All Habitats'!$Z$2:$AA$9,2,FALSE)),"")</f>
        <v/>
      </c>
      <c r="J122" s="154"/>
      <c r="K122" s="520" t="str">
        <f>IF(J122="","",IF(VLOOKUP(J122,'G-3 Multipliers'!$L$3:$N$6,2,FALSE)=0,"Spatial Data Missing ⚠",VLOOKUP(J122,'G-3 Multipliers'!$L$3:$N$6,2,FALSE)))</f>
        <v/>
      </c>
      <c r="L122" s="524" t="str">
        <f>IF(J122="","",IF(VLOOKUP(J122,'G-3 Multipliers'!$L$3:$N$6,3,FALSE)=0,"Spatial Data Missing ⚠",VLOOKUP(J122,'G-3 Multipliers'!$L$3:$N$6,3,FALSE)))</f>
        <v/>
      </c>
      <c r="M122" s="506" t="str">
        <f>IF(D122="","",VLOOKUP(D122,'G-6 Hedgerow Data'!$B$1:$AH$15,33,FALSE))</f>
        <v/>
      </c>
      <c r="N122" s="513" t="str">
        <f t="shared" si="9"/>
        <v/>
      </c>
      <c r="O122" s="40"/>
      <c r="P122" s="145"/>
      <c r="Q122" s="157"/>
      <c r="R122" s="507" t="str">
        <f t="shared" si="10"/>
        <v/>
      </c>
      <c r="S122" s="507" t="str">
        <f t="shared" si="11"/>
        <v/>
      </c>
      <c r="T122" s="511" t="str">
        <f t="shared" si="12"/>
        <v/>
      </c>
      <c r="U122" s="515" t="str">
        <f t="shared" si="13"/>
        <v/>
      </c>
      <c r="V122" s="151"/>
      <c r="W122" s="152"/>
      <c r="AB122" s="31" t="str">
        <f>IFERROR(INDEX('G-6 Hedgerow Data'!$BJ$3:$BJ$15,MATCH(D122,'G-6 Hedgerow Data'!$B$3:$B$15,0)),"")</f>
        <v/>
      </c>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row>
    <row r="123" spans="2:37" ht="13.8" x14ac:dyDescent="0.25">
      <c r="B123" s="141">
        <v>114</v>
      </c>
      <c r="C123" s="203"/>
      <c r="D123" s="203"/>
      <c r="E123" s="153"/>
      <c r="F123" s="498" t="str">
        <f>IF(D123="","",VLOOKUP(D123,'G-6 Hedgerow Data'!$B$2:$AG$15,2,FALSE))</f>
        <v/>
      </c>
      <c r="G123" s="499" t="str">
        <f>IF(D123="","",VLOOKUP(D123,'G-6 Hedgerow Data'!$B$2:$AG$15,3,FALSE))</f>
        <v/>
      </c>
      <c r="H123" s="145"/>
      <c r="I123" s="499" t="str">
        <f>IFERROR(IF(AND(F123="V.Low",OR(H123="Good",H123="Moderate")),"Error ▲",VLOOKUP(H123,'G-1 All Habitats'!$Z$2:$AA$9,2,FALSE)),"")</f>
        <v/>
      </c>
      <c r="J123" s="154"/>
      <c r="K123" s="520" t="str">
        <f>IF(J123="","",IF(VLOOKUP(J123,'G-3 Multipliers'!$L$3:$N$6,2,FALSE)=0,"Spatial Data Missing ⚠",VLOOKUP(J123,'G-3 Multipliers'!$L$3:$N$6,2,FALSE)))</f>
        <v/>
      </c>
      <c r="L123" s="524" t="str">
        <f>IF(J123="","",IF(VLOOKUP(J123,'G-3 Multipliers'!$L$3:$N$6,3,FALSE)=0,"Spatial Data Missing ⚠",VLOOKUP(J123,'G-3 Multipliers'!$L$3:$N$6,3,FALSE)))</f>
        <v/>
      </c>
      <c r="M123" s="506" t="str">
        <f>IF(D123="","",VLOOKUP(D123,'G-6 Hedgerow Data'!$B$1:$AH$15,33,FALSE))</f>
        <v/>
      </c>
      <c r="N123" s="513" t="str">
        <f t="shared" si="9"/>
        <v/>
      </c>
      <c r="O123" s="40"/>
      <c r="P123" s="145"/>
      <c r="Q123" s="157"/>
      <c r="R123" s="507" t="str">
        <f t="shared" si="10"/>
        <v/>
      </c>
      <c r="S123" s="507" t="str">
        <f t="shared" si="11"/>
        <v/>
      </c>
      <c r="T123" s="511" t="str">
        <f t="shared" si="12"/>
        <v/>
      </c>
      <c r="U123" s="515" t="str">
        <f t="shared" si="13"/>
        <v/>
      </c>
      <c r="V123" s="151"/>
      <c r="W123" s="152"/>
      <c r="AB123" s="31" t="str">
        <f>IFERROR(INDEX('G-6 Hedgerow Data'!$BJ$3:$BJ$15,MATCH(D123,'G-6 Hedgerow Data'!$B$3:$B$15,0)),"")</f>
        <v/>
      </c>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row>
    <row r="124" spans="2:37" ht="13.8" x14ac:dyDescent="0.25">
      <c r="B124" s="141">
        <v>115</v>
      </c>
      <c r="C124" s="203"/>
      <c r="D124" s="203"/>
      <c r="E124" s="153"/>
      <c r="F124" s="498" t="str">
        <f>IF(D124="","",VLOOKUP(D124,'G-6 Hedgerow Data'!$B$2:$AG$15,2,FALSE))</f>
        <v/>
      </c>
      <c r="G124" s="499" t="str">
        <f>IF(D124="","",VLOOKUP(D124,'G-6 Hedgerow Data'!$B$2:$AG$15,3,FALSE))</f>
        <v/>
      </c>
      <c r="H124" s="145"/>
      <c r="I124" s="499" t="str">
        <f>IFERROR(IF(AND(F124="V.Low",OR(H124="Good",H124="Moderate")),"Error ▲",VLOOKUP(H124,'G-1 All Habitats'!$Z$2:$AA$9,2,FALSE)),"")</f>
        <v/>
      </c>
      <c r="J124" s="154"/>
      <c r="K124" s="520" t="str">
        <f>IF(J124="","",IF(VLOOKUP(J124,'G-3 Multipliers'!$L$3:$N$6,2,FALSE)=0,"Spatial Data Missing ⚠",VLOOKUP(J124,'G-3 Multipliers'!$L$3:$N$6,2,FALSE)))</f>
        <v/>
      </c>
      <c r="L124" s="524" t="str">
        <f>IF(J124="","",IF(VLOOKUP(J124,'G-3 Multipliers'!$L$3:$N$6,3,FALSE)=0,"Spatial Data Missing ⚠",VLOOKUP(J124,'G-3 Multipliers'!$L$3:$N$6,3,FALSE)))</f>
        <v/>
      </c>
      <c r="M124" s="506" t="str">
        <f>IF(D124="","",VLOOKUP(D124,'G-6 Hedgerow Data'!$B$1:$AH$15,33,FALSE))</f>
        <v/>
      </c>
      <c r="N124" s="513" t="str">
        <f t="shared" si="9"/>
        <v/>
      </c>
      <c r="O124" s="40"/>
      <c r="P124" s="145"/>
      <c r="Q124" s="157"/>
      <c r="R124" s="507" t="str">
        <f t="shared" si="10"/>
        <v/>
      </c>
      <c r="S124" s="507" t="str">
        <f t="shared" si="11"/>
        <v/>
      </c>
      <c r="T124" s="511" t="str">
        <f t="shared" si="12"/>
        <v/>
      </c>
      <c r="U124" s="515" t="str">
        <f t="shared" si="13"/>
        <v/>
      </c>
      <c r="V124" s="151"/>
      <c r="W124" s="152"/>
      <c r="AB124" s="31" t="str">
        <f>IFERROR(INDEX('G-6 Hedgerow Data'!$BJ$3:$BJ$15,MATCH(D124,'G-6 Hedgerow Data'!$B$3:$B$15,0)),"")</f>
        <v/>
      </c>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row>
    <row r="125" spans="2:37" ht="13.8" x14ac:dyDescent="0.25">
      <c r="B125" s="141">
        <v>116</v>
      </c>
      <c r="C125" s="203"/>
      <c r="D125" s="203"/>
      <c r="E125" s="153"/>
      <c r="F125" s="498" t="str">
        <f>IF(D125="","",VLOOKUP(D125,'G-6 Hedgerow Data'!$B$2:$AG$15,2,FALSE))</f>
        <v/>
      </c>
      <c r="G125" s="499" t="str">
        <f>IF(D125="","",VLOOKUP(D125,'G-6 Hedgerow Data'!$B$2:$AG$15,3,FALSE))</f>
        <v/>
      </c>
      <c r="H125" s="145"/>
      <c r="I125" s="499" t="str">
        <f>IFERROR(IF(AND(F125="V.Low",OR(H125="Good",H125="Moderate")),"Error ▲",VLOOKUP(H125,'G-1 All Habitats'!$Z$2:$AA$9,2,FALSE)),"")</f>
        <v/>
      </c>
      <c r="J125" s="154"/>
      <c r="K125" s="520" t="str">
        <f>IF(J125="","",IF(VLOOKUP(J125,'G-3 Multipliers'!$L$3:$N$6,2,FALSE)=0,"Spatial Data Missing ⚠",VLOOKUP(J125,'G-3 Multipliers'!$L$3:$N$6,2,FALSE)))</f>
        <v/>
      </c>
      <c r="L125" s="524" t="str">
        <f>IF(J125="","",IF(VLOOKUP(J125,'G-3 Multipliers'!$L$3:$N$6,3,FALSE)=0,"Spatial Data Missing ⚠",VLOOKUP(J125,'G-3 Multipliers'!$L$3:$N$6,3,FALSE)))</f>
        <v/>
      </c>
      <c r="M125" s="506" t="str">
        <f>IF(D125="","",VLOOKUP(D125,'G-6 Hedgerow Data'!$B$1:$AH$15,33,FALSE))</f>
        <v/>
      </c>
      <c r="N125" s="513" t="str">
        <f t="shared" si="9"/>
        <v/>
      </c>
      <c r="O125" s="40"/>
      <c r="P125" s="145"/>
      <c r="Q125" s="157"/>
      <c r="R125" s="507" t="str">
        <f t="shared" si="10"/>
        <v/>
      </c>
      <c r="S125" s="507" t="str">
        <f t="shared" si="11"/>
        <v/>
      </c>
      <c r="T125" s="511" t="str">
        <f t="shared" si="12"/>
        <v/>
      </c>
      <c r="U125" s="515" t="str">
        <f t="shared" si="13"/>
        <v/>
      </c>
      <c r="V125" s="151"/>
      <c r="W125" s="152"/>
      <c r="AB125" s="31" t="str">
        <f>IFERROR(INDEX('G-6 Hedgerow Data'!$BJ$3:$BJ$15,MATCH(D125,'G-6 Hedgerow Data'!$B$3:$B$15,0)),"")</f>
        <v/>
      </c>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row>
    <row r="126" spans="2:37" ht="13.8" x14ac:dyDescent="0.25">
      <c r="B126" s="141">
        <v>117</v>
      </c>
      <c r="C126" s="203"/>
      <c r="D126" s="203"/>
      <c r="E126" s="153"/>
      <c r="F126" s="498" t="str">
        <f>IF(D126="","",VLOOKUP(D126,'G-6 Hedgerow Data'!$B$2:$AG$15,2,FALSE))</f>
        <v/>
      </c>
      <c r="G126" s="499" t="str">
        <f>IF(D126="","",VLOOKUP(D126,'G-6 Hedgerow Data'!$B$2:$AG$15,3,FALSE))</f>
        <v/>
      </c>
      <c r="H126" s="145"/>
      <c r="I126" s="499" t="str">
        <f>IFERROR(IF(AND(F126="V.Low",OR(H126="Good",H126="Moderate")),"Error ▲",VLOOKUP(H126,'G-1 All Habitats'!$Z$2:$AA$9,2,FALSE)),"")</f>
        <v/>
      </c>
      <c r="J126" s="154"/>
      <c r="K126" s="520" t="str">
        <f>IF(J126="","",IF(VLOOKUP(J126,'G-3 Multipliers'!$L$3:$N$6,2,FALSE)=0,"Spatial Data Missing ⚠",VLOOKUP(J126,'G-3 Multipliers'!$L$3:$N$6,2,FALSE)))</f>
        <v/>
      </c>
      <c r="L126" s="524" t="str">
        <f>IF(J126="","",IF(VLOOKUP(J126,'G-3 Multipliers'!$L$3:$N$6,3,FALSE)=0,"Spatial Data Missing ⚠",VLOOKUP(J126,'G-3 Multipliers'!$L$3:$N$6,3,FALSE)))</f>
        <v/>
      </c>
      <c r="M126" s="506" t="str">
        <f>IF(D126="","",VLOOKUP(D126,'G-6 Hedgerow Data'!$B$1:$AH$15,33,FALSE))</f>
        <v/>
      </c>
      <c r="N126" s="513" t="str">
        <f t="shared" si="9"/>
        <v/>
      </c>
      <c r="O126" s="40"/>
      <c r="P126" s="145"/>
      <c r="Q126" s="157"/>
      <c r="R126" s="507" t="str">
        <f t="shared" si="10"/>
        <v/>
      </c>
      <c r="S126" s="507" t="str">
        <f t="shared" si="11"/>
        <v/>
      </c>
      <c r="T126" s="511" t="str">
        <f t="shared" si="12"/>
        <v/>
      </c>
      <c r="U126" s="515" t="str">
        <f t="shared" si="13"/>
        <v/>
      </c>
      <c r="V126" s="151"/>
      <c r="W126" s="152"/>
      <c r="AB126" s="31" t="str">
        <f>IFERROR(INDEX('G-6 Hedgerow Data'!$BJ$3:$BJ$15,MATCH(D126,'G-6 Hedgerow Data'!$B$3:$B$15,0)),"")</f>
        <v/>
      </c>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row>
    <row r="127" spans="2:37" ht="13.8" x14ac:dyDescent="0.25">
      <c r="B127" s="141">
        <v>118</v>
      </c>
      <c r="C127" s="203"/>
      <c r="D127" s="203"/>
      <c r="E127" s="153"/>
      <c r="F127" s="498" t="str">
        <f>IF(D127="","",VLOOKUP(D127,'G-6 Hedgerow Data'!$B$2:$AG$15,2,FALSE))</f>
        <v/>
      </c>
      <c r="G127" s="499" t="str">
        <f>IF(D127="","",VLOOKUP(D127,'G-6 Hedgerow Data'!$B$2:$AG$15,3,FALSE))</f>
        <v/>
      </c>
      <c r="H127" s="145"/>
      <c r="I127" s="499" t="str">
        <f>IFERROR(IF(AND(F127="V.Low",OR(H127="Good",H127="Moderate")),"Error ▲",VLOOKUP(H127,'G-1 All Habitats'!$Z$2:$AA$9,2,FALSE)),"")</f>
        <v/>
      </c>
      <c r="J127" s="154"/>
      <c r="K127" s="520" t="str">
        <f>IF(J127="","",IF(VLOOKUP(J127,'G-3 Multipliers'!$L$3:$N$6,2,FALSE)=0,"Spatial Data Missing ⚠",VLOOKUP(J127,'G-3 Multipliers'!$L$3:$N$6,2,FALSE)))</f>
        <v/>
      </c>
      <c r="L127" s="524" t="str">
        <f>IF(J127="","",IF(VLOOKUP(J127,'G-3 Multipliers'!$L$3:$N$6,3,FALSE)=0,"Spatial Data Missing ⚠",VLOOKUP(J127,'G-3 Multipliers'!$L$3:$N$6,3,FALSE)))</f>
        <v/>
      </c>
      <c r="M127" s="506" t="str">
        <f>IF(D127="","",VLOOKUP(D127,'G-6 Hedgerow Data'!$B$1:$AH$15,33,FALSE))</f>
        <v/>
      </c>
      <c r="N127" s="513" t="str">
        <f t="shared" si="9"/>
        <v/>
      </c>
      <c r="O127" s="40"/>
      <c r="P127" s="145"/>
      <c r="Q127" s="157"/>
      <c r="R127" s="507" t="str">
        <f t="shared" si="10"/>
        <v/>
      </c>
      <c r="S127" s="507" t="str">
        <f t="shared" si="11"/>
        <v/>
      </c>
      <c r="T127" s="511" t="str">
        <f t="shared" si="12"/>
        <v/>
      </c>
      <c r="U127" s="515" t="str">
        <f t="shared" si="13"/>
        <v/>
      </c>
      <c r="V127" s="151"/>
      <c r="W127" s="152"/>
      <c r="AB127" s="31" t="str">
        <f>IFERROR(INDEX('G-6 Hedgerow Data'!$BJ$3:$BJ$15,MATCH(D127,'G-6 Hedgerow Data'!$B$3:$B$15,0)),"")</f>
        <v/>
      </c>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row>
    <row r="128" spans="2:37" ht="13.8" x14ac:dyDescent="0.25">
      <c r="B128" s="141">
        <v>119</v>
      </c>
      <c r="C128" s="203"/>
      <c r="D128" s="203"/>
      <c r="E128" s="153"/>
      <c r="F128" s="498" t="str">
        <f>IF(D128="","",VLOOKUP(D128,'G-6 Hedgerow Data'!$B$2:$AG$15,2,FALSE))</f>
        <v/>
      </c>
      <c r="G128" s="499" t="str">
        <f>IF(D128="","",VLOOKUP(D128,'G-6 Hedgerow Data'!$B$2:$AG$15,3,FALSE))</f>
        <v/>
      </c>
      <c r="H128" s="145"/>
      <c r="I128" s="499" t="str">
        <f>IFERROR(IF(AND(F128="V.Low",OR(H128="Good",H128="Moderate")),"Error ▲",VLOOKUP(H128,'G-1 All Habitats'!$Z$2:$AA$9,2,FALSE)),"")</f>
        <v/>
      </c>
      <c r="J128" s="154"/>
      <c r="K128" s="520" t="str">
        <f>IF(J128="","",IF(VLOOKUP(J128,'G-3 Multipliers'!$L$3:$N$6,2,FALSE)=0,"Spatial Data Missing ⚠",VLOOKUP(J128,'G-3 Multipliers'!$L$3:$N$6,2,FALSE)))</f>
        <v/>
      </c>
      <c r="L128" s="524" t="str">
        <f>IF(J128="","",IF(VLOOKUP(J128,'G-3 Multipliers'!$L$3:$N$6,3,FALSE)=0,"Spatial Data Missing ⚠",VLOOKUP(J128,'G-3 Multipliers'!$L$3:$N$6,3,FALSE)))</f>
        <v/>
      </c>
      <c r="M128" s="506" t="str">
        <f>IF(D128="","",VLOOKUP(D128,'G-6 Hedgerow Data'!$B$1:$AH$15,33,FALSE))</f>
        <v/>
      </c>
      <c r="N128" s="513" t="str">
        <f t="shared" si="9"/>
        <v/>
      </c>
      <c r="O128" s="40"/>
      <c r="P128" s="145"/>
      <c r="Q128" s="157"/>
      <c r="R128" s="507" t="str">
        <f t="shared" si="10"/>
        <v/>
      </c>
      <c r="S128" s="507" t="str">
        <f t="shared" si="11"/>
        <v/>
      </c>
      <c r="T128" s="511" t="str">
        <f t="shared" si="12"/>
        <v/>
      </c>
      <c r="U128" s="515" t="str">
        <f t="shared" si="13"/>
        <v/>
      </c>
      <c r="V128" s="151"/>
      <c r="W128" s="152"/>
      <c r="AB128" s="31" t="str">
        <f>IFERROR(INDEX('G-6 Hedgerow Data'!$BJ$3:$BJ$15,MATCH(D128,'G-6 Hedgerow Data'!$B$3:$B$15,0)),"")</f>
        <v/>
      </c>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row>
    <row r="129" spans="2:37" ht="13.8" x14ac:dyDescent="0.25">
      <c r="B129" s="141">
        <v>120</v>
      </c>
      <c r="C129" s="203"/>
      <c r="D129" s="203"/>
      <c r="E129" s="153"/>
      <c r="F129" s="498" t="str">
        <f>IF(D129="","",VLOOKUP(D129,'G-6 Hedgerow Data'!$B$2:$AG$15,2,FALSE))</f>
        <v/>
      </c>
      <c r="G129" s="499" t="str">
        <f>IF(D129="","",VLOOKUP(D129,'G-6 Hedgerow Data'!$B$2:$AG$15,3,FALSE))</f>
        <v/>
      </c>
      <c r="H129" s="145"/>
      <c r="I129" s="499" t="str">
        <f>IFERROR(IF(AND(F129="V.Low",OR(H129="Good",H129="Moderate")),"Error ▲",VLOOKUP(H129,'G-1 All Habitats'!$Z$2:$AA$9,2,FALSE)),"")</f>
        <v/>
      </c>
      <c r="J129" s="154"/>
      <c r="K129" s="520" t="str">
        <f>IF(J129="","",IF(VLOOKUP(J129,'G-3 Multipliers'!$L$3:$N$6,2,FALSE)=0,"Spatial Data Missing ⚠",VLOOKUP(J129,'G-3 Multipliers'!$L$3:$N$6,2,FALSE)))</f>
        <v/>
      </c>
      <c r="L129" s="524" t="str">
        <f>IF(J129="","",IF(VLOOKUP(J129,'G-3 Multipliers'!$L$3:$N$6,3,FALSE)=0,"Spatial Data Missing ⚠",VLOOKUP(J129,'G-3 Multipliers'!$L$3:$N$6,3,FALSE)))</f>
        <v/>
      </c>
      <c r="M129" s="506" t="str">
        <f>IF(D129="","",VLOOKUP(D129,'G-6 Hedgerow Data'!$B$1:$AH$15,33,FALSE))</f>
        <v/>
      </c>
      <c r="N129" s="513" t="str">
        <f t="shared" si="9"/>
        <v/>
      </c>
      <c r="O129" s="40"/>
      <c r="P129" s="145"/>
      <c r="Q129" s="157"/>
      <c r="R129" s="507" t="str">
        <f t="shared" si="10"/>
        <v/>
      </c>
      <c r="S129" s="507" t="str">
        <f t="shared" si="11"/>
        <v/>
      </c>
      <c r="T129" s="511" t="str">
        <f t="shared" si="12"/>
        <v/>
      </c>
      <c r="U129" s="515" t="str">
        <f t="shared" si="13"/>
        <v/>
      </c>
      <c r="V129" s="151"/>
      <c r="W129" s="152"/>
      <c r="AB129" s="31" t="str">
        <f>IFERROR(INDEX('G-6 Hedgerow Data'!$BJ$3:$BJ$15,MATCH(D129,'G-6 Hedgerow Data'!$B$3:$B$15,0)),"")</f>
        <v/>
      </c>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row>
    <row r="130" spans="2:37" ht="13.8" x14ac:dyDescent="0.25">
      <c r="B130" s="141">
        <v>121</v>
      </c>
      <c r="C130" s="203"/>
      <c r="D130" s="203"/>
      <c r="E130" s="153"/>
      <c r="F130" s="498" t="str">
        <f>IF(D130="","",VLOOKUP(D130,'G-6 Hedgerow Data'!$B$2:$AG$15,2,FALSE))</f>
        <v/>
      </c>
      <c r="G130" s="499" t="str">
        <f>IF(D130="","",VLOOKUP(D130,'G-6 Hedgerow Data'!$B$2:$AG$15,3,FALSE))</f>
        <v/>
      </c>
      <c r="H130" s="145"/>
      <c r="I130" s="499" t="str">
        <f>IFERROR(IF(AND(F130="V.Low",OR(H130="Good",H130="Moderate")),"Error ▲",VLOOKUP(H130,'G-1 All Habitats'!$Z$2:$AA$9,2,FALSE)),"")</f>
        <v/>
      </c>
      <c r="J130" s="154"/>
      <c r="K130" s="520" t="str">
        <f>IF(J130="","",IF(VLOOKUP(J130,'G-3 Multipliers'!$L$3:$N$6,2,FALSE)=0,"Spatial Data Missing ⚠",VLOOKUP(J130,'G-3 Multipliers'!$L$3:$N$6,2,FALSE)))</f>
        <v/>
      </c>
      <c r="L130" s="524" t="str">
        <f>IF(J130="","",IF(VLOOKUP(J130,'G-3 Multipliers'!$L$3:$N$6,3,FALSE)=0,"Spatial Data Missing ⚠",VLOOKUP(J130,'G-3 Multipliers'!$L$3:$N$6,3,FALSE)))</f>
        <v/>
      </c>
      <c r="M130" s="506" t="str">
        <f>IF(D130="","",VLOOKUP(D130,'G-6 Hedgerow Data'!$B$1:$AH$15,33,FALSE))</f>
        <v/>
      </c>
      <c r="N130" s="513" t="str">
        <f t="shared" si="9"/>
        <v/>
      </c>
      <c r="O130" s="40"/>
      <c r="P130" s="145"/>
      <c r="Q130" s="157"/>
      <c r="R130" s="507" t="str">
        <f t="shared" si="10"/>
        <v/>
      </c>
      <c r="S130" s="507" t="str">
        <f t="shared" si="11"/>
        <v/>
      </c>
      <c r="T130" s="511" t="str">
        <f t="shared" si="12"/>
        <v/>
      </c>
      <c r="U130" s="515" t="str">
        <f t="shared" si="13"/>
        <v/>
      </c>
      <c r="V130" s="151"/>
      <c r="W130" s="152"/>
      <c r="AB130" s="31" t="str">
        <f>IFERROR(INDEX('G-6 Hedgerow Data'!$BJ$3:$BJ$15,MATCH(D130,'G-6 Hedgerow Data'!$B$3:$B$15,0)),"")</f>
        <v/>
      </c>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row>
    <row r="131" spans="2:37" ht="13.8" x14ac:dyDescent="0.25">
      <c r="B131" s="141">
        <v>122</v>
      </c>
      <c r="C131" s="203"/>
      <c r="D131" s="203"/>
      <c r="E131" s="153"/>
      <c r="F131" s="498" t="str">
        <f>IF(D131="","",VLOOKUP(D131,'G-6 Hedgerow Data'!$B$2:$AG$15,2,FALSE))</f>
        <v/>
      </c>
      <c r="G131" s="499" t="str">
        <f>IF(D131="","",VLOOKUP(D131,'G-6 Hedgerow Data'!$B$2:$AG$15,3,FALSE))</f>
        <v/>
      </c>
      <c r="H131" s="145"/>
      <c r="I131" s="499" t="str">
        <f>IFERROR(IF(AND(F131="V.Low",OR(H131="Good",H131="Moderate")),"Error ▲",VLOOKUP(H131,'G-1 All Habitats'!$Z$2:$AA$9,2,FALSE)),"")</f>
        <v/>
      </c>
      <c r="J131" s="154"/>
      <c r="K131" s="520" t="str">
        <f>IF(J131="","",IF(VLOOKUP(J131,'G-3 Multipliers'!$L$3:$N$6,2,FALSE)=0,"Spatial Data Missing ⚠",VLOOKUP(J131,'G-3 Multipliers'!$L$3:$N$6,2,FALSE)))</f>
        <v/>
      </c>
      <c r="L131" s="524" t="str">
        <f>IF(J131="","",IF(VLOOKUP(J131,'G-3 Multipliers'!$L$3:$N$6,3,FALSE)=0,"Spatial Data Missing ⚠",VLOOKUP(J131,'G-3 Multipliers'!$L$3:$N$6,3,FALSE)))</f>
        <v/>
      </c>
      <c r="M131" s="506" t="str">
        <f>IF(D131="","",VLOOKUP(D131,'G-6 Hedgerow Data'!$B$1:$AH$15,33,FALSE))</f>
        <v/>
      </c>
      <c r="N131" s="513" t="str">
        <f t="shared" si="9"/>
        <v/>
      </c>
      <c r="O131" s="40"/>
      <c r="P131" s="145"/>
      <c r="Q131" s="157"/>
      <c r="R131" s="507" t="str">
        <f t="shared" si="10"/>
        <v/>
      </c>
      <c r="S131" s="507" t="str">
        <f t="shared" si="11"/>
        <v/>
      </c>
      <c r="T131" s="511" t="str">
        <f t="shared" si="12"/>
        <v/>
      </c>
      <c r="U131" s="515" t="str">
        <f t="shared" si="13"/>
        <v/>
      </c>
      <c r="V131" s="151"/>
      <c r="W131" s="152"/>
      <c r="AB131" s="31" t="str">
        <f>IFERROR(INDEX('G-6 Hedgerow Data'!$BJ$3:$BJ$15,MATCH(D131,'G-6 Hedgerow Data'!$B$3:$B$15,0)),"")</f>
        <v/>
      </c>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row>
    <row r="132" spans="2:37" ht="13.8" x14ac:dyDescent="0.25">
      <c r="B132" s="141">
        <v>123</v>
      </c>
      <c r="C132" s="203"/>
      <c r="D132" s="203"/>
      <c r="E132" s="153"/>
      <c r="F132" s="498" t="str">
        <f>IF(D132="","",VLOOKUP(D132,'G-6 Hedgerow Data'!$B$2:$AG$15,2,FALSE))</f>
        <v/>
      </c>
      <c r="G132" s="499" t="str">
        <f>IF(D132="","",VLOOKUP(D132,'G-6 Hedgerow Data'!$B$2:$AG$15,3,FALSE))</f>
        <v/>
      </c>
      <c r="H132" s="145"/>
      <c r="I132" s="499" t="str">
        <f>IFERROR(IF(AND(F132="V.Low",OR(H132="Good",H132="Moderate")),"Error ▲",VLOOKUP(H132,'G-1 All Habitats'!$Z$2:$AA$9,2,FALSE)),"")</f>
        <v/>
      </c>
      <c r="J132" s="154"/>
      <c r="K132" s="520" t="str">
        <f>IF(J132="","",IF(VLOOKUP(J132,'G-3 Multipliers'!$L$3:$N$6,2,FALSE)=0,"Spatial Data Missing ⚠",VLOOKUP(J132,'G-3 Multipliers'!$L$3:$N$6,2,FALSE)))</f>
        <v/>
      </c>
      <c r="L132" s="524" t="str">
        <f>IF(J132="","",IF(VLOOKUP(J132,'G-3 Multipliers'!$L$3:$N$6,3,FALSE)=0,"Spatial Data Missing ⚠",VLOOKUP(J132,'G-3 Multipliers'!$L$3:$N$6,3,FALSE)))</f>
        <v/>
      </c>
      <c r="M132" s="506" t="str">
        <f>IF(D132="","",VLOOKUP(D132,'G-6 Hedgerow Data'!$B$1:$AH$15,33,FALSE))</f>
        <v/>
      </c>
      <c r="N132" s="513" t="str">
        <f t="shared" si="9"/>
        <v/>
      </c>
      <c r="O132" s="40"/>
      <c r="P132" s="145"/>
      <c r="Q132" s="157"/>
      <c r="R132" s="507" t="str">
        <f t="shared" si="10"/>
        <v/>
      </c>
      <c r="S132" s="507" t="str">
        <f t="shared" si="11"/>
        <v/>
      </c>
      <c r="T132" s="511" t="str">
        <f t="shared" si="12"/>
        <v/>
      </c>
      <c r="U132" s="515" t="str">
        <f t="shared" si="13"/>
        <v/>
      </c>
      <c r="V132" s="151"/>
      <c r="W132" s="152"/>
      <c r="AB132" s="31" t="str">
        <f>IFERROR(INDEX('G-6 Hedgerow Data'!$BJ$3:$BJ$15,MATCH(D132,'G-6 Hedgerow Data'!$B$3:$B$15,0)),"")</f>
        <v/>
      </c>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row>
    <row r="133" spans="2:37" ht="13.8" x14ac:dyDescent="0.25">
      <c r="B133" s="141">
        <v>124</v>
      </c>
      <c r="C133" s="203"/>
      <c r="D133" s="203"/>
      <c r="E133" s="153"/>
      <c r="F133" s="498" t="str">
        <f>IF(D133="","",VLOOKUP(D133,'G-6 Hedgerow Data'!$B$2:$AG$15,2,FALSE))</f>
        <v/>
      </c>
      <c r="G133" s="499" t="str">
        <f>IF(D133="","",VLOOKUP(D133,'G-6 Hedgerow Data'!$B$2:$AG$15,3,FALSE))</f>
        <v/>
      </c>
      <c r="H133" s="145"/>
      <c r="I133" s="499" t="str">
        <f>IFERROR(IF(AND(F133="V.Low",OR(H133="Good",H133="Moderate")),"Error ▲",VLOOKUP(H133,'G-1 All Habitats'!$Z$2:$AA$9,2,FALSE)),"")</f>
        <v/>
      </c>
      <c r="J133" s="154"/>
      <c r="K133" s="520" t="str">
        <f>IF(J133="","",IF(VLOOKUP(J133,'G-3 Multipliers'!$L$3:$N$6,2,FALSE)=0,"Spatial Data Missing ⚠",VLOOKUP(J133,'G-3 Multipliers'!$L$3:$N$6,2,FALSE)))</f>
        <v/>
      </c>
      <c r="L133" s="524" t="str">
        <f>IF(J133="","",IF(VLOOKUP(J133,'G-3 Multipliers'!$L$3:$N$6,3,FALSE)=0,"Spatial Data Missing ⚠",VLOOKUP(J133,'G-3 Multipliers'!$L$3:$N$6,3,FALSE)))</f>
        <v/>
      </c>
      <c r="M133" s="506" t="str">
        <f>IF(D133="","",VLOOKUP(D133,'G-6 Hedgerow Data'!$B$1:$AH$15,33,FALSE))</f>
        <v/>
      </c>
      <c r="N133" s="513" t="str">
        <f t="shared" si="9"/>
        <v/>
      </c>
      <c r="O133" s="40"/>
      <c r="P133" s="145"/>
      <c r="Q133" s="157"/>
      <c r="R133" s="507" t="str">
        <f t="shared" si="10"/>
        <v/>
      </c>
      <c r="S133" s="507" t="str">
        <f t="shared" si="11"/>
        <v/>
      </c>
      <c r="T133" s="511" t="str">
        <f t="shared" si="12"/>
        <v/>
      </c>
      <c r="U133" s="515" t="str">
        <f t="shared" si="13"/>
        <v/>
      </c>
      <c r="V133" s="151"/>
      <c r="W133" s="152"/>
      <c r="AB133" s="31" t="str">
        <f>IFERROR(INDEX('G-6 Hedgerow Data'!$BJ$3:$BJ$15,MATCH(D133,'G-6 Hedgerow Data'!$B$3:$B$15,0)),"")</f>
        <v/>
      </c>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row>
    <row r="134" spans="2:37" ht="13.8" x14ac:dyDescent="0.25">
      <c r="B134" s="141">
        <v>125</v>
      </c>
      <c r="C134" s="203"/>
      <c r="D134" s="203"/>
      <c r="E134" s="153"/>
      <c r="F134" s="498" t="str">
        <f>IF(D134="","",VLOOKUP(D134,'G-6 Hedgerow Data'!$B$2:$AG$15,2,FALSE))</f>
        <v/>
      </c>
      <c r="G134" s="499" t="str">
        <f>IF(D134="","",VLOOKUP(D134,'G-6 Hedgerow Data'!$B$2:$AG$15,3,FALSE))</f>
        <v/>
      </c>
      <c r="H134" s="145"/>
      <c r="I134" s="499" t="str">
        <f>IFERROR(IF(AND(F134="V.Low",OR(H134="Good",H134="Moderate")),"Error ▲",VLOOKUP(H134,'G-1 All Habitats'!$Z$2:$AA$9,2,FALSE)),"")</f>
        <v/>
      </c>
      <c r="J134" s="154"/>
      <c r="K134" s="520" t="str">
        <f>IF(J134="","",IF(VLOOKUP(J134,'G-3 Multipliers'!$L$3:$N$6,2,FALSE)=0,"Spatial Data Missing ⚠",VLOOKUP(J134,'G-3 Multipliers'!$L$3:$N$6,2,FALSE)))</f>
        <v/>
      </c>
      <c r="L134" s="524" t="str">
        <f>IF(J134="","",IF(VLOOKUP(J134,'G-3 Multipliers'!$L$3:$N$6,3,FALSE)=0,"Spatial Data Missing ⚠",VLOOKUP(J134,'G-3 Multipliers'!$L$3:$N$6,3,FALSE)))</f>
        <v/>
      </c>
      <c r="M134" s="506" t="str">
        <f>IF(D134="","",VLOOKUP(D134,'G-6 Hedgerow Data'!$B$1:$AH$15,33,FALSE))</f>
        <v/>
      </c>
      <c r="N134" s="513" t="str">
        <f t="shared" si="9"/>
        <v/>
      </c>
      <c r="O134" s="40"/>
      <c r="P134" s="145"/>
      <c r="Q134" s="157"/>
      <c r="R134" s="507" t="str">
        <f t="shared" si="10"/>
        <v/>
      </c>
      <c r="S134" s="507" t="str">
        <f t="shared" si="11"/>
        <v/>
      </c>
      <c r="T134" s="511" t="str">
        <f t="shared" si="12"/>
        <v/>
      </c>
      <c r="U134" s="515" t="str">
        <f t="shared" si="13"/>
        <v/>
      </c>
      <c r="V134" s="151"/>
      <c r="W134" s="152"/>
      <c r="AB134" s="31" t="str">
        <f>IFERROR(INDEX('G-6 Hedgerow Data'!$BJ$3:$BJ$15,MATCH(D134,'G-6 Hedgerow Data'!$B$3:$B$15,0)),"")</f>
        <v/>
      </c>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row>
    <row r="135" spans="2:37" ht="13.8" x14ac:dyDescent="0.25">
      <c r="B135" s="141">
        <v>126</v>
      </c>
      <c r="C135" s="203"/>
      <c r="D135" s="203"/>
      <c r="E135" s="153"/>
      <c r="F135" s="498" t="str">
        <f>IF(D135="","",VLOOKUP(D135,'G-6 Hedgerow Data'!$B$2:$AG$15,2,FALSE))</f>
        <v/>
      </c>
      <c r="G135" s="499" t="str">
        <f>IF(D135="","",VLOOKUP(D135,'G-6 Hedgerow Data'!$B$2:$AG$15,3,FALSE))</f>
        <v/>
      </c>
      <c r="H135" s="145"/>
      <c r="I135" s="499" t="str">
        <f>IFERROR(IF(AND(F135="V.Low",OR(H135="Good",H135="Moderate")),"Error ▲",VLOOKUP(H135,'G-1 All Habitats'!$Z$2:$AA$9,2,FALSE)),"")</f>
        <v/>
      </c>
      <c r="J135" s="154"/>
      <c r="K135" s="520" t="str">
        <f>IF(J135="","",IF(VLOOKUP(J135,'G-3 Multipliers'!$L$3:$N$6,2,FALSE)=0,"Spatial Data Missing ⚠",VLOOKUP(J135,'G-3 Multipliers'!$L$3:$N$6,2,FALSE)))</f>
        <v/>
      </c>
      <c r="L135" s="524" t="str">
        <f>IF(J135="","",IF(VLOOKUP(J135,'G-3 Multipliers'!$L$3:$N$6,3,FALSE)=0,"Spatial Data Missing ⚠",VLOOKUP(J135,'G-3 Multipliers'!$L$3:$N$6,3,FALSE)))</f>
        <v/>
      </c>
      <c r="M135" s="506" t="str">
        <f>IF(D135="","",VLOOKUP(D135,'G-6 Hedgerow Data'!$B$1:$AH$15,33,FALSE))</f>
        <v/>
      </c>
      <c r="N135" s="513" t="str">
        <f t="shared" si="9"/>
        <v/>
      </c>
      <c r="O135" s="40"/>
      <c r="P135" s="145"/>
      <c r="Q135" s="157"/>
      <c r="R135" s="507" t="str">
        <f t="shared" si="10"/>
        <v/>
      </c>
      <c r="S135" s="507" t="str">
        <f t="shared" si="11"/>
        <v/>
      </c>
      <c r="T135" s="511" t="str">
        <f t="shared" si="12"/>
        <v/>
      </c>
      <c r="U135" s="515" t="str">
        <f t="shared" si="13"/>
        <v/>
      </c>
      <c r="V135" s="151"/>
      <c r="W135" s="152"/>
      <c r="AB135" s="31" t="str">
        <f>IFERROR(INDEX('G-6 Hedgerow Data'!$BJ$3:$BJ$15,MATCH(D135,'G-6 Hedgerow Data'!$B$3:$B$15,0)),"")</f>
        <v/>
      </c>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row>
    <row r="136" spans="2:37" ht="13.8" x14ac:dyDescent="0.25">
      <c r="B136" s="141">
        <v>127</v>
      </c>
      <c r="C136" s="203"/>
      <c r="D136" s="203"/>
      <c r="E136" s="153"/>
      <c r="F136" s="498" t="str">
        <f>IF(D136="","",VLOOKUP(D136,'G-6 Hedgerow Data'!$B$2:$AG$15,2,FALSE))</f>
        <v/>
      </c>
      <c r="G136" s="499" t="str">
        <f>IF(D136="","",VLOOKUP(D136,'G-6 Hedgerow Data'!$B$2:$AG$15,3,FALSE))</f>
        <v/>
      </c>
      <c r="H136" s="145"/>
      <c r="I136" s="499" t="str">
        <f>IFERROR(IF(AND(F136="V.Low",OR(H136="Good",H136="Moderate")),"Error ▲",VLOOKUP(H136,'G-1 All Habitats'!$Z$2:$AA$9,2,FALSE)),"")</f>
        <v/>
      </c>
      <c r="J136" s="154"/>
      <c r="K136" s="520" t="str">
        <f>IF(J136="","",IF(VLOOKUP(J136,'G-3 Multipliers'!$L$3:$N$6,2,FALSE)=0,"Spatial Data Missing ⚠",VLOOKUP(J136,'G-3 Multipliers'!$L$3:$N$6,2,FALSE)))</f>
        <v/>
      </c>
      <c r="L136" s="524" t="str">
        <f>IF(J136="","",IF(VLOOKUP(J136,'G-3 Multipliers'!$L$3:$N$6,3,FALSE)=0,"Spatial Data Missing ⚠",VLOOKUP(J136,'G-3 Multipliers'!$L$3:$N$6,3,FALSE)))</f>
        <v/>
      </c>
      <c r="M136" s="506" t="str">
        <f>IF(D136="","",VLOOKUP(D136,'G-6 Hedgerow Data'!$B$1:$AH$15,33,FALSE))</f>
        <v/>
      </c>
      <c r="N136" s="513" t="str">
        <f t="shared" si="9"/>
        <v/>
      </c>
      <c r="O136" s="40"/>
      <c r="P136" s="145"/>
      <c r="Q136" s="157"/>
      <c r="R136" s="507" t="str">
        <f t="shared" si="10"/>
        <v/>
      </c>
      <c r="S136" s="507" t="str">
        <f t="shared" si="11"/>
        <v/>
      </c>
      <c r="T136" s="511" t="str">
        <f t="shared" si="12"/>
        <v/>
      </c>
      <c r="U136" s="515" t="str">
        <f t="shared" si="13"/>
        <v/>
      </c>
      <c r="V136" s="151"/>
      <c r="W136" s="152"/>
      <c r="AB136" s="31" t="str">
        <f>IFERROR(INDEX('G-6 Hedgerow Data'!$BJ$3:$BJ$15,MATCH(D136,'G-6 Hedgerow Data'!$B$3:$B$15,0)),"")</f>
        <v/>
      </c>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row>
    <row r="137" spans="2:37" ht="13.8" x14ac:dyDescent="0.25">
      <c r="B137" s="141">
        <v>128</v>
      </c>
      <c r="C137" s="203"/>
      <c r="D137" s="203"/>
      <c r="E137" s="153"/>
      <c r="F137" s="498" t="str">
        <f>IF(D137="","",VLOOKUP(D137,'G-6 Hedgerow Data'!$B$2:$AG$15,2,FALSE))</f>
        <v/>
      </c>
      <c r="G137" s="499" t="str">
        <f>IF(D137="","",VLOOKUP(D137,'G-6 Hedgerow Data'!$B$2:$AG$15,3,FALSE))</f>
        <v/>
      </c>
      <c r="H137" s="145"/>
      <c r="I137" s="499" t="str">
        <f>IFERROR(IF(AND(F137="V.Low",OR(H137="Good",H137="Moderate")),"Error ▲",VLOOKUP(H137,'G-1 All Habitats'!$Z$2:$AA$9,2,FALSE)),"")</f>
        <v/>
      </c>
      <c r="J137" s="154"/>
      <c r="K137" s="520" t="str">
        <f>IF(J137="","",IF(VLOOKUP(J137,'G-3 Multipliers'!$L$3:$N$6,2,FALSE)=0,"Spatial Data Missing ⚠",VLOOKUP(J137,'G-3 Multipliers'!$L$3:$N$6,2,FALSE)))</f>
        <v/>
      </c>
      <c r="L137" s="524" t="str">
        <f>IF(J137="","",IF(VLOOKUP(J137,'G-3 Multipliers'!$L$3:$N$6,3,FALSE)=0,"Spatial Data Missing ⚠",VLOOKUP(J137,'G-3 Multipliers'!$L$3:$N$6,3,FALSE)))</f>
        <v/>
      </c>
      <c r="M137" s="506" t="str">
        <f>IF(D137="","",VLOOKUP(D137,'G-6 Hedgerow Data'!$B$1:$AH$15,33,FALSE))</f>
        <v/>
      </c>
      <c r="N137" s="513" t="str">
        <f t="shared" si="9"/>
        <v/>
      </c>
      <c r="O137" s="40"/>
      <c r="P137" s="145"/>
      <c r="Q137" s="157"/>
      <c r="R137" s="507" t="str">
        <f t="shared" si="10"/>
        <v/>
      </c>
      <c r="S137" s="507" t="str">
        <f t="shared" si="11"/>
        <v/>
      </c>
      <c r="T137" s="511" t="str">
        <f t="shared" si="12"/>
        <v/>
      </c>
      <c r="U137" s="515" t="str">
        <f t="shared" si="13"/>
        <v/>
      </c>
      <c r="V137" s="151"/>
      <c r="W137" s="152"/>
      <c r="AB137" s="31" t="str">
        <f>IFERROR(INDEX('G-6 Hedgerow Data'!$BJ$3:$BJ$15,MATCH(D137,'G-6 Hedgerow Data'!$B$3:$B$15,0)),"")</f>
        <v/>
      </c>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row>
    <row r="138" spans="2:37" ht="13.8" x14ac:dyDescent="0.25">
      <c r="B138" s="141">
        <v>129</v>
      </c>
      <c r="C138" s="203"/>
      <c r="D138" s="203"/>
      <c r="E138" s="153"/>
      <c r="F138" s="498" t="str">
        <f>IF(D138="","",VLOOKUP(D138,'G-6 Hedgerow Data'!$B$2:$AG$15,2,FALSE))</f>
        <v/>
      </c>
      <c r="G138" s="499" t="str">
        <f>IF(D138="","",VLOOKUP(D138,'G-6 Hedgerow Data'!$B$2:$AG$15,3,FALSE))</f>
        <v/>
      </c>
      <c r="H138" s="145"/>
      <c r="I138" s="499" t="str">
        <f>IFERROR(IF(AND(F138="V.Low",OR(H138="Good",H138="Moderate")),"Error ▲",VLOOKUP(H138,'G-1 All Habitats'!$Z$2:$AA$9,2,FALSE)),"")</f>
        <v/>
      </c>
      <c r="J138" s="154"/>
      <c r="K138" s="520" t="str">
        <f>IF(J138="","",IF(VLOOKUP(J138,'G-3 Multipliers'!$L$3:$N$6,2,FALSE)=0,"Spatial Data Missing ⚠",VLOOKUP(J138,'G-3 Multipliers'!$L$3:$N$6,2,FALSE)))</f>
        <v/>
      </c>
      <c r="L138" s="524" t="str">
        <f>IF(J138="","",IF(VLOOKUP(J138,'G-3 Multipliers'!$L$3:$N$6,3,FALSE)=0,"Spatial Data Missing ⚠",VLOOKUP(J138,'G-3 Multipliers'!$L$3:$N$6,3,FALSE)))</f>
        <v/>
      </c>
      <c r="M138" s="506" t="str">
        <f>IF(D138="","",VLOOKUP(D138,'G-6 Hedgerow Data'!$B$1:$AH$15,33,FALSE))</f>
        <v/>
      </c>
      <c r="N138" s="513" t="str">
        <f t="shared" si="9"/>
        <v/>
      </c>
      <c r="O138" s="40"/>
      <c r="P138" s="145"/>
      <c r="Q138" s="157"/>
      <c r="R138" s="507" t="str">
        <f t="shared" si="10"/>
        <v/>
      </c>
      <c r="S138" s="507" t="str">
        <f t="shared" si="11"/>
        <v/>
      </c>
      <c r="T138" s="511" t="str">
        <f t="shared" si="12"/>
        <v/>
      </c>
      <c r="U138" s="515" t="str">
        <f t="shared" si="13"/>
        <v/>
      </c>
      <c r="V138" s="151"/>
      <c r="W138" s="152"/>
      <c r="AB138" s="31" t="str">
        <f>IFERROR(INDEX('G-6 Hedgerow Data'!$BJ$3:$BJ$15,MATCH(D138,'G-6 Hedgerow Data'!$B$3:$B$15,0)),"")</f>
        <v/>
      </c>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row>
    <row r="139" spans="2:37" ht="13.8" x14ac:dyDescent="0.25">
      <c r="B139" s="141">
        <v>130</v>
      </c>
      <c r="C139" s="203"/>
      <c r="D139" s="203"/>
      <c r="E139" s="153"/>
      <c r="F139" s="498" t="str">
        <f>IF(D139="","",VLOOKUP(D139,'G-6 Hedgerow Data'!$B$2:$AG$15,2,FALSE))</f>
        <v/>
      </c>
      <c r="G139" s="499" t="str">
        <f>IF(D139="","",VLOOKUP(D139,'G-6 Hedgerow Data'!$B$2:$AG$15,3,FALSE))</f>
        <v/>
      </c>
      <c r="H139" s="145"/>
      <c r="I139" s="499" t="str">
        <f>IFERROR(IF(AND(F139="V.Low",OR(H139="Good",H139="Moderate")),"Error ▲",VLOOKUP(H139,'G-1 All Habitats'!$Z$2:$AA$9,2,FALSE)),"")</f>
        <v/>
      </c>
      <c r="J139" s="154"/>
      <c r="K139" s="520" t="str">
        <f>IF(J139="","",IF(VLOOKUP(J139,'G-3 Multipliers'!$L$3:$N$6,2,FALSE)=0,"Spatial Data Missing ⚠",VLOOKUP(J139,'G-3 Multipliers'!$L$3:$N$6,2,FALSE)))</f>
        <v/>
      </c>
      <c r="L139" s="524" t="str">
        <f>IF(J139="","",IF(VLOOKUP(J139,'G-3 Multipliers'!$L$3:$N$6,3,FALSE)=0,"Spatial Data Missing ⚠",VLOOKUP(J139,'G-3 Multipliers'!$L$3:$N$6,3,FALSE)))</f>
        <v/>
      </c>
      <c r="M139" s="506" t="str">
        <f>IF(D139="","",VLOOKUP(D139,'G-6 Hedgerow Data'!$B$1:$AH$15,33,FALSE))</f>
        <v/>
      </c>
      <c r="N139" s="513" t="str">
        <f t="shared" ref="N139:N202" si="16">IFERROR(E139*G139*I139*L139,"")</f>
        <v/>
      </c>
      <c r="O139" s="40"/>
      <c r="P139" s="145"/>
      <c r="Q139" s="157"/>
      <c r="R139" s="507" t="str">
        <f t="shared" ref="R139:R202" si="17">IFERROR(P139*G139*I139*L139,"")</f>
        <v/>
      </c>
      <c r="S139" s="507" t="str">
        <f t="shared" ref="S139:S202" si="18">IFERROR(Q139*G139*I139*L139,"")</f>
        <v/>
      </c>
      <c r="T139" s="511" t="str">
        <f t="shared" ref="T139:T202" si="19">IF(D139="","",IF(E139&lt;P139+Q139,"Error in Lengths ▲",E139-P139-Q139))</f>
        <v/>
      </c>
      <c r="U139" s="515" t="str">
        <f t="shared" ref="U139:U202" si="20">IF(OR(E139="",N139=""),"",IF(E139&lt;P139+Q139,"Error in Lengths",N139-R139-S139))</f>
        <v/>
      </c>
      <c r="V139" s="151"/>
      <c r="W139" s="152"/>
      <c r="AB139" s="31" t="str">
        <f>IFERROR(INDEX('G-6 Hedgerow Data'!$BJ$3:$BJ$15,MATCH(D139,'G-6 Hedgerow Data'!$B$3:$B$15,0)),"")</f>
        <v/>
      </c>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row>
    <row r="140" spans="2:37" ht="13.8" x14ac:dyDescent="0.25">
      <c r="B140" s="141">
        <v>131</v>
      </c>
      <c r="C140" s="203"/>
      <c r="D140" s="203"/>
      <c r="E140" s="153"/>
      <c r="F140" s="498" t="str">
        <f>IF(D140="","",VLOOKUP(D140,'G-6 Hedgerow Data'!$B$2:$AG$15,2,FALSE))</f>
        <v/>
      </c>
      <c r="G140" s="499" t="str">
        <f>IF(D140="","",VLOOKUP(D140,'G-6 Hedgerow Data'!$B$2:$AG$15,3,FALSE))</f>
        <v/>
      </c>
      <c r="H140" s="145"/>
      <c r="I140" s="499" t="str">
        <f>IFERROR(IF(AND(F140="V.Low",OR(H140="Good",H140="Moderate")),"Error ▲",VLOOKUP(H140,'G-1 All Habitats'!$Z$2:$AA$9,2,FALSE)),"")</f>
        <v/>
      </c>
      <c r="J140" s="154"/>
      <c r="K140" s="520" t="str">
        <f>IF(J140="","",IF(VLOOKUP(J140,'G-3 Multipliers'!$L$3:$N$6,2,FALSE)=0,"Spatial Data Missing ⚠",VLOOKUP(J140,'G-3 Multipliers'!$L$3:$N$6,2,FALSE)))</f>
        <v/>
      </c>
      <c r="L140" s="524" t="str">
        <f>IF(J140="","",IF(VLOOKUP(J140,'G-3 Multipliers'!$L$3:$N$6,3,FALSE)=0,"Spatial Data Missing ⚠",VLOOKUP(J140,'G-3 Multipliers'!$L$3:$N$6,3,FALSE)))</f>
        <v/>
      </c>
      <c r="M140" s="506" t="str">
        <f>IF(D140="","",VLOOKUP(D140,'G-6 Hedgerow Data'!$B$1:$AH$15,33,FALSE))</f>
        <v/>
      </c>
      <c r="N140" s="513" t="str">
        <f t="shared" si="16"/>
        <v/>
      </c>
      <c r="O140" s="40"/>
      <c r="P140" s="145"/>
      <c r="Q140" s="157"/>
      <c r="R140" s="507" t="str">
        <f t="shared" si="17"/>
        <v/>
      </c>
      <c r="S140" s="507" t="str">
        <f t="shared" si="18"/>
        <v/>
      </c>
      <c r="T140" s="511" t="str">
        <f t="shared" si="19"/>
        <v/>
      </c>
      <c r="U140" s="515" t="str">
        <f t="shared" si="20"/>
        <v/>
      </c>
      <c r="V140" s="151"/>
      <c r="W140" s="152"/>
      <c r="AB140" s="31" t="str">
        <f>IFERROR(INDEX('G-6 Hedgerow Data'!$BJ$3:$BJ$15,MATCH(D140,'G-6 Hedgerow Data'!$B$3:$B$15,0)),"")</f>
        <v/>
      </c>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row>
    <row r="141" spans="2:37" ht="13.8" x14ac:dyDescent="0.25">
      <c r="B141" s="141">
        <v>132</v>
      </c>
      <c r="C141" s="203"/>
      <c r="D141" s="203"/>
      <c r="E141" s="153"/>
      <c r="F141" s="498" t="str">
        <f>IF(D141="","",VLOOKUP(D141,'G-6 Hedgerow Data'!$B$2:$AG$15,2,FALSE))</f>
        <v/>
      </c>
      <c r="G141" s="499" t="str">
        <f>IF(D141="","",VLOOKUP(D141,'G-6 Hedgerow Data'!$B$2:$AG$15,3,FALSE))</f>
        <v/>
      </c>
      <c r="H141" s="145"/>
      <c r="I141" s="499" t="str">
        <f>IFERROR(IF(AND(F141="V.Low",OR(H141="Good",H141="Moderate")),"Error ▲",VLOOKUP(H141,'G-1 All Habitats'!$Z$2:$AA$9,2,FALSE)),"")</f>
        <v/>
      </c>
      <c r="J141" s="154"/>
      <c r="K141" s="520" t="str">
        <f>IF(J141="","",IF(VLOOKUP(J141,'G-3 Multipliers'!$L$3:$N$6,2,FALSE)=0,"Spatial Data Missing ⚠",VLOOKUP(J141,'G-3 Multipliers'!$L$3:$N$6,2,FALSE)))</f>
        <v/>
      </c>
      <c r="L141" s="524" t="str">
        <f>IF(J141="","",IF(VLOOKUP(J141,'G-3 Multipliers'!$L$3:$N$6,3,FALSE)=0,"Spatial Data Missing ⚠",VLOOKUP(J141,'G-3 Multipliers'!$L$3:$N$6,3,FALSE)))</f>
        <v/>
      </c>
      <c r="M141" s="506" t="str">
        <f>IF(D141="","",VLOOKUP(D141,'G-6 Hedgerow Data'!$B$1:$AH$15,33,FALSE))</f>
        <v/>
      </c>
      <c r="N141" s="513" t="str">
        <f t="shared" si="16"/>
        <v/>
      </c>
      <c r="O141" s="40"/>
      <c r="P141" s="145"/>
      <c r="Q141" s="157"/>
      <c r="R141" s="507" t="str">
        <f t="shared" si="17"/>
        <v/>
      </c>
      <c r="S141" s="507" t="str">
        <f t="shared" si="18"/>
        <v/>
      </c>
      <c r="T141" s="511" t="str">
        <f t="shared" si="19"/>
        <v/>
      </c>
      <c r="U141" s="515" t="str">
        <f t="shared" si="20"/>
        <v/>
      </c>
      <c r="V141" s="151"/>
      <c r="W141" s="152"/>
      <c r="AB141" s="31" t="str">
        <f>IFERROR(INDEX('G-6 Hedgerow Data'!$BJ$3:$BJ$15,MATCH(D141,'G-6 Hedgerow Data'!$B$3:$B$15,0)),"")</f>
        <v/>
      </c>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row>
    <row r="142" spans="2:37" ht="13.8" x14ac:dyDescent="0.25">
      <c r="B142" s="141">
        <v>133</v>
      </c>
      <c r="C142" s="203"/>
      <c r="D142" s="203"/>
      <c r="E142" s="153"/>
      <c r="F142" s="498" t="str">
        <f>IF(D142="","",VLOOKUP(D142,'G-6 Hedgerow Data'!$B$2:$AG$15,2,FALSE))</f>
        <v/>
      </c>
      <c r="G142" s="499" t="str">
        <f>IF(D142="","",VLOOKUP(D142,'G-6 Hedgerow Data'!$B$2:$AG$15,3,FALSE))</f>
        <v/>
      </c>
      <c r="H142" s="145"/>
      <c r="I142" s="499" t="str">
        <f>IFERROR(IF(AND(F142="V.Low",OR(H142="Good",H142="Moderate")),"Error ▲",VLOOKUP(H142,'G-1 All Habitats'!$Z$2:$AA$9,2,FALSE)),"")</f>
        <v/>
      </c>
      <c r="J142" s="154"/>
      <c r="K142" s="520" t="str">
        <f>IF(J142="","",IF(VLOOKUP(J142,'G-3 Multipliers'!$L$3:$N$6,2,FALSE)=0,"Spatial Data Missing ⚠",VLOOKUP(J142,'G-3 Multipliers'!$L$3:$N$6,2,FALSE)))</f>
        <v/>
      </c>
      <c r="L142" s="524" t="str">
        <f>IF(J142="","",IF(VLOOKUP(J142,'G-3 Multipliers'!$L$3:$N$6,3,FALSE)=0,"Spatial Data Missing ⚠",VLOOKUP(J142,'G-3 Multipliers'!$L$3:$N$6,3,FALSE)))</f>
        <v/>
      </c>
      <c r="M142" s="506" t="str">
        <f>IF(D142="","",VLOOKUP(D142,'G-6 Hedgerow Data'!$B$1:$AH$15,33,FALSE))</f>
        <v/>
      </c>
      <c r="N142" s="513" t="str">
        <f t="shared" si="16"/>
        <v/>
      </c>
      <c r="O142" s="40"/>
      <c r="P142" s="145"/>
      <c r="Q142" s="157"/>
      <c r="R142" s="507" t="str">
        <f t="shared" si="17"/>
        <v/>
      </c>
      <c r="S142" s="507" t="str">
        <f t="shared" si="18"/>
        <v/>
      </c>
      <c r="T142" s="511" t="str">
        <f t="shared" si="19"/>
        <v/>
      </c>
      <c r="U142" s="515" t="str">
        <f t="shared" si="20"/>
        <v/>
      </c>
      <c r="V142" s="151"/>
      <c r="W142" s="152"/>
      <c r="AB142" s="31" t="str">
        <f>IFERROR(INDEX('G-6 Hedgerow Data'!$BJ$3:$BJ$15,MATCH(D142,'G-6 Hedgerow Data'!$B$3:$B$15,0)),"")</f>
        <v/>
      </c>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row>
    <row r="143" spans="2:37" ht="13.8" x14ac:dyDescent="0.25">
      <c r="B143" s="141">
        <v>134</v>
      </c>
      <c r="C143" s="203"/>
      <c r="D143" s="203"/>
      <c r="E143" s="153"/>
      <c r="F143" s="498" t="str">
        <f>IF(D143="","",VLOOKUP(D143,'G-6 Hedgerow Data'!$B$2:$AG$15,2,FALSE))</f>
        <v/>
      </c>
      <c r="G143" s="499" t="str">
        <f>IF(D143="","",VLOOKUP(D143,'G-6 Hedgerow Data'!$B$2:$AG$15,3,FALSE))</f>
        <v/>
      </c>
      <c r="H143" s="145"/>
      <c r="I143" s="499" t="str">
        <f>IFERROR(IF(AND(F143="V.Low",OR(H143="Good",H143="Moderate")),"Error ▲",VLOOKUP(H143,'G-1 All Habitats'!$Z$2:$AA$9,2,FALSE)),"")</f>
        <v/>
      </c>
      <c r="J143" s="154"/>
      <c r="K143" s="520" t="str">
        <f>IF(J143="","",IF(VLOOKUP(J143,'G-3 Multipliers'!$L$3:$N$6,2,FALSE)=0,"Spatial Data Missing ⚠",VLOOKUP(J143,'G-3 Multipliers'!$L$3:$N$6,2,FALSE)))</f>
        <v/>
      </c>
      <c r="L143" s="524" t="str">
        <f>IF(J143="","",IF(VLOOKUP(J143,'G-3 Multipliers'!$L$3:$N$6,3,FALSE)=0,"Spatial Data Missing ⚠",VLOOKUP(J143,'G-3 Multipliers'!$L$3:$N$6,3,FALSE)))</f>
        <v/>
      </c>
      <c r="M143" s="506" t="str">
        <f>IF(D143="","",VLOOKUP(D143,'G-6 Hedgerow Data'!$B$1:$AH$15,33,FALSE))</f>
        <v/>
      </c>
      <c r="N143" s="513" t="str">
        <f t="shared" si="16"/>
        <v/>
      </c>
      <c r="O143" s="40"/>
      <c r="P143" s="145"/>
      <c r="Q143" s="157"/>
      <c r="R143" s="507" t="str">
        <f t="shared" si="17"/>
        <v/>
      </c>
      <c r="S143" s="507" t="str">
        <f t="shared" si="18"/>
        <v/>
      </c>
      <c r="T143" s="511" t="str">
        <f t="shared" si="19"/>
        <v/>
      </c>
      <c r="U143" s="515" t="str">
        <f t="shared" si="20"/>
        <v/>
      </c>
      <c r="V143" s="151"/>
      <c r="W143" s="152"/>
      <c r="AB143" s="31" t="str">
        <f>IFERROR(INDEX('G-6 Hedgerow Data'!$BJ$3:$BJ$15,MATCH(D143,'G-6 Hedgerow Data'!$B$3:$B$15,0)),"")</f>
        <v/>
      </c>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row>
    <row r="144" spans="2:37" ht="13.8" x14ac:dyDescent="0.25">
      <c r="B144" s="141">
        <v>135</v>
      </c>
      <c r="C144" s="203"/>
      <c r="D144" s="203"/>
      <c r="E144" s="153"/>
      <c r="F144" s="498" t="str">
        <f>IF(D144="","",VLOOKUP(D144,'G-6 Hedgerow Data'!$B$2:$AG$15,2,FALSE))</f>
        <v/>
      </c>
      <c r="G144" s="499" t="str">
        <f>IF(D144="","",VLOOKUP(D144,'G-6 Hedgerow Data'!$B$2:$AG$15,3,FALSE))</f>
        <v/>
      </c>
      <c r="H144" s="145"/>
      <c r="I144" s="499" t="str">
        <f>IFERROR(IF(AND(F144="V.Low",OR(H144="Good",H144="Moderate")),"Error ▲",VLOOKUP(H144,'G-1 All Habitats'!$Z$2:$AA$9,2,FALSE)),"")</f>
        <v/>
      </c>
      <c r="J144" s="154"/>
      <c r="K144" s="520" t="str">
        <f>IF(J144="","",IF(VLOOKUP(J144,'G-3 Multipliers'!$L$3:$N$6,2,FALSE)=0,"Spatial Data Missing ⚠",VLOOKUP(J144,'G-3 Multipliers'!$L$3:$N$6,2,FALSE)))</f>
        <v/>
      </c>
      <c r="L144" s="524" t="str">
        <f>IF(J144="","",IF(VLOOKUP(J144,'G-3 Multipliers'!$L$3:$N$6,3,FALSE)=0,"Spatial Data Missing ⚠",VLOOKUP(J144,'G-3 Multipliers'!$L$3:$N$6,3,FALSE)))</f>
        <v/>
      </c>
      <c r="M144" s="506" t="str">
        <f>IF(D144="","",VLOOKUP(D144,'G-6 Hedgerow Data'!$B$1:$AH$15,33,FALSE))</f>
        <v/>
      </c>
      <c r="N144" s="513" t="str">
        <f t="shared" si="16"/>
        <v/>
      </c>
      <c r="O144" s="40"/>
      <c r="P144" s="145"/>
      <c r="Q144" s="157"/>
      <c r="R144" s="507" t="str">
        <f t="shared" si="17"/>
        <v/>
      </c>
      <c r="S144" s="507" t="str">
        <f t="shared" si="18"/>
        <v/>
      </c>
      <c r="T144" s="511" t="str">
        <f t="shared" si="19"/>
        <v/>
      </c>
      <c r="U144" s="515" t="str">
        <f t="shared" si="20"/>
        <v/>
      </c>
      <c r="V144" s="151"/>
      <c r="W144" s="152"/>
      <c r="AB144" s="31" t="str">
        <f>IFERROR(INDEX('G-6 Hedgerow Data'!$BJ$3:$BJ$15,MATCH(D144,'G-6 Hedgerow Data'!$B$3:$B$15,0)),"")</f>
        <v/>
      </c>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row>
    <row r="145" spans="2:37" ht="13.8" x14ac:dyDescent="0.25">
      <c r="B145" s="141">
        <v>136</v>
      </c>
      <c r="C145" s="203"/>
      <c r="D145" s="203"/>
      <c r="E145" s="153"/>
      <c r="F145" s="498" t="str">
        <f>IF(D145="","",VLOOKUP(D145,'G-6 Hedgerow Data'!$B$2:$AG$15,2,FALSE))</f>
        <v/>
      </c>
      <c r="G145" s="499" t="str">
        <f>IF(D145="","",VLOOKUP(D145,'G-6 Hedgerow Data'!$B$2:$AG$15,3,FALSE))</f>
        <v/>
      </c>
      <c r="H145" s="145"/>
      <c r="I145" s="499" t="str">
        <f>IFERROR(IF(AND(F145="V.Low",OR(H145="Good",H145="Moderate")),"Error ▲",VLOOKUP(H145,'G-1 All Habitats'!$Z$2:$AA$9,2,FALSE)),"")</f>
        <v/>
      </c>
      <c r="J145" s="154"/>
      <c r="K145" s="520" t="str">
        <f>IF(J145="","",IF(VLOOKUP(J145,'G-3 Multipliers'!$L$3:$N$6,2,FALSE)=0,"Spatial Data Missing ⚠",VLOOKUP(J145,'G-3 Multipliers'!$L$3:$N$6,2,FALSE)))</f>
        <v/>
      </c>
      <c r="L145" s="524" t="str">
        <f>IF(J145="","",IF(VLOOKUP(J145,'G-3 Multipliers'!$L$3:$N$6,3,FALSE)=0,"Spatial Data Missing ⚠",VLOOKUP(J145,'G-3 Multipliers'!$L$3:$N$6,3,FALSE)))</f>
        <v/>
      </c>
      <c r="M145" s="506" t="str">
        <f>IF(D145="","",VLOOKUP(D145,'G-6 Hedgerow Data'!$B$1:$AH$15,33,FALSE))</f>
        <v/>
      </c>
      <c r="N145" s="513" t="str">
        <f t="shared" si="16"/>
        <v/>
      </c>
      <c r="O145" s="40"/>
      <c r="P145" s="145"/>
      <c r="Q145" s="157"/>
      <c r="R145" s="507" t="str">
        <f t="shared" si="17"/>
        <v/>
      </c>
      <c r="S145" s="507" t="str">
        <f t="shared" si="18"/>
        <v/>
      </c>
      <c r="T145" s="511" t="str">
        <f t="shared" si="19"/>
        <v/>
      </c>
      <c r="U145" s="515" t="str">
        <f t="shared" si="20"/>
        <v/>
      </c>
      <c r="V145" s="151"/>
      <c r="W145" s="152"/>
      <c r="AB145" s="31" t="str">
        <f>IFERROR(INDEX('G-6 Hedgerow Data'!$BJ$3:$BJ$15,MATCH(D145,'G-6 Hedgerow Data'!$B$3:$B$15,0)),"")</f>
        <v/>
      </c>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row>
    <row r="146" spans="2:37" ht="13.8" x14ac:dyDescent="0.25">
      <c r="B146" s="141">
        <v>137</v>
      </c>
      <c r="C146" s="203"/>
      <c r="D146" s="203"/>
      <c r="E146" s="153"/>
      <c r="F146" s="498" t="str">
        <f>IF(D146="","",VLOOKUP(D146,'G-6 Hedgerow Data'!$B$2:$AG$15,2,FALSE))</f>
        <v/>
      </c>
      <c r="G146" s="499" t="str">
        <f>IF(D146="","",VLOOKUP(D146,'G-6 Hedgerow Data'!$B$2:$AG$15,3,FALSE))</f>
        <v/>
      </c>
      <c r="H146" s="145"/>
      <c r="I146" s="499" t="str">
        <f>IFERROR(IF(AND(F146="V.Low",OR(H146="Good",H146="Moderate")),"Error ▲",VLOOKUP(H146,'G-1 All Habitats'!$Z$2:$AA$9,2,FALSE)),"")</f>
        <v/>
      </c>
      <c r="J146" s="154"/>
      <c r="K146" s="520" t="str">
        <f>IF(J146="","",IF(VLOOKUP(J146,'G-3 Multipliers'!$L$3:$N$6,2,FALSE)=0,"Spatial Data Missing ⚠",VLOOKUP(J146,'G-3 Multipliers'!$L$3:$N$6,2,FALSE)))</f>
        <v/>
      </c>
      <c r="L146" s="524" t="str">
        <f>IF(J146="","",IF(VLOOKUP(J146,'G-3 Multipliers'!$L$3:$N$6,3,FALSE)=0,"Spatial Data Missing ⚠",VLOOKUP(J146,'G-3 Multipliers'!$L$3:$N$6,3,FALSE)))</f>
        <v/>
      </c>
      <c r="M146" s="506" t="str">
        <f>IF(D146="","",VLOOKUP(D146,'G-6 Hedgerow Data'!$B$1:$AH$15,33,FALSE))</f>
        <v/>
      </c>
      <c r="N146" s="513" t="str">
        <f t="shared" si="16"/>
        <v/>
      </c>
      <c r="O146" s="40"/>
      <c r="P146" s="145"/>
      <c r="Q146" s="157"/>
      <c r="R146" s="507" t="str">
        <f t="shared" si="17"/>
        <v/>
      </c>
      <c r="S146" s="507" t="str">
        <f t="shared" si="18"/>
        <v/>
      </c>
      <c r="T146" s="511" t="str">
        <f t="shared" si="19"/>
        <v/>
      </c>
      <c r="U146" s="515" t="str">
        <f t="shared" si="20"/>
        <v/>
      </c>
      <c r="V146" s="151"/>
      <c r="W146" s="152"/>
      <c r="AB146" s="31" t="str">
        <f>IFERROR(INDEX('G-6 Hedgerow Data'!$BJ$3:$BJ$15,MATCH(D146,'G-6 Hedgerow Data'!$B$3:$B$15,0)),"")</f>
        <v/>
      </c>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row>
    <row r="147" spans="2:37" ht="13.8" x14ac:dyDescent="0.25">
      <c r="B147" s="141">
        <v>138</v>
      </c>
      <c r="C147" s="203"/>
      <c r="D147" s="203"/>
      <c r="E147" s="153"/>
      <c r="F147" s="498" t="str">
        <f>IF(D147="","",VLOOKUP(D147,'G-6 Hedgerow Data'!$B$2:$AG$15,2,FALSE))</f>
        <v/>
      </c>
      <c r="G147" s="499" t="str">
        <f>IF(D147="","",VLOOKUP(D147,'G-6 Hedgerow Data'!$B$2:$AG$15,3,FALSE))</f>
        <v/>
      </c>
      <c r="H147" s="145"/>
      <c r="I147" s="499" t="str">
        <f>IFERROR(IF(AND(F147="V.Low",OR(H147="Good",H147="Moderate")),"Error ▲",VLOOKUP(H147,'G-1 All Habitats'!$Z$2:$AA$9,2,FALSE)),"")</f>
        <v/>
      </c>
      <c r="J147" s="154"/>
      <c r="K147" s="520" t="str">
        <f>IF(J147="","",IF(VLOOKUP(J147,'G-3 Multipliers'!$L$3:$N$6,2,FALSE)=0,"Spatial Data Missing ⚠",VLOOKUP(J147,'G-3 Multipliers'!$L$3:$N$6,2,FALSE)))</f>
        <v/>
      </c>
      <c r="L147" s="524" t="str">
        <f>IF(J147="","",IF(VLOOKUP(J147,'G-3 Multipliers'!$L$3:$N$6,3,FALSE)=0,"Spatial Data Missing ⚠",VLOOKUP(J147,'G-3 Multipliers'!$L$3:$N$6,3,FALSE)))</f>
        <v/>
      </c>
      <c r="M147" s="506" t="str">
        <f>IF(D147="","",VLOOKUP(D147,'G-6 Hedgerow Data'!$B$1:$AH$15,33,FALSE))</f>
        <v/>
      </c>
      <c r="N147" s="513" t="str">
        <f t="shared" si="16"/>
        <v/>
      </c>
      <c r="O147" s="40"/>
      <c r="P147" s="145"/>
      <c r="Q147" s="157"/>
      <c r="R147" s="507" t="str">
        <f t="shared" si="17"/>
        <v/>
      </c>
      <c r="S147" s="507" t="str">
        <f t="shared" si="18"/>
        <v/>
      </c>
      <c r="T147" s="511" t="str">
        <f t="shared" si="19"/>
        <v/>
      </c>
      <c r="U147" s="515" t="str">
        <f t="shared" si="20"/>
        <v/>
      </c>
      <c r="V147" s="151"/>
      <c r="W147" s="152"/>
      <c r="AB147" s="31" t="str">
        <f>IFERROR(INDEX('G-6 Hedgerow Data'!$BJ$3:$BJ$15,MATCH(D147,'G-6 Hedgerow Data'!$B$3:$B$15,0)),"")</f>
        <v/>
      </c>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row>
    <row r="148" spans="2:37" ht="13.8" x14ac:dyDescent="0.25">
      <c r="B148" s="141">
        <v>139</v>
      </c>
      <c r="C148" s="203"/>
      <c r="D148" s="203"/>
      <c r="E148" s="153"/>
      <c r="F148" s="498" t="str">
        <f>IF(D148="","",VLOOKUP(D148,'G-6 Hedgerow Data'!$B$2:$AG$15,2,FALSE))</f>
        <v/>
      </c>
      <c r="G148" s="499" t="str">
        <f>IF(D148="","",VLOOKUP(D148,'G-6 Hedgerow Data'!$B$2:$AG$15,3,FALSE))</f>
        <v/>
      </c>
      <c r="H148" s="145"/>
      <c r="I148" s="499" t="str">
        <f>IFERROR(IF(AND(F148="V.Low",OR(H148="Good",H148="Moderate")),"Error ▲",VLOOKUP(H148,'G-1 All Habitats'!$Z$2:$AA$9,2,FALSE)),"")</f>
        <v/>
      </c>
      <c r="J148" s="154"/>
      <c r="K148" s="520" t="str">
        <f>IF(J148="","",IF(VLOOKUP(J148,'G-3 Multipliers'!$L$3:$N$6,2,FALSE)=0,"Spatial Data Missing ⚠",VLOOKUP(J148,'G-3 Multipliers'!$L$3:$N$6,2,FALSE)))</f>
        <v/>
      </c>
      <c r="L148" s="524" t="str">
        <f>IF(J148="","",IF(VLOOKUP(J148,'G-3 Multipliers'!$L$3:$N$6,3,FALSE)=0,"Spatial Data Missing ⚠",VLOOKUP(J148,'G-3 Multipliers'!$L$3:$N$6,3,FALSE)))</f>
        <v/>
      </c>
      <c r="M148" s="506" t="str">
        <f>IF(D148="","",VLOOKUP(D148,'G-6 Hedgerow Data'!$B$1:$AH$15,33,FALSE))</f>
        <v/>
      </c>
      <c r="N148" s="513" t="str">
        <f t="shared" si="16"/>
        <v/>
      </c>
      <c r="O148" s="40"/>
      <c r="P148" s="145"/>
      <c r="Q148" s="157"/>
      <c r="R148" s="507" t="str">
        <f t="shared" si="17"/>
        <v/>
      </c>
      <c r="S148" s="507" t="str">
        <f t="shared" si="18"/>
        <v/>
      </c>
      <c r="T148" s="511" t="str">
        <f t="shared" si="19"/>
        <v/>
      </c>
      <c r="U148" s="515" t="str">
        <f t="shared" si="20"/>
        <v/>
      </c>
      <c r="V148" s="151"/>
      <c r="W148" s="152"/>
      <c r="AB148" s="31" t="str">
        <f>IFERROR(INDEX('G-6 Hedgerow Data'!$BJ$3:$BJ$15,MATCH(D148,'G-6 Hedgerow Data'!$B$3:$B$15,0)),"")</f>
        <v/>
      </c>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row>
    <row r="149" spans="2:37" ht="13.8" x14ac:dyDescent="0.25">
      <c r="B149" s="141">
        <v>140</v>
      </c>
      <c r="C149" s="203"/>
      <c r="D149" s="203"/>
      <c r="E149" s="153"/>
      <c r="F149" s="498" t="str">
        <f>IF(D149="","",VLOOKUP(D149,'G-6 Hedgerow Data'!$B$2:$AG$15,2,FALSE))</f>
        <v/>
      </c>
      <c r="G149" s="499" t="str">
        <f>IF(D149="","",VLOOKUP(D149,'G-6 Hedgerow Data'!$B$2:$AG$15,3,FALSE))</f>
        <v/>
      </c>
      <c r="H149" s="145"/>
      <c r="I149" s="499" t="str">
        <f>IFERROR(IF(AND(F149="V.Low",OR(H149="Good",H149="Moderate")),"Error ▲",VLOOKUP(H149,'G-1 All Habitats'!$Z$2:$AA$9,2,FALSE)),"")</f>
        <v/>
      </c>
      <c r="J149" s="154"/>
      <c r="K149" s="520" t="str">
        <f>IF(J149="","",IF(VLOOKUP(J149,'G-3 Multipliers'!$L$3:$N$6,2,FALSE)=0,"Spatial Data Missing ⚠",VLOOKUP(J149,'G-3 Multipliers'!$L$3:$N$6,2,FALSE)))</f>
        <v/>
      </c>
      <c r="L149" s="524" t="str">
        <f>IF(J149="","",IF(VLOOKUP(J149,'G-3 Multipliers'!$L$3:$N$6,3,FALSE)=0,"Spatial Data Missing ⚠",VLOOKUP(J149,'G-3 Multipliers'!$L$3:$N$6,3,FALSE)))</f>
        <v/>
      </c>
      <c r="M149" s="506" t="str">
        <f>IF(D149="","",VLOOKUP(D149,'G-6 Hedgerow Data'!$B$1:$AH$15,33,FALSE))</f>
        <v/>
      </c>
      <c r="N149" s="513" t="str">
        <f t="shared" si="16"/>
        <v/>
      </c>
      <c r="O149" s="40"/>
      <c r="P149" s="145"/>
      <c r="Q149" s="157"/>
      <c r="R149" s="507" t="str">
        <f t="shared" si="17"/>
        <v/>
      </c>
      <c r="S149" s="507" t="str">
        <f t="shared" si="18"/>
        <v/>
      </c>
      <c r="T149" s="511" t="str">
        <f t="shared" si="19"/>
        <v/>
      </c>
      <c r="U149" s="515" t="str">
        <f t="shared" si="20"/>
        <v/>
      </c>
      <c r="V149" s="151"/>
      <c r="W149" s="152"/>
      <c r="AB149" s="31" t="str">
        <f>IFERROR(INDEX('G-6 Hedgerow Data'!$BJ$3:$BJ$15,MATCH(D149,'G-6 Hedgerow Data'!$B$3:$B$15,0)),"")</f>
        <v/>
      </c>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row>
    <row r="150" spans="2:37" ht="13.8" x14ac:dyDescent="0.25">
      <c r="B150" s="141">
        <v>141</v>
      </c>
      <c r="C150" s="203"/>
      <c r="D150" s="203"/>
      <c r="E150" s="153"/>
      <c r="F150" s="498" t="str">
        <f>IF(D150="","",VLOOKUP(D150,'G-6 Hedgerow Data'!$B$2:$AG$15,2,FALSE))</f>
        <v/>
      </c>
      <c r="G150" s="499" t="str">
        <f>IF(D150="","",VLOOKUP(D150,'G-6 Hedgerow Data'!$B$2:$AG$15,3,FALSE))</f>
        <v/>
      </c>
      <c r="H150" s="145"/>
      <c r="I150" s="499" t="str">
        <f>IFERROR(IF(AND(F150="V.Low",OR(H150="Good",H150="Moderate")),"Error ▲",VLOOKUP(H150,'G-1 All Habitats'!$Z$2:$AA$9,2,FALSE)),"")</f>
        <v/>
      </c>
      <c r="J150" s="154"/>
      <c r="K150" s="520" t="str">
        <f>IF(J150="","",IF(VLOOKUP(J150,'G-3 Multipliers'!$L$3:$N$6,2,FALSE)=0,"Spatial Data Missing ⚠",VLOOKUP(J150,'G-3 Multipliers'!$L$3:$N$6,2,FALSE)))</f>
        <v/>
      </c>
      <c r="L150" s="524" t="str">
        <f>IF(J150="","",IF(VLOOKUP(J150,'G-3 Multipliers'!$L$3:$N$6,3,FALSE)=0,"Spatial Data Missing ⚠",VLOOKUP(J150,'G-3 Multipliers'!$L$3:$N$6,3,FALSE)))</f>
        <v/>
      </c>
      <c r="M150" s="506" t="str">
        <f>IF(D150="","",VLOOKUP(D150,'G-6 Hedgerow Data'!$B$1:$AH$15,33,FALSE))</f>
        <v/>
      </c>
      <c r="N150" s="513" t="str">
        <f t="shared" si="16"/>
        <v/>
      </c>
      <c r="O150" s="40"/>
      <c r="P150" s="145"/>
      <c r="Q150" s="157"/>
      <c r="R150" s="507" t="str">
        <f t="shared" si="17"/>
        <v/>
      </c>
      <c r="S150" s="507" t="str">
        <f t="shared" si="18"/>
        <v/>
      </c>
      <c r="T150" s="511" t="str">
        <f t="shared" si="19"/>
        <v/>
      </c>
      <c r="U150" s="515" t="str">
        <f t="shared" si="20"/>
        <v/>
      </c>
      <c r="V150" s="151"/>
      <c r="W150" s="152"/>
      <c r="AB150" s="31" t="str">
        <f>IFERROR(INDEX('G-6 Hedgerow Data'!$BJ$3:$BJ$15,MATCH(D150,'G-6 Hedgerow Data'!$B$3:$B$15,0)),"")</f>
        <v/>
      </c>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row>
    <row r="151" spans="2:37" ht="13.8" x14ac:dyDescent="0.25">
      <c r="B151" s="141">
        <v>142</v>
      </c>
      <c r="C151" s="203"/>
      <c r="D151" s="203"/>
      <c r="E151" s="153"/>
      <c r="F151" s="498" t="str">
        <f>IF(D151="","",VLOOKUP(D151,'G-6 Hedgerow Data'!$B$2:$AG$15,2,FALSE))</f>
        <v/>
      </c>
      <c r="G151" s="499" t="str">
        <f>IF(D151="","",VLOOKUP(D151,'G-6 Hedgerow Data'!$B$2:$AG$15,3,FALSE))</f>
        <v/>
      </c>
      <c r="H151" s="145"/>
      <c r="I151" s="499" t="str">
        <f>IFERROR(IF(AND(F151="V.Low",OR(H151="Good",H151="Moderate")),"Error ▲",VLOOKUP(H151,'G-1 All Habitats'!$Z$2:$AA$9,2,FALSE)),"")</f>
        <v/>
      </c>
      <c r="J151" s="154"/>
      <c r="K151" s="520" t="str">
        <f>IF(J151="","",IF(VLOOKUP(J151,'G-3 Multipliers'!$L$3:$N$6,2,FALSE)=0,"Spatial Data Missing ⚠",VLOOKUP(J151,'G-3 Multipliers'!$L$3:$N$6,2,FALSE)))</f>
        <v/>
      </c>
      <c r="L151" s="524" t="str">
        <f>IF(J151="","",IF(VLOOKUP(J151,'G-3 Multipliers'!$L$3:$N$6,3,FALSE)=0,"Spatial Data Missing ⚠",VLOOKUP(J151,'G-3 Multipliers'!$L$3:$N$6,3,FALSE)))</f>
        <v/>
      </c>
      <c r="M151" s="506" t="str">
        <f>IF(D151="","",VLOOKUP(D151,'G-6 Hedgerow Data'!$B$1:$AH$15,33,FALSE))</f>
        <v/>
      </c>
      <c r="N151" s="513" t="str">
        <f t="shared" si="16"/>
        <v/>
      </c>
      <c r="O151" s="40"/>
      <c r="P151" s="145"/>
      <c r="Q151" s="157"/>
      <c r="R151" s="507" t="str">
        <f t="shared" si="17"/>
        <v/>
      </c>
      <c r="S151" s="507" t="str">
        <f t="shared" si="18"/>
        <v/>
      </c>
      <c r="T151" s="511" t="str">
        <f t="shared" si="19"/>
        <v/>
      </c>
      <c r="U151" s="515" t="str">
        <f t="shared" si="20"/>
        <v/>
      </c>
      <c r="V151" s="151"/>
      <c r="W151" s="152"/>
      <c r="AB151" s="31" t="str">
        <f>IFERROR(INDEX('G-6 Hedgerow Data'!$BJ$3:$BJ$15,MATCH(D151,'G-6 Hedgerow Data'!$B$3:$B$15,0)),"")</f>
        <v/>
      </c>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row>
    <row r="152" spans="2:37" ht="13.8" x14ac:dyDescent="0.25">
      <c r="B152" s="141">
        <v>143</v>
      </c>
      <c r="C152" s="203"/>
      <c r="D152" s="203"/>
      <c r="E152" s="153"/>
      <c r="F152" s="498" t="str">
        <f>IF(D152="","",VLOOKUP(D152,'G-6 Hedgerow Data'!$B$2:$AG$15,2,FALSE))</f>
        <v/>
      </c>
      <c r="G152" s="499" t="str">
        <f>IF(D152="","",VLOOKUP(D152,'G-6 Hedgerow Data'!$B$2:$AG$15,3,FALSE))</f>
        <v/>
      </c>
      <c r="H152" s="145"/>
      <c r="I152" s="499" t="str">
        <f>IFERROR(IF(AND(F152="V.Low",OR(H152="Good",H152="Moderate")),"Error ▲",VLOOKUP(H152,'G-1 All Habitats'!$Z$2:$AA$9,2,FALSE)),"")</f>
        <v/>
      </c>
      <c r="J152" s="154"/>
      <c r="K152" s="520" t="str">
        <f>IF(J152="","",IF(VLOOKUP(J152,'G-3 Multipliers'!$L$3:$N$6,2,FALSE)=0,"Spatial Data Missing ⚠",VLOOKUP(J152,'G-3 Multipliers'!$L$3:$N$6,2,FALSE)))</f>
        <v/>
      </c>
      <c r="L152" s="524" t="str">
        <f>IF(J152="","",IF(VLOOKUP(J152,'G-3 Multipliers'!$L$3:$N$6,3,FALSE)=0,"Spatial Data Missing ⚠",VLOOKUP(J152,'G-3 Multipliers'!$L$3:$N$6,3,FALSE)))</f>
        <v/>
      </c>
      <c r="M152" s="506" t="str">
        <f>IF(D152="","",VLOOKUP(D152,'G-6 Hedgerow Data'!$B$1:$AH$15,33,FALSE))</f>
        <v/>
      </c>
      <c r="N152" s="513" t="str">
        <f t="shared" si="16"/>
        <v/>
      </c>
      <c r="O152" s="40"/>
      <c r="P152" s="145"/>
      <c r="Q152" s="157"/>
      <c r="R152" s="507" t="str">
        <f t="shared" si="17"/>
        <v/>
      </c>
      <c r="S152" s="507" t="str">
        <f t="shared" si="18"/>
        <v/>
      </c>
      <c r="T152" s="511" t="str">
        <f t="shared" si="19"/>
        <v/>
      </c>
      <c r="U152" s="515" t="str">
        <f t="shared" si="20"/>
        <v/>
      </c>
      <c r="V152" s="151"/>
      <c r="W152" s="152"/>
      <c r="AB152" s="31" t="str">
        <f>IFERROR(INDEX('G-6 Hedgerow Data'!$BJ$3:$BJ$15,MATCH(D152,'G-6 Hedgerow Data'!$B$3:$B$15,0)),"")</f>
        <v/>
      </c>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row>
    <row r="153" spans="2:37" ht="13.8" x14ac:dyDescent="0.25">
      <c r="B153" s="141">
        <v>144</v>
      </c>
      <c r="C153" s="203"/>
      <c r="D153" s="203"/>
      <c r="E153" s="153"/>
      <c r="F153" s="498" t="str">
        <f>IF(D153="","",VLOOKUP(D153,'G-6 Hedgerow Data'!$B$2:$AG$15,2,FALSE))</f>
        <v/>
      </c>
      <c r="G153" s="499" t="str">
        <f>IF(D153="","",VLOOKUP(D153,'G-6 Hedgerow Data'!$B$2:$AG$15,3,FALSE))</f>
        <v/>
      </c>
      <c r="H153" s="145"/>
      <c r="I153" s="499" t="str">
        <f>IFERROR(IF(AND(F153="V.Low",OR(H153="Good",H153="Moderate")),"Error ▲",VLOOKUP(H153,'G-1 All Habitats'!$Z$2:$AA$9,2,FALSE)),"")</f>
        <v/>
      </c>
      <c r="J153" s="154"/>
      <c r="K153" s="520" t="str">
        <f>IF(J153="","",IF(VLOOKUP(J153,'G-3 Multipliers'!$L$3:$N$6,2,FALSE)=0,"Spatial Data Missing ⚠",VLOOKUP(J153,'G-3 Multipliers'!$L$3:$N$6,2,FALSE)))</f>
        <v/>
      </c>
      <c r="L153" s="524" t="str">
        <f>IF(J153="","",IF(VLOOKUP(J153,'G-3 Multipliers'!$L$3:$N$6,3,FALSE)=0,"Spatial Data Missing ⚠",VLOOKUP(J153,'G-3 Multipliers'!$L$3:$N$6,3,FALSE)))</f>
        <v/>
      </c>
      <c r="M153" s="506" t="str">
        <f>IF(D153="","",VLOOKUP(D153,'G-6 Hedgerow Data'!$B$1:$AH$15,33,FALSE))</f>
        <v/>
      </c>
      <c r="N153" s="513" t="str">
        <f t="shared" si="16"/>
        <v/>
      </c>
      <c r="O153" s="40"/>
      <c r="P153" s="145"/>
      <c r="Q153" s="157"/>
      <c r="R153" s="507" t="str">
        <f t="shared" si="17"/>
        <v/>
      </c>
      <c r="S153" s="507" t="str">
        <f t="shared" si="18"/>
        <v/>
      </c>
      <c r="T153" s="511" t="str">
        <f t="shared" si="19"/>
        <v/>
      </c>
      <c r="U153" s="515" t="str">
        <f t="shared" si="20"/>
        <v/>
      </c>
      <c r="V153" s="151"/>
      <c r="W153" s="152"/>
      <c r="AB153" s="31" t="str">
        <f>IFERROR(INDEX('G-6 Hedgerow Data'!$BJ$3:$BJ$15,MATCH(D153,'G-6 Hedgerow Data'!$B$3:$B$15,0)),"")</f>
        <v/>
      </c>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row>
    <row r="154" spans="2:37" ht="13.8" x14ac:dyDescent="0.25">
      <c r="B154" s="141">
        <v>145</v>
      </c>
      <c r="C154" s="203"/>
      <c r="D154" s="203"/>
      <c r="E154" s="153"/>
      <c r="F154" s="498" t="str">
        <f>IF(D154="","",VLOOKUP(D154,'G-6 Hedgerow Data'!$B$2:$AG$15,2,FALSE))</f>
        <v/>
      </c>
      <c r="G154" s="499" t="str">
        <f>IF(D154="","",VLOOKUP(D154,'G-6 Hedgerow Data'!$B$2:$AG$15,3,FALSE))</f>
        <v/>
      </c>
      <c r="H154" s="145"/>
      <c r="I154" s="499" t="str">
        <f>IFERROR(IF(AND(F154="V.Low",OR(H154="Good",H154="Moderate")),"Error ▲",VLOOKUP(H154,'G-1 All Habitats'!$Z$2:$AA$9,2,FALSE)),"")</f>
        <v/>
      </c>
      <c r="J154" s="154"/>
      <c r="K154" s="520" t="str">
        <f>IF(J154="","",IF(VLOOKUP(J154,'G-3 Multipliers'!$L$3:$N$6,2,FALSE)=0,"Spatial Data Missing ⚠",VLOOKUP(J154,'G-3 Multipliers'!$L$3:$N$6,2,FALSE)))</f>
        <v/>
      </c>
      <c r="L154" s="524" t="str">
        <f>IF(J154="","",IF(VLOOKUP(J154,'G-3 Multipliers'!$L$3:$N$6,3,FALSE)=0,"Spatial Data Missing ⚠",VLOOKUP(J154,'G-3 Multipliers'!$L$3:$N$6,3,FALSE)))</f>
        <v/>
      </c>
      <c r="M154" s="506" t="str">
        <f>IF(D154="","",VLOOKUP(D154,'G-6 Hedgerow Data'!$B$1:$AH$15,33,FALSE))</f>
        <v/>
      </c>
      <c r="N154" s="513" t="str">
        <f t="shared" si="16"/>
        <v/>
      </c>
      <c r="O154" s="40"/>
      <c r="P154" s="145"/>
      <c r="Q154" s="157"/>
      <c r="R154" s="507" t="str">
        <f t="shared" si="17"/>
        <v/>
      </c>
      <c r="S154" s="507" t="str">
        <f t="shared" si="18"/>
        <v/>
      </c>
      <c r="T154" s="511" t="str">
        <f t="shared" si="19"/>
        <v/>
      </c>
      <c r="U154" s="515" t="str">
        <f t="shared" si="20"/>
        <v/>
      </c>
      <c r="V154" s="151"/>
      <c r="W154" s="152"/>
      <c r="AB154" s="31" t="str">
        <f>IFERROR(INDEX('G-6 Hedgerow Data'!$BJ$3:$BJ$15,MATCH(D154,'G-6 Hedgerow Data'!$B$3:$B$15,0)),"")</f>
        <v/>
      </c>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row>
    <row r="155" spans="2:37" ht="13.8" x14ac:dyDescent="0.25">
      <c r="B155" s="141">
        <v>146</v>
      </c>
      <c r="C155" s="203"/>
      <c r="D155" s="203"/>
      <c r="E155" s="153"/>
      <c r="F155" s="498" t="str">
        <f>IF(D155="","",VLOOKUP(D155,'G-6 Hedgerow Data'!$B$2:$AG$15,2,FALSE))</f>
        <v/>
      </c>
      <c r="G155" s="499" t="str">
        <f>IF(D155="","",VLOOKUP(D155,'G-6 Hedgerow Data'!$B$2:$AG$15,3,FALSE))</f>
        <v/>
      </c>
      <c r="H155" s="145"/>
      <c r="I155" s="499" t="str">
        <f>IFERROR(IF(AND(F155="V.Low",OR(H155="Good",H155="Moderate")),"Error ▲",VLOOKUP(H155,'G-1 All Habitats'!$Z$2:$AA$9,2,FALSE)),"")</f>
        <v/>
      </c>
      <c r="J155" s="154"/>
      <c r="K155" s="520" t="str">
        <f>IF(J155="","",IF(VLOOKUP(J155,'G-3 Multipliers'!$L$3:$N$6,2,FALSE)=0,"Spatial Data Missing ⚠",VLOOKUP(J155,'G-3 Multipliers'!$L$3:$N$6,2,FALSE)))</f>
        <v/>
      </c>
      <c r="L155" s="524" t="str">
        <f>IF(J155="","",IF(VLOOKUP(J155,'G-3 Multipliers'!$L$3:$N$6,3,FALSE)=0,"Spatial Data Missing ⚠",VLOOKUP(J155,'G-3 Multipliers'!$L$3:$N$6,3,FALSE)))</f>
        <v/>
      </c>
      <c r="M155" s="506" t="str">
        <f>IF(D155="","",VLOOKUP(D155,'G-6 Hedgerow Data'!$B$1:$AH$15,33,FALSE))</f>
        <v/>
      </c>
      <c r="N155" s="513" t="str">
        <f t="shared" si="16"/>
        <v/>
      </c>
      <c r="O155" s="40"/>
      <c r="P155" s="145"/>
      <c r="Q155" s="157"/>
      <c r="R155" s="507" t="str">
        <f t="shared" si="17"/>
        <v/>
      </c>
      <c r="S155" s="507" t="str">
        <f t="shared" si="18"/>
        <v/>
      </c>
      <c r="T155" s="511" t="str">
        <f t="shared" si="19"/>
        <v/>
      </c>
      <c r="U155" s="515" t="str">
        <f t="shared" si="20"/>
        <v/>
      </c>
      <c r="V155" s="151"/>
      <c r="W155" s="152"/>
      <c r="AB155" s="31" t="str">
        <f>IFERROR(INDEX('G-6 Hedgerow Data'!$BJ$3:$BJ$15,MATCH(D155,'G-6 Hedgerow Data'!$B$3:$B$15,0)),"")</f>
        <v/>
      </c>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row>
    <row r="156" spans="2:37" ht="13.8" x14ac:dyDescent="0.25">
      <c r="B156" s="141">
        <v>147</v>
      </c>
      <c r="C156" s="203"/>
      <c r="D156" s="203"/>
      <c r="E156" s="153"/>
      <c r="F156" s="498" t="str">
        <f>IF(D156="","",VLOOKUP(D156,'G-6 Hedgerow Data'!$B$2:$AG$15,2,FALSE))</f>
        <v/>
      </c>
      <c r="G156" s="499" t="str">
        <f>IF(D156="","",VLOOKUP(D156,'G-6 Hedgerow Data'!$B$2:$AG$15,3,FALSE))</f>
        <v/>
      </c>
      <c r="H156" s="145"/>
      <c r="I156" s="499" t="str">
        <f>IFERROR(IF(AND(F156="V.Low",OR(H156="Good",H156="Moderate")),"Error ▲",VLOOKUP(H156,'G-1 All Habitats'!$Z$2:$AA$9,2,FALSE)),"")</f>
        <v/>
      </c>
      <c r="J156" s="154"/>
      <c r="K156" s="520" t="str">
        <f>IF(J156="","",IF(VLOOKUP(J156,'G-3 Multipliers'!$L$3:$N$6,2,FALSE)=0,"Spatial Data Missing ⚠",VLOOKUP(J156,'G-3 Multipliers'!$L$3:$N$6,2,FALSE)))</f>
        <v/>
      </c>
      <c r="L156" s="524" t="str">
        <f>IF(J156="","",IF(VLOOKUP(J156,'G-3 Multipliers'!$L$3:$N$6,3,FALSE)=0,"Spatial Data Missing ⚠",VLOOKUP(J156,'G-3 Multipliers'!$L$3:$N$6,3,FALSE)))</f>
        <v/>
      </c>
      <c r="M156" s="506" t="str">
        <f>IF(D156="","",VLOOKUP(D156,'G-6 Hedgerow Data'!$B$1:$AH$15,33,FALSE))</f>
        <v/>
      </c>
      <c r="N156" s="513" t="str">
        <f t="shared" si="16"/>
        <v/>
      </c>
      <c r="O156" s="40"/>
      <c r="P156" s="145"/>
      <c r="Q156" s="157"/>
      <c r="R156" s="507" t="str">
        <f t="shared" si="17"/>
        <v/>
      </c>
      <c r="S156" s="507" t="str">
        <f t="shared" si="18"/>
        <v/>
      </c>
      <c r="T156" s="511" t="str">
        <f t="shared" si="19"/>
        <v/>
      </c>
      <c r="U156" s="515" t="str">
        <f t="shared" si="20"/>
        <v/>
      </c>
      <c r="V156" s="151"/>
      <c r="W156" s="152"/>
      <c r="AB156" s="31" t="str">
        <f>IFERROR(INDEX('G-6 Hedgerow Data'!$BJ$3:$BJ$15,MATCH(D156,'G-6 Hedgerow Data'!$B$3:$B$15,0)),"")</f>
        <v/>
      </c>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row>
    <row r="157" spans="2:37" ht="13.8" x14ac:dyDescent="0.25">
      <c r="B157" s="141">
        <v>148</v>
      </c>
      <c r="C157" s="203"/>
      <c r="D157" s="203"/>
      <c r="E157" s="153"/>
      <c r="F157" s="498" t="str">
        <f>IF(D157="","",VLOOKUP(D157,'G-6 Hedgerow Data'!$B$2:$AG$15,2,FALSE))</f>
        <v/>
      </c>
      <c r="G157" s="499" t="str">
        <f>IF(D157="","",VLOOKUP(D157,'G-6 Hedgerow Data'!$B$2:$AG$15,3,FALSE))</f>
        <v/>
      </c>
      <c r="H157" s="145"/>
      <c r="I157" s="499" t="str">
        <f>IFERROR(IF(AND(F157="V.Low",OR(H157="Good",H157="Moderate")),"Error ▲",VLOOKUP(H157,'G-1 All Habitats'!$Z$2:$AA$9,2,FALSE)),"")</f>
        <v/>
      </c>
      <c r="J157" s="154"/>
      <c r="K157" s="520" t="str">
        <f>IF(J157="","",IF(VLOOKUP(J157,'G-3 Multipliers'!$L$3:$N$6,2,FALSE)=0,"Spatial Data Missing ⚠",VLOOKUP(J157,'G-3 Multipliers'!$L$3:$N$6,2,FALSE)))</f>
        <v/>
      </c>
      <c r="L157" s="524" t="str">
        <f>IF(J157="","",IF(VLOOKUP(J157,'G-3 Multipliers'!$L$3:$N$6,3,FALSE)=0,"Spatial Data Missing ⚠",VLOOKUP(J157,'G-3 Multipliers'!$L$3:$N$6,3,FALSE)))</f>
        <v/>
      </c>
      <c r="M157" s="506" t="str">
        <f>IF(D157="","",VLOOKUP(D157,'G-6 Hedgerow Data'!$B$1:$AH$15,33,FALSE))</f>
        <v/>
      </c>
      <c r="N157" s="513" t="str">
        <f t="shared" si="16"/>
        <v/>
      </c>
      <c r="O157" s="40"/>
      <c r="P157" s="145"/>
      <c r="Q157" s="157"/>
      <c r="R157" s="507" t="str">
        <f t="shared" si="17"/>
        <v/>
      </c>
      <c r="S157" s="507" t="str">
        <f t="shared" si="18"/>
        <v/>
      </c>
      <c r="T157" s="511" t="str">
        <f t="shared" si="19"/>
        <v/>
      </c>
      <c r="U157" s="515" t="str">
        <f t="shared" si="20"/>
        <v/>
      </c>
      <c r="V157" s="151"/>
      <c r="W157" s="152"/>
      <c r="AB157" s="31" t="str">
        <f>IFERROR(INDEX('G-6 Hedgerow Data'!$BJ$3:$BJ$15,MATCH(D157,'G-6 Hedgerow Data'!$B$3:$B$15,0)),"")</f>
        <v/>
      </c>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row>
    <row r="158" spans="2:37" ht="13.8" x14ac:dyDescent="0.25">
      <c r="B158" s="141">
        <v>149</v>
      </c>
      <c r="C158" s="203"/>
      <c r="D158" s="203"/>
      <c r="E158" s="153"/>
      <c r="F158" s="498" t="str">
        <f>IF(D158="","",VLOOKUP(D158,'G-6 Hedgerow Data'!$B$2:$AG$15,2,FALSE))</f>
        <v/>
      </c>
      <c r="G158" s="499" t="str">
        <f>IF(D158="","",VLOOKUP(D158,'G-6 Hedgerow Data'!$B$2:$AG$15,3,FALSE))</f>
        <v/>
      </c>
      <c r="H158" s="145"/>
      <c r="I158" s="499" t="str">
        <f>IFERROR(IF(AND(F158="V.Low",OR(H158="Good",H158="Moderate")),"Error ▲",VLOOKUP(H158,'G-1 All Habitats'!$Z$2:$AA$9,2,FALSE)),"")</f>
        <v/>
      </c>
      <c r="J158" s="154"/>
      <c r="K158" s="520" t="str">
        <f>IF(J158="","",IF(VLOOKUP(J158,'G-3 Multipliers'!$L$3:$N$6,2,FALSE)=0,"Spatial Data Missing ⚠",VLOOKUP(J158,'G-3 Multipliers'!$L$3:$N$6,2,FALSE)))</f>
        <v/>
      </c>
      <c r="L158" s="524" t="str">
        <f>IF(J158="","",IF(VLOOKUP(J158,'G-3 Multipliers'!$L$3:$N$6,3,FALSE)=0,"Spatial Data Missing ⚠",VLOOKUP(J158,'G-3 Multipliers'!$L$3:$N$6,3,FALSE)))</f>
        <v/>
      </c>
      <c r="M158" s="506" t="str">
        <f>IF(D158="","",VLOOKUP(D158,'G-6 Hedgerow Data'!$B$1:$AH$15,33,FALSE))</f>
        <v/>
      </c>
      <c r="N158" s="513" t="str">
        <f t="shared" si="16"/>
        <v/>
      </c>
      <c r="O158" s="40"/>
      <c r="P158" s="145"/>
      <c r="Q158" s="157"/>
      <c r="R158" s="507" t="str">
        <f t="shared" si="17"/>
        <v/>
      </c>
      <c r="S158" s="507" t="str">
        <f t="shared" si="18"/>
        <v/>
      </c>
      <c r="T158" s="511" t="str">
        <f t="shared" si="19"/>
        <v/>
      </c>
      <c r="U158" s="515" t="str">
        <f t="shared" si="20"/>
        <v/>
      </c>
      <c r="V158" s="151"/>
      <c r="W158" s="152"/>
      <c r="AB158" s="31" t="str">
        <f>IFERROR(INDEX('G-6 Hedgerow Data'!$BJ$3:$BJ$15,MATCH(D158,'G-6 Hedgerow Data'!$B$3:$B$15,0)),"")</f>
        <v/>
      </c>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row>
    <row r="159" spans="2:37" ht="13.8" x14ac:dyDescent="0.25">
      <c r="B159" s="141">
        <v>150</v>
      </c>
      <c r="C159" s="203"/>
      <c r="D159" s="203"/>
      <c r="E159" s="153"/>
      <c r="F159" s="498" t="str">
        <f>IF(D159="","",VLOOKUP(D159,'G-6 Hedgerow Data'!$B$2:$AG$15,2,FALSE))</f>
        <v/>
      </c>
      <c r="G159" s="499" t="str">
        <f>IF(D159="","",VLOOKUP(D159,'G-6 Hedgerow Data'!$B$2:$AG$15,3,FALSE))</f>
        <v/>
      </c>
      <c r="H159" s="145"/>
      <c r="I159" s="499" t="str">
        <f>IFERROR(IF(AND(F159="V.Low",OR(H159="Good",H159="Moderate")),"Error ▲",VLOOKUP(H159,'G-1 All Habitats'!$Z$2:$AA$9,2,FALSE)),"")</f>
        <v/>
      </c>
      <c r="J159" s="154"/>
      <c r="K159" s="520" t="str">
        <f>IF(J159="","",IF(VLOOKUP(J159,'G-3 Multipliers'!$L$3:$N$6,2,FALSE)=0,"Spatial Data Missing ⚠",VLOOKUP(J159,'G-3 Multipliers'!$L$3:$N$6,2,FALSE)))</f>
        <v/>
      </c>
      <c r="L159" s="524" t="str">
        <f>IF(J159="","",IF(VLOOKUP(J159,'G-3 Multipliers'!$L$3:$N$6,3,FALSE)=0,"Spatial Data Missing ⚠",VLOOKUP(J159,'G-3 Multipliers'!$L$3:$N$6,3,FALSE)))</f>
        <v/>
      </c>
      <c r="M159" s="506" t="str">
        <f>IF(D159="","",VLOOKUP(D159,'G-6 Hedgerow Data'!$B$1:$AH$15,33,FALSE))</f>
        <v/>
      </c>
      <c r="N159" s="513" t="str">
        <f t="shared" si="16"/>
        <v/>
      </c>
      <c r="O159" s="40"/>
      <c r="P159" s="145"/>
      <c r="Q159" s="157"/>
      <c r="R159" s="507" t="str">
        <f t="shared" si="17"/>
        <v/>
      </c>
      <c r="S159" s="507" t="str">
        <f t="shared" si="18"/>
        <v/>
      </c>
      <c r="T159" s="511" t="str">
        <f t="shared" si="19"/>
        <v/>
      </c>
      <c r="U159" s="515" t="str">
        <f t="shared" si="20"/>
        <v/>
      </c>
      <c r="V159" s="151"/>
      <c r="W159" s="152"/>
      <c r="AB159" s="31" t="str">
        <f>IFERROR(INDEX('G-6 Hedgerow Data'!$BJ$3:$BJ$15,MATCH(D159,'G-6 Hedgerow Data'!$B$3:$B$15,0)),"")</f>
        <v/>
      </c>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row>
    <row r="160" spans="2:37" ht="13.8" x14ac:dyDescent="0.25">
      <c r="B160" s="141">
        <v>151</v>
      </c>
      <c r="C160" s="203"/>
      <c r="D160" s="203"/>
      <c r="E160" s="153"/>
      <c r="F160" s="498" t="str">
        <f>IF(D160="","",VLOOKUP(D160,'G-6 Hedgerow Data'!$B$2:$AG$15,2,FALSE))</f>
        <v/>
      </c>
      <c r="G160" s="499" t="str">
        <f>IF(D160="","",VLOOKUP(D160,'G-6 Hedgerow Data'!$B$2:$AG$15,3,FALSE))</f>
        <v/>
      </c>
      <c r="H160" s="145"/>
      <c r="I160" s="499" t="str">
        <f>IFERROR(IF(AND(F160="V.Low",OR(H160="Good",H160="Moderate")),"Error ▲",VLOOKUP(H160,'G-1 All Habitats'!$Z$2:$AA$9,2,FALSE)),"")</f>
        <v/>
      </c>
      <c r="J160" s="154"/>
      <c r="K160" s="520" t="str">
        <f>IF(J160="","",IF(VLOOKUP(J160,'G-3 Multipliers'!$L$3:$N$6,2,FALSE)=0,"Spatial Data Missing ⚠",VLOOKUP(J160,'G-3 Multipliers'!$L$3:$N$6,2,FALSE)))</f>
        <v/>
      </c>
      <c r="L160" s="524" t="str">
        <f>IF(J160="","",IF(VLOOKUP(J160,'G-3 Multipliers'!$L$3:$N$6,3,FALSE)=0,"Spatial Data Missing ⚠",VLOOKUP(J160,'G-3 Multipliers'!$L$3:$N$6,3,FALSE)))</f>
        <v/>
      </c>
      <c r="M160" s="506" t="str">
        <f>IF(D160="","",VLOOKUP(D160,'G-6 Hedgerow Data'!$B$1:$AH$15,33,FALSE))</f>
        <v/>
      </c>
      <c r="N160" s="513" t="str">
        <f t="shared" si="16"/>
        <v/>
      </c>
      <c r="O160" s="40"/>
      <c r="P160" s="145"/>
      <c r="Q160" s="157"/>
      <c r="R160" s="507" t="str">
        <f t="shared" si="17"/>
        <v/>
      </c>
      <c r="S160" s="507" t="str">
        <f t="shared" si="18"/>
        <v/>
      </c>
      <c r="T160" s="511" t="str">
        <f t="shared" si="19"/>
        <v/>
      </c>
      <c r="U160" s="515" t="str">
        <f t="shared" si="20"/>
        <v/>
      </c>
      <c r="V160" s="151"/>
      <c r="W160" s="152"/>
      <c r="AB160" s="31" t="str">
        <f>IFERROR(INDEX('G-6 Hedgerow Data'!$BJ$3:$BJ$15,MATCH(D160,'G-6 Hedgerow Data'!$B$3:$B$15,0)),"")</f>
        <v/>
      </c>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row>
    <row r="161" spans="2:37" ht="13.8" x14ac:dyDescent="0.25">
      <c r="B161" s="141">
        <v>152</v>
      </c>
      <c r="C161" s="203"/>
      <c r="D161" s="203"/>
      <c r="E161" s="153"/>
      <c r="F161" s="498" t="str">
        <f>IF(D161="","",VLOOKUP(D161,'G-6 Hedgerow Data'!$B$2:$AG$15,2,FALSE))</f>
        <v/>
      </c>
      <c r="G161" s="499" t="str">
        <f>IF(D161="","",VLOOKUP(D161,'G-6 Hedgerow Data'!$B$2:$AG$15,3,FALSE))</f>
        <v/>
      </c>
      <c r="H161" s="145"/>
      <c r="I161" s="499" t="str">
        <f>IFERROR(IF(AND(F161="V.Low",OR(H161="Good",H161="Moderate")),"Error ▲",VLOOKUP(H161,'G-1 All Habitats'!$Z$2:$AA$9,2,FALSE)),"")</f>
        <v/>
      </c>
      <c r="J161" s="154"/>
      <c r="K161" s="520" t="str">
        <f>IF(J161="","",IF(VLOOKUP(J161,'G-3 Multipliers'!$L$3:$N$6,2,FALSE)=0,"Spatial Data Missing ⚠",VLOOKUP(J161,'G-3 Multipliers'!$L$3:$N$6,2,FALSE)))</f>
        <v/>
      </c>
      <c r="L161" s="524" t="str">
        <f>IF(J161="","",IF(VLOOKUP(J161,'G-3 Multipliers'!$L$3:$N$6,3,FALSE)=0,"Spatial Data Missing ⚠",VLOOKUP(J161,'G-3 Multipliers'!$L$3:$N$6,3,FALSE)))</f>
        <v/>
      </c>
      <c r="M161" s="506" t="str">
        <f>IF(D161="","",VLOOKUP(D161,'G-6 Hedgerow Data'!$B$1:$AH$15,33,FALSE))</f>
        <v/>
      </c>
      <c r="N161" s="513" t="str">
        <f t="shared" si="16"/>
        <v/>
      </c>
      <c r="O161" s="40"/>
      <c r="P161" s="145"/>
      <c r="Q161" s="157"/>
      <c r="R161" s="507" t="str">
        <f t="shared" si="17"/>
        <v/>
      </c>
      <c r="S161" s="507" t="str">
        <f t="shared" si="18"/>
        <v/>
      </c>
      <c r="T161" s="511" t="str">
        <f t="shared" si="19"/>
        <v/>
      </c>
      <c r="U161" s="515" t="str">
        <f t="shared" si="20"/>
        <v/>
      </c>
      <c r="V161" s="151"/>
      <c r="W161" s="152"/>
      <c r="AB161" s="31" t="str">
        <f>IFERROR(INDEX('G-6 Hedgerow Data'!$BJ$3:$BJ$15,MATCH(D161,'G-6 Hedgerow Data'!$B$3:$B$15,0)),"")</f>
        <v/>
      </c>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row>
    <row r="162" spans="2:37" ht="13.8" x14ac:dyDescent="0.25">
      <c r="B162" s="141">
        <v>153</v>
      </c>
      <c r="C162" s="203"/>
      <c r="D162" s="203"/>
      <c r="E162" s="153"/>
      <c r="F162" s="498" t="str">
        <f>IF(D162="","",VLOOKUP(D162,'G-6 Hedgerow Data'!$B$2:$AG$15,2,FALSE))</f>
        <v/>
      </c>
      <c r="G162" s="499" t="str">
        <f>IF(D162="","",VLOOKUP(D162,'G-6 Hedgerow Data'!$B$2:$AG$15,3,FALSE))</f>
        <v/>
      </c>
      <c r="H162" s="145"/>
      <c r="I162" s="499" t="str">
        <f>IFERROR(IF(AND(F162="V.Low",OR(H162="Good",H162="Moderate")),"Error ▲",VLOOKUP(H162,'G-1 All Habitats'!$Z$2:$AA$9,2,FALSE)),"")</f>
        <v/>
      </c>
      <c r="J162" s="154"/>
      <c r="K162" s="520" t="str">
        <f>IF(J162="","",IF(VLOOKUP(J162,'G-3 Multipliers'!$L$3:$N$6,2,FALSE)=0,"Spatial Data Missing ⚠",VLOOKUP(J162,'G-3 Multipliers'!$L$3:$N$6,2,FALSE)))</f>
        <v/>
      </c>
      <c r="L162" s="524" t="str">
        <f>IF(J162="","",IF(VLOOKUP(J162,'G-3 Multipliers'!$L$3:$N$6,3,FALSE)=0,"Spatial Data Missing ⚠",VLOOKUP(J162,'G-3 Multipliers'!$L$3:$N$6,3,FALSE)))</f>
        <v/>
      </c>
      <c r="M162" s="506" t="str">
        <f>IF(D162="","",VLOOKUP(D162,'G-6 Hedgerow Data'!$B$1:$AH$15,33,FALSE))</f>
        <v/>
      </c>
      <c r="N162" s="513" t="str">
        <f t="shared" si="16"/>
        <v/>
      </c>
      <c r="O162" s="40"/>
      <c r="P162" s="145"/>
      <c r="Q162" s="157"/>
      <c r="R162" s="507" t="str">
        <f t="shared" si="17"/>
        <v/>
      </c>
      <c r="S162" s="507" t="str">
        <f t="shared" si="18"/>
        <v/>
      </c>
      <c r="T162" s="511" t="str">
        <f t="shared" si="19"/>
        <v/>
      </c>
      <c r="U162" s="515" t="str">
        <f t="shared" si="20"/>
        <v/>
      </c>
      <c r="V162" s="151"/>
      <c r="W162" s="152"/>
      <c r="AB162" s="31" t="str">
        <f>IFERROR(INDEX('G-6 Hedgerow Data'!$BJ$3:$BJ$15,MATCH(D162,'G-6 Hedgerow Data'!$B$3:$B$15,0)),"")</f>
        <v/>
      </c>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row>
    <row r="163" spans="2:37" ht="13.8" x14ac:dyDescent="0.25">
      <c r="B163" s="141">
        <v>154</v>
      </c>
      <c r="C163" s="203"/>
      <c r="D163" s="203"/>
      <c r="E163" s="153"/>
      <c r="F163" s="498" t="str">
        <f>IF(D163="","",VLOOKUP(D163,'G-6 Hedgerow Data'!$B$2:$AG$15,2,FALSE))</f>
        <v/>
      </c>
      <c r="G163" s="499" t="str">
        <f>IF(D163="","",VLOOKUP(D163,'G-6 Hedgerow Data'!$B$2:$AG$15,3,FALSE))</f>
        <v/>
      </c>
      <c r="H163" s="145"/>
      <c r="I163" s="499" t="str">
        <f>IFERROR(IF(AND(F163="V.Low",OR(H163="Good",H163="Moderate")),"Error ▲",VLOOKUP(H163,'G-1 All Habitats'!$Z$2:$AA$9,2,FALSE)),"")</f>
        <v/>
      </c>
      <c r="J163" s="154"/>
      <c r="K163" s="520" t="str">
        <f>IF(J163="","",IF(VLOOKUP(J163,'G-3 Multipliers'!$L$3:$N$6,2,FALSE)=0,"Spatial Data Missing ⚠",VLOOKUP(J163,'G-3 Multipliers'!$L$3:$N$6,2,FALSE)))</f>
        <v/>
      </c>
      <c r="L163" s="524" t="str">
        <f>IF(J163="","",IF(VLOOKUP(J163,'G-3 Multipliers'!$L$3:$N$6,3,FALSE)=0,"Spatial Data Missing ⚠",VLOOKUP(J163,'G-3 Multipliers'!$L$3:$N$6,3,FALSE)))</f>
        <v/>
      </c>
      <c r="M163" s="506" t="str">
        <f>IF(D163="","",VLOOKUP(D163,'G-6 Hedgerow Data'!$B$1:$AH$15,33,FALSE))</f>
        <v/>
      </c>
      <c r="N163" s="513" t="str">
        <f t="shared" si="16"/>
        <v/>
      </c>
      <c r="O163" s="40"/>
      <c r="P163" s="145"/>
      <c r="Q163" s="157"/>
      <c r="R163" s="507" t="str">
        <f t="shared" si="17"/>
        <v/>
      </c>
      <c r="S163" s="507" t="str">
        <f t="shared" si="18"/>
        <v/>
      </c>
      <c r="T163" s="511" t="str">
        <f t="shared" si="19"/>
        <v/>
      </c>
      <c r="U163" s="515" t="str">
        <f t="shared" si="20"/>
        <v/>
      </c>
      <c r="V163" s="151"/>
      <c r="W163" s="152"/>
      <c r="AB163" s="31" t="str">
        <f>IFERROR(INDEX('G-6 Hedgerow Data'!$BJ$3:$BJ$15,MATCH(D163,'G-6 Hedgerow Data'!$B$3:$B$15,0)),"")</f>
        <v/>
      </c>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row>
    <row r="164" spans="2:37" ht="13.8" x14ac:dyDescent="0.25">
      <c r="B164" s="141">
        <v>155</v>
      </c>
      <c r="C164" s="203"/>
      <c r="D164" s="203"/>
      <c r="E164" s="153"/>
      <c r="F164" s="498" t="str">
        <f>IF(D164="","",VLOOKUP(D164,'G-6 Hedgerow Data'!$B$2:$AG$15,2,FALSE))</f>
        <v/>
      </c>
      <c r="G164" s="499" t="str">
        <f>IF(D164="","",VLOOKUP(D164,'G-6 Hedgerow Data'!$B$2:$AG$15,3,FALSE))</f>
        <v/>
      </c>
      <c r="H164" s="145"/>
      <c r="I164" s="499" t="str">
        <f>IFERROR(IF(AND(F164="V.Low",OR(H164="Good",H164="Moderate")),"Error ▲",VLOOKUP(H164,'G-1 All Habitats'!$Z$2:$AA$9,2,FALSE)),"")</f>
        <v/>
      </c>
      <c r="J164" s="154"/>
      <c r="K164" s="520" t="str">
        <f>IF(J164="","",IF(VLOOKUP(J164,'G-3 Multipliers'!$L$3:$N$6,2,FALSE)=0,"Spatial Data Missing ⚠",VLOOKUP(J164,'G-3 Multipliers'!$L$3:$N$6,2,FALSE)))</f>
        <v/>
      </c>
      <c r="L164" s="524" t="str">
        <f>IF(J164="","",IF(VLOOKUP(J164,'G-3 Multipliers'!$L$3:$N$6,3,FALSE)=0,"Spatial Data Missing ⚠",VLOOKUP(J164,'G-3 Multipliers'!$L$3:$N$6,3,FALSE)))</f>
        <v/>
      </c>
      <c r="M164" s="506" t="str">
        <f>IF(D164="","",VLOOKUP(D164,'G-6 Hedgerow Data'!$B$1:$AH$15,33,FALSE))</f>
        <v/>
      </c>
      <c r="N164" s="513" t="str">
        <f t="shared" si="16"/>
        <v/>
      </c>
      <c r="O164" s="40"/>
      <c r="P164" s="145"/>
      <c r="Q164" s="157"/>
      <c r="R164" s="507" t="str">
        <f t="shared" si="17"/>
        <v/>
      </c>
      <c r="S164" s="507" t="str">
        <f t="shared" si="18"/>
        <v/>
      </c>
      <c r="T164" s="511" t="str">
        <f t="shared" si="19"/>
        <v/>
      </c>
      <c r="U164" s="515" t="str">
        <f t="shared" si="20"/>
        <v/>
      </c>
      <c r="V164" s="151"/>
      <c r="W164" s="152"/>
      <c r="AB164" s="31" t="str">
        <f>IFERROR(INDEX('G-6 Hedgerow Data'!$BJ$3:$BJ$15,MATCH(D164,'G-6 Hedgerow Data'!$B$3:$B$15,0)),"")</f>
        <v/>
      </c>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row>
    <row r="165" spans="2:37" ht="13.8" x14ac:dyDescent="0.25">
      <c r="B165" s="141">
        <v>156</v>
      </c>
      <c r="C165" s="203"/>
      <c r="D165" s="203"/>
      <c r="E165" s="153"/>
      <c r="F165" s="498" t="str">
        <f>IF(D165="","",VLOOKUP(D165,'G-6 Hedgerow Data'!$B$2:$AG$15,2,FALSE))</f>
        <v/>
      </c>
      <c r="G165" s="499" t="str">
        <f>IF(D165="","",VLOOKUP(D165,'G-6 Hedgerow Data'!$B$2:$AG$15,3,FALSE))</f>
        <v/>
      </c>
      <c r="H165" s="145"/>
      <c r="I165" s="499" t="str">
        <f>IFERROR(IF(AND(F165="V.Low",OR(H165="Good",H165="Moderate")),"Error ▲",VLOOKUP(H165,'G-1 All Habitats'!$Z$2:$AA$9,2,FALSE)),"")</f>
        <v/>
      </c>
      <c r="J165" s="154"/>
      <c r="K165" s="520" t="str">
        <f>IF(J165="","",IF(VLOOKUP(J165,'G-3 Multipliers'!$L$3:$N$6,2,FALSE)=0,"Spatial Data Missing ⚠",VLOOKUP(J165,'G-3 Multipliers'!$L$3:$N$6,2,FALSE)))</f>
        <v/>
      </c>
      <c r="L165" s="524" t="str">
        <f>IF(J165="","",IF(VLOOKUP(J165,'G-3 Multipliers'!$L$3:$N$6,3,FALSE)=0,"Spatial Data Missing ⚠",VLOOKUP(J165,'G-3 Multipliers'!$L$3:$N$6,3,FALSE)))</f>
        <v/>
      </c>
      <c r="M165" s="506" t="str">
        <f>IF(D165="","",VLOOKUP(D165,'G-6 Hedgerow Data'!$B$1:$AH$15,33,FALSE))</f>
        <v/>
      </c>
      <c r="N165" s="513" t="str">
        <f t="shared" si="16"/>
        <v/>
      </c>
      <c r="O165" s="40"/>
      <c r="P165" s="145"/>
      <c r="Q165" s="157"/>
      <c r="R165" s="507" t="str">
        <f t="shared" si="17"/>
        <v/>
      </c>
      <c r="S165" s="507" t="str">
        <f t="shared" si="18"/>
        <v/>
      </c>
      <c r="T165" s="511" t="str">
        <f t="shared" si="19"/>
        <v/>
      </c>
      <c r="U165" s="515" t="str">
        <f t="shared" si="20"/>
        <v/>
      </c>
      <c r="V165" s="151"/>
      <c r="W165" s="152"/>
      <c r="AB165" s="31" t="str">
        <f>IFERROR(INDEX('G-6 Hedgerow Data'!$BJ$3:$BJ$15,MATCH(D165,'G-6 Hedgerow Data'!$B$3:$B$15,0)),"")</f>
        <v/>
      </c>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row>
    <row r="166" spans="2:37" ht="13.8" x14ac:dyDescent="0.25">
      <c r="B166" s="141">
        <v>157</v>
      </c>
      <c r="C166" s="203"/>
      <c r="D166" s="203"/>
      <c r="E166" s="153"/>
      <c r="F166" s="498" t="str">
        <f>IF(D166="","",VLOOKUP(D166,'G-6 Hedgerow Data'!$B$2:$AG$15,2,FALSE))</f>
        <v/>
      </c>
      <c r="G166" s="499" t="str">
        <f>IF(D166="","",VLOOKUP(D166,'G-6 Hedgerow Data'!$B$2:$AG$15,3,FALSE))</f>
        <v/>
      </c>
      <c r="H166" s="145"/>
      <c r="I166" s="499" t="str">
        <f>IFERROR(IF(AND(F166="V.Low",OR(H166="Good",H166="Moderate")),"Error ▲",VLOOKUP(H166,'G-1 All Habitats'!$Z$2:$AA$9,2,FALSE)),"")</f>
        <v/>
      </c>
      <c r="J166" s="154"/>
      <c r="K166" s="520" t="str">
        <f>IF(J166="","",IF(VLOOKUP(J166,'G-3 Multipliers'!$L$3:$N$6,2,FALSE)=0,"Spatial Data Missing ⚠",VLOOKUP(J166,'G-3 Multipliers'!$L$3:$N$6,2,FALSE)))</f>
        <v/>
      </c>
      <c r="L166" s="524" t="str">
        <f>IF(J166="","",IF(VLOOKUP(J166,'G-3 Multipliers'!$L$3:$N$6,3,FALSE)=0,"Spatial Data Missing ⚠",VLOOKUP(J166,'G-3 Multipliers'!$L$3:$N$6,3,FALSE)))</f>
        <v/>
      </c>
      <c r="M166" s="506" t="str">
        <f>IF(D166="","",VLOOKUP(D166,'G-6 Hedgerow Data'!$B$1:$AH$15,33,FALSE))</f>
        <v/>
      </c>
      <c r="N166" s="513" t="str">
        <f t="shared" si="16"/>
        <v/>
      </c>
      <c r="O166" s="40"/>
      <c r="P166" s="145"/>
      <c r="Q166" s="157"/>
      <c r="R166" s="507" t="str">
        <f t="shared" si="17"/>
        <v/>
      </c>
      <c r="S166" s="507" t="str">
        <f t="shared" si="18"/>
        <v/>
      </c>
      <c r="T166" s="511" t="str">
        <f t="shared" si="19"/>
        <v/>
      </c>
      <c r="U166" s="515" t="str">
        <f t="shared" si="20"/>
        <v/>
      </c>
      <c r="V166" s="151"/>
      <c r="W166" s="152"/>
      <c r="AB166" s="31" t="str">
        <f>IFERROR(INDEX('G-6 Hedgerow Data'!$BJ$3:$BJ$15,MATCH(D166,'G-6 Hedgerow Data'!$B$3:$B$15,0)),"")</f>
        <v/>
      </c>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row>
    <row r="167" spans="2:37" ht="13.8" x14ac:dyDescent="0.25">
      <c r="B167" s="141">
        <v>158</v>
      </c>
      <c r="C167" s="203"/>
      <c r="D167" s="203"/>
      <c r="E167" s="153"/>
      <c r="F167" s="498" t="str">
        <f>IF(D167="","",VLOOKUP(D167,'G-6 Hedgerow Data'!$B$2:$AG$15,2,FALSE))</f>
        <v/>
      </c>
      <c r="G167" s="499" t="str">
        <f>IF(D167="","",VLOOKUP(D167,'G-6 Hedgerow Data'!$B$2:$AG$15,3,FALSE))</f>
        <v/>
      </c>
      <c r="H167" s="145"/>
      <c r="I167" s="499" t="str">
        <f>IFERROR(IF(AND(F167="V.Low",OR(H167="Good",H167="Moderate")),"Error ▲",VLOOKUP(H167,'G-1 All Habitats'!$Z$2:$AA$9,2,FALSE)),"")</f>
        <v/>
      </c>
      <c r="J167" s="154"/>
      <c r="K167" s="520" t="str">
        <f>IF(J167="","",IF(VLOOKUP(J167,'G-3 Multipliers'!$L$3:$N$6,2,FALSE)=0,"Spatial Data Missing ⚠",VLOOKUP(J167,'G-3 Multipliers'!$L$3:$N$6,2,FALSE)))</f>
        <v/>
      </c>
      <c r="L167" s="524" t="str">
        <f>IF(J167="","",IF(VLOOKUP(J167,'G-3 Multipliers'!$L$3:$N$6,3,FALSE)=0,"Spatial Data Missing ⚠",VLOOKUP(J167,'G-3 Multipliers'!$L$3:$N$6,3,FALSE)))</f>
        <v/>
      </c>
      <c r="M167" s="506" t="str">
        <f>IF(D167="","",VLOOKUP(D167,'G-6 Hedgerow Data'!$B$1:$AH$15,33,FALSE))</f>
        <v/>
      </c>
      <c r="N167" s="513" t="str">
        <f t="shared" si="16"/>
        <v/>
      </c>
      <c r="O167" s="40"/>
      <c r="P167" s="145"/>
      <c r="Q167" s="157"/>
      <c r="R167" s="507" t="str">
        <f t="shared" si="17"/>
        <v/>
      </c>
      <c r="S167" s="507" t="str">
        <f t="shared" si="18"/>
        <v/>
      </c>
      <c r="T167" s="511" t="str">
        <f t="shared" si="19"/>
        <v/>
      </c>
      <c r="U167" s="515" t="str">
        <f t="shared" si="20"/>
        <v/>
      </c>
      <c r="V167" s="151"/>
      <c r="W167" s="152"/>
      <c r="AB167" s="31" t="str">
        <f>IFERROR(INDEX('G-6 Hedgerow Data'!$BJ$3:$BJ$15,MATCH(D167,'G-6 Hedgerow Data'!$B$3:$B$15,0)),"")</f>
        <v/>
      </c>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row>
    <row r="168" spans="2:37" ht="13.8" x14ac:dyDescent="0.25">
      <c r="B168" s="141">
        <v>159</v>
      </c>
      <c r="C168" s="203"/>
      <c r="D168" s="203"/>
      <c r="E168" s="153"/>
      <c r="F168" s="498" t="str">
        <f>IF(D168="","",VLOOKUP(D168,'G-6 Hedgerow Data'!$B$2:$AG$15,2,FALSE))</f>
        <v/>
      </c>
      <c r="G168" s="499" t="str">
        <f>IF(D168="","",VLOOKUP(D168,'G-6 Hedgerow Data'!$B$2:$AG$15,3,FALSE))</f>
        <v/>
      </c>
      <c r="H168" s="145"/>
      <c r="I168" s="499" t="str">
        <f>IFERROR(IF(AND(F168="V.Low",OR(H168="Good",H168="Moderate")),"Error ▲",VLOOKUP(H168,'G-1 All Habitats'!$Z$2:$AA$9,2,FALSE)),"")</f>
        <v/>
      </c>
      <c r="J168" s="154"/>
      <c r="K168" s="520" t="str">
        <f>IF(J168="","",IF(VLOOKUP(J168,'G-3 Multipliers'!$L$3:$N$6,2,FALSE)=0,"Spatial Data Missing ⚠",VLOOKUP(J168,'G-3 Multipliers'!$L$3:$N$6,2,FALSE)))</f>
        <v/>
      </c>
      <c r="L168" s="524" t="str">
        <f>IF(J168="","",IF(VLOOKUP(J168,'G-3 Multipliers'!$L$3:$N$6,3,FALSE)=0,"Spatial Data Missing ⚠",VLOOKUP(J168,'G-3 Multipliers'!$L$3:$N$6,3,FALSE)))</f>
        <v/>
      </c>
      <c r="M168" s="506" t="str">
        <f>IF(D168="","",VLOOKUP(D168,'G-6 Hedgerow Data'!$B$1:$AH$15,33,FALSE))</f>
        <v/>
      </c>
      <c r="N168" s="513" t="str">
        <f t="shared" si="16"/>
        <v/>
      </c>
      <c r="O168" s="40"/>
      <c r="P168" s="145"/>
      <c r="Q168" s="157"/>
      <c r="R168" s="507" t="str">
        <f t="shared" si="17"/>
        <v/>
      </c>
      <c r="S168" s="507" t="str">
        <f t="shared" si="18"/>
        <v/>
      </c>
      <c r="T168" s="511" t="str">
        <f t="shared" si="19"/>
        <v/>
      </c>
      <c r="U168" s="515" t="str">
        <f t="shared" si="20"/>
        <v/>
      </c>
      <c r="V168" s="151"/>
      <c r="W168" s="152"/>
      <c r="AB168" s="31" t="str">
        <f>IFERROR(INDEX('G-6 Hedgerow Data'!$BJ$3:$BJ$15,MATCH(D168,'G-6 Hedgerow Data'!$B$3:$B$15,0)),"")</f>
        <v/>
      </c>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row>
    <row r="169" spans="2:37" ht="13.8" x14ac:dyDescent="0.25">
      <c r="B169" s="141">
        <v>160</v>
      </c>
      <c r="C169" s="203"/>
      <c r="D169" s="203"/>
      <c r="E169" s="153"/>
      <c r="F169" s="498" t="str">
        <f>IF(D169="","",VLOOKUP(D169,'G-6 Hedgerow Data'!$B$2:$AG$15,2,FALSE))</f>
        <v/>
      </c>
      <c r="G169" s="499" t="str">
        <f>IF(D169="","",VLOOKUP(D169,'G-6 Hedgerow Data'!$B$2:$AG$15,3,FALSE))</f>
        <v/>
      </c>
      <c r="H169" s="145"/>
      <c r="I169" s="499" t="str">
        <f>IFERROR(IF(AND(F169="V.Low",OR(H169="Good",H169="Moderate")),"Error ▲",VLOOKUP(H169,'G-1 All Habitats'!$Z$2:$AA$9,2,FALSE)),"")</f>
        <v/>
      </c>
      <c r="J169" s="154"/>
      <c r="K169" s="520" t="str">
        <f>IF(J169="","",IF(VLOOKUP(J169,'G-3 Multipliers'!$L$3:$N$6,2,FALSE)=0,"Spatial Data Missing ⚠",VLOOKUP(J169,'G-3 Multipliers'!$L$3:$N$6,2,FALSE)))</f>
        <v/>
      </c>
      <c r="L169" s="524" t="str">
        <f>IF(J169="","",IF(VLOOKUP(J169,'G-3 Multipliers'!$L$3:$N$6,3,FALSE)=0,"Spatial Data Missing ⚠",VLOOKUP(J169,'G-3 Multipliers'!$L$3:$N$6,3,FALSE)))</f>
        <v/>
      </c>
      <c r="M169" s="506" t="str">
        <f>IF(D169="","",VLOOKUP(D169,'G-6 Hedgerow Data'!$B$1:$AH$15,33,FALSE))</f>
        <v/>
      </c>
      <c r="N169" s="513" t="str">
        <f t="shared" si="16"/>
        <v/>
      </c>
      <c r="O169" s="40"/>
      <c r="P169" s="145"/>
      <c r="Q169" s="157"/>
      <c r="R169" s="507" t="str">
        <f t="shared" si="17"/>
        <v/>
      </c>
      <c r="S169" s="507" t="str">
        <f t="shared" si="18"/>
        <v/>
      </c>
      <c r="T169" s="511" t="str">
        <f t="shared" si="19"/>
        <v/>
      </c>
      <c r="U169" s="515" t="str">
        <f t="shared" si="20"/>
        <v/>
      </c>
      <c r="V169" s="151"/>
      <c r="W169" s="152"/>
      <c r="AB169" s="31" t="str">
        <f>IFERROR(INDEX('G-6 Hedgerow Data'!$BJ$3:$BJ$15,MATCH(D169,'G-6 Hedgerow Data'!$B$3:$B$15,0)),"")</f>
        <v/>
      </c>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row>
    <row r="170" spans="2:37" ht="13.8" x14ac:dyDescent="0.25">
      <c r="B170" s="141">
        <v>161</v>
      </c>
      <c r="C170" s="203"/>
      <c r="D170" s="203"/>
      <c r="E170" s="153"/>
      <c r="F170" s="498" t="str">
        <f>IF(D170="","",VLOOKUP(D170,'G-6 Hedgerow Data'!$B$2:$AG$15,2,FALSE))</f>
        <v/>
      </c>
      <c r="G170" s="499" t="str">
        <f>IF(D170="","",VLOOKUP(D170,'G-6 Hedgerow Data'!$B$2:$AG$15,3,FALSE))</f>
        <v/>
      </c>
      <c r="H170" s="145"/>
      <c r="I170" s="499" t="str">
        <f>IFERROR(IF(AND(F170="V.Low",OR(H170="Good",H170="Moderate")),"Error ▲",VLOOKUP(H170,'G-1 All Habitats'!$Z$2:$AA$9,2,FALSE)),"")</f>
        <v/>
      </c>
      <c r="J170" s="154"/>
      <c r="K170" s="520" t="str">
        <f>IF(J170="","",IF(VLOOKUP(J170,'G-3 Multipliers'!$L$3:$N$6,2,FALSE)=0,"Spatial Data Missing ⚠",VLOOKUP(J170,'G-3 Multipliers'!$L$3:$N$6,2,FALSE)))</f>
        <v/>
      </c>
      <c r="L170" s="524" t="str">
        <f>IF(J170="","",IF(VLOOKUP(J170,'G-3 Multipliers'!$L$3:$N$6,3,FALSE)=0,"Spatial Data Missing ⚠",VLOOKUP(J170,'G-3 Multipliers'!$L$3:$N$6,3,FALSE)))</f>
        <v/>
      </c>
      <c r="M170" s="506" t="str">
        <f>IF(D170="","",VLOOKUP(D170,'G-6 Hedgerow Data'!$B$1:$AH$15,33,FALSE))</f>
        <v/>
      </c>
      <c r="N170" s="513" t="str">
        <f t="shared" si="16"/>
        <v/>
      </c>
      <c r="O170" s="40"/>
      <c r="P170" s="145"/>
      <c r="Q170" s="157"/>
      <c r="R170" s="507" t="str">
        <f t="shared" si="17"/>
        <v/>
      </c>
      <c r="S170" s="507" t="str">
        <f t="shared" si="18"/>
        <v/>
      </c>
      <c r="T170" s="511" t="str">
        <f t="shared" si="19"/>
        <v/>
      </c>
      <c r="U170" s="515" t="str">
        <f t="shared" si="20"/>
        <v/>
      </c>
      <c r="V170" s="151"/>
      <c r="W170" s="152"/>
      <c r="AB170" s="31" t="str">
        <f>IFERROR(INDEX('G-6 Hedgerow Data'!$BJ$3:$BJ$15,MATCH(D170,'G-6 Hedgerow Data'!$B$3:$B$15,0)),"")</f>
        <v/>
      </c>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row>
    <row r="171" spans="2:37" ht="13.8" x14ac:dyDescent="0.25">
      <c r="B171" s="141">
        <v>162</v>
      </c>
      <c r="C171" s="203"/>
      <c r="D171" s="203"/>
      <c r="E171" s="153"/>
      <c r="F171" s="498" t="str">
        <f>IF(D171="","",VLOOKUP(D171,'G-6 Hedgerow Data'!$B$2:$AG$15,2,FALSE))</f>
        <v/>
      </c>
      <c r="G171" s="499" t="str">
        <f>IF(D171="","",VLOOKUP(D171,'G-6 Hedgerow Data'!$B$2:$AG$15,3,FALSE))</f>
        <v/>
      </c>
      <c r="H171" s="145"/>
      <c r="I171" s="499" t="str">
        <f>IFERROR(IF(AND(F171="V.Low",OR(H171="Good",H171="Moderate")),"Error ▲",VLOOKUP(H171,'G-1 All Habitats'!$Z$2:$AA$9,2,FALSE)),"")</f>
        <v/>
      </c>
      <c r="J171" s="154"/>
      <c r="K171" s="520" t="str">
        <f>IF(J171="","",IF(VLOOKUP(J171,'G-3 Multipliers'!$L$3:$N$6,2,FALSE)=0,"Spatial Data Missing ⚠",VLOOKUP(J171,'G-3 Multipliers'!$L$3:$N$6,2,FALSE)))</f>
        <v/>
      </c>
      <c r="L171" s="524" t="str">
        <f>IF(J171="","",IF(VLOOKUP(J171,'G-3 Multipliers'!$L$3:$N$6,3,FALSE)=0,"Spatial Data Missing ⚠",VLOOKUP(J171,'G-3 Multipliers'!$L$3:$N$6,3,FALSE)))</f>
        <v/>
      </c>
      <c r="M171" s="506" t="str">
        <f>IF(D171="","",VLOOKUP(D171,'G-6 Hedgerow Data'!$B$1:$AH$15,33,FALSE))</f>
        <v/>
      </c>
      <c r="N171" s="513" t="str">
        <f t="shared" si="16"/>
        <v/>
      </c>
      <c r="O171" s="40"/>
      <c r="P171" s="145"/>
      <c r="Q171" s="157"/>
      <c r="R171" s="507" t="str">
        <f t="shared" si="17"/>
        <v/>
      </c>
      <c r="S171" s="507" t="str">
        <f t="shared" si="18"/>
        <v/>
      </c>
      <c r="T171" s="511" t="str">
        <f t="shared" si="19"/>
        <v/>
      </c>
      <c r="U171" s="515" t="str">
        <f t="shared" si="20"/>
        <v/>
      </c>
      <c r="V171" s="151"/>
      <c r="W171" s="152"/>
      <c r="AB171" s="31" t="str">
        <f>IFERROR(INDEX('G-6 Hedgerow Data'!$BJ$3:$BJ$15,MATCH(D171,'G-6 Hedgerow Data'!$B$3:$B$15,0)),"")</f>
        <v/>
      </c>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row>
    <row r="172" spans="2:37" ht="13.8" x14ac:dyDescent="0.25">
      <c r="B172" s="141">
        <v>163</v>
      </c>
      <c r="C172" s="203"/>
      <c r="D172" s="203"/>
      <c r="E172" s="153"/>
      <c r="F172" s="498" t="str">
        <f>IF(D172="","",VLOOKUP(D172,'G-6 Hedgerow Data'!$B$2:$AG$15,2,FALSE))</f>
        <v/>
      </c>
      <c r="G172" s="499" t="str">
        <f>IF(D172="","",VLOOKUP(D172,'G-6 Hedgerow Data'!$B$2:$AG$15,3,FALSE))</f>
        <v/>
      </c>
      <c r="H172" s="145"/>
      <c r="I172" s="499" t="str">
        <f>IFERROR(IF(AND(F172="V.Low",OR(H172="Good",H172="Moderate")),"Error ▲",VLOOKUP(H172,'G-1 All Habitats'!$Z$2:$AA$9,2,FALSE)),"")</f>
        <v/>
      </c>
      <c r="J172" s="154"/>
      <c r="K172" s="520" t="str">
        <f>IF(J172="","",IF(VLOOKUP(J172,'G-3 Multipliers'!$L$3:$N$6,2,FALSE)=0,"Spatial Data Missing ⚠",VLOOKUP(J172,'G-3 Multipliers'!$L$3:$N$6,2,FALSE)))</f>
        <v/>
      </c>
      <c r="L172" s="524" t="str">
        <f>IF(J172="","",IF(VLOOKUP(J172,'G-3 Multipliers'!$L$3:$N$6,3,FALSE)=0,"Spatial Data Missing ⚠",VLOOKUP(J172,'G-3 Multipliers'!$L$3:$N$6,3,FALSE)))</f>
        <v/>
      </c>
      <c r="M172" s="506" t="str">
        <f>IF(D172="","",VLOOKUP(D172,'G-6 Hedgerow Data'!$B$1:$AH$15,33,FALSE))</f>
        <v/>
      </c>
      <c r="N172" s="513" t="str">
        <f t="shared" si="16"/>
        <v/>
      </c>
      <c r="O172" s="40"/>
      <c r="P172" s="145"/>
      <c r="Q172" s="157"/>
      <c r="R172" s="507" t="str">
        <f t="shared" si="17"/>
        <v/>
      </c>
      <c r="S172" s="507" t="str">
        <f t="shared" si="18"/>
        <v/>
      </c>
      <c r="T172" s="511" t="str">
        <f t="shared" si="19"/>
        <v/>
      </c>
      <c r="U172" s="515" t="str">
        <f t="shared" si="20"/>
        <v/>
      </c>
      <c r="V172" s="151"/>
      <c r="W172" s="152"/>
      <c r="AB172" s="31" t="str">
        <f>IFERROR(INDEX('G-6 Hedgerow Data'!$BJ$3:$BJ$15,MATCH(D172,'G-6 Hedgerow Data'!$B$3:$B$15,0)),"")</f>
        <v/>
      </c>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row>
    <row r="173" spans="2:37" ht="13.8" x14ac:dyDescent="0.25">
      <c r="B173" s="141">
        <v>164</v>
      </c>
      <c r="C173" s="203"/>
      <c r="D173" s="203"/>
      <c r="E173" s="153"/>
      <c r="F173" s="498" t="str">
        <f>IF(D173="","",VLOOKUP(D173,'G-6 Hedgerow Data'!$B$2:$AG$15,2,FALSE))</f>
        <v/>
      </c>
      <c r="G173" s="499" t="str">
        <f>IF(D173="","",VLOOKUP(D173,'G-6 Hedgerow Data'!$B$2:$AG$15,3,FALSE))</f>
        <v/>
      </c>
      <c r="H173" s="145"/>
      <c r="I173" s="499" t="str">
        <f>IFERROR(IF(AND(F173="V.Low",OR(H173="Good",H173="Moderate")),"Error ▲",VLOOKUP(H173,'G-1 All Habitats'!$Z$2:$AA$9,2,FALSE)),"")</f>
        <v/>
      </c>
      <c r="J173" s="154"/>
      <c r="K173" s="520" t="str">
        <f>IF(J173="","",IF(VLOOKUP(J173,'G-3 Multipliers'!$L$3:$N$6,2,FALSE)=0,"Spatial Data Missing ⚠",VLOOKUP(J173,'G-3 Multipliers'!$L$3:$N$6,2,FALSE)))</f>
        <v/>
      </c>
      <c r="L173" s="524" t="str">
        <f>IF(J173="","",IF(VLOOKUP(J173,'G-3 Multipliers'!$L$3:$N$6,3,FALSE)=0,"Spatial Data Missing ⚠",VLOOKUP(J173,'G-3 Multipliers'!$L$3:$N$6,3,FALSE)))</f>
        <v/>
      </c>
      <c r="M173" s="506" t="str">
        <f>IF(D173="","",VLOOKUP(D173,'G-6 Hedgerow Data'!$B$1:$AH$15,33,FALSE))</f>
        <v/>
      </c>
      <c r="N173" s="513" t="str">
        <f t="shared" si="16"/>
        <v/>
      </c>
      <c r="O173" s="40"/>
      <c r="P173" s="145"/>
      <c r="Q173" s="157"/>
      <c r="R173" s="507" t="str">
        <f t="shared" si="17"/>
        <v/>
      </c>
      <c r="S173" s="507" t="str">
        <f t="shared" si="18"/>
        <v/>
      </c>
      <c r="T173" s="511" t="str">
        <f t="shared" si="19"/>
        <v/>
      </c>
      <c r="U173" s="515" t="str">
        <f t="shared" si="20"/>
        <v/>
      </c>
      <c r="V173" s="151"/>
      <c r="W173" s="152"/>
      <c r="AB173" s="31" t="str">
        <f>IFERROR(INDEX('G-6 Hedgerow Data'!$BJ$3:$BJ$15,MATCH(D173,'G-6 Hedgerow Data'!$B$3:$B$15,0)),"")</f>
        <v/>
      </c>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row>
    <row r="174" spans="2:37" ht="13.8" x14ac:dyDescent="0.25">
      <c r="B174" s="141">
        <v>165</v>
      </c>
      <c r="C174" s="203"/>
      <c r="D174" s="203"/>
      <c r="E174" s="153"/>
      <c r="F174" s="498" t="str">
        <f>IF(D174="","",VLOOKUP(D174,'G-6 Hedgerow Data'!$B$2:$AG$15,2,FALSE))</f>
        <v/>
      </c>
      <c r="G174" s="499" t="str">
        <f>IF(D174="","",VLOOKUP(D174,'G-6 Hedgerow Data'!$B$2:$AG$15,3,FALSE))</f>
        <v/>
      </c>
      <c r="H174" s="145"/>
      <c r="I174" s="499" t="str">
        <f>IFERROR(IF(AND(F174="V.Low",OR(H174="Good",H174="Moderate")),"Error ▲",VLOOKUP(H174,'G-1 All Habitats'!$Z$2:$AA$9,2,FALSE)),"")</f>
        <v/>
      </c>
      <c r="J174" s="154"/>
      <c r="K174" s="520" t="str">
        <f>IF(J174="","",IF(VLOOKUP(J174,'G-3 Multipliers'!$L$3:$N$6,2,FALSE)=0,"Spatial Data Missing ⚠",VLOOKUP(J174,'G-3 Multipliers'!$L$3:$N$6,2,FALSE)))</f>
        <v/>
      </c>
      <c r="L174" s="524" t="str">
        <f>IF(J174="","",IF(VLOOKUP(J174,'G-3 Multipliers'!$L$3:$N$6,3,FALSE)=0,"Spatial Data Missing ⚠",VLOOKUP(J174,'G-3 Multipliers'!$L$3:$N$6,3,FALSE)))</f>
        <v/>
      </c>
      <c r="M174" s="506" t="str">
        <f>IF(D174="","",VLOOKUP(D174,'G-6 Hedgerow Data'!$B$1:$AH$15,33,FALSE))</f>
        <v/>
      </c>
      <c r="N174" s="513" t="str">
        <f t="shared" si="16"/>
        <v/>
      </c>
      <c r="O174" s="40"/>
      <c r="P174" s="145"/>
      <c r="Q174" s="157"/>
      <c r="R174" s="507" t="str">
        <f t="shared" si="17"/>
        <v/>
      </c>
      <c r="S174" s="507" t="str">
        <f t="shared" si="18"/>
        <v/>
      </c>
      <c r="T174" s="511" t="str">
        <f t="shared" si="19"/>
        <v/>
      </c>
      <c r="U174" s="515" t="str">
        <f t="shared" si="20"/>
        <v/>
      </c>
      <c r="V174" s="151"/>
      <c r="W174" s="152"/>
      <c r="AB174" s="31" t="str">
        <f>IFERROR(INDEX('G-6 Hedgerow Data'!$BJ$3:$BJ$15,MATCH(D174,'G-6 Hedgerow Data'!$B$3:$B$15,0)),"")</f>
        <v/>
      </c>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row>
    <row r="175" spans="2:37" ht="13.8" x14ac:dyDescent="0.25">
      <c r="B175" s="141">
        <v>166</v>
      </c>
      <c r="C175" s="203"/>
      <c r="D175" s="203"/>
      <c r="E175" s="153"/>
      <c r="F175" s="498" t="str">
        <f>IF(D175="","",VLOOKUP(D175,'G-6 Hedgerow Data'!$B$2:$AG$15,2,FALSE))</f>
        <v/>
      </c>
      <c r="G175" s="499" t="str">
        <f>IF(D175="","",VLOOKUP(D175,'G-6 Hedgerow Data'!$B$2:$AG$15,3,FALSE))</f>
        <v/>
      </c>
      <c r="H175" s="145"/>
      <c r="I175" s="499" t="str">
        <f>IFERROR(IF(AND(F175="V.Low",OR(H175="Good",H175="Moderate")),"Error ▲",VLOOKUP(H175,'G-1 All Habitats'!$Z$2:$AA$9,2,FALSE)),"")</f>
        <v/>
      </c>
      <c r="J175" s="154"/>
      <c r="K175" s="520" t="str">
        <f>IF(J175="","",IF(VLOOKUP(J175,'G-3 Multipliers'!$L$3:$N$6,2,FALSE)=0,"Spatial Data Missing ⚠",VLOOKUP(J175,'G-3 Multipliers'!$L$3:$N$6,2,FALSE)))</f>
        <v/>
      </c>
      <c r="L175" s="524" t="str">
        <f>IF(J175="","",IF(VLOOKUP(J175,'G-3 Multipliers'!$L$3:$N$6,3,FALSE)=0,"Spatial Data Missing ⚠",VLOOKUP(J175,'G-3 Multipliers'!$L$3:$N$6,3,FALSE)))</f>
        <v/>
      </c>
      <c r="M175" s="506" t="str">
        <f>IF(D175="","",VLOOKUP(D175,'G-6 Hedgerow Data'!$B$1:$AH$15,33,FALSE))</f>
        <v/>
      </c>
      <c r="N175" s="513" t="str">
        <f t="shared" si="16"/>
        <v/>
      </c>
      <c r="O175" s="40"/>
      <c r="P175" s="145"/>
      <c r="Q175" s="157"/>
      <c r="R175" s="507" t="str">
        <f t="shared" si="17"/>
        <v/>
      </c>
      <c r="S175" s="507" t="str">
        <f t="shared" si="18"/>
        <v/>
      </c>
      <c r="T175" s="511" t="str">
        <f t="shared" si="19"/>
        <v/>
      </c>
      <c r="U175" s="515" t="str">
        <f t="shared" si="20"/>
        <v/>
      </c>
      <c r="V175" s="151"/>
      <c r="W175" s="152"/>
      <c r="AB175" s="31" t="str">
        <f>IFERROR(INDEX('G-6 Hedgerow Data'!$BJ$3:$BJ$15,MATCH(D175,'G-6 Hedgerow Data'!$B$3:$B$15,0)),"")</f>
        <v/>
      </c>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row>
    <row r="176" spans="2:37" ht="13.8" x14ac:dyDescent="0.25">
      <c r="B176" s="141">
        <v>167</v>
      </c>
      <c r="C176" s="203"/>
      <c r="D176" s="203"/>
      <c r="E176" s="153"/>
      <c r="F176" s="498" t="str">
        <f>IF(D176="","",VLOOKUP(D176,'G-6 Hedgerow Data'!$B$2:$AG$15,2,FALSE))</f>
        <v/>
      </c>
      <c r="G176" s="499" t="str">
        <f>IF(D176="","",VLOOKUP(D176,'G-6 Hedgerow Data'!$B$2:$AG$15,3,FALSE))</f>
        <v/>
      </c>
      <c r="H176" s="145"/>
      <c r="I176" s="499" t="str">
        <f>IFERROR(IF(AND(F176="V.Low",OR(H176="Good",H176="Moderate")),"Error ▲",VLOOKUP(H176,'G-1 All Habitats'!$Z$2:$AA$9,2,FALSE)),"")</f>
        <v/>
      </c>
      <c r="J176" s="154"/>
      <c r="K176" s="520" t="str">
        <f>IF(J176="","",IF(VLOOKUP(J176,'G-3 Multipliers'!$L$3:$N$6,2,FALSE)=0,"Spatial Data Missing ⚠",VLOOKUP(J176,'G-3 Multipliers'!$L$3:$N$6,2,FALSE)))</f>
        <v/>
      </c>
      <c r="L176" s="524" t="str">
        <f>IF(J176="","",IF(VLOOKUP(J176,'G-3 Multipliers'!$L$3:$N$6,3,FALSE)=0,"Spatial Data Missing ⚠",VLOOKUP(J176,'G-3 Multipliers'!$L$3:$N$6,3,FALSE)))</f>
        <v/>
      </c>
      <c r="M176" s="506" t="str">
        <f>IF(D176="","",VLOOKUP(D176,'G-6 Hedgerow Data'!$B$1:$AH$15,33,FALSE))</f>
        <v/>
      </c>
      <c r="N176" s="513" t="str">
        <f t="shared" si="16"/>
        <v/>
      </c>
      <c r="O176" s="40"/>
      <c r="P176" s="145"/>
      <c r="Q176" s="157"/>
      <c r="R176" s="507" t="str">
        <f t="shared" si="17"/>
        <v/>
      </c>
      <c r="S176" s="507" t="str">
        <f t="shared" si="18"/>
        <v/>
      </c>
      <c r="T176" s="511" t="str">
        <f t="shared" si="19"/>
        <v/>
      </c>
      <c r="U176" s="515" t="str">
        <f t="shared" si="20"/>
        <v/>
      </c>
      <c r="V176" s="151"/>
      <c r="W176" s="152"/>
      <c r="AB176" s="31" t="str">
        <f>IFERROR(INDEX('G-6 Hedgerow Data'!$BJ$3:$BJ$15,MATCH(D176,'G-6 Hedgerow Data'!$B$3:$B$15,0)),"")</f>
        <v/>
      </c>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row>
    <row r="177" spans="2:37" ht="13.8" x14ac:dyDescent="0.25">
      <c r="B177" s="141">
        <v>168</v>
      </c>
      <c r="C177" s="203"/>
      <c r="D177" s="203"/>
      <c r="E177" s="153"/>
      <c r="F177" s="498" t="str">
        <f>IF(D177="","",VLOOKUP(D177,'G-6 Hedgerow Data'!$B$2:$AG$15,2,FALSE))</f>
        <v/>
      </c>
      <c r="G177" s="499" t="str">
        <f>IF(D177="","",VLOOKUP(D177,'G-6 Hedgerow Data'!$B$2:$AG$15,3,FALSE))</f>
        <v/>
      </c>
      <c r="H177" s="145"/>
      <c r="I177" s="499" t="str">
        <f>IFERROR(IF(AND(F177="V.Low",OR(H177="Good",H177="Moderate")),"Error ▲",VLOOKUP(H177,'G-1 All Habitats'!$Z$2:$AA$9,2,FALSE)),"")</f>
        <v/>
      </c>
      <c r="J177" s="154"/>
      <c r="K177" s="520" t="str">
        <f>IF(J177="","",IF(VLOOKUP(J177,'G-3 Multipliers'!$L$3:$N$6,2,FALSE)=0,"Spatial Data Missing ⚠",VLOOKUP(J177,'G-3 Multipliers'!$L$3:$N$6,2,FALSE)))</f>
        <v/>
      </c>
      <c r="L177" s="524" t="str">
        <f>IF(J177="","",IF(VLOOKUP(J177,'G-3 Multipliers'!$L$3:$N$6,3,FALSE)=0,"Spatial Data Missing ⚠",VLOOKUP(J177,'G-3 Multipliers'!$L$3:$N$6,3,FALSE)))</f>
        <v/>
      </c>
      <c r="M177" s="506" t="str">
        <f>IF(D177="","",VLOOKUP(D177,'G-6 Hedgerow Data'!$B$1:$AH$15,33,FALSE))</f>
        <v/>
      </c>
      <c r="N177" s="513" t="str">
        <f t="shared" si="16"/>
        <v/>
      </c>
      <c r="O177" s="40"/>
      <c r="P177" s="145"/>
      <c r="Q177" s="157"/>
      <c r="R177" s="507" t="str">
        <f t="shared" si="17"/>
        <v/>
      </c>
      <c r="S177" s="507" t="str">
        <f t="shared" si="18"/>
        <v/>
      </c>
      <c r="T177" s="511" t="str">
        <f t="shared" si="19"/>
        <v/>
      </c>
      <c r="U177" s="515" t="str">
        <f t="shared" si="20"/>
        <v/>
      </c>
      <c r="V177" s="151"/>
      <c r="W177" s="152"/>
      <c r="AB177" s="31" t="str">
        <f>IFERROR(INDEX('G-6 Hedgerow Data'!$BJ$3:$BJ$15,MATCH(D177,'G-6 Hedgerow Data'!$B$3:$B$15,0)),"")</f>
        <v/>
      </c>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row>
    <row r="178" spans="2:37" ht="13.8" x14ac:dyDescent="0.25">
      <c r="B178" s="141">
        <v>169</v>
      </c>
      <c r="C178" s="203"/>
      <c r="D178" s="203"/>
      <c r="E178" s="153"/>
      <c r="F178" s="498" t="str">
        <f>IF(D178="","",VLOOKUP(D178,'G-6 Hedgerow Data'!$B$2:$AG$15,2,FALSE))</f>
        <v/>
      </c>
      <c r="G178" s="499" t="str">
        <f>IF(D178="","",VLOOKUP(D178,'G-6 Hedgerow Data'!$B$2:$AG$15,3,FALSE))</f>
        <v/>
      </c>
      <c r="H178" s="145"/>
      <c r="I178" s="499" t="str">
        <f>IFERROR(IF(AND(F178="V.Low",OR(H178="Good",H178="Moderate")),"Error ▲",VLOOKUP(H178,'G-1 All Habitats'!$Z$2:$AA$9,2,FALSE)),"")</f>
        <v/>
      </c>
      <c r="J178" s="154"/>
      <c r="K178" s="520" t="str">
        <f>IF(J178="","",IF(VLOOKUP(J178,'G-3 Multipliers'!$L$3:$N$6,2,FALSE)=0,"Spatial Data Missing ⚠",VLOOKUP(J178,'G-3 Multipliers'!$L$3:$N$6,2,FALSE)))</f>
        <v/>
      </c>
      <c r="L178" s="524" t="str">
        <f>IF(J178="","",IF(VLOOKUP(J178,'G-3 Multipliers'!$L$3:$N$6,3,FALSE)=0,"Spatial Data Missing ⚠",VLOOKUP(J178,'G-3 Multipliers'!$L$3:$N$6,3,FALSE)))</f>
        <v/>
      </c>
      <c r="M178" s="506" t="str">
        <f>IF(D178="","",VLOOKUP(D178,'G-6 Hedgerow Data'!$B$1:$AH$15,33,FALSE))</f>
        <v/>
      </c>
      <c r="N178" s="513" t="str">
        <f t="shared" si="16"/>
        <v/>
      </c>
      <c r="O178" s="40"/>
      <c r="P178" s="145"/>
      <c r="Q178" s="157"/>
      <c r="R178" s="507" t="str">
        <f t="shared" si="17"/>
        <v/>
      </c>
      <c r="S178" s="507" t="str">
        <f t="shared" si="18"/>
        <v/>
      </c>
      <c r="T178" s="511" t="str">
        <f t="shared" si="19"/>
        <v/>
      </c>
      <c r="U178" s="515" t="str">
        <f t="shared" si="20"/>
        <v/>
      </c>
      <c r="V178" s="151"/>
      <c r="W178" s="152"/>
      <c r="AB178" s="31" t="str">
        <f>IFERROR(INDEX('G-6 Hedgerow Data'!$BJ$3:$BJ$15,MATCH(D178,'G-6 Hedgerow Data'!$B$3:$B$15,0)),"")</f>
        <v/>
      </c>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row>
    <row r="179" spans="2:37" ht="13.8" x14ac:dyDescent="0.25">
      <c r="B179" s="141">
        <v>170</v>
      </c>
      <c r="C179" s="203"/>
      <c r="D179" s="203"/>
      <c r="E179" s="153"/>
      <c r="F179" s="498" t="str">
        <f>IF(D179="","",VLOOKUP(D179,'G-6 Hedgerow Data'!$B$2:$AG$15,2,FALSE))</f>
        <v/>
      </c>
      <c r="G179" s="499" t="str">
        <f>IF(D179="","",VLOOKUP(D179,'G-6 Hedgerow Data'!$B$2:$AG$15,3,FALSE))</f>
        <v/>
      </c>
      <c r="H179" s="145"/>
      <c r="I179" s="499" t="str">
        <f>IFERROR(IF(AND(F179="V.Low",OR(H179="Good",H179="Moderate")),"Error ▲",VLOOKUP(H179,'G-1 All Habitats'!$Z$2:$AA$9,2,FALSE)),"")</f>
        <v/>
      </c>
      <c r="J179" s="154"/>
      <c r="K179" s="520" t="str">
        <f>IF(J179="","",IF(VLOOKUP(J179,'G-3 Multipliers'!$L$3:$N$6,2,FALSE)=0,"Spatial Data Missing ⚠",VLOOKUP(J179,'G-3 Multipliers'!$L$3:$N$6,2,FALSE)))</f>
        <v/>
      </c>
      <c r="L179" s="524" t="str">
        <f>IF(J179="","",IF(VLOOKUP(J179,'G-3 Multipliers'!$L$3:$N$6,3,FALSE)=0,"Spatial Data Missing ⚠",VLOOKUP(J179,'G-3 Multipliers'!$L$3:$N$6,3,FALSE)))</f>
        <v/>
      </c>
      <c r="M179" s="506" t="str">
        <f>IF(D179="","",VLOOKUP(D179,'G-6 Hedgerow Data'!$B$1:$AH$15,33,FALSE))</f>
        <v/>
      </c>
      <c r="N179" s="513" t="str">
        <f t="shared" si="16"/>
        <v/>
      </c>
      <c r="O179" s="40"/>
      <c r="P179" s="145"/>
      <c r="Q179" s="157"/>
      <c r="R179" s="507" t="str">
        <f t="shared" si="17"/>
        <v/>
      </c>
      <c r="S179" s="507" t="str">
        <f t="shared" si="18"/>
        <v/>
      </c>
      <c r="T179" s="511" t="str">
        <f t="shared" si="19"/>
        <v/>
      </c>
      <c r="U179" s="515" t="str">
        <f t="shared" si="20"/>
        <v/>
      </c>
      <c r="V179" s="151"/>
      <c r="W179" s="152"/>
      <c r="AB179" s="31" t="str">
        <f>IFERROR(INDEX('G-6 Hedgerow Data'!$BJ$3:$BJ$15,MATCH(D179,'G-6 Hedgerow Data'!$B$3:$B$15,0)),"")</f>
        <v/>
      </c>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row>
    <row r="180" spans="2:37" ht="13.8" x14ac:dyDescent="0.25">
      <c r="B180" s="141">
        <v>171</v>
      </c>
      <c r="C180" s="203"/>
      <c r="D180" s="203"/>
      <c r="E180" s="153"/>
      <c r="F180" s="498" t="str">
        <f>IF(D180="","",VLOOKUP(D180,'G-6 Hedgerow Data'!$B$2:$AG$15,2,FALSE))</f>
        <v/>
      </c>
      <c r="G180" s="499" t="str">
        <f>IF(D180="","",VLOOKUP(D180,'G-6 Hedgerow Data'!$B$2:$AG$15,3,FALSE))</f>
        <v/>
      </c>
      <c r="H180" s="145"/>
      <c r="I180" s="499" t="str">
        <f>IFERROR(IF(AND(F180="V.Low",OR(H180="Good",H180="Moderate")),"Error ▲",VLOOKUP(H180,'G-1 All Habitats'!$Z$2:$AA$9,2,FALSE)),"")</f>
        <v/>
      </c>
      <c r="J180" s="154"/>
      <c r="K180" s="520" t="str">
        <f>IF(J180="","",IF(VLOOKUP(J180,'G-3 Multipliers'!$L$3:$N$6,2,FALSE)=0,"Spatial Data Missing ⚠",VLOOKUP(J180,'G-3 Multipliers'!$L$3:$N$6,2,FALSE)))</f>
        <v/>
      </c>
      <c r="L180" s="524" t="str">
        <f>IF(J180="","",IF(VLOOKUP(J180,'G-3 Multipliers'!$L$3:$N$6,3,FALSE)=0,"Spatial Data Missing ⚠",VLOOKUP(J180,'G-3 Multipliers'!$L$3:$N$6,3,FALSE)))</f>
        <v/>
      </c>
      <c r="M180" s="506" t="str">
        <f>IF(D180="","",VLOOKUP(D180,'G-6 Hedgerow Data'!$B$1:$AH$15,33,FALSE))</f>
        <v/>
      </c>
      <c r="N180" s="513" t="str">
        <f t="shared" si="16"/>
        <v/>
      </c>
      <c r="O180" s="40"/>
      <c r="P180" s="145"/>
      <c r="Q180" s="157"/>
      <c r="R180" s="507" t="str">
        <f t="shared" si="17"/>
        <v/>
      </c>
      <c r="S180" s="507" t="str">
        <f t="shared" si="18"/>
        <v/>
      </c>
      <c r="T180" s="511" t="str">
        <f t="shared" si="19"/>
        <v/>
      </c>
      <c r="U180" s="515" t="str">
        <f t="shared" si="20"/>
        <v/>
      </c>
      <c r="V180" s="151"/>
      <c r="W180" s="152"/>
      <c r="AB180" s="31" t="str">
        <f>IFERROR(INDEX('G-6 Hedgerow Data'!$BJ$3:$BJ$15,MATCH(D180,'G-6 Hedgerow Data'!$B$3:$B$15,0)),"")</f>
        <v/>
      </c>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row>
    <row r="181" spans="2:37" ht="13.8" x14ac:dyDescent="0.25">
      <c r="B181" s="141">
        <v>172</v>
      </c>
      <c r="C181" s="203"/>
      <c r="D181" s="203"/>
      <c r="E181" s="153"/>
      <c r="F181" s="498" t="str">
        <f>IF(D181="","",VLOOKUP(D181,'G-6 Hedgerow Data'!$B$2:$AG$15,2,FALSE))</f>
        <v/>
      </c>
      <c r="G181" s="499" t="str">
        <f>IF(D181="","",VLOOKUP(D181,'G-6 Hedgerow Data'!$B$2:$AG$15,3,FALSE))</f>
        <v/>
      </c>
      <c r="H181" s="145"/>
      <c r="I181" s="499" t="str">
        <f>IFERROR(IF(AND(F181="V.Low",OR(H181="Good",H181="Moderate")),"Error ▲",VLOOKUP(H181,'G-1 All Habitats'!$Z$2:$AA$9,2,FALSE)),"")</f>
        <v/>
      </c>
      <c r="J181" s="154"/>
      <c r="K181" s="520" t="str">
        <f>IF(J181="","",IF(VLOOKUP(J181,'G-3 Multipliers'!$L$3:$N$6,2,FALSE)=0,"Spatial Data Missing ⚠",VLOOKUP(J181,'G-3 Multipliers'!$L$3:$N$6,2,FALSE)))</f>
        <v/>
      </c>
      <c r="L181" s="524" t="str">
        <f>IF(J181="","",IF(VLOOKUP(J181,'G-3 Multipliers'!$L$3:$N$6,3,FALSE)=0,"Spatial Data Missing ⚠",VLOOKUP(J181,'G-3 Multipliers'!$L$3:$N$6,3,FALSE)))</f>
        <v/>
      </c>
      <c r="M181" s="506" t="str">
        <f>IF(D181="","",VLOOKUP(D181,'G-6 Hedgerow Data'!$B$1:$AH$15,33,FALSE))</f>
        <v/>
      </c>
      <c r="N181" s="513" t="str">
        <f t="shared" si="16"/>
        <v/>
      </c>
      <c r="O181" s="40"/>
      <c r="P181" s="145"/>
      <c r="Q181" s="157"/>
      <c r="R181" s="507" t="str">
        <f t="shared" si="17"/>
        <v/>
      </c>
      <c r="S181" s="507" t="str">
        <f t="shared" si="18"/>
        <v/>
      </c>
      <c r="T181" s="511" t="str">
        <f t="shared" si="19"/>
        <v/>
      </c>
      <c r="U181" s="515" t="str">
        <f t="shared" si="20"/>
        <v/>
      </c>
      <c r="V181" s="151"/>
      <c r="W181" s="152"/>
      <c r="AB181" s="31" t="str">
        <f>IFERROR(INDEX('G-6 Hedgerow Data'!$BJ$3:$BJ$15,MATCH(D181,'G-6 Hedgerow Data'!$B$3:$B$15,0)),"")</f>
        <v/>
      </c>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row>
    <row r="182" spans="2:37" ht="13.8" x14ac:dyDescent="0.25">
      <c r="B182" s="141">
        <v>173</v>
      </c>
      <c r="C182" s="203"/>
      <c r="D182" s="203"/>
      <c r="E182" s="153"/>
      <c r="F182" s="498" t="str">
        <f>IF(D182="","",VLOOKUP(D182,'G-6 Hedgerow Data'!$B$2:$AG$15,2,FALSE))</f>
        <v/>
      </c>
      <c r="G182" s="499" t="str">
        <f>IF(D182="","",VLOOKUP(D182,'G-6 Hedgerow Data'!$B$2:$AG$15,3,FALSE))</f>
        <v/>
      </c>
      <c r="H182" s="145"/>
      <c r="I182" s="499" t="str">
        <f>IFERROR(IF(AND(F182="V.Low",OR(H182="Good",H182="Moderate")),"Error ▲",VLOOKUP(H182,'G-1 All Habitats'!$Z$2:$AA$9,2,FALSE)),"")</f>
        <v/>
      </c>
      <c r="J182" s="154"/>
      <c r="K182" s="520" t="str">
        <f>IF(J182="","",IF(VLOOKUP(J182,'G-3 Multipliers'!$L$3:$N$6,2,FALSE)=0,"Spatial Data Missing ⚠",VLOOKUP(J182,'G-3 Multipliers'!$L$3:$N$6,2,FALSE)))</f>
        <v/>
      </c>
      <c r="L182" s="524" t="str">
        <f>IF(J182="","",IF(VLOOKUP(J182,'G-3 Multipliers'!$L$3:$N$6,3,FALSE)=0,"Spatial Data Missing ⚠",VLOOKUP(J182,'G-3 Multipliers'!$L$3:$N$6,3,FALSE)))</f>
        <v/>
      </c>
      <c r="M182" s="506" t="str">
        <f>IF(D182="","",VLOOKUP(D182,'G-6 Hedgerow Data'!$B$1:$AH$15,33,FALSE))</f>
        <v/>
      </c>
      <c r="N182" s="513" t="str">
        <f t="shared" si="16"/>
        <v/>
      </c>
      <c r="O182" s="40"/>
      <c r="P182" s="145"/>
      <c r="Q182" s="157"/>
      <c r="R182" s="507" t="str">
        <f t="shared" si="17"/>
        <v/>
      </c>
      <c r="S182" s="507" t="str">
        <f t="shared" si="18"/>
        <v/>
      </c>
      <c r="T182" s="511" t="str">
        <f t="shared" si="19"/>
        <v/>
      </c>
      <c r="U182" s="515" t="str">
        <f t="shared" si="20"/>
        <v/>
      </c>
      <c r="V182" s="151"/>
      <c r="W182" s="152"/>
      <c r="AB182" s="31" t="str">
        <f>IFERROR(INDEX('G-6 Hedgerow Data'!$BJ$3:$BJ$15,MATCH(D182,'G-6 Hedgerow Data'!$B$3:$B$15,0)),"")</f>
        <v/>
      </c>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row>
    <row r="183" spans="2:37" ht="13.8" x14ac:dyDescent="0.25">
      <c r="B183" s="141">
        <v>174</v>
      </c>
      <c r="C183" s="203"/>
      <c r="D183" s="203"/>
      <c r="E183" s="153"/>
      <c r="F183" s="498" t="str">
        <f>IF(D183="","",VLOOKUP(D183,'G-6 Hedgerow Data'!$B$2:$AG$15,2,FALSE))</f>
        <v/>
      </c>
      <c r="G183" s="499" t="str">
        <f>IF(D183="","",VLOOKUP(D183,'G-6 Hedgerow Data'!$B$2:$AG$15,3,FALSE))</f>
        <v/>
      </c>
      <c r="H183" s="145"/>
      <c r="I183" s="499" t="str">
        <f>IFERROR(IF(AND(F183="V.Low",OR(H183="Good",H183="Moderate")),"Error ▲",VLOOKUP(H183,'G-1 All Habitats'!$Z$2:$AA$9,2,FALSE)),"")</f>
        <v/>
      </c>
      <c r="J183" s="154"/>
      <c r="K183" s="520" t="str">
        <f>IF(J183="","",IF(VLOOKUP(J183,'G-3 Multipliers'!$L$3:$N$6,2,FALSE)=0,"Spatial Data Missing ⚠",VLOOKUP(J183,'G-3 Multipliers'!$L$3:$N$6,2,FALSE)))</f>
        <v/>
      </c>
      <c r="L183" s="524" t="str">
        <f>IF(J183="","",IF(VLOOKUP(J183,'G-3 Multipliers'!$L$3:$N$6,3,FALSE)=0,"Spatial Data Missing ⚠",VLOOKUP(J183,'G-3 Multipliers'!$L$3:$N$6,3,FALSE)))</f>
        <v/>
      </c>
      <c r="M183" s="506" t="str">
        <f>IF(D183="","",VLOOKUP(D183,'G-6 Hedgerow Data'!$B$1:$AH$15,33,FALSE))</f>
        <v/>
      </c>
      <c r="N183" s="513" t="str">
        <f t="shared" si="16"/>
        <v/>
      </c>
      <c r="O183" s="40"/>
      <c r="P183" s="145"/>
      <c r="Q183" s="157"/>
      <c r="R183" s="507" t="str">
        <f t="shared" si="17"/>
        <v/>
      </c>
      <c r="S183" s="507" t="str">
        <f t="shared" si="18"/>
        <v/>
      </c>
      <c r="T183" s="511" t="str">
        <f t="shared" si="19"/>
        <v/>
      </c>
      <c r="U183" s="515" t="str">
        <f t="shared" si="20"/>
        <v/>
      </c>
      <c r="V183" s="151"/>
      <c r="W183" s="152"/>
      <c r="AB183" s="31" t="str">
        <f>IFERROR(INDEX('G-6 Hedgerow Data'!$BJ$3:$BJ$15,MATCH(D183,'G-6 Hedgerow Data'!$B$3:$B$15,0)),"")</f>
        <v/>
      </c>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row>
    <row r="184" spans="2:37" ht="13.8" x14ac:dyDescent="0.25">
      <c r="B184" s="141">
        <v>175</v>
      </c>
      <c r="C184" s="203"/>
      <c r="D184" s="203"/>
      <c r="E184" s="153"/>
      <c r="F184" s="498" t="str">
        <f>IF(D184="","",VLOOKUP(D184,'G-6 Hedgerow Data'!$B$2:$AG$15,2,FALSE))</f>
        <v/>
      </c>
      <c r="G184" s="499" t="str">
        <f>IF(D184="","",VLOOKUP(D184,'G-6 Hedgerow Data'!$B$2:$AG$15,3,FALSE))</f>
        <v/>
      </c>
      <c r="H184" s="145"/>
      <c r="I184" s="499" t="str">
        <f>IFERROR(IF(AND(F184="V.Low",OR(H184="Good",H184="Moderate")),"Error ▲",VLOOKUP(H184,'G-1 All Habitats'!$Z$2:$AA$9,2,FALSE)),"")</f>
        <v/>
      </c>
      <c r="J184" s="154"/>
      <c r="K184" s="520" t="str">
        <f>IF(J184="","",IF(VLOOKUP(J184,'G-3 Multipliers'!$L$3:$N$6,2,FALSE)=0,"Spatial Data Missing ⚠",VLOOKUP(J184,'G-3 Multipliers'!$L$3:$N$6,2,FALSE)))</f>
        <v/>
      </c>
      <c r="L184" s="524" t="str">
        <f>IF(J184="","",IF(VLOOKUP(J184,'G-3 Multipliers'!$L$3:$N$6,3,FALSE)=0,"Spatial Data Missing ⚠",VLOOKUP(J184,'G-3 Multipliers'!$L$3:$N$6,3,FALSE)))</f>
        <v/>
      </c>
      <c r="M184" s="506" t="str">
        <f>IF(D184="","",VLOOKUP(D184,'G-6 Hedgerow Data'!$B$1:$AH$15,33,FALSE))</f>
        <v/>
      </c>
      <c r="N184" s="513" t="str">
        <f t="shared" si="16"/>
        <v/>
      </c>
      <c r="O184" s="40"/>
      <c r="P184" s="145"/>
      <c r="Q184" s="157"/>
      <c r="R184" s="507" t="str">
        <f t="shared" si="17"/>
        <v/>
      </c>
      <c r="S184" s="507" t="str">
        <f t="shared" si="18"/>
        <v/>
      </c>
      <c r="T184" s="511" t="str">
        <f t="shared" si="19"/>
        <v/>
      </c>
      <c r="U184" s="515" t="str">
        <f t="shared" si="20"/>
        <v/>
      </c>
      <c r="V184" s="151"/>
      <c r="W184" s="152"/>
      <c r="AB184" s="31" t="str">
        <f>IFERROR(INDEX('G-6 Hedgerow Data'!$BJ$3:$BJ$15,MATCH(D184,'G-6 Hedgerow Data'!$B$3:$B$15,0)),"")</f>
        <v/>
      </c>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row>
    <row r="185" spans="2:37" ht="13.8" x14ac:dyDescent="0.25">
      <c r="B185" s="141">
        <v>176</v>
      </c>
      <c r="C185" s="203"/>
      <c r="D185" s="203"/>
      <c r="E185" s="153"/>
      <c r="F185" s="498" t="str">
        <f>IF(D185="","",VLOOKUP(D185,'G-6 Hedgerow Data'!$B$2:$AG$15,2,FALSE))</f>
        <v/>
      </c>
      <c r="G185" s="499" t="str">
        <f>IF(D185="","",VLOOKUP(D185,'G-6 Hedgerow Data'!$B$2:$AG$15,3,FALSE))</f>
        <v/>
      </c>
      <c r="H185" s="145"/>
      <c r="I185" s="499" t="str">
        <f>IFERROR(IF(AND(F185="V.Low",OR(H185="Good",H185="Moderate")),"Error ▲",VLOOKUP(H185,'G-1 All Habitats'!$Z$2:$AA$9,2,FALSE)),"")</f>
        <v/>
      </c>
      <c r="J185" s="154"/>
      <c r="K185" s="520" t="str">
        <f>IF(J185="","",IF(VLOOKUP(J185,'G-3 Multipliers'!$L$3:$N$6,2,FALSE)=0,"Spatial Data Missing ⚠",VLOOKUP(J185,'G-3 Multipliers'!$L$3:$N$6,2,FALSE)))</f>
        <v/>
      </c>
      <c r="L185" s="524" t="str">
        <f>IF(J185="","",IF(VLOOKUP(J185,'G-3 Multipliers'!$L$3:$N$6,3,FALSE)=0,"Spatial Data Missing ⚠",VLOOKUP(J185,'G-3 Multipliers'!$L$3:$N$6,3,FALSE)))</f>
        <v/>
      </c>
      <c r="M185" s="506" t="str">
        <f>IF(D185="","",VLOOKUP(D185,'G-6 Hedgerow Data'!$B$1:$AH$15,33,FALSE))</f>
        <v/>
      </c>
      <c r="N185" s="513" t="str">
        <f t="shared" si="16"/>
        <v/>
      </c>
      <c r="O185" s="40"/>
      <c r="P185" s="145"/>
      <c r="Q185" s="157"/>
      <c r="R185" s="507" t="str">
        <f t="shared" si="17"/>
        <v/>
      </c>
      <c r="S185" s="507" t="str">
        <f t="shared" si="18"/>
        <v/>
      </c>
      <c r="T185" s="511" t="str">
        <f t="shared" si="19"/>
        <v/>
      </c>
      <c r="U185" s="515" t="str">
        <f t="shared" si="20"/>
        <v/>
      </c>
      <c r="V185" s="151"/>
      <c r="W185" s="152"/>
      <c r="AB185" s="31" t="str">
        <f>IFERROR(INDEX('G-6 Hedgerow Data'!$BJ$3:$BJ$15,MATCH(D185,'G-6 Hedgerow Data'!$B$3:$B$15,0)),"")</f>
        <v/>
      </c>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row>
    <row r="186" spans="2:37" ht="13.8" x14ac:dyDescent="0.25">
      <c r="B186" s="141">
        <v>177</v>
      </c>
      <c r="C186" s="203"/>
      <c r="D186" s="203"/>
      <c r="E186" s="153"/>
      <c r="F186" s="498" t="str">
        <f>IF(D186="","",VLOOKUP(D186,'G-6 Hedgerow Data'!$B$2:$AG$15,2,FALSE))</f>
        <v/>
      </c>
      <c r="G186" s="499" t="str">
        <f>IF(D186="","",VLOOKUP(D186,'G-6 Hedgerow Data'!$B$2:$AG$15,3,FALSE))</f>
        <v/>
      </c>
      <c r="H186" s="145"/>
      <c r="I186" s="499" t="str">
        <f>IFERROR(IF(AND(F186="V.Low",OR(H186="Good",H186="Moderate")),"Error ▲",VLOOKUP(H186,'G-1 All Habitats'!$Z$2:$AA$9,2,FALSE)),"")</f>
        <v/>
      </c>
      <c r="J186" s="154"/>
      <c r="K186" s="520" t="str">
        <f>IF(J186="","",IF(VLOOKUP(J186,'G-3 Multipliers'!$L$3:$N$6,2,FALSE)=0,"Spatial Data Missing ⚠",VLOOKUP(J186,'G-3 Multipliers'!$L$3:$N$6,2,FALSE)))</f>
        <v/>
      </c>
      <c r="L186" s="524" t="str">
        <f>IF(J186="","",IF(VLOOKUP(J186,'G-3 Multipliers'!$L$3:$N$6,3,FALSE)=0,"Spatial Data Missing ⚠",VLOOKUP(J186,'G-3 Multipliers'!$L$3:$N$6,3,FALSE)))</f>
        <v/>
      </c>
      <c r="M186" s="506" t="str">
        <f>IF(D186="","",VLOOKUP(D186,'G-6 Hedgerow Data'!$B$1:$AH$15,33,FALSE))</f>
        <v/>
      </c>
      <c r="N186" s="513" t="str">
        <f t="shared" si="16"/>
        <v/>
      </c>
      <c r="O186" s="40"/>
      <c r="P186" s="145"/>
      <c r="Q186" s="157"/>
      <c r="R186" s="507" t="str">
        <f t="shared" si="17"/>
        <v/>
      </c>
      <c r="S186" s="507" t="str">
        <f t="shared" si="18"/>
        <v/>
      </c>
      <c r="T186" s="511" t="str">
        <f t="shared" si="19"/>
        <v/>
      </c>
      <c r="U186" s="515" t="str">
        <f t="shared" si="20"/>
        <v/>
      </c>
      <c r="V186" s="151"/>
      <c r="W186" s="152"/>
      <c r="AB186" s="31" t="str">
        <f>IFERROR(INDEX('G-6 Hedgerow Data'!$BJ$3:$BJ$15,MATCH(D186,'G-6 Hedgerow Data'!$B$3:$B$15,0)),"")</f>
        <v/>
      </c>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row>
    <row r="187" spans="2:37" ht="13.8" x14ac:dyDescent="0.25">
      <c r="B187" s="141">
        <v>178</v>
      </c>
      <c r="C187" s="203"/>
      <c r="D187" s="203"/>
      <c r="E187" s="153"/>
      <c r="F187" s="498" t="str">
        <f>IF(D187="","",VLOOKUP(D187,'G-6 Hedgerow Data'!$B$2:$AG$15,2,FALSE))</f>
        <v/>
      </c>
      <c r="G187" s="499" t="str">
        <f>IF(D187="","",VLOOKUP(D187,'G-6 Hedgerow Data'!$B$2:$AG$15,3,FALSE))</f>
        <v/>
      </c>
      <c r="H187" s="145"/>
      <c r="I187" s="499" t="str">
        <f>IFERROR(IF(AND(F187="V.Low",OR(H187="Good",H187="Moderate")),"Error ▲",VLOOKUP(H187,'G-1 All Habitats'!$Z$2:$AA$9,2,FALSE)),"")</f>
        <v/>
      </c>
      <c r="J187" s="154"/>
      <c r="K187" s="520" t="str">
        <f>IF(J187="","",IF(VLOOKUP(J187,'G-3 Multipliers'!$L$3:$N$6,2,FALSE)=0,"Spatial Data Missing ⚠",VLOOKUP(J187,'G-3 Multipliers'!$L$3:$N$6,2,FALSE)))</f>
        <v/>
      </c>
      <c r="L187" s="524" t="str">
        <f>IF(J187="","",IF(VLOOKUP(J187,'G-3 Multipliers'!$L$3:$N$6,3,FALSE)=0,"Spatial Data Missing ⚠",VLOOKUP(J187,'G-3 Multipliers'!$L$3:$N$6,3,FALSE)))</f>
        <v/>
      </c>
      <c r="M187" s="506" t="str">
        <f>IF(D187="","",VLOOKUP(D187,'G-6 Hedgerow Data'!$B$1:$AH$15,33,FALSE))</f>
        <v/>
      </c>
      <c r="N187" s="513" t="str">
        <f t="shared" si="16"/>
        <v/>
      </c>
      <c r="O187" s="40"/>
      <c r="P187" s="145"/>
      <c r="Q187" s="157"/>
      <c r="R187" s="507" t="str">
        <f t="shared" si="17"/>
        <v/>
      </c>
      <c r="S187" s="507" t="str">
        <f t="shared" si="18"/>
        <v/>
      </c>
      <c r="T187" s="511" t="str">
        <f t="shared" si="19"/>
        <v/>
      </c>
      <c r="U187" s="515" t="str">
        <f t="shared" si="20"/>
        <v/>
      </c>
      <c r="V187" s="151"/>
      <c r="W187" s="152"/>
      <c r="AB187" s="31" t="str">
        <f>IFERROR(INDEX('G-6 Hedgerow Data'!$BJ$3:$BJ$15,MATCH(D187,'G-6 Hedgerow Data'!$B$3:$B$15,0)),"")</f>
        <v/>
      </c>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row>
    <row r="188" spans="2:37" ht="13.8" x14ac:dyDescent="0.25">
      <c r="B188" s="141">
        <v>179</v>
      </c>
      <c r="C188" s="203"/>
      <c r="D188" s="203"/>
      <c r="E188" s="153"/>
      <c r="F188" s="498" t="str">
        <f>IF(D188="","",VLOOKUP(D188,'G-6 Hedgerow Data'!$B$2:$AG$15,2,FALSE))</f>
        <v/>
      </c>
      <c r="G188" s="499" t="str">
        <f>IF(D188="","",VLOOKUP(D188,'G-6 Hedgerow Data'!$B$2:$AG$15,3,FALSE))</f>
        <v/>
      </c>
      <c r="H188" s="145"/>
      <c r="I188" s="499" t="str">
        <f>IFERROR(IF(AND(F188="V.Low",OR(H188="Good",H188="Moderate")),"Error ▲",VLOOKUP(H188,'G-1 All Habitats'!$Z$2:$AA$9,2,FALSE)),"")</f>
        <v/>
      </c>
      <c r="J188" s="154"/>
      <c r="K188" s="520" t="str">
        <f>IF(J188="","",IF(VLOOKUP(J188,'G-3 Multipliers'!$L$3:$N$6,2,FALSE)=0,"Spatial Data Missing ⚠",VLOOKUP(J188,'G-3 Multipliers'!$L$3:$N$6,2,FALSE)))</f>
        <v/>
      </c>
      <c r="L188" s="524" t="str">
        <f>IF(J188="","",IF(VLOOKUP(J188,'G-3 Multipliers'!$L$3:$N$6,3,FALSE)=0,"Spatial Data Missing ⚠",VLOOKUP(J188,'G-3 Multipliers'!$L$3:$N$6,3,FALSE)))</f>
        <v/>
      </c>
      <c r="M188" s="506" t="str">
        <f>IF(D188="","",VLOOKUP(D188,'G-6 Hedgerow Data'!$B$1:$AH$15,33,FALSE))</f>
        <v/>
      </c>
      <c r="N188" s="513" t="str">
        <f t="shared" si="16"/>
        <v/>
      </c>
      <c r="O188" s="40"/>
      <c r="P188" s="145"/>
      <c r="Q188" s="157"/>
      <c r="R188" s="507" t="str">
        <f t="shared" si="17"/>
        <v/>
      </c>
      <c r="S188" s="507" t="str">
        <f t="shared" si="18"/>
        <v/>
      </c>
      <c r="T188" s="511" t="str">
        <f t="shared" si="19"/>
        <v/>
      </c>
      <c r="U188" s="515" t="str">
        <f t="shared" si="20"/>
        <v/>
      </c>
      <c r="V188" s="151"/>
      <c r="W188" s="152"/>
      <c r="AB188" s="31" t="str">
        <f>IFERROR(INDEX('G-6 Hedgerow Data'!$BJ$3:$BJ$15,MATCH(D188,'G-6 Hedgerow Data'!$B$3:$B$15,0)),"")</f>
        <v/>
      </c>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row>
    <row r="189" spans="2:37" ht="13.8" x14ac:dyDescent="0.25">
      <c r="B189" s="141">
        <v>180</v>
      </c>
      <c r="C189" s="203"/>
      <c r="D189" s="203"/>
      <c r="E189" s="153"/>
      <c r="F189" s="498" t="str">
        <f>IF(D189="","",VLOOKUP(D189,'G-6 Hedgerow Data'!$B$2:$AG$15,2,FALSE))</f>
        <v/>
      </c>
      <c r="G189" s="499" t="str">
        <f>IF(D189="","",VLOOKUP(D189,'G-6 Hedgerow Data'!$B$2:$AG$15,3,FALSE))</f>
        <v/>
      </c>
      <c r="H189" s="145"/>
      <c r="I189" s="499" t="str">
        <f>IFERROR(IF(AND(F189="V.Low",OR(H189="Good",H189="Moderate")),"Error ▲",VLOOKUP(H189,'G-1 All Habitats'!$Z$2:$AA$9,2,FALSE)),"")</f>
        <v/>
      </c>
      <c r="J189" s="154"/>
      <c r="K189" s="520" t="str">
        <f>IF(J189="","",IF(VLOOKUP(J189,'G-3 Multipliers'!$L$3:$N$6,2,FALSE)=0,"Spatial Data Missing ⚠",VLOOKUP(J189,'G-3 Multipliers'!$L$3:$N$6,2,FALSE)))</f>
        <v/>
      </c>
      <c r="L189" s="524" t="str">
        <f>IF(J189="","",IF(VLOOKUP(J189,'G-3 Multipliers'!$L$3:$N$6,3,FALSE)=0,"Spatial Data Missing ⚠",VLOOKUP(J189,'G-3 Multipliers'!$L$3:$N$6,3,FALSE)))</f>
        <v/>
      </c>
      <c r="M189" s="506" t="str">
        <f>IF(D189="","",VLOOKUP(D189,'G-6 Hedgerow Data'!$B$1:$AH$15,33,FALSE))</f>
        <v/>
      </c>
      <c r="N189" s="513" t="str">
        <f t="shared" si="16"/>
        <v/>
      </c>
      <c r="O189" s="40"/>
      <c r="P189" s="145"/>
      <c r="Q189" s="157"/>
      <c r="R189" s="507" t="str">
        <f t="shared" si="17"/>
        <v/>
      </c>
      <c r="S189" s="507" t="str">
        <f t="shared" si="18"/>
        <v/>
      </c>
      <c r="T189" s="511" t="str">
        <f t="shared" si="19"/>
        <v/>
      </c>
      <c r="U189" s="515" t="str">
        <f t="shared" si="20"/>
        <v/>
      </c>
      <c r="V189" s="151"/>
      <c r="W189" s="152"/>
      <c r="AB189" s="31" t="str">
        <f>IFERROR(INDEX('G-6 Hedgerow Data'!$BJ$3:$BJ$15,MATCH(D189,'G-6 Hedgerow Data'!$B$3:$B$15,0)),"")</f>
        <v/>
      </c>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row>
    <row r="190" spans="2:37" ht="13.8" x14ac:dyDescent="0.25">
      <c r="B190" s="141">
        <v>181</v>
      </c>
      <c r="C190" s="203"/>
      <c r="D190" s="203"/>
      <c r="E190" s="153"/>
      <c r="F190" s="498" t="str">
        <f>IF(D190="","",VLOOKUP(D190,'G-6 Hedgerow Data'!$B$2:$AG$15,2,FALSE))</f>
        <v/>
      </c>
      <c r="G190" s="499" t="str">
        <f>IF(D190="","",VLOOKUP(D190,'G-6 Hedgerow Data'!$B$2:$AG$15,3,FALSE))</f>
        <v/>
      </c>
      <c r="H190" s="145"/>
      <c r="I190" s="499" t="str">
        <f>IFERROR(IF(AND(F190="V.Low",OR(H190="Good",H190="Moderate")),"Error ▲",VLOOKUP(H190,'G-1 All Habitats'!$Z$2:$AA$9,2,FALSE)),"")</f>
        <v/>
      </c>
      <c r="J190" s="154"/>
      <c r="K190" s="520" t="str">
        <f>IF(J190="","",IF(VLOOKUP(J190,'G-3 Multipliers'!$L$3:$N$6,2,FALSE)=0,"Spatial Data Missing ⚠",VLOOKUP(J190,'G-3 Multipliers'!$L$3:$N$6,2,FALSE)))</f>
        <v/>
      </c>
      <c r="L190" s="524" t="str">
        <f>IF(J190="","",IF(VLOOKUP(J190,'G-3 Multipliers'!$L$3:$N$6,3,FALSE)=0,"Spatial Data Missing ⚠",VLOOKUP(J190,'G-3 Multipliers'!$L$3:$N$6,3,FALSE)))</f>
        <v/>
      </c>
      <c r="M190" s="506" t="str">
        <f>IF(D190="","",VLOOKUP(D190,'G-6 Hedgerow Data'!$B$1:$AH$15,33,FALSE))</f>
        <v/>
      </c>
      <c r="N190" s="513" t="str">
        <f t="shared" si="16"/>
        <v/>
      </c>
      <c r="O190" s="40"/>
      <c r="P190" s="145"/>
      <c r="Q190" s="157"/>
      <c r="R190" s="507" t="str">
        <f t="shared" si="17"/>
        <v/>
      </c>
      <c r="S190" s="507" t="str">
        <f t="shared" si="18"/>
        <v/>
      </c>
      <c r="T190" s="511" t="str">
        <f t="shared" si="19"/>
        <v/>
      </c>
      <c r="U190" s="515" t="str">
        <f t="shared" si="20"/>
        <v/>
      </c>
      <c r="V190" s="151"/>
      <c r="W190" s="152"/>
      <c r="AB190" s="31" t="str">
        <f>IFERROR(INDEX('G-6 Hedgerow Data'!$BJ$3:$BJ$15,MATCH(D190,'G-6 Hedgerow Data'!$B$3:$B$15,0)),"")</f>
        <v/>
      </c>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row>
    <row r="191" spans="2:37" ht="13.8" x14ac:dyDescent="0.25">
      <c r="B191" s="141">
        <v>182</v>
      </c>
      <c r="C191" s="203"/>
      <c r="D191" s="203"/>
      <c r="E191" s="153"/>
      <c r="F191" s="498" t="str">
        <f>IF(D191="","",VLOOKUP(D191,'G-6 Hedgerow Data'!$B$2:$AG$15,2,FALSE))</f>
        <v/>
      </c>
      <c r="G191" s="499" t="str">
        <f>IF(D191="","",VLOOKUP(D191,'G-6 Hedgerow Data'!$B$2:$AG$15,3,FALSE))</f>
        <v/>
      </c>
      <c r="H191" s="145"/>
      <c r="I191" s="499" t="str">
        <f>IFERROR(IF(AND(F191="V.Low",OR(H191="Good",H191="Moderate")),"Error ▲",VLOOKUP(H191,'G-1 All Habitats'!$Z$2:$AA$9,2,FALSE)),"")</f>
        <v/>
      </c>
      <c r="J191" s="154"/>
      <c r="K191" s="520" t="str">
        <f>IF(J191="","",IF(VLOOKUP(J191,'G-3 Multipliers'!$L$3:$N$6,2,FALSE)=0,"Spatial Data Missing ⚠",VLOOKUP(J191,'G-3 Multipliers'!$L$3:$N$6,2,FALSE)))</f>
        <v/>
      </c>
      <c r="L191" s="524" t="str">
        <f>IF(J191="","",IF(VLOOKUP(J191,'G-3 Multipliers'!$L$3:$N$6,3,FALSE)=0,"Spatial Data Missing ⚠",VLOOKUP(J191,'G-3 Multipliers'!$L$3:$N$6,3,FALSE)))</f>
        <v/>
      </c>
      <c r="M191" s="506" t="str">
        <f>IF(D191="","",VLOOKUP(D191,'G-6 Hedgerow Data'!$B$1:$AH$15,33,FALSE))</f>
        <v/>
      </c>
      <c r="N191" s="513" t="str">
        <f t="shared" si="16"/>
        <v/>
      </c>
      <c r="O191" s="40"/>
      <c r="P191" s="145"/>
      <c r="Q191" s="157"/>
      <c r="R191" s="507" t="str">
        <f t="shared" si="17"/>
        <v/>
      </c>
      <c r="S191" s="507" t="str">
        <f t="shared" si="18"/>
        <v/>
      </c>
      <c r="T191" s="511" t="str">
        <f t="shared" si="19"/>
        <v/>
      </c>
      <c r="U191" s="515" t="str">
        <f t="shared" si="20"/>
        <v/>
      </c>
      <c r="V191" s="151"/>
      <c r="W191" s="152"/>
      <c r="AB191" s="31" t="str">
        <f>IFERROR(INDEX('G-6 Hedgerow Data'!$BJ$3:$BJ$15,MATCH(D191,'G-6 Hedgerow Data'!$B$3:$B$15,0)),"")</f>
        <v/>
      </c>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row>
    <row r="192" spans="2:37" ht="13.8" x14ac:dyDescent="0.25">
      <c r="B192" s="141">
        <v>183</v>
      </c>
      <c r="C192" s="203"/>
      <c r="D192" s="203"/>
      <c r="E192" s="153"/>
      <c r="F192" s="498" t="str">
        <f>IF(D192="","",VLOOKUP(D192,'G-6 Hedgerow Data'!$B$2:$AG$15,2,FALSE))</f>
        <v/>
      </c>
      <c r="G192" s="499" t="str">
        <f>IF(D192="","",VLOOKUP(D192,'G-6 Hedgerow Data'!$B$2:$AG$15,3,FALSE))</f>
        <v/>
      </c>
      <c r="H192" s="145"/>
      <c r="I192" s="499" t="str">
        <f>IFERROR(IF(AND(F192="V.Low",OR(H192="Good",H192="Moderate")),"Error ▲",VLOOKUP(H192,'G-1 All Habitats'!$Z$2:$AA$9,2,FALSE)),"")</f>
        <v/>
      </c>
      <c r="J192" s="154"/>
      <c r="K192" s="520" t="str">
        <f>IF(J192="","",IF(VLOOKUP(J192,'G-3 Multipliers'!$L$3:$N$6,2,FALSE)=0,"Spatial Data Missing ⚠",VLOOKUP(J192,'G-3 Multipliers'!$L$3:$N$6,2,FALSE)))</f>
        <v/>
      </c>
      <c r="L192" s="524" t="str">
        <f>IF(J192="","",IF(VLOOKUP(J192,'G-3 Multipliers'!$L$3:$N$6,3,FALSE)=0,"Spatial Data Missing ⚠",VLOOKUP(J192,'G-3 Multipliers'!$L$3:$N$6,3,FALSE)))</f>
        <v/>
      </c>
      <c r="M192" s="506" t="str">
        <f>IF(D192="","",VLOOKUP(D192,'G-6 Hedgerow Data'!$B$1:$AH$15,33,FALSE))</f>
        <v/>
      </c>
      <c r="N192" s="513" t="str">
        <f t="shared" si="16"/>
        <v/>
      </c>
      <c r="O192" s="40"/>
      <c r="P192" s="145"/>
      <c r="Q192" s="157"/>
      <c r="R192" s="507" t="str">
        <f t="shared" si="17"/>
        <v/>
      </c>
      <c r="S192" s="507" t="str">
        <f t="shared" si="18"/>
        <v/>
      </c>
      <c r="T192" s="511" t="str">
        <f t="shared" si="19"/>
        <v/>
      </c>
      <c r="U192" s="515" t="str">
        <f t="shared" si="20"/>
        <v/>
      </c>
      <c r="V192" s="151"/>
      <c r="W192" s="152"/>
      <c r="AB192" s="31" t="str">
        <f>IFERROR(INDEX('G-6 Hedgerow Data'!$BJ$3:$BJ$15,MATCH(D192,'G-6 Hedgerow Data'!$B$3:$B$15,0)),"")</f>
        <v/>
      </c>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row>
    <row r="193" spans="2:37" ht="13.8" x14ac:dyDescent="0.25">
      <c r="B193" s="141">
        <v>184</v>
      </c>
      <c r="C193" s="203"/>
      <c r="D193" s="203"/>
      <c r="E193" s="153"/>
      <c r="F193" s="498" t="str">
        <f>IF(D193="","",VLOOKUP(D193,'G-6 Hedgerow Data'!$B$2:$AG$15,2,FALSE))</f>
        <v/>
      </c>
      <c r="G193" s="499" t="str">
        <f>IF(D193="","",VLOOKUP(D193,'G-6 Hedgerow Data'!$B$2:$AG$15,3,FALSE))</f>
        <v/>
      </c>
      <c r="H193" s="145"/>
      <c r="I193" s="499" t="str">
        <f>IFERROR(IF(AND(F193="V.Low",OR(H193="Good",H193="Moderate")),"Error ▲",VLOOKUP(H193,'G-1 All Habitats'!$Z$2:$AA$9,2,FALSE)),"")</f>
        <v/>
      </c>
      <c r="J193" s="154"/>
      <c r="K193" s="520" t="str">
        <f>IF(J193="","",IF(VLOOKUP(J193,'G-3 Multipliers'!$L$3:$N$6,2,FALSE)=0,"Spatial Data Missing ⚠",VLOOKUP(J193,'G-3 Multipliers'!$L$3:$N$6,2,FALSE)))</f>
        <v/>
      </c>
      <c r="L193" s="524" t="str">
        <f>IF(J193="","",IF(VLOOKUP(J193,'G-3 Multipliers'!$L$3:$N$6,3,FALSE)=0,"Spatial Data Missing ⚠",VLOOKUP(J193,'G-3 Multipliers'!$L$3:$N$6,3,FALSE)))</f>
        <v/>
      </c>
      <c r="M193" s="506" t="str">
        <f>IF(D193="","",VLOOKUP(D193,'G-6 Hedgerow Data'!$B$1:$AH$15,33,FALSE))</f>
        <v/>
      </c>
      <c r="N193" s="513" t="str">
        <f t="shared" si="16"/>
        <v/>
      </c>
      <c r="O193" s="40"/>
      <c r="P193" s="145"/>
      <c r="Q193" s="157"/>
      <c r="R193" s="507" t="str">
        <f t="shared" si="17"/>
        <v/>
      </c>
      <c r="S193" s="507" t="str">
        <f t="shared" si="18"/>
        <v/>
      </c>
      <c r="T193" s="511" t="str">
        <f t="shared" si="19"/>
        <v/>
      </c>
      <c r="U193" s="515" t="str">
        <f t="shared" si="20"/>
        <v/>
      </c>
      <c r="V193" s="151"/>
      <c r="W193" s="152"/>
      <c r="AB193" s="31" t="str">
        <f>IFERROR(INDEX('G-6 Hedgerow Data'!$BJ$3:$BJ$15,MATCH(D193,'G-6 Hedgerow Data'!$B$3:$B$15,0)),"")</f>
        <v/>
      </c>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row>
    <row r="194" spans="2:37" ht="13.8" x14ac:dyDescent="0.25">
      <c r="B194" s="141">
        <v>185</v>
      </c>
      <c r="C194" s="203"/>
      <c r="D194" s="203"/>
      <c r="E194" s="153"/>
      <c r="F194" s="498" t="str">
        <f>IF(D194="","",VLOOKUP(D194,'G-6 Hedgerow Data'!$B$2:$AG$15,2,FALSE))</f>
        <v/>
      </c>
      <c r="G194" s="499" t="str">
        <f>IF(D194="","",VLOOKUP(D194,'G-6 Hedgerow Data'!$B$2:$AG$15,3,FALSE))</f>
        <v/>
      </c>
      <c r="H194" s="145"/>
      <c r="I194" s="499" t="str">
        <f>IFERROR(IF(AND(F194="V.Low",OR(H194="Good",H194="Moderate")),"Error ▲",VLOOKUP(H194,'G-1 All Habitats'!$Z$2:$AA$9,2,FALSE)),"")</f>
        <v/>
      </c>
      <c r="J194" s="154"/>
      <c r="K194" s="520" t="str">
        <f>IF(J194="","",IF(VLOOKUP(J194,'G-3 Multipliers'!$L$3:$N$6,2,FALSE)=0,"Spatial Data Missing ⚠",VLOOKUP(J194,'G-3 Multipliers'!$L$3:$N$6,2,FALSE)))</f>
        <v/>
      </c>
      <c r="L194" s="524" t="str">
        <f>IF(J194="","",IF(VLOOKUP(J194,'G-3 Multipliers'!$L$3:$N$6,3,FALSE)=0,"Spatial Data Missing ⚠",VLOOKUP(J194,'G-3 Multipliers'!$L$3:$N$6,3,FALSE)))</f>
        <v/>
      </c>
      <c r="M194" s="506" t="str">
        <f>IF(D194="","",VLOOKUP(D194,'G-6 Hedgerow Data'!$B$1:$AH$15,33,FALSE))</f>
        <v/>
      </c>
      <c r="N194" s="513" t="str">
        <f t="shared" si="16"/>
        <v/>
      </c>
      <c r="O194" s="40"/>
      <c r="P194" s="145"/>
      <c r="Q194" s="157"/>
      <c r="R194" s="507" t="str">
        <f t="shared" si="17"/>
        <v/>
      </c>
      <c r="S194" s="507" t="str">
        <f t="shared" si="18"/>
        <v/>
      </c>
      <c r="T194" s="511" t="str">
        <f t="shared" si="19"/>
        <v/>
      </c>
      <c r="U194" s="515" t="str">
        <f t="shared" si="20"/>
        <v/>
      </c>
      <c r="V194" s="151"/>
      <c r="W194" s="152"/>
      <c r="AB194" s="31" t="str">
        <f>IFERROR(INDEX('G-6 Hedgerow Data'!$BJ$3:$BJ$15,MATCH(D194,'G-6 Hedgerow Data'!$B$3:$B$15,0)),"")</f>
        <v/>
      </c>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row>
    <row r="195" spans="2:37" ht="13.8" x14ac:dyDescent="0.25">
      <c r="B195" s="141">
        <v>186</v>
      </c>
      <c r="C195" s="203"/>
      <c r="D195" s="203"/>
      <c r="E195" s="153"/>
      <c r="F195" s="498" t="str">
        <f>IF(D195="","",VLOOKUP(D195,'G-6 Hedgerow Data'!$B$2:$AG$15,2,FALSE))</f>
        <v/>
      </c>
      <c r="G195" s="499" t="str">
        <f>IF(D195="","",VLOOKUP(D195,'G-6 Hedgerow Data'!$B$2:$AG$15,3,FALSE))</f>
        <v/>
      </c>
      <c r="H195" s="145"/>
      <c r="I195" s="499" t="str">
        <f>IFERROR(IF(AND(F195="V.Low",OR(H195="Good",H195="Moderate")),"Error ▲",VLOOKUP(H195,'G-1 All Habitats'!$Z$2:$AA$9,2,FALSE)),"")</f>
        <v/>
      </c>
      <c r="J195" s="154"/>
      <c r="K195" s="520" t="str">
        <f>IF(J195="","",IF(VLOOKUP(J195,'G-3 Multipliers'!$L$3:$N$6,2,FALSE)=0,"Spatial Data Missing ⚠",VLOOKUP(J195,'G-3 Multipliers'!$L$3:$N$6,2,FALSE)))</f>
        <v/>
      </c>
      <c r="L195" s="524" t="str">
        <f>IF(J195="","",IF(VLOOKUP(J195,'G-3 Multipliers'!$L$3:$N$6,3,FALSE)=0,"Spatial Data Missing ⚠",VLOOKUP(J195,'G-3 Multipliers'!$L$3:$N$6,3,FALSE)))</f>
        <v/>
      </c>
      <c r="M195" s="506" t="str">
        <f>IF(D195="","",VLOOKUP(D195,'G-6 Hedgerow Data'!$B$1:$AH$15,33,FALSE))</f>
        <v/>
      </c>
      <c r="N195" s="513" t="str">
        <f t="shared" si="16"/>
        <v/>
      </c>
      <c r="O195" s="40"/>
      <c r="P195" s="145"/>
      <c r="Q195" s="157"/>
      <c r="R195" s="507" t="str">
        <f t="shared" si="17"/>
        <v/>
      </c>
      <c r="S195" s="507" t="str">
        <f t="shared" si="18"/>
        <v/>
      </c>
      <c r="T195" s="511" t="str">
        <f t="shared" si="19"/>
        <v/>
      </c>
      <c r="U195" s="515" t="str">
        <f t="shared" si="20"/>
        <v/>
      </c>
      <c r="V195" s="151"/>
      <c r="W195" s="152"/>
      <c r="AB195" s="31" t="str">
        <f>IFERROR(INDEX('G-6 Hedgerow Data'!$BJ$3:$BJ$15,MATCH(D195,'G-6 Hedgerow Data'!$B$3:$B$15,0)),"")</f>
        <v/>
      </c>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row>
    <row r="196" spans="2:37" ht="13.8" x14ac:dyDescent="0.25">
      <c r="B196" s="141">
        <v>187</v>
      </c>
      <c r="C196" s="203"/>
      <c r="D196" s="203"/>
      <c r="E196" s="153"/>
      <c r="F196" s="498" t="str">
        <f>IF(D196="","",VLOOKUP(D196,'G-6 Hedgerow Data'!$B$2:$AG$15,2,FALSE))</f>
        <v/>
      </c>
      <c r="G196" s="499" t="str">
        <f>IF(D196="","",VLOOKUP(D196,'G-6 Hedgerow Data'!$B$2:$AG$15,3,FALSE))</f>
        <v/>
      </c>
      <c r="H196" s="145"/>
      <c r="I196" s="499" t="str">
        <f>IFERROR(IF(AND(F196="V.Low",OR(H196="Good",H196="Moderate")),"Error ▲",VLOOKUP(H196,'G-1 All Habitats'!$Z$2:$AA$9,2,FALSE)),"")</f>
        <v/>
      </c>
      <c r="J196" s="154"/>
      <c r="K196" s="520" t="str">
        <f>IF(J196="","",IF(VLOOKUP(J196,'G-3 Multipliers'!$L$3:$N$6,2,FALSE)=0,"Spatial Data Missing ⚠",VLOOKUP(J196,'G-3 Multipliers'!$L$3:$N$6,2,FALSE)))</f>
        <v/>
      </c>
      <c r="L196" s="524" t="str">
        <f>IF(J196="","",IF(VLOOKUP(J196,'G-3 Multipliers'!$L$3:$N$6,3,FALSE)=0,"Spatial Data Missing ⚠",VLOOKUP(J196,'G-3 Multipliers'!$L$3:$N$6,3,FALSE)))</f>
        <v/>
      </c>
      <c r="M196" s="506" t="str">
        <f>IF(D196="","",VLOOKUP(D196,'G-6 Hedgerow Data'!$B$1:$AH$15,33,FALSE))</f>
        <v/>
      </c>
      <c r="N196" s="513" t="str">
        <f t="shared" si="16"/>
        <v/>
      </c>
      <c r="O196" s="40"/>
      <c r="P196" s="145"/>
      <c r="Q196" s="157"/>
      <c r="R196" s="507" t="str">
        <f t="shared" si="17"/>
        <v/>
      </c>
      <c r="S196" s="507" t="str">
        <f t="shared" si="18"/>
        <v/>
      </c>
      <c r="T196" s="511" t="str">
        <f t="shared" si="19"/>
        <v/>
      </c>
      <c r="U196" s="515" t="str">
        <f t="shared" si="20"/>
        <v/>
      </c>
      <c r="V196" s="151"/>
      <c r="W196" s="152"/>
      <c r="AB196" s="31" t="str">
        <f>IFERROR(INDEX('G-6 Hedgerow Data'!$BJ$3:$BJ$15,MATCH(D196,'G-6 Hedgerow Data'!$B$3:$B$15,0)),"")</f>
        <v/>
      </c>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row>
    <row r="197" spans="2:37" ht="13.8" x14ac:dyDescent="0.25">
      <c r="B197" s="141">
        <v>188</v>
      </c>
      <c r="C197" s="203"/>
      <c r="D197" s="203"/>
      <c r="E197" s="153"/>
      <c r="F197" s="498" t="str">
        <f>IF(D197="","",VLOOKUP(D197,'G-6 Hedgerow Data'!$B$2:$AG$15,2,FALSE))</f>
        <v/>
      </c>
      <c r="G197" s="499" t="str">
        <f>IF(D197="","",VLOOKUP(D197,'G-6 Hedgerow Data'!$B$2:$AG$15,3,FALSE))</f>
        <v/>
      </c>
      <c r="H197" s="145"/>
      <c r="I197" s="499" t="str">
        <f>IFERROR(IF(AND(F197="V.Low",OR(H197="Good",H197="Moderate")),"Error ▲",VLOOKUP(H197,'G-1 All Habitats'!$Z$2:$AA$9,2,FALSE)),"")</f>
        <v/>
      </c>
      <c r="J197" s="154"/>
      <c r="K197" s="520" t="str">
        <f>IF(J197="","",IF(VLOOKUP(J197,'G-3 Multipliers'!$L$3:$N$6,2,FALSE)=0,"Spatial Data Missing ⚠",VLOOKUP(J197,'G-3 Multipliers'!$L$3:$N$6,2,FALSE)))</f>
        <v/>
      </c>
      <c r="L197" s="524" t="str">
        <f>IF(J197="","",IF(VLOOKUP(J197,'G-3 Multipliers'!$L$3:$N$6,3,FALSE)=0,"Spatial Data Missing ⚠",VLOOKUP(J197,'G-3 Multipliers'!$L$3:$N$6,3,FALSE)))</f>
        <v/>
      </c>
      <c r="M197" s="506" t="str">
        <f>IF(D197="","",VLOOKUP(D197,'G-6 Hedgerow Data'!$B$1:$AH$15,33,FALSE))</f>
        <v/>
      </c>
      <c r="N197" s="513" t="str">
        <f t="shared" si="16"/>
        <v/>
      </c>
      <c r="O197" s="40"/>
      <c r="P197" s="145"/>
      <c r="Q197" s="157"/>
      <c r="R197" s="507" t="str">
        <f t="shared" si="17"/>
        <v/>
      </c>
      <c r="S197" s="507" t="str">
        <f t="shared" si="18"/>
        <v/>
      </c>
      <c r="T197" s="511" t="str">
        <f t="shared" si="19"/>
        <v/>
      </c>
      <c r="U197" s="515" t="str">
        <f t="shared" si="20"/>
        <v/>
      </c>
      <c r="V197" s="151"/>
      <c r="W197" s="152"/>
      <c r="AB197" s="31" t="str">
        <f>IFERROR(INDEX('G-6 Hedgerow Data'!$BJ$3:$BJ$15,MATCH(D197,'G-6 Hedgerow Data'!$B$3:$B$15,0)),"")</f>
        <v/>
      </c>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row>
    <row r="198" spans="2:37" ht="13.8" x14ac:dyDescent="0.25">
      <c r="B198" s="141">
        <v>189</v>
      </c>
      <c r="C198" s="203"/>
      <c r="D198" s="203"/>
      <c r="E198" s="153"/>
      <c r="F198" s="498" t="str">
        <f>IF(D198="","",VLOOKUP(D198,'G-6 Hedgerow Data'!$B$2:$AG$15,2,FALSE))</f>
        <v/>
      </c>
      <c r="G198" s="499" t="str">
        <f>IF(D198="","",VLOOKUP(D198,'G-6 Hedgerow Data'!$B$2:$AG$15,3,FALSE))</f>
        <v/>
      </c>
      <c r="H198" s="145"/>
      <c r="I198" s="499" t="str">
        <f>IFERROR(IF(AND(F198="V.Low",OR(H198="Good",H198="Moderate")),"Error ▲",VLOOKUP(H198,'G-1 All Habitats'!$Z$2:$AA$9,2,FALSE)),"")</f>
        <v/>
      </c>
      <c r="J198" s="154"/>
      <c r="K198" s="520" t="str">
        <f>IF(J198="","",IF(VLOOKUP(J198,'G-3 Multipliers'!$L$3:$N$6,2,FALSE)=0,"Spatial Data Missing ⚠",VLOOKUP(J198,'G-3 Multipliers'!$L$3:$N$6,2,FALSE)))</f>
        <v/>
      </c>
      <c r="L198" s="524" t="str">
        <f>IF(J198="","",IF(VLOOKUP(J198,'G-3 Multipliers'!$L$3:$N$6,3,FALSE)=0,"Spatial Data Missing ⚠",VLOOKUP(J198,'G-3 Multipliers'!$L$3:$N$6,3,FALSE)))</f>
        <v/>
      </c>
      <c r="M198" s="506" t="str">
        <f>IF(D198="","",VLOOKUP(D198,'G-6 Hedgerow Data'!$B$1:$AH$15,33,FALSE))</f>
        <v/>
      </c>
      <c r="N198" s="513" t="str">
        <f t="shared" si="16"/>
        <v/>
      </c>
      <c r="O198" s="40"/>
      <c r="P198" s="145"/>
      <c r="Q198" s="157"/>
      <c r="R198" s="507" t="str">
        <f t="shared" si="17"/>
        <v/>
      </c>
      <c r="S198" s="507" t="str">
        <f t="shared" si="18"/>
        <v/>
      </c>
      <c r="T198" s="511" t="str">
        <f t="shared" si="19"/>
        <v/>
      </c>
      <c r="U198" s="515" t="str">
        <f t="shared" si="20"/>
        <v/>
      </c>
      <c r="V198" s="151"/>
      <c r="W198" s="152"/>
      <c r="AB198" s="31" t="str">
        <f>IFERROR(INDEX('G-6 Hedgerow Data'!$BJ$3:$BJ$15,MATCH(D198,'G-6 Hedgerow Data'!$B$3:$B$15,0)),"")</f>
        <v/>
      </c>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row>
    <row r="199" spans="2:37" ht="13.8" x14ac:dyDescent="0.25">
      <c r="B199" s="141">
        <v>190</v>
      </c>
      <c r="C199" s="203"/>
      <c r="D199" s="203"/>
      <c r="E199" s="153"/>
      <c r="F199" s="498" t="str">
        <f>IF(D199="","",VLOOKUP(D199,'G-6 Hedgerow Data'!$B$2:$AG$15,2,FALSE))</f>
        <v/>
      </c>
      <c r="G199" s="499" t="str">
        <f>IF(D199="","",VLOOKUP(D199,'G-6 Hedgerow Data'!$B$2:$AG$15,3,FALSE))</f>
        <v/>
      </c>
      <c r="H199" s="145"/>
      <c r="I199" s="499" t="str">
        <f>IFERROR(IF(AND(F199="V.Low",OR(H199="Good",H199="Moderate")),"Error ▲",VLOOKUP(H199,'G-1 All Habitats'!$Z$2:$AA$9,2,FALSE)),"")</f>
        <v/>
      </c>
      <c r="J199" s="154"/>
      <c r="K199" s="520" t="str">
        <f>IF(J199="","",IF(VLOOKUP(J199,'G-3 Multipliers'!$L$3:$N$6,2,FALSE)=0,"Spatial Data Missing ⚠",VLOOKUP(J199,'G-3 Multipliers'!$L$3:$N$6,2,FALSE)))</f>
        <v/>
      </c>
      <c r="L199" s="524" t="str">
        <f>IF(J199="","",IF(VLOOKUP(J199,'G-3 Multipliers'!$L$3:$N$6,3,FALSE)=0,"Spatial Data Missing ⚠",VLOOKUP(J199,'G-3 Multipliers'!$L$3:$N$6,3,FALSE)))</f>
        <v/>
      </c>
      <c r="M199" s="506" t="str">
        <f>IF(D199="","",VLOOKUP(D199,'G-6 Hedgerow Data'!$B$1:$AH$15,33,FALSE))</f>
        <v/>
      </c>
      <c r="N199" s="513" t="str">
        <f t="shared" si="16"/>
        <v/>
      </c>
      <c r="O199" s="40"/>
      <c r="P199" s="145"/>
      <c r="Q199" s="157"/>
      <c r="R199" s="507" t="str">
        <f t="shared" si="17"/>
        <v/>
      </c>
      <c r="S199" s="507" t="str">
        <f t="shared" si="18"/>
        <v/>
      </c>
      <c r="T199" s="511" t="str">
        <f t="shared" si="19"/>
        <v/>
      </c>
      <c r="U199" s="515" t="str">
        <f t="shared" si="20"/>
        <v/>
      </c>
      <c r="V199" s="151"/>
      <c r="W199" s="152"/>
      <c r="AB199" s="31" t="str">
        <f>IFERROR(INDEX('G-6 Hedgerow Data'!$BJ$3:$BJ$15,MATCH(D199,'G-6 Hedgerow Data'!$B$3:$B$15,0)),"")</f>
        <v/>
      </c>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row>
    <row r="200" spans="2:37" ht="13.8" x14ac:dyDescent="0.25">
      <c r="B200" s="141">
        <v>191</v>
      </c>
      <c r="C200" s="203"/>
      <c r="D200" s="203"/>
      <c r="E200" s="153"/>
      <c r="F200" s="498" t="str">
        <f>IF(D200="","",VLOOKUP(D200,'G-6 Hedgerow Data'!$B$2:$AG$15,2,FALSE))</f>
        <v/>
      </c>
      <c r="G200" s="499" t="str">
        <f>IF(D200="","",VLOOKUP(D200,'G-6 Hedgerow Data'!$B$2:$AG$15,3,FALSE))</f>
        <v/>
      </c>
      <c r="H200" s="145"/>
      <c r="I200" s="499" t="str">
        <f>IFERROR(IF(AND(F200="V.Low",OR(H200="Good",H200="Moderate")),"Error ▲",VLOOKUP(H200,'G-1 All Habitats'!$Z$2:$AA$9,2,FALSE)),"")</f>
        <v/>
      </c>
      <c r="J200" s="154"/>
      <c r="K200" s="520" t="str">
        <f>IF(J200="","",IF(VLOOKUP(J200,'G-3 Multipliers'!$L$3:$N$6,2,FALSE)=0,"Spatial Data Missing ⚠",VLOOKUP(J200,'G-3 Multipliers'!$L$3:$N$6,2,FALSE)))</f>
        <v/>
      </c>
      <c r="L200" s="524" t="str">
        <f>IF(J200="","",IF(VLOOKUP(J200,'G-3 Multipliers'!$L$3:$N$6,3,FALSE)=0,"Spatial Data Missing ⚠",VLOOKUP(J200,'G-3 Multipliers'!$L$3:$N$6,3,FALSE)))</f>
        <v/>
      </c>
      <c r="M200" s="506" t="str">
        <f>IF(D200="","",VLOOKUP(D200,'G-6 Hedgerow Data'!$B$1:$AH$15,33,FALSE))</f>
        <v/>
      </c>
      <c r="N200" s="513" t="str">
        <f t="shared" si="16"/>
        <v/>
      </c>
      <c r="O200" s="40"/>
      <c r="P200" s="145"/>
      <c r="Q200" s="157"/>
      <c r="R200" s="507" t="str">
        <f t="shared" si="17"/>
        <v/>
      </c>
      <c r="S200" s="507" t="str">
        <f t="shared" si="18"/>
        <v/>
      </c>
      <c r="T200" s="511" t="str">
        <f t="shared" si="19"/>
        <v/>
      </c>
      <c r="U200" s="515" t="str">
        <f t="shared" si="20"/>
        <v/>
      </c>
      <c r="V200" s="151"/>
      <c r="W200" s="152"/>
      <c r="AB200" s="31" t="str">
        <f>IFERROR(INDEX('G-6 Hedgerow Data'!$BJ$3:$BJ$15,MATCH(D200,'G-6 Hedgerow Data'!$B$3:$B$15,0)),"")</f>
        <v/>
      </c>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row>
    <row r="201" spans="2:37" ht="13.8" x14ac:dyDescent="0.25">
      <c r="B201" s="141">
        <v>192</v>
      </c>
      <c r="C201" s="203"/>
      <c r="D201" s="203"/>
      <c r="E201" s="153"/>
      <c r="F201" s="498" t="str">
        <f>IF(D201="","",VLOOKUP(D201,'G-6 Hedgerow Data'!$B$2:$AG$15,2,FALSE))</f>
        <v/>
      </c>
      <c r="G201" s="499" t="str">
        <f>IF(D201="","",VLOOKUP(D201,'G-6 Hedgerow Data'!$B$2:$AG$15,3,FALSE))</f>
        <v/>
      </c>
      <c r="H201" s="145"/>
      <c r="I201" s="499" t="str">
        <f>IFERROR(IF(AND(F201="V.Low",OR(H201="Good",H201="Moderate")),"Error ▲",VLOOKUP(H201,'G-1 All Habitats'!$Z$2:$AA$9,2,FALSE)),"")</f>
        <v/>
      </c>
      <c r="J201" s="154"/>
      <c r="K201" s="520" t="str">
        <f>IF(J201="","",IF(VLOOKUP(J201,'G-3 Multipliers'!$L$3:$N$6,2,FALSE)=0,"Spatial Data Missing ⚠",VLOOKUP(J201,'G-3 Multipliers'!$L$3:$N$6,2,FALSE)))</f>
        <v/>
      </c>
      <c r="L201" s="524" t="str">
        <f>IF(J201="","",IF(VLOOKUP(J201,'G-3 Multipliers'!$L$3:$N$6,3,FALSE)=0,"Spatial Data Missing ⚠",VLOOKUP(J201,'G-3 Multipliers'!$L$3:$N$6,3,FALSE)))</f>
        <v/>
      </c>
      <c r="M201" s="506" t="str">
        <f>IF(D201="","",VLOOKUP(D201,'G-6 Hedgerow Data'!$B$1:$AH$15,33,FALSE))</f>
        <v/>
      </c>
      <c r="N201" s="513" t="str">
        <f t="shared" si="16"/>
        <v/>
      </c>
      <c r="O201" s="40"/>
      <c r="P201" s="145"/>
      <c r="Q201" s="157"/>
      <c r="R201" s="507" t="str">
        <f t="shared" si="17"/>
        <v/>
      </c>
      <c r="S201" s="507" t="str">
        <f t="shared" si="18"/>
        <v/>
      </c>
      <c r="T201" s="511" t="str">
        <f t="shared" si="19"/>
        <v/>
      </c>
      <c r="U201" s="515" t="str">
        <f t="shared" si="20"/>
        <v/>
      </c>
      <c r="V201" s="151"/>
      <c r="W201" s="152"/>
      <c r="AB201" s="31" t="str">
        <f>IFERROR(INDEX('G-6 Hedgerow Data'!$BJ$3:$BJ$15,MATCH(D201,'G-6 Hedgerow Data'!$B$3:$B$15,0)),"")</f>
        <v/>
      </c>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row>
    <row r="202" spans="2:37" ht="13.8" x14ac:dyDescent="0.25">
      <c r="B202" s="141">
        <v>193</v>
      </c>
      <c r="C202" s="203"/>
      <c r="D202" s="203"/>
      <c r="E202" s="153"/>
      <c r="F202" s="498" t="str">
        <f>IF(D202="","",VLOOKUP(D202,'G-6 Hedgerow Data'!$B$2:$AG$15,2,FALSE))</f>
        <v/>
      </c>
      <c r="G202" s="499" t="str">
        <f>IF(D202="","",VLOOKUP(D202,'G-6 Hedgerow Data'!$B$2:$AG$15,3,FALSE))</f>
        <v/>
      </c>
      <c r="H202" s="145"/>
      <c r="I202" s="499" t="str">
        <f>IFERROR(IF(AND(F202="V.Low",OR(H202="Good",H202="Moderate")),"Error ▲",VLOOKUP(H202,'G-1 All Habitats'!$Z$2:$AA$9,2,FALSE)),"")</f>
        <v/>
      </c>
      <c r="J202" s="154"/>
      <c r="K202" s="520" t="str">
        <f>IF(J202="","",IF(VLOOKUP(J202,'G-3 Multipliers'!$L$3:$N$6,2,FALSE)=0,"Spatial Data Missing ⚠",VLOOKUP(J202,'G-3 Multipliers'!$L$3:$N$6,2,FALSE)))</f>
        <v/>
      </c>
      <c r="L202" s="524" t="str">
        <f>IF(J202="","",IF(VLOOKUP(J202,'G-3 Multipliers'!$L$3:$N$6,3,FALSE)=0,"Spatial Data Missing ⚠",VLOOKUP(J202,'G-3 Multipliers'!$L$3:$N$6,3,FALSE)))</f>
        <v/>
      </c>
      <c r="M202" s="506" t="str">
        <f>IF(D202="","",VLOOKUP(D202,'G-6 Hedgerow Data'!$B$1:$AH$15,33,FALSE))</f>
        <v/>
      </c>
      <c r="N202" s="513" t="str">
        <f t="shared" si="16"/>
        <v/>
      </c>
      <c r="O202" s="40"/>
      <c r="P202" s="145"/>
      <c r="Q202" s="157"/>
      <c r="R202" s="507" t="str">
        <f t="shared" si="17"/>
        <v/>
      </c>
      <c r="S202" s="507" t="str">
        <f t="shared" si="18"/>
        <v/>
      </c>
      <c r="T202" s="511" t="str">
        <f t="shared" si="19"/>
        <v/>
      </c>
      <c r="U202" s="515" t="str">
        <f t="shared" si="20"/>
        <v/>
      </c>
      <c r="V202" s="151"/>
      <c r="W202" s="152"/>
      <c r="AB202" s="31" t="str">
        <f>IFERROR(INDEX('G-6 Hedgerow Data'!$BJ$3:$BJ$15,MATCH(D202,'G-6 Hedgerow Data'!$B$3:$B$15,0)),"")</f>
        <v/>
      </c>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row>
    <row r="203" spans="2:37" ht="13.8" x14ac:dyDescent="0.25">
      <c r="B203" s="141">
        <v>194</v>
      </c>
      <c r="C203" s="203"/>
      <c r="D203" s="203"/>
      <c r="E203" s="153"/>
      <c r="F203" s="498" t="str">
        <f>IF(D203="","",VLOOKUP(D203,'G-6 Hedgerow Data'!$B$2:$AG$15,2,FALSE))</f>
        <v/>
      </c>
      <c r="G203" s="499" t="str">
        <f>IF(D203="","",VLOOKUP(D203,'G-6 Hedgerow Data'!$B$2:$AG$15,3,FALSE))</f>
        <v/>
      </c>
      <c r="H203" s="145"/>
      <c r="I203" s="499" t="str">
        <f>IFERROR(IF(AND(F203="V.Low",OR(H203="Good",H203="Moderate")),"Error ▲",VLOOKUP(H203,'G-1 All Habitats'!$Z$2:$AA$9,2,FALSE)),"")</f>
        <v/>
      </c>
      <c r="J203" s="154"/>
      <c r="K203" s="520" t="str">
        <f>IF(J203="","",IF(VLOOKUP(J203,'G-3 Multipliers'!$L$3:$N$6,2,FALSE)=0,"Spatial Data Missing ⚠",VLOOKUP(J203,'G-3 Multipliers'!$L$3:$N$6,2,FALSE)))</f>
        <v/>
      </c>
      <c r="L203" s="524" t="str">
        <f>IF(J203="","",IF(VLOOKUP(J203,'G-3 Multipliers'!$L$3:$N$6,3,FALSE)=0,"Spatial Data Missing ⚠",VLOOKUP(J203,'G-3 Multipliers'!$L$3:$N$6,3,FALSE)))</f>
        <v/>
      </c>
      <c r="M203" s="506" t="str">
        <f>IF(D203="","",VLOOKUP(D203,'G-6 Hedgerow Data'!$B$1:$AH$15,33,FALSE))</f>
        <v/>
      </c>
      <c r="N203" s="513" t="str">
        <f t="shared" ref="N203:N257" si="23">IFERROR(E203*G203*I203*L203,"")</f>
        <v/>
      </c>
      <c r="O203" s="40"/>
      <c r="P203" s="145"/>
      <c r="Q203" s="157"/>
      <c r="R203" s="507" t="str">
        <f t="shared" ref="R203:R257" si="24">IFERROR(P203*G203*I203*L203,"")</f>
        <v/>
      </c>
      <c r="S203" s="507" t="str">
        <f t="shared" ref="S203:S257" si="25">IFERROR(Q203*G203*I203*L203,"")</f>
        <v/>
      </c>
      <c r="T203" s="511" t="str">
        <f t="shared" ref="T203:T257" si="26">IF(D203="","",IF(E203&lt;P203+Q203,"Error in Lengths ▲",E203-P203-Q203))</f>
        <v/>
      </c>
      <c r="U203" s="515" t="str">
        <f t="shared" ref="U203:U257" si="27">IF(OR(E203="",N203=""),"",IF(E203&lt;P203+Q203,"Error in Lengths",N203-R203-S203))</f>
        <v/>
      </c>
      <c r="V203" s="151"/>
      <c r="W203" s="152"/>
      <c r="AB203" s="31" t="str">
        <f>IFERROR(INDEX('G-6 Hedgerow Data'!$BJ$3:$BJ$15,MATCH(D203,'G-6 Hedgerow Data'!$B$3:$B$15,0)),"")</f>
        <v/>
      </c>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row>
    <row r="204" spans="2:37" ht="13.8" x14ac:dyDescent="0.25">
      <c r="B204" s="141">
        <v>195</v>
      </c>
      <c r="C204" s="203"/>
      <c r="D204" s="203"/>
      <c r="E204" s="153"/>
      <c r="F204" s="498" t="str">
        <f>IF(D204="","",VLOOKUP(D204,'G-6 Hedgerow Data'!$B$2:$AG$15,2,FALSE))</f>
        <v/>
      </c>
      <c r="G204" s="499" t="str">
        <f>IF(D204="","",VLOOKUP(D204,'G-6 Hedgerow Data'!$B$2:$AG$15,3,FALSE))</f>
        <v/>
      </c>
      <c r="H204" s="145"/>
      <c r="I204" s="499" t="str">
        <f>IFERROR(IF(AND(F204="V.Low",OR(H204="Good",H204="Moderate")),"Error ▲",VLOOKUP(H204,'G-1 All Habitats'!$Z$2:$AA$9,2,FALSE)),"")</f>
        <v/>
      </c>
      <c r="J204" s="154"/>
      <c r="K204" s="520" t="str">
        <f>IF(J204="","",IF(VLOOKUP(J204,'G-3 Multipliers'!$L$3:$N$6,2,FALSE)=0,"Spatial Data Missing ⚠",VLOOKUP(J204,'G-3 Multipliers'!$L$3:$N$6,2,FALSE)))</f>
        <v/>
      </c>
      <c r="L204" s="524" t="str">
        <f>IF(J204="","",IF(VLOOKUP(J204,'G-3 Multipliers'!$L$3:$N$6,3,FALSE)=0,"Spatial Data Missing ⚠",VLOOKUP(J204,'G-3 Multipliers'!$L$3:$N$6,3,FALSE)))</f>
        <v/>
      </c>
      <c r="M204" s="506" t="str">
        <f>IF(D204="","",VLOOKUP(D204,'G-6 Hedgerow Data'!$B$1:$AH$15,33,FALSE))</f>
        <v/>
      </c>
      <c r="N204" s="513" t="str">
        <f t="shared" si="23"/>
        <v/>
      </c>
      <c r="O204" s="40"/>
      <c r="P204" s="145"/>
      <c r="Q204" s="157"/>
      <c r="R204" s="507" t="str">
        <f t="shared" si="24"/>
        <v/>
      </c>
      <c r="S204" s="507" t="str">
        <f t="shared" si="25"/>
        <v/>
      </c>
      <c r="T204" s="511" t="str">
        <f t="shared" si="26"/>
        <v/>
      </c>
      <c r="U204" s="515" t="str">
        <f t="shared" si="27"/>
        <v/>
      </c>
      <c r="V204" s="151"/>
      <c r="W204" s="152"/>
      <c r="AB204" s="31" t="str">
        <f>IFERROR(INDEX('G-6 Hedgerow Data'!$BJ$3:$BJ$15,MATCH(D204,'G-6 Hedgerow Data'!$B$3:$B$15,0)),"")</f>
        <v/>
      </c>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row>
    <row r="205" spans="2:37" ht="13.8" x14ac:dyDescent="0.25">
      <c r="B205" s="141">
        <v>196</v>
      </c>
      <c r="C205" s="203"/>
      <c r="D205" s="203"/>
      <c r="E205" s="153"/>
      <c r="F205" s="498" t="str">
        <f>IF(D205="","",VLOOKUP(D205,'G-6 Hedgerow Data'!$B$2:$AG$15,2,FALSE))</f>
        <v/>
      </c>
      <c r="G205" s="499" t="str">
        <f>IF(D205="","",VLOOKUP(D205,'G-6 Hedgerow Data'!$B$2:$AG$15,3,FALSE))</f>
        <v/>
      </c>
      <c r="H205" s="145"/>
      <c r="I205" s="499" t="str">
        <f>IFERROR(IF(AND(F205="V.Low",OR(H205="Good",H205="Moderate")),"Error ▲",VLOOKUP(H205,'G-1 All Habitats'!$Z$2:$AA$9,2,FALSE)),"")</f>
        <v/>
      </c>
      <c r="J205" s="154"/>
      <c r="K205" s="520" t="str">
        <f>IF(J205="","",IF(VLOOKUP(J205,'G-3 Multipliers'!$L$3:$N$6,2,FALSE)=0,"Spatial Data Missing ⚠",VLOOKUP(J205,'G-3 Multipliers'!$L$3:$N$6,2,FALSE)))</f>
        <v/>
      </c>
      <c r="L205" s="524" t="str">
        <f>IF(J205="","",IF(VLOOKUP(J205,'G-3 Multipliers'!$L$3:$N$6,3,FALSE)=0,"Spatial Data Missing ⚠",VLOOKUP(J205,'G-3 Multipliers'!$L$3:$N$6,3,FALSE)))</f>
        <v/>
      </c>
      <c r="M205" s="506" t="str">
        <f>IF(D205="","",VLOOKUP(D205,'G-6 Hedgerow Data'!$B$1:$AH$15,33,FALSE))</f>
        <v/>
      </c>
      <c r="N205" s="513" t="str">
        <f t="shared" si="23"/>
        <v/>
      </c>
      <c r="O205" s="40"/>
      <c r="P205" s="145"/>
      <c r="Q205" s="157"/>
      <c r="R205" s="507" t="str">
        <f t="shared" si="24"/>
        <v/>
      </c>
      <c r="S205" s="507" t="str">
        <f t="shared" si="25"/>
        <v/>
      </c>
      <c r="T205" s="511" t="str">
        <f t="shared" si="26"/>
        <v/>
      </c>
      <c r="U205" s="515" t="str">
        <f t="shared" si="27"/>
        <v/>
      </c>
      <c r="V205" s="151"/>
      <c r="W205" s="152"/>
      <c r="AB205" s="31" t="str">
        <f>IFERROR(INDEX('G-6 Hedgerow Data'!$BJ$3:$BJ$15,MATCH(D205,'G-6 Hedgerow Data'!$B$3:$B$15,0)),"")</f>
        <v/>
      </c>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row>
    <row r="206" spans="2:37" ht="13.8" x14ac:dyDescent="0.25">
      <c r="B206" s="141">
        <v>197</v>
      </c>
      <c r="C206" s="203"/>
      <c r="D206" s="203"/>
      <c r="E206" s="153"/>
      <c r="F206" s="498" t="str">
        <f>IF(D206="","",VLOOKUP(D206,'G-6 Hedgerow Data'!$B$2:$AG$15,2,FALSE))</f>
        <v/>
      </c>
      <c r="G206" s="499" t="str">
        <f>IF(D206="","",VLOOKUP(D206,'G-6 Hedgerow Data'!$B$2:$AG$15,3,FALSE))</f>
        <v/>
      </c>
      <c r="H206" s="145"/>
      <c r="I206" s="499" t="str">
        <f>IFERROR(IF(AND(F206="V.Low",OR(H206="Good",H206="Moderate")),"Error ▲",VLOOKUP(H206,'G-1 All Habitats'!$Z$2:$AA$9,2,FALSE)),"")</f>
        <v/>
      </c>
      <c r="J206" s="154"/>
      <c r="K206" s="520" t="str">
        <f>IF(J206="","",IF(VLOOKUP(J206,'G-3 Multipliers'!$L$3:$N$6,2,FALSE)=0,"Spatial Data Missing ⚠",VLOOKUP(J206,'G-3 Multipliers'!$L$3:$N$6,2,FALSE)))</f>
        <v/>
      </c>
      <c r="L206" s="524" t="str">
        <f>IF(J206="","",IF(VLOOKUP(J206,'G-3 Multipliers'!$L$3:$N$6,3,FALSE)=0,"Spatial Data Missing ⚠",VLOOKUP(J206,'G-3 Multipliers'!$L$3:$N$6,3,FALSE)))</f>
        <v/>
      </c>
      <c r="M206" s="506" t="str">
        <f>IF(D206="","",VLOOKUP(D206,'G-6 Hedgerow Data'!$B$1:$AH$15,33,FALSE))</f>
        <v/>
      </c>
      <c r="N206" s="513" t="str">
        <f t="shared" si="23"/>
        <v/>
      </c>
      <c r="O206" s="40"/>
      <c r="P206" s="145"/>
      <c r="Q206" s="157"/>
      <c r="R206" s="507" t="str">
        <f t="shared" si="24"/>
        <v/>
      </c>
      <c r="S206" s="507" t="str">
        <f t="shared" si="25"/>
        <v/>
      </c>
      <c r="T206" s="511" t="str">
        <f t="shared" si="26"/>
        <v/>
      </c>
      <c r="U206" s="515" t="str">
        <f t="shared" si="27"/>
        <v/>
      </c>
      <c r="V206" s="151"/>
      <c r="W206" s="152"/>
      <c r="AB206" s="31" t="str">
        <f>IFERROR(INDEX('G-6 Hedgerow Data'!$BJ$3:$BJ$15,MATCH(D206,'G-6 Hedgerow Data'!$B$3:$B$15,0)),"")</f>
        <v/>
      </c>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row>
    <row r="207" spans="2:37" ht="13.8" x14ac:dyDescent="0.25">
      <c r="B207" s="141">
        <v>198</v>
      </c>
      <c r="C207" s="203"/>
      <c r="D207" s="203"/>
      <c r="E207" s="153"/>
      <c r="F207" s="498" t="str">
        <f>IF(D207="","",VLOOKUP(D207,'G-6 Hedgerow Data'!$B$2:$AG$15,2,FALSE))</f>
        <v/>
      </c>
      <c r="G207" s="499" t="str">
        <f>IF(D207="","",VLOOKUP(D207,'G-6 Hedgerow Data'!$B$2:$AG$15,3,FALSE))</f>
        <v/>
      </c>
      <c r="H207" s="145"/>
      <c r="I207" s="499" t="str">
        <f>IFERROR(IF(AND(F207="V.Low",OR(H207="Good",H207="Moderate")),"Error ▲",VLOOKUP(H207,'G-1 All Habitats'!$Z$2:$AA$9,2,FALSE)),"")</f>
        <v/>
      </c>
      <c r="J207" s="154"/>
      <c r="K207" s="520" t="str">
        <f>IF(J207="","",IF(VLOOKUP(J207,'G-3 Multipliers'!$L$3:$N$6,2,FALSE)=0,"Spatial Data Missing ⚠",VLOOKUP(J207,'G-3 Multipliers'!$L$3:$N$6,2,FALSE)))</f>
        <v/>
      </c>
      <c r="L207" s="524" t="str">
        <f>IF(J207="","",IF(VLOOKUP(J207,'G-3 Multipliers'!$L$3:$N$6,3,FALSE)=0,"Spatial Data Missing ⚠",VLOOKUP(J207,'G-3 Multipliers'!$L$3:$N$6,3,FALSE)))</f>
        <v/>
      </c>
      <c r="M207" s="506" t="str">
        <f>IF(D207="","",VLOOKUP(D207,'G-6 Hedgerow Data'!$B$1:$AH$15,33,FALSE))</f>
        <v/>
      </c>
      <c r="N207" s="513" t="str">
        <f t="shared" si="23"/>
        <v/>
      </c>
      <c r="O207" s="40"/>
      <c r="P207" s="145"/>
      <c r="Q207" s="157"/>
      <c r="R207" s="507" t="str">
        <f t="shared" si="24"/>
        <v/>
      </c>
      <c r="S207" s="507" t="str">
        <f t="shared" si="25"/>
        <v/>
      </c>
      <c r="T207" s="511" t="str">
        <f t="shared" si="26"/>
        <v/>
      </c>
      <c r="U207" s="515" t="str">
        <f t="shared" si="27"/>
        <v/>
      </c>
      <c r="V207" s="151"/>
      <c r="W207" s="152"/>
      <c r="AB207" s="31" t="str">
        <f>IFERROR(INDEX('G-6 Hedgerow Data'!$BJ$3:$BJ$15,MATCH(D207,'G-6 Hedgerow Data'!$B$3:$B$15,0)),"")</f>
        <v/>
      </c>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row>
    <row r="208" spans="2:37" ht="13.8" x14ac:dyDescent="0.25">
      <c r="B208" s="141">
        <v>199</v>
      </c>
      <c r="C208" s="203"/>
      <c r="D208" s="203"/>
      <c r="E208" s="153"/>
      <c r="F208" s="498" t="str">
        <f>IF(D208="","",VLOOKUP(D208,'G-6 Hedgerow Data'!$B$2:$AG$15,2,FALSE))</f>
        <v/>
      </c>
      <c r="G208" s="499" t="str">
        <f>IF(D208="","",VLOOKUP(D208,'G-6 Hedgerow Data'!$B$2:$AG$15,3,FALSE))</f>
        <v/>
      </c>
      <c r="H208" s="145"/>
      <c r="I208" s="499" t="str">
        <f>IFERROR(IF(AND(F208="V.Low",OR(H208="Good",H208="Moderate")),"Error ▲",VLOOKUP(H208,'G-1 All Habitats'!$Z$2:$AA$9,2,FALSE)),"")</f>
        <v/>
      </c>
      <c r="J208" s="154"/>
      <c r="K208" s="520" t="str">
        <f>IF(J208="","",IF(VLOOKUP(J208,'G-3 Multipliers'!$L$3:$N$6,2,FALSE)=0,"Spatial Data Missing ⚠",VLOOKUP(J208,'G-3 Multipliers'!$L$3:$N$6,2,FALSE)))</f>
        <v/>
      </c>
      <c r="L208" s="524" t="str">
        <f>IF(J208="","",IF(VLOOKUP(J208,'G-3 Multipliers'!$L$3:$N$6,3,FALSE)=0,"Spatial Data Missing ⚠",VLOOKUP(J208,'G-3 Multipliers'!$L$3:$N$6,3,FALSE)))</f>
        <v/>
      </c>
      <c r="M208" s="506" t="str">
        <f>IF(D208="","",VLOOKUP(D208,'G-6 Hedgerow Data'!$B$1:$AH$15,33,FALSE))</f>
        <v/>
      </c>
      <c r="N208" s="513" t="str">
        <f t="shared" si="23"/>
        <v/>
      </c>
      <c r="O208" s="40"/>
      <c r="P208" s="145"/>
      <c r="Q208" s="157"/>
      <c r="R208" s="507" t="str">
        <f t="shared" si="24"/>
        <v/>
      </c>
      <c r="S208" s="507" t="str">
        <f t="shared" si="25"/>
        <v/>
      </c>
      <c r="T208" s="511" t="str">
        <f t="shared" si="26"/>
        <v/>
      </c>
      <c r="U208" s="515" t="str">
        <f t="shared" si="27"/>
        <v/>
      </c>
      <c r="V208" s="151"/>
      <c r="W208" s="152"/>
      <c r="AB208" s="31" t="str">
        <f>IFERROR(INDEX('G-6 Hedgerow Data'!$BJ$3:$BJ$15,MATCH(D208,'G-6 Hedgerow Data'!$B$3:$B$15,0)),"")</f>
        <v/>
      </c>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row>
    <row r="209" spans="2:37" ht="13.8" x14ac:dyDescent="0.25">
      <c r="B209" s="141">
        <v>200</v>
      </c>
      <c r="C209" s="203"/>
      <c r="D209" s="203"/>
      <c r="E209" s="153"/>
      <c r="F209" s="498" t="str">
        <f>IF(D209="","",VLOOKUP(D209,'G-6 Hedgerow Data'!$B$2:$AG$15,2,FALSE))</f>
        <v/>
      </c>
      <c r="G209" s="499" t="str">
        <f>IF(D209="","",VLOOKUP(D209,'G-6 Hedgerow Data'!$B$2:$AG$15,3,FALSE))</f>
        <v/>
      </c>
      <c r="H209" s="145"/>
      <c r="I209" s="499" t="str">
        <f>IFERROR(IF(AND(F209="V.Low",OR(H209="Good",H209="Moderate")),"Error ▲",VLOOKUP(H209,'G-1 All Habitats'!$Z$2:$AA$9,2,FALSE)),"")</f>
        <v/>
      </c>
      <c r="J209" s="154"/>
      <c r="K209" s="520" t="str">
        <f>IF(J209="","",IF(VLOOKUP(J209,'G-3 Multipliers'!$L$3:$N$6,2,FALSE)=0,"Spatial Data Missing ⚠",VLOOKUP(J209,'G-3 Multipliers'!$L$3:$N$6,2,FALSE)))</f>
        <v/>
      </c>
      <c r="L209" s="524" t="str">
        <f>IF(J209="","",IF(VLOOKUP(J209,'G-3 Multipliers'!$L$3:$N$6,3,FALSE)=0,"Spatial Data Missing ⚠",VLOOKUP(J209,'G-3 Multipliers'!$L$3:$N$6,3,FALSE)))</f>
        <v/>
      </c>
      <c r="M209" s="506" t="str">
        <f>IF(D209="","",VLOOKUP(D209,'G-6 Hedgerow Data'!$B$1:$AH$15,33,FALSE))</f>
        <v/>
      </c>
      <c r="N209" s="513" t="str">
        <f t="shared" si="23"/>
        <v/>
      </c>
      <c r="O209" s="40"/>
      <c r="P209" s="145"/>
      <c r="Q209" s="157"/>
      <c r="R209" s="507" t="str">
        <f t="shared" si="24"/>
        <v/>
      </c>
      <c r="S209" s="507" t="str">
        <f t="shared" si="25"/>
        <v/>
      </c>
      <c r="T209" s="511" t="str">
        <f t="shared" si="26"/>
        <v/>
      </c>
      <c r="U209" s="515" t="str">
        <f t="shared" si="27"/>
        <v/>
      </c>
      <c r="V209" s="151"/>
      <c r="W209" s="152"/>
      <c r="AB209" s="31" t="str">
        <f>IFERROR(INDEX('G-6 Hedgerow Data'!$BJ$3:$BJ$15,MATCH(D209,'G-6 Hedgerow Data'!$B$3:$B$15,0)),"")</f>
        <v/>
      </c>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row>
    <row r="210" spans="2:37" ht="13.8" x14ac:dyDescent="0.25">
      <c r="B210" s="141">
        <v>201</v>
      </c>
      <c r="C210" s="203"/>
      <c r="D210" s="203"/>
      <c r="E210" s="153"/>
      <c r="F210" s="498" t="str">
        <f>IF(D210="","",VLOOKUP(D210,'G-6 Hedgerow Data'!$B$2:$AG$15,2,FALSE))</f>
        <v/>
      </c>
      <c r="G210" s="499" t="str">
        <f>IF(D210="","",VLOOKUP(D210,'G-6 Hedgerow Data'!$B$2:$AG$15,3,FALSE))</f>
        <v/>
      </c>
      <c r="H210" s="145"/>
      <c r="I210" s="499" t="str">
        <f>IFERROR(IF(AND(F210="V.Low",OR(H210="Good",H210="Moderate")),"Error ▲",VLOOKUP(H210,'G-1 All Habitats'!$Z$2:$AA$9,2,FALSE)),"")</f>
        <v/>
      </c>
      <c r="J210" s="154"/>
      <c r="K210" s="520" t="str">
        <f>IF(J210="","",IF(VLOOKUP(J210,'G-3 Multipliers'!$L$3:$N$6,2,FALSE)=0,"Spatial Data Missing ⚠",VLOOKUP(J210,'G-3 Multipliers'!$L$3:$N$6,2,FALSE)))</f>
        <v/>
      </c>
      <c r="L210" s="524" t="str">
        <f>IF(J210="","",IF(VLOOKUP(J210,'G-3 Multipliers'!$L$3:$N$6,3,FALSE)=0,"Spatial Data Missing ⚠",VLOOKUP(J210,'G-3 Multipliers'!$L$3:$N$6,3,FALSE)))</f>
        <v/>
      </c>
      <c r="M210" s="506" t="str">
        <f>IF(D210="","",VLOOKUP(D210,'G-6 Hedgerow Data'!$B$1:$AH$15,33,FALSE))</f>
        <v/>
      </c>
      <c r="N210" s="513" t="str">
        <f t="shared" si="23"/>
        <v/>
      </c>
      <c r="O210" s="40"/>
      <c r="P210" s="145"/>
      <c r="Q210" s="157"/>
      <c r="R210" s="507" t="str">
        <f t="shared" si="24"/>
        <v/>
      </c>
      <c r="S210" s="507" t="str">
        <f t="shared" si="25"/>
        <v/>
      </c>
      <c r="T210" s="511" t="str">
        <f t="shared" si="26"/>
        <v/>
      </c>
      <c r="U210" s="515" t="str">
        <f t="shared" si="27"/>
        <v/>
      </c>
      <c r="V210" s="151"/>
      <c r="W210" s="152"/>
      <c r="AB210" s="31" t="str">
        <f>IFERROR(INDEX('G-6 Hedgerow Data'!$BJ$3:$BJ$15,MATCH(D210,'G-6 Hedgerow Data'!$B$3:$B$15,0)),"")</f>
        <v/>
      </c>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row>
    <row r="211" spans="2:37" ht="13.8" x14ac:dyDescent="0.25">
      <c r="B211" s="141">
        <v>202</v>
      </c>
      <c r="C211" s="203"/>
      <c r="D211" s="203"/>
      <c r="E211" s="153"/>
      <c r="F211" s="498" t="str">
        <f>IF(D211="","",VLOOKUP(D211,'G-6 Hedgerow Data'!$B$2:$AG$15,2,FALSE))</f>
        <v/>
      </c>
      <c r="G211" s="499" t="str">
        <f>IF(D211="","",VLOOKUP(D211,'G-6 Hedgerow Data'!$B$2:$AG$15,3,FALSE))</f>
        <v/>
      </c>
      <c r="H211" s="145"/>
      <c r="I211" s="499" t="str">
        <f>IFERROR(IF(AND(F211="V.Low",OR(H211="Good",H211="Moderate")),"Error ▲",VLOOKUP(H211,'G-1 All Habitats'!$Z$2:$AA$9,2,FALSE)),"")</f>
        <v/>
      </c>
      <c r="J211" s="154"/>
      <c r="K211" s="520" t="str">
        <f>IF(J211="","",IF(VLOOKUP(J211,'G-3 Multipliers'!$L$3:$N$6,2,FALSE)=0,"Spatial Data Missing ⚠",VLOOKUP(J211,'G-3 Multipliers'!$L$3:$N$6,2,FALSE)))</f>
        <v/>
      </c>
      <c r="L211" s="524" t="str">
        <f>IF(J211="","",IF(VLOOKUP(J211,'G-3 Multipliers'!$L$3:$N$6,3,FALSE)=0,"Spatial Data Missing ⚠",VLOOKUP(J211,'G-3 Multipliers'!$L$3:$N$6,3,FALSE)))</f>
        <v/>
      </c>
      <c r="M211" s="506" t="str">
        <f>IF(D211="","",VLOOKUP(D211,'G-6 Hedgerow Data'!$B$1:$AH$15,33,FALSE))</f>
        <v/>
      </c>
      <c r="N211" s="513" t="str">
        <f t="shared" si="23"/>
        <v/>
      </c>
      <c r="O211" s="40"/>
      <c r="P211" s="145"/>
      <c r="Q211" s="157"/>
      <c r="R211" s="507" t="str">
        <f t="shared" si="24"/>
        <v/>
      </c>
      <c r="S211" s="507" t="str">
        <f t="shared" si="25"/>
        <v/>
      </c>
      <c r="T211" s="511" t="str">
        <f t="shared" si="26"/>
        <v/>
      </c>
      <c r="U211" s="515" t="str">
        <f t="shared" si="27"/>
        <v/>
      </c>
      <c r="V211" s="151"/>
      <c r="W211" s="152"/>
      <c r="AB211" s="31" t="str">
        <f>IFERROR(INDEX('G-6 Hedgerow Data'!$BJ$3:$BJ$15,MATCH(D211,'G-6 Hedgerow Data'!$B$3:$B$15,0)),"")</f>
        <v/>
      </c>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row>
    <row r="212" spans="2:37" ht="13.8" x14ac:dyDescent="0.25">
      <c r="B212" s="141">
        <v>203</v>
      </c>
      <c r="C212" s="203"/>
      <c r="D212" s="203"/>
      <c r="E212" s="153"/>
      <c r="F212" s="498" t="str">
        <f>IF(D212="","",VLOOKUP(D212,'G-6 Hedgerow Data'!$B$2:$AG$15,2,FALSE))</f>
        <v/>
      </c>
      <c r="G212" s="499" t="str">
        <f>IF(D212="","",VLOOKUP(D212,'G-6 Hedgerow Data'!$B$2:$AG$15,3,FALSE))</f>
        <v/>
      </c>
      <c r="H212" s="145"/>
      <c r="I212" s="499" t="str">
        <f>IFERROR(IF(AND(F212="V.Low",OR(H212="Good",H212="Moderate")),"Error ▲",VLOOKUP(H212,'G-1 All Habitats'!$Z$2:$AA$9,2,FALSE)),"")</f>
        <v/>
      </c>
      <c r="J212" s="154"/>
      <c r="K212" s="520" t="str">
        <f>IF(J212="","",IF(VLOOKUP(J212,'G-3 Multipliers'!$L$3:$N$6,2,FALSE)=0,"Spatial Data Missing ⚠",VLOOKUP(J212,'G-3 Multipliers'!$L$3:$N$6,2,FALSE)))</f>
        <v/>
      </c>
      <c r="L212" s="524" t="str">
        <f>IF(J212="","",IF(VLOOKUP(J212,'G-3 Multipliers'!$L$3:$N$6,3,FALSE)=0,"Spatial Data Missing ⚠",VLOOKUP(J212,'G-3 Multipliers'!$L$3:$N$6,3,FALSE)))</f>
        <v/>
      </c>
      <c r="M212" s="506" t="str">
        <f>IF(D212="","",VLOOKUP(D212,'G-6 Hedgerow Data'!$B$1:$AH$15,33,FALSE))</f>
        <v/>
      </c>
      <c r="N212" s="513" t="str">
        <f t="shared" si="23"/>
        <v/>
      </c>
      <c r="O212" s="40"/>
      <c r="P212" s="145"/>
      <c r="Q212" s="157"/>
      <c r="R212" s="507" t="str">
        <f t="shared" si="24"/>
        <v/>
      </c>
      <c r="S212" s="507" t="str">
        <f t="shared" si="25"/>
        <v/>
      </c>
      <c r="T212" s="511" t="str">
        <f t="shared" si="26"/>
        <v/>
      </c>
      <c r="U212" s="515" t="str">
        <f t="shared" si="27"/>
        <v/>
      </c>
      <c r="V212" s="151"/>
      <c r="W212" s="152"/>
      <c r="AB212" s="31" t="str">
        <f>IFERROR(INDEX('G-6 Hedgerow Data'!$BJ$3:$BJ$15,MATCH(D212,'G-6 Hedgerow Data'!$B$3:$B$15,0)),"")</f>
        <v/>
      </c>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row>
    <row r="213" spans="2:37" ht="13.8" x14ac:dyDescent="0.25">
      <c r="B213" s="141">
        <v>204</v>
      </c>
      <c r="C213" s="203"/>
      <c r="D213" s="203"/>
      <c r="E213" s="153"/>
      <c r="F213" s="498" t="str">
        <f>IF(D213="","",VLOOKUP(D213,'G-6 Hedgerow Data'!$B$2:$AG$15,2,FALSE))</f>
        <v/>
      </c>
      <c r="G213" s="499" t="str">
        <f>IF(D213="","",VLOOKUP(D213,'G-6 Hedgerow Data'!$B$2:$AG$15,3,FALSE))</f>
        <v/>
      </c>
      <c r="H213" s="145"/>
      <c r="I213" s="499" t="str">
        <f>IFERROR(IF(AND(F213="V.Low",OR(H213="Good",H213="Moderate")),"Error ▲",VLOOKUP(H213,'G-1 All Habitats'!$Z$2:$AA$9,2,FALSE)),"")</f>
        <v/>
      </c>
      <c r="J213" s="154"/>
      <c r="K213" s="520" t="str">
        <f>IF(J213="","",IF(VLOOKUP(J213,'G-3 Multipliers'!$L$3:$N$6,2,FALSE)=0,"Spatial Data Missing ⚠",VLOOKUP(J213,'G-3 Multipliers'!$L$3:$N$6,2,FALSE)))</f>
        <v/>
      </c>
      <c r="L213" s="524" t="str">
        <f>IF(J213="","",IF(VLOOKUP(J213,'G-3 Multipliers'!$L$3:$N$6,3,FALSE)=0,"Spatial Data Missing ⚠",VLOOKUP(J213,'G-3 Multipliers'!$L$3:$N$6,3,FALSE)))</f>
        <v/>
      </c>
      <c r="M213" s="506" t="str">
        <f>IF(D213="","",VLOOKUP(D213,'G-6 Hedgerow Data'!$B$1:$AH$15,33,FALSE))</f>
        <v/>
      </c>
      <c r="N213" s="513" t="str">
        <f t="shared" si="23"/>
        <v/>
      </c>
      <c r="O213" s="40"/>
      <c r="P213" s="145"/>
      <c r="Q213" s="157"/>
      <c r="R213" s="507" t="str">
        <f t="shared" si="24"/>
        <v/>
      </c>
      <c r="S213" s="507" t="str">
        <f t="shared" si="25"/>
        <v/>
      </c>
      <c r="T213" s="511" t="str">
        <f t="shared" si="26"/>
        <v/>
      </c>
      <c r="U213" s="515" t="str">
        <f t="shared" si="27"/>
        <v/>
      </c>
      <c r="V213" s="151"/>
      <c r="W213" s="152"/>
      <c r="AB213" s="31" t="str">
        <f>IFERROR(INDEX('G-6 Hedgerow Data'!$BJ$3:$BJ$15,MATCH(D213,'G-6 Hedgerow Data'!$B$3:$B$15,0)),"")</f>
        <v/>
      </c>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row>
    <row r="214" spans="2:37" ht="13.8" x14ac:dyDescent="0.25">
      <c r="B214" s="141">
        <v>205</v>
      </c>
      <c r="C214" s="203"/>
      <c r="D214" s="203"/>
      <c r="E214" s="153"/>
      <c r="F214" s="498" t="str">
        <f>IF(D214="","",VLOOKUP(D214,'G-6 Hedgerow Data'!$B$2:$AG$15,2,FALSE))</f>
        <v/>
      </c>
      <c r="G214" s="499" t="str">
        <f>IF(D214="","",VLOOKUP(D214,'G-6 Hedgerow Data'!$B$2:$AG$15,3,FALSE))</f>
        <v/>
      </c>
      <c r="H214" s="145"/>
      <c r="I214" s="499" t="str">
        <f>IFERROR(IF(AND(F214="V.Low",OR(H214="Good",H214="Moderate")),"Error ▲",VLOOKUP(H214,'G-1 All Habitats'!$Z$2:$AA$9,2,FALSE)),"")</f>
        <v/>
      </c>
      <c r="J214" s="154"/>
      <c r="K214" s="520" t="str">
        <f>IF(J214="","",IF(VLOOKUP(J214,'G-3 Multipliers'!$L$3:$N$6,2,FALSE)=0,"Spatial Data Missing ⚠",VLOOKUP(J214,'G-3 Multipliers'!$L$3:$N$6,2,FALSE)))</f>
        <v/>
      </c>
      <c r="L214" s="524" t="str">
        <f>IF(J214="","",IF(VLOOKUP(J214,'G-3 Multipliers'!$L$3:$N$6,3,FALSE)=0,"Spatial Data Missing ⚠",VLOOKUP(J214,'G-3 Multipliers'!$L$3:$N$6,3,FALSE)))</f>
        <v/>
      </c>
      <c r="M214" s="506" t="str">
        <f>IF(D214="","",VLOOKUP(D214,'G-6 Hedgerow Data'!$B$1:$AH$15,33,FALSE))</f>
        <v/>
      </c>
      <c r="N214" s="513" t="str">
        <f t="shared" si="23"/>
        <v/>
      </c>
      <c r="O214" s="40"/>
      <c r="P214" s="145"/>
      <c r="Q214" s="157"/>
      <c r="R214" s="507" t="str">
        <f t="shared" si="24"/>
        <v/>
      </c>
      <c r="S214" s="507" t="str">
        <f t="shared" si="25"/>
        <v/>
      </c>
      <c r="T214" s="511" t="str">
        <f t="shared" si="26"/>
        <v/>
      </c>
      <c r="U214" s="515" t="str">
        <f t="shared" si="27"/>
        <v/>
      </c>
      <c r="V214" s="151"/>
      <c r="W214" s="152"/>
      <c r="AB214" s="31" t="str">
        <f>IFERROR(INDEX('G-6 Hedgerow Data'!$BJ$3:$BJ$15,MATCH(D214,'G-6 Hedgerow Data'!$B$3:$B$15,0)),"")</f>
        <v/>
      </c>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row>
    <row r="215" spans="2:37" ht="13.8" x14ac:dyDescent="0.25">
      <c r="B215" s="141">
        <v>206</v>
      </c>
      <c r="C215" s="203"/>
      <c r="D215" s="203"/>
      <c r="E215" s="153"/>
      <c r="F215" s="498" t="str">
        <f>IF(D215="","",VLOOKUP(D215,'G-6 Hedgerow Data'!$B$2:$AG$15,2,FALSE))</f>
        <v/>
      </c>
      <c r="G215" s="499" t="str">
        <f>IF(D215="","",VLOOKUP(D215,'G-6 Hedgerow Data'!$B$2:$AG$15,3,FALSE))</f>
        <v/>
      </c>
      <c r="H215" s="145"/>
      <c r="I215" s="499" t="str">
        <f>IFERROR(IF(AND(F215="V.Low",OR(H215="Good",H215="Moderate")),"Error ▲",VLOOKUP(H215,'G-1 All Habitats'!$Z$2:$AA$9,2,FALSE)),"")</f>
        <v/>
      </c>
      <c r="J215" s="154"/>
      <c r="K215" s="520" t="str">
        <f>IF(J215="","",IF(VLOOKUP(J215,'G-3 Multipliers'!$L$3:$N$6,2,FALSE)=0,"Spatial Data Missing ⚠",VLOOKUP(J215,'G-3 Multipliers'!$L$3:$N$6,2,FALSE)))</f>
        <v/>
      </c>
      <c r="L215" s="524" t="str">
        <f>IF(J215="","",IF(VLOOKUP(J215,'G-3 Multipliers'!$L$3:$N$6,3,FALSE)=0,"Spatial Data Missing ⚠",VLOOKUP(J215,'G-3 Multipliers'!$L$3:$N$6,3,FALSE)))</f>
        <v/>
      </c>
      <c r="M215" s="506" t="str">
        <f>IF(D215="","",VLOOKUP(D215,'G-6 Hedgerow Data'!$B$1:$AH$15,33,FALSE))</f>
        <v/>
      </c>
      <c r="N215" s="513" t="str">
        <f t="shared" si="23"/>
        <v/>
      </c>
      <c r="O215" s="40"/>
      <c r="P215" s="145"/>
      <c r="Q215" s="157"/>
      <c r="R215" s="507" t="str">
        <f t="shared" si="24"/>
        <v/>
      </c>
      <c r="S215" s="507" t="str">
        <f t="shared" si="25"/>
        <v/>
      </c>
      <c r="T215" s="511" t="str">
        <f t="shared" si="26"/>
        <v/>
      </c>
      <c r="U215" s="515" t="str">
        <f t="shared" si="27"/>
        <v/>
      </c>
      <c r="V215" s="151"/>
      <c r="W215" s="152"/>
      <c r="AB215" s="31" t="str">
        <f>IFERROR(INDEX('G-6 Hedgerow Data'!$BJ$3:$BJ$15,MATCH(D215,'G-6 Hedgerow Data'!$B$3:$B$15,0)),"")</f>
        <v/>
      </c>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row>
    <row r="216" spans="2:37" ht="13.8" x14ac:dyDescent="0.25">
      <c r="B216" s="141">
        <v>207</v>
      </c>
      <c r="C216" s="203"/>
      <c r="D216" s="203"/>
      <c r="E216" s="153"/>
      <c r="F216" s="498" t="str">
        <f>IF(D216="","",VLOOKUP(D216,'G-6 Hedgerow Data'!$B$2:$AG$15,2,FALSE))</f>
        <v/>
      </c>
      <c r="G216" s="499" t="str">
        <f>IF(D216="","",VLOOKUP(D216,'G-6 Hedgerow Data'!$B$2:$AG$15,3,FALSE))</f>
        <v/>
      </c>
      <c r="H216" s="145"/>
      <c r="I216" s="499" t="str">
        <f>IFERROR(IF(AND(F216="V.Low",OR(H216="Good",H216="Moderate")),"Error ▲",VLOOKUP(H216,'G-1 All Habitats'!$Z$2:$AA$9,2,FALSE)),"")</f>
        <v/>
      </c>
      <c r="J216" s="154"/>
      <c r="K216" s="520" t="str">
        <f>IF(J216="","",IF(VLOOKUP(J216,'G-3 Multipliers'!$L$3:$N$6,2,FALSE)=0,"Spatial Data Missing ⚠",VLOOKUP(J216,'G-3 Multipliers'!$L$3:$N$6,2,FALSE)))</f>
        <v/>
      </c>
      <c r="L216" s="524" t="str">
        <f>IF(J216="","",IF(VLOOKUP(J216,'G-3 Multipliers'!$L$3:$N$6,3,FALSE)=0,"Spatial Data Missing ⚠",VLOOKUP(J216,'G-3 Multipliers'!$L$3:$N$6,3,FALSE)))</f>
        <v/>
      </c>
      <c r="M216" s="506" t="str">
        <f>IF(D216="","",VLOOKUP(D216,'G-6 Hedgerow Data'!$B$1:$AH$15,33,FALSE))</f>
        <v/>
      </c>
      <c r="N216" s="513" t="str">
        <f t="shared" si="23"/>
        <v/>
      </c>
      <c r="O216" s="40"/>
      <c r="P216" s="145"/>
      <c r="Q216" s="157"/>
      <c r="R216" s="507" t="str">
        <f t="shared" si="24"/>
        <v/>
      </c>
      <c r="S216" s="507" t="str">
        <f t="shared" si="25"/>
        <v/>
      </c>
      <c r="T216" s="511" t="str">
        <f t="shared" si="26"/>
        <v/>
      </c>
      <c r="U216" s="515" t="str">
        <f t="shared" si="27"/>
        <v/>
      </c>
      <c r="V216" s="151"/>
      <c r="W216" s="152"/>
      <c r="AB216" s="31" t="str">
        <f>IFERROR(INDEX('G-6 Hedgerow Data'!$BJ$3:$BJ$15,MATCH(D216,'G-6 Hedgerow Data'!$B$3:$B$15,0)),"")</f>
        <v/>
      </c>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row>
    <row r="217" spans="2:37" ht="13.8" x14ac:dyDescent="0.25">
      <c r="B217" s="141">
        <v>208</v>
      </c>
      <c r="C217" s="203"/>
      <c r="D217" s="203"/>
      <c r="E217" s="153"/>
      <c r="F217" s="498" t="str">
        <f>IF(D217="","",VLOOKUP(D217,'G-6 Hedgerow Data'!$B$2:$AG$15,2,FALSE))</f>
        <v/>
      </c>
      <c r="G217" s="499" t="str">
        <f>IF(D217="","",VLOOKUP(D217,'G-6 Hedgerow Data'!$B$2:$AG$15,3,FALSE))</f>
        <v/>
      </c>
      <c r="H217" s="145"/>
      <c r="I217" s="499" t="str">
        <f>IFERROR(IF(AND(F217="V.Low",OR(H217="Good",H217="Moderate")),"Error ▲",VLOOKUP(H217,'G-1 All Habitats'!$Z$2:$AA$9,2,FALSE)),"")</f>
        <v/>
      </c>
      <c r="J217" s="154"/>
      <c r="K217" s="520" t="str">
        <f>IF(J217="","",IF(VLOOKUP(J217,'G-3 Multipliers'!$L$3:$N$6,2,FALSE)=0,"Spatial Data Missing ⚠",VLOOKUP(J217,'G-3 Multipliers'!$L$3:$N$6,2,FALSE)))</f>
        <v/>
      </c>
      <c r="L217" s="524" t="str">
        <f>IF(J217="","",IF(VLOOKUP(J217,'G-3 Multipliers'!$L$3:$N$6,3,FALSE)=0,"Spatial Data Missing ⚠",VLOOKUP(J217,'G-3 Multipliers'!$L$3:$N$6,3,FALSE)))</f>
        <v/>
      </c>
      <c r="M217" s="506" t="str">
        <f>IF(D217="","",VLOOKUP(D217,'G-6 Hedgerow Data'!$B$1:$AH$15,33,FALSE))</f>
        <v/>
      </c>
      <c r="N217" s="513" t="str">
        <f t="shared" si="23"/>
        <v/>
      </c>
      <c r="O217" s="40"/>
      <c r="P217" s="145"/>
      <c r="Q217" s="157"/>
      <c r="R217" s="507" t="str">
        <f t="shared" si="24"/>
        <v/>
      </c>
      <c r="S217" s="507" t="str">
        <f t="shared" si="25"/>
        <v/>
      </c>
      <c r="T217" s="511" t="str">
        <f t="shared" si="26"/>
        <v/>
      </c>
      <c r="U217" s="515" t="str">
        <f t="shared" si="27"/>
        <v/>
      </c>
      <c r="V217" s="151"/>
      <c r="W217" s="152"/>
      <c r="AB217" s="31" t="str">
        <f>IFERROR(INDEX('G-6 Hedgerow Data'!$BJ$3:$BJ$15,MATCH(D217,'G-6 Hedgerow Data'!$B$3:$B$15,0)),"")</f>
        <v/>
      </c>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row>
    <row r="218" spans="2:37" ht="13.8" x14ac:dyDescent="0.25">
      <c r="B218" s="141">
        <v>209</v>
      </c>
      <c r="C218" s="203"/>
      <c r="D218" s="203"/>
      <c r="E218" s="153"/>
      <c r="F218" s="498" t="str">
        <f>IF(D218="","",VLOOKUP(D218,'G-6 Hedgerow Data'!$B$2:$AG$15,2,FALSE))</f>
        <v/>
      </c>
      <c r="G218" s="499" t="str">
        <f>IF(D218="","",VLOOKUP(D218,'G-6 Hedgerow Data'!$B$2:$AG$15,3,FALSE))</f>
        <v/>
      </c>
      <c r="H218" s="145"/>
      <c r="I218" s="499" t="str">
        <f>IFERROR(IF(AND(F218="V.Low",OR(H218="Good",H218="Moderate")),"Error ▲",VLOOKUP(H218,'G-1 All Habitats'!$Z$2:$AA$9,2,FALSE)),"")</f>
        <v/>
      </c>
      <c r="J218" s="154"/>
      <c r="K218" s="520" t="str">
        <f>IF(J218="","",IF(VLOOKUP(J218,'G-3 Multipliers'!$L$3:$N$6,2,FALSE)=0,"Spatial Data Missing ⚠",VLOOKUP(J218,'G-3 Multipliers'!$L$3:$N$6,2,FALSE)))</f>
        <v/>
      </c>
      <c r="L218" s="524" t="str">
        <f>IF(J218="","",IF(VLOOKUP(J218,'G-3 Multipliers'!$L$3:$N$6,3,FALSE)=0,"Spatial Data Missing ⚠",VLOOKUP(J218,'G-3 Multipliers'!$L$3:$N$6,3,FALSE)))</f>
        <v/>
      </c>
      <c r="M218" s="506" t="str">
        <f>IF(D218="","",VLOOKUP(D218,'G-6 Hedgerow Data'!$B$1:$AH$15,33,FALSE))</f>
        <v/>
      </c>
      <c r="N218" s="513" t="str">
        <f t="shared" si="23"/>
        <v/>
      </c>
      <c r="O218" s="40"/>
      <c r="P218" s="145"/>
      <c r="Q218" s="157"/>
      <c r="R218" s="507" t="str">
        <f t="shared" si="24"/>
        <v/>
      </c>
      <c r="S218" s="507" t="str">
        <f t="shared" si="25"/>
        <v/>
      </c>
      <c r="T218" s="511" t="str">
        <f t="shared" si="26"/>
        <v/>
      </c>
      <c r="U218" s="515" t="str">
        <f t="shared" si="27"/>
        <v/>
      </c>
      <c r="V218" s="151"/>
      <c r="W218" s="152"/>
      <c r="AB218" s="31" t="str">
        <f>IFERROR(INDEX('G-6 Hedgerow Data'!$BJ$3:$BJ$15,MATCH(D218,'G-6 Hedgerow Data'!$B$3:$B$15,0)),"")</f>
        <v/>
      </c>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row>
    <row r="219" spans="2:37" ht="13.8" x14ac:dyDescent="0.25">
      <c r="B219" s="141">
        <v>210</v>
      </c>
      <c r="C219" s="203"/>
      <c r="D219" s="203"/>
      <c r="E219" s="153"/>
      <c r="F219" s="498" t="str">
        <f>IF(D219="","",VLOOKUP(D219,'G-6 Hedgerow Data'!$B$2:$AG$15,2,FALSE))</f>
        <v/>
      </c>
      <c r="G219" s="499" t="str">
        <f>IF(D219="","",VLOOKUP(D219,'G-6 Hedgerow Data'!$B$2:$AG$15,3,FALSE))</f>
        <v/>
      </c>
      <c r="H219" s="145"/>
      <c r="I219" s="499" t="str">
        <f>IFERROR(IF(AND(F219="V.Low",OR(H219="Good",H219="Moderate")),"Error ▲",VLOOKUP(H219,'G-1 All Habitats'!$Z$2:$AA$9,2,FALSE)),"")</f>
        <v/>
      </c>
      <c r="J219" s="154"/>
      <c r="K219" s="520" t="str">
        <f>IF(J219="","",IF(VLOOKUP(J219,'G-3 Multipliers'!$L$3:$N$6,2,FALSE)=0,"Spatial Data Missing ⚠",VLOOKUP(J219,'G-3 Multipliers'!$L$3:$N$6,2,FALSE)))</f>
        <v/>
      </c>
      <c r="L219" s="524" t="str">
        <f>IF(J219="","",IF(VLOOKUP(J219,'G-3 Multipliers'!$L$3:$N$6,3,FALSE)=0,"Spatial Data Missing ⚠",VLOOKUP(J219,'G-3 Multipliers'!$L$3:$N$6,3,FALSE)))</f>
        <v/>
      </c>
      <c r="M219" s="506" t="str">
        <f>IF(D219="","",VLOOKUP(D219,'G-6 Hedgerow Data'!$B$1:$AH$15,33,FALSE))</f>
        <v/>
      </c>
      <c r="N219" s="513" t="str">
        <f t="shared" si="23"/>
        <v/>
      </c>
      <c r="O219" s="40"/>
      <c r="P219" s="145"/>
      <c r="Q219" s="157"/>
      <c r="R219" s="507" t="str">
        <f t="shared" si="24"/>
        <v/>
      </c>
      <c r="S219" s="507" t="str">
        <f t="shared" si="25"/>
        <v/>
      </c>
      <c r="T219" s="511" t="str">
        <f t="shared" si="26"/>
        <v/>
      </c>
      <c r="U219" s="515" t="str">
        <f t="shared" si="27"/>
        <v/>
      </c>
      <c r="V219" s="151"/>
      <c r="W219" s="152"/>
      <c r="AB219" s="31" t="str">
        <f>IFERROR(INDEX('G-6 Hedgerow Data'!$BJ$3:$BJ$15,MATCH(D219,'G-6 Hedgerow Data'!$B$3:$B$15,0)),"")</f>
        <v/>
      </c>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row>
    <row r="220" spans="2:37" ht="13.8" x14ac:dyDescent="0.25">
      <c r="B220" s="141">
        <v>211</v>
      </c>
      <c r="C220" s="203"/>
      <c r="D220" s="203"/>
      <c r="E220" s="153"/>
      <c r="F220" s="498" t="str">
        <f>IF(D220="","",VLOOKUP(D220,'G-6 Hedgerow Data'!$B$2:$AG$15,2,FALSE))</f>
        <v/>
      </c>
      <c r="G220" s="499" t="str">
        <f>IF(D220="","",VLOOKUP(D220,'G-6 Hedgerow Data'!$B$2:$AG$15,3,FALSE))</f>
        <v/>
      </c>
      <c r="H220" s="145"/>
      <c r="I220" s="499" t="str">
        <f>IFERROR(IF(AND(F220="V.Low",OR(H220="Good",H220="Moderate")),"Error ▲",VLOOKUP(H220,'G-1 All Habitats'!$Z$2:$AA$9,2,FALSE)),"")</f>
        <v/>
      </c>
      <c r="J220" s="154"/>
      <c r="K220" s="520" t="str">
        <f>IF(J220="","",IF(VLOOKUP(J220,'G-3 Multipliers'!$L$3:$N$6,2,FALSE)=0,"Spatial Data Missing ⚠",VLOOKUP(J220,'G-3 Multipliers'!$L$3:$N$6,2,FALSE)))</f>
        <v/>
      </c>
      <c r="L220" s="524" t="str">
        <f>IF(J220="","",IF(VLOOKUP(J220,'G-3 Multipliers'!$L$3:$N$6,3,FALSE)=0,"Spatial Data Missing ⚠",VLOOKUP(J220,'G-3 Multipliers'!$L$3:$N$6,3,FALSE)))</f>
        <v/>
      </c>
      <c r="M220" s="506" t="str">
        <f>IF(D220="","",VLOOKUP(D220,'G-6 Hedgerow Data'!$B$1:$AH$15,33,FALSE))</f>
        <v/>
      </c>
      <c r="N220" s="513" t="str">
        <f t="shared" si="23"/>
        <v/>
      </c>
      <c r="O220" s="40"/>
      <c r="P220" s="145"/>
      <c r="Q220" s="157"/>
      <c r="R220" s="507" t="str">
        <f t="shared" si="24"/>
        <v/>
      </c>
      <c r="S220" s="507" t="str">
        <f t="shared" si="25"/>
        <v/>
      </c>
      <c r="T220" s="511" t="str">
        <f t="shared" si="26"/>
        <v/>
      </c>
      <c r="U220" s="515" t="str">
        <f t="shared" si="27"/>
        <v/>
      </c>
      <c r="V220" s="151"/>
      <c r="W220" s="152"/>
      <c r="AB220" s="31" t="str">
        <f>IFERROR(INDEX('G-6 Hedgerow Data'!$BJ$3:$BJ$15,MATCH(D220,'G-6 Hedgerow Data'!$B$3:$B$15,0)),"")</f>
        <v/>
      </c>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row>
    <row r="221" spans="2:37" ht="13.8" x14ac:dyDescent="0.25">
      <c r="B221" s="141">
        <v>212</v>
      </c>
      <c r="C221" s="203"/>
      <c r="D221" s="203"/>
      <c r="E221" s="153"/>
      <c r="F221" s="498" t="str">
        <f>IF(D221="","",VLOOKUP(D221,'G-6 Hedgerow Data'!$B$2:$AG$15,2,FALSE))</f>
        <v/>
      </c>
      <c r="G221" s="499" t="str">
        <f>IF(D221="","",VLOOKUP(D221,'G-6 Hedgerow Data'!$B$2:$AG$15,3,FALSE))</f>
        <v/>
      </c>
      <c r="H221" s="145"/>
      <c r="I221" s="499" t="str">
        <f>IFERROR(IF(AND(F221="V.Low",OR(H221="Good",H221="Moderate")),"Error ▲",VLOOKUP(H221,'G-1 All Habitats'!$Z$2:$AA$9,2,FALSE)),"")</f>
        <v/>
      </c>
      <c r="J221" s="154"/>
      <c r="K221" s="520" t="str">
        <f>IF(J221="","",IF(VLOOKUP(J221,'G-3 Multipliers'!$L$3:$N$6,2,FALSE)=0,"Spatial Data Missing ⚠",VLOOKUP(J221,'G-3 Multipliers'!$L$3:$N$6,2,FALSE)))</f>
        <v/>
      </c>
      <c r="L221" s="524" t="str">
        <f>IF(J221="","",IF(VLOOKUP(J221,'G-3 Multipliers'!$L$3:$N$6,3,FALSE)=0,"Spatial Data Missing ⚠",VLOOKUP(J221,'G-3 Multipliers'!$L$3:$N$6,3,FALSE)))</f>
        <v/>
      </c>
      <c r="M221" s="506" t="str">
        <f>IF(D221="","",VLOOKUP(D221,'G-6 Hedgerow Data'!$B$1:$AH$15,33,FALSE))</f>
        <v/>
      </c>
      <c r="N221" s="513" t="str">
        <f t="shared" si="23"/>
        <v/>
      </c>
      <c r="O221" s="40"/>
      <c r="P221" s="145"/>
      <c r="Q221" s="157"/>
      <c r="R221" s="507" t="str">
        <f t="shared" si="24"/>
        <v/>
      </c>
      <c r="S221" s="507" t="str">
        <f t="shared" si="25"/>
        <v/>
      </c>
      <c r="T221" s="511" t="str">
        <f t="shared" si="26"/>
        <v/>
      </c>
      <c r="U221" s="515" t="str">
        <f t="shared" si="27"/>
        <v/>
      </c>
      <c r="V221" s="151"/>
      <c r="W221" s="152"/>
      <c r="AB221" s="31" t="str">
        <f>IFERROR(INDEX('G-6 Hedgerow Data'!$BJ$3:$BJ$15,MATCH(D221,'G-6 Hedgerow Data'!$B$3:$B$15,0)),"")</f>
        <v/>
      </c>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row>
    <row r="222" spans="2:37" ht="13.8" x14ac:dyDescent="0.25">
      <c r="B222" s="141">
        <v>213</v>
      </c>
      <c r="C222" s="203"/>
      <c r="D222" s="203"/>
      <c r="E222" s="153"/>
      <c r="F222" s="498" t="str">
        <f>IF(D222="","",VLOOKUP(D222,'G-6 Hedgerow Data'!$B$2:$AG$15,2,FALSE))</f>
        <v/>
      </c>
      <c r="G222" s="499" t="str">
        <f>IF(D222="","",VLOOKUP(D222,'G-6 Hedgerow Data'!$B$2:$AG$15,3,FALSE))</f>
        <v/>
      </c>
      <c r="H222" s="145"/>
      <c r="I222" s="499" t="str">
        <f>IFERROR(IF(AND(F222="V.Low",OR(H222="Good",H222="Moderate")),"Error ▲",VLOOKUP(H222,'G-1 All Habitats'!$Z$2:$AA$9,2,FALSE)),"")</f>
        <v/>
      </c>
      <c r="J222" s="154"/>
      <c r="K222" s="520" t="str">
        <f>IF(J222="","",IF(VLOOKUP(J222,'G-3 Multipliers'!$L$3:$N$6,2,FALSE)=0,"Spatial Data Missing ⚠",VLOOKUP(J222,'G-3 Multipliers'!$L$3:$N$6,2,FALSE)))</f>
        <v/>
      </c>
      <c r="L222" s="524" t="str">
        <f>IF(J222="","",IF(VLOOKUP(J222,'G-3 Multipliers'!$L$3:$N$6,3,FALSE)=0,"Spatial Data Missing ⚠",VLOOKUP(J222,'G-3 Multipliers'!$L$3:$N$6,3,FALSE)))</f>
        <v/>
      </c>
      <c r="M222" s="506" t="str">
        <f>IF(D222="","",VLOOKUP(D222,'G-6 Hedgerow Data'!$B$1:$AH$15,33,FALSE))</f>
        <v/>
      </c>
      <c r="N222" s="513" t="str">
        <f t="shared" si="23"/>
        <v/>
      </c>
      <c r="O222" s="40"/>
      <c r="P222" s="145"/>
      <c r="Q222" s="157"/>
      <c r="R222" s="507" t="str">
        <f t="shared" si="24"/>
        <v/>
      </c>
      <c r="S222" s="507" t="str">
        <f t="shared" si="25"/>
        <v/>
      </c>
      <c r="T222" s="511" t="str">
        <f t="shared" si="26"/>
        <v/>
      </c>
      <c r="U222" s="515" t="str">
        <f t="shared" si="27"/>
        <v/>
      </c>
      <c r="V222" s="151"/>
      <c r="W222" s="152"/>
      <c r="AB222" s="31" t="str">
        <f>IFERROR(INDEX('G-6 Hedgerow Data'!$BJ$3:$BJ$15,MATCH(D222,'G-6 Hedgerow Data'!$B$3:$B$15,0)),"")</f>
        <v/>
      </c>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row>
    <row r="223" spans="2:37" ht="13.8" x14ac:dyDescent="0.25">
      <c r="B223" s="141">
        <v>214</v>
      </c>
      <c r="C223" s="203"/>
      <c r="D223" s="203"/>
      <c r="E223" s="153"/>
      <c r="F223" s="498" t="str">
        <f>IF(D223="","",VLOOKUP(D223,'G-6 Hedgerow Data'!$B$2:$AG$15,2,FALSE))</f>
        <v/>
      </c>
      <c r="G223" s="499" t="str">
        <f>IF(D223="","",VLOOKUP(D223,'G-6 Hedgerow Data'!$B$2:$AG$15,3,FALSE))</f>
        <v/>
      </c>
      <c r="H223" s="145"/>
      <c r="I223" s="499" t="str">
        <f>IFERROR(IF(AND(F223="V.Low",OR(H223="Good",H223="Moderate")),"Error ▲",VLOOKUP(H223,'G-1 All Habitats'!$Z$2:$AA$9,2,FALSE)),"")</f>
        <v/>
      </c>
      <c r="J223" s="154"/>
      <c r="K223" s="520" t="str">
        <f>IF(J223="","",IF(VLOOKUP(J223,'G-3 Multipliers'!$L$3:$N$6,2,FALSE)=0,"Spatial Data Missing ⚠",VLOOKUP(J223,'G-3 Multipliers'!$L$3:$N$6,2,FALSE)))</f>
        <v/>
      </c>
      <c r="L223" s="524" t="str">
        <f>IF(J223="","",IF(VLOOKUP(J223,'G-3 Multipliers'!$L$3:$N$6,3,FALSE)=0,"Spatial Data Missing ⚠",VLOOKUP(J223,'G-3 Multipliers'!$L$3:$N$6,3,FALSE)))</f>
        <v/>
      </c>
      <c r="M223" s="506" t="str">
        <f>IF(D223="","",VLOOKUP(D223,'G-6 Hedgerow Data'!$B$1:$AH$15,33,FALSE))</f>
        <v/>
      </c>
      <c r="N223" s="513" t="str">
        <f t="shared" si="23"/>
        <v/>
      </c>
      <c r="O223" s="40"/>
      <c r="P223" s="145"/>
      <c r="Q223" s="157"/>
      <c r="R223" s="507" t="str">
        <f t="shared" si="24"/>
        <v/>
      </c>
      <c r="S223" s="507" t="str">
        <f t="shared" si="25"/>
        <v/>
      </c>
      <c r="T223" s="511" t="str">
        <f t="shared" si="26"/>
        <v/>
      </c>
      <c r="U223" s="515" t="str">
        <f t="shared" si="27"/>
        <v/>
      </c>
      <c r="V223" s="151"/>
      <c r="W223" s="152"/>
      <c r="AB223" s="31" t="str">
        <f>IFERROR(INDEX('G-6 Hedgerow Data'!$BJ$3:$BJ$15,MATCH(D223,'G-6 Hedgerow Data'!$B$3:$B$15,0)),"")</f>
        <v/>
      </c>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row>
    <row r="224" spans="2:37" ht="13.8" x14ac:dyDescent="0.25">
      <c r="B224" s="141">
        <v>215</v>
      </c>
      <c r="C224" s="203"/>
      <c r="D224" s="203"/>
      <c r="E224" s="153"/>
      <c r="F224" s="498" t="str">
        <f>IF(D224="","",VLOOKUP(D224,'G-6 Hedgerow Data'!$B$2:$AG$15,2,FALSE))</f>
        <v/>
      </c>
      <c r="G224" s="499" t="str">
        <f>IF(D224="","",VLOOKUP(D224,'G-6 Hedgerow Data'!$B$2:$AG$15,3,FALSE))</f>
        <v/>
      </c>
      <c r="H224" s="145"/>
      <c r="I224" s="499" t="str">
        <f>IFERROR(IF(AND(F224="V.Low",OR(H224="Good",H224="Moderate")),"Error ▲",VLOOKUP(H224,'G-1 All Habitats'!$Z$2:$AA$9,2,FALSE)),"")</f>
        <v/>
      </c>
      <c r="J224" s="154"/>
      <c r="K224" s="520" t="str">
        <f>IF(J224="","",IF(VLOOKUP(J224,'G-3 Multipliers'!$L$3:$N$6,2,FALSE)=0,"Spatial Data Missing ⚠",VLOOKUP(J224,'G-3 Multipliers'!$L$3:$N$6,2,FALSE)))</f>
        <v/>
      </c>
      <c r="L224" s="524" t="str">
        <f>IF(J224="","",IF(VLOOKUP(J224,'G-3 Multipliers'!$L$3:$N$6,3,FALSE)=0,"Spatial Data Missing ⚠",VLOOKUP(J224,'G-3 Multipliers'!$L$3:$N$6,3,FALSE)))</f>
        <v/>
      </c>
      <c r="M224" s="506" t="str">
        <f>IF(D224="","",VLOOKUP(D224,'G-6 Hedgerow Data'!$B$1:$AH$15,33,FALSE))</f>
        <v/>
      </c>
      <c r="N224" s="513" t="str">
        <f t="shared" si="23"/>
        <v/>
      </c>
      <c r="O224" s="40"/>
      <c r="P224" s="145"/>
      <c r="Q224" s="157"/>
      <c r="R224" s="507" t="str">
        <f t="shared" si="24"/>
        <v/>
      </c>
      <c r="S224" s="507" t="str">
        <f t="shared" si="25"/>
        <v/>
      </c>
      <c r="T224" s="511" t="str">
        <f t="shared" si="26"/>
        <v/>
      </c>
      <c r="U224" s="515" t="str">
        <f t="shared" si="27"/>
        <v/>
      </c>
      <c r="V224" s="151"/>
      <c r="W224" s="152"/>
      <c r="AB224" s="31" t="str">
        <f>IFERROR(INDEX('G-6 Hedgerow Data'!$BJ$3:$BJ$15,MATCH(D224,'G-6 Hedgerow Data'!$B$3:$B$15,0)),"")</f>
        <v/>
      </c>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row>
    <row r="225" spans="2:37" ht="13.8" x14ac:dyDescent="0.25">
      <c r="B225" s="141">
        <v>216</v>
      </c>
      <c r="C225" s="203"/>
      <c r="D225" s="203"/>
      <c r="E225" s="153"/>
      <c r="F225" s="498" t="str">
        <f>IF(D225="","",VLOOKUP(D225,'G-6 Hedgerow Data'!$B$2:$AG$15,2,FALSE))</f>
        <v/>
      </c>
      <c r="G225" s="499" t="str">
        <f>IF(D225="","",VLOOKUP(D225,'G-6 Hedgerow Data'!$B$2:$AG$15,3,FALSE))</f>
        <v/>
      </c>
      <c r="H225" s="145"/>
      <c r="I225" s="499" t="str">
        <f>IFERROR(IF(AND(F225="V.Low",OR(H225="Good",H225="Moderate")),"Error ▲",VLOOKUP(H225,'G-1 All Habitats'!$Z$2:$AA$9,2,FALSE)),"")</f>
        <v/>
      </c>
      <c r="J225" s="154"/>
      <c r="K225" s="520" t="str">
        <f>IF(J225="","",IF(VLOOKUP(J225,'G-3 Multipliers'!$L$3:$N$6,2,FALSE)=0,"Spatial Data Missing ⚠",VLOOKUP(J225,'G-3 Multipliers'!$L$3:$N$6,2,FALSE)))</f>
        <v/>
      </c>
      <c r="L225" s="524" t="str">
        <f>IF(J225="","",IF(VLOOKUP(J225,'G-3 Multipliers'!$L$3:$N$6,3,FALSE)=0,"Spatial Data Missing ⚠",VLOOKUP(J225,'G-3 Multipliers'!$L$3:$N$6,3,FALSE)))</f>
        <v/>
      </c>
      <c r="M225" s="506" t="str">
        <f>IF(D225="","",VLOOKUP(D225,'G-6 Hedgerow Data'!$B$1:$AH$15,33,FALSE))</f>
        <v/>
      </c>
      <c r="N225" s="513" t="str">
        <f t="shared" si="23"/>
        <v/>
      </c>
      <c r="O225" s="40"/>
      <c r="P225" s="145"/>
      <c r="Q225" s="157"/>
      <c r="R225" s="507" t="str">
        <f t="shared" si="24"/>
        <v/>
      </c>
      <c r="S225" s="507" t="str">
        <f t="shared" si="25"/>
        <v/>
      </c>
      <c r="T225" s="511" t="str">
        <f t="shared" si="26"/>
        <v/>
      </c>
      <c r="U225" s="515" t="str">
        <f t="shared" si="27"/>
        <v/>
      </c>
      <c r="V225" s="151"/>
      <c r="W225" s="152"/>
      <c r="AB225" s="31" t="str">
        <f>IFERROR(INDEX('G-6 Hedgerow Data'!$BJ$3:$BJ$15,MATCH(D225,'G-6 Hedgerow Data'!$B$3:$B$15,0)),"")</f>
        <v/>
      </c>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row>
    <row r="226" spans="2:37" ht="13.8" x14ac:dyDescent="0.25">
      <c r="B226" s="141">
        <v>217</v>
      </c>
      <c r="C226" s="203"/>
      <c r="D226" s="203"/>
      <c r="E226" s="153"/>
      <c r="F226" s="498" t="str">
        <f>IF(D226="","",VLOOKUP(D226,'G-6 Hedgerow Data'!$B$2:$AG$15,2,FALSE))</f>
        <v/>
      </c>
      <c r="G226" s="499" t="str">
        <f>IF(D226="","",VLOOKUP(D226,'G-6 Hedgerow Data'!$B$2:$AG$15,3,FALSE))</f>
        <v/>
      </c>
      <c r="H226" s="145"/>
      <c r="I226" s="499" t="str">
        <f>IFERROR(IF(AND(F226="V.Low",OR(H226="Good",H226="Moderate")),"Error ▲",VLOOKUP(H226,'G-1 All Habitats'!$Z$2:$AA$9,2,FALSE)),"")</f>
        <v/>
      </c>
      <c r="J226" s="154"/>
      <c r="K226" s="520" t="str">
        <f>IF(J226="","",IF(VLOOKUP(J226,'G-3 Multipliers'!$L$3:$N$6,2,FALSE)=0,"Spatial Data Missing ⚠",VLOOKUP(J226,'G-3 Multipliers'!$L$3:$N$6,2,FALSE)))</f>
        <v/>
      </c>
      <c r="L226" s="524" t="str">
        <f>IF(J226="","",IF(VLOOKUP(J226,'G-3 Multipliers'!$L$3:$N$6,3,FALSE)=0,"Spatial Data Missing ⚠",VLOOKUP(J226,'G-3 Multipliers'!$L$3:$N$6,3,FALSE)))</f>
        <v/>
      </c>
      <c r="M226" s="506" t="str">
        <f>IF(D226="","",VLOOKUP(D226,'G-6 Hedgerow Data'!$B$1:$AH$15,33,FALSE))</f>
        <v/>
      </c>
      <c r="N226" s="513" t="str">
        <f t="shared" si="23"/>
        <v/>
      </c>
      <c r="O226" s="40"/>
      <c r="P226" s="145"/>
      <c r="Q226" s="157"/>
      <c r="R226" s="507" t="str">
        <f t="shared" si="24"/>
        <v/>
      </c>
      <c r="S226" s="507" t="str">
        <f t="shared" si="25"/>
        <v/>
      </c>
      <c r="T226" s="511" t="str">
        <f t="shared" si="26"/>
        <v/>
      </c>
      <c r="U226" s="515" t="str">
        <f t="shared" si="27"/>
        <v/>
      </c>
      <c r="V226" s="151"/>
      <c r="W226" s="152"/>
      <c r="AB226" s="31" t="str">
        <f>IFERROR(INDEX('G-6 Hedgerow Data'!$BJ$3:$BJ$15,MATCH(D226,'G-6 Hedgerow Data'!$B$3:$B$15,0)),"")</f>
        <v/>
      </c>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row>
    <row r="227" spans="2:37" ht="13.8" x14ac:dyDescent="0.25">
      <c r="B227" s="141">
        <v>218</v>
      </c>
      <c r="C227" s="203"/>
      <c r="D227" s="203"/>
      <c r="E227" s="153"/>
      <c r="F227" s="498" t="str">
        <f>IF(D227="","",VLOOKUP(D227,'G-6 Hedgerow Data'!$B$2:$AG$15,2,FALSE))</f>
        <v/>
      </c>
      <c r="G227" s="499" t="str">
        <f>IF(D227="","",VLOOKUP(D227,'G-6 Hedgerow Data'!$B$2:$AG$15,3,FALSE))</f>
        <v/>
      </c>
      <c r="H227" s="145"/>
      <c r="I227" s="499" t="str">
        <f>IFERROR(IF(AND(F227="V.Low",OR(H227="Good",H227="Moderate")),"Error ▲",VLOOKUP(H227,'G-1 All Habitats'!$Z$2:$AA$9,2,FALSE)),"")</f>
        <v/>
      </c>
      <c r="J227" s="154"/>
      <c r="K227" s="520" t="str">
        <f>IF(J227="","",IF(VLOOKUP(J227,'G-3 Multipliers'!$L$3:$N$6,2,FALSE)=0,"Spatial Data Missing ⚠",VLOOKUP(J227,'G-3 Multipliers'!$L$3:$N$6,2,FALSE)))</f>
        <v/>
      </c>
      <c r="L227" s="524" t="str">
        <f>IF(J227="","",IF(VLOOKUP(J227,'G-3 Multipliers'!$L$3:$N$6,3,FALSE)=0,"Spatial Data Missing ⚠",VLOOKUP(J227,'G-3 Multipliers'!$L$3:$N$6,3,FALSE)))</f>
        <v/>
      </c>
      <c r="M227" s="506" t="str">
        <f>IF(D227="","",VLOOKUP(D227,'G-6 Hedgerow Data'!$B$1:$AH$15,33,FALSE))</f>
        <v/>
      </c>
      <c r="N227" s="513" t="str">
        <f t="shared" si="23"/>
        <v/>
      </c>
      <c r="O227" s="40"/>
      <c r="P227" s="145"/>
      <c r="Q227" s="157"/>
      <c r="R227" s="507" t="str">
        <f t="shared" si="24"/>
        <v/>
      </c>
      <c r="S227" s="507" t="str">
        <f t="shared" si="25"/>
        <v/>
      </c>
      <c r="T227" s="511" t="str">
        <f t="shared" si="26"/>
        <v/>
      </c>
      <c r="U227" s="515" t="str">
        <f t="shared" si="27"/>
        <v/>
      </c>
      <c r="V227" s="151"/>
      <c r="W227" s="152"/>
      <c r="AB227" s="31" t="str">
        <f>IFERROR(INDEX('G-6 Hedgerow Data'!$BJ$3:$BJ$15,MATCH(D227,'G-6 Hedgerow Data'!$B$3:$B$15,0)),"")</f>
        <v/>
      </c>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row>
    <row r="228" spans="2:37" ht="13.8" x14ac:dyDescent="0.25">
      <c r="B228" s="141">
        <v>219</v>
      </c>
      <c r="C228" s="203"/>
      <c r="D228" s="203"/>
      <c r="E228" s="153"/>
      <c r="F228" s="498" t="str">
        <f>IF(D228="","",VLOOKUP(D228,'G-6 Hedgerow Data'!$B$2:$AG$15,2,FALSE))</f>
        <v/>
      </c>
      <c r="G228" s="499" t="str">
        <f>IF(D228="","",VLOOKUP(D228,'G-6 Hedgerow Data'!$B$2:$AG$15,3,FALSE))</f>
        <v/>
      </c>
      <c r="H228" s="145"/>
      <c r="I228" s="499" t="str">
        <f>IFERROR(IF(AND(F228="V.Low",OR(H228="Good",H228="Moderate")),"Error ▲",VLOOKUP(H228,'G-1 All Habitats'!$Z$2:$AA$9,2,FALSE)),"")</f>
        <v/>
      </c>
      <c r="J228" s="154"/>
      <c r="K228" s="520" t="str">
        <f>IF(J228="","",IF(VLOOKUP(J228,'G-3 Multipliers'!$L$3:$N$6,2,FALSE)=0,"Spatial Data Missing ⚠",VLOOKUP(J228,'G-3 Multipliers'!$L$3:$N$6,2,FALSE)))</f>
        <v/>
      </c>
      <c r="L228" s="524" t="str">
        <f>IF(J228="","",IF(VLOOKUP(J228,'G-3 Multipliers'!$L$3:$N$6,3,FALSE)=0,"Spatial Data Missing ⚠",VLOOKUP(J228,'G-3 Multipliers'!$L$3:$N$6,3,FALSE)))</f>
        <v/>
      </c>
      <c r="M228" s="506" t="str">
        <f>IF(D228="","",VLOOKUP(D228,'G-6 Hedgerow Data'!$B$1:$AH$15,33,FALSE))</f>
        <v/>
      </c>
      <c r="N228" s="513" t="str">
        <f t="shared" si="23"/>
        <v/>
      </c>
      <c r="O228" s="40"/>
      <c r="P228" s="145"/>
      <c r="Q228" s="157"/>
      <c r="R228" s="507" t="str">
        <f t="shared" si="24"/>
        <v/>
      </c>
      <c r="S228" s="507" t="str">
        <f t="shared" si="25"/>
        <v/>
      </c>
      <c r="T228" s="511" t="str">
        <f t="shared" si="26"/>
        <v/>
      </c>
      <c r="U228" s="515" t="str">
        <f t="shared" si="27"/>
        <v/>
      </c>
      <c r="V228" s="151"/>
      <c r="W228" s="152"/>
      <c r="AB228" s="31" t="str">
        <f>IFERROR(INDEX('G-6 Hedgerow Data'!$BJ$3:$BJ$15,MATCH(D228,'G-6 Hedgerow Data'!$B$3:$B$15,0)),"")</f>
        <v/>
      </c>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row>
    <row r="229" spans="2:37" ht="13.8" x14ac:dyDescent="0.25">
      <c r="B229" s="141">
        <v>220</v>
      </c>
      <c r="C229" s="203"/>
      <c r="D229" s="203"/>
      <c r="E229" s="153"/>
      <c r="F229" s="498" t="str">
        <f>IF(D229="","",VLOOKUP(D229,'G-6 Hedgerow Data'!$B$2:$AG$15,2,FALSE))</f>
        <v/>
      </c>
      <c r="G229" s="499" t="str">
        <f>IF(D229="","",VLOOKUP(D229,'G-6 Hedgerow Data'!$B$2:$AG$15,3,FALSE))</f>
        <v/>
      </c>
      <c r="H229" s="145"/>
      <c r="I229" s="499" t="str">
        <f>IFERROR(IF(AND(F229="V.Low",OR(H229="Good",H229="Moderate")),"Error ▲",VLOOKUP(H229,'G-1 All Habitats'!$Z$2:$AA$9,2,FALSE)),"")</f>
        <v/>
      </c>
      <c r="J229" s="154"/>
      <c r="K229" s="520" t="str">
        <f>IF(J229="","",IF(VLOOKUP(J229,'G-3 Multipliers'!$L$3:$N$6,2,FALSE)=0,"Spatial Data Missing ⚠",VLOOKUP(J229,'G-3 Multipliers'!$L$3:$N$6,2,FALSE)))</f>
        <v/>
      </c>
      <c r="L229" s="524" t="str">
        <f>IF(J229="","",IF(VLOOKUP(J229,'G-3 Multipliers'!$L$3:$N$6,3,FALSE)=0,"Spatial Data Missing ⚠",VLOOKUP(J229,'G-3 Multipliers'!$L$3:$N$6,3,FALSE)))</f>
        <v/>
      </c>
      <c r="M229" s="506" t="str">
        <f>IF(D229="","",VLOOKUP(D229,'G-6 Hedgerow Data'!$B$1:$AH$15,33,FALSE))</f>
        <v/>
      </c>
      <c r="N229" s="513" t="str">
        <f t="shared" si="23"/>
        <v/>
      </c>
      <c r="O229" s="40"/>
      <c r="P229" s="145"/>
      <c r="Q229" s="157"/>
      <c r="R229" s="507" t="str">
        <f t="shared" si="24"/>
        <v/>
      </c>
      <c r="S229" s="507" t="str">
        <f t="shared" si="25"/>
        <v/>
      </c>
      <c r="T229" s="511" t="str">
        <f t="shared" si="26"/>
        <v/>
      </c>
      <c r="U229" s="515" t="str">
        <f t="shared" si="27"/>
        <v/>
      </c>
      <c r="V229" s="151"/>
      <c r="W229" s="152"/>
      <c r="AB229" s="31" t="str">
        <f>IFERROR(INDEX('G-6 Hedgerow Data'!$BJ$3:$BJ$15,MATCH(D229,'G-6 Hedgerow Data'!$B$3:$B$15,0)),"")</f>
        <v/>
      </c>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row>
    <row r="230" spans="2:37" ht="13.8" x14ac:dyDescent="0.25">
      <c r="B230" s="141">
        <v>221</v>
      </c>
      <c r="C230" s="203"/>
      <c r="D230" s="203"/>
      <c r="E230" s="153"/>
      <c r="F230" s="498" t="str">
        <f>IF(D230="","",VLOOKUP(D230,'G-6 Hedgerow Data'!$B$2:$AG$15,2,FALSE))</f>
        <v/>
      </c>
      <c r="G230" s="499" t="str">
        <f>IF(D230="","",VLOOKUP(D230,'G-6 Hedgerow Data'!$B$2:$AG$15,3,FALSE))</f>
        <v/>
      </c>
      <c r="H230" s="145"/>
      <c r="I230" s="499" t="str">
        <f>IFERROR(IF(AND(F230="V.Low",OR(H230="Good",H230="Moderate")),"Error ▲",VLOOKUP(H230,'G-1 All Habitats'!$Z$2:$AA$9,2,FALSE)),"")</f>
        <v/>
      </c>
      <c r="J230" s="154"/>
      <c r="K230" s="520" t="str">
        <f>IF(J230="","",IF(VLOOKUP(J230,'G-3 Multipliers'!$L$3:$N$6,2,FALSE)=0,"Spatial Data Missing ⚠",VLOOKUP(J230,'G-3 Multipliers'!$L$3:$N$6,2,FALSE)))</f>
        <v/>
      </c>
      <c r="L230" s="524" t="str">
        <f>IF(J230="","",IF(VLOOKUP(J230,'G-3 Multipliers'!$L$3:$N$6,3,FALSE)=0,"Spatial Data Missing ⚠",VLOOKUP(J230,'G-3 Multipliers'!$L$3:$N$6,3,FALSE)))</f>
        <v/>
      </c>
      <c r="M230" s="506" t="str">
        <f>IF(D230="","",VLOOKUP(D230,'G-6 Hedgerow Data'!$B$1:$AH$15,33,FALSE))</f>
        <v/>
      </c>
      <c r="N230" s="513" t="str">
        <f t="shared" si="23"/>
        <v/>
      </c>
      <c r="O230" s="40"/>
      <c r="P230" s="145"/>
      <c r="Q230" s="157"/>
      <c r="R230" s="507" t="str">
        <f t="shared" si="24"/>
        <v/>
      </c>
      <c r="S230" s="507" t="str">
        <f t="shared" si="25"/>
        <v/>
      </c>
      <c r="T230" s="511" t="str">
        <f t="shared" si="26"/>
        <v/>
      </c>
      <c r="U230" s="515" t="str">
        <f t="shared" si="27"/>
        <v/>
      </c>
      <c r="V230" s="151"/>
      <c r="W230" s="152"/>
      <c r="AB230" s="31" t="str">
        <f>IFERROR(INDEX('G-6 Hedgerow Data'!$BJ$3:$BJ$15,MATCH(D230,'G-6 Hedgerow Data'!$B$3:$B$15,0)),"")</f>
        <v/>
      </c>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row>
    <row r="231" spans="2:37" ht="13.8" x14ac:dyDescent="0.25">
      <c r="B231" s="141">
        <v>222</v>
      </c>
      <c r="C231" s="203"/>
      <c r="D231" s="203"/>
      <c r="E231" s="153"/>
      <c r="F231" s="498" t="str">
        <f>IF(D231="","",VLOOKUP(D231,'G-6 Hedgerow Data'!$B$2:$AG$15,2,FALSE))</f>
        <v/>
      </c>
      <c r="G231" s="499" t="str">
        <f>IF(D231="","",VLOOKUP(D231,'G-6 Hedgerow Data'!$B$2:$AG$15,3,FALSE))</f>
        <v/>
      </c>
      <c r="H231" s="145"/>
      <c r="I231" s="499" t="str">
        <f>IFERROR(IF(AND(F231="V.Low",OR(H231="Good",H231="Moderate")),"Error ▲",VLOOKUP(H231,'G-1 All Habitats'!$Z$2:$AA$9,2,FALSE)),"")</f>
        <v/>
      </c>
      <c r="J231" s="154"/>
      <c r="K231" s="520" t="str">
        <f>IF(J231="","",IF(VLOOKUP(J231,'G-3 Multipliers'!$L$3:$N$6,2,FALSE)=0,"Spatial Data Missing ⚠",VLOOKUP(J231,'G-3 Multipliers'!$L$3:$N$6,2,FALSE)))</f>
        <v/>
      </c>
      <c r="L231" s="524" t="str">
        <f>IF(J231="","",IF(VLOOKUP(J231,'G-3 Multipliers'!$L$3:$N$6,3,FALSE)=0,"Spatial Data Missing ⚠",VLOOKUP(J231,'G-3 Multipliers'!$L$3:$N$6,3,FALSE)))</f>
        <v/>
      </c>
      <c r="M231" s="506" t="str">
        <f>IF(D231="","",VLOOKUP(D231,'G-6 Hedgerow Data'!$B$1:$AH$15,33,FALSE))</f>
        <v/>
      </c>
      <c r="N231" s="513" t="str">
        <f t="shared" si="23"/>
        <v/>
      </c>
      <c r="O231" s="40"/>
      <c r="P231" s="145"/>
      <c r="Q231" s="157"/>
      <c r="R231" s="507" t="str">
        <f t="shared" si="24"/>
        <v/>
      </c>
      <c r="S231" s="507" t="str">
        <f t="shared" si="25"/>
        <v/>
      </c>
      <c r="T231" s="511" t="str">
        <f t="shared" si="26"/>
        <v/>
      </c>
      <c r="U231" s="515" t="str">
        <f t="shared" si="27"/>
        <v/>
      </c>
      <c r="V231" s="151"/>
      <c r="W231" s="152"/>
      <c r="AB231" s="31" t="str">
        <f>IFERROR(INDEX('G-6 Hedgerow Data'!$BJ$3:$BJ$15,MATCH(D231,'G-6 Hedgerow Data'!$B$3:$B$15,0)),"")</f>
        <v/>
      </c>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row>
    <row r="232" spans="2:37" ht="13.8" x14ac:dyDescent="0.25">
      <c r="B232" s="141">
        <v>223</v>
      </c>
      <c r="C232" s="203"/>
      <c r="D232" s="203"/>
      <c r="E232" s="153"/>
      <c r="F232" s="498" t="str">
        <f>IF(D232="","",VLOOKUP(D232,'G-6 Hedgerow Data'!$B$2:$AG$15,2,FALSE))</f>
        <v/>
      </c>
      <c r="G232" s="499" t="str">
        <f>IF(D232="","",VLOOKUP(D232,'G-6 Hedgerow Data'!$B$2:$AG$15,3,FALSE))</f>
        <v/>
      </c>
      <c r="H232" s="145"/>
      <c r="I232" s="499" t="str">
        <f>IFERROR(IF(AND(F232="V.Low",OR(H232="Good",H232="Moderate")),"Error ▲",VLOOKUP(H232,'G-1 All Habitats'!$Z$2:$AA$9,2,FALSE)),"")</f>
        <v/>
      </c>
      <c r="J232" s="154"/>
      <c r="K232" s="520" t="str">
        <f>IF(J232="","",IF(VLOOKUP(J232,'G-3 Multipliers'!$L$3:$N$6,2,FALSE)=0,"Spatial Data Missing ⚠",VLOOKUP(J232,'G-3 Multipliers'!$L$3:$N$6,2,FALSE)))</f>
        <v/>
      </c>
      <c r="L232" s="524" t="str">
        <f>IF(J232="","",IF(VLOOKUP(J232,'G-3 Multipliers'!$L$3:$N$6,3,FALSE)=0,"Spatial Data Missing ⚠",VLOOKUP(J232,'G-3 Multipliers'!$L$3:$N$6,3,FALSE)))</f>
        <v/>
      </c>
      <c r="M232" s="506" t="str">
        <f>IF(D232="","",VLOOKUP(D232,'G-6 Hedgerow Data'!$B$1:$AH$15,33,FALSE))</f>
        <v/>
      </c>
      <c r="N232" s="513" t="str">
        <f t="shared" si="23"/>
        <v/>
      </c>
      <c r="O232" s="40"/>
      <c r="P232" s="145"/>
      <c r="Q232" s="157"/>
      <c r="R232" s="507" t="str">
        <f t="shared" si="24"/>
        <v/>
      </c>
      <c r="S232" s="507" t="str">
        <f t="shared" si="25"/>
        <v/>
      </c>
      <c r="T232" s="511" t="str">
        <f t="shared" si="26"/>
        <v/>
      </c>
      <c r="U232" s="515" t="str">
        <f t="shared" si="27"/>
        <v/>
      </c>
      <c r="V232" s="151"/>
      <c r="W232" s="152"/>
      <c r="AB232" s="31" t="str">
        <f>IFERROR(INDEX('G-6 Hedgerow Data'!$BJ$3:$BJ$15,MATCH(D232,'G-6 Hedgerow Data'!$B$3:$B$15,0)),"")</f>
        <v/>
      </c>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row>
    <row r="233" spans="2:37" ht="13.8" x14ac:dyDescent="0.25">
      <c r="B233" s="141">
        <v>224</v>
      </c>
      <c r="C233" s="203"/>
      <c r="D233" s="203"/>
      <c r="E233" s="153"/>
      <c r="F233" s="498" t="str">
        <f>IF(D233="","",VLOOKUP(D233,'G-6 Hedgerow Data'!$B$2:$AG$15,2,FALSE))</f>
        <v/>
      </c>
      <c r="G233" s="499" t="str">
        <f>IF(D233="","",VLOOKUP(D233,'G-6 Hedgerow Data'!$B$2:$AG$15,3,FALSE))</f>
        <v/>
      </c>
      <c r="H233" s="145"/>
      <c r="I233" s="499" t="str">
        <f>IFERROR(IF(AND(F233="V.Low",OR(H233="Good",H233="Moderate")),"Error ▲",VLOOKUP(H233,'G-1 All Habitats'!$Z$2:$AA$9,2,FALSE)),"")</f>
        <v/>
      </c>
      <c r="J233" s="154"/>
      <c r="K233" s="520" t="str">
        <f>IF(J233="","",IF(VLOOKUP(J233,'G-3 Multipliers'!$L$3:$N$6,2,FALSE)=0,"Spatial Data Missing ⚠",VLOOKUP(J233,'G-3 Multipliers'!$L$3:$N$6,2,FALSE)))</f>
        <v/>
      </c>
      <c r="L233" s="524" t="str">
        <f>IF(J233="","",IF(VLOOKUP(J233,'G-3 Multipliers'!$L$3:$N$6,3,FALSE)=0,"Spatial Data Missing ⚠",VLOOKUP(J233,'G-3 Multipliers'!$L$3:$N$6,3,FALSE)))</f>
        <v/>
      </c>
      <c r="M233" s="506" t="str">
        <f>IF(D233="","",VLOOKUP(D233,'G-6 Hedgerow Data'!$B$1:$AH$15,33,FALSE))</f>
        <v/>
      </c>
      <c r="N233" s="513" t="str">
        <f t="shared" si="23"/>
        <v/>
      </c>
      <c r="O233" s="40"/>
      <c r="P233" s="145"/>
      <c r="Q233" s="157"/>
      <c r="R233" s="507" t="str">
        <f t="shared" si="24"/>
        <v/>
      </c>
      <c r="S233" s="507" t="str">
        <f t="shared" si="25"/>
        <v/>
      </c>
      <c r="T233" s="511" t="str">
        <f t="shared" si="26"/>
        <v/>
      </c>
      <c r="U233" s="515" t="str">
        <f t="shared" si="27"/>
        <v/>
      </c>
      <c r="V233" s="151"/>
      <c r="W233" s="152"/>
      <c r="AB233" s="31" t="str">
        <f>IFERROR(INDEX('G-6 Hedgerow Data'!$BJ$3:$BJ$15,MATCH(D233,'G-6 Hedgerow Data'!$B$3:$B$15,0)),"")</f>
        <v/>
      </c>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row>
    <row r="234" spans="2:37" ht="13.8" x14ac:dyDescent="0.25">
      <c r="B234" s="141">
        <v>225</v>
      </c>
      <c r="C234" s="203"/>
      <c r="D234" s="203"/>
      <c r="E234" s="153"/>
      <c r="F234" s="498" t="str">
        <f>IF(D234="","",VLOOKUP(D234,'G-6 Hedgerow Data'!$B$2:$AG$15,2,FALSE))</f>
        <v/>
      </c>
      <c r="G234" s="499" t="str">
        <f>IF(D234="","",VLOOKUP(D234,'G-6 Hedgerow Data'!$B$2:$AG$15,3,FALSE))</f>
        <v/>
      </c>
      <c r="H234" s="145"/>
      <c r="I234" s="499" t="str">
        <f>IFERROR(IF(AND(F234="V.Low",OR(H234="Good",H234="Moderate")),"Error ▲",VLOOKUP(H234,'G-1 All Habitats'!$Z$2:$AA$9,2,FALSE)),"")</f>
        <v/>
      </c>
      <c r="J234" s="154"/>
      <c r="K234" s="520" t="str">
        <f>IF(J234="","",IF(VLOOKUP(J234,'G-3 Multipliers'!$L$3:$N$6,2,FALSE)=0,"Spatial Data Missing ⚠",VLOOKUP(J234,'G-3 Multipliers'!$L$3:$N$6,2,FALSE)))</f>
        <v/>
      </c>
      <c r="L234" s="524" t="str">
        <f>IF(J234="","",IF(VLOOKUP(J234,'G-3 Multipliers'!$L$3:$N$6,3,FALSE)=0,"Spatial Data Missing ⚠",VLOOKUP(J234,'G-3 Multipliers'!$L$3:$N$6,3,FALSE)))</f>
        <v/>
      </c>
      <c r="M234" s="506" t="str">
        <f>IF(D234="","",VLOOKUP(D234,'G-6 Hedgerow Data'!$B$1:$AH$15,33,FALSE))</f>
        <v/>
      </c>
      <c r="N234" s="513" t="str">
        <f t="shared" si="23"/>
        <v/>
      </c>
      <c r="O234" s="40"/>
      <c r="P234" s="145"/>
      <c r="Q234" s="157"/>
      <c r="R234" s="507" t="str">
        <f t="shared" si="24"/>
        <v/>
      </c>
      <c r="S234" s="507" t="str">
        <f t="shared" si="25"/>
        <v/>
      </c>
      <c r="T234" s="511" t="str">
        <f t="shared" si="26"/>
        <v/>
      </c>
      <c r="U234" s="515" t="str">
        <f t="shared" si="27"/>
        <v/>
      </c>
      <c r="V234" s="151"/>
      <c r="W234" s="152"/>
      <c r="AB234" s="31" t="str">
        <f>IFERROR(INDEX('G-6 Hedgerow Data'!$BJ$3:$BJ$15,MATCH(D234,'G-6 Hedgerow Data'!$B$3:$B$15,0)),"")</f>
        <v/>
      </c>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row>
    <row r="235" spans="2:37" ht="13.8" x14ac:dyDescent="0.25">
      <c r="B235" s="141">
        <v>226</v>
      </c>
      <c r="C235" s="203"/>
      <c r="D235" s="203"/>
      <c r="E235" s="153"/>
      <c r="F235" s="498" t="str">
        <f>IF(D235="","",VLOOKUP(D235,'G-6 Hedgerow Data'!$B$2:$AG$15,2,FALSE))</f>
        <v/>
      </c>
      <c r="G235" s="499" t="str">
        <f>IF(D235="","",VLOOKUP(D235,'G-6 Hedgerow Data'!$B$2:$AG$15,3,FALSE))</f>
        <v/>
      </c>
      <c r="H235" s="145"/>
      <c r="I235" s="499" t="str">
        <f>IFERROR(IF(AND(F235="V.Low",OR(H235="Good",H235="Moderate")),"Error ▲",VLOOKUP(H235,'G-1 All Habitats'!$Z$2:$AA$9,2,FALSE)),"")</f>
        <v/>
      </c>
      <c r="J235" s="154"/>
      <c r="K235" s="520" t="str">
        <f>IF(J235="","",IF(VLOOKUP(J235,'G-3 Multipliers'!$L$3:$N$6,2,FALSE)=0,"Spatial Data Missing ⚠",VLOOKUP(J235,'G-3 Multipliers'!$L$3:$N$6,2,FALSE)))</f>
        <v/>
      </c>
      <c r="L235" s="524" t="str">
        <f>IF(J235="","",IF(VLOOKUP(J235,'G-3 Multipliers'!$L$3:$N$6,3,FALSE)=0,"Spatial Data Missing ⚠",VLOOKUP(J235,'G-3 Multipliers'!$L$3:$N$6,3,FALSE)))</f>
        <v/>
      </c>
      <c r="M235" s="506" t="str">
        <f>IF(D235="","",VLOOKUP(D235,'G-6 Hedgerow Data'!$B$1:$AH$15,33,FALSE))</f>
        <v/>
      </c>
      <c r="N235" s="513" t="str">
        <f t="shared" si="23"/>
        <v/>
      </c>
      <c r="O235" s="40"/>
      <c r="P235" s="145"/>
      <c r="Q235" s="157"/>
      <c r="R235" s="507" t="str">
        <f t="shared" si="24"/>
        <v/>
      </c>
      <c r="S235" s="507" t="str">
        <f t="shared" si="25"/>
        <v/>
      </c>
      <c r="T235" s="511" t="str">
        <f t="shared" si="26"/>
        <v/>
      </c>
      <c r="U235" s="515" t="str">
        <f t="shared" si="27"/>
        <v/>
      </c>
      <c r="V235" s="151"/>
      <c r="W235" s="152"/>
      <c r="AB235" s="31" t="str">
        <f>IFERROR(INDEX('G-6 Hedgerow Data'!$BJ$3:$BJ$15,MATCH(D235,'G-6 Hedgerow Data'!$B$3:$B$15,0)),"")</f>
        <v/>
      </c>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row>
    <row r="236" spans="2:37" ht="13.8" x14ac:dyDescent="0.25">
      <c r="B236" s="141">
        <v>227</v>
      </c>
      <c r="C236" s="203"/>
      <c r="D236" s="203"/>
      <c r="E236" s="153"/>
      <c r="F236" s="498" t="str">
        <f>IF(D236="","",VLOOKUP(D236,'G-6 Hedgerow Data'!$B$2:$AG$15,2,FALSE))</f>
        <v/>
      </c>
      <c r="G236" s="499" t="str">
        <f>IF(D236="","",VLOOKUP(D236,'G-6 Hedgerow Data'!$B$2:$AG$15,3,FALSE))</f>
        <v/>
      </c>
      <c r="H236" s="145"/>
      <c r="I236" s="499" t="str">
        <f>IFERROR(IF(AND(F236="V.Low",OR(H236="Good",H236="Moderate")),"Error ▲",VLOOKUP(H236,'G-1 All Habitats'!$Z$2:$AA$9,2,FALSE)),"")</f>
        <v/>
      </c>
      <c r="J236" s="154"/>
      <c r="K236" s="520" t="str">
        <f>IF(J236="","",IF(VLOOKUP(J236,'G-3 Multipliers'!$L$3:$N$6,2,FALSE)=0,"Spatial Data Missing ⚠",VLOOKUP(J236,'G-3 Multipliers'!$L$3:$N$6,2,FALSE)))</f>
        <v/>
      </c>
      <c r="L236" s="524" t="str">
        <f>IF(J236="","",IF(VLOOKUP(J236,'G-3 Multipliers'!$L$3:$N$6,3,FALSE)=0,"Spatial Data Missing ⚠",VLOOKUP(J236,'G-3 Multipliers'!$L$3:$N$6,3,FALSE)))</f>
        <v/>
      </c>
      <c r="M236" s="506" t="str">
        <f>IF(D236="","",VLOOKUP(D236,'G-6 Hedgerow Data'!$B$1:$AH$15,33,FALSE))</f>
        <v/>
      </c>
      <c r="N236" s="513" t="str">
        <f t="shared" si="23"/>
        <v/>
      </c>
      <c r="O236" s="40"/>
      <c r="P236" s="145"/>
      <c r="Q236" s="157"/>
      <c r="R236" s="507" t="str">
        <f t="shared" si="24"/>
        <v/>
      </c>
      <c r="S236" s="507" t="str">
        <f t="shared" si="25"/>
        <v/>
      </c>
      <c r="T236" s="511" t="str">
        <f t="shared" si="26"/>
        <v/>
      </c>
      <c r="U236" s="515" t="str">
        <f t="shared" si="27"/>
        <v/>
      </c>
      <c r="V236" s="151"/>
      <c r="W236" s="152"/>
      <c r="AB236" s="31" t="str">
        <f>IFERROR(INDEX('G-6 Hedgerow Data'!$BJ$3:$BJ$15,MATCH(D236,'G-6 Hedgerow Data'!$B$3:$B$15,0)),"")</f>
        <v/>
      </c>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row>
    <row r="237" spans="2:37" ht="13.8" x14ac:dyDescent="0.25">
      <c r="B237" s="141">
        <v>228</v>
      </c>
      <c r="C237" s="203"/>
      <c r="D237" s="203"/>
      <c r="E237" s="153"/>
      <c r="F237" s="498" t="str">
        <f>IF(D237="","",VLOOKUP(D237,'G-6 Hedgerow Data'!$B$2:$AG$15,2,FALSE))</f>
        <v/>
      </c>
      <c r="G237" s="499" t="str">
        <f>IF(D237="","",VLOOKUP(D237,'G-6 Hedgerow Data'!$B$2:$AG$15,3,FALSE))</f>
        <v/>
      </c>
      <c r="H237" s="145"/>
      <c r="I237" s="499" t="str">
        <f>IFERROR(IF(AND(F237="V.Low",OR(H237="Good",H237="Moderate")),"Error ▲",VLOOKUP(H237,'G-1 All Habitats'!$Z$2:$AA$9,2,FALSE)),"")</f>
        <v/>
      </c>
      <c r="J237" s="154"/>
      <c r="K237" s="520" t="str">
        <f>IF(J237="","",IF(VLOOKUP(J237,'G-3 Multipliers'!$L$3:$N$6,2,FALSE)=0,"Spatial Data Missing ⚠",VLOOKUP(J237,'G-3 Multipliers'!$L$3:$N$6,2,FALSE)))</f>
        <v/>
      </c>
      <c r="L237" s="524" t="str">
        <f>IF(J237="","",IF(VLOOKUP(J237,'G-3 Multipliers'!$L$3:$N$6,3,FALSE)=0,"Spatial Data Missing ⚠",VLOOKUP(J237,'G-3 Multipliers'!$L$3:$N$6,3,FALSE)))</f>
        <v/>
      </c>
      <c r="M237" s="506" t="str">
        <f>IF(D237="","",VLOOKUP(D237,'G-6 Hedgerow Data'!$B$1:$AH$15,33,FALSE))</f>
        <v/>
      </c>
      <c r="N237" s="513" t="str">
        <f t="shared" si="23"/>
        <v/>
      </c>
      <c r="O237" s="40"/>
      <c r="P237" s="145"/>
      <c r="Q237" s="157"/>
      <c r="R237" s="507" t="str">
        <f t="shared" si="24"/>
        <v/>
      </c>
      <c r="S237" s="507" t="str">
        <f t="shared" si="25"/>
        <v/>
      </c>
      <c r="T237" s="511" t="str">
        <f t="shared" si="26"/>
        <v/>
      </c>
      <c r="U237" s="515" t="str">
        <f t="shared" si="27"/>
        <v/>
      </c>
      <c r="V237" s="151"/>
      <c r="W237" s="152"/>
      <c r="AB237" s="31" t="str">
        <f>IFERROR(INDEX('G-6 Hedgerow Data'!$BJ$3:$BJ$15,MATCH(D237,'G-6 Hedgerow Data'!$B$3:$B$15,0)),"")</f>
        <v/>
      </c>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row>
    <row r="238" spans="2:37" ht="13.8" x14ac:dyDescent="0.25">
      <c r="B238" s="141">
        <v>229</v>
      </c>
      <c r="C238" s="203"/>
      <c r="D238" s="203"/>
      <c r="E238" s="153"/>
      <c r="F238" s="498" t="str">
        <f>IF(D238="","",VLOOKUP(D238,'G-6 Hedgerow Data'!$B$2:$AG$15,2,FALSE))</f>
        <v/>
      </c>
      <c r="G238" s="499" t="str">
        <f>IF(D238="","",VLOOKUP(D238,'G-6 Hedgerow Data'!$B$2:$AG$15,3,FALSE))</f>
        <v/>
      </c>
      <c r="H238" s="145"/>
      <c r="I238" s="499" t="str">
        <f>IFERROR(IF(AND(F238="V.Low",OR(H238="Good",H238="Moderate")),"Error ▲",VLOOKUP(H238,'G-1 All Habitats'!$Z$2:$AA$9,2,FALSE)),"")</f>
        <v/>
      </c>
      <c r="J238" s="154"/>
      <c r="K238" s="520" t="str">
        <f>IF(J238="","",IF(VLOOKUP(J238,'G-3 Multipliers'!$L$3:$N$6,2,FALSE)=0,"Spatial Data Missing ⚠",VLOOKUP(J238,'G-3 Multipliers'!$L$3:$N$6,2,FALSE)))</f>
        <v/>
      </c>
      <c r="L238" s="524" t="str">
        <f>IF(J238="","",IF(VLOOKUP(J238,'G-3 Multipliers'!$L$3:$N$6,3,FALSE)=0,"Spatial Data Missing ⚠",VLOOKUP(J238,'G-3 Multipliers'!$L$3:$N$6,3,FALSE)))</f>
        <v/>
      </c>
      <c r="M238" s="506" t="str">
        <f>IF(D238="","",VLOOKUP(D238,'G-6 Hedgerow Data'!$B$1:$AH$15,33,FALSE))</f>
        <v/>
      </c>
      <c r="N238" s="513" t="str">
        <f t="shared" si="23"/>
        <v/>
      </c>
      <c r="O238" s="40"/>
      <c r="P238" s="145"/>
      <c r="Q238" s="157"/>
      <c r="R238" s="507" t="str">
        <f t="shared" si="24"/>
        <v/>
      </c>
      <c r="S238" s="507" t="str">
        <f t="shared" si="25"/>
        <v/>
      </c>
      <c r="T238" s="511" t="str">
        <f t="shared" si="26"/>
        <v/>
      </c>
      <c r="U238" s="515" t="str">
        <f t="shared" si="27"/>
        <v/>
      </c>
      <c r="V238" s="151"/>
      <c r="W238" s="152"/>
      <c r="AB238" s="31" t="str">
        <f>IFERROR(INDEX('G-6 Hedgerow Data'!$BJ$3:$BJ$15,MATCH(D238,'G-6 Hedgerow Data'!$B$3:$B$15,0)),"")</f>
        <v/>
      </c>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row>
    <row r="239" spans="2:37" ht="13.8" x14ac:dyDescent="0.25">
      <c r="B239" s="141">
        <v>230</v>
      </c>
      <c r="C239" s="203"/>
      <c r="D239" s="203"/>
      <c r="E239" s="153"/>
      <c r="F239" s="498" t="str">
        <f>IF(D239="","",VLOOKUP(D239,'G-6 Hedgerow Data'!$B$2:$AG$15,2,FALSE))</f>
        <v/>
      </c>
      <c r="G239" s="499" t="str">
        <f>IF(D239="","",VLOOKUP(D239,'G-6 Hedgerow Data'!$B$2:$AG$15,3,FALSE))</f>
        <v/>
      </c>
      <c r="H239" s="145"/>
      <c r="I239" s="499" t="str">
        <f>IFERROR(IF(AND(F239="V.Low",OR(H239="Good",H239="Moderate")),"Error ▲",VLOOKUP(H239,'G-1 All Habitats'!$Z$2:$AA$9,2,FALSE)),"")</f>
        <v/>
      </c>
      <c r="J239" s="154"/>
      <c r="K239" s="520" t="str">
        <f>IF(J239="","",IF(VLOOKUP(J239,'G-3 Multipliers'!$L$3:$N$6,2,FALSE)=0,"Spatial Data Missing ⚠",VLOOKUP(J239,'G-3 Multipliers'!$L$3:$N$6,2,FALSE)))</f>
        <v/>
      </c>
      <c r="L239" s="524" t="str">
        <f>IF(J239="","",IF(VLOOKUP(J239,'G-3 Multipliers'!$L$3:$N$6,3,FALSE)=0,"Spatial Data Missing ⚠",VLOOKUP(J239,'G-3 Multipliers'!$L$3:$N$6,3,FALSE)))</f>
        <v/>
      </c>
      <c r="M239" s="506" t="str">
        <f>IF(D239="","",VLOOKUP(D239,'G-6 Hedgerow Data'!$B$1:$AH$15,33,FALSE))</f>
        <v/>
      </c>
      <c r="N239" s="513" t="str">
        <f t="shared" si="23"/>
        <v/>
      </c>
      <c r="O239" s="40"/>
      <c r="P239" s="145"/>
      <c r="Q239" s="157"/>
      <c r="R239" s="507" t="str">
        <f t="shared" si="24"/>
        <v/>
      </c>
      <c r="S239" s="507" t="str">
        <f t="shared" si="25"/>
        <v/>
      </c>
      <c r="T239" s="511" t="str">
        <f t="shared" si="26"/>
        <v/>
      </c>
      <c r="U239" s="515" t="str">
        <f t="shared" si="27"/>
        <v/>
      </c>
      <c r="V239" s="151"/>
      <c r="W239" s="152"/>
      <c r="AB239" s="31" t="str">
        <f>IFERROR(INDEX('G-6 Hedgerow Data'!$BJ$3:$BJ$15,MATCH(D239,'G-6 Hedgerow Data'!$B$3:$B$15,0)),"")</f>
        <v/>
      </c>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row>
    <row r="240" spans="2:37" ht="13.8" x14ac:dyDescent="0.25">
      <c r="B240" s="141">
        <v>231</v>
      </c>
      <c r="C240" s="203"/>
      <c r="D240" s="203"/>
      <c r="E240" s="153"/>
      <c r="F240" s="498" t="str">
        <f>IF(D240="","",VLOOKUP(D240,'G-6 Hedgerow Data'!$B$2:$AG$15,2,FALSE))</f>
        <v/>
      </c>
      <c r="G240" s="499" t="str">
        <f>IF(D240="","",VLOOKUP(D240,'G-6 Hedgerow Data'!$B$2:$AG$15,3,FALSE))</f>
        <v/>
      </c>
      <c r="H240" s="145"/>
      <c r="I240" s="499" t="str">
        <f>IFERROR(IF(AND(F240="V.Low",OR(H240="Good",H240="Moderate")),"Error ▲",VLOOKUP(H240,'G-1 All Habitats'!$Z$2:$AA$9,2,FALSE)),"")</f>
        <v/>
      </c>
      <c r="J240" s="154"/>
      <c r="K240" s="520" t="str">
        <f>IF(J240="","",IF(VLOOKUP(J240,'G-3 Multipliers'!$L$3:$N$6,2,FALSE)=0,"Spatial Data Missing ⚠",VLOOKUP(J240,'G-3 Multipliers'!$L$3:$N$6,2,FALSE)))</f>
        <v/>
      </c>
      <c r="L240" s="524" t="str">
        <f>IF(J240="","",IF(VLOOKUP(J240,'G-3 Multipliers'!$L$3:$N$6,3,FALSE)=0,"Spatial Data Missing ⚠",VLOOKUP(J240,'G-3 Multipliers'!$L$3:$N$6,3,FALSE)))</f>
        <v/>
      </c>
      <c r="M240" s="506" t="str">
        <f>IF(D240="","",VLOOKUP(D240,'G-6 Hedgerow Data'!$B$1:$AH$15,33,FALSE))</f>
        <v/>
      </c>
      <c r="N240" s="513" t="str">
        <f t="shared" si="23"/>
        <v/>
      </c>
      <c r="O240" s="40"/>
      <c r="P240" s="145"/>
      <c r="Q240" s="157"/>
      <c r="R240" s="507" t="str">
        <f t="shared" si="24"/>
        <v/>
      </c>
      <c r="S240" s="507" t="str">
        <f t="shared" si="25"/>
        <v/>
      </c>
      <c r="T240" s="511" t="str">
        <f t="shared" si="26"/>
        <v/>
      </c>
      <c r="U240" s="515" t="str">
        <f t="shared" si="27"/>
        <v/>
      </c>
      <c r="V240" s="151"/>
      <c r="W240" s="152"/>
      <c r="AB240" s="31" t="str">
        <f>IFERROR(INDEX('G-6 Hedgerow Data'!$BJ$3:$BJ$15,MATCH(D240,'G-6 Hedgerow Data'!$B$3:$B$15,0)),"")</f>
        <v/>
      </c>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row>
    <row r="241" spans="2:37" ht="13.8" x14ac:dyDescent="0.25">
      <c r="B241" s="141">
        <v>232</v>
      </c>
      <c r="C241" s="203"/>
      <c r="D241" s="203"/>
      <c r="E241" s="153"/>
      <c r="F241" s="498" t="str">
        <f>IF(D241="","",VLOOKUP(D241,'G-6 Hedgerow Data'!$B$2:$AG$15,2,FALSE))</f>
        <v/>
      </c>
      <c r="G241" s="499" t="str">
        <f>IF(D241="","",VLOOKUP(D241,'G-6 Hedgerow Data'!$B$2:$AG$15,3,FALSE))</f>
        <v/>
      </c>
      <c r="H241" s="145"/>
      <c r="I241" s="499" t="str">
        <f>IFERROR(IF(AND(F241="V.Low",OR(H241="Good",H241="Moderate")),"Error ▲",VLOOKUP(H241,'G-1 All Habitats'!$Z$2:$AA$9,2,FALSE)),"")</f>
        <v/>
      </c>
      <c r="J241" s="154"/>
      <c r="K241" s="520" t="str">
        <f>IF(J241="","",IF(VLOOKUP(J241,'G-3 Multipliers'!$L$3:$N$6,2,FALSE)=0,"Spatial Data Missing ⚠",VLOOKUP(J241,'G-3 Multipliers'!$L$3:$N$6,2,FALSE)))</f>
        <v/>
      </c>
      <c r="L241" s="524" t="str">
        <f>IF(J241="","",IF(VLOOKUP(J241,'G-3 Multipliers'!$L$3:$N$6,3,FALSE)=0,"Spatial Data Missing ⚠",VLOOKUP(J241,'G-3 Multipliers'!$L$3:$N$6,3,FALSE)))</f>
        <v/>
      </c>
      <c r="M241" s="506" t="str">
        <f>IF(D241="","",VLOOKUP(D241,'G-6 Hedgerow Data'!$B$1:$AH$15,33,FALSE))</f>
        <v/>
      </c>
      <c r="N241" s="513" t="str">
        <f t="shared" si="23"/>
        <v/>
      </c>
      <c r="O241" s="40"/>
      <c r="P241" s="145"/>
      <c r="Q241" s="157"/>
      <c r="R241" s="507" t="str">
        <f t="shared" si="24"/>
        <v/>
      </c>
      <c r="S241" s="507" t="str">
        <f t="shared" si="25"/>
        <v/>
      </c>
      <c r="T241" s="511" t="str">
        <f t="shared" si="26"/>
        <v/>
      </c>
      <c r="U241" s="515" t="str">
        <f t="shared" si="27"/>
        <v/>
      </c>
      <c r="V241" s="151"/>
      <c r="W241" s="152"/>
      <c r="AB241" s="31" t="str">
        <f>IFERROR(INDEX('G-6 Hedgerow Data'!$BJ$3:$BJ$15,MATCH(D241,'G-6 Hedgerow Data'!$B$3:$B$15,0)),"")</f>
        <v/>
      </c>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row>
    <row r="242" spans="2:37" ht="13.8" x14ac:dyDescent="0.25">
      <c r="B242" s="141">
        <v>233</v>
      </c>
      <c r="C242" s="203"/>
      <c r="D242" s="203"/>
      <c r="E242" s="153"/>
      <c r="F242" s="498" t="str">
        <f>IF(D242="","",VLOOKUP(D242,'G-6 Hedgerow Data'!$B$2:$AG$15,2,FALSE))</f>
        <v/>
      </c>
      <c r="G242" s="499" t="str">
        <f>IF(D242="","",VLOOKUP(D242,'G-6 Hedgerow Data'!$B$2:$AG$15,3,FALSE))</f>
        <v/>
      </c>
      <c r="H242" s="145"/>
      <c r="I242" s="499" t="str">
        <f>IFERROR(IF(AND(F242="V.Low",OR(H242="Good",H242="Moderate")),"Error ▲",VLOOKUP(H242,'G-1 All Habitats'!$Z$2:$AA$9,2,FALSE)),"")</f>
        <v/>
      </c>
      <c r="J242" s="154"/>
      <c r="K242" s="520" t="str">
        <f>IF(J242="","",IF(VLOOKUP(J242,'G-3 Multipliers'!$L$3:$N$6,2,FALSE)=0,"Spatial Data Missing ⚠",VLOOKUP(J242,'G-3 Multipliers'!$L$3:$N$6,2,FALSE)))</f>
        <v/>
      </c>
      <c r="L242" s="524" t="str">
        <f>IF(J242="","",IF(VLOOKUP(J242,'G-3 Multipliers'!$L$3:$N$6,3,FALSE)=0,"Spatial Data Missing ⚠",VLOOKUP(J242,'G-3 Multipliers'!$L$3:$N$6,3,FALSE)))</f>
        <v/>
      </c>
      <c r="M242" s="506" t="str">
        <f>IF(D242="","",VLOOKUP(D242,'G-6 Hedgerow Data'!$B$1:$AH$15,33,FALSE))</f>
        <v/>
      </c>
      <c r="N242" s="513" t="str">
        <f t="shared" si="23"/>
        <v/>
      </c>
      <c r="O242" s="40"/>
      <c r="P242" s="145"/>
      <c r="Q242" s="157"/>
      <c r="R242" s="507" t="str">
        <f t="shared" si="24"/>
        <v/>
      </c>
      <c r="S242" s="507" t="str">
        <f t="shared" si="25"/>
        <v/>
      </c>
      <c r="T242" s="511" t="str">
        <f t="shared" si="26"/>
        <v/>
      </c>
      <c r="U242" s="515" t="str">
        <f t="shared" si="27"/>
        <v/>
      </c>
      <c r="V242" s="151"/>
      <c r="W242" s="152"/>
      <c r="AB242" s="31" t="str">
        <f>IFERROR(INDEX('G-6 Hedgerow Data'!$BJ$3:$BJ$15,MATCH(D242,'G-6 Hedgerow Data'!$B$3:$B$15,0)),"")</f>
        <v/>
      </c>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row>
    <row r="243" spans="2:37" ht="13.8" x14ac:dyDescent="0.25">
      <c r="B243" s="141">
        <v>234</v>
      </c>
      <c r="C243" s="203"/>
      <c r="D243" s="203"/>
      <c r="E243" s="153"/>
      <c r="F243" s="498" t="str">
        <f>IF(D243="","",VLOOKUP(D243,'G-6 Hedgerow Data'!$B$2:$AG$15,2,FALSE))</f>
        <v/>
      </c>
      <c r="G243" s="499" t="str">
        <f>IF(D243="","",VLOOKUP(D243,'G-6 Hedgerow Data'!$B$2:$AG$15,3,FALSE))</f>
        <v/>
      </c>
      <c r="H243" s="145"/>
      <c r="I243" s="499" t="str">
        <f>IFERROR(IF(AND(F243="V.Low",OR(H243="Good",H243="Moderate")),"Error ▲",VLOOKUP(H243,'G-1 All Habitats'!$Z$2:$AA$9,2,FALSE)),"")</f>
        <v/>
      </c>
      <c r="J243" s="154"/>
      <c r="K243" s="520" t="str">
        <f>IF(J243="","",IF(VLOOKUP(J243,'G-3 Multipliers'!$L$3:$N$6,2,FALSE)=0,"Spatial Data Missing ⚠",VLOOKUP(J243,'G-3 Multipliers'!$L$3:$N$6,2,FALSE)))</f>
        <v/>
      </c>
      <c r="L243" s="524" t="str">
        <f>IF(J243="","",IF(VLOOKUP(J243,'G-3 Multipliers'!$L$3:$N$6,3,FALSE)=0,"Spatial Data Missing ⚠",VLOOKUP(J243,'G-3 Multipliers'!$L$3:$N$6,3,FALSE)))</f>
        <v/>
      </c>
      <c r="M243" s="506" t="str">
        <f>IF(D243="","",VLOOKUP(D243,'G-6 Hedgerow Data'!$B$1:$AH$15,33,FALSE))</f>
        <v/>
      </c>
      <c r="N243" s="513" t="str">
        <f t="shared" si="23"/>
        <v/>
      </c>
      <c r="O243" s="40"/>
      <c r="P243" s="145"/>
      <c r="Q243" s="157"/>
      <c r="R243" s="507" t="str">
        <f t="shared" si="24"/>
        <v/>
      </c>
      <c r="S243" s="507" t="str">
        <f t="shared" si="25"/>
        <v/>
      </c>
      <c r="T243" s="511" t="str">
        <f t="shared" si="26"/>
        <v/>
      </c>
      <c r="U243" s="515" t="str">
        <f t="shared" si="27"/>
        <v/>
      </c>
      <c r="V243" s="151"/>
      <c r="W243" s="152"/>
      <c r="AB243" s="31" t="str">
        <f>IFERROR(INDEX('G-6 Hedgerow Data'!$BJ$3:$BJ$15,MATCH(D243,'G-6 Hedgerow Data'!$B$3:$B$15,0)),"")</f>
        <v/>
      </c>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row>
    <row r="244" spans="2:37" ht="13.8" x14ac:dyDescent="0.25">
      <c r="B244" s="141">
        <v>235</v>
      </c>
      <c r="C244" s="203"/>
      <c r="D244" s="203"/>
      <c r="E244" s="153"/>
      <c r="F244" s="498" t="str">
        <f>IF(D244="","",VLOOKUP(D244,'G-6 Hedgerow Data'!$B$2:$AG$15,2,FALSE))</f>
        <v/>
      </c>
      <c r="G244" s="499" t="str">
        <f>IF(D244="","",VLOOKUP(D244,'G-6 Hedgerow Data'!$B$2:$AG$15,3,FALSE))</f>
        <v/>
      </c>
      <c r="H244" s="145"/>
      <c r="I244" s="499" t="str">
        <f>IFERROR(IF(AND(F244="V.Low",OR(H244="Good",H244="Moderate")),"Error ▲",VLOOKUP(H244,'G-1 All Habitats'!$Z$2:$AA$9,2,FALSE)),"")</f>
        <v/>
      </c>
      <c r="J244" s="154"/>
      <c r="K244" s="520" t="str">
        <f>IF(J244="","",IF(VLOOKUP(J244,'G-3 Multipliers'!$L$3:$N$6,2,FALSE)=0,"Spatial Data Missing ⚠",VLOOKUP(J244,'G-3 Multipliers'!$L$3:$N$6,2,FALSE)))</f>
        <v/>
      </c>
      <c r="L244" s="524" t="str">
        <f>IF(J244="","",IF(VLOOKUP(J244,'G-3 Multipliers'!$L$3:$N$6,3,FALSE)=0,"Spatial Data Missing ⚠",VLOOKUP(J244,'G-3 Multipliers'!$L$3:$N$6,3,FALSE)))</f>
        <v/>
      </c>
      <c r="M244" s="506" t="str">
        <f>IF(D244="","",VLOOKUP(D244,'G-6 Hedgerow Data'!$B$1:$AH$15,33,FALSE))</f>
        <v/>
      </c>
      <c r="N244" s="513" t="str">
        <f t="shared" si="23"/>
        <v/>
      </c>
      <c r="O244" s="40"/>
      <c r="P244" s="145"/>
      <c r="Q244" s="157"/>
      <c r="R244" s="507" t="str">
        <f t="shared" si="24"/>
        <v/>
      </c>
      <c r="S244" s="507" t="str">
        <f t="shared" si="25"/>
        <v/>
      </c>
      <c r="T244" s="511" t="str">
        <f t="shared" si="26"/>
        <v/>
      </c>
      <c r="U244" s="515" t="str">
        <f t="shared" si="27"/>
        <v/>
      </c>
      <c r="V244" s="151"/>
      <c r="W244" s="152"/>
      <c r="AB244" s="31" t="str">
        <f>IFERROR(INDEX('G-6 Hedgerow Data'!$BJ$3:$BJ$15,MATCH(D244,'G-6 Hedgerow Data'!$B$3:$B$15,0)),"")</f>
        <v/>
      </c>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row>
    <row r="245" spans="2:37" ht="13.8" x14ac:dyDescent="0.25">
      <c r="B245" s="141">
        <v>236</v>
      </c>
      <c r="C245" s="203"/>
      <c r="D245" s="203"/>
      <c r="E245" s="153"/>
      <c r="F245" s="498" t="str">
        <f>IF(D245="","",VLOOKUP(D245,'G-6 Hedgerow Data'!$B$2:$AG$15,2,FALSE))</f>
        <v/>
      </c>
      <c r="G245" s="499" t="str">
        <f>IF(D245="","",VLOOKUP(D245,'G-6 Hedgerow Data'!$B$2:$AG$15,3,FALSE))</f>
        <v/>
      </c>
      <c r="H245" s="145"/>
      <c r="I245" s="499" t="str">
        <f>IFERROR(IF(AND(F245="V.Low",OR(H245="Good",H245="Moderate")),"Error ▲",VLOOKUP(H245,'G-1 All Habitats'!$Z$2:$AA$9,2,FALSE)),"")</f>
        <v/>
      </c>
      <c r="J245" s="154"/>
      <c r="K245" s="520" t="str">
        <f>IF(J245="","",IF(VLOOKUP(J245,'G-3 Multipliers'!$L$3:$N$6,2,FALSE)=0,"Spatial Data Missing ⚠",VLOOKUP(J245,'G-3 Multipliers'!$L$3:$N$6,2,FALSE)))</f>
        <v/>
      </c>
      <c r="L245" s="524" t="str">
        <f>IF(J245="","",IF(VLOOKUP(J245,'G-3 Multipliers'!$L$3:$N$6,3,FALSE)=0,"Spatial Data Missing ⚠",VLOOKUP(J245,'G-3 Multipliers'!$L$3:$N$6,3,FALSE)))</f>
        <v/>
      </c>
      <c r="M245" s="506" t="str">
        <f>IF(D245="","",VLOOKUP(D245,'G-6 Hedgerow Data'!$B$1:$AH$15,33,FALSE))</f>
        <v/>
      </c>
      <c r="N245" s="513" t="str">
        <f t="shared" si="23"/>
        <v/>
      </c>
      <c r="O245" s="40"/>
      <c r="P245" s="145"/>
      <c r="Q245" s="157"/>
      <c r="R245" s="507" t="str">
        <f t="shared" si="24"/>
        <v/>
      </c>
      <c r="S245" s="507" t="str">
        <f t="shared" si="25"/>
        <v/>
      </c>
      <c r="T245" s="511" t="str">
        <f t="shared" si="26"/>
        <v/>
      </c>
      <c r="U245" s="515" t="str">
        <f t="shared" si="27"/>
        <v/>
      </c>
      <c r="V245" s="151"/>
      <c r="W245" s="152"/>
      <c r="AB245" s="31" t="str">
        <f>IFERROR(INDEX('G-6 Hedgerow Data'!$BJ$3:$BJ$15,MATCH(D245,'G-6 Hedgerow Data'!$B$3:$B$15,0)),"")</f>
        <v/>
      </c>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row>
    <row r="246" spans="2:37" ht="13.8" x14ac:dyDescent="0.25">
      <c r="B246" s="141">
        <v>237</v>
      </c>
      <c r="C246" s="203"/>
      <c r="D246" s="203"/>
      <c r="E246" s="153"/>
      <c r="F246" s="498" t="str">
        <f>IF(D246="","",VLOOKUP(D246,'G-6 Hedgerow Data'!$B$2:$AG$15,2,FALSE))</f>
        <v/>
      </c>
      <c r="G246" s="499" t="str">
        <f>IF(D246="","",VLOOKUP(D246,'G-6 Hedgerow Data'!$B$2:$AG$15,3,FALSE))</f>
        <v/>
      </c>
      <c r="H246" s="145"/>
      <c r="I246" s="499" t="str">
        <f>IFERROR(IF(AND(F246="V.Low",OR(H246="Good",H246="Moderate")),"Error ▲",VLOOKUP(H246,'G-1 All Habitats'!$Z$2:$AA$9,2,FALSE)),"")</f>
        <v/>
      </c>
      <c r="J246" s="154"/>
      <c r="K246" s="520" t="str">
        <f>IF(J246="","",IF(VLOOKUP(J246,'G-3 Multipliers'!$L$3:$N$6,2,FALSE)=0,"Spatial Data Missing ⚠",VLOOKUP(J246,'G-3 Multipliers'!$L$3:$N$6,2,FALSE)))</f>
        <v/>
      </c>
      <c r="L246" s="524" t="str">
        <f>IF(J246="","",IF(VLOOKUP(J246,'G-3 Multipliers'!$L$3:$N$6,3,FALSE)=0,"Spatial Data Missing ⚠",VLOOKUP(J246,'G-3 Multipliers'!$L$3:$N$6,3,FALSE)))</f>
        <v/>
      </c>
      <c r="M246" s="506" t="str">
        <f>IF(D246="","",VLOOKUP(D246,'G-6 Hedgerow Data'!$B$1:$AH$15,33,FALSE))</f>
        <v/>
      </c>
      <c r="N246" s="513" t="str">
        <f t="shared" si="23"/>
        <v/>
      </c>
      <c r="O246" s="40"/>
      <c r="P246" s="145"/>
      <c r="Q246" s="157"/>
      <c r="R246" s="507" t="str">
        <f t="shared" si="24"/>
        <v/>
      </c>
      <c r="S246" s="507" t="str">
        <f t="shared" si="25"/>
        <v/>
      </c>
      <c r="T246" s="511" t="str">
        <f t="shared" si="26"/>
        <v/>
      </c>
      <c r="U246" s="515" t="str">
        <f t="shared" si="27"/>
        <v/>
      </c>
      <c r="V246" s="151"/>
      <c r="W246" s="152"/>
      <c r="AB246" s="31" t="str">
        <f>IFERROR(INDEX('G-6 Hedgerow Data'!$BJ$3:$BJ$15,MATCH(D246,'G-6 Hedgerow Data'!$B$3:$B$15,0)),"")</f>
        <v/>
      </c>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row>
    <row r="247" spans="2:37" ht="13.8" x14ac:dyDescent="0.25">
      <c r="B247" s="141">
        <v>238</v>
      </c>
      <c r="C247" s="203"/>
      <c r="D247" s="203"/>
      <c r="E247" s="153"/>
      <c r="F247" s="498" t="str">
        <f>IF(D247="","",VLOOKUP(D247,'G-6 Hedgerow Data'!$B$2:$AG$15,2,FALSE))</f>
        <v/>
      </c>
      <c r="G247" s="499" t="str">
        <f>IF(D247="","",VLOOKUP(D247,'G-6 Hedgerow Data'!$B$2:$AG$15,3,FALSE))</f>
        <v/>
      </c>
      <c r="H247" s="145"/>
      <c r="I247" s="499" t="str">
        <f>IFERROR(IF(AND(F247="V.Low",OR(H247="Good",H247="Moderate")),"Error ▲",VLOOKUP(H247,'G-1 All Habitats'!$Z$2:$AA$9,2,FALSE)),"")</f>
        <v/>
      </c>
      <c r="J247" s="154"/>
      <c r="K247" s="520" t="str">
        <f>IF(J247="","",IF(VLOOKUP(J247,'G-3 Multipliers'!$L$3:$N$6,2,FALSE)=0,"Spatial Data Missing ⚠",VLOOKUP(J247,'G-3 Multipliers'!$L$3:$N$6,2,FALSE)))</f>
        <v/>
      </c>
      <c r="L247" s="524" t="str">
        <f>IF(J247="","",IF(VLOOKUP(J247,'G-3 Multipliers'!$L$3:$N$6,3,FALSE)=0,"Spatial Data Missing ⚠",VLOOKUP(J247,'G-3 Multipliers'!$L$3:$N$6,3,FALSE)))</f>
        <v/>
      </c>
      <c r="M247" s="506" t="str">
        <f>IF(D247="","",VLOOKUP(D247,'G-6 Hedgerow Data'!$B$1:$AH$15,33,FALSE))</f>
        <v/>
      </c>
      <c r="N247" s="513" t="str">
        <f t="shared" si="23"/>
        <v/>
      </c>
      <c r="O247" s="40"/>
      <c r="P247" s="145"/>
      <c r="Q247" s="157"/>
      <c r="R247" s="507" t="str">
        <f t="shared" si="24"/>
        <v/>
      </c>
      <c r="S247" s="507" t="str">
        <f t="shared" si="25"/>
        <v/>
      </c>
      <c r="T247" s="511" t="str">
        <f t="shared" si="26"/>
        <v/>
      </c>
      <c r="U247" s="515" t="str">
        <f t="shared" si="27"/>
        <v/>
      </c>
      <c r="V247" s="151"/>
      <c r="W247" s="152"/>
      <c r="AB247" s="31" t="str">
        <f>IFERROR(INDEX('G-6 Hedgerow Data'!$BJ$3:$BJ$15,MATCH(D247,'G-6 Hedgerow Data'!$B$3:$B$15,0)),"")</f>
        <v/>
      </c>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row>
    <row r="248" spans="2:37" ht="13.8" x14ac:dyDescent="0.25">
      <c r="B248" s="141">
        <v>239</v>
      </c>
      <c r="C248" s="203"/>
      <c r="D248" s="203"/>
      <c r="E248" s="153"/>
      <c r="F248" s="498" t="str">
        <f>IF(D248="","",VLOOKUP(D248,'G-6 Hedgerow Data'!$B$2:$AG$15,2,FALSE))</f>
        <v/>
      </c>
      <c r="G248" s="499" t="str">
        <f>IF(D248="","",VLOOKUP(D248,'G-6 Hedgerow Data'!$B$2:$AG$15,3,FALSE))</f>
        <v/>
      </c>
      <c r="H248" s="145"/>
      <c r="I248" s="499" t="str">
        <f>IFERROR(IF(AND(F248="V.Low",OR(H248="Good",H248="Moderate")),"Error ▲",VLOOKUP(H248,'G-1 All Habitats'!$Z$2:$AA$9,2,FALSE)),"")</f>
        <v/>
      </c>
      <c r="J248" s="154"/>
      <c r="K248" s="520" t="str">
        <f>IF(J248="","",IF(VLOOKUP(J248,'G-3 Multipliers'!$L$3:$N$6,2,FALSE)=0,"Spatial Data Missing ⚠",VLOOKUP(J248,'G-3 Multipliers'!$L$3:$N$6,2,FALSE)))</f>
        <v/>
      </c>
      <c r="L248" s="524" t="str">
        <f>IF(J248="","",IF(VLOOKUP(J248,'G-3 Multipliers'!$L$3:$N$6,3,FALSE)=0,"Spatial Data Missing ⚠",VLOOKUP(J248,'G-3 Multipliers'!$L$3:$N$6,3,FALSE)))</f>
        <v/>
      </c>
      <c r="M248" s="506" t="str">
        <f>IF(D248="","",VLOOKUP(D248,'G-6 Hedgerow Data'!$B$1:$AH$15,33,FALSE))</f>
        <v/>
      </c>
      <c r="N248" s="513" t="str">
        <f t="shared" si="23"/>
        <v/>
      </c>
      <c r="O248" s="40"/>
      <c r="P248" s="145"/>
      <c r="Q248" s="157"/>
      <c r="R248" s="507" t="str">
        <f t="shared" si="24"/>
        <v/>
      </c>
      <c r="S248" s="507" t="str">
        <f t="shared" si="25"/>
        <v/>
      </c>
      <c r="T248" s="511" t="str">
        <f t="shared" si="26"/>
        <v/>
      </c>
      <c r="U248" s="515" t="str">
        <f t="shared" si="27"/>
        <v/>
      </c>
      <c r="V248" s="151"/>
      <c r="W248" s="152"/>
      <c r="AB248" s="31" t="str">
        <f>IFERROR(INDEX('G-6 Hedgerow Data'!$BJ$3:$BJ$15,MATCH(D248,'G-6 Hedgerow Data'!$B$3:$B$15,0)),"")</f>
        <v/>
      </c>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row>
    <row r="249" spans="2:37" ht="13.8" x14ac:dyDescent="0.25">
      <c r="B249" s="141">
        <v>240</v>
      </c>
      <c r="C249" s="203"/>
      <c r="D249" s="203"/>
      <c r="E249" s="153"/>
      <c r="F249" s="498" t="str">
        <f>IF(D249="","",VLOOKUP(D249,'G-6 Hedgerow Data'!$B$2:$AG$15,2,FALSE))</f>
        <v/>
      </c>
      <c r="G249" s="499" t="str">
        <f>IF(D249="","",VLOOKUP(D249,'G-6 Hedgerow Data'!$B$2:$AG$15,3,FALSE))</f>
        <v/>
      </c>
      <c r="H249" s="145"/>
      <c r="I249" s="499" t="str">
        <f>IFERROR(IF(AND(F249="V.Low",OR(H249="Good",H249="Moderate")),"Error ▲",VLOOKUP(H249,'G-1 All Habitats'!$Z$2:$AA$9,2,FALSE)),"")</f>
        <v/>
      </c>
      <c r="J249" s="154"/>
      <c r="K249" s="520" t="str">
        <f>IF(J249="","",IF(VLOOKUP(J249,'G-3 Multipliers'!$L$3:$N$6,2,FALSE)=0,"Spatial Data Missing ⚠",VLOOKUP(J249,'G-3 Multipliers'!$L$3:$N$6,2,FALSE)))</f>
        <v/>
      </c>
      <c r="L249" s="524" t="str">
        <f>IF(J249="","",IF(VLOOKUP(J249,'G-3 Multipliers'!$L$3:$N$6,3,FALSE)=0,"Spatial Data Missing ⚠",VLOOKUP(J249,'G-3 Multipliers'!$L$3:$N$6,3,FALSE)))</f>
        <v/>
      </c>
      <c r="M249" s="506" t="str">
        <f>IF(D249="","",VLOOKUP(D249,'G-6 Hedgerow Data'!$B$1:$AH$15,33,FALSE))</f>
        <v/>
      </c>
      <c r="N249" s="513" t="str">
        <f t="shared" si="23"/>
        <v/>
      </c>
      <c r="O249" s="40"/>
      <c r="P249" s="145"/>
      <c r="Q249" s="157"/>
      <c r="R249" s="507" t="str">
        <f t="shared" si="24"/>
        <v/>
      </c>
      <c r="S249" s="507" t="str">
        <f t="shared" si="25"/>
        <v/>
      </c>
      <c r="T249" s="511" t="str">
        <f t="shared" si="26"/>
        <v/>
      </c>
      <c r="U249" s="515" t="str">
        <f t="shared" si="27"/>
        <v/>
      </c>
      <c r="V249" s="151"/>
      <c r="W249" s="152"/>
      <c r="AB249" s="31" t="str">
        <f>IFERROR(INDEX('G-6 Hedgerow Data'!$BJ$3:$BJ$15,MATCH(D249,'G-6 Hedgerow Data'!$B$3:$B$15,0)),"")</f>
        <v/>
      </c>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row>
    <row r="250" spans="2:37" ht="13.8" x14ac:dyDescent="0.25">
      <c r="B250" s="141">
        <v>241</v>
      </c>
      <c r="C250" s="203"/>
      <c r="D250" s="203"/>
      <c r="E250" s="153"/>
      <c r="F250" s="498" t="str">
        <f>IF(D250="","",VLOOKUP(D250,'G-6 Hedgerow Data'!$B$2:$AG$15,2,FALSE))</f>
        <v/>
      </c>
      <c r="G250" s="499" t="str">
        <f>IF(D250="","",VLOOKUP(D250,'G-6 Hedgerow Data'!$B$2:$AG$15,3,FALSE))</f>
        <v/>
      </c>
      <c r="H250" s="145"/>
      <c r="I250" s="499" t="str">
        <f>IFERROR(IF(AND(F250="V.Low",OR(H250="Good",H250="Moderate")),"Error ▲",VLOOKUP(H250,'G-1 All Habitats'!$Z$2:$AA$9,2,FALSE)),"")</f>
        <v/>
      </c>
      <c r="J250" s="154"/>
      <c r="K250" s="520" t="str">
        <f>IF(J250="","",IF(VLOOKUP(J250,'G-3 Multipliers'!$L$3:$N$6,2,FALSE)=0,"Spatial Data Missing ⚠",VLOOKUP(J250,'G-3 Multipliers'!$L$3:$N$6,2,FALSE)))</f>
        <v/>
      </c>
      <c r="L250" s="524" t="str">
        <f>IF(J250="","",IF(VLOOKUP(J250,'G-3 Multipliers'!$L$3:$N$6,3,FALSE)=0,"Spatial Data Missing ⚠",VLOOKUP(J250,'G-3 Multipliers'!$L$3:$N$6,3,FALSE)))</f>
        <v/>
      </c>
      <c r="M250" s="506" t="str">
        <f>IF(D250="","",VLOOKUP(D250,'G-6 Hedgerow Data'!$B$1:$AH$15,33,FALSE))</f>
        <v/>
      </c>
      <c r="N250" s="513" t="str">
        <f t="shared" si="23"/>
        <v/>
      </c>
      <c r="O250" s="40"/>
      <c r="P250" s="145"/>
      <c r="Q250" s="157"/>
      <c r="R250" s="507" t="str">
        <f t="shared" si="24"/>
        <v/>
      </c>
      <c r="S250" s="507" t="str">
        <f t="shared" si="25"/>
        <v/>
      </c>
      <c r="T250" s="511" t="str">
        <f t="shared" si="26"/>
        <v/>
      </c>
      <c r="U250" s="515" t="str">
        <f t="shared" si="27"/>
        <v/>
      </c>
      <c r="V250" s="151"/>
      <c r="W250" s="152"/>
      <c r="AB250" s="31" t="str">
        <f>IFERROR(INDEX('G-6 Hedgerow Data'!$BJ$3:$BJ$15,MATCH(D250,'G-6 Hedgerow Data'!$B$3:$B$15,0)),"")</f>
        <v/>
      </c>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row>
    <row r="251" spans="2:37" ht="13.8" x14ac:dyDescent="0.25">
      <c r="B251" s="141">
        <v>242</v>
      </c>
      <c r="C251" s="203"/>
      <c r="D251" s="203"/>
      <c r="E251" s="153"/>
      <c r="F251" s="498" t="str">
        <f>IF(D251="","",VLOOKUP(D251,'G-6 Hedgerow Data'!$B$2:$AG$15,2,FALSE))</f>
        <v/>
      </c>
      <c r="G251" s="499" t="str">
        <f>IF(D251="","",VLOOKUP(D251,'G-6 Hedgerow Data'!$B$2:$AG$15,3,FALSE))</f>
        <v/>
      </c>
      <c r="H251" s="145"/>
      <c r="I251" s="499" t="str">
        <f>IFERROR(IF(AND(F251="V.Low",OR(H251="Good",H251="Moderate")),"Error ▲",VLOOKUP(H251,'G-1 All Habitats'!$Z$2:$AA$9,2,FALSE)),"")</f>
        <v/>
      </c>
      <c r="J251" s="154"/>
      <c r="K251" s="520" t="str">
        <f>IF(J251="","",IF(VLOOKUP(J251,'G-3 Multipliers'!$L$3:$N$6,2,FALSE)=0,"Spatial Data Missing ⚠",VLOOKUP(J251,'G-3 Multipliers'!$L$3:$N$6,2,FALSE)))</f>
        <v/>
      </c>
      <c r="L251" s="524" t="str">
        <f>IF(J251="","",IF(VLOOKUP(J251,'G-3 Multipliers'!$L$3:$N$6,3,FALSE)=0,"Spatial Data Missing ⚠",VLOOKUP(J251,'G-3 Multipliers'!$L$3:$N$6,3,FALSE)))</f>
        <v/>
      </c>
      <c r="M251" s="506" t="str">
        <f>IF(D251="","",VLOOKUP(D251,'G-6 Hedgerow Data'!$B$1:$AH$15,33,FALSE))</f>
        <v/>
      </c>
      <c r="N251" s="513" t="str">
        <f t="shared" si="23"/>
        <v/>
      </c>
      <c r="O251" s="40"/>
      <c r="P251" s="145"/>
      <c r="Q251" s="157"/>
      <c r="R251" s="507" t="str">
        <f t="shared" si="24"/>
        <v/>
      </c>
      <c r="S251" s="507" t="str">
        <f t="shared" si="25"/>
        <v/>
      </c>
      <c r="T251" s="511" t="str">
        <f t="shared" si="26"/>
        <v/>
      </c>
      <c r="U251" s="515" t="str">
        <f t="shared" si="27"/>
        <v/>
      </c>
      <c r="V251" s="151"/>
      <c r="W251" s="152"/>
      <c r="AB251" s="31" t="str">
        <f>IFERROR(INDEX('G-6 Hedgerow Data'!$BJ$3:$BJ$15,MATCH(D251,'G-6 Hedgerow Data'!$B$3:$B$15,0)),"")</f>
        <v/>
      </c>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row>
    <row r="252" spans="2:37" ht="13.8" x14ac:dyDescent="0.25">
      <c r="B252" s="141">
        <v>243</v>
      </c>
      <c r="C252" s="203"/>
      <c r="D252" s="203"/>
      <c r="E252" s="153"/>
      <c r="F252" s="498" t="str">
        <f>IF(D252="","",VLOOKUP(D252,'G-6 Hedgerow Data'!$B$2:$AG$15,2,FALSE))</f>
        <v/>
      </c>
      <c r="G252" s="499" t="str">
        <f>IF(D252="","",VLOOKUP(D252,'G-6 Hedgerow Data'!$B$2:$AG$15,3,FALSE))</f>
        <v/>
      </c>
      <c r="H252" s="145"/>
      <c r="I252" s="499" t="str">
        <f>IFERROR(IF(AND(F252="V.Low",OR(H252="Good",H252="Moderate")),"Error ▲",VLOOKUP(H252,'G-1 All Habitats'!$Z$2:$AA$9,2,FALSE)),"")</f>
        <v/>
      </c>
      <c r="J252" s="154"/>
      <c r="K252" s="520" t="str">
        <f>IF(J252="","",IF(VLOOKUP(J252,'G-3 Multipliers'!$L$3:$N$6,2,FALSE)=0,"Spatial Data Missing ⚠",VLOOKUP(J252,'G-3 Multipliers'!$L$3:$N$6,2,FALSE)))</f>
        <v/>
      </c>
      <c r="L252" s="524" t="str">
        <f>IF(J252="","",IF(VLOOKUP(J252,'G-3 Multipliers'!$L$3:$N$6,3,FALSE)=0,"Spatial Data Missing ⚠",VLOOKUP(J252,'G-3 Multipliers'!$L$3:$N$6,3,FALSE)))</f>
        <v/>
      </c>
      <c r="M252" s="506" t="str">
        <f>IF(D252="","",VLOOKUP(D252,'G-6 Hedgerow Data'!$B$1:$AH$15,33,FALSE))</f>
        <v/>
      </c>
      <c r="N252" s="513" t="str">
        <f t="shared" si="23"/>
        <v/>
      </c>
      <c r="O252" s="40"/>
      <c r="P252" s="145"/>
      <c r="Q252" s="157"/>
      <c r="R252" s="507" t="str">
        <f t="shared" si="24"/>
        <v/>
      </c>
      <c r="S252" s="507" t="str">
        <f t="shared" si="25"/>
        <v/>
      </c>
      <c r="T252" s="511" t="str">
        <f t="shared" si="26"/>
        <v/>
      </c>
      <c r="U252" s="515" t="str">
        <f t="shared" si="27"/>
        <v/>
      </c>
      <c r="V252" s="151"/>
      <c r="W252" s="152"/>
      <c r="AB252" s="31" t="str">
        <f>IFERROR(INDEX('G-6 Hedgerow Data'!$BJ$3:$BJ$15,MATCH(D252,'G-6 Hedgerow Data'!$B$3:$B$15,0)),"")</f>
        <v/>
      </c>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row>
    <row r="253" spans="2:37" ht="13.8" x14ac:dyDescent="0.25">
      <c r="B253" s="141">
        <v>244</v>
      </c>
      <c r="C253" s="203"/>
      <c r="D253" s="203"/>
      <c r="E253" s="153"/>
      <c r="F253" s="498" t="str">
        <f>IF(D253="","",VLOOKUP(D253,'G-6 Hedgerow Data'!$B$2:$AG$15,2,FALSE))</f>
        <v/>
      </c>
      <c r="G253" s="499" t="str">
        <f>IF(D253="","",VLOOKUP(D253,'G-6 Hedgerow Data'!$B$2:$AG$15,3,FALSE))</f>
        <v/>
      </c>
      <c r="H253" s="145"/>
      <c r="I253" s="499" t="str">
        <f>IFERROR(IF(AND(F253="V.Low",OR(H253="Good",H253="Moderate")),"Error ▲",VLOOKUP(H253,'G-1 All Habitats'!$Z$2:$AA$9,2,FALSE)),"")</f>
        <v/>
      </c>
      <c r="J253" s="154"/>
      <c r="K253" s="520" t="str">
        <f>IF(J253="","",IF(VLOOKUP(J253,'G-3 Multipliers'!$L$3:$N$6,2,FALSE)=0,"Spatial Data Missing ⚠",VLOOKUP(J253,'G-3 Multipliers'!$L$3:$N$6,2,FALSE)))</f>
        <v/>
      </c>
      <c r="L253" s="524" t="str">
        <f>IF(J253="","",IF(VLOOKUP(J253,'G-3 Multipliers'!$L$3:$N$6,3,FALSE)=0,"Spatial Data Missing ⚠",VLOOKUP(J253,'G-3 Multipliers'!$L$3:$N$6,3,FALSE)))</f>
        <v/>
      </c>
      <c r="M253" s="506" t="str">
        <f>IF(D253="","",VLOOKUP(D253,'G-6 Hedgerow Data'!$B$1:$AH$15,33,FALSE))</f>
        <v/>
      </c>
      <c r="N253" s="513" t="str">
        <f t="shared" si="23"/>
        <v/>
      </c>
      <c r="O253" s="40"/>
      <c r="P253" s="145"/>
      <c r="Q253" s="157"/>
      <c r="R253" s="507" t="str">
        <f t="shared" si="24"/>
        <v/>
      </c>
      <c r="S253" s="507" t="str">
        <f t="shared" si="25"/>
        <v/>
      </c>
      <c r="T253" s="511" t="str">
        <f t="shared" si="26"/>
        <v/>
      </c>
      <c r="U253" s="515" t="str">
        <f t="shared" si="27"/>
        <v/>
      </c>
      <c r="V253" s="151"/>
      <c r="W253" s="152"/>
      <c r="AB253" s="31" t="str">
        <f>IFERROR(INDEX('G-6 Hedgerow Data'!$BJ$3:$BJ$15,MATCH(D253,'G-6 Hedgerow Data'!$B$3:$B$15,0)),"")</f>
        <v/>
      </c>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row>
    <row r="254" spans="2:37" ht="13.8" x14ac:dyDescent="0.25">
      <c r="B254" s="141">
        <v>245</v>
      </c>
      <c r="C254" s="203"/>
      <c r="D254" s="203"/>
      <c r="E254" s="153"/>
      <c r="F254" s="498" t="str">
        <f>IF(D254="","",VLOOKUP(D254,'G-6 Hedgerow Data'!$B$2:$AG$15,2,FALSE))</f>
        <v/>
      </c>
      <c r="G254" s="499" t="str">
        <f>IF(D254="","",VLOOKUP(D254,'G-6 Hedgerow Data'!$B$2:$AG$15,3,FALSE))</f>
        <v/>
      </c>
      <c r="H254" s="145"/>
      <c r="I254" s="499" t="str">
        <f>IFERROR(IF(AND(F254="V.Low",OR(H254="Good",H254="Moderate")),"Error ▲",VLOOKUP(H254,'G-1 All Habitats'!$Z$2:$AA$9,2,FALSE)),"")</f>
        <v/>
      </c>
      <c r="J254" s="154"/>
      <c r="K254" s="520" t="str">
        <f>IF(J254="","",IF(VLOOKUP(J254,'G-3 Multipliers'!$L$3:$N$6,2,FALSE)=0,"Spatial Data Missing ⚠",VLOOKUP(J254,'G-3 Multipliers'!$L$3:$N$6,2,FALSE)))</f>
        <v/>
      </c>
      <c r="L254" s="524" t="str">
        <f>IF(J254="","",IF(VLOOKUP(J254,'G-3 Multipliers'!$L$3:$N$6,3,FALSE)=0,"Spatial Data Missing ⚠",VLOOKUP(J254,'G-3 Multipliers'!$L$3:$N$6,3,FALSE)))</f>
        <v/>
      </c>
      <c r="M254" s="506" t="str">
        <f>IF(D254="","",VLOOKUP(D254,'G-6 Hedgerow Data'!$B$1:$AH$15,33,FALSE))</f>
        <v/>
      </c>
      <c r="N254" s="513" t="str">
        <f t="shared" si="23"/>
        <v/>
      </c>
      <c r="O254" s="40"/>
      <c r="P254" s="145"/>
      <c r="Q254" s="157"/>
      <c r="R254" s="507" t="str">
        <f t="shared" si="24"/>
        <v/>
      </c>
      <c r="S254" s="507" t="str">
        <f t="shared" si="25"/>
        <v/>
      </c>
      <c r="T254" s="511" t="str">
        <f t="shared" si="26"/>
        <v/>
      </c>
      <c r="U254" s="515" t="str">
        <f t="shared" si="27"/>
        <v/>
      </c>
      <c r="V254" s="151"/>
      <c r="W254" s="152"/>
      <c r="AB254" s="31" t="str">
        <f>IFERROR(INDEX('G-6 Hedgerow Data'!$BJ$3:$BJ$15,MATCH(D254,'G-6 Hedgerow Data'!$B$3:$B$15,0)),"")</f>
        <v/>
      </c>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row>
    <row r="255" spans="2:37" ht="13.8" x14ac:dyDescent="0.25">
      <c r="B255" s="141">
        <v>246</v>
      </c>
      <c r="C255" s="203"/>
      <c r="D255" s="203"/>
      <c r="E255" s="153"/>
      <c r="F255" s="498" t="str">
        <f>IF(D255="","",VLOOKUP(D255,'G-6 Hedgerow Data'!$B$2:$AG$15,2,FALSE))</f>
        <v/>
      </c>
      <c r="G255" s="499" t="str">
        <f>IF(D255="","",VLOOKUP(D255,'G-6 Hedgerow Data'!$B$2:$AG$15,3,FALSE))</f>
        <v/>
      </c>
      <c r="H255" s="145"/>
      <c r="I255" s="499" t="str">
        <f>IFERROR(IF(AND(F255="V.Low",OR(H255="Good",H255="Moderate")),"Error ▲",VLOOKUP(H255,'G-1 All Habitats'!$Z$2:$AA$9,2,FALSE)),"")</f>
        <v/>
      </c>
      <c r="J255" s="154"/>
      <c r="K255" s="520" t="str">
        <f>IF(J255="","",IF(VLOOKUP(J255,'G-3 Multipliers'!$L$3:$N$6,2,FALSE)=0,"Spatial Data Missing ⚠",VLOOKUP(J255,'G-3 Multipliers'!$L$3:$N$6,2,FALSE)))</f>
        <v/>
      </c>
      <c r="L255" s="524" t="str">
        <f>IF(J255="","",IF(VLOOKUP(J255,'G-3 Multipliers'!$L$3:$N$6,3,FALSE)=0,"Spatial Data Missing ⚠",VLOOKUP(J255,'G-3 Multipliers'!$L$3:$N$6,3,FALSE)))</f>
        <v/>
      </c>
      <c r="M255" s="506" t="str">
        <f>IF(D255="","",VLOOKUP(D255,'G-6 Hedgerow Data'!$B$1:$AH$15,33,FALSE))</f>
        <v/>
      </c>
      <c r="N255" s="513" t="str">
        <f t="shared" si="23"/>
        <v/>
      </c>
      <c r="O255" s="40"/>
      <c r="P255" s="145"/>
      <c r="Q255" s="157"/>
      <c r="R255" s="507" t="str">
        <f t="shared" si="24"/>
        <v/>
      </c>
      <c r="S255" s="507" t="str">
        <f t="shared" si="25"/>
        <v/>
      </c>
      <c r="T255" s="511" t="str">
        <f t="shared" si="26"/>
        <v/>
      </c>
      <c r="U255" s="515" t="str">
        <f t="shared" si="27"/>
        <v/>
      </c>
      <c r="V255" s="151"/>
      <c r="W255" s="152"/>
      <c r="AB255" s="31" t="str">
        <f>IFERROR(INDEX('G-6 Hedgerow Data'!$BJ$3:$BJ$15,MATCH(D255,'G-6 Hedgerow Data'!$B$3:$B$15,0)),"")</f>
        <v/>
      </c>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row>
    <row r="256" spans="2:37" ht="13.8" x14ac:dyDescent="0.25">
      <c r="B256" s="141">
        <v>247</v>
      </c>
      <c r="C256" s="203"/>
      <c r="D256" s="203"/>
      <c r="E256" s="153"/>
      <c r="F256" s="498" t="str">
        <f>IF(D256="","",VLOOKUP(D256,'G-6 Hedgerow Data'!$B$2:$AG$15,2,FALSE))</f>
        <v/>
      </c>
      <c r="G256" s="499" t="str">
        <f>IF(D256="","",VLOOKUP(D256,'G-6 Hedgerow Data'!$B$2:$AG$15,3,FALSE))</f>
        <v/>
      </c>
      <c r="H256" s="145"/>
      <c r="I256" s="499" t="str">
        <f>IFERROR(IF(AND(F256="V.Low",OR(H256="Good",H256="Moderate")),"Error ▲",VLOOKUP(H256,'G-1 All Habitats'!$Z$2:$AA$9,2,FALSE)),"")</f>
        <v/>
      </c>
      <c r="J256" s="154"/>
      <c r="K256" s="520" t="str">
        <f>IF(J256="","",IF(VLOOKUP(J256,'G-3 Multipliers'!$L$3:$N$6,2,FALSE)=0,"Spatial Data Missing ⚠",VLOOKUP(J256,'G-3 Multipliers'!$L$3:$N$6,2,FALSE)))</f>
        <v/>
      </c>
      <c r="L256" s="524" t="str">
        <f>IF(J256="","",IF(VLOOKUP(J256,'G-3 Multipliers'!$L$3:$N$6,3,FALSE)=0,"Spatial Data Missing ⚠",VLOOKUP(J256,'G-3 Multipliers'!$L$3:$N$6,3,FALSE)))</f>
        <v/>
      </c>
      <c r="M256" s="506" t="str">
        <f>IF(D256="","",VLOOKUP(D256,'G-6 Hedgerow Data'!$B$1:$AH$15,33,FALSE))</f>
        <v/>
      </c>
      <c r="N256" s="513" t="str">
        <f t="shared" si="23"/>
        <v/>
      </c>
      <c r="O256" s="40"/>
      <c r="P256" s="145"/>
      <c r="Q256" s="157"/>
      <c r="R256" s="507" t="str">
        <f t="shared" si="24"/>
        <v/>
      </c>
      <c r="S256" s="507" t="str">
        <f t="shared" si="25"/>
        <v/>
      </c>
      <c r="T256" s="511" t="str">
        <f t="shared" si="26"/>
        <v/>
      </c>
      <c r="U256" s="515" t="str">
        <f t="shared" si="27"/>
        <v/>
      </c>
      <c r="V256" s="151"/>
      <c r="W256" s="152"/>
      <c r="AB256" s="31" t="str">
        <f>IFERROR(INDEX('G-6 Hedgerow Data'!$BJ$3:$BJ$15,MATCH(D256,'G-6 Hedgerow Data'!$B$3:$B$15,0)),"")</f>
        <v/>
      </c>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row>
    <row r="257" spans="2:37" ht="14.4" thickBot="1" x14ac:dyDescent="0.3">
      <c r="B257" s="158">
        <v>248</v>
      </c>
      <c r="C257" s="206"/>
      <c r="D257" s="206"/>
      <c r="E257" s="160"/>
      <c r="F257" s="498" t="str">
        <f>IF(D257="","",VLOOKUP(D257,'G-6 Hedgerow Data'!$B$2:$AG$15,2,FALSE))</f>
        <v/>
      </c>
      <c r="G257" s="499" t="str">
        <f>IF(D257="","",VLOOKUP(D257,'G-6 Hedgerow Data'!$B$2:$AG$15,3,FALSE))</f>
        <v/>
      </c>
      <c r="H257" s="145"/>
      <c r="I257" s="499" t="str">
        <f>IFERROR(IF(AND(F257="V.Low",OR(H257="Good",H257="Moderate")),"Error ▲",VLOOKUP(H257,'G-1 All Habitats'!$Z$2:$AA$9,2,FALSE)),"")</f>
        <v/>
      </c>
      <c r="J257" s="161"/>
      <c r="K257" s="520" t="str">
        <f>IF(J257="","",IF(VLOOKUP(J257,'G-3 Multipliers'!$L$3:$N$6,2,FALSE)=0,"Spatial Data Missing ⚠",VLOOKUP(J257,'G-3 Multipliers'!$L$3:$N$6,2,FALSE)))</f>
        <v/>
      </c>
      <c r="L257" s="524" t="str">
        <f>IF(J257="","",IF(VLOOKUP(J257,'G-3 Multipliers'!$L$3:$N$6,3,FALSE)=0,"Spatial Data Missing ⚠",VLOOKUP(J257,'G-3 Multipliers'!$L$3:$N$6,3,FALSE)))</f>
        <v/>
      </c>
      <c r="M257" s="506" t="str">
        <f>IF(D257="","",VLOOKUP(D257,'G-6 Hedgerow Data'!$B$1:$AH$15,33,FALSE))</f>
        <v/>
      </c>
      <c r="N257" s="513" t="str">
        <f t="shared" si="23"/>
        <v/>
      </c>
      <c r="O257" s="40"/>
      <c r="P257" s="410"/>
      <c r="Q257" s="411"/>
      <c r="R257" s="621" t="str">
        <f t="shared" si="24"/>
        <v/>
      </c>
      <c r="S257" s="621" t="str">
        <f t="shared" si="25"/>
        <v/>
      </c>
      <c r="T257" s="511" t="str">
        <f t="shared" si="26"/>
        <v/>
      </c>
      <c r="U257" s="515" t="str">
        <f t="shared" si="27"/>
        <v/>
      </c>
      <c r="V257" s="163"/>
      <c r="W257" s="164"/>
      <c r="AB257" s="31" t="str">
        <f>IFERROR(INDEX('G-6 Hedgerow Data'!$BJ$3:$BJ$15,MATCH(D257,'G-6 Hedgerow Data'!$B$3:$B$15,0)),"")</f>
        <v/>
      </c>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row>
    <row r="258" spans="2:37" ht="14.4" thickBot="1" x14ac:dyDescent="0.3">
      <c r="D258" s="443"/>
      <c r="E258" s="620">
        <f>SUM(E10:E257)</f>
        <v>0</v>
      </c>
      <c r="M258" s="444"/>
      <c r="N258" s="563">
        <f>SUM(N10:N257)</f>
        <v>0</v>
      </c>
      <c r="O258" s="166"/>
      <c r="P258" s="517">
        <f t="shared" ref="P258:U258" si="28">SUM(P10:P257)</f>
        <v>0</v>
      </c>
      <c r="Q258" s="518">
        <f t="shared" si="28"/>
        <v>0</v>
      </c>
      <c r="R258" s="518">
        <f t="shared" si="28"/>
        <v>0</v>
      </c>
      <c r="S258" s="518">
        <f t="shared" si="28"/>
        <v>0</v>
      </c>
      <c r="T258" s="518">
        <f t="shared" si="28"/>
        <v>0</v>
      </c>
      <c r="U258" s="514">
        <f t="shared" si="28"/>
        <v>0</v>
      </c>
    </row>
    <row r="259" spans="2:37" ht="13.8" x14ac:dyDescent="0.25">
      <c r="O259" s="166"/>
      <c r="P259" s="166"/>
      <c r="Q259" s="166"/>
      <c r="R259" s="166"/>
      <c r="S259" s="166"/>
      <c r="T259" s="166"/>
      <c r="U259" s="166"/>
    </row>
    <row r="260" spans="2:37" ht="13.8" x14ac:dyDescent="0.25">
      <c r="B260" s="132"/>
      <c r="C260" s="132"/>
    </row>
    <row r="261" spans="2:37" ht="13.8" x14ac:dyDescent="0.25">
      <c r="B261" s="132"/>
      <c r="C261" s="132"/>
    </row>
    <row r="262" spans="2:37" ht="13.8" x14ac:dyDescent="0.25">
      <c r="B262" s="132"/>
      <c r="C262" s="132"/>
    </row>
    <row r="263" spans="2:37" ht="13.8" x14ac:dyDescent="0.25">
      <c r="B263" s="132"/>
      <c r="C263" s="132"/>
    </row>
    <row r="264" spans="2:37" ht="13.8" x14ac:dyDescent="0.25">
      <c r="B264" s="132"/>
      <c r="C264" s="132"/>
    </row>
    <row r="265" spans="2:37" ht="13.8" x14ac:dyDescent="0.25">
      <c r="B265" s="132"/>
      <c r="C265" s="132"/>
    </row>
    <row r="266" spans="2:37" ht="13.8" x14ac:dyDescent="0.25">
      <c r="B266" s="132"/>
      <c r="C266" s="132"/>
    </row>
    <row r="267" spans="2:37" ht="13.8" hidden="1" x14ac:dyDescent="0.25">
      <c r="B267" s="132"/>
      <c r="C267" s="132"/>
    </row>
    <row r="268" spans="2:37" ht="13.8" hidden="1" x14ac:dyDescent="0.25">
      <c r="B268" s="132"/>
      <c r="C268" s="132"/>
    </row>
    <row r="269" spans="2:37" ht="13.8" hidden="1" x14ac:dyDescent="0.25">
      <c r="B269" s="132"/>
      <c r="C269" s="132"/>
    </row>
    <row r="270" spans="2:37" ht="13.8" hidden="1" x14ac:dyDescent="0.25">
      <c r="B270" s="132"/>
      <c r="C270" s="132"/>
    </row>
    <row r="271" spans="2:37" ht="13.8" hidden="1" x14ac:dyDescent="0.25">
      <c r="B271" s="132"/>
      <c r="C271" s="132"/>
    </row>
    <row r="272" spans="2:37" ht="13.8" hidden="1" x14ac:dyDescent="0.25">
      <c r="B272" s="132"/>
      <c r="C272" s="132"/>
    </row>
  </sheetData>
  <sheetProtection algorithmName="SHA-512" hashValue="dMrctn7xR9Y3GQUnpVgvbqVH+MKBgssfoNML+5sGn5/91URvi5DxyrRhl5lZ45FZkKnHPKDA4Hky2hZvPwkodA==" saltValue="2hBMgq6SN1txedhtwJfdZw=="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B3:D4"/>
    <mergeCell ref="J8:L8"/>
    <mergeCell ref="P8:U8"/>
    <mergeCell ref="M8:M9"/>
  </mergeCells>
  <conditionalFormatting sqref="I10:I257">
    <cfRule type="containsText" dxfId="89" priority="6" operator="containsText" text="Error">
      <formula>NOT(ISERROR(SEARCH("Error",I10)))</formula>
    </cfRule>
  </conditionalFormatting>
  <conditionalFormatting sqref="J9:L257">
    <cfRule type="containsText" dxfId="88" priority="5" operator="containsText" text="Spatial">
      <formula>NOT(ISERROR(SEARCH("Spatial",J9)))</formula>
    </cfRule>
  </conditionalFormatting>
  <conditionalFormatting sqref="M10:M257">
    <cfRule type="cellIs" dxfId="87" priority="2" operator="equal">
      <formula>"Like for like or better"</formula>
    </cfRule>
    <cfRule type="cellIs" dxfId="86" priority="3" operator="equal">
      <formula>"Like for like"</formula>
    </cfRule>
    <cfRule type="containsText" dxfId="85" priority="4" operator="containsText" text="Same distinctiveness">
      <formula>NOT(ISERROR(SEARCH("Same distinctiveness",M10)))</formula>
    </cfRule>
  </conditionalFormatting>
  <conditionalFormatting sqref="T10:U257">
    <cfRule type="containsText" dxfId="84" priority="1" operator="containsText" text="Error">
      <formula>NOT(ISERROR(SEARCH("Error",T10)))</formula>
    </cfRule>
  </conditionalFormatting>
  <dataValidations count="1">
    <dataValidation type="list" allowBlank="1" showInputMessage="1" showErrorMessage="1" sqref="H10:H257" xr:uid="{00000000-0002-0000-1100-000000000000}">
      <formula1>INDIRECT(AB10)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J268"/>
  <sheetViews>
    <sheetView showGridLines="0" showRowColHeaders="0" zoomScaleNormal="100" workbookViewId="0">
      <pane ySplit="11" topLeftCell="A12" activePane="bottomLeft" state="frozen"/>
      <selection activeCell="S28" sqref="S28"/>
      <selection pane="bottomLeft" activeCell="B3" sqref="B3:E4"/>
    </sheetView>
  </sheetViews>
  <sheetFormatPr defaultColWidth="0" defaultRowHeight="0" customHeight="1" zeroHeight="1" x14ac:dyDescent="0.25"/>
  <cols>
    <col min="1" max="1" width="2.88671875" style="31" customWidth="1"/>
    <col min="2" max="2" width="11.33203125" style="31" customWidth="1"/>
    <col min="3" max="3" width="9.33203125" style="31" customWidth="1"/>
    <col min="4" max="4" width="60.6640625" style="31" customWidth="1"/>
    <col min="5" max="5" width="10.33203125" style="31" customWidth="1"/>
    <col min="6" max="6" width="19.109375" style="31" customWidth="1"/>
    <col min="7" max="7" width="11.88671875" style="31" customWidth="1"/>
    <col min="8" max="8" width="11.5546875" style="31" customWidth="1"/>
    <col min="9" max="9" width="12.5546875" style="31" customWidth="1"/>
    <col min="10" max="10" width="41.6640625" style="31" customWidth="1"/>
    <col min="11" max="11" width="21.109375" style="31" customWidth="1"/>
    <col min="12" max="12" width="12.33203125" style="31" customWidth="1"/>
    <col min="13" max="13" width="67.6640625" style="31" customWidth="1"/>
    <col min="14" max="14" width="12.33203125" style="31" customWidth="1"/>
    <col min="15" max="17" width="17.6640625" style="31" customWidth="1"/>
    <col min="18" max="18" width="35.5546875" style="31" customWidth="1"/>
    <col min="19" max="19" width="17.6640625" style="31" customWidth="1"/>
    <col min="20" max="20" width="15.33203125" style="31" customWidth="1"/>
    <col min="21" max="21" width="10.6640625" style="31" customWidth="1"/>
    <col min="22" max="22" width="25.33203125" style="31" customWidth="1"/>
    <col min="23" max="23" width="10.6640625" style="31" customWidth="1"/>
    <col min="24" max="24" width="12.5546875" style="31" customWidth="1"/>
    <col min="25" max="25" width="12.6640625" style="31" customWidth="1"/>
    <col min="26" max="27" width="42.5546875" style="31" customWidth="1"/>
    <col min="28" max="32" width="8.88671875" style="31" customWidth="1"/>
    <col min="33" max="33" width="15.88671875" style="31" hidden="1" customWidth="1"/>
    <col min="34" max="35" width="8.88671875" style="31" hidden="1" customWidth="1"/>
    <col min="36" max="36" width="0" style="31" hidden="1" customWidth="1"/>
    <col min="37" max="16384" width="8.88671875" style="31" hidden="1"/>
  </cols>
  <sheetData>
    <row r="1" spans="2:33" ht="15.75" customHeight="1" thickBot="1" x14ac:dyDescent="0.3"/>
    <row r="2" spans="2:33" ht="15.75" customHeight="1" thickBot="1" x14ac:dyDescent="0.3">
      <c r="B2" s="744" t="str">
        <f>IF(Start!$F$12="","",Start!$F$12)</f>
        <v>Land at Doncaster Road, Goldthorpe, Rotherham</v>
      </c>
      <c r="C2" s="745"/>
      <c r="D2" s="745"/>
      <c r="E2" s="746"/>
      <c r="O2" s="919" t="str">
        <f>IF(OR(COUNTIF($O$12:O259,"*30+*")&gt;0,COUNTIF($S$12:S259,"*30+*")&gt;0),"Note; Habitat selected has a time to target condition greater than 30 years. Non standard agreement may be required. ⚠","")</f>
        <v/>
      </c>
      <c r="P2" s="919"/>
      <c r="Q2" s="919"/>
      <c r="R2" s="919"/>
      <c r="S2" s="919"/>
      <c r="T2" s="919"/>
    </row>
    <row r="3" spans="2:33" ht="15.75" customHeight="1" thickBot="1" x14ac:dyDescent="0.3">
      <c r="B3" s="1000" t="str">
        <f ca="1">MID(CELL("filename",A1),FIND("]",CELL("filename",A1))+1,256)</f>
        <v>E-2 Off Site Hedge Creation</v>
      </c>
      <c r="C3" s="1001"/>
      <c r="D3" s="1001"/>
      <c r="E3" s="1002"/>
      <c r="O3" s="919"/>
      <c r="P3" s="919"/>
      <c r="Q3" s="919"/>
      <c r="R3" s="919"/>
      <c r="S3" s="919"/>
      <c r="T3" s="919"/>
    </row>
    <row r="4" spans="2:33" ht="15.75" customHeight="1" thickBot="1" x14ac:dyDescent="0.3">
      <c r="B4" s="1000"/>
      <c r="C4" s="1001"/>
      <c r="D4" s="1001"/>
      <c r="E4" s="1002"/>
      <c r="O4" s="919"/>
      <c r="P4" s="919"/>
      <c r="Q4" s="919"/>
      <c r="R4" s="919"/>
      <c r="S4" s="919"/>
      <c r="T4" s="919"/>
    </row>
    <row r="5" spans="2:33" ht="15.75" customHeight="1" x14ac:dyDescent="0.25">
      <c r="O5" s="919"/>
      <c r="P5" s="919"/>
      <c r="Q5" s="919"/>
      <c r="R5" s="919"/>
      <c r="S5" s="919"/>
      <c r="T5" s="919"/>
    </row>
    <row r="6" spans="2:33" ht="15.75" customHeight="1" x14ac:dyDescent="0.25">
      <c r="O6" s="403"/>
      <c r="P6" s="403"/>
      <c r="Q6" s="403"/>
      <c r="R6" s="403"/>
      <c r="S6" s="403"/>
    </row>
    <row r="7" spans="2:33" ht="15.75" customHeight="1" x14ac:dyDescent="0.25">
      <c r="B7" s="132"/>
      <c r="C7" s="132"/>
    </row>
    <row r="8" spans="2:33" ht="13.8" x14ac:dyDescent="0.25">
      <c r="J8" s="131"/>
      <c r="K8" s="131"/>
      <c r="L8" s="131"/>
      <c r="M8" s="131"/>
      <c r="N8" s="131"/>
      <c r="O8" s="131"/>
      <c r="P8" s="131"/>
      <c r="Q8" s="131"/>
      <c r="R8" s="131"/>
      <c r="S8" s="131"/>
      <c r="T8" s="131"/>
      <c r="V8" s="131"/>
      <c r="W8" s="131"/>
      <c r="X8" s="131"/>
    </row>
    <row r="9" spans="2:33" ht="15.75" customHeight="1" thickBot="1" x14ac:dyDescent="0.3">
      <c r="J9" s="131"/>
      <c r="K9" s="131"/>
      <c r="L9" s="131"/>
      <c r="M9" s="138"/>
      <c r="N9" s="138"/>
      <c r="O9" s="200"/>
      <c r="P9" s="200"/>
      <c r="Q9" s="200"/>
      <c r="R9" s="200"/>
      <c r="S9" s="200"/>
      <c r="T9" s="200"/>
      <c r="U9" s="200"/>
      <c r="V9" s="200"/>
      <c r="W9" s="200"/>
      <c r="X9" s="200"/>
    </row>
    <row r="10" spans="2:33" s="42" customFormat="1" ht="30" customHeight="1" thickBot="1" x14ac:dyDescent="0.3">
      <c r="B10" s="40"/>
      <c r="C10" s="40"/>
      <c r="D10" s="967" t="s">
        <v>301</v>
      </c>
      <c r="E10" s="969"/>
      <c r="F10" s="967" t="s">
        <v>272</v>
      </c>
      <c r="G10" s="969"/>
      <c r="H10" s="968" t="s">
        <v>273</v>
      </c>
      <c r="I10" s="969"/>
      <c r="J10" s="967" t="s">
        <v>191</v>
      </c>
      <c r="K10" s="968"/>
      <c r="L10" s="969"/>
      <c r="M10" s="967" t="s">
        <v>280</v>
      </c>
      <c r="N10" s="969"/>
      <c r="O10" s="967" t="s">
        <v>228</v>
      </c>
      <c r="P10" s="968"/>
      <c r="Q10" s="968"/>
      <c r="R10" s="968"/>
      <c r="S10" s="968"/>
      <c r="T10" s="969"/>
      <c r="U10" s="967" t="s">
        <v>252</v>
      </c>
      <c r="V10" s="968"/>
      <c r="W10" s="968"/>
      <c r="X10" s="969"/>
      <c r="Y10" s="970" t="s">
        <v>302</v>
      </c>
      <c r="Z10" s="967" t="s">
        <v>196</v>
      </c>
      <c r="AA10" s="969"/>
    </row>
    <row r="11" spans="2:33" ht="41.4" x14ac:dyDescent="0.25">
      <c r="B11" s="135" t="s">
        <v>254</v>
      </c>
      <c r="C11" s="136" t="s">
        <v>303</v>
      </c>
      <c r="D11" s="201" t="s">
        <v>275</v>
      </c>
      <c r="E11" s="202" t="s">
        <v>316</v>
      </c>
      <c r="F11" s="412" t="s">
        <v>189</v>
      </c>
      <c r="G11" s="413" t="s">
        <v>206</v>
      </c>
      <c r="H11" s="414" t="s">
        <v>190</v>
      </c>
      <c r="I11" s="413" t="s">
        <v>206</v>
      </c>
      <c r="J11" s="368" t="s">
        <v>191</v>
      </c>
      <c r="K11" s="201" t="s">
        <v>191</v>
      </c>
      <c r="L11" s="202" t="s">
        <v>231</v>
      </c>
      <c r="M11" s="368" t="s">
        <v>283</v>
      </c>
      <c r="N11" s="202" t="s">
        <v>280</v>
      </c>
      <c r="O11" s="368" t="s">
        <v>304</v>
      </c>
      <c r="P11" s="201" t="s">
        <v>233</v>
      </c>
      <c r="Q11" s="201" t="s">
        <v>234</v>
      </c>
      <c r="R11" s="201" t="s">
        <v>235</v>
      </c>
      <c r="S11" s="201" t="s">
        <v>236</v>
      </c>
      <c r="T11" s="202" t="s">
        <v>312</v>
      </c>
      <c r="U11" s="368" t="s">
        <v>238</v>
      </c>
      <c r="V11" s="201" t="s">
        <v>305</v>
      </c>
      <c r="W11" s="201" t="s">
        <v>240</v>
      </c>
      <c r="X11" s="202" t="s">
        <v>241</v>
      </c>
      <c r="Y11" s="999"/>
      <c r="Z11" s="141" t="s">
        <v>215</v>
      </c>
      <c r="AA11" s="359" t="s">
        <v>216</v>
      </c>
      <c r="AG11" s="131" t="s">
        <v>200</v>
      </c>
    </row>
    <row r="12" spans="2:33" ht="13.8" x14ac:dyDescent="0.25">
      <c r="B12" s="201">
        <v>1</v>
      </c>
      <c r="C12" s="268"/>
      <c r="D12" s="82"/>
      <c r="E12" s="203"/>
      <c r="F12" s="498" t="str">
        <f>IF(D12="","",VLOOKUP(D12,'G-6 Hedgerow Data'!$B$2:$AG$15,2,FALSE))</f>
        <v/>
      </c>
      <c r="G12" s="524" t="str">
        <f>IF(D12="","",VLOOKUP(D12,'G-6 Hedgerow Data'!$B$2:$AG$15,3,FALSE))</f>
        <v/>
      </c>
      <c r="H12" s="72"/>
      <c r="I12" s="499" t="str">
        <f>IFERROR(IF(AND(F12="V.Low",OR(H12="Good",H12="Moderate")),"Error ▲",VLOOKUP(H12,'G-1 All Habitats'!$Z$2:$AA$9,2,FALSE)),"")</f>
        <v/>
      </c>
      <c r="J12" s="146"/>
      <c r="K12" s="520" t="str">
        <f>IF(J12="","",IF(VLOOKUP(J12,'G-3 Multipliers'!$L$3:$N$6,2,FALSE)=0,"Spatial Data Missing",VLOOKUP(J12,'G-3 Multipliers'!$L$3:$N$6,2,FALSE)))</f>
        <v/>
      </c>
      <c r="L12" s="524" t="str">
        <f>IF(J12="","",IF(VLOOKUP(J12,'G-3 Multipliers'!$L$3:$N$6,3,FALSE)=0,"Spatial Data Missing",VLOOKUP(J12,'G-3 Multipliers'!$L$3:$N$6,3,FALSE)))</f>
        <v/>
      </c>
      <c r="M12" s="197"/>
      <c r="N12" s="499" t="str">
        <f>IF(M12="","",IF(VLOOKUP(M12,'G-3 Multipliers'!$S$3:$T$6,2,FALSE)=0,"Spatial Data Missing ⚠",VLOOKUP(M12,'G-3 Multipliers'!$S$3:$T$6,2,FALSE)))</f>
        <v/>
      </c>
      <c r="O12" s="498" t="str">
        <f>IF(OR(D12="",H12=""),"",(INDEX('G-6 Hedgerow Data'!$E$3:$I$15,MATCH(D12,'G-6 Hedgerow Data'!$B$3:$B$15,0),MATCH(H12,'G-6 Hedgerow Data'!$E$2:$I$2,0))))</f>
        <v/>
      </c>
      <c r="P12" s="195"/>
      <c r="Q12" s="195"/>
      <c r="R12" s="507"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521" t="str">
        <f>IF(O12="","",IF(LEFT(R12,5)="Error ▲","Check Data ⚠",IF(OR(P12="30+",P12="Habitat already in target condition"),0,IF(Q12="30+","30+",IF(AND(O12="30+",OR(P12="",P12=0)),"30+ ⚠",IF(AND(O12="30+",P12&gt;0),32-P12,IF(O12+Q12&gt;30,"30+ ⚠",IF(O12+Q12-P12&gt;0,O12+Q12-P12,IF(O12-P12&lt;0,0,O12+Q12-P12)))))))))</f>
        <v/>
      </c>
      <c r="T12" s="522" t="str">
        <f t="shared" ref="T12:T75" si="0">IF(D12="","",IF(LEFT(R12,5)="Error ▲","Check Data ⚠",VLOOKUP(S12,TemporalMultipliers,3,FALSE)))</f>
        <v/>
      </c>
      <c r="U12" s="537" t="str">
        <f>IF(D12="","",VLOOKUP(D12,'G-6 Hedgerow Data'!$B$3:$AG$15,31,FALSE))</f>
        <v/>
      </c>
      <c r="V12" s="520" t="str">
        <f>IF(D12="","",IF(S12="Check Data ⚠","Check Data ⚠",IF(H12="","",IF($R12="Check details - Is there evidence that habitat has reached target condition? ⚠","Low Difficulty - only applicable if all habitat created before losses","Standard difficulty applied"))))</f>
        <v/>
      </c>
      <c r="W12" s="520" t="str">
        <f>(IF(AND(V12="Standard difficulty applied",O12&gt;P12),U12,IF(AND(V12="Low Difficulty - only applicable if all habitat created before losses",P12&gt;=O12),"Low",U12)))</f>
        <v/>
      </c>
      <c r="X12" s="524" t="str">
        <f>IF(F12="","",VLOOKUP(U12,'G-3 Multipliers'!$P$3:$Q$6,2,FALSE))</f>
        <v/>
      </c>
      <c r="Y12" s="529" t="str">
        <f>IFERROR(E12*G12*I12*L12*T12*X12*N12,"")</f>
        <v/>
      </c>
      <c r="Z12" s="149"/>
      <c r="AA12" s="150"/>
      <c r="AG12" s="31" t="str">
        <f>IFERROR(INDEX('G-6 Hedgerow Data'!$BJ$3:$BJ$15,MATCH(D12,'G-6 Hedgerow Data'!$B$3:$B$15,0)),"")</f>
        <v/>
      </c>
    </row>
    <row r="13" spans="2:33" ht="13.8" x14ac:dyDescent="0.25">
      <c r="B13" s="103">
        <v>2</v>
      </c>
      <c r="C13" s="268"/>
      <c r="D13" s="82"/>
      <c r="E13" s="203"/>
      <c r="F13" s="498" t="str">
        <f>IF(D13="","",VLOOKUP(D13,'G-6 Hedgerow Data'!$B$2:$AG$15,2,FALSE))</f>
        <v/>
      </c>
      <c r="G13" s="524" t="str">
        <f>IF(D13="","",VLOOKUP(D13,'G-6 Hedgerow Data'!$B$2:$AG$15,3,FALSE))</f>
        <v/>
      </c>
      <c r="H13" s="72"/>
      <c r="I13" s="499" t="str">
        <f>IFERROR(IF(AND(F13="V.Low",OR(H13="Good",H13="Moderate")),"Error ▲",VLOOKUP(H13,'G-1 All Habitats'!$Z$2:$AA$9,2,FALSE)),"")</f>
        <v/>
      </c>
      <c r="J13" s="146"/>
      <c r="K13" s="520" t="str">
        <f>IF(J13="","",IF(VLOOKUP(J13,'G-3 Multipliers'!$L$3:$N$6,2,FALSE)=0,"Spatial Data Missing",VLOOKUP(J13,'G-3 Multipliers'!$L$3:$N$6,2,FALSE)))</f>
        <v/>
      </c>
      <c r="L13" s="524" t="str">
        <f>IF(J13="","",IF(VLOOKUP(J13,'G-3 Multipliers'!$L$3:$N$6,3,FALSE)=0,"Spatial Data Missing",VLOOKUP(J13,'G-3 Multipliers'!$L$3:$N$6,3,FALSE)))</f>
        <v/>
      </c>
      <c r="M13" s="197"/>
      <c r="N13" s="499" t="str">
        <f>IF(M13="","",IF(VLOOKUP(M13,'G-3 Multipliers'!$S$3:$T$6,2,FALSE)=0,"Spatial Data Missing ⚠",VLOOKUP(M13,'G-3 Multipliers'!$S$3:$T$6,2,FALSE)))</f>
        <v/>
      </c>
      <c r="O13" s="498" t="str">
        <f>IF(OR(D13="",H13=""),"",(INDEX('G-6 Hedgerow Data'!$E$3:$I$15,MATCH(D13,'G-6 Hedgerow Data'!$B$3:$B$15,0),MATCH(H13,'G-6 Hedgerow Data'!$E$2:$I$2,0))))</f>
        <v/>
      </c>
      <c r="P13" s="195"/>
      <c r="Q13" s="195"/>
      <c r="R13" s="507" t="str">
        <f t="shared" ref="R13:R76" si="1">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521" t="str">
        <f t="shared" ref="S13:S76" si="2">IF(O13="","",IF(LEFT(R13,5)="Error ▲","Check Data ⚠",IF(OR(P13="30+",P13="Habitat already in target condition"),0,IF(Q13="30+","30+",IF(AND(O13="30+",OR(P13="",P13=0)),"30+ ⚠",IF(AND(O13="30+",P13&gt;0),32-P13,IF(O13+Q13&gt;30,"30+ ⚠",IF(O13+Q13-P13&gt;0,O13+Q13-P13,IF(O13-P13&lt;0,0,O13+Q13-P13)))))))))</f>
        <v/>
      </c>
      <c r="T13" s="522" t="str">
        <f t="shared" si="0"/>
        <v/>
      </c>
      <c r="U13" s="537" t="str">
        <f>IF(D13="","",VLOOKUP(D13,'G-6 Hedgerow Data'!$B$3:$AG$15,31,FALSE))</f>
        <v/>
      </c>
      <c r="V13" s="520" t="str">
        <f t="shared" ref="V13:V76" si="3">IF(D13="","",IF(S13="Check Data ⚠","Check Data ⚠",IF(H13="","",IF($R13="Check details - Is there evidence that habitat has reached target condition? ⚠","Low Difficulty - only applicable if all habitat created before losses","Standard difficulty applied"))))</f>
        <v/>
      </c>
      <c r="W13" s="520" t="str">
        <f t="shared" ref="W13:W76" si="4">(IF(AND(V13="Standard difficulty applied",O13&gt;P13),U13,IF(AND(V13="Low Difficulty - only applicable if all habitat created before losses",P13&gt;=O13),"Low",U13)))</f>
        <v/>
      </c>
      <c r="X13" s="524" t="str">
        <f>IF(F13="","",VLOOKUP(U13,'G-3 Multipliers'!$P$3:$Q$6,2,FALSE))</f>
        <v/>
      </c>
      <c r="Y13" s="529" t="str">
        <f t="shared" ref="Y13:Y76" si="5">IFERROR(E13*G13*I13*L13*T13*X13*N13,"")</f>
        <v/>
      </c>
      <c r="Z13" s="149"/>
      <c r="AA13" s="150"/>
      <c r="AG13" s="31" t="str">
        <f>IFERROR(INDEX('G-6 Hedgerow Data'!$BJ$3:$BJ$15,MATCH(D13,'G-6 Hedgerow Data'!$B$3:$B$15,0)),"")</f>
        <v/>
      </c>
    </row>
    <row r="14" spans="2:33" ht="13.8" x14ac:dyDescent="0.25">
      <c r="B14" s="103">
        <v>3</v>
      </c>
      <c r="C14" s="268"/>
      <c r="D14" s="82"/>
      <c r="E14" s="203"/>
      <c r="F14" s="498" t="str">
        <f>IF(D14="","",VLOOKUP(D14,'G-6 Hedgerow Data'!$B$2:$AG$15,2,FALSE))</f>
        <v/>
      </c>
      <c r="G14" s="524" t="str">
        <f>IF(D14="","",VLOOKUP(D14,'G-6 Hedgerow Data'!$B$2:$AG$15,3,FALSE))</f>
        <v/>
      </c>
      <c r="H14" s="72"/>
      <c r="I14" s="499" t="str">
        <f>IFERROR(IF(AND(F14="V.Low",OR(H14="Good",H14="Moderate")),"Error ▲",VLOOKUP(H14,'G-1 All Habitats'!$Z$2:$AA$9,2,FALSE)),"")</f>
        <v/>
      </c>
      <c r="J14" s="146"/>
      <c r="K14" s="520" t="str">
        <f>IF(J14="","",IF(VLOOKUP(J14,'G-3 Multipliers'!$L$3:$N$6,2,FALSE)=0,"Spatial Data Missing",VLOOKUP(J14,'G-3 Multipliers'!$L$3:$N$6,2,FALSE)))</f>
        <v/>
      </c>
      <c r="L14" s="524" t="str">
        <f>IF(J14="","",IF(VLOOKUP(J14,'G-3 Multipliers'!$L$3:$N$6,3,FALSE)=0,"Spatial Data Missing",VLOOKUP(J14,'G-3 Multipliers'!$L$3:$N$6,3,FALSE)))</f>
        <v/>
      </c>
      <c r="M14" s="197"/>
      <c r="N14" s="499" t="str">
        <f>IF(M14="","",IF(VLOOKUP(M14,'G-3 Multipliers'!$S$3:$T$6,2,FALSE)=0,"Spatial Data Missing ⚠",VLOOKUP(M14,'G-3 Multipliers'!$S$3:$T$6,2,FALSE)))</f>
        <v/>
      </c>
      <c r="O14" s="498" t="str">
        <f>IF(OR(D14="",H14=""),"",(INDEX('G-6 Hedgerow Data'!$E$3:$I$15,MATCH(D14,'G-6 Hedgerow Data'!$B$3:$B$15,0),MATCH(H14,'G-6 Hedgerow Data'!$E$2:$I$2,0))))</f>
        <v/>
      </c>
      <c r="P14" s="195"/>
      <c r="Q14" s="195"/>
      <c r="R14" s="507" t="str">
        <f t="shared" si="1"/>
        <v/>
      </c>
      <c r="S14" s="521" t="str">
        <f t="shared" si="2"/>
        <v/>
      </c>
      <c r="T14" s="522" t="str">
        <f t="shared" si="0"/>
        <v/>
      </c>
      <c r="U14" s="537" t="str">
        <f>IF(D14="","",VLOOKUP(D14,'G-6 Hedgerow Data'!$B$3:$AG$15,31,FALSE))</f>
        <v/>
      </c>
      <c r="V14" s="520" t="str">
        <f t="shared" si="3"/>
        <v/>
      </c>
      <c r="W14" s="520" t="str">
        <f t="shared" si="4"/>
        <v/>
      </c>
      <c r="X14" s="524" t="str">
        <f>IF(F14="","",VLOOKUP(U14,'G-3 Multipliers'!$P$3:$Q$6,2,FALSE))</f>
        <v/>
      </c>
      <c r="Y14" s="529" t="str">
        <f t="shared" si="5"/>
        <v/>
      </c>
      <c r="Z14" s="149"/>
      <c r="AA14" s="150"/>
      <c r="AG14" s="31" t="str">
        <f>IFERROR(INDEX('G-6 Hedgerow Data'!$BJ$3:$BJ$15,MATCH(D14,'G-6 Hedgerow Data'!$B$3:$B$15,0)),"")</f>
        <v/>
      </c>
    </row>
    <row r="15" spans="2:33" ht="13.8" x14ac:dyDescent="0.25">
      <c r="B15" s="103">
        <v>4</v>
      </c>
      <c r="C15" s="268"/>
      <c r="D15" s="82"/>
      <c r="E15" s="203"/>
      <c r="F15" s="498" t="str">
        <f>IF(D15="","",VLOOKUP(D15,'G-6 Hedgerow Data'!$B$2:$AG$15,2,FALSE))</f>
        <v/>
      </c>
      <c r="G15" s="524" t="str">
        <f>IF(D15="","",VLOOKUP(D15,'G-6 Hedgerow Data'!$B$2:$AG$15,3,FALSE))</f>
        <v/>
      </c>
      <c r="H15" s="72"/>
      <c r="I15" s="499" t="str">
        <f>IFERROR(IF(AND(F15="V.Low",OR(H15="Good",H15="Moderate")),"Error ▲",VLOOKUP(H15,'G-1 All Habitats'!$Z$2:$AA$9,2,FALSE)),"")</f>
        <v/>
      </c>
      <c r="J15" s="146"/>
      <c r="K15" s="520" t="str">
        <f>IF(J15="","",IF(VLOOKUP(J15,'G-3 Multipliers'!$L$3:$N$6,2,FALSE)=0,"Spatial Data Missing",VLOOKUP(J15,'G-3 Multipliers'!$L$3:$N$6,2,FALSE)))</f>
        <v/>
      </c>
      <c r="L15" s="524" t="str">
        <f>IF(J15="","",IF(VLOOKUP(J15,'G-3 Multipliers'!$L$3:$N$6,3,FALSE)=0,"Spatial Data Missing",VLOOKUP(J15,'G-3 Multipliers'!$L$3:$N$6,3,FALSE)))</f>
        <v/>
      </c>
      <c r="M15" s="197"/>
      <c r="N15" s="499" t="str">
        <f>IF(M15="","",IF(VLOOKUP(M15,'G-3 Multipliers'!$S$3:$T$6,2,FALSE)=0,"Spatial Data Missing ⚠",VLOOKUP(M15,'G-3 Multipliers'!$S$3:$T$6,2,FALSE)))</f>
        <v/>
      </c>
      <c r="O15" s="498" t="str">
        <f>IF(OR(D15="",H15=""),"",(INDEX('G-6 Hedgerow Data'!$E$3:$I$15,MATCH(D15,'G-6 Hedgerow Data'!$B$3:$B$15,0),MATCH(H15,'G-6 Hedgerow Data'!$E$2:$I$2,0))))</f>
        <v/>
      </c>
      <c r="P15" s="195"/>
      <c r="Q15" s="195"/>
      <c r="R15" s="507" t="str">
        <f t="shared" si="1"/>
        <v/>
      </c>
      <c r="S15" s="521" t="str">
        <f t="shared" si="2"/>
        <v/>
      </c>
      <c r="T15" s="522" t="str">
        <f t="shared" si="0"/>
        <v/>
      </c>
      <c r="U15" s="537" t="str">
        <f>IF(D15="","",VLOOKUP(D15,'G-6 Hedgerow Data'!$B$3:$AG$15,31,FALSE))</f>
        <v/>
      </c>
      <c r="V15" s="520" t="str">
        <f t="shared" si="3"/>
        <v/>
      </c>
      <c r="W15" s="520" t="str">
        <f t="shared" si="4"/>
        <v/>
      </c>
      <c r="X15" s="524" t="str">
        <f>IF(F15="","",VLOOKUP(U15,'G-3 Multipliers'!$P$3:$Q$6,2,FALSE))</f>
        <v/>
      </c>
      <c r="Y15" s="529" t="str">
        <f t="shared" si="5"/>
        <v/>
      </c>
      <c r="Z15" s="149"/>
      <c r="AA15" s="150"/>
      <c r="AG15" s="31" t="str">
        <f>IFERROR(INDEX('G-6 Hedgerow Data'!$BJ$3:$BJ$15,MATCH(D15,'G-6 Hedgerow Data'!$B$3:$B$15,0)),"")</f>
        <v/>
      </c>
    </row>
    <row r="16" spans="2:33" ht="13.8" x14ac:dyDescent="0.25">
      <c r="B16" s="103">
        <v>5</v>
      </c>
      <c r="C16" s="268"/>
      <c r="D16" s="82"/>
      <c r="E16" s="203"/>
      <c r="F16" s="498" t="str">
        <f>IF(D16="","",VLOOKUP(D16,'G-6 Hedgerow Data'!$B$2:$AG$15,2,FALSE))</f>
        <v/>
      </c>
      <c r="G16" s="524" t="str">
        <f>IF(D16="","",VLOOKUP(D16,'G-6 Hedgerow Data'!$B$2:$AG$15,3,FALSE))</f>
        <v/>
      </c>
      <c r="H16" s="72"/>
      <c r="I16" s="499" t="str">
        <f>IFERROR(IF(AND(F16="V.Low",OR(H16="Good",H16="Moderate")),"Error ▲",VLOOKUP(H16,'G-1 All Habitats'!$Z$2:$AA$9,2,FALSE)),"")</f>
        <v/>
      </c>
      <c r="J16" s="146"/>
      <c r="K16" s="520" t="str">
        <f>IF(J16="","",IF(VLOOKUP(J16,'G-3 Multipliers'!$L$3:$N$6,2,FALSE)=0,"Spatial Data Missing",VLOOKUP(J16,'G-3 Multipliers'!$L$3:$N$6,2,FALSE)))</f>
        <v/>
      </c>
      <c r="L16" s="524" t="str">
        <f>IF(J16="","",IF(VLOOKUP(J16,'G-3 Multipliers'!$L$3:$N$6,3,FALSE)=0,"Spatial Data Missing",VLOOKUP(J16,'G-3 Multipliers'!$L$3:$N$6,3,FALSE)))</f>
        <v/>
      </c>
      <c r="M16" s="197"/>
      <c r="N16" s="499" t="str">
        <f>IF(M16="","",IF(VLOOKUP(M16,'G-3 Multipliers'!$S$3:$T$6,2,FALSE)=0,"Spatial Data Missing ⚠",VLOOKUP(M16,'G-3 Multipliers'!$S$3:$T$6,2,FALSE)))</f>
        <v/>
      </c>
      <c r="O16" s="498" t="str">
        <f>IF(OR(D16="",H16=""),"",(INDEX('G-6 Hedgerow Data'!$E$3:$I$15,MATCH(D16,'G-6 Hedgerow Data'!$B$3:$B$15,0),MATCH(H16,'G-6 Hedgerow Data'!$E$2:$I$2,0))))</f>
        <v/>
      </c>
      <c r="P16" s="195"/>
      <c r="Q16" s="195"/>
      <c r="R16" s="507" t="str">
        <f t="shared" si="1"/>
        <v/>
      </c>
      <c r="S16" s="521" t="str">
        <f t="shared" si="2"/>
        <v/>
      </c>
      <c r="T16" s="522" t="str">
        <f t="shared" si="0"/>
        <v/>
      </c>
      <c r="U16" s="537" t="str">
        <f>IF(D16="","",VLOOKUP(D16,'G-6 Hedgerow Data'!$B$3:$AG$15,31,FALSE))</f>
        <v/>
      </c>
      <c r="V16" s="520" t="str">
        <f t="shared" si="3"/>
        <v/>
      </c>
      <c r="W16" s="520" t="str">
        <f t="shared" si="4"/>
        <v/>
      </c>
      <c r="X16" s="524" t="str">
        <f>IF(F16="","",VLOOKUP(U16,'G-3 Multipliers'!$P$3:$Q$6,2,FALSE))</f>
        <v/>
      </c>
      <c r="Y16" s="529" t="str">
        <f t="shared" si="5"/>
        <v/>
      </c>
      <c r="Z16" s="149"/>
      <c r="AA16" s="150"/>
      <c r="AG16" s="31" t="str">
        <f>IFERROR(INDEX('G-6 Hedgerow Data'!$BJ$3:$BJ$15,MATCH(D16,'G-6 Hedgerow Data'!$B$3:$B$15,0)),"")</f>
        <v/>
      </c>
    </row>
    <row r="17" spans="2:33" ht="13.8" x14ac:dyDescent="0.25">
      <c r="B17" s="103">
        <v>6</v>
      </c>
      <c r="C17" s="268"/>
      <c r="D17" s="82"/>
      <c r="E17" s="203"/>
      <c r="F17" s="498" t="str">
        <f>IF(D17="","",VLOOKUP(D17,'G-6 Hedgerow Data'!$B$2:$AG$15,2,FALSE))</f>
        <v/>
      </c>
      <c r="G17" s="524" t="str">
        <f>IF(D17="","",VLOOKUP(D17,'G-6 Hedgerow Data'!$B$2:$AG$15,3,FALSE))</f>
        <v/>
      </c>
      <c r="H17" s="72"/>
      <c r="I17" s="499" t="str">
        <f>IFERROR(IF(AND(F17="V.Low",OR(H17="Good",H17="Moderate")),"Error ▲",VLOOKUP(H17,'G-1 All Habitats'!$Z$2:$AA$9,2,FALSE)),"")</f>
        <v/>
      </c>
      <c r="J17" s="146"/>
      <c r="K17" s="520" t="str">
        <f>IF(J17="","",IF(VLOOKUP(J17,'G-3 Multipliers'!$L$3:$N$6,2,FALSE)=0,"Spatial Data Missing",VLOOKUP(J17,'G-3 Multipliers'!$L$3:$N$6,2,FALSE)))</f>
        <v/>
      </c>
      <c r="L17" s="524" t="str">
        <f>IF(J17="","",IF(VLOOKUP(J17,'G-3 Multipliers'!$L$3:$N$6,3,FALSE)=0,"Spatial Data Missing",VLOOKUP(J17,'G-3 Multipliers'!$L$3:$N$6,3,FALSE)))</f>
        <v/>
      </c>
      <c r="M17" s="197"/>
      <c r="N17" s="499" t="str">
        <f>IF(M17="","",IF(VLOOKUP(M17,'G-3 Multipliers'!$S$3:$T$6,2,FALSE)=0,"Spatial Data Missing ⚠",VLOOKUP(M17,'G-3 Multipliers'!$S$3:$T$6,2,FALSE)))</f>
        <v/>
      </c>
      <c r="O17" s="498" t="str">
        <f>IF(OR(D17="",H17=""),"",(INDEX('G-6 Hedgerow Data'!$E$3:$I$15,MATCH(D17,'G-6 Hedgerow Data'!$B$3:$B$15,0),MATCH(H17,'G-6 Hedgerow Data'!$E$2:$I$2,0))))</f>
        <v/>
      </c>
      <c r="P17" s="195"/>
      <c r="Q17" s="195"/>
      <c r="R17" s="507" t="str">
        <f t="shared" si="1"/>
        <v/>
      </c>
      <c r="S17" s="521" t="str">
        <f t="shared" si="2"/>
        <v/>
      </c>
      <c r="T17" s="522" t="str">
        <f t="shared" si="0"/>
        <v/>
      </c>
      <c r="U17" s="537" t="str">
        <f>IF(D17="","",VLOOKUP(D17,'G-6 Hedgerow Data'!$B$3:$AG$15,31,FALSE))</f>
        <v/>
      </c>
      <c r="V17" s="520" t="str">
        <f t="shared" si="3"/>
        <v/>
      </c>
      <c r="W17" s="520" t="str">
        <f t="shared" si="4"/>
        <v/>
      </c>
      <c r="X17" s="524" t="str">
        <f>IF(F17="","",VLOOKUP(U17,'G-3 Multipliers'!$P$3:$Q$6,2,FALSE))</f>
        <v/>
      </c>
      <c r="Y17" s="529" t="str">
        <f t="shared" si="5"/>
        <v/>
      </c>
      <c r="Z17" s="149"/>
      <c r="AA17" s="150"/>
      <c r="AG17" s="31" t="str">
        <f>IFERROR(INDEX('G-6 Hedgerow Data'!$BJ$3:$BJ$15,MATCH(D17,'G-6 Hedgerow Data'!$B$3:$B$15,0)),"")</f>
        <v/>
      </c>
    </row>
    <row r="18" spans="2:33" ht="13.8" x14ac:dyDescent="0.25">
      <c r="B18" s="103">
        <v>7</v>
      </c>
      <c r="C18" s="268"/>
      <c r="D18" s="82"/>
      <c r="E18" s="203"/>
      <c r="F18" s="498" t="str">
        <f>IF(D18="","",VLOOKUP(D18,'G-6 Hedgerow Data'!$B$2:$AG$15,2,FALSE))</f>
        <v/>
      </c>
      <c r="G18" s="524" t="str">
        <f>IF(D18="","",VLOOKUP(D18,'G-6 Hedgerow Data'!$B$2:$AG$15,3,FALSE))</f>
        <v/>
      </c>
      <c r="H18" s="72"/>
      <c r="I18" s="499" t="str">
        <f>IFERROR(IF(AND(F18="V.Low",OR(H18="Good",H18="Moderate")),"Error ▲",VLOOKUP(H18,'G-1 All Habitats'!$Z$2:$AA$9,2,FALSE)),"")</f>
        <v/>
      </c>
      <c r="J18" s="146"/>
      <c r="K18" s="520" t="str">
        <f>IF(J18="","",IF(VLOOKUP(J18,'G-3 Multipliers'!$L$3:$N$6,2,FALSE)=0,"Spatial Data Missing",VLOOKUP(J18,'G-3 Multipliers'!$L$3:$N$6,2,FALSE)))</f>
        <v/>
      </c>
      <c r="L18" s="524" t="str">
        <f>IF(J18="","",IF(VLOOKUP(J18,'G-3 Multipliers'!$L$3:$N$6,3,FALSE)=0,"Spatial Data Missing",VLOOKUP(J18,'G-3 Multipliers'!$L$3:$N$6,3,FALSE)))</f>
        <v/>
      </c>
      <c r="M18" s="197"/>
      <c r="N18" s="499" t="str">
        <f>IF(M18="","",IF(VLOOKUP(M18,'G-3 Multipliers'!$S$3:$T$6,2,FALSE)=0,"Spatial Data Missing ⚠",VLOOKUP(M18,'G-3 Multipliers'!$S$3:$T$6,2,FALSE)))</f>
        <v/>
      </c>
      <c r="O18" s="498" t="str">
        <f>IF(OR(D18="",H18=""),"",(INDEX('G-6 Hedgerow Data'!$E$3:$I$15,MATCH(D18,'G-6 Hedgerow Data'!$B$3:$B$15,0),MATCH(H18,'G-6 Hedgerow Data'!$E$2:$I$2,0))))</f>
        <v/>
      </c>
      <c r="P18" s="195"/>
      <c r="Q18" s="195"/>
      <c r="R18" s="507" t="str">
        <f t="shared" si="1"/>
        <v/>
      </c>
      <c r="S18" s="521" t="str">
        <f t="shared" si="2"/>
        <v/>
      </c>
      <c r="T18" s="522" t="str">
        <f t="shared" si="0"/>
        <v/>
      </c>
      <c r="U18" s="537" t="str">
        <f>IF(D18="","",VLOOKUP(D18,'G-6 Hedgerow Data'!$B$3:$AG$15,31,FALSE))</f>
        <v/>
      </c>
      <c r="V18" s="520" t="str">
        <f t="shared" si="3"/>
        <v/>
      </c>
      <c r="W18" s="520" t="str">
        <f t="shared" si="4"/>
        <v/>
      </c>
      <c r="X18" s="524" t="str">
        <f>IF(F18="","",VLOOKUP(U18,'G-3 Multipliers'!$P$3:$Q$6,2,FALSE))</f>
        <v/>
      </c>
      <c r="Y18" s="529" t="str">
        <f t="shared" si="5"/>
        <v/>
      </c>
      <c r="Z18" s="149"/>
      <c r="AA18" s="150"/>
      <c r="AG18" s="31" t="str">
        <f>IFERROR(INDEX('G-6 Hedgerow Data'!$BJ$3:$BJ$15,MATCH(D18,'G-6 Hedgerow Data'!$B$3:$B$15,0)),"")</f>
        <v/>
      </c>
    </row>
    <row r="19" spans="2:33" ht="13.8" x14ac:dyDescent="0.25">
      <c r="B19" s="103">
        <v>8</v>
      </c>
      <c r="C19" s="268"/>
      <c r="D19" s="82"/>
      <c r="E19" s="203"/>
      <c r="F19" s="498" t="str">
        <f>IF(D19="","",VLOOKUP(D19,'G-6 Hedgerow Data'!$B$2:$AG$15,2,FALSE))</f>
        <v/>
      </c>
      <c r="G19" s="524" t="str">
        <f>IF(D19="","",VLOOKUP(D19,'G-6 Hedgerow Data'!$B$2:$AG$15,3,FALSE))</f>
        <v/>
      </c>
      <c r="H19" s="72"/>
      <c r="I19" s="499" t="str">
        <f>IFERROR(IF(AND(F19="V.Low",OR(H19="Good",H19="Moderate")),"Error ▲",VLOOKUP(H19,'G-1 All Habitats'!$Z$2:$AA$9,2,FALSE)),"")</f>
        <v/>
      </c>
      <c r="J19" s="146"/>
      <c r="K19" s="520" t="str">
        <f>IF(J19="","",IF(VLOOKUP(J19,'G-3 Multipliers'!$L$3:$N$6,2,FALSE)=0,"Spatial Data Missing",VLOOKUP(J19,'G-3 Multipliers'!$L$3:$N$6,2,FALSE)))</f>
        <v/>
      </c>
      <c r="L19" s="524" t="str">
        <f>IF(J19="","",IF(VLOOKUP(J19,'G-3 Multipliers'!$L$3:$N$6,3,FALSE)=0,"Spatial Data Missing",VLOOKUP(J19,'G-3 Multipliers'!$L$3:$N$6,3,FALSE)))</f>
        <v/>
      </c>
      <c r="M19" s="197"/>
      <c r="N19" s="499" t="str">
        <f>IF(M19="","",IF(VLOOKUP(M19,'G-3 Multipliers'!$S$3:$T$6,2,FALSE)=0,"Spatial Data Missing ⚠",VLOOKUP(M19,'G-3 Multipliers'!$S$3:$T$6,2,FALSE)))</f>
        <v/>
      </c>
      <c r="O19" s="498" t="str">
        <f>IF(OR(D19="",H19=""),"",(INDEX('G-6 Hedgerow Data'!$E$3:$I$15,MATCH(D19,'G-6 Hedgerow Data'!$B$3:$B$15,0),MATCH(H19,'G-6 Hedgerow Data'!$E$2:$I$2,0))))</f>
        <v/>
      </c>
      <c r="P19" s="195"/>
      <c r="Q19" s="195"/>
      <c r="R19" s="507" t="str">
        <f t="shared" si="1"/>
        <v/>
      </c>
      <c r="S19" s="521" t="str">
        <f t="shared" si="2"/>
        <v/>
      </c>
      <c r="T19" s="522" t="str">
        <f t="shared" si="0"/>
        <v/>
      </c>
      <c r="U19" s="537" t="str">
        <f>IF(D19="","",VLOOKUP(D19,'G-6 Hedgerow Data'!$B$3:$AG$15,31,FALSE))</f>
        <v/>
      </c>
      <c r="V19" s="520" t="str">
        <f t="shared" si="3"/>
        <v/>
      </c>
      <c r="W19" s="520" t="str">
        <f t="shared" si="4"/>
        <v/>
      </c>
      <c r="X19" s="524" t="str">
        <f>IF(F19="","",VLOOKUP(U19,'G-3 Multipliers'!$P$3:$Q$6,2,FALSE))</f>
        <v/>
      </c>
      <c r="Y19" s="529" t="str">
        <f t="shared" si="5"/>
        <v/>
      </c>
      <c r="Z19" s="149"/>
      <c r="AA19" s="150"/>
      <c r="AG19" s="31" t="str">
        <f>IFERROR(INDEX('G-6 Hedgerow Data'!$BJ$3:$BJ$15,MATCH(D19,'G-6 Hedgerow Data'!$B$3:$B$15,0)),"")</f>
        <v/>
      </c>
    </row>
    <row r="20" spans="2:33" ht="13.8" x14ac:dyDescent="0.25">
      <c r="B20" s="103">
        <v>9</v>
      </c>
      <c r="C20" s="268"/>
      <c r="D20" s="82"/>
      <c r="E20" s="203"/>
      <c r="F20" s="498" t="str">
        <f>IF(D20="","",VLOOKUP(D20,'G-6 Hedgerow Data'!$B$2:$AG$15,2,FALSE))</f>
        <v/>
      </c>
      <c r="G20" s="524" t="str">
        <f>IF(D20="","",VLOOKUP(D20,'G-6 Hedgerow Data'!$B$2:$AG$15,3,FALSE))</f>
        <v/>
      </c>
      <c r="H20" s="72"/>
      <c r="I20" s="499" t="str">
        <f>IFERROR(IF(AND(F20="V.Low",OR(H20="Good",H20="Moderate")),"Error ▲",VLOOKUP(H20,'G-1 All Habitats'!$Z$2:$AA$9,2,FALSE)),"")</f>
        <v/>
      </c>
      <c r="J20" s="146"/>
      <c r="K20" s="520" t="str">
        <f>IF(J20="","",IF(VLOOKUP(J20,'G-3 Multipliers'!$L$3:$N$6,2,FALSE)=0,"Spatial Data Missing",VLOOKUP(J20,'G-3 Multipliers'!$L$3:$N$6,2,FALSE)))</f>
        <v/>
      </c>
      <c r="L20" s="524" t="str">
        <f>IF(J20="","",IF(VLOOKUP(J20,'G-3 Multipliers'!$L$3:$N$6,3,FALSE)=0,"Spatial Data Missing",VLOOKUP(J20,'G-3 Multipliers'!$L$3:$N$6,3,FALSE)))</f>
        <v/>
      </c>
      <c r="M20" s="197"/>
      <c r="N20" s="499" t="str">
        <f>IF(M20="","",IF(VLOOKUP(M20,'G-3 Multipliers'!$S$3:$T$6,2,FALSE)=0,"Spatial Data Missing ⚠",VLOOKUP(M20,'G-3 Multipliers'!$S$3:$T$6,2,FALSE)))</f>
        <v/>
      </c>
      <c r="O20" s="498" t="str">
        <f>IF(OR(D20="",H20=""),"",(INDEX('G-6 Hedgerow Data'!$E$3:$I$15,MATCH(D20,'G-6 Hedgerow Data'!$B$3:$B$15,0),MATCH(H20,'G-6 Hedgerow Data'!$E$2:$I$2,0))))</f>
        <v/>
      </c>
      <c r="P20" s="195"/>
      <c r="Q20" s="195"/>
      <c r="R20" s="507" t="str">
        <f t="shared" si="1"/>
        <v/>
      </c>
      <c r="S20" s="521" t="str">
        <f t="shared" si="2"/>
        <v/>
      </c>
      <c r="T20" s="522" t="str">
        <f t="shared" si="0"/>
        <v/>
      </c>
      <c r="U20" s="537" t="str">
        <f>IF(D20="","",VLOOKUP(D20,'G-6 Hedgerow Data'!$B$3:$AG$15,31,FALSE))</f>
        <v/>
      </c>
      <c r="V20" s="520" t="str">
        <f t="shared" si="3"/>
        <v/>
      </c>
      <c r="W20" s="520" t="str">
        <f t="shared" si="4"/>
        <v/>
      </c>
      <c r="X20" s="524" t="str">
        <f>IF(F20="","",VLOOKUP(U20,'G-3 Multipliers'!$P$3:$Q$6,2,FALSE))</f>
        <v/>
      </c>
      <c r="Y20" s="529" t="str">
        <f t="shared" si="5"/>
        <v/>
      </c>
      <c r="Z20" s="149"/>
      <c r="AA20" s="150"/>
      <c r="AG20" s="31" t="str">
        <f>IFERROR(INDEX('G-6 Hedgerow Data'!$BJ$3:$BJ$15,MATCH(D20,'G-6 Hedgerow Data'!$B$3:$B$15,0)),"")</f>
        <v/>
      </c>
    </row>
    <row r="21" spans="2:33" ht="13.8" x14ac:dyDescent="0.25">
      <c r="B21" s="103">
        <v>10</v>
      </c>
      <c r="C21" s="268"/>
      <c r="D21" s="82"/>
      <c r="E21" s="203"/>
      <c r="F21" s="498" t="str">
        <f>IF(D21="","",VLOOKUP(D21,'G-6 Hedgerow Data'!$B$2:$AG$15,2,FALSE))</f>
        <v/>
      </c>
      <c r="G21" s="524" t="str">
        <f>IF(D21="","",VLOOKUP(D21,'G-6 Hedgerow Data'!$B$2:$AG$15,3,FALSE))</f>
        <v/>
      </c>
      <c r="H21" s="72"/>
      <c r="I21" s="499" t="str">
        <f>IFERROR(IF(AND(F21="V.Low",OR(H21="Good",H21="Moderate")),"Error ▲",VLOOKUP(H21,'G-1 All Habitats'!$Z$2:$AA$9,2,FALSE)),"")</f>
        <v/>
      </c>
      <c r="J21" s="146"/>
      <c r="K21" s="520" t="str">
        <f>IF(J21="","",IF(VLOOKUP(J21,'G-3 Multipliers'!$L$3:$N$6,2,FALSE)=0,"Spatial Data Missing",VLOOKUP(J21,'G-3 Multipliers'!$L$3:$N$6,2,FALSE)))</f>
        <v/>
      </c>
      <c r="L21" s="524" t="str">
        <f>IF(J21="","",IF(VLOOKUP(J21,'G-3 Multipliers'!$L$3:$N$6,3,FALSE)=0,"Spatial Data Missing",VLOOKUP(J21,'G-3 Multipliers'!$L$3:$N$6,3,FALSE)))</f>
        <v/>
      </c>
      <c r="M21" s="197"/>
      <c r="N21" s="499" t="str">
        <f>IF(M21="","",IF(VLOOKUP(M21,'G-3 Multipliers'!$S$3:$T$6,2,FALSE)=0,"Spatial Data Missing ⚠",VLOOKUP(M21,'G-3 Multipliers'!$S$3:$T$6,2,FALSE)))</f>
        <v/>
      </c>
      <c r="O21" s="498" t="str">
        <f>IF(OR(D21="",H21=""),"",(INDEX('G-6 Hedgerow Data'!$E$3:$I$15,MATCH(D21,'G-6 Hedgerow Data'!$B$3:$B$15,0),MATCH(H21,'G-6 Hedgerow Data'!$E$2:$I$2,0))))</f>
        <v/>
      </c>
      <c r="P21" s="195"/>
      <c r="Q21" s="195"/>
      <c r="R21" s="507" t="str">
        <f t="shared" si="1"/>
        <v/>
      </c>
      <c r="S21" s="521" t="str">
        <f t="shared" si="2"/>
        <v/>
      </c>
      <c r="T21" s="522" t="str">
        <f t="shared" si="0"/>
        <v/>
      </c>
      <c r="U21" s="537" t="str">
        <f>IF(D21="","",VLOOKUP(D21,'G-6 Hedgerow Data'!$B$3:$AG$15,31,FALSE))</f>
        <v/>
      </c>
      <c r="V21" s="520" t="str">
        <f t="shared" si="3"/>
        <v/>
      </c>
      <c r="W21" s="520" t="str">
        <f t="shared" si="4"/>
        <v/>
      </c>
      <c r="X21" s="524" t="str">
        <f>IF(F21="","",VLOOKUP(U21,'G-3 Multipliers'!$P$3:$Q$6,2,FALSE))</f>
        <v/>
      </c>
      <c r="Y21" s="529" t="str">
        <f t="shared" si="5"/>
        <v/>
      </c>
      <c r="Z21" s="149"/>
      <c r="AA21" s="150"/>
      <c r="AG21" s="31" t="str">
        <f>IFERROR(INDEX('G-6 Hedgerow Data'!$BJ$3:$BJ$15,MATCH(D21,'G-6 Hedgerow Data'!$B$3:$B$15,0)),"")</f>
        <v/>
      </c>
    </row>
    <row r="22" spans="2:33" ht="13.8" x14ac:dyDescent="0.25">
      <c r="B22" s="103">
        <v>11</v>
      </c>
      <c r="C22" s="268"/>
      <c r="D22" s="82"/>
      <c r="E22" s="203"/>
      <c r="F22" s="498" t="str">
        <f>IF(D22="","",VLOOKUP(D22,'G-6 Hedgerow Data'!$B$2:$AG$15,2,FALSE))</f>
        <v/>
      </c>
      <c r="G22" s="524" t="str">
        <f>IF(D22="","",VLOOKUP(D22,'G-6 Hedgerow Data'!$B$2:$AG$15,3,FALSE))</f>
        <v/>
      </c>
      <c r="H22" s="72"/>
      <c r="I22" s="499" t="str">
        <f>IFERROR(IF(AND(F22="V.Low",OR(H22="Good",H22="Moderate")),"Error ▲",VLOOKUP(H22,'G-1 All Habitats'!$Z$2:$AA$9,2,FALSE)),"")</f>
        <v/>
      </c>
      <c r="J22" s="146"/>
      <c r="K22" s="520" t="str">
        <f>IF(J22="","",IF(VLOOKUP(J22,'G-3 Multipliers'!$L$3:$N$6,2,FALSE)=0,"Spatial Data Missing",VLOOKUP(J22,'G-3 Multipliers'!$L$3:$N$6,2,FALSE)))</f>
        <v/>
      </c>
      <c r="L22" s="524" t="str">
        <f>IF(J22="","",IF(VLOOKUP(J22,'G-3 Multipliers'!$L$3:$N$6,3,FALSE)=0,"Spatial Data Missing",VLOOKUP(J22,'G-3 Multipliers'!$L$3:$N$6,3,FALSE)))</f>
        <v/>
      </c>
      <c r="M22" s="197"/>
      <c r="N22" s="499" t="str">
        <f>IF(M22="","",IF(VLOOKUP(M22,'G-3 Multipliers'!$S$3:$T$6,2,FALSE)=0,"Spatial Data Missing ⚠",VLOOKUP(M22,'G-3 Multipliers'!$S$3:$T$6,2,FALSE)))</f>
        <v/>
      </c>
      <c r="O22" s="498" t="str">
        <f>IF(OR(D22="",H22=""),"",(INDEX('G-6 Hedgerow Data'!$E$3:$I$15,MATCH(D22,'G-6 Hedgerow Data'!$B$3:$B$15,0),MATCH(H22,'G-6 Hedgerow Data'!$E$2:$I$2,0))))</f>
        <v/>
      </c>
      <c r="P22" s="195"/>
      <c r="Q22" s="195"/>
      <c r="R22" s="507" t="str">
        <f t="shared" si="1"/>
        <v/>
      </c>
      <c r="S22" s="521" t="str">
        <f t="shared" si="2"/>
        <v/>
      </c>
      <c r="T22" s="522" t="str">
        <f t="shared" si="0"/>
        <v/>
      </c>
      <c r="U22" s="537" t="str">
        <f>IF(D22="","",VLOOKUP(D22,'G-6 Hedgerow Data'!$B$3:$AG$15,31,FALSE))</f>
        <v/>
      </c>
      <c r="V22" s="520" t="str">
        <f t="shared" si="3"/>
        <v/>
      </c>
      <c r="W22" s="520" t="str">
        <f t="shared" si="4"/>
        <v/>
      </c>
      <c r="X22" s="524" t="str">
        <f>IF(F22="","",VLOOKUP(U22,'G-3 Multipliers'!$P$3:$Q$6,2,FALSE))</f>
        <v/>
      </c>
      <c r="Y22" s="529" t="str">
        <f t="shared" si="5"/>
        <v/>
      </c>
      <c r="Z22" s="149"/>
      <c r="AA22" s="150"/>
      <c r="AG22" s="31" t="str">
        <f>IFERROR(INDEX('G-6 Hedgerow Data'!$BJ$3:$BJ$15,MATCH(D22,'G-6 Hedgerow Data'!$B$3:$B$15,0)),"")</f>
        <v/>
      </c>
    </row>
    <row r="23" spans="2:33" ht="13.8" x14ac:dyDescent="0.25">
      <c r="B23" s="103">
        <v>12</v>
      </c>
      <c r="C23" s="268"/>
      <c r="D23" s="82"/>
      <c r="E23" s="203"/>
      <c r="F23" s="498" t="str">
        <f>IF(D23="","",VLOOKUP(D23,'G-6 Hedgerow Data'!$B$2:$AG$15,2,FALSE))</f>
        <v/>
      </c>
      <c r="G23" s="524" t="str">
        <f>IF(D23="","",VLOOKUP(D23,'G-6 Hedgerow Data'!$B$2:$AG$15,3,FALSE))</f>
        <v/>
      </c>
      <c r="H23" s="72"/>
      <c r="I23" s="499" t="str">
        <f>IFERROR(IF(AND(F23="V.Low",OR(H23="Good",H23="Moderate")),"Error ▲",VLOOKUP(H23,'G-1 All Habitats'!$Z$2:$AA$9,2,FALSE)),"")</f>
        <v/>
      </c>
      <c r="J23" s="146"/>
      <c r="K23" s="520" t="str">
        <f>IF(J23="","",IF(VLOOKUP(J23,'G-3 Multipliers'!$L$3:$N$6,2,FALSE)=0,"Spatial Data Missing",VLOOKUP(J23,'G-3 Multipliers'!$L$3:$N$6,2,FALSE)))</f>
        <v/>
      </c>
      <c r="L23" s="524" t="str">
        <f>IF(J23="","",IF(VLOOKUP(J23,'G-3 Multipliers'!$L$3:$N$6,3,FALSE)=0,"Spatial Data Missing",VLOOKUP(J23,'G-3 Multipliers'!$L$3:$N$6,3,FALSE)))</f>
        <v/>
      </c>
      <c r="M23" s="197"/>
      <c r="N23" s="499" t="str">
        <f>IF(M23="","",IF(VLOOKUP(M23,'G-3 Multipliers'!$S$3:$T$6,2,FALSE)=0,"Spatial Data Missing ⚠",VLOOKUP(M23,'G-3 Multipliers'!$S$3:$T$6,2,FALSE)))</f>
        <v/>
      </c>
      <c r="O23" s="498" t="str">
        <f>IF(OR(D23="",H23=""),"",(INDEX('G-6 Hedgerow Data'!$E$3:$I$15,MATCH(D23,'G-6 Hedgerow Data'!$B$3:$B$15,0),MATCH(H23,'G-6 Hedgerow Data'!$E$2:$I$2,0))))</f>
        <v/>
      </c>
      <c r="P23" s="195"/>
      <c r="Q23" s="195"/>
      <c r="R23" s="507" t="str">
        <f t="shared" si="1"/>
        <v/>
      </c>
      <c r="S23" s="521" t="str">
        <f t="shared" si="2"/>
        <v/>
      </c>
      <c r="T23" s="522" t="str">
        <f t="shared" si="0"/>
        <v/>
      </c>
      <c r="U23" s="537" t="str">
        <f>IF(D23="","",VLOOKUP(D23,'G-6 Hedgerow Data'!$B$3:$AG$15,31,FALSE))</f>
        <v/>
      </c>
      <c r="V23" s="520" t="str">
        <f t="shared" si="3"/>
        <v/>
      </c>
      <c r="W23" s="520" t="str">
        <f t="shared" si="4"/>
        <v/>
      </c>
      <c r="X23" s="524" t="str">
        <f>IF(F23="","",VLOOKUP(U23,'G-3 Multipliers'!$P$3:$Q$6,2,FALSE))</f>
        <v/>
      </c>
      <c r="Y23" s="529" t="str">
        <f t="shared" si="5"/>
        <v/>
      </c>
      <c r="Z23" s="149"/>
      <c r="AA23" s="150"/>
      <c r="AG23" s="31" t="str">
        <f>IFERROR(INDEX('G-6 Hedgerow Data'!$BJ$3:$BJ$15,MATCH(D23,'G-6 Hedgerow Data'!$B$3:$B$15,0)),"")</f>
        <v/>
      </c>
    </row>
    <row r="24" spans="2:33" ht="13.8" x14ac:dyDescent="0.25">
      <c r="B24" s="103">
        <v>13</v>
      </c>
      <c r="C24" s="268"/>
      <c r="D24" s="82"/>
      <c r="E24" s="203"/>
      <c r="F24" s="498" t="str">
        <f>IF(D24="","",VLOOKUP(D24,'G-6 Hedgerow Data'!$B$2:$AG$15,2,FALSE))</f>
        <v/>
      </c>
      <c r="G24" s="524" t="str">
        <f>IF(D24="","",VLOOKUP(D24,'G-6 Hedgerow Data'!$B$2:$AG$15,3,FALSE))</f>
        <v/>
      </c>
      <c r="H24" s="72"/>
      <c r="I24" s="499" t="str">
        <f>IFERROR(IF(AND(F24="V.Low",OR(H24="Good",H24="Moderate")),"Error ▲",VLOOKUP(H24,'G-1 All Habitats'!$Z$2:$AA$9,2,FALSE)),"")</f>
        <v/>
      </c>
      <c r="J24" s="146"/>
      <c r="K24" s="520" t="str">
        <f>IF(J24="","",IF(VLOOKUP(J24,'G-3 Multipliers'!$L$3:$N$6,2,FALSE)=0,"Spatial Data Missing",VLOOKUP(J24,'G-3 Multipliers'!$L$3:$N$6,2,FALSE)))</f>
        <v/>
      </c>
      <c r="L24" s="524" t="str">
        <f>IF(J24="","",IF(VLOOKUP(J24,'G-3 Multipliers'!$L$3:$N$6,3,FALSE)=0,"Spatial Data Missing",VLOOKUP(J24,'G-3 Multipliers'!$L$3:$N$6,3,FALSE)))</f>
        <v/>
      </c>
      <c r="M24" s="197"/>
      <c r="N24" s="499" t="str">
        <f>IF(M24="","",IF(VLOOKUP(M24,'G-3 Multipliers'!$S$3:$T$6,2,FALSE)=0,"Spatial Data Missing ⚠",VLOOKUP(M24,'G-3 Multipliers'!$S$3:$T$6,2,FALSE)))</f>
        <v/>
      </c>
      <c r="O24" s="498" t="str">
        <f>IF(OR(D24="",H24=""),"",(INDEX('G-6 Hedgerow Data'!$E$3:$I$15,MATCH(D24,'G-6 Hedgerow Data'!$B$3:$B$15,0),MATCH(H24,'G-6 Hedgerow Data'!$E$2:$I$2,0))))</f>
        <v/>
      </c>
      <c r="P24" s="195"/>
      <c r="Q24" s="195"/>
      <c r="R24" s="507" t="str">
        <f t="shared" si="1"/>
        <v/>
      </c>
      <c r="S24" s="521" t="str">
        <f t="shared" si="2"/>
        <v/>
      </c>
      <c r="T24" s="522" t="str">
        <f t="shared" si="0"/>
        <v/>
      </c>
      <c r="U24" s="537" t="str">
        <f>IF(D24="","",VLOOKUP(D24,'G-6 Hedgerow Data'!$B$3:$AG$15,31,FALSE))</f>
        <v/>
      </c>
      <c r="V24" s="520" t="str">
        <f t="shared" si="3"/>
        <v/>
      </c>
      <c r="W24" s="520" t="str">
        <f t="shared" si="4"/>
        <v/>
      </c>
      <c r="X24" s="524" t="str">
        <f>IF(F24="","",VLOOKUP(U24,'G-3 Multipliers'!$P$3:$Q$6,2,FALSE))</f>
        <v/>
      </c>
      <c r="Y24" s="529" t="str">
        <f t="shared" si="5"/>
        <v/>
      </c>
      <c r="Z24" s="149"/>
      <c r="AA24" s="150"/>
      <c r="AG24" s="31" t="str">
        <f>IFERROR(INDEX('G-6 Hedgerow Data'!$BJ$3:$BJ$15,MATCH(D24,'G-6 Hedgerow Data'!$B$3:$B$15,0)),"")</f>
        <v/>
      </c>
    </row>
    <row r="25" spans="2:33" ht="13.8" x14ac:dyDescent="0.25">
      <c r="B25" s="103">
        <v>14</v>
      </c>
      <c r="C25" s="268"/>
      <c r="D25" s="82"/>
      <c r="E25" s="203"/>
      <c r="F25" s="498" t="str">
        <f>IF(D25="","",VLOOKUP(D25,'G-6 Hedgerow Data'!$B$2:$AG$15,2,FALSE))</f>
        <v/>
      </c>
      <c r="G25" s="524" t="str">
        <f>IF(D25="","",VLOOKUP(D25,'G-6 Hedgerow Data'!$B$2:$AG$15,3,FALSE))</f>
        <v/>
      </c>
      <c r="H25" s="72"/>
      <c r="I25" s="499" t="str">
        <f>IFERROR(IF(AND(F25="V.Low",OR(H25="Good",H25="Moderate")),"Error ▲",VLOOKUP(H25,'G-1 All Habitats'!$Z$2:$AA$9,2,FALSE)),"")</f>
        <v/>
      </c>
      <c r="J25" s="146"/>
      <c r="K25" s="520" t="str">
        <f>IF(J25="","",IF(VLOOKUP(J25,'G-3 Multipliers'!$L$3:$N$6,2,FALSE)=0,"Spatial Data Missing",VLOOKUP(J25,'G-3 Multipliers'!$L$3:$N$6,2,FALSE)))</f>
        <v/>
      </c>
      <c r="L25" s="524" t="str">
        <f>IF(J25="","",IF(VLOOKUP(J25,'G-3 Multipliers'!$L$3:$N$6,3,FALSE)=0,"Spatial Data Missing",VLOOKUP(J25,'G-3 Multipliers'!$L$3:$N$6,3,FALSE)))</f>
        <v/>
      </c>
      <c r="M25" s="197"/>
      <c r="N25" s="499" t="str">
        <f>IF(M25="","",IF(VLOOKUP(M25,'G-3 Multipliers'!$S$3:$T$6,2,FALSE)=0,"Spatial Data Missing ⚠",VLOOKUP(M25,'G-3 Multipliers'!$S$3:$T$6,2,FALSE)))</f>
        <v/>
      </c>
      <c r="O25" s="498" t="str">
        <f>IF(OR(D25="",H25=""),"",(INDEX('G-6 Hedgerow Data'!$E$3:$I$15,MATCH(D25,'G-6 Hedgerow Data'!$B$3:$B$15,0),MATCH(H25,'G-6 Hedgerow Data'!$E$2:$I$2,0))))</f>
        <v/>
      </c>
      <c r="P25" s="195"/>
      <c r="Q25" s="195"/>
      <c r="R25" s="507" t="str">
        <f t="shared" si="1"/>
        <v/>
      </c>
      <c r="S25" s="521" t="str">
        <f t="shared" si="2"/>
        <v/>
      </c>
      <c r="T25" s="522" t="str">
        <f t="shared" si="0"/>
        <v/>
      </c>
      <c r="U25" s="537" t="str">
        <f>IF(D25="","",VLOOKUP(D25,'G-6 Hedgerow Data'!$B$3:$AG$15,31,FALSE))</f>
        <v/>
      </c>
      <c r="V25" s="520" t="str">
        <f t="shared" si="3"/>
        <v/>
      </c>
      <c r="W25" s="520" t="str">
        <f t="shared" si="4"/>
        <v/>
      </c>
      <c r="X25" s="524" t="str">
        <f>IF(F25="","",VLOOKUP(U25,'G-3 Multipliers'!$P$3:$Q$6,2,FALSE))</f>
        <v/>
      </c>
      <c r="Y25" s="529" t="str">
        <f t="shared" si="5"/>
        <v/>
      </c>
      <c r="Z25" s="149"/>
      <c r="AA25" s="150"/>
      <c r="AG25" s="31" t="str">
        <f>IFERROR(INDEX('G-6 Hedgerow Data'!$BJ$3:$BJ$15,MATCH(D25,'G-6 Hedgerow Data'!$B$3:$B$15,0)),"")</f>
        <v/>
      </c>
    </row>
    <row r="26" spans="2:33" ht="13.8" x14ac:dyDescent="0.25">
      <c r="B26" s="103">
        <v>15</v>
      </c>
      <c r="C26" s="268"/>
      <c r="D26" s="82"/>
      <c r="E26" s="203"/>
      <c r="F26" s="498" t="str">
        <f>IF(D26="","",VLOOKUP(D26,'G-6 Hedgerow Data'!$B$2:$AG$15,2,FALSE))</f>
        <v/>
      </c>
      <c r="G26" s="524" t="str">
        <f>IF(D26="","",VLOOKUP(D26,'G-6 Hedgerow Data'!$B$2:$AG$15,3,FALSE))</f>
        <v/>
      </c>
      <c r="H26" s="72"/>
      <c r="I26" s="499" t="str">
        <f>IFERROR(IF(AND(F26="V.Low",OR(H26="Good",H26="Moderate")),"Error ▲",VLOOKUP(H26,'G-1 All Habitats'!$Z$2:$AA$9,2,FALSE)),"")</f>
        <v/>
      </c>
      <c r="J26" s="146"/>
      <c r="K26" s="520" t="str">
        <f>IF(J26="","",IF(VLOOKUP(J26,'G-3 Multipliers'!$L$3:$N$6,2,FALSE)=0,"Spatial Data Missing",VLOOKUP(J26,'G-3 Multipliers'!$L$3:$N$6,2,FALSE)))</f>
        <v/>
      </c>
      <c r="L26" s="524" t="str">
        <f>IF(J26="","",IF(VLOOKUP(J26,'G-3 Multipliers'!$L$3:$N$6,3,FALSE)=0,"Spatial Data Missing",VLOOKUP(J26,'G-3 Multipliers'!$L$3:$N$6,3,FALSE)))</f>
        <v/>
      </c>
      <c r="M26" s="197"/>
      <c r="N26" s="499" t="str">
        <f>IF(M26="","",IF(VLOOKUP(M26,'G-3 Multipliers'!$S$3:$T$6,2,FALSE)=0,"Spatial Data Missing ⚠",VLOOKUP(M26,'G-3 Multipliers'!$S$3:$T$6,2,FALSE)))</f>
        <v/>
      </c>
      <c r="O26" s="498" t="str">
        <f>IF(OR(D26="",H26=""),"",(INDEX('G-6 Hedgerow Data'!$E$3:$I$15,MATCH(D26,'G-6 Hedgerow Data'!$B$3:$B$15,0),MATCH(H26,'G-6 Hedgerow Data'!$E$2:$I$2,0))))</f>
        <v/>
      </c>
      <c r="P26" s="195"/>
      <c r="Q26" s="195"/>
      <c r="R26" s="507" t="str">
        <f t="shared" si="1"/>
        <v/>
      </c>
      <c r="S26" s="521" t="str">
        <f t="shared" si="2"/>
        <v/>
      </c>
      <c r="T26" s="522" t="str">
        <f t="shared" si="0"/>
        <v/>
      </c>
      <c r="U26" s="537" t="str">
        <f>IF(D26="","",VLOOKUP(D26,'G-6 Hedgerow Data'!$B$3:$AG$15,31,FALSE))</f>
        <v/>
      </c>
      <c r="V26" s="520" t="str">
        <f t="shared" si="3"/>
        <v/>
      </c>
      <c r="W26" s="520" t="str">
        <f t="shared" si="4"/>
        <v/>
      </c>
      <c r="X26" s="524" t="str">
        <f>IF(F26="","",VLOOKUP(U26,'G-3 Multipliers'!$P$3:$Q$6,2,FALSE))</f>
        <v/>
      </c>
      <c r="Y26" s="529" t="str">
        <f t="shared" si="5"/>
        <v/>
      </c>
      <c r="Z26" s="149"/>
      <c r="AA26" s="150"/>
      <c r="AG26" s="31" t="str">
        <f>IFERROR(INDEX('G-6 Hedgerow Data'!$BJ$3:$BJ$15,MATCH(D26,'G-6 Hedgerow Data'!$B$3:$B$15,0)),"")</f>
        <v/>
      </c>
    </row>
    <row r="27" spans="2:33" ht="13.8" x14ac:dyDescent="0.25">
      <c r="B27" s="103">
        <v>16</v>
      </c>
      <c r="C27" s="268"/>
      <c r="D27" s="82"/>
      <c r="E27" s="203"/>
      <c r="F27" s="498" t="str">
        <f>IF(D27="","",VLOOKUP(D27,'G-6 Hedgerow Data'!$B$2:$AG$15,2,FALSE))</f>
        <v/>
      </c>
      <c r="G27" s="524" t="str">
        <f>IF(D27="","",VLOOKUP(D27,'G-6 Hedgerow Data'!$B$2:$AG$15,3,FALSE))</f>
        <v/>
      </c>
      <c r="H27" s="72"/>
      <c r="I27" s="499" t="str">
        <f>IFERROR(IF(AND(F27="V.Low",OR(H27="Good",H27="Moderate")),"Error ▲",VLOOKUP(H27,'G-1 All Habitats'!$Z$2:$AA$9,2,FALSE)),"")</f>
        <v/>
      </c>
      <c r="J27" s="146"/>
      <c r="K27" s="520" t="str">
        <f>IF(J27="","",IF(VLOOKUP(J27,'G-3 Multipliers'!$L$3:$N$6,2,FALSE)=0,"Spatial Data Missing",VLOOKUP(J27,'G-3 Multipliers'!$L$3:$N$6,2,FALSE)))</f>
        <v/>
      </c>
      <c r="L27" s="524" t="str">
        <f>IF(J27="","",IF(VLOOKUP(J27,'G-3 Multipliers'!$L$3:$N$6,3,FALSE)=0,"Spatial Data Missing",VLOOKUP(J27,'G-3 Multipliers'!$L$3:$N$6,3,FALSE)))</f>
        <v/>
      </c>
      <c r="M27" s="197"/>
      <c r="N27" s="499" t="str">
        <f>IF(M27="","",IF(VLOOKUP(M27,'G-3 Multipliers'!$S$3:$T$6,2,FALSE)=0,"Spatial Data Missing ⚠",VLOOKUP(M27,'G-3 Multipliers'!$S$3:$T$6,2,FALSE)))</f>
        <v/>
      </c>
      <c r="O27" s="498" t="str">
        <f>IF(OR(D27="",H27=""),"",(INDEX('G-6 Hedgerow Data'!$E$3:$I$15,MATCH(D27,'G-6 Hedgerow Data'!$B$3:$B$15,0),MATCH(H27,'G-6 Hedgerow Data'!$E$2:$I$2,0))))</f>
        <v/>
      </c>
      <c r="P27" s="195"/>
      <c r="Q27" s="195"/>
      <c r="R27" s="507" t="str">
        <f t="shared" si="1"/>
        <v/>
      </c>
      <c r="S27" s="521" t="str">
        <f t="shared" si="2"/>
        <v/>
      </c>
      <c r="T27" s="522" t="str">
        <f t="shared" si="0"/>
        <v/>
      </c>
      <c r="U27" s="537" t="str">
        <f>IF(D27="","",VLOOKUP(D27,'G-6 Hedgerow Data'!$B$3:$AG$15,31,FALSE))</f>
        <v/>
      </c>
      <c r="V27" s="520" t="str">
        <f t="shared" si="3"/>
        <v/>
      </c>
      <c r="W27" s="520" t="str">
        <f t="shared" si="4"/>
        <v/>
      </c>
      <c r="X27" s="524" t="str">
        <f>IF(F27="","",VLOOKUP(U27,'G-3 Multipliers'!$P$3:$Q$6,2,FALSE))</f>
        <v/>
      </c>
      <c r="Y27" s="529" t="str">
        <f t="shared" si="5"/>
        <v/>
      </c>
      <c r="Z27" s="149"/>
      <c r="AA27" s="150"/>
      <c r="AG27" s="31" t="str">
        <f>IFERROR(INDEX('G-6 Hedgerow Data'!$BJ$3:$BJ$15,MATCH(D27,'G-6 Hedgerow Data'!$B$3:$B$15,0)),"")</f>
        <v/>
      </c>
    </row>
    <row r="28" spans="2:33" ht="13.8" x14ac:dyDescent="0.25">
      <c r="B28" s="103">
        <v>17</v>
      </c>
      <c r="C28" s="268"/>
      <c r="D28" s="82"/>
      <c r="E28" s="203"/>
      <c r="F28" s="498" t="str">
        <f>IF(D28="","",VLOOKUP(D28,'G-6 Hedgerow Data'!$B$2:$AG$15,2,FALSE))</f>
        <v/>
      </c>
      <c r="G28" s="524" t="str">
        <f>IF(D28="","",VLOOKUP(D28,'G-6 Hedgerow Data'!$B$2:$AG$15,3,FALSE))</f>
        <v/>
      </c>
      <c r="H28" s="72"/>
      <c r="I28" s="499" t="str">
        <f>IFERROR(IF(AND(F28="V.Low",OR(H28="Good",H28="Moderate")),"Error ▲",VLOOKUP(H28,'G-1 All Habitats'!$Z$2:$AA$9,2,FALSE)),"")</f>
        <v/>
      </c>
      <c r="J28" s="146"/>
      <c r="K28" s="520" t="str">
        <f>IF(J28="","",IF(VLOOKUP(J28,'G-3 Multipliers'!$L$3:$N$6,2,FALSE)=0,"Spatial Data Missing",VLOOKUP(J28,'G-3 Multipliers'!$L$3:$N$6,2,FALSE)))</f>
        <v/>
      </c>
      <c r="L28" s="524" t="str">
        <f>IF(J28="","",IF(VLOOKUP(J28,'G-3 Multipliers'!$L$3:$N$6,3,FALSE)=0,"Spatial Data Missing",VLOOKUP(J28,'G-3 Multipliers'!$L$3:$N$6,3,FALSE)))</f>
        <v/>
      </c>
      <c r="M28" s="197"/>
      <c r="N28" s="499" t="str">
        <f>IF(M28="","",IF(VLOOKUP(M28,'G-3 Multipliers'!$S$3:$T$6,2,FALSE)=0,"Spatial Data Missing ⚠",VLOOKUP(M28,'G-3 Multipliers'!$S$3:$T$6,2,FALSE)))</f>
        <v/>
      </c>
      <c r="O28" s="498" t="str">
        <f>IF(OR(D28="",H28=""),"",(INDEX('G-6 Hedgerow Data'!$E$3:$I$15,MATCH(D28,'G-6 Hedgerow Data'!$B$3:$B$15,0),MATCH(H28,'G-6 Hedgerow Data'!$E$2:$I$2,0))))</f>
        <v/>
      </c>
      <c r="P28" s="195"/>
      <c r="Q28" s="195"/>
      <c r="R28" s="507" t="str">
        <f t="shared" si="1"/>
        <v/>
      </c>
      <c r="S28" s="521" t="str">
        <f t="shared" si="2"/>
        <v/>
      </c>
      <c r="T28" s="522" t="str">
        <f t="shared" si="0"/>
        <v/>
      </c>
      <c r="U28" s="537" t="str">
        <f>IF(D28="","",VLOOKUP(D28,'G-6 Hedgerow Data'!$B$3:$AG$15,31,FALSE))</f>
        <v/>
      </c>
      <c r="V28" s="520" t="str">
        <f t="shared" si="3"/>
        <v/>
      </c>
      <c r="W28" s="520" t="str">
        <f t="shared" si="4"/>
        <v/>
      </c>
      <c r="X28" s="524" t="str">
        <f>IF(F28="","",VLOOKUP(U28,'G-3 Multipliers'!$P$3:$Q$6,2,FALSE))</f>
        <v/>
      </c>
      <c r="Y28" s="529" t="str">
        <f t="shared" si="5"/>
        <v/>
      </c>
      <c r="Z28" s="149"/>
      <c r="AA28" s="150"/>
      <c r="AG28" s="31" t="str">
        <f>IFERROR(INDEX('G-6 Hedgerow Data'!$BJ$3:$BJ$15,MATCH(D28,'G-6 Hedgerow Data'!$B$3:$B$15,0)),"")</f>
        <v/>
      </c>
    </row>
    <row r="29" spans="2:33" ht="13.8" x14ac:dyDescent="0.25">
      <c r="B29" s="103">
        <v>18</v>
      </c>
      <c r="C29" s="268"/>
      <c r="D29" s="82"/>
      <c r="E29" s="203"/>
      <c r="F29" s="498" t="str">
        <f>IF(D29="","",VLOOKUP(D29,'G-6 Hedgerow Data'!$B$2:$AG$15,2,FALSE))</f>
        <v/>
      </c>
      <c r="G29" s="524" t="str">
        <f>IF(D29="","",VLOOKUP(D29,'G-6 Hedgerow Data'!$B$2:$AG$15,3,FALSE))</f>
        <v/>
      </c>
      <c r="H29" s="72"/>
      <c r="I29" s="499" t="str">
        <f>IFERROR(IF(AND(F29="V.Low",OR(H29="Good",H29="Moderate")),"Error ▲",VLOOKUP(H29,'G-1 All Habitats'!$Z$2:$AA$9,2,FALSE)),"")</f>
        <v/>
      </c>
      <c r="J29" s="146"/>
      <c r="K29" s="520" t="str">
        <f>IF(J29="","",IF(VLOOKUP(J29,'G-3 Multipliers'!$L$3:$N$6,2,FALSE)=0,"Spatial Data Missing",VLOOKUP(J29,'G-3 Multipliers'!$L$3:$N$6,2,FALSE)))</f>
        <v/>
      </c>
      <c r="L29" s="524" t="str">
        <f>IF(J29="","",IF(VLOOKUP(J29,'G-3 Multipliers'!$L$3:$N$6,3,FALSE)=0,"Spatial Data Missing",VLOOKUP(J29,'G-3 Multipliers'!$L$3:$N$6,3,FALSE)))</f>
        <v/>
      </c>
      <c r="M29" s="197"/>
      <c r="N29" s="499" t="str">
        <f>IF(M29="","",IF(VLOOKUP(M29,'G-3 Multipliers'!$S$3:$T$6,2,FALSE)=0,"Spatial Data Missing ⚠",VLOOKUP(M29,'G-3 Multipliers'!$S$3:$T$6,2,FALSE)))</f>
        <v/>
      </c>
      <c r="O29" s="498" t="str">
        <f>IF(OR(D29="",H29=""),"",(INDEX('G-6 Hedgerow Data'!$E$3:$I$15,MATCH(D29,'G-6 Hedgerow Data'!$B$3:$B$15,0),MATCH(H29,'G-6 Hedgerow Data'!$E$2:$I$2,0))))</f>
        <v/>
      </c>
      <c r="P29" s="195"/>
      <c r="Q29" s="195"/>
      <c r="R29" s="507" t="str">
        <f t="shared" si="1"/>
        <v/>
      </c>
      <c r="S29" s="521" t="str">
        <f t="shared" si="2"/>
        <v/>
      </c>
      <c r="T29" s="522" t="str">
        <f t="shared" si="0"/>
        <v/>
      </c>
      <c r="U29" s="537" t="str">
        <f>IF(D29="","",VLOOKUP(D29,'G-6 Hedgerow Data'!$B$3:$AG$15,31,FALSE))</f>
        <v/>
      </c>
      <c r="V29" s="520" t="str">
        <f t="shared" si="3"/>
        <v/>
      </c>
      <c r="W29" s="520" t="str">
        <f t="shared" si="4"/>
        <v/>
      </c>
      <c r="X29" s="524" t="str">
        <f>IF(F29="","",VLOOKUP(U29,'G-3 Multipliers'!$P$3:$Q$6,2,FALSE))</f>
        <v/>
      </c>
      <c r="Y29" s="529" t="str">
        <f t="shared" si="5"/>
        <v/>
      </c>
      <c r="Z29" s="149"/>
      <c r="AA29" s="150"/>
      <c r="AG29" s="31" t="str">
        <f>IFERROR(INDEX('G-6 Hedgerow Data'!$BJ$3:$BJ$15,MATCH(D29,'G-6 Hedgerow Data'!$B$3:$B$15,0)),"")</f>
        <v/>
      </c>
    </row>
    <row r="30" spans="2:33" ht="13.8" x14ac:dyDescent="0.25">
      <c r="B30" s="103">
        <v>19</v>
      </c>
      <c r="C30" s="268"/>
      <c r="D30" s="82"/>
      <c r="E30" s="203"/>
      <c r="F30" s="498" t="str">
        <f>IF(D30="","",VLOOKUP(D30,'G-6 Hedgerow Data'!$B$2:$AG$15,2,FALSE))</f>
        <v/>
      </c>
      <c r="G30" s="524" t="str">
        <f>IF(D30="","",VLOOKUP(D30,'G-6 Hedgerow Data'!$B$2:$AG$15,3,FALSE))</f>
        <v/>
      </c>
      <c r="H30" s="72"/>
      <c r="I30" s="499" t="str">
        <f>IFERROR(IF(AND(F30="V.Low",OR(H30="Good",H30="Moderate")),"Error ▲",VLOOKUP(H30,'G-1 All Habitats'!$Z$2:$AA$9,2,FALSE)),"")</f>
        <v/>
      </c>
      <c r="J30" s="146"/>
      <c r="K30" s="520" t="str">
        <f>IF(J30="","",IF(VLOOKUP(J30,'G-3 Multipliers'!$L$3:$N$6,2,FALSE)=0,"Spatial Data Missing",VLOOKUP(J30,'G-3 Multipliers'!$L$3:$N$6,2,FALSE)))</f>
        <v/>
      </c>
      <c r="L30" s="524" t="str">
        <f>IF(J30="","",IF(VLOOKUP(J30,'G-3 Multipliers'!$L$3:$N$6,3,FALSE)=0,"Spatial Data Missing",VLOOKUP(J30,'G-3 Multipliers'!$L$3:$N$6,3,FALSE)))</f>
        <v/>
      </c>
      <c r="M30" s="197"/>
      <c r="N30" s="499" t="str">
        <f>IF(M30="","",IF(VLOOKUP(M30,'G-3 Multipliers'!$S$3:$T$6,2,FALSE)=0,"Spatial Data Missing ⚠",VLOOKUP(M30,'G-3 Multipliers'!$S$3:$T$6,2,FALSE)))</f>
        <v/>
      </c>
      <c r="O30" s="498" t="str">
        <f>IF(OR(D30="",H30=""),"",(INDEX('G-6 Hedgerow Data'!$E$3:$I$15,MATCH(D30,'G-6 Hedgerow Data'!$B$3:$B$15,0),MATCH(H30,'G-6 Hedgerow Data'!$E$2:$I$2,0))))</f>
        <v/>
      </c>
      <c r="P30" s="195"/>
      <c r="Q30" s="195"/>
      <c r="R30" s="507" t="str">
        <f t="shared" si="1"/>
        <v/>
      </c>
      <c r="S30" s="521" t="str">
        <f t="shared" si="2"/>
        <v/>
      </c>
      <c r="T30" s="522" t="str">
        <f t="shared" si="0"/>
        <v/>
      </c>
      <c r="U30" s="537" t="str">
        <f>IF(D30="","",VLOOKUP(D30,'G-6 Hedgerow Data'!$B$3:$AG$15,31,FALSE))</f>
        <v/>
      </c>
      <c r="V30" s="520" t="str">
        <f t="shared" si="3"/>
        <v/>
      </c>
      <c r="W30" s="520" t="str">
        <f t="shared" si="4"/>
        <v/>
      </c>
      <c r="X30" s="524" t="str">
        <f>IF(F30="","",VLOOKUP(U30,'G-3 Multipliers'!$P$3:$Q$6,2,FALSE))</f>
        <v/>
      </c>
      <c r="Y30" s="529" t="str">
        <f t="shared" si="5"/>
        <v/>
      </c>
      <c r="Z30" s="149"/>
      <c r="AA30" s="150"/>
      <c r="AG30" s="31" t="str">
        <f>IFERROR(INDEX('G-6 Hedgerow Data'!$BJ$3:$BJ$15,MATCH(D30,'G-6 Hedgerow Data'!$B$3:$B$15,0)),"")</f>
        <v/>
      </c>
    </row>
    <row r="31" spans="2:33" ht="13.8" x14ac:dyDescent="0.25">
      <c r="B31" s="103">
        <v>20</v>
      </c>
      <c r="C31" s="268"/>
      <c r="D31" s="82"/>
      <c r="E31" s="203"/>
      <c r="F31" s="498" t="str">
        <f>IF(D31="","",VLOOKUP(D31,'G-6 Hedgerow Data'!$B$2:$AG$15,2,FALSE))</f>
        <v/>
      </c>
      <c r="G31" s="524" t="str">
        <f>IF(D31="","",VLOOKUP(D31,'G-6 Hedgerow Data'!$B$2:$AG$15,3,FALSE))</f>
        <v/>
      </c>
      <c r="H31" s="72"/>
      <c r="I31" s="499" t="str">
        <f>IFERROR(IF(AND(F31="V.Low",OR(H31="Good",H31="Moderate")),"Error ▲",VLOOKUP(H31,'G-1 All Habitats'!$Z$2:$AA$9,2,FALSE)),"")</f>
        <v/>
      </c>
      <c r="J31" s="146"/>
      <c r="K31" s="520" t="str">
        <f>IF(J31="","",IF(VLOOKUP(J31,'G-3 Multipliers'!$L$3:$N$6,2,FALSE)=0,"Spatial Data Missing",VLOOKUP(J31,'G-3 Multipliers'!$L$3:$N$6,2,FALSE)))</f>
        <v/>
      </c>
      <c r="L31" s="524" t="str">
        <f>IF(J31="","",IF(VLOOKUP(J31,'G-3 Multipliers'!$L$3:$N$6,3,FALSE)=0,"Spatial Data Missing",VLOOKUP(J31,'G-3 Multipliers'!$L$3:$N$6,3,FALSE)))</f>
        <v/>
      </c>
      <c r="M31" s="197"/>
      <c r="N31" s="499" t="str">
        <f>IF(M31="","",IF(VLOOKUP(M31,'G-3 Multipliers'!$S$3:$T$6,2,FALSE)=0,"Spatial Data Missing ⚠",VLOOKUP(M31,'G-3 Multipliers'!$S$3:$T$6,2,FALSE)))</f>
        <v/>
      </c>
      <c r="O31" s="498" t="str">
        <f>IF(OR(D31="",H31=""),"",(INDEX('G-6 Hedgerow Data'!$E$3:$I$15,MATCH(D31,'G-6 Hedgerow Data'!$B$3:$B$15,0),MATCH(H31,'G-6 Hedgerow Data'!$E$2:$I$2,0))))</f>
        <v/>
      </c>
      <c r="P31" s="195"/>
      <c r="Q31" s="195"/>
      <c r="R31" s="507" t="str">
        <f t="shared" si="1"/>
        <v/>
      </c>
      <c r="S31" s="521" t="str">
        <f t="shared" si="2"/>
        <v/>
      </c>
      <c r="T31" s="522" t="str">
        <f t="shared" si="0"/>
        <v/>
      </c>
      <c r="U31" s="537" t="str">
        <f>IF(D31="","",VLOOKUP(D31,'G-6 Hedgerow Data'!$B$3:$AG$15,31,FALSE))</f>
        <v/>
      </c>
      <c r="V31" s="520" t="str">
        <f t="shared" si="3"/>
        <v/>
      </c>
      <c r="W31" s="520" t="str">
        <f t="shared" si="4"/>
        <v/>
      </c>
      <c r="X31" s="524" t="str">
        <f>IF(F31="","",VLOOKUP(U31,'G-3 Multipliers'!$P$3:$Q$6,2,FALSE))</f>
        <v/>
      </c>
      <c r="Y31" s="529" t="str">
        <f t="shared" si="5"/>
        <v/>
      </c>
      <c r="Z31" s="149"/>
      <c r="AA31" s="150"/>
      <c r="AG31" s="31" t="str">
        <f>IFERROR(INDEX('G-6 Hedgerow Data'!$BJ$3:$BJ$15,MATCH(D31,'G-6 Hedgerow Data'!$B$3:$B$15,0)),"")</f>
        <v/>
      </c>
    </row>
    <row r="32" spans="2:33" ht="13.8" x14ac:dyDescent="0.25">
      <c r="B32" s="103">
        <v>21</v>
      </c>
      <c r="C32" s="268"/>
      <c r="D32" s="82"/>
      <c r="E32" s="203"/>
      <c r="F32" s="498" t="str">
        <f>IF(D32="","",VLOOKUP(D32,'G-6 Hedgerow Data'!$B$2:$AG$15,2,FALSE))</f>
        <v/>
      </c>
      <c r="G32" s="524" t="str">
        <f>IF(D32="","",VLOOKUP(D32,'G-6 Hedgerow Data'!$B$2:$AG$15,3,FALSE))</f>
        <v/>
      </c>
      <c r="H32" s="72"/>
      <c r="I32" s="499" t="str">
        <f>IFERROR(IF(AND(F32="V.Low",OR(H32="Good",H32="Moderate")),"Error ▲",VLOOKUP(H32,'G-1 All Habitats'!$Z$2:$AA$9,2,FALSE)),"")</f>
        <v/>
      </c>
      <c r="J32" s="146"/>
      <c r="K32" s="520" t="str">
        <f>IF(J32="","",IF(VLOOKUP(J32,'G-3 Multipliers'!$L$3:$N$6,2,FALSE)=0,"Spatial Data Missing",VLOOKUP(J32,'G-3 Multipliers'!$L$3:$N$6,2,FALSE)))</f>
        <v/>
      </c>
      <c r="L32" s="524" t="str">
        <f>IF(J32="","",IF(VLOOKUP(J32,'G-3 Multipliers'!$L$3:$N$6,3,FALSE)=0,"Spatial Data Missing",VLOOKUP(J32,'G-3 Multipliers'!$L$3:$N$6,3,FALSE)))</f>
        <v/>
      </c>
      <c r="M32" s="197"/>
      <c r="N32" s="499" t="str">
        <f>IF(M32="","",IF(VLOOKUP(M32,'G-3 Multipliers'!$S$3:$T$6,2,FALSE)=0,"Spatial Data Missing ⚠",VLOOKUP(M32,'G-3 Multipliers'!$S$3:$T$6,2,FALSE)))</f>
        <v/>
      </c>
      <c r="O32" s="498" t="str">
        <f>IF(OR(D32="",H32=""),"",(INDEX('G-6 Hedgerow Data'!$E$3:$I$15,MATCH(D32,'G-6 Hedgerow Data'!$B$3:$B$15,0),MATCH(H32,'G-6 Hedgerow Data'!$E$2:$I$2,0))))</f>
        <v/>
      </c>
      <c r="P32" s="195"/>
      <c r="Q32" s="195"/>
      <c r="R32" s="507" t="str">
        <f t="shared" si="1"/>
        <v/>
      </c>
      <c r="S32" s="521" t="str">
        <f t="shared" si="2"/>
        <v/>
      </c>
      <c r="T32" s="522" t="str">
        <f t="shared" si="0"/>
        <v/>
      </c>
      <c r="U32" s="537" t="str">
        <f>IF(D32="","",VLOOKUP(D32,'G-6 Hedgerow Data'!$B$3:$AG$15,31,FALSE))</f>
        <v/>
      </c>
      <c r="V32" s="520" t="str">
        <f t="shared" si="3"/>
        <v/>
      </c>
      <c r="W32" s="520" t="str">
        <f t="shared" si="4"/>
        <v/>
      </c>
      <c r="X32" s="524" t="str">
        <f>IF(F32="","",VLOOKUP(U32,'G-3 Multipliers'!$P$3:$Q$6,2,FALSE))</f>
        <v/>
      </c>
      <c r="Y32" s="529" t="str">
        <f t="shared" si="5"/>
        <v/>
      </c>
      <c r="Z32" s="149"/>
      <c r="AA32" s="150"/>
      <c r="AG32" s="31" t="str">
        <f>IFERROR(INDEX('G-6 Hedgerow Data'!$BJ$3:$BJ$15,MATCH(D32,'G-6 Hedgerow Data'!$B$3:$B$15,0)),"")</f>
        <v/>
      </c>
    </row>
    <row r="33" spans="2:33" ht="13.8" x14ac:dyDescent="0.25">
      <c r="B33" s="103">
        <v>22</v>
      </c>
      <c r="C33" s="268"/>
      <c r="D33" s="82"/>
      <c r="E33" s="203"/>
      <c r="F33" s="498" t="str">
        <f>IF(D33="","",VLOOKUP(D33,'G-6 Hedgerow Data'!$B$2:$AG$15,2,FALSE))</f>
        <v/>
      </c>
      <c r="G33" s="524" t="str">
        <f>IF(D33="","",VLOOKUP(D33,'G-6 Hedgerow Data'!$B$2:$AG$15,3,FALSE))</f>
        <v/>
      </c>
      <c r="H33" s="72"/>
      <c r="I33" s="499" t="str">
        <f>IFERROR(IF(AND(F33="V.Low",OR(H33="Good",H33="Moderate")),"Error ▲",VLOOKUP(H33,'G-1 All Habitats'!$Z$2:$AA$9,2,FALSE)),"")</f>
        <v/>
      </c>
      <c r="J33" s="146"/>
      <c r="K33" s="520" t="str">
        <f>IF(J33="","",IF(VLOOKUP(J33,'G-3 Multipliers'!$L$3:$N$6,2,FALSE)=0,"Spatial Data Missing",VLOOKUP(J33,'G-3 Multipliers'!$L$3:$N$6,2,FALSE)))</f>
        <v/>
      </c>
      <c r="L33" s="524" t="str">
        <f>IF(J33="","",IF(VLOOKUP(J33,'G-3 Multipliers'!$L$3:$N$6,3,FALSE)=0,"Spatial Data Missing",VLOOKUP(J33,'G-3 Multipliers'!$L$3:$N$6,3,FALSE)))</f>
        <v/>
      </c>
      <c r="M33" s="197"/>
      <c r="N33" s="499" t="str">
        <f>IF(M33="","",IF(VLOOKUP(M33,'G-3 Multipliers'!$S$3:$T$6,2,FALSE)=0,"Spatial Data Missing ⚠",VLOOKUP(M33,'G-3 Multipliers'!$S$3:$T$6,2,FALSE)))</f>
        <v/>
      </c>
      <c r="O33" s="498" t="str">
        <f>IF(OR(D33="",H33=""),"",(INDEX('G-6 Hedgerow Data'!$E$3:$I$15,MATCH(D33,'G-6 Hedgerow Data'!$B$3:$B$15,0),MATCH(H33,'G-6 Hedgerow Data'!$E$2:$I$2,0))))</f>
        <v/>
      </c>
      <c r="P33" s="195"/>
      <c r="Q33" s="195"/>
      <c r="R33" s="507" t="str">
        <f t="shared" si="1"/>
        <v/>
      </c>
      <c r="S33" s="521" t="str">
        <f t="shared" si="2"/>
        <v/>
      </c>
      <c r="T33" s="522" t="str">
        <f t="shared" si="0"/>
        <v/>
      </c>
      <c r="U33" s="537" t="str">
        <f>IF(D33="","",VLOOKUP(D33,'G-6 Hedgerow Data'!$B$3:$AG$15,31,FALSE))</f>
        <v/>
      </c>
      <c r="V33" s="520" t="str">
        <f t="shared" si="3"/>
        <v/>
      </c>
      <c r="W33" s="520" t="str">
        <f t="shared" si="4"/>
        <v/>
      </c>
      <c r="X33" s="524" t="str">
        <f>IF(F33="","",VLOOKUP(U33,'G-3 Multipliers'!$P$3:$Q$6,2,FALSE))</f>
        <v/>
      </c>
      <c r="Y33" s="529" t="str">
        <f t="shared" si="5"/>
        <v/>
      </c>
      <c r="Z33" s="149"/>
      <c r="AA33" s="150"/>
      <c r="AG33" s="31" t="str">
        <f>IFERROR(INDEX('G-6 Hedgerow Data'!$BJ$3:$BJ$15,MATCH(D33,'G-6 Hedgerow Data'!$B$3:$B$15,0)),"")</f>
        <v/>
      </c>
    </row>
    <row r="34" spans="2:33" ht="13.8" x14ac:dyDescent="0.25">
      <c r="B34" s="103">
        <v>23</v>
      </c>
      <c r="C34" s="268"/>
      <c r="D34" s="82"/>
      <c r="E34" s="203"/>
      <c r="F34" s="498" t="str">
        <f>IF(D34="","",VLOOKUP(D34,'G-6 Hedgerow Data'!$B$2:$AG$15,2,FALSE))</f>
        <v/>
      </c>
      <c r="G34" s="524" t="str">
        <f>IF(D34="","",VLOOKUP(D34,'G-6 Hedgerow Data'!$B$2:$AG$15,3,FALSE))</f>
        <v/>
      </c>
      <c r="H34" s="72"/>
      <c r="I34" s="499" t="str">
        <f>IFERROR(IF(AND(F34="V.Low",OR(H34="Good",H34="Moderate")),"Error ▲",VLOOKUP(H34,'G-1 All Habitats'!$Z$2:$AA$9,2,FALSE)),"")</f>
        <v/>
      </c>
      <c r="J34" s="146"/>
      <c r="K34" s="520" t="str">
        <f>IF(J34="","",IF(VLOOKUP(J34,'G-3 Multipliers'!$L$3:$N$6,2,FALSE)=0,"Spatial Data Missing",VLOOKUP(J34,'G-3 Multipliers'!$L$3:$N$6,2,FALSE)))</f>
        <v/>
      </c>
      <c r="L34" s="524" t="str">
        <f>IF(J34="","",IF(VLOOKUP(J34,'G-3 Multipliers'!$L$3:$N$6,3,FALSE)=0,"Spatial Data Missing",VLOOKUP(J34,'G-3 Multipliers'!$L$3:$N$6,3,FALSE)))</f>
        <v/>
      </c>
      <c r="M34" s="197"/>
      <c r="N34" s="499" t="str">
        <f>IF(M34="","",IF(VLOOKUP(M34,'G-3 Multipliers'!$S$3:$T$6,2,FALSE)=0,"Spatial Data Missing ⚠",VLOOKUP(M34,'G-3 Multipliers'!$S$3:$T$6,2,FALSE)))</f>
        <v/>
      </c>
      <c r="O34" s="498" t="str">
        <f>IF(OR(D34="",H34=""),"",(INDEX('G-6 Hedgerow Data'!$E$3:$I$15,MATCH(D34,'G-6 Hedgerow Data'!$B$3:$B$15,0),MATCH(H34,'G-6 Hedgerow Data'!$E$2:$I$2,0))))</f>
        <v/>
      </c>
      <c r="P34" s="195"/>
      <c r="Q34" s="195"/>
      <c r="R34" s="507" t="str">
        <f t="shared" si="1"/>
        <v/>
      </c>
      <c r="S34" s="521" t="str">
        <f t="shared" si="2"/>
        <v/>
      </c>
      <c r="T34" s="522" t="str">
        <f t="shared" si="0"/>
        <v/>
      </c>
      <c r="U34" s="537" t="str">
        <f>IF(D34="","",VLOOKUP(D34,'G-6 Hedgerow Data'!$B$3:$AG$15,31,FALSE))</f>
        <v/>
      </c>
      <c r="V34" s="520" t="str">
        <f t="shared" si="3"/>
        <v/>
      </c>
      <c r="W34" s="520" t="str">
        <f t="shared" si="4"/>
        <v/>
      </c>
      <c r="X34" s="524" t="str">
        <f>IF(F34="","",VLOOKUP(U34,'G-3 Multipliers'!$P$3:$Q$6,2,FALSE))</f>
        <v/>
      </c>
      <c r="Y34" s="529" t="str">
        <f t="shared" si="5"/>
        <v/>
      </c>
      <c r="Z34" s="149"/>
      <c r="AA34" s="150"/>
      <c r="AG34" s="31" t="str">
        <f>IFERROR(INDEX('G-6 Hedgerow Data'!$BJ$3:$BJ$15,MATCH(D34,'G-6 Hedgerow Data'!$B$3:$B$15,0)),"")</f>
        <v/>
      </c>
    </row>
    <row r="35" spans="2:33" ht="13.8" x14ac:dyDescent="0.25">
      <c r="B35" s="103">
        <v>24</v>
      </c>
      <c r="C35" s="268"/>
      <c r="D35" s="82"/>
      <c r="E35" s="203"/>
      <c r="F35" s="498" t="str">
        <f>IF(D35="","",VLOOKUP(D35,'G-6 Hedgerow Data'!$B$2:$AG$15,2,FALSE))</f>
        <v/>
      </c>
      <c r="G35" s="524" t="str">
        <f>IF(D35="","",VLOOKUP(D35,'G-6 Hedgerow Data'!$B$2:$AG$15,3,FALSE))</f>
        <v/>
      </c>
      <c r="H35" s="72"/>
      <c r="I35" s="499" t="str">
        <f>IFERROR(IF(AND(F35="V.Low",OR(H35="Good",H35="Moderate")),"Error ▲",VLOOKUP(H35,'G-1 All Habitats'!$Z$2:$AA$9,2,FALSE)),"")</f>
        <v/>
      </c>
      <c r="J35" s="146"/>
      <c r="K35" s="520" t="str">
        <f>IF(J35="","",IF(VLOOKUP(J35,'G-3 Multipliers'!$L$3:$N$6,2,FALSE)=0,"Spatial Data Missing",VLOOKUP(J35,'G-3 Multipliers'!$L$3:$N$6,2,FALSE)))</f>
        <v/>
      </c>
      <c r="L35" s="524" t="str">
        <f>IF(J35="","",IF(VLOOKUP(J35,'G-3 Multipliers'!$L$3:$N$6,3,FALSE)=0,"Spatial Data Missing",VLOOKUP(J35,'G-3 Multipliers'!$L$3:$N$6,3,FALSE)))</f>
        <v/>
      </c>
      <c r="M35" s="197"/>
      <c r="N35" s="499" t="str">
        <f>IF(M35="","",IF(VLOOKUP(M35,'G-3 Multipliers'!$S$3:$T$6,2,FALSE)=0,"Spatial Data Missing ⚠",VLOOKUP(M35,'G-3 Multipliers'!$S$3:$T$6,2,FALSE)))</f>
        <v/>
      </c>
      <c r="O35" s="498" t="str">
        <f>IF(OR(D35="",H35=""),"",(INDEX('G-6 Hedgerow Data'!$E$3:$I$15,MATCH(D35,'G-6 Hedgerow Data'!$B$3:$B$15,0),MATCH(H35,'G-6 Hedgerow Data'!$E$2:$I$2,0))))</f>
        <v/>
      </c>
      <c r="P35" s="195"/>
      <c r="Q35" s="195"/>
      <c r="R35" s="507" t="str">
        <f t="shared" si="1"/>
        <v/>
      </c>
      <c r="S35" s="521" t="str">
        <f t="shared" si="2"/>
        <v/>
      </c>
      <c r="T35" s="522" t="str">
        <f t="shared" si="0"/>
        <v/>
      </c>
      <c r="U35" s="537" t="str">
        <f>IF(D35="","",VLOOKUP(D35,'G-6 Hedgerow Data'!$B$3:$AG$15,31,FALSE))</f>
        <v/>
      </c>
      <c r="V35" s="520" t="str">
        <f t="shared" si="3"/>
        <v/>
      </c>
      <c r="W35" s="520" t="str">
        <f t="shared" si="4"/>
        <v/>
      </c>
      <c r="X35" s="524" t="str">
        <f>IF(F35="","",VLOOKUP(U35,'G-3 Multipliers'!$P$3:$Q$6,2,FALSE))</f>
        <v/>
      </c>
      <c r="Y35" s="529" t="str">
        <f t="shared" si="5"/>
        <v/>
      </c>
      <c r="Z35" s="149"/>
      <c r="AA35" s="150"/>
      <c r="AG35" s="31" t="str">
        <f>IFERROR(INDEX('G-6 Hedgerow Data'!$BJ$3:$BJ$15,MATCH(D35,'G-6 Hedgerow Data'!$B$3:$B$15,0)),"")</f>
        <v/>
      </c>
    </row>
    <row r="36" spans="2:33" ht="13.8" x14ac:dyDescent="0.25">
      <c r="B36" s="103">
        <v>25</v>
      </c>
      <c r="C36" s="268"/>
      <c r="D36" s="82"/>
      <c r="E36" s="203"/>
      <c r="F36" s="498" t="str">
        <f>IF(D36="","",VLOOKUP(D36,'G-6 Hedgerow Data'!$B$2:$AG$15,2,FALSE))</f>
        <v/>
      </c>
      <c r="G36" s="524" t="str">
        <f>IF(D36="","",VLOOKUP(D36,'G-6 Hedgerow Data'!$B$2:$AG$15,3,FALSE))</f>
        <v/>
      </c>
      <c r="H36" s="72"/>
      <c r="I36" s="499" t="str">
        <f>IFERROR(IF(AND(F36="V.Low",OR(H36="Good",H36="Moderate")),"Error ▲",VLOOKUP(H36,'G-1 All Habitats'!$Z$2:$AA$9,2,FALSE)),"")</f>
        <v/>
      </c>
      <c r="J36" s="146"/>
      <c r="K36" s="520" t="str">
        <f>IF(J36="","",IF(VLOOKUP(J36,'G-3 Multipliers'!$L$3:$N$6,2,FALSE)=0,"Spatial Data Missing",VLOOKUP(J36,'G-3 Multipliers'!$L$3:$N$6,2,FALSE)))</f>
        <v/>
      </c>
      <c r="L36" s="524" t="str">
        <f>IF(J36="","",IF(VLOOKUP(J36,'G-3 Multipliers'!$L$3:$N$6,3,FALSE)=0,"Spatial Data Missing",VLOOKUP(J36,'G-3 Multipliers'!$L$3:$N$6,3,FALSE)))</f>
        <v/>
      </c>
      <c r="M36" s="197"/>
      <c r="N36" s="499" t="str">
        <f>IF(M36="","",IF(VLOOKUP(M36,'G-3 Multipliers'!$S$3:$T$6,2,FALSE)=0,"Spatial Data Missing ⚠",VLOOKUP(M36,'G-3 Multipliers'!$S$3:$T$6,2,FALSE)))</f>
        <v/>
      </c>
      <c r="O36" s="498" t="str">
        <f>IF(OR(D36="",H36=""),"",(INDEX('G-6 Hedgerow Data'!$E$3:$I$15,MATCH(D36,'G-6 Hedgerow Data'!$B$3:$B$15,0),MATCH(H36,'G-6 Hedgerow Data'!$E$2:$I$2,0))))</f>
        <v/>
      </c>
      <c r="P36" s="195"/>
      <c r="Q36" s="195"/>
      <c r="R36" s="507" t="str">
        <f t="shared" si="1"/>
        <v/>
      </c>
      <c r="S36" s="521" t="str">
        <f t="shared" si="2"/>
        <v/>
      </c>
      <c r="T36" s="522" t="str">
        <f t="shared" si="0"/>
        <v/>
      </c>
      <c r="U36" s="537" t="str">
        <f>IF(D36="","",VLOOKUP(D36,'G-6 Hedgerow Data'!$B$3:$AG$15,31,FALSE))</f>
        <v/>
      </c>
      <c r="V36" s="520" t="str">
        <f t="shared" si="3"/>
        <v/>
      </c>
      <c r="W36" s="520" t="str">
        <f t="shared" si="4"/>
        <v/>
      </c>
      <c r="X36" s="524" t="str">
        <f>IF(F36="","",VLOOKUP(U36,'G-3 Multipliers'!$P$3:$Q$6,2,FALSE))</f>
        <v/>
      </c>
      <c r="Y36" s="529" t="str">
        <f t="shared" si="5"/>
        <v/>
      </c>
      <c r="Z36" s="149"/>
      <c r="AA36" s="150"/>
      <c r="AG36" s="31" t="str">
        <f>IFERROR(INDEX('G-6 Hedgerow Data'!$BJ$3:$BJ$15,MATCH(D36,'G-6 Hedgerow Data'!$B$3:$B$15,0)),"")</f>
        <v/>
      </c>
    </row>
    <row r="37" spans="2:33" ht="13.8" x14ac:dyDescent="0.25">
      <c r="B37" s="103">
        <v>26</v>
      </c>
      <c r="C37" s="268"/>
      <c r="D37" s="82"/>
      <c r="E37" s="203"/>
      <c r="F37" s="498" t="str">
        <f>IF(D37="","",VLOOKUP(D37,'G-6 Hedgerow Data'!$B$2:$AG$15,2,FALSE))</f>
        <v/>
      </c>
      <c r="G37" s="524" t="str">
        <f>IF(D37="","",VLOOKUP(D37,'G-6 Hedgerow Data'!$B$2:$AG$15,3,FALSE))</f>
        <v/>
      </c>
      <c r="H37" s="72"/>
      <c r="I37" s="499" t="str">
        <f>IFERROR(IF(AND(F37="V.Low",OR(H37="Good",H37="Moderate")),"Error ▲",VLOOKUP(H37,'G-1 All Habitats'!$Z$2:$AA$9,2,FALSE)),"")</f>
        <v/>
      </c>
      <c r="J37" s="146"/>
      <c r="K37" s="520" t="str">
        <f>IF(J37="","",IF(VLOOKUP(J37,'G-3 Multipliers'!$L$3:$N$6,2,FALSE)=0,"Spatial Data Missing",VLOOKUP(J37,'G-3 Multipliers'!$L$3:$N$6,2,FALSE)))</f>
        <v/>
      </c>
      <c r="L37" s="524" t="str">
        <f>IF(J37="","",IF(VLOOKUP(J37,'G-3 Multipliers'!$L$3:$N$6,3,FALSE)=0,"Spatial Data Missing",VLOOKUP(J37,'G-3 Multipliers'!$L$3:$N$6,3,FALSE)))</f>
        <v/>
      </c>
      <c r="M37" s="197"/>
      <c r="N37" s="499" t="str">
        <f>IF(M37="","",IF(VLOOKUP(M37,'G-3 Multipliers'!$S$3:$T$6,2,FALSE)=0,"Spatial Data Missing ⚠",VLOOKUP(M37,'G-3 Multipliers'!$S$3:$T$6,2,FALSE)))</f>
        <v/>
      </c>
      <c r="O37" s="498" t="str">
        <f>IF(OR(D37="",H37=""),"",(INDEX('G-6 Hedgerow Data'!$E$3:$I$15,MATCH(D37,'G-6 Hedgerow Data'!$B$3:$B$15,0),MATCH(H37,'G-6 Hedgerow Data'!$E$2:$I$2,0))))</f>
        <v/>
      </c>
      <c r="P37" s="195"/>
      <c r="Q37" s="195"/>
      <c r="R37" s="507" t="str">
        <f t="shared" si="1"/>
        <v/>
      </c>
      <c r="S37" s="521" t="str">
        <f t="shared" si="2"/>
        <v/>
      </c>
      <c r="T37" s="522" t="str">
        <f t="shared" si="0"/>
        <v/>
      </c>
      <c r="U37" s="537" t="str">
        <f>IF(D37="","",VLOOKUP(D37,'G-6 Hedgerow Data'!$B$3:$AG$15,31,FALSE))</f>
        <v/>
      </c>
      <c r="V37" s="520" t="str">
        <f t="shared" si="3"/>
        <v/>
      </c>
      <c r="W37" s="520" t="str">
        <f t="shared" si="4"/>
        <v/>
      </c>
      <c r="X37" s="524" t="str">
        <f>IF(F37="","",VLOOKUP(U37,'G-3 Multipliers'!$P$3:$Q$6,2,FALSE))</f>
        <v/>
      </c>
      <c r="Y37" s="529" t="str">
        <f t="shared" si="5"/>
        <v/>
      </c>
      <c r="Z37" s="149"/>
      <c r="AA37" s="150"/>
      <c r="AG37" s="31" t="str">
        <f>IFERROR(INDEX('G-6 Hedgerow Data'!$BJ$3:$BJ$15,MATCH(D37,'G-6 Hedgerow Data'!$B$3:$B$15,0)),"")</f>
        <v/>
      </c>
    </row>
    <row r="38" spans="2:33" ht="13.8" x14ac:dyDescent="0.25">
      <c r="B38" s="103">
        <v>27</v>
      </c>
      <c r="C38" s="268"/>
      <c r="D38" s="82"/>
      <c r="E38" s="203"/>
      <c r="F38" s="498" t="str">
        <f>IF(D38="","",VLOOKUP(D38,'G-6 Hedgerow Data'!$B$2:$AG$15,2,FALSE))</f>
        <v/>
      </c>
      <c r="G38" s="524" t="str">
        <f>IF(D38="","",VLOOKUP(D38,'G-6 Hedgerow Data'!$B$2:$AG$15,3,FALSE))</f>
        <v/>
      </c>
      <c r="H38" s="72"/>
      <c r="I38" s="499" t="str">
        <f>IFERROR(IF(AND(F38="V.Low",OR(H38="Good",H38="Moderate")),"Error ▲",VLOOKUP(H38,'G-1 All Habitats'!$Z$2:$AA$9,2,FALSE)),"")</f>
        <v/>
      </c>
      <c r="J38" s="146"/>
      <c r="K38" s="520" t="str">
        <f>IF(J38="","",IF(VLOOKUP(J38,'G-3 Multipliers'!$L$3:$N$6,2,FALSE)=0,"Spatial Data Missing",VLOOKUP(J38,'G-3 Multipliers'!$L$3:$N$6,2,FALSE)))</f>
        <v/>
      </c>
      <c r="L38" s="524" t="str">
        <f>IF(J38="","",IF(VLOOKUP(J38,'G-3 Multipliers'!$L$3:$N$6,3,FALSE)=0,"Spatial Data Missing",VLOOKUP(J38,'G-3 Multipliers'!$L$3:$N$6,3,FALSE)))</f>
        <v/>
      </c>
      <c r="M38" s="197"/>
      <c r="N38" s="499" t="str">
        <f>IF(M38="","",IF(VLOOKUP(M38,'G-3 Multipliers'!$S$3:$T$6,2,FALSE)=0,"Spatial Data Missing ⚠",VLOOKUP(M38,'G-3 Multipliers'!$S$3:$T$6,2,FALSE)))</f>
        <v/>
      </c>
      <c r="O38" s="498" t="str">
        <f>IF(OR(D38="",H38=""),"",(INDEX('G-6 Hedgerow Data'!$E$3:$I$15,MATCH(D38,'G-6 Hedgerow Data'!$B$3:$B$15,0),MATCH(H38,'G-6 Hedgerow Data'!$E$2:$I$2,0))))</f>
        <v/>
      </c>
      <c r="P38" s="195"/>
      <c r="Q38" s="195"/>
      <c r="R38" s="507" t="str">
        <f t="shared" si="1"/>
        <v/>
      </c>
      <c r="S38" s="521" t="str">
        <f t="shared" si="2"/>
        <v/>
      </c>
      <c r="T38" s="522" t="str">
        <f t="shared" si="0"/>
        <v/>
      </c>
      <c r="U38" s="537" t="str">
        <f>IF(D38="","",VLOOKUP(D38,'G-6 Hedgerow Data'!$B$3:$AG$15,31,FALSE))</f>
        <v/>
      </c>
      <c r="V38" s="520" t="str">
        <f t="shared" si="3"/>
        <v/>
      </c>
      <c r="W38" s="520" t="str">
        <f t="shared" si="4"/>
        <v/>
      </c>
      <c r="X38" s="524" t="str">
        <f>IF(F38="","",VLOOKUP(U38,'G-3 Multipliers'!$P$3:$Q$6,2,FALSE))</f>
        <v/>
      </c>
      <c r="Y38" s="529" t="str">
        <f t="shared" si="5"/>
        <v/>
      </c>
      <c r="Z38" s="149"/>
      <c r="AA38" s="150"/>
      <c r="AG38" s="31" t="str">
        <f>IFERROR(INDEX('G-6 Hedgerow Data'!$BJ$3:$BJ$15,MATCH(D38,'G-6 Hedgerow Data'!$B$3:$B$15,0)),"")</f>
        <v/>
      </c>
    </row>
    <row r="39" spans="2:33" ht="13.8" x14ac:dyDescent="0.25">
      <c r="B39" s="103">
        <v>28</v>
      </c>
      <c r="C39" s="268"/>
      <c r="D39" s="82"/>
      <c r="E39" s="203"/>
      <c r="F39" s="498" t="str">
        <f>IF(D39="","",VLOOKUP(D39,'G-6 Hedgerow Data'!$B$2:$AG$15,2,FALSE))</f>
        <v/>
      </c>
      <c r="G39" s="524" t="str">
        <f>IF(D39="","",VLOOKUP(D39,'G-6 Hedgerow Data'!$B$2:$AG$15,3,FALSE))</f>
        <v/>
      </c>
      <c r="H39" s="72"/>
      <c r="I39" s="499" t="str">
        <f>IFERROR(IF(AND(F39="V.Low",OR(H39="Good",H39="Moderate")),"Error ▲",VLOOKUP(H39,'G-1 All Habitats'!$Z$2:$AA$9,2,FALSE)),"")</f>
        <v/>
      </c>
      <c r="J39" s="146"/>
      <c r="K39" s="520" t="str">
        <f>IF(J39="","",IF(VLOOKUP(J39,'G-3 Multipliers'!$L$3:$N$6,2,FALSE)=0,"Spatial Data Missing",VLOOKUP(J39,'G-3 Multipliers'!$L$3:$N$6,2,FALSE)))</f>
        <v/>
      </c>
      <c r="L39" s="524" t="str">
        <f>IF(J39="","",IF(VLOOKUP(J39,'G-3 Multipliers'!$L$3:$N$6,3,FALSE)=0,"Spatial Data Missing",VLOOKUP(J39,'G-3 Multipliers'!$L$3:$N$6,3,FALSE)))</f>
        <v/>
      </c>
      <c r="M39" s="197"/>
      <c r="N39" s="499" t="str">
        <f>IF(M39="","",IF(VLOOKUP(M39,'G-3 Multipliers'!$S$3:$T$6,2,FALSE)=0,"Spatial Data Missing ⚠",VLOOKUP(M39,'G-3 Multipliers'!$S$3:$T$6,2,FALSE)))</f>
        <v/>
      </c>
      <c r="O39" s="498" t="str">
        <f>IF(OR(D39="",H39=""),"",(INDEX('G-6 Hedgerow Data'!$E$3:$I$15,MATCH(D39,'G-6 Hedgerow Data'!$B$3:$B$15,0),MATCH(H39,'G-6 Hedgerow Data'!$E$2:$I$2,0))))</f>
        <v/>
      </c>
      <c r="P39" s="195"/>
      <c r="Q39" s="195"/>
      <c r="R39" s="507" t="str">
        <f t="shared" si="1"/>
        <v/>
      </c>
      <c r="S39" s="521" t="str">
        <f t="shared" si="2"/>
        <v/>
      </c>
      <c r="T39" s="522" t="str">
        <f t="shared" si="0"/>
        <v/>
      </c>
      <c r="U39" s="537" t="str">
        <f>IF(D39="","",VLOOKUP(D39,'G-6 Hedgerow Data'!$B$3:$AG$15,31,FALSE))</f>
        <v/>
      </c>
      <c r="V39" s="520" t="str">
        <f t="shared" si="3"/>
        <v/>
      </c>
      <c r="W39" s="520" t="str">
        <f t="shared" si="4"/>
        <v/>
      </c>
      <c r="X39" s="524" t="str">
        <f>IF(F39="","",VLOOKUP(U39,'G-3 Multipliers'!$P$3:$Q$6,2,FALSE))</f>
        <v/>
      </c>
      <c r="Y39" s="529" t="str">
        <f t="shared" si="5"/>
        <v/>
      </c>
      <c r="Z39" s="149"/>
      <c r="AA39" s="150"/>
      <c r="AG39" s="31" t="str">
        <f>IFERROR(INDEX('G-6 Hedgerow Data'!$BJ$3:$BJ$15,MATCH(D39,'G-6 Hedgerow Data'!$B$3:$B$15,0)),"")</f>
        <v/>
      </c>
    </row>
    <row r="40" spans="2:33" ht="13.8" x14ac:dyDescent="0.25">
      <c r="B40" s="103">
        <v>29</v>
      </c>
      <c r="C40" s="268"/>
      <c r="D40" s="82"/>
      <c r="E40" s="203"/>
      <c r="F40" s="498" t="str">
        <f>IF(D40="","",VLOOKUP(D40,'G-6 Hedgerow Data'!$B$2:$AG$15,2,FALSE))</f>
        <v/>
      </c>
      <c r="G40" s="524" t="str">
        <f>IF(D40="","",VLOOKUP(D40,'G-6 Hedgerow Data'!$B$2:$AG$15,3,FALSE))</f>
        <v/>
      </c>
      <c r="H40" s="72"/>
      <c r="I40" s="499" t="str">
        <f>IFERROR(IF(AND(F40="V.Low",OR(H40="Good",H40="Moderate")),"Error ▲",VLOOKUP(H40,'G-1 All Habitats'!$Z$2:$AA$9,2,FALSE)),"")</f>
        <v/>
      </c>
      <c r="J40" s="146"/>
      <c r="K40" s="520" t="str">
        <f>IF(J40="","",IF(VLOOKUP(J40,'G-3 Multipliers'!$L$3:$N$6,2,FALSE)=0,"Spatial Data Missing",VLOOKUP(J40,'G-3 Multipliers'!$L$3:$N$6,2,FALSE)))</f>
        <v/>
      </c>
      <c r="L40" s="524" t="str">
        <f>IF(J40="","",IF(VLOOKUP(J40,'G-3 Multipliers'!$L$3:$N$6,3,FALSE)=0,"Spatial Data Missing",VLOOKUP(J40,'G-3 Multipliers'!$L$3:$N$6,3,FALSE)))</f>
        <v/>
      </c>
      <c r="M40" s="197"/>
      <c r="N40" s="499" t="str">
        <f>IF(M40="","",IF(VLOOKUP(M40,'G-3 Multipliers'!$S$3:$T$6,2,FALSE)=0,"Spatial Data Missing ⚠",VLOOKUP(M40,'G-3 Multipliers'!$S$3:$T$6,2,FALSE)))</f>
        <v/>
      </c>
      <c r="O40" s="498" t="str">
        <f>IF(OR(D40="",H40=""),"",(INDEX('G-6 Hedgerow Data'!$E$3:$I$15,MATCH(D40,'G-6 Hedgerow Data'!$B$3:$B$15,0),MATCH(H40,'G-6 Hedgerow Data'!$E$2:$I$2,0))))</f>
        <v/>
      </c>
      <c r="P40" s="195"/>
      <c r="Q40" s="195"/>
      <c r="R40" s="507" t="str">
        <f t="shared" si="1"/>
        <v/>
      </c>
      <c r="S40" s="521" t="str">
        <f t="shared" si="2"/>
        <v/>
      </c>
      <c r="T40" s="522" t="str">
        <f t="shared" si="0"/>
        <v/>
      </c>
      <c r="U40" s="537" t="str">
        <f>IF(D40="","",VLOOKUP(D40,'G-6 Hedgerow Data'!$B$3:$AG$15,31,FALSE))</f>
        <v/>
      </c>
      <c r="V40" s="520" t="str">
        <f t="shared" si="3"/>
        <v/>
      </c>
      <c r="W40" s="520" t="str">
        <f t="shared" si="4"/>
        <v/>
      </c>
      <c r="X40" s="524" t="str">
        <f>IF(F40="","",VLOOKUP(U40,'G-3 Multipliers'!$P$3:$Q$6,2,FALSE))</f>
        <v/>
      </c>
      <c r="Y40" s="529" t="str">
        <f t="shared" si="5"/>
        <v/>
      </c>
      <c r="Z40" s="149"/>
      <c r="AA40" s="150"/>
      <c r="AG40" s="31" t="str">
        <f>IFERROR(INDEX('G-6 Hedgerow Data'!$BJ$3:$BJ$15,MATCH(D40,'G-6 Hedgerow Data'!$B$3:$B$15,0)),"")</f>
        <v/>
      </c>
    </row>
    <row r="41" spans="2:33" ht="13.8" x14ac:dyDescent="0.25">
      <c r="B41" s="103">
        <v>30</v>
      </c>
      <c r="C41" s="268"/>
      <c r="D41" s="82"/>
      <c r="E41" s="203"/>
      <c r="F41" s="498" t="str">
        <f>IF(D41="","",VLOOKUP(D41,'G-6 Hedgerow Data'!$B$2:$AG$15,2,FALSE))</f>
        <v/>
      </c>
      <c r="G41" s="524" t="str">
        <f>IF(D41="","",VLOOKUP(D41,'G-6 Hedgerow Data'!$B$2:$AG$15,3,FALSE))</f>
        <v/>
      </c>
      <c r="H41" s="72"/>
      <c r="I41" s="499" t="str">
        <f>IFERROR(IF(AND(F41="V.Low",OR(H41="Good",H41="Moderate")),"Error ▲",VLOOKUP(H41,'G-1 All Habitats'!$Z$2:$AA$9,2,FALSE)),"")</f>
        <v/>
      </c>
      <c r="J41" s="146"/>
      <c r="K41" s="520" t="str">
        <f>IF(J41="","",IF(VLOOKUP(J41,'G-3 Multipliers'!$L$3:$N$6,2,FALSE)=0,"Spatial Data Missing",VLOOKUP(J41,'G-3 Multipliers'!$L$3:$N$6,2,FALSE)))</f>
        <v/>
      </c>
      <c r="L41" s="524" t="str">
        <f>IF(J41="","",IF(VLOOKUP(J41,'G-3 Multipliers'!$L$3:$N$6,3,FALSE)=0,"Spatial Data Missing",VLOOKUP(J41,'G-3 Multipliers'!$L$3:$N$6,3,FALSE)))</f>
        <v/>
      </c>
      <c r="M41" s="197"/>
      <c r="N41" s="499" t="str">
        <f>IF(M41="","",IF(VLOOKUP(M41,'G-3 Multipliers'!$S$3:$T$6,2,FALSE)=0,"Spatial Data Missing ⚠",VLOOKUP(M41,'G-3 Multipliers'!$S$3:$T$6,2,FALSE)))</f>
        <v/>
      </c>
      <c r="O41" s="498" t="str">
        <f>IF(OR(D41="",H41=""),"",(INDEX('G-6 Hedgerow Data'!$E$3:$I$15,MATCH(D41,'G-6 Hedgerow Data'!$B$3:$B$15,0),MATCH(H41,'G-6 Hedgerow Data'!$E$2:$I$2,0))))</f>
        <v/>
      </c>
      <c r="P41" s="195"/>
      <c r="Q41" s="195"/>
      <c r="R41" s="507" t="str">
        <f t="shared" si="1"/>
        <v/>
      </c>
      <c r="S41" s="521" t="str">
        <f t="shared" si="2"/>
        <v/>
      </c>
      <c r="T41" s="522" t="str">
        <f t="shared" si="0"/>
        <v/>
      </c>
      <c r="U41" s="537" t="str">
        <f>IF(D41="","",VLOOKUP(D41,'G-6 Hedgerow Data'!$B$3:$AG$15,31,FALSE))</f>
        <v/>
      </c>
      <c r="V41" s="520" t="str">
        <f t="shared" si="3"/>
        <v/>
      </c>
      <c r="W41" s="520" t="str">
        <f t="shared" si="4"/>
        <v/>
      </c>
      <c r="X41" s="524" t="str">
        <f>IF(F41="","",VLOOKUP(U41,'G-3 Multipliers'!$P$3:$Q$6,2,FALSE))</f>
        <v/>
      </c>
      <c r="Y41" s="529" t="str">
        <f t="shared" si="5"/>
        <v/>
      </c>
      <c r="Z41" s="149"/>
      <c r="AA41" s="150"/>
      <c r="AG41" s="31" t="str">
        <f>IFERROR(INDEX('G-6 Hedgerow Data'!$BJ$3:$BJ$15,MATCH(D41,'G-6 Hedgerow Data'!$B$3:$B$15,0)),"")</f>
        <v/>
      </c>
    </row>
    <row r="42" spans="2:33" ht="13.8" x14ac:dyDescent="0.25">
      <c r="B42" s="103">
        <v>31</v>
      </c>
      <c r="C42" s="268"/>
      <c r="D42" s="82"/>
      <c r="E42" s="203"/>
      <c r="F42" s="498" t="str">
        <f>IF(D42="","",VLOOKUP(D42,'G-6 Hedgerow Data'!$B$2:$AG$15,2,FALSE))</f>
        <v/>
      </c>
      <c r="G42" s="524" t="str">
        <f>IF(D42="","",VLOOKUP(D42,'G-6 Hedgerow Data'!$B$2:$AG$15,3,FALSE))</f>
        <v/>
      </c>
      <c r="H42" s="72"/>
      <c r="I42" s="499" t="str">
        <f>IFERROR(IF(AND(F42="V.Low",OR(H42="Good",H42="Moderate")),"Error ▲",VLOOKUP(H42,'G-1 All Habitats'!$Z$2:$AA$9,2,FALSE)),"")</f>
        <v/>
      </c>
      <c r="J42" s="146"/>
      <c r="K42" s="520" t="str">
        <f>IF(J42="","",IF(VLOOKUP(J42,'G-3 Multipliers'!$L$3:$N$6,2,FALSE)=0,"Spatial Data Missing",VLOOKUP(J42,'G-3 Multipliers'!$L$3:$N$6,2,FALSE)))</f>
        <v/>
      </c>
      <c r="L42" s="524" t="str">
        <f>IF(J42="","",IF(VLOOKUP(J42,'G-3 Multipliers'!$L$3:$N$6,3,FALSE)=0,"Spatial Data Missing",VLOOKUP(J42,'G-3 Multipliers'!$L$3:$N$6,3,FALSE)))</f>
        <v/>
      </c>
      <c r="M42" s="197"/>
      <c r="N42" s="499" t="str">
        <f>IF(M42="","",IF(VLOOKUP(M42,'G-3 Multipliers'!$S$3:$T$6,2,FALSE)=0,"Spatial Data Missing ⚠",VLOOKUP(M42,'G-3 Multipliers'!$S$3:$T$6,2,FALSE)))</f>
        <v/>
      </c>
      <c r="O42" s="498" t="str">
        <f>IF(OR(D42="",H42=""),"",(INDEX('G-6 Hedgerow Data'!$E$3:$I$15,MATCH(D42,'G-6 Hedgerow Data'!$B$3:$B$15,0),MATCH(H42,'G-6 Hedgerow Data'!$E$2:$I$2,0))))</f>
        <v/>
      </c>
      <c r="P42" s="195"/>
      <c r="Q42" s="195"/>
      <c r="R42" s="507" t="str">
        <f t="shared" si="1"/>
        <v/>
      </c>
      <c r="S42" s="521" t="str">
        <f t="shared" si="2"/>
        <v/>
      </c>
      <c r="T42" s="522" t="str">
        <f t="shared" si="0"/>
        <v/>
      </c>
      <c r="U42" s="537" t="str">
        <f>IF(D42="","",VLOOKUP(D42,'G-6 Hedgerow Data'!$B$3:$AG$15,31,FALSE))</f>
        <v/>
      </c>
      <c r="V42" s="520" t="str">
        <f t="shared" si="3"/>
        <v/>
      </c>
      <c r="W42" s="520" t="str">
        <f t="shared" si="4"/>
        <v/>
      </c>
      <c r="X42" s="524" t="str">
        <f>IF(F42="","",VLOOKUP(U42,'G-3 Multipliers'!$P$3:$Q$6,2,FALSE))</f>
        <v/>
      </c>
      <c r="Y42" s="529" t="str">
        <f t="shared" si="5"/>
        <v/>
      </c>
      <c r="Z42" s="149"/>
      <c r="AA42" s="150"/>
      <c r="AG42" s="31" t="str">
        <f>IFERROR(INDEX('G-6 Hedgerow Data'!$BJ$3:$BJ$15,MATCH(D42,'G-6 Hedgerow Data'!$B$3:$B$15,0)),"")</f>
        <v/>
      </c>
    </row>
    <row r="43" spans="2:33" ht="13.8" x14ac:dyDescent="0.25">
      <c r="B43" s="103">
        <v>32</v>
      </c>
      <c r="C43" s="268"/>
      <c r="D43" s="82"/>
      <c r="E43" s="203"/>
      <c r="F43" s="498" t="str">
        <f>IF(D43="","",VLOOKUP(D43,'G-6 Hedgerow Data'!$B$2:$AG$15,2,FALSE))</f>
        <v/>
      </c>
      <c r="G43" s="524" t="str">
        <f>IF(D43="","",VLOOKUP(D43,'G-6 Hedgerow Data'!$B$2:$AG$15,3,FALSE))</f>
        <v/>
      </c>
      <c r="H43" s="72"/>
      <c r="I43" s="499" t="str">
        <f>IFERROR(IF(AND(F43="V.Low",OR(H43="Good",H43="Moderate")),"Error ▲",VLOOKUP(H43,'G-1 All Habitats'!$Z$2:$AA$9,2,FALSE)),"")</f>
        <v/>
      </c>
      <c r="J43" s="146"/>
      <c r="K43" s="520" t="str">
        <f>IF(J43="","",IF(VLOOKUP(J43,'G-3 Multipliers'!$L$3:$N$6,2,FALSE)=0,"Spatial Data Missing",VLOOKUP(J43,'G-3 Multipliers'!$L$3:$N$6,2,FALSE)))</f>
        <v/>
      </c>
      <c r="L43" s="524" t="str">
        <f>IF(J43="","",IF(VLOOKUP(J43,'G-3 Multipliers'!$L$3:$N$6,3,FALSE)=0,"Spatial Data Missing",VLOOKUP(J43,'G-3 Multipliers'!$L$3:$N$6,3,FALSE)))</f>
        <v/>
      </c>
      <c r="M43" s="197"/>
      <c r="N43" s="499" t="str">
        <f>IF(M43="","",IF(VLOOKUP(M43,'G-3 Multipliers'!$S$3:$T$6,2,FALSE)=0,"Spatial Data Missing ⚠",VLOOKUP(M43,'G-3 Multipliers'!$S$3:$T$6,2,FALSE)))</f>
        <v/>
      </c>
      <c r="O43" s="498" t="str">
        <f>IF(OR(D43="",H43=""),"",(INDEX('G-6 Hedgerow Data'!$E$3:$I$15,MATCH(D43,'G-6 Hedgerow Data'!$B$3:$B$15,0),MATCH(H43,'G-6 Hedgerow Data'!$E$2:$I$2,0))))</f>
        <v/>
      </c>
      <c r="P43" s="195"/>
      <c r="Q43" s="195"/>
      <c r="R43" s="507" t="str">
        <f t="shared" si="1"/>
        <v/>
      </c>
      <c r="S43" s="521" t="str">
        <f t="shared" si="2"/>
        <v/>
      </c>
      <c r="T43" s="522" t="str">
        <f t="shared" si="0"/>
        <v/>
      </c>
      <c r="U43" s="537" t="str">
        <f>IF(D43="","",VLOOKUP(D43,'G-6 Hedgerow Data'!$B$3:$AG$15,31,FALSE))</f>
        <v/>
      </c>
      <c r="V43" s="520" t="str">
        <f t="shared" si="3"/>
        <v/>
      </c>
      <c r="W43" s="520" t="str">
        <f t="shared" si="4"/>
        <v/>
      </c>
      <c r="X43" s="524" t="str">
        <f>IF(F43="","",VLOOKUP(U43,'G-3 Multipliers'!$P$3:$Q$6,2,FALSE))</f>
        <v/>
      </c>
      <c r="Y43" s="529" t="str">
        <f t="shared" si="5"/>
        <v/>
      </c>
      <c r="Z43" s="149"/>
      <c r="AA43" s="150"/>
      <c r="AG43" s="31" t="str">
        <f>IFERROR(INDEX('G-6 Hedgerow Data'!$BJ$3:$BJ$15,MATCH(D43,'G-6 Hedgerow Data'!$B$3:$B$15,0)),"")</f>
        <v/>
      </c>
    </row>
    <row r="44" spans="2:33" ht="13.8" x14ac:dyDescent="0.25">
      <c r="B44" s="103">
        <v>33</v>
      </c>
      <c r="C44" s="268"/>
      <c r="D44" s="82"/>
      <c r="E44" s="203"/>
      <c r="F44" s="498" t="str">
        <f>IF(D44="","",VLOOKUP(D44,'G-6 Hedgerow Data'!$B$2:$AG$15,2,FALSE))</f>
        <v/>
      </c>
      <c r="G44" s="524" t="str">
        <f>IF(D44="","",VLOOKUP(D44,'G-6 Hedgerow Data'!$B$2:$AG$15,3,FALSE))</f>
        <v/>
      </c>
      <c r="H44" s="72"/>
      <c r="I44" s="499" t="str">
        <f>IFERROR(IF(AND(F44="V.Low",OR(H44="Good",H44="Moderate")),"Error ▲",VLOOKUP(H44,'G-1 All Habitats'!$Z$2:$AA$9,2,FALSE)),"")</f>
        <v/>
      </c>
      <c r="J44" s="146"/>
      <c r="K44" s="520" t="str">
        <f>IF(J44="","",IF(VLOOKUP(J44,'G-3 Multipliers'!$L$3:$N$6,2,FALSE)=0,"Spatial Data Missing",VLOOKUP(J44,'G-3 Multipliers'!$L$3:$N$6,2,FALSE)))</f>
        <v/>
      </c>
      <c r="L44" s="524" t="str">
        <f>IF(J44="","",IF(VLOOKUP(J44,'G-3 Multipliers'!$L$3:$N$6,3,FALSE)=0,"Spatial Data Missing",VLOOKUP(J44,'G-3 Multipliers'!$L$3:$N$6,3,FALSE)))</f>
        <v/>
      </c>
      <c r="M44" s="197"/>
      <c r="N44" s="499" t="str">
        <f>IF(M44="","",IF(VLOOKUP(M44,'G-3 Multipliers'!$S$3:$T$6,2,FALSE)=0,"Spatial Data Missing ⚠",VLOOKUP(M44,'G-3 Multipliers'!$S$3:$T$6,2,FALSE)))</f>
        <v/>
      </c>
      <c r="O44" s="498" t="str">
        <f>IF(OR(D44="",H44=""),"",(INDEX('G-6 Hedgerow Data'!$E$3:$I$15,MATCH(D44,'G-6 Hedgerow Data'!$B$3:$B$15,0),MATCH(H44,'G-6 Hedgerow Data'!$E$2:$I$2,0))))</f>
        <v/>
      </c>
      <c r="P44" s="195"/>
      <c r="Q44" s="195"/>
      <c r="R44" s="507" t="str">
        <f t="shared" si="1"/>
        <v/>
      </c>
      <c r="S44" s="521" t="str">
        <f t="shared" si="2"/>
        <v/>
      </c>
      <c r="T44" s="522" t="str">
        <f t="shared" si="0"/>
        <v/>
      </c>
      <c r="U44" s="537" t="str">
        <f>IF(D44="","",VLOOKUP(D44,'G-6 Hedgerow Data'!$B$3:$AG$15,31,FALSE))</f>
        <v/>
      </c>
      <c r="V44" s="520" t="str">
        <f t="shared" si="3"/>
        <v/>
      </c>
      <c r="W44" s="520" t="str">
        <f t="shared" si="4"/>
        <v/>
      </c>
      <c r="X44" s="524" t="str">
        <f>IF(F44="","",VLOOKUP(U44,'G-3 Multipliers'!$P$3:$Q$6,2,FALSE))</f>
        <v/>
      </c>
      <c r="Y44" s="529" t="str">
        <f t="shared" si="5"/>
        <v/>
      </c>
      <c r="Z44" s="149"/>
      <c r="AA44" s="150"/>
      <c r="AG44" s="31" t="str">
        <f>IFERROR(INDEX('G-6 Hedgerow Data'!$BJ$3:$BJ$15,MATCH(D44,'G-6 Hedgerow Data'!$B$3:$B$15,0)),"")</f>
        <v/>
      </c>
    </row>
    <row r="45" spans="2:33" ht="13.8" x14ac:dyDescent="0.25">
      <c r="B45" s="103">
        <v>34</v>
      </c>
      <c r="C45" s="268"/>
      <c r="D45" s="82"/>
      <c r="E45" s="203"/>
      <c r="F45" s="498" t="str">
        <f>IF(D45="","",VLOOKUP(D45,'G-6 Hedgerow Data'!$B$2:$AG$15,2,FALSE))</f>
        <v/>
      </c>
      <c r="G45" s="524" t="str">
        <f>IF(D45="","",VLOOKUP(D45,'G-6 Hedgerow Data'!$B$2:$AG$15,3,FALSE))</f>
        <v/>
      </c>
      <c r="H45" s="72"/>
      <c r="I45" s="499" t="str">
        <f>IFERROR(IF(AND(F45="V.Low",OR(H45="Good",H45="Moderate")),"Error ▲",VLOOKUP(H45,'G-1 All Habitats'!$Z$2:$AA$9,2,FALSE)),"")</f>
        <v/>
      </c>
      <c r="J45" s="146"/>
      <c r="K45" s="520" t="str">
        <f>IF(J45="","",IF(VLOOKUP(J45,'G-3 Multipliers'!$L$3:$N$6,2,FALSE)=0,"Spatial Data Missing",VLOOKUP(J45,'G-3 Multipliers'!$L$3:$N$6,2,FALSE)))</f>
        <v/>
      </c>
      <c r="L45" s="524" t="str">
        <f>IF(J45="","",IF(VLOOKUP(J45,'G-3 Multipliers'!$L$3:$N$6,3,FALSE)=0,"Spatial Data Missing",VLOOKUP(J45,'G-3 Multipliers'!$L$3:$N$6,3,FALSE)))</f>
        <v/>
      </c>
      <c r="M45" s="197"/>
      <c r="N45" s="499" t="str">
        <f>IF(M45="","",IF(VLOOKUP(M45,'G-3 Multipliers'!$S$3:$T$6,2,FALSE)=0,"Spatial Data Missing ⚠",VLOOKUP(M45,'G-3 Multipliers'!$S$3:$T$6,2,FALSE)))</f>
        <v/>
      </c>
      <c r="O45" s="498" t="str">
        <f>IF(OR(D45="",H45=""),"",(INDEX('G-6 Hedgerow Data'!$E$3:$I$15,MATCH(D45,'G-6 Hedgerow Data'!$B$3:$B$15,0),MATCH(H45,'G-6 Hedgerow Data'!$E$2:$I$2,0))))</f>
        <v/>
      </c>
      <c r="P45" s="195"/>
      <c r="Q45" s="195"/>
      <c r="R45" s="507" t="str">
        <f t="shared" si="1"/>
        <v/>
      </c>
      <c r="S45" s="521" t="str">
        <f t="shared" si="2"/>
        <v/>
      </c>
      <c r="T45" s="522" t="str">
        <f t="shared" si="0"/>
        <v/>
      </c>
      <c r="U45" s="537" t="str">
        <f>IF(D45="","",VLOOKUP(D45,'G-6 Hedgerow Data'!$B$3:$AG$15,31,FALSE))</f>
        <v/>
      </c>
      <c r="V45" s="520" t="str">
        <f t="shared" si="3"/>
        <v/>
      </c>
      <c r="W45" s="520" t="str">
        <f t="shared" si="4"/>
        <v/>
      </c>
      <c r="X45" s="524" t="str">
        <f>IF(F45="","",VLOOKUP(U45,'G-3 Multipliers'!$P$3:$Q$6,2,FALSE))</f>
        <v/>
      </c>
      <c r="Y45" s="529" t="str">
        <f t="shared" si="5"/>
        <v/>
      </c>
      <c r="Z45" s="149"/>
      <c r="AA45" s="150"/>
      <c r="AG45" s="31" t="str">
        <f>IFERROR(INDEX('G-6 Hedgerow Data'!$BJ$3:$BJ$15,MATCH(D45,'G-6 Hedgerow Data'!$B$3:$B$15,0)),"")</f>
        <v/>
      </c>
    </row>
    <row r="46" spans="2:33" ht="13.8" x14ac:dyDescent="0.25">
      <c r="B46" s="103">
        <v>35</v>
      </c>
      <c r="C46" s="268"/>
      <c r="D46" s="82"/>
      <c r="E46" s="203"/>
      <c r="F46" s="498" t="str">
        <f>IF(D46="","",VLOOKUP(D46,'G-6 Hedgerow Data'!$B$2:$AG$15,2,FALSE))</f>
        <v/>
      </c>
      <c r="G46" s="524" t="str">
        <f>IF(D46="","",VLOOKUP(D46,'G-6 Hedgerow Data'!$B$2:$AG$15,3,FALSE))</f>
        <v/>
      </c>
      <c r="H46" s="72"/>
      <c r="I46" s="499" t="str">
        <f>IFERROR(IF(AND(F46="V.Low",OR(H46="Good",H46="Moderate")),"Error ▲",VLOOKUP(H46,'G-1 All Habitats'!$Z$2:$AA$9,2,FALSE)),"")</f>
        <v/>
      </c>
      <c r="J46" s="146"/>
      <c r="K46" s="520" t="str">
        <f>IF(J46="","",IF(VLOOKUP(J46,'G-3 Multipliers'!$L$3:$N$6,2,FALSE)=0,"Spatial Data Missing",VLOOKUP(J46,'G-3 Multipliers'!$L$3:$N$6,2,FALSE)))</f>
        <v/>
      </c>
      <c r="L46" s="524" t="str">
        <f>IF(J46="","",IF(VLOOKUP(J46,'G-3 Multipliers'!$L$3:$N$6,3,FALSE)=0,"Spatial Data Missing",VLOOKUP(J46,'G-3 Multipliers'!$L$3:$N$6,3,FALSE)))</f>
        <v/>
      </c>
      <c r="M46" s="197"/>
      <c r="N46" s="499" t="str">
        <f>IF(M46="","",IF(VLOOKUP(M46,'G-3 Multipliers'!$S$3:$T$6,2,FALSE)=0,"Spatial Data Missing ⚠",VLOOKUP(M46,'G-3 Multipliers'!$S$3:$T$6,2,FALSE)))</f>
        <v/>
      </c>
      <c r="O46" s="498" t="str">
        <f>IF(OR(D46="",H46=""),"",(INDEX('G-6 Hedgerow Data'!$E$3:$I$15,MATCH(D46,'G-6 Hedgerow Data'!$B$3:$B$15,0),MATCH(H46,'G-6 Hedgerow Data'!$E$2:$I$2,0))))</f>
        <v/>
      </c>
      <c r="P46" s="195"/>
      <c r="Q46" s="195"/>
      <c r="R46" s="507" t="str">
        <f t="shared" si="1"/>
        <v/>
      </c>
      <c r="S46" s="521" t="str">
        <f t="shared" si="2"/>
        <v/>
      </c>
      <c r="T46" s="522" t="str">
        <f t="shared" si="0"/>
        <v/>
      </c>
      <c r="U46" s="537" t="str">
        <f>IF(D46="","",VLOOKUP(D46,'G-6 Hedgerow Data'!$B$3:$AG$15,31,FALSE))</f>
        <v/>
      </c>
      <c r="V46" s="520" t="str">
        <f t="shared" si="3"/>
        <v/>
      </c>
      <c r="W46" s="520" t="str">
        <f t="shared" si="4"/>
        <v/>
      </c>
      <c r="X46" s="524" t="str">
        <f>IF(F46="","",VLOOKUP(U46,'G-3 Multipliers'!$P$3:$Q$6,2,FALSE))</f>
        <v/>
      </c>
      <c r="Y46" s="529" t="str">
        <f t="shared" si="5"/>
        <v/>
      </c>
      <c r="Z46" s="149"/>
      <c r="AA46" s="150"/>
      <c r="AG46" s="31" t="str">
        <f>IFERROR(INDEX('G-6 Hedgerow Data'!$BJ$3:$BJ$15,MATCH(D46,'G-6 Hedgerow Data'!$B$3:$B$15,0)),"")</f>
        <v/>
      </c>
    </row>
    <row r="47" spans="2:33" ht="13.8" x14ac:dyDescent="0.25">
      <c r="B47" s="103">
        <v>36</v>
      </c>
      <c r="C47" s="268"/>
      <c r="D47" s="82"/>
      <c r="E47" s="203"/>
      <c r="F47" s="498" t="str">
        <f>IF(D47="","",VLOOKUP(D47,'G-6 Hedgerow Data'!$B$2:$AG$15,2,FALSE))</f>
        <v/>
      </c>
      <c r="G47" s="524" t="str">
        <f>IF(D47="","",VLOOKUP(D47,'G-6 Hedgerow Data'!$B$2:$AG$15,3,FALSE))</f>
        <v/>
      </c>
      <c r="H47" s="72"/>
      <c r="I47" s="499" t="str">
        <f>IFERROR(IF(AND(F47="V.Low",OR(H47="Good",H47="Moderate")),"Error ▲",VLOOKUP(H47,'G-1 All Habitats'!$Z$2:$AA$9,2,FALSE)),"")</f>
        <v/>
      </c>
      <c r="J47" s="146"/>
      <c r="K47" s="520" t="str">
        <f>IF(J47="","",IF(VLOOKUP(J47,'G-3 Multipliers'!$L$3:$N$6,2,FALSE)=0,"Spatial Data Missing",VLOOKUP(J47,'G-3 Multipliers'!$L$3:$N$6,2,FALSE)))</f>
        <v/>
      </c>
      <c r="L47" s="524" t="str">
        <f>IF(J47="","",IF(VLOOKUP(J47,'G-3 Multipliers'!$L$3:$N$6,3,FALSE)=0,"Spatial Data Missing",VLOOKUP(J47,'G-3 Multipliers'!$L$3:$N$6,3,FALSE)))</f>
        <v/>
      </c>
      <c r="M47" s="197"/>
      <c r="N47" s="499" t="str">
        <f>IF(M47="","",IF(VLOOKUP(M47,'G-3 Multipliers'!$S$3:$T$6,2,FALSE)=0,"Spatial Data Missing ⚠",VLOOKUP(M47,'G-3 Multipliers'!$S$3:$T$6,2,FALSE)))</f>
        <v/>
      </c>
      <c r="O47" s="498" t="str">
        <f>IF(OR(D47="",H47=""),"",(INDEX('G-6 Hedgerow Data'!$E$3:$I$15,MATCH(D47,'G-6 Hedgerow Data'!$B$3:$B$15,0),MATCH(H47,'G-6 Hedgerow Data'!$E$2:$I$2,0))))</f>
        <v/>
      </c>
      <c r="P47" s="195"/>
      <c r="Q47" s="195"/>
      <c r="R47" s="507" t="str">
        <f t="shared" si="1"/>
        <v/>
      </c>
      <c r="S47" s="521" t="str">
        <f t="shared" si="2"/>
        <v/>
      </c>
      <c r="T47" s="522" t="str">
        <f t="shared" si="0"/>
        <v/>
      </c>
      <c r="U47" s="537" t="str">
        <f>IF(D47="","",VLOOKUP(D47,'G-6 Hedgerow Data'!$B$3:$AG$15,31,FALSE))</f>
        <v/>
      </c>
      <c r="V47" s="520" t="str">
        <f t="shared" si="3"/>
        <v/>
      </c>
      <c r="W47" s="520" t="str">
        <f t="shared" si="4"/>
        <v/>
      </c>
      <c r="X47" s="524" t="str">
        <f>IF(F47="","",VLOOKUP(U47,'G-3 Multipliers'!$P$3:$Q$6,2,FALSE))</f>
        <v/>
      </c>
      <c r="Y47" s="529" t="str">
        <f t="shared" si="5"/>
        <v/>
      </c>
      <c r="Z47" s="149"/>
      <c r="AA47" s="150"/>
      <c r="AG47" s="31" t="str">
        <f>IFERROR(INDEX('G-6 Hedgerow Data'!$BJ$3:$BJ$15,MATCH(D47,'G-6 Hedgerow Data'!$B$3:$B$15,0)),"")</f>
        <v/>
      </c>
    </row>
    <row r="48" spans="2:33" ht="13.8" x14ac:dyDescent="0.25">
      <c r="B48" s="103">
        <v>37</v>
      </c>
      <c r="C48" s="268"/>
      <c r="D48" s="82"/>
      <c r="E48" s="203"/>
      <c r="F48" s="498" t="str">
        <f>IF(D48="","",VLOOKUP(D48,'G-6 Hedgerow Data'!$B$2:$AG$15,2,FALSE))</f>
        <v/>
      </c>
      <c r="G48" s="524" t="str">
        <f>IF(D48="","",VLOOKUP(D48,'G-6 Hedgerow Data'!$B$2:$AG$15,3,FALSE))</f>
        <v/>
      </c>
      <c r="H48" s="72"/>
      <c r="I48" s="499" t="str">
        <f>IFERROR(IF(AND(F48="V.Low",OR(H48="Good",H48="Moderate")),"Error ▲",VLOOKUP(H48,'G-1 All Habitats'!$Z$2:$AA$9,2,FALSE)),"")</f>
        <v/>
      </c>
      <c r="J48" s="146"/>
      <c r="K48" s="520" t="str">
        <f>IF(J48="","",IF(VLOOKUP(J48,'G-3 Multipliers'!$L$3:$N$6,2,FALSE)=0,"Spatial Data Missing",VLOOKUP(J48,'G-3 Multipliers'!$L$3:$N$6,2,FALSE)))</f>
        <v/>
      </c>
      <c r="L48" s="524" t="str">
        <f>IF(J48="","",IF(VLOOKUP(J48,'G-3 Multipliers'!$L$3:$N$6,3,FALSE)=0,"Spatial Data Missing",VLOOKUP(J48,'G-3 Multipliers'!$L$3:$N$6,3,FALSE)))</f>
        <v/>
      </c>
      <c r="M48" s="197"/>
      <c r="N48" s="499" t="str">
        <f>IF(M48="","",IF(VLOOKUP(M48,'G-3 Multipliers'!$S$3:$T$6,2,FALSE)=0,"Spatial Data Missing ⚠",VLOOKUP(M48,'G-3 Multipliers'!$S$3:$T$6,2,FALSE)))</f>
        <v/>
      </c>
      <c r="O48" s="498" t="str">
        <f>IF(OR(D48="",H48=""),"",(INDEX('G-6 Hedgerow Data'!$E$3:$I$15,MATCH(D48,'G-6 Hedgerow Data'!$B$3:$B$15,0),MATCH(H48,'G-6 Hedgerow Data'!$E$2:$I$2,0))))</f>
        <v/>
      </c>
      <c r="P48" s="195"/>
      <c r="Q48" s="195"/>
      <c r="R48" s="507" t="str">
        <f t="shared" si="1"/>
        <v/>
      </c>
      <c r="S48" s="521" t="str">
        <f t="shared" si="2"/>
        <v/>
      </c>
      <c r="T48" s="522" t="str">
        <f t="shared" si="0"/>
        <v/>
      </c>
      <c r="U48" s="537" t="str">
        <f>IF(D48="","",VLOOKUP(D48,'G-6 Hedgerow Data'!$B$3:$AG$15,31,FALSE))</f>
        <v/>
      </c>
      <c r="V48" s="520" t="str">
        <f t="shared" si="3"/>
        <v/>
      </c>
      <c r="W48" s="520" t="str">
        <f t="shared" si="4"/>
        <v/>
      </c>
      <c r="X48" s="524" t="str">
        <f>IF(F48="","",VLOOKUP(U48,'G-3 Multipliers'!$P$3:$Q$6,2,FALSE))</f>
        <v/>
      </c>
      <c r="Y48" s="529" t="str">
        <f t="shared" si="5"/>
        <v/>
      </c>
      <c r="Z48" s="149"/>
      <c r="AA48" s="150"/>
      <c r="AG48" s="31" t="str">
        <f>IFERROR(INDEX('G-6 Hedgerow Data'!$BJ$3:$BJ$15,MATCH(D48,'G-6 Hedgerow Data'!$B$3:$B$15,0)),"")</f>
        <v/>
      </c>
    </row>
    <row r="49" spans="2:33" ht="13.8" x14ac:dyDescent="0.25">
      <c r="B49" s="103">
        <v>38</v>
      </c>
      <c r="C49" s="268"/>
      <c r="D49" s="82"/>
      <c r="E49" s="203"/>
      <c r="F49" s="498" t="str">
        <f>IF(D49="","",VLOOKUP(D49,'G-6 Hedgerow Data'!$B$2:$AG$15,2,FALSE))</f>
        <v/>
      </c>
      <c r="G49" s="524" t="str">
        <f>IF(D49="","",VLOOKUP(D49,'G-6 Hedgerow Data'!$B$2:$AG$15,3,FALSE))</f>
        <v/>
      </c>
      <c r="H49" s="72"/>
      <c r="I49" s="499" t="str">
        <f>IFERROR(IF(AND(F49="V.Low",OR(H49="Good",H49="Moderate")),"Error ▲",VLOOKUP(H49,'G-1 All Habitats'!$Z$2:$AA$9,2,FALSE)),"")</f>
        <v/>
      </c>
      <c r="J49" s="146"/>
      <c r="K49" s="520" t="str">
        <f>IF(J49="","",IF(VLOOKUP(J49,'G-3 Multipliers'!$L$3:$N$6,2,FALSE)=0,"Spatial Data Missing",VLOOKUP(J49,'G-3 Multipliers'!$L$3:$N$6,2,FALSE)))</f>
        <v/>
      </c>
      <c r="L49" s="524" t="str">
        <f>IF(J49="","",IF(VLOOKUP(J49,'G-3 Multipliers'!$L$3:$N$6,3,FALSE)=0,"Spatial Data Missing",VLOOKUP(J49,'G-3 Multipliers'!$L$3:$N$6,3,FALSE)))</f>
        <v/>
      </c>
      <c r="M49" s="197"/>
      <c r="N49" s="499" t="str">
        <f>IF(M49="","",IF(VLOOKUP(M49,'G-3 Multipliers'!$S$3:$T$6,2,FALSE)=0,"Spatial Data Missing ⚠",VLOOKUP(M49,'G-3 Multipliers'!$S$3:$T$6,2,FALSE)))</f>
        <v/>
      </c>
      <c r="O49" s="498" t="str">
        <f>IF(OR(D49="",H49=""),"",(INDEX('G-6 Hedgerow Data'!$E$3:$I$15,MATCH(D49,'G-6 Hedgerow Data'!$B$3:$B$15,0),MATCH(H49,'G-6 Hedgerow Data'!$E$2:$I$2,0))))</f>
        <v/>
      </c>
      <c r="P49" s="195"/>
      <c r="Q49" s="195"/>
      <c r="R49" s="507" t="str">
        <f t="shared" si="1"/>
        <v/>
      </c>
      <c r="S49" s="521" t="str">
        <f t="shared" si="2"/>
        <v/>
      </c>
      <c r="T49" s="522" t="str">
        <f t="shared" si="0"/>
        <v/>
      </c>
      <c r="U49" s="537" t="str">
        <f>IF(D49="","",VLOOKUP(D49,'G-6 Hedgerow Data'!$B$3:$AG$15,31,FALSE))</f>
        <v/>
      </c>
      <c r="V49" s="520" t="str">
        <f t="shared" si="3"/>
        <v/>
      </c>
      <c r="W49" s="520" t="str">
        <f t="shared" si="4"/>
        <v/>
      </c>
      <c r="X49" s="524" t="str">
        <f>IF(F49="","",VLOOKUP(U49,'G-3 Multipliers'!$P$3:$Q$6,2,FALSE))</f>
        <v/>
      </c>
      <c r="Y49" s="529" t="str">
        <f t="shared" si="5"/>
        <v/>
      </c>
      <c r="Z49" s="149"/>
      <c r="AA49" s="150"/>
      <c r="AG49" s="31" t="str">
        <f>IFERROR(INDEX('G-6 Hedgerow Data'!$BJ$3:$BJ$15,MATCH(D49,'G-6 Hedgerow Data'!$B$3:$B$15,0)),"")</f>
        <v/>
      </c>
    </row>
    <row r="50" spans="2:33" ht="13.8" x14ac:dyDescent="0.25">
      <c r="B50" s="103">
        <v>39</v>
      </c>
      <c r="C50" s="268"/>
      <c r="D50" s="82"/>
      <c r="E50" s="203"/>
      <c r="F50" s="498" t="str">
        <f>IF(D50="","",VLOOKUP(D50,'G-6 Hedgerow Data'!$B$2:$AG$15,2,FALSE))</f>
        <v/>
      </c>
      <c r="G50" s="524" t="str">
        <f>IF(D50="","",VLOOKUP(D50,'G-6 Hedgerow Data'!$B$2:$AG$15,3,FALSE))</f>
        <v/>
      </c>
      <c r="H50" s="72"/>
      <c r="I50" s="499" t="str">
        <f>IFERROR(IF(AND(F50="V.Low",OR(H50="Good",H50="Moderate")),"Error ▲",VLOOKUP(H50,'G-1 All Habitats'!$Z$2:$AA$9,2,FALSE)),"")</f>
        <v/>
      </c>
      <c r="J50" s="146"/>
      <c r="K50" s="520" t="str">
        <f>IF(J50="","",IF(VLOOKUP(J50,'G-3 Multipliers'!$L$3:$N$6,2,FALSE)=0,"Spatial Data Missing",VLOOKUP(J50,'G-3 Multipliers'!$L$3:$N$6,2,FALSE)))</f>
        <v/>
      </c>
      <c r="L50" s="524" t="str">
        <f>IF(J50="","",IF(VLOOKUP(J50,'G-3 Multipliers'!$L$3:$N$6,3,FALSE)=0,"Spatial Data Missing",VLOOKUP(J50,'G-3 Multipliers'!$L$3:$N$6,3,FALSE)))</f>
        <v/>
      </c>
      <c r="M50" s="197"/>
      <c r="N50" s="499" t="str">
        <f>IF(M50="","",IF(VLOOKUP(M50,'G-3 Multipliers'!$S$3:$T$6,2,FALSE)=0,"Spatial Data Missing ⚠",VLOOKUP(M50,'G-3 Multipliers'!$S$3:$T$6,2,FALSE)))</f>
        <v/>
      </c>
      <c r="O50" s="498" t="str">
        <f>IF(OR(D50="",H50=""),"",(INDEX('G-6 Hedgerow Data'!$E$3:$I$15,MATCH(D50,'G-6 Hedgerow Data'!$B$3:$B$15,0),MATCH(H50,'G-6 Hedgerow Data'!$E$2:$I$2,0))))</f>
        <v/>
      </c>
      <c r="P50" s="195"/>
      <c r="Q50" s="195"/>
      <c r="R50" s="507" t="str">
        <f t="shared" si="1"/>
        <v/>
      </c>
      <c r="S50" s="521" t="str">
        <f t="shared" si="2"/>
        <v/>
      </c>
      <c r="T50" s="522" t="str">
        <f t="shared" si="0"/>
        <v/>
      </c>
      <c r="U50" s="537" t="str">
        <f>IF(D50="","",VLOOKUP(D50,'G-6 Hedgerow Data'!$B$3:$AG$15,31,FALSE))</f>
        <v/>
      </c>
      <c r="V50" s="520" t="str">
        <f t="shared" si="3"/>
        <v/>
      </c>
      <c r="W50" s="520" t="str">
        <f t="shared" si="4"/>
        <v/>
      </c>
      <c r="X50" s="524" t="str">
        <f>IF(F50="","",VLOOKUP(U50,'G-3 Multipliers'!$P$3:$Q$6,2,FALSE))</f>
        <v/>
      </c>
      <c r="Y50" s="529" t="str">
        <f t="shared" si="5"/>
        <v/>
      </c>
      <c r="Z50" s="149"/>
      <c r="AA50" s="150"/>
      <c r="AG50" s="31" t="str">
        <f>IFERROR(INDEX('G-6 Hedgerow Data'!$BJ$3:$BJ$15,MATCH(D50,'G-6 Hedgerow Data'!$B$3:$B$15,0)),"")</f>
        <v/>
      </c>
    </row>
    <row r="51" spans="2:33" ht="13.8" x14ac:dyDescent="0.25">
      <c r="B51" s="103">
        <v>40</v>
      </c>
      <c r="C51" s="268"/>
      <c r="D51" s="82"/>
      <c r="E51" s="203"/>
      <c r="F51" s="498" t="str">
        <f>IF(D51="","",VLOOKUP(D51,'G-6 Hedgerow Data'!$B$2:$AG$15,2,FALSE))</f>
        <v/>
      </c>
      <c r="G51" s="524" t="str">
        <f>IF(D51="","",VLOOKUP(D51,'G-6 Hedgerow Data'!$B$2:$AG$15,3,FALSE))</f>
        <v/>
      </c>
      <c r="H51" s="72"/>
      <c r="I51" s="499" t="str">
        <f>IFERROR(IF(AND(F51="V.Low",OR(H51="Good",H51="Moderate")),"Error ▲",VLOOKUP(H51,'G-1 All Habitats'!$Z$2:$AA$9,2,FALSE)),"")</f>
        <v/>
      </c>
      <c r="J51" s="146"/>
      <c r="K51" s="520" t="str">
        <f>IF(J51="","",IF(VLOOKUP(J51,'G-3 Multipliers'!$L$3:$N$6,2,FALSE)=0,"Spatial Data Missing",VLOOKUP(J51,'G-3 Multipliers'!$L$3:$N$6,2,FALSE)))</f>
        <v/>
      </c>
      <c r="L51" s="524" t="str">
        <f>IF(J51="","",IF(VLOOKUP(J51,'G-3 Multipliers'!$L$3:$N$6,3,FALSE)=0,"Spatial Data Missing",VLOOKUP(J51,'G-3 Multipliers'!$L$3:$N$6,3,FALSE)))</f>
        <v/>
      </c>
      <c r="M51" s="197"/>
      <c r="N51" s="499" t="str">
        <f>IF(M51="","",IF(VLOOKUP(M51,'G-3 Multipliers'!$S$3:$T$6,2,FALSE)=0,"Spatial Data Missing ⚠",VLOOKUP(M51,'G-3 Multipliers'!$S$3:$T$6,2,FALSE)))</f>
        <v/>
      </c>
      <c r="O51" s="498" t="str">
        <f>IF(OR(D51="",H51=""),"",(INDEX('G-6 Hedgerow Data'!$E$3:$I$15,MATCH(D51,'G-6 Hedgerow Data'!$B$3:$B$15,0),MATCH(H51,'G-6 Hedgerow Data'!$E$2:$I$2,0))))</f>
        <v/>
      </c>
      <c r="P51" s="195"/>
      <c r="Q51" s="195"/>
      <c r="R51" s="507" t="str">
        <f t="shared" si="1"/>
        <v/>
      </c>
      <c r="S51" s="521" t="str">
        <f t="shared" si="2"/>
        <v/>
      </c>
      <c r="T51" s="522" t="str">
        <f t="shared" si="0"/>
        <v/>
      </c>
      <c r="U51" s="537" t="str">
        <f>IF(D51="","",VLOOKUP(D51,'G-6 Hedgerow Data'!$B$3:$AG$15,31,FALSE))</f>
        <v/>
      </c>
      <c r="V51" s="520" t="str">
        <f t="shared" si="3"/>
        <v/>
      </c>
      <c r="W51" s="520" t="str">
        <f t="shared" si="4"/>
        <v/>
      </c>
      <c r="X51" s="524" t="str">
        <f>IF(F51="","",VLOOKUP(U51,'G-3 Multipliers'!$P$3:$Q$6,2,FALSE))</f>
        <v/>
      </c>
      <c r="Y51" s="529" t="str">
        <f t="shared" si="5"/>
        <v/>
      </c>
      <c r="Z51" s="149"/>
      <c r="AA51" s="150"/>
      <c r="AG51" s="31" t="str">
        <f>IFERROR(INDEX('G-6 Hedgerow Data'!$BJ$3:$BJ$15,MATCH(D51,'G-6 Hedgerow Data'!$B$3:$B$15,0)),"")</f>
        <v/>
      </c>
    </row>
    <row r="52" spans="2:33" ht="13.8" x14ac:dyDescent="0.25">
      <c r="B52" s="103">
        <v>41</v>
      </c>
      <c r="C52" s="268"/>
      <c r="D52" s="82"/>
      <c r="E52" s="203"/>
      <c r="F52" s="498" t="str">
        <f>IF(D52="","",VLOOKUP(D52,'G-6 Hedgerow Data'!$B$2:$AG$15,2,FALSE))</f>
        <v/>
      </c>
      <c r="G52" s="524" t="str">
        <f>IF(D52="","",VLOOKUP(D52,'G-6 Hedgerow Data'!$B$2:$AG$15,3,FALSE))</f>
        <v/>
      </c>
      <c r="H52" s="72"/>
      <c r="I52" s="499" t="str">
        <f>IFERROR(IF(AND(F52="V.Low",OR(H52="Good",H52="Moderate")),"Error ▲",VLOOKUP(H52,'G-1 All Habitats'!$Z$2:$AA$9,2,FALSE)),"")</f>
        <v/>
      </c>
      <c r="J52" s="146"/>
      <c r="K52" s="520" t="str">
        <f>IF(J52="","",IF(VLOOKUP(J52,'G-3 Multipliers'!$L$3:$N$6,2,FALSE)=0,"Spatial Data Missing",VLOOKUP(J52,'G-3 Multipliers'!$L$3:$N$6,2,FALSE)))</f>
        <v/>
      </c>
      <c r="L52" s="524" t="str">
        <f>IF(J52="","",IF(VLOOKUP(J52,'G-3 Multipliers'!$L$3:$N$6,3,FALSE)=0,"Spatial Data Missing",VLOOKUP(J52,'G-3 Multipliers'!$L$3:$N$6,3,FALSE)))</f>
        <v/>
      </c>
      <c r="M52" s="197"/>
      <c r="N52" s="499" t="str">
        <f>IF(M52="","",IF(VLOOKUP(M52,'G-3 Multipliers'!$S$3:$T$6,2,FALSE)=0,"Spatial Data Missing ⚠",VLOOKUP(M52,'G-3 Multipliers'!$S$3:$T$6,2,FALSE)))</f>
        <v/>
      </c>
      <c r="O52" s="498" t="str">
        <f>IF(OR(D52="",H52=""),"",(INDEX('G-6 Hedgerow Data'!$E$3:$I$15,MATCH(D52,'G-6 Hedgerow Data'!$B$3:$B$15,0),MATCH(H52,'G-6 Hedgerow Data'!$E$2:$I$2,0))))</f>
        <v/>
      </c>
      <c r="P52" s="195"/>
      <c r="Q52" s="195"/>
      <c r="R52" s="507" t="str">
        <f t="shared" si="1"/>
        <v/>
      </c>
      <c r="S52" s="521" t="str">
        <f t="shared" si="2"/>
        <v/>
      </c>
      <c r="T52" s="522" t="str">
        <f t="shared" si="0"/>
        <v/>
      </c>
      <c r="U52" s="537" t="str">
        <f>IF(D52="","",VLOOKUP(D52,'G-6 Hedgerow Data'!$B$3:$AG$15,31,FALSE))</f>
        <v/>
      </c>
      <c r="V52" s="520" t="str">
        <f t="shared" si="3"/>
        <v/>
      </c>
      <c r="W52" s="520" t="str">
        <f t="shared" si="4"/>
        <v/>
      </c>
      <c r="X52" s="524" t="str">
        <f>IF(F52="","",VLOOKUP(U52,'G-3 Multipliers'!$P$3:$Q$6,2,FALSE))</f>
        <v/>
      </c>
      <c r="Y52" s="529" t="str">
        <f t="shared" si="5"/>
        <v/>
      </c>
      <c r="Z52" s="149"/>
      <c r="AA52" s="150"/>
      <c r="AG52" s="31" t="str">
        <f>IFERROR(INDEX('G-6 Hedgerow Data'!$BJ$3:$BJ$15,MATCH(D52,'G-6 Hedgerow Data'!$B$3:$B$15,0)),"")</f>
        <v/>
      </c>
    </row>
    <row r="53" spans="2:33" ht="13.8" x14ac:dyDescent="0.25">
      <c r="B53" s="103">
        <v>42</v>
      </c>
      <c r="C53" s="268"/>
      <c r="D53" s="82"/>
      <c r="E53" s="203"/>
      <c r="F53" s="498" t="str">
        <f>IF(D53="","",VLOOKUP(D53,'G-6 Hedgerow Data'!$B$2:$AG$15,2,FALSE))</f>
        <v/>
      </c>
      <c r="G53" s="524" t="str">
        <f>IF(D53="","",VLOOKUP(D53,'G-6 Hedgerow Data'!$B$2:$AG$15,3,FALSE))</f>
        <v/>
      </c>
      <c r="H53" s="72"/>
      <c r="I53" s="499" t="str">
        <f>IFERROR(IF(AND(F53="V.Low",OR(H53="Good",H53="Moderate")),"Error ▲",VLOOKUP(H53,'G-1 All Habitats'!$Z$2:$AA$9,2,FALSE)),"")</f>
        <v/>
      </c>
      <c r="J53" s="146"/>
      <c r="K53" s="520" t="str">
        <f>IF(J53="","",IF(VLOOKUP(J53,'G-3 Multipliers'!$L$3:$N$6,2,FALSE)=0,"Spatial Data Missing",VLOOKUP(J53,'G-3 Multipliers'!$L$3:$N$6,2,FALSE)))</f>
        <v/>
      </c>
      <c r="L53" s="524" t="str">
        <f>IF(J53="","",IF(VLOOKUP(J53,'G-3 Multipliers'!$L$3:$N$6,3,FALSE)=0,"Spatial Data Missing",VLOOKUP(J53,'G-3 Multipliers'!$L$3:$N$6,3,FALSE)))</f>
        <v/>
      </c>
      <c r="M53" s="197"/>
      <c r="N53" s="499" t="str">
        <f>IF(M53="","",IF(VLOOKUP(M53,'G-3 Multipliers'!$S$3:$T$6,2,FALSE)=0,"Spatial Data Missing ⚠",VLOOKUP(M53,'G-3 Multipliers'!$S$3:$T$6,2,FALSE)))</f>
        <v/>
      </c>
      <c r="O53" s="498" t="str">
        <f>IF(OR(D53="",H53=""),"",(INDEX('G-6 Hedgerow Data'!$E$3:$I$15,MATCH(D53,'G-6 Hedgerow Data'!$B$3:$B$15,0),MATCH(H53,'G-6 Hedgerow Data'!$E$2:$I$2,0))))</f>
        <v/>
      </c>
      <c r="P53" s="195"/>
      <c r="Q53" s="195"/>
      <c r="R53" s="507" t="str">
        <f t="shared" si="1"/>
        <v/>
      </c>
      <c r="S53" s="521" t="str">
        <f t="shared" si="2"/>
        <v/>
      </c>
      <c r="T53" s="522" t="str">
        <f t="shared" si="0"/>
        <v/>
      </c>
      <c r="U53" s="537" t="str">
        <f>IF(D53="","",VLOOKUP(D53,'G-6 Hedgerow Data'!$B$3:$AG$15,31,FALSE))</f>
        <v/>
      </c>
      <c r="V53" s="520" t="str">
        <f t="shared" si="3"/>
        <v/>
      </c>
      <c r="W53" s="520" t="str">
        <f t="shared" si="4"/>
        <v/>
      </c>
      <c r="X53" s="524" t="str">
        <f>IF(F53="","",VLOOKUP(U53,'G-3 Multipliers'!$P$3:$Q$6,2,FALSE))</f>
        <v/>
      </c>
      <c r="Y53" s="529" t="str">
        <f t="shared" si="5"/>
        <v/>
      </c>
      <c r="Z53" s="149"/>
      <c r="AA53" s="150"/>
      <c r="AG53" s="31" t="str">
        <f>IFERROR(INDEX('G-6 Hedgerow Data'!$BJ$3:$BJ$15,MATCH(D53,'G-6 Hedgerow Data'!$B$3:$B$15,0)),"")</f>
        <v/>
      </c>
    </row>
    <row r="54" spans="2:33" ht="13.8" x14ac:dyDescent="0.25">
      <c r="B54" s="103">
        <v>43</v>
      </c>
      <c r="C54" s="268"/>
      <c r="D54" s="82"/>
      <c r="E54" s="203"/>
      <c r="F54" s="498" t="str">
        <f>IF(D54="","",VLOOKUP(D54,'G-6 Hedgerow Data'!$B$2:$AG$15,2,FALSE))</f>
        <v/>
      </c>
      <c r="G54" s="524" t="str">
        <f>IF(D54="","",VLOOKUP(D54,'G-6 Hedgerow Data'!$B$2:$AG$15,3,FALSE))</f>
        <v/>
      </c>
      <c r="H54" s="72"/>
      <c r="I54" s="499" t="str">
        <f>IFERROR(IF(AND(F54="V.Low",OR(H54="Good",H54="Moderate")),"Error ▲",VLOOKUP(H54,'G-1 All Habitats'!$Z$2:$AA$9,2,FALSE)),"")</f>
        <v/>
      </c>
      <c r="J54" s="146"/>
      <c r="K54" s="520" t="str">
        <f>IF(J54="","",IF(VLOOKUP(J54,'G-3 Multipliers'!$L$3:$N$6,2,FALSE)=0,"Spatial Data Missing",VLOOKUP(J54,'G-3 Multipliers'!$L$3:$N$6,2,FALSE)))</f>
        <v/>
      </c>
      <c r="L54" s="524" t="str">
        <f>IF(J54="","",IF(VLOOKUP(J54,'G-3 Multipliers'!$L$3:$N$6,3,FALSE)=0,"Spatial Data Missing",VLOOKUP(J54,'G-3 Multipliers'!$L$3:$N$6,3,FALSE)))</f>
        <v/>
      </c>
      <c r="M54" s="197"/>
      <c r="N54" s="499" t="str">
        <f>IF(M54="","",IF(VLOOKUP(M54,'G-3 Multipliers'!$S$3:$T$6,2,FALSE)=0,"Spatial Data Missing ⚠",VLOOKUP(M54,'G-3 Multipliers'!$S$3:$T$6,2,FALSE)))</f>
        <v/>
      </c>
      <c r="O54" s="498" t="str">
        <f>IF(OR(D54="",H54=""),"",(INDEX('G-6 Hedgerow Data'!$E$3:$I$15,MATCH(D54,'G-6 Hedgerow Data'!$B$3:$B$15,0),MATCH(H54,'G-6 Hedgerow Data'!$E$2:$I$2,0))))</f>
        <v/>
      </c>
      <c r="P54" s="195"/>
      <c r="Q54" s="195"/>
      <c r="R54" s="507" t="str">
        <f t="shared" si="1"/>
        <v/>
      </c>
      <c r="S54" s="521" t="str">
        <f t="shared" si="2"/>
        <v/>
      </c>
      <c r="T54" s="522" t="str">
        <f t="shared" si="0"/>
        <v/>
      </c>
      <c r="U54" s="537" t="str">
        <f>IF(D54="","",VLOOKUP(D54,'G-6 Hedgerow Data'!$B$3:$AG$15,31,FALSE))</f>
        <v/>
      </c>
      <c r="V54" s="520" t="str">
        <f t="shared" si="3"/>
        <v/>
      </c>
      <c r="W54" s="520" t="str">
        <f t="shared" si="4"/>
        <v/>
      </c>
      <c r="X54" s="524" t="str">
        <f>IF(F54="","",VLOOKUP(U54,'G-3 Multipliers'!$P$3:$Q$6,2,FALSE))</f>
        <v/>
      </c>
      <c r="Y54" s="529" t="str">
        <f t="shared" si="5"/>
        <v/>
      </c>
      <c r="Z54" s="149"/>
      <c r="AA54" s="150"/>
      <c r="AG54" s="31" t="str">
        <f>IFERROR(INDEX('G-6 Hedgerow Data'!$BJ$3:$BJ$15,MATCH(D54,'G-6 Hedgerow Data'!$B$3:$B$15,0)),"")</f>
        <v/>
      </c>
    </row>
    <row r="55" spans="2:33" ht="13.8" x14ac:dyDescent="0.25">
      <c r="B55" s="103">
        <v>44</v>
      </c>
      <c r="C55" s="268"/>
      <c r="D55" s="82"/>
      <c r="E55" s="203"/>
      <c r="F55" s="498" t="str">
        <f>IF(D55="","",VLOOKUP(D55,'G-6 Hedgerow Data'!$B$2:$AG$15,2,FALSE))</f>
        <v/>
      </c>
      <c r="G55" s="524" t="str">
        <f>IF(D55="","",VLOOKUP(D55,'G-6 Hedgerow Data'!$B$2:$AG$15,3,FALSE))</f>
        <v/>
      </c>
      <c r="H55" s="72"/>
      <c r="I55" s="499" t="str">
        <f>IFERROR(IF(AND(F55="V.Low",OR(H55="Good",H55="Moderate")),"Error ▲",VLOOKUP(H55,'G-1 All Habitats'!$Z$2:$AA$9,2,FALSE)),"")</f>
        <v/>
      </c>
      <c r="J55" s="146"/>
      <c r="K55" s="520" t="str">
        <f>IF(J55="","",IF(VLOOKUP(J55,'G-3 Multipliers'!$L$3:$N$6,2,FALSE)=0,"Spatial Data Missing",VLOOKUP(J55,'G-3 Multipliers'!$L$3:$N$6,2,FALSE)))</f>
        <v/>
      </c>
      <c r="L55" s="524" t="str">
        <f>IF(J55="","",IF(VLOOKUP(J55,'G-3 Multipliers'!$L$3:$N$6,3,FALSE)=0,"Spatial Data Missing",VLOOKUP(J55,'G-3 Multipliers'!$L$3:$N$6,3,FALSE)))</f>
        <v/>
      </c>
      <c r="M55" s="197"/>
      <c r="N55" s="499" t="str">
        <f>IF(M55="","",IF(VLOOKUP(M55,'G-3 Multipliers'!$S$3:$T$6,2,FALSE)=0,"Spatial Data Missing ⚠",VLOOKUP(M55,'G-3 Multipliers'!$S$3:$T$6,2,FALSE)))</f>
        <v/>
      </c>
      <c r="O55" s="498" t="str">
        <f>IF(OR(D55="",H55=""),"",(INDEX('G-6 Hedgerow Data'!$E$3:$I$15,MATCH(D55,'G-6 Hedgerow Data'!$B$3:$B$15,0),MATCH(H55,'G-6 Hedgerow Data'!$E$2:$I$2,0))))</f>
        <v/>
      </c>
      <c r="P55" s="195"/>
      <c r="Q55" s="195"/>
      <c r="R55" s="507" t="str">
        <f t="shared" si="1"/>
        <v/>
      </c>
      <c r="S55" s="521" t="str">
        <f t="shared" si="2"/>
        <v/>
      </c>
      <c r="T55" s="522" t="str">
        <f t="shared" si="0"/>
        <v/>
      </c>
      <c r="U55" s="537" t="str">
        <f>IF(D55="","",VLOOKUP(D55,'G-6 Hedgerow Data'!$B$3:$AG$15,31,FALSE))</f>
        <v/>
      </c>
      <c r="V55" s="520" t="str">
        <f t="shared" si="3"/>
        <v/>
      </c>
      <c r="W55" s="520" t="str">
        <f t="shared" si="4"/>
        <v/>
      </c>
      <c r="X55" s="524" t="str">
        <f>IF(F55="","",VLOOKUP(U55,'G-3 Multipliers'!$P$3:$Q$6,2,FALSE))</f>
        <v/>
      </c>
      <c r="Y55" s="529" t="str">
        <f t="shared" si="5"/>
        <v/>
      </c>
      <c r="Z55" s="149"/>
      <c r="AA55" s="150"/>
      <c r="AG55" s="31" t="str">
        <f>IFERROR(INDEX('G-6 Hedgerow Data'!$BJ$3:$BJ$15,MATCH(D55,'G-6 Hedgerow Data'!$B$3:$B$15,0)),"")</f>
        <v/>
      </c>
    </row>
    <row r="56" spans="2:33" ht="13.8" x14ac:dyDescent="0.25">
      <c r="B56" s="103">
        <v>45</v>
      </c>
      <c r="C56" s="268"/>
      <c r="D56" s="82"/>
      <c r="E56" s="203"/>
      <c r="F56" s="498" t="str">
        <f>IF(D56="","",VLOOKUP(D56,'G-6 Hedgerow Data'!$B$2:$AG$15,2,FALSE))</f>
        <v/>
      </c>
      <c r="G56" s="524" t="str">
        <f>IF(D56="","",VLOOKUP(D56,'G-6 Hedgerow Data'!$B$2:$AG$15,3,FALSE))</f>
        <v/>
      </c>
      <c r="H56" s="72"/>
      <c r="I56" s="499" t="str">
        <f>IFERROR(IF(AND(F56="V.Low",OR(H56="Good",H56="Moderate")),"Error ▲",VLOOKUP(H56,'G-1 All Habitats'!$Z$2:$AA$9,2,FALSE)),"")</f>
        <v/>
      </c>
      <c r="J56" s="146"/>
      <c r="K56" s="520" t="str">
        <f>IF(J56="","",IF(VLOOKUP(J56,'G-3 Multipliers'!$L$3:$N$6,2,FALSE)=0,"Spatial Data Missing",VLOOKUP(J56,'G-3 Multipliers'!$L$3:$N$6,2,FALSE)))</f>
        <v/>
      </c>
      <c r="L56" s="524" t="str">
        <f>IF(J56="","",IF(VLOOKUP(J56,'G-3 Multipliers'!$L$3:$N$6,3,FALSE)=0,"Spatial Data Missing",VLOOKUP(J56,'G-3 Multipliers'!$L$3:$N$6,3,FALSE)))</f>
        <v/>
      </c>
      <c r="M56" s="197"/>
      <c r="N56" s="499" t="str">
        <f>IF(M56="","",IF(VLOOKUP(M56,'G-3 Multipliers'!$S$3:$T$6,2,FALSE)=0,"Spatial Data Missing ⚠",VLOOKUP(M56,'G-3 Multipliers'!$S$3:$T$6,2,FALSE)))</f>
        <v/>
      </c>
      <c r="O56" s="498" t="str">
        <f>IF(OR(D56="",H56=""),"",(INDEX('G-6 Hedgerow Data'!$E$3:$I$15,MATCH(D56,'G-6 Hedgerow Data'!$B$3:$B$15,0),MATCH(H56,'G-6 Hedgerow Data'!$E$2:$I$2,0))))</f>
        <v/>
      </c>
      <c r="P56" s="195"/>
      <c r="Q56" s="195"/>
      <c r="R56" s="507" t="str">
        <f t="shared" si="1"/>
        <v/>
      </c>
      <c r="S56" s="521" t="str">
        <f t="shared" si="2"/>
        <v/>
      </c>
      <c r="T56" s="522" t="str">
        <f t="shared" si="0"/>
        <v/>
      </c>
      <c r="U56" s="537" t="str">
        <f>IF(D56="","",VLOOKUP(D56,'G-6 Hedgerow Data'!$B$3:$AG$15,31,FALSE))</f>
        <v/>
      </c>
      <c r="V56" s="520" t="str">
        <f t="shared" si="3"/>
        <v/>
      </c>
      <c r="W56" s="520" t="str">
        <f t="shared" si="4"/>
        <v/>
      </c>
      <c r="X56" s="524" t="str">
        <f>IF(F56="","",VLOOKUP(U56,'G-3 Multipliers'!$P$3:$Q$6,2,FALSE))</f>
        <v/>
      </c>
      <c r="Y56" s="529" t="str">
        <f t="shared" si="5"/>
        <v/>
      </c>
      <c r="Z56" s="149"/>
      <c r="AA56" s="150"/>
      <c r="AG56" s="31" t="str">
        <f>IFERROR(INDEX('G-6 Hedgerow Data'!$BJ$3:$BJ$15,MATCH(D56,'G-6 Hedgerow Data'!$B$3:$B$15,0)),"")</f>
        <v/>
      </c>
    </row>
    <row r="57" spans="2:33" ht="13.8" x14ac:dyDescent="0.25">
      <c r="B57" s="103">
        <v>46</v>
      </c>
      <c r="C57" s="268"/>
      <c r="D57" s="82"/>
      <c r="E57" s="203"/>
      <c r="F57" s="498" t="str">
        <f>IF(D57="","",VLOOKUP(D57,'G-6 Hedgerow Data'!$B$2:$AG$15,2,FALSE))</f>
        <v/>
      </c>
      <c r="G57" s="524" t="str">
        <f>IF(D57="","",VLOOKUP(D57,'G-6 Hedgerow Data'!$B$2:$AG$15,3,FALSE))</f>
        <v/>
      </c>
      <c r="H57" s="72"/>
      <c r="I57" s="499" t="str">
        <f>IFERROR(IF(AND(F57="V.Low",OR(H57="Good",H57="Moderate")),"Error ▲",VLOOKUP(H57,'G-1 All Habitats'!$Z$2:$AA$9,2,FALSE)),"")</f>
        <v/>
      </c>
      <c r="J57" s="146"/>
      <c r="K57" s="520" t="str">
        <f>IF(J57="","",IF(VLOOKUP(J57,'G-3 Multipliers'!$L$3:$N$6,2,FALSE)=0,"Spatial Data Missing",VLOOKUP(J57,'G-3 Multipliers'!$L$3:$N$6,2,FALSE)))</f>
        <v/>
      </c>
      <c r="L57" s="524" t="str">
        <f>IF(J57="","",IF(VLOOKUP(J57,'G-3 Multipliers'!$L$3:$N$6,3,FALSE)=0,"Spatial Data Missing",VLOOKUP(J57,'G-3 Multipliers'!$L$3:$N$6,3,FALSE)))</f>
        <v/>
      </c>
      <c r="M57" s="197"/>
      <c r="N57" s="499" t="str">
        <f>IF(M57="","",IF(VLOOKUP(M57,'G-3 Multipliers'!$S$3:$T$6,2,FALSE)=0,"Spatial Data Missing ⚠",VLOOKUP(M57,'G-3 Multipliers'!$S$3:$T$6,2,FALSE)))</f>
        <v/>
      </c>
      <c r="O57" s="498" t="str">
        <f>IF(OR(D57="",H57=""),"",(INDEX('G-6 Hedgerow Data'!$E$3:$I$15,MATCH(D57,'G-6 Hedgerow Data'!$B$3:$B$15,0),MATCH(H57,'G-6 Hedgerow Data'!$E$2:$I$2,0))))</f>
        <v/>
      </c>
      <c r="P57" s="195"/>
      <c r="Q57" s="195"/>
      <c r="R57" s="507" t="str">
        <f t="shared" si="1"/>
        <v/>
      </c>
      <c r="S57" s="521" t="str">
        <f t="shared" si="2"/>
        <v/>
      </c>
      <c r="T57" s="522" t="str">
        <f t="shared" si="0"/>
        <v/>
      </c>
      <c r="U57" s="537" t="str">
        <f>IF(D57="","",VLOOKUP(D57,'G-6 Hedgerow Data'!$B$3:$AG$15,31,FALSE))</f>
        <v/>
      </c>
      <c r="V57" s="520" t="str">
        <f t="shared" si="3"/>
        <v/>
      </c>
      <c r="W57" s="520" t="str">
        <f t="shared" si="4"/>
        <v/>
      </c>
      <c r="X57" s="524" t="str">
        <f>IF(F57="","",VLOOKUP(U57,'G-3 Multipliers'!$P$3:$Q$6,2,FALSE))</f>
        <v/>
      </c>
      <c r="Y57" s="529" t="str">
        <f t="shared" si="5"/>
        <v/>
      </c>
      <c r="Z57" s="149"/>
      <c r="AA57" s="150"/>
      <c r="AG57" s="31" t="str">
        <f>IFERROR(INDEX('G-6 Hedgerow Data'!$BJ$3:$BJ$15,MATCH(D57,'G-6 Hedgerow Data'!$B$3:$B$15,0)),"")</f>
        <v/>
      </c>
    </row>
    <row r="58" spans="2:33" ht="13.8" x14ac:dyDescent="0.25">
      <c r="B58" s="103">
        <v>47</v>
      </c>
      <c r="C58" s="268"/>
      <c r="D58" s="82"/>
      <c r="E58" s="203"/>
      <c r="F58" s="498" t="str">
        <f>IF(D58="","",VLOOKUP(D58,'G-6 Hedgerow Data'!$B$2:$AG$15,2,FALSE))</f>
        <v/>
      </c>
      <c r="G58" s="524" t="str">
        <f>IF(D58="","",VLOOKUP(D58,'G-6 Hedgerow Data'!$B$2:$AG$15,3,FALSE))</f>
        <v/>
      </c>
      <c r="H58" s="72"/>
      <c r="I58" s="499" t="str">
        <f>IFERROR(IF(AND(F58="V.Low",OR(H58="Good",H58="Moderate")),"Error ▲",VLOOKUP(H58,'G-1 All Habitats'!$Z$2:$AA$9,2,FALSE)),"")</f>
        <v/>
      </c>
      <c r="J58" s="146"/>
      <c r="K58" s="520" t="str">
        <f>IF(J58="","",IF(VLOOKUP(J58,'G-3 Multipliers'!$L$3:$N$6,2,FALSE)=0,"Spatial Data Missing",VLOOKUP(J58,'G-3 Multipliers'!$L$3:$N$6,2,FALSE)))</f>
        <v/>
      </c>
      <c r="L58" s="524" t="str">
        <f>IF(J58="","",IF(VLOOKUP(J58,'G-3 Multipliers'!$L$3:$N$6,3,FALSE)=0,"Spatial Data Missing",VLOOKUP(J58,'G-3 Multipliers'!$L$3:$N$6,3,FALSE)))</f>
        <v/>
      </c>
      <c r="M58" s="197"/>
      <c r="N58" s="499" t="str">
        <f>IF(M58="","",IF(VLOOKUP(M58,'G-3 Multipliers'!$S$3:$T$6,2,FALSE)=0,"Spatial Data Missing ⚠",VLOOKUP(M58,'G-3 Multipliers'!$S$3:$T$6,2,FALSE)))</f>
        <v/>
      </c>
      <c r="O58" s="498" t="str">
        <f>IF(OR(D58="",H58=""),"",(INDEX('G-6 Hedgerow Data'!$E$3:$I$15,MATCH(D58,'G-6 Hedgerow Data'!$B$3:$B$15,0),MATCH(H58,'G-6 Hedgerow Data'!$E$2:$I$2,0))))</f>
        <v/>
      </c>
      <c r="P58" s="195"/>
      <c r="Q58" s="195"/>
      <c r="R58" s="507" t="str">
        <f t="shared" si="1"/>
        <v/>
      </c>
      <c r="S58" s="521" t="str">
        <f t="shared" si="2"/>
        <v/>
      </c>
      <c r="T58" s="522" t="str">
        <f t="shared" si="0"/>
        <v/>
      </c>
      <c r="U58" s="537" t="str">
        <f>IF(D58="","",VLOOKUP(D58,'G-6 Hedgerow Data'!$B$3:$AG$15,31,FALSE))</f>
        <v/>
      </c>
      <c r="V58" s="520" t="str">
        <f t="shared" si="3"/>
        <v/>
      </c>
      <c r="W58" s="520" t="str">
        <f t="shared" si="4"/>
        <v/>
      </c>
      <c r="X58" s="524" t="str">
        <f>IF(F58="","",VLOOKUP(U58,'G-3 Multipliers'!$P$3:$Q$6,2,FALSE))</f>
        <v/>
      </c>
      <c r="Y58" s="529" t="str">
        <f t="shared" si="5"/>
        <v/>
      </c>
      <c r="Z58" s="149"/>
      <c r="AA58" s="150"/>
      <c r="AG58" s="31" t="str">
        <f>IFERROR(INDEX('G-6 Hedgerow Data'!$BJ$3:$BJ$15,MATCH(D58,'G-6 Hedgerow Data'!$B$3:$B$15,0)),"")</f>
        <v/>
      </c>
    </row>
    <row r="59" spans="2:33" ht="13.8" x14ac:dyDescent="0.25">
      <c r="B59" s="103">
        <v>48</v>
      </c>
      <c r="C59" s="268"/>
      <c r="D59" s="82"/>
      <c r="E59" s="203"/>
      <c r="F59" s="498" t="str">
        <f>IF(D59="","",VLOOKUP(D59,'G-6 Hedgerow Data'!$B$2:$AG$15,2,FALSE))</f>
        <v/>
      </c>
      <c r="G59" s="524" t="str">
        <f>IF(D59="","",VLOOKUP(D59,'G-6 Hedgerow Data'!$B$2:$AG$15,3,FALSE))</f>
        <v/>
      </c>
      <c r="H59" s="72"/>
      <c r="I59" s="499" t="str">
        <f>IFERROR(IF(AND(F59="V.Low",OR(H59="Good",H59="Moderate")),"Error ▲",VLOOKUP(H59,'G-1 All Habitats'!$Z$2:$AA$9,2,FALSE)),"")</f>
        <v/>
      </c>
      <c r="J59" s="146"/>
      <c r="K59" s="520" t="str">
        <f>IF(J59="","",IF(VLOOKUP(J59,'G-3 Multipliers'!$L$3:$N$6,2,FALSE)=0,"Spatial Data Missing",VLOOKUP(J59,'G-3 Multipliers'!$L$3:$N$6,2,FALSE)))</f>
        <v/>
      </c>
      <c r="L59" s="524" t="str">
        <f>IF(J59="","",IF(VLOOKUP(J59,'G-3 Multipliers'!$L$3:$N$6,3,FALSE)=0,"Spatial Data Missing",VLOOKUP(J59,'G-3 Multipliers'!$L$3:$N$6,3,FALSE)))</f>
        <v/>
      </c>
      <c r="M59" s="197"/>
      <c r="N59" s="499" t="str">
        <f>IF(M59="","",IF(VLOOKUP(M59,'G-3 Multipliers'!$S$3:$T$6,2,FALSE)=0,"Spatial Data Missing ⚠",VLOOKUP(M59,'G-3 Multipliers'!$S$3:$T$6,2,FALSE)))</f>
        <v/>
      </c>
      <c r="O59" s="498" t="str">
        <f>IF(OR(D59="",H59=""),"",(INDEX('G-6 Hedgerow Data'!$E$3:$I$15,MATCH(D59,'G-6 Hedgerow Data'!$B$3:$B$15,0),MATCH(H59,'G-6 Hedgerow Data'!$E$2:$I$2,0))))</f>
        <v/>
      </c>
      <c r="P59" s="195"/>
      <c r="Q59" s="195"/>
      <c r="R59" s="507" t="str">
        <f t="shared" si="1"/>
        <v/>
      </c>
      <c r="S59" s="521" t="str">
        <f t="shared" si="2"/>
        <v/>
      </c>
      <c r="T59" s="522" t="str">
        <f t="shared" si="0"/>
        <v/>
      </c>
      <c r="U59" s="537" t="str">
        <f>IF(D59="","",VLOOKUP(D59,'G-6 Hedgerow Data'!$B$3:$AG$15,31,FALSE))</f>
        <v/>
      </c>
      <c r="V59" s="520" t="str">
        <f t="shared" si="3"/>
        <v/>
      </c>
      <c r="W59" s="520" t="str">
        <f t="shared" si="4"/>
        <v/>
      </c>
      <c r="X59" s="524" t="str">
        <f>IF(F59="","",VLOOKUP(U59,'G-3 Multipliers'!$P$3:$Q$6,2,FALSE))</f>
        <v/>
      </c>
      <c r="Y59" s="529" t="str">
        <f t="shared" si="5"/>
        <v/>
      </c>
      <c r="Z59" s="149"/>
      <c r="AA59" s="150"/>
      <c r="AG59" s="31" t="str">
        <f>IFERROR(INDEX('G-6 Hedgerow Data'!$BJ$3:$BJ$15,MATCH(D59,'G-6 Hedgerow Data'!$B$3:$B$15,0)),"")</f>
        <v/>
      </c>
    </row>
    <row r="60" spans="2:33" ht="13.8" x14ac:dyDescent="0.25">
      <c r="B60" s="103">
        <v>49</v>
      </c>
      <c r="C60" s="268"/>
      <c r="D60" s="82"/>
      <c r="E60" s="203"/>
      <c r="F60" s="498" t="str">
        <f>IF(D60="","",VLOOKUP(D60,'G-6 Hedgerow Data'!$B$2:$AG$15,2,FALSE))</f>
        <v/>
      </c>
      <c r="G60" s="524" t="str">
        <f>IF(D60="","",VLOOKUP(D60,'G-6 Hedgerow Data'!$B$2:$AG$15,3,FALSE))</f>
        <v/>
      </c>
      <c r="H60" s="72"/>
      <c r="I60" s="499" t="str">
        <f>IFERROR(IF(AND(F60="V.Low",OR(H60="Good",H60="Moderate")),"Error ▲",VLOOKUP(H60,'G-1 All Habitats'!$Z$2:$AA$9,2,FALSE)),"")</f>
        <v/>
      </c>
      <c r="J60" s="146"/>
      <c r="K60" s="520" t="str">
        <f>IF(J60="","",IF(VLOOKUP(J60,'G-3 Multipliers'!$L$3:$N$6,2,FALSE)=0,"Spatial Data Missing",VLOOKUP(J60,'G-3 Multipliers'!$L$3:$N$6,2,FALSE)))</f>
        <v/>
      </c>
      <c r="L60" s="524" t="str">
        <f>IF(J60="","",IF(VLOOKUP(J60,'G-3 Multipliers'!$L$3:$N$6,3,FALSE)=0,"Spatial Data Missing",VLOOKUP(J60,'G-3 Multipliers'!$L$3:$N$6,3,FALSE)))</f>
        <v/>
      </c>
      <c r="M60" s="197"/>
      <c r="N60" s="499" t="str">
        <f>IF(M60="","",IF(VLOOKUP(M60,'G-3 Multipliers'!$S$3:$T$6,2,FALSE)=0,"Spatial Data Missing ⚠",VLOOKUP(M60,'G-3 Multipliers'!$S$3:$T$6,2,FALSE)))</f>
        <v/>
      </c>
      <c r="O60" s="498" t="str">
        <f>IF(OR(D60="",H60=""),"",(INDEX('G-6 Hedgerow Data'!$E$3:$I$15,MATCH(D60,'G-6 Hedgerow Data'!$B$3:$B$15,0),MATCH(H60,'G-6 Hedgerow Data'!$E$2:$I$2,0))))</f>
        <v/>
      </c>
      <c r="P60" s="195"/>
      <c r="Q60" s="195"/>
      <c r="R60" s="507" t="str">
        <f t="shared" si="1"/>
        <v/>
      </c>
      <c r="S60" s="521" t="str">
        <f t="shared" si="2"/>
        <v/>
      </c>
      <c r="T60" s="522" t="str">
        <f t="shared" si="0"/>
        <v/>
      </c>
      <c r="U60" s="537" t="str">
        <f>IF(D60="","",VLOOKUP(D60,'G-6 Hedgerow Data'!$B$3:$AG$15,31,FALSE))</f>
        <v/>
      </c>
      <c r="V60" s="520" t="str">
        <f t="shared" si="3"/>
        <v/>
      </c>
      <c r="W60" s="520" t="str">
        <f t="shared" si="4"/>
        <v/>
      </c>
      <c r="X60" s="524" t="str">
        <f>IF(F60="","",VLOOKUP(U60,'G-3 Multipliers'!$P$3:$Q$6,2,FALSE))</f>
        <v/>
      </c>
      <c r="Y60" s="529" t="str">
        <f t="shared" si="5"/>
        <v/>
      </c>
      <c r="Z60" s="149"/>
      <c r="AA60" s="150"/>
      <c r="AG60" s="31" t="str">
        <f>IFERROR(INDEX('G-6 Hedgerow Data'!$BJ$3:$BJ$15,MATCH(D60,'G-6 Hedgerow Data'!$B$3:$B$15,0)),"")</f>
        <v/>
      </c>
    </row>
    <row r="61" spans="2:33" ht="13.8" x14ac:dyDescent="0.25">
      <c r="B61" s="103">
        <v>50</v>
      </c>
      <c r="C61" s="268"/>
      <c r="D61" s="82"/>
      <c r="E61" s="203"/>
      <c r="F61" s="498" t="str">
        <f>IF(D61="","",VLOOKUP(D61,'G-6 Hedgerow Data'!$B$2:$AG$15,2,FALSE))</f>
        <v/>
      </c>
      <c r="G61" s="524" t="str">
        <f>IF(D61="","",VLOOKUP(D61,'G-6 Hedgerow Data'!$B$2:$AG$15,3,FALSE))</f>
        <v/>
      </c>
      <c r="H61" s="72"/>
      <c r="I61" s="499" t="str">
        <f>IFERROR(IF(AND(F61="V.Low",OR(H61="Good",H61="Moderate")),"Error ▲",VLOOKUP(H61,'G-1 All Habitats'!$Z$2:$AA$9,2,FALSE)),"")</f>
        <v/>
      </c>
      <c r="J61" s="146"/>
      <c r="K61" s="520" t="str">
        <f>IF(J61="","",IF(VLOOKUP(J61,'G-3 Multipliers'!$L$3:$N$6,2,FALSE)=0,"Spatial Data Missing",VLOOKUP(J61,'G-3 Multipliers'!$L$3:$N$6,2,FALSE)))</f>
        <v/>
      </c>
      <c r="L61" s="524" t="str">
        <f>IF(J61="","",IF(VLOOKUP(J61,'G-3 Multipliers'!$L$3:$N$6,3,FALSE)=0,"Spatial Data Missing",VLOOKUP(J61,'G-3 Multipliers'!$L$3:$N$6,3,FALSE)))</f>
        <v/>
      </c>
      <c r="M61" s="197"/>
      <c r="N61" s="499" t="str">
        <f>IF(M61="","",IF(VLOOKUP(M61,'G-3 Multipliers'!$S$3:$T$6,2,FALSE)=0,"Spatial Data Missing ⚠",VLOOKUP(M61,'G-3 Multipliers'!$S$3:$T$6,2,FALSE)))</f>
        <v/>
      </c>
      <c r="O61" s="498" t="str">
        <f>IF(OR(D61="",H61=""),"",(INDEX('G-6 Hedgerow Data'!$E$3:$I$15,MATCH(D61,'G-6 Hedgerow Data'!$B$3:$B$15,0),MATCH(H61,'G-6 Hedgerow Data'!$E$2:$I$2,0))))</f>
        <v/>
      </c>
      <c r="P61" s="195"/>
      <c r="Q61" s="195"/>
      <c r="R61" s="507" t="str">
        <f t="shared" si="1"/>
        <v/>
      </c>
      <c r="S61" s="521" t="str">
        <f t="shared" si="2"/>
        <v/>
      </c>
      <c r="T61" s="522" t="str">
        <f t="shared" si="0"/>
        <v/>
      </c>
      <c r="U61" s="537" t="str">
        <f>IF(D61="","",VLOOKUP(D61,'G-6 Hedgerow Data'!$B$3:$AG$15,31,FALSE))</f>
        <v/>
      </c>
      <c r="V61" s="520" t="str">
        <f t="shared" si="3"/>
        <v/>
      </c>
      <c r="W61" s="520" t="str">
        <f t="shared" si="4"/>
        <v/>
      </c>
      <c r="X61" s="524" t="str">
        <f>IF(F61="","",VLOOKUP(U61,'G-3 Multipliers'!$P$3:$Q$6,2,FALSE))</f>
        <v/>
      </c>
      <c r="Y61" s="529" t="str">
        <f t="shared" si="5"/>
        <v/>
      </c>
      <c r="Z61" s="149"/>
      <c r="AA61" s="150"/>
      <c r="AG61" s="31" t="str">
        <f>IFERROR(INDEX('G-6 Hedgerow Data'!$BJ$3:$BJ$15,MATCH(D61,'G-6 Hedgerow Data'!$B$3:$B$15,0)),"")</f>
        <v/>
      </c>
    </row>
    <row r="62" spans="2:33" ht="13.8" x14ac:dyDescent="0.25">
      <c r="B62" s="103">
        <v>51</v>
      </c>
      <c r="C62" s="268"/>
      <c r="D62" s="82"/>
      <c r="E62" s="203"/>
      <c r="F62" s="498" t="str">
        <f>IF(D62="","",VLOOKUP(D62,'G-6 Hedgerow Data'!$B$2:$AG$15,2,FALSE))</f>
        <v/>
      </c>
      <c r="G62" s="524" t="str">
        <f>IF(D62="","",VLOOKUP(D62,'G-6 Hedgerow Data'!$B$2:$AG$15,3,FALSE))</f>
        <v/>
      </c>
      <c r="H62" s="72"/>
      <c r="I62" s="499" t="str">
        <f>IFERROR(IF(AND(F62="V.Low",OR(H62="Good",H62="Moderate")),"Error ▲",VLOOKUP(H62,'G-1 All Habitats'!$Z$2:$AA$9,2,FALSE)),"")</f>
        <v/>
      </c>
      <c r="J62" s="146"/>
      <c r="K62" s="520" t="str">
        <f>IF(J62="","",IF(VLOOKUP(J62,'G-3 Multipliers'!$L$3:$N$6,2,FALSE)=0,"Spatial Data Missing",VLOOKUP(J62,'G-3 Multipliers'!$L$3:$N$6,2,FALSE)))</f>
        <v/>
      </c>
      <c r="L62" s="524" t="str">
        <f>IF(J62="","",IF(VLOOKUP(J62,'G-3 Multipliers'!$L$3:$N$6,3,FALSE)=0,"Spatial Data Missing",VLOOKUP(J62,'G-3 Multipliers'!$L$3:$N$6,3,FALSE)))</f>
        <v/>
      </c>
      <c r="M62" s="197"/>
      <c r="N62" s="499" t="str">
        <f>IF(M62="","",IF(VLOOKUP(M62,'G-3 Multipliers'!$S$3:$T$6,2,FALSE)=0,"Spatial Data Missing ⚠",VLOOKUP(M62,'G-3 Multipliers'!$S$3:$T$6,2,FALSE)))</f>
        <v/>
      </c>
      <c r="O62" s="498" t="str">
        <f>IF(OR(D62="",H62=""),"",(INDEX('G-6 Hedgerow Data'!$E$3:$I$15,MATCH(D62,'G-6 Hedgerow Data'!$B$3:$B$15,0),MATCH(H62,'G-6 Hedgerow Data'!$E$2:$I$2,0))))</f>
        <v/>
      </c>
      <c r="P62" s="195"/>
      <c r="Q62" s="195"/>
      <c r="R62" s="507" t="str">
        <f t="shared" si="1"/>
        <v/>
      </c>
      <c r="S62" s="521" t="str">
        <f t="shared" si="2"/>
        <v/>
      </c>
      <c r="T62" s="522" t="str">
        <f t="shared" si="0"/>
        <v/>
      </c>
      <c r="U62" s="537" t="str">
        <f>IF(D62="","",VLOOKUP(D62,'G-6 Hedgerow Data'!$B$3:$AG$15,31,FALSE))</f>
        <v/>
      </c>
      <c r="V62" s="520" t="str">
        <f t="shared" si="3"/>
        <v/>
      </c>
      <c r="W62" s="520" t="str">
        <f t="shared" si="4"/>
        <v/>
      </c>
      <c r="X62" s="524" t="str">
        <f>IF(F62="","",VLOOKUP(U62,'G-3 Multipliers'!$P$3:$Q$6,2,FALSE))</f>
        <v/>
      </c>
      <c r="Y62" s="529" t="str">
        <f t="shared" si="5"/>
        <v/>
      </c>
      <c r="Z62" s="149"/>
      <c r="AA62" s="150"/>
      <c r="AG62" s="31" t="str">
        <f>IFERROR(INDEX('G-6 Hedgerow Data'!$BJ$3:$BJ$15,MATCH(D62,'G-6 Hedgerow Data'!$B$3:$B$15,0)),"")</f>
        <v/>
      </c>
    </row>
    <row r="63" spans="2:33" ht="13.8" x14ac:dyDescent="0.25">
      <c r="B63" s="103">
        <v>52</v>
      </c>
      <c r="C63" s="268"/>
      <c r="D63" s="82"/>
      <c r="E63" s="203"/>
      <c r="F63" s="498" t="str">
        <f>IF(D63="","",VLOOKUP(D63,'G-6 Hedgerow Data'!$B$2:$AG$15,2,FALSE))</f>
        <v/>
      </c>
      <c r="G63" s="524" t="str">
        <f>IF(D63="","",VLOOKUP(D63,'G-6 Hedgerow Data'!$B$2:$AG$15,3,FALSE))</f>
        <v/>
      </c>
      <c r="H63" s="72"/>
      <c r="I63" s="499" t="str">
        <f>IFERROR(IF(AND(F63="V.Low",OR(H63="Good",H63="Moderate")),"Error ▲",VLOOKUP(H63,'G-1 All Habitats'!$Z$2:$AA$9,2,FALSE)),"")</f>
        <v/>
      </c>
      <c r="J63" s="146"/>
      <c r="K63" s="520" t="str">
        <f>IF(J63="","",IF(VLOOKUP(J63,'G-3 Multipliers'!$L$3:$N$6,2,FALSE)=0,"Spatial Data Missing",VLOOKUP(J63,'G-3 Multipliers'!$L$3:$N$6,2,FALSE)))</f>
        <v/>
      </c>
      <c r="L63" s="524" t="str">
        <f>IF(J63="","",IF(VLOOKUP(J63,'G-3 Multipliers'!$L$3:$N$6,3,FALSE)=0,"Spatial Data Missing",VLOOKUP(J63,'G-3 Multipliers'!$L$3:$N$6,3,FALSE)))</f>
        <v/>
      </c>
      <c r="M63" s="197"/>
      <c r="N63" s="499" t="str">
        <f>IF(M63="","",IF(VLOOKUP(M63,'G-3 Multipliers'!$S$3:$T$6,2,FALSE)=0,"Spatial Data Missing ⚠",VLOOKUP(M63,'G-3 Multipliers'!$S$3:$T$6,2,FALSE)))</f>
        <v/>
      </c>
      <c r="O63" s="498" t="str">
        <f>IF(OR(D63="",H63=""),"",(INDEX('G-6 Hedgerow Data'!$E$3:$I$15,MATCH(D63,'G-6 Hedgerow Data'!$B$3:$B$15,0),MATCH(H63,'G-6 Hedgerow Data'!$E$2:$I$2,0))))</f>
        <v/>
      </c>
      <c r="P63" s="195"/>
      <c r="Q63" s="195"/>
      <c r="R63" s="507" t="str">
        <f t="shared" si="1"/>
        <v/>
      </c>
      <c r="S63" s="521" t="str">
        <f t="shared" si="2"/>
        <v/>
      </c>
      <c r="T63" s="522" t="str">
        <f t="shared" si="0"/>
        <v/>
      </c>
      <c r="U63" s="537" t="str">
        <f>IF(D63="","",VLOOKUP(D63,'G-6 Hedgerow Data'!$B$3:$AG$15,31,FALSE))</f>
        <v/>
      </c>
      <c r="V63" s="520" t="str">
        <f t="shared" si="3"/>
        <v/>
      </c>
      <c r="W63" s="520" t="str">
        <f t="shared" si="4"/>
        <v/>
      </c>
      <c r="X63" s="524" t="str">
        <f>IF(F63="","",VLOOKUP(U63,'G-3 Multipliers'!$P$3:$Q$6,2,FALSE))</f>
        <v/>
      </c>
      <c r="Y63" s="529" t="str">
        <f t="shared" si="5"/>
        <v/>
      </c>
      <c r="Z63" s="149"/>
      <c r="AA63" s="150"/>
      <c r="AG63" s="31" t="str">
        <f>IFERROR(INDEX('G-6 Hedgerow Data'!$BJ$3:$BJ$15,MATCH(D63,'G-6 Hedgerow Data'!$B$3:$B$15,0)),"")</f>
        <v/>
      </c>
    </row>
    <row r="64" spans="2:33" ht="13.8" x14ac:dyDescent="0.25">
      <c r="B64" s="103">
        <v>53</v>
      </c>
      <c r="C64" s="268"/>
      <c r="D64" s="82"/>
      <c r="E64" s="203"/>
      <c r="F64" s="498" t="str">
        <f>IF(D64="","",VLOOKUP(D64,'G-6 Hedgerow Data'!$B$2:$AG$15,2,FALSE))</f>
        <v/>
      </c>
      <c r="G64" s="524" t="str">
        <f>IF(D64="","",VLOOKUP(D64,'G-6 Hedgerow Data'!$B$2:$AG$15,3,FALSE))</f>
        <v/>
      </c>
      <c r="H64" s="72"/>
      <c r="I64" s="499" t="str">
        <f>IFERROR(IF(AND(F64="V.Low",OR(H64="Good",H64="Moderate")),"Error ▲",VLOOKUP(H64,'G-1 All Habitats'!$Z$2:$AA$9,2,FALSE)),"")</f>
        <v/>
      </c>
      <c r="J64" s="146"/>
      <c r="K64" s="520" t="str">
        <f>IF(J64="","",IF(VLOOKUP(J64,'G-3 Multipliers'!$L$3:$N$6,2,FALSE)=0,"Spatial Data Missing",VLOOKUP(J64,'G-3 Multipliers'!$L$3:$N$6,2,FALSE)))</f>
        <v/>
      </c>
      <c r="L64" s="524" t="str">
        <f>IF(J64="","",IF(VLOOKUP(J64,'G-3 Multipliers'!$L$3:$N$6,3,FALSE)=0,"Spatial Data Missing",VLOOKUP(J64,'G-3 Multipliers'!$L$3:$N$6,3,FALSE)))</f>
        <v/>
      </c>
      <c r="M64" s="197"/>
      <c r="N64" s="499" t="str">
        <f>IF(M64="","",IF(VLOOKUP(M64,'G-3 Multipliers'!$S$3:$T$6,2,FALSE)=0,"Spatial Data Missing ⚠",VLOOKUP(M64,'G-3 Multipliers'!$S$3:$T$6,2,FALSE)))</f>
        <v/>
      </c>
      <c r="O64" s="498" t="str">
        <f>IF(OR(D64="",H64=""),"",(INDEX('G-6 Hedgerow Data'!$E$3:$I$15,MATCH(D64,'G-6 Hedgerow Data'!$B$3:$B$15,0),MATCH(H64,'G-6 Hedgerow Data'!$E$2:$I$2,0))))</f>
        <v/>
      </c>
      <c r="P64" s="195"/>
      <c r="Q64" s="195"/>
      <c r="R64" s="507" t="str">
        <f t="shared" si="1"/>
        <v/>
      </c>
      <c r="S64" s="521" t="str">
        <f t="shared" si="2"/>
        <v/>
      </c>
      <c r="T64" s="522" t="str">
        <f t="shared" si="0"/>
        <v/>
      </c>
      <c r="U64" s="537" t="str">
        <f>IF(D64="","",VLOOKUP(D64,'G-6 Hedgerow Data'!$B$3:$AG$15,31,FALSE))</f>
        <v/>
      </c>
      <c r="V64" s="520" t="str">
        <f t="shared" si="3"/>
        <v/>
      </c>
      <c r="W64" s="520" t="str">
        <f t="shared" si="4"/>
        <v/>
      </c>
      <c r="X64" s="524" t="str">
        <f>IF(F64="","",VLOOKUP(U64,'G-3 Multipliers'!$P$3:$Q$6,2,FALSE))</f>
        <v/>
      </c>
      <c r="Y64" s="529" t="str">
        <f t="shared" si="5"/>
        <v/>
      </c>
      <c r="Z64" s="149"/>
      <c r="AA64" s="150"/>
      <c r="AG64" s="31" t="str">
        <f>IFERROR(INDEX('G-6 Hedgerow Data'!$BJ$3:$BJ$15,MATCH(D64,'G-6 Hedgerow Data'!$B$3:$B$15,0)),"")</f>
        <v/>
      </c>
    </row>
    <row r="65" spans="2:33" ht="13.8" x14ac:dyDescent="0.25">
      <c r="B65" s="103">
        <v>54</v>
      </c>
      <c r="C65" s="268"/>
      <c r="D65" s="82"/>
      <c r="E65" s="203"/>
      <c r="F65" s="498" t="str">
        <f>IF(D65="","",VLOOKUP(D65,'G-6 Hedgerow Data'!$B$2:$AG$15,2,FALSE))</f>
        <v/>
      </c>
      <c r="G65" s="524" t="str">
        <f>IF(D65="","",VLOOKUP(D65,'G-6 Hedgerow Data'!$B$2:$AG$15,3,FALSE))</f>
        <v/>
      </c>
      <c r="H65" s="72"/>
      <c r="I65" s="499" t="str">
        <f>IFERROR(IF(AND(F65="V.Low",OR(H65="Good",H65="Moderate")),"Error ▲",VLOOKUP(H65,'G-1 All Habitats'!$Z$2:$AA$9,2,FALSE)),"")</f>
        <v/>
      </c>
      <c r="J65" s="146"/>
      <c r="K65" s="520" t="str">
        <f>IF(J65="","",IF(VLOOKUP(J65,'G-3 Multipliers'!$L$3:$N$6,2,FALSE)=0,"Spatial Data Missing",VLOOKUP(J65,'G-3 Multipliers'!$L$3:$N$6,2,FALSE)))</f>
        <v/>
      </c>
      <c r="L65" s="524" t="str">
        <f>IF(J65="","",IF(VLOOKUP(J65,'G-3 Multipliers'!$L$3:$N$6,3,FALSE)=0,"Spatial Data Missing",VLOOKUP(J65,'G-3 Multipliers'!$L$3:$N$6,3,FALSE)))</f>
        <v/>
      </c>
      <c r="M65" s="197"/>
      <c r="N65" s="499" t="str">
        <f>IF(M65="","",IF(VLOOKUP(M65,'G-3 Multipliers'!$S$3:$T$6,2,FALSE)=0,"Spatial Data Missing ⚠",VLOOKUP(M65,'G-3 Multipliers'!$S$3:$T$6,2,FALSE)))</f>
        <v/>
      </c>
      <c r="O65" s="498" t="str">
        <f>IF(OR(D65="",H65=""),"",(INDEX('G-6 Hedgerow Data'!$E$3:$I$15,MATCH(D65,'G-6 Hedgerow Data'!$B$3:$B$15,0),MATCH(H65,'G-6 Hedgerow Data'!$E$2:$I$2,0))))</f>
        <v/>
      </c>
      <c r="P65" s="195"/>
      <c r="Q65" s="195"/>
      <c r="R65" s="507" t="str">
        <f t="shared" si="1"/>
        <v/>
      </c>
      <c r="S65" s="521" t="str">
        <f t="shared" si="2"/>
        <v/>
      </c>
      <c r="T65" s="522" t="str">
        <f t="shared" si="0"/>
        <v/>
      </c>
      <c r="U65" s="537" t="str">
        <f>IF(D65="","",VLOOKUP(D65,'G-6 Hedgerow Data'!$B$3:$AG$15,31,FALSE))</f>
        <v/>
      </c>
      <c r="V65" s="520" t="str">
        <f t="shared" si="3"/>
        <v/>
      </c>
      <c r="W65" s="520" t="str">
        <f t="shared" si="4"/>
        <v/>
      </c>
      <c r="X65" s="524" t="str">
        <f>IF(F65="","",VLOOKUP(U65,'G-3 Multipliers'!$P$3:$Q$6,2,FALSE))</f>
        <v/>
      </c>
      <c r="Y65" s="529" t="str">
        <f t="shared" si="5"/>
        <v/>
      </c>
      <c r="Z65" s="149"/>
      <c r="AA65" s="150"/>
      <c r="AG65" s="31" t="str">
        <f>IFERROR(INDEX('G-6 Hedgerow Data'!$BJ$3:$BJ$15,MATCH(D65,'G-6 Hedgerow Data'!$B$3:$B$15,0)),"")</f>
        <v/>
      </c>
    </row>
    <row r="66" spans="2:33" ht="13.8" x14ac:dyDescent="0.25">
      <c r="B66" s="103">
        <v>55</v>
      </c>
      <c r="C66" s="268"/>
      <c r="D66" s="82"/>
      <c r="E66" s="203"/>
      <c r="F66" s="498" t="str">
        <f>IF(D66="","",VLOOKUP(D66,'G-6 Hedgerow Data'!$B$2:$AG$15,2,FALSE))</f>
        <v/>
      </c>
      <c r="G66" s="524" t="str">
        <f>IF(D66="","",VLOOKUP(D66,'G-6 Hedgerow Data'!$B$2:$AG$15,3,FALSE))</f>
        <v/>
      </c>
      <c r="H66" s="72"/>
      <c r="I66" s="499" t="str">
        <f>IFERROR(IF(AND(F66="V.Low",OR(H66="Good",H66="Moderate")),"Error ▲",VLOOKUP(H66,'G-1 All Habitats'!$Z$2:$AA$9,2,FALSE)),"")</f>
        <v/>
      </c>
      <c r="J66" s="146"/>
      <c r="K66" s="520" t="str">
        <f>IF(J66="","",IF(VLOOKUP(J66,'G-3 Multipliers'!$L$3:$N$6,2,FALSE)=0,"Spatial Data Missing",VLOOKUP(J66,'G-3 Multipliers'!$L$3:$N$6,2,FALSE)))</f>
        <v/>
      </c>
      <c r="L66" s="524" t="str">
        <f>IF(J66="","",IF(VLOOKUP(J66,'G-3 Multipliers'!$L$3:$N$6,3,FALSE)=0,"Spatial Data Missing",VLOOKUP(J66,'G-3 Multipliers'!$L$3:$N$6,3,FALSE)))</f>
        <v/>
      </c>
      <c r="M66" s="197"/>
      <c r="N66" s="499" t="str">
        <f>IF(M66="","",IF(VLOOKUP(M66,'G-3 Multipliers'!$S$3:$T$6,2,FALSE)=0,"Spatial Data Missing ⚠",VLOOKUP(M66,'G-3 Multipliers'!$S$3:$T$6,2,FALSE)))</f>
        <v/>
      </c>
      <c r="O66" s="498" t="str">
        <f>IF(OR(D66="",H66=""),"",(INDEX('G-6 Hedgerow Data'!$E$3:$I$15,MATCH(D66,'G-6 Hedgerow Data'!$B$3:$B$15,0),MATCH(H66,'G-6 Hedgerow Data'!$E$2:$I$2,0))))</f>
        <v/>
      </c>
      <c r="P66" s="195"/>
      <c r="Q66" s="195"/>
      <c r="R66" s="507" t="str">
        <f t="shared" si="1"/>
        <v/>
      </c>
      <c r="S66" s="521" t="str">
        <f t="shared" si="2"/>
        <v/>
      </c>
      <c r="T66" s="522" t="str">
        <f t="shared" si="0"/>
        <v/>
      </c>
      <c r="U66" s="537" t="str">
        <f>IF(D66="","",VLOOKUP(D66,'G-6 Hedgerow Data'!$B$3:$AG$15,31,FALSE))</f>
        <v/>
      </c>
      <c r="V66" s="520" t="str">
        <f t="shared" si="3"/>
        <v/>
      </c>
      <c r="W66" s="520" t="str">
        <f t="shared" si="4"/>
        <v/>
      </c>
      <c r="X66" s="524" t="str">
        <f>IF(F66="","",VLOOKUP(U66,'G-3 Multipliers'!$P$3:$Q$6,2,FALSE))</f>
        <v/>
      </c>
      <c r="Y66" s="529" t="str">
        <f t="shared" si="5"/>
        <v/>
      </c>
      <c r="Z66" s="149"/>
      <c r="AA66" s="150"/>
      <c r="AG66" s="31" t="str">
        <f>IFERROR(INDEX('G-6 Hedgerow Data'!$BJ$3:$BJ$15,MATCH(D66,'G-6 Hedgerow Data'!$B$3:$B$15,0)),"")</f>
        <v/>
      </c>
    </row>
    <row r="67" spans="2:33" ht="13.8" x14ac:dyDescent="0.25">
      <c r="B67" s="103">
        <v>56</v>
      </c>
      <c r="C67" s="268"/>
      <c r="D67" s="82"/>
      <c r="E67" s="203"/>
      <c r="F67" s="498" t="str">
        <f>IF(D67="","",VLOOKUP(D67,'G-6 Hedgerow Data'!$B$2:$AG$15,2,FALSE))</f>
        <v/>
      </c>
      <c r="G67" s="524" t="str">
        <f>IF(D67="","",VLOOKUP(D67,'G-6 Hedgerow Data'!$B$2:$AG$15,3,FALSE))</f>
        <v/>
      </c>
      <c r="H67" s="72"/>
      <c r="I67" s="499" t="str">
        <f>IFERROR(IF(AND(F67="V.Low",OR(H67="Good",H67="Moderate")),"Error ▲",VLOOKUP(H67,'G-1 All Habitats'!$Z$2:$AA$9,2,FALSE)),"")</f>
        <v/>
      </c>
      <c r="J67" s="146"/>
      <c r="K67" s="520" t="str">
        <f>IF(J67="","",IF(VLOOKUP(J67,'G-3 Multipliers'!$L$3:$N$6,2,FALSE)=0,"Spatial Data Missing",VLOOKUP(J67,'G-3 Multipliers'!$L$3:$N$6,2,FALSE)))</f>
        <v/>
      </c>
      <c r="L67" s="524" t="str">
        <f>IF(J67="","",IF(VLOOKUP(J67,'G-3 Multipliers'!$L$3:$N$6,3,FALSE)=0,"Spatial Data Missing",VLOOKUP(J67,'G-3 Multipliers'!$L$3:$N$6,3,FALSE)))</f>
        <v/>
      </c>
      <c r="M67" s="197"/>
      <c r="N67" s="499" t="str">
        <f>IF(M67="","",IF(VLOOKUP(M67,'G-3 Multipliers'!$S$3:$T$6,2,FALSE)=0,"Spatial Data Missing ⚠",VLOOKUP(M67,'G-3 Multipliers'!$S$3:$T$6,2,FALSE)))</f>
        <v/>
      </c>
      <c r="O67" s="498" t="str">
        <f>IF(OR(D67="",H67=""),"",(INDEX('G-6 Hedgerow Data'!$E$3:$I$15,MATCH(D67,'G-6 Hedgerow Data'!$B$3:$B$15,0),MATCH(H67,'G-6 Hedgerow Data'!$E$2:$I$2,0))))</f>
        <v/>
      </c>
      <c r="P67" s="195"/>
      <c r="Q67" s="195"/>
      <c r="R67" s="507" t="str">
        <f t="shared" si="1"/>
        <v/>
      </c>
      <c r="S67" s="521" t="str">
        <f t="shared" si="2"/>
        <v/>
      </c>
      <c r="T67" s="522" t="str">
        <f t="shared" si="0"/>
        <v/>
      </c>
      <c r="U67" s="537" t="str">
        <f>IF(D67="","",VLOOKUP(D67,'G-6 Hedgerow Data'!$B$3:$AG$15,31,FALSE))</f>
        <v/>
      </c>
      <c r="V67" s="520" t="str">
        <f t="shared" si="3"/>
        <v/>
      </c>
      <c r="W67" s="520" t="str">
        <f t="shared" si="4"/>
        <v/>
      </c>
      <c r="X67" s="524" t="str">
        <f>IF(F67="","",VLOOKUP(U67,'G-3 Multipliers'!$P$3:$Q$6,2,FALSE))</f>
        <v/>
      </c>
      <c r="Y67" s="529" t="str">
        <f t="shared" si="5"/>
        <v/>
      </c>
      <c r="Z67" s="149"/>
      <c r="AA67" s="150"/>
      <c r="AG67" s="31" t="str">
        <f>IFERROR(INDEX('G-6 Hedgerow Data'!$BJ$3:$BJ$15,MATCH(D67,'G-6 Hedgerow Data'!$B$3:$B$15,0)),"")</f>
        <v/>
      </c>
    </row>
    <row r="68" spans="2:33" ht="13.8" x14ac:dyDescent="0.25">
      <c r="B68" s="103">
        <v>57</v>
      </c>
      <c r="C68" s="268"/>
      <c r="D68" s="82"/>
      <c r="E68" s="203"/>
      <c r="F68" s="498" t="str">
        <f>IF(D68="","",VLOOKUP(D68,'G-6 Hedgerow Data'!$B$2:$AG$15,2,FALSE))</f>
        <v/>
      </c>
      <c r="G68" s="524" t="str">
        <f>IF(D68="","",VLOOKUP(D68,'G-6 Hedgerow Data'!$B$2:$AG$15,3,FALSE))</f>
        <v/>
      </c>
      <c r="H68" s="72"/>
      <c r="I68" s="499" t="str">
        <f>IFERROR(IF(AND(F68="V.Low",OR(H68="Good",H68="Moderate")),"Error ▲",VLOOKUP(H68,'G-1 All Habitats'!$Z$2:$AA$9,2,FALSE)),"")</f>
        <v/>
      </c>
      <c r="J68" s="146"/>
      <c r="K68" s="520" t="str">
        <f>IF(J68="","",IF(VLOOKUP(J68,'G-3 Multipliers'!$L$3:$N$6,2,FALSE)=0,"Spatial Data Missing",VLOOKUP(J68,'G-3 Multipliers'!$L$3:$N$6,2,FALSE)))</f>
        <v/>
      </c>
      <c r="L68" s="524" t="str">
        <f>IF(J68="","",IF(VLOOKUP(J68,'G-3 Multipliers'!$L$3:$N$6,3,FALSE)=0,"Spatial Data Missing",VLOOKUP(J68,'G-3 Multipliers'!$L$3:$N$6,3,FALSE)))</f>
        <v/>
      </c>
      <c r="M68" s="197"/>
      <c r="N68" s="499" t="str">
        <f>IF(M68="","",IF(VLOOKUP(M68,'G-3 Multipliers'!$S$3:$T$6,2,FALSE)=0,"Spatial Data Missing ⚠",VLOOKUP(M68,'G-3 Multipliers'!$S$3:$T$6,2,FALSE)))</f>
        <v/>
      </c>
      <c r="O68" s="498" t="str">
        <f>IF(OR(D68="",H68=""),"",(INDEX('G-6 Hedgerow Data'!$E$3:$I$15,MATCH(D68,'G-6 Hedgerow Data'!$B$3:$B$15,0),MATCH(H68,'G-6 Hedgerow Data'!$E$2:$I$2,0))))</f>
        <v/>
      </c>
      <c r="P68" s="195"/>
      <c r="Q68" s="195"/>
      <c r="R68" s="507" t="str">
        <f t="shared" si="1"/>
        <v/>
      </c>
      <c r="S68" s="521" t="str">
        <f t="shared" si="2"/>
        <v/>
      </c>
      <c r="T68" s="522" t="str">
        <f t="shared" si="0"/>
        <v/>
      </c>
      <c r="U68" s="537" t="str">
        <f>IF(D68="","",VLOOKUP(D68,'G-6 Hedgerow Data'!$B$3:$AG$15,31,FALSE))</f>
        <v/>
      </c>
      <c r="V68" s="520" t="str">
        <f t="shared" si="3"/>
        <v/>
      </c>
      <c r="W68" s="520" t="str">
        <f t="shared" si="4"/>
        <v/>
      </c>
      <c r="X68" s="524" t="str">
        <f>IF(F68="","",VLOOKUP(U68,'G-3 Multipliers'!$P$3:$Q$6,2,FALSE))</f>
        <v/>
      </c>
      <c r="Y68" s="529" t="str">
        <f t="shared" si="5"/>
        <v/>
      </c>
      <c r="Z68" s="149"/>
      <c r="AA68" s="150"/>
      <c r="AG68" s="31" t="str">
        <f>IFERROR(INDEX('G-6 Hedgerow Data'!$BJ$3:$BJ$15,MATCH(D68,'G-6 Hedgerow Data'!$B$3:$B$15,0)),"")</f>
        <v/>
      </c>
    </row>
    <row r="69" spans="2:33" ht="13.8" x14ac:dyDescent="0.25">
      <c r="B69" s="103">
        <v>58</v>
      </c>
      <c r="C69" s="268"/>
      <c r="D69" s="82"/>
      <c r="E69" s="203"/>
      <c r="F69" s="498" t="str">
        <f>IF(D69="","",VLOOKUP(D69,'G-6 Hedgerow Data'!$B$2:$AG$15,2,FALSE))</f>
        <v/>
      </c>
      <c r="G69" s="524" t="str">
        <f>IF(D69="","",VLOOKUP(D69,'G-6 Hedgerow Data'!$B$2:$AG$15,3,FALSE))</f>
        <v/>
      </c>
      <c r="H69" s="72"/>
      <c r="I69" s="499" t="str">
        <f>IFERROR(IF(AND(F69="V.Low",OR(H69="Good",H69="Moderate")),"Error ▲",VLOOKUP(H69,'G-1 All Habitats'!$Z$2:$AA$9,2,FALSE)),"")</f>
        <v/>
      </c>
      <c r="J69" s="146"/>
      <c r="K69" s="520" t="str">
        <f>IF(J69="","",IF(VLOOKUP(J69,'G-3 Multipliers'!$L$3:$N$6,2,FALSE)=0,"Spatial Data Missing",VLOOKUP(J69,'G-3 Multipliers'!$L$3:$N$6,2,FALSE)))</f>
        <v/>
      </c>
      <c r="L69" s="524" t="str">
        <f>IF(J69="","",IF(VLOOKUP(J69,'G-3 Multipliers'!$L$3:$N$6,3,FALSE)=0,"Spatial Data Missing",VLOOKUP(J69,'G-3 Multipliers'!$L$3:$N$6,3,FALSE)))</f>
        <v/>
      </c>
      <c r="M69" s="197"/>
      <c r="N69" s="499" t="str">
        <f>IF(M69="","",IF(VLOOKUP(M69,'G-3 Multipliers'!$S$3:$T$6,2,FALSE)=0,"Spatial Data Missing ⚠",VLOOKUP(M69,'G-3 Multipliers'!$S$3:$T$6,2,FALSE)))</f>
        <v/>
      </c>
      <c r="O69" s="498" t="str">
        <f>IF(OR(D69="",H69=""),"",(INDEX('G-6 Hedgerow Data'!$E$3:$I$15,MATCH(D69,'G-6 Hedgerow Data'!$B$3:$B$15,0),MATCH(H69,'G-6 Hedgerow Data'!$E$2:$I$2,0))))</f>
        <v/>
      </c>
      <c r="P69" s="195"/>
      <c r="Q69" s="195"/>
      <c r="R69" s="507" t="str">
        <f t="shared" si="1"/>
        <v/>
      </c>
      <c r="S69" s="521" t="str">
        <f t="shared" si="2"/>
        <v/>
      </c>
      <c r="T69" s="522" t="str">
        <f t="shared" si="0"/>
        <v/>
      </c>
      <c r="U69" s="537" t="str">
        <f>IF(D69="","",VLOOKUP(D69,'G-6 Hedgerow Data'!$B$3:$AG$15,31,FALSE))</f>
        <v/>
      </c>
      <c r="V69" s="520" t="str">
        <f t="shared" si="3"/>
        <v/>
      </c>
      <c r="W69" s="520" t="str">
        <f t="shared" si="4"/>
        <v/>
      </c>
      <c r="X69" s="524" t="str">
        <f>IF(F69="","",VLOOKUP(U69,'G-3 Multipliers'!$P$3:$Q$6,2,FALSE))</f>
        <v/>
      </c>
      <c r="Y69" s="529" t="str">
        <f t="shared" si="5"/>
        <v/>
      </c>
      <c r="Z69" s="149"/>
      <c r="AA69" s="150"/>
      <c r="AG69" s="31" t="str">
        <f>IFERROR(INDEX('G-6 Hedgerow Data'!$BJ$3:$BJ$15,MATCH(D69,'G-6 Hedgerow Data'!$B$3:$B$15,0)),"")</f>
        <v/>
      </c>
    </row>
    <row r="70" spans="2:33" ht="13.8" x14ac:dyDescent="0.25">
      <c r="B70" s="103">
        <v>59</v>
      </c>
      <c r="C70" s="268"/>
      <c r="D70" s="82"/>
      <c r="E70" s="203"/>
      <c r="F70" s="498" t="str">
        <f>IF(D70="","",VLOOKUP(D70,'G-6 Hedgerow Data'!$B$2:$AG$15,2,FALSE))</f>
        <v/>
      </c>
      <c r="G70" s="524" t="str">
        <f>IF(D70="","",VLOOKUP(D70,'G-6 Hedgerow Data'!$B$2:$AG$15,3,FALSE))</f>
        <v/>
      </c>
      <c r="H70" s="72"/>
      <c r="I70" s="499" t="str">
        <f>IFERROR(IF(AND(F70="V.Low",OR(H70="Good",H70="Moderate")),"Error ▲",VLOOKUP(H70,'G-1 All Habitats'!$Z$2:$AA$9,2,FALSE)),"")</f>
        <v/>
      </c>
      <c r="J70" s="146"/>
      <c r="K70" s="520" t="str">
        <f>IF(J70="","",IF(VLOOKUP(J70,'G-3 Multipliers'!$L$3:$N$6,2,FALSE)=0,"Spatial Data Missing",VLOOKUP(J70,'G-3 Multipliers'!$L$3:$N$6,2,FALSE)))</f>
        <v/>
      </c>
      <c r="L70" s="524" t="str">
        <f>IF(J70="","",IF(VLOOKUP(J70,'G-3 Multipliers'!$L$3:$N$6,3,FALSE)=0,"Spatial Data Missing",VLOOKUP(J70,'G-3 Multipliers'!$L$3:$N$6,3,FALSE)))</f>
        <v/>
      </c>
      <c r="M70" s="197"/>
      <c r="N70" s="499" t="str">
        <f>IF(M70="","",IF(VLOOKUP(M70,'G-3 Multipliers'!$S$3:$T$6,2,FALSE)=0,"Spatial Data Missing ⚠",VLOOKUP(M70,'G-3 Multipliers'!$S$3:$T$6,2,FALSE)))</f>
        <v/>
      </c>
      <c r="O70" s="498" t="str">
        <f>IF(OR(D70="",H70=""),"",(INDEX('G-6 Hedgerow Data'!$E$3:$I$15,MATCH(D70,'G-6 Hedgerow Data'!$B$3:$B$15,0),MATCH(H70,'G-6 Hedgerow Data'!$E$2:$I$2,0))))</f>
        <v/>
      </c>
      <c r="P70" s="195"/>
      <c r="Q70" s="195"/>
      <c r="R70" s="507" t="str">
        <f t="shared" si="1"/>
        <v/>
      </c>
      <c r="S70" s="521" t="str">
        <f t="shared" si="2"/>
        <v/>
      </c>
      <c r="T70" s="522" t="str">
        <f t="shared" si="0"/>
        <v/>
      </c>
      <c r="U70" s="537" t="str">
        <f>IF(D70="","",VLOOKUP(D70,'G-6 Hedgerow Data'!$B$3:$AG$15,31,FALSE))</f>
        <v/>
      </c>
      <c r="V70" s="520" t="str">
        <f t="shared" si="3"/>
        <v/>
      </c>
      <c r="W70" s="520" t="str">
        <f t="shared" si="4"/>
        <v/>
      </c>
      <c r="X70" s="524" t="str">
        <f>IF(F70="","",VLOOKUP(U70,'G-3 Multipliers'!$P$3:$Q$6,2,FALSE))</f>
        <v/>
      </c>
      <c r="Y70" s="529" t="str">
        <f t="shared" si="5"/>
        <v/>
      </c>
      <c r="Z70" s="149"/>
      <c r="AA70" s="150"/>
      <c r="AG70" s="31" t="str">
        <f>IFERROR(INDEX('G-6 Hedgerow Data'!$BJ$3:$BJ$15,MATCH(D70,'G-6 Hedgerow Data'!$B$3:$B$15,0)),"")</f>
        <v/>
      </c>
    </row>
    <row r="71" spans="2:33" ht="13.8" x14ac:dyDescent="0.25">
      <c r="B71" s="103">
        <v>60</v>
      </c>
      <c r="C71" s="268"/>
      <c r="D71" s="82"/>
      <c r="E71" s="203"/>
      <c r="F71" s="498" t="str">
        <f>IF(D71="","",VLOOKUP(D71,'G-6 Hedgerow Data'!$B$2:$AG$15,2,FALSE))</f>
        <v/>
      </c>
      <c r="G71" s="524" t="str">
        <f>IF(D71="","",VLOOKUP(D71,'G-6 Hedgerow Data'!$B$2:$AG$15,3,FALSE))</f>
        <v/>
      </c>
      <c r="H71" s="72"/>
      <c r="I71" s="499" t="str">
        <f>IFERROR(IF(AND(F71="V.Low",OR(H71="Good",H71="Moderate")),"Error ▲",VLOOKUP(H71,'G-1 All Habitats'!$Z$2:$AA$9,2,FALSE)),"")</f>
        <v/>
      </c>
      <c r="J71" s="146"/>
      <c r="K71" s="520" t="str">
        <f>IF(J71="","",IF(VLOOKUP(J71,'G-3 Multipliers'!$L$3:$N$6,2,FALSE)=0,"Spatial Data Missing",VLOOKUP(J71,'G-3 Multipliers'!$L$3:$N$6,2,FALSE)))</f>
        <v/>
      </c>
      <c r="L71" s="524" t="str">
        <f>IF(J71="","",IF(VLOOKUP(J71,'G-3 Multipliers'!$L$3:$N$6,3,FALSE)=0,"Spatial Data Missing",VLOOKUP(J71,'G-3 Multipliers'!$L$3:$N$6,3,FALSE)))</f>
        <v/>
      </c>
      <c r="M71" s="197"/>
      <c r="N71" s="499" t="str">
        <f>IF(M71="","",IF(VLOOKUP(M71,'G-3 Multipliers'!$S$3:$T$6,2,FALSE)=0,"Spatial Data Missing ⚠",VLOOKUP(M71,'G-3 Multipliers'!$S$3:$T$6,2,FALSE)))</f>
        <v/>
      </c>
      <c r="O71" s="498" t="str">
        <f>IF(OR(D71="",H71=""),"",(INDEX('G-6 Hedgerow Data'!$E$3:$I$15,MATCH(D71,'G-6 Hedgerow Data'!$B$3:$B$15,0),MATCH(H71,'G-6 Hedgerow Data'!$E$2:$I$2,0))))</f>
        <v/>
      </c>
      <c r="P71" s="195"/>
      <c r="Q71" s="195"/>
      <c r="R71" s="507" t="str">
        <f t="shared" si="1"/>
        <v/>
      </c>
      <c r="S71" s="521" t="str">
        <f t="shared" si="2"/>
        <v/>
      </c>
      <c r="T71" s="522" t="str">
        <f t="shared" si="0"/>
        <v/>
      </c>
      <c r="U71" s="537" t="str">
        <f>IF(D71="","",VLOOKUP(D71,'G-6 Hedgerow Data'!$B$3:$AG$15,31,FALSE))</f>
        <v/>
      </c>
      <c r="V71" s="520" t="str">
        <f t="shared" si="3"/>
        <v/>
      </c>
      <c r="W71" s="520" t="str">
        <f t="shared" si="4"/>
        <v/>
      </c>
      <c r="X71" s="524" t="str">
        <f>IF(F71="","",VLOOKUP(U71,'G-3 Multipliers'!$P$3:$Q$6,2,FALSE))</f>
        <v/>
      </c>
      <c r="Y71" s="529" t="str">
        <f t="shared" si="5"/>
        <v/>
      </c>
      <c r="Z71" s="149"/>
      <c r="AA71" s="150"/>
      <c r="AG71" s="31" t="str">
        <f>IFERROR(INDEX('G-6 Hedgerow Data'!$BJ$3:$BJ$15,MATCH(D71,'G-6 Hedgerow Data'!$B$3:$B$15,0)),"")</f>
        <v/>
      </c>
    </row>
    <row r="72" spans="2:33" ht="13.8" x14ac:dyDescent="0.25">
      <c r="B72" s="103">
        <v>61</v>
      </c>
      <c r="C72" s="268"/>
      <c r="D72" s="82"/>
      <c r="E72" s="203"/>
      <c r="F72" s="498" t="str">
        <f>IF(D72="","",VLOOKUP(D72,'G-6 Hedgerow Data'!$B$2:$AG$15,2,FALSE))</f>
        <v/>
      </c>
      <c r="G72" s="524" t="str">
        <f>IF(D72="","",VLOOKUP(D72,'G-6 Hedgerow Data'!$B$2:$AG$15,3,FALSE))</f>
        <v/>
      </c>
      <c r="H72" s="72"/>
      <c r="I72" s="499" t="str">
        <f>IFERROR(IF(AND(F72="V.Low",OR(H72="Good",H72="Moderate")),"Error ▲",VLOOKUP(H72,'G-1 All Habitats'!$Z$2:$AA$9,2,FALSE)),"")</f>
        <v/>
      </c>
      <c r="J72" s="146"/>
      <c r="K72" s="520" t="str">
        <f>IF(J72="","",IF(VLOOKUP(J72,'G-3 Multipliers'!$L$3:$N$6,2,FALSE)=0,"Spatial Data Missing",VLOOKUP(J72,'G-3 Multipliers'!$L$3:$N$6,2,FALSE)))</f>
        <v/>
      </c>
      <c r="L72" s="524" t="str">
        <f>IF(J72="","",IF(VLOOKUP(J72,'G-3 Multipliers'!$L$3:$N$6,3,FALSE)=0,"Spatial Data Missing",VLOOKUP(J72,'G-3 Multipliers'!$L$3:$N$6,3,FALSE)))</f>
        <v/>
      </c>
      <c r="M72" s="197"/>
      <c r="N72" s="499" t="str">
        <f>IF(M72="","",IF(VLOOKUP(M72,'G-3 Multipliers'!$S$3:$T$6,2,FALSE)=0,"Spatial Data Missing ⚠",VLOOKUP(M72,'G-3 Multipliers'!$S$3:$T$6,2,FALSE)))</f>
        <v/>
      </c>
      <c r="O72" s="498" t="str">
        <f>IF(OR(D72="",H72=""),"",(INDEX('G-6 Hedgerow Data'!$E$3:$I$15,MATCH(D72,'G-6 Hedgerow Data'!$B$3:$B$15,0),MATCH(H72,'G-6 Hedgerow Data'!$E$2:$I$2,0))))</f>
        <v/>
      </c>
      <c r="P72" s="195"/>
      <c r="Q72" s="195"/>
      <c r="R72" s="507" t="str">
        <f t="shared" si="1"/>
        <v/>
      </c>
      <c r="S72" s="521" t="str">
        <f t="shared" si="2"/>
        <v/>
      </c>
      <c r="T72" s="522" t="str">
        <f t="shared" si="0"/>
        <v/>
      </c>
      <c r="U72" s="537" t="str">
        <f>IF(D72="","",VLOOKUP(D72,'G-6 Hedgerow Data'!$B$3:$AG$15,31,FALSE))</f>
        <v/>
      </c>
      <c r="V72" s="520" t="str">
        <f t="shared" si="3"/>
        <v/>
      </c>
      <c r="W72" s="520" t="str">
        <f t="shared" si="4"/>
        <v/>
      </c>
      <c r="X72" s="524" t="str">
        <f>IF(F72="","",VLOOKUP(U72,'G-3 Multipliers'!$P$3:$Q$6,2,FALSE))</f>
        <v/>
      </c>
      <c r="Y72" s="529" t="str">
        <f t="shared" si="5"/>
        <v/>
      </c>
      <c r="Z72" s="149"/>
      <c r="AA72" s="150"/>
      <c r="AG72" s="31" t="str">
        <f>IFERROR(INDEX('G-6 Hedgerow Data'!$BJ$3:$BJ$15,MATCH(D72,'G-6 Hedgerow Data'!$B$3:$B$15,0)),"")</f>
        <v/>
      </c>
    </row>
    <row r="73" spans="2:33" ht="13.8" x14ac:dyDescent="0.25">
      <c r="B73" s="103">
        <v>62</v>
      </c>
      <c r="C73" s="268"/>
      <c r="D73" s="82"/>
      <c r="E73" s="203"/>
      <c r="F73" s="498" t="str">
        <f>IF(D73="","",VLOOKUP(D73,'G-6 Hedgerow Data'!$B$2:$AG$15,2,FALSE))</f>
        <v/>
      </c>
      <c r="G73" s="524" t="str">
        <f>IF(D73="","",VLOOKUP(D73,'G-6 Hedgerow Data'!$B$2:$AG$15,3,FALSE))</f>
        <v/>
      </c>
      <c r="H73" s="72"/>
      <c r="I73" s="499" t="str">
        <f>IFERROR(IF(AND(F73="V.Low",OR(H73="Good",H73="Moderate")),"Error ▲",VLOOKUP(H73,'G-1 All Habitats'!$Z$2:$AA$9,2,FALSE)),"")</f>
        <v/>
      </c>
      <c r="J73" s="146"/>
      <c r="K73" s="520" t="str">
        <f>IF(J73="","",IF(VLOOKUP(J73,'G-3 Multipliers'!$L$3:$N$6,2,FALSE)=0,"Spatial Data Missing",VLOOKUP(J73,'G-3 Multipliers'!$L$3:$N$6,2,FALSE)))</f>
        <v/>
      </c>
      <c r="L73" s="524" t="str">
        <f>IF(J73="","",IF(VLOOKUP(J73,'G-3 Multipliers'!$L$3:$N$6,3,FALSE)=0,"Spatial Data Missing",VLOOKUP(J73,'G-3 Multipliers'!$L$3:$N$6,3,FALSE)))</f>
        <v/>
      </c>
      <c r="M73" s="197"/>
      <c r="N73" s="499" t="str">
        <f>IF(M73="","",IF(VLOOKUP(M73,'G-3 Multipliers'!$S$3:$T$6,2,FALSE)=0,"Spatial Data Missing ⚠",VLOOKUP(M73,'G-3 Multipliers'!$S$3:$T$6,2,FALSE)))</f>
        <v/>
      </c>
      <c r="O73" s="498" t="str">
        <f>IF(OR(D73="",H73=""),"",(INDEX('G-6 Hedgerow Data'!$E$3:$I$15,MATCH(D73,'G-6 Hedgerow Data'!$B$3:$B$15,0),MATCH(H73,'G-6 Hedgerow Data'!$E$2:$I$2,0))))</f>
        <v/>
      </c>
      <c r="P73" s="195"/>
      <c r="Q73" s="195"/>
      <c r="R73" s="507" t="str">
        <f t="shared" si="1"/>
        <v/>
      </c>
      <c r="S73" s="521" t="str">
        <f t="shared" si="2"/>
        <v/>
      </c>
      <c r="T73" s="522" t="str">
        <f t="shared" si="0"/>
        <v/>
      </c>
      <c r="U73" s="537" t="str">
        <f>IF(D73="","",VLOOKUP(D73,'G-6 Hedgerow Data'!$B$3:$AG$15,31,FALSE))</f>
        <v/>
      </c>
      <c r="V73" s="520" t="str">
        <f t="shared" si="3"/>
        <v/>
      </c>
      <c r="W73" s="520" t="str">
        <f t="shared" si="4"/>
        <v/>
      </c>
      <c r="X73" s="524" t="str">
        <f>IF(F73="","",VLOOKUP(U73,'G-3 Multipliers'!$P$3:$Q$6,2,FALSE))</f>
        <v/>
      </c>
      <c r="Y73" s="529" t="str">
        <f t="shared" si="5"/>
        <v/>
      </c>
      <c r="Z73" s="149"/>
      <c r="AA73" s="150"/>
      <c r="AG73" s="31" t="str">
        <f>IFERROR(INDEX('G-6 Hedgerow Data'!$BJ$3:$BJ$15,MATCH(D73,'G-6 Hedgerow Data'!$B$3:$B$15,0)),"")</f>
        <v/>
      </c>
    </row>
    <row r="74" spans="2:33" ht="13.8" x14ac:dyDescent="0.25">
      <c r="B74" s="103">
        <v>63</v>
      </c>
      <c r="C74" s="268"/>
      <c r="D74" s="82"/>
      <c r="E74" s="203"/>
      <c r="F74" s="498" t="str">
        <f>IF(D74="","",VLOOKUP(D74,'G-6 Hedgerow Data'!$B$2:$AG$15,2,FALSE))</f>
        <v/>
      </c>
      <c r="G74" s="524" t="str">
        <f>IF(D74="","",VLOOKUP(D74,'G-6 Hedgerow Data'!$B$2:$AG$15,3,FALSE))</f>
        <v/>
      </c>
      <c r="H74" s="72"/>
      <c r="I74" s="499" t="str">
        <f>IFERROR(IF(AND(F74="V.Low",OR(H74="Good",H74="Moderate")),"Error ▲",VLOOKUP(H74,'G-1 All Habitats'!$Z$2:$AA$9,2,FALSE)),"")</f>
        <v/>
      </c>
      <c r="J74" s="146"/>
      <c r="K74" s="520" t="str">
        <f>IF(J74="","",IF(VLOOKUP(J74,'G-3 Multipliers'!$L$3:$N$6,2,FALSE)=0,"Spatial Data Missing",VLOOKUP(J74,'G-3 Multipliers'!$L$3:$N$6,2,FALSE)))</f>
        <v/>
      </c>
      <c r="L74" s="524" t="str">
        <f>IF(J74="","",IF(VLOOKUP(J74,'G-3 Multipliers'!$L$3:$N$6,3,FALSE)=0,"Spatial Data Missing",VLOOKUP(J74,'G-3 Multipliers'!$L$3:$N$6,3,FALSE)))</f>
        <v/>
      </c>
      <c r="M74" s="197"/>
      <c r="N74" s="499" t="str">
        <f>IF(M74="","",IF(VLOOKUP(M74,'G-3 Multipliers'!$S$3:$T$6,2,FALSE)=0,"Spatial Data Missing ⚠",VLOOKUP(M74,'G-3 Multipliers'!$S$3:$T$6,2,FALSE)))</f>
        <v/>
      </c>
      <c r="O74" s="498" t="str">
        <f>IF(OR(D74="",H74=""),"",(INDEX('G-6 Hedgerow Data'!$E$3:$I$15,MATCH(D74,'G-6 Hedgerow Data'!$B$3:$B$15,0),MATCH(H74,'G-6 Hedgerow Data'!$E$2:$I$2,0))))</f>
        <v/>
      </c>
      <c r="P74" s="195"/>
      <c r="Q74" s="195"/>
      <c r="R74" s="507" t="str">
        <f t="shared" si="1"/>
        <v/>
      </c>
      <c r="S74" s="521" t="str">
        <f t="shared" si="2"/>
        <v/>
      </c>
      <c r="T74" s="522" t="str">
        <f t="shared" si="0"/>
        <v/>
      </c>
      <c r="U74" s="537" t="str">
        <f>IF(D74="","",VLOOKUP(D74,'G-6 Hedgerow Data'!$B$3:$AG$15,31,FALSE))</f>
        <v/>
      </c>
      <c r="V74" s="520" t="str">
        <f t="shared" si="3"/>
        <v/>
      </c>
      <c r="W74" s="520" t="str">
        <f t="shared" si="4"/>
        <v/>
      </c>
      <c r="X74" s="524" t="str">
        <f>IF(F74="","",VLOOKUP(U74,'G-3 Multipliers'!$P$3:$Q$6,2,FALSE))</f>
        <v/>
      </c>
      <c r="Y74" s="529" t="str">
        <f t="shared" si="5"/>
        <v/>
      </c>
      <c r="Z74" s="149"/>
      <c r="AA74" s="150"/>
      <c r="AG74" s="31" t="str">
        <f>IFERROR(INDEX('G-6 Hedgerow Data'!$BJ$3:$BJ$15,MATCH(D74,'G-6 Hedgerow Data'!$B$3:$B$15,0)),"")</f>
        <v/>
      </c>
    </row>
    <row r="75" spans="2:33" ht="13.8" x14ac:dyDescent="0.25">
      <c r="B75" s="103">
        <v>64</v>
      </c>
      <c r="C75" s="268"/>
      <c r="D75" s="82"/>
      <c r="E75" s="203"/>
      <c r="F75" s="498" t="str">
        <f>IF(D75="","",VLOOKUP(D75,'G-6 Hedgerow Data'!$B$2:$AG$15,2,FALSE))</f>
        <v/>
      </c>
      <c r="G75" s="524" t="str">
        <f>IF(D75="","",VLOOKUP(D75,'G-6 Hedgerow Data'!$B$2:$AG$15,3,FALSE))</f>
        <v/>
      </c>
      <c r="H75" s="72"/>
      <c r="I75" s="499" t="str">
        <f>IFERROR(IF(AND(F75="V.Low",OR(H75="Good",H75="Moderate")),"Error ▲",VLOOKUP(H75,'G-1 All Habitats'!$Z$2:$AA$9,2,FALSE)),"")</f>
        <v/>
      </c>
      <c r="J75" s="146"/>
      <c r="K75" s="520" t="str">
        <f>IF(J75="","",IF(VLOOKUP(J75,'G-3 Multipliers'!$L$3:$N$6,2,FALSE)=0,"Spatial Data Missing",VLOOKUP(J75,'G-3 Multipliers'!$L$3:$N$6,2,FALSE)))</f>
        <v/>
      </c>
      <c r="L75" s="524" t="str">
        <f>IF(J75="","",IF(VLOOKUP(J75,'G-3 Multipliers'!$L$3:$N$6,3,FALSE)=0,"Spatial Data Missing",VLOOKUP(J75,'G-3 Multipliers'!$L$3:$N$6,3,FALSE)))</f>
        <v/>
      </c>
      <c r="M75" s="197"/>
      <c r="N75" s="499" t="str">
        <f>IF(M75="","",IF(VLOOKUP(M75,'G-3 Multipliers'!$S$3:$T$6,2,FALSE)=0,"Spatial Data Missing ⚠",VLOOKUP(M75,'G-3 Multipliers'!$S$3:$T$6,2,FALSE)))</f>
        <v/>
      </c>
      <c r="O75" s="498" t="str">
        <f>IF(OR(D75="",H75=""),"",(INDEX('G-6 Hedgerow Data'!$E$3:$I$15,MATCH(D75,'G-6 Hedgerow Data'!$B$3:$B$15,0),MATCH(H75,'G-6 Hedgerow Data'!$E$2:$I$2,0))))</f>
        <v/>
      </c>
      <c r="P75" s="195"/>
      <c r="Q75" s="195"/>
      <c r="R75" s="507" t="str">
        <f t="shared" si="1"/>
        <v/>
      </c>
      <c r="S75" s="521" t="str">
        <f t="shared" si="2"/>
        <v/>
      </c>
      <c r="T75" s="522" t="str">
        <f t="shared" si="0"/>
        <v/>
      </c>
      <c r="U75" s="537" t="str">
        <f>IF(D75="","",VLOOKUP(D75,'G-6 Hedgerow Data'!$B$3:$AG$15,31,FALSE))</f>
        <v/>
      </c>
      <c r="V75" s="520" t="str">
        <f t="shared" si="3"/>
        <v/>
      </c>
      <c r="W75" s="520" t="str">
        <f t="shared" si="4"/>
        <v/>
      </c>
      <c r="X75" s="524" t="str">
        <f>IF(F75="","",VLOOKUP(U75,'G-3 Multipliers'!$P$3:$Q$6,2,FALSE))</f>
        <v/>
      </c>
      <c r="Y75" s="529" t="str">
        <f t="shared" si="5"/>
        <v/>
      </c>
      <c r="Z75" s="149"/>
      <c r="AA75" s="150"/>
      <c r="AG75" s="31" t="str">
        <f>IFERROR(INDEX('G-6 Hedgerow Data'!$BJ$3:$BJ$15,MATCH(D75,'G-6 Hedgerow Data'!$B$3:$B$15,0)),"")</f>
        <v/>
      </c>
    </row>
    <row r="76" spans="2:33" ht="13.8" x14ac:dyDescent="0.25">
      <c r="B76" s="103">
        <v>65</v>
      </c>
      <c r="C76" s="268"/>
      <c r="D76" s="82"/>
      <c r="E76" s="203"/>
      <c r="F76" s="498" t="str">
        <f>IF(D76="","",VLOOKUP(D76,'G-6 Hedgerow Data'!$B$2:$AG$15,2,FALSE))</f>
        <v/>
      </c>
      <c r="G76" s="524" t="str">
        <f>IF(D76="","",VLOOKUP(D76,'G-6 Hedgerow Data'!$B$2:$AG$15,3,FALSE))</f>
        <v/>
      </c>
      <c r="H76" s="72"/>
      <c r="I76" s="499" t="str">
        <f>IFERROR(IF(AND(F76="V.Low",OR(H76="Good",H76="Moderate")),"Error ▲",VLOOKUP(H76,'G-1 All Habitats'!$Z$2:$AA$9,2,FALSE)),"")</f>
        <v/>
      </c>
      <c r="J76" s="146"/>
      <c r="K76" s="520" t="str">
        <f>IF(J76="","",IF(VLOOKUP(J76,'G-3 Multipliers'!$L$3:$N$6,2,FALSE)=0,"Spatial Data Missing",VLOOKUP(J76,'G-3 Multipliers'!$L$3:$N$6,2,FALSE)))</f>
        <v/>
      </c>
      <c r="L76" s="524" t="str">
        <f>IF(J76="","",IF(VLOOKUP(J76,'G-3 Multipliers'!$L$3:$N$6,3,FALSE)=0,"Spatial Data Missing",VLOOKUP(J76,'G-3 Multipliers'!$L$3:$N$6,3,FALSE)))</f>
        <v/>
      </c>
      <c r="M76" s="197"/>
      <c r="N76" s="499" t="str">
        <f>IF(M76="","",IF(VLOOKUP(M76,'G-3 Multipliers'!$S$3:$T$6,2,FALSE)=0,"Spatial Data Missing ⚠",VLOOKUP(M76,'G-3 Multipliers'!$S$3:$T$6,2,FALSE)))</f>
        <v/>
      </c>
      <c r="O76" s="498" t="str">
        <f>IF(OR(D76="",H76=""),"",(INDEX('G-6 Hedgerow Data'!$E$3:$I$15,MATCH(D76,'G-6 Hedgerow Data'!$B$3:$B$15,0),MATCH(H76,'G-6 Hedgerow Data'!$E$2:$I$2,0))))</f>
        <v/>
      </c>
      <c r="P76" s="195"/>
      <c r="Q76" s="195"/>
      <c r="R76" s="507" t="str">
        <f t="shared" si="1"/>
        <v/>
      </c>
      <c r="S76" s="521" t="str">
        <f t="shared" si="2"/>
        <v/>
      </c>
      <c r="T76" s="522" t="str">
        <f t="shared" ref="T76:T139" si="6">IF(D76="","",IF(LEFT(R76,5)="Error ▲","Check Data ⚠",VLOOKUP(S76,TemporalMultipliers,3,FALSE)))</f>
        <v/>
      </c>
      <c r="U76" s="537" t="str">
        <f>IF(D76="","",VLOOKUP(D76,'G-6 Hedgerow Data'!$B$3:$AG$15,31,FALSE))</f>
        <v/>
      </c>
      <c r="V76" s="520" t="str">
        <f t="shared" si="3"/>
        <v/>
      </c>
      <c r="W76" s="520" t="str">
        <f t="shared" si="4"/>
        <v/>
      </c>
      <c r="X76" s="524" t="str">
        <f>IF(F76="","",VLOOKUP(U76,'G-3 Multipliers'!$P$3:$Q$6,2,FALSE))</f>
        <v/>
      </c>
      <c r="Y76" s="529" t="str">
        <f t="shared" si="5"/>
        <v/>
      </c>
      <c r="Z76" s="149"/>
      <c r="AA76" s="150"/>
      <c r="AG76" s="31" t="str">
        <f>IFERROR(INDEX('G-6 Hedgerow Data'!$BJ$3:$BJ$15,MATCH(D76,'G-6 Hedgerow Data'!$B$3:$B$15,0)),"")</f>
        <v/>
      </c>
    </row>
    <row r="77" spans="2:33" ht="13.8" x14ac:dyDescent="0.25">
      <c r="B77" s="103">
        <v>66</v>
      </c>
      <c r="C77" s="268"/>
      <c r="D77" s="82"/>
      <c r="E77" s="203"/>
      <c r="F77" s="498" t="str">
        <f>IF(D77="","",VLOOKUP(D77,'G-6 Hedgerow Data'!$B$2:$AG$15,2,FALSE))</f>
        <v/>
      </c>
      <c r="G77" s="524" t="str">
        <f>IF(D77="","",VLOOKUP(D77,'G-6 Hedgerow Data'!$B$2:$AG$15,3,FALSE))</f>
        <v/>
      </c>
      <c r="H77" s="72"/>
      <c r="I77" s="499" t="str">
        <f>IFERROR(IF(AND(F77="V.Low",OR(H77="Good",H77="Moderate")),"Error ▲",VLOOKUP(H77,'G-1 All Habitats'!$Z$2:$AA$9,2,FALSE)),"")</f>
        <v/>
      </c>
      <c r="J77" s="146"/>
      <c r="K77" s="520" t="str">
        <f>IF(J77="","",IF(VLOOKUP(J77,'G-3 Multipliers'!$L$3:$N$6,2,FALSE)=0,"Spatial Data Missing",VLOOKUP(J77,'G-3 Multipliers'!$L$3:$N$6,2,FALSE)))</f>
        <v/>
      </c>
      <c r="L77" s="524" t="str">
        <f>IF(J77="","",IF(VLOOKUP(J77,'G-3 Multipliers'!$L$3:$N$6,3,FALSE)=0,"Spatial Data Missing",VLOOKUP(J77,'G-3 Multipliers'!$L$3:$N$6,3,FALSE)))</f>
        <v/>
      </c>
      <c r="M77" s="197"/>
      <c r="N77" s="499" t="str">
        <f>IF(M77="","",IF(VLOOKUP(M77,'G-3 Multipliers'!$S$3:$T$6,2,FALSE)=0,"Spatial Data Missing ⚠",VLOOKUP(M77,'G-3 Multipliers'!$S$3:$T$6,2,FALSE)))</f>
        <v/>
      </c>
      <c r="O77" s="498" t="str">
        <f>IF(OR(D77="",H77=""),"",(INDEX('G-6 Hedgerow Data'!$E$3:$I$15,MATCH(D77,'G-6 Hedgerow Data'!$B$3:$B$15,0),MATCH(H77,'G-6 Hedgerow Data'!$E$2:$I$2,0))))</f>
        <v/>
      </c>
      <c r="P77" s="195"/>
      <c r="Q77" s="195"/>
      <c r="R77" s="507" t="str">
        <f t="shared" ref="R77:R140" si="7">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521" t="str">
        <f t="shared" ref="S77:S140" si="8">IF(O77="","",IF(LEFT(R77,5)="Error ▲","Check Data ⚠",IF(OR(P77="30+",P77="Habitat already in target condition"),0,IF(Q77="30+","30+",IF(AND(O77="30+",OR(P77="",P77=0)),"30+ ⚠",IF(AND(O77="30+",P77&gt;0),32-P77,IF(O77+Q77&gt;30,"30+ ⚠",IF(O77+Q77-P77&gt;0,O77+Q77-P77,IF(O77-P77&lt;0,0,O77+Q77-P77)))))))))</f>
        <v/>
      </c>
      <c r="T77" s="522" t="str">
        <f t="shared" si="6"/>
        <v/>
      </c>
      <c r="U77" s="537" t="str">
        <f>IF(D77="","",VLOOKUP(D77,'G-6 Hedgerow Data'!$B$3:$AG$15,31,FALSE))</f>
        <v/>
      </c>
      <c r="V77" s="520" t="str">
        <f t="shared" ref="V77:V140" si="9">IF(D77="","",IF(S77="Check Data ⚠","Check Data ⚠",IF(H77="","",IF($R77="Check details - Is there evidence that habitat has reached target condition? ⚠","Low Difficulty - only applicable if all habitat created before losses","Standard difficulty applied"))))</f>
        <v/>
      </c>
      <c r="W77" s="520" t="str">
        <f t="shared" ref="W77:W140" si="10">(IF(AND(V77="Standard difficulty applied",O77&gt;P77),U77,IF(AND(V77="Low Difficulty - only applicable if all habitat created before losses",P77&gt;=O77),"Low",U77)))</f>
        <v/>
      </c>
      <c r="X77" s="524" t="str">
        <f>IF(F77="","",VLOOKUP(U77,'G-3 Multipliers'!$P$3:$Q$6,2,FALSE))</f>
        <v/>
      </c>
      <c r="Y77" s="529" t="str">
        <f t="shared" ref="Y77:Y140" si="11">IFERROR(E77*G77*I77*L77*T77*X77*N77,"")</f>
        <v/>
      </c>
      <c r="Z77" s="149"/>
      <c r="AA77" s="150"/>
      <c r="AG77" s="31" t="str">
        <f>IFERROR(INDEX('G-6 Hedgerow Data'!$BJ$3:$BJ$15,MATCH(D77,'G-6 Hedgerow Data'!$B$3:$B$15,0)),"")</f>
        <v/>
      </c>
    </row>
    <row r="78" spans="2:33" ht="13.8" x14ac:dyDescent="0.25">
      <c r="B78" s="103">
        <v>67</v>
      </c>
      <c r="C78" s="268"/>
      <c r="D78" s="82"/>
      <c r="E78" s="203"/>
      <c r="F78" s="498" t="str">
        <f>IF(D78="","",VLOOKUP(D78,'G-6 Hedgerow Data'!$B$2:$AG$15,2,FALSE))</f>
        <v/>
      </c>
      <c r="G78" s="524" t="str">
        <f>IF(D78="","",VLOOKUP(D78,'G-6 Hedgerow Data'!$B$2:$AG$15,3,FALSE))</f>
        <v/>
      </c>
      <c r="H78" s="72"/>
      <c r="I78" s="499" t="str">
        <f>IFERROR(IF(AND(F78="V.Low",OR(H78="Good",H78="Moderate")),"Error ▲",VLOOKUP(H78,'G-1 All Habitats'!$Z$2:$AA$9,2,FALSE)),"")</f>
        <v/>
      </c>
      <c r="J78" s="146"/>
      <c r="K78" s="520" t="str">
        <f>IF(J78="","",IF(VLOOKUP(J78,'G-3 Multipliers'!$L$3:$N$6,2,FALSE)=0,"Spatial Data Missing",VLOOKUP(J78,'G-3 Multipliers'!$L$3:$N$6,2,FALSE)))</f>
        <v/>
      </c>
      <c r="L78" s="524" t="str">
        <f>IF(J78="","",IF(VLOOKUP(J78,'G-3 Multipliers'!$L$3:$N$6,3,FALSE)=0,"Spatial Data Missing",VLOOKUP(J78,'G-3 Multipliers'!$L$3:$N$6,3,FALSE)))</f>
        <v/>
      </c>
      <c r="M78" s="197"/>
      <c r="N78" s="499" t="str">
        <f>IF(M78="","",IF(VLOOKUP(M78,'G-3 Multipliers'!$S$3:$T$6,2,FALSE)=0,"Spatial Data Missing ⚠",VLOOKUP(M78,'G-3 Multipliers'!$S$3:$T$6,2,FALSE)))</f>
        <v/>
      </c>
      <c r="O78" s="498" t="str">
        <f>IF(OR(D78="",H78=""),"",(INDEX('G-6 Hedgerow Data'!$E$3:$I$15,MATCH(D78,'G-6 Hedgerow Data'!$B$3:$B$15,0),MATCH(H78,'G-6 Hedgerow Data'!$E$2:$I$2,0))))</f>
        <v/>
      </c>
      <c r="P78" s="195"/>
      <c r="Q78" s="195"/>
      <c r="R78" s="507" t="str">
        <f t="shared" si="7"/>
        <v/>
      </c>
      <c r="S78" s="521" t="str">
        <f t="shared" si="8"/>
        <v/>
      </c>
      <c r="T78" s="522" t="str">
        <f t="shared" si="6"/>
        <v/>
      </c>
      <c r="U78" s="537" t="str">
        <f>IF(D78="","",VLOOKUP(D78,'G-6 Hedgerow Data'!$B$3:$AG$15,31,FALSE))</f>
        <v/>
      </c>
      <c r="V78" s="520" t="str">
        <f t="shared" si="9"/>
        <v/>
      </c>
      <c r="W78" s="520" t="str">
        <f t="shared" si="10"/>
        <v/>
      </c>
      <c r="X78" s="524" t="str">
        <f>IF(F78="","",VLOOKUP(U78,'G-3 Multipliers'!$P$3:$Q$6,2,FALSE))</f>
        <v/>
      </c>
      <c r="Y78" s="529" t="str">
        <f t="shared" si="11"/>
        <v/>
      </c>
      <c r="Z78" s="149"/>
      <c r="AA78" s="150"/>
      <c r="AG78" s="31" t="str">
        <f>IFERROR(INDEX('G-6 Hedgerow Data'!$BJ$3:$BJ$15,MATCH(D78,'G-6 Hedgerow Data'!$B$3:$B$15,0)),"")</f>
        <v/>
      </c>
    </row>
    <row r="79" spans="2:33" ht="13.8" x14ac:dyDescent="0.25">
      <c r="B79" s="103">
        <v>68</v>
      </c>
      <c r="C79" s="268"/>
      <c r="D79" s="82"/>
      <c r="E79" s="203"/>
      <c r="F79" s="498" t="str">
        <f>IF(D79="","",VLOOKUP(D79,'G-6 Hedgerow Data'!$B$2:$AG$15,2,FALSE))</f>
        <v/>
      </c>
      <c r="G79" s="524" t="str">
        <f>IF(D79="","",VLOOKUP(D79,'G-6 Hedgerow Data'!$B$2:$AG$15,3,FALSE))</f>
        <v/>
      </c>
      <c r="H79" s="72"/>
      <c r="I79" s="499" t="str">
        <f>IFERROR(IF(AND(F79="V.Low",OR(H79="Good",H79="Moderate")),"Error ▲",VLOOKUP(H79,'G-1 All Habitats'!$Z$2:$AA$9,2,FALSE)),"")</f>
        <v/>
      </c>
      <c r="J79" s="146"/>
      <c r="K79" s="520" t="str">
        <f>IF(J79="","",IF(VLOOKUP(J79,'G-3 Multipliers'!$L$3:$N$6,2,FALSE)=0,"Spatial Data Missing",VLOOKUP(J79,'G-3 Multipliers'!$L$3:$N$6,2,FALSE)))</f>
        <v/>
      </c>
      <c r="L79" s="524" t="str">
        <f>IF(J79="","",IF(VLOOKUP(J79,'G-3 Multipliers'!$L$3:$N$6,3,FALSE)=0,"Spatial Data Missing",VLOOKUP(J79,'G-3 Multipliers'!$L$3:$N$6,3,FALSE)))</f>
        <v/>
      </c>
      <c r="M79" s="197"/>
      <c r="N79" s="499" t="str">
        <f>IF(M79="","",IF(VLOOKUP(M79,'G-3 Multipliers'!$S$3:$T$6,2,FALSE)=0,"Spatial Data Missing ⚠",VLOOKUP(M79,'G-3 Multipliers'!$S$3:$T$6,2,FALSE)))</f>
        <v/>
      </c>
      <c r="O79" s="498" t="str">
        <f>IF(OR(D79="",H79=""),"",(INDEX('G-6 Hedgerow Data'!$E$3:$I$15,MATCH(D79,'G-6 Hedgerow Data'!$B$3:$B$15,0),MATCH(H79,'G-6 Hedgerow Data'!$E$2:$I$2,0))))</f>
        <v/>
      </c>
      <c r="P79" s="195"/>
      <c r="Q79" s="195"/>
      <c r="R79" s="507" t="str">
        <f t="shared" si="7"/>
        <v/>
      </c>
      <c r="S79" s="521" t="str">
        <f t="shared" si="8"/>
        <v/>
      </c>
      <c r="T79" s="522" t="str">
        <f t="shared" si="6"/>
        <v/>
      </c>
      <c r="U79" s="537" t="str">
        <f>IF(D79="","",VLOOKUP(D79,'G-6 Hedgerow Data'!$B$3:$AG$15,31,FALSE))</f>
        <v/>
      </c>
      <c r="V79" s="520" t="str">
        <f t="shared" si="9"/>
        <v/>
      </c>
      <c r="W79" s="520" t="str">
        <f t="shared" si="10"/>
        <v/>
      </c>
      <c r="X79" s="524" t="str">
        <f>IF(F79="","",VLOOKUP(U79,'G-3 Multipliers'!$P$3:$Q$6,2,FALSE))</f>
        <v/>
      </c>
      <c r="Y79" s="529" t="str">
        <f t="shared" si="11"/>
        <v/>
      </c>
      <c r="Z79" s="149"/>
      <c r="AA79" s="150"/>
      <c r="AG79" s="31" t="str">
        <f>IFERROR(INDEX('G-6 Hedgerow Data'!$BJ$3:$BJ$15,MATCH(D79,'G-6 Hedgerow Data'!$B$3:$B$15,0)),"")</f>
        <v/>
      </c>
    </row>
    <row r="80" spans="2:33" ht="13.8" x14ac:dyDescent="0.25">
      <c r="B80" s="103">
        <v>69</v>
      </c>
      <c r="C80" s="268"/>
      <c r="D80" s="82"/>
      <c r="E80" s="203"/>
      <c r="F80" s="498" t="str">
        <f>IF(D80="","",VLOOKUP(D80,'G-6 Hedgerow Data'!$B$2:$AG$15,2,FALSE))</f>
        <v/>
      </c>
      <c r="G80" s="524" t="str">
        <f>IF(D80="","",VLOOKUP(D80,'G-6 Hedgerow Data'!$B$2:$AG$15,3,FALSE))</f>
        <v/>
      </c>
      <c r="H80" s="72"/>
      <c r="I80" s="499" t="str">
        <f>IFERROR(IF(AND(F80="V.Low",OR(H80="Good",H80="Moderate")),"Error ▲",VLOOKUP(H80,'G-1 All Habitats'!$Z$2:$AA$9,2,FALSE)),"")</f>
        <v/>
      </c>
      <c r="J80" s="146"/>
      <c r="K80" s="520" t="str">
        <f>IF(J80="","",IF(VLOOKUP(J80,'G-3 Multipliers'!$L$3:$N$6,2,FALSE)=0,"Spatial Data Missing",VLOOKUP(J80,'G-3 Multipliers'!$L$3:$N$6,2,FALSE)))</f>
        <v/>
      </c>
      <c r="L80" s="524" t="str">
        <f>IF(J80="","",IF(VLOOKUP(J80,'G-3 Multipliers'!$L$3:$N$6,3,FALSE)=0,"Spatial Data Missing",VLOOKUP(J80,'G-3 Multipliers'!$L$3:$N$6,3,FALSE)))</f>
        <v/>
      </c>
      <c r="M80" s="197"/>
      <c r="N80" s="499" t="str">
        <f>IF(M80="","",IF(VLOOKUP(M80,'G-3 Multipliers'!$S$3:$T$6,2,FALSE)=0,"Spatial Data Missing ⚠",VLOOKUP(M80,'G-3 Multipliers'!$S$3:$T$6,2,FALSE)))</f>
        <v/>
      </c>
      <c r="O80" s="498" t="str">
        <f>IF(OR(D80="",H80=""),"",(INDEX('G-6 Hedgerow Data'!$E$3:$I$15,MATCH(D80,'G-6 Hedgerow Data'!$B$3:$B$15,0),MATCH(H80,'G-6 Hedgerow Data'!$E$2:$I$2,0))))</f>
        <v/>
      </c>
      <c r="P80" s="195"/>
      <c r="Q80" s="195"/>
      <c r="R80" s="507" t="str">
        <f t="shared" si="7"/>
        <v/>
      </c>
      <c r="S80" s="521" t="str">
        <f t="shared" si="8"/>
        <v/>
      </c>
      <c r="T80" s="522" t="str">
        <f t="shared" si="6"/>
        <v/>
      </c>
      <c r="U80" s="537" t="str">
        <f>IF(D80="","",VLOOKUP(D80,'G-6 Hedgerow Data'!$B$3:$AG$15,31,FALSE))</f>
        <v/>
      </c>
      <c r="V80" s="520" t="str">
        <f t="shared" si="9"/>
        <v/>
      </c>
      <c r="W80" s="520" t="str">
        <f t="shared" si="10"/>
        <v/>
      </c>
      <c r="X80" s="524" t="str">
        <f>IF(F80="","",VLOOKUP(U80,'G-3 Multipliers'!$P$3:$Q$6,2,FALSE))</f>
        <v/>
      </c>
      <c r="Y80" s="529" t="str">
        <f t="shared" si="11"/>
        <v/>
      </c>
      <c r="Z80" s="149"/>
      <c r="AA80" s="150"/>
      <c r="AG80" s="31" t="str">
        <f>IFERROR(INDEX('G-6 Hedgerow Data'!$BJ$3:$BJ$15,MATCH(D80,'G-6 Hedgerow Data'!$B$3:$B$15,0)),"")</f>
        <v/>
      </c>
    </row>
    <row r="81" spans="2:33" ht="13.8" x14ac:dyDescent="0.25">
      <c r="B81" s="103">
        <v>70</v>
      </c>
      <c r="C81" s="268"/>
      <c r="D81" s="82"/>
      <c r="E81" s="203"/>
      <c r="F81" s="498" t="str">
        <f>IF(D81="","",VLOOKUP(D81,'G-6 Hedgerow Data'!$B$2:$AG$15,2,FALSE))</f>
        <v/>
      </c>
      <c r="G81" s="524" t="str">
        <f>IF(D81="","",VLOOKUP(D81,'G-6 Hedgerow Data'!$B$2:$AG$15,3,FALSE))</f>
        <v/>
      </c>
      <c r="H81" s="72"/>
      <c r="I81" s="499" t="str">
        <f>IFERROR(IF(AND(F81="V.Low",OR(H81="Good",H81="Moderate")),"Error ▲",VLOOKUP(H81,'G-1 All Habitats'!$Z$2:$AA$9,2,FALSE)),"")</f>
        <v/>
      </c>
      <c r="J81" s="146"/>
      <c r="K81" s="520" t="str">
        <f>IF(J81="","",IF(VLOOKUP(J81,'G-3 Multipliers'!$L$3:$N$6,2,FALSE)=0,"Spatial Data Missing",VLOOKUP(J81,'G-3 Multipliers'!$L$3:$N$6,2,FALSE)))</f>
        <v/>
      </c>
      <c r="L81" s="524" t="str">
        <f>IF(J81="","",IF(VLOOKUP(J81,'G-3 Multipliers'!$L$3:$N$6,3,FALSE)=0,"Spatial Data Missing",VLOOKUP(J81,'G-3 Multipliers'!$L$3:$N$6,3,FALSE)))</f>
        <v/>
      </c>
      <c r="M81" s="197"/>
      <c r="N81" s="499" t="str">
        <f>IF(M81="","",IF(VLOOKUP(M81,'G-3 Multipliers'!$S$3:$T$6,2,FALSE)=0,"Spatial Data Missing ⚠",VLOOKUP(M81,'G-3 Multipliers'!$S$3:$T$6,2,FALSE)))</f>
        <v/>
      </c>
      <c r="O81" s="498" t="str">
        <f>IF(OR(D81="",H81=""),"",(INDEX('G-6 Hedgerow Data'!$E$3:$I$15,MATCH(D81,'G-6 Hedgerow Data'!$B$3:$B$15,0),MATCH(H81,'G-6 Hedgerow Data'!$E$2:$I$2,0))))</f>
        <v/>
      </c>
      <c r="P81" s="195"/>
      <c r="Q81" s="195"/>
      <c r="R81" s="507" t="str">
        <f t="shared" si="7"/>
        <v/>
      </c>
      <c r="S81" s="521" t="str">
        <f t="shared" si="8"/>
        <v/>
      </c>
      <c r="T81" s="522" t="str">
        <f t="shared" si="6"/>
        <v/>
      </c>
      <c r="U81" s="537" t="str">
        <f>IF(D81="","",VLOOKUP(D81,'G-6 Hedgerow Data'!$B$3:$AG$15,31,FALSE))</f>
        <v/>
      </c>
      <c r="V81" s="520" t="str">
        <f t="shared" si="9"/>
        <v/>
      </c>
      <c r="W81" s="520" t="str">
        <f t="shared" si="10"/>
        <v/>
      </c>
      <c r="X81" s="524" t="str">
        <f>IF(F81="","",VLOOKUP(U81,'G-3 Multipliers'!$P$3:$Q$6,2,FALSE))</f>
        <v/>
      </c>
      <c r="Y81" s="529" t="str">
        <f t="shared" si="11"/>
        <v/>
      </c>
      <c r="Z81" s="149"/>
      <c r="AA81" s="150"/>
      <c r="AG81" s="31" t="str">
        <f>IFERROR(INDEX('G-6 Hedgerow Data'!$BJ$3:$BJ$15,MATCH(D81,'G-6 Hedgerow Data'!$B$3:$B$15,0)),"")</f>
        <v/>
      </c>
    </row>
    <row r="82" spans="2:33" ht="13.8" x14ac:dyDescent="0.25">
      <c r="B82" s="103">
        <v>71</v>
      </c>
      <c r="C82" s="268"/>
      <c r="D82" s="82"/>
      <c r="E82" s="203"/>
      <c r="F82" s="498" t="str">
        <f>IF(D82="","",VLOOKUP(D82,'G-6 Hedgerow Data'!$B$2:$AG$15,2,FALSE))</f>
        <v/>
      </c>
      <c r="G82" s="524" t="str">
        <f>IF(D82="","",VLOOKUP(D82,'G-6 Hedgerow Data'!$B$2:$AG$15,3,FALSE))</f>
        <v/>
      </c>
      <c r="H82" s="72"/>
      <c r="I82" s="499" t="str">
        <f>IFERROR(IF(AND(F82="V.Low",OR(H82="Good",H82="Moderate")),"Error ▲",VLOOKUP(H82,'G-1 All Habitats'!$Z$2:$AA$9,2,FALSE)),"")</f>
        <v/>
      </c>
      <c r="J82" s="146"/>
      <c r="K82" s="520" t="str">
        <f>IF(J82="","",IF(VLOOKUP(J82,'G-3 Multipliers'!$L$3:$N$6,2,FALSE)=0,"Spatial Data Missing",VLOOKUP(J82,'G-3 Multipliers'!$L$3:$N$6,2,FALSE)))</f>
        <v/>
      </c>
      <c r="L82" s="524" t="str">
        <f>IF(J82="","",IF(VLOOKUP(J82,'G-3 Multipliers'!$L$3:$N$6,3,FALSE)=0,"Spatial Data Missing",VLOOKUP(J82,'G-3 Multipliers'!$L$3:$N$6,3,FALSE)))</f>
        <v/>
      </c>
      <c r="M82" s="197"/>
      <c r="N82" s="499" t="str">
        <f>IF(M82="","",IF(VLOOKUP(M82,'G-3 Multipliers'!$S$3:$T$6,2,FALSE)=0,"Spatial Data Missing ⚠",VLOOKUP(M82,'G-3 Multipliers'!$S$3:$T$6,2,FALSE)))</f>
        <v/>
      </c>
      <c r="O82" s="498" t="str">
        <f>IF(OR(D82="",H82=""),"",(INDEX('G-6 Hedgerow Data'!$E$3:$I$15,MATCH(D82,'G-6 Hedgerow Data'!$B$3:$B$15,0),MATCH(H82,'G-6 Hedgerow Data'!$E$2:$I$2,0))))</f>
        <v/>
      </c>
      <c r="P82" s="195"/>
      <c r="Q82" s="195"/>
      <c r="R82" s="507" t="str">
        <f t="shared" si="7"/>
        <v/>
      </c>
      <c r="S82" s="521" t="str">
        <f t="shared" si="8"/>
        <v/>
      </c>
      <c r="T82" s="522" t="str">
        <f t="shared" si="6"/>
        <v/>
      </c>
      <c r="U82" s="537" t="str">
        <f>IF(D82="","",VLOOKUP(D82,'G-6 Hedgerow Data'!$B$3:$AG$15,31,FALSE))</f>
        <v/>
      </c>
      <c r="V82" s="520" t="str">
        <f t="shared" si="9"/>
        <v/>
      </c>
      <c r="W82" s="520" t="str">
        <f t="shared" si="10"/>
        <v/>
      </c>
      <c r="X82" s="524" t="str">
        <f>IF(F82="","",VLOOKUP(U82,'G-3 Multipliers'!$P$3:$Q$6,2,FALSE))</f>
        <v/>
      </c>
      <c r="Y82" s="529" t="str">
        <f t="shared" si="11"/>
        <v/>
      </c>
      <c r="Z82" s="149"/>
      <c r="AA82" s="150"/>
      <c r="AG82" s="31" t="str">
        <f>IFERROR(INDEX('G-6 Hedgerow Data'!$BJ$3:$BJ$15,MATCH(D82,'G-6 Hedgerow Data'!$B$3:$B$15,0)),"")</f>
        <v/>
      </c>
    </row>
    <row r="83" spans="2:33" ht="13.8" x14ac:dyDescent="0.25">
      <c r="B83" s="103">
        <v>72</v>
      </c>
      <c r="C83" s="268"/>
      <c r="D83" s="82"/>
      <c r="E83" s="203"/>
      <c r="F83" s="498" t="str">
        <f>IF(D83="","",VLOOKUP(D83,'G-6 Hedgerow Data'!$B$2:$AG$15,2,FALSE))</f>
        <v/>
      </c>
      <c r="G83" s="524" t="str">
        <f>IF(D83="","",VLOOKUP(D83,'G-6 Hedgerow Data'!$B$2:$AG$15,3,FALSE))</f>
        <v/>
      </c>
      <c r="H83" s="72"/>
      <c r="I83" s="499" t="str">
        <f>IFERROR(IF(AND(F83="V.Low",OR(H83="Good",H83="Moderate")),"Error ▲",VLOOKUP(H83,'G-1 All Habitats'!$Z$2:$AA$9,2,FALSE)),"")</f>
        <v/>
      </c>
      <c r="J83" s="146"/>
      <c r="K83" s="520" t="str">
        <f>IF(J83="","",IF(VLOOKUP(J83,'G-3 Multipliers'!$L$3:$N$6,2,FALSE)=0,"Spatial Data Missing",VLOOKUP(J83,'G-3 Multipliers'!$L$3:$N$6,2,FALSE)))</f>
        <v/>
      </c>
      <c r="L83" s="524" t="str">
        <f>IF(J83="","",IF(VLOOKUP(J83,'G-3 Multipliers'!$L$3:$N$6,3,FALSE)=0,"Spatial Data Missing",VLOOKUP(J83,'G-3 Multipliers'!$L$3:$N$6,3,FALSE)))</f>
        <v/>
      </c>
      <c r="M83" s="197"/>
      <c r="N83" s="499" t="str">
        <f>IF(M83="","",IF(VLOOKUP(M83,'G-3 Multipliers'!$S$3:$T$6,2,FALSE)=0,"Spatial Data Missing ⚠",VLOOKUP(M83,'G-3 Multipliers'!$S$3:$T$6,2,FALSE)))</f>
        <v/>
      </c>
      <c r="O83" s="498" t="str">
        <f>IF(OR(D83="",H83=""),"",(INDEX('G-6 Hedgerow Data'!$E$3:$I$15,MATCH(D83,'G-6 Hedgerow Data'!$B$3:$B$15,0),MATCH(H83,'G-6 Hedgerow Data'!$E$2:$I$2,0))))</f>
        <v/>
      </c>
      <c r="P83" s="195"/>
      <c r="Q83" s="195"/>
      <c r="R83" s="507" t="str">
        <f t="shared" si="7"/>
        <v/>
      </c>
      <c r="S83" s="521" t="str">
        <f t="shared" si="8"/>
        <v/>
      </c>
      <c r="T83" s="522" t="str">
        <f t="shared" si="6"/>
        <v/>
      </c>
      <c r="U83" s="537" t="str">
        <f>IF(D83="","",VLOOKUP(D83,'G-6 Hedgerow Data'!$B$3:$AG$15,31,FALSE))</f>
        <v/>
      </c>
      <c r="V83" s="520" t="str">
        <f t="shared" si="9"/>
        <v/>
      </c>
      <c r="W83" s="520" t="str">
        <f t="shared" si="10"/>
        <v/>
      </c>
      <c r="X83" s="524" t="str">
        <f>IF(F83="","",VLOOKUP(U83,'G-3 Multipliers'!$P$3:$Q$6,2,FALSE))</f>
        <v/>
      </c>
      <c r="Y83" s="529" t="str">
        <f t="shared" si="11"/>
        <v/>
      </c>
      <c r="Z83" s="149"/>
      <c r="AA83" s="150"/>
      <c r="AG83" s="31" t="str">
        <f>IFERROR(INDEX('G-6 Hedgerow Data'!$BJ$3:$BJ$15,MATCH(D83,'G-6 Hedgerow Data'!$B$3:$B$15,0)),"")</f>
        <v/>
      </c>
    </row>
    <row r="84" spans="2:33" ht="13.8" x14ac:dyDescent="0.25">
      <c r="B84" s="103">
        <v>73</v>
      </c>
      <c r="C84" s="268"/>
      <c r="D84" s="82"/>
      <c r="E84" s="203"/>
      <c r="F84" s="498" t="str">
        <f>IF(D84="","",VLOOKUP(D84,'G-6 Hedgerow Data'!$B$2:$AG$15,2,FALSE))</f>
        <v/>
      </c>
      <c r="G84" s="524" t="str">
        <f>IF(D84="","",VLOOKUP(D84,'G-6 Hedgerow Data'!$B$2:$AG$15,3,FALSE))</f>
        <v/>
      </c>
      <c r="H84" s="72"/>
      <c r="I84" s="499" t="str">
        <f>IFERROR(IF(AND(F84="V.Low",OR(H84="Good",H84="Moderate")),"Error ▲",VLOOKUP(H84,'G-1 All Habitats'!$Z$2:$AA$9,2,FALSE)),"")</f>
        <v/>
      </c>
      <c r="J84" s="146"/>
      <c r="K84" s="520" t="str">
        <f>IF(J84="","",IF(VLOOKUP(J84,'G-3 Multipliers'!$L$3:$N$6,2,FALSE)=0,"Spatial Data Missing",VLOOKUP(J84,'G-3 Multipliers'!$L$3:$N$6,2,FALSE)))</f>
        <v/>
      </c>
      <c r="L84" s="524" t="str">
        <f>IF(J84="","",IF(VLOOKUP(J84,'G-3 Multipliers'!$L$3:$N$6,3,FALSE)=0,"Spatial Data Missing",VLOOKUP(J84,'G-3 Multipliers'!$L$3:$N$6,3,FALSE)))</f>
        <v/>
      </c>
      <c r="M84" s="197"/>
      <c r="N84" s="499" t="str">
        <f>IF(M84="","",IF(VLOOKUP(M84,'G-3 Multipliers'!$S$3:$T$6,2,FALSE)=0,"Spatial Data Missing ⚠",VLOOKUP(M84,'G-3 Multipliers'!$S$3:$T$6,2,FALSE)))</f>
        <v/>
      </c>
      <c r="O84" s="498" t="str">
        <f>IF(OR(D84="",H84=""),"",(INDEX('G-6 Hedgerow Data'!$E$3:$I$15,MATCH(D84,'G-6 Hedgerow Data'!$B$3:$B$15,0),MATCH(H84,'G-6 Hedgerow Data'!$E$2:$I$2,0))))</f>
        <v/>
      </c>
      <c r="P84" s="195"/>
      <c r="Q84" s="195"/>
      <c r="R84" s="507" t="str">
        <f t="shared" si="7"/>
        <v/>
      </c>
      <c r="S84" s="521" t="str">
        <f t="shared" si="8"/>
        <v/>
      </c>
      <c r="T84" s="522" t="str">
        <f t="shared" si="6"/>
        <v/>
      </c>
      <c r="U84" s="537" t="str">
        <f>IF(D84="","",VLOOKUP(D84,'G-6 Hedgerow Data'!$B$3:$AG$15,31,FALSE))</f>
        <v/>
      </c>
      <c r="V84" s="520" t="str">
        <f t="shared" si="9"/>
        <v/>
      </c>
      <c r="W84" s="520" t="str">
        <f t="shared" si="10"/>
        <v/>
      </c>
      <c r="X84" s="524" t="str">
        <f>IF(F84="","",VLOOKUP(U84,'G-3 Multipliers'!$P$3:$Q$6,2,FALSE))</f>
        <v/>
      </c>
      <c r="Y84" s="529" t="str">
        <f t="shared" si="11"/>
        <v/>
      </c>
      <c r="Z84" s="149"/>
      <c r="AA84" s="150"/>
      <c r="AG84" s="31" t="str">
        <f>IFERROR(INDEX('G-6 Hedgerow Data'!$BJ$3:$BJ$15,MATCH(D84,'G-6 Hedgerow Data'!$B$3:$B$15,0)),"")</f>
        <v/>
      </c>
    </row>
    <row r="85" spans="2:33" ht="13.8" x14ac:dyDescent="0.25">
      <c r="B85" s="103">
        <v>74</v>
      </c>
      <c r="C85" s="268"/>
      <c r="D85" s="82"/>
      <c r="E85" s="203"/>
      <c r="F85" s="498" t="str">
        <f>IF(D85="","",VLOOKUP(D85,'G-6 Hedgerow Data'!$B$2:$AG$15,2,FALSE))</f>
        <v/>
      </c>
      <c r="G85" s="524" t="str">
        <f>IF(D85="","",VLOOKUP(D85,'G-6 Hedgerow Data'!$B$2:$AG$15,3,FALSE))</f>
        <v/>
      </c>
      <c r="H85" s="72"/>
      <c r="I85" s="499" t="str">
        <f>IFERROR(IF(AND(F85="V.Low",OR(H85="Good",H85="Moderate")),"Error ▲",VLOOKUP(H85,'G-1 All Habitats'!$Z$2:$AA$9,2,FALSE)),"")</f>
        <v/>
      </c>
      <c r="J85" s="146"/>
      <c r="K85" s="520" t="str">
        <f>IF(J85="","",IF(VLOOKUP(J85,'G-3 Multipliers'!$L$3:$N$6,2,FALSE)=0,"Spatial Data Missing",VLOOKUP(J85,'G-3 Multipliers'!$L$3:$N$6,2,FALSE)))</f>
        <v/>
      </c>
      <c r="L85" s="524" t="str">
        <f>IF(J85="","",IF(VLOOKUP(J85,'G-3 Multipliers'!$L$3:$N$6,3,FALSE)=0,"Spatial Data Missing",VLOOKUP(J85,'G-3 Multipliers'!$L$3:$N$6,3,FALSE)))</f>
        <v/>
      </c>
      <c r="M85" s="197"/>
      <c r="N85" s="499" t="str">
        <f>IF(M85="","",IF(VLOOKUP(M85,'G-3 Multipliers'!$S$3:$T$6,2,FALSE)=0,"Spatial Data Missing ⚠",VLOOKUP(M85,'G-3 Multipliers'!$S$3:$T$6,2,FALSE)))</f>
        <v/>
      </c>
      <c r="O85" s="498" t="str">
        <f>IF(OR(D85="",H85=""),"",(INDEX('G-6 Hedgerow Data'!$E$3:$I$15,MATCH(D85,'G-6 Hedgerow Data'!$B$3:$B$15,0),MATCH(H85,'G-6 Hedgerow Data'!$E$2:$I$2,0))))</f>
        <v/>
      </c>
      <c r="P85" s="195"/>
      <c r="Q85" s="195"/>
      <c r="R85" s="507" t="str">
        <f t="shared" si="7"/>
        <v/>
      </c>
      <c r="S85" s="521" t="str">
        <f t="shared" si="8"/>
        <v/>
      </c>
      <c r="T85" s="522" t="str">
        <f t="shared" si="6"/>
        <v/>
      </c>
      <c r="U85" s="537" t="str">
        <f>IF(D85="","",VLOOKUP(D85,'G-6 Hedgerow Data'!$B$3:$AG$15,31,FALSE))</f>
        <v/>
      </c>
      <c r="V85" s="520" t="str">
        <f t="shared" si="9"/>
        <v/>
      </c>
      <c r="W85" s="520" t="str">
        <f t="shared" si="10"/>
        <v/>
      </c>
      <c r="X85" s="524" t="str">
        <f>IF(F85="","",VLOOKUP(U85,'G-3 Multipliers'!$P$3:$Q$6,2,FALSE))</f>
        <v/>
      </c>
      <c r="Y85" s="529" t="str">
        <f t="shared" si="11"/>
        <v/>
      </c>
      <c r="Z85" s="149"/>
      <c r="AA85" s="150"/>
      <c r="AG85" s="31" t="str">
        <f>IFERROR(INDEX('G-6 Hedgerow Data'!$BJ$3:$BJ$15,MATCH(D85,'G-6 Hedgerow Data'!$B$3:$B$15,0)),"")</f>
        <v/>
      </c>
    </row>
    <row r="86" spans="2:33" ht="13.8" x14ac:dyDescent="0.25">
      <c r="B86" s="103">
        <v>75</v>
      </c>
      <c r="C86" s="268"/>
      <c r="D86" s="82"/>
      <c r="E86" s="203"/>
      <c r="F86" s="498" t="str">
        <f>IF(D86="","",VLOOKUP(D86,'G-6 Hedgerow Data'!$B$2:$AG$15,2,FALSE))</f>
        <v/>
      </c>
      <c r="G86" s="524" t="str">
        <f>IF(D86="","",VLOOKUP(D86,'G-6 Hedgerow Data'!$B$2:$AG$15,3,FALSE))</f>
        <v/>
      </c>
      <c r="H86" s="72"/>
      <c r="I86" s="499" t="str">
        <f>IFERROR(IF(AND(F86="V.Low",OR(H86="Good",H86="Moderate")),"Error ▲",VLOOKUP(H86,'G-1 All Habitats'!$Z$2:$AA$9,2,FALSE)),"")</f>
        <v/>
      </c>
      <c r="J86" s="146"/>
      <c r="K86" s="520" t="str">
        <f>IF(J86="","",IF(VLOOKUP(J86,'G-3 Multipliers'!$L$3:$N$6,2,FALSE)=0,"Spatial Data Missing",VLOOKUP(J86,'G-3 Multipliers'!$L$3:$N$6,2,FALSE)))</f>
        <v/>
      </c>
      <c r="L86" s="524" t="str">
        <f>IF(J86="","",IF(VLOOKUP(J86,'G-3 Multipliers'!$L$3:$N$6,3,FALSE)=0,"Spatial Data Missing",VLOOKUP(J86,'G-3 Multipliers'!$L$3:$N$6,3,FALSE)))</f>
        <v/>
      </c>
      <c r="M86" s="197"/>
      <c r="N86" s="499" t="str">
        <f>IF(M86="","",IF(VLOOKUP(M86,'G-3 Multipliers'!$S$3:$T$6,2,FALSE)=0,"Spatial Data Missing ⚠",VLOOKUP(M86,'G-3 Multipliers'!$S$3:$T$6,2,FALSE)))</f>
        <v/>
      </c>
      <c r="O86" s="498" t="str">
        <f>IF(OR(D86="",H86=""),"",(INDEX('G-6 Hedgerow Data'!$E$3:$I$15,MATCH(D86,'G-6 Hedgerow Data'!$B$3:$B$15,0),MATCH(H86,'G-6 Hedgerow Data'!$E$2:$I$2,0))))</f>
        <v/>
      </c>
      <c r="P86" s="195"/>
      <c r="Q86" s="195"/>
      <c r="R86" s="507" t="str">
        <f t="shared" si="7"/>
        <v/>
      </c>
      <c r="S86" s="521" t="str">
        <f t="shared" si="8"/>
        <v/>
      </c>
      <c r="T86" s="522" t="str">
        <f t="shared" si="6"/>
        <v/>
      </c>
      <c r="U86" s="537" t="str">
        <f>IF(D86="","",VLOOKUP(D86,'G-6 Hedgerow Data'!$B$3:$AG$15,31,FALSE))</f>
        <v/>
      </c>
      <c r="V86" s="520" t="str">
        <f t="shared" si="9"/>
        <v/>
      </c>
      <c r="W86" s="520" t="str">
        <f t="shared" si="10"/>
        <v/>
      </c>
      <c r="X86" s="524" t="str">
        <f>IF(F86="","",VLOOKUP(U86,'G-3 Multipliers'!$P$3:$Q$6,2,FALSE))</f>
        <v/>
      </c>
      <c r="Y86" s="529" t="str">
        <f t="shared" si="11"/>
        <v/>
      </c>
      <c r="Z86" s="149"/>
      <c r="AA86" s="150"/>
      <c r="AG86" s="31" t="str">
        <f>IFERROR(INDEX('G-6 Hedgerow Data'!$BJ$3:$BJ$15,MATCH(D86,'G-6 Hedgerow Data'!$B$3:$B$15,0)),"")</f>
        <v/>
      </c>
    </row>
    <row r="87" spans="2:33" ht="13.8" x14ac:dyDescent="0.25">
      <c r="B87" s="103">
        <v>76</v>
      </c>
      <c r="C87" s="268"/>
      <c r="D87" s="82"/>
      <c r="E87" s="203"/>
      <c r="F87" s="498" t="str">
        <f>IF(D87="","",VLOOKUP(D87,'G-6 Hedgerow Data'!$B$2:$AG$15,2,FALSE))</f>
        <v/>
      </c>
      <c r="G87" s="524" t="str">
        <f>IF(D87="","",VLOOKUP(D87,'G-6 Hedgerow Data'!$B$2:$AG$15,3,FALSE))</f>
        <v/>
      </c>
      <c r="H87" s="72"/>
      <c r="I87" s="499" t="str">
        <f>IFERROR(IF(AND(F87="V.Low",OR(H87="Good",H87="Moderate")),"Error ▲",VLOOKUP(H87,'G-1 All Habitats'!$Z$2:$AA$9,2,FALSE)),"")</f>
        <v/>
      </c>
      <c r="J87" s="146"/>
      <c r="K87" s="520" t="str">
        <f>IF(J87="","",IF(VLOOKUP(J87,'G-3 Multipliers'!$L$3:$N$6,2,FALSE)=0,"Spatial Data Missing",VLOOKUP(J87,'G-3 Multipliers'!$L$3:$N$6,2,FALSE)))</f>
        <v/>
      </c>
      <c r="L87" s="524" t="str">
        <f>IF(J87="","",IF(VLOOKUP(J87,'G-3 Multipliers'!$L$3:$N$6,3,FALSE)=0,"Spatial Data Missing",VLOOKUP(J87,'G-3 Multipliers'!$L$3:$N$6,3,FALSE)))</f>
        <v/>
      </c>
      <c r="M87" s="197"/>
      <c r="N87" s="499" t="str">
        <f>IF(M87="","",IF(VLOOKUP(M87,'G-3 Multipliers'!$S$3:$T$6,2,FALSE)=0,"Spatial Data Missing ⚠",VLOOKUP(M87,'G-3 Multipliers'!$S$3:$T$6,2,FALSE)))</f>
        <v/>
      </c>
      <c r="O87" s="498" t="str">
        <f>IF(OR(D87="",H87=""),"",(INDEX('G-6 Hedgerow Data'!$E$3:$I$15,MATCH(D87,'G-6 Hedgerow Data'!$B$3:$B$15,0),MATCH(H87,'G-6 Hedgerow Data'!$E$2:$I$2,0))))</f>
        <v/>
      </c>
      <c r="P87" s="195"/>
      <c r="Q87" s="195"/>
      <c r="R87" s="507" t="str">
        <f t="shared" si="7"/>
        <v/>
      </c>
      <c r="S87" s="521" t="str">
        <f t="shared" si="8"/>
        <v/>
      </c>
      <c r="T87" s="522" t="str">
        <f t="shared" si="6"/>
        <v/>
      </c>
      <c r="U87" s="537" t="str">
        <f>IF(D87="","",VLOOKUP(D87,'G-6 Hedgerow Data'!$B$3:$AG$15,31,FALSE))</f>
        <v/>
      </c>
      <c r="V87" s="520" t="str">
        <f t="shared" si="9"/>
        <v/>
      </c>
      <c r="W87" s="520" t="str">
        <f t="shared" si="10"/>
        <v/>
      </c>
      <c r="X87" s="524" t="str">
        <f>IF(F87="","",VLOOKUP(U87,'G-3 Multipliers'!$P$3:$Q$6,2,FALSE))</f>
        <v/>
      </c>
      <c r="Y87" s="529" t="str">
        <f t="shared" si="11"/>
        <v/>
      </c>
      <c r="Z87" s="149"/>
      <c r="AA87" s="150"/>
      <c r="AG87" s="31" t="str">
        <f>IFERROR(INDEX('G-6 Hedgerow Data'!$BJ$3:$BJ$15,MATCH(D87,'G-6 Hedgerow Data'!$B$3:$B$15,0)),"")</f>
        <v/>
      </c>
    </row>
    <row r="88" spans="2:33" ht="13.8" x14ac:dyDescent="0.25">
      <c r="B88" s="103">
        <v>77</v>
      </c>
      <c r="C88" s="268"/>
      <c r="D88" s="82"/>
      <c r="E88" s="203"/>
      <c r="F88" s="498" t="str">
        <f>IF(D88="","",VLOOKUP(D88,'G-6 Hedgerow Data'!$B$2:$AG$15,2,FALSE))</f>
        <v/>
      </c>
      <c r="G88" s="524" t="str">
        <f>IF(D88="","",VLOOKUP(D88,'G-6 Hedgerow Data'!$B$2:$AG$15,3,FALSE))</f>
        <v/>
      </c>
      <c r="H88" s="72"/>
      <c r="I88" s="499" t="str">
        <f>IFERROR(IF(AND(F88="V.Low",OR(H88="Good",H88="Moderate")),"Error ▲",VLOOKUP(H88,'G-1 All Habitats'!$Z$2:$AA$9,2,FALSE)),"")</f>
        <v/>
      </c>
      <c r="J88" s="146"/>
      <c r="K88" s="520" t="str">
        <f>IF(J88="","",IF(VLOOKUP(J88,'G-3 Multipliers'!$L$3:$N$6,2,FALSE)=0,"Spatial Data Missing",VLOOKUP(J88,'G-3 Multipliers'!$L$3:$N$6,2,FALSE)))</f>
        <v/>
      </c>
      <c r="L88" s="524" t="str">
        <f>IF(J88="","",IF(VLOOKUP(J88,'G-3 Multipliers'!$L$3:$N$6,3,FALSE)=0,"Spatial Data Missing",VLOOKUP(J88,'G-3 Multipliers'!$L$3:$N$6,3,FALSE)))</f>
        <v/>
      </c>
      <c r="M88" s="197"/>
      <c r="N88" s="499" t="str">
        <f>IF(M88="","",IF(VLOOKUP(M88,'G-3 Multipliers'!$S$3:$T$6,2,FALSE)=0,"Spatial Data Missing ⚠",VLOOKUP(M88,'G-3 Multipliers'!$S$3:$T$6,2,FALSE)))</f>
        <v/>
      </c>
      <c r="O88" s="498" t="str">
        <f>IF(OR(D88="",H88=""),"",(INDEX('G-6 Hedgerow Data'!$E$3:$I$15,MATCH(D88,'G-6 Hedgerow Data'!$B$3:$B$15,0),MATCH(H88,'G-6 Hedgerow Data'!$E$2:$I$2,0))))</f>
        <v/>
      </c>
      <c r="P88" s="195"/>
      <c r="Q88" s="195"/>
      <c r="R88" s="507" t="str">
        <f t="shared" si="7"/>
        <v/>
      </c>
      <c r="S88" s="521" t="str">
        <f t="shared" si="8"/>
        <v/>
      </c>
      <c r="T88" s="522" t="str">
        <f t="shared" si="6"/>
        <v/>
      </c>
      <c r="U88" s="537" t="str">
        <f>IF(D88="","",VLOOKUP(D88,'G-6 Hedgerow Data'!$B$3:$AG$15,31,FALSE))</f>
        <v/>
      </c>
      <c r="V88" s="520" t="str">
        <f t="shared" si="9"/>
        <v/>
      </c>
      <c r="W88" s="520" t="str">
        <f t="shared" si="10"/>
        <v/>
      </c>
      <c r="X88" s="524" t="str">
        <f>IF(F88="","",VLOOKUP(U88,'G-3 Multipliers'!$P$3:$Q$6,2,FALSE))</f>
        <v/>
      </c>
      <c r="Y88" s="529" t="str">
        <f t="shared" si="11"/>
        <v/>
      </c>
      <c r="Z88" s="149"/>
      <c r="AA88" s="150"/>
      <c r="AG88" s="31" t="str">
        <f>IFERROR(INDEX('G-6 Hedgerow Data'!$BJ$3:$BJ$15,MATCH(D88,'G-6 Hedgerow Data'!$B$3:$B$15,0)),"")</f>
        <v/>
      </c>
    </row>
    <row r="89" spans="2:33" ht="13.8" x14ac:dyDescent="0.25">
      <c r="B89" s="103">
        <v>78</v>
      </c>
      <c r="C89" s="268"/>
      <c r="D89" s="82"/>
      <c r="E89" s="203"/>
      <c r="F89" s="498" t="str">
        <f>IF(D89="","",VLOOKUP(D89,'G-6 Hedgerow Data'!$B$2:$AG$15,2,FALSE))</f>
        <v/>
      </c>
      <c r="G89" s="524" t="str">
        <f>IF(D89="","",VLOOKUP(D89,'G-6 Hedgerow Data'!$B$2:$AG$15,3,FALSE))</f>
        <v/>
      </c>
      <c r="H89" s="72"/>
      <c r="I89" s="499" t="str">
        <f>IFERROR(IF(AND(F89="V.Low",OR(H89="Good",H89="Moderate")),"Error ▲",VLOOKUP(H89,'G-1 All Habitats'!$Z$2:$AA$9,2,FALSE)),"")</f>
        <v/>
      </c>
      <c r="J89" s="146"/>
      <c r="K89" s="520" t="str">
        <f>IF(J89="","",IF(VLOOKUP(J89,'G-3 Multipliers'!$L$3:$N$6,2,FALSE)=0,"Spatial Data Missing",VLOOKUP(J89,'G-3 Multipliers'!$L$3:$N$6,2,FALSE)))</f>
        <v/>
      </c>
      <c r="L89" s="524" t="str">
        <f>IF(J89="","",IF(VLOOKUP(J89,'G-3 Multipliers'!$L$3:$N$6,3,FALSE)=0,"Spatial Data Missing",VLOOKUP(J89,'G-3 Multipliers'!$L$3:$N$6,3,FALSE)))</f>
        <v/>
      </c>
      <c r="M89" s="197"/>
      <c r="N89" s="499" t="str">
        <f>IF(M89="","",IF(VLOOKUP(M89,'G-3 Multipliers'!$S$3:$T$6,2,FALSE)=0,"Spatial Data Missing ⚠",VLOOKUP(M89,'G-3 Multipliers'!$S$3:$T$6,2,FALSE)))</f>
        <v/>
      </c>
      <c r="O89" s="498" t="str">
        <f>IF(OR(D89="",H89=""),"",(INDEX('G-6 Hedgerow Data'!$E$3:$I$15,MATCH(D89,'G-6 Hedgerow Data'!$B$3:$B$15,0),MATCH(H89,'G-6 Hedgerow Data'!$E$2:$I$2,0))))</f>
        <v/>
      </c>
      <c r="P89" s="195"/>
      <c r="Q89" s="195"/>
      <c r="R89" s="507" t="str">
        <f t="shared" si="7"/>
        <v/>
      </c>
      <c r="S89" s="521" t="str">
        <f t="shared" si="8"/>
        <v/>
      </c>
      <c r="T89" s="522" t="str">
        <f t="shared" si="6"/>
        <v/>
      </c>
      <c r="U89" s="537" t="str">
        <f>IF(D89="","",VLOOKUP(D89,'G-6 Hedgerow Data'!$B$3:$AG$15,31,FALSE))</f>
        <v/>
      </c>
      <c r="V89" s="520" t="str">
        <f t="shared" si="9"/>
        <v/>
      </c>
      <c r="W89" s="520" t="str">
        <f t="shared" si="10"/>
        <v/>
      </c>
      <c r="X89" s="524" t="str">
        <f>IF(F89="","",VLOOKUP(U89,'G-3 Multipliers'!$P$3:$Q$6,2,FALSE))</f>
        <v/>
      </c>
      <c r="Y89" s="529" t="str">
        <f t="shared" si="11"/>
        <v/>
      </c>
      <c r="Z89" s="149"/>
      <c r="AA89" s="150"/>
      <c r="AG89" s="31" t="str">
        <f>IFERROR(INDEX('G-6 Hedgerow Data'!$BJ$3:$BJ$15,MATCH(D89,'G-6 Hedgerow Data'!$B$3:$B$15,0)),"")</f>
        <v/>
      </c>
    </row>
    <row r="90" spans="2:33" ht="13.8" x14ac:dyDescent="0.25">
      <c r="B90" s="103">
        <v>79</v>
      </c>
      <c r="C90" s="268"/>
      <c r="D90" s="82"/>
      <c r="E90" s="203"/>
      <c r="F90" s="498" t="str">
        <f>IF(D90="","",VLOOKUP(D90,'G-6 Hedgerow Data'!$B$2:$AG$15,2,FALSE))</f>
        <v/>
      </c>
      <c r="G90" s="524" t="str">
        <f>IF(D90="","",VLOOKUP(D90,'G-6 Hedgerow Data'!$B$2:$AG$15,3,FALSE))</f>
        <v/>
      </c>
      <c r="H90" s="72"/>
      <c r="I90" s="499" t="str">
        <f>IFERROR(IF(AND(F90="V.Low",OR(H90="Good",H90="Moderate")),"Error ▲",VLOOKUP(H90,'G-1 All Habitats'!$Z$2:$AA$9,2,FALSE)),"")</f>
        <v/>
      </c>
      <c r="J90" s="146"/>
      <c r="K90" s="520" t="str">
        <f>IF(J90="","",IF(VLOOKUP(J90,'G-3 Multipliers'!$L$3:$N$6,2,FALSE)=0,"Spatial Data Missing",VLOOKUP(J90,'G-3 Multipliers'!$L$3:$N$6,2,FALSE)))</f>
        <v/>
      </c>
      <c r="L90" s="524" t="str">
        <f>IF(J90="","",IF(VLOOKUP(J90,'G-3 Multipliers'!$L$3:$N$6,3,FALSE)=0,"Spatial Data Missing",VLOOKUP(J90,'G-3 Multipliers'!$L$3:$N$6,3,FALSE)))</f>
        <v/>
      </c>
      <c r="M90" s="197"/>
      <c r="N90" s="499" t="str">
        <f>IF(M90="","",IF(VLOOKUP(M90,'G-3 Multipliers'!$S$3:$T$6,2,FALSE)=0,"Spatial Data Missing ⚠",VLOOKUP(M90,'G-3 Multipliers'!$S$3:$T$6,2,FALSE)))</f>
        <v/>
      </c>
      <c r="O90" s="498" t="str">
        <f>IF(OR(D90="",H90=""),"",(INDEX('G-6 Hedgerow Data'!$E$3:$I$15,MATCH(D90,'G-6 Hedgerow Data'!$B$3:$B$15,0),MATCH(H90,'G-6 Hedgerow Data'!$E$2:$I$2,0))))</f>
        <v/>
      </c>
      <c r="P90" s="195"/>
      <c r="Q90" s="195"/>
      <c r="R90" s="507" t="str">
        <f t="shared" si="7"/>
        <v/>
      </c>
      <c r="S90" s="521" t="str">
        <f t="shared" si="8"/>
        <v/>
      </c>
      <c r="T90" s="522" t="str">
        <f t="shared" si="6"/>
        <v/>
      </c>
      <c r="U90" s="537" t="str">
        <f>IF(D90="","",VLOOKUP(D90,'G-6 Hedgerow Data'!$B$3:$AG$15,31,FALSE))</f>
        <v/>
      </c>
      <c r="V90" s="520" t="str">
        <f t="shared" si="9"/>
        <v/>
      </c>
      <c r="W90" s="520" t="str">
        <f t="shared" si="10"/>
        <v/>
      </c>
      <c r="X90" s="524" t="str">
        <f>IF(F90="","",VLOOKUP(U90,'G-3 Multipliers'!$P$3:$Q$6,2,FALSE))</f>
        <v/>
      </c>
      <c r="Y90" s="529" t="str">
        <f t="shared" si="11"/>
        <v/>
      </c>
      <c r="Z90" s="149"/>
      <c r="AA90" s="150"/>
      <c r="AG90" s="31" t="str">
        <f>IFERROR(INDEX('G-6 Hedgerow Data'!$BJ$3:$BJ$15,MATCH(D90,'G-6 Hedgerow Data'!$B$3:$B$15,0)),"")</f>
        <v/>
      </c>
    </row>
    <row r="91" spans="2:33" ht="13.8" x14ac:dyDescent="0.25">
      <c r="B91" s="103">
        <v>80</v>
      </c>
      <c r="C91" s="268"/>
      <c r="D91" s="82"/>
      <c r="E91" s="203"/>
      <c r="F91" s="498" t="str">
        <f>IF(D91="","",VLOOKUP(D91,'G-6 Hedgerow Data'!$B$2:$AG$15,2,FALSE))</f>
        <v/>
      </c>
      <c r="G91" s="524" t="str">
        <f>IF(D91="","",VLOOKUP(D91,'G-6 Hedgerow Data'!$B$2:$AG$15,3,FALSE))</f>
        <v/>
      </c>
      <c r="H91" s="72"/>
      <c r="I91" s="499" t="str">
        <f>IFERROR(IF(AND(F91="V.Low",OR(H91="Good",H91="Moderate")),"Error ▲",VLOOKUP(H91,'G-1 All Habitats'!$Z$2:$AA$9,2,FALSE)),"")</f>
        <v/>
      </c>
      <c r="J91" s="146"/>
      <c r="K91" s="520" t="str">
        <f>IF(J91="","",IF(VLOOKUP(J91,'G-3 Multipliers'!$L$3:$N$6,2,FALSE)=0,"Spatial Data Missing",VLOOKUP(J91,'G-3 Multipliers'!$L$3:$N$6,2,FALSE)))</f>
        <v/>
      </c>
      <c r="L91" s="524" t="str">
        <f>IF(J91="","",IF(VLOOKUP(J91,'G-3 Multipliers'!$L$3:$N$6,3,FALSE)=0,"Spatial Data Missing",VLOOKUP(J91,'G-3 Multipliers'!$L$3:$N$6,3,FALSE)))</f>
        <v/>
      </c>
      <c r="M91" s="197"/>
      <c r="N91" s="499" t="str">
        <f>IF(M91="","",IF(VLOOKUP(M91,'G-3 Multipliers'!$S$3:$T$6,2,FALSE)=0,"Spatial Data Missing ⚠",VLOOKUP(M91,'G-3 Multipliers'!$S$3:$T$6,2,FALSE)))</f>
        <v/>
      </c>
      <c r="O91" s="498" t="str">
        <f>IF(OR(D91="",H91=""),"",(INDEX('G-6 Hedgerow Data'!$E$3:$I$15,MATCH(D91,'G-6 Hedgerow Data'!$B$3:$B$15,0),MATCH(H91,'G-6 Hedgerow Data'!$E$2:$I$2,0))))</f>
        <v/>
      </c>
      <c r="P91" s="195"/>
      <c r="Q91" s="195"/>
      <c r="R91" s="507" t="str">
        <f t="shared" si="7"/>
        <v/>
      </c>
      <c r="S91" s="521" t="str">
        <f t="shared" si="8"/>
        <v/>
      </c>
      <c r="T91" s="522" t="str">
        <f t="shared" si="6"/>
        <v/>
      </c>
      <c r="U91" s="537" t="str">
        <f>IF(D91="","",VLOOKUP(D91,'G-6 Hedgerow Data'!$B$3:$AG$15,31,FALSE))</f>
        <v/>
      </c>
      <c r="V91" s="520" t="str">
        <f t="shared" si="9"/>
        <v/>
      </c>
      <c r="W91" s="520" t="str">
        <f t="shared" si="10"/>
        <v/>
      </c>
      <c r="X91" s="524" t="str">
        <f>IF(F91="","",VLOOKUP(U91,'G-3 Multipliers'!$P$3:$Q$6,2,FALSE))</f>
        <v/>
      </c>
      <c r="Y91" s="529" t="str">
        <f t="shared" si="11"/>
        <v/>
      </c>
      <c r="Z91" s="149"/>
      <c r="AA91" s="150"/>
      <c r="AG91" s="31" t="str">
        <f>IFERROR(INDEX('G-6 Hedgerow Data'!$BJ$3:$BJ$15,MATCH(D91,'G-6 Hedgerow Data'!$B$3:$B$15,0)),"")</f>
        <v/>
      </c>
    </row>
    <row r="92" spans="2:33" ht="13.8" x14ac:dyDescent="0.25">
      <c r="B92" s="103">
        <v>81</v>
      </c>
      <c r="C92" s="268"/>
      <c r="D92" s="82"/>
      <c r="E92" s="203"/>
      <c r="F92" s="498" t="str">
        <f>IF(D92="","",VLOOKUP(D92,'G-6 Hedgerow Data'!$B$2:$AG$15,2,FALSE))</f>
        <v/>
      </c>
      <c r="G92" s="524" t="str">
        <f>IF(D92="","",VLOOKUP(D92,'G-6 Hedgerow Data'!$B$2:$AG$15,3,FALSE))</f>
        <v/>
      </c>
      <c r="H92" s="72"/>
      <c r="I92" s="499" t="str">
        <f>IFERROR(IF(AND(F92="V.Low",OR(H92="Good",H92="Moderate")),"Error ▲",VLOOKUP(H92,'G-1 All Habitats'!$Z$2:$AA$9,2,FALSE)),"")</f>
        <v/>
      </c>
      <c r="J92" s="146"/>
      <c r="K92" s="520" t="str">
        <f>IF(J92="","",IF(VLOOKUP(J92,'G-3 Multipliers'!$L$3:$N$6,2,FALSE)=0,"Spatial Data Missing",VLOOKUP(J92,'G-3 Multipliers'!$L$3:$N$6,2,FALSE)))</f>
        <v/>
      </c>
      <c r="L92" s="524" t="str">
        <f>IF(J92="","",IF(VLOOKUP(J92,'G-3 Multipliers'!$L$3:$N$6,3,FALSE)=0,"Spatial Data Missing",VLOOKUP(J92,'G-3 Multipliers'!$L$3:$N$6,3,FALSE)))</f>
        <v/>
      </c>
      <c r="M92" s="197"/>
      <c r="N92" s="499" t="str">
        <f>IF(M92="","",IF(VLOOKUP(M92,'G-3 Multipliers'!$S$3:$T$6,2,FALSE)=0,"Spatial Data Missing ⚠",VLOOKUP(M92,'G-3 Multipliers'!$S$3:$T$6,2,FALSE)))</f>
        <v/>
      </c>
      <c r="O92" s="498" t="str">
        <f>IF(OR(D92="",H92=""),"",(INDEX('G-6 Hedgerow Data'!$E$3:$I$15,MATCH(D92,'G-6 Hedgerow Data'!$B$3:$B$15,0),MATCH(H92,'G-6 Hedgerow Data'!$E$2:$I$2,0))))</f>
        <v/>
      </c>
      <c r="P92" s="195"/>
      <c r="Q92" s="195"/>
      <c r="R92" s="507" t="str">
        <f t="shared" si="7"/>
        <v/>
      </c>
      <c r="S92" s="521" t="str">
        <f t="shared" si="8"/>
        <v/>
      </c>
      <c r="T92" s="522" t="str">
        <f t="shared" si="6"/>
        <v/>
      </c>
      <c r="U92" s="537" t="str">
        <f>IF(D92="","",VLOOKUP(D92,'G-6 Hedgerow Data'!$B$3:$AG$15,31,FALSE))</f>
        <v/>
      </c>
      <c r="V92" s="520" t="str">
        <f t="shared" si="9"/>
        <v/>
      </c>
      <c r="W92" s="520" t="str">
        <f t="shared" si="10"/>
        <v/>
      </c>
      <c r="X92" s="524" t="str">
        <f>IF(F92="","",VLOOKUP(U92,'G-3 Multipliers'!$P$3:$Q$6,2,FALSE))</f>
        <v/>
      </c>
      <c r="Y92" s="529" t="str">
        <f t="shared" si="11"/>
        <v/>
      </c>
      <c r="Z92" s="149"/>
      <c r="AA92" s="150"/>
      <c r="AG92" s="31" t="str">
        <f>IFERROR(INDEX('G-6 Hedgerow Data'!$BJ$3:$BJ$15,MATCH(D92,'G-6 Hedgerow Data'!$B$3:$B$15,0)),"")</f>
        <v/>
      </c>
    </row>
    <row r="93" spans="2:33" ht="13.8" x14ac:dyDescent="0.25">
      <c r="B93" s="103">
        <v>82</v>
      </c>
      <c r="C93" s="268"/>
      <c r="D93" s="82"/>
      <c r="E93" s="203"/>
      <c r="F93" s="498" t="str">
        <f>IF(D93="","",VLOOKUP(D93,'G-6 Hedgerow Data'!$B$2:$AG$15,2,FALSE))</f>
        <v/>
      </c>
      <c r="G93" s="524" t="str">
        <f>IF(D93="","",VLOOKUP(D93,'G-6 Hedgerow Data'!$B$2:$AG$15,3,FALSE))</f>
        <v/>
      </c>
      <c r="H93" s="72"/>
      <c r="I93" s="499" t="str">
        <f>IFERROR(IF(AND(F93="V.Low",OR(H93="Good",H93="Moderate")),"Error ▲",VLOOKUP(H93,'G-1 All Habitats'!$Z$2:$AA$9,2,FALSE)),"")</f>
        <v/>
      </c>
      <c r="J93" s="146"/>
      <c r="K93" s="520" t="str">
        <f>IF(J93="","",IF(VLOOKUP(J93,'G-3 Multipliers'!$L$3:$N$6,2,FALSE)=0,"Spatial Data Missing",VLOOKUP(J93,'G-3 Multipliers'!$L$3:$N$6,2,FALSE)))</f>
        <v/>
      </c>
      <c r="L93" s="524" t="str">
        <f>IF(J93="","",IF(VLOOKUP(J93,'G-3 Multipliers'!$L$3:$N$6,3,FALSE)=0,"Spatial Data Missing",VLOOKUP(J93,'G-3 Multipliers'!$L$3:$N$6,3,FALSE)))</f>
        <v/>
      </c>
      <c r="M93" s="197"/>
      <c r="N93" s="499" t="str">
        <f>IF(M93="","",IF(VLOOKUP(M93,'G-3 Multipliers'!$S$3:$T$6,2,FALSE)=0,"Spatial Data Missing ⚠",VLOOKUP(M93,'G-3 Multipliers'!$S$3:$T$6,2,FALSE)))</f>
        <v/>
      </c>
      <c r="O93" s="498" t="str">
        <f>IF(OR(D93="",H93=""),"",(INDEX('G-6 Hedgerow Data'!$E$3:$I$15,MATCH(D93,'G-6 Hedgerow Data'!$B$3:$B$15,0),MATCH(H93,'G-6 Hedgerow Data'!$E$2:$I$2,0))))</f>
        <v/>
      </c>
      <c r="P93" s="195"/>
      <c r="Q93" s="195"/>
      <c r="R93" s="507" t="str">
        <f t="shared" si="7"/>
        <v/>
      </c>
      <c r="S93" s="521" t="str">
        <f t="shared" si="8"/>
        <v/>
      </c>
      <c r="T93" s="522" t="str">
        <f t="shared" si="6"/>
        <v/>
      </c>
      <c r="U93" s="537" t="str">
        <f>IF(D93="","",VLOOKUP(D93,'G-6 Hedgerow Data'!$B$3:$AG$15,31,FALSE))</f>
        <v/>
      </c>
      <c r="V93" s="520" t="str">
        <f t="shared" si="9"/>
        <v/>
      </c>
      <c r="W93" s="520" t="str">
        <f t="shared" si="10"/>
        <v/>
      </c>
      <c r="X93" s="524" t="str">
        <f>IF(F93="","",VLOOKUP(U93,'G-3 Multipliers'!$P$3:$Q$6,2,FALSE))</f>
        <v/>
      </c>
      <c r="Y93" s="529" t="str">
        <f t="shared" si="11"/>
        <v/>
      </c>
      <c r="Z93" s="149"/>
      <c r="AA93" s="150"/>
      <c r="AG93" s="31" t="str">
        <f>IFERROR(INDEX('G-6 Hedgerow Data'!$BJ$3:$BJ$15,MATCH(D93,'G-6 Hedgerow Data'!$B$3:$B$15,0)),"")</f>
        <v/>
      </c>
    </row>
    <row r="94" spans="2:33" ht="13.8" x14ac:dyDescent="0.25">
      <c r="B94" s="103">
        <v>83</v>
      </c>
      <c r="C94" s="268"/>
      <c r="D94" s="82"/>
      <c r="E94" s="203"/>
      <c r="F94" s="498" t="str">
        <f>IF(D94="","",VLOOKUP(D94,'G-6 Hedgerow Data'!$B$2:$AG$15,2,FALSE))</f>
        <v/>
      </c>
      <c r="G94" s="524" t="str">
        <f>IF(D94="","",VLOOKUP(D94,'G-6 Hedgerow Data'!$B$2:$AG$15,3,FALSE))</f>
        <v/>
      </c>
      <c r="H94" s="72"/>
      <c r="I94" s="499" t="str">
        <f>IFERROR(IF(AND(F94="V.Low",OR(H94="Good",H94="Moderate")),"Error ▲",VLOOKUP(H94,'G-1 All Habitats'!$Z$2:$AA$9,2,FALSE)),"")</f>
        <v/>
      </c>
      <c r="J94" s="146"/>
      <c r="K94" s="520" t="str">
        <f>IF(J94="","",IF(VLOOKUP(J94,'G-3 Multipliers'!$L$3:$N$6,2,FALSE)=0,"Spatial Data Missing",VLOOKUP(J94,'G-3 Multipliers'!$L$3:$N$6,2,FALSE)))</f>
        <v/>
      </c>
      <c r="L94" s="524" t="str">
        <f>IF(J94="","",IF(VLOOKUP(J94,'G-3 Multipliers'!$L$3:$N$6,3,FALSE)=0,"Spatial Data Missing",VLOOKUP(J94,'G-3 Multipliers'!$L$3:$N$6,3,FALSE)))</f>
        <v/>
      </c>
      <c r="M94" s="197"/>
      <c r="N94" s="499" t="str">
        <f>IF(M94="","",IF(VLOOKUP(M94,'G-3 Multipliers'!$S$3:$T$6,2,FALSE)=0,"Spatial Data Missing ⚠",VLOOKUP(M94,'G-3 Multipliers'!$S$3:$T$6,2,FALSE)))</f>
        <v/>
      </c>
      <c r="O94" s="498" t="str">
        <f>IF(OR(D94="",H94=""),"",(INDEX('G-6 Hedgerow Data'!$E$3:$I$15,MATCH(D94,'G-6 Hedgerow Data'!$B$3:$B$15,0),MATCH(H94,'G-6 Hedgerow Data'!$E$2:$I$2,0))))</f>
        <v/>
      </c>
      <c r="P94" s="195"/>
      <c r="Q94" s="195"/>
      <c r="R94" s="507" t="str">
        <f t="shared" si="7"/>
        <v/>
      </c>
      <c r="S94" s="521" t="str">
        <f t="shared" si="8"/>
        <v/>
      </c>
      <c r="T94" s="522" t="str">
        <f t="shared" si="6"/>
        <v/>
      </c>
      <c r="U94" s="537" t="str">
        <f>IF(D94="","",VLOOKUP(D94,'G-6 Hedgerow Data'!$B$3:$AG$15,31,FALSE))</f>
        <v/>
      </c>
      <c r="V94" s="520" t="str">
        <f t="shared" si="9"/>
        <v/>
      </c>
      <c r="W94" s="520" t="str">
        <f t="shared" si="10"/>
        <v/>
      </c>
      <c r="X94" s="524" t="str">
        <f>IF(F94="","",VLOOKUP(U94,'G-3 Multipliers'!$P$3:$Q$6,2,FALSE))</f>
        <v/>
      </c>
      <c r="Y94" s="529" t="str">
        <f t="shared" si="11"/>
        <v/>
      </c>
      <c r="Z94" s="149"/>
      <c r="AA94" s="150"/>
      <c r="AG94" s="31" t="str">
        <f>IFERROR(INDEX('G-6 Hedgerow Data'!$BJ$3:$BJ$15,MATCH(D94,'G-6 Hedgerow Data'!$B$3:$B$15,0)),"")</f>
        <v/>
      </c>
    </row>
    <row r="95" spans="2:33" ht="13.8" x14ac:dyDescent="0.25">
      <c r="B95" s="103">
        <v>84</v>
      </c>
      <c r="C95" s="268"/>
      <c r="D95" s="82"/>
      <c r="E95" s="203"/>
      <c r="F95" s="498" t="str">
        <f>IF(D95="","",VLOOKUP(D95,'G-6 Hedgerow Data'!$B$2:$AG$15,2,FALSE))</f>
        <v/>
      </c>
      <c r="G95" s="524" t="str">
        <f>IF(D95="","",VLOOKUP(D95,'G-6 Hedgerow Data'!$B$2:$AG$15,3,FALSE))</f>
        <v/>
      </c>
      <c r="H95" s="72"/>
      <c r="I95" s="499" t="str">
        <f>IFERROR(IF(AND(F95="V.Low",OR(H95="Good",H95="Moderate")),"Error ▲",VLOOKUP(H95,'G-1 All Habitats'!$Z$2:$AA$9,2,FALSE)),"")</f>
        <v/>
      </c>
      <c r="J95" s="146"/>
      <c r="K95" s="520" t="str">
        <f>IF(J95="","",IF(VLOOKUP(J95,'G-3 Multipliers'!$L$3:$N$6,2,FALSE)=0,"Spatial Data Missing",VLOOKUP(J95,'G-3 Multipliers'!$L$3:$N$6,2,FALSE)))</f>
        <v/>
      </c>
      <c r="L95" s="524" t="str">
        <f>IF(J95="","",IF(VLOOKUP(J95,'G-3 Multipliers'!$L$3:$N$6,3,FALSE)=0,"Spatial Data Missing",VLOOKUP(J95,'G-3 Multipliers'!$L$3:$N$6,3,FALSE)))</f>
        <v/>
      </c>
      <c r="M95" s="197"/>
      <c r="N95" s="499" t="str">
        <f>IF(M95="","",IF(VLOOKUP(M95,'G-3 Multipliers'!$S$3:$T$6,2,FALSE)=0,"Spatial Data Missing ⚠",VLOOKUP(M95,'G-3 Multipliers'!$S$3:$T$6,2,FALSE)))</f>
        <v/>
      </c>
      <c r="O95" s="498" t="str">
        <f>IF(OR(D95="",H95=""),"",(INDEX('G-6 Hedgerow Data'!$E$3:$I$15,MATCH(D95,'G-6 Hedgerow Data'!$B$3:$B$15,0),MATCH(H95,'G-6 Hedgerow Data'!$E$2:$I$2,0))))</f>
        <v/>
      </c>
      <c r="P95" s="195"/>
      <c r="Q95" s="195"/>
      <c r="R95" s="507" t="str">
        <f t="shared" si="7"/>
        <v/>
      </c>
      <c r="S95" s="521" t="str">
        <f t="shared" si="8"/>
        <v/>
      </c>
      <c r="T95" s="522" t="str">
        <f t="shared" si="6"/>
        <v/>
      </c>
      <c r="U95" s="537" t="str">
        <f>IF(D95="","",VLOOKUP(D95,'G-6 Hedgerow Data'!$B$3:$AG$15,31,FALSE))</f>
        <v/>
      </c>
      <c r="V95" s="520" t="str">
        <f t="shared" si="9"/>
        <v/>
      </c>
      <c r="W95" s="520" t="str">
        <f t="shared" si="10"/>
        <v/>
      </c>
      <c r="X95" s="524" t="str">
        <f>IF(F95="","",VLOOKUP(U95,'G-3 Multipliers'!$P$3:$Q$6,2,FALSE))</f>
        <v/>
      </c>
      <c r="Y95" s="529" t="str">
        <f t="shared" si="11"/>
        <v/>
      </c>
      <c r="Z95" s="149"/>
      <c r="AA95" s="150"/>
      <c r="AG95" s="31" t="str">
        <f>IFERROR(INDEX('G-6 Hedgerow Data'!$BJ$3:$BJ$15,MATCH(D95,'G-6 Hedgerow Data'!$B$3:$B$15,0)),"")</f>
        <v/>
      </c>
    </row>
    <row r="96" spans="2:33" ht="13.8" x14ac:dyDescent="0.25">
      <c r="B96" s="103">
        <v>85</v>
      </c>
      <c r="C96" s="268"/>
      <c r="D96" s="82"/>
      <c r="E96" s="203"/>
      <c r="F96" s="498" t="str">
        <f>IF(D96="","",VLOOKUP(D96,'G-6 Hedgerow Data'!$B$2:$AG$15,2,FALSE))</f>
        <v/>
      </c>
      <c r="G96" s="524" t="str">
        <f>IF(D96="","",VLOOKUP(D96,'G-6 Hedgerow Data'!$B$2:$AG$15,3,FALSE))</f>
        <v/>
      </c>
      <c r="H96" s="72"/>
      <c r="I96" s="499" t="str">
        <f>IFERROR(IF(AND(F96="V.Low",OR(H96="Good",H96="Moderate")),"Error ▲",VLOOKUP(H96,'G-1 All Habitats'!$Z$2:$AA$9,2,FALSE)),"")</f>
        <v/>
      </c>
      <c r="J96" s="146"/>
      <c r="K96" s="520" t="str">
        <f>IF(J96="","",IF(VLOOKUP(J96,'G-3 Multipliers'!$L$3:$N$6,2,FALSE)=0,"Spatial Data Missing",VLOOKUP(J96,'G-3 Multipliers'!$L$3:$N$6,2,FALSE)))</f>
        <v/>
      </c>
      <c r="L96" s="524" t="str">
        <f>IF(J96="","",IF(VLOOKUP(J96,'G-3 Multipliers'!$L$3:$N$6,3,FALSE)=0,"Spatial Data Missing",VLOOKUP(J96,'G-3 Multipliers'!$L$3:$N$6,3,FALSE)))</f>
        <v/>
      </c>
      <c r="M96" s="197"/>
      <c r="N96" s="499" t="str">
        <f>IF(M96="","",IF(VLOOKUP(M96,'G-3 Multipliers'!$S$3:$T$6,2,FALSE)=0,"Spatial Data Missing ⚠",VLOOKUP(M96,'G-3 Multipliers'!$S$3:$T$6,2,FALSE)))</f>
        <v/>
      </c>
      <c r="O96" s="498" t="str">
        <f>IF(OR(D96="",H96=""),"",(INDEX('G-6 Hedgerow Data'!$E$3:$I$15,MATCH(D96,'G-6 Hedgerow Data'!$B$3:$B$15,0),MATCH(H96,'G-6 Hedgerow Data'!$E$2:$I$2,0))))</f>
        <v/>
      </c>
      <c r="P96" s="195"/>
      <c r="Q96" s="195"/>
      <c r="R96" s="507" t="str">
        <f t="shared" si="7"/>
        <v/>
      </c>
      <c r="S96" s="521" t="str">
        <f t="shared" si="8"/>
        <v/>
      </c>
      <c r="T96" s="522" t="str">
        <f t="shared" si="6"/>
        <v/>
      </c>
      <c r="U96" s="537" t="str">
        <f>IF(D96="","",VLOOKUP(D96,'G-6 Hedgerow Data'!$B$3:$AG$15,31,FALSE))</f>
        <v/>
      </c>
      <c r="V96" s="520" t="str">
        <f t="shared" si="9"/>
        <v/>
      </c>
      <c r="W96" s="520" t="str">
        <f t="shared" si="10"/>
        <v/>
      </c>
      <c r="X96" s="524" t="str">
        <f>IF(F96="","",VLOOKUP(U96,'G-3 Multipliers'!$P$3:$Q$6,2,FALSE))</f>
        <v/>
      </c>
      <c r="Y96" s="529" t="str">
        <f t="shared" si="11"/>
        <v/>
      </c>
      <c r="Z96" s="149"/>
      <c r="AA96" s="150"/>
      <c r="AG96" s="31" t="str">
        <f>IFERROR(INDEX('G-6 Hedgerow Data'!$BJ$3:$BJ$15,MATCH(D96,'G-6 Hedgerow Data'!$B$3:$B$15,0)),"")</f>
        <v/>
      </c>
    </row>
    <row r="97" spans="2:33" ht="13.8" x14ac:dyDescent="0.25">
      <c r="B97" s="103">
        <v>86</v>
      </c>
      <c r="C97" s="268"/>
      <c r="D97" s="82"/>
      <c r="E97" s="203"/>
      <c r="F97" s="498" t="str">
        <f>IF(D97="","",VLOOKUP(D97,'G-6 Hedgerow Data'!$B$2:$AG$15,2,FALSE))</f>
        <v/>
      </c>
      <c r="G97" s="524" t="str">
        <f>IF(D97="","",VLOOKUP(D97,'G-6 Hedgerow Data'!$B$2:$AG$15,3,FALSE))</f>
        <v/>
      </c>
      <c r="H97" s="72"/>
      <c r="I97" s="499" t="str">
        <f>IFERROR(IF(AND(F97="V.Low",OR(H97="Good",H97="Moderate")),"Error ▲",VLOOKUP(H97,'G-1 All Habitats'!$Z$2:$AA$9,2,FALSE)),"")</f>
        <v/>
      </c>
      <c r="J97" s="146"/>
      <c r="K97" s="520" t="str">
        <f>IF(J97="","",IF(VLOOKUP(J97,'G-3 Multipliers'!$L$3:$N$6,2,FALSE)=0,"Spatial Data Missing",VLOOKUP(J97,'G-3 Multipliers'!$L$3:$N$6,2,FALSE)))</f>
        <v/>
      </c>
      <c r="L97" s="524" t="str">
        <f>IF(J97="","",IF(VLOOKUP(J97,'G-3 Multipliers'!$L$3:$N$6,3,FALSE)=0,"Spatial Data Missing",VLOOKUP(J97,'G-3 Multipliers'!$L$3:$N$6,3,FALSE)))</f>
        <v/>
      </c>
      <c r="M97" s="197"/>
      <c r="N97" s="499" t="str">
        <f>IF(M97="","",IF(VLOOKUP(M97,'G-3 Multipliers'!$S$3:$T$6,2,FALSE)=0,"Spatial Data Missing ⚠",VLOOKUP(M97,'G-3 Multipliers'!$S$3:$T$6,2,FALSE)))</f>
        <v/>
      </c>
      <c r="O97" s="498" t="str">
        <f>IF(OR(D97="",H97=""),"",(INDEX('G-6 Hedgerow Data'!$E$3:$I$15,MATCH(D97,'G-6 Hedgerow Data'!$B$3:$B$15,0),MATCH(H97,'G-6 Hedgerow Data'!$E$2:$I$2,0))))</f>
        <v/>
      </c>
      <c r="P97" s="195"/>
      <c r="Q97" s="195"/>
      <c r="R97" s="507" t="str">
        <f t="shared" si="7"/>
        <v/>
      </c>
      <c r="S97" s="521" t="str">
        <f t="shared" si="8"/>
        <v/>
      </c>
      <c r="T97" s="522" t="str">
        <f t="shared" si="6"/>
        <v/>
      </c>
      <c r="U97" s="537" t="str">
        <f>IF(D97="","",VLOOKUP(D97,'G-6 Hedgerow Data'!$B$3:$AG$15,31,FALSE))</f>
        <v/>
      </c>
      <c r="V97" s="520" t="str">
        <f t="shared" si="9"/>
        <v/>
      </c>
      <c r="W97" s="520" t="str">
        <f t="shared" si="10"/>
        <v/>
      </c>
      <c r="X97" s="524" t="str">
        <f>IF(F97="","",VLOOKUP(U97,'G-3 Multipliers'!$P$3:$Q$6,2,FALSE))</f>
        <v/>
      </c>
      <c r="Y97" s="529" t="str">
        <f t="shared" si="11"/>
        <v/>
      </c>
      <c r="Z97" s="149"/>
      <c r="AA97" s="150"/>
      <c r="AG97" s="31" t="str">
        <f>IFERROR(INDEX('G-6 Hedgerow Data'!$BJ$3:$BJ$15,MATCH(D97,'G-6 Hedgerow Data'!$B$3:$B$15,0)),"")</f>
        <v/>
      </c>
    </row>
    <row r="98" spans="2:33" ht="13.8" x14ac:dyDescent="0.25">
      <c r="B98" s="103">
        <v>87</v>
      </c>
      <c r="C98" s="268"/>
      <c r="D98" s="82"/>
      <c r="E98" s="203"/>
      <c r="F98" s="498" t="str">
        <f>IF(D98="","",VLOOKUP(D98,'G-6 Hedgerow Data'!$B$2:$AG$15,2,FALSE))</f>
        <v/>
      </c>
      <c r="G98" s="524" t="str">
        <f>IF(D98="","",VLOOKUP(D98,'G-6 Hedgerow Data'!$B$2:$AG$15,3,FALSE))</f>
        <v/>
      </c>
      <c r="H98" s="72"/>
      <c r="I98" s="499" t="str">
        <f>IFERROR(IF(AND(F98="V.Low",OR(H98="Good",H98="Moderate")),"Error ▲",VLOOKUP(H98,'G-1 All Habitats'!$Z$2:$AA$9,2,FALSE)),"")</f>
        <v/>
      </c>
      <c r="J98" s="146"/>
      <c r="K98" s="520" t="str">
        <f>IF(J98="","",IF(VLOOKUP(J98,'G-3 Multipliers'!$L$3:$N$6,2,FALSE)=0,"Spatial Data Missing",VLOOKUP(J98,'G-3 Multipliers'!$L$3:$N$6,2,FALSE)))</f>
        <v/>
      </c>
      <c r="L98" s="524" t="str">
        <f>IF(J98="","",IF(VLOOKUP(J98,'G-3 Multipliers'!$L$3:$N$6,3,FALSE)=0,"Spatial Data Missing",VLOOKUP(J98,'G-3 Multipliers'!$L$3:$N$6,3,FALSE)))</f>
        <v/>
      </c>
      <c r="M98" s="197"/>
      <c r="N98" s="499" t="str">
        <f>IF(M98="","",IF(VLOOKUP(M98,'G-3 Multipliers'!$S$3:$T$6,2,FALSE)=0,"Spatial Data Missing ⚠",VLOOKUP(M98,'G-3 Multipliers'!$S$3:$T$6,2,FALSE)))</f>
        <v/>
      </c>
      <c r="O98" s="498" t="str">
        <f>IF(OR(D98="",H98=""),"",(INDEX('G-6 Hedgerow Data'!$E$3:$I$15,MATCH(D98,'G-6 Hedgerow Data'!$B$3:$B$15,0),MATCH(H98,'G-6 Hedgerow Data'!$E$2:$I$2,0))))</f>
        <v/>
      </c>
      <c r="P98" s="195"/>
      <c r="Q98" s="195"/>
      <c r="R98" s="507" t="str">
        <f t="shared" si="7"/>
        <v/>
      </c>
      <c r="S98" s="521" t="str">
        <f t="shared" si="8"/>
        <v/>
      </c>
      <c r="T98" s="522" t="str">
        <f t="shared" si="6"/>
        <v/>
      </c>
      <c r="U98" s="537" t="str">
        <f>IF(D98="","",VLOOKUP(D98,'G-6 Hedgerow Data'!$B$3:$AG$15,31,FALSE))</f>
        <v/>
      </c>
      <c r="V98" s="520" t="str">
        <f t="shared" si="9"/>
        <v/>
      </c>
      <c r="W98" s="520" t="str">
        <f t="shared" si="10"/>
        <v/>
      </c>
      <c r="X98" s="524" t="str">
        <f>IF(F98="","",VLOOKUP(U98,'G-3 Multipliers'!$P$3:$Q$6,2,FALSE))</f>
        <v/>
      </c>
      <c r="Y98" s="529" t="str">
        <f t="shared" si="11"/>
        <v/>
      </c>
      <c r="Z98" s="149"/>
      <c r="AA98" s="150"/>
      <c r="AG98" s="31" t="str">
        <f>IFERROR(INDEX('G-6 Hedgerow Data'!$BJ$3:$BJ$15,MATCH(D98,'G-6 Hedgerow Data'!$B$3:$B$15,0)),"")</f>
        <v/>
      </c>
    </row>
    <row r="99" spans="2:33" ht="13.8" x14ac:dyDescent="0.25">
      <c r="B99" s="103">
        <v>88</v>
      </c>
      <c r="C99" s="268"/>
      <c r="D99" s="82"/>
      <c r="E99" s="203"/>
      <c r="F99" s="498" t="str">
        <f>IF(D99="","",VLOOKUP(D99,'G-6 Hedgerow Data'!$B$2:$AG$15,2,FALSE))</f>
        <v/>
      </c>
      <c r="G99" s="524" t="str">
        <f>IF(D99="","",VLOOKUP(D99,'G-6 Hedgerow Data'!$B$2:$AG$15,3,FALSE))</f>
        <v/>
      </c>
      <c r="H99" s="72"/>
      <c r="I99" s="499" t="str">
        <f>IFERROR(IF(AND(F99="V.Low",OR(H99="Good",H99="Moderate")),"Error ▲",VLOOKUP(H99,'G-1 All Habitats'!$Z$2:$AA$9,2,FALSE)),"")</f>
        <v/>
      </c>
      <c r="J99" s="146"/>
      <c r="K99" s="520" t="str">
        <f>IF(J99="","",IF(VLOOKUP(J99,'G-3 Multipliers'!$L$3:$N$6,2,FALSE)=0,"Spatial Data Missing",VLOOKUP(J99,'G-3 Multipliers'!$L$3:$N$6,2,FALSE)))</f>
        <v/>
      </c>
      <c r="L99" s="524" t="str">
        <f>IF(J99="","",IF(VLOOKUP(J99,'G-3 Multipliers'!$L$3:$N$6,3,FALSE)=0,"Spatial Data Missing",VLOOKUP(J99,'G-3 Multipliers'!$L$3:$N$6,3,FALSE)))</f>
        <v/>
      </c>
      <c r="M99" s="197"/>
      <c r="N99" s="499" t="str">
        <f>IF(M99="","",IF(VLOOKUP(M99,'G-3 Multipliers'!$S$3:$T$6,2,FALSE)=0,"Spatial Data Missing ⚠",VLOOKUP(M99,'G-3 Multipliers'!$S$3:$T$6,2,FALSE)))</f>
        <v/>
      </c>
      <c r="O99" s="498" t="str">
        <f>IF(OR(D99="",H99=""),"",(INDEX('G-6 Hedgerow Data'!$E$3:$I$15,MATCH(D99,'G-6 Hedgerow Data'!$B$3:$B$15,0),MATCH(H99,'G-6 Hedgerow Data'!$E$2:$I$2,0))))</f>
        <v/>
      </c>
      <c r="P99" s="195"/>
      <c r="Q99" s="195"/>
      <c r="R99" s="507" t="str">
        <f t="shared" si="7"/>
        <v/>
      </c>
      <c r="S99" s="521" t="str">
        <f t="shared" si="8"/>
        <v/>
      </c>
      <c r="T99" s="522" t="str">
        <f t="shared" si="6"/>
        <v/>
      </c>
      <c r="U99" s="537" t="str">
        <f>IF(D99="","",VLOOKUP(D99,'G-6 Hedgerow Data'!$B$3:$AG$15,31,FALSE))</f>
        <v/>
      </c>
      <c r="V99" s="520" t="str">
        <f t="shared" si="9"/>
        <v/>
      </c>
      <c r="W99" s="520" t="str">
        <f t="shared" si="10"/>
        <v/>
      </c>
      <c r="X99" s="524" t="str">
        <f>IF(F99="","",VLOOKUP(U99,'G-3 Multipliers'!$P$3:$Q$6,2,FALSE))</f>
        <v/>
      </c>
      <c r="Y99" s="529" t="str">
        <f t="shared" si="11"/>
        <v/>
      </c>
      <c r="Z99" s="149"/>
      <c r="AA99" s="150"/>
      <c r="AG99" s="31" t="str">
        <f>IFERROR(INDEX('G-6 Hedgerow Data'!$BJ$3:$BJ$15,MATCH(D99,'G-6 Hedgerow Data'!$B$3:$B$15,0)),"")</f>
        <v/>
      </c>
    </row>
    <row r="100" spans="2:33" ht="13.8" x14ac:dyDescent="0.25">
      <c r="B100" s="103">
        <v>89</v>
      </c>
      <c r="C100" s="268"/>
      <c r="D100" s="82"/>
      <c r="E100" s="203"/>
      <c r="F100" s="498" t="str">
        <f>IF(D100="","",VLOOKUP(D100,'G-6 Hedgerow Data'!$B$2:$AG$15,2,FALSE))</f>
        <v/>
      </c>
      <c r="G100" s="524" t="str">
        <f>IF(D100="","",VLOOKUP(D100,'G-6 Hedgerow Data'!$B$2:$AG$15,3,FALSE))</f>
        <v/>
      </c>
      <c r="H100" s="72"/>
      <c r="I100" s="499" t="str">
        <f>IFERROR(IF(AND(F100="V.Low",OR(H100="Good",H100="Moderate")),"Error ▲",VLOOKUP(H100,'G-1 All Habitats'!$Z$2:$AA$9,2,FALSE)),"")</f>
        <v/>
      </c>
      <c r="J100" s="146"/>
      <c r="K100" s="520" t="str">
        <f>IF(J100="","",IF(VLOOKUP(J100,'G-3 Multipliers'!$L$3:$N$6,2,FALSE)=0,"Spatial Data Missing",VLOOKUP(J100,'G-3 Multipliers'!$L$3:$N$6,2,FALSE)))</f>
        <v/>
      </c>
      <c r="L100" s="524" t="str">
        <f>IF(J100="","",IF(VLOOKUP(J100,'G-3 Multipliers'!$L$3:$N$6,3,FALSE)=0,"Spatial Data Missing",VLOOKUP(J100,'G-3 Multipliers'!$L$3:$N$6,3,FALSE)))</f>
        <v/>
      </c>
      <c r="M100" s="197"/>
      <c r="N100" s="499" t="str">
        <f>IF(M100="","",IF(VLOOKUP(M100,'G-3 Multipliers'!$S$3:$T$6,2,FALSE)=0,"Spatial Data Missing ⚠",VLOOKUP(M100,'G-3 Multipliers'!$S$3:$T$6,2,FALSE)))</f>
        <v/>
      </c>
      <c r="O100" s="498" t="str">
        <f>IF(OR(D100="",H100=""),"",(INDEX('G-6 Hedgerow Data'!$E$3:$I$15,MATCH(D100,'G-6 Hedgerow Data'!$B$3:$B$15,0),MATCH(H100,'G-6 Hedgerow Data'!$E$2:$I$2,0))))</f>
        <v/>
      </c>
      <c r="P100" s="195"/>
      <c r="Q100" s="195"/>
      <c r="R100" s="507" t="str">
        <f t="shared" si="7"/>
        <v/>
      </c>
      <c r="S100" s="521" t="str">
        <f t="shared" si="8"/>
        <v/>
      </c>
      <c r="T100" s="522" t="str">
        <f t="shared" si="6"/>
        <v/>
      </c>
      <c r="U100" s="537" t="str">
        <f>IF(D100="","",VLOOKUP(D100,'G-6 Hedgerow Data'!$B$3:$AG$15,31,FALSE))</f>
        <v/>
      </c>
      <c r="V100" s="520" t="str">
        <f t="shared" si="9"/>
        <v/>
      </c>
      <c r="W100" s="520" t="str">
        <f t="shared" si="10"/>
        <v/>
      </c>
      <c r="X100" s="524" t="str">
        <f>IF(F100="","",VLOOKUP(U100,'G-3 Multipliers'!$P$3:$Q$6,2,FALSE))</f>
        <v/>
      </c>
      <c r="Y100" s="529" t="str">
        <f t="shared" si="11"/>
        <v/>
      </c>
      <c r="Z100" s="149"/>
      <c r="AA100" s="150"/>
      <c r="AG100" s="31" t="str">
        <f>IFERROR(INDEX('G-6 Hedgerow Data'!$BJ$3:$BJ$15,MATCH(D100,'G-6 Hedgerow Data'!$B$3:$B$15,0)),"")</f>
        <v/>
      </c>
    </row>
    <row r="101" spans="2:33" ht="13.8" x14ac:dyDescent="0.25">
      <c r="B101" s="103">
        <v>90</v>
      </c>
      <c r="C101" s="268"/>
      <c r="D101" s="82"/>
      <c r="E101" s="203"/>
      <c r="F101" s="498" t="str">
        <f>IF(D101="","",VLOOKUP(D101,'G-6 Hedgerow Data'!$B$2:$AG$15,2,FALSE))</f>
        <v/>
      </c>
      <c r="G101" s="524" t="str">
        <f>IF(D101="","",VLOOKUP(D101,'G-6 Hedgerow Data'!$B$2:$AG$15,3,FALSE))</f>
        <v/>
      </c>
      <c r="H101" s="72"/>
      <c r="I101" s="499" t="str">
        <f>IFERROR(IF(AND(F101="V.Low",OR(H101="Good",H101="Moderate")),"Error ▲",VLOOKUP(H101,'G-1 All Habitats'!$Z$2:$AA$9,2,FALSE)),"")</f>
        <v/>
      </c>
      <c r="J101" s="146"/>
      <c r="K101" s="520" t="str">
        <f>IF(J101="","",IF(VLOOKUP(J101,'G-3 Multipliers'!$L$3:$N$6,2,FALSE)=0,"Spatial Data Missing",VLOOKUP(J101,'G-3 Multipliers'!$L$3:$N$6,2,FALSE)))</f>
        <v/>
      </c>
      <c r="L101" s="524" t="str">
        <f>IF(J101="","",IF(VLOOKUP(J101,'G-3 Multipliers'!$L$3:$N$6,3,FALSE)=0,"Spatial Data Missing",VLOOKUP(J101,'G-3 Multipliers'!$L$3:$N$6,3,FALSE)))</f>
        <v/>
      </c>
      <c r="M101" s="197"/>
      <c r="N101" s="499" t="str">
        <f>IF(M101="","",IF(VLOOKUP(M101,'G-3 Multipliers'!$S$3:$T$6,2,FALSE)=0,"Spatial Data Missing ⚠",VLOOKUP(M101,'G-3 Multipliers'!$S$3:$T$6,2,FALSE)))</f>
        <v/>
      </c>
      <c r="O101" s="498" t="str">
        <f>IF(OR(D101="",H101=""),"",(INDEX('G-6 Hedgerow Data'!$E$3:$I$15,MATCH(D101,'G-6 Hedgerow Data'!$B$3:$B$15,0),MATCH(H101,'G-6 Hedgerow Data'!$E$2:$I$2,0))))</f>
        <v/>
      </c>
      <c r="P101" s="195"/>
      <c r="Q101" s="195"/>
      <c r="R101" s="507" t="str">
        <f t="shared" si="7"/>
        <v/>
      </c>
      <c r="S101" s="521" t="str">
        <f t="shared" si="8"/>
        <v/>
      </c>
      <c r="T101" s="522" t="str">
        <f t="shared" si="6"/>
        <v/>
      </c>
      <c r="U101" s="537" t="str">
        <f>IF(D101="","",VLOOKUP(D101,'G-6 Hedgerow Data'!$B$3:$AG$15,31,FALSE))</f>
        <v/>
      </c>
      <c r="V101" s="520" t="str">
        <f t="shared" si="9"/>
        <v/>
      </c>
      <c r="W101" s="520" t="str">
        <f t="shared" si="10"/>
        <v/>
      </c>
      <c r="X101" s="524" t="str">
        <f>IF(F101="","",VLOOKUP(U101,'G-3 Multipliers'!$P$3:$Q$6,2,FALSE))</f>
        <v/>
      </c>
      <c r="Y101" s="529" t="str">
        <f t="shared" si="11"/>
        <v/>
      </c>
      <c r="Z101" s="149"/>
      <c r="AA101" s="150"/>
      <c r="AG101" s="31" t="str">
        <f>IFERROR(INDEX('G-6 Hedgerow Data'!$BJ$3:$BJ$15,MATCH(D101,'G-6 Hedgerow Data'!$B$3:$B$15,0)),"")</f>
        <v/>
      </c>
    </row>
    <row r="102" spans="2:33" ht="13.8" x14ac:dyDescent="0.25">
      <c r="B102" s="103">
        <v>91</v>
      </c>
      <c r="C102" s="268"/>
      <c r="D102" s="82"/>
      <c r="E102" s="203"/>
      <c r="F102" s="498" t="str">
        <f>IF(D102="","",VLOOKUP(D102,'G-6 Hedgerow Data'!$B$2:$AG$15,2,FALSE))</f>
        <v/>
      </c>
      <c r="G102" s="524" t="str">
        <f>IF(D102="","",VLOOKUP(D102,'G-6 Hedgerow Data'!$B$2:$AG$15,3,FALSE))</f>
        <v/>
      </c>
      <c r="H102" s="72"/>
      <c r="I102" s="499" t="str">
        <f>IFERROR(IF(AND(F102="V.Low",OR(H102="Good",H102="Moderate")),"Error ▲",VLOOKUP(H102,'G-1 All Habitats'!$Z$2:$AA$9,2,FALSE)),"")</f>
        <v/>
      </c>
      <c r="J102" s="146"/>
      <c r="K102" s="520" t="str">
        <f>IF(J102="","",IF(VLOOKUP(J102,'G-3 Multipliers'!$L$3:$N$6,2,FALSE)=0,"Spatial Data Missing",VLOOKUP(J102,'G-3 Multipliers'!$L$3:$N$6,2,FALSE)))</f>
        <v/>
      </c>
      <c r="L102" s="524" t="str">
        <f>IF(J102="","",IF(VLOOKUP(J102,'G-3 Multipliers'!$L$3:$N$6,3,FALSE)=0,"Spatial Data Missing",VLOOKUP(J102,'G-3 Multipliers'!$L$3:$N$6,3,FALSE)))</f>
        <v/>
      </c>
      <c r="M102" s="197"/>
      <c r="N102" s="499" t="str">
        <f>IF(M102="","",IF(VLOOKUP(M102,'G-3 Multipliers'!$S$3:$T$6,2,FALSE)=0,"Spatial Data Missing ⚠",VLOOKUP(M102,'G-3 Multipliers'!$S$3:$T$6,2,FALSE)))</f>
        <v/>
      </c>
      <c r="O102" s="498" t="str">
        <f>IF(OR(D102="",H102=""),"",(INDEX('G-6 Hedgerow Data'!$E$3:$I$15,MATCH(D102,'G-6 Hedgerow Data'!$B$3:$B$15,0),MATCH(H102,'G-6 Hedgerow Data'!$E$2:$I$2,0))))</f>
        <v/>
      </c>
      <c r="P102" s="195"/>
      <c r="Q102" s="195"/>
      <c r="R102" s="507" t="str">
        <f t="shared" si="7"/>
        <v/>
      </c>
      <c r="S102" s="521" t="str">
        <f t="shared" si="8"/>
        <v/>
      </c>
      <c r="T102" s="522" t="str">
        <f t="shared" si="6"/>
        <v/>
      </c>
      <c r="U102" s="537" t="str">
        <f>IF(D102="","",VLOOKUP(D102,'G-6 Hedgerow Data'!$B$3:$AG$15,31,FALSE))</f>
        <v/>
      </c>
      <c r="V102" s="520" t="str">
        <f t="shared" si="9"/>
        <v/>
      </c>
      <c r="W102" s="520" t="str">
        <f t="shared" si="10"/>
        <v/>
      </c>
      <c r="X102" s="524" t="str">
        <f>IF(F102="","",VLOOKUP(U102,'G-3 Multipliers'!$P$3:$Q$6,2,FALSE))</f>
        <v/>
      </c>
      <c r="Y102" s="529" t="str">
        <f t="shared" si="11"/>
        <v/>
      </c>
      <c r="Z102" s="149"/>
      <c r="AA102" s="150"/>
      <c r="AG102" s="31" t="str">
        <f>IFERROR(INDEX('G-6 Hedgerow Data'!$BJ$3:$BJ$15,MATCH(D102,'G-6 Hedgerow Data'!$B$3:$B$15,0)),"")</f>
        <v/>
      </c>
    </row>
    <row r="103" spans="2:33" ht="13.8" x14ac:dyDescent="0.25">
      <c r="B103" s="103">
        <v>92</v>
      </c>
      <c r="C103" s="268"/>
      <c r="D103" s="82"/>
      <c r="E103" s="203"/>
      <c r="F103" s="498" t="str">
        <f>IF(D103="","",VLOOKUP(D103,'G-6 Hedgerow Data'!$B$2:$AG$15,2,FALSE))</f>
        <v/>
      </c>
      <c r="G103" s="524" t="str">
        <f>IF(D103="","",VLOOKUP(D103,'G-6 Hedgerow Data'!$B$2:$AG$15,3,FALSE))</f>
        <v/>
      </c>
      <c r="H103" s="72"/>
      <c r="I103" s="499" t="str">
        <f>IFERROR(IF(AND(F103="V.Low",OR(H103="Good",H103="Moderate")),"Error ▲",VLOOKUP(H103,'G-1 All Habitats'!$Z$2:$AA$9,2,FALSE)),"")</f>
        <v/>
      </c>
      <c r="J103" s="146"/>
      <c r="K103" s="520" t="str">
        <f>IF(J103="","",IF(VLOOKUP(J103,'G-3 Multipliers'!$L$3:$N$6,2,FALSE)=0,"Spatial Data Missing",VLOOKUP(J103,'G-3 Multipliers'!$L$3:$N$6,2,FALSE)))</f>
        <v/>
      </c>
      <c r="L103" s="524" t="str">
        <f>IF(J103="","",IF(VLOOKUP(J103,'G-3 Multipliers'!$L$3:$N$6,3,FALSE)=0,"Spatial Data Missing",VLOOKUP(J103,'G-3 Multipliers'!$L$3:$N$6,3,FALSE)))</f>
        <v/>
      </c>
      <c r="M103" s="197"/>
      <c r="N103" s="499" t="str">
        <f>IF(M103="","",IF(VLOOKUP(M103,'G-3 Multipliers'!$S$3:$T$6,2,FALSE)=0,"Spatial Data Missing ⚠",VLOOKUP(M103,'G-3 Multipliers'!$S$3:$T$6,2,FALSE)))</f>
        <v/>
      </c>
      <c r="O103" s="498" t="str">
        <f>IF(OR(D103="",H103=""),"",(INDEX('G-6 Hedgerow Data'!$E$3:$I$15,MATCH(D103,'G-6 Hedgerow Data'!$B$3:$B$15,0),MATCH(H103,'G-6 Hedgerow Data'!$E$2:$I$2,0))))</f>
        <v/>
      </c>
      <c r="P103" s="195"/>
      <c r="Q103" s="195"/>
      <c r="R103" s="507" t="str">
        <f t="shared" si="7"/>
        <v/>
      </c>
      <c r="S103" s="521" t="str">
        <f t="shared" si="8"/>
        <v/>
      </c>
      <c r="T103" s="522" t="str">
        <f t="shared" si="6"/>
        <v/>
      </c>
      <c r="U103" s="537" t="str">
        <f>IF(D103="","",VLOOKUP(D103,'G-6 Hedgerow Data'!$B$3:$AG$15,31,FALSE))</f>
        <v/>
      </c>
      <c r="V103" s="520" t="str">
        <f t="shared" si="9"/>
        <v/>
      </c>
      <c r="W103" s="520" t="str">
        <f t="shared" si="10"/>
        <v/>
      </c>
      <c r="X103" s="524" t="str">
        <f>IF(F103="","",VLOOKUP(U103,'G-3 Multipliers'!$P$3:$Q$6,2,FALSE))</f>
        <v/>
      </c>
      <c r="Y103" s="529" t="str">
        <f t="shared" si="11"/>
        <v/>
      </c>
      <c r="Z103" s="149"/>
      <c r="AA103" s="150"/>
      <c r="AG103" s="31" t="str">
        <f>IFERROR(INDEX('G-6 Hedgerow Data'!$BJ$3:$BJ$15,MATCH(D103,'G-6 Hedgerow Data'!$B$3:$B$15,0)),"")</f>
        <v/>
      </c>
    </row>
    <row r="104" spans="2:33" ht="13.8" x14ac:dyDescent="0.25">
      <c r="B104" s="103">
        <v>93</v>
      </c>
      <c r="C104" s="268"/>
      <c r="D104" s="82"/>
      <c r="E104" s="203"/>
      <c r="F104" s="498" t="str">
        <f>IF(D104="","",VLOOKUP(D104,'G-6 Hedgerow Data'!$B$2:$AG$15,2,FALSE))</f>
        <v/>
      </c>
      <c r="G104" s="524" t="str">
        <f>IF(D104="","",VLOOKUP(D104,'G-6 Hedgerow Data'!$B$2:$AG$15,3,FALSE))</f>
        <v/>
      </c>
      <c r="H104" s="72"/>
      <c r="I104" s="499" t="str">
        <f>IFERROR(IF(AND(F104="V.Low",OR(H104="Good",H104="Moderate")),"Error ▲",VLOOKUP(H104,'G-1 All Habitats'!$Z$2:$AA$9,2,FALSE)),"")</f>
        <v/>
      </c>
      <c r="J104" s="146"/>
      <c r="K104" s="520" t="str">
        <f>IF(J104="","",IF(VLOOKUP(J104,'G-3 Multipliers'!$L$3:$N$6,2,FALSE)=0,"Spatial Data Missing",VLOOKUP(J104,'G-3 Multipliers'!$L$3:$N$6,2,FALSE)))</f>
        <v/>
      </c>
      <c r="L104" s="524" t="str">
        <f>IF(J104="","",IF(VLOOKUP(J104,'G-3 Multipliers'!$L$3:$N$6,3,FALSE)=0,"Spatial Data Missing",VLOOKUP(J104,'G-3 Multipliers'!$L$3:$N$6,3,FALSE)))</f>
        <v/>
      </c>
      <c r="M104" s="197"/>
      <c r="N104" s="499" t="str">
        <f>IF(M104="","",IF(VLOOKUP(M104,'G-3 Multipliers'!$S$3:$T$6,2,FALSE)=0,"Spatial Data Missing ⚠",VLOOKUP(M104,'G-3 Multipliers'!$S$3:$T$6,2,FALSE)))</f>
        <v/>
      </c>
      <c r="O104" s="498" t="str">
        <f>IF(OR(D104="",H104=""),"",(INDEX('G-6 Hedgerow Data'!$E$3:$I$15,MATCH(D104,'G-6 Hedgerow Data'!$B$3:$B$15,0),MATCH(H104,'G-6 Hedgerow Data'!$E$2:$I$2,0))))</f>
        <v/>
      </c>
      <c r="P104" s="195"/>
      <c r="Q104" s="195"/>
      <c r="R104" s="507" t="str">
        <f t="shared" si="7"/>
        <v/>
      </c>
      <c r="S104" s="521" t="str">
        <f t="shared" si="8"/>
        <v/>
      </c>
      <c r="T104" s="522" t="str">
        <f t="shared" si="6"/>
        <v/>
      </c>
      <c r="U104" s="537" t="str">
        <f>IF(D104="","",VLOOKUP(D104,'G-6 Hedgerow Data'!$B$3:$AG$15,31,FALSE))</f>
        <v/>
      </c>
      <c r="V104" s="520" t="str">
        <f t="shared" si="9"/>
        <v/>
      </c>
      <c r="W104" s="520" t="str">
        <f t="shared" si="10"/>
        <v/>
      </c>
      <c r="X104" s="524" t="str">
        <f>IF(F104="","",VLOOKUP(U104,'G-3 Multipliers'!$P$3:$Q$6,2,FALSE))</f>
        <v/>
      </c>
      <c r="Y104" s="529" t="str">
        <f t="shared" si="11"/>
        <v/>
      </c>
      <c r="Z104" s="149"/>
      <c r="AA104" s="150"/>
      <c r="AG104" s="31" t="str">
        <f>IFERROR(INDEX('G-6 Hedgerow Data'!$BJ$3:$BJ$15,MATCH(D104,'G-6 Hedgerow Data'!$B$3:$B$15,0)),"")</f>
        <v/>
      </c>
    </row>
    <row r="105" spans="2:33" ht="13.8" x14ac:dyDescent="0.25">
      <c r="B105" s="103">
        <v>94</v>
      </c>
      <c r="C105" s="268"/>
      <c r="D105" s="82"/>
      <c r="E105" s="203"/>
      <c r="F105" s="498" t="str">
        <f>IF(D105="","",VLOOKUP(D105,'G-6 Hedgerow Data'!$B$2:$AG$15,2,FALSE))</f>
        <v/>
      </c>
      <c r="G105" s="524" t="str">
        <f>IF(D105="","",VLOOKUP(D105,'G-6 Hedgerow Data'!$B$2:$AG$15,3,FALSE))</f>
        <v/>
      </c>
      <c r="H105" s="72"/>
      <c r="I105" s="499" t="str">
        <f>IFERROR(IF(AND(F105="V.Low",OR(H105="Good",H105="Moderate")),"Error ▲",VLOOKUP(H105,'G-1 All Habitats'!$Z$2:$AA$9,2,FALSE)),"")</f>
        <v/>
      </c>
      <c r="J105" s="146"/>
      <c r="K105" s="520" t="str">
        <f>IF(J105="","",IF(VLOOKUP(J105,'G-3 Multipliers'!$L$3:$N$6,2,FALSE)=0,"Spatial Data Missing",VLOOKUP(J105,'G-3 Multipliers'!$L$3:$N$6,2,FALSE)))</f>
        <v/>
      </c>
      <c r="L105" s="524" t="str">
        <f>IF(J105="","",IF(VLOOKUP(J105,'G-3 Multipliers'!$L$3:$N$6,3,FALSE)=0,"Spatial Data Missing",VLOOKUP(J105,'G-3 Multipliers'!$L$3:$N$6,3,FALSE)))</f>
        <v/>
      </c>
      <c r="M105" s="197"/>
      <c r="N105" s="499" t="str">
        <f>IF(M105="","",IF(VLOOKUP(M105,'G-3 Multipliers'!$S$3:$T$6,2,FALSE)=0,"Spatial Data Missing ⚠",VLOOKUP(M105,'G-3 Multipliers'!$S$3:$T$6,2,FALSE)))</f>
        <v/>
      </c>
      <c r="O105" s="498" t="str">
        <f>IF(OR(D105="",H105=""),"",(INDEX('G-6 Hedgerow Data'!$E$3:$I$15,MATCH(D105,'G-6 Hedgerow Data'!$B$3:$B$15,0),MATCH(H105,'G-6 Hedgerow Data'!$E$2:$I$2,0))))</f>
        <v/>
      </c>
      <c r="P105" s="195"/>
      <c r="Q105" s="195"/>
      <c r="R105" s="507" t="str">
        <f t="shared" si="7"/>
        <v/>
      </c>
      <c r="S105" s="521" t="str">
        <f t="shared" si="8"/>
        <v/>
      </c>
      <c r="T105" s="522" t="str">
        <f t="shared" si="6"/>
        <v/>
      </c>
      <c r="U105" s="537" t="str">
        <f>IF(D105="","",VLOOKUP(D105,'G-6 Hedgerow Data'!$B$3:$AG$15,31,FALSE))</f>
        <v/>
      </c>
      <c r="V105" s="520" t="str">
        <f t="shared" si="9"/>
        <v/>
      </c>
      <c r="W105" s="520" t="str">
        <f t="shared" si="10"/>
        <v/>
      </c>
      <c r="X105" s="524" t="str">
        <f>IF(F105="","",VLOOKUP(U105,'G-3 Multipliers'!$P$3:$Q$6,2,FALSE))</f>
        <v/>
      </c>
      <c r="Y105" s="529" t="str">
        <f t="shared" si="11"/>
        <v/>
      </c>
      <c r="Z105" s="149"/>
      <c r="AA105" s="150"/>
      <c r="AG105" s="31" t="str">
        <f>IFERROR(INDEX('G-6 Hedgerow Data'!$BJ$3:$BJ$15,MATCH(D105,'G-6 Hedgerow Data'!$B$3:$B$15,0)),"")</f>
        <v/>
      </c>
    </row>
    <row r="106" spans="2:33" ht="13.8" x14ac:dyDescent="0.25">
      <c r="B106" s="103">
        <v>95</v>
      </c>
      <c r="C106" s="268"/>
      <c r="D106" s="82"/>
      <c r="E106" s="203"/>
      <c r="F106" s="498" t="str">
        <f>IF(D106="","",VLOOKUP(D106,'G-6 Hedgerow Data'!$B$2:$AG$15,2,FALSE))</f>
        <v/>
      </c>
      <c r="G106" s="524" t="str">
        <f>IF(D106="","",VLOOKUP(D106,'G-6 Hedgerow Data'!$B$2:$AG$15,3,FALSE))</f>
        <v/>
      </c>
      <c r="H106" s="72"/>
      <c r="I106" s="499" t="str">
        <f>IFERROR(IF(AND(F106="V.Low",OR(H106="Good",H106="Moderate")),"Error ▲",VLOOKUP(H106,'G-1 All Habitats'!$Z$2:$AA$9,2,FALSE)),"")</f>
        <v/>
      </c>
      <c r="J106" s="146"/>
      <c r="K106" s="520" t="str">
        <f>IF(J106="","",IF(VLOOKUP(J106,'G-3 Multipliers'!$L$3:$N$6,2,FALSE)=0,"Spatial Data Missing",VLOOKUP(J106,'G-3 Multipliers'!$L$3:$N$6,2,FALSE)))</f>
        <v/>
      </c>
      <c r="L106" s="524" t="str">
        <f>IF(J106="","",IF(VLOOKUP(J106,'G-3 Multipliers'!$L$3:$N$6,3,FALSE)=0,"Spatial Data Missing",VLOOKUP(J106,'G-3 Multipliers'!$L$3:$N$6,3,FALSE)))</f>
        <v/>
      </c>
      <c r="M106" s="197"/>
      <c r="N106" s="499" t="str">
        <f>IF(M106="","",IF(VLOOKUP(M106,'G-3 Multipliers'!$S$3:$T$6,2,FALSE)=0,"Spatial Data Missing ⚠",VLOOKUP(M106,'G-3 Multipliers'!$S$3:$T$6,2,FALSE)))</f>
        <v/>
      </c>
      <c r="O106" s="498" t="str">
        <f>IF(OR(D106="",H106=""),"",(INDEX('G-6 Hedgerow Data'!$E$3:$I$15,MATCH(D106,'G-6 Hedgerow Data'!$B$3:$B$15,0),MATCH(H106,'G-6 Hedgerow Data'!$E$2:$I$2,0))))</f>
        <v/>
      </c>
      <c r="P106" s="195"/>
      <c r="Q106" s="195"/>
      <c r="R106" s="507" t="str">
        <f t="shared" si="7"/>
        <v/>
      </c>
      <c r="S106" s="521" t="str">
        <f t="shared" si="8"/>
        <v/>
      </c>
      <c r="T106" s="522" t="str">
        <f t="shared" si="6"/>
        <v/>
      </c>
      <c r="U106" s="537" t="str">
        <f>IF(D106="","",VLOOKUP(D106,'G-6 Hedgerow Data'!$B$3:$AG$15,31,FALSE))</f>
        <v/>
      </c>
      <c r="V106" s="520" t="str">
        <f t="shared" si="9"/>
        <v/>
      </c>
      <c r="W106" s="520" t="str">
        <f t="shared" si="10"/>
        <v/>
      </c>
      <c r="X106" s="524" t="str">
        <f>IF(F106="","",VLOOKUP(U106,'G-3 Multipliers'!$P$3:$Q$6,2,FALSE))</f>
        <v/>
      </c>
      <c r="Y106" s="529" t="str">
        <f t="shared" si="11"/>
        <v/>
      </c>
      <c r="Z106" s="149"/>
      <c r="AA106" s="150"/>
      <c r="AG106" s="31" t="str">
        <f>IFERROR(INDEX('G-6 Hedgerow Data'!$BJ$3:$BJ$15,MATCH(D106,'G-6 Hedgerow Data'!$B$3:$B$15,0)),"")</f>
        <v/>
      </c>
    </row>
    <row r="107" spans="2:33" ht="13.8" x14ac:dyDescent="0.25">
      <c r="B107" s="103">
        <v>96</v>
      </c>
      <c r="C107" s="268"/>
      <c r="D107" s="82"/>
      <c r="E107" s="203"/>
      <c r="F107" s="498" t="str">
        <f>IF(D107="","",VLOOKUP(D107,'G-6 Hedgerow Data'!$B$2:$AG$15,2,FALSE))</f>
        <v/>
      </c>
      <c r="G107" s="524" t="str">
        <f>IF(D107="","",VLOOKUP(D107,'G-6 Hedgerow Data'!$B$2:$AG$15,3,FALSE))</f>
        <v/>
      </c>
      <c r="H107" s="72"/>
      <c r="I107" s="499" t="str">
        <f>IFERROR(IF(AND(F107="V.Low",OR(H107="Good",H107="Moderate")),"Error ▲",VLOOKUP(H107,'G-1 All Habitats'!$Z$2:$AA$9,2,FALSE)),"")</f>
        <v/>
      </c>
      <c r="J107" s="146"/>
      <c r="K107" s="520" t="str">
        <f>IF(J107="","",IF(VLOOKUP(J107,'G-3 Multipliers'!$L$3:$N$6,2,FALSE)=0,"Spatial Data Missing",VLOOKUP(J107,'G-3 Multipliers'!$L$3:$N$6,2,FALSE)))</f>
        <v/>
      </c>
      <c r="L107" s="524" t="str">
        <f>IF(J107="","",IF(VLOOKUP(J107,'G-3 Multipliers'!$L$3:$N$6,3,FALSE)=0,"Spatial Data Missing",VLOOKUP(J107,'G-3 Multipliers'!$L$3:$N$6,3,FALSE)))</f>
        <v/>
      </c>
      <c r="M107" s="197"/>
      <c r="N107" s="499" t="str">
        <f>IF(M107="","",IF(VLOOKUP(M107,'G-3 Multipliers'!$S$3:$T$6,2,FALSE)=0,"Spatial Data Missing ⚠",VLOOKUP(M107,'G-3 Multipliers'!$S$3:$T$6,2,FALSE)))</f>
        <v/>
      </c>
      <c r="O107" s="498" t="str">
        <f>IF(OR(D107="",H107=""),"",(INDEX('G-6 Hedgerow Data'!$E$3:$I$15,MATCH(D107,'G-6 Hedgerow Data'!$B$3:$B$15,0),MATCH(H107,'G-6 Hedgerow Data'!$E$2:$I$2,0))))</f>
        <v/>
      </c>
      <c r="P107" s="195"/>
      <c r="Q107" s="195"/>
      <c r="R107" s="507" t="str">
        <f t="shared" si="7"/>
        <v/>
      </c>
      <c r="S107" s="521" t="str">
        <f t="shared" si="8"/>
        <v/>
      </c>
      <c r="T107" s="522" t="str">
        <f t="shared" si="6"/>
        <v/>
      </c>
      <c r="U107" s="537" t="str">
        <f>IF(D107="","",VLOOKUP(D107,'G-6 Hedgerow Data'!$B$3:$AG$15,31,FALSE))</f>
        <v/>
      </c>
      <c r="V107" s="520" t="str">
        <f t="shared" si="9"/>
        <v/>
      </c>
      <c r="W107" s="520" t="str">
        <f t="shared" si="10"/>
        <v/>
      </c>
      <c r="X107" s="524" t="str">
        <f>IF(F107="","",VLOOKUP(U107,'G-3 Multipliers'!$P$3:$Q$6,2,FALSE))</f>
        <v/>
      </c>
      <c r="Y107" s="529" t="str">
        <f t="shared" si="11"/>
        <v/>
      </c>
      <c r="Z107" s="149"/>
      <c r="AA107" s="150"/>
      <c r="AG107" s="31" t="str">
        <f>IFERROR(INDEX('G-6 Hedgerow Data'!$BJ$3:$BJ$15,MATCH(D107,'G-6 Hedgerow Data'!$B$3:$B$15,0)),"")</f>
        <v/>
      </c>
    </row>
    <row r="108" spans="2:33" ht="13.8" x14ac:dyDescent="0.25">
      <c r="B108" s="103">
        <v>97</v>
      </c>
      <c r="C108" s="268"/>
      <c r="D108" s="82"/>
      <c r="E108" s="203"/>
      <c r="F108" s="498" t="str">
        <f>IF(D108="","",VLOOKUP(D108,'G-6 Hedgerow Data'!$B$2:$AG$15,2,FALSE))</f>
        <v/>
      </c>
      <c r="G108" s="524" t="str">
        <f>IF(D108="","",VLOOKUP(D108,'G-6 Hedgerow Data'!$B$2:$AG$15,3,FALSE))</f>
        <v/>
      </c>
      <c r="H108" s="72"/>
      <c r="I108" s="499" t="str">
        <f>IFERROR(IF(AND(F108="V.Low",OR(H108="Good",H108="Moderate")),"Error ▲",VLOOKUP(H108,'G-1 All Habitats'!$Z$2:$AA$9,2,FALSE)),"")</f>
        <v/>
      </c>
      <c r="J108" s="146"/>
      <c r="K108" s="520" t="str">
        <f>IF(J108="","",IF(VLOOKUP(J108,'G-3 Multipliers'!$L$3:$N$6,2,FALSE)=0,"Spatial Data Missing",VLOOKUP(J108,'G-3 Multipliers'!$L$3:$N$6,2,FALSE)))</f>
        <v/>
      </c>
      <c r="L108" s="524" t="str">
        <f>IF(J108="","",IF(VLOOKUP(J108,'G-3 Multipliers'!$L$3:$N$6,3,FALSE)=0,"Spatial Data Missing",VLOOKUP(J108,'G-3 Multipliers'!$L$3:$N$6,3,FALSE)))</f>
        <v/>
      </c>
      <c r="M108" s="197"/>
      <c r="N108" s="499" t="str">
        <f>IF(M108="","",IF(VLOOKUP(M108,'G-3 Multipliers'!$S$3:$T$6,2,FALSE)=0,"Spatial Data Missing ⚠",VLOOKUP(M108,'G-3 Multipliers'!$S$3:$T$6,2,FALSE)))</f>
        <v/>
      </c>
      <c r="O108" s="498" t="str">
        <f>IF(OR(D108="",H108=""),"",(INDEX('G-6 Hedgerow Data'!$E$3:$I$15,MATCH(D108,'G-6 Hedgerow Data'!$B$3:$B$15,0),MATCH(H108,'G-6 Hedgerow Data'!$E$2:$I$2,0))))</f>
        <v/>
      </c>
      <c r="P108" s="195"/>
      <c r="Q108" s="195"/>
      <c r="R108" s="507" t="str">
        <f t="shared" si="7"/>
        <v/>
      </c>
      <c r="S108" s="521" t="str">
        <f t="shared" si="8"/>
        <v/>
      </c>
      <c r="T108" s="522" t="str">
        <f t="shared" si="6"/>
        <v/>
      </c>
      <c r="U108" s="537" t="str">
        <f>IF(D108="","",VLOOKUP(D108,'G-6 Hedgerow Data'!$B$3:$AG$15,31,FALSE))</f>
        <v/>
      </c>
      <c r="V108" s="520" t="str">
        <f t="shared" si="9"/>
        <v/>
      </c>
      <c r="W108" s="520" t="str">
        <f t="shared" si="10"/>
        <v/>
      </c>
      <c r="X108" s="524" t="str">
        <f>IF(F108="","",VLOOKUP(U108,'G-3 Multipliers'!$P$3:$Q$6,2,FALSE))</f>
        <v/>
      </c>
      <c r="Y108" s="529" t="str">
        <f t="shared" si="11"/>
        <v/>
      </c>
      <c r="Z108" s="149"/>
      <c r="AA108" s="150"/>
      <c r="AG108" s="31" t="str">
        <f>IFERROR(INDEX('G-6 Hedgerow Data'!$BJ$3:$BJ$15,MATCH(D108,'G-6 Hedgerow Data'!$B$3:$B$15,0)),"")</f>
        <v/>
      </c>
    </row>
    <row r="109" spans="2:33" ht="13.8" x14ac:dyDescent="0.25">
      <c r="B109" s="103">
        <v>98</v>
      </c>
      <c r="C109" s="268"/>
      <c r="D109" s="82"/>
      <c r="E109" s="203"/>
      <c r="F109" s="498" t="str">
        <f>IF(D109="","",VLOOKUP(D109,'G-6 Hedgerow Data'!$B$2:$AG$15,2,FALSE))</f>
        <v/>
      </c>
      <c r="G109" s="524" t="str">
        <f>IF(D109="","",VLOOKUP(D109,'G-6 Hedgerow Data'!$B$2:$AG$15,3,FALSE))</f>
        <v/>
      </c>
      <c r="H109" s="72"/>
      <c r="I109" s="499" t="str">
        <f>IFERROR(IF(AND(F109="V.Low",OR(H109="Good",H109="Moderate")),"Error ▲",VLOOKUP(H109,'G-1 All Habitats'!$Z$2:$AA$9,2,FALSE)),"")</f>
        <v/>
      </c>
      <c r="J109" s="146"/>
      <c r="K109" s="520" t="str">
        <f>IF(J109="","",IF(VLOOKUP(J109,'G-3 Multipliers'!$L$3:$N$6,2,FALSE)=0,"Spatial Data Missing",VLOOKUP(J109,'G-3 Multipliers'!$L$3:$N$6,2,FALSE)))</f>
        <v/>
      </c>
      <c r="L109" s="524" t="str">
        <f>IF(J109="","",IF(VLOOKUP(J109,'G-3 Multipliers'!$L$3:$N$6,3,FALSE)=0,"Spatial Data Missing",VLOOKUP(J109,'G-3 Multipliers'!$L$3:$N$6,3,FALSE)))</f>
        <v/>
      </c>
      <c r="M109" s="197"/>
      <c r="N109" s="499" t="str">
        <f>IF(M109="","",IF(VLOOKUP(M109,'G-3 Multipliers'!$S$3:$T$6,2,FALSE)=0,"Spatial Data Missing ⚠",VLOOKUP(M109,'G-3 Multipliers'!$S$3:$T$6,2,FALSE)))</f>
        <v/>
      </c>
      <c r="O109" s="498" t="str">
        <f>IF(OR(D109="",H109=""),"",(INDEX('G-6 Hedgerow Data'!$E$3:$I$15,MATCH(D109,'G-6 Hedgerow Data'!$B$3:$B$15,0),MATCH(H109,'G-6 Hedgerow Data'!$E$2:$I$2,0))))</f>
        <v/>
      </c>
      <c r="P109" s="195"/>
      <c r="Q109" s="195"/>
      <c r="R109" s="507" t="str">
        <f t="shared" si="7"/>
        <v/>
      </c>
      <c r="S109" s="521" t="str">
        <f t="shared" si="8"/>
        <v/>
      </c>
      <c r="T109" s="522" t="str">
        <f t="shared" si="6"/>
        <v/>
      </c>
      <c r="U109" s="537" t="str">
        <f>IF(D109="","",VLOOKUP(D109,'G-6 Hedgerow Data'!$B$3:$AG$15,31,FALSE))</f>
        <v/>
      </c>
      <c r="V109" s="520" t="str">
        <f t="shared" si="9"/>
        <v/>
      </c>
      <c r="W109" s="520" t="str">
        <f t="shared" si="10"/>
        <v/>
      </c>
      <c r="X109" s="524" t="str">
        <f>IF(F109="","",VLOOKUP(U109,'G-3 Multipliers'!$P$3:$Q$6,2,FALSE))</f>
        <v/>
      </c>
      <c r="Y109" s="529" t="str">
        <f t="shared" si="11"/>
        <v/>
      </c>
      <c r="Z109" s="149"/>
      <c r="AA109" s="150"/>
      <c r="AG109" s="31" t="str">
        <f>IFERROR(INDEX('G-6 Hedgerow Data'!$BJ$3:$BJ$15,MATCH(D109,'G-6 Hedgerow Data'!$B$3:$B$15,0)),"")</f>
        <v/>
      </c>
    </row>
    <row r="110" spans="2:33" ht="13.8" x14ac:dyDescent="0.25">
      <c r="B110" s="103">
        <v>99</v>
      </c>
      <c r="C110" s="268"/>
      <c r="D110" s="82"/>
      <c r="E110" s="203"/>
      <c r="F110" s="498" t="str">
        <f>IF(D110="","",VLOOKUP(D110,'G-6 Hedgerow Data'!$B$2:$AG$15,2,FALSE))</f>
        <v/>
      </c>
      <c r="G110" s="524" t="str">
        <f>IF(D110="","",VLOOKUP(D110,'G-6 Hedgerow Data'!$B$2:$AG$15,3,FALSE))</f>
        <v/>
      </c>
      <c r="H110" s="72"/>
      <c r="I110" s="499" t="str">
        <f>IFERROR(IF(AND(F110="V.Low",OR(H110="Good",H110="Moderate")),"Error ▲",VLOOKUP(H110,'G-1 All Habitats'!$Z$2:$AA$9,2,FALSE)),"")</f>
        <v/>
      </c>
      <c r="J110" s="146"/>
      <c r="K110" s="520" t="str">
        <f>IF(J110="","",IF(VLOOKUP(J110,'G-3 Multipliers'!$L$3:$N$6,2,FALSE)=0,"Spatial Data Missing",VLOOKUP(J110,'G-3 Multipliers'!$L$3:$N$6,2,FALSE)))</f>
        <v/>
      </c>
      <c r="L110" s="524" t="str">
        <f>IF(J110="","",IF(VLOOKUP(J110,'G-3 Multipliers'!$L$3:$N$6,3,FALSE)=0,"Spatial Data Missing",VLOOKUP(J110,'G-3 Multipliers'!$L$3:$N$6,3,FALSE)))</f>
        <v/>
      </c>
      <c r="M110" s="197"/>
      <c r="N110" s="499" t="str">
        <f>IF(M110="","",IF(VLOOKUP(M110,'G-3 Multipliers'!$S$3:$T$6,2,FALSE)=0,"Spatial Data Missing ⚠",VLOOKUP(M110,'G-3 Multipliers'!$S$3:$T$6,2,FALSE)))</f>
        <v/>
      </c>
      <c r="O110" s="498" t="str">
        <f>IF(OR(D110="",H110=""),"",(INDEX('G-6 Hedgerow Data'!$E$3:$I$15,MATCH(D110,'G-6 Hedgerow Data'!$B$3:$B$15,0),MATCH(H110,'G-6 Hedgerow Data'!$E$2:$I$2,0))))</f>
        <v/>
      </c>
      <c r="P110" s="195"/>
      <c r="Q110" s="195"/>
      <c r="R110" s="507" t="str">
        <f t="shared" si="7"/>
        <v/>
      </c>
      <c r="S110" s="521" t="str">
        <f t="shared" si="8"/>
        <v/>
      </c>
      <c r="T110" s="522" t="str">
        <f t="shared" si="6"/>
        <v/>
      </c>
      <c r="U110" s="537" t="str">
        <f>IF(D110="","",VLOOKUP(D110,'G-6 Hedgerow Data'!$B$3:$AG$15,31,FALSE))</f>
        <v/>
      </c>
      <c r="V110" s="520" t="str">
        <f t="shared" si="9"/>
        <v/>
      </c>
      <c r="W110" s="520" t="str">
        <f t="shared" si="10"/>
        <v/>
      </c>
      <c r="X110" s="524" t="str">
        <f>IF(F110="","",VLOOKUP(U110,'G-3 Multipliers'!$P$3:$Q$6,2,FALSE))</f>
        <v/>
      </c>
      <c r="Y110" s="529" t="str">
        <f t="shared" si="11"/>
        <v/>
      </c>
      <c r="Z110" s="149"/>
      <c r="AA110" s="150"/>
      <c r="AG110" s="31" t="str">
        <f>IFERROR(INDEX('G-6 Hedgerow Data'!$BJ$3:$BJ$15,MATCH(D110,'G-6 Hedgerow Data'!$B$3:$B$15,0)),"")</f>
        <v/>
      </c>
    </row>
    <row r="111" spans="2:33" ht="13.8" x14ac:dyDescent="0.25">
      <c r="B111" s="103">
        <v>100</v>
      </c>
      <c r="C111" s="268"/>
      <c r="D111" s="82"/>
      <c r="E111" s="203"/>
      <c r="F111" s="498" t="str">
        <f>IF(D111="","",VLOOKUP(D111,'G-6 Hedgerow Data'!$B$2:$AG$15,2,FALSE))</f>
        <v/>
      </c>
      <c r="G111" s="524" t="str">
        <f>IF(D111="","",VLOOKUP(D111,'G-6 Hedgerow Data'!$B$2:$AG$15,3,FALSE))</f>
        <v/>
      </c>
      <c r="H111" s="72"/>
      <c r="I111" s="499" t="str">
        <f>IFERROR(IF(AND(F111="V.Low",OR(H111="Good",H111="Moderate")),"Error ▲",VLOOKUP(H111,'G-1 All Habitats'!$Z$2:$AA$9,2,FALSE)),"")</f>
        <v/>
      </c>
      <c r="J111" s="146"/>
      <c r="K111" s="520" t="str">
        <f>IF(J111="","",IF(VLOOKUP(J111,'G-3 Multipliers'!$L$3:$N$6,2,FALSE)=0,"Spatial Data Missing",VLOOKUP(J111,'G-3 Multipliers'!$L$3:$N$6,2,FALSE)))</f>
        <v/>
      </c>
      <c r="L111" s="524" t="str">
        <f>IF(J111="","",IF(VLOOKUP(J111,'G-3 Multipliers'!$L$3:$N$6,3,FALSE)=0,"Spatial Data Missing",VLOOKUP(J111,'G-3 Multipliers'!$L$3:$N$6,3,FALSE)))</f>
        <v/>
      </c>
      <c r="M111" s="197"/>
      <c r="N111" s="499" t="str">
        <f>IF(M111="","",IF(VLOOKUP(M111,'G-3 Multipliers'!$S$3:$T$6,2,FALSE)=0,"Spatial Data Missing ⚠",VLOOKUP(M111,'G-3 Multipliers'!$S$3:$T$6,2,FALSE)))</f>
        <v/>
      </c>
      <c r="O111" s="498" t="str">
        <f>IF(OR(D111="",H111=""),"",(INDEX('G-6 Hedgerow Data'!$E$3:$I$15,MATCH(D111,'G-6 Hedgerow Data'!$B$3:$B$15,0),MATCH(H111,'G-6 Hedgerow Data'!$E$2:$I$2,0))))</f>
        <v/>
      </c>
      <c r="P111" s="195"/>
      <c r="Q111" s="195"/>
      <c r="R111" s="507" t="str">
        <f t="shared" si="7"/>
        <v/>
      </c>
      <c r="S111" s="521" t="str">
        <f t="shared" si="8"/>
        <v/>
      </c>
      <c r="T111" s="522" t="str">
        <f t="shared" si="6"/>
        <v/>
      </c>
      <c r="U111" s="537" t="str">
        <f>IF(D111="","",VLOOKUP(D111,'G-6 Hedgerow Data'!$B$3:$AG$15,31,FALSE))</f>
        <v/>
      </c>
      <c r="V111" s="520" t="str">
        <f t="shared" si="9"/>
        <v/>
      </c>
      <c r="W111" s="520" t="str">
        <f t="shared" si="10"/>
        <v/>
      </c>
      <c r="X111" s="524" t="str">
        <f>IF(F111="","",VLOOKUP(U111,'G-3 Multipliers'!$P$3:$Q$6,2,FALSE))</f>
        <v/>
      </c>
      <c r="Y111" s="529" t="str">
        <f t="shared" si="11"/>
        <v/>
      </c>
      <c r="Z111" s="149"/>
      <c r="AA111" s="150"/>
      <c r="AG111" s="31" t="str">
        <f>IFERROR(INDEX('G-6 Hedgerow Data'!$BJ$3:$BJ$15,MATCH(D111,'G-6 Hedgerow Data'!$B$3:$B$15,0)),"")</f>
        <v/>
      </c>
    </row>
    <row r="112" spans="2:33" ht="13.8" x14ac:dyDescent="0.25">
      <c r="B112" s="103">
        <v>101</v>
      </c>
      <c r="C112" s="268"/>
      <c r="D112" s="82"/>
      <c r="E112" s="203"/>
      <c r="F112" s="498" t="str">
        <f>IF(D112="","",VLOOKUP(D112,'G-6 Hedgerow Data'!$B$2:$AG$15,2,FALSE))</f>
        <v/>
      </c>
      <c r="G112" s="524" t="str">
        <f>IF(D112="","",VLOOKUP(D112,'G-6 Hedgerow Data'!$B$2:$AG$15,3,FALSE))</f>
        <v/>
      </c>
      <c r="H112" s="72"/>
      <c r="I112" s="499" t="str">
        <f>IFERROR(IF(AND(F112="V.Low",OR(H112="Good",H112="Moderate")),"Error ▲",VLOOKUP(H112,'G-1 All Habitats'!$Z$2:$AA$9,2,FALSE)),"")</f>
        <v/>
      </c>
      <c r="J112" s="146"/>
      <c r="K112" s="520" t="str">
        <f>IF(J112="","",IF(VLOOKUP(J112,'G-3 Multipliers'!$L$3:$N$6,2,FALSE)=0,"Spatial Data Missing",VLOOKUP(J112,'G-3 Multipliers'!$L$3:$N$6,2,FALSE)))</f>
        <v/>
      </c>
      <c r="L112" s="524" t="str">
        <f>IF(J112="","",IF(VLOOKUP(J112,'G-3 Multipliers'!$L$3:$N$6,3,FALSE)=0,"Spatial Data Missing",VLOOKUP(J112,'G-3 Multipliers'!$L$3:$N$6,3,FALSE)))</f>
        <v/>
      </c>
      <c r="M112" s="197"/>
      <c r="N112" s="499" t="str">
        <f>IF(M112="","",IF(VLOOKUP(M112,'G-3 Multipliers'!$S$3:$T$6,2,FALSE)=0,"Spatial Data Missing ⚠",VLOOKUP(M112,'G-3 Multipliers'!$S$3:$T$6,2,FALSE)))</f>
        <v/>
      </c>
      <c r="O112" s="498" t="str">
        <f>IF(OR(D112="",H112=""),"",(INDEX('G-6 Hedgerow Data'!$E$3:$I$15,MATCH(D112,'G-6 Hedgerow Data'!$B$3:$B$15,0),MATCH(H112,'G-6 Hedgerow Data'!$E$2:$I$2,0))))</f>
        <v/>
      </c>
      <c r="P112" s="195"/>
      <c r="Q112" s="195"/>
      <c r="R112" s="507" t="str">
        <f t="shared" si="7"/>
        <v/>
      </c>
      <c r="S112" s="521" t="str">
        <f t="shared" si="8"/>
        <v/>
      </c>
      <c r="T112" s="522" t="str">
        <f t="shared" si="6"/>
        <v/>
      </c>
      <c r="U112" s="537" t="str">
        <f>IF(D112="","",VLOOKUP(D112,'G-6 Hedgerow Data'!$B$3:$AG$15,31,FALSE))</f>
        <v/>
      </c>
      <c r="V112" s="520" t="str">
        <f t="shared" si="9"/>
        <v/>
      </c>
      <c r="W112" s="520" t="str">
        <f t="shared" si="10"/>
        <v/>
      </c>
      <c r="X112" s="524" t="str">
        <f>IF(F112="","",VLOOKUP(U112,'G-3 Multipliers'!$P$3:$Q$6,2,FALSE))</f>
        <v/>
      </c>
      <c r="Y112" s="529" t="str">
        <f t="shared" si="11"/>
        <v/>
      </c>
      <c r="Z112" s="149"/>
      <c r="AA112" s="150"/>
      <c r="AG112" s="31" t="str">
        <f>IFERROR(INDEX('G-6 Hedgerow Data'!$BJ$3:$BJ$15,MATCH(D112,'G-6 Hedgerow Data'!$B$3:$B$15,0)),"")</f>
        <v/>
      </c>
    </row>
    <row r="113" spans="2:33" ht="13.8" x14ac:dyDescent="0.25">
      <c r="B113" s="103">
        <v>102</v>
      </c>
      <c r="C113" s="268"/>
      <c r="D113" s="82"/>
      <c r="E113" s="203"/>
      <c r="F113" s="498" t="str">
        <f>IF(D113="","",VLOOKUP(D113,'G-6 Hedgerow Data'!$B$2:$AG$15,2,FALSE))</f>
        <v/>
      </c>
      <c r="G113" s="524" t="str">
        <f>IF(D113="","",VLOOKUP(D113,'G-6 Hedgerow Data'!$B$2:$AG$15,3,FALSE))</f>
        <v/>
      </c>
      <c r="H113" s="72"/>
      <c r="I113" s="499" t="str">
        <f>IFERROR(IF(AND(F113="V.Low",OR(H113="Good",H113="Moderate")),"Error ▲",VLOOKUP(H113,'G-1 All Habitats'!$Z$2:$AA$9,2,FALSE)),"")</f>
        <v/>
      </c>
      <c r="J113" s="146"/>
      <c r="K113" s="520" t="str">
        <f>IF(J113="","",IF(VLOOKUP(J113,'G-3 Multipliers'!$L$3:$N$6,2,FALSE)=0,"Spatial Data Missing",VLOOKUP(J113,'G-3 Multipliers'!$L$3:$N$6,2,FALSE)))</f>
        <v/>
      </c>
      <c r="L113" s="524" t="str">
        <f>IF(J113="","",IF(VLOOKUP(J113,'G-3 Multipliers'!$L$3:$N$6,3,FALSE)=0,"Spatial Data Missing",VLOOKUP(J113,'G-3 Multipliers'!$L$3:$N$6,3,FALSE)))</f>
        <v/>
      </c>
      <c r="M113" s="197"/>
      <c r="N113" s="499" t="str">
        <f>IF(M113="","",IF(VLOOKUP(M113,'G-3 Multipliers'!$S$3:$T$6,2,FALSE)=0,"Spatial Data Missing ⚠",VLOOKUP(M113,'G-3 Multipliers'!$S$3:$T$6,2,FALSE)))</f>
        <v/>
      </c>
      <c r="O113" s="498" t="str">
        <f>IF(OR(D113="",H113=""),"",(INDEX('G-6 Hedgerow Data'!$E$3:$I$15,MATCH(D113,'G-6 Hedgerow Data'!$B$3:$B$15,0),MATCH(H113,'G-6 Hedgerow Data'!$E$2:$I$2,0))))</f>
        <v/>
      </c>
      <c r="P113" s="195"/>
      <c r="Q113" s="195"/>
      <c r="R113" s="507" t="str">
        <f t="shared" si="7"/>
        <v/>
      </c>
      <c r="S113" s="521" t="str">
        <f t="shared" si="8"/>
        <v/>
      </c>
      <c r="T113" s="522" t="str">
        <f t="shared" si="6"/>
        <v/>
      </c>
      <c r="U113" s="537" t="str">
        <f>IF(D113="","",VLOOKUP(D113,'G-6 Hedgerow Data'!$B$3:$AG$15,31,FALSE))</f>
        <v/>
      </c>
      <c r="V113" s="520" t="str">
        <f t="shared" si="9"/>
        <v/>
      </c>
      <c r="W113" s="520" t="str">
        <f t="shared" si="10"/>
        <v/>
      </c>
      <c r="X113" s="524" t="str">
        <f>IF(F113="","",VLOOKUP(U113,'G-3 Multipliers'!$P$3:$Q$6,2,FALSE))</f>
        <v/>
      </c>
      <c r="Y113" s="529" t="str">
        <f t="shared" si="11"/>
        <v/>
      </c>
      <c r="Z113" s="149"/>
      <c r="AA113" s="150"/>
      <c r="AG113" s="31" t="str">
        <f>IFERROR(INDEX('G-6 Hedgerow Data'!$BJ$3:$BJ$15,MATCH(D113,'G-6 Hedgerow Data'!$B$3:$B$15,0)),"")</f>
        <v/>
      </c>
    </row>
    <row r="114" spans="2:33" ht="13.8" x14ac:dyDescent="0.25">
      <c r="B114" s="103">
        <v>103</v>
      </c>
      <c r="C114" s="268"/>
      <c r="D114" s="82"/>
      <c r="E114" s="203"/>
      <c r="F114" s="498" t="str">
        <f>IF(D114="","",VLOOKUP(D114,'G-6 Hedgerow Data'!$B$2:$AG$15,2,FALSE))</f>
        <v/>
      </c>
      <c r="G114" s="524" t="str">
        <f>IF(D114="","",VLOOKUP(D114,'G-6 Hedgerow Data'!$B$2:$AG$15,3,FALSE))</f>
        <v/>
      </c>
      <c r="H114" s="72"/>
      <c r="I114" s="499" t="str">
        <f>IFERROR(IF(AND(F114="V.Low",OR(H114="Good",H114="Moderate")),"Error ▲",VLOOKUP(H114,'G-1 All Habitats'!$Z$2:$AA$9,2,FALSE)),"")</f>
        <v/>
      </c>
      <c r="J114" s="146"/>
      <c r="K114" s="520" t="str">
        <f>IF(J114="","",IF(VLOOKUP(J114,'G-3 Multipliers'!$L$3:$N$6,2,FALSE)=0,"Spatial Data Missing",VLOOKUP(J114,'G-3 Multipliers'!$L$3:$N$6,2,FALSE)))</f>
        <v/>
      </c>
      <c r="L114" s="524" t="str">
        <f>IF(J114="","",IF(VLOOKUP(J114,'G-3 Multipliers'!$L$3:$N$6,3,FALSE)=0,"Spatial Data Missing",VLOOKUP(J114,'G-3 Multipliers'!$L$3:$N$6,3,FALSE)))</f>
        <v/>
      </c>
      <c r="M114" s="197"/>
      <c r="N114" s="499" t="str">
        <f>IF(M114="","",IF(VLOOKUP(M114,'G-3 Multipliers'!$S$3:$T$6,2,FALSE)=0,"Spatial Data Missing ⚠",VLOOKUP(M114,'G-3 Multipliers'!$S$3:$T$6,2,FALSE)))</f>
        <v/>
      </c>
      <c r="O114" s="498" t="str">
        <f>IF(OR(D114="",H114=""),"",(INDEX('G-6 Hedgerow Data'!$E$3:$I$15,MATCH(D114,'G-6 Hedgerow Data'!$B$3:$B$15,0),MATCH(H114,'G-6 Hedgerow Data'!$E$2:$I$2,0))))</f>
        <v/>
      </c>
      <c r="P114" s="195"/>
      <c r="Q114" s="195"/>
      <c r="R114" s="507" t="str">
        <f t="shared" si="7"/>
        <v/>
      </c>
      <c r="S114" s="521" t="str">
        <f t="shared" si="8"/>
        <v/>
      </c>
      <c r="T114" s="522" t="str">
        <f t="shared" si="6"/>
        <v/>
      </c>
      <c r="U114" s="537" t="str">
        <f>IF(D114="","",VLOOKUP(D114,'G-6 Hedgerow Data'!$B$3:$AG$15,31,FALSE))</f>
        <v/>
      </c>
      <c r="V114" s="520" t="str">
        <f t="shared" si="9"/>
        <v/>
      </c>
      <c r="W114" s="520" t="str">
        <f t="shared" si="10"/>
        <v/>
      </c>
      <c r="X114" s="524" t="str">
        <f>IF(F114="","",VLOOKUP(U114,'G-3 Multipliers'!$P$3:$Q$6,2,FALSE))</f>
        <v/>
      </c>
      <c r="Y114" s="529" t="str">
        <f t="shared" si="11"/>
        <v/>
      </c>
      <c r="Z114" s="149"/>
      <c r="AA114" s="150"/>
      <c r="AG114" s="31" t="str">
        <f>IFERROR(INDEX('G-6 Hedgerow Data'!$BJ$3:$BJ$15,MATCH(D114,'G-6 Hedgerow Data'!$B$3:$B$15,0)),"")</f>
        <v/>
      </c>
    </row>
    <row r="115" spans="2:33" ht="13.8" x14ac:dyDescent="0.25">
      <c r="B115" s="103">
        <v>104</v>
      </c>
      <c r="C115" s="268"/>
      <c r="D115" s="82"/>
      <c r="E115" s="203"/>
      <c r="F115" s="498" t="str">
        <f>IF(D115="","",VLOOKUP(D115,'G-6 Hedgerow Data'!$B$2:$AG$15,2,FALSE))</f>
        <v/>
      </c>
      <c r="G115" s="524" t="str">
        <f>IF(D115="","",VLOOKUP(D115,'G-6 Hedgerow Data'!$B$2:$AG$15,3,FALSE))</f>
        <v/>
      </c>
      <c r="H115" s="72"/>
      <c r="I115" s="499" t="str">
        <f>IFERROR(IF(AND(F115="V.Low",OR(H115="Good",H115="Moderate")),"Error ▲",VLOOKUP(H115,'G-1 All Habitats'!$Z$2:$AA$9,2,FALSE)),"")</f>
        <v/>
      </c>
      <c r="J115" s="146"/>
      <c r="K115" s="520" t="str">
        <f>IF(J115="","",IF(VLOOKUP(J115,'G-3 Multipliers'!$L$3:$N$6,2,FALSE)=0,"Spatial Data Missing",VLOOKUP(J115,'G-3 Multipliers'!$L$3:$N$6,2,FALSE)))</f>
        <v/>
      </c>
      <c r="L115" s="524" t="str">
        <f>IF(J115="","",IF(VLOOKUP(J115,'G-3 Multipliers'!$L$3:$N$6,3,FALSE)=0,"Spatial Data Missing",VLOOKUP(J115,'G-3 Multipliers'!$L$3:$N$6,3,FALSE)))</f>
        <v/>
      </c>
      <c r="M115" s="197"/>
      <c r="N115" s="499" t="str">
        <f>IF(M115="","",IF(VLOOKUP(M115,'G-3 Multipliers'!$S$3:$T$6,2,FALSE)=0,"Spatial Data Missing ⚠",VLOOKUP(M115,'G-3 Multipliers'!$S$3:$T$6,2,FALSE)))</f>
        <v/>
      </c>
      <c r="O115" s="498" t="str">
        <f>IF(OR(D115="",H115=""),"",(INDEX('G-6 Hedgerow Data'!$E$3:$I$15,MATCH(D115,'G-6 Hedgerow Data'!$B$3:$B$15,0),MATCH(H115,'G-6 Hedgerow Data'!$E$2:$I$2,0))))</f>
        <v/>
      </c>
      <c r="P115" s="195"/>
      <c r="Q115" s="195"/>
      <c r="R115" s="507" t="str">
        <f t="shared" si="7"/>
        <v/>
      </c>
      <c r="S115" s="521" t="str">
        <f t="shared" si="8"/>
        <v/>
      </c>
      <c r="T115" s="522" t="str">
        <f t="shared" si="6"/>
        <v/>
      </c>
      <c r="U115" s="537" t="str">
        <f>IF(D115="","",VLOOKUP(D115,'G-6 Hedgerow Data'!$B$3:$AG$15,31,FALSE))</f>
        <v/>
      </c>
      <c r="V115" s="520" t="str">
        <f t="shared" si="9"/>
        <v/>
      </c>
      <c r="W115" s="520" t="str">
        <f t="shared" si="10"/>
        <v/>
      </c>
      <c r="X115" s="524" t="str">
        <f>IF(F115="","",VLOOKUP(U115,'G-3 Multipliers'!$P$3:$Q$6,2,FALSE))</f>
        <v/>
      </c>
      <c r="Y115" s="529" t="str">
        <f t="shared" si="11"/>
        <v/>
      </c>
      <c r="Z115" s="149"/>
      <c r="AA115" s="150"/>
      <c r="AG115" s="31" t="str">
        <f>IFERROR(INDEX('G-6 Hedgerow Data'!$BJ$3:$BJ$15,MATCH(D115,'G-6 Hedgerow Data'!$B$3:$B$15,0)),"")</f>
        <v/>
      </c>
    </row>
    <row r="116" spans="2:33" ht="13.8" x14ac:dyDescent="0.25">
      <c r="B116" s="103">
        <v>105</v>
      </c>
      <c r="C116" s="268"/>
      <c r="D116" s="82"/>
      <c r="E116" s="203"/>
      <c r="F116" s="498" t="str">
        <f>IF(D116="","",VLOOKUP(D116,'G-6 Hedgerow Data'!$B$2:$AG$15,2,FALSE))</f>
        <v/>
      </c>
      <c r="G116" s="524" t="str">
        <f>IF(D116="","",VLOOKUP(D116,'G-6 Hedgerow Data'!$B$2:$AG$15,3,FALSE))</f>
        <v/>
      </c>
      <c r="H116" s="72"/>
      <c r="I116" s="499" t="str">
        <f>IFERROR(IF(AND(F116="V.Low",OR(H116="Good",H116="Moderate")),"Error ▲",VLOOKUP(H116,'G-1 All Habitats'!$Z$2:$AA$9,2,FALSE)),"")</f>
        <v/>
      </c>
      <c r="J116" s="146"/>
      <c r="K116" s="520" t="str">
        <f>IF(J116="","",IF(VLOOKUP(J116,'G-3 Multipliers'!$L$3:$N$6,2,FALSE)=0,"Spatial Data Missing",VLOOKUP(J116,'G-3 Multipliers'!$L$3:$N$6,2,FALSE)))</f>
        <v/>
      </c>
      <c r="L116" s="524" t="str">
        <f>IF(J116="","",IF(VLOOKUP(J116,'G-3 Multipliers'!$L$3:$N$6,3,FALSE)=0,"Spatial Data Missing",VLOOKUP(J116,'G-3 Multipliers'!$L$3:$N$6,3,FALSE)))</f>
        <v/>
      </c>
      <c r="M116" s="197"/>
      <c r="N116" s="499" t="str">
        <f>IF(M116="","",IF(VLOOKUP(M116,'G-3 Multipliers'!$S$3:$T$6,2,FALSE)=0,"Spatial Data Missing ⚠",VLOOKUP(M116,'G-3 Multipliers'!$S$3:$T$6,2,FALSE)))</f>
        <v/>
      </c>
      <c r="O116" s="498" t="str">
        <f>IF(OR(D116="",H116=""),"",(INDEX('G-6 Hedgerow Data'!$E$3:$I$15,MATCH(D116,'G-6 Hedgerow Data'!$B$3:$B$15,0),MATCH(H116,'G-6 Hedgerow Data'!$E$2:$I$2,0))))</f>
        <v/>
      </c>
      <c r="P116" s="195"/>
      <c r="Q116" s="195"/>
      <c r="R116" s="507" t="str">
        <f t="shared" si="7"/>
        <v/>
      </c>
      <c r="S116" s="521" t="str">
        <f t="shared" si="8"/>
        <v/>
      </c>
      <c r="T116" s="522" t="str">
        <f t="shared" si="6"/>
        <v/>
      </c>
      <c r="U116" s="537" t="str">
        <f>IF(D116="","",VLOOKUP(D116,'G-6 Hedgerow Data'!$B$3:$AG$15,31,FALSE))</f>
        <v/>
      </c>
      <c r="V116" s="520" t="str">
        <f t="shared" si="9"/>
        <v/>
      </c>
      <c r="W116" s="520" t="str">
        <f t="shared" si="10"/>
        <v/>
      </c>
      <c r="X116" s="524" t="str">
        <f>IF(F116="","",VLOOKUP(U116,'G-3 Multipliers'!$P$3:$Q$6,2,FALSE))</f>
        <v/>
      </c>
      <c r="Y116" s="529" t="str">
        <f t="shared" si="11"/>
        <v/>
      </c>
      <c r="Z116" s="149"/>
      <c r="AA116" s="150"/>
      <c r="AG116" s="31" t="str">
        <f>IFERROR(INDEX('G-6 Hedgerow Data'!$BJ$3:$BJ$15,MATCH(D116,'G-6 Hedgerow Data'!$B$3:$B$15,0)),"")</f>
        <v/>
      </c>
    </row>
    <row r="117" spans="2:33" ht="13.8" x14ac:dyDescent="0.25">
      <c r="B117" s="103">
        <v>106</v>
      </c>
      <c r="C117" s="268"/>
      <c r="D117" s="82"/>
      <c r="E117" s="203"/>
      <c r="F117" s="498" t="str">
        <f>IF(D117="","",VLOOKUP(D117,'G-6 Hedgerow Data'!$B$2:$AG$15,2,FALSE))</f>
        <v/>
      </c>
      <c r="G117" s="524" t="str">
        <f>IF(D117="","",VLOOKUP(D117,'G-6 Hedgerow Data'!$B$2:$AG$15,3,FALSE))</f>
        <v/>
      </c>
      <c r="H117" s="72"/>
      <c r="I117" s="499" t="str">
        <f>IFERROR(IF(AND(F117="V.Low",OR(H117="Good",H117="Moderate")),"Error ▲",VLOOKUP(H117,'G-1 All Habitats'!$Z$2:$AA$9,2,FALSE)),"")</f>
        <v/>
      </c>
      <c r="J117" s="146"/>
      <c r="K117" s="520" t="str">
        <f>IF(J117="","",IF(VLOOKUP(J117,'G-3 Multipliers'!$L$3:$N$6,2,FALSE)=0,"Spatial Data Missing",VLOOKUP(J117,'G-3 Multipliers'!$L$3:$N$6,2,FALSE)))</f>
        <v/>
      </c>
      <c r="L117" s="524" t="str">
        <f>IF(J117="","",IF(VLOOKUP(J117,'G-3 Multipliers'!$L$3:$N$6,3,FALSE)=0,"Spatial Data Missing",VLOOKUP(J117,'G-3 Multipliers'!$L$3:$N$6,3,FALSE)))</f>
        <v/>
      </c>
      <c r="M117" s="197"/>
      <c r="N117" s="499" t="str">
        <f>IF(M117="","",IF(VLOOKUP(M117,'G-3 Multipliers'!$S$3:$T$6,2,FALSE)=0,"Spatial Data Missing ⚠",VLOOKUP(M117,'G-3 Multipliers'!$S$3:$T$6,2,FALSE)))</f>
        <v/>
      </c>
      <c r="O117" s="498" t="str">
        <f>IF(OR(D117="",H117=""),"",(INDEX('G-6 Hedgerow Data'!$E$3:$I$15,MATCH(D117,'G-6 Hedgerow Data'!$B$3:$B$15,0),MATCH(H117,'G-6 Hedgerow Data'!$E$2:$I$2,0))))</f>
        <v/>
      </c>
      <c r="P117" s="195"/>
      <c r="Q117" s="195"/>
      <c r="R117" s="507" t="str">
        <f t="shared" si="7"/>
        <v/>
      </c>
      <c r="S117" s="521" t="str">
        <f t="shared" si="8"/>
        <v/>
      </c>
      <c r="T117" s="522" t="str">
        <f t="shared" si="6"/>
        <v/>
      </c>
      <c r="U117" s="537" t="str">
        <f>IF(D117="","",VLOOKUP(D117,'G-6 Hedgerow Data'!$B$3:$AG$15,31,FALSE))</f>
        <v/>
      </c>
      <c r="V117" s="520" t="str">
        <f t="shared" si="9"/>
        <v/>
      </c>
      <c r="W117" s="520" t="str">
        <f t="shared" si="10"/>
        <v/>
      </c>
      <c r="X117" s="524" t="str">
        <f>IF(F117="","",VLOOKUP(U117,'G-3 Multipliers'!$P$3:$Q$6,2,FALSE))</f>
        <v/>
      </c>
      <c r="Y117" s="529" t="str">
        <f t="shared" si="11"/>
        <v/>
      </c>
      <c r="Z117" s="149"/>
      <c r="AA117" s="150"/>
      <c r="AG117" s="31" t="str">
        <f>IFERROR(INDEX('G-6 Hedgerow Data'!$BJ$3:$BJ$15,MATCH(D117,'G-6 Hedgerow Data'!$B$3:$B$15,0)),"")</f>
        <v/>
      </c>
    </row>
    <row r="118" spans="2:33" ht="13.8" x14ac:dyDescent="0.25">
      <c r="B118" s="103">
        <v>107</v>
      </c>
      <c r="C118" s="268"/>
      <c r="D118" s="82"/>
      <c r="E118" s="203"/>
      <c r="F118" s="498" t="str">
        <f>IF(D118="","",VLOOKUP(D118,'G-6 Hedgerow Data'!$B$2:$AG$15,2,FALSE))</f>
        <v/>
      </c>
      <c r="G118" s="524" t="str">
        <f>IF(D118="","",VLOOKUP(D118,'G-6 Hedgerow Data'!$B$2:$AG$15,3,FALSE))</f>
        <v/>
      </c>
      <c r="H118" s="72"/>
      <c r="I118" s="499" t="str">
        <f>IFERROR(IF(AND(F118="V.Low",OR(H118="Good",H118="Moderate")),"Error ▲",VLOOKUP(H118,'G-1 All Habitats'!$Z$2:$AA$9,2,FALSE)),"")</f>
        <v/>
      </c>
      <c r="J118" s="146"/>
      <c r="K118" s="520" t="str">
        <f>IF(J118="","",IF(VLOOKUP(J118,'G-3 Multipliers'!$L$3:$N$6,2,FALSE)=0,"Spatial Data Missing",VLOOKUP(J118,'G-3 Multipliers'!$L$3:$N$6,2,FALSE)))</f>
        <v/>
      </c>
      <c r="L118" s="524" t="str">
        <f>IF(J118="","",IF(VLOOKUP(J118,'G-3 Multipliers'!$L$3:$N$6,3,FALSE)=0,"Spatial Data Missing",VLOOKUP(J118,'G-3 Multipliers'!$L$3:$N$6,3,FALSE)))</f>
        <v/>
      </c>
      <c r="M118" s="197"/>
      <c r="N118" s="499" t="str">
        <f>IF(M118="","",IF(VLOOKUP(M118,'G-3 Multipliers'!$S$3:$T$6,2,FALSE)=0,"Spatial Data Missing ⚠",VLOOKUP(M118,'G-3 Multipliers'!$S$3:$T$6,2,FALSE)))</f>
        <v/>
      </c>
      <c r="O118" s="498" t="str">
        <f>IF(OR(D118="",H118=""),"",(INDEX('G-6 Hedgerow Data'!$E$3:$I$15,MATCH(D118,'G-6 Hedgerow Data'!$B$3:$B$15,0),MATCH(H118,'G-6 Hedgerow Data'!$E$2:$I$2,0))))</f>
        <v/>
      </c>
      <c r="P118" s="195"/>
      <c r="Q118" s="195"/>
      <c r="R118" s="507" t="str">
        <f t="shared" si="7"/>
        <v/>
      </c>
      <c r="S118" s="521" t="str">
        <f t="shared" si="8"/>
        <v/>
      </c>
      <c r="T118" s="522" t="str">
        <f t="shared" si="6"/>
        <v/>
      </c>
      <c r="U118" s="537" t="str">
        <f>IF(D118="","",VLOOKUP(D118,'G-6 Hedgerow Data'!$B$3:$AG$15,31,FALSE))</f>
        <v/>
      </c>
      <c r="V118" s="520" t="str">
        <f t="shared" si="9"/>
        <v/>
      </c>
      <c r="W118" s="520" t="str">
        <f t="shared" si="10"/>
        <v/>
      </c>
      <c r="X118" s="524" t="str">
        <f>IF(F118="","",VLOOKUP(U118,'G-3 Multipliers'!$P$3:$Q$6,2,FALSE))</f>
        <v/>
      </c>
      <c r="Y118" s="529" t="str">
        <f t="shared" si="11"/>
        <v/>
      </c>
      <c r="Z118" s="149"/>
      <c r="AA118" s="150"/>
      <c r="AG118" s="31" t="str">
        <f>IFERROR(INDEX('G-6 Hedgerow Data'!$BJ$3:$BJ$15,MATCH(D118,'G-6 Hedgerow Data'!$B$3:$B$15,0)),"")</f>
        <v/>
      </c>
    </row>
    <row r="119" spans="2:33" ht="13.8" x14ac:dyDescent="0.25">
      <c r="B119" s="103">
        <v>108</v>
      </c>
      <c r="C119" s="268"/>
      <c r="D119" s="82"/>
      <c r="E119" s="203"/>
      <c r="F119" s="498" t="str">
        <f>IF(D119="","",VLOOKUP(D119,'G-6 Hedgerow Data'!$B$2:$AG$15,2,FALSE))</f>
        <v/>
      </c>
      <c r="G119" s="524" t="str">
        <f>IF(D119="","",VLOOKUP(D119,'G-6 Hedgerow Data'!$B$2:$AG$15,3,FALSE))</f>
        <v/>
      </c>
      <c r="H119" s="72"/>
      <c r="I119" s="499" t="str">
        <f>IFERROR(IF(AND(F119="V.Low",OR(H119="Good",H119="Moderate")),"Error ▲",VLOOKUP(H119,'G-1 All Habitats'!$Z$2:$AA$9,2,FALSE)),"")</f>
        <v/>
      </c>
      <c r="J119" s="146"/>
      <c r="K119" s="520" t="str">
        <f>IF(J119="","",IF(VLOOKUP(J119,'G-3 Multipliers'!$L$3:$N$6,2,FALSE)=0,"Spatial Data Missing",VLOOKUP(J119,'G-3 Multipliers'!$L$3:$N$6,2,FALSE)))</f>
        <v/>
      </c>
      <c r="L119" s="524" t="str">
        <f>IF(J119="","",IF(VLOOKUP(J119,'G-3 Multipliers'!$L$3:$N$6,3,FALSE)=0,"Spatial Data Missing",VLOOKUP(J119,'G-3 Multipliers'!$L$3:$N$6,3,FALSE)))</f>
        <v/>
      </c>
      <c r="M119" s="197"/>
      <c r="N119" s="499" t="str">
        <f>IF(M119="","",IF(VLOOKUP(M119,'G-3 Multipliers'!$S$3:$T$6,2,FALSE)=0,"Spatial Data Missing ⚠",VLOOKUP(M119,'G-3 Multipliers'!$S$3:$T$6,2,FALSE)))</f>
        <v/>
      </c>
      <c r="O119" s="498" t="str">
        <f>IF(OR(D119="",H119=""),"",(INDEX('G-6 Hedgerow Data'!$E$3:$I$15,MATCH(D119,'G-6 Hedgerow Data'!$B$3:$B$15,0),MATCH(H119,'G-6 Hedgerow Data'!$E$2:$I$2,0))))</f>
        <v/>
      </c>
      <c r="P119" s="195"/>
      <c r="Q119" s="195"/>
      <c r="R119" s="507" t="str">
        <f t="shared" si="7"/>
        <v/>
      </c>
      <c r="S119" s="521" t="str">
        <f t="shared" si="8"/>
        <v/>
      </c>
      <c r="T119" s="522" t="str">
        <f t="shared" si="6"/>
        <v/>
      </c>
      <c r="U119" s="537" t="str">
        <f>IF(D119="","",VLOOKUP(D119,'G-6 Hedgerow Data'!$B$3:$AG$15,31,FALSE))</f>
        <v/>
      </c>
      <c r="V119" s="520" t="str">
        <f t="shared" si="9"/>
        <v/>
      </c>
      <c r="W119" s="520" t="str">
        <f t="shared" si="10"/>
        <v/>
      </c>
      <c r="X119" s="524" t="str">
        <f>IF(F119="","",VLOOKUP(U119,'G-3 Multipliers'!$P$3:$Q$6,2,FALSE))</f>
        <v/>
      </c>
      <c r="Y119" s="529" t="str">
        <f t="shared" si="11"/>
        <v/>
      </c>
      <c r="Z119" s="149"/>
      <c r="AA119" s="150"/>
      <c r="AG119" s="31" t="str">
        <f>IFERROR(INDEX('G-6 Hedgerow Data'!$BJ$3:$BJ$15,MATCH(D119,'G-6 Hedgerow Data'!$B$3:$B$15,0)),"")</f>
        <v/>
      </c>
    </row>
    <row r="120" spans="2:33" ht="13.8" x14ac:dyDescent="0.25">
      <c r="B120" s="103">
        <v>109</v>
      </c>
      <c r="C120" s="268"/>
      <c r="D120" s="82"/>
      <c r="E120" s="203"/>
      <c r="F120" s="498" t="str">
        <f>IF(D120="","",VLOOKUP(D120,'G-6 Hedgerow Data'!$B$2:$AG$15,2,FALSE))</f>
        <v/>
      </c>
      <c r="G120" s="524" t="str">
        <f>IF(D120="","",VLOOKUP(D120,'G-6 Hedgerow Data'!$B$2:$AG$15,3,FALSE))</f>
        <v/>
      </c>
      <c r="H120" s="72"/>
      <c r="I120" s="499" t="str">
        <f>IFERROR(IF(AND(F120="V.Low",OR(H120="Good",H120="Moderate")),"Error ▲",VLOOKUP(H120,'G-1 All Habitats'!$Z$2:$AA$9,2,FALSE)),"")</f>
        <v/>
      </c>
      <c r="J120" s="146"/>
      <c r="K120" s="520" t="str">
        <f>IF(J120="","",IF(VLOOKUP(J120,'G-3 Multipliers'!$L$3:$N$6,2,FALSE)=0,"Spatial Data Missing",VLOOKUP(J120,'G-3 Multipliers'!$L$3:$N$6,2,FALSE)))</f>
        <v/>
      </c>
      <c r="L120" s="524" t="str">
        <f>IF(J120="","",IF(VLOOKUP(J120,'G-3 Multipliers'!$L$3:$N$6,3,FALSE)=0,"Spatial Data Missing",VLOOKUP(J120,'G-3 Multipliers'!$L$3:$N$6,3,FALSE)))</f>
        <v/>
      </c>
      <c r="M120" s="197"/>
      <c r="N120" s="499" t="str">
        <f>IF(M120="","",IF(VLOOKUP(M120,'G-3 Multipliers'!$S$3:$T$6,2,FALSE)=0,"Spatial Data Missing ⚠",VLOOKUP(M120,'G-3 Multipliers'!$S$3:$T$6,2,FALSE)))</f>
        <v/>
      </c>
      <c r="O120" s="498" t="str">
        <f>IF(OR(D120="",H120=""),"",(INDEX('G-6 Hedgerow Data'!$E$3:$I$15,MATCH(D120,'G-6 Hedgerow Data'!$B$3:$B$15,0),MATCH(H120,'G-6 Hedgerow Data'!$E$2:$I$2,0))))</f>
        <v/>
      </c>
      <c r="P120" s="195"/>
      <c r="Q120" s="195"/>
      <c r="R120" s="507" t="str">
        <f t="shared" si="7"/>
        <v/>
      </c>
      <c r="S120" s="521" t="str">
        <f t="shared" si="8"/>
        <v/>
      </c>
      <c r="T120" s="522" t="str">
        <f t="shared" si="6"/>
        <v/>
      </c>
      <c r="U120" s="537" t="str">
        <f>IF(D120="","",VLOOKUP(D120,'G-6 Hedgerow Data'!$B$3:$AG$15,31,FALSE))</f>
        <v/>
      </c>
      <c r="V120" s="520" t="str">
        <f t="shared" si="9"/>
        <v/>
      </c>
      <c r="W120" s="520" t="str">
        <f t="shared" si="10"/>
        <v/>
      </c>
      <c r="X120" s="524" t="str">
        <f>IF(F120="","",VLOOKUP(U120,'G-3 Multipliers'!$P$3:$Q$6,2,FALSE))</f>
        <v/>
      </c>
      <c r="Y120" s="529" t="str">
        <f t="shared" si="11"/>
        <v/>
      </c>
      <c r="Z120" s="149"/>
      <c r="AA120" s="150"/>
      <c r="AG120" s="31" t="str">
        <f>IFERROR(INDEX('G-6 Hedgerow Data'!$BJ$3:$BJ$15,MATCH(D120,'G-6 Hedgerow Data'!$B$3:$B$15,0)),"")</f>
        <v/>
      </c>
    </row>
    <row r="121" spans="2:33" ht="13.8" x14ac:dyDescent="0.25">
      <c r="B121" s="103">
        <v>110</v>
      </c>
      <c r="C121" s="268"/>
      <c r="D121" s="82"/>
      <c r="E121" s="203"/>
      <c r="F121" s="498" t="str">
        <f>IF(D121="","",VLOOKUP(D121,'G-6 Hedgerow Data'!$B$2:$AG$15,2,FALSE))</f>
        <v/>
      </c>
      <c r="G121" s="524" t="str">
        <f>IF(D121="","",VLOOKUP(D121,'G-6 Hedgerow Data'!$B$2:$AG$15,3,FALSE))</f>
        <v/>
      </c>
      <c r="H121" s="72"/>
      <c r="I121" s="499" t="str">
        <f>IFERROR(IF(AND(F121="V.Low",OR(H121="Good",H121="Moderate")),"Error ▲",VLOOKUP(H121,'G-1 All Habitats'!$Z$2:$AA$9,2,FALSE)),"")</f>
        <v/>
      </c>
      <c r="J121" s="146"/>
      <c r="K121" s="520" t="str">
        <f>IF(J121="","",IF(VLOOKUP(J121,'G-3 Multipliers'!$L$3:$N$6,2,FALSE)=0,"Spatial Data Missing",VLOOKUP(J121,'G-3 Multipliers'!$L$3:$N$6,2,FALSE)))</f>
        <v/>
      </c>
      <c r="L121" s="524" t="str">
        <f>IF(J121="","",IF(VLOOKUP(J121,'G-3 Multipliers'!$L$3:$N$6,3,FALSE)=0,"Spatial Data Missing",VLOOKUP(J121,'G-3 Multipliers'!$L$3:$N$6,3,FALSE)))</f>
        <v/>
      </c>
      <c r="M121" s="197"/>
      <c r="N121" s="499" t="str">
        <f>IF(M121="","",IF(VLOOKUP(M121,'G-3 Multipliers'!$S$3:$T$6,2,FALSE)=0,"Spatial Data Missing ⚠",VLOOKUP(M121,'G-3 Multipliers'!$S$3:$T$6,2,FALSE)))</f>
        <v/>
      </c>
      <c r="O121" s="498" t="str">
        <f>IF(OR(D121="",H121=""),"",(INDEX('G-6 Hedgerow Data'!$E$3:$I$15,MATCH(D121,'G-6 Hedgerow Data'!$B$3:$B$15,0),MATCH(H121,'G-6 Hedgerow Data'!$E$2:$I$2,0))))</f>
        <v/>
      </c>
      <c r="P121" s="195"/>
      <c r="Q121" s="195"/>
      <c r="R121" s="507" t="str">
        <f t="shared" si="7"/>
        <v/>
      </c>
      <c r="S121" s="521" t="str">
        <f t="shared" si="8"/>
        <v/>
      </c>
      <c r="T121" s="522" t="str">
        <f t="shared" si="6"/>
        <v/>
      </c>
      <c r="U121" s="537" t="str">
        <f>IF(D121="","",VLOOKUP(D121,'G-6 Hedgerow Data'!$B$3:$AG$15,31,FALSE))</f>
        <v/>
      </c>
      <c r="V121" s="520" t="str">
        <f t="shared" si="9"/>
        <v/>
      </c>
      <c r="W121" s="520" t="str">
        <f t="shared" si="10"/>
        <v/>
      </c>
      <c r="X121" s="524" t="str">
        <f>IF(F121="","",VLOOKUP(U121,'G-3 Multipliers'!$P$3:$Q$6,2,FALSE))</f>
        <v/>
      </c>
      <c r="Y121" s="529" t="str">
        <f t="shared" si="11"/>
        <v/>
      </c>
      <c r="Z121" s="149"/>
      <c r="AA121" s="150"/>
      <c r="AG121" s="31" t="str">
        <f>IFERROR(INDEX('G-6 Hedgerow Data'!$BJ$3:$BJ$15,MATCH(D121,'G-6 Hedgerow Data'!$B$3:$B$15,0)),"")</f>
        <v/>
      </c>
    </row>
    <row r="122" spans="2:33" ht="13.8" x14ac:dyDescent="0.25">
      <c r="B122" s="103">
        <v>111</v>
      </c>
      <c r="C122" s="268"/>
      <c r="D122" s="82"/>
      <c r="E122" s="203"/>
      <c r="F122" s="498" t="str">
        <f>IF(D122="","",VLOOKUP(D122,'G-6 Hedgerow Data'!$B$2:$AG$15,2,FALSE))</f>
        <v/>
      </c>
      <c r="G122" s="524" t="str">
        <f>IF(D122="","",VLOOKUP(D122,'G-6 Hedgerow Data'!$B$2:$AG$15,3,FALSE))</f>
        <v/>
      </c>
      <c r="H122" s="72"/>
      <c r="I122" s="499" t="str">
        <f>IFERROR(IF(AND(F122="V.Low",OR(H122="Good",H122="Moderate")),"Error ▲",VLOOKUP(H122,'G-1 All Habitats'!$Z$2:$AA$9,2,FALSE)),"")</f>
        <v/>
      </c>
      <c r="J122" s="146"/>
      <c r="K122" s="520" t="str">
        <f>IF(J122="","",IF(VLOOKUP(J122,'G-3 Multipliers'!$L$3:$N$6,2,FALSE)=0,"Spatial Data Missing",VLOOKUP(J122,'G-3 Multipliers'!$L$3:$N$6,2,FALSE)))</f>
        <v/>
      </c>
      <c r="L122" s="524" t="str">
        <f>IF(J122="","",IF(VLOOKUP(J122,'G-3 Multipliers'!$L$3:$N$6,3,FALSE)=0,"Spatial Data Missing",VLOOKUP(J122,'G-3 Multipliers'!$L$3:$N$6,3,FALSE)))</f>
        <v/>
      </c>
      <c r="M122" s="197"/>
      <c r="N122" s="499" t="str">
        <f>IF(M122="","",IF(VLOOKUP(M122,'G-3 Multipliers'!$S$3:$T$6,2,FALSE)=0,"Spatial Data Missing ⚠",VLOOKUP(M122,'G-3 Multipliers'!$S$3:$T$6,2,FALSE)))</f>
        <v/>
      </c>
      <c r="O122" s="498" t="str">
        <f>IF(OR(D122="",H122=""),"",(INDEX('G-6 Hedgerow Data'!$E$3:$I$15,MATCH(D122,'G-6 Hedgerow Data'!$B$3:$B$15,0),MATCH(H122,'G-6 Hedgerow Data'!$E$2:$I$2,0))))</f>
        <v/>
      </c>
      <c r="P122" s="195"/>
      <c r="Q122" s="195"/>
      <c r="R122" s="507" t="str">
        <f t="shared" si="7"/>
        <v/>
      </c>
      <c r="S122" s="521" t="str">
        <f t="shared" si="8"/>
        <v/>
      </c>
      <c r="T122" s="522" t="str">
        <f t="shared" si="6"/>
        <v/>
      </c>
      <c r="U122" s="537" t="str">
        <f>IF(D122="","",VLOOKUP(D122,'G-6 Hedgerow Data'!$B$3:$AG$15,31,FALSE))</f>
        <v/>
      </c>
      <c r="V122" s="520" t="str">
        <f t="shared" si="9"/>
        <v/>
      </c>
      <c r="W122" s="520" t="str">
        <f t="shared" si="10"/>
        <v/>
      </c>
      <c r="X122" s="524" t="str">
        <f>IF(F122="","",VLOOKUP(U122,'G-3 Multipliers'!$P$3:$Q$6,2,FALSE))</f>
        <v/>
      </c>
      <c r="Y122" s="529" t="str">
        <f t="shared" si="11"/>
        <v/>
      </c>
      <c r="Z122" s="149"/>
      <c r="AA122" s="150"/>
      <c r="AG122" s="31" t="str">
        <f>IFERROR(INDEX('G-6 Hedgerow Data'!$BJ$3:$BJ$15,MATCH(D122,'G-6 Hedgerow Data'!$B$3:$B$15,0)),"")</f>
        <v/>
      </c>
    </row>
    <row r="123" spans="2:33" ht="13.8" x14ac:dyDescent="0.25">
      <c r="B123" s="103">
        <v>112</v>
      </c>
      <c r="C123" s="268"/>
      <c r="D123" s="82"/>
      <c r="E123" s="203"/>
      <c r="F123" s="498" t="str">
        <f>IF(D123="","",VLOOKUP(D123,'G-6 Hedgerow Data'!$B$2:$AG$15,2,FALSE))</f>
        <v/>
      </c>
      <c r="G123" s="524" t="str">
        <f>IF(D123="","",VLOOKUP(D123,'G-6 Hedgerow Data'!$B$2:$AG$15,3,FALSE))</f>
        <v/>
      </c>
      <c r="H123" s="72"/>
      <c r="I123" s="499" t="str">
        <f>IFERROR(IF(AND(F123="V.Low",OR(H123="Good",H123="Moderate")),"Error ▲",VLOOKUP(H123,'G-1 All Habitats'!$Z$2:$AA$9,2,FALSE)),"")</f>
        <v/>
      </c>
      <c r="J123" s="146"/>
      <c r="K123" s="520" t="str">
        <f>IF(J123="","",IF(VLOOKUP(J123,'G-3 Multipliers'!$L$3:$N$6,2,FALSE)=0,"Spatial Data Missing",VLOOKUP(J123,'G-3 Multipliers'!$L$3:$N$6,2,FALSE)))</f>
        <v/>
      </c>
      <c r="L123" s="524" t="str">
        <f>IF(J123="","",IF(VLOOKUP(J123,'G-3 Multipliers'!$L$3:$N$6,3,FALSE)=0,"Spatial Data Missing",VLOOKUP(J123,'G-3 Multipliers'!$L$3:$N$6,3,FALSE)))</f>
        <v/>
      </c>
      <c r="M123" s="197"/>
      <c r="N123" s="499" t="str">
        <f>IF(M123="","",IF(VLOOKUP(M123,'G-3 Multipliers'!$S$3:$T$6,2,FALSE)=0,"Spatial Data Missing ⚠",VLOOKUP(M123,'G-3 Multipliers'!$S$3:$T$6,2,FALSE)))</f>
        <v/>
      </c>
      <c r="O123" s="498" t="str">
        <f>IF(OR(D123="",H123=""),"",(INDEX('G-6 Hedgerow Data'!$E$3:$I$15,MATCH(D123,'G-6 Hedgerow Data'!$B$3:$B$15,0),MATCH(H123,'G-6 Hedgerow Data'!$E$2:$I$2,0))))</f>
        <v/>
      </c>
      <c r="P123" s="195"/>
      <c r="Q123" s="195"/>
      <c r="R123" s="507" t="str">
        <f t="shared" si="7"/>
        <v/>
      </c>
      <c r="S123" s="521" t="str">
        <f t="shared" si="8"/>
        <v/>
      </c>
      <c r="T123" s="522" t="str">
        <f t="shared" si="6"/>
        <v/>
      </c>
      <c r="U123" s="537" t="str">
        <f>IF(D123="","",VLOOKUP(D123,'G-6 Hedgerow Data'!$B$3:$AG$15,31,FALSE))</f>
        <v/>
      </c>
      <c r="V123" s="520" t="str">
        <f t="shared" si="9"/>
        <v/>
      </c>
      <c r="W123" s="520" t="str">
        <f t="shared" si="10"/>
        <v/>
      </c>
      <c r="X123" s="524" t="str">
        <f>IF(F123="","",VLOOKUP(U123,'G-3 Multipliers'!$P$3:$Q$6,2,FALSE))</f>
        <v/>
      </c>
      <c r="Y123" s="529" t="str">
        <f t="shared" si="11"/>
        <v/>
      </c>
      <c r="Z123" s="149"/>
      <c r="AA123" s="150"/>
      <c r="AG123" s="31" t="str">
        <f>IFERROR(INDEX('G-6 Hedgerow Data'!$BJ$3:$BJ$15,MATCH(D123,'G-6 Hedgerow Data'!$B$3:$B$15,0)),"")</f>
        <v/>
      </c>
    </row>
    <row r="124" spans="2:33" ht="13.8" x14ac:dyDescent="0.25">
      <c r="B124" s="103">
        <v>113</v>
      </c>
      <c r="C124" s="268"/>
      <c r="D124" s="82"/>
      <c r="E124" s="203"/>
      <c r="F124" s="498" t="str">
        <f>IF(D124="","",VLOOKUP(D124,'G-6 Hedgerow Data'!$B$2:$AG$15,2,FALSE))</f>
        <v/>
      </c>
      <c r="G124" s="524" t="str">
        <f>IF(D124="","",VLOOKUP(D124,'G-6 Hedgerow Data'!$B$2:$AG$15,3,FALSE))</f>
        <v/>
      </c>
      <c r="H124" s="72"/>
      <c r="I124" s="499" t="str">
        <f>IFERROR(IF(AND(F124="V.Low",OR(H124="Good",H124="Moderate")),"Error ▲",VLOOKUP(H124,'G-1 All Habitats'!$Z$2:$AA$9,2,FALSE)),"")</f>
        <v/>
      </c>
      <c r="J124" s="146"/>
      <c r="K124" s="520" t="str">
        <f>IF(J124="","",IF(VLOOKUP(J124,'G-3 Multipliers'!$L$3:$N$6,2,FALSE)=0,"Spatial Data Missing",VLOOKUP(J124,'G-3 Multipliers'!$L$3:$N$6,2,FALSE)))</f>
        <v/>
      </c>
      <c r="L124" s="524" t="str">
        <f>IF(J124="","",IF(VLOOKUP(J124,'G-3 Multipliers'!$L$3:$N$6,3,FALSE)=0,"Spatial Data Missing",VLOOKUP(J124,'G-3 Multipliers'!$L$3:$N$6,3,FALSE)))</f>
        <v/>
      </c>
      <c r="M124" s="197"/>
      <c r="N124" s="499" t="str">
        <f>IF(M124="","",IF(VLOOKUP(M124,'G-3 Multipliers'!$S$3:$T$6,2,FALSE)=0,"Spatial Data Missing ⚠",VLOOKUP(M124,'G-3 Multipliers'!$S$3:$T$6,2,FALSE)))</f>
        <v/>
      </c>
      <c r="O124" s="498" t="str">
        <f>IF(OR(D124="",H124=""),"",(INDEX('G-6 Hedgerow Data'!$E$3:$I$15,MATCH(D124,'G-6 Hedgerow Data'!$B$3:$B$15,0),MATCH(H124,'G-6 Hedgerow Data'!$E$2:$I$2,0))))</f>
        <v/>
      </c>
      <c r="P124" s="195"/>
      <c r="Q124" s="195"/>
      <c r="R124" s="507" t="str">
        <f t="shared" si="7"/>
        <v/>
      </c>
      <c r="S124" s="521" t="str">
        <f t="shared" si="8"/>
        <v/>
      </c>
      <c r="T124" s="522" t="str">
        <f t="shared" si="6"/>
        <v/>
      </c>
      <c r="U124" s="537" t="str">
        <f>IF(D124="","",VLOOKUP(D124,'G-6 Hedgerow Data'!$B$3:$AG$15,31,FALSE))</f>
        <v/>
      </c>
      <c r="V124" s="520" t="str">
        <f t="shared" si="9"/>
        <v/>
      </c>
      <c r="W124" s="520" t="str">
        <f t="shared" si="10"/>
        <v/>
      </c>
      <c r="X124" s="524" t="str">
        <f>IF(F124="","",VLOOKUP(U124,'G-3 Multipliers'!$P$3:$Q$6,2,FALSE))</f>
        <v/>
      </c>
      <c r="Y124" s="529" t="str">
        <f t="shared" si="11"/>
        <v/>
      </c>
      <c r="Z124" s="149"/>
      <c r="AA124" s="150"/>
      <c r="AG124" s="31" t="str">
        <f>IFERROR(INDEX('G-6 Hedgerow Data'!$BJ$3:$BJ$15,MATCH(D124,'G-6 Hedgerow Data'!$B$3:$B$15,0)),"")</f>
        <v/>
      </c>
    </row>
    <row r="125" spans="2:33" ht="13.8" x14ac:dyDescent="0.25">
      <c r="B125" s="103">
        <v>114</v>
      </c>
      <c r="C125" s="268"/>
      <c r="D125" s="82"/>
      <c r="E125" s="203"/>
      <c r="F125" s="498" t="str">
        <f>IF(D125="","",VLOOKUP(D125,'G-6 Hedgerow Data'!$B$2:$AG$15,2,FALSE))</f>
        <v/>
      </c>
      <c r="G125" s="524" t="str">
        <f>IF(D125="","",VLOOKUP(D125,'G-6 Hedgerow Data'!$B$2:$AG$15,3,FALSE))</f>
        <v/>
      </c>
      <c r="H125" s="72"/>
      <c r="I125" s="499" t="str">
        <f>IFERROR(IF(AND(F125="V.Low",OR(H125="Good",H125="Moderate")),"Error ▲",VLOOKUP(H125,'G-1 All Habitats'!$Z$2:$AA$9,2,FALSE)),"")</f>
        <v/>
      </c>
      <c r="J125" s="146"/>
      <c r="K125" s="520" t="str">
        <f>IF(J125="","",IF(VLOOKUP(J125,'G-3 Multipliers'!$L$3:$N$6,2,FALSE)=0,"Spatial Data Missing",VLOOKUP(J125,'G-3 Multipliers'!$L$3:$N$6,2,FALSE)))</f>
        <v/>
      </c>
      <c r="L125" s="524" t="str">
        <f>IF(J125="","",IF(VLOOKUP(J125,'G-3 Multipliers'!$L$3:$N$6,3,FALSE)=0,"Spatial Data Missing",VLOOKUP(J125,'G-3 Multipliers'!$L$3:$N$6,3,FALSE)))</f>
        <v/>
      </c>
      <c r="M125" s="197"/>
      <c r="N125" s="499" t="str">
        <f>IF(M125="","",IF(VLOOKUP(M125,'G-3 Multipliers'!$S$3:$T$6,2,FALSE)=0,"Spatial Data Missing ⚠",VLOOKUP(M125,'G-3 Multipliers'!$S$3:$T$6,2,FALSE)))</f>
        <v/>
      </c>
      <c r="O125" s="498" t="str">
        <f>IF(OR(D125="",H125=""),"",(INDEX('G-6 Hedgerow Data'!$E$3:$I$15,MATCH(D125,'G-6 Hedgerow Data'!$B$3:$B$15,0),MATCH(H125,'G-6 Hedgerow Data'!$E$2:$I$2,0))))</f>
        <v/>
      </c>
      <c r="P125" s="195"/>
      <c r="Q125" s="195"/>
      <c r="R125" s="507" t="str">
        <f t="shared" si="7"/>
        <v/>
      </c>
      <c r="S125" s="521" t="str">
        <f t="shared" si="8"/>
        <v/>
      </c>
      <c r="T125" s="522" t="str">
        <f t="shared" si="6"/>
        <v/>
      </c>
      <c r="U125" s="537" t="str">
        <f>IF(D125="","",VLOOKUP(D125,'G-6 Hedgerow Data'!$B$3:$AG$15,31,FALSE))</f>
        <v/>
      </c>
      <c r="V125" s="520" t="str">
        <f t="shared" si="9"/>
        <v/>
      </c>
      <c r="W125" s="520" t="str">
        <f t="shared" si="10"/>
        <v/>
      </c>
      <c r="X125" s="524" t="str">
        <f>IF(F125="","",VLOOKUP(U125,'G-3 Multipliers'!$P$3:$Q$6,2,FALSE))</f>
        <v/>
      </c>
      <c r="Y125" s="529" t="str">
        <f t="shared" si="11"/>
        <v/>
      </c>
      <c r="Z125" s="149"/>
      <c r="AA125" s="150"/>
      <c r="AG125" s="31" t="str">
        <f>IFERROR(INDEX('G-6 Hedgerow Data'!$BJ$3:$BJ$15,MATCH(D125,'G-6 Hedgerow Data'!$B$3:$B$15,0)),"")</f>
        <v/>
      </c>
    </row>
    <row r="126" spans="2:33" ht="13.8" x14ac:dyDescent="0.25">
      <c r="B126" s="103">
        <v>115</v>
      </c>
      <c r="C126" s="268"/>
      <c r="D126" s="82"/>
      <c r="E126" s="203"/>
      <c r="F126" s="498" t="str">
        <f>IF(D126="","",VLOOKUP(D126,'G-6 Hedgerow Data'!$B$2:$AG$15,2,FALSE))</f>
        <v/>
      </c>
      <c r="G126" s="524" t="str">
        <f>IF(D126="","",VLOOKUP(D126,'G-6 Hedgerow Data'!$B$2:$AG$15,3,FALSE))</f>
        <v/>
      </c>
      <c r="H126" s="72"/>
      <c r="I126" s="499" t="str">
        <f>IFERROR(IF(AND(F126="V.Low",OR(H126="Good",H126="Moderate")),"Error ▲",VLOOKUP(H126,'G-1 All Habitats'!$Z$2:$AA$9,2,FALSE)),"")</f>
        <v/>
      </c>
      <c r="J126" s="146"/>
      <c r="K126" s="520" t="str">
        <f>IF(J126="","",IF(VLOOKUP(J126,'G-3 Multipliers'!$L$3:$N$6,2,FALSE)=0,"Spatial Data Missing",VLOOKUP(J126,'G-3 Multipliers'!$L$3:$N$6,2,FALSE)))</f>
        <v/>
      </c>
      <c r="L126" s="524" t="str">
        <f>IF(J126="","",IF(VLOOKUP(J126,'G-3 Multipliers'!$L$3:$N$6,3,FALSE)=0,"Spatial Data Missing",VLOOKUP(J126,'G-3 Multipliers'!$L$3:$N$6,3,FALSE)))</f>
        <v/>
      </c>
      <c r="M126" s="197"/>
      <c r="N126" s="499" t="str">
        <f>IF(M126="","",IF(VLOOKUP(M126,'G-3 Multipliers'!$S$3:$T$6,2,FALSE)=0,"Spatial Data Missing ⚠",VLOOKUP(M126,'G-3 Multipliers'!$S$3:$T$6,2,FALSE)))</f>
        <v/>
      </c>
      <c r="O126" s="498" t="str">
        <f>IF(OR(D126="",H126=""),"",(INDEX('G-6 Hedgerow Data'!$E$3:$I$15,MATCH(D126,'G-6 Hedgerow Data'!$B$3:$B$15,0),MATCH(H126,'G-6 Hedgerow Data'!$E$2:$I$2,0))))</f>
        <v/>
      </c>
      <c r="P126" s="195"/>
      <c r="Q126" s="195"/>
      <c r="R126" s="507" t="str">
        <f t="shared" si="7"/>
        <v/>
      </c>
      <c r="S126" s="521" t="str">
        <f t="shared" si="8"/>
        <v/>
      </c>
      <c r="T126" s="522" t="str">
        <f t="shared" si="6"/>
        <v/>
      </c>
      <c r="U126" s="537" t="str">
        <f>IF(D126="","",VLOOKUP(D126,'G-6 Hedgerow Data'!$B$3:$AG$15,31,FALSE))</f>
        <v/>
      </c>
      <c r="V126" s="520" t="str">
        <f t="shared" si="9"/>
        <v/>
      </c>
      <c r="W126" s="520" t="str">
        <f t="shared" si="10"/>
        <v/>
      </c>
      <c r="X126" s="524" t="str">
        <f>IF(F126="","",VLOOKUP(U126,'G-3 Multipliers'!$P$3:$Q$6,2,FALSE))</f>
        <v/>
      </c>
      <c r="Y126" s="529" t="str">
        <f t="shared" si="11"/>
        <v/>
      </c>
      <c r="Z126" s="149"/>
      <c r="AA126" s="150"/>
      <c r="AG126" s="31" t="str">
        <f>IFERROR(INDEX('G-6 Hedgerow Data'!$BJ$3:$BJ$15,MATCH(D126,'G-6 Hedgerow Data'!$B$3:$B$15,0)),"")</f>
        <v/>
      </c>
    </row>
    <row r="127" spans="2:33" ht="13.8" x14ac:dyDescent="0.25">
      <c r="B127" s="103">
        <v>116</v>
      </c>
      <c r="C127" s="268"/>
      <c r="D127" s="82"/>
      <c r="E127" s="203"/>
      <c r="F127" s="498" t="str">
        <f>IF(D127="","",VLOOKUP(D127,'G-6 Hedgerow Data'!$B$2:$AG$15,2,FALSE))</f>
        <v/>
      </c>
      <c r="G127" s="524" t="str">
        <f>IF(D127="","",VLOOKUP(D127,'G-6 Hedgerow Data'!$B$2:$AG$15,3,FALSE))</f>
        <v/>
      </c>
      <c r="H127" s="72"/>
      <c r="I127" s="499" t="str">
        <f>IFERROR(IF(AND(F127="V.Low",OR(H127="Good",H127="Moderate")),"Error ▲",VLOOKUP(H127,'G-1 All Habitats'!$Z$2:$AA$9,2,FALSE)),"")</f>
        <v/>
      </c>
      <c r="J127" s="146"/>
      <c r="K127" s="520" t="str">
        <f>IF(J127="","",IF(VLOOKUP(J127,'G-3 Multipliers'!$L$3:$N$6,2,FALSE)=0,"Spatial Data Missing",VLOOKUP(J127,'G-3 Multipliers'!$L$3:$N$6,2,FALSE)))</f>
        <v/>
      </c>
      <c r="L127" s="524" t="str">
        <f>IF(J127="","",IF(VLOOKUP(J127,'G-3 Multipliers'!$L$3:$N$6,3,FALSE)=0,"Spatial Data Missing",VLOOKUP(J127,'G-3 Multipliers'!$L$3:$N$6,3,FALSE)))</f>
        <v/>
      </c>
      <c r="M127" s="197"/>
      <c r="N127" s="499" t="str">
        <f>IF(M127="","",IF(VLOOKUP(M127,'G-3 Multipliers'!$S$3:$T$6,2,FALSE)=0,"Spatial Data Missing ⚠",VLOOKUP(M127,'G-3 Multipliers'!$S$3:$T$6,2,FALSE)))</f>
        <v/>
      </c>
      <c r="O127" s="498" t="str">
        <f>IF(OR(D127="",H127=""),"",(INDEX('G-6 Hedgerow Data'!$E$3:$I$15,MATCH(D127,'G-6 Hedgerow Data'!$B$3:$B$15,0),MATCH(H127,'G-6 Hedgerow Data'!$E$2:$I$2,0))))</f>
        <v/>
      </c>
      <c r="P127" s="195"/>
      <c r="Q127" s="195"/>
      <c r="R127" s="507" t="str">
        <f t="shared" si="7"/>
        <v/>
      </c>
      <c r="S127" s="521" t="str">
        <f t="shared" si="8"/>
        <v/>
      </c>
      <c r="T127" s="522" t="str">
        <f t="shared" si="6"/>
        <v/>
      </c>
      <c r="U127" s="537" t="str">
        <f>IF(D127="","",VLOOKUP(D127,'G-6 Hedgerow Data'!$B$3:$AG$15,31,FALSE))</f>
        <v/>
      </c>
      <c r="V127" s="520" t="str">
        <f t="shared" si="9"/>
        <v/>
      </c>
      <c r="W127" s="520" t="str">
        <f t="shared" si="10"/>
        <v/>
      </c>
      <c r="X127" s="524" t="str">
        <f>IF(F127="","",VLOOKUP(U127,'G-3 Multipliers'!$P$3:$Q$6,2,FALSE))</f>
        <v/>
      </c>
      <c r="Y127" s="529" t="str">
        <f t="shared" si="11"/>
        <v/>
      </c>
      <c r="Z127" s="149"/>
      <c r="AA127" s="150"/>
      <c r="AG127" s="31" t="str">
        <f>IFERROR(INDEX('G-6 Hedgerow Data'!$BJ$3:$BJ$15,MATCH(D127,'G-6 Hedgerow Data'!$B$3:$B$15,0)),"")</f>
        <v/>
      </c>
    </row>
    <row r="128" spans="2:33" ht="13.8" x14ac:dyDescent="0.25">
      <c r="B128" s="103">
        <v>117</v>
      </c>
      <c r="C128" s="268"/>
      <c r="D128" s="82"/>
      <c r="E128" s="203"/>
      <c r="F128" s="498" t="str">
        <f>IF(D128="","",VLOOKUP(D128,'G-6 Hedgerow Data'!$B$2:$AG$15,2,FALSE))</f>
        <v/>
      </c>
      <c r="G128" s="524" t="str">
        <f>IF(D128="","",VLOOKUP(D128,'G-6 Hedgerow Data'!$B$2:$AG$15,3,FALSE))</f>
        <v/>
      </c>
      <c r="H128" s="72"/>
      <c r="I128" s="499" t="str">
        <f>IFERROR(IF(AND(F128="V.Low",OR(H128="Good",H128="Moderate")),"Error ▲",VLOOKUP(H128,'G-1 All Habitats'!$Z$2:$AA$9,2,FALSE)),"")</f>
        <v/>
      </c>
      <c r="J128" s="146"/>
      <c r="K128" s="520" t="str">
        <f>IF(J128="","",IF(VLOOKUP(J128,'G-3 Multipliers'!$L$3:$N$6,2,FALSE)=0,"Spatial Data Missing",VLOOKUP(J128,'G-3 Multipliers'!$L$3:$N$6,2,FALSE)))</f>
        <v/>
      </c>
      <c r="L128" s="524" t="str">
        <f>IF(J128="","",IF(VLOOKUP(J128,'G-3 Multipliers'!$L$3:$N$6,3,FALSE)=0,"Spatial Data Missing",VLOOKUP(J128,'G-3 Multipliers'!$L$3:$N$6,3,FALSE)))</f>
        <v/>
      </c>
      <c r="M128" s="197"/>
      <c r="N128" s="499" t="str">
        <f>IF(M128="","",IF(VLOOKUP(M128,'G-3 Multipliers'!$S$3:$T$6,2,FALSE)=0,"Spatial Data Missing ⚠",VLOOKUP(M128,'G-3 Multipliers'!$S$3:$T$6,2,FALSE)))</f>
        <v/>
      </c>
      <c r="O128" s="498" t="str">
        <f>IF(OR(D128="",H128=""),"",(INDEX('G-6 Hedgerow Data'!$E$3:$I$15,MATCH(D128,'G-6 Hedgerow Data'!$B$3:$B$15,0),MATCH(H128,'G-6 Hedgerow Data'!$E$2:$I$2,0))))</f>
        <v/>
      </c>
      <c r="P128" s="195"/>
      <c r="Q128" s="195"/>
      <c r="R128" s="507" t="str">
        <f t="shared" si="7"/>
        <v/>
      </c>
      <c r="S128" s="521" t="str">
        <f t="shared" si="8"/>
        <v/>
      </c>
      <c r="T128" s="522" t="str">
        <f t="shared" si="6"/>
        <v/>
      </c>
      <c r="U128" s="537" t="str">
        <f>IF(D128="","",VLOOKUP(D128,'G-6 Hedgerow Data'!$B$3:$AG$15,31,FALSE))</f>
        <v/>
      </c>
      <c r="V128" s="520" t="str">
        <f t="shared" si="9"/>
        <v/>
      </c>
      <c r="W128" s="520" t="str">
        <f t="shared" si="10"/>
        <v/>
      </c>
      <c r="X128" s="524" t="str">
        <f>IF(F128="","",VLOOKUP(U128,'G-3 Multipliers'!$P$3:$Q$6,2,FALSE))</f>
        <v/>
      </c>
      <c r="Y128" s="529" t="str">
        <f t="shared" si="11"/>
        <v/>
      </c>
      <c r="Z128" s="149"/>
      <c r="AA128" s="150"/>
      <c r="AG128" s="31" t="str">
        <f>IFERROR(INDEX('G-6 Hedgerow Data'!$BJ$3:$BJ$15,MATCH(D128,'G-6 Hedgerow Data'!$B$3:$B$15,0)),"")</f>
        <v/>
      </c>
    </row>
    <row r="129" spans="2:33" ht="13.8" x14ac:dyDescent="0.25">
      <c r="B129" s="103">
        <v>118</v>
      </c>
      <c r="C129" s="268"/>
      <c r="D129" s="82"/>
      <c r="E129" s="203"/>
      <c r="F129" s="498" t="str">
        <f>IF(D129="","",VLOOKUP(D129,'G-6 Hedgerow Data'!$B$2:$AG$15,2,FALSE))</f>
        <v/>
      </c>
      <c r="G129" s="524" t="str">
        <f>IF(D129="","",VLOOKUP(D129,'G-6 Hedgerow Data'!$B$2:$AG$15,3,FALSE))</f>
        <v/>
      </c>
      <c r="H129" s="72"/>
      <c r="I129" s="499" t="str">
        <f>IFERROR(IF(AND(F129="V.Low",OR(H129="Good",H129="Moderate")),"Error ▲",VLOOKUP(H129,'G-1 All Habitats'!$Z$2:$AA$9,2,FALSE)),"")</f>
        <v/>
      </c>
      <c r="J129" s="146"/>
      <c r="K129" s="520" t="str">
        <f>IF(J129="","",IF(VLOOKUP(J129,'G-3 Multipliers'!$L$3:$N$6,2,FALSE)=0,"Spatial Data Missing",VLOOKUP(J129,'G-3 Multipliers'!$L$3:$N$6,2,FALSE)))</f>
        <v/>
      </c>
      <c r="L129" s="524" t="str">
        <f>IF(J129="","",IF(VLOOKUP(J129,'G-3 Multipliers'!$L$3:$N$6,3,FALSE)=0,"Spatial Data Missing",VLOOKUP(J129,'G-3 Multipliers'!$L$3:$N$6,3,FALSE)))</f>
        <v/>
      </c>
      <c r="M129" s="197"/>
      <c r="N129" s="499" t="str">
        <f>IF(M129="","",IF(VLOOKUP(M129,'G-3 Multipliers'!$S$3:$T$6,2,FALSE)=0,"Spatial Data Missing ⚠",VLOOKUP(M129,'G-3 Multipliers'!$S$3:$T$6,2,FALSE)))</f>
        <v/>
      </c>
      <c r="O129" s="498" t="str">
        <f>IF(OR(D129="",H129=""),"",(INDEX('G-6 Hedgerow Data'!$E$3:$I$15,MATCH(D129,'G-6 Hedgerow Data'!$B$3:$B$15,0),MATCH(H129,'G-6 Hedgerow Data'!$E$2:$I$2,0))))</f>
        <v/>
      </c>
      <c r="P129" s="195"/>
      <c r="Q129" s="195"/>
      <c r="R129" s="507" t="str">
        <f t="shared" si="7"/>
        <v/>
      </c>
      <c r="S129" s="521" t="str">
        <f t="shared" si="8"/>
        <v/>
      </c>
      <c r="T129" s="522" t="str">
        <f t="shared" si="6"/>
        <v/>
      </c>
      <c r="U129" s="537" t="str">
        <f>IF(D129="","",VLOOKUP(D129,'G-6 Hedgerow Data'!$B$3:$AG$15,31,FALSE))</f>
        <v/>
      </c>
      <c r="V129" s="520" t="str">
        <f t="shared" si="9"/>
        <v/>
      </c>
      <c r="W129" s="520" t="str">
        <f t="shared" si="10"/>
        <v/>
      </c>
      <c r="X129" s="524" t="str">
        <f>IF(F129="","",VLOOKUP(U129,'G-3 Multipliers'!$P$3:$Q$6,2,FALSE))</f>
        <v/>
      </c>
      <c r="Y129" s="529" t="str">
        <f t="shared" si="11"/>
        <v/>
      </c>
      <c r="Z129" s="149"/>
      <c r="AA129" s="150"/>
      <c r="AG129" s="31" t="str">
        <f>IFERROR(INDEX('G-6 Hedgerow Data'!$BJ$3:$BJ$15,MATCH(D129,'G-6 Hedgerow Data'!$B$3:$B$15,0)),"")</f>
        <v/>
      </c>
    </row>
    <row r="130" spans="2:33" ht="13.8" x14ac:dyDescent="0.25">
      <c r="B130" s="103">
        <v>119</v>
      </c>
      <c r="C130" s="268"/>
      <c r="D130" s="82"/>
      <c r="E130" s="203"/>
      <c r="F130" s="498" t="str">
        <f>IF(D130="","",VLOOKUP(D130,'G-6 Hedgerow Data'!$B$2:$AG$15,2,FALSE))</f>
        <v/>
      </c>
      <c r="G130" s="524" t="str">
        <f>IF(D130="","",VLOOKUP(D130,'G-6 Hedgerow Data'!$B$2:$AG$15,3,FALSE))</f>
        <v/>
      </c>
      <c r="H130" s="72"/>
      <c r="I130" s="499" t="str">
        <f>IFERROR(IF(AND(F130="V.Low",OR(H130="Good",H130="Moderate")),"Error ▲",VLOOKUP(H130,'G-1 All Habitats'!$Z$2:$AA$9,2,FALSE)),"")</f>
        <v/>
      </c>
      <c r="J130" s="146"/>
      <c r="K130" s="520" t="str">
        <f>IF(J130="","",IF(VLOOKUP(J130,'G-3 Multipliers'!$L$3:$N$6,2,FALSE)=0,"Spatial Data Missing",VLOOKUP(J130,'G-3 Multipliers'!$L$3:$N$6,2,FALSE)))</f>
        <v/>
      </c>
      <c r="L130" s="524" t="str">
        <f>IF(J130="","",IF(VLOOKUP(J130,'G-3 Multipliers'!$L$3:$N$6,3,FALSE)=0,"Spatial Data Missing",VLOOKUP(J130,'G-3 Multipliers'!$L$3:$N$6,3,FALSE)))</f>
        <v/>
      </c>
      <c r="M130" s="197"/>
      <c r="N130" s="499" t="str">
        <f>IF(M130="","",IF(VLOOKUP(M130,'G-3 Multipliers'!$S$3:$T$6,2,FALSE)=0,"Spatial Data Missing ⚠",VLOOKUP(M130,'G-3 Multipliers'!$S$3:$T$6,2,FALSE)))</f>
        <v/>
      </c>
      <c r="O130" s="498" t="str">
        <f>IF(OR(D130="",H130=""),"",(INDEX('G-6 Hedgerow Data'!$E$3:$I$15,MATCH(D130,'G-6 Hedgerow Data'!$B$3:$B$15,0),MATCH(H130,'G-6 Hedgerow Data'!$E$2:$I$2,0))))</f>
        <v/>
      </c>
      <c r="P130" s="195"/>
      <c r="Q130" s="195"/>
      <c r="R130" s="507" t="str">
        <f t="shared" si="7"/>
        <v/>
      </c>
      <c r="S130" s="521" t="str">
        <f t="shared" si="8"/>
        <v/>
      </c>
      <c r="T130" s="522" t="str">
        <f t="shared" si="6"/>
        <v/>
      </c>
      <c r="U130" s="537" t="str">
        <f>IF(D130="","",VLOOKUP(D130,'G-6 Hedgerow Data'!$B$3:$AG$15,31,FALSE))</f>
        <v/>
      </c>
      <c r="V130" s="520" t="str">
        <f t="shared" si="9"/>
        <v/>
      </c>
      <c r="W130" s="520" t="str">
        <f t="shared" si="10"/>
        <v/>
      </c>
      <c r="X130" s="524" t="str">
        <f>IF(F130="","",VLOOKUP(U130,'G-3 Multipliers'!$P$3:$Q$6,2,FALSE))</f>
        <v/>
      </c>
      <c r="Y130" s="529" t="str">
        <f t="shared" si="11"/>
        <v/>
      </c>
      <c r="Z130" s="149"/>
      <c r="AA130" s="150"/>
      <c r="AG130" s="31" t="str">
        <f>IFERROR(INDEX('G-6 Hedgerow Data'!$BJ$3:$BJ$15,MATCH(D130,'G-6 Hedgerow Data'!$B$3:$B$15,0)),"")</f>
        <v/>
      </c>
    </row>
    <row r="131" spans="2:33" s="42" customFormat="1" ht="13.8" x14ac:dyDescent="0.25">
      <c r="B131" s="103">
        <v>120</v>
      </c>
      <c r="C131" s="268"/>
      <c r="D131" s="82"/>
      <c r="E131" s="203"/>
      <c r="F131" s="498" t="str">
        <f>IF(D131="","",VLOOKUP(D131,'G-6 Hedgerow Data'!$B$2:$AG$15,2,FALSE))</f>
        <v/>
      </c>
      <c r="G131" s="524" t="str">
        <f>IF(D131="","",VLOOKUP(D131,'G-6 Hedgerow Data'!$B$2:$AG$15,3,FALSE))</f>
        <v/>
      </c>
      <c r="H131" s="72"/>
      <c r="I131" s="499" t="str">
        <f>IFERROR(IF(AND(F131="V.Low",OR(H131="Good",H131="Moderate")),"Error ▲",VLOOKUP(H131,'G-1 All Habitats'!$Z$2:$AA$9,2,FALSE)),"")</f>
        <v/>
      </c>
      <c r="J131" s="146"/>
      <c r="K131" s="520" t="str">
        <f>IF(J131="","",IF(VLOOKUP(J131,'G-3 Multipliers'!$L$3:$N$6,2,FALSE)=0,"Spatial Data Missing",VLOOKUP(J131,'G-3 Multipliers'!$L$3:$N$6,2,FALSE)))</f>
        <v/>
      </c>
      <c r="L131" s="524" t="str">
        <f>IF(J131="","",IF(VLOOKUP(J131,'G-3 Multipliers'!$L$3:$N$6,3,FALSE)=0,"Spatial Data Missing",VLOOKUP(J131,'G-3 Multipliers'!$L$3:$N$6,3,FALSE)))</f>
        <v/>
      </c>
      <c r="M131" s="197"/>
      <c r="N131" s="499" t="str">
        <f>IF(M131="","",IF(VLOOKUP(M131,'G-3 Multipliers'!$S$3:$T$6,2,FALSE)=0,"Spatial Data Missing ⚠",VLOOKUP(M131,'G-3 Multipliers'!$S$3:$T$6,2,FALSE)))</f>
        <v/>
      </c>
      <c r="O131" s="498" t="str">
        <f>IF(OR(D131="",H131=""),"",(INDEX('G-6 Hedgerow Data'!$E$3:$I$15,MATCH(D131,'G-6 Hedgerow Data'!$B$3:$B$15,0),MATCH(H131,'G-6 Hedgerow Data'!$E$2:$I$2,0))))</f>
        <v/>
      </c>
      <c r="P131" s="195"/>
      <c r="Q131" s="195"/>
      <c r="R131" s="507" t="str">
        <f t="shared" si="7"/>
        <v/>
      </c>
      <c r="S131" s="507" t="str">
        <f t="shared" si="8"/>
        <v/>
      </c>
      <c r="T131" s="522" t="str">
        <f t="shared" si="6"/>
        <v/>
      </c>
      <c r="U131" s="537" t="str">
        <f>IF(D131="","",VLOOKUP(D131,'G-6 Hedgerow Data'!$B$3:$AG$15,31,FALSE))</f>
        <v/>
      </c>
      <c r="V131" s="520" t="str">
        <f t="shared" si="9"/>
        <v/>
      </c>
      <c r="W131" s="520" t="str">
        <f t="shared" si="10"/>
        <v/>
      </c>
      <c r="X131" s="524" t="str">
        <f>IF(F131="","",VLOOKUP(U131,'G-3 Multipliers'!$P$3:$Q$6,2,FALSE))</f>
        <v/>
      </c>
      <c r="Y131" s="529" t="str">
        <f t="shared" si="11"/>
        <v/>
      </c>
      <c r="Z131" s="149"/>
      <c r="AA131" s="150"/>
      <c r="AG131" s="42" t="str">
        <f>IFERROR(INDEX('G-6 Hedgerow Data'!$BJ$3:$BJ$15,MATCH(D131,'G-6 Hedgerow Data'!$B$3:$B$15,0)),"")</f>
        <v/>
      </c>
    </row>
    <row r="132" spans="2:33" ht="13.8" x14ac:dyDescent="0.25">
      <c r="B132" s="103">
        <v>121</v>
      </c>
      <c r="C132" s="268"/>
      <c r="D132" s="82"/>
      <c r="E132" s="203"/>
      <c r="F132" s="498" t="str">
        <f>IF(D132="","",VLOOKUP(D132,'G-6 Hedgerow Data'!$B$2:$AG$15,2,FALSE))</f>
        <v/>
      </c>
      <c r="G132" s="524" t="str">
        <f>IF(D132="","",VLOOKUP(D132,'G-6 Hedgerow Data'!$B$2:$AG$15,3,FALSE))</f>
        <v/>
      </c>
      <c r="H132" s="72"/>
      <c r="I132" s="499" t="str">
        <f>IFERROR(IF(AND(F132="V.Low",OR(H132="Good",H132="Moderate")),"Error ▲",VLOOKUP(H132,'G-1 All Habitats'!$Z$2:$AA$9,2,FALSE)),"")</f>
        <v/>
      </c>
      <c r="J132" s="146"/>
      <c r="K132" s="520" t="str">
        <f>IF(J132="","",IF(VLOOKUP(J132,'G-3 Multipliers'!$L$3:$N$6,2,FALSE)=0,"Spatial Data Missing",VLOOKUP(J132,'G-3 Multipliers'!$L$3:$N$6,2,FALSE)))</f>
        <v/>
      </c>
      <c r="L132" s="524" t="str">
        <f>IF(J132="","",IF(VLOOKUP(J132,'G-3 Multipliers'!$L$3:$N$6,3,FALSE)=0,"Spatial Data Missing",VLOOKUP(J132,'G-3 Multipliers'!$L$3:$N$6,3,FALSE)))</f>
        <v/>
      </c>
      <c r="M132" s="197"/>
      <c r="N132" s="499" t="str">
        <f>IF(M132="","",IF(VLOOKUP(M132,'G-3 Multipliers'!$S$3:$T$6,2,FALSE)=0,"Spatial Data Missing ⚠",VLOOKUP(M132,'G-3 Multipliers'!$S$3:$T$6,2,FALSE)))</f>
        <v/>
      </c>
      <c r="O132" s="498" t="str">
        <f>IF(OR(D132="",H132=""),"",(INDEX('G-6 Hedgerow Data'!$E$3:$I$15,MATCH(D132,'G-6 Hedgerow Data'!$B$3:$B$15,0),MATCH(H132,'G-6 Hedgerow Data'!$E$2:$I$2,0))))</f>
        <v/>
      </c>
      <c r="P132" s="195"/>
      <c r="Q132" s="195"/>
      <c r="R132" s="507" t="str">
        <f t="shared" si="7"/>
        <v/>
      </c>
      <c r="S132" s="521" t="str">
        <f t="shared" si="8"/>
        <v/>
      </c>
      <c r="T132" s="522" t="str">
        <f t="shared" si="6"/>
        <v/>
      </c>
      <c r="U132" s="537" t="str">
        <f>IF(D132="","",VLOOKUP(D132,'G-6 Hedgerow Data'!$B$3:$AG$15,31,FALSE))</f>
        <v/>
      </c>
      <c r="V132" s="520" t="str">
        <f t="shared" si="9"/>
        <v/>
      </c>
      <c r="W132" s="520" t="str">
        <f t="shared" si="10"/>
        <v/>
      </c>
      <c r="X132" s="524" t="str">
        <f>IF(F132="","",VLOOKUP(U132,'G-3 Multipliers'!$P$3:$Q$6,2,FALSE))</f>
        <v/>
      </c>
      <c r="Y132" s="529" t="str">
        <f t="shared" si="11"/>
        <v/>
      </c>
      <c r="Z132" s="149"/>
      <c r="AA132" s="150"/>
      <c r="AG132" s="31" t="str">
        <f>IFERROR(INDEX('G-6 Hedgerow Data'!$BJ$3:$BJ$15,MATCH(D132,'G-6 Hedgerow Data'!$B$3:$B$15,0)),"")</f>
        <v/>
      </c>
    </row>
    <row r="133" spans="2:33" ht="13.8" x14ac:dyDescent="0.25">
      <c r="B133" s="103">
        <v>122</v>
      </c>
      <c r="C133" s="268"/>
      <c r="D133" s="82"/>
      <c r="E133" s="203"/>
      <c r="F133" s="498" t="str">
        <f>IF(D133="","",VLOOKUP(D133,'G-6 Hedgerow Data'!$B$2:$AG$15,2,FALSE))</f>
        <v/>
      </c>
      <c r="G133" s="524" t="str">
        <f>IF(D133="","",VLOOKUP(D133,'G-6 Hedgerow Data'!$B$2:$AG$15,3,FALSE))</f>
        <v/>
      </c>
      <c r="H133" s="72"/>
      <c r="I133" s="499" t="str">
        <f>IFERROR(IF(AND(F133="V.Low",OR(H133="Good",H133="Moderate")),"Error ▲",VLOOKUP(H133,'G-1 All Habitats'!$Z$2:$AA$9,2,FALSE)),"")</f>
        <v/>
      </c>
      <c r="J133" s="146"/>
      <c r="K133" s="520" t="str">
        <f>IF(J133="","",IF(VLOOKUP(J133,'G-3 Multipliers'!$L$3:$N$6,2,FALSE)=0,"Spatial Data Missing",VLOOKUP(J133,'G-3 Multipliers'!$L$3:$N$6,2,FALSE)))</f>
        <v/>
      </c>
      <c r="L133" s="524" t="str">
        <f>IF(J133="","",IF(VLOOKUP(J133,'G-3 Multipliers'!$L$3:$N$6,3,FALSE)=0,"Spatial Data Missing",VLOOKUP(J133,'G-3 Multipliers'!$L$3:$N$6,3,FALSE)))</f>
        <v/>
      </c>
      <c r="M133" s="197"/>
      <c r="N133" s="499" t="str">
        <f>IF(M133="","",IF(VLOOKUP(M133,'G-3 Multipliers'!$S$3:$T$6,2,FALSE)=0,"Spatial Data Missing ⚠",VLOOKUP(M133,'G-3 Multipliers'!$S$3:$T$6,2,FALSE)))</f>
        <v/>
      </c>
      <c r="O133" s="498" t="str">
        <f>IF(OR(D133="",H133=""),"",(INDEX('G-6 Hedgerow Data'!$E$3:$I$15,MATCH(D133,'G-6 Hedgerow Data'!$B$3:$B$15,0),MATCH(H133,'G-6 Hedgerow Data'!$E$2:$I$2,0))))</f>
        <v/>
      </c>
      <c r="P133" s="195"/>
      <c r="Q133" s="195"/>
      <c r="R133" s="507" t="str">
        <f t="shared" si="7"/>
        <v/>
      </c>
      <c r="S133" s="521" t="str">
        <f t="shared" si="8"/>
        <v/>
      </c>
      <c r="T133" s="522" t="str">
        <f t="shared" si="6"/>
        <v/>
      </c>
      <c r="U133" s="537" t="str">
        <f>IF(D133="","",VLOOKUP(D133,'G-6 Hedgerow Data'!$B$3:$AG$15,31,FALSE))</f>
        <v/>
      </c>
      <c r="V133" s="520" t="str">
        <f t="shared" si="9"/>
        <v/>
      </c>
      <c r="W133" s="520" t="str">
        <f t="shared" si="10"/>
        <v/>
      </c>
      <c r="X133" s="524" t="str">
        <f>IF(F133="","",VLOOKUP(U133,'G-3 Multipliers'!$P$3:$Q$6,2,FALSE))</f>
        <v/>
      </c>
      <c r="Y133" s="529" t="str">
        <f t="shared" si="11"/>
        <v/>
      </c>
      <c r="Z133" s="149"/>
      <c r="AA133" s="150"/>
      <c r="AG133" s="31" t="str">
        <f>IFERROR(INDEX('G-6 Hedgerow Data'!$BJ$3:$BJ$15,MATCH(D133,'G-6 Hedgerow Data'!$B$3:$B$15,0)),"")</f>
        <v/>
      </c>
    </row>
    <row r="134" spans="2:33" ht="13.8" x14ac:dyDescent="0.25">
      <c r="B134" s="103">
        <v>123</v>
      </c>
      <c r="C134" s="268"/>
      <c r="D134" s="82"/>
      <c r="E134" s="203"/>
      <c r="F134" s="498" t="str">
        <f>IF(D134="","",VLOOKUP(D134,'G-6 Hedgerow Data'!$B$2:$AG$15,2,FALSE))</f>
        <v/>
      </c>
      <c r="G134" s="524" t="str">
        <f>IF(D134="","",VLOOKUP(D134,'G-6 Hedgerow Data'!$B$2:$AG$15,3,FALSE))</f>
        <v/>
      </c>
      <c r="H134" s="72"/>
      <c r="I134" s="499" t="str">
        <f>IFERROR(IF(AND(F134="V.Low",OR(H134="Good",H134="Moderate")),"Error ▲",VLOOKUP(H134,'G-1 All Habitats'!$Z$2:$AA$9,2,FALSE)),"")</f>
        <v/>
      </c>
      <c r="J134" s="146"/>
      <c r="K134" s="520" t="str">
        <f>IF(J134="","",IF(VLOOKUP(J134,'G-3 Multipliers'!$L$3:$N$6,2,FALSE)=0,"Spatial Data Missing",VLOOKUP(J134,'G-3 Multipliers'!$L$3:$N$6,2,FALSE)))</f>
        <v/>
      </c>
      <c r="L134" s="524" t="str">
        <f>IF(J134="","",IF(VLOOKUP(J134,'G-3 Multipliers'!$L$3:$N$6,3,FALSE)=0,"Spatial Data Missing",VLOOKUP(J134,'G-3 Multipliers'!$L$3:$N$6,3,FALSE)))</f>
        <v/>
      </c>
      <c r="M134" s="197"/>
      <c r="N134" s="499" t="str">
        <f>IF(M134="","",IF(VLOOKUP(M134,'G-3 Multipliers'!$S$3:$T$6,2,FALSE)=0,"Spatial Data Missing ⚠",VLOOKUP(M134,'G-3 Multipliers'!$S$3:$T$6,2,FALSE)))</f>
        <v/>
      </c>
      <c r="O134" s="498" t="str">
        <f>IF(OR(D134="",H134=""),"",(INDEX('G-6 Hedgerow Data'!$E$3:$I$15,MATCH(D134,'G-6 Hedgerow Data'!$B$3:$B$15,0),MATCH(H134,'G-6 Hedgerow Data'!$E$2:$I$2,0))))</f>
        <v/>
      </c>
      <c r="P134" s="195"/>
      <c r="Q134" s="195"/>
      <c r="R134" s="507" t="str">
        <f t="shared" si="7"/>
        <v/>
      </c>
      <c r="S134" s="521" t="str">
        <f t="shared" si="8"/>
        <v/>
      </c>
      <c r="T134" s="522" t="str">
        <f t="shared" si="6"/>
        <v/>
      </c>
      <c r="U134" s="537" t="str">
        <f>IF(D134="","",VLOOKUP(D134,'G-6 Hedgerow Data'!$B$3:$AG$15,31,FALSE))</f>
        <v/>
      </c>
      <c r="V134" s="520" t="str">
        <f t="shared" si="9"/>
        <v/>
      </c>
      <c r="W134" s="520" t="str">
        <f t="shared" si="10"/>
        <v/>
      </c>
      <c r="X134" s="524" t="str">
        <f>IF(F134="","",VLOOKUP(U134,'G-3 Multipliers'!$P$3:$Q$6,2,FALSE))</f>
        <v/>
      </c>
      <c r="Y134" s="529" t="str">
        <f t="shared" si="11"/>
        <v/>
      </c>
      <c r="Z134" s="149"/>
      <c r="AA134" s="150"/>
      <c r="AG134" s="31" t="str">
        <f>IFERROR(INDEX('G-6 Hedgerow Data'!$BJ$3:$BJ$15,MATCH(D134,'G-6 Hedgerow Data'!$B$3:$B$15,0)),"")</f>
        <v/>
      </c>
    </row>
    <row r="135" spans="2:33" ht="13.8" x14ac:dyDescent="0.25">
      <c r="B135" s="103">
        <v>124</v>
      </c>
      <c r="C135" s="268"/>
      <c r="D135" s="82"/>
      <c r="E135" s="203"/>
      <c r="F135" s="498" t="str">
        <f>IF(D135="","",VLOOKUP(D135,'G-6 Hedgerow Data'!$B$2:$AG$15,2,FALSE))</f>
        <v/>
      </c>
      <c r="G135" s="524" t="str">
        <f>IF(D135="","",VLOOKUP(D135,'G-6 Hedgerow Data'!$B$2:$AG$15,3,FALSE))</f>
        <v/>
      </c>
      <c r="H135" s="72"/>
      <c r="I135" s="499" t="str">
        <f>IFERROR(IF(AND(F135="V.Low",OR(H135="Good",H135="Moderate")),"Error ▲",VLOOKUP(H135,'G-1 All Habitats'!$Z$2:$AA$9,2,FALSE)),"")</f>
        <v/>
      </c>
      <c r="J135" s="146"/>
      <c r="K135" s="520" t="str">
        <f>IF(J135="","",IF(VLOOKUP(J135,'G-3 Multipliers'!$L$3:$N$6,2,FALSE)=0,"Spatial Data Missing",VLOOKUP(J135,'G-3 Multipliers'!$L$3:$N$6,2,FALSE)))</f>
        <v/>
      </c>
      <c r="L135" s="524" t="str">
        <f>IF(J135="","",IF(VLOOKUP(J135,'G-3 Multipliers'!$L$3:$N$6,3,FALSE)=0,"Spatial Data Missing",VLOOKUP(J135,'G-3 Multipliers'!$L$3:$N$6,3,FALSE)))</f>
        <v/>
      </c>
      <c r="M135" s="197"/>
      <c r="N135" s="499" t="str">
        <f>IF(M135="","",IF(VLOOKUP(M135,'G-3 Multipliers'!$S$3:$T$6,2,FALSE)=0,"Spatial Data Missing ⚠",VLOOKUP(M135,'G-3 Multipliers'!$S$3:$T$6,2,FALSE)))</f>
        <v/>
      </c>
      <c r="O135" s="498" t="str">
        <f>IF(OR(D135="",H135=""),"",(INDEX('G-6 Hedgerow Data'!$E$3:$I$15,MATCH(D135,'G-6 Hedgerow Data'!$B$3:$B$15,0),MATCH(H135,'G-6 Hedgerow Data'!$E$2:$I$2,0))))</f>
        <v/>
      </c>
      <c r="P135" s="195"/>
      <c r="Q135" s="195"/>
      <c r="R135" s="507" t="str">
        <f t="shared" si="7"/>
        <v/>
      </c>
      <c r="S135" s="521" t="str">
        <f t="shared" si="8"/>
        <v/>
      </c>
      <c r="T135" s="522" t="str">
        <f t="shared" si="6"/>
        <v/>
      </c>
      <c r="U135" s="537" t="str">
        <f>IF(D135="","",VLOOKUP(D135,'G-6 Hedgerow Data'!$B$3:$AG$15,31,FALSE))</f>
        <v/>
      </c>
      <c r="V135" s="520" t="str">
        <f t="shared" si="9"/>
        <v/>
      </c>
      <c r="W135" s="520" t="str">
        <f t="shared" si="10"/>
        <v/>
      </c>
      <c r="X135" s="524" t="str">
        <f>IF(F135="","",VLOOKUP(U135,'G-3 Multipliers'!$P$3:$Q$6,2,FALSE))</f>
        <v/>
      </c>
      <c r="Y135" s="529" t="str">
        <f t="shared" si="11"/>
        <v/>
      </c>
      <c r="Z135" s="149"/>
      <c r="AA135" s="150"/>
      <c r="AG135" s="31" t="str">
        <f>IFERROR(INDEX('G-6 Hedgerow Data'!$BJ$3:$BJ$15,MATCH(D135,'G-6 Hedgerow Data'!$B$3:$B$15,0)),"")</f>
        <v/>
      </c>
    </row>
    <row r="136" spans="2:33" ht="13.8" x14ac:dyDescent="0.25">
      <c r="B136" s="103">
        <v>125</v>
      </c>
      <c r="C136" s="268"/>
      <c r="D136" s="82"/>
      <c r="E136" s="203"/>
      <c r="F136" s="498" t="str">
        <f>IF(D136="","",VLOOKUP(D136,'G-6 Hedgerow Data'!$B$2:$AG$15,2,FALSE))</f>
        <v/>
      </c>
      <c r="G136" s="524" t="str">
        <f>IF(D136="","",VLOOKUP(D136,'G-6 Hedgerow Data'!$B$2:$AG$15,3,FALSE))</f>
        <v/>
      </c>
      <c r="H136" s="72"/>
      <c r="I136" s="499" t="str">
        <f>IFERROR(IF(AND(F136="V.Low",OR(H136="Good",H136="Moderate")),"Error ▲",VLOOKUP(H136,'G-1 All Habitats'!$Z$2:$AA$9,2,FALSE)),"")</f>
        <v/>
      </c>
      <c r="J136" s="146"/>
      <c r="K136" s="520" t="str">
        <f>IF(J136="","",IF(VLOOKUP(J136,'G-3 Multipliers'!$L$3:$N$6,2,FALSE)=0,"Spatial Data Missing",VLOOKUP(J136,'G-3 Multipliers'!$L$3:$N$6,2,FALSE)))</f>
        <v/>
      </c>
      <c r="L136" s="524" t="str">
        <f>IF(J136="","",IF(VLOOKUP(J136,'G-3 Multipliers'!$L$3:$N$6,3,FALSE)=0,"Spatial Data Missing",VLOOKUP(J136,'G-3 Multipliers'!$L$3:$N$6,3,FALSE)))</f>
        <v/>
      </c>
      <c r="M136" s="197"/>
      <c r="N136" s="499" t="str">
        <f>IF(M136="","",IF(VLOOKUP(M136,'G-3 Multipliers'!$S$3:$T$6,2,FALSE)=0,"Spatial Data Missing ⚠",VLOOKUP(M136,'G-3 Multipliers'!$S$3:$T$6,2,FALSE)))</f>
        <v/>
      </c>
      <c r="O136" s="498" t="str">
        <f>IF(OR(D136="",H136=""),"",(INDEX('G-6 Hedgerow Data'!$E$3:$I$15,MATCH(D136,'G-6 Hedgerow Data'!$B$3:$B$15,0),MATCH(H136,'G-6 Hedgerow Data'!$E$2:$I$2,0))))</f>
        <v/>
      </c>
      <c r="P136" s="195"/>
      <c r="Q136" s="195"/>
      <c r="R136" s="507" t="str">
        <f t="shared" si="7"/>
        <v/>
      </c>
      <c r="S136" s="521" t="str">
        <f t="shared" si="8"/>
        <v/>
      </c>
      <c r="T136" s="522" t="str">
        <f t="shared" si="6"/>
        <v/>
      </c>
      <c r="U136" s="537" t="str">
        <f>IF(D136="","",VLOOKUP(D136,'G-6 Hedgerow Data'!$B$3:$AG$15,31,FALSE))</f>
        <v/>
      </c>
      <c r="V136" s="520" t="str">
        <f t="shared" si="9"/>
        <v/>
      </c>
      <c r="W136" s="520" t="str">
        <f t="shared" si="10"/>
        <v/>
      </c>
      <c r="X136" s="524" t="str">
        <f>IF(F136="","",VLOOKUP(U136,'G-3 Multipliers'!$P$3:$Q$6,2,FALSE))</f>
        <v/>
      </c>
      <c r="Y136" s="529" t="str">
        <f t="shared" si="11"/>
        <v/>
      </c>
      <c r="Z136" s="149"/>
      <c r="AA136" s="150"/>
      <c r="AG136" s="31" t="str">
        <f>IFERROR(INDEX('G-6 Hedgerow Data'!$BJ$3:$BJ$15,MATCH(D136,'G-6 Hedgerow Data'!$B$3:$B$15,0)),"")</f>
        <v/>
      </c>
    </row>
    <row r="137" spans="2:33" ht="13.8" x14ac:dyDescent="0.25">
      <c r="B137" s="103">
        <v>126</v>
      </c>
      <c r="C137" s="268"/>
      <c r="D137" s="82"/>
      <c r="E137" s="203"/>
      <c r="F137" s="498" t="str">
        <f>IF(D137="","",VLOOKUP(D137,'G-6 Hedgerow Data'!$B$2:$AG$15,2,FALSE))</f>
        <v/>
      </c>
      <c r="G137" s="524" t="str">
        <f>IF(D137="","",VLOOKUP(D137,'G-6 Hedgerow Data'!$B$2:$AG$15,3,FALSE))</f>
        <v/>
      </c>
      <c r="H137" s="72"/>
      <c r="I137" s="499" t="str">
        <f>IFERROR(IF(AND(F137="V.Low",OR(H137="Good",H137="Moderate")),"Error ▲",VLOOKUP(H137,'G-1 All Habitats'!$Z$2:$AA$9,2,FALSE)),"")</f>
        <v/>
      </c>
      <c r="J137" s="146"/>
      <c r="K137" s="520" t="str">
        <f>IF(J137="","",IF(VLOOKUP(J137,'G-3 Multipliers'!$L$3:$N$6,2,FALSE)=0,"Spatial Data Missing",VLOOKUP(J137,'G-3 Multipliers'!$L$3:$N$6,2,FALSE)))</f>
        <v/>
      </c>
      <c r="L137" s="524" t="str">
        <f>IF(J137="","",IF(VLOOKUP(J137,'G-3 Multipliers'!$L$3:$N$6,3,FALSE)=0,"Spatial Data Missing",VLOOKUP(J137,'G-3 Multipliers'!$L$3:$N$6,3,FALSE)))</f>
        <v/>
      </c>
      <c r="M137" s="197"/>
      <c r="N137" s="499" t="str">
        <f>IF(M137="","",IF(VLOOKUP(M137,'G-3 Multipliers'!$S$3:$T$6,2,FALSE)=0,"Spatial Data Missing ⚠",VLOOKUP(M137,'G-3 Multipliers'!$S$3:$T$6,2,FALSE)))</f>
        <v/>
      </c>
      <c r="O137" s="498" t="str">
        <f>IF(OR(D137="",H137=""),"",(INDEX('G-6 Hedgerow Data'!$E$3:$I$15,MATCH(D137,'G-6 Hedgerow Data'!$B$3:$B$15,0),MATCH(H137,'G-6 Hedgerow Data'!$E$2:$I$2,0))))</f>
        <v/>
      </c>
      <c r="P137" s="195"/>
      <c r="Q137" s="195"/>
      <c r="R137" s="507" t="str">
        <f t="shared" si="7"/>
        <v/>
      </c>
      <c r="S137" s="521" t="str">
        <f t="shared" si="8"/>
        <v/>
      </c>
      <c r="T137" s="522" t="str">
        <f t="shared" si="6"/>
        <v/>
      </c>
      <c r="U137" s="537" t="str">
        <f>IF(D137="","",VLOOKUP(D137,'G-6 Hedgerow Data'!$B$3:$AG$15,31,FALSE))</f>
        <v/>
      </c>
      <c r="V137" s="520" t="str">
        <f t="shared" si="9"/>
        <v/>
      </c>
      <c r="W137" s="520" t="str">
        <f t="shared" si="10"/>
        <v/>
      </c>
      <c r="X137" s="524" t="str">
        <f>IF(F137="","",VLOOKUP(U137,'G-3 Multipliers'!$P$3:$Q$6,2,FALSE))</f>
        <v/>
      </c>
      <c r="Y137" s="529" t="str">
        <f t="shared" si="11"/>
        <v/>
      </c>
      <c r="Z137" s="149"/>
      <c r="AA137" s="150"/>
      <c r="AG137" s="31" t="str">
        <f>IFERROR(INDEX('G-6 Hedgerow Data'!$BJ$3:$BJ$15,MATCH(D137,'G-6 Hedgerow Data'!$B$3:$B$15,0)),"")</f>
        <v/>
      </c>
    </row>
    <row r="138" spans="2:33" ht="13.8" x14ac:dyDescent="0.25">
      <c r="B138" s="103">
        <v>127</v>
      </c>
      <c r="C138" s="268"/>
      <c r="D138" s="82"/>
      <c r="E138" s="203"/>
      <c r="F138" s="498" t="str">
        <f>IF(D138="","",VLOOKUP(D138,'G-6 Hedgerow Data'!$B$2:$AG$15,2,FALSE))</f>
        <v/>
      </c>
      <c r="G138" s="524" t="str">
        <f>IF(D138="","",VLOOKUP(D138,'G-6 Hedgerow Data'!$B$2:$AG$15,3,FALSE))</f>
        <v/>
      </c>
      <c r="H138" s="72"/>
      <c r="I138" s="499" t="str">
        <f>IFERROR(IF(AND(F138="V.Low",OR(H138="Good",H138="Moderate")),"Error ▲",VLOOKUP(H138,'G-1 All Habitats'!$Z$2:$AA$9,2,FALSE)),"")</f>
        <v/>
      </c>
      <c r="J138" s="146"/>
      <c r="K138" s="520" t="str">
        <f>IF(J138="","",IF(VLOOKUP(J138,'G-3 Multipliers'!$L$3:$N$6,2,FALSE)=0,"Spatial Data Missing",VLOOKUP(J138,'G-3 Multipliers'!$L$3:$N$6,2,FALSE)))</f>
        <v/>
      </c>
      <c r="L138" s="524" t="str">
        <f>IF(J138="","",IF(VLOOKUP(J138,'G-3 Multipliers'!$L$3:$N$6,3,FALSE)=0,"Spatial Data Missing",VLOOKUP(J138,'G-3 Multipliers'!$L$3:$N$6,3,FALSE)))</f>
        <v/>
      </c>
      <c r="M138" s="197"/>
      <c r="N138" s="499" t="str">
        <f>IF(M138="","",IF(VLOOKUP(M138,'G-3 Multipliers'!$S$3:$T$6,2,FALSE)=0,"Spatial Data Missing ⚠",VLOOKUP(M138,'G-3 Multipliers'!$S$3:$T$6,2,FALSE)))</f>
        <v/>
      </c>
      <c r="O138" s="498" t="str">
        <f>IF(OR(D138="",H138=""),"",(INDEX('G-6 Hedgerow Data'!$E$3:$I$15,MATCH(D138,'G-6 Hedgerow Data'!$B$3:$B$15,0),MATCH(H138,'G-6 Hedgerow Data'!$E$2:$I$2,0))))</f>
        <v/>
      </c>
      <c r="P138" s="195"/>
      <c r="Q138" s="195"/>
      <c r="R138" s="507" t="str">
        <f t="shared" si="7"/>
        <v/>
      </c>
      <c r="S138" s="521" t="str">
        <f t="shared" si="8"/>
        <v/>
      </c>
      <c r="T138" s="522" t="str">
        <f t="shared" si="6"/>
        <v/>
      </c>
      <c r="U138" s="537" t="str">
        <f>IF(D138="","",VLOOKUP(D138,'G-6 Hedgerow Data'!$B$3:$AG$15,31,FALSE))</f>
        <v/>
      </c>
      <c r="V138" s="520" t="str">
        <f t="shared" si="9"/>
        <v/>
      </c>
      <c r="W138" s="520" t="str">
        <f t="shared" si="10"/>
        <v/>
      </c>
      <c r="X138" s="524" t="str">
        <f>IF(F138="","",VLOOKUP(U138,'G-3 Multipliers'!$P$3:$Q$6,2,FALSE))</f>
        <v/>
      </c>
      <c r="Y138" s="529" t="str">
        <f t="shared" si="11"/>
        <v/>
      </c>
      <c r="Z138" s="149"/>
      <c r="AA138" s="150"/>
      <c r="AG138" s="31" t="str">
        <f>IFERROR(INDEX('G-6 Hedgerow Data'!$BJ$3:$BJ$15,MATCH(D138,'G-6 Hedgerow Data'!$B$3:$B$15,0)),"")</f>
        <v/>
      </c>
    </row>
    <row r="139" spans="2:33" ht="13.8" x14ac:dyDescent="0.25">
      <c r="B139" s="103">
        <v>128</v>
      </c>
      <c r="C139" s="268"/>
      <c r="D139" s="82"/>
      <c r="E139" s="203"/>
      <c r="F139" s="498" t="str">
        <f>IF(D139="","",VLOOKUP(D139,'G-6 Hedgerow Data'!$B$2:$AG$15,2,FALSE))</f>
        <v/>
      </c>
      <c r="G139" s="524" t="str">
        <f>IF(D139="","",VLOOKUP(D139,'G-6 Hedgerow Data'!$B$2:$AG$15,3,FALSE))</f>
        <v/>
      </c>
      <c r="H139" s="72"/>
      <c r="I139" s="499" t="str">
        <f>IFERROR(IF(AND(F139="V.Low",OR(H139="Good",H139="Moderate")),"Error ▲",VLOOKUP(H139,'G-1 All Habitats'!$Z$2:$AA$9,2,FALSE)),"")</f>
        <v/>
      </c>
      <c r="J139" s="146"/>
      <c r="K139" s="520" t="str">
        <f>IF(J139="","",IF(VLOOKUP(J139,'G-3 Multipliers'!$L$3:$N$6,2,FALSE)=0,"Spatial Data Missing",VLOOKUP(J139,'G-3 Multipliers'!$L$3:$N$6,2,FALSE)))</f>
        <v/>
      </c>
      <c r="L139" s="524" t="str">
        <f>IF(J139="","",IF(VLOOKUP(J139,'G-3 Multipliers'!$L$3:$N$6,3,FALSE)=0,"Spatial Data Missing",VLOOKUP(J139,'G-3 Multipliers'!$L$3:$N$6,3,FALSE)))</f>
        <v/>
      </c>
      <c r="M139" s="197"/>
      <c r="N139" s="499" t="str">
        <f>IF(M139="","",IF(VLOOKUP(M139,'G-3 Multipliers'!$S$3:$T$6,2,FALSE)=0,"Spatial Data Missing ⚠",VLOOKUP(M139,'G-3 Multipliers'!$S$3:$T$6,2,FALSE)))</f>
        <v/>
      </c>
      <c r="O139" s="498" t="str">
        <f>IF(OR(D139="",H139=""),"",(INDEX('G-6 Hedgerow Data'!$E$3:$I$15,MATCH(D139,'G-6 Hedgerow Data'!$B$3:$B$15,0),MATCH(H139,'G-6 Hedgerow Data'!$E$2:$I$2,0))))</f>
        <v/>
      </c>
      <c r="P139" s="195"/>
      <c r="Q139" s="195"/>
      <c r="R139" s="507" t="str">
        <f t="shared" si="7"/>
        <v/>
      </c>
      <c r="S139" s="521" t="str">
        <f t="shared" si="8"/>
        <v/>
      </c>
      <c r="T139" s="522" t="str">
        <f t="shared" si="6"/>
        <v/>
      </c>
      <c r="U139" s="537" t="str">
        <f>IF(D139="","",VLOOKUP(D139,'G-6 Hedgerow Data'!$B$3:$AG$15,31,FALSE))</f>
        <v/>
      </c>
      <c r="V139" s="520" t="str">
        <f t="shared" si="9"/>
        <v/>
      </c>
      <c r="W139" s="520" t="str">
        <f t="shared" si="10"/>
        <v/>
      </c>
      <c r="X139" s="524" t="str">
        <f>IF(F139="","",VLOOKUP(U139,'G-3 Multipliers'!$P$3:$Q$6,2,FALSE))</f>
        <v/>
      </c>
      <c r="Y139" s="529" t="str">
        <f t="shared" si="11"/>
        <v/>
      </c>
      <c r="Z139" s="149"/>
      <c r="AA139" s="150"/>
      <c r="AG139" s="31" t="str">
        <f>IFERROR(INDEX('G-6 Hedgerow Data'!$BJ$3:$BJ$15,MATCH(D139,'G-6 Hedgerow Data'!$B$3:$B$15,0)),"")</f>
        <v/>
      </c>
    </row>
    <row r="140" spans="2:33" ht="13.8" x14ac:dyDescent="0.25">
      <c r="B140" s="103">
        <v>129</v>
      </c>
      <c r="C140" s="268"/>
      <c r="D140" s="82"/>
      <c r="E140" s="203"/>
      <c r="F140" s="498" t="str">
        <f>IF(D140="","",VLOOKUP(D140,'G-6 Hedgerow Data'!$B$2:$AG$15,2,FALSE))</f>
        <v/>
      </c>
      <c r="G140" s="524" t="str">
        <f>IF(D140="","",VLOOKUP(D140,'G-6 Hedgerow Data'!$B$2:$AG$15,3,FALSE))</f>
        <v/>
      </c>
      <c r="H140" s="72"/>
      <c r="I140" s="499" t="str">
        <f>IFERROR(IF(AND(F140="V.Low",OR(H140="Good",H140="Moderate")),"Error ▲",VLOOKUP(H140,'G-1 All Habitats'!$Z$2:$AA$9,2,FALSE)),"")</f>
        <v/>
      </c>
      <c r="J140" s="146"/>
      <c r="K140" s="520" t="str">
        <f>IF(J140="","",IF(VLOOKUP(J140,'G-3 Multipliers'!$L$3:$N$6,2,FALSE)=0,"Spatial Data Missing",VLOOKUP(J140,'G-3 Multipliers'!$L$3:$N$6,2,FALSE)))</f>
        <v/>
      </c>
      <c r="L140" s="524" t="str">
        <f>IF(J140="","",IF(VLOOKUP(J140,'G-3 Multipliers'!$L$3:$N$6,3,FALSE)=0,"Spatial Data Missing",VLOOKUP(J140,'G-3 Multipliers'!$L$3:$N$6,3,FALSE)))</f>
        <v/>
      </c>
      <c r="M140" s="197"/>
      <c r="N140" s="499" t="str">
        <f>IF(M140="","",IF(VLOOKUP(M140,'G-3 Multipliers'!$S$3:$T$6,2,FALSE)=0,"Spatial Data Missing ⚠",VLOOKUP(M140,'G-3 Multipliers'!$S$3:$T$6,2,FALSE)))</f>
        <v/>
      </c>
      <c r="O140" s="498" t="str">
        <f>IF(OR(D140="",H140=""),"",(INDEX('G-6 Hedgerow Data'!$E$3:$I$15,MATCH(D140,'G-6 Hedgerow Data'!$B$3:$B$15,0),MATCH(H140,'G-6 Hedgerow Data'!$E$2:$I$2,0))))</f>
        <v/>
      </c>
      <c r="P140" s="195"/>
      <c r="Q140" s="195"/>
      <c r="R140" s="507" t="str">
        <f t="shared" si="7"/>
        <v/>
      </c>
      <c r="S140" s="521" t="str">
        <f t="shared" si="8"/>
        <v/>
      </c>
      <c r="T140" s="522" t="str">
        <f t="shared" ref="T140:T203" si="12">IF(D140="","",IF(LEFT(R140,5)="Error ▲","Check Data ⚠",VLOOKUP(S140,TemporalMultipliers,3,FALSE)))</f>
        <v/>
      </c>
      <c r="U140" s="537" t="str">
        <f>IF(D140="","",VLOOKUP(D140,'G-6 Hedgerow Data'!$B$3:$AG$15,31,FALSE))</f>
        <v/>
      </c>
      <c r="V140" s="520" t="str">
        <f t="shared" si="9"/>
        <v/>
      </c>
      <c r="W140" s="520" t="str">
        <f t="shared" si="10"/>
        <v/>
      </c>
      <c r="X140" s="524" t="str">
        <f>IF(F140="","",VLOOKUP(U140,'G-3 Multipliers'!$P$3:$Q$6,2,FALSE))</f>
        <v/>
      </c>
      <c r="Y140" s="529" t="str">
        <f t="shared" si="11"/>
        <v/>
      </c>
      <c r="Z140" s="149"/>
      <c r="AA140" s="150"/>
      <c r="AG140" s="31" t="str">
        <f>IFERROR(INDEX('G-6 Hedgerow Data'!$BJ$3:$BJ$15,MATCH(D140,'G-6 Hedgerow Data'!$B$3:$B$15,0)),"")</f>
        <v/>
      </c>
    </row>
    <row r="141" spans="2:33" ht="13.8" x14ac:dyDescent="0.25">
      <c r="B141" s="103">
        <v>130</v>
      </c>
      <c r="C141" s="268"/>
      <c r="D141" s="82"/>
      <c r="E141" s="203"/>
      <c r="F141" s="498" t="str">
        <f>IF(D141="","",VLOOKUP(D141,'G-6 Hedgerow Data'!$B$2:$AG$15,2,FALSE))</f>
        <v/>
      </c>
      <c r="G141" s="524" t="str">
        <f>IF(D141="","",VLOOKUP(D141,'G-6 Hedgerow Data'!$B$2:$AG$15,3,FALSE))</f>
        <v/>
      </c>
      <c r="H141" s="72"/>
      <c r="I141" s="499" t="str">
        <f>IFERROR(IF(AND(F141="V.Low",OR(H141="Good",H141="Moderate")),"Error ▲",VLOOKUP(H141,'G-1 All Habitats'!$Z$2:$AA$9,2,FALSE)),"")</f>
        <v/>
      </c>
      <c r="J141" s="146"/>
      <c r="K141" s="520" t="str">
        <f>IF(J141="","",IF(VLOOKUP(J141,'G-3 Multipliers'!$L$3:$N$6,2,FALSE)=0,"Spatial Data Missing",VLOOKUP(J141,'G-3 Multipliers'!$L$3:$N$6,2,FALSE)))</f>
        <v/>
      </c>
      <c r="L141" s="524" t="str">
        <f>IF(J141="","",IF(VLOOKUP(J141,'G-3 Multipliers'!$L$3:$N$6,3,FALSE)=0,"Spatial Data Missing",VLOOKUP(J141,'G-3 Multipliers'!$L$3:$N$6,3,FALSE)))</f>
        <v/>
      </c>
      <c r="M141" s="197"/>
      <c r="N141" s="499" t="str">
        <f>IF(M141="","",IF(VLOOKUP(M141,'G-3 Multipliers'!$S$3:$T$6,2,FALSE)=0,"Spatial Data Missing ⚠",VLOOKUP(M141,'G-3 Multipliers'!$S$3:$T$6,2,FALSE)))</f>
        <v/>
      </c>
      <c r="O141" s="498" t="str">
        <f>IF(OR(D141="",H141=""),"",(INDEX('G-6 Hedgerow Data'!$E$3:$I$15,MATCH(D141,'G-6 Hedgerow Data'!$B$3:$B$15,0),MATCH(H141,'G-6 Hedgerow Data'!$E$2:$I$2,0))))</f>
        <v/>
      </c>
      <c r="P141" s="195"/>
      <c r="Q141" s="195"/>
      <c r="R141" s="507" t="str">
        <f t="shared" ref="R141:R204" si="13">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521" t="str">
        <f t="shared" ref="S141:S204" si="14">IF(O141="","",IF(LEFT(R141,5)="Error ▲","Check Data ⚠",IF(OR(P141="30+",P141="Habitat already in target condition"),0,IF(Q141="30+","30+",IF(AND(O141="30+",OR(P141="",P141=0)),"30+ ⚠",IF(AND(O141="30+",P141&gt;0),32-P141,IF(O141+Q141&gt;30,"30+ ⚠",IF(O141+Q141-P141&gt;0,O141+Q141-P141,IF(O141-P141&lt;0,0,O141+Q141-P141)))))))))</f>
        <v/>
      </c>
      <c r="T141" s="522" t="str">
        <f t="shared" si="12"/>
        <v/>
      </c>
      <c r="U141" s="537" t="str">
        <f>IF(D141="","",VLOOKUP(D141,'G-6 Hedgerow Data'!$B$3:$AG$15,31,FALSE))</f>
        <v/>
      </c>
      <c r="V141" s="520" t="str">
        <f t="shared" ref="V141:V204" si="15">IF(D141="","",IF(S141="Check Data ⚠","Check Data ⚠",IF(H141="","",IF($R141="Check details - Is there evidence that habitat has reached target condition? ⚠","Low Difficulty - only applicable if all habitat created before losses","Standard difficulty applied"))))</f>
        <v/>
      </c>
      <c r="W141" s="520" t="str">
        <f t="shared" ref="W141:W204" si="16">(IF(AND(V141="Standard difficulty applied",O141&gt;P141),U141,IF(AND(V141="Low Difficulty - only applicable if all habitat created before losses",P141&gt;=O141),"Low",U141)))</f>
        <v/>
      </c>
      <c r="X141" s="524" t="str">
        <f>IF(F141="","",VLOOKUP(U141,'G-3 Multipliers'!$P$3:$Q$6,2,FALSE))</f>
        <v/>
      </c>
      <c r="Y141" s="529" t="str">
        <f t="shared" ref="Y141:Y204" si="17">IFERROR(E141*G141*I141*L141*T141*X141*N141,"")</f>
        <v/>
      </c>
      <c r="Z141" s="149"/>
      <c r="AA141" s="150"/>
      <c r="AG141" s="31" t="str">
        <f>IFERROR(INDEX('G-6 Hedgerow Data'!$BJ$3:$BJ$15,MATCH(D141,'G-6 Hedgerow Data'!$B$3:$B$15,0)),"")</f>
        <v/>
      </c>
    </row>
    <row r="142" spans="2:33" ht="13.8" x14ac:dyDescent="0.25">
      <c r="B142" s="103">
        <v>131</v>
      </c>
      <c r="C142" s="268"/>
      <c r="D142" s="82"/>
      <c r="E142" s="203"/>
      <c r="F142" s="498" t="str">
        <f>IF(D142="","",VLOOKUP(D142,'G-6 Hedgerow Data'!$B$2:$AG$15,2,FALSE))</f>
        <v/>
      </c>
      <c r="G142" s="524" t="str">
        <f>IF(D142="","",VLOOKUP(D142,'G-6 Hedgerow Data'!$B$2:$AG$15,3,FALSE))</f>
        <v/>
      </c>
      <c r="H142" s="72"/>
      <c r="I142" s="499" t="str">
        <f>IFERROR(IF(AND(F142="V.Low",OR(H142="Good",H142="Moderate")),"Error ▲",VLOOKUP(H142,'G-1 All Habitats'!$Z$2:$AA$9,2,FALSE)),"")</f>
        <v/>
      </c>
      <c r="J142" s="146"/>
      <c r="K142" s="520" t="str">
        <f>IF(J142="","",IF(VLOOKUP(J142,'G-3 Multipliers'!$L$3:$N$6,2,FALSE)=0,"Spatial Data Missing",VLOOKUP(J142,'G-3 Multipliers'!$L$3:$N$6,2,FALSE)))</f>
        <v/>
      </c>
      <c r="L142" s="524" t="str">
        <f>IF(J142="","",IF(VLOOKUP(J142,'G-3 Multipliers'!$L$3:$N$6,3,FALSE)=0,"Spatial Data Missing",VLOOKUP(J142,'G-3 Multipliers'!$L$3:$N$6,3,FALSE)))</f>
        <v/>
      </c>
      <c r="M142" s="197"/>
      <c r="N142" s="499" t="str">
        <f>IF(M142="","",IF(VLOOKUP(M142,'G-3 Multipliers'!$S$3:$T$6,2,FALSE)=0,"Spatial Data Missing ⚠",VLOOKUP(M142,'G-3 Multipliers'!$S$3:$T$6,2,FALSE)))</f>
        <v/>
      </c>
      <c r="O142" s="498" t="str">
        <f>IF(OR(D142="",H142=""),"",(INDEX('G-6 Hedgerow Data'!$E$3:$I$15,MATCH(D142,'G-6 Hedgerow Data'!$B$3:$B$15,0),MATCH(H142,'G-6 Hedgerow Data'!$E$2:$I$2,0))))</f>
        <v/>
      </c>
      <c r="P142" s="195"/>
      <c r="Q142" s="195"/>
      <c r="R142" s="507" t="str">
        <f t="shared" si="13"/>
        <v/>
      </c>
      <c r="S142" s="521" t="str">
        <f t="shared" si="14"/>
        <v/>
      </c>
      <c r="T142" s="522" t="str">
        <f t="shared" si="12"/>
        <v/>
      </c>
      <c r="U142" s="537" t="str">
        <f>IF(D142="","",VLOOKUP(D142,'G-6 Hedgerow Data'!$B$3:$AG$15,31,FALSE))</f>
        <v/>
      </c>
      <c r="V142" s="520" t="str">
        <f t="shared" si="15"/>
        <v/>
      </c>
      <c r="W142" s="520" t="str">
        <f t="shared" si="16"/>
        <v/>
      </c>
      <c r="X142" s="524" t="str">
        <f>IF(F142="","",VLOOKUP(U142,'G-3 Multipliers'!$P$3:$Q$6,2,FALSE))</f>
        <v/>
      </c>
      <c r="Y142" s="529" t="str">
        <f t="shared" si="17"/>
        <v/>
      </c>
      <c r="Z142" s="149"/>
      <c r="AA142" s="150"/>
      <c r="AG142" s="31" t="str">
        <f>IFERROR(INDEX('G-6 Hedgerow Data'!$BJ$3:$BJ$15,MATCH(D142,'G-6 Hedgerow Data'!$B$3:$B$15,0)),"")</f>
        <v/>
      </c>
    </row>
    <row r="143" spans="2:33" ht="13.8" x14ac:dyDescent="0.25">
      <c r="B143" s="103">
        <v>132</v>
      </c>
      <c r="C143" s="268"/>
      <c r="D143" s="82"/>
      <c r="E143" s="203"/>
      <c r="F143" s="498" t="str">
        <f>IF(D143="","",VLOOKUP(D143,'G-6 Hedgerow Data'!$B$2:$AG$15,2,FALSE))</f>
        <v/>
      </c>
      <c r="G143" s="524" t="str">
        <f>IF(D143="","",VLOOKUP(D143,'G-6 Hedgerow Data'!$B$2:$AG$15,3,FALSE))</f>
        <v/>
      </c>
      <c r="H143" s="72"/>
      <c r="I143" s="499" t="str">
        <f>IFERROR(IF(AND(F143="V.Low",OR(H143="Good",H143="Moderate")),"Error ▲",VLOOKUP(H143,'G-1 All Habitats'!$Z$2:$AA$9,2,FALSE)),"")</f>
        <v/>
      </c>
      <c r="J143" s="146"/>
      <c r="K143" s="520" t="str">
        <f>IF(J143="","",IF(VLOOKUP(J143,'G-3 Multipliers'!$L$3:$N$6,2,FALSE)=0,"Spatial Data Missing",VLOOKUP(J143,'G-3 Multipliers'!$L$3:$N$6,2,FALSE)))</f>
        <v/>
      </c>
      <c r="L143" s="524" t="str">
        <f>IF(J143="","",IF(VLOOKUP(J143,'G-3 Multipliers'!$L$3:$N$6,3,FALSE)=0,"Spatial Data Missing",VLOOKUP(J143,'G-3 Multipliers'!$L$3:$N$6,3,FALSE)))</f>
        <v/>
      </c>
      <c r="M143" s="197"/>
      <c r="N143" s="499" t="str">
        <f>IF(M143="","",IF(VLOOKUP(M143,'G-3 Multipliers'!$S$3:$T$6,2,FALSE)=0,"Spatial Data Missing ⚠",VLOOKUP(M143,'G-3 Multipliers'!$S$3:$T$6,2,FALSE)))</f>
        <v/>
      </c>
      <c r="O143" s="498" t="str">
        <f>IF(OR(D143="",H143=""),"",(INDEX('G-6 Hedgerow Data'!$E$3:$I$15,MATCH(D143,'G-6 Hedgerow Data'!$B$3:$B$15,0),MATCH(H143,'G-6 Hedgerow Data'!$E$2:$I$2,0))))</f>
        <v/>
      </c>
      <c r="P143" s="195"/>
      <c r="Q143" s="195"/>
      <c r="R143" s="507" t="str">
        <f t="shared" si="13"/>
        <v/>
      </c>
      <c r="S143" s="521" t="str">
        <f t="shared" si="14"/>
        <v/>
      </c>
      <c r="T143" s="522" t="str">
        <f t="shared" si="12"/>
        <v/>
      </c>
      <c r="U143" s="537" t="str">
        <f>IF(D143="","",VLOOKUP(D143,'G-6 Hedgerow Data'!$B$3:$AG$15,31,FALSE))</f>
        <v/>
      </c>
      <c r="V143" s="520" t="str">
        <f t="shared" si="15"/>
        <v/>
      </c>
      <c r="W143" s="520" t="str">
        <f t="shared" si="16"/>
        <v/>
      </c>
      <c r="X143" s="524" t="str">
        <f>IF(F143="","",VLOOKUP(U143,'G-3 Multipliers'!$P$3:$Q$6,2,FALSE))</f>
        <v/>
      </c>
      <c r="Y143" s="529" t="str">
        <f t="shared" si="17"/>
        <v/>
      </c>
      <c r="Z143" s="149"/>
      <c r="AA143" s="150"/>
      <c r="AG143" s="31" t="str">
        <f>IFERROR(INDEX('G-6 Hedgerow Data'!$BJ$3:$BJ$15,MATCH(D143,'G-6 Hedgerow Data'!$B$3:$B$15,0)),"")</f>
        <v/>
      </c>
    </row>
    <row r="144" spans="2:33" ht="13.8" x14ac:dyDescent="0.25">
      <c r="B144" s="103">
        <v>133</v>
      </c>
      <c r="C144" s="268"/>
      <c r="D144" s="82"/>
      <c r="E144" s="203"/>
      <c r="F144" s="498" t="str">
        <f>IF(D144="","",VLOOKUP(D144,'G-6 Hedgerow Data'!$B$2:$AG$15,2,FALSE))</f>
        <v/>
      </c>
      <c r="G144" s="524" t="str">
        <f>IF(D144="","",VLOOKUP(D144,'G-6 Hedgerow Data'!$B$2:$AG$15,3,FALSE))</f>
        <v/>
      </c>
      <c r="H144" s="72"/>
      <c r="I144" s="499" t="str">
        <f>IFERROR(IF(AND(F144="V.Low",OR(H144="Good",H144="Moderate")),"Error ▲",VLOOKUP(H144,'G-1 All Habitats'!$Z$2:$AA$9,2,FALSE)),"")</f>
        <v/>
      </c>
      <c r="J144" s="146"/>
      <c r="K144" s="520" t="str">
        <f>IF(J144="","",IF(VLOOKUP(J144,'G-3 Multipliers'!$L$3:$N$6,2,FALSE)=0,"Spatial Data Missing",VLOOKUP(J144,'G-3 Multipliers'!$L$3:$N$6,2,FALSE)))</f>
        <v/>
      </c>
      <c r="L144" s="524" t="str">
        <f>IF(J144="","",IF(VLOOKUP(J144,'G-3 Multipliers'!$L$3:$N$6,3,FALSE)=0,"Spatial Data Missing",VLOOKUP(J144,'G-3 Multipliers'!$L$3:$N$6,3,FALSE)))</f>
        <v/>
      </c>
      <c r="M144" s="197"/>
      <c r="N144" s="499" t="str">
        <f>IF(M144="","",IF(VLOOKUP(M144,'G-3 Multipliers'!$S$3:$T$6,2,FALSE)=0,"Spatial Data Missing ⚠",VLOOKUP(M144,'G-3 Multipliers'!$S$3:$T$6,2,FALSE)))</f>
        <v/>
      </c>
      <c r="O144" s="498" t="str">
        <f>IF(OR(D144="",H144=""),"",(INDEX('G-6 Hedgerow Data'!$E$3:$I$15,MATCH(D144,'G-6 Hedgerow Data'!$B$3:$B$15,0),MATCH(H144,'G-6 Hedgerow Data'!$E$2:$I$2,0))))</f>
        <v/>
      </c>
      <c r="P144" s="195"/>
      <c r="Q144" s="195"/>
      <c r="R144" s="507" t="str">
        <f t="shared" si="13"/>
        <v/>
      </c>
      <c r="S144" s="521" t="str">
        <f t="shared" si="14"/>
        <v/>
      </c>
      <c r="T144" s="522" t="str">
        <f t="shared" si="12"/>
        <v/>
      </c>
      <c r="U144" s="537" t="str">
        <f>IF(D144="","",VLOOKUP(D144,'G-6 Hedgerow Data'!$B$3:$AG$15,31,FALSE))</f>
        <v/>
      </c>
      <c r="V144" s="520" t="str">
        <f t="shared" si="15"/>
        <v/>
      </c>
      <c r="W144" s="520" t="str">
        <f t="shared" si="16"/>
        <v/>
      </c>
      <c r="X144" s="524" t="str">
        <f>IF(F144="","",VLOOKUP(U144,'G-3 Multipliers'!$P$3:$Q$6,2,FALSE))</f>
        <v/>
      </c>
      <c r="Y144" s="529" t="str">
        <f t="shared" si="17"/>
        <v/>
      </c>
      <c r="Z144" s="149"/>
      <c r="AA144" s="150"/>
      <c r="AG144" s="31" t="str">
        <f>IFERROR(INDEX('G-6 Hedgerow Data'!$BJ$3:$BJ$15,MATCH(D144,'G-6 Hedgerow Data'!$B$3:$B$15,0)),"")</f>
        <v/>
      </c>
    </row>
    <row r="145" spans="2:33" ht="13.8" x14ac:dyDescent="0.25">
      <c r="B145" s="103">
        <v>134</v>
      </c>
      <c r="C145" s="268"/>
      <c r="D145" s="82"/>
      <c r="E145" s="203"/>
      <c r="F145" s="498" t="str">
        <f>IF(D145="","",VLOOKUP(D145,'G-6 Hedgerow Data'!$B$2:$AG$15,2,FALSE))</f>
        <v/>
      </c>
      <c r="G145" s="524" t="str">
        <f>IF(D145="","",VLOOKUP(D145,'G-6 Hedgerow Data'!$B$2:$AG$15,3,FALSE))</f>
        <v/>
      </c>
      <c r="H145" s="72"/>
      <c r="I145" s="499" t="str">
        <f>IFERROR(IF(AND(F145="V.Low",OR(H145="Good",H145="Moderate")),"Error ▲",VLOOKUP(H145,'G-1 All Habitats'!$Z$2:$AA$9,2,FALSE)),"")</f>
        <v/>
      </c>
      <c r="J145" s="146"/>
      <c r="K145" s="520" t="str">
        <f>IF(J145="","",IF(VLOOKUP(J145,'G-3 Multipliers'!$L$3:$N$6,2,FALSE)=0,"Spatial Data Missing",VLOOKUP(J145,'G-3 Multipliers'!$L$3:$N$6,2,FALSE)))</f>
        <v/>
      </c>
      <c r="L145" s="524" t="str">
        <f>IF(J145="","",IF(VLOOKUP(J145,'G-3 Multipliers'!$L$3:$N$6,3,FALSE)=0,"Spatial Data Missing",VLOOKUP(J145,'G-3 Multipliers'!$L$3:$N$6,3,FALSE)))</f>
        <v/>
      </c>
      <c r="M145" s="197"/>
      <c r="N145" s="499" t="str">
        <f>IF(M145="","",IF(VLOOKUP(M145,'G-3 Multipliers'!$S$3:$T$6,2,FALSE)=0,"Spatial Data Missing ⚠",VLOOKUP(M145,'G-3 Multipliers'!$S$3:$T$6,2,FALSE)))</f>
        <v/>
      </c>
      <c r="O145" s="498" t="str">
        <f>IF(OR(D145="",H145=""),"",(INDEX('G-6 Hedgerow Data'!$E$3:$I$15,MATCH(D145,'G-6 Hedgerow Data'!$B$3:$B$15,0),MATCH(H145,'G-6 Hedgerow Data'!$E$2:$I$2,0))))</f>
        <v/>
      </c>
      <c r="P145" s="195"/>
      <c r="Q145" s="195"/>
      <c r="R145" s="507" t="str">
        <f t="shared" si="13"/>
        <v/>
      </c>
      <c r="S145" s="521" t="str">
        <f t="shared" si="14"/>
        <v/>
      </c>
      <c r="T145" s="522" t="str">
        <f t="shared" si="12"/>
        <v/>
      </c>
      <c r="U145" s="537" t="str">
        <f>IF(D145="","",VLOOKUP(D145,'G-6 Hedgerow Data'!$B$3:$AG$15,31,FALSE))</f>
        <v/>
      </c>
      <c r="V145" s="520" t="str">
        <f t="shared" si="15"/>
        <v/>
      </c>
      <c r="W145" s="520" t="str">
        <f t="shared" si="16"/>
        <v/>
      </c>
      <c r="X145" s="524" t="str">
        <f>IF(F145="","",VLOOKUP(U145,'G-3 Multipliers'!$P$3:$Q$6,2,FALSE))</f>
        <v/>
      </c>
      <c r="Y145" s="529" t="str">
        <f t="shared" si="17"/>
        <v/>
      </c>
      <c r="Z145" s="149"/>
      <c r="AA145" s="150"/>
      <c r="AG145" s="31" t="str">
        <f>IFERROR(INDEX('G-6 Hedgerow Data'!$BJ$3:$BJ$15,MATCH(D145,'G-6 Hedgerow Data'!$B$3:$B$15,0)),"")</f>
        <v/>
      </c>
    </row>
    <row r="146" spans="2:33" ht="13.8" x14ac:dyDescent="0.25">
      <c r="B146" s="103">
        <v>135</v>
      </c>
      <c r="C146" s="268"/>
      <c r="D146" s="82"/>
      <c r="E146" s="203"/>
      <c r="F146" s="498" t="str">
        <f>IF(D146="","",VLOOKUP(D146,'G-6 Hedgerow Data'!$B$2:$AG$15,2,FALSE))</f>
        <v/>
      </c>
      <c r="G146" s="524" t="str">
        <f>IF(D146="","",VLOOKUP(D146,'G-6 Hedgerow Data'!$B$2:$AG$15,3,FALSE))</f>
        <v/>
      </c>
      <c r="H146" s="72"/>
      <c r="I146" s="499" t="str">
        <f>IFERROR(IF(AND(F146="V.Low",OR(H146="Good",H146="Moderate")),"Error ▲",VLOOKUP(H146,'G-1 All Habitats'!$Z$2:$AA$9,2,FALSE)),"")</f>
        <v/>
      </c>
      <c r="J146" s="146"/>
      <c r="K146" s="520" t="str">
        <f>IF(J146="","",IF(VLOOKUP(J146,'G-3 Multipliers'!$L$3:$N$6,2,FALSE)=0,"Spatial Data Missing",VLOOKUP(J146,'G-3 Multipliers'!$L$3:$N$6,2,FALSE)))</f>
        <v/>
      </c>
      <c r="L146" s="524" t="str">
        <f>IF(J146="","",IF(VLOOKUP(J146,'G-3 Multipliers'!$L$3:$N$6,3,FALSE)=0,"Spatial Data Missing",VLOOKUP(J146,'G-3 Multipliers'!$L$3:$N$6,3,FALSE)))</f>
        <v/>
      </c>
      <c r="M146" s="197"/>
      <c r="N146" s="499" t="str">
        <f>IF(M146="","",IF(VLOOKUP(M146,'G-3 Multipliers'!$S$3:$T$6,2,FALSE)=0,"Spatial Data Missing ⚠",VLOOKUP(M146,'G-3 Multipliers'!$S$3:$T$6,2,FALSE)))</f>
        <v/>
      </c>
      <c r="O146" s="498" t="str">
        <f>IF(OR(D146="",H146=""),"",(INDEX('G-6 Hedgerow Data'!$E$3:$I$15,MATCH(D146,'G-6 Hedgerow Data'!$B$3:$B$15,0),MATCH(H146,'G-6 Hedgerow Data'!$E$2:$I$2,0))))</f>
        <v/>
      </c>
      <c r="P146" s="195"/>
      <c r="Q146" s="195"/>
      <c r="R146" s="507" t="str">
        <f t="shared" si="13"/>
        <v/>
      </c>
      <c r="S146" s="521" t="str">
        <f t="shared" si="14"/>
        <v/>
      </c>
      <c r="T146" s="522" t="str">
        <f t="shared" si="12"/>
        <v/>
      </c>
      <c r="U146" s="537" t="str">
        <f>IF(D146="","",VLOOKUP(D146,'G-6 Hedgerow Data'!$B$3:$AG$15,31,FALSE))</f>
        <v/>
      </c>
      <c r="V146" s="520" t="str">
        <f t="shared" si="15"/>
        <v/>
      </c>
      <c r="W146" s="520" t="str">
        <f t="shared" si="16"/>
        <v/>
      </c>
      <c r="X146" s="524" t="str">
        <f>IF(F146="","",VLOOKUP(U146,'G-3 Multipliers'!$P$3:$Q$6,2,FALSE))</f>
        <v/>
      </c>
      <c r="Y146" s="529" t="str">
        <f t="shared" si="17"/>
        <v/>
      </c>
      <c r="Z146" s="149"/>
      <c r="AA146" s="150"/>
      <c r="AG146" s="31" t="str">
        <f>IFERROR(INDEX('G-6 Hedgerow Data'!$BJ$3:$BJ$15,MATCH(D146,'G-6 Hedgerow Data'!$B$3:$B$15,0)),"")</f>
        <v/>
      </c>
    </row>
    <row r="147" spans="2:33" ht="13.8" x14ac:dyDescent="0.25">
      <c r="B147" s="103">
        <v>136</v>
      </c>
      <c r="C147" s="268"/>
      <c r="D147" s="82"/>
      <c r="E147" s="203"/>
      <c r="F147" s="498" t="str">
        <f>IF(D147="","",VLOOKUP(D147,'G-6 Hedgerow Data'!$B$2:$AG$15,2,FALSE))</f>
        <v/>
      </c>
      <c r="G147" s="524" t="str">
        <f>IF(D147="","",VLOOKUP(D147,'G-6 Hedgerow Data'!$B$2:$AG$15,3,FALSE))</f>
        <v/>
      </c>
      <c r="H147" s="72"/>
      <c r="I147" s="499" t="str">
        <f>IFERROR(IF(AND(F147="V.Low",OR(H147="Good",H147="Moderate")),"Error ▲",VLOOKUP(H147,'G-1 All Habitats'!$Z$2:$AA$9,2,FALSE)),"")</f>
        <v/>
      </c>
      <c r="J147" s="146"/>
      <c r="K147" s="520" t="str">
        <f>IF(J147="","",IF(VLOOKUP(J147,'G-3 Multipliers'!$L$3:$N$6,2,FALSE)=0,"Spatial Data Missing",VLOOKUP(J147,'G-3 Multipliers'!$L$3:$N$6,2,FALSE)))</f>
        <v/>
      </c>
      <c r="L147" s="524" t="str">
        <f>IF(J147="","",IF(VLOOKUP(J147,'G-3 Multipliers'!$L$3:$N$6,3,FALSE)=0,"Spatial Data Missing",VLOOKUP(J147,'G-3 Multipliers'!$L$3:$N$6,3,FALSE)))</f>
        <v/>
      </c>
      <c r="M147" s="197"/>
      <c r="N147" s="499" t="str">
        <f>IF(M147="","",IF(VLOOKUP(M147,'G-3 Multipliers'!$S$3:$T$6,2,FALSE)=0,"Spatial Data Missing ⚠",VLOOKUP(M147,'G-3 Multipliers'!$S$3:$T$6,2,FALSE)))</f>
        <v/>
      </c>
      <c r="O147" s="498" t="str">
        <f>IF(OR(D147="",H147=""),"",(INDEX('G-6 Hedgerow Data'!$E$3:$I$15,MATCH(D147,'G-6 Hedgerow Data'!$B$3:$B$15,0),MATCH(H147,'G-6 Hedgerow Data'!$E$2:$I$2,0))))</f>
        <v/>
      </c>
      <c r="P147" s="195"/>
      <c r="Q147" s="195"/>
      <c r="R147" s="507" t="str">
        <f t="shared" si="13"/>
        <v/>
      </c>
      <c r="S147" s="521" t="str">
        <f t="shared" si="14"/>
        <v/>
      </c>
      <c r="T147" s="522" t="str">
        <f t="shared" si="12"/>
        <v/>
      </c>
      <c r="U147" s="537" t="str">
        <f>IF(D147="","",VLOOKUP(D147,'G-6 Hedgerow Data'!$B$3:$AG$15,31,FALSE))</f>
        <v/>
      </c>
      <c r="V147" s="520" t="str">
        <f t="shared" si="15"/>
        <v/>
      </c>
      <c r="W147" s="520" t="str">
        <f t="shared" si="16"/>
        <v/>
      </c>
      <c r="X147" s="524" t="str">
        <f>IF(F147="","",VLOOKUP(U147,'G-3 Multipliers'!$P$3:$Q$6,2,FALSE))</f>
        <v/>
      </c>
      <c r="Y147" s="529" t="str">
        <f t="shared" si="17"/>
        <v/>
      </c>
      <c r="Z147" s="149"/>
      <c r="AA147" s="150"/>
      <c r="AG147" s="31" t="str">
        <f>IFERROR(INDEX('G-6 Hedgerow Data'!$BJ$3:$BJ$15,MATCH(D147,'G-6 Hedgerow Data'!$B$3:$B$15,0)),"")</f>
        <v/>
      </c>
    </row>
    <row r="148" spans="2:33" ht="13.8" x14ac:dyDescent="0.25">
      <c r="B148" s="103">
        <v>137</v>
      </c>
      <c r="C148" s="268"/>
      <c r="D148" s="82"/>
      <c r="E148" s="203"/>
      <c r="F148" s="498" t="str">
        <f>IF(D148="","",VLOOKUP(D148,'G-6 Hedgerow Data'!$B$2:$AG$15,2,FALSE))</f>
        <v/>
      </c>
      <c r="G148" s="524" t="str">
        <f>IF(D148="","",VLOOKUP(D148,'G-6 Hedgerow Data'!$B$2:$AG$15,3,FALSE))</f>
        <v/>
      </c>
      <c r="H148" s="72"/>
      <c r="I148" s="499" t="str">
        <f>IFERROR(IF(AND(F148="V.Low",OR(H148="Good",H148="Moderate")),"Error ▲",VLOOKUP(H148,'G-1 All Habitats'!$Z$2:$AA$9,2,FALSE)),"")</f>
        <v/>
      </c>
      <c r="J148" s="146"/>
      <c r="K148" s="520" t="str">
        <f>IF(J148="","",IF(VLOOKUP(J148,'G-3 Multipliers'!$L$3:$N$6,2,FALSE)=0,"Spatial Data Missing",VLOOKUP(J148,'G-3 Multipliers'!$L$3:$N$6,2,FALSE)))</f>
        <v/>
      </c>
      <c r="L148" s="524" t="str">
        <f>IF(J148="","",IF(VLOOKUP(J148,'G-3 Multipliers'!$L$3:$N$6,3,FALSE)=0,"Spatial Data Missing",VLOOKUP(J148,'G-3 Multipliers'!$L$3:$N$6,3,FALSE)))</f>
        <v/>
      </c>
      <c r="M148" s="197"/>
      <c r="N148" s="499" t="str">
        <f>IF(M148="","",IF(VLOOKUP(M148,'G-3 Multipliers'!$S$3:$T$6,2,FALSE)=0,"Spatial Data Missing ⚠",VLOOKUP(M148,'G-3 Multipliers'!$S$3:$T$6,2,FALSE)))</f>
        <v/>
      </c>
      <c r="O148" s="498" t="str">
        <f>IF(OR(D148="",H148=""),"",(INDEX('G-6 Hedgerow Data'!$E$3:$I$15,MATCH(D148,'G-6 Hedgerow Data'!$B$3:$B$15,0),MATCH(H148,'G-6 Hedgerow Data'!$E$2:$I$2,0))))</f>
        <v/>
      </c>
      <c r="P148" s="195"/>
      <c r="Q148" s="195"/>
      <c r="R148" s="507" t="str">
        <f t="shared" si="13"/>
        <v/>
      </c>
      <c r="S148" s="521" t="str">
        <f t="shared" si="14"/>
        <v/>
      </c>
      <c r="T148" s="522" t="str">
        <f t="shared" si="12"/>
        <v/>
      </c>
      <c r="U148" s="537" t="str">
        <f>IF(D148="","",VLOOKUP(D148,'G-6 Hedgerow Data'!$B$3:$AG$15,31,FALSE))</f>
        <v/>
      </c>
      <c r="V148" s="520" t="str">
        <f t="shared" si="15"/>
        <v/>
      </c>
      <c r="W148" s="520" t="str">
        <f t="shared" si="16"/>
        <v/>
      </c>
      <c r="X148" s="524" t="str">
        <f>IF(F148="","",VLOOKUP(U148,'G-3 Multipliers'!$P$3:$Q$6,2,FALSE))</f>
        <v/>
      </c>
      <c r="Y148" s="529" t="str">
        <f t="shared" si="17"/>
        <v/>
      </c>
      <c r="Z148" s="149"/>
      <c r="AA148" s="150"/>
      <c r="AG148" s="31" t="str">
        <f>IFERROR(INDEX('G-6 Hedgerow Data'!$BJ$3:$BJ$15,MATCH(D148,'G-6 Hedgerow Data'!$B$3:$B$15,0)),"")</f>
        <v/>
      </c>
    </row>
    <row r="149" spans="2:33" ht="13.8" x14ac:dyDescent="0.25">
      <c r="B149" s="103">
        <v>138</v>
      </c>
      <c r="C149" s="268"/>
      <c r="D149" s="82"/>
      <c r="E149" s="203"/>
      <c r="F149" s="498" t="str">
        <f>IF(D149="","",VLOOKUP(D149,'G-6 Hedgerow Data'!$B$2:$AG$15,2,FALSE))</f>
        <v/>
      </c>
      <c r="G149" s="524" t="str">
        <f>IF(D149="","",VLOOKUP(D149,'G-6 Hedgerow Data'!$B$2:$AG$15,3,FALSE))</f>
        <v/>
      </c>
      <c r="H149" s="72"/>
      <c r="I149" s="499" t="str">
        <f>IFERROR(IF(AND(F149="V.Low",OR(H149="Good",H149="Moderate")),"Error ▲",VLOOKUP(H149,'G-1 All Habitats'!$Z$2:$AA$9,2,FALSE)),"")</f>
        <v/>
      </c>
      <c r="J149" s="146"/>
      <c r="K149" s="520" t="str">
        <f>IF(J149="","",IF(VLOOKUP(J149,'G-3 Multipliers'!$L$3:$N$6,2,FALSE)=0,"Spatial Data Missing",VLOOKUP(J149,'G-3 Multipliers'!$L$3:$N$6,2,FALSE)))</f>
        <v/>
      </c>
      <c r="L149" s="524" t="str">
        <f>IF(J149="","",IF(VLOOKUP(J149,'G-3 Multipliers'!$L$3:$N$6,3,FALSE)=0,"Spatial Data Missing",VLOOKUP(J149,'G-3 Multipliers'!$L$3:$N$6,3,FALSE)))</f>
        <v/>
      </c>
      <c r="M149" s="197"/>
      <c r="N149" s="499" t="str">
        <f>IF(M149="","",IF(VLOOKUP(M149,'G-3 Multipliers'!$S$3:$T$6,2,FALSE)=0,"Spatial Data Missing ⚠",VLOOKUP(M149,'G-3 Multipliers'!$S$3:$T$6,2,FALSE)))</f>
        <v/>
      </c>
      <c r="O149" s="498" t="str">
        <f>IF(OR(D149="",H149=""),"",(INDEX('G-6 Hedgerow Data'!$E$3:$I$15,MATCH(D149,'G-6 Hedgerow Data'!$B$3:$B$15,0),MATCH(H149,'G-6 Hedgerow Data'!$E$2:$I$2,0))))</f>
        <v/>
      </c>
      <c r="P149" s="195"/>
      <c r="Q149" s="195"/>
      <c r="R149" s="507" t="str">
        <f t="shared" si="13"/>
        <v/>
      </c>
      <c r="S149" s="521" t="str">
        <f t="shared" si="14"/>
        <v/>
      </c>
      <c r="T149" s="522" t="str">
        <f t="shared" si="12"/>
        <v/>
      </c>
      <c r="U149" s="537" t="str">
        <f>IF(D149="","",VLOOKUP(D149,'G-6 Hedgerow Data'!$B$3:$AG$15,31,FALSE))</f>
        <v/>
      </c>
      <c r="V149" s="520" t="str">
        <f t="shared" si="15"/>
        <v/>
      </c>
      <c r="W149" s="520" t="str">
        <f t="shared" si="16"/>
        <v/>
      </c>
      <c r="X149" s="524" t="str">
        <f>IF(F149="","",VLOOKUP(U149,'G-3 Multipliers'!$P$3:$Q$6,2,FALSE))</f>
        <v/>
      </c>
      <c r="Y149" s="529" t="str">
        <f t="shared" si="17"/>
        <v/>
      </c>
      <c r="Z149" s="149"/>
      <c r="AA149" s="150"/>
      <c r="AG149" s="31" t="str">
        <f>IFERROR(INDEX('G-6 Hedgerow Data'!$BJ$3:$BJ$15,MATCH(D149,'G-6 Hedgerow Data'!$B$3:$B$15,0)),"")</f>
        <v/>
      </c>
    </row>
    <row r="150" spans="2:33" ht="13.8" x14ac:dyDescent="0.25">
      <c r="B150" s="103">
        <v>139</v>
      </c>
      <c r="C150" s="268"/>
      <c r="D150" s="82"/>
      <c r="E150" s="203"/>
      <c r="F150" s="498" t="str">
        <f>IF(D150="","",VLOOKUP(D150,'G-6 Hedgerow Data'!$B$2:$AG$15,2,FALSE))</f>
        <v/>
      </c>
      <c r="G150" s="524" t="str">
        <f>IF(D150="","",VLOOKUP(D150,'G-6 Hedgerow Data'!$B$2:$AG$15,3,FALSE))</f>
        <v/>
      </c>
      <c r="H150" s="72"/>
      <c r="I150" s="499" t="str">
        <f>IFERROR(IF(AND(F150="V.Low",OR(H150="Good",H150="Moderate")),"Error ▲",VLOOKUP(H150,'G-1 All Habitats'!$Z$2:$AA$9,2,FALSE)),"")</f>
        <v/>
      </c>
      <c r="J150" s="146"/>
      <c r="K150" s="520" t="str">
        <f>IF(J150="","",IF(VLOOKUP(J150,'G-3 Multipliers'!$L$3:$N$6,2,FALSE)=0,"Spatial Data Missing",VLOOKUP(J150,'G-3 Multipliers'!$L$3:$N$6,2,FALSE)))</f>
        <v/>
      </c>
      <c r="L150" s="524" t="str">
        <f>IF(J150="","",IF(VLOOKUP(J150,'G-3 Multipliers'!$L$3:$N$6,3,FALSE)=0,"Spatial Data Missing",VLOOKUP(J150,'G-3 Multipliers'!$L$3:$N$6,3,FALSE)))</f>
        <v/>
      </c>
      <c r="M150" s="197"/>
      <c r="N150" s="499" t="str">
        <f>IF(M150="","",IF(VLOOKUP(M150,'G-3 Multipliers'!$S$3:$T$6,2,FALSE)=0,"Spatial Data Missing ⚠",VLOOKUP(M150,'G-3 Multipliers'!$S$3:$T$6,2,FALSE)))</f>
        <v/>
      </c>
      <c r="O150" s="498" t="str">
        <f>IF(OR(D150="",H150=""),"",(INDEX('G-6 Hedgerow Data'!$E$3:$I$15,MATCH(D150,'G-6 Hedgerow Data'!$B$3:$B$15,0),MATCH(H150,'G-6 Hedgerow Data'!$E$2:$I$2,0))))</f>
        <v/>
      </c>
      <c r="P150" s="195"/>
      <c r="Q150" s="195"/>
      <c r="R150" s="507" t="str">
        <f t="shared" si="13"/>
        <v/>
      </c>
      <c r="S150" s="521" t="str">
        <f t="shared" si="14"/>
        <v/>
      </c>
      <c r="T150" s="522" t="str">
        <f t="shared" si="12"/>
        <v/>
      </c>
      <c r="U150" s="537" t="str">
        <f>IF(D150="","",VLOOKUP(D150,'G-6 Hedgerow Data'!$B$3:$AG$15,31,FALSE))</f>
        <v/>
      </c>
      <c r="V150" s="520" t="str">
        <f t="shared" si="15"/>
        <v/>
      </c>
      <c r="W150" s="520" t="str">
        <f t="shared" si="16"/>
        <v/>
      </c>
      <c r="X150" s="524" t="str">
        <f>IF(F150="","",VLOOKUP(U150,'G-3 Multipliers'!$P$3:$Q$6,2,FALSE))</f>
        <v/>
      </c>
      <c r="Y150" s="529" t="str">
        <f t="shared" si="17"/>
        <v/>
      </c>
      <c r="Z150" s="149"/>
      <c r="AA150" s="150"/>
      <c r="AG150" s="31" t="str">
        <f>IFERROR(INDEX('G-6 Hedgerow Data'!$BJ$3:$BJ$15,MATCH(D150,'G-6 Hedgerow Data'!$B$3:$B$15,0)),"")</f>
        <v/>
      </c>
    </row>
    <row r="151" spans="2:33" ht="13.8" x14ac:dyDescent="0.25">
      <c r="B151" s="103">
        <v>140</v>
      </c>
      <c r="C151" s="268"/>
      <c r="D151" s="82"/>
      <c r="E151" s="203"/>
      <c r="F151" s="498" t="str">
        <f>IF(D151="","",VLOOKUP(D151,'G-6 Hedgerow Data'!$B$2:$AG$15,2,FALSE))</f>
        <v/>
      </c>
      <c r="G151" s="524" t="str">
        <f>IF(D151="","",VLOOKUP(D151,'G-6 Hedgerow Data'!$B$2:$AG$15,3,FALSE))</f>
        <v/>
      </c>
      <c r="H151" s="72"/>
      <c r="I151" s="499" t="str">
        <f>IFERROR(IF(AND(F151="V.Low",OR(H151="Good",H151="Moderate")),"Error ▲",VLOOKUP(H151,'G-1 All Habitats'!$Z$2:$AA$9,2,FALSE)),"")</f>
        <v/>
      </c>
      <c r="J151" s="146"/>
      <c r="K151" s="520" t="str">
        <f>IF(J151="","",IF(VLOOKUP(J151,'G-3 Multipliers'!$L$3:$N$6,2,FALSE)=0,"Spatial Data Missing",VLOOKUP(J151,'G-3 Multipliers'!$L$3:$N$6,2,FALSE)))</f>
        <v/>
      </c>
      <c r="L151" s="524" t="str">
        <f>IF(J151="","",IF(VLOOKUP(J151,'G-3 Multipliers'!$L$3:$N$6,3,FALSE)=0,"Spatial Data Missing",VLOOKUP(J151,'G-3 Multipliers'!$L$3:$N$6,3,FALSE)))</f>
        <v/>
      </c>
      <c r="M151" s="197"/>
      <c r="N151" s="499" t="str">
        <f>IF(M151="","",IF(VLOOKUP(M151,'G-3 Multipliers'!$S$3:$T$6,2,FALSE)=0,"Spatial Data Missing ⚠",VLOOKUP(M151,'G-3 Multipliers'!$S$3:$T$6,2,FALSE)))</f>
        <v/>
      </c>
      <c r="O151" s="498" t="str">
        <f>IF(OR(D151="",H151=""),"",(INDEX('G-6 Hedgerow Data'!$E$3:$I$15,MATCH(D151,'G-6 Hedgerow Data'!$B$3:$B$15,0),MATCH(H151,'G-6 Hedgerow Data'!$E$2:$I$2,0))))</f>
        <v/>
      </c>
      <c r="P151" s="195"/>
      <c r="Q151" s="195"/>
      <c r="R151" s="507" t="str">
        <f t="shared" si="13"/>
        <v/>
      </c>
      <c r="S151" s="521" t="str">
        <f t="shared" si="14"/>
        <v/>
      </c>
      <c r="T151" s="522" t="str">
        <f t="shared" si="12"/>
        <v/>
      </c>
      <c r="U151" s="537" t="str">
        <f>IF(D151="","",VLOOKUP(D151,'G-6 Hedgerow Data'!$B$3:$AG$15,31,FALSE))</f>
        <v/>
      </c>
      <c r="V151" s="520" t="str">
        <f t="shared" si="15"/>
        <v/>
      </c>
      <c r="W151" s="520" t="str">
        <f t="shared" si="16"/>
        <v/>
      </c>
      <c r="X151" s="524" t="str">
        <f>IF(F151="","",VLOOKUP(U151,'G-3 Multipliers'!$P$3:$Q$6,2,FALSE))</f>
        <v/>
      </c>
      <c r="Y151" s="529" t="str">
        <f t="shared" si="17"/>
        <v/>
      </c>
      <c r="Z151" s="149"/>
      <c r="AA151" s="150"/>
      <c r="AG151" s="31" t="str">
        <f>IFERROR(INDEX('G-6 Hedgerow Data'!$BJ$3:$BJ$15,MATCH(D151,'G-6 Hedgerow Data'!$B$3:$B$15,0)),"")</f>
        <v/>
      </c>
    </row>
    <row r="152" spans="2:33" ht="13.8" x14ac:dyDescent="0.25">
      <c r="B152" s="103">
        <v>141</v>
      </c>
      <c r="C152" s="268"/>
      <c r="D152" s="82"/>
      <c r="E152" s="203"/>
      <c r="F152" s="498" t="str">
        <f>IF(D152="","",VLOOKUP(D152,'G-6 Hedgerow Data'!$B$2:$AG$15,2,FALSE))</f>
        <v/>
      </c>
      <c r="G152" s="524" t="str">
        <f>IF(D152="","",VLOOKUP(D152,'G-6 Hedgerow Data'!$B$2:$AG$15,3,FALSE))</f>
        <v/>
      </c>
      <c r="H152" s="72"/>
      <c r="I152" s="499" t="str">
        <f>IFERROR(IF(AND(F152="V.Low",OR(H152="Good",H152="Moderate")),"Error ▲",VLOOKUP(H152,'G-1 All Habitats'!$Z$2:$AA$9,2,FALSE)),"")</f>
        <v/>
      </c>
      <c r="J152" s="146"/>
      <c r="K152" s="520" t="str">
        <f>IF(J152="","",IF(VLOOKUP(J152,'G-3 Multipliers'!$L$3:$N$6,2,FALSE)=0,"Spatial Data Missing",VLOOKUP(J152,'G-3 Multipliers'!$L$3:$N$6,2,FALSE)))</f>
        <v/>
      </c>
      <c r="L152" s="524" t="str">
        <f>IF(J152="","",IF(VLOOKUP(J152,'G-3 Multipliers'!$L$3:$N$6,3,FALSE)=0,"Spatial Data Missing",VLOOKUP(J152,'G-3 Multipliers'!$L$3:$N$6,3,FALSE)))</f>
        <v/>
      </c>
      <c r="M152" s="197"/>
      <c r="N152" s="499" t="str">
        <f>IF(M152="","",IF(VLOOKUP(M152,'G-3 Multipliers'!$S$3:$T$6,2,FALSE)=0,"Spatial Data Missing ⚠",VLOOKUP(M152,'G-3 Multipliers'!$S$3:$T$6,2,FALSE)))</f>
        <v/>
      </c>
      <c r="O152" s="498" t="str">
        <f>IF(OR(D152="",H152=""),"",(INDEX('G-6 Hedgerow Data'!$E$3:$I$15,MATCH(D152,'G-6 Hedgerow Data'!$B$3:$B$15,0),MATCH(H152,'G-6 Hedgerow Data'!$E$2:$I$2,0))))</f>
        <v/>
      </c>
      <c r="P152" s="195"/>
      <c r="Q152" s="195"/>
      <c r="R152" s="507" t="str">
        <f t="shared" si="13"/>
        <v/>
      </c>
      <c r="S152" s="521" t="str">
        <f t="shared" si="14"/>
        <v/>
      </c>
      <c r="T152" s="522" t="str">
        <f t="shared" si="12"/>
        <v/>
      </c>
      <c r="U152" s="537" t="str">
        <f>IF(D152="","",VLOOKUP(D152,'G-6 Hedgerow Data'!$B$3:$AG$15,31,FALSE))</f>
        <v/>
      </c>
      <c r="V152" s="520" t="str">
        <f t="shared" si="15"/>
        <v/>
      </c>
      <c r="W152" s="520" t="str">
        <f t="shared" si="16"/>
        <v/>
      </c>
      <c r="X152" s="524" t="str">
        <f>IF(F152="","",VLOOKUP(U152,'G-3 Multipliers'!$P$3:$Q$6,2,FALSE))</f>
        <v/>
      </c>
      <c r="Y152" s="529" t="str">
        <f t="shared" si="17"/>
        <v/>
      </c>
      <c r="Z152" s="149"/>
      <c r="AA152" s="150"/>
      <c r="AG152" s="31" t="str">
        <f>IFERROR(INDEX('G-6 Hedgerow Data'!$BJ$3:$BJ$15,MATCH(D152,'G-6 Hedgerow Data'!$B$3:$B$15,0)),"")</f>
        <v/>
      </c>
    </row>
    <row r="153" spans="2:33" ht="13.8" x14ac:dyDescent="0.25">
      <c r="B153" s="103">
        <v>142</v>
      </c>
      <c r="C153" s="268"/>
      <c r="D153" s="82"/>
      <c r="E153" s="203"/>
      <c r="F153" s="498" t="str">
        <f>IF(D153="","",VLOOKUP(D153,'G-6 Hedgerow Data'!$B$2:$AG$15,2,FALSE))</f>
        <v/>
      </c>
      <c r="G153" s="524" t="str">
        <f>IF(D153="","",VLOOKUP(D153,'G-6 Hedgerow Data'!$B$2:$AG$15,3,FALSE))</f>
        <v/>
      </c>
      <c r="H153" s="72"/>
      <c r="I153" s="499" t="str">
        <f>IFERROR(IF(AND(F153="V.Low",OR(H153="Good",H153="Moderate")),"Error ▲",VLOOKUP(H153,'G-1 All Habitats'!$Z$2:$AA$9,2,FALSE)),"")</f>
        <v/>
      </c>
      <c r="J153" s="146"/>
      <c r="K153" s="520" t="str">
        <f>IF(J153="","",IF(VLOOKUP(J153,'G-3 Multipliers'!$L$3:$N$6,2,FALSE)=0,"Spatial Data Missing",VLOOKUP(J153,'G-3 Multipliers'!$L$3:$N$6,2,FALSE)))</f>
        <v/>
      </c>
      <c r="L153" s="524" t="str">
        <f>IF(J153="","",IF(VLOOKUP(J153,'G-3 Multipliers'!$L$3:$N$6,3,FALSE)=0,"Spatial Data Missing",VLOOKUP(J153,'G-3 Multipliers'!$L$3:$N$6,3,FALSE)))</f>
        <v/>
      </c>
      <c r="M153" s="197"/>
      <c r="N153" s="499" t="str">
        <f>IF(M153="","",IF(VLOOKUP(M153,'G-3 Multipliers'!$S$3:$T$6,2,FALSE)=0,"Spatial Data Missing ⚠",VLOOKUP(M153,'G-3 Multipliers'!$S$3:$T$6,2,FALSE)))</f>
        <v/>
      </c>
      <c r="O153" s="498" t="str">
        <f>IF(OR(D153="",H153=""),"",(INDEX('G-6 Hedgerow Data'!$E$3:$I$15,MATCH(D153,'G-6 Hedgerow Data'!$B$3:$B$15,0),MATCH(H153,'G-6 Hedgerow Data'!$E$2:$I$2,0))))</f>
        <v/>
      </c>
      <c r="P153" s="195"/>
      <c r="Q153" s="195"/>
      <c r="R153" s="507" t="str">
        <f t="shared" si="13"/>
        <v/>
      </c>
      <c r="S153" s="521" t="str">
        <f t="shared" si="14"/>
        <v/>
      </c>
      <c r="T153" s="522" t="str">
        <f t="shared" si="12"/>
        <v/>
      </c>
      <c r="U153" s="537" t="str">
        <f>IF(D153="","",VLOOKUP(D153,'G-6 Hedgerow Data'!$B$3:$AG$15,31,FALSE))</f>
        <v/>
      </c>
      <c r="V153" s="520" t="str">
        <f t="shared" si="15"/>
        <v/>
      </c>
      <c r="W153" s="520" t="str">
        <f t="shared" si="16"/>
        <v/>
      </c>
      <c r="X153" s="524" t="str">
        <f>IF(F153="","",VLOOKUP(U153,'G-3 Multipliers'!$P$3:$Q$6,2,FALSE))</f>
        <v/>
      </c>
      <c r="Y153" s="529" t="str">
        <f t="shared" si="17"/>
        <v/>
      </c>
      <c r="Z153" s="149"/>
      <c r="AA153" s="150"/>
      <c r="AG153" s="31" t="str">
        <f>IFERROR(INDEX('G-6 Hedgerow Data'!$BJ$3:$BJ$15,MATCH(D153,'G-6 Hedgerow Data'!$B$3:$B$15,0)),"")</f>
        <v/>
      </c>
    </row>
    <row r="154" spans="2:33" ht="13.8" x14ac:dyDescent="0.25">
      <c r="B154" s="103">
        <v>143</v>
      </c>
      <c r="C154" s="268"/>
      <c r="D154" s="82"/>
      <c r="E154" s="203"/>
      <c r="F154" s="498" t="str">
        <f>IF(D154="","",VLOOKUP(D154,'G-6 Hedgerow Data'!$B$2:$AG$15,2,FALSE))</f>
        <v/>
      </c>
      <c r="G154" s="524" t="str">
        <f>IF(D154="","",VLOOKUP(D154,'G-6 Hedgerow Data'!$B$2:$AG$15,3,FALSE))</f>
        <v/>
      </c>
      <c r="H154" s="72"/>
      <c r="I154" s="499" t="str">
        <f>IFERROR(IF(AND(F154="V.Low",OR(H154="Good",H154="Moderate")),"Error ▲",VLOOKUP(H154,'G-1 All Habitats'!$Z$2:$AA$9,2,FALSE)),"")</f>
        <v/>
      </c>
      <c r="J154" s="146"/>
      <c r="K154" s="520" t="str">
        <f>IF(J154="","",IF(VLOOKUP(J154,'G-3 Multipliers'!$L$3:$N$6,2,FALSE)=0,"Spatial Data Missing",VLOOKUP(J154,'G-3 Multipliers'!$L$3:$N$6,2,FALSE)))</f>
        <v/>
      </c>
      <c r="L154" s="524" t="str">
        <f>IF(J154="","",IF(VLOOKUP(J154,'G-3 Multipliers'!$L$3:$N$6,3,FALSE)=0,"Spatial Data Missing",VLOOKUP(J154,'G-3 Multipliers'!$L$3:$N$6,3,FALSE)))</f>
        <v/>
      </c>
      <c r="M154" s="197"/>
      <c r="N154" s="499" t="str">
        <f>IF(M154="","",IF(VLOOKUP(M154,'G-3 Multipliers'!$S$3:$T$6,2,FALSE)=0,"Spatial Data Missing ⚠",VLOOKUP(M154,'G-3 Multipliers'!$S$3:$T$6,2,FALSE)))</f>
        <v/>
      </c>
      <c r="O154" s="498" t="str">
        <f>IF(OR(D154="",H154=""),"",(INDEX('G-6 Hedgerow Data'!$E$3:$I$15,MATCH(D154,'G-6 Hedgerow Data'!$B$3:$B$15,0),MATCH(H154,'G-6 Hedgerow Data'!$E$2:$I$2,0))))</f>
        <v/>
      </c>
      <c r="P154" s="195"/>
      <c r="Q154" s="195"/>
      <c r="R154" s="507" t="str">
        <f t="shared" si="13"/>
        <v/>
      </c>
      <c r="S154" s="521" t="str">
        <f t="shared" si="14"/>
        <v/>
      </c>
      <c r="T154" s="522" t="str">
        <f t="shared" si="12"/>
        <v/>
      </c>
      <c r="U154" s="537" t="str">
        <f>IF(D154="","",VLOOKUP(D154,'G-6 Hedgerow Data'!$B$3:$AG$15,31,FALSE))</f>
        <v/>
      </c>
      <c r="V154" s="520" t="str">
        <f t="shared" si="15"/>
        <v/>
      </c>
      <c r="W154" s="520" t="str">
        <f t="shared" si="16"/>
        <v/>
      </c>
      <c r="X154" s="524" t="str">
        <f>IF(F154="","",VLOOKUP(U154,'G-3 Multipliers'!$P$3:$Q$6,2,FALSE))</f>
        <v/>
      </c>
      <c r="Y154" s="529" t="str">
        <f t="shared" si="17"/>
        <v/>
      </c>
      <c r="Z154" s="149"/>
      <c r="AA154" s="150"/>
      <c r="AG154" s="31" t="str">
        <f>IFERROR(INDEX('G-6 Hedgerow Data'!$BJ$3:$BJ$15,MATCH(D154,'G-6 Hedgerow Data'!$B$3:$B$15,0)),"")</f>
        <v/>
      </c>
    </row>
    <row r="155" spans="2:33" ht="13.8" x14ac:dyDescent="0.25">
      <c r="B155" s="103">
        <v>144</v>
      </c>
      <c r="C155" s="268"/>
      <c r="D155" s="82"/>
      <c r="E155" s="203"/>
      <c r="F155" s="498" t="str">
        <f>IF(D155="","",VLOOKUP(D155,'G-6 Hedgerow Data'!$B$2:$AG$15,2,FALSE))</f>
        <v/>
      </c>
      <c r="G155" s="524" t="str">
        <f>IF(D155="","",VLOOKUP(D155,'G-6 Hedgerow Data'!$B$2:$AG$15,3,FALSE))</f>
        <v/>
      </c>
      <c r="H155" s="72"/>
      <c r="I155" s="499" t="str">
        <f>IFERROR(IF(AND(F155="V.Low",OR(H155="Good",H155="Moderate")),"Error ▲",VLOOKUP(H155,'G-1 All Habitats'!$Z$2:$AA$9,2,FALSE)),"")</f>
        <v/>
      </c>
      <c r="J155" s="146"/>
      <c r="K155" s="520" t="str">
        <f>IF(J155="","",IF(VLOOKUP(J155,'G-3 Multipliers'!$L$3:$N$6,2,FALSE)=0,"Spatial Data Missing",VLOOKUP(J155,'G-3 Multipliers'!$L$3:$N$6,2,FALSE)))</f>
        <v/>
      </c>
      <c r="L155" s="524" t="str">
        <f>IF(J155="","",IF(VLOOKUP(J155,'G-3 Multipliers'!$L$3:$N$6,3,FALSE)=0,"Spatial Data Missing",VLOOKUP(J155,'G-3 Multipliers'!$L$3:$N$6,3,FALSE)))</f>
        <v/>
      </c>
      <c r="M155" s="197"/>
      <c r="N155" s="499" t="str">
        <f>IF(M155="","",IF(VLOOKUP(M155,'G-3 Multipliers'!$S$3:$T$6,2,FALSE)=0,"Spatial Data Missing ⚠",VLOOKUP(M155,'G-3 Multipliers'!$S$3:$T$6,2,FALSE)))</f>
        <v/>
      </c>
      <c r="O155" s="498" t="str">
        <f>IF(OR(D155="",H155=""),"",(INDEX('G-6 Hedgerow Data'!$E$3:$I$15,MATCH(D155,'G-6 Hedgerow Data'!$B$3:$B$15,0),MATCH(H155,'G-6 Hedgerow Data'!$E$2:$I$2,0))))</f>
        <v/>
      </c>
      <c r="P155" s="195"/>
      <c r="Q155" s="195"/>
      <c r="R155" s="507" t="str">
        <f t="shared" si="13"/>
        <v/>
      </c>
      <c r="S155" s="521" t="str">
        <f t="shared" si="14"/>
        <v/>
      </c>
      <c r="T155" s="522" t="str">
        <f t="shared" si="12"/>
        <v/>
      </c>
      <c r="U155" s="537" t="str">
        <f>IF(D155="","",VLOOKUP(D155,'G-6 Hedgerow Data'!$B$3:$AG$15,31,FALSE))</f>
        <v/>
      </c>
      <c r="V155" s="520" t="str">
        <f t="shared" si="15"/>
        <v/>
      </c>
      <c r="W155" s="520" t="str">
        <f t="shared" si="16"/>
        <v/>
      </c>
      <c r="X155" s="524" t="str">
        <f>IF(F155="","",VLOOKUP(U155,'G-3 Multipliers'!$P$3:$Q$6,2,FALSE))</f>
        <v/>
      </c>
      <c r="Y155" s="529" t="str">
        <f t="shared" si="17"/>
        <v/>
      </c>
      <c r="Z155" s="149"/>
      <c r="AA155" s="150"/>
      <c r="AG155" s="31" t="str">
        <f>IFERROR(INDEX('G-6 Hedgerow Data'!$BJ$3:$BJ$15,MATCH(D155,'G-6 Hedgerow Data'!$B$3:$B$15,0)),"")</f>
        <v/>
      </c>
    </row>
    <row r="156" spans="2:33" ht="13.8" x14ac:dyDescent="0.25">
      <c r="B156" s="103">
        <v>145</v>
      </c>
      <c r="C156" s="268"/>
      <c r="D156" s="82"/>
      <c r="E156" s="203"/>
      <c r="F156" s="498" t="str">
        <f>IF(D156="","",VLOOKUP(D156,'G-6 Hedgerow Data'!$B$2:$AG$15,2,FALSE))</f>
        <v/>
      </c>
      <c r="G156" s="524" t="str">
        <f>IF(D156="","",VLOOKUP(D156,'G-6 Hedgerow Data'!$B$2:$AG$15,3,FALSE))</f>
        <v/>
      </c>
      <c r="H156" s="72"/>
      <c r="I156" s="499" t="str">
        <f>IFERROR(IF(AND(F156="V.Low",OR(H156="Good",H156="Moderate")),"Error ▲",VLOOKUP(H156,'G-1 All Habitats'!$Z$2:$AA$9,2,FALSE)),"")</f>
        <v/>
      </c>
      <c r="J156" s="146"/>
      <c r="K156" s="520" t="str">
        <f>IF(J156="","",IF(VLOOKUP(J156,'G-3 Multipliers'!$L$3:$N$6,2,FALSE)=0,"Spatial Data Missing",VLOOKUP(J156,'G-3 Multipliers'!$L$3:$N$6,2,FALSE)))</f>
        <v/>
      </c>
      <c r="L156" s="524" t="str">
        <f>IF(J156="","",IF(VLOOKUP(J156,'G-3 Multipliers'!$L$3:$N$6,3,FALSE)=0,"Spatial Data Missing",VLOOKUP(J156,'G-3 Multipliers'!$L$3:$N$6,3,FALSE)))</f>
        <v/>
      </c>
      <c r="M156" s="197"/>
      <c r="N156" s="499" t="str">
        <f>IF(M156="","",IF(VLOOKUP(M156,'G-3 Multipliers'!$S$3:$T$6,2,FALSE)=0,"Spatial Data Missing ⚠",VLOOKUP(M156,'G-3 Multipliers'!$S$3:$T$6,2,FALSE)))</f>
        <v/>
      </c>
      <c r="O156" s="498" t="str">
        <f>IF(OR(D156="",H156=""),"",(INDEX('G-6 Hedgerow Data'!$E$3:$I$15,MATCH(D156,'G-6 Hedgerow Data'!$B$3:$B$15,0),MATCH(H156,'G-6 Hedgerow Data'!$E$2:$I$2,0))))</f>
        <v/>
      </c>
      <c r="P156" s="195"/>
      <c r="Q156" s="195"/>
      <c r="R156" s="507" t="str">
        <f t="shared" si="13"/>
        <v/>
      </c>
      <c r="S156" s="521" t="str">
        <f t="shared" si="14"/>
        <v/>
      </c>
      <c r="T156" s="522" t="str">
        <f t="shared" si="12"/>
        <v/>
      </c>
      <c r="U156" s="537" t="str">
        <f>IF(D156="","",VLOOKUP(D156,'G-6 Hedgerow Data'!$B$3:$AG$15,31,FALSE))</f>
        <v/>
      </c>
      <c r="V156" s="520" t="str">
        <f t="shared" si="15"/>
        <v/>
      </c>
      <c r="W156" s="520" t="str">
        <f t="shared" si="16"/>
        <v/>
      </c>
      <c r="X156" s="524" t="str">
        <f>IF(F156="","",VLOOKUP(U156,'G-3 Multipliers'!$P$3:$Q$6,2,FALSE))</f>
        <v/>
      </c>
      <c r="Y156" s="529" t="str">
        <f t="shared" si="17"/>
        <v/>
      </c>
      <c r="Z156" s="149"/>
      <c r="AA156" s="150"/>
      <c r="AG156" s="31" t="str">
        <f>IFERROR(INDEX('G-6 Hedgerow Data'!$BJ$3:$BJ$15,MATCH(D156,'G-6 Hedgerow Data'!$B$3:$B$15,0)),"")</f>
        <v/>
      </c>
    </row>
    <row r="157" spans="2:33" ht="13.8" x14ac:dyDescent="0.25">
      <c r="B157" s="103">
        <v>146</v>
      </c>
      <c r="C157" s="268"/>
      <c r="D157" s="82"/>
      <c r="E157" s="203"/>
      <c r="F157" s="498" t="str">
        <f>IF(D157="","",VLOOKUP(D157,'G-6 Hedgerow Data'!$B$2:$AG$15,2,FALSE))</f>
        <v/>
      </c>
      <c r="G157" s="524" t="str">
        <f>IF(D157="","",VLOOKUP(D157,'G-6 Hedgerow Data'!$B$2:$AG$15,3,FALSE))</f>
        <v/>
      </c>
      <c r="H157" s="72"/>
      <c r="I157" s="499" t="str">
        <f>IFERROR(IF(AND(F157="V.Low",OR(H157="Good",H157="Moderate")),"Error ▲",VLOOKUP(H157,'G-1 All Habitats'!$Z$2:$AA$9,2,FALSE)),"")</f>
        <v/>
      </c>
      <c r="J157" s="146"/>
      <c r="K157" s="520" t="str">
        <f>IF(J157="","",IF(VLOOKUP(J157,'G-3 Multipliers'!$L$3:$N$6,2,FALSE)=0,"Spatial Data Missing",VLOOKUP(J157,'G-3 Multipliers'!$L$3:$N$6,2,FALSE)))</f>
        <v/>
      </c>
      <c r="L157" s="524" t="str">
        <f>IF(J157="","",IF(VLOOKUP(J157,'G-3 Multipliers'!$L$3:$N$6,3,FALSE)=0,"Spatial Data Missing",VLOOKUP(J157,'G-3 Multipliers'!$L$3:$N$6,3,FALSE)))</f>
        <v/>
      </c>
      <c r="M157" s="197"/>
      <c r="N157" s="499" t="str">
        <f>IF(M157="","",IF(VLOOKUP(M157,'G-3 Multipliers'!$S$3:$T$6,2,FALSE)=0,"Spatial Data Missing ⚠",VLOOKUP(M157,'G-3 Multipliers'!$S$3:$T$6,2,FALSE)))</f>
        <v/>
      </c>
      <c r="O157" s="498" t="str">
        <f>IF(OR(D157="",H157=""),"",(INDEX('G-6 Hedgerow Data'!$E$3:$I$15,MATCH(D157,'G-6 Hedgerow Data'!$B$3:$B$15,0),MATCH(H157,'G-6 Hedgerow Data'!$E$2:$I$2,0))))</f>
        <v/>
      </c>
      <c r="P157" s="195"/>
      <c r="Q157" s="195"/>
      <c r="R157" s="507" t="str">
        <f t="shared" si="13"/>
        <v/>
      </c>
      <c r="S157" s="521" t="str">
        <f t="shared" si="14"/>
        <v/>
      </c>
      <c r="T157" s="522" t="str">
        <f t="shared" si="12"/>
        <v/>
      </c>
      <c r="U157" s="537" t="str">
        <f>IF(D157="","",VLOOKUP(D157,'G-6 Hedgerow Data'!$B$3:$AG$15,31,FALSE))</f>
        <v/>
      </c>
      <c r="V157" s="520" t="str">
        <f t="shared" si="15"/>
        <v/>
      </c>
      <c r="W157" s="520" t="str">
        <f t="shared" si="16"/>
        <v/>
      </c>
      <c r="X157" s="524" t="str">
        <f>IF(F157="","",VLOOKUP(U157,'G-3 Multipliers'!$P$3:$Q$6,2,FALSE))</f>
        <v/>
      </c>
      <c r="Y157" s="529" t="str">
        <f t="shared" si="17"/>
        <v/>
      </c>
      <c r="Z157" s="149"/>
      <c r="AA157" s="150"/>
      <c r="AG157" s="31" t="str">
        <f>IFERROR(INDEX('G-6 Hedgerow Data'!$BJ$3:$BJ$15,MATCH(D157,'G-6 Hedgerow Data'!$B$3:$B$15,0)),"")</f>
        <v/>
      </c>
    </row>
    <row r="158" spans="2:33" ht="13.8" x14ac:dyDescent="0.25">
      <c r="B158" s="103">
        <v>147</v>
      </c>
      <c r="C158" s="268"/>
      <c r="D158" s="82"/>
      <c r="E158" s="203"/>
      <c r="F158" s="498" t="str">
        <f>IF(D158="","",VLOOKUP(D158,'G-6 Hedgerow Data'!$B$2:$AG$15,2,FALSE))</f>
        <v/>
      </c>
      <c r="G158" s="524" t="str">
        <f>IF(D158="","",VLOOKUP(D158,'G-6 Hedgerow Data'!$B$2:$AG$15,3,FALSE))</f>
        <v/>
      </c>
      <c r="H158" s="72"/>
      <c r="I158" s="499" t="str">
        <f>IFERROR(IF(AND(F158="V.Low",OR(H158="Good",H158="Moderate")),"Error ▲",VLOOKUP(H158,'G-1 All Habitats'!$Z$2:$AA$9,2,FALSE)),"")</f>
        <v/>
      </c>
      <c r="J158" s="146"/>
      <c r="K158" s="520" t="str">
        <f>IF(J158="","",IF(VLOOKUP(J158,'G-3 Multipliers'!$L$3:$N$6,2,FALSE)=0,"Spatial Data Missing",VLOOKUP(J158,'G-3 Multipliers'!$L$3:$N$6,2,FALSE)))</f>
        <v/>
      </c>
      <c r="L158" s="524" t="str">
        <f>IF(J158="","",IF(VLOOKUP(J158,'G-3 Multipliers'!$L$3:$N$6,3,FALSE)=0,"Spatial Data Missing",VLOOKUP(J158,'G-3 Multipliers'!$L$3:$N$6,3,FALSE)))</f>
        <v/>
      </c>
      <c r="M158" s="197"/>
      <c r="N158" s="499" t="str">
        <f>IF(M158="","",IF(VLOOKUP(M158,'G-3 Multipliers'!$S$3:$T$6,2,FALSE)=0,"Spatial Data Missing ⚠",VLOOKUP(M158,'G-3 Multipliers'!$S$3:$T$6,2,FALSE)))</f>
        <v/>
      </c>
      <c r="O158" s="498" t="str">
        <f>IF(OR(D158="",H158=""),"",(INDEX('G-6 Hedgerow Data'!$E$3:$I$15,MATCH(D158,'G-6 Hedgerow Data'!$B$3:$B$15,0),MATCH(H158,'G-6 Hedgerow Data'!$E$2:$I$2,0))))</f>
        <v/>
      </c>
      <c r="P158" s="195"/>
      <c r="Q158" s="195"/>
      <c r="R158" s="507" t="str">
        <f t="shared" si="13"/>
        <v/>
      </c>
      <c r="S158" s="521" t="str">
        <f t="shared" si="14"/>
        <v/>
      </c>
      <c r="T158" s="522" t="str">
        <f t="shared" si="12"/>
        <v/>
      </c>
      <c r="U158" s="537" t="str">
        <f>IF(D158="","",VLOOKUP(D158,'G-6 Hedgerow Data'!$B$3:$AG$15,31,FALSE))</f>
        <v/>
      </c>
      <c r="V158" s="520" t="str">
        <f t="shared" si="15"/>
        <v/>
      </c>
      <c r="W158" s="520" t="str">
        <f t="shared" si="16"/>
        <v/>
      </c>
      <c r="X158" s="524" t="str">
        <f>IF(F158="","",VLOOKUP(U158,'G-3 Multipliers'!$P$3:$Q$6,2,FALSE))</f>
        <v/>
      </c>
      <c r="Y158" s="529" t="str">
        <f t="shared" si="17"/>
        <v/>
      </c>
      <c r="Z158" s="149"/>
      <c r="AA158" s="150"/>
      <c r="AG158" s="31" t="str">
        <f>IFERROR(INDEX('G-6 Hedgerow Data'!$BJ$3:$BJ$15,MATCH(D158,'G-6 Hedgerow Data'!$B$3:$B$15,0)),"")</f>
        <v/>
      </c>
    </row>
    <row r="159" spans="2:33" ht="13.8" x14ac:dyDescent="0.25">
      <c r="B159" s="103">
        <v>148</v>
      </c>
      <c r="C159" s="268"/>
      <c r="D159" s="82"/>
      <c r="E159" s="203"/>
      <c r="F159" s="498" t="str">
        <f>IF(D159="","",VLOOKUP(D159,'G-6 Hedgerow Data'!$B$2:$AG$15,2,FALSE))</f>
        <v/>
      </c>
      <c r="G159" s="524" t="str">
        <f>IF(D159="","",VLOOKUP(D159,'G-6 Hedgerow Data'!$B$2:$AG$15,3,FALSE))</f>
        <v/>
      </c>
      <c r="H159" s="72"/>
      <c r="I159" s="499" t="str">
        <f>IFERROR(IF(AND(F159="V.Low",OR(H159="Good",H159="Moderate")),"Error ▲",VLOOKUP(H159,'G-1 All Habitats'!$Z$2:$AA$9,2,FALSE)),"")</f>
        <v/>
      </c>
      <c r="J159" s="146"/>
      <c r="K159" s="520" t="str">
        <f>IF(J159="","",IF(VLOOKUP(J159,'G-3 Multipliers'!$L$3:$N$6,2,FALSE)=0,"Spatial Data Missing",VLOOKUP(J159,'G-3 Multipliers'!$L$3:$N$6,2,FALSE)))</f>
        <v/>
      </c>
      <c r="L159" s="524" t="str">
        <f>IF(J159="","",IF(VLOOKUP(J159,'G-3 Multipliers'!$L$3:$N$6,3,FALSE)=0,"Spatial Data Missing",VLOOKUP(J159,'G-3 Multipliers'!$L$3:$N$6,3,FALSE)))</f>
        <v/>
      </c>
      <c r="M159" s="197"/>
      <c r="N159" s="499" t="str">
        <f>IF(M159="","",IF(VLOOKUP(M159,'G-3 Multipliers'!$S$3:$T$6,2,FALSE)=0,"Spatial Data Missing ⚠",VLOOKUP(M159,'G-3 Multipliers'!$S$3:$T$6,2,FALSE)))</f>
        <v/>
      </c>
      <c r="O159" s="498" t="str">
        <f>IF(OR(D159="",H159=""),"",(INDEX('G-6 Hedgerow Data'!$E$3:$I$15,MATCH(D159,'G-6 Hedgerow Data'!$B$3:$B$15,0),MATCH(H159,'G-6 Hedgerow Data'!$E$2:$I$2,0))))</f>
        <v/>
      </c>
      <c r="P159" s="195"/>
      <c r="Q159" s="195"/>
      <c r="R159" s="507" t="str">
        <f t="shared" si="13"/>
        <v/>
      </c>
      <c r="S159" s="521" t="str">
        <f t="shared" si="14"/>
        <v/>
      </c>
      <c r="T159" s="522" t="str">
        <f t="shared" si="12"/>
        <v/>
      </c>
      <c r="U159" s="537" t="str">
        <f>IF(D159="","",VLOOKUP(D159,'G-6 Hedgerow Data'!$B$3:$AG$15,31,FALSE))</f>
        <v/>
      </c>
      <c r="V159" s="520" t="str">
        <f t="shared" si="15"/>
        <v/>
      </c>
      <c r="W159" s="520" t="str">
        <f t="shared" si="16"/>
        <v/>
      </c>
      <c r="X159" s="524" t="str">
        <f>IF(F159="","",VLOOKUP(U159,'G-3 Multipliers'!$P$3:$Q$6,2,FALSE))</f>
        <v/>
      </c>
      <c r="Y159" s="529" t="str">
        <f t="shared" si="17"/>
        <v/>
      </c>
      <c r="Z159" s="149"/>
      <c r="AA159" s="150"/>
      <c r="AG159" s="31" t="str">
        <f>IFERROR(INDEX('G-6 Hedgerow Data'!$BJ$3:$BJ$15,MATCH(D159,'G-6 Hedgerow Data'!$B$3:$B$15,0)),"")</f>
        <v/>
      </c>
    </row>
    <row r="160" spans="2:33" ht="13.8" x14ac:dyDescent="0.25">
      <c r="B160" s="103">
        <v>149</v>
      </c>
      <c r="C160" s="268"/>
      <c r="D160" s="82"/>
      <c r="E160" s="203"/>
      <c r="F160" s="498" t="str">
        <f>IF(D160="","",VLOOKUP(D160,'G-6 Hedgerow Data'!$B$2:$AG$15,2,FALSE))</f>
        <v/>
      </c>
      <c r="G160" s="524" t="str">
        <f>IF(D160="","",VLOOKUP(D160,'G-6 Hedgerow Data'!$B$2:$AG$15,3,FALSE))</f>
        <v/>
      </c>
      <c r="H160" s="72"/>
      <c r="I160" s="499" t="str">
        <f>IFERROR(IF(AND(F160="V.Low",OR(H160="Good",H160="Moderate")),"Error ▲",VLOOKUP(H160,'G-1 All Habitats'!$Z$2:$AA$9,2,FALSE)),"")</f>
        <v/>
      </c>
      <c r="J160" s="146"/>
      <c r="K160" s="520" t="str">
        <f>IF(J160="","",IF(VLOOKUP(J160,'G-3 Multipliers'!$L$3:$N$6,2,FALSE)=0,"Spatial Data Missing",VLOOKUP(J160,'G-3 Multipliers'!$L$3:$N$6,2,FALSE)))</f>
        <v/>
      </c>
      <c r="L160" s="524" t="str">
        <f>IF(J160="","",IF(VLOOKUP(J160,'G-3 Multipliers'!$L$3:$N$6,3,FALSE)=0,"Spatial Data Missing",VLOOKUP(J160,'G-3 Multipliers'!$L$3:$N$6,3,FALSE)))</f>
        <v/>
      </c>
      <c r="M160" s="197"/>
      <c r="N160" s="499" t="str">
        <f>IF(M160="","",IF(VLOOKUP(M160,'G-3 Multipliers'!$S$3:$T$6,2,FALSE)=0,"Spatial Data Missing ⚠",VLOOKUP(M160,'G-3 Multipliers'!$S$3:$T$6,2,FALSE)))</f>
        <v/>
      </c>
      <c r="O160" s="498" t="str">
        <f>IF(OR(D160="",H160=""),"",(INDEX('G-6 Hedgerow Data'!$E$3:$I$15,MATCH(D160,'G-6 Hedgerow Data'!$B$3:$B$15,0),MATCH(H160,'G-6 Hedgerow Data'!$E$2:$I$2,0))))</f>
        <v/>
      </c>
      <c r="P160" s="195"/>
      <c r="Q160" s="195"/>
      <c r="R160" s="507" t="str">
        <f t="shared" si="13"/>
        <v/>
      </c>
      <c r="S160" s="521" t="str">
        <f t="shared" si="14"/>
        <v/>
      </c>
      <c r="T160" s="522" t="str">
        <f t="shared" si="12"/>
        <v/>
      </c>
      <c r="U160" s="537" t="str">
        <f>IF(D160="","",VLOOKUP(D160,'G-6 Hedgerow Data'!$B$3:$AG$15,31,FALSE))</f>
        <v/>
      </c>
      <c r="V160" s="520" t="str">
        <f t="shared" si="15"/>
        <v/>
      </c>
      <c r="W160" s="520" t="str">
        <f t="shared" si="16"/>
        <v/>
      </c>
      <c r="X160" s="524" t="str">
        <f>IF(F160="","",VLOOKUP(U160,'G-3 Multipliers'!$P$3:$Q$6,2,FALSE))</f>
        <v/>
      </c>
      <c r="Y160" s="529" t="str">
        <f t="shared" si="17"/>
        <v/>
      </c>
      <c r="Z160" s="149"/>
      <c r="AA160" s="150"/>
      <c r="AG160" s="31" t="str">
        <f>IFERROR(INDEX('G-6 Hedgerow Data'!$BJ$3:$BJ$15,MATCH(D160,'G-6 Hedgerow Data'!$B$3:$B$15,0)),"")</f>
        <v/>
      </c>
    </row>
    <row r="161" spans="2:33" ht="13.8" x14ac:dyDescent="0.25">
      <c r="B161" s="103">
        <v>150</v>
      </c>
      <c r="C161" s="268"/>
      <c r="D161" s="82"/>
      <c r="E161" s="203"/>
      <c r="F161" s="498" t="str">
        <f>IF(D161="","",VLOOKUP(D161,'G-6 Hedgerow Data'!$B$2:$AG$15,2,FALSE))</f>
        <v/>
      </c>
      <c r="G161" s="524" t="str">
        <f>IF(D161="","",VLOOKUP(D161,'G-6 Hedgerow Data'!$B$2:$AG$15,3,FALSE))</f>
        <v/>
      </c>
      <c r="H161" s="72"/>
      <c r="I161" s="499" t="str">
        <f>IFERROR(IF(AND(F161="V.Low",OR(H161="Good",H161="Moderate")),"Error ▲",VLOOKUP(H161,'G-1 All Habitats'!$Z$2:$AA$9,2,FALSE)),"")</f>
        <v/>
      </c>
      <c r="J161" s="146"/>
      <c r="K161" s="520" t="str">
        <f>IF(J161="","",IF(VLOOKUP(J161,'G-3 Multipliers'!$L$3:$N$6,2,FALSE)=0,"Spatial Data Missing",VLOOKUP(J161,'G-3 Multipliers'!$L$3:$N$6,2,FALSE)))</f>
        <v/>
      </c>
      <c r="L161" s="524" t="str">
        <f>IF(J161="","",IF(VLOOKUP(J161,'G-3 Multipliers'!$L$3:$N$6,3,FALSE)=0,"Spatial Data Missing",VLOOKUP(J161,'G-3 Multipliers'!$L$3:$N$6,3,FALSE)))</f>
        <v/>
      </c>
      <c r="M161" s="197"/>
      <c r="N161" s="499" t="str">
        <f>IF(M161="","",IF(VLOOKUP(M161,'G-3 Multipliers'!$S$3:$T$6,2,FALSE)=0,"Spatial Data Missing ⚠",VLOOKUP(M161,'G-3 Multipliers'!$S$3:$T$6,2,FALSE)))</f>
        <v/>
      </c>
      <c r="O161" s="498" t="str">
        <f>IF(OR(D161="",H161=""),"",(INDEX('G-6 Hedgerow Data'!$E$3:$I$15,MATCH(D161,'G-6 Hedgerow Data'!$B$3:$B$15,0),MATCH(H161,'G-6 Hedgerow Data'!$E$2:$I$2,0))))</f>
        <v/>
      </c>
      <c r="P161" s="195"/>
      <c r="Q161" s="195"/>
      <c r="R161" s="507" t="str">
        <f t="shared" si="13"/>
        <v/>
      </c>
      <c r="S161" s="521" t="str">
        <f t="shared" si="14"/>
        <v/>
      </c>
      <c r="T161" s="522" t="str">
        <f t="shared" si="12"/>
        <v/>
      </c>
      <c r="U161" s="537" t="str">
        <f>IF(D161="","",VLOOKUP(D161,'G-6 Hedgerow Data'!$B$3:$AG$15,31,FALSE))</f>
        <v/>
      </c>
      <c r="V161" s="520" t="str">
        <f t="shared" si="15"/>
        <v/>
      </c>
      <c r="W161" s="520" t="str">
        <f t="shared" si="16"/>
        <v/>
      </c>
      <c r="X161" s="524" t="str">
        <f>IF(F161="","",VLOOKUP(U161,'G-3 Multipliers'!$P$3:$Q$6,2,FALSE))</f>
        <v/>
      </c>
      <c r="Y161" s="529" t="str">
        <f t="shared" si="17"/>
        <v/>
      </c>
      <c r="Z161" s="149"/>
      <c r="AA161" s="150"/>
      <c r="AG161" s="31" t="str">
        <f>IFERROR(INDEX('G-6 Hedgerow Data'!$BJ$3:$BJ$15,MATCH(D161,'G-6 Hedgerow Data'!$B$3:$B$15,0)),"")</f>
        <v/>
      </c>
    </row>
    <row r="162" spans="2:33" ht="13.8" x14ac:dyDescent="0.25">
      <c r="B162" s="103">
        <v>151</v>
      </c>
      <c r="C162" s="268"/>
      <c r="D162" s="82"/>
      <c r="E162" s="203"/>
      <c r="F162" s="498" t="str">
        <f>IF(D162="","",VLOOKUP(D162,'G-6 Hedgerow Data'!$B$2:$AG$15,2,FALSE))</f>
        <v/>
      </c>
      <c r="G162" s="524" t="str">
        <f>IF(D162="","",VLOOKUP(D162,'G-6 Hedgerow Data'!$B$2:$AG$15,3,FALSE))</f>
        <v/>
      </c>
      <c r="H162" s="72"/>
      <c r="I162" s="499" t="str">
        <f>IFERROR(IF(AND(F162="V.Low",OR(H162="Good",H162="Moderate")),"Error ▲",VLOOKUP(H162,'G-1 All Habitats'!$Z$2:$AA$9,2,FALSE)),"")</f>
        <v/>
      </c>
      <c r="J162" s="146"/>
      <c r="K162" s="520" t="str">
        <f>IF(J162="","",IF(VLOOKUP(J162,'G-3 Multipliers'!$L$3:$N$6,2,FALSE)=0,"Spatial Data Missing",VLOOKUP(J162,'G-3 Multipliers'!$L$3:$N$6,2,FALSE)))</f>
        <v/>
      </c>
      <c r="L162" s="524" t="str">
        <f>IF(J162="","",IF(VLOOKUP(J162,'G-3 Multipliers'!$L$3:$N$6,3,FALSE)=0,"Spatial Data Missing",VLOOKUP(J162,'G-3 Multipliers'!$L$3:$N$6,3,FALSE)))</f>
        <v/>
      </c>
      <c r="M162" s="197"/>
      <c r="N162" s="499" t="str">
        <f>IF(M162="","",IF(VLOOKUP(M162,'G-3 Multipliers'!$S$3:$T$6,2,FALSE)=0,"Spatial Data Missing ⚠",VLOOKUP(M162,'G-3 Multipliers'!$S$3:$T$6,2,FALSE)))</f>
        <v/>
      </c>
      <c r="O162" s="498" t="str">
        <f>IF(OR(D162="",H162=""),"",(INDEX('G-6 Hedgerow Data'!$E$3:$I$15,MATCH(D162,'G-6 Hedgerow Data'!$B$3:$B$15,0),MATCH(H162,'G-6 Hedgerow Data'!$E$2:$I$2,0))))</f>
        <v/>
      </c>
      <c r="P162" s="195"/>
      <c r="Q162" s="195"/>
      <c r="R162" s="507" t="str">
        <f t="shared" si="13"/>
        <v/>
      </c>
      <c r="S162" s="521" t="str">
        <f t="shared" si="14"/>
        <v/>
      </c>
      <c r="T162" s="522" t="str">
        <f t="shared" si="12"/>
        <v/>
      </c>
      <c r="U162" s="537" t="str">
        <f>IF(D162="","",VLOOKUP(D162,'G-6 Hedgerow Data'!$B$3:$AG$15,31,FALSE))</f>
        <v/>
      </c>
      <c r="V162" s="520" t="str">
        <f t="shared" si="15"/>
        <v/>
      </c>
      <c r="W162" s="520" t="str">
        <f t="shared" si="16"/>
        <v/>
      </c>
      <c r="X162" s="524" t="str">
        <f>IF(F162="","",VLOOKUP(U162,'G-3 Multipliers'!$P$3:$Q$6,2,FALSE))</f>
        <v/>
      </c>
      <c r="Y162" s="529" t="str">
        <f t="shared" si="17"/>
        <v/>
      </c>
      <c r="Z162" s="149"/>
      <c r="AA162" s="150"/>
      <c r="AG162" s="31" t="str">
        <f>IFERROR(INDEX('G-6 Hedgerow Data'!$BJ$3:$BJ$15,MATCH(D162,'G-6 Hedgerow Data'!$B$3:$B$15,0)),"")</f>
        <v/>
      </c>
    </row>
    <row r="163" spans="2:33" ht="13.8" x14ac:dyDescent="0.25">
      <c r="B163" s="103">
        <v>152</v>
      </c>
      <c r="C163" s="268"/>
      <c r="D163" s="82"/>
      <c r="E163" s="203"/>
      <c r="F163" s="498" t="str">
        <f>IF(D163="","",VLOOKUP(D163,'G-6 Hedgerow Data'!$B$2:$AG$15,2,FALSE))</f>
        <v/>
      </c>
      <c r="G163" s="524" t="str">
        <f>IF(D163="","",VLOOKUP(D163,'G-6 Hedgerow Data'!$B$2:$AG$15,3,FALSE))</f>
        <v/>
      </c>
      <c r="H163" s="72"/>
      <c r="I163" s="499" t="str">
        <f>IFERROR(IF(AND(F163="V.Low",OR(H163="Good",H163="Moderate")),"Error ▲",VLOOKUP(H163,'G-1 All Habitats'!$Z$2:$AA$9,2,FALSE)),"")</f>
        <v/>
      </c>
      <c r="J163" s="146"/>
      <c r="K163" s="520" t="str">
        <f>IF(J163="","",IF(VLOOKUP(J163,'G-3 Multipliers'!$L$3:$N$6,2,FALSE)=0,"Spatial Data Missing",VLOOKUP(J163,'G-3 Multipliers'!$L$3:$N$6,2,FALSE)))</f>
        <v/>
      </c>
      <c r="L163" s="524" t="str">
        <f>IF(J163="","",IF(VLOOKUP(J163,'G-3 Multipliers'!$L$3:$N$6,3,FALSE)=0,"Spatial Data Missing",VLOOKUP(J163,'G-3 Multipliers'!$L$3:$N$6,3,FALSE)))</f>
        <v/>
      </c>
      <c r="M163" s="197"/>
      <c r="N163" s="499" t="str">
        <f>IF(M163="","",IF(VLOOKUP(M163,'G-3 Multipliers'!$S$3:$T$6,2,FALSE)=0,"Spatial Data Missing ⚠",VLOOKUP(M163,'G-3 Multipliers'!$S$3:$T$6,2,FALSE)))</f>
        <v/>
      </c>
      <c r="O163" s="498" t="str">
        <f>IF(OR(D163="",H163=""),"",(INDEX('G-6 Hedgerow Data'!$E$3:$I$15,MATCH(D163,'G-6 Hedgerow Data'!$B$3:$B$15,0),MATCH(H163,'G-6 Hedgerow Data'!$E$2:$I$2,0))))</f>
        <v/>
      </c>
      <c r="P163" s="195"/>
      <c r="Q163" s="195"/>
      <c r="R163" s="507" t="str">
        <f t="shared" si="13"/>
        <v/>
      </c>
      <c r="S163" s="521" t="str">
        <f t="shared" si="14"/>
        <v/>
      </c>
      <c r="T163" s="522" t="str">
        <f t="shared" si="12"/>
        <v/>
      </c>
      <c r="U163" s="537" t="str">
        <f>IF(D163="","",VLOOKUP(D163,'G-6 Hedgerow Data'!$B$3:$AG$15,31,FALSE))</f>
        <v/>
      </c>
      <c r="V163" s="520" t="str">
        <f t="shared" si="15"/>
        <v/>
      </c>
      <c r="W163" s="520" t="str">
        <f t="shared" si="16"/>
        <v/>
      </c>
      <c r="X163" s="524" t="str">
        <f>IF(F163="","",VLOOKUP(U163,'G-3 Multipliers'!$P$3:$Q$6,2,FALSE))</f>
        <v/>
      </c>
      <c r="Y163" s="529" t="str">
        <f t="shared" si="17"/>
        <v/>
      </c>
      <c r="Z163" s="149"/>
      <c r="AA163" s="150"/>
      <c r="AG163" s="31" t="str">
        <f>IFERROR(INDEX('G-6 Hedgerow Data'!$BJ$3:$BJ$15,MATCH(D163,'G-6 Hedgerow Data'!$B$3:$B$15,0)),"")</f>
        <v/>
      </c>
    </row>
    <row r="164" spans="2:33" ht="13.8" x14ac:dyDescent="0.25">
      <c r="B164" s="103">
        <v>153</v>
      </c>
      <c r="C164" s="268"/>
      <c r="D164" s="82"/>
      <c r="E164" s="203"/>
      <c r="F164" s="498" t="str">
        <f>IF(D164="","",VLOOKUP(D164,'G-6 Hedgerow Data'!$B$2:$AG$15,2,FALSE))</f>
        <v/>
      </c>
      <c r="G164" s="524" t="str">
        <f>IF(D164="","",VLOOKUP(D164,'G-6 Hedgerow Data'!$B$2:$AG$15,3,FALSE))</f>
        <v/>
      </c>
      <c r="H164" s="72"/>
      <c r="I164" s="499" t="str">
        <f>IFERROR(IF(AND(F164="V.Low",OR(H164="Good",H164="Moderate")),"Error ▲",VLOOKUP(H164,'G-1 All Habitats'!$Z$2:$AA$9,2,FALSE)),"")</f>
        <v/>
      </c>
      <c r="J164" s="146"/>
      <c r="K164" s="520" t="str">
        <f>IF(J164="","",IF(VLOOKUP(J164,'G-3 Multipliers'!$L$3:$N$6,2,FALSE)=0,"Spatial Data Missing",VLOOKUP(J164,'G-3 Multipliers'!$L$3:$N$6,2,FALSE)))</f>
        <v/>
      </c>
      <c r="L164" s="524" t="str">
        <f>IF(J164="","",IF(VLOOKUP(J164,'G-3 Multipliers'!$L$3:$N$6,3,FALSE)=0,"Spatial Data Missing",VLOOKUP(J164,'G-3 Multipliers'!$L$3:$N$6,3,FALSE)))</f>
        <v/>
      </c>
      <c r="M164" s="197"/>
      <c r="N164" s="499" t="str">
        <f>IF(M164="","",IF(VLOOKUP(M164,'G-3 Multipliers'!$S$3:$T$6,2,FALSE)=0,"Spatial Data Missing ⚠",VLOOKUP(M164,'G-3 Multipliers'!$S$3:$T$6,2,FALSE)))</f>
        <v/>
      </c>
      <c r="O164" s="498" t="str">
        <f>IF(OR(D164="",H164=""),"",(INDEX('G-6 Hedgerow Data'!$E$3:$I$15,MATCH(D164,'G-6 Hedgerow Data'!$B$3:$B$15,0),MATCH(H164,'G-6 Hedgerow Data'!$E$2:$I$2,0))))</f>
        <v/>
      </c>
      <c r="P164" s="195"/>
      <c r="Q164" s="195"/>
      <c r="R164" s="507" t="str">
        <f t="shared" si="13"/>
        <v/>
      </c>
      <c r="S164" s="521" t="str">
        <f t="shared" si="14"/>
        <v/>
      </c>
      <c r="T164" s="522" t="str">
        <f t="shared" si="12"/>
        <v/>
      </c>
      <c r="U164" s="537" t="str">
        <f>IF(D164="","",VLOOKUP(D164,'G-6 Hedgerow Data'!$B$3:$AG$15,31,FALSE))</f>
        <v/>
      </c>
      <c r="V164" s="520" t="str">
        <f t="shared" si="15"/>
        <v/>
      </c>
      <c r="W164" s="520" t="str">
        <f t="shared" si="16"/>
        <v/>
      </c>
      <c r="X164" s="524" t="str">
        <f>IF(F164="","",VLOOKUP(U164,'G-3 Multipliers'!$P$3:$Q$6,2,FALSE))</f>
        <v/>
      </c>
      <c r="Y164" s="529" t="str">
        <f t="shared" si="17"/>
        <v/>
      </c>
      <c r="Z164" s="149"/>
      <c r="AA164" s="150"/>
      <c r="AG164" s="31" t="str">
        <f>IFERROR(INDEX('G-6 Hedgerow Data'!$BJ$3:$BJ$15,MATCH(D164,'G-6 Hedgerow Data'!$B$3:$B$15,0)),"")</f>
        <v/>
      </c>
    </row>
    <row r="165" spans="2:33" ht="13.8" x14ac:dyDescent="0.25">
      <c r="B165" s="103">
        <v>154</v>
      </c>
      <c r="C165" s="268"/>
      <c r="D165" s="82"/>
      <c r="E165" s="203"/>
      <c r="F165" s="498" t="str">
        <f>IF(D165="","",VLOOKUP(D165,'G-6 Hedgerow Data'!$B$2:$AG$15,2,FALSE))</f>
        <v/>
      </c>
      <c r="G165" s="524" t="str">
        <f>IF(D165="","",VLOOKUP(D165,'G-6 Hedgerow Data'!$B$2:$AG$15,3,FALSE))</f>
        <v/>
      </c>
      <c r="H165" s="72"/>
      <c r="I165" s="499" t="str">
        <f>IFERROR(IF(AND(F165="V.Low",OR(H165="Good",H165="Moderate")),"Error ▲",VLOOKUP(H165,'G-1 All Habitats'!$Z$2:$AA$9,2,FALSE)),"")</f>
        <v/>
      </c>
      <c r="J165" s="146"/>
      <c r="K165" s="520" t="str">
        <f>IF(J165="","",IF(VLOOKUP(J165,'G-3 Multipliers'!$L$3:$N$6,2,FALSE)=0,"Spatial Data Missing",VLOOKUP(J165,'G-3 Multipliers'!$L$3:$N$6,2,FALSE)))</f>
        <v/>
      </c>
      <c r="L165" s="524" t="str">
        <f>IF(J165="","",IF(VLOOKUP(J165,'G-3 Multipliers'!$L$3:$N$6,3,FALSE)=0,"Spatial Data Missing",VLOOKUP(J165,'G-3 Multipliers'!$L$3:$N$6,3,FALSE)))</f>
        <v/>
      </c>
      <c r="M165" s="197"/>
      <c r="N165" s="499" t="str">
        <f>IF(M165="","",IF(VLOOKUP(M165,'G-3 Multipliers'!$S$3:$T$6,2,FALSE)=0,"Spatial Data Missing ⚠",VLOOKUP(M165,'G-3 Multipliers'!$S$3:$T$6,2,FALSE)))</f>
        <v/>
      </c>
      <c r="O165" s="498" t="str">
        <f>IF(OR(D165="",H165=""),"",(INDEX('G-6 Hedgerow Data'!$E$3:$I$15,MATCH(D165,'G-6 Hedgerow Data'!$B$3:$B$15,0),MATCH(H165,'G-6 Hedgerow Data'!$E$2:$I$2,0))))</f>
        <v/>
      </c>
      <c r="P165" s="195"/>
      <c r="Q165" s="195"/>
      <c r="R165" s="507" t="str">
        <f t="shared" si="13"/>
        <v/>
      </c>
      <c r="S165" s="521" t="str">
        <f t="shared" si="14"/>
        <v/>
      </c>
      <c r="T165" s="522" t="str">
        <f t="shared" si="12"/>
        <v/>
      </c>
      <c r="U165" s="537" t="str">
        <f>IF(D165="","",VLOOKUP(D165,'G-6 Hedgerow Data'!$B$3:$AG$15,31,FALSE))</f>
        <v/>
      </c>
      <c r="V165" s="520" t="str">
        <f t="shared" si="15"/>
        <v/>
      </c>
      <c r="W165" s="520" t="str">
        <f t="shared" si="16"/>
        <v/>
      </c>
      <c r="X165" s="524" t="str">
        <f>IF(F165="","",VLOOKUP(U165,'G-3 Multipliers'!$P$3:$Q$6,2,FALSE))</f>
        <v/>
      </c>
      <c r="Y165" s="529" t="str">
        <f t="shared" si="17"/>
        <v/>
      </c>
      <c r="Z165" s="149"/>
      <c r="AA165" s="150"/>
      <c r="AG165" s="31" t="str">
        <f>IFERROR(INDEX('G-6 Hedgerow Data'!$BJ$3:$BJ$15,MATCH(D165,'G-6 Hedgerow Data'!$B$3:$B$15,0)),"")</f>
        <v/>
      </c>
    </row>
    <row r="166" spans="2:33" ht="13.8" x14ac:dyDescent="0.25">
      <c r="B166" s="103">
        <v>155</v>
      </c>
      <c r="C166" s="268"/>
      <c r="D166" s="82"/>
      <c r="E166" s="203"/>
      <c r="F166" s="498" t="str">
        <f>IF(D166="","",VLOOKUP(D166,'G-6 Hedgerow Data'!$B$2:$AG$15,2,FALSE))</f>
        <v/>
      </c>
      <c r="G166" s="524" t="str">
        <f>IF(D166="","",VLOOKUP(D166,'G-6 Hedgerow Data'!$B$2:$AG$15,3,FALSE))</f>
        <v/>
      </c>
      <c r="H166" s="72"/>
      <c r="I166" s="499" t="str">
        <f>IFERROR(IF(AND(F166="V.Low",OR(H166="Good",H166="Moderate")),"Error ▲",VLOOKUP(H166,'G-1 All Habitats'!$Z$2:$AA$9,2,FALSE)),"")</f>
        <v/>
      </c>
      <c r="J166" s="146"/>
      <c r="K166" s="520" t="str">
        <f>IF(J166="","",IF(VLOOKUP(J166,'G-3 Multipliers'!$L$3:$N$6,2,FALSE)=0,"Spatial Data Missing",VLOOKUP(J166,'G-3 Multipliers'!$L$3:$N$6,2,FALSE)))</f>
        <v/>
      </c>
      <c r="L166" s="524" t="str">
        <f>IF(J166="","",IF(VLOOKUP(J166,'G-3 Multipliers'!$L$3:$N$6,3,FALSE)=0,"Spatial Data Missing",VLOOKUP(J166,'G-3 Multipliers'!$L$3:$N$6,3,FALSE)))</f>
        <v/>
      </c>
      <c r="M166" s="197"/>
      <c r="N166" s="499" t="str">
        <f>IF(M166="","",IF(VLOOKUP(M166,'G-3 Multipliers'!$S$3:$T$6,2,FALSE)=0,"Spatial Data Missing ⚠",VLOOKUP(M166,'G-3 Multipliers'!$S$3:$T$6,2,FALSE)))</f>
        <v/>
      </c>
      <c r="O166" s="498" t="str">
        <f>IF(OR(D166="",H166=""),"",(INDEX('G-6 Hedgerow Data'!$E$3:$I$15,MATCH(D166,'G-6 Hedgerow Data'!$B$3:$B$15,0),MATCH(H166,'G-6 Hedgerow Data'!$E$2:$I$2,0))))</f>
        <v/>
      </c>
      <c r="P166" s="195"/>
      <c r="Q166" s="195"/>
      <c r="R166" s="507" t="str">
        <f t="shared" si="13"/>
        <v/>
      </c>
      <c r="S166" s="521" t="str">
        <f t="shared" si="14"/>
        <v/>
      </c>
      <c r="T166" s="522" t="str">
        <f t="shared" si="12"/>
        <v/>
      </c>
      <c r="U166" s="537" t="str">
        <f>IF(D166="","",VLOOKUP(D166,'G-6 Hedgerow Data'!$B$3:$AG$15,31,FALSE))</f>
        <v/>
      </c>
      <c r="V166" s="520" t="str">
        <f t="shared" si="15"/>
        <v/>
      </c>
      <c r="W166" s="520" t="str">
        <f t="shared" si="16"/>
        <v/>
      </c>
      <c r="X166" s="524" t="str">
        <f>IF(F166="","",VLOOKUP(U166,'G-3 Multipliers'!$P$3:$Q$6,2,FALSE))</f>
        <v/>
      </c>
      <c r="Y166" s="529" t="str">
        <f t="shared" si="17"/>
        <v/>
      </c>
      <c r="Z166" s="149"/>
      <c r="AA166" s="150"/>
      <c r="AG166" s="31" t="str">
        <f>IFERROR(INDEX('G-6 Hedgerow Data'!$BJ$3:$BJ$15,MATCH(D166,'G-6 Hedgerow Data'!$B$3:$B$15,0)),"")</f>
        <v/>
      </c>
    </row>
    <row r="167" spans="2:33" ht="13.8" x14ac:dyDescent="0.25">
      <c r="B167" s="103">
        <v>156</v>
      </c>
      <c r="C167" s="268"/>
      <c r="D167" s="82"/>
      <c r="E167" s="203"/>
      <c r="F167" s="498" t="str">
        <f>IF(D167="","",VLOOKUP(D167,'G-6 Hedgerow Data'!$B$2:$AG$15,2,FALSE))</f>
        <v/>
      </c>
      <c r="G167" s="524" t="str">
        <f>IF(D167="","",VLOOKUP(D167,'G-6 Hedgerow Data'!$B$2:$AG$15,3,FALSE))</f>
        <v/>
      </c>
      <c r="H167" s="72"/>
      <c r="I167" s="499" t="str">
        <f>IFERROR(IF(AND(F167="V.Low",OR(H167="Good",H167="Moderate")),"Error ▲",VLOOKUP(H167,'G-1 All Habitats'!$Z$2:$AA$9,2,FALSE)),"")</f>
        <v/>
      </c>
      <c r="J167" s="146"/>
      <c r="K167" s="520" t="str">
        <f>IF(J167="","",IF(VLOOKUP(J167,'G-3 Multipliers'!$L$3:$N$6,2,FALSE)=0,"Spatial Data Missing",VLOOKUP(J167,'G-3 Multipliers'!$L$3:$N$6,2,FALSE)))</f>
        <v/>
      </c>
      <c r="L167" s="524" t="str">
        <f>IF(J167="","",IF(VLOOKUP(J167,'G-3 Multipliers'!$L$3:$N$6,3,FALSE)=0,"Spatial Data Missing",VLOOKUP(J167,'G-3 Multipliers'!$L$3:$N$6,3,FALSE)))</f>
        <v/>
      </c>
      <c r="M167" s="197"/>
      <c r="N167" s="499" t="str">
        <f>IF(M167="","",IF(VLOOKUP(M167,'G-3 Multipliers'!$S$3:$T$6,2,FALSE)=0,"Spatial Data Missing ⚠",VLOOKUP(M167,'G-3 Multipliers'!$S$3:$T$6,2,FALSE)))</f>
        <v/>
      </c>
      <c r="O167" s="498" t="str">
        <f>IF(OR(D167="",H167=""),"",(INDEX('G-6 Hedgerow Data'!$E$3:$I$15,MATCH(D167,'G-6 Hedgerow Data'!$B$3:$B$15,0),MATCH(H167,'G-6 Hedgerow Data'!$E$2:$I$2,0))))</f>
        <v/>
      </c>
      <c r="P167" s="195"/>
      <c r="Q167" s="195"/>
      <c r="R167" s="507" t="str">
        <f t="shared" si="13"/>
        <v/>
      </c>
      <c r="S167" s="521" t="str">
        <f t="shared" si="14"/>
        <v/>
      </c>
      <c r="T167" s="522" t="str">
        <f t="shared" si="12"/>
        <v/>
      </c>
      <c r="U167" s="537" t="str">
        <f>IF(D167="","",VLOOKUP(D167,'G-6 Hedgerow Data'!$B$3:$AG$15,31,FALSE))</f>
        <v/>
      </c>
      <c r="V167" s="520" t="str">
        <f t="shared" si="15"/>
        <v/>
      </c>
      <c r="W167" s="520" t="str">
        <f t="shared" si="16"/>
        <v/>
      </c>
      <c r="X167" s="524" t="str">
        <f>IF(F167="","",VLOOKUP(U167,'G-3 Multipliers'!$P$3:$Q$6,2,FALSE))</f>
        <v/>
      </c>
      <c r="Y167" s="529" t="str">
        <f t="shared" si="17"/>
        <v/>
      </c>
      <c r="Z167" s="149"/>
      <c r="AA167" s="150"/>
      <c r="AG167" s="31" t="str">
        <f>IFERROR(INDEX('G-6 Hedgerow Data'!$BJ$3:$BJ$15,MATCH(D167,'G-6 Hedgerow Data'!$B$3:$B$15,0)),"")</f>
        <v/>
      </c>
    </row>
    <row r="168" spans="2:33" ht="13.8" x14ac:dyDescent="0.25">
      <c r="B168" s="103">
        <v>157</v>
      </c>
      <c r="C168" s="268"/>
      <c r="D168" s="82"/>
      <c r="E168" s="203"/>
      <c r="F168" s="498" t="str">
        <f>IF(D168="","",VLOOKUP(D168,'G-6 Hedgerow Data'!$B$2:$AG$15,2,FALSE))</f>
        <v/>
      </c>
      <c r="G168" s="524" t="str">
        <f>IF(D168="","",VLOOKUP(D168,'G-6 Hedgerow Data'!$B$2:$AG$15,3,FALSE))</f>
        <v/>
      </c>
      <c r="H168" s="72"/>
      <c r="I168" s="499" t="str">
        <f>IFERROR(IF(AND(F168="V.Low",OR(H168="Good",H168="Moderate")),"Error ▲",VLOOKUP(H168,'G-1 All Habitats'!$Z$2:$AA$9,2,FALSE)),"")</f>
        <v/>
      </c>
      <c r="J168" s="146"/>
      <c r="K168" s="520" t="str">
        <f>IF(J168="","",IF(VLOOKUP(J168,'G-3 Multipliers'!$L$3:$N$6,2,FALSE)=0,"Spatial Data Missing",VLOOKUP(J168,'G-3 Multipliers'!$L$3:$N$6,2,FALSE)))</f>
        <v/>
      </c>
      <c r="L168" s="524" t="str">
        <f>IF(J168="","",IF(VLOOKUP(J168,'G-3 Multipliers'!$L$3:$N$6,3,FALSE)=0,"Spatial Data Missing",VLOOKUP(J168,'G-3 Multipliers'!$L$3:$N$6,3,FALSE)))</f>
        <v/>
      </c>
      <c r="M168" s="197"/>
      <c r="N168" s="499" t="str">
        <f>IF(M168="","",IF(VLOOKUP(M168,'G-3 Multipliers'!$S$3:$T$6,2,FALSE)=0,"Spatial Data Missing ⚠",VLOOKUP(M168,'G-3 Multipliers'!$S$3:$T$6,2,FALSE)))</f>
        <v/>
      </c>
      <c r="O168" s="498" t="str">
        <f>IF(OR(D168="",H168=""),"",(INDEX('G-6 Hedgerow Data'!$E$3:$I$15,MATCH(D168,'G-6 Hedgerow Data'!$B$3:$B$15,0),MATCH(H168,'G-6 Hedgerow Data'!$E$2:$I$2,0))))</f>
        <v/>
      </c>
      <c r="P168" s="195"/>
      <c r="Q168" s="195"/>
      <c r="R168" s="507" t="str">
        <f t="shared" si="13"/>
        <v/>
      </c>
      <c r="S168" s="521" t="str">
        <f t="shared" si="14"/>
        <v/>
      </c>
      <c r="T168" s="522" t="str">
        <f t="shared" si="12"/>
        <v/>
      </c>
      <c r="U168" s="537" t="str">
        <f>IF(D168="","",VLOOKUP(D168,'G-6 Hedgerow Data'!$B$3:$AG$15,31,FALSE))</f>
        <v/>
      </c>
      <c r="V168" s="520" t="str">
        <f t="shared" si="15"/>
        <v/>
      </c>
      <c r="W168" s="520" t="str">
        <f t="shared" si="16"/>
        <v/>
      </c>
      <c r="X168" s="524" t="str">
        <f>IF(F168="","",VLOOKUP(U168,'G-3 Multipliers'!$P$3:$Q$6,2,FALSE))</f>
        <v/>
      </c>
      <c r="Y168" s="529" t="str">
        <f t="shared" si="17"/>
        <v/>
      </c>
      <c r="Z168" s="149"/>
      <c r="AA168" s="150"/>
      <c r="AG168" s="31" t="str">
        <f>IFERROR(INDEX('G-6 Hedgerow Data'!$BJ$3:$BJ$15,MATCH(D168,'G-6 Hedgerow Data'!$B$3:$B$15,0)),"")</f>
        <v/>
      </c>
    </row>
    <row r="169" spans="2:33" ht="13.8" x14ac:dyDescent="0.25">
      <c r="B169" s="103">
        <v>158</v>
      </c>
      <c r="C169" s="268"/>
      <c r="D169" s="82"/>
      <c r="E169" s="203"/>
      <c r="F169" s="498" t="str">
        <f>IF(D169="","",VLOOKUP(D169,'G-6 Hedgerow Data'!$B$2:$AG$15,2,FALSE))</f>
        <v/>
      </c>
      <c r="G169" s="524" t="str">
        <f>IF(D169="","",VLOOKUP(D169,'G-6 Hedgerow Data'!$B$2:$AG$15,3,FALSE))</f>
        <v/>
      </c>
      <c r="H169" s="72"/>
      <c r="I169" s="499" t="str">
        <f>IFERROR(IF(AND(F169="V.Low",OR(H169="Good",H169="Moderate")),"Error ▲",VLOOKUP(H169,'G-1 All Habitats'!$Z$2:$AA$9,2,FALSE)),"")</f>
        <v/>
      </c>
      <c r="J169" s="146"/>
      <c r="K169" s="520" t="str">
        <f>IF(J169="","",IF(VLOOKUP(J169,'G-3 Multipliers'!$L$3:$N$6,2,FALSE)=0,"Spatial Data Missing",VLOOKUP(J169,'G-3 Multipliers'!$L$3:$N$6,2,FALSE)))</f>
        <v/>
      </c>
      <c r="L169" s="524" t="str">
        <f>IF(J169="","",IF(VLOOKUP(J169,'G-3 Multipliers'!$L$3:$N$6,3,FALSE)=0,"Spatial Data Missing",VLOOKUP(J169,'G-3 Multipliers'!$L$3:$N$6,3,FALSE)))</f>
        <v/>
      </c>
      <c r="M169" s="197"/>
      <c r="N169" s="499" t="str">
        <f>IF(M169="","",IF(VLOOKUP(M169,'G-3 Multipliers'!$S$3:$T$6,2,FALSE)=0,"Spatial Data Missing ⚠",VLOOKUP(M169,'G-3 Multipliers'!$S$3:$T$6,2,FALSE)))</f>
        <v/>
      </c>
      <c r="O169" s="498" t="str">
        <f>IF(OR(D169="",H169=""),"",(INDEX('G-6 Hedgerow Data'!$E$3:$I$15,MATCH(D169,'G-6 Hedgerow Data'!$B$3:$B$15,0),MATCH(H169,'G-6 Hedgerow Data'!$E$2:$I$2,0))))</f>
        <v/>
      </c>
      <c r="P169" s="195"/>
      <c r="Q169" s="195"/>
      <c r="R169" s="507" t="str">
        <f t="shared" si="13"/>
        <v/>
      </c>
      <c r="S169" s="521" t="str">
        <f t="shared" si="14"/>
        <v/>
      </c>
      <c r="T169" s="522" t="str">
        <f t="shared" si="12"/>
        <v/>
      </c>
      <c r="U169" s="537" t="str">
        <f>IF(D169="","",VLOOKUP(D169,'G-6 Hedgerow Data'!$B$3:$AG$15,31,FALSE))</f>
        <v/>
      </c>
      <c r="V169" s="520" t="str">
        <f t="shared" si="15"/>
        <v/>
      </c>
      <c r="W169" s="520" t="str">
        <f t="shared" si="16"/>
        <v/>
      </c>
      <c r="X169" s="524" t="str">
        <f>IF(F169="","",VLOOKUP(U169,'G-3 Multipliers'!$P$3:$Q$6,2,FALSE))</f>
        <v/>
      </c>
      <c r="Y169" s="529" t="str">
        <f t="shared" si="17"/>
        <v/>
      </c>
      <c r="Z169" s="149"/>
      <c r="AA169" s="150"/>
      <c r="AG169" s="31" t="str">
        <f>IFERROR(INDEX('G-6 Hedgerow Data'!$BJ$3:$BJ$15,MATCH(D169,'G-6 Hedgerow Data'!$B$3:$B$15,0)),"")</f>
        <v/>
      </c>
    </row>
    <row r="170" spans="2:33" ht="13.8" x14ac:dyDescent="0.25">
      <c r="B170" s="103">
        <v>159</v>
      </c>
      <c r="C170" s="268"/>
      <c r="D170" s="82"/>
      <c r="E170" s="203"/>
      <c r="F170" s="498" t="str">
        <f>IF(D170="","",VLOOKUP(D170,'G-6 Hedgerow Data'!$B$2:$AG$15,2,FALSE))</f>
        <v/>
      </c>
      <c r="G170" s="524" t="str">
        <f>IF(D170="","",VLOOKUP(D170,'G-6 Hedgerow Data'!$B$2:$AG$15,3,FALSE))</f>
        <v/>
      </c>
      <c r="H170" s="72"/>
      <c r="I170" s="499" t="str">
        <f>IFERROR(IF(AND(F170="V.Low",OR(H170="Good",H170="Moderate")),"Error ▲",VLOOKUP(H170,'G-1 All Habitats'!$Z$2:$AA$9,2,FALSE)),"")</f>
        <v/>
      </c>
      <c r="J170" s="146"/>
      <c r="K170" s="520" t="str">
        <f>IF(J170="","",IF(VLOOKUP(J170,'G-3 Multipliers'!$L$3:$N$6,2,FALSE)=0,"Spatial Data Missing",VLOOKUP(J170,'G-3 Multipliers'!$L$3:$N$6,2,FALSE)))</f>
        <v/>
      </c>
      <c r="L170" s="524" t="str">
        <f>IF(J170="","",IF(VLOOKUP(J170,'G-3 Multipliers'!$L$3:$N$6,3,FALSE)=0,"Spatial Data Missing",VLOOKUP(J170,'G-3 Multipliers'!$L$3:$N$6,3,FALSE)))</f>
        <v/>
      </c>
      <c r="M170" s="197"/>
      <c r="N170" s="499" t="str">
        <f>IF(M170="","",IF(VLOOKUP(M170,'G-3 Multipliers'!$S$3:$T$6,2,FALSE)=0,"Spatial Data Missing ⚠",VLOOKUP(M170,'G-3 Multipliers'!$S$3:$T$6,2,FALSE)))</f>
        <v/>
      </c>
      <c r="O170" s="498" t="str">
        <f>IF(OR(D170="",H170=""),"",(INDEX('G-6 Hedgerow Data'!$E$3:$I$15,MATCH(D170,'G-6 Hedgerow Data'!$B$3:$B$15,0),MATCH(H170,'G-6 Hedgerow Data'!$E$2:$I$2,0))))</f>
        <v/>
      </c>
      <c r="P170" s="195"/>
      <c r="Q170" s="195"/>
      <c r="R170" s="507" t="str">
        <f t="shared" si="13"/>
        <v/>
      </c>
      <c r="S170" s="521" t="str">
        <f t="shared" si="14"/>
        <v/>
      </c>
      <c r="T170" s="522" t="str">
        <f t="shared" si="12"/>
        <v/>
      </c>
      <c r="U170" s="537" t="str">
        <f>IF(D170="","",VLOOKUP(D170,'G-6 Hedgerow Data'!$B$3:$AG$15,31,FALSE))</f>
        <v/>
      </c>
      <c r="V170" s="520" t="str">
        <f t="shared" si="15"/>
        <v/>
      </c>
      <c r="W170" s="520" t="str">
        <f t="shared" si="16"/>
        <v/>
      </c>
      <c r="X170" s="524" t="str">
        <f>IF(F170="","",VLOOKUP(U170,'G-3 Multipliers'!$P$3:$Q$6,2,FALSE))</f>
        <v/>
      </c>
      <c r="Y170" s="529" t="str">
        <f t="shared" si="17"/>
        <v/>
      </c>
      <c r="Z170" s="149"/>
      <c r="AA170" s="150"/>
      <c r="AG170" s="31" t="str">
        <f>IFERROR(INDEX('G-6 Hedgerow Data'!$BJ$3:$BJ$15,MATCH(D170,'G-6 Hedgerow Data'!$B$3:$B$15,0)),"")</f>
        <v/>
      </c>
    </row>
    <row r="171" spans="2:33" ht="13.8" x14ac:dyDescent="0.25">
      <c r="B171" s="103">
        <v>160</v>
      </c>
      <c r="C171" s="268"/>
      <c r="D171" s="82"/>
      <c r="E171" s="203"/>
      <c r="F171" s="498" t="str">
        <f>IF(D171="","",VLOOKUP(D171,'G-6 Hedgerow Data'!$B$2:$AG$15,2,FALSE))</f>
        <v/>
      </c>
      <c r="G171" s="524" t="str">
        <f>IF(D171="","",VLOOKUP(D171,'G-6 Hedgerow Data'!$B$2:$AG$15,3,FALSE))</f>
        <v/>
      </c>
      <c r="H171" s="72"/>
      <c r="I171" s="499" t="str">
        <f>IFERROR(IF(AND(F171="V.Low",OR(H171="Good",H171="Moderate")),"Error ▲",VLOOKUP(H171,'G-1 All Habitats'!$Z$2:$AA$9,2,FALSE)),"")</f>
        <v/>
      </c>
      <c r="J171" s="146"/>
      <c r="K171" s="520" t="str">
        <f>IF(J171="","",IF(VLOOKUP(J171,'G-3 Multipliers'!$L$3:$N$6,2,FALSE)=0,"Spatial Data Missing",VLOOKUP(J171,'G-3 Multipliers'!$L$3:$N$6,2,FALSE)))</f>
        <v/>
      </c>
      <c r="L171" s="524" t="str">
        <f>IF(J171="","",IF(VLOOKUP(J171,'G-3 Multipliers'!$L$3:$N$6,3,FALSE)=0,"Spatial Data Missing",VLOOKUP(J171,'G-3 Multipliers'!$L$3:$N$6,3,FALSE)))</f>
        <v/>
      </c>
      <c r="M171" s="197"/>
      <c r="N171" s="499" t="str">
        <f>IF(M171="","",IF(VLOOKUP(M171,'G-3 Multipliers'!$S$3:$T$6,2,FALSE)=0,"Spatial Data Missing ⚠",VLOOKUP(M171,'G-3 Multipliers'!$S$3:$T$6,2,FALSE)))</f>
        <v/>
      </c>
      <c r="O171" s="498" t="str">
        <f>IF(OR(D171="",H171=""),"",(INDEX('G-6 Hedgerow Data'!$E$3:$I$15,MATCH(D171,'G-6 Hedgerow Data'!$B$3:$B$15,0),MATCH(H171,'G-6 Hedgerow Data'!$E$2:$I$2,0))))</f>
        <v/>
      </c>
      <c r="P171" s="195"/>
      <c r="Q171" s="195"/>
      <c r="R171" s="507" t="str">
        <f t="shared" si="13"/>
        <v/>
      </c>
      <c r="S171" s="521" t="str">
        <f t="shared" si="14"/>
        <v/>
      </c>
      <c r="T171" s="522" t="str">
        <f t="shared" si="12"/>
        <v/>
      </c>
      <c r="U171" s="537" t="str">
        <f>IF(D171="","",VLOOKUP(D171,'G-6 Hedgerow Data'!$B$3:$AG$15,31,FALSE))</f>
        <v/>
      </c>
      <c r="V171" s="520" t="str">
        <f t="shared" si="15"/>
        <v/>
      </c>
      <c r="W171" s="520" t="str">
        <f t="shared" si="16"/>
        <v/>
      </c>
      <c r="X171" s="524" t="str">
        <f>IF(F171="","",VLOOKUP(U171,'G-3 Multipliers'!$P$3:$Q$6,2,FALSE))</f>
        <v/>
      </c>
      <c r="Y171" s="529" t="str">
        <f t="shared" si="17"/>
        <v/>
      </c>
      <c r="Z171" s="149"/>
      <c r="AA171" s="150"/>
      <c r="AG171" s="31" t="str">
        <f>IFERROR(INDEX('G-6 Hedgerow Data'!$BJ$3:$BJ$15,MATCH(D171,'G-6 Hedgerow Data'!$B$3:$B$15,0)),"")</f>
        <v/>
      </c>
    </row>
    <row r="172" spans="2:33" ht="13.8" x14ac:dyDescent="0.25">
      <c r="B172" s="103">
        <v>161</v>
      </c>
      <c r="C172" s="268"/>
      <c r="D172" s="82"/>
      <c r="E172" s="203"/>
      <c r="F172" s="498" t="str">
        <f>IF(D172="","",VLOOKUP(D172,'G-6 Hedgerow Data'!$B$2:$AG$15,2,FALSE))</f>
        <v/>
      </c>
      <c r="G172" s="524" t="str">
        <f>IF(D172="","",VLOOKUP(D172,'G-6 Hedgerow Data'!$B$2:$AG$15,3,FALSE))</f>
        <v/>
      </c>
      <c r="H172" s="72"/>
      <c r="I172" s="499" t="str">
        <f>IFERROR(IF(AND(F172="V.Low",OR(H172="Good",H172="Moderate")),"Error ▲",VLOOKUP(H172,'G-1 All Habitats'!$Z$2:$AA$9,2,FALSE)),"")</f>
        <v/>
      </c>
      <c r="J172" s="146"/>
      <c r="K172" s="520" t="str">
        <f>IF(J172="","",IF(VLOOKUP(J172,'G-3 Multipliers'!$L$3:$N$6,2,FALSE)=0,"Spatial Data Missing",VLOOKUP(J172,'G-3 Multipliers'!$L$3:$N$6,2,FALSE)))</f>
        <v/>
      </c>
      <c r="L172" s="524" t="str">
        <f>IF(J172="","",IF(VLOOKUP(J172,'G-3 Multipliers'!$L$3:$N$6,3,FALSE)=0,"Spatial Data Missing",VLOOKUP(J172,'G-3 Multipliers'!$L$3:$N$6,3,FALSE)))</f>
        <v/>
      </c>
      <c r="M172" s="197"/>
      <c r="N172" s="499" t="str">
        <f>IF(M172="","",IF(VLOOKUP(M172,'G-3 Multipliers'!$S$3:$T$6,2,FALSE)=0,"Spatial Data Missing ⚠",VLOOKUP(M172,'G-3 Multipliers'!$S$3:$T$6,2,FALSE)))</f>
        <v/>
      </c>
      <c r="O172" s="498" t="str">
        <f>IF(OR(D172="",H172=""),"",(INDEX('G-6 Hedgerow Data'!$E$3:$I$15,MATCH(D172,'G-6 Hedgerow Data'!$B$3:$B$15,0),MATCH(H172,'G-6 Hedgerow Data'!$E$2:$I$2,0))))</f>
        <v/>
      </c>
      <c r="P172" s="195"/>
      <c r="Q172" s="195"/>
      <c r="R172" s="507" t="str">
        <f t="shared" si="13"/>
        <v/>
      </c>
      <c r="S172" s="521" t="str">
        <f t="shared" si="14"/>
        <v/>
      </c>
      <c r="T172" s="522" t="str">
        <f t="shared" si="12"/>
        <v/>
      </c>
      <c r="U172" s="537" t="str">
        <f>IF(D172="","",VLOOKUP(D172,'G-6 Hedgerow Data'!$B$3:$AG$15,31,FALSE))</f>
        <v/>
      </c>
      <c r="V172" s="520" t="str">
        <f t="shared" si="15"/>
        <v/>
      </c>
      <c r="W172" s="520" t="str">
        <f t="shared" si="16"/>
        <v/>
      </c>
      <c r="X172" s="524" t="str">
        <f>IF(F172="","",VLOOKUP(U172,'G-3 Multipliers'!$P$3:$Q$6,2,FALSE))</f>
        <v/>
      </c>
      <c r="Y172" s="529" t="str">
        <f t="shared" si="17"/>
        <v/>
      </c>
      <c r="Z172" s="149"/>
      <c r="AA172" s="150"/>
      <c r="AG172" s="31" t="str">
        <f>IFERROR(INDEX('G-6 Hedgerow Data'!$BJ$3:$BJ$15,MATCH(D172,'G-6 Hedgerow Data'!$B$3:$B$15,0)),"")</f>
        <v/>
      </c>
    </row>
    <row r="173" spans="2:33" ht="13.8" x14ac:dyDescent="0.25">
      <c r="B173" s="103">
        <v>162</v>
      </c>
      <c r="C173" s="268"/>
      <c r="D173" s="82"/>
      <c r="E173" s="203"/>
      <c r="F173" s="498" t="str">
        <f>IF(D173="","",VLOOKUP(D173,'G-6 Hedgerow Data'!$B$2:$AG$15,2,FALSE))</f>
        <v/>
      </c>
      <c r="G173" s="524" t="str">
        <f>IF(D173="","",VLOOKUP(D173,'G-6 Hedgerow Data'!$B$2:$AG$15,3,FALSE))</f>
        <v/>
      </c>
      <c r="H173" s="72"/>
      <c r="I173" s="499" t="str">
        <f>IFERROR(IF(AND(F173="V.Low",OR(H173="Good",H173="Moderate")),"Error ▲",VLOOKUP(H173,'G-1 All Habitats'!$Z$2:$AA$9,2,FALSE)),"")</f>
        <v/>
      </c>
      <c r="J173" s="146"/>
      <c r="K173" s="520" t="str">
        <f>IF(J173="","",IF(VLOOKUP(J173,'G-3 Multipliers'!$L$3:$N$6,2,FALSE)=0,"Spatial Data Missing",VLOOKUP(J173,'G-3 Multipliers'!$L$3:$N$6,2,FALSE)))</f>
        <v/>
      </c>
      <c r="L173" s="524" t="str">
        <f>IF(J173="","",IF(VLOOKUP(J173,'G-3 Multipliers'!$L$3:$N$6,3,FALSE)=0,"Spatial Data Missing",VLOOKUP(J173,'G-3 Multipliers'!$L$3:$N$6,3,FALSE)))</f>
        <v/>
      </c>
      <c r="M173" s="197"/>
      <c r="N173" s="499" t="str">
        <f>IF(M173="","",IF(VLOOKUP(M173,'G-3 Multipliers'!$S$3:$T$6,2,FALSE)=0,"Spatial Data Missing ⚠",VLOOKUP(M173,'G-3 Multipliers'!$S$3:$T$6,2,FALSE)))</f>
        <v/>
      </c>
      <c r="O173" s="498" t="str">
        <f>IF(OR(D173="",H173=""),"",(INDEX('G-6 Hedgerow Data'!$E$3:$I$15,MATCH(D173,'G-6 Hedgerow Data'!$B$3:$B$15,0),MATCH(H173,'G-6 Hedgerow Data'!$E$2:$I$2,0))))</f>
        <v/>
      </c>
      <c r="P173" s="195"/>
      <c r="Q173" s="195"/>
      <c r="R173" s="507" t="str">
        <f t="shared" si="13"/>
        <v/>
      </c>
      <c r="S173" s="521" t="str">
        <f t="shared" si="14"/>
        <v/>
      </c>
      <c r="T173" s="522" t="str">
        <f t="shared" si="12"/>
        <v/>
      </c>
      <c r="U173" s="537" t="str">
        <f>IF(D173="","",VLOOKUP(D173,'G-6 Hedgerow Data'!$B$3:$AG$15,31,FALSE))</f>
        <v/>
      </c>
      <c r="V173" s="520" t="str">
        <f t="shared" si="15"/>
        <v/>
      </c>
      <c r="W173" s="520" t="str">
        <f t="shared" si="16"/>
        <v/>
      </c>
      <c r="X173" s="524" t="str">
        <f>IF(F173="","",VLOOKUP(U173,'G-3 Multipliers'!$P$3:$Q$6,2,FALSE))</f>
        <v/>
      </c>
      <c r="Y173" s="529" t="str">
        <f t="shared" si="17"/>
        <v/>
      </c>
      <c r="Z173" s="149"/>
      <c r="AA173" s="150"/>
      <c r="AG173" s="31" t="str">
        <f>IFERROR(INDEX('G-6 Hedgerow Data'!$BJ$3:$BJ$15,MATCH(D173,'G-6 Hedgerow Data'!$B$3:$B$15,0)),"")</f>
        <v/>
      </c>
    </row>
    <row r="174" spans="2:33" ht="13.8" x14ac:dyDescent="0.25">
      <c r="B174" s="103">
        <v>163</v>
      </c>
      <c r="C174" s="268"/>
      <c r="D174" s="82"/>
      <c r="E174" s="203"/>
      <c r="F174" s="498" t="str">
        <f>IF(D174="","",VLOOKUP(D174,'G-6 Hedgerow Data'!$B$2:$AG$15,2,FALSE))</f>
        <v/>
      </c>
      <c r="G174" s="524" t="str">
        <f>IF(D174="","",VLOOKUP(D174,'G-6 Hedgerow Data'!$B$2:$AG$15,3,FALSE))</f>
        <v/>
      </c>
      <c r="H174" s="72"/>
      <c r="I174" s="499" t="str">
        <f>IFERROR(IF(AND(F174="V.Low",OR(H174="Good",H174="Moderate")),"Error ▲",VLOOKUP(H174,'G-1 All Habitats'!$Z$2:$AA$9,2,FALSE)),"")</f>
        <v/>
      </c>
      <c r="J174" s="146"/>
      <c r="K174" s="520" t="str">
        <f>IF(J174="","",IF(VLOOKUP(J174,'G-3 Multipliers'!$L$3:$N$6,2,FALSE)=0,"Spatial Data Missing",VLOOKUP(J174,'G-3 Multipliers'!$L$3:$N$6,2,FALSE)))</f>
        <v/>
      </c>
      <c r="L174" s="524" t="str">
        <f>IF(J174="","",IF(VLOOKUP(J174,'G-3 Multipliers'!$L$3:$N$6,3,FALSE)=0,"Spatial Data Missing",VLOOKUP(J174,'G-3 Multipliers'!$L$3:$N$6,3,FALSE)))</f>
        <v/>
      </c>
      <c r="M174" s="197"/>
      <c r="N174" s="499" t="str">
        <f>IF(M174="","",IF(VLOOKUP(M174,'G-3 Multipliers'!$S$3:$T$6,2,FALSE)=0,"Spatial Data Missing ⚠",VLOOKUP(M174,'G-3 Multipliers'!$S$3:$T$6,2,FALSE)))</f>
        <v/>
      </c>
      <c r="O174" s="498" t="str">
        <f>IF(OR(D174="",H174=""),"",(INDEX('G-6 Hedgerow Data'!$E$3:$I$15,MATCH(D174,'G-6 Hedgerow Data'!$B$3:$B$15,0),MATCH(H174,'G-6 Hedgerow Data'!$E$2:$I$2,0))))</f>
        <v/>
      </c>
      <c r="P174" s="195"/>
      <c r="Q174" s="195"/>
      <c r="R174" s="507" t="str">
        <f t="shared" si="13"/>
        <v/>
      </c>
      <c r="S174" s="521" t="str">
        <f t="shared" si="14"/>
        <v/>
      </c>
      <c r="T174" s="522" t="str">
        <f t="shared" si="12"/>
        <v/>
      </c>
      <c r="U174" s="537" t="str">
        <f>IF(D174="","",VLOOKUP(D174,'G-6 Hedgerow Data'!$B$3:$AG$15,31,FALSE))</f>
        <v/>
      </c>
      <c r="V174" s="520" t="str">
        <f t="shared" si="15"/>
        <v/>
      </c>
      <c r="W174" s="520" t="str">
        <f t="shared" si="16"/>
        <v/>
      </c>
      <c r="X174" s="524" t="str">
        <f>IF(F174="","",VLOOKUP(U174,'G-3 Multipliers'!$P$3:$Q$6,2,FALSE))</f>
        <v/>
      </c>
      <c r="Y174" s="529" t="str">
        <f t="shared" si="17"/>
        <v/>
      </c>
      <c r="Z174" s="149"/>
      <c r="AA174" s="150"/>
      <c r="AG174" s="31" t="str">
        <f>IFERROR(INDEX('G-6 Hedgerow Data'!$BJ$3:$BJ$15,MATCH(D174,'G-6 Hedgerow Data'!$B$3:$B$15,0)),"")</f>
        <v/>
      </c>
    </row>
    <row r="175" spans="2:33" ht="13.8" x14ac:dyDescent="0.25">
      <c r="B175" s="103">
        <v>164</v>
      </c>
      <c r="C175" s="268"/>
      <c r="D175" s="82"/>
      <c r="E175" s="203"/>
      <c r="F175" s="498" t="str">
        <f>IF(D175="","",VLOOKUP(D175,'G-6 Hedgerow Data'!$B$2:$AG$15,2,FALSE))</f>
        <v/>
      </c>
      <c r="G175" s="524" t="str">
        <f>IF(D175="","",VLOOKUP(D175,'G-6 Hedgerow Data'!$B$2:$AG$15,3,FALSE))</f>
        <v/>
      </c>
      <c r="H175" s="72"/>
      <c r="I175" s="499" t="str">
        <f>IFERROR(IF(AND(F175="V.Low",OR(H175="Good",H175="Moderate")),"Error ▲",VLOOKUP(H175,'G-1 All Habitats'!$Z$2:$AA$9,2,FALSE)),"")</f>
        <v/>
      </c>
      <c r="J175" s="146"/>
      <c r="K175" s="520" t="str">
        <f>IF(J175="","",IF(VLOOKUP(J175,'G-3 Multipliers'!$L$3:$N$6,2,FALSE)=0,"Spatial Data Missing",VLOOKUP(J175,'G-3 Multipliers'!$L$3:$N$6,2,FALSE)))</f>
        <v/>
      </c>
      <c r="L175" s="524" t="str">
        <f>IF(J175="","",IF(VLOOKUP(J175,'G-3 Multipliers'!$L$3:$N$6,3,FALSE)=0,"Spatial Data Missing",VLOOKUP(J175,'G-3 Multipliers'!$L$3:$N$6,3,FALSE)))</f>
        <v/>
      </c>
      <c r="M175" s="197"/>
      <c r="N175" s="499" t="str">
        <f>IF(M175="","",IF(VLOOKUP(M175,'G-3 Multipliers'!$S$3:$T$6,2,FALSE)=0,"Spatial Data Missing ⚠",VLOOKUP(M175,'G-3 Multipliers'!$S$3:$T$6,2,FALSE)))</f>
        <v/>
      </c>
      <c r="O175" s="498" t="str">
        <f>IF(OR(D175="",H175=""),"",(INDEX('G-6 Hedgerow Data'!$E$3:$I$15,MATCH(D175,'G-6 Hedgerow Data'!$B$3:$B$15,0),MATCH(H175,'G-6 Hedgerow Data'!$E$2:$I$2,0))))</f>
        <v/>
      </c>
      <c r="P175" s="195"/>
      <c r="Q175" s="195"/>
      <c r="R175" s="507" t="str">
        <f t="shared" si="13"/>
        <v/>
      </c>
      <c r="S175" s="521" t="str">
        <f t="shared" si="14"/>
        <v/>
      </c>
      <c r="T175" s="522" t="str">
        <f t="shared" si="12"/>
        <v/>
      </c>
      <c r="U175" s="537" t="str">
        <f>IF(D175="","",VLOOKUP(D175,'G-6 Hedgerow Data'!$B$3:$AG$15,31,FALSE))</f>
        <v/>
      </c>
      <c r="V175" s="520" t="str">
        <f t="shared" si="15"/>
        <v/>
      </c>
      <c r="W175" s="520" t="str">
        <f t="shared" si="16"/>
        <v/>
      </c>
      <c r="X175" s="524" t="str">
        <f>IF(F175="","",VLOOKUP(U175,'G-3 Multipliers'!$P$3:$Q$6,2,FALSE))</f>
        <v/>
      </c>
      <c r="Y175" s="529" t="str">
        <f t="shared" si="17"/>
        <v/>
      </c>
      <c r="Z175" s="149"/>
      <c r="AA175" s="150"/>
      <c r="AG175" s="31" t="str">
        <f>IFERROR(INDEX('G-6 Hedgerow Data'!$BJ$3:$BJ$15,MATCH(D175,'G-6 Hedgerow Data'!$B$3:$B$15,0)),"")</f>
        <v/>
      </c>
    </row>
    <row r="176" spans="2:33" ht="13.8" x14ac:dyDescent="0.25">
      <c r="B176" s="103">
        <v>165</v>
      </c>
      <c r="C176" s="268"/>
      <c r="D176" s="82"/>
      <c r="E176" s="203"/>
      <c r="F176" s="498" t="str">
        <f>IF(D176="","",VLOOKUP(D176,'G-6 Hedgerow Data'!$B$2:$AG$15,2,FALSE))</f>
        <v/>
      </c>
      <c r="G176" s="524" t="str">
        <f>IF(D176="","",VLOOKUP(D176,'G-6 Hedgerow Data'!$B$2:$AG$15,3,FALSE))</f>
        <v/>
      </c>
      <c r="H176" s="72"/>
      <c r="I176" s="499" t="str">
        <f>IFERROR(IF(AND(F176="V.Low",OR(H176="Good",H176="Moderate")),"Error ▲",VLOOKUP(H176,'G-1 All Habitats'!$Z$2:$AA$9,2,FALSE)),"")</f>
        <v/>
      </c>
      <c r="J176" s="146"/>
      <c r="K176" s="520" t="str">
        <f>IF(J176="","",IF(VLOOKUP(J176,'G-3 Multipliers'!$L$3:$N$6,2,FALSE)=0,"Spatial Data Missing",VLOOKUP(J176,'G-3 Multipliers'!$L$3:$N$6,2,FALSE)))</f>
        <v/>
      </c>
      <c r="L176" s="524" t="str">
        <f>IF(J176="","",IF(VLOOKUP(J176,'G-3 Multipliers'!$L$3:$N$6,3,FALSE)=0,"Spatial Data Missing",VLOOKUP(J176,'G-3 Multipliers'!$L$3:$N$6,3,FALSE)))</f>
        <v/>
      </c>
      <c r="M176" s="197"/>
      <c r="N176" s="499" t="str">
        <f>IF(M176="","",IF(VLOOKUP(M176,'G-3 Multipliers'!$S$3:$T$6,2,FALSE)=0,"Spatial Data Missing ⚠",VLOOKUP(M176,'G-3 Multipliers'!$S$3:$T$6,2,FALSE)))</f>
        <v/>
      </c>
      <c r="O176" s="498" t="str">
        <f>IF(OR(D176="",H176=""),"",(INDEX('G-6 Hedgerow Data'!$E$3:$I$15,MATCH(D176,'G-6 Hedgerow Data'!$B$3:$B$15,0),MATCH(H176,'G-6 Hedgerow Data'!$E$2:$I$2,0))))</f>
        <v/>
      </c>
      <c r="P176" s="195"/>
      <c r="Q176" s="195"/>
      <c r="R176" s="507" t="str">
        <f t="shared" si="13"/>
        <v/>
      </c>
      <c r="S176" s="521" t="str">
        <f t="shared" si="14"/>
        <v/>
      </c>
      <c r="T176" s="522" t="str">
        <f t="shared" si="12"/>
        <v/>
      </c>
      <c r="U176" s="537" t="str">
        <f>IF(D176="","",VLOOKUP(D176,'G-6 Hedgerow Data'!$B$3:$AG$15,31,FALSE))</f>
        <v/>
      </c>
      <c r="V176" s="520" t="str">
        <f t="shared" si="15"/>
        <v/>
      </c>
      <c r="W176" s="520" t="str">
        <f t="shared" si="16"/>
        <v/>
      </c>
      <c r="X176" s="524" t="str">
        <f>IF(F176="","",VLOOKUP(U176,'G-3 Multipliers'!$P$3:$Q$6,2,FALSE))</f>
        <v/>
      </c>
      <c r="Y176" s="529" t="str">
        <f t="shared" si="17"/>
        <v/>
      </c>
      <c r="Z176" s="149"/>
      <c r="AA176" s="150"/>
      <c r="AG176" s="31" t="str">
        <f>IFERROR(INDEX('G-6 Hedgerow Data'!$BJ$3:$BJ$15,MATCH(D176,'G-6 Hedgerow Data'!$B$3:$B$15,0)),"")</f>
        <v/>
      </c>
    </row>
    <row r="177" spans="2:33" ht="13.8" x14ac:dyDescent="0.25">
      <c r="B177" s="103">
        <v>166</v>
      </c>
      <c r="C177" s="268"/>
      <c r="D177" s="82"/>
      <c r="E177" s="203"/>
      <c r="F177" s="498" t="str">
        <f>IF(D177="","",VLOOKUP(D177,'G-6 Hedgerow Data'!$B$2:$AG$15,2,FALSE))</f>
        <v/>
      </c>
      <c r="G177" s="524" t="str">
        <f>IF(D177="","",VLOOKUP(D177,'G-6 Hedgerow Data'!$B$2:$AG$15,3,FALSE))</f>
        <v/>
      </c>
      <c r="H177" s="72"/>
      <c r="I177" s="499" t="str">
        <f>IFERROR(IF(AND(F177="V.Low",OR(H177="Good",H177="Moderate")),"Error ▲",VLOOKUP(H177,'G-1 All Habitats'!$Z$2:$AA$9,2,FALSE)),"")</f>
        <v/>
      </c>
      <c r="J177" s="146"/>
      <c r="K177" s="520" t="str">
        <f>IF(J177="","",IF(VLOOKUP(J177,'G-3 Multipliers'!$L$3:$N$6,2,FALSE)=0,"Spatial Data Missing",VLOOKUP(J177,'G-3 Multipliers'!$L$3:$N$6,2,FALSE)))</f>
        <v/>
      </c>
      <c r="L177" s="524" t="str">
        <f>IF(J177="","",IF(VLOOKUP(J177,'G-3 Multipliers'!$L$3:$N$6,3,FALSE)=0,"Spatial Data Missing",VLOOKUP(J177,'G-3 Multipliers'!$L$3:$N$6,3,FALSE)))</f>
        <v/>
      </c>
      <c r="M177" s="197"/>
      <c r="N177" s="499" t="str">
        <f>IF(M177="","",IF(VLOOKUP(M177,'G-3 Multipliers'!$S$3:$T$6,2,FALSE)=0,"Spatial Data Missing ⚠",VLOOKUP(M177,'G-3 Multipliers'!$S$3:$T$6,2,FALSE)))</f>
        <v/>
      </c>
      <c r="O177" s="498" t="str">
        <f>IF(OR(D177="",H177=""),"",(INDEX('G-6 Hedgerow Data'!$E$3:$I$15,MATCH(D177,'G-6 Hedgerow Data'!$B$3:$B$15,0),MATCH(H177,'G-6 Hedgerow Data'!$E$2:$I$2,0))))</f>
        <v/>
      </c>
      <c r="P177" s="195"/>
      <c r="Q177" s="195"/>
      <c r="R177" s="507" t="str">
        <f t="shared" si="13"/>
        <v/>
      </c>
      <c r="S177" s="521" t="str">
        <f t="shared" si="14"/>
        <v/>
      </c>
      <c r="T177" s="522" t="str">
        <f t="shared" si="12"/>
        <v/>
      </c>
      <c r="U177" s="537" t="str">
        <f>IF(D177="","",VLOOKUP(D177,'G-6 Hedgerow Data'!$B$3:$AG$15,31,FALSE))</f>
        <v/>
      </c>
      <c r="V177" s="520" t="str">
        <f t="shared" si="15"/>
        <v/>
      </c>
      <c r="W177" s="520" t="str">
        <f t="shared" si="16"/>
        <v/>
      </c>
      <c r="X177" s="524" t="str">
        <f>IF(F177="","",VLOOKUP(U177,'G-3 Multipliers'!$P$3:$Q$6,2,FALSE))</f>
        <v/>
      </c>
      <c r="Y177" s="529" t="str">
        <f t="shared" si="17"/>
        <v/>
      </c>
      <c r="Z177" s="149"/>
      <c r="AA177" s="150"/>
      <c r="AG177" s="31" t="str">
        <f>IFERROR(INDEX('G-6 Hedgerow Data'!$BJ$3:$BJ$15,MATCH(D177,'G-6 Hedgerow Data'!$B$3:$B$15,0)),"")</f>
        <v/>
      </c>
    </row>
    <row r="178" spans="2:33" ht="13.8" x14ac:dyDescent="0.25">
      <c r="B178" s="103">
        <v>167</v>
      </c>
      <c r="C178" s="268"/>
      <c r="D178" s="82"/>
      <c r="E178" s="203"/>
      <c r="F178" s="498" t="str">
        <f>IF(D178="","",VLOOKUP(D178,'G-6 Hedgerow Data'!$B$2:$AG$15,2,FALSE))</f>
        <v/>
      </c>
      <c r="G178" s="524" t="str">
        <f>IF(D178="","",VLOOKUP(D178,'G-6 Hedgerow Data'!$B$2:$AG$15,3,FALSE))</f>
        <v/>
      </c>
      <c r="H178" s="72"/>
      <c r="I178" s="499" t="str">
        <f>IFERROR(IF(AND(F178="V.Low",OR(H178="Good",H178="Moderate")),"Error ▲",VLOOKUP(H178,'G-1 All Habitats'!$Z$2:$AA$9,2,FALSE)),"")</f>
        <v/>
      </c>
      <c r="J178" s="146"/>
      <c r="K178" s="520" t="str">
        <f>IF(J178="","",IF(VLOOKUP(J178,'G-3 Multipliers'!$L$3:$N$6,2,FALSE)=0,"Spatial Data Missing",VLOOKUP(J178,'G-3 Multipliers'!$L$3:$N$6,2,FALSE)))</f>
        <v/>
      </c>
      <c r="L178" s="524" t="str">
        <f>IF(J178="","",IF(VLOOKUP(J178,'G-3 Multipliers'!$L$3:$N$6,3,FALSE)=0,"Spatial Data Missing",VLOOKUP(J178,'G-3 Multipliers'!$L$3:$N$6,3,FALSE)))</f>
        <v/>
      </c>
      <c r="M178" s="197"/>
      <c r="N178" s="499" t="str">
        <f>IF(M178="","",IF(VLOOKUP(M178,'G-3 Multipliers'!$S$3:$T$6,2,FALSE)=0,"Spatial Data Missing ⚠",VLOOKUP(M178,'G-3 Multipliers'!$S$3:$T$6,2,FALSE)))</f>
        <v/>
      </c>
      <c r="O178" s="498" t="str">
        <f>IF(OR(D178="",H178=""),"",(INDEX('G-6 Hedgerow Data'!$E$3:$I$15,MATCH(D178,'G-6 Hedgerow Data'!$B$3:$B$15,0),MATCH(H178,'G-6 Hedgerow Data'!$E$2:$I$2,0))))</f>
        <v/>
      </c>
      <c r="P178" s="195"/>
      <c r="Q178" s="195"/>
      <c r="R178" s="507" t="str">
        <f t="shared" si="13"/>
        <v/>
      </c>
      <c r="S178" s="521" t="str">
        <f t="shared" si="14"/>
        <v/>
      </c>
      <c r="T178" s="522" t="str">
        <f t="shared" si="12"/>
        <v/>
      </c>
      <c r="U178" s="537" t="str">
        <f>IF(D178="","",VLOOKUP(D178,'G-6 Hedgerow Data'!$B$3:$AG$15,31,FALSE))</f>
        <v/>
      </c>
      <c r="V178" s="520" t="str">
        <f t="shared" si="15"/>
        <v/>
      </c>
      <c r="W178" s="520" t="str">
        <f t="shared" si="16"/>
        <v/>
      </c>
      <c r="X178" s="524" t="str">
        <f>IF(F178="","",VLOOKUP(U178,'G-3 Multipliers'!$P$3:$Q$6,2,FALSE))</f>
        <v/>
      </c>
      <c r="Y178" s="529" t="str">
        <f t="shared" si="17"/>
        <v/>
      </c>
      <c r="Z178" s="149"/>
      <c r="AA178" s="150"/>
      <c r="AG178" s="31" t="str">
        <f>IFERROR(INDEX('G-6 Hedgerow Data'!$BJ$3:$BJ$15,MATCH(D178,'G-6 Hedgerow Data'!$B$3:$B$15,0)),"")</f>
        <v/>
      </c>
    </row>
    <row r="179" spans="2:33" ht="13.8" x14ac:dyDescent="0.25">
      <c r="B179" s="103">
        <v>168</v>
      </c>
      <c r="C179" s="268"/>
      <c r="D179" s="82"/>
      <c r="E179" s="203"/>
      <c r="F179" s="498" t="str">
        <f>IF(D179="","",VLOOKUP(D179,'G-6 Hedgerow Data'!$B$2:$AG$15,2,FALSE))</f>
        <v/>
      </c>
      <c r="G179" s="524" t="str">
        <f>IF(D179="","",VLOOKUP(D179,'G-6 Hedgerow Data'!$B$2:$AG$15,3,FALSE))</f>
        <v/>
      </c>
      <c r="H179" s="72"/>
      <c r="I179" s="499" t="str">
        <f>IFERROR(IF(AND(F179="V.Low",OR(H179="Good",H179="Moderate")),"Error ▲",VLOOKUP(H179,'G-1 All Habitats'!$Z$2:$AA$9,2,FALSE)),"")</f>
        <v/>
      </c>
      <c r="J179" s="146"/>
      <c r="K179" s="520" t="str">
        <f>IF(J179="","",IF(VLOOKUP(J179,'G-3 Multipliers'!$L$3:$N$6,2,FALSE)=0,"Spatial Data Missing",VLOOKUP(J179,'G-3 Multipliers'!$L$3:$N$6,2,FALSE)))</f>
        <v/>
      </c>
      <c r="L179" s="524" t="str">
        <f>IF(J179="","",IF(VLOOKUP(J179,'G-3 Multipliers'!$L$3:$N$6,3,FALSE)=0,"Spatial Data Missing",VLOOKUP(J179,'G-3 Multipliers'!$L$3:$N$6,3,FALSE)))</f>
        <v/>
      </c>
      <c r="M179" s="197"/>
      <c r="N179" s="499" t="str">
        <f>IF(M179="","",IF(VLOOKUP(M179,'G-3 Multipliers'!$S$3:$T$6,2,FALSE)=0,"Spatial Data Missing ⚠",VLOOKUP(M179,'G-3 Multipliers'!$S$3:$T$6,2,FALSE)))</f>
        <v/>
      </c>
      <c r="O179" s="498" t="str">
        <f>IF(OR(D179="",H179=""),"",(INDEX('G-6 Hedgerow Data'!$E$3:$I$15,MATCH(D179,'G-6 Hedgerow Data'!$B$3:$B$15,0),MATCH(H179,'G-6 Hedgerow Data'!$E$2:$I$2,0))))</f>
        <v/>
      </c>
      <c r="P179" s="195"/>
      <c r="Q179" s="195"/>
      <c r="R179" s="507" t="str">
        <f t="shared" si="13"/>
        <v/>
      </c>
      <c r="S179" s="521" t="str">
        <f t="shared" si="14"/>
        <v/>
      </c>
      <c r="T179" s="522" t="str">
        <f t="shared" si="12"/>
        <v/>
      </c>
      <c r="U179" s="537" t="str">
        <f>IF(D179="","",VLOOKUP(D179,'G-6 Hedgerow Data'!$B$3:$AG$15,31,FALSE))</f>
        <v/>
      </c>
      <c r="V179" s="520" t="str">
        <f t="shared" si="15"/>
        <v/>
      </c>
      <c r="W179" s="520" t="str">
        <f t="shared" si="16"/>
        <v/>
      </c>
      <c r="X179" s="524" t="str">
        <f>IF(F179="","",VLOOKUP(U179,'G-3 Multipliers'!$P$3:$Q$6,2,FALSE))</f>
        <v/>
      </c>
      <c r="Y179" s="529" t="str">
        <f t="shared" si="17"/>
        <v/>
      </c>
      <c r="Z179" s="149"/>
      <c r="AA179" s="150"/>
      <c r="AG179" s="31" t="str">
        <f>IFERROR(INDEX('G-6 Hedgerow Data'!$BJ$3:$BJ$15,MATCH(D179,'G-6 Hedgerow Data'!$B$3:$B$15,0)),"")</f>
        <v/>
      </c>
    </row>
    <row r="180" spans="2:33" ht="13.8" x14ac:dyDescent="0.25">
      <c r="B180" s="103">
        <v>169</v>
      </c>
      <c r="C180" s="268"/>
      <c r="D180" s="82"/>
      <c r="E180" s="203"/>
      <c r="F180" s="498" t="str">
        <f>IF(D180="","",VLOOKUP(D180,'G-6 Hedgerow Data'!$B$2:$AG$15,2,FALSE))</f>
        <v/>
      </c>
      <c r="G180" s="524" t="str">
        <f>IF(D180="","",VLOOKUP(D180,'G-6 Hedgerow Data'!$B$2:$AG$15,3,FALSE))</f>
        <v/>
      </c>
      <c r="H180" s="72"/>
      <c r="I180" s="499" t="str">
        <f>IFERROR(IF(AND(F180="V.Low",OR(H180="Good",H180="Moderate")),"Error ▲",VLOOKUP(H180,'G-1 All Habitats'!$Z$2:$AA$9,2,FALSE)),"")</f>
        <v/>
      </c>
      <c r="J180" s="146"/>
      <c r="K180" s="520" t="str">
        <f>IF(J180="","",IF(VLOOKUP(J180,'G-3 Multipliers'!$L$3:$N$6,2,FALSE)=0,"Spatial Data Missing",VLOOKUP(J180,'G-3 Multipliers'!$L$3:$N$6,2,FALSE)))</f>
        <v/>
      </c>
      <c r="L180" s="524" t="str">
        <f>IF(J180="","",IF(VLOOKUP(J180,'G-3 Multipliers'!$L$3:$N$6,3,FALSE)=0,"Spatial Data Missing",VLOOKUP(J180,'G-3 Multipliers'!$L$3:$N$6,3,FALSE)))</f>
        <v/>
      </c>
      <c r="M180" s="197"/>
      <c r="N180" s="499" t="str">
        <f>IF(M180="","",IF(VLOOKUP(M180,'G-3 Multipliers'!$S$3:$T$6,2,FALSE)=0,"Spatial Data Missing ⚠",VLOOKUP(M180,'G-3 Multipliers'!$S$3:$T$6,2,FALSE)))</f>
        <v/>
      </c>
      <c r="O180" s="498" t="str">
        <f>IF(OR(D180="",H180=""),"",(INDEX('G-6 Hedgerow Data'!$E$3:$I$15,MATCH(D180,'G-6 Hedgerow Data'!$B$3:$B$15,0),MATCH(H180,'G-6 Hedgerow Data'!$E$2:$I$2,0))))</f>
        <v/>
      </c>
      <c r="P180" s="195"/>
      <c r="Q180" s="195"/>
      <c r="R180" s="507" t="str">
        <f t="shared" si="13"/>
        <v/>
      </c>
      <c r="S180" s="521" t="str">
        <f t="shared" si="14"/>
        <v/>
      </c>
      <c r="T180" s="522" t="str">
        <f t="shared" si="12"/>
        <v/>
      </c>
      <c r="U180" s="537" t="str">
        <f>IF(D180="","",VLOOKUP(D180,'G-6 Hedgerow Data'!$B$3:$AG$15,31,FALSE))</f>
        <v/>
      </c>
      <c r="V180" s="520" t="str">
        <f t="shared" si="15"/>
        <v/>
      </c>
      <c r="W180" s="520" t="str">
        <f t="shared" si="16"/>
        <v/>
      </c>
      <c r="X180" s="524" t="str">
        <f>IF(F180="","",VLOOKUP(U180,'G-3 Multipliers'!$P$3:$Q$6,2,FALSE))</f>
        <v/>
      </c>
      <c r="Y180" s="529" t="str">
        <f t="shared" si="17"/>
        <v/>
      </c>
      <c r="Z180" s="149"/>
      <c r="AA180" s="150"/>
      <c r="AG180" s="31" t="str">
        <f>IFERROR(INDEX('G-6 Hedgerow Data'!$BJ$3:$BJ$15,MATCH(D180,'G-6 Hedgerow Data'!$B$3:$B$15,0)),"")</f>
        <v/>
      </c>
    </row>
    <row r="181" spans="2:33" ht="13.8" x14ac:dyDescent="0.25">
      <c r="B181" s="103">
        <v>170</v>
      </c>
      <c r="C181" s="268"/>
      <c r="D181" s="82"/>
      <c r="E181" s="203"/>
      <c r="F181" s="498" t="str">
        <f>IF(D181="","",VLOOKUP(D181,'G-6 Hedgerow Data'!$B$2:$AG$15,2,FALSE))</f>
        <v/>
      </c>
      <c r="G181" s="524" t="str">
        <f>IF(D181="","",VLOOKUP(D181,'G-6 Hedgerow Data'!$B$2:$AG$15,3,FALSE))</f>
        <v/>
      </c>
      <c r="H181" s="72"/>
      <c r="I181" s="499" t="str">
        <f>IFERROR(IF(AND(F181="V.Low",OR(H181="Good",H181="Moderate")),"Error ▲",VLOOKUP(H181,'G-1 All Habitats'!$Z$2:$AA$9,2,FALSE)),"")</f>
        <v/>
      </c>
      <c r="J181" s="146"/>
      <c r="K181" s="520" t="str">
        <f>IF(J181="","",IF(VLOOKUP(J181,'G-3 Multipliers'!$L$3:$N$6,2,FALSE)=0,"Spatial Data Missing",VLOOKUP(J181,'G-3 Multipliers'!$L$3:$N$6,2,FALSE)))</f>
        <v/>
      </c>
      <c r="L181" s="524" t="str">
        <f>IF(J181="","",IF(VLOOKUP(J181,'G-3 Multipliers'!$L$3:$N$6,3,FALSE)=0,"Spatial Data Missing",VLOOKUP(J181,'G-3 Multipliers'!$L$3:$N$6,3,FALSE)))</f>
        <v/>
      </c>
      <c r="M181" s="197"/>
      <c r="N181" s="499" t="str">
        <f>IF(M181="","",IF(VLOOKUP(M181,'G-3 Multipliers'!$S$3:$T$6,2,FALSE)=0,"Spatial Data Missing ⚠",VLOOKUP(M181,'G-3 Multipliers'!$S$3:$T$6,2,FALSE)))</f>
        <v/>
      </c>
      <c r="O181" s="498" t="str">
        <f>IF(OR(D181="",H181=""),"",(INDEX('G-6 Hedgerow Data'!$E$3:$I$15,MATCH(D181,'G-6 Hedgerow Data'!$B$3:$B$15,0),MATCH(H181,'G-6 Hedgerow Data'!$E$2:$I$2,0))))</f>
        <v/>
      </c>
      <c r="P181" s="195"/>
      <c r="Q181" s="195"/>
      <c r="R181" s="507" t="str">
        <f t="shared" si="13"/>
        <v/>
      </c>
      <c r="S181" s="521" t="str">
        <f t="shared" si="14"/>
        <v/>
      </c>
      <c r="T181" s="522" t="str">
        <f t="shared" si="12"/>
        <v/>
      </c>
      <c r="U181" s="537" t="str">
        <f>IF(D181="","",VLOOKUP(D181,'G-6 Hedgerow Data'!$B$3:$AG$15,31,FALSE))</f>
        <v/>
      </c>
      <c r="V181" s="520" t="str">
        <f t="shared" si="15"/>
        <v/>
      </c>
      <c r="W181" s="520" t="str">
        <f t="shared" si="16"/>
        <v/>
      </c>
      <c r="X181" s="524" t="str">
        <f>IF(F181="","",VLOOKUP(U181,'G-3 Multipliers'!$P$3:$Q$6,2,FALSE))</f>
        <v/>
      </c>
      <c r="Y181" s="529" t="str">
        <f t="shared" si="17"/>
        <v/>
      </c>
      <c r="Z181" s="149"/>
      <c r="AA181" s="150"/>
      <c r="AG181" s="31" t="str">
        <f>IFERROR(INDEX('G-6 Hedgerow Data'!$BJ$3:$BJ$15,MATCH(D181,'G-6 Hedgerow Data'!$B$3:$B$15,0)),"")</f>
        <v/>
      </c>
    </row>
    <row r="182" spans="2:33" ht="13.8" x14ac:dyDescent="0.25">
      <c r="B182" s="103">
        <v>171</v>
      </c>
      <c r="C182" s="268"/>
      <c r="D182" s="82"/>
      <c r="E182" s="203"/>
      <c r="F182" s="498" t="str">
        <f>IF(D182="","",VLOOKUP(D182,'G-6 Hedgerow Data'!$B$2:$AG$15,2,FALSE))</f>
        <v/>
      </c>
      <c r="G182" s="524" t="str">
        <f>IF(D182="","",VLOOKUP(D182,'G-6 Hedgerow Data'!$B$2:$AG$15,3,FALSE))</f>
        <v/>
      </c>
      <c r="H182" s="72"/>
      <c r="I182" s="499" t="str">
        <f>IFERROR(IF(AND(F182="V.Low",OR(H182="Good",H182="Moderate")),"Error ▲",VLOOKUP(H182,'G-1 All Habitats'!$Z$2:$AA$9,2,FALSE)),"")</f>
        <v/>
      </c>
      <c r="J182" s="146"/>
      <c r="K182" s="520" t="str">
        <f>IF(J182="","",IF(VLOOKUP(J182,'G-3 Multipliers'!$L$3:$N$6,2,FALSE)=0,"Spatial Data Missing",VLOOKUP(J182,'G-3 Multipliers'!$L$3:$N$6,2,FALSE)))</f>
        <v/>
      </c>
      <c r="L182" s="524" t="str">
        <f>IF(J182="","",IF(VLOOKUP(J182,'G-3 Multipliers'!$L$3:$N$6,3,FALSE)=0,"Spatial Data Missing",VLOOKUP(J182,'G-3 Multipliers'!$L$3:$N$6,3,FALSE)))</f>
        <v/>
      </c>
      <c r="M182" s="197"/>
      <c r="N182" s="499" t="str">
        <f>IF(M182="","",IF(VLOOKUP(M182,'G-3 Multipliers'!$S$3:$T$6,2,FALSE)=0,"Spatial Data Missing ⚠",VLOOKUP(M182,'G-3 Multipliers'!$S$3:$T$6,2,FALSE)))</f>
        <v/>
      </c>
      <c r="O182" s="498" t="str">
        <f>IF(OR(D182="",H182=""),"",(INDEX('G-6 Hedgerow Data'!$E$3:$I$15,MATCH(D182,'G-6 Hedgerow Data'!$B$3:$B$15,0),MATCH(H182,'G-6 Hedgerow Data'!$E$2:$I$2,0))))</f>
        <v/>
      </c>
      <c r="P182" s="195"/>
      <c r="Q182" s="195"/>
      <c r="R182" s="507" t="str">
        <f t="shared" si="13"/>
        <v/>
      </c>
      <c r="S182" s="521" t="str">
        <f t="shared" si="14"/>
        <v/>
      </c>
      <c r="T182" s="522" t="str">
        <f t="shared" si="12"/>
        <v/>
      </c>
      <c r="U182" s="537" t="str">
        <f>IF(D182="","",VLOOKUP(D182,'G-6 Hedgerow Data'!$B$3:$AG$15,31,FALSE))</f>
        <v/>
      </c>
      <c r="V182" s="520" t="str">
        <f t="shared" si="15"/>
        <v/>
      </c>
      <c r="W182" s="520" t="str">
        <f t="shared" si="16"/>
        <v/>
      </c>
      <c r="X182" s="524" t="str">
        <f>IF(F182="","",VLOOKUP(U182,'G-3 Multipliers'!$P$3:$Q$6,2,FALSE))</f>
        <v/>
      </c>
      <c r="Y182" s="529" t="str">
        <f t="shared" si="17"/>
        <v/>
      </c>
      <c r="Z182" s="149"/>
      <c r="AA182" s="150"/>
      <c r="AG182" s="31" t="str">
        <f>IFERROR(INDEX('G-6 Hedgerow Data'!$BJ$3:$BJ$15,MATCH(D182,'G-6 Hedgerow Data'!$B$3:$B$15,0)),"")</f>
        <v/>
      </c>
    </row>
    <row r="183" spans="2:33" ht="13.8" x14ac:dyDescent="0.25">
      <c r="B183" s="103">
        <v>172</v>
      </c>
      <c r="C183" s="268"/>
      <c r="D183" s="82"/>
      <c r="E183" s="203"/>
      <c r="F183" s="498" t="str">
        <f>IF(D183="","",VLOOKUP(D183,'G-6 Hedgerow Data'!$B$2:$AG$15,2,FALSE))</f>
        <v/>
      </c>
      <c r="G183" s="524" t="str">
        <f>IF(D183="","",VLOOKUP(D183,'G-6 Hedgerow Data'!$B$2:$AG$15,3,FALSE))</f>
        <v/>
      </c>
      <c r="H183" s="72"/>
      <c r="I183" s="499" t="str">
        <f>IFERROR(IF(AND(F183="V.Low",OR(H183="Good",H183="Moderate")),"Error ▲",VLOOKUP(H183,'G-1 All Habitats'!$Z$2:$AA$9,2,FALSE)),"")</f>
        <v/>
      </c>
      <c r="J183" s="146"/>
      <c r="K183" s="520" t="str">
        <f>IF(J183="","",IF(VLOOKUP(J183,'G-3 Multipliers'!$L$3:$N$6,2,FALSE)=0,"Spatial Data Missing",VLOOKUP(J183,'G-3 Multipliers'!$L$3:$N$6,2,FALSE)))</f>
        <v/>
      </c>
      <c r="L183" s="524" t="str">
        <f>IF(J183="","",IF(VLOOKUP(J183,'G-3 Multipliers'!$L$3:$N$6,3,FALSE)=0,"Spatial Data Missing",VLOOKUP(J183,'G-3 Multipliers'!$L$3:$N$6,3,FALSE)))</f>
        <v/>
      </c>
      <c r="M183" s="197"/>
      <c r="N183" s="499" t="str">
        <f>IF(M183="","",IF(VLOOKUP(M183,'G-3 Multipliers'!$S$3:$T$6,2,FALSE)=0,"Spatial Data Missing ⚠",VLOOKUP(M183,'G-3 Multipliers'!$S$3:$T$6,2,FALSE)))</f>
        <v/>
      </c>
      <c r="O183" s="498" t="str">
        <f>IF(OR(D183="",H183=""),"",(INDEX('G-6 Hedgerow Data'!$E$3:$I$15,MATCH(D183,'G-6 Hedgerow Data'!$B$3:$B$15,0),MATCH(H183,'G-6 Hedgerow Data'!$E$2:$I$2,0))))</f>
        <v/>
      </c>
      <c r="P183" s="195"/>
      <c r="Q183" s="195"/>
      <c r="R183" s="507" t="str">
        <f t="shared" si="13"/>
        <v/>
      </c>
      <c r="S183" s="521" t="str">
        <f t="shared" si="14"/>
        <v/>
      </c>
      <c r="T183" s="522" t="str">
        <f t="shared" si="12"/>
        <v/>
      </c>
      <c r="U183" s="537" t="str">
        <f>IF(D183="","",VLOOKUP(D183,'G-6 Hedgerow Data'!$B$3:$AG$15,31,FALSE))</f>
        <v/>
      </c>
      <c r="V183" s="520" t="str">
        <f t="shared" si="15"/>
        <v/>
      </c>
      <c r="W183" s="520" t="str">
        <f t="shared" si="16"/>
        <v/>
      </c>
      <c r="X183" s="524" t="str">
        <f>IF(F183="","",VLOOKUP(U183,'G-3 Multipliers'!$P$3:$Q$6,2,FALSE))</f>
        <v/>
      </c>
      <c r="Y183" s="529" t="str">
        <f t="shared" si="17"/>
        <v/>
      </c>
      <c r="Z183" s="149"/>
      <c r="AA183" s="150"/>
      <c r="AG183" s="31" t="str">
        <f>IFERROR(INDEX('G-6 Hedgerow Data'!$BJ$3:$BJ$15,MATCH(D183,'G-6 Hedgerow Data'!$B$3:$B$15,0)),"")</f>
        <v/>
      </c>
    </row>
    <row r="184" spans="2:33" ht="13.8" x14ac:dyDescent="0.25">
      <c r="B184" s="103">
        <v>173</v>
      </c>
      <c r="C184" s="268"/>
      <c r="D184" s="82"/>
      <c r="E184" s="203"/>
      <c r="F184" s="498" t="str">
        <f>IF(D184="","",VLOOKUP(D184,'G-6 Hedgerow Data'!$B$2:$AG$15,2,FALSE))</f>
        <v/>
      </c>
      <c r="G184" s="524" t="str">
        <f>IF(D184="","",VLOOKUP(D184,'G-6 Hedgerow Data'!$B$2:$AG$15,3,FALSE))</f>
        <v/>
      </c>
      <c r="H184" s="72"/>
      <c r="I184" s="499" t="str">
        <f>IFERROR(IF(AND(F184="V.Low",OR(H184="Good",H184="Moderate")),"Error ▲",VLOOKUP(H184,'G-1 All Habitats'!$Z$2:$AA$9,2,FALSE)),"")</f>
        <v/>
      </c>
      <c r="J184" s="146"/>
      <c r="K184" s="520" t="str">
        <f>IF(J184="","",IF(VLOOKUP(J184,'G-3 Multipliers'!$L$3:$N$6,2,FALSE)=0,"Spatial Data Missing",VLOOKUP(J184,'G-3 Multipliers'!$L$3:$N$6,2,FALSE)))</f>
        <v/>
      </c>
      <c r="L184" s="524" t="str">
        <f>IF(J184="","",IF(VLOOKUP(J184,'G-3 Multipliers'!$L$3:$N$6,3,FALSE)=0,"Spatial Data Missing",VLOOKUP(J184,'G-3 Multipliers'!$L$3:$N$6,3,FALSE)))</f>
        <v/>
      </c>
      <c r="M184" s="197"/>
      <c r="N184" s="499" t="str">
        <f>IF(M184="","",IF(VLOOKUP(M184,'G-3 Multipliers'!$S$3:$T$6,2,FALSE)=0,"Spatial Data Missing ⚠",VLOOKUP(M184,'G-3 Multipliers'!$S$3:$T$6,2,FALSE)))</f>
        <v/>
      </c>
      <c r="O184" s="498" t="str">
        <f>IF(OR(D184="",H184=""),"",(INDEX('G-6 Hedgerow Data'!$E$3:$I$15,MATCH(D184,'G-6 Hedgerow Data'!$B$3:$B$15,0),MATCH(H184,'G-6 Hedgerow Data'!$E$2:$I$2,0))))</f>
        <v/>
      </c>
      <c r="P184" s="195"/>
      <c r="Q184" s="195"/>
      <c r="R184" s="507" t="str">
        <f t="shared" si="13"/>
        <v/>
      </c>
      <c r="S184" s="521" t="str">
        <f t="shared" si="14"/>
        <v/>
      </c>
      <c r="T184" s="522" t="str">
        <f t="shared" si="12"/>
        <v/>
      </c>
      <c r="U184" s="537" t="str">
        <f>IF(D184="","",VLOOKUP(D184,'G-6 Hedgerow Data'!$B$3:$AG$15,31,FALSE))</f>
        <v/>
      </c>
      <c r="V184" s="520" t="str">
        <f t="shared" si="15"/>
        <v/>
      </c>
      <c r="W184" s="520" t="str">
        <f t="shared" si="16"/>
        <v/>
      </c>
      <c r="X184" s="524" t="str">
        <f>IF(F184="","",VLOOKUP(U184,'G-3 Multipliers'!$P$3:$Q$6,2,FALSE))</f>
        <v/>
      </c>
      <c r="Y184" s="529" t="str">
        <f t="shared" si="17"/>
        <v/>
      </c>
      <c r="Z184" s="149"/>
      <c r="AA184" s="150"/>
      <c r="AG184" s="31" t="str">
        <f>IFERROR(INDEX('G-6 Hedgerow Data'!$BJ$3:$BJ$15,MATCH(D184,'G-6 Hedgerow Data'!$B$3:$B$15,0)),"")</f>
        <v/>
      </c>
    </row>
    <row r="185" spans="2:33" ht="13.8" x14ac:dyDescent="0.25">
      <c r="B185" s="103">
        <v>174</v>
      </c>
      <c r="C185" s="268"/>
      <c r="D185" s="82"/>
      <c r="E185" s="203"/>
      <c r="F185" s="498" t="str">
        <f>IF(D185="","",VLOOKUP(D185,'G-6 Hedgerow Data'!$B$2:$AG$15,2,FALSE))</f>
        <v/>
      </c>
      <c r="G185" s="524" t="str">
        <f>IF(D185="","",VLOOKUP(D185,'G-6 Hedgerow Data'!$B$2:$AG$15,3,FALSE))</f>
        <v/>
      </c>
      <c r="H185" s="72"/>
      <c r="I185" s="499" t="str">
        <f>IFERROR(IF(AND(F185="V.Low",OR(H185="Good",H185="Moderate")),"Error ▲",VLOOKUP(H185,'G-1 All Habitats'!$Z$2:$AA$9,2,FALSE)),"")</f>
        <v/>
      </c>
      <c r="J185" s="146"/>
      <c r="K185" s="520" t="str">
        <f>IF(J185="","",IF(VLOOKUP(J185,'G-3 Multipliers'!$L$3:$N$6,2,FALSE)=0,"Spatial Data Missing",VLOOKUP(J185,'G-3 Multipliers'!$L$3:$N$6,2,FALSE)))</f>
        <v/>
      </c>
      <c r="L185" s="524" t="str">
        <f>IF(J185="","",IF(VLOOKUP(J185,'G-3 Multipliers'!$L$3:$N$6,3,FALSE)=0,"Spatial Data Missing",VLOOKUP(J185,'G-3 Multipliers'!$L$3:$N$6,3,FALSE)))</f>
        <v/>
      </c>
      <c r="M185" s="197"/>
      <c r="N185" s="499" t="str">
        <f>IF(M185="","",IF(VLOOKUP(M185,'G-3 Multipliers'!$S$3:$T$6,2,FALSE)=0,"Spatial Data Missing ⚠",VLOOKUP(M185,'G-3 Multipliers'!$S$3:$T$6,2,FALSE)))</f>
        <v/>
      </c>
      <c r="O185" s="498" t="str">
        <f>IF(OR(D185="",H185=""),"",(INDEX('G-6 Hedgerow Data'!$E$3:$I$15,MATCH(D185,'G-6 Hedgerow Data'!$B$3:$B$15,0),MATCH(H185,'G-6 Hedgerow Data'!$E$2:$I$2,0))))</f>
        <v/>
      </c>
      <c r="P185" s="195"/>
      <c r="Q185" s="195"/>
      <c r="R185" s="507" t="str">
        <f t="shared" si="13"/>
        <v/>
      </c>
      <c r="S185" s="521" t="str">
        <f t="shared" si="14"/>
        <v/>
      </c>
      <c r="T185" s="522" t="str">
        <f t="shared" si="12"/>
        <v/>
      </c>
      <c r="U185" s="537" t="str">
        <f>IF(D185="","",VLOOKUP(D185,'G-6 Hedgerow Data'!$B$3:$AG$15,31,FALSE))</f>
        <v/>
      </c>
      <c r="V185" s="520" t="str">
        <f t="shared" si="15"/>
        <v/>
      </c>
      <c r="W185" s="520" t="str">
        <f t="shared" si="16"/>
        <v/>
      </c>
      <c r="X185" s="524" t="str">
        <f>IF(F185="","",VLOOKUP(U185,'G-3 Multipliers'!$P$3:$Q$6,2,FALSE))</f>
        <v/>
      </c>
      <c r="Y185" s="529" t="str">
        <f t="shared" si="17"/>
        <v/>
      </c>
      <c r="Z185" s="149"/>
      <c r="AA185" s="150"/>
      <c r="AG185" s="31" t="str">
        <f>IFERROR(INDEX('G-6 Hedgerow Data'!$BJ$3:$BJ$15,MATCH(D185,'G-6 Hedgerow Data'!$B$3:$B$15,0)),"")</f>
        <v/>
      </c>
    </row>
    <row r="186" spans="2:33" ht="13.8" x14ac:dyDescent="0.25">
      <c r="B186" s="103">
        <v>175</v>
      </c>
      <c r="C186" s="268"/>
      <c r="D186" s="82"/>
      <c r="E186" s="203"/>
      <c r="F186" s="498" t="str">
        <f>IF(D186="","",VLOOKUP(D186,'G-6 Hedgerow Data'!$B$2:$AG$15,2,FALSE))</f>
        <v/>
      </c>
      <c r="G186" s="524" t="str">
        <f>IF(D186="","",VLOOKUP(D186,'G-6 Hedgerow Data'!$B$2:$AG$15,3,FALSE))</f>
        <v/>
      </c>
      <c r="H186" s="72"/>
      <c r="I186" s="499" t="str">
        <f>IFERROR(IF(AND(F186="V.Low",OR(H186="Good",H186="Moderate")),"Error ▲",VLOOKUP(H186,'G-1 All Habitats'!$Z$2:$AA$9,2,FALSE)),"")</f>
        <v/>
      </c>
      <c r="J186" s="146"/>
      <c r="K186" s="520" t="str">
        <f>IF(J186="","",IF(VLOOKUP(J186,'G-3 Multipliers'!$L$3:$N$6,2,FALSE)=0,"Spatial Data Missing",VLOOKUP(J186,'G-3 Multipliers'!$L$3:$N$6,2,FALSE)))</f>
        <v/>
      </c>
      <c r="L186" s="524" t="str">
        <f>IF(J186="","",IF(VLOOKUP(J186,'G-3 Multipliers'!$L$3:$N$6,3,FALSE)=0,"Spatial Data Missing",VLOOKUP(J186,'G-3 Multipliers'!$L$3:$N$6,3,FALSE)))</f>
        <v/>
      </c>
      <c r="M186" s="197"/>
      <c r="N186" s="499" t="str">
        <f>IF(M186="","",IF(VLOOKUP(M186,'G-3 Multipliers'!$S$3:$T$6,2,FALSE)=0,"Spatial Data Missing ⚠",VLOOKUP(M186,'G-3 Multipliers'!$S$3:$T$6,2,FALSE)))</f>
        <v/>
      </c>
      <c r="O186" s="498" t="str">
        <f>IF(OR(D186="",H186=""),"",(INDEX('G-6 Hedgerow Data'!$E$3:$I$15,MATCH(D186,'G-6 Hedgerow Data'!$B$3:$B$15,0),MATCH(H186,'G-6 Hedgerow Data'!$E$2:$I$2,0))))</f>
        <v/>
      </c>
      <c r="P186" s="195"/>
      <c r="Q186" s="195"/>
      <c r="R186" s="507" t="str">
        <f t="shared" si="13"/>
        <v/>
      </c>
      <c r="S186" s="521" t="str">
        <f t="shared" si="14"/>
        <v/>
      </c>
      <c r="T186" s="522" t="str">
        <f t="shared" si="12"/>
        <v/>
      </c>
      <c r="U186" s="537" t="str">
        <f>IF(D186="","",VLOOKUP(D186,'G-6 Hedgerow Data'!$B$3:$AG$15,31,FALSE))</f>
        <v/>
      </c>
      <c r="V186" s="520" t="str">
        <f t="shared" si="15"/>
        <v/>
      </c>
      <c r="W186" s="520" t="str">
        <f t="shared" si="16"/>
        <v/>
      </c>
      <c r="X186" s="524" t="str">
        <f>IF(F186="","",VLOOKUP(U186,'G-3 Multipliers'!$P$3:$Q$6,2,FALSE))</f>
        <v/>
      </c>
      <c r="Y186" s="529" t="str">
        <f t="shared" si="17"/>
        <v/>
      </c>
      <c r="Z186" s="149"/>
      <c r="AA186" s="150"/>
      <c r="AG186" s="31" t="str">
        <f>IFERROR(INDEX('G-6 Hedgerow Data'!$BJ$3:$BJ$15,MATCH(D186,'G-6 Hedgerow Data'!$B$3:$B$15,0)),"")</f>
        <v/>
      </c>
    </row>
    <row r="187" spans="2:33" ht="13.8" x14ac:dyDescent="0.25">
      <c r="B187" s="103">
        <v>176</v>
      </c>
      <c r="C187" s="268"/>
      <c r="D187" s="82"/>
      <c r="E187" s="203"/>
      <c r="F187" s="498" t="str">
        <f>IF(D187="","",VLOOKUP(D187,'G-6 Hedgerow Data'!$B$2:$AG$15,2,FALSE))</f>
        <v/>
      </c>
      <c r="G187" s="524" t="str">
        <f>IF(D187="","",VLOOKUP(D187,'G-6 Hedgerow Data'!$B$2:$AG$15,3,FALSE))</f>
        <v/>
      </c>
      <c r="H187" s="72"/>
      <c r="I187" s="499" t="str">
        <f>IFERROR(IF(AND(F187="V.Low",OR(H187="Good",H187="Moderate")),"Error ▲",VLOOKUP(H187,'G-1 All Habitats'!$Z$2:$AA$9,2,FALSE)),"")</f>
        <v/>
      </c>
      <c r="J187" s="146"/>
      <c r="K187" s="520" t="str">
        <f>IF(J187="","",IF(VLOOKUP(J187,'G-3 Multipliers'!$L$3:$N$6,2,FALSE)=0,"Spatial Data Missing",VLOOKUP(J187,'G-3 Multipliers'!$L$3:$N$6,2,FALSE)))</f>
        <v/>
      </c>
      <c r="L187" s="524" t="str">
        <f>IF(J187="","",IF(VLOOKUP(J187,'G-3 Multipliers'!$L$3:$N$6,3,FALSE)=0,"Spatial Data Missing",VLOOKUP(J187,'G-3 Multipliers'!$L$3:$N$6,3,FALSE)))</f>
        <v/>
      </c>
      <c r="M187" s="197"/>
      <c r="N187" s="499" t="str">
        <f>IF(M187="","",IF(VLOOKUP(M187,'G-3 Multipliers'!$S$3:$T$6,2,FALSE)=0,"Spatial Data Missing ⚠",VLOOKUP(M187,'G-3 Multipliers'!$S$3:$T$6,2,FALSE)))</f>
        <v/>
      </c>
      <c r="O187" s="498" t="str">
        <f>IF(OR(D187="",H187=""),"",(INDEX('G-6 Hedgerow Data'!$E$3:$I$15,MATCH(D187,'G-6 Hedgerow Data'!$B$3:$B$15,0),MATCH(H187,'G-6 Hedgerow Data'!$E$2:$I$2,0))))</f>
        <v/>
      </c>
      <c r="P187" s="195"/>
      <c r="Q187" s="195"/>
      <c r="R187" s="507" t="str">
        <f t="shared" si="13"/>
        <v/>
      </c>
      <c r="S187" s="521" t="str">
        <f t="shared" si="14"/>
        <v/>
      </c>
      <c r="T187" s="522" t="str">
        <f t="shared" si="12"/>
        <v/>
      </c>
      <c r="U187" s="537" t="str">
        <f>IF(D187="","",VLOOKUP(D187,'G-6 Hedgerow Data'!$B$3:$AG$15,31,FALSE))</f>
        <v/>
      </c>
      <c r="V187" s="520" t="str">
        <f t="shared" si="15"/>
        <v/>
      </c>
      <c r="W187" s="520" t="str">
        <f t="shared" si="16"/>
        <v/>
      </c>
      <c r="X187" s="524" t="str">
        <f>IF(F187="","",VLOOKUP(U187,'G-3 Multipliers'!$P$3:$Q$6,2,FALSE))</f>
        <v/>
      </c>
      <c r="Y187" s="529" t="str">
        <f t="shared" si="17"/>
        <v/>
      </c>
      <c r="Z187" s="149"/>
      <c r="AA187" s="150"/>
      <c r="AG187" s="31" t="str">
        <f>IFERROR(INDEX('G-6 Hedgerow Data'!$BJ$3:$BJ$15,MATCH(D187,'G-6 Hedgerow Data'!$B$3:$B$15,0)),"")</f>
        <v/>
      </c>
    </row>
    <row r="188" spans="2:33" ht="13.8" x14ac:dyDescent="0.25">
      <c r="B188" s="103">
        <v>177</v>
      </c>
      <c r="C188" s="268"/>
      <c r="D188" s="82"/>
      <c r="E188" s="203"/>
      <c r="F188" s="498" t="str">
        <f>IF(D188="","",VLOOKUP(D188,'G-6 Hedgerow Data'!$B$2:$AG$15,2,FALSE))</f>
        <v/>
      </c>
      <c r="G188" s="524" t="str">
        <f>IF(D188="","",VLOOKUP(D188,'G-6 Hedgerow Data'!$B$2:$AG$15,3,FALSE))</f>
        <v/>
      </c>
      <c r="H188" s="72"/>
      <c r="I188" s="499" t="str">
        <f>IFERROR(IF(AND(F188="V.Low",OR(H188="Good",H188="Moderate")),"Error ▲",VLOOKUP(H188,'G-1 All Habitats'!$Z$2:$AA$9,2,FALSE)),"")</f>
        <v/>
      </c>
      <c r="J188" s="146"/>
      <c r="K188" s="520" t="str">
        <f>IF(J188="","",IF(VLOOKUP(J188,'G-3 Multipliers'!$L$3:$N$6,2,FALSE)=0,"Spatial Data Missing",VLOOKUP(J188,'G-3 Multipliers'!$L$3:$N$6,2,FALSE)))</f>
        <v/>
      </c>
      <c r="L188" s="524" t="str">
        <f>IF(J188="","",IF(VLOOKUP(J188,'G-3 Multipliers'!$L$3:$N$6,3,FALSE)=0,"Spatial Data Missing",VLOOKUP(J188,'G-3 Multipliers'!$L$3:$N$6,3,FALSE)))</f>
        <v/>
      </c>
      <c r="M188" s="197"/>
      <c r="N188" s="499" t="str">
        <f>IF(M188="","",IF(VLOOKUP(M188,'G-3 Multipliers'!$S$3:$T$6,2,FALSE)=0,"Spatial Data Missing ⚠",VLOOKUP(M188,'G-3 Multipliers'!$S$3:$T$6,2,FALSE)))</f>
        <v/>
      </c>
      <c r="O188" s="498" t="str">
        <f>IF(OR(D188="",H188=""),"",(INDEX('G-6 Hedgerow Data'!$E$3:$I$15,MATCH(D188,'G-6 Hedgerow Data'!$B$3:$B$15,0),MATCH(H188,'G-6 Hedgerow Data'!$E$2:$I$2,0))))</f>
        <v/>
      </c>
      <c r="P188" s="195"/>
      <c r="Q188" s="195"/>
      <c r="R188" s="507" t="str">
        <f t="shared" si="13"/>
        <v/>
      </c>
      <c r="S188" s="521" t="str">
        <f t="shared" si="14"/>
        <v/>
      </c>
      <c r="T188" s="522" t="str">
        <f t="shared" si="12"/>
        <v/>
      </c>
      <c r="U188" s="537" t="str">
        <f>IF(D188="","",VLOOKUP(D188,'G-6 Hedgerow Data'!$B$3:$AG$15,31,FALSE))</f>
        <v/>
      </c>
      <c r="V188" s="520" t="str">
        <f t="shared" si="15"/>
        <v/>
      </c>
      <c r="W188" s="520" t="str">
        <f t="shared" si="16"/>
        <v/>
      </c>
      <c r="X188" s="524" t="str">
        <f>IF(F188="","",VLOOKUP(U188,'G-3 Multipliers'!$P$3:$Q$6,2,FALSE))</f>
        <v/>
      </c>
      <c r="Y188" s="529" t="str">
        <f t="shared" si="17"/>
        <v/>
      </c>
      <c r="Z188" s="149"/>
      <c r="AA188" s="150"/>
      <c r="AG188" s="31" t="str">
        <f>IFERROR(INDEX('G-6 Hedgerow Data'!$BJ$3:$BJ$15,MATCH(D188,'G-6 Hedgerow Data'!$B$3:$B$15,0)),"")</f>
        <v/>
      </c>
    </row>
    <row r="189" spans="2:33" ht="13.8" x14ac:dyDescent="0.25">
      <c r="B189" s="103">
        <v>178</v>
      </c>
      <c r="C189" s="268"/>
      <c r="D189" s="82"/>
      <c r="E189" s="203"/>
      <c r="F189" s="498" t="str">
        <f>IF(D189="","",VLOOKUP(D189,'G-6 Hedgerow Data'!$B$2:$AG$15,2,FALSE))</f>
        <v/>
      </c>
      <c r="G189" s="524" t="str">
        <f>IF(D189="","",VLOOKUP(D189,'G-6 Hedgerow Data'!$B$2:$AG$15,3,FALSE))</f>
        <v/>
      </c>
      <c r="H189" s="72"/>
      <c r="I189" s="499" t="str">
        <f>IFERROR(IF(AND(F189="V.Low",OR(H189="Good",H189="Moderate")),"Error ▲",VLOOKUP(H189,'G-1 All Habitats'!$Z$2:$AA$9,2,FALSE)),"")</f>
        <v/>
      </c>
      <c r="J189" s="146"/>
      <c r="K189" s="520" t="str">
        <f>IF(J189="","",IF(VLOOKUP(J189,'G-3 Multipliers'!$L$3:$N$6,2,FALSE)=0,"Spatial Data Missing",VLOOKUP(J189,'G-3 Multipliers'!$L$3:$N$6,2,FALSE)))</f>
        <v/>
      </c>
      <c r="L189" s="524" t="str">
        <f>IF(J189="","",IF(VLOOKUP(J189,'G-3 Multipliers'!$L$3:$N$6,3,FALSE)=0,"Spatial Data Missing",VLOOKUP(J189,'G-3 Multipliers'!$L$3:$N$6,3,FALSE)))</f>
        <v/>
      </c>
      <c r="M189" s="197"/>
      <c r="N189" s="499" t="str">
        <f>IF(M189="","",IF(VLOOKUP(M189,'G-3 Multipliers'!$S$3:$T$6,2,FALSE)=0,"Spatial Data Missing ⚠",VLOOKUP(M189,'G-3 Multipliers'!$S$3:$T$6,2,FALSE)))</f>
        <v/>
      </c>
      <c r="O189" s="498" t="str">
        <f>IF(OR(D189="",H189=""),"",(INDEX('G-6 Hedgerow Data'!$E$3:$I$15,MATCH(D189,'G-6 Hedgerow Data'!$B$3:$B$15,0),MATCH(H189,'G-6 Hedgerow Data'!$E$2:$I$2,0))))</f>
        <v/>
      </c>
      <c r="P189" s="195"/>
      <c r="Q189" s="195"/>
      <c r="R189" s="507" t="str">
        <f t="shared" si="13"/>
        <v/>
      </c>
      <c r="S189" s="521" t="str">
        <f t="shared" si="14"/>
        <v/>
      </c>
      <c r="T189" s="522" t="str">
        <f t="shared" si="12"/>
        <v/>
      </c>
      <c r="U189" s="537" t="str">
        <f>IF(D189="","",VLOOKUP(D189,'G-6 Hedgerow Data'!$B$3:$AG$15,31,FALSE))</f>
        <v/>
      </c>
      <c r="V189" s="520" t="str">
        <f t="shared" si="15"/>
        <v/>
      </c>
      <c r="W189" s="520" t="str">
        <f t="shared" si="16"/>
        <v/>
      </c>
      <c r="X189" s="524" t="str">
        <f>IF(F189="","",VLOOKUP(U189,'G-3 Multipliers'!$P$3:$Q$6,2,FALSE))</f>
        <v/>
      </c>
      <c r="Y189" s="529" t="str">
        <f t="shared" si="17"/>
        <v/>
      </c>
      <c r="Z189" s="149"/>
      <c r="AA189" s="150"/>
      <c r="AG189" s="31" t="str">
        <f>IFERROR(INDEX('G-6 Hedgerow Data'!$BJ$3:$BJ$15,MATCH(D189,'G-6 Hedgerow Data'!$B$3:$B$15,0)),"")</f>
        <v/>
      </c>
    </row>
    <row r="190" spans="2:33" ht="13.8" x14ac:dyDescent="0.25">
      <c r="B190" s="103">
        <v>179</v>
      </c>
      <c r="C190" s="268"/>
      <c r="D190" s="82"/>
      <c r="E190" s="203"/>
      <c r="F190" s="498" t="str">
        <f>IF(D190="","",VLOOKUP(D190,'G-6 Hedgerow Data'!$B$2:$AG$15,2,FALSE))</f>
        <v/>
      </c>
      <c r="G190" s="524" t="str">
        <f>IF(D190="","",VLOOKUP(D190,'G-6 Hedgerow Data'!$B$2:$AG$15,3,FALSE))</f>
        <v/>
      </c>
      <c r="H190" s="72"/>
      <c r="I190" s="499" t="str">
        <f>IFERROR(IF(AND(F190="V.Low",OR(H190="Good",H190="Moderate")),"Error ▲",VLOOKUP(H190,'G-1 All Habitats'!$Z$2:$AA$9,2,FALSE)),"")</f>
        <v/>
      </c>
      <c r="J190" s="146"/>
      <c r="K190" s="520" t="str">
        <f>IF(J190="","",IF(VLOOKUP(J190,'G-3 Multipliers'!$L$3:$N$6,2,FALSE)=0,"Spatial Data Missing",VLOOKUP(J190,'G-3 Multipliers'!$L$3:$N$6,2,FALSE)))</f>
        <v/>
      </c>
      <c r="L190" s="524" t="str">
        <f>IF(J190="","",IF(VLOOKUP(J190,'G-3 Multipliers'!$L$3:$N$6,3,FALSE)=0,"Spatial Data Missing",VLOOKUP(J190,'G-3 Multipliers'!$L$3:$N$6,3,FALSE)))</f>
        <v/>
      </c>
      <c r="M190" s="197"/>
      <c r="N190" s="499" t="str">
        <f>IF(M190="","",IF(VLOOKUP(M190,'G-3 Multipliers'!$S$3:$T$6,2,FALSE)=0,"Spatial Data Missing ⚠",VLOOKUP(M190,'G-3 Multipliers'!$S$3:$T$6,2,FALSE)))</f>
        <v/>
      </c>
      <c r="O190" s="498" t="str">
        <f>IF(OR(D190="",H190=""),"",(INDEX('G-6 Hedgerow Data'!$E$3:$I$15,MATCH(D190,'G-6 Hedgerow Data'!$B$3:$B$15,0),MATCH(H190,'G-6 Hedgerow Data'!$E$2:$I$2,0))))</f>
        <v/>
      </c>
      <c r="P190" s="195"/>
      <c r="Q190" s="195"/>
      <c r="R190" s="507" t="str">
        <f t="shared" si="13"/>
        <v/>
      </c>
      <c r="S190" s="521" t="str">
        <f t="shared" si="14"/>
        <v/>
      </c>
      <c r="T190" s="522" t="str">
        <f t="shared" si="12"/>
        <v/>
      </c>
      <c r="U190" s="537" t="str">
        <f>IF(D190="","",VLOOKUP(D190,'G-6 Hedgerow Data'!$B$3:$AG$15,31,FALSE))</f>
        <v/>
      </c>
      <c r="V190" s="520" t="str">
        <f t="shared" si="15"/>
        <v/>
      </c>
      <c r="W190" s="520" t="str">
        <f t="shared" si="16"/>
        <v/>
      </c>
      <c r="X190" s="524" t="str">
        <f>IF(F190="","",VLOOKUP(U190,'G-3 Multipliers'!$P$3:$Q$6,2,FALSE))</f>
        <v/>
      </c>
      <c r="Y190" s="529" t="str">
        <f t="shared" si="17"/>
        <v/>
      </c>
      <c r="Z190" s="149"/>
      <c r="AA190" s="150"/>
      <c r="AG190" s="31" t="str">
        <f>IFERROR(INDEX('G-6 Hedgerow Data'!$BJ$3:$BJ$15,MATCH(D190,'G-6 Hedgerow Data'!$B$3:$B$15,0)),"")</f>
        <v/>
      </c>
    </row>
    <row r="191" spans="2:33" ht="13.8" x14ac:dyDescent="0.25">
      <c r="B191" s="103">
        <v>180</v>
      </c>
      <c r="C191" s="268"/>
      <c r="D191" s="82"/>
      <c r="E191" s="203"/>
      <c r="F191" s="498" t="str">
        <f>IF(D191="","",VLOOKUP(D191,'G-6 Hedgerow Data'!$B$2:$AG$15,2,FALSE))</f>
        <v/>
      </c>
      <c r="G191" s="524" t="str">
        <f>IF(D191="","",VLOOKUP(D191,'G-6 Hedgerow Data'!$B$2:$AG$15,3,FALSE))</f>
        <v/>
      </c>
      <c r="H191" s="72"/>
      <c r="I191" s="499" t="str">
        <f>IFERROR(IF(AND(F191="V.Low",OR(H191="Good",H191="Moderate")),"Error ▲",VLOOKUP(H191,'G-1 All Habitats'!$Z$2:$AA$9,2,FALSE)),"")</f>
        <v/>
      </c>
      <c r="J191" s="146"/>
      <c r="K191" s="520" t="str">
        <f>IF(J191="","",IF(VLOOKUP(J191,'G-3 Multipliers'!$L$3:$N$6,2,FALSE)=0,"Spatial Data Missing",VLOOKUP(J191,'G-3 Multipliers'!$L$3:$N$6,2,FALSE)))</f>
        <v/>
      </c>
      <c r="L191" s="524" t="str">
        <f>IF(J191="","",IF(VLOOKUP(J191,'G-3 Multipliers'!$L$3:$N$6,3,FALSE)=0,"Spatial Data Missing",VLOOKUP(J191,'G-3 Multipliers'!$L$3:$N$6,3,FALSE)))</f>
        <v/>
      </c>
      <c r="M191" s="197"/>
      <c r="N191" s="499" t="str">
        <f>IF(M191="","",IF(VLOOKUP(M191,'G-3 Multipliers'!$S$3:$T$6,2,FALSE)=0,"Spatial Data Missing ⚠",VLOOKUP(M191,'G-3 Multipliers'!$S$3:$T$6,2,FALSE)))</f>
        <v/>
      </c>
      <c r="O191" s="498" t="str">
        <f>IF(OR(D191="",H191=""),"",(INDEX('G-6 Hedgerow Data'!$E$3:$I$15,MATCH(D191,'G-6 Hedgerow Data'!$B$3:$B$15,0),MATCH(H191,'G-6 Hedgerow Data'!$E$2:$I$2,0))))</f>
        <v/>
      </c>
      <c r="P191" s="195"/>
      <c r="Q191" s="195"/>
      <c r="R191" s="507" t="str">
        <f t="shared" si="13"/>
        <v/>
      </c>
      <c r="S191" s="521" t="str">
        <f t="shared" si="14"/>
        <v/>
      </c>
      <c r="T191" s="522" t="str">
        <f t="shared" si="12"/>
        <v/>
      </c>
      <c r="U191" s="537" t="str">
        <f>IF(D191="","",VLOOKUP(D191,'G-6 Hedgerow Data'!$B$3:$AG$15,31,FALSE))</f>
        <v/>
      </c>
      <c r="V191" s="520" t="str">
        <f t="shared" si="15"/>
        <v/>
      </c>
      <c r="W191" s="520" t="str">
        <f t="shared" si="16"/>
        <v/>
      </c>
      <c r="X191" s="524" t="str">
        <f>IF(F191="","",VLOOKUP(U191,'G-3 Multipliers'!$P$3:$Q$6,2,FALSE))</f>
        <v/>
      </c>
      <c r="Y191" s="529" t="str">
        <f t="shared" si="17"/>
        <v/>
      </c>
      <c r="Z191" s="149"/>
      <c r="AA191" s="150"/>
      <c r="AG191" s="31" t="str">
        <f>IFERROR(INDEX('G-6 Hedgerow Data'!$BJ$3:$BJ$15,MATCH(D191,'G-6 Hedgerow Data'!$B$3:$B$15,0)),"")</f>
        <v/>
      </c>
    </row>
    <row r="192" spans="2:33" ht="13.8" x14ac:dyDescent="0.25">
      <c r="B192" s="103">
        <v>181</v>
      </c>
      <c r="C192" s="268"/>
      <c r="D192" s="82"/>
      <c r="E192" s="203"/>
      <c r="F192" s="498" t="str">
        <f>IF(D192="","",VLOOKUP(D192,'G-6 Hedgerow Data'!$B$2:$AG$15,2,FALSE))</f>
        <v/>
      </c>
      <c r="G192" s="524" t="str">
        <f>IF(D192="","",VLOOKUP(D192,'G-6 Hedgerow Data'!$B$2:$AG$15,3,FALSE))</f>
        <v/>
      </c>
      <c r="H192" s="72"/>
      <c r="I192" s="499" t="str">
        <f>IFERROR(IF(AND(F192="V.Low",OR(H192="Good",H192="Moderate")),"Error ▲",VLOOKUP(H192,'G-1 All Habitats'!$Z$2:$AA$9,2,FALSE)),"")</f>
        <v/>
      </c>
      <c r="J192" s="146"/>
      <c r="K192" s="520" t="str">
        <f>IF(J192="","",IF(VLOOKUP(J192,'G-3 Multipliers'!$L$3:$N$6,2,FALSE)=0,"Spatial Data Missing",VLOOKUP(J192,'G-3 Multipliers'!$L$3:$N$6,2,FALSE)))</f>
        <v/>
      </c>
      <c r="L192" s="524" t="str">
        <f>IF(J192="","",IF(VLOOKUP(J192,'G-3 Multipliers'!$L$3:$N$6,3,FALSE)=0,"Spatial Data Missing",VLOOKUP(J192,'G-3 Multipliers'!$L$3:$N$6,3,FALSE)))</f>
        <v/>
      </c>
      <c r="M192" s="197"/>
      <c r="N192" s="499" t="str">
        <f>IF(M192="","",IF(VLOOKUP(M192,'G-3 Multipliers'!$S$3:$T$6,2,FALSE)=0,"Spatial Data Missing ⚠",VLOOKUP(M192,'G-3 Multipliers'!$S$3:$T$6,2,FALSE)))</f>
        <v/>
      </c>
      <c r="O192" s="498" t="str">
        <f>IF(OR(D192="",H192=""),"",(INDEX('G-6 Hedgerow Data'!$E$3:$I$15,MATCH(D192,'G-6 Hedgerow Data'!$B$3:$B$15,0),MATCH(H192,'G-6 Hedgerow Data'!$E$2:$I$2,0))))</f>
        <v/>
      </c>
      <c r="P192" s="195"/>
      <c r="Q192" s="195"/>
      <c r="R192" s="507" t="str">
        <f t="shared" si="13"/>
        <v/>
      </c>
      <c r="S192" s="521" t="str">
        <f t="shared" si="14"/>
        <v/>
      </c>
      <c r="T192" s="522" t="str">
        <f t="shared" si="12"/>
        <v/>
      </c>
      <c r="U192" s="537" t="str">
        <f>IF(D192="","",VLOOKUP(D192,'G-6 Hedgerow Data'!$B$3:$AG$15,31,FALSE))</f>
        <v/>
      </c>
      <c r="V192" s="520" t="str">
        <f t="shared" si="15"/>
        <v/>
      </c>
      <c r="W192" s="520" t="str">
        <f t="shared" si="16"/>
        <v/>
      </c>
      <c r="X192" s="524" t="str">
        <f>IF(F192="","",VLOOKUP(U192,'G-3 Multipliers'!$P$3:$Q$6,2,FALSE))</f>
        <v/>
      </c>
      <c r="Y192" s="529" t="str">
        <f t="shared" si="17"/>
        <v/>
      </c>
      <c r="Z192" s="149"/>
      <c r="AA192" s="150"/>
      <c r="AG192" s="31" t="str">
        <f>IFERROR(INDEX('G-6 Hedgerow Data'!$BJ$3:$BJ$15,MATCH(D192,'G-6 Hedgerow Data'!$B$3:$B$15,0)),"")</f>
        <v/>
      </c>
    </row>
    <row r="193" spans="2:33" ht="13.8" x14ac:dyDescent="0.25">
      <c r="B193" s="103">
        <v>182</v>
      </c>
      <c r="C193" s="268"/>
      <c r="D193" s="82"/>
      <c r="E193" s="203"/>
      <c r="F193" s="498" t="str">
        <f>IF(D193="","",VLOOKUP(D193,'G-6 Hedgerow Data'!$B$2:$AG$15,2,FALSE))</f>
        <v/>
      </c>
      <c r="G193" s="524" t="str">
        <f>IF(D193="","",VLOOKUP(D193,'G-6 Hedgerow Data'!$B$2:$AG$15,3,FALSE))</f>
        <v/>
      </c>
      <c r="H193" s="72"/>
      <c r="I193" s="499" t="str">
        <f>IFERROR(IF(AND(F193="V.Low",OR(H193="Good",H193="Moderate")),"Error ▲",VLOOKUP(H193,'G-1 All Habitats'!$Z$2:$AA$9,2,FALSE)),"")</f>
        <v/>
      </c>
      <c r="J193" s="146"/>
      <c r="K193" s="520" t="str">
        <f>IF(J193="","",IF(VLOOKUP(J193,'G-3 Multipliers'!$L$3:$N$6,2,FALSE)=0,"Spatial Data Missing",VLOOKUP(J193,'G-3 Multipliers'!$L$3:$N$6,2,FALSE)))</f>
        <v/>
      </c>
      <c r="L193" s="524" t="str">
        <f>IF(J193="","",IF(VLOOKUP(J193,'G-3 Multipliers'!$L$3:$N$6,3,FALSE)=0,"Spatial Data Missing",VLOOKUP(J193,'G-3 Multipliers'!$L$3:$N$6,3,FALSE)))</f>
        <v/>
      </c>
      <c r="M193" s="197"/>
      <c r="N193" s="499" t="str">
        <f>IF(M193="","",IF(VLOOKUP(M193,'G-3 Multipliers'!$S$3:$T$6,2,FALSE)=0,"Spatial Data Missing ⚠",VLOOKUP(M193,'G-3 Multipliers'!$S$3:$T$6,2,FALSE)))</f>
        <v/>
      </c>
      <c r="O193" s="498" t="str">
        <f>IF(OR(D193="",H193=""),"",(INDEX('G-6 Hedgerow Data'!$E$3:$I$15,MATCH(D193,'G-6 Hedgerow Data'!$B$3:$B$15,0),MATCH(H193,'G-6 Hedgerow Data'!$E$2:$I$2,0))))</f>
        <v/>
      </c>
      <c r="P193" s="195"/>
      <c r="Q193" s="195"/>
      <c r="R193" s="507" t="str">
        <f t="shared" si="13"/>
        <v/>
      </c>
      <c r="S193" s="521" t="str">
        <f t="shared" si="14"/>
        <v/>
      </c>
      <c r="T193" s="522" t="str">
        <f t="shared" si="12"/>
        <v/>
      </c>
      <c r="U193" s="537" t="str">
        <f>IF(D193="","",VLOOKUP(D193,'G-6 Hedgerow Data'!$B$3:$AG$15,31,FALSE))</f>
        <v/>
      </c>
      <c r="V193" s="520" t="str">
        <f t="shared" si="15"/>
        <v/>
      </c>
      <c r="W193" s="520" t="str">
        <f t="shared" si="16"/>
        <v/>
      </c>
      <c r="X193" s="524" t="str">
        <f>IF(F193="","",VLOOKUP(U193,'G-3 Multipliers'!$P$3:$Q$6,2,FALSE))</f>
        <v/>
      </c>
      <c r="Y193" s="529" t="str">
        <f t="shared" si="17"/>
        <v/>
      </c>
      <c r="Z193" s="149"/>
      <c r="AA193" s="150"/>
      <c r="AG193" s="31" t="str">
        <f>IFERROR(INDEX('G-6 Hedgerow Data'!$BJ$3:$BJ$15,MATCH(D193,'G-6 Hedgerow Data'!$B$3:$B$15,0)),"")</f>
        <v/>
      </c>
    </row>
    <row r="194" spans="2:33" ht="13.8" x14ac:dyDescent="0.25">
      <c r="B194" s="103">
        <v>183</v>
      </c>
      <c r="C194" s="268"/>
      <c r="D194" s="82"/>
      <c r="E194" s="203"/>
      <c r="F194" s="498" t="str">
        <f>IF(D194="","",VLOOKUP(D194,'G-6 Hedgerow Data'!$B$2:$AG$15,2,FALSE))</f>
        <v/>
      </c>
      <c r="G194" s="524" t="str">
        <f>IF(D194="","",VLOOKUP(D194,'G-6 Hedgerow Data'!$B$2:$AG$15,3,FALSE))</f>
        <v/>
      </c>
      <c r="H194" s="72"/>
      <c r="I194" s="499" t="str">
        <f>IFERROR(IF(AND(F194="V.Low",OR(H194="Good",H194="Moderate")),"Error ▲",VLOOKUP(H194,'G-1 All Habitats'!$Z$2:$AA$9,2,FALSE)),"")</f>
        <v/>
      </c>
      <c r="J194" s="146"/>
      <c r="K194" s="520" t="str">
        <f>IF(J194="","",IF(VLOOKUP(J194,'G-3 Multipliers'!$L$3:$N$6,2,FALSE)=0,"Spatial Data Missing",VLOOKUP(J194,'G-3 Multipliers'!$L$3:$N$6,2,FALSE)))</f>
        <v/>
      </c>
      <c r="L194" s="524" t="str">
        <f>IF(J194="","",IF(VLOOKUP(J194,'G-3 Multipliers'!$L$3:$N$6,3,FALSE)=0,"Spatial Data Missing",VLOOKUP(J194,'G-3 Multipliers'!$L$3:$N$6,3,FALSE)))</f>
        <v/>
      </c>
      <c r="M194" s="197"/>
      <c r="N194" s="499" t="str">
        <f>IF(M194="","",IF(VLOOKUP(M194,'G-3 Multipliers'!$S$3:$T$6,2,FALSE)=0,"Spatial Data Missing ⚠",VLOOKUP(M194,'G-3 Multipliers'!$S$3:$T$6,2,FALSE)))</f>
        <v/>
      </c>
      <c r="O194" s="498" t="str">
        <f>IF(OR(D194="",H194=""),"",(INDEX('G-6 Hedgerow Data'!$E$3:$I$15,MATCH(D194,'G-6 Hedgerow Data'!$B$3:$B$15,0),MATCH(H194,'G-6 Hedgerow Data'!$E$2:$I$2,0))))</f>
        <v/>
      </c>
      <c r="P194" s="195"/>
      <c r="Q194" s="195"/>
      <c r="R194" s="507" t="str">
        <f t="shared" si="13"/>
        <v/>
      </c>
      <c r="S194" s="521" t="str">
        <f t="shared" si="14"/>
        <v/>
      </c>
      <c r="T194" s="522" t="str">
        <f t="shared" si="12"/>
        <v/>
      </c>
      <c r="U194" s="537" t="str">
        <f>IF(D194="","",VLOOKUP(D194,'G-6 Hedgerow Data'!$B$3:$AG$15,31,FALSE))</f>
        <v/>
      </c>
      <c r="V194" s="520" t="str">
        <f t="shared" si="15"/>
        <v/>
      </c>
      <c r="W194" s="520" t="str">
        <f t="shared" si="16"/>
        <v/>
      </c>
      <c r="X194" s="524" t="str">
        <f>IF(F194="","",VLOOKUP(U194,'G-3 Multipliers'!$P$3:$Q$6,2,FALSE))</f>
        <v/>
      </c>
      <c r="Y194" s="529" t="str">
        <f t="shared" si="17"/>
        <v/>
      </c>
      <c r="Z194" s="149"/>
      <c r="AA194" s="150"/>
      <c r="AG194" s="31" t="str">
        <f>IFERROR(INDEX('G-6 Hedgerow Data'!$BJ$3:$BJ$15,MATCH(D194,'G-6 Hedgerow Data'!$B$3:$B$15,0)),"")</f>
        <v/>
      </c>
    </row>
    <row r="195" spans="2:33" ht="13.8" x14ac:dyDescent="0.25">
      <c r="B195" s="103">
        <v>184</v>
      </c>
      <c r="C195" s="268"/>
      <c r="D195" s="82"/>
      <c r="E195" s="203"/>
      <c r="F195" s="498" t="str">
        <f>IF(D195="","",VLOOKUP(D195,'G-6 Hedgerow Data'!$B$2:$AG$15,2,FALSE))</f>
        <v/>
      </c>
      <c r="G195" s="524" t="str">
        <f>IF(D195="","",VLOOKUP(D195,'G-6 Hedgerow Data'!$B$2:$AG$15,3,FALSE))</f>
        <v/>
      </c>
      <c r="H195" s="72"/>
      <c r="I195" s="499" t="str">
        <f>IFERROR(IF(AND(F195="V.Low",OR(H195="Good",H195="Moderate")),"Error ▲",VLOOKUP(H195,'G-1 All Habitats'!$Z$2:$AA$9,2,FALSE)),"")</f>
        <v/>
      </c>
      <c r="J195" s="146"/>
      <c r="K195" s="520" t="str">
        <f>IF(J195="","",IF(VLOOKUP(J195,'G-3 Multipliers'!$L$3:$N$6,2,FALSE)=0,"Spatial Data Missing",VLOOKUP(J195,'G-3 Multipliers'!$L$3:$N$6,2,FALSE)))</f>
        <v/>
      </c>
      <c r="L195" s="524" t="str">
        <f>IF(J195="","",IF(VLOOKUP(J195,'G-3 Multipliers'!$L$3:$N$6,3,FALSE)=0,"Spatial Data Missing",VLOOKUP(J195,'G-3 Multipliers'!$L$3:$N$6,3,FALSE)))</f>
        <v/>
      </c>
      <c r="M195" s="197"/>
      <c r="N195" s="499" t="str">
        <f>IF(M195="","",IF(VLOOKUP(M195,'G-3 Multipliers'!$S$3:$T$6,2,FALSE)=0,"Spatial Data Missing ⚠",VLOOKUP(M195,'G-3 Multipliers'!$S$3:$T$6,2,FALSE)))</f>
        <v/>
      </c>
      <c r="O195" s="498" t="str">
        <f>IF(OR(D195="",H195=""),"",(INDEX('G-6 Hedgerow Data'!$E$3:$I$15,MATCH(D195,'G-6 Hedgerow Data'!$B$3:$B$15,0),MATCH(H195,'G-6 Hedgerow Data'!$E$2:$I$2,0))))</f>
        <v/>
      </c>
      <c r="P195" s="195"/>
      <c r="Q195" s="195"/>
      <c r="R195" s="507" t="str">
        <f t="shared" si="13"/>
        <v/>
      </c>
      <c r="S195" s="521" t="str">
        <f t="shared" si="14"/>
        <v/>
      </c>
      <c r="T195" s="522" t="str">
        <f t="shared" si="12"/>
        <v/>
      </c>
      <c r="U195" s="537" t="str">
        <f>IF(D195="","",VLOOKUP(D195,'G-6 Hedgerow Data'!$B$3:$AG$15,31,FALSE))</f>
        <v/>
      </c>
      <c r="V195" s="520" t="str">
        <f t="shared" si="15"/>
        <v/>
      </c>
      <c r="W195" s="520" t="str">
        <f t="shared" si="16"/>
        <v/>
      </c>
      <c r="X195" s="524" t="str">
        <f>IF(F195="","",VLOOKUP(U195,'G-3 Multipliers'!$P$3:$Q$6,2,FALSE))</f>
        <v/>
      </c>
      <c r="Y195" s="529" t="str">
        <f t="shared" si="17"/>
        <v/>
      </c>
      <c r="Z195" s="149"/>
      <c r="AA195" s="150"/>
      <c r="AG195" s="31" t="str">
        <f>IFERROR(INDEX('G-6 Hedgerow Data'!$BJ$3:$BJ$15,MATCH(D195,'G-6 Hedgerow Data'!$B$3:$B$15,0)),"")</f>
        <v/>
      </c>
    </row>
    <row r="196" spans="2:33" ht="13.8" x14ac:dyDescent="0.25">
      <c r="B196" s="103">
        <v>185</v>
      </c>
      <c r="C196" s="268"/>
      <c r="D196" s="82"/>
      <c r="E196" s="203"/>
      <c r="F196" s="498" t="str">
        <f>IF(D196="","",VLOOKUP(D196,'G-6 Hedgerow Data'!$B$2:$AG$15,2,FALSE))</f>
        <v/>
      </c>
      <c r="G196" s="524" t="str">
        <f>IF(D196="","",VLOOKUP(D196,'G-6 Hedgerow Data'!$B$2:$AG$15,3,FALSE))</f>
        <v/>
      </c>
      <c r="H196" s="72"/>
      <c r="I196" s="499" t="str">
        <f>IFERROR(IF(AND(F196="V.Low",OR(H196="Good",H196="Moderate")),"Error ▲",VLOOKUP(H196,'G-1 All Habitats'!$Z$2:$AA$9,2,FALSE)),"")</f>
        <v/>
      </c>
      <c r="J196" s="146"/>
      <c r="K196" s="520" t="str">
        <f>IF(J196="","",IF(VLOOKUP(J196,'G-3 Multipliers'!$L$3:$N$6,2,FALSE)=0,"Spatial Data Missing",VLOOKUP(J196,'G-3 Multipliers'!$L$3:$N$6,2,FALSE)))</f>
        <v/>
      </c>
      <c r="L196" s="524" t="str">
        <f>IF(J196="","",IF(VLOOKUP(J196,'G-3 Multipliers'!$L$3:$N$6,3,FALSE)=0,"Spatial Data Missing",VLOOKUP(J196,'G-3 Multipliers'!$L$3:$N$6,3,FALSE)))</f>
        <v/>
      </c>
      <c r="M196" s="197"/>
      <c r="N196" s="499" t="str">
        <f>IF(M196="","",IF(VLOOKUP(M196,'G-3 Multipliers'!$S$3:$T$6,2,FALSE)=0,"Spatial Data Missing ⚠",VLOOKUP(M196,'G-3 Multipliers'!$S$3:$T$6,2,FALSE)))</f>
        <v/>
      </c>
      <c r="O196" s="498" t="str">
        <f>IF(OR(D196="",H196=""),"",(INDEX('G-6 Hedgerow Data'!$E$3:$I$15,MATCH(D196,'G-6 Hedgerow Data'!$B$3:$B$15,0),MATCH(H196,'G-6 Hedgerow Data'!$E$2:$I$2,0))))</f>
        <v/>
      </c>
      <c r="P196" s="195"/>
      <c r="Q196" s="195"/>
      <c r="R196" s="507" t="str">
        <f t="shared" si="13"/>
        <v/>
      </c>
      <c r="S196" s="521" t="str">
        <f t="shared" si="14"/>
        <v/>
      </c>
      <c r="T196" s="522" t="str">
        <f t="shared" si="12"/>
        <v/>
      </c>
      <c r="U196" s="537" t="str">
        <f>IF(D196="","",VLOOKUP(D196,'G-6 Hedgerow Data'!$B$3:$AG$15,31,FALSE))</f>
        <v/>
      </c>
      <c r="V196" s="520" t="str">
        <f t="shared" si="15"/>
        <v/>
      </c>
      <c r="W196" s="520" t="str">
        <f t="shared" si="16"/>
        <v/>
      </c>
      <c r="X196" s="524" t="str">
        <f>IF(F196="","",VLOOKUP(U196,'G-3 Multipliers'!$P$3:$Q$6,2,FALSE))</f>
        <v/>
      </c>
      <c r="Y196" s="529" t="str">
        <f t="shared" si="17"/>
        <v/>
      </c>
      <c r="Z196" s="149"/>
      <c r="AA196" s="150"/>
      <c r="AG196" s="31" t="str">
        <f>IFERROR(INDEX('G-6 Hedgerow Data'!$BJ$3:$BJ$15,MATCH(D196,'G-6 Hedgerow Data'!$B$3:$B$15,0)),"")</f>
        <v/>
      </c>
    </row>
    <row r="197" spans="2:33" ht="13.8" x14ac:dyDescent="0.25">
      <c r="B197" s="103">
        <v>186</v>
      </c>
      <c r="C197" s="268"/>
      <c r="D197" s="82"/>
      <c r="E197" s="203"/>
      <c r="F197" s="498" t="str">
        <f>IF(D197="","",VLOOKUP(D197,'G-6 Hedgerow Data'!$B$2:$AG$15,2,FALSE))</f>
        <v/>
      </c>
      <c r="G197" s="524" t="str">
        <f>IF(D197="","",VLOOKUP(D197,'G-6 Hedgerow Data'!$B$2:$AG$15,3,FALSE))</f>
        <v/>
      </c>
      <c r="H197" s="72"/>
      <c r="I197" s="499" t="str">
        <f>IFERROR(IF(AND(F197="V.Low",OR(H197="Good",H197="Moderate")),"Error ▲",VLOOKUP(H197,'G-1 All Habitats'!$Z$2:$AA$9,2,FALSE)),"")</f>
        <v/>
      </c>
      <c r="J197" s="146"/>
      <c r="K197" s="520" t="str">
        <f>IF(J197="","",IF(VLOOKUP(J197,'G-3 Multipliers'!$L$3:$N$6,2,FALSE)=0,"Spatial Data Missing",VLOOKUP(J197,'G-3 Multipliers'!$L$3:$N$6,2,FALSE)))</f>
        <v/>
      </c>
      <c r="L197" s="524" t="str">
        <f>IF(J197="","",IF(VLOOKUP(J197,'G-3 Multipliers'!$L$3:$N$6,3,FALSE)=0,"Spatial Data Missing",VLOOKUP(J197,'G-3 Multipliers'!$L$3:$N$6,3,FALSE)))</f>
        <v/>
      </c>
      <c r="M197" s="197"/>
      <c r="N197" s="499" t="str">
        <f>IF(M197="","",IF(VLOOKUP(M197,'G-3 Multipliers'!$S$3:$T$6,2,FALSE)=0,"Spatial Data Missing ⚠",VLOOKUP(M197,'G-3 Multipliers'!$S$3:$T$6,2,FALSE)))</f>
        <v/>
      </c>
      <c r="O197" s="498" t="str">
        <f>IF(OR(D197="",H197=""),"",(INDEX('G-6 Hedgerow Data'!$E$3:$I$15,MATCH(D197,'G-6 Hedgerow Data'!$B$3:$B$15,0),MATCH(H197,'G-6 Hedgerow Data'!$E$2:$I$2,0))))</f>
        <v/>
      </c>
      <c r="P197" s="195"/>
      <c r="Q197" s="195"/>
      <c r="R197" s="507" t="str">
        <f t="shared" si="13"/>
        <v/>
      </c>
      <c r="S197" s="521" t="str">
        <f t="shared" si="14"/>
        <v/>
      </c>
      <c r="T197" s="522" t="str">
        <f t="shared" si="12"/>
        <v/>
      </c>
      <c r="U197" s="537" t="str">
        <f>IF(D197="","",VLOOKUP(D197,'G-6 Hedgerow Data'!$B$3:$AG$15,31,FALSE))</f>
        <v/>
      </c>
      <c r="V197" s="520" t="str">
        <f t="shared" si="15"/>
        <v/>
      </c>
      <c r="W197" s="520" t="str">
        <f t="shared" si="16"/>
        <v/>
      </c>
      <c r="X197" s="524" t="str">
        <f>IF(F197="","",VLOOKUP(U197,'G-3 Multipliers'!$P$3:$Q$6,2,FALSE))</f>
        <v/>
      </c>
      <c r="Y197" s="529" t="str">
        <f t="shared" si="17"/>
        <v/>
      </c>
      <c r="Z197" s="149"/>
      <c r="AA197" s="150"/>
      <c r="AG197" s="31" t="str">
        <f>IFERROR(INDEX('G-6 Hedgerow Data'!$BJ$3:$BJ$15,MATCH(D197,'G-6 Hedgerow Data'!$B$3:$B$15,0)),"")</f>
        <v/>
      </c>
    </row>
    <row r="198" spans="2:33" ht="13.8" x14ac:dyDescent="0.25">
      <c r="B198" s="103">
        <v>187</v>
      </c>
      <c r="C198" s="268"/>
      <c r="D198" s="82"/>
      <c r="E198" s="203"/>
      <c r="F198" s="498" t="str">
        <f>IF(D198="","",VLOOKUP(D198,'G-6 Hedgerow Data'!$B$2:$AG$15,2,FALSE))</f>
        <v/>
      </c>
      <c r="G198" s="524" t="str">
        <f>IF(D198="","",VLOOKUP(D198,'G-6 Hedgerow Data'!$B$2:$AG$15,3,FALSE))</f>
        <v/>
      </c>
      <c r="H198" s="72"/>
      <c r="I198" s="499" t="str">
        <f>IFERROR(IF(AND(F198="V.Low",OR(H198="Good",H198="Moderate")),"Error ▲",VLOOKUP(H198,'G-1 All Habitats'!$Z$2:$AA$9,2,FALSE)),"")</f>
        <v/>
      </c>
      <c r="J198" s="146"/>
      <c r="K198" s="520" t="str">
        <f>IF(J198="","",IF(VLOOKUP(J198,'G-3 Multipliers'!$L$3:$N$6,2,FALSE)=0,"Spatial Data Missing",VLOOKUP(J198,'G-3 Multipliers'!$L$3:$N$6,2,FALSE)))</f>
        <v/>
      </c>
      <c r="L198" s="524" t="str">
        <f>IF(J198="","",IF(VLOOKUP(J198,'G-3 Multipliers'!$L$3:$N$6,3,FALSE)=0,"Spatial Data Missing",VLOOKUP(J198,'G-3 Multipliers'!$L$3:$N$6,3,FALSE)))</f>
        <v/>
      </c>
      <c r="M198" s="197"/>
      <c r="N198" s="499" t="str">
        <f>IF(M198="","",IF(VLOOKUP(M198,'G-3 Multipliers'!$S$3:$T$6,2,FALSE)=0,"Spatial Data Missing ⚠",VLOOKUP(M198,'G-3 Multipliers'!$S$3:$T$6,2,FALSE)))</f>
        <v/>
      </c>
      <c r="O198" s="498" t="str">
        <f>IF(OR(D198="",H198=""),"",(INDEX('G-6 Hedgerow Data'!$E$3:$I$15,MATCH(D198,'G-6 Hedgerow Data'!$B$3:$B$15,0),MATCH(H198,'G-6 Hedgerow Data'!$E$2:$I$2,0))))</f>
        <v/>
      </c>
      <c r="P198" s="195"/>
      <c r="Q198" s="195"/>
      <c r="R198" s="507" t="str">
        <f t="shared" si="13"/>
        <v/>
      </c>
      <c r="S198" s="521" t="str">
        <f t="shared" si="14"/>
        <v/>
      </c>
      <c r="T198" s="522" t="str">
        <f t="shared" si="12"/>
        <v/>
      </c>
      <c r="U198" s="537" t="str">
        <f>IF(D198="","",VLOOKUP(D198,'G-6 Hedgerow Data'!$B$3:$AG$15,31,FALSE))</f>
        <v/>
      </c>
      <c r="V198" s="520" t="str">
        <f t="shared" si="15"/>
        <v/>
      </c>
      <c r="W198" s="520" t="str">
        <f t="shared" si="16"/>
        <v/>
      </c>
      <c r="X198" s="524" t="str">
        <f>IF(F198="","",VLOOKUP(U198,'G-3 Multipliers'!$P$3:$Q$6,2,FALSE))</f>
        <v/>
      </c>
      <c r="Y198" s="529" t="str">
        <f t="shared" si="17"/>
        <v/>
      </c>
      <c r="Z198" s="149"/>
      <c r="AA198" s="150"/>
      <c r="AG198" s="31" t="str">
        <f>IFERROR(INDEX('G-6 Hedgerow Data'!$BJ$3:$BJ$15,MATCH(D198,'G-6 Hedgerow Data'!$B$3:$B$15,0)),"")</f>
        <v/>
      </c>
    </row>
    <row r="199" spans="2:33" ht="13.8" x14ac:dyDescent="0.25">
      <c r="B199" s="103">
        <v>188</v>
      </c>
      <c r="C199" s="268"/>
      <c r="D199" s="82"/>
      <c r="E199" s="203"/>
      <c r="F199" s="498" t="str">
        <f>IF(D199="","",VLOOKUP(D199,'G-6 Hedgerow Data'!$B$2:$AG$15,2,FALSE))</f>
        <v/>
      </c>
      <c r="G199" s="524" t="str">
        <f>IF(D199="","",VLOOKUP(D199,'G-6 Hedgerow Data'!$B$2:$AG$15,3,FALSE))</f>
        <v/>
      </c>
      <c r="H199" s="72"/>
      <c r="I199" s="499" t="str">
        <f>IFERROR(IF(AND(F199="V.Low",OR(H199="Good",H199="Moderate")),"Error ▲",VLOOKUP(H199,'G-1 All Habitats'!$Z$2:$AA$9,2,FALSE)),"")</f>
        <v/>
      </c>
      <c r="J199" s="146"/>
      <c r="K199" s="520" t="str">
        <f>IF(J199="","",IF(VLOOKUP(J199,'G-3 Multipliers'!$L$3:$N$6,2,FALSE)=0,"Spatial Data Missing",VLOOKUP(J199,'G-3 Multipliers'!$L$3:$N$6,2,FALSE)))</f>
        <v/>
      </c>
      <c r="L199" s="524" t="str">
        <f>IF(J199="","",IF(VLOOKUP(J199,'G-3 Multipliers'!$L$3:$N$6,3,FALSE)=0,"Spatial Data Missing",VLOOKUP(J199,'G-3 Multipliers'!$L$3:$N$6,3,FALSE)))</f>
        <v/>
      </c>
      <c r="M199" s="197"/>
      <c r="N199" s="499" t="str">
        <f>IF(M199="","",IF(VLOOKUP(M199,'G-3 Multipliers'!$S$3:$T$6,2,FALSE)=0,"Spatial Data Missing ⚠",VLOOKUP(M199,'G-3 Multipliers'!$S$3:$T$6,2,FALSE)))</f>
        <v/>
      </c>
      <c r="O199" s="498" t="str">
        <f>IF(OR(D199="",H199=""),"",(INDEX('G-6 Hedgerow Data'!$E$3:$I$15,MATCH(D199,'G-6 Hedgerow Data'!$B$3:$B$15,0),MATCH(H199,'G-6 Hedgerow Data'!$E$2:$I$2,0))))</f>
        <v/>
      </c>
      <c r="P199" s="195"/>
      <c r="Q199" s="195"/>
      <c r="R199" s="507" t="str">
        <f t="shared" si="13"/>
        <v/>
      </c>
      <c r="S199" s="521" t="str">
        <f t="shared" si="14"/>
        <v/>
      </c>
      <c r="T199" s="522" t="str">
        <f t="shared" si="12"/>
        <v/>
      </c>
      <c r="U199" s="537" t="str">
        <f>IF(D199="","",VLOOKUP(D199,'G-6 Hedgerow Data'!$B$3:$AG$15,31,FALSE))</f>
        <v/>
      </c>
      <c r="V199" s="520" t="str">
        <f t="shared" si="15"/>
        <v/>
      </c>
      <c r="W199" s="520" t="str">
        <f t="shared" si="16"/>
        <v/>
      </c>
      <c r="X199" s="524" t="str">
        <f>IF(F199="","",VLOOKUP(U199,'G-3 Multipliers'!$P$3:$Q$6,2,FALSE))</f>
        <v/>
      </c>
      <c r="Y199" s="529" t="str">
        <f t="shared" si="17"/>
        <v/>
      </c>
      <c r="Z199" s="149"/>
      <c r="AA199" s="150"/>
      <c r="AG199" s="31" t="str">
        <f>IFERROR(INDEX('G-6 Hedgerow Data'!$BJ$3:$BJ$15,MATCH(D199,'G-6 Hedgerow Data'!$B$3:$B$15,0)),"")</f>
        <v/>
      </c>
    </row>
    <row r="200" spans="2:33" ht="13.8" x14ac:dyDescent="0.25">
      <c r="B200" s="103">
        <v>189</v>
      </c>
      <c r="C200" s="268"/>
      <c r="D200" s="82"/>
      <c r="E200" s="203"/>
      <c r="F200" s="498" t="str">
        <f>IF(D200="","",VLOOKUP(D200,'G-6 Hedgerow Data'!$B$2:$AG$15,2,FALSE))</f>
        <v/>
      </c>
      <c r="G200" s="524" t="str">
        <f>IF(D200="","",VLOOKUP(D200,'G-6 Hedgerow Data'!$B$2:$AG$15,3,FALSE))</f>
        <v/>
      </c>
      <c r="H200" s="72"/>
      <c r="I200" s="499" t="str">
        <f>IFERROR(IF(AND(F200="V.Low",OR(H200="Good",H200="Moderate")),"Error ▲",VLOOKUP(H200,'G-1 All Habitats'!$Z$2:$AA$9,2,FALSE)),"")</f>
        <v/>
      </c>
      <c r="J200" s="146"/>
      <c r="K200" s="520" t="str">
        <f>IF(J200="","",IF(VLOOKUP(J200,'G-3 Multipliers'!$L$3:$N$6,2,FALSE)=0,"Spatial Data Missing",VLOOKUP(J200,'G-3 Multipliers'!$L$3:$N$6,2,FALSE)))</f>
        <v/>
      </c>
      <c r="L200" s="524" t="str">
        <f>IF(J200="","",IF(VLOOKUP(J200,'G-3 Multipliers'!$L$3:$N$6,3,FALSE)=0,"Spatial Data Missing",VLOOKUP(J200,'G-3 Multipliers'!$L$3:$N$6,3,FALSE)))</f>
        <v/>
      </c>
      <c r="M200" s="197"/>
      <c r="N200" s="499" t="str">
        <f>IF(M200="","",IF(VLOOKUP(M200,'G-3 Multipliers'!$S$3:$T$6,2,FALSE)=0,"Spatial Data Missing ⚠",VLOOKUP(M200,'G-3 Multipliers'!$S$3:$T$6,2,FALSE)))</f>
        <v/>
      </c>
      <c r="O200" s="498" t="str">
        <f>IF(OR(D200="",H200=""),"",(INDEX('G-6 Hedgerow Data'!$E$3:$I$15,MATCH(D200,'G-6 Hedgerow Data'!$B$3:$B$15,0),MATCH(H200,'G-6 Hedgerow Data'!$E$2:$I$2,0))))</f>
        <v/>
      </c>
      <c r="P200" s="195"/>
      <c r="Q200" s="195"/>
      <c r="R200" s="507" t="str">
        <f t="shared" si="13"/>
        <v/>
      </c>
      <c r="S200" s="521" t="str">
        <f t="shared" si="14"/>
        <v/>
      </c>
      <c r="T200" s="522" t="str">
        <f t="shared" si="12"/>
        <v/>
      </c>
      <c r="U200" s="537" t="str">
        <f>IF(D200="","",VLOOKUP(D200,'G-6 Hedgerow Data'!$B$3:$AG$15,31,FALSE))</f>
        <v/>
      </c>
      <c r="V200" s="520" t="str">
        <f t="shared" si="15"/>
        <v/>
      </c>
      <c r="W200" s="520" t="str">
        <f t="shared" si="16"/>
        <v/>
      </c>
      <c r="X200" s="524" t="str">
        <f>IF(F200="","",VLOOKUP(U200,'G-3 Multipliers'!$P$3:$Q$6,2,FALSE))</f>
        <v/>
      </c>
      <c r="Y200" s="529" t="str">
        <f t="shared" si="17"/>
        <v/>
      </c>
      <c r="Z200" s="149"/>
      <c r="AA200" s="150"/>
      <c r="AG200" s="31" t="str">
        <f>IFERROR(INDEX('G-6 Hedgerow Data'!$BJ$3:$BJ$15,MATCH(D200,'G-6 Hedgerow Data'!$B$3:$B$15,0)),"")</f>
        <v/>
      </c>
    </row>
    <row r="201" spans="2:33" ht="13.8" x14ac:dyDescent="0.25">
      <c r="B201" s="103">
        <v>190</v>
      </c>
      <c r="C201" s="268"/>
      <c r="D201" s="82"/>
      <c r="E201" s="203"/>
      <c r="F201" s="498" t="str">
        <f>IF(D201="","",VLOOKUP(D201,'G-6 Hedgerow Data'!$B$2:$AG$15,2,FALSE))</f>
        <v/>
      </c>
      <c r="G201" s="524" t="str">
        <f>IF(D201="","",VLOOKUP(D201,'G-6 Hedgerow Data'!$B$2:$AG$15,3,FALSE))</f>
        <v/>
      </c>
      <c r="H201" s="72"/>
      <c r="I201" s="499" t="str">
        <f>IFERROR(IF(AND(F201="V.Low",OR(H201="Good",H201="Moderate")),"Error ▲",VLOOKUP(H201,'G-1 All Habitats'!$Z$2:$AA$9,2,FALSE)),"")</f>
        <v/>
      </c>
      <c r="J201" s="146"/>
      <c r="K201" s="520" t="str">
        <f>IF(J201="","",IF(VLOOKUP(J201,'G-3 Multipliers'!$L$3:$N$6,2,FALSE)=0,"Spatial Data Missing",VLOOKUP(J201,'G-3 Multipliers'!$L$3:$N$6,2,FALSE)))</f>
        <v/>
      </c>
      <c r="L201" s="524" t="str">
        <f>IF(J201="","",IF(VLOOKUP(J201,'G-3 Multipliers'!$L$3:$N$6,3,FALSE)=0,"Spatial Data Missing",VLOOKUP(J201,'G-3 Multipliers'!$L$3:$N$6,3,FALSE)))</f>
        <v/>
      </c>
      <c r="M201" s="197"/>
      <c r="N201" s="499" t="str">
        <f>IF(M201="","",IF(VLOOKUP(M201,'G-3 Multipliers'!$S$3:$T$6,2,FALSE)=0,"Spatial Data Missing ⚠",VLOOKUP(M201,'G-3 Multipliers'!$S$3:$T$6,2,FALSE)))</f>
        <v/>
      </c>
      <c r="O201" s="498" t="str">
        <f>IF(OR(D201="",H201=""),"",(INDEX('G-6 Hedgerow Data'!$E$3:$I$15,MATCH(D201,'G-6 Hedgerow Data'!$B$3:$B$15,0),MATCH(H201,'G-6 Hedgerow Data'!$E$2:$I$2,0))))</f>
        <v/>
      </c>
      <c r="P201" s="195"/>
      <c r="Q201" s="195"/>
      <c r="R201" s="507" t="str">
        <f t="shared" si="13"/>
        <v/>
      </c>
      <c r="S201" s="521" t="str">
        <f t="shared" si="14"/>
        <v/>
      </c>
      <c r="T201" s="522" t="str">
        <f t="shared" si="12"/>
        <v/>
      </c>
      <c r="U201" s="537" t="str">
        <f>IF(D201="","",VLOOKUP(D201,'G-6 Hedgerow Data'!$B$3:$AG$15,31,FALSE))</f>
        <v/>
      </c>
      <c r="V201" s="520" t="str">
        <f t="shared" si="15"/>
        <v/>
      </c>
      <c r="W201" s="520" t="str">
        <f t="shared" si="16"/>
        <v/>
      </c>
      <c r="X201" s="524" t="str">
        <f>IF(F201="","",VLOOKUP(U201,'G-3 Multipliers'!$P$3:$Q$6,2,FALSE))</f>
        <v/>
      </c>
      <c r="Y201" s="529" t="str">
        <f t="shared" si="17"/>
        <v/>
      </c>
      <c r="Z201" s="149"/>
      <c r="AA201" s="150"/>
      <c r="AG201" s="31" t="str">
        <f>IFERROR(INDEX('G-6 Hedgerow Data'!$BJ$3:$BJ$15,MATCH(D201,'G-6 Hedgerow Data'!$B$3:$B$15,0)),"")</f>
        <v/>
      </c>
    </row>
    <row r="202" spans="2:33" ht="13.8" x14ac:dyDescent="0.25">
      <c r="B202" s="103">
        <v>191</v>
      </c>
      <c r="C202" s="268"/>
      <c r="D202" s="82"/>
      <c r="E202" s="203"/>
      <c r="F202" s="498" t="str">
        <f>IF(D202="","",VLOOKUP(D202,'G-6 Hedgerow Data'!$B$2:$AG$15,2,FALSE))</f>
        <v/>
      </c>
      <c r="G202" s="524" t="str">
        <f>IF(D202="","",VLOOKUP(D202,'G-6 Hedgerow Data'!$B$2:$AG$15,3,FALSE))</f>
        <v/>
      </c>
      <c r="H202" s="72"/>
      <c r="I202" s="499" t="str">
        <f>IFERROR(IF(AND(F202="V.Low",OR(H202="Good",H202="Moderate")),"Error ▲",VLOOKUP(H202,'G-1 All Habitats'!$Z$2:$AA$9,2,FALSE)),"")</f>
        <v/>
      </c>
      <c r="J202" s="146"/>
      <c r="K202" s="520" t="str">
        <f>IF(J202="","",IF(VLOOKUP(J202,'G-3 Multipliers'!$L$3:$N$6,2,FALSE)=0,"Spatial Data Missing",VLOOKUP(J202,'G-3 Multipliers'!$L$3:$N$6,2,FALSE)))</f>
        <v/>
      </c>
      <c r="L202" s="524" t="str">
        <f>IF(J202="","",IF(VLOOKUP(J202,'G-3 Multipliers'!$L$3:$N$6,3,FALSE)=0,"Spatial Data Missing",VLOOKUP(J202,'G-3 Multipliers'!$L$3:$N$6,3,FALSE)))</f>
        <v/>
      </c>
      <c r="M202" s="197"/>
      <c r="N202" s="499" t="str">
        <f>IF(M202="","",IF(VLOOKUP(M202,'G-3 Multipliers'!$S$3:$T$6,2,FALSE)=0,"Spatial Data Missing ⚠",VLOOKUP(M202,'G-3 Multipliers'!$S$3:$T$6,2,FALSE)))</f>
        <v/>
      </c>
      <c r="O202" s="498" t="str">
        <f>IF(OR(D202="",H202=""),"",(INDEX('G-6 Hedgerow Data'!$E$3:$I$15,MATCH(D202,'G-6 Hedgerow Data'!$B$3:$B$15,0),MATCH(H202,'G-6 Hedgerow Data'!$E$2:$I$2,0))))</f>
        <v/>
      </c>
      <c r="P202" s="195"/>
      <c r="Q202" s="195"/>
      <c r="R202" s="507" t="str">
        <f t="shared" si="13"/>
        <v/>
      </c>
      <c r="S202" s="521" t="str">
        <f t="shared" si="14"/>
        <v/>
      </c>
      <c r="T202" s="522" t="str">
        <f t="shared" si="12"/>
        <v/>
      </c>
      <c r="U202" s="537" t="str">
        <f>IF(D202="","",VLOOKUP(D202,'G-6 Hedgerow Data'!$B$3:$AG$15,31,FALSE))</f>
        <v/>
      </c>
      <c r="V202" s="520" t="str">
        <f t="shared" si="15"/>
        <v/>
      </c>
      <c r="W202" s="520" t="str">
        <f t="shared" si="16"/>
        <v/>
      </c>
      <c r="X202" s="524" t="str">
        <f>IF(F202="","",VLOOKUP(U202,'G-3 Multipliers'!$P$3:$Q$6,2,FALSE))</f>
        <v/>
      </c>
      <c r="Y202" s="529" t="str">
        <f t="shared" si="17"/>
        <v/>
      </c>
      <c r="Z202" s="149"/>
      <c r="AA202" s="150"/>
      <c r="AG202" s="31" t="str">
        <f>IFERROR(INDEX('G-6 Hedgerow Data'!$BJ$3:$BJ$15,MATCH(D202,'G-6 Hedgerow Data'!$B$3:$B$15,0)),"")</f>
        <v/>
      </c>
    </row>
    <row r="203" spans="2:33" ht="13.8" x14ac:dyDescent="0.25">
      <c r="B203" s="103">
        <v>192</v>
      </c>
      <c r="C203" s="268"/>
      <c r="D203" s="82"/>
      <c r="E203" s="203"/>
      <c r="F203" s="498" t="str">
        <f>IF(D203="","",VLOOKUP(D203,'G-6 Hedgerow Data'!$B$2:$AG$15,2,FALSE))</f>
        <v/>
      </c>
      <c r="G203" s="524" t="str">
        <f>IF(D203="","",VLOOKUP(D203,'G-6 Hedgerow Data'!$B$2:$AG$15,3,FALSE))</f>
        <v/>
      </c>
      <c r="H203" s="72"/>
      <c r="I203" s="499" t="str">
        <f>IFERROR(IF(AND(F203="V.Low",OR(H203="Good",H203="Moderate")),"Error ▲",VLOOKUP(H203,'G-1 All Habitats'!$Z$2:$AA$9,2,FALSE)),"")</f>
        <v/>
      </c>
      <c r="J203" s="146"/>
      <c r="K203" s="520" t="str">
        <f>IF(J203="","",IF(VLOOKUP(J203,'G-3 Multipliers'!$L$3:$N$6,2,FALSE)=0,"Spatial Data Missing",VLOOKUP(J203,'G-3 Multipliers'!$L$3:$N$6,2,FALSE)))</f>
        <v/>
      </c>
      <c r="L203" s="524" t="str">
        <f>IF(J203="","",IF(VLOOKUP(J203,'G-3 Multipliers'!$L$3:$N$6,3,FALSE)=0,"Spatial Data Missing",VLOOKUP(J203,'G-3 Multipliers'!$L$3:$N$6,3,FALSE)))</f>
        <v/>
      </c>
      <c r="M203" s="197"/>
      <c r="N203" s="499" t="str">
        <f>IF(M203="","",IF(VLOOKUP(M203,'G-3 Multipliers'!$S$3:$T$6,2,FALSE)=0,"Spatial Data Missing ⚠",VLOOKUP(M203,'G-3 Multipliers'!$S$3:$T$6,2,FALSE)))</f>
        <v/>
      </c>
      <c r="O203" s="498" t="str">
        <f>IF(OR(D203="",H203=""),"",(INDEX('G-6 Hedgerow Data'!$E$3:$I$15,MATCH(D203,'G-6 Hedgerow Data'!$B$3:$B$15,0),MATCH(H203,'G-6 Hedgerow Data'!$E$2:$I$2,0))))</f>
        <v/>
      </c>
      <c r="P203" s="195"/>
      <c r="Q203" s="195"/>
      <c r="R203" s="507" t="str">
        <f t="shared" si="13"/>
        <v/>
      </c>
      <c r="S203" s="521" t="str">
        <f t="shared" si="14"/>
        <v/>
      </c>
      <c r="T203" s="522" t="str">
        <f t="shared" si="12"/>
        <v/>
      </c>
      <c r="U203" s="537" t="str">
        <f>IF(D203="","",VLOOKUP(D203,'G-6 Hedgerow Data'!$B$3:$AG$15,31,FALSE))</f>
        <v/>
      </c>
      <c r="V203" s="520" t="str">
        <f t="shared" si="15"/>
        <v/>
      </c>
      <c r="W203" s="520" t="str">
        <f t="shared" si="16"/>
        <v/>
      </c>
      <c r="X203" s="524" t="str">
        <f>IF(F203="","",VLOOKUP(U203,'G-3 Multipliers'!$P$3:$Q$6,2,FALSE))</f>
        <v/>
      </c>
      <c r="Y203" s="529" t="str">
        <f t="shared" si="17"/>
        <v/>
      </c>
      <c r="Z203" s="149"/>
      <c r="AA203" s="150"/>
      <c r="AG203" s="31" t="str">
        <f>IFERROR(INDEX('G-6 Hedgerow Data'!$BJ$3:$BJ$15,MATCH(D203,'G-6 Hedgerow Data'!$B$3:$B$15,0)),"")</f>
        <v/>
      </c>
    </row>
    <row r="204" spans="2:33" ht="13.8" x14ac:dyDescent="0.25">
      <c r="B204" s="103">
        <v>193</v>
      </c>
      <c r="C204" s="268"/>
      <c r="D204" s="82"/>
      <c r="E204" s="203"/>
      <c r="F204" s="498" t="str">
        <f>IF(D204="","",VLOOKUP(D204,'G-6 Hedgerow Data'!$B$2:$AG$15,2,FALSE))</f>
        <v/>
      </c>
      <c r="G204" s="524" t="str">
        <f>IF(D204="","",VLOOKUP(D204,'G-6 Hedgerow Data'!$B$2:$AG$15,3,FALSE))</f>
        <v/>
      </c>
      <c r="H204" s="72"/>
      <c r="I204" s="499" t="str">
        <f>IFERROR(IF(AND(F204="V.Low",OR(H204="Good",H204="Moderate")),"Error ▲",VLOOKUP(H204,'G-1 All Habitats'!$Z$2:$AA$9,2,FALSE)),"")</f>
        <v/>
      </c>
      <c r="J204" s="146"/>
      <c r="K204" s="520" t="str">
        <f>IF(J204="","",IF(VLOOKUP(J204,'G-3 Multipliers'!$L$3:$N$6,2,FALSE)=0,"Spatial Data Missing",VLOOKUP(J204,'G-3 Multipliers'!$L$3:$N$6,2,FALSE)))</f>
        <v/>
      </c>
      <c r="L204" s="524" t="str">
        <f>IF(J204="","",IF(VLOOKUP(J204,'G-3 Multipliers'!$L$3:$N$6,3,FALSE)=0,"Spatial Data Missing",VLOOKUP(J204,'G-3 Multipliers'!$L$3:$N$6,3,FALSE)))</f>
        <v/>
      </c>
      <c r="M204" s="197"/>
      <c r="N204" s="499" t="str">
        <f>IF(M204="","",IF(VLOOKUP(M204,'G-3 Multipliers'!$S$3:$T$6,2,FALSE)=0,"Spatial Data Missing ⚠",VLOOKUP(M204,'G-3 Multipliers'!$S$3:$T$6,2,FALSE)))</f>
        <v/>
      </c>
      <c r="O204" s="498" t="str">
        <f>IF(OR(D204="",H204=""),"",(INDEX('G-6 Hedgerow Data'!$E$3:$I$15,MATCH(D204,'G-6 Hedgerow Data'!$B$3:$B$15,0),MATCH(H204,'G-6 Hedgerow Data'!$E$2:$I$2,0))))</f>
        <v/>
      </c>
      <c r="P204" s="195"/>
      <c r="Q204" s="195"/>
      <c r="R204" s="507" t="str">
        <f t="shared" si="13"/>
        <v/>
      </c>
      <c r="S204" s="521" t="str">
        <f t="shared" si="14"/>
        <v/>
      </c>
      <c r="T204" s="522" t="str">
        <f t="shared" ref="T204:T259" si="18">IF(D204="","",IF(LEFT(R204,5)="Error ▲","Check Data ⚠",VLOOKUP(S204,TemporalMultipliers,3,FALSE)))</f>
        <v/>
      </c>
      <c r="U204" s="537" t="str">
        <f>IF(D204="","",VLOOKUP(D204,'G-6 Hedgerow Data'!$B$3:$AG$15,31,FALSE))</f>
        <v/>
      </c>
      <c r="V204" s="520" t="str">
        <f t="shared" si="15"/>
        <v/>
      </c>
      <c r="W204" s="520" t="str">
        <f t="shared" si="16"/>
        <v/>
      </c>
      <c r="X204" s="524" t="str">
        <f>IF(F204="","",VLOOKUP(U204,'G-3 Multipliers'!$P$3:$Q$6,2,FALSE))</f>
        <v/>
      </c>
      <c r="Y204" s="529" t="str">
        <f t="shared" si="17"/>
        <v/>
      </c>
      <c r="Z204" s="149"/>
      <c r="AA204" s="150"/>
      <c r="AG204" s="31" t="str">
        <f>IFERROR(INDEX('G-6 Hedgerow Data'!$BJ$3:$BJ$15,MATCH(D204,'G-6 Hedgerow Data'!$B$3:$B$15,0)),"")</f>
        <v/>
      </c>
    </row>
    <row r="205" spans="2:33" ht="13.8" x14ac:dyDescent="0.25">
      <c r="B205" s="103">
        <v>194</v>
      </c>
      <c r="C205" s="268"/>
      <c r="D205" s="82"/>
      <c r="E205" s="203"/>
      <c r="F205" s="498" t="str">
        <f>IF(D205="","",VLOOKUP(D205,'G-6 Hedgerow Data'!$B$2:$AG$15,2,FALSE))</f>
        <v/>
      </c>
      <c r="G205" s="524" t="str">
        <f>IF(D205="","",VLOOKUP(D205,'G-6 Hedgerow Data'!$B$2:$AG$15,3,FALSE))</f>
        <v/>
      </c>
      <c r="H205" s="72"/>
      <c r="I205" s="499" t="str">
        <f>IFERROR(IF(AND(F205="V.Low",OR(H205="Good",H205="Moderate")),"Error ▲",VLOOKUP(H205,'G-1 All Habitats'!$Z$2:$AA$9,2,FALSE)),"")</f>
        <v/>
      </c>
      <c r="J205" s="146"/>
      <c r="K205" s="520" t="str">
        <f>IF(J205="","",IF(VLOOKUP(J205,'G-3 Multipliers'!$L$3:$N$6,2,FALSE)=0,"Spatial Data Missing",VLOOKUP(J205,'G-3 Multipliers'!$L$3:$N$6,2,FALSE)))</f>
        <v/>
      </c>
      <c r="L205" s="524" t="str">
        <f>IF(J205="","",IF(VLOOKUP(J205,'G-3 Multipliers'!$L$3:$N$6,3,FALSE)=0,"Spatial Data Missing",VLOOKUP(J205,'G-3 Multipliers'!$L$3:$N$6,3,FALSE)))</f>
        <v/>
      </c>
      <c r="M205" s="197"/>
      <c r="N205" s="499" t="str">
        <f>IF(M205="","",IF(VLOOKUP(M205,'G-3 Multipliers'!$S$3:$T$6,2,FALSE)=0,"Spatial Data Missing ⚠",VLOOKUP(M205,'G-3 Multipliers'!$S$3:$T$6,2,FALSE)))</f>
        <v/>
      </c>
      <c r="O205" s="498" t="str">
        <f>IF(OR(D205="",H205=""),"",(INDEX('G-6 Hedgerow Data'!$E$3:$I$15,MATCH(D205,'G-6 Hedgerow Data'!$B$3:$B$15,0),MATCH(H205,'G-6 Hedgerow Data'!$E$2:$I$2,0))))</f>
        <v/>
      </c>
      <c r="P205" s="195"/>
      <c r="Q205" s="195"/>
      <c r="R205" s="507" t="str">
        <f t="shared" ref="R205:R259" si="19">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521" t="str">
        <f t="shared" ref="S205:S259" si="20">IF(O205="","",IF(LEFT(R205,5)="Error ▲","Check Data ⚠",IF(OR(P205="30+",P205="Habitat already in target condition"),0,IF(Q205="30+","30+",IF(AND(O205="30+",OR(P205="",P205=0)),"30+ ⚠",IF(AND(O205="30+",P205&gt;0),32-P205,IF(O205+Q205&gt;30,"30+ ⚠",IF(O205+Q205-P205&gt;0,O205+Q205-P205,IF(O205-P205&lt;0,0,O205+Q205-P205)))))))))</f>
        <v/>
      </c>
      <c r="T205" s="522" t="str">
        <f t="shared" si="18"/>
        <v/>
      </c>
      <c r="U205" s="537" t="str">
        <f>IF(D205="","",VLOOKUP(D205,'G-6 Hedgerow Data'!$B$3:$AG$15,31,FALSE))</f>
        <v/>
      </c>
      <c r="V205" s="520" t="str">
        <f t="shared" ref="V205:V259" si="21">IF(D205="","",IF(S205="Check Data ⚠","Check Data ⚠",IF(H205="","",IF($R205="Check details - Is there evidence that habitat has reached target condition? ⚠","Low Difficulty - only applicable if all habitat created before losses","Standard difficulty applied"))))</f>
        <v/>
      </c>
      <c r="W205" s="520" t="str">
        <f t="shared" ref="W205:W259" si="22">(IF(AND(V205="Standard difficulty applied",O205&gt;P205),U205,IF(AND(V205="Low Difficulty - only applicable if all habitat created before losses",P205&gt;=O205),"Low",U205)))</f>
        <v/>
      </c>
      <c r="X205" s="524" t="str">
        <f>IF(F205="","",VLOOKUP(U205,'G-3 Multipliers'!$P$3:$Q$6,2,FALSE))</f>
        <v/>
      </c>
      <c r="Y205" s="529" t="str">
        <f t="shared" ref="Y205:Y259" si="23">IFERROR(E205*G205*I205*L205*T205*X205*N205,"")</f>
        <v/>
      </c>
      <c r="Z205" s="149"/>
      <c r="AA205" s="150"/>
      <c r="AG205" s="31" t="str">
        <f>IFERROR(INDEX('G-6 Hedgerow Data'!$BJ$3:$BJ$15,MATCH(D205,'G-6 Hedgerow Data'!$B$3:$B$15,0)),"")</f>
        <v/>
      </c>
    </row>
    <row r="206" spans="2:33" ht="13.8" x14ac:dyDescent="0.25">
      <c r="B206" s="103">
        <v>195</v>
      </c>
      <c r="C206" s="268"/>
      <c r="D206" s="82"/>
      <c r="E206" s="203"/>
      <c r="F206" s="498" t="str">
        <f>IF(D206="","",VLOOKUP(D206,'G-6 Hedgerow Data'!$B$2:$AG$15,2,FALSE))</f>
        <v/>
      </c>
      <c r="G206" s="524" t="str">
        <f>IF(D206="","",VLOOKUP(D206,'G-6 Hedgerow Data'!$B$2:$AG$15,3,FALSE))</f>
        <v/>
      </c>
      <c r="H206" s="72"/>
      <c r="I206" s="499" t="str">
        <f>IFERROR(IF(AND(F206="V.Low",OR(H206="Good",H206="Moderate")),"Error ▲",VLOOKUP(H206,'G-1 All Habitats'!$Z$2:$AA$9,2,FALSE)),"")</f>
        <v/>
      </c>
      <c r="J206" s="146"/>
      <c r="K206" s="520" t="str">
        <f>IF(J206="","",IF(VLOOKUP(J206,'G-3 Multipliers'!$L$3:$N$6,2,FALSE)=0,"Spatial Data Missing",VLOOKUP(J206,'G-3 Multipliers'!$L$3:$N$6,2,FALSE)))</f>
        <v/>
      </c>
      <c r="L206" s="524" t="str">
        <f>IF(J206="","",IF(VLOOKUP(J206,'G-3 Multipliers'!$L$3:$N$6,3,FALSE)=0,"Spatial Data Missing",VLOOKUP(J206,'G-3 Multipliers'!$L$3:$N$6,3,FALSE)))</f>
        <v/>
      </c>
      <c r="M206" s="197"/>
      <c r="N206" s="499" t="str">
        <f>IF(M206="","",IF(VLOOKUP(M206,'G-3 Multipliers'!$S$3:$T$6,2,FALSE)=0,"Spatial Data Missing ⚠",VLOOKUP(M206,'G-3 Multipliers'!$S$3:$T$6,2,FALSE)))</f>
        <v/>
      </c>
      <c r="O206" s="498" t="str">
        <f>IF(OR(D206="",H206=""),"",(INDEX('G-6 Hedgerow Data'!$E$3:$I$15,MATCH(D206,'G-6 Hedgerow Data'!$B$3:$B$15,0),MATCH(H206,'G-6 Hedgerow Data'!$E$2:$I$2,0))))</f>
        <v/>
      </c>
      <c r="P206" s="195"/>
      <c r="Q206" s="195"/>
      <c r="R206" s="507" t="str">
        <f t="shared" si="19"/>
        <v/>
      </c>
      <c r="S206" s="521" t="str">
        <f t="shared" si="20"/>
        <v/>
      </c>
      <c r="T206" s="522" t="str">
        <f t="shared" si="18"/>
        <v/>
      </c>
      <c r="U206" s="537" t="str">
        <f>IF(D206="","",VLOOKUP(D206,'G-6 Hedgerow Data'!$B$3:$AG$15,31,FALSE))</f>
        <v/>
      </c>
      <c r="V206" s="520" t="str">
        <f t="shared" si="21"/>
        <v/>
      </c>
      <c r="W206" s="520" t="str">
        <f t="shared" si="22"/>
        <v/>
      </c>
      <c r="X206" s="524" t="str">
        <f>IF(F206="","",VLOOKUP(U206,'G-3 Multipliers'!$P$3:$Q$6,2,FALSE))</f>
        <v/>
      </c>
      <c r="Y206" s="529" t="str">
        <f t="shared" si="23"/>
        <v/>
      </c>
      <c r="Z206" s="149"/>
      <c r="AA206" s="150"/>
      <c r="AG206" s="31" t="str">
        <f>IFERROR(INDEX('G-6 Hedgerow Data'!$BJ$3:$BJ$15,MATCH(D206,'G-6 Hedgerow Data'!$B$3:$B$15,0)),"")</f>
        <v/>
      </c>
    </row>
    <row r="207" spans="2:33" ht="13.8" x14ac:dyDescent="0.25">
      <c r="B207" s="103">
        <v>196</v>
      </c>
      <c r="C207" s="268"/>
      <c r="D207" s="82"/>
      <c r="E207" s="203"/>
      <c r="F207" s="498" t="str">
        <f>IF(D207="","",VLOOKUP(D207,'G-6 Hedgerow Data'!$B$2:$AG$15,2,FALSE))</f>
        <v/>
      </c>
      <c r="G207" s="524" t="str">
        <f>IF(D207="","",VLOOKUP(D207,'G-6 Hedgerow Data'!$B$2:$AG$15,3,FALSE))</f>
        <v/>
      </c>
      <c r="H207" s="72"/>
      <c r="I207" s="499" t="str">
        <f>IFERROR(IF(AND(F207="V.Low",OR(H207="Good",H207="Moderate")),"Error ▲",VLOOKUP(H207,'G-1 All Habitats'!$Z$2:$AA$9,2,FALSE)),"")</f>
        <v/>
      </c>
      <c r="J207" s="146"/>
      <c r="K207" s="520" t="str">
        <f>IF(J207="","",IF(VLOOKUP(J207,'G-3 Multipliers'!$L$3:$N$6,2,FALSE)=0,"Spatial Data Missing",VLOOKUP(J207,'G-3 Multipliers'!$L$3:$N$6,2,FALSE)))</f>
        <v/>
      </c>
      <c r="L207" s="524" t="str">
        <f>IF(J207="","",IF(VLOOKUP(J207,'G-3 Multipliers'!$L$3:$N$6,3,FALSE)=0,"Spatial Data Missing",VLOOKUP(J207,'G-3 Multipliers'!$L$3:$N$6,3,FALSE)))</f>
        <v/>
      </c>
      <c r="M207" s="197"/>
      <c r="N207" s="499" t="str">
        <f>IF(M207="","",IF(VLOOKUP(M207,'G-3 Multipliers'!$S$3:$T$6,2,FALSE)=0,"Spatial Data Missing ⚠",VLOOKUP(M207,'G-3 Multipliers'!$S$3:$T$6,2,FALSE)))</f>
        <v/>
      </c>
      <c r="O207" s="498" t="str">
        <f>IF(OR(D207="",H207=""),"",(INDEX('G-6 Hedgerow Data'!$E$3:$I$15,MATCH(D207,'G-6 Hedgerow Data'!$B$3:$B$15,0),MATCH(H207,'G-6 Hedgerow Data'!$E$2:$I$2,0))))</f>
        <v/>
      </c>
      <c r="P207" s="195"/>
      <c r="Q207" s="195"/>
      <c r="R207" s="507" t="str">
        <f t="shared" si="19"/>
        <v/>
      </c>
      <c r="S207" s="521" t="str">
        <f t="shared" si="20"/>
        <v/>
      </c>
      <c r="T207" s="522" t="str">
        <f t="shared" si="18"/>
        <v/>
      </c>
      <c r="U207" s="537" t="str">
        <f>IF(D207="","",VLOOKUP(D207,'G-6 Hedgerow Data'!$B$3:$AG$15,31,FALSE))</f>
        <v/>
      </c>
      <c r="V207" s="520" t="str">
        <f t="shared" si="21"/>
        <v/>
      </c>
      <c r="W207" s="520" t="str">
        <f t="shared" si="22"/>
        <v/>
      </c>
      <c r="X207" s="524" t="str">
        <f>IF(F207="","",VLOOKUP(U207,'G-3 Multipliers'!$P$3:$Q$6,2,FALSE))</f>
        <v/>
      </c>
      <c r="Y207" s="529" t="str">
        <f t="shared" si="23"/>
        <v/>
      </c>
      <c r="Z207" s="149"/>
      <c r="AA207" s="150"/>
      <c r="AG207" s="31" t="str">
        <f>IFERROR(INDEX('G-6 Hedgerow Data'!$BJ$3:$BJ$15,MATCH(D207,'G-6 Hedgerow Data'!$B$3:$B$15,0)),"")</f>
        <v/>
      </c>
    </row>
    <row r="208" spans="2:33" ht="13.8" x14ac:dyDescent="0.25">
      <c r="B208" s="103">
        <v>197</v>
      </c>
      <c r="C208" s="268"/>
      <c r="D208" s="82"/>
      <c r="E208" s="203"/>
      <c r="F208" s="498" t="str">
        <f>IF(D208="","",VLOOKUP(D208,'G-6 Hedgerow Data'!$B$2:$AG$15,2,FALSE))</f>
        <v/>
      </c>
      <c r="G208" s="524" t="str">
        <f>IF(D208="","",VLOOKUP(D208,'G-6 Hedgerow Data'!$B$2:$AG$15,3,FALSE))</f>
        <v/>
      </c>
      <c r="H208" s="72"/>
      <c r="I208" s="499" t="str">
        <f>IFERROR(IF(AND(F208="V.Low",OR(H208="Good",H208="Moderate")),"Error ▲",VLOOKUP(H208,'G-1 All Habitats'!$Z$2:$AA$9,2,FALSE)),"")</f>
        <v/>
      </c>
      <c r="J208" s="146"/>
      <c r="K208" s="520" t="str">
        <f>IF(J208="","",IF(VLOOKUP(J208,'G-3 Multipliers'!$L$3:$N$6,2,FALSE)=0,"Spatial Data Missing",VLOOKUP(J208,'G-3 Multipliers'!$L$3:$N$6,2,FALSE)))</f>
        <v/>
      </c>
      <c r="L208" s="524" t="str">
        <f>IF(J208="","",IF(VLOOKUP(J208,'G-3 Multipliers'!$L$3:$N$6,3,FALSE)=0,"Spatial Data Missing",VLOOKUP(J208,'G-3 Multipliers'!$L$3:$N$6,3,FALSE)))</f>
        <v/>
      </c>
      <c r="M208" s="197"/>
      <c r="N208" s="499" t="str">
        <f>IF(M208="","",IF(VLOOKUP(M208,'G-3 Multipliers'!$S$3:$T$6,2,FALSE)=0,"Spatial Data Missing ⚠",VLOOKUP(M208,'G-3 Multipliers'!$S$3:$T$6,2,FALSE)))</f>
        <v/>
      </c>
      <c r="O208" s="498" t="str">
        <f>IF(OR(D208="",H208=""),"",(INDEX('G-6 Hedgerow Data'!$E$3:$I$15,MATCH(D208,'G-6 Hedgerow Data'!$B$3:$B$15,0),MATCH(H208,'G-6 Hedgerow Data'!$E$2:$I$2,0))))</f>
        <v/>
      </c>
      <c r="P208" s="195"/>
      <c r="Q208" s="195"/>
      <c r="R208" s="507" t="str">
        <f t="shared" si="19"/>
        <v/>
      </c>
      <c r="S208" s="521" t="str">
        <f t="shared" si="20"/>
        <v/>
      </c>
      <c r="T208" s="522" t="str">
        <f t="shared" si="18"/>
        <v/>
      </c>
      <c r="U208" s="537" t="str">
        <f>IF(D208="","",VLOOKUP(D208,'G-6 Hedgerow Data'!$B$3:$AG$15,31,FALSE))</f>
        <v/>
      </c>
      <c r="V208" s="520" t="str">
        <f t="shared" si="21"/>
        <v/>
      </c>
      <c r="W208" s="520" t="str">
        <f t="shared" si="22"/>
        <v/>
      </c>
      <c r="X208" s="524" t="str">
        <f>IF(F208="","",VLOOKUP(U208,'G-3 Multipliers'!$P$3:$Q$6,2,FALSE))</f>
        <v/>
      </c>
      <c r="Y208" s="529" t="str">
        <f t="shared" si="23"/>
        <v/>
      </c>
      <c r="Z208" s="149"/>
      <c r="AA208" s="150"/>
      <c r="AG208" s="31" t="str">
        <f>IFERROR(INDEX('G-6 Hedgerow Data'!$BJ$3:$BJ$15,MATCH(D208,'G-6 Hedgerow Data'!$B$3:$B$15,0)),"")</f>
        <v/>
      </c>
    </row>
    <row r="209" spans="2:33" ht="13.8" x14ac:dyDescent="0.25">
      <c r="B209" s="103">
        <v>198</v>
      </c>
      <c r="C209" s="268"/>
      <c r="D209" s="82"/>
      <c r="E209" s="203"/>
      <c r="F209" s="498" t="str">
        <f>IF(D209="","",VLOOKUP(D209,'G-6 Hedgerow Data'!$B$2:$AG$15,2,FALSE))</f>
        <v/>
      </c>
      <c r="G209" s="524" t="str">
        <f>IF(D209="","",VLOOKUP(D209,'G-6 Hedgerow Data'!$B$2:$AG$15,3,FALSE))</f>
        <v/>
      </c>
      <c r="H209" s="72"/>
      <c r="I209" s="499" t="str">
        <f>IFERROR(IF(AND(F209="V.Low",OR(H209="Good",H209="Moderate")),"Error ▲",VLOOKUP(H209,'G-1 All Habitats'!$Z$2:$AA$9,2,FALSE)),"")</f>
        <v/>
      </c>
      <c r="J209" s="146"/>
      <c r="K209" s="520" t="str">
        <f>IF(J209="","",IF(VLOOKUP(J209,'G-3 Multipliers'!$L$3:$N$6,2,FALSE)=0,"Spatial Data Missing",VLOOKUP(J209,'G-3 Multipliers'!$L$3:$N$6,2,FALSE)))</f>
        <v/>
      </c>
      <c r="L209" s="524" t="str">
        <f>IF(J209="","",IF(VLOOKUP(J209,'G-3 Multipliers'!$L$3:$N$6,3,FALSE)=0,"Spatial Data Missing",VLOOKUP(J209,'G-3 Multipliers'!$L$3:$N$6,3,FALSE)))</f>
        <v/>
      </c>
      <c r="M209" s="197"/>
      <c r="N209" s="499" t="str">
        <f>IF(M209="","",IF(VLOOKUP(M209,'G-3 Multipliers'!$S$3:$T$6,2,FALSE)=0,"Spatial Data Missing ⚠",VLOOKUP(M209,'G-3 Multipliers'!$S$3:$T$6,2,FALSE)))</f>
        <v/>
      </c>
      <c r="O209" s="498" t="str">
        <f>IF(OR(D209="",H209=""),"",(INDEX('G-6 Hedgerow Data'!$E$3:$I$15,MATCH(D209,'G-6 Hedgerow Data'!$B$3:$B$15,0),MATCH(H209,'G-6 Hedgerow Data'!$E$2:$I$2,0))))</f>
        <v/>
      </c>
      <c r="P209" s="195"/>
      <c r="Q209" s="195"/>
      <c r="R209" s="507" t="str">
        <f t="shared" si="19"/>
        <v/>
      </c>
      <c r="S209" s="521" t="str">
        <f t="shared" si="20"/>
        <v/>
      </c>
      <c r="T209" s="522" t="str">
        <f t="shared" si="18"/>
        <v/>
      </c>
      <c r="U209" s="537" t="str">
        <f>IF(D209="","",VLOOKUP(D209,'G-6 Hedgerow Data'!$B$3:$AG$15,31,FALSE))</f>
        <v/>
      </c>
      <c r="V209" s="520" t="str">
        <f t="shared" si="21"/>
        <v/>
      </c>
      <c r="W209" s="520" t="str">
        <f t="shared" si="22"/>
        <v/>
      </c>
      <c r="X209" s="524" t="str">
        <f>IF(F209="","",VLOOKUP(U209,'G-3 Multipliers'!$P$3:$Q$6,2,FALSE))</f>
        <v/>
      </c>
      <c r="Y209" s="529" t="str">
        <f t="shared" si="23"/>
        <v/>
      </c>
      <c r="Z209" s="149"/>
      <c r="AA209" s="150"/>
      <c r="AG209" s="31" t="str">
        <f>IFERROR(INDEX('G-6 Hedgerow Data'!$BJ$3:$BJ$15,MATCH(D209,'G-6 Hedgerow Data'!$B$3:$B$15,0)),"")</f>
        <v/>
      </c>
    </row>
    <row r="210" spans="2:33" ht="13.8" x14ac:dyDescent="0.25">
      <c r="B210" s="103">
        <v>199</v>
      </c>
      <c r="C210" s="268"/>
      <c r="D210" s="82"/>
      <c r="E210" s="203"/>
      <c r="F210" s="498" t="str">
        <f>IF(D210="","",VLOOKUP(D210,'G-6 Hedgerow Data'!$B$2:$AG$15,2,FALSE))</f>
        <v/>
      </c>
      <c r="G210" s="524" t="str">
        <f>IF(D210="","",VLOOKUP(D210,'G-6 Hedgerow Data'!$B$2:$AG$15,3,FALSE))</f>
        <v/>
      </c>
      <c r="H210" s="72"/>
      <c r="I210" s="499" t="str">
        <f>IFERROR(IF(AND(F210="V.Low",OR(H210="Good",H210="Moderate")),"Error ▲",VLOOKUP(H210,'G-1 All Habitats'!$Z$2:$AA$9,2,FALSE)),"")</f>
        <v/>
      </c>
      <c r="J210" s="146"/>
      <c r="K210" s="520" t="str">
        <f>IF(J210="","",IF(VLOOKUP(J210,'G-3 Multipliers'!$L$3:$N$6,2,FALSE)=0,"Spatial Data Missing",VLOOKUP(J210,'G-3 Multipliers'!$L$3:$N$6,2,FALSE)))</f>
        <v/>
      </c>
      <c r="L210" s="524" t="str">
        <f>IF(J210="","",IF(VLOOKUP(J210,'G-3 Multipliers'!$L$3:$N$6,3,FALSE)=0,"Spatial Data Missing",VLOOKUP(J210,'G-3 Multipliers'!$L$3:$N$6,3,FALSE)))</f>
        <v/>
      </c>
      <c r="M210" s="197"/>
      <c r="N210" s="499" t="str">
        <f>IF(M210="","",IF(VLOOKUP(M210,'G-3 Multipliers'!$S$3:$T$6,2,FALSE)=0,"Spatial Data Missing ⚠",VLOOKUP(M210,'G-3 Multipliers'!$S$3:$T$6,2,FALSE)))</f>
        <v/>
      </c>
      <c r="O210" s="498" t="str">
        <f>IF(OR(D210="",H210=""),"",(INDEX('G-6 Hedgerow Data'!$E$3:$I$15,MATCH(D210,'G-6 Hedgerow Data'!$B$3:$B$15,0),MATCH(H210,'G-6 Hedgerow Data'!$E$2:$I$2,0))))</f>
        <v/>
      </c>
      <c r="P210" s="195"/>
      <c r="Q210" s="195"/>
      <c r="R210" s="507" t="str">
        <f t="shared" si="19"/>
        <v/>
      </c>
      <c r="S210" s="521" t="str">
        <f t="shared" si="20"/>
        <v/>
      </c>
      <c r="T210" s="522" t="str">
        <f t="shared" si="18"/>
        <v/>
      </c>
      <c r="U210" s="537" t="str">
        <f>IF(D210="","",VLOOKUP(D210,'G-6 Hedgerow Data'!$B$3:$AG$15,31,FALSE))</f>
        <v/>
      </c>
      <c r="V210" s="520" t="str">
        <f t="shared" si="21"/>
        <v/>
      </c>
      <c r="W210" s="520" t="str">
        <f t="shared" si="22"/>
        <v/>
      </c>
      <c r="X210" s="524" t="str">
        <f>IF(F210="","",VLOOKUP(U210,'G-3 Multipliers'!$P$3:$Q$6,2,FALSE))</f>
        <v/>
      </c>
      <c r="Y210" s="529" t="str">
        <f t="shared" si="23"/>
        <v/>
      </c>
      <c r="Z210" s="149"/>
      <c r="AA210" s="150"/>
      <c r="AG210" s="31" t="str">
        <f>IFERROR(INDEX('G-6 Hedgerow Data'!$BJ$3:$BJ$15,MATCH(D210,'G-6 Hedgerow Data'!$B$3:$B$15,0)),"")</f>
        <v/>
      </c>
    </row>
    <row r="211" spans="2:33" ht="13.8" x14ac:dyDescent="0.25">
      <c r="B211" s="103">
        <v>200</v>
      </c>
      <c r="C211" s="268"/>
      <c r="D211" s="82"/>
      <c r="E211" s="203"/>
      <c r="F211" s="498" t="str">
        <f>IF(D211="","",VLOOKUP(D211,'G-6 Hedgerow Data'!$B$2:$AG$15,2,FALSE))</f>
        <v/>
      </c>
      <c r="G211" s="524" t="str">
        <f>IF(D211="","",VLOOKUP(D211,'G-6 Hedgerow Data'!$B$2:$AG$15,3,FALSE))</f>
        <v/>
      </c>
      <c r="H211" s="72"/>
      <c r="I211" s="499" t="str">
        <f>IFERROR(IF(AND(F211="V.Low",OR(H211="Good",H211="Moderate")),"Error ▲",VLOOKUP(H211,'G-1 All Habitats'!$Z$2:$AA$9,2,FALSE)),"")</f>
        <v/>
      </c>
      <c r="J211" s="146"/>
      <c r="K211" s="520" t="str">
        <f>IF(J211="","",IF(VLOOKUP(J211,'G-3 Multipliers'!$L$3:$N$6,2,FALSE)=0,"Spatial Data Missing",VLOOKUP(J211,'G-3 Multipliers'!$L$3:$N$6,2,FALSE)))</f>
        <v/>
      </c>
      <c r="L211" s="524" t="str">
        <f>IF(J211="","",IF(VLOOKUP(J211,'G-3 Multipliers'!$L$3:$N$6,3,FALSE)=0,"Spatial Data Missing",VLOOKUP(J211,'G-3 Multipliers'!$L$3:$N$6,3,FALSE)))</f>
        <v/>
      </c>
      <c r="M211" s="197"/>
      <c r="N211" s="499" t="str">
        <f>IF(M211="","",IF(VLOOKUP(M211,'G-3 Multipliers'!$S$3:$T$6,2,FALSE)=0,"Spatial Data Missing ⚠",VLOOKUP(M211,'G-3 Multipliers'!$S$3:$T$6,2,FALSE)))</f>
        <v/>
      </c>
      <c r="O211" s="498" t="str">
        <f>IF(OR(D211="",H211=""),"",(INDEX('G-6 Hedgerow Data'!$E$3:$I$15,MATCH(D211,'G-6 Hedgerow Data'!$B$3:$B$15,0),MATCH(H211,'G-6 Hedgerow Data'!$E$2:$I$2,0))))</f>
        <v/>
      </c>
      <c r="P211" s="195"/>
      <c r="Q211" s="195"/>
      <c r="R211" s="507" t="str">
        <f t="shared" si="19"/>
        <v/>
      </c>
      <c r="S211" s="521" t="str">
        <f t="shared" si="20"/>
        <v/>
      </c>
      <c r="T211" s="522" t="str">
        <f t="shared" si="18"/>
        <v/>
      </c>
      <c r="U211" s="537" t="str">
        <f>IF(D211="","",VLOOKUP(D211,'G-6 Hedgerow Data'!$B$3:$AG$15,31,FALSE))</f>
        <v/>
      </c>
      <c r="V211" s="520" t="str">
        <f t="shared" si="21"/>
        <v/>
      </c>
      <c r="W211" s="520" t="str">
        <f t="shared" si="22"/>
        <v/>
      </c>
      <c r="X211" s="524" t="str">
        <f>IF(F211="","",VLOOKUP(U211,'G-3 Multipliers'!$P$3:$Q$6,2,FALSE))</f>
        <v/>
      </c>
      <c r="Y211" s="529" t="str">
        <f t="shared" si="23"/>
        <v/>
      </c>
      <c r="Z211" s="149"/>
      <c r="AA211" s="150"/>
      <c r="AG211" s="31" t="str">
        <f>IFERROR(INDEX('G-6 Hedgerow Data'!$BJ$3:$BJ$15,MATCH(D211,'G-6 Hedgerow Data'!$B$3:$B$15,0)),"")</f>
        <v/>
      </c>
    </row>
    <row r="212" spans="2:33" ht="13.8" x14ac:dyDescent="0.25">
      <c r="B212" s="103">
        <v>201</v>
      </c>
      <c r="C212" s="268"/>
      <c r="D212" s="82"/>
      <c r="E212" s="203"/>
      <c r="F212" s="498" t="str">
        <f>IF(D212="","",VLOOKUP(D212,'G-6 Hedgerow Data'!$B$2:$AG$15,2,FALSE))</f>
        <v/>
      </c>
      <c r="G212" s="524" t="str">
        <f>IF(D212="","",VLOOKUP(D212,'G-6 Hedgerow Data'!$B$2:$AG$15,3,FALSE))</f>
        <v/>
      </c>
      <c r="H212" s="72"/>
      <c r="I212" s="499" t="str">
        <f>IFERROR(IF(AND(F212="V.Low",OR(H212="Good",H212="Moderate")),"Error ▲",VLOOKUP(H212,'G-1 All Habitats'!$Z$2:$AA$9,2,FALSE)),"")</f>
        <v/>
      </c>
      <c r="J212" s="146"/>
      <c r="K212" s="520" t="str">
        <f>IF(J212="","",IF(VLOOKUP(J212,'G-3 Multipliers'!$L$3:$N$6,2,FALSE)=0,"Spatial Data Missing",VLOOKUP(J212,'G-3 Multipliers'!$L$3:$N$6,2,FALSE)))</f>
        <v/>
      </c>
      <c r="L212" s="524" t="str">
        <f>IF(J212="","",IF(VLOOKUP(J212,'G-3 Multipliers'!$L$3:$N$6,3,FALSE)=0,"Spatial Data Missing",VLOOKUP(J212,'G-3 Multipliers'!$L$3:$N$6,3,FALSE)))</f>
        <v/>
      </c>
      <c r="M212" s="197"/>
      <c r="N212" s="499" t="str">
        <f>IF(M212="","",IF(VLOOKUP(M212,'G-3 Multipliers'!$S$3:$T$6,2,FALSE)=0,"Spatial Data Missing ⚠",VLOOKUP(M212,'G-3 Multipliers'!$S$3:$T$6,2,FALSE)))</f>
        <v/>
      </c>
      <c r="O212" s="498" t="str">
        <f>IF(OR(D212="",H212=""),"",(INDEX('G-6 Hedgerow Data'!$E$3:$I$15,MATCH(D212,'G-6 Hedgerow Data'!$B$3:$B$15,0),MATCH(H212,'G-6 Hedgerow Data'!$E$2:$I$2,0))))</f>
        <v/>
      </c>
      <c r="P212" s="195"/>
      <c r="Q212" s="195"/>
      <c r="R212" s="507" t="str">
        <f t="shared" si="19"/>
        <v/>
      </c>
      <c r="S212" s="521" t="str">
        <f t="shared" si="20"/>
        <v/>
      </c>
      <c r="T212" s="522" t="str">
        <f t="shared" si="18"/>
        <v/>
      </c>
      <c r="U212" s="537" t="str">
        <f>IF(D212="","",VLOOKUP(D212,'G-6 Hedgerow Data'!$B$3:$AG$15,31,FALSE))</f>
        <v/>
      </c>
      <c r="V212" s="520" t="str">
        <f t="shared" si="21"/>
        <v/>
      </c>
      <c r="W212" s="520" t="str">
        <f t="shared" si="22"/>
        <v/>
      </c>
      <c r="X212" s="524" t="str">
        <f>IF(F212="","",VLOOKUP(U212,'G-3 Multipliers'!$P$3:$Q$6,2,FALSE))</f>
        <v/>
      </c>
      <c r="Y212" s="529" t="str">
        <f t="shared" si="23"/>
        <v/>
      </c>
      <c r="Z212" s="149"/>
      <c r="AA212" s="150"/>
      <c r="AG212" s="31" t="str">
        <f>IFERROR(INDEX('G-6 Hedgerow Data'!$BJ$3:$BJ$15,MATCH(D212,'G-6 Hedgerow Data'!$B$3:$B$15,0)),"")</f>
        <v/>
      </c>
    </row>
    <row r="213" spans="2:33" ht="13.8" x14ac:dyDescent="0.25">
      <c r="B213" s="103">
        <v>202</v>
      </c>
      <c r="C213" s="268"/>
      <c r="D213" s="82"/>
      <c r="E213" s="203"/>
      <c r="F213" s="498" t="str">
        <f>IF(D213="","",VLOOKUP(D213,'G-6 Hedgerow Data'!$B$2:$AG$15,2,FALSE))</f>
        <v/>
      </c>
      <c r="G213" s="524" t="str">
        <f>IF(D213="","",VLOOKUP(D213,'G-6 Hedgerow Data'!$B$2:$AG$15,3,FALSE))</f>
        <v/>
      </c>
      <c r="H213" s="72"/>
      <c r="I213" s="499" t="str">
        <f>IFERROR(IF(AND(F213="V.Low",OR(H213="Good",H213="Moderate")),"Error ▲",VLOOKUP(H213,'G-1 All Habitats'!$Z$2:$AA$9,2,FALSE)),"")</f>
        <v/>
      </c>
      <c r="J213" s="146"/>
      <c r="K213" s="520" t="str">
        <f>IF(J213="","",IF(VLOOKUP(J213,'G-3 Multipliers'!$L$3:$N$6,2,FALSE)=0,"Spatial Data Missing",VLOOKUP(J213,'G-3 Multipliers'!$L$3:$N$6,2,FALSE)))</f>
        <v/>
      </c>
      <c r="L213" s="524" t="str">
        <f>IF(J213="","",IF(VLOOKUP(J213,'G-3 Multipliers'!$L$3:$N$6,3,FALSE)=0,"Spatial Data Missing",VLOOKUP(J213,'G-3 Multipliers'!$L$3:$N$6,3,FALSE)))</f>
        <v/>
      </c>
      <c r="M213" s="197"/>
      <c r="N213" s="499" t="str">
        <f>IF(M213="","",IF(VLOOKUP(M213,'G-3 Multipliers'!$S$3:$T$6,2,FALSE)=0,"Spatial Data Missing ⚠",VLOOKUP(M213,'G-3 Multipliers'!$S$3:$T$6,2,FALSE)))</f>
        <v/>
      </c>
      <c r="O213" s="498" t="str">
        <f>IF(OR(D213="",H213=""),"",(INDEX('G-6 Hedgerow Data'!$E$3:$I$15,MATCH(D213,'G-6 Hedgerow Data'!$B$3:$B$15,0),MATCH(H213,'G-6 Hedgerow Data'!$E$2:$I$2,0))))</f>
        <v/>
      </c>
      <c r="P213" s="195"/>
      <c r="Q213" s="195"/>
      <c r="R213" s="507" t="str">
        <f t="shared" si="19"/>
        <v/>
      </c>
      <c r="S213" s="521" t="str">
        <f t="shared" si="20"/>
        <v/>
      </c>
      <c r="T213" s="522" t="str">
        <f t="shared" si="18"/>
        <v/>
      </c>
      <c r="U213" s="537" t="str">
        <f>IF(D213="","",VLOOKUP(D213,'G-6 Hedgerow Data'!$B$3:$AG$15,31,FALSE))</f>
        <v/>
      </c>
      <c r="V213" s="520" t="str">
        <f t="shared" si="21"/>
        <v/>
      </c>
      <c r="W213" s="520" t="str">
        <f t="shared" si="22"/>
        <v/>
      </c>
      <c r="X213" s="524" t="str">
        <f>IF(F213="","",VLOOKUP(U213,'G-3 Multipliers'!$P$3:$Q$6,2,FALSE))</f>
        <v/>
      </c>
      <c r="Y213" s="529" t="str">
        <f t="shared" si="23"/>
        <v/>
      </c>
      <c r="Z213" s="149"/>
      <c r="AA213" s="150"/>
      <c r="AG213" s="31" t="str">
        <f>IFERROR(INDEX('G-6 Hedgerow Data'!$BJ$3:$BJ$15,MATCH(D213,'G-6 Hedgerow Data'!$B$3:$B$15,0)),"")</f>
        <v/>
      </c>
    </row>
    <row r="214" spans="2:33" ht="13.8" x14ac:dyDescent="0.25">
      <c r="B214" s="103">
        <v>203</v>
      </c>
      <c r="C214" s="268"/>
      <c r="D214" s="82"/>
      <c r="E214" s="203"/>
      <c r="F214" s="498" t="str">
        <f>IF(D214="","",VLOOKUP(D214,'G-6 Hedgerow Data'!$B$2:$AG$15,2,FALSE))</f>
        <v/>
      </c>
      <c r="G214" s="524" t="str">
        <f>IF(D214="","",VLOOKUP(D214,'G-6 Hedgerow Data'!$B$2:$AG$15,3,FALSE))</f>
        <v/>
      </c>
      <c r="H214" s="72"/>
      <c r="I214" s="499" t="str">
        <f>IFERROR(IF(AND(F214="V.Low",OR(H214="Good",H214="Moderate")),"Error ▲",VLOOKUP(H214,'G-1 All Habitats'!$Z$2:$AA$9,2,FALSE)),"")</f>
        <v/>
      </c>
      <c r="J214" s="146"/>
      <c r="K214" s="520" t="str">
        <f>IF(J214="","",IF(VLOOKUP(J214,'G-3 Multipliers'!$L$3:$N$6,2,FALSE)=0,"Spatial Data Missing",VLOOKUP(J214,'G-3 Multipliers'!$L$3:$N$6,2,FALSE)))</f>
        <v/>
      </c>
      <c r="L214" s="524" t="str">
        <f>IF(J214="","",IF(VLOOKUP(J214,'G-3 Multipliers'!$L$3:$N$6,3,FALSE)=0,"Spatial Data Missing",VLOOKUP(J214,'G-3 Multipliers'!$L$3:$N$6,3,FALSE)))</f>
        <v/>
      </c>
      <c r="M214" s="197"/>
      <c r="N214" s="499" t="str">
        <f>IF(M214="","",IF(VLOOKUP(M214,'G-3 Multipliers'!$S$3:$T$6,2,FALSE)=0,"Spatial Data Missing ⚠",VLOOKUP(M214,'G-3 Multipliers'!$S$3:$T$6,2,FALSE)))</f>
        <v/>
      </c>
      <c r="O214" s="498" t="str">
        <f>IF(OR(D214="",H214=""),"",(INDEX('G-6 Hedgerow Data'!$E$3:$I$15,MATCH(D214,'G-6 Hedgerow Data'!$B$3:$B$15,0),MATCH(H214,'G-6 Hedgerow Data'!$E$2:$I$2,0))))</f>
        <v/>
      </c>
      <c r="P214" s="195"/>
      <c r="Q214" s="195"/>
      <c r="R214" s="507" t="str">
        <f t="shared" si="19"/>
        <v/>
      </c>
      <c r="S214" s="521" t="str">
        <f t="shared" si="20"/>
        <v/>
      </c>
      <c r="T214" s="522" t="str">
        <f t="shared" si="18"/>
        <v/>
      </c>
      <c r="U214" s="537" t="str">
        <f>IF(D214="","",VLOOKUP(D214,'G-6 Hedgerow Data'!$B$3:$AG$15,31,FALSE))</f>
        <v/>
      </c>
      <c r="V214" s="520" t="str">
        <f t="shared" si="21"/>
        <v/>
      </c>
      <c r="W214" s="520" t="str">
        <f t="shared" si="22"/>
        <v/>
      </c>
      <c r="X214" s="524" t="str">
        <f>IF(F214="","",VLOOKUP(U214,'G-3 Multipliers'!$P$3:$Q$6,2,FALSE))</f>
        <v/>
      </c>
      <c r="Y214" s="529" t="str">
        <f t="shared" si="23"/>
        <v/>
      </c>
      <c r="Z214" s="149"/>
      <c r="AA214" s="150"/>
      <c r="AG214" s="31" t="str">
        <f>IFERROR(INDEX('G-6 Hedgerow Data'!$BJ$3:$BJ$15,MATCH(D214,'G-6 Hedgerow Data'!$B$3:$B$15,0)),"")</f>
        <v/>
      </c>
    </row>
    <row r="215" spans="2:33" ht="13.8" x14ac:dyDescent="0.25">
      <c r="B215" s="103">
        <v>204</v>
      </c>
      <c r="C215" s="268"/>
      <c r="D215" s="82"/>
      <c r="E215" s="203"/>
      <c r="F215" s="498" t="str">
        <f>IF(D215="","",VLOOKUP(D215,'G-6 Hedgerow Data'!$B$2:$AG$15,2,FALSE))</f>
        <v/>
      </c>
      <c r="G215" s="524" t="str">
        <f>IF(D215="","",VLOOKUP(D215,'G-6 Hedgerow Data'!$B$2:$AG$15,3,FALSE))</f>
        <v/>
      </c>
      <c r="H215" s="72"/>
      <c r="I215" s="499" t="str">
        <f>IFERROR(IF(AND(F215="V.Low",OR(H215="Good",H215="Moderate")),"Error ▲",VLOOKUP(H215,'G-1 All Habitats'!$Z$2:$AA$9,2,FALSE)),"")</f>
        <v/>
      </c>
      <c r="J215" s="146"/>
      <c r="K215" s="520" t="str">
        <f>IF(J215="","",IF(VLOOKUP(J215,'G-3 Multipliers'!$L$3:$N$6,2,FALSE)=0,"Spatial Data Missing",VLOOKUP(J215,'G-3 Multipliers'!$L$3:$N$6,2,FALSE)))</f>
        <v/>
      </c>
      <c r="L215" s="524" t="str">
        <f>IF(J215="","",IF(VLOOKUP(J215,'G-3 Multipliers'!$L$3:$N$6,3,FALSE)=0,"Spatial Data Missing",VLOOKUP(J215,'G-3 Multipliers'!$L$3:$N$6,3,FALSE)))</f>
        <v/>
      </c>
      <c r="M215" s="197"/>
      <c r="N215" s="499" t="str">
        <f>IF(M215="","",IF(VLOOKUP(M215,'G-3 Multipliers'!$S$3:$T$6,2,FALSE)=0,"Spatial Data Missing ⚠",VLOOKUP(M215,'G-3 Multipliers'!$S$3:$T$6,2,FALSE)))</f>
        <v/>
      </c>
      <c r="O215" s="498" t="str">
        <f>IF(OR(D215="",H215=""),"",(INDEX('G-6 Hedgerow Data'!$E$3:$I$15,MATCH(D215,'G-6 Hedgerow Data'!$B$3:$B$15,0),MATCH(H215,'G-6 Hedgerow Data'!$E$2:$I$2,0))))</f>
        <v/>
      </c>
      <c r="P215" s="195"/>
      <c r="Q215" s="195"/>
      <c r="R215" s="507" t="str">
        <f t="shared" si="19"/>
        <v/>
      </c>
      <c r="S215" s="521" t="str">
        <f t="shared" si="20"/>
        <v/>
      </c>
      <c r="T215" s="522" t="str">
        <f t="shared" si="18"/>
        <v/>
      </c>
      <c r="U215" s="537" t="str">
        <f>IF(D215="","",VLOOKUP(D215,'G-6 Hedgerow Data'!$B$3:$AG$15,31,FALSE))</f>
        <v/>
      </c>
      <c r="V215" s="520" t="str">
        <f t="shared" si="21"/>
        <v/>
      </c>
      <c r="W215" s="520" t="str">
        <f t="shared" si="22"/>
        <v/>
      </c>
      <c r="X215" s="524" t="str">
        <f>IF(F215="","",VLOOKUP(U215,'G-3 Multipliers'!$P$3:$Q$6,2,FALSE))</f>
        <v/>
      </c>
      <c r="Y215" s="529" t="str">
        <f t="shared" si="23"/>
        <v/>
      </c>
      <c r="Z215" s="149"/>
      <c r="AA215" s="150"/>
      <c r="AG215" s="31" t="str">
        <f>IFERROR(INDEX('G-6 Hedgerow Data'!$BJ$3:$BJ$15,MATCH(D215,'G-6 Hedgerow Data'!$B$3:$B$15,0)),"")</f>
        <v/>
      </c>
    </row>
    <row r="216" spans="2:33" ht="13.8" x14ac:dyDescent="0.25">
      <c r="B216" s="103">
        <v>205</v>
      </c>
      <c r="C216" s="268"/>
      <c r="D216" s="82"/>
      <c r="E216" s="203"/>
      <c r="F216" s="498" t="str">
        <f>IF(D216="","",VLOOKUP(D216,'G-6 Hedgerow Data'!$B$2:$AG$15,2,FALSE))</f>
        <v/>
      </c>
      <c r="G216" s="524" t="str">
        <f>IF(D216="","",VLOOKUP(D216,'G-6 Hedgerow Data'!$B$2:$AG$15,3,FALSE))</f>
        <v/>
      </c>
      <c r="H216" s="72"/>
      <c r="I216" s="499" t="str">
        <f>IFERROR(IF(AND(F216="V.Low",OR(H216="Good",H216="Moderate")),"Error ▲",VLOOKUP(H216,'G-1 All Habitats'!$Z$2:$AA$9,2,FALSE)),"")</f>
        <v/>
      </c>
      <c r="J216" s="146"/>
      <c r="K216" s="520" t="str">
        <f>IF(J216="","",IF(VLOOKUP(J216,'G-3 Multipliers'!$L$3:$N$6,2,FALSE)=0,"Spatial Data Missing",VLOOKUP(J216,'G-3 Multipliers'!$L$3:$N$6,2,FALSE)))</f>
        <v/>
      </c>
      <c r="L216" s="524" t="str">
        <f>IF(J216="","",IF(VLOOKUP(J216,'G-3 Multipliers'!$L$3:$N$6,3,FALSE)=0,"Spatial Data Missing",VLOOKUP(J216,'G-3 Multipliers'!$L$3:$N$6,3,FALSE)))</f>
        <v/>
      </c>
      <c r="M216" s="197"/>
      <c r="N216" s="499" t="str">
        <f>IF(M216="","",IF(VLOOKUP(M216,'G-3 Multipliers'!$S$3:$T$6,2,FALSE)=0,"Spatial Data Missing ⚠",VLOOKUP(M216,'G-3 Multipliers'!$S$3:$T$6,2,FALSE)))</f>
        <v/>
      </c>
      <c r="O216" s="498" t="str">
        <f>IF(OR(D216="",H216=""),"",(INDEX('G-6 Hedgerow Data'!$E$3:$I$15,MATCH(D216,'G-6 Hedgerow Data'!$B$3:$B$15,0),MATCH(H216,'G-6 Hedgerow Data'!$E$2:$I$2,0))))</f>
        <v/>
      </c>
      <c r="P216" s="195"/>
      <c r="Q216" s="195"/>
      <c r="R216" s="507" t="str">
        <f t="shared" si="19"/>
        <v/>
      </c>
      <c r="S216" s="521" t="str">
        <f t="shared" si="20"/>
        <v/>
      </c>
      <c r="T216" s="522" t="str">
        <f t="shared" si="18"/>
        <v/>
      </c>
      <c r="U216" s="537" t="str">
        <f>IF(D216="","",VLOOKUP(D216,'G-6 Hedgerow Data'!$B$3:$AG$15,31,FALSE))</f>
        <v/>
      </c>
      <c r="V216" s="520" t="str">
        <f t="shared" si="21"/>
        <v/>
      </c>
      <c r="W216" s="520" t="str">
        <f t="shared" si="22"/>
        <v/>
      </c>
      <c r="X216" s="524" t="str">
        <f>IF(F216="","",VLOOKUP(U216,'G-3 Multipliers'!$P$3:$Q$6,2,FALSE))</f>
        <v/>
      </c>
      <c r="Y216" s="529" t="str">
        <f t="shared" si="23"/>
        <v/>
      </c>
      <c r="Z216" s="149"/>
      <c r="AA216" s="150"/>
      <c r="AG216" s="31" t="str">
        <f>IFERROR(INDEX('G-6 Hedgerow Data'!$BJ$3:$BJ$15,MATCH(D216,'G-6 Hedgerow Data'!$B$3:$B$15,0)),"")</f>
        <v/>
      </c>
    </row>
    <row r="217" spans="2:33" ht="13.8" x14ac:dyDescent="0.25">
      <c r="B217" s="103">
        <v>206</v>
      </c>
      <c r="C217" s="268"/>
      <c r="D217" s="82"/>
      <c r="E217" s="203"/>
      <c r="F217" s="498" t="str">
        <f>IF(D217="","",VLOOKUP(D217,'G-6 Hedgerow Data'!$B$2:$AG$15,2,FALSE))</f>
        <v/>
      </c>
      <c r="G217" s="524" t="str">
        <f>IF(D217="","",VLOOKUP(D217,'G-6 Hedgerow Data'!$B$2:$AG$15,3,FALSE))</f>
        <v/>
      </c>
      <c r="H217" s="72"/>
      <c r="I217" s="499" t="str">
        <f>IFERROR(IF(AND(F217="V.Low",OR(H217="Good",H217="Moderate")),"Error ▲",VLOOKUP(H217,'G-1 All Habitats'!$Z$2:$AA$9,2,FALSE)),"")</f>
        <v/>
      </c>
      <c r="J217" s="146"/>
      <c r="K217" s="520" t="str">
        <f>IF(J217="","",IF(VLOOKUP(J217,'G-3 Multipliers'!$L$3:$N$6,2,FALSE)=0,"Spatial Data Missing",VLOOKUP(J217,'G-3 Multipliers'!$L$3:$N$6,2,FALSE)))</f>
        <v/>
      </c>
      <c r="L217" s="524" t="str">
        <f>IF(J217="","",IF(VLOOKUP(J217,'G-3 Multipliers'!$L$3:$N$6,3,FALSE)=0,"Spatial Data Missing",VLOOKUP(J217,'G-3 Multipliers'!$L$3:$N$6,3,FALSE)))</f>
        <v/>
      </c>
      <c r="M217" s="197"/>
      <c r="N217" s="499" t="str">
        <f>IF(M217="","",IF(VLOOKUP(M217,'G-3 Multipliers'!$S$3:$T$6,2,FALSE)=0,"Spatial Data Missing ⚠",VLOOKUP(M217,'G-3 Multipliers'!$S$3:$T$6,2,FALSE)))</f>
        <v/>
      </c>
      <c r="O217" s="498" t="str">
        <f>IF(OR(D217="",H217=""),"",(INDEX('G-6 Hedgerow Data'!$E$3:$I$15,MATCH(D217,'G-6 Hedgerow Data'!$B$3:$B$15,0),MATCH(H217,'G-6 Hedgerow Data'!$E$2:$I$2,0))))</f>
        <v/>
      </c>
      <c r="P217" s="195"/>
      <c r="Q217" s="195"/>
      <c r="R217" s="507" t="str">
        <f t="shared" si="19"/>
        <v/>
      </c>
      <c r="S217" s="521" t="str">
        <f t="shared" si="20"/>
        <v/>
      </c>
      <c r="T217" s="522" t="str">
        <f t="shared" si="18"/>
        <v/>
      </c>
      <c r="U217" s="537" t="str">
        <f>IF(D217="","",VLOOKUP(D217,'G-6 Hedgerow Data'!$B$3:$AG$15,31,FALSE))</f>
        <v/>
      </c>
      <c r="V217" s="520" t="str">
        <f t="shared" si="21"/>
        <v/>
      </c>
      <c r="W217" s="520" t="str">
        <f t="shared" si="22"/>
        <v/>
      </c>
      <c r="X217" s="524" t="str">
        <f>IF(F217="","",VLOOKUP(U217,'G-3 Multipliers'!$P$3:$Q$6,2,FALSE))</f>
        <v/>
      </c>
      <c r="Y217" s="529" t="str">
        <f t="shared" si="23"/>
        <v/>
      </c>
      <c r="Z217" s="149"/>
      <c r="AA217" s="150"/>
      <c r="AG217" s="31" t="str">
        <f>IFERROR(INDEX('G-6 Hedgerow Data'!$BJ$3:$BJ$15,MATCH(D217,'G-6 Hedgerow Data'!$B$3:$B$15,0)),"")</f>
        <v/>
      </c>
    </row>
    <row r="218" spans="2:33" ht="13.8" x14ac:dyDescent="0.25">
      <c r="B218" s="103">
        <v>207</v>
      </c>
      <c r="C218" s="268"/>
      <c r="D218" s="82"/>
      <c r="E218" s="203"/>
      <c r="F218" s="498" t="str">
        <f>IF(D218="","",VLOOKUP(D218,'G-6 Hedgerow Data'!$B$2:$AG$15,2,FALSE))</f>
        <v/>
      </c>
      <c r="G218" s="524" t="str">
        <f>IF(D218="","",VLOOKUP(D218,'G-6 Hedgerow Data'!$B$2:$AG$15,3,FALSE))</f>
        <v/>
      </c>
      <c r="H218" s="72"/>
      <c r="I218" s="499" t="str">
        <f>IFERROR(IF(AND(F218="V.Low",OR(H218="Good",H218="Moderate")),"Error ▲",VLOOKUP(H218,'G-1 All Habitats'!$Z$2:$AA$9,2,FALSE)),"")</f>
        <v/>
      </c>
      <c r="J218" s="146"/>
      <c r="K218" s="520" t="str">
        <f>IF(J218="","",IF(VLOOKUP(J218,'G-3 Multipliers'!$L$3:$N$6,2,FALSE)=0,"Spatial Data Missing",VLOOKUP(J218,'G-3 Multipliers'!$L$3:$N$6,2,FALSE)))</f>
        <v/>
      </c>
      <c r="L218" s="524" t="str">
        <f>IF(J218="","",IF(VLOOKUP(J218,'G-3 Multipliers'!$L$3:$N$6,3,FALSE)=0,"Spatial Data Missing",VLOOKUP(J218,'G-3 Multipliers'!$L$3:$N$6,3,FALSE)))</f>
        <v/>
      </c>
      <c r="M218" s="197"/>
      <c r="N218" s="499" t="str">
        <f>IF(M218="","",IF(VLOOKUP(M218,'G-3 Multipliers'!$S$3:$T$6,2,FALSE)=0,"Spatial Data Missing ⚠",VLOOKUP(M218,'G-3 Multipliers'!$S$3:$T$6,2,FALSE)))</f>
        <v/>
      </c>
      <c r="O218" s="498" t="str">
        <f>IF(OR(D218="",H218=""),"",(INDEX('G-6 Hedgerow Data'!$E$3:$I$15,MATCH(D218,'G-6 Hedgerow Data'!$B$3:$B$15,0),MATCH(H218,'G-6 Hedgerow Data'!$E$2:$I$2,0))))</f>
        <v/>
      </c>
      <c r="P218" s="195"/>
      <c r="Q218" s="195"/>
      <c r="R218" s="507" t="str">
        <f t="shared" si="19"/>
        <v/>
      </c>
      <c r="S218" s="521" t="str">
        <f t="shared" si="20"/>
        <v/>
      </c>
      <c r="T218" s="522" t="str">
        <f t="shared" si="18"/>
        <v/>
      </c>
      <c r="U218" s="537" t="str">
        <f>IF(D218="","",VLOOKUP(D218,'G-6 Hedgerow Data'!$B$3:$AG$15,31,FALSE))</f>
        <v/>
      </c>
      <c r="V218" s="520" t="str">
        <f t="shared" si="21"/>
        <v/>
      </c>
      <c r="W218" s="520" t="str">
        <f t="shared" si="22"/>
        <v/>
      </c>
      <c r="X218" s="524" t="str">
        <f>IF(F218="","",VLOOKUP(U218,'G-3 Multipliers'!$P$3:$Q$6,2,FALSE))</f>
        <v/>
      </c>
      <c r="Y218" s="529" t="str">
        <f t="shared" si="23"/>
        <v/>
      </c>
      <c r="Z218" s="149"/>
      <c r="AA218" s="150"/>
      <c r="AG218" s="31" t="str">
        <f>IFERROR(INDEX('G-6 Hedgerow Data'!$BJ$3:$BJ$15,MATCH(D218,'G-6 Hedgerow Data'!$B$3:$B$15,0)),"")</f>
        <v/>
      </c>
    </row>
    <row r="219" spans="2:33" ht="13.8" x14ac:dyDescent="0.25">
      <c r="B219" s="103">
        <v>208</v>
      </c>
      <c r="C219" s="268"/>
      <c r="D219" s="82"/>
      <c r="E219" s="203"/>
      <c r="F219" s="498" t="str">
        <f>IF(D219="","",VLOOKUP(D219,'G-6 Hedgerow Data'!$B$2:$AG$15,2,FALSE))</f>
        <v/>
      </c>
      <c r="G219" s="524" t="str">
        <f>IF(D219="","",VLOOKUP(D219,'G-6 Hedgerow Data'!$B$2:$AG$15,3,FALSE))</f>
        <v/>
      </c>
      <c r="H219" s="72"/>
      <c r="I219" s="499" t="str">
        <f>IFERROR(IF(AND(F219="V.Low",OR(H219="Good",H219="Moderate")),"Error ▲",VLOOKUP(H219,'G-1 All Habitats'!$Z$2:$AA$9,2,FALSE)),"")</f>
        <v/>
      </c>
      <c r="J219" s="146"/>
      <c r="K219" s="520" t="str">
        <f>IF(J219="","",IF(VLOOKUP(J219,'G-3 Multipliers'!$L$3:$N$6,2,FALSE)=0,"Spatial Data Missing",VLOOKUP(J219,'G-3 Multipliers'!$L$3:$N$6,2,FALSE)))</f>
        <v/>
      </c>
      <c r="L219" s="524" t="str">
        <f>IF(J219="","",IF(VLOOKUP(J219,'G-3 Multipliers'!$L$3:$N$6,3,FALSE)=0,"Spatial Data Missing",VLOOKUP(J219,'G-3 Multipliers'!$L$3:$N$6,3,FALSE)))</f>
        <v/>
      </c>
      <c r="M219" s="197"/>
      <c r="N219" s="499" t="str">
        <f>IF(M219="","",IF(VLOOKUP(M219,'G-3 Multipliers'!$S$3:$T$6,2,FALSE)=0,"Spatial Data Missing ⚠",VLOOKUP(M219,'G-3 Multipliers'!$S$3:$T$6,2,FALSE)))</f>
        <v/>
      </c>
      <c r="O219" s="498" t="str">
        <f>IF(OR(D219="",H219=""),"",(INDEX('G-6 Hedgerow Data'!$E$3:$I$15,MATCH(D219,'G-6 Hedgerow Data'!$B$3:$B$15,0),MATCH(H219,'G-6 Hedgerow Data'!$E$2:$I$2,0))))</f>
        <v/>
      </c>
      <c r="P219" s="195"/>
      <c r="Q219" s="195"/>
      <c r="R219" s="507" t="str">
        <f t="shared" si="19"/>
        <v/>
      </c>
      <c r="S219" s="521" t="str">
        <f t="shared" si="20"/>
        <v/>
      </c>
      <c r="T219" s="522" t="str">
        <f t="shared" si="18"/>
        <v/>
      </c>
      <c r="U219" s="537" t="str">
        <f>IF(D219="","",VLOOKUP(D219,'G-6 Hedgerow Data'!$B$3:$AG$15,31,FALSE))</f>
        <v/>
      </c>
      <c r="V219" s="520" t="str">
        <f t="shared" si="21"/>
        <v/>
      </c>
      <c r="W219" s="520" t="str">
        <f t="shared" si="22"/>
        <v/>
      </c>
      <c r="X219" s="524" t="str">
        <f>IF(F219="","",VLOOKUP(U219,'G-3 Multipliers'!$P$3:$Q$6,2,FALSE))</f>
        <v/>
      </c>
      <c r="Y219" s="529" t="str">
        <f t="shared" si="23"/>
        <v/>
      </c>
      <c r="Z219" s="149"/>
      <c r="AA219" s="150"/>
      <c r="AG219" s="31" t="str">
        <f>IFERROR(INDEX('G-6 Hedgerow Data'!$BJ$3:$BJ$15,MATCH(D219,'G-6 Hedgerow Data'!$B$3:$B$15,0)),"")</f>
        <v/>
      </c>
    </row>
    <row r="220" spans="2:33" ht="13.8" x14ac:dyDescent="0.25">
      <c r="B220" s="103">
        <v>209</v>
      </c>
      <c r="C220" s="268"/>
      <c r="D220" s="82"/>
      <c r="E220" s="203"/>
      <c r="F220" s="498" t="str">
        <f>IF(D220="","",VLOOKUP(D220,'G-6 Hedgerow Data'!$B$2:$AG$15,2,FALSE))</f>
        <v/>
      </c>
      <c r="G220" s="524" t="str">
        <f>IF(D220="","",VLOOKUP(D220,'G-6 Hedgerow Data'!$B$2:$AG$15,3,FALSE))</f>
        <v/>
      </c>
      <c r="H220" s="72"/>
      <c r="I220" s="499" t="str">
        <f>IFERROR(IF(AND(F220="V.Low",OR(H220="Good",H220="Moderate")),"Error ▲",VLOOKUP(H220,'G-1 All Habitats'!$Z$2:$AA$9,2,FALSE)),"")</f>
        <v/>
      </c>
      <c r="J220" s="146"/>
      <c r="K220" s="520" t="str">
        <f>IF(J220="","",IF(VLOOKUP(J220,'G-3 Multipliers'!$L$3:$N$6,2,FALSE)=0,"Spatial Data Missing",VLOOKUP(J220,'G-3 Multipliers'!$L$3:$N$6,2,FALSE)))</f>
        <v/>
      </c>
      <c r="L220" s="524" t="str">
        <f>IF(J220="","",IF(VLOOKUP(J220,'G-3 Multipliers'!$L$3:$N$6,3,FALSE)=0,"Spatial Data Missing",VLOOKUP(J220,'G-3 Multipliers'!$L$3:$N$6,3,FALSE)))</f>
        <v/>
      </c>
      <c r="M220" s="197"/>
      <c r="N220" s="499" t="str">
        <f>IF(M220="","",IF(VLOOKUP(M220,'G-3 Multipliers'!$S$3:$T$6,2,FALSE)=0,"Spatial Data Missing ⚠",VLOOKUP(M220,'G-3 Multipliers'!$S$3:$T$6,2,FALSE)))</f>
        <v/>
      </c>
      <c r="O220" s="498" t="str">
        <f>IF(OR(D220="",H220=""),"",(INDEX('G-6 Hedgerow Data'!$E$3:$I$15,MATCH(D220,'G-6 Hedgerow Data'!$B$3:$B$15,0),MATCH(H220,'G-6 Hedgerow Data'!$E$2:$I$2,0))))</f>
        <v/>
      </c>
      <c r="P220" s="195"/>
      <c r="Q220" s="195"/>
      <c r="R220" s="507" t="str">
        <f t="shared" si="19"/>
        <v/>
      </c>
      <c r="S220" s="521" t="str">
        <f t="shared" si="20"/>
        <v/>
      </c>
      <c r="T220" s="522" t="str">
        <f t="shared" si="18"/>
        <v/>
      </c>
      <c r="U220" s="537" t="str">
        <f>IF(D220="","",VLOOKUP(D220,'G-6 Hedgerow Data'!$B$3:$AG$15,31,FALSE))</f>
        <v/>
      </c>
      <c r="V220" s="520" t="str">
        <f t="shared" si="21"/>
        <v/>
      </c>
      <c r="W220" s="520" t="str">
        <f t="shared" si="22"/>
        <v/>
      </c>
      <c r="X220" s="524" t="str">
        <f>IF(F220="","",VLOOKUP(U220,'G-3 Multipliers'!$P$3:$Q$6,2,FALSE))</f>
        <v/>
      </c>
      <c r="Y220" s="529" t="str">
        <f t="shared" si="23"/>
        <v/>
      </c>
      <c r="Z220" s="149"/>
      <c r="AA220" s="150"/>
      <c r="AG220" s="31" t="str">
        <f>IFERROR(INDEX('G-6 Hedgerow Data'!$BJ$3:$BJ$15,MATCH(D220,'G-6 Hedgerow Data'!$B$3:$B$15,0)),"")</f>
        <v/>
      </c>
    </row>
    <row r="221" spans="2:33" ht="13.8" x14ac:dyDescent="0.25">
      <c r="B221" s="103">
        <v>210</v>
      </c>
      <c r="C221" s="268"/>
      <c r="D221" s="82"/>
      <c r="E221" s="203"/>
      <c r="F221" s="498" t="str">
        <f>IF(D221="","",VLOOKUP(D221,'G-6 Hedgerow Data'!$B$2:$AG$15,2,FALSE))</f>
        <v/>
      </c>
      <c r="G221" s="524" t="str">
        <f>IF(D221="","",VLOOKUP(D221,'G-6 Hedgerow Data'!$B$2:$AG$15,3,FALSE))</f>
        <v/>
      </c>
      <c r="H221" s="72"/>
      <c r="I221" s="499" t="str">
        <f>IFERROR(IF(AND(F221="V.Low",OR(H221="Good",H221="Moderate")),"Error ▲",VLOOKUP(H221,'G-1 All Habitats'!$Z$2:$AA$9,2,FALSE)),"")</f>
        <v/>
      </c>
      <c r="J221" s="146"/>
      <c r="K221" s="520" t="str">
        <f>IF(J221="","",IF(VLOOKUP(J221,'G-3 Multipliers'!$L$3:$N$6,2,FALSE)=0,"Spatial Data Missing",VLOOKUP(J221,'G-3 Multipliers'!$L$3:$N$6,2,FALSE)))</f>
        <v/>
      </c>
      <c r="L221" s="524" t="str">
        <f>IF(J221="","",IF(VLOOKUP(J221,'G-3 Multipliers'!$L$3:$N$6,3,FALSE)=0,"Spatial Data Missing",VLOOKUP(J221,'G-3 Multipliers'!$L$3:$N$6,3,FALSE)))</f>
        <v/>
      </c>
      <c r="M221" s="197"/>
      <c r="N221" s="499" t="str">
        <f>IF(M221="","",IF(VLOOKUP(M221,'G-3 Multipliers'!$S$3:$T$6,2,FALSE)=0,"Spatial Data Missing ⚠",VLOOKUP(M221,'G-3 Multipliers'!$S$3:$T$6,2,FALSE)))</f>
        <v/>
      </c>
      <c r="O221" s="498" t="str">
        <f>IF(OR(D221="",H221=""),"",(INDEX('G-6 Hedgerow Data'!$E$3:$I$15,MATCH(D221,'G-6 Hedgerow Data'!$B$3:$B$15,0),MATCH(H221,'G-6 Hedgerow Data'!$E$2:$I$2,0))))</f>
        <v/>
      </c>
      <c r="P221" s="195"/>
      <c r="Q221" s="195"/>
      <c r="R221" s="507" t="str">
        <f t="shared" si="19"/>
        <v/>
      </c>
      <c r="S221" s="521" t="str">
        <f t="shared" si="20"/>
        <v/>
      </c>
      <c r="T221" s="522" t="str">
        <f t="shared" si="18"/>
        <v/>
      </c>
      <c r="U221" s="537" t="str">
        <f>IF(D221="","",VLOOKUP(D221,'G-6 Hedgerow Data'!$B$3:$AG$15,31,FALSE))</f>
        <v/>
      </c>
      <c r="V221" s="520" t="str">
        <f t="shared" si="21"/>
        <v/>
      </c>
      <c r="W221" s="520" t="str">
        <f t="shared" si="22"/>
        <v/>
      </c>
      <c r="X221" s="524" t="str">
        <f>IF(F221="","",VLOOKUP(U221,'G-3 Multipliers'!$P$3:$Q$6,2,FALSE))</f>
        <v/>
      </c>
      <c r="Y221" s="529" t="str">
        <f t="shared" si="23"/>
        <v/>
      </c>
      <c r="Z221" s="149"/>
      <c r="AA221" s="150"/>
      <c r="AG221" s="31" t="str">
        <f>IFERROR(INDEX('G-6 Hedgerow Data'!$BJ$3:$BJ$15,MATCH(D221,'G-6 Hedgerow Data'!$B$3:$B$15,0)),"")</f>
        <v/>
      </c>
    </row>
    <row r="222" spans="2:33" ht="13.8" x14ac:dyDescent="0.25">
      <c r="B222" s="103">
        <v>211</v>
      </c>
      <c r="C222" s="268"/>
      <c r="D222" s="82"/>
      <c r="E222" s="203"/>
      <c r="F222" s="498" t="str">
        <f>IF(D222="","",VLOOKUP(D222,'G-6 Hedgerow Data'!$B$2:$AG$15,2,FALSE))</f>
        <v/>
      </c>
      <c r="G222" s="524" t="str">
        <f>IF(D222="","",VLOOKUP(D222,'G-6 Hedgerow Data'!$B$2:$AG$15,3,FALSE))</f>
        <v/>
      </c>
      <c r="H222" s="72"/>
      <c r="I222" s="499" t="str">
        <f>IFERROR(IF(AND(F222="V.Low",OR(H222="Good",H222="Moderate")),"Error ▲",VLOOKUP(H222,'G-1 All Habitats'!$Z$2:$AA$9,2,FALSE)),"")</f>
        <v/>
      </c>
      <c r="J222" s="146"/>
      <c r="K222" s="520" t="str">
        <f>IF(J222="","",IF(VLOOKUP(J222,'G-3 Multipliers'!$L$3:$N$6,2,FALSE)=0,"Spatial Data Missing",VLOOKUP(J222,'G-3 Multipliers'!$L$3:$N$6,2,FALSE)))</f>
        <v/>
      </c>
      <c r="L222" s="524" t="str">
        <f>IF(J222="","",IF(VLOOKUP(J222,'G-3 Multipliers'!$L$3:$N$6,3,FALSE)=0,"Spatial Data Missing",VLOOKUP(J222,'G-3 Multipliers'!$L$3:$N$6,3,FALSE)))</f>
        <v/>
      </c>
      <c r="M222" s="197"/>
      <c r="N222" s="499" t="str">
        <f>IF(M222="","",IF(VLOOKUP(M222,'G-3 Multipliers'!$S$3:$T$6,2,FALSE)=0,"Spatial Data Missing ⚠",VLOOKUP(M222,'G-3 Multipliers'!$S$3:$T$6,2,FALSE)))</f>
        <v/>
      </c>
      <c r="O222" s="498" t="str">
        <f>IF(OR(D222="",H222=""),"",(INDEX('G-6 Hedgerow Data'!$E$3:$I$15,MATCH(D222,'G-6 Hedgerow Data'!$B$3:$B$15,0),MATCH(H222,'G-6 Hedgerow Data'!$E$2:$I$2,0))))</f>
        <v/>
      </c>
      <c r="P222" s="195"/>
      <c r="Q222" s="195"/>
      <c r="R222" s="507" t="str">
        <f t="shared" si="19"/>
        <v/>
      </c>
      <c r="S222" s="521" t="str">
        <f t="shared" si="20"/>
        <v/>
      </c>
      <c r="T222" s="522" t="str">
        <f t="shared" si="18"/>
        <v/>
      </c>
      <c r="U222" s="537" t="str">
        <f>IF(D222="","",VLOOKUP(D222,'G-6 Hedgerow Data'!$B$3:$AG$15,31,FALSE))</f>
        <v/>
      </c>
      <c r="V222" s="520" t="str">
        <f t="shared" si="21"/>
        <v/>
      </c>
      <c r="W222" s="520" t="str">
        <f t="shared" si="22"/>
        <v/>
      </c>
      <c r="X222" s="524" t="str">
        <f>IF(F222="","",VLOOKUP(U222,'G-3 Multipliers'!$P$3:$Q$6,2,FALSE))</f>
        <v/>
      </c>
      <c r="Y222" s="529" t="str">
        <f t="shared" si="23"/>
        <v/>
      </c>
      <c r="Z222" s="149"/>
      <c r="AA222" s="150"/>
      <c r="AG222" s="31" t="str">
        <f>IFERROR(INDEX('G-6 Hedgerow Data'!$BJ$3:$BJ$15,MATCH(D222,'G-6 Hedgerow Data'!$B$3:$B$15,0)),"")</f>
        <v/>
      </c>
    </row>
    <row r="223" spans="2:33" ht="13.8" x14ac:dyDescent="0.25">
      <c r="B223" s="103">
        <v>212</v>
      </c>
      <c r="C223" s="268"/>
      <c r="D223" s="82"/>
      <c r="E223" s="203"/>
      <c r="F223" s="498" t="str">
        <f>IF(D223="","",VLOOKUP(D223,'G-6 Hedgerow Data'!$B$2:$AG$15,2,FALSE))</f>
        <v/>
      </c>
      <c r="G223" s="524" t="str">
        <f>IF(D223="","",VLOOKUP(D223,'G-6 Hedgerow Data'!$B$2:$AG$15,3,FALSE))</f>
        <v/>
      </c>
      <c r="H223" s="72"/>
      <c r="I223" s="499" t="str">
        <f>IFERROR(IF(AND(F223="V.Low",OR(H223="Good",H223="Moderate")),"Error ▲",VLOOKUP(H223,'G-1 All Habitats'!$Z$2:$AA$9,2,FALSE)),"")</f>
        <v/>
      </c>
      <c r="J223" s="146"/>
      <c r="K223" s="520" t="str">
        <f>IF(J223="","",IF(VLOOKUP(J223,'G-3 Multipliers'!$L$3:$N$6,2,FALSE)=0,"Spatial Data Missing",VLOOKUP(J223,'G-3 Multipliers'!$L$3:$N$6,2,FALSE)))</f>
        <v/>
      </c>
      <c r="L223" s="524" t="str">
        <f>IF(J223="","",IF(VLOOKUP(J223,'G-3 Multipliers'!$L$3:$N$6,3,FALSE)=0,"Spatial Data Missing",VLOOKUP(J223,'G-3 Multipliers'!$L$3:$N$6,3,FALSE)))</f>
        <v/>
      </c>
      <c r="M223" s="197"/>
      <c r="N223" s="499" t="str">
        <f>IF(M223="","",IF(VLOOKUP(M223,'G-3 Multipliers'!$S$3:$T$6,2,FALSE)=0,"Spatial Data Missing ⚠",VLOOKUP(M223,'G-3 Multipliers'!$S$3:$T$6,2,FALSE)))</f>
        <v/>
      </c>
      <c r="O223" s="498" t="str">
        <f>IF(OR(D223="",H223=""),"",(INDEX('G-6 Hedgerow Data'!$E$3:$I$15,MATCH(D223,'G-6 Hedgerow Data'!$B$3:$B$15,0),MATCH(H223,'G-6 Hedgerow Data'!$E$2:$I$2,0))))</f>
        <v/>
      </c>
      <c r="P223" s="195"/>
      <c r="Q223" s="195"/>
      <c r="R223" s="507" t="str">
        <f t="shared" si="19"/>
        <v/>
      </c>
      <c r="S223" s="521" t="str">
        <f t="shared" si="20"/>
        <v/>
      </c>
      <c r="T223" s="522" t="str">
        <f t="shared" si="18"/>
        <v/>
      </c>
      <c r="U223" s="537" t="str">
        <f>IF(D223="","",VLOOKUP(D223,'G-6 Hedgerow Data'!$B$3:$AG$15,31,FALSE))</f>
        <v/>
      </c>
      <c r="V223" s="520" t="str">
        <f t="shared" si="21"/>
        <v/>
      </c>
      <c r="W223" s="520" t="str">
        <f t="shared" si="22"/>
        <v/>
      </c>
      <c r="X223" s="524" t="str">
        <f>IF(F223="","",VLOOKUP(U223,'G-3 Multipliers'!$P$3:$Q$6,2,FALSE))</f>
        <v/>
      </c>
      <c r="Y223" s="529" t="str">
        <f t="shared" si="23"/>
        <v/>
      </c>
      <c r="Z223" s="149"/>
      <c r="AA223" s="150"/>
      <c r="AG223" s="31" t="str">
        <f>IFERROR(INDEX('G-6 Hedgerow Data'!$BJ$3:$BJ$15,MATCH(D223,'G-6 Hedgerow Data'!$B$3:$B$15,0)),"")</f>
        <v/>
      </c>
    </row>
    <row r="224" spans="2:33" ht="13.8" x14ac:dyDescent="0.25">
      <c r="B224" s="103">
        <v>213</v>
      </c>
      <c r="C224" s="268"/>
      <c r="D224" s="82"/>
      <c r="E224" s="203"/>
      <c r="F224" s="498" t="str">
        <f>IF(D224="","",VLOOKUP(D224,'G-6 Hedgerow Data'!$B$2:$AG$15,2,FALSE))</f>
        <v/>
      </c>
      <c r="G224" s="524" t="str">
        <f>IF(D224="","",VLOOKUP(D224,'G-6 Hedgerow Data'!$B$2:$AG$15,3,FALSE))</f>
        <v/>
      </c>
      <c r="H224" s="72"/>
      <c r="I224" s="499" t="str">
        <f>IFERROR(IF(AND(F224="V.Low",OR(H224="Good",H224="Moderate")),"Error ▲",VLOOKUP(H224,'G-1 All Habitats'!$Z$2:$AA$9,2,FALSE)),"")</f>
        <v/>
      </c>
      <c r="J224" s="146"/>
      <c r="K224" s="520" t="str">
        <f>IF(J224="","",IF(VLOOKUP(J224,'G-3 Multipliers'!$L$3:$N$6,2,FALSE)=0,"Spatial Data Missing",VLOOKUP(J224,'G-3 Multipliers'!$L$3:$N$6,2,FALSE)))</f>
        <v/>
      </c>
      <c r="L224" s="524" t="str">
        <f>IF(J224="","",IF(VLOOKUP(J224,'G-3 Multipliers'!$L$3:$N$6,3,FALSE)=0,"Spatial Data Missing",VLOOKUP(J224,'G-3 Multipliers'!$L$3:$N$6,3,FALSE)))</f>
        <v/>
      </c>
      <c r="M224" s="197"/>
      <c r="N224" s="499" t="str">
        <f>IF(M224="","",IF(VLOOKUP(M224,'G-3 Multipliers'!$S$3:$T$6,2,FALSE)=0,"Spatial Data Missing ⚠",VLOOKUP(M224,'G-3 Multipliers'!$S$3:$T$6,2,FALSE)))</f>
        <v/>
      </c>
      <c r="O224" s="498" t="str">
        <f>IF(OR(D224="",H224=""),"",(INDEX('G-6 Hedgerow Data'!$E$3:$I$15,MATCH(D224,'G-6 Hedgerow Data'!$B$3:$B$15,0),MATCH(H224,'G-6 Hedgerow Data'!$E$2:$I$2,0))))</f>
        <v/>
      </c>
      <c r="P224" s="195"/>
      <c r="Q224" s="195"/>
      <c r="R224" s="507" t="str">
        <f t="shared" si="19"/>
        <v/>
      </c>
      <c r="S224" s="521" t="str">
        <f t="shared" si="20"/>
        <v/>
      </c>
      <c r="T224" s="522" t="str">
        <f t="shared" si="18"/>
        <v/>
      </c>
      <c r="U224" s="537" t="str">
        <f>IF(D224="","",VLOOKUP(D224,'G-6 Hedgerow Data'!$B$3:$AG$15,31,FALSE))</f>
        <v/>
      </c>
      <c r="V224" s="520" t="str">
        <f t="shared" si="21"/>
        <v/>
      </c>
      <c r="W224" s="520" t="str">
        <f t="shared" si="22"/>
        <v/>
      </c>
      <c r="X224" s="524" t="str">
        <f>IF(F224="","",VLOOKUP(U224,'G-3 Multipliers'!$P$3:$Q$6,2,FALSE))</f>
        <v/>
      </c>
      <c r="Y224" s="529" t="str">
        <f t="shared" si="23"/>
        <v/>
      </c>
      <c r="Z224" s="149"/>
      <c r="AA224" s="150"/>
      <c r="AG224" s="31" t="str">
        <f>IFERROR(INDEX('G-6 Hedgerow Data'!$BJ$3:$BJ$15,MATCH(D224,'G-6 Hedgerow Data'!$B$3:$B$15,0)),"")</f>
        <v/>
      </c>
    </row>
    <row r="225" spans="2:33" ht="13.8" x14ac:dyDescent="0.25">
      <c r="B225" s="103">
        <v>214</v>
      </c>
      <c r="C225" s="268"/>
      <c r="D225" s="82"/>
      <c r="E225" s="203"/>
      <c r="F225" s="498" t="str">
        <f>IF(D225="","",VLOOKUP(D225,'G-6 Hedgerow Data'!$B$2:$AG$15,2,FALSE))</f>
        <v/>
      </c>
      <c r="G225" s="524" t="str">
        <f>IF(D225="","",VLOOKUP(D225,'G-6 Hedgerow Data'!$B$2:$AG$15,3,FALSE))</f>
        <v/>
      </c>
      <c r="H225" s="72"/>
      <c r="I225" s="499" t="str">
        <f>IFERROR(IF(AND(F225="V.Low",OR(H225="Good",H225="Moderate")),"Error ▲",VLOOKUP(H225,'G-1 All Habitats'!$Z$2:$AA$9,2,FALSE)),"")</f>
        <v/>
      </c>
      <c r="J225" s="146"/>
      <c r="K225" s="520" t="str">
        <f>IF(J225="","",IF(VLOOKUP(J225,'G-3 Multipliers'!$L$3:$N$6,2,FALSE)=0,"Spatial Data Missing",VLOOKUP(J225,'G-3 Multipliers'!$L$3:$N$6,2,FALSE)))</f>
        <v/>
      </c>
      <c r="L225" s="524" t="str">
        <f>IF(J225="","",IF(VLOOKUP(J225,'G-3 Multipliers'!$L$3:$N$6,3,FALSE)=0,"Spatial Data Missing",VLOOKUP(J225,'G-3 Multipliers'!$L$3:$N$6,3,FALSE)))</f>
        <v/>
      </c>
      <c r="M225" s="197"/>
      <c r="N225" s="499" t="str">
        <f>IF(M225="","",IF(VLOOKUP(M225,'G-3 Multipliers'!$S$3:$T$6,2,FALSE)=0,"Spatial Data Missing ⚠",VLOOKUP(M225,'G-3 Multipliers'!$S$3:$T$6,2,FALSE)))</f>
        <v/>
      </c>
      <c r="O225" s="498" t="str">
        <f>IF(OR(D225="",H225=""),"",(INDEX('G-6 Hedgerow Data'!$E$3:$I$15,MATCH(D225,'G-6 Hedgerow Data'!$B$3:$B$15,0),MATCH(H225,'G-6 Hedgerow Data'!$E$2:$I$2,0))))</f>
        <v/>
      </c>
      <c r="P225" s="195"/>
      <c r="Q225" s="195"/>
      <c r="R225" s="507" t="str">
        <f t="shared" si="19"/>
        <v/>
      </c>
      <c r="S225" s="521" t="str">
        <f t="shared" si="20"/>
        <v/>
      </c>
      <c r="T225" s="522" t="str">
        <f t="shared" si="18"/>
        <v/>
      </c>
      <c r="U225" s="537" t="str">
        <f>IF(D225="","",VLOOKUP(D225,'G-6 Hedgerow Data'!$B$3:$AG$15,31,FALSE))</f>
        <v/>
      </c>
      <c r="V225" s="520" t="str">
        <f t="shared" si="21"/>
        <v/>
      </c>
      <c r="W225" s="520" t="str">
        <f t="shared" si="22"/>
        <v/>
      </c>
      <c r="X225" s="524" t="str">
        <f>IF(F225="","",VLOOKUP(U225,'G-3 Multipliers'!$P$3:$Q$6,2,FALSE))</f>
        <v/>
      </c>
      <c r="Y225" s="529" t="str">
        <f t="shared" si="23"/>
        <v/>
      </c>
      <c r="Z225" s="149"/>
      <c r="AA225" s="150"/>
      <c r="AG225" s="31" t="str">
        <f>IFERROR(INDEX('G-6 Hedgerow Data'!$BJ$3:$BJ$15,MATCH(D225,'G-6 Hedgerow Data'!$B$3:$B$15,0)),"")</f>
        <v/>
      </c>
    </row>
    <row r="226" spans="2:33" ht="13.8" x14ac:dyDescent="0.25">
      <c r="B226" s="103">
        <v>215</v>
      </c>
      <c r="C226" s="268"/>
      <c r="D226" s="82"/>
      <c r="E226" s="203"/>
      <c r="F226" s="498" t="str">
        <f>IF(D226="","",VLOOKUP(D226,'G-6 Hedgerow Data'!$B$2:$AG$15,2,FALSE))</f>
        <v/>
      </c>
      <c r="G226" s="524" t="str">
        <f>IF(D226="","",VLOOKUP(D226,'G-6 Hedgerow Data'!$B$2:$AG$15,3,FALSE))</f>
        <v/>
      </c>
      <c r="H226" s="72"/>
      <c r="I226" s="499" t="str">
        <f>IFERROR(IF(AND(F226="V.Low",OR(H226="Good",H226="Moderate")),"Error ▲",VLOOKUP(H226,'G-1 All Habitats'!$Z$2:$AA$9,2,FALSE)),"")</f>
        <v/>
      </c>
      <c r="J226" s="146"/>
      <c r="K226" s="520" t="str">
        <f>IF(J226="","",IF(VLOOKUP(J226,'G-3 Multipliers'!$L$3:$N$6,2,FALSE)=0,"Spatial Data Missing",VLOOKUP(J226,'G-3 Multipliers'!$L$3:$N$6,2,FALSE)))</f>
        <v/>
      </c>
      <c r="L226" s="524" t="str">
        <f>IF(J226="","",IF(VLOOKUP(J226,'G-3 Multipliers'!$L$3:$N$6,3,FALSE)=0,"Spatial Data Missing",VLOOKUP(J226,'G-3 Multipliers'!$L$3:$N$6,3,FALSE)))</f>
        <v/>
      </c>
      <c r="M226" s="197"/>
      <c r="N226" s="499" t="str">
        <f>IF(M226="","",IF(VLOOKUP(M226,'G-3 Multipliers'!$S$3:$T$6,2,FALSE)=0,"Spatial Data Missing ⚠",VLOOKUP(M226,'G-3 Multipliers'!$S$3:$T$6,2,FALSE)))</f>
        <v/>
      </c>
      <c r="O226" s="498" t="str">
        <f>IF(OR(D226="",H226=""),"",(INDEX('G-6 Hedgerow Data'!$E$3:$I$15,MATCH(D226,'G-6 Hedgerow Data'!$B$3:$B$15,0),MATCH(H226,'G-6 Hedgerow Data'!$E$2:$I$2,0))))</f>
        <v/>
      </c>
      <c r="P226" s="195"/>
      <c r="Q226" s="195"/>
      <c r="R226" s="507" t="str">
        <f t="shared" si="19"/>
        <v/>
      </c>
      <c r="S226" s="521" t="str">
        <f t="shared" si="20"/>
        <v/>
      </c>
      <c r="T226" s="522" t="str">
        <f t="shared" si="18"/>
        <v/>
      </c>
      <c r="U226" s="537" t="str">
        <f>IF(D226="","",VLOOKUP(D226,'G-6 Hedgerow Data'!$B$3:$AG$15,31,FALSE))</f>
        <v/>
      </c>
      <c r="V226" s="520" t="str">
        <f t="shared" si="21"/>
        <v/>
      </c>
      <c r="W226" s="520" t="str">
        <f t="shared" si="22"/>
        <v/>
      </c>
      <c r="X226" s="524" t="str">
        <f>IF(F226="","",VLOOKUP(U226,'G-3 Multipliers'!$P$3:$Q$6,2,FALSE))</f>
        <v/>
      </c>
      <c r="Y226" s="529" t="str">
        <f t="shared" si="23"/>
        <v/>
      </c>
      <c r="Z226" s="149"/>
      <c r="AA226" s="150"/>
      <c r="AG226" s="31" t="str">
        <f>IFERROR(INDEX('G-6 Hedgerow Data'!$BJ$3:$BJ$15,MATCH(D226,'G-6 Hedgerow Data'!$B$3:$B$15,0)),"")</f>
        <v/>
      </c>
    </row>
    <row r="227" spans="2:33" ht="13.8" x14ac:dyDescent="0.25">
      <c r="B227" s="103">
        <v>216</v>
      </c>
      <c r="C227" s="268"/>
      <c r="D227" s="82"/>
      <c r="E227" s="203"/>
      <c r="F227" s="498" t="str">
        <f>IF(D227="","",VLOOKUP(D227,'G-6 Hedgerow Data'!$B$2:$AG$15,2,FALSE))</f>
        <v/>
      </c>
      <c r="G227" s="524" t="str">
        <f>IF(D227="","",VLOOKUP(D227,'G-6 Hedgerow Data'!$B$2:$AG$15,3,FALSE))</f>
        <v/>
      </c>
      <c r="H227" s="72"/>
      <c r="I227" s="499" t="str">
        <f>IFERROR(IF(AND(F227="V.Low",OR(H227="Good",H227="Moderate")),"Error ▲",VLOOKUP(H227,'G-1 All Habitats'!$Z$2:$AA$9,2,FALSE)),"")</f>
        <v/>
      </c>
      <c r="J227" s="146"/>
      <c r="K227" s="520" t="str">
        <f>IF(J227="","",IF(VLOOKUP(J227,'G-3 Multipliers'!$L$3:$N$6,2,FALSE)=0,"Spatial Data Missing",VLOOKUP(J227,'G-3 Multipliers'!$L$3:$N$6,2,FALSE)))</f>
        <v/>
      </c>
      <c r="L227" s="524" t="str">
        <f>IF(J227="","",IF(VLOOKUP(J227,'G-3 Multipliers'!$L$3:$N$6,3,FALSE)=0,"Spatial Data Missing",VLOOKUP(J227,'G-3 Multipliers'!$L$3:$N$6,3,FALSE)))</f>
        <v/>
      </c>
      <c r="M227" s="197"/>
      <c r="N227" s="499" t="str">
        <f>IF(M227="","",IF(VLOOKUP(M227,'G-3 Multipliers'!$S$3:$T$6,2,FALSE)=0,"Spatial Data Missing ⚠",VLOOKUP(M227,'G-3 Multipliers'!$S$3:$T$6,2,FALSE)))</f>
        <v/>
      </c>
      <c r="O227" s="498" t="str">
        <f>IF(OR(D227="",H227=""),"",(INDEX('G-6 Hedgerow Data'!$E$3:$I$15,MATCH(D227,'G-6 Hedgerow Data'!$B$3:$B$15,0),MATCH(H227,'G-6 Hedgerow Data'!$E$2:$I$2,0))))</f>
        <v/>
      </c>
      <c r="P227" s="195"/>
      <c r="Q227" s="195"/>
      <c r="R227" s="507" t="str">
        <f t="shared" si="19"/>
        <v/>
      </c>
      <c r="S227" s="521" t="str">
        <f t="shared" si="20"/>
        <v/>
      </c>
      <c r="T227" s="522" t="str">
        <f t="shared" si="18"/>
        <v/>
      </c>
      <c r="U227" s="537" t="str">
        <f>IF(D227="","",VLOOKUP(D227,'G-6 Hedgerow Data'!$B$3:$AG$15,31,FALSE))</f>
        <v/>
      </c>
      <c r="V227" s="520" t="str">
        <f t="shared" si="21"/>
        <v/>
      </c>
      <c r="W227" s="520" t="str">
        <f t="shared" si="22"/>
        <v/>
      </c>
      <c r="X227" s="524" t="str">
        <f>IF(F227="","",VLOOKUP(U227,'G-3 Multipliers'!$P$3:$Q$6,2,FALSE))</f>
        <v/>
      </c>
      <c r="Y227" s="529" t="str">
        <f t="shared" si="23"/>
        <v/>
      </c>
      <c r="Z227" s="149"/>
      <c r="AA227" s="150"/>
      <c r="AG227" s="31" t="str">
        <f>IFERROR(INDEX('G-6 Hedgerow Data'!$BJ$3:$BJ$15,MATCH(D227,'G-6 Hedgerow Data'!$B$3:$B$15,0)),"")</f>
        <v/>
      </c>
    </row>
    <row r="228" spans="2:33" ht="13.8" x14ac:dyDescent="0.25">
      <c r="B228" s="103">
        <v>217</v>
      </c>
      <c r="C228" s="268"/>
      <c r="D228" s="82"/>
      <c r="E228" s="203"/>
      <c r="F228" s="498" t="str">
        <f>IF(D228="","",VLOOKUP(D228,'G-6 Hedgerow Data'!$B$2:$AG$15,2,FALSE))</f>
        <v/>
      </c>
      <c r="G228" s="524" t="str">
        <f>IF(D228="","",VLOOKUP(D228,'G-6 Hedgerow Data'!$B$2:$AG$15,3,FALSE))</f>
        <v/>
      </c>
      <c r="H228" s="72"/>
      <c r="I228" s="499" t="str">
        <f>IFERROR(IF(AND(F228="V.Low",OR(H228="Good",H228="Moderate")),"Error ▲",VLOOKUP(H228,'G-1 All Habitats'!$Z$2:$AA$9,2,FALSE)),"")</f>
        <v/>
      </c>
      <c r="J228" s="146"/>
      <c r="K228" s="520" t="str">
        <f>IF(J228="","",IF(VLOOKUP(J228,'G-3 Multipliers'!$L$3:$N$6,2,FALSE)=0,"Spatial Data Missing",VLOOKUP(J228,'G-3 Multipliers'!$L$3:$N$6,2,FALSE)))</f>
        <v/>
      </c>
      <c r="L228" s="524" t="str">
        <f>IF(J228="","",IF(VLOOKUP(J228,'G-3 Multipliers'!$L$3:$N$6,3,FALSE)=0,"Spatial Data Missing",VLOOKUP(J228,'G-3 Multipliers'!$L$3:$N$6,3,FALSE)))</f>
        <v/>
      </c>
      <c r="M228" s="197"/>
      <c r="N228" s="499" t="str">
        <f>IF(M228="","",IF(VLOOKUP(M228,'G-3 Multipliers'!$S$3:$T$6,2,FALSE)=0,"Spatial Data Missing ⚠",VLOOKUP(M228,'G-3 Multipliers'!$S$3:$T$6,2,FALSE)))</f>
        <v/>
      </c>
      <c r="O228" s="498" t="str">
        <f>IF(OR(D228="",H228=""),"",(INDEX('G-6 Hedgerow Data'!$E$3:$I$15,MATCH(D228,'G-6 Hedgerow Data'!$B$3:$B$15,0),MATCH(H228,'G-6 Hedgerow Data'!$E$2:$I$2,0))))</f>
        <v/>
      </c>
      <c r="P228" s="195"/>
      <c r="Q228" s="195"/>
      <c r="R228" s="507" t="str">
        <f t="shared" si="19"/>
        <v/>
      </c>
      <c r="S228" s="521" t="str">
        <f t="shared" si="20"/>
        <v/>
      </c>
      <c r="T228" s="522" t="str">
        <f t="shared" si="18"/>
        <v/>
      </c>
      <c r="U228" s="537" t="str">
        <f>IF(D228="","",VLOOKUP(D228,'G-6 Hedgerow Data'!$B$3:$AG$15,31,FALSE))</f>
        <v/>
      </c>
      <c r="V228" s="520" t="str">
        <f t="shared" si="21"/>
        <v/>
      </c>
      <c r="W228" s="520" t="str">
        <f t="shared" si="22"/>
        <v/>
      </c>
      <c r="X228" s="524" t="str">
        <f>IF(F228="","",VLOOKUP(U228,'G-3 Multipliers'!$P$3:$Q$6,2,FALSE))</f>
        <v/>
      </c>
      <c r="Y228" s="529" t="str">
        <f t="shared" si="23"/>
        <v/>
      </c>
      <c r="Z228" s="149"/>
      <c r="AA228" s="150"/>
      <c r="AG228" s="31" t="str">
        <f>IFERROR(INDEX('G-6 Hedgerow Data'!$BJ$3:$BJ$15,MATCH(D228,'G-6 Hedgerow Data'!$B$3:$B$15,0)),"")</f>
        <v/>
      </c>
    </row>
    <row r="229" spans="2:33" ht="13.8" x14ac:dyDescent="0.25">
      <c r="B229" s="103">
        <v>218</v>
      </c>
      <c r="C229" s="268"/>
      <c r="D229" s="82"/>
      <c r="E229" s="203"/>
      <c r="F229" s="498" t="str">
        <f>IF(D229="","",VLOOKUP(D229,'G-6 Hedgerow Data'!$B$2:$AG$15,2,FALSE))</f>
        <v/>
      </c>
      <c r="G229" s="524" t="str">
        <f>IF(D229="","",VLOOKUP(D229,'G-6 Hedgerow Data'!$B$2:$AG$15,3,FALSE))</f>
        <v/>
      </c>
      <c r="H229" s="72"/>
      <c r="I229" s="499" t="str">
        <f>IFERROR(IF(AND(F229="V.Low",OR(H229="Good",H229="Moderate")),"Error ▲",VLOOKUP(H229,'G-1 All Habitats'!$Z$2:$AA$9,2,FALSE)),"")</f>
        <v/>
      </c>
      <c r="J229" s="146"/>
      <c r="K229" s="520" t="str">
        <f>IF(J229="","",IF(VLOOKUP(J229,'G-3 Multipliers'!$L$3:$N$6,2,FALSE)=0,"Spatial Data Missing",VLOOKUP(J229,'G-3 Multipliers'!$L$3:$N$6,2,FALSE)))</f>
        <v/>
      </c>
      <c r="L229" s="524" t="str">
        <f>IF(J229="","",IF(VLOOKUP(J229,'G-3 Multipliers'!$L$3:$N$6,3,FALSE)=0,"Spatial Data Missing",VLOOKUP(J229,'G-3 Multipliers'!$L$3:$N$6,3,FALSE)))</f>
        <v/>
      </c>
      <c r="M229" s="197"/>
      <c r="N229" s="499" t="str">
        <f>IF(M229="","",IF(VLOOKUP(M229,'G-3 Multipliers'!$S$3:$T$6,2,FALSE)=0,"Spatial Data Missing ⚠",VLOOKUP(M229,'G-3 Multipliers'!$S$3:$T$6,2,FALSE)))</f>
        <v/>
      </c>
      <c r="O229" s="498" t="str">
        <f>IF(OR(D229="",H229=""),"",(INDEX('G-6 Hedgerow Data'!$E$3:$I$15,MATCH(D229,'G-6 Hedgerow Data'!$B$3:$B$15,0),MATCH(H229,'G-6 Hedgerow Data'!$E$2:$I$2,0))))</f>
        <v/>
      </c>
      <c r="P229" s="195"/>
      <c r="Q229" s="195"/>
      <c r="R229" s="507" t="str">
        <f t="shared" si="19"/>
        <v/>
      </c>
      <c r="S229" s="521" t="str">
        <f t="shared" si="20"/>
        <v/>
      </c>
      <c r="T229" s="522" t="str">
        <f t="shared" si="18"/>
        <v/>
      </c>
      <c r="U229" s="537" t="str">
        <f>IF(D229="","",VLOOKUP(D229,'G-6 Hedgerow Data'!$B$3:$AG$15,31,FALSE))</f>
        <v/>
      </c>
      <c r="V229" s="520" t="str">
        <f t="shared" si="21"/>
        <v/>
      </c>
      <c r="W229" s="520" t="str">
        <f t="shared" si="22"/>
        <v/>
      </c>
      <c r="X229" s="524" t="str">
        <f>IF(F229="","",VLOOKUP(U229,'G-3 Multipliers'!$P$3:$Q$6,2,FALSE))</f>
        <v/>
      </c>
      <c r="Y229" s="529" t="str">
        <f t="shared" si="23"/>
        <v/>
      </c>
      <c r="Z229" s="149"/>
      <c r="AA229" s="150"/>
      <c r="AG229" s="31" t="str">
        <f>IFERROR(INDEX('G-6 Hedgerow Data'!$BJ$3:$BJ$15,MATCH(D229,'G-6 Hedgerow Data'!$B$3:$B$15,0)),"")</f>
        <v/>
      </c>
    </row>
    <row r="230" spans="2:33" ht="13.8" x14ac:dyDescent="0.25">
      <c r="B230" s="103">
        <v>219</v>
      </c>
      <c r="C230" s="268"/>
      <c r="D230" s="82"/>
      <c r="E230" s="203"/>
      <c r="F230" s="498" t="str">
        <f>IF(D230="","",VLOOKUP(D230,'G-6 Hedgerow Data'!$B$2:$AG$15,2,FALSE))</f>
        <v/>
      </c>
      <c r="G230" s="524" t="str">
        <f>IF(D230="","",VLOOKUP(D230,'G-6 Hedgerow Data'!$B$2:$AG$15,3,FALSE))</f>
        <v/>
      </c>
      <c r="H230" s="72"/>
      <c r="I230" s="499" t="str">
        <f>IFERROR(IF(AND(F230="V.Low",OR(H230="Good",H230="Moderate")),"Error ▲",VLOOKUP(H230,'G-1 All Habitats'!$Z$2:$AA$9,2,FALSE)),"")</f>
        <v/>
      </c>
      <c r="J230" s="146"/>
      <c r="K230" s="520" t="str">
        <f>IF(J230="","",IF(VLOOKUP(J230,'G-3 Multipliers'!$L$3:$N$6,2,FALSE)=0,"Spatial Data Missing",VLOOKUP(J230,'G-3 Multipliers'!$L$3:$N$6,2,FALSE)))</f>
        <v/>
      </c>
      <c r="L230" s="524" t="str">
        <f>IF(J230="","",IF(VLOOKUP(J230,'G-3 Multipliers'!$L$3:$N$6,3,FALSE)=0,"Spatial Data Missing",VLOOKUP(J230,'G-3 Multipliers'!$L$3:$N$6,3,FALSE)))</f>
        <v/>
      </c>
      <c r="M230" s="197"/>
      <c r="N230" s="499" t="str">
        <f>IF(M230="","",IF(VLOOKUP(M230,'G-3 Multipliers'!$S$3:$T$6,2,FALSE)=0,"Spatial Data Missing ⚠",VLOOKUP(M230,'G-3 Multipliers'!$S$3:$T$6,2,FALSE)))</f>
        <v/>
      </c>
      <c r="O230" s="498" t="str">
        <f>IF(OR(D230="",H230=""),"",(INDEX('G-6 Hedgerow Data'!$E$3:$I$15,MATCH(D230,'G-6 Hedgerow Data'!$B$3:$B$15,0),MATCH(H230,'G-6 Hedgerow Data'!$E$2:$I$2,0))))</f>
        <v/>
      </c>
      <c r="P230" s="195"/>
      <c r="Q230" s="195"/>
      <c r="R230" s="507" t="str">
        <f t="shared" si="19"/>
        <v/>
      </c>
      <c r="S230" s="521" t="str">
        <f t="shared" si="20"/>
        <v/>
      </c>
      <c r="T230" s="522" t="str">
        <f t="shared" si="18"/>
        <v/>
      </c>
      <c r="U230" s="537" t="str">
        <f>IF(D230="","",VLOOKUP(D230,'G-6 Hedgerow Data'!$B$3:$AG$15,31,FALSE))</f>
        <v/>
      </c>
      <c r="V230" s="520" t="str">
        <f t="shared" si="21"/>
        <v/>
      </c>
      <c r="W230" s="520" t="str">
        <f t="shared" si="22"/>
        <v/>
      </c>
      <c r="X230" s="524" t="str">
        <f>IF(F230="","",VLOOKUP(U230,'G-3 Multipliers'!$P$3:$Q$6,2,FALSE))</f>
        <v/>
      </c>
      <c r="Y230" s="529" t="str">
        <f t="shared" si="23"/>
        <v/>
      </c>
      <c r="Z230" s="149"/>
      <c r="AA230" s="150"/>
      <c r="AG230" s="31" t="str">
        <f>IFERROR(INDEX('G-6 Hedgerow Data'!$BJ$3:$BJ$15,MATCH(D230,'G-6 Hedgerow Data'!$B$3:$B$15,0)),"")</f>
        <v/>
      </c>
    </row>
    <row r="231" spans="2:33" ht="13.8" x14ac:dyDescent="0.25">
      <c r="B231" s="103">
        <v>220</v>
      </c>
      <c r="C231" s="268"/>
      <c r="D231" s="82"/>
      <c r="E231" s="203"/>
      <c r="F231" s="498" t="str">
        <f>IF(D231="","",VLOOKUP(D231,'G-6 Hedgerow Data'!$B$2:$AG$15,2,FALSE))</f>
        <v/>
      </c>
      <c r="G231" s="524" t="str">
        <f>IF(D231="","",VLOOKUP(D231,'G-6 Hedgerow Data'!$B$2:$AG$15,3,FALSE))</f>
        <v/>
      </c>
      <c r="H231" s="72"/>
      <c r="I231" s="499" t="str">
        <f>IFERROR(IF(AND(F231="V.Low",OR(H231="Good",H231="Moderate")),"Error ▲",VLOOKUP(H231,'G-1 All Habitats'!$Z$2:$AA$9,2,FALSE)),"")</f>
        <v/>
      </c>
      <c r="J231" s="146"/>
      <c r="K231" s="520" t="str">
        <f>IF(J231="","",IF(VLOOKUP(J231,'G-3 Multipliers'!$L$3:$N$6,2,FALSE)=0,"Spatial Data Missing",VLOOKUP(J231,'G-3 Multipliers'!$L$3:$N$6,2,FALSE)))</f>
        <v/>
      </c>
      <c r="L231" s="524" t="str">
        <f>IF(J231="","",IF(VLOOKUP(J231,'G-3 Multipliers'!$L$3:$N$6,3,FALSE)=0,"Spatial Data Missing",VLOOKUP(J231,'G-3 Multipliers'!$L$3:$N$6,3,FALSE)))</f>
        <v/>
      </c>
      <c r="M231" s="197"/>
      <c r="N231" s="499" t="str">
        <f>IF(M231="","",IF(VLOOKUP(M231,'G-3 Multipliers'!$S$3:$T$6,2,FALSE)=0,"Spatial Data Missing ⚠",VLOOKUP(M231,'G-3 Multipliers'!$S$3:$T$6,2,FALSE)))</f>
        <v/>
      </c>
      <c r="O231" s="498" t="str">
        <f>IF(OR(D231="",H231=""),"",(INDEX('G-6 Hedgerow Data'!$E$3:$I$15,MATCH(D231,'G-6 Hedgerow Data'!$B$3:$B$15,0),MATCH(H231,'G-6 Hedgerow Data'!$E$2:$I$2,0))))</f>
        <v/>
      </c>
      <c r="P231" s="195"/>
      <c r="Q231" s="195"/>
      <c r="R231" s="507" t="str">
        <f t="shared" si="19"/>
        <v/>
      </c>
      <c r="S231" s="521" t="str">
        <f t="shared" si="20"/>
        <v/>
      </c>
      <c r="T231" s="522" t="str">
        <f t="shared" si="18"/>
        <v/>
      </c>
      <c r="U231" s="537" t="str">
        <f>IF(D231="","",VLOOKUP(D231,'G-6 Hedgerow Data'!$B$3:$AG$15,31,FALSE))</f>
        <v/>
      </c>
      <c r="V231" s="520" t="str">
        <f t="shared" si="21"/>
        <v/>
      </c>
      <c r="W231" s="520" t="str">
        <f t="shared" si="22"/>
        <v/>
      </c>
      <c r="X231" s="524" t="str">
        <f>IF(F231="","",VLOOKUP(U231,'G-3 Multipliers'!$P$3:$Q$6,2,FALSE))</f>
        <v/>
      </c>
      <c r="Y231" s="529" t="str">
        <f t="shared" si="23"/>
        <v/>
      </c>
      <c r="Z231" s="149"/>
      <c r="AA231" s="150"/>
      <c r="AG231" s="31" t="str">
        <f>IFERROR(INDEX('G-6 Hedgerow Data'!$BJ$3:$BJ$15,MATCH(D231,'G-6 Hedgerow Data'!$B$3:$B$15,0)),"")</f>
        <v/>
      </c>
    </row>
    <row r="232" spans="2:33" ht="13.8" x14ac:dyDescent="0.25">
      <c r="B232" s="103">
        <v>221</v>
      </c>
      <c r="C232" s="268"/>
      <c r="D232" s="82"/>
      <c r="E232" s="203"/>
      <c r="F232" s="498" t="str">
        <f>IF(D232="","",VLOOKUP(D232,'G-6 Hedgerow Data'!$B$2:$AG$15,2,FALSE))</f>
        <v/>
      </c>
      <c r="G232" s="524" t="str">
        <f>IF(D232="","",VLOOKUP(D232,'G-6 Hedgerow Data'!$B$2:$AG$15,3,FALSE))</f>
        <v/>
      </c>
      <c r="H232" s="72"/>
      <c r="I232" s="499" t="str">
        <f>IFERROR(IF(AND(F232="V.Low",OR(H232="Good",H232="Moderate")),"Error ▲",VLOOKUP(H232,'G-1 All Habitats'!$Z$2:$AA$9,2,FALSE)),"")</f>
        <v/>
      </c>
      <c r="J232" s="146"/>
      <c r="K232" s="520" t="str">
        <f>IF(J232="","",IF(VLOOKUP(J232,'G-3 Multipliers'!$L$3:$N$6,2,FALSE)=0,"Spatial Data Missing",VLOOKUP(J232,'G-3 Multipliers'!$L$3:$N$6,2,FALSE)))</f>
        <v/>
      </c>
      <c r="L232" s="524" t="str">
        <f>IF(J232="","",IF(VLOOKUP(J232,'G-3 Multipliers'!$L$3:$N$6,3,FALSE)=0,"Spatial Data Missing",VLOOKUP(J232,'G-3 Multipliers'!$L$3:$N$6,3,FALSE)))</f>
        <v/>
      </c>
      <c r="M232" s="197"/>
      <c r="N232" s="499" t="str">
        <f>IF(M232="","",IF(VLOOKUP(M232,'G-3 Multipliers'!$S$3:$T$6,2,FALSE)=0,"Spatial Data Missing ⚠",VLOOKUP(M232,'G-3 Multipliers'!$S$3:$T$6,2,FALSE)))</f>
        <v/>
      </c>
      <c r="O232" s="498" t="str">
        <f>IF(OR(D232="",H232=""),"",(INDEX('G-6 Hedgerow Data'!$E$3:$I$15,MATCH(D232,'G-6 Hedgerow Data'!$B$3:$B$15,0),MATCH(H232,'G-6 Hedgerow Data'!$E$2:$I$2,0))))</f>
        <v/>
      </c>
      <c r="P232" s="195"/>
      <c r="Q232" s="195"/>
      <c r="R232" s="507" t="str">
        <f t="shared" si="19"/>
        <v/>
      </c>
      <c r="S232" s="521" t="str">
        <f t="shared" si="20"/>
        <v/>
      </c>
      <c r="T232" s="522" t="str">
        <f t="shared" si="18"/>
        <v/>
      </c>
      <c r="U232" s="537" t="str">
        <f>IF(D232="","",VLOOKUP(D232,'G-6 Hedgerow Data'!$B$3:$AG$15,31,FALSE))</f>
        <v/>
      </c>
      <c r="V232" s="520" t="str">
        <f t="shared" si="21"/>
        <v/>
      </c>
      <c r="W232" s="520" t="str">
        <f t="shared" si="22"/>
        <v/>
      </c>
      <c r="X232" s="524" t="str">
        <f>IF(F232="","",VLOOKUP(U232,'G-3 Multipliers'!$P$3:$Q$6,2,FALSE))</f>
        <v/>
      </c>
      <c r="Y232" s="529" t="str">
        <f t="shared" si="23"/>
        <v/>
      </c>
      <c r="Z232" s="149"/>
      <c r="AA232" s="150"/>
      <c r="AG232" s="31" t="str">
        <f>IFERROR(INDEX('G-6 Hedgerow Data'!$BJ$3:$BJ$15,MATCH(D232,'G-6 Hedgerow Data'!$B$3:$B$15,0)),"")</f>
        <v/>
      </c>
    </row>
    <row r="233" spans="2:33" ht="13.8" x14ac:dyDescent="0.25">
      <c r="B233" s="103">
        <v>222</v>
      </c>
      <c r="C233" s="268"/>
      <c r="D233" s="82"/>
      <c r="E233" s="203"/>
      <c r="F233" s="498" t="str">
        <f>IF(D233="","",VLOOKUP(D233,'G-6 Hedgerow Data'!$B$2:$AG$15,2,FALSE))</f>
        <v/>
      </c>
      <c r="G233" s="524" t="str">
        <f>IF(D233="","",VLOOKUP(D233,'G-6 Hedgerow Data'!$B$2:$AG$15,3,FALSE))</f>
        <v/>
      </c>
      <c r="H233" s="72"/>
      <c r="I233" s="499" t="str">
        <f>IFERROR(IF(AND(F233="V.Low",OR(H233="Good",H233="Moderate")),"Error ▲",VLOOKUP(H233,'G-1 All Habitats'!$Z$2:$AA$9,2,FALSE)),"")</f>
        <v/>
      </c>
      <c r="J233" s="146"/>
      <c r="K233" s="520" t="str">
        <f>IF(J233="","",IF(VLOOKUP(J233,'G-3 Multipliers'!$L$3:$N$6,2,FALSE)=0,"Spatial Data Missing",VLOOKUP(J233,'G-3 Multipliers'!$L$3:$N$6,2,FALSE)))</f>
        <v/>
      </c>
      <c r="L233" s="524" t="str">
        <f>IF(J233="","",IF(VLOOKUP(J233,'G-3 Multipliers'!$L$3:$N$6,3,FALSE)=0,"Spatial Data Missing",VLOOKUP(J233,'G-3 Multipliers'!$L$3:$N$6,3,FALSE)))</f>
        <v/>
      </c>
      <c r="M233" s="197"/>
      <c r="N233" s="499" t="str">
        <f>IF(M233="","",IF(VLOOKUP(M233,'G-3 Multipliers'!$S$3:$T$6,2,FALSE)=0,"Spatial Data Missing ⚠",VLOOKUP(M233,'G-3 Multipliers'!$S$3:$T$6,2,FALSE)))</f>
        <v/>
      </c>
      <c r="O233" s="498" t="str">
        <f>IF(OR(D233="",H233=""),"",(INDEX('G-6 Hedgerow Data'!$E$3:$I$15,MATCH(D233,'G-6 Hedgerow Data'!$B$3:$B$15,0),MATCH(H233,'G-6 Hedgerow Data'!$E$2:$I$2,0))))</f>
        <v/>
      </c>
      <c r="P233" s="195"/>
      <c r="Q233" s="195"/>
      <c r="R233" s="507" t="str">
        <f t="shared" si="19"/>
        <v/>
      </c>
      <c r="S233" s="521" t="str">
        <f t="shared" si="20"/>
        <v/>
      </c>
      <c r="T233" s="522" t="str">
        <f t="shared" si="18"/>
        <v/>
      </c>
      <c r="U233" s="537" t="str">
        <f>IF(D233="","",VLOOKUP(D233,'G-6 Hedgerow Data'!$B$3:$AG$15,31,FALSE))</f>
        <v/>
      </c>
      <c r="V233" s="520" t="str">
        <f t="shared" si="21"/>
        <v/>
      </c>
      <c r="W233" s="520" t="str">
        <f t="shared" si="22"/>
        <v/>
      </c>
      <c r="X233" s="524" t="str">
        <f>IF(F233="","",VLOOKUP(U233,'G-3 Multipliers'!$P$3:$Q$6,2,FALSE))</f>
        <v/>
      </c>
      <c r="Y233" s="529" t="str">
        <f t="shared" si="23"/>
        <v/>
      </c>
      <c r="Z233" s="149"/>
      <c r="AA233" s="150"/>
      <c r="AG233" s="31" t="str">
        <f>IFERROR(INDEX('G-6 Hedgerow Data'!$BJ$3:$BJ$15,MATCH(D233,'G-6 Hedgerow Data'!$B$3:$B$15,0)),"")</f>
        <v/>
      </c>
    </row>
    <row r="234" spans="2:33" ht="13.8" x14ac:dyDescent="0.25">
      <c r="B234" s="103">
        <v>223</v>
      </c>
      <c r="C234" s="268"/>
      <c r="D234" s="82"/>
      <c r="E234" s="203"/>
      <c r="F234" s="498" t="str">
        <f>IF(D234="","",VLOOKUP(D234,'G-6 Hedgerow Data'!$B$2:$AG$15,2,FALSE))</f>
        <v/>
      </c>
      <c r="G234" s="524" t="str">
        <f>IF(D234="","",VLOOKUP(D234,'G-6 Hedgerow Data'!$B$2:$AG$15,3,FALSE))</f>
        <v/>
      </c>
      <c r="H234" s="72"/>
      <c r="I234" s="499" t="str">
        <f>IFERROR(IF(AND(F234="V.Low",OR(H234="Good",H234="Moderate")),"Error ▲",VLOOKUP(H234,'G-1 All Habitats'!$Z$2:$AA$9,2,FALSE)),"")</f>
        <v/>
      </c>
      <c r="J234" s="146"/>
      <c r="K234" s="520" t="str">
        <f>IF(J234="","",IF(VLOOKUP(J234,'G-3 Multipliers'!$L$3:$N$6,2,FALSE)=0,"Spatial Data Missing",VLOOKUP(J234,'G-3 Multipliers'!$L$3:$N$6,2,FALSE)))</f>
        <v/>
      </c>
      <c r="L234" s="524" t="str">
        <f>IF(J234="","",IF(VLOOKUP(J234,'G-3 Multipliers'!$L$3:$N$6,3,FALSE)=0,"Spatial Data Missing",VLOOKUP(J234,'G-3 Multipliers'!$L$3:$N$6,3,FALSE)))</f>
        <v/>
      </c>
      <c r="M234" s="197"/>
      <c r="N234" s="499" t="str">
        <f>IF(M234="","",IF(VLOOKUP(M234,'G-3 Multipliers'!$S$3:$T$6,2,FALSE)=0,"Spatial Data Missing ⚠",VLOOKUP(M234,'G-3 Multipliers'!$S$3:$T$6,2,FALSE)))</f>
        <v/>
      </c>
      <c r="O234" s="498" t="str">
        <f>IF(OR(D234="",H234=""),"",(INDEX('G-6 Hedgerow Data'!$E$3:$I$15,MATCH(D234,'G-6 Hedgerow Data'!$B$3:$B$15,0),MATCH(H234,'G-6 Hedgerow Data'!$E$2:$I$2,0))))</f>
        <v/>
      </c>
      <c r="P234" s="195"/>
      <c r="Q234" s="195"/>
      <c r="R234" s="507" t="str">
        <f t="shared" si="19"/>
        <v/>
      </c>
      <c r="S234" s="521" t="str">
        <f t="shared" si="20"/>
        <v/>
      </c>
      <c r="T234" s="522" t="str">
        <f t="shared" si="18"/>
        <v/>
      </c>
      <c r="U234" s="537" t="str">
        <f>IF(D234="","",VLOOKUP(D234,'G-6 Hedgerow Data'!$B$3:$AG$15,31,FALSE))</f>
        <v/>
      </c>
      <c r="V234" s="520" t="str">
        <f t="shared" si="21"/>
        <v/>
      </c>
      <c r="W234" s="520" t="str">
        <f t="shared" si="22"/>
        <v/>
      </c>
      <c r="X234" s="524" t="str">
        <f>IF(F234="","",VLOOKUP(U234,'G-3 Multipliers'!$P$3:$Q$6,2,FALSE))</f>
        <v/>
      </c>
      <c r="Y234" s="529" t="str">
        <f t="shared" si="23"/>
        <v/>
      </c>
      <c r="Z234" s="149"/>
      <c r="AA234" s="150"/>
      <c r="AG234" s="31" t="str">
        <f>IFERROR(INDEX('G-6 Hedgerow Data'!$BJ$3:$BJ$15,MATCH(D234,'G-6 Hedgerow Data'!$B$3:$B$15,0)),"")</f>
        <v/>
      </c>
    </row>
    <row r="235" spans="2:33" ht="13.8" x14ac:dyDescent="0.25">
      <c r="B235" s="103">
        <v>224</v>
      </c>
      <c r="C235" s="268"/>
      <c r="D235" s="82"/>
      <c r="E235" s="203"/>
      <c r="F235" s="498" t="str">
        <f>IF(D235="","",VLOOKUP(D235,'G-6 Hedgerow Data'!$B$2:$AG$15,2,FALSE))</f>
        <v/>
      </c>
      <c r="G235" s="524" t="str">
        <f>IF(D235="","",VLOOKUP(D235,'G-6 Hedgerow Data'!$B$2:$AG$15,3,FALSE))</f>
        <v/>
      </c>
      <c r="H235" s="72"/>
      <c r="I235" s="499" t="str">
        <f>IFERROR(IF(AND(F235="V.Low",OR(H235="Good",H235="Moderate")),"Error ▲",VLOOKUP(H235,'G-1 All Habitats'!$Z$2:$AA$9,2,FALSE)),"")</f>
        <v/>
      </c>
      <c r="J235" s="146"/>
      <c r="K235" s="520" t="str">
        <f>IF(J235="","",IF(VLOOKUP(J235,'G-3 Multipliers'!$L$3:$N$6,2,FALSE)=0,"Spatial Data Missing",VLOOKUP(J235,'G-3 Multipliers'!$L$3:$N$6,2,FALSE)))</f>
        <v/>
      </c>
      <c r="L235" s="524" t="str">
        <f>IF(J235="","",IF(VLOOKUP(J235,'G-3 Multipliers'!$L$3:$N$6,3,FALSE)=0,"Spatial Data Missing",VLOOKUP(J235,'G-3 Multipliers'!$L$3:$N$6,3,FALSE)))</f>
        <v/>
      </c>
      <c r="M235" s="197"/>
      <c r="N235" s="499" t="str">
        <f>IF(M235="","",IF(VLOOKUP(M235,'G-3 Multipliers'!$S$3:$T$6,2,FALSE)=0,"Spatial Data Missing ⚠",VLOOKUP(M235,'G-3 Multipliers'!$S$3:$T$6,2,FALSE)))</f>
        <v/>
      </c>
      <c r="O235" s="498" t="str">
        <f>IF(OR(D235="",H235=""),"",(INDEX('G-6 Hedgerow Data'!$E$3:$I$15,MATCH(D235,'G-6 Hedgerow Data'!$B$3:$B$15,0),MATCH(H235,'G-6 Hedgerow Data'!$E$2:$I$2,0))))</f>
        <v/>
      </c>
      <c r="P235" s="195"/>
      <c r="Q235" s="195"/>
      <c r="R235" s="507" t="str">
        <f t="shared" si="19"/>
        <v/>
      </c>
      <c r="S235" s="521" t="str">
        <f t="shared" si="20"/>
        <v/>
      </c>
      <c r="T235" s="522" t="str">
        <f t="shared" si="18"/>
        <v/>
      </c>
      <c r="U235" s="537" t="str">
        <f>IF(D235="","",VLOOKUP(D235,'G-6 Hedgerow Data'!$B$3:$AG$15,31,FALSE))</f>
        <v/>
      </c>
      <c r="V235" s="520" t="str">
        <f t="shared" si="21"/>
        <v/>
      </c>
      <c r="W235" s="520" t="str">
        <f t="shared" si="22"/>
        <v/>
      </c>
      <c r="X235" s="524" t="str">
        <f>IF(F235="","",VLOOKUP(U235,'G-3 Multipliers'!$P$3:$Q$6,2,FALSE))</f>
        <v/>
      </c>
      <c r="Y235" s="529" t="str">
        <f t="shared" si="23"/>
        <v/>
      </c>
      <c r="Z235" s="149"/>
      <c r="AA235" s="150"/>
      <c r="AG235" s="31" t="str">
        <f>IFERROR(INDEX('G-6 Hedgerow Data'!$BJ$3:$BJ$15,MATCH(D235,'G-6 Hedgerow Data'!$B$3:$B$15,0)),"")</f>
        <v/>
      </c>
    </row>
    <row r="236" spans="2:33" ht="13.8" x14ac:dyDescent="0.25">
      <c r="B236" s="103">
        <v>225</v>
      </c>
      <c r="C236" s="268"/>
      <c r="D236" s="82"/>
      <c r="E236" s="203"/>
      <c r="F236" s="498" t="str">
        <f>IF(D236="","",VLOOKUP(D236,'G-6 Hedgerow Data'!$B$2:$AG$15,2,FALSE))</f>
        <v/>
      </c>
      <c r="G236" s="524" t="str">
        <f>IF(D236="","",VLOOKUP(D236,'G-6 Hedgerow Data'!$B$2:$AG$15,3,FALSE))</f>
        <v/>
      </c>
      <c r="H236" s="72"/>
      <c r="I236" s="499" t="str">
        <f>IFERROR(IF(AND(F236="V.Low",OR(H236="Good",H236="Moderate")),"Error ▲",VLOOKUP(H236,'G-1 All Habitats'!$Z$2:$AA$9,2,FALSE)),"")</f>
        <v/>
      </c>
      <c r="J236" s="146"/>
      <c r="K236" s="520" t="str">
        <f>IF(J236="","",IF(VLOOKUP(J236,'G-3 Multipliers'!$L$3:$N$6,2,FALSE)=0,"Spatial Data Missing",VLOOKUP(J236,'G-3 Multipliers'!$L$3:$N$6,2,FALSE)))</f>
        <v/>
      </c>
      <c r="L236" s="524" t="str">
        <f>IF(J236="","",IF(VLOOKUP(J236,'G-3 Multipliers'!$L$3:$N$6,3,FALSE)=0,"Spatial Data Missing",VLOOKUP(J236,'G-3 Multipliers'!$L$3:$N$6,3,FALSE)))</f>
        <v/>
      </c>
      <c r="M236" s="197"/>
      <c r="N236" s="499" t="str">
        <f>IF(M236="","",IF(VLOOKUP(M236,'G-3 Multipliers'!$S$3:$T$6,2,FALSE)=0,"Spatial Data Missing ⚠",VLOOKUP(M236,'G-3 Multipliers'!$S$3:$T$6,2,FALSE)))</f>
        <v/>
      </c>
      <c r="O236" s="498" t="str">
        <f>IF(OR(D236="",H236=""),"",(INDEX('G-6 Hedgerow Data'!$E$3:$I$15,MATCH(D236,'G-6 Hedgerow Data'!$B$3:$B$15,0),MATCH(H236,'G-6 Hedgerow Data'!$E$2:$I$2,0))))</f>
        <v/>
      </c>
      <c r="P236" s="195"/>
      <c r="Q236" s="195"/>
      <c r="R236" s="507" t="str">
        <f t="shared" si="19"/>
        <v/>
      </c>
      <c r="S236" s="521" t="str">
        <f t="shared" si="20"/>
        <v/>
      </c>
      <c r="T236" s="522" t="str">
        <f t="shared" si="18"/>
        <v/>
      </c>
      <c r="U236" s="537" t="str">
        <f>IF(D236="","",VLOOKUP(D236,'G-6 Hedgerow Data'!$B$3:$AG$15,31,FALSE))</f>
        <v/>
      </c>
      <c r="V236" s="520" t="str">
        <f t="shared" si="21"/>
        <v/>
      </c>
      <c r="W236" s="520" t="str">
        <f t="shared" si="22"/>
        <v/>
      </c>
      <c r="X236" s="524" t="str">
        <f>IF(F236="","",VLOOKUP(U236,'G-3 Multipliers'!$P$3:$Q$6,2,FALSE))</f>
        <v/>
      </c>
      <c r="Y236" s="529" t="str">
        <f t="shared" si="23"/>
        <v/>
      </c>
      <c r="Z236" s="149"/>
      <c r="AA236" s="150"/>
      <c r="AG236" s="31" t="str">
        <f>IFERROR(INDEX('G-6 Hedgerow Data'!$BJ$3:$BJ$15,MATCH(D236,'G-6 Hedgerow Data'!$B$3:$B$15,0)),"")</f>
        <v/>
      </c>
    </row>
    <row r="237" spans="2:33" ht="13.8" x14ac:dyDescent="0.25">
      <c r="B237" s="103">
        <v>226</v>
      </c>
      <c r="C237" s="268"/>
      <c r="D237" s="82"/>
      <c r="E237" s="203"/>
      <c r="F237" s="498" t="str">
        <f>IF(D237="","",VLOOKUP(D237,'G-6 Hedgerow Data'!$B$2:$AG$15,2,FALSE))</f>
        <v/>
      </c>
      <c r="G237" s="524" t="str">
        <f>IF(D237="","",VLOOKUP(D237,'G-6 Hedgerow Data'!$B$2:$AG$15,3,FALSE))</f>
        <v/>
      </c>
      <c r="H237" s="72"/>
      <c r="I237" s="499" t="str">
        <f>IFERROR(IF(AND(F237="V.Low",OR(H237="Good",H237="Moderate")),"Error ▲",VLOOKUP(H237,'G-1 All Habitats'!$Z$2:$AA$9,2,FALSE)),"")</f>
        <v/>
      </c>
      <c r="J237" s="146"/>
      <c r="K237" s="520" t="str">
        <f>IF(J237="","",IF(VLOOKUP(J237,'G-3 Multipliers'!$L$3:$N$6,2,FALSE)=0,"Spatial Data Missing",VLOOKUP(J237,'G-3 Multipliers'!$L$3:$N$6,2,FALSE)))</f>
        <v/>
      </c>
      <c r="L237" s="524" t="str">
        <f>IF(J237="","",IF(VLOOKUP(J237,'G-3 Multipliers'!$L$3:$N$6,3,FALSE)=0,"Spatial Data Missing",VLOOKUP(J237,'G-3 Multipliers'!$L$3:$N$6,3,FALSE)))</f>
        <v/>
      </c>
      <c r="M237" s="197"/>
      <c r="N237" s="499" t="str">
        <f>IF(M237="","",IF(VLOOKUP(M237,'G-3 Multipliers'!$S$3:$T$6,2,FALSE)=0,"Spatial Data Missing ⚠",VLOOKUP(M237,'G-3 Multipliers'!$S$3:$T$6,2,FALSE)))</f>
        <v/>
      </c>
      <c r="O237" s="498" t="str">
        <f>IF(OR(D237="",H237=""),"",(INDEX('G-6 Hedgerow Data'!$E$3:$I$15,MATCH(D237,'G-6 Hedgerow Data'!$B$3:$B$15,0),MATCH(H237,'G-6 Hedgerow Data'!$E$2:$I$2,0))))</f>
        <v/>
      </c>
      <c r="P237" s="195"/>
      <c r="Q237" s="195"/>
      <c r="R237" s="507" t="str">
        <f t="shared" si="19"/>
        <v/>
      </c>
      <c r="S237" s="521" t="str">
        <f t="shared" si="20"/>
        <v/>
      </c>
      <c r="T237" s="522" t="str">
        <f t="shared" si="18"/>
        <v/>
      </c>
      <c r="U237" s="537" t="str">
        <f>IF(D237="","",VLOOKUP(D237,'G-6 Hedgerow Data'!$B$3:$AG$15,31,FALSE))</f>
        <v/>
      </c>
      <c r="V237" s="520" t="str">
        <f t="shared" si="21"/>
        <v/>
      </c>
      <c r="W237" s="520" t="str">
        <f t="shared" si="22"/>
        <v/>
      </c>
      <c r="X237" s="524" t="str">
        <f>IF(F237="","",VLOOKUP(U237,'G-3 Multipliers'!$P$3:$Q$6,2,FALSE))</f>
        <v/>
      </c>
      <c r="Y237" s="529" t="str">
        <f t="shared" si="23"/>
        <v/>
      </c>
      <c r="Z237" s="149"/>
      <c r="AA237" s="150"/>
      <c r="AG237" s="31" t="str">
        <f>IFERROR(INDEX('G-6 Hedgerow Data'!$BJ$3:$BJ$15,MATCH(D237,'G-6 Hedgerow Data'!$B$3:$B$15,0)),"")</f>
        <v/>
      </c>
    </row>
    <row r="238" spans="2:33" ht="13.8" x14ac:dyDescent="0.25">
      <c r="B238" s="103">
        <v>227</v>
      </c>
      <c r="C238" s="268"/>
      <c r="D238" s="82"/>
      <c r="E238" s="203"/>
      <c r="F238" s="498" t="str">
        <f>IF(D238="","",VLOOKUP(D238,'G-6 Hedgerow Data'!$B$2:$AG$15,2,FALSE))</f>
        <v/>
      </c>
      <c r="G238" s="524" t="str">
        <f>IF(D238="","",VLOOKUP(D238,'G-6 Hedgerow Data'!$B$2:$AG$15,3,FALSE))</f>
        <v/>
      </c>
      <c r="H238" s="72"/>
      <c r="I238" s="499" t="str">
        <f>IFERROR(IF(AND(F238="V.Low",OR(H238="Good",H238="Moderate")),"Error ▲",VLOOKUP(H238,'G-1 All Habitats'!$Z$2:$AA$9,2,FALSE)),"")</f>
        <v/>
      </c>
      <c r="J238" s="146"/>
      <c r="K238" s="520" t="str">
        <f>IF(J238="","",IF(VLOOKUP(J238,'G-3 Multipliers'!$L$3:$N$6,2,FALSE)=0,"Spatial Data Missing",VLOOKUP(J238,'G-3 Multipliers'!$L$3:$N$6,2,FALSE)))</f>
        <v/>
      </c>
      <c r="L238" s="524" t="str">
        <f>IF(J238="","",IF(VLOOKUP(J238,'G-3 Multipliers'!$L$3:$N$6,3,FALSE)=0,"Spatial Data Missing",VLOOKUP(J238,'G-3 Multipliers'!$L$3:$N$6,3,FALSE)))</f>
        <v/>
      </c>
      <c r="M238" s="197"/>
      <c r="N238" s="499" t="str">
        <f>IF(M238="","",IF(VLOOKUP(M238,'G-3 Multipliers'!$S$3:$T$6,2,FALSE)=0,"Spatial Data Missing ⚠",VLOOKUP(M238,'G-3 Multipliers'!$S$3:$T$6,2,FALSE)))</f>
        <v/>
      </c>
      <c r="O238" s="498" t="str">
        <f>IF(OR(D238="",H238=""),"",(INDEX('G-6 Hedgerow Data'!$E$3:$I$15,MATCH(D238,'G-6 Hedgerow Data'!$B$3:$B$15,0),MATCH(H238,'G-6 Hedgerow Data'!$E$2:$I$2,0))))</f>
        <v/>
      </c>
      <c r="P238" s="195"/>
      <c r="Q238" s="195"/>
      <c r="R238" s="507" t="str">
        <f t="shared" si="19"/>
        <v/>
      </c>
      <c r="S238" s="521" t="str">
        <f t="shared" si="20"/>
        <v/>
      </c>
      <c r="T238" s="522" t="str">
        <f t="shared" si="18"/>
        <v/>
      </c>
      <c r="U238" s="537" t="str">
        <f>IF(D238="","",VLOOKUP(D238,'G-6 Hedgerow Data'!$B$3:$AG$15,31,FALSE))</f>
        <v/>
      </c>
      <c r="V238" s="520" t="str">
        <f t="shared" si="21"/>
        <v/>
      </c>
      <c r="W238" s="520" t="str">
        <f t="shared" si="22"/>
        <v/>
      </c>
      <c r="X238" s="524" t="str">
        <f>IF(F238="","",VLOOKUP(U238,'G-3 Multipliers'!$P$3:$Q$6,2,FALSE))</f>
        <v/>
      </c>
      <c r="Y238" s="529" t="str">
        <f t="shared" si="23"/>
        <v/>
      </c>
      <c r="Z238" s="149"/>
      <c r="AA238" s="150"/>
      <c r="AG238" s="31" t="str">
        <f>IFERROR(INDEX('G-6 Hedgerow Data'!$BJ$3:$BJ$15,MATCH(D238,'G-6 Hedgerow Data'!$B$3:$B$15,0)),"")</f>
        <v/>
      </c>
    </row>
    <row r="239" spans="2:33" ht="13.8" x14ac:dyDescent="0.25">
      <c r="B239" s="103">
        <v>228</v>
      </c>
      <c r="C239" s="268"/>
      <c r="D239" s="82"/>
      <c r="E239" s="203"/>
      <c r="F239" s="498" t="str">
        <f>IF(D239="","",VLOOKUP(D239,'G-6 Hedgerow Data'!$B$2:$AG$15,2,FALSE))</f>
        <v/>
      </c>
      <c r="G239" s="524" t="str">
        <f>IF(D239="","",VLOOKUP(D239,'G-6 Hedgerow Data'!$B$2:$AG$15,3,FALSE))</f>
        <v/>
      </c>
      <c r="H239" s="72"/>
      <c r="I239" s="499" t="str">
        <f>IFERROR(IF(AND(F239="V.Low",OR(H239="Good",H239="Moderate")),"Error ▲",VLOOKUP(H239,'G-1 All Habitats'!$Z$2:$AA$9,2,FALSE)),"")</f>
        <v/>
      </c>
      <c r="J239" s="146"/>
      <c r="K239" s="520" t="str">
        <f>IF(J239="","",IF(VLOOKUP(J239,'G-3 Multipliers'!$L$3:$N$6,2,FALSE)=0,"Spatial Data Missing",VLOOKUP(J239,'G-3 Multipliers'!$L$3:$N$6,2,FALSE)))</f>
        <v/>
      </c>
      <c r="L239" s="524" t="str">
        <f>IF(J239="","",IF(VLOOKUP(J239,'G-3 Multipliers'!$L$3:$N$6,3,FALSE)=0,"Spatial Data Missing",VLOOKUP(J239,'G-3 Multipliers'!$L$3:$N$6,3,FALSE)))</f>
        <v/>
      </c>
      <c r="M239" s="197"/>
      <c r="N239" s="499" t="str">
        <f>IF(M239="","",IF(VLOOKUP(M239,'G-3 Multipliers'!$S$3:$T$6,2,FALSE)=0,"Spatial Data Missing ⚠",VLOOKUP(M239,'G-3 Multipliers'!$S$3:$T$6,2,FALSE)))</f>
        <v/>
      </c>
      <c r="O239" s="498" t="str">
        <f>IF(OR(D239="",H239=""),"",(INDEX('G-6 Hedgerow Data'!$E$3:$I$15,MATCH(D239,'G-6 Hedgerow Data'!$B$3:$B$15,0),MATCH(H239,'G-6 Hedgerow Data'!$E$2:$I$2,0))))</f>
        <v/>
      </c>
      <c r="P239" s="195"/>
      <c r="Q239" s="195"/>
      <c r="R239" s="507" t="str">
        <f t="shared" si="19"/>
        <v/>
      </c>
      <c r="S239" s="521" t="str">
        <f t="shared" si="20"/>
        <v/>
      </c>
      <c r="T239" s="522" t="str">
        <f t="shared" si="18"/>
        <v/>
      </c>
      <c r="U239" s="537" t="str">
        <f>IF(D239="","",VLOOKUP(D239,'G-6 Hedgerow Data'!$B$3:$AG$15,31,FALSE))</f>
        <v/>
      </c>
      <c r="V239" s="520" t="str">
        <f t="shared" si="21"/>
        <v/>
      </c>
      <c r="W239" s="520" t="str">
        <f t="shared" si="22"/>
        <v/>
      </c>
      <c r="X239" s="524" t="str">
        <f>IF(F239="","",VLOOKUP(U239,'G-3 Multipliers'!$P$3:$Q$6,2,FALSE))</f>
        <v/>
      </c>
      <c r="Y239" s="529" t="str">
        <f t="shared" si="23"/>
        <v/>
      </c>
      <c r="Z239" s="149"/>
      <c r="AA239" s="150"/>
      <c r="AG239" s="31" t="str">
        <f>IFERROR(INDEX('G-6 Hedgerow Data'!$BJ$3:$BJ$15,MATCH(D239,'G-6 Hedgerow Data'!$B$3:$B$15,0)),"")</f>
        <v/>
      </c>
    </row>
    <row r="240" spans="2:33" ht="13.8" x14ac:dyDescent="0.25">
      <c r="B240" s="103">
        <v>229</v>
      </c>
      <c r="C240" s="268"/>
      <c r="D240" s="82"/>
      <c r="E240" s="203"/>
      <c r="F240" s="498" t="str">
        <f>IF(D240="","",VLOOKUP(D240,'G-6 Hedgerow Data'!$B$2:$AG$15,2,FALSE))</f>
        <v/>
      </c>
      <c r="G240" s="524" t="str">
        <f>IF(D240="","",VLOOKUP(D240,'G-6 Hedgerow Data'!$B$2:$AG$15,3,FALSE))</f>
        <v/>
      </c>
      <c r="H240" s="72"/>
      <c r="I240" s="499" t="str">
        <f>IFERROR(IF(AND(F240="V.Low",OR(H240="Good",H240="Moderate")),"Error ▲",VLOOKUP(H240,'G-1 All Habitats'!$Z$2:$AA$9,2,FALSE)),"")</f>
        <v/>
      </c>
      <c r="J240" s="146"/>
      <c r="K240" s="520" t="str">
        <f>IF(J240="","",IF(VLOOKUP(J240,'G-3 Multipliers'!$L$3:$N$6,2,FALSE)=0,"Spatial Data Missing",VLOOKUP(J240,'G-3 Multipliers'!$L$3:$N$6,2,FALSE)))</f>
        <v/>
      </c>
      <c r="L240" s="524" t="str">
        <f>IF(J240="","",IF(VLOOKUP(J240,'G-3 Multipliers'!$L$3:$N$6,3,FALSE)=0,"Spatial Data Missing",VLOOKUP(J240,'G-3 Multipliers'!$L$3:$N$6,3,FALSE)))</f>
        <v/>
      </c>
      <c r="M240" s="197"/>
      <c r="N240" s="499" t="str">
        <f>IF(M240="","",IF(VLOOKUP(M240,'G-3 Multipliers'!$S$3:$T$6,2,FALSE)=0,"Spatial Data Missing ⚠",VLOOKUP(M240,'G-3 Multipliers'!$S$3:$T$6,2,FALSE)))</f>
        <v/>
      </c>
      <c r="O240" s="498" t="str">
        <f>IF(OR(D240="",H240=""),"",(INDEX('G-6 Hedgerow Data'!$E$3:$I$15,MATCH(D240,'G-6 Hedgerow Data'!$B$3:$B$15,0),MATCH(H240,'G-6 Hedgerow Data'!$E$2:$I$2,0))))</f>
        <v/>
      </c>
      <c r="P240" s="195"/>
      <c r="Q240" s="195"/>
      <c r="R240" s="507" t="str">
        <f t="shared" si="19"/>
        <v/>
      </c>
      <c r="S240" s="521" t="str">
        <f t="shared" si="20"/>
        <v/>
      </c>
      <c r="T240" s="522" t="str">
        <f t="shared" si="18"/>
        <v/>
      </c>
      <c r="U240" s="537" t="str">
        <f>IF(D240="","",VLOOKUP(D240,'G-6 Hedgerow Data'!$B$3:$AG$15,31,FALSE))</f>
        <v/>
      </c>
      <c r="V240" s="520" t="str">
        <f t="shared" si="21"/>
        <v/>
      </c>
      <c r="W240" s="520" t="str">
        <f t="shared" si="22"/>
        <v/>
      </c>
      <c r="X240" s="524" t="str">
        <f>IF(F240="","",VLOOKUP(U240,'G-3 Multipliers'!$P$3:$Q$6,2,FALSE))</f>
        <v/>
      </c>
      <c r="Y240" s="529" t="str">
        <f t="shared" si="23"/>
        <v/>
      </c>
      <c r="Z240" s="149"/>
      <c r="AA240" s="150"/>
      <c r="AG240" s="31" t="str">
        <f>IFERROR(INDEX('G-6 Hedgerow Data'!$BJ$3:$BJ$15,MATCH(D240,'G-6 Hedgerow Data'!$B$3:$B$15,0)),"")</f>
        <v/>
      </c>
    </row>
    <row r="241" spans="2:33" ht="13.8" x14ac:dyDescent="0.25">
      <c r="B241" s="103">
        <v>230</v>
      </c>
      <c r="C241" s="268"/>
      <c r="D241" s="82"/>
      <c r="E241" s="203"/>
      <c r="F241" s="498" t="str">
        <f>IF(D241="","",VLOOKUP(D241,'G-6 Hedgerow Data'!$B$2:$AG$15,2,FALSE))</f>
        <v/>
      </c>
      <c r="G241" s="524" t="str">
        <f>IF(D241="","",VLOOKUP(D241,'G-6 Hedgerow Data'!$B$2:$AG$15,3,FALSE))</f>
        <v/>
      </c>
      <c r="H241" s="72"/>
      <c r="I241" s="499" t="str">
        <f>IFERROR(IF(AND(F241="V.Low",OR(H241="Good",H241="Moderate")),"Error ▲",VLOOKUP(H241,'G-1 All Habitats'!$Z$2:$AA$9,2,FALSE)),"")</f>
        <v/>
      </c>
      <c r="J241" s="146"/>
      <c r="K241" s="520" t="str">
        <f>IF(J241="","",IF(VLOOKUP(J241,'G-3 Multipliers'!$L$3:$N$6,2,FALSE)=0,"Spatial Data Missing",VLOOKUP(J241,'G-3 Multipliers'!$L$3:$N$6,2,FALSE)))</f>
        <v/>
      </c>
      <c r="L241" s="524" t="str">
        <f>IF(J241="","",IF(VLOOKUP(J241,'G-3 Multipliers'!$L$3:$N$6,3,FALSE)=0,"Spatial Data Missing",VLOOKUP(J241,'G-3 Multipliers'!$L$3:$N$6,3,FALSE)))</f>
        <v/>
      </c>
      <c r="M241" s="197"/>
      <c r="N241" s="499" t="str">
        <f>IF(M241="","",IF(VLOOKUP(M241,'G-3 Multipliers'!$S$3:$T$6,2,FALSE)=0,"Spatial Data Missing ⚠",VLOOKUP(M241,'G-3 Multipliers'!$S$3:$T$6,2,FALSE)))</f>
        <v/>
      </c>
      <c r="O241" s="498" t="str">
        <f>IF(OR(D241="",H241=""),"",(INDEX('G-6 Hedgerow Data'!$E$3:$I$15,MATCH(D241,'G-6 Hedgerow Data'!$B$3:$B$15,0),MATCH(H241,'G-6 Hedgerow Data'!$E$2:$I$2,0))))</f>
        <v/>
      </c>
      <c r="P241" s="195"/>
      <c r="Q241" s="195"/>
      <c r="R241" s="507" t="str">
        <f t="shared" si="19"/>
        <v/>
      </c>
      <c r="S241" s="521" t="str">
        <f t="shared" si="20"/>
        <v/>
      </c>
      <c r="T241" s="522" t="str">
        <f t="shared" si="18"/>
        <v/>
      </c>
      <c r="U241" s="537" t="str">
        <f>IF(D241="","",VLOOKUP(D241,'G-6 Hedgerow Data'!$B$3:$AG$15,31,FALSE))</f>
        <v/>
      </c>
      <c r="V241" s="520" t="str">
        <f t="shared" si="21"/>
        <v/>
      </c>
      <c r="W241" s="520" t="str">
        <f t="shared" si="22"/>
        <v/>
      </c>
      <c r="X241" s="524" t="str">
        <f>IF(F241="","",VLOOKUP(U241,'G-3 Multipliers'!$P$3:$Q$6,2,FALSE))</f>
        <v/>
      </c>
      <c r="Y241" s="529" t="str">
        <f t="shared" si="23"/>
        <v/>
      </c>
      <c r="Z241" s="149"/>
      <c r="AA241" s="150"/>
      <c r="AG241" s="31" t="str">
        <f>IFERROR(INDEX('G-6 Hedgerow Data'!$BJ$3:$BJ$15,MATCH(D241,'G-6 Hedgerow Data'!$B$3:$B$15,0)),"")</f>
        <v/>
      </c>
    </row>
    <row r="242" spans="2:33" ht="13.8" x14ac:dyDescent="0.25">
      <c r="B242" s="103">
        <v>231</v>
      </c>
      <c r="C242" s="268"/>
      <c r="D242" s="82"/>
      <c r="E242" s="203"/>
      <c r="F242" s="498" t="str">
        <f>IF(D242="","",VLOOKUP(D242,'G-6 Hedgerow Data'!$B$2:$AG$15,2,FALSE))</f>
        <v/>
      </c>
      <c r="G242" s="524" t="str">
        <f>IF(D242="","",VLOOKUP(D242,'G-6 Hedgerow Data'!$B$2:$AG$15,3,FALSE))</f>
        <v/>
      </c>
      <c r="H242" s="72"/>
      <c r="I242" s="499" t="str">
        <f>IFERROR(IF(AND(F242="V.Low",OR(H242="Good",H242="Moderate")),"Error ▲",VLOOKUP(H242,'G-1 All Habitats'!$Z$2:$AA$9,2,FALSE)),"")</f>
        <v/>
      </c>
      <c r="J242" s="146"/>
      <c r="K242" s="520" t="str">
        <f>IF(J242="","",IF(VLOOKUP(J242,'G-3 Multipliers'!$L$3:$N$6,2,FALSE)=0,"Spatial Data Missing",VLOOKUP(J242,'G-3 Multipliers'!$L$3:$N$6,2,FALSE)))</f>
        <v/>
      </c>
      <c r="L242" s="524" t="str">
        <f>IF(J242="","",IF(VLOOKUP(J242,'G-3 Multipliers'!$L$3:$N$6,3,FALSE)=0,"Spatial Data Missing",VLOOKUP(J242,'G-3 Multipliers'!$L$3:$N$6,3,FALSE)))</f>
        <v/>
      </c>
      <c r="M242" s="197"/>
      <c r="N242" s="499" t="str">
        <f>IF(M242="","",IF(VLOOKUP(M242,'G-3 Multipliers'!$S$3:$T$6,2,FALSE)=0,"Spatial Data Missing ⚠",VLOOKUP(M242,'G-3 Multipliers'!$S$3:$T$6,2,FALSE)))</f>
        <v/>
      </c>
      <c r="O242" s="498" t="str">
        <f>IF(OR(D242="",H242=""),"",(INDEX('G-6 Hedgerow Data'!$E$3:$I$15,MATCH(D242,'G-6 Hedgerow Data'!$B$3:$B$15,0),MATCH(H242,'G-6 Hedgerow Data'!$E$2:$I$2,0))))</f>
        <v/>
      </c>
      <c r="P242" s="195"/>
      <c r="Q242" s="195"/>
      <c r="R242" s="507" t="str">
        <f t="shared" si="19"/>
        <v/>
      </c>
      <c r="S242" s="521" t="str">
        <f t="shared" si="20"/>
        <v/>
      </c>
      <c r="T242" s="522" t="str">
        <f t="shared" si="18"/>
        <v/>
      </c>
      <c r="U242" s="537" t="str">
        <f>IF(D242="","",VLOOKUP(D242,'G-6 Hedgerow Data'!$B$3:$AG$15,31,FALSE))</f>
        <v/>
      </c>
      <c r="V242" s="520" t="str">
        <f t="shared" si="21"/>
        <v/>
      </c>
      <c r="W242" s="520" t="str">
        <f t="shared" si="22"/>
        <v/>
      </c>
      <c r="X242" s="524" t="str">
        <f>IF(F242="","",VLOOKUP(U242,'G-3 Multipliers'!$P$3:$Q$6,2,FALSE))</f>
        <v/>
      </c>
      <c r="Y242" s="529" t="str">
        <f t="shared" si="23"/>
        <v/>
      </c>
      <c r="Z242" s="149"/>
      <c r="AA242" s="150"/>
      <c r="AG242" s="31" t="str">
        <f>IFERROR(INDEX('G-6 Hedgerow Data'!$BJ$3:$BJ$15,MATCH(D242,'G-6 Hedgerow Data'!$B$3:$B$15,0)),"")</f>
        <v/>
      </c>
    </row>
    <row r="243" spans="2:33" ht="13.8" x14ac:dyDescent="0.25">
      <c r="B243" s="103">
        <v>232</v>
      </c>
      <c r="C243" s="268"/>
      <c r="D243" s="82"/>
      <c r="E243" s="203"/>
      <c r="F243" s="498" t="str">
        <f>IF(D243="","",VLOOKUP(D243,'G-6 Hedgerow Data'!$B$2:$AG$15,2,FALSE))</f>
        <v/>
      </c>
      <c r="G243" s="524" t="str">
        <f>IF(D243="","",VLOOKUP(D243,'G-6 Hedgerow Data'!$B$2:$AG$15,3,FALSE))</f>
        <v/>
      </c>
      <c r="H243" s="72"/>
      <c r="I243" s="499" t="str">
        <f>IFERROR(IF(AND(F243="V.Low",OR(H243="Good",H243="Moderate")),"Error ▲",VLOOKUP(H243,'G-1 All Habitats'!$Z$2:$AA$9,2,FALSE)),"")</f>
        <v/>
      </c>
      <c r="J243" s="146"/>
      <c r="K243" s="520" t="str">
        <f>IF(J243="","",IF(VLOOKUP(J243,'G-3 Multipliers'!$L$3:$N$6,2,FALSE)=0,"Spatial Data Missing",VLOOKUP(J243,'G-3 Multipliers'!$L$3:$N$6,2,FALSE)))</f>
        <v/>
      </c>
      <c r="L243" s="524" t="str">
        <f>IF(J243="","",IF(VLOOKUP(J243,'G-3 Multipliers'!$L$3:$N$6,3,FALSE)=0,"Spatial Data Missing",VLOOKUP(J243,'G-3 Multipliers'!$L$3:$N$6,3,FALSE)))</f>
        <v/>
      </c>
      <c r="M243" s="197"/>
      <c r="N243" s="499" t="str">
        <f>IF(M243="","",IF(VLOOKUP(M243,'G-3 Multipliers'!$S$3:$T$6,2,FALSE)=0,"Spatial Data Missing ⚠",VLOOKUP(M243,'G-3 Multipliers'!$S$3:$T$6,2,FALSE)))</f>
        <v/>
      </c>
      <c r="O243" s="498" t="str">
        <f>IF(OR(D243="",H243=""),"",(INDEX('G-6 Hedgerow Data'!$E$3:$I$15,MATCH(D243,'G-6 Hedgerow Data'!$B$3:$B$15,0),MATCH(H243,'G-6 Hedgerow Data'!$E$2:$I$2,0))))</f>
        <v/>
      </c>
      <c r="P243" s="195"/>
      <c r="Q243" s="195"/>
      <c r="R243" s="507" t="str">
        <f t="shared" si="19"/>
        <v/>
      </c>
      <c r="S243" s="521" t="str">
        <f t="shared" si="20"/>
        <v/>
      </c>
      <c r="T243" s="522" t="str">
        <f t="shared" si="18"/>
        <v/>
      </c>
      <c r="U243" s="537" t="str">
        <f>IF(D243="","",VLOOKUP(D243,'G-6 Hedgerow Data'!$B$3:$AG$15,31,FALSE))</f>
        <v/>
      </c>
      <c r="V243" s="520" t="str">
        <f t="shared" si="21"/>
        <v/>
      </c>
      <c r="W243" s="520" t="str">
        <f t="shared" si="22"/>
        <v/>
      </c>
      <c r="X243" s="524" t="str">
        <f>IF(F243="","",VLOOKUP(U243,'G-3 Multipliers'!$P$3:$Q$6,2,FALSE))</f>
        <v/>
      </c>
      <c r="Y243" s="529" t="str">
        <f t="shared" si="23"/>
        <v/>
      </c>
      <c r="Z243" s="149"/>
      <c r="AA243" s="150"/>
      <c r="AG243" s="31" t="str">
        <f>IFERROR(INDEX('G-6 Hedgerow Data'!$BJ$3:$BJ$15,MATCH(D243,'G-6 Hedgerow Data'!$B$3:$B$15,0)),"")</f>
        <v/>
      </c>
    </row>
    <row r="244" spans="2:33" ht="13.8" x14ac:dyDescent="0.25">
      <c r="B244" s="103">
        <v>233</v>
      </c>
      <c r="C244" s="268"/>
      <c r="D244" s="82"/>
      <c r="E244" s="203"/>
      <c r="F244" s="498" t="str">
        <f>IF(D244="","",VLOOKUP(D244,'G-6 Hedgerow Data'!$B$2:$AG$15,2,FALSE))</f>
        <v/>
      </c>
      <c r="G244" s="524" t="str">
        <f>IF(D244="","",VLOOKUP(D244,'G-6 Hedgerow Data'!$B$2:$AG$15,3,FALSE))</f>
        <v/>
      </c>
      <c r="H244" s="72"/>
      <c r="I244" s="499" t="str">
        <f>IFERROR(IF(AND(F244="V.Low",OR(H244="Good",H244="Moderate")),"Error ▲",VLOOKUP(H244,'G-1 All Habitats'!$Z$2:$AA$9,2,FALSE)),"")</f>
        <v/>
      </c>
      <c r="J244" s="146"/>
      <c r="K244" s="520" t="str">
        <f>IF(J244="","",IF(VLOOKUP(J244,'G-3 Multipliers'!$L$3:$N$6,2,FALSE)=0,"Spatial Data Missing",VLOOKUP(J244,'G-3 Multipliers'!$L$3:$N$6,2,FALSE)))</f>
        <v/>
      </c>
      <c r="L244" s="524" t="str">
        <f>IF(J244="","",IF(VLOOKUP(J244,'G-3 Multipliers'!$L$3:$N$6,3,FALSE)=0,"Spatial Data Missing",VLOOKUP(J244,'G-3 Multipliers'!$L$3:$N$6,3,FALSE)))</f>
        <v/>
      </c>
      <c r="M244" s="197"/>
      <c r="N244" s="499" t="str">
        <f>IF(M244="","",IF(VLOOKUP(M244,'G-3 Multipliers'!$S$3:$T$6,2,FALSE)=0,"Spatial Data Missing ⚠",VLOOKUP(M244,'G-3 Multipliers'!$S$3:$T$6,2,FALSE)))</f>
        <v/>
      </c>
      <c r="O244" s="498" t="str">
        <f>IF(OR(D244="",H244=""),"",(INDEX('G-6 Hedgerow Data'!$E$3:$I$15,MATCH(D244,'G-6 Hedgerow Data'!$B$3:$B$15,0),MATCH(H244,'G-6 Hedgerow Data'!$E$2:$I$2,0))))</f>
        <v/>
      </c>
      <c r="P244" s="195"/>
      <c r="Q244" s="195"/>
      <c r="R244" s="507" t="str">
        <f t="shared" si="19"/>
        <v/>
      </c>
      <c r="S244" s="521" t="str">
        <f t="shared" si="20"/>
        <v/>
      </c>
      <c r="T244" s="522" t="str">
        <f t="shared" si="18"/>
        <v/>
      </c>
      <c r="U244" s="537" t="str">
        <f>IF(D244="","",VLOOKUP(D244,'G-6 Hedgerow Data'!$B$3:$AG$15,31,FALSE))</f>
        <v/>
      </c>
      <c r="V244" s="520" t="str">
        <f t="shared" si="21"/>
        <v/>
      </c>
      <c r="W244" s="520" t="str">
        <f t="shared" si="22"/>
        <v/>
      </c>
      <c r="X244" s="524" t="str">
        <f>IF(F244="","",VLOOKUP(U244,'G-3 Multipliers'!$P$3:$Q$6,2,FALSE))</f>
        <v/>
      </c>
      <c r="Y244" s="529" t="str">
        <f t="shared" si="23"/>
        <v/>
      </c>
      <c r="Z244" s="149"/>
      <c r="AA244" s="150"/>
      <c r="AG244" s="31" t="str">
        <f>IFERROR(INDEX('G-6 Hedgerow Data'!$BJ$3:$BJ$15,MATCH(D244,'G-6 Hedgerow Data'!$B$3:$B$15,0)),"")</f>
        <v/>
      </c>
    </row>
    <row r="245" spans="2:33" ht="13.8" x14ac:dyDescent="0.25">
      <c r="B245" s="103">
        <v>234</v>
      </c>
      <c r="C245" s="268"/>
      <c r="D245" s="82"/>
      <c r="E245" s="203"/>
      <c r="F245" s="498" t="str">
        <f>IF(D245="","",VLOOKUP(D245,'G-6 Hedgerow Data'!$B$2:$AG$15,2,FALSE))</f>
        <v/>
      </c>
      <c r="G245" s="524" t="str">
        <f>IF(D245="","",VLOOKUP(D245,'G-6 Hedgerow Data'!$B$2:$AG$15,3,FALSE))</f>
        <v/>
      </c>
      <c r="H245" s="72"/>
      <c r="I245" s="499" t="str">
        <f>IFERROR(IF(AND(F245="V.Low",OR(H245="Good",H245="Moderate")),"Error ▲",VLOOKUP(H245,'G-1 All Habitats'!$Z$2:$AA$9,2,FALSE)),"")</f>
        <v/>
      </c>
      <c r="J245" s="146"/>
      <c r="K245" s="520" t="str">
        <f>IF(J245="","",IF(VLOOKUP(J245,'G-3 Multipliers'!$L$3:$N$6,2,FALSE)=0,"Spatial Data Missing",VLOOKUP(J245,'G-3 Multipliers'!$L$3:$N$6,2,FALSE)))</f>
        <v/>
      </c>
      <c r="L245" s="524" t="str">
        <f>IF(J245="","",IF(VLOOKUP(J245,'G-3 Multipliers'!$L$3:$N$6,3,FALSE)=0,"Spatial Data Missing",VLOOKUP(J245,'G-3 Multipliers'!$L$3:$N$6,3,FALSE)))</f>
        <v/>
      </c>
      <c r="M245" s="197"/>
      <c r="N245" s="499" t="str">
        <f>IF(M245="","",IF(VLOOKUP(M245,'G-3 Multipliers'!$S$3:$T$6,2,FALSE)=0,"Spatial Data Missing ⚠",VLOOKUP(M245,'G-3 Multipliers'!$S$3:$T$6,2,FALSE)))</f>
        <v/>
      </c>
      <c r="O245" s="498" t="str">
        <f>IF(OR(D245="",H245=""),"",(INDEX('G-6 Hedgerow Data'!$E$3:$I$15,MATCH(D245,'G-6 Hedgerow Data'!$B$3:$B$15,0),MATCH(H245,'G-6 Hedgerow Data'!$E$2:$I$2,0))))</f>
        <v/>
      </c>
      <c r="P245" s="195"/>
      <c r="Q245" s="195"/>
      <c r="R245" s="507" t="str">
        <f t="shared" si="19"/>
        <v/>
      </c>
      <c r="S245" s="521" t="str">
        <f t="shared" si="20"/>
        <v/>
      </c>
      <c r="T245" s="522" t="str">
        <f t="shared" si="18"/>
        <v/>
      </c>
      <c r="U245" s="537" t="str">
        <f>IF(D245="","",VLOOKUP(D245,'G-6 Hedgerow Data'!$B$3:$AG$15,31,FALSE))</f>
        <v/>
      </c>
      <c r="V245" s="520" t="str">
        <f t="shared" si="21"/>
        <v/>
      </c>
      <c r="W245" s="520" t="str">
        <f t="shared" si="22"/>
        <v/>
      </c>
      <c r="X245" s="524" t="str">
        <f>IF(F245="","",VLOOKUP(U245,'G-3 Multipliers'!$P$3:$Q$6,2,FALSE))</f>
        <v/>
      </c>
      <c r="Y245" s="529" t="str">
        <f t="shared" si="23"/>
        <v/>
      </c>
      <c r="Z245" s="149"/>
      <c r="AA245" s="150"/>
      <c r="AG245" s="31" t="str">
        <f>IFERROR(INDEX('G-6 Hedgerow Data'!$BJ$3:$BJ$15,MATCH(D245,'G-6 Hedgerow Data'!$B$3:$B$15,0)),"")</f>
        <v/>
      </c>
    </row>
    <row r="246" spans="2:33" ht="13.8" x14ac:dyDescent="0.25">
      <c r="B246" s="103">
        <v>235</v>
      </c>
      <c r="C246" s="268"/>
      <c r="D246" s="82"/>
      <c r="E246" s="203"/>
      <c r="F246" s="498" t="str">
        <f>IF(D246="","",VLOOKUP(D246,'G-6 Hedgerow Data'!$B$2:$AG$15,2,FALSE))</f>
        <v/>
      </c>
      <c r="G246" s="524" t="str">
        <f>IF(D246="","",VLOOKUP(D246,'G-6 Hedgerow Data'!$B$2:$AG$15,3,FALSE))</f>
        <v/>
      </c>
      <c r="H246" s="72"/>
      <c r="I246" s="499" t="str">
        <f>IFERROR(IF(AND(F246="V.Low",OR(H246="Good",H246="Moderate")),"Error ▲",VLOOKUP(H246,'G-1 All Habitats'!$Z$2:$AA$9,2,FALSE)),"")</f>
        <v/>
      </c>
      <c r="J246" s="146"/>
      <c r="K246" s="520" t="str">
        <f>IF(J246="","",IF(VLOOKUP(J246,'G-3 Multipliers'!$L$3:$N$6,2,FALSE)=0,"Spatial Data Missing",VLOOKUP(J246,'G-3 Multipliers'!$L$3:$N$6,2,FALSE)))</f>
        <v/>
      </c>
      <c r="L246" s="524" t="str">
        <f>IF(J246="","",IF(VLOOKUP(J246,'G-3 Multipliers'!$L$3:$N$6,3,FALSE)=0,"Spatial Data Missing",VLOOKUP(J246,'G-3 Multipliers'!$L$3:$N$6,3,FALSE)))</f>
        <v/>
      </c>
      <c r="M246" s="197"/>
      <c r="N246" s="499" t="str">
        <f>IF(M246="","",IF(VLOOKUP(M246,'G-3 Multipliers'!$S$3:$T$6,2,FALSE)=0,"Spatial Data Missing ⚠",VLOOKUP(M246,'G-3 Multipliers'!$S$3:$T$6,2,FALSE)))</f>
        <v/>
      </c>
      <c r="O246" s="498" t="str">
        <f>IF(OR(D246="",H246=""),"",(INDEX('G-6 Hedgerow Data'!$E$3:$I$15,MATCH(D246,'G-6 Hedgerow Data'!$B$3:$B$15,0),MATCH(H246,'G-6 Hedgerow Data'!$E$2:$I$2,0))))</f>
        <v/>
      </c>
      <c r="P246" s="195"/>
      <c r="Q246" s="195"/>
      <c r="R246" s="507" t="str">
        <f t="shared" si="19"/>
        <v/>
      </c>
      <c r="S246" s="521" t="str">
        <f t="shared" si="20"/>
        <v/>
      </c>
      <c r="T246" s="522" t="str">
        <f t="shared" si="18"/>
        <v/>
      </c>
      <c r="U246" s="537" t="str">
        <f>IF(D246="","",VLOOKUP(D246,'G-6 Hedgerow Data'!$B$3:$AG$15,31,FALSE))</f>
        <v/>
      </c>
      <c r="V246" s="520" t="str">
        <f t="shared" si="21"/>
        <v/>
      </c>
      <c r="W246" s="520" t="str">
        <f t="shared" si="22"/>
        <v/>
      </c>
      <c r="X246" s="524" t="str">
        <f>IF(F246="","",VLOOKUP(U246,'G-3 Multipliers'!$P$3:$Q$6,2,FALSE))</f>
        <v/>
      </c>
      <c r="Y246" s="529" t="str">
        <f t="shared" si="23"/>
        <v/>
      </c>
      <c r="Z246" s="149"/>
      <c r="AA246" s="150"/>
      <c r="AG246" s="31" t="str">
        <f>IFERROR(INDEX('G-6 Hedgerow Data'!$BJ$3:$BJ$15,MATCH(D246,'G-6 Hedgerow Data'!$B$3:$B$15,0)),"")</f>
        <v/>
      </c>
    </row>
    <row r="247" spans="2:33" ht="13.8" x14ac:dyDescent="0.25">
      <c r="B247" s="103">
        <v>236</v>
      </c>
      <c r="C247" s="268"/>
      <c r="D247" s="82"/>
      <c r="E247" s="203"/>
      <c r="F247" s="498" t="str">
        <f>IF(D247="","",VLOOKUP(D247,'G-6 Hedgerow Data'!$B$2:$AG$15,2,FALSE))</f>
        <v/>
      </c>
      <c r="G247" s="524" t="str">
        <f>IF(D247="","",VLOOKUP(D247,'G-6 Hedgerow Data'!$B$2:$AG$15,3,FALSE))</f>
        <v/>
      </c>
      <c r="H247" s="72"/>
      <c r="I247" s="499" t="str">
        <f>IFERROR(IF(AND(F247="V.Low",OR(H247="Good",H247="Moderate")),"Error ▲",VLOOKUP(H247,'G-1 All Habitats'!$Z$2:$AA$9,2,FALSE)),"")</f>
        <v/>
      </c>
      <c r="J247" s="146"/>
      <c r="K247" s="520" t="str">
        <f>IF(J247="","",IF(VLOOKUP(J247,'G-3 Multipliers'!$L$3:$N$6,2,FALSE)=0,"Spatial Data Missing",VLOOKUP(J247,'G-3 Multipliers'!$L$3:$N$6,2,FALSE)))</f>
        <v/>
      </c>
      <c r="L247" s="524" t="str">
        <f>IF(J247="","",IF(VLOOKUP(J247,'G-3 Multipliers'!$L$3:$N$6,3,FALSE)=0,"Spatial Data Missing",VLOOKUP(J247,'G-3 Multipliers'!$L$3:$N$6,3,FALSE)))</f>
        <v/>
      </c>
      <c r="M247" s="197"/>
      <c r="N247" s="499" t="str">
        <f>IF(M247="","",IF(VLOOKUP(M247,'G-3 Multipliers'!$S$3:$T$6,2,FALSE)=0,"Spatial Data Missing ⚠",VLOOKUP(M247,'G-3 Multipliers'!$S$3:$T$6,2,FALSE)))</f>
        <v/>
      </c>
      <c r="O247" s="498" t="str">
        <f>IF(OR(D247="",H247=""),"",(INDEX('G-6 Hedgerow Data'!$E$3:$I$15,MATCH(D247,'G-6 Hedgerow Data'!$B$3:$B$15,0),MATCH(H247,'G-6 Hedgerow Data'!$E$2:$I$2,0))))</f>
        <v/>
      </c>
      <c r="P247" s="195"/>
      <c r="Q247" s="195"/>
      <c r="R247" s="507" t="str">
        <f t="shared" si="19"/>
        <v/>
      </c>
      <c r="S247" s="521" t="str">
        <f t="shared" si="20"/>
        <v/>
      </c>
      <c r="T247" s="522" t="str">
        <f t="shared" si="18"/>
        <v/>
      </c>
      <c r="U247" s="537" t="str">
        <f>IF(D247="","",VLOOKUP(D247,'G-6 Hedgerow Data'!$B$3:$AG$15,31,FALSE))</f>
        <v/>
      </c>
      <c r="V247" s="520" t="str">
        <f t="shared" si="21"/>
        <v/>
      </c>
      <c r="W247" s="520" t="str">
        <f t="shared" si="22"/>
        <v/>
      </c>
      <c r="X247" s="524" t="str">
        <f>IF(F247="","",VLOOKUP(U247,'G-3 Multipliers'!$P$3:$Q$6,2,FALSE))</f>
        <v/>
      </c>
      <c r="Y247" s="529" t="str">
        <f t="shared" si="23"/>
        <v/>
      </c>
      <c r="Z247" s="149"/>
      <c r="AA247" s="150"/>
      <c r="AG247" s="31" t="str">
        <f>IFERROR(INDEX('G-6 Hedgerow Data'!$BJ$3:$BJ$15,MATCH(D247,'G-6 Hedgerow Data'!$B$3:$B$15,0)),"")</f>
        <v/>
      </c>
    </row>
    <row r="248" spans="2:33" ht="13.8" x14ac:dyDescent="0.25">
      <c r="B248" s="103">
        <v>237</v>
      </c>
      <c r="C248" s="268"/>
      <c r="D248" s="82"/>
      <c r="E248" s="203"/>
      <c r="F248" s="498" t="str">
        <f>IF(D248="","",VLOOKUP(D248,'G-6 Hedgerow Data'!$B$2:$AG$15,2,FALSE))</f>
        <v/>
      </c>
      <c r="G248" s="524" t="str">
        <f>IF(D248="","",VLOOKUP(D248,'G-6 Hedgerow Data'!$B$2:$AG$15,3,FALSE))</f>
        <v/>
      </c>
      <c r="H248" s="72"/>
      <c r="I248" s="499" t="str">
        <f>IFERROR(IF(AND(F248="V.Low",OR(H248="Good",H248="Moderate")),"Error ▲",VLOOKUP(H248,'G-1 All Habitats'!$Z$2:$AA$9,2,FALSE)),"")</f>
        <v/>
      </c>
      <c r="J248" s="146"/>
      <c r="K248" s="520" t="str">
        <f>IF(J248="","",IF(VLOOKUP(J248,'G-3 Multipliers'!$L$3:$N$6,2,FALSE)=0,"Spatial Data Missing",VLOOKUP(J248,'G-3 Multipliers'!$L$3:$N$6,2,FALSE)))</f>
        <v/>
      </c>
      <c r="L248" s="524" t="str">
        <f>IF(J248="","",IF(VLOOKUP(J248,'G-3 Multipliers'!$L$3:$N$6,3,FALSE)=0,"Spatial Data Missing",VLOOKUP(J248,'G-3 Multipliers'!$L$3:$N$6,3,FALSE)))</f>
        <v/>
      </c>
      <c r="M248" s="197"/>
      <c r="N248" s="499" t="str">
        <f>IF(M248="","",IF(VLOOKUP(M248,'G-3 Multipliers'!$S$3:$T$6,2,FALSE)=0,"Spatial Data Missing ⚠",VLOOKUP(M248,'G-3 Multipliers'!$S$3:$T$6,2,FALSE)))</f>
        <v/>
      </c>
      <c r="O248" s="498" t="str">
        <f>IF(OR(D248="",H248=""),"",(INDEX('G-6 Hedgerow Data'!$E$3:$I$15,MATCH(D248,'G-6 Hedgerow Data'!$B$3:$B$15,0),MATCH(H248,'G-6 Hedgerow Data'!$E$2:$I$2,0))))</f>
        <v/>
      </c>
      <c r="P248" s="195"/>
      <c r="Q248" s="195"/>
      <c r="R248" s="507" t="str">
        <f t="shared" si="19"/>
        <v/>
      </c>
      <c r="S248" s="521" t="str">
        <f t="shared" si="20"/>
        <v/>
      </c>
      <c r="T248" s="522" t="str">
        <f t="shared" si="18"/>
        <v/>
      </c>
      <c r="U248" s="537" t="str">
        <f>IF(D248="","",VLOOKUP(D248,'G-6 Hedgerow Data'!$B$3:$AG$15,31,FALSE))</f>
        <v/>
      </c>
      <c r="V248" s="520" t="str">
        <f t="shared" si="21"/>
        <v/>
      </c>
      <c r="W248" s="520" t="str">
        <f t="shared" si="22"/>
        <v/>
      </c>
      <c r="X248" s="524" t="str">
        <f>IF(F248="","",VLOOKUP(U248,'G-3 Multipliers'!$P$3:$Q$6,2,FALSE))</f>
        <v/>
      </c>
      <c r="Y248" s="529" t="str">
        <f t="shared" si="23"/>
        <v/>
      </c>
      <c r="Z248" s="149"/>
      <c r="AA248" s="150"/>
      <c r="AG248" s="31" t="str">
        <f>IFERROR(INDEX('G-6 Hedgerow Data'!$BJ$3:$BJ$15,MATCH(D248,'G-6 Hedgerow Data'!$B$3:$B$15,0)),"")</f>
        <v/>
      </c>
    </row>
    <row r="249" spans="2:33" ht="13.8" x14ac:dyDescent="0.25">
      <c r="B249" s="103">
        <v>238</v>
      </c>
      <c r="C249" s="268"/>
      <c r="D249" s="82"/>
      <c r="E249" s="203"/>
      <c r="F249" s="498" t="str">
        <f>IF(D249="","",VLOOKUP(D249,'G-6 Hedgerow Data'!$B$2:$AG$15,2,FALSE))</f>
        <v/>
      </c>
      <c r="G249" s="524" t="str">
        <f>IF(D249="","",VLOOKUP(D249,'G-6 Hedgerow Data'!$B$2:$AG$15,3,FALSE))</f>
        <v/>
      </c>
      <c r="H249" s="72"/>
      <c r="I249" s="499" t="str">
        <f>IFERROR(IF(AND(F249="V.Low",OR(H249="Good",H249="Moderate")),"Error ▲",VLOOKUP(H249,'G-1 All Habitats'!$Z$2:$AA$9,2,FALSE)),"")</f>
        <v/>
      </c>
      <c r="J249" s="146"/>
      <c r="K249" s="520" t="str">
        <f>IF(J249="","",IF(VLOOKUP(J249,'G-3 Multipliers'!$L$3:$N$6,2,FALSE)=0,"Spatial Data Missing",VLOOKUP(J249,'G-3 Multipliers'!$L$3:$N$6,2,FALSE)))</f>
        <v/>
      </c>
      <c r="L249" s="524" t="str">
        <f>IF(J249="","",IF(VLOOKUP(J249,'G-3 Multipliers'!$L$3:$N$6,3,FALSE)=0,"Spatial Data Missing",VLOOKUP(J249,'G-3 Multipliers'!$L$3:$N$6,3,FALSE)))</f>
        <v/>
      </c>
      <c r="M249" s="197"/>
      <c r="N249" s="499" t="str">
        <f>IF(M249="","",IF(VLOOKUP(M249,'G-3 Multipliers'!$S$3:$T$6,2,FALSE)=0,"Spatial Data Missing ⚠",VLOOKUP(M249,'G-3 Multipliers'!$S$3:$T$6,2,FALSE)))</f>
        <v/>
      </c>
      <c r="O249" s="498" t="str">
        <f>IF(OR(D249="",H249=""),"",(INDEX('G-6 Hedgerow Data'!$E$3:$I$15,MATCH(D249,'G-6 Hedgerow Data'!$B$3:$B$15,0),MATCH(H249,'G-6 Hedgerow Data'!$E$2:$I$2,0))))</f>
        <v/>
      </c>
      <c r="P249" s="195"/>
      <c r="Q249" s="195"/>
      <c r="R249" s="507" t="str">
        <f t="shared" si="19"/>
        <v/>
      </c>
      <c r="S249" s="521" t="str">
        <f t="shared" si="20"/>
        <v/>
      </c>
      <c r="T249" s="522" t="str">
        <f t="shared" si="18"/>
        <v/>
      </c>
      <c r="U249" s="537" t="str">
        <f>IF(D249="","",VLOOKUP(D249,'G-6 Hedgerow Data'!$B$3:$AG$15,31,FALSE))</f>
        <v/>
      </c>
      <c r="V249" s="520" t="str">
        <f t="shared" si="21"/>
        <v/>
      </c>
      <c r="W249" s="520" t="str">
        <f t="shared" si="22"/>
        <v/>
      </c>
      <c r="X249" s="524" t="str">
        <f>IF(F249="","",VLOOKUP(U249,'G-3 Multipliers'!$P$3:$Q$6,2,FALSE))</f>
        <v/>
      </c>
      <c r="Y249" s="529" t="str">
        <f t="shared" si="23"/>
        <v/>
      </c>
      <c r="Z249" s="149"/>
      <c r="AA249" s="150"/>
      <c r="AG249" s="31" t="str">
        <f>IFERROR(INDEX('G-6 Hedgerow Data'!$BJ$3:$BJ$15,MATCH(D249,'G-6 Hedgerow Data'!$B$3:$B$15,0)),"")</f>
        <v/>
      </c>
    </row>
    <row r="250" spans="2:33" ht="13.8" x14ac:dyDescent="0.25">
      <c r="B250" s="103">
        <v>239</v>
      </c>
      <c r="C250" s="268"/>
      <c r="D250" s="82"/>
      <c r="E250" s="203"/>
      <c r="F250" s="498" t="str">
        <f>IF(D250="","",VLOOKUP(D250,'G-6 Hedgerow Data'!$B$2:$AG$15,2,FALSE))</f>
        <v/>
      </c>
      <c r="G250" s="524" t="str">
        <f>IF(D250="","",VLOOKUP(D250,'G-6 Hedgerow Data'!$B$2:$AG$15,3,FALSE))</f>
        <v/>
      </c>
      <c r="H250" s="72"/>
      <c r="I250" s="499" t="str">
        <f>IFERROR(IF(AND(F250="V.Low",OR(H250="Good",H250="Moderate")),"Error ▲",VLOOKUP(H250,'G-1 All Habitats'!$Z$2:$AA$9,2,FALSE)),"")</f>
        <v/>
      </c>
      <c r="J250" s="146"/>
      <c r="K250" s="520" t="str">
        <f>IF(J250="","",IF(VLOOKUP(J250,'G-3 Multipliers'!$L$3:$N$6,2,FALSE)=0,"Spatial Data Missing",VLOOKUP(J250,'G-3 Multipliers'!$L$3:$N$6,2,FALSE)))</f>
        <v/>
      </c>
      <c r="L250" s="524" t="str">
        <f>IF(J250="","",IF(VLOOKUP(J250,'G-3 Multipliers'!$L$3:$N$6,3,FALSE)=0,"Spatial Data Missing",VLOOKUP(J250,'G-3 Multipliers'!$L$3:$N$6,3,FALSE)))</f>
        <v/>
      </c>
      <c r="M250" s="197"/>
      <c r="N250" s="499" t="str">
        <f>IF(M250="","",IF(VLOOKUP(M250,'G-3 Multipliers'!$S$3:$T$6,2,FALSE)=0,"Spatial Data Missing ⚠",VLOOKUP(M250,'G-3 Multipliers'!$S$3:$T$6,2,FALSE)))</f>
        <v/>
      </c>
      <c r="O250" s="498" t="str">
        <f>IF(OR(D250="",H250=""),"",(INDEX('G-6 Hedgerow Data'!$E$3:$I$15,MATCH(D250,'G-6 Hedgerow Data'!$B$3:$B$15,0),MATCH(H250,'G-6 Hedgerow Data'!$E$2:$I$2,0))))</f>
        <v/>
      </c>
      <c r="P250" s="195"/>
      <c r="Q250" s="195"/>
      <c r="R250" s="507" t="str">
        <f t="shared" si="19"/>
        <v/>
      </c>
      <c r="S250" s="521" t="str">
        <f t="shared" si="20"/>
        <v/>
      </c>
      <c r="T250" s="522" t="str">
        <f t="shared" si="18"/>
        <v/>
      </c>
      <c r="U250" s="537" t="str">
        <f>IF(D250="","",VLOOKUP(D250,'G-6 Hedgerow Data'!$B$3:$AG$15,31,FALSE))</f>
        <v/>
      </c>
      <c r="V250" s="520" t="str">
        <f t="shared" si="21"/>
        <v/>
      </c>
      <c r="W250" s="520" t="str">
        <f t="shared" si="22"/>
        <v/>
      </c>
      <c r="X250" s="524" t="str">
        <f>IF(F250="","",VLOOKUP(U250,'G-3 Multipliers'!$P$3:$Q$6,2,FALSE))</f>
        <v/>
      </c>
      <c r="Y250" s="529" t="str">
        <f t="shared" si="23"/>
        <v/>
      </c>
      <c r="Z250" s="149"/>
      <c r="AA250" s="150"/>
      <c r="AG250" s="31" t="str">
        <f>IFERROR(INDEX('G-6 Hedgerow Data'!$BJ$3:$BJ$15,MATCH(D250,'G-6 Hedgerow Data'!$B$3:$B$15,0)),"")</f>
        <v/>
      </c>
    </row>
    <row r="251" spans="2:33" ht="13.8" x14ac:dyDescent="0.25">
      <c r="B251" s="103">
        <v>240</v>
      </c>
      <c r="C251" s="268"/>
      <c r="D251" s="82"/>
      <c r="E251" s="203"/>
      <c r="F251" s="498" t="str">
        <f>IF(D251="","",VLOOKUP(D251,'G-6 Hedgerow Data'!$B$2:$AG$15,2,FALSE))</f>
        <v/>
      </c>
      <c r="G251" s="524" t="str">
        <f>IF(D251="","",VLOOKUP(D251,'G-6 Hedgerow Data'!$B$2:$AG$15,3,FALSE))</f>
        <v/>
      </c>
      <c r="H251" s="72"/>
      <c r="I251" s="499" t="str">
        <f>IFERROR(IF(AND(F251="V.Low",OR(H251="Good",H251="Moderate")),"Error ▲",VLOOKUP(H251,'G-1 All Habitats'!$Z$2:$AA$9,2,FALSE)),"")</f>
        <v/>
      </c>
      <c r="J251" s="146"/>
      <c r="K251" s="520" t="str">
        <f>IF(J251="","",IF(VLOOKUP(J251,'G-3 Multipliers'!$L$3:$N$6,2,FALSE)=0,"Spatial Data Missing",VLOOKUP(J251,'G-3 Multipliers'!$L$3:$N$6,2,FALSE)))</f>
        <v/>
      </c>
      <c r="L251" s="524" t="str">
        <f>IF(J251="","",IF(VLOOKUP(J251,'G-3 Multipliers'!$L$3:$N$6,3,FALSE)=0,"Spatial Data Missing",VLOOKUP(J251,'G-3 Multipliers'!$L$3:$N$6,3,FALSE)))</f>
        <v/>
      </c>
      <c r="M251" s="197"/>
      <c r="N251" s="499" t="str">
        <f>IF(M251="","",IF(VLOOKUP(M251,'G-3 Multipliers'!$S$3:$T$6,2,FALSE)=0,"Spatial Data Missing ⚠",VLOOKUP(M251,'G-3 Multipliers'!$S$3:$T$6,2,FALSE)))</f>
        <v/>
      </c>
      <c r="O251" s="498" t="str">
        <f>IF(OR(D251="",H251=""),"",(INDEX('G-6 Hedgerow Data'!$E$3:$I$15,MATCH(D251,'G-6 Hedgerow Data'!$B$3:$B$15,0),MATCH(H251,'G-6 Hedgerow Data'!$E$2:$I$2,0))))</f>
        <v/>
      </c>
      <c r="P251" s="195"/>
      <c r="Q251" s="195"/>
      <c r="R251" s="507" t="str">
        <f t="shared" si="19"/>
        <v/>
      </c>
      <c r="S251" s="521" t="str">
        <f t="shared" si="20"/>
        <v/>
      </c>
      <c r="T251" s="522" t="str">
        <f t="shared" si="18"/>
        <v/>
      </c>
      <c r="U251" s="537" t="str">
        <f>IF(D251="","",VLOOKUP(D251,'G-6 Hedgerow Data'!$B$3:$AG$15,31,FALSE))</f>
        <v/>
      </c>
      <c r="V251" s="520" t="str">
        <f t="shared" si="21"/>
        <v/>
      </c>
      <c r="W251" s="520" t="str">
        <f t="shared" si="22"/>
        <v/>
      </c>
      <c r="X251" s="524" t="str">
        <f>IF(F251="","",VLOOKUP(U251,'G-3 Multipliers'!$P$3:$Q$6,2,FALSE))</f>
        <v/>
      </c>
      <c r="Y251" s="529" t="str">
        <f t="shared" si="23"/>
        <v/>
      </c>
      <c r="Z251" s="149"/>
      <c r="AA251" s="150"/>
      <c r="AG251" s="31" t="str">
        <f>IFERROR(INDEX('G-6 Hedgerow Data'!$BJ$3:$BJ$15,MATCH(D251,'G-6 Hedgerow Data'!$B$3:$B$15,0)),"")</f>
        <v/>
      </c>
    </row>
    <row r="252" spans="2:33" ht="13.8" x14ac:dyDescent="0.25">
      <c r="B252" s="103">
        <v>241</v>
      </c>
      <c r="C252" s="268"/>
      <c r="D252" s="82"/>
      <c r="E252" s="203"/>
      <c r="F252" s="498" t="str">
        <f>IF(D252="","",VLOOKUP(D252,'G-6 Hedgerow Data'!$B$2:$AG$15,2,FALSE))</f>
        <v/>
      </c>
      <c r="G252" s="524" t="str">
        <f>IF(D252="","",VLOOKUP(D252,'G-6 Hedgerow Data'!$B$2:$AG$15,3,FALSE))</f>
        <v/>
      </c>
      <c r="H252" s="72"/>
      <c r="I252" s="499" t="str">
        <f>IFERROR(IF(AND(F252="V.Low",OR(H252="Good",H252="Moderate")),"Error ▲",VLOOKUP(H252,'G-1 All Habitats'!$Z$2:$AA$9,2,FALSE)),"")</f>
        <v/>
      </c>
      <c r="J252" s="146"/>
      <c r="K252" s="520" t="str">
        <f>IF(J252="","",IF(VLOOKUP(J252,'G-3 Multipliers'!$L$3:$N$6,2,FALSE)=0,"Spatial Data Missing",VLOOKUP(J252,'G-3 Multipliers'!$L$3:$N$6,2,FALSE)))</f>
        <v/>
      </c>
      <c r="L252" s="524" t="str">
        <f>IF(J252="","",IF(VLOOKUP(J252,'G-3 Multipliers'!$L$3:$N$6,3,FALSE)=0,"Spatial Data Missing",VLOOKUP(J252,'G-3 Multipliers'!$L$3:$N$6,3,FALSE)))</f>
        <v/>
      </c>
      <c r="M252" s="197"/>
      <c r="N252" s="499" t="str">
        <f>IF(M252="","",IF(VLOOKUP(M252,'G-3 Multipliers'!$S$3:$T$6,2,FALSE)=0,"Spatial Data Missing ⚠",VLOOKUP(M252,'G-3 Multipliers'!$S$3:$T$6,2,FALSE)))</f>
        <v/>
      </c>
      <c r="O252" s="498" t="str">
        <f>IF(OR(D252="",H252=""),"",(INDEX('G-6 Hedgerow Data'!$E$3:$I$15,MATCH(D252,'G-6 Hedgerow Data'!$B$3:$B$15,0),MATCH(H252,'G-6 Hedgerow Data'!$E$2:$I$2,0))))</f>
        <v/>
      </c>
      <c r="P252" s="195"/>
      <c r="Q252" s="195"/>
      <c r="R252" s="507" t="str">
        <f t="shared" si="19"/>
        <v/>
      </c>
      <c r="S252" s="521" t="str">
        <f t="shared" si="20"/>
        <v/>
      </c>
      <c r="T252" s="522" t="str">
        <f t="shared" si="18"/>
        <v/>
      </c>
      <c r="U252" s="537" t="str">
        <f>IF(D252="","",VLOOKUP(D252,'G-6 Hedgerow Data'!$B$3:$AG$15,31,FALSE))</f>
        <v/>
      </c>
      <c r="V252" s="520" t="str">
        <f t="shared" si="21"/>
        <v/>
      </c>
      <c r="W252" s="520" t="str">
        <f t="shared" si="22"/>
        <v/>
      </c>
      <c r="X252" s="524" t="str">
        <f>IF(F252="","",VLOOKUP(U252,'G-3 Multipliers'!$P$3:$Q$6,2,FALSE))</f>
        <v/>
      </c>
      <c r="Y252" s="529" t="str">
        <f t="shared" si="23"/>
        <v/>
      </c>
      <c r="Z252" s="149"/>
      <c r="AA252" s="150"/>
      <c r="AG252" s="31" t="str">
        <f>IFERROR(INDEX('G-6 Hedgerow Data'!$BJ$3:$BJ$15,MATCH(D252,'G-6 Hedgerow Data'!$B$3:$B$15,0)),"")</f>
        <v/>
      </c>
    </row>
    <row r="253" spans="2:33" ht="13.8" x14ac:dyDescent="0.25">
      <c r="B253" s="103">
        <v>242</v>
      </c>
      <c r="C253" s="268"/>
      <c r="D253" s="82"/>
      <c r="E253" s="203"/>
      <c r="F253" s="498" t="str">
        <f>IF(D253="","",VLOOKUP(D253,'G-6 Hedgerow Data'!$B$2:$AG$15,2,FALSE))</f>
        <v/>
      </c>
      <c r="G253" s="524" t="str">
        <f>IF(D253="","",VLOOKUP(D253,'G-6 Hedgerow Data'!$B$2:$AG$15,3,FALSE))</f>
        <v/>
      </c>
      <c r="H253" s="72"/>
      <c r="I253" s="499" t="str">
        <f>IFERROR(IF(AND(F253="V.Low",OR(H253="Good",H253="Moderate")),"Error ▲",VLOOKUP(H253,'G-1 All Habitats'!$Z$2:$AA$9,2,FALSE)),"")</f>
        <v/>
      </c>
      <c r="J253" s="146"/>
      <c r="K253" s="520" t="str">
        <f>IF(J253="","",IF(VLOOKUP(J253,'G-3 Multipliers'!$L$3:$N$6,2,FALSE)=0,"Spatial Data Missing",VLOOKUP(J253,'G-3 Multipliers'!$L$3:$N$6,2,FALSE)))</f>
        <v/>
      </c>
      <c r="L253" s="524" t="str">
        <f>IF(J253="","",IF(VLOOKUP(J253,'G-3 Multipliers'!$L$3:$N$6,3,FALSE)=0,"Spatial Data Missing",VLOOKUP(J253,'G-3 Multipliers'!$L$3:$N$6,3,FALSE)))</f>
        <v/>
      </c>
      <c r="M253" s="197"/>
      <c r="N253" s="499" t="str">
        <f>IF(M253="","",IF(VLOOKUP(M253,'G-3 Multipliers'!$S$3:$T$6,2,FALSE)=0,"Spatial Data Missing ⚠",VLOOKUP(M253,'G-3 Multipliers'!$S$3:$T$6,2,FALSE)))</f>
        <v/>
      </c>
      <c r="O253" s="498" t="str">
        <f>IF(OR(D253="",H253=""),"",(INDEX('G-6 Hedgerow Data'!$E$3:$I$15,MATCH(D253,'G-6 Hedgerow Data'!$B$3:$B$15,0),MATCH(H253,'G-6 Hedgerow Data'!$E$2:$I$2,0))))</f>
        <v/>
      </c>
      <c r="P253" s="195"/>
      <c r="Q253" s="195"/>
      <c r="R253" s="507" t="str">
        <f t="shared" si="19"/>
        <v/>
      </c>
      <c r="S253" s="521" t="str">
        <f t="shared" si="20"/>
        <v/>
      </c>
      <c r="T253" s="522" t="str">
        <f t="shared" si="18"/>
        <v/>
      </c>
      <c r="U253" s="537" t="str">
        <f>IF(D253="","",VLOOKUP(D253,'G-6 Hedgerow Data'!$B$3:$AG$15,31,FALSE))</f>
        <v/>
      </c>
      <c r="V253" s="520" t="str">
        <f t="shared" si="21"/>
        <v/>
      </c>
      <c r="W253" s="520" t="str">
        <f t="shared" si="22"/>
        <v/>
      </c>
      <c r="X253" s="524" t="str">
        <f>IF(F253="","",VLOOKUP(U253,'G-3 Multipliers'!$P$3:$Q$6,2,FALSE))</f>
        <v/>
      </c>
      <c r="Y253" s="529" t="str">
        <f t="shared" si="23"/>
        <v/>
      </c>
      <c r="Z253" s="149"/>
      <c r="AA253" s="150"/>
      <c r="AG253" s="31" t="str">
        <f>IFERROR(INDEX('G-6 Hedgerow Data'!$BJ$3:$BJ$15,MATCH(D253,'G-6 Hedgerow Data'!$B$3:$B$15,0)),"")</f>
        <v/>
      </c>
    </row>
    <row r="254" spans="2:33" ht="13.8" x14ac:dyDescent="0.25">
      <c r="B254" s="103">
        <v>243</v>
      </c>
      <c r="C254" s="268"/>
      <c r="D254" s="82"/>
      <c r="E254" s="203"/>
      <c r="F254" s="498" t="str">
        <f>IF(D254="","",VLOOKUP(D254,'G-6 Hedgerow Data'!$B$2:$AG$15,2,FALSE))</f>
        <v/>
      </c>
      <c r="G254" s="524" t="str">
        <f>IF(D254="","",VLOOKUP(D254,'G-6 Hedgerow Data'!$B$2:$AG$15,3,FALSE))</f>
        <v/>
      </c>
      <c r="H254" s="72"/>
      <c r="I254" s="499" t="str">
        <f>IFERROR(IF(AND(F254="V.Low",OR(H254="Good",H254="Moderate")),"Error ▲",VLOOKUP(H254,'G-1 All Habitats'!$Z$2:$AA$9,2,FALSE)),"")</f>
        <v/>
      </c>
      <c r="J254" s="146"/>
      <c r="K254" s="520" t="str">
        <f>IF(J254="","",IF(VLOOKUP(J254,'G-3 Multipliers'!$L$3:$N$6,2,FALSE)=0,"Spatial Data Missing",VLOOKUP(J254,'G-3 Multipliers'!$L$3:$N$6,2,FALSE)))</f>
        <v/>
      </c>
      <c r="L254" s="524" t="str">
        <f>IF(J254="","",IF(VLOOKUP(J254,'G-3 Multipliers'!$L$3:$N$6,3,FALSE)=0,"Spatial Data Missing",VLOOKUP(J254,'G-3 Multipliers'!$L$3:$N$6,3,FALSE)))</f>
        <v/>
      </c>
      <c r="M254" s="197"/>
      <c r="N254" s="499" t="str">
        <f>IF(M254="","",IF(VLOOKUP(M254,'G-3 Multipliers'!$S$3:$T$6,2,FALSE)=0,"Spatial Data Missing ⚠",VLOOKUP(M254,'G-3 Multipliers'!$S$3:$T$6,2,FALSE)))</f>
        <v/>
      </c>
      <c r="O254" s="498" t="str">
        <f>IF(OR(D254="",H254=""),"",(INDEX('G-6 Hedgerow Data'!$E$3:$I$15,MATCH(D254,'G-6 Hedgerow Data'!$B$3:$B$15,0),MATCH(H254,'G-6 Hedgerow Data'!$E$2:$I$2,0))))</f>
        <v/>
      </c>
      <c r="P254" s="195"/>
      <c r="Q254" s="195"/>
      <c r="R254" s="507" t="str">
        <f t="shared" si="19"/>
        <v/>
      </c>
      <c r="S254" s="521" t="str">
        <f t="shared" si="20"/>
        <v/>
      </c>
      <c r="T254" s="522" t="str">
        <f t="shared" si="18"/>
        <v/>
      </c>
      <c r="U254" s="537" t="str">
        <f>IF(D254="","",VLOOKUP(D254,'G-6 Hedgerow Data'!$B$3:$AG$15,31,FALSE))</f>
        <v/>
      </c>
      <c r="V254" s="520" t="str">
        <f t="shared" si="21"/>
        <v/>
      </c>
      <c r="W254" s="520" t="str">
        <f t="shared" si="22"/>
        <v/>
      </c>
      <c r="X254" s="524" t="str">
        <f>IF(F254="","",VLOOKUP(U254,'G-3 Multipliers'!$P$3:$Q$6,2,FALSE))</f>
        <v/>
      </c>
      <c r="Y254" s="529" t="str">
        <f t="shared" si="23"/>
        <v/>
      </c>
      <c r="Z254" s="149"/>
      <c r="AA254" s="150"/>
      <c r="AG254" s="31" t="str">
        <f>IFERROR(INDEX('G-6 Hedgerow Data'!$BJ$3:$BJ$15,MATCH(D254,'G-6 Hedgerow Data'!$B$3:$B$15,0)),"")</f>
        <v/>
      </c>
    </row>
    <row r="255" spans="2:33" ht="13.8" x14ac:dyDescent="0.25">
      <c r="B255" s="103">
        <v>244</v>
      </c>
      <c r="C255" s="268"/>
      <c r="D255" s="82"/>
      <c r="E255" s="203"/>
      <c r="F255" s="498" t="str">
        <f>IF(D255="","",VLOOKUP(D255,'G-6 Hedgerow Data'!$B$2:$AG$15,2,FALSE))</f>
        <v/>
      </c>
      <c r="G255" s="524" t="str">
        <f>IF(D255="","",VLOOKUP(D255,'G-6 Hedgerow Data'!$B$2:$AG$15,3,FALSE))</f>
        <v/>
      </c>
      <c r="H255" s="72"/>
      <c r="I255" s="499" t="str">
        <f>IFERROR(IF(AND(F255="V.Low",OR(H255="Good",H255="Moderate")),"Error ▲",VLOOKUP(H255,'G-1 All Habitats'!$Z$2:$AA$9,2,FALSE)),"")</f>
        <v/>
      </c>
      <c r="J255" s="146"/>
      <c r="K255" s="520" t="str">
        <f>IF(J255="","",IF(VLOOKUP(J255,'G-3 Multipliers'!$L$3:$N$6,2,FALSE)=0,"Spatial Data Missing",VLOOKUP(J255,'G-3 Multipliers'!$L$3:$N$6,2,FALSE)))</f>
        <v/>
      </c>
      <c r="L255" s="524" t="str">
        <f>IF(J255="","",IF(VLOOKUP(J255,'G-3 Multipliers'!$L$3:$N$6,3,FALSE)=0,"Spatial Data Missing",VLOOKUP(J255,'G-3 Multipliers'!$L$3:$N$6,3,FALSE)))</f>
        <v/>
      </c>
      <c r="M255" s="197"/>
      <c r="N255" s="499" t="str">
        <f>IF(M255="","",IF(VLOOKUP(M255,'G-3 Multipliers'!$S$3:$T$6,2,FALSE)=0,"Spatial Data Missing ⚠",VLOOKUP(M255,'G-3 Multipliers'!$S$3:$T$6,2,FALSE)))</f>
        <v/>
      </c>
      <c r="O255" s="498" t="str">
        <f>IF(OR(D255="",H255=""),"",(INDEX('G-6 Hedgerow Data'!$E$3:$I$15,MATCH(D255,'G-6 Hedgerow Data'!$B$3:$B$15,0),MATCH(H255,'G-6 Hedgerow Data'!$E$2:$I$2,0))))</f>
        <v/>
      </c>
      <c r="P255" s="195"/>
      <c r="Q255" s="195"/>
      <c r="R255" s="507" t="str">
        <f t="shared" si="19"/>
        <v/>
      </c>
      <c r="S255" s="521" t="str">
        <f t="shared" si="20"/>
        <v/>
      </c>
      <c r="T255" s="522" t="str">
        <f t="shared" si="18"/>
        <v/>
      </c>
      <c r="U255" s="537" t="str">
        <f>IF(D255="","",VLOOKUP(D255,'G-6 Hedgerow Data'!$B$3:$AG$15,31,FALSE))</f>
        <v/>
      </c>
      <c r="V255" s="520" t="str">
        <f t="shared" si="21"/>
        <v/>
      </c>
      <c r="W255" s="520" t="str">
        <f t="shared" si="22"/>
        <v/>
      </c>
      <c r="X255" s="524" t="str">
        <f>IF(F255="","",VLOOKUP(U255,'G-3 Multipliers'!$P$3:$Q$6,2,FALSE))</f>
        <v/>
      </c>
      <c r="Y255" s="529" t="str">
        <f t="shared" si="23"/>
        <v/>
      </c>
      <c r="Z255" s="149"/>
      <c r="AA255" s="150"/>
      <c r="AG255" s="31" t="str">
        <f>IFERROR(INDEX('G-6 Hedgerow Data'!$BJ$3:$BJ$15,MATCH(D255,'G-6 Hedgerow Data'!$B$3:$B$15,0)),"")</f>
        <v/>
      </c>
    </row>
    <row r="256" spans="2:33" ht="13.8" x14ac:dyDescent="0.25">
      <c r="B256" s="103">
        <v>245</v>
      </c>
      <c r="C256" s="268"/>
      <c r="D256" s="82"/>
      <c r="E256" s="203"/>
      <c r="F256" s="498" t="str">
        <f>IF(D256="","",VLOOKUP(D256,'G-6 Hedgerow Data'!$B$2:$AG$15,2,FALSE))</f>
        <v/>
      </c>
      <c r="G256" s="524" t="str">
        <f>IF(D256="","",VLOOKUP(D256,'G-6 Hedgerow Data'!$B$2:$AG$15,3,FALSE))</f>
        <v/>
      </c>
      <c r="H256" s="72"/>
      <c r="I256" s="499" t="str">
        <f>IFERROR(IF(AND(F256="V.Low",OR(H256="Good",H256="Moderate")),"Error ▲",VLOOKUP(H256,'G-1 All Habitats'!$Z$2:$AA$9,2,FALSE)),"")</f>
        <v/>
      </c>
      <c r="J256" s="146"/>
      <c r="K256" s="520" t="str">
        <f>IF(J256="","",IF(VLOOKUP(J256,'G-3 Multipliers'!$L$3:$N$6,2,FALSE)=0,"Spatial Data Missing",VLOOKUP(J256,'G-3 Multipliers'!$L$3:$N$6,2,FALSE)))</f>
        <v/>
      </c>
      <c r="L256" s="524" t="str">
        <f>IF(J256="","",IF(VLOOKUP(J256,'G-3 Multipliers'!$L$3:$N$6,3,FALSE)=0,"Spatial Data Missing",VLOOKUP(J256,'G-3 Multipliers'!$L$3:$N$6,3,FALSE)))</f>
        <v/>
      </c>
      <c r="M256" s="197"/>
      <c r="N256" s="499" t="str">
        <f>IF(M256="","",IF(VLOOKUP(M256,'G-3 Multipliers'!$S$3:$T$6,2,FALSE)=0,"Spatial Data Missing ⚠",VLOOKUP(M256,'G-3 Multipliers'!$S$3:$T$6,2,FALSE)))</f>
        <v/>
      </c>
      <c r="O256" s="498" t="str">
        <f>IF(OR(D256="",H256=""),"",(INDEX('G-6 Hedgerow Data'!$E$3:$I$15,MATCH(D256,'G-6 Hedgerow Data'!$B$3:$B$15,0),MATCH(H256,'G-6 Hedgerow Data'!$E$2:$I$2,0))))</f>
        <v/>
      </c>
      <c r="P256" s="195"/>
      <c r="Q256" s="195"/>
      <c r="R256" s="507" t="str">
        <f t="shared" si="19"/>
        <v/>
      </c>
      <c r="S256" s="521" t="str">
        <f t="shared" si="20"/>
        <v/>
      </c>
      <c r="T256" s="522" t="str">
        <f t="shared" si="18"/>
        <v/>
      </c>
      <c r="U256" s="537" t="str">
        <f>IF(D256="","",VLOOKUP(D256,'G-6 Hedgerow Data'!$B$3:$AG$15,31,FALSE))</f>
        <v/>
      </c>
      <c r="V256" s="520" t="str">
        <f t="shared" si="21"/>
        <v/>
      </c>
      <c r="W256" s="520" t="str">
        <f t="shared" si="22"/>
        <v/>
      </c>
      <c r="X256" s="524" t="str">
        <f>IF(F256="","",VLOOKUP(U256,'G-3 Multipliers'!$P$3:$Q$6,2,FALSE))</f>
        <v/>
      </c>
      <c r="Y256" s="529" t="str">
        <f t="shared" si="23"/>
        <v/>
      </c>
      <c r="Z256" s="149"/>
      <c r="AA256" s="150"/>
      <c r="AG256" s="31" t="str">
        <f>IFERROR(INDEX('G-6 Hedgerow Data'!$BJ$3:$BJ$15,MATCH(D256,'G-6 Hedgerow Data'!$B$3:$B$15,0)),"")</f>
        <v/>
      </c>
    </row>
    <row r="257" spans="2:33" ht="13.8" x14ac:dyDescent="0.25">
      <c r="B257" s="103">
        <v>246</v>
      </c>
      <c r="C257" s="268"/>
      <c r="D257" s="82"/>
      <c r="E257" s="203"/>
      <c r="F257" s="498" t="str">
        <f>IF(D257="","",VLOOKUP(D257,'G-6 Hedgerow Data'!$B$2:$AG$15,2,FALSE))</f>
        <v/>
      </c>
      <c r="G257" s="524" t="str">
        <f>IF(D257="","",VLOOKUP(D257,'G-6 Hedgerow Data'!$B$2:$AG$15,3,FALSE))</f>
        <v/>
      </c>
      <c r="H257" s="72"/>
      <c r="I257" s="499" t="str">
        <f>IFERROR(IF(AND(F257="V.Low",OR(H257="Good",H257="Moderate")),"Error ▲",VLOOKUP(H257,'G-1 All Habitats'!$Z$2:$AA$9,2,FALSE)),"")</f>
        <v/>
      </c>
      <c r="J257" s="146"/>
      <c r="K257" s="520" t="str">
        <f>IF(J257="","",IF(VLOOKUP(J257,'G-3 Multipliers'!$L$3:$N$6,2,FALSE)=0,"Spatial Data Missing",VLOOKUP(J257,'G-3 Multipliers'!$L$3:$N$6,2,FALSE)))</f>
        <v/>
      </c>
      <c r="L257" s="524" t="str">
        <f>IF(J257="","",IF(VLOOKUP(J257,'G-3 Multipliers'!$L$3:$N$6,3,FALSE)=0,"Spatial Data Missing",VLOOKUP(J257,'G-3 Multipliers'!$L$3:$N$6,3,FALSE)))</f>
        <v/>
      </c>
      <c r="M257" s="197"/>
      <c r="N257" s="499" t="str">
        <f>IF(M257="","",IF(VLOOKUP(M257,'G-3 Multipliers'!$S$3:$T$6,2,FALSE)=0,"Spatial Data Missing ⚠",VLOOKUP(M257,'G-3 Multipliers'!$S$3:$T$6,2,FALSE)))</f>
        <v/>
      </c>
      <c r="O257" s="498" t="str">
        <f>IF(OR(D257="",H257=""),"",(INDEX('G-6 Hedgerow Data'!$E$3:$I$15,MATCH(D257,'G-6 Hedgerow Data'!$B$3:$B$15,0),MATCH(H257,'G-6 Hedgerow Data'!$E$2:$I$2,0))))</f>
        <v/>
      </c>
      <c r="P257" s="195"/>
      <c r="Q257" s="195"/>
      <c r="R257" s="507" t="str">
        <f t="shared" si="19"/>
        <v/>
      </c>
      <c r="S257" s="521" t="str">
        <f t="shared" si="20"/>
        <v/>
      </c>
      <c r="T257" s="522" t="str">
        <f t="shared" si="18"/>
        <v/>
      </c>
      <c r="U257" s="537" t="str">
        <f>IF(D257="","",VLOOKUP(D257,'G-6 Hedgerow Data'!$B$3:$AG$15,31,FALSE))</f>
        <v/>
      </c>
      <c r="V257" s="520" t="str">
        <f t="shared" si="21"/>
        <v/>
      </c>
      <c r="W257" s="520" t="str">
        <f t="shared" si="22"/>
        <v/>
      </c>
      <c r="X257" s="524" t="str">
        <f>IF(F257="","",VLOOKUP(U257,'G-3 Multipliers'!$P$3:$Q$6,2,FALSE))</f>
        <v/>
      </c>
      <c r="Y257" s="529" t="str">
        <f t="shared" si="23"/>
        <v/>
      </c>
      <c r="Z257" s="149"/>
      <c r="AA257" s="150"/>
      <c r="AG257" s="31" t="str">
        <f>IFERROR(INDEX('G-6 Hedgerow Data'!$BJ$3:$BJ$15,MATCH(D257,'G-6 Hedgerow Data'!$B$3:$B$15,0)),"")</f>
        <v/>
      </c>
    </row>
    <row r="258" spans="2:33" ht="13.8" x14ac:dyDescent="0.25">
      <c r="B258" s="103">
        <v>247</v>
      </c>
      <c r="C258" s="268"/>
      <c r="D258" s="82"/>
      <c r="E258" s="203"/>
      <c r="F258" s="498" t="str">
        <f>IF(D258="","",VLOOKUP(D258,'G-6 Hedgerow Data'!$B$2:$AG$15,2,FALSE))</f>
        <v/>
      </c>
      <c r="G258" s="524" t="str">
        <f>IF(D258="","",VLOOKUP(D258,'G-6 Hedgerow Data'!$B$2:$AG$15,3,FALSE))</f>
        <v/>
      </c>
      <c r="H258" s="72"/>
      <c r="I258" s="499" t="str">
        <f>IFERROR(IF(AND(F258="V.Low",OR(H258="Good",H258="Moderate")),"Error ▲",VLOOKUP(H258,'G-1 All Habitats'!$Z$2:$AA$9,2,FALSE)),"")</f>
        <v/>
      </c>
      <c r="J258" s="146"/>
      <c r="K258" s="520" t="str">
        <f>IF(J258="","",IF(VLOOKUP(J258,'G-3 Multipliers'!$L$3:$N$6,2,FALSE)=0,"Spatial Data Missing",VLOOKUP(J258,'G-3 Multipliers'!$L$3:$N$6,2,FALSE)))</f>
        <v/>
      </c>
      <c r="L258" s="524" t="str">
        <f>IF(J258="","",IF(VLOOKUP(J258,'G-3 Multipliers'!$L$3:$N$6,3,FALSE)=0,"Spatial Data Missing",VLOOKUP(J258,'G-3 Multipliers'!$L$3:$N$6,3,FALSE)))</f>
        <v/>
      </c>
      <c r="M258" s="197"/>
      <c r="N258" s="499" t="str">
        <f>IF(M258="","",IF(VLOOKUP(M258,'G-3 Multipliers'!$S$3:$T$6,2,FALSE)=0,"Spatial Data Missing ⚠",VLOOKUP(M258,'G-3 Multipliers'!$S$3:$T$6,2,FALSE)))</f>
        <v/>
      </c>
      <c r="O258" s="498" t="str">
        <f>IF(OR(D258="",H258=""),"",(INDEX('G-6 Hedgerow Data'!$E$3:$I$15,MATCH(D258,'G-6 Hedgerow Data'!$B$3:$B$15,0),MATCH(H258,'G-6 Hedgerow Data'!$E$2:$I$2,0))))</f>
        <v/>
      </c>
      <c r="P258" s="195"/>
      <c r="Q258" s="195"/>
      <c r="R258" s="507" t="str">
        <f t="shared" si="19"/>
        <v/>
      </c>
      <c r="S258" s="521" t="str">
        <f t="shared" si="20"/>
        <v/>
      </c>
      <c r="T258" s="522" t="str">
        <f t="shared" si="18"/>
        <v/>
      </c>
      <c r="U258" s="537" t="str">
        <f>IF(D258="","",VLOOKUP(D258,'G-6 Hedgerow Data'!$B$3:$AG$15,31,FALSE))</f>
        <v/>
      </c>
      <c r="V258" s="520" t="str">
        <f t="shared" si="21"/>
        <v/>
      </c>
      <c r="W258" s="520" t="str">
        <f>(IF(AND(V258="Standard difficulty applied",O258&gt;P258),U258,IF(AND(V258="Low Difficulty - only applicable if all habitat created before losses",P258&gt;=O258),"Low",U258)))</f>
        <v/>
      </c>
      <c r="X258" s="524" t="str">
        <f>IF(F258="","",VLOOKUP(U258,'G-3 Multipliers'!$P$3:$Q$6,2,FALSE))</f>
        <v/>
      </c>
      <c r="Y258" s="529" t="str">
        <f t="shared" si="23"/>
        <v/>
      </c>
      <c r="Z258" s="149"/>
      <c r="AA258" s="150"/>
      <c r="AG258" s="31" t="str">
        <f>IFERROR(INDEX('G-6 Hedgerow Data'!$BJ$3:$BJ$15,MATCH(D258,'G-6 Hedgerow Data'!$B$3:$B$15,0)),"")</f>
        <v/>
      </c>
    </row>
    <row r="259" spans="2:33" ht="14.4" thickBot="1" x14ac:dyDescent="0.3">
      <c r="B259" s="194">
        <v>248</v>
      </c>
      <c r="C259" s="269"/>
      <c r="D259" s="82"/>
      <c r="E259" s="203"/>
      <c r="F259" s="500" t="str">
        <f>IF(D259="","",VLOOKUP(D259,'G-6 Hedgerow Data'!$B$2:$AG$15,2,FALSE))</f>
        <v/>
      </c>
      <c r="G259" s="524" t="str">
        <f>IF(D259="","",VLOOKUP(D259,'G-6 Hedgerow Data'!$B$2:$AG$15,3,FALSE))</f>
        <v/>
      </c>
      <c r="H259" s="72"/>
      <c r="I259" s="499" t="str">
        <f>IFERROR(IF(AND(F259="V.Low",OR(H259="Good",H259="Moderate")),"Error ▲",VLOOKUP(H259,'G-1 All Habitats'!$Z$2:$AA$9,2,FALSE)),"")</f>
        <v/>
      </c>
      <c r="J259" s="146"/>
      <c r="K259" s="508" t="str">
        <f>IF(J259="","",IF(VLOOKUP(J259,'G-3 Multipliers'!$L$3:$N$6,2,FALSE)=0,"Spatial Data Missing",VLOOKUP(J259,'G-3 Multipliers'!$L$3:$N$6,2,FALSE)))</f>
        <v/>
      </c>
      <c r="L259" s="501" t="str">
        <f>IF(J259="","",IF(VLOOKUP(J259,'G-3 Multipliers'!$L$3:$N$6,3,FALSE)=0,"Spatial Data Missing",VLOOKUP(J259,'G-3 Multipliers'!$L$3:$N$6,3,FALSE)))</f>
        <v/>
      </c>
      <c r="M259" s="271"/>
      <c r="N259" s="499" t="str">
        <f>IF(M259="","",IF(VLOOKUP(M259,'G-3 Multipliers'!$S$3:$T$6,2,FALSE)=0,"Spatial Data Missing ⚠",VLOOKUP(M259,'G-3 Multipliers'!$S$3:$T$6,2,FALSE)))</f>
        <v/>
      </c>
      <c r="O259" s="498" t="str">
        <f>IF(OR(D259="",H259=""),"",(INDEX('G-6 Hedgerow Data'!$E$3:$I$15,MATCH(D259,'G-6 Hedgerow Data'!$B$3:$B$15,0),MATCH(H259,'G-6 Hedgerow Data'!$E$2:$I$2,0))))</f>
        <v/>
      </c>
      <c r="P259" s="195"/>
      <c r="Q259" s="206"/>
      <c r="R259" s="507" t="str">
        <f t="shared" si="19"/>
        <v/>
      </c>
      <c r="S259" s="521" t="str">
        <f t="shared" si="20"/>
        <v/>
      </c>
      <c r="T259" s="522" t="str">
        <f t="shared" si="18"/>
        <v/>
      </c>
      <c r="U259" s="500" t="str">
        <f>IF(D259="","",VLOOKUP(D259,'G-6 Hedgerow Data'!$B$3:$AG$15,31,FALSE))</f>
        <v/>
      </c>
      <c r="V259" s="520" t="str">
        <f t="shared" si="21"/>
        <v/>
      </c>
      <c r="W259" s="534" t="str">
        <f t="shared" si="22"/>
        <v/>
      </c>
      <c r="X259" s="536" t="str">
        <f>IF(F259="","",VLOOKUP(U259,'G-3 Multipliers'!$P$3:$Q$6,2,FALSE))</f>
        <v/>
      </c>
      <c r="Y259" s="530" t="str">
        <f t="shared" si="23"/>
        <v/>
      </c>
      <c r="Z259" s="163"/>
      <c r="AA259" s="164"/>
      <c r="AG259" s="31" t="str">
        <f>IFERROR(INDEX('G-6 Hedgerow Data'!$BJ$3:$BJ$15,MATCH(D259,'G-6 Hedgerow Data'!$B$3:$B$15,0)),"")</f>
        <v/>
      </c>
    </row>
    <row r="260" spans="2:33" ht="14.4" thickBot="1" x14ac:dyDescent="0.3">
      <c r="B260" s="46"/>
      <c r="C260" s="46"/>
      <c r="D260" s="277"/>
      <c r="E260" s="503">
        <f>SUM(E12:E259)</f>
        <v>0</v>
      </c>
      <c r="F260" s="46"/>
      <c r="G260" s="46"/>
      <c r="H260" s="46"/>
      <c r="I260" s="46"/>
      <c r="J260" s="46"/>
      <c r="K260" s="46"/>
      <c r="L260" s="46"/>
      <c r="M260" s="46"/>
      <c r="N260" s="46"/>
      <c r="O260" s="46"/>
      <c r="P260" s="46"/>
      <c r="Q260" s="46"/>
      <c r="R260" s="46"/>
      <c r="S260" s="46"/>
      <c r="T260" s="46"/>
      <c r="U260" s="46"/>
      <c r="V260" s="46"/>
      <c r="W260" s="998"/>
      <c r="X260" s="998"/>
      <c r="Y260" s="503">
        <f>SUM(Y12:Y259)</f>
        <v>0</v>
      </c>
      <c r="Z260" s="46"/>
      <c r="AA260" s="46"/>
    </row>
    <row r="261" spans="2:33" ht="28.95" customHeight="1" x14ac:dyDescent="0.25">
      <c r="E261" s="981"/>
      <c r="F261" s="981"/>
      <c r="G261" s="981"/>
      <c r="H261" s="981"/>
      <c r="I261" s="981"/>
      <c r="J261" s="981"/>
    </row>
    <row r="262" spans="2:33" ht="27" customHeight="1" x14ac:dyDescent="0.25"/>
    <row r="263" spans="2:33" ht="13.8" x14ac:dyDescent="0.25"/>
    <row r="264" spans="2:33" ht="13.8" x14ac:dyDescent="0.25"/>
    <row r="265" spans="2:33" ht="13.8" x14ac:dyDescent="0.25"/>
    <row r="266" spans="2:33" ht="13.8" hidden="1" x14ac:dyDescent="0.25"/>
    <row r="267" spans="2:33" ht="13.8" hidden="1" x14ac:dyDescent="0.25"/>
    <row r="268" spans="2:33" ht="13.8" hidden="1" x14ac:dyDescent="0.25"/>
  </sheetData>
  <sheetProtection algorithmName="SHA-512" hashValue="BzaVWXJ/g6y5PdW6wjwvJ8aQ9bqxp3gM6AzD9pBXnLeAC9ESoN024J8on+w6JbBC87MlzwTIbp/I6faplmZvPw==" saltValue="meB2O9kS6yQmOCaoNsqQu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B2:E2"/>
    <mergeCell ref="B3:E4"/>
    <mergeCell ref="D10:E10"/>
    <mergeCell ref="M10:N10"/>
    <mergeCell ref="O10:T10"/>
    <mergeCell ref="F10:G10"/>
    <mergeCell ref="H10:I10"/>
    <mergeCell ref="O2:T5"/>
    <mergeCell ref="W260:X260"/>
    <mergeCell ref="E261:J261"/>
    <mergeCell ref="Y10:Y11"/>
    <mergeCell ref="Z10:AA10"/>
    <mergeCell ref="J10:L10"/>
    <mergeCell ref="U10:X10"/>
  </mergeCells>
  <conditionalFormatting sqref="Y12">
    <cfRule type="containsText" dxfId="83" priority="16" operator="containsText" text="Existing Value Not Required">
      <formula>NOT(ISERROR(SEARCH("Existing Value Not Required",Y12)))</formula>
    </cfRule>
    <cfRule type="containsText" dxfId="82" priority="17" operator="containsText" text="Existing Value Required">
      <formula>NOT(ISERROR(SEARCH("Existing Value Required",Y12)))</formula>
    </cfRule>
  </conditionalFormatting>
  <conditionalFormatting sqref="M12:M16">
    <cfRule type="containsText" dxfId="81" priority="12" operator="containsText" text="Existing Value Not Required">
      <formula>NOT(ISERROR(SEARCH("Existing Value Not Required",M12)))</formula>
    </cfRule>
    <cfRule type="containsText" dxfId="80" priority="13" operator="containsText" text="Existing Value Required">
      <formula>NOT(ISERROR(SEARCH("Existing Value Required",M12)))</formula>
    </cfRule>
  </conditionalFormatting>
  <conditionalFormatting sqref="Y13:Y259">
    <cfRule type="containsText" dxfId="79" priority="10" operator="containsText" text="Existing Value Not Required">
      <formula>NOT(ISERROR(SEARCH("Existing Value Not Required",Y13)))</formula>
    </cfRule>
    <cfRule type="containsText" dxfId="78" priority="11" operator="containsText" text="Existing Value Required">
      <formula>NOT(ISERROR(SEARCH("Existing Value Required",Y13)))</formula>
    </cfRule>
  </conditionalFormatting>
  <conditionalFormatting sqref="M13:M259">
    <cfRule type="containsText" dxfId="77" priority="8" operator="containsText" text="Existing Value Not Required">
      <formula>NOT(ISERROR(SEARCH("Existing Value Not Required",M13)))</formula>
    </cfRule>
    <cfRule type="containsText" dxfId="76" priority="9" operator="containsText" text="Existing Value Required">
      <formula>NOT(ISERROR(SEARCH("Existing Value Required",M13)))</formula>
    </cfRule>
  </conditionalFormatting>
  <conditionalFormatting sqref="I12:Y259">
    <cfRule type="containsText" dxfId="75" priority="7" operator="containsText" text="Error">
      <formula>NOT(ISERROR(SEARCH("Error",I12)))</formula>
    </cfRule>
  </conditionalFormatting>
  <conditionalFormatting sqref="K12:L259">
    <cfRule type="containsText" dxfId="74" priority="6" operator="containsText" text="Spatial">
      <formula>NOT(ISERROR(SEARCH("Spatial",K12)))</formula>
    </cfRule>
  </conditionalFormatting>
  <conditionalFormatting sqref="N12:N259">
    <cfRule type="containsText" dxfId="73" priority="5" operator="containsText" text="Spatial">
      <formula>NOT(ISERROR(SEARCH("Spatial",N12)))</formula>
    </cfRule>
  </conditionalFormatting>
  <conditionalFormatting sqref="O6:S6 O2">
    <cfRule type="containsText" dxfId="72" priority="4" operator="containsText" text="Note">
      <formula>NOT(ISERROR(SEARCH("Note",O2)))</formula>
    </cfRule>
  </conditionalFormatting>
  <conditionalFormatting sqref="R12:Y259">
    <cfRule type="containsText" dxfId="71" priority="3" operator="containsText" text="Check">
      <formula>NOT(ISERROR(SEARCH("Check",R12)))</formula>
    </cfRule>
  </conditionalFormatting>
  <conditionalFormatting sqref="V12:V259">
    <cfRule type="beginsWith" dxfId="70" priority="2" operator="beginsWith" text="No">
      <formula>LEFT(V12,LEN("No"))="No"</formula>
    </cfRule>
  </conditionalFormatting>
  <conditionalFormatting sqref="E261:J261">
    <cfRule type="containsText" dxfId="69" priority="1" operator="containsText" text="Check">
      <formula>NOT(ISERROR(SEARCH("Check",E261)))</formula>
    </cfRule>
  </conditionalFormatting>
  <dataValidations count="1">
    <dataValidation type="list" allowBlank="1" showInputMessage="1" showErrorMessage="1" sqref="H12:H259" xr:uid="{00000000-0002-0000-13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3000000}">
          <x14:formula1>
            <xm:f>'G-3 Multipliers'!$S$4:$S$6</xm:f>
          </x14:formula1>
          <xm:sqref>M12:M259</xm:sqref>
        </x14:dataValidation>
        <x14:dataValidation type="list" allowBlank="1" showInputMessage="1" showErrorMessage="1" xr:uid="{00000000-0002-0000-1300-000004000000}">
          <x14:formula1>
            <xm:f>'G-4 Temporal multipliers'!$A$41:$A$72</xm:f>
          </x14:formula1>
          <xm:sqref>P12:Q259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P503"/>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1" style="31" customWidth="1"/>
    <col min="3" max="3" width="52.44140625" style="31" customWidth="1"/>
    <col min="4" max="4" width="8.6640625" style="31" customWidth="1"/>
    <col min="5" max="5" width="17.88671875" style="31" customWidth="1"/>
    <col min="6" max="6" width="18.33203125" style="31" customWidth="1"/>
    <col min="7" max="7" width="18.109375" style="31" customWidth="1"/>
    <col min="8" max="11" width="19.33203125" style="31" customWidth="1"/>
    <col min="12" max="12" width="23" style="31" customWidth="1"/>
    <col min="13" max="13" width="47.44140625" style="31" customWidth="1"/>
    <col min="14" max="15" width="34.33203125" style="31" customWidth="1"/>
    <col min="16" max="16" width="10.6640625" style="31" customWidth="1"/>
    <col min="17" max="17" width="18.109375" style="31" customWidth="1"/>
    <col min="18" max="18" width="13.5546875" style="31" customWidth="1"/>
    <col min="19" max="19" width="14.6640625" style="31" customWidth="1"/>
    <col min="20" max="20" width="13.5546875" style="31" customWidth="1"/>
    <col min="21" max="21" width="41.6640625" style="31" customWidth="1"/>
    <col min="22" max="22" width="15.44140625" style="31" customWidth="1"/>
    <col min="23" max="23" width="12.33203125" style="31" customWidth="1"/>
    <col min="24" max="24" width="17.6640625" style="31" customWidth="1"/>
    <col min="25" max="25" width="20.6640625" style="31" customWidth="1"/>
    <col min="26" max="26" width="23" style="31" customWidth="1"/>
    <col min="27" max="27" width="29.5546875" style="31" customWidth="1"/>
    <col min="28" max="28" width="17.6640625" style="31" customWidth="1"/>
    <col min="29" max="29" width="15.33203125" style="31" customWidth="1"/>
    <col min="30" max="30" width="15.5546875" style="31" customWidth="1"/>
    <col min="31" max="31" width="26.33203125" style="31" customWidth="1"/>
    <col min="32" max="32" width="15.33203125" style="31" customWidth="1"/>
    <col min="33" max="33" width="12.6640625" style="31" customWidth="1"/>
    <col min="34" max="34" width="68.109375" style="31" customWidth="1"/>
    <col min="35" max="35" width="13.44140625" style="31" customWidth="1"/>
    <col min="36" max="36" width="12.6640625" style="31" customWidth="1"/>
    <col min="37" max="37" width="39" style="31" customWidth="1"/>
    <col min="38" max="38" width="38.44140625" style="31" customWidth="1"/>
    <col min="39" max="41" width="8.88671875" style="31" customWidth="1"/>
    <col min="42" max="42" width="15.88671875" style="31" hidden="1" customWidth="1"/>
    <col min="43" max="16384" width="8.88671875" style="31" hidden="1"/>
  </cols>
  <sheetData>
    <row r="1" spans="2:42" ht="15.75" customHeight="1" x14ac:dyDescent="0.25"/>
    <row r="2" spans="2:42" ht="19.95" customHeight="1" x14ac:dyDescent="0.25">
      <c r="B2" s="191"/>
      <c r="C2" s="192"/>
      <c r="O2" s="132"/>
      <c r="X2" s="919" t="str">
        <f>IF(OR(COUNTIF($X$12:X257,"*30+*")&gt;0,COUNTIF($AB$12:AB257,"*30+*")&gt;0),"Note; Habitat selected has a time to target condition greater than 30 years. Non standard agreement may be required. ⚠","")</f>
        <v/>
      </c>
      <c r="Y2" s="919"/>
      <c r="Z2" s="919"/>
      <c r="AA2" s="919"/>
      <c r="AB2" s="919"/>
      <c r="AC2" s="919"/>
    </row>
    <row r="3" spans="2:42" ht="19.2" customHeight="1" x14ac:dyDescent="0.25">
      <c r="B3" s="1007" t="str">
        <f ca="1">MID(CELL("filename",A1),FIND("]",CELL("filename",A1))+1,256)</f>
        <v>E-3 Off Site Hedge Enhancement</v>
      </c>
      <c r="C3" s="1008"/>
      <c r="X3" s="919"/>
      <c r="Y3" s="919"/>
      <c r="Z3" s="919"/>
      <c r="AA3" s="919"/>
      <c r="AB3" s="919"/>
      <c r="AC3" s="919"/>
    </row>
    <row r="4" spans="2:42" ht="15.75" customHeight="1" x14ac:dyDescent="0.25">
      <c r="B4" s="1009"/>
      <c r="C4" s="1010"/>
      <c r="X4" s="919"/>
      <c r="Y4" s="919"/>
      <c r="Z4" s="919"/>
      <c r="AA4" s="919"/>
      <c r="AB4" s="919"/>
      <c r="AC4" s="919"/>
    </row>
    <row r="5" spans="2:42" ht="15.75" customHeight="1" x14ac:dyDescent="0.3">
      <c r="W5" s="193"/>
      <c r="X5" s="193"/>
      <c r="Y5" s="193"/>
      <c r="Z5" s="193"/>
      <c r="AA5" s="193"/>
      <c r="AB5" s="193"/>
      <c r="AC5" s="193"/>
      <c r="AD5" s="193"/>
      <c r="AE5" s="193"/>
      <c r="AF5" s="193"/>
      <c r="AG5" s="193"/>
      <c r="AH5" s="193"/>
    </row>
    <row r="6" spans="2:42" ht="27.6" customHeight="1" x14ac:dyDescent="0.25"/>
    <row r="7" spans="2:42" ht="14.4" thickBot="1" x14ac:dyDescent="0.3">
      <c r="B7" s="132"/>
      <c r="C7" s="132"/>
      <c r="M7" s="131"/>
    </row>
    <row r="8" spans="2:42" ht="14.4" thickBot="1" x14ac:dyDescent="0.3">
      <c r="M8" s="951" t="s">
        <v>317</v>
      </c>
      <c r="N8" s="952"/>
      <c r="O8" s="952"/>
      <c r="P8" s="952"/>
      <c r="Q8" s="952"/>
      <c r="R8" s="952"/>
      <c r="S8" s="952"/>
      <c r="T8" s="952"/>
      <c r="U8" s="952"/>
      <c r="V8" s="952"/>
      <c r="W8" s="952"/>
      <c r="X8" s="952"/>
      <c r="Y8" s="952"/>
      <c r="Z8" s="952"/>
      <c r="AA8" s="952"/>
      <c r="AB8" s="952"/>
      <c r="AC8" s="952"/>
      <c r="AD8" s="952"/>
      <c r="AE8" s="952"/>
      <c r="AF8" s="952"/>
      <c r="AG8" s="952"/>
      <c r="AH8" s="952"/>
      <c r="AI8" s="953"/>
    </row>
    <row r="9" spans="2:42" ht="14.4" thickBot="1" x14ac:dyDescent="0.3">
      <c r="C9" s="131"/>
      <c r="D9" s="131"/>
      <c r="E9" s="131"/>
      <c r="F9" s="131"/>
      <c r="G9" s="131"/>
      <c r="H9" s="131"/>
      <c r="I9" s="131"/>
      <c r="J9" s="131"/>
      <c r="K9" s="131"/>
      <c r="L9" s="131"/>
      <c r="M9" s="1003" t="s">
        <v>249</v>
      </c>
      <c r="N9" s="1004"/>
      <c r="O9" s="1004"/>
      <c r="P9" s="1004"/>
      <c r="Q9" s="1004"/>
      <c r="R9" s="1004"/>
      <c r="S9" s="1004"/>
      <c r="T9" s="1004"/>
      <c r="U9" s="1004"/>
      <c r="V9" s="1004"/>
      <c r="W9" s="1004"/>
      <c r="X9" s="1004"/>
      <c r="Y9" s="1004"/>
      <c r="Z9" s="1004"/>
      <c r="AA9" s="1004"/>
      <c r="AB9" s="1004"/>
      <c r="AC9" s="1004"/>
      <c r="AD9" s="1004"/>
      <c r="AE9" s="1004"/>
      <c r="AF9" s="1004"/>
      <c r="AG9" s="1004"/>
      <c r="AH9" s="1004"/>
      <c r="AI9" s="1005"/>
    </row>
    <row r="10" spans="2:42" s="42" customFormat="1" ht="30" customHeight="1" thickBot="1" x14ac:dyDescent="0.3">
      <c r="C10" s="1006" t="s">
        <v>247</v>
      </c>
      <c r="D10" s="1012"/>
      <c r="E10" s="1012"/>
      <c r="F10" s="1012"/>
      <c r="G10" s="1012"/>
      <c r="H10" s="1012"/>
      <c r="I10" s="1012"/>
      <c r="J10" s="1012"/>
      <c r="K10" s="1012"/>
      <c r="L10" s="1013"/>
      <c r="M10" s="1006" t="s">
        <v>1558</v>
      </c>
      <c r="N10" s="880" t="s">
        <v>308</v>
      </c>
      <c r="O10" s="878"/>
      <c r="P10" s="939" t="s">
        <v>294</v>
      </c>
      <c r="Q10" s="880" t="s">
        <v>189</v>
      </c>
      <c r="R10" s="878"/>
      <c r="S10" s="880" t="s">
        <v>190</v>
      </c>
      <c r="T10" s="878"/>
      <c r="U10" s="967" t="s">
        <v>191</v>
      </c>
      <c r="V10" s="968"/>
      <c r="W10" s="969"/>
      <c r="X10" s="967" t="s">
        <v>228</v>
      </c>
      <c r="Y10" s="968"/>
      <c r="Z10" s="968"/>
      <c r="AA10" s="968"/>
      <c r="AB10" s="968"/>
      <c r="AC10" s="969"/>
      <c r="AD10" s="940" t="s">
        <v>252</v>
      </c>
      <c r="AE10" s="940"/>
      <c r="AF10" s="940"/>
      <c r="AG10" s="940"/>
      <c r="AH10" s="133" t="s">
        <v>280</v>
      </c>
      <c r="AI10" s="970" t="s">
        <v>280</v>
      </c>
      <c r="AJ10" s="970" t="s">
        <v>302</v>
      </c>
      <c r="AK10" s="967" t="s">
        <v>196</v>
      </c>
      <c r="AL10" s="969"/>
    </row>
    <row r="11" spans="2:42" ht="62.25" customHeight="1" thickBot="1" x14ac:dyDescent="0.3">
      <c r="B11" s="135" t="s">
        <v>254</v>
      </c>
      <c r="C11" s="136" t="s">
        <v>255</v>
      </c>
      <c r="D11" s="136" t="s">
        <v>294</v>
      </c>
      <c r="E11" s="136" t="s">
        <v>257</v>
      </c>
      <c r="F11" s="136" t="s">
        <v>258</v>
      </c>
      <c r="G11" s="136" t="s">
        <v>259</v>
      </c>
      <c r="H11" s="136" t="s">
        <v>260</v>
      </c>
      <c r="I11" s="136" t="s">
        <v>261</v>
      </c>
      <c r="J11" s="136" t="s">
        <v>262</v>
      </c>
      <c r="K11" s="136" t="s">
        <v>263</v>
      </c>
      <c r="L11" s="137" t="s">
        <v>309</v>
      </c>
      <c r="M11" s="1006"/>
      <c r="N11" s="141" t="s">
        <v>310</v>
      </c>
      <c r="O11" s="359" t="s">
        <v>311</v>
      </c>
      <c r="P11" s="940"/>
      <c r="Q11" s="141" t="s">
        <v>189</v>
      </c>
      <c r="R11" s="359" t="s">
        <v>206</v>
      </c>
      <c r="S11" s="141" t="s">
        <v>190</v>
      </c>
      <c r="T11" s="359" t="s">
        <v>206</v>
      </c>
      <c r="U11" s="141" t="s">
        <v>191</v>
      </c>
      <c r="V11" s="103" t="s">
        <v>191</v>
      </c>
      <c r="W11" s="359" t="s">
        <v>231</v>
      </c>
      <c r="X11" s="368" t="s">
        <v>304</v>
      </c>
      <c r="Y11" s="201" t="s">
        <v>268</v>
      </c>
      <c r="Z11" s="201" t="s">
        <v>269</v>
      </c>
      <c r="AA11" s="201" t="s">
        <v>235</v>
      </c>
      <c r="AB11" s="201" t="s">
        <v>236</v>
      </c>
      <c r="AC11" s="202" t="s">
        <v>312</v>
      </c>
      <c r="AD11" s="368" t="s">
        <v>313</v>
      </c>
      <c r="AE11" s="201" t="s">
        <v>305</v>
      </c>
      <c r="AF11" s="201" t="s">
        <v>314</v>
      </c>
      <c r="AG11" s="202" t="s">
        <v>241</v>
      </c>
      <c r="AH11" s="135" t="s">
        <v>283</v>
      </c>
      <c r="AI11" s="1011"/>
      <c r="AJ11" s="997"/>
      <c r="AK11" s="141" t="s">
        <v>215</v>
      </c>
      <c r="AL11" s="359" t="s">
        <v>216</v>
      </c>
      <c r="AP11" s="131" t="s">
        <v>200</v>
      </c>
    </row>
    <row r="12" spans="2:42" ht="13.8" x14ac:dyDescent="0.25">
      <c r="B12" s="531" t="str">
        <f>'E-1 Off Site Hedge Baseline'!AK10</f>
        <v/>
      </c>
      <c r="C12" s="520" t="str">
        <f>IF(B12="","",IF(ISNA(VLOOKUP($B12,'E-1 Off Site Hedge Baseline'!$B$1:$L$257,3,FALSE)),"",(VLOOKUP($B12,'E-1 Off Site Hedge Baseline'!$B$1:$L$257,3,FALSE))))</f>
        <v/>
      </c>
      <c r="D12" s="520" t="str">
        <f>IF(B12="","",IF(ISNA(VLOOKUP($B12,'E-1 Off Site Hedge Baseline'!$B$1:$L$258,4,FALSE)),"",(VLOOKUP($B12,'E-1 Off Site Hedge Baseline'!$B$1:$L$258,4,FALSE))))</f>
        <v/>
      </c>
      <c r="E12" s="520" t="str">
        <f>IF(B12="","",IF(ISNA(VLOOKUP($B12,'E-1 Off Site Hedge Baseline'!$B$1:$L$257,5,FALSE)),"",(VLOOKUP($B12,'E-1 Off Site Hedge Baseline'!$B$1:$L$257,5,FALSE))))</f>
        <v/>
      </c>
      <c r="F12" s="520" t="str">
        <f>IF(B12="","",IF(ISNA(VLOOKUP($B12,'E-1 Off Site Hedge Baseline'!$B$1:$L$257,6,FALSE)),"",(VLOOKUP($B12,'E-1 Off Site Hedge Baseline'!$B$1:$L$257,6,FALSE))))</f>
        <v/>
      </c>
      <c r="G12" s="520" t="str">
        <f>IF(B12="","",IF(ISNA(VLOOKUP($B12,'E-1 Off Site Hedge Baseline'!$B$1:$L$257,7,FALSE)),"",(VLOOKUP($B12,'E-1 Off Site Hedge Baseline'!$B$1:$L$257,7,FALSE))))</f>
        <v/>
      </c>
      <c r="H12" s="520" t="str">
        <f>IF(B12="","",IF(ISNA(VLOOKUP($B12,'E-1 Off Site Hedge Baseline'!$B$1:$L$257,8,FALSE)),"",(VLOOKUP($B12,'E-1 Off Site Hedge Baseline'!$B$1:$L$257,8,FALSE))))</f>
        <v/>
      </c>
      <c r="I12" s="520" t="str">
        <f>IF(B12="","",IF(ISNA(VLOOKUP($B12,'E-1 Off Site Hedge Baseline'!$B$1:$L$257,10,FALSE)),"",(VLOOKUP($B12,'E-1 Off Site Hedge Baseline'!$B$1:$L$257,10,FALSE))))</f>
        <v/>
      </c>
      <c r="J12" s="520" t="str">
        <f>IF(B12="","",IF(ISNA(VLOOKUP($B12,'E-1 Off Site Hedge Baseline'!$B$1:$L$257,11,FALSE)),"",(VLOOKUP($B12,'E-1 Off Site Hedge Baseline'!$B$1:$L$257,11,FALSE))))</f>
        <v/>
      </c>
      <c r="K12" s="520" t="str">
        <f>IF(B12="","",IF(ISNA(VLOOKUP($B12,'E-1 Off Site Hedge Baseline'!$B$1:$U$257,113,FALSE)),"",(VLOOKUP($B12,'E-1 Off Site Hedge Baseline'!$B$1:$U$257,13,FALSE))))</f>
        <v/>
      </c>
      <c r="L12" s="507" t="str">
        <f>IF(B12="","",IF(ISNA(VLOOKUP($B12,'E-1 Off Site Hedge Baseline'!$B$1:$U$257,12,FALSE)),"",(VLOOKUP($B12,'E-1 Off Site Hedge Baseline'!$B$1:$U$257,12,FALSE))))</f>
        <v/>
      </c>
      <c r="M12" s="418" t="str">
        <f t="shared" ref="M12:M16" si="0">C12</f>
        <v/>
      </c>
      <c r="N12" s="498" t="str">
        <f>IFERROR(IF(B12="","",INDEX('G-6 Hedgerow Data'!$AN$3:$AZ$15,MATCH(C12,'G-6 Hedgerow Data'!$AM$3:$AM$15,0),MATCH(M12,'G-6 Hedgerow Data'!$AN$2:$AZ$2,0))),"")</f>
        <v/>
      </c>
      <c r="O12" s="499"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05" t="str">
        <f>IF(B12="","",VLOOKUP(B12,'E-1 Off Site Hedge Baseline'!$B$10:T257,16,FALSE))</f>
        <v/>
      </c>
      <c r="Q12" s="498" t="str">
        <f>IF(M12="","",VLOOKUP(M12,'G-6 Hedgerow Data'!$B$2:$AG$15,2,FALSE))</f>
        <v/>
      </c>
      <c r="R12" s="499" t="str">
        <f>IF(M12="","",VLOOKUP(M12,'G-6 Hedgerow Data'!$B$2:$AG$15,3,FALSE))</f>
        <v/>
      </c>
      <c r="S12" s="71"/>
      <c r="T12" s="499" t="str">
        <f>IFERROR(IF(AND(Q12="V.Low",OR(S12="Good",S12="Moderate")),"Error ▲",VLOOKUP(S12,'G-1 All Habitats'!$Z$2:$AA$9,2,FALSE)),"")</f>
        <v/>
      </c>
      <c r="U12" s="71"/>
      <c r="V12" s="507" t="str">
        <f>IF(U12="","",IF(VLOOKUP(U12,'G-3 Multipliers'!$L$3:$N$6,2,FALSE)=0,"Spatial Data Missing ⚠",VLOOKUP(U12,'G-3 Multipliers'!$L$3:$N$6,2,FALSE)))</f>
        <v/>
      </c>
      <c r="W12" s="505" t="str">
        <f>IF(U12="","",IF(VLOOKUP(U12,'G-3 Multipliers'!$L$3:$N$6,3,FALSE)=0,"Spatial Data Missing ⚠",VLOOKUP(U12,'G-3 Multipliers'!$L$3:$N$6,3,FALSE)))</f>
        <v/>
      </c>
      <c r="X12" s="498"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7"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1" t="str">
        <f>IF(X12="","",IF(AA12="Check Data ⚠","Check Data ⚠",IF(Y12="30+ ⚠",0,IF(Z12="30+","30+ ⚠",IF(X12+Z12&gt;30,"30+ ⚠",IF(LEFT(AA12,5)="Error ▲","Check Data ⚠",IF(X12+Z12-Y12&gt;0,X12+Z12-Y12,IF(X12-Y12&lt;=0,0,))))))))</f>
        <v/>
      </c>
      <c r="AC12" s="522" t="str">
        <f t="shared" ref="AC12:AC75" si="1">IF(OR(S12="",M12=""),"",IF(LEFT(AB12,5)="Error ▲","Check Data ⚠",IF(AB12="Check Data ⚠","Check Data ⚠",VLOOKUP(AB12,TemporalMultipliers,3,FALSE))))</f>
        <v/>
      </c>
      <c r="AD12" s="537" t="str">
        <f>IF(M12="","",VLOOKUP(M12,'G-6 Hedgerow Data'!$B$3:$AG$15,31,FALSE))</f>
        <v/>
      </c>
      <c r="AE12" s="520" t="str">
        <f>IF(M12="","",IF(OR(LEFT(AA12,5)="Error ▲",AA12="Check Data ⚠"),"Check Data ⚠",IF(X12="","",IF($AA12="Check details - Is there evidence that habitat has reached target condition? ⚠","Low Difficulty - only applicable if all habitat created before losses ⚠","Standard difficulty applied"))))</f>
        <v/>
      </c>
      <c r="AF12" s="520" t="str">
        <f>(IF(AND(AE12="Yes",X12&gt;Y12),AD12,IF(AND(AE12="Low Difficulty - only applicable if all habitat created before losses ⚠",Y12&gt;=X12),"Low",AD12)))</f>
        <v/>
      </c>
      <c r="AG12" s="524" t="str">
        <f>IFERROR(IF(O12="","",VLOOKUP(AD12,'G-3 Multipliers'!$P$3:$Q$6,2,FALSE)),"")</f>
        <v/>
      </c>
      <c r="AH12" s="196"/>
      <c r="AI12" s="499" t="str">
        <f>IF(AH12="","",IF(VLOOKUP(AH12,'G-3 Multipliers'!$S$3:$T$6,2,FALSE)=0,"Spatial Data Missing ⚠",VLOOKUP(AH12,'G-3 Multipliers'!$S$3:$T$6,2,FALSE)))</f>
        <v/>
      </c>
      <c r="AJ12" s="513" t="str">
        <f>IFERROR(IF(OR(M12="",S12="",U12="",AH12=""),"",(((((P12*R12*T12)-(P12*F12*H12))*(AG12*AC12))+(P12*F12*H12))*(W12)*AI12)),"")</f>
        <v/>
      </c>
      <c r="AK12" s="149"/>
      <c r="AL12" s="150"/>
      <c r="AP12" s="31" t="str">
        <f>IFERROR(INDEX('G-6 Hedgerow Data'!$BJ$3:$BJ$15,MATCH(M12,'G-6 Hedgerow Data'!$B$3:$B$15,0)),"")</f>
        <v/>
      </c>
    </row>
    <row r="13" spans="2:42" ht="13.8" x14ac:dyDescent="0.25">
      <c r="B13" s="531" t="str">
        <f>'E-1 Off Site Hedge Baseline'!AK11</f>
        <v/>
      </c>
      <c r="C13" s="520" t="str">
        <f>IF(B13="","",IF(ISNA(VLOOKUP($B13,'E-1 Off Site Hedge Baseline'!$B$1:$L$257,3,FALSE)),"",(VLOOKUP($B13,'E-1 Off Site Hedge Baseline'!$B$1:$L$257,3,FALSE))))</f>
        <v/>
      </c>
      <c r="D13" s="520" t="str">
        <f>IF(B13="","",IF(ISNA(VLOOKUP($B13,'E-1 Off Site Hedge Baseline'!$B$1:$L$258,4,FALSE)),"",(VLOOKUP($B13,'E-1 Off Site Hedge Baseline'!$B$1:$L$258,4,FALSE))))</f>
        <v/>
      </c>
      <c r="E13" s="520" t="str">
        <f>IF(B13="","",IF(ISNA(VLOOKUP($B13,'E-1 Off Site Hedge Baseline'!$B$1:$L$257,5,FALSE)),"",(VLOOKUP($B13,'E-1 Off Site Hedge Baseline'!$B$1:$L$257,5,FALSE))))</f>
        <v/>
      </c>
      <c r="F13" s="520" t="str">
        <f>IF(B13="","",IF(ISNA(VLOOKUP($B13,'E-1 Off Site Hedge Baseline'!$B$1:$L$257,6,FALSE)),"",(VLOOKUP($B13,'E-1 Off Site Hedge Baseline'!$B$1:$L$257,6,FALSE))))</f>
        <v/>
      </c>
      <c r="G13" s="520" t="str">
        <f>IF(B13="","",IF(ISNA(VLOOKUP($B13,'E-1 Off Site Hedge Baseline'!$B$1:$L$257,7,FALSE)),"",(VLOOKUP($B13,'E-1 Off Site Hedge Baseline'!$B$1:$L$257,7,FALSE))))</f>
        <v/>
      </c>
      <c r="H13" s="520" t="str">
        <f>IF(B13="","",IF(ISNA(VLOOKUP($B13,'E-1 Off Site Hedge Baseline'!$B$1:$L$257,8,FALSE)),"",(VLOOKUP($B13,'E-1 Off Site Hedge Baseline'!$B$1:$L$257,8,FALSE))))</f>
        <v/>
      </c>
      <c r="I13" s="520" t="str">
        <f>IF(B13="","",IF(ISNA(VLOOKUP($B13,'E-1 Off Site Hedge Baseline'!$B$1:$L$257,10,FALSE)),"",(VLOOKUP($B13,'E-1 Off Site Hedge Baseline'!$B$1:$L$257,10,FALSE))))</f>
        <v/>
      </c>
      <c r="J13" s="520" t="str">
        <f>IF(B13="","",IF(ISNA(VLOOKUP($B13,'E-1 Off Site Hedge Baseline'!$B$1:$L$257,11,FALSE)),"",(VLOOKUP($B13,'E-1 Off Site Hedge Baseline'!$B$1:$L$257,11,FALSE))))</f>
        <v/>
      </c>
      <c r="K13" s="520" t="str">
        <f>IF(B13="","",IF(ISNA(VLOOKUP($B13,'E-1 Off Site Hedge Baseline'!$B$1:$U$257,113,FALSE)),"",(VLOOKUP($B13,'E-1 Off Site Hedge Baseline'!$B$1:$U$257,13,FALSE))))</f>
        <v/>
      </c>
      <c r="L13" s="507" t="str">
        <f>IF(B13="","",IF(ISNA(VLOOKUP($B13,'E-1 Off Site Hedge Baseline'!$B$1:$U$257,12,FALSE)),"",(VLOOKUP($B13,'E-1 Off Site Hedge Baseline'!$B$1:$U$257,12,FALSE))))</f>
        <v/>
      </c>
      <c r="M13" s="418" t="str">
        <f t="shared" si="0"/>
        <v/>
      </c>
      <c r="N13" s="498" t="str">
        <f>IFERROR(IF(B13="","",INDEX('G-6 Hedgerow Data'!$AN$3:$AZ$15,MATCH(C13,'G-6 Hedgerow Data'!$AM$3:$AM$15,0),MATCH(M13,'G-6 Hedgerow Data'!$AN$2:$AZ$2,0))),"")</f>
        <v/>
      </c>
      <c r="O13" s="499"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05" t="str">
        <f>IF(B13="","",VLOOKUP(B13,'E-1 Off Site Hedge Baseline'!$B$10:T258,16,FALSE))</f>
        <v/>
      </c>
      <c r="Q13" s="498" t="str">
        <f>IF(M13="","",VLOOKUP(M13,'G-6 Hedgerow Data'!$B$2:$AG$15,2,FALSE))</f>
        <v/>
      </c>
      <c r="R13" s="499" t="str">
        <f>IF(M13="","",VLOOKUP(M13,'G-6 Hedgerow Data'!$B$2:$AG$15,3,FALSE))</f>
        <v/>
      </c>
      <c r="S13" s="71"/>
      <c r="T13" s="499" t="str">
        <f>IFERROR(IF(AND(Q13="V.Low",OR(S13="Good",S13="Moderate")),"Error ▲",VLOOKUP(S13,'G-1 All Habitats'!$Z$2:$AA$9,2,FALSE)),"")</f>
        <v/>
      </c>
      <c r="U13" s="71"/>
      <c r="V13" s="507" t="str">
        <f>IF(U13="","",IF(VLOOKUP(U13,'G-3 Multipliers'!$L$3:$N$6,2,FALSE)=0,"Spatial Data Missing ⚠",VLOOKUP(U13,'G-3 Multipliers'!$L$3:$N$6,2,FALSE)))</f>
        <v/>
      </c>
      <c r="W13" s="505" t="str">
        <f>IF(U13="","",IF(VLOOKUP(U13,'G-3 Multipliers'!$L$3:$N$6,3,FALSE)=0,"Spatial Data Missing ⚠",VLOOKUP(U13,'G-3 Multipliers'!$L$3:$N$6,3,FALSE)))</f>
        <v/>
      </c>
      <c r="X13" s="498"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7"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1" t="str">
        <f t="shared" ref="AB13:AB76" si="4">IF(X13="","",IF(AA13="Check Data ⚠","Check Data ⚠",IF(Y13="30+ ⚠",0,IF(Z13="30+","30+ ⚠",IF(X13+Z13&gt;30,"30+ ⚠",IF(LEFT(AA13,5)="Error ▲","Check Data ⚠",IF(X13+Z13-Y13&gt;0,X13+Z13-Y13,IF(X13-Y13&lt;=0,0,))))))))</f>
        <v/>
      </c>
      <c r="AC13" s="522" t="str">
        <f t="shared" si="1"/>
        <v/>
      </c>
      <c r="AD13" s="537" t="str">
        <f>IF(M13="","",VLOOKUP(M13,'G-6 Hedgerow Data'!$B$3:$AG$15,31,FALSE))</f>
        <v/>
      </c>
      <c r="AE13" s="520" t="str">
        <f t="shared" ref="AE13:AE76" si="5">IF(M13="","",IF(OR(LEFT(AA13,5)="Error ▲",AA13="Check Data ⚠"),"Check Data ⚠",IF(X13="","",IF($AA13="Check details - Is there evidence that habitat has reached target condition? ⚠","Low Difficulty - only applicable if all habitat created before losses ⚠","Standard difficulty applied"))))</f>
        <v/>
      </c>
      <c r="AF13" s="520" t="str">
        <f t="shared" ref="AF13:AF76" si="6">(IF(AND(AE13="Yes",X13&gt;Y13),AD13,IF(AND(AE13="Low Difficulty - only applicable if all habitat created before losses ⚠",Y13&gt;=X13),"Low",AD13)))</f>
        <v/>
      </c>
      <c r="AG13" s="524" t="str">
        <f>IFERROR(IF(O13="","",VLOOKUP(AD13,'G-3 Multipliers'!$P$3:$Q$6,2,FALSE)),"")</f>
        <v/>
      </c>
      <c r="AH13" s="196"/>
      <c r="AI13" s="499" t="str">
        <f>IF(AH13="","",IF(VLOOKUP(AH13,'G-3 Multipliers'!$S$3:$T$6,2,FALSE)=0,"Spatial Data Missing ⚠",VLOOKUP(AH13,'G-3 Multipliers'!$S$3:$T$6,2,FALSE)))</f>
        <v/>
      </c>
      <c r="AJ13" s="513" t="str">
        <f t="shared" ref="AJ13:AJ76" si="7">IFERROR(IF(OR(M13="",S13="",U13="",AH13=""),"",(((((P13*R13*T13)-(P13*F13*H13))*(AG13*AC13))+(P13*F13*H13))*(W13)*AI13)),"")</f>
        <v/>
      </c>
      <c r="AK13" s="149"/>
      <c r="AL13" s="150"/>
      <c r="AP13" s="31" t="str">
        <f>IFERROR(INDEX('G-6 Hedgerow Data'!$BJ$3:$BJ$15,MATCH(M13,'G-6 Hedgerow Data'!$B$3:$B$15,0)),"")</f>
        <v/>
      </c>
    </row>
    <row r="14" spans="2:42" ht="13.8" x14ac:dyDescent="0.25">
      <c r="B14" s="531" t="str">
        <f>'E-1 Off Site Hedge Baseline'!AK12</f>
        <v/>
      </c>
      <c r="C14" s="520" t="str">
        <f>IF(B14="","",IF(ISNA(VLOOKUP($B14,'E-1 Off Site Hedge Baseline'!$B$1:$L$257,3,FALSE)),"",(VLOOKUP($B14,'E-1 Off Site Hedge Baseline'!$B$1:$L$257,3,FALSE))))</f>
        <v/>
      </c>
      <c r="D14" s="520" t="str">
        <f>IF(B14="","",IF(ISNA(VLOOKUP($B14,'E-1 Off Site Hedge Baseline'!$B$1:$L$258,4,FALSE)),"",(VLOOKUP($B14,'E-1 Off Site Hedge Baseline'!$B$1:$L$258,4,FALSE))))</f>
        <v/>
      </c>
      <c r="E14" s="520" t="str">
        <f>IF(B14="","",IF(ISNA(VLOOKUP($B14,'E-1 Off Site Hedge Baseline'!$B$1:$L$257,5,FALSE)),"",(VLOOKUP($B14,'E-1 Off Site Hedge Baseline'!$B$1:$L$257,5,FALSE))))</f>
        <v/>
      </c>
      <c r="F14" s="520" t="str">
        <f>IF(B14="","",IF(ISNA(VLOOKUP($B14,'E-1 Off Site Hedge Baseline'!$B$1:$L$257,6,FALSE)),"",(VLOOKUP($B14,'E-1 Off Site Hedge Baseline'!$B$1:$L$257,6,FALSE))))</f>
        <v/>
      </c>
      <c r="G14" s="520" t="str">
        <f>IF(B14="","",IF(ISNA(VLOOKUP($B14,'E-1 Off Site Hedge Baseline'!$B$1:$L$257,7,FALSE)),"",(VLOOKUP($B14,'E-1 Off Site Hedge Baseline'!$B$1:$L$257,7,FALSE))))</f>
        <v/>
      </c>
      <c r="H14" s="520" t="str">
        <f>IF(B14="","",IF(ISNA(VLOOKUP($B14,'E-1 Off Site Hedge Baseline'!$B$1:$L$257,8,FALSE)),"",(VLOOKUP($B14,'E-1 Off Site Hedge Baseline'!$B$1:$L$257,8,FALSE))))</f>
        <v/>
      </c>
      <c r="I14" s="520" t="str">
        <f>IF(B14="","",IF(ISNA(VLOOKUP($B14,'E-1 Off Site Hedge Baseline'!$B$1:$L$257,10,FALSE)),"",(VLOOKUP($B14,'E-1 Off Site Hedge Baseline'!$B$1:$L$257,10,FALSE))))</f>
        <v/>
      </c>
      <c r="J14" s="520" t="str">
        <f>IF(B14="","",IF(ISNA(VLOOKUP($B14,'E-1 Off Site Hedge Baseline'!$B$1:$L$257,11,FALSE)),"",(VLOOKUP($B14,'E-1 Off Site Hedge Baseline'!$B$1:$L$257,11,FALSE))))</f>
        <v/>
      </c>
      <c r="K14" s="520" t="str">
        <f>IF(B14="","",IF(ISNA(VLOOKUP($B14,'E-1 Off Site Hedge Baseline'!$B$1:$U$257,113,FALSE)),"",(VLOOKUP($B14,'E-1 Off Site Hedge Baseline'!$B$1:$U$257,13,FALSE))))</f>
        <v/>
      </c>
      <c r="L14" s="507" t="str">
        <f>IF(B14="","",IF(ISNA(VLOOKUP($B14,'E-1 Off Site Hedge Baseline'!$B$1:$U$257,12,FALSE)),"",(VLOOKUP($B14,'E-1 Off Site Hedge Baseline'!$B$1:$U$257,12,FALSE))))</f>
        <v/>
      </c>
      <c r="M14" s="418" t="str">
        <f t="shared" si="0"/>
        <v/>
      </c>
      <c r="N14" s="498" t="str">
        <f>IFERROR(IF(B14="","",INDEX('G-6 Hedgerow Data'!$AN$3:$AZ$15,MATCH(C14,'G-6 Hedgerow Data'!$AM$3:$AM$15,0),MATCH(M14,'G-6 Hedgerow Data'!$AN$2:$AZ$2,0))),"")</f>
        <v/>
      </c>
      <c r="O14" s="499" t="str">
        <f t="shared" si="2"/>
        <v/>
      </c>
      <c r="P14" s="505" t="str">
        <f>IF(B14="","",VLOOKUP(B14,'E-1 Off Site Hedge Baseline'!$B$10:T259,16,FALSE))</f>
        <v/>
      </c>
      <c r="Q14" s="498" t="str">
        <f>IF(M14="","",VLOOKUP(M14,'G-6 Hedgerow Data'!$B$2:$AG$15,2,FALSE))</f>
        <v/>
      </c>
      <c r="R14" s="499" t="str">
        <f>IF(M14="","",VLOOKUP(M14,'G-6 Hedgerow Data'!$B$2:$AG$15,3,FALSE))</f>
        <v/>
      </c>
      <c r="S14" s="71"/>
      <c r="T14" s="499" t="str">
        <f>IFERROR(IF(AND(Q14="V.Low",OR(S14="Good",S14="Moderate")),"Error ▲",VLOOKUP(S14,'G-1 All Habitats'!$Z$2:$AA$9,2,FALSE)),"")</f>
        <v/>
      </c>
      <c r="U14" s="71"/>
      <c r="V14" s="507" t="str">
        <f>IF(U14="","",IF(VLOOKUP(U14,'G-3 Multipliers'!$L$3:$N$6,2,FALSE)=0,"Spatial Data Missing ⚠",VLOOKUP(U14,'G-3 Multipliers'!$L$3:$N$6,2,FALSE)))</f>
        <v/>
      </c>
      <c r="W14" s="505" t="str">
        <f>IF(U14="","",IF(VLOOKUP(U14,'G-3 Multipliers'!$L$3:$N$6,3,FALSE)=0,"Spatial Data Missing ⚠",VLOOKUP(U14,'G-3 Multipliers'!$L$3:$N$6,3,FALSE)))</f>
        <v/>
      </c>
      <c r="X14" s="498"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7" t="str">
        <f t="shared" si="3"/>
        <v/>
      </c>
      <c r="AB14" s="521" t="str">
        <f t="shared" si="4"/>
        <v/>
      </c>
      <c r="AC14" s="522" t="str">
        <f t="shared" si="1"/>
        <v/>
      </c>
      <c r="AD14" s="537" t="str">
        <f>IF(M14="","",VLOOKUP(M14,'G-6 Hedgerow Data'!$B$3:$AG$15,31,FALSE))</f>
        <v/>
      </c>
      <c r="AE14" s="520" t="str">
        <f t="shared" si="5"/>
        <v/>
      </c>
      <c r="AF14" s="520" t="str">
        <f t="shared" si="6"/>
        <v/>
      </c>
      <c r="AG14" s="524" t="str">
        <f>IFERROR(IF(O14="","",VLOOKUP(AD14,'G-3 Multipliers'!$P$3:$Q$6,2,FALSE)),"")</f>
        <v/>
      </c>
      <c r="AH14" s="196"/>
      <c r="AI14" s="499" t="str">
        <f>IF(AH14="","",IF(VLOOKUP(AH14,'G-3 Multipliers'!$S$3:$T$6,2,FALSE)=0,"Spatial Data Missing ⚠",VLOOKUP(AH14,'G-3 Multipliers'!$S$3:$T$6,2,FALSE)))</f>
        <v/>
      </c>
      <c r="AJ14" s="513" t="str">
        <f t="shared" si="7"/>
        <v/>
      </c>
      <c r="AK14" s="149"/>
      <c r="AL14" s="150"/>
      <c r="AP14" s="31" t="str">
        <f>IFERROR(INDEX('G-6 Hedgerow Data'!$BJ$3:$BJ$15,MATCH(M14,'G-6 Hedgerow Data'!$B$3:$B$15,0)),"")</f>
        <v/>
      </c>
    </row>
    <row r="15" spans="2:42" ht="13.8" x14ac:dyDescent="0.25">
      <c r="B15" s="531" t="str">
        <f>'E-1 Off Site Hedge Baseline'!AK13</f>
        <v/>
      </c>
      <c r="C15" s="520" t="str">
        <f>IF(B15="","",IF(ISNA(VLOOKUP($B15,'E-1 Off Site Hedge Baseline'!$B$1:$L$257,3,FALSE)),"",(VLOOKUP($B15,'E-1 Off Site Hedge Baseline'!$B$1:$L$257,3,FALSE))))</f>
        <v/>
      </c>
      <c r="D15" s="520" t="str">
        <f>IF(B15="","",IF(ISNA(VLOOKUP($B15,'E-1 Off Site Hedge Baseline'!$B$1:$L$258,4,FALSE)),"",(VLOOKUP($B15,'E-1 Off Site Hedge Baseline'!$B$1:$L$258,4,FALSE))))</f>
        <v/>
      </c>
      <c r="E15" s="520" t="str">
        <f>IF(B15="","",IF(ISNA(VLOOKUP($B15,'E-1 Off Site Hedge Baseline'!$B$1:$L$257,5,FALSE)),"",(VLOOKUP($B15,'E-1 Off Site Hedge Baseline'!$B$1:$L$257,5,FALSE))))</f>
        <v/>
      </c>
      <c r="F15" s="520" t="str">
        <f>IF(B15="","",IF(ISNA(VLOOKUP($B15,'E-1 Off Site Hedge Baseline'!$B$1:$L$257,6,FALSE)),"",(VLOOKUP($B15,'E-1 Off Site Hedge Baseline'!$B$1:$L$257,6,FALSE))))</f>
        <v/>
      </c>
      <c r="G15" s="520" t="str">
        <f>IF(B15="","",IF(ISNA(VLOOKUP($B15,'E-1 Off Site Hedge Baseline'!$B$1:$L$257,7,FALSE)),"",(VLOOKUP($B15,'E-1 Off Site Hedge Baseline'!$B$1:$L$257,7,FALSE))))</f>
        <v/>
      </c>
      <c r="H15" s="520" t="str">
        <f>IF(B15="","",IF(ISNA(VLOOKUP($B15,'E-1 Off Site Hedge Baseline'!$B$1:$L$257,8,FALSE)),"",(VLOOKUP($B15,'E-1 Off Site Hedge Baseline'!$B$1:$L$257,8,FALSE))))</f>
        <v/>
      </c>
      <c r="I15" s="520" t="str">
        <f>IF(B15="","",IF(ISNA(VLOOKUP($B15,'E-1 Off Site Hedge Baseline'!$B$1:$L$257,10,FALSE)),"",(VLOOKUP($B15,'E-1 Off Site Hedge Baseline'!$B$1:$L$257,10,FALSE))))</f>
        <v/>
      </c>
      <c r="J15" s="520" t="str">
        <f>IF(B15="","",IF(ISNA(VLOOKUP($B15,'E-1 Off Site Hedge Baseline'!$B$1:$L$257,11,FALSE)),"",(VLOOKUP($B15,'E-1 Off Site Hedge Baseline'!$B$1:$L$257,11,FALSE))))</f>
        <v/>
      </c>
      <c r="K15" s="520" t="str">
        <f>IF(B15="","",IF(ISNA(VLOOKUP($B15,'E-1 Off Site Hedge Baseline'!$B$1:$U$257,113,FALSE)),"",(VLOOKUP($B15,'E-1 Off Site Hedge Baseline'!$B$1:$U$257,13,FALSE))))</f>
        <v/>
      </c>
      <c r="L15" s="507" t="str">
        <f>IF(B15="","",IF(ISNA(VLOOKUP($B15,'E-1 Off Site Hedge Baseline'!$B$1:$U$257,12,FALSE)),"",(VLOOKUP($B15,'E-1 Off Site Hedge Baseline'!$B$1:$U$257,12,FALSE))))</f>
        <v/>
      </c>
      <c r="M15" s="418" t="str">
        <f t="shared" si="0"/>
        <v/>
      </c>
      <c r="N15" s="498" t="str">
        <f>IFERROR(IF(B15="","",INDEX('G-6 Hedgerow Data'!$AN$3:$AZ$15,MATCH(C15,'G-6 Hedgerow Data'!$AM$3:$AM$15,0),MATCH(M15,'G-6 Hedgerow Data'!$AN$2:$AZ$2,0))),"")</f>
        <v/>
      </c>
      <c r="O15" s="499" t="str">
        <f t="shared" si="2"/>
        <v/>
      </c>
      <c r="P15" s="505" t="str">
        <f>IF(B15="","",VLOOKUP(B15,'E-1 Off Site Hedge Baseline'!$B$10:T260,16,FALSE))</f>
        <v/>
      </c>
      <c r="Q15" s="498" t="str">
        <f>IF(M15="","",VLOOKUP(M15,'G-6 Hedgerow Data'!$B$2:$AG$15,2,FALSE))</f>
        <v/>
      </c>
      <c r="R15" s="499" t="str">
        <f>IF(M15="","",VLOOKUP(M15,'G-6 Hedgerow Data'!$B$2:$AG$15,3,FALSE))</f>
        <v/>
      </c>
      <c r="S15" s="71"/>
      <c r="T15" s="499" t="str">
        <f>IFERROR(IF(AND(Q15="V.Low",OR(S15="Good",S15="Moderate")),"Error ▲",VLOOKUP(S15,'G-1 All Habitats'!$Z$2:$AA$9,2,FALSE)),"")</f>
        <v/>
      </c>
      <c r="U15" s="71"/>
      <c r="V15" s="507" t="str">
        <f>IF(U15="","",IF(VLOOKUP(U15,'G-3 Multipliers'!$L$3:$N$6,2,FALSE)=0,"Spatial Data Missing ⚠",VLOOKUP(U15,'G-3 Multipliers'!$L$3:$N$6,2,FALSE)))</f>
        <v/>
      </c>
      <c r="W15" s="505" t="str">
        <f>IF(U15="","",IF(VLOOKUP(U15,'G-3 Multipliers'!$L$3:$N$6,3,FALSE)=0,"Spatial Data Missing ⚠",VLOOKUP(U15,'G-3 Multipliers'!$L$3:$N$6,3,FALSE)))</f>
        <v/>
      </c>
      <c r="X15" s="498"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7" t="str">
        <f t="shared" si="3"/>
        <v/>
      </c>
      <c r="AB15" s="521" t="str">
        <f t="shared" si="4"/>
        <v/>
      </c>
      <c r="AC15" s="522" t="str">
        <f t="shared" si="1"/>
        <v/>
      </c>
      <c r="AD15" s="537" t="str">
        <f>IF(M15="","",VLOOKUP(M15,'G-6 Hedgerow Data'!$B$3:$AG$15,31,FALSE))</f>
        <v/>
      </c>
      <c r="AE15" s="520" t="str">
        <f t="shared" si="5"/>
        <v/>
      </c>
      <c r="AF15" s="520" t="str">
        <f t="shared" si="6"/>
        <v/>
      </c>
      <c r="AG15" s="524" t="str">
        <f>IFERROR(IF(O15="","",VLOOKUP(AD15,'G-3 Multipliers'!$P$3:$Q$6,2,FALSE)),"")</f>
        <v/>
      </c>
      <c r="AH15" s="196"/>
      <c r="AI15" s="499" t="str">
        <f>IF(AH15="","",IF(VLOOKUP(AH15,'G-3 Multipliers'!$S$3:$T$6,2,FALSE)=0,"Spatial Data Missing ⚠",VLOOKUP(AH15,'G-3 Multipliers'!$S$3:$T$6,2,FALSE)))</f>
        <v/>
      </c>
      <c r="AJ15" s="513" t="str">
        <f t="shared" si="7"/>
        <v/>
      </c>
      <c r="AK15" s="149"/>
      <c r="AL15" s="150"/>
      <c r="AP15" s="31" t="str">
        <f>IFERROR(INDEX('G-6 Hedgerow Data'!$BJ$3:$BJ$15,MATCH(M15,'G-6 Hedgerow Data'!$B$3:$B$15,0)),"")</f>
        <v/>
      </c>
    </row>
    <row r="16" spans="2:42" ht="13.8" x14ac:dyDescent="0.25">
      <c r="B16" s="531" t="str">
        <f>'E-1 Off Site Hedge Baseline'!AK14</f>
        <v/>
      </c>
      <c r="C16" s="520" t="str">
        <f>IF(B16="","",IF(ISNA(VLOOKUP($B16,'E-1 Off Site Hedge Baseline'!$B$1:$L$257,3,FALSE)),"",(VLOOKUP($B16,'E-1 Off Site Hedge Baseline'!$B$1:$L$257,3,FALSE))))</f>
        <v/>
      </c>
      <c r="D16" s="520" t="str">
        <f>IF(B16="","",IF(ISNA(VLOOKUP($B16,'E-1 Off Site Hedge Baseline'!$B$1:$L$258,4,FALSE)),"",(VLOOKUP($B16,'E-1 Off Site Hedge Baseline'!$B$1:$L$258,4,FALSE))))</f>
        <v/>
      </c>
      <c r="E16" s="520" t="str">
        <f>IF(B16="","",IF(ISNA(VLOOKUP($B16,'E-1 Off Site Hedge Baseline'!$B$1:$L$257,5,FALSE)),"",(VLOOKUP($B16,'E-1 Off Site Hedge Baseline'!$B$1:$L$257,5,FALSE))))</f>
        <v/>
      </c>
      <c r="F16" s="520" t="str">
        <f>IF(B16="","",IF(ISNA(VLOOKUP($B16,'E-1 Off Site Hedge Baseline'!$B$1:$L$257,6,FALSE)),"",(VLOOKUP($B16,'E-1 Off Site Hedge Baseline'!$B$1:$L$257,6,FALSE))))</f>
        <v/>
      </c>
      <c r="G16" s="520" t="str">
        <f>IF(B16="","",IF(ISNA(VLOOKUP($B16,'E-1 Off Site Hedge Baseline'!$B$1:$L$257,7,FALSE)),"",(VLOOKUP($B16,'E-1 Off Site Hedge Baseline'!$B$1:$L$257,7,FALSE))))</f>
        <v/>
      </c>
      <c r="H16" s="520" t="str">
        <f>IF(B16="","",IF(ISNA(VLOOKUP($B16,'E-1 Off Site Hedge Baseline'!$B$1:$L$257,8,FALSE)),"",(VLOOKUP($B16,'E-1 Off Site Hedge Baseline'!$B$1:$L$257,8,FALSE))))</f>
        <v/>
      </c>
      <c r="I16" s="520" t="str">
        <f>IF(B16="","",IF(ISNA(VLOOKUP($B16,'E-1 Off Site Hedge Baseline'!$B$1:$L$257,10,FALSE)),"",(VLOOKUP($B16,'E-1 Off Site Hedge Baseline'!$B$1:$L$257,10,FALSE))))</f>
        <v/>
      </c>
      <c r="J16" s="520" t="str">
        <f>IF(B16="","",IF(ISNA(VLOOKUP($B16,'E-1 Off Site Hedge Baseline'!$B$1:$L$257,11,FALSE)),"",(VLOOKUP($B16,'E-1 Off Site Hedge Baseline'!$B$1:$L$257,11,FALSE))))</f>
        <v/>
      </c>
      <c r="K16" s="520" t="str">
        <f>IF(B16="","",IF(ISNA(VLOOKUP($B16,'E-1 Off Site Hedge Baseline'!$B$1:$U$257,113,FALSE)),"",(VLOOKUP($B16,'E-1 Off Site Hedge Baseline'!$B$1:$U$257,13,FALSE))))</f>
        <v/>
      </c>
      <c r="L16" s="507" t="str">
        <f>IF(B16="","",IF(ISNA(VLOOKUP($B16,'E-1 Off Site Hedge Baseline'!$B$1:$U$257,12,FALSE)),"",(VLOOKUP($B16,'E-1 Off Site Hedge Baseline'!$B$1:$U$257,12,FALSE))))</f>
        <v/>
      </c>
      <c r="M16" s="418" t="str">
        <f t="shared" si="0"/>
        <v/>
      </c>
      <c r="N16" s="498" t="str">
        <f>IFERROR(IF(B16="","",INDEX('G-6 Hedgerow Data'!$AN$3:$AZ$15,MATCH(C16,'G-6 Hedgerow Data'!$AM$3:$AM$15,0),MATCH(M16,'G-6 Hedgerow Data'!$AN$2:$AZ$2,0))),"")</f>
        <v/>
      </c>
      <c r="O16" s="499" t="str">
        <f t="shared" si="2"/>
        <v/>
      </c>
      <c r="P16" s="505" t="str">
        <f>IF(B16="","",VLOOKUP(B16,'E-1 Off Site Hedge Baseline'!$B$10:T261,16,FALSE))</f>
        <v/>
      </c>
      <c r="Q16" s="498" t="str">
        <f>IF(M16="","",VLOOKUP(M16,'G-6 Hedgerow Data'!$B$2:$AG$15,2,FALSE))</f>
        <v/>
      </c>
      <c r="R16" s="499" t="str">
        <f>IF(M16="","",VLOOKUP(M16,'G-6 Hedgerow Data'!$B$2:$AG$15,3,FALSE))</f>
        <v/>
      </c>
      <c r="S16" s="145"/>
      <c r="T16" s="499" t="str">
        <f>IFERROR(IF(AND(Q16="V.Low",OR(S16="Good",S16="Moderate")),"Error ▲",VLOOKUP(S16,'G-1 All Habitats'!$Z$2:$AA$9,2,FALSE)),"")</f>
        <v/>
      </c>
      <c r="U16" s="71"/>
      <c r="V16" s="507" t="str">
        <f>IF(U16="","",IF(VLOOKUP(U16,'G-3 Multipliers'!$L$3:$N$6,2,FALSE)=0,"Spatial Data Missing ⚠",VLOOKUP(U16,'G-3 Multipliers'!$L$3:$N$6,2,FALSE)))</f>
        <v/>
      </c>
      <c r="W16" s="505" t="str">
        <f>IF(U16="","",IF(VLOOKUP(U16,'G-3 Multipliers'!$L$3:$N$6,3,FALSE)=0,"Spatial Data Missing ⚠",VLOOKUP(U16,'G-3 Multipliers'!$L$3:$N$6,3,FALSE)))</f>
        <v/>
      </c>
      <c r="X16" s="498"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7" t="str">
        <f t="shared" si="3"/>
        <v/>
      </c>
      <c r="AB16" s="521" t="str">
        <f t="shared" si="4"/>
        <v/>
      </c>
      <c r="AC16" s="522" t="str">
        <f t="shared" si="1"/>
        <v/>
      </c>
      <c r="AD16" s="537" t="str">
        <f>IF(M16="","",VLOOKUP(M16,'G-6 Hedgerow Data'!$B$3:$AG$15,31,FALSE))</f>
        <v/>
      </c>
      <c r="AE16" s="520" t="str">
        <f t="shared" si="5"/>
        <v/>
      </c>
      <c r="AF16" s="520" t="str">
        <f t="shared" si="6"/>
        <v/>
      </c>
      <c r="AG16" s="524" t="str">
        <f>IFERROR(IF(O16="","",VLOOKUP(AD16,'G-3 Multipliers'!$P$3:$Q$6,2,FALSE)),"")</f>
        <v/>
      </c>
      <c r="AH16" s="196"/>
      <c r="AI16" s="499" t="str">
        <f>IF(AH16="","",IF(VLOOKUP(AH16,'G-3 Multipliers'!$S$3:$T$6,2,FALSE)=0,"Spatial Data Missing ⚠",VLOOKUP(AH16,'G-3 Multipliers'!$S$3:$T$6,2,FALSE)))</f>
        <v/>
      </c>
      <c r="AJ16" s="513" t="str">
        <f t="shared" si="7"/>
        <v/>
      </c>
      <c r="AK16" s="149"/>
      <c r="AL16" s="150"/>
      <c r="AP16" s="31" t="str">
        <f>IFERROR(INDEX('G-6 Hedgerow Data'!$BJ$3:$BJ$15,MATCH(M16,'G-6 Hedgerow Data'!$B$3:$B$15,0)),"")</f>
        <v/>
      </c>
    </row>
    <row r="17" spans="2:42" ht="13.8" x14ac:dyDescent="0.25">
      <c r="B17" s="531" t="str">
        <f>'E-1 Off Site Hedge Baseline'!AK15</f>
        <v/>
      </c>
      <c r="C17" s="520" t="str">
        <f>IF(B17="","",IF(ISNA(VLOOKUP($B17,'E-1 Off Site Hedge Baseline'!$B$1:$L$257,3,FALSE)),"",(VLOOKUP($B17,'E-1 Off Site Hedge Baseline'!$B$1:$L$257,3,FALSE))))</f>
        <v/>
      </c>
      <c r="D17" s="520" t="str">
        <f>IF(B17="","",IF(ISNA(VLOOKUP($B17,'E-1 Off Site Hedge Baseline'!$B$1:$L$258,4,FALSE)),"",(VLOOKUP($B17,'E-1 Off Site Hedge Baseline'!$B$1:$L$258,4,FALSE))))</f>
        <v/>
      </c>
      <c r="E17" s="520" t="str">
        <f>IF(B17="","",IF(ISNA(VLOOKUP($B17,'E-1 Off Site Hedge Baseline'!$B$1:$L$257,5,FALSE)),"",(VLOOKUP($B17,'E-1 Off Site Hedge Baseline'!$B$1:$L$257,5,FALSE))))</f>
        <v/>
      </c>
      <c r="F17" s="520" t="str">
        <f>IF(B17="","",IF(ISNA(VLOOKUP($B17,'E-1 Off Site Hedge Baseline'!$B$1:$L$257,6,FALSE)),"",(VLOOKUP($B17,'E-1 Off Site Hedge Baseline'!$B$1:$L$257,6,FALSE))))</f>
        <v/>
      </c>
      <c r="G17" s="520" t="str">
        <f>IF(B17="","",IF(ISNA(VLOOKUP($B17,'E-1 Off Site Hedge Baseline'!$B$1:$L$257,7,FALSE)),"",(VLOOKUP($B17,'E-1 Off Site Hedge Baseline'!$B$1:$L$257,7,FALSE))))</f>
        <v/>
      </c>
      <c r="H17" s="520" t="str">
        <f>IF(B17="","",IF(ISNA(VLOOKUP($B17,'E-1 Off Site Hedge Baseline'!$B$1:$L$257,8,FALSE)),"",(VLOOKUP($B17,'E-1 Off Site Hedge Baseline'!$B$1:$L$257,8,FALSE))))</f>
        <v/>
      </c>
      <c r="I17" s="520" t="str">
        <f>IF(B17="","",IF(ISNA(VLOOKUP($B17,'E-1 Off Site Hedge Baseline'!$B$1:$L$257,10,FALSE)),"",(VLOOKUP($B17,'E-1 Off Site Hedge Baseline'!$B$1:$L$257,10,FALSE))))</f>
        <v/>
      </c>
      <c r="J17" s="520" t="str">
        <f>IF(B17="","",IF(ISNA(VLOOKUP($B17,'E-1 Off Site Hedge Baseline'!$B$1:$L$257,11,FALSE)),"",(VLOOKUP($B17,'E-1 Off Site Hedge Baseline'!$B$1:$L$257,11,FALSE))))</f>
        <v/>
      </c>
      <c r="K17" s="520" t="str">
        <f>IF(B17="","",IF(ISNA(VLOOKUP($B17,'E-1 Off Site Hedge Baseline'!$B$1:$U$257,113,FALSE)),"",(VLOOKUP($B17,'E-1 Off Site Hedge Baseline'!$B$1:$U$257,13,FALSE))))</f>
        <v/>
      </c>
      <c r="L17" s="507" t="str">
        <f>IF(B17="","",IF(ISNA(VLOOKUP($B17,'E-1 Off Site Hedge Baseline'!$B$1:$U$257,12,FALSE)),"",(VLOOKUP($B17,'E-1 Off Site Hedge Baseline'!$B$1:$U$257,12,FALSE))))</f>
        <v/>
      </c>
      <c r="M17" s="418" t="str">
        <f t="shared" ref="M17:M77" si="8">C17</f>
        <v/>
      </c>
      <c r="N17" s="498" t="str">
        <f>IFERROR(IF(B17="","",INDEX('G-6 Hedgerow Data'!$AN$3:$AZ$15,MATCH(C17,'G-6 Hedgerow Data'!$AM$3:$AM$15,0),MATCH(M17,'G-6 Hedgerow Data'!$AN$2:$AZ$2,0))),"")</f>
        <v/>
      </c>
      <c r="O17" s="499" t="str">
        <f t="shared" si="2"/>
        <v/>
      </c>
      <c r="P17" s="505" t="str">
        <f>IF(B17="","",VLOOKUP(B17,'E-1 Off Site Hedge Baseline'!$B$10:T262,16,FALSE))</f>
        <v/>
      </c>
      <c r="Q17" s="498" t="str">
        <f>IF(M17="","",VLOOKUP(M17,'G-6 Hedgerow Data'!$B$2:$AG$15,2,FALSE))</f>
        <v/>
      </c>
      <c r="R17" s="499" t="str">
        <f>IF(M17="","",VLOOKUP(M17,'G-6 Hedgerow Data'!$B$2:$AG$15,3,FALSE))</f>
        <v/>
      </c>
      <c r="S17" s="145"/>
      <c r="T17" s="499" t="str">
        <f>IFERROR(IF(AND(Q17="V.Low",OR(S17="Good",S17="Moderate")),"Error ▲",VLOOKUP(S17,'G-1 All Habitats'!$Z$2:$AA$9,2,FALSE)),"")</f>
        <v/>
      </c>
      <c r="U17" s="145"/>
      <c r="V17" s="507" t="str">
        <f>IF(U17="","",IF(VLOOKUP(U17,'G-3 Multipliers'!$L$3:$N$6,2,FALSE)=0,"Spatial Data Missing ⚠",VLOOKUP(U17,'G-3 Multipliers'!$L$3:$N$6,2,FALSE)))</f>
        <v/>
      </c>
      <c r="W17" s="505" t="str">
        <f>IF(U17="","",IF(VLOOKUP(U17,'G-3 Multipliers'!$L$3:$N$6,3,FALSE)=0,"Spatial Data Missing ⚠",VLOOKUP(U17,'G-3 Multipliers'!$L$3:$N$6,3,FALSE)))</f>
        <v/>
      </c>
      <c r="X17" s="498"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7" t="str">
        <f t="shared" si="3"/>
        <v/>
      </c>
      <c r="AB17" s="521" t="str">
        <f t="shared" si="4"/>
        <v/>
      </c>
      <c r="AC17" s="522" t="str">
        <f t="shared" si="1"/>
        <v/>
      </c>
      <c r="AD17" s="537" t="str">
        <f>IF(M17="","",VLOOKUP(M17,'G-6 Hedgerow Data'!$B$3:$AG$15,31,FALSE))</f>
        <v/>
      </c>
      <c r="AE17" s="520" t="str">
        <f t="shared" si="5"/>
        <v/>
      </c>
      <c r="AF17" s="520" t="str">
        <f t="shared" si="6"/>
        <v/>
      </c>
      <c r="AG17" s="524" t="str">
        <f>IFERROR(IF(O17="","",VLOOKUP(AD17,'G-3 Multipliers'!$P$3:$Q$6,2,FALSE)),"")</f>
        <v/>
      </c>
      <c r="AH17" s="197"/>
      <c r="AI17" s="499" t="str">
        <f>IF(AH17="","",IF(VLOOKUP(AH17,'G-3 Multipliers'!$S$3:$T$6,2,FALSE)=0,"Spatial Data Missing ⚠",VLOOKUP(AH17,'G-3 Multipliers'!$S$3:$T$6,2,FALSE)))</f>
        <v/>
      </c>
      <c r="AJ17" s="545" t="str">
        <f t="shared" si="7"/>
        <v/>
      </c>
      <c r="AK17" s="149"/>
      <c r="AL17" s="150"/>
      <c r="AP17" s="31" t="str">
        <f>IFERROR(INDEX('G-6 Hedgerow Data'!$BJ$3:$BJ$15,MATCH(M17,'G-6 Hedgerow Data'!$B$3:$B$15,0)),"")</f>
        <v/>
      </c>
    </row>
    <row r="18" spans="2:42" ht="13.8" x14ac:dyDescent="0.25">
      <c r="B18" s="531" t="str">
        <f>'E-1 Off Site Hedge Baseline'!AK16</f>
        <v/>
      </c>
      <c r="C18" s="520" t="str">
        <f>IF(B18="","",IF(ISNA(VLOOKUP($B18,'E-1 Off Site Hedge Baseline'!$B$1:$L$257,3,FALSE)),"",(VLOOKUP($B18,'E-1 Off Site Hedge Baseline'!$B$1:$L$257,3,FALSE))))</f>
        <v/>
      </c>
      <c r="D18" s="520" t="str">
        <f>IF(B18="","",IF(ISNA(VLOOKUP($B18,'E-1 Off Site Hedge Baseline'!$B$1:$L$258,4,FALSE)),"",(VLOOKUP($B18,'E-1 Off Site Hedge Baseline'!$B$1:$L$258,4,FALSE))))</f>
        <v/>
      </c>
      <c r="E18" s="520" t="str">
        <f>IF(B18="","",IF(ISNA(VLOOKUP($B18,'E-1 Off Site Hedge Baseline'!$B$1:$L$257,5,FALSE)),"",(VLOOKUP($B18,'E-1 Off Site Hedge Baseline'!$B$1:$L$257,5,FALSE))))</f>
        <v/>
      </c>
      <c r="F18" s="520" t="str">
        <f>IF(B18="","",IF(ISNA(VLOOKUP($B18,'E-1 Off Site Hedge Baseline'!$B$1:$L$257,6,FALSE)),"",(VLOOKUP($B18,'E-1 Off Site Hedge Baseline'!$B$1:$L$257,6,FALSE))))</f>
        <v/>
      </c>
      <c r="G18" s="520" t="str">
        <f>IF(B18="","",IF(ISNA(VLOOKUP($B18,'E-1 Off Site Hedge Baseline'!$B$1:$L$257,7,FALSE)),"",(VLOOKUP($B18,'E-1 Off Site Hedge Baseline'!$B$1:$L$257,7,FALSE))))</f>
        <v/>
      </c>
      <c r="H18" s="520" t="str">
        <f>IF(B18="","",IF(ISNA(VLOOKUP($B18,'E-1 Off Site Hedge Baseline'!$B$1:$L$257,8,FALSE)),"",(VLOOKUP($B18,'E-1 Off Site Hedge Baseline'!$B$1:$L$257,8,FALSE))))</f>
        <v/>
      </c>
      <c r="I18" s="520" t="str">
        <f>IF(B18="","",IF(ISNA(VLOOKUP($B18,'E-1 Off Site Hedge Baseline'!$B$1:$L$257,10,FALSE)),"",(VLOOKUP($B18,'E-1 Off Site Hedge Baseline'!$B$1:$L$257,10,FALSE))))</f>
        <v/>
      </c>
      <c r="J18" s="520" t="str">
        <f>IF(B18="","",IF(ISNA(VLOOKUP($B18,'E-1 Off Site Hedge Baseline'!$B$1:$L$257,11,FALSE)),"",(VLOOKUP($B18,'E-1 Off Site Hedge Baseline'!$B$1:$L$257,11,FALSE))))</f>
        <v/>
      </c>
      <c r="K18" s="520" t="str">
        <f>IF(B18="","",IF(ISNA(VLOOKUP($B18,'E-1 Off Site Hedge Baseline'!$B$1:$U$257,113,FALSE)),"",(VLOOKUP($B18,'E-1 Off Site Hedge Baseline'!$B$1:$U$257,13,FALSE))))</f>
        <v/>
      </c>
      <c r="L18" s="507" t="str">
        <f>IF(B18="","",IF(ISNA(VLOOKUP($B18,'E-1 Off Site Hedge Baseline'!$B$1:$U$257,12,FALSE)),"",(VLOOKUP($B18,'E-1 Off Site Hedge Baseline'!$B$1:$U$257,12,FALSE))))</f>
        <v/>
      </c>
      <c r="M18" s="418" t="str">
        <f t="shared" si="8"/>
        <v/>
      </c>
      <c r="N18" s="498" t="str">
        <f>IFERROR(IF(B18="","",INDEX('G-6 Hedgerow Data'!$AN$3:$AZ$15,MATCH(C18,'G-6 Hedgerow Data'!$AM$3:$AM$15,0),MATCH(M18,'G-6 Hedgerow Data'!$AN$2:$AZ$2,0))),"")</f>
        <v/>
      </c>
      <c r="O18" s="499" t="str">
        <f t="shared" si="2"/>
        <v/>
      </c>
      <c r="P18" s="505" t="str">
        <f>IF(B18="","",VLOOKUP(B18,'E-1 Off Site Hedge Baseline'!$B$10:T263,16,FALSE))</f>
        <v/>
      </c>
      <c r="Q18" s="498" t="str">
        <f>IF(M18="","",VLOOKUP(M18,'G-6 Hedgerow Data'!$B$2:$AG$15,2,FALSE))</f>
        <v/>
      </c>
      <c r="R18" s="499" t="str">
        <f>IF(M18="","",VLOOKUP(M18,'G-6 Hedgerow Data'!$B$2:$AG$15,3,FALSE))</f>
        <v/>
      </c>
      <c r="S18" s="145"/>
      <c r="T18" s="499" t="str">
        <f>IFERROR(IF(AND(Q18="V.Low",OR(S18="Good",S18="Moderate")),"Error ▲",VLOOKUP(S18,'G-1 All Habitats'!$Z$2:$AA$9,2,FALSE)),"")</f>
        <v/>
      </c>
      <c r="U18" s="145"/>
      <c r="V18" s="507" t="str">
        <f>IF(U18="","",IF(VLOOKUP(U18,'G-3 Multipliers'!$L$3:$N$6,2,FALSE)=0,"Spatial Data Missing ⚠",VLOOKUP(U18,'G-3 Multipliers'!$L$3:$N$6,2,FALSE)))</f>
        <v/>
      </c>
      <c r="W18" s="505" t="str">
        <f>IF(U18="","",IF(VLOOKUP(U18,'G-3 Multipliers'!$L$3:$N$6,3,FALSE)=0,"Spatial Data Missing ⚠",VLOOKUP(U18,'G-3 Multipliers'!$L$3:$N$6,3,FALSE)))</f>
        <v/>
      </c>
      <c r="X18" s="498"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7" t="str">
        <f t="shared" si="3"/>
        <v/>
      </c>
      <c r="AB18" s="521" t="str">
        <f t="shared" si="4"/>
        <v/>
      </c>
      <c r="AC18" s="522" t="str">
        <f t="shared" si="1"/>
        <v/>
      </c>
      <c r="AD18" s="537" t="str">
        <f>IF(M18="","",VLOOKUP(M18,'G-6 Hedgerow Data'!$B$3:$AG$15,31,FALSE))</f>
        <v/>
      </c>
      <c r="AE18" s="520" t="str">
        <f t="shared" si="5"/>
        <v/>
      </c>
      <c r="AF18" s="520" t="str">
        <f t="shared" si="6"/>
        <v/>
      </c>
      <c r="AG18" s="524" t="str">
        <f>IFERROR(IF(O18="","",VLOOKUP(AD18,'G-3 Multipliers'!$P$3:$Q$6,2,FALSE)),"")</f>
        <v/>
      </c>
      <c r="AH18" s="197"/>
      <c r="AI18" s="499" t="str">
        <f>IF(AH18="","",IF(VLOOKUP(AH18,'G-3 Multipliers'!$S$3:$T$6,2,FALSE)=0,"Spatial Data Missing ⚠",VLOOKUP(AH18,'G-3 Multipliers'!$S$3:$T$6,2,FALSE)))</f>
        <v/>
      </c>
      <c r="AJ18" s="545" t="str">
        <f t="shared" si="7"/>
        <v/>
      </c>
      <c r="AK18" s="149"/>
      <c r="AL18" s="150"/>
      <c r="AP18" s="31" t="str">
        <f>IFERROR(INDEX('G-6 Hedgerow Data'!$BJ$3:$BJ$15,MATCH(M18,'G-6 Hedgerow Data'!$B$3:$B$15,0)),"")</f>
        <v/>
      </c>
    </row>
    <row r="19" spans="2:42" ht="13.8" x14ac:dyDescent="0.25">
      <c r="B19" s="531" t="str">
        <f>'E-1 Off Site Hedge Baseline'!AK17</f>
        <v/>
      </c>
      <c r="C19" s="520" t="str">
        <f>IF(B19="","",IF(ISNA(VLOOKUP($B19,'E-1 Off Site Hedge Baseline'!$B$1:$L$257,3,FALSE)),"",(VLOOKUP($B19,'E-1 Off Site Hedge Baseline'!$B$1:$L$257,3,FALSE))))</f>
        <v/>
      </c>
      <c r="D19" s="520" t="str">
        <f>IF(B19="","",IF(ISNA(VLOOKUP($B19,'E-1 Off Site Hedge Baseline'!$B$1:$L$258,4,FALSE)),"",(VLOOKUP($B19,'E-1 Off Site Hedge Baseline'!$B$1:$L$258,4,FALSE))))</f>
        <v/>
      </c>
      <c r="E19" s="520" t="str">
        <f>IF(B19="","",IF(ISNA(VLOOKUP($B19,'E-1 Off Site Hedge Baseline'!$B$1:$L$257,5,FALSE)),"",(VLOOKUP($B19,'E-1 Off Site Hedge Baseline'!$B$1:$L$257,5,FALSE))))</f>
        <v/>
      </c>
      <c r="F19" s="520" t="str">
        <f>IF(B19="","",IF(ISNA(VLOOKUP($B19,'E-1 Off Site Hedge Baseline'!$B$1:$L$257,6,FALSE)),"",(VLOOKUP($B19,'E-1 Off Site Hedge Baseline'!$B$1:$L$257,6,FALSE))))</f>
        <v/>
      </c>
      <c r="G19" s="520" t="str">
        <f>IF(B19="","",IF(ISNA(VLOOKUP($B19,'E-1 Off Site Hedge Baseline'!$B$1:$L$257,7,FALSE)),"",(VLOOKUP($B19,'E-1 Off Site Hedge Baseline'!$B$1:$L$257,7,FALSE))))</f>
        <v/>
      </c>
      <c r="H19" s="520" t="str">
        <f>IF(B19="","",IF(ISNA(VLOOKUP($B19,'E-1 Off Site Hedge Baseline'!$B$1:$L$257,8,FALSE)),"",(VLOOKUP($B19,'E-1 Off Site Hedge Baseline'!$B$1:$L$257,8,FALSE))))</f>
        <v/>
      </c>
      <c r="I19" s="520" t="str">
        <f>IF(B19="","",IF(ISNA(VLOOKUP($B19,'E-1 Off Site Hedge Baseline'!$B$1:$L$257,10,FALSE)),"",(VLOOKUP($B19,'E-1 Off Site Hedge Baseline'!$B$1:$L$257,10,FALSE))))</f>
        <v/>
      </c>
      <c r="J19" s="520" t="str">
        <f>IF(B19="","",IF(ISNA(VLOOKUP($B19,'E-1 Off Site Hedge Baseline'!$B$1:$L$257,11,FALSE)),"",(VLOOKUP($B19,'E-1 Off Site Hedge Baseline'!$B$1:$L$257,11,FALSE))))</f>
        <v/>
      </c>
      <c r="K19" s="520" t="str">
        <f>IF(B19="","",IF(ISNA(VLOOKUP($B19,'E-1 Off Site Hedge Baseline'!$B$1:$U$257,113,FALSE)),"",(VLOOKUP($B19,'E-1 Off Site Hedge Baseline'!$B$1:$U$257,13,FALSE))))</f>
        <v/>
      </c>
      <c r="L19" s="507" t="str">
        <f>IF(B19="","",IF(ISNA(VLOOKUP($B19,'E-1 Off Site Hedge Baseline'!$B$1:$U$257,12,FALSE)),"",(VLOOKUP($B19,'E-1 Off Site Hedge Baseline'!$B$1:$U$257,12,FALSE))))</f>
        <v/>
      </c>
      <c r="M19" s="418" t="str">
        <f t="shared" si="8"/>
        <v/>
      </c>
      <c r="N19" s="498" t="str">
        <f>IFERROR(IF(B19="","",INDEX('G-6 Hedgerow Data'!$AN$3:$AZ$15,MATCH(C19,'G-6 Hedgerow Data'!$AM$3:$AM$15,0),MATCH(M19,'G-6 Hedgerow Data'!$AN$2:$AZ$2,0))),"")</f>
        <v/>
      </c>
      <c r="O19" s="499" t="str">
        <f t="shared" si="2"/>
        <v/>
      </c>
      <c r="P19" s="505" t="str">
        <f>IF(B19="","",VLOOKUP(B19,'E-1 Off Site Hedge Baseline'!$B$10:T264,16,FALSE))</f>
        <v/>
      </c>
      <c r="Q19" s="498" t="str">
        <f>IF(M19="","",VLOOKUP(M19,'G-6 Hedgerow Data'!$B$2:$AG$15,2,FALSE))</f>
        <v/>
      </c>
      <c r="R19" s="499" t="str">
        <f>IF(M19="","",VLOOKUP(M19,'G-6 Hedgerow Data'!$B$2:$AG$15,3,FALSE))</f>
        <v/>
      </c>
      <c r="S19" s="145"/>
      <c r="T19" s="499" t="str">
        <f>IFERROR(IF(AND(Q19="V.Low",OR(S19="Good",S19="Moderate")),"Error ▲",VLOOKUP(S19,'G-1 All Habitats'!$Z$2:$AA$9,2,FALSE)),"")</f>
        <v/>
      </c>
      <c r="U19" s="145"/>
      <c r="V19" s="507" t="str">
        <f>IF(U19="","",IF(VLOOKUP(U19,'G-3 Multipliers'!$L$3:$N$6,2,FALSE)=0,"Spatial Data Missing ⚠",VLOOKUP(U19,'G-3 Multipliers'!$L$3:$N$6,2,FALSE)))</f>
        <v/>
      </c>
      <c r="W19" s="505" t="str">
        <f>IF(U19="","",IF(VLOOKUP(U19,'G-3 Multipliers'!$L$3:$N$6,3,FALSE)=0,"Spatial Data Missing ⚠",VLOOKUP(U19,'G-3 Multipliers'!$L$3:$N$6,3,FALSE)))</f>
        <v/>
      </c>
      <c r="X19" s="498"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7" t="str">
        <f t="shared" si="3"/>
        <v/>
      </c>
      <c r="AB19" s="521" t="str">
        <f t="shared" si="4"/>
        <v/>
      </c>
      <c r="AC19" s="522" t="str">
        <f t="shared" si="1"/>
        <v/>
      </c>
      <c r="AD19" s="537" t="str">
        <f>IF(M19="","",VLOOKUP(M19,'G-6 Hedgerow Data'!$B$3:$AG$15,31,FALSE))</f>
        <v/>
      </c>
      <c r="AE19" s="520" t="str">
        <f t="shared" si="5"/>
        <v/>
      </c>
      <c r="AF19" s="520" t="str">
        <f t="shared" si="6"/>
        <v/>
      </c>
      <c r="AG19" s="524" t="str">
        <f>IFERROR(IF(O19="","",VLOOKUP(AD19,'G-3 Multipliers'!$P$3:$Q$6,2,FALSE)),"")</f>
        <v/>
      </c>
      <c r="AH19" s="197"/>
      <c r="AI19" s="499" t="str">
        <f>IF(AH19="","",IF(VLOOKUP(AH19,'G-3 Multipliers'!$S$3:$T$6,2,FALSE)=0,"Spatial Data Missing ⚠",VLOOKUP(AH19,'G-3 Multipliers'!$S$3:$T$6,2,FALSE)))</f>
        <v/>
      </c>
      <c r="AJ19" s="545" t="str">
        <f t="shared" si="7"/>
        <v/>
      </c>
      <c r="AK19" s="149"/>
      <c r="AL19" s="150"/>
      <c r="AP19" s="31" t="str">
        <f>IFERROR(INDEX('G-6 Hedgerow Data'!$BJ$3:$BJ$15,MATCH(M19,'G-6 Hedgerow Data'!$B$3:$B$15,0)),"")</f>
        <v/>
      </c>
    </row>
    <row r="20" spans="2:42" ht="13.8" x14ac:dyDescent="0.25">
      <c r="B20" s="531" t="str">
        <f>'E-1 Off Site Hedge Baseline'!AK18</f>
        <v/>
      </c>
      <c r="C20" s="520" t="str">
        <f>IF(B20="","",IF(ISNA(VLOOKUP($B20,'E-1 Off Site Hedge Baseline'!$B$1:$L$257,3,FALSE)),"",(VLOOKUP($B20,'E-1 Off Site Hedge Baseline'!$B$1:$L$257,3,FALSE))))</f>
        <v/>
      </c>
      <c r="D20" s="520" t="str">
        <f>IF(B20="","",IF(ISNA(VLOOKUP($B20,'E-1 Off Site Hedge Baseline'!$B$1:$L$258,4,FALSE)),"",(VLOOKUP($B20,'E-1 Off Site Hedge Baseline'!$B$1:$L$258,4,FALSE))))</f>
        <v/>
      </c>
      <c r="E20" s="520" t="str">
        <f>IF(B20="","",IF(ISNA(VLOOKUP($B20,'E-1 Off Site Hedge Baseline'!$B$1:$L$257,5,FALSE)),"",(VLOOKUP($B20,'E-1 Off Site Hedge Baseline'!$B$1:$L$257,5,FALSE))))</f>
        <v/>
      </c>
      <c r="F20" s="520" t="str">
        <f>IF(B20="","",IF(ISNA(VLOOKUP($B20,'E-1 Off Site Hedge Baseline'!$B$1:$L$257,6,FALSE)),"",(VLOOKUP($B20,'E-1 Off Site Hedge Baseline'!$B$1:$L$257,6,FALSE))))</f>
        <v/>
      </c>
      <c r="G20" s="520" t="str">
        <f>IF(B20="","",IF(ISNA(VLOOKUP($B20,'E-1 Off Site Hedge Baseline'!$B$1:$L$257,7,FALSE)),"",(VLOOKUP($B20,'E-1 Off Site Hedge Baseline'!$B$1:$L$257,7,FALSE))))</f>
        <v/>
      </c>
      <c r="H20" s="520" t="str">
        <f>IF(B20="","",IF(ISNA(VLOOKUP($B20,'E-1 Off Site Hedge Baseline'!$B$1:$L$257,8,FALSE)),"",(VLOOKUP($B20,'E-1 Off Site Hedge Baseline'!$B$1:$L$257,8,FALSE))))</f>
        <v/>
      </c>
      <c r="I20" s="520" t="str">
        <f>IF(B20="","",IF(ISNA(VLOOKUP($B20,'E-1 Off Site Hedge Baseline'!$B$1:$L$257,10,FALSE)),"",(VLOOKUP($B20,'E-1 Off Site Hedge Baseline'!$B$1:$L$257,10,FALSE))))</f>
        <v/>
      </c>
      <c r="J20" s="520" t="str">
        <f>IF(B20="","",IF(ISNA(VLOOKUP($B20,'E-1 Off Site Hedge Baseline'!$B$1:$L$257,11,FALSE)),"",(VLOOKUP($B20,'E-1 Off Site Hedge Baseline'!$B$1:$L$257,11,FALSE))))</f>
        <v/>
      </c>
      <c r="K20" s="520" t="str">
        <f>IF(B20="","",IF(ISNA(VLOOKUP($B20,'E-1 Off Site Hedge Baseline'!$B$1:$U$257,113,FALSE)),"",(VLOOKUP($B20,'E-1 Off Site Hedge Baseline'!$B$1:$U$257,13,FALSE))))</f>
        <v/>
      </c>
      <c r="L20" s="507" t="str">
        <f>IF(B20="","",IF(ISNA(VLOOKUP($B20,'E-1 Off Site Hedge Baseline'!$B$1:$U$257,12,FALSE)),"",(VLOOKUP($B20,'E-1 Off Site Hedge Baseline'!$B$1:$U$257,12,FALSE))))</f>
        <v/>
      </c>
      <c r="M20" s="418" t="str">
        <f t="shared" si="8"/>
        <v/>
      </c>
      <c r="N20" s="498" t="str">
        <f>IFERROR(IF(B20="","",INDEX('G-6 Hedgerow Data'!$AN$3:$AZ$15,MATCH(C20,'G-6 Hedgerow Data'!$AM$3:$AM$15,0),MATCH(M20,'G-6 Hedgerow Data'!$AN$2:$AZ$2,0))),"")</f>
        <v/>
      </c>
      <c r="O20" s="499" t="str">
        <f t="shared" si="2"/>
        <v/>
      </c>
      <c r="P20" s="505" t="str">
        <f>IF(B20="","",VLOOKUP(B20,'E-1 Off Site Hedge Baseline'!$B$10:T265,16,FALSE))</f>
        <v/>
      </c>
      <c r="Q20" s="498" t="str">
        <f>IF(M20="","",VLOOKUP(M20,'G-6 Hedgerow Data'!$B$2:$AG$15,2,FALSE))</f>
        <v/>
      </c>
      <c r="R20" s="499" t="str">
        <f>IF(M20="","",VLOOKUP(M20,'G-6 Hedgerow Data'!$B$2:$AG$15,3,FALSE))</f>
        <v/>
      </c>
      <c r="S20" s="145"/>
      <c r="T20" s="499" t="str">
        <f>IFERROR(IF(AND(Q20="V.Low",OR(S20="Good",S20="Moderate")),"Error ▲",VLOOKUP(S20,'G-1 All Habitats'!$Z$2:$AA$9,2,FALSE)),"")</f>
        <v/>
      </c>
      <c r="U20" s="145"/>
      <c r="V20" s="507" t="str">
        <f>IF(U20="","",IF(VLOOKUP(U20,'G-3 Multipliers'!$L$3:$N$6,2,FALSE)=0,"Spatial Data Missing ⚠",VLOOKUP(U20,'G-3 Multipliers'!$L$3:$N$6,2,FALSE)))</f>
        <v/>
      </c>
      <c r="W20" s="505" t="str">
        <f>IF(U20="","",IF(VLOOKUP(U20,'G-3 Multipliers'!$L$3:$N$6,3,FALSE)=0,"Spatial Data Missing ⚠",VLOOKUP(U20,'G-3 Multipliers'!$L$3:$N$6,3,FALSE)))</f>
        <v/>
      </c>
      <c r="X20" s="498"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7" t="str">
        <f t="shared" si="3"/>
        <v/>
      </c>
      <c r="AB20" s="521" t="str">
        <f t="shared" si="4"/>
        <v/>
      </c>
      <c r="AC20" s="522" t="str">
        <f t="shared" si="1"/>
        <v/>
      </c>
      <c r="AD20" s="537" t="str">
        <f>IF(M20="","",VLOOKUP(M20,'G-6 Hedgerow Data'!$B$3:$AG$15,31,FALSE))</f>
        <v/>
      </c>
      <c r="AE20" s="520" t="str">
        <f t="shared" si="5"/>
        <v/>
      </c>
      <c r="AF20" s="520" t="str">
        <f t="shared" si="6"/>
        <v/>
      </c>
      <c r="AG20" s="524" t="str">
        <f>IFERROR(IF(O20="","",VLOOKUP(AD20,'G-3 Multipliers'!$P$3:$Q$6,2,FALSE)),"")</f>
        <v/>
      </c>
      <c r="AH20" s="197"/>
      <c r="AI20" s="499" t="str">
        <f>IF(AH20="","",IF(VLOOKUP(AH20,'G-3 Multipliers'!$S$3:$T$6,2,FALSE)=0,"Spatial Data Missing ⚠",VLOOKUP(AH20,'G-3 Multipliers'!$S$3:$T$6,2,FALSE)))</f>
        <v/>
      </c>
      <c r="AJ20" s="545" t="str">
        <f t="shared" si="7"/>
        <v/>
      </c>
      <c r="AK20" s="149"/>
      <c r="AL20" s="150"/>
      <c r="AP20" s="31" t="str">
        <f>IFERROR(INDEX('G-6 Hedgerow Data'!$BJ$3:$BJ$15,MATCH(M20,'G-6 Hedgerow Data'!$B$3:$B$15,0)),"")</f>
        <v/>
      </c>
    </row>
    <row r="21" spans="2:42" ht="13.8" x14ac:dyDescent="0.25">
      <c r="B21" s="531" t="str">
        <f>'E-1 Off Site Hedge Baseline'!AK19</f>
        <v/>
      </c>
      <c r="C21" s="520" t="str">
        <f>IF(B21="","",IF(ISNA(VLOOKUP($B21,'E-1 Off Site Hedge Baseline'!$B$1:$L$257,3,FALSE)),"",(VLOOKUP($B21,'E-1 Off Site Hedge Baseline'!$B$1:$L$257,3,FALSE))))</f>
        <v/>
      </c>
      <c r="D21" s="520" t="str">
        <f>IF(B21="","",IF(ISNA(VLOOKUP($B21,'E-1 Off Site Hedge Baseline'!$B$1:$L$258,4,FALSE)),"",(VLOOKUP($B21,'E-1 Off Site Hedge Baseline'!$B$1:$L$258,4,FALSE))))</f>
        <v/>
      </c>
      <c r="E21" s="520" t="str">
        <f>IF(B21="","",IF(ISNA(VLOOKUP($B21,'E-1 Off Site Hedge Baseline'!$B$1:$L$257,5,FALSE)),"",(VLOOKUP($B21,'E-1 Off Site Hedge Baseline'!$B$1:$L$257,5,FALSE))))</f>
        <v/>
      </c>
      <c r="F21" s="520" t="str">
        <f>IF(B21="","",IF(ISNA(VLOOKUP($B21,'E-1 Off Site Hedge Baseline'!$B$1:$L$257,6,FALSE)),"",(VLOOKUP($B21,'E-1 Off Site Hedge Baseline'!$B$1:$L$257,6,FALSE))))</f>
        <v/>
      </c>
      <c r="G21" s="520" t="str">
        <f>IF(B21="","",IF(ISNA(VLOOKUP($B21,'E-1 Off Site Hedge Baseline'!$B$1:$L$257,7,FALSE)),"",(VLOOKUP($B21,'E-1 Off Site Hedge Baseline'!$B$1:$L$257,7,FALSE))))</f>
        <v/>
      </c>
      <c r="H21" s="520" t="str">
        <f>IF(B21="","",IF(ISNA(VLOOKUP($B21,'E-1 Off Site Hedge Baseline'!$B$1:$L$257,8,FALSE)),"",(VLOOKUP($B21,'E-1 Off Site Hedge Baseline'!$B$1:$L$257,8,FALSE))))</f>
        <v/>
      </c>
      <c r="I21" s="520" t="str">
        <f>IF(B21="","",IF(ISNA(VLOOKUP($B21,'E-1 Off Site Hedge Baseline'!$B$1:$L$257,10,FALSE)),"",(VLOOKUP($B21,'E-1 Off Site Hedge Baseline'!$B$1:$L$257,10,FALSE))))</f>
        <v/>
      </c>
      <c r="J21" s="520" t="str">
        <f>IF(B21="","",IF(ISNA(VLOOKUP($B21,'E-1 Off Site Hedge Baseline'!$B$1:$L$257,11,FALSE)),"",(VLOOKUP($B21,'E-1 Off Site Hedge Baseline'!$B$1:$L$257,11,FALSE))))</f>
        <v/>
      </c>
      <c r="K21" s="520" t="str">
        <f>IF(B21="","",IF(ISNA(VLOOKUP($B21,'E-1 Off Site Hedge Baseline'!$B$1:$U$257,113,FALSE)),"",(VLOOKUP($B21,'E-1 Off Site Hedge Baseline'!$B$1:$U$257,13,FALSE))))</f>
        <v/>
      </c>
      <c r="L21" s="507" t="str">
        <f>IF(B21="","",IF(ISNA(VLOOKUP($B21,'E-1 Off Site Hedge Baseline'!$B$1:$U$257,12,FALSE)),"",(VLOOKUP($B21,'E-1 Off Site Hedge Baseline'!$B$1:$U$257,12,FALSE))))</f>
        <v/>
      </c>
      <c r="M21" s="418" t="str">
        <f t="shared" si="8"/>
        <v/>
      </c>
      <c r="N21" s="498" t="str">
        <f>IFERROR(IF(B21="","",INDEX('G-6 Hedgerow Data'!$AN$3:$AZ$15,MATCH(C21,'G-6 Hedgerow Data'!$AM$3:$AM$15,0),MATCH(M21,'G-6 Hedgerow Data'!$AN$2:$AZ$2,0))),"")</f>
        <v/>
      </c>
      <c r="O21" s="499" t="str">
        <f t="shared" si="2"/>
        <v/>
      </c>
      <c r="P21" s="505" t="str">
        <f>IF(B21="","",VLOOKUP(B21,'E-1 Off Site Hedge Baseline'!$B$10:T266,16,FALSE))</f>
        <v/>
      </c>
      <c r="Q21" s="498" t="str">
        <f>IF(M21="","",VLOOKUP(M21,'G-6 Hedgerow Data'!$B$2:$AG$15,2,FALSE))</f>
        <v/>
      </c>
      <c r="R21" s="499" t="str">
        <f>IF(M21="","",VLOOKUP(M21,'G-6 Hedgerow Data'!$B$2:$AG$15,3,FALSE))</f>
        <v/>
      </c>
      <c r="S21" s="145"/>
      <c r="T21" s="499" t="str">
        <f>IFERROR(IF(AND(Q21="V.Low",OR(S21="Good",S21="Moderate")),"Error ▲",VLOOKUP(S21,'G-1 All Habitats'!$Z$2:$AA$9,2,FALSE)),"")</f>
        <v/>
      </c>
      <c r="U21" s="145"/>
      <c r="V21" s="507" t="str">
        <f>IF(U21="","",IF(VLOOKUP(U21,'G-3 Multipliers'!$L$3:$N$6,2,FALSE)=0,"Spatial Data Missing ⚠",VLOOKUP(U21,'G-3 Multipliers'!$L$3:$N$6,2,FALSE)))</f>
        <v/>
      </c>
      <c r="W21" s="505" t="str">
        <f>IF(U21="","",IF(VLOOKUP(U21,'G-3 Multipliers'!$L$3:$N$6,3,FALSE)=0,"Spatial Data Missing ⚠",VLOOKUP(U21,'G-3 Multipliers'!$L$3:$N$6,3,FALSE)))</f>
        <v/>
      </c>
      <c r="X21" s="498"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7" t="str">
        <f t="shared" si="3"/>
        <v/>
      </c>
      <c r="AB21" s="521" t="str">
        <f t="shared" si="4"/>
        <v/>
      </c>
      <c r="AC21" s="522" t="str">
        <f t="shared" si="1"/>
        <v/>
      </c>
      <c r="AD21" s="537" t="str">
        <f>IF(M21="","",VLOOKUP(M21,'G-6 Hedgerow Data'!$B$3:$AG$15,31,FALSE))</f>
        <v/>
      </c>
      <c r="AE21" s="520" t="str">
        <f t="shared" si="5"/>
        <v/>
      </c>
      <c r="AF21" s="520" t="str">
        <f t="shared" si="6"/>
        <v/>
      </c>
      <c r="AG21" s="524" t="str">
        <f>IFERROR(IF(O21="","",VLOOKUP(AD21,'G-3 Multipliers'!$P$3:$Q$6,2,FALSE)),"")</f>
        <v/>
      </c>
      <c r="AH21" s="197"/>
      <c r="AI21" s="499" t="str">
        <f>IF(AH21="","",IF(VLOOKUP(AH21,'G-3 Multipliers'!$S$3:$T$6,2,FALSE)=0,"Spatial Data Missing ⚠",VLOOKUP(AH21,'G-3 Multipliers'!$S$3:$T$6,2,FALSE)))</f>
        <v/>
      </c>
      <c r="AJ21" s="545" t="str">
        <f t="shared" si="7"/>
        <v/>
      </c>
      <c r="AK21" s="149"/>
      <c r="AL21" s="150"/>
      <c r="AP21" s="31" t="str">
        <f>IFERROR(INDEX('G-6 Hedgerow Data'!$BJ$3:$BJ$15,MATCH(M21,'G-6 Hedgerow Data'!$B$3:$B$15,0)),"")</f>
        <v/>
      </c>
    </row>
    <row r="22" spans="2:42" ht="13.8" x14ac:dyDescent="0.25">
      <c r="B22" s="531" t="str">
        <f>'E-1 Off Site Hedge Baseline'!AK20</f>
        <v/>
      </c>
      <c r="C22" s="520" t="str">
        <f>IF(B22="","",IF(ISNA(VLOOKUP($B22,'E-1 Off Site Hedge Baseline'!$B$1:$L$257,3,FALSE)),"",(VLOOKUP($B22,'E-1 Off Site Hedge Baseline'!$B$1:$L$257,3,FALSE))))</f>
        <v/>
      </c>
      <c r="D22" s="520" t="str">
        <f>IF(B22="","",IF(ISNA(VLOOKUP($B22,'E-1 Off Site Hedge Baseline'!$B$1:$L$258,4,FALSE)),"",(VLOOKUP($B22,'E-1 Off Site Hedge Baseline'!$B$1:$L$258,4,FALSE))))</f>
        <v/>
      </c>
      <c r="E22" s="520" t="str">
        <f>IF(B22="","",IF(ISNA(VLOOKUP($B22,'E-1 Off Site Hedge Baseline'!$B$1:$L$257,5,FALSE)),"",(VLOOKUP($B22,'E-1 Off Site Hedge Baseline'!$B$1:$L$257,5,FALSE))))</f>
        <v/>
      </c>
      <c r="F22" s="520" t="str">
        <f>IF(B22="","",IF(ISNA(VLOOKUP($B22,'E-1 Off Site Hedge Baseline'!$B$1:$L$257,6,FALSE)),"",(VLOOKUP($B22,'E-1 Off Site Hedge Baseline'!$B$1:$L$257,6,FALSE))))</f>
        <v/>
      </c>
      <c r="G22" s="520" t="str">
        <f>IF(B22="","",IF(ISNA(VLOOKUP($B22,'E-1 Off Site Hedge Baseline'!$B$1:$L$257,7,FALSE)),"",(VLOOKUP($B22,'E-1 Off Site Hedge Baseline'!$B$1:$L$257,7,FALSE))))</f>
        <v/>
      </c>
      <c r="H22" s="520" t="str">
        <f>IF(B22="","",IF(ISNA(VLOOKUP($B22,'E-1 Off Site Hedge Baseline'!$B$1:$L$257,8,FALSE)),"",(VLOOKUP($B22,'E-1 Off Site Hedge Baseline'!$B$1:$L$257,8,FALSE))))</f>
        <v/>
      </c>
      <c r="I22" s="520" t="str">
        <f>IF(B22="","",IF(ISNA(VLOOKUP($B22,'E-1 Off Site Hedge Baseline'!$B$1:$L$257,10,FALSE)),"",(VLOOKUP($B22,'E-1 Off Site Hedge Baseline'!$B$1:$L$257,10,FALSE))))</f>
        <v/>
      </c>
      <c r="J22" s="520" t="str">
        <f>IF(B22="","",IF(ISNA(VLOOKUP($B22,'E-1 Off Site Hedge Baseline'!$B$1:$L$257,11,FALSE)),"",(VLOOKUP($B22,'E-1 Off Site Hedge Baseline'!$B$1:$L$257,11,FALSE))))</f>
        <v/>
      </c>
      <c r="K22" s="520" t="str">
        <f>IF(B22="","",IF(ISNA(VLOOKUP($B22,'E-1 Off Site Hedge Baseline'!$B$1:$U$257,113,FALSE)),"",(VLOOKUP($B22,'E-1 Off Site Hedge Baseline'!$B$1:$U$257,13,FALSE))))</f>
        <v/>
      </c>
      <c r="L22" s="507" t="str">
        <f>IF(B22="","",IF(ISNA(VLOOKUP($B22,'E-1 Off Site Hedge Baseline'!$B$1:$U$257,12,FALSE)),"",(VLOOKUP($B22,'E-1 Off Site Hedge Baseline'!$B$1:$U$257,12,FALSE))))</f>
        <v/>
      </c>
      <c r="M22" s="418" t="str">
        <f t="shared" si="8"/>
        <v/>
      </c>
      <c r="N22" s="498" t="str">
        <f>IFERROR(IF(B22="","",INDEX('G-6 Hedgerow Data'!$AN$3:$AZ$15,MATCH(C22,'G-6 Hedgerow Data'!$AM$3:$AM$15,0),MATCH(M22,'G-6 Hedgerow Data'!$AN$2:$AZ$2,0))),"")</f>
        <v/>
      </c>
      <c r="O22" s="499" t="str">
        <f t="shared" si="2"/>
        <v/>
      </c>
      <c r="P22" s="505" t="str">
        <f>IF(B22="","",VLOOKUP(B22,'E-1 Off Site Hedge Baseline'!$B$10:T267,16,FALSE))</f>
        <v/>
      </c>
      <c r="Q22" s="498" t="str">
        <f>IF(M22="","",VLOOKUP(M22,'G-6 Hedgerow Data'!$B$2:$AG$15,2,FALSE))</f>
        <v/>
      </c>
      <c r="R22" s="499" t="str">
        <f>IF(M22="","",VLOOKUP(M22,'G-6 Hedgerow Data'!$B$2:$AG$15,3,FALSE))</f>
        <v/>
      </c>
      <c r="S22" s="145"/>
      <c r="T22" s="499" t="str">
        <f>IFERROR(IF(AND(Q22="V.Low",OR(S22="Good",S22="Moderate")),"Error ▲",VLOOKUP(S22,'G-1 All Habitats'!$Z$2:$AA$9,2,FALSE)),"")</f>
        <v/>
      </c>
      <c r="U22" s="145"/>
      <c r="V22" s="507" t="str">
        <f>IF(U22="","",IF(VLOOKUP(U22,'G-3 Multipliers'!$L$3:$N$6,2,FALSE)=0,"Spatial Data Missing ⚠",VLOOKUP(U22,'G-3 Multipliers'!$L$3:$N$6,2,FALSE)))</f>
        <v/>
      </c>
      <c r="W22" s="505" t="str">
        <f>IF(U22="","",IF(VLOOKUP(U22,'G-3 Multipliers'!$L$3:$N$6,3,FALSE)=0,"Spatial Data Missing ⚠",VLOOKUP(U22,'G-3 Multipliers'!$L$3:$N$6,3,FALSE)))</f>
        <v/>
      </c>
      <c r="X22" s="498"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7" t="str">
        <f t="shared" si="3"/>
        <v/>
      </c>
      <c r="AB22" s="521" t="str">
        <f t="shared" si="4"/>
        <v/>
      </c>
      <c r="AC22" s="522" t="str">
        <f t="shared" si="1"/>
        <v/>
      </c>
      <c r="AD22" s="537" t="str">
        <f>IF(M22="","",VLOOKUP(M22,'G-6 Hedgerow Data'!$B$3:$AG$15,31,FALSE))</f>
        <v/>
      </c>
      <c r="AE22" s="520" t="str">
        <f t="shared" si="5"/>
        <v/>
      </c>
      <c r="AF22" s="520" t="str">
        <f t="shared" si="6"/>
        <v/>
      </c>
      <c r="AG22" s="524" t="str">
        <f>IFERROR(IF(O22="","",VLOOKUP(AD22,'G-3 Multipliers'!$P$3:$Q$6,2,FALSE)),"")</f>
        <v/>
      </c>
      <c r="AH22" s="197"/>
      <c r="AI22" s="499" t="str">
        <f>IF(AH22="","",IF(VLOOKUP(AH22,'G-3 Multipliers'!$S$3:$T$6,2,FALSE)=0,"Spatial Data Missing ⚠",VLOOKUP(AH22,'G-3 Multipliers'!$S$3:$T$6,2,FALSE)))</f>
        <v/>
      </c>
      <c r="AJ22" s="545" t="str">
        <f t="shared" si="7"/>
        <v/>
      </c>
      <c r="AK22" s="149"/>
      <c r="AL22" s="150"/>
      <c r="AP22" s="31" t="str">
        <f>IFERROR(INDEX('G-6 Hedgerow Data'!$BJ$3:$BJ$15,MATCH(M22,'G-6 Hedgerow Data'!$B$3:$B$15,0)),"")</f>
        <v/>
      </c>
    </row>
    <row r="23" spans="2:42" ht="13.8" x14ac:dyDescent="0.25">
      <c r="B23" s="531" t="str">
        <f>'E-1 Off Site Hedge Baseline'!AK21</f>
        <v/>
      </c>
      <c r="C23" s="520" t="str">
        <f>IF(B23="","",IF(ISNA(VLOOKUP($B23,'E-1 Off Site Hedge Baseline'!$B$1:$L$257,3,FALSE)),"",(VLOOKUP($B23,'E-1 Off Site Hedge Baseline'!$B$1:$L$257,3,FALSE))))</f>
        <v/>
      </c>
      <c r="D23" s="520" t="str">
        <f>IF(B23="","",IF(ISNA(VLOOKUP($B23,'E-1 Off Site Hedge Baseline'!$B$1:$L$258,4,FALSE)),"",(VLOOKUP($B23,'E-1 Off Site Hedge Baseline'!$B$1:$L$258,4,FALSE))))</f>
        <v/>
      </c>
      <c r="E23" s="520" t="str">
        <f>IF(B23="","",IF(ISNA(VLOOKUP($B23,'E-1 Off Site Hedge Baseline'!$B$1:$L$257,5,FALSE)),"",(VLOOKUP($B23,'E-1 Off Site Hedge Baseline'!$B$1:$L$257,5,FALSE))))</f>
        <v/>
      </c>
      <c r="F23" s="520" t="str">
        <f>IF(B23="","",IF(ISNA(VLOOKUP($B23,'E-1 Off Site Hedge Baseline'!$B$1:$L$257,6,FALSE)),"",(VLOOKUP($B23,'E-1 Off Site Hedge Baseline'!$B$1:$L$257,6,FALSE))))</f>
        <v/>
      </c>
      <c r="G23" s="520" t="str">
        <f>IF(B23="","",IF(ISNA(VLOOKUP($B23,'E-1 Off Site Hedge Baseline'!$B$1:$L$257,7,FALSE)),"",(VLOOKUP($B23,'E-1 Off Site Hedge Baseline'!$B$1:$L$257,7,FALSE))))</f>
        <v/>
      </c>
      <c r="H23" s="520" t="str">
        <f>IF(B23="","",IF(ISNA(VLOOKUP($B23,'E-1 Off Site Hedge Baseline'!$B$1:$L$257,8,FALSE)),"",(VLOOKUP($B23,'E-1 Off Site Hedge Baseline'!$B$1:$L$257,8,FALSE))))</f>
        <v/>
      </c>
      <c r="I23" s="520" t="str">
        <f>IF(B23="","",IF(ISNA(VLOOKUP($B23,'E-1 Off Site Hedge Baseline'!$B$1:$L$257,10,FALSE)),"",(VLOOKUP($B23,'E-1 Off Site Hedge Baseline'!$B$1:$L$257,10,FALSE))))</f>
        <v/>
      </c>
      <c r="J23" s="520" t="str">
        <f>IF(B23="","",IF(ISNA(VLOOKUP($B23,'E-1 Off Site Hedge Baseline'!$B$1:$L$257,11,FALSE)),"",(VLOOKUP($B23,'E-1 Off Site Hedge Baseline'!$B$1:$L$257,11,FALSE))))</f>
        <v/>
      </c>
      <c r="K23" s="520" t="str">
        <f>IF(B23="","",IF(ISNA(VLOOKUP($B23,'E-1 Off Site Hedge Baseline'!$B$1:$U$257,113,FALSE)),"",(VLOOKUP($B23,'E-1 Off Site Hedge Baseline'!$B$1:$U$257,13,FALSE))))</f>
        <v/>
      </c>
      <c r="L23" s="507" t="str">
        <f>IF(B23="","",IF(ISNA(VLOOKUP($B23,'E-1 Off Site Hedge Baseline'!$B$1:$U$257,12,FALSE)),"",(VLOOKUP($B23,'E-1 Off Site Hedge Baseline'!$B$1:$U$257,12,FALSE))))</f>
        <v/>
      </c>
      <c r="M23" s="418" t="str">
        <f t="shared" si="8"/>
        <v/>
      </c>
      <c r="N23" s="498" t="str">
        <f>IFERROR(IF(B23="","",INDEX('G-6 Hedgerow Data'!$AN$3:$AZ$15,MATCH(C23,'G-6 Hedgerow Data'!$AM$3:$AM$15,0),MATCH(M23,'G-6 Hedgerow Data'!$AN$2:$AZ$2,0))),"")</f>
        <v/>
      </c>
      <c r="O23" s="499" t="str">
        <f t="shared" si="2"/>
        <v/>
      </c>
      <c r="P23" s="505" t="str">
        <f>IF(B23="","",VLOOKUP(B23,'E-1 Off Site Hedge Baseline'!$B$10:T268,16,FALSE))</f>
        <v/>
      </c>
      <c r="Q23" s="498" t="str">
        <f>IF(M23="","",VLOOKUP(M23,'G-6 Hedgerow Data'!$B$2:$AG$15,2,FALSE))</f>
        <v/>
      </c>
      <c r="R23" s="499" t="str">
        <f>IF(M23="","",VLOOKUP(M23,'G-6 Hedgerow Data'!$B$2:$AG$15,3,FALSE))</f>
        <v/>
      </c>
      <c r="S23" s="145"/>
      <c r="T23" s="499" t="str">
        <f>IFERROR(IF(AND(Q23="V.Low",OR(S23="Good",S23="Moderate")),"Error ▲",VLOOKUP(S23,'G-1 All Habitats'!$Z$2:$AA$9,2,FALSE)),"")</f>
        <v/>
      </c>
      <c r="U23" s="145"/>
      <c r="V23" s="507" t="str">
        <f>IF(U23="","",IF(VLOOKUP(U23,'G-3 Multipliers'!$L$3:$N$6,2,FALSE)=0,"Spatial Data Missing ⚠",VLOOKUP(U23,'G-3 Multipliers'!$L$3:$N$6,2,FALSE)))</f>
        <v/>
      </c>
      <c r="W23" s="505" t="str">
        <f>IF(U23="","",IF(VLOOKUP(U23,'G-3 Multipliers'!$L$3:$N$6,3,FALSE)=0,"Spatial Data Missing ⚠",VLOOKUP(U23,'G-3 Multipliers'!$L$3:$N$6,3,FALSE)))</f>
        <v/>
      </c>
      <c r="X23" s="498"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7" t="str">
        <f t="shared" si="3"/>
        <v/>
      </c>
      <c r="AB23" s="521" t="str">
        <f t="shared" si="4"/>
        <v/>
      </c>
      <c r="AC23" s="522" t="str">
        <f t="shared" si="1"/>
        <v/>
      </c>
      <c r="AD23" s="537" t="str">
        <f>IF(M23="","",VLOOKUP(M23,'G-6 Hedgerow Data'!$B$3:$AG$15,31,FALSE))</f>
        <v/>
      </c>
      <c r="AE23" s="520" t="str">
        <f t="shared" si="5"/>
        <v/>
      </c>
      <c r="AF23" s="520" t="str">
        <f t="shared" si="6"/>
        <v/>
      </c>
      <c r="AG23" s="524" t="str">
        <f>IFERROR(IF(O23="","",VLOOKUP(AD23,'G-3 Multipliers'!$P$3:$Q$6,2,FALSE)),"")</f>
        <v/>
      </c>
      <c r="AH23" s="197"/>
      <c r="AI23" s="499" t="str">
        <f>IF(AH23="","",IF(VLOOKUP(AH23,'G-3 Multipliers'!$S$3:$T$6,2,FALSE)=0,"Spatial Data Missing ⚠",VLOOKUP(AH23,'G-3 Multipliers'!$S$3:$T$6,2,FALSE)))</f>
        <v/>
      </c>
      <c r="AJ23" s="545" t="str">
        <f t="shared" si="7"/>
        <v/>
      </c>
      <c r="AK23" s="149"/>
      <c r="AL23" s="150"/>
      <c r="AP23" s="31" t="str">
        <f>IFERROR(INDEX('G-6 Hedgerow Data'!$BJ$3:$BJ$15,MATCH(M23,'G-6 Hedgerow Data'!$B$3:$B$15,0)),"")</f>
        <v/>
      </c>
    </row>
    <row r="24" spans="2:42" ht="13.8" x14ac:dyDescent="0.25">
      <c r="B24" s="531" t="str">
        <f>'E-1 Off Site Hedge Baseline'!AK22</f>
        <v/>
      </c>
      <c r="C24" s="520" t="str">
        <f>IF(B24="","",IF(ISNA(VLOOKUP($B24,'E-1 Off Site Hedge Baseline'!$B$1:$L$257,3,FALSE)),"",(VLOOKUP($B24,'E-1 Off Site Hedge Baseline'!$B$1:$L$257,3,FALSE))))</f>
        <v/>
      </c>
      <c r="D24" s="520" t="str">
        <f>IF(B24="","",IF(ISNA(VLOOKUP($B24,'E-1 Off Site Hedge Baseline'!$B$1:$L$258,4,FALSE)),"",(VLOOKUP($B24,'E-1 Off Site Hedge Baseline'!$B$1:$L$258,4,FALSE))))</f>
        <v/>
      </c>
      <c r="E24" s="520" t="str">
        <f>IF(B24="","",IF(ISNA(VLOOKUP($B24,'E-1 Off Site Hedge Baseline'!$B$1:$L$257,5,FALSE)),"",(VLOOKUP($B24,'E-1 Off Site Hedge Baseline'!$B$1:$L$257,5,FALSE))))</f>
        <v/>
      </c>
      <c r="F24" s="520" t="str">
        <f>IF(B24="","",IF(ISNA(VLOOKUP($B24,'E-1 Off Site Hedge Baseline'!$B$1:$L$257,6,FALSE)),"",(VLOOKUP($B24,'E-1 Off Site Hedge Baseline'!$B$1:$L$257,6,FALSE))))</f>
        <v/>
      </c>
      <c r="G24" s="520" t="str">
        <f>IF(B24="","",IF(ISNA(VLOOKUP($B24,'E-1 Off Site Hedge Baseline'!$B$1:$L$257,7,FALSE)),"",(VLOOKUP($B24,'E-1 Off Site Hedge Baseline'!$B$1:$L$257,7,FALSE))))</f>
        <v/>
      </c>
      <c r="H24" s="520" t="str">
        <f>IF(B24="","",IF(ISNA(VLOOKUP($B24,'E-1 Off Site Hedge Baseline'!$B$1:$L$257,8,FALSE)),"",(VLOOKUP($B24,'E-1 Off Site Hedge Baseline'!$B$1:$L$257,8,FALSE))))</f>
        <v/>
      </c>
      <c r="I24" s="520" t="str">
        <f>IF(B24="","",IF(ISNA(VLOOKUP($B24,'E-1 Off Site Hedge Baseline'!$B$1:$L$257,10,FALSE)),"",(VLOOKUP($B24,'E-1 Off Site Hedge Baseline'!$B$1:$L$257,10,FALSE))))</f>
        <v/>
      </c>
      <c r="J24" s="520" t="str">
        <f>IF(B24="","",IF(ISNA(VLOOKUP($B24,'E-1 Off Site Hedge Baseline'!$B$1:$L$257,11,FALSE)),"",(VLOOKUP($B24,'E-1 Off Site Hedge Baseline'!$B$1:$L$257,11,FALSE))))</f>
        <v/>
      </c>
      <c r="K24" s="520" t="str">
        <f>IF(B24="","",IF(ISNA(VLOOKUP($B24,'E-1 Off Site Hedge Baseline'!$B$1:$U$257,113,FALSE)),"",(VLOOKUP($B24,'E-1 Off Site Hedge Baseline'!$B$1:$U$257,13,FALSE))))</f>
        <v/>
      </c>
      <c r="L24" s="507" t="str">
        <f>IF(B24="","",IF(ISNA(VLOOKUP($B24,'E-1 Off Site Hedge Baseline'!$B$1:$U$257,12,FALSE)),"",(VLOOKUP($B24,'E-1 Off Site Hedge Baseline'!$B$1:$U$257,12,FALSE))))</f>
        <v/>
      </c>
      <c r="M24" s="418" t="str">
        <f t="shared" si="8"/>
        <v/>
      </c>
      <c r="N24" s="498" t="str">
        <f>IFERROR(IF(B24="","",INDEX('G-6 Hedgerow Data'!$AN$3:$AZ$15,MATCH(C24,'G-6 Hedgerow Data'!$AM$3:$AM$15,0),MATCH(M24,'G-6 Hedgerow Data'!$AN$2:$AZ$2,0))),"")</f>
        <v/>
      </c>
      <c r="O24" s="499" t="str">
        <f t="shared" si="2"/>
        <v/>
      </c>
      <c r="P24" s="505" t="str">
        <f>IF(B24="","",VLOOKUP(B24,'E-1 Off Site Hedge Baseline'!$B$10:T269,16,FALSE))</f>
        <v/>
      </c>
      <c r="Q24" s="498" t="str">
        <f>IF(M24="","",VLOOKUP(M24,'G-6 Hedgerow Data'!$B$2:$AG$15,2,FALSE))</f>
        <v/>
      </c>
      <c r="R24" s="499" t="str">
        <f>IF(M24="","",VLOOKUP(M24,'G-6 Hedgerow Data'!$B$2:$AG$15,3,FALSE))</f>
        <v/>
      </c>
      <c r="S24" s="145"/>
      <c r="T24" s="499" t="str">
        <f>IFERROR(IF(AND(Q24="V.Low",OR(S24="Good",S24="Moderate")),"Error ▲",VLOOKUP(S24,'G-1 All Habitats'!$Z$2:$AA$9,2,FALSE)),"")</f>
        <v/>
      </c>
      <c r="U24" s="145"/>
      <c r="V24" s="507" t="str">
        <f>IF(U24="","",IF(VLOOKUP(U24,'G-3 Multipliers'!$L$3:$N$6,2,FALSE)=0,"Spatial Data Missing ⚠",VLOOKUP(U24,'G-3 Multipliers'!$L$3:$N$6,2,FALSE)))</f>
        <v/>
      </c>
      <c r="W24" s="505" t="str">
        <f>IF(U24="","",IF(VLOOKUP(U24,'G-3 Multipliers'!$L$3:$N$6,3,FALSE)=0,"Spatial Data Missing ⚠",VLOOKUP(U24,'G-3 Multipliers'!$L$3:$N$6,3,FALSE)))</f>
        <v/>
      </c>
      <c r="X24" s="498"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7" t="str">
        <f t="shared" si="3"/>
        <v/>
      </c>
      <c r="AB24" s="521" t="str">
        <f t="shared" si="4"/>
        <v/>
      </c>
      <c r="AC24" s="522" t="str">
        <f t="shared" si="1"/>
        <v/>
      </c>
      <c r="AD24" s="537" t="str">
        <f>IF(M24="","",VLOOKUP(M24,'G-6 Hedgerow Data'!$B$3:$AG$15,31,FALSE))</f>
        <v/>
      </c>
      <c r="AE24" s="520" t="str">
        <f t="shared" si="5"/>
        <v/>
      </c>
      <c r="AF24" s="520" t="str">
        <f t="shared" si="6"/>
        <v/>
      </c>
      <c r="AG24" s="524" t="str">
        <f>IFERROR(IF(O24="","",VLOOKUP(AD24,'G-3 Multipliers'!$P$3:$Q$6,2,FALSE)),"")</f>
        <v/>
      </c>
      <c r="AH24" s="197"/>
      <c r="AI24" s="499" t="str">
        <f>IF(AH24="","",IF(VLOOKUP(AH24,'G-3 Multipliers'!$S$3:$T$6,2,FALSE)=0,"Spatial Data Missing ⚠",VLOOKUP(AH24,'G-3 Multipliers'!$S$3:$T$6,2,FALSE)))</f>
        <v/>
      </c>
      <c r="AJ24" s="545" t="str">
        <f t="shared" si="7"/>
        <v/>
      </c>
      <c r="AK24" s="149"/>
      <c r="AL24" s="150"/>
      <c r="AP24" s="31" t="str">
        <f>IFERROR(INDEX('G-6 Hedgerow Data'!$BJ$3:$BJ$15,MATCH(M24,'G-6 Hedgerow Data'!$B$3:$B$15,0)),"")</f>
        <v/>
      </c>
    </row>
    <row r="25" spans="2:42" ht="13.8" x14ac:dyDescent="0.25">
      <c r="B25" s="531" t="str">
        <f>'E-1 Off Site Hedge Baseline'!AK23</f>
        <v/>
      </c>
      <c r="C25" s="520" t="str">
        <f>IF(B25="","",IF(ISNA(VLOOKUP($B25,'E-1 Off Site Hedge Baseline'!$B$1:$L$257,3,FALSE)),"",(VLOOKUP($B25,'E-1 Off Site Hedge Baseline'!$B$1:$L$257,3,FALSE))))</f>
        <v/>
      </c>
      <c r="D25" s="520" t="str">
        <f>IF(B25="","",IF(ISNA(VLOOKUP($B25,'E-1 Off Site Hedge Baseline'!$B$1:$L$258,4,FALSE)),"",(VLOOKUP($B25,'E-1 Off Site Hedge Baseline'!$B$1:$L$258,4,FALSE))))</f>
        <v/>
      </c>
      <c r="E25" s="520" t="str">
        <f>IF(B25="","",IF(ISNA(VLOOKUP($B25,'E-1 Off Site Hedge Baseline'!$B$1:$L$257,5,FALSE)),"",(VLOOKUP($B25,'E-1 Off Site Hedge Baseline'!$B$1:$L$257,5,FALSE))))</f>
        <v/>
      </c>
      <c r="F25" s="520" t="str">
        <f>IF(B25="","",IF(ISNA(VLOOKUP($B25,'E-1 Off Site Hedge Baseline'!$B$1:$L$257,6,FALSE)),"",(VLOOKUP($B25,'E-1 Off Site Hedge Baseline'!$B$1:$L$257,6,FALSE))))</f>
        <v/>
      </c>
      <c r="G25" s="520" t="str">
        <f>IF(B25="","",IF(ISNA(VLOOKUP($B25,'E-1 Off Site Hedge Baseline'!$B$1:$L$257,7,FALSE)),"",(VLOOKUP($B25,'E-1 Off Site Hedge Baseline'!$B$1:$L$257,7,FALSE))))</f>
        <v/>
      </c>
      <c r="H25" s="520" t="str">
        <f>IF(B25="","",IF(ISNA(VLOOKUP($B25,'E-1 Off Site Hedge Baseline'!$B$1:$L$257,8,FALSE)),"",(VLOOKUP($B25,'E-1 Off Site Hedge Baseline'!$B$1:$L$257,8,FALSE))))</f>
        <v/>
      </c>
      <c r="I25" s="520" t="str">
        <f>IF(B25="","",IF(ISNA(VLOOKUP($B25,'E-1 Off Site Hedge Baseline'!$B$1:$L$257,10,FALSE)),"",(VLOOKUP($B25,'E-1 Off Site Hedge Baseline'!$B$1:$L$257,10,FALSE))))</f>
        <v/>
      </c>
      <c r="J25" s="520" t="str">
        <f>IF(B25="","",IF(ISNA(VLOOKUP($B25,'E-1 Off Site Hedge Baseline'!$B$1:$L$257,11,FALSE)),"",(VLOOKUP($B25,'E-1 Off Site Hedge Baseline'!$B$1:$L$257,11,FALSE))))</f>
        <v/>
      </c>
      <c r="K25" s="520" t="str">
        <f>IF(B25="","",IF(ISNA(VLOOKUP($B25,'E-1 Off Site Hedge Baseline'!$B$1:$U$257,113,FALSE)),"",(VLOOKUP($B25,'E-1 Off Site Hedge Baseline'!$B$1:$U$257,13,FALSE))))</f>
        <v/>
      </c>
      <c r="L25" s="507" t="str">
        <f>IF(B25="","",IF(ISNA(VLOOKUP($B25,'E-1 Off Site Hedge Baseline'!$B$1:$U$257,12,FALSE)),"",(VLOOKUP($B25,'E-1 Off Site Hedge Baseline'!$B$1:$U$257,12,FALSE))))</f>
        <v/>
      </c>
      <c r="M25" s="418" t="str">
        <f t="shared" si="8"/>
        <v/>
      </c>
      <c r="N25" s="498" t="str">
        <f>IFERROR(IF(B25="","",INDEX('G-6 Hedgerow Data'!$AN$3:$AZ$15,MATCH(C25,'G-6 Hedgerow Data'!$AM$3:$AM$15,0),MATCH(M25,'G-6 Hedgerow Data'!$AN$2:$AZ$2,0))),"")</f>
        <v/>
      </c>
      <c r="O25" s="499" t="str">
        <f t="shared" si="2"/>
        <v/>
      </c>
      <c r="P25" s="505" t="str">
        <f>IF(B25="","",VLOOKUP(B25,'E-1 Off Site Hedge Baseline'!$B$10:T270,16,FALSE))</f>
        <v/>
      </c>
      <c r="Q25" s="498" t="str">
        <f>IF(M25="","",VLOOKUP(M25,'G-6 Hedgerow Data'!$B$2:$AG$15,2,FALSE))</f>
        <v/>
      </c>
      <c r="R25" s="499" t="str">
        <f>IF(M25="","",VLOOKUP(M25,'G-6 Hedgerow Data'!$B$2:$AG$15,3,FALSE))</f>
        <v/>
      </c>
      <c r="S25" s="145"/>
      <c r="T25" s="499" t="str">
        <f>IFERROR(IF(AND(Q25="V.Low",OR(S25="Good",S25="Moderate")),"Error ▲",VLOOKUP(S25,'G-1 All Habitats'!$Z$2:$AA$9,2,FALSE)),"")</f>
        <v/>
      </c>
      <c r="U25" s="145"/>
      <c r="V25" s="507" t="str">
        <f>IF(U25="","",IF(VLOOKUP(U25,'G-3 Multipliers'!$L$3:$N$6,2,FALSE)=0,"Spatial Data Missing ⚠",VLOOKUP(U25,'G-3 Multipliers'!$L$3:$N$6,2,FALSE)))</f>
        <v/>
      </c>
      <c r="W25" s="505" t="str">
        <f>IF(U25="","",IF(VLOOKUP(U25,'G-3 Multipliers'!$L$3:$N$6,3,FALSE)=0,"Spatial Data Missing ⚠",VLOOKUP(U25,'G-3 Multipliers'!$L$3:$N$6,3,FALSE)))</f>
        <v/>
      </c>
      <c r="X25" s="498"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7" t="str">
        <f t="shared" si="3"/>
        <v/>
      </c>
      <c r="AB25" s="521" t="str">
        <f t="shared" si="4"/>
        <v/>
      </c>
      <c r="AC25" s="522" t="str">
        <f t="shared" si="1"/>
        <v/>
      </c>
      <c r="AD25" s="537" t="str">
        <f>IF(M25="","",VLOOKUP(M25,'G-6 Hedgerow Data'!$B$3:$AG$15,31,FALSE))</f>
        <v/>
      </c>
      <c r="AE25" s="520" t="str">
        <f t="shared" si="5"/>
        <v/>
      </c>
      <c r="AF25" s="520" t="str">
        <f t="shared" si="6"/>
        <v/>
      </c>
      <c r="AG25" s="524" t="str">
        <f>IFERROR(IF(O25="","",VLOOKUP(AD25,'G-3 Multipliers'!$P$3:$Q$6,2,FALSE)),"")</f>
        <v/>
      </c>
      <c r="AH25" s="197"/>
      <c r="AI25" s="499" t="str">
        <f>IF(AH25="","",IF(VLOOKUP(AH25,'G-3 Multipliers'!$S$3:$T$6,2,FALSE)=0,"Spatial Data Missing ⚠",VLOOKUP(AH25,'G-3 Multipliers'!$S$3:$T$6,2,FALSE)))</f>
        <v/>
      </c>
      <c r="AJ25" s="545" t="str">
        <f t="shared" si="7"/>
        <v/>
      </c>
      <c r="AK25" s="149"/>
      <c r="AL25" s="150"/>
      <c r="AP25" s="31" t="str">
        <f>IFERROR(INDEX('G-6 Hedgerow Data'!$BJ$3:$BJ$15,MATCH(M25,'G-6 Hedgerow Data'!$B$3:$B$15,0)),"")</f>
        <v/>
      </c>
    </row>
    <row r="26" spans="2:42" ht="13.8" x14ac:dyDescent="0.25">
      <c r="B26" s="531" t="str">
        <f>'E-1 Off Site Hedge Baseline'!AK24</f>
        <v/>
      </c>
      <c r="C26" s="520" t="str">
        <f>IF(B26="","",IF(ISNA(VLOOKUP($B26,'E-1 Off Site Hedge Baseline'!$B$1:$L$257,3,FALSE)),"",(VLOOKUP($B26,'E-1 Off Site Hedge Baseline'!$B$1:$L$257,3,FALSE))))</f>
        <v/>
      </c>
      <c r="D26" s="520" t="str">
        <f>IF(B26="","",IF(ISNA(VLOOKUP($B26,'E-1 Off Site Hedge Baseline'!$B$1:$L$258,4,FALSE)),"",(VLOOKUP($B26,'E-1 Off Site Hedge Baseline'!$B$1:$L$258,4,FALSE))))</f>
        <v/>
      </c>
      <c r="E26" s="520" t="str">
        <f>IF(B26="","",IF(ISNA(VLOOKUP($B26,'E-1 Off Site Hedge Baseline'!$B$1:$L$257,5,FALSE)),"",(VLOOKUP($B26,'E-1 Off Site Hedge Baseline'!$B$1:$L$257,5,FALSE))))</f>
        <v/>
      </c>
      <c r="F26" s="520" t="str">
        <f>IF(B26="","",IF(ISNA(VLOOKUP($B26,'E-1 Off Site Hedge Baseline'!$B$1:$L$257,6,FALSE)),"",(VLOOKUP($B26,'E-1 Off Site Hedge Baseline'!$B$1:$L$257,6,FALSE))))</f>
        <v/>
      </c>
      <c r="G26" s="520" t="str">
        <f>IF(B26="","",IF(ISNA(VLOOKUP($B26,'E-1 Off Site Hedge Baseline'!$B$1:$L$257,7,FALSE)),"",(VLOOKUP($B26,'E-1 Off Site Hedge Baseline'!$B$1:$L$257,7,FALSE))))</f>
        <v/>
      </c>
      <c r="H26" s="520" t="str">
        <f>IF(B26="","",IF(ISNA(VLOOKUP($B26,'E-1 Off Site Hedge Baseline'!$B$1:$L$257,8,FALSE)),"",(VLOOKUP($B26,'E-1 Off Site Hedge Baseline'!$B$1:$L$257,8,FALSE))))</f>
        <v/>
      </c>
      <c r="I26" s="520" t="str">
        <f>IF(B26="","",IF(ISNA(VLOOKUP($B26,'E-1 Off Site Hedge Baseline'!$B$1:$L$257,10,FALSE)),"",(VLOOKUP($B26,'E-1 Off Site Hedge Baseline'!$B$1:$L$257,10,FALSE))))</f>
        <v/>
      </c>
      <c r="J26" s="520" t="str">
        <f>IF(B26="","",IF(ISNA(VLOOKUP($B26,'E-1 Off Site Hedge Baseline'!$B$1:$L$257,11,FALSE)),"",(VLOOKUP($B26,'E-1 Off Site Hedge Baseline'!$B$1:$L$257,11,FALSE))))</f>
        <v/>
      </c>
      <c r="K26" s="520" t="str">
        <f>IF(B26="","",IF(ISNA(VLOOKUP($B26,'E-1 Off Site Hedge Baseline'!$B$1:$U$257,113,FALSE)),"",(VLOOKUP($B26,'E-1 Off Site Hedge Baseline'!$B$1:$U$257,13,FALSE))))</f>
        <v/>
      </c>
      <c r="L26" s="507" t="str">
        <f>IF(B26="","",IF(ISNA(VLOOKUP($B26,'E-1 Off Site Hedge Baseline'!$B$1:$U$257,12,FALSE)),"",(VLOOKUP($B26,'E-1 Off Site Hedge Baseline'!$B$1:$U$257,12,FALSE))))</f>
        <v/>
      </c>
      <c r="M26" s="418" t="str">
        <f t="shared" si="8"/>
        <v/>
      </c>
      <c r="N26" s="498" t="str">
        <f>IFERROR(IF(B26="","",INDEX('G-6 Hedgerow Data'!$AN$3:$AZ$15,MATCH(C26,'G-6 Hedgerow Data'!$AM$3:$AM$15,0),MATCH(M26,'G-6 Hedgerow Data'!$AN$2:$AZ$2,0))),"")</f>
        <v/>
      </c>
      <c r="O26" s="499" t="str">
        <f t="shared" si="2"/>
        <v/>
      </c>
      <c r="P26" s="505" t="str">
        <f>IF(B26="","",VLOOKUP(B26,'E-1 Off Site Hedge Baseline'!$B$10:T271,16,FALSE))</f>
        <v/>
      </c>
      <c r="Q26" s="498" t="str">
        <f>IF(M26="","",VLOOKUP(M26,'G-6 Hedgerow Data'!$B$2:$AG$15,2,FALSE))</f>
        <v/>
      </c>
      <c r="R26" s="499" t="str">
        <f>IF(M26="","",VLOOKUP(M26,'G-6 Hedgerow Data'!$B$2:$AG$15,3,FALSE))</f>
        <v/>
      </c>
      <c r="S26" s="145"/>
      <c r="T26" s="499" t="str">
        <f>IFERROR(IF(AND(Q26="V.Low",OR(S26="Good",S26="Moderate")),"Error ▲",VLOOKUP(S26,'G-1 All Habitats'!$Z$2:$AA$9,2,FALSE)),"")</f>
        <v/>
      </c>
      <c r="U26" s="145"/>
      <c r="V26" s="507" t="str">
        <f>IF(U26="","",IF(VLOOKUP(U26,'G-3 Multipliers'!$L$3:$N$6,2,FALSE)=0,"Spatial Data Missing ⚠",VLOOKUP(U26,'G-3 Multipliers'!$L$3:$N$6,2,FALSE)))</f>
        <v/>
      </c>
      <c r="W26" s="505" t="str">
        <f>IF(U26="","",IF(VLOOKUP(U26,'G-3 Multipliers'!$L$3:$N$6,3,FALSE)=0,"Spatial Data Missing ⚠",VLOOKUP(U26,'G-3 Multipliers'!$L$3:$N$6,3,FALSE)))</f>
        <v/>
      </c>
      <c r="X26" s="498"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7" t="str">
        <f t="shared" si="3"/>
        <v/>
      </c>
      <c r="AB26" s="521" t="str">
        <f t="shared" si="4"/>
        <v/>
      </c>
      <c r="AC26" s="522" t="str">
        <f t="shared" si="1"/>
        <v/>
      </c>
      <c r="AD26" s="537" t="str">
        <f>IF(M26="","",VLOOKUP(M26,'G-6 Hedgerow Data'!$B$3:$AG$15,31,FALSE))</f>
        <v/>
      </c>
      <c r="AE26" s="520" t="str">
        <f t="shared" si="5"/>
        <v/>
      </c>
      <c r="AF26" s="520" t="str">
        <f t="shared" si="6"/>
        <v/>
      </c>
      <c r="AG26" s="524" t="str">
        <f>IFERROR(IF(O26="","",VLOOKUP(AD26,'G-3 Multipliers'!$P$3:$Q$6,2,FALSE)),"")</f>
        <v/>
      </c>
      <c r="AH26" s="197"/>
      <c r="AI26" s="499" t="str">
        <f>IF(AH26="","",IF(VLOOKUP(AH26,'G-3 Multipliers'!$S$3:$T$6,2,FALSE)=0,"Spatial Data Missing ⚠",VLOOKUP(AH26,'G-3 Multipliers'!$S$3:$T$6,2,FALSE)))</f>
        <v/>
      </c>
      <c r="AJ26" s="545" t="str">
        <f t="shared" si="7"/>
        <v/>
      </c>
      <c r="AK26" s="149"/>
      <c r="AL26" s="150"/>
      <c r="AP26" s="31" t="str">
        <f>IFERROR(INDEX('G-6 Hedgerow Data'!$BJ$3:$BJ$15,MATCH(M26,'G-6 Hedgerow Data'!$B$3:$B$15,0)),"")</f>
        <v/>
      </c>
    </row>
    <row r="27" spans="2:42" ht="13.8" x14ac:dyDescent="0.25">
      <c r="B27" s="531" t="str">
        <f>'E-1 Off Site Hedge Baseline'!AK25</f>
        <v/>
      </c>
      <c r="C27" s="520" t="str">
        <f>IF(B27="","",IF(ISNA(VLOOKUP($B27,'E-1 Off Site Hedge Baseline'!$B$1:$L$257,3,FALSE)),"",(VLOOKUP($B27,'E-1 Off Site Hedge Baseline'!$B$1:$L$257,3,FALSE))))</f>
        <v/>
      </c>
      <c r="D27" s="520" t="str">
        <f>IF(B27="","",IF(ISNA(VLOOKUP($B27,'E-1 Off Site Hedge Baseline'!$B$1:$L$258,4,FALSE)),"",(VLOOKUP($B27,'E-1 Off Site Hedge Baseline'!$B$1:$L$258,4,FALSE))))</f>
        <v/>
      </c>
      <c r="E27" s="520" t="str">
        <f>IF(B27="","",IF(ISNA(VLOOKUP($B27,'E-1 Off Site Hedge Baseline'!$B$1:$L$257,5,FALSE)),"",(VLOOKUP($B27,'E-1 Off Site Hedge Baseline'!$B$1:$L$257,5,FALSE))))</f>
        <v/>
      </c>
      <c r="F27" s="520" t="str">
        <f>IF(B27="","",IF(ISNA(VLOOKUP($B27,'E-1 Off Site Hedge Baseline'!$B$1:$L$257,6,FALSE)),"",(VLOOKUP($B27,'E-1 Off Site Hedge Baseline'!$B$1:$L$257,6,FALSE))))</f>
        <v/>
      </c>
      <c r="G27" s="520" t="str">
        <f>IF(B27="","",IF(ISNA(VLOOKUP($B27,'E-1 Off Site Hedge Baseline'!$B$1:$L$257,7,FALSE)),"",(VLOOKUP($B27,'E-1 Off Site Hedge Baseline'!$B$1:$L$257,7,FALSE))))</f>
        <v/>
      </c>
      <c r="H27" s="520" t="str">
        <f>IF(B27="","",IF(ISNA(VLOOKUP($B27,'E-1 Off Site Hedge Baseline'!$B$1:$L$257,8,FALSE)),"",(VLOOKUP($B27,'E-1 Off Site Hedge Baseline'!$B$1:$L$257,8,FALSE))))</f>
        <v/>
      </c>
      <c r="I27" s="520" t="str">
        <f>IF(B27="","",IF(ISNA(VLOOKUP($B27,'E-1 Off Site Hedge Baseline'!$B$1:$L$257,10,FALSE)),"",(VLOOKUP($B27,'E-1 Off Site Hedge Baseline'!$B$1:$L$257,10,FALSE))))</f>
        <v/>
      </c>
      <c r="J27" s="520" t="str">
        <f>IF(B27="","",IF(ISNA(VLOOKUP($B27,'E-1 Off Site Hedge Baseline'!$B$1:$L$257,11,FALSE)),"",(VLOOKUP($B27,'E-1 Off Site Hedge Baseline'!$B$1:$L$257,11,FALSE))))</f>
        <v/>
      </c>
      <c r="K27" s="520" t="str">
        <f>IF(B27="","",IF(ISNA(VLOOKUP($B27,'E-1 Off Site Hedge Baseline'!$B$1:$U$257,113,FALSE)),"",(VLOOKUP($B27,'E-1 Off Site Hedge Baseline'!$B$1:$U$257,13,FALSE))))</f>
        <v/>
      </c>
      <c r="L27" s="507" t="str">
        <f>IF(B27="","",IF(ISNA(VLOOKUP($B27,'E-1 Off Site Hedge Baseline'!$B$1:$U$257,12,FALSE)),"",(VLOOKUP($B27,'E-1 Off Site Hedge Baseline'!$B$1:$U$257,12,FALSE))))</f>
        <v/>
      </c>
      <c r="M27" s="418" t="str">
        <f t="shared" si="8"/>
        <v/>
      </c>
      <c r="N27" s="498" t="str">
        <f>IFERROR(IF(B27="","",INDEX('G-6 Hedgerow Data'!$AN$3:$AZ$15,MATCH(C27,'G-6 Hedgerow Data'!$AM$3:$AM$15,0),MATCH(M27,'G-6 Hedgerow Data'!$AN$2:$AZ$2,0))),"")</f>
        <v/>
      </c>
      <c r="O27" s="499" t="str">
        <f t="shared" si="2"/>
        <v/>
      </c>
      <c r="P27" s="505" t="str">
        <f>IF(B27="","",VLOOKUP(B27,'E-1 Off Site Hedge Baseline'!$B$10:T272,16,FALSE))</f>
        <v/>
      </c>
      <c r="Q27" s="498" t="str">
        <f>IF(M27="","",VLOOKUP(M27,'G-6 Hedgerow Data'!$B$2:$AG$15,2,FALSE))</f>
        <v/>
      </c>
      <c r="R27" s="499" t="str">
        <f>IF(M27="","",VLOOKUP(M27,'G-6 Hedgerow Data'!$B$2:$AG$15,3,FALSE))</f>
        <v/>
      </c>
      <c r="S27" s="145"/>
      <c r="T27" s="499" t="str">
        <f>IFERROR(IF(AND(Q27="V.Low",OR(S27="Good",S27="Moderate")),"Error ▲",VLOOKUP(S27,'G-1 All Habitats'!$Z$2:$AA$9,2,FALSE)),"")</f>
        <v/>
      </c>
      <c r="U27" s="145"/>
      <c r="V27" s="507" t="str">
        <f>IF(U27="","",IF(VLOOKUP(U27,'G-3 Multipliers'!$L$3:$N$6,2,FALSE)=0,"Spatial Data Missing ⚠",VLOOKUP(U27,'G-3 Multipliers'!$L$3:$N$6,2,FALSE)))</f>
        <v/>
      </c>
      <c r="W27" s="505" t="str">
        <f>IF(U27="","",IF(VLOOKUP(U27,'G-3 Multipliers'!$L$3:$N$6,3,FALSE)=0,"Spatial Data Missing ⚠",VLOOKUP(U27,'G-3 Multipliers'!$L$3:$N$6,3,FALSE)))</f>
        <v/>
      </c>
      <c r="X27" s="498"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7" t="str">
        <f t="shared" si="3"/>
        <v/>
      </c>
      <c r="AB27" s="521" t="str">
        <f t="shared" si="4"/>
        <v/>
      </c>
      <c r="AC27" s="522" t="str">
        <f t="shared" si="1"/>
        <v/>
      </c>
      <c r="AD27" s="537" t="str">
        <f>IF(M27="","",VLOOKUP(M27,'G-6 Hedgerow Data'!$B$3:$AG$15,31,FALSE))</f>
        <v/>
      </c>
      <c r="AE27" s="520" t="str">
        <f t="shared" si="5"/>
        <v/>
      </c>
      <c r="AF27" s="520" t="str">
        <f t="shared" si="6"/>
        <v/>
      </c>
      <c r="AG27" s="524" t="str">
        <f>IFERROR(IF(O27="","",VLOOKUP(AD27,'G-3 Multipliers'!$P$3:$Q$6,2,FALSE)),"")</f>
        <v/>
      </c>
      <c r="AH27" s="197"/>
      <c r="AI27" s="499" t="str">
        <f>IF(AH27="","",IF(VLOOKUP(AH27,'G-3 Multipliers'!$S$3:$T$6,2,FALSE)=0,"Spatial Data Missing ⚠",VLOOKUP(AH27,'G-3 Multipliers'!$S$3:$T$6,2,FALSE)))</f>
        <v/>
      </c>
      <c r="AJ27" s="545" t="str">
        <f t="shared" si="7"/>
        <v/>
      </c>
      <c r="AK27" s="149"/>
      <c r="AL27" s="150"/>
      <c r="AP27" s="31" t="str">
        <f>IFERROR(INDEX('G-6 Hedgerow Data'!$BJ$3:$BJ$15,MATCH(M27,'G-6 Hedgerow Data'!$B$3:$B$15,0)),"")</f>
        <v/>
      </c>
    </row>
    <row r="28" spans="2:42" ht="13.8" x14ac:dyDescent="0.25">
      <c r="B28" s="531" t="str">
        <f>'E-1 Off Site Hedge Baseline'!AK26</f>
        <v/>
      </c>
      <c r="C28" s="520" t="str">
        <f>IF(B28="","",IF(ISNA(VLOOKUP($B28,'E-1 Off Site Hedge Baseline'!$B$1:$L$257,3,FALSE)),"",(VLOOKUP($B28,'E-1 Off Site Hedge Baseline'!$B$1:$L$257,3,FALSE))))</f>
        <v/>
      </c>
      <c r="D28" s="520" t="str">
        <f>IF(B28="","",IF(ISNA(VLOOKUP($B28,'E-1 Off Site Hedge Baseline'!$B$1:$L$258,4,FALSE)),"",(VLOOKUP($B28,'E-1 Off Site Hedge Baseline'!$B$1:$L$258,4,FALSE))))</f>
        <v/>
      </c>
      <c r="E28" s="520" t="str">
        <f>IF(B28="","",IF(ISNA(VLOOKUP($B28,'E-1 Off Site Hedge Baseline'!$B$1:$L$257,5,FALSE)),"",(VLOOKUP($B28,'E-1 Off Site Hedge Baseline'!$B$1:$L$257,5,FALSE))))</f>
        <v/>
      </c>
      <c r="F28" s="520" t="str">
        <f>IF(B28="","",IF(ISNA(VLOOKUP($B28,'E-1 Off Site Hedge Baseline'!$B$1:$L$257,6,FALSE)),"",(VLOOKUP($B28,'E-1 Off Site Hedge Baseline'!$B$1:$L$257,6,FALSE))))</f>
        <v/>
      </c>
      <c r="G28" s="520" t="str">
        <f>IF(B28="","",IF(ISNA(VLOOKUP($B28,'E-1 Off Site Hedge Baseline'!$B$1:$L$257,7,FALSE)),"",(VLOOKUP($B28,'E-1 Off Site Hedge Baseline'!$B$1:$L$257,7,FALSE))))</f>
        <v/>
      </c>
      <c r="H28" s="520" t="str">
        <f>IF(B28="","",IF(ISNA(VLOOKUP($B28,'E-1 Off Site Hedge Baseline'!$B$1:$L$257,8,FALSE)),"",(VLOOKUP($B28,'E-1 Off Site Hedge Baseline'!$B$1:$L$257,8,FALSE))))</f>
        <v/>
      </c>
      <c r="I28" s="520" t="str">
        <f>IF(B28="","",IF(ISNA(VLOOKUP($B28,'E-1 Off Site Hedge Baseline'!$B$1:$L$257,10,FALSE)),"",(VLOOKUP($B28,'E-1 Off Site Hedge Baseline'!$B$1:$L$257,10,FALSE))))</f>
        <v/>
      </c>
      <c r="J28" s="520" t="str">
        <f>IF(B28="","",IF(ISNA(VLOOKUP($B28,'E-1 Off Site Hedge Baseline'!$B$1:$L$257,11,FALSE)),"",(VLOOKUP($B28,'E-1 Off Site Hedge Baseline'!$B$1:$L$257,11,FALSE))))</f>
        <v/>
      </c>
      <c r="K28" s="520" t="str">
        <f>IF(B28="","",IF(ISNA(VLOOKUP($B28,'E-1 Off Site Hedge Baseline'!$B$1:$U$257,113,FALSE)),"",(VLOOKUP($B28,'E-1 Off Site Hedge Baseline'!$B$1:$U$257,13,FALSE))))</f>
        <v/>
      </c>
      <c r="L28" s="507" t="str">
        <f>IF(B28="","",IF(ISNA(VLOOKUP($B28,'E-1 Off Site Hedge Baseline'!$B$1:$U$257,12,FALSE)),"",(VLOOKUP($B28,'E-1 Off Site Hedge Baseline'!$B$1:$U$257,12,FALSE))))</f>
        <v/>
      </c>
      <c r="M28" s="418" t="str">
        <f t="shared" si="8"/>
        <v/>
      </c>
      <c r="N28" s="498" t="str">
        <f>IFERROR(IF(B28="","",INDEX('G-6 Hedgerow Data'!$AN$3:$AZ$15,MATCH(C28,'G-6 Hedgerow Data'!$AM$3:$AM$15,0),MATCH(M28,'G-6 Hedgerow Data'!$AN$2:$AZ$2,0))),"")</f>
        <v/>
      </c>
      <c r="O28" s="499" t="str">
        <f t="shared" si="2"/>
        <v/>
      </c>
      <c r="P28" s="505" t="str">
        <f>IF(B28="","",VLOOKUP(B28,'E-1 Off Site Hedge Baseline'!$B$10:T273,16,FALSE))</f>
        <v/>
      </c>
      <c r="Q28" s="498" t="str">
        <f>IF(M28="","",VLOOKUP(M28,'G-6 Hedgerow Data'!$B$2:$AG$15,2,FALSE))</f>
        <v/>
      </c>
      <c r="R28" s="499" t="str">
        <f>IF(M28="","",VLOOKUP(M28,'G-6 Hedgerow Data'!$B$2:$AG$15,3,FALSE))</f>
        <v/>
      </c>
      <c r="S28" s="145"/>
      <c r="T28" s="499" t="str">
        <f>IFERROR(IF(AND(Q28="V.Low",OR(S28="Good",S28="Moderate")),"Error ▲",VLOOKUP(S28,'G-1 All Habitats'!$Z$2:$AA$9,2,FALSE)),"")</f>
        <v/>
      </c>
      <c r="U28" s="145"/>
      <c r="V28" s="507" t="str">
        <f>IF(U28="","",IF(VLOOKUP(U28,'G-3 Multipliers'!$L$3:$N$6,2,FALSE)=0,"Spatial Data Missing ⚠",VLOOKUP(U28,'G-3 Multipliers'!$L$3:$N$6,2,FALSE)))</f>
        <v/>
      </c>
      <c r="W28" s="505" t="str">
        <f>IF(U28="","",IF(VLOOKUP(U28,'G-3 Multipliers'!$L$3:$N$6,3,FALSE)=0,"Spatial Data Missing ⚠",VLOOKUP(U28,'G-3 Multipliers'!$L$3:$N$6,3,FALSE)))</f>
        <v/>
      </c>
      <c r="X28" s="498"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7" t="str">
        <f t="shared" si="3"/>
        <v/>
      </c>
      <c r="AB28" s="521" t="str">
        <f t="shared" si="4"/>
        <v/>
      </c>
      <c r="AC28" s="522" t="str">
        <f t="shared" si="1"/>
        <v/>
      </c>
      <c r="AD28" s="537" t="str">
        <f>IF(M28="","",VLOOKUP(M28,'G-6 Hedgerow Data'!$B$3:$AG$15,31,FALSE))</f>
        <v/>
      </c>
      <c r="AE28" s="520" t="str">
        <f t="shared" si="5"/>
        <v/>
      </c>
      <c r="AF28" s="520" t="str">
        <f t="shared" si="6"/>
        <v/>
      </c>
      <c r="AG28" s="524" t="str">
        <f>IFERROR(IF(O28="","",VLOOKUP(AD28,'G-3 Multipliers'!$P$3:$Q$6,2,FALSE)),"")</f>
        <v/>
      </c>
      <c r="AH28" s="197"/>
      <c r="AI28" s="499" t="str">
        <f>IF(AH28="","",IF(VLOOKUP(AH28,'G-3 Multipliers'!$S$3:$T$6,2,FALSE)=0,"Spatial Data Missing ⚠",VLOOKUP(AH28,'G-3 Multipliers'!$S$3:$T$6,2,FALSE)))</f>
        <v/>
      </c>
      <c r="AJ28" s="545" t="str">
        <f t="shared" si="7"/>
        <v/>
      </c>
      <c r="AK28" s="149"/>
      <c r="AL28" s="150"/>
      <c r="AP28" s="31" t="str">
        <f>IFERROR(INDEX('G-6 Hedgerow Data'!$BJ$3:$BJ$15,MATCH(M28,'G-6 Hedgerow Data'!$B$3:$B$15,0)),"")</f>
        <v/>
      </c>
    </row>
    <row r="29" spans="2:42" ht="13.8" x14ac:dyDescent="0.25">
      <c r="B29" s="531" t="str">
        <f>'E-1 Off Site Hedge Baseline'!AK27</f>
        <v/>
      </c>
      <c r="C29" s="520" t="str">
        <f>IF(B29="","",IF(ISNA(VLOOKUP($B29,'E-1 Off Site Hedge Baseline'!$B$1:$L$257,3,FALSE)),"",(VLOOKUP($B29,'E-1 Off Site Hedge Baseline'!$B$1:$L$257,3,FALSE))))</f>
        <v/>
      </c>
      <c r="D29" s="520" t="str">
        <f>IF(B29="","",IF(ISNA(VLOOKUP($B29,'E-1 Off Site Hedge Baseline'!$B$1:$L$258,4,FALSE)),"",(VLOOKUP($B29,'E-1 Off Site Hedge Baseline'!$B$1:$L$258,4,FALSE))))</f>
        <v/>
      </c>
      <c r="E29" s="520" t="str">
        <f>IF(B29="","",IF(ISNA(VLOOKUP($B29,'E-1 Off Site Hedge Baseline'!$B$1:$L$257,5,FALSE)),"",(VLOOKUP($B29,'E-1 Off Site Hedge Baseline'!$B$1:$L$257,5,FALSE))))</f>
        <v/>
      </c>
      <c r="F29" s="520" t="str">
        <f>IF(B29="","",IF(ISNA(VLOOKUP($B29,'E-1 Off Site Hedge Baseline'!$B$1:$L$257,6,FALSE)),"",(VLOOKUP($B29,'E-1 Off Site Hedge Baseline'!$B$1:$L$257,6,FALSE))))</f>
        <v/>
      </c>
      <c r="G29" s="520" t="str">
        <f>IF(B29="","",IF(ISNA(VLOOKUP($B29,'E-1 Off Site Hedge Baseline'!$B$1:$L$257,7,FALSE)),"",(VLOOKUP($B29,'E-1 Off Site Hedge Baseline'!$B$1:$L$257,7,FALSE))))</f>
        <v/>
      </c>
      <c r="H29" s="520" t="str">
        <f>IF(B29="","",IF(ISNA(VLOOKUP($B29,'E-1 Off Site Hedge Baseline'!$B$1:$L$257,8,FALSE)),"",(VLOOKUP($B29,'E-1 Off Site Hedge Baseline'!$B$1:$L$257,8,FALSE))))</f>
        <v/>
      </c>
      <c r="I29" s="520" t="str">
        <f>IF(B29="","",IF(ISNA(VLOOKUP($B29,'E-1 Off Site Hedge Baseline'!$B$1:$L$257,10,FALSE)),"",(VLOOKUP($B29,'E-1 Off Site Hedge Baseline'!$B$1:$L$257,10,FALSE))))</f>
        <v/>
      </c>
      <c r="J29" s="520" t="str">
        <f>IF(B29="","",IF(ISNA(VLOOKUP($B29,'E-1 Off Site Hedge Baseline'!$B$1:$L$257,11,FALSE)),"",(VLOOKUP($B29,'E-1 Off Site Hedge Baseline'!$B$1:$L$257,11,FALSE))))</f>
        <v/>
      </c>
      <c r="K29" s="520" t="str">
        <f>IF(B29="","",IF(ISNA(VLOOKUP($B29,'E-1 Off Site Hedge Baseline'!$B$1:$U$257,113,FALSE)),"",(VLOOKUP($B29,'E-1 Off Site Hedge Baseline'!$B$1:$U$257,13,FALSE))))</f>
        <v/>
      </c>
      <c r="L29" s="507" t="str">
        <f>IF(B29="","",IF(ISNA(VLOOKUP($B29,'E-1 Off Site Hedge Baseline'!$B$1:$U$257,12,FALSE)),"",(VLOOKUP($B29,'E-1 Off Site Hedge Baseline'!$B$1:$U$257,12,FALSE))))</f>
        <v/>
      </c>
      <c r="M29" s="418" t="str">
        <f t="shared" si="8"/>
        <v/>
      </c>
      <c r="N29" s="498" t="str">
        <f>IFERROR(IF(B29="","",INDEX('G-6 Hedgerow Data'!$AN$3:$AZ$15,MATCH(C29,'G-6 Hedgerow Data'!$AM$3:$AM$15,0),MATCH(M29,'G-6 Hedgerow Data'!$AN$2:$AZ$2,0))),"")</f>
        <v/>
      </c>
      <c r="O29" s="499" t="str">
        <f t="shared" si="2"/>
        <v/>
      </c>
      <c r="P29" s="505" t="str">
        <f>IF(B29="","",VLOOKUP(B29,'E-1 Off Site Hedge Baseline'!$B$10:T274,16,FALSE))</f>
        <v/>
      </c>
      <c r="Q29" s="498" t="str">
        <f>IF(M29="","",VLOOKUP(M29,'G-6 Hedgerow Data'!$B$2:$AG$15,2,FALSE))</f>
        <v/>
      </c>
      <c r="R29" s="499" t="str">
        <f>IF(M29="","",VLOOKUP(M29,'G-6 Hedgerow Data'!$B$2:$AG$15,3,FALSE))</f>
        <v/>
      </c>
      <c r="S29" s="145"/>
      <c r="T29" s="499" t="str">
        <f>IFERROR(IF(AND(Q29="V.Low",OR(S29="Good",S29="Moderate")),"Error ▲",VLOOKUP(S29,'G-1 All Habitats'!$Z$2:$AA$9,2,FALSE)),"")</f>
        <v/>
      </c>
      <c r="U29" s="145"/>
      <c r="V29" s="507" t="str">
        <f>IF(U29="","",IF(VLOOKUP(U29,'G-3 Multipliers'!$L$3:$N$6,2,FALSE)=0,"Spatial Data Missing ⚠",VLOOKUP(U29,'G-3 Multipliers'!$L$3:$N$6,2,FALSE)))</f>
        <v/>
      </c>
      <c r="W29" s="505" t="str">
        <f>IF(U29="","",IF(VLOOKUP(U29,'G-3 Multipliers'!$L$3:$N$6,3,FALSE)=0,"Spatial Data Missing ⚠",VLOOKUP(U29,'G-3 Multipliers'!$L$3:$N$6,3,FALSE)))</f>
        <v/>
      </c>
      <c r="X29" s="498"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7" t="str">
        <f t="shared" si="3"/>
        <v/>
      </c>
      <c r="AB29" s="521" t="str">
        <f t="shared" si="4"/>
        <v/>
      </c>
      <c r="AC29" s="522" t="str">
        <f t="shared" si="1"/>
        <v/>
      </c>
      <c r="AD29" s="537" t="str">
        <f>IF(M29="","",VLOOKUP(M29,'G-6 Hedgerow Data'!$B$3:$AG$15,31,FALSE))</f>
        <v/>
      </c>
      <c r="AE29" s="520" t="str">
        <f t="shared" si="5"/>
        <v/>
      </c>
      <c r="AF29" s="520" t="str">
        <f t="shared" si="6"/>
        <v/>
      </c>
      <c r="AG29" s="524" t="str">
        <f>IFERROR(IF(O29="","",VLOOKUP(AD29,'G-3 Multipliers'!$P$3:$Q$6,2,FALSE)),"")</f>
        <v/>
      </c>
      <c r="AH29" s="197"/>
      <c r="AI29" s="499" t="str">
        <f>IF(AH29="","",IF(VLOOKUP(AH29,'G-3 Multipliers'!$S$3:$T$6,2,FALSE)=0,"Spatial Data Missing ⚠",VLOOKUP(AH29,'G-3 Multipliers'!$S$3:$T$6,2,FALSE)))</f>
        <v/>
      </c>
      <c r="AJ29" s="545" t="str">
        <f t="shared" si="7"/>
        <v/>
      </c>
      <c r="AK29" s="149"/>
      <c r="AL29" s="150"/>
      <c r="AP29" s="31" t="str">
        <f>IFERROR(INDEX('G-6 Hedgerow Data'!$BJ$3:$BJ$15,MATCH(M29,'G-6 Hedgerow Data'!$B$3:$B$15,0)),"")</f>
        <v/>
      </c>
    </row>
    <row r="30" spans="2:42" ht="13.8" x14ac:dyDescent="0.25">
      <c r="B30" s="531" t="str">
        <f>'E-1 Off Site Hedge Baseline'!AK28</f>
        <v/>
      </c>
      <c r="C30" s="520" t="str">
        <f>IF(B30="","",IF(ISNA(VLOOKUP($B30,'E-1 Off Site Hedge Baseline'!$B$1:$L$257,3,FALSE)),"",(VLOOKUP($B30,'E-1 Off Site Hedge Baseline'!$B$1:$L$257,3,FALSE))))</f>
        <v/>
      </c>
      <c r="D30" s="520" t="str">
        <f>IF(B30="","",IF(ISNA(VLOOKUP($B30,'E-1 Off Site Hedge Baseline'!$B$1:$L$258,4,FALSE)),"",(VLOOKUP($B30,'E-1 Off Site Hedge Baseline'!$B$1:$L$258,4,FALSE))))</f>
        <v/>
      </c>
      <c r="E30" s="520" t="str">
        <f>IF(B30="","",IF(ISNA(VLOOKUP($B30,'E-1 Off Site Hedge Baseline'!$B$1:$L$257,5,FALSE)),"",(VLOOKUP($B30,'E-1 Off Site Hedge Baseline'!$B$1:$L$257,5,FALSE))))</f>
        <v/>
      </c>
      <c r="F30" s="520" t="str">
        <f>IF(B30="","",IF(ISNA(VLOOKUP($B30,'E-1 Off Site Hedge Baseline'!$B$1:$L$257,6,FALSE)),"",(VLOOKUP($B30,'E-1 Off Site Hedge Baseline'!$B$1:$L$257,6,FALSE))))</f>
        <v/>
      </c>
      <c r="G30" s="520" t="str">
        <f>IF(B30="","",IF(ISNA(VLOOKUP($B30,'E-1 Off Site Hedge Baseline'!$B$1:$L$257,7,FALSE)),"",(VLOOKUP($B30,'E-1 Off Site Hedge Baseline'!$B$1:$L$257,7,FALSE))))</f>
        <v/>
      </c>
      <c r="H30" s="520" t="str">
        <f>IF(B30="","",IF(ISNA(VLOOKUP($B30,'E-1 Off Site Hedge Baseline'!$B$1:$L$257,8,FALSE)),"",(VLOOKUP($B30,'E-1 Off Site Hedge Baseline'!$B$1:$L$257,8,FALSE))))</f>
        <v/>
      </c>
      <c r="I30" s="520" t="str">
        <f>IF(B30="","",IF(ISNA(VLOOKUP($B30,'E-1 Off Site Hedge Baseline'!$B$1:$L$257,10,FALSE)),"",(VLOOKUP($B30,'E-1 Off Site Hedge Baseline'!$B$1:$L$257,10,FALSE))))</f>
        <v/>
      </c>
      <c r="J30" s="520" t="str">
        <f>IF(B30="","",IF(ISNA(VLOOKUP($B30,'E-1 Off Site Hedge Baseline'!$B$1:$L$257,11,FALSE)),"",(VLOOKUP($B30,'E-1 Off Site Hedge Baseline'!$B$1:$L$257,11,FALSE))))</f>
        <v/>
      </c>
      <c r="K30" s="520" t="str">
        <f>IF(B30="","",IF(ISNA(VLOOKUP($B30,'E-1 Off Site Hedge Baseline'!$B$1:$U$257,113,FALSE)),"",(VLOOKUP($B30,'E-1 Off Site Hedge Baseline'!$B$1:$U$257,13,FALSE))))</f>
        <v/>
      </c>
      <c r="L30" s="507" t="str">
        <f>IF(B30="","",IF(ISNA(VLOOKUP($B30,'E-1 Off Site Hedge Baseline'!$B$1:$U$257,12,FALSE)),"",(VLOOKUP($B30,'E-1 Off Site Hedge Baseline'!$B$1:$U$257,12,FALSE))))</f>
        <v/>
      </c>
      <c r="M30" s="418" t="str">
        <f t="shared" si="8"/>
        <v/>
      </c>
      <c r="N30" s="498" t="str">
        <f>IFERROR(IF(B30="","",INDEX('G-6 Hedgerow Data'!$AN$3:$AZ$15,MATCH(C30,'G-6 Hedgerow Data'!$AM$3:$AM$15,0),MATCH(M30,'G-6 Hedgerow Data'!$AN$2:$AZ$2,0))),"")</f>
        <v/>
      </c>
      <c r="O30" s="499" t="str">
        <f t="shared" si="2"/>
        <v/>
      </c>
      <c r="P30" s="505" t="str">
        <f>IF(B30="","",VLOOKUP(B30,'E-1 Off Site Hedge Baseline'!$B$10:T275,16,FALSE))</f>
        <v/>
      </c>
      <c r="Q30" s="498" t="str">
        <f>IF(M30="","",VLOOKUP(M30,'G-6 Hedgerow Data'!$B$2:$AG$15,2,FALSE))</f>
        <v/>
      </c>
      <c r="R30" s="499" t="str">
        <f>IF(M30="","",VLOOKUP(M30,'G-6 Hedgerow Data'!$B$2:$AG$15,3,FALSE))</f>
        <v/>
      </c>
      <c r="S30" s="145"/>
      <c r="T30" s="499" t="str">
        <f>IFERROR(IF(AND(Q30="V.Low",OR(S30="Good",S30="Moderate")),"Error ▲",VLOOKUP(S30,'G-1 All Habitats'!$Z$2:$AA$9,2,FALSE)),"")</f>
        <v/>
      </c>
      <c r="U30" s="145"/>
      <c r="V30" s="507" t="str">
        <f>IF(U30="","",IF(VLOOKUP(U30,'G-3 Multipliers'!$L$3:$N$6,2,FALSE)=0,"Spatial Data Missing ⚠",VLOOKUP(U30,'G-3 Multipliers'!$L$3:$N$6,2,FALSE)))</f>
        <v/>
      </c>
      <c r="W30" s="505" t="str">
        <f>IF(U30="","",IF(VLOOKUP(U30,'G-3 Multipliers'!$L$3:$N$6,3,FALSE)=0,"Spatial Data Missing ⚠",VLOOKUP(U30,'G-3 Multipliers'!$L$3:$N$6,3,FALSE)))</f>
        <v/>
      </c>
      <c r="X30" s="498"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7" t="str">
        <f t="shared" si="3"/>
        <v/>
      </c>
      <c r="AB30" s="521" t="str">
        <f t="shared" si="4"/>
        <v/>
      </c>
      <c r="AC30" s="522" t="str">
        <f t="shared" si="1"/>
        <v/>
      </c>
      <c r="AD30" s="537" t="str">
        <f>IF(M30="","",VLOOKUP(M30,'G-6 Hedgerow Data'!$B$3:$AG$15,31,FALSE))</f>
        <v/>
      </c>
      <c r="AE30" s="520" t="str">
        <f t="shared" si="5"/>
        <v/>
      </c>
      <c r="AF30" s="520" t="str">
        <f t="shared" si="6"/>
        <v/>
      </c>
      <c r="AG30" s="524" t="str">
        <f>IFERROR(IF(O30="","",VLOOKUP(AD30,'G-3 Multipliers'!$P$3:$Q$6,2,FALSE)),"")</f>
        <v/>
      </c>
      <c r="AH30" s="197"/>
      <c r="AI30" s="499" t="str">
        <f>IF(AH30="","",IF(VLOOKUP(AH30,'G-3 Multipliers'!$S$3:$T$6,2,FALSE)=0,"Spatial Data Missing ⚠",VLOOKUP(AH30,'G-3 Multipliers'!$S$3:$T$6,2,FALSE)))</f>
        <v/>
      </c>
      <c r="AJ30" s="545" t="str">
        <f t="shared" si="7"/>
        <v/>
      </c>
      <c r="AK30" s="149"/>
      <c r="AL30" s="150"/>
      <c r="AP30" s="31" t="str">
        <f>IFERROR(INDEX('G-6 Hedgerow Data'!$BJ$3:$BJ$15,MATCH(M30,'G-6 Hedgerow Data'!$B$3:$B$15,0)),"")</f>
        <v/>
      </c>
    </row>
    <row r="31" spans="2:42" ht="13.8" x14ac:dyDescent="0.25">
      <c r="B31" s="531" t="str">
        <f>'E-1 Off Site Hedge Baseline'!AK29</f>
        <v/>
      </c>
      <c r="C31" s="520" t="str">
        <f>IF(B31="","",IF(ISNA(VLOOKUP($B31,'E-1 Off Site Hedge Baseline'!$B$1:$L$257,3,FALSE)),"",(VLOOKUP($B31,'E-1 Off Site Hedge Baseline'!$B$1:$L$257,3,FALSE))))</f>
        <v/>
      </c>
      <c r="D31" s="520" t="str">
        <f>IF(B31="","",IF(ISNA(VLOOKUP($B31,'E-1 Off Site Hedge Baseline'!$B$1:$L$258,4,FALSE)),"",(VLOOKUP($B31,'E-1 Off Site Hedge Baseline'!$B$1:$L$258,4,FALSE))))</f>
        <v/>
      </c>
      <c r="E31" s="520" t="str">
        <f>IF(B31="","",IF(ISNA(VLOOKUP($B31,'E-1 Off Site Hedge Baseline'!$B$1:$L$257,5,FALSE)),"",(VLOOKUP($B31,'E-1 Off Site Hedge Baseline'!$B$1:$L$257,5,FALSE))))</f>
        <v/>
      </c>
      <c r="F31" s="520" t="str">
        <f>IF(B31="","",IF(ISNA(VLOOKUP($B31,'E-1 Off Site Hedge Baseline'!$B$1:$L$257,6,FALSE)),"",(VLOOKUP($B31,'E-1 Off Site Hedge Baseline'!$B$1:$L$257,6,FALSE))))</f>
        <v/>
      </c>
      <c r="G31" s="520" t="str">
        <f>IF(B31="","",IF(ISNA(VLOOKUP($B31,'E-1 Off Site Hedge Baseline'!$B$1:$L$257,7,FALSE)),"",(VLOOKUP($B31,'E-1 Off Site Hedge Baseline'!$B$1:$L$257,7,FALSE))))</f>
        <v/>
      </c>
      <c r="H31" s="520" t="str">
        <f>IF(B31="","",IF(ISNA(VLOOKUP($B31,'E-1 Off Site Hedge Baseline'!$B$1:$L$257,8,FALSE)),"",(VLOOKUP($B31,'E-1 Off Site Hedge Baseline'!$B$1:$L$257,8,FALSE))))</f>
        <v/>
      </c>
      <c r="I31" s="520" t="str">
        <f>IF(B31="","",IF(ISNA(VLOOKUP($B31,'E-1 Off Site Hedge Baseline'!$B$1:$L$257,10,FALSE)),"",(VLOOKUP($B31,'E-1 Off Site Hedge Baseline'!$B$1:$L$257,10,FALSE))))</f>
        <v/>
      </c>
      <c r="J31" s="520" t="str">
        <f>IF(B31="","",IF(ISNA(VLOOKUP($B31,'E-1 Off Site Hedge Baseline'!$B$1:$L$257,11,FALSE)),"",(VLOOKUP($B31,'E-1 Off Site Hedge Baseline'!$B$1:$L$257,11,FALSE))))</f>
        <v/>
      </c>
      <c r="K31" s="520" t="str">
        <f>IF(B31="","",IF(ISNA(VLOOKUP($B31,'E-1 Off Site Hedge Baseline'!$B$1:$U$257,113,FALSE)),"",(VLOOKUP($B31,'E-1 Off Site Hedge Baseline'!$B$1:$U$257,13,FALSE))))</f>
        <v/>
      </c>
      <c r="L31" s="507" t="str">
        <f>IF(B31="","",IF(ISNA(VLOOKUP($B31,'E-1 Off Site Hedge Baseline'!$B$1:$U$257,12,FALSE)),"",(VLOOKUP($B31,'E-1 Off Site Hedge Baseline'!$B$1:$U$257,12,FALSE))))</f>
        <v/>
      </c>
      <c r="M31" s="418" t="str">
        <f t="shared" si="8"/>
        <v/>
      </c>
      <c r="N31" s="498" t="str">
        <f>IFERROR(IF(B31="","",INDEX('G-6 Hedgerow Data'!$AN$3:$AZ$15,MATCH(C31,'G-6 Hedgerow Data'!$AM$3:$AM$15,0),MATCH(M31,'G-6 Hedgerow Data'!$AN$2:$AZ$2,0))),"")</f>
        <v/>
      </c>
      <c r="O31" s="499" t="str">
        <f t="shared" si="2"/>
        <v/>
      </c>
      <c r="P31" s="505" t="str">
        <f>IF(B31="","",VLOOKUP(B31,'E-1 Off Site Hedge Baseline'!$B$10:T276,16,FALSE))</f>
        <v/>
      </c>
      <c r="Q31" s="498" t="str">
        <f>IF(M31="","",VLOOKUP(M31,'G-6 Hedgerow Data'!$B$2:$AG$15,2,FALSE))</f>
        <v/>
      </c>
      <c r="R31" s="499" t="str">
        <f>IF(M31="","",VLOOKUP(M31,'G-6 Hedgerow Data'!$B$2:$AG$15,3,FALSE))</f>
        <v/>
      </c>
      <c r="S31" s="145"/>
      <c r="T31" s="499" t="str">
        <f>IFERROR(IF(AND(Q31="V.Low",OR(S31="Good",S31="Moderate")),"Error ▲",VLOOKUP(S31,'G-1 All Habitats'!$Z$2:$AA$9,2,FALSE)),"")</f>
        <v/>
      </c>
      <c r="U31" s="145"/>
      <c r="V31" s="507" t="str">
        <f>IF(U31="","",IF(VLOOKUP(U31,'G-3 Multipliers'!$L$3:$N$6,2,FALSE)=0,"Spatial Data Missing ⚠",VLOOKUP(U31,'G-3 Multipliers'!$L$3:$N$6,2,FALSE)))</f>
        <v/>
      </c>
      <c r="W31" s="505" t="str">
        <f>IF(U31="","",IF(VLOOKUP(U31,'G-3 Multipliers'!$L$3:$N$6,3,FALSE)=0,"Spatial Data Missing ⚠",VLOOKUP(U31,'G-3 Multipliers'!$L$3:$N$6,3,FALSE)))</f>
        <v/>
      </c>
      <c r="X31" s="498"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7" t="str">
        <f t="shared" si="3"/>
        <v/>
      </c>
      <c r="AB31" s="521" t="str">
        <f t="shared" si="4"/>
        <v/>
      </c>
      <c r="AC31" s="522" t="str">
        <f t="shared" si="1"/>
        <v/>
      </c>
      <c r="AD31" s="537" t="str">
        <f>IF(M31="","",VLOOKUP(M31,'G-6 Hedgerow Data'!$B$3:$AG$15,31,FALSE))</f>
        <v/>
      </c>
      <c r="AE31" s="520" t="str">
        <f t="shared" si="5"/>
        <v/>
      </c>
      <c r="AF31" s="520" t="str">
        <f t="shared" si="6"/>
        <v/>
      </c>
      <c r="AG31" s="524" t="str">
        <f>IFERROR(IF(O31="","",VLOOKUP(AD31,'G-3 Multipliers'!$P$3:$Q$6,2,FALSE)),"")</f>
        <v/>
      </c>
      <c r="AH31" s="197"/>
      <c r="AI31" s="499" t="str">
        <f>IF(AH31="","",IF(VLOOKUP(AH31,'G-3 Multipliers'!$S$3:$T$6,2,FALSE)=0,"Spatial Data Missing ⚠",VLOOKUP(AH31,'G-3 Multipliers'!$S$3:$T$6,2,FALSE)))</f>
        <v/>
      </c>
      <c r="AJ31" s="545" t="str">
        <f t="shared" si="7"/>
        <v/>
      </c>
      <c r="AK31" s="149"/>
      <c r="AL31" s="150"/>
      <c r="AP31" s="31" t="str">
        <f>IFERROR(INDEX('G-6 Hedgerow Data'!$BJ$3:$BJ$15,MATCH(M31,'G-6 Hedgerow Data'!$B$3:$B$15,0)),"")</f>
        <v/>
      </c>
    </row>
    <row r="32" spans="2:42" ht="13.8" x14ac:dyDescent="0.25">
      <c r="B32" s="531" t="str">
        <f>'E-1 Off Site Hedge Baseline'!AK30</f>
        <v/>
      </c>
      <c r="C32" s="520" t="str">
        <f>IF(B32="","",IF(ISNA(VLOOKUP($B32,'E-1 Off Site Hedge Baseline'!$B$1:$L$257,3,FALSE)),"",(VLOOKUP($B32,'E-1 Off Site Hedge Baseline'!$B$1:$L$257,3,FALSE))))</f>
        <v/>
      </c>
      <c r="D32" s="520" t="str">
        <f>IF(B32="","",IF(ISNA(VLOOKUP($B32,'E-1 Off Site Hedge Baseline'!$B$1:$L$258,4,FALSE)),"",(VLOOKUP($B32,'E-1 Off Site Hedge Baseline'!$B$1:$L$258,4,FALSE))))</f>
        <v/>
      </c>
      <c r="E32" s="520" t="str">
        <f>IF(B32="","",IF(ISNA(VLOOKUP($B32,'E-1 Off Site Hedge Baseline'!$B$1:$L$257,5,FALSE)),"",(VLOOKUP($B32,'E-1 Off Site Hedge Baseline'!$B$1:$L$257,5,FALSE))))</f>
        <v/>
      </c>
      <c r="F32" s="520" t="str">
        <f>IF(B32="","",IF(ISNA(VLOOKUP($B32,'E-1 Off Site Hedge Baseline'!$B$1:$L$257,6,FALSE)),"",(VLOOKUP($B32,'E-1 Off Site Hedge Baseline'!$B$1:$L$257,6,FALSE))))</f>
        <v/>
      </c>
      <c r="G32" s="520" t="str">
        <f>IF(B32="","",IF(ISNA(VLOOKUP($B32,'E-1 Off Site Hedge Baseline'!$B$1:$L$257,7,FALSE)),"",(VLOOKUP($B32,'E-1 Off Site Hedge Baseline'!$B$1:$L$257,7,FALSE))))</f>
        <v/>
      </c>
      <c r="H32" s="520" t="str">
        <f>IF(B32="","",IF(ISNA(VLOOKUP($B32,'E-1 Off Site Hedge Baseline'!$B$1:$L$257,8,FALSE)),"",(VLOOKUP($B32,'E-1 Off Site Hedge Baseline'!$B$1:$L$257,8,FALSE))))</f>
        <v/>
      </c>
      <c r="I32" s="520" t="str">
        <f>IF(B32="","",IF(ISNA(VLOOKUP($B32,'E-1 Off Site Hedge Baseline'!$B$1:$L$257,10,FALSE)),"",(VLOOKUP($B32,'E-1 Off Site Hedge Baseline'!$B$1:$L$257,10,FALSE))))</f>
        <v/>
      </c>
      <c r="J32" s="520" t="str">
        <f>IF(B32="","",IF(ISNA(VLOOKUP($B32,'E-1 Off Site Hedge Baseline'!$B$1:$L$257,11,FALSE)),"",(VLOOKUP($B32,'E-1 Off Site Hedge Baseline'!$B$1:$L$257,11,FALSE))))</f>
        <v/>
      </c>
      <c r="K32" s="520" t="str">
        <f>IF(B32="","",IF(ISNA(VLOOKUP($B32,'E-1 Off Site Hedge Baseline'!$B$1:$U$257,113,FALSE)),"",(VLOOKUP($B32,'E-1 Off Site Hedge Baseline'!$B$1:$U$257,13,FALSE))))</f>
        <v/>
      </c>
      <c r="L32" s="507" t="str">
        <f>IF(B32="","",IF(ISNA(VLOOKUP($B32,'E-1 Off Site Hedge Baseline'!$B$1:$U$257,12,FALSE)),"",(VLOOKUP($B32,'E-1 Off Site Hedge Baseline'!$B$1:$U$257,12,FALSE))))</f>
        <v/>
      </c>
      <c r="M32" s="418" t="str">
        <f t="shared" si="8"/>
        <v/>
      </c>
      <c r="N32" s="498" t="str">
        <f>IFERROR(IF(B32="","",INDEX('G-6 Hedgerow Data'!$AN$3:$AZ$15,MATCH(C32,'G-6 Hedgerow Data'!$AM$3:$AM$15,0),MATCH(M32,'G-6 Hedgerow Data'!$AN$2:$AZ$2,0))),"")</f>
        <v/>
      </c>
      <c r="O32" s="499" t="str">
        <f t="shared" si="2"/>
        <v/>
      </c>
      <c r="P32" s="505" t="str">
        <f>IF(B32="","",VLOOKUP(B32,'E-1 Off Site Hedge Baseline'!$B$10:T277,16,FALSE))</f>
        <v/>
      </c>
      <c r="Q32" s="498" t="str">
        <f>IF(M32="","",VLOOKUP(M32,'G-6 Hedgerow Data'!$B$2:$AG$15,2,FALSE))</f>
        <v/>
      </c>
      <c r="R32" s="499" t="str">
        <f>IF(M32="","",VLOOKUP(M32,'G-6 Hedgerow Data'!$B$2:$AG$15,3,FALSE))</f>
        <v/>
      </c>
      <c r="S32" s="145"/>
      <c r="T32" s="499" t="str">
        <f>IFERROR(IF(AND(Q32="V.Low",OR(S32="Good",S32="Moderate")),"Error ▲",VLOOKUP(S32,'G-1 All Habitats'!$Z$2:$AA$9,2,FALSE)),"")</f>
        <v/>
      </c>
      <c r="U32" s="145"/>
      <c r="V32" s="507" t="str">
        <f>IF(U32="","",IF(VLOOKUP(U32,'G-3 Multipliers'!$L$3:$N$6,2,FALSE)=0,"Spatial Data Missing ⚠",VLOOKUP(U32,'G-3 Multipliers'!$L$3:$N$6,2,FALSE)))</f>
        <v/>
      </c>
      <c r="W32" s="505" t="str">
        <f>IF(U32="","",IF(VLOOKUP(U32,'G-3 Multipliers'!$L$3:$N$6,3,FALSE)=0,"Spatial Data Missing ⚠",VLOOKUP(U32,'G-3 Multipliers'!$L$3:$N$6,3,FALSE)))</f>
        <v/>
      </c>
      <c r="X32" s="498"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7" t="str">
        <f t="shared" si="3"/>
        <v/>
      </c>
      <c r="AB32" s="521" t="str">
        <f t="shared" si="4"/>
        <v/>
      </c>
      <c r="AC32" s="522" t="str">
        <f t="shared" si="1"/>
        <v/>
      </c>
      <c r="AD32" s="537" t="str">
        <f>IF(M32="","",VLOOKUP(M32,'G-6 Hedgerow Data'!$B$3:$AG$15,31,FALSE))</f>
        <v/>
      </c>
      <c r="AE32" s="520" t="str">
        <f t="shared" si="5"/>
        <v/>
      </c>
      <c r="AF32" s="520" t="str">
        <f t="shared" si="6"/>
        <v/>
      </c>
      <c r="AG32" s="524" t="str">
        <f>IFERROR(IF(O32="","",VLOOKUP(AD32,'G-3 Multipliers'!$P$3:$Q$6,2,FALSE)),"")</f>
        <v/>
      </c>
      <c r="AH32" s="197"/>
      <c r="AI32" s="499" t="str">
        <f>IF(AH32="","",IF(VLOOKUP(AH32,'G-3 Multipliers'!$S$3:$T$6,2,FALSE)=0,"Spatial Data Missing ⚠",VLOOKUP(AH32,'G-3 Multipliers'!$S$3:$T$6,2,FALSE)))</f>
        <v/>
      </c>
      <c r="AJ32" s="545" t="str">
        <f t="shared" si="7"/>
        <v/>
      </c>
      <c r="AK32" s="149"/>
      <c r="AL32" s="150"/>
      <c r="AP32" s="31" t="str">
        <f>IFERROR(INDEX('G-6 Hedgerow Data'!$BJ$3:$BJ$15,MATCH(M32,'G-6 Hedgerow Data'!$B$3:$B$15,0)),"")</f>
        <v/>
      </c>
    </row>
    <row r="33" spans="2:42" ht="13.8" x14ac:dyDescent="0.25">
      <c r="B33" s="531" t="str">
        <f>'E-1 Off Site Hedge Baseline'!AK31</f>
        <v/>
      </c>
      <c r="C33" s="520" t="str">
        <f>IF(B33="","",IF(ISNA(VLOOKUP($B33,'E-1 Off Site Hedge Baseline'!$B$1:$L$257,3,FALSE)),"",(VLOOKUP($B33,'E-1 Off Site Hedge Baseline'!$B$1:$L$257,3,FALSE))))</f>
        <v/>
      </c>
      <c r="D33" s="520" t="str">
        <f>IF(B33="","",IF(ISNA(VLOOKUP($B33,'E-1 Off Site Hedge Baseline'!$B$1:$L$258,4,FALSE)),"",(VLOOKUP($B33,'E-1 Off Site Hedge Baseline'!$B$1:$L$258,4,FALSE))))</f>
        <v/>
      </c>
      <c r="E33" s="520" t="str">
        <f>IF(B33="","",IF(ISNA(VLOOKUP($B33,'E-1 Off Site Hedge Baseline'!$B$1:$L$257,5,FALSE)),"",(VLOOKUP($B33,'E-1 Off Site Hedge Baseline'!$B$1:$L$257,5,FALSE))))</f>
        <v/>
      </c>
      <c r="F33" s="520" t="str">
        <f>IF(B33="","",IF(ISNA(VLOOKUP($B33,'E-1 Off Site Hedge Baseline'!$B$1:$L$257,6,FALSE)),"",(VLOOKUP($B33,'E-1 Off Site Hedge Baseline'!$B$1:$L$257,6,FALSE))))</f>
        <v/>
      </c>
      <c r="G33" s="520" t="str">
        <f>IF(B33="","",IF(ISNA(VLOOKUP($B33,'E-1 Off Site Hedge Baseline'!$B$1:$L$257,7,FALSE)),"",(VLOOKUP($B33,'E-1 Off Site Hedge Baseline'!$B$1:$L$257,7,FALSE))))</f>
        <v/>
      </c>
      <c r="H33" s="520" t="str">
        <f>IF(B33="","",IF(ISNA(VLOOKUP($B33,'E-1 Off Site Hedge Baseline'!$B$1:$L$257,8,FALSE)),"",(VLOOKUP($B33,'E-1 Off Site Hedge Baseline'!$B$1:$L$257,8,FALSE))))</f>
        <v/>
      </c>
      <c r="I33" s="520" t="str">
        <f>IF(B33="","",IF(ISNA(VLOOKUP($B33,'E-1 Off Site Hedge Baseline'!$B$1:$L$257,10,FALSE)),"",(VLOOKUP($B33,'E-1 Off Site Hedge Baseline'!$B$1:$L$257,10,FALSE))))</f>
        <v/>
      </c>
      <c r="J33" s="520" t="str">
        <f>IF(B33="","",IF(ISNA(VLOOKUP($B33,'E-1 Off Site Hedge Baseline'!$B$1:$L$257,11,FALSE)),"",(VLOOKUP($B33,'E-1 Off Site Hedge Baseline'!$B$1:$L$257,11,FALSE))))</f>
        <v/>
      </c>
      <c r="K33" s="520" t="str">
        <f>IF(B33="","",IF(ISNA(VLOOKUP($B33,'E-1 Off Site Hedge Baseline'!$B$1:$U$257,113,FALSE)),"",(VLOOKUP($B33,'E-1 Off Site Hedge Baseline'!$B$1:$U$257,13,FALSE))))</f>
        <v/>
      </c>
      <c r="L33" s="507" t="str">
        <f>IF(B33="","",IF(ISNA(VLOOKUP($B33,'E-1 Off Site Hedge Baseline'!$B$1:$U$257,12,FALSE)),"",(VLOOKUP($B33,'E-1 Off Site Hedge Baseline'!$B$1:$U$257,12,FALSE))))</f>
        <v/>
      </c>
      <c r="M33" s="418" t="str">
        <f t="shared" si="8"/>
        <v/>
      </c>
      <c r="N33" s="498" t="str">
        <f>IFERROR(IF(B33="","",INDEX('G-6 Hedgerow Data'!$AN$3:$AZ$15,MATCH(C33,'G-6 Hedgerow Data'!$AM$3:$AM$15,0),MATCH(M33,'G-6 Hedgerow Data'!$AN$2:$AZ$2,0))),"")</f>
        <v/>
      </c>
      <c r="O33" s="499" t="str">
        <f t="shared" si="2"/>
        <v/>
      </c>
      <c r="P33" s="505" t="str">
        <f>IF(B33="","",VLOOKUP(B33,'E-1 Off Site Hedge Baseline'!$B$10:T278,16,FALSE))</f>
        <v/>
      </c>
      <c r="Q33" s="498" t="str">
        <f>IF(M33="","",VLOOKUP(M33,'G-6 Hedgerow Data'!$B$2:$AG$15,2,FALSE))</f>
        <v/>
      </c>
      <c r="R33" s="499" t="str">
        <f>IF(M33="","",VLOOKUP(M33,'G-6 Hedgerow Data'!$B$2:$AG$15,3,FALSE))</f>
        <v/>
      </c>
      <c r="S33" s="145"/>
      <c r="T33" s="499" t="str">
        <f>IFERROR(IF(AND(Q33="V.Low",OR(S33="Good",S33="Moderate")),"Error ▲",VLOOKUP(S33,'G-1 All Habitats'!$Z$2:$AA$9,2,FALSE)),"")</f>
        <v/>
      </c>
      <c r="U33" s="145"/>
      <c r="V33" s="507" t="str">
        <f>IF(U33="","",IF(VLOOKUP(U33,'G-3 Multipliers'!$L$3:$N$6,2,FALSE)=0,"Spatial Data Missing ⚠",VLOOKUP(U33,'G-3 Multipliers'!$L$3:$N$6,2,FALSE)))</f>
        <v/>
      </c>
      <c r="W33" s="505" t="str">
        <f>IF(U33="","",IF(VLOOKUP(U33,'G-3 Multipliers'!$L$3:$N$6,3,FALSE)=0,"Spatial Data Missing ⚠",VLOOKUP(U33,'G-3 Multipliers'!$L$3:$N$6,3,FALSE)))</f>
        <v/>
      </c>
      <c r="X33" s="498"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7" t="str">
        <f t="shared" si="3"/>
        <v/>
      </c>
      <c r="AB33" s="521" t="str">
        <f t="shared" si="4"/>
        <v/>
      </c>
      <c r="AC33" s="522" t="str">
        <f t="shared" si="1"/>
        <v/>
      </c>
      <c r="AD33" s="537" t="str">
        <f>IF(M33="","",VLOOKUP(M33,'G-6 Hedgerow Data'!$B$3:$AG$15,31,FALSE))</f>
        <v/>
      </c>
      <c r="AE33" s="520" t="str">
        <f t="shared" si="5"/>
        <v/>
      </c>
      <c r="AF33" s="520" t="str">
        <f t="shared" si="6"/>
        <v/>
      </c>
      <c r="AG33" s="524" t="str">
        <f>IFERROR(IF(O33="","",VLOOKUP(AD33,'G-3 Multipliers'!$P$3:$Q$6,2,FALSE)),"")</f>
        <v/>
      </c>
      <c r="AH33" s="197"/>
      <c r="AI33" s="499" t="str">
        <f>IF(AH33="","",IF(VLOOKUP(AH33,'G-3 Multipliers'!$S$3:$T$6,2,FALSE)=0,"Spatial Data Missing ⚠",VLOOKUP(AH33,'G-3 Multipliers'!$S$3:$T$6,2,FALSE)))</f>
        <v/>
      </c>
      <c r="AJ33" s="545" t="str">
        <f t="shared" si="7"/>
        <v/>
      </c>
      <c r="AK33" s="149"/>
      <c r="AL33" s="150"/>
      <c r="AP33" s="31" t="str">
        <f>IFERROR(INDEX('G-6 Hedgerow Data'!$BJ$3:$BJ$15,MATCH(M33,'G-6 Hedgerow Data'!$B$3:$B$15,0)),"")</f>
        <v/>
      </c>
    </row>
    <row r="34" spans="2:42" ht="13.8" x14ac:dyDescent="0.25">
      <c r="B34" s="531" t="str">
        <f>'E-1 Off Site Hedge Baseline'!AK32</f>
        <v/>
      </c>
      <c r="C34" s="520" t="str">
        <f>IF(B34="","",IF(ISNA(VLOOKUP($B34,'E-1 Off Site Hedge Baseline'!$B$1:$L$257,3,FALSE)),"",(VLOOKUP($B34,'E-1 Off Site Hedge Baseline'!$B$1:$L$257,3,FALSE))))</f>
        <v/>
      </c>
      <c r="D34" s="520" t="str">
        <f>IF(B34="","",IF(ISNA(VLOOKUP($B34,'E-1 Off Site Hedge Baseline'!$B$1:$L$258,4,FALSE)),"",(VLOOKUP($B34,'E-1 Off Site Hedge Baseline'!$B$1:$L$258,4,FALSE))))</f>
        <v/>
      </c>
      <c r="E34" s="520" t="str">
        <f>IF(B34="","",IF(ISNA(VLOOKUP($B34,'E-1 Off Site Hedge Baseline'!$B$1:$L$257,5,FALSE)),"",(VLOOKUP($B34,'E-1 Off Site Hedge Baseline'!$B$1:$L$257,5,FALSE))))</f>
        <v/>
      </c>
      <c r="F34" s="520" t="str">
        <f>IF(B34="","",IF(ISNA(VLOOKUP($B34,'E-1 Off Site Hedge Baseline'!$B$1:$L$257,6,FALSE)),"",(VLOOKUP($B34,'E-1 Off Site Hedge Baseline'!$B$1:$L$257,6,FALSE))))</f>
        <v/>
      </c>
      <c r="G34" s="520" t="str">
        <f>IF(B34="","",IF(ISNA(VLOOKUP($B34,'E-1 Off Site Hedge Baseline'!$B$1:$L$257,7,FALSE)),"",(VLOOKUP($B34,'E-1 Off Site Hedge Baseline'!$B$1:$L$257,7,FALSE))))</f>
        <v/>
      </c>
      <c r="H34" s="520" t="str">
        <f>IF(B34="","",IF(ISNA(VLOOKUP($B34,'E-1 Off Site Hedge Baseline'!$B$1:$L$257,8,FALSE)),"",(VLOOKUP($B34,'E-1 Off Site Hedge Baseline'!$B$1:$L$257,8,FALSE))))</f>
        <v/>
      </c>
      <c r="I34" s="520" t="str">
        <f>IF(B34="","",IF(ISNA(VLOOKUP($B34,'E-1 Off Site Hedge Baseline'!$B$1:$L$257,10,FALSE)),"",(VLOOKUP($B34,'E-1 Off Site Hedge Baseline'!$B$1:$L$257,10,FALSE))))</f>
        <v/>
      </c>
      <c r="J34" s="520" t="str">
        <f>IF(B34="","",IF(ISNA(VLOOKUP($B34,'E-1 Off Site Hedge Baseline'!$B$1:$L$257,11,FALSE)),"",(VLOOKUP($B34,'E-1 Off Site Hedge Baseline'!$B$1:$L$257,11,FALSE))))</f>
        <v/>
      </c>
      <c r="K34" s="520" t="str">
        <f>IF(B34="","",IF(ISNA(VLOOKUP($B34,'E-1 Off Site Hedge Baseline'!$B$1:$U$257,113,FALSE)),"",(VLOOKUP($B34,'E-1 Off Site Hedge Baseline'!$B$1:$U$257,13,FALSE))))</f>
        <v/>
      </c>
      <c r="L34" s="507" t="str">
        <f>IF(B34="","",IF(ISNA(VLOOKUP($B34,'E-1 Off Site Hedge Baseline'!$B$1:$U$257,12,FALSE)),"",(VLOOKUP($B34,'E-1 Off Site Hedge Baseline'!$B$1:$U$257,12,FALSE))))</f>
        <v/>
      </c>
      <c r="M34" s="418" t="str">
        <f t="shared" si="8"/>
        <v/>
      </c>
      <c r="N34" s="498" t="str">
        <f>IFERROR(IF(B34="","",INDEX('G-6 Hedgerow Data'!$AN$3:$AZ$15,MATCH(C34,'G-6 Hedgerow Data'!$AM$3:$AM$15,0),MATCH(M34,'G-6 Hedgerow Data'!$AN$2:$AZ$2,0))),"")</f>
        <v/>
      </c>
      <c r="O34" s="499" t="str">
        <f t="shared" si="2"/>
        <v/>
      </c>
      <c r="P34" s="505" t="str">
        <f>IF(B34="","",VLOOKUP(B34,'E-1 Off Site Hedge Baseline'!$B$10:T279,16,FALSE))</f>
        <v/>
      </c>
      <c r="Q34" s="498" t="str">
        <f>IF(M34="","",VLOOKUP(M34,'G-6 Hedgerow Data'!$B$2:$AG$15,2,FALSE))</f>
        <v/>
      </c>
      <c r="R34" s="499" t="str">
        <f>IF(M34="","",VLOOKUP(M34,'G-6 Hedgerow Data'!$B$2:$AG$15,3,FALSE))</f>
        <v/>
      </c>
      <c r="S34" s="145"/>
      <c r="T34" s="499" t="str">
        <f>IFERROR(IF(AND(Q34="V.Low",OR(S34="Good",S34="Moderate")),"Error ▲",VLOOKUP(S34,'G-1 All Habitats'!$Z$2:$AA$9,2,FALSE)),"")</f>
        <v/>
      </c>
      <c r="U34" s="145"/>
      <c r="V34" s="507" t="str">
        <f>IF(U34="","",IF(VLOOKUP(U34,'G-3 Multipliers'!$L$3:$N$6,2,FALSE)=0,"Spatial Data Missing ⚠",VLOOKUP(U34,'G-3 Multipliers'!$L$3:$N$6,2,FALSE)))</f>
        <v/>
      </c>
      <c r="W34" s="505" t="str">
        <f>IF(U34="","",IF(VLOOKUP(U34,'G-3 Multipliers'!$L$3:$N$6,3,FALSE)=0,"Spatial Data Missing ⚠",VLOOKUP(U34,'G-3 Multipliers'!$L$3:$N$6,3,FALSE)))</f>
        <v/>
      </c>
      <c r="X34" s="498"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7" t="str">
        <f t="shared" si="3"/>
        <v/>
      </c>
      <c r="AB34" s="521" t="str">
        <f t="shared" si="4"/>
        <v/>
      </c>
      <c r="AC34" s="522" t="str">
        <f t="shared" si="1"/>
        <v/>
      </c>
      <c r="AD34" s="537" t="str">
        <f>IF(M34="","",VLOOKUP(M34,'G-6 Hedgerow Data'!$B$3:$AG$15,31,FALSE))</f>
        <v/>
      </c>
      <c r="AE34" s="520" t="str">
        <f t="shared" si="5"/>
        <v/>
      </c>
      <c r="AF34" s="520" t="str">
        <f t="shared" si="6"/>
        <v/>
      </c>
      <c r="AG34" s="524" t="str">
        <f>IFERROR(IF(O34="","",VLOOKUP(AD34,'G-3 Multipliers'!$P$3:$Q$6,2,FALSE)),"")</f>
        <v/>
      </c>
      <c r="AH34" s="197"/>
      <c r="AI34" s="499" t="str">
        <f>IF(AH34="","",IF(VLOOKUP(AH34,'G-3 Multipliers'!$S$3:$T$6,2,FALSE)=0,"Spatial Data Missing ⚠",VLOOKUP(AH34,'G-3 Multipliers'!$S$3:$T$6,2,FALSE)))</f>
        <v/>
      </c>
      <c r="AJ34" s="545" t="str">
        <f t="shared" si="7"/>
        <v/>
      </c>
      <c r="AK34" s="149"/>
      <c r="AL34" s="150"/>
      <c r="AP34" s="31" t="str">
        <f>IFERROR(INDEX('G-6 Hedgerow Data'!$BJ$3:$BJ$15,MATCH(M34,'G-6 Hedgerow Data'!$B$3:$B$15,0)),"")</f>
        <v/>
      </c>
    </row>
    <row r="35" spans="2:42" ht="13.8" x14ac:dyDescent="0.25">
      <c r="B35" s="531" t="str">
        <f>'E-1 Off Site Hedge Baseline'!AK33</f>
        <v/>
      </c>
      <c r="C35" s="520" t="str">
        <f>IF(B35="","",IF(ISNA(VLOOKUP($B35,'E-1 Off Site Hedge Baseline'!$B$1:$L$257,3,FALSE)),"",(VLOOKUP($B35,'E-1 Off Site Hedge Baseline'!$B$1:$L$257,3,FALSE))))</f>
        <v/>
      </c>
      <c r="D35" s="520" t="str">
        <f>IF(B35="","",IF(ISNA(VLOOKUP($B35,'E-1 Off Site Hedge Baseline'!$B$1:$L$258,4,FALSE)),"",(VLOOKUP($B35,'E-1 Off Site Hedge Baseline'!$B$1:$L$258,4,FALSE))))</f>
        <v/>
      </c>
      <c r="E35" s="520" t="str">
        <f>IF(B35="","",IF(ISNA(VLOOKUP($B35,'E-1 Off Site Hedge Baseline'!$B$1:$L$257,5,FALSE)),"",(VLOOKUP($B35,'E-1 Off Site Hedge Baseline'!$B$1:$L$257,5,FALSE))))</f>
        <v/>
      </c>
      <c r="F35" s="520" t="str">
        <f>IF(B35="","",IF(ISNA(VLOOKUP($B35,'E-1 Off Site Hedge Baseline'!$B$1:$L$257,6,FALSE)),"",(VLOOKUP($B35,'E-1 Off Site Hedge Baseline'!$B$1:$L$257,6,FALSE))))</f>
        <v/>
      </c>
      <c r="G35" s="520" t="str">
        <f>IF(B35="","",IF(ISNA(VLOOKUP($B35,'E-1 Off Site Hedge Baseline'!$B$1:$L$257,7,FALSE)),"",(VLOOKUP($B35,'E-1 Off Site Hedge Baseline'!$B$1:$L$257,7,FALSE))))</f>
        <v/>
      </c>
      <c r="H35" s="520" t="str">
        <f>IF(B35="","",IF(ISNA(VLOOKUP($B35,'E-1 Off Site Hedge Baseline'!$B$1:$L$257,8,FALSE)),"",(VLOOKUP($B35,'E-1 Off Site Hedge Baseline'!$B$1:$L$257,8,FALSE))))</f>
        <v/>
      </c>
      <c r="I35" s="520" t="str">
        <f>IF(B35="","",IF(ISNA(VLOOKUP($B35,'E-1 Off Site Hedge Baseline'!$B$1:$L$257,10,FALSE)),"",(VLOOKUP($B35,'E-1 Off Site Hedge Baseline'!$B$1:$L$257,10,FALSE))))</f>
        <v/>
      </c>
      <c r="J35" s="520" t="str">
        <f>IF(B35="","",IF(ISNA(VLOOKUP($B35,'E-1 Off Site Hedge Baseline'!$B$1:$L$257,11,FALSE)),"",(VLOOKUP($B35,'E-1 Off Site Hedge Baseline'!$B$1:$L$257,11,FALSE))))</f>
        <v/>
      </c>
      <c r="K35" s="520" t="str">
        <f>IF(B35="","",IF(ISNA(VLOOKUP($B35,'E-1 Off Site Hedge Baseline'!$B$1:$U$257,113,FALSE)),"",(VLOOKUP($B35,'E-1 Off Site Hedge Baseline'!$B$1:$U$257,13,FALSE))))</f>
        <v/>
      </c>
      <c r="L35" s="507" t="str">
        <f>IF(B35="","",IF(ISNA(VLOOKUP($B35,'E-1 Off Site Hedge Baseline'!$B$1:$U$257,12,FALSE)),"",(VLOOKUP($B35,'E-1 Off Site Hedge Baseline'!$B$1:$U$257,12,FALSE))))</f>
        <v/>
      </c>
      <c r="M35" s="418" t="str">
        <f t="shared" si="8"/>
        <v/>
      </c>
      <c r="N35" s="498" t="str">
        <f>IFERROR(IF(B35="","",INDEX('G-6 Hedgerow Data'!$AN$3:$AZ$15,MATCH(C35,'G-6 Hedgerow Data'!$AM$3:$AM$15,0),MATCH(M35,'G-6 Hedgerow Data'!$AN$2:$AZ$2,0))),"")</f>
        <v/>
      </c>
      <c r="O35" s="499" t="str">
        <f t="shared" si="2"/>
        <v/>
      </c>
      <c r="P35" s="505" t="str">
        <f>IF(B35="","",VLOOKUP(B35,'E-1 Off Site Hedge Baseline'!$B$10:T280,16,FALSE))</f>
        <v/>
      </c>
      <c r="Q35" s="498" t="str">
        <f>IF(M35="","",VLOOKUP(M35,'G-6 Hedgerow Data'!$B$2:$AG$15,2,FALSE))</f>
        <v/>
      </c>
      <c r="R35" s="499" t="str">
        <f>IF(M35="","",VLOOKUP(M35,'G-6 Hedgerow Data'!$B$2:$AG$15,3,FALSE))</f>
        <v/>
      </c>
      <c r="S35" s="145"/>
      <c r="T35" s="499" t="str">
        <f>IFERROR(IF(AND(Q35="V.Low",OR(S35="Good",S35="Moderate")),"Error ▲",VLOOKUP(S35,'G-1 All Habitats'!$Z$2:$AA$9,2,FALSE)),"")</f>
        <v/>
      </c>
      <c r="U35" s="145"/>
      <c r="V35" s="507" t="str">
        <f>IF(U35="","",IF(VLOOKUP(U35,'G-3 Multipliers'!$L$3:$N$6,2,FALSE)=0,"Spatial Data Missing ⚠",VLOOKUP(U35,'G-3 Multipliers'!$L$3:$N$6,2,FALSE)))</f>
        <v/>
      </c>
      <c r="W35" s="505" t="str">
        <f>IF(U35="","",IF(VLOOKUP(U35,'G-3 Multipliers'!$L$3:$N$6,3,FALSE)=0,"Spatial Data Missing ⚠",VLOOKUP(U35,'G-3 Multipliers'!$L$3:$N$6,3,FALSE)))</f>
        <v/>
      </c>
      <c r="X35" s="498"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7" t="str">
        <f t="shared" si="3"/>
        <v/>
      </c>
      <c r="AB35" s="521" t="str">
        <f t="shared" si="4"/>
        <v/>
      </c>
      <c r="AC35" s="522" t="str">
        <f t="shared" si="1"/>
        <v/>
      </c>
      <c r="AD35" s="537" t="str">
        <f>IF(M35="","",VLOOKUP(M35,'G-6 Hedgerow Data'!$B$3:$AG$15,31,FALSE))</f>
        <v/>
      </c>
      <c r="AE35" s="520" t="str">
        <f t="shared" si="5"/>
        <v/>
      </c>
      <c r="AF35" s="520" t="str">
        <f t="shared" si="6"/>
        <v/>
      </c>
      <c r="AG35" s="524" t="str">
        <f>IFERROR(IF(O35="","",VLOOKUP(AD35,'G-3 Multipliers'!$P$3:$Q$6,2,FALSE)),"")</f>
        <v/>
      </c>
      <c r="AH35" s="197"/>
      <c r="AI35" s="499" t="str">
        <f>IF(AH35="","",IF(VLOOKUP(AH35,'G-3 Multipliers'!$S$3:$T$6,2,FALSE)=0,"Spatial Data Missing ⚠",VLOOKUP(AH35,'G-3 Multipliers'!$S$3:$T$6,2,FALSE)))</f>
        <v/>
      </c>
      <c r="AJ35" s="545" t="str">
        <f t="shared" si="7"/>
        <v/>
      </c>
      <c r="AK35" s="149"/>
      <c r="AL35" s="150"/>
      <c r="AP35" s="31" t="str">
        <f>IFERROR(INDEX('G-6 Hedgerow Data'!$BJ$3:$BJ$15,MATCH(M35,'G-6 Hedgerow Data'!$B$3:$B$15,0)),"")</f>
        <v/>
      </c>
    </row>
    <row r="36" spans="2:42" ht="13.8" x14ac:dyDescent="0.25">
      <c r="B36" s="531" t="str">
        <f>'E-1 Off Site Hedge Baseline'!AK34</f>
        <v/>
      </c>
      <c r="C36" s="520" t="str">
        <f>IF(B36="","",IF(ISNA(VLOOKUP($B36,'E-1 Off Site Hedge Baseline'!$B$1:$L$257,3,FALSE)),"",(VLOOKUP($B36,'E-1 Off Site Hedge Baseline'!$B$1:$L$257,3,FALSE))))</f>
        <v/>
      </c>
      <c r="D36" s="520" t="str">
        <f>IF(B36="","",IF(ISNA(VLOOKUP($B36,'E-1 Off Site Hedge Baseline'!$B$1:$L$258,4,FALSE)),"",(VLOOKUP($B36,'E-1 Off Site Hedge Baseline'!$B$1:$L$258,4,FALSE))))</f>
        <v/>
      </c>
      <c r="E36" s="520" t="str">
        <f>IF(B36="","",IF(ISNA(VLOOKUP($B36,'E-1 Off Site Hedge Baseline'!$B$1:$L$257,5,FALSE)),"",(VLOOKUP($B36,'E-1 Off Site Hedge Baseline'!$B$1:$L$257,5,FALSE))))</f>
        <v/>
      </c>
      <c r="F36" s="520" t="str">
        <f>IF(B36="","",IF(ISNA(VLOOKUP($B36,'E-1 Off Site Hedge Baseline'!$B$1:$L$257,6,FALSE)),"",(VLOOKUP($B36,'E-1 Off Site Hedge Baseline'!$B$1:$L$257,6,FALSE))))</f>
        <v/>
      </c>
      <c r="G36" s="520" t="str">
        <f>IF(B36="","",IF(ISNA(VLOOKUP($B36,'E-1 Off Site Hedge Baseline'!$B$1:$L$257,7,FALSE)),"",(VLOOKUP($B36,'E-1 Off Site Hedge Baseline'!$B$1:$L$257,7,FALSE))))</f>
        <v/>
      </c>
      <c r="H36" s="520" t="str">
        <f>IF(B36="","",IF(ISNA(VLOOKUP($B36,'E-1 Off Site Hedge Baseline'!$B$1:$L$257,8,FALSE)),"",(VLOOKUP($B36,'E-1 Off Site Hedge Baseline'!$B$1:$L$257,8,FALSE))))</f>
        <v/>
      </c>
      <c r="I36" s="520" t="str">
        <f>IF(B36="","",IF(ISNA(VLOOKUP($B36,'E-1 Off Site Hedge Baseline'!$B$1:$L$257,10,FALSE)),"",(VLOOKUP($B36,'E-1 Off Site Hedge Baseline'!$B$1:$L$257,10,FALSE))))</f>
        <v/>
      </c>
      <c r="J36" s="520" t="str">
        <f>IF(B36="","",IF(ISNA(VLOOKUP($B36,'E-1 Off Site Hedge Baseline'!$B$1:$L$257,11,FALSE)),"",(VLOOKUP($B36,'E-1 Off Site Hedge Baseline'!$B$1:$L$257,11,FALSE))))</f>
        <v/>
      </c>
      <c r="K36" s="520" t="str">
        <f>IF(B36="","",IF(ISNA(VLOOKUP($B36,'E-1 Off Site Hedge Baseline'!$B$1:$U$257,113,FALSE)),"",(VLOOKUP($B36,'E-1 Off Site Hedge Baseline'!$B$1:$U$257,13,FALSE))))</f>
        <v/>
      </c>
      <c r="L36" s="507" t="str">
        <f>IF(B36="","",IF(ISNA(VLOOKUP($B36,'E-1 Off Site Hedge Baseline'!$B$1:$U$257,12,FALSE)),"",(VLOOKUP($B36,'E-1 Off Site Hedge Baseline'!$B$1:$U$257,12,FALSE))))</f>
        <v/>
      </c>
      <c r="M36" s="418" t="str">
        <f t="shared" si="8"/>
        <v/>
      </c>
      <c r="N36" s="498" t="str">
        <f>IFERROR(IF(B36="","",INDEX('G-6 Hedgerow Data'!$AN$3:$AZ$15,MATCH(C36,'G-6 Hedgerow Data'!$AM$3:$AM$15,0),MATCH(M36,'G-6 Hedgerow Data'!$AN$2:$AZ$2,0))),"")</f>
        <v/>
      </c>
      <c r="O36" s="499" t="str">
        <f t="shared" si="2"/>
        <v/>
      </c>
      <c r="P36" s="505" t="str">
        <f>IF(B36="","",VLOOKUP(B36,'E-1 Off Site Hedge Baseline'!$B$10:T281,16,FALSE))</f>
        <v/>
      </c>
      <c r="Q36" s="498" t="str">
        <f>IF(M36="","",VLOOKUP(M36,'G-6 Hedgerow Data'!$B$2:$AG$15,2,FALSE))</f>
        <v/>
      </c>
      <c r="R36" s="499" t="str">
        <f>IF(M36="","",VLOOKUP(M36,'G-6 Hedgerow Data'!$B$2:$AG$15,3,FALSE))</f>
        <v/>
      </c>
      <c r="S36" s="145"/>
      <c r="T36" s="499" t="str">
        <f>IFERROR(IF(AND(Q36="V.Low",OR(S36="Good",S36="Moderate")),"Error ▲",VLOOKUP(S36,'G-1 All Habitats'!$Z$2:$AA$9,2,FALSE)),"")</f>
        <v/>
      </c>
      <c r="U36" s="145"/>
      <c r="V36" s="507" t="str">
        <f>IF(U36="","",IF(VLOOKUP(U36,'G-3 Multipliers'!$L$3:$N$6,2,FALSE)=0,"Spatial Data Missing ⚠",VLOOKUP(U36,'G-3 Multipliers'!$L$3:$N$6,2,FALSE)))</f>
        <v/>
      </c>
      <c r="W36" s="505" t="str">
        <f>IF(U36="","",IF(VLOOKUP(U36,'G-3 Multipliers'!$L$3:$N$6,3,FALSE)=0,"Spatial Data Missing ⚠",VLOOKUP(U36,'G-3 Multipliers'!$L$3:$N$6,3,FALSE)))</f>
        <v/>
      </c>
      <c r="X36" s="498"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7" t="str">
        <f t="shared" si="3"/>
        <v/>
      </c>
      <c r="AB36" s="521" t="str">
        <f t="shared" si="4"/>
        <v/>
      </c>
      <c r="AC36" s="522" t="str">
        <f t="shared" si="1"/>
        <v/>
      </c>
      <c r="AD36" s="537" t="str">
        <f>IF(M36="","",VLOOKUP(M36,'G-6 Hedgerow Data'!$B$3:$AG$15,31,FALSE))</f>
        <v/>
      </c>
      <c r="AE36" s="520" t="str">
        <f t="shared" si="5"/>
        <v/>
      </c>
      <c r="AF36" s="520" t="str">
        <f t="shared" si="6"/>
        <v/>
      </c>
      <c r="AG36" s="524" t="str">
        <f>IFERROR(IF(O36="","",VLOOKUP(AD36,'G-3 Multipliers'!$P$3:$Q$6,2,FALSE)),"")</f>
        <v/>
      </c>
      <c r="AH36" s="197"/>
      <c r="AI36" s="499" t="str">
        <f>IF(AH36="","",IF(VLOOKUP(AH36,'G-3 Multipliers'!$S$3:$T$6,2,FALSE)=0,"Spatial Data Missing ⚠",VLOOKUP(AH36,'G-3 Multipliers'!$S$3:$T$6,2,FALSE)))</f>
        <v/>
      </c>
      <c r="AJ36" s="545" t="str">
        <f t="shared" si="7"/>
        <v/>
      </c>
      <c r="AK36" s="149"/>
      <c r="AL36" s="150"/>
      <c r="AP36" s="31" t="str">
        <f>IFERROR(INDEX('G-6 Hedgerow Data'!$BJ$3:$BJ$15,MATCH(M36,'G-6 Hedgerow Data'!$B$3:$B$15,0)),"")</f>
        <v/>
      </c>
    </row>
    <row r="37" spans="2:42" ht="13.8" x14ac:dyDescent="0.25">
      <c r="B37" s="531" t="str">
        <f>'E-1 Off Site Hedge Baseline'!AK35</f>
        <v/>
      </c>
      <c r="C37" s="520" t="str">
        <f>IF(B37="","",IF(ISNA(VLOOKUP($B37,'E-1 Off Site Hedge Baseline'!$B$1:$L$257,3,FALSE)),"",(VLOOKUP($B37,'E-1 Off Site Hedge Baseline'!$B$1:$L$257,3,FALSE))))</f>
        <v/>
      </c>
      <c r="D37" s="520" t="str">
        <f>IF(B37="","",IF(ISNA(VLOOKUP($B37,'E-1 Off Site Hedge Baseline'!$B$1:$L$258,4,FALSE)),"",(VLOOKUP($B37,'E-1 Off Site Hedge Baseline'!$B$1:$L$258,4,FALSE))))</f>
        <v/>
      </c>
      <c r="E37" s="520" t="str">
        <f>IF(B37="","",IF(ISNA(VLOOKUP($B37,'E-1 Off Site Hedge Baseline'!$B$1:$L$257,5,FALSE)),"",(VLOOKUP($B37,'E-1 Off Site Hedge Baseline'!$B$1:$L$257,5,FALSE))))</f>
        <v/>
      </c>
      <c r="F37" s="520" t="str">
        <f>IF(B37="","",IF(ISNA(VLOOKUP($B37,'E-1 Off Site Hedge Baseline'!$B$1:$L$257,6,FALSE)),"",(VLOOKUP($B37,'E-1 Off Site Hedge Baseline'!$B$1:$L$257,6,FALSE))))</f>
        <v/>
      </c>
      <c r="G37" s="520" t="str">
        <f>IF(B37="","",IF(ISNA(VLOOKUP($B37,'E-1 Off Site Hedge Baseline'!$B$1:$L$257,7,FALSE)),"",(VLOOKUP($B37,'E-1 Off Site Hedge Baseline'!$B$1:$L$257,7,FALSE))))</f>
        <v/>
      </c>
      <c r="H37" s="520" t="str">
        <f>IF(B37="","",IF(ISNA(VLOOKUP($B37,'E-1 Off Site Hedge Baseline'!$B$1:$L$257,8,FALSE)),"",(VLOOKUP($B37,'E-1 Off Site Hedge Baseline'!$B$1:$L$257,8,FALSE))))</f>
        <v/>
      </c>
      <c r="I37" s="520" t="str">
        <f>IF(B37="","",IF(ISNA(VLOOKUP($B37,'E-1 Off Site Hedge Baseline'!$B$1:$L$257,10,FALSE)),"",(VLOOKUP($B37,'E-1 Off Site Hedge Baseline'!$B$1:$L$257,10,FALSE))))</f>
        <v/>
      </c>
      <c r="J37" s="520" t="str">
        <f>IF(B37="","",IF(ISNA(VLOOKUP($B37,'E-1 Off Site Hedge Baseline'!$B$1:$L$257,11,FALSE)),"",(VLOOKUP($B37,'E-1 Off Site Hedge Baseline'!$B$1:$L$257,11,FALSE))))</f>
        <v/>
      </c>
      <c r="K37" s="520" t="str">
        <f>IF(B37="","",IF(ISNA(VLOOKUP($B37,'E-1 Off Site Hedge Baseline'!$B$1:$U$257,113,FALSE)),"",(VLOOKUP($B37,'E-1 Off Site Hedge Baseline'!$B$1:$U$257,13,FALSE))))</f>
        <v/>
      </c>
      <c r="L37" s="507" t="str">
        <f>IF(B37="","",IF(ISNA(VLOOKUP($B37,'E-1 Off Site Hedge Baseline'!$B$1:$U$257,12,FALSE)),"",(VLOOKUP($B37,'E-1 Off Site Hedge Baseline'!$B$1:$U$257,12,FALSE))))</f>
        <v/>
      </c>
      <c r="M37" s="418" t="str">
        <f t="shared" si="8"/>
        <v/>
      </c>
      <c r="N37" s="498" t="str">
        <f>IFERROR(IF(B37="","",INDEX('G-6 Hedgerow Data'!$AN$3:$AZ$15,MATCH(C37,'G-6 Hedgerow Data'!$AM$3:$AM$15,0),MATCH(M37,'G-6 Hedgerow Data'!$AN$2:$AZ$2,0))),"")</f>
        <v/>
      </c>
      <c r="O37" s="499" t="str">
        <f t="shared" si="2"/>
        <v/>
      </c>
      <c r="P37" s="505" t="str">
        <f>IF(B37="","",VLOOKUP(B37,'E-1 Off Site Hedge Baseline'!$B$10:T282,16,FALSE))</f>
        <v/>
      </c>
      <c r="Q37" s="498" t="str">
        <f>IF(M37="","",VLOOKUP(M37,'G-6 Hedgerow Data'!$B$2:$AG$15,2,FALSE))</f>
        <v/>
      </c>
      <c r="R37" s="499" t="str">
        <f>IF(M37="","",VLOOKUP(M37,'G-6 Hedgerow Data'!$B$2:$AG$15,3,FALSE))</f>
        <v/>
      </c>
      <c r="S37" s="145"/>
      <c r="T37" s="499" t="str">
        <f>IFERROR(IF(AND(Q37="V.Low",OR(S37="Good",S37="Moderate")),"Error ▲",VLOOKUP(S37,'G-1 All Habitats'!$Z$2:$AA$9,2,FALSE)),"")</f>
        <v/>
      </c>
      <c r="U37" s="145"/>
      <c r="V37" s="507" t="str">
        <f>IF(U37="","",IF(VLOOKUP(U37,'G-3 Multipliers'!$L$3:$N$6,2,FALSE)=0,"Spatial Data Missing ⚠",VLOOKUP(U37,'G-3 Multipliers'!$L$3:$N$6,2,FALSE)))</f>
        <v/>
      </c>
      <c r="W37" s="505" t="str">
        <f>IF(U37="","",IF(VLOOKUP(U37,'G-3 Multipliers'!$L$3:$N$6,3,FALSE)=0,"Spatial Data Missing ⚠",VLOOKUP(U37,'G-3 Multipliers'!$L$3:$N$6,3,FALSE)))</f>
        <v/>
      </c>
      <c r="X37" s="498"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7" t="str">
        <f t="shared" si="3"/>
        <v/>
      </c>
      <c r="AB37" s="521" t="str">
        <f t="shared" si="4"/>
        <v/>
      </c>
      <c r="AC37" s="522" t="str">
        <f t="shared" si="1"/>
        <v/>
      </c>
      <c r="AD37" s="537" t="str">
        <f>IF(M37="","",VLOOKUP(M37,'G-6 Hedgerow Data'!$B$3:$AG$15,31,FALSE))</f>
        <v/>
      </c>
      <c r="AE37" s="520" t="str">
        <f t="shared" si="5"/>
        <v/>
      </c>
      <c r="AF37" s="520" t="str">
        <f t="shared" si="6"/>
        <v/>
      </c>
      <c r="AG37" s="524" t="str">
        <f>IFERROR(IF(O37="","",VLOOKUP(AD37,'G-3 Multipliers'!$P$3:$Q$6,2,FALSE)),"")</f>
        <v/>
      </c>
      <c r="AH37" s="197"/>
      <c r="AI37" s="499" t="str">
        <f>IF(AH37="","",IF(VLOOKUP(AH37,'G-3 Multipliers'!$S$3:$T$6,2,FALSE)=0,"Spatial Data Missing ⚠",VLOOKUP(AH37,'G-3 Multipliers'!$S$3:$T$6,2,FALSE)))</f>
        <v/>
      </c>
      <c r="AJ37" s="545" t="str">
        <f t="shared" si="7"/>
        <v/>
      </c>
      <c r="AK37" s="149"/>
      <c r="AL37" s="150"/>
      <c r="AP37" s="31" t="str">
        <f>IFERROR(INDEX('G-6 Hedgerow Data'!$BJ$3:$BJ$15,MATCH(M37,'G-6 Hedgerow Data'!$B$3:$B$15,0)),"")</f>
        <v/>
      </c>
    </row>
    <row r="38" spans="2:42" ht="13.8" x14ac:dyDescent="0.25">
      <c r="B38" s="531" t="str">
        <f>'E-1 Off Site Hedge Baseline'!AK36</f>
        <v/>
      </c>
      <c r="C38" s="520" t="str">
        <f>IF(B38="","",IF(ISNA(VLOOKUP($B38,'E-1 Off Site Hedge Baseline'!$B$1:$L$257,3,FALSE)),"",(VLOOKUP($B38,'E-1 Off Site Hedge Baseline'!$B$1:$L$257,3,FALSE))))</f>
        <v/>
      </c>
      <c r="D38" s="520" t="str">
        <f>IF(B38="","",IF(ISNA(VLOOKUP($B38,'E-1 Off Site Hedge Baseline'!$B$1:$L$258,4,FALSE)),"",(VLOOKUP($B38,'E-1 Off Site Hedge Baseline'!$B$1:$L$258,4,FALSE))))</f>
        <v/>
      </c>
      <c r="E38" s="520" t="str">
        <f>IF(B38="","",IF(ISNA(VLOOKUP($B38,'E-1 Off Site Hedge Baseline'!$B$1:$L$257,5,FALSE)),"",(VLOOKUP($B38,'E-1 Off Site Hedge Baseline'!$B$1:$L$257,5,FALSE))))</f>
        <v/>
      </c>
      <c r="F38" s="520" t="str">
        <f>IF(B38="","",IF(ISNA(VLOOKUP($B38,'E-1 Off Site Hedge Baseline'!$B$1:$L$257,6,FALSE)),"",(VLOOKUP($B38,'E-1 Off Site Hedge Baseline'!$B$1:$L$257,6,FALSE))))</f>
        <v/>
      </c>
      <c r="G38" s="520" t="str">
        <f>IF(B38="","",IF(ISNA(VLOOKUP($B38,'E-1 Off Site Hedge Baseline'!$B$1:$L$257,7,FALSE)),"",(VLOOKUP($B38,'E-1 Off Site Hedge Baseline'!$B$1:$L$257,7,FALSE))))</f>
        <v/>
      </c>
      <c r="H38" s="520" t="str">
        <f>IF(B38="","",IF(ISNA(VLOOKUP($B38,'E-1 Off Site Hedge Baseline'!$B$1:$L$257,8,FALSE)),"",(VLOOKUP($B38,'E-1 Off Site Hedge Baseline'!$B$1:$L$257,8,FALSE))))</f>
        <v/>
      </c>
      <c r="I38" s="520" t="str">
        <f>IF(B38="","",IF(ISNA(VLOOKUP($B38,'E-1 Off Site Hedge Baseline'!$B$1:$L$257,10,FALSE)),"",(VLOOKUP($B38,'E-1 Off Site Hedge Baseline'!$B$1:$L$257,10,FALSE))))</f>
        <v/>
      </c>
      <c r="J38" s="520" t="str">
        <f>IF(B38="","",IF(ISNA(VLOOKUP($B38,'E-1 Off Site Hedge Baseline'!$B$1:$L$257,11,FALSE)),"",(VLOOKUP($B38,'E-1 Off Site Hedge Baseline'!$B$1:$L$257,11,FALSE))))</f>
        <v/>
      </c>
      <c r="K38" s="520" t="str">
        <f>IF(B38="","",IF(ISNA(VLOOKUP($B38,'E-1 Off Site Hedge Baseline'!$B$1:$U$257,113,FALSE)),"",(VLOOKUP($B38,'E-1 Off Site Hedge Baseline'!$B$1:$U$257,13,FALSE))))</f>
        <v/>
      </c>
      <c r="L38" s="507" t="str">
        <f>IF(B38="","",IF(ISNA(VLOOKUP($B38,'E-1 Off Site Hedge Baseline'!$B$1:$U$257,12,FALSE)),"",(VLOOKUP($B38,'E-1 Off Site Hedge Baseline'!$B$1:$U$257,12,FALSE))))</f>
        <v/>
      </c>
      <c r="M38" s="418" t="str">
        <f t="shared" si="8"/>
        <v/>
      </c>
      <c r="N38" s="498" t="str">
        <f>IFERROR(IF(B38="","",INDEX('G-6 Hedgerow Data'!$AN$3:$AZ$15,MATCH(C38,'G-6 Hedgerow Data'!$AM$3:$AM$15,0),MATCH(M38,'G-6 Hedgerow Data'!$AN$2:$AZ$2,0))),"")</f>
        <v/>
      </c>
      <c r="O38" s="499" t="str">
        <f t="shared" si="2"/>
        <v/>
      </c>
      <c r="P38" s="505" t="str">
        <f>IF(B38="","",VLOOKUP(B38,'E-1 Off Site Hedge Baseline'!$B$10:T283,16,FALSE))</f>
        <v/>
      </c>
      <c r="Q38" s="498" t="str">
        <f>IF(M38="","",VLOOKUP(M38,'G-6 Hedgerow Data'!$B$2:$AG$15,2,FALSE))</f>
        <v/>
      </c>
      <c r="R38" s="499" t="str">
        <f>IF(M38="","",VLOOKUP(M38,'G-6 Hedgerow Data'!$B$2:$AG$15,3,FALSE))</f>
        <v/>
      </c>
      <c r="S38" s="145"/>
      <c r="T38" s="499" t="str">
        <f>IFERROR(IF(AND(Q38="V.Low",OR(S38="Good",S38="Moderate")),"Error ▲",VLOOKUP(S38,'G-1 All Habitats'!$Z$2:$AA$9,2,FALSE)),"")</f>
        <v/>
      </c>
      <c r="U38" s="145"/>
      <c r="V38" s="507" t="str">
        <f>IF(U38="","",IF(VLOOKUP(U38,'G-3 Multipliers'!$L$3:$N$6,2,FALSE)=0,"Spatial Data Missing ⚠",VLOOKUP(U38,'G-3 Multipliers'!$L$3:$N$6,2,FALSE)))</f>
        <v/>
      </c>
      <c r="W38" s="505" t="str">
        <f>IF(U38="","",IF(VLOOKUP(U38,'G-3 Multipliers'!$L$3:$N$6,3,FALSE)=0,"Spatial Data Missing ⚠",VLOOKUP(U38,'G-3 Multipliers'!$L$3:$N$6,3,FALSE)))</f>
        <v/>
      </c>
      <c r="X38" s="498"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7" t="str">
        <f t="shared" si="3"/>
        <v/>
      </c>
      <c r="AB38" s="521" t="str">
        <f t="shared" si="4"/>
        <v/>
      </c>
      <c r="AC38" s="522" t="str">
        <f t="shared" si="1"/>
        <v/>
      </c>
      <c r="AD38" s="537" t="str">
        <f>IF(M38="","",VLOOKUP(M38,'G-6 Hedgerow Data'!$B$3:$AG$15,31,FALSE))</f>
        <v/>
      </c>
      <c r="AE38" s="520" t="str">
        <f t="shared" si="5"/>
        <v/>
      </c>
      <c r="AF38" s="520" t="str">
        <f t="shared" si="6"/>
        <v/>
      </c>
      <c r="AG38" s="524" t="str">
        <f>IFERROR(IF(O38="","",VLOOKUP(AD38,'G-3 Multipliers'!$P$3:$Q$6,2,FALSE)),"")</f>
        <v/>
      </c>
      <c r="AH38" s="197"/>
      <c r="AI38" s="499" t="str">
        <f>IF(AH38="","",IF(VLOOKUP(AH38,'G-3 Multipliers'!$S$3:$T$6,2,FALSE)=0,"Spatial Data Missing ⚠",VLOOKUP(AH38,'G-3 Multipliers'!$S$3:$T$6,2,FALSE)))</f>
        <v/>
      </c>
      <c r="AJ38" s="545" t="str">
        <f t="shared" si="7"/>
        <v/>
      </c>
      <c r="AK38" s="149"/>
      <c r="AL38" s="150"/>
      <c r="AP38" s="31" t="str">
        <f>IFERROR(INDEX('G-6 Hedgerow Data'!$BJ$3:$BJ$15,MATCH(M38,'G-6 Hedgerow Data'!$B$3:$B$15,0)),"")</f>
        <v/>
      </c>
    </row>
    <row r="39" spans="2:42" ht="13.8" x14ac:dyDescent="0.25">
      <c r="B39" s="531" t="str">
        <f>'E-1 Off Site Hedge Baseline'!AK37</f>
        <v/>
      </c>
      <c r="C39" s="520" t="str">
        <f>IF(B39="","",IF(ISNA(VLOOKUP($B39,'E-1 Off Site Hedge Baseline'!$B$1:$L$257,3,FALSE)),"",(VLOOKUP($B39,'E-1 Off Site Hedge Baseline'!$B$1:$L$257,3,FALSE))))</f>
        <v/>
      </c>
      <c r="D39" s="520" t="str">
        <f>IF(B39="","",IF(ISNA(VLOOKUP($B39,'E-1 Off Site Hedge Baseline'!$B$1:$L$258,4,FALSE)),"",(VLOOKUP($B39,'E-1 Off Site Hedge Baseline'!$B$1:$L$258,4,FALSE))))</f>
        <v/>
      </c>
      <c r="E39" s="520" t="str">
        <f>IF(B39="","",IF(ISNA(VLOOKUP($B39,'E-1 Off Site Hedge Baseline'!$B$1:$L$257,5,FALSE)),"",(VLOOKUP($B39,'E-1 Off Site Hedge Baseline'!$B$1:$L$257,5,FALSE))))</f>
        <v/>
      </c>
      <c r="F39" s="520" t="str">
        <f>IF(B39="","",IF(ISNA(VLOOKUP($B39,'E-1 Off Site Hedge Baseline'!$B$1:$L$257,6,FALSE)),"",(VLOOKUP($B39,'E-1 Off Site Hedge Baseline'!$B$1:$L$257,6,FALSE))))</f>
        <v/>
      </c>
      <c r="G39" s="520" t="str">
        <f>IF(B39="","",IF(ISNA(VLOOKUP($B39,'E-1 Off Site Hedge Baseline'!$B$1:$L$257,7,FALSE)),"",(VLOOKUP($B39,'E-1 Off Site Hedge Baseline'!$B$1:$L$257,7,FALSE))))</f>
        <v/>
      </c>
      <c r="H39" s="520" t="str">
        <f>IF(B39="","",IF(ISNA(VLOOKUP($B39,'E-1 Off Site Hedge Baseline'!$B$1:$L$257,8,FALSE)),"",(VLOOKUP($B39,'E-1 Off Site Hedge Baseline'!$B$1:$L$257,8,FALSE))))</f>
        <v/>
      </c>
      <c r="I39" s="520" t="str">
        <f>IF(B39="","",IF(ISNA(VLOOKUP($B39,'E-1 Off Site Hedge Baseline'!$B$1:$L$257,10,FALSE)),"",(VLOOKUP($B39,'E-1 Off Site Hedge Baseline'!$B$1:$L$257,10,FALSE))))</f>
        <v/>
      </c>
      <c r="J39" s="520" t="str">
        <f>IF(B39="","",IF(ISNA(VLOOKUP($B39,'E-1 Off Site Hedge Baseline'!$B$1:$L$257,11,FALSE)),"",(VLOOKUP($B39,'E-1 Off Site Hedge Baseline'!$B$1:$L$257,11,FALSE))))</f>
        <v/>
      </c>
      <c r="K39" s="520" t="str">
        <f>IF(B39="","",IF(ISNA(VLOOKUP($B39,'E-1 Off Site Hedge Baseline'!$B$1:$U$257,113,FALSE)),"",(VLOOKUP($B39,'E-1 Off Site Hedge Baseline'!$B$1:$U$257,13,FALSE))))</f>
        <v/>
      </c>
      <c r="L39" s="507" t="str">
        <f>IF(B39="","",IF(ISNA(VLOOKUP($B39,'E-1 Off Site Hedge Baseline'!$B$1:$U$257,12,FALSE)),"",(VLOOKUP($B39,'E-1 Off Site Hedge Baseline'!$B$1:$U$257,12,FALSE))))</f>
        <v/>
      </c>
      <c r="M39" s="418" t="str">
        <f t="shared" si="8"/>
        <v/>
      </c>
      <c r="N39" s="498" t="str">
        <f>IFERROR(IF(B39="","",INDEX('G-6 Hedgerow Data'!$AN$3:$AZ$15,MATCH(C39,'G-6 Hedgerow Data'!$AM$3:$AM$15,0),MATCH(M39,'G-6 Hedgerow Data'!$AN$2:$AZ$2,0))),"")</f>
        <v/>
      </c>
      <c r="O39" s="499" t="str">
        <f t="shared" si="2"/>
        <v/>
      </c>
      <c r="P39" s="505" t="str">
        <f>IF(B39="","",VLOOKUP(B39,'E-1 Off Site Hedge Baseline'!$B$10:T284,16,FALSE))</f>
        <v/>
      </c>
      <c r="Q39" s="498" t="str">
        <f>IF(M39="","",VLOOKUP(M39,'G-6 Hedgerow Data'!$B$2:$AG$15,2,FALSE))</f>
        <v/>
      </c>
      <c r="R39" s="499" t="str">
        <f>IF(M39="","",VLOOKUP(M39,'G-6 Hedgerow Data'!$B$2:$AG$15,3,FALSE))</f>
        <v/>
      </c>
      <c r="S39" s="145"/>
      <c r="T39" s="499" t="str">
        <f>IFERROR(IF(AND(Q39="V.Low",OR(S39="Good",S39="Moderate")),"Error ▲",VLOOKUP(S39,'G-1 All Habitats'!$Z$2:$AA$9,2,FALSE)),"")</f>
        <v/>
      </c>
      <c r="U39" s="145"/>
      <c r="V39" s="507" t="str">
        <f>IF(U39="","",IF(VLOOKUP(U39,'G-3 Multipliers'!$L$3:$N$6,2,FALSE)=0,"Spatial Data Missing ⚠",VLOOKUP(U39,'G-3 Multipliers'!$L$3:$N$6,2,FALSE)))</f>
        <v/>
      </c>
      <c r="W39" s="505" t="str">
        <f>IF(U39="","",IF(VLOOKUP(U39,'G-3 Multipliers'!$L$3:$N$6,3,FALSE)=0,"Spatial Data Missing ⚠",VLOOKUP(U39,'G-3 Multipliers'!$L$3:$N$6,3,FALSE)))</f>
        <v/>
      </c>
      <c r="X39" s="498"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7" t="str">
        <f t="shared" si="3"/>
        <v/>
      </c>
      <c r="AB39" s="521" t="str">
        <f t="shared" si="4"/>
        <v/>
      </c>
      <c r="AC39" s="522" t="str">
        <f t="shared" si="1"/>
        <v/>
      </c>
      <c r="AD39" s="537" t="str">
        <f>IF(M39="","",VLOOKUP(M39,'G-6 Hedgerow Data'!$B$3:$AG$15,31,FALSE))</f>
        <v/>
      </c>
      <c r="AE39" s="520" t="str">
        <f t="shared" si="5"/>
        <v/>
      </c>
      <c r="AF39" s="520" t="str">
        <f t="shared" si="6"/>
        <v/>
      </c>
      <c r="AG39" s="524" t="str">
        <f>IFERROR(IF(O39="","",VLOOKUP(AD39,'G-3 Multipliers'!$P$3:$Q$6,2,FALSE)),"")</f>
        <v/>
      </c>
      <c r="AH39" s="197"/>
      <c r="AI39" s="499" t="str">
        <f>IF(AH39="","",IF(VLOOKUP(AH39,'G-3 Multipliers'!$S$3:$T$6,2,FALSE)=0,"Spatial Data Missing ⚠",VLOOKUP(AH39,'G-3 Multipliers'!$S$3:$T$6,2,FALSE)))</f>
        <v/>
      </c>
      <c r="AJ39" s="545" t="str">
        <f t="shared" si="7"/>
        <v/>
      </c>
      <c r="AK39" s="149"/>
      <c r="AL39" s="150"/>
      <c r="AP39" s="31" t="str">
        <f>IFERROR(INDEX('G-6 Hedgerow Data'!$BJ$3:$BJ$15,MATCH(M39,'G-6 Hedgerow Data'!$B$3:$B$15,0)),"")</f>
        <v/>
      </c>
    </row>
    <row r="40" spans="2:42" ht="13.8" x14ac:dyDescent="0.25">
      <c r="B40" s="531" t="str">
        <f>'E-1 Off Site Hedge Baseline'!AK38</f>
        <v/>
      </c>
      <c r="C40" s="520" t="str">
        <f>IF(B40="","",IF(ISNA(VLOOKUP($B40,'E-1 Off Site Hedge Baseline'!$B$1:$L$257,3,FALSE)),"",(VLOOKUP($B40,'E-1 Off Site Hedge Baseline'!$B$1:$L$257,3,FALSE))))</f>
        <v/>
      </c>
      <c r="D40" s="520" t="str">
        <f>IF(B40="","",IF(ISNA(VLOOKUP($B40,'E-1 Off Site Hedge Baseline'!$B$1:$L$258,4,FALSE)),"",(VLOOKUP($B40,'E-1 Off Site Hedge Baseline'!$B$1:$L$258,4,FALSE))))</f>
        <v/>
      </c>
      <c r="E40" s="520" t="str">
        <f>IF(B40="","",IF(ISNA(VLOOKUP($B40,'E-1 Off Site Hedge Baseline'!$B$1:$L$257,5,FALSE)),"",(VLOOKUP($B40,'E-1 Off Site Hedge Baseline'!$B$1:$L$257,5,FALSE))))</f>
        <v/>
      </c>
      <c r="F40" s="520" t="str">
        <f>IF(B40="","",IF(ISNA(VLOOKUP($B40,'E-1 Off Site Hedge Baseline'!$B$1:$L$257,6,FALSE)),"",(VLOOKUP($B40,'E-1 Off Site Hedge Baseline'!$B$1:$L$257,6,FALSE))))</f>
        <v/>
      </c>
      <c r="G40" s="520" t="str">
        <f>IF(B40="","",IF(ISNA(VLOOKUP($B40,'E-1 Off Site Hedge Baseline'!$B$1:$L$257,7,FALSE)),"",(VLOOKUP($B40,'E-1 Off Site Hedge Baseline'!$B$1:$L$257,7,FALSE))))</f>
        <v/>
      </c>
      <c r="H40" s="520" t="str">
        <f>IF(B40="","",IF(ISNA(VLOOKUP($B40,'E-1 Off Site Hedge Baseline'!$B$1:$L$257,8,FALSE)),"",(VLOOKUP($B40,'E-1 Off Site Hedge Baseline'!$B$1:$L$257,8,FALSE))))</f>
        <v/>
      </c>
      <c r="I40" s="520" t="str">
        <f>IF(B40="","",IF(ISNA(VLOOKUP($B40,'E-1 Off Site Hedge Baseline'!$B$1:$L$257,10,FALSE)),"",(VLOOKUP($B40,'E-1 Off Site Hedge Baseline'!$B$1:$L$257,10,FALSE))))</f>
        <v/>
      </c>
      <c r="J40" s="520" t="str">
        <f>IF(B40="","",IF(ISNA(VLOOKUP($B40,'E-1 Off Site Hedge Baseline'!$B$1:$L$257,11,FALSE)),"",(VLOOKUP($B40,'E-1 Off Site Hedge Baseline'!$B$1:$L$257,11,FALSE))))</f>
        <v/>
      </c>
      <c r="K40" s="520" t="str">
        <f>IF(B40="","",IF(ISNA(VLOOKUP($B40,'E-1 Off Site Hedge Baseline'!$B$1:$U$257,113,FALSE)),"",(VLOOKUP($B40,'E-1 Off Site Hedge Baseline'!$B$1:$U$257,13,FALSE))))</f>
        <v/>
      </c>
      <c r="L40" s="507" t="str">
        <f>IF(B40="","",IF(ISNA(VLOOKUP($B40,'E-1 Off Site Hedge Baseline'!$B$1:$U$257,12,FALSE)),"",(VLOOKUP($B40,'E-1 Off Site Hedge Baseline'!$B$1:$U$257,12,FALSE))))</f>
        <v/>
      </c>
      <c r="M40" s="418" t="str">
        <f t="shared" si="8"/>
        <v/>
      </c>
      <c r="N40" s="498" t="str">
        <f>IFERROR(IF(B40="","",INDEX('G-6 Hedgerow Data'!$AN$3:$AZ$15,MATCH(C40,'G-6 Hedgerow Data'!$AM$3:$AM$15,0),MATCH(M40,'G-6 Hedgerow Data'!$AN$2:$AZ$2,0))),"")</f>
        <v/>
      </c>
      <c r="O40" s="499" t="str">
        <f t="shared" si="2"/>
        <v/>
      </c>
      <c r="P40" s="505" t="str">
        <f>IF(B40="","",VLOOKUP(B40,'E-1 Off Site Hedge Baseline'!$B$10:T285,16,FALSE))</f>
        <v/>
      </c>
      <c r="Q40" s="498" t="str">
        <f>IF(M40="","",VLOOKUP(M40,'G-6 Hedgerow Data'!$B$2:$AG$15,2,FALSE))</f>
        <v/>
      </c>
      <c r="R40" s="499" t="str">
        <f>IF(M40="","",VLOOKUP(M40,'G-6 Hedgerow Data'!$B$2:$AG$15,3,FALSE))</f>
        <v/>
      </c>
      <c r="S40" s="145"/>
      <c r="T40" s="499" t="str">
        <f>IFERROR(IF(AND(Q40="V.Low",OR(S40="Good",S40="Moderate")),"Error ▲",VLOOKUP(S40,'G-1 All Habitats'!$Z$2:$AA$9,2,FALSE)),"")</f>
        <v/>
      </c>
      <c r="U40" s="145"/>
      <c r="V40" s="507" t="str">
        <f>IF(U40="","",IF(VLOOKUP(U40,'G-3 Multipliers'!$L$3:$N$6,2,FALSE)=0,"Spatial Data Missing ⚠",VLOOKUP(U40,'G-3 Multipliers'!$L$3:$N$6,2,FALSE)))</f>
        <v/>
      </c>
      <c r="W40" s="505" t="str">
        <f>IF(U40="","",IF(VLOOKUP(U40,'G-3 Multipliers'!$L$3:$N$6,3,FALSE)=0,"Spatial Data Missing ⚠",VLOOKUP(U40,'G-3 Multipliers'!$L$3:$N$6,3,FALSE)))</f>
        <v/>
      </c>
      <c r="X40" s="498"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7" t="str">
        <f t="shared" si="3"/>
        <v/>
      </c>
      <c r="AB40" s="521" t="str">
        <f t="shared" si="4"/>
        <v/>
      </c>
      <c r="AC40" s="522" t="str">
        <f t="shared" si="1"/>
        <v/>
      </c>
      <c r="AD40" s="537" t="str">
        <f>IF(M40="","",VLOOKUP(M40,'G-6 Hedgerow Data'!$B$3:$AG$15,31,FALSE))</f>
        <v/>
      </c>
      <c r="AE40" s="520" t="str">
        <f t="shared" si="5"/>
        <v/>
      </c>
      <c r="AF40" s="520" t="str">
        <f t="shared" si="6"/>
        <v/>
      </c>
      <c r="AG40" s="524" t="str">
        <f>IFERROR(IF(O40="","",VLOOKUP(AD40,'G-3 Multipliers'!$P$3:$Q$6,2,FALSE)),"")</f>
        <v/>
      </c>
      <c r="AH40" s="197"/>
      <c r="AI40" s="499" t="str">
        <f>IF(AH40="","",IF(VLOOKUP(AH40,'G-3 Multipliers'!$S$3:$T$6,2,FALSE)=0,"Spatial Data Missing ⚠",VLOOKUP(AH40,'G-3 Multipliers'!$S$3:$T$6,2,FALSE)))</f>
        <v/>
      </c>
      <c r="AJ40" s="545" t="str">
        <f t="shared" si="7"/>
        <v/>
      </c>
      <c r="AK40" s="149"/>
      <c r="AL40" s="150"/>
      <c r="AP40" s="31" t="str">
        <f>IFERROR(INDEX('G-6 Hedgerow Data'!$BJ$3:$BJ$15,MATCH(M40,'G-6 Hedgerow Data'!$B$3:$B$15,0)),"")</f>
        <v/>
      </c>
    </row>
    <row r="41" spans="2:42" ht="13.8" x14ac:dyDescent="0.25">
      <c r="B41" s="531" t="str">
        <f>'E-1 Off Site Hedge Baseline'!AK39</f>
        <v/>
      </c>
      <c r="C41" s="520" t="str">
        <f>IF(B41="","",IF(ISNA(VLOOKUP($B41,'E-1 Off Site Hedge Baseline'!$B$1:$L$257,3,FALSE)),"",(VLOOKUP($B41,'E-1 Off Site Hedge Baseline'!$B$1:$L$257,3,FALSE))))</f>
        <v/>
      </c>
      <c r="D41" s="520" t="str">
        <f>IF(B41="","",IF(ISNA(VLOOKUP($B41,'E-1 Off Site Hedge Baseline'!$B$1:$L$258,4,FALSE)),"",(VLOOKUP($B41,'E-1 Off Site Hedge Baseline'!$B$1:$L$258,4,FALSE))))</f>
        <v/>
      </c>
      <c r="E41" s="520" t="str">
        <f>IF(B41="","",IF(ISNA(VLOOKUP($B41,'E-1 Off Site Hedge Baseline'!$B$1:$L$257,5,FALSE)),"",(VLOOKUP($B41,'E-1 Off Site Hedge Baseline'!$B$1:$L$257,5,FALSE))))</f>
        <v/>
      </c>
      <c r="F41" s="520" t="str">
        <f>IF(B41="","",IF(ISNA(VLOOKUP($B41,'E-1 Off Site Hedge Baseline'!$B$1:$L$257,6,FALSE)),"",(VLOOKUP($B41,'E-1 Off Site Hedge Baseline'!$B$1:$L$257,6,FALSE))))</f>
        <v/>
      </c>
      <c r="G41" s="520" t="str">
        <f>IF(B41="","",IF(ISNA(VLOOKUP($B41,'E-1 Off Site Hedge Baseline'!$B$1:$L$257,7,FALSE)),"",(VLOOKUP($B41,'E-1 Off Site Hedge Baseline'!$B$1:$L$257,7,FALSE))))</f>
        <v/>
      </c>
      <c r="H41" s="520" t="str">
        <f>IF(B41="","",IF(ISNA(VLOOKUP($B41,'E-1 Off Site Hedge Baseline'!$B$1:$L$257,8,FALSE)),"",(VLOOKUP($B41,'E-1 Off Site Hedge Baseline'!$B$1:$L$257,8,FALSE))))</f>
        <v/>
      </c>
      <c r="I41" s="520" t="str">
        <f>IF(B41="","",IF(ISNA(VLOOKUP($B41,'E-1 Off Site Hedge Baseline'!$B$1:$L$257,10,FALSE)),"",(VLOOKUP($B41,'E-1 Off Site Hedge Baseline'!$B$1:$L$257,10,FALSE))))</f>
        <v/>
      </c>
      <c r="J41" s="520" t="str">
        <f>IF(B41="","",IF(ISNA(VLOOKUP($B41,'E-1 Off Site Hedge Baseline'!$B$1:$L$257,11,FALSE)),"",(VLOOKUP($B41,'E-1 Off Site Hedge Baseline'!$B$1:$L$257,11,FALSE))))</f>
        <v/>
      </c>
      <c r="K41" s="520" t="str">
        <f>IF(B41="","",IF(ISNA(VLOOKUP($B41,'E-1 Off Site Hedge Baseline'!$B$1:$U$257,113,FALSE)),"",(VLOOKUP($B41,'E-1 Off Site Hedge Baseline'!$B$1:$U$257,13,FALSE))))</f>
        <v/>
      </c>
      <c r="L41" s="507" t="str">
        <f>IF(B41="","",IF(ISNA(VLOOKUP($B41,'E-1 Off Site Hedge Baseline'!$B$1:$U$257,12,FALSE)),"",(VLOOKUP($B41,'E-1 Off Site Hedge Baseline'!$B$1:$U$257,12,FALSE))))</f>
        <v/>
      </c>
      <c r="M41" s="418" t="str">
        <f t="shared" si="8"/>
        <v/>
      </c>
      <c r="N41" s="498" t="str">
        <f>IFERROR(IF(B41="","",INDEX('G-6 Hedgerow Data'!$AN$3:$AZ$15,MATCH(C41,'G-6 Hedgerow Data'!$AM$3:$AM$15,0),MATCH(M41,'G-6 Hedgerow Data'!$AN$2:$AZ$2,0))),"")</f>
        <v/>
      </c>
      <c r="O41" s="499" t="str">
        <f t="shared" si="2"/>
        <v/>
      </c>
      <c r="P41" s="505" t="str">
        <f>IF(B41="","",VLOOKUP(B41,'E-1 Off Site Hedge Baseline'!$B$10:T286,16,FALSE))</f>
        <v/>
      </c>
      <c r="Q41" s="498" t="str">
        <f>IF(M41="","",VLOOKUP(M41,'G-6 Hedgerow Data'!$B$2:$AG$15,2,FALSE))</f>
        <v/>
      </c>
      <c r="R41" s="499" t="str">
        <f>IF(M41="","",VLOOKUP(M41,'G-6 Hedgerow Data'!$B$2:$AG$15,3,FALSE))</f>
        <v/>
      </c>
      <c r="S41" s="145"/>
      <c r="T41" s="499" t="str">
        <f>IFERROR(IF(AND(Q41="V.Low",OR(S41="Good",S41="Moderate")),"Error ▲",VLOOKUP(S41,'G-1 All Habitats'!$Z$2:$AA$9,2,FALSE)),"")</f>
        <v/>
      </c>
      <c r="U41" s="145"/>
      <c r="V41" s="507" t="str">
        <f>IF(U41="","",IF(VLOOKUP(U41,'G-3 Multipliers'!$L$3:$N$6,2,FALSE)=0,"Spatial Data Missing ⚠",VLOOKUP(U41,'G-3 Multipliers'!$L$3:$N$6,2,FALSE)))</f>
        <v/>
      </c>
      <c r="W41" s="505" t="str">
        <f>IF(U41="","",IF(VLOOKUP(U41,'G-3 Multipliers'!$L$3:$N$6,3,FALSE)=0,"Spatial Data Missing ⚠",VLOOKUP(U41,'G-3 Multipliers'!$L$3:$N$6,3,FALSE)))</f>
        <v/>
      </c>
      <c r="X41" s="498"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7" t="str">
        <f t="shared" si="3"/>
        <v/>
      </c>
      <c r="AB41" s="521" t="str">
        <f t="shared" si="4"/>
        <v/>
      </c>
      <c r="AC41" s="522" t="str">
        <f t="shared" si="1"/>
        <v/>
      </c>
      <c r="AD41" s="537" t="str">
        <f>IF(M41="","",VLOOKUP(M41,'G-6 Hedgerow Data'!$B$3:$AG$15,31,FALSE))</f>
        <v/>
      </c>
      <c r="AE41" s="520" t="str">
        <f t="shared" si="5"/>
        <v/>
      </c>
      <c r="AF41" s="520" t="str">
        <f t="shared" si="6"/>
        <v/>
      </c>
      <c r="AG41" s="524" t="str">
        <f>IFERROR(IF(O41="","",VLOOKUP(AD41,'G-3 Multipliers'!$P$3:$Q$6,2,FALSE)),"")</f>
        <v/>
      </c>
      <c r="AH41" s="197"/>
      <c r="AI41" s="499" t="str">
        <f>IF(AH41="","",IF(VLOOKUP(AH41,'G-3 Multipliers'!$S$3:$T$6,2,FALSE)=0,"Spatial Data Missing ⚠",VLOOKUP(AH41,'G-3 Multipliers'!$S$3:$T$6,2,FALSE)))</f>
        <v/>
      </c>
      <c r="AJ41" s="545" t="str">
        <f t="shared" si="7"/>
        <v/>
      </c>
      <c r="AK41" s="149"/>
      <c r="AL41" s="150"/>
      <c r="AP41" s="31" t="str">
        <f>IFERROR(INDEX('G-6 Hedgerow Data'!$BJ$3:$BJ$15,MATCH(M41,'G-6 Hedgerow Data'!$B$3:$B$15,0)),"")</f>
        <v/>
      </c>
    </row>
    <row r="42" spans="2:42" ht="13.8" x14ac:dyDescent="0.25">
      <c r="B42" s="531" t="str">
        <f>'E-1 Off Site Hedge Baseline'!AK40</f>
        <v/>
      </c>
      <c r="C42" s="520" t="str">
        <f>IF(B42="","",IF(ISNA(VLOOKUP($B42,'E-1 Off Site Hedge Baseline'!$B$1:$L$257,3,FALSE)),"",(VLOOKUP($B42,'E-1 Off Site Hedge Baseline'!$B$1:$L$257,3,FALSE))))</f>
        <v/>
      </c>
      <c r="D42" s="520" t="str">
        <f>IF(B42="","",IF(ISNA(VLOOKUP($B42,'E-1 Off Site Hedge Baseline'!$B$1:$L$258,4,FALSE)),"",(VLOOKUP($B42,'E-1 Off Site Hedge Baseline'!$B$1:$L$258,4,FALSE))))</f>
        <v/>
      </c>
      <c r="E42" s="520" t="str">
        <f>IF(B42="","",IF(ISNA(VLOOKUP($B42,'E-1 Off Site Hedge Baseline'!$B$1:$L$257,5,FALSE)),"",(VLOOKUP($B42,'E-1 Off Site Hedge Baseline'!$B$1:$L$257,5,FALSE))))</f>
        <v/>
      </c>
      <c r="F42" s="520" t="str">
        <f>IF(B42="","",IF(ISNA(VLOOKUP($B42,'E-1 Off Site Hedge Baseline'!$B$1:$L$257,6,FALSE)),"",(VLOOKUP($B42,'E-1 Off Site Hedge Baseline'!$B$1:$L$257,6,FALSE))))</f>
        <v/>
      </c>
      <c r="G42" s="520" t="str">
        <f>IF(B42="","",IF(ISNA(VLOOKUP($B42,'E-1 Off Site Hedge Baseline'!$B$1:$L$257,7,FALSE)),"",(VLOOKUP($B42,'E-1 Off Site Hedge Baseline'!$B$1:$L$257,7,FALSE))))</f>
        <v/>
      </c>
      <c r="H42" s="520" t="str">
        <f>IF(B42="","",IF(ISNA(VLOOKUP($B42,'E-1 Off Site Hedge Baseline'!$B$1:$L$257,8,FALSE)),"",(VLOOKUP($B42,'E-1 Off Site Hedge Baseline'!$B$1:$L$257,8,FALSE))))</f>
        <v/>
      </c>
      <c r="I42" s="520" t="str">
        <f>IF(B42="","",IF(ISNA(VLOOKUP($B42,'E-1 Off Site Hedge Baseline'!$B$1:$L$257,10,FALSE)),"",(VLOOKUP($B42,'E-1 Off Site Hedge Baseline'!$B$1:$L$257,10,FALSE))))</f>
        <v/>
      </c>
      <c r="J42" s="520" t="str">
        <f>IF(B42="","",IF(ISNA(VLOOKUP($B42,'E-1 Off Site Hedge Baseline'!$B$1:$L$257,11,FALSE)),"",(VLOOKUP($B42,'E-1 Off Site Hedge Baseline'!$B$1:$L$257,11,FALSE))))</f>
        <v/>
      </c>
      <c r="K42" s="520" t="str">
        <f>IF(B42="","",IF(ISNA(VLOOKUP($B42,'E-1 Off Site Hedge Baseline'!$B$1:$U$257,113,FALSE)),"",(VLOOKUP($B42,'E-1 Off Site Hedge Baseline'!$B$1:$U$257,13,FALSE))))</f>
        <v/>
      </c>
      <c r="L42" s="507" t="str">
        <f>IF(B42="","",IF(ISNA(VLOOKUP($B42,'E-1 Off Site Hedge Baseline'!$B$1:$U$257,12,FALSE)),"",(VLOOKUP($B42,'E-1 Off Site Hedge Baseline'!$B$1:$U$257,12,FALSE))))</f>
        <v/>
      </c>
      <c r="M42" s="418" t="str">
        <f t="shared" si="8"/>
        <v/>
      </c>
      <c r="N42" s="498" t="str">
        <f>IFERROR(IF(B42="","",INDEX('G-6 Hedgerow Data'!$AN$3:$AZ$15,MATCH(C42,'G-6 Hedgerow Data'!$AM$3:$AM$15,0),MATCH(M42,'G-6 Hedgerow Data'!$AN$2:$AZ$2,0))),"")</f>
        <v/>
      </c>
      <c r="O42" s="499" t="str">
        <f t="shared" si="2"/>
        <v/>
      </c>
      <c r="P42" s="505" t="str">
        <f>IF(B42="","",VLOOKUP(B42,'E-1 Off Site Hedge Baseline'!$B$10:T287,16,FALSE))</f>
        <v/>
      </c>
      <c r="Q42" s="498" t="str">
        <f>IF(M42="","",VLOOKUP(M42,'G-6 Hedgerow Data'!$B$2:$AG$15,2,FALSE))</f>
        <v/>
      </c>
      <c r="R42" s="499" t="str">
        <f>IF(M42="","",VLOOKUP(M42,'G-6 Hedgerow Data'!$B$2:$AG$15,3,FALSE))</f>
        <v/>
      </c>
      <c r="S42" s="145"/>
      <c r="T42" s="499" t="str">
        <f>IFERROR(IF(AND(Q42="V.Low",OR(S42="Good",S42="Moderate")),"Error ▲",VLOOKUP(S42,'G-1 All Habitats'!$Z$2:$AA$9,2,FALSE)),"")</f>
        <v/>
      </c>
      <c r="U42" s="145"/>
      <c r="V42" s="507" t="str">
        <f>IF(U42="","",IF(VLOOKUP(U42,'G-3 Multipliers'!$L$3:$N$6,2,FALSE)=0,"Spatial Data Missing ⚠",VLOOKUP(U42,'G-3 Multipliers'!$L$3:$N$6,2,FALSE)))</f>
        <v/>
      </c>
      <c r="W42" s="505" t="str">
        <f>IF(U42="","",IF(VLOOKUP(U42,'G-3 Multipliers'!$L$3:$N$6,3,FALSE)=0,"Spatial Data Missing ⚠",VLOOKUP(U42,'G-3 Multipliers'!$L$3:$N$6,3,FALSE)))</f>
        <v/>
      </c>
      <c r="X42" s="498"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7" t="str">
        <f t="shared" si="3"/>
        <v/>
      </c>
      <c r="AB42" s="521" t="str">
        <f t="shared" si="4"/>
        <v/>
      </c>
      <c r="AC42" s="522" t="str">
        <f t="shared" si="1"/>
        <v/>
      </c>
      <c r="AD42" s="537" t="str">
        <f>IF(M42="","",VLOOKUP(M42,'G-6 Hedgerow Data'!$B$3:$AG$15,31,FALSE))</f>
        <v/>
      </c>
      <c r="AE42" s="520" t="str">
        <f t="shared" si="5"/>
        <v/>
      </c>
      <c r="AF42" s="520" t="str">
        <f t="shared" si="6"/>
        <v/>
      </c>
      <c r="AG42" s="524" t="str">
        <f>IFERROR(IF(O42="","",VLOOKUP(AD42,'G-3 Multipliers'!$P$3:$Q$6,2,FALSE)),"")</f>
        <v/>
      </c>
      <c r="AH42" s="197"/>
      <c r="AI42" s="499" t="str">
        <f>IF(AH42="","",IF(VLOOKUP(AH42,'G-3 Multipliers'!$S$3:$T$6,2,FALSE)=0,"Spatial Data Missing ⚠",VLOOKUP(AH42,'G-3 Multipliers'!$S$3:$T$6,2,FALSE)))</f>
        <v/>
      </c>
      <c r="AJ42" s="545" t="str">
        <f t="shared" si="7"/>
        <v/>
      </c>
      <c r="AK42" s="149"/>
      <c r="AL42" s="150"/>
      <c r="AP42" s="31" t="str">
        <f>IFERROR(INDEX('G-6 Hedgerow Data'!$BJ$3:$BJ$15,MATCH(M42,'G-6 Hedgerow Data'!$B$3:$B$15,0)),"")</f>
        <v/>
      </c>
    </row>
    <row r="43" spans="2:42" ht="13.8" x14ac:dyDescent="0.25">
      <c r="B43" s="531" t="str">
        <f>'E-1 Off Site Hedge Baseline'!AK41</f>
        <v/>
      </c>
      <c r="C43" s="520" t="str">
        <f>IF(B43="","",IF(ISNA(VLOOKUP($B43,'E-1 Off Site Hedge Baseline'!$B$1:$L$257,3,FALSE)),"",(VLOOKUP($B43,'E-1 Off Site Hedge Baseline'!$B$1:$L$257,3,FALSE))))</f>
        <v/>
      </c>
      <c r="D43" s="520" t="str">
        <f>IF(B43="","",IF(ISNA(VLOOKUP($B43,'E-1 Off Site Hedge Baseline'!$B$1:$L$258,4,FALSE)),"",(VLOOKUP($B43,'E-1 Off Site Hedge Baseline'!$B$1:$L$258,4,FALSE))))</f>
        <v/>
      </c>
      <c r="E43" s="520" t="str">
        <f>IF(B43="","",IF(ISNA(VLOOKUP($B43,'E-1 Off Site Hedge Baseline'!$B$1:$L$257,5,FALSE)),"",(VLOOKUP($B43,'E-1 Off Site Hedge Baseline'!$B$1:$L$257,5,FALSE))))</f>
        <v/>
      </c>
      <c r="F43" s="520" t="str">
        <f>IF(B43="","",IF(ISNA(VLOOKUP($B43,'E-1 Off Site Hedge Baseline'!$B$1:$L$257,6,FALSE)),"",(VLOOKUP($B43,'E-1 Off Site Hedge Baseline'!$B$1:$L$257,6,FALSE))))</f>
        <v/>
      </c>
      <c r="G43" s="520" t="str">
        <f>IF(B43="","",IF(ISNA(VLOOKUP($B43,'E-1 Off Site Hedge Baseline'!$B$1:$L$257,7,FALSE)),"",(VLOOKUP($B43,'E-1 Off Site Hedge Baseline'!$B$1:$L$257,7,FALSE))))</f>
        <v/>
      </c>
      <c r="H43" s="520" t="str">
        <f>IF(B43="","",IF(ISNA(VLOOKUP($B43,'E-1 Off Site Hedge Baseline'!$B$1:$L$257,8,FALSE)),"",(VLOOKUP($B43,'E-1 Off Site Hedge Baseline'!$B$1:$L$257,8,FALSE))))</f>
        <v/>
      </c>
      <c r="I43" s="520" t="str">
        <f>IF(B43="","",IF(ISNA(VLOOKUP($B43,'E-1 Off Site Hedge Baseline'!$B$1:$L$257,10,FALSE)),"",(VLOOKUP($B43,'E-1 Off Site Hedge Baseline'!$B$1:$L$257,10,FALSE))))</f>
        <v/>
      </c>
      <c r="J43" s="520" t="str">
        <f>IF(B43="","",IF(ISNA(VLOOKUP($B43,'E-1 Off Site Hedge Baseline'!$B$1:$L$257,11,FALSE)),"",(VLOOKUP($B43,'E-1 Off Site Hedge Baseline'!$B$1:$L$257,11,FALSE))))</f>
        <v/>
      </c>
      <c r="K43" s="520" t="str">
        <f>IF(B43="","",IF(ISNA(VLOOKUP($B43,'E-1 Off Site Hedge Baseline'!$B$1:$U$257,113,FALSE)),"",(VLOOKUP($B43,'E-1 Off Site Hedge Baseline'!$B$1:$U$257,13,FALSE))))</f>
        <v/>
      </c>
      <c r="L43" s="507" t="str">
        <f>IF(B43="","",IF(ISNA(VLOOKUP($B43,'E-1 Off Site Hedge Baseline'!$B$1:$U$257,12,FALSE)),"",(VLOOKUP($B43,'E-1 Off Site Hedge Baseline'!$B$1:$U$257,12,FALSE))))</f>
        <v/>
      </c>
      <c r="M43" s="418" t="str">
        <f t="shared" si="8"/>
        <v/>
      </c>
      <c r="N43" s="498" t="str">
        <f>IFERROR(IF(B43="","",INDEX('G-6 Hedgerow Data'!$AN$3:$AZ$15,MATCH(C43,'G-6 Hedgerow Data'!$AM$3:$AM$15,0),MATCH(M43,'G-6 Hedgerow Data'!$AN$2:$AZ$2,0))),"")</f>
        <v/>
      </c>
      <c r="O43" s="499" t="str">
        <f t="shared" si="2"/>
        <v/>
      </c>
      <c r="P43" s="505" t="str">
        <f>IF(B43="","",VLOOKUP(B43,'E-1 Off Site Hedge Baseline'!$B$10:T288,16,FALSE))</f>
        <v/>
      </c>
      <c r="Q43" s="498" t="str">
        <f>IF(M43="","",VLOOKUP(M43,'G-6 Hedgerow Data'!$B$2:$AG$15,2,FALSE))</f>
        <v/>
      </c>
      <c r="R43" s="499" t="str">
        <f>IF(M43="","",VLOOKUP(M43,'G-6 Hedgerow Data'!$B$2:$AG$15,3,FALSE))</f>
        <v/>
      </c>
      <c r="S43" s="145"/>
      <c r="T43" s="499" t="str">
        <f>IFERROR(IF(AND(Q43="V.Low",OR(S43="Good",S43="Moderate")),"Error ▲",VLOOKUP(S43,'G-1 All Habitats'!$Z$2:$AA$9,2,FALSE)),"")</f>
        <v/>
      </c>
      <c r="U43" s="145"/>
      <c r="V43" s="507" t="str">
        <f>IF(U43="","",IF(VLOOKUP(U43,'G-3 Multipliers'!$L$3:$N$6,2,FALSE)=0,"Spatial Data Missing ⚠",VLOOKUP(U43,'G-3 Multipliers'!$L$3:$N$6,2,FALSE)))</f>
        <v/>
      </c>
      <c r="W43" s="505" t="str">
        <f>IF(U43="","",IF(VLOOKUP(U43,'G-3 Multipliers'!$L$3:$N$6,3,FALSE)=0,"Spatial Data Missing ⚠",VLOOKUP(U43,'G-3 Multipliers'!$L$3:$N$6,3,FALSE)))</f>
        <v/>
      </c>
      <c r="X43" s="498"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7" t="str">
        <f t="shared" si="3"/>
        <v/>
      </c>
      <c r="AB43" s="521" t="str">
        <f t="shared" si="4"/>
        <v/>
      </c>
      <c r="AC43" s="522" t="str">
        <f t="shared" si="1"/>
        <v/>
      </c>
      <c r="AD43" s="537" t="str">
        <f>IF(M43="","",VLOOKUP(M43,'G-6 Hedgerow Data'!$B$3:$AG$15,31,FALSE))</f>
        <v/>
      </c>
      <c r="AE43" s="520" t="str">
        <f t="shared" si="5"/>
        <v/>
      </c>
      <c r="AF43" s="520" t="str">
        <f t="shared" si="6"/>
        <v/>
      </c>
      <c r="AG43" s="524" t="str">
        <f>IFERROR(IF(O43="","",VLOOKUP(AD43,'G-3 Multipliers'!$P$3:$Q$6,2,FALSE)),"")</f>
        <v/>
      </c>
      <c r="AH43" s="197"/>
      <c r="AI43" s="499" t="str">
        <f>IF(AH43="","",IF(VLOOKUP(AH43,'G-3 Multipliers'!$S$3:$T$6,2,FALSE)=0,"Spatial Data Missing ⚠",VLOOKUP(AH43,'G-3 Multipliers'!$S$3:$T$6,2,FALSE)))</f>
        <v/>
      </c>
      <c r="AJ43" s="545" t="str">
        <f t="shared" si="7"/>
        <v/>
      </c>
      <c r="AK43" s="149"/>
      <c r="AL43" s="150"/>
      <c r="AP43" s="31" t="str">
        <f>IFERROR(INDEX('G-6 Hedgerow Data'!$BJ$3:$BJ$15,MATCH(M43,'G-6 Hedgerow Data'!$B$3:$B$15,0)),"")</f>
        <v/>
      </c>
    </row>
    <row r="44" spans="2:42" ht="13.8" x14ac:dyDescent="0.25">
      <c r="B44" s="531" t="str">
        <f>'E-1 Off Site Hedge Baseline'!AK42</f>
        <v/>
      </c>
      <c r="C44" s="520" t="str">
        <f>IF(B44="","",IF(ISNA(VLOOKUP($B44,'E-1 Off Site Hedge Baseline'!$B$1:$L$257,3,FALSE)),"",(VLOOKUP($B44,'E-1 Off Site Hedge Baseline'!$B$1:$L$257,3,FALSE))))</f>
        <v/>
      </c>
      <c r="D44" s="520" t="str">
        <f>IF(B44="","",IF(ISNA(VLOOKUP($B44,'E-1 Off Site Hedge Baseline'!$B$1:$L$258,4,FALSE)),"",(VLOOKUP($B44,'E-1 Off Site Hedge Baseline'!$B$1:$L$258,4,FALSE))))</f>
        <v/>
      </c>
      <c r="E44" s="520" t="str">
        <f>IF(B44="","",IF(ISNA(VLOOKUP($B44,'E-1 Off Site Hedge Baseline'!$B$1:$L$257,5,FALSE)),"",(VLOOKUP($B44,'E-1 Off Site Hedge Baseline'!$B$1:$L$257,5,FALSE))))</f>
        <v/>
      </c>
      <c r="F44" s="520" t="str">
        <f>IF(B44="","",IF(ISNA(VLOOKUP($B44,'E-1 Off Site Hedge Baseline'!$B$1:$L$257,6,FALSE)),"",(VLOOKUP($B44,'E-1 Off Site Hedge Baseline'!$B$1:$L$257,6,FALSE))))</f>
        <v/>
      </c>
      <c r="G44" s="520" t="str">
        <f>IF(B44="","",IF(ISNA(VLOOKUP($B44,'E-1 Off Site Hedge Baseline'!$B$1:$L$257,7,FALSE)),"",(VLOOKUP($B44,'E-1 Off Site Hedge Baseline'!$B$1:$L$257,7,FALSE))))</f>
        <v/>
      </c>
      <c r="H44" s="520" t="str">
        <f>IF(B44="","",IF(ISNA(VLOOKUP($B44,'E-1 Off Site Hedge Baseline'!$B$1:$L$257,8,FALSE)),"",(VLOOKUP($B44,'E-1 Off Site Hedge Baseline'!$B$1:$L$257,8,FALSE))))</f>
        <v/>
      </c>
      <c r="I44" s="520" t="str">
        <f>IF(B44="","",IF(ISNA(VLOOKUP($B44,'E-1 Off Site Hedge Baseline'!$B$1:$L$257,10,FALSE)),"",(VLOOKUP($B44,'E-1 Off Site Hedge Baseline'!$B$1:$L$257,10,FALSE))))</f>
        <v/>
      </c>
      <c r="J44" s="520" t="str">
        <f>IF(B44="","",IF(ISNA(VLOOKUP($B44,'E-1 Off Site Hedge Baseline'!$B$1:$L$257,11,FALSE)),"",(VLOOKUP($B44,'E-1 Off Site Hedge Baseline'!$B$1:$L$257,11,FALSE))))</f>
        <v/>
      </c>
      <c r="K44" s="520" t="str">
        <f>IF(B44="","",IF(ISNA(VLOOKUP($B44,'E-1 Off Site Hedge Baseline'!$B$1:$U$257,113,FALSE)),"",(VLOOKUP($B44,'E-1 Off Site Hedge Baseline'!$B$1:$U$257,13,FALSE))))</f>
        <v/>
      </c>
      <c r="L44" s="507" t="str">
        <f>IF(B44="","",IF(ISNA(VLOOKUP($B44,'E-1 Off Site Hedge Baseline'!$B$1:$U$257,12,FALSE)),"",(VLOOKUP($B44,'E-1 Off Site Hedge Baseline'!$B$1:$U$257,12,FALSE))))</f>
        <v/>
      </c>
      <c r="M44" s="418" t="str">
        <f t="shared" si="8"/>
        <v/>
      </c>
      <c r="N44" s="498" t="str">
        <f>IFERROR(IF(B44="","",INDEX('G-6 Hedgerow Data'!$AN$3:$AZ$15,MATCH(C44,'G-6 Hedgerow Data'!$AM$3:$AM$15,0),MATCH(M44,'G-6 Hedgerow Data'!$AN$2:$AZ$2,0))),"")</f>
        <v/>
      </c>
      <c r="O44" s="499" t="str">
        <f t="shared" si="2"/>
        <v/>
      </c>
      <c r="P44" s="505" t="str">
        <f>IF(B44="","",VLOOKUP(B44,'E-1 Off Site Hedge Baseline'!$B$10:T289,16,FALSE))</f>
        <v/>
      </c>
      <c r="Q44" s="498" t="str">
        <f>IF(M44="","",VLOOKUP(M44,'G-6 Hedgerow Data'!$B$2:$AG$15,2,FALSE))</f>
        <v/>
      </c>
      <c r="R44" s="499" t="str">
        <f>IF(M44="","",VLOOKUP(M44,'G-6 Hedgerow Data'!$B$2:$AG$15,3,FALSE))</f>
        <v/>
      </c>
      <c r="S44" s="145"/>
      <c r="T44" s="499" t="str">
        <f>IFERROR(IF(AND(Q44="V.Low",OR(S44="Good",S44="Moderate")),"Error ▲",VLOOKUP(S44,'G-1 All Habitats'!$Z$2:$AA$9,2,FALSE)),"")</f>
        <v/>
      </c>
      <c r="U44" s="145"/>
      <c r="V44" s="507" t="str">
        <f>IF(U44="","",IF(VLOOKUP(U44,'G-3 Multipliers'!$L$3:$N$6,2,FALSE)=0,"Spatial Data Missing ⚠",VLOOKUP(U44,'G-3 Multipliers'!$L$3:$N$6,2,FALSE)))</f>
        <v/>
      </c>
      <c r="W44" s="505" t="str">
        <f>IF(U44="","",IF(VLOOKUP(U44,'G-3 Multipliers'!$L$3:$N$6,3,FALSE)=0,"Spatial Data Missing ⚠",VLOOKUP(U44,'G-3 Multipliers'!$L$3:$N$6,3,FALSE)))</f>
        <v/>
      </c>
      <c r="X44" s="498"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7" t="str">
        <f t="shared" si="3"/>
        <v/>
      </c>
      <c r="AB44" s="521" t="str">
        <f t="shared" si="4"/>
        <v/>
      </c>
      <c r="AC44" s="522" t="str">
        <f t="shared" si="1"/>
        <v/>
      </c>
      <c r="AD44" s="537" t="str">
        <f>IF(M44="","",VLOOKUP(M44,'G-6 Hedgerow Data'!$B$3:$AG$15,31,FALSE))</f>
        <v/>
      </c>
      <c r="AE44" s="520" t="str">
        <f t="shared" si="5"/>
        <v/>
      </c>
      <c r="AF44" s="520" t="str">
        <f t="shared" si="6"/>
        <v/>
      </c>
      <c r="AG44" s="524" t="str">
        <f>IFERROR(IF(O44="","",VLOOKUP(AD44,'G-3 Multipliers'!$P$3:$Q$6,2,FALSE)),"")</f>
        <v/>
      </c>
      <c r="AH44" s="197"/>
      <c r="AI44" s="499" t="str">
        <f>IF(AH44="","",IF(VLOOKUP(AH44,'G-3 Multipliers'!$S$3:$T$6,2,FALSE)=0,"Spatial Data Missing ⚠",VLOOKUP(AH44,'G-3 Multipliers'!$S$3:$T$6,2,FALSE)))</f>
        <v/>
      </c>
      <c r="AJ44" s="545" t="str">
        <f t="shared" si="7"/>
        <v/>
      </c>
      <c r="AK44" s="149"/>
      <c r="AL44" s="150"/>
      <c r="AP44" s="31" t="str">
        <f>IFERROR(INDEX('G-6 Hedgerow Data'!$BJ$3:$BJ$15,MATCH(M44,'G-6 Hedgerow Data'!$B$3:$B$15,0)),"")</f>
        <v/>
      </c>
    </row>
    <row r="45" spans="2:42" ht="13.8" x14ac:dyDescent="0.25">
      <c r="B45" s="531" t="str">
        <f>'E-1 Off Site Hedge Baseline'!AK43</f>
        <v/>
      </c>
      <c r="C45" s="520" t="str">
        <f>IF(B45="","",IF(ISNA(VLOOKUP($B45,'E-1 Off Site Hedge Baseline'!$B$1:$L$257,3,FALSE)),"",(VLOOKUP($B45,'E-1 Off Site Hedge Baseline'!$B$1:$L$257,3,FALSE))))</f>
        <v/>
      </c>
      <c r="D45" s="520" t="str">
        <f>IF(B45="","",IF(ISNA(VLOOKUP($B45,'E-1 Off Site Hedge Baseline'!$B$1:$L$258,4,FALSE)),"",(VLOOKUP($B45,'E-1 Off Site Hedge Baseline'!$B$1:$L$258,4,FALSE))))</f>
        <v/>
      </c>
      <c r="E45" s="520" t="str">
        <f>IF(B45="","",IF(ISNA(VLOOKUP($B45,'E-1 Off Site Hedge Baseline'!$B$1:$L$257,5,FALSE)),"",(VLOOKUP($B45,'E-1 Off Site Hedge Baseline'!$B$1:$L$257,5,FALSE))))</f>
        <v/>
      </c>
      <c r="F45" s="520" t="str">
        <f>IF(B45="","",IF(ISNA(VLOOKUP($B45,'E-1 Off Site Hedge Baseline'!$B$1:$L$257,6,FALSE)),"",(VLOOKUP($B45,'E-1 Off Site Hedge Baseline'!$B$1:$L$257,6,FALSE))))</f>
        <v/>
      </c>
      <c r="G45" s="520" t="str">
        <f>IF(B45="","",IF(ISNA(VLOOKUP($B45,'E-1 Off Site Hedge Baseline'!$B$1:$L$257,7,FALSE)),"",(VLOOKUP($B45,'E-1 Off Site Hedge Baseline'!$B$1:$L$257,7,FALSE))))</f>
        <v/>
      </c>
      <c r="H45" s="520" t="str">
        <f>IF(B45="","",IF(ISNA(VLOOKUP($B45,'E-1 Off Site Hedge Baseline'!$B$1:$L$257,8,FALSE)),"",(VLOOKUP($B45,'E-1 Off Site Hedge Baseline'!$B$1:$L$257,8,FALSE))))</f>
        <v/>
      </c>
      <c r="I45" s="520" t="str">
        <f>IF(B45="","",IF(ISNA(VLOOKUP($B45,'E-1 Off Site Hedge Baseline'!$B$1:$L$257,10,FALSE)),"",(VLOOKUP($B45,'E-1 Off Site Hedge Baseline'!$B$1:$L$257,10,FALSE))))</f>
        <v/>
      </c>
      <c r="J45" s="520" t="str">
        <f>IF(B45="","",IF(ISNA(VLOOKUP($B45,'E-1 Off Site Hedge Baseline'!$B$1:$L$257,11,FALSE)),"",(VLOOKUP($B45,'E-1 Off Site Hedge Baseline'!$B$1:$L$257,11,FALSE))))</f>
        <v/>
      </c>
      <c r="K45" s="520" t="str">
        <f>IF(B45="","",IF(ISNA(VLOOKUP($B45,'E-1 Off Site Hedge Baseline'!$B$1:$U$257,113,FALSE)),"",(VLOOKUP($B45,'E-1 Off Site Hedge Baseline'!$B$1:$U$257,13,FALSE))))</f>
        <v/>
      </c>
      <c r="L45" s="507" t="str">
        <f>IF(B45="","",IF(ISNA(VLOOKUP($B45,'E-1 Off Site Hedge Baseline'!$B$1:$U$257,12,FALSE)),"",(VLOOKUP($B45,'E-1 Off Site Hedge Baseline'!$B$1:$U$257,12,FALSE))))</f>
        <v/>
      </c>
      <c r="M45" s="418" t="str">
        <f t="shared" si="8"/>
        <v/>
      </c>
      <c r="N45" s="498" t="str">
        <f>IFERROR(IF(B45="","",INDEX('G-6 Hedgerow Data'!$AN$3:$AZ$15,MATCH(C45,'G-6 Hedgerow Data'!$AM$3:$AM$15,0),MATCH(M45,'G-6 Hedgerow Data'!$AN$2:$AZ$2,0))),"")</f>
        <v/>
      </c>
      <c r="O45" s="499" t="str">
        <f t="shared" si="2"/>
        <v/>
      </c>
      <c r="P45" s="505" t="str">
        <f>IF(B45="","",VLOOKUP(B45,'E-1 Off Site Hedge Baseline'!$B$10:T290,16,FALSE))</f>
        <v/>
      </c>
      <c r="Q45" s="498" t="str">
        <f>IF(M45="","",VLOOKUP(M45,'G-6 Hedgerow Data'!$B$2:$AG$15,2,FALSE))</f>
        <v/>
      </c>
      <c r="R45" s="499" t="str">
        <f>IF(M45="","",VLOOKUP(M45,'G-6 Hedgerow Data'!$B$2:$AG$15,3,FALSE))</f>
        <v/>
      </c>
      <c r="S45" s="145"/>
      <c r="T45" s="499" t="str">
        <f>IFERROR(IF(AND(Q45="V.Low",OR(S45="Good",S45="Moderate")),"Error ▲",VLOOKUP(S45,'G-1 All Habitats'!$Z$2:$AA$9,2,FALSE)),"")</f>
        <v/>
      </c>
      <c r="U45" s="145"/>
      <c r="V45" s="507" t="str">
        <f>IF(U45="","",IF(VLOOKUP(U45,'G-3 Multipliers'!$L$3:$N$6,2,FALSE)=0,"Spatial Data Missing ⚠",VLOOKUP(U45,'G-3 Multipliers'!$L$3:$N$6,2,FALSE)))</f>
        <v/>
      </c>
      <c r="W45" s="505" t="str">
        <f>IF(U45="","",IF(VLOOKUP(U45,'G-3 Multipliers'!$L$3:$N$6,3,FALSE)=0,"Spatial Data Missing ⚠",VLOOKUP(U45,'G-3 Multipliers'!$L$3:$N$6,3,FALSE)))</f>
        <v/>
      </c>
      <c r="X45" s="498"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7" t="str">
        <f t="shared" si="3"/>
        <v/>
      </c>
      <c r="AB45" s="521" t="str">
        <f t="shared" si="4"/>
        <v/>
      </c>
      <c r="AC45" s="522" t="str">
        <f t="shared" si="1"/>
        <v/>
      </c>
      <c r="AD45" s="537" t="str">
        <f>IF(M45="","",VLOOKUP(M45,'G-6 Hedgerow Data'!$B$3:$AG$15,31,FALSE))</f>
        <v/>
      </c>
      <c r="AE45" s="520" t="str">
        <f t="shared" si="5"/>
        <v/>
      </c>
      <c r="AF45" s="520" t="str">
        <f t="shared" si="6"/>
        <v/>
      </c>
      <c r="AG45" s="524" t="str">
        <f>IFERROR(IF(O45="","",VLOOKUP(AD45,'G-3 Multipliers'!$P$3:$Q$6,2,FALSE)),"")</f>
        <v/>
      </c>
      <c r="AH45" s="197"/>
      <c r="AI45" s="499" t="str">
        <f>IF(AH45="","",IF(VLOOKUP(AH45,'G-3 Multipliers'!$S$3:$T$6,2,FALSE)=0,"Spatial Data Missing ⚠",VLOOKUP(AH45,'G-3 Multipliers'!$S$3:$T$6,2,FALSE)))</f>
        <v/>
      </c>
      <c r="AJ45" s="545" t="str">
        <f t="shared" si="7"/>
        <v/>
      </c>
      <c r="AK45" s="149"/>
      <c r="AL45" s="150"/>
      <c r="AP45" s="31" t="str">
        <f>IFERROR(INDEX('G-6 Hedgerow Data'!$BJ$3:$BJ$15,MATCH(M45,'G-6 Hedgerow Data'!$B$3:$B$15,0)),"")</f>
        <v/>
      </c>
    </row>
    <row r="46" spans="2:42" ht="13.8" x14ac:dyDescent="0.25">
      <c r="B46" s="531" t="str">
        <f>'E-1 Off Site Hedge Baseline'!AK44</f>
        <v/>
      </c>
      <c r="C46" s="520" t="str">
        <f>IF(B46="","",IF(ISNA(VLOOKUP($B46,'E-1 Off Site Hedge Baseline'!$B$1:$L$257,3,FALSE)),"",(VLOOKUP($B46,'E-1 Off Site Hedge Baseline'!$B$1:$L$257,3,FALSE))))</f>
        <v/>
      </c>
      <c r="D46" s="520" t="str">
        <f>IF(B46="","",IF(ISNA(VLOOKUP($B46,'E-1 Off Site Hedge Baseline'!$B$1:$L$258,4,FALSE)),"",(VLOOKUP($B46,'E-1 Off Site Hedge Baseline'!$B$1:$L$258,4,FALSE))))</f>
        <v/>
      </c>
      <c r="E46" s="520" t="str">
        <f>IF(B46="","",IF(ISNA(VLOOKUP($B46,'E-1 Off Site Hedge Baseline'!$B$1:$L$257,5,FALSE)),"",(VLOOKUP($B46,'E-1 Off Site Hedge Baseline'!$B$1:$L$257,5,FALSE))))</f>
        <v/>
      </c>
      <c r="F46" s="520" t="str">
        <f>IF(B46="","",IF(ISNA(VLOOKUP($B46,'E-1 Off Site Hedge Baseline'!$B$1:$L$257,6,FALSE)),"",(VLOOKUP($B46,'E-1 Off Site Hedge Baseline'!$B$1:$L$257,6,FALSE))))</f>
        <v/>
      </c>
      <c r="G46" s="520" t="str">
        <f>IF(B46="","",IF(ISNA(VLOOKUP($B46,'E-1 Off Site Hedge Baseline'!$B$1:$L$257,7,FALSE)),"",(VLOOKUP($B46,'E-1 Off Site Hedge Baseline'!$B$1:$L$257,7,FALSE))))</f>
        <v/>
      </c>
      <c r="H46" s="520" t="str">
        <f>IF(B46="","",IF(ISNA(VLOOKUP($B46,'E-1 Off Site Hedge Baseline'!$B$1:$L$257,8,FALSE)),"",(VLOOKUP($B46,'E-1 Off Site Hedge Baseline'!$B$1:$L$257,8,FALSE))))</f>
        <v/>
      </c>
      <c r="I46" s="520" t="str">
        <f>IF(B46="","",IF(ISNA(VLOOKUP($B46,'E-1 Off Site Hedge Baseline'!$B$1:$L$257,10,FALSE)),"",(VLOOKUP($B46,'E-1 Off Site Hedge Baseline'!$B$1:$L$257,10,FALSE))))</f>
        <v/>
      </c>
      <c r="J46" s="520" t="str">
        <f>IF(B46="","",IF(ISNA(VLOOKUP($B46,'E-1 Off Site Hedge Baseline'!$B$1:$L$257,11,FALSE)),"",(VLOOKUP($B46,'E-1 Off Site Hedge Baseline'!$B$1:$L$257,11,FALSE))))</f>
        <v/>
      </c>
      <c r="K46" s="520" t="str">
        <f>IF(B46="","",IF(ISNA(VLOOKUP($B46,'E-1 Off Site Hedge Baseline'!$B$1:$U$257,113,FALSE)),"",(VLOOKUP($B46,'E-1 Off Site Hedge Baseline'!$B$1:$U$257,13,FALSE))))</f>
        <v/>
      </c>
      <c r="L46" s="507" t="str">
        <f>IF(B46="","",IF(ISNA(VLOOKUP($B46,'E-1 Off Site Hedge Baseline'!$B$1:$U$257,12,FALSE)),"",(VLOOKUP($B46,'E-1 Off Site Hedge Baseline'!$B$1:$U$257,12,FALSE))))</f>
        <v/>
      </c>
      <c r="M46" s="418" t="str">
        <f t="shared" si="8"/>
        <v/>
      </c>
      <c r="N46" s="498" t="str">
        <f>IFERROR(IF(B46="","",INDEX('G-6 Hedgerow Data'!$AN$3:$AZ$15,MATCH(C46,'G-6 Hedgerow Data'!$AM$3:$AM$15,0),MATCH(M46,'G-6 Hedgerow Data'!$AN$2:$AZ$2,0))),"")</f>
        <v/>
      </c>
      <c r="O46" s="499" t="str">
        <f t="shared" si="2"/>
        <v/>
      </c>
      <c r="P46" s="505" t="str">
        <f>IF(B46="","",VLOOKUP(B46,'E-1 Off Site Hedge Baseline'!$B$10:T291,16,FALSE))</f>
        <v/>
      </c>
      <c r="Q46" s="498" t="str">
        <f>IF(M46="","",VLOOKUP(M46,'G-6 Hedgerow Data'!$B$2:$AG$15,2,FALSE))</f>
        <v/>
      </c>
      <c r="R46" s="499" t="str">
        <f>IF(M46="","",VLOOKUP(M46,'G-6 Hedgerow Data'!$B$2:$AG$15,3,FALSE))</f>
        <v/>
      </c>
      <c r="S46" s="145"/>
      <c r="T46" s="499" t="str">
        <f>IFERROR(IF(AND(Q46="V.Low",OR(S46="Good",S46="Moderate")),"Error ▲",VLOOKUP(S46,'G-1 All Habitats'!$Z$2:$AA$9,2,FALSE)),"")</f>
        <v/>
      </c>
      <c r="U46" s="145"/>
      <c r="V46" s="507" t="str">
        <f>IF(U46="","",IF(VLOOKUP(U46,'G-3 Multipliers'!$L$3:$N$6,2,FALSE)=0,"Spatial Data Missing ⚠",VLOOKUP(U46,'G-3 Multipliers'!$L$3:$N$6,2,FALSE)))</f>
        <v/>
      </c>
      <c r="W46" s="505" t="str">
        <f>IF(U46="","",IF(VLOOKUP(U46,'G-3 Multipliers'!$L$3:$N$6,3,FALSE)=0,"Spatial Data Missing ⚠",VLOOKUP(U46,'G-3 Multipliers'!$L$3:$N$6,3,FALSE)))</f>
        <v/>
      </c>
      <c r="X46" s="498"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7" t="str">
        <f t="shared" si="3"/>
        <v/>
      </c>
      <c r="AB46" s="521" t="str">
        <f t="shared" si="4"/>
        <v/>
      </c>
      <c r="AC46" s="522" t="str">
        <f t="shared" si="1"/>
        <v/>
      </c>
      <c r="AD46" s="537" t="str">
        <f>IF(M46="","",VLOOKUP(M46,'G-6 Hedgerow Data'!$B$3:$AG$15,31,FALSE))</f>
        <v/>
      </c>
      <c r="AE46" s="520" t="str">
        <f t="shared" si="5"/>
        <v/>
      </c>
      <c r="AF46" s="520" t="str">
        <f t="shared" si="6"/>
        <v/>
      </c>
      <c r="AG46" s="524" t="str">
        <f>IFERROR(IF(O46="","",VLOOKUP(AD46,'G-3 Multipliers'!$P$3:$Q$6,2,FALSE)),"")</f>
        <v/>
      </c>
      <c r="AH46" s="197"/>
      <c r="AI46" s="499" t="str">
        <f>IF(AH46="","",IF(VLOOKUP(AH46,'G-3 Multipliers'!$S$3:$T$6,2,FALSE)=0,"Spatial Data Missing ⚠",VLOOKUP(AH46,'G-3 Multipliers'!$S$3:$T$6,2,FALSE)))</f>
        <v/>
      </c>
      <c r="AJ46" s="545" t="str">
        <f t="shared" si="7"/>
        <v/>
      </c>
      <c r="AK46" s="149"/>
      <c r="AL46" s="150"/>
      <c r="AP46" s="31" t="str">
        <f>IFERROR(INDEX('G-6 Hedgerow Data'!$BJ$3:$BJ$15,MATCH(M46,'G-6 Hedgerow Data'!$B$3:$B$15,0)),"")</f>
        <v/>
      </c>
    </row>
    <row r="47" spans="2:42" ht="13.8" x14ac:dyDescent="0.25">
      <c r="B47" s="531" t="str">
        <f>'E-1 Off Site Hedge Baseline'!AK45</f>
        <v/>
      </c>
      <c r="C47" s="520" t="str">
        <f>IF(B47="","",IF(ISNA(VLOOKUP($B47,'E-1 Off Site Hedge Baseline'!$B$1:$L$257,3,FALSE)),"",(VLOOKUP($B47,'E-1 Off Site Hedge Baseline'!$B$1:$L$257,3,FALSE))))</f>
        <v/>
      </c>
      <c r="D47" s="520" t="str">
        <f>IF(B47="","",IF(ISNA(VLOOKUP($B47,'E-1 Off Site Hedge Baseline'!$B$1:$L$258,4,FALSE)),"",(VLOOKUP($B47,'E-1 Off Site Hedge Baseline'!$B$1:$L$258,4,FALSE))))</f>
        <v/>
      </c>
      <c r="E47" s="520" t="str">
        <f>IF(B47="","",IF(ISNA(VLOOKUP($B47,'E-1 Off Site Hedge Baseline'!$B$1:$L$257,5,FALSE)),"",(VLOOKUP($B47,'E-1 Off Site Hedge Baseline'!$B$1:$L$257,5,FALSE))))</f>
        <v/>
      </c>
      <c r="F47" s="520" t="str">
        <f>IF(B47="","",IF(ISNA(VLOOKUP($B47,'E-1 Off Site Hedge Baseline'!$B$1:$L$257,6,FALSE)),"",(VLOOKUP($B47,'E-1 Off Site Hedge Baseline'!$B$1:$L$257,6,FALSE))))</f>
        <v/>
      </c>
      <c r="G47" s="520" t="str">
        <f>IF(B47="","",IF(ISNA(VLOOKUP($B47,'E-1 Off Site Hedge Baseline'!$B$1:$L$257,7,FALSE)),"",(VLOOKUP($B47,'E-1 Off Site Hedge Baseline'!$B$1:$L$257,7,FALSE))))</f>
        <v/>
      </c>
      <c r="H47" s="520" t="str">
        <f>IF(B47="","",IF(ISNA(VLOOKUP($B47,'E-1 Off Site Hedge Baseline'!$B$1:$L$257,8,FALSE)),"",(VLOOKUP($B47,'E-1 Off Site Hedge Baseline'!$B$1:$L$257,8,FALSE))))</f>
        <v/>
      </c>
      <c r="I47" s="520" t="str">
        <f>IF(B47="","",IF(ISNA(VLOOKUP($B47,'E-1 Off Site Hedge Baseline'!$B$1:$L$257,10,FALSE)),"",(VLOOKUP($B47,'E-1 Off Site Hedge Baseline'!$B$1:$L$257,10,FALSE))))</f>
        <v/>
      </c>
      <c r="J47" s="520" t="str">
        <f>IF(B47="","",IF(ISNA(VLOOKUP($B47,'E-1 Off Site Hedge Baseline'!$B$1:$L$257,11,FALSE)),"",(VLOOKUP($B47,'E-1 Off Site Hedge Baseline'!$B$1:$L$257,11,FALSE))))</f>
        <v/>
      </c>
      <c r="K47" s="520" t="str">
        <f>IF(B47="","",IF(ISNA(VLOOKUP($B47,'E-1 Off Site Hedge Baseline'!$B$1:$U$257,113,FALSE)),"",(VLOOKUP($B47,'E-1 Off Site Hedge Baseline'!$B$1:$U$257,13,FALSE))))</f>
        <v/>
      </c>
      <c r="L47" s="507" t="str">
        <f>IF(B47="","",IF(ISNA(VLOOKUP($B47,'E-1 Off Site Hedge Baseline'!$B$1:$U$257,12,FALSE)),"",(VLOOKUP($B47,'E-1 Off Site Hedge Baseline'!$B$1:$U$257,12,FALSE))))</f>
        <v/>
      </c>
      <c r="M47" s="418" t="str">
        <f t="shared" si="8"/>
        <v/>
      </c>
      <c r="N47" s="498" t="str">
        <f>IFERROR(IF(B47="","",INDEX('G-6 Hedgerow Data'!$AN$3:$AZ$15,MATCH(C47,'G-6 Hedgerow Data'!$AM$3:$AM$15,0),MATCH(M47,'G-6 Hedgerow Data'!$AN$2:$AZ$2,0))),"")</f>
        <v/>
      </c>
      <c r="O47" s="499" t="str">
        <f t="shared" si="2"/>
        <v/>
      </c>
      <c r="P47" s="505" t="str">
        <f>IF(B47="","",VLOOKUP(B47,'E-1 Off Site Hedge Baseline'!$B$10:T292,16,FALSE))</f>
        <v/>
      </c>
      <c r="Q47" s="498" t="str">
        <f>IF(M47="","",VLOOKUP(M47,'G-6 Hedgerow Data'!$B$2:$AG$15,2,FALSE))</f>
        <v/>
      </c>
      <c r="R47" s="499" t="str">
        <f>IF(M47="","",VLOOKUP(M47,'G-6 Hedgerow Data'!$B$2:$AG$15,3,FALSE))</f>
        <v/>
      </c>
      <c r="S47" s="145"/>
      <c r="T47" s="499" t="str">
        <f>IFERROR(IF(AND(Q47="V.Low",OR(S47="Good",S47="Moderate")),"Error ▲",VLOOKUP(S47,'G-1 All Habitats'!$Z$2:$AA$9,2,FALSE)),"")</f>
        <v/>
      </c>
      <c r="U47" s="145"/>
      <c r="V47" s="507" t="str">
        <f>IF(U47="","",IF(VLOOKUP(U47,'G-3 Multipliers'!$L$3:$N$6,2,FALSE)=0,"Spatial Data Missing ⚠",VLOOKUP(U47,'G-3 Multipliers'!$L$3:$N$6,2,FALSE)))</f>
        <v/>
      </c>
      <c r="W47" s="505" t="str">
        <f>IF(U47="","",IF(VLOOKUP(U47,'G-3 Multipliers'!$L$3:$N$6,3,FALSE)=0,"Spatial Data Missing ⚠",VLOOKUP(U47,'G-3 Multipliers'!$L$3:$N$6,3,FALSE)))</f>
        <v/>
      </c>
      <c r="X47" s="498"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7" t="str">
        <f t="shared" si="3"/>
        <v/>
      </c>
      <c r="AB47" s="521" t="str">
        <f t="shared" si="4"/>
        <v/>
      </c>
      <c r="AC47" s="522" t="str">
        <f t="shared" si="1"/>
        <v/>
      </c>
      <c r="AD47" s="537" t="str">
        <f>IF(M47="","",VLOOKUP(M47,'G-6 Hedgerow Data'!$B$3:$AG$15,31,FALSE))</f>
        <v/>
      </c>
      <c r="AE47" s="520" t="str">
        <f t="shared" si="5"/>
        <v/>
      </c>
      <c r="AF47" s="520" t="str">
        <f t="shared" si="6"/>
        <v/>
      </c>
      <c r="AG47" s="524" t="str">
        <f>IFERROR(IF(O47="","",VLOOKUP(AD47,'G-3 Multipliers'!$P$3:$Q$6,2,FALSE)),"")</f>
        <v/>
      </c>
      <c r="AH47" s="197"/>
      <c r="AI47" s="499" t="str">
        <f>IF(AH47="","",IF(VLOOKUP(AH47,'G-3 Multipliers'!$S$3:$T$6,2,FALSE)=0,"Spatial Data Missing ⚠",VLOOKUP(AH47,'G-3 Multipliers'!$S$3:$T$6,2,FALSE)))</f>
        <v/>
      </c>
      <c r="AJ47" s="545" t="str">
        <f t="shared" si="7"/>
        <v/>
      </c>
      <c r="AK47" s="149"/>
      <c r="AL47" s="150"/>
      <c r="AP47" s="31" t="str">
        <f>IFERROR(INDEX('G-6 Hedgerow Data'!$BJ$3:$BJ$15,MATCH(M47,'G-6 Hedgerow Data'!$B$3:$B$15,0)),"")</f>
        <v/>
      </c>
    </row>
    <row r="48" spans="2:42" ht="13.8" x14ac:dyDescent="0.25">
      <c r="B48" s="531" t="str">
        <f>'E-1 Off Site Hedge Baseline'!AK46</f>
        <v/>
      </c>
      <c r="C48" s="520" t="str">
        <f>IF(B48="","",IF(ISNA(VLOOKUP($B48,'E-1 Off Site Hedge Baseline'!$B$1:$L$257,3,FALSE)),"",(VLOOKUP($B48,'E-1 Off Site Hedge Baseline'!$B$1:$L$257,3,FALSE))))</f>
        <v/>
      </c>
      <c r="D48" s="520" t="str">
        <f>IF(B48="","",IF(ISNA(VLOOKUP($B48,'E-1 Off Site Hedge Baseline'!$B$1:$L$258,4,FALSE)),"",(VLOOKUP($B48,'E-1 Off Site Hedge Baseline'!$B$1:$L$258,4,FALSE))))</f>
        <v/>
      </c>
      <c r="E48" s="520" t="str">
        <f>IF(B48="","",IF(ISNA(VLOOKUP($B48,'E-1 Off Site Hedge Baseline'!$B$1:$L$257,5,FALSE)),"",(VLOOKUP($B48,'E-1 Off Site Hedge Baseline'!$B$1:$L$257,5,FALSE))))</f>
        <v/>
      </c>
      <c r="F48" s="520" t="str">
        <f>IF(B48="","",IF(ISNA(VLOOKUP($B48,'E-1 Off Site Hedge Baseline'!$B$1:$L$257,6,FALSE)),"",(VLOOKUP($B48,'E-1 Off Site Hedge Baseline'!$B$1:$L$257,6,FALSE))))</f>
        <v/>
      </c>
      <c r="G48" s="520" t="str">
        <f>IF(B48="","",IF(ISNA(VLOOKUP($B48,'E-1 Off Site Hedge Baseline'!$B$1:$L$257,7,FALSE)),"",(VLOOKUP($B48,'E-1 Off Site Hedge Baseline'!$B$1:$L$257,7,FALSE))))</f>
        <v/>
      </c>
      <c r="H48" s="520" t="str">
        <f>IF(B48="","",IF(ISNA(VLOOKUP($B48,'E-1 Off Site Hedge Baseline'!$B$1:$L$257,8,FALSE)),"",(VLOOKUP($B48,'E-1 Off Site Hedge Baseline'!$B$1:$L$257,8,FALSE))))</f>
        <v/>
      </c>
      <c r="I48" s="520" t="str">
        <f>IF(B48="","",IF(ISNA(VLOOKUP($B48,'E-1 Off Site Hedge Baseline'!$B$1:$L$257,10,FALSE)),"",(VLOOKUP($B48,'E-1 Off Site Hedge Baseline'!$B$1:$L$257,10,FALSE))))</f>
        <v/>
      </c>
      <c r="J48" s="520" t="str">
        <f>IF(B48="","",IF(ISNA(VLOOKUP($B48,'E-1 Off Site Hedge Baseline'!$B$1:$L$257,11,FALSE)),"",(VLOOKUP($B48,'E-1 Off Site Hedge Baseline'!$B$1:$L$257,11,FALSE))))</f>
        <v/>
      </c>
      <c r="K48" s="520" t="str">
        <f>IF(B48="","",IF(ISNA(VLOOKUP($B48,'E-1 Off Site Hedge Baseline'!$B$1:$U$257,113,FALSE)),"",(VLOOKUP($B48,'E-1 Off Site Hedge Baseline'!$B$1:$U$257,13,FALSE))))</f>
        <v/>
      </c>
      <c r="L48" s="507" t="str">
        <f>IF(B48="","",IF(ISNA(VLOOKUP($B48,'E-1 Off Site Hedge Baseline'!$B$1:$U$257,12,FALSE)),"",(VLOOKUP($B48,'E-1 Off Site Hedge Baseline'!$B$1:$U$257,12,FALSE))))</f>
        <v/>
      </c>
      <c r="M48" s="418" t="str">
        <f t="shared" si="8"/>
        <v/>
      </c>
      <c r="N48" s="498" t="str">
        <f>IFERROR(IF(B48="","",INDEX('G-6 Hedgerow Data'!$AN$3:$AZ$15,MATCH(C48,'G-6 Hedgerow Data'!$AM$3:$AM$15,0),MATCH(M48,'G-6 Hedgerow Data'!$AN$2:$AZ$2,0))),"")</f>
        <v/>
      </c>
      <c r="O48" s="499" t="str">
        <f t="shared" si="2"/>
        <v/>
      </c>
      <c r="P48" s="505" t="str">
        <f>IF(B48="","",VLOOKUP(B48,'E-1 Off Site Hedge Baseline'!$B$10:T293,16,FALSE))</f>
        <v/>
      </c>
      <c r="Q48" s="498" t="str">
        <f>IF(M48="","",VLOOKUP(M48,'G-6 Hedgerow Data'!$B$2:$AG$15,2,FALSE))</f>
        <v/>
      </c>
      <c r="R48" s="499" t="str">
        <f>IF(M48="","",VLOOKUP(M48,'G-6 Hedgerow Data'!$B$2:$AG$15,3,FALSE))</f>
        <v/>
      </c>
      <c r="S48" s="145"/>
      <c r="T48" s="499" t="str">
        <f>IFERROR(IF(AND(Q48="V.Low",OR(S48="Good",S48="Moderate")),"Error ▲",VLOOKUP(S48,'G-1 All Habitats'!$Z$2:$AA$9,2,FALSE)),"")</f>
        <v/>
      </c>
      <c r="U48" s="145"/>
      <c r="V48" s="507" t="str">
        <f>IF(U48="","",IF(VLOOKUP(U48,'G-3 Multipliers'!$L$3:$N$6,2,FALSE)=0,"Spatial Data Missing ⚠",VLOOKUP(U48,'G-3 Multipliers'!$L$3:$N$6,2,FALSE)))</f>
        <v/>
      </c>
      <c r="W48" s="505" t="str">
        <f>IF(U48="","",IF(VLOOKUP(U48,'G-3 Multipliers'!$L$3:$N$6,3,FALSE)=0,"Spatial Data Missing ⚠",VLOOKUP(U48,'G-3 Multipliers'!$L$3:$N$6,3,FALSE)))</f>
        <v/>
      </c>
      <c r="X48" s="498"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7" t="str">
        <f t="shared" si="3"/>
        <v/>
      </c>
      <c r="AB48" s="521" t="str">
        <f t="shared" si="4"/>
        <v/>
      </c>
      <c r="AC48" s="522" t="str">
        <f t="shared" si="1"/>
        <v/>
      </c>
      <c r="AD48" s="537" t="str">
        <f>IF(M48="","",VLOOKUP(M48,'G-6 Hedgerow Data'!$B$3:$AG$15,31,FALSE))</f>
        <v/>
      </c>
      <c r="AE48" s="520" t="str">
        <f t="shared" si="5"/>
        <v/>
      </c>
      <c r="AF48" s="520" t="str">
        <f t="shared" si="6"/>
        <v/>
      </c>
      <c r="AG48" s="524" t="str">
        <f>IFERROR(IF(O48="","",VLOOKUP(AD48,'G-3 Multipliers'!$P$3:$Q$6,2,FALSE)),"")</f>
        <v/>
      </c>
      <c r="AH48" s="197"/>
      <c r="AI48" s="499" t="str">
        <f>IF(AH48="","",IF(VLOOKUP(AH48,'G-3 Multipliers'!$S$3:$T$6,2,FALSE)=0,"Spatial Data Missing ⚠",VLOOKUP(AH48,'G-3 Multipliers'!$S$3:$T$6,2,FALSE)))</f>
        <v/>
      </c>
      <c r="AJ48" s="545" t="str">
        <f t="shared" si="7"/>
        <v/>
      </c>
      <c r="AK48" s="149"/>
      <c r="AL48" s="150"/>
      <c r="AP48" s="31" t="str">
        <f>IFERROR(INDEX('G-6 Hedgerow Data'!$BJ$3:$BJ$15,MATCH(M48,'G-6 Hedgerow Data'!$B$3:$B$15,0)),"")</f>
        <v/>
      </c>
    </row>
    <row r="49" spans="2:42" ht="13.8" x14ac:dyDescent="0.25">
      <c r="B49" s="531" t="str">
        <f>'E-1 Off Site Hedge Baseline'!AK47</f>
        <v/>
      </c>
      <c r="C49" s="520" t="str">
        <f>IF(B49="","",IF(ISNA(VLOOKUP($B49,'E-1 Off Site Hedge Baseline'!$B$1:$L$257,3,FALSE)),"",(VLOOKUP($B49,'E-1 Off Site Hedge Baseline'!$B$1:$L$257,3,FALSE))))</f>
        <v/>
      </c>
      <c r="D49" s="520" t="str">
        <f>IF(B49="","",IF(ISNA(VLOOKUP($B49,'E-1 Off Site Hedge Baseline'!$B$1:$L$258,4,FALSE)),"",(VLOOKUP($B49,'E-1 Off Site Hedge Baseline'!$B$1:$L$258,4,FALSE))))</f>
        <v/>
      </c>
      <c r="E49" s="520" t="str">
        <f>IF(B49="","",IF(ISNA(VLOOKUP($B49,'E-1 Off Site Hedge Baseline'!$B$1:$L$257,5,FALSE)),"",(VLOOKUP($B49,'E-1 Off Site Hedge Baseline'!$B$1:$L$257,5,FALSE))))</f>
        <v/>
      </c>
      <c r="F49" s="520" t="str">
        <f>IF(B49="","",IF(ISNA(VLOOKUP($B49,'E-1 Off Site Hedge Baseline'!$B$1:$L$257,6,FALSE)),"",(VLOOKUP($B49,'E-1 Off Site Hedge Baseline'!$B$1:$L$257,6,FALSE))))</f>
        <v/>
      </c>
      <c r="G49" s="520" t="str">
        <f>IF(B49="","",IF(ISNA(VLOOKUP($B49,'E-1 Off Site Hedge Baseline'!$B$1:$L$257,7,FALSE)),"",(VLOOKUP($B49,'E-1 Off Site Hedge Baseline'!$B$1:$L$257,7,FALSE))))</f>
        <v/>
      </c>
      <c r="H49" s="520" t="str">
        <f>IF(B49="","",IF(ISNA(VLOOKUP($B49,'E-1 Off Site Hedge Baseline'!$B$1:$L$257,8,FALSE)),"",(VLOOKUP($B49,'E-1 Off Site Hedge Baseline'!$B$1:$L$257,8,FALSE))))</f>
        <v/>
      </c>
      <c r="I49" s="520" t="str">
        <f>IF(B49="","",IF(ISNA(VLOOKUP($B49,'E-1 Off Site Hedge Baseline'!$B$1:$L$257,10,FALSE)),"",(VLOOKUP($B49,'E-1 Off Site Hedge Baseline'!$B$1:$L$257,10,FALSE))))</f>
        <v/>
      </c>
      <c r="J49" s="520" t="str">
        <f>IF(B49="","",IF(ISNA(VLOOKUP($B49,'E-1 Off Site Hedge Baseline'!$B$1:$L$257,11,FALSE)),"",(VLOOKUP($B49,'E-1 Off Site Hedge Baseline'!$B$1:$L$257,11,FALSE))))</f>
        <v/>
      </c>
      <c r="K49" s="520" t="str">
        <f>IF(B49="","",IF(ISNA(VLOOKUP($B49,'E-1 Off Site Hedge Baseline'!$B$1:$U$257,113,FALSE)),"",(VLOOKUP($B49,'E-1 Off Site Hedge Baseline'!$B$1:$U$257,13,FALSE))))</f>
        <v/>
      </c>
      <c r="L49" s="507" t="str">
        <f>IF(B49="","",IF(ISNA(VLOOKUP($B49,'E-1 Off Site Hedge Baseline'!$B$1:$U$257,12,FALSE)),"",(VLOOKUP($B49,'E-1 Off Site Hedge Baseline'!$B$1:$U$257,12,FALSE))))</f>
        <v/>
      </c>
      <c r="M49" s="418" t="str">
        <f t="shared" si="8"/>
        <v/>
      </c>
      <c r="N49" s="498" t="str">
        <f>IFERROR(IF(B49="","",INDEX('G-6 Hedgerow Data'!$AN$3:$AZ$15,MATCH(C49,'G-6 Hedgerow Data'!$AM$3:$AM$15,0),MATCH(M49,'G-6 Hedgerow Data'!$AN$2:$AZ$2,0))),"")</f>
        <v/>
      </c>
      <c r="O49" s="499" t="str">
        <f t="shared" si="2"/>
        <v/>
      </c>
      <c r="P49" s="505" t="str">
        <f>IF(B49="","",VLOOKUP(B49,'E-1 Off Site Hedge Baseline'!$B$10:T294,16,FALSE))</f>
        <v/>
      </c>
      <c r="Q49" s="498" t="str">
        <f>IF(M49="","",VLOOKUP(M49,'G-6 Hedgerow Data'!$B$2:$AG$15,2,FALSE))</f>
        <v/>
      </c>
      <c r="R49" s="499" t="str">
        <f>IF(M49="","",VLOOKUP(M49,'G-6 Hedgerow Data'!$B$2:$AG$15,3,FALSE))</f>
        <v/>
      </c>
      <c r="S49" s="145"/>
      <c r="T49" s="499" t="str">
        <f>IFERROR(IF(AND(Q49="V.Low",OR(S49="Good",S49="Moderate")),"Error ▲",VLOOKUP(S49,'G-1 All Habitats'!$Z$2:$AA$9,2,FALSE)),"")</f>
        <v/>
      </c>
      <c r="U49" s="145"/>
      <c r="V49" s="507" t="str">
        <f>IF(U49="","",IF(VLOOKUP(U49,'G-3 Multipliers'!$L$3:$N$6,2,FALSE)=0,"Spatial Data Missing ⚠",VLOOKUP(U49,'G-3 Multipliers'!$L$3:$N$6,2,FALSE)))</f>
        <v/>
      </c>
      <c r="W49" s="505" t="str">
        <f>IF(U49="","",IF(VLOOKUP(U49,'G-3 Multipliers'!$L$3:$N$6,3,FALSE)=0,"Spatial Data Missing ⚠",VLOOKUP(U49,'G-3 Multipliers'!$L$3:$N$6,3,FALSE)))</f>
        <v/>
      </c>
      <c r="X49" s="498"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7" t="str">
        <f t="shared" si="3"/>
        <v/>
      </c>
      <c r="AB49" s="521" t="str">
        <f t="shared" si="4"/>
        <v/>
      </c>
      <c r="AC49" s="522" t="str">
        <f t="shared" si="1"/>
        <v/>
      </c>
      <c r="AD49" s="537" t="str">
        <f>IF(M49="","",VLOOKUP(M49,'G-6 Hedgerow Data'!$B$3:$AG$15,31,FALSE))</f>
        <v/>
      </c>
      <c r="AE49" s="520" t="str">
        <f t="shared" si="5"/>
        <v/>
      </c>
      <c r="AF49" s="520" t="str">
        <f t="shared" si="6"/>
        <v/>
      </c>
      <c r="AG49" s="524" t="str">
        <f>IFERROR(IF(O49="","",VLOOKUP(AD49,'G-3 Multipliers'!$P$3:$Q$6,2,FALSE)),"")</f>
        <v/>
      </c>
      <c r="AH49" s="197"/>
      <c r="AI49" s="499" t="str">
        <f>IF(AH49="","",IF(VLOOKUP(AH49,'G-3 Multipliers'!$S$3:$T$6,2,FALSE)=0,"Spatial Data Missing ⚠",VLOOKUP(AH49,'G-3 Multipliers'!$S$3:$T$6,2,FALSE)))</f>
        <v/>
      </c>
      <c r="AJ49" s="545" t="str">
        <f t="shared" si="7"/>
        <v/>
      </c>
      <c r="AK49" s="149"/>
      <c r="AL49" s="150"/>
      <c r="AP49" s="31" t="str">
        <f>IFERROR(INDEX('G-6 Hedgerow Data'!$BJ$3:$BJ$15,MATCH(M49,'G-6 Hedgerow Data'!$B$3:$B$15,0)),"")</f>
        <v/>
      </c>
    </row>
    <row r="50" spans="2:42" ht="13.8" x14ac:dyDescent="0.25">
      <c r="B50" s="531" t="str">
        <f>'E-1 Off Site Hedge Baseline'!AK48</f>
        <v/>
      </c>
      <c r="C50" s="520" t="str">
        <f>IF(B50="","",IF(ISNA(VLOOKUP($B50,'E-1 Off Site Hedge Baseline'!$B$1:$L$257,3,FALSE)),"",(VLOOKUP($B50,'E-1 Off Site Hedge Baseline'!$B$1:$L$257,3,FALSE))))</f>
        <v/>
      </c>
      <c r="D50" s="520" t="str">
        <f>IF(B50="","",IF(ISNA(VLOOKUP($B50,'E-1 Off Site Hedge Baseline'!$B$1:$L$258,4,FALSE)),"",(VLOOKUP($B50,'E-1 Off Site Hedge Baseline'!$B$1:$L$258,4,FALSE))))</f>
        <v/>
      </c>
      <c r="E50" s="520" t="str">
        <f>IF(B50="","",IF(ISNA(VLOOKUP($B50,'E-1 Off Site Hedge Baseline'!$B$1:$L$257,5,FALSE)),"",(VLOOKUP($B50,'E-1 Off Site Hedge Baseline'!$B$1:$L$257,5,FALSE))))</f>
        <v/>
      </c>
      <c r="F50" s="520" t="str">
        <f>IF(B50="","",IF(ISNA(VLOOKUP($B50,'E-1 Off Site Hedge Baseline'!$B$1:$L$257,6,FALSE)),"",(VLOOKUP($B50,'E-1 Off Site Hedge Baseline'!$B$1:$L$257,6,FALSE))))</f>
        <v/>
      </c>
      <c r="G50" s="520" t="str">
        <f>IF(B50="","",IF(ISNA(VLOOKUP($B50,'E-1 Off Site Hedge Baseline'!$B$1:$L$257,7,FALSE)),"",(VLOOKUP($B50,'E-1 Off Site Hedge Baseline'!$B$1:$L$257,7,FALSE))))</f>
        <v/>
      </c>
      <c r="H50" s="520" t="str">
        <f>IF(B50="","",IF(ISNA(VLOOKUP($B50,'E-1 Off Site Hedge Baseline'!$B$1:$L$257,8,FALSE)),"",(VLOOKUP($B50,'E-1 Off Site Hedge Baseline'!$B$1:$L$257,8,FALSE))))</f>
        <v/>
      </c>
      <c r="I50" s="520" t="str">
        <f>IF(B50="","",IF(ISNA(VLOOKUP($B50,'E-1 Off Site Hedge Baseline'!$B$1:$L$257,10,FALSE)),"",(VLOOKUP($B50,'E-1 Off Site Hedge Baseline'!$B$1:$L$257,10,FALSE))))</f>
        <v/>
      </c>
      <c r="J50" s="520" t="str">
        <f>IF(B50="","",IF(ISNA(VLOOKUP($B50,'E-1 Off Site Hedge Baseline'!$B$1:$L$257,11,FALSE)),"",(VLOOKUP($B50,'E-1 Off Site Hedge Baseline'!$B$1:$L$257,11,FALSE))))</f>
        <v/>
      </c>
      <c r="K50" s="520" t="str">
        <f>IF(B50="","",IF(ISNA(VLOOKUP($B50,'E-1 Off Site Hedge Baseline'!$B$1:$U$257,113,FALSE)),"",(VLOOKUP($B50,'E-1 Off Site Hedge Baseline'!$B$1:$U$257,13,FALSE))))</f>
        <v/>
      </c>
      <c r="L50" s="507" t="str">
        <f>IF(B50="","",IF(ISNA(VLOOKUP($B50,'E-1 Off Site Hedge Baseline'!$B$1:$U$257,12,FALSE)),"",(VLOOKUP($B50,'E-1 Off Site Hedge Baseline'!$B$1:$U$257,12,FALSE))))</f>
        <v/>
      </c>
      <c r="M50" s="418" t="str">
        <f t="shared" si="8"/>
        <v/>
      </c>
      <c r="N50" s="498" t="str">
        <f>IFERROR(IF(B50="","",INDEX('G-6 Hedgerow Data'!$AN$3:$AZ$15,MATCH(C50,'G-6 Hedgerow Data'!$AM$3:$AM$15,0),MATCH(M50,'G-6 Hedgerow Data'!$AN$2:$AZ$2,0))),"")</f>
        <v/>
      </c>
      <c r="O50" s="499" t="str">
        <f t="shared" si="2"/>
        <v/>
      </c>
      <c r="P50" s="505" t="str">
        <f>IF(B50="","",VLOOKUP(B50,'E-1 Off Site Hedge Baseline'!$B$10:T295,16,FALSE))</f>
        <v/>
      </c>
      <c r="Q50" s="498" t="str">
        <f>IF(M50="","",VLOOKUP(M50,'G-6 Hedgerow Data'!$B$2:$AG$15,2,FALSE))</f>
        <v/>
      </c>
      <c r="R50" s="499" t="str">
        <f>IF(M50="","",VLOOKUP(M50,'G-6 Hedgerow Data'!$B$2:$AG$15,3,FALSE))</f>
        <v/>
      </c>
      <c r="S50" s="145"/>
      <c r="T50" s="499" t="str">
        <f>IFERROR(IF(AND(Q50="V.Low",OR(S50="Good",S50="Moderate")),"Error ▲",VLOOKUP(S50,'G-1 All Habitats'!$Z$2:$AA$9,2,FALSE)),"")</f>
        <v/>
      </c>
      <c r="U50" s="145"/>
      <c r="V50" s="507" t="str">
        <f>IF(U50="","",IF(VLOOKUP(U50,'G-3 Multipliers'!$L$3:$N$6,2,FALSE)=0,"Spatial Data Missing ⚠",VLOOKUP(U50,'G-3 Multipliers'!$L$3:$N$6,2,FALSE)))</f>
        <v/>
      </c>
      <c r="W50" s="505" t="str">
        <f>IF(U50="","",IF(VLOOKUP(U50,'G-3 Multipliers'!$L$3:$N$6,3,FALSE)=0,"Spatial Data Missing ⚠",VLOOKUP(U50,'G-3 Multipliers'!$L$3:$N$6,3,FALSE)))</f>
        <v/>
      </c>
      <c r="X50" s="498"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7" t="str">
        <f t="shared" si="3"/>
        <v/>
      </c>
      <c r="AB50" s="521" t="str">
        <f t="shared" si="4"/>
        <v/>
      </c>
      <c r="AC50" s="522" t="str">
        <f t="shared" si="1"/>
        <v/>
      </c>
      <c r="AD50" s="537" t="str">
        <f>IF(M50="","",VLOOKUP(M50,'G-6 Hedgerow Data'!$B$3:$AG$15,31,FALSE))</f>
        <v/>
      </c>
      <c r="AE50" s="520" t="str">
        <f t="shared" si="5"/>
        <v/>
      </c>
      <c r="AF50" s="520" t="str">
        <f t="shared" si="6"/>
        <v/>
      </c>
      <c r="AG50" s="524" t="str">
        <f>IFERROR(IF(O50="","",VLOOKUP(AD50,'G-3 Multipliers'!$P$3:$Q$6,2,FALSE)),"")</f>
        <v/>
      </c>
      <c r="AH50" s="197"/>
      <c r="AI50" s="499" t="str">
        <f>IF(AH50="","",IF(VLOOKUP(AH50,'G-3 Multipliers'!$S$3:$T$6,2,FALSE)=0,"Spatial Data Missing ⚠",VLOOKUP(AH50,'G-3 Multipliers'!$S$3:$T$6,2,FALSE)))</f>
        <v/>
      </c>
      <c r="AJ50" s="545" t="str">
        <f t="shared" si="7"/>
        <v/>
      </c>
      <c r="AK50" s="149"/>
      <c r="AL50" s="150"/>
      <c r="AP50" s="31" t="str">
        <f>IFERROR(INDEX('G-6 Hedgerow Data'!$BJ$3:$BJ$15,MATCH(M50,'G-6 Hedgerow Data'!$B$3:$B$15,0)),"")</f>
        <v/>
      </c>
    </row>
    <row r="51" spans="2:42" ht="13.8" x14ac:dyDescent="0.25">
      <c r="B51" s="531" t="str">
        <f>'E-1 Off Site Hedge Baseline'!AK49</f>
        <v/>
      </c>
      <c r="C51" s="520" t="str">
        <f>IF(B51="","",IF(ISNA(VLOOKUP($B51,'E-1 Off Site Hedge Baseline'!$B$1:$L$257,3,FALSE)),"",(VLOOKUP($B51,'E-1 Off Site Hedge Baseline'!$B$1:$L$257,3,FALSE))))</f>
        <v/>
      </c>
      <c r="D51" s="520" t="str">
        <f>IF(B51="","",IF(ISNA(VLOOKUP($B51,'E-1 Off Site Hedge Baseline'!$B$1:$L$258,4,FALSE)),"",(VLOOKUP($B51,'E-1 Off Site Hedge Baseline'!$B$1:$L$258,4,FALSE))))</f>
        <v/>
      </c>
      <c r="E51" s="520" t="str">
        <f>IF(B51="","",IF(ISNA(VLOOKUP($B51,'E-1 Off Site Hedge Baseline'!$B$1:$L$257,5,FALSE)),"",(VLOOKUP($B51,'E-1 Off Site Hedge Baseline'!$B$1:$L$257,5,FALSE))))</f>
        <v/>
      </c>
      <c r="F51" s="520" t="str">
        <f>IF(B51="","",IF(ISNA(VLOOKUP($B51,'E-1 Off Site Hedge Baseline'!$B$1:$L$257,6,FALSE)),"",(VLOOKUP($B51,'E-1 Off Site Hedge Baseline'!$B$1:$L$257,6,FALSE))))</f>
        <v/>
      </c>
      <c r="G51" s="520" t="str">
        <f>IF(B51="","",IF(ISNA(VLOOKUP($B51,'E-1 Off Site Hedge Baseline'!$B$1:$L$257,7,FALSE)),"",(VLOOKUP($B51,'E-1 Off Site Hedge Baseline'!$B$1:$L$257,7,FALSE))))</f>
        <v/>
      </c>
      <c r="H51" s="520" t="str">
        <f>IF(B51="","",IF(ISNA(VLOOKUP($B51,'E-1 Off Site Hedge Baseline'!$B$1:$L$257,8,FALSE)),"",(VLOOKUP($B51,'E-1 Off Site Hedge Baseline'!$B$1:$L$257,8,FALSE))))</f>
        <v/>
      </c>
      <c r="I51" s="520" t="str">
        <f>IF(B51="","",IF(ISNA(VLOOKUP($B51,'E-1 Off Site Hedge Baseline'!$B$1:$L$257,10,FALSE)),"",(VLOOKUP($B51,'E-1 Off Site Hedge Baseline'!$B$1:$L$257,10,FALSE))))</f>
        <v/>
      </c>
      <c r="J51" s="520" t="str">
        <f>IF(B51="","",IF(ISNA(VLOOKUP($B51,'E-1 Off Site Hedge Baseline'!$B$1:$L$257,11,FALSE)),"",(VLOOKUP($B51,'E-1 Off Site Hedge Baseline'!$B$1:$L$257,11,FALSE))))</f>
        <v/>
      </c>
      <c r="K51" s="520" t="str">
        <f>IF(B51="","",IF(ISNA(VLOOKUP($B51,'E-1 Off Site Hedge Baseline'!$B$1:$U$257,113,FALSE)),"",(VLOOKUP($B51,'E-1 Off Site Hedge Baseline'!$B$1:$U$257,13,FALSE))))</f>
        <v/>
      </c>
      <c r="L51" s="507" t="str">
        <f>IF(B51="","",IF(ISNA(VLOOKUP($B51,'E-1 Off Site Hedge Baseline'!$B$1:$U$257,12,FALSE)),"",(VLOOKUP($B51,'E-1 Off Site Hedge Baseline'!$B$1:$U$257,12,FALSE))))</f>
        <v/>
      </c>
      <c r="M51" s="418" t="str">
        <f t="shared" si="8"/>
        <v/>
      </c>
      <c r="N51" s="498" t="str">
        <f>IFERROR(IF(B51="","",INDEX('G-6 Hedgerow Data'!$AN$3:$AZ$15,MATCH(C51,'G-6 Hedgerow Data'!$AM$3:$AM$15,0),MATCH(M51,'G-6 Hedgerow Data'!$AN$2:$AZ$2,0))),"")</f>
        <v/>
      </c>
      <c r="O51" s="499" t="str">
        <f t="shared" si="2"/>
        <v/>
      </c>
      <c r="P51" s="505" t="str">
        <f>IF(B51="","",VLOOKUP(B51,'E-1 Off Site Hedge Baseline'!$B$10:T296,16,FALSE))</f>
        <v/>
      </c>
      <c r="Q51" s="498" t="str">
        <f>IF(M51="","",VLOOKUP(M51,'G-6 Hedgerow Data'!$B$2:$AG$15,2,FALSE))</f>
        <v/>
      </c>
      <c r="R51" s="499" t="str">
        <f>IF(M51="","",VLOOKUP(M51,'G-6 Hedgerow Data'!$B$2:$AG$15,3,FALSE))</f>
        <v/>
      </c>
      <c r="S51" s="145"/>
      <c r="T51" s="499" t="str">
        <f>IFERROR(IF(AND(Q51="V.Low",OR(S51="Good",S51="Moderate")),"Error ▲",VLOOKUP(S51,'G-1 All Habitats'!$Z$2:$AA$9,2,FALSE)),"")</f>
        <v/>
      </c>
      <c r="U51" s="145"/>
      <c r="V51" s="507" t="str">
        <f>IF(U51="","",IF(VLOOKUP(U51,'G-3 Multipliers'!$L$3:$N$6,2,FALSE)=0,"Spatial Data Missing ⚠",VLOOKUP(U51,'G-3 Multipliers'!$L$3:$N$6,2,FALSE)))</f>
        <v/>
      </c>
      <c r="W51" s="505" t="str">
        <f>IF(U51="","",IF(VLOOKUP(U51,'G-3 Multipliers'!$L$3:$N$6,3,FALSE)=0,"Spatial Data Missing ⚠",VLOOKUP(U51,'G-3 Multipliers'!$L$3:$N$6,3,FALSE)))</f>
        <v/>
      </c>
      <c r="X51" s="498"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7" t="str">
        <f t="shared" si="3"/>
        <v/>
      </c>
      <c r="AB51" s="521" t="str">
        <f t="shared" si="4"/>
        <v/>
      </c>
      <c r="AC51" s="522" t="str">
        <f t="shared" si="1"/>
        <v/>
      </c>
      <c r="AD51" s="537" t="str">
        <f>IF(M51="","",VLOOKUP(M51,'G-6 Hedgerow Data'!$B$3:$AG$15,31,FALSE))</f>
        <v/>
      </c>
      <c r="AE51" s="520" t="str">
        <f t="shared" si="5"/>
        <v/>
      </c>
      <c r="AF51" s="520" t="str">
        <f t="shared" si="6"/>
        <v/>
      </c>
      <c r="AG51" s="524" t="str">
        <f>IFERROR(IF(O51="","",VLOOKUP(AD51,'G-3 Multipliers'!$P$3:$Q$6,2,FALSE)),"")</f>
        <v/>
      </c>
      <c r="AH51" s="197"/>
      <c r="AI51" s="499" t="str">
        <f>IF(AH51="","",IF(VLOOKUP(AH51,'G-3 Multipliers'!$S$3:$T$6,2,FALSE)=0,"Spatial Data Missing ⚠",VLOOKUP(AH51,'G-3 Multipliers'!$S$3:$T$6,2,FALSE)))</f>
        <v/>
      </c>
      <c r="AJ51" s="545" t="str">
        <f t="shared" si="7"/>
        <v/>
      </c>
      <c r="AK51" s="149"/>
      <c r="AL51" s="150"/>
      <c r="AP51" s="31" t="str">
        <f>IFERROR(INDEX('G-6 Hedgerow Data'!$BJ$3:$BJ$15,MATCH(M51,'G-6 Hedgerow Data'!$B$3:$B$15,0)),"")</f>
        <v/>
      </c>
    </row>
    <row r="52" spans="2:42" ht="13.8" x14ac:dyDescent="0.25">
      <c r="B52" s="531" t="str">
        <f>'E-1 Off Site Hedge Baseline'!AK50</f>
        <v/>
      </c>
      <c r="C52" s="520" t="str">
        <f>IF(B52="","",IF(ISNA(VLOOKUP($B52,'E-1 Off Site Hedge Baseline'!$B$1:$L$257,3,FALSE)),"",(VLOOKUP($B52,'E-1 Off Site Hedge Baseline'!$B$1:$L$257,3,FALSE))))</f>
        <v/>
      </c>
      <c r="D52" s="520" t="str">
        <f>IF(B52="","",IF(ISNA(VLOOKUP($B52,'E-1 Off Site Hedge Baseline'!$B$1:$L$258,4,FALSE)),"",(VLOOKUP($B52,'E-1 Off Site Hedge Baseline'!$B$1:$L$258,4,FALSE))))</f>
        <v/>
      </c>
      <c r="E52" s="520" t="str">
        <f>IF(B52="","",IF(ISNA(VLOOKUP($B52,'E-1 Off Site Hedge Baseline'!$B$1:$L$257,5,FALSE)),"",(VLOOKUP($B52,'E-1 Off Site Hedge Baseline'!$B$1:$L$257,5,FALSE))))</f>
        <v/>
      </c>
      <c r="F52" s="520" t="str">
        <f>IF(B52="","",IF(ISNA(VLOOKUP($B52,'E-1 Off Site Hedge Baseline'!$B$1:$L$257,6,FALSE)),"",(VLOOKUP($B52,'E-1 Off Site Hedge Baseline'!$B$1:$L$257,6,FALSE))))</f>
        <v/>
      </c>
      <c r="G52" s="520" t="str">
        <f>IF(B52="","",IF(ISNA(VLOOKUP($B52,'E-1 Off Site Hedge Baseline'!$B$1:$L$257,7,FALSE)),"",(VLOOKUP($B52,'E-1 Off Site Hedge Baseline'!$B$1:$L$257,7,FALSE))))</f>
        <v/>
      </c>
      <c r="H52" s="520" t="str">
        <f>IF(B52="","",IF(ISNA(VLOOKUP($B52,'E-1 Off Site Hedge Baseline'!$B$1:$L$257,8,FALSE)),"",(VLOOKUP($B52,'E-1 Off Site Hedge Baseline'!$B$1:$L$257,8,FALSE))))</f>
        <v/>
      </c>
      <c r="I52" s="520" t="str">
        <f>IF(B52="","",IF(ISNA(VLOOKUP($B52,'E-1 Off Site Hedge Baseline'!$B$1:$L$257,10,FALSE)),"",(VLOOKUP($B52,'E-1 Off Site Hedge Baseline'!$B$1:$L$257,10,FALSE))))</f>
        <v/>
      </c>
      <c r="J52" s="520" t="str">
        <f>IF(B52="","",IF(ISNA(VLOOKUP($B52,'E-1 Off Site Hedge Baseline'!$B$1:$L$257,11,FALSE)),"",(VLOOKUP($B52,'E-1 Off Site Hedge Baseline'!$B$1:$L$257,11,FALSE))))</f>
        <v/>
      </c>
      <c r="K52" s="520" t="str">
        <f>IF(B52="","",IF(ISNA(VLOOKUP($B52,'E-1 Off Site Hedge Baseline'!$B$1:$U$257,113,FALSE)),"",(VLOOKUP($B52,'E-1 Off Site Hedge Baseline'!$B$1:$U$257,13,FALSE))))</f>
        <v/>
      </c>
      <c r="L52" s="507" t="str">
        <f>IF(B52="","",IF(ISNA(VLOOKUP($B52,'E-1 Off Site Hedge Baseline'!$B$1:$U$257,12,FALSE)),"",(VLOOKUP($B52,'E-1 Off Site Hedge Baseline'!$B$1:$U$257,12,FALSE))))</f>
        <v/>
      </c>
      <c r="M52" s="418" t="str">
        <f t="shared" si="8"/>
        <v/>
      </c>
      <c r="N52" s="498" t="str">
        <f>IFERROR(IF(B52="","",INDEX('G-6 Hedgerow Data'!$AN$3:$AZ$15,MATCH(C52,'G-6 Hedgerow Data'!$AM$3:$AM$15,0),MATCH(M52,'G-6 Hedgerow Data'!$AN$2:$AZ$2,0))),"")</f>
        <v/>
      </c>
      <c r="O52" s="499" t="str">
        <f t="shared" si="2"/>
        <v/>
      </c>
      <c r="P52" s="505" t="str">
        <f>IF(B52="","",VLOOKUP(B52,'E-1 Off Site Hedge Baseline'!$B$10:T297,16,FALSE))</f>
        <v/>
      </c>
      <c r="Q52" s="498" t="str">
        <f>IF(M52="","",VLOOKUP(M52,'G-6 Hedgerow Data'!$B$2:$AG$15,2,FALSE))</f>
        <v/>
      </c>
      <c r="R52" s="499" t="str">
        <f>IF(M52="","",VLOOKUP(M52,'G-6 Hedgerow Data'!$B$2:$AG$15,3,FALSE))</f>
        <v/>
      </c>
      <c r="S52" s="145"/>
      <c r="T52" s="499" t="str">
        <f>IFERROR(IF(AND(Q52="V.Low",OR(S52="Good",S52="Moderate")),"Error ▲",VLOOKUP(S52,'G-1 All Habitats'!$Z$2:$AA$9,2,FALSE)),"")</f>
        <v/>
      </c>
      <c r="U52" s="145"/>
      <c r="V52" s="507" t="str">
        <f>IF(U52="","",IF(VLOOKUP(U52,'G-3 Multipliers'!$L$3:$N$6,2,FALSE)=0,"Spatial Data Missing ⚠",VLOOKUP(U52,'G-3 Multipliers'!$L$3:$N$6,2,FALSE)))</f>
        <v/>
      </c>
      <c r="W52" s="505" t="str">
        <f>IF(U52="","",IF(VLOOKUP(U52,'G-3 Multipliers'!$L$3:$N$6,3,FALSE)=0,"Spatial Data Missing ⚠",VLOOKUP(U52,'G-3 Multipliers'!$L$3:$N$6,3,FALSE)))</f>
        <v/>
      </c>
      <c r="X52" s="498"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7" t="str">
        <f t="shared" si="3"/>
        <v/>
      </c>
      <c r="AB52" s="521" t="str">
        <f t="shared" si="4"/>
        <v/>
      </c>
      <c r="AC52" s="522" t="str">
        <f t="shared" si="1"/>
        <v/>
      </c>
      <c r="AD52" s="537" t="str">
        <f>IF(M52="","",VLOOKUP(M52,'G-6 Hedgerow Data'!$B$3:$AG$15,31,FALSE))</f>
        <v/>
      </c>
      <c r="AE52" s="520" t="str">
        <f t="shared" si="5"/>
        <v/>
      </c>
      <c r="AF52" s="520" t="str">
        <f t="shared" si="6"/>
        <v/>
      </c>
      <c r="AG52" s="524" t="str">
        <f>IFERROR(IF(O52="","",VLOOKUP(AD52,'G-3 Multipliers'!$P$3:$Q$6,2,FALSE)),"")</f>
        <v/>
      </c>
      <c r="AH52" s="197"/>
      <c r="AI52" s="499" t="str">
        <f>IF(AH52="","",IF(VLOOKUP(AH52,'G-3 Multipliers'!$S$3:$T$6,2,FALSE)=0,"Spatial Data Missing ⚠",VLOOKUP(AH52,'G-3 Multipliers'!$S$3:$T$6,2,FALSE)))</f>
        <v/>
      </c>
      <c r="AJ52" s="545" t="str">
        <f t="shared" si="7"/>
        <v/>
      </c>
      <c r="AK52" s="149"/>
      <c r="AL52" s="150"/>
      <c r="AP52" s="31" t="str">
        <f>IFERROR(INDEX('G-6 Hedgerow Data'!$BJ$3:$BJ$15,MATCH(M52,'G-6 Hedgerow Data'!$B$3:$B$15,0)),"")</f>
        <v/>
      </c>
    </row>
    <row r="53" spans="2:42" ht="13.8" x14ac:dyDescent="0.25">
      <c r="B53" s="531" t="str">
        <f>'E-1 Off Site Hedge Baseline'!AK51</f>
        <v/>
      </c>
      <c r="C53" s="520" t="str">
        <f>IF(B53="","",IF(ISNA(VLOOKUP($B53,'E-1 Off Site Hedge Baseline'!$B$1:$L$257,3,FALSE)),"",(VLOOKUP($B53,'E-1 Off Site Hedge Baseline'!$B$1:$L$257,3,FALSE))))</f>
        <v/>
      </c>
      <c r="D53" s="520" t="str">
        <f>IF(B53="","",IF(ISNA(VLOOKUP($B53,'E-1 Off Site Hedge Baseline'!$B$1:$L$258,4,FALSE)),"",(VLOOKUP($B53,'E-1 Off Site Hedge Baseline'!$B$1:$L$258,4,FALSE))))</f>
        <v/>
      </c>
      <c r="E53" s="520" t="str">
        <f>IF(B53="","",IF(ISNA(VLOOKUP($B53,'E-1 Off Site Hedge Baseline'!$B$1:$L$257,5,FALSE)),"",(VLOOKUP($B53,'E-1 Off Site Hedge Baseline'!$B$1:$L$257,5,FALSE))))</f>
        <v/>
      </c>
      <c r="F53" s="520" t="str">
        <f>IF(B53="","",IF(ISNA(VLOOKUP($B53,'E-1 Off Site Hedge Baseline'!$B$1:$L$257,6,FALSE)),"",(VLOOKUP($B53,'E-1 Off Site Hedge Baseline'!$B$1:$L$257,6,FALSE))))</f>
        <v/>
      </c>
      <c r="G53" s="520" t="str">
        <f>IF(B53="","",IF(ISNA(VLOOKUP($B53,'E-1 Off Site Hedge Baseline'!$B$1:$L$257,7,FALSE)),"",(VLOOKUP($B53,'E-1 Off Site Hedge Baseline'!$B$1:$L$257,7,FALSE))))</f>
        <v/>
      </c>
      <c r="H53" s="520" t="str">
        <f>IF(B53="","",IF(ISNA(VLOOKUP($B53,'E-1 Off Site Hedge Baseline'!$B$1:$L$257,8,FALSE)),"",(VLOOKUP($B53,'E-1 Off Site Hedge Baseline'!$B$1:$L$257,8,FALSE))))</f>
        <v/>
      </c>
      <c r="I53" s="520" t="str">
        <f>IF(B53="","",IF(ISNA(VLOOKUP($B53,'E-1 Off Site Hedge Baseline'!$B$1:$L$257,10,FALSE)),"",(VLOOKUP($B53,'E-1 Off Site Hedge Baseline'!$B$1:$L$257,10,FALSE))))</f>
        <v/>
      </c>
      <c r="J53" s="520" t="str">
        <f>IF(B53="","",IF(ISNA(VLOOKUP($B53,'E-1 Off Site Hedge Baseline'!$B$1:$L$257,11,FALSE)),"",(VLOOKUP($B53,'E-1 Off Site Hedge Baseline'!$B$1:$L$257,11,FALSE))))</f>
        <v/>
      </c>
      <c r="K53" s="520" t="str">
        <f>IF(B53="","",IF(ISNA(VLOOKUP($B53,'E-1 Off Site Hedge Baseline'!$B$1:$U$257,113,FALSE)),"",(VLOOKUP($B53,'E-1 Off Site Hedge Baseline'!$B$1:$U$257,13,FALSE))))</f>
        <v/>
      </c>
      <c r="L53" s="507" t="str">
        <f>IF(B53="","",IF(ISNA(VLOOKUP($B53,'E-1 Off Site Hedge Baseline'!$B$1:$U$257,12,FALSE)),"",(VLOOKUP($B53,'E-1 Off Site Hedge Baseline'!$B$1:$U$257,12,FALSE))))</f>
        <v/>
      </c>
      <c r="M53" s="418" t="str">
        <f t="shared" si="8"/>
        <v/>
      </c>
      <c r="N53" s="498" t="str">
        <f>IFERROR(IF(B53="","",INDEX('G-6 Hedgerow Data'!$AN$3:$AZ$15,MATCH(C53,'G-6 Hedgerow Data'!$AM$3:$AM$15,0),MATCH(M53,'G-6 Hedgerow Data'!$AN$2:$AZ$2,0))),"")</f>
        <v/>
      </c>
      <c r="O53" s="499" t="str">
        <f t="shared" si="2"/>
        <v/>
      </c>
      <c r="P53" s="505" t="str">
        <f>IF(B53="","",VLOOKUP(B53,'E-1 Off Site Hedge Baseline'!$B$10:T298,16,FALSE))</f>
        <v/>
      </c>
      <c r="Q53" s="498" t="str">
        <f>IF(M53="","",VLOOKUP(M53,'G-6 Hedgerow Data'!$B$2:$AG$15,2,FALSE))</f>
        <v/>
      </c>
      <c r="R53" s="499" t="str">
        <f>IF(M53="","",VLOOKUP(M53,'G-6 Hedgerow Data'!$B$2:$AG$15,3,FALSE))</f>
        <v/>
      </c>
      <c r="S53" s="145"/>
      <c r="T53" s="499" t="str">
        <f>IFERROR(IF(AND(Q53="V.Low",OR(S53="Good",S53="Moderate")),"Error ▲",VLOOKUP(S53,'G-1 All Habitats'!$Z$2:$AA$9,2,FALSE)),"")</f>
        <v/>
      </c>
      <c r="U53" s="145"/>
      <c r="V53" s="507" t="str">
        <f>IF(U53="","",IF(VLOOKUP(U53,'G-3 Multipliers'!$L$3:$N$6,2,FALSE)=0,"Spatial Data Missing ⚠",VLOOKUP(U53,'G-3 Multipliers'!$L$3:$N$6,2,FALSE)))</f>
        <v/>
      </c>
      <c r="W53" s="505" t="str">
        <f>IF(U53="","",IF(VLOOKUP(U53,'G-3 Multipliers'!$L$3:$N$6,3,FALSE)=0,"Spatial Data Missing ⚠",VLOOKUP(U53,'G-3 Multipliers'!$L$3:$N$6,3,FALSE)))</f>
        <v/>
      </c>
      <c r="X53" s="498"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7" t="str">
        <f t="shared" si="3"/>
        <v/>
      </c>
      <c r="AB53" s="521" t="str">
        <f t="shared" si="4"/>
        <v/>
      </c>
      <c r="AC53" s="522" t="str">
        <f t="shared" si="1"/>
        <v/>
      </c>
      <c r="AD53" s="537" t="str">
        <f>IF(M53="","",VLOOKUP(M53,'G-6 Hedgerow Data'!$B$3:$AG$15,31,FALSE))</f>
        <v/>
      </c>
      <c r="AE53" s="520" t="str">
        <f t="shared" si="5"/>
        <v/>
      </c>
      <c r="AF53" s="520" t="str">
        <f t="shared" si="6"/>
        <v/>
      </c>
      <c r="AG53" s="524" t="str">
        <f>IFERROR(IF(O53="","",VLOOKUP(AD53,'G-3 Multipliers'!$P$3:$Q$6,2,FALSE)),"")</f>
        <v/>
      </c>
      <c r="AH53" s="197"/>
      <c r="AI53" s="499" t="str">
        <f>IF(AH53="","",IF(VLOOKUP(AH53,'G-3 Multipliers'!$S$3:$T$6,2,FALSE)=0,"Spatial Data Missing ⚠",VLOOKUP(AH53,'G-3 Multipliers'!$S$3:$T$6,2,FALSE)))</f>
        <v/>
      </c>
      <c r="AJ53" s="545" t="str">
        <f t="shared" si="7"/>
        <v/>
      </c>
      <c r="AK53" s="149"/>
      <c r="AL53" s="150"/>
      <c r="AP53" s="31" t="str">
        <f>IFERROR(INDEX('G-6 Hedgerow Data'!$BJ$3:$BJ$15,MATCH(M53,'G-6 Hedgerow Data'!$B$3:$B$15,0)),"")</f>
        <v/>
      </c>
    </row>
    <row r="54" spans="2:42" ht="13.8" x14ac:dyDescent="0.25">
      <c r="B54" s="531" t="str">
        <f>'E-1 Off Site Hedge Baseline'!AK52</f>
        <v/>
      </c>
      <c r="C54" s="520" t="str">
        <f>IF(B54="","",IF(ISNA(VLOOKUP($B54,'E-1 Off Site Hedge Baseline'!$B$1:$L$257,3,FALSE)),"",(VLOOKUP($B54,'E-1 Off Site Hedge Baseline'!$B$1:$L$257,3,FALSE))))</f>
        <v/>
      </c>
      <c r="D54" s="520" t="str">
        <f>IF(B54="","",IF(ISNA(VLOOKUP($B54,'E-1 Off Site Hedge Baseline'!$B$1:$L$258,4,FALSE)),"",(VLOOKUP($B54,'E-1 Off Site Hedge Baseline'!$B$1:$L$258,4,FALSE))))</f>
        <v/>
      </c>
      <c r="E54" s="520" t="str">
        <f>IF(B54="","",IF(ISNA(VLOOKUP($B54,'E-1 Off Site Hedge Baseline'!$B$1:$L$257,5,FALSE)),"",(VLOOKUP($B54,'E-1 Off Site Hedge Baseline'!$B$1:$L$257,5,FALSE))))</f>
        <v/>
      </c>
      <c r="F54" s="520" t="str">
        <f>IF(B54="","",IF(ISNA(VLOOKUP($B54,'E-1 Off Site Hedge Baseline'!$B$1:$L$257,6,FALSE)),"",(VLOOKUP($B54,'E-1 Off Site Hedge Baseline'!$B$1:$L$257,6,FALSE))))</f>
        <v/>
      </c>
      <c r="G54" s="520" t="str">
        <f>IF(B54="","",IF(ISNA(VLOOKUP($B54,'E-1 Off Site Hedge Baseline'!$B$1:$L$257,7,FALSE)),"",(VLOOKUP($B54,'E-1 Off Site Hedge Baseline'!$B$1:$L$257,7,FALSE))))</f>
        <v/>
      </c>
      <c r="H54" s="520" t="str">
        <f>IF(B54="","",IF(ISNA(VLOOKUP($B54,'E-1 Off Site Hedge Baseline'!$B$1:$L$257,8,FALSE)),"",(VLOOKUP($B54,'E-1 Off Site Hedge Baseline'!$B$1:$L$257,8,FALSE))))</f>
        <v/>
      </c>
      <c r="I54" s="520" t="str">
        <f>IF(B54="","",IF(ISNA(VLOOKUP($B54,'E-1 Off Site Hedge Baseline'!$B$1:$L$257,10,FALSE)),"",(VLOOKUP($B54,'E-1 Off Site Hedge Baseline'!$B$1:$L$257,10,FALSE))))</f>
        <v/>
      </c>
      <c r="J54" s="520" t="str">
        <f>IF(B54="","",IF(ISNA(VLOOKUP($B54,'E-1 Off Site Hedge Baseline'!$B$1:$L$257,11,FALSE)),"",(VLOOKUP($B54,'E-1 Off Site Hedge Baseline'!$B$1:$L$257,11,FALSE))))</f>
        <v/>
      </c>
      <c r="K54" s="520" t="str">
        <f>IF(B54="","",IF(ISNA(VLOOKUP($B54,'E-1 Off Site Hedge Baseline'!$B$1:$U$257,113,FALSE)),"",(VLOOKUP($B54,'E-1 Off Site Hedge Baseline'!$B$1:$U$257,13,FALSE))))</f>
        <v/>
      </c>
      <c r="L54" s="507" t="str">
        <f>IF(B54="","",IF(ISNA(VLOOKUP($B54,'E-1 Off Site Hedge Baseline'!$B$1:$U$257,12,FALSE)),"",(VLOOKUP($B54,'E-1 Off Site Hedge Baseline'!$B$1:$U$257,12,FALSE))))</f>
        <v/>
      </c>
      <c r="M54" s="418" t="str">
        <f t="shared" si="8"/>
        <v/>
      </c>
      <c r="N54" s="498" t="str">
        <f>IFERROR(IF(B54="","",INDEX('G-6 Hedgerow Data'!$AN$3:$AZ$15,MATCH(C54,'G-6 Hedgerow Data'!$AM$3:$AM$15,0),MATCH(M54,'G-6 Hedgerow Data'!$AN$2:$AZ$2,0))),"")</f>
        <v/>
      </c>
      <c r="O54" s="499" t="str">
        <f t="shared" si="2"/>
        <v/>
      </c>
      <c r="P54" s="505" t="str">
        <f>IF(B54="","",VLOOKUP(B54,'E-1 Off Site Hedge Baseline'!$B$10:T299,16,FALSE))</f>
        <v/>
      </c>
      <c r="Q54" s="498" t="str">
        <f>IF(M54="","",VLOOKUP(M54,'G-6 Hedgerow Data'!$B$2:$AG$15,2,FALSE))</f>
        <v/>
      </c>
      <c r="R54" s="499" t="str">
        <f>IF(M54="","",VLOOKUP(M54,'G-6 Hedgerow Data'!$B$2:$AG$15,3,FALSE))</f>
        <v/>
      </c>
      <c r="S54" s="145"/>
      <c r="T54" s="499" t="str">
        <f>IFERROR(IF(AND(Q54="V.Low",OR(S54="Good",S54="Moderate")),"Error ▲",VLOOKUP(S54,'G-1 All Habitats'!$Z$2:$AA$9,2,FALSE)),"")</f>
        <v/>
      </c>
      <c r="U54" s="145"/>
      <c r="V54" s="507" t="str">
        <f>IF(U54="","",IF(VLOOKUP(U54,'G-3 Multipliers'!$L$3:$N$6,2,FALSE)=0,"Spatial Data Missing ⚠",VLOOKUP(U54,'G-3 Multipliers'!$L$3:$N$6,2,FALSE)))</f>
        <v/>
      </c>
      <c r="W54" s="505" t="str">
        <f>IF(U54="","",IF(VLOOKUP(U54,'G-3 Multipliers'!$L$3:$N$6,3,FALSE)=0,"Spatial Data Missing ⚠",VLOOKUP(U54,'G-3 Multipliers'!$L$3:$N$6,3,FALSE)))</f>
        <v/>
      </c>
      <c r="X54" s="498"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7" t="str">
        <f t="shared" si="3"/>
        <v/>
      </c>
      <c r="AB54" s="521" t="str">
        <f t="shared" si="4"/>
        <v/>
      </c>
      <c r="AC54" s="522" t="str">
        <f t="shared" si="1"/>
        <v/>
      </c>
      <c r="AD54" s="537" t="str">
        <f>IF(M54="","",VLOOKUP(M54,'G-6 Hedgerow Data'!$B$3:$AG$15,31,FALSE))</f>
        <v/>
      </c>
      <c r="AE54" s="520" t="str">
        <f t="shared" si="5"/>
        <v/>
      </c>
      <c r="AF54" s="520" t="str">
        <f t="shared" si="6"/>
        <v/>
      </c>
      <c r="AG54" s="524" t="str">
        <f>IFERROR(IF(O54="","",VLOOKUP(AD54,'G-3 Multipliers'!$P$3:$Q$6,2,FALSE)),"")</f>
        <v/>
      </c>
      <c r="AH54" s="197"/>
      <c r="AI54" s="499" t="str">
        <f>IF(AH54="","",IF(VLOOKUP(AH54,'G-3 Multipliers'!$S$3:$T$6,2,FALSE)=0,"Spatial Data Missing ⚠",VLOOKUP(AH54,'G-3 Multipliers'!$S$3:$T$6,2,FALSE)))</f>
        <v/>
      </c>
      <c r="AJ54" s="545" t="str">
        <f t="shared" si="7"/>
        <v/>
      </c>
      <c r="AK54" s="149"/>
      <c r="AL54" s="150"/>
      <c r="AP54" s="31" t="str">
        <f>IFERROR(INDEX('G-6 Hedgerow Data'!$BJ$3:$BJ$15,MATCH(M54,'G-6 Hedgerow Data'!$B$3:$B$15,0)),"")</f>
        <v/>
      </c>
    </row>
    <row r="55" spans="2:42" ht="13.8" x14ac:dyDescent="0.25">
      <c r="B55" s="531" t="str">
        <f>'E-1 Off Site Hedge Baseline'!AK53</f>
        <v/>
      </c>
      <c r="C55" s="520" t="str">
        <f>IF(B55="","",IF(ISNA(VLOOKUP($B55,'E-1 Off Site Hedge Baseline'!$B$1:$L$257,3,FALSE)),"",(VLOOKUP($B55,'E-1 Off Site Hedge Baseline'!$B$1:$L$257,3,FALSE))))</f>
        <v/>
      </c>
      <c r="D55" s="520" t="str">
        <f>IF(B55="","",IF(ISNA(VLOOKUP($B55,'E-1 Off Site Hedge Baseline'!$B$1:$L$258,4,FALSE)),"",(VLOOKUP($B55,'E-1 Off Site Hedge Baseline'!$B$1:$L$258,4,FALSE))))</f>
        <v/>
      </c>
      <c r="E55" s="520" t="str">
        <f>IF(B55="","",IF(ISNA(VLOOKUP($B55,'E-1 Off Site Hedge Baseline'!$B$1:$L$257,5,FALSE)),"",(VLOOKUP($B55,'E-1 Off Site Hedge Baseline'!$B$1:$L$257,5,FALSE))))</f>
        <v/>
      </c>
      <c r="F55" s="520" t="str">
        <f>IF(B55="","",IF(ISNA(VLOOKUP($B55,'E-1 Off Site Hedge Baseline'!$B$1:$L$257,6,FALSE)),"",(VLOOKUP($B55,'E-1 Off Site Hedge Baseline'!$B$1:$L$257,6,FALSE))))</f>
        <v/>
      </c>
      <c r="G55" s="520" t="str">
        <f>IF(B55="","",IF(ISNA(VLOOKUP($B55,'E-1 Off Site Hedge Baseline'!$B$1:$L$257,7,FALSE)),"",(VLOOKUP($B55,'E-1 Off Site Hedge Baseline'!$B$1:$L$257,7,FALSE))))</f>
        <v/>
      </c>
      <c r="H55" s="520" t="str">
        <f>IF(B55="","",IF(ISNA(VLOOKUP($B55,'E-1 Off Site Hedge Baseline'!$B$1:$L$257,8,FALSE)),"",(VLOOKUP($B55,'E-1 Off Site Hedge Baseline'!$B$1:$L$257,8,FALSE))))</f>
        <v/>
      </c>
      <c r="I55" s="520" t="str">
        <f>IF(B55="","",IF(ISNA(VLOOKUP($B55,'E-1 Off Site Hedge Baseline'!$B$1:$L$257,10,FALSE)),"",(VLOOKUP($B55,'E-1 Off Site Hedge Baseline'!$B$1:$L$257,10,FALSE))))</f>
        <v/>
      </c>
      <c r="J55" s="520" t="str">
        <f>IF(B55="","",IF(ISNA(VLOOKUP($B55,'E-1 Off Site Hedge Baseline'!$B$1:$L$257,11,FALSE)),"",(VLOOKUP($B55,'E-1 Off Site Hedge Baseline'!$B$1:$L$257,11,FALSE))))</f>
        <v/>
      </c>
      <c r="K55" s="520" t="str">
        <f>IF(B55="","",IF(ISNA(VLOOKUP($B55,'E-1 Off Site Hedge Baseline'!$B$1:$U$257,113,FALSE)),"",(VLOOKUP($B55,'E-1 Off Site Hedge Baseline'!$B$1:$U$257,13,FALSE))))</f>
        <v/>
      </c>
      <c r="L55" s="507" t="str">
        <f>IF(B55="","",IF(ISNA(VLOOKUP($B55,'E-1 Off Site Hedge Baseline'!$B$1:$U$257,12,FALSE)),"",(VLOOKUP($B55,'E-1 Off Site Hedge Baseline'!$B$1:$U$257,12,FALSE))))</f>
        <v/>
      </c>
      <c r="M55" s="418" t="str">
        <f t="shared" si="8"/>
        <v/>
      </c>
      <c r="N55" s="498" t="str">
        <f>IFERROR(IF(B55="","",INDEX('G-6 Hedgerow Data'!$AN$3:$AZ$15,MATCH(C55,'G-6 Hedgerow Data'!$AM$3:$AM$15,0),MATCH(M55,'G-6 Hedgerow Data'!$AN$2:$AZ$2,0))),"")</f>
        <v/>
      </c>
      <c r="O55" s="499" t="str">
        <f t="shared" si="2"/>
        <v/>
      </c>
      <c r="P55" s="505" t="str">
        <f>IF(B55="","",VLOOKUP(B55,'E-1 Off Site Hedge Baseline'!$B$10:T300,16,FALSE))</f>
        <v/>
      </c>
      <c r="Q55" s="498" t="str">
        <f>IF(M55="","",VLOOKUP(M55,'G-6 Hedgerow Data'!$B$2:$AG$15,2,FALSE))</f>
        <v/>
      </c>
      <c r="R55" s="499" t="str">
        <f>IF(M55="","",VLOOKUP(M55,'G-6 Hedgerow Data'!$B$2:$AG$15,3,FALSE))</f>
        <v/>
      </c>
      <c r="S55" s="145"/>
      <c r="T55" s="499" t="str">
        <f>IFERROR(IF(AND(Q55="V.Low",OR(S55="Good",S55="Moderate")),"Error ▲",VLOOKUP(S55,'G-1 All Habitats'!$Z$2:$AA$9,2,FALSE)),"")</f>
        <v/>
      </c>
      <c r="U55" s="145"/>
      <c r="V55" s="507" t="str">
        <f>IF(U55="","",IF(VLOOKUP(U55,'G-3 Multipliers'!$L$3:$N$6,2,FALSE)=0,"Spatial Data Missing ⚠",VLOOKUP(U55,'G-3 Multipliers'!$L$3:$N$6,2,FALSE)))</f>
        <v/>
      </c>
      <c r="W55" s="505" t="str">
        <f>IF(U55="","",IF(VLOOKUP(U55,'G-3 Multipliers'!$L$3:$N$6,3,FALSE)=0,"Spatial Data Missing ⚠",VLOOKUP(U55,'G-3 Multipliers'!$L$3:$N$6,3,FALSE)))</f>
        <v/>
      </c>
      <c r="X55" s="498"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7" t="str">
        <f t="shared" si="3"/>
        <v/>
      </c>
      <c r="AB55" s="521" t="str">
        <f t="shared" si="4"/>
        <v/>
      </c>
      <c r="AC55" s="522" t="str">
        <f t="shared" si="1"/>
        <v/>
      </c>
      <c r="AD55" s="537" t="str">
        <f>IF(M55="","",VLOOKUP(M55,'G-6 Hedgerow Data'!$B$3:$AG$15,31,FALSE))</f>
        <v/>
      </c>
      <c r="AE55" s="520" t="str">
        <f t="shared" si="5"/>
        <v/>
      </c>
      <c r="AF55" s="520" t="str">
        <f t="shared" si="6"/>
        <v/>
      </c>
      <c r="AG55" s="524" t="str">
        <f>IFERROR(IF(O55="","",VLOOKUP(AD55,'G-3 Multipliers'!$P$3:$Q$6,2,FALSE)),"")</f>
        <v/>
      </c>
      <c r="AH55" s="197"/>
      <c r="AI55" s="499" t="str">
        <f>IF(AH55="","",IF(VLOOKUP(AH55,'G-3 Multipliers'!$S$3:$T$6,2,FALSE)=0,"Spatial Data Missing ⚠",VLOOKUP(AH55,'G-3 Multipliers'!$S$3:$T$6,2,FALSE)))</f>
        <v/>
      </c>
      <c r="AJ55" s="545" t="str">
        <f t="shared" si="7"/>
        <v/>
      </c>
      <c r="AK55" s="149"/>
      <c r="AL55" s="150"/>
      <c r="AP55" s="31" t="str">
        <f>IFERROR(INDEX('G-6 Hedgerow Data'!$BJ$3:$BJ$15,MATCH(M55,'G-6 Hedgerow Data'!$B$3:$B$15,0)),"")</f>
        <v/>
      </c>
    </row>
    <row r="56" spans="2:42" ht="13.8" x14ac:dyDescent="0.25">
      <c r="B56" s="531" t="str">
        <f>'E-1 Off Site Hedge Baseline'!AK54</f>
        <v/>
      </c>
      <c r="C56" s="520" t="str">
        <f>IF(B56="","",IF(ISNA(VLOOKUP($B56,'E-1 Off Site Hedge Baseline'!$B$1:$L$257,3,FALSE)),"",(VLOOKUP($B56,'E-1 Off Site Hedge Baseline'!$B$1:$L$257,3,FALSE))))</f>
        <v/>
      </c>
      <c r="D56" s="520" t="str">
        <f>IF(B56="","",IF(ISNA(VLOOKUP($B56,'E-1 Off Site Hedge Baseline'!$B$1:$L$258,4,FALSE)),"",(VLOOKUP($B56,'E-1 Off Site Hedge Baseline'!$B$1:$L$258,4,FALSE))))</f>
        <v/>
      </c>
      <c r="E56" s="520" t="str">
        <f>IF(B56="","",IF(ISNA(VLOOKUP($B56,'E-1 Off Site Hedge Baseline'!$B$1:$L$257,5,FALSE)),"",(VLOOKUP($B56,'E-1 Off Site Hedge Baseline'!$B$1:$L$257,5,FALSE))))</f>
        <v/>
      </c>
      <c r="F56" s="520" t="str">
        <f>IF(B56="","",IF(ISNA(VLOOKUP($B56,'E-1 Off Site Hedge Baseline'!$B$1:$L$257,6,FALSE)),"",(VLOOKUP($B56,'E-1 Off Site Hedge Baseline'!$B$1:$L$257,6,FALSE))))</f>
        <v/>
      </c>
      <c r="G56" s="520" t="str">
        <f>IF(B56="","",IF(ISNA(VLOOKUP($B56,'E-1 Off Site Hedge Baseline'!$B$1:$L$257,7,FALSE)),"",(VLOOKUP($B56,'E-1 Off Site Hedge Baseline'!$B$1:$L$257,7,FALSE))))</f>
        <v/>
      </c>
      <c r="H56" s="520" t="str">
        <f>IF(B56="","",IF(ISNA(VLOOKUP($B56,'E-1 Off Site Hedge Baseline'!$B$1:$L$257,8,FALSE)),"",(VLOOKUP($B56,'E-1 Off Site Hedge Baseline'!$B$1:$L$257,8,FALSE))))</f>
        <v/>
      </c>
      <c r="I56" s="520" t="str">
        <f>IF(B56="","",IF(ISNA(VLOOKUP($B56,'E-1 Off Site Hedge Baseline'!$B$1:$L$257,10,FALSE)),"",(VLOOKUP($B56,'E-1 Off Site Hedge Baseline'!$B$1:$L$257,10,FALSE))))</f>
        <v/>
      </c>
      <c r="J56" s="520" t="str">
        <f>IF(B56="","",IF(ISNA(VLOOKUP($B56,'E-1 Off Site Hedge Baseline'!$B$1:$L$257,11,FALSE)),"",(VLOOKUP($B56,'E-1 Off Site Hedge Baseline'!$B$1:$L$257,11,FALSE))))</f>
        <v/>
      </c>
      <c r="K56" s="520" t="str">
        <f>IF(B56="","",IF(ISNA(VLOOKUP($B56,'E-1 Off Site Hedge Baseline'!$B$1:$U$257,113,FALSE)),"",(VLOOKUP($B56,'E-1 Off Site Hedge Baseline'!$B$1:$U$257,13,FALSE))))</f>
        <v/>
      </c>
      <c r="L56" s="507" t="str">
        <f>IF(B56="","",IF(ISNA(VLOOKUP($B56,'E-1 Off Site Hedge Baseline'!$B$1:$U$257,12,FALSE)),"",(VLOOKUP($B56,'E-1 Off Site Hedge Baseline'!$B$1:$U$257,12,FALSE))))</f>
        <v/>
      </c>
      <c r="M56" s="418" t="str">
        <f t="shared" si="8"/>
        <v/>
      </c>
      <c r="N56" s="498" t="str">
        <f>IFERROR(IF(B56="","",INDEX('G-6 Hedgerow Data'!$AN$3:$AZ$15,MATCH(C56,'G-6 Hedgerow Data'!$AM$3:$AM$15,0),MATCH(M56,'G-6 Hedgerow Data'!$AN$2:$AZ$2,0))),"")</f>
        <v/>
      </c>
      <c r="O56" s="499" t="str">
        <f t="shared" si="2"/>
        <v/>
      </c>
      <c r="P56" s="505" t="str">
        <f>IF(B56="","",VLOOKUP(B56,'E-1 Off Site Hedge Baseline'!$B$10:T301,16,FALSE))</f>
        <v/>
      </c>
      <c r="Q56" s="498" t="str">
        <f>IF(M56="","",VLOOKUP(M56,'G-6 Hedgerow Data'!$B$2:$AG$15,2,FALSE))</f>
        <v/>
      </c>
      <c r="R56" s="499" t="str">
        <f>IF(M56="","",VLOOKUP(M56,'G-6 Hedgerow Data'!$B$2:$AG$15,3,FALSE))</f>
        <v/>
      </c>
      <c r="S56" s="145"/>
      <c r="T56" s="499" t="str">
        <f>IFERROR(IF(AND(Q56="V.Low",OR(S56="Good",S56="Moderate")),"Error ▲",VLOOKUP(S56,'G-1 All Habitats'!$Z$2:$AA$9,2,FALSE)),"")</f>
        <v/>
      </c>
      <c r="U56" s="145"/>
      <c r="V56" s="507" t="str">
        <f>IF(U56="","",IF(VLOOKUP(U56,'G-3 Multipliers'!$L$3:$N$6,2,FALSE)=0,"Spatial Data Missing ⚠",VLOOKUP(U56,'G-3 Multipliers'!$L$3:$N$6,2,FALSE)))</f>
        <v/>
      </c>
      <c r="W56" s="505" t="str">
        <f>IF(U56="","",IF(VLOOKUP(U56,'G-3 Multipliers'!$L$3:$N$6,3,FALSE)=0,"Spatial Data Missing ⚠",VLOOKUP(U56,'G-3 Multipliers'!$L$3:$N$6,3,FALSE)))</f>
        <v/>
      </c>
      <c r="X56" s="498"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7" t="str">
        <f t="shared" si="3"/>
        <v/>
      </c>
      <c r="AB56" s="521" t="str">
        <f t="shared" si="4"/>
        <v/>
      </c>
      <c r="AC56" s="522" t="str">
        <f t="shared" si="1"/>
        <v/>
      </c>
      <c r="AD56" s="537" t="str">
        <f>IF(M56="","",VLOOKUP(M56,'G-6 Hedgerow Data'!$B$3:$AG$15,31,FALSE))</f>
        <v/>
      </c>
      <c r="AE56" s="520" t="str">
        <f t="shared" si="5"/>
        <v/>
      </c>
      <c r="AF56" s="520" t="str">
        <f t="shared" si="6"/>
        <v/>
      </c>
      <c r="AG56" s="524" t="str">
        <f>IFERROR(IF(O56="","",VLOOKUP(AD56,'G-3 Multipliers'!$P$3:$Q$6,2,FALSE)),"")</f>
        <v/>
      </c>
      <c r="AH56" s="197"/>
      <c r="AI56" s="499" t="str">
        <f>IF(AH56="","",IF(VLOOKUP(AH56,'G-3 Multipliers'!$S$3:$T$6,2,FALSE)=0,"Spatial Data Missing ⚠",VLOOKUP(AH56,'G-3 Multipliers'!$S$3:$T$6,2,FALSE)))</f>
        <v/>
      </c>
      <c r="AJ56" s="545" t="str">
        <f t="shared" si="7"/>
        <v/>
      </c>
      <c r="AK56" s="149"/>
      <c r="AL56" s="150"/>
      <c r="AP56" s="31" t="str">
        <f>IFERROR(INDEX('G-6 Hedgerow Data'!$BJ$3:$BJ$15,MATCH(M56,'G-6 Hedgerow Data'!$B$3:$B$15,0)),"")</f>
        <v/>
      </c>
    </row>
    <row r="57" spans="2:42" ht="13.8" x14ac:dyDescent="0.25">
      <c r="B57" s="531" t="str">
        <f>'E-1 Off Site Hedge Baseline'!AK55</f>
        <v/>
      </c>
      <c r="C57" s="520" t="str">
        <f>IF(B57="","",IF(ISNA(VLOOKUP($B57,'E-1 Off Site Hedge Baseline'!$B$1:$L$257,3,FALSE)),"",(VLOOKUP($B57,'E-1 Off Site Hedge Baseline'!$B$1:$L$257,3,FALSE))))</f>
        <v/>
      </c>
      <c r="D57" s="520" t="str">
        <f>IF(B57="","",IF(ISNA(VLOOKUP($B57,'E-1 Off Site Hedge Baseline'!$B$1:$L$258,4,FALSE)),"",(VLOOKUP($B57,'E-1 Off Site Hedge Baseline'!$B$1:$L$258,4,FALSE))))</f>
        <v/>
      </c>
      <c r="E57" s="520" t="str">
        <f>IF(B57="","",IF(ISNA(VLOOKUP($B57,'E-1 Off Site Hedge Baseline'!$B$1:$L$257,5,FALSE)),"",(VLOOKUP($B57,'E-1 Off Site Hedge Baseline'!$B$1:$L$257,5,FALSE))))</f>
        <v/>
      </c>
      <c r="F57" s="520" t="str">
        <f>IF(B57="","",IF(ISNA(VLOOKUP($B57,'E-1 Off Site Hedge Baseline'!$B$1:$L$257,6,FALSE)),"",(VLOOKUP($B57,'E-1 Off Site Hedge Baseline'!$B$1:$L$257,6,FALSE))))</f>
        <v/>
      </c>
      <c r="G57" s="520" t="str">
        <f>IF(B57="","",IF(ISNA(VLOOKUP($B57,'E-1 Off Site Hedge Baseline'!$B$1:$L$257,7,FALSE)),"",(VLOOKUP($B57,'E-1 Off Site Hedge Baseline'!$B$1:$L$257,7,FALSE))))</f>
        <v/>
      </c>
      <c r="H57" s="520" t="str">
        <f>IF(B57="","",IF(ISNA(VLOOKUP($B57,'E-1 Off Site Hedge Baseline'!$B$1:$L$257,8,FALSE)),"",(VLOOKUP($B57,'E-1 Off Site Hedge Baseline'!$B$1:$L$257,8,FALSE))))</f>
        <v/>
      </c>
      <c r="I57" s="520" t="str">
        <f>IF(B57="","",IF(ISNA(VLOOKUP($B57,'E-1 Off Site Hedge Baseline'!$B$1:$L$257,10,FALSE)),"",(VLOOKUP($B57,'E-1 Off Site Hedge Baseline'!$B$1:$L$257,10,FALSE))))</f>
        <v/>
      </c>
      <c r="J57" s="520" t="str">
        <f>IF(B57="","",IF(ISNA(VLOOKUP($B57,'E-1 Off Site Hedge Baseline'!$B$1:$L$257,11,FALSE)),"",(VLOOKUP($B57,'E-1 Off Site Hedge Baseline'!$B$1:$L$257,11,FALSE))))</f>
        <v/>
      </c>
      <c r="K57" s="520" t="str">
        <f>IF(B57="","",IF(ISNA(VLOOKUP($B57,'E-1 Off Site Hedge Baseline'!$B$1:$U$257,113,FALSE)),"",(VLOOKUP($B57,'E-1 Off Site Hedge Baseline'!$B$1:$U$257,13,FALSE))))</f>
        <v/>
      </c>
      <c r="L57" s="507" t="str">
        <f>IF(B57="","",IF(ISNA(VLOOKUP($B57,'E-1 Off Site Hedge Baseline'!$B$1:$U$257,12,FALSE)),"",(VLOOKUP($B57,'E-1 Off Site Hedge Baseline'!$B$1:$U$257,12,FALSE))))</f>
        <v/>
      </c>
      <c r="M57" s="418" t="str">
        <f t="shared" si="8"/>
        <v/>
      </c>
      <c r="N57" s="498" t="str">
        <f>IFERROR(IF(B57="","",INDEX('G-6 Hedgerow Data'!$AN$3:$AZ$15,MATCH(C57,'G-6 Hedgerow Data'!$AM$3:$AM$15,0),MATCH(M57,'G-6 Hedgerow Data'!$AN$2:$AZ$2,0))),"")</f>
        <v/>
      </c>
      <c r="O57" s="499" t="str">
        <f t="shared" si="2"/>
        <v/>
      </c>
      <c r="P57" s="505" t="str">
        <f>IF(B57="","",VLOOKUP(B57,'E-1 Off Site Hedge Baseline'!$B$10:T302,16,FALSE))</f>
        <v/>
      </c>
      <c r="Q57" s="498" t="str">
        <f>IF(M57="","",VLOOKUP(M57,'G-6 Hedgerow Data'!$B$2:$AG$15,2,FALSE))</f>
        <v/>
      </c>
      <c r="R57" s="499" t="str">
        <f>IF(M57="","",VLOOKUP(M57,'G-6 Hedgerow Data'!$B$2:$AG$15,3,FALSE))</f>
        <v/>
      </c>
      <c r="S57" s="145"/>
      <c r="T57" s="499" t="str">
        <f>IFERROR(IF(AND(Q57="V.Low",OR(S57="Good",S57="Moderate")),"Error ▲",VLOOKUP(S57,'G-1 All Habitats'!$Z$2:$AA$9,2,FALSE)),"")</f>
        <v/>
      </c>
      <c r="U57" s="145"/>
      <c r="V57" s="507" t="str">
        <f>IF(U57="","",IF(VLOOKUP(U57,'G-3 Multipliers'!$L$3:$N$6,2,FALSE)=0,"Spatial Data Missing ⚠",VLOOKUP(U57,'G-3 Multipliers'!$L$3:$N$6,2,FALSE)))</f>
        <v/>
      </c>
      <c r="W57" s="505" t="str">
        <f>IF(U57="","",IF(VLOOKUP(U57,'G-3 Multipliers'!$L$3:$N$6,3,FALSE)=0,"Spatial Data Missing ⚠",VLOOKUP(U57,'G-3 Multipliers'!$L$3:$N$6,3,FALSE)))</f>
        <v/>
      </c>
      <c r="X57" s="498"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7" t="str">
        <f t="shared" si="3"/>
        <v/>
      </c>
      <c r="AB57" s="521" t="str">
        <f t="shared" si="4"/>
        <v/>
      </c>
      <c r="AC57" s="522" t="str">
        <f t="shared" si="1"/>
        <v/>
      </c>
      <c r="AD57" s="537" t="str">
        <f>IF(M57="","",VLOOKUP(M57,'G-6 Hedgerow Data'!$B$3:$AG$15,31,FALSE))</f>
        <v/>
      </c>
      <c r="AE57" s="520" t="str">
        <f t="shared" si="5"/>
        <v/>
      </c>
      <c r="AF57" s="520" t="str">
        <f t="shared" si="6"/>
        <v/>
      </c>
      <c r="AG57" s="524" t="str">
        <f>IFERROR(IF(O57="","",VLOOKUP(AD57,'G-3 Multipliers'!$P$3:$Q$6,2,FALSE)),"")</f>
        <v/>
      </c>
      <c r="AH57" s="197"/>
      <c r="AI57" s="499" t="str">
        <f>IF(AH57="","",IF(VLOOKUP(AH57,'G-3 Multipliers'!$S$3:$T$6,2,FALSE)=0,"Spatial Data Missing ⚠",VLOOKUP(AH57,'G-3 Multipliers'!$S$3:$T$6,2,FALSE)))</f>
        <v/>
      </c>
      <c r="AJ57" s="545" t="str">
        <f t="shared" si="7"/>
        <v/>
      </c>
      <c r="AK57" s="149"/>
      <c r="AL57" s="150"/>
      <c r="AP57" s="31" t="str">
        <f>IFERROR(INDEX('G-6 Hedgerow Data'!$BJ$3:$BJ$15,MATCH(M57,'G-6 Hedgerow Data'!$B$3:$B$15,0)),"")</f>
        <v/>
      </c>
    </row>
    <row r="58" spans="2:42" ht="13.8" x14ac:dyDescent="0.25">
      <c r="B58" s="531" t="str">
        <f>'E-1 Off Site Hedge Baseline'!AK56</f>
        <v/>
      </c>
      <c r="C58" s="520" t="str">
        <f>IF(B58="","",IF(ISNA(VLOOKUP($B58,'E-1 Off Site Hedge Baseline'!$B$1:$L$257,3,FALSE)),"",(VLOOKUP($B58,'E-1 Off Site Hedge Baseline'!$B$1:$L$257,3,FALSE))))</f>
        <v/>
      </c>
      <c r="D58" s="520" t="str">
        <f>IF(B58="","",IF(ISNA(VLOOKUP($B58,'E-1 Off Site Hedge Baseline'!$B$1:$L$258,4,FALSE)),"",(VLOOKUP($B58,'E-1 Off Site Hedge Baseline'!$B$1:$L$258,4,FALSE))))</f>
        <v/>
      </c>
      <c r="E58" s="520" t="str">
        <f>IF(B58="","",IF(ISNA(VLOOKUP($B58,'E-1 Off Site Hedge Baseline'!$B$1:$L$257,5,FALSE)),"",(VLOOKUP($B58,'E-1 Off Site Hedge Baseline'!$B$1:$L$257,5,FALSE))))</f>
        <v/>
      </c>
      <c r="F58" s="520" t="str">
        <f>IF(B58="","",IF(ISNA(VLOOKUP($B58,'E-1 Off Site Hedge Baseline'!$B$1:$L$257,6,FALSE)),"",(VLOOKUP($B58,'E-1 Off Site Hedge Baseline'!$B$1:$L$257,6,FALSE))))</f>
        <v/>
      </c>
      <c r="G58" s="520" t="str">
        <f>IF(B58="","",IF(ISNA(VLOOKUP($B58,'E-1 Off Site Hedge Baseline'!$B$1:$L$257,7,FALSE)),"",(VLOOKUP($B58,'E-1 Off Site Hedge Baseline'!$B$1:$L$257,7,FALSE))))</f>
        <v/>
      </c>
      <c r="H58" s="520" t="str">
        <f>IF(B58="","",IF(ISNA(VLOOKUP($B58,'E-1 Off Site Hedge Baseline'!$B$1:$L$257,8,FALSE)),"",(VLOOKUP($B58,'E-1 Off Site Hedge Baseline'!$B$1:$L$257,8,FALSE))))</f>
        <v/>
      </c>
      <c r="I58" s="520" t="str">
        <f>IF(B58="","",IF(ISNA(VLOOKUP($B58,'E-1 Off Site Hedge Baseline'!$B$1:$L$257,10,FALSE)),"",(VLOOKUP($B58,'E-1 Off Site Hedge Baseline'!$B$1:$L$257,10,FALSE))))</f>
        <v/>
      </c>
      <c r="J58" s="520" t="str">
        <f>IF(B58="","",IF(ISNA(VLOOKUP($B58,'E-1 Off Site Hedge Baseline'!$B$1:$L$257,11,FALSE)),"",(VLOOKUP($B58,'E-1 Off Site Hedge Baseline'!$B$1:$L$257,11,FALSE))))</f>
        <v/>
      </c>
      <c r="K58" s="520" t="str">
        <f>IF(B58="","",IF(ISNA(VLOOKUP($B58,'E-1 Off Site Hedge Baseline'!$B$1:$U$257,113,FALSE)),"",(VLOOKUP($B58,'E-1 Off Site Hedge Baseline'!$B$1:$U$257,13,FALSE))))</f>
        <v/>
      </c>
      <c r="L58" s="507" t="str">
        <f>IF(B58="","",IF(ISNA(VLOOKUP($B58,'E-1 Off Site Hedge Baseline'!$B$1:$U$257,12,FALSE)),"",(VLOOKUP($B58,'E-1 Off Site Hedge Baseline'!$B$1:$U$257,12,FALSE))))</f>
        <v/>
      </c>
      <c r="M58" s="418" t="str">
        <f t="shared" si="8"/>
        <v/>
      </c>
      <c r="N58" s="498" t="str">
        <f>IFERROR(IF(B58="","",INDEX('G-6 Hedgerow Data'!$AN$3:$AZ$15,MATCH(C58,'G-6 Hedgerow Data'!$AM$3:$AM$15,0),MATCH(M58,'G-6 Hedgerow Data'!$AN$2:$AZ$2,0))),"")</f>
        <v/>
      </c>
      <c r="O58" s="499" t="str">
        <f t="shared" si="2"/>
        <v/>
      </c>
      <c r="P58" s="505" t="str">
        <f>IF(B58="","",VLOOKUP(B58,'E-1 Off Site Hedge Baseline'!$B$10:T303,16,FALSE))</f>
        <v/>
      </c>
      <c r="Q58" s="498" t="str">
        <f>IF(M58="","",VLOOKUP(M58,'G-6 Hedgerow Data'!$B$2:$AG$15,2,FALSE))</f>
        <v/>
      </c>
      <c r="R58" s="499" t="str">
        <f>IF(M58="","",VLOOKUP(M58,'G-6 Hedgerow Data'!$B$2:$AG$15,3,FALSE))</f>
        <v/>
      </c>
      <c r="S58" s="145"/>
      <c r="T58" s="499" t="str">
        <f>IFERROR(IF(AND(Q58="V.Low",OR(S58="Good",S58="Moderate")),"Error ▲",VLOOKUP(S58,'G-1 All Habitats'!$Z$2:$AA$9,2,FALSE)),"")</f>
        <v/>
      </c>
      <c r="U58" s="145"/>
      <c r="V58" s="507" t="str">
        <f>IF(U58="","",IF(VLOOKUP(U58,'G-3 Multipliers'!$L$3:$N$6,2,FALSE)=0,"Spatial Data Missing ⚠",VLOOKUP(U58,'G-3 Multipliers'!$L$3:$N$6,2,FALSE)))</f>
        <v/>
      </c>
      <c r="W58" s="505" t="str">
        <f>IF(U58="","",IF(VLOOKUP(U58,'G-3 Multipliers'!$L$3:$N$6,3,FALSE)=0,"Spatial Data Missing ⚠",VLOOKUP(U58,'G-3 Multipliers'!$L$3:$N$6,3,FALSE)))</f>
        <v/>
      </c>
      <c r="X58" s="498"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7" t="str">
        <f t="shared" si="3"/>
        <v/>
      </c>
      <c r="AB58" s="521" t="str">
        <f t="shared" si="4"/>
        <v/>
      </c>
      <c r="AC58" s="522" t="str">
        <f t="shared" si="1"/>
        <v/>
      </c>
      <c r="AD58" s="537" t="str">
        <f>IF(M58="","",VLOOKUP(M58,'G-6 Hedgerow Data'!$B$3:$AG$15,31,FALSE))</f>
        <v/>
      </c>
      <c r="AE58" s="520" t="str">
        <f t="shared" si="5"/>
        <v/>
      </c>
      <c r="AF58" s="520" t="str">
        <f t="shared" si="6"/>
        <v/>
      </c>
      <c r="AG58" s="524" t="str">
        <f>IFERROR(IF(O58="","",VLOOKUP(AD58,'G-3 Multipliers'!$P$3:$Q$6,2,FALSE)),"")</f>
        <v/>
      </c>
      <c r="AH58" s="197"/>
      <c r="AI58" s="499" t="str">
        <f>IF(AH58="","",IF(VLOOKUP(AH58,'G-3 Multipliers'!$S$3:$T$6,2,FALSE)=0,"Spatial Data Missing ⚠",VLOOKUP(AH58,'G-3 Multipliers'!$S$3:$T$6,2,FALSE)))</f>
        <v/>
      </c>
      <c r="AJ58" s="545" t="str">
        <f t="shared" si="7"/>
        <v/>
      </c>
      <c r="AK58" s="149"/>
      <c r="AL58" s="150"/>
      <c r="AP58" s="31" t="str">
        <f>IFERROR(INDEX('G-6 Hedgerow Data'!$BJ$3:$BJ$15,MATCH(M58,'G-6 Hedgerow Data'!$B$3:$B$15,0)),"")</f>
        <v/>
      </c>
    </row>
    <row r="59" spans="2:42" ht="13.8" x14ac:dyDescent="0.25">
      <c r="B59" s="531" t="str">
        <f>'E-1 Off Site Hedge Baseline'!AK57</f>
        <v/>
      </c>
      <c r="C59" s="520" t="str">
        <f>IF(B59="","",IF(ISNA(VLOOKUP($B59,'E-1 Off Site Hedge Baseline'!$B$1:$L$257,3,FALSE)),"",(VLOOKUP($B59,'E-1 Off Site Hedge Baseline'!$B$1:$L$257,3,FALSE))))</f>
        <v/>
      </c>
      <c r="D59" s="520" t="str">
        <f>IF(B59="","",IF(ISNA(VLOOKUP($B59,'E-1 Off Site Hedge Baseline'!$B$1:$L$258,4,FALSE)),"",(VLOOKUP($B59,'E-1 Off Site Hedge Baseline'!$B$1:$L$258,4,FALSE))))</f>
        <v/>
      </c>
      <c r="E59" s="520" t="str">
        <f>IF(B59="","",IF(ISNA(VLOOKUP($B59,'E-1 Off Site Hedge Baseline'!$B$1:$L$257,5,FALSE)),"",(VLOOKUP($B59,'E-1 Off Site Hedge Baseline'!$B$1:$L$257,5,FALSE))))</f>
        <v/>
      </c>
      <c r="F59" s="520" t="str">
        <f>IF(B59="","",IF(ISNA(VLOOKUP($B59,'E-1 Off Site Hedge Baseline'!$B$1:$L$257,6,FALSE)),"",(VLOOKUP($B59,'E-1 Off Site Hedge Baseline'!$B$1:$L$257,6,FALSE))))</f>
        <v/>
      </c>
      <c r="G59" s="520" t="str">
        <f>IF(B59="","",IF(ISNA(VLOOKUP($B59,'E-1 Off Site Hedge Baseline'!$B$1:$L$257,7,FALSE)),"",(VLOOKUP($B59,'E-1 Off Site Hedge Baseline'!$B$1:$L$257,7,FALSE))))</f>
        <v/>
      </c>
      <c r="H59" s="520" t="str">
        <f>IF(B59="","",IF(ISNA(VLOOKUP($B59,'E-1 Off Site Hedge Baseline'!$B$1:$L$257,8,FALSE)),"",(VLOOKUP($B59,'E-1 Off Site Hedge Baseline'!$B$1:$L$257,8,FALSE))))</f>
        <v/>
      </c>
      <c r="I59" s="520" t="str">
        <f>IF(B59="","",IF(ISNA(VLOOKUP($B59,'E-1 Off Site Hedge Baseline'!$B$1:$L$257,10,FALSE)),"",(VLOOKUP($B59,'E-1 Off Site Hedge Baseline'!$B$1:$L$257,10,FALSE))))</f>
        <v/>
      </c>
      <c r="J59" s="520" t="str">
        <f>IF(B59="","",IF(ISNA(VLOOKUP($B59,'E-1 Off Site Hedge Baseline'!$B$1:$L$257,11,FALSE)),"",(VLOOKUP($B59,'E-1 Off Site Hedge Baseline'!$B$1:$L$257,11,FALSE))))</f>
        <v/>
      </c>
      <c r="K59" s="520" t="str">
        <f>IF(B59="","",IF(ISNA(VLOOKUP($B59,'E-1 Off Site Hedge Baseline'!$B$1:$U$257,113,FALSE)),"",(VLOOKUP($B59,'E-1 Off Site Hedge Baseline'!$B$1:$U$257,13,FALSE))))</f>
        <v/>
      </c>
      <c r="L59" s="507" t="str">
        <f>IF(B59="","",IF(ISNA(VLOOKUP($B59,'E-1 Off Site Hedge Baseline'!$B$1:$U$257,12,FALSE)),"",(VLOOKUP($B59,'E-1 Off Site Hedge Baseline'!$B$1:$U$257,12,FALSE))))</f>
        <v/>
      </c>
      <c r="M59" s="418" t="str">
        <f t="shared" si="8"/>
        <v/>
      </c>
      <c r="N59" s="498" t="str">
        <f>IFERROR(IF(B59="","",INDEX('G-6 Hedgerow Data'!$AN$3:$AZ$15,MATCH(C59,'G-6 Hedgerow Data'!$AM$3:$AM$15,0),MATCH(M59,'G-6 Hedgerow Data'!$AN$2:$AZ$2,0))),"")</f>
        <v/>
      </c>
      <c r="O59" s="499" t="str">
        <f t="shared" si="2"/>
        <v/>
      </c>
      <c r="P59" s="505" t="str">
        <f>IF(B59="","",VLOOKUP(B59,'E-1 Off Site Hedge Baseline'!$B$10:T304,16,FALSE))</f>
        <v/>
      </c>
      <c r="Q59" s="498" t="str">
        <f>IF(M59="","",VLOOKUP(M59,'G-6 Hedgerow Data'!$B$2:$AG$15,2,FALSE))</f>
        <v/>
      </c>
      <c r="R59" s="499" t="str">
        <f>IF(M59="","",VLOOKUP(M59,'G-6 Hedgerow Data'!$B$2:$AG$15,3,FALSE))</f>
        <v/>
      </c>
      <c r="S59" s="145"/>
      <c r="T59" s="499" t="str">
        <f>IFERROR(IF(AND(Q59="V.Low",OR(S59="Good",S59="Moderate")),"Error ▲",VLOOKUP(S59,'G-1 All Habitats'!$Z$2:$AA$9,2,FALSE)),"")</f>
        <v/>
      </c>
      <c r="U59" s="145"/>
      <c r="V59" s="507" t="str">
        <f>IF(U59="","",IF(VLOOKUP(U59,'G-3 Multipliers'!$L$3:$N$6,2,FALSE)=0,"Spatial Data Missing ⚠",VLOOKUP(U59,'G-3 Multipliers'!$L$3:$N$6,2,FALSE)))</f>
        <v/>
      </c>
      <c r="W59" s="505" t="str">
        <f>IF(U59="","",IF(VLOOKUP(U59,'G-3 Multipliers'!$L$3:$N$6,3,FALSE)=0,"Spatial Data Missing ⚠",VLOOKUP(U59,'G-3 Multipliers'!$L$3:$N$6,3,FALSE)))</f>
        <v/>
      </c>
      <c r="X59" s="498"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7" t="str">
        <f t="shared" si="3"/>
        <v/>
      </c>
      <c r="AB59" s="521" t="str">
        <f t="shared" si="4"/>
        <v/>
      </c>
      <c r="AC59" s="522" t="str">
        <f t="shared" si="1"/>
        <v/>
      </c>
      <c r="AD59" s="537" t="str">
        <f>IF(M59="","",VLOOKUP(M59,'G-6 Hedgerow Data'!$B$3:$AG$15,31,FALSE))</f>
        <v/>
      </c>
      <c r="AE59" s="520" t="str">
        <f t="shared" si="5"/>
        <v/>
      </c>
      <c r="AF59" s="520" t="str">
        <f t="shared" si="6"/>
        <v/>
      </c>
      <c r="AG59" s="524" t="str">
        <f>IFERROR(IF(O59="","",VLOOKUP(AD59,'G-3 Multipliers'!$P$3:$Q$6,2,FALSE)),"")</f>
        <v/>
      </c>
      <c r="AH59" s="197"/>
      <c r="AI59" s="499" t="str">
        <f>IF(AH59="","",IF(VLOOKUP(AH59,'G-3 Multipliers'!$S$3:$T$6,2,FALSE)=0,"Spatial Data Missing ⚠",VLOOKUP(AH59,'G-3 Multipliers'!$S$3:$T$6,2,FALSE)))</f>
        <v/>
      </c>
      <c r="AJ59" s="545" t="str">
        <f t="shared" si="7"/>
        <v/>
      </c>
      <c r="AK59" s="149"/>
      <c r="AL59" s="150"/>
      <c r="AP59" s="31" t="str">
        <f>IFERROR(INDEX('G-6 Hedgerow Data'!$BJ$3:$BJ$15,MATCH(M59,'G-6 Hedgerow Data'!$B$3:$B$15,0)),"")</f>
        <v/>
      </c>
    </row>
    <row r="60" spans="2:42" ht="13.8" x14ac:dyDescent="0.25">
      <c r="B60" s="531" t="str">
        <f>'E-1 Off Site Hedge Baseline'!AK58</f>
        <v/>
      </c>
      <c r="C60" s="520" t="str">
        <f>IF(B60="","",IF(ISNA(VLOOKUP($B60,'E-1 Off Site Hedge Baseline'!$B$1:$L$257,3,FALSE)),"",(VLOOKUP($B60,'E-1 Off Site Hedge Baseline'!$B$1:$L$257,3,FALSE))))</f>
        <v/>
      </c>
      <c r="D60" s="520" t="str">
        <f>IF(B60="","",IF(ISNA(VLOOKUP($B60,'E-1 Off Site Hedge Baseline'!$B$1:$L$258,4,FALSE)),"",(VLOOKUP($B60,'E-1 Off Site Hedge Baseline'!$B$1:$L$258,4,FALSE))))</f>
        <v/>
      </c>
      <c r="E60" s="520" t="str">
        <f>IF(B60="","",IF(ISNA(VLOOKUP($B60,'E-1 Off Site Hedge Baseline'!$B$1:$L$257,5,FALSE)),"",(VLOOKUP($B60,'E-1 Off Site Hedge Baseline'!$B$1:$L$257,5,FALSE))))</f>
        <v/>
      </c>
      <c r="F60" s="520" t="str">
        <f>IF(B60="","",IF(ISNA(VLOOKUP($B60,'E-1 Off Site Hedge Baseline'!$B$1:$L$257,6,FALSE)),"",(VLOOKUP($B60,'E-1 Off Site Hedge Baseline'!$B$1:$L$257,6,FALSE))))</f>
        <v/>
      </c>
      <c r="G60" s="520" t="str">
        <f>IF(B60="","",IF(ISNA(VLOOKUP($B60,'E-1 Off Site Hedge Baseline'!$B$1:$L$257,7,FALSE)),"",(VLOOKUP($B60,'E-1 Off Site Hedge Baseline'!$B$1:$L$257,7,FALSE))))</f>
        <v/>
      </c>
      <c r="H60" s="520" t="str">
        <f>IF(B60="","",IF(ISNA(VLOOKUP($B60,'E-1 Off Site Hedge Baseline'!$B$1:$L$257,8,FALSE)),"",(VLOOKUP($B60,'E-1 Off Site Hedge Baseline'!$B$1:$L$257,8,FALSE))))</f>
        <v/>
      </c>
      <c r="I60" s="520" t="str">
        <f>IF(B60="","",IF(ISNA(VLOOKUP($B60,'E-1 Off Site Hedge Baseline'!$B$1:$L$257,10,FALSE)),"",(VLOOKUP($B60,'E-1 Off Site Hedge Baseline'!$B$1:$L$257,10,FALSE))))</f>
        <v/>
      </c>
      <c r="J60" s="520" t="str">
        <f>IF(B60="","",IF(ISNA(VLOOKUP($B60,'E-1 Off Site Hedge Baseline'!$B$1:$L$257,11,FALSE)),"",(VLOOKUP($B60,'E-1 Off Site Hedge Baseline'!$B$1:$L$257,11,FALSE))))</f>
        <v/>
      </c>
      <c r="K60" s="520" t="str">
        <f>IF(B60="","",IF(ISNA(VLOOKUP($B60,'E-1 Off Site Hedge Baseline'!$B$1:$U$257,113,FALSE)),"",(VLOOKUP($B60,'E-1 Off Site Hedge Baseline'!$B$1:$U$257,13,FALSE))))</f>
        <v/>
      </c>
      <c r="L60" s="507" t="str">
        <f>IF(B60="","",IF(ISNA(VLOOKUP($B60,'E-1 Off Site Hedge Baseline'!$B$1:$U$257,12,FALSE)),"",(VLOOKUP($B60,'E-1 Off Site Hedge Baseline'!$B$1:$U$257,12,FALSE))))</f>
        <v/>
      </c>
      <c r="M60" s="418" t="str">
        <f t="shared" si="8"/>
        <v/>
      </c>
      <c r="N60" s="498" t="str">
        <f>IFERROR(IF(B60="","",INDEX('G-6 Hedgerow Data'!$AN$3:$AZ$15,MATCH(C60,'G-6 Hedgerow Data'!$AM$3:$AM$15,0),MATCH(M60,'G-6 Hedgerow Data'!$AN$2:$AZ$2,0))),"")</f>
        <v/>
      </c>
      <c r="O60" s="499" t="str">
        <f t="shared" si="2"/>
        <v/>
      </c>
      <c r="P60" s="505" t="str">
        <f>IF(B60="","",VLOOKUP(B60,'E-1 Off Site Hedge Baseline'!$B$10:T305,16,FALSE))</f>
        <v/>
      </c>
      <c r="Q60" s="498" t="str">
        <f>IF(M60="","",VLOOKUP(M60,'G-6 Hedgerow Data'!$B$2:$AG$15,2,FALSE))</f>
        <v/>
      </c>
      <c r="R60" s="499" t="str">
        <f>IF(M60="","",VLOOKUP(M60,'G-6 Hedgerow Data'!$B$2:$AG$15,3,FALSE))</f>
        <v/>
      </c>
      <c r="S60" s="145"/>
      <c r="T60" s="499" t="str">
        <f>IFERROR(IF(AND(Q60="V.Low",OR(S60="Good",S60="Moderate")),"Error ▲",VLOOKUP(S60,'G-1 All Habitats'!$Z$2:$AA$9,2,FALSE)),"")</f>
        <v/>
      </c>
      <c r="U60" s="145"/>
      <c r="V60" s="507" t="str">
        <f>IF(U60="","",IF(VLOOKUP(U60,'G-3 Multipliers'!$L$3:$N$6,2,FALSE)=0,"Spatial Data Missing ⚠",VLOOKUP(U60,'G-3 Multipliers'!$L$3:$N$6,2,FALSE)))</f>
        <v/>
      </c>
      <c r="W60" s="505" t="str">
        <f>IF(U60="","",IF(VLOOKUP(U60,'G-3 Multipliers'!$L$3:$N$6,3,FALSE)=0,"Spatial Data Missing ⚠",VLOOKUP(U60,'G-3 Multipliers'!$L$3:$N$6,3,FALSE)))</f>
        <v/>
      </c>
      <c r="X60" s="498"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7" t="str">
        <f t="shared" si="3"/>
        <v/>
      </c>
      <c r="AB60" s="521" t="str">
        <f t="shared" si="4"/>
        <v/>
      </c>
      <c r="AC60" s="522" t="str">
        <f t="shared" si="1"/>
        <v/>
      </c>
      <c r="AD60" s="537" t="str">
        <f>IF(M60="","",VLOOKUP(M60,'G-6 Hedgerow Data'!$B$3:$AG$15,31,FALSE))</f>
        <v/>
      </c>
      <c r="AE60" s="520" t="str">
        <f t="shared" si="5"/>
        <v/>
      </c>
      <c r="AF60" s="520" t="str">
        <f t="shared" si="6"/>
        <v/>
      </c>
      <c r="AG60" s="524" t="str">
        <f>IFERROR(IF(O60="","",VLOOKUP(AD60,'G-3 Multipliers'!$P$3:$Q$6,2,FALSE)),"")</f>
        <v/>
      </c>
      <c r="AH60" s="197"/>
      <c r="AI60" s="499" t="str">
        <f>IF(AH60="","",IF(VLOOKUP(AH60,'G-3 Multipliers'!$S$3:$T$6,2,FALSE)=0,"Spatial Data Missing ⚠",VLOOKUP(AH60,'G-3 Multipliers'!$S$3:$T$6,2,FALSE)))</f>
        <v/>
      </c>
      <c r="AJ60" s="545" t="str">
        <f t="shared" si="7"/>
        <v/>
      </c>
      <c r="AK60" s="149"/>
      <c r="AL60" s="150"/>
      <c r="AP60" s="31" t="str">
        <f>IFERROR(INDEX('G-6 Hedgerow Data'!$BJ$3:$BJ$15,MATCH(M60,'G-6 Hedgerow Data'!$B$3:$B$15,0)),"")</f>
        <v/>
      </c>
    </row>
    <row r="61" spans="2:42" ht="13.8" x14ac:dyDescent="0.25">
      <c r="B61" s="531" t="str">
        <f>'E-1 Off Site Hedge Baseline'!AK59</f>
        <v/>
      </c>
      <c r="C61" s="520" t="str">
        <f>IF(B61="","",IF(ISNA(VLOOKUP($B61,'E-1 Off Site Hedge Baseline'!$B$1:$L$257,3,FALSE)),"",(VLOOKUP($B61,'E-1 Off Site Hedge Baseline'!$B$1:$L$257,3,FALSE))))</f>
        <v/>
      </c>
      <c r="D61" s="520" t="str">
        <f>IF(B61="","",IF(ISNA(VLOOKUP($B61,'E-1 Off Site Hedge Baseline'!$B$1:$L$258,4,FALSE)),"",(VLOOKUP($B61,'E-1 Off Site Hedge Baseline'!$B$1:$L$258,4,FALSE))))</f>
        <v/>
      </c>
      <c r="E61" s="520" t="str">
        <f>IF(B61="","",IF(ISNA(VLOOKUP($B61,'E-1 Off Site Hedge Baseline'!$B$1:$L$257,5,FALSE)),"",(VLOOKUP($B61,'E-1 Off Site Hedge Baseline'!$B$1:$L$257,5,FALSE))))</f>
        <v/>
      </c>
      <c r="F61" s="520" t="str">
        <f>IF(B61="","",IF(ISNA(VLOOKUP($B61,'E-1 Off Site Hedge Baseline'!$B$1:$L$257,6,FALSE)),"",(VLOOKUP($B61,'E-1 Off Site Hedge Baseline'!$B$1:$L$257,6,FALSE))))</f>
        <v/>
      </c>
      <c r="G61" s="520" t="str">
        <f>IF(B61="","",IF(ISNA(VLOOKUP($B61,'E-1 Off Site Hedge Baseline'!$B$1:$L$257,7,FALSE)),"",(VLOOKUP($B61,'E-1 Off Site Hedge Baseline'!$B$1:$L$257,7,FALSE))))</f>
        <v/>
      </c>
      <c r="H61" s="520" t="str">
        <f>IF(B61="","",IF(ISNA(VLOOKUP($B61,'E-1 Off Site Hedge Baseline'!$B$1:$L$257,8,FALSE)),"",(VLOOKUP($B61,'E-1 Off Site Hedge Baseline'!$B$1:$L$257,8,FALSE))))</f>
        <v/>
      </c>
      <c r="I61" s="520" t="str">
        <f>IF(B61="","",IF(ISNA(VLOOKUP($B61,'E-1 Off Site Hedge Baseline'!$B$1:$L$257,10,FALSE)),"",(VLOOKUP($B61,'E-1 Off Site Hedge Baseline'!$B$1:$L$257,10,FALSE))))</f>
        <v/>
      </c>
      <c r="J61" s="520" t="str">
        <f>IF(B61="","",IF(ISNA(VLOOKUP($B61,'E-1 Off Site Hedge Baseline'!$B$1:$L$257,11,FALSE)),"",(VLOOKUP($B61,'E-1 Off Site Hedge Baseline'!$B$1:$L$257,11,FALSE))))</f>
        <v/>
      </c>
      <c r="K61" s="520" t="str">
        <f>IF(B61="","",IF(ISNA(VLOOKUP($B61,'E-1 Off Site Hedge Baseline'!$B$1:$U$257,113,FALSE)),"",(VLOOKUP($B61,'E-1 Off Site Hedge Baseline'!$B$1:$U$257,13,FALSE))))</f>
        <v/>
      </c>
      <c r="L61" s="507" t="str">
        <f>IF(B61="","",IF(ISNA(VLOOKUP($B61,'E-1 Off Site Hedge Baseline'!$B$1:$U$257,12,FALSE)),"",(VLOOKUP($B61,'E-1 Off Site Hedge Baseline'!$B$1:$U$257,12,FALSE))))</f>
        <v/>
      </c>
      <c r="M61" s="418" t="str">
        <f t="shared" si="8"/>
        <v/>
      </c>
      <c r="N61" s="498" t="str">
        <f>IFERROR(IF(B61="","",INDEX('G-6 Hedgerow Data'!$AN$3:$AZ$15,MATCH(C61,'G-6 Hedgerow Data'!$AM$3:$AM$15,0),MATCH(M61,'G-6 Hedgerow Data'!$AN$2:$AZ$2,0))),"")</f>
        <v/>
      </c>
      <c r="O61" s="499" t="str">
        <f t="shared" si="2"/>
        <v/>
      </c>
      <c r="P61" s="505" t="str">
        <f>IF(B61="","",VLOOKUP(B61,'E-1 Off Site Hedge Baseline'!$B$10:T306,16,FALSE))</f>
        <v/>
      </c>
      <c r="Q61" s="498" t="str">
        <f>IF(M61="","",VLOOKUP(M61,'G-6 Hedgerow Data'!$B$2:$AG$15,2,FALSE))</f>
        <v/>
      </c>
      <c r="R61" s="499" t="str">
        <f>IF(M61="","",VLOOKUP(M61,'G-6 Hedgerow Data'!$B$2:$AG$15,3,FALSE))</f>
        <v/>
      </c>
      <c r="S61" s="145"/>
      <c r="T61" s="499" t="str">
        <f>IFERROR(IF(AND(Q61="V.Low",OR(S61="Good",S61="Moderate")),"Error ▲",VLOOKUP(S61,'G-1 All Habitats'!$Z$2:$AA$9,2,FALSE)),"")</f>
        <v/>
      </c>
      <c r="U61" s="145"/>
      <c r="V61" s="507" t="str">
        <f>IF(U61="","",IF(VLOOKUP(U61,'G-3 Multipliers'!$L$3:$N$6,2,FALSE)=0,"Spatial Data Missing ⚠",VLOOKUP(U61,'G-3 Multipliers'!$L$3:$N$6,2,FALSE)))</f>
        <v/>
      </c>
      <c r="W61" s="505" t="str">
        <f>IF(U61="","",IF(VLOOKUP(U61,'G-3 Multipliers'!$L$3:$N$6,3,FALSE)=0,"Spatial Data Missing ⚠",VLOOKUP(U61,'G-3 Multipliers'!$L$3:$N$6,3,FALSE)))</f>
        <v/>
      </c>
      <c r="X61" s="498"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7" t="str">
        <f t="shared" si="3"/>
        <v/>
      </c>
      <c r="AB61" s="521" t="str">
        <f t="shared" si="4"/>
        <v/>
      </c>
      <c r="AC61" s="522" t="str">
        <f t="shared" si="1"/>
        <v/>
      </c>
      <c r="AD61" s="537" t="str">
        <f>IF(M61="","",VLOOKUP(M61,'G-6 Hedgerow Data'!$B$3:$AG$15,31,FALSE))</f>
        <v/>
      </c>
      <c r="AE61" s="520" t="str">
        <f t="shared" si="5"/>
        <v/>
      </c>
      <c r="AF61" s="520" t="str">
        <f t="shared" si="6"/>
        <v/>
      </c>
      <c r="AG61" s="524" t="str">
        <f>IFERROR(IF(O61="","",VLOOKUP(AD61,'G-3 Multipliers'!$P$3:$Q$6,2,FALSE)),"")</f>
        <v/>
      </c>
      <c r="AH61" s="197"/>
      <c r="AI61" s="499" t="str">
        <f>IF(AH61="","",IF(VLOOKUP(AH61,'G-3 Multipliers'!$S$3:$T$6,2,FALSE)=0,"Spatial Data Missing ⚠",VLOOKUP(AH61,'G-3 Multipliers'!$S$3:$T$6,2,FALSE)))</f>
        <v/>
      </c>
      <c r="AJ61" s="545" t="str">
        <f t="shared" si="7"/>
        <v/>
      </c>
      <c r="AK61" s="149"/>
      <c r="AL61" s="150"/>
      <c r="AP61" s="31" t="str">
        <f>IFERROR(INDEX('G-6 Hedgerow Data'!$BJ$3:$BJ$15,MATCH(M61,'G-6 Hedgerow Data'!$B$3:$B$15,0)),"")</f>
        <v/>
      </c>
    </row>
    <row r="62" spans="2:42" ht="13.8" x14ac:dyDescent="0.25">
      <c r="B62" s="531" t="str">
        <f>'E-1 Off Site Hedge Baseline'!AK60</f>
        <v/>
      </c>
      <c r="C62" s="520" t="str">
        <f>IF(B62="","",IF(ISNA(VLOOKUP($B62,'E-1 Off Site Hedge Baseline'!$B$1:$L$257,3,FALSE)),"",(VLOOKUP($B62,'E-1 Off Site Hedge Baseline'!$B$1:$L$257,3,FALSE))))</f>
        <v/>
      </c>
      <c r="D62" s="520" t="str">
        <f>IF(B62="","",IF(ISNA(VLOOKUP($B62,'E-1 Off Site Hedge Baseline'!$B$1:$L$258,4,FALSE)),"",(VLOOKUP($B62,'E-1 Off Site Hedge Baseline'!$B$1:$L$258,4,FALSE))))</f>
        <v/>
      </c>
      <c r="E62" s="520" t="str">
        <f>IF(B62="","",IF(ISNA(VLOOKUP($B62,'E-1 Off Site Hedge Baseline'!$B$1:$L$257,5,FALSE)),"",(VLOOKUP($B62,'E-1 Off Site Hedge Baseline'!$B$1:$L$257,5,FALSE))))</f>
        <v/>
      </c>
      <c r="F62" s="520" t="str">
        <f>IF(B62="","",IF(ISNA(VLOOKUP($B62,'E-1 Off Site Hedge Baseline'!$B$1:$L$257,6,FALSE)),"",(VLOOKUP($B62,'E-1 Off Site Hedge Baseline'!$B$1:$L$257,6,FALSE))))</f>
        <v/>
      </c>
      <c r="G62" s="520" t="str">
        <f>IF(B62="","",IF(ISNA(VLOOKUP($B62,'E-1 Off Site Hedge Baseline'!$B$1:$L$257,7,FALSE)),"",(VLOOKUP($B62,'E-1 Off Site Hedge Baseline'!$B$1:$L$257,7,FALSE))))</f>
        <v/>
      </c>
      <c r="H62" s="520" t="str">
        <f>IF(B62="","",IF(ISNA(VLOOKUP($B62,'E-1 Off Site Hedge Baseline'!$B$1:$L$257,8,FALSE)),"",(VLOOKUP($B62,'E-1 Off Site Hedge Baseline'!$B$1:$L$257,8,FALSE))))</f>
        <v/>
      </c>
      <c r="I62" s="520" t="str">
        <f>IF(B62="","",IF(ISNA(VLOOKUP($B62,'E-1 Off Site Hedge Baseline'!$B$1:$L$257,10,FALSE)),"",(VLOOKUP($B62,'E-1 Off Site Hedge Baseline'!$B$1:$L$257,10,FALSE))))</f>
        <v/>
      </c>
      <c r="J62" s="520" t="str">
        <f>IF(B62="","",IF(ISNA(VLOOKUP($B62,'E-1 Off Site Hedge Baseline'!$B$1:$L$257,11,FALSE)),"",(VLOOKUP($B62,'E-1 Off Site Hedge Baseline'!$B$1:$L$257,11,FALSE))))</f>
        <v/>
      </c>
      <c r="K62" s="520" t="str">
        <f>IF(B62="","",IF(ISNA(VLOOKUP($B62,'E-1 Off Site Hedge Baseline'!$B$1:$U$257,113,FALSE)),"",(VLOOKUP($B62,'E-1 Off Site Hedge Baseline'!$B$1:$U$257,13,FALSE))))</f>
        <v/>
      </c>
      <c r="L62" s="507" t="str">
        <f>IF(B62="","",IF(ISNA(VLOOKUP($B62,'E-1 Off Site Hedge Baseline'!$B$1:$U$257,12,FALSE)),"",(VLOOKUP($B62,'E-1 Off Site Hedge Baseline'!$B$1:$U$257,12,FALSE))))</f>
        <v/>
      </c>
      <c r="M62" s="418" t="str">
        <f t="shared" si="8"/>
        <v/>
      </c>
      <c r="N62" s="498" t="str">
        <f>IFERROR(IF(B62="","",INDEX('G-6 Hedgerow Data'!$AN$3:$AZ$15,MATCH(C62,'G-6 Hedgerow Data'!$AM$3:$AM$15,0),MATCH(M62,'G-6 Hedgerow Data'!$AN$2:$AZ$2,0))),"")</f>
        <v/>
      </c>
      <c r="O62" s="499" t="str">
        <f t="shared" si="2"/>
        <v/>
      </c>
      <c r="P62" s="505" t="str">
        <f>IF(B62="","",VLOOKUP(B62,'E-1 Off Site Hedge Baseline'!$B$10:T307,16,FALSE))</f>
        <v/>
      </c>
      <c r="Q62" s="498" t="str">
        <f>IF(M62="","",VLOOKUP(M62,'G-6 Hedgerow Data'!$B$2:$AG$15,2,FALSE))</f>
        <v/>
      </c>
      <c r="R62" s="499" t="str">
        <f>IF(M62="","",VLOOKUP(M62,'G-6 Hedgerow Data'!$B$2:$AG$15,3,FALSE))</f>
        <v/>
      </c>
      <c r="S62" s="145"/>
      <c r="T62" s="499" t="str">
        <f>IFERROR(IF(AND(Q62="V.Low",OR(S62="Good",S62="Moderate")),"Error ▲",VLOOKUP(S62,'G-1 All Habitats'!$Z$2:$AA$9,2,FALSE)),"")</f>
        <v/>
      </c>
      <c r="U62" s="145"/>
      <c r="V62" s="507" t="str">
        <f>IF(U62="","",IF(VLOOKUP(U62,'G-3 Multipliers'!$L$3:$N$6,2,FALSE)=0,"Spatial Data Missing ⚠",VLOOKUP(U62,'G-3 Multipliers'!$L$3:$N$6,2,FALSE)))</f>
        <v/>
      </c>
      <c r="W62" s="505" t="str">
        <f>IF(U62="","",IF(VLOOKUP(U62,'G-3 Multipliers'!$L$3:$N$6,3,FALSE)=0,"Spatial Data Missing ⚠",VLOOKUP(U62,'G-3 Multipliers'!$L$3:$N$6,3,FALSE)))</f>
        <v/>
      </c>
      <c r="X62" s="498"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7" t="str">
        <f t="shared" si="3"/>
        <v/>
      </c>
      <c r="AB62" s="521" t="str">
        <f t="shared" si="4"/>
        <v/>
      </c>
      <c r="AC62" s="522" t="str">
        <f t="shared" si="1"/>
        <v/>
      </c>
      <c r="AD62" s="537" t="str">
        <f>IF(M62="","",VLOOKUP(M62,'G-6 Hedgerow Data'!$B$3:$AG$15,31,FALSE))</f>
        <v/>
      </c>
      <c r="AE62" s="520" t="str">
        <f t="shared" si="5"/>
        <v/>
      </c>
      <c r="AF62" s="520" t="str">
        <f t="shared" si="6"/>
        <v/>
      </c>
      <c r="AG62" s="524" t="str">
        <f>IFERROR(IF(O62="","",VLOOKUP(AD62,'G-3 Multipliers'!$P$3:$Q$6,2,FALSE)),"")</f>
        <v/>
      </c>
      <c r="AH62" s="197"/>
      <c r="AI62" s="499" t="str">
        <f>IF(AH62="","",IF(VLOOKUP(AH62,'G-3 Multipliers'!$S$3:$T$6,2,FALSE)=0,"Spatial Data Missing ⚠",VLOOKUP(AH62,'G-3 Multipliers'!$S$3:$T$6,2,FALSE)))</f>
        <v/>
      </c>
      <c r="AJ62" s="545" t="str">
        <f t="shared" si="7"/>
        <v/>
      </c>
      <c r="AK62" s="149"/>
      <c r="AL62" s="150"/>
      <c r="AP62" s="31" t="str">
        <f>IFERROR(INDEX('G-6 Hedgerow Data'!$BJ$3:$BJ$15,MATCH(M62,'G-6 Hedgerow Data'!$B$3:$B$15,0)),"")</f>
        <v/>
      </c>
    </row>
    <row r="63" spans="2:42" ht="13.8" x14ac:dyDescent="0.25">
      <c r="B63" s="531" t="str">
        <f>'E-1 Off Site Hedge Baseline'!AK61</f>
        <v/>
      </c>
      <c r="C63" s="520" t="str">
        <f>IF(B63="","",IF(ISNA(VLOOKUP($B63,'E-1 Off Site Hedge Baseline'!$B$1:$L$257,3,FALSE)),"",(VLOOKUP($B63,'E-1 Off Site Hedge Baseline'!$B$1:$L$257,3,FALSE))))</f>
        <v/>
      </c>
      <c r="D63" s="520" t="str">
        <f>IF(B63="","",IF(ISNA(VLOOKUP($B63,'E-1 Off Site Hedge Baseline'!$B$1:$L$258,4,FALSE)),"",(VLOOKUP($B63,'E-1 Off Site Hedge Baseline'!$B$1:$L$258,4,FALSE))))</f>
        <v/>
      </c>
      <c r="E63" s="520" t="str">
        <f>IF(B63="","",IF(ISNA(VLOOKUP($B63,'E-1 Off Site Hedge Baseline'!$B$1:$L$257,5,FALSE)),"",(VLOOKUP($B63,'E-1 Off Site Hedge Baseline'!$B$1:$L$257,5,FALSE))))</f>
        <v/>
      </c>
      <c r="F63" s="520" t="str">
        <f>IF(B63="","",IF(ISNA(VLOOKUP($B63,'E-1 Off Site Hedge Baseline'!$B$1:$L$257,6,FALSE)),"",(VLOOKUP($B63,'E-1 Off Site Hedge Baseline'!$B$1:$L$257,6,FALSE))))</f>
        <v/>
      </c>
      <c r="G63" s="520" t="str">
        <f>IF(B63="","",IF(ISNA(VLOOKUP($B63,'E-1 Off Site Hedge Baseline'!$B$1:$L$257,7,FALSE)),"",(VLOOKUP($B63,'E-1 Off Site Hedge Baseline'!$B$1:$L$257,7,FALSE))))</f>
        <v/>
      </c>
      <c r="H63" s="520" t="str">
        <f>IF(B63="","",IF(ISNA(VLOOKUP($B63,'E-1 Off Site Hedge Baseline'!$B$1:$L$257,8,FALSE)),"",(VLOOKUP($B63,'E-1 Off Site Hedge Baseline'!$B$1:$L$257,8,FALSE))))</f>
        <v/>
      </c>
      <c r="I63" s="520" t="str">
        <f>IF(B63="","",IF(ISNA(VLOOKUP($B63,'E-1 Off Site Hedge Baseline'!$B$1:$L$257,10,FALSE)),"",(VLOOKUP($B63,'E-1 Off Site Hedge Baseline'!$B$1:$L$257,10,FALSE))))</f>
        <v/>
      </c>
      <c r="J63" s="520" t="str">
        <f>IF(B63="","",IF(ISNA(VLOOKUP($B63,'E-1 Off Site Hedge Baseline'!$B$1:$L$257,11,FALSE)),"",(VLOOKUP($B63,'E-1 Off Site Hedge Baseline'!$B$1:$L$257,11,FALSE))))</f>
        <v/>
      </c>
      <c r="K63" s="520" t="str">
        <f>IF(B63="","",IF(ISNA(VLOOKUP($B63,'E-1 Off Site Hedge Baseline'!$B$1:$U$257,113,FALSE)),"",(VLOOKUP($B63,'E-1 Off Site Hedge Baseline'!$B$1:$U$257,13,FALSE))))</f>
        <v/>
      </c>
      <c r="L63" s="507" t="str">
        <f>IF(B63="","",IF(ISNA(VLOOKUP($B63,'E-1 Off Site Hedge Baseline'!$B$1:$U$257,12,FALSE)),"",(VLOOKUP($B63,'E-1 Off Site Hedge Baseline'!$B$1:$U$257,12,FALSE))))</f>
        <v/>
      </c>
      <c r="M63" s="418" t="str">
        <f t="shared" si="8"/>
        <v/>
      </c>
      <c r="N63" s="498" t="str">
        <f>IFERROR(IF(B63="","",INDEX('G-6 Hedgerow Data'!$AN$3:$AZ$15,MATCH(C63,'G-6 Hedgerow Data'!$AM$3:$AM$15,0),MATCH(M63,'G-6 Hedgerow Data'!$AN$2:$AZ$2,0))),"")</f>
        <v/>
      </c>
      <c r="O63" s="499" t="str">
        <f t="shared" si="2"/>
        <v/>
      </c>
      <c r="P63" s="505" t="str">
        <f>IF(B63="","",VLOOKUP(B63,'E-1 Off Site Hedge Baseline'!$B$10:T308,16,FALSE))</f>
        <v/>
      </c>
      <c r="Q63" s="498" t="str">
        <f>IF(M63="","",VLOOKUP(M63,'G-6 Hedgerow Data'!$B$2:$AG$15,2,FALSE))</f>
        <v/>
      </c>
      <c r="R63" s="499" t="str">
        <f>IF(M63="","",VLOOKUP(M63,'G-6 Hedgerow Data'!$B$2:$AG$15,3,FALSE))</f>
        <v/>
      </c>
      <c r="S63" s="145"/>
      <c r="T63" s="499" t="str">
        <f>IFERROR(IF(AND(Q63="V.Low",OR(S63="Good",S63="Moderate")),"Error ▲",VLOOKUP(S63,'G-1 All Habitats'!$Z$2:$AA$9,2,FALSE)),"")</f>
        <v/>
      </c>
      <c r="U63" s="145"/>
      <c r="V63" s="507" t="str">
        <f>IF(U63="","",IF(VLOOKUP(U63,'G-3 Multipliers'!$L$3:$N$6,2,FALSE)=0,"Spatial Data Missing ⚠",VLOOKUP(U63,'G-3 Multipliers'!$L$3:$N$6,2,FALSE)))</f>
        <v/>
      </c>
      <c r="W63" s="505" t="str">
        <f>IF(U63="","",IF(VLOOKUP(U63,'G-3 Multipliers'!$L$3:$N$6,3,FALSE)=0,"Spatial Data Missing ⚠",VLOOKUP(U63,'G-3 Multipliers'!$L$3:$N$6,3,FALSE)))</f>
        <v/>
      </c>
      <c r="X63" s="498"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7" t="str">
        <f t="shared" si="3"/>
        <v/>
      </c>
      <c r="AB63" s="521" t="str">
        <f t="shared" si="4"/>
        <v/>
      </c>
      <c r="AC63" s="522" t="str">
        <f t="shared" si="1"/>
        <v/>
      </c>
      <c r="AD63" s="537" t="str">
        <f>IF(M63="","",VLOOKUP(M63,'G-6 Hedgerow Data'!$B$3:$AG$15,31,FALSE))</f>
        <v/>
      </c>
      <c r="AE63" s="520" t="str">
        <f t="shared" si="5"/>
        <v/>
      </c>
      <c r="AF63" s="520" t="str">
        <f t="shared" si="6"/>
        <v/>
      </c>
      <c r="AG63" s="524" t="str">
        <f>IFERROR(IF(O63="","",VLOOKUP(AD63,'G-3 Multipliers'!$P$3:$Q$6,2,FALSE)),"")</f>
        <v/>
      </c>
      <c r="AH63" s="197"/>
      <c r="AI63" s="499" t="str">
        <f>IF(AH63="","",IF(VLOOKUP(AH63,'G-3 Multipliers'!$S$3:$T$6,2,FALSE)=0,"Spatial Data Missing ⚠",VLOOKUP(AH63,'G-3 Multipliers'!$S$3:$T$6,2,FALSE)))</f>
        <v/>
      </c>
      <c r="AJ63" s="545" t="str">
        <f t="shared" si="7"/>
        <v/>
      </c>
      <c r="AK63" s="149"/>
      <c r="AL63" s="150"/>
      <c r="AP63" s="31" t="str">
        <f>IFERROR(INDEX('G-6 Hedgerow Data'!$BJ$3:$BJ$15,MATCH(M63,'G-6 Hedgerow Data'!$B$3:$B$15,0)),"")</f>
        <v/>
      </c>
    </row>
    <row r="64" spans="2:42" ht="13.8" x14ac:dyDescent="0.25">
      <c r="B64" s="531" t="str">
        <f>'E-1 Off Site Hedge Baseline'!AK62</f>
        <v/>
      </c>
      <c r="C64" s="520" t="str">
        <f>IF(B64="","",IF(ISNA(VLOOKUP($B64,'E-1 Off Site Hedge Baseline'!$B$1:$L$257,3,FALSE)),"",(VLOOKUP($B64,'E-1 Off Site Hedge Baseline'!$B$1:$L$257,3,FALSE))))</f>
        <v/>
      </c>
      <c r="D64" s="520" t="str">
        <f>IF(B64="","",IF(ISNA(VLOOKUP($B64,'E-1 Off Site Hedge Baseline'!$B$1:$L$258,4,FALSE)),"",(VLOOKUP($B64,'E-1 Off Site Hedge Baseline'!$B$1:$L$258,4,FALSE))))</f>
        <v/>
      </c>
      <c r="E64" s="520" t="str">
        <f>IF(B64="","",IF(ISNA(VLOOKUP($B64,'E-1 Off Site Hedge Baseline'!$B$1:$L$257,5,FALSE)),"",(VLOOKUP($B64,'E-1 Off Site Hedge Baseline'!$B$1:$L$257,5,FALSE))))</f>
        <v/>
      </c>
      <c r="F64" s="520" t="str">
        <f>IF(B64="","",IF(ISNA(VLOOKUP($B64,'E-1 Off Site Hedge Baseline'!$B$1:$L$257,6,FALSE)),"",(VLOOKUP($B64,'E-1 Off Site Hedge Baseline'!$B$1:$L$257,6,FALSE))))</f>
        <v/>
      </c>
      <c r="G64" s="520" t="str">
        <f>IF(B64="","",IF(ISNA(VLOOKUP($B64,'E-1 Off Site Hedge Baseline'!$B$1:$L$257,7,FALSE)),"",(VLOOKUP($B64,'E-1 Off Site Hedge Baseline'!$B$1:$L$257,7,FALSE))))</f>
        <v/>
      </c>
      <c r="H64" s="520" t="str">
        <f>IF(B64="","",IF(ISNA(VLOOKUP($B64,'E-1 Off Site Hedge Baseline'!$B$1:$L$257,8,FALSE)),"",(VLOOKUP($B64,'E-1 Off Site Hedge Baseline'!$B$1:$L$257,8,FALSE))))</f>
        <v/>
      </c>
      <c r="I64" s="520" t="str">
        <f>IF(B64="","",IF(ISNA(VLOOKUP($B64,'E-1 Off Site Hedge Baseline'!$B$1:$L$257,10,FALSE)),"",(VLOOKUP($B64,'E-1 Off Site Hedge Baseline'!$B$1:$L$257,10,FALSE))))</f>
        <v/>
      </c>
      <c r="J64" s="520" t="str">
        <f>IF(B64="","",IF(ISNA(VLOOKUP($B64,'E-1 Off Site Hedge Baseline'!$B$1:$L$257,11,FALSE)),"",(VLOOKUP($B64,'E-1 Off Site Hedge Baseline'!$B$1:$L$257,11,FALSE))))</f>
        <v/>
      </c>
      <c r="K64" s="520" t="str">
        <f>IF(B64="","",IF(ISNA(VLOOKUP($B64,'E-1 Off Site Hedge Baseline'!$B$1:$U$257,113,FALSE)),"",(VLOOKUP($B64,'E-1 Off Site Hedge Baseline'!$B$1:$U$257,13,FALSE))))</f>
        <v/>
      </c>
      <c r="L64" s="507" t="str">
        <f>IF(B64="","",IF(ISNA(VLOOKUP($B64,'E-1 Off Site Hedge Baseline'!$B$1:$U$257,12,FALSE)),"",(VLOOKUP($B64,'E-1 Off Site Hedge Baseline'!$B$1:$U$257,12,FALSE))))</f>
        <v/>
      </c>
      <c r="M64" s="418" t="str">
        <f t="shared" si="8"/>
        <v/>
      </c>
      <c r="N64" s="498" t="str">
        <f>IFERROR(IF(B64="","",INDEX('G-6 Hedgerow Data'!$AN$3:$AZ$15,MATCH(C64,'G-6 Hedgerow Data'!$AM$3:$AM$15,0),MATCH(M64,'G-6 Hedgerow Data'!$AN$2:$AZ$2,0))),"")</f>
        <v/>
      </c>
      <c r="O64" s="499" t="str">
        <f t="shared" si="2"/>
        <v/>
      </c>
      <c r="P64" s="505" t="str">
        <f>IF(B64="","",VLOOKUP(B64,'E-1 Off Site Hedge Baseline'!$B$10:T309,16,FALSE))</f>
        <v/>
      </c>
      <c r="Q64" s="498" t="str">
        <f>IF(M64="","",VLOOKUP(M64,'G-6 Hedgerow Data'!$B$2:$AG$15,2,FALSE))</f>
        <v/>
      </c>
      <c r="R64" s="499" t="str">
        <f>IF(M64="","",VLOOKUP(M64,'G-6 Hedgerow Data'!$B$2:$AG$15,3,FALSE))</f>
        <v/>
      </c>
      <c r="S64" s="145"/>
      <c r="T64" s="499" t="str">
        <f>IFERROR(IF(AND(Q64="V.Low",OR(S64="Good",S64="Moderate")),"Error ▲",VLOOKUP(S64,'G-1 All Habitats'!$Z$2:$AA$9,2,FALSE)),"")</f>
        <v/>
      </c>
      <c r="U64" s="145"/>
      <c r="V64" s="507" t="str">
        <f>IF(U64="","",IF(VLOOKUP(U64,'G-3 Multipliers'!$L$3:$N$6,2,FALSE)=0,"Spatial Data Missing ⚠",VLOOKUP(U64,'G-3 Multipliers'!$L$3:$N$6,2,FALSE)))</f>
        <v/>
      </c>
      <c r="W64" s="505" t="str">
        <f>IF(U64="","",IF(VLOOKUP(U64,'G-3 Multipliers'!$L$3:$N$6,3,FALSE)=0,"Spatial Data Missing ⚠",VLOOKUP(U64,'G-3 Multipliers'!$L$3:$N$6,3,FALSE)))</f>
        <v/>
      </c>
      <c r="X64" s="498"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7" t="str">
        <f t="shared" si="3"/>
        <v/>
      </c>
      <c r="AB64" s="521" t="str">
        <f t="shared" si="4"/>
        <v/>
      </c>
      <c r="AC64" s="522" t="str">
        <f t="shared" si="1"/>
        <v/>
      </c>
      <c r="AD64" s="537" t="str">
        <f>IF(M64="","",VLOOKUP(M64,'G-6 Hedgerow Data'!$B$3:$AG$15,31,FALSE))</f>
        <v/>
      </c>
      <c r="AE64" s="520" t="str">
        <f t="shared" si="5"/>
        <v/>
      </c>
      <c r="AF64" s="520" t="str">
        <f t="shared" si="6"/>
        <v/>
      </c>
      <c r="AG64" s="524" t="str">
        <f>IFERROR(IF(O64="","",VLOOKUP(AD64,'G-3 Multipliers'!$P$3:$Q$6,2,FALSE)),"")</f>
        <v/>
      </c>
      <c r="AH64" s="197"/>
      <c r="AI64" s="499" t="str">
        <f>IF(AH64="","",IF(VLOOKUP(AH64,'G-3 Multipliers'!$S$3:$T$6,2,FALSE)=0,"Spatial Data Missing ⚠",VLOOKUP(AH64,'G-3 Multipliers'!$S$3:$T$6,2,FALSE)))</f>
        <v/>
      </c>
      <c r="AJ64" s="545" t="str">
        <f t="shared" si="7"/>
        <v/>
      </c>
      <c r="AK64" s="149"/>
      <c r="AL64" s="150"/>
      <c r="AP64" s="31" t="str">
        <f>IFERROR(INDEX('G-6 Hedgerow Data'!$BJ$3:$BJ$15,MATCH(M64,'G-6 Hedgerow Data'!$B$3:$B$15,0)),"")</f>
        <v/>
      </c>
    </row>
    <row r="65" spans="2:42" ht="13.8" x14ac:dyDescent="0.25">
      <c r="B65" s="531" t="str">
        <f>'E-1 Off Site Hedge Baseline'!AK63</f>
        <v/>
      </c>
      <c r="C65" s="520" t="str">
        <f>IF(B65="","",IF(ISNA(VLOOKUP($B65,'E-1 Off Site Hedge Baseline'!$B$1:$L$257,3,FALSE)),"",(VLOOKUP($B65,'E-1 Off Site Hedge Baseline'!$B$1:$L$257,3,FALSE))))</f>
        <v/>
      </c>
      <c r="D65" s="520" t="str">
        <f>IF(B65="","",IF(ISNA(VLOOKUP($B65,'E-1 Off Site Hedge Baseline'!$B$1:$L$258,4,FALSE)),"",(VLOOKUP($B65,'E-1 Off Site Hedge Baseline'!$B$1:$L$258,4,FALSE))))</f>
        <v/>
      </c>
      <c r="E65" s="520" t="str">
        <f>IF(B65="","",IF(ISNA(VLOOKUP($B65,'E-1 Off Site Hedge Baseline'!$B$1:$L$257,5,FALSE)),"",(VLOOKUP($B65,'E-1 Off Site Hedge Baseline'!$B$1:$L$257,5,FALSE))))</f>
        <v/>
      </c>
      <c r="F65" s="520" t="str">
        <f>IF(B65="","",IF(ISNA(VLOOKUP($B65,'E-1 Off Site Hedge Baseline'!$B$1:$L$257,6,FALSE)),"",(VLOOKUP($B65,'E-1 Off Site Hedge Baseline'!$B$1:$L$257,6,FALSE))))</f>
        <v/>
      </c>
      <c r="G65" s="520" t="str">
        <f>IF(B65="","",IF(ISNA(VLOOKUP($B65,'E-1 Off Site Hedge Baseline'!$B$1:$L$257,7,FALSE)),"",(VLOOKUP($B65,'E-1 Off Site Hedge Baseline'!$B$1:$L$257,7,FALSE))))</f>
        <v/>
      </c>
      <c r="H65" s="520" t="str">
        <f>IF(B65="","",IF(ISNA(VLOOKUP($B65,'E-1 Off Site Hedge Baseline'!$B$1:$L$257,8,FALSE)),"",(VLOOKUP($B65,'E-1 Off Site Hedge Baseline'!$B$1:$L$257,8,FALSE))))</f>
        <v/>
      </c>
      <c r="I65" s="520" t="str">
        <f>IF(B65="","",IF(ISNA(VLOOKUP($B65,'E-1 Off Site Hedge Baseline'!$B$1:$L$257,10,FALSE)),"",(VLOOKUP($B65,'E-1 Off Site Hedge Baseline'!$B$1:$L$257,10,FALSE))))</f>
        <v/>
      </c>
      <c r="J65" s="520" t="str">
        <f>IF(B65="","",IF(ISNA(VLOOKUP($B65,'E-1 Off Site Hedge Baseline'!$B$1:$L$257,11,FALSE)),"",(VLOOKUP($B65,'E-1 Off Site Hedge Baseline'!$B$1:$L$257,11,FALSE))))</f>
        <v/>
      </c>
      <c r="K65" s="520" t="str">
        <f>IF(B65="","",IF(ISNA(VLOOKUP($B65,'E-1 Off Site Hedge Baseline'!$B$1:$U$257,113,FALSE)),"",(VLOOKUP($B65,'E-1 Off Site Hedge Baseline'!$B$1:$U$257,13,FALSE))))</f>
        <v/>
      </c>
      <c r="L65" s="507" t="str">
        <f>IF(B65="","",IF(ISNA(VLOOKUP($B65,'E-1 Off Site Hedge Baseline'!$B$1:$U$257,12,FALSE)),"",(VLOOKUP($B65,'E-1 Off Site Hedge Baseline'!$B$1:$U$257,12,FALSE))))</f>
        <v/>
      </c>
      <c r="M65" s="418" t="str">
        <f t="shared" si="8"/>
        <v/>
      </c>
      <c r="N65" s="498" t="str">
        <f>IFERROR(IF(B65="","",INDEX('G-6 Hedgerow Data'!$AN$3:$AZ$15,MATCH(C65,'G-6 Hedgerow Data'!$AM$3:$AM$15,0),MATCH(M65,'G-6 Hedgerow Data'!$AN$2:$AZ$2,0))),"")</f>
        <v/>
      </c>
      <c r="O65" s="499" t="str">
        <f t="shared" si="2"/>
        <v/>
      </c>
      <c r="P65" s="505" t="str">
        <f>IF(B65="","",VLOOKUP(B65,'E-1 Off Site Hedge Baseline'!$B$10:T310,16,FALSE))</f>
        <v/>
      </c>
      <c r="Q65" s="498" t="str">
        <f>IF(M65="","",VLOOKUP(M65,'G-6 Hedgerow Data'!$B$2:$AG$15,2,FALSE))</f>
        <v/>
      </c>
      <c r="R65" s="499" t="str">
        <f>IF(M65="","",VLOOKUP(M65,'G-6 Hedgerow Data'!$B$2:$AG$15,3,FALSE))</f>
        <v/>
      </c>
      <c r="S65" s="145"/>
      <c r="T65" s="499" t="str">
        <f>IFERROR(IF(AND(Q65="V.Low",OR(S65="Good",S65="Moderate")),"Error ▲",VLOOKUP(S65,'G-1 All Habitats'!$Z$2:$AA$9,2,FALSE)),"")</f>
        <v/>
      </c>
      <c r="U65" s="145"/>
      <c r="V65" s="507" t="str">
        <f>IF(U65="","",IF(VLOOKUP(U65,'G-3 Multipliers'!$L$3:$N$6,2,FALSE)=0,"Spatial Data Missing ⚠",VLOOKUP(U65,'G-3 Multipliers'!$L$3:$N$6,2,FALSE)))</f>
        <v/>
      </c>
      <c r="W65" s="505" t="str">
        <f>IF(U65="","",IF(VLOOKUP(U65,'G-3 Multipliers'!$L$3:$N$6,3,FALSE)=0,"Spatial Data Missing ⚠",VLOOKUP(U65,'G-3 Multipliers'!$L$3:$N$6,3,FALSE)))</f>
        <v/>
      </c>
      <c r="X65" s="498"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7" t="str">
        <f t="shared" si="3"/>
        <v/>
      </c>
      <c r="AB65" s="521" t="str">
        <f t="shared" si="4"/>
        <v/>
      </c>
      <c r="AC65" s="522" t="str">
        <f t="shared" si="1"/>
        <v/>
      </c>
      <c r="AD65" s="537" t="str">
        <f>IF(M65="","",VLOOKUP(M65,'G-6 Hedgerow Data'!$B$3:$AG$15,31,FALSE))</f>
        <v/>
      </c>
      <c r="AE65" s="520" t="str">
        <f t="shared" si="5"/>
        <v/>
      </c>
      <c r="AF65" s="520" t="str">
        <f t="shared" si="6"/>
        <v/>
      </c>
      <c r="AG65" s="524" t="str">
        <f>IFERROR(IF(O65="","",VLOOKUP(AD65,'G-3 Multipliers'!$P$3:$Q$6,2,FALSE)),"")</f>
        <v/>
      </c>
      <c r="AH65" s="197"/>
      <c r="AI65" s="499" t="str">
        <f>IF(AH65="","",IF(VLOOKUP(AH65,'G-3 Multipliers'!$S$3:$T$6,2,FALSE)=0,"Spatial Data Missing ⚠",VLOOKUP(AH65,'G-3 Multipliers'!$S$3:$T$6,2,FALSE)))</f>
        <v/>
      </c>
      <c r="AJ65" s="545" t="str">
        <f t="shared" si="7"/>
        <v/>
      </c>
      <c r="AK65" s="149"/>
      <c r="AL65" s="150"/>
      <c r="AP65" s="31" t="str">
        <f>IFERROR(INDEX('G-6 Hedgerow Data'!$BJ$3:$BJ$15,MATCH(M65,'G-6 Hedgerow Data'!$B$3:$B$15,0)),"")</f>
        <v/>
      </c>
    </row>
    <row r="66" spans="2:42" ht="13.8" x14ac:dyDescent="0.25">
      <c r="B66" s="531" t="str">
        <f>'E-1 Off Site Hedge Baseline'!AK64</f>
        <v/>
      </c>
      <c r="C66" s="520" t="str">
        <f>IF(B66="","",IF(ISNA(VLOOKUP($B66,'E-1 Off Site Hedge Baseline'!$B$1:$L$257,3,FALSE)),"",(VLOOKUP($B66,'E-1 Off Site Hedge Baseline'!$B$1:$L$257,3,FALSE))))</f>
        <v/>
      </c>
      <c r="D66" s="520" t="str">
        <f>IF(B66="","",IF(ISNA(VLOOKUP($B66,'E-1 Off Site Hedge Baseline'!$B$1:$L$258,4,FALSE)),"",(VLOOKUP($B66,'E-1 Off Site Hedge Baseline'!$B$1:$L$258,4,FALSE))))</f>
        <v/>
      </c>
      <c r="E66" s="520" t="str">
        <f>IF(B66="","",IF(ISNA(VLOOKUP($B66,'E-1 Off Site Hedge Baseline'!$B$1:$L$257,5,FALSE)),"",(VLOOKUP($B66,'E-1 Off Site Hedge Baseline'!$B$1:$L$257,5,FALSE))))</f>
        <v/>
      </c>
      <c r="F66" s="520" t="str">
        <f>IF(B66="","",IF(ISNA(VLOOKUP($B66,'E-1 Off Site Hedge Baseline'!$B$1:$L$257,6,FALSE)),"",(VLOOKUP($B66,'E-1 Off Site Hedge Baseline'!$B$1:$L$257,6,FALSE))))</f>
        <v/>
      </c>
      <c r="G66" s="520" t="str">
        <f>IF(B66="","",IF(ISNA(VLOOKUP($B66,'E-1 Off Site Hedge Baseline'!$B$1:$L$257,7,FALSE)),"",(VLOOKUP($B66,'E-1 Off Site Hedge Baseline'!$B$1:$L$257,7,FALSE))))</f>
        <v/>
      </c>
      <c r="H66" s="520" t="str">
        <f>IF(B66="","",IF(ISNA(VLOOKUP($B66,'E-1 Off Site Hedge Baseline'!$B$1:$L$257,8,FALSE)),"",(VLOOKUP($B66,'E-1 Off Site Hedge Baseline'!$B$1:$L$257,8,FALSE))))</f>
        <v/>
      </c>
      <c r="I66" s="520" t="str">
        <f>IF(B66="","",IF(ISNA(VLOOKUP($B66,'E-1 Off Site Hedge Baseline'!$B$1:$L$257,10,FALSE)),"",(VLOOKUP($B66,'E-1 Off Site Hedge Baseline'!$B$1:$L$257,10,FALSE))))</f>
        <v/>
      </c>
      <c r="J66" s="520" t="str">
        <f>IF(B66="","",IF(ISNA(VLOOKUP($B66,'E-1 Off Site Hedge Baseline'!$B$1:$L$257,11,FALSE)),"",(VLOOKUP($B66,'E-1 Off Site Hedge Baseline'!$B$1:$L$257,11,FALSE))))</f>
        <v/>
      </c>
      <c r="K66" s="520" t="str">
        <f>IF(B66="","",IF(ISNA(VLOOKUP($B66,'E-1 Off Site Hedge Baseline'!$B$1:$U$257,113,FALSE)),"",(VLOOKUP($B66,'E-1 Off Site Hedge Baseline'!$B$1:$U$257,13,FALSE))))</f>
        <v/>
      </c>
      <c r="L66" s="507" t="str">
        <f>IF(B66="","",IF(ISNA(VLOOKUP($B66,'E-1 Off Site Hedge Baseline'!$B$1:$U$257,12,FALSE)),"",(VLOOKUP($B66,'E-1 Off Site Hedge Baseline'!$B$1:$U$257,12,FALSE))))</f>
        <v/>
      </c>
      <c r="M66" s="418" t="str">
        <f t="shared" si="8"/>
        <v/>
      </c>
      <c r="N66" s="498" t="str">
        <f>IFERROR(IF(B66="","",INDEX('G-6 Hedgerow Data'!$AN$3:$AZ$15,MATCH(C66,'G-6 Hedgerow Data'!$AM$3:$AM$15,0),MATCH(M66,'G-6 Hedgerow Data'!$AN$2:$AZ$2,0))),"")</f>
        <v/>
      </c>
      <c r="O66" s="499" t="str">
        <f t="shared" si="2"/>
        <v/>
      </c>
      <c r="P66" s="505" t="str">
        <f>IF(B66="","",VLOOKUP(B66,'E-1 Off Site Hedge Baseline'!$B$10:T311,16,FALSE))</f>
        <v/>
      </c>
      <c r="Q66" s="498" t="str">
        <f>IF(M66="","",VLOOKUP(M66,'G-6 Hedgerow Data'!$B$2:$AG$15,2,FALSE))</f>
        <v/>
      </c>
      <c r="R66" s="499" t="str">
        <f>IF(M66="","",VLOOKUP(M66,'G-6 Hedgerow Data'!$B$2:$AG$15,3,FALSE))</f>
        <v/>
      </c>
      <c r="S66" s="145"/>
      <c r="T66" s="499" t="str">
        <f>IFERROR(IF(AND(Q66="V.Low",OR(S66="Good",S66="Moderate")),"Error ▲",VLOOKUP(S66,'G-1 All Habitats'!$Z$2:$AA$9,2,FALSE)),"")</f>
        <v/>
      </c>
      <c r="U66" s="145"/>
      <c r="V66" s="507" t="str">
        <f>IF(U66="","",IF(VLOOKUP(U66,'G-3 Multipliers'!$L$3:$N$6,2,FALSE)=0,"Spatial Data Missing ⚠",VLOOKUP(U66,'G-3 Multipliers'!$L$3:$N$6,2,FALSE)))</f>
        <v/>
      </c>
      <c r="W66" s="505" t="str">
        <f>IF(U66="","",IF(VLOOKUP(U66,'G-3 Multipliers'!$L$3:$N$6,3,FALSE)=0,"Spatial Data Missing ⚠",VLOOKUP(U66,'G-3 Multipliers'!$L$3:$N$6,3,FALSE)))</f>
        <v/>
      </c>
      <c r="X66" s="498"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7" t="str">
        <f t="shared" si="3"/>
        <v/>
      </c>
      <c r="AB66" s="521" t="str">
        <f t="shared" si="4"/>
        <v/>
      </c>
      <c r="AC66" s="522" t="str">
        <f t="shared" si="1"/>
        <v/>
      </c>
      <c r="AD66" s="537" t="str">
        <f>IF(M66="","",VLOOKUP(M66,'G-6 Hedgerow Data'!$B$3:$AG$15,31,FALSE))</f>
        <v/>
      </c>
      <c r="AE66" s="520" t="str">
        <f t="shared" si="5"/>
        <v/>
      </c>
      <c r="AF66" s="520" t="str">
        <f t="shared" si="6"/>
        <v/>
      </c>
      <c r="AG66" s="524" t="str">
        <f>IFERROR(IF(O66="","",VLOOKUP(AD66,'G-3 Multipliers'!$P$3:$Q$6,2,FALSE)),"")</f>
        <v/>
      </c>
      <c r="AH66" s="197"/>
      <c r="AI66" s="499" t="str">
        <f>IF(AH66="","",IF(VLOOKUP(AH66,'G-3 Multipliers'!$S$3:$T$6,2,FALSE)=0,"Spatial Data Missing ⚠",VLOOKUP(AH66,'G-3 Multipliers'!$S$3:$T$6,2,FALSE)))</f>
        <v/>
      </c>
      <c r="AJ66" s="545" t="str">
        <f t="shared" si="7"/>
        <v/>
      </c>
      <c r="AK66" s="149"/>
      <c r="AL66" s="150"/>
      <c r="AP66" s="31" t="str">
        <f>IFERROR(INDEX('G-6 Hedgerow Data'!$BJ$3:$BJ$15,MATCH(M66,'G-6 Hedgerow Data'!$B$3:$B$15,0)),"")</f>
        <v/>
      </c>
    </row>
    <row r="67" spans="2:42" ht="13.8" x14ac:dyDescent="0.25">
      <c r="B67" s="531" t="str">
        <f>'E-1 Off Site Hedge Baseline'!AK65</f>
        <v/>
      </c>
      <c r="C67" s="520" t="str">
        <f>IF(B67="","",IF(ISNA(VLOOKUP($B67,'E-1 Off Site Hedge Baseline'!$B$1:$L$257,3,FALSE)),"",(VLOOKUP($B67,'E-1 Off Site Hedge Baseline'!$B$1:$L$257,3,FALSE))))</f>
        <v/>
      </c>
      <c r="D67" s="520" t="str">
        <f>IF(B67="","",IF(ISNA(VLOOKUP($B67,'E-1 Off Site Hedge Baseline'!$B$1:$L$258,4,FALSE)),"",(VLOOKUP($B67,'E-1 Off Site Hedge Baseline'!$B$1:$L$258,4,FALSE))))</f>
        <v/>
      </c>
      <c r="E67" s="520" t="str">
        <f>IF(B67="","",IF(ISNA(VLOOKUP($B67,'E-1 Off Site Hedge Baseline'!$B$1:$L$257,5,FALSE)),"",(VLOOKUP($B67,'E-1 Off Site Hedge Baseline'!$B$1:$L$257,5,FALSE))))</f>
        <v/>
      </c>
      <c r="F67" s="520" t="str">
        <f>IF(B67="","",IF(ISNA(VLOOKUP($B67,'E-1 Off Site Hedge Baseline'!$B$1:$L$257,6,FALSE)),"",(VLOOKUP($B67,'E-1 Off Site Hedge Baseline'!$B$1:$L$257,6,FALSE))))</f>
        <v/>
      </c>
      <c r="G67" s="520" t="str">
        <f>IF(B67="","",IF(ISNA(VLOOKUP($B67,'E-1 Off Site Hedge Baseline'!$B$1:$L$257,7,FALSE)),"",(VLOOKUP($B67,'E-1 Off Site Hedge Baseline'!$B$1:$L$257,7,FALSE))))</f>
        <v/>
      </c>
      <c r="H67" s="520" t="str">
        <f>IF(B67="","",IF(ISNA(VLOOKUP($B67,'E-1 Off Site Hedge Baseline'!$B$1:$L$257,8,FALSE)),"",(VLOOKUP($B67,'E-1 Off Site Hedge Baseline'!$B$1:$L$257,8,FALSE))))</f>
        <v/>
      </c>
      <c r="I67" s="520" t="str">
        <f>IF(B67="","",IF(ISNA(VLOOKUP($B67,'E-1 Off Site Hedge Baseline'!$B$1:$L$257,10,FALSE)),"",(VLOOKUP($B67,'E-1 Off Site Hedge Baseline'!$B$1:$L$257,10,FALSE))))</f>
        <v/>
      </c>
      <c r="J67" s="520" t="str">
        <f>IF(B67="","",IF(ISNA(VLOOKUP($B67,'E-1 Off Site Hedge Baseline'!$B$1:$L$257,11,FALSE)),"",(VLOOKUP($B67,'E-1 Off Site Hedge Baseline'!$B$1:$L$257,11,FALSE))))</f>
        <v/>
      </c>
      <c r="K67" s="520" t="str">
        <f>IF(B67="","",IF(ISNA(VLOOKUP($B67,'E-1 Off Site Hedge Baseline'!$B$1:$U$257,113,FALSE)),"",(VLOOKUP($B67,'E-1 Off Site Hedge Baseline'!$B$1:$U$257,13,FALSE))))</f>
        <v/>
      </c>
      <c r="L67" s="507" t="str">
        <f>IF(B67="","",IF(ISNA(VLOOKUP($B67,'E-1 Off Site Hedge Baseline'!$B$1:$U$257,12,FALSE)),"",(VLOOKUP($B67,'E-1 Off Site Hedge Baseline'!$B$1:$U$257,12,FALSE))))</f>
        <v/>
      </c>
      <c r="M67" s="418" t="str">
        <f t="shared" si="8"/>
        <v/>
      </c>
      <c r="N67" s="498" t="str">
        <f>IFERROR(IF(B67="","",INDEX('G-6 Hedgerow Data'!$AN$3:$AZ$15,MATCH(C67,'G-6 Hedgerow Data'!$AM$3:$AM$15,0),MATCH(M67,'G-6 Hedgerow Data'!$AN$2:$AZ$2,0))),"")</f>
        <v/>
      </c>
      <c r="O67" s="499" t="str">
        <f t="shared" si="2"/>
        <v/>
      </c>
      <c r="P67" s="505" t="str">
        <f>IF(B67="","",VLOOKUP(B67,'E-1 Off Site Hedge Baseline'!$B$10:T312,16,FALSE))</f>
        <v/>
      </c>
      <c r="Q67" s="498" t="str">
        <f>IF(M67="","",VLOOKUP(M67,'G-6 Hedgerow Data'!$B$2:$AG$15,2,FALSE))</f>
        <v/>
      </c>
      <c r="R67" s="499" t="str">
        <f>IF(M67="","",VLOOKUP(M67,'G-6 Hedgerow Data'!$B$2:$AG$15,3,FALSE))</f>
        <v/>
      </c>
      <c r="S67" s="145"/>
      <c r="T67" s="499" t="str">
        <f>IFERROR(IF(AND(Q67="V.Low",OR(S67="Good",S67="Moderate")),"Error ▲",VLOOKUP(S67,'G-1 All Habitats'!$Z$2:$AA$9,2,FALSE)),"")</f>
        <v/>
      </c>
      <c r="U67" s="145"/>
      <c r="V67" s="507" t="str">
        <f>IF(U67="","",IF(VLOOKUP(U67,'G-3 Multipliers'!$L$3:$N$6,2,FALSE)=0,"Spatial Data Missing ⚠",VLOOKUP(U67,'G-3 Multipliers'!$L$3:$N$6,2,FALSE)))</f>
        <v/>
      </c>
      <c r="W67" s="505" t="str">
        <f>IF(U67="","",IF(VLOOKUP(U67,'G-3 Multipliers'!$L$3:$N$6,3,FALSE)=0,"Spatial Data Missing ⚠",VLOOKUP(U67,'G-3 Multipliers'!$L$3:$N$6,3,FALSE)))</f>
        <v/>
      </c>
      <c r="X67" s="498"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7" t="str">
        <f t="shared" si="3"/>
        <v/>
      </c>
      <c r="AB67" s="521" t="str">
        <f t="shared" si="4"/>
        <v/>
      </c>
      <c r="AC67" s="522" t="str">
        <f t="shared" si="1"/>
        <v/>
      </c>
      <c r="AD67" s="537" t="str">
        <f>IF(M67="","",VLOOKUP(M67,'G-6 Hedgerow Data'!$B$3:$AG$15,31,FALSE))</f>
        <v/>
      </c>
      <c r="AE67" s="520" t="str">
        <f t="shared" si="5"/>
        <v/>
      </c>
      <c r="AF67" s="520" t="str">
        <f t="shared" si="6"/>
        <v/>
      </c>
      <c r="AG67" s="524" t="str">
        <f>IFERROR(IF(O67="","",VLOOKUP(AD67,'G-3 Multipliers'!$P$3:$Q$6,2,FALSE)),"")</f>
        <v/>
      </c>
      <c r="AH67" s="197"/>
      <c r="AI67" s="499" t="str">
        <f>IF(AH67="","",IF(VLOOKUP(AH67,'G-3 Multipliers'!$S$3:$T$6,2,FALSE)=0,"Spatial Data Missing ⚠",VLOOKUP(AH67,'G-3 Multipliers'!$S$3:$T$6,2,FALSE)))</f>
        <v/>
      </c>
      <c r="AJ67" s="545" t="str">
        <f t="shared" si="7"/>
        <v/>
      </c>
      <c r="AK67" s="149"/>
      <c r="AL67" s="150"/>
      <c r="AP67" s="31" t="str">
        <f>IFERROR(INDEX('G-6 Hedgerow Data'!$BJ$3:$BJ$15,MATCH(M67,'G-6 Hedgerow Data'!$B$3:$B$15,0)),"")</f>
        <v/>
      </c>
    </row>
    <row r="68" spans="2:42" ht="13.8" x14ac:dyDescent="0.25">
      <c r="B68" s="531" t="str">
        <f>'E-1 Off Site Hedge Baseline'!AK66</f>
        <v/>
      </c>
      <c r="C68" s="520" t="str">
        <f>IF(B68="","",IF(ISNA(VLOOKUP($B68,'E-1 Off Site Hedge Baseline'!$B$1:$L$257,3,FALSE)),"",(VLOOKUP($B68,'E-1 Off Site Hedge Baseline'!$B$1:$L$257,3,FALSE))))</f>
        <v/>
      </c>
      <c r="D68" s="520" t="str">
        <f>IF(B68="","",IF(ISNA(VLOOKUP($B68,'E-1 Off Site Hedge Baseline'!$B$1:$L$258,4,FALSE)),"",(VLOOKUP($B68,'E-1 Off Site Hedge Baseline'!$B$1:$L$258,4,FALSE))))</f>
        <v/>
      </c>
      <c r="E68" s="520" t="str">
        <f>IF(B68="","",IF(ISNA(VLOOKUP($B68,'E-1 Off Site Hedge Baseline'!$B$1:$L$257,5,FALSE)),"",(VLOOKUP($B68,'E-1 Off Site Hedge Baseline'!$B$1:$L$257,5,FALSE))))</f>
        <v/>
      </c>
      <c r="F68" s="520" t="str">
        <f>IF(B68="","",IF(ISNA(VLOOKUP($B68,'E-1 Off Site Hedge Baseline'!$B$1:$L$257,6,FALSE)),"",(VLOOKUP($B68,'E-1 Off Site Hedge Baseline'!$B$1:$L$257,6,FALSE))))</f>
        <v/>
      </c>
      <c r="G68" s="520" t="str">
        <f>IF(B68="","",IF(ISNA(VLOOKUP($B68,'E-1 Off Site Hedge Baseline'!$B$1:$L$257,7,FALSE)),"",(VLOOKUP($B68,'E-1 Off Site Hedge Baseline'!$B$1:$L$257,7,FALSE))))</f>
        <v/>
      </c>
      <c r="H68" s="520" t="str">
        <f>IF(B68="","",IF(ISNA(VLOOKUP($B68,'E-1 Off Site Hedge Baseline'!$B$1:$L$257,8,FALSE)),"",(VLOOKUP($B68,'E-1 Off Site Hedge Baseline'!$B$1:$L$257,8,FALSE))))</f>
        <v/>
      </c>
      <c r="I68" s="520" t="str">
        <f>IF(B68="","",IF(ISNA(VLOOKUP($B68,'E-1 Off Site Hedge Baseline'!$B$1:$L$257,10,FALSE)),"",(VLOOKUP($B68,'E-1 Off Site Hedge Baseline'!$B$1:$L$257,10,FALSE))))</f>
        <v/>
      </c>
      <c r="J68" s="520" t="str">
        <f>IF(B68="","",IF(ISNA(VLOOKUP($B68,'E-1 Off Site Hedge Baseline'!$B$1:$L$257,11,FALSE)),"",(VLOOKUP($B68,'E-1 Off Site Hedge Baseline'!$B$1:$L$257,11,FALSE))))</f>
        <v/>
      </c>
      <c r="K68" s="520" t="str">
        <f>IF(B68="","",IF(ISNA(VLOOKUP($B68,'E-1 Off Site Hedge Baseline'!$B$1:$U$257,113,FALSE)),"",(VLOOKUP($B68,'E-1 Off Site Hedge Baseline'!$B$1:$U$257,13,FALSE))))</f>
        <v/>
      </c>
      <c r="L68" s="507" t="str">
        <f>IF(B68="","",IF(ISNA(VLOOKUP($B68,'E-1 Off Site Hedge Baseline'!$B$1:$U$257,12,FALSE)),"",(VLOOKUP($B68,'E-1 Off Site Hedge Baseline'!$B$1:$U$257,12,FALSE))))</f>
        <v/>
      </c>
      <c r="M68" s="418" t="str">
        <f t="shared" si="8"/>
        <v/>
      </c>
      <c r="N68" s="498" t="str">
        <f>IFERROR(IF(B68="","",INDEX('G-6 Hedgerow Data'!$AN$3:$AZ$15,MATCH(C68,'G-6 Hedgerow Data'!$AM$3:$AM$15,0),MATCH(M68,'G-6 Hedgerow Data'!$AN$2:$AZ$2,0))),"")</f>
        <v/>
      </c>
      <c r="O68" s="499" t="str">
        <f t="shared" si="2"/>
        <v/>
      </c>
      <c r="P68" s="505" t="str">
        <f>IF(B68="","",VLOOKUP(B68,'E-1 Off Site Hedge Baseline'!$B$10:T313,16,FALSE))</f>
        <v/>
      </c>
      <c r="Q68" s="498" t="str">
        <f>IF(M68="","",VLOOKUP(M68,'G-6 Hedgerow Data'!$B$2:$AG$15,2,FALSE))</f>
        <v/>
      </c>
      <c r="R68" s="499" t="str">
        <f>IF(M68="","",VLOOKUP(M68,'G-6 Hedgerow Data'!$B$2:$AG$15,3,FALSE))</f>
        <v/>
      </c>
      <c r="S68" s="145"/>
      <c r="T68" s="499" t="str">
        <f>IFERROR(IF(AND(Q68="V.Low",OR(S68="Good",S68="Moderate")),"Error ▲",VLOOKUP(S68,'G-1 All Habitats'!$Z$2:$AA$9,2,FALSE)),"")</f>
        <v/>
      </c>
      <c r="U68" s="145"/>
      <c r="V68" s="507" t="str">
        <f>IF(U68="","",IF(VLOOKUP(U68,'G-3 Multipliers'!$L$3:$N$6,2,FALSE)=0,"Spatial Data Missing ⚠",VLOOKUP(U68,'G-3 Multipliers'!$L$3:$N$6,2,FALSE)))</f>
        <v/>
      </c>
      <c r="W68" s="505" t="str">
        <f>IF(U68="","",IF(VLOOKUP(U68,'G-3 Multipliers'!$L$3:$N$6,3,FALSE)=0,"Spatial Data Missing ⚠",VLOOKUP(U68,'G-3 Multipliers'!$L$3:$N$6,3,FALSE)))</f>
        <v/>
      </c>
      <c r="X68" s="498"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7" t="str">
        <f t="shared" si="3"/>
        <v/>
      </c>
      <c r="AB68" s="521" t="str">
        <f t="shared" si="4"/>
        <v/>
      </c>
      <c r="AC68" s="522" t="str">
        <f t="shared" si="1"/>
        <v/>
      </c>
      <c r="AD68" s="537" t="str">
        <f>IF(M68="","",VLOOKUP(M68,'G-6 Hedgerow Data'!$B$3:$AG$15,31,FALSE))</f>
        <v/>
      </c>
      <c r="AE68" s="520" t="str">
        <f t="shared" si="5"/>
        <v/>
      </c>
      <c r="AF68" s="520" t="str">
        <f t="shared" si="6"/>
        <v/>
      </c>
      <c r="AG68" s="524" t="str">
        <f>IFERROR(IF(O68="","",VLOOKUP(AD68,'G-3 Multipliers'!$P$3:$Q$6,2,FALSE)),"")</f>
        <v/>
      </c>
      <c r="AH68" s="197"/>
      <c r="AI68" s="499" t="str">
        <f>IF(AH68="","",IF(VLOOKUP(AH68,'G-3 Multipliers'!$S$3:$T$6,2,FALSE)=0,"Spatial Data Missing ⚠",VLOOKUP(AH68,'G-3 Multipliers'!$S$3:$T$6,2,FALSE)))</f>
        <v/>
      </c>
      <c r="AJ68" s="545" t="str">
        <f t="shared" si="7"/>
        <v/>
      </c>
      <c r="AK68" s="149"/>
      <c r="AL68" s="150"/>
      <c r="AP68" s="31" t="str">
        <f>IFERROR(INDEX('G-6 Hedgerow Data'!$BJ$3:$BJ$15,MATCH(M68,'G-6 Hedgerow Data'!$B$3:$B$15,0)),"")</f>
        <v/>
      </c>
    </row>
    <row r="69" spans="2:42" ht="13.8" x14ac:dyDescent="0.25">
      <c r="B69" s="531" t="str">
        <f>'E-1 Off Site Hedge Baseline'!AK67</f>
        <v/>
      </c>
      <c r="C69" s="520" t="str">
        <f>IF(B69="","",IF(ISNA(VLOOKUP($B69,'E-1 Off Site Hedge Baseline'!$B$1:$L$257,3,FALSE)),"",(VLOOKUP($B69,'E-1 Off Site Hedge Baseline'!$B$1:$L$257,3,FALSE))))</f>
        <v/>
      </c>
      <c r="D69" s="520" t="str">
        <f>IF(B69="","",IF(ISNA(VLOOKUP($B69,'E-1 Off Site Hedge Baseline'!$B$1:$L$258,4,FALSE)),"",(VLOOKUP($B69,'E-1 Off Site Hedge Baseline'!$B$1:$L$258,4,FALSE))))</f>
        <v/>
      </c>
      <c r="E69" s="520" t="str">
        <f>IF(B69="","",IF(ISNA(VLOOKUP($B69,'E-1 Off Site Hedge Baseline'!$B$1:$L$257,5,FALSE)),"",(VLOOKUP($B69,'E-1 Off Site Hedge Baseline'!$B$1:$L$257,5,FALSE))))</f>
        <v/>
      </c>
      <c r="F69" s="520" t="str">
        <f>IF(B69="","",IF(ISNA(VLOOKUP($B69,'E-1 Off Site Hedge Baseline'!$B$1:$L$257,6,FALSE)),"",(VLOOKUP($B69,'E-1 Off Site Hedge Baseline'!$B$1:$L$257,6,FALSE))))</f>
        <v/>
      </c>
      <c r="G69" s="520" t="str">
        <f>IF(B69="","",IF(ISNA(VLOOKUP($B69,'E-1 Off Site Hedge Baseline'!$B$1:$L$257,7,FALSE)),"",(VLOOKUP($B69,'E-1 Off Site Hedge Baseline'!$B$1:$L$257,7,FALSE))))</f>
        <v/>
      </c>
      <c r="H69" s="520" t="str">
        <f>IF(B69="","",IF(ISNA(VLOOKUP($B69,'E-1 Off Site Hedge Baseline'!$B$1:$L$257,8,FALSE)),"",(VLOOKUP($B69,'E-1 Off Site Hedge Baseline'!$B$1:$L$257,8,FALSE))))</f>
        <v/>
      </c>
      <c r="I69" s="520" t="str">
        <f>IF(B69="","",IF(ISNA(VLOOKUP($B69,'E-1 Off Site Hedge Baseline'!$B$1:$L$257,10,FALSE)),"",(VLOOKUP($B69,'E-1 Off Site Hedge Baseline'!$B$1:$L$257,10,FALSE))))</f>
        <v/>
      </c>
      <c r="J69" s="520" t="str">
        <f>IF(B69="","",IF(ISNA(VLOOKUP($B69,'E-1 Off Site Hedge Baseline'!$B$1:$L$257,11,FALSE)),"",(VLOOKUP($B69,'E-1 Off Site Hedge Baseline'!$B$1:$L$257,11,FALSE))))</f>
        <v/>
      </c>
      <c r="K69" s="520" t="str">
        <f>IF(B69="","",IF(ISNA(VLOOKUP($B69,'E-1 Off Site Hedge Baseline'!$B$1:$U$257,113,FALSE)),"",(VLOOKUP($B69,'E-1 Off Site Hedge Baseline'!$B$1:$U$257,13,FALSE))))</f>
        <v/>
      </c>
      <c r="L69" s="507" t="str">
        <f>IF(B69="","",IF(ISNA(VLOOKUP($B69,'E-1 Off Site Hedge Baseline'!$B$1:$U$257,12,FALSE)),"",(VLOOKUP($B69,'E-1 Off Site Hedge Baseline'!$B$1:$U$257,12,FALSE))))</f>
        <v/>
      </c>
      <c r="M69" s="418" t="str">
        <f t="shared" si="8"/>
        <v/>
      </c>
      <c r="N69" s="498" t="str">
        <f>IFERROR(IF(B69="","",INDEX('G-6 Hedgerow Data'!$AN$3:$AZ$15,MATCH(C69,'G-6 Hedgerow Data'!$AM$3:$AM$15,0),MATCH(M69,'G-6 Hedgerow Data'!$AN$2:$AZ$2,0))),"")</f>
        <v/>
      </c>
      <c r="O69" s="499" t="str">
        <f t="shared" si="2"/>
        <v/>
      </c>
      <c r="P69" s="505" t="str">
        <f>IF(B69="","",VLOOKUP(B69,'E-1 Off Site Hedge Baseline'!$B$10:T314,16,FALSE))</f>
        <v/>
      </c>
      <c r="Q69" s="498" t="str">
        <f>IF(M69="","",VLOOKUP(M69,'G-6 Hedgerow Data'!$B$2:$AG$15,2,FALSE))</f>
        <v/>
      </c>
      <c r="R69" s="499" t="str">
        <f>IF(M69="","",VLOOKUP(M69,'G-6 Hedgerow Data'!$B$2:$AG$15,3,FALSE))</f>
        <v/>
      </c>
      <c r="S69" s="145"/>
      <c r="T69" s="499" t="str">
        <f>IFERROR(IF(AND(Q69="V.Low",OR(S69="Good",S69="Moderate")),"Error ▲",VLOOKUP(S69,'G-1 All Habitats'!$Z$2:$AA$9,2,FALSE)),"")</f>
        <v/>
      </c>
      <c r="U69" s="145"/>
      <c r="V69" s="507" t="str">
        <f>IF(U69="","",IF(VLOOKUP(U69,'G-3 Multipliers'!$L$3:$N$6,2,FALSE)=0,"Spatial Data Missing ⚠",VLOOKUP(U69,'G-3 Multipliers'!$L$3:$N$6,2,FALSE)))</f>
        <v/>
      </c>
      <c r="W69" s="505" t="str">
        <f>IF(U69="","",IF(VLOOKUP(U69,'G-3 Multipliers'!$L$3:$N$6,3,FALSE)=0,"Spatial Data Missing ⚠",VLOOKUP(U69,'G-3 Multipliers'!$L$3:$N$6,3,FALSE)))</f>
        <v/>
      </c>
      <c r="X69" s="498"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7" t="str">
        <f t="shared" si="3"/>
        <v/>
      </c>
      <c r="AB69" s="521" t="str">
        <f t="shared" si="4"/>
        <v/>
      </c>
      <c r="AC69" s="522" t="str">
        <f t="shared" si="1"/>
        <v/>
      </c>
      <c r="AD69" s="537" t="str">
        <f>IF(M69="","",VLOOKUP(M69,'G-6 Hedgerow Data'!$B$3:$AG$15,31,FALSE))</f>
        <v/>
      </c>
      <c r="AE69" s="520" t="str">
        <f t="shared" si="5"/>
        <v/>
      </c>
      <c r="AF69" s="520" t="str">
        <f t="shared" si="6"/>
        <v/>
      </c>
      <c r="AG69" s="524" t="str">
        <f>IFERROR(IF(O69="","",VLOOKUP(AD69,'G-3 Multipliers'!$P$3:$Q$6,2,FALSE)),"")</f>
        <v/>
      </c>
      <c r="AH69" s="197"/>
      <c r="AI69" s="499" t="str">
        <f>IF(AH69="","",IF(VLOOKUP(AH69,'G-3 Multipliers'!$S$3:$T$6,2,FALSE)=0,"Spatial Data Missing ⚠",VLOOKUP(AH69,'G-3 Multipliers'!$S$3:$T$6,2,FALSE)))</f>
        <v/>
      </c>
      <c r="AJ69" s="545" t="str">
        <f t="shared" si="7"/>
        <v/>
      </c>
      <c r="AK69" s="149"/>
      <c r="AL69" s="150"/>
      <c r="AP69" s="31" t="str">
        <f>IFERROR(INDEX('G-6 Hedgerow Data'!$BJ$3:$BJ$15,MATCH(M69,'G-6 Hedgerow Data'!$B$3:$B$15,0)),"")</f>
        <v/>
      </c>
    </row>
    <row r="70" spans="2:42" ht="13.8" x14ac:dyDescent="0.25">
      <c r="B70" s="531" t="str">
        <f>'E-1 Off Site Hedge Baseline'!AK68</f>
        <v/>
      </c>
      <c r="C70" s="520" t="str">
        <f>IF(B70="","",IF(ISNA(VLOOKUP($B70,'E-1 Off Site Hedge Baseline'!$B$1:$L$257,3,FALSE)),"",(VLOOKUP($B70,'E-1 Off Site Hedge Baseline'!$B$1:$L$257,3,FALSE))))</f>
        <v/>
      </c>
      <c r="D70" s="520" t="str">
        <f>IF(B70="","",IF(ISNA(VLOOKUP($B70,'E-1 Off Site Hedge Baseline'!$B$1:$L$258,4,FALSE)),"",(VLOOKUP($B70,'E-1 Off Site Hedge Baseline'!$B$1:$L$258,4,FALSE))))</f>
        <v/>
      </c>
      <c r="E70" s="520" t="str">
        <f>IF(B70="","",IF(ISNA(VLOOKUP($B70,'E-1 Off Site Hedge Baseline'!$B$1:$L$257,5,FALSE)),"",(VLOOKUP($B70,'E-1 Off Site Hedge Baseline'!$B$1:$L$257,5,FALSE))))</f>
        <v/>
      </c>
      <c r="F70" s="520" t="str">
        <f>IF(B70="","",IF(ISNA(VLOOKUP($B70,'E-1 Off Site Hedge Baseline'!$B$1:$L$257,6,FALSE)),"",(VLOOKUP($B70,'E-1 Off Site Hedge Baseline'!$B$1:$L$257,6,FALSE))))</f>
        <v/>
      </c>
      <c r="G70" s="520" t="str">
        <f>IF(B70="","",IF(ISNA(VLOOKUP($B70,'E-1 Off Site Hedge Baseline'!$B$1:$L$257,7,FALSE)),"",(VLOOKUP($B70,'E-1 Off Site Hedge Baseline'!$B$1:$L$257,7,FALSE))))</f>
        <v/>
      </c>
      <c r="H70" s="520" t="str">
        <f>IF(B70="","",IF(ISNA(VLOOKUP($B70,'E-1 Off Site Hedge Baseline'!$B$1:$L$257,8,FALSE)),"",(VLOOKUP($B70,'E-1 Off Site Hedge Baseline'!$B$1:$L$257,8,FALSE))))</f>
        <v/>
      </c>
      <c r="I70" s="520" t="str">
        <f>IF(B70="","",IF(ISNA(VLOOKUP($B70,'E-1 Off Site Hedge Baseline'!$B$1:$L$257,10,FALSE)),"",(VLOOKUP($B70,'E-1 Off Site Hedge Baseline'!$B$1:$L$257,10,FALSE))))</f>
        <v/>
      </c>
      <c r="J70" s="520" t="str">
        <f>IF(B70="","",IF(ISNA(VLOOKUP($B70,'E-1 Off Site Hedge Baseline'!$B$1:$L$257,11,FALSE)),"",(VLOOKUP($B70,'E-1 Off Site Hedge Baseline'!$B$1:$L$257,11,FALSE))))</f>
        <v/>
      </c>
      <c r="K70" s="520" t="str">
        <f>IF(B70="","",IF(ISNA(VLOOKUP($B70,'E-1 Off Site Hedge Baseline'!$B$1:$U$257,113,FALSE)),"",(VLOOKUP($B70,'E-1 Off Site Hedge Baseline'!$B$1:$U$257,13,FALSE))))</f>
        <v/>
      </c>
      <c r="L70" s="507" t="str">
        <f>IF(B70="","",IF(ISNA(VLOOKUP($B70,'E-1 Off Site Hedge Baseline'!$B$1:$U$257,12,FALSE)),"",(VLOOKUP($B70,'E-1 Off Site Hedge Baseline'!$B$1:$U$257,12,FALSE))))</f>
        <v/>
      </c>
      <c r="M70" s="418" t="str">
        <f t="shared" si="8"/>
        <v/>
      </c>
      <c r="N70" s="498" t="str">
        <f>IFERROR(IF(B70="","",INDEX('G-6 Hedgerow Data'!$AN$3:$AZ$15,MATCH(C70,'G-6 Hedgerow Data'!$AM$3:$AM$15,0),MATCH(M70,'G-6 Hedgerow Data'!$AN$2:$AZ$2,0))),"")</f>
        <v/>
      </c>
      <c r="O70" s="499" t="str">
        <f t="shared" si="2"/>
        <v/>
      </c>
      <c r="P70" s="505" t="str">
        <f>IF(B70="","",VLOOKUP(B70,'E-1 Off Site Hedge Baseline'!$B$10:T315,16,FALSE))</f>
        <v/>
      </c>
      <c r="Q70" s="498" t="str">
        <f>IF(M70="","",VLOOKUP(M70,'G-6 Hedgerow Data'!$B$2:$AG$15,2,FALSE))</f>
        <v/>
      </c>
      <c r="R70" s="499" t="str">
        <f>IF(M70="","",VLOOKUP(M70,'G-6 Hedgerow Data'!$B$2:$AG$15,3,FALSE))</f>
        <v/>
      </c>
      <c r="S70" s="145"/>
      <c r="T70" s="499" t="str">
        <f>IFERROR(IF(AND(Q70="V.Low",OR(S70="Good",S70="Moderate")),"Error ▲",VLOOKUP(S70,'G-1 All Habitats'!$Z$2:$AA$9,2,FALSE)),"")</f>
        <v/>
      </c>
      <c r="U70" s="145"/>
      <c r="V70" s="507" t="str">
        <f>IF(U70="","",IF(VLOOKUP(U70,'G-3 Multipliers'!$L$3:$N$6,2,FALSE)=0,"Spatial Data Missing ⚠",VLOOKUP(U70,'G-3 Multipliers'!$L$3:$N$6,2,FALSE)))</f>
        <v/>
      </c>
      <c r="W70" s="505" t="str">
        <f>IF(U70="","",IF(VLOOKUP(U70,'G-3 Multipliers'!$L$3:$N$6,3,FALSE)=0,"Spatial Data Missing ⚠",VLOOKUP(U70,'G-3 Multipliers'!$L$3:$N$6,3,FALSE)))</f>
        <v/>
      </c>
      <c r="X70" s="498"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7" t="str">
        <f t="shared" si="3"/>
        <v/>
      </c>
      <c r="AB70" s="521" t="str">
        <f t="shared" si="4"/>
        <v/>
      </c>
      <c r="AC70" s="522" t="str">
        <f t="shared" si="1"/>
        <v/>
      </c>
      <c r="AD70" s="537" t="str">
        <f>IF(M70="","",VLOOKUP(M70,'G-6 Hedgerow Data'!$B$3:$AG$15,31,FALSE))</f>
        <v/>
      </c>
      <c r="AE70" s="520" t="str">
        <f t="shared" si="5"/>
        <v/>
      </c>
      <c r="AF70" s="520" t="str">
        <f t="shared" si="6"/>
        <v/>
      </c>
      <c r="AG70" s="524" t="str">
        <f>IFERROR(IF(O70="","",VLOOKUP(AD70,'G-3 Multipliers'!$P$3:$Q$6,2,FALSE)),"")</f>
        <v/>
      </c>
      <c r="AH70" s="197"/>
      <c r="AI70" s="499" t="str">
        <f>IF(AH70="","",IF(VLOOKUP(AH70,'G-3 Multipliers'!$S$3:$T$6,2,FALSE)=0,"Spatial Data Missing ⚠",VLOOKUP(AH70,'G-3 Multipliers'!$S$3:$T$6,2,FALSE)))</f>
        <v/>
      </c>
      <c r="AJ70" s="545" t="str">
        <f t="shared" si="7"/>
        <v/>
      </c>
      <c r="AK70" s="149"/>
      <c r="AL70" s="150"/>
      <c r="AP70" s="31" t="str">
        <f>IFERROR(INDEX('G-6 Hedgerow Data'!$BJ$3:$BJ$15,MATCH(M70,'G-6 Hedgerow Data'!$B$3:$B$15,0)),"")</f>
        <v/>
      </c>
    </row>
    <row r="71" spans="2:42" ht="13.8" x14ac:dyDescent="0.25">
      <c r="B71" s="531" t="str">
        <f>'E-1 Off Site Hedge Baseline'!AK69</f>
        <v/>
      </c>
      <c r="C71" s="520" t="str">
        <f>IF(B71="","",IF(ISNA(VLOOKUP($B71,'E-1 Off Site Hedge Baseline'!$B$1:$L$257,3,FALSE)),"",(VLOOKUP($B71,'E-1 Off Site Hedge Baseline'!$B$1:$L$257,3,FALSE))))</f>
        <v/>
      </c>
      <c r="D71" s="520" t="str">
        <f>IF(B71="","",IF(ISNA(VLOOKUP($B71,'E-1 Off Site Hedge Baseline'!$B$1:$L$258,4,FALSE)),"",(VLOOKUP($B71,'E-1 Off Site Hedge Baseline'!$B$1:$L$258,4,FALSE))))</f>
        <v/>
      </c>
      <c r="E71" s="520" t="str">
        <f>IF(B71="","",IF(ISNA(VLOOKUP($B71,'E-1 Off Site Hedge Baseline'!$B$1:$L$257,5,FALSE)),"",(VLOOKUP($B71,'E-1 Off Site Hedge Baseline'!$B$1:$L$257,5,FALSE))))</f>
        <v/>
      </c>
      <c r="F71" s="520" t="str">
        <f>IF(B71="","",IF(ISNA(VLOOKUP($B71,'E-1 Off Site Hedge Baseline'!$B$1:$L$257,6,FALSE)),"",(VLOOKUP($B71,'E-1 Off Site Hedge Baseline'!$B$1:$L$257,6,FALSE))))</f>
        <v/>
      </c>
      <c r="G71" s="520" t="str">
        <f>IF(B71="","",IF(ISNA(VLOOKUP($B71,'E-1 Off Site Hedge Baseline'!$B$1:$L$257,7,FALSE)),"",(VLOOKUP($B71,'E-1 Off Site Hedge Baseline'!$B$1:$L$257,7,FALSE))))</f>
        <v/>
      </c>
      <c r="H71" s="520" t="str">
        <f>IF(B71="","",IF(ISNA(VLOOKUP($B71,'E-1 Off Site Hedge Baseline'!$B$1:$L$257,8,FALSE)),"",(VLOOKUP($B71,'E-1 Off Site Hedge Baseline'!$B$1:$L$257,8,FALSE))))</f>
        <v/>
      </c>
      <c r="I71" s="520" t="str">
        <f>IF(B71="","",IF(ISNA(VLOOKUP($B71,'E-1 Off Site Hedge Baseline'!$B$1:$L$257,10,FALSE)),"",(VLOOKUP($B71,'E-1 Off Site Hedge Baseline'!$B$1:$L$257,10,FALSE))))</f>
        <v/>
      </c>
      <c r="J71" s="520" t="str">
        <f>IF(B71="","",IF(ISNA(VLOOKUP($B71,'E-1 Off Site Hedge Baseline'!$B$1:$L$257,11,FALSE)),"",(VLOOKUP($B71,'E-1 Off Site Hedge Baseline'!$B$1:$L$257,11,FALSE))))</f>
        <v/>
      </c>
      <c r="K71" s="520" t="str">
        <f>IF(B71="","",IF(ISNA(VLOOKUP($B71,'E-1 Off Site Hedge Baseline'!$B$1:$U$257,113,FALSE)),"",(VLOOKUP($B71,'E-1 Off Site Hedge Baseline'!$B$1:$U$257,13,FALSE))))</f>
        <v/>
      </c>
      <c r="L71" s="507" t="str">
        <f>IF(B71="","",IF(ISNA(VLOOKUP($B71,'E-1 Off Site Hedge Baseline'!$B$1:$U$257,12,FALSE)),"",(VLOOKUP($B71,'E-1 Off Site Hedge Baseline'!$B$1:$U$257,12,FALSE))))</f>
        <v/>
      </c>
      <c r="M71" s="418" t="str">
        <f t="shared" si="8"/>
        <v/>
      </c>
      <c r="N71" s="498" t="str">
        <f>IFERROR(IF(B71="","",INDEX('G-6 Hedgerow Data'!$AN$3:$AZ$15,MATCH(C71,'G-6 Hedgerow Data'!$AM$3:$AM$15,0),MATCH(M71,'G-6 Hedgerow Data'!$AN$2:$AZ$2,0))),"")</f>
        <v/>
      </c>
      <c r="O71" s="499" t="str">
        <f t="shared" si="2"/>
        <v/>
      </c>
      <c r="P71" s="505" t="str">
        <f>IF(B71="","",VLOOKUP(B71,'E-1 Off Site Hedge Baseline'!$B$10:T316,16,FALSE))</f>
        <v/>
      </c>
      <c r="Q71" s="498" t="str">
        <f>IF(M71="","",VLOOKUP(M71,'G-6 Hedgerow Data'!$B$2:$AG$15,2,FALSE))</f>
        <v/>
      </c>
      <c r="R71" s="499" t="str">
        <f>IF(M71="","",VLOOKUP(M71,'G-6 Hedgerow Data'!$B$2:$AG$15,3,FALSE))</f>
        <v/>
      </c>
      <c r="S71" s="145"/>
      <c r="T71" s="499" t="str">
        <f>IFERROR(IF(AND(Q71="V.Low",OR(S71="Good",S71="Moderate")),"Error ▲",VLOOKUP(S71,'G-1 All Habitats'!$Z$2:$AA$9,2,FALSE)),"")</f>
        <v/>
      </c>
      <c r="U71" s="145"/>
      <c r="V71" s="507" t="str">
        <f>IF(U71="","",IF(VLOOKUP(U71,'G-3 Multipliers'!$L$3:$N$6,2,FALSE)=0,"Spatial Data Missing ⚠",VLOOKUP(U71,'G-3 Multipliers'!$L$3:$N$6,2,FALSE)))</f>
        <v/>
      </c>
      <c r="W71" s="505" t="str">
        <f>IF(U71="","",IF(VLOOKUP(U71,'G-3 Multipliers'!$L$3:$N$6,3,FALSE)=0,"Spatial Data Missing ⚠",VLOOKUP(U71,'G-3 Multipliers'!$L$3:$N$6,3,FALSE)))</f>
        <v/>
      </c>
      <c r="X71" s="498"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7" t="str">
        <f t="shared" si="3"/>
        <v/>
      </c>
      <c r="AB71" s="521" t="str">
        <f t="shared" si="4"/>
        <v/>
      </c>
      <c r="AC71" s="522" t="str">
        <f t="shared" si="1"/>
        <v/>
      </c>
      <c r="AD71" s="537" t="str">
        <f>IF(M71="","",VLOOKUP(M71,'G-6 Hedgerow Data'!$B$3:$AG$15,31,FALSE))</f>
        <v/>
      </c>
      <c r="AE71" s="520" t="str">
        <f t="shared" si="5"/>
        <v/>
      </c>
      <c r="AF71" s="520" t="str">
        <f t="shared" si="6"/>
        <v/>
      </c>
      <c r="AG71" s="524" t="str">
        <f>IFERROR(IF(O71="","",VLOOKUP(AD71,'G-3 Multipliers'!$P$3:$Q$6,2,FALSE)),"")</f>
        <v/>
      </c>
      <c r="AH71" s="197"/>
      <c r="AI71" s="499" t="str">
        <f>IF(AH71="","",IF(VLOOKUP(AH71,'G-3 Multipliers'!$S$3:$T$6,2,FALSE)=0,"Spatial Data Missing ⚠",VLOOKUP(AH71,'G-3 Multipliers'!$S$3:$T$6,2,FALSE)))</f>
        <v/>
      </c>
      <c r="AJ71" s="545" t="str">
        <f t="shared" si="7"/>
        <v/>
      </c>
      <c r="AK71" s="149"/>
      <c r="AL71" s="150"/>
      <c r="AP71" s="31" t="str">
        <f>IFERROR(INDEX('G-6 Hedgerow Data'!$BJ$3:$BJ$15,MATCH(M71,'G-6 Hedgerow Data'!$B$3:$B$15,0)),"")</f>
        <v/>
      </c>
    </row>
    <row r="72" spans="2:42" ht="13.8" x14ac:dyDescent="0.25">
      <c r="B72" s="531" t="str">
        <f>'E-1 Off Site Hedge Baseline'!AK70</f>
        <v/>
      </c>
      <c r="C72" s="520" t="str">
        <f>IF(B72="","",IF(ISNA(VLOOKUP($B72,'E-1 Off Site Hedge Baseline'!$B$1:$L$257,3,FALSE)),"",(VLOOKUP($B72,'E-1 Off Site Hedge Baseline'!$B$1:$L$257,3,FALSE))))</f>
        <v/>
      </c>
      <c r="D72" s="520" t="str">
        <f>IF(B72="","",IF(ISNA(VLOOKUP($B72,'E-1 Off Site Hedge Baseline'!$B$1:$L$258,4,FALSE)),"",(VLOOKUP($B72,'E-1 Off Site Hedge Baseline'!$B$1:$L$258,4,FALSE))))</f>
        <v/>
      </c>
      <c r="E72" s="520" t="str">
        <f>IF(B72="","",IF(ISNA(VLOOKUP($B72,'E-1 Off Site Hedge Baseline'!$B$1:$L$257,5,FALSE)),"",(VLOOKUP($B72,'E-1 Off Site Hedge Baseline'!$B$1:$L$257,5,FALSE))))</f>
        <v/>
      </c>
      <c r="F72" s="520" t="str">
        <f>IF(B72="","",IF(ISNA(VLOOKUP($B72,'E-1 Off Site Hedge Baseline'!$B$1:$L$257,6,FALSE)),"",(VLOOKUP($B72,'E-1 Off Site Hedge Baseline'!$B$1:$L$257,6,FALSE))))</f>
        <v/>
      </c>
      <c r="G72" s="520" t="str">
        <f>IF(B72="","",IF(ISNA(VLOOKUP($B72,'E-1 Off Site Hedge Baseline'!$B$1:$L$257,7,FALSE)),"",(VLOOKUP($B72,'E-1 Off Site Hedge Baseline'!$B$1:$L$257,7,FALSE))))</f>
        <v/>
      </c>
      <c r="H72" s="520" t="str">
        <f>IF(B72="","",IF(ISNA(VLOOKUP($B72,'E-1 Off Site Hedge Baseline'!$B$1:$L$257,8,FALSE)),"",(VLOOKUP($B72,'E-1 Off Site Hedge Baseline'!$B$1:$L$257,8,FALSE))))</f>
        <v/>
      </c>
      <c r="I72" s="520" t="str">
        <f>IF(B72="","",IF(ISNA(VLOOKUP($B72,'E-1 Off Site Hedge Baseline'!$B$1:$L$257,10,FALSE)),"",(VLOOKUP($B72,'E-1 Off Site Hedge Baseline'!$B$1:$L$257,10,FALSE))))</f>
        <v/>
      </c>
      <c r="J72" s="520" t="str">
        <f>IF(B72="","",IF(ISNA(VLOOKUP($B72,'E-1 Off Site Hedge Baseline'!$B$1:$L$257,11,FALSE)),"",(VLOOKUP($B72,'E-1 Off Site Hedge Baseline'!$B$1:$L$257,11,FALSE))))</f>
        <v/>
      </c>
      <c r="K72" s="520" t="str">
        <f>IF(B72="","",IF(ISNA(VLOOKUP($B72,'E-1 Off Site Hedge Baseline'!$B$1:$U$257,113,FALSE)),"",(VLOOKUP($B72,'E-1 Off Site Hedge Baseline'!$B$1:$U$257,13,FALSE))))</f>
        <v/>
      </c>
      <c r="L72" s="507" t="str">
        <f>IF(B72="","",IF(ISNA(VLOOKUP($B72,'E-1 Off Site Hedge Baseline'!$B$1:$U$257,12,FALSE)),"",(VLOOKUP($B72,'E-1 Off Site Hedge Baseline'!$B$1:$U$257,12,FALSE))))</f>
        <v/>
      </c>
      <c r="M72" s="418" t="str">
        <f t="shared" si="8"/>
        <v/>
      </c>
      <c r="N72" s="498" t="str">
        <f>IFERROR(IF(B72="","",INDEX('G-6 Hedgerow Data'!$AN$3:$AZ$15,MATCH(C72,'G-6 Hedgerow Data'!$AM$3:$AM$15,0),MATCH(M72,'G-6 Hedgerow Data'!$AN$2:$AZ$2,0))),"")</f>
        <v/>
      </c>
      <c r="O72" s="499" t="str">
        <f t="shared" si="2"/>
        <v/>
      </c>
      <c r="P72" s="505" t="str">
        <f>IF(B72="","",VLOOKUP(B72,'E-1 Off Site Hedge Baseline'!$B$10:T317,16,FALSE))</f>
        <v/>
      </c>
      <c r="Q72" s="498" t="str">
        <f>IF(M72="","",VLOOKUP(M72,'G-6 Hedgerow Data'!$B$2:$AG$15,2,FALSE))</f>
        <v/>
      </c>
      <c r="R72" s="499" t="str">
        <f>IF(M72="","",VLOOKUP(M72,'G-6 Hedgerow Data'!$B$2:$AG$15,3,FALSE))</f>
        <v/>
      </c>
      <c r="S72" s="145"/>
      <c r="T72" s="499" t="str">
        <f>IFERROR(IF(AND(Q72="V.Low",OR(S72="Good",S72="Moderate")),"Error ▲",VLOOKUP(S72,'G-1 All Habitats'!$Z$2:$AA$9,2,FALSE)),"")</f>
        <v/>
      </c>
      <c r="U72" s="145"/>
      <c r="V72" s="507" t="str">
        <f>IF(U72="","",IF(VLOOKUP(U72,'G-3 Multipliers'!$L$3:$N$6,2,FALSE)=0,"Spatial Data Missing ⚠",VLOOKUP(U72,'G-3 Multipliers'!$L$3:$N$6,2,FALSE)))</f>
        <v/>
      </c>
      <c r="W72" s="505" t="str">
        <f>IF(U72="","",IF(VLOOKUP(U72,'G-3 Multipliers'!$L$3:$N$6,3,FALSE)=0,"Spatial Data Missing ⚠",VLOOKUP(U72,'G-3 Multipliers'!$L$3:$N$6,3,FALSE)))</f>
        <v/>
      </c>
      <c r="X72" s="498"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7" t="str">
        <f t="shared" si="3"/>
        <v/>
      </c>
      <c r="AB72" s="521" t="str">
        <f t="shared" si="4"/>
        <v/>
      </c>
      <c r="AC72" s="522" t="str">
        <f t="shared" si="1"/>
        <v/>
      </c>
      <c r="AD72" s="537" t="str">
        <f>IF(M72="","",VLOOKUP(M72,'G-6 Hedgerow Data'!$B$3:$AG$15,31,FALSE))</f>
        <v/>
      </c>
      <c r="AE72" s="520" t="str">
        <f t="shared" si="5"/>
        <v/>
      </c>
      <c r="AF72" s="520" t="str">
        <f t="shared" si="6"/>
        <v/>
      </c>
      <c r="AG72" s="524" t="str">
        <f>IFERROR(IF(O72="","",VLOOKUP(AD72,'G-3 Multipliers'!$P$3:$Q$6,2,FALSE)),"")</f>
        <v/>
      </c>
      <c r="AH72" s="197"/>
      <c r="AI72" s="499" t="str">
        <f>IF(AH72="","",IF(VLOOKUP(AH72,'G-3 Multipliers'!$S$3:$T$6,2,FALSE)=0,"Spatial Data Missing ⚠",VLOOKUP(AH72,'G-3 Multipliers'!$S$3:$T$6,2,FALSE)))</f>
        <v/>
      </c>
      <c r="AJ72" s="545" t="str">
        <f t="shared" si="7"/>
        <v/>
      </c>
      <c r="AK72" s="149"/>
      <c r="AL72" s="150"/>
      <c r="AP72" s="31" t="str">
        <f>IFERROR(INDEX('G-6 Hedgerow Data'!$BJ$3:$BJ$15,MATCH(M72,'G-6 Hedgerow Data'!$B$3:$B$15,0)),"")</f>
        <v/>
      </c>
    </row>
    <row r="73" spans="2:42" ht="13.8" x14ac:dyDescent="0.25">
      <c r="B73" s="531" t="str">
        <f>'E-1 Off Site Hedge Baseline'!AK71</f>
        <v/>
      </c>
      <c r="C73" s="520" t="str">
        <f>IF(B73="","",IF(ISNA(VLOOKUP($B73,'E-1 Off Site Hedge Baseline'!$B$1:$L$257,3,FALSE)),"",(VLOOKUP($B73,'E-1 Off Site Hedge Baseline'!$B$1:$L$257,3,FALSE))))</f>
        <v/>
      </c>
      <c r="D73" s="520" t="str">
        <f>IF(B73="","",IF(ISNA(VLOOKUP($B73,'E-1 Off Site Hedge Baseline'!$B$1:$L$258,4,FALSE)),"",(VLOOKUP($B73,'E-1 Off Site Hedge Baseline'!$B$1:$L$258,4,FALSE))))</f>
        <v/>
      </c>
      <c r="E73" s="520" t="str">
        <f>IF(B73="","",IF(ISNA(VLOOKUP($B73,'E-1 Off Site Hedge Baseline'!$B$1:$L$257,5,FALSE)),"",(VLOOKUP($B73,'E-1 Off Site Hedge Baseline'!$B$1:$L$257,5,FALSE))))</f>
        <v/>
      </c>
      <c r="F73" s="520" t="str">
        <f>IF(B73="","",IF(ISNA(VLOOKUP($B73,'E-1 Off Site Hedge Baseline'!$B$1:$L$257,6,FALSE)),"",(VLOOKUP($B73,'E-1 Off Site Hedge Baseline'!$B$1:$L$257,6,FALSE))))</f>
        <v/>
      </c>
      <c r="G73" s="520" t="str">
        <f>IF(B73="","",IF(ISNA(VLOOKUP($B73,'E-1 Off Site Hedge Baseline'!$B$1:$L$257,7,FALSE)),"",(VLOOKUP($B73,'E-1 Off Site Hedge Baseline'!$B$1:$L$257,7,FALSE))))</f>
        <v/>
      </c>
      <c r="H73" s="520" t="str">
        <f>IF(B73="","",IF(ISNA(VLOOKUP($B73,'E-1 Off Site Hedge Baseline'!$B$1:$L$257,8,FALSE)),"",(VLOOKUP($B73,'E-1 Off Site Hedge Baseline'!$B$1:$L$257,8,FALSE))))</f>
        <v/>
      </c>
      <c r="I73" s="520" t="str">
        <f>IF(B73="","",IF(ISNA(VLOOKUP($B73,'E-1 Off Site Hedge Baseline'!$B$1:$L$257,10,FALSE)),"",(VLOOKUP($B73,'E-1 Off Site Hedge Baseline'!$B$1:$L$257,10,FALSE))))</f>
        <v/>
      </c>
      <c r="J73" s="520" t="str">
        <f>IF(B73="","",IF(ISNA(VLOOKUP($B73,'E-1 Off Site Hedge Baseline'!$B$1:$L$257,11,FALSE)),"",(VLOOKUP($B73,'E-1 Off Site Hedge Baseline'!$B$1:$L$257,11,FALSE))))</f>
        <v/>
      </c>
      <c r="K73" s="520" t="str">
        <f>IF(B73="","",IF(ISNA(VLOOKUP($B73,'E-1 Off Site Hedge Baseline'!$B$1:$U$257,113,FALSE)),"",(VLOOKUP($B73,'E-1 Off Site Hedge Baseline'!$B$1:$U$257,13,FALSE))))</f>
        <v/>
      </c>
      <c r="L73" s="507" t="str">
        <f>IF(B73="","",IF(ISNA(VLOOKUP($B73,'E-1 Off Site Hedge Baseline'!$B$1:$U$257,12,FALSE)),"",(VLOOKUP($B73,'E-1 Off Site Hedge Baseline'!$B$1:$U$257,12,FALSE))))</f>
        <v/>
      </c>
      <c r="M73" s="418" t="str">
        <f t="shared" si="8"/>
        <v/>
      </c>
      <c r="N73" s="498" t="str">
        <f>IFERROR(IF(B73="","",INDEX('G-6 Hedgerow Data'!$AN$3:$AZ$15,MATCH(C73,'G-6 Hedgerow Data'!$AM$3:$AM$15,0),MATCH(M73,'G-6 Hedgerow Data'!$AN$2:$AZ$2,0))),"")</f>
        <v/>
      </c>
      <c r="O73" s="499" t="str">
        <f t="shared" si="2"/>
        <v/>
      </c>
      <c r="P73" s="505" t="str">
        <f>IF(B73="","",VLOOKUP(B73,'E-1 Off Site Hedge Baseline'!$B$10:T318,16,FALSE))</f>
        <v/>
      </c>
      <c r="Q73" s="498" t="str">
        <f>IF(M73="","",VLOOKUP(M73,'G-6 Hedgerow Data'!$B$2:$AG$15,2,FALSE))</f>
        <v/>
      </c>
      <c r="R73" s="499" t="str">
        <f>IF(M73="","",VLOOKUP(M73,'G-6 Hedgerow Data'!$B$2:$AG$15,3,FALSE))</f>
        <v/>
      </c>
      <c r="S73" s="145"/>
      <c r="T73" s="499" t="str">
        <f>IFERROR(IF(AND(Q73="V.Low",OR(S73="Good",S73="Moderate")),"Error ▲",VLOOKUP(S73,'G-1 All Habitats'!$Z$2:$AA$9,2,FALSE)),"")</f>
        <v/>
      </c>
      <c r="U73" s="145"/>
      <c r="V73" s="507" t="str">
        <f>IF(U73="","",IF(VLOOKUP(U73,'G-3 Multipliers'!$L$3:$N$6,2,FALSE)=0,"Spatial Data Missing ⚠",VLOOKUP(U73,'G-3 Multipliers'!$L$3:$N$6,2,FALSE)))</f>
        <v/>
      </c>
      <c r="W73" s="505" t="str">
        <f>IF(U73="","",IF(VLOOKUP(U73,'G-3 Multipliers'!$L$3:$N$6,3,FALSE)=0,"Spatial Data Missing ⚠",VLOOKUP(U73,'G-3 Multipliers'!$L$3:$N$6,3,FALSE)))</f>
        <v/>
      </c>
      <c r="X73" s="498"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7" t="str">
        <f t="shared" si="3"/>
        <v/>
      </c>
      <c r="AB73" s="521" t="str">
        <f t="shared" si="4"/>
        <v/>
      </c>
      <c r="AC73" s="522" t="str">
        <f t="shared" si="1"/>
        <v/>
      </c>
      <c r="AD73" s="537" t="str">
        <f>IF(M73="","",VLOOKUP(M73,'G-6 Hedgerow Data'!$B$3:$AG$15,31,FALSE))</f>
        <v/>
      </c>
      <c r="AE73" s="520" t="str">
        <f t="shared" si="5"/>
        <v/>
      </c>
      <c r="AF73" s="520" t="str">
        <f t="shared" si="6"/>
        <v/>
      </c>
      <c r="AG73" s="524" t="str">
        <f>IFERROR(IF(O73="","",VLOOKUP(AD73,'G-3 Multipliers'!$P$3:$Q$6,2,FALSE)),"")</f>
        <v/>
      </c>
      <c r="AH73" s="197"/>
      <c r="AI73" s="499" t="str">
        <f>IF(AH73="","",IF(VLOOKUP(AH73,'G-3 Multipliers'!$S$3:$T$6,2,FALSE)=0,"Spatial Data Missing ⚠",VLOOKUP(AH73,'G-3 Multipliers'!$S$3:$T$6,2,FALSE)))</f>
        <v/>
      </c>
      <c r="AJ73" s="545" t="str">
        <f t="shared" si="7"/>
        <v/>
      </c>
      <c r="AK73" s="149"/>
      <c r="AL73" s="150"/>
      <c r="AP73" s="31" t="str">
        <f>IFERROR(INDEX('G-6 Hedgerow Data'!$BJ$3:$BJ$15,MATCH(M73,'G-6 Hedgerow Data'!$B$3:$B$15,0)),"")</f>
        <v/>
      </c>
    </row>
    <row r="74" spans="2:42" ht="13.8" x14ac:dyDescent="0.25">
      <c r="B74" s="531" t="str">
        <f>'E-1 Off Site Hedge Baseline'!AK72</f>
        <v/>
      </c>
      <c r="C74" s="520" t="str">
        <f>IF(B74="","",IF(ISNA(VLOOKUP($B74,'E-1 Off Site Hedge Baseline'!$B$1:$L$257,3,FALSE)),"",(VLOOKUP($B74,'E-1 Off Site Hedge Baseline'!$B$1:$L$257,3,FALSE))))</f>
        <v/>
      </c>
      <c r="D74" s="520" t="str">
        <f>IF(B74="","",IF(ISNA(VLOOKUP($B74,'E-1 Off Site Hedge Baseline'!$B$1:$L$258,4,FALSE)),"",(VLOOKUP($B74,'E-1 Off Site Hedge Baseline'!$B$1:$L$258,4,FALSE))))</f>
        <v/>
      </c>
      <c r="E74" s="520" t="str">
        <f>IF(B74="","",IF(ISNA(VLOOKUP($B74,'E-1 Off Site Hedge Baseline'!$B$1:$L$257,5,FALSE)),"",(VLOOKUP($B74,'E-1 Off Site Hedge Baseline'!$B$1:$L$257,5,FALSE))))</f>
        <v/>
      </c>
      <c r="F74" s="520" t="str">
        <f>IF(B74="","",IF(ISNA(VLOOKUP($B74,'E-1 Off Site Hedge Baseline'!$B$1:$L$257,6,FALSE)),"",(VLOOKUP($B74,'E-1 Off Site Hedge Baseline'!$B$1:$L$257,6,FALSE))))</f>
        <v/>
      </c>
      <c r="G74" s="520" t="str">
        <f>IF(B74="","",IF(ISNA(VLOOKUP($B74,'E-1 Off Site Hedge Baseline'!$B$1:$L$257,7,FALSE)),"",(VLOOKUP($B74,'E-1 Off Site Hedge Baseline'!$B$1:$L$257,7,FALSE))))</f>
        <v/>
      </c>
      <c r="H74" s="520" t="str">
        <f>IF(B74="","",IF(ISNA(VLOOKUP($B74,'E-1 Off Site Hedge Baseline'!$B$1:$L$257,8,FALSE)),"",(VLOOKUP($B74,'E-1 Off Site Hedge Baseline'!$B$1:$L$257,8,FALSE))))</f>
        <v/>
      </c>
      <c r="I74" s="520" t="str">
        <f>IF(B74="","",IF(ISNA(VLOOKUP($B74,'E-1 Off Site Hedge Baseline'!$B$1:$L$257,10,FALSE)),"",(VLOOKUP($B74,'E-1 Off Site Hedge Baseline'!$B$1:$L$257,10,FALSE))))</f>
        <v/>
      </c>
      <c r="J74" s="520" t="str">
        <f>IF(B74="","",IF(ISNA(VLOOKUP($B74,'E-1 Off Site Hedge Baseline'!$B$1:$L$257,11,FALSE)),"",(VLOOKUP($B74,'E-1 Off Site Hedge Baseline'!$B$1:$L$257,11,FALSE))))</f>
        <v/>
      </c>
      <c r="K74" s="520" t="str">
        <f>IF(B74="","",IF(ISNA(VLOOKUP($B74,'E-1 Off Site Hedge Baseline'!$B$1:$U$257,113,FALSE)),"",(VLOOKUP($B74,'E-1 Off Site Hedge Baseline'!$B$1:$U$257,13,FALSE))))</f>
        <v/>
      </c>
      <c r="L74" s="507" t="str">
        <f>IF(B74="","",IF(ISNA(VLOOKUP($B74,'E-1 Off Site Hedge Baseline'!$B$1:$U$257,12,FALSE)),"",(VLOOKUP($B74,'E-1 Off Site Hedge Baseline'!$B$1:$U$257,12,FALSE))))</f>
        <v/>
      </c>
      <c r="M74" s="418" t="str">
        <f t="shared" si="8"/>
        <v/>
      </c>
      <c r="N74" s="498" t="str">
        <f>IFERROR(IF(B74="","",INDEX('G-6 Hedgerow Data'!$AN$3:$AZ$15,MATCH(C74,'G-6 Hedgerow Data'!$AM$3:$AM$15,0),MATCH(M74,'G-6 Hedgerow Data'!$AN$2:$AZ$2,0))),"")</f>
        <v/>
      </c>
      <c r="O74" s="499" t="str">
        <f t="shared" si="2"/>
        <v/>
      </c>
      <c r="P74" s="505" t="str">
        <f>IF(B74="","",VLOOKUP(B74,'E-1 Off Site Hedge Baseline'!$B$10:T319,16,FALSE))</f>
        <v/>
      </c>
      <c r="Q74" s="498" t="str">
        <f>IF(M74="","",VLOOKUP(M74,'G-6 Hedgerow Data'!$B$2:$AG$15,2,FALSE))</f>
        <v/>
      </c>
      <c r="R74" s="499" t="str">
        <f>IF(M74="","",VLOOKUP(M74,'G-6 Hedgerow Data'!$B$2:$AG$15,3,FALSE))</f>
        <v/>
      </c>
      <c r="S74" s="145"/>
      <c r="T74" s="499" t="str">
        <f>IFERROR(IF(AND(Q74="V.Low",OR(S74="Good",S74="Moderate")),"Error ▲",VLOOKUP(S74,'G-1 All Habitats'!$Z$2:$AA$9,2,FALSE)),"")</f>
        <v/>
      </c>
      <c r="U74" s="145"/>
      <c r="V74" s="507" t="str">
        <f>IF(U74="","",IF(VLOOKUP(U74,'G-3 Multipliers'!$L$3:$N$6,2,FALSE)=0,"Spatial Data Missing ⚠",VLOOKUP(U74,'G-3 Multipliers'!$L$3:$N$6,2,FALSE)))</f>
        <v/>
      </c>
      <c r="W74" s="505" t="str">
        <f>IF(U74="","",IF(VLOOKUP(U74,'G-3 Multipliers'!$L$3:$N$6,3,FALSE)=0,"Spatial Data Missing ⚠",VLOOKUP(U74,'G-3 Multipliers'!$L$3:$N$6,3,FALSE)))</f>
        <v/>
      </c>
      <c r="X74" s="498"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7" t="str">
        <f t="shared" si="3"/>
        <v/>
      </c>
      <c r="AB74" s="521" t="str">
        <f t="shared" si="4"/>
        <v/>
      </c>
      <c r="AC74" s="522" t="str">
        <f t="shared" si="1"/>
        <v/>
      </c>
      <c r="AD74" s="537" t="str">
        <f>IF(M74="","",VLOOKUP(M74,'G-6 Hedgerow Data'!$B$3:$AG$15,31,FALSE))</f>
        <v/>
      </c>
      <c r="AE74" s="520" t="str">
        <f t="shared" si="5"/>
        <v/>
      </c>
      <c r="AF74" s="520" t="str">
        <f t="shared" si="6"/>
        <v/>
      </c>
      <c r="AG74" s="524" t="str">
        <f>IFERROR(IF(O74="","",VLOOKUP(AD74,'G-3 Multipliers'!$P$3:$Q$6,2,FALSE)),"")</f>
        <v/>
      </c>
      <c r="AH74" s="197"/>
      <c r="AI74" s="499" t="str">
        <f>IF(AH74="","",IF(VLOOKUP(AH74,'G-3 Multipliers'!$S$3:$T$6,2,FALSE)=0,"Spatial Data Missing ⚠",VLOOKUP(AH74,'G-3 Multipliers'!$S$3:$T$6,2,FALSE)))</f>
        <v/>
      </c>
      <c r="AJ74" s="545" t="str">
        <f t="shared" si="7"/>
        <v/>
      </c>
      <c r="AK74" s="149"/>
      <c r="AL74" s="150"/>
      <c r="AP74" s="31" t="str">
        <f>IFERROR(INDEX('G-6 Hedgerow Data'!$BJ$3:$BJ$15,MATCH(M74,'G-6 Hedgerow Data'!$B$3:$B$15,0)),"")</f>
        <v/>
      </c>
    </row>
    <row r="75" spans="2:42" ht="13.8" x14ac:dyDescent="0.25">
      <c r="B75" s="531" t="str">
        <f>'E-1 Off Site Hedge Baseline'!AK73</f>
        <v/>
      </c>
      <c r="C75" s="520" t="str">
        <f>IF(B75="","",IF(ISNA(VLOOKUP($B75,'E-1 Off Site Hedge Baseline'!$B$1:$L$257,3,FALSE)),"",(VLOOKUP($B75,'E-1 Off Site Hedge Baseline'!$B$1:$L$257,3,FALSE))))</f>
        <v/>
      </c>
      <c r="D75" s="520" t="str">
        <f>IF(B75="","",IF(ISNA(VLOOKUP($B75,'E-1 Off Site Hedge Baseline'!$B$1:$L$258,4,FALSE)),"",(VLOOKUP($B75,'E-1 Off Site Hedge Baseline'!$B$1:$L$258,4,FALSE))))</f>
        <v/>
      </c>
      <c r="E75" s="520" t="str">
        <f>IF(B75="","",IF(ISNA(VLOOKUP($B75,'E-1 Off Site Hedge Baseline'!$B$1:$L$257,5,FALSE)),"",(VLOOKUP($B75,'E-1 Off Site Hedge Baseline'!$B$1:$L$257,5,FALSE))))</f>
        <v/>
      </c>
      <c r="F75" s="520" t="str">
        <f>IF(B75="","",IF(ISNA(VLOOKUP($B75,'E-1 Off Site Hedge Baseline'!$B$1:$L$257,6,FALSE)),"",(VLOOKUP($B75,'E-1 Off Site Hedge Baseline'!$B$1:$L$257,6,FALSE))))</f>
        <v/>
      </c>
      <c r="G75" s="520" t="str">
        <f>IF(B75="","",IF(ISNA(VLOOKUP($B75,'E-1 Off Site Hedge Baseline'!$B$1:$L$257,7,FALSE)),"",(VLOOKUP($B75,'E-1 Off Site Hedge Baseline'!$B$1:$L$257,7,FALSE))))</f>
        <v/>
      </c>
      <c r="H75" s="520" t="str">
        <f>IF(B75="","",IF(ISNA(VLOOKUP($B75,'E-1 Off Site Hedge Baseline'!$B$1:$L$257,8,FALSE)),"",(VLOOKUP($B75,'E-1 Off Site Hedge Baseline'!$B$1:$L$257,8,FALSE))))</f>
        <v/>
      </c>
      <c r="I75" s="520" t="str">
        <f>IF(B75="","",IF(ISNA(VLOOKUP($B75,'E-1 Off Site Hedge Baseline'!$B$1:$L$257,10,FALSE)),"",(VLOOKUP($B75,'E-1 Off Site Hedge Baseline'!$B$1:$L$257,10,FALSE))))</f>
        <v/>
      </c>
      <c r="J75" s="520" t="str">
        <f>IF(B75="","",IF(ISNA(VLOOKUP($B75,'E-1 Off Site Hedge Baseline'!$B$1:$L$257,11,FALSE)),"",(VLOOKUP($B75,'E-1 Off Site Hedge Baseline'!$B$1:$L$257,11,FALSE))))</f>
        <v/>
      </c>
      <c r="K75" s="520" t="str">
        <f>IF(B75="","",IF(ISNA(VLOOKUP($B75,'E-1 Off Site Hedge Baseline'!$B$1:$U$257,113,FALSE)),"",(VLOOKUP($B75,'E-1 Off Site Hedge Baseline'!$B$1:$U$257,13,FALSE))))</f>
        <v/>
      </c>
      <c r="L75" s="507" t="str">
        <f>IF(B75="","",IF(ISNA(VLOOKUP($B75,'E-1 Off Site Hedge Baseline'!$B$1:$U$257,12,FALSE)),"",(VLOOKUP($B75,'E-1 Off Site Hedge Baseline'!$B$1:$U$257,12,FALSE))))</f>
        <v/>
      </c>
      <c r="M75" s="418" t="str">
        <f t="shared" si="8"/>
        <v/>
      </c>
      <c r="N75" s="498" t="str">
        <f>IFERROR(IF(B75="","",INDEX('G-6 Hedgerow Data'!$AN$3:$AZ$15,MATCH(C75,'G-6 Hedgerow Data'!$AM$3:$AM$15,0),MATCH(M75,'G-6 Hedgerow Data'!$AN$2:$AZ$2,0))),"")</f>
        <v/>
      </c>
      <c r="O75" s="499" t="str">
        <f t="shared" si="2"/>
        <v/>
      </c>
      <c r="P75" s="505" t="str">
        <f>IF(B75="","",VLOOKUP(B75,'E-1 Off Site Hedge Baseline'!$B$10:T320,16,FALSE))</f>
        <v/>
      </c>
      <c r="Q75" s="498" t="str">
        <f>IF(M75="","",VLOOKUP(M75,'G-6 Hedgerow Data'!$B$2:$AG$15,2,FALSE))</f>
        <v/>
      </c>
      <c r="R75" s="499" t="str">
        <f>IF(M75="","",VLOOKUP(M75,'G-6 Hedgerow Data'!$B$2:$AG$15,3,FALSE))</f>
        <v/>
      </c>
      <c r="S75" s="145"/>
      <c r="T75" s="499" t="str">
        <f>IFERROR(IF(AND(Q75="V.Low",OR(S75="Good",S75="Moderate")),"Error ▲",VLOOKUP(S75,'G-1 All Habitats'!$Z$2:$AA$9,2,FALSE)),"")</f>
        <v/>
      </c>
      <c r="U75" s="145"/>
      <c r="V75" s="507" t="str">
        <f>IF(U75="","",IF(VLOOKUP(U75,'G-3 Multipliers'!$L$3:$N$6,2,FALSE)=0,"Spatial Data Missing ⚠",VLOOKUP(U75,'G-3 Multipliers'!$L$3:$N$6,2,FALSE)))</f>
        <v/>
      </c>
      <c r="W75" s="505" t="str">
        <f>IF(U75="","",IF(VLOOKUP(U75,'G-3 Multipliers'!$L$3:$N$6,3,FALSE)=0,"Spatial Data Missing ⚠",VLOOKUP(U75,'G-3 Multipliers'!$L$3:$N$6,3,FALSE)))</f>
        <v/>
      </c>
      <c r="X75" s="498"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7" t="str">
        <f t="shared" si="3"/>
        <v/>
      </c>
      <c r="AB75" s="521" t="str">
        <f t="shared" si="4"/>
        <v/>
      </c>
      <c r="AC75" s="522" t="str">
        <f t="shared" si="1"/>
        <v/>
      </c>
      <c r="AD75" s="537" t="str">
        <f>IF(M75="","",VLOOKUP(M75,'G-6 Hedgerow Data'!$B$3:$AG$15,31,FALSE))</f>
        <v/>
      </c>
      <c r="AE75" s="520" t="str">
        <f t="shared" si="5"/>
        <v/>
      </c>
      <c r="AF75" s="520" t="str">
        <f t="shared" si="6"/>
        <v/>
      </c>
      <c r="AG75" s="524" t="str">
        <f>IFERROR(IF(O75="","",VLOOKUP(AD75,'G-3 Multipliers'!$P$3:$Q$6,2,FALSE)),"")</f>
        <v/>
      </c>
      <c r="AH75" s="197"/>
      <c r="AI75" s="499" t="str">
        <f>IF(AH75="","",IF(VLOOKUP(AH75,'G-3 Multipliers'!$S$3:$T$6,2,FALSE)=0,"Spatial Data Missing ⚠",VLOOKUP(AH75,'G-3 Multipliers'!$S$3:$T$6,2,FALSE)))</f>
        <v/>
      </c>
      <c r="AJ75" s="545" t="str">
        <f t="shared" si="7"/>
        <v/>
      </c>
      <c r="AK75" s="149"/>
      <c r="AL75" s="150"/>
      <c r="AP75" s="31" t="str">
        <f>IFERROR(INDEX('G-6 Hedgerow Data'!$BJ$3:$BJ$15,MATCH(M75,'G-6 Hedgerow Data'!$B$3:$B$15,0)),"")</f>
        <v/>
      </c>
    </row>
    <row r="76" spans="2:42" ht="13.8" x14ac:dyDescent="0.25">
      <c r="B76" s="531" t="str">
        <f>'E-1 Off Site Hedge Baseline'!AK74</f>
        <v/>
      </c>
      <c r="C76" s="520" t="str">
        <f>IF(B76="","",IF(ISNA(VLOOKUP($B76,'E-1 Off Site Hedge Baseline'!$B$1:$L$257,3,FALSE)),"",(VLOOKUP($B76,'E-1 Off Site Hedge Baseline'!$B$1:$L$257,3,FALSE))))</f>
        <v/>
      </c>
      <c r="D76" s="520" t="str">
        <f>IF(B76="","",IF(ISNA(VLOOKUP($B76,'E-1 Off Site Hedge Baseline'!$B$1:$L$258,4,FALSE)),"",(VLOOKUP($B76,'E-1 Off Site Hedge Baseline'!$B$1:$L$258,4,FALSE))))</f>
        <v/>
      </c>
      <c r="E76" s="520" t="str">
        <f>IF(B76="","",IF(ISNA(VLOOKUP($B76,'E-1 Off Site Hedge Baseline'!$B$1:$L$257,5,FALSE)),"",(VLOOKUP($B76,'E-1 Off Site Hedge Baseline'!$B$1:$L$257,5,FALSE))))</f>
        <v/>
      </c>
      <c r="F76" s="520" t="str">
        <f>IF(B76="","",IF(ISNA(VLOOKUP($B76,'E-1 Off Site Hedge Baseline'!$B$1:$L$257,6,FALSE)),"",(VLOOKUP($B76,'E-1 Off Site Hedge Baseline'!$B$1:$L$257,6,FALSE))))</f>
        <v/>
      </c>
      <c r="G76" s="520" t="str">
        <f>IF(B76="","",IF(ISNA(VLOOKUP($B76,'E-1 Off Site Hedge Baseline'!$B$1:$L$257,7,FALSE)),"",(VLOOKUP($B76,'E-1 Off Site Hedge Baseline'!$B$1:$L$257,7,FALSE))))</f>
        <v/>
      </c>
      <c r="H76" s="520" t="str">
        <f>IF(B76="","",IF(ISNA(VLOOKUP($B76,'E-1 Off Site Hedge Baseline'!$B$1:$L$257,8,FALSE)),"",(VLOOKUP($B76,'E-1 Off Site Hedge Baseline'!$B$1:$L$257,8,FALSE))))</f>
        <v/>
      </c>
      <c r="I76" s="520" t="str">
        <f>IF(B76="","",IF(ISNA(VLOOKUP($B76,'E-1 Off Site Hedge Baseline'!$B$1:$L$257,10,FALSE)),"",(VLOOKUP($B76,'E-1 Off Site Hedge Baseline'!$B$1:$L$257,10,FALSE))))</f>
        <v/>
      </c>
      <c r="J76" s="520" t="str">
        <f>IF(B76="","",IF(ISNA(VLOOKUP($B76,'E-1 Off Site Hedge Baseline'!$B$1:$L$257,11,FALSE)),"",(VLOOKUP($B76,'E-1 Off Site Hedge Baseline'!$B$1:$L$257,11,FALSE))))</f>
        <v/>
      </c>
      <c r="K76" s="520" t="str">
        <f>IF(B76="","",IF(ISNA(VLOOKUP($B76,'E-1 Off Site Hedge Baseline'!$B$1:$U$257,113,FALSE)),"",(VLOOKUP($B76,'E-1 Off Site Hedge Baseline'!$B$1:$U$257,13,FALSE))))</f>
        <v/>
      </c>
      <c r="L76" s="507" t="str">
        <f>IF(B76="","",IF(ISNA(VLOOKUP($B76,'E-1 Off Site Hedge Baseline'!$B$1:$U$257,12,FALSE)),"",(VLOOKUP($B76,'E-1 Off Site Hedge Baseline'!$B$1:$U$257,12,FALSE))))</f>
        <v/>
      </c>
      <c r="M76" s="418" t="str">
        <f t="shared" si="8"/>
        <v/>
      </c>
      <c r="N76" s="498" t="str">
        <f>IFERROR(IF(B76="","",INDEX('G-6 Hedgerow Data'!$AN$3:$AZ$15,MATCH(C76,'G-6 Hedgerow Data'!$AM$3:$AM$15,0),MATCH(M76,'G-6 Hedgerow Data'!$AN$2:$AZ$2,0))),"")</f>
        <v/>
      </c>
      <c r="O76" s="499" t="str">
        <f t="shared" si="2"/>
        <v/>
      </c>
      <c r="P76" s="505" t="str">
        <f>IF(B76="","",VLOOKUP(B76,'E-1 Off Site Hedge Baseline'!$B$10:T321,16,FALSE))</f>
        <v/>
      </c>
      <c r="Q76" s="498" t="str">
        <f>IF(M76="","",VLOOKUP(M76,'G-6 Hedgerow Data'!$B$2:$AG$15,2,FALSE))</f>
        <v/>
      </c>
      <c r="R76" s="499" t="str">
        <f>IF(M76="","",VLOOKUP(M76,'G-6 Hedgerow Data'!$B$2:$AG$15,3,FALSE))</f>
        <v/>
      </c>
      <c r="S76" s="145"/>
      <c r="T76" s="499" t="str">
        <f>IFERROR(IF(AND(Q76="V.Low",OR(S76="Good",S76="Moderate")),"Error ▲",VLOOKUP(S76,'G-1 All Habitats'!$Z$2:$AA$9,2,FALSE)),"")</f>
        <v/>
      </c>
      <c r="U76" s="145"/>
      <c r="V76" s="507" t="str">
        <f>IF(U76="","",IF(VLOOKUP(U76,'G-3 Multipliers'!$L$3:$N$6,2,FALSE)=0,"Spatial Data Missing ⚠",VLOOKUP(U76,'G-3 Multipliers'!$L$3:$N$6,2,FALSE)))</f>
        <v/>
      </c>
      <c r="W76" s="505" t="str">
        <f>IF(U76="","",IF(VLOOKUP(U76,'G-3 Multipliers'!$L$3:$N$6,3,FALSE)=0,"Spatial Data Missing ⚠",VLOOKUP(U76,'G-3 Multipliers'!$L$3:$N$6,3,FALSE)))</f>
        <v/>
      </c>
      <c r="X76" s="498"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7" t="str">
        <f t="shared" si="3"/>
        <v/>
      </c>
      <c r="AB76" s="521" t="str">
        <f t="shared" si="4"/>
        <v/>
      </c>
      <c r="AC76" s="522" t="str">
        <f t="shared" ref="AC76:AC139" si="9">IF(OR(S76="",M76=""),"",IF(LEFT(AB76,5)="Error ▲","Check Data ⚠",IF(AB76="Check Data ⚠","Check Data ⚠",VLOOKUP(AB76,TemporalMultipliers,3,FALSE))))</f>
        <v/>
      </c>
      <c r="AD76" s="537" t="str">
        <f>IF(M76="","",VLOOKUP(M76,'G-6 Hedgerow Data'!$B$3:$AG$15,31,FALSE))</f>
        <v/>
      </c>
      <c r="AE76" s="520" t="str">
        <f t="shared" si="5"/>
        <v/>
      </c>
      <c r="AF76" s="520" t="str">
        <f t="shared" si="6"/>
        <v/>
      </c>
      <c r="AG76" s="524" t="str">
        <f>IFERROR(IF(O76="","",VLOOKUP(AD76,'G-3 Multipliers'!$P$3:$Q$6,2,FALSE)),"")</f>
        <v/>
      </c>
      <c r="AH76" s="197"/>
      <c r="AI76" s="499" t="str">
        <f>IF(AH76="","",IF(VLOOKUP(AH76,'G-3 Multipliers'!$S$3:$T$6,2,FALSE)=0,"Spatial Data Missing ⚠",VLOOKUP(AH76,'G-3 Multipliers'!$S$3:$T$6,2,FALSE)))</f>
        <v/>
      </c>
      <c r="AJ76" s="545" t="str">
        <f t="shared" si="7"/>
        <v/>
      </c>
      <c r="AK76" s="149"/>
      <c r="AL76" s="150"/>
      <c r="AP76" s="31" t="str">
        <f>IFERROR(INDEX('G-6 Hedgerow Data'!$BJ$3:$BJ$15,MATCH(M76,'G-6 Hedgerow Data'!$B$3:$B$15,0)),"")</f>
        <v/>
      </c>
    </row>
    <row r="77" spans="2:42" ht="13.8" x14ac:dyDescent="0.25">
      <c r="B77" s="531" t="str">
        <f>'E-1 Off Site Hedge Baseline'!AK75</f>
        <v/>
      </c>
      <c r="C77" s="520" t="str">
        <f>IF(B77="","",IF(ISNA(VLOOKUP($B77,'E-1 Off Site Hedge Baseline'!$B$1:$L$257,3,FALSE)),"",(VLOOKUP($B77,'E-1 Off Site Hedge Baseline'!$B$1:$L$257,3,FALSE))))</f>
        <v/>
      </c>
      <c r="D77" s="520" t="str">
        <f>IF(B77="","",IF(ISNA(VLOOKUP($B77,'E-1 Off Site Hedge Baseline'!$B$1:$L$258,4,FALSE)),"",(VLOOKUP($B77,'E-1 Off Site Hedge Baseline'!$B$1:$L$258,4,FALSE))))</f>
        <v/>
      </c>
      <c r="E77" s="520" t="str">
        <f>IF(B77="","",IF(ISNA(VLOOKUP($B77,'E-1 Off Site Hedge Baseline'!$B$1:$L$257,5,FALSE)),"",(VLOOKUP($B77,'E-1 Off Site Hedge Baseline'!$B$1:$L$257,5,FALSE))))</f>
        <v/>
      </c>
      <c r="F77" s="520" t="str">
        <f>IF(B77="","",IF(ISNA(VLOOKUP($B77,'E-1 Off Site Hedge Baseline'!$B$1:$L$257,6,FALSE)),"",(VLOOKUP($B77,'E-1 Off Site Hedge Baseline'!$B$1:$L$257,6,FALSE))))</f>
        <v/>
      </c>
      <c r="G77" s="520" t="str">
        <f>IF(B77="","",IF(ISNA(VLOOKUP($B77,'E-1 Off Site Hedge Baseline'!$B$1:$L$257,7,FALSE)),"",(VLOOKUP($B77,'E-1 Off Site Hedge Baseline'!$B$1:$L$257,7,FALSE))))</f>
        <v/>
      </c>
      <c r="H77" s="520" t="str">
        <f>IF(B77="","",IF(ISNA(VLOOKUP($B77,'E-1 Off Site Hedge Baseline'!$B$1:$L$257,8,FALSE)),"",(VLOOKUP($B77,'E-1 Off Site Hedge Baseline'!$B$1:$L$257,8,FALSE))))</f>
        <v/>
      </c>
      <c r="I77" s="520" t="str">
        <f>IF(B77="","",IF(ISNA(VLOOKUP($B77,'E-1 Off Site Hedge Baseline'!$B$1:$L$257,10,FALSE)),"",(VLOOKUP($B77,'E-1 Off Site Hedge Baseline'!$B$1:$L$257,10,FALSE))))</f>
        <v/>
      </c>
      <c r="J77" s="520" t="str">
        <f>IF(B77="","",IF(ISNA(VLOOKUP($B77,'E-1 Off Site Hedge Baseline'!$B$1:$L$257,11,FALSE)),"",(VLOOKUP($B77,'E-1 Off Site Hedge Baseline'!$B$1:$L$257,11,FALSE))))</f>
        <v/>
      </c>
      <c r="K77" s="520" t="str">
        <f>IF(B77="","",IF(ISNA(VLOOKUP($B77,'E-1 Off Site Hedge Baseline'!$B$1:$U$257,113,FALSE)),"",(VLOOKUP($B77,'E-1 Off Site Hedge Baseline'!$B$1:$U$257,13,FALSE))))</f>
        <v/>
      </c>
      <c r="L77" s="507" t="str">
        <f>IF(B77="","",IF(ISNA(VLOOKUP($B77,'E-1 Off Site Hedge Baseline'!$B$1:$U$257,12,FALSE)),"",(VLOOKUP($B77,'E-1 Off Site Hedge Baseline'!$B$1:$U$257,12,FALSE))))</f>
        <v/>
      </c>
      <c r="M77" s="418" t="str">
        <f t="shared" si="8"/>
        <v/>
      </c>
      <c r="N77" s="498" t="str">
        <f>IFERROR(IF(B77="","",INDEX('G-6 Hedgerow Data'!$AN$3:$AZ$15,MATCH(C77,'G-6 Hedgerow Data'!$AM$3:$AM$15,0),MATCH(M77,'G-6 Hedgerow Data'!$AN$2:$AZ$2,0))),"")</f>
        <v/>
      </c>
      <c r="O77" s="499"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05" t="str">
        <f>IF(B77="","",VLOOKUP(B77,'E-1 Off Site Hedge Baseline'!$B$10:T322,16,FALSE))</f>
        <v/>
      </c>
      <c r="Q77" s="498" t="str">
        <f>IF(M77="","",VLOOKUP(M77,'G-6 Hedgerow Data'!$B$2:$AG$15,2,FALSE))</f>
        <v/>
      </c>
      <c r="R77" s="499" t="str">
        <f>IF(M77="","",VLOOKUP(M77,'G-6 Hedgerow Data'!$B$2:$AG$15,3,FALSE))</f>
        <v/>
      </c>
      <c r="S77" s="145"/>
      <c r="T77" s="499" t="str">
        <f>IFERROR(IF(AND(Q77="V.Low",OR(S77="Good",S77="Moderate")),"Error ▲",VLOOKUP(S77,'G-1 All Habitats'!$Z$2:$AA$9,2,FALSE)),"")</f>
        <v/>
      </c>
      <c r="U77" s="145"/>
      <c r="V77" s="507" t="str">
        <f>IF(U77="","",IF(VLOOKUP(U77,'G-3 Multipliers'!$L$3:$N$6,2,FALSE)=0,"Spatial Data Missing ⚠",VLOOKUP(U77,'G-3 Multipliers'!$L$3:$N$6,2,FALSE)))</f>
        <v/>
      </c>
      <c r="W77" s="505" t="str">
        <f>IF(U77="","",IF(VLOOKUP(U77,'G-3 Multipliers'!$L$3:$N$6,3,FALSE)=0,"Spatial Data Missing ⚠",VLOOKUP(U77,'G-3 Multipliers'!$L$3:$N$6,3,FALSE)))</f>
        <v/>
      </c>
      <c r="X77" s="498"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7"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1" t="str">
        <f t="shared" ref="AB77:AB140" si="12">IF(X77="","",IF(AA77="Check Data ⚠","Check Data ⚠",IF(Y77="30+ ⚠",0,IF(Z77="30+","30+ ⚠",IF(X77+Z77&gt;30,"30+ ⚠",IF(LEFT(AA77,5)="Error ▲","Check Data ⚠",IF(X77+Z77-Y77&gt;0,X77+Z77-Y77,IF(X77-Y77&lt;=0,0,))))))))</f>
        <v/>
      </c>
      <c r="AC77" s="522" t="str">
        <f t="shared" si="9"/>
        <v/>
      </c>
      <c r="AD77" s="537" t="str">
        <f>IF(M77="","",VLOOKUP(M77,'G-6 Hedgerow Data'!$B$3:$AG$15,31,FALSE))</f>
        <v/>
      </c>
      <c r="AE77" s="520"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20" t="str">
        <f t="shared" ref="AF77:AF140" si="14">(IF(AND(AE77="Yes",X77&gt;Y77),AD77,IF(AND(AE77="Low Difficulty - only applicable if all habitat created before losses ⚠",Y77&gt;=X77),"Low",AD77)))</f>
        <v/>
      </c>
      <c r="AG77" s="524" t="str">
        <f>IFERROR(IF(O77="","",VLOOKUP(AD77,'G-3 Multipliers'!$P$3:$Q$6,2,FALSE)),"")</f>
        <v/>
      </c>
      <c r="AH77" s="197"/>
      <c r="AI77" s="499" t="str">
        <f>IF(AH77="","",IF(VLOOKUP(AH77,'G-3 Multipliers'!$S$3:$T$6,2,FALSE)=0,"Spatial Data Missing ⚠",VLOOKUP(AH77,'G-3 Multipliers'!$S$3:$T$6,2,FALSE)))</f>
        <v/>
      </c>
      <c r="AJ77" s="545" t="str">
        <f t="shared" ref="AJ77:AJ140" si="15">IFERROR(IF(OR(M77="",S77="",U77="",AH77=""),"",(((((P77*R77*T77)-(P77*F77*H77))*(AG77*AC77))+(P77*F77*H77))*(W77)*AI77)),"")</f>
        <v/>
      </c>
      <c r="AK77" s="149"/>
      <c r="AL77" s="150"/>
      <c r="AP77" s="31" t="str">
        <f>IFERROR(INDEX('G-6 Hedgerow Data'!$BJ$3:$BJ$15,MATCH(M77,'G-6 Hedgerow Data'!$B$3:$B$15,0)),"")</f>
        <v/>
      </c>
    </row>
    <row r="78" spans="2:42" ht="13.8" x14ac:dyDescent="0.25">
      <c r="B78" s="531" t="str">
        <f>'E-1 Off Site Hedge Baseline'!AK76</f>
        <v/>
      </c>
      <c r="C78" s="520" t="str">
        <f>IF(B78="","",IF(ISNA(VLOOKUP($B78,'E-1 Off Site Hedge Baseline'!$B$1:$L$257,3,FALSE)),"",(VLOOKUP($B78,'E-1 Off Site Hedge Baseline'!$B$1:$L$257,3,FALSE))))</f>
        <v/>
      </c>
      <c r="D78" s="520" t="str">
        <f>IF(B78="","",IF(ISNA(VLOOKUP($B78,'E-1 Off Site Hedge Baseline'!$B$1:$L$258,4,FALSE)),"",(VLOOKUP($B78,'E-1 Off Site Hedge Baseline'!$B$1:$L$258,4,FALSE))))</f>
        <v/>
      </c>
      <c r="E78" s="520" t="str">
        <f>IF(B78="","",IF(ISNA(VLOOKUP($B78,'E-1 Off Site Hedge Baseline'!$B$1:$L$257,5,FALSE)),"",(VLOOKUP($B78,'E-1 Off Site Hedge Baseline'!$B$1:$L$257,5,FALSE))))</f>
        <v/>
      </c>
      <c r="F78" s="520" t="str">
        <f>IF(B78="","",IF(ISNA(VLOOKUP($B78,'E-1 Off Site Hedge Baseline'!$B$1:$L$257,6,FALSE)),"",(VLOOKUP($B78,'E-1 Off Site Hedge Baseline'!$B$1:$L$257,6,FALSE))))</f>
        <v/>
      </c>
      <c r="G78" s="520" t="str">
        <f>IF(B78="","",IF(ISNA(VLOOKUP($B78,'E-1 Off Site Hedge Baseline'!$B$1:$L$257,7,FALSE)),"",(VLOOKUP($B78,'E-1 Off Site Hedge Baseline'!$B$1:$L$257,7,FALSE))))</f>
        <v/>
      </c>
      <c r="H78" s="520" t="str">
        <f>IF(B78="","",IF(ISNA(VLOOKUP($B78,'E-1 Off Site Hedge Baseline'!$B$1:$L$257,8,FALSE)),"",(VLOOKUP($B78,'E-1 Off Site Hedge Baseline'!$B$1:$L$257,8,FALSE))))</f>
        <v/>
      </c>
      <c r="I78" s="520" t="str">
        <f>IF(B78="","",IF(ISNA(VLOOKUP($B78,'E-1 Off Site Hedge Baseline'!$B$1:$L$257,10,FALSE)),"",(VLOOKUP($B78,'E-1 Off Site Hedge Baseline'!$B$1:$L$257,10,FALSE))))</f>
        <v/>
      </c>
      <c r="J78" s="520" t="str">
        <f>IF(B78="","",IF(ISNA(VLOOKUP($B78,'E-1 Off Site Hedge Baseline'!$B$1:$L$257,11,FALSE)),"",(VLOOKUP($B78,'E-1 Off Site Hedge Baseline'!$B$1:$L$257,11,FALSE))))</f>
        <v/>
      </c>
      <c r="K78" s="520" t="str">
        <f>IF(B78="","",IF(ISNA(VLOOKUP($B78,'E-1 Off Site Hedge Baseline'!$B$1:$U$257,113,FALSE)),"",(VLOOKUP($B78,'E-1 Off Site Hedge Baseline'!$B$1:$U$257,13,FALSE))))</f>
        <v/>
      </c>
      <c r="L78" s="507" t="str">
        <f>IF(B78="","",IF(ISNA(VLOOKUP($B78,'E-1 Off Site Hedge Baseline'!$B$1:$U$257,12,FALSE)),"",(VLOOKUP($B78,'E-1 Off Site Hedge Baseline'!$B$1:$U$257,12,FALSE))))</f>
        <v/>
      </c>
      <c r="M78" s="418" t="str">
        <f t="shared" ref="M78:M141" si="16">C78</f>
        <v/>
      </c>
      <c r="N78" s="498" t="str">
        <f>IFERROR(IF(B78="","",INDEX('G-6 Hedgerow Data'!$AN$3:$AZ$15,MATCH(C78,'G-6 Hedgerow Data'!$AM$3:$AM$15,0),MATCH(M78,'G-6 Hedgerow Data'!$AN$2:$AZ$2,0))),"")</f>
        <v/>
      </c>
      <c r="O78" s="499" t="str">
        <f t="shared" si="10"/>
        <v/>
      </c>
      <c r="P78" s="505" t="str">
        <f>IF(B78="","",VLOOKUP(B78,'E-1 Off Site Hedge Baseline'!$B$10:T323,16,FALSE))</f>
        <v/>
      </c>
      <c r="Q78" s="498" t="str">
        <f>IF(M78="","",VLOOKUP(M78,'G-6 Hedgerow Data'!$B$2:$AG$15,2,FALSE))</f>
        <v/>
      </c>
      <c r="R78" s="499" t="str">
        <f>IF(M78="","",VLOOKUP(M78,'G-6 Hedgerow Data'!$B$2:$AG$15,3,FALSE))</f>
        <v/>
      </c>
      <c r="S78" s="145"/>
      <c r="T78" s="499" t="str">
        <f>IFERROR(IF(AND(Q78="V.Low",OR(S78="Good",S78="Moderate")),"Error ▲",VLOOKUP(S78,'G-1 All Habitats'!$Z$2:$AA$9,2,FALSE)),"")</f>
        <v/>
      </c>
      <c r="U78" s="145"/>
      <c r="V78" s="507" t="str">
        <f>IF(U78="","",IF(VLOOKUP(U78,'G-3 Multipliers'!$L$3:$N$6,2,FALSE)=0,"Spatial Data Missing ⚠",VLOOKUP(U78,'G-3 Multipliers'!$L$3:$N$6,2,FALSE)))</f>
        <v/>
      </c>
      <c r="W78" s="505" t="str">
        <f>IF(U78="","",IF(VLOOKUP(U78,'G-3 Multipliers'!$L$3:$N$6,3,FALSE)=0,"Spatial Data Missing ⚠",VLOOKUP(U78,'G-3 Multipliers'!$L$3:$N$6,3,FALSE)))</f>
        <v/>
      </c>
      <c r="X78" s="498"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7" t="str">
        <f t="shared" si="11"/>
        <v/>
      </c>
      <c r="AB78" s="521" t="str">
        <f t="shared" si="12"/>
        <v/>
      </c>
      <c r="AC78" s="522" t="str">
        <f t="shared" si="9"/>
        <v/>
      </c>
      <c r="AD78" s="537" t="str">
        <f>IF(M78="","",VLOOKUP(M78,'G-6 Hedgerow Data'!$B$3:$AG$15,31,FALSE))</f>
        <v/>
      </c>
      <c r="AE78" s="520" t="str">
        <f t="shared" si="13"/>
        <v/>
      </c>
      <c r="AF78" s="520" t="str">
        <f t="shared" si="14"/>
        <v/>
      </c>
      <c r="AG78" s="524" t="str">
        <f>IFERROR(IF(O78="","",VLOOKUP(AD78,'G-3 Multipliers'!$P$3:$Q$6,2,FALSE)),"")</f>
        <v/>
      </c>
      <c r="AH78" s="197"/>
      <c r="AI78" s="499" t="str">
        <f>IF(AH78="","",IF(VLOOKUP(AH78,'G-3 Multipliers'!$S$3:$T$6,2,FALSE)=0,"Spatial Data Missing ⚠",VLOOKUP(AH78,'G-3 Multipliers'!$S$3:$T$6,2,FALSE)))</f>
        <v/>
      </c>
      <c r="AJ78" s="545" t="str">
        <f t="shared" si="15"/>
        <v/>
      </c>
      <c r="AK78" s="149"/>
      <c r="AL78" s="150"/>
      <c r="AP78" s="31" t="str">
        <f>IFERROR(INDEX('G-6 Hedgerow Data'!$BJ$3:$BJ$15,MATCH(M78,'G-6 Hedgerow Data'!$B$3:$B$15,0)),"")</f>
        <v/>
      </c>
    </row>
    <row r="79" spans="2:42" ht="13.8" x14ac:dyDescent="0.25">
      <c r="B79" s="531" t="str">
        <f>'E-1 Off Site Hedge Baseline'!AK77</f>
        <v/>
      </c>
      <c r="C79" s="520" t="str">
        <f>IF(B79="","",IF(ISNA(VLOOKUP($B79,'E-1 Off Site Hedge Baseline'!$B$1:$L$257,3,FALSE)),"",(VLOOKUP($B79,'E-1 Off Site Hedge Baseline'!$B$1:$L$257,3,FALSE))))</f>
        <v/>
      </c>
      <c r="D79" s="520" t="str">
        <f>IF(B79="","",IF(ISNA(VLOOKUP($B79,'E-1 Off Site Hedge Baseline'!$B$1:$L$258,4,FALSE)),"",(VLOOKUP($B79,'E-1 Off Site Hedge Baseline'!$B$1:$L$258,4,FALSE))))</f>
        <v/>
      </c>
      <c r="E79" s="520" t="str">
        <f>IF(B79="","",IF(ISNA(VLOOKUP($B79,'E-1 Off Site Hedge Baseline'!$B$1:$L$257,5,FALSE)),"",(VLOOKUP($B79,'E-1 Off Site Hedge Baseline'!$B$1:$L$257,5,FALSE))))</f>
        <v/>
      </c>
      <c r="F79" s="520" t="str">
        <f>IF(B79="","",IF(ISNA(VLOOKUP($B79,'E-1 Off Site Hedge Baseline'!$B$1:$L$257,6,FALSE)),"",(VLOOKUP($B79,'E-1 Off Site Hedge Baseline'!$B$1:$L$257,6,FALSE))))</f>
        <v/>
      </c>
      <c r="G79" s="520" t="str">
        <f>IF(B79="","",IF(ISNA(VLOOKUP($B79,'E-1 Off Site Hedge Baseline'!$B$1:$L$257,7,FALSE)),"",(VLOOKUP($B79,'E-1 Off Site Hedge Baseline'!$B$1:$L$257,7,FALSE))))</f>
        <v/>
      </c>
      <c r="H79" s="520" t="str">
        <f>IF(B79="","",IF(ISNA(VLOOKUP($B79,'E-1 Off Site Hedge Baseline'!$B$1:$L$257,8,FALSE)),"",(VLOOKUP($B79,'E-1 Off Site Hedge Baseline'!$B$1:$L$257,8,FALSE))))</f>
        <v/>
      </c>
      <c r="I79" s="520" t="str">
        <f>IF(B79="","",IF(ISNA(VLOOKUP($B79,'E-1 Off Site Hedge Baseline'!$B$1:$L$257,10,FALSE)),"",(VLOOKUP($B79,'E-1 Off Site Hedge Baseline'!$B$1:$L$257,10,FALSE))))</f>
        <v/>
      </c>
      <c r="J79" s="520" t="str">
        <f>IF(B79="","",IF(ISNA(VLOOKUP($B79,'E-1 Off Site Hedge Baseline'!$B$1:$L$257,11,FALSE)),"",(VLOOKUP($B79,'E-1 Off Site Hedge Baseline'!$B$1:$L$257,11,FALSE))))</f>
        <v/>
      </c>
      <c r="K79" s="520" t="str">
        <f>IF(B79="","",IF(ISNA(VLOOKUP($B79,'E-1 Off Site Hedge Baseline'!$B$1:$U$257,113,FALSE)),"",(VLOOKUP($B79,'E-1 Off Site Hedge Baseline'!$B$1:$U$257,13,FALSE))))</f>
        <v/>
      </c>
      <c r="L79" s="507" t="str">
        <f>IF(B79="","",IF(ISNA(VLOOKUP($B79,'E-1 Off Site Hedge Baseline'!$B$1:$U$257,12,FALSE)),"",(VLOOKUP($B79,'E-1 Off Site Hedge Baseline'!$B$1:$U$257,12,FALSE))))</f>
        <v/>
      </c>
      <c r="M79" s="418" t="str">
        <f t="shared" si="16"/>
        <v/>
      </c>
      <c r="N79" s="498" t="str">
        <f>IFERROR(IF(B79="","",INDEX('G-6 Hedgerow Data'!$AN$3:$AZ$15,MATCH(C79,'G-6 Hedgerow Data'!$AM$3:$AM$15,0),MATCH(M79,'G-6 Hedgerow Data'!$AN$2:$AZ$2,0))),"")</f>
        <v/>
      </c>
      <c r="O79" s="499" t="str">
        <f t="shared" si="10"/>
        <v/>
      </c>
      <c r="P79" s="505" t="str">
        <f>IF(B79="","",VLOOKUP(B79,'E-1 Off Site Hedge Baseline'!$B$10:T324,16,FALSE))</f>
        <v/>
      </c>
      <c r="Q79" s="498" t="str">
        <f>IF(M79="","",VLOOKUP(M79,'G-6 Hedgerow Data'!$B$2:$AG$15,2,FALSE))</f>
        <v/>
      </c>
      <c r="R79" s="499" t="str">
        <f>IF(M79="","",VLOOKUP(M79,'G-6 Hedgerow Data'!$B$2:$AG$15,3,FALSE))</f>
        <v/>
      </c>
      <c r="S79" s="145"/>
      <c r="T79" s="499" t="str">
        <f>IFERROR(IF(AND(Q79="V.Low",OR(S79="Good",S79="Moderate")),"Error ▲",VLOOKUP(S79,'G-1 All Habitats'!$Z$2:$AA$9,2,FALSE)),"")</f>
        <v/>
      </c>
      <c r="U79" s="145"/>
      <c r="V79" s="507" t="str">
        <f>IF(U79="","",IF(VLOOKUP(U79,'G-3 Multipliers'!$L$3:$N$6,2,FALSE)=0,"Spatial Data Missing ⚠",VLOOKUP(U79,'G-3 Multipliers'!$L$3:$N$6,2,FALSE)))</f>
        <v/>
      </c>
      <c r="W79" s="505" t="str">
        <f>IF(U79="","",IF(VLOOKUP(U79,'G-3 Multipliers'!$L$3:$N$6,3,FALSE)=0,"Spatial Data Missing ⚠",VLOOKUP(U79,'G-3 Multipliers'!$L$3:$N$6,3,FALSE)))</f>
        <v/>
      </c>
      <c r="X79" s="498"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7" t="str">
        <f t="shared" si="11"/>
        <v/>
      </c>
      <c r="AB79" s="521" t="str">
        <f t="shared" si="12"/>
        <v/>
      </c>
      <c r="AC79" s="522" t="str">
        <f t="shared" si="9"/>
        <v/>
      </c>
      <c r="AD79" s="537" t="str">
        <f>IF(M79="","",VLOOKUP(M79,'G-6 Hedgerow Data'!$B$3:$AG$15,31,FALSE))</f>
        <v/>
      </c>
      <c r="AE79" s="520" t="str">
        <f t="shared" si="13"/>
        <v/>
      </c>
      <c r="AF79" s="520" t="str">
        <f t="shared" si="14"/>
        <v/>
      </c>
      <c r="AG79" s="524" t="str">
        <f>IFERROR(IF(O79="","",VLOOKUP(AD79,'G-3 Multipliers'!$P$3:$Q$6,2,FALSE)),"")</f>
        <v/>
      </c>
      <c r="AH79" s="197"/>
      <c r="AI79" s="499" t="str">
        <f>IF(AH79="","",IF(VLOOKUP(AH79,'G-3 Multipliers'!$S$3:$T$6,2,FALSE)=0,"Spatial Data Missing ⚠",VLOOKUP(AH79,'G-3 Multipliers'!$S$3:$T$6,2,FALSE)))</f>
        <v/>
      </c>
      <c r="AJ79" s="545" t="str">
        <f t="shared" si="15"/>
        <v/>
      </c>
      <c r="AK79" s="149"/>
      <c r="AL79" s="150"/>
      <c r="AP79" s="31" t="str">
        <f>IFERROR(INDEX('G-6 Hedgerow Data'!$BJ$3:$BJ$15,MATCH(M79,'G-6 Hedgerow Data'!$B$3:$B$15,0)),"")</f>
        <v/>
      </c>
    </row>
    <row r="80" spans="2:42" ht="13.8" x14ac:dyDescent="0.25">
      <c r="B80" s="531" t="str">
        <f>'E-1 Off Site Hedge Baseline'!AK78</f>
        <v/>
      </c>
      <c r="C80" s="520" t="str">
        <f>IF(B80="","",IF(ISNA(VLOOKUP($B80,'E-1 Off Site Hedge Baseline'!$B$1:$L$257,3,FALSE)),"",(VLOOKUP($B80,'E-1 Off Site Hedge Baseline'!$B$1:$L$257,3,FALSE))))</f>
        <v/>
      </c>
      <c r="D80" s="520" t="str">
        <f>IF(B80="","",IF(ISNA(VLOOKUP($B80,'E-1 Off Site Hedge Baseline'!$B$1:$L$258,4,FALSE)),"",(VLOOKUP($B80,'E-1 Off Site Hedge Baseline'!$B$1:$L$258,4,FALSE))))</f>
        <v/>
      </c>
      <c r="E80" s="520" t="str">
        <f>IF(B80="","",IF(ISNA(VLOOKUP($B80,'E-1 Off Site Hedge Baseline'!$B$1:$L$257,5,FALSE)),"",(VLOOKUP($B80,'E-1 Off Site Hedge Baseline'!$B$1:$L$257,5,FALSE))))</f>
        <v/>
      </c>
      <c r="F80" s="520" t="str">
        <f>IF(B80="","",IF(ISNA(VLOOKUP($B80,'E-1 Off Site Hedge Baseline'!$B$1:$L$257,6,FALSE)),"",(VLOOKUP($B80,'E-1 Off Site Hedge Baseline'!$B$1:$L$257,6,FALSE))))</f>
        <v/>
      </c>
      <c r="G80" s="520" t="str">
        <f>IF(B80="","",IF(ISNA(VLOOKUP($B80,'E-1 Off Site Hedge Baseline'!$B$1:$L$257,7,FALSE)),"",(VLOOKUP($B80,'E-1 Off Site Hedge Baseline'!$B$1:$L$257,7,FALSE))))</f>
        <v/>
      </c>
      <c r="H80" s="520" t="str">
        <f>IF(B80="","",IF(ISNA(VLOOKUP($B80,'E-1 Off Site Hedge Baseline'!$B$1:$L$257,8,FALSE)),"",(VLOOKUP($B80,'E-1 Off Site Hedge Baseline'!$B$1:$L$257,8,FALSE))))</f>
        <v/>
      </c>
      <c r="I80" s="520" t="str">
        <f>IF(B80="","",IF(ISNA(VLOOKUP($B80,'E-1 Off Site Hedge Baseline'!$B$1:$L$257,10,FALSE)),"",(VLOOKUP($B80,'E-1 Off Site Hedge Baseline'!$B$1:$L$257,10,FALSE))))</f>
        <v/>
      </c>
      <c r="J80" s="520" t="str">
        <f>IF(B80="","",IF(ISNA(VLOOKUP($B80,'E-1 Off Site Hedge Baseline'!$B$1:$L$257,11,FALSE)),"",(VLOOKUP($B80,'E-1 Off Site Hedge Baseline'!$B$1:$L$257,11,FALSE))))</f>
        <v/>
      </c>
      <c r="K80" s="520" t="str">
        <f>IF(B80="","",IF(ISNA(VLOOKUP($B80,'E-1 Off Site Hedge Baseline'!$B$1:$U$257,113,FALSE)),"",(VLOOKUP($B80,'E-1 Off Site Hedge Baseline'!$B$1:$U$257,13,FALSE))))</f>
        <v/>
      </c>
      <c r="L80" s="507" t="str">
        <f>IF(B80="","",IF(ISNA(VLOOKUP($B80,'E-1 Off Site Hedge Baseline'!$B$1:$U$257,12,FALSE)),"",(VLOOKUP($B80,'E-1 Off Site Hedge Baseline'!$B$1:$U$257,12,FALSE))))</f>
        <v/>
      </c>
      <c r="M80" s="418" t="str">
        <f t="shared" si="16"/>
        <v/>
      </c>
      <c r="N80" s="498" t="str">
        <f>IFERROR(IF(B80="","",INDEX('G-6 Hedgerow Data'!$AN$3:$AZ$15,MATCH(C80,'G-6 Hedgerow Data'!$AM$3:$AM$15,0),MATCH(M80,'G-6 Hedgerow Data'!$AN$2:$AZ$2,0))),"")</f>
        <v/>
      </c>
      <c r="O80" s="499" t="str">
        <f t="shared" si="10"/>
        <v/>
      </c>
      <c r="P80" s="505" t="str">
        <f>IF(B80="","",VLOOKUP(B80,'E-1 Off Site Hedge Baseline'!$B$10:T325,16,FALSE))</f>
        <v/>
      </c>
      <c r="Q80" s="498" t="str">
        <f>IF(M80="","",VLOOKUP(M80,'G-6 Hedgerow Data'!$B$2:$AG$15,2,FALSE))</f>
        <v/>
      </c>
      <c r="R80" s="499" t="str">
        <f>IF(M80="","",VLOOKUP(M80,'G-6 Hedgerow Data'!$B$2:$AG$15,3,FALSE))</f>
        <v/>
      </c>
      <c r="S80" s="145"/>
      <c r="T80" s="499" t="str">
        <f>IFERROR(IF(AND(Q80="V.Low",OR(S80="Good",S80="Moderate")),"Error ▲",VLOOKUP(S80,'G-1 All Habitats'!$Z$2:$AA$9,2,FALSE)),"")</f>
        <v/>
      </c>
      <c r="U80" s="145"/>
      <c r="V80" s="507" t="str">
        <f>IF(U80="","",IF(VLOOKUP(U80,'G-3 Multipliers'!$L$3:$N$6,2,FALSE)=0,"Spatial Data Missing ⚠",VLOOKUP(U80,'G-3 Multipliers'!$L$3:$N$6,2,FALSE)))</f>
        <v/>
      </c>
      <c r="W80" s="505" t="str">
        <f>IF(U80="","",IF(VLOOKUP(U80,'G-3 Multipliers'!$L$3:$N$6,3,FALSE)=0,"Spatial Data Missing ⚠",VLOOKUP(U80,'G-3 Multipliers'!$L$3:$N$6,3,FALSE)))</f>
        <v/>
      </c>
      <c r="X80" s="498"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7" t="str">
        <f t="shared" si="11"/>
        <v/>
      </c>
      <c r="AB80" s="521" t="str">
        <f t="shared" si="12"/>
        <v/>
      </c>
      <c r="AC80" s="522" t="str">
        <f t="shared" si="9"/>
        <v/>
      </c>
      <c r="AD80" s="537" t="str">
        <f>IF(M80="","",VLOOKUP(M80,'G-6 Hedgerow Data'!$B$3:$AG$15,31,FALSE))</f>
        <v/>
      </c>
      <c r="AE80" s="520" t="str">
        <f t="shared" si="13"/>
        <v/>
      </c>
      <c r="AF80" s="520" t="str">
        <f t="shared" si="14"/>
        <v/>
      </c>
      <c r="AG80" s="524" t="str">
        <f>IFERROR(IF(O80="","",VLOOKUP(AD80,'G-3 Multipliers'!$P$3:$Q$6,2,FALSE)),"")</f>
        <v/>
      </c>
      <c r="AH80" s="197"/>
      <c r="AI80" s="499" t="str">
        <f>IF(AH80="","",IF(VLOOKUP(AH80,'G-3 Multipliers'!$S$3:$T$6,2,FALSE)=0,"Spatial Data Missing ⚠",VLOOKUP(AH80,'G-3 Multipliers'!$S$3:$T$6,2,FALSE)))</f>
        <v/>
      </c>
      <c r="AJ80" s="545" t="str">
        <f t="shared" si="15"/>
        <v/>
      </c>
      <c r="AK80" s="149"/>
      <c r="AL80" s="150"/>
      <c r="AP80" s="31" t="str">
        <f>IFERROR(INDEX('G-6 Hedgerow Data'!$BJ$3:$BJ$15,MATCH(M80,'G-6 Hedgerow Data'!$B$3:$B$15,0)),"")</f>
        <v/>
      </c>
    </row>
    <row r="81" spans="2:42" ht="13.8" x14ac:dyDescent="0.25">
      <c r="B81" s="531" t="str">
        <f>'E-1 Off Site Hedge Baseline'!AK79</f>
        <v/>
      </c>
      <c r="C81" s="520" t="str">
        <f>IF(B81="","",IF(ISNA(VLOOKUP($B81,'E-1 Off Site Hedge Baseline'!$B$1:$L$257,3,FALSE)),"",(VLOOKUP($B81,'E-1 Off Site Hedge Baseline'!$B$1:$L$257,3,FALSE))))</f>
        <v/>
      </c>
      <c r="D81" s="520" t="str">
        <f>IF(B81="","",IF(ISNA(VLOOKUP($B81,'E-1 Off Site Hedge Baseline'!$B$1:$L$258,4,FALSE)),"",(VLOOKUP($B81,'E-1 Off Site Hedge Baseline'!$B$1:$L$258,4,FALSE))))</f>
        <v/>
      </c>
      <c r="E81" s="520" t="str">
        <f>IF(B81="","",IF(ISNA(VLOOKUP($B81,'E-1 Off Site Hedge Baseline'!$B$1:$L$257,5,FALSE)),"",(VLOOKUP($B81,'E-1 Off Site Hedge Baseline'!$B$1:$L$257,5,FALSE))))</f>
        <v/>
      </c>
      <c r="F81" s="520" t="str">
        <f>IF(B81="","",IF(ISNA(VLOOKUP($B81,'E-1 Off Site Hedge Baseline'!$B$1:$L$257,6,FALSE)),"",(VLOOKUP($B81,'E-1 Off Site Hedge Baseline'!$B$1:$L$257,6,FALSE))))</f>
        <v/>
      </c>
      <c r="G81" s="520" t="str">
        <f>IF(B81="","",IF(ISNA(VLOOKUP($B81,'E-1 Off Site Hedge Baseline'!$B$1:$L$257,7,FALSE)),"",(VLOOKUP($B81,'E-1 Off Site Hedge Baseline'!$B$1:$L$257,7,FALSE))))</f>
        <v/>
      </c>
      <c r="H81" s="520" t="str">
        <f>IF(B81="","",IF(ISNA(VLOOKUP($B81,'E-1 Off Site Hedge Baseline'!$B$1:$L$257,8,FALSE)),"",(VLOOKUP($B81,'E-1 Off Site Hedge Baseline'!$B$1:$L$257,8,FALSE))))</f>
        <v/>
      </c>
      <c r="I81" s="520" t="str">
        <f>IF(B81="","",IF(ISNA(VLOOKUP($B81,'E-1 Off Site Hedge Baseline'!$B$1:$L$257,10,FALSE)),"",(VLOOKUP($B81,'E-1 Off Site Hedge Baseline'!$B$1:$L$257,10,FALSE))))</f>
        <v/>
      </c>
      <c r="J81" s="520" t="str">
        <f>IF(B81="","",IF(ISNA(VLOOKUP($B81,'E-1 Off Site Hedge Baseline'!$B$1:$L$257,11,FALSE)),"",(VLOOKUP($B81,'E-1 Off Site Hedge Baseline'!$B$1:$L$257,11,FALSE))))</f>
        <v/>
      </c>
      <c r="K81" s="520" t="str">
        <f>IF(B81="","",IF(ISNA(VLOOKUP($B81,'E-1 Off Site Hedge Baseline'!$B$1:$U$257,113,FALSE)),"",(VLOOKUP($B81,'E-1 Off Site Hedge Baseline'!$B$1:$U$257,13,FALSE))))</f>
        <v/>
      </c>
      <c r="L81" s="507" t="str">
        <f>IF(B81="","",IF(ISNA(VLOOKUP($B81,'E-1 Off Site Hedge Baseline'!$B$1:$U$257,12,FALSE)),"",(VLOOKUP($B81,'E-1 Off Site Hedge Baseline'!$B$1:$U$257,12,FALSE))))</f>
        <v/>
      </c>
      <c r="M81" s="418" t="str">
        <f t="shared" si="16"/>
        <v/>
      </c>
      <c r="N81" s="498" t="str">
        <f>IFERROR(IF(B81="","",INDEX('G-6 Hedgerow Data'!$AN$3:$AZ$15,MATCH(C81,'G-6 Hedgerow Data'!$AM$3:$AM$15,0),MATCH(M81,'G-6 Hedgerow Data'!$AN$2:$AZ$2,0))),"")</f>
        <v/>
      </c>
      <c r="O81" s="499" t="str">
        <f t="shared" si="10"/>
        <v/>
      </c>
      <c r="P81" s="505" t="str">
        <f>IF(B81="","",VLOOKUP(B81,'E-1 Off Site Hedge Baseline'!$B$10:T326,16,FALSE))</f>
        <v/>
      </c>
      <c r="Q81" s="498" t="str">
        <f>IF(M81="","",VLOOKUP(M81,'G-6 Hedgerow Data'!$B$2:$AG$15,2,FALSE))</f>
        <v/>
      </c>
      <c r="R81" s="499" t="str">
        <f>IF(M81="","",VLOOKUP(M81,'G-6 Hedgerow Data'!$B$2:$AG$15,3,FALSE))</f>
        <v/>
      </c>
      <c r="S81" s="145"/>
      <c r="T81" s="499" t="str">
        <f>IFERROR(IF(AND(Q81="V.Low",OR(S81="Good",S81="Moderate")),"Error ▲",VLOOKUP(S81,'G-1 All Habitats'!$Z$2:$AA$9,2,FALSE)),"")</f>
        <v/>
      </c>
      <c r="U81" s="145"/>
      <c r="V81" s="507" t="str">
        <f>IF(U81="","",IF(VLOOKUP(U81,'G-3 Multipliers'!$L$3:$N$6,2,FALSE)=0,"Spatial Data Missing ⚠",VLOOKUP(U81,'G-3 Multipliers'!$L$3:$N$6,2,FALSE)))</f>
        <v/>
      </c>
      <c r="W81" s="505" t="str">
        <f>IF(U81="","",IF(VLOOKUP(U81,'G-3 Multipliers'!$L$3:$N$6,3,FALSE)=0,"Spatial Data Missing ⚠",VLOOKUP(U81,'G-3 Multipliers'!$L$3:$N$6,3,FALSE)))</f>
        <v/>
      </c>
      <c r="X81" s="498"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7" t="str">
        <f t="shared" si="11"/>
        <v/>
      </c>
      <c r="AB81" s="521" t="str">
        <f t="shared" si="12"/>
        <v/>
      </c>
      <c r="AC81" s="522" t="str">
        <f t="shared" si="9"/>
        <v/>
      </c>
      <c r="AD81" s="537" t="str">
        <f>IF(M81="","",VLOOKUP(M81,'G-6 Hedgerow Data'!$B$3:$AG$15,31,FALSE))</f>
        <v/>
      </c>
      <c r="AE81" s="520" t="str">
        <f t="shared" si="13"/>
        <v/>
      </c>
      <c r="AF81" s="520" t="str">
        <f t="shared" si="14"/>
        <v/>
      </c>
      <c r="AG81" s="524" t="str">
        <f>IFERROR(IF(O81="","",VLOOKUP(AD81,'G-3 Multipliers'!$P$3:$Q$6,2,FALSE)),"")</f>
        <v/>
      </c>
      <c r="AH81" s="197"/>
      <c r="AI81" s="499" t="str">
        <f>IF(AH81="","",IF(VLOOKUP(AH81,'G-3 Multipliers'!$S$3:$T$6,2,FALSE)=0,"Spatial Data Missing ⚠",VLOOKUP(AH81,'G-3 Multipliers'!$S$3:$T$6,2,FALSE)))</f>
        <v/>
      </c>
      <c r="AJ81" s="545" t="str">
        <f t="shared" si="15"/>
        <v/>
      </c>
      <c r="AK81" s="149"/>
      <c r="AL81" s="150"/>
      <c r="AP81" s="31" t="str">
        <f>IFERROR(INDEX('G-6 Hedgerow Data'!$BJ$3:$BJ$15,MATCH(M81,'G-6 Hedgerow Data'!$B$3:$B$15,0)),"")</f>
        <v/>
      </c>
    </row>
    <row r="82" spans="2:42" ht="13.8" x14ac:dyDescent="0.25">
      <c r="B82" s="531" t="str">
        <f>'E-1 Off Site Hedge Baseline'!AK80</f>
        <v/>
      </c>
      <c r="C82" s="520" t="str">
        <f>IF(B82="","",IF(ISNA(VLOOKUP($B82,'E-1 Off Site Hedge Baseline'!$B$1:$L$257,3,FALSE)),"",(VLOOKUP($B82,'E-1 Off Site Hedge Baseline'!$B$1:$L$257,3,FALSE))))</f>
        <v/>
      </c>
      <c r="D82" s="520" t="str">
        <f>IF(B82="","",IF(ISNA(VLOOKUP($B82,'E-1 Off Site Hedge Baseline'!$B$1:$L$258,4,FALSE)),"",(VLOOKUP($B82,'E-1 Off Site Hedge Baseline'!$B$1:$L$258,4,FALSE))))</f>
        <v/>
      </c>
      <c r="E82" s="520" t="str">
        <f>IF(B82="","",IF(ISNA(VLOOKUP($B82,'E-1 Off Site Hedge Baseline'!$B$1:$L$257,5,FALSE)),"",(VLOOKUP($B82,'E-1 Off Site Hedge Baseline'!$B$1:$L$257,5,FALSE))))</f>
        <v/>
      </c>
      <c r="F82" s="520" t="str">
        <f>IF(B82="","",IF(ISNA(VLOOKUP($B82,'E-1 Off Site Hedge Baseline'!$B$1:$L$257,6,FALSE)),"",(VLOOKUP($B82,'E-1 Off Site Hedge Baseline'!$B$1:$L$257,6,FALSE))))</f>
        <v/>
      </c>
      <c r="G82" s="520" t="str">
        <f>IF(B82="","",IF(ISNA(VLOOKUP($B82,'E-1 Off Site Hedge Baseline'!$B$1:$L$257,7,FALSE)),"",(VLOOKUP($B82,'E-1 Off Site Hedge Baseline'!$B$1:$L$257,7,FALSE))))</f>
        <v/>
      </c>
      <c r="H82" s="520" t="str">
        <f>IF(B82="","",IF(ISNA(VLOOKUP($B82,'E-1 Off Site Hedge Baseline'!$B$1:$L$257,8,FALSE)),"",(VLOOKUP($B82,'E-1 Off Site Hedge Baseline'!$B$1:$L$257,8,FALSE))))</f>
        <v/>
      </c>
      <c r="I82" s="520" t="str">
        <f>IF(B82="","",IF(ISNA(VLOOKUP($B82,'E-1 Off Site Hedge Baseline'!$B$1:$L$257,10,FALSE)),"",(VLOOKUP($B82,'E-1 Off Site Hedge Baseline'!$B$1:$L$257,10,FALSE))))</f>
        <v/>
      </c>
      <c r="J82" s="520" t="str">
        <f>IF(B82="","",IF(ISNA(VLOOKUP($B82,'E-1 Off Site Hedge Baseline'!$B$1:$L$257,11,FALSE)),"",(VLOOKUP($B82,'E-1 Off Site Hedge Baseline'!$B$1:$L$257,11,FALSE))))</f>
        <v/>
      </c>
      <c r="K82" s="520" t="str">
        <f>IF(B82="","",IF(ISNA(VLOOKUP($B82,'E-1 Off Site Hedge Baseline'!$B$1:$U$257,113,FALSE)),"",(VLOOKUP($B82,'E-1 Off Site Hedge Baseline'!$B$1:$U$257,13,FALSE))))</f>
        <v/>
      </c>
      <c r="L82" s="507" t="str">
        <f>IF(B82="","",IF(ISNA(VLOOKUP($B82,'E-1 Off Site Hedge Baseline'!$B$1:$U$257,12,FALSE)),"",(VLOOKUP($B82,'E-1 Off Site Hedge Baseline'!$B$1:$U$257,12,FALSE))))</f>
        <v/>
      </c>
      <c r="M82" s="418" t="str">
        <f t="shared" si="16"/>
        <v/>
      </c>
      <c r="N82" s="498" t="str">
        <f>IFERROR(IF(B82="","",INDEX('G-6 Hedgerow Data'!$AN$3:$AZ$15,MATCH(C82,'G-6 Hedgerow Data'!$AM$3:$AM$15,0),MATCH(M82,'G-6 Hedgerow Data'!$AN$2:$AZ$2,0))),"")</f>
        <v/>
      </c>
      <c r="O82" s="499" t="str">
        <f t="shared" si="10"/>
        <v/>
      </c>
      <c r="P82" s="505" t="str">
        <f>IF(B82="","",VLOOKUP(B82,'E-1 Off Site Hedge Baseline'!$B$10:T327,16,FALSE))</f>
        <v/>
      </c>
      <c r="Q82" s="498" t="str">
        <f>IF(M82="","",VLOOKUP(M82,'G-6 Hedgerow Data'!$B$2:$AG$15,2,FALSE))</f>
        <v/>
      </c>
      <c r="R82" s="499" t="str">
        <f>IF(M82="","",VLOOKUP(M82,'G-6 Hedgerow Data'!$B$2:$AG$15,3,FALSE))</f>
        <v/>
      </c>
      <c r="S82" s="145"/>
      <c r="T82" s="499" t="str">
        <f>IFERROR(IF(AND(Q82="V.Low",OR(S82="Good",S82="Moderate")),"Error ▲",VLOOKUP(S82,'G-1 All Habitats'!$Z$2:$AA$9,2,FALSE)),"")</f>
        <v/>
      </c>
      <c r="U82" s="145"/>
      <c r="V82" s="507" t="str">
        <f>IF(U82="","",IF(VLOOKUP(U82,'G-3 Multipliers'!$L$3:$N$6,2,FALSE)=0,"Spatial Data Missing ⚠",VLOOKUP(U82,'G-3 Multipliers'!$L$3:$N$6,2,FALSE)))</f>
        <v/>
      </c>
      <c r="W82" s="505" t="str">
        <f>IF(U82="","",IF(VLOOKUP(U82,'G-3 Multipliers'!$L$3:$N$6,3,FALSE)=0,"Spatial Data Missing ⚠",VLOOKUP(U82,'G-3 Multipliers'!$L$3:$N$6,3,FALSE)))</f>
        <v/>
      </c>
      <c r="X82" s="498"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7" t="str">
        <f t="shared" si="11"/>
        <v/>
      </c>
      <c r="AB82" s="521" t="str">
        <f t="shared" si="12"/>
        <v/>
      </c>
      <c r="AC82" s="522" t="str">
        <f t="shared" si="9"/>
        <v/>
      </c>
      <c r="AD82" s="537" t="str">
        <f>IF(M82="","",VLOOKUP(M82,'G-6 Hedgerow Data'!$B$3:$AG$15,31,FALSE))</f>
        <v/>
      </c>
      <c r="AE82" s="520" t="str">
        <f t="shared" si="13"/>
        <v/>
      </c>
      <c r="AF82" s="520" t="str">
        <f t="shared" si="14"/>
        <v/>
      </c>
      <c r="AG82" s="524" t="str">
        <f>IFERROR(IF(O82="","",VLOOKUP(AD82,'G-3 Multipliers'!$P$3:$Q$6,2,FALSE)),"")</f>
        <v/>
      </c>
      <c r="AH82" s="197"/>
      <c r="AI82" s="499" t="str">
        <f>IF(AH82="","",IF(VLOOKUP(AH82,'G-3 Multipliers'!$S$3:$T$6,2,FALSE)=0,"Spatial Data Missing ⚠",VLOOKUP(AH82,'G-3 Multipliers'!$S$3:$T$6,2,FALSE)))</f>
        <v/>
      </c>
      <c r="AJ82" s="545" t="str">
        <f t="shared" si="15"/>
        <v/>
      </c>
      <c r="AK82" s="149"/>
      <c r="AL82" s="150"/>
      <c r="AP82" s="31" t="str">
        <f>IFERROR(INDEX('G-6 Hedgerow Data'!$BJ$3:$BJ$15,MATCH(M82,'G-6 Hedgerow Data'!$B$3:$B$15,0)),"")</f>
        <v/>
      </c>
    </row>
    <row r="83" spans="2:42" ht="13.8" x14ac:dyDescent="0.25">
      <c r="B83" s="531" t="str">
        <f>'E-1 Off Site Hedge Baseline'!AK81</f>
        <v/>
      </c>
      <c r="C83" s="520" t="str">
        <f>IF(B83="","",IF(ISNA(VLOOKUP($B83,'E-1 Off Site Hedge Baseline'!$B$1:$L$257,3,FALSE)),"",(VLOOKUP($B83,'E-1 Off Site Hedge Baseline'!$B$1:$L$257,3,FALSE))))</f>
        <v/>
      </c>
      <c r="D83" s="520" t="str">
        <f>IF(B83="","",IF(ISNA(VLOOKUP($B83,'E-1 Off Site Hedge Baseline'!$B$1:$L$258,4,FALSE)),"",(VLOOKUP($B83,'E-1 Off Site Hedge Baseline'!$B$1:$L$258,4,FALSE))))</f>
        <v/>
      </c>
      <c r="E83" s="520" t="str">
        <f>IF(B83="","",IF(ISNA(VLOOKUP($B83,'E-1 Off Site Hedge Baseline'!$B$1:$L$257,5,FALSE)),"",(VLOOKUP($B83,'E-1 Off Site Hedge Baseline'!$B$1:$L$257,5,FALSE))))</f>
        <v/>
      </c>
      <c r="F83" s="520" t="str">
        <f>IF(B83="","",IF(ISNA(VLOOKUP($B83,'E-1 Off Site Hedge Baseline'!$B$1:$L$257,6,FALSE)),"",(VLOOKUP($B83,'E-1 Off Site Hedge Baseline'!$B$1:$L$257,6,FALSE))))</f>
        <v/>
      </c>
      <c r="G83" s="520" t="str">
        <f>IF(B83="","",IF(ISNA(VLOOKUP($B83,'E-1 Off Site Hedge Baseline'!$B$1:$L$257,7,FALSE)),"",(VLOOKUP($B83,'E-1 Off Site Hedge Baseline'!$B$1:$L$257,7,FALSE))))</f>
        <v/>
      </c>
      <c r="H83" s="520" t="str">
        <f>IF(B83="","",IF(ISNA(VLOOKUP($B83,'E-1 Off Site Hedge Baseline'!$B$1:$L$257,8,FALSE)),"",(VLOOKUP($B83,'E-1 Off Site Hedge Baseline'!$B$1:$L$257,8,FALSE))))</f>
        <v/>
      </c>
      <c r="I83" s="520" t="str">
        <f>IF(B83="","",IF(ISNA(VLOOKUP($B83,'E-1 Off Site Hedge Baseline'!$B$1:$L$257,10,FALSE)),"",(VLOOKUP($B83,'E-1 Off Site Hedge Baseline'!$B$1:$L$257,10,FALSE))))</f>
        <v/>
      </c>
      <c r="J83" s="520" t="str">
        <f>IF(B83="","",IF(ISNA(VLOOKUP($B83,'E-1 Off Site Hedge Baseline'!$B$1:$L$257,11,FALSE)),"",(VLOOKUP($B83,'E-1 Off Site Hedge Baseline'!$B$1:$L$257,11,FALSE))))</f>
        <v/>
      </c>
      <c r="K83" s="520" t="str">
        <f>IF(B83="","",IF(ISNA(VLOOKUP($B83,'E-1 Off Site Hedge Baseline'!$B$1:$U$257,113,FALSE)),"",(VLOOKUP($B83,'E-1 Off Site Hedge Baseline'!$B$1:$U$257,13,FALSE))))</f>
        <v/>
      </c>
      <c r="L83" s="507" t="str">
        <f>IF(B83="","",IF(ISNA(VLOOKUP($B83,'E-1 Off Site Hedge Baseline'!$B$1:$U$257,12,FALSE)),"",(VLOOKUP($B83,'E-1 Off Site Hedge Baseline'!$B$1:$U$257,12,FALSE))))</f>
        <v/>
      </c>
      <c r="M83" s="418" t="str">
        <f t="shared" si="16"/>
        <v/>
      </c>
      <c r="N83" s="498" t="str">
        <f>IFERROR(IF(B83="","",INDEX('G-6 Hedgerow Data'!$AN$3:$AZ$15,MATCH(C83,'G-6 Hedgerow Data'!$AM$3:$AM$15,0),MATCH(M83,'G-6 Hedgerow Data'!$AN$2:$AZ$2,0))),"")</f>
        <v/>
      </c>
      <c r="O83" s="499" t="str">
        <f t="shared" si="10"/>
        <v/>
      </c>
      <c r="P83" s="505" t="str">
        <f>IF(B83="","",VLOOKUP(B83,'E-1 Off Site Hedge Baseline'!$B$10:T328,16,FALSE))</f>
        <v/>
      </c>
      <c r="Q83" s="498" t="str">
        <f>IF(M83="","",VLOOKUP(M83,'G-6 Hedgerow Data'!$B$2:$AG$15,2,FALSE))</f>
        <v/>
      </c>
      <c r="R83" s="499" t="str">
        <f>IF(M83="","",VLOOKUP(M83,'G-6 Hedgerow Data'!$B$2:$AG$15,3,FALSE))</f>
        <v/>
      </c>
      <c r="S83" s="145"/>
      <c r="T83" s="499" t="str">
        <f>IFERROR(IF(AND(Q83="V.Low",OR(S83="Good",S83="Moderate")),"Error ▲",VLOOKUP(S83,'G-1 All Habitats'!$Z$2:$AA$9,2,FALSE)),"")</f>
        <v/>
      </c>
      <c r="U83" s="145"/>
      <c r="V83" s="507" t="str">
        <f>IF(U83="","",IF(VLOOKUP(U83,'G-3 Multipliers'!$L$3:$N$6,2,FALSE)=0,"Spatial Data Missing ⚠",VLOOKUP(U83,'G-3 Multipliers'!$L$3:$N$6,2,FALSE)))</f>
        <v/>
      </c>
      <c r="W83" s="505" t="str">
        <f>IF(U83="","",IF(VLOOKUP(U83,'G-3 Multipliers'!$L$3:$N$6,3,FALSE)=0,"Spatial Data Missing ⚠",VLOOKUP(U83,'G-3 Multipliers'!$L$3:$N$6,3,FALSE)))</f>
        <v/>
      </c>
      <c r="X83" s="498"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7" t="str">
        <f t="shared" si="11"/>
        <v/>
      </c>
      <c r="AB83" s="521" t="str">
        <f t="shared" si="12"/>
        <v/>
      </c>
      <c r="AC83" s="522" t="str">
        <f t="shared" si="9"/>
        <v/>
      </c>
      <c r="AD83" s="537" t="str">
        <f>IF(M83="","",VLOOKUP(M83,'G-6 Hedgerow Data'!$B$3:$AG$15,31,FALSE))</f>
        <v/>
      </c>
      <c r="AE83" s="520" t="str">
        <f t="shared" si="13"/>
        <v/>
      </c>
      <c r="AF83" s="520" t="str">
        <f t="shared" si="14"/>
        <v/>
      </c>
      <c r="AG83" s="524" t="str">
        <f>IFERROR(IF(O83="","",VLOOKUP(AD83,'G-3 Multipliers'!$P$3:$Q$6,2,FALSE)),"")</f>
        <v/>
      </c>
      <c r="AH83" s="197"/>
      <c r="AI83" s="499" t="str">
        <f>IF(AH83="","",IF(VLOOKUP(AH83,'G-3 Multipliers'!$S$3:$T$6,2,FALSE)=0,"Spatial Data Missing ⚠",VLOOKUP(AH83,'G-3 Multipliers'!$S$3:$T$6,2,FALSE)))</f>
        <v/>
      </c>
      <c r="AJ83" s="545" t="str">
        <f t="shared" si="15"/>
        <v/>
      </c>
      <c r="AK83" s="149"/>
      <c r="AL83" s="150"/>
      <c r="AP83" s="31" t="str">
        <f>IFERROR(INDEX('G-6 Hedgerow Data'!$BJ$3:$BJ$15,MATCH(M83,'G-6 Hedgerow Data'!$B$3:$B$15,0)),"")</f>
        <v/>
      </c>
    </row>
    <row r="84" spans="2:42" ht="13.8" x14ac:dyDescent="0.25">
      <c r="B84" s="531" t="str">
        <f>'E-1 Off Site Hedge Baseline'!AK82</f>
        <v/>
      </c>
      <c r="C84" s="520" t="str">
        <f>IF(B84="","",IF(ISNA(VLOOKUP($B84,'E-1 Off Site Hedge Baseline'!$B$1:$L$257,3,FALSE)),"",(VLOOKUP($B84,'E-1 Off Site Hedge Baseline'!$B$1:$L$257,3,FALSE))))</f>
        <v/>
      </c>
      <c r="D84" s="520" t="str">
        <f>IF(B84="","",IF(ISNA(VLOOKUP($B84,'E-1 Off Site Hedge Baseline'!$B$1:$L$258,4,FALSE)),"",(VLOOKUP($B84,'E-1 Off Site Hedge Baseline'!$B$1:$L$258,4,FALSE))))</f>
        <v/>
      </c>
      <c r="E84" s="520" t="str">
        <f>IF(B84="","",IF(ISNA(VLOOKUP($B84,'E-1 Off Site Hedge Baseline'!$B$1:$L$257,5,FALSE)),"",(VLOOKUP($B84,'E-1 Off Site Hedge Baseline'!$B$1:$L$257,5,FALSE))))</f>
        <v/>
      </c>
      <c r="F84" s="520" t="str">
        <f>IF(B84="","",IF(ISNA(VLOOKUP($B84,'E-1 Off Site Hedge Baseline'!$B$1:$L$257,6,FALSE)),"",(VLOOKUP($B84,'E-1 Off Site Hedge Baseline'!$B$1:$L$257,6,FALSE))))</f>
        <v/>
      </c>
      <c r="G84" s="520" t="str">
        <f>IF(B84="","",IF(ISNA(VLOOKUP($B84,'E-1 Off Site Hedge Baseline'!$B$1:$L$257,7,FALSE)),"",(VLOOKUP($B84,'E-1 Off Site Hedge Baseline'!$B$1:$L$257,7,FALSE))))</f>
        <v/>
      </c>
      <c r="H84" s="520" t="str">
        <f>IF(B84="","",IF(ISNA(VLOOKUP($B84,'E-1 Off Site Hedge Baseline'!$B$1:$L$257,8,FALSE)),"",(VLOOKUP($B84,'E-1 Off Site Hedge Baseline'!$B$1:$L$257,8,FALSE))))</f>
        <v/>
      </c>
      <c r="I84" s="520" t="str">
        <f>IF(B84="","",IF(ISNA(VLOOKUP($B84,'E-1 Off Site Hedge Baseline'!$B$1:$L$257,10,FALSE)),"",(VLOOKUP($B84,'E-1 Off Site Hedge Baseline'!$B$1:$L$257,10,FALSE))))</f>
        <v/>
      </c>
      <c r="J84" s="520" t="str">
        <f>IF(B84="","",IF(ISNA(VLOOKUP($B84,'E-1 Off Site Hedge Baseline'!$B$1:$L$257,11,FALSE)),"",(VLOOKUP($B84,'E-1 Off Site Hedge Baseline'!$B$1:$L$257,11,FALSE))))</f>
        <v/>
      </c>
      <c r="K84" s="520" t="str">
        <f>IF(B84="","",IF(ISNA(VLOOKUP($B84,'E-1 Off Site Hedge Baseline'!$B$1:$U$257,113,FALSE)),"",(VLOOKUP($B84,'E-1 Off Site Hedge Baseline'!$B$1:$U$257,13,FALSE))))</f>
        <v/>
      </c>
      <c r="L84" s="507" t="str">
        <f>IF(B84="","",IF(ISNA(VLOOKUP($B84,'E-1 Off Site Hedge Baseline'!$B$1:$U$257,12,FALSE)),"",(VLOOKUP($B84,'E-1 Off Site Hedge Baseline'!$B$1:$U$257,12,FALSE))))</f>
        <v/>
      </c>
      <c r="M84" s="418" t="str">
        <f t="shared" si="16"/>
        <v/>
      </c>
      <c r="N84" s="498" t="str">
        <f>IFERROR(IF(B84="","",INDEX('G-6 Hedgerow Data'!$AN$3:$AZ$15,MATCH(C84,'G-6 Hedgerow Data'!$AM$3:$AM$15,0),MATCH(M84,'G-6 Hedgerow Data'!$AN$2:$AZ$2,0))),"")</f>
        <v/>
      </c>
      <c r="O84" s="499" t="str">
        <f t="shared" si="10"/>
        <v/>
      </c>
      <c r="P84" s="505" t="str">
        <f>IF(B84="","",VLOOKUP(B84,'E-1 Off Site Hedge Baseline'!$B$10:T329,16,FALSE))</f>
        <v/>
      </c>
      <c r="Q84" s="498" t="str">
        <f>IF(M84="","",VLOOKUP(M84,'G-6 Hedgerow Data'!$B$2:$AG$15,2,FALSE))</f>
        <v/>
      </c>
      <c r="R84" s="499" t="str">
        <f>IF(M84="","",VLOOKUP(M84,'G-6 Hedgerow Data'!$B$2:$AG$15,3,FALSE))</f>
        <v/>
      </c>
      <c r="S84" s="145"/>
      <c r="T84" s="499" t="str">
        <f>IFERROR(IF(AND(Q84="V.Low",OR(S84="Good",S84="Moderate")),"Error ▲",VLOOKUP(S84,'G-1 All Habitats'!$Z$2:$AA$9,2,FALSE)),"")</f>
        <v/>
      </c>
      <c r="U84" s="145"/>
      <c r="V84" s="507" t="str">
        <f>IF(U84="","",IF(VLOOKUP(U84,'G-3 Multipliers'!$L$3:$N$6,2,FALSE)=0,"Spatial Data Missing ⚠",VLOOKUP(U84,'G-3 Multipliers'!$L$3:$N$6,2,FALSE)))</f>
        <v/>
      </c>
      <c r="W84" s="505" t="str">
        <f>IF(U84="","",IF(VLOOKUP(U84,'G-3 Multipliers'!$L$3:$N$6,3,FALSE)=0,"Spatial Data Missing ⚠",VLOOKUP(U84,'G-3 Multipliers'!$L$3:$N$6,3,FALSE)))</f>
        <v/>
      </c>
      <c r="X84" s="498"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7" t="str">
        <f t="shared" si="11"/>
        <v/>
      </c>
      <c r="AB84" s="521" t="str">
        <f t="shared" si="12"/>
        <v/>
      </c>
      <c r="AC84" s="522" t="str">
        <f t="shared" si="9"/>
        <v/>
      </c>
      <c r="AD84" s="537" t="str">
        <f>IF(M84="","",VLOOKUP(M84,'G-6 Hedgerow Data'!$B$3:$AG$15,31,FALSE))</f>
        <v/>
      </c>
      <c r="AE84" s="520" t="str">
        <f t="shared" si="13"/>
        <v/>
      </c>
      <c r="AF84" s="520" t="str">
        <f t="shared" si="14"/>
        <v/>
      </c>
      <c r="AG84" s="524" t="str">
        <f>IFERROR(IF(O84="","",VLOOKUP(AD84,'G-3 Multipliers'!$P$3:$Q$6,2,FALSE)),"")</f>
        <v/>
      </c>
      <c r="AH84" s="197"/>
      <c r="AI84" s="499" t="str">
        <f>IF(AH84="","",IF(VLOOKUP(AH84,'G-3 Multipliers'!$S$3:$T$6,2,FALSE)=0,"Spatial Data Missing ⚠",VLOOKUP(AH84,'G-3 Multipliers'!$S$3:$T$6,2,FALSE)))</f>
        <v/>
      </c>
      <c r="AJ84" s="545" t="str">
        <f t="shared" si="15"/>
        <v/>
      </c>
      <c r="AK84" s="149"/>
      <c r="AL84" s="150"/>
      <c r="AP84" s="31" t="str">
        <f>IFERROR(INDEX('G-6 Hedgerow Data'!$BJ$3:$BJ$15,MATCH(M84,'G-6 Hedgerow Data'!$B$3:$B$15,0)),"")</f>
        <v/>
      </c>
    </row>
    <row r="85" spans="2:42" ht="13.8" x14ac:dyDescent="0.25">
      <c r="B85" s="531" t="str">
        <f>'E-1 Off Site Hedge Baseline'!AK83</f>
        <v/>
      </c>
      <c r="C85" s="520" t="str">
        <f>IF(B85="","",IF(ISNA(VLOOKUP($B85,'E-1 Off Site Hedge Baseline'!$B$1:$L$257,3,FALSE)),"",(VLOOKUP($B85,'E-1 Off Site Hedge Baseline'!$B$1:$L$257,3,FALSE))))</f>
        <v/>
      </c>
      <c r="D85" s="520" t="str">
        <f>IF(B85="","",IF(ISNA(VLOOKUP($B85,'E-1 Off Site Hedge Baseline'!$B$1:$L$258,4,FALSE)),"",(VLOOKUP($B85,'E-1 Off Site Hedge Baseline'!$B$1:$L$258,4,FALSE))))</f>
        <v/>
      </c>
      <c r="E85" s="520" t="str">
        <f>IF(B85="","",IF(ISNA(VLOOKUP($B85,'E-1 Off Site Hedge Baseline'!$B$1:$L$257,5,FALSE)),"",(VLOOKUP($B85,'E-1 Off Site Hedge Baseline'!$B$1:$L$257,5,FALSE))))</f>
        <v/>
      </c>
      <c r="F85" s="520" t="str">
        <f>IF(B85="","",IF(ISNA(VLOOKUP($B85,'E-1 Off Site Hedge Baseline'!$B$1:$L$257,6,FALSE)),"",(VLOOKUP($B85,'E-1 Off Site Hedge Baseline'!$B$1:$L$257,6,FALSE))))</f>
        <v/>
      </c>
      <c r="G85" s="520" t="str">
        <f>IF(B85="","",IF(ISNA(VLOOKUP($B85,'E-1 Off Site Hedge Baseline'!$B$1:$L$257,7,FALSE)),"",(VLOOKUP($B85,'E-1 Off Site Hedge Baseline'!$B$1:$L$257,7,FALSE))))</f>
        <v/>
      </c>
      <c r="H85" s="520" t="str">
        <f>IF(B85="","",IF(ISNA(VLOOKUP($B85,'E-1 Off Site Hedge Baseline'!$B$1:$L$257,8,FALSE)),"",(VLOOKUP($B85,'E-1 Off Site Hedge Baseline'!$B$1:$L$257,8,FALSE))))</f>
        <v/>
      </c>
      <c r="I85" s="520" t="str">
        <f>IF(B85="","",IF(ISNA(VLOOKUP($B85,'E-1 Off Site Hedge Baseline'!$B$1:$L$257,10,FALSE)),"",(VLOOKUP($B85,'E-1 Off Site Hedge Baseline'!$B$1:$L$257,10,FALSE))))</f>
        <v/>
      </c>
      <c r="J85" s="520" t="str">
        <f>IF(B85="","",IF(ISNA(VLOOKUP($B85,'E-1 Off Site Hedge Baseline'!$B$1:$L$257,11,FALSE)),"",(VLOOKUP($B85,'E-1 Off Site Hedge Baseline'!$B$1:$L$257,11,FALSE))))</f>
        <v/>
      </c>
      <c r="K85" s="520" t="str">
        <f>IF(B85="","",IF(ISNA(VLOOKUP($B85,'E-1 Off Site Hedge Baseline'!$B$1:$U$257,113,FALSE)),"",(VLOOKUP($B85,'E-1 Off Site Hedge Baseline'!$B$1:$U$257,13,FALSE))))</f>
        <v/>
      </c>
      <c r="L85" s="507" t="str">
        <f>IF(B85="","",IF(ISNA(VLOOKUP($B85,'E-1 Off Site Hedge Baseline'!$B$1:$U$257,12,FALSE)),"",(VLOOKUP($B85,'E-1 Off Site Hedge Baseline'!$B$1:$U$257,12,FALSE))))</f>
        <v/>
      </c>
      <c r="M85" s="418" t="str">
        <f t="shared" si="16"/>
        <v/>
      </c>
      <c r="N85" s="498" t="str">
        <f>IFERROR(IF(B85="","",INDEX('G-6 Hedgerow Data'!$AN$3:$AZ$15,MATCH(C85,'G-6 Hedgerow Data'!$AM$3:$AM$15,0),MATCH(M85,'G-6 Hedgerow Data'!$AN$2:$AZ$2,0))),"")</f>
        <v/>
      </c>
      <c r="O85" s="499" t="str">
        <f t="shared" si="10"/>
        <v/>
      </c>
      <c r="P85" s="505" t="str">
        <f>IF(B85="","",VLOOKUP(B85,'E-1 Off Site Hedge Baseline'!$B$10:T330,16,FALSE))</f>
        <v/>
      </c>
      <c r="Q85" s="498" t="str">
        <f>IF(M85="","",VLOOKUP(M85,'G-6 Hedgerow Data'!$B$2:$AG$15,2,FALSE))</f>
        <v/>
      </c>
      <c r="R85" s="499" t="str">
        <f>IF(M85="","",VLOOKUP(M85,'G-6 Hedgerow Data'!$B$2:$AG$15,3,FALSE))</f>
        <v/>
      </c>
      <c r="S85" s="145"/>
      <c r="T85" s="499" t="str">
        <f>IFERROR(IF(AND(Q85="V.Low",OR(S85="Good",S85="Moderate")),"Error ▲",VLOOKUP(S85,'G-1 All Habitats'!$Z$2:$AA$9,2,FALSE)),"")</f>
        <v/>
      </c>
      <c r="U85" s="145"/>
      <c r="V85" s="507" t="str">
        <f>IF(U85="","",IF(VLOOKUP(U85,'G-3 Multipliers'!$L$3:$N$6,2,FALSE)=0,"Spatial Data Missing ⚠",VLOOKUP(U85,'G-3 Multipliers'!$L$3:$N$6,2,FALSE)))</f>
        <v/>
      </c>
      <c r="W85" s="505" t="str">
        <f>IF(U85="","",IF(VLOOKUP(U85,'G-3 Multipliers'!$L$3:$N$6,3,FALSE)=0,"Spatial Data Missing ⚠",VLOOKUP(U85,'G-3 Multipliers'!$L$3:$N$6,3,FALSE)))</f>
        <v/>
      </c>
      <c r="X85" s="498"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7" t="str">
        <f t="shared" si="11"/>
        <v/>
      </c>
      <c r="AB85" s="521" t="str">
        <f t="shared" si="12"/>
        <v/>
      </c>
      <c r="AC85" s="522" t="str">
        <f t="shared" si="9"/>
        <v/>
      </c>
      <c r="AD85" s="537" t="str">
        <f>IF(M85="","",VLOOKUP(M85,'G-6 Hedgerow Data'!$B$3:$AG$15,31,FALSE))</f>
        <v/>
      </c>
      <c r="AE85" s="520" t="str">
        <f t="shared" si="13"/>
        <v/>
      </c>
      <c r="AF85" s="520" t="str">
        <f t="shared" si="14"/>
        <v/>
      </c>
      <c r="AG85" s="524" t="str">
        <f>IFERROR(IF(O85="","",VLOOKUP(AD85,'G-3 Multipliers'!$P$3:$Q$6,2,FALSE)),"")</f>
        <v/>
      </c>
      <c r="AH85" s="197"/>
      <c r="AI85" s="499" t="str">
        <f>IF(AH85="","",IF(VLOOKUP(AH85,'G-3 Multipliers'!$S$3:$T$6,2,FALSE)=0,"Spatial Data Missing ⚠",VLOOKUP(AH85,'G-3 Multipliers'!$S$3:$T$6,2,FALSE)))</f>
        <v/>
      </c>
      <c r="AJ85" s="545" t="str">
        <f t="shared" si="15"/>
        <v/>
      </c>
      <c r="AK85" s="149"/>
      <c r="AL85" s="150"/>
      <c r="AP85" s="31" t="str">
        <f>IFERROR(INDEX('G-6 Hedgerow Data'!$BJ$3:$BJ$15,MATCH(M85,'G-6 Hedgerow Data'!$B$3:$B$15,0)),"")</f>
        <v/>
      </c>
    </row>
    <row r="86" spans="2:42" ht="13.8" x14ac:dyDescent="0.25">
      <c r="B86" s="531" t="str">
        <f>'E-1 Off Site Hedge Baseline'!AK84</f>
        <v/>
      </c>
      <c r="C86" s="520" t="str">
        <f>IF(B86="","",IF(ISNA(VLOOKUP($B86,'E-1 Off Site Hedge Baseline'!$B$1:$L$257,3,FALSE)),"",(VLOOKUP($B86,'E-1 Off Site Hedge Baseline'!$B$1:$L$257,3,FALSE))))</f>
        <v/>
      </c>
      <c r="D86" s="520" t="str">
        <f>IF(B86="","",IF(ISNA(VLOOKUP($B86,'E-1 Off Site Hedge Baseline'!$B$1:$L$258,4,FALSE)),"",(VLOOKUP($B86,'E-1 Off Site Hedge Baseline'!$B$1:$L$258,4,FALSE))))</f>
        <v/>
      </c>
      <c r="E86" s="520" t="str">
        <f>IF(B86="","",IF(ISNA(VLOOKUP($B86,'E-1 Off Site Hedge Baseline'!$B$1:$L$257,5,FALSE)),"",(VLOOKUP($B86,'E-1 Off Site Hedge Baseline'!$B$1:$L$257,5,FALSE))))</f>
        <v/>
      </c>
      <c r="F86" s="520" t="str">
        <f>IF(B86="","",IF(ISNA(VLOOKUP($B86,'E-1 Off Site Hedge Baseline'!$B$1:$L$257,6,FALSE)),"",(VLOOKUP($B86,'E-1 Off Site Hedge Baseline'!$B$1:$L$257,6,FALSE))))</f>
        <v/>
      </c>
      <c r="G86" s="520" t="str">
        <f>IF(B86="","",IF(ISNA(VLOOKUP($B86,'E-1 Off Site Hedge Baseline'!$B$1:$L$257,7,FALSE)),"",(VLOOKUP($B86,'E-1 Off Site Hedge Baseline'!$B$1:$L$257,7,FALSE))))</f>
        <v/>
      </c>
      <c r="H86" s="520" t="str">
        <f>IF(B86="","",IF(ISNA(VLOOKUP($B86,'E-1 Off Site Hedge Baseline'!$B$1:$L$257,8,FALSE)),"",(VLOOKUP($B86,'E-1 Off Site Hedge Baseline'!$B$1:$L$257,8,FALSE))))</f>
        <v/>
      </c>
      <c r="I86" s="520" t="str">
        <f>IF(B86="","",IF(ISNA(VLOOKUP($B86,'E-1 Off Site Hedge Baseline'!$B$1:$L$257,10,FALSE)),"",(VLOOKUP($B86,'E-1 Off Site Hedge Baseline'!$B$1:$L$257,10,FALSE))))</f>
        <v/>
      </c>
      <c r="J86" s="520" t="str">
        <f>IF(B86="","",IF(ISNA(VLOOKUP($B86,'E-1 Off Site Hedge Baseline'!$B$1:$L$257,11,FALSE)),"",(VLOOKUP($B86,'E-1 Off Site Hedge Baseline'!$B$1:$L$257,11,FALSE))))</f>
        <v/>
      </c>
      <c r="K86" s="520" t="str">
        <f>IF(B86="","",IF(ISNA(VLOOKUP($B86,'E-1 Off Site Hedge Baseline'!$B$1:$U$257,113,FALSE)),"",(VLOOKUP($B86,'E-1 Off Site Hedge Baseline'!$B$1:$U$257,13,FALSE))))</f>
        <v/>
      </c>
      <c r="L86" s="507" t="str">
        <f>IF(B86="","",IF(ISNA(VLOOKUP($B86,'E-1 Off Site Hedge Baseline'!$B$1:$U$257,12,FALSE)),"",(VLOOKUP($B86,'E-1 Off Site Hedge Baseline'!$B$1:$U$257,12,FALSE))))</f>
        <v/>
      </c>
      <c r="M86" s="418" t="str">
        <f t="shared" si="16"/>
        <v/>
      </c>
      <c r="N86" s="498" t="str">
        <f>IFERROR(IF(B86="","",INDEX('G-6 Hedgerow Data'!$AN$3:$AZ$15,MATCH(C86,'G-6 Hedgerow Data'!$AM$3:$AM$15,0),MATCH(M86,'G-6 Hedgerow Data'!$AN$2:$AZ$2,0))),"")</f>
        <v/>
      </c>
      <c r="O86" s="499" t="str">
        <f t="shared" si="10"/>
        <v/>
      </c>
      <c r="P86" s="505" t="str">
        <f>IF(B86="","",VLOOKUP(B86,'E-1 Off Site Hedge Baseline'!$B$10:T331,16,FALSE))</f>
        <v/>
      </c>
      <c r="Q86" s="498" t="str">
        <f>IF(M86="","",VLOOKUP(M86,'G-6 Hedgerow Data'!$B$2:$AG$15,2,FALSE))</f>
        <v/>
      </c>
      <c r="R86" s="499" t="str">
        <f>IF(M86="","",VLOOKUP(M86,'G-6 Hedgerow Data'!$B$2:$AG$15,3,FALSE))</f>
        <v/>
      </c>
      <c r="S86" s="145"/>
      <c r="T86" s="499" t="str">
        <f>IFERROR(IF(AND(Q86="V.Low",OR(S86="Good",S86="Moderate")),"Error ▲",VLOOKUP(S86,'G-1 All Habitats'!$Z$2:$AA$9,2,FALSE)),"")</f>
        <v/>
      </c>
      <c r="U86" s="145"/>
      <c r="V86" s="507" t="str">
        <f>IF(U86="","",IF(VLOOKUP(U86,'G-3 Multipliers'!$L$3:$N$6,2,FALSE)=0,"Spatial Data Missing ⚠",VLOOKUP(U86,'G-3 Multipliers'!$L$3:$N$6,2,FALSE)))</f>
        <v/>
      </c>
      <c r="W86" s="505" t="str">
        <f>IF(U86="","",IF(VLOOKUP(U86,'G-3 Multipliers'!$L$3:$N$6,3,FALSE)=0,"Spatial Data Missing ⚠",VLOOKUP(U86,'G-3 Multipliers'!$L$3:$N$6,3,FALSE)))</f>
        <v/>
      </c>
      <c r="X86" s="498"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7" t="str">
        <f t="shared" si="11"/>
        <v/>
      </c>
      <c r="AB86" s="521" t="str">
        <f t="shared" si="12"/>
        <v/>
      </c>
      <c r="AC86" s="522" t="str">
        <f t="shared" si="9"/>
        <v/>
      </c>
      <c r="AD86" s="537" t="str">
        <f>IF(M86="","",VLOOKUP(M86,'G-6 Hedgerow Data'!$B$3:$AG$15,31,FALSE))</f>
        <v/>
      </c>
      <c r="AE86" s="520" t="str">
        <f t="shared" si="13"/>
        <v/>
      </c>
      <c r="AF86" s="520" t="str">
        <f t="shared" si="14"/>
        <v/>
      </c>
      <c r="AG86" s="524" t="str">
        <f>IFERROR(IF(O86="","",VLOOKUP(AD86,'G-3 Multipliers'!$P$3:$Q$6,2,FALSE)),"")</f>
        <v/>
      </c>
      <c r="AH86" s="197"/>
      <c r="AI86" s="499" t="str">
        <f>IF(AH86="","",IF(VLOOKUP(AH86,'G-3 Multipliers'!$S$3:$T$6,2,FALSE)=0,"Spatial Data Missing ⚠",VLOOKUP(AH86,'G-3 Multipliers'!$S$3:$T$6,2,FALSE)))</f>
        <v/>
      </c>
      <c r="AJ86" s="545" t="str">
        <f t="shared" si="15"/>
        <v/>
      </c>
      <c r="AK86" s="149"/>
      <c r="AL86" s="150"/>
      <c r="AP86" s="31" t="str">
        <f>IFERROR(INDEX('G-6 Hedgerow Data'!$BJ$3:$BJ$15,MATCH(M86,'G-6 Hedgerow Data'!$B$3:$B$15,0)),"")</f>
        <v/>
      </c>
    </row>
    <row r="87" spans="2:42" ht="13.8" x14ac:dyDescent="0.25">
      <c r="B87" s="531" t="str">
        <f>'E-1 Off Site Hedge Baseline'!AK85</f>
        <v/>
      </c>
      <c r="C87" s="520" t="str">
        <f>IF(B87="","",IF(ISNA(VLOOKUP($B87,'E-1 Off Site Hedge Baseline'!$B$1:$L$257,3,FALSE)),"",(VLOOKUP($B87,'E-1 Off Site Hedge Baseline'!$B$1:$L$257,3,FALSE))))</f>
        <v/>
      </c>
      <c r="D87" s="520" t="str">
        <f>IF(B87="","",IF(ISNA(VLOOKUP($B87,'E-1 Off Site Hedge Baseline'!$B$1:$L$258,4,FALSE)),"",(VLOOKUP($B87,'E-1 Off Site Hedge Baseline'!$B$1:$L$258,4,FALSE))))</f>
        <v/>
      </c>
      <c r="E87" s="520" t="str">
        <f>IF(B87="","",IF(ISNA(VLOOKUP($B87,'E-1 Off Site Hedge Baseline'!$B$1:$L$257,5,FALSE)),"",(VLOOKUP($B87,'E-1 Off Site Hedge Baseline'!$B$1:$L$257,5,FALSE))))</f>
        <v/>
      </c>
      <c r="F87" s="520" t="str">
        <f>IF(B87="","",IF(ISNA(VLOOKUP($B87,'E-1 Off Site Hedge Baseline'!$B$1:$L$257,6,FALSE)),"",(VLOOKUP($B87,'E-1 Off Site Hedge Baseline'!$B$1:$L$257,6,FALSE))))</f>
        <v/>
      </c>
      <c r="G87" s="520" t="str">
        <f>IF(B87="","",IF(ISNA(VLOOKUP($B87,'E-1 Off Site Hedge Baseline'!$B$1:$L$257,7,FALSE)),"",(VLOOKUP($B87,'E-1 Off Site Hedge Baseline'!$B$1:$L$257,7,FALSE))))</f>
        <v/>
      </c>
      <c r="H87" s="520" t="str">
        <f>IF(B87="","",IF(ISNA(VLOOKUP($B87,'E-1 Off Site Hedge Baseline'!$B$1:$L$257,8,FALSE)),"",(VLOOKUP($B87,'E-1 Off Site Hedge Baseline'!$B$1:$L$257,8,FALSE))))</f>
        <v/>
      </c>
      <c r="I87" s="520" t="str">
        <f>IF(B87="","",IF(ISNA(VLOOKUP($B87,'E-1 Off Site Hedge Baseline'!$B$1:$L$257,10,FALSE)),"",(VLOOKUP($B87,'E-1 Off Site Hedge Baseline'!$B$1:$L$257,10,FALSE))))</f>
        <v/>
      </c>
      <c r="J87" s="520" t="str">
        <f>IF(B87="","",IF(ISNA(VLOOKUP($B87,'E-1 Off Site Hedge Baseline'!$B$1:$L$257,11,FALSE)),"",(VLOOKUP($B87,'E-1 Off Site Hedge Baseline'!$B$1:$L$257,11,FALSE))))</f>
        <v/>
      </c>
      <c r="K87" s="520" t="str">
        <f>IF(B87="","",IF(ISNA(VLOOKUP($B87,'E-1 Off Site Hedge Baseline'!$B$1:$U$257,113,FALSE)),"",(VLOOKUP($B87,'E-1 Off Site Hedge Baseline'!$B$1:$U$257,13,FALSE))))</f>
        <v/>
      </c>
      <c r="L87" s="507" t="str">
        <f>IF(B87="","",IF(ISNA(VLOOKUP($B87,'E-1 Off Site Hedge Baseline'!$B$1:$U$257,12,FALSE)),"",(VLOOKUP($B87,'E-1 Off Site Hedge Baseline'!$B$1:$U$257,12,FALSE))))</f>
        <v/>
      </c>
      <c r="M87" s="418" t="str">
        <f t="shared" si="16"/>
        <v/>
      </c>
      <c r="N87" s="498" t="str">
        <f>IFERROR(IF(B87="","",INDEX('G-6 Hedgerow Data'!$AN$3:$AZ$15,MATCH(C87,'G-6 Hedgerow Data'!$AM$3:$AM$15,0),MATCH(M87,'G-6 Hedgerow Data'!$AN$2:$AZ$2,0))),"")</f>
        <v/>
      </c>
      <c r="O87" s="499" t="str">
        <f t="shared" si="10"/>
        <v/>
      </c>
      <c r="P87" s="505" t="str">
        <f>IF(B87="","",VLOOKUP(B87,'E-1 Off Site Hedge Baseline'!$B$10:T332,16,FALSE))</f>
        <v/>
      </c>
      <c r="Q87" s="498" t="str">
        <f>IF(M87="","",VLOOKUP(M87,'G-6 Hedgerow Data'!$B$2:$AG$15,2,FALSE))</f>
        <v/>
      </c>
      <c r="R87" s="499" t="str">
        <f>IF(M87="","",VLOOKUP(M87,'G-6 Hedgerow Data'!$B$2:$AG$15,3,FALSE))</f>
        <v/>
      </c>
      <c r="S87" s="145"/>
      <c r="T87" s="499" t="str">
        <f>IFERROR(IF(AND(Q87="V.Low",OR(S87="Good",S87="Moderate")),"Error ▲",VLOOKUP(S87,'G-1 All Habitats'!$Z$2:$AA$9,2,FALSE)),"")</f>
        <v/>
      </c>
      <c r="U87" s="145"/>
      <c r="V87" s="507" t="str">
        <f>IF(U87="","",IF(VLOOKUP(U87,'G-3 Multipliers'!$L$3:$N$6,2,FALSE)=0,"Spatial Data Missing ⚠",VLOOKUP(U87,'G-3 Multipliers'!$L$3:$N$6,2,FALSE)))</f>
        <v/>
      </c>
      <c r="W87" s="505" t="str">
        <f>IF(U87="","",IF(VLOOKUP(U87,'G-3 Multipliers'!$L$3:$N$6,3,FALSE)=0,"Spatial Data Missing ⚠",VLOOKUP(U87,'G-3 Multipliers'!$L$3:$N$6,3,FALSE)))</f>
        <v/>
      </c>
      <c r="X87" s="498"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7" t="str">
        <f t="shared" si="11"/>
        <v/>
      </c>
      <c r="AB87" s="521" t="str">
        <f t="shared" si="12"/>
        <v/>
      </c>
      <c r="AC87" s="522" t="str">
        <f t="shared" si="9"/>
        <v/>
      </c>
      <c r="AD87" s="537" t="str">
        <f>IF(M87="","",VLOOKUP(M87,'G-6 Hedgerow Data'!$B$3:$AG$15,31,FALSE))</f>
        <v/>
      </c>
      <c r="AE87" s="520" t="str">
        <f t="shared" si="13"/>
        <v/>
      </c>
      <c r="AF87" s="520" t="str">
        <f t="shared" si="14"/>
        <v/>
      </c>
      <c r="AG87" s="524" t="str">
        <f>IFERROR(IF(O87="","",VLOOKUP(AD87,'G-3 Multipliers'!$P$3:$Q$6,2,FALSE)),"")</f>
        <v/>
      </c>
      <c r="AH87" s="197"/>
      <c r="AI87" s="499" t="str">
        <f>IF(AH87="","",IF(VLOOKUP(AH87,'G-3 Multipliers'!$S$3:$T$6,2,FALSE)=0,"Spatial Data Missing ⚠",VLOOKUP(AH87,'G-3 Multipliers'!$S$3:$T$6,2,FALSE)))</f>
        <v/>
      </c>
      <c r="AJ87" s="545" t="str">
        <f t="shared" si="15"/>
        <v/>
      </c>
      <c r="AK87" s="149"/>
      <c r="AL87" s="150"/>
      <c r="AP87" s="31" t="str">
        <f>IFERROR(INDEX('G-6 Hedgerow Data'!$BJ$3:$BJ$15,MATCH(M87,'G-6 Hedgerow Data'!$B$3:$B$15,0)),"")</f>
        <v/>
      </c>
    </row>
    <row r="88" spans="2:42" ht="13.8" x14ac:dyDescent="0.25">
      <c r="B88" s="531" t="str">
        <f>'E-1 Off Site Hedge Baseline'!AK86</f>
        <v/>
      </c>
      <c r="C88" s="520" t="str">
        <f>IF(B88="","",IF(ISNA(VLOOKUP($B88,'E-1 Off Site Hedge Baseline'!$B$1:$L$257,3,FALSE)),"",(VLOOKUP($B88,'E-1 Off Site Hedge Baseline'!$B$1:$L$257,3,FALSE))))</f>
        <v/>
      </c>
      <c r="D88" s="520" t="str">
        <f>IF(B88="","",IF(ISNA(VLOOKUP($B88,'E-1 Off Site Hedge Baseline'!$B$1:$L$258,4,FALSE)),"",(VLOOKUP($B88,'E-1 Off Site Hedge Baseline'!$B$1:$L$258,4,FALSE))))</f>
        <v/>
      </c>
      <c r="E88" s="520" t="str">
        <f>IF(B88="","",IF(ISNA(VLOOKUP($B88,'E-1 Off Site Hedge Baseline'!$B$1:$L$257,5,FALSE)),"",(VLOOKUP($B88,'E-1 Off Site Hedge Baseline'!$B$1:$L$257,5,FALSE))))</f>
        <v/>
      </c>
      <c r="F88" s="520" t="str">
        <f>IF(B88="","",IF(ISNA(VLOOKUP($B88,'E-1 Off Site Hedge Baseline'!$B$1:$L$257,6,FALSE)),"",(VLOOKUP($B88,'E-1 Off Site Hedge Baseline'!$B$1:$L$257,6,FALSE))))</f>
        <v/>
      </c>
      <c r="G88" s="520" t="str">
        <f>IF(B88="","",IF(ISNA(VLOOKUP($B88,'E-1 Off Site Hedge Baseline'!$B$1:$L$257,7,FALSE)),"",(VLOOKUP($B88,'E-1 Off Site Hedge Baseline'!$B$1:$L$257,7,FALSE))))</f>
        <v/>
      </c>
      <c r="H88" s="520" t="str">
        <f>IF(B88="","",IF(ISNA(VLOOKUP($B88,'E-1 Off Site Hedge Baseline'!$B$1:$L$257,8,FALSE)),"",(VLOOKUP($B88,'E-1 Off Site Hedge Baseline'!$B$1:$L$257,8,FALSE))))</f>
        <v/>
      </c>
      <c r="I88" s="520" t="str">
        <f>IF(B88="","",IF(ISNA(VLOOKUP($B88,'E-1 Off Site Hedge Baseline'!$B$1:$L$257,10,FALSE)),"",(VLOOKUP($B88,'E-1 Off Site Hedge Baseline'!$B$1:$L$257,10,FALSE))))</f>
        <v/>
      </c>
      <c r="J88" s="520" t="str">
        <f>IF(B88="","",IF(ISNA(VLOOKUP($B88,'E-1 Off Site Hedge Baseline'!$B$1:$L$257,11,FALSE)),"",(VLOOKUP($B88,'E-1 Off Site Hedge Baseline'!$B$1:$L$257,11,FALSE))))</f>
        <v/>
      </c>
      <c r="K88" s="520" t="str">
        <f>IF(B88="","",IF(ISNA(VLOOKUP($B88,'E-1 Off Site Hedge Baseline'!$B$1:$U$257,113,FALSE)),"",(VLOOKUP($B88,'E-1 Off Site Hedge Baseline'!$B$1:$U$257,13,FALSE))))</f>
        <v/>
      </c>
      <c r="L88" s="507" t="str">
        <f>IF(B88="","",IF(ISNA(VLOOKUP($B88,'E-1 Off Site Hedge Baseline'!$B$1:$U$257,12,FALSE)),"",(VLOOKUP($B88,'E-1 Off Site Hedge Baseline'!$B$1:$U$257,12,FALSE))))</f>
        <v/>
      </c>
      <c r="M88" s="418" t="str">
        <f t="shared" si="16"/>
        <v/>
      </c>
      <c r="N88" s="498" t="str">
        <f>IFERROR(IF(B88="","",INDEX('G-6 Hedgerow Data'!$AN$3:$AZ$15,MATCH(C88,'G-6 Hedgerow Data'!$AM$3:$AM$15,0),MATCH(M88,'G-6 Hedgerow Data'!$AN$2:$AZ$2,0))),"")</f>
        <v/>
      </c>
      <c r="O88" s="499" t="str">
        <f t="shared" si="10"/>
        <v/>
      </c>
      <c r="P88" s="505" t="str">
        <f>IF(B88="","",VLOOKUP(B88,'E-1 Off Site Hedge Baseline'!$B$10:T333,16,FALSE))</f>
        <v/>
      </c>
      <c r="Q88" s="498" t="str">
        <f>IF(M88="","",VLOOKUP(M88,'G-6 Hedgerow Data'!$B$2:$AG$15,2,FALSE))</f>
        <v/>
      </c>
      <c r="R88" s="499" t="str">
        <f>IF(M88="","",VLOOKUP(M88,'G-6 Hedgerow Data'!$B$2:$AG$15,3,FALSE))</f>
        <v/>
      </c>
      <c r="S88" s="145"/>
      <c r="T88" s="499" t="str">
        <f>IFERROR(IF(AND(Q88="V.Low",OR(S88="Good",S88="Moderate")),"Error ▲",VLOOKUP(S88,'G-1 All Habitats'!$Z$2:$AA$9,2,FALSE)),"")</f>
        <v/>
      </c>
      <c r="U88" s="145"/>
      <c r="V88" s="507" t="str">
        <f>IF(U88="","",IF(VLOOKUP(U88,'G-3 Multipliers'!$L$3:$N$6,2,FALSE)=0,"Spatial Data Missing ⚠",VLOOKUP(U88,'G-3 Multipliers'!$L$3:$N$6,2,FALSE)))</f>
        <v/>
      </c>
      <c r="W88" s="505" t="str">
        <f>IF(U88="","",IF(VLOOKUP(U88,'G-3 Multipliers'!$L$3:$N$6,3,FALSE)=0,"Spatial Data Missing ⚠",VLOOKUP(U88,'G-3 Multipliers'!$L$3:$N$6,3,FALSE)))</f>
        <v/>
      </c>
      <c r="X88" s="498"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7" t="str">
        <f t="shared" si="11"/>
        <v/>
      </c>
      <c r="AB88" s="521" t="str">
        <f t="shared" si="12"/>
        <v/>
      </c>
      <c r="AC88" s="522" t="str">
        <f t="shared" si="9"/>
        <v/>
      </c>
      <c r="AD88" s="537" t="str">
        <f>IF(M88="","",VLOOKUP(M88,'G-6 Hedgerow Data'!$B$3:$AG$15,31,FALSE))</f>
        <v/>
      </c>
      <c r="AE88" s="520" t="str">
        <f t="shared" si="13"/>
        <v/>
      </c>
      <c r="AF88" s="520" t="str">
        <f t="shared" si="14"/>
        <v/>
      </c>
      <c r="AG88" s="524" t="str">
        <f>IFERROR(IF(O88="","",VLOOKUP(AD88,'G-3 Multipliers'!$P$3:$Q$6,2,FALSE)),"")</f>
        <v/>
      </c>
      <c r="AH88" s="197"/>
      <c r="AI88" s="499" t="str">
        <f>IF(AH88="","",IF(VLOOKUP(AH88,'G-3 Multipliers'!$S$3:$T$6,2,FALSE)=0,"Spatial Data Missing ⚠",VLOOKUP(AH88,'G-3 Multipliers'!$S$3:$T$6,2,FALSE)))</f>
        <v/>
      </c>
      <c r="AJ88" s="545" t="str">
        <f t="shared" si="15"/>
        <v/>
      </c>
      <c r="AK88" s="149"/>
      <c r="AL88" s="150"/>
      <c r="AP88" s="31" t="str">
        <f>IFERROR(INDEX('G-6 Hedgerow Data'!$BJ$3:$BJ$15,MATCH(M88,'G-6 Hedgerow Data'!$B$3:$B$15,0)),"")</f>
        <v/>
      </c>
    </row>
    <row r="89" spans="2:42" ht="13.8" x14ac:dyDescent="0.25">
      <c r="B89" s="531" t="str">
        <f>'E-1 Off Site Hedge Baseline'!AK87</f>
        <v/>
      </c>
      <c r="C89" s="520" t="str">
        <f>IF(B89="","",IF(ISNA(VLOOKUP($B89,'E-1 Off Site Hedge Baseline'!$B$1:$L$257,3,FALSE)),"",(VLOOKUP($B89,'E-1 Off Site Hedge Baseline'!$B$1:$L$257,3,FALSE))))</f>
        <v/>
      </c>
      <c r="D89" s="520" t="str">
        <f>IF(B89="","",IF(ISNA(VLOOKUP($B89,'E-1 Off Site Hedge Baseline'!$B$1:$L$258,4,FALSE)),"",(VLOOKUP($B89,'E-1 Off Site Hedge Baseline'!$B$1:$L$258,4,FALSE))))</f>
        <v/>
      </c>
      <c r="E89" s="520" t="str">
        <f>IF(B89="","",IF(ISNA(VLOOKUP($B89,'E-1 Off Site Hedge Baseline'!$B$1:$L$257,5,FALSE)),"",(VLOOKUP($B89,'E-1 Off Site Hedge Baseline'!$B$1:$L$257,5,FALSE))))</f>
        <v/>
      </c>
      <c r="F89" s="520" t="str">
        <f>IF(B89="","",IF(ISNA(VLOOKUP($B89,'E-1 Off Site Hedge Baseline'!$B$1:$L$257,6,FALSE)),"",(VLOOKUP($B89,'E-1 Off Site Hedge Baseline'!$B$1:$L$257,6,FALSE))))</f>
        <v/>
      </c>
      <c r="G89" s="520" t="str">
        <f>IF(B89="","",IF(ISNA(VLOOKUP($B89,'E-1 Off Site Hedge Baseline'!$B$1:$L$257,7,FALSE)),"",(VLOOKUP($B89,'E-1 Off Site Hedge Baseline'!$B$1:$L$257,7,FALSE))))</f>
        <v/>
      </c>
      <c r="H89" s="520" t="str">
        <f>IF(B89="","",IF(ISNA(VLOOKUP($B89,'E-1 Off Site Hedge Baseline'!$B$1:$L$257,8,FALSE)),"",(VLOOKUP($B89,'E-1 Off Site Hedge Baseline'!$B$1:$L$257,8,FALSE))))</f>
        <v/>
      </c>
      <c r="I89" s="520" t="str">
        <f>IF(B89="","",IF(ISNA(VLOOKUP($B89,'E-1 Off Site Hedge Baseline'!$B$1:$L$257,10,FALSE)),"",(VLOOKUP($B89,'E-1 Off Site Hedge Baseline'!$B$1:$L$257,10,FALSE))))</f>
        <v/>
      </c>
      <c r="J89" s="520" t="str">
        <f>IF(B89="","",IF(ISNA(VLOOKUP($B89,'E-1 Off Site Hedge Baseline'!$B$1:$L$257,11,FALSE)),"",(VLOOKUP($B89,'E-1 Off Site Hedge Baseline'!$B$1:$L$257,11,FALSE))))</f>
        <v/>
      </c>
      <c r="K89" s="520" t="str">
        <f>IF(B89="","",IF(ISNA(VLOOKUP($B89,'E-1 Off Site Hedge Baseline'!$B$1:$U$257,113,FALSE)),"",(VLOOKUP($B89,'E-1 Off Site Hedge Baseline'!$B$1:$U$257,13,FALSE))))</f>
        <v/>
      </c>
      <c r="L89" s="507" t="str">
        <f>IF(B89="","",IF(ISNA(VLOOKUP($B89,'E-1 Off Site Hedge Baseline'!$B$1:$U$257,12,FALSE)),"",(VLOOKUP($B89,'E-1 Off Site Hedge Baseline'!$B$1:$U$257,12,FALSE))))</f>
        <v/>
      </c>
      <c r="M89" s="418" t="str">
        <f t="shared" si="16"/>
        <v/>
      </c>
      <c r="N89" s="498" t="str">
        <f>IFERROR(IF(B89="","",INDEX('G-6 Hedgerow Data'!$AN$3:$AZ$15,MATCH(C89,'G-6 Hedgerow Data'!$AM$3:$AM$15,0),MATCH(M89,'G-6 Hedgerow Data'!$AN$2:$AZ$2,0))),"")</f>
        <v/>
      </c>
      <c r="O89" s="499" t="str">
        <f t="shared" si="10"/>
        <v/>
      </c>
      <c r="P89" s="505" t="str">
        <f>IF(B89="","",VLOOKUP(B89,'E-1 Off Site Hedge Baseline'!$B$10:T334,16,FALSE))</f>
        <v/>
      </c>
      <c r="Q89" s="498" t="str">
        <f>IF(M89="","",VLOOKUP(M89,'G-6 Hedgerow Data'!$B$2:$AG$15,2,FALSE))</f>
        <v/>
      </c>
      <c r="R89" s="499" t="str">
        <f>IF(M89="","",VLOOKUP(M89,'G-6 Hedgerow Data'!$B$2:$AG$15,3,FALSE))</f>
        <v/>
      </c>
      <c r="S89" s="145"/>
      <c r="T89" s="499" t="str">
        <f>IFERROR(IF(AND(Q89="V.Low",OR(S89="Good",S89="Moderate")),"Error ▲",VLOOKUP(S89,'G-1 All Habitats'!$Z$2:$AA$9,2,FALSE)),"")</f>
        <v/>
      </c>
      <c r="U89" s="145"/>
      <c r="V89" s="507" t="str">
        <f>IF(U89="","",IF(VLOOKUP(U89,'G-3 Multipliers'!$L$3:$N$6,2,FALSE)=0,"Spatial Data Missing ⚠",VLOOKUP(U89,'G-3 Multipliers'!$L$3:$N$6,2,FALSE)))</f>
        <v/>
      </c>
      <c r="W89" s="505" t="str">
        <f>IF(U89="","",IF(VLOOKUP(U89,'G-3 Multipliers'!$L$3:$N$6,3,FALSE)=0,"Spatial Data Missing ⚠",VLOOKUP(U89,'G-3 Multipliers'!$L$3:$N$6,3,FALSE)))</f>
        <v/>
      </c>
      <c r="X89" s="498"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7" t="str">
        <f t="shared" si="11"/>
        <v/>
      </c>
      <c r="AB89" s="521" t="str">
        <f t="shared" si="12"/>
        <v/>
      </c>
      <c r="AC89" s="522" t="str">
        <f t="shared" si="9"/>
        <v/>
      </c>
      <c r="AD89" s="537" t="str">
        <f>IF(M89="","",VLOOKUP(M89,'G-6 Hedgerow Data'!$B$3:$AG$15,31,FALSE))</f>
        <v/>
      </c>
      <c r="AE89" s="520" t="str">
        <f t="shared" si="13"/>
        <v/>
      </c>
      <c r="AF89" s="520" t="str">
        <f t="shared" si="14"/>
        <v/>
      </c>
      <c r="AG89" s="524" t="str">
        <f>IFERROR(IF(O89="","",VLOOKUP(AD89,'G-3 Multipliers'!$P$3:$Q$6,2,FALSE)),"")</f>
        <v/>
      </c>
      <c r="AH89" s="197"/>
      <c r="AI89" s="499" t="str">
        <f>IF(AH89="","",IF(VLOOKUP(AH89,'G-3 Multipliers'!$S$3:$T$6,2,FALSE)=0,"Spatial Data Missing ⚠",VLOOKUP(AH89,'G-3 Multipliers'!$S$3:$T$6,2,FALSE)))</f>
        <v/>
      </c>
      <c r="AJ89" s="545" t="str">
        <f t="shared" si="15"/>
        <v/>
      </c>
      <c r="AK89" s="149"/>
      <c r="AL89" s="150"/>
      <c r="AP89" s="31" t="str">
        <f>IFERROR(INDEX('G-6 Hedgerow Data'!$BJ$3:$BJ$15,MATCH(M89,'G-6 Hedgerow Data'!$B$3:$B$15,0)),"")</f>
        <v/>
      </c>
    </row>
    <row r="90" spans="2:42" ht="13.8" x14ac:dyDescent="0.25">
      <c r="B90" s="531" t="str">
        <f>'E-1 Off Site Hedge Baseline'!AK88</f>
        <v/>
      </c>
      <c r="C90" s="520" t="str">
        <f>IF(B90="","",IF(ISNA(VLOOKUP($B90,'E-1 Off Site Hedge Baseline'!$B$1:$L$257,3,FALSE)),"",(VLOOKUP($B90,'E-1 Off Site Hedge Baseline'!$B$1:$L$257,3,FALSE))))</f>
        <v/>
      </c>
      <c r="D90" s="520" t="str">
        <f>IF(B90="","",IF(ISNA(VLOOKUP($B90,'E-1 Off Site Hedge Baseline'!$B$1:$L$258,4,FALSE)),"",(VLOOKUP($B90,'E-1 Off Site Hedge Baseline'!$B$1:$L$258,4,FALSE))))</f>
        <v/>
      </c>
      <c r="E90" s="520" t="str">
        <f>IF(B90="","",IF(ISNA(VLOOKUP($B90,'E-1 Off Site Hedge Baseline'!$B$1:$L$257,5,FALSE)),"",(VLOOKUP($B90,'E-1 Off Site Hedge Baseline'!$B$1:$L$257,5,FALSE))))</f>
        <v/>
      </c>
      <c r="F90" s="520" t="str">
        <f>IF(B90="","",IF(ISNA(VLOOKUP($B90,'E-1 Off Site Hedge Baseline'!$B$1:$L$257,6,FALSE)),"",(VLOOKUP($B90,'E-1 Off Site Hedge Baseline'!$B$1:$L$257,6,FALSE))))</f>
        <v/>
      </c>
      <c r="G90" s="520" t="str">
        <f>IF(B90="","",IF(ISNA(VLOOKUP($B90,'E-1 Off Site Hedge Baseline'!$B$1:$L$257,7,FALSE)),"",(VLOOKUP($B90,'E-1 Off Site Hedge Baseline'!$B$1:$L$257,7,FALSE))))</f>
        <v/>
      </c>
      <c r="H90" s="520" t="str">
        <f>IF(B90="","",IF(ISNA(VLOOKUP($B90,'E-1 Off Site Hedge Baseline'!$B$1:$L$257,8,FALSE)),"",(VLOOKUP($B90,'E-1 Off Site Hedge Baseline'!$B$1:$L$257,8,FALSE))))</f>
        <v/>
      </c>
      <c r="I90" s="520" t="str">
        <f>IF(B90="","",IF(ISNA(VLOOKUP($B90,'E-1 Off Site Hedge Baseline'!$B$1:$L$257,10,FALSE)),"",(VLOOKUP($B90,'E-1 Off Site Hedge Baseline'!$B$1:$L$257,10,FALSE))))</f>
        <v/>
      </c>
      <c r="J90" s="520" t="str">
        <f>IF(B90="","",IF(ISNA(VLOOKUP($B90,'E-1 Off Site Hedge Baseline'!$B$1:$L$257,11,FALSE)),"",(VLOOKUP($B90,'E-1 Off Site Hedge Baseline'!$B$1:$L$257,11,FALSE))))</f>
        <v/>
      </c>
      <c r="K90" s="520" t="str">
        <f>IF(B90="","",IF(ISNA(VLOOKUP($B90,'E-1 Off Site Hedge Baseline'!$B$1:$U$257,113,FALSE)),"",(VLOOKUP($B90,'E-1 Off Site Hedge Baseline'!$B$1:$U$257,13,FALSE))))</f>
        <v/>
      </c>
      <c r="L90" s="507" t="str">
        <f>IF(B90="","",IF(ISNA(VLOOKUP($B90,'E-1 Off Site Hedge Baseline'!$B$1:$U$257,12,FALSE)),"",(VLOOKUP($B90,'E-1 Off Site Hedge Baseline'!$B$1:$U$257,12,FALSE))))</f>
        <v/>
      </c>
      <c r="M90" s="418" t="str">
        <f t="shared" si="16"/>
        <v/>
      </c>
      <c r="N90" s="498" t="str">
        <f>IFERROR(IF(B90="","",INDEX('G-6 Hedgerow Data'!$AN$3:$AZ$15,MATCH(C90,'G-6 Hedgerow Data'!$AM$3:$AM$15,0),MATCH(M90,'G-6 Hedgerow Data'!$AN$2:$AZ$2,0))),"")</f>
        <v/>
      </c>
      <c r="O90" s="499" t="str">
        <f t="shared" si="10"/>
        <v/>
      </c>
      <c r="P90" s="505" t="str">
        <f>IF(B90="","",VLOOKUP(B90,'E-1 Off Site Hedge Baseline'!$B$10:T335,16,FALSE))</f>
        <v/>
      </c>
      <c r="Q90" s="498" t="str">
        <f>IF(M90="","",VLOOKUP(M90,'G-6 Hedgerow Data'!$B$2:$AG$15,2,FALSE))</f>
        <v/>
      </c>
      <c r="R90" s="499" t="str">
        <f>IF(M90="","",VLOOKUP(M90,'G-6 Hedgerow Data'!$B$2:$AG$15,3,FALSE))</f>
        <v/>
      </c>
      <c r="S90" s="145"/>
      <c r="T90" s="499" t="str">
        <f>IFERROR(IF(AND(Q90="V.Low",OR(S90="Good",S90="Moderate")),"Error ▲",VLOOKUP(S90,'G-1 All Habitats'!$Z$2:$AA$9,2,FALSE)),"")</f>
        <v/>
      </c>
      <c r="U90" s="145"/>
      <c r="V90" s="507" t="str">
        <f>IF(U90="","",IF(VLOOKUP(U90,'G-3 Multipliers'!$L$3:$N$6,2,FALSE)=0,"Spatial Data Missing ⚠",VLOOKUP(U90,'G-3 Multipliers'!$L$3:$N$6,2,FALSE)))</f>
        <v/>
      </c>
      <c r="W90" s="505" t="str">
        <f>IF(U90="","",IF(VLOOKUP(U90,'G-3 Multipliers'!$L$3:$N$6,3,FALSE)=0,"Spatial Data Missing ⚠",VLOOKUP(U90,'G-3 Multipliers'!$L$3:$N$6,3,FALSE)))</f>
        <v/>
      </c>
      <c r="X90" s="498"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7" t="str">
        <f t="shared" si="11"/>
        <v/>
      </c>
      <c r="AB90" s="521" t="str">
        <f t="shared" si="12"/>
        <v/>
      </c>
      <c r="AC90" s="522" t="str">
        <f t="shared" si="9"/>
        <v/>
      </c>
      <c r="AD90" s="537" t="str">
        <f>IF(M90="","",VLOOKUP(M90,'G-6 Hedgerow Data'!$B$3:$AG$15,31,FALSE))</f>
        <v/>
      </c>
      <c r="AE90" s="520" t="str">
        <f t="shared" si="13"/>
        <v/>
      </c>
      <c r="AF90" s="520" t="str">
        <f t="shared" si="14"/>
        <v/>
      </c>
      <c r="AG90" s="524" t="str">
        <f>IFERROR(IF(O90="","",VLOOKUP(AD90,'G-3 Multipliers'!$P$3:$Q$6,2,FALSE)),"")</f>
        <v/>
      </c>
      <c r="AH90" s="197"/>
      <c r="AI90" s="499" t="str">
        <f>IF(AH90="","",IF(VLOOKUP(AH90,'G-3 Multipliers'!$S$3:$T$6,2,FALSE)=0,"Spatial Data Missing ⚠",VLOOKUP(AH90,'G-3 Multipliers'!$S$3:$T$6,2,FALSE)))</f>
        <v/>
      </c>
      <c r="AJ90" s="545" t="str">
        <f t="shared" si="15"/>
        <v/>
      </c>
      <c r="AK90" s="149"/>
      <c r="AL90" s="150"/>
      <c r="AP90" s="31" t="str">
        <f>IFERROR(INDEX('G-6 Hedgerow Data'!$BJ$3:$BJ$15,MATCH(M90,'G-6 Hedgerow Data'!$B$3:$B$15,0)),"")</f>
        <v/>
      </c>
    </row>
    <row r="91" spans="2:42" ht="13.8" x14ac:dyDescent="0.25">
      <c r="B91" s="531" t="str">
        <f>'E-1 Off Site Hedge Baseline'!AK89</f>
        <v/>
      </c>
      <c r="C91" s="520" t="str">
        <f>IF(B91="","",IF(ISNA(VLOOKUP($B91,'E-1 Off Site Hedge Baseline'!$B$1:$L$257,3,FALSE)),"",(VLOOKUP($B91,'E-1 Off Site Hedge Baseline'!$B$1:$L$257,3,FALSE))))</f>
        <v/>
      </c>
      <c r="D91" s="520" t="str">
        <f>IF(B91="","",IF(ISNA(VLOOKUP($B91,'E-1 Off Site Hedge Baseline'!$B$1:$L$258,4,FALSE)),"",(VLOOKUP($B91,'E-1 Off Site Hedge Baseline'!$B$1:$L$258,4,FALSE))))</f>
        <v/>
      </c>
      <c r="E91" s="520" t="str">
        <f>IF(B91="","",IF(ISNA(VLOOKUP($B91,'E-1 Off Site Hedge Baseline'!$B$1:$L$257,5,FALSE)),"",(VLOOKUP($B91,'E-1 Off Site Hedge Baseline'!$B$1:$L$257,5,FALSE))))</f>
        <v/>
      </c>
      <c r="F91" s="520" t="str">
        <f>IF(B91="","",IF(ISNA(VLOOKUP($B91,'E-1 Off Site Hedge Baseline'!$B$1:$L$257,6,FALSE)),"",(VLOOKUP($B91,'E-1 Off Site Hedge Baseline'!$B$1:$L$257,6,FALSE))))</f>
        <v/>
      </c>
      <c r="G91" s="520" t="str">
        <f>IF(B91="","",IF(ISNA(VLOOKUP($B91,'E-1 Off Site Hedge Baseline'!$B$1:$L$257,7,FALSE)),"",(VLOOKUP($B91,'E-1 Off Site Hedge Baseline'!$B$1:$L$257,7,FALSE))))</f>
        <v/>
      </c>
      <c r="H91" s="520" t="str">
        <f>IF(B91="","",IF(ISNA(VLOOKUP($B91,'E-1 Off Site Hedge Baseline'!$B$1:$L$257,8,FALSE)),"",(VLOOKUP($B91,'E-1 Off Site Hedge Baseline'!$B$1:$L$257,8,FALSE))))</f>
        <v/>
      </c>
      <c r="I91" s="520" t="str">
        <f>IF(B91="","",IF(ISNA(VLOOKUP($B91,'E-1 Off Site Hedge Baseline'!$B$1:$L$257,10,FALSE)),"",(VLOOKUP($B91,'E-1 Off Site Hedge Baseline'!$B$1:$L$257,10,FALSE))))</f>
        <v/>
      </c>
      <c r="J91" s="520" t="str">
        <f>IF(B91="","",IF(ISNA(VLOOKUP($B91,'E-1 Off Site Hedge Baseline'!$B$1:$L$257,11,FALSE)),"",(VLOOKUP($B91,'E-1 Off Site Hedge Baseline'!$B$1:$L$257,11,FALSE))))</f>
        <v/>
      </c>
      <c r="K91" s="520" t="str">
        <f>IF(B91="","",IF(ISNA(VLOOKUP($B91,'E-1 Off Site Hedge Baseline'!$B$1:$U$257,113,FALSE)),"",(VLOOKUP($B91,'E-1 Off Site Hedge Baseline'!$B$1:$U$257,13,FALSE))))</f>
        <v/>
      </c>
      <c r="L91" s="507" t="str">
        <f>IF(B91="","",IF(ISNA(VLOOKUP($B91,'E-1 Off Site Hedge Baseline'!$B$1:$U$257,12,FALSE)),"",(VLOOKUP($B91,'E-1 Off Site Hedge Baseline'!$B$1:$U$257,12,FALSE))))</f>
        <v/>
      </c>
      <c r="M91" s="418" t="str">
        <f t="shared" si="16"/>
        <v/>
      </c>
      <c r="N91" s="498" t="str">
        <f>IFERROR(IF(B91="","",INDEX('G-6 Hedgerow Data'!$AN$3:$AZ$15,MATCH(C91,'G-6 Hedgerow Data'!$AM$3:$AM$15,0),MATCH(M91,'G-6 Hedgerow Data'!$AN$2:$AZ$2,0))),"")</f>
        <v/>
      </c>
      <c r="O91" s="499" t="str">
        <f t="shared" si="10"/>
        <v/>
      </c>
      <c r="P91" s="505" t="str">
        <f>IF(B91="","",VLOOKUP(B91,'E-1 Off Site Hedge Baseline'!$B$10:T336,16,FALSE))</f>
        <v/>
      </c>
      <c r="Q91" s="498" t="str">
        <f>IF(M91="","",VLOOKUP(M91,'G-6 Hedgerow Data'!$B$2:$AG$15,2,FALSE))</f>
        <v/>
      </c>
      <c r="R91" s="499" t="str">
        <f>IF(M91="","",VLOOKUP(M91,'G-6 Hedgerow Data'!$B$2:$AG$15,3,FALSE))</f>
        <v/>
      </c>
      <c r="S91" s="145"/>
      <c r="T91" s="499" t="str">
        <f>IFERROR(IF(AND(Q91="V.Low",OR(S91="Good",S91="Moderate")),"Error ▲",VLOOKUP(S91,'G-1 All Habitats'!$Z$2:$AA$9,2,FALSE)),"")</f>
        <v/>
      </c>
      <c r="U91" s="145"/>
      <c r="V91" s="507" t="str">
        <f>IF(U91="","",IF(VLOOKUP(U91,'G-3 Multipliers'!$L$3:$N$6,2,FALSE)=0,"Spatial Data Missing ⚠",VLOOKUP(U91,'G-3 Multipliers'!$L$3:$N$6,2,FALSE)))</f>
        <v/>
      </c>
      <c r="W91" s="505" t="str">
        <f>IF(U91="","",IF(VLOOKUP(U91,'G-3 Multipliers'!$L$3:$N$6,3,FALSE)=0,"Spatial Data Missing ⚠",VLOOKUP(U91,'G-3 Multipliers'!$L$3:$N$6,3,FALSE)))</f>
        <v/>
      </c>
      <c r="X91" s="498"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7" t="str">
        <f t="shared" si="11"/>
        <v/>
      </c>
      <c r="AB91" s="521" t="str">
        <f t="shared" si="12"/>
        <v/>
      </c>
      <c r="AC91" s="522" t="str">
        <f t="shared" si="9"/>
        <v/>
      </c>
      <c r="AD91" s="537" t="str">
        <f>IF(M91="","",VLOOKUP(M91,'G-6 Hedgerow Data'!$B$3:$AG$15,31,FALSE))</f>
        <v/>
      </c>
      <c r="AE91" s="520" t="str">
        <f t="shared" si="13"/>
        <v/>
      </c>
      <c r="AF91" s="520" t="str">
        <f t="shared" si="14"/>
        <v/>
      </c>
      <c r="AG91" s="524" t="str">
        <f>IFERROR(IF(O91="","",VLOOKUP(AD91,'G-3 Multipliers'!$P$3:$Q$6,2,FALSE)),"")</f>
        <v/>
      </c>
      <c r="AH91" s="197"/>
      <c r="AI91" s="499" t="str">
        <f>IF(AH91="","",IF(VLOOKUP(AH91,'G-3 Multipliers'!$S$3:$T$6,2,FALSE)=0,"Spatial Data Missing ⚠",VLOOKUP(AH91,'G-3 Multipliers'!$S$3:$T$6,2,FALSE)))</f>
        <v/>
      </c>
      <c r="AJ91" s="545" t="str">
        <f t="shared" si="15"/>
        <v/>
      </c>
      <c r="AK91" s="149"/>
      <c r="AL91" s="150"/>
      <c r="AP91" s="31" t="str">
        <f>IFERROR(INDEX('G-6 Hedgerow Data'!$BJ$3:$BJ$15,MATCH(M91,'G-6 Hedgerow Data'!$B$3:$B$15,0)),"")</f>
        <v/>
      </c>
    </row>
    <row r="92" spans="2:42" ht="13.8" x14ac:dyDescent="0.25">
      <c r="B92" s="531" t="str">
        <f>'E-1 Off Site Hedge Baseline'!AK90</f>
        <v/>
      </c>
      <c r="C92" s="520" t="str">
        <f>IF(B92="","",IF(ISNA(VLOOKUP($B92,'E-1 Off Site Hedge Baseline'!$B$1:$L$257,3,FALSE)),"",(VLOOKUP($B92,'E-1 Off Site Hedge Baseline'!$B$1:$L$257,3,FALSE))))</f>
        <v/>
      </c>
      <c r="D92" s="520" t="str">
        <f>IF(B92="","",IF(ISNA(VLOOKUP($B92,'E-1 Off Site Hedge Baseline'!$B$1:$L$258,4,FALSE)),"",(VLOOKUP($B92,'E-1 Off Site Hedge Baseline'!$B$1:$L$258,4,FALSE))))</f>
        <v/>
      </c>
      <c r="E92" s="520" t="str">
        <f>IF(B92="","",IF(ISNA(VLOOKUP($B92,'E-1 Off Site Hedge Baseline'!$B$1:$L$257,5,FALSE)),"",(VLOOKUP($B92,'E-1 Off Site Hedge Baseline'!$B$1:$L$257,5,FALSE))))</f>
        <v/>
      </c>
      <c r="F92" s="520" t="str">
        <f>IF(B92="","",IF(ISNA(VLOOKUP($B92,'E-1 Off Site Hedge Baseline'!$B$1:$L$257,6,FALSE)),"",(VLOOKUP($B92,'E-1 Off Site Hedge Baseline'!$B$1:$L$257,6,FALSE))))</f>
        <v/>
      </c>
      <c r="G92" s="520" t="str">
        <f>IF(B92="","",IF(ISNA(VLOOKUP($B92,'E-1 Off Site Hedge Baseline'!$B$1:$L$257,7,FALSE)),"",(VLOOKUP($B92,'E-1 Off Site Hedge Baseline'!$B$1:$L$257,7,FALSE))))</f>
        <v/>
      </c>
      <c r="H92" s="520" t="str">
        <f>IF(B92="","",IF(ISNA(VLOOKUP($B92,'E-1 Off Site Hedge Baseline'!$B$1:$L$257,8,FALSE)),"",(VLOOKUP($B92,'E-1 Off Site Hedge Baseline'!$B$1:$L$257,8,FALSE))))</f>
        <v/>
      </c>
      <c r="I92" s="520" t="str">
        <f>IF(B92="","",IF(ISNA(VLOOKUP($B92,'E-1 Off Site Hedge Baseline'!$B$1:$L$257,10,FALSE)),"",(VLOOKUP($B92,'E-1 Off Site Hedge Baseline'!$B$1:$L$257,10,FALSE))))</f>
        <v/>
      </c>
      <c r="J92" s="520" t="str">
        <f>IF(B92="","",IF(ISNA(VLOOKUP($B92,'E-1 Off Site Hedge Baseline'!$B$1:$L$257,11,FALSE)),"",(VLOOKUP($B92,'E-1 Off Site Hedge Baseline'!$B$1:$L$257,11,FALSE))))</f>
        <v/>
      </c>
      <c r="K92" s="520" t="str">
        <f>IF(B92="","",IF(ISNA(VLOOKUP($B92,'E-1 Off Site Hedge Baseline'!$B$1:$U$257,113,FALSE)),"",(VLOOKUP($B92,'E-1 Off Site Hedge Baseline'!$B$1:$U$257,13,FALSE))))</f>
        <v/>
      </c>
      <c r="L92" s="507" t="str">
        <f>IF(B92="","",IF(ISNA(VLOOKUP($B92,'E-1 Off Site Hedge Baseline'!$B$1:$U$257,12,FALSE)),"",(VLOOKUP($B92,'E-1 Off Site Hedge Baseline'!$B$1:$U$257,12,FALSE))))</f>
        <v/>
      </c>
      <c r="M92" s="418" t="str">
        <f t="shared" si="16"/>
        <v/>
      </c>
      <c r="N92" s="498" t="str">
        <f>IFERROR(IF(B92="","",INDEX('G-6 Hedgerow Data'!$AN$3:$AZ$15,MATCH(C92,'G-6 Hedgerow Data'!$AM$3:$AM$15,0),MATCH(M92,'G-6 Hedgerow Data'!$AN$2:$AZ$2,0))),"")</f>
        <v/>
      </c>
      <c r="O92" s="499" t="str">
        <f t="shared" si="10"/>
        <v/>
      </c>
      <c r="P92" s="505" t="str">
        <f>IF(B92="","",VLOOKUP(B92,'E-1 Off Site Hedge Baseline'!$B$10:T337,16,FALSE))</f>
        <v/>
      </c>
      <c r="Q92" s="498" t="str">
        <f>IF(M92="","",VLOOKUP(M92,'G-6 Hedgerow Data'!$B$2:$AG$15,2,FALSE))</f>
        <v/>
      </c>
      <c r="R92" s="499" t="str">
        <f>IF(M92="","",VLOOKUP(M92,'G-6 Hedgerow Data'!$B$2:$AG$15,3,FALSE))</f>
        <v/>
      </c>
      <c r="S92" s="145"/>
      <c r="T92" s="499" t="str">
        <f>IFERROR(IF(AND(Q92="V.Low",OR(S92="Good",S92="Moderate")),"Error ▲",VLOOKUP(S92,'G-1 All Habitats'!$Z$2:$AA$9,2,FALSE)),"")</f>
        <v/>
      </c>
      <c r="U92" s="145"/>
      <c r="V92" s="507" t="str">
        <f>IF(U92="","",IF(VLOOKUP(U92,'G-3 Multipliers'!$L$3:$N$6,2,FALSE)=0,"Spatial Data Missing ⚠",VLOOKUP(U92,'G-3 Multipliers'!$L$3:$N$6,2,FALSE)))</f>
        <v/>
      </c>
      <c r="W92" s="505" t="str">
        <f>IF(U92="","",IF(VLOOKUP(U92,'G-3 Multipliers'!$L$3:$N$6,3,FALSE)=0,"Spatial Data Missing ⚠",VLOOKUP(U92,'G-3 Multipliers'!$L$3:$N$6,3,FALSE)))</f>
        <v/>
      </c>
      <c r="X92" s="498"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7" t="str">
        <f t="shared" si="11"/>
        <v/>
      </c>
      <c r="AB92" s="521" t="str">
        <f t="shared" si="12"/>
        <v/>
      </c>
      <c r="AC92" s="522" t="str">
        <f t="shared" si="9"/>
        <v/>
      </c>
      <c r="AD92" s="537" t="str">
        <f>IF(M92="","",VLOOKUP(M92,'G-6 Hedgerow Data'!$B$3:$AG$15,31,FALSE))</f>
        <v/>
      </c>
      <c r="AE92" s="520" t="str">
        <f t="shared" si="13"/>
        <v/>
      </c>
      <c r="AF92" s="520" t="str">
        <f t="shared" si="14"/>
        <v/>
      </c>
      <c r="AG92" s="524" t="str">
        <f>IFERROR(IF(O92="","",VLOOKUP(AD92,'G-3 Multipliers'!$P$3:$Q$6,2,FALSE)),"")</f>
        <v/>
      </c>
      <c r="AH92" s="197"/>
      <c r="AI92" s="499" t="str">
        <f>IF(AH92="","",IF(VLOOKUP(AH92,'G-3 Multipliers'!$S$3:$T$6,2,FALSE)=0,"Spatial Data Missing ⚠",VLOOKUP(AH92,'G-3 Multipliers'!$S$3:$T$6,2,FALSE)))</f>
        <v/>
      </c>
      <c r="AJ92" s="545" t="str">
        <f t="shared" si="15"/>
        <v/>
      </c>
      <c r="AK92" s="149"/>
      <c r="AL92" s="150"/>
      <c r="AP92" s="31" t="str">
        <f>IFERROR(INDEX('G-6 Hedgerow Data'!$BJ$3:$BJ$15,MATCH(M92,'G-6 Hedgerow Data'!$B$3:$B$15,0)),"")</f>
        <v/>
      </c>
    </row>
    <row r="93" spans="2:42" ht="13.8" x14ac:dyDescent="0.25">
      <c r="B93" s="531" t="str">
        <f>'E-1 Off Site Hedge Baseline'!AK91</f>
        <v/>
      </c>
      <c r="C93" s="520" t="str">
        <f>IF(B93="","",IF(ISNA(VLOOKUP($B93,'E-1 Off Site Hedge Baseline'!$B$1:$L$257,3,FALSE)),"",(VLOOKUP($B93,'E-1 Off Site Hedge Baseline'!$B$1:$L$257,3,FALSE))))</f>
        <v/>
      </c>
      <c r="D93" s="520" t="str">
        <f>IF(B93="","",IF(ISNA(VLOOKUP($B93,'E-1 Off Site Hedge Baseline'!$B$1:$L$258,4,FALSE)),"",(VLOOKUP($B93,'E-1 Off Site Hedge Baseline'!$B$1:$L$258,4,FALSE))))</f>
        <v/>
      </c>
      <c r="E93" s="520" t="str">
        <f>IF(B93="","",IF(ISNA(VLOOKUP($B93,'E-1 Off Site Hedge Baseline'!$B$1:$L$257,5,FALSE)),"",(VLOOKUP($B93,'E-1 Off Site Hedge Baseline'!$B$1:$L$257,5,FALSE))))</f>
        <v/>
      </c>
      <c r="F93" s="520" t="str">
        <f>IF(B93="","",IF(ISNA(VLOOKUP($B93,'E-1 Off Site Hedge Baseline'!$B$1:$L$257,6,FALSE)),"",(VLOOKUP($B93,'E-1 Off Site Hedge Baseline'!$B$1:$L$257,6,FALSE))))</f>
        <v/>
      </c>
      <c r="G93" s="520" t="str">
        <f>IF(B93="","",IF(ISNA(VLOOKUP($B93,'E-1 Off Site Hedge Baseline'!$B$1:$L$257,7,FALSE)),"",(VLOOKUP($B93,'E-1 Off Site Hedge Baseline'!$B$1:$L$257,7,FALSE))))</f>
        <v/>
      </c>
      <c r="H93" s="520" t="str">
        <f>IF(B93="","",IF(ISNA(VLOOKUP($B93,'E-1 Off Site Hedge Baseline'!$B$1:$L$257,8,FALSE)),"",(VLOOKUP($B93,'E-1 Off Site Hedge Baseline'!$B$1:$L$257,8,FALSE))))</f>
        <v/>
      </c>
      <c r="I93" s="520" t="str">
        <f>IF(B93="","",IF(ISNA(VLOOKUP($B93,'E-1 Off Site Hedge Baseline'!$B$1:$L$257,10,FALSE)),"",(VLOOKUP($B93,'E-1 Off Site Hedge Baseline'!$B$1:$L$257,10,FALSE))))</f>
        <v/>
      </c>
      <c r="J93" s="520" t="str">
        <f>IF(B93="","",IF(ISNA(VLOOKUP($B93,'E-1 Off Site Hedge Baseline'!$B$1:$L$257,11,FALSE)),"",(VLOOKUP($B93,'E-1 Off Site Hedge Baseline'!$B$1:$L$257,11,FALSE))))</f>
        <v/>
      </c>
      <c r="K93" s="520" t="str">
        <f>IF(B93="","",IF(ISNA(VLOOKUP($B93,'E-1 Off Site Hedge Baseline'!$B$1:$U$257,113,FALSE)),"",(VLOOKUP($B93,'E-1 Off Site Hedge Baseline'!$B$1:$U$257,13,FALSE))))</f>
        <v/>
      </c>
      <c r="L93" s="507" t="str">
        <f>IF(B93="","",IF(ISNA(VLOOKUP($B93,'E-1 Off Site Hedge Baseline'!$B$1:$U$257,12,FALSE)),"",(VLOOKUP($B93,'E-1 Off Site Hedge Baseline'!$B$1:$U$257,12,FALSE))))</f>
        <v/>
      </c>
      <c r="M93" s="418" t="str">
        <f t="shared" si="16"/>
        <v/>
      </c>
      <c r="N93" s="498" t="str">
        <f>IFERROR(IF(B93="","",INDEX('G-6 Hedgerow Data'!$AN$3:$AZ$15,MATCH(C93,'G-6 Hedgerow Data'!$AM$3:$AM$15,0),MATCH(M93,'G-6 Hedgerow Data'!$AN$2:$AZ$2,0))),"")</f>
        <v/>
      </c>
      <c r="O93" s="499" t="str">
        <f t="shared" si="10"/>
        <v/>
      </c>
      <c r="P93" s="505" t="str">
        <f>IF(B93="","",VLOOKUP(B93,'E-1 Off Site Hedge Baseline'!$B$10:T338,16,FALSE))</f>
        <v/>
      </c>
      <c r="Q93" s="498" t="str">
        <f>IF(M93="","",VLOOKUP(M93,'G-6 Hedgerow Data'!$B$2:$AG$15,2,FALSE))</f>
        <v/>
      </c>
      <c r="R93" s="499" t="str">
        <f>IF(M93="","",VLOOKUP(M93,'G-6 Hedgerow Data'!$B$2:$AG$15,3,FALSE))</f>
        <v/>
      </c>
      <c r="S93" s="145"/>
      <c r="T93" s="499" t="str">
        <f>IFERROR(IF(AND(Q93="V.Low",OR(S93="Good",S93="Moderate")),"Error ▲",VLOOKUP(S93,'G-1 All Habitats'!$Z$2:$AA$9,2,FALSE)),"")</f>
        <v/>
      </c>
      <c r="U93" s="145"/>
      <c r="V93" s="507" t="str">
        <f>IF(U93="","",IF(VLOOKUP(U93,'G-3 Multipliers'!$L$3:$N$6,2,FALSE)=0,"Spatial Data Missing ⚠",VLOOKUP(U93,'G-3 Multipliers'!$L$3:$N$6,2,FALSE)))</f>
        <v/>
      </c>
      <c r="W93" s="505" t="str">
        <f>IF(U93="","",IF(VLOOKUP(U93,'G-3 Multipliers'!$L$3:$N$6,3,FALSE)=0,"Spatial Data Missing ⚠",VLOOKUP(U93,'G-3 Multipliers'!$L$3:$N$6,3,FALSE)))</f>
        <v/>
      </c>
      <c r="X93" s="498"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7" t="str">
        <f t="shared" si="11"/>
        <v/>
      </c>
      <c r="AB93" s="521" t="str">
        <f t="shared" si="12"/>
        <v/>
      </c>
      <c r="AC93" s="522" t="str">
        <f t="shared" si="9"/>
        <v/>
      </c>
      <c r="AD93" s="537" t="str">
        <f>IF(M93="","",VLOOKUP(M93,'G-6 Hedgerow Data'!$B$3:$AG$15,31,FALSE))</f>
        <v/>
      </c>
      <c r="AE93" s="520" t="str">
        <f t="shared" si="13"/>
        <v/>
      </c>
      <c r="AF93" s="520" t="str">
        <f t="shared" si="14"/>
        <v/>
      </c>
      <c r="AG93" s="524" t="str">
        <f>IFERROR(IF(O93="","",VLOOKUP(AD93,'G-3 Multipliers'!$P$3:$Q$6,2,FALSE)),"")</f>
        <v/>
      </c>
      <c r="AH93" s="197"/>
      <c r="AI93" s="499" t="str">
        <f>IF(AH93="","",IF(VLOOKUP(AH93,'G-3 Multipliers'!$S$3:$T$6,2,FALSE)=0,"Spatial Data Missing ⚠",VLOOKUP(AH93,'G-3 Multipliers'!$S$3:$T$6,2,FALSE)))</f>
        <v/>
      </c>
      <c r="AJ93" s="545" t="str">
        <f t="shared" si="15"/>
        <v/>
      </c>
      <c r="AK93" s="149"/>
      <c r="AL93" s="150"/>
      <c r="AP93" s="31" t="str">
        <f>IFERROR(INDEX('G-6 Hedgerow Data'!$BJ$3:$BJ$15,MATCH(M93,'G-6 Hedgerow Data'!$B$3:$B$15,0)),"")</f>
        <v/>
      </c>
    </row>
    <row r="94" spans="2:42" ht="13.8" x14ac:dyDescent="0.25">
      <c r="B94" s="531" t="str">
        <f>'E-1 Off Site Hedge Baseline'!AK92</f>
        <v/>
      </c>
      <c r="C94" s="520" t="str">
        <f>IF(B94="","",IF(ISNA(VLOOKUP($B94,'E-1 Off Site Hedge Baseline'!$B$1:$L$257,3,FALSE)),"",(VLOOKUP($B94,'E-1 Off Site Hedge Baseline'!$B$1:$L$257,3,FALSE))))</f>
        <v/>
      </c>
      <c r="D94" s="520" t="str">
        <f>IF(B94="","",IF(ISNA(VLOOKUP($B94,'E-1 Off Site Hedge Baseline'!$B$1:$L$258,4,FALSE)),"",(VLOOKUP($B94,'E-1 Off Site Hedge Baseline'!$B$1:$L$258,4,FALSE))))</f>
        <v/>
      </c>
      <c r="E94" s="520" t="str">
        <f>IF(B94="","",IF(ISNA(VLOOKUP($B94,'E-1 Off Site Hedge Baseline'!$B$1:$L$257,5,FALSE)),"",(VLOOKUP($B94,'E-1 Off Site Hedge Baseline'!$B$1:$L$257,5,FALSE))))</f>
        <v/>
      </c>
      <c r="F94" s="520" t="str">
        <f>IF(B94="","",IF(ISNA(VLOOKUP($B94,'E-1 Off Site Hedge Baseline'!$B$1:$L$257,6,FALSE)),"",(VLOOKUP($B94,'E-1 Off Site Hedge Baseline'!$B$1:$L$257,6,FALSE))))</f>
        <v/>
      </c>
      <c r="G94" s="520" t="str">
        <f>IF(B94="","",IF(ISNA(VLOOKUP($B94,'E-1 Off Site Hedge Baseline'!$B$1:$L$257,7,FALSE)),"",(VLOOKUP($B94,'E-1 Off Site Hedge Baseline'!$B$1:$L$257,7,FALSE))))</f>
        <v/>
      </c>
      <c r="H94" s="520" t="str">
        <f>IF(B94="","",IF(ISNA(VLOOKUP($B94,'E-1 Off Site Hedge Baseline'!$B$1:$L$257,8,FALSE)),"",(VLOOKUP($B94,'E-1 Off Site Hedge Baseline'!$B$1:$L$257,8,FALSE))))</f>
        <v/>
      </c>
      <c r="I94" s="520" t="str">
        <f>IF(B94="","",IF(ISNA(VLOOKUP($B94,'E-1 Off Site Hedge Baseline'!$B$1:$L$257,10,FALSE)),"",(VLOOKUP($B94,'E-1 Off Site Hedge Baseline'!$B$1:$L$257,10,FALSE))))</f>
        <v/>
      </c>
      <c r="J94" s="520" t="str">
        <f>IF(B94="","",IF(ISNA(VLOOKUP($B94,'E-1 Off Site Hedge Baseline'!$B$1:$L$257,11,FALSE)),"",(VLOOKUP($B94,'E-1 Off Site Hedge Baseline'!$B$1:$L$257,11,FALSE))))</f>
        <v/>
      </c>
      <c r="K94" s="520" t="str">
        <f>IF(B94="","",IF(ISNA(VLOOKUP($B94,'E-1 Off Site Hedge Baseline'!$B$1:$U$257,113,FALSE)),"",(VLOOKUP($B94,'E-1 Off Site Hedge Baseline'!$B$1:$U$257,13,FALSE))))</f>
        <v/>
      </c>
      <c r="L94" s="507" t="str">
        <f>IF(B94="","",IF(ISNA(VLOOKUP($B94,'E-1 Off Site Hedge Baseline'!$B$1:$U$257,12,FALSE)),"",(VLOOKUP($B94,'E-1 Off Site Hedge Baseline'!$B$1:$U$257,12,FALSE))))</f>
        <v/>
      </c>
      <c r="M94" s="418" t="str">
        <f t="shared" si="16"/>
        <v/>
      </c>
      <c r="N94" s="498" t="str">
        <f>IFERROR(IF(B94="","",INDEX('G-6 Hedgerow Data'!$AN$3:$AZ$15,MATCH(C94,'G-6 Hedgerow Data'!$AM$3:$AM$15,0),MATCH(M94,'G-6 Hedgerow Data'!$AN$2:$AZ$2,0))),"")</f>
        <v/>
      </c>
      <c r="O94" s="499" t="str">
        <f t="shared" si="10"/>
        <v/>
      </c>
      <c r="P94" s="505" t="str">
        <f>IF(B94="","",VLOOKUP(B94,'E-1 Off Site Hedge Baseline'!$B$10:T339,16,FALSE))</f>
        <v/>
      </c>
      <c r="Q94" s="498" t="str">
        <f>IF(M94="","",VLOOKUP(M94,'G-6 Hedgerow Data'!$B$2:$AG$15,2,FALSE))</f>
        <v/>
      </c>
      <c r="R94" s="499" t="str">
        <f>IF(M94="","",VLOOKUP(M94,'G-6 Hedgerow Data'!$B$2:$AG$15,3,FALSE))</f>
        <v/>
      </c>
      <c r="S94" s="145"/>
      <c r="T94" s="499" t="str">
        <f>IFERROR(IF(AND(Q94="V.Low",OR(S94="Good",S94="Moderate")),"Error ▲",VLOOKUP(S94,'G-1 All Habitats'!$Z$2:$AA$9,2,FALSE)),"")</f>
        <v/>
      </c>
      <c r="U94" s="145"/>
      <c r="V94" s="507" t="str">
        <f>IF(U94="","",IF(VLOOKUP(U94,'G-3 Multipliers'!$L$3:$N$6,2,FALSE)=0,"Spatial Data Missing ⚠",VLOOKUP(U94,'G-3 Multipliers'!$L$3:$N$6,2,FALSE)))</f>
        <v/>
      </c>
      <c r="W94" s="505" t="str">
        <f>IF(U94="","",IF(VLOOKUP(U94,'G-3 Multipliers'!$L$3:$N$6,3,FALSE)=0,"Spatial Data Missing ⚠",VLOOKUP(U94,'G-3 Multipliers'!$L$3:$N$6,3,FALSE)))</f>
        <v/>
      </c>
      <c r="X94" s="498"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7" t="str">
        <f t="shared" si="11"/>
        <v/>
      </c>
      <c r="AB94" s="521" t="str">
        <f t="shared" si="12"/>
        <v/>
      </c>
      <c r="AC94" s="522" t="str">
        <f t="shared" si="9"/>
        <v/>
      </c>
      <c r="AD94" s="537" t="str">
        <f>IF(M94="","",VLOOKUP(M94,'G-6 Hedgerow Data'!$B$3:$AG$15,31,FALSE))</f>
        <v/>
      </c>
      <c r="AE94" s="520" t="str">
        <f t="shared" si="13"/>
        <v/>
      </c>
      <c r="AF94" s="520" t="str">
        <f t="shared" si="14"/>
        <v/>
      </c>
      <c r="AG94" s="524" t="str">
        <f>IFERROR(IF(O94="","",VLOOKUP(AD94,'G-3 Multipliers'!$P$3:$Q$6,2,FALSE)),"")</f>
        <v/>
      </c>
      <c r="AH94" s="197"/>
      <c r="AI94" s="499" t="str">
        <f>IF(AH94="","",IF(VLOOKUP(AH94,'G-3 Multipliers'!$S$3:$T$6,2,FALSE)=0,"Spatial Data Missing ⚠",VLOOKUP(AH94,'G-3 Multipliers'!$S$3:$T$6,2,FALSE)))</f>
        <v/>
      </c>
      <c r="AJ94" s="545" t="str">
        <f t="shared" si="15"/>
        <v/>
      </c>
      <c r="AK94" s="149"/>
      <c r="AL94" s="150"/>
      <c r="AP94" s="31" t="str">
        <f>IFERROR(INDEX('G-6 Hedgerow Data'!$BJ$3:$BJ$15,MATCH(M94,'G-6 Hedgerow Data'!$B$3:$B$15,0)),"")</f>
        <v/>
      </c>
    </row>
    <row r="95" spans="2:42" ht="13.8" x14ac:dyDescent="0.25">
      <c r="B95" s="531" t="str">
        <f>'E-1 Off Site Hedge Baseline'!AK93</f>
        <v/>
      </c>
      <c r="C95" s="520" t="str">
        <f>IF(B95="","",IF(ISNA(VLOOKUP($B95,'E-1 Off Site Hedge Baseline'!$B$1:$L$257,3,FALSE)),"",(VLOOKUP($B95,'E-1 Off Site Hedge Baseline'!$B$1:$L$257,3,FALSE))))</f>
        <v/>
      </c>
      <c r="D95" s="520" t="str">
        <f>IF(B95="","",IF(ISNA(VLOOKUP($B95,'E-1 Off Site Hedge Baseline'!$B$1:$L$258,4,FALSE)),"",(VLOOKUP($B95,'E-1 Off Site Hedge Baseline'!$B$1:$L$258,4,FALSE))))</f>
        <v/>
      </c>
      <c r="E95" s="520" t="str">
        <f>IF(B95="","",IF(ISNA(VLOOKUP($B95,'E-1 Off Site Hedge Baseline'!$B$1:$L$257,5,FALSE)),"",(VLOOKUP($B95,'E-1 Off Site Hedge Baseline'!$B$1:$L$257,5,FALSE))))</f>
        <v/>
      </c>
      <c r="F95" s="520" t="str">
        <f>IF(B95="","",IF(ISNA(VLOOKUP($B95,'E-1 Off Site Hedge Baseline'!$B$1:$L$257,6,FALSE)),"",(VLOOKUP($B95,'E-1 Off Site Hedge Baseline'!$B$1:$L$257,6,FALSE))))</f>
        <v/>
      </c>
      <c r="G95" s="520" t="str">
        <f>IF(B95="","",IF(ISNA(VLOOKUP($B95,'E-1 Off Site Hedge Baseline'!$B$1:$L$257,7,FALSE)),"",(VLOOKUP($B95,'E-1 Off Site Hedge Baseline'!$B$1:$L$257,7,FALSE))))</f>
        <v/>
      </c>
      <c r="H95" s="520" t="str">
        <f>IF(B95="","",IF(ISNA(VLOOKUP($B95,'E-1 Off Site Hedge Baseline'!$B$1:$L$257,8,FALSE)),"",(VLOOKUP($B95,'E-1 Off Site Hedge Baseline'!$B$1:$L$257,8,FALSE))))</f>
        <v/>
      </c>
      <c r="I95" s="520" t="str">
        <f>IF(B95="","",IF(ISNA(VLOOKUP($B95,'E-1 Off Site Hedge Baseline'!$B$1:$L$257,10,FALSE)),"",(VLOOKUP($B95,'E-1 Off Site Hedge Baseline'!$B$1:$L$257,10,FALSE))))</f>
        <v/>
      </c>
      <c r="J95" s="520" t="str">
        <f>IF(B95="","",IF(ISNA(VLOOKUP($B95,'E-1 Off Site Hedge Baseline'!$B$1:$L$257,11,FALSE)),"",(VLOOKUP($B95,'E-1 Off Site Hedge Baseline'!$B$1:$L$257,11,FALSE))))</f>
        <v/>
      </c>
      <c r="K95" s="520" t="str">
        <f>IF(B95="","",IF(ISNA(VLOOKUP($B95,'E-1 Off Site Hedge Baseline'!$B$1:$U$257,113,FALSE)),"",(VLOOKUP($B95,'E-1 Off Site Hedge Baseline'!$B$1:$U$257,13,FALSE))))</f>
        <v/>
      </c>
      <c r="L95" s="507" t="str">
        <f>IF(B95="","",IF(ISNA(VLOOKUP($B95,'E-1 Off Site Hedge Baseline'!$B$1:$U$257,12,FALSE)),"",(VLOOKUP($B95,'E-1 Off Site Hedge Baseline'!$B$1:$U$257,12,FALSE))))</f>
        <v/>
      </c>
      <c r="M95" s="418" t="str">
        <f t="shared" si="16"/>
        <v/>
      </c>
      <c r="N95" s="498" t="str">
        <f>IFERROR(IF(B95="","",INDEX('G-6 Hedgerow Data'!$AN$3:$AZ$15,MATCH(C95,'G-6 Hedgerow Data'!$AM$3:$AM$15,0),MATCH(M95,'G-6 Hedgerow Data'!$AN$2:$AZ$2,0))),"")</f>
        <v/>
      </c>
      <c r="O95" s="499" t="str">
        <f t="shared" si="10"/>
        <v/>
      </c>
      <c r="P95" s="505" t="str">
        <f>IF(B95="","",VLOOKUP(B95,'E-1 Off Site Hedge Baseline'!$B$10:T340,16,FALSE))</f>
        <v/>
      </c>
      <c r="Q95" s="498" t="str">
        <f>IF(M95="","",VLOOKUP(M95,'G-6 Hedgerow Data'!$B$2:$AG$15,2,FALSE))</f>
        <v/>
      </c>
      <c r="R95" s="499" t="str">
        <f>IF(M95="","",VLOOKUP(M95,'G-6 Hedgerow Data'!$B$2:$AG$15,3,FALSE))</f>
        <v/>
      </c>
      <c r="S95" s="145"/>
      <c r="T95" s="499" t="str">
        <f>IFERROR(IF(AND(Q95="V.Low",OR(S95="Good",S95="Moderate")),"Error ▲",VLOOKUP(S95,'G-1 All Habitats'!$Z$2:$AA$9,2,FALSE)),"")</f>
        <v/>
      </c>
      <c r="U95" s="145"/>
      <c r="V95" s="507" t="str">
        <f>IF(U95="","",IF(VLOOKUP(U95,'G-3 Multipliers'!$L$3:$N$6,2,FALSE)=0,"Spatial Data Missing ⚠",VLOOKUP(U95,'G-3 Multipliers'!$L$3:$N$6,2,FALSE)))</f>
        <v/>
      </c>
      <c r="W95" s="505" t="str">
        <f>IF(U95="","",IF(VLOOKUP(U95,'G-3 Multipliers'!$L$3:$N$6,3,FALSE)=0,"Spatial Data Missing ⚠",VLOOKUP(U95,'G-3 Multipliers'!$L$3:$N$6,3,FALSE)))</f>
        <v/>
      </c>
      <c r="X95" s="498"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7" t="str">
        <f t="shared" si="11"/>
        <v/>
      </c>
      <c r="AB95" s="521" t="str">
        <f t="shared" si="12"/>
        <v/>
      </c>
      <c r="AC95" s="522" t="str">
        <f t="shared" si="9"/>
        <v/>
      </c>
      <c r="AD95" s="537" t="str">
        <f>IF(M95="","",VLOOKUP(M95,'G-6 Hedgerow Data'!$B$3:$AG$15,31,FALSE))</f>
        <v/>
      </c>
      <c r="AE95" s="520" t="str">
        <f t="shared" si="13"/>
        <v/>
      </c>
      <c r="AF95" s="520" t="str">
        <f t="shared" si="14"/>
        <v/>
      </c>
      <c r="AG95" s="524" t="str">
        <f>IFERROR(IF(O95="","",VLOOKUP(AD95,'G-3 Multipliers'!$P$3:$Q$6,2,FALSE)),"")</f>
        <v/>
      </c>
      <c r="AH95" s="197"/>
      <c r="AI95" s="499" t="str">
        <f>IF(AH95="","",IF(VLOOKUP(AH95,'G-3 Multipliers'!$S$3:$T$6,2,FALSE)=0,"Spatial Data Missing ⚠",VLOOKUP(AH95,'G-3 Multipliers'!$S$3:$T$6,2,FALSE)))</f>
        <v/>
      </c>
      <c r="AJ95" s="545" t="str">
        <f t="shared" si="15"/>
        <v/>
      </c>
      <c r="AK95" s="149"/>
      <c r="AL95" s="150"/>
      <c r="AP95" s="31" t="str">
        <f>IFERROR(INDEX('G-6 Hedgerow Data'!$BJ$3:$BJ$15,MATCH(M95,'G-6 Hedgerow Data'!$B$3:$B$15,0)),"")</f>
        <v/>
      </c>
    </row>
    <row r="96" spans="2:42" ht="13.8" x14ac:dyDescent="0.25">
      <c r="B96" s="531" t="str">
        <f>'E-1 Off Site Hedge Baseline'!AK94</f>
        <v/>
      </c>
      <c r="C96" s="520" t="str">
        <f>IF(B96="","",IF(ISNA(VLOOKUP($B96,'E-1 Off Site Hedge Baseline'!$B$1:$L$257,3,FALSE)),"",(VLOOKUP($B96,'E-1 Off Site Hedge Baseline'!$B$1:$L$257,3,FALSE))))</f>
        <v/>
      </c>
      <c r="D96" s="520" t="str">
        <f>IF(B96="","",IF(ISNA(VLOOKUP($B96,'E-1 Off Site Hedge Baseline'!$B$1:$L$258,4,FALSE)),"",(VLOOKUP($B96,'E-1 Off Site Hedge Baseline'!$B$1:$L$258,4,FALSE))))</f>
        <v/>
      </c>
      <c r="E96" s="520" t="str">
        <f>IF(B96="","",IF(ISNA(VLOOKUP($B96,'E-1 Off Site Hedge Baseline'!$B$1:$L$257,5,FALSE)),"",(VLOOKUP($B96,'E-1 Off Site Hedge Baseline'!$B$1:$L$257,5,FALSE))))</f>
        <v/>
      </c>
      <c r="F96" s="520" t="str">
        <f>IF(B96="","",IF(ISNA(VLOOKUP($B96,'E-1 Off Site Hedge Baseline'!$B$1:$L$257,6,FALSE)),"",(VLOOKUP($B96,'E-1 Off Site Hedge Baseline'!$B$1:$L$257,6,FALSE))))</f>
        <v/>
      </c>
      <c r="G96" s="520" t="str">
        <f>IF(B96="","",IF(ISNA(VLOOKUP($B96,'E-1 Off Site Hedge Baseline'!$B$1:$L$257,7,FALSE)),"",(VLOOKUP($B96,'E-1 Off Site Hedge Baseline'!$B$1:$L$257,7,FALSE))))</f>
        <v/>
      </c>
      <c r="H96" s="520" t="str">
        <f>IF(B96="","",IF(ISNA(VLOOKUP($B96,'E-1 Off Site Hedge Baseline'!$B$1:$L$257,8,FALSE)),"",(VLOOKUP($B96,'E-1 Off Site Hedge Baseline'!$B$1:$L$257,8,FALSE))))</f>
        <v/>
      </c>
      <c r="I96" s="520" t="str">
        <f>IF(B96="","",IF(ISNA(VLOOKUP($B96,'E-1 Off Site Hedge Baseline'!$B$1:$L$257,10,FALSE)),"",(VLOOKUP($B96,'E-1 Off Site Hedge Baseline'!$B$1:$L$257,10,FALSE))))</f>
        <v/>
      </c>
      <c r="J96" s="520" t="str">
        <f>IF(B96="","",IF(ISNA(VLOOKUP($B96,'E-1 Off Site Hedge Baseline'!$B$1:$L$257,11,FALSE)),"",(VLOOKUP($B96,'E-1 Off Site Hedge Baseline'!$B$1:$L$257,11,FALSE))))</f>
        <v/>
      </c>
      <c r="K96" s="520" t="str">
        <f>IF(B96="","",IF(ISNA(VLOOKUP($B96,'E-1 Off Site Hedge Baseline'!$B$1:$U$257,113,FALSE)),"",(VLOOKUP($B96,'E-1 Off Site Hedge Baseline'!$B$1:$U$257,13,FALSE))))</f>
        <v/>
      </c>
      <c r="L96" s="507" t="str">
        <f>IF(B96="","",IF(ISNA(VLOOKUP($B96,'E-1 Off Site Hedge Baseline'!$B$1:$U$257,12,FALSE)),"",(VLOOKUP($B96,'E-1 Off Site Hedge Baseline'!$B$1:$U$257,12,FALSE))))</f>
        <v/>
      </c>
      <c r="M96" s="418" t="str">
        <f t="shared" si="16"/>
        <v/>
      </c>
      <c r="N96" s="498" t="str">
        <f>IFERROR(IF(B96="","",INDEX('G-6 Hedgerow Data'!$AN$3:$AZ$15,MATCH(C96,'G-6 Hedgerow Data'!$AM$3:$AM$15,0),MATCH(M96,'G-6 Hedgerow Data'!$AN$2:$AZ$2,0))),"")</f>
        <v/>
      </c>
      <c r="O96" s="499" t="str">
        <f t="shared" si="10"/>
        <v/>
      </c>
      <c r="P96" s="505" t="str">
        <f>IF(B96="","",VLOOKUP(B96,'E-1 Off Site Hedge Baseline'!$B$10:T341,16,FALSE))</f>
        <v/>
      </c>
      <c r="Q96" s="498" t="str">
        <f>IF(M96="","",VLOOKUP(M96,'G-6 Hedgerow Data'!$B$2:$AG$15,2,FALSE))</f>
        <v/>
      </c>
      <c r="R96" s="499" t="str">
        <f>IF(M96="","",VLOOKUP(M96,'G-6 Hedgerow Data'!$B$2:$AG$15,3,FALSE))</f>
        <v/>
      </c>
      <c r="S96" s="145"/>
      <c r="T96" s="499" t="str">
        <f>IFERROR(IF(AND(Q96="V.Low",OR(S96="Good",S96="Moderate")),"Error ▲",VLOOKUP(S96,'G-1 All Habitats'!$Z$2:$AA$9,2,FALSE)),"")</f>
        <v/>
      </c>
      <c r="U96" s="145"/>
      <c r="V96" s="507" t="str">
        <f>IF(U96="","",IF(VLOOKUP(U96,'G-3 Multipliers'!$L$3:$N$6,2,FALSE)=0,"Spatial Data Missing ⚠",VLOOKUP(U96,'G-3 Multipliers'!$L$3:$N$6,2,FALSE)))</f>
        <v/>
      </c>
      <c r="W96" s="505" t="str">
        <f>IF(U96="","",IF(VLOOKUP(U96,'G-3 Multipliers'!$L$3:$N$6,3,FALSE)=0,"Spatial Data Missing ⚠",VLOOKUP(U96,'G-3 Multipliers'!$L$3:$N$6,3,FALSE)))</f>
        <v/>
      </c>
      <c r="X96" s="498"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7" t="str">
        <f t="shared" si="11"/>
        <v/>
      </c>
      <c r="AB96" s="521" t="str">
        <f t="shared" si="12"/>
        <v/>
      </c>
      <c r="AC96" s="522" t="str">
        <f t="shared" si="9"/>
        <v/>
      </c>
      <c r="AD96" s="537" t="str">
        <f>IF(M96="","",VLOOKUP(M96,'G-6 Hedgerow Data'!$B$3:$AG$15,31,FALSE))</f>
        <v/>
      </c>
      <c r="AE96" s="520" t="str">
        <f t="shared" si="13"/>
        <v/>
      </c>
      <c r="AF96" s="520" t="str">
        <f t="shared" si="14"/>
        <v/>
      </c>
      <c r="AG96" s="524" t="str">
        <f>IFERROR(IF(O96="","",VLOOKUP(AD96,'G-3 Multipliers'!$P$3:$Q$6,2,FALSE)),"")</f>
        <v/>
      </c>
      <c r="AH96" s="197"/>
      <c r="AI96" s="499" t="str">
        <f>IF(AH96="","",IF(VLOOKUP(AH96,'G-3 Multipliers'!$S$3:$T$6,2,FALSE)=0,"Spatial Data Missing ⚠",VLOOKUP(AH96,'G-3 Multipliers'!$S$3:$T$6,2,FALSE)))</f>
        <v/>
      </c>
      <c r="AJ96" s="545" t="str">
        <f t="shared" si="15"/>
        <v/>
      </c>
      <c r="AK96" s="149"/>
      <c r="AL96" s="150"/>
      <c r="AP96" s="31" t="str">
        <f>IFERROR(INDEX('G-6 Hedgerow Data'!$BJ$3:$BJ$15,MATCH(M96,'G-6 Hedgerow Data'!$B$3:$B$15,0)),"")</f>
        <v/>
      </c>
    </row>
    <row r="97" spans="2:42" ht="13.8" x14ac:dyDescent="0.25">
      <c r="B97" s="531" t="str">
        <f>'E-1 Off Site Hedge Baseline'!AK95</f>
        <v/>
      </c>
      <c r="C97" s="520" t="str">
        <f>IF(B97="","",IF(ISNA(VLOOKUP($B97,'E-1 Off Site Hedge Baseline'!$B$1:$L$257,3,FALSE)),"",(VLOOKUP($B97,'E-1 Off Site Hedge Baseline'!$B$1:$L$257,3,FALSE))))</f>
        <v/>
      </c>
      <c r="D97" s="520" t="str">
        <f>IF(B97="","",IF(ISNA(VLOOKUP($B97,'E-1 Off Site Hedge Baseline'!$B$1:$L$258,4,FALSE)),"",(VLOOKUP($B97,'E-1 Off Site Hedge Baseline'!$B$1:$L$258,4,FALSE))))</f>
        <v/>
      </c>
      <c r="E97" s="520" t="str">
        <f>IF(B97="","",IF(ISNA(VLOOKUP($B97,'E-1 Off Site Hedge Baseline'!$B$1:$L$257,5,FALSE)),"",(VLOOKUP($B97,'E-1 Off Site Hedge Baseline'!$B$1:$L$257,5,FALSE))))</f>
        <v/>
      </c>
      <c r="F97" s="520" t="str">
        <f>IF(B97="","",IF(ISNA(VLOOKUP($B97,'E-1 Off Site Hedge Baseline'!$B$1:$L$257,6,FALSE)),"",(VLOOKUP($B97,'E-1 Off Site Hedge Baseline'!$B$1:$L$257,6,FALSE))))</f>
        <v/>
      </c>
      <c r="G97" s="520" t="str">
        <f>IF(B97="","",IF(ISNA(VLOOKUP($B97,'E-1 Off Site Hedge Baseline'!$B$1:$L$257,7,FALSE)),"",(VLOOKUP($B97,'E-1 Off Site Hedge Baseline'!$B$1:$L$257,7,FALSE))))</f>
        <v/>
      </c>
      <c r="H97" s="520" t="str">
        <f>IF(B97="","",IF(ISNA(VLOOKUP($B97,'E-1 Off Site Hedge Baseline'!$B$1:$L$257,8,FALSE)),"",(VLOOKUP($B97,'E-1 Off Site Hedge Baseline'!$B$1:$L$257,8,FALSE))))</f>
        <v/>
      </c>
      <c r="I97" s="520" t="str">
        <f>IF(B97="","",IF(ISNA(VLOOKUP($B97,'E-1 Off Site Hedge Baseline'!$B$1:$L$257,10,FALSE)),"",(VLOOKUP($B97,'E-1 Off Site Hedge Baseline'!$B$1:$L$257,10,FALSE))))</f>
        <v/>
      </c>
      <c r="J97" s="520" t="str">
        <f>IF(B97="","",IF(ISNA(VLOOKUP($B97,'E-1 Off Site Hedge Baseline'!$B$1:$L$257,11,FALSE)),"",(VLOOKUP($B97,'E-1 Off Site Hedge Baseline'!$B$1:$L$257,11,FALSE))))</f>
        <v/>
      </c>
      <c r="K97" s="520" t="str">
        <f>IF(B97="","",IF(ISNA(VLOOKUP($B97,'E-1 Off Site Hedge Baseline'!$B$1:$U$257,113,FALSE)),"",(VLOOKUP($B97,'E-1 Off Site Hedge Baseline'!$B$1:$U$257,13,FALSE))))</f>
        <v/>
      </c>
      <c r="L97" s="507" t="str">
        <f>IF(B97="","",IF(ISNA(VLOOKUP($B97,'E-1 Off Site Hedge Baseline'!$B$1:$U$257,12,FALSE)),"",(VLOOKUP($B97,'E-1 Off Site Hedge Baseline'!$B$1:$U$257,12,FALSE))))</f>
        <v/>
      </c>
      <c r="M97" s="418" t="str">
        <f t="shared" si="16"/>
        <v/>
      </c>
      <c r="N97" s="498" t="str">
        <f>IFERROR(IF(B97="","",INDEX('G-6 Hedgerow Data'!$AN$3:$AZ$15,MATCH(C97,'G-6 Hedgerow Data'!$AM$3:$AM$15,0),MATCH(M97,'G-6 Hedgerow Data'!$AN$2:$AZ$2,0))),"")</f>
        <v/>
      </c>
      <c r="O97" s="499" t="str">
        <f t="shared" si="10"/>
        <v/>
      </c>
      <c r="P97" s="505" t="str">
        <f>IF(B97="","",VLOOKUP(B97,'E-1 Off Site Hedge Baseline'!$B$10:T342,16,FALSE))</f>
        <v/>
      </c>
      <c r="Q97" s="498" t="str">
        <f>IF(M97="","",VLOOKUP(M97,'G-6 Hedgerow Data'!$B$2:$AG$15,2,FALSE))</f>
        <v/>
      </c>
      <c r="R97" s="499" t="str">
        <f>IF(M97="","",VLOOKUP(M97,'G-6 Hedgerow Data'!$B$2:$AG$15,3,FALSE))</f>
        <v/>
      </c>
      <c r="S97" s="145"/>
      <c r="T97" s="499" t="str">
        <f>IFERROR(IF(AND(Q97="V.Low",OR(S97="Good",S97="Moderate")),"Error ▲",VLOOKUP(S97,'G-1 All Habitats'!$Z$2:$AA$9,2,FALSE)),"")</f>
        <v/>
      </c>
      <c r="U97" s="145"/>
      <c r="V97" s="507" t="str">
        <f>IF(U97="","",IF(VLOOKUP(U97,'G-3 Multipliers'!$L$3:$N$6,2,FALSE)=0,"Spatial Data Missing ⚠",VLOOKUP(U97,'G-3 Multipliers'!$L$3:$N$6,2,FALSE)))</f>
        <v/>
      </c>
      <c r="W97" s="505" t="str">
        <f>IF(U97="","",IF(VLOOKUP(U97,'G-3 Multipliers'!$L$3:$N$6,3,FALSE)=0,"Spatial Data Missing ⚠",VLOOKUP(U97,'G-3 Multipliers'!$L$3:$N$6,3,FALSE)))</f>
        <v/>
      </c>
      <c r="X97" s="498"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7" t="str">
        <f t="shared" si="11"/>
        <v/>
      </c>
      <c r="AB97" s="521" t="str">
        <f t="shared" si="12"/>
        <v/>
      </c>
      <c r="AC97" s="522" t="str">
        <f t="shared" si="9"/>
        <v/>
      </c>
      <c r="AD97" s="537" t="str">
        <f>IF(M97="","",VLOOKUP(M97,'G-6 Hedgerow Data'!$B$3:$AG$15,31,FALSE))</f>
        <v/>
      </c>
      <c r="AE97" s="520" t="str">
        <f t="shared" si="13"/>
        <v/>
      </c>
      <c r="AF97" s="520" t="str">
        <f t="shared" si="14"/>
        <v/>
      </c>
      <c r="AG97" s="524" t="str">
        <f>IFERROR(IF(O97="","",VLOOKUP(AD97,'G-3 Multipliers'!$P$3:$Q$6,2,FALSE)),"")</f>
        <v/>
      </c>
      <c r="AH97" s="197"/>
      <c r="AI97" s="499" t="str">
        <f>IF(AH97="","",IF(VLOOKUP(AH97,'G-3 Multipliers'!$S$3:$T$6,2,FALSE)=0,"Spatial Data Missing ⚠",VLOOKUP(AH97,'G-3 Multipliers'!$S$3:$T$6,2,FALSE)))</f>
        <v/>
      </c>
      <c r="AJ97" s="545" t="str">
        <f t="shared" si="15"/>
        <v/>
      </c>
      <c r="AK97" s="149"/>
      <c r="AL97" s="150"/>
      <c r="AP97" s="31" t="str">
        <f>IFERROR(INDEX('G-6 Hedgerow Data'!$BJ$3:$BJ$15,MATCH(M97,'G-6 Hedgerow Data'!$B$3:$B$15,0)),"")</f>
        <v/>
      </c>
    </row>
    <row r="98" spans="2:42" ht="13.8" x14ac:dyDescent="0.25">
      <c r="B98" s="531" t="str">
        <f>'E-1 Off Site Hedge Baseline'!AK96</f>
        <v/>
      </c>
      <c r="C98" s="520" t="str">
        <f>IF(B98="","",IF(ISNA(VLOOKUP($B98,'E-1 Off Site Hedge Baseline'!$B$1:$L$257,3,FALSE)),"",(VLOOKUP($B98,'E-1 Off Site Hedge Baseline'!$B$1:$L$257,3,FALSE))))</f>
        <v/>
      </c>
      <c r="D98" s="520" t="str">
        <f>IF(B98="","",IF(ISNA(VLOOKUP($B98,'E-1 Off Site Hedge Baseline'!$B$1:$L$258,4,FALSE)),"",(VLOOKUP($B98,'E-1 Off Site Hedge Baseline'!$B$1:$L$258,4,FALSE))))</f>
        <v/>
      </c>
      <c r="E98" s="520" t="str">
        <f>IF(B98="","",IF(ISNA(VLOOKUP($B98,'E-1 Off Site Hedge Baseline'!$B$1:$L$257,5,FALSE)),"",(VLOOKUP($B98,'E-1 Off Site Hedge Baseline'!$B$1:$L$257,5,FALSE))))</f>
        <v/>
      </c>
      <c r="F98" s="520" t="str">
        <f>IF(B98="","",IF(ISNA(VLOOKUP($B98,'E-1 Off Site Hedge Baseline'!$B$1:$L$257,6,FALSE)),"",(VLOOKUP($B98,'E-1 Off Site Hedge Baseline'!$B$1:$L$257,6,FALSE))))</f>
        <v/>
      </c>
      <c r="G98" s="520" t="str">
        <f>IF(B98="","",IF(ISNA(VLOOKUP($B98,'E-1 Off Site Hedge Baseline'!$B$1:$L$257,7,FALSE)),"",(VLOOKUP($B98,'E-1 Off Site Hedge Baseline'!$B$1:$L$257,7,FALSE))))</f>
        <v/>
      </c>
      <c r="H98" s="520" t="str">
        <f>IF(B98="","",IF(ISNA(VLOOKUP($B98,'E-1 Off Site Hedge Baseline'!$B$1:$L$257,8,FALSE)),"",(VLOOKUP($B98,'E-1 Off Site Hedge Baseline'!$B$1:$L$257,8,FALSE))))</f>
        <v/>
      </c>
      <c r="I98" s="520" t="str">
        <f>IF(B98="","",IF(ISNA(VLOOKUP($B98,'E-1 Off Site Hedge Baseline'!$B$1:$L$257,10,FALSE)),"",(VLOOKUP($B98,'E-1 Off Site Hedge Baseline'!$B$1:$L$257,10,FALSE))))</f>
        <v/>
      </c>
      <c r="J98" s="520" t="str">
        <f>IF(B98="","",IF(ISNA(VLOOKUP($B98,'E-1 Off Site Hedge Baseline'!$B$1:$L$257,11,FALSE)),"",(VLOOKUP($B98,'E-1 Off Site Hedge Baseline'!$B$1:$L$257,11,FALSE))))</f>
        <v/>
      </c>
      <c r="K98" s="520" t="str">
        <f>IF(B98="","",IF(ISNA(VLOOKUP($B98,'E-1 Off Site Hedge Baseline'!$B$1:$U$257,113,FALSE)),"",(VLOOKUP($B98,'E-1 Off Site Hedge Baseline'!$B$1:$U$257,13,FALSE))))</f>
        <v/>
      </c>
      <c r="L98" s="507" t="str">
        <f>IF(B98="","",IF(ISNA(VLOOKUP($B98,'E-1 Off Site Hedge Baseline'!$B$1:$U$257,12,FALSE)),"",(VLOOKUP($B98,'E-1 Off Site Hedge Baseline'!$B$1:$U$257,12,FALSE))))</f>
        <v/>
      </c>
      <c r="M98" s="418" t="str">
        <f t="shared" si="16"/>
        <v/>
      </c>
      <c r="N98" s="498" t="str">
        <f>IFERROR(IF(B98="","",INDEX('G-6 Hedgerow Data'!$AN$3:$AZ$15,MATCH(C98,'G-6 Hedgerow Data'!$AM$3:$AM$15,0),MATCH(M98,'G-6 Hedgerow Data'!$AN$2:$AZ$2,0))),"")</f>
        <v/>
      </c>
      <c r="O98" s="499" t="str">
        <f t="shared" si="10"/>
        <v/>
      </c>
      <c r="P98" s="505" t="str">
        <f>IF(B98="","",VLOOKUP(B98,'E-1 Off Site Hedge Baseline'!$B$10:T343,16,FALSE))</f>
        <v/>
      </c>
      <c r="Q98" s="498" t="str">
        <f>IF(M98="","",VLOOKUP(M98,'G-6 Hedgerow Data'!$B$2:$AG$15,2,FALSE))</f>
        <v/>
      </c>
      <c r="R98" s="499" t="str">
        <f>IF(M98="","",VLOOKUP(M98,'G-6 Hedgerow Data'!$B$2:$AG$15,3,FALSE))</f>
        <v/>
      </c>
      <c r="S98" s="145"/>
      <c r="T98" s="499" t="str">
        <f>IFERROR(IF(AND(Q98="V.Low",OR(S98="Good",S98="Moderate")),"Error ▲",VLOOKUP(S98,'G-1 All Habitats'!$Z$2:$AA$9,2,FALSE)),"")</f>
        <v/>
      </c>
      <c r="U98" s="145"/>
      <c r="V98" s="507" t="str">
        <f>IF(U98="","",IF(VLOOKUP(U98,'G-3 Multipliers'!$L$3:$N$6,2,FALSE)=0,"Spatial Data Missing ⚠",VLOOKUP(U98,'G-3 Multipliers'!$L$3:$N$6,2,FALSE)))</f>
        <v/>
      </c>
      <c r="W98" s="505" t="str">
        <f>IF(U98="","",IF(VLOOKUP(U98,'G-3 Multipliers'!$L$3:$N$6,3,FALSE)=0,"Spatial Data Missing ⚠",VLOOKUP(U98,'G-3 Multipliers'!$L$3:$N$6,3,FALSE)))</f>
        <v/>
      </c>
      <c r="X98" s="498"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7" t="str">
        <f t="shared" si="11"/>
        <v/>
      </c>
      <c r="AB98" s="521" t="str">
        <f t="shared" si="12"/>
        <v/>
      </c>
      <c r="AC98" s="522" t="str">
        <f t="shared" si="9"/>
        <v/>
      </c>
      <c r="AD98" s="537" t="str">
        <f>IF(M98="","",VLOOKUP(M98,'G-6 Hedgerow Data'!$B$3:$AG$15,31,FALSE))</f>
        <v/>
      </c>
      <c r="AE98" s="520" t="str">
        <f t="shared" si="13"/>
        <v/>
      </c>
      <c r="AF98" s="520" t="str">
        <f t="shared" si="14"/>
        <v/>
      </c>
      <c r="AG98" s="524" t="str">
        <f>IFERROR(IF(O98="","",VLOOKUP(AD98,'G-3 Multipliers'!$P$3:$Q$6,2,FALSE)),"")</f>
        <v/>
      </c>
      <c r="AH98" s="197"/>
      <c r="AI98" s="499" t="str">
        <f>IF(AH98="","",IF(VLOOKUP(AH98,'G-3 Multipliers'!$S$3:$T$6,2,FALSE)=0,"Spatial Data Missing ⚠",VLOOKUP(AH98,'G-3 Multipliers'!$S$3:$T$6,2,FALSE)))</f>
        <v/>
      </c>
      <c r="AJ98" s="545" t="str">
        <f t="shared" si="15"/>
        <v/>
      </c>
      <c r="AK98" s="149"/>
      <c r="AL98" s="150"/>
      <c r="AP98" s="31" t="str">
        <f>IFERROR(INDEX('G-6 Hedgerow Data'!$BJ$3:$BJ$15,MATCH(M98,'G-6 Hedgerow Data'!$B$3:$B$15,0)),"")</f>
        <v/>
      </c>
    </row>
    <row r="99" spans="2:42" ht="13.8" x14ac:dyDescent="0.25">
      <c r="B99" s="531" t="str">
        <f>'E-1 Off Site Hedge Baseline'!AK97</f>
        <v/>
      </c>
      <c r="C99" s="520" t="str">
        <f>IF(B99="","",IF(ISNA(VLOOKUP($B99,'E-1 Off Site Hedge Baseline'!$B$1:$L$257,3,FALSE)),"",(VLOOKUP($B99,'E-1 Off Site Hedge Baseline'!$B$1:$L$257,3,FALSE))))</f>
        <v/>
      </c>
      <c r="D99" s="520" t="str">
        <f>IF(B99="","",IF(ISNA(VLOOKUP($B99,'E-1 Off Site Hedge Baseline'!$B$1:$L$258,4,FALSE)),"",(VLOOKUP($B99,'E-1 Off Site Hedge Baseline'!$B$1:$L$258,4,FALSE))))</f>
        <v/>
      </c>
      <c r="E99" s="520" t="str">
        <f>IF(B99="","",IF(ISNA(VLOOKUP($B99,'E-1 Off Site Hedge Baseline'!$B$1:$L$257,5,FALSE)),"",(VLOOKUP($B99,'E-1 Off Site Hedge Baseline'!$B$1:$L$257,5,FALSE))))</f>
        <v/>
      </c>
      <c r="F99" s="520" t="str">
        <f>IF(B99="","",IF(ISNA(VLOOKUP($B99,'E-1 Off Site Hedge Baseline'!$B$1:$L$257,6,FALSE)),"",(VLOOKUP($B99,'E-1 Off Site Hedge Baseline'!$B$1:$L$257,6,FALSE))))</f>
        <v/>
      </c>
      <c r="G99" s="520" t="str">
        <f>IF(B99="","",IF(ISNA(VLOOKUP($B99,'E-1 Off Site Hedge Baseline'!$B$1:$L$257,7,FALSE)),"",(VLOOKUP($B99,'E-1 Off Site Hedge Baseline'!$B$1:$L$257,7,FALSE))))</f>
        <v/>
      </c>
      <c r="H99" s="520" t="str">
        <f>IF(B99="","",IF(ISNA(VLOOKUP($B99,'E-1 Off Site Hedge Baseline'!$B$1:$L$257,8,FALSE)),"",(VLOOKUP($B99,'E-1 Off Site Hedge Baseline'!$B$1:$L$257,8,FALSE))))</f>
        <v/>
      </c>
      <c r="I99" s="520" t="str">
        <f>IF(B99="","",IF(ISNA(VLOOKUP($B99,'E-1 Off Site Hedge Baseline'!$B$1:$L$257,10,FALSE)),"",(VLOOKUP($B99,'E-1 Off Site Hedge Baseline'!$B$1:$L$257,10,FALSE))))</f>
        <v/>
      </c>
      <c r="J99" s="520" t="str">
        <f>IF(B99="","",IF(ISNA(VLOOKUP($B99,'E-1 Off Site Hedge Baseline'!$B$1:$L$257,11,FALSE)),"",(VLOOKUP($B99,'E-1 Off Site Hedge Baseline'!$B$1:$L$257,11,FALSE))))</f>
        <v/>
      </c>
      <c r="K99" s="520" t="str">
        <f>IF(B99="","",IF(ISNA(VLOOKUP($B99,'E-1 Off Site Hedge Baseline'!$B$1:$U$257,113,FALSE)),"",(VLOOKUP($B99,'E-1 Off Site Hedge Baseline'!$B$1:$U$257,13,FALSE))))</f>
        <v/>
      </c>
      <c r="L99" s="507" t="str">
        <f>IF(B99="","",IF(ISNA(VLOOKUP($B99,'E-1 Off Site Hedge Baseline'!$B$1:$U$257,12,FALSE)),"",(VLOOKUP($B99,'E-1 Off Site Hedge Baseline'!$B$1:$U$257,12,FALSE))))</f>
        <v/>
      </c>
      <c r="M99" s="418" t="str">
        <f t="shared" si="16"/>
        <v/>
      </c>
      <c r="N99" s="498" t="str">
        <f>IFERROR(IF(B99="","",INDEX('G-6 Hedgerow Data'!$AN$3:$AZ$15,MATCH(C99,'G-6 Hedgerow Data'!$AM$3:$AM$15,0),MATCH(M99,'G-6 Hedgerow Data'!$AN$2:$AZ$2,0))),"")</f>
        <v/>
      </c>
      <c r="O99" s="499" t="str">
        <f t="shared" si="10"/>
        <v/>
      </c>
      <c r="P99" s="505" t="str">
        <f>IF(B99="","",VLOOKUP(B99,'E-1 Off Site Hedge Baseline'!$B$10:T344,16,FALSE))</f>
        <v/>
      </c>
      <c r="Q99" s="498" t="str">
        <f>IF(M99="","",VLOOKUP(M99,'G-6 Hedgerow Data'!$B$2:$AG$15,2,FALSE))</f>
        <v/>
      </c>
      <c r="R99" s="499" t="str">
        <f>IF(M99="","",VLOOKUP(M99,'G-6 Hedgerow Data'!$B$2:$AG$15,3,FALSE))</f>
        <v/>
      </c>
      <c r="S99" s="145"/>
      <c r="T99" s="499" t="str">
        <f>IFERROR(IF(AND(Q99="V.Low",OR(S99="Good",S99="Moderate")),"Error ▲",VLOOKUP(S99,'G-1 All Habitats'!$Z$2:$AA$9,2,FALSE)),"")</f>
        <v/>
      </c>
      <c r="U99" s="145"/>
      <c r="V99" s="507" t="str">
        <f>IF(U99="","",IF(VLOOKUP(U99,'G-3 Multipliers'!$L$3:$N$6,2,FALSE)=0,"Spatial Data Missing ⚠",VLOOKUP(U99,'G-3 Multipliers'!$L$3:$N$6,2,FALSE)))</f>
        <v/>
      </c>
      <c r="W99" s="505" t="str">
        <f>IF(U99="","",IF(VLOOKUP(U99,'G-3 Multipliers'!$L$3:$N$6,3,FALSE)=0,"Spatial Data Missing ⚠",VLOOKUP(U99,'G-3 Multipliers'!$L$3:$N$6,3,FALSE)))</f>
        <v/>
      </c>
      <c r="X99" s="498"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7" t="str">
        <f t="shared" si="11"/>
        <v/>
      </c>
      <c r="AB99" s="521" t="str">
        <f t="shared" si="12"/>
        <v/>
      </c>
      <c r="AC99" s="522" t="str">
        <f t="shared" si="9"/>
        <v/>
      </c>
      <c r="AD99" s="537" t="str">
        <f>IF(M99="","",VLOOKUP(M99,'G-6 Hedgerow Data'!$B$3:$AG$15,31,FALSE))</f>
        <v/>
      </c>
      <c r="AE99" s="520" t="str">
        <f t="shared" si="13"/>
        <v/>
      </c>
      <c r="AF99" s="520" t="str">
        <f t="shared" si="14"/>
        <v/>
      </c>
      <c r="AG99" s="524" t="str">
        <f>IFERROR(IF(O99="","",VLOOKUP(AD99,'G-3 Multipliers'!$P$3:$Q$6,2,FALSE)),"")</f>
        <v/>
      </c>
      <c r="AH99" s="197"/>
      <c r="AI99" s="499" t="str">
        <f>IF(AH99="","",IF(VLOOKUP(AH99,'G-3 Multipliers'!$S$3:$T$6,2,FALSE)=0,"Spatial Data Missing ⚠",VLOOKUP(AH99,'G-3 Multipliers'!$S$3:$T$6,2,FALSE)))</f>
        <v/>
      </c>
      <c r="AJ99" s="545" t="str">
        <f t="shared" si="15"/>
        <v/>
      </c>
      <c r="AK99" s="149"/>
      <c r="AL99" s="150"/>
      <c r="AP99" s="31" t="str">
        <f>IFERROR(INDEX('G-6 Hedgerow Data'!$BJ$3:$BJ$15,MATCH(M99,'G-6 Hedgerow Data'!$B$3:$B$15,0)),"")</f>
        <v/>
      </c>
    </row>
    <row r="100" spans="2:42" ht="13.8" x14ac:dyDescent="0.25">
      <c r="B100" s="531" t="str">
        <f>'E-1 Off Site Hedge Baseline'!AK98</f>
        <v/>
      </c>
      <c r="C100" s="520" t="str">
        <f>IF(B100="","",IF(ISNA(VLOOKUP($B100,'E-1 Off Site Hedge Baseline'!$B$1:$L$257,3,FALSE)),"",(VLOOKUP($B100,'E-1 Off Site Hedge Baseline'!$B$1:$L$257,3,FALSE))))</f>
        <v/>
      </c>
      <c r="D100" s="520" t="str">
        <f>IF(B100="","",IF(ISNA(VLOOKUP($B100,'E-1 Off Site Hedge Baseline'!$B$1:$L$258,4,FALSE)),"",(VLOOKUP($B100,'E-1 Off Site Hedge Baseline'!$B$1:$L$258,4,FALSE))))</f>
        <v/>
      </c>
      <c r="E100" s="520" t="str">
        <f>IF(B100="","",IF(ISNA(VLOOKUP($B100,'E-1 Off Site Hedge Baseline'!$B$1:$L$257,5,FALSE)),"",(VLOOKUP($B100,'E-1 Off Site Hedge Baseline'!$B$1:$L$257,5,FALSE))))</f>
        <v/>
      </c>
      <c r="F100" s="520" t="str">
        <f>IF(B100="","",IF(ISNA(VLOOKUP($B100,'E-1 Off Site Hedge Baseline'!$B$1:$L$257,6,FALSE)),"",(VLOOKUP($B100,'E-1 Off Site Hedge Baseline'!$B$1:$L$257,6,FALSE))))</f>
        <v/>
      </c>
      <c r="G100" s="520" t="str">
        <f>IF(B100="","",IF(ISNA(VLOOKUP($B100,'E-1 Off Site Hedge Baseline'!$B$1:$L$257,7,FALSE)),"",(VLOOKUP($B100,'E-1 Off Site Hedge Baseline'!$B$1:$L$257,7,FALSE))))</f>
        <v/>
      </c>
      <c r="H100" s="520" t="str">
        <f>IF(B100="","",IF(ISNA(VLOOKUP($B100,'E-1 Off Site Hedge Baseline'!$B$1:$L$257,8,FALSE)),"",(VLOOKUP($B100,'E-1 Off Site Hedge Baseline'!$B$1:$L$257,8,FALSE))))</f>
        <v/>
      </c>
      <c r="I100" s="520" t="str">
        <f>IF(B100="","",IF(ISNA(VLOOKUP($B100,'E-1 Off Site Hedge Baseline'!$B$1:$L$257,10,FALSE)),"",(VLOOKUP($B100,'E-1 Off Site Hedge Baseline'!$B$1:$L$257,10,FALSE))))</f>
        <v/>
      </c>
      <c r="J100" s="520" t="str">
        <f>IF(B100="","",IF(ISNA(VLOOKUP($B100,'E-1 Off Site Hedge Baseline'!$B$1:$L$257,11,FALSE)),"",(VLOOKUP($B100,'E-1 Off Site Hedge Baseline'!$B$1:$L$257,11,FALSE))))</f>
        <v/>
      </c>
      <c r="K100" s="520" t="str">
        <f>IF(B100="","",IF(ISNA(VLOOKUP($B100,'E-1 Off Site Hedge Baseline'!$B$1:$U$257,113,FALSE)),"",(VLOOKUP($B100,'E-1 Off Site Hedge Baseline'!$B$1:$U$257,13,FALSE))))</f>
        <v/>
      </c>
      <c r="L100" s="507" t="str">
        <f>IF(B100="","",IF(ISNA(VLOOKUP($B100,'E-1 Off Site Hedge Baseline'!$B$1:$U$257,12,FALSE)),"",(VLOOKUP($B100,'E-1 Off Site Hedge Baseline'!$B$1:$U$257,12,FALSE))))</f>
        <v/>
      </c>
      <c r="M100" s="418" t="str">
        <f t="shared" si="16"/>
        <v/>
      </c>
      <c r="N100" s="498" t="str">
        <f>IFERROR(IF(B100="","",INDEX('G-6 Hedgerow Data'!$AN$3:$AZ$15,MATCH(C100,'G-6 Hedgerow Data'!$AM$3:$AM$15,0),MATCH(M100,'G-6 Hedgerow Data'!$AN$2:$AZ$2,0))),"")</f>
        <v/>
      </c>
      <c r="O100" s="499" t="str">
        <f t="shared" si="10"/>
        <v/>
      </c>
      <c r="P100" s="505" t="str">
        <f>IF(B100="","",VLOOKUP(B100,'E-1 Off Site Hedge Baseline'!$B$10:T345,16,FALSE))</f>
        <v/>
      </c>
      <c r="Q100" s="498" t="str">
        <f>IF(M100="","",VLOOKUP(M100,'G-6 Hedgerow Data'!$B$2:$AG$15,2,FALSE))</f>
        <v/>
      </c>
      <c r="R100" s="499" t="str">
        <f>IF(M100="","",VLOOKUP(M100,'G-6 Hedgerow Data'!$B$2:$AG$15,3,FALSE))</f>
        <v/>
      </c>
      <c r="S100" s="145"/>
      <c r="T100" s="499" t="str">
        <f>IFERROR(IF(AND(Q100="V.Low",OR(S100="Good",S100="Moderate")),"Error ▲",VLOOKUP(S100,'G-1 All Habitats'!$Z$2:$AA$9,2,FALSE)),"")</f>
        <v/>
      </c>
      <c r="U100" s="145"/>
      <c r="V100" s="507" t="str">
        <f>IF(U100="","",IF(VLOOKUP(U100,'G-3 Multipliers'!$L$3:$N$6,2,FALSE)=0,"Spatial Data Missing ⚠",VLOOKUP(U100,'G-3 Multipliers'!$L$3:$N$6,2,FALSE)))</f>
        <v/>
      </c>
      <c r="W100" s="505" t="str">
        <f>IF(U100="","",IF(VLOOKUP(U100,'G-3 Multipliers'!$L$3:$N$6,3,FALSE)=0,"Spatial Data Missing ⚠",VLOOKUP(U100,'G-3 Multipliers'!$L$3:$N$6,3,FALSE)))</f>
        <v/>
      </c>
      <c r="X100" s="498"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7" t="str">
        <f t="shared" si="11"/>
        <v/>
      </c>
      <c r="AB100" s="521" t="str">
        <f t="shared" si="12"/>
        <v/>
      </c>
      <c r="AC100" s="522" t="str">
        <f t="shared" si="9"/>
        <v/>
      </c>
      <c r="AD100" s="537" t="str">
        <f>IF(M100="","",VLOOKUP(M100,'G-6 Hedgerow Data'!$B$3:$AG$15,31,FALSE))</f>
        <v/>
      </c>
      <c r="AE100" s="520" t="str">
        <f t="shared" si="13"/>
        <v/>
      </c>
      <c r="AF100" s="520" t="str">
        <f t="shared" si="14"/>
        <v/>
      </c>
      <c r="AG100" s="524" t="str">
        <f>IFERROR(IF(O100="","",VLOOKUP(AD100,'G-3 Multipliers'!$P$3:$Q$6,2,FALSE)),"")</f>
        <v/>
      </c>
      <c r="AH100" s="197"/>
      <c r="AI100" s="499" t="str">
        <f>IF(AH100="","",IF(VLOOKUP(AH100,'G-3 Multipliers'!$S$3:$T$6,2,FALSE)=0,"Spatial Data Missing ⚠",VLOOKUP(AH100,'G-3 Multipliers'!$S$3:$T$6,2,FALSE)))</f>
        <v/>
      </c>
      <c r="AJ100" s="545" t="str">
        <f t="shared" si="15"/>
        <v/>
      </c>
      <c r="AK100" s="149"/>
      <c r="AL100" s="150"/>
      <c r="AP100" s="31" t="str">
        <f>IFERROR(INDEX('G-6 Hedgerow Data'!$BJ$3:$BJ$15,MATCH(M100,'G-6 Hedgerow Data'!$B$3:$B$15,0)),"")</f>
        <v/>
      </c>
    </row>
    <row r="101" spans="2:42" ht="13.8" x14ac:dyDescent="0.25">
      <c r="B101" s="531" t="str">
        <f>'E-1 Off Site Hedge Baseline'!AK99</f>
        <v/>
      </c>
      <c r="C101" s="520" t="str">
        <f>IF(B101="","",IF(ISNA(VLOOKUP($B101,'E-1 Off Site Hedge Baseline'!$B$1:$L$257,3,FALSE)),"",(VLOOKUP($B101,'E-1 Off Site Hedge Baseline'!$B$1:$L$257,3,FALSE))))</f>
        <v/>
      </c>
      <c r="D101" s="520" t="str">
        <f>IF(B101="","",IF(ISNA(VLOOKUP($B101,'E-1 Off Site Hedge Baseline'!$B$1:$L$258,4,FALSE)),"",(VLOOKUP($B101,'E-1 Off Site Hedge Baseline'!$B$1:$L$258,4,FALSE))))</f>
        <v/>
      </c>
      <c r="E101" s="520" t="str">
        <f>IF(B101="","",IF(ISNA(VLOOKUP($B101,'E-1 Off Site Hedge Baseline'!$B$1:$L$257,5,FALSE)),"",(VLOOKUP($B101,'E-1 Off Site Hedge Baseline'!$B$1:$L$257,5,FALSE))))</f>
        <v/>
      </c>
      <c r="F101" s="520" t="str">
        <f>IF(B101="","",IF(ISNA(VLOOKUP($B101,'E-1 Off Site Hedge Baseline'!$B$1:$L$257,6,FALSE)),"",(VLOOKUP($B101,'E-1 Off Site Hedge Baseline'!$B$1:$L$257,6,FALSE))))</f>
        <v/>
      </c>
      <c r="G101" s="520" t="str">
        <f>IF(B101="","",IF(ISNA(VLOOKUP($B101,'E-1 Off Site Hedge Baseline'!$B$1:$L$257,7,FALSE)),"",(VLOOKUP($B101,'E-1 Off Site Hedge Baseline'!$B$1:$L$257,7,FALSE))))</f>
        <v/>
      </c>
      <c r="H101" s="520" t="str">
        <f>IF(B101="","",IF(ISNA(VLOOKUP($B101,'E-1 Off Site Hedge Baseline'!$B$1:$L$257,8,FALSE)),"",(VLOOKUP($B101,'E-1 Off Site Hedge Baseline'!$B$1:$L$257,8,FALSE))))</f>
        <v/>
      </c>
      <c r="I101" s="520" t="str">
        <f>IF(B101="","",IF(ISNA(VLOOKUP($B101,'E-1 Off Site Hedge Baseline'!$B$1:$L$257,10,FALSE)),"",(VLOOKUP($B101,'E-1 Off Site Hedge Baseline'!$B$1:$L$257,10,FALSE))))</f>
        <v/>
      </c>
      <c r="J101" s="520" t="str">
        <f>IF(B101="","",IF(ISNA(VLOOKUP($B101,'E-1 Off Site Hedge Baseline'!$B$1:$L$257,11,FALSE)),"",(VLOOKUP($B101,'E-1 Off Site Hedge Baseline'!$B$1:$L$257,11,FALSE))))</f>
        <v/>
      </c>
      <c r="K101" s="520" t="str">
        <f>IF(B101="","",IF(ISNA(VLOOKUP($B101,'E-1 Off Site Hedge Baseline'!$B$1:$U$257,113,FALSE)),"",(VLOOKUP($B101,'E-1 Off Site Hedge Baseline'!$B$1:$U$257,13,FALSE))))</f>
        <v/>
      </c>
      <c r="L101" s="507" t="str">
        <f>IF(B101="","",IF(ISNA(VLOOKUP($B101,'E-1 Off Site Hedge Baseline'!$B$1:$U$257,12,FALSE)),"",(VLOOKUP($B101,'E-1 Off Site Hedge Baseline'!$B$1:$U$257,12,FALSE))))</f>
        <v/>
      </c>
      <c r="M101" s="418" t="str">
        <f t="shared" si="16"/>
        <v/>
      </c>
      <c r="N101" s="498" t="str">
        <f>IFERROR(IF(B101="","",INDEX('G-6 Hedgerow Data'!$AN$3:$AZ$15,MATCH(C101,'G-6 Hedgerow Data'!$AM$3:$AM$15,0),MATCH(M101,'G-6 Hedgerow Data'!$AN$2:$AZ$2,0))),"")</f>
        <v/>
      </c>
      <c r="O101" s="499" t="str">
        <f t="shared" si="10"/>
        <v/>
      </c>
      <c r="P101" s="505" t="str">
        <f>IF(B101="","",VLOOKUP(B101,'E-1 Off Site Hedge Baseline'!$B$10:T346,16,FALSE))</f>
        <v/>
      </c>
      <c r="Q101" s="498" t="str">
        <f>IF(M101="","",VLOOKUP(M101,'G-6 Hedgerow Data'!$B$2:$AG$15,2,FALSE))</f>
        <v/>
      </c>
      <c r="R101" s="499" t="str">
        <f>IF(M101="","",VLOOKUP(M101,'G-6 Hedgerow Data'!$B$2:$AG$15,3,FALSE))</f>
        <v/>
      </c>
      <c r="S101" s="145"/>
      <c r="T101" s="499" t="str">
        <f>IFERROR(IF(AND(Q101="V.Low",OR(S101="Good",S101="Moderate")),"Error ▲",VLOOKUP(S101,'G-1 All Habitats'!$Z$2:$AA$9,2,FALSE)),"")</f>
        <v/>
      </c>
      <c r="U101" s="145"/>
      <c r="V101" s="507" t="str">
        <f>IF(U101="","",IF(VLOOKUP(U101,'G-3 Multipliers'!$L$3:$N$6,2,FALSE)=0,"Spatial Data Missing ⚠",VLOOKUP(U101,'G-3 Multipliers'!$L$3:$N$6,2,FALSE)))</f>
        <v/>
      </c>
      <c r="W101" s="505" t="str">
        <f>IF(U101="","",IF(VLOOKUP(U101,'G-3 Multipliers'!$L$3:$N$6,3,FALSE)=0,"Spatial Data Missing ⚠",VLOOKUP(U101,'G-3 Multipliers'!$L$3:$N$6,3,FALSE)))</f>
        <v/>
      </c>
      <c r="X101" s="498"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7" t="str">
        <f t="shared" si="11"/>
        <v/>
      </c>
      <c r="AB101" s="521" t="str">
        <f t="shared" si="12"/>
        <v/>
      </c>
      <c r="AC101" s="522" t="str">
        <f t="shared" si="9"/>
        <v/>
      </c>
      <c r="AD101" s="537" t="str">
        <f>IF(M101="","",VLOOKUP(M101,'G-6 Hedgerow Data'!$B$3:$AG$15,31,FALSE))</f>
        <v/>
      </c>
      <c r="AE101" s="520" t="str">
        <f t="shared" si="13"/>
        <v/>
      </c>
      <c r="AF101" s="520" t="str">
        <f t="shared" si="14"/>
        <v/>
      </c>
      <c r="AG101" s="524" t="str">
        <f>IFERROR(IF(O101="","",VLOOKUP(AD101,'G-3 Multipliers'!$P$3:$Q$6,2,FALSE)),"")</f>
        <v/>
      </c>
      <c r="AH101" s="197"/>
      <c r="AI101" s="499" t="str">
        <f>IF(AH101="","",IF(VLOOKUP(AH101,'G-3 Multipliers'!$S$3:$T$6,2,FALSE)=0,"Spatial Data Missing ⚠",VLOOKUP(AH101,'G-3 Multipliers'!$S$3:$T$6,2,FALSE)))</f>
        <v/>
      </c>
      <c r="AJ101" s="545" t="str">
        <f t="shared" si="15"/>
        <v/>
      </c>
      <c r="AK101" s="149"/>
      <c r="AL101" s="150"/>
      <c r="AP101" s="31" t="str">
        <f>IFERROR(INDEX('G-6 Hedgerow Data'!$BJ$3:$BJ$15,MATCH(M101,'G-6 Hedgerow Data'!$B$3:$B$15,0)),"")</f>
        <v/>
      </c>
    </row>
    <row r="102" spans="2:42" ht="13.8" x14ac:dyDescent="0.25">
      <c r="B102" s="531" t="str">
        <f>'E-1 Off Site Hedge Baseline'!AK100</f>
        <v/>
      </c>
      <c r="C102" s="520" t="str">
        <f>IF(B102="","",IF(ISNA(VLOOKUP($B102,'E-1 Off Site Hedge Baseline'!$B$1:$L$257,3,FALSE)),"",(VLOOKUP($B102,'E-1 Off Site Hedge Baseline'!$B$1:$L$257,3,FALSE))))</f>
        <v/>
      </c>
      <c r="D102" s="520" t="str">
        <f>IF(B102="","",IF(ISNA(VLOOKUP($B102,'E-1 Off Site Hedge Baseline'!$B$1:$L$258,4,FALSE)),"",(VLOOKUP($B102,'E-1 Off Site Hedge Baseline'!$B$1:$L$258,4,FALSE))))</f>
        <v/>
      </c>
      <c r="E102" s="520" t="str">
        <f>IF(B102="","",IF(ISNA(VLOOKUP($B102,'E-1 Off Site Hedge Baseline'!$B$1:$L$257,5,FALSE)),"",(VLOOKUP($B102,'E-1 Off Site Hedge Baseline'!$B$1:$L$257,5,FALSE))))</f>
        <v/>
      </c>
      <c r="F102" s="520" t="str">
        <f>IF(B102="","",IF(ISNA(VLOOKUP($B102,'E-1 Off Site Hedge Baseline'!$B$1:$L$257,6,FALSE)),"",(VLOOKUP($B102,'E-1 Off Site Hedge Baseline'!$B$1:$L$257,6,FALSE))))</f>
        <v/>
      </c>
      <c r="G102" s="520" t="str">
        <f>IF(B102="","",IF(ISNA(VLOOKUP($B102,'E-1 Off Site Hedge Baseline'!$B$1:$L$257,7,FALSE)),"",(VLOOKUP($B102,'E-1 Off Site Hedge Baseline'!$B$1:$L$257,7,FALSE))))</f>
        <v/>
      </c>
      <c r="H102" s="520" t="str">
        <f>IF(B102="","",IF(ISNA(VLOOKUP($B102,'E-1 Off Site Hedge Baseline'!$B$1:$L$257,8,FALSE)),"",(VLOOKUP($B102,'E-1 Off Site Hedge Baseline'!$B$1:$L$257,8,FALSE))))</f>
        <v/>
      </c>
      <c r="I102" s="520" t="str">
        <f>IF(B102="","",IF(ISNA(VLOOKUP($B102,'E-1 Off Site Hedge Baseline'!$B$1:$L$257,10,FALSE)),"",(VLOOKUP($B102,'E-1 Off Site Hedge Baseline'!$B$1:$L$257,10,FALSE))))</f>
        <v/>
      </c>
      <c r="J102" s="520" t="str">
        <f>IF(B102="","",IF(ISNA(VLOOKUP($B102,'E-1 Off Site Hedge Baseline'!$B$1:$L$257,11,FALSE)),"",(VLOOKUP($B102,'E-1 Off Site Hedge Baseline'!$B$1:$L$257,11,FALSE))))</f>
        <v/>
      </c>
      <c r="K102" s="520" t="str">
        <f>IF(B102="","",IF(ISNA(VLOOKUP($B102,'E-1 Off Site Hedge Baseline'!$B$1:$U$257,113,FALSE)),"",(VLOOKUP($B102,'E-1 Off Site Hedge Baseline'!$B$1:$U$257,13,FALSE))))</f>
        <v/>
      </c>
      <c r="L102" s="507" t="str">
        <f>IF(B102="","",IF(ISNA(VLOOKUP($B102,'E-1 Off Site Hedge Baseline'!$B$1:$U$257,12,FALSE)),"",(VLOOKUP($B102,'E-1 Off Site Hedge Baseline'!$B$1:$U$257,12,FALSE))))</f>
        <v/>
      </c>
      <c r="M102" s="418" t="str">
        <f t="shared" si="16"/>
        <v/>
      </c>
      <c r="N102" s="498" t="str">
        <f>IFERROR(IF(B102="","",INDEX('G-6 Hedgerow Data'!$AN$3:$AZ$15,MATCH(C102,'G-6 Hedgerow Data'!$AM$3:$AM$15,0),MATCH(M102,'G-6 Hedgerow Data'!$AN$2:$AZ$2,0))),"")</f>
        <v/>
      </c>
      <c r="O102" s="499" t="str">
        <f t="shared" si="10"/>
        <v/>
      </c>
      <c r="P102" s="505" t="str">
        <f>IF(B102="","",VLOOKUP(B102,'E-1 Off Site Hedge Baseline'!$B$10:T347,16,FALSE))</f>
        <v/>
      </c>
      <c r="Q102" s="498" t="str">
        <f>IF(M102="","",VLOOKUP(M102,'G-6 Hedgerow Data'!$B$2:$AG$15,2,FALSE))</f>
        <v/>
      </c>
      <c r="R102" s="499" t="str">
        <f>IF(M102="","",VLOOKUP(M102,'G-6 Hedgerow Data'!$B$2:$AG$15,3,FALSE))</f>
        <v/>
      </c>
      <c r="S102" s="145"/>
      <c r="T102" s="499" t="str">
        <f>IFERROR(IF(AND(Q102="V.Low",OR(S102="Good",S102="Moderate")),"Error ▲",VLOOKUP(S102,'G-1 All Habitats'!$Z$2:$AA$9,2,FALSE)),"")</f>
        <v/>
      </c>
      <c r="U102" s="145"/>
      <c r="V102" s="507" t="str">
        <f>IF(U102="","",IF(VLOOKUP(U102,'G-3 Multipliers'!$L$3:$N$6,2,FALSE)=0,"Spatial Data Missing ⚠",VLOOKUP(U102,'G-3 Multipliers'!$L$3:$N$6,2,FALSE)))</f>
        <v/>
      </c>
      <c r="W102" s="505" t="str">
        <f>IF(U102="","",IF(VLOOKUP(U102,'G-3 Multipliers'!$L$3:$N$6,3,FALSE)=0,"Spatial Data Missing ⚠",VLOOKUP(U102,'G-3 Multipliers'!$L$3:$N$6,3,FALSE)))</f>
        <v/>
      </c>
      <c r="X102" s="498"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7" t="str">
        <f t="shared" si="11"/>
        <v/>
      </c>
      <c r="AB102" s="521" t="str">
        <f t="shared" si="12"/>
        <v/>
      </c>
      <c r="AC102" s="522" t="str">
        <f t="shared" si="9"/>
        <v/>
      </c>
      <c r="AD102" s="537" t="str">
        <f>IF(M102="","",VLOOKUP(M102,'G-6 Hedgerow Data'!$B$3:$AG$15,31,FALSE))</f>
        <v/>
      </c>
      <c r="AE102" s="520" t="str">
        <f t="shared" si="13"/>
        <v/>
      </c>
      <c r="AF102" s="520" t="str">
        <f t="shared" si="14"/>
        <v/>
      </c>
      <c r="AG102" s="524" t="str">
        <f>IFERROR(IF(O102="","",VLOOKUP(AD102,'G-3 Multipliers'!$P$3:$Q$6,2,FALSE)),"")</f>
        <v/>
      </c>
      <c r="AH102" s="197"/>
      <c r="AI102" s="499" t="str">
        <f>IF(AH102="","",IF(VLOOKUP(AH102,'G-3 Multipliers'!$S$3:$T$6,2,FALSE)=0,"Spatial Data Missing ⚠",VLOOKUP(AH102,'G-3 Multipliers'!$S$3:$T$6,2,FALSE)))</f>
        <v/>
      </c>
      <c r="AJ102" s="545" t="str">
        <f t="shared" si="15"/>
        <v/>
      </c>
      <c r="AK102" s="149"/>
      <c r="AL102" s="150"/>
      <c r="AP102" s="31" t="str">
        <f>IFERROR(INDEX('G-6 Hedgerow Data'!$BJ$3:$BJ$15,MATCH(M102,'G-6 Hedgerow Data'!$B$3:$B$15,0)),"")</f>
        <v/>
      </c>
    </row>
    <row r="103" spans="2:42" ht="13.8" x14ac:dyDescent="0.25">
      <c r="B103" s="531" t="str">
        <f>'E-1 Off Site Hedge Baseline'!AK101</f>
        <v/>
      </c>
      <c r="C103" s="520" t="str">
        <f>IF(B103="","",IF(ISNA(VLOOKUP($B103,'E-1 Off Site Hedge Baseline'!$B$1:$L$257,3,FALSE)),"",(VLOOKUP($B103,'E-1 Off Site Hedge Baseline'!$B$1:$L$257,3,FALSE))))</f>
        <v/>
      </c>
      <c r="D103" s="520" t="str">
        <f>IF(B103="","",IF(ISNA(VLOOKUP($B103,'E-1 Off Site Hedge Baseline'!$B$1:$L$258,4,FALSE)),"",(VLOOKUP($B103,'E-1 Off Site Hedge Baseline'!$B$1:$L$258,4,FALSE))))</f>
        <v/>
      </c>
      <c r="E103" s="520" t="str">
        <f>IF(B103="","",IF(ISNA(VLOOKUP($B103,'E-1 Off Site Hedge Baseline'!$B$1:$L$257,5,FALSE)),"",(VLOOKUP($B103,'E-1 Off Site Hedge Baseline'!$B$1:$L$257,5,FALSE))))</f>
        <v/>
      </c>
      <c r="F103" s="520" t="str">
        <f>IF(B103="","",IF(ISNA(VLOOKUP($B103,'E-1 Off Site Hedge Baseline'!$B$1:$L$257,6,FALSE)),"",(VLOOKUP($B103,'E-1 Off Site Hedge Baseline'!$B$1:$L$257,6,FALSE))))</f>
        <v/>
      </c>
      <c r="G103" s="520" t="str">
        <f>IF(B103="","",IF(ISNA(VLOOKUP($B103,'E-1 Off Site Hedge Baseline'!$B$1:$L$257,7,FALSE)),"",(VLOOKUP($B103,'E-1 Off Site Hedge Baseline'!$B$1:$L$257,7,FALSE))))</f>
        <v/>
      </c>
      <c r="H103" s="520" t="str">
        <f>IF(B103="","",IF(ISNA(VLOOKUP($B103,'E-1 Off Site Hedge Baseline'!$B$1:$L$257,8,FALSE)),"",(VLOOKUP($B103,'E-1 Off Site Hedge Baseline'!$B$1:$L$257,8,FALSE))))</f>
        <v/>
      </c>
      <c r="I103" s="520" t="str">
        <f>IF(B103="","",IF(ISNA(VLOOKUP($B103,'E-1 Off Site Hedge Baseline'!$B$1:$L$257,10,FALSE)),"",(VLOOKUP($B103,'E-1 Off Site Hedge Baseline'!$B$1:$L$257,10,FALSE))))</f>
        <v/>
      </c>
      <c r="J103" s="520" t="str">
        <f>IF(B103="","",IF(ISNA(VLOOKUP($B103,'E-1 Off Site Hedge Baseline'!$B$1:$L$257,11,FALSE)),"",(VLOOKUP($B103,'E-1 Off Site Hedge Baseline'!$B$1:$L$257,11,FALSE))))</f>
        <v/>
      </c>
      <c r="K103" s="520" t="str">
        <f>IF(B103="","",IF(ISNA(VLOOKUP($B103,'E-1 Off Site Hedge Baseline'!$B$1:$U$257,113,FALSE)),"",(VLOOKUP($B103,'E-1 Off Site Hedge Baseline'!$B$1:$U$257,13,FALSE))))</f>
        <v/>
      </c>
      <c r="L103" s="507" t="str">
        <f>IF(B103="","",IF(ISNA(VLOOKUP($B103,'E-1 Off Site Hedge Baseline'!$B$1:$U$257,12,FALSE)),"",(VLOOKUP($B103,'E-1 Off Site Hedge Baseline'!$B$1:$U$257,12,FALSE))))</f>
        <v/>
      </c>
      <c r="M103" s="418" t="str">
        <f t="shared" si="16"/>
        <v/>
      </c>
      <c r="N103" s="498" t="str">
        <f>IFERROR(IF(B103="","",INDEX('G-6 Hedgerow Data'!$AN$3:$AZ$15,MATCH(C103,'G-6 Hedgerow Data'!$AM$3:$AM$15,0),MATCH(M103,'G-6 Hedgerow Data'!$AN$2:$AZ$2,0))),"")</f>
        <v/>
      </c>
      <c r="O103" s="499" t="str">
        <f t="shared" si="10"/>
        <v/>
      </c>
      <c r="P103" s="505" t="str">
        <f>IF(B103="","",VLOOKUP(B103,'E-1 Off Site Hedge Baseline'!$B$10:T348,16,FALSE))</f>
        <v/>
      </c>
      <c r="Q103" s="498" t="str">
        <f>IF(M103="","",VLOOKUP(M103,'G-6 Hedgerow Data'!$B$2:$AG$15,2,FALSE))</f>
        <v/>
      </c>
      <c r="R103" s="499" t="str">
        <f>IF(M103="","",VLOOKUP(M103,'G-6 Hedgerow Data'!$B$2:$AG$15,3,FALSE))</f>
        <v/>
      </c>
      <c r="S103" s="145"/>
      <c r="T103" s="499" t="str">
        <f>IFERROR(IF(AND(Q103="V.Low",OR(S103="Good",S103="Moderate")),"Error ▲",VLOOKUP(S103,'G-1 All Habitats'!$Z$2:$AA$9,2,FALSE)),"")</f>
        <v/>
      </c>
      <c r="U103" s="145"/>
      <c r="V103" s="507" t="str">
        <f>IF(U103="","",IF(VLOOKUP(U103,'G-3 Multipliers'!$L$3:$N$6,2,FALSE)=0,"Spatial Data Missing ⚠",VLOOKUP(U103,'G-3 Multipliers'!$L$3:$N$6,2,FALSE)))</f>
        <v/>
      </c>
      <c r="W103" s="505" t="str">
        <f>IF(U103="","",IF(VLOOKUP(U103,'G-3 Multipliers'!$L$3:$N$6,3,FALSE)=0,"Spatial Data Missing ⚠",VLOOKUP(U103,'G-3 Multipliers'!$L$3:$N$6,3,FALSE)))</f>
        <v/>
      </c>
      <c r="X103" s="498"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7" t="str">
        <f t="shared" si="11"/>
        <v/>
      </c>
      <c r="AB103" s="521" t="str">
        <f t="shared" si="12"/>
        <v/>
      </c>
      <c r="AC103" s="522" t="str">
        <f t="shared" si="9"/>
        <v/>
      </c>
      <c r="AD103" s="537" t="str">
        <f>IF(M103="","",VLOOKUP(M103,'G-6 Hedgerow Data'!$B$3:$AG$15,31,FALSE))</f>
        <v/>
      </c>
      <c r="AE103" s="520" t="str">
        <f t="shared" si="13"/>
        <v/>
      </c>
      <c r="AF103" s="520" t="str">
        <f t="shared" si="14"/>
        <v/>
      </c>
      <c r="AG103" s="524" t="str">
        <f>IFERROR(IF(O103="","",VLOOKUP(AD103,'G-3 Multipliers'!$P$3:$Q$6,2,FALSE)),"")</f>
        <v/>
      </c>
      <c r="AH103" s="197"/>
      <c r="AI103" s="499" t="str">
        <f>IF(AH103="","",IF(VLOOKUP(AH103,'G-3 Multipliers'!$S$3:$T$6,2,FALSE)=0,"Spatial Data Missing ⚠",VLOOKUP(AH103,'G-3 Multipliers'!$S$3:$T$6,2,FALSE)))</f>
        <v/>
      </c>
      <c r="AJ103" s="545" t="str">
        <f t="shared" si="15"/>
        <v/>
      </c>
      <c r="AK103" s="149"/>
      <c r="AL103" s="150"/>
      <c r="AP103" s="31" t="str">
        <f>IFERROR(INDEX('G-6 Hedgerow Data'!$BJ$3:$BJ$15,MATCH(M103,'G-6 Hedgerow Data'!$B$3:$B$15,0)),"")</f>
        <v/>
      </c>
    </row>
    <row r="104" spans="2:42" ht="13.8" x14ac:dyDescent="0.25">
      <c r="B104" s="531" t="str">
        <f>'E-1 Off Site Hedge Baseline'!AK102</f>
        <v/>
      </c>
      <c r="C104" s="520" t="str">
        <f>IF(B104="","",IF(ISNA(VLOOKUP($B104,'E-1 Off Site Hedge Baseline'!$B$1:$L$257,3,FALSE)),"",(VLOOKUP($B104,'E-1 Off Site Hedge Baseline'!$B$1:$L$257,3,FALSE))))</f>
        <v/>
      </c>
      <c r="D104" s="520" t="str">
        <f>IF(B104="","",IF(ISNA(VLOOKUP($B104,'E-1 Off Site Hedge Baseline'!$B$1:$L$258,4,FALSE)),"",(VLOOKUP($B104,'E-1 Off Site Hedge Baseline'!$B$1:$L$258,4,FALSE))))</f>
        <v/>
      </c>
      <c r="E104" s="520" t="str">
        <f>IF(B104="","",IF(ISNA(VLOOKUP($B104,'E-1 Off Site Hedge Baseline'!$B$1:$L$257,5,FALSE)),"",(VLOOKUP($B104,'E-1 Off Site Hedge Baseline'!$B$1:$L$257,5,FALSE))))</f>
        <v/>
      </c>
      <c r="F104" s="520" t="str">
        <f>IF(B104="","",IF(ISNA(VLOOKUP($B104,'E-1 Off Site Hedge Baseline'!$B$1:$L$257,6,FALSE)),"",(VLOOKUP($B104,'E-1 Off Site Hedge Baseline'!$B$1:$L$257,6,FALSE))))</f>
        <v/>
      </c>
      <c r="G104" s="520" t="str">
        <f>IF(B104="","",IF(ISNA(VLOOKUP($B104,'E-1 Off Site Hedge Baseline'!$B$1:$L$257,7,FALSE)),"",(VLOOKUP($B104,'E-1 Off Site Hedge Baseline'!$B$1:$L$257,7,FALSE))))</f>
        <v/>
      </c>
      <c r="H104" s="520" t="str">
        <f>IF(B104="","",IF(ISNA(VLOOKUP($B104,'E-1 Off Site Hedge Baseline'!$B$1:$L$257,8,FALSE)),"",(VLOOKUP($B104,'E-1 Off Site Hedge Baseline'!$B$1:$L$257,8,FALSE))))</f>
        <v/>
      </c>
      <c r="I104" s="520" t="str">
        <f>IF(B104="","",IF(ISNA(VLOOKUP($B104,'E-1 Off Site Hedge Baseline'!$B$1:$L$257,10,FALSE)),"",(VLOOKUP($B104,'E-1 Off Site Hedge Baseline'!$B$1:$L$257,10,FALSE))))</f>
        <v/>
      </c>
      <c r="J104" s="520" t="str">
        <f>IF(B104="","",IF(ISNA(VLOOKUP($B104,'E-1 Off Site Hedge Baseline'!$B$1:$L$257,11,FALSE)),"",(VLOOKUP($B104,'E-1 Off Site Hedge Baseline'!$B$1:$L$257,11,FALSE))))</f>
        <v/>
      </c>
      <c r="K104" s="520" t="str">
        <f>IF(B104="","",IF(ISNA(VLOOKUP($B104,'E-1 Off Site Hedge Baseline'!$B$1:$U$257,113,FALSE)),"",(VLOOKUP($B104,'E-1 Off Site Hedge Baseline'!$B$1:$U$257,13,FALSE))))</f>
        <v/>
      </c>
      <c r="L104" s="507" t="str">
        <f>IF(B104="","",IF(ISNA(VLOOKUP($B104,'E-1 Off Site Hedge Baseline'!$B$1:$U$257,12,FALSE)),"",(VLOOKUP($B104,'E-1 Off Site Hedge Baseline'!$B$1:$U$257,12,FALSE))))</f>
        <v/>
      </c>
      <c r="M104" s="418" t="str">
        <f t="shared" si="16"/>
        <v/>
      </c>
      <c r="N104" s="498" t="str">
        <f>IFERROR(IF(B104="","",INDEX('G-6 Hedgerow Data'!$AN$3:$AZ$15,MATCH(C104,'G-6 Hedgerow Data'!$AM$3:$AM$15,0),MATCH(M104,'G-6 Hedgerow Data'!$AN$2:$AZ$2,0))),"")</f>
        <v/>
      </c>
      <c r="O104" s="499" t="str">
        <f t="shared" si="10"/>
        <v/>
      </c>
      <c r="P104" s="505" t="str">
        <f>IF(B104="","",VLOOKUP(B104,'E-1 Off Site Hedge Baseline'!$B$10:T349,16,FALSE))</f>
        <v/>
      </c>
      <c r="Q104" s="498" t="str">
        <f>IF(M104="","",VLOOKUP(M104,'G-6 Hedgerow Data'!$B$2:$AG$15,2,FALSE))</f>
        <v/>
      </c>
      <c r="R104" s="499" t="str">
        <f>IF(M104="","",VLOOKUP(M104,'G-6 Hedgerow Data'!$B$2:$AG$15,3,FALSE))</f>
        <v/>
      </c>
      <c r="S104" s="145"/>
      <c r="T104" s="499" t="str">
        <f>IFERROR(IF(AND(Q104="V.Low",OR(S104="Good",S104="Moderate")),"Error ▲",VLOOKUP(S104,'G-1 All Habitats'!$Z$2:$AA$9,2,FALSE)),"")</f>
        <v/>
      </c>
      <c r="U104" s="145"/>
      <c r="V104" s="507" t="str">
        <f>IF(U104="","",IF(VLOOKUP(U104,'G-3 Multipliers'!$L$3:$N$6,2,FALSE)=0,"Spatial Data Missing ⚠",VLOOKUP(U104,'G-3 Multipliers'!$L$3:$N$6,2,FALSE)))</f>
        <v/>
      </c>
      <c r="W104" s="505" t="str">
        <f>IF(U104="","",IF(VLOOKUP(U104,'G-3 Multipliers'!$L$3:$N$6,3,FALSE)=0,"Spatial Data Missing ⚠",VLOOKUP(U104,'G-3 Multipliers'!$L$3:$N$6,3,FALSE)))</f>
        <v/>
      </c>
      <c r="X104" s="498"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7" t="str">
        <f t="shared" si="11"/>
        <v/>
      </c>
      <c r="AB104" s="521" t="str">
        <f t="shared" si="12"/>
        <v/>
      </c>
      <c r="AC104" s="522" t="str">
        <f t="shared" si="9"/>
        <v/>
      </c>
      <c r="AD104" s="537" t="str">
        <f>IF(M104="","",VLOOKUP(M104,'G-6 Hedgerow Data'!$B$3:$AG$15,31,FALSE))</f>
        <v/>
      </c>
      <c r="AE104" s="520" t="str">
        <f t="shared" si="13"/>
        <v/>
      </c>
      <c r="AF104" s="520" t="str">
        <f t="shared" si="14"/>
        <v/>
      </c>
      <c r="AG104" s="524" t="str">
        <f>IFERROR(IF(O104="","",VLOOKUP(AD104,'G-3 Multipliers'!$P$3:$Q$6,2,FALSE)),"")</f>
        <v/>
      </c>
      <c r="AH104" s="197"/>
      <c r="AI104" s="499" t="str">
        <f>IF(AH104="","",IF(VLOOKUP(AH104,'G-3 Multipliers'!$S$3:$T$6,2,FALSE)=0,"Spatial Data Missing ⚠",VLOOKUP(AH104,'G-3 Multipliers'!$S$3:$T$6,2,FALSE)))</f>
        <v/>
      </c>
      <c r="AJ104" s="545" t="str">
        <f t="shared" si="15"/>
        <v/>
      </c>
      <c r="AK104" s="149"/>
      <c r="AL104" s="150"/>
      <c r="AP104" s="31" t="str">
        <f>IFERROR(INDEX('G-6 Hedgerow Data'!$BJ$3:$BJ$15,MATCH(M104,'G-6 Hedgerow Data'!$B$3:$B$15,0)),"")</f>
        <v/>
      </c>
    </row>
    <row r="105" spans="2:42" ht="13.8" x14ac:dyDescent="0.25">
      <c r="B105" s="531" t="str">
        <f>'E-1 Off Site Hedge Baseline'!AK103</f>
        <v/>
      </c>
      <c r="C105" s="520" t="str">
        <f>IF(B105="","",IF(ISNA(VLOOKUP($B105,'E-1 Off Site Hedge Baseline'!$B$1:$L$257,3,FALSE)),"",(VLOOKUP($B105,'E-1 Off Site Hedge Baseline'!$B$1:$L$257,3,FALSE))))</f>
        <v/>
      </c>
      <c r="D105" s="520" t="str">
        <f>IF(B105="","",IF(ISNA(VLOOKUP($B105,'E-1 Off Site Hedge Baseline'!$B$1:$L$258,4,FALSE)),"",(VLOOKUP($B105,'E-1 Off Site Hedge Baseline'!$B$1:$L$258,4,FALSE))))</f>
        <v/>
      </c>
      <c r="E105" s="520" t="str">
        <f>IF(B105="","",IF(ISNA(VLOOKUP($B105,'E-1 Off Site Hedge Baseline'!$B$1:$L$257,5,FALSE)),"",(VLOOKUP($B105,'E-1 Off Site Hedge Baseline'!$B$1:$L$257,5,FALSE))))</f>
        <v/>
      </c>
      <c r="F105" s="520" t="str">
        <f>IF(B105="","",IF(ISNA(VLOOKUP($B105,'E-1 Off Site Hedge Baseline'!$B$1:$L$257,6,FALSE)),"",(VLOOKUP($B105,'E-1 Off Site Hedge Baseline'!$B$1:$L$257,6,FALSE))))</f>
        <v/>
      </c>
      <c r="G105" s="520" t="str">
        <f>IF(B105="","",IF(ISNA(VLOOKUP($B105,'E-1 Off Site Hedge Baseline'!$B$1:$L$257,7,FALSE)),"",(VLOOKUP($B105,'E-1 Off Site Hedge Baseline'!$B$1:$L$257,7,FALSE))))</f>
        <v/>
      </c>
      <c r="H105" s="520" t="str">
        <f>IF(B105="","",IF(ISNA(VLOOKUP($B105,'E-1 Off Site Hedge Baseline'!$B$1:$L$257,8,FALSE)),"",(VLOOKUP($B105,'E-1 Off Site Hedge Baseline'!$B$1:$L$257,8,FALSE))))</f>
        <v/>
      </c>
      <c r="I105" s="520" t="str">
        <f>IF(B105="","",IF(ISNA(VLOOKUP($B105,'E-1 Off Site Hedge Baseline'!$B$1:$L$257,10,FALSE)),"",(VLOOKUP($B105,'E-1 Off Site Hedge Baseline'!$B$1:$L$257,10,FALSE))))</f>
        <v/>
      </c>
      <c r="J105" s="520" t="str">
        <f>IF(B105="","",IF(ISNA(VLOOKUP($B105,'E-1 Off Site Hedge Baseline'!$B$1:$L$257,11,FALSE)),"",(VLOOKUP($B105,'E-1 Off Site Hedge Baseline'!$B$1:$L$257,11,FALSE))))</f>
        <v/>
      </c>
      <c r="K105" s="520" t="str">
        <f>IF(B105="","",IF(ISNA(VLOOKUP($B105,'E-1 Off Site Hedge Baseline'!$B$1:$U$257,113,FALSE)),"",(VLOOKUP($B105,'E-1 Off Site Hedge Baseline'!$B$1:$U$257,13,FALSE))))</f>
        <v/>
      </c>
      <c r="L105" s="507" t="str">
        <f>IF(B105="","",IF(ISNA(VLOOKUP($B105,'E-1 Off Site Hedge Baseline'!$B$1:$U$257,12,FALSE)),"",(VLOOKUP($B105,'E-1 Off Site Hedge Baseline'!$B$1:$U$257,12,FALSE))))</f>
        <v/>
      </c>
      <c r="M105" s="418" t="str">
        <f t="shared" si="16"/>
        <v/>
      </c>
      <c r="N105" s="498" t="str">
        <f>IFERROR(IF(B105="","",INDEX('G-6 Hedgerow Data'!$AN$3:$AZ$15,MATCH(C105,'G-6 Hedgerow Data'!$AM$3:$AM$15,0),MATCH(M105,'G-6 Hedgerow Data'!$AN$2:$AZ$2,0))),"")</f>
        <v/>
      </c>
      <c r="O105" s="499" t="str">
        <f t="shared" si="10"/>
        <v/>
      </c>
      <c r="P105" s="505" t="str">
        <f>IF(B105="","",VLOOKUP(B105,'E-1 Off Site Hedge Baseline'!$B$10:T350,16,FALSE))</f>
        <v/>
      </c>
      <c r="Q105" s="498" t="str">
        <f>IF(M105="","",VLOOKUP(M105,'G-6 Hedgerow Data'!$B$2:$AG$15,2,FALSE))</f>
        <v/>
      </c>
      <c r="R105" s="499" t="str">
        <f>IF(M105="","",VLOOKUP(M105,'G-6 Hedgerow Data'!$B$2:$AG$15,3,FALSE))</f>
        <v/>
      </c>
      <c r="S105" s="145"/>
      <c r="T105" s="499" t="str">
        <f>IFERROR(IF(AND(Q105="V.Low",OR(S105="Good",S105="Moderate")),"Error ▲",VLOOKUP(S105,'G-1 All Habitats'!$Z$2:$AA$9,2,FALSE)),"")</f>
        <v/>
      </c>
      <c r="U105" s="145"/>
      <c r="V105" s="507" t="str">
        <f>IF(U105="","",IF(VLOOKUP(U105,'G-3 Multipliers'!$L$3:$N$6,2,FALSE)=0,"Spatial Data Missing ⚠",VLOOKUP(U105,'G-3 Multipliers'!$L$3:$N$6,2,FALSE)))</f>
        <v/>
      </c>
      <c r="W105" s="505" t="str">
        <f>IF(U105="","",IF(VLOOKUP(U105,'G-3 Multipliers'!$L$3:$N$6,3,FALSE)=0,"Spatial Data Missing ⚠",VLOOKUP(U105,'G-3 Multipliers'!$L$3:$N$6,3,FALSE)))</f>
        <v/>
      </c>
      <c r="X105" s="498"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7" t="str">
        <f t="shared" si="11"/>
        <v/>
      </c>
      <c r="AB105" s="521" t="str">
        <f t="shared" si="12"/>
        <v/>
      </c>
      <c r="AC105" s="522" t="str">
        <f t="shared" si="9"/>
        <v/>
      </c>
      <c r="AD105" s="537" t="str">
        <f>IF(M105="","",VLOOKUP(M105,'G-6 Hedgerow Data'!$B$3:$AG$15,31,FALSE))</f>
        <v/>
      </c>
      <c r="AE105" s="520" t="str">
        <f t="shared" si="13"/>
        <v/>
      </c>
      <c r="AF105" s="520" t="str">
        <f t="shared" si="14"/>
        <v/>
      </c>
      <c r="AG105" s="524" t="str">
        <f>IFERROR(IF(O105="","",VLOOKUP(AD105,'G-3 Multipliers'!$P$3:$Q$6,2,FALSE)),"")</f>
        <v/>
      </c>
      <c r="AH105" s="197"/>
      <c r="AI105" s="499" t="str">
        <f>IF(AH105="","",IF(VLOOKUP(AH105,'G-3 Multipliers'!$S$3:$T$6,2,FALSE)=0,"Spatial Data Missing ⚠",VLOOKUP(AH105,'G-3 Multipliers'!$S$3:$T$6,2,FALSE)))</f>
        <v/>
      </c>
      <c r="AJ105" s="545" t="str">
        <f t="shared" si="15"/>
        <v/>
      </c>
      <c r="AK105" s="149"/>
      <c r="AL105" s="150"/>
      <c r="AP105" s="31" t="str">
        <f>IFERROR(INDEX('G-6 Hedgerow Data'!$BJ$3:$BJ$15,MATCH(M105,'G-6 Hedgerow Data'!$B$3:$B$15,0)),"")</f>
        <v/>
      </c>
    </row>
    <row r="106" spans="2:42" ht="13.8" x14ac:dyDescent="0.25">
      <c r="B106" s="531" t="str">
        <f>'E-1 Off Site Hedge Baseline'!AK104</f>
        <v/>
      </c>
      <c r="C106" s="520" t="str">
        <f>IF(B106="","",IF(ISNA(VLOOKUP($B106,'E-1 Off Site Hedge Baseline'!$B$1:$L$257,3,FALSE)),"",(VLOOKUP($B106,'E-1 Off Site Hedge Baseline'!$B$1:$L$257,3,FALSE))))</f>
        <v/>
      </c>
      <c r="D106" s="520" t="str">
        <f>IF(B106="","",IF(ISNA(VLOOKUP($B106,'E-1 Off Site Hedge Baseline'!$B$1:$L$258,4,FALSE)),"",(VLOOKUP($B106,'E-1 Off Site Hedge Baseline'!$B$1:$L$258,4,FALSE))))</f>
        <v/>
      </c>
      <c r="E106" s="520" t="str">
        <f>IF(B106="","",IF(ISNA(VLOOKUP($B106,'E-1 Off Site Hedge Baseline'!$B$1:$L$257,5,FALSE)),"",(VLOOKUP($B106,'E-1 Off Site Hedge Baseline'!$B$1:$L$257,5,FALSE))))</f>
        <v/>
      </c>
      <c r="F106" s="520" t="str">
        <f>IF(B106="","",IF(ISNA(VLOOKUP($B106,'E-1 Off Site Hedge Baseline'!$B$1:$L$257,6,FALSE)),"",(VLOOKUP($B106,'E-1 Off Site Hedge Baseline'!$B$1:$L$257,6,FALSE))))</f>
        <v/>
      </c>
      <c r="G106" s="520" t="str">
        <f>IF(B106="","",IF(ISNA(VLOOKUP($B106,'E-1 Off Site Hedge Baseline'!$B$1:$L$257,7,FALSE)),"",(VLOOKUP($B106,'E-1 Off Site Hedge Baseline'!$B$1:$L$257,7,FALSE))))</f>
        <v/>
      </c>
      <c r="H106" s="520" t="str">
        <f>IF(B106="","",IF(ISNA(VLOOKUP($B106,'E-1 Off Site Hedge Baseline'!$B$1:$L$257,8,FALSE)),"",(VLOOKUP($B106,'E-1 Off Site Hedge Baseline'!$B$1:$L$257,8,FALSE))))</f>
        <v/>
      </c>
      <c r="I106" s="520" t="str">
        <f>IF(B106="","",IF(ISNA(VLOOKUP($B106,'E-1 Off Site Hedge Baseline'!$B$1:$L$257,10,FALSE)),"",(VLOOKUP($B106,'E-1 Off Site Hedge Baseline'!$B$1:$L$257,10,FALSE))))</f>
        <v/>
      </c>
      <c r="J106" s="520" t="str">
        <f>IF(B106="","",IF(ISNA(VLOOKUP($B106,'E-1 Off Site Hedge Baseline'!$B$1:$L$257,11,FALSE)),"",(VLOOKUP($B106,'E-1 Off Site Hedge Baseline'!$B$1:$L$257,11,FALSE))))</f>
        <v/>
      </c>
      <c r="K106" s="520" t="str">
        <f>IF(B106="","",IF(ISNA(VLOOKUP($B106,'E-1 Off Site Hedge Baseline'!$B$1:$U$257,113,FALSE)),"",(VLOOKUP($B106,'E-1 Off Site Hedge Baseline'!$B$1:$U$257,13,FALSE))))</f>
        <v/>
      </c>
      <c r="L106" s="507" t="str">
        <f>IF(B106="","",IF(ISNA(VLOOKUP($B106,'E-1 Off Site Hedge Baseline'!$B$1:$U$257,12,FALSE)),"",(VLOOKUP($B106,'E-1 Off Site Hedge Baseline'!$B$1:$U$257,12,FALSE))))</f>
        <v/>
      </c>
      <c r="M106" s="418" t="str">
        <f t="shared" si="16"/>
        <v/>
      </c>
      <c r="N106" s="498" t="str">
        <f>IFERROR(IF(B106="","",INDEX('G-6 Hedgerow Data'!$AN$3:$AZ$15,MATCH(C106,'G-6 Hedgerow Data'!$AM$3:$AM$15,0),MATCH(M106,'G-6 Hedgerow Data'!$AN$2:$AZ$2,0))),"")</f>
        <v/>
      </c>
      <c r="O106" s="499" t="str">
        <f t="shared" si="10"/>
        <v/>
      </c>
      <c r="P106" s="505" t="str">
        <f>IF(B106="","",VLOOKUP(B106,'E-1 Off Site Hedge Baseline'!$B$10:T351,16,FALSE))</f>
        <v/>
      </c>
      <c r="Q106" s="498" t="str">
        <f>IF(M106="","",VLOOKUP(M106,'G-6 Hedgerow Data'!$B$2:$AG$15,2,FALSE))</f>
        <v/>
      </c>
      <c r="R106" s="499" t="str">
        <f>IF(M106="","",VLOOKUP(M106,'G-6 Hedgerow Data'!$B$2:$AG$15,3,FALSE))</f>
        <v/>
      </c>
      <c r="S106" s="145"/>
      <c r="T106" s="499" t="str">
        <f>IFERROR(IF(AND(Q106="V.Low",OR(S106="Good",S106="Moderate")),"Error ▲",VLOOKUP(S106,'G-1 All Habitats'!$Z$2:$AA$9,2,FALSE)),"")</f>
        <v/>
      </c>
      <c r="U106" s="145"/>
      <c r="V106" s="507" t="str">
        <f>IF(U106="","",IF(VLOOKUP(U106,'G-3 Multipliers'!$L$3:$N$6,2,FALSE)=0,"Spatial Data Missing ⚠",VLOOKUP(U106,'G-3 Multipliers'!$L$3:$N$6,2,FALSE)))</f>
        <v/>
      </c>
      <c r="W106" s="505" t="str">
        <f>IF(U106="","",IF(VLOOKUP(U106,'G-3 Multipliers'!$L$3:$N$6,3,FALSE)=0,"Spatial Data Missing ⚠",VLOOKUP(U106,'G-3 Multipliers'!$L$3:$N$6,3,FALSE)))</f>
        <v/>
      </c>
      <c r="X106" s="498"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7" t="str">
        <f t="shared" si="11"/>
        <v/>
      </c>
      <c r="AB106" s="521" t="str">
        <f t="shared" si="12"/>
        <v/>
      </c>
      <c r="AC106" s="522" t="str">
        <f t="shared" si="9"/>
        <v/>
      </c>
      <c r="AD106" s="537" t="str">
        <f>IF(M106="","",VLOOKUP(M106,'G-6 Hedgerow Data'!$B$3:$AG$15,31,FALSE))</f>
        <v/>
      </c>
      <c r="AE106" s="520" t="str">
        <f t="shared" si="13"/>
        <v/>
      </c>
      <c r="AF106" s="520" t="str">
        <f t="shared" si="14"/>
        <v/>
      </c>
      <c r="AG106" s="524" t="str">
        <f>IFERROR(IF(O106="","",VLOOKUP(AD106,'G-3 Multipliers'!$P$3:$Q$6,2,FALSE)),"")</f>
        <v/>
      </c>
      <c r="AH106" s="197"/>
      <c r="AI106" s="499" t="str">
        <f>IF(AH106="","",IF(VLOOKUP(AH106,'G-3 Multipliers'!$S$3:$T$6,2,FALSE)=0,"Spatial Data Missing ⚠",VLOOKUP(AH106,'G-3 Multipliers'!$S$3:$T$6,2,FALSE)))</f>
        <v/>
      </c>
      <c r="AJ106" s="545" t="str">
        <f t="shared" si="15"/>
        <v/>
      </c>
      <c r="AK106" s="149"/>
      <c r="AL106" s="150"/>
      <c r="AP106" s="31" t="str">
        <f>IFERROR(INDEX('G-6 Hedgerow Data'!$BJ$3:$BJ$15,MATCH(M106,'G-6 Hedgerow Data'!$B$3:$B$15,0)),"")</f>
        <v/>
      </c>
    </row>
    <row r="107" spans="2:42" ht="13.8" x14ac:dyDescent="0.25">
      <c r="B107" s="531" t="str">
        <f>'E-1 Off Site Hedge Baseline'!AK105</f>
        <v/>
      </c>
      <c r="C107" s="520" t="str">
        <f>IF(B107="","",IF(ISNA(VLOOKUP($B107,'E-1 Off Site Hedge Baseline'!$B$1:$L$257,3,FALSE)),"",(VLOOKUP($B107,'E-1 Off Site Hedge Baseline'!$B$1:$L$257,3,FALSE))))</f>
        <v/>
      </c>
      <c r="D107" s="520" t="str">
        <f>IF(B107="","",IF(ISNA(VLOOKUP($B107,'E-1 Off Site Hedge Baseline'!$B$1:$L$258,4,FALSE)),"",(VLOOKUP($B107,'E-1 Off Site Hedge Baseline'!$B$1:$L$258,4,FALSE))))</f>
        <v/>
      </c>
      <c r="E107" s="520" t="str">
        <f>IF(B107="","",IF(ISNA(VLOOKUP($B107,'E-1 Off Site Hedge Baseline'!$B$1:$L$257,5,FALSE)),"",(VLOOKUP($B107,'E-1 Off Site Hedge Baseline'!$B$1:$L$257,5,FALSE))))</f>
        <v/>
      </c>
      <c r="F107" s="520" t="str">
        <f>IF(B107="","",IF(ISNA(VLOOKUP($B107,'E-1 Off Site Hedge Baseline'!$B$1:$L$257,6,FALSE)),"",(VLOOKUP($B107,'E-1 Off Site Hedge Baseline'!$B$1:$L$257,6,FALSE))))</f>
        <v/>
      </c>
      <c r="G107" s="520" t="str">
        <f>IF(B107="","",IF(ISNA(VLOOKUP($B107,'E-1 Off Site Hedge Baseline'!$B$1:$L$257,7,FALSE)),"",(VLOOKUP($B107,'E-1 Off Site Hedge Baseline'!$B$1:$L$257,7,FALSE))))</f>
        <v/>
      </c>
      <c r="H107" s="520" t="str">
        <f>IF(B107="","",IF(ISNA(VLOOKUP($B107,'E-1 Off Site Hedge Baseline'!$B$1:$L$257,8,FALSE)),"",(VLOOKUP($B107,'E-1 Off Site Hedge Baseline'!$B$1:$L$257,8,FALSE))))</f>
        <v/>
      </c>
      <c r="I107" s="520" t="str">
        <f>IF(B107="","",IF(ISNA(VLOOKUP($B107,'E-1 Off Site Hedge Baseline'!$B$1:$L$257,10,FALSE)),"",(VLOOKUP($B107,'E-1 Off Site Hedge Baseline'!$B$1:$L$257,10,FALSE))))</f>
        <v/>
      </c>
      <c r="J107" s="520" t="str">
        <f>IF(B107="","",IF(ISNA(VLOOKUP($B107,'E-1 Off Site Hedge Baseline'!$B$1:$L$257,11,FALSE)),"",(VLOOKUP($B107,'E-1 Off Site Hedge Baseline'!$B$1:$L$257,11,FALSE))))</f>
        <v/>
      </c>
      <c r="K107" s="520" t="str">
        <f>IF(B107="","",IF(ISNA(VLOOKUP($B107,'E-1 Off Site Hedge Baseline'!$B$1:$U$257,113,FALSE)),"",(VLOOKUP($B107,'E-1 Off Site Hedge Baseline'!$B$1:$U$257,13,FALSE))))</f>
        <v/>
      </c>
      <c r="L107" s="507" t="str">
        <f>IF(B107="","",IF(ISNA(VLOOKUP($B107,'E-1 Off Site Hedge Baseline'!$B$1:$U$257,12,FALSE)),"",(VLOOKUP($B107,'E-1 Off Site Hedge Baseline'!$B$1:$U$257,12,FALSE))))</f>
        <v/>
      </c>
      <c r="M107" s="418" t="str">
        <f t="shared" si="16"/>
        <v/>
      </c>
      <c r="N107" s="498" t="str">
        <f>IFERROR(IF(B107="","",INDEX('G-6 Hedgerow Data'!$AN$3:$AZ$15,MATCH(C107,'G-6 Hedgerow Data'!$AM$3:$AM$15,0),MATCH(M107,'G-6 Hedgerow Data'!$AN$2:$AZ$2,0))),"")</f>
        <v/>
      </c>
      <c r="O107" s="499" t="str">
        <f t="shared" si="10"/>
        <v/>
      </c>
      <c r="P107" s="505" t="str">
        <f>IF(B107="","",VLOOKUP(B107,'E-1 Off Site Hedge Baseline'!$B$10:T352,16,FALSE))</f>
        <v/>
      </c>
      <c r="Q107" s="498" t="str">
        <f>IF(M107="","",VLOOKUP(M107,'G-6 Hedgerow Data'!$B$2:$AG$15,2,FALSE))</f>
        <v/>
      </c>
      <c r="R107" s="499" t="str">
        <f>IF(M107="","",VLOOKUP(M107,'G-6 Hedgerow Data'!$B$2:$AG$15,3,FALSE))</f>
        <v/>
      </c>
      <c r="S107" s="145"/>
      <c r="T107" s="499" t="str">
        <f>IFERROR(IF(AND(Q107="V.Low",OR(S107="Good",S107="Moderate")),"Error ▲",VLOOKUP(S107,'G-1 All Habitats'!$Z$2:$AA$9,2,FALSE)),"")</f>
        <v/>
      </c>
      <c r="U107" s="145"/>
      <c r="V107" s="507" t="str">
        <f>IF(U107="","",IF(VLOOKUP(U107,'G-3 Multipliers'!$L$3:$N$6,2,FALSE)=0,"Spatial Data Missing ⚠",VLOOKUP(U107,'G-3 Multipliers'!$L$3:$N$6,2,FALSE)))</f>
        <v/>
      </c>
      <c r="W107" s="505" t="str">
        <f>IF(U107="","",IF(VLOOKUP(U107,'G-3 Multipliers'!$L$3:$N$6,3,FALSE)=0,"Spatial Data Missing ⚠",VLOOKUP(U107,'G-3 Multipliers'!$L$3:$N$6,3,FALSE)))</f>
        <v/>
      </c>
      <c r="X107" s="498"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7" t="str">
        <f t="shared" si="11"/>
        <v/>
      </c>
      <c r="AB107" s="521" t="str">
        <f t="shared" si="12"/>
        <v/>
      </c>
      <c r="AC107" s="522" t="str">
        <f t="shared" si="9"/>
        <v/>
      </c>
      <c r="AD107" s="537" t="str">
        <f>IF(M107="","",VLOOKUP(M107,'G-6 Hedgerow Data'!$B$3:$AG$15,31,FALSE))</f>
        <v/>
      </c>
      <c r="AE107" s="520" t="str">
        <f t="shared" si="13"/>
        <v/>
      </c>
      <c r="AF107" s="520" t="str">
        <f t="shared" si="14"/>
        <v/>
      </c>
      <c r="AG107" s="524" t="str">
        <f>IFERROR(IF(O107="","",VLOOKUP(AD107,'G-3 Multipliers'!$P$3:$Q$6,2,FALSE)),"")</f>
        <v/>
      </c>
      <c r="AH107" s="197"/>
      <c r="AI107" s="499" t="str">
        <f>IF(AH107="","",IF(VLOOKUP(AH107,'G-3 Multipliers'!$S$3:$T$6,2,FALSE)=0,"Spatial Data Missing ⚠",VLOOKUP(AH107,'G-3 Multipliers'!$S$3:$T$6,2,FALSE)))</f>
        <v/>
      </c>
      <c r="AJ107" s="545" t="str">
        <f t="shared" si="15"/>
        <v/>
      </c>
      <c r="AK107" s="149"/>
      <c r="AL107" s="150"/>
      <c r="AP107" s="31" t="str">
        <f>IFERROR(INDEX('G-6 Hedgerow Data'!$BJ$3:$BJ$15,MATCH(M107,'G-6 Hedgerow Data'!$B$3:$B$15,0)),"")</f>
        <v/>
      </c>
    </row>
    <row r="108" spans="2:42" ht="13.8" x14ac:dyDescent="0.25">
      <c r="B108" s="531" t="str">
        <f>'E-1 Off Site Hedge Baseline'!AK106</f>
        <v/>
      </c>
      <c r="C108" s="520" t="str">
        <f>IF(B108="","",IF(ISNA(VLOOKUP($B108,'E-1 Off Site Hedge Baseline'!$B$1:$L$257,3,FALSE)),"",(VLOOKUP($B108,'E-1 Off Site Hedge Baseline'!$B$1:$L$257,3,FALSE))))</f>
        <v/>
      </c>
      <c r="D108" s="520" t="str">
        <f>IF(B108="","",IF(ISNA(VLOOKUP($B108,'E-1 Off Site Hedge Baseline'!$B$1:$L$258,4,FALSE)),"",(VLOOKUP($B108,'E-1 Off Site Hedge Baseline'!$B$1:$L$258,4,FALSE))))</f>
        <v/>
      </c>
      <c r="E108" s="520" t="str">
        <f>IF(B108="","",IF(ISNA(VLOOKUP($B108,'E-1 Off Site Hedge Baseline'!$B$1:$L$257,5,FALSE)),"",(VLOOKUP($B108,'E-1 Off Site Hedge Baseline'!$B$1:$L$257,5,FALSE))))</f>
        <v/>
      </c>
      <c r="F108" s="520" t="str">
        <f>IF(B108="","",IF(ISNA(VLOOKUP($B108,'E-1 Off Site Hedge Baseline'!$B$1:$L$257,6,FALSE)),"",(VLOOKUP($B108,'E-1 Off Site Hedge Baseline'!$B$1:$L$257,6,FALSE))))</f>
        <v/>
      </c>
      <c r="G108" s="520" t="str">
        <f>IF(B108="","",IF(ISNA(VLOOKUP($B108,'E-1 Off Site Hedge Baseline'!$B$1:$L$257,7,FALSE)),"",(VLOOKUP($B108,'E-1 Off Site Hedge Baseline'!$B$1:$L$257,7,FALSE))))</f>
        <v/>
      </c>
      <c r="H108" s="520" t="str">
        <f>IF(B108="","",IF(ISNA(VLOOKUP($B108,'E-1 Off Site Hedge Baseline'!$B$1:$L$257,8,FALSE)),"",(VLOOKUP($B108,'E-1 Off Site Hedge Baseline'!$B$1:$L$257,8,FALSE))))</f>
        <v/>
      </c>
      <c r="I108" s="520" t="str">
        <f>IF(B108="","",IF(ISNA(VLOOKUP($B108,'E-1 Off Site Hedge Baseline'!$B$1:$L$257,10,FALSE)),"",(VLOOKUP($B108,'E-1 Off Site Hedge Baseline'!$B$1:$L$257,10,FALSE))))</f>
        <v/>
      </c>
      <c r="J108" s="520" t="str">
        <f>IF(B108="","",IF(ISNA(VLOOKUP($B108,'E-1 Off Site Hedge Baseline'!$B$1:$L$257,11,FALSE)),"",(VLOOKUP($B108,'E-1 Off Site Hedge Baseline'!$B$1:$L$257,11,FALSE))))</f>
        <v/>
      </c>
      <c r="K108" s="520" t="str">
        <f>IF(B108="","",IF(ISNA(VLOOKUP($B108,'E-1 Off Site Hedge Baseline'!$B$1:$U$257,113,FALSE)),"",(VLOOKUP($B108,'E-1 Off Site Hedge Baseline'!$B$1:$U$257,13,FALSE))))</f>
        <v/>
      </c>
      <c r="L108" s="507" t="str">
        <f>IF(B108="","",IF(ISNA(VLOOKUP($B108,'E-1 Off Site Hedge Baseline'!$B$1:$U$257,12,FALSE)),"",(VLOOKUP($B108,'E-1 Off Site Hedge Baseline'!$B$1:$U$257,12,FALSE))))</f>
        <v/>
      </c>
      <c r="M108" s="418" t="str">
        <f t="shared" si="16"/>
        <v/>
      </c>
      <c r="N108" s="498" t="str">
        <f>IFERROR(IF(B108="","",INDEX('G-6 Hedgerow Data'!$AN$3:$AZ$15,MATCH(C108,'G-6 Hedgerow Data'!$AM$3:$AM$15,0),MATCH(M108,'G-6 Hedgerow Data'!$AN$2:$AZ$2,0))),"")</f>
        <v/>
      </c>
      <c r="O108" s="499" t="str">
        <f t="shared" si="10"/>
        <v/>
      </c>
      <c r="P108" s="505" t="str">
        <f>IF(B108="","",VLOOKUP(B108,'E-1 Off Site Hedge Baseline'!$B$10:T353,16,FALSE))</f>
        <v/>
      </c>
      <c r="Q108" s="498" t="str">
        <f>IF(M108="","",VLOOKUP(M108,'G-6 Hedgerow Data'!$B$2:$AG$15,2,FALSE))</f>
        <v/>
      </c>
      <c r="R108" s="499" t="str">
        <f>IF(M108="","",VLOOKUP(M108,'G-6 Hedgerow Data'!$B$2:$AG$15,3,FALSE))</f>
        <v/>
      </c>
      <c r="S108" s="145"/>
      <c r="T108" s="499" t="str">
        <f>IFERROR(IF(AND(Q108="V.Low",OR(S108="Good",S108="Moderate")),"Error ▲",VLOOKUP(S108,'G-1 All Habitats'!$Z$2:$AA$9,2,FALSE)),"")</f>
        <v/>
      </c>
      <c r="U108" s="145"/>
      <c r="V108" s="507" t="str">
        <f>IF(U108="","",IF(VLOOKUP(U108,'G-3 Multipliers'!$L$3:$N$6,2,FALSE)=0,"Spatial Data Missing ⚠",VLOOKUP(U108,'G-3 Multipliers'!$L$3:$N$6,2,FALSE)))</f>
        <v/>
      </c>
      <c r="W108" s="505" t="str">
        <f>IF(U108="","",IF(VLOOKUP(U108,'G-3 Multipliers'!$L$3:$N$6,3,FALSE)=0,"Spatial Data Missing ⚠",VLOOKUP(U108,'G-3 Multipliers'!$L$3:$N$6,3,FALSE)))</f>
        <v/>
      </c>
      <c r="X108" s="498"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7" t="str">
        <f t="shared" si="11"/>
        <v/>
      </c>
      <c r="AB108" s="521" t="str">
        <f t="shared" si="12"/>
        <v/>
      </c>
      <c r="AC108" s="522" t="str">
        <f t="shared" si="9"/>
        <v/>
      </c>
      <c r="AD108" s="537" t="str">
        <f>IF(M108="","",VLOOKUP(M108,'G-6 Hedgerow Data'!$B$3:$AG$15,31,FALSE))</f>
        <v/>
      </c>
      <c r="AE108" s="520" t="str">
        <f t="shared" si="13"/>
        <v/>
      </c>
      <c r="AF108" s="520" t="str">
        <f t="shared" si="14"/>
        <v/>
      </c>
      <c r="AG108" s="524" t="str">
        <f>IFERROR(IF(O108="","",VLOOKUP(AD108,'G-3 Multipliers'!$P$3:$Q$6,2,FALSE)),"")</f>
        <v/>
      </c>
      <c r="AH108" s="197"/>
      <c r="AI108" s="499" t="str">
        <f>IF(AH108="","",IF(VLOOKUP(AH108,'G-3 Multipliers'!$S$3:$T$6,2,FALSE)=0,"Spatial Data Missing ⚠",VLOOKUP(AH108,'G-3 Multipliers'!$S$3:$T$6,2,FALSE)))</f>
        <v/>
      </c>
      <c r="AJ108" s="545" t="str">
        <f t="shared" si="15"/>
        <v/>
      </c>
      <c r="AK108" s="149"/>
      <c r="AL108" s="150"/>
      <c r="AP108" s="31" t="str">
        <f>IFERROR(INDEX('G-6 Hedgerow Data'!$BJ$3:$BJ$15,MATCH(M108,'G-6 Hedgerow Data'!$B$3:$B$15,0)),"")</f>
        <v/>
      </c>
    </row>
    <row r="109" spans="2:42" ht="13.8" x14ac:dyDescent="0.25">
      <c r="B109" s="531" t="str">
        <f>'E-1 Off Site Hedge Baseline'!AK107</f>
        <v/>
      </c>
      <c r="C109" s="520" t="str">
        <f>IF(B109="","",IF(ISNA(VLOOKUP($B109,'E-1 Off Site Hedge Baseline'!$B$1:$L$257,3,FALSE)),"",(VLOOKUP($B109,'E-1 Off Site Hedge Baseline'!$B$1:$L$257,3,FALSE))))</f>
        <v/>
      </c>
      <c r="D109" s="520" t="str">
        <f>IF(B109="","",IF(ISNA(VLOOKUP($B109,'E-1 Off Site Hedge Baseline'!$B$1:$L$258,4,FALSE)),"",(VLOOKUP($B109,'E-1 Off Site Hedge Baseline'!$B$1:$L$258,4,FALSE))))</f>
        <v/>
      </c>
      <c r="E109" s="520" t="str">
        <f>IF(B109="","",IF(ISNA(VLOOKUP($B109,'E-1 Off Site Hedge Baseline'!$B$1:$L$257,5,FALSE)),"",(VLOOKUP($B109,'E-1 Off Site Hedge Baseline'!$B$1:$L$257,5,FALSE))))</f>
        <v/>
      </c>
      <c r="F109" s="520" t="str">
        <f>IF(B109="","",IF(ISNA(VLOOKUP($B109,'E-1 Off Site Hedge Baseline'!$B$1:$L$257,6,FALSE)),"",(VLOOKUP($B109,'E-1 Off Site Hedge Baseline'!$B$1:$L$257,6,FALSE))))</f>
        <v/>
      </c>
      <c r="G109" s="520" t="str">
        <f>IF(B109="","",IF(ISNA(VLOOKUP($B109,'E-1 Off Site Hedge Baseline'!$B$1:$L$257,7,FALSE)),"",(VLOOKUP($B109,'E-1 Off Site Hedge Baseline'!$B$1:$L$257,7,FALSE))))</f>
        <v/>
      </c>
      <c r="H109" s="520" t="str">
        <f>IF(B109="","",IF(ISNA(VLOOKUP($B109,'E-1 Off Site Hedge Baseline'!$B$1:$L$257,8,FALSE)),"",(VLOOKUP($B109,'E-1 Off Site Hedge Baseline'!$B$1:$L$257,8,FALSE))))</f>
        <v/>
      </c>
      <c r="I109" s="520" t="str">
        <f>IF(B109="","",IF(ISNA(VLOOKUP($B109,'E-1 Off Site Hedge Baseline'!$B$1:$L$257,10,FALSE)),"",(VLOOKUP($B109,'E-1 Off Site Hedge Baseline'!$B$1:$L$257,10,FALSE))))</f>
        <v/>
      </c>
      <c r="J109" s="520" t="str">
        <f>IF(B109="","",IF(ISNA(VLOOKUP($B109,'E-1 Off Site Hedge Baseline'!$B$1:$L$257,11,FALSE)),"",(VLOOKUP($B109,'E-1 Off Site Hedge Baseline'!$B$1:$L$257,11,FALSE))))</f>
        <v/>
      </c>
      <c r="K109" s="520" t="str">
        <f>IF(B109="","",IF(ISNA(VLOOKUP($B109,'E-1 Off Site Hedge Baseline'!$B$1:$U$257,113,FALSE)),"",(VLOOKUP($B109,'E-1 Off Site Hedge Baseline'!$B$1:$U$257,13,FALSE))))</f>
        <v/>
      </c>
      <c r="L109" s="507" t="str">
        <f>IF(B109="","",IF(ISNA(VLOOKUP($B109,'E-1 Off Site Hedge Baseline'!$B$1:$U$257,12,FALSE)),"",(VLOOKUP($B109,'E-1 Off Site Hedge Baseline'!$B$1:$U$257,12,FALSE))))</f>
        <v/>
      </c>
      <c r="M109" s="418" t="str">
        <f t="shared" si="16"/>
        <v/>
      </c>
      <c r="N109" s="498" t="str">
        <f>IFERROR(IF(B109="","",INDEX('G-6 Hedgerow Data'!$AN$3:$AZ$15,MATCH(C109,'G-6 Hedgerow Data'!$AM$3:$AM$15,0),MATCH(M109,'G-6 Hedgerow Data'!$AN$2:$AZ$2,0))),"")</f>
        <v/>
      </c>
      <c r="O109" s="499" t="str">
        <f t="shared" si="10"/>
        <v/>
      </c>
      <c r="P109" s="505" t="str">
        <f>IF(B109="","",VLOOKUP(B109,'E-1 Off Site Hedge Baseline'!$B$10:T354,16,FALSE))</f>
        <v/>
      </c>
      <c r="Q109" s="498" t="str">
        <f>IF(M109="","",VLOOKUP(M109,'G-6 Hedgerow Data'!$B$2:$AG$15,2,FALSE))</f>
        <v/>
      </c>
      <c r="R109" s="499" t="str">
        <f>IF(M109="","",VLOOKUP(M109,'G-6 Hedgerow Data'!$B$2:$AG$15,3,FALSE))</f>
        <v/>
      </c>
      <c r="S109" s="145"/>
      <c r="T109" s="499" t="str">
        <f>IFERROR(IF(AND(Q109="V.Low",OR(S109="Good",S109="Moderate")),"Error ▲",VLOOKUP(S109,'G-1 All Habitats'!$Z$2:$AA$9,2,FALSE)),"")</f>
        <v/>
      </c>
      <c r="U109" s="145"/>
      <c r="V109" s="507" t="str">
        <f>IF(U109="","",IF(VLOOKUP(U109,'G-3 Multipliers'!$L$3:$N$6,2,FALSE)=0,"Spatial Data Missing ⚠",VLOOKUP(U109,'G-3 Multipliers'!$L$3:$N$6,2,FALSE)))</f>
        <v/>
      </c>
      <c r="W109" s="505" t="str">
        <f>IF(U109="","",IF(VLOOKUP(U109,'G-3 Multipliers'!$L$3:$N$6,3,FALSE)=0,"Spatial Data Missing ⚠",VLOOKUP(U109,'G-3 Multipliers'!$L$3:$N$6,3,FALSE)))</f>
        <v/>
      </c>
      <c r="X109" s="498"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7" t="str">
        <f t="shared" si="11"/>
        <v/>
      </c>
      <c r="AB109" s="521" t="str">
        <f t="shared" si="12"/>
        <v/>
      </c>
      <c r="AC109" s="522" t="str">
        <f t="shared" si="9"/>
        <v/>
      </c>
      <c r="AD109" s="537" t="str">
        <f>IF(M109="","",VLOOKUP(M109,'G-6 Hedgerow Data'!$B$3:$AG$15,31,FALSE))</f>
        <v/>
      </c>
      <c r="AE109" s="520" t="str">
        <f t="shared" si="13"/>
        <v/>
      </c>
      <c r="AF109" s="520" t="str">
        <f t="shared" si="14"/>
        <v/>
      </c>
      <c r="AG109" s="524" t="str">
        <f>IFERROR(IF(O109="","",VLOOKUP(AD109,'G-3 Multipliers'!$P$3:$Q$6,2,FALSE)),"")</f>
        <v/>
      </c>
      <c r="AH109" s="197"/>
      <c r="AI109" s="499" t="str">
        <f>IF(AH109="","",IF(VLOOKUP(AH109,'G-3 Multipliers'!$S$3:$T$6,2,FALSE)=0,"Spatial Data Missing ⚠",VLOOKUP(AH109,'G-3 Multipliers'!$S$3:$T$6,2,FALSE)))</f>
        <v/>
      </c>
      <c r="AJ109" s="545" t="str">
        <f t="shared" si="15"/>
        <v/>
      </c>
      <c r="AK109" s="149"/>
      <c r="AL109" s="150"/>
      <c r="AP109" s="31" t="str">
        <f>IFERROR(INDEX('G-6 Hedgerow Data'!$BJ$3:$BJ$15,MATCH(M109,'G-6 Hedgerow Data'!$B$3:$B$15,0)),"")</f>
        <v/>
      </c>
    </row>
    <row r="110" spans="2:42" ht="13.8" x14ac:dyDescent="0.25">
      <c r="B110" s="531" t="str">
        <f>'E-1 Off Site Hedge Baseline'!AK108</f>
        <v/>
      </c>
      <c r="C110" s="520" t="str">
        <f>IF(B110="","",IF(ISNA(VLOOKUP($B110,'E-1 Off Site Hedge Baseline'!$B$1:$L$257,3,FALSE)),"",(VLOOKUP($B110,'E-1 Off Site Hedge Baseline'!$B$1:$L$257,3,FALSE))))</f>
        <v/>
      </c>
      <c r="D110" s="520" t="str">
        <f>IF(B110="","",IF(ISNA(VLOOKUP($B110,'E-1 Off Site Hedge Baseline'!$B$1:$L$258,4,FALSE)),"",(VLOOKUP($B110,'E-1 Off Site Hedge Baseline'!$B$1:$L$258,4,FALSE))))</f>
        <v/>
      </c>
      <c r="E110" s="520" t="str">
        <f>IF(B110="","",IF(ISNA(VLOOKUP($B110,'E-1 Off Site Hedge Baseline'!$B$1:$L$257,5,FALSE)),"",(VLOOKUP($B110,'E-1 Off Site Hedge Baseline'!$B$1:$L$257,5,FALSE))))</f>
        <v/>
      </c>
      <c r="F110" s="520" t="str">
        <f>IF(B110="","",IF(ISNA(VLOOKUP($B110,'E-1 Off Site Hedge Baseline'!$B$1:$L$257,6,FALSE)),"",(VLOOKUP($B110,'E-1 Off Site Hedge Baseline'!$B$1:$L$257,6,FALSE))))</f>
        <v/>
      </c>
      <c r="G110" s="520" t="str">
        <f>IF(B110="","",IF(ISNA(VLOOKUP($B110,'E-1 Off Site Hedge Baseline'!$B$1:$L$257,7,FALSE)),"",(VLOOKUP($B110,'E-1 Off Site Hedge Baseline'!$B$1:$L$257,7,FALSE))))</f>
        <v/>
      </c>
      <c r="H110" s="520" t="str">
        <f>IF(B110="","",IF(ISNA(VLOOKUP($B110,'E-1 Off Site Hedge Baseline'!$B$1:$L$257,8,FALSE)),"",(VLOOKUP($B110,'E-1 Off Site Hedge Baseline'!$B$1:$L$257,8,FALSE))))</f>
        <v/>
      </c>
      <c r="I110" s="520" t="str">
        <f>IF(B110="","",IF(ISNA(VLOOKUP($B110,'E-1 Off Site Hedge Baseline'!$B$1:$L$257,10,FALSE)),"",(VLOOKUP($B110,'E-1 Off Site Hedge Baseline'!$B$1:$L$257,10,FALSE))))</f>
        <v/>
      </c>
      <c r="J110" s="520" t="str">
        <f>IF(B110="","",IF(ISNA(VLOOKUP($B110,'E-1 Off Site Hedge Baseline'!$B$1:$L$257,11,FALSE)),"",(VLOOKUP($B110,'E-1 Off Site Hedge Baseline'!$B$1:$L$257,11,FALSE))))</f>
        <v/>
      </c>
      <c r="K110" s="520" t="str">
        <f>IF(B110="","",IF(ISNA(VLOOKUP($B110,'E-1 Off Site Hedge Baseline'!$B$1:$U$257,113,FALSE)),"",(VLOOKUP($B110,'E-1 Off Site Hedge Baseline'!$B$1:$U$257,13,FALSE))))</f>
        <v/>
      </c>
      <c r="L110" s="507" t="str">
        <f>IF(B110="","",IF(ISNA(VLOOKUP($B110,'E-1 Off Site Hedge Baseline'!$B$1:$U$257,12,FALSE)),"",(VLOOKUP($B110,'E-1 Off Site Hedge Baseline'!$B$1:$U$257,12,FALSE))))</f>
        <v/>
      </c>
      <c r="M110" s="418" t="str">
        <f t="shared" si="16"/>
        <v/>
      </c>
      <c r="N110" s="498" t="str">
        <f>IFERROR(IF(B110="","",INDEX('G-6 Hedgerow Data'!$AN$3:$AZ$15,MATCH(C110,'G-6 Hedgerow Data'!$AM$3:$AM$15,0),MATCH(M110,'G-6 Hedgerow Data'!$AN$2:$AZ$2,0))),"")</f>
        <v/>
      </c>
      <c r="O110" s="499" t="str">
        <f t="shared" si="10"/>
        <v/>
      </c>
      <c r="P110" s="505" t="str">
        <f>IF(B110="","",VLOOKUP(B110,'E-1 Off Site Hedge Baseline'!$B$10:T355,16,FALSE))</f>
        <v/>
      </c>
      <c r="Q110" s="498" t="str">
        <f>IF(M110="","",VLOOKUP(M110,'G-6 Hedgerow Data'!$B$2:$AG$15,2,FALSE))</f>
        <v/>
      </c>
      <c r="R110" s="499" t="str">
        <f>IF(M110="","",VLOOKUP(M110,'G-6 Hedgerow Data'!$B$2:$AG$15,3,FALSE))</f>
        <v/>
      </c>
      <c r="S110" s="145"/>
      <c r="T110" s="499" t="str">
        <f>IFERROR(IF(AND(Q110="V.Low",OR(S110="Good",S110="Moderate")),"Error ▲",VLOOKUP(S110,'G-1 All Habitats'!$Z$2:$AA$9,2,FALSE)),"")</f>
        <v/>
      </c>
      <c r="U110" s="145"/>
      <c r="V110" s="507" t="str">
        <f>IF(U110="","",IF(VLOOKUP(U110,'G-3 Multipliers'!$L$3:$N$6,2,FALSE)=0,"Spatial Data Missing ⚠",VLOOKUP(U110,'G-3 Multipliers'!$L$3:$N$6,2,FALSE)))</f>
        <v/>
      </c>
      <c r="W110" s="505" t="str">
        <f>IF(U110="","",IF(VLOOKUP(U110,'G-3 Multipliers'!$L$3:$N$6,3,FALSE)=0,"Spatial Data Missing ⚠",VLOOKUP(U110,'G-3 Multipliers'!$L$3:$N$6,3,FALSE)))</f>
        <v/>
      </c>
      <c r="X110" s="498"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7" t="str">
        <f t="shared" si="11"/>
        <v/>
      </c>
      <c r="AB110" s="521" t="str">
        <f t="shared" si="12"/>
        <v/>
      </c>
      <c r="AC110" s="522" t="str">
        <f t="shared" si="9"/>
        <v/>
      </c>
      <c r="AD110" s="537" t="str">
        <f>IF(M110="","",VLOOKUP(M110,'G-6 Hedgerow Data'!$B$3:$AG$15,31,FALSE))</f>
        <v/>
      </c>
      <c r="AE110" s="520" t="str">
        <f t="shared" si="13"/>
        <v/>
      </c>
      <c r="AF110" s="520" t="str">
        <f t="shared" si="14"/>
        <v/>
      </c>
      <c r="AG110" s="524" t="str">
        <f>IFERROR(IF(O110="","",VLOOKUP(AD110,'G-3 Multipliers'!$P$3:$Q$6,2,FALSE)),"")</f>
        <v/>
      </c>
      <c r="AH110" s="197"/>
      <c r="AI110" s="499" t="str">
        <f>IF(AH110="","",IF(VLOOKUP(AH110,'G-3 Multipliers'!$S$3:$T$6,2,FALSE)=0,"Spatial Data Missing ⚠",VLOOKUP(AH110,'G-3 Multipliers'!$S$3:$T$6,2,FALSE)))</f>
        <v/>
      </c>
      <c r="AJ110" s="545" t="str">
        <f t="shared" si="15"/>
        <v/>
      </c>
      <c r="AK110" s="149"/>
      <c r="AL110" s="150"/>
      <c r="AP110" s="31" t="str">
        <f>IFERROR(INDEX('G-6 Hedgerow Data'!$BJ$3:$BJ$15,MATCH(M110,'G-6 Hedgerow Data'!$B$3:$B$15,0)),"")</f>
        <v/>
      </c>
    </row>
    <row r="111" spans="2:42" ht="13.8" x14ac:dyDescent="0.25">
      <c r="B111" s="531" t="str">
        <f>'E-1 Off Site Hedge Baseline'!AK109</f>
        <v/>
      </c>
      <c r="C111" s="520" t="str">
        <f>IF(B111="","",IF(ISNA(VLOOKUP($B111,'E-1 Off Site Hedge Baseline'!$B$1:$L$257,3,FALSE)),"",(VLOOKUP($B111,'E-1 Off Site Hedge Baseline'!$B$1:$L$257,3,FALSE))))</f>
        <v/>
      </c>
      <c r="D111" s="520" t="str">
        <f>IF(B111="","",IF(ISNA(VLOOKUP($B111,'E-1 Off Site Hedge Baseline'!$B$1:$L$258,4,FALSE)),"",(VLOOKUP($B111,'E-1 Off Site Hedge Baseline'!$B$1:$L$258,4,FALSE))))</f>
        <v/>
      </c>
      <c r="E111" s="520" t="str">
        <f>IF(B111="","",IF(ISNA(VLOOKUP($B111,'E-1 Off Site Hedge Baseline'!$B$1:$L$257,5,FALSE)),"",(VLOOKUP($B111,'E-1 Off Site Hedge Baseline'!$B$1:$L$257,5,FALSE))))</f>
        <v/>
      </c>
      <c r="F111" s="520" t="str">
        <f>IF(B111="","",IF(ISNA(VLOOKUP($B111,'E-1 Off Site Hedge Baseline'!$B$1:$L$257,6,FALSE)),"",(VLOOKUP($B111,'E-1 Off Site Hedge Baseline'!$B$1:$L$257,6,FALSE))))</f>
        <v/>
      </c>
      <c r="G111" s="520" t="str">
        <f>IF(B111="","",IF(ISNA(VLOOKUP($B111,'E-1 Off Site Hedge Baseline'!$B$1:$L$257,7,FALSE)),"",(VLOOKUP($B111,'E-1 Off Site Hedge Baseline'!$B$1:$L$257,7,FALSE))))</f>
        <v/>
      </c>
      <c r="H111" s="520" t="str">
        <f>IF(B111="","",IF(ISNA(VLOOKUP($B111,'E-1 Off Site Hedge Baseline'!$B$1:$L$257,8,FALSE)),"",(VLOOKUP($B111,'E-1 Off Site Hedge Baseline'!$B$1:$L$257,8,FALSE))))</f>
        <v/>
      </c>
      <c r="I111" s="520" t="str">
        <f>IF(B111="","",IF(ISNA(VLOOKUP($B111,'E-1 Off Site Hedge Baseline'!$B$1:$L$257,10,FALSE)),"",(VLOOKUP($B111,'E-1 Off Site Hedge Baseline'!$B$1:$L$257,10,FALSE))))</f>
        <v/>
      </c>
      <c r="J111" s="520" t="str">
        <f>IF(B111="","",IF(ISNA(VLOOKUP($B111,'E-1 Off Site Hedge Baseline'!$B$1:$L$257,11,FALSE)),"",(VLOOKUP($B111,'E-1 Off Site Hedge Baseline'!$B$1:$L$257,11,FALSE))))</f>
        <v/>
      </c>
      <c r="K111" s="520" t="str">
        <f>IF(B111="","",IF(ISNA(VLOOKUP($B111,'E-1 Off Site Hedge Baseline'!$B$1:$U$257,113,FALSE)),"",(VLOOKUP($B111,'E-1 Off Site Hedge Baseline'!$B$1:$U$257,13,FALSE))))</f>
        <v/>
      </c>
      <c r="L111" s="507" t="str">
        <f>IF(B111="","",IF(ISNA(VLOOKUP($B111,'E-1 Off Site Hedge Baseline'!$B$1:$U$257,12,FALSE)),"",(VLOOKUP($B111,'E-1 Off Site Hedge Baseline'!$B$1:$U$257,12,FALSE))))</f>
        <v/>
      </c>
      <c r="M111" s="418" t="str">
        <f t="shared" si="16"/>
        <v/>
      </c>
      <c r="N111" s="498" t="str">
        <f>IFERROR(IF(B111="","",INDEX('G-6 Hedgerow Data'!$AN$3:$AZ$15,MATCH(C111,'G-6 Hedgerow Data'!$AM$3:$AM$15,0),MATCH(M111,'G-6 Hedgerow Data'!$AN$2:$AZ$2,0))),"")</f>
        <v/>
      </c>
      <c r="O111" s="499" t="str">
        <f t="shared" si="10"/>
        <v/>
      </c>
      <c r="P111" s="505" t="str">
        <f>IF(B111="","",VLOOKUP(B111,'E-1 Off Site Hedge Baseline'!$B$10:T356,16,FALSE))</f>
        <v/>
      </c>
      <c r="Q111" s="498" t="str">
        <f>IF(M111="","",VLOOKUP(M111,'G-6 Hedgerow Data'!$B$2:$AG$15,2,FALSE))</f>
        <v/>
      </c>
      <c r="R111" s="499" t="str">
        <f>IF(M111="","",VLOOKUP(M111,'G-6 Hedgerow Data'!$B$2:$AG$15,3,FALSE))</f>
        <v/>
      </c>
      <c r="S111" s="145"/>
      <c r="T111" s="499" t="str">
        <f>IFERROR(IF(AND(Q111="V.Low",OR(S111="Good",S111="Moderate")),"Error ▲",VLOOKUP(S111,'G-1 All Habitats'!$Z$2:$AA$9,2,FALSE)),"")</f>
        <v/>
      </c>
      <c r="U111" s="145"/>
      <c r="V111" s="507" t="str">
        <f>IF(U111="","",IF(VLOOKUP(U111,'G-3 Multipliers'!$L$3:$N$6,2,FALSE)=0,"Spatial Data Missing ⚠",VLOOKUP(U111,'G-3 Multipliers'!$L$3:$N$6,2,FALSE)))</f>
        <v/>
      </c>
      <c r="W111" s="505" t="str">
        <f>IF(U111="","",IF(VLOOKUP(U111,'G-3 Multipliers'!$L$3:$N$6,3,FALSE)=0,"Spatial Data Missing ⚠",VLOOKUP(U111,'G-3 Multipliers'!$L$3:$N$6,3,FALSE)))</f>
        <v/>
      </c>
      <c r="X111" s="498"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7" t="str">
        <f t="shared" si="11"/>
        <v/>
      </c>
      <c r="AB111" s="521" t="str">
        <f t="shared" si="12"/>
        <v/>
      </c>
      <c r="AC111" s="522" t="str">
        <f t="shared" si="9"/>
        <v/>
      </c>
      <c r="AD111" s="537" t="str">
        <f>IF(M111="","",VLOOKUP(M111,'G-6 Hedgerow Data'!$B$3:$AG$15,31,FALSE))</f>
        <v/>
      </c>
      <c r="AE111" s="520" t="str">
        <f t="shared" si="13"/>
        <v/>
      </c>
      <c r="AF111" s="520" t="str">
        <f t="shared" si="14"/>
        <v/>
      </c>
      <c r="AG111" s="524" t="str">
        <f>IFERROR(IF(O111="","",VLOOKUP(AD111,'G-3 Multipliers'!$P$3:$Q$6,2,FALSE)),"")</f>
        <v/>
      </c>
      <c r="AH111" s="197"/>
      <c r="AI111" s="499" t="str">
        <f>IF(AH111="","",IF(VLOOKUP(AH111,'G-3 Multipliers'!$S$3:$T$6,2,FALSE)=0,"Spatial Data Missing ⚠",VLOOKUP(AH111,'G-3 Multipliers'!$S$3:$T$6,2,FALSE)))</f>
        <v/>
      </c>
      <c r="AJ111" s="545" t="str">
        <f t="shared" si="15"/>
        <v/>
      </c>
      <c r="AK111" s="149"/>
      <c r="AL111" s="150"/>
      <c r="AP111" s="31" t="str">
        <f>IFERROR(INDEX('G-6 Hedgerow Data'!$BJ$3:$BJ$15,MATCH(M111,'G-6 Hedgerow Data'!$B$3:$B$15,0)),"")</f>
        <v/>
      </c>
    </row>
    <row r="112" spans="2:42" ht="13.8" x14ac:dyDescent="0.25">
      <c r="B112" s="531" t="str">
        <f>'E-1 Off Site Hedge Baseline'!AK110</f>
        <v/>
      </c>
      <c r="C112" s="520" t="str">
        <f>IF(B112="","",IF(ISNA(VLOOKUP($B112,'E-1 Off Site Hedge Baseline'!$B$1:$L$257,3,FALSE)),"",(VLOOKUP($B112,'E-1 Off Site Hedge Baseline'!$B$1:$L$257,3,FALSE))))</f>
        <v/>
      </c>
      <c r="D112" s="520" t="str">
        <f>IF(B112="","",IF(ISNA(VLOOKUP($B112,'E-1 Off Site Hedge Baseline'!$B$1:$L$258,4,FALSE)),"",(VLOOKUP($B112,'E-1 Off Site Hedge Baseline'!$B$1:$L$258,4,FALSE))))</f>
        <v/>
      </c>
      <c r="E112" s="520" t="str">
        <f>IF(B112="","",IF(ISNA(VLOOKUP($B112,'E-1 Off Site Hedge Baseline'!$B$1:$L$257,5,FALSE)),"",(VLOOKUP($B112,'E-1 Off Site Hedge Baseline'!$B$1:$L$257,5,FALSE))))</f>
        <v/>
      </c>
      <c r="F112" s="520" t="str">
        <f>IF(B112="","",IF(ISNA(VLOOKUP($B112,'E-1 Off Site Hedge Baseline'!$B$1:$L$257,6,FALSE)),"",(VLOOKUP($B112,'E-1 Off Site Hedge Baseline'!$B$1:$L$257,6,FALSE))))</f>
        <v/>
      </c>
      <c r="G112" s="520" t="str">
        <f>IF(B112="","",IF(ISNA(VLOOKUP($B112,'E-1 Off Site Hedge Baseline'!$B$1:$L$257,7,FALSE)),"",(VLOOKUP($B112,'E-1 Off Site Hedge Baseline'!$B$1:$L$257,7,FALSE))))</f>
        <v/>
      </c>
      <c r="H112" s="520" t="str">
        <f>IF(B112="","",IF(ISNA(VLOOKUP($B112,'E-1 Off Site Hedge Baseline'!$B$1:$L$257,8,FALSE)),"",(VLOOKUP($B112,'E-1 Off Site Hedge Baseline'!$B$1:$L$257,8,FALSE))))</f>
        <v/>
      </c>
      <c r="I112" s="520" t="str">
        <f>IF(B112="","",IF(ISNA(VLOOKUP($B112,'E-1 Off Site Hedge Baseline'!$B$1:$L$257,10,FALSE)),"",(VLOOKUP($B112,'E-1 Off Site Hedge Baseline'!$B$1:$L$257,10,FALSE))))</f>
        <v/>
      </c>
      <c r="J112" s="520" t="str">
        <f>IF(B112="","",IF(ISNA(VLOOKUP($B112,'E-1 Off Site Hedge Baseline'!$B$1:$L$257,11,FALSE)),"",(VLOOKUP($B112,'E-1 Off Site Hedge Baseline'!$B$1:$L$257,11,FALSE))))</f>
        <v/>
      </c>
      <c r="K112" s="520" t="str">
        <f>IF(B112="","",IF(ISNA(VLOOKUP($B112,'E-1 Off Site Hedge Baseline'!$B$1:$U$257,113,FALSE)),"",(VLOOKUP($B112,'E-1 Off Site Hedge Baseline'!$B$1:$U$257,13,FALSE))))</f>
        <v/>
      </c>
      <c r="L112" s="507" t="str">
        <f>IF(B112="","",IF(ISNA(VLOOKUP($B112,'E-1 Off Site Hedge Baseline'!$B$1:$U$257,12,FALSE)),"",(VLOOKUP($B112,'E-1 Off Site Hedge Baseline'!$B$1:$U$257,12,FALSE))))</f>
        <v/>
      </c>
      <c r="M112" s="418" t="str">
        <f t="shared" si="16"/>
        <v/>
      </c>
      <c r="N112" s="498" t="str">
        <f>IFERROR(IF(B112="","",INDEX('G-6 Hedgerow Data'!$AN$3:$AZ$15,MATCH(C112,'G-6 Hedgerow Data'!$AM$3:$AM$15,0),MATCH(M112,'G-6 Hedgerow Data'!$AN$2:$AZ$2,0))),"")</f>
        <v/>
      </c>
      <c r="O112" s="499" t="str">
        <f t="shared" si="10"/>
        <v/>
      </c>
      <c r="P112" s="505" t="str">
        <f>IF(B112="","",VLOOKUP(B112,'E-1 Off Site Hedge Baseline'!$B$10:T357,16,FALSE))</f>
        <v/>
      </c>
      <c r="Q112" s="498" t="str">
        <f>IF(M112="","",VLOOKUP(M112,'G-6 Hedgerow Data'!$B$2:$AG$15,2,FALSE))</f>
        <v/>
      </c>
      <c r="R112" s="499" t="str">
        <f>IF(M112="","",VLOOKUP(M112,'G-6 Hedgerow Data'!$B$2:$AG$15,3,FALSE))</f>
        <v/>
      </c>
      <c r="S112" s="145"/>
      <c r="T112" s="499" t="str">
        <f>IFERROR(IF(AND(Q112="V.Low",OR(S112="Good",S112="Moderate")),"Error ▲",VLOOKUP(S112,'G-1 All Habitats'!$Z$2:$AA$9,2,FALSE)),"")</f>
        <v/>
      </c>
      <c r="U112" s="145"/>
      <c r="V112" s="507" t="str">
        <f>IF(U112="","",IF(VLOOKUP(U112,'G-3 Multipliers'!$L$3:$N$6,2,FALSE)=0,"Spatial Data Missing ⚠",VLOOKUP(U112,'G-3 Multipliers'!$L$3:$N$6,2,FALSE)))</f>
        <v/>
      </c>
      <c r="W112" s="505" t="str">
        <f>IF(U112="","",IF(VLOOKUP(U112,'G-3 Multipliers'!$L$3:$N$6,3,FALSE)=0,"Spatial Data Missing ⚠",VLOOKUP(U112,'G-3 Multipliers'!$L$3:$N$6,3,FALSE)))</f>
        <v/>
      </c>
      <c r="X112" s="498"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7" t="str">
        <f t="shared" si="11"/>
        <v/>
      </c>
      <c r="AB112" s="521" t="str">
        <f t="shared" si="12"/>
        <v/>
      </c>
      <c r="AC112" s="522" t="str">
        <f t="shared" si="9"/>
        <v/>
      </c>
      <c r="AD112" s="537" t="str">
        <f>IF(M112="","",VLOOKUP(M112,'G-6 Hedgerow Data'!$B$3:$AG$15,31,FALSE))</f>
        <v/>
      </c>
      <c r="AE112" s="520" t="str">
        <f t="shared" si="13"/>
        <v/>
      </c>
      <c r="AF112" s="520" t="str">
        <f t="shared" si="14"/>
        <v/>
      </c>
      <c r="AG112" s="524" t="str">
        <f>IFERROR(IF(O112="","",VLOOKUP(AD112,'G-3 Multipliers'!$P$3:$Q$6,2,FALSE)),"")</f>
        <v/>
      </c>
      <c r="AH112" s="197"/>
      <c r="AI112" s="499" t="str">
        <f>IF(AH112="","",IF(VLOOKUP(AH112,'G-3 Multipliers'!$S$3:$T$6,2,FALSE)=0,"Spatial Data Missing ⚠",VLOOKUP(AH112,'G-3 Multipliers'!$S$3:$T$6,2,FALSE)))</f>
        <v/>
      </c>
      <c r="AJ112" s="545" t="str">
        <f t="shared" si="15"/>
        <v/>
      </c>
      <c r="AK112" s="149"/>
      <c r="AL112" s="150"/>
      <c r="AP112" s="31" t="str">
        <f>IFERROR(INDEX('G-6 Hedgerow Data'!$BJ$3:$BJ$15,MATCH(M112,'G-6 Hedgerow Data'!$B$3:$B$15,0)),"")</f>
        <v/>
      </c>
    </row>
    <row r="113" spans="2:42" ht="13.8" x14ac:dyDescent="0.25">
      <c r="B113" s="531" t="str">
        <f>'E-1 Off Site Hedge Baseline'!AK111</f>
        <v/>
      </c>
      <c r="C113" s="520" t="str">
        <f>IF(B113="","",IF(ISNA(VLOOKUP($B113,'E-1 Off Site Hedge Baseline'!$B$1:$L$257,3,FALSE)),"",(VLOOKUP($B113,'E-1 Off Site Hedge Baseline'!$B$1:$L$257,3,FALSE))))</f>
        <v/>
      </c>
      <c r="D113" s="520" t="str">
        <f>IF(B113="","",IF(ISNA(VLOOKUP($B113,'E-1 Off Site Hedge Baseline'!$B$1:$L$258,4,FALSE)),"",(VLOOKUP($B113,'E-1 Off Site Hedge Baseline'!$B$1:$L$258,4,FALSE))))</f>
        <v/>
      </c>
      <c r="E113" s="520" t="str">
        <f>IF(B113="","",IF(ISNA(VLOOKUP($B113,'E-1 Off Site Hedge Baseline'!$B$1:$L$257,5,FALSE)),"",(VLOOKUP($B113,'E-1 Off Site Hedge Baseline'!$B$1:$L$257,5,FALSE))))</f>
        <v/>
      </c>
      <c r="F113" s="520" t="str">
        <f>IF(B113="","",IF(ISNA(VLOOKUP($B113,'E-1 Off Site Hedge Baseline'!$B$1:$L$257,6,FALSE)),"",(VLOOKUP($B113,'E-1 Off Site Hedge Baseline'!$B$1:$L$257,6,FALSE))))</f>
        <v/>
      </c>
      <c r="G113" s="520" t="str">
        <f>IF(B113="","",IF(ISNA(VLOOKUP($B113,'E-1 Off Site Hedge Baseline'!$B$1:$L$257,7,FALSE)),"",(VLOOKUP($B113,'E-1 Off Site Hedge Baseline'!$B$1:$L$257,7,FALSE))))</f>
        <v/>
      </c>
      <c r="H113" s="520" t="str">
        <f>IF(B113="","",IF(ISNA(VLOOKUP($B113,'E-1 Off Site Hedge Baseline'!$B$1:$L$257,8,FALSE)),"",(VLOOKUP($B113,'E-1 Off Site Hedge Baseline'!$B$1:$L$257,8,FALSE))))</f>
        <v/>
      </c>
      <c r="I113" s="520" t="str">
        <f>IF(B113="","",IF(ISNA(VLOOKUP($B113,'E-1 Off Site Hedge Baseline'!$B$1:$L$257,10,FALSE)),"",(VLOOKUP($B113,'E-1 Off Site Hedge Baseline'!$B$1:$L$257,10,FALSE))))</f>
        <v/>
      </c>
      <c r="J113" s="520" t="str">
        <f>IF(B113="","",IF(ISNA(VLOOKUP($B113,'E-1 Off Site Hedge Baseline'!$B$1:$L$257,11,FALSE)),"",(VLOOKUP($B113,'E-1 Off Site Hedge Baseline'!$B$1:$L$257,11,FALSE))))</f>
        <v/>
      </c>
      <c r="K113" s="520" t="str">
        <f>IF(B113="","",IF(ISNA(VLOOKUP($B113,'E-1 Off Site Hedge Baseline'!$B$1:$U$257,113,FALSE)),"",(VLOOKUP($B113,'E-1 Off Site Hedge Baseline'!$B$1:$U$257,13,FALSE))))</f>
        <v/>
      </c>
      <c r="L113" s="507" t="str">
        <f>IF(B113="","",IF(ISNA(VLOOKUP($B113,'E-1 Off Site Hedge Baseline'!$B$1:$U$257,12,FALSE)),"",(VLOOKUP($B113,'E-1 Off Site Hedge Baseline'!$B$1:$U$257,12,FALSE))))</f>
        <v/>
      </c>
      <c r="M113" s="418" t="str">
        <f t="shared" si="16"/>
        <v/>
      </c>
      <c r="N113" s="498" t="str">
        <f>IFERROR(IF(B113="","",INDEX('G-6 Hedgerow Data'!$AN$3:$AZ$15,MATCH(C113,'G-6 Hedgerow Data'!$AM$3:$AM$15,0),MATCH(M113,'G-6 Hedgerow Data'!$AN$2:$AZ$2,0))),"")</f>
        <v/>
      </c>
      <c r="O113" s="499" t="str">
        <f t="shared" si="10"/>
        <v/>
      </c>
      <c r="P113" s="505" t="str">
        <f>IF(B113="","",VLOOKUP(B113,'E-1 Off Site Hedge Baseline'!$B$10:T358,16,FALSE))</f>
        <v/>
      </c>
      <c r="Q113" s="498" t="str">
        <f>IF(M113="","",VLOOKUP(M113,'G-6 Hedgerow Data'!$B$2:$AG$15,2,FALSE))</f>
        <v/>
      </c>
      <c r="R113" s="499" t="str">
        <f>IF(M113="","",VLOOKUP(M113,'G-6 Hedgerow Data'!$B$2:$AG$15,3,FALSE))</f>
        <v/>
      </c>
      <c r="S113" s="145"/>
      <c r="T113" s="499" t="str">
        <f>IFERROR(IF(AND(Q113="V.Low",OR(S113="Good",S113="Moderate")),"Error ▲",VLOOKUP(S113,'G-1 All Habitats'!$Z$2:$AA$9,2,FALSE)),"")</f>
        <v/>
      </c>
      <c r="U113" s="145"/>
      <c r="V113" s="507" t="str">
        <f>IF(U113="","",IF(VLOOKUP(U113,'G-3 Multipliers'!$L$3:$N$6,2,FALSE)=0,"Spatial Data Missing ⚠",VLOOKUP(U113,'G-3 Multipliers'!$L$3:$N$6,2,FALSE)))</f>
        <v/>
      </c>
      <c r="W113" s="505" t="str">
        <f>IF(U113="","",IF(VLOOKUP(U113,'G-3 Multipliers'!$L$3:$N$6,3,FALSE)=0,"Spatial Data Missing ⚠",VLOOKUP(U113,'G-3 Multipliers'!$L$3:$N$6,3,FALSE)))</f>
        <v/>
      </c>
      <c r="X113" s="498"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7" t="str">
        <f t="shared" si="11"/>
        <v/>
      </c>
      <c r="AB113" s="521" t="str">
        <f t="shared" si="12"/>
        <v/>
      </c>
      <c r="AC113" s="522" t="str">
        <f t="shared" si="9"/>
        <v/>
      </c>
      <c r="AD113" s="537" t="str">
        <f>IF(M113="","",VLOOKUP(M113,'G-6 Hedgerow Data'!$B$3:$AG$15,31,FALSE))</f>
        <v/>
      </c>
      <c r="AE113" s="520" t="str">
        <f t="shared" si="13"/>
        <v/>
      </c>
      <c r="AF113" s="520" t="str">
        <f t="shared" si="14"/>
        <v/>
      </c>
      <c r="AG113" s="524" t="str">
        <f>IFERROR(IF(O113="","",VLOOKUP(AD113,'G-3 Multipliers'!$P$3:$Q$6,2,FALSE)),"")</f>
        <v/>
      </c>
      <c r="AH113" s="197"/>
      <c r="AI113" s="499" t="str">
        <f>IF(AH113="","",IF(VLOOKUP(AH113,'G-3 Multipliers'!$S$3:$T$6,2,FALSE)=0,"Spatial Data Missing ⚠",VLOOKUP(AH113,'G-3 Multipliers'!$S$3:$T$6,2,FALSE)))</f>
        <v/>
      </c>
      <c r="AJ113" s="545" t="str">
        <f t="shared" si="15"/>
        <v/>
      </c>
      <c r="AK113" s="149"/>
      <c r="AL113" s="150"/>
      <c r="AP113" s="31" t="str">
        <f>IFERROR(INDEX('G-6 Hedgerow Data'!$BJ$3:$BJ$15,MATCH(M113,'G-6 Hedgerow Data'!$B$3:$B$15,0)),"")</f>
        <v/>
      </c>
    </row>
    <row r="114" spans="2:42" ht="13.8" x14ac:dyDescent="0.25">
      <c r="B114" s="531" t="str">
        <f>'E-1 Off Site Hedge Baseline'!AK112</f>
        <v/>
      </c>
      <c r="C114" s="520" t="str">
        <f>IF(B114="","",IF(ISNA(VLOOKUP($B114,'E-1 Off Site Hedge Baseline'!$B$1:$L$257,3,FALSE)),"",(VLOOKUP($B114,'E-1 Off Site Hedge Baseline'!$B$1:$L$257,3,FALSE))))</f>
        <v/>
      </c>
      <c r="D114" s="520" t="str">
        <f>IF(B114="","",IF(ISNA(VLOOKUP($B114,'E-1 Off Site Hedge Baseline'!$B$1:$L$258,4,FALSE)),"",(VLOOKUP($B114,'E-1 Off Site Hedge Baseline'!$B$1:$L$258,4,FALSE))))</f>
        <v/>
      </c>
      <c r="E114" s="520" t="str">
        <f>IF(B114="","",IF(ISNA(VLOOKUP($B114,'E-1 Off Site Hedge Baseline'!$B$1:$L$257,5,FALSE)),"",(VLOOKUP($B114,'E-1 Off Site Hedge Baseline'!$B$1:$L$257,5,FALSE))))</f>
        <v/>
      </c>
      <c r="F114" s="520" t="str">
        <f>IF(B114="","",IF(ISNA(VLOOKUP($B114,'E-1 Off Site Hedge Baseline'!$B$1:$L$257,6,FALSE)),"",(VLOOKUP($B114,'E-1 Off Site Hedge Baseline'!$B$1:$L$257,6,FALSE))))</f>
        <v/>
      </c>
      <c r="G114" s="520" t="str">
        <f>IF(B114="","",IF(ISNA(VLOOKUP($B114,'E-1 Off Site Hedge Baseline'!$B$1:$L$257,7,FALSE)),"",(VLOOKUP($B114,'E-1 Off Site Hedge Baseline'!$B$1:$L$257,7,FALSE))))</f>
        <v/>
      </c>
      <c r="H114" s="520" t="str">
        <f>IF(B114="","",IF(ISNA(VLOOKUP($B114,'E-1 Off Site Hedge Baseline'!$B$1:$L$257,8,FALSE)),"",(VLOOKUP($B114,'E-1 Off Site Hedge Baseline'!$B$1:$L$257,8,FALSE))))</f>
        <v/>
      </c>
      <c r="I114" s="520" t="str">
        <f>IF(B114="","",IF(ISNA(VLOOKUP($B114,'E-1 Off Site Hedge Baseline'!$B$1:$L$257,10,FALSE)),"",(VLOOKUP($B114,'E-1 Off Site Hedge Baseline'!$B$1:$L$257,10,FALSE))))</f>
        <v/>
      </c>
      <c r="J114" s="520" t="str">
        <f>IF(B114="","",IF(ISNA(VLOOKUP($B114,'E-1 Off Site Hedge Baseline'!$B$1:$L$257,11,FALSE)),"",(VLOOKUP($B114,'E-1 Off Site Hedge Baseline'!$B$1:$L$257,11,FALSE))))</f>
        <v/>
      </c>
      <c r="K114" s="520" t="str">
        <f>IF(B114="","",IF(ISNA(VLOOKUP($B114,'E-1 Off Site Hedge Baseline'!$B$1:$U$257,113,FALSE)),"",(VLOOKUP($B114,'E-1 Off Site Hedge Baseline'!$B$1:$U$257,13,FALSE))))</f>
        <v/>
      </c>
      <c r="L114" s="507" t="str">
        <f>IF(B114="","",IF(ISNA(VLOOKUP($B114,'E-1 Off Site Hedge Baseline'!$B$1:$U$257,12,FALSE)),"",(VLOOKUP($B114,'E-1 Off Site Hedge Baseline'!$B$1:$U$257,12,FALSE))))</f>
        <v/>
      </c>
      <c r="M114" s="418" t="str">
        <f t="shared" si="16"/>
        <v/>
      </c>
      <c r="N114" s="498" t="str">
        <f>IFERROR(IF(B114="","",INDEX('G-6 Hedgerow Data'!$AN$3:$AZ$15,MATCH(C114,'G-6 Hedgerow Data'!$AM$3:$AM$15,0),MATCH(M114,'G-6 Hedgerow Data'!$AN$2:$AZ$2,0))),"")</f>
        <v/>
      </c>
      <c r="O114" s="499" t="str">
        <f t="shared" si="10"/>
        <v/>
      </c>
      <c r="P114" s="505" t="str">
        <f>IF(B114="","",VLOOKUP(B114,'E-1 Off Site Hedge Baseline'!$B$10:T359,16,FALSE))</f>
        <v/>
      </c>
      <c r="Q114" s="498" t="str">
        <f>IF(M114="","",VLOOKUP(M114,'G-6 Hedgerow Data'!$B$2:$AG$15,2,FALSE))</f>
        <v/>
      </c>
      <c r="R114" s="499" t="str">
        <f>IF(M114="","",VLOOKUP(M114,'G-6 Hedgerow Data'!$B$2:$AG$15,3,FALSE))</f>
        <v/>
      </c>
      <c r="S114" s="145"/>
      <c r="T114" s="499" t="str">
        <f>IFERROR(IF(AND(Q114="V.Low",OR(S114="Good",S114="Moderate")),"Error ▲",VLOOKUP(S114,'G-1 All Habitats'!$Z$2:$AA$9,2,FALSE)),"")</f>
        <v/>
      </c>
      <c r="U114" s="145"/>
      <c r="V114" s="507" t="str">
        <f>IF(U114="","",IF(VLOOKUP(U114,'G-3 Multipliers'!$L$3:$N$6,2,FALSE)=0,"Spatial Data Missing ⚠",VLOOKUP(U114,'G-3 Multipliers'!$L$3:$N$6,2,FALSE)))</f>
        <v/>
      </c>
      <c r="W114" s="505" t="str">
        <f>IF(U114="","",IF(VLOOKUP(U114,'G-3 Multipliers'!$L$3:$N$6,3,FALSE)=0,"Spatial Data Missing ⚠",VLOOKUP(U114,'G-3 Multipliers'!$L$3:$N$6,3,FALSE)))</f>
        <v/>
      </c>
      <c r="X114" s="498"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7" t="str">
        <f t="shared" si="11"/>
        <v/>
      </c>
      <c r="AB114" s="521" t="str">
        <f t="shared" si="12"/>
        <v/>
      </c>
      <c r="AC114" s="522" t="str">
        <f t="shared" si="9"/>
        <v/>
      </c>
      <c r="AD114" s="537" t="str">
        <f>IF(M114="","",VLOOKUP(M114,'G-6 Hedgerow Data'!$B$3:$AG$15,31,FALSE))</f>
        <v/>
      </c>
      <c r="AE114" s="520" t="str">
        <f t="shared" si="13"/>
        <v/>
      </c>
      <c r="AF114" s="520" t="str">
        <f t="shared" si="14"/>
        <v/>
      </c>
      <c r="AG114" s="524" t="str">
        <f>IFERROR(IF(O114="","",VLOOKUP(AD114,'G-3 Multipliers'!$P$3:$Q$6,2,FALSE)),"")</f>
        <v/>
      </c>
      <c r="AH114" s="197"/>
      <c r="AI114" s="499" t="str">
        <f>IF(AH114="","",IF(VLOOKUP(AH114,'G-3 Multipliers'!$S$3:$T$6,2,FALSE)=0,"Spatial Data Missing ⚠",VLOOKUP(AH114,'G-3 Multipliers'!$S$3:$T$6,2,FALSE)))</f>
        <v/>
      </c>
      <c r="AJ114" s="545" t="str">
        <f t="shared" si="15"/>
        <v/>
      </c>
      <c r="AK114" s="149"/>
      <c r="AL114" s="150"/>
      <c r="AP114" s="31" t="str">
        <f>IFERROR(INDEX('G-6 Hedgerow Data'!$BJ$3:$BJ$15,MATCH(M114,'G-6 Hedgerow Data'!$B$3:$B$15,0)),"")</f>
        <v/>
      </c>
    </row>
    <row r="115" spans="2:42" ht="13.8" x14ac:dyDescent="0.25">
      <c r="B115" s="531" t="str">
        <f>'E-1 Off Site Hedge Baseline'!AK113</f>
        <v/>
      </c>
      <c r="C115" s="520" t="str">
        <f>IF(B115="","",IF(ISNA(VLOOKUP($B115,'E-1 Off Site Hedge Baseline'!$B$1:$L$257,3,FALSE)),"",(VLOOKUP($B115,'E-1 Off Site Hedge Baseline'!$B$1:$L$257,3,FALSE))))</f>
        <v/>
      </c>
      <c r="D115" s="520" t="str">
        <f>IF(B115="","",IF(ISNA(VLOOKUP($B115,'E-1 Off Site Hedge Baseline'!$B$1:$L$258,4,FALSE)),"",(VLOOKUP($B115,'E-1 Off Site Hedge Baseline'!$B$1:$L$258,4,FALSE))))</f>
        <v/>
      </c>
      <c r="E115" s="520" t="str">
        <f>IF(B115="","",IF(ISNA(VLOOKUP($B115,'E-1 Off Site Hedge Baseline'!$B$1:$L$257,5,FALSE)),"",(VLOOKUP($B115,'E-1 Off Site Hedge Baseline'!$B$1:$L$257,5,FALSE))))</f>
        <v/>
      </c>
      <c r="F115" s="520" t="str">
        <f>IF(B115="","",IF(ISNA(VLOOKUP($B115,'E-1 Off Site Hedge Baseline'!$B$1:$L$257,6,FALSE)),"",(VLOOKUP($B115,'E-1 Off Site Hedge Baseline'!$B$1:$L$257,6,FALSE))))</f>
        <v/>
      </c>
      <c r="G115" s="520" t="str">
        <f>IF(B115="","",IF(ISNA(VLOOKUP($B115,'E-1 Off Site Hedge Baseline'!$B$1:$L$257,7,FALSE)),"",(VLOOKUP($B115,'E-1 Off Site Hedge Baseline'!$B$1:$L$257,7,FALSE))))</f>
        <v/>
      </c>
      <c r="H115" s="520" t="str">
        <f>IF(B115="","",IF(ISNA(VLOOKUP($B115,'E-1 Off Site Hedge Baseline'!$B$1:$L$257,8,FALSE)),"",(VLOOKUP($B115,'E-1 Off Site Hedge Baseline'!$B$1:$L$257,8,FALSE))))</f>
        <v/>
      </c>
      <c r="I115" s="520" t="str">
        <f>IF(B115="","",IF(ISNA(VLOOKUP($B115,'E-1 Off Site Hedge Baseline'!$B$1:$L$257,10,FALSE)),"",(VLOOKUP($B115,'E-1 Off Site Hedge Baseline'!$B$1:$L$257,10,FALSE))))</f>
        <v/>
      </c>
      <c r="J115" s="520" t="str">
        <f>IF(B115="","",IF(ISNA(VLOOKUP($B115,'E-1 Off Site Hedge Baseline'!$B$1:$L$257,11,FALSE)),"",(VLOOKUP($B115,'E-1 Off Site Hedge Baseline'!$B$1:$L$257,11,FALSE))))</f>
        <v/>
      </c>
      <c r="K115" s="520" t="str">
        <f>IF(B115="","",IF(ISNA(VLOOKUP($B115,'E-1 Off Site Hedge Baseline'!$B$1:$U$257,113,FALSE)),"",(VLOOKUP($B115,'E-1 Off Site Hedge Baseline'!$B$1:$U$257,13,FALSE))))</f>
        <v/>
      </c>
      <c r="L115" s="507" t="str">
        <f>IF(B115="","",IF(ISNA(VLOOKUP($B115,'E-1 Off Site Hedge Baseline'!$B$1:$U$257,12,FALSE)),"",(VLOOKUP($B115,'E-1 Off Site Hedge Baseline'!$B$1:$U$257,12,FALSE))))</f>
        <v/>
      </c>
      <c r="M115" s="418" t="str">
        <f t="shared" si="16"/>
        <v/>
      </c>
      <c r="N115" s="498" t="str">
        <f>IFERROR(IF(B115="","",INDEX('G-6 Hedgerow Data'!$AN$3:$AZ$15,MATCH(C115,'G-6 Hedgerow Data'!$AM$3:$AM$15,0),MATCH(M115,'G-6 Hedgerow Data'!$AN$2:$AZ$2,0))),"")</f>
        <v/>
      </c>
      <c r="O115" s="499" t="str">
        <f t="shared" si="10"/>
        <v/>
      </c>
      <c r="P115" s="505" t="str">
        <f>IF(B115="","",VLOOKUP(B115,'E-1 Off Site Hedge Baseline'!$B$10:T360,16,FALSE))</f>
        <v/>
      </c>
      <c r="Q115" s="498" t="str">
        <f>IF(M115="","",VLOOKUP(M115,'G-6 Hedgerow Data'!$B$2:$AG$15,2,FALSE))</f>
        <v/>
      </c>
      <c r="R115" s="499" t="str">
        <f>IF(M115="","",VLOOKUP(M115,'G-6 Hedgerow Data'!$B$2:$AG$15,3,FALSE))</f>
        <v/>
      </c>
      <c r="S115" s="145"/>
      <c r="T115" s="499" t="str">
        <f>IFERROR(IF(AND(Q115="V.Low",OR(S115="Good",S115="Moderate")),"Error ▲",VLOOKUP(S115,'G-1 All Habitats'!$Z$2:$AA$9,2,FALSE)),"")</f>
        <v/>
      </c>
      <c r="U115" s="145"/>
      <c r="V115" s="507" t="str">
        <f>IF(U115="","",IF(VLOOKUP(U115,'G-3 Multipliers'!$L$3:$N$6,2,FALSE)=0,"Spatial Data Missing ⚠",VLOOKUP(U115,'G-3 Multipliers'!$L$3:$N$6,2,FALSE)))</f>
        <v/>
      </c>
      <c r="W115" s="505" t="str">
        <f>IF(U115="","",IF(VLOOKUP(U115,'G-3 Multipliers'!$L$3:$N$6,3,FALSE)=0,"Spatial Data Missing ⚠",VLOOKUP(U115,'G-3 Multipliers'!$L$3:$N$6,3,FALSE)))</f>
        <v/>
      </c>
      <c r="X115" s="498"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7" t="str">
        <f t="shared" si="11"/>
        <v/>
      </c>
      <c r="AB115" s="521" t="str">
        <f t="shared" si="12"/>
        <v/>
      </c>
      <c r="AC115" s="522" t="str">
        <f t="shared" si="9"/>
        <v/>
      </c>
      <c r="AD115" s="537" t="str">
        <f>IF(M115="","",VLOOKUP(M115,'G-6 Hedgerow Data'!$B$3:$AG$15,31,FALSE))</f>
        <v/>
      </c>
      <c r="AE115" s="520" t="str">
        <f t="shared" si="13"/>
        <v/>
      </c>
      <c r="AF115" s="520" t="str">
        <f t="shared" si="14"/>
        <v/>
      </c>
      <c r="AG115" s="524" t="str">
        <f>IFERROR(IF(O115="","",VLOOKUP(AD115,'G-3 Multipliers'!$P$3:$Q$6,2,FALSE)),"")</f>
        <v/>
      </c>
      <c r="AH115" s="197"/>
      <c r="AI115" s="499" t="str">
        <f>IF(AH115="","",IF(VLOOKUP(AH115,'G-3 Multipliers'!$S$3:$T$6,2,FALSE)=0,"Spatial Data Missing ⚠",VLOOKUP(AH115,'G-3 Multipliers'!$S$3:$T$6,2,FALSE)))</f>
        <v/>
      </c>
      <c r="AJ115" s="545" t="str">
        <f t="shared" si="15"/>
        <v/>
      </c>
      <c r="AK115" s="149"/>
      <c r="AL115" s="150"/>
      <c r="AP115" s="31" t="str">
        <f>IFERROR(INDEX('G-6 Hedgerow Data'!$BJ$3:$BJ$15,MATCH(M115,'G-6 Hedgerow Data'!$B$3:$B$15,0)),"")</f>
        <v/>
      </c>
    </row>
    <row r="116" spans="2:42" ht="13.8" x14ac:dyDescent="0.25">
      <c r="B116" s="531" t="str">
        <f>'E-1 Off Site Hedge Baseline'!AK114</f>
        <v/>
      </c>
      <c r="C116" s="520" t="str">
        <f>IF(B116="","",IF(ISNA(VLOOKUP($B116,'E-1 Off Site Hedge Baseline'!$B$1:$L$257,3,FALSE)),"",(VLOOKUP($B116,'E-1 Off Site Hedge Baseline'!$B$1:$L$257,3,FALSE))))</f>
        <v/>
      </c>
      <c r="D116" s="520" t="str">
        <f>IF(B116="","",IF(ISNA(VLOOKUP($B116,'E-1 Off Site Hedge Baseline'!$B$1:$L$258,4,FALSE)),"",(VLOOKUP($B116,'E-1 Off Site Hedge Baseline'!$B$1:$L$258,4,FALSE))))</f>
        <v/>
      </c>
      <c r="E116" s="520" t="str">
        <f>IF(B116="","",IF(ISNA(VLOOKUP($B116,'E-1 Off Site Hedge Baseline'!$B$1:$L$257,5,FALSE)),"",(VLOOKUP($B116,'E-1 Off Site Hedge Baseline'!$B$1:$L$257,5,FALSE))))</f>
        <v/>
      </c>
      <c r="F116" s="520" t="str">
        <f>IF(B116="","",IF(ISNA(VLOOKUP($B116,'E-1 Off Site Hedge Baseline'!$B$1:$L$257,6,FALSE)),"",(VLOOKUP($B116,'E-1 Off Site Hedge Baseline'!$B$1:$L$257,6,FALSE))))</f>
        <v/>
      </c>
      <c r="G116" s="520" t="str">
        <f>IF(B116="","",IF(ISNA(VLOOKUP($B116,'E-1 Off Site Hedge Baseline'!$B$1:$L$257,7,FALSE)),"",(VLOOKUP($B116,'E-1 Off Site Hedge Baseline'!$B$1:$L$257,7,FALSE))))</f>
        <v/>
      </c>
      <c r="H116" s="520" t="str">
        <f>IF(B116="","",IF(ISNA(VLOOKUP($B116,'E-1 Off Site Hedge Baseline'!$B$1:$L$257,8,FALSE)),"",(VLOOKUP($B116,'E-1 Off Site Hedge Baseline'!$B$1:$L$257,8,FALSE))))</f>
        <v/>
      </c>
      <c r="I116" s="520" t="str">
        <f>IF(B116="","",IF(ISNA(VLOOKUP($B116,'E-1 Off Site Hedge Baseline'!$B$1:$L$257,10,FALSE)),"",(VLOOKUP($B116,'E-1 Off Site Hedge Baseline'!$B$1:$L$257,10,FALSE))))</f>
        <v/>
      </c>
      <c r="J116" s="520" t="str">
        <f>IF(B116="","",IF(ISNA(VLOOKUP($B116,'E-1 Off Site Hedge Baseline'!$B$1:$L$257,11,FALSE)),"",(VLOOKUP($B116,'E-1 Off Site Hedge Baseline'!$B$1:$L$257,11,FALSE))))</f>
        <v/>
      </c>
      <c r="K116" s="520" t="str">
        <f>IF(B116="","",IF(ISNA(VLOOKUP($B116,'E-1 Off Site Hedge Baseline'!$B$1:$U$257,113,FALSE)),"",(VLOOKUP($B116,'E-1 Off Site Hedge Baseline'!$B$1:$U$257,13,FALSE))))</f>
        <v/>
      </c>
      <c r="L116" s="507" t="str">
        <f>IF(B116="","",IF(ISNA(VLOOKUP($B116,'E-1 Off Site Hedge Baseline'!$B$1:$U$257,12,FALSE)),"",(VLOOKUP($B116,'E-1 Off Site Hedge Baseline'!$B$1:$U$257,12,FALSE))))</f>
        <v/>
      </c>
      <c r="M116" s="418" t="str">
        <f t="shared" si="16"/>
        <v/>
      </c>
      <c r="N116" s="498" t="str">
        <f>IFERROR(IF(B116="","",INDEX('G-6 Hedgerow Data'!$AN$3:$AZ$15,MATCH(C116,'G-6 Hedgerow Data'!$AM$3:$AM$15,0),MATCH(M116,'G-6 Hedgerow Data'!$AN$2:$AZ$2,0))),"")</f>
        <v/>
      </c>
      <c r="O116" s="499" t="str">
        <f t="shared" si="10"/>
        <v/>
      </c>
      <c r="P116" s="505" t="str">
        <f>IF(B116="","",VLOOKUP(B116,'E-1 Off Site Hedge Baseline'!$B$10:T361,16,FALSE))</f>
        <v/>
      </c>
      <c r="Q116" s="498" t="str">
        <f>IF(M116="","",VLOOKUP(M116,'G-6 Hedgerow Data'!$B$2:$AG$15,2,FALSE))</f>
        <v/>
      </c>
      <c r="R116" s="499" t="str">
        <f>IF(M116="","",VLOOKUP(M116,'G-6 Hedgerow Data'!$B$2:$AG$15,3,FALSE))</f>
        <v/>
      </c>
      <c r="S116" s="145"/>
      <c r="T116" s="499" t="str">
        <f>IFERROR(IF(AND(Q116="V.Low",OR(S116="Good",S116="Moderate")),"Error ▲",VLOOKUP(S116,'G-1 All Habitats'!$Z$2:$AA$9,2,FALSE)),"")</f>
        <v/>
      </c>
      <c r="U116" s="145"/>
      <c r="V116" s="507" t="str">
        <f>IF(U116="","",IF(VLOOKUP(U116,'G-3 Multipliers'!$L$3:$N$6,2,FALSE)=0,"Spatial Data Missing ⚠",VLOOKUP(U116,'G-3 Multipliers'!$L$3:$N$6,2,FALSE)))</f>
        <v/>
      </c>
      <c r="W116" s="505" t="str">
        <f>IF(U116="","",IF(VLOOKUP(U116,'G-3 Multipliers'!$L$3:$N$6,3,FALSE)=0,"Spatial Data Missing ⚠",VLOOKUP(U116,'G-3 Multipliers'!$L$3:$N$6,3,FALSE)))</f>
        <v/>
      </c>
      <c r="X116" s="498"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7" t="str">
        <f t="shared" si="11"/>
        <v/>
      </c>
      <c r="AB116" s="521" t="str">
        <f t="shared" si="12"/>
        <v/>
      </c>
      <c r="AC116" s="522" t="str">
        <f t="shared" si="9"/>
        <v/>
      </c>
      <c r="AD116" s="537" t="str">
        <f>IF(M116="","",VLOOKUP(M116,'G-6 Hedgerow Data'!$B$3:$AG$15,31,FALSE))</f>
        <v/>
      </c>
      <c r="AE116" s="520" t="str">
        <f t="shared" si="13"/>
        <v/>
      </c>
      <c r="AF116" s="520" t="str">
        <f t="shared" si="14"/>
        <v/>
      </c>
      <c r="AG116" s="524" t="str">
        <f>IFERROR(IF(O116="","",VLOOKUP(AD116,'G-3 Multipliers'!$P$3:$Q$6,2,FALSE)),"")</f>
        <v/>
      </c>
      <c r="AH116" s="197"/>
      <c r="AI116" s="499" t="str">
        <f>IF(AH116="","",IF(VLOOKUP(AH116,'G-3 Multipliers'!$S$3:$T$6,2,FALSE)=0,"Spatial Data Missing ⚠",VLOOKUP(AH116,'G-3 Multipliers'!$S$3:$T$6,2,FALSE)))</f>
        <v/>
      </c>
      <c r="AJ116" s="545" t="str">
        <f t="shared" si="15"/>
        <v/>
      </c>
      <c r="AK116" s="149"/>
      <c r="AL116" s="150"/>
      <c r="AP116" s="31" t="str">
        <f>IFERROR(INDEX('G-6 Hedgerow Data'!$BJ$3:$BJ$15,MATCH(M116,'G-6 Hedgerow Data'!$B$3:$B$15,0)),"")</f>
        <v/>
      </c>
    </row>
    <row r="117" spans="2:42" ht="13.8" x14ac:dyDescent="0.25">
      <c r="B117" s="531" t="str">
        <f>'E-1 Off Site Hedge Baseline'!AK115</f>
        <v/>
      </c>
      <c r="C117" s="520" t="str">
        <f>IF(B117="","",IF(ISNA(VLOOKUP($B117,'E-1 Off Site Hedge Baseline'!$B$1:$L$257,3,FALSE)),"",(VLOOKUP($B117,'E-1 Off Site Hedge Baseline'!$B$1:$L$257,3,FALSE))))</f>
        <v/>
      </c>
      <c r="D117" s="520" t="str">
        <f>IF(B117="","",IF(ISNA(VLOOKUP($B117,'E-1 Off Site Hedge Baseline'!$B$1:$L$258,4,FALSE)),"",(VLOOKUP($B117,'E-1 Off Site Hedge Baseline'!$B$1:$L$258,4,FALSE))))</f>
        <v/>
      </c>
      <c r="E117" s="520" t="str">
        <f>IF(B117="","",IF(ISNA(VLOOKUP($B117,'E-1 Off Site Hedge Baseline'!$B$1:$L$257,5,FALSE)),"",(VLOOKUP($B117,'E-1 Off Site Hedge Baseline'!$B$1:$L$257,5,FALSE))))</f>
        <v/>
      </c>
      <c r="F117" s="520" t="str">
        <f>IF(B117="","",IF(ISNA(VLOOKUP($B117,'E-1 Off Site Hedge Baseline'!$B$1:$L$257,6,FALSE)),"",(VLOOKUP($B117,'E-1 Off Site Hedge Baseline'!$B$1:$L$257,6,FALSE))))</f>
        <v/>
      </c>
      <c r="G117" s="520" t="str">
        <f>IF(B117="","",IF(ISNA(VLOOKUP($B117,'E-1 Off Site Hedge Baseline'!$B$1:$L$257,7,FALSE)),"",(VLOOKUP($B117,'E-1 Off Site Hedge Baseline'!$B$1:$L$257,7,FALSE))))</f>
        <v/>
      </c>
      <c r="H117" s="520" t="str">
        <f>IF(B117="","",IF(ISNA(VLOOKUP($B117,'E-1 Off Site Hedge Baseline'!$B$1:$L$257,8,FALSE)),"",(VLOOKUP($B117,'E-1 Off Site Hedge Baseline'!$B$1:$L$257,8,FALSE))))</f>
        <v/>
      </c>
      <c r="I117" s="520" t="str">
        <f>IF(B117="","",IF(ISNA(VLOOKUP($B117,'E-1 Off Site Hedge Baseline'!$B$1:$L$257,10,FALSE)),"",(VLOOKUP($B117,'E-1 Off Site Hedge Baseline'!$B$1:$L$257,10,FALSE))))</f>
        <v/>
      </c>
      <c r="J117" s="520" t="str">
        <f>IF(B117="","",IF(ISNA(VLOOKUP($B117,'E-1 Off Site Hedge Baseline'!$B$1:$L$257,11,FALSE)),"",(VLOOKUP($B117,'E-1 Off Site Hedge Baseline'!$B$1:$L$257,11,FALSE))))</f>
        <v/>
      </c>
      <c r="K117" s="520" t="str">
        <f>IF(B117="","",IF(ISNA(VLOOKUP($B117,'E-1 Off Site Hedge Baseline'!$B$1:$U$257,113,FALSE)),"",(VLOOKUP($B117,'E-1 Off Site Hedge Baseline'!$B$1:$U$257,13,FALSE))))</f>
        <v/>
      </c>
      <c r="L117" s="507" t="str">
        <f>IF(B117="","",IF(ISNA(VLOOKUP($B117,'E-1 Off Site Hedge Baseline'!$B$1:$U$257,12,FALSE)),"",(VLOOKUP($B117,'E-1 Off Site Hedge Baseline'!$B$1:$U$257,12,FALSE))))</f>
        <v/>
      </c>
      <c r="M117" s="418" t="str">
        <f t="shared" si="16"/>
        <v/>
      </c>
      <c r="N117" s="498" t="str">
        <f>IFERROR(IF(B117="","",INDEX('G-6 Hedgerow Data'!$AN$3:$AZ$15,MATCH(C117,'G-6 Hedgerow Data'!$AM$3:$AM$15,0),MATCH(M117,'G-6 Hedgerow Data'!$AN$2:$AZ$2,0))),"")</f>
        <v/>
      </c>
      <c r="O117" s="499" t="str">
        <f t="shared" si="10"/>
        <v/>
      </c>
      <c r="P117" s="505" t="str">
        <f>IF(B117="","",VLOOKUP(B117,'E-1 Off Site Hedge Baseline'!$B$10:T362,16,FALSE))</f>
        <v/>
      </c>
      <c r="Q117" s="498" t="str">
        <f>IF(M117="","",VLOOKUP(M117,'G-6 Hedgerow Data'!$B$2:$AG$15,2,FALSE))</f>
        <v/>
      </c>
      <c r="R117" s="499" t="str">
        <f>IF(M117="","",VLOOKUP(M117,'G-6 Hedgerow Data'!$B$2:$AG$15,3,FALSE))</f>
        <v/>
      </c>
      <c r="S117" s="145"/>
      <c r="T117" s="499" t="str">
        <f>IFERROR(IF(AND(Q117="V.Low",OR(S117="Good",S117="Moderate")),"Error ▲",VLOOKUP(S117,'G-1 All Habitats'!$Z$2:$AA$9,2,FALSE)),"")</f>
        <v/>
      </c>
      <c r="U117" s="145"/>
      <c r="V117" s="507" t="str">
        <f>IF(U117="","",IF(VLOOKUP(U117,'G-3 Multipliers'!$L$3:$N$6,2,FALSE)=0,"Spatial Data Missing ⚠",VLOOKUP(U117,'G-3 Multipliers'!$L$3:$N$6,2,FALSE)))</f>
        <v/>
      </c>
      <c r="W117" s="505" t="str">
        <f>IF(U117="","",IF(VLOOKUP(U117,'G-3 Multipliers'!$L$3:$N$6,3,FALSE)=0,"Spatial Data Missing ⚠",VLOOKUP(U117,'G-3 Multipliers'!$L$3:$N$6,3,FALSE)))</f>
        <v/>
      </c>
      <c r="X117" s="498"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7" t="str">
        <f t="shared" si="11"/>
        <v/>
      </c>
      <c r="AB117" s="521" t="str">
        <f t="shared" si="12"/>
        <v/>
      </c>
      <c r="AC117" s="522" t="str">
        <f t="shared" si="9"/>
        <v/>
      </c>
      <c r="AD117" s="537" t="str">
        <f>IF(M117="","",VLOOKUP(M117,'G-6 Hedgerow Data'!$B$3:$AG$15,31,FALSE))</f>
        <v/>
      </c>
      <c r="AE117" s="520" t="str">
        <f t="shared" si="13"/>
        <v/>
      </c>
      <c r="AF117" s="520" t="str">
        <f t="shared" si="14"/>
        <v/>
      </c>
      <c r="AG117" s="524" t="str">
        <f>IFERROR(IF(O117="","",VLOOKUP(AD117,'G-3 Multipliers'!$P$3:$Q$6,2,FALSE)),"")</f>
        <v/>
      </c>
      <c r="AH117" s="197"/>
      <c r="AI117" s="499" t="str">
        <f>IF(AH117="","",IF(VLOOKUP(AH117,'G-3 Multipliers'!$S$3:$T$6,2,FALSE)=0,"Spatial Data Missing ⚠",VLOOKUP(AH117,'G-3 Multipliers'!$S$3:$T$6,2,FALSE)))</f>
        <v/>
      </c>
      <c r="AJ117" s="545" t="str">
        <f t="shared" si="15"/>
        <v/>
      </c>
      <c r="AK117" s="149"/>
      <c r="AL117" s="150"/>
      <c r="AP117" s="31" t="str">
        <f>IFERROR(INDEX('G-6 Hedgerow Data'!$BJ$3:$BJ$15,MATCH(M117,'G-6 Hedgerow Data'!$B$3:$B$15,0)),"")</f>
        <v/>
      </c>
    </row>
    <row r="118" spans="2:42" ht="13.8" x14ac:dyDescent="0.25">
      <c r="B118" s="531" t="str">
        <f>'E-1 Off Site Hedge Baseline'!AK116</f>
        <v/>
      </c>
      <c r="C118" s="520" t="str">
        <f>IF(B118="","",IF(ISNA(VLOOKUP($B118,'E-1 Off Site Hedge Baseline'!$B$1:$L$257,3,FALSE)),"",(VLOOKUP($B118,'E-1 Off Site Hedge Baseline'!$B$1:$L$257,3,FALSE))))</f>
        <v/>
      </c>
      <c r="D118" s="520" t="str">
        <f>IF(B118="","",IF(ISNA(VLOOKUP($B118,'E-1 Off Site Hedge Baseline'!$B$1:$L$258,4,FALSE)),"",(VLOOKUP($B118,'E-1 Off Site Hedge Baseline'!$B$1:$L$258,4,FALSE))))</f>
        <v/>
      </c>
      <c r="E118" s="520" t="str">
        <f>IF(B118="","",IF(ISNA(VLOOKUP($B118,'E-1 Off Site Hedge Baseline'!$B$1:$L$257,5,FALSE)),"",(VLOOKUP($B118,'E-1 Off Site Hedge Baseline'!$B$1:$L$257,5,FALSE))))</f>
        <v/>
      </c>
      <c r="F118" s="520" t="str">
        <f>IF(B118="","",IF(ISNA(VLOOKUP($B118,'E-1 Off Site Hedge Baseline'!$B$1:$L$257,6,FALSE)),"",(VLOOKUP($B118,'E-1 Off Site Hedge Baseline'!$B$1:$L$257,6,FALSE))))</f>
        <v/>
      </c>
      <c r="G118" s="520" t="str">
        <f>IF(B118="","",IF(ISNA(VLOOKUP($B118,'E-1 Off Site Hedge Baseline'!$B$1:$L$257,7,FALSE)),"",(VLOOKUP($B118,'E-1 Off Site Hedge Baseline'!$B$1:$L$257,7,FALSE))))</f>
        <v/>
      </c>
      <c r="H118" s="520" t="str">
        <f>IF(B118="","",IF(ISNA(VLOOKUP($B118,'E-1 Off Site Hedge Baseline'!$B$1:$L$257,8,FALSE)),"",(VLOOKUP($B118,'E-1 Off Site Hedge Baseline'!$B$1:$L$257,8,FALSE))))</f>
        <v/>
      </c>
      <c r="I118" s="520" t="str">
        <f>IF(B118="","",IF(ISNA(VLOOKUP($B118,'E-1 Off Site Hedge Baseline'!$B$1:$L$257,10,FALSE)),"",(VLOOKUP($B118,'E-1 Off Site Hedge Baseline'!$B$1:$L$257,10,FALSE))))</f>
        <v/>
      </c>
      <c r="J118" s="520" t="str">
        <f>IF(B118="","",IF(ISNA(VLOOKUP($B118,'E-1 Off Site Hedge Baseline'!$B$1:$L$257,11,FALSE)),"",(VLOOKUP($B118,'E-1 Off Site Hedge Baseline'!$B$1:$L$257,11,FALSE))))</f>
        <v/>
      </c>
      <c r="K118" s="520" t="str">
        <f>IF(B118="","",IF(ISNA(VLOOKUP($B118,'E-1 Off Site Hedge Baseline'!$B$1:$U$257,113,FALSE)),"",(VLOOKUP($B118,'E-1 Off Site Hedge Baseline'!$B$1:$U$257,13,FALSE))))</f>
        <v/>
      </c>
      <c r="L118" s="507" t="str">
        <f>IF(B118="","",IF(ISNA(VLOOKUP($B118,'E-1 Off Site Hedge Baseline'!$B$1:$U$257,12,FALSE)),"",(VLOOKUP($B118,'E-1 Off Site Hedge Baseline'!$B$1:$U$257,12,FALSE))))</f>
        <v/>
      </c>
      <c r="M118" s="418" t="str">
        <f t="shared" si="16"/>
        <v/>
      </c>
      <c r="N118" s="498" t="str">
        <f>IFERROR(IF(B118="","",INDEX('G-6 Hedgerow Data'!$AN$3:$AZ$15,MATCH(C118,'G-6 Hedgerow Data'!$AM$3:$AM$15,0),MATCH(M118,'G-6 Hedgerow Data'!$AN$2:$AZ$2,0))),"")</f>
        <v/>
      </c>
      <c r="O118" s="499" t="str">
        <f t="shared" si="10"/>
        <v/>
      </c>
      <c r="P118" s="505" t="str">
        <f>IF(B118="","",VLOOKUP(B118,'E-1 Off Site Hedge Baseline'!$B$10:T363,16,FALSE))</f>
        <v/>
      </c>
      <c r="Q118" s="498" t="str">
        <f>IF(M118="","",VLOOKUP(M118,'G-6 Hedgerow Data'!$B$2:$AG$15,2,FALSE))</f>
        <v/>
      </c>
      <c r="R118" s="499" t="str">
        <f>IF(M118="","",VLOOKUP(M118,'G-6 Hedgerow Data'!$B$2:$AG$15,3,FALSE))</f>
        <v/>
      </c>
      <c r="S118" s="145"/>
      <c r="T118" s="499" t="str">
        <f>IFERROR(IF(AND(Q118="V.Low",OR(S118="Good",S118="Moderate")),"Error ▲",VLOOKUP(S118,'G-1 All Habitats'!$Z$2:$AA$9,2,FALSE)),"")</f>
        <v/>
      </c>
      <c r="U118" s="145"/>
      <c r="V118" s="507" t="str">
        <f>IF(U118="","",IF(VLOOKUP(U118,'G-3 Multipliers'!$L$3:$N$6,2,FALSE)=0,"Spatial Data Missing ⚠",VLOOKUP(U118,'G-3 Multipliers'!$L$3:$N$6,2,FALSE)))</f>
        <v/>
      </c>
      <c r="W118" s="505" t="str">
        <f>IF(U118="","",IF(VLOOKUP(U118,'G-3 Multipliers'!$L$3:$N$6,3,FALSE)=0,"Spatial Data Missing ⚠",VLOOKUP(U118,'G-3 Multipliers'!$L$3:$N$6,3,FALSE)))</f>
        <v/>
      </c>
      <c r="X118" s="498"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7" t="str">
        <f t="shared" si="11"/>
        <v/>
      </c>
      <c r="AB118" s="521" t="str">
        <f t="shared" si="12"/>
        <v/>
      </c>
      <c r="AC118" s="522" t="str">
        <f t="shared" si="9"/>
        <v/>
      </c>
      <c r="AD118" s="537" t="str">
        <f>IF(M118="","",VLOOKUP(M118,'G-6 Hedgerow Data'!$B$3:$AG$15,31,FALSE))</f>
        <v/>
      </c>
      <c r="AE118" s="520" t="str">
        <f t="shared" si="13"/>
        <v/>
      </c>
      <c r="AF118" s="520" t="str">
        <f t="shared" si="14"/>
        <v/>
      </c>
      <c r="AG118" s="524" t="str">
        <f>IFERROR(IF(O118="","",VLOOKUP(AD118,'G-3 Multipliers'!$P$3:$Q$6,2,FALSE)),"")</f>
        <v/>
      </c>
      <c r="AH118" s="197"/>
      <c r="AI118" s="499" t="str">
        <f>IF(AH118="","",IF(VLOOKUP(AH118,'G-3 Multipliers'!$S$3:$T$6,2,FALSE)=0,"Spatial Data Missing ⚠",VLOOKUP(AH118,'G-3 Multipliers'!$S$3:$T$6,2,FALSE)))</f>
        <v/>
      </c>
      <c r="AJ118" s="545" t="str">
        <f t="shared" si="15"/>
        <v/>
      </c>
      <c r="AK118" s="149"/>
      <c r="AL118" s="150"/>
      <c r="AP118" s="31" t="str">
        <f>IFERROR(INDEX('G-6 Hedgerow Data'!$BJ$3:$BJ$15,MATCH(M118,'G-6 Hedgerow Data'!$B$3:$B$15,0)),"")</f>
        <v/>
      </c>
    </row>
    <row r="119" spans="2:42" ht="13.8" x14ac:dyDescent="0.25">
      <c r="B119" s="531" t="str">
        <f>'E-1 Off Site Hedge Baseline'!AK117</f>
        <v/>
      </c>
      <c r="C119" s="520" t="str">
        <f>IF(B119="","",IF(ISNA(VLOOKUP($B119,'E-1 Off Site Hedge Baseline'!$B$1:$L$257,3,FALSE)),"",(VLOOKUP($B119,'E-1 Off Site Hedge Baseline'!$B$1:$L$257,3,FALSE))))</f>
        <v/>
      </c>
      <c r="D119" s="520" t="str">
        <f>IF(B119="","",IF(ISNA(VLOOKUP($B119,'E-1 Off Site Hedge Baseline'!$B$1:$L$258,4,FALSE)),"",(VLOOKUP($B119,'E-1 Off Site Hedge Baseline'!$B$1:$L$258,4,FALSE))))</f>
        <v/>
      </c>
      <c r="E119" s="520" t="str">
        <f>IF(B119="","",IF(ISNA(VLOOKUP($B119,'E-1 Off Site Hedge Baseline'!$B$1:$L$257,5,FALSE)),"",(VLOOKUP($B119,'E-1 Off Site Hedge Baseline'!$B$1:$L$257,5,FALSE))))</f>
        <v/>
      </c>
      <c r="F119" s="520" t="str">
        <f>IF(B119="","",IF(ISNA(VLOOKUP($B119,'E-1 Off Site Hedge Baseline'!$B$1:$L$257,6,FALSE)),"",(VLOOKUP($B119,'E-1 Off Site Hedge Baseline'!$B$1:$L$257,6,FALSE))))</f>
        <v/>
      </c>
      <c r="G119" s="520" t="str">
        <f>IF(B119="","",IF(ISNA(VLOOKUP($B119,'E-1 Off Site Hedge Baseline'!$B$1:$L$257,7,FALSE)),"",(VLOOKUP($B119,'E-1 Off Site Hedge Baseline'!$B$1:$L$257,7,FALSE))))</f>
        <v/>
      </c>
      <c r="H119" s="520" t="str">
        <f>IF(B119="","",IF(ISNA(VLOOKUP($B119,'E-1 Off Site Hedge Baseline'!$B$1:$L$257,8,FALSE)),"",(VLOOKUP($B119,'E-1 Off Site Hedge Baseline'!$B$1:$L$257,8,FALSE))))</f>
        <v/>
      </c>
      <c r="I119" s="520" t="str">
        <f>IF(B119="","",IF(ISNA(VLOOKUP($B119,'E-1 Off Site Hedge Baseline'!$B$1:$L$257,10,FALSE)),"",(VLOOKUP($B119,'E-1 Off Site Hedge Baseline'!$B$1:$L$257,10,FALSE))))</f>
        <v/>
      </c>
      <c r="J119" s="520" t="str">
        <f>IF(B119="","",IF(ISNA(VLOOKUP($B119,'E-1 Off Site Hedge Baseline'!$B$1:$L$257,11,FALSE)),"",(VLOOKUP($B119,'E-1 Off Site Hedge Baseline'!$B$1:$L$257,11,FALSE))))</f>
        <v/>
      </c>
      <c r="K119" s="520" t="str">
        <f>IF(B119="","",IF(ISNA(VLOOKUP($B119,'E-1 Off Site Hedge Baseline'!$B$1:$U$257,113,FALSE)),"",(VLOOKUP($B119,'E-1 Off Site Hedge Baseline'!$B$1:$U$257,13,FALSE))))</f>
        <v/>
      </c>
      <c r="L119" s="507" t="str">
        <f>IF(B119="","",IF(ISNA(VLOOKUP($B119,'E-1 Off Site Hedge Baseline'!$B$1:$U$257,12,FALSE)),"",(VLOOKUP($B119,'E-1 Off Site Hedge Baseline'!$B$1:$U$257,12,FALSE))))</f>
        <v/>
      </c>
      <c r="M119" s="418" t="str">
        <f t="shared" si="16"/>
        <v/>
      </c>
      <c r="N119" s="498" t="str">
        <f>IFERROR(IF(B119="","",INDEX('G-6 Hedgerow Data'!$AN$3:$AZ$15,MATCH(C119,'G-6 Hedgerow Data'!$AM$3:$AM$15,0),MATCH(M119,'G-6 Hedgerow Data'!$AN$2:$AZ$2,0))),"")</f>
        <v/>
      </c>
      <c r="O119" s="499" t="str">
        <f t="shared" si="10"/>
        <v/>
      </c>
      <c r="P119" s="505" t="str">
        <f>IF(B119="","",VLOOKUP(B119,'E-1 Off Site Hedge Baseline'!$B$10:T364,16,FALSE))</f>
        <v/>
      </c>
      <c r="Q119" s="498" t="str">
        <f>IF(M119="","",VLOOKUP(M119,'G-6 Hedgerow Data'!$B$2:$AG$15,2,FALSE))</f>
        <v/>
      </c>
      <c r="R119" s="499" t="str">
        <f>IF(M119="","",VLOOKUP(M119,'G-6 Hedgerow Data'!$B$2:$AG$15,3,FALSE))</f>
        <v/>
      </c>
      <c r="S119" s="145"/>
      <c r="T119" s="499" t="str">
        <f>IFERROR(IF(AND(Q119="V.Low",OR(S119="Good",S119="Moderate")),"Error ▲",VLOOKUP(S119,'G-1 All Habitats'!$Z$2:$AA$9,2,FALSE)),"")</f>
        <v/>
      </c>
      <c r="U119" s="145"/>
      <c r="V119" s="507" t="str">
        <f>IF(U119="","",IF(VLOOKUP(U119,'G-3 Multipliers'!$L$3:$N$6,2,FALSE)=0,"Spatial Data Missing ⚠",VLOOKUP(U119,'G-3 Multipliers'!$L$3:$N$6,2,FALSE)))</f>
        <v/>
      </c>
      <c r="W119" s="505" t="str">
        <f>IF(U119="","",IF(VLOOKUP(U119,'G-3 Multipliers'!$L$3:$N$6,3,FALSE)=0,"Spatial Data Missing ⚠",VLOOKUP(U119,'G-3 Multipliers'!$L$3:$N$6,3,FALSE)))</f>
        <v/>
      </c>
      <c r="X119" s="498"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7" t="str">
        <f t="shared" si="11"/>
        <v/>
      </c>
      <c r="AB119" s="521" t="str">
        <f t="shared" si="12"/>
        <v/>
      </c>
      <c r="AC119" s="522" t="str">
        <f t="shared" si="9"/>
        <v/>
      </c>
      <c r="AD119" s="537" t="str">
        <f>IF(M119="","",VLOOKUP(M119,'G-6 Hedgerow Data'!$B$3:$AG$15,31,FALSE))</f>
        <v/>
      </c>
      <c r="AE119" s="520" t="str">
        <f t="shared" si="13"/>
        <v/>
      </c>
      <c r="AF119" s="520" t="str">
        <f t="shared" si="14"/>
        <v/>
      </c>
      <c r="AG119" s="524" t="str">
        <f>IFERROR(IF(O119="","",VLOOKUP(AD119,'G-3 Multipliers'!$P$3:$Q$6,2,FALSE)),"")</f>
        <v/>
      </c>
      <c r="AH119" s="197"/>
      <c r="AI119" s="499" t="str">
        <f>IF(AH119="","",IF(VLOOKUP(AH119,'G-3 Multipliers'!$S$3:$T$6,2,FALSE)=0,"Spatial Data Missing ⚠",VLOOKUP(AH119,'G-3 Multipliers'!$S$3:$T$6,2,FALSE)))</f>
        <v/>
      </c>
      <c r="AJ119" s="545" t="str">
        <f t="shared" si="15"/>
        <v/>
      </c>
      <c r="AK119" s="149"/>
      <c r="AL119" s="150"/>
      <c r="AP119" s="31" t="str">
        <f>IFERROR(INDEX('G-6 Hedgerow Data'!$BJ$3:$BJ$15,MATCH(M119,'G-6 Hedgerow Data'!$B$3:$B$15,0)),"")</f>
        <v/>
      </c>
    </row>
    <row r="120" spans="2:42" ht="13.8" x14ac:dyDescent="0.25">
      <c r="B120" s="531" t="str">
        <f>'E-1 Off Site Hedge Baseline'!AK118</f>
        <v/>
      </c>
      <c r="C120" s="520" t="str">
        <f>IF(B120="","",IF(ISNA(VLOOKUP($B120,'E-1 Off Site Hedge Baseline'!$B$1:$L$257,3,FALSE)),"",(VLOOKUP($B120,'E-1 Off Site Hedge Baseline'!$B$1:$L$257,3,FALSE))))</f>
        <v/>
      </c>
      <c r="D120" s="520" t="str">
        <f>IF(B120="","",IF(ISNA(VLOOKUP($B120,'E-1 Off Site Hedge Baseline'!$B$1:$L$258,4,FALSE)),"",(VLOOKUP($B120,'E-1 Off Site Hedge Baseline'!$B$1:$L$258,4,FALSE))))</f>
        <v/>
      </c>
      <c r="E120" s="520" t="str">
        <f>IF(B120="","",IF(ISNA(VLOOKUP($B120,'E-1 Off Site Hedge Baseline'!$B$1:$L$257,5,FALSE)),"",(VLOOKUP($B120,'E-1 Off Site Hedge Baseline'!$B$1:$L$257,5,FALSE))))</f>
        <v/>
      </c>
      <c r="F120" s="520" t="str">
        <f>IF(B120="","",IF(ISNA(VLOOKUP($B120,'E-1 Off Site Hedge Baseline'!$B$1:$L$257,6,FALSE)),"",(VLOOKUP($B120,'E-1 Off Site Hedge Baseline'!$B$1:$L$257,6,FALSE))))</f>
        <v/>
      </c>
      <c r="G120" s="520" t="str">
        <f>IF(B120="","",IF(ISNA(VLOOKUP($B120,'E-1 Off Site Hedge Baseline'!$B$1:$L$257,7,FALSE)),"",(VLOOKUP($B120,'E-1 Off Site Hedge Baseline'!$B$1:$L$257,7,FALSE))))</f>
        <v/>
      </c>
      <c r="H120" s="520" t="str">
        <f>IF(B120="","",IF(ISNA(VLOOKUP($B120,'E-1 Off Site Hedge Baseline'!$B$1:$L$257,8,FALSE)),"",(VLOOKUP($B120,'E-1 Off Site Hedge Baseline'!$B$1:$L$257,8,FALSE))))</f>
        <v/>
      </c>
      <c r="I120" s="520" t="str">
        <f>IF(B120="","",IF(ISNA(VLOOKUP($B120,'E-1 Off Site Hedge Baseline'!$B$1:$L$257,10,FALSE)),"",(VLOOKUP($B120,'E-1 Off Site Hedge Baseline'!$B$1:$L$257,10,FALSE))))</f>
        <v/>
      </c>
      <c r="J120" s="520" t="str">
        <f>IF(B120="","",IF(ISNA(VLOOKUP($B120,'E-1 Off Site Hedge Baseline'!$B$1:$L$257,11,FALSE)),"",(VLOOKUP($B120,'E-1 Off Site Hedge Baseline'!$B$1:$L$257,11,FALSE))))</f>
        <v/>
      </c>
      <c r="K120" s="520" t="str">
        <f>IF(B120="","",IF(ISNA(VLOOKUP($B120,'E-1 Off Site Hedge Baseline'!$B$1:$U$257,113,FALSE)),"",(VLOOKUP($B120,'E-1 Off Site Hedge Baseline'!$B$1:$U$257,13,FALSE))))</f>
        <v/>
      </c>
      <c r="L120" s="507" t="str">
        <f>IF(B120="","",IF(ISNA(VLOOKUP($B120,'E-1 Off Site Hedge Baseline'!$B$1:$U$257,12,FALSE)),"",(VLOOKUP($B120,'E-1 Off Site Hedge Baseline'!$B$1:$U$257,12,FALSE))))</f>
        <v/>
      </c>
      <c r="M120" s="418" t="str">
        <f t="shared" si="16"/>
        <v/>
      </c>
      <c r="N120" s="498" t="str">
        <f>IFERROR(IF(B120="","",INDEX('G-6 Hedgerow Data'!$AN$3:$AZ$15,MATCH(C120,'G-6 Hedgerow Data'!$AM$3:$AM$15,0),MATCH(M120,'G-6 Hedgerow Data'!$AN$2:$AZ$2,0))),"")</f>
        <v/>
      </c>
      <c r="O120" s="499" t="str">
        <f t="shared" si="10"/>
        <v/>
      </c>
      <c r="P120" s="505" t="str">
        <f>IF(B120="","",VLOOKUP(B120,'E-1 Off Site Hedge Baseline'!$B$10:T365,16,FALSE))</f>
        <v/>
      </c>
      <c r="Q120" s="498" t="str">
        <f>IF(M120="","",VLOOKUP(M120,'G-6 Hedgerow Data'!$B$2:$AG$15,2,FALSE))</f>
        <v/>
      </c>
      <c r="R120" s="499" t="str">
        <f>IF(M120="","",VLOOKUP(M120,'G-6 Hedgerow Data'!$B$2:$AG$15,3,FALSE))</f>
        <v/>
      </c>
      <c r="S120" s="145"/>
      <c r="T120" s="499" t="str">
        <f>IFERROR(IF(AND(Q120="V.Low",OR(S120="Good",S120="Moderate")),"Error ▲",VLOOKUP(S120,'G-1 All Habitats'!$Z$2:$AA$9,2,FALSE)),"")</f>
        <v/>
      </c>
      <c r="U120" s="145"/>
      <c r="V120" s="507" t="str">
        <f>IF(U120="","",IF(VLOOKUP(U120,'G-3 Multipliers'!$L$3:$N$6,2,FALSE)=0,"Spatial Data Missing ⚠",VLOOKUP(U120,'G-3 Multipliers'!$L$3:$N$6,2,FALSE)))</f>
        <v/>
      </c>
      <c r="W120" s="505" t="str">
        <f>IF(U120="","",IF(VLOOKUP(U120,'G-3 Multipliers'!$L$3:$N$6,3,FALSE)=0,"Spatial Data Missing ⚠",VLOOKUP(U120,'G-3 Multipliers'!$L$3:$N$6,3,FALSE)))</f>
        <v/>
      </c>
      <c r="X120" s="498"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7" t="str">
        <f t="shared" si="11"/>
        <v/>
      </c>
      <c r="AB120" s="521" t="str">
        <f t="shared" si="12"/>
        <v/>
      </c>
      <c r="AC120" s="522" t="str">
        <f t="shared" si="9"/>
        <v/>
      </c>
      <c r="AD120" s="537" t="str">
        <f>IF(M120="","",VLOOKUP(M120,'G-6 Hedgerow Data'!$B$3:$AG$15,31,FALSE))</f>
        <v/>
      </c>
      <c r="AE120" s="520" t="str">
        <f t="shared" si="13"/>
        <v/>
      </c>
      <c r="AF120" s="520" t="str">
        <f t="shared" si="14"/>
        <v/>
      </c>
      <c r="AG120" s="524" t="str">
        <f>IFERROR(IF(O120="","",VLOOKUP(AD120,'G-3 Multipliers'!$P$3:$Q$6,2,FALSE)),"")</f>
        <v/>
      </c>
      <c r="AH120" s="197"/>
      <c r="AI120" s="499" t="str">
        <f>IF(AH120="","",IF(VLOOKUP(AH120,'G-3 Multipliers'!$S$3:$T$6,2,FALSE)=0,"Spatial Data Missing ⚠",VLOOKUP(AH120,'G-3 Multipliers'!$S$3:$T$6,2,FALSE)))</f>
        <v/>
      </c>
      <c r="AJ120" s="545" t="str">
        <f t="shared" si="15"/>
        <v/>
      </c>
      <c r="AK120" s="149"/>
      <c r="AL120" s="150"/>
      <c r="AP120" s="31" t="str">
        <f>IFERROR(INDEX('G-6 Hedgerow Data'!$BJ$3:$BJ$15,MATCH(M120,'G-6 Hedgerow Data'!$B$3:$B$15,0)),"")</f>
        <v/>
      </c>
    </row>
    <row r="121" spans="2:42" ht="13.8" x14ac:dyDescent="0.25">
      <c r="B121" s="531" t="str">
        <f>'E-1 Off Site Hedge Baseline'!AK119</f>
        <v/>
      </c>
      <c r="C121" s="520" t="str">
        <f>IF(B121="","",IF(ISNA(VLOOKUP($B121,'E-1 Off Site Hedge Baseline'!$B$1:$L$257,3,FALSE)),"",(VLOOKUP($B121,'E-1 Off Site Hedge Baseline'!$B$1:$L$257,3,FALSE))))</f>
        <v/>
      </c>
      <c r="D121" s="520" t="str">
        <f>IF(B121="","",IF(ISNA(VLOOKUP($B121,'E-1 Off Site Hedge Baseline'!$B$1:$L$258,4,FALSE)),"",(VLOOKUP($B121,'E-1 Off Site Hedge Baseline'!$B$1:$L$258,4,FALSE))))</f>
        <v/>
      </c>
      <c r="E121" s="520" t="str">
        <f>IF(B121="","",IF(ISNA(VLOOKUP($B121,'E-1 Off Site Hedge Baseline'!$B$1:$L$257,5,FALSE)),"",(VLOOKUP($B121,'E-1 Off Site Hedge Baseline'!$B$1:$L$257,5,FALSE))))</f>
        <v/>
      </c>
      <c r="F121" s="520" t="str">
        <f>IF(B121="","",IF(ISNA(VLOOKUP($B121,'E-1 Off Site Hedge Baseline'!$B$1:$L$257,6,FALSE)),"",(VLOOKUP($B121,'E-1 Off Site Hedge Baseline'!$B$1:$L$257,6,FALSE))))</f>
        <v/>
      </c>
      <c r="G121" s="520" t="str">
        <f>IF(B121="","",IF(ISNA(VLOOKUP($B121,'E-1 Off Site Hedge Baseline'!$B$1:$L$257,7,FALSE)),"",(VLOOKUP($B121,'E-1 Off Site Hedge Baseline'!$B$1:$L$257,7,FALSE))))</f>
        <v/>
      </c>
      <c r="H121" s="520" t="str">
        <f>IF(B121="","",IF(ISNA(VLOOKUP($B121,'E-1 Off Site Hedge Baseline'!$B$1:$L$257,8,FALSE)),"",(VLOOKUP($B121,'E-1 Off Site Hedge Baseline'!$B$1:$L$257,8,FALSE))))</f>
        <v/>
      </c>
      <c r="I121" s="520" t="str">
        <f>IF(B121="","",IF(ISNA(VLOOKUP($B121,'E-1 Off Site Hedge Baseline'!$B$1:$L$257,10,FALSE)),"",(VLOOKUP($B121,'E-1 Off Site Hedge Baseline'!$B$1:$L$257,10,FALSE))))</f>
        <v/>
      </c>
      <c r="J121" s="520" t="str">
        <f>IF(B121="","",IF(ISNA(VLOOKUP($B121,'E-1 Off Site Hedge Baseline'!$B$1:$L$257,11,FALSE)),"",(VLOOKUP($B121,'E-1 Off Site Hedge Baseline'!$B$1:$L$257,11,FALSE))))</f>
        <v/>
      </c>
      <c r="K121" s="520" t="str">
        <f>IF(B121="","",IF(ISNA(VLOOKUP($B121,'E-1 Off Site Hedge Baseline'!$B$1:$U$257,113,FALSE)),"",(VLOOKUP($B121,'E-1 Off Site Hedge Baseline'!$B$1:$U$257,13,FALSE))))</f>
        <v/>
      </c>
      <c r="L121" s="507" t="str">
        <f>IF(B121="","",IF(ISNA(VLOOKUP($B121,'E-1 Off Site Hedge Baseline'!$B$1:$U$257,12,FALSE)),"",(VLOOKUP($B121,'E-1 Off Site Hedge Baseline'!$B$1:$U$257,12,FALSE))))</f>
        <v/>
      </c>
      <c r="M121" s="418" t="str">
        <f t="shared" si="16"/>
        <v/>
      </c>
      <c r="N121" s="498" t="str">
        <f>IFERROR(IF(B121="","",INDEX('G-6 Hedgerow Data'!$AN$3:$AZ$15,MATCH(C121,'G-6 Hedgerow Data'!$AM$3:$AM$15,0),MATCH(M121,'G-6 Hedgerow Data'!$AN$2:$AZ$2,0))),"")</f>
        <v/>
      </c>
      <c r="O121" s="499" t="str">
        <f t="shared" si="10"/>
        <v/>
      </c>
      <c r="P121" s="505" t="str">
        <f>IF(B121="","",VLOOKUP(B121,'E-1 Off Site Hedge Baseline'!$B$10:T366,16,FALSE))</f>
        <v/>
      </c>
      <c r="Q121" s="498" t="str">
        <f>IF(M121="","",VLOOKUP(M121,'G-6 Hedgerow Data'!$B$2:$AG$15,2,FALSE))</f>
        <v/>
      </c>
      <c r="R121" s="499" t="str">
        <f>IF(M121="","",VLOOKUP(M121,'G-6 Hedgerow Data'!$B$2:$AG$15,3,FALSE))</f>
        <v/>
      </c>
      <c r="S121" s="145"/>
      <c r="T121" s="499" t="str">
        <f>IFERROR(IF(AND(Q121="V.Low",OR(S121="Good",S121="Moderate")),"Error ▲",VLOOKUP(S121,'G-1 All Habitats'!$Z$2:$AA$9,2,FALSE)),"")</f>
        <v/>
      </c>
      <c r="U121" s="145"/>
      <c r="V121" s="507" t="str">
        <f>IF(U121="","",IF(VLOOKUP(U121,'G-3 Multipliers'!$L$3:$N$6,2,FALSE)=0,"Spatial Data Missing ⚠",VLOOKUP(U121,'G-3 Multipliers'!$L$3:$N$6,2,FALSE)))</f>
        <v/>
      </c>
      <c r="W121" s="505" t="str">
        <f>IF(U121="","",IF(VLOOKUP(U121,'G-3 Multipliers'!$L$3:$N$6,3,FALSE)=0,"Spatial Data Missing ⚠",VLOOKUP(U121,'G-3 Multipliers'!$L$3:$N$6,3,FALSE)))</f>
        <v/>
      </c>
      <c r="X121" s="498"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7" t="str">
        <f t="shared" si="11"/>
        <v/>
      </c>
      <c r="AB121" s="521" t="str">
        <f t="shared" si="12"/>
        <v/>
      </c>
      <c r="AC121" s="522" t="str">
        <f t="shared" si="9"/>
        <v/>
      </c>
      <c r="AD121" s="537" t="str">
        <f>IF(M121="","",VLOOKUP(M121,'G-6 Hedgerow Data'!$B$3:$AG$15,31,FALSE))</f>
        <v/>
      </c>
      <c r="AE121" s="520" t="str">
        <f t="shared" si="13"/>
        <v/>
      </c>
      <c r="AF121" s="520" t="str">
        <f t="shared" si="14"/>
        <v/>
      </c>
      <c r="AG121" s="524" t="str">
        <f>IFERROR(IF(O121="","",VLOOKUP(AD121,'G-3 Multipliers'!$P$3:$Q$6,2,FALSE)),"")</f>
        <v/>
      </c>
      <c r="AH121" s="197"/>
      <c r="AI121" s="499" t="str">
        <f>IF(AH121="","",IF(VLOOKUP(AH121,'G-3 Multipliers'!$S$3:$T$6,2,FALSE)=0,"Spatial Data Missing ⚠",VLOOKUP(AH121,'G-3 Multipliers'!$S$3:$T$6,2,FALSE)))</f>
        <v/>
      </c>
      <c r="AJ121" s="545" t="str">
        <f t="shared" si="15"/>
        <v/>
      </c>
      <c r="AK121" s="149"/>
      <c r="AL121" s="150"/>
      <c r="AP121" s="31" t="str">
        <f>IFERROR(INDEX('G-6 Hedgerow Data'!$BJ$3:$BJ$15,MATCH(M121,'G-6 Hedgerow Data'!$B$3:$B$15,0)),"")</f>
        <v/>
      </c>
    </row>
    <row r="122" spans="2:42" ht="13.8" x14ac:dyDescent="0.25">
      <c r="B122" s="531" t="str">
        <f>'E-1 Off Site Hedge Baseline'!AK120</f>
        <v/>
      </c>
      <c r="C122" s="520" t="str">
        <f>IF(B122="","",IF(ISNA(VLOOKUP($B122,'E-1 Off Site Hedge Baseline'!$B$1:$L$257,3,FALSE)),"",(VLOOKUP($B122,'E-1 Off Site Hedge Baseline'!$B$1:$L$257,3,FALSE))))</f>
        <v/>
      </c>
      <c r="D122" s="520" t="str">
        <f>IF(B122="","",IF(ISNA(VLOOKUP($B122,'E-1 Off Site Hedge Baseline'!$B$1:$L$258,4,FALSE)),"",(VLOOKUP($B122,'E-1 Off Site Hedge Baseline'!$B$1:$L$258,4,FALSE))))</f>
        <v/>
      </c>
      <c r="E122" s="520" t="str">
        <f>IF(B122="","",IF(ISNA(VLOOKUP($B122,'E-1 Off Site Hedge Baseline'!$B$1:$L$257,5,FALSE)),"",(VLOOKUP($B122,'E-1 Off Site Hedge Baseline'!$B$1:$L$257,5,FALSE))))</f>
        <v/>
      </c>
      <c r="F122" s="520" t="str">
        <f>IF(B122="","",IF(ISNA(VLOOKUP($B122,'E-1 Off Site Hedge Baseline'!$B$1:$L$257,6,FALSE)),"",(VLOOKUP($B122,'E-1 Off Site Hedge Baseline'!$B$1:$L$257,6,FALSE))))</f>
        <v/>
      </c>
      <c r="G122" s="520" t="str">
        <f>IF(B122="","",IF(ISNA(VLOOKUP($B122,'E-1 Off Site Hedge Baseline'!$B$1:$L$257,7,FALSE)),"",(VLOOKUP($B122,'E-1 Off Site Hedge Baseline'!$B$1:$L$257,7,FALSE))))</f>
        <v/>
      </c>
      <c r="H122" s="520" t="str">
        <f>IF(B122="","",IF(ISNA(VLOOKUP($B122,'E-1 Off Site Hedge Baseline'!$B$1:$L$257,8,FALSE)),"",(VLOOKUP($B122,'E-1 Off Site Hedge Baseline'!$B$1:$L$257,8,FALSE))))</f>
        <v/>
      </c>
      <c r="I122" s="520" t="str">
        <f>IF(B122="","",IF(ISNA(VLOOKUP($B122,'E-1 Off Site Hedge Baseline'!$B$1:$L$257,10,FALSE)),"",(VLOOKUP($B122,'E-1 Off Site Hedge Baseline'!$B$1:$L$257,10,FALSE))))</f>
        <v/>
      </c>
      <c r="J122" s="520" t="str">
        <f>IF(B122="","",IF(ISNA(VLOOKUP($B122,'E-1 Off Site Hedge Baseline'!$B$1:$L$257,11,FALSE)),"",(VLOOKUP($B122,'E-1 Off Site Hedge Baseline'!$B$1:$L$257,11,FALSE))))</f>
        <v/>
      </c>
      <c r="K122" s="520" t="str">
        <f>IF(B122="","",IF(ISNA(VLOOKUP($B122,'E-1 Off Site Hedge Baseline'!$B$1:$U$257,113,FALSE)),"",(VLOOKUP($B122,'E-1 Off Site Hedge Baseline'!$B$1:$U$257,13,FALSE))))</f>
        <v/>
      </c>
      <c r="L122" s="507" t="str">
        <f>IF(B122="","",IF(ISNA(VLOOKUP($B122,'E-1 Off Site Hedge Baseline'!$B$1:$U$257,12,FALSE)),"",(VLOOKUP($B122,'E-1 Off Site Hedge Baseline'!$B$1:$U$257,12,FALSE))))</f>
        <v/>
      </c>
      <c r="M122" s="418" t="str">
        <f t="shared" si="16"/>
        <v/>
      </c>
      <c r="N122" s="498" t="str">
        <f>IFERROR(IF(B122="","",INDEX('G-6 Hedgerow Data'!$AN$3:$AZ$15,MATCH(C122,'G-6 Hedgerow Data'!$AM$3:$AM$15,0),MATCH(M122,'G-6 Hedgerow Data'!$AN$2:$AZ$2,0))),"")</f>
        <v/>
      </c>
      <c r="O122" s="499" t="str">
        <f t="shared" si="10"/>
        <v/>
      </c>
      <c r="P122" s="505" t="str">
        <f>IF(B122="","",VLOOKUP(B122,'E-1 Off Site Hedge Baseline'!$B$10:T367,16,FALSE))</f>
        <v/>
      </c>
      <c r="Q122" s="498" t="str">
        <f>IF(M122="","",VLOOKUP(M122,'G-6 Hedgerow Data'!$B$2:$AG$15,2,FALSE))</f>
        <v/>
      </c>
      <c r="R122" s="499" t="str">
        <f>IF(M122="","",VLOOKUP(M122,'G-6 Hedgerow Data'!$B$2:$AG$15,3,FALSE))</f>
        <v/>
      </c>
      <c r="S122" s="145"/>
      <c r="T122" s="499" t="str">
        <f>IFERROR(IF(AND(Q122="V.Low",OR(S122="Good",S122="Moderate")),"Error ▲",VLOOKUP(S122,'G-1 All Habitats'!$Z$2:$AA$9,2,FALSE)),"")</f>
        <v/>
      </c>
      <c r="U122" s="145"/>
      <c r="V122" s="507" t="str">
        <f>IF(U122="","",IF(VLOOKUP(U122,'G-3 Multipliers'!$L$3:$N$6,2,FALSE)=0,"Spatial Data Missing ⚠",VLOOKUP(U122,'G-3 Multipliers'!$L$3:$N$6,2,FALSE)))</f>
        <v/>
      </c>
      <c r="W122" s="505" t="str">
        <f>IF(U122="","",IF(VLOOKUP(U122,'G-3 Multipliers'!$L$3:$N$6,3,FALSE)=0,"Spatial Data Missing ⚠",VLOOKUP(U122,'G-3 Multipliers'!$L$3:$N$6,3,FALSE)))</f>
        <v/>
      </c>
      <c r="X122" s="498"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7" t="str">
        <f t="shared" si="11"/>
        <v/>
      </c>
      <c r="AB122" s="521" t="str">
        <f t="shared" si="12"/>
        <v/>
      </c>
      <c r="AC122" s="522" t="str">
        <f t="shared" si="9"/>
        <v/>
      </c>
      <c r="AD122" s="537" t="str">
        <f>IF(M122="","",VLOOKUP(M122,'G-6 Hedgerow Data'!$B$3:$AG$15,31,FALSE))</f>
        <v/>
      </c>
      <c r="AE122" s="520" t="str">
        <f t="shared" si="13"/>
        <v/>
      </c>
      <c r="AF122" s="520" t="str">
        <f t="shared" si="14"/>
        <v/>
      </c>
      <c r="AG122" s="524" t="str">
        <f>IFERROR(IF(O122="","",VLOOKUP(AD122,'G-3 Multipliers'!$P$3:$Q$6,2,FALSE)),"")</f>
        <v/>
      </c>
      <c r="AH122" s="197"/>
      <c r="AI122" s="499" t="str">
        <f>IF(AH122="","",IF(VLOOKUP(AH122,'G-3 Multipliers'!$S$3:$T$6,2,FALSE)=0,"Spatial Data Missing ⚠",VLOOKUP(AH122,'G-3 Multipliers'!$S$3:$T$6,2,FALSE)))</f>
        <v/>
      </c>
      <c r="AJ122" s="545" t="str">
        <f t="shared" si="15"/>
        <v/>
      </c>
      <c r="AK122" s="149"/>
      <c r="AL122" s="150"/>
      <c r="AP122" s="31" t="str">
        <f>IFERROR(INDEX('G-6 Hedgerow Data'!$BJ$3:$BJ$15,MATCH(M122,'G-6 Hedgerow Data'!$B$3:$B$15,0)),"")</f>
        <v/>
      </c>
    </row>
    <row r="123" spans="2:42" ht="13.8" x14ac:dyDescent="0.25">
      <c r="B123" s="531" t="str">
        <f>'E-1 Off Site Hedge Baseline'!AK121</f>
        <v/>
      </c>
      <c r="C123" s="520" t="str">
        <f>IF(B123="","",IF(ISNA(VLOOKUP($B123,'E-1 Off Site Hedge Baseline'!$B$1:$L$257,3,FALSE)),"",(VLOOKUP($B123,'E-1 Off Site Hedge Baseline'!$B$1:$L$257,3,FALSE))))</f>
        <v/>
      </c>
      <c r="D123" s="520" t="str">
        <f>IF(B123="","",IF(ISNA(VLOOKUP($B123,'E-1 Off Site Hedge Baseline'!$B$1:$L$258,4,FALSE)),"",(VLOOKUP($B123,'E-1 Off Site Hedge Baseline'!$B$1:$L$258,4,FALSE))))</f>
        <v/>
      </c>
      <c r="E123" s="520" t="str">
        <f>IF(B123="","",IF(ISNA(VLOOKUP($B123,'E-1 Off Site Hedge Baseline'!$B$1:$L$257,5,FALSE)),"",(VLOOKUP($B123,'E-1 Off Site Hedge Baseline'!$B$1:$L$257,5,FALSE))))</f>
        <v/>
      </c>
      <c r="F123" s="520" t="str">
        <f>IF(B123="","",IF(ISNA(VLOOKUP($B123,'E-1 Off Site Hedge Baseline'!$B$1:$L$257,6,FALSE)),"",(VLOOKUP($B123,'E-1 Off Site Hedge Baseline'!$B$1:$L$257,6,FALSE))))</f>
        <v/>
      </c>
      <c r="G123" s="520" t="str">
        <f>IF(B123="","",IF(ISNA(VLOOKUP($B123,'E-1 Off Site Hedge Baseline'!$B$1:$L$257,7,FALSE)),"",(VLOOKUP($B123,'E-1 Off Site Hedge Baseline'!$B$1:$L$257,7,FALSE))))</f>
        <v/>
      </c>
      <c r="H123" s="520" t="str">
        <f>IF(B123="","",IF(ISNA(VLOOKUP($B123,'E-1 Off Site Hedge Baseline'!$B$1:$L$257,8,FALSE)),"",(VLOOKUP($B123,'E-1 Off Site Hedge Baseline'!$B$1:$L$257,8,FALSE))))</f>
        <v/>
      </c>
      <c r="I123" s="520" t="str">
        <f>IF(B123="","",IF(ISNA(VLOOKUP($B123,'E-1 Off Site Hedge Baseline'!$B$1:$L$257,10,FALSE)),"",(VLOOKUP($B123,'E-1 Off Site Hedge Baseline'!$B$1:$L$257,10,FALSE))))</f>
        <v/>
      </c>
      <c r="J123" s="520" t="str">
        <f>IF(B123="","",IF(ISNA(VLOOKUP($B123,'E-1 Off Site Hedge Baseline'!$B$1:$L$257,11,FALSE)),"",(VLOOKUP($B123,'E-1 Off Site Hedge Baseline'!$B$1:$L$257,11,FALSE))))</f>
        <v/>
      </c>
      <c r="K123" s="520" t="str">
        <f>IF(B123="","",IF(ISNA(VLOOKUP($B123,'E-1 Off Site Hedge Baseline'!$B$1:$U$257,113,FALSE)),"",(VLOOKUP($B123,'E-1 Off Site Hedge Baseline'!$B$1:$U$257,13,FALSE))))</f>
        <v/>
      </c>
      <c r="L123" s="507" t="str">
        <f>IF(B123="","",IF(ISNA(VLOOKUP($B123,'E-1 Off Site Hedge Baseline'!$B$1:$U$257,12,FALSE)),"",(VLOOKUP($B123,'E-1 Off Site Hedge Baseline'!$B$1:$U$257,12,FALSE))))</f>
        <v/>
      </c>
      <c r="M123" s="418" t="str">
        <f t="shared" si="16"/>
        <v/>
      </c>
      <c r="N123" s="498" t="str">
        <f>IFERROR(IF(B123="","",INDEX('G-6 Hedgerow Data'!$AN$3:$AZ$15,MATCH(C123,'G-6 Hedgerow Data'!$AM$3:$AM$15,0),MATCH(M123,'G-6 Hedgerow Data'!$AN$2:$AZ$2,0))),"")</f>
        <v/>
      </c>
      <c r="O123" s="499" t="str">
        <f t="shared" si="10"/>
        <v/>
      </c>
      <c r="P123" s="505" t="str">
        <f>IF(B123="","",VLOOKUP(B123,'E-1 Off Site Hedge Baseline'!$B$10:T368,16,FALSE))</f>
        <v/>
      </c>
      <c r="Q123" s="498" t="str">
        <f>IF(M123="","",VLOOKUP(M123,'G-6 Hedgerow Data'!$B$2:$AG$15,2,FALSE))</f>
        <v/>
      </c>
      <c r="R123" s="499" t="str">
        <f>IF(M123="","",VLOOKUP(M123,'G-6 Hedgerow Data'!$B$2:$AG$15,3,FALSE))</f>
        <v/>
      </c>
      <c r="S123" s="145"/>
      <c r="T123" s="499" t="str">
        <f>IFERROR(IF(AND(Q123="V.Low",OR(S123="Good",S123="Moderate")),"Error ▲",VLOOKUP(S123,'G-1 All Habitats'!$Z$2:$AA$9,2,FALSE)),"")</f>
        <v/>
      </c>
      <c r="U123" s="145"/>
      <c r="V123" s="507" t="str">
        <f>IF(U123="","",IF(VLOOKUP(U123,'G-3 Multipliers'!$L$3:$N$6,2,FALSE)=0,"Spatial Data Missing ⚠",VLOOKUP(U123,'G-3 Multipliers'!$L$3:$N$6,2,FALSE)))</f>
        <v/>
      </c>
      <c r="W123" s="505" t="str">
        <f>IF(U123="","",IF(VLOOKUP(U123,'G-3 Multipliers'!$L$3:$N$6,3,FALSE)=0,"Spatial Data Missing ⚠",VLOOKUP(U123,'G-3 Multipliers'!$L$3:$N$6,3,FALSE)))</f>
        <v/>
      </c>
      <c r="X123" s="498"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7" t="str">
        <f t="shared" si="11"/>
        <v/>
      </c>
      <c r="AB123" s="521" t="str">
        <f t="shared" si="12"/>
        <v/>
      </c>
      <c r="AC123" s="522" t="str">
        <f t="shared" si="9"/>
        <v/>
      </c>
      <c r="AD123" s="537" t="str">
        <f>IF(M123="","",VLOOKUP(M123,'G-6 Hedgerow Data'!$B$3:$AG$15,31,FALSE))</f>
        <v/>
      </c>
      <c r="AE123" s="520" t="str">
        <f t="shared" si="13"/>
        <v/>
      </c>
      <c r="AF123" s="520" t="str">
        <f t="shared" si="14"/>
        <v/>
      </c>
      <c r="AG123" s="524" t="str">
        <f>IFERROR(IF(O123="","",VLOOKUP(AD123,'G-3 Multipliers'!$P$3:$Q$6,2,FALSE)),"")</f>
        <v/>
      </c>
      <c r="AH123" s="197"/>
      <c r="AI123" s="499" t="str">
        <f>IF(AH123="","",IF(VLOOKUP(AH123,'G-3 Multipliers'!$S$3:$T$6,2,FALSE)=0,"Spatial Data Missing ⚠",VLOOKUP(AH123,'G-3 Multipliers'!$S$3:$T$6,2,FALSE)))</f>
        <v/>
      </c>
      <c r="AJ123" s="545" t="str">
        <f t="shared" si="15"/>
        <v/>
      </c>
      <c r="AK123" s="149"/>
      <c r="AL123" s="150"/>
      <c r="AP123" s="31" t="str">
        <f>IFERROR(INDEX('G-6 Hedgerow Data'!$BJ$3:$BJ$15,MATCH(M123,'G-6 Hedgerow Data'!$B$3:$B$15,0)),"")</f>
        <v/>
      </c>
    </row>
    <row r="124" spans="2:42" ht="13.8" x14ac:dyDescent="0.25">
      <c r="B124" s="531" t="str">
        <f>'E-1 Off Site Hedge Baseline'!AK122</f>
        <v/>
      </c>
      <c r="C124" s="520" t="str">
        <f>IF(B124="","",IF(ISNA(VLOOKUP($B124,'E-1 Off Site Hedge Baseline'!$B$1:$L$257,3,FALSE)),"",(VLOOKUP($B124,'E-1 Off Site Hedge Baseline'!$B$1:$L$257,3,FALSE))))</f>
        <v/>
      </c>
      <c r="D124" s="520" t="str">
        <f>IF(B124="","",IF(ISNA(VLOOKUP($B124,'E-1 Off Site Hedge Baseline'!$B$1:$L$258,4,FALSE)),"",(VLOOKUP($B124,'E-1 Off Site Hedge Baseline'!$B$1:$L$258,4,FALSE))))</f>
        <v/>
      </c>
      <c r="E124" s="520" t="str">
        <f>IF(B124="","",IF(ISNA(VLOOKUP($B124,'E-1 Off Site Hedge Baseline'!$B$1:$L$257,5,FALSE)),"",(VLOOKUP($B124,'E-1 Off Site Hedge Baseline'!$B$1:$L$257,5,FALSE))))</f>
        <v/>
      </c>
      <c r="F124" s="520" t="str">
        <f>IF(B124="","",IF(ISNA(VLOOKUP($B124,'E-1 Off Site Hedge Baseline'!$B$1:$L$257,6,FALSE)),"",(VLOOKUP($B124,'E-1 Off Site Hedge Baseline'!$B$1:$L$257,6,FALSE))))</f>
        <v/>
      </c>
      <c r="G124" s="520" t="str">
        <f>IF(B124="","",IF(ISNA(VLOOKUP($B124,'E-1 Off Site Hedge Baseline'!$B$1:$L$257,7,FALSE)),"",(VLOOKUP($B124,'E-1 Off Site Hedge Baseline'!$B$1:$L$257,7,FALSE))))</f>
        <v/>
      </c>
      <c r="H124" s="520" t="str">
        <f>IF(B124="","",IF(ISNA(VLOOKUP($B124,'E-1 Off Site Hedge Baseline'!$B$1:$L$257,8,FALSE)),"",(VLOOKUP($B124,'E-1 Off Site Hedge Baseline'!$B$1:$L$257,8,FALSE))))</f>
        <v/>
      </c>
      <c r="I124" s="520" t="str">
        <f>IF(B124="","",IF(ISNA(VLOOKUP($B124,'E-1 Off Site Hedge Baseline'!$B$1:$L$257,10,FALSE)),"",(VLOOKUP($B124,'E-1 Off Site Hedge Baseline'!$B$1:$L$257,10,FALSE))))</f>
        <v/>
      </c>
      <c r="J124" s="520" t="str">
        <f>IF(B124="","",IF(ISNA(VLOOKUP($B124,'E-1 Off Site Hedge Baseline'!$B$1:$L$257,11,FALSE)),"",(VLOOKUP($B124,'E-1 Off Site Hedge Baseline'!$B$1:$L$257,11,FALSE))))</f>
        <v/>
      </c>
      <c r="K124" s="520" t="str">
        <f>IF(B124="","",IF(ISNA(VLOOKUP($B124,'E-1 Off Site Hedge Baseline'!$B$1:$U$257,113,FALSE)),"",(VLOOKUP($B124,'E-1 Off Site Hedge Baseline'!$B$1:$U$257,13,FALSE))))</f>
        <v/>
      </c>
      <c r="L124" s="507" t="str">
        <f>IF(B124="","",IF(ISNA(VLOOKUP($B124,'E-1 Off Site Hedge Baseline'!$B$1:$U$257,12,FALSE)),"",(VLOOKUP($B124,'E-1 Off Site Hedge Baseline'!$B$1:$U$257,12,FALSE))))</f>
        <v/>
      </c>
      <c r="M124" s="418" t="str">
        <f t="shared" si="16"/>
        <v/>
      </c>
      <c r="N124" s="498" t="str">
        <f>IFERROR(IF(B124="","",INDEX('G-6 Hedgerow Data'!$AN$3:$AZ$15,MATCH(C124,'G-6 Hedgerow Data'!$AM$3:$AM$15,0),MATCH(M124,'G-6 Hedgerow Data'!$AN$2:$AZ$2,0))),"")</f>
        <v/>
      </c>
      <c r="O124" s="499" t="str">
        <f t="shared" si="10"/>
        <v/>
      </c>
      <c r="P124" s="505" t="str">
        <f>IF(B124="","",VLOOKUP(B124,'E-1 Off Site Hedge Baseline'!$B$10:T369,16,FALSE))</f>
        <v/>
      </c>
      <c r="Q124" s="498" t="str">
        <f>IF(M124="","",VLOOKUP(M124,'G-6 Hedgerow Data'!$B$2:$AG$15,2,FALSE))</f>
        <v/>
      </c>
      <c r="R124" s="499" t="str">
        <f>IF(M124="","",VLOOKUP(M124,'G-6 Hedgerow Data'!$B$2:$AG$15,3,FALSE))</f>
        <v/>
      </c>
      <c r="S124" s="145"/>
      <c r="T124" s="499" t="str">
        <f>IFERROR(IF(AND(Q124="V.Low",OR(S124="Good",S124="Moderate")),"Error ▲",VLOOKUP(S124,'G-1 All Habitats'!$Z$2:$AA$9,2,FALSE)),"")</f>
        <v/>
      </c>
      <c r="U124" s="145"/>
      <c r="V124" s="507" t="str">
        <f>IF(U124="","",IF(VLOOKUP(U124,'G-3 Multipliers'!$L$3:$N$6,2,FALSE)=0,"Spatial Data Missing ⚠",VLOOKUP(U124,'G-3 Multipliers'!$L$3:$N$6,2,FALSE)))</f>
        <v/>
      </c>
      <c r="W124" s="505" t="str">
        <f>IF(U124="","",IF(VLOOKUP(U124,'G-3 Multipliers'!$L$3:$N$6,3,FALSE)=0,"Spatial Data Missing ⚠",VLOOKUP(U124,'G-3 Multipliers'!$L$3:$N$6,3,FALSE)))</f>
        <v/>
      </c>
      <c r="X124" s="498"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7" t="str">
        <f t="shared" si="11"/>
        <v/>
      </c>
      <c r="AB124" s="521" t="str">
        <f t="shared" si="12"/>
        <v/>
      </c>
      <c r="AC124" s="522" t="str">
        <f t="shared" si="9"/>
        <v/>
      </c>
      <c r="AD124" s="537" t="str">
        <f>IF(M124="","",VLOOKUP(M124,'G-6 Hedgerow Data'!$B$3:$AG$15,31,FALSE))</f>
        <v/>
      </c>
      <c r="AE124" s="520" t="str">
        <f t="shared" si="13"/>
        <v/>
      </c>
      <c r="AF124" s="520" t="str">
        <f t="shared" si="14"/>
        <v/>
      </c>
      <c r="AG124" s="524" t="str">
        <f>IFERROR(IF(O124="","",VLOOKUP(AD124,'G-3 Multipliers'!$P$3:$Q$6,2,FALSE)),"")</f>
        <v/>
      </c>
      <c r="AH124" s="197"/>
      <c r="AI124" s="499" t="str">
        <f>IF(AH124="","",IF(VLOOKUP(AH124,'G-3 Multipliers'!$S$3:$T$6,2,FALSE)=0,"Spatial Data Missing ⚠",VLOOKUP(AH124,'G-3 Multipliers'!$S$3:$T$6,2,FALSE)))</f>
        <v/>
      </c>
      <c r="AJ124" s="545" t="str">
        <f t="shared" si="15"/>
        <v/>
      </c>
      <c r="AK124" s="149"/>
      <c r="AL124" s="150"/>
      <c r="AP124" s="31" t="str">
        <f>IFERROR(INDEX('G-6 Hedgerow Data'!$BJ$3:$BJ$15,MATCH(M124,'G-6 Hedgerow Data'!$B$3:$B$15,0)),"")</f>
        <v/>
      </c>
    </row>
    <row r="125" spans="2:42" ht="13.8" x14ac:dyDescent="0.25">
      <c r="B125" s="531" t="str">
        <f>'E-1 Off Site Hedge Baseline'!AK123</f>
        <v/>
      </c>
      <c r="C125" s="520" t="str">
        <f>IF(B125="","",IF(ISNA(VLOOKUP($B125,'E-1 Off Site Hedge Baseline'!$B$1:$L$257,3,FALSE)),"",(VLOOKUP($B125,'E-1 Off Site Hedge Baseline'!$B$1:$L$257,3,FALSE))))</f>
        <v/>
      </c>
      <c r="D125" s="520" t="str">
        <f>IF(B125="","",IF(ISNA(VLOOKUP($B125,'E-1 Off Site Hedge Baseline'!$B$1:$L$258,4,FALSE)),"",(VLOOKUP($B125,'E-1 Off Site Hedge Baseline'!$B$1:$L$258,4,FALSE))))</f>
        <v/>
      </c>
      <c r="E125" s="520" t="str">
        <f>IF(B125="","",IF(ISNA(VLOOKUP($B125,'E-1 Off Site Hedge Baseline'!$B$1:$L$257,5,FALSE)),"",(VLOOKUP($B125,'E-1 Off Site Hedge Baseline'!$B$1:$L$257,5,FALSE))))</f>
        <v/>
      </c>
      <c r="F125" s="520" t="str">
        <f>IF(B125="","",IF(ISNA(VLOOKUP($B125,'E-1 Off Site Hedge Baseline'!$B$1:$L$257,6,FALSE)),"",(VLOOKUP($B125,'E-1 Off Site Hedge Baseline'!$B$1:$L$257,6,FALSE))))</f>
        <v/>
      </c>
      <c r="G125" s="520" t="str">
        <f>IF(B125="","",IF(ISNA(VLOOKUP($B125,'E-1 Off Site Hedge Baseline'!$B$1:$L$257,7,FALSE)),"",(VLOOKUP($B125,'E-1 Off Site Hedge Baseline'!$B$1:$L$257,7,FALSE))))</f>
        <v/>
      </c>
      <c r="H125" s="520" t="str">
        <f>IF(B125="","",IF(ISNA(VLOOKUP($B125,'E-1 Off Site Hedge Baseline'!$B$1:$L$257,8,FALSE)),"",(VLOOKUP($B125,'E-1 Off Site Hedge Baseline'!$B$1:$L$257,8,FALSE))))</f>
        <v/>
      </c>
      <c r="I125" s="520" t="str">
        <f>IF(B125="","",IF(ISNA(VLOOKUP($B125,'E-1 Off Site Hedge Baseline'!$B$1:$L$257,10,FALSE)),"",(VLOOKUP($B125,'E-1 Off Site Hedge Baseline'!$B$1:$L$257,10,FALSE))))</f>
        <v/>
      </c>
      <c r="J125" s="520" t="str">
        <f>IF(B125="","",IF(ISNA(VLOOKUP($B125,'E-1 Off Site Hedge Baseline'!$B$1:$L$257,11,FALSE)),"",(VLOOKUP($B125,'E-1 Off Site Hedge Baseline'!$B$1:$L$257,11,FALSE))))</f>
        <v/>
      </c>
      <c r="K125" s="520" t="str">
        <f>IF(B125="","",IF(ISNA(VLOOKUP($B125,'E-1 Off Site Hedge Baseline'!$B$1:$U$257,113,FALSE)),"",(VLOOKUP($B125,'E-1 Off Site Hedge Baseline'!$B$1:$U$257,13,FALSE))))</f>
        <v/>
      </c>
      <c r="L125" s="507" t="str">
        <f>IF(B125="","",IF(ISNA(VLOOKUP($B125,'E-1 Off Site Hedge Baseline'!$B$1:$U$257,12,FALSE)),"",(VLOOKUP($B125,'E-1 Off Site Hedge Baseline'!$B$1:$U$257,12,FALSE))))</f>
        <v/>
      </c>
      <c r="M125" s="418" t="str">
        <f t="shared" si="16"/>
        <v/>
      </c>
      <c r="N125" s="498" t="str">
        <f>IFERROR(IF(B125="","",INDEX('G-6 Hedgerow Data'!$AN$3:$AZ$15,MATCH(C125,'G-6 Hedgerow Data'!$AM$3:$AM$15,0),MATCH(M125,'G-6 Hedgerow Data'!$AN$2:$AZ$2,0))),"")</f>
        <v/>
      </c>
      <c r="O125" s="499" t="str">
        <f t="shared" si="10"/>
        <v/>
      </c>
      <c r="P125" s="505" t="str">
        <f>IF(B125="","",VLOOKUP(B125,'E-1 Off Site Hedge Baseline'!$B$10:T370,16,FALSE))</f>
        <v/>
      </c>
      <c r="Q125" s="498" t="str">
        <f>IF(M125="","",VLOOKUP(M125,'G-6 Hedgerow Data'!$B$2:$AG$15,2,FALSE))</f>
        <v/>
      </c>
      <c r="R125" s="499" t="str">
        <f>IF(M125="","",VLOOKUP(M125,'G-6 Hedgerow Data'!$B$2:$AG$15,3,FALSE))</f>
        <v/>
      </c>
      <c r="S125" s="145"/>
      <c r="T125" s="499" t="str">
        <f>IFERROR(IF(AND(Q125="V.Low",OR(S125="Good",S125="Moderate")),"Error ▲",VLOOKUP(S125,'G-1 All Habitats'!$Z$2:$AA$9,2,FALSE)),"")</f>
        <v/>
      </c>
      <c r="U125" s="145"/>
      <c r="V125" s="507" t="str">
        <f>IF(U125="","",IF(VLOOKUP(U125,'G-3 Multipliers'!$L$3:$N$6,2,FALSE)=0,"Spatial Data Missing ⚠",VLOOKUP(U125,'G-3 Multipliers'!$L$3:$N$6,2,FALSE)))</f>
        <v/>
      </c>
      <c r="W125" s="505" t="str">
        <f>IF(U125="","",IF(VLOOKUP(U125,'G-3 Multipliers'!$L$3:$N$6,3,FALSE)=0,"Spatial Data Missing ⚠",VLOOKUP(U125,'G-3 Multipliers'!$L$3:$N$6,3,FALSE)))</f>
        <v/>
      </c>
      <c r="X125" s="498"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7" t="str">
        <f t="shared" si="11"/>
        <v/>
      </c>
      <c r="AB125" s="521" t="str">
        <f t="shared" si="12"/>
        <v/>
      </c>
      <c r="AC125" s="522" t="str">
        <f t="shared" si="9"/>
        <v/>
      </c>
      <c r="AD125" s="537" t="str">
        <f>IF(M125="","",VLOOKUP(M125,'G-6 Hedgerow Data'!$B$3:$AG$15,31,FALSE))</f>
        <v/>
      </c>
      <c r="AE125" s="520" t="str">
        <f t="shared" si="13"/>
        <v/>
      </c>
      <c r="AF125" s="520" t="str">
        <f t="shared" si="14"/>
        <v/>
      </c>
      <c r="AG125" s="524" t="str">
        <f>IFERROR(IF(O125="","",VLOOKUP(AD125,'G-3 Multipliers'!$P$3:$Q$6,2,FALSE)),"")</f>
        <v/>
      </c>
      <c r="AH125" s="197"/>
      <c r="AI125" s="499" t="str">
        <f>IF(AH125="","",IF(VLOOKUP(AH125,'G-3 Multipliers'!$S$3:$T$6,2,FALSE)=0,"Spatial Data Missing ⚠",VLOOKUP(AH125,'G-3 Multipliers'!$S$3:$T$6,2,FALSE)))</f>
        <v/>
      </c>
      <c r="AJ125" s="545" t="str">
        <f t="shared" si="15"/>
        <v/>
      </c>
      <c r="AK125" s="149"/>
      <c r="AL125" s="150"/>
      <c r="AP125" s="31" t="str">
        <f>IFERROR(INDEX('G-6 Hedgerow Data'!$BJ$3:$BJ$15,MATCH(M125,'G-6 Hedgerow Data'!$B$3:$B$15,0)),"")</f>
        <v/>
      </c>
    </row>
    <row r="126" spans="2:42" ht="13.8" x14ac:dyDescent="0.25">
      <c r="B126" s="531" t="str">
        <f>'E-1 Off Site Hedge Baseline'!AK124</f>
        <v/>
      </c>
      <c r="C126" s="520" t="str">
        <f>IF(B126="","",IF(ISNA(VLOOKUP($B126,'E-1 Off Site Hedge Baseline'!$B$1:$L$257,3,FALSE)),"",(VLOOKUP($B126,'E-1 Off Site Hedge Baseline'!$B$1:$L$257,3,FALSE))))</f>
        <v/>
      </c>
      <c r="D126" s="520" t="str">
        <f>IF(B126="","",IF(ISNA(VLOOKUP($B126,'E-1 Off Site Hedge Baseline'!$B$1:$L$258,4,FALSE)),"",(VLOOKUP($B126,'E-1 Off Site Hedge Baseline'!$B$1:$L$258,4,FALSE))))</f>
        <v/>
      </c>
      <c r="E126" s="520" t="str">
        <f>IF(B126="","",IF(ISNA(VLOOKUP($B126,'E-1 Off Site Hedge Baseline'!$B$1:$L$257,5,FALSE)),"",(VLOOKUP($B126,'E-1 Off Site Hedge Baseline'!$B$1:$L$257,5,FALSE))))</f>
        <v/>
      </c>
      <c r="F126" s="520" t="str">
        <f>IF(B126="","",IF(ISNA(VLOOKUP($B126,'E-1 Off Site Hedge Baseline'!$B$1:$L$257,6,FALSE)),"",(VLOOKUP($B126,'E-1 Off Site Hedge Baseline'!$B$1:$L$257,6,FALSE))))</f>
        <v/>
      </c>
      <c r="G126" s="520" t="str">
        <f>IF(B126="","",IF(ISNA(VLOOKUP($B126,'E-1 Off Site Hedge Baseline'!$B$1:$L$257,7,FALSE)),"",(VLOOKUP($B126,'E-1 Off Site Hedge Baseline'!$B$1:$L$257,7,FALSE))))</f>
        <v/>
      </c>
      <c r="H126" s="520" t="str">
        <f>IF(B126="","",IF(ISNA(VLOOKUP($B126,'E-1 Off Site Hedge Baseline'!$B$1:$L$257,8,FALSE)),"",(VLOOKUP($B126,'E-1 Off Site Hedge Baseline'!$B$1:$L$257,8,FALSE))))</f>
        <v/>
      </c>
      <c r="I126" s="520" t="str">
        <f>IF(B126="","",IF(ISNA(VLOOKUP($B126,'E-1 Off Site Hedge Baseline'!$B$1:$L$257,10,FALSE)),"",(VLOOKUP($B126,'E-1 Off Site Hedge Baseline'!$B$1:$L$257,10,FALSE))))</f>
        <v/>
      </c>
      <c r="J126" s="520" t="str">
        <f>IF(B126="","",IF(ISNA(VLOOKUP($B126,'E-1 Off Site Hedge Baseline'!$B$1:$L$257,11,FALSE)),"",(VLOOKUP($B126,'E-1 Off Site Hedge Baseline'!$B$1:$L$257,11,FALSE))))</f>
        <v/>
      </c>
      <c r="K126" s="520" t="str">
        <f>IF(B126="","",IF(ISNA(VLOOKUP($B126,'E-1 Off Site Hedge Baseline'!$B$1:$U$257,113,FALSE)),"",(VLOOKUP($B126,'E-1 Off Site Hedge Baseline'!$B$1:$U$257,13,FALSE))))</f>
        <v/>
      </c>
      <c r="L126" s="507" t="str">
        <f>IF(B126="","",IF(ISNA(VLOOKUP($B126,'E-1 Off Site Hedge Baseline'!$B$1:$U$257,12,FALSE)),"",(VLOOKUP($B126,'E-1 Off Site Hedge Baseline'!$B$1:$U$257,12,FALSE))))</f>
        <v/>
      </c>
      <c r="M126" s="418" t="str">
        <f t="shared" si="16"/>
        <v/>
      </c>
      <c r="N126" s="498" t="str">
        <f>IFERROR(IF(B126="","",INDEX('G-6 Hedgerow Data'!$AN$3:$AZ$15,MATCH(C126,'G-6 Hedgerow Data'!$AM$3:$AM$15,0),MATCH(M126,'G-6 Hedgerow Data'!$AN$2:$AZ$2,0))),"")</f>
        <v/>
      </c>
      <c r="O126" s="499" t="str">
        <f t="shared" si="10"/>
        <v/>
      </c>
      <c r="P126" s="505" t="str">
        <f>IF(B126="","",VLOOKUP(B126,'E-1 Off Site Hedge Baseline'!$B$10:T371,16,FALSE))</f>
        <v/>
      </c>
      <c r="Q126" s="498" t="str">
        <f>IF(M126="","",VLOOKUP(M126,'G-6 Hedgerow Data'!$B$2:$AG$15,2,FALSE))</f>
        <v/>
      </c>
      <c r="R126" s="499" t="str">
        <f>IF(M126="","",VLOOKUP(M126,'G-6 Hedgerow Data'!$B$2:$AG$15,3,FALSE))</f>
        <v/>
      </c>
      <c r="S126" s="145"/>
      <c r="T126" s="499" t="str">
        <f>IFERROR(IF(AND(Q126="V.Low",OR(S126="Good",S126="Moderate")),"Error ▲",VLOOKUP(S126,'G-1 All Habitats'!$Z$2:$AA$9,2,FALSE)),"")</f>
        <v/>
      </c>
      <c r="U126" s="145"/>
      <c r="V126" s="507" t="str">
        <f>IF(U126="","",IF(VLOOKUP(U126,'G-3 Multipliers'!$L$3:$N$6,2,FALSE)=0,"Spatial Data Missing ⚠",VLOOKUP(U126,'G-3 Multipliers'!$L$3:$N$6,2,FALSE)))</f>
        <v/>
      </c>
      <c r="W126" s="505" t="str">
        <f>IF(U126="","",IF(VLOOKUP(U126,'G-3 Multipliers'!$L$3:$N$6,3,FALSE)=0,"Spatial Data Missing ⚠",VLOOKUP(U126,'G-3 Multipliers'!$L$3:$N$6,3,FALSE)))</f>
        <v/>
      </c>
      <c r="X126" s="498"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7" t="str">
        <f t="shared" si="11"/>
        <v/>
      </c>
      <c r="AB126" s="521" t="str">
        <f t="shared" si="12"/>
        <v/>
      </c>
      <c r="AC126" s="522" t="str">
        <f t="shared" si="9"/>
        <v/>
      </c>
      <c r="AD126" s="537" t="str">
        <f>IF(M126="","",VLOOKUP(M126,'G-6 Hedgerow Data'!$B$3:$AG$15,31,FALSE))</f>
        <v/>
      </c>
      <c r="AE126" s="520" t="str">
        <f t="shared" si="13"/>
        <v/>
      </c>
      <c r="AF126" s="520" t="str">
        <f t="shared" si="14"/>
        <v/>
      </c>
      <c r="AG126" s="524" t="str">
        <f>IFERROR(IF(O126="","",VLOOKUP(AD126,'G-3 Multipliers'!$P$3:$Q$6,2,FALSE)),"")</f>
        <v/>
      </c>
      <c r="AH126" s="197"/>
      <c r="AI126" s="499" t="str">
        <f>IF(AH126="","",IF(VLOOKUP(AH126,'G-3 Multipliers'!$S$3:$T$6,2,FALSE)=0,"Spatial Data Missing ⚠",VLOOKUP(AH126,'G-3 Multipliers'!$S$3:$T$6,2,FALSE)))</f>
        <v/>
      </c>
      <c r="AJ126" s="545" t="str">
        <f t="shared" si="15"/>
        <v/>
      </c>
      <c r="AK126" s="149"/>
      <c r="AL126" s="150"/>
      <c r="AP126" s="31" t="str">
        <f>IFERROR(INDEX('G-6 Hedgerow Data'!$BJ$3:$BJ$15,MATCH(M126,'G-6 Hedgerow Data'!$B$3:$B$15,0)),"")</f>
        <v/>
      </c>
    </row>
    <row r="127" spans="2:42" ht="13.8" x14ac:dyDescent="0.25">
      <c r="B127" s="531" t="str">
        <f>'E-1 Off Site Hedge Baseline'!AK125</f>
        <v/>
      </c>
      <c r="C127" s="520" t="str">
        <f>IF(B127="","",IF(ISNA(VLOOKUP($B127,'E-1 Off Site Hedge Baseline'!$B$1:$L$257,3,FALSE)),"",(VLOOKUP($B127,'E-1 Off Site Hedge Baseline'!$B$1:$L$257,3,FALSE))))</f>
        <v/>
      </c>
      <c r="D127" s="520" t="str">
        <f>IF(B127="","",IF(ISNA(VLOOKUP($B127,'E-1 Off Site Hedge Baseline'!$B$1:$L$258,4,FALSE)),"",(VLOOKUP($B127,'E-1 Off Site Hedge Baseline'!$B$1:$L$258,4,FALSE))))</f>
        <v/>
      </c>
      <c r="E127" s="520" t="str">
        <f>IF(B127="","",IF(ISNA(VLOOKUP($B127,'E-1 Off Site Hedge Baseline'!$B$1:$L$257,5,FALSE)),"",(VLOOKUP($B127,'E-1 Off Site Hedge Baseline'!$B$1:$L$257,5,FALSE))))</f>
        <v/>
      </c>
      <c r="F127" s="520" t="str">
        <f>IF(B127="","",IF(ISNA(VLOOKUP($B127,'E-1 Off Site Hedge Baseline'!$B$1:$L$257,6,FALSE)),"",(VLOOKUP($B127,'E-1 Off Site Hedge Baseline'!$B$1:$L$257,6,FALSE))))</f>
        <v/>
      </c>
      <c r="G127" s="520" t="str">
        <f>IF(B127="","",IF(ISNA(VLOOKUP($B127,'E-1 Off Site Hedge Baseline'!$B$1:$L$257,7,FALSE)),"",(VLOOKUP($B127,'E-1 Off Site Hedge Baseline'!$B$1:$L$257,7,FALSE))))</f>
        <v/>
      </c>
      <c r="H127" s="520" t="str">
        <f>IF(B127="","",IF(ISNA(VLOOKUP($B127,'E-1 Off Site Hedge Baseline'!$B$1:$L$257,8,FALSE)),"",(VLOOKUP($B127,'E-1 Off Site Hedge Baseline'!$B$1:$L$257,8,FALSE))))</f>
        <v/>
      </c>
      <c r="I127" s="520" t="str">
        <f>IF(B127="","",IF(ISNA(VLOOKUP($B127,'E-1 Off Site Hedge Baseline'!$B$1:$L$257,10,FALSE)),"",(VLOOKUP($B127,'E-1 Off Site Hedge Baseline'!$B$1:$L$257,10,FALSE))))</f>
        <v/>
      </c>
      <c r="J127" s="520" t="str">
        <f>IF(B127="","",IF(ISNA(VLOOKUP($B127,'E-1 Off Site Hedge Baseline'!$B$1:$L$257,11,FALSE)),"",(VLOOKUP($B127,'E-1 Off Site Hedge Baseline'!$B$1:$L$257,11,FALSE))))</f>
        <v/>
      </c>
      <c r="K127" s="520" t="str">
        <f>IF(B127="","",IF(ISNA(VLOOKUP($B127,'E-1 Off Site Hedge Baseline'!$B$1:$U$257,113,FALSE)),"",(VLOOKUP($B127,'E-1 Off Site Hedge Baseline'!$B$1:$U$257,13,FALSE))))</f>
        <v/>
      </c>
      <c r="L127" s="507" t="str">
        <f>IF(B127="","",IF(ISNA(VLOOKUP($B127,'E-1 Off Site Hedge Baseline'!$B$1:$U$257,12,FALSE)),"",(VLOOKUP($B127,'E-1 Off Site Hedge Baseline'!$B$1:$U$257,12,FALSE))))</f>
        <v/>
      </c>
      <c r="M127" s="418" t="str">
        <f t="shared" si="16"/>
        <v/>
      </c>
      <c r="N127" s="498" t="str">
        <f>IFERROR(IF(B127="","",INDEX('G-6 Hedgerow Data'!$AN$3:$AZ$15,MATCH(C127,'G-6 Hedgerow Data'!$AM$3:$AM$15,0),MATCH(M127,'G-6 Hedgerow Data'!$AN$2:$AZ$2,0))),"")</f>
        <v/>
      </c>
      <c r="O127" s="499" t="str">
        <f t="shared" si="10"/>
        <v/>
      </c>
      <c r="P127" s="505" t="str">
        <f>IF(B127="","",VLOOKUP(B127,'E-1 Off Site Hedge Baseline'!$B$10:T372,16,FALSE))</f>
        <v/>
      </c>
      <c r="Q127" s="498" t="str">
        <f>IF(M127="","",VLOOKUP(M127,'G-6 Hedgerow Data'!$B$2:$AG$15,2,FALSE))</f>
        <v/>
      </c>
      <c r="R127" s="499" t="str">
        <f>IF(M127="","",VLOOKUP(M127,'G-6 Hedgerow Data'!$B$2:$AG$15,3,FALSE))</f>
        <v/>
      </c>
      <c r="S127" s="145"/>
      <c r="T127" s="499" t="str">
        <f>IFERROR(IF(AND(Q127="V.Low",OR(S127="Good",S127="Moderate")),"Error ▲",VLOOKUP(S127,'G-1 All Habitats'!$Z$2:$AA$9,2,FALSE)),"")</f>
        <v/>
      </c>
      <c r="U127" s="145"/>
      <c r="V127" s="507" t="str">
        <f>IF(U127="","",IF(VLOOKUP(U127,'G-3 Multipliers'!$L$3:$N$6,2,FALSE)=0,"Spatial Data Missing ⚠",VLOOKUP(U127,'G-3 Multipliers'!$L$3:$N$6,2,FALSE)))</f>
        <v/>
      </c>
      <c r="W127" s="505" t="str">
        <f>IF(U127="","",IF(VLOOKUP(U127,'G-3 Multipliers'!$L$3:$N$6,3,FALSE)=0,"Spatial Data Missing ⚠",VLOOKUP(U127,'G-3 Multipliers'!$L$3:$N$6,3,FALSE)))</f>
        <v/>
      </c>
      <c r="X127" s="498"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7" t="str">
        <f t="shared" si="11"/>
        <v/>
      </c>
      <c r="AB127" s="521" t="str">
        <f t="shared" si="12"/>
        <v/>
      </c>
      <c r="AC127" s="522" t="str">
        <f t="shared" si="9"/>
        <v/>
      </c>
      <c r="AD127" s="537" t="str">
        <f>IF(M127="","",VLOOKUP(M127,'G-6 Hedgerow Data'!$B$3:$AG$15,31,FALSE))</f>
        <v/>
      </c>
      <c r="AE127" s="520" t="str">
        <f t="shared" si="13"/>
        <v/>
      </c>
      <c r="AF127" s="520" t="str">
        <f t="shared" si="14"/>
        <v/>
      </c>
      <c r="AG127" s="524" t="str">
        <f>IFERROR(IF(O127="","",VLOOKUP(AD127,'G-3 Multipliers'!$P$3:$Q$6,2,FALSE)),"")</f>
        <v/>
      </c>
      <c r="AH127" s="197"/>
      <c r="AI127" s="499" t="str">
        <f>IF(AH127="","",IF(VLOOKUP(AH127,'G-3 Multipliers'!$S$3:$T$6,2,FALSE)=0,"Spatial Data Missing ⚠",VLOOKUP(AH127,'G-3 Multipliers'!$S$3:$T$6,2,FALSE)))</f>
        <v/>
      </c>
      <c r="AJ127" s="545" t="str">
        <f t="shared" si="15"/>
        <v/>
      </c>
      <c r="AK127" s="149"/>
      <c r="AL127" s="150"/>
      <c r="AP127" s="31" t="str">
        <f>IFERROR(INDEX('G-6 Hedgerow Data'!$BJ$3:$BJ$15,MATCH(M127,'G-6 Hedgerow Data'!$B$3:$B$15,0)),"")</f>
        <v/>
      </c>
    </row>
    <row r="128" spans="2:42" ht="13.8" x14ac:dyDescent="0.25">
      <c r="B128" s="531" t="str">
        <f>'E-1 Off Site Hedge Baseline'!AK126</f>
        <v/>
      </c>
      <c r="C128" s="520" t="str">
        <f>IF(B128="","",IF(ISNA(VLOOKUP($B128,'E-1 Off Site Hedge Baseline'!$B$1:$L$257,3,FALSE)),"",(VLOOKUP($B128,'E-1 Off Site Hedge Baseline'!$B$1:$L$257,3,FALSE))))</f>
        <v/>
      </c>
      <c r="D128" s="520" t="str">
        <f>IF(B128="","",IF(ISNA(VLOOKUP($B128,'E-1 Off Site Hedge Baseline'!$B$1:$L$258,4,FALSE)),"",(VLOOKUP($B128,'E-1 Off Site Hedge Baseline'!$B$1:$L$258,4,FALSE))))</f>
        <v/>
      </c>
      <c r="E128" s="520" t="str">
        <f>IF(B128="","",IF(ISNA(VLOOKUP($B128,'E-1 Off Site Hedge Baseline'!$B$1:$L$257,5,FALSE)),"",(VLOOKUP($B128,'E-1 Off Site Hedge Baseline'!$B$1:$L$257,5,FALSE))))</f>
        <v/>
      </c>
      <c r="F128" s="520" t="str">
        <f>IF(B128="","",IF(ISNA(VLOOKUP($B128,'E-1 Off Site Hedge Baseline'!$B$1:$L$257,6,FALSE)),"",(VLOOKUP($B128,'E-1 Off Site Hedge Baseline'!$B$1:$L$257,6,FALSE))))</f>
        <v/>
      </c>
      <c r="G128" s="520" t="str">
        <f>IF(B128="","",IF(ISNA(VLOOKUP($B128,'E-1 Off Site Hedge Baseline'!$B$1:$L$257,7,FALSE)),"",(VLOOKUP($B128,'E-1 Off Site Hedge Baseline'!$B$1:$L$257,7,FALSE))))</f>
        <v/>
      </c>
      <c r="H128" s="520" t="str">
        <f>IF(B128="","",IF(ISNA(VLOOKUP($B128,'E-1 Off Site Hedge Baseline'!$B$1:$L$257,8,FALSE)),"",(VLOOKUP($B128,'E-1 Off Site Hedge Baseline'!$B$1:$L$257,8,FALSE))))</f>
        <v/>
      </c>
      <c r="I128" s="520" t="str">
        <f>IF(B128="","",IF(ISNA(VLOOKUP($B128,'E-1 Off Site Hedge Baseline'!$B$1:$L$257,10,FALSE)),"",(VLOOKUP($B128,'E-1 Off Site Hedge Baseline'!$B$1:$L$257,10,FALSE))))</f>
        <v/>
      </c>
      <c r="J128" s="520" t="str">
        <f>IF(B128="","",IF(ISNA(VLOOKUP($B128,'E-1 Off Site Hedge Baseline'!$B$1:$L$257,11,FALSE)),"",(VLOOKUP($B128,'E-1 Off Site Hedge Baseline'!$B$1:$L$257,11,FALSE))))</f>
        <v/>
      </c>
      <c r="K128" s="520" t="str">
        <f>IF(B128="","",IF(ISNA(VLOOKUP($B128,'E-1 Off Site Hedge Baseline'!$B$1:$U$257,113,FALSE)),"",(VLOOKUP($B128,'E-1 Off Site Hedge Baseline'!$B$1:$U$257,13,FALSE))))</f>
        <v/>
      </c>
      <c r="L128" s="507" t="str">
        <f>IF(B128="","",IF(ISNA(VLOOKUP($B128,'E-1 Off Site Hedge Baseline'!$B$1:$U$257,12,FALSE)),"",(VLOOKUP($B128,'E-1 Off Site Hedge Baseline'!$B$1:$U$257,12,FALSE))))</f>
        <v/>
      </c>
      <c r="M128" s="418" t="str">
        <f t="shared" si="16"/>
        <v/>
      </c>
      <c r="N128" s="498" t="str">
        <f>IFERROR(IF(B128="","",INDEX('G-6 Hedgerow Data'!$AN$3:$AZ$15,MATCH(C128,'G-6 Hedgerow Data'!$AM$3:$AM$15,0),MATCH(M128,'G-6 Hedgerow Data'!$AN$2:$AZ$2,0))),"")</f>
        <v/>
      </c>
      <c r="O128" s="499" t="str">
        <f t="shared" si="10"/>
        <v/>
      </c>
      <c r="P128" s="505" t="str">
        <f>IF(B128="","",VLOOKUP(B128,'E-1 Off Site Hedge Baseline'!$B$10:T373,16,FALSE))</f>
        <v/>
      </c>
      <c r="Q128" s="498" t="str">
        <f>IF(M128="","",VLOOKUP(M128,'G-6 Hedgerow Data'!$B$2:$AG$15,2,FALSE))</f>
        <v/>
      </c>
      <c r="R128" s="499" t="str">
        <f>IF(M128="","",VLOOKUP(M128,'G-6 Hedgerow Data'!$B$2:$AG$15,3,FALSE))</f>
        <v/>
      </c>
      <c r="S128" s="145"/>
      <c r="T128" s="499" t="str">
        <f>IFERROR(IF(AND(Q128="V.Low",OR(S128="Good",S128="Moderate")),"Error ▲",VLOOKUP(S128,'G-1 All Habitats'!$Z$2:$AA$9,2,FALSE)),"")</f>
        <v/>
      </c>
      <c r="U128" s="145"/>
      <c r="V128" s="507" t="str">
        <f>IF(U128="","",IF(VLOOKUP(U128,'G-3 Multipliers'!$L$3:$N$6,2,FALSE)=0,"Spatial Data Missing ⚠",VLOOKUP(U128,'G-3 Multipliers'!$L$3:$N$6,2,FALSE)))</f>
        <v/>
      </c>
      <c r="W128" s="505" t="str">
        <f>IF(U128="","",IF(VLOOKUP(U128,'G-3 Multipliers'!$L$3:$N$6,3,FALSE)=0,"Spatial Data Missing ⚠",VLOOKUP(U128,'G-3 Multipliers'!$L$3:$N$6,3,FALSE)))</f>
        <v/>
      </c>
      <c r="X128" s="498"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7" t="str">
        <f t="shared" si="11"/>
        <v/>
      </c>
      <c r="AB128" s="521" t="str">
        <f t="shared" si="12"/>
        <v/>
      </c>
      <c r="AC128" s="522" t="str">
        <f t="shared" si="9"/>
        <v/>
      </c>
      <c r="AD128" s="537" t="str">
        <f>IF(M128="","",VLOOKUP(M128,'G-6 Hedgerow Data'!$B$3:$AG$15,31,FALSE))</f>
        <v/>
      </c>
      <c r="AE128" s="520" t="str">
        <f t="shared" si="13"/>
        <v/>
      </c>
      <c r="AF128" s="520" t="str">
        <f t="shared" si="14"/>
        <v/>
      </c>
      <c r="AG128" s="524" t="str">
        <f>IFERROR(IF(O128="","",VLOOKUP(AD128,'G-3 Multipliers'!$P$3:$Q$6,2,FALSE)),"")</f>
        <v/>
      </c>
      <c r="AH128" s="197"/>
      <c r="AI128" s="499" t="str">
        <f>IF(AH128="","",IF(VLOOKUP(AH128,'G-3 Multipliers'!$S$3:$T$6,2,FALSE)=0,"Spatial Data Missing ⚠",VLOOKUP(AH128,'G-3 Multipliers'!$S$3:$T$6,2,FALSE)))</f>
        <v/>
      </c>
      <c r="AJ128" s="545" t="str">
        <f t="shared" si="15"/>
        <v/>
      </c>
      <c r="AK128" s="149"/>
      <c r="AL128" s="150"/>
      <c r="AP128" s="31" t="str">
        <f>IFERROR(INDEX('G-6 Hedgerow Data'!$BJ$3:$BJ$15,MATCH(M128,'G-6 Hedgerow Data'!$B$3:$B$15,0)),"")</f>
        <v/>
      </c>
    </row>
    <row r="129" spans="2:42" ht="13.8" x14ac:dyDescent="0.25">
      <c r="B129" s="531" t="str">
        <f>'E-1 Off Site Hedge Baseline'!AK127</f>
        <v/>
      </c>
      <c r="C129" s="520" t="str">
        <f>IF(B129="","",IF(ISNA(VLOOKUP($B129,'E-1 Off Site Hedge Baseline'!$B$1:$L$257,3,FALSE)),"",(VLOOKUP($B129,'E-1 Off Site Hedge Baseline'!$B$1:$L$257,3,FALSE))))</f>
        <v/>
      </c>
      <c r="D129" s="520" t="str">
        <f>IF(B129="","",IF(ISNA(VLOOKUP($B129,'E-1 Off Site Hedge Baseline'!$B$1:$L$258,4,FALSE)),"",(VLOOKUP($B129,'E-1 Off Site Hedge Baseline'!$B$1:$L$258,4,FALSE))))</f>
        <v/>
      </c>
      <c r="E129" s="520" t="str">
        <f>IF(B129="","",IF(ISNA(VLOOKUP($B129,'E-1 Off Site Hedge Baseline'!$B$1:$L$257,5,FALSE)),"",(VLOOKUP($B129,'E-1 Off Site Hedge Baseline'!$B$1:$L$257,5,FALSE))))</f>
        <v/>
      </c>
      <c r="F129" s="520" t="str">
        <f>IF(B129="","",IF(ISNA(VLOOKUP($B129,'E-1 Off Site Hedge Baseline'!$B$1:$L$257,6,FALSE)),"",(VLOOKUP($B129,'E-1 Off Site Hedge Baseline'!$B$1:$L$257,6,FALSE))))</f>
        <v/>
      </c>
      <c r="G129" s="520" t="str">
        <f>IF(B129="","",IF(ISNA(VLOOKUP($B129,'E-1 Off Site Hedge Baseline'!$B$1:$L$257,7,FALSE)),"",(VLOOKUP($B129,'E-1 Off Site Hedge Baseline'!$B$1:$L$257,7,FALSE))))</f>
        <v/>
      </c>
      <c r="H129" s="520" t="str">
        <f>IF(B129="","",IF(ISNA(VLOOKUP($B129,'E-1 Off Site Hedge Baseline'!$B$1:$L$257,8,FALSE)),"",(VLOOKUP($B129,'E-1 Off Site Hedge Baseline'!$B$1:$L$257,8,FALSE))))</f>
        <v/>
      </c>
      <c r="I129" s="520" t="str">
        <f>IF(B129="","",IF(ISNA(VLOOKUP($B129,'E-1 Off Site Hedge Baseline'!$B$1:$L$257,10,FALSE)),"",(VLOOKUP($B129,'E-1 Off Site Hedge Baseline'!$B$1:$L$257,10,FALSE))))</f>
        <v/>
      </c>
      <c r="J129" s="520" t="str">
        <f>IF(B129="","",IF(ISNA(VLOOKUP($B129,'E-1 Off Site Hedge Baseline'!$B$1:$L$257,11,FALSE)),"",(VLOOKUP($B129,'E-1 Off Site Hedge Baseline'!$B$1:$L$257,11,FALSE))))</f>
        <v/>
      </c>
      <c r="K129" s="520" t="str">
        <f>IF(B129="","",IF(ISNA(VLOOKUP($B129,'E-1 Off Site Hedge Baseline'!$B$1:$U$257,113,FALSE)),"",(VLOOKUP($B129,'E-1 Off Site Hedge Baseline'!$B$1:$U$257,13,FALSE))))</f>
        <v/>
      </c>
      <c r="L129" s="507" t="str">
        <f>IF(B129="","",IF(ISNA(VLOOKUP($B129,'E-1 Off Site Hedge Baseline'!$B$1:$U$257,12,FALSE)),"",(VLOOKUP($B129,'E-1 Off Site Hedge Baseline'!$B$1:$U$257,12,FALSE))))</f>
        <v/>
      </c>
      <c r="M129" s="418" t="str">
        <f t="shared" si="16"/>
        <v/>
      </c>
      <c r="N129" s="498" t="str">
        <f>IFERROR(IF(B129="","",INDEX('G-6 Hedgerow Data'!$AN$3:$AZ$15,MATCH(C129,'G-6 Hedgerow Data'!$AM$3:$AM$15,0),MATCH(M129,'G-6 Hedgerow Data'!$AN$2:$AZ$2,0))),"")</f>
        <v/>
      </c>
      <c r="O129" s="499" t="str">
        <f t="shared" si="10"/>
        <v/>
      </c>
      <c r="P129" s="505" t="str">
        <f>IF(B129="","",VLOOKUP(B129,'E-1 Off Site Hedge Baseline'!$B$10:T374,16,FALSE))</f>
        <v/>
      </c>
      <c r="Q129" s="498" t="str">
        <f>IF(M129="","",VLOOKUP(M129,'G-6 Hedgerow Data'!$B$2:$AG$15,2,FALSE))</f>
        <v/>
      </c>
      <c r="R129" s="499" t="str">
        <f>IF(M129="","",VLOOKUP(M129,'G-6 Hedgerow Data'!$B$2:$AG$15,3,FALSE))</f>
        <v/>
      </c>
      <c r="S129" s="145"/>
      <c r="T129" s="499" t="str">
        <f>IFERROR(IF(AND(Q129="V.Low",OR(S129="Good",S129="Moderate")),"Error ▲",VLOOKUP(S129,'G-1 All Habitats'!$Z$2:$AA$9,2,FALSE)),"")</f>
        <v/>
      </c>
      <c r="U129" s="145"/>
      <c r="V129" s="507" t="str">
        <f>IF(U129="","",IF(VLOOKUP(U129,'G-3 Multipliers'!$L$3:$N$6,2,FALSE)=0,"Spatial Data Missing ⚠",VLOOKUP(U129,'G-3 Multipliers'!$L$3:$N$6,2,FALSE)))</f>
        <v/>
      </c>
      <c r="W129" s="505" t="str">
        <f>IF(U129="","",IF(VLOOKUP(U129,'G-3 Multipliers'!$L$3:$N$6,3,FALSE)=0,"Spatial Data Missing ⚠",VLOOKUP(U129,'G-3 Multipliers'!$L$3:$N$6,3,FALSE)))</f>
        <v/>
      </c>
      <c r="X129" s="498"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7" t="str">
        <f t="shared" si="11"/>
        <v/>
      </c>
      <c r="AB129" s="521" t="str">
        <f t="shared" si="12"/>
        <v/>
      </c>
      <c r="AC129" s="522" t="str">
        <f t="shared" si="9"/>
        <v/>
      </c>
      <c r="AD129" s="537" t="str">
        <f>IF(M129="","",VLOOKUP(M129,'G-6 Hedgerow Data'!$B$3:$AG$15,31,FALSE))</f>
        <v/>
      </c>
      <c r="AE129" s="520" t="str">
        <f t="shared" si="13"/>
        <v/>
      </c>
      <c r="AF129" s="520" t="str">
        <f t="shared" si="14"/>
        <v/>
      </c>
      <c r="AG129" s="524" t="str">
        <f>IFERROR(IF(O129="","",VLOOKUP(AD129,'G-3 Multipliers'!$P$3:$Q$6,2,FALSE)),"")</f>
        <v/>
      </c>
      <c r="AH129" s="197"/>
      <c r="AI129" s="499" t="str">
        <f>IF(AH129="","",IF(VLOOKUP(AH129,'G-3 Multipliers'!$S$3:$T$6,2,FALSE)=0,"Spatial Data Missing ⚠",VLOOKUP(AH129,'G-3 Multipliers'!$S$3:$T$6,2,FALSE)))</f>
        <v/>
      </c>
      <c r="AJ129" s="545" t="str">
        <f t="shared" si="15"/>
        <v/>
      </c>
      <c r="AK129" s="149"/>
      <c r="AL129" s="150"/>
      <c r="AP129" s="31" t="str">
        <f>IFERROR(INDEX('G-6 Hedgerow Data'!$BJ$3:$BJ$15,MATCH(M129,'G-6 Hedgerow Data'!$B$3:$B$15,0)),"")</f>
        <v/>
      </c>
    </row>
    <row r="130" spans="2:42" ht="13.8" x14ac:dyDescent="0.25">
      <c r="B130" s="531" t="str">
        <f>'E-1 Off Site Hedge Baseline'!AK128</f>
        <v/>
      </c>
      <c r="C130" s="520" t="str">
        <f>IF(B130="","",IF(ISNA(VLOOKUP($B130,'E-1 Off Site Hedge Baseline'!$B$1:$L$257,3,FALSE)),"",(VLOOKUP($B130,'E-1 Off Site Hedge Baseline'!$B$1:$L$257,3,FALSE))))</f>
        <v/>
      </c>
      <c r="D130" s="520" t="str">
        <f>IF(B130="","",IF(ISNA(VLOOKUP($B130,'E-1 Off Site Hedge Baseline'!$B$1:$L$258,4,FALSE)),"",(VLOOKUP($B130,'E-1 Off Site Hedge Baseline'!$B$1:$L$258,4,FALSE))))</f>
        <v/>
      </c>
      <c r="E130" s="520" t="str">
        <f>IF(B130="","",IF(ISNA(VLOOKUP($B130,'E-1 Off Site Hedge Baseline'!$B$1:$L$257,5,FALSE)),"",(VLOOKUP($B130,'E-1 Off Site Hedge Baseline'!$B$1:$L$257,5,FALSE))))</f>
        <v/>
      </c>
      <c r="F130" s="520" t="str">
        <f>IF(B130="","",IF(ISNA(VLOOKUP($B130,'E-1 Off Site Hedge Baseline'!$B$1:$L$257,6,FALSE)),"",(VLOOKUP($B130,'E-1 Off Site Hedge Baseline'!$B$1:$L$257,6,FALSE))))</f>
        <v/>
      </c>
      <c r="G130" s="520" t="str">
        <f>IF(B130="","",IF(ISNA(VLOOKUP($B130,'E-1 Off Site Hedge Baseline'!$B$1:$L$257,7,FALSE)),"",(VLOOKUP($B130,'E-1 Off Site Hedge Baseline'!$B$1:$L$257,7,FALSE))))</f>
        <v/>
      </c>
      <c r="H130" s="520" t="str">
        <f>IF(B130="","",IF(ISNA(VLOOKUP($B130,'E-1 Off Site Hedge Baseline'!$B$1:$L$257,8,FALSE)),"",(VLOOKUP($B130,'E-1 Off Site Hedge Baseline'!$B$1:$L$257,8,FALSE))))</f>
        <v/>
      </c>
      <c r="I130" s="520" t="str">
        <f>IF(B130="","",IF(ISNA(VLOOKUP($B130,'E-1 Off Site Hedge Baseline'!$B$1:$L$257,10,FALSE)),"",(VLOOKUP($B130,'E-1 Off Site Hedge Baseline'!$B$1:$L$257,10,FALSE))))</f>
        <v/>
      </c>
      <c r="J130" s="520" t="str">
        <f>IF(B130="","",IF(ISNA(VLOOKUP($B130,'E-1 Off Site Hedge Baseline'!$B$1:$L$257,11,FALSE)),"",(VLOOKUP($B130,'E-1 Off Site Hedge Baseline'!$B$1:$L$257,11,FALSE))))</f>
        <v/>
      </c>
      <c r="K130" s="520" t="str">
        <f>IF(B130="","",IF(ISNA(VLOOKUP($B130,'E-1 Off Site Hedge Baseline'!$B$1:$U$257,113,FALSE)),"",(VLOOKUP($B130,'E-1 Off Site Hedge Baseline'!$B$1:$U$257,13,FALSE))))</f>
        <v/>
      </c>
      <c r="L130" s="507" t="str">
        <f>IF(B130="","",IF(ISNA(VLOOKUP($B130,'E-1 Off Site Hedge Baseline'!$B$1:$U$257,12,FALSE)),"",(VLOOKUP($B130,'E-1 Off Site Hedge Baseline'!$B$1:$U$257,12,FALSE))))</f>
        <v/>
      </c>
      <c r="M130" s="418" t="str">
        <f t="shared" si="16"/>
        <v/>
      </c>
      <c r="N130" s="498" t="str">
        <f>IFERROR(IF(B130="","",INDEX('G-6 Hedgerow Data'!$AN$3:$AZ$15,MATCH(C130,'G-6 Hedgerow Data'!$AM$3:$AM$15,0),MATCH(M130,'G-6 Hedgerow Data'!$AN$2:$AZ$2,0))),"")</f>
        <v/>
      </c>
      <c r="O130" s="499" t="str">
        <f t="shared" si="10"/>
        <v/>
      </c>
      <c r="P130" s="505" t="str">
        <f>IF(B130="","",VLOOKUP(B130,'E-1 Off Site Hedge Baseline'!$B$10:T375,16,FALSE))</f>
        <v/>
      </c>
      <c r="Q130" s="498" t="str">
        <f>IF(M130="","",VLOOKUP(M130,'G-6 Hedgerow Data'!$B$2:$AG$15,2,FALSE))</f>
        <v/>
      </c>
      <c r="R130" s="499" t="str">
        <f>IF(M130="","",VLOOKUP(M130,'G-6 Hedgerow Data'!$B$2:$AG$15,3,FALSE))</f>
        <v/>
      </c>
      <c r="S130" s="145"/>
      <c r="T130" s="499" t="str">
        <f>IFERROR(IF(AND(Q130="V.Low",OR(S130="Good",S130="Moderate")),"Error ▲",VLOOKUP(S130,'G-1 All Habitats'!$Z$2:$AA$9,2,FALSE)),"")</f>
        <v/>
      </c>
      <c r="U130" s="145"/>
      <c r="V130" s="507" t="str">
        <f>IF(U130="","",IF(VLOOKUP(U130,'G-3 Multipliers'!$L$3:$N$6,2,FALSE)=0,"Spatial Data Missing ⚠",VLOOKUP(U130,'G-3 Multipliers'!$L$3:$N$6,2,FALSE)))</f>
        <v/>
      </c>
      <c r="W130" s="505" t="str">
        <f>IF(U130="","",IF(VLOOKUP(U130,'G-3 Multipliers'!$L$3:$N$6,3,FALSE)=0,"Spatial Data Missing ⚠",VLOOKUP(U130,'G-3 Multipliers'!$L$3:$N$6,3,FALSE)))</f>
        <v/>
      </c>
      <c r="X130" s="498"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7" t="str">
        <f t="shared" si="11"/>
        <v/>
      </c>
      <c r="AB130" s="521" t="str">
        <f t="shared" si="12"/>
        <v/>
      </c>
      <c r="AC130" s="522" t="str">
        <f t="shared" si="9"/>
        <v/>
      </c>
      <c r="AD130" s="537" t="str">
        <f>IF(M130="","",VLOOKUP(M130,'G-6 Hedgerow Data'!$B$3:$AG$15,31,FALSE))</f>
        <v/>
      </c>
      <c r="AE130" s="520" t="str">
        <f t="shared" si="13"/>
        <v/>
      </c>
      <c r="AF130" s="520" t="str">
        <f t="shared" si="14"/>
        <v/>
      </c>
      <c r="AG130" s="524" t="str">
        <f>IFERROR(IF(O130="","",VLOOKUP(AD130,'G-3 Multipliers'!$P$3:$Q$6,2,FALSE)),"")</f>
        <v/>
      </c>
      <c r="AH130" s="197"/>
      <c r="AI130" s="499" t="str">
        <f>IF(AH130="","",IF(VLOOKUP(AH130,'G-3 Multipliers'!$S$3:$T$6,2,FALSE)=0,"Spatial Data Missing ⚠",VLOOKUP(AH130,'G-3 Multipliers'!$S$3:$T$6,2,FALSE)))</f>
        <v/>
      </c>
      <c r="AJ130" s="545" t="str">
        <f t="shared" si="15"/>
        <v/>
      </c>
      <c r="AK130" s="149"/>
      <c r="AL130" s="150"/>
      <c r="AP130" s="31" t="str">
        <f>IFERROR(INDEX('G-6 Hedgerow Data'!$BJ$3:$BJ$15,MATCH(M130,'G-6 Hedgerow Data'!$B$3:$B$15,0)),"")</f>
        <v/>
      </c>
    </row>
    <row r="131" spans="2:42" ht="13.8" x14ac:dyDescent="0.25">
      <c r="B131" s="531" t="str">
        <f>'E-1 Off Site Hedge Baseline'!AK129</f>
        <v/>
      </c>
      <c r="C131" s="520" t="str">
        <f>IF(B131="","",IF(ISNA(VLOOKUP($B131,'E-1 Off Site Hedge Baseline'!$B$1:$L$257,3,FALSE)),"",(VLOOKUP($B131,'E-1 Off Site Hedge Baseline'!$B$1:$L$257,3,FALSE))))</f>
        <v/>
      </c>
      <c r="D131" s="520" t="str">
        <f>IF(B131="","",IF(ISNA(VLOOKUP($B131,'E-1 Off Site Hedge Baseline'!$B$1:$L$258,4,FALSE)),"",(VLOOKUP($B131,'E-1 Off Site Hedge Baseline'!$B$1:$L$258,4,FALSE))))</f>
        <v/>
      </c>
      <c r="E131" s="520" t="str">
        <f>IF(B131="","",IF(ISNA(VLOOKUP($B131,'E-1 Off Site Hedge Baseline'!$B$1:$L$257,5,FALSE)),"",(VLOOKUP($B131,'E-1 Off Site Hedge Baseline'!$B$1:$L$257,5,FALSE))))</f>
        <v/>
      </c>
      <c r="F131" s="520" t="str">
        <f>IF(B131="","",IF(ISNA(VLOOKUP($B131,'E-1 Off Site Hedge Baseline'!$B$1:$L$257,6,FALSE)),"",(VLOOKUP($B131,'E-1 Off Site Hedge Baseline'!$B$1:$L$257,6,FALSE))))</f>
        <v/>
      </c>
      <c r="G131" s="520" t="str">
        <f>IF(B131="","",IF(ISNA(VLOOKUP($B131,'E-1 Off Site Hedge Baseline'!$B$1:$L$257,7,FALSE)),"",(VLOOKUP($B131,'E-1 Off Site Hedge Baseline'!$B$1:$L$257,7,FALSE))))</f>
        <v/>
      </c>
      <c r="H131" s="520" t="str">
        <f>IF(B131="","",IF(ISNA(VLOOKUP($B131,'E-1 Off Site Hedge Baseline'!$B$1:$L$257,8,FALSE)),"",(VLOOKUP($B131,'E-1 Off Site Hedge Baseline'!$B$1:$L$257,8,FALSE))))</f>
        <v/>
      </c>
      <c r="I131" s="520" t="str">
        <f>IF(B131="","",IF(ISNA(VLOOKUP($B131,'E-1 Off Site Hedge Baseline'!$B$1:$L$257,10,FALSE)),"",(VLOOKUP($B131,'E-1 Off Site Hedge Baseline'!$B$1:$L$257,10,FALSE))))</f>
        <v/>
      </c>
      <c r="J131" s="520" t="str">
        <f>IF(B131="","",IF(ISNA(VLOOKUP($B131,'E-1 Off Site Hedge Baseline'!$B$1:$L$257,11,FALSE)),"",(VLOOKUP($B131,'E-1 Off Site Hedge Baseline'!$B$1:$L$257,11,FALSE))))</f>
        <v/>
      </c>
      <c r="K131" s="520" t="str">
        <f>IF(B131="","",IF(ISNA(VLOOKUP($B131,'E-1 Off Site Hedge Baseline'!$B$1:$U$257,113,FALSE)),"",(VLOOKUP($B131,'E-1 Off Site Hedge Baseline'!$B$1:$U$257,13,FALSE))))</f>
        <v/>
      </c>
      <c r="L131" s="507" t="str">
        <f>IF(B131="","",IF(ISNA(VLOOKUP($B131,'E-1 Off Site Hedge Baseline'!$B$1:$U$257,12,FALSE)),"",(VLOOKUP($B131,'E-1 Off Site Hedge Baseline'!$B$1:$U$257,12,FALSE))))</f>
        <v/>
      </c>
      <c r="M131" s="418" t="str">
        <f t="shared" si="16"/>
        <v/>
      </c>
      <c r="N131" s="498" t="str">
        <f>IFERROR(IF(B131="","",INDEX('G-6 Hedgerow Data'!$AN$3:$AZ$15,MATCH(C131,'G-6 Hedgerow Data'!$AM$3:$AM$15,0),MATCH(M131,'G-6 Hedgerow Data'!$AN$2:$AZ$2,0))),"")</f>
        <v/>
      </c>
      <c r="O131" s="499" t="str">
        <f t="shared" si="10"/>
        <v/>
      </c>
      <c r="P131" s="505" t="str">
        <f>IF(B131="","",VLOOKUP(B131,'E-1 Off Site Hedge Baseline'!$B$10:T376,16,FALSE))</f>
        <v/>
      </c>
      <c r="Q131" s="498" t="str">
        <f>IF(M131="","",VLOOKUP(M131,'G-6 Hedgerow Data'!$B$2:$AG$15,2,FALSE))</f>
        <v/>
      </c>
      <c r="R131" s="499" t="str">
        <f>IF(M131="","",VLOOKUP(M131,'G-6 Hedgerow Data'!$B$2:$AG$15,3,FALSE))</f>
        <v/>
      </c>
      <c r="S131" s="145"/>
      <c r="T131" s="499" t="str">
        <f>IFERROR(IF(AND(Q131="V.Low",OR(S131="Good",S131="Moderate")),"Error ▲",VLOOKUP(S131,'G-1 All Habitats'!$Z$2:$AA$9,2,FALSE)),"")</f>
        <v/>
      </c>
      <c r="U131" s="145"/>
      <c r="V131" s="507" t="str">
        <f>IF(U131="","",IF(VLOOKUP(U131,'G-3 Multipliers'!$L$3:$N$6,2,FALSE)=0,"Spatial Data Missing ⚠",VLOOKUP(U131,'G-3 Multipliers'!$L$3:$N$6,2,FALSE)))</f>
        <v/>
      </c>
      <c r="W131" s="505" t="str">
        <f>IF(U131="","",IF(VLOOKUP(U131,'G-3 Multipliers'!$L$3:$N$6,3,FALSE)=0,"Spatial Data Missing ⚠",VLOOKUP(U131,'G-3 Multipliers'!$L$3:$N$6,3,FALSE)))</f>
        <v/>
      </c>
      <c r="X131" s="498"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7" t="str">
        <f t="shared" si="11"/>
        <v/>
      </c>
      <c r="AB131" s="521" t="str">
        <f t="shared" si="12"/>
        <v/>
      </c>
      <c r="AC131" s="522" t="str">
        <f t="shared" si="9"/>
        <v/>
      </c>
      <c r="AD131" s="537" t="str">
        <f>IF(M131="","",VLOOKUP(M131,'G-6 Hedgerow Data'!$B$3:$AG$15,31,FALSE))</f>
        <v/>
      </c>
      <c r="AE131" s="520" t="str">
        <f t="shared" si="13"/>
        <v/>
      </c>
      <c r="AF131" s="520" t="str">
        <f t="shared" si="14"/>
        <v/>
      </c>
      <c r="AG131" s="524" t="str">
        <f>IFERROR(IF(O131="","",VLOOKUP(AD131,'G-3 Multipliers'!$P$3:$Q$6,2,FALSE)),"")</f>
        <v/>
      </c>
      <c r="AH131" s="197"/>
      <c r="AI131" s="499" t="str">
        <f>IF(AH131="","",IF(VLOOKUP(AH131,'G-3 Multipliers'!$S$3:$T$6,2,FALSE)=0,"Spatial Data Missing ⚠",VLOOKUP(AH131,'G-3 Multipliers'!$S$3:$T$6,2,FALSE)))</f>
        <v/>
      </c>
      <c r="AJ131" s="545" t="str">
        <f t="shared" si="15"/>
        <v/>
      </c>
      <c r="AK131" s="149"/>
      <c r="AL131" s="150"/>
      <c r="AP131" s="31" t="str">
        <f>IFERROR(INDEX('G-6 Hedgerow Data'!$BJ$3:$BJ$15,MATCH(M131,'G-6 Hedgerow Data'!$B$3:$B$15,0)),"")</f>
        <v/>
      </c>
    </row>
    <row r="132" spans="2:42" ht="13.8" x14ac:dyDescent="0.25">
      <c r="B132" s="531" t="str">
        <f>'E-1 Off Site Hedge Baseline'!AK130</f>
        <v/>
      </c>
      <c r="C132" s="520" t="str">
        <f>IF(B132="","",IF(ISNA(VLOOKUP($B132,'E-1 Off Site Hedge Baseline'!$B$1:$L$257,3,FALSE)),"",(VLOOKUP($B132,'E-1 Off Site Hedge Baseline'!$B$1:$L$257,3,FALSE))))</f>
        <v/>
      </c>
      <c r="D132" s="520" t="str">
        <f>IF(B132="","",IF(ISNA(VLOOKUP($B132,'E-1 Off Site Hedge Baseline'!$B$1:$L$258,4,FALSE)),"",(VLOOKUP($B132,'E-1 Off Site Hedge Baseline'!$B$1:$L$258,4,FALSE))))</f>
        <v/>
      </c>
      <c r="E132" s="520" t="str">
        <f>IF(B132="","",IF(ISNA(VLOOKUP($B132,'E-1 Off Site Hedge Baseline'!$B$1:$L$257,5,FALSE)),"",(VLOOKUP($B132,'E-1 Off Site Hedge Baseline'!$B$1:$L$257,5,FALSE))))</f>
        <v/>
      </c>
      <c r="F132" s="520" t="str">
        <f>IF(B132="","",IF(ISNA(VLOOKUP($B132,'E-1 Off Site Hedge Baseline'!$B$1:$L$257,6,FALSE)),"",(VLOOKUP($B132,'E-1 Off Site Hedge Baseline'!$B$1:$L$257,6,FALSE))))</f>
        <v/>
      </c>
      <c r="G132" s="520" t="str">
        <f>IF(B132="","",IF(ISNA(VLOOKUP($B132,'E-1 Off Site Hedge Baseline'!$B$1:$L$257,7,FALSE)),"",(VLOOKUP($B132,'E-1 Off Site Hedge Baseline'!$B$1:$L$257,7,FALSE))))</f>
        <v/>
      </c>
      <c r="H132" s="520" t="str">
        <f>IF(B132="","",IF(ISNA(VLOOKUP($B132,'E-1 Off Site Hedge Baseline'!$B$1:$L$257,8,FALSE)),"",(VLOOKUP($B132,'E-1 Off Site Hedge Baseline'!$B$1:$L$257,8,FALSE))))</f>
        <v/>
      </c>
      <c r="I132" s="520" t="str">
        <f>IF(B132="","",IF(ISNA(VLOOKUP($B132,'E-1 Off Site Hedge Baseline'!$B$1:$L$257,10,FALSE)),"",(VLOOKUP($B132,'E-1 Off Site Hedge Baseline'!$B$1:$L$257,10,FALSE))))</f>
        <v/>
      </c>
      <c r="J132" s="520" t="str">
        <f>IF(B132="","",IF(ISNA(VLOOKUP($B132,'E-1 Off Site Hedge Baseline'!$B$1:$L$257,11,FALSE)),"",(VLOOKUP($B132,'E-1 Off Site Hedge Baseline'!$B$1:$L$257,11,FALSE))))</f>
        <v/>
      </c>
      <c r="K132" s="520" t="str">
        <f>IF(B132="","",IF(ISNA(VLOOKUP($B132,'E-1 Off Site Hedge Baseline'!$B$1:$U$257,113,FALSE)),"",(VLOOKUP($B132,'E-1 Off Site Hedge Baseline'!$B$1:$U$257,13,FALSE))))</f>
        <v/>
      </c>
      <c r="L132" s="507" t="str">
        <f>IF(B132="","",IF(ISNA(VLOOKUP($B132,'E-1 Off Site Hedge Baseline'!$B$1:$U$257,12,FALSE)),"",(VLOOKUP($B132,'E-1 Off Site Hedge Baseline'!$B$1:$U$257,12,FALSE))))</f>
        <v/>
      </c>
      <c r="M132" s="418" t="str">
        <f t="shared" si="16"/>
        <v/>
      </c>
      <c r="N132" s="498" t="str">
        <f>IFERROR(IF(B132="","",INDEX('G-6 Hedgerow Data'!$AN$3:$AZ$15,MATCH(C132,'G-6 Hedgerow Data'!$AM$3:$AM$15,0),MATCH(M132,'G-6 Hedgerow Data'!$AN$2:$AZ$2,0))),"")</f>
        <v/>
      </c>
      <c r="O132" s="499" t="str">
        <f t="shared" si="10"/>
        <v/>
      </c>
      <c r="P132" s="505" t="str">
        <f>IF(B132="","",VLOOKUP(B132,'E-1 Off Site Hedge Baseline'!$B$10:T377,16,FALSE))</f>
        <v/>
      </c>
      <c r="Q132" s="498" t="str">
        <f>IF(M132="","",VLOOKUP(M132,'G-6 Hedgerow Data'!$B$2:$AG$15,2,FALSE))</f>
        <v/>
      </c>
      <c r="R132" s="499" t="str">
        <f>IF(M132="","",VLOOKUP(M132,'G-6 Hedgerow Data'!$B$2:$AG$15,3,FALSE))</f>
        <v/>
      </c>
      <c r="S132" s="145"/>
      <c r="T132" s="499" t="str">
        <f>IFERROR(IF(AND(Q132="V.Low",OR(S132="Good",S132="Moderate")),"Error ▲",VLOOKUP(S132,'G-1 All Habitats'!$Z$2:$AA$9,2,FALSE)),"")</f>
        <v/>
      </c>
      <c r="U132" s="145"/>
      <c r="V132" s="507" t="str">
        <f>IF(U132="","",IF(VLOOKUP(U132,'G-3 Multipliers'!$L$3:$N$6,2,FALSE)=0,"Spatial Data Missing ⚠",VLOOKUP(U132,'G-3 Multipliers'!$L$3:$N$6,2,FALSE)))</f>
        <v/>
      </c>
      <c r="W132" s="505" t="str">
        <f>IF(U132="","",IF(VLOOKUP(U132,'G-3 Multipliers'!$L$3:$N$6,3,FALSE)=0,"Spatial Data Missing ⚠",VLOOKUP(U132,'G-3 Multipliers'!$L$3:$N$6,3,FALSE)))</f>
        <v/>
      </c>
      <c r="X132" s="498"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7" t="str">
        <f t="shared" si="11"/>
        <v/>
      </c>
      <c r="AB132" s="521" t="str">
        <f t="shared" si="12"/>
        <v/>
      </c>
      <c r="AC132" s="522" t="str">
        <f t="shared" si="9"/>
        <v/>
      </c>
      <c r="AD132" s="537" t="str">
        <f>IF(M132="","",VLOOKUP(M132,'G-6 Hedgerow Data'!$B$3:$AG$15,31,FALSE))</f>
        <v/>
      </c>
      <c r="AE132" s="520" t="str">
        <f t="shared" si="13"/>
        <v/>
      </c>
      <c r="AF132" s="520" t="str">
        <f t="shared" si="14"/>
        <v/>
      </c>
      <c r="AG132" s="524" t="str">
        <f>IFERROR(IF(O132="","",VLOOKUP(AD132,'G-3 Multipliers'!$P$3:$Q$6,2,FALSE)),"")</f>
        <v/>
      </c>
      <c r="AH132" s="197"/>
      <c r="AI132" s="499" t="str">
        <f>IF(AH132="","",IF(VLOOKUP(AH132,'G-3 Multipliers'!$S$3:$T$6,2,FALSE)=0,"Spatial Data Missing ⚠",VLOOKUP(AH132,'G-3 Multipliers'!$S$3:$T$6,2,FALSE)))</f>
        <v/>
      </c>
      <c r="AJ132" s="545" t="str">
        <f t="shared" si="15"/>
        <v/>
      </c>
      <c r="AK132" s="149"/>
      <c r="AL132" s="150"/>
      <c r="AP132" s="31" t="str">
        <f>IFERROR(INDEX('G-6 Hedgerow Data'!$BJ$3:$BJ$15,MATCH(M132,'G-6 Hedgerow Data'!$B$3:$B$15,0)),"")</f>
        <v/>
      </c>
    </row>
    <row r="133" spans="2:42" ht="13.8" x14ac:dyDescent="0.25">
      <c r="B133" s="531" t="str">
        <f>'E-1 Off Site Hedge Baseline'!AK131</f>
        <v/>
      </c>
      <c r="C133" s="520" t="str">
        <f>IF(B133="","",IF(ISNA(VLOOKUP($B133,'E-1 Off Site Hedge Baseline'!$B$1:$L$257,3,FALSE)),"",(VLOOKUP($B133,'E-1 Off Site Hedge Baseline'!$B$1:$L$257,3,FALSE))))</f>
        <v/>
      </c>
      <c r="D133" s="520" t="str">
        <f>IF(B133="","",IF(ISNA(VLOOKUP($B133,'E-1 Off Site Hedge Baseline'!$B$1:$L$258,4,FALSE)),"",(VLOOKUP($B133,'E-1 Off Site Hedge Baseline'!$B$1:$L$258,4,FALSE))))</f>
        <v/>
      </c>
      <c r="E133" s="520" t="str">
        <f>IF(B133="","",IF(ISNA(VLOOKUP($B133,'E-1 Off Site Hedge Baseline'!$B$1:$L$257,5,FALSE)),"",(VLOOKUP($B133,'E-1 Off Site Hedge Baseline'!$B$1:$L$257,5,FALSE))))</f>
        <v/>
      </c>
      <c r="F133" s="520" t="str">
        <f>IF(B133="","",IF(ISNA(VLOOKUP($B133,'E-1 Off Site Hedge Baseline'!$B$1:$L$257,6,FALSE)),"",(VLOOKUP($B133,'E-1 Off Site Hedge Baseline'!$B$1:$L$257,6,FALSE))))</f>
        <v/>
      </c>
      <c r="G133" s="520" t="str">
        <f>IF(B133="","",IF(ISNA(VLOOKUP($B133,'E-1 Off Site Hedge Baseline'!$B$1:$L$257,7,FALSE)),"",(VLOOKUP($B133,'E-1 Off Site Hedge Baseline'!$B$1:$L$257,7,FALSE))))</f>
        <v/>
      </c>
      <c r="H133" s="520" t="str">
        <f>IF(B133="","",IF(ISNA(VLOOKUP($B133,'E-1 Off Site Hedge Baseline'!$B$1:$L$257,8,FALSE)),"",(VLOOKUP($B133,'E-1 Off Site Hedge Baseline'!$B$1:$L$257,8,FALSE))))</f>
        <v/>
      </c>
      <c r="I133" s="520" t="str">
        <f>IF(B133="","",IF(ISNA(VLOOKUP($B133,'E-1 Off Site Hedge Baseline'!$B$1:$L$257,10,FALSE)),"",(VLOOKUP($B133,'E-1 Off Site Hedge Baseline'!$B$1:$L$257,10,FALSE))))</f>
        <v/>
      </c>
      <c r="J133" s="520" t="str">
        <f>IF(B133="","",IF(ISNA(VLOOKUP($B133,'E-1 Off Site Hedge Baseline'!$B$1:$L$257,11,FALSE)),"",(VLOOKUP($B133,'E-1 Off Site Hedge Baseline'!$B$1:$L$257,11,FALSE))))</f>
        <v/>
      </c>
      <c r="K133" s="520" t="str">
        <f>IF(B133="","",IF(ISNA(VLOOKUP($B133,'E-1 Off Site Hedge Baseline'!$B$1:$U$257,113,FALSE)),"",(VLOOKUP($B133,'E-1 Off Site Hedge Baseline'!$B$1:$U$257,13,FALSE))))</f>
        <v/>
      </c>
      <c r="L133" s="507" t="str">
        <f>IF(B133="","",IF(ISNA(VLOOKUP($B133,'E-1 Off Site Hedge Baseline'!$B$1:$U$257,12,FALSE)),"",(VLOOKUP($B133,'E-1 Off Site Hedge Baseline'!$B$1:$U$257,12,FALSE))))</f>
        <v/>
      </c>
      <c r="M133" s="418" t="str">
        <f t="shared" si="16"/>
        <v/>
      </c>
      <c r="N133" s="498" t="str">
        <f>IFERROR(IF(B133="","",INDEX('G-6 Hedgerow Data'!$AN$3:$AZ$15,MATCH(C133,'G-6 Hedgerow Data'!$AM$3:$AM$15,0),MATCH(M133,'G-6 Hedgerow Data'!$AN$2:$AZ$2,0))),"")</f>
        <v/>
      </c>
      <c r="O133" s="499" t="str">
        <f t="shared" si="10"/>
        <v/>
      </c>
      <c r="P133" s="505" t="str">
        <f>IF(B133="","",VLOOKUP(B133,'E-1 Off Site Hedge Baseline'!$B$10:T378,16,FALSE))</f>
        <v/>
      </c>
      <c r="Q133" s="498" t="str">
        <f>IF(M133="","",VLOOKUP(M133,'G-6 Hedgerow Data'!$B$2:$AG$15,2,FALSE))</f>
        <v/>
      </c>
      <c r="R133" s="499" t="str">
        <f>IF(M133="","",VLOOKUP(M133,'G-6 Hedgerow Data'!$B$2:$AG$15,3,FALSE))</f>
        <v/>
      </c>
      <c r="S133" s="145"/>
      <c r="T133" s="499" t="str">
        <f>IFERROR(IF(AND(Q133="V.Low",OR(S133="Good",S133="Moderate")),"Error ▲",VLOOKUP(S133,'G-1 All Habitats'!$Z$2:$AA$9,2,FALSE)),"")</f>
        <v/>
      </c>
      <c r="U133" s="145"/>
      <c r="V133" s="507" t="str">
        <f>IF(U133="","",IF(VLOOKUP(U133,'G-3 Multipliers'!$L$3:$N$6,2,FALSE)=0,"Spatial Data Missing ⚠",VLOOKUP(U133,'G-3 Multipliers'!$L$3:$N$6,2,FALSE)))</f>
        <v/>
      </c>
      <c r="W133" s="505" t="str">
        <f>IF(U133="","",IF(VLOOKUP(U133,'G-3 Multipliers'!$L$3:$N$6,3,FALSE)=0,"Spatial Data Missing ⚠",VLOOKUP(U133,'G-3 Multipliers'!$L$3:$N$6,3,FALSE)))</f>
        <v/>
      </c>
      <c r="X133" s="498"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7" t="str">
        <f t="shared" si="11"/>
        <v/>
      </c>
      <c r="AB133" s="521" t="str">
        <f t="shared" si="12"/>
        <v/>
      </c>
      <c r="AC133" s="522" t="str">
        <f t="shared" si="9"/>
        <v/>
      </c>
      <c r="AD133" s="537" t="str">
        <f>IF(M133="","",VLOOKUP(M133,'G-6 Hedgerow Data'!$B$3:$AG$15,31,FALSE))</f>
        <v/>
      </c>
      <c r="AE133" s="520" t="str">
        <f t="shared" si="13"/>
        <v/>
      </c>
      <c r="AF133" s="520" t="str">
        <f t="shared" si="14"/>
        <v/>
      </c>
      <c r="AG133" s="524" t="str">
        <f>IFERROR(IF(O133="","",VLOOKUP(AD133,'G-3 Multipliers'!$P$3:$Q$6,2,FALSE)),"")</f>
        <v/>
      </c>
      <c r="AH133" s="197"/>
      <c r="AI133" s="499" t="str">
        <f>IF(AH133="","",IF(VLOOKUP(AH133,'G-3 Multipliers'!$S$3:$T$6,2,FALSE)=0,"Spatial Data Missing ⚠",VLOOKUP(AH133,'G-3 Multipliers'!$S$3:$T$6,2,FALSE)))</f>
        <v/>
      </c>
      <c r="AJ133" s="545" t="str">
        <f t="shared" si="15"/>
        <v/>
      </c>
      <c r="AK133" s="149"/>
      <c r="AL133" s="150"/>
      <c r="AP133" s="31" t="str">
        <f>IFERROR(INDEX('G-6 Hedgerow Data'!$BJ$3:$BJ$15,MATCH(M133,'G-6 Hedgerow Data'!$B$3:$B$15,0)),"")</f>
        <v/>
      </c>
    </row>
    <row r="134" spans="2:42" ht="13.8" x14ac:dyDescent="0.25">
      <c r="B134" s="531" t="str">
        <f>'E-1 Off Site Hedge Baseline'!AK132</f>
        <v/>
      </c>
      <c r="C134" s="520" t="str">
        <f>IF(B134="","",IF(ISNA(VLOOKUP($B134,'E-1 Off Site Hedge Baseline'!$B$1:$L$257,3,FALSE)),"",(VLOOKUP($B134,'E-1 Off Site Hedge Baseline'!$B$1:$L$257,3,FALSE))))</f>
        <v/>
      </c>
      <c r="D134" s="520" t="str">
        <f>IF(B134="","",IF(ISNA(VLOOKUP($B134,'E-1 Off Site Hedge Baseline'!$B$1:$L$258,4,FALSE)),"",(VLOOKUP($B134,'E-1 Off Site Hedge Baseline'!$B$1:$L$258,4,FALSE))))</f>
        <v/>
      </c>
      <c r="E134" s="520" t="str">
        <f>IF(B134="","",IF(ISNA(VLOOKUP($B134,'E-1 Off Site Hedge Baseline'!$B$1:$L$257,5,FALSE)),"",(VLOOKUP($B134,'E-1 Off Site Hedge Baseline'!$B$1:$L$257,5,FALSE))))</f>
        <v/>
      </c>
      <c r="F134" s="520" t="str">
        <f>IF(B134="","",IF(ISNA(VLOOKUP($B134,'E-1 Off Site Hedge Baseline'!$B$1:$L$257,6,FALSE)),"",(VLOOKUP($B134,'E-1 Off Site Hedge Baseline'!$B$1:$L$257,6,FALSE))))</f>
        <v/>
      </c>
      <c r="G134" s="520" t="str">
        <f>IF(B134="","",IF(ISNA(VLOOKUP($B134,'E-1 Off Site Hedge Baseline'!$B$1:$L$257,7,FALSE)),"",(VLOOKUP($B134,'E-1 Off Site Hedge Baseline'!$B$1:$L$257,7,FALSE))))</f>
        <v/>
      </c>
      <c r="H134" s="520" t="str">
        <f>IF(B134="","",IF(ISNA(VLOOKUP($B134,'E-1 Off Site Hedge Baseline'!$B$1:$L$257,8,FALSE)),"",(VLOOKUP($B134,'E-1 Off Site Hedge Baseline'!$B$1:$L$257,8,FALSE))))</f>
        <v/>
      </c>
      <c r="I134" s="520" t="str">
        <f>IF(B134="","",IF(ISNA(VLOOKUP($B134,'E-1 Off Site Hedge Baseline'!$B$1:$L$257,10,FALSE)),"",(VLOOKUP($B134,'E-1 Off Site Hedge Baseline'!$B$1:$L$257,10,FALSE))))</f>
        <v/>
      </c>
      <c r="J134" s="520" t="str">
        <f>IF(B134="","",IF(ISNA(VLOOKUP($B134,'E-1 Off Site Hedge Baseline'!$B$1:$L$257,11,FALSE)),"",(VLOOKUP($B134,'E-1 Off Site Hedge Baseline'!$B$1:$L$257,11,FALSE))))</f>
        <v/>
      </c>
      <c r="K134" s="520" t="str">
        <f>IF(B134="","",IF(ISNA(VLOOKUP($B134,'E-1 Off Site Hedge Baseline'!$B$1:$U$257,113,FALSE)),"",(VLOOKUP($B134,'E-1 Off Site Hedge Baseline'!$B$1:$U$257,13,FALSE))))</f>
        <v/>
      </c>
      <c r="L134" s="507" t="str">
        <f>IF(B134="","",IF(ISNA(VLOOKUP($B134,'E-1 Off Site Hedge Baseline'!$B$1:$U$257,12,FALSE)),"",(VLOOKUP($B134,'E-1 Off Site Hedge Baseline'!$B$1:$U$257,12,FALSE))))</f>
        <v/>
      </c>
      <c r="M134" s="418" t="str">
        <f t="shared" si="16"/>
        <v/>
      </c>
      <c r="N134" s="498" t="str">
        <f>IFERROR(IF(B134="","",INDEX('G-6 Hedgerow Data'!$AN$3:$AZ$15,MATCH(C134,'G-6 Hedgerow Data'!$AM$3:$AM$15,0),MATCH(M134,'G-6 Hedgerow Data'!$AN$2:$AZ$2,0))),"")</f>
        <v/>
      </c>
      <c r="O134" s="499" t="str">
        <f t="shared" si="10"/>
        <v/>
      </c>
      <c r="P134" s="505" t="str">
        <f>IF(B134="","",VLOOKUP(B134,'E-1 Off Site Hedge Baseline'!$B$10:T379,16,FALSE))</f>
        <v/>
      </c>
      <c r="Q134" s="498" t="str">
        <f>IF(M134="","",VLOOKUP(M134,'G-6 Hedgerow Data'!$B$2:$AG$15,2,FALSE))</f>
        <v/>
      </c>
      <c r="R134" s="499" t="str">
        <f>IF(M134="","",VLOOKUP(M134,'G-6 Hedgerow Data'!$B$2:$AG$15,3,FALSE))</f>
        <v/>
      </c>
      <c r="S134" s="145"/>
      <c r="T134" s="499" t="str">
        <f>IFERROR(IF(AND(Q134="V.Low",OR(S134="Good",S134="Moderate")),"Error ▲",VLOOKUP(S134,'G-1 All Habitats'!$Z$2:$AA$9,2,FALSE)),"")</f>
        <v/>
      </c>
      <c r="U134" s="145"/>
      <c r="V134" s="507" t="str">
        <f>IF(U134="","",IF(VLOOKUP(U134,'G-3 Multipliers'!$L$3:$N$6,2,FALSE)=0,"Spatial Data Missing ⚠",VLOOKUP(U134,'G-3 Multipliers'!$L$3:$N$6,2,FALSE)))</f>
        <v/>
      </c>
      <c r="W134" s="505" t="str">
        <f>IF(U134="","",IF(VLOOKUP(U134,'G-3 Multipliers'!$L$3:$N$6,3,FALSE)=0,"Spatial Data Missing ⚠",VLOOKUP(U134,'G-3 Multipliers'!$L$3:$N$6,3,FALSE)))</f>
        <v/>
      </c>
      <c r="X134" s="498"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7" t="str">
        <f t="shared" si="11"/>
        <v/>
      </c>
      <c r="AB134" s="521" t="str">
        <f t="shared" si="12"/>
        <v/>
      </c>
      <c r="AC134" s="522" t="str">
        <f t="shared" si="9"/>
        <v/>
      </c>
      <c r="AD134" s="537" t="str">
        <f>IF(M134="","",VLOOKUP(M134,'G-6 Hedgerow Data'!$B$3:$AG$15,31,FALSE))</f>
        <v/>
      </c>
      <c r="AE134" s="520" t="str">
        <f t="shared" si="13"/>
        <v/>
      </c>
      <c r="AF134" s="520" t="str">
        <f t="shared" si="14"/>
        <v/>
      </c>
      <c r="AG134" s="524" t="str">
        <f>IFERROR(IF(O134="","",VLOOKUP(AD134,'G-3 Multipliers'!$P$3:$Q$6,2,FALSE)),"")</f>
        <v/>
      </c>
      <c r="AH134" s="197"/>
      <c r="AI134" s="499" t="str">
        <f>IF(AH134="","",IF(VLOOKUP(AH134,'G-3 Multipliers'!$S$3:$T$6,2,FALSE)=0,"Spatial Data Missing ⚠",VLOOKUP(AH134,'G-3 Multipliers'!$S$3:$T$6,2,FALSE)))</f>
        <v/>
      </c>
      <c r="AJ134" s="545" t="str">
        <f t="shared" si="15"/>
        <v/>
      </c>
      <c r="AK134" s="149"/>
      <c r="AL134" s="150"/>
      <c r="AP134" s="31" t="str">
        <f>IFERROR(INDEX('G-6 Hedgerow Data'!$BJ$3:$BJ$15,MATCH(M134,'G-6 Hedgerow Data'!$B$3:$B$15,0)),"")</f>
        <v/>
      </c>
    </row>
    <row r="135" spans="2:42" ht="13.8" x14ac:dyDescent="0.25">
      <c r="B135" s="531" t="str">
        <f>'E-1 Off Site Hedge Baseline'!AK133</f>
        <v/>
      </c>
      <c r="C135" s="520" t="str">
        <f>IF(B135="","",IF(ISNA(VLOOKUP($B135,'E-1 Off Site Hedge Baseline'!$B$1:$L$257,3,FALSE)),"",(VLOOKUP($B135,'E-1 Off Site Hedge Baseline'!$B$1:$L$257,3,FALSE))))</f>
        <v/>
      </c>
      <c r="D135" s="520" t="str">
        <f>IF(B135="","",IF(ISNA(VLOOKUP($B135,'E-1 Off Site Hedge Baseline'!$B$1:$L$258,4,FALSE)),"",(VLOOKUP($B135,'E-1 Off Site Hedge Baseline'!$B$1:$L$258,4,FALSE))))</f>
        <v/>
      </c>
      <c r="E135" s="520" t="str">
        <f>IF(B135="","",IF(ISNA(VLOOKUP($B135,'E-1 Off Site Hedge Baseline'!$B$1:$L$257,5,FALSE)),"",(VLOOKUP($B135,'E-1 Off Site Hedge Baseline'!$B$1:$L$257,5,FALSE))))</f>
        <v/>
      </c>
      <c r="F135" s="520" t="str">
        <f>IF(B135="","",IF(ISNA(VLOOKUP($B135,'E-1 Off Site Hedge Baseline'!$B$1:$L$257,6,FALSE)),"",(VLOOKUP($B135,'E-1 Off Site Hedge Baseline'!$B$1:$L$257,6,FALSE))))</f>
        <v/>
      </c>
      <c r="G135" s="520" t="str">
        <f>IF(B135="","",IF(ISNA(VLOOKUP($B135,'E-1 Off Site Hedge Baseline'!$B$1:$L$257,7,FALSE)),"",(VLOOKUP($B135,'E-1 Off Site Hedge Baseline'!$B$1:$L$257,7,FALSE))))</f>
        <v/>
      </c>
      <c r="H135" s="520" t="str">
        <f>IF(B135="","",IF(ISNA(VLOOKUP($B135,'E-1 Off Site Hedge Baseline'!$B$1:$L$257,8,FALSE)),"",(VLOOKUP($B135,'E-1 Off Site Hedge Baseline'!$B$1:$L$257,8,FALSE))))</f>
        <v/>
      </c>
      <c r="I135" s="520" t="str">
        <f>IF(B135="","",IF(ISNA(VLOOKUP($B135,'E-1 Off Site Hedge Baseline'!$B$1:$L$257,10,FALSE)),"",(VLOOKUP($B135,'E-1 Off Site Hedge Baseline'!$B$1:$L$257,10,FALSE))))</f>
        <v/>
      </c>
      <c r="J135" s="520" t="str">
        <f>IF(B135="","",IF(ISNA(VLOOKUP($B135,'E-1 Off Site Hedge Baseline'!$B$1:$L$257,11,FALSE)),"",(VLOOKUP($B135,'E-1 Off Site Hedge Baseline'!$B$1:$L$257,11,FALSE))))</f>
        <v/>
      </c>
      <c r="K135" s="520" t="str">
        <f>IF(B135="","",IF(ISNA(VLOOKUP($B135,'E-1 Off Site Hedge Baseline'!$B$1:$U$257,113,FALSE)),"",(VLOOKUP($B135,'E-1 Off Site Hedge Baseline'!$B$1:$U$257,13,FALSE))))</f>
        <v/>
      </c>
      <c r="L135" s="507" t="str">
        <f>IF(B135="","",IF(ISNA(VLOOKUP($B135,'E-1 Off Site Hedge Baseline'!$B$1:$U$257,12,FALSE)),"",(VLOOKUP($B135,'E-1 Off Site Hedge Baseline'!$B$1:$U$257,12,FALSE))))</f>
        <v/>
      </c>
      <c r="M135" s="418" t="str">
        <f t="shared" si="16"/>
        <v/>
      </c>
      <c r="N135" s="498" t="str">
        <f>IFERROR(IF(B135="","",INDEX('G-6 Hedgerow Data'!$AN$3:$AZ$15,MATCH(C135,'G-6 Hedgerow Data'!$AM$3:$AM$15,0),MATCH(M135,'G-6 Hedgerow Data'!$AN$2:$AZ$2,0))),"")</f>
        <v/>
      </c>
      <c r="O135" s="499" t="str">
        <f t="shared" si="10"/>
        <v/>
      </c>
      <c r="P135" s="505" t="str">
        <f>IF(B135="","",VLOOKUP(B135,'E-1 Off Site Hedge Baseline'!$B$10:T380,16,FALSE))</f>
        <v/>
      </c>
      <c r="Q135" s="498" t="str">
        <f>IF(M135="","",VLOOKUP(M135,'G-6 Hedgerow Data'!$B$2:$AG$15,2,FALSE))</f>
        <v/>
      </c>
      <c r="R135" s="499" t="str">
        <f>IF(M135="","",VLOOKUP(M135,'G-6 Hedgerow Data'!$B$2:$AG$15,3,FALSE))</f>
        <v/>
      </c>
      <c r="S135" s="145"/>
      <c r="T135" s="499" t="str">
        <f>IFERROR(IF(AND(Q135="V.Low",OR(S135="Good",S135="Moderate")),"Error ▲",VLOOKUP(S135,'G-1 All Habitats'!$Z$2:$AA$9,2,FALSE)),"")</f>
        <v/>
      </c>
      <c r="U135" s="145"/>
      <c r="V135" s="507" t="str">
        <f>IF(U135="","",IF(VLOOKUP(U135,'G-3 Multipliers'!$L$3:$N$6,2,FALSE)=0,"Spatial Data Missing ⚠",VLOOKUP(U135,'G-3 Multipliers'!$L$3:$N$6,2,FALSE)))</f>
        <v/>
      </c>
      <c r="W135" s="505" t="str">
        <f>IF(U135="","",IF(VLOOKUP(U135,'G-3 Multipliers'!$L$3:$N$6,3,FALSE)=0,"Spatial Data Missing ⚠",VLOOKUP(U135,'G-3 Multipliers'!$L$3:$N$6,3,FALSE)))</f>
        <v/>
      </c>
      <c r="X135" s="498"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7" t="str">
        <f t="shared" si="11"/>
        <v/>
      </c>
      <c r="AB135" s="521" t="str">
        <f t="shared" si="12"/>
        <v/>
      </c>
      <c r="AC135" s="522" t="str">
        <f t="shared" si="9"/>
        <v/>
      </c>
      <c r="AD135" s="537" t="str">
        <f>IF(M135="","",VLOOKUP(M135,'G-6 Hedgerow Data'!$B$3:$AG$15,31,FALSE))</f>
        <v/>
      </c>
      <c r="AE135" s="520" t="str">
        <f t="shared" si="13"/>
        <v/>
      </c>
      <c r="AF135" s="520" t="str">
        <f t="shared" si="14"/>
        <v/>
      </c>
      <c r="AG135" s="524" t="str">
        <f>IFERROR(IF(O135="","",VLOOKUP(AD135,'G-3 Multipliers'!$P$3:$Q$6,2,FALSE)),"")</f>
        <v/>
      </c>
      <c r="AH135" s="197"/>
      <c r="AI135" s="499" t="str">
        <f>IF(AH135="","",IF(VLOOKUP(AH135,'G-3 Multipliers'!$S$3:$T$6,2,FALSE)=0,"Spatial Data Missing ⚠",VLOOKUP(AH135,'G-3 Multipliers'!$S$3:$T$6,2,FALSE)))</f>
        <v/>
      </c>
      <c r="AJ135" s="545" t="str">
        <f t="shared" si="15"/>
        <v/>
      </c>
      <c r="AK135" s="149"/>
      <c r="AL135" s="150"/>
      <c r="AP135" s="31" t="str">
        <f>IFERROR(INDEX('G-6 Hedgerow Data'!$BJ$3:$BJ$15,MATCH(M135,'G-6 Hedgerow Data'!$B$3:$B$15,0)),"")</f>
        <v/>
      </c>
    </row>
    <row r="136" spans="2:42" ht="13.8" x14ac:dyDescent="0.25">
      <c r="B136" s="531" t="str">
        <f>'E-1 Off Site Hedge Baseline'!AK134</f>
        <v/>
      </c>
      <c r="C136" s="520" t="str">
        <f>IF(B136="","",IF(ISNA(VLOOKUP($B136,'E-1 Off Site Hedge Baseline'!$B$1:$L$257,3,FALSE)),"",(VLOOKUP($B136,'E-1 Off Site Hedge Baseline'!$B$1:$L$257,3,FALSE))))</f>
        <v/>
      </c>
      <c r="D136" s="520" t="str">
        <f>IF(B136="","",IF(ISNA(VLOOKUP($B136,'E-1 Off Site Hedge Baseline'!$B$1:$L$258,4,FALSE)),"",(VLOOKUP($B136,'E-1 Off Site Hedge Baseline'!$B$1:$L$258,4,FALSE))))</f>
        <v/>
      </c>
      <c r="E136" s="520" t="str">
        <f>IF(B136="","",IF(ISNA(VLOOKUP($B136,'E-1 Off Site Hedge Baseline'!$B$1:$L$257,5,FALSE)),"",(VLOOKUP($B136,'E-1 Off Site Hedge Baseline'!$B$1:$L$257,5,FALSE))))</f>
        <v/>
      </c>
      <c r="F136" s="520" t="str">
        <f>IF(B136="","",IF(ISNA(VLOOKUP($B136,'E-1 Off Site Hedge Baseline'!$B$1:$L$257,6,FALSE)),"",(VLOOKUP($B136,'E-1 Off Site Hedge Baseline'!$B$1:$L$257,6,FALSE))))</f>
        <v/>
      </c>
      <c r="G136" s="520" t="str">
        <f>IF(B136="","",IF(ISNA(VLOOKUP($B136,'E-1 Off Site Hedge Baseline'!$B$1:$L$257,7,FALSE)),"",(VLOOKUP($B136,'E-1 Off Site Hedge Baseline'!$B$1:$L$257,7,FALSE))))</f>
        <v/>
      </c>
      <c r="H136" s="520" t="str">
        <f>IF(B136="","",IF(ISNA(VLOOKUP($B136,'E-1 Off Site Hedge Baseline'!$B$1:$L$257,8,FALSE)),"",(VLOOKUP($B136,'E-1 Off Site Hedge Baseline'!$B$1:$L$257,8,FALSE))))</f>
        <v/>
      </c>
      <c r="I136" s="520" t="str">
        <f>IF(B136="","",IF(ISNA(VLOOKUP($B136,'E-1 Off Site Hedge Baseline'!$B$1:$L$257,10,FALSE)),"",(VLOOKUP($B136,'E-1 Off Site Hedge Baseline'!$B$1:$L$257,10,FALSE))))</f>
        <v/>
      </c>
      <c r="J136" s="520" t="str">
        <f>IF(B136="","",IF(ISNA(VLOOKUP($B136,'E-1 Off Site Hedge Baseline'!$B$1:$L$257,11,FALSE)),"",(VLOOKUP($B136,'E-1 Off Site Hedge Baseline'!$B$1:$L$257,11,FALSE))))</f>
        <v/>
      </c>
      <c r="K136" s="520" t="str">
        <f>IF(B136="","",IF(ISNA(VLOOKUP($B136,'E-1 Off Site Hedge Baseline'!$B$1:$U$257,113,FALSE)),"",(VLOOKUP($B136,'E-1 Off Site Hedge Baseline'!$B$1:$U$257,13,FALSE))))</f>
        <v/>
      </c>
      <c r="L136" s="507" t="str">
        <f>IF(B136="","",IF(ISNA(VLOOKUP($B136,'E-1 Off Site Hedge Baseline'!$B$1:$U$257,12,FALSE)),"",(VLOOKUP($B136,'E-1 Off Site Hedge Baseline'!$B$1:$U$257,12,FALSE))))</f>
        <v/>
      </c>
      <c r="M136" s="418" t="str">
        <f t="shared" si="16"/>
        <v/>
      </c>
      <c r="N136" s="498" t="str">
        <f>IFERROR(IF(B136="","",INDEX('G-6 Hedgerow Data'!$AN$3:$AZ$15,MATCH(C136,'G-6 Hedgerow Data'!$AM$3:$AM$15,0),MATCH(M136,'G-6 Hedgerow Data'!$AN$2:$AZ$2,0))),"")</f>
        <v/>
      </c>
      <c r="O136" s="499" t="str">
        <f t="shared" si="10"/>
        <v/>
      </c>
      <c r="P136" s="505" t="str">
        <f>IF(B136="","",VLOOKUP(B136,'E-1 Off Site Hedge Baseline'!$B$10:T381,16,FALSE))</f>
        <v/>
      </c>
      <c r="Q136" s="498" t="str">
        <f>IF(M136="","",VLOOKUP(M136,'G-6 Hedgerow Data'!$B$2:$AG$15,2,FALSE))</f>
        <v/>
      </c>
      <c r="R136" s="499" t="str">
        <f>IF(M136="","",VLOOKUP(M136,'G-6 Hedgerow Data'!$B$2:$AG$15,3,FALSE))</f>
        <v/>
      </c>
      <c r="S136" s="145"/>
      <c r="T136" s="499" t="str">
        <f>IFERROR(IF(AND(Q136="V.Low",OR(S136="Good",S136="Moderate")),"Error ▲",VLOOKUP(S136,'G-1 All Habitats'!$Z$2:$AA$9,2,FALSE)),"")</f>
        <v/>
      </c>
      <c r="U136" s="145"/>
      <c r="V136" s="507" t="str">
        <f>IF(U136="","",IF(VLOOKUP(U136,'G-3 Multipliers'!$L$3:$N$6,2,FALSE)=0,"Spatial Data Missing ⚠",VLOOKUP(U136,'G-3 Multipliers'!$L$3:$N$6,2,FALSE)))</f>
        <v/>
      </c>
      <c r="W136" s="505" t="str">
        <f>IF(U136="","",IF(VLOOKUP(U136,'G-3 Multipliers'!$L$3:$N$6,3,FALSE)=0,"Spatial Data Missing ⚠",VLOOKUP(U136,'G-3 Multipliers'!$L$3:$N$6,3,FALSE)))</f>
        <v/>
      </c>
      <c r="X136" s="498"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7" t="str">
        <f t="shared" si="11"/>
        <v/>
      </c>
      <c r="AB136" s="521" t="str">
        <f t="shared" si="12"/>
        <v/>
      </c>
      <c r="AC136" s="522" t="str">
        <f t="shared" si="9"/>
        <v/>
      </c>
      <c r="AD136" s="537" t="str">
        <f>IF(M136="","",VLOOKUP(M136,'G-6 Hedgerow Data'!$B$3:$AG$15,31,FALSE))</f>
        <v/>
      </c>
      <c r="AE136" s="520" t="str">
        <f t="shared" si="13"/>
        <v/>
      </c>
      <c r="AF136" s="520" t="str">
        <f t="shared" si="14"/>
        <v/>
      </c>
      <c r="AG136" s="524" t="str">
        <f>IFERROR(IF(O136="","",VLOOKUP(AD136,'G-3 Multipliers'!$P$3:$Q$6,2,FALSE)),"")</f>
        <v/>
      </c>
      <c r="AH136" s="197"/>
      <c r="AI136" s="499" t="str">
        <f>IF(AH136="","",IF(VLOOKUP(AH136,'G-3 Multipliers'!$S$3:$T$6,2,FALSE)=0,"Spatial Data Missing ⚠",VLOOKUP(AH136,'G-3 Multipliers'!$S$3:$T$6,2,FALSE)))</f>
        <v/>
      </c>
      <c r="AJ136" s="545" t="str">
        <f t="shared" si="15"/>
        <v/>
      </c>
      <c r="AK136" s="149"/>
      <c r="AL136" s="150"/>
      <c r="AP136" s="31" t="str">
        <f>IFERROR(INDEX('G-6 Hedgerow Data'!$BJ$3:$BJ$15,MATCH(M136,'G-6 Hedgerow Data'!$B$3:$B$15,0)),"")</f>
        <v/>
      </c>
    </row>
    <row r="137" spans="2:42" ht="13.8" x14ac:dyDescent="0.25">
      <c r="B137" s="531" t="str">
        <f>'E-1 Off Site Hedge Baseline'!AK135</f>
        <v/>
      </c>
      <c r="C137" s="520" t="str">
        <f>IF(B137="","",IF(ISNA(VLOOKUP($B137,'E-1 Off Site Hedge Baseline'!$B$1:$L$257,3,FALSE)),"",(VLOOKUP($B137,'E-1 Off Site Hedge Baseline'!$B$1:$L$257,3,FALSE))))</f>
        <v/>
      </c>
      <c r="D137" s="520" t="str">
        <f>IF(B137="","",IF(ISNA(VLOOKUP($B137,'E-1 Off Site Hedge Baseline'!$B$1:$L$258,4,FALSE)),"",(VLOOKUP($B137,'E-1 Off Site Hedge Baseline'!$B$1:$L$258,4,FALSE))))</f>
        <v/>
      </c>
      <c r="E137" s="520" t="str">
        <f>IF(B137="","",IF(ISNA(VLOOKUP($B137,'E-1 Off Site Hedge Baseline'!$B$1:$L$257,5,FALSE)),"",(VLOOKUP($B137,'E-1 Off Site Hedge Baseline'!$B$1:$L$257,5,FALSE))))</f>
        <v/>
      </c>
      <c r="F137" s="520" t="str">
        <f>IF(B137="","",IF(ISNA(VLOOKUP($B137,'E-1 Off Site Hedge Baseline'!$B$1:$L$257,6,FALSE)),"",(VLOOKUP($B137,'E-1 Off Site Hedge Baseline'!$B$1:$L$257,6,FALSE))))</f>
        <v/>
      </c>
      <c r="G137" s="520" t="str">
        <f>IF(B137="","",IF(ISNA(VLOOKUP($B137,'E-1 Off Site Hedge Baseline'!$B$1:$L$257,7,FALSE)),"",(VLOOKUP($B137,'E-1 Off Site Hedge Baseline'!$B$1:$L$257,7,FALSE))))</f>
        <v/>
      </c>
      <c r="H137" s="520" t="str">
        <f>IF(B137="","",IF(ISNA(VLOOKUP($B137,'E-1 Off Site Hedge Baseline'!$B$1:$L$257,8,FALSE)),"",(VLOOKUP($B137,'E-1 Off Site Hedge Baseline'!$B$1:$L$257,8,FALSE))))</f>
        <v/>
      </c>
      <c r="I137" s="520" t="str">
        <f>IF(B137="","",IF(ISNA(VLOOKUP($B137,'E-1 Off Site Hedge Baseline'!$B$1:$L$257,10,FALSE)),"",(VLOOKUP($B137,'E-1 Off Site Hedge Baseline'!$B$1:$L$257,10,FALSE))))</f>
        <v/>
      </c>
      <c r="J137" s="520" t="str">
        <f>IF(B137="","",IF(ISNA(VLOOKUP($B137,'E-1 Off Site Hedge Baseline'!$B$1:$L$257,11,FALSE)),"",(VLOOKUP($B137,'E-1 Off Site Hedge Baseline'!$B$1:$L$257,11,FALSE))))</f>
        <v/>
      </c>
      <c r="K137" s="520" t="str">
        <f>IF(B137="","",IF(ISNA(VLOOKUP($B137,'E-1 Off Site Hedge Baseline'!$B$1:$U$257,113,FALSE)),"",(VLOOKUP($B137,'E-1 Off Site Hedge Baseline'!$B$1:$U$257,13,FALSE))))</f>
        <v/>
      </c>
      <c r="L137" s="507" t="str">
        <f>IF(B137="","",IF(ISNA(VLOOKUP($B137,'E-1 Off Site Hedge Baseline'!$B$1:$U$257,12,FALSE)),"",(VLOOKUP($B137,'E-1 Off Site Hedge Baseline'!$B$1:$U$257,12,FALSE))))</f>
        <v/>
      </c>
      <c r="M137" s="418" t="str">
        <f t="shared" si="16"/>
        <v/>
      </c>
      <c r="N137" s="498" t="str">
        <f>IFERROR(IF(B137="","",INDEX('G-6 Hedgerow Data'!$AN$3:$AZ$15,MATCH(C137,'G-6 Hedgerow Data'!$AM$3:$AM$15,0),MATCH(M137,'G-6 Hedgerow Data'!$AN$2:$AZ$2,0))),"")</f>
        <v/>
      </c>
      <c r="O137" s="499" t="str">
        <f t="shared" si="10"/>
        <v/>
      </c>
      <c r="P137" s="505" t="str">
        <f>IF(B137="","",VLOOKUP(B137,'E-1 Off Site Hedge Baseline'!$B$10:T382,16,FALSE))</f>
        <v/>
      </c>
      <c r="Q137" s="498" t="str">
        <f>IF(M137="","",VLOOKUP(M137,'G-6 Hedgerow Data'!$B$2:$AG$15,2,FALSE))</f>
        <v/>
      </c>
      <c r="R137" s="499" t="str">
        <f>IF(M137="","",VLOOKUP(M137,'G-6 Hedgerow Data'!$B$2:$AG$15,3,FALSE))</f>
        <v/>
      </c>
      <c r="S137" s="145"/>
      <c r="T137" s="499" t="str">
        <f>IFERROR(IF(AND(Q137="V.Low",OR(S137="Good",S137="Moderate")),"Error ▲",VLOOKUP(S137,'G-1 All Habitats'!$Z$2:$AA$9,2,FALSE)),"")</f>
        <v/>
      </c>
      <c r="U137" s="145"/>
      <c r="V137" s="507" t="str">
        <f>IF(U137="","",IF(VLOOKUP(U137,'G-3 Multipliers'!$L$3:$N$6,2,FALSE)=0,"Spatial Data Missing ⚠",VLOOKUP(U137,'G-3 Multipliers'!$L$3:$N$6,2,FALSE)))</f>
        <v/>
      </c>
      <c r="W137" s="505" t="str">
        <f>IF(U137="","",IF(VLOOKUP(U137,'G-3 Multipliers'!$L$3:$N$6,3,FALSE)=0,"Spatial Data Missing ⚠",VLOOKUP(U137,'G-3 Multipliers'!$L$3:$N$6,3,FALSE)))</f>
        <v/>
      </c>
      <c r="X137" s="498"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7" t="str">
        <f t="shared" si="11"/>
        <v/>
      </c>
      <c r="AB137" s="521" t="str">
        <f t="shared" si="12"/>
        <v/>
      </c>
      <c r="AC137" s="522" t="str">
        <f t="shared" si="9"/>
        <v/>
      </c>
      <c r="AD137" s="537" t="str">
        <f>IF(M137="","",VLOOKUP(M137,'G-6 Hedgerow Data'!$B$3:$AG$15,31,FALSE))</f>
        <v/>
      </c>
      <c r="AE137" s="520" t="str">
        <f t="shared" si="13"/>
        <v/>
      </c>
      <c r="AF137" s="520" t="str">
        <f t="shared" si="14"/>
        <v/>
      </c>
      <c r="AG137" s="524" t="str">
        <f>IFERROR(IF(O137="","",VLOOKUP(AD137,'G-3 Multipliers'!$P$3:$Q$6,2,FALSE)),"")</f>
        <v/>
      </c>
      <c r="AH137" s="197"/>
      <c r="AI137" s="499" t="str">
        <f>IF(AH137="","",IF(VLOOKUP(AH137,'G-3 Multipliers'!$S$3:$T$6,2,FALSE)=0,"Spatial Data Missing ⚠",VLOOKUP(AH137,'G-3 Multipliers'!$S$3:$T$6,2,FALSE)))</f>
        <v/>
      </c>
      <c r="AJ137" s="545" t="str">
        <f t="shared" si="15"/>
        <v/>
      </c>
      <c r="AK137" s="149"/>
      <c r="AL137" s="150"/>
      <c r="AP137" s="31" t="str">
        <f>IFERROR(INDEX('G-6 Hedgerow Data'!$BJ$3:$BJ$15,MATCH(M137,'G-6 Hedgerow Data'!$B$3:$B$15,0)),"")</f>
        <v/>
      </c>
    </row>
    <row r="138" spans="2:42" ht="13.8" x14ac:dyDescent="0.25">
      <c r="B138" s="531" t="str">
        <f>'E-1 Off Site Hedge Baseline'!AK136</f>
        <v/>
      </c>
      <c r="C138" s="520" t="str">
        <f>IF(B138="","",IF(ISNA(VLOOKUP($B138,'E-1 Off Site Hedge Baseline'!$B$1:$L$257,3,FALSE)),"",(VLOOKUP($B138,'E-1 Off Site Hedge Baseline'!$B$1:$L$257,3,FALSE))))</f>
        <v/>
      </c>
      <c r="D138" s="520" t="str">
        <f>IF(B138="","",IF(ISNA(VLOOKUP($B138,'E-1 Off Site Hedge Baseline'!$B$1:$L$258,4,FALSE)),"",(VLOOKUP($B138,'E-1 Off Site Hedge Baseline'!$B$1:$L$258,4,FALSE))))</f>
        <v/>
      </c>
      <c r="E138" s="520" t="str">
        <f>IF(B138="","",IF(ISNA(VLOOKUP($B138,'E-1 Off Site Hedge Baseline'!$B$1:$L$257,5,FALSE)),"",(VLOOKUP($B138,'E-1 Off Site Hedge Baseline'!$B$1:$L$257,5,FALSE))))</f>
        <v/>
      </c>
      <c r="F138" s="520" t="str">
        <f>IF(B138="","",IF(ISNA(VLOOKUP($B138,'E-1 Off Site Hedge Baseline'!$B$1:$L$257,6,FALSE)),"",(VLOOKUP($B138,'E-1 Off Site Hedge Baseline'!$B$1:$L$257,6,FALSE))))</f>
        <v/>
      </c>
      <c r="G138" s="520" t="str">
        <f>IF(B138="","",IF(ISNA(VLOOKUP($B138,'E-1 Off Site Hedge Baseline'!$B$1:$L$257,7,FALSE)),"",(VLOOKUP($B138,'E-1 Off Site Hedge Baseline'!$B$1:$L$257,7,FALSE))))</f>
        <v/>
      </c>
      <c r="H138" s="520" t="str">
        <f>IF(B138="","",IF(ISNA(VLOOKUP($B138,'E-1 Off Site Hedge Baseline'!$B$1:$L$257,8,FALSE)),"",(VLOOKUP($B138,'E-1 Off Site Hedge Baseline'!$B$1:$L$257,8,FALSE))))</f>
        <v/>
      </c>
      <c r="I138" s="520" t="str">
        <f>IF(B138="","",IF(ISNA(VLOOKUP($B138,'E-1 Off Site Hedge Baseline'!$B$1:$L$257,10,FALSE)),"",(VLOOKUP($B138,'E-1 Off Site Hedge Baseline'!$B$1:$L$257,10,FALSE))))</f>
        <v/>
      </c>
      <c r="J138" s="520" t="str">
        <f>IF(B138="","",IF(ISNA(VLOOKUP($B138,'E-1 Off Site Hedge Baseline'!$B$1:$L$257,11,FALSE)),"",(VLOOKUP($B138,'E-1 Off Site Hedge Baseline'!$B$1:$L$257,11,FALSE))))</f>
        <v/>
      </c>
      <c r="K138" s="520" t="str">
        <f>IF(B138="","",IF(ISNA(VLOOKUP($B138,'E-1 Off Site Hedge Baseline'!$B$1:$U$257,113,FALSE)),"",(VLOOKUP($B138,'E-1 Off Site Hedge Baseline'!$B$1:$U$257,13,FALSE))))</f>
        <v/>
      </c>
      <c r="L138" s="507" t="str">
        <f>IF(B138="","",IF(ISNA(VLOOKUP($B138,'E-1 Off Site Hedge Baseline'!$B$1:$U$257,12,FALSE)),"",(VLOOKUP($B138,'E-1 Off Site Hedge Baseline'!$B$1:$U$257,12,FALSE))))</f>
        <v/>
      </c>
      <c r="M138" s="418" t="str">
        <f t="shared" si="16"/>
        <v/>
      </c>
      <c r="N138" s="498" t="str">
        <f>IFERROR(IF(B138="","",INDEX('G-6 Hedgerow Data'!$AN$3:$AZ$15,MATCH(C138,'G-6 Hedgerow Data'!$AM$3:$AM$15,0),MATCH(M138,'G-6 Hedgerow Data'!$AN$2:$AZ$2,0))),"")</f>
        <v/>
      </c>
      <c r="O138" s="499" t="str">
        <f t="shared" si="10"/>
        <v/>
      </c>
      <c r="P138" s="505" t="str">
        <f>IF(B138="","",VLOOKUP(B138,'E-1 Off Site Hedge Baseline'!$B$10:T383,16,FALSE))</f>
        <v/>
      </c>
      <c r="Q138" s="498" t="str">
        <f>IF(M138="","",VLOOKUP(M138,'G-6 Hedgerow Data'!$B$2:$AG$15,2,FALSE))</f>
        <v/>
      </c>
      <c r="R138" s="499" t="str">
        <f>IF(M138="","",VLOOKUP(M138,'G-6 Hedgerow Data'!$B$2:$AG$15,3,FALSE))</f>
        <v/>
      </c>
      <c r="S138" s="145"/>
      <c r="T138" s="499" t="str">
        <f>IFERROR(IF(AND(Q138="V.Low",OR(S138="Good",S138="Moderate")),"Error ▲",VLOOKUP(S138,'G-1 All Habitats'!$Z$2:$AA$9,2,FALSE)),"")</f>
        <v/>
      </c>
      <c r="U138" s="145"/>
      <c r="V138" s="507" t="str">
        <f>IF(U138="","",IF(VLOOKUP(U138,'G-3 Multipliers'!$L$3:$N$6,2,FALSE)=0,"Spatial Data Missing ⚠",VLOOKUP(U138,'G-3 Multipliers'!$L$3:$N$6,2,FALSE)))</f>
        <v/>
      </c>
      <c r="W138" s="505" t="str">
        <f>IF(U138="","",IF(VLOOKUP(U138,'G-3 Multipliers'!$L$3:$N$6,3,FALSE)=0,"Spatial Data Missing ⚠",VLOOKUP(U138,'G-3 Multipliers'!$L$3:$N$6,3,FALSE)))</f>
        <v/>
      </c>
      <c r="X138" s="498"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7" t="str">
        <f t="shared" si="11"/>
        <v/>
      </c>
      <c r="AB138" s="521" t="str">
        <f t="shared" si="12"/>
        <v/>
      </c>
      <c r="AC138" s="522" t="str">
        <f t="shared" si="9"/>
        <v/>
      </c>
      <c r="AD138" s="537" t="str">
        <f>IF(M138="","",VLOOKUP(M138,'G-6 Hedgerow Data'!$B$3:$AG$15,31,FALSE))</f>
        <v/>
      </c>
      <c r="AE138" s="520" t="str">
        <f t="shared" si="13"/>
        <v/>
      </c>
      <c r="AF138" s="520" t="str">
        <f t="shared" si="14"/>
        <v/>
      </c>
      <c r="AG138" s="524" t="str">
        <f>IFERROR(IF(O138="","",VLOOKUP(AD138,'G-3 Multipliers'!$P$3:$Q$6,2,FALSE)),"")</f>
        <v/>
      </c>
      <c r="AH138" s="197"/>
      <c r="AI138" s="499" t="str">
        <f>IF(AH138="","",IF(VLOOKUP(AH138,'G-3 Multipliers'!$S$3:$T$6,2,FALSE)=0,"Spatial Data Missing ⚠",VLOOKUP(AH138,'G-3 Multipliers'!$S$3:$T$6,2,FALSE)))</f>
        <v/>
      </c>
      <c r="AJ138" s="545" t="str">
        <f t="shared" si="15"/>
        <v/>
      </c>
      <c r="AK138" s="149"/>
      <c r="AL138" s="150"/>
      <c r="AP138" s="31" t="str">
        <f>IFERROR(INDEX('G-6 Hedgerow Data'!$BJ$3:$BJ$15,MATCH(M138,'G-6 Hedgerow Data'!$B$3:$B$15,0)),"")</f>
        <v/>
      </c>
    </row>
    <row r="139" spans="2:42" ht="13.8" x14ac:dyDescent="0.25">
      <c r="B139" s="531" t="str">
        <f>'E-1 Off Site Hedge Baseline'!AK137</f>
        <v/>
      </c>
      <c r="C139" s="520" t="str">
        <f>IF(B139="","",IF(ISNA(VLOOKUP($B139,'E-1 Off Site Hedge Baseline'!$B$1:$L$257,3,FALSE)),"",(VLOOKUP($B139,'E-1 Off Site Hedge Baseline'!$B$1:$L$257,3,FALSE))))</f>
        <v/>
      </c>
      <c r="D139" s="520" t="str">
        <f>IF(B139="","",IF(ISNA(VLOOKUP($B139,'E-1 Off Site Hedge Baseline'!$B$1:$L$258,4,FALSE)),"",(VLOOKUP($B139,'E-1 Off Site Hedge Baseline'!$B$1:$L$258,4,FALSE))))</f>
        <v/>
      </c>
      <c r="E139" s="520" t="str">
        <f>IF(B139="","",IF(ISNA(VLOOKUP($B139,'E-1 Off Site Hedge Baseline'!$B$1:$L$257,5,FALSE)),"",(VLOOKUP($B139,'E-1 Off Site Hedge Baseline'!$B$1:$L$257,5,FALSE))))</f>
        <v/>
      </c>
      <c r="F139" s="520" t="str">
        <f>IF(B139="","",IF(ISNA(VLOOKUP($B139,'E-1 Off Site Hedge Baseline'!$B$1:$L$257,6,FALSE)),"",(VLOOKUP($B139,'E-1 Off Site Hedge Baseline'!$B$1:$L$257,6,FALSE))))</f>
        <v/>
      </c>
      <c r="G139" s="520" t="str">
        <f>IF(B139="","",IF(ISNA(VLOOKUP($B139,'E-1 Off Site Hedge Baseline'!$B$1:$L$257,7,FALSE)),"",(VLOOKUP($B139,'E-1 Off Site Hedge Baseline'!$B$1:$L$257,7,FALSE))))</f>
        <v/>
      </c>
      <c r="H139" s="520" t="str">
        <f>IF(B139="","",IF(ISNA(VLOOKUP($B139,'E-1 Off Site Hedge Baseline'!$B$1:$L$257,8,FALSE)),"",(VLOOKUP($B139,'E-1 Off Site Hedge Baseline'!$B$1:$L$257,8,FALSE))))</f>
        <v/>
      </c>
      <c r="I139" s="520" t="str">
        <f>IF(B139="","",IF(ISNA(VLOOKUP($B139,'E-1 Off Site Hedge Baseline'!$B$1:$L$257,10,FALSE)),"",(VLOOKUP($B139,'E-1 Off Site Hedge Baseline'!$B$1:$L$257,10,FALSE))))</f>
        <v/>
      </c>
      <c r="J139" s="520" t="str">
        <f>IF(B139="","",IF(ISNA(VLOOKUP($B139,'E-1 Off Site Hedge Baseline'!$B$1:$L$257,11,FALSE)),"",(VLOOKUP($B139,'E-1 Off Site Hedge Baseline'!$B$1:$L$257,11,FALSE))))</f>
        <v/>
      </c>
      <c r="K139" s="520" t="str">
        <f>IF(B139="","",IF(ISNA(VLOOKUP($B139,'E-1 Off Site Hedge Baseline'!$B$1:$U$257,113,FALSE)),"",(VLOOKUP($B139,'E-1 Off Site Hedge Baseline'!$B$1:$U$257,13,FALSE))))</f>
        <v/>
      </c>
      <c r="L139" s="507" t="str">
        <f>IF(B139="","",IF(ISNA(VLOOKUP($B139,'E-1 Off Site Hedge Baseline'!$B$1:$U$257,12,FALSE)),"",(VLOOKUP($B139,'E-1 Off Site Hedge Baseline'!$B$1:$U$257,12,FALSE))))</f>
        <v/>
      </c>
      <c r="M139" s="418" t="str">
        <f t="shared" si="16"/>
        <v/>
      </c>
      <c r="N139" s="498" t="str">
        <f>IFERROR(IF(B139="","",INDEX('G-6 Hedgerow Data'!$AN$3:$AZ$15,MATCH(C139,'G-6 Hedgerow Data'!$AM$3:$AM$15,0),MATCH(M139,'G-6 Hedgerow Data'!$AN$2:$AZ$2,0))),"")</f>
        <v/>
      </c>
      <c r="O139" s="499" t="str">
        <f t="shared" si="10"/>
        <v/>
      </c>
      <c r="P139" s="505" t="str">
        <f>IF(B139="","",VLOOKUP(B139,'E-1 Off Site Hedge Baseline'!$B$10:T384,16,FALSE))</f>
        <v/>
      </c>
      <c r="Q139" s="498" t="str">
        <f>IF(M139="","",VLOOKUP(M139,'G-6 Hedgerow Data'!$B$2:$AG$15,2,FALSE))</f>
        <v/>
      </c>
      <c r="R139" s="499" t="str">
        <f>IF(M139="","",VLOOKUP(M139,'G-6 Hedgerow Data'!$B$2:$AG$15,3,FALSE))</f>
        <v/>
      </c>
      <c r="S139" s="145"/>
      <c r="T139" s="499" t="str">
        <f>IFERROR(IF(AND(Q139="V.Low",OR(S139="Good",S139="Moderate")),"Error ▲",VLOOKUP(S139,'G-1 All Habitats'!$Z$2:$AA$9,2,FALSE)),"")</f>
        <v/>
      </c>
      <c r="U139" s="145"/>
      <c r="V139" s="507" t="str">
        <f>IF(U139="","",IF(VLOOKUP(U139,'G-3 Multipliers'!$L$3:$N$6,2,FALSE)=0,"Spatial Data Missing ⚠",VLOOKUP(U139,'G-3 Multipliers'!$L$3:$N$6,2,FALSE)))</f>
        <v/>
      </c>
      <c r="W139" s="505" t="str">
        <f>IF(U139="","",IF(VLOOKUP(U139,'G-3 Multipliers'!$L$3:$N$6,3,FALSE)=0,"Spatial Data Missing ⚠",VLOOKUP(U139,'G-3 Multipliers'!$L$3:$N$6,3,FALSE)))</f>
        <v/>
      </c>
      <c r="X139" s="498"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7" t="str">
        <f t="shared" si="11"/>
        <v/>
      </c>
      <c r="AB139" s="521" t="str">
        <f t="shared" si="12"/>
        <v/>
      </c>
      <c r="AC139" s="522" t="str">
        <f t="shared" si="9"/>
        <v/>
      </c>
      <c r="AD139" s="537" t="str">
        <f>IF(M139="","",VLOOKUP(M139,'G-6 Hedgerow Data'!$B$3:$AG$15,31,FALSE))</f>
        <v/>
      </c>
      <c r="AE139" s="520" t="str">
        <f t="shared" si="13"/>
        <v/>
      </c>
      <c r="AF139" s="520" t="str">
        <f t="shared" si="14"/>
        <v/>
      </c>
      <c r="AG139" s="524" t="str">
        <f>IFERROR(IF(O139="","",VLOOKUP(AD139,'G-3 Multipliers'!$P$3:$Q$6,2,FALSE)),"")</f>
        <v/>
      </c>
      <c r="AH139" s="197"/>
      <c r="AI139" s="499" t="str">
        <f>IF(AH139="","",IF(VLOOKUP(AH139,'G-3 Multipliers'!$S$3:$T$6,2,FALSE)=0,"Spatial Data Missing ⚠",VLOOKUP(AH139,'G-3 Multipliers'!$S$3:$T$6,2,FALSE)))</f>
        <v/>
      </c>
      <c r="AJ139" s="545" t="str">
        <f t="shared" si="15"/>
        <v/>
      </c>
      <c r="AK139" s="149"/>
      <c r="AL139" s="150"/>
      <c r="AP139" s="31" t="str">
        <f>IFERROR(INDEX('G-6 Hedgerow Data'!$BJ$3:$BJ$15,MATCH(M139,'G-6 Hedgerow Data'!$B$3:$B$15,0)),"")</f>
        <v/>
      </c>
    </row>
    <row r="140" spans="2:42" ht="13.8" x14ac:dyDescent="0.25">
      <c r="B140" s="531" t="str">
        <f>'E-1 Off Site Hedge Baseline'!AK138</f>
        <v/>
      </c>
      <c r="C140" s="520" t="str">
        <f>IF(B140="","",IF(ISNA(VLOOKUP($B140,'E-1 Off Site Hedge Baseline'!$B$1:$L$257,3,FALSE)),"",(VLOOKUP($B140,'E-1 Off Site Hedge Baseline'!$B$1:$L$257,3,FALSE))))</f>
        <v/>
      </c>
      <c r="D140" s="520" t="str">
        <f>IF(B140="","",IF(ISNA(VLOOKUP($B140,'E-1 Off Site Hedge Baseline'!$B$1:$L$258,4,FALSE)),"",(VLOOKUP($B140,'E-1 Off Site Hedge Baseline'!$B$1:$L$258,4,FALSE))))</f>
        <v/>
      </c>
      <c r="E140" s="520" t="str">
        <f>IF(B140="","",IF(ISNA(VLOOKUP($B140,'E-1 Off Site Hedge Baseline'!$B$1:$L$257,5,FALSE)),"",(VLOOKUP($B140,'E-1 Off Site Hedge Baseline'!$B$1:$L$257,5,FALSE))))</f>
        <v/>
      </c>
      <c r="F140" s="520" t="str">
        <f>IF(B140="","",IF(ISNA(VLOOKUP($B140,'E-1 Off Site Hedge Baseline'!$B$1:$L$257,6,FALSE)),"",(VLOOKUP($B140,'E-1 Off Site Hedge Baseline'!$B$1:$L$257,6,FALSE))))</f>
        <v/>
      </c>
      <c r="G140" s="520" t="str">
        <f>IF(B140="","",IF(ISNA(VLOOKUP($B140,'E-1 Off Site Hedge Baseline'!$B$1:$L$257,7,FALSE)),"",(VLOOKUP($B140,'E-1 Off Site Hedge Baseline'!$B$1:$L$257,7,FALSE))))</f>
        <v/>
      </c>
      <c r="H140" s="520" t="str">
        <f>IF(B140="","",IF(ISNA(VLOOKUP($B140,'E-1 Off Site Hedge Baseline'!$B$1:$L$257,8,FALSE)),"",(VLOOKUP($B140,'E-1 Off Site Hedge Baseline'!$B$1:$L$257,8,FALSE))))</f>
        <v/>
      </c>
      <c r="I140" s="520" t="str">
        <f>IF(B140="","",IF(ISNA(VLOOKUP($B140,'E-1 Off Site Hedge Baseline'!$B$1:$L$257,10,FALSE)),"",(VLOOKUP($B140,'E-1 Off Site Hedge Baseline'!$B$1:$L$257,10,FALSE))))</f>
        <v/>
      </c>
      <c r="J140" s="520" t="str">
        <f>IF(B140="","",IF(ISNA(VLOOKUP($B140,'E-1 Off Site Hedge Baseline'!$B$1:$L$257,11,FALSE)),"",(VLOOKUP($B140,'E-1 Off Site Hedge Baseline'!$B$1:$L$257,11,FALSE))))</f>
        <v/>
      </c>
      <c r="K140" s="520" t="str">
        <f>IF(B140="","",IF(ISNA(VLOOKUP($B140,'E-1 Off Site Hedge Baseline'!$B$1:$U$257,113,FALSE)),"",(VLOOKUP($B140,'E-1 Off Site Hedge Baseline'!$B$1:$U$257,13,FALSE))))</f>
        <v/>
      </c>
      <c r="L140" s="507" t="str">
        <f>IF(B140="","",IF(ISNA(VLOOKUP($B140,'E-1 Off Site Hedge Baseline'!$B$1:$U$257,12,FALSE)),"",(VLOOKUP($B140,'E-1 Off Site Hedge Baseline'!$B$1:$U$257,12,FALSE))))</f>
        <v/>
      </c>
      <c r="M140" s="418" t="str">
        <f t="shared" si="16"/>
        <v/>
      </c>
      <c r="N140" s="498" t="str">
        <f>IFERROR(IF(B140="","",INDEX('G-6 Hedgerow Data'!$AN$3:$AZ$15,MATCH(C140,'G-6 Hedgerow Data'!$AM$3:$AM$15,0),MATCH(M140,'G-6 Hedgerow Data'!$AN$2:$AZ$2,0))),"")</f>
        <v/>
      </c>
      <c r="O140" s="499" t="str">
        <f t="shared" si="10"/>
        <v/>
      </c>
      <c r="P140" s="505" t="str">
        <f>IF(B140="","",VLOOKUP(B140,'E-1 Off Site Hedge Baseline'!$B$10:T385,16,FALSE))</f>
        <v/>
      </c>
      <c r="Q140" s="498" t="str">
        <f>IF(M140="","",VLOOKUP(M140,'G-6 Hedgerow Data'!$B$2:$AG$15,2,FALSE))</f>
        <v/>
      </c>
      <c r="R140" s="499" t="str">
        <f>IF(M140="","",VLOOKUP(M140,'G-6 Hedgerow Data'!$B$2:$AG$15,3,FALSE))</f>
        <v/>
      </c>
      <c r="S140" s="145"/>
      <c r="T140" s="499" t="str">
        <f>IFERROR(IF(AND(Q140="V.Low",OR(S140="Good",S140="Moderate")),"Error ▲",VLOOKUP(S140,'G-1 All Habitats'!$Z$2:$AA$9,2,FALSE)),"")</f>
        <v/>
      </c>
      <c r="U140" s="145"/>
      <c r="V140" s="507" t="str">
        <f>IF(U140="","",IF(VLOOKUP(U140,'G-3 Multipliers'!$L$3:$N$6,2,FALSE)=0,"Spatial Data Missing ⚠",VLOOKUP(U140,'G-3 Multipliers'!$L$3:$N$6,2,FALSE)))</f>
        <v/>
      </c>
      <c r="W140" s="505" t="str">
        <f>IF(U140="","",IF(VLOOKUP(U140,'G-3 Multipliers'!$L$3:$N$6,3,FALSE)=0,"Spatial Data Missing ⚠",VLOOKUP(U140,'G-3 Multipliers'!$L$3:$N$6,3,FALSE)))</f>
        <v/>
      </c>
      <c r="X140" s="498"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7" t="str">
        <f t="shared" si="11"/>
        <v/>
      </c>
      <c r="AB140" s="521" t="str">
        <f t="shared" si="12"/>
        <v/>
      </c>
      <c r="AC140" s="522" t="str">
        <f t="shared" ref="AC140:AC203" si="17">IF(OR(S140="",M140=""),"",IF(LEFT(AB140,5)="Error ▲","Check Data ⚠",IF(AB140="Check Data ⚠","Check Data ⚠",VLOOKUP(AB140,TemporalMultipliers,3,FALSE))))</f>
        <v/>
      </c>
      <c r="AD140" s="537" t="str">
        <f>IF(M140="","",VLOOKUP(M140,'G-6 Hedgerow Data'!$B$3:$AG$15,31,FALSE))</f>
        <v/>
      </c>
      <c r="AE140" s="520" t="str">
        <f t="shared" si="13"/>
        <v/>
      </c>
      <c r="AF140" s="520" t="str">
        <f t="shared" si="14"/>
        <v/>
      </c>
      <c r="AG140" s="524" t="str">
        <f>IFERROR(IF(O140="","",VLOOKUP(AD140,'G-3 Multipliers'!$P$3:$Q$6,2,FALSE)),"")</f>
        <v/>
      </c>
      <c r="AH140" s="197"/>
      <c r="AI140" s="499" t="str">
        <f>IF(AH140="","",IF(VLOOKUP(AH140,'G-3 Multipliers'!$S$3:$T$6,2,FALSE)=0,"Spatial Data Missing ⚠",VLOOKUP(AH140,'G-3 Multipliers'!$S$3:$T$6,2,FALSE)))</f>
        <v/>
      </c>
      <c r="AJ140" s="545" t="str">
        <f t="shared" si="15"/>
        <v/>
      </c>
      <c r="AK140" s="149"/>
      <c r="AL140" s="150"/>
      <c r="AP140" s="31" t="str">
        <f>IFERROR(INDEX('G-6 Hedgerow Data'!$BJ$3:$BJ$15,MATCH(M140,'G-6 Hedgerow Data'!$B$3:$B$15,0)),"")</f>
        <v/>
      </c>
    </row>
    <row r="141" spans="2:42" ht="13.8" x14ac:dyDescent="0.25">
      <c r="B141" s="531" t="str">
        <f>'E-1 Off Site Hedge Baseline'!AK139</f>
        <v/>
      </c>
      <c r="C141" s="520" t="str">
        <f>IF(B141="","",IF(ISNA(VLOOKUP($B141,'E-1 Off Site Hedge Baseline'!$B$1:$L$257,3,FALSE)),"",(VLOOKUP($B141,'E-1 Off Site Hedge Baseline'!$B$1:$L$257,3,FALSE))))</f>
        <v/>
      </c>
      <c r="D141" s="520" t="str">
        <f>IF(B141="","",IF(ISNA(VLOOKUP($B141,'E-1 Off Site Hedge Baseline'!$B$1:$L$258,4,FALSE)),"",(VLOOKUP($B141,'E-1 Off Site Hedge Baseline'!$B$1:$L$258,4,FALSE))))</f>
        <v/>
      </c>
      <c r="E141" s="520" t="str">
        <f>IF(B141="","",IF(ISNA(VLOOKUP($B141,'E-1 Off Site Hedge Baseline'!$B$1:$L$257,5,FALSE)),"",(VLOOKUP($B141,'E-1 Off Site Hedge Baseline'!$B$1:$L$257,5,FALSE))))</f>
        <v/>
      </c>
      <c r="F141" s="520" t="str">
        <f>IF(B141="","",IF(ISNA(VLOOKUP($B141,'E-1 Off Site Hedge Baseline'!$B$1:$L$257,6,FALSE)),"",(VLOOKUP($B141,'E-1 Off Site Hedge Baseline'!$B$1:$L$257,6,FALSE))))</f>
        <v/>
      </c>
      <c r="G141" s="520" t="str">
        <f>IF(B141="","",IF(ISNA(VLOOKUP($B141,'E-1 Off Site Hedge Baseline'!$B$1:$L$257,7,FALSE)),"",(VLOOKUP($B141,'E-1 Off Site Hedge Baseline'!$B$1:$L$257,7,FALSE))))</f>
        <v/>
      </c>
      <c r="H141" s="520" t="str">
        <f>IF(B141="","",IF(ISNA(VLOOKUP($B141,'E-1 Off Site Hedge Baseline'!$B$1:$L$257,8,FALSE)),"",(VLOOKUP($B141,'E-1 Off Site Hedge Baseline'!$B$1:$L$257,8,FALSE))))</f>
        <v/>
      </c>
      <c r="I141" s="520" t="str">
        <f>IF(B141="","",IF(ISNA(VLOOKUP($B141,'E-1 Off Site Hedge Baseline'!$B$1:$L$257,10,FALSE)),"",(VLOOKUP($B141,'E-1 Off Site Hedge Baseline'!$B$1:$L$257,10,FALSE))))</f>
        <v/>
      </c>
      <c r="J141" s="520" t="str">
        <f>IF(B141="","",IF(ISNA(VLOOKUP($B141,'E-1 Off Site Hedge Baseline'!$B$1:$L$257,11,FALSE)),"",(VLOOKUP($B141,'E-1 Off Site Hedge Baseline'!$B$1:$L$257,11,FALSE))))</f>
        <v/>
      </c>
      <c r="K141" s="520" t="str">
        <f>IF(B141="","",IF(ISNA(VLOOKUP($B141,'E-1 Off Site Hedge Baseline'!$B$1:$U$257,113,FALSE)),"",(VLOOKUP($B141,'E-1 Off Site Hedge Baseline'!$B$1:$U$257,13,FALSE))))</f>
        <v/>
      </c>
      <c r="L141" s="507" t="str">
        <f>IF(B141="","",IF(ISNA(VLOOKUP($B141,'E-1 Off Site Hedge Baseline'!$B$1:$U$257,12,FALSE)),"",(VLOOKUP($B141,'E-1 Off Site Hedge Baseline'!$B$1:$U$257,12,FALSE))))</f>
        <v/>
      </c>
      <c r="M141" s="418" t="str">
        <f t="shared" si="16"/>
        <v/>
      </c>
      <c r="N141" s="498" t="str">
        <f>IFERROR(IF(B141="","",INDEX('G-6 Hedgerow Data'!$AN$3:$AZ$15,MATCH(C141,'G-6 Hedgerow Data'!$AM$3:$AM$15,0),MATCH(M141,'G-6 Hedgerow Data'!$AN$2:$AZ$2,0))),"")</f>
        <v/>
      </c>
      <c r="O141" s="499"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05" t="str">
        <f>IF(B141="","",VLOOKUP(B141,'E-1 Off Site Hedge Baseline'!$B$10:T386,16,FALSE))</f>
        <v/>
      </c>
      <c r="Q141" s="498" t="str">
        <f>IF(M141="","",VLOOKUP(M141,'G-6 Hedgerow Data'!$B$2:$AG$15,2,FALSE))</f>
        <v/>
      </c>
      <c r="R141" s="499" t="str">
        <f>IF(M141="","",VLOOKUP(M141,'G-6 Hedgerow Data'!$B$2:$AG$15,3,FALSE))</f>
        <v/>
      </c>
      <c r="S141" s="145"/>
      <c r="T141" s="499" t="str">
        <f>IFERROR(IF(AND(Q141="V.Low",OR(S141="Good",S141="Moderate")),"Error ▲",VLOOKUP(S141,'G-1 All Habitats'!$Z$2:$AA$9,2,FALSE)),"")</f>
        <v/>
      </c>
      <c r="U141" s="145"/>
      <c r="V141" s="507" t="str">
        <f>IF(U141="","",IF(VLOOKUP(U141,'G-3 Multipliers'!$L$3:$N$6,2,FALSE)=0,"Spatial Data Missing ⚠",VLOOKUP(U141,'G-3 Multipliers'!$L$3:$N$6,2,FALSE)))</f>
        <v/>
      </c>
      <c r="W141" s="505" t="str">
        <f>IF(U141="","",IF(VLOOKUP(U141,'G-3 Multipliers'!$L$3:$N$6,3,FALSE)=0,"Spatial Data Missing ⚠",VLOOKUP(U141,'G-3 Multipliers'!$L$3:$N$6,3,FALSE)))</f>
        <v/>
      </c>
      <c r="X141" s="498"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7"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1" t="str">
        <f t="shared" ref="AB141:AB204" si="20">IF(X141="","",IF(AA141="Check Data ⚠","Check Data ⚠",IF(Y141="30+ ⚠",0,IF(Z141="30+","30+ ⚠",IF(X141+Z141&gt;30,"30+ ⚠",IF(LEFT(AA141,5)="Error ▲","Check Data ⚠",IF(X141+Z141-Y141&gt;0,X141+Z141-Y141,IF(X141-Y141&lt;=0,0,))))))))</f>
        <v/>
      </c>
      <c r="AC141" s="522" t="str">
        <f t="shared" si="17"/>
        <v/>
      </c>
      <c r="AD141" s="537" t="str">
        <f>IF(M141="","",VLOOKUP(M141,'G-6 Hedgerow Data'!$B$3:$AG$15,31,FALSE))</f>
        <v/>
      </c>
      <c r="AE141" s="520"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20" t="str">
        <f t="shared" ref="AF141:AF204" si="22">(IF(AND(AE141="Yes",X141&gt;Y141),AD141,IF(AND(AE141="Low Difficulty - only applicable if all habitat created before losses ⚠",Y141&gt;=X141),"Low",AD141)))</f>
        <v/>
      </c>
      <c r="AG141" s="524" t="str">
        <f>IFERROR(IF(O141="","",VLOOKUP(AD141,'G-3 Multipliers'!$P$3:$Q$6,2,FALSE)),"")</f>
        <v/>
      </c>
      <c r="AH141" s="197"/>
      <c r="AI141" s="499" t="str">
        <f>IF(AH141="","",IF(VLOOKUP(AH141,'G-3 Multipliers'!$S$3:$T$6,2,FALSE)=0,"Spatial Data Missing ⚠",VLOOKUP(AH141,'G-3 Multipliers'!$S$3:$T$6,2,FALSE)))</f>
        <v/>
      </c>
      <c r="AJ141" s="545" t="str">
        <f t="shared" ref="AJ141:AJ204" si="23">IFERROR(IF(OR(M141="",S141="",U141="",AH141=""),"",(((((P141*R141*T141)-(P141*F141*H141))*(AG141*AC141))+(P141*F141*H141))*(W141)*AI141)),"")</f>
        <v/>
      </c>
      <c r="AK141" s="149"/>
      <c r="AL141" s="150"/>
      <c r="AP141" s="31" t="str">
        <f>IFERROR(INDEX('G-6 Hedgerow Data'!$BJ$3:$BJ$15,MATCH(M141,'G-6 Hedgerow Data'!$B$3:$B$15,0)),"")</f>
        <v/>
      </c>
    </row>
    <row r="142" spans="2:42" ht="13.8" x14ac:dyDescent="0.25">
      <c r="B142" s="531" t="str">
        <f>'E-1 Off Site Hedge Baseline'!AK140</f>
        <v/>
      </c>
      <c r="C142" s="520" t="str">
        <f>IF(B142="","",IF(ISNA(VLOOKUP($B142,'E-1 Off Site Hedge Baseline'!$B$1:$L$257,3,FALSE)),"",(VLOOKUP($B142,'E-1 Off Site Hedge Baseline'!$B$1:$L$257,3,FALSE))))</f>
        <v/>
      </c>
      <c r="D142" s="520" t="str">
        <f>IF(B142="","",IF(ISNA(VLOOKUP($B142,'E-1 Off Site Hedge Baseline'!$B$1:$L$258,4,FALSE)),"",(VLOOKUP($B142,'E-1 Off Site Hedge Baseline'!$B$1:$L$258,4,FALSE))))</f>
        <v/>
      </c>
      <c r="E142" s="520" t="str">
        <f>IF(B142="","",IF(ISNA(VLOOKUP($B142,'E-1 Off Site Hedge Baseline'!$B$1:$L$257,5,FALSE)),"",(VLOOKUP($B142,'E-1 Off Site Hedge Baseline'!$B$1:$L$257,5,FALSE))))</f>
        <v/>
      </c>
      <c r="F142" s="520" t="str">
        <f>IF(B142="","",IF(ISNA(VLOOKUP($B142,'E-1 Off Site Hedge Baseline'!$B$1:$L$257,6,FALSE)),"",(VLOOKUP($B142,'E-1 Off Site Hedge Baseline'!$B$1:$L$257,6,FALSE))))</f>
        <v/>
      </c>
      <c r="G142" s="520" t="str">
        <f>IF(B142="","",IF(ISNA(VLOOKUP($B142,'E-1 Off Site Hedge Baseline'!$B$1:$L$257,7,FALSE)),"",(VLOOKUP($B142,'E-1 Off Site Hedge Baseline'!$B$1:$L$257,7,FALSE))))</f>
        <v/>
      </c>
      <c r="H142" s="520" t="str">
        <f>IF(B142="","",IF(ISNA(VLOOKUP($B142,'E-1 Off Site Hedge Baseline'!$B$1:$L$257,8,FALSE)),"",(VLOOKUP($B142,'E-1 Off Site Hedge Baseline'!$B$1:$L$257,8,FALSE))))</f>
        <v/>
      </c>
      <c r="I142" s="520" t="str">
        <f>IF(B142="","",IF(ISNA(VLOOKUP($B142,'E-1 Off Site Hedge Baseline'!$B$1:$L$257,10,FALSE)),"",(VLOOKUP($B142,'E-1 Off Site Hedge Baseline'!$B$1:$L$257,10,FALSE))))</f>
        <v/>
      </c>
      <c r="J142" s="520" t="str">
        <f>IF(B142="","",IF(ISNA(VLOOKUP($B142,'E-1 Off Site Hedge Baseline'!$B$1:$L$257,11,FALSE)),"",(VLOOKUP($B142,'E-1 Off Site Hedge Baseline'!$B$1:$L$257,11,FALSE))))</f>
        <v/>
      </c>
      <c r="K142" s="520" t="str">
        <f>IF(B142="","",IF(ISNA(VLOOKUP($B142,'E-1 Off Site Hedge Baseline'!$B$1:$U$257,113,FALSE)),"",(VLOOKUP($B142,'E-1 Off Site Hedge Baseline'!$B$1:$U$257,13,FALSE))))</f>
        <v/>
      </c>
      <c r="L142" s="507" t="str">
        <f>IF(B142="","",IF(ISNA(VLOOKUP($B142,'E-1 Off Site Hedge Baseline'!$B$1:$U$257,12,FALSE)),"",(VLOOKUP($B142,'E-1 Off Site Hedge Baseline'!$B$1:$U$257,12,FALSE))))</f>
        <v/>
      </c>
      <c r="M142" s="418" t="str">
        <f t="shared" ref="M142:M205" si="24">C142</f>
        <v/>
      </c>
      <c r="N142" s="498" t="str">
        <f>IFERROR(IF(B142="","",INDEX('G-6 Hedgerow Data'!$AN$3:$AZ$15,MATCH(C142,'G-6 Hedgerow Data'!$AM$3:$AM$15,0),MATCH(M142,'G-6 Hedgerow Data'!$AN$2:$AZ$2,0))),"")</f>
        <v/>
      </c>
      <c r="O142" s="499" t="str">
        <f t="shared" si="18"/>
        <v/>
      </c>
      <c r="P142" s="505" t="str">
        <f>IF(B142="","",VLOOKUP(B142,'E-1 Off Site Hedge Baseline'!$B$10:T387,16,FALSE))</f>
        <v/>
      </c>
      <c r="Q142" s="498" t="str">
        <f>IF(M142="","",VLOOKUP(M142,'G-6 Hedgerow Data'!$B$2:$AG$15,2,FALSE))</f>
        <v/>
      </c>
      <c r="R142" s="499" t="str">
        <f>IF(M142="","",VLOOKUP(M142,'G-6 Hedgerow Data'!$B$2:$AG$15,3,FALSE))</f>
        <v/>
      </c>
      <c r="S142" s="145"/>
      <c r="T142" s="499" t="str">
        <f>IFERROR(IF(AND(Q142="V.Low",OR(S142="Good",S142="Moderate")),"Error ▲",VLOOKUP(S142,'G-1 All Habitats'!$Z$2:$AA$9,2,FALSE)),"")</f>
        <v/>
      </c>
      <c r="U142" s="145"/>
      <c r="V142" s="507" t="str">
        <f>IF(U142="","",IF(VLOOKUP(U142,'G-3 Multipliers'!$L$3:$N$6,2,FALSE)=0,"Spatial Data Missing ⚠",VLOOKUP(U142,'G-3 Multipliers'!$L$3:$N$6,2,FALSE)))</f>
        <v/>
      </c>
      <c r="W142" s="505" t="str">
        <f>IF(U142="","",IF(VLOOKUP(U142,'G-3 Multipliers'!$L$3:$N$6,3,FALSE)=0,"Spatial Data Missing ⚠",VLOOKUP(U142,'G-3 Multipliers'!$L$3:$N$6,3,FALSE)))</f>
        <v/>
      </c>
      <c r="X142" s="498"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7" t="str">
        <f t="shared" si="19"/>
        <v/>
      </c>
      <c r="AB142" s="521" t="str">
        <f t="shared" si="20"/>
        <v/>
      </c>
      <c r="AC142" s="522" t="str">
        <f t="shared" si="17"/>
        <v/>
      </c>
      <c r="AD142" s="537" t="str">
        <f>IF(M142="","",VLOOKUP(M142,'G-6 Hedgerow Data'!$B$3:$AG$15,31,FALSE))</f>
        <v/>
      </c>
      <c r="AE142" s="520" t="str">
        <f t="shared" si="21"/>
        <v/>
      </c>
      <c r="AF142" s="520" t="str">
        <f t="shared" si="22"/>
        <v/>
      </c>
      <c r="AG142" s="524" t="str">
        <f>IFERROR(IF(O142="","",VLOOKUP(AD142,'G-3 Multipliers'!$P$3:$Q$6,2,FALSE)),"")</f>
        <v/>
      </c>
      <c r="AH142" s="197"/>
      <c r="AI142" s="499" t="str">
        <f>IF(AH142="","",IF(VLOOKUP(AH142,'G-3 Multipliers'!$S$3:$T$6,2,FALSE)=0,"Spatial Data Missing ⚠",VLOOKUP(AH142,'G-3 Multipliers'!$S$3:$T$6,2,FALSE)))</f>
        <v/>
      </c>
      <c r="AJ142" s="545" t="str">
        <f t="shared" si="23"/>
        <v/>
      </c>
      <c r="AK142" s="149"/>
      <c r="AL142" s="150"/>
      <c r="AP142" s="31" t="str">
        <f>IFERROR(INDEX('G-6 Hedgerow Data'!$BJ$3:$BJ$15,MATCH(M142,'G-6 Hedgerow Data'!$B$3:$B$15,0)),"")</f>
        <v/>
      </c>
    </row>
    <row r="143" spans="2:42" ht="13.8" x14ac:dyDescent="0.25">
      <c r="B143" s="531" t="str">
        <f>'E-1 Off Site Hedge Baseline'!AK141</f>
        <v/>
      </c>
      <c r="C143" s="520" t="str">
        <f>IF(B143="","",IF(ISNA(VLOOKUP($B143,'E-1 Off Site Hedge Baseline'!$B$1:$L$257,3,FALSE)),"",(VLOOKUP($B143,'E-1 Off Site Hedge Baseline'!$B$1:$L$257,3,FALSE))))</f>
        <v/>
      </c>
      <c r="D143" s="520" t="str">
        <f>IF(B143="","",IF(ISNA(VLOOKUP($B143,'E-1 Off Site Hedge Baseline'!$B$1:$L$258,4,FALSE)),"",(VLOOKUP($B143,'E-1 Off Site Hedge Baseline'!$B$1:$L$258,4,FALSE))))</f>
        <v/>
      </c>
      <c r="E143" s="520" t="str">
        <f>IF(B143="","",IF(ISNA(VLOOKUP($B143,'E-1 Off Site Hedge Baseline'!$B$1:$L$257,5,FALSE)),"",(VLOOKUP($B143,'E-1 Off Site Hedge Baseline'!$B$1:$L$257,5,FALSE))))</f>
        <v/>
      </c>
      <c r="F143" s="520" t="str">
        <f>IF(B143="","",IF(ISNA(VLOOKUP($B143,'E-1 Off Site Hedge Baseline'!$B$1:$L$257,6,FALSE)),"",(VLOOKUP($B143,'E-1 Off Site Hedge Baseline'!$B$1:$L$257,6,FALSE))))</f>
        <v/>
      </c>
      <c r="G143" s="520" t="str">
        <f>IF(B143="","",IF(ISNA(VLOOKUP($B143,'E-1 Off Site Hedge Baseline'!$B$1:$L$257,7,FALSE)),"",(VLOOKUP($B143,'E-1 Off Site Hedge Baseline'!$B$1:$L$257,7,FALSE))))</f>
        <v/>
      </c>
      <c r="H143" s="520" t="str">
        <f>IF(B143="","",IF(ISNA(VLOOKUP($B143,'E-1 Off Site Hedge Baseline'!$B$1:$L$257,8,FALSE)),"",(VLOOKUP($B143,'E-1 Off Site Hedge Baseline'!$B$1:$L$257,8,FALSE))))</f>
        <v/>
      </c>
      <c r="I143" s="520" t="str">
        <f>IF(B143="","",IF(ISNA(VLOOKUP($B143,'E-1 Off Site Hedge Baseline'!$B$1:$L$257,10,FALSE)),"",(VLOOKUP($B143,'E-1 Off Site Hedge Baseline'!$B$1:$L$257,10,FALSE))))</f>
        <v/>
      </c>
      <c r="J143" s="520" t="str">
        <f>IF(B143="","",IF(ISNA(VLOOKUP($B143,'E-1 Off Site Hedge Baseline'!$B$1:$L$257,11,FALSE)),"",(VLOOKUP($B143,'E-1 Off Site Hedge Baseline'!$B$1:$L$257,11,FALSE))))</f>
        <v/>
      </c>
      <c r="K143" s="520" t="str">
        <f>IF(B143="","",IF(ISNA(VLOOKUP($B143,'E-1 Off Site Hedge Baseline'!$B$1:$U$257,113,FALSE)),"",(VLOOKUP($B143,'E-1 Off Site Hedge Baseline'!$B$1:$U$257,13,FALSE))))</f>
        <v/>
      </c>
      <c r="L143" s="507" t="str">
        <f>IF(B143="","",IF(ISNA(VLOOKUP($B143,'E-1 Off Site Hedge Baseline'!$B$1:$U$257,12,FALSE)),"",(VLOOKUP($B143,'E-1 Off Site Hedge Baseline'!$B$1:$U$257,12,FALSE))))</f>
        <v/>
      </c>
      <c r="M143" s="418" t="str">
        <f t="shared" si="24"/>
        <v/>
      </c>
      <c r="N143" s="498" t="str">
        <f>IFERROR(IF(B143="","",INDEX('G-6 Hedgerow Data'!$AN$3:$AZ$15,MATCH(C143,'G-6 Hedgerow Data'!$AM$3:$AM$15,0),MATCH(M143,'G-6 Hedgerow Data'!$AN$2:$AZ$2,0))),"")</f>
        <v/>
      </c>
      <c r="O143" s="499" t="str">
        <f t="shared" si="18"/>
        <v/>
      </c>
      <c r="P143" s="505" t="str">
        <f>IF(B143="","",VLOOKUP(B143,'E-1 Off Site Hedge Baseline'!$B$10:T388,16,FALSE))</f>
        <v/>
      </c>
      <c r="Q143" s="498" t="str">
        <f>IF(M143="","",VLOOKUP(M143,'G-6 Hedgerow Data'!$B$2:$AG$15,2,FALSE))</f>
        <v/>
      </c>
      <c r="R143" s="499" t="str">
        <f>IF(M143="","",VLOOKUP(M143,'G-6 Hedgerow Data'!$B$2:$AG$15,3,FALSE))</f>
        <v/>
      </c>
      <c r="S143" s="145"/>
      <c r="T143" s="499" t="str">
        <f>IFERROR(IF(AND(Q143="V.Low",OR(S143="Good",S143="Moderate")),"Error ▲",VLOOKUP(S143,'G-1 All Habitats'!$Z$2:$AA$9,2,FALSE)),"")</f>
        <v/>
      </c>
      <c r="U143" s="145"/>
      <c r="V143" s="507" t="str">
        <f>IF(U143="","",IF(VLOOKUP(U143,'G-3 Multipliers'!$L$3:$N$6,2,FALSE)=0,"Spatial Data Missing ⚠",VLOOKUP(U143,'G-3 Multipliers'!$L$3:$N$6,2,FALSE)))</f>
        <v/>
      </c>
      <c r="W143" s="505" t="str">
        <f>IF(U143="","",IF(VLOOKUP(U143,'G-3 Multipliers'!$L$3:$N$6,3,FALSE)=0,"Spatial Data Missing ⚠",VLOOKUP(U143,'G-3 Multipliers'!$L$3:$N$6,3,FALSE)))</f>
        <v/>
      </c>
      <c r="X143" s="498"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7" t="str">
        <f t="shared" si="19"/>
        <v/>
      </c>
      <c r="AB143" s="521" t="str">
        <f t="shared" si="20"/>
        <v/>
      </c>
      <c r="AC143" s="522" t="str">
        <f t="shared" si="17"/>
        <v/>
      </c>
      <c r="AD143" s="537" t="str">
        <f>IF(M143="","",VLOOKUP(M143,'G-6 Hedgerow Data'!$B$3:$AG$15,31,FALSE))</f>
        <v/>
      </c>
      <c r="AE143" s="520" t="str">
        <f t="shared" si="21"/>
        <v/>
      </c>
      <c r="AF143" s="520" t="str">
        <f t="shared" si="22"/>
        <v/>
      </c>
      <c r="AG143" s="524" t="str">
        <f>IFERROR(IF(O143="","",VLOOKUP(AD143,'G-3 Multipliers'!$P$3:$Q$6,2,FALSE)),"")</f>
        <v/>
      </c>
      <c r="AH143" s="197"/>
      <c r="AI143" s="499" t="str">
        <f>IF(AH143="","",IF(VLOOKUP(AH143,'G-3 Multipliers'!$S$3:$T$6,2,FALSE)=0,"Spatial Data Missing ⚠",VLOOKUP(AH143,'G-3 Multipliers'!$S$3:$T$6,2,FALSE)))</f>
        <v/>
      </c>
      <c r="AJ143" s="545" t="str">
        <f t="shared" si="23"/>
        <v/>
      </c>
      <c r="AK143" s="149"/>
      <c r="AL143" s="150"/>
      <c r="AP143" s="31" t="str">
        <f>IFERROR(INDEX('G-6 Hedgerow Data'!$BJ$3:$BJ$15,MATCH(M143,'G-6 Hedgerow Data'!$B$3:$B$15,0)),"")</f>
        <v/>
      </c>
    </row>
    <row r="144" spans="2:42" ht="13.8" x14ac:dyDescent="0.25">
      <c r="B144" s="531" t="str">
        <f>'E-1 Off Site Hedge Baseline'!AK142</f>
        <v/>
      </c>
      <c r="C144" s="520" t="str">
        <f>IF(B144="","",IF(ISNA(VLOOKUP($B144,'E-1 Off Site Hedge Baseline'!$B$1:$L$257,3,FALSE)),"",(VLOOKUP($B144,'E-1 Off Site Hedge Baseline'!$B$1:$L$257,3,FALSE))))</f>
        <v/>
      </c>
      <c r="D144" s="520" t="str">
        <f>IF(B144="","",IF(ISNA(VLOOKUP($B144,'E-1 Off Site Hedge Baseline'!$B$1:$L$258,4,FALSE)),"",(VLOOKUP($B144,'E-1 Off Site Hedge Baseline'!$B$1:$L$258,4,FALSE))))</f>
        <v/>
      </c>
      <c r="E144" s="520" t="str">
        <f>IF(B144="","",IF(ISNA(VLOOKUP($B144,'E-1 Off Site Hedge Baseline'!$B$1:$L$257,5,FALSE)),"",(VLOOKUP($B144,'E-1 Off Site Hedge Baseline'!$B$1:$L$257,5,FALSE))))</f>
        <v/>
      </c>
      <c r="F144" s="520" t="str">
        <f>IF(B144="","",IF(ISNA(VLOOKUP($B144,'E-1 Off Site Hedge Baseline'!$B$1:$L$257,6,FALSE)),"",(VLOOKUP($B144,'E-1 Off Site Hedge Baseline'!$B$1:$L$257,6,FALSE))))</f>
        <v/>
      </c>
      <c r="G144" s="520" t="str">
        <f>IF(B144="","",IF(ISNA(VLOOKUP($B144,'E-1 Off Site Hedge Baseline'!$B$1:$L$257,7,FALSE)),"",(VLOOKUP($B144,'E-1 Off Site Hedge Baseline'!$B$1:$L$257,7,FALSE))))</f>
        <v/>
      </c>
      <c r="H144" s="520" t="str">
        <f>IF(B144="","",IF(ISNA(VLOOKUP($B144,'E-1 Off Site Hedge Baseline'!$B$1:$L$257,8,FALSE)),"",(VLOOKUP($B144,'E-1 Off Site Hedge Baseline'!$B$1:$L$257,8,FALSE))))</f>
        <v/>
      </c>
      <c r="I144" s="520" t="str">
        <f>IF(B144="","",IF(ISNA(VLOOKUP($B144,'E-1 Off Site Hedge Baseline'!$B$1:$L$257,10,FALSE)),"",(VLOOKUP($B144,'E-1 Off Site Hedge Baseline'!$B$1:$L$257,10,FALSE))))</f>
        <v/>
      </c>
      <c r="J144" s="520" t="str">
        <f>IF(B144="","",IF(ISNA(VLOOKUP($B144,'E-1 Off Site Hedge Baseline'!$B$1:$L$257,11,FALSE)),"",(VLOOKUP($B144,'E-1 Off Site Hedge Baseline'!$B$1:$L$257,11,FALSE))))</f>
        <v/>
      </c>
      <c r="K144" s="520" t="str">
        <f>IF(B144="","",IF(ISNA(VLOOKUP($B144,'E-1 Off Site Hedge Baseline'!$B$1:$U$257,113,FALSE)),"",(VLOOKUP($B144,'E-1 Off Site Hedge Baseline'!$B$1:$U$257,13,FALSE))))</f>
        <v/>
      </c>
      <c r="L144" s="507" t="str">
        <f>IF(B144="","",IF(ISNA(VLOOKUP($B144,'E-1 Off Site Hedge Baseline'!$B$1:$U$257,12,FALSE)),"",(VLOOKUP($B144,'E-1 Off Site Hedge Baseline'!$B$1:$U$257,12,FALSE))))</f>
        <v/>
      </c>
      <c r="M144" s="418" t="str">
        <f t="shared" si="24"/>
        <v/>
      </c>
      <c r="N144" s="498" t="str">
        <f>IFERROR(IF(B144="","",INDEX('G-6 Hedgerow Data'!$AN$3:$AZ$15,MATCH(C144,'G-6 Hedgerow Data'!$AM$3:$AM$15,0),MATCH(M144,'G-6 Hedgerow Data'!$AN$2:$AZ$2,0))),"")</f>
        <v/>
      </c>
      <c r="O144" s="499" t="str">
        <f t="shared" si="18"/>
        <v/>
      </c>
      <c r="P144" s="505" t="str">
        <f>IF(B144="","",VLOOKUP(B144,'E-1 Off Site Hedge Baseline'!$B$10:T389,16,FALSE))</f>
        <v/>
      </c>
      <c r="Q144" s="498" t="str">
        <f>IF(M144="","",VLOOKUP(M144,'G-6 Hedgerow Data'!$B$2:$AG$15,2,FALSE))</f>
        <v/>
      </c>
      <c r="R144" s="499" t="str">
        <f>IF(M144="","",VLOOKUP(M144,'G-6 Hedgerow Data'!$B$2:$AG$15,3,FALSE))</f>
        <v/>
      </c>
      <c r="S144" s="145"/>
      <c r="T144" s="499" t="str">
        <f>IFERROR(IF(AND(Q144="V.Low",OR(S144="Good",S144="Moderate")),"Error ▲",VLOOKUP(S144,'G-1 All Habitats'!$Z$2:$AA$9,2,FALSE)),"")</f>
        <v/>
      </c>
      <c r="U144" s="145"/>
      <c r="V144" s="507" t="str">
        <f>IF(U144="","",IF(VLOOKUP(U144,'G-3 Multipliers'!$L$3:$N$6,2,FALSE)=0,"Spatial Data Missing ⚠",VLOOKUP(U144,'G-3 Multipliers'!$L$3:$N$6,2,FALSE)))</f>
        <v/>
      </c>
      <c r="W144" s="505" t="str">
        <f>IF(U144="","",IF(VLOOKUP(U144,'G-3 Multipliers'!$L$3:$N$6,3,FALSE)=0,"Spatial Data Missing ⚠",VLOOKUP(U144,'G-3 Multipliers'!$L$3:$N$6,3,FALSE)))</f>
        <v/>
      </c>
      <c r="X144" s="498"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7" t="str">
        <f t="shared" si="19"/>
        <v/>
      </c>
      <c r="AB144" s="521" t="str">
        <f t="shared" si="20"/>
        <v/>
      </c>
      <c r="AC144" s="522" t="str">
        <f t="shared" si="17"/>
        <v/>
      </c>
      <c r="AD144" s="537" t="str">
        <f>IF(M144="","",VLOOKUP(M144,'G-6 Hedgerow Data'!$B$3:$AG$15,31,FALSE))</f>
        <v/>
      </c>
      <c r="AE144" s="520" t="str">
        <f t="shared" si="21"/>
        <v/>
      </c>
      <c r="AF144" s="520" t="str">
        <f t="shared" si="22"/>
        <v/>
      </c>
      <c r="AG144" s="524" t="str">
        <f>IFERROR(IF(O144="","",VLOOKUP(AD144,'G-3 Multipliers'!$P$3:$Q$6,2,FALSE)),"")</f>
        <v/>
      </c>
      <c r="AH144" s="197"/>
      <c r="AI144" s="499" t="str">
        <f>IF(AH144="","",IF(VLOOKUP(AH144,'G-3 Multipliers'!$S$3:$T$6,2,FALSE)=0,"Spatial Data Missing ⚠",VLOOKUP(AH144,'G-3 Multipliers'!$S$3:$T$6,2,FALSE)))</f>
        <v/>
      </c>
      <c r="AJ144" s="545" t="str">
        <f t="shared" si="23"/>
        <v/>
      </c>
      <c r="AK144" s="149"/>
      <c r="AL144" s="150"/>
      <c r="AP144" s="31" t="str">
        <f>IFERROR(INDEX('G-6 Hedgerow Data'!$BJ$3:$BJ$15,MATCH(M144,'G-6 Hedgerow Data'!$B$3:$B$15,0)),"")</f>
        <v/>
      </c>
    </row>
    <row r="145" spans="2:42" ht="13.8" x14ac:dyDescent="0.25">
      <c r="B145" s="531" t="str">
        <f>'E-1 Off Site Hedge Baseline'!AK143</f>
        <v/>
      </c>
      <c r="C145" s="520" t="str">
        <f>IF(B145="","",IF(ISNA(VLOOKUP($B145,'E-1 Off Site Hedge Baseline'!$B$1:$L$257,3,FALSE)),"",(VLOOKUP($B145,'E-1 Off Site Hedge Baseline'!$B$1:$L$257,3,FALSE))))</f>
        <v/>
      </c>
      <c r="D145" s="520" t="str">
        <f>IF(B145="","",IF(ISNA(VLOOKUP($B145,'E-1 Off Site Hedge Baseline'!$B$1:$L$258,4,FALSE)),"",(VLOOKUP($B145,'E-1 Off Site Hedge Baseline'!$B$1:$L$258,4,FALSE))))</f>
        <v/>
      </c>
      <c r="E145" s="520" t="str">
        <f>IF(B145="","",IF(ISNA(VLOOKUP($B145,'E-1 Off Site Hedge Baseline'!$B$1:$L$257,5,FALSE)),"",(VLOOKUP($B145,'E-1 Off Site Hedge Baseline'!$B$1:$L$257,5,FALSE))))</f>
        <v/>
      </c>
      <c r="F145" s="520" t="str">
        <f>IF(B145="","",IF(ISNA(VLOOKUP($B145,'E-1 Off Site Hedge Baseline'!$B$1:$L$257,6,FALSE)),"",(VLOOKUP($B145,'E-1 Off Site Hedge Baseline'!$B$1:$L$257,6,FALSE))))</f>
        <v/>
      </c>
      <c r="G145" s="520" t="str">
        <f>IF(B145="","",IF(ISNA(VLOOKUP($B145,'E-1 Off Site Hedge Baseline'!$B$1:$L$257,7,FALSE)),"",(VLOOKUP($B145,'E-1 Off Site Hedge Baseline'!$B$1:$L$257,7,FALSE))))</f>
        <v/>
      </c>
      <c r="H145" s="520" t="str">
        <f>IF(B145="","",IF(ISNA(VLOOKUP($B145,'E-1 Off Site Hedge Baseline'!$B$1:$L$257,8,FALSE)),"",(VLOOKUP($B145,'E-1 Off Site Hedge Baseline'!$B$1:$L$257,8,FALSE))))</f>
        <v/>
      </c>
      <c r="I145" s="520" t="str">
        <f>IF(B145="","",IF(ISNA(VLOOKUP($B145,'E-1 Off Site Hedge Baseline'!$B$1:$L$257,10,FALSE)),"",(VLOOKUP($B145,'E-1 Off Site Hedge Baseline'!$B$1:$L$257,10,FALSE))))</f>
        <v/>
      </c>
      <c r="J145" s="520" t="str">
        <f>IF(B145="","",IF(ISNA(VLOOKUP($B145,'E-1 Off Site Hedge Baseline'!$B$1:$L$257,11,FALSE)),"",(VLOOKUP($B145,'E-1 Off Site Hedge Baseline'!$B$1:$L$257,11,FALSE))))</f>
        <v/>
      </c>
      <c r="K145" s="520" t="str">
        <f>IF(B145="","",IF(ISNA(VLOOKUP($B145,'E-1 Off Site Hedge Baseline'!$B$1:$U$257,113,FALSE)),"",(VLOOKUP($B145,'E-1 Off Site Hedge Baseline'!$B$1:$U$257,13,FALSE))))</f>
        <v/>
      </c>
      <c r="L145" s="507" t="str">
        <f>IF(B145="","",IF(ISNA(VLOOKUP($B145,'E-1 Off Site Hedge Baseline'!$B$1:$U$257,12,FALSE)),"",(VLOOKUP($B145,'E-1 Off Site Hedge Baseline'!$B$1:$U$257,12,FALSE))))</f>
        <v/>
      </c>
      <c r="M145" s="418" t="str">
        <f t="shared" si="24"/>
        <v/>
      </c>
      <c r="N145" s="498" t="str">
        <f>IFERROR(IF(B145="","",INDEX('G-6 Hedgerow Data'!$AN$3:$AZ$15,MATCH(C145,'G-6 Hedgerow Data'!$AM$3:$AM$15,0),MATCH(M145,'G-6 Hedgerow Data'!$AN$2:$AZ$2,0))),"")</f>
        <v/>
      </c>
      <c r="O145" s="499" t="str">
        <f t="shared" si="18"/>
        <v/>
      </c>
      <c r="P145" s="505" t="str">
        <f>IF(B145="","",VLOOKUP(B145,'E-1 Off Site Hedge Baseline'!$B$10:T390,16,FALSE))</f>
        <v/>
      </c>
      <c r="Q145" s="498" t="str">
        <f>IF(M145="","",VLOOKUP(M145,'G-6 Hedgerow Data'!$B$2:$AG$15,2,FALSE))</f>
        <v/>
      </c>
      <c r="R145" s="499" t="str">
        <f>IF(M145="","",VLOOKUP(M145,'G-6 Hedgerow Data'!$B$2:$AG$15,3,FALSE))</f>
        <v/>
      </c>
      <c r="S145" s="145"/>
      <c r="T145" s="499" t="str">
        <f>IFERROR(IF(AND(Q145="V.Low",OR(S145="Good",S145="Moderate")),"Error ▲",VLOOKUP(S145,'G-1 All Habitats'!$Z$2:$AA$9,2,FALSE)),"")</f>
        <v/>
      </c>
      <c r="U145" s="145"/>
      <c r="V145" s="507" t="str">
        <f>IF(U145="","",IF(VLOOKUP(U145,'G-3 Multipliers'!$L$3:$N$6,2,FALSE)=0,"Spatial Data Missing ⚠",VLOOKUP(U145,'G-3 Multipliers'!$L$3:$N$6,2,FALSE)))</f>
        <v/>
      </c>
      <c r="W145" s="505" t="str">
        <f>IF(U145="","",IF(VLOOKUP(U145,'G-3 Multipliers'!$L$3:$N$6,3,FALSE)=0,"Spatial Data Missing ⚠",VLOOKUP(U145,'G-3 Multipliers'!$L$3:$N$6,3,FALSE)))</f>
        <v/>
      </c>
      <c r="X145" s="498"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7" t="str">
        <f t="shared" si="19"/>
        <v/>
      </c>
      <c r="AB145" s="521" t="str">
        <f t="shared" si="20"/>
        <v/>
      </c>
      <c r="AC145" s="522" t="str">
        <f t="shared" si="17"/>
        <v/>
      </c>
      <c r="AD145" s="537" t="str">
        <f>IF(M145="","",VLOOKUP(M145,'G-6 Hedgerow Data'!$B$3:$AG$15,31,FALSE))</f>
        <v/>
      </c>
      <c r="AE145" s="520" t="str">
        <f t="shared" si="21"/>
        <v/>
      </c>
      <c r="AF145" s="520" t="str">
        <f t="shared" si="22"/>
        <v/>
      </c>
      <c r="AG145" s="524" t="str">
        <f>IFERROR(IF(O145="","",VLOOKUP(AD145,'G-3 Multipliers'!$P$3:$Q$6,2,FALSE)),"")</f>
        <v/>
      </c>
      <c r="AH145" s="197"/>
      <c r="AI145" s="499" t="str">
        <f>IF(AH145="","",IF(VLOOKUP(AH145,'G-3 Multipliers'!$S$3:$T$6,2,FALSE)=0,"Spatial Data Missing ⚠",VLOOKUP(AH145,'G-3 Multipliers'!$S$3:$T$6,2,FALSE)))</f>
        <v/>
      </c>
      <c r="AJ145" s="545" t="str">
        <f t="shared" si="23"/>
        <v/>
      </c>
      <c r="AK145" s="149"/>
      <c r="AL145" s="150"/>
      <c r="AP145" s="31" t="str">
        <f>IFERROR(INDEX('G-6 Hedgerow Data'!$BJ$3:$BJ$15,MATCH(M145,'G-6 Hedgerow Data'!$B$3:$B$15,0)),"")</f>
        <v/>
      </c>
    </row>
    <row r="146" spans="2:42" ht="13.8" x14ac:dyDescent="0.25">
      <c r="B146" s="531" t="str">
        <f>'E-1 Off Site Hedge Baseline'!AK144</f>
        <v/>
      </c>
      <c r="C146" s="520" t="str">
        <f>IF(B146="","",IF(ISNA(VLOOKUP($B146,'E-1 Off Site Hedge Baseline'!$B$1:$L$257,3,FALSE)),"",(VLOOKUP($B146,'E-1 Off Site Hedge Baseline'!$B$1:$L$257,3,FALSE))))</f>
        <v/>
      </c>
      <c r="D146" s="520" t="str">
        <f>IF(B146="","",IF(ISNA(VLOOKUP($B146,'E-1 Off Site Hedge Baseline'!$B$1:$L$258,4,FALSE)),"",(VLOOKUP($B146,'E-1 Off Site Hedge Baseline'!$B$1:$L$258,4,FALSE))))</f>
        <v/>
      </c>
      <c r="E146" s="520" t="str">
        <f>IF(B146="","",IF(ISNA(VLOOKUP($B146,'E-1 Off Site Hedge Baseline'!$B$1:$L$257,5,FALSE)),"",(VLOOKUP($B146,'E-1 Off Site Hedge Baseline'!$B$1:$L$257,5,FALSE))))</f>
        <v/>
      </c>
      <c r="F146" s="520" t="str">
        <f>IF(B146="","",IF(ISNA(VLOOKUP($B146,'E-1 Off Site Hedge Baseline'!$B$1:$L$257,6,FALSE)),"",(VLOOKUP($B146,'E-1 Off Site Hedge Baseline'!$B$1:$L$257,6,FALSE))))</f>
        <v/>
      </c>
      <c r="G146" s="520" t="str">
        <f>IF(B146="","",IF(ISNA(VLOOKUP($B146,'E-1 Off Site Hedge Baseline'!$B$1:$L$257,7,FALSE)),"",(VLOOKUP($B146,'E-1 Off Site Hedge Baseline'!$B$1:$L$257,7,FALSE))))</f>
        <v/>
      </c>
      <c r="H146" s="520" t="str">
        <f>IF(B146="","",IF(ISNA(VLOOKUP($B146,'E-1 Off Site Hedge Baseline'!$B$1:$L$257,8,FALSE)),"",(VLOOKUP($B146,'E-1 Off Site Hedge Baseline'!$B$1:$L$257,8,FALSE))))</f>
        <v/>
      </c>
      <c r="I146" s="520" t="str">
        <f>IF(B146="","",IF(ISNA(VLOOKUP($B146,'E-1 Off Site Hedge Baseline'!$B$1:$L$257,10,FALSE)),"",(VLOOKUP($B146,'E-1 Off Site Hedge Baseline'!$B$1:$L$257,10,FALSE))))</f>
        <v/>
      </c>
      <c r="J146" s="520" t="str">
        <f>IF(B146="","",IF(ISNA(VLOOKUP($B146,'E-1 Off Site Hedge Baseline'!$B$1:$L$257,11,FALSE)),"",(VLOOKUP($B146,'E-1 Off Site Hedge Baseline'!$B$1:$L$257,11,FALSE))))</f>
        <v/>
      </c>
      <c r="K146" s="520" t="str">
        <f>IF(B146="","",IF(ISNA(VLOOKUP($B146,'E-1 Off Site Hedge Baseline'!$B$1:$U$257,113,FALSE)),"",(VLOOKUP($B146,'E-1 Off Site Hedge Baseline'!$B$1:$U$257,13,FALSE))))</f>
        <v/>
      </c>
      <c r="L146" s="507" t="str">
        <f>IF(B146="","",IF(ISNA(VLOOKUP($B146,'E-1 Off Site Hedge Baseline'!$B$1:$U$257,12,FALSE)),"",(VLOOKUP($B146,'E-1 Off Site Hedge Baseline'!$B$1:$U$257,12,FALSE))))</f>
        <v/>
      </c>
      <c r="M146" s="418" t="str">
        <f t="shared" si="24"/>
        <v/>
      </c>
      <c r="N146" s="498" t="str">
        <f>IFERROR(IF(B146="","",INDEX('G-6 Hedgerow Data'!$AN$3:$AZ$15,MATCH(C146,'G-6 Hedgerow Data'!$AM$3:$AM$15,0),MATCH(M146,'G-6 Hedgerow Data'!$AN$2:$AZ$2,0))),"")</f>
        <v/>
      </c>
      <c r="O146" s="499" t="str">
        <f t="shared" si="18"/>
        <v/>
      </c>
      <c r="P146" s="505" t="str">
        <f>IF(B146="","",VLOOKUP(B146,'E-1 Off Site Hedge Baseline'!$B$10:T391,16,FALSE))</f>
        <v/>
      </c>
      <c r="Q146" s="498" t="str">
        <f>IF(M146="","",VLOOKUP(M146,'G-6 Hedgerow Data'!$B$2:$AG$15,2,FALSE))</f>
        <v/>
      </c>
      <c r="R146" s="499" t="str">
        <f>IF(M146="","",VLOOKUP(M146,'G-6 Hedgerow Data'!$B$2:$AG$15,3,FALSE))</f>
        <v/>
      </c>
      <c r="S146" s="145"/>
      <c r="T146" s="499" t="str">
        <f>IFERROR(IF(AND(Q146="V.Low",OR(S146="Good",S146="Moderate")),"Error ▲",VLOOKUP(S146,'G-1 All Habitats'!$Z$2:$AA$9,2,FALSE)),"")</f>
        <v/>
      </c>
      <c r="U146" s="145"/>
      <c r="V146" s="507" t="str">
        <f>IF(U146="","",IF(VLOOKUP(U146,'G-3 Multipliers'!$L$3:$N$6,2,FALSE)=0,"Spatial Data Missing ⚠",VLOOKUP(U146,'G-3 Multipliers'!$L$3:$N$6,2,FALSE)))</f>
        <v/>
      </c>
      <c r="W146" s="505" t="str">
        <f>IF(U146="","",IF(VLOOKUP(U146,'G-3 Multipliers'!$L$3:$N$6,3,FALSE)=0,"Spatial Data Missing ⚠",VLOOKUP(U146,'G-3 Multipliers'!$L$3:$N$6,3,FALSE)))</f>
        <v/>
      </c>
      <c r="X146" s="498"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7" t="str">
        <f t="shared" si="19"/>
        <v/>
      </c>
      <c r="AB146" s="521" t="str">
        <f t="shared" si="20"/>
        <v/>
      </c>
      <c r="AC146" s="522" t="str">
        <f t="shared" si="17"/>
        <v/>
      </c>
      <c r="AD146" s="537" t="str">
        <f>IF(M146="","",VLOOKUP(M146,'G-6 Hedgerow Data'!$B$3:$AG$15,31,FALSE))</f>
        <v/>
      </c>
      <c r="AE146" s="520" t="str">
        <f t="shared" si="21"/>
        <v/>
      </c>
      <c r="AF146" s="520" t="str">
        <f t="shared" si="22"/>
        <v/>
      </c>
      <c r="AG146" s="524" t="str">
        <f>IFERROR(IF(O146="","",VLOOKUP(AD146,'G-3 Multipliers'!$P$3:$Q$6,2,FALSE)),"")</f>
        <v/>
      </c>
      <c r="AH146" s="197"/>
      <c r="AI146" s="499" t="str">
        <f>IF(AH146="","",IF(VLOOKUP(AH146,'G-3 Multipliers'!$S$3:$T$6,2,FALSE)=0,"Spatial Data Missing ⚠",VLOOKUP(AH146,'G-3 Multipliers'!$S$3:$T$6,2,FALSE)))</f>
        <v/>
      </c>
      <c r="AJ146" s="545" t="str">
        <f t="shared" si="23"/>
        <v/>
      </c>
      <c r="AK146" s="149"/>
      <c r="AL146" s="150"/>
      <c r="AP146" s="31" t="str">
        <f>IFERROR(INDEX('G-6 Hedgerow Data'!$BJ$3:$BJ$15,MATCH(M146,'G-6 Hedgerow Data'!$B$3:$B$15,0)),"")</f>
        <v/>
      </c>
    </row>
    <row r="147" spans="2:42" ht="13.8" x14ac:dyDescent="0.25">
      <c r="B147" s="531" t="str">
        <f>'E-1 Off Site Hedge Baseline'!AK145</f>
        <v/>
      </c>
      <c r="C147" s="520" t="str">
        <f>IF(B147="","",IF(ISNA(VLOOKUP($B147,'E-1 Off Site Hedge Baseline'!$B$1:$L$257,3,FALSE)),"",(VLOOKUP($B147,'E-1 Off Site Hedge Baseline'!$B$1:$L$257,3,FALSE))))</f>
        <v/>
      </c>
      <c r="D147" s="520" t="str">
        <f>IF(B147="","",IF(ISNA(VLOOKUP($B147,'E-1 Off Site Hedge Baseline'!$B$1:$L$258,4,FALSE)),"",(VLOOKUP($B147,'E-1 Off Site Hedge Baseline'!$B$1:$L$258,4,FALSE))))</f>
        <v/>
      </c>
      <c r="E147" s="520" t="str">
        <f>IF(B147="","",IF(ISNA(VLOOKUP($B147,'E-1 Off Site Hedge Baseline'!$B$1:$L$257,5,FALSE)),"",(VLOOKUP($B147,'E-1 Off Site Hedge Baseline'!$B$1:$L$257,5,FALSE))))</f>
        <v/>
      </c>
      <c r="F147" s="520" t="str">
        <f>IF(B147="","",IF(ISNA(VLOOKUP($B147,'E-1 Off Site Hedge Baseline'!$B$1:$L$257,6,FALSE)),"",(VLOOKUP($B147,'E-1 Off Site Hedge Baseline'!$B$1:$L$257,6,FALSE))))</f>
        <v/>
      </c>
      <c r="G147" s="520" t="str">
        <f>IF(B147="","",IF(ISNA(VLOOKUP($B147,'E-1 Off Site Hedge Baseline'!$B$1:$L$257,7,FALSE)),"",(VLOOKUP($B147,'E-1 Off Site Hedge Baseline'!$B$1:$L$257,7,FALSE))))</f>
        <v/>
      </c>
      <c r="H147" s="520" t="str">
        <f>IF(B147="","",IF(ISNA(VLOOKUP($B147,'E-1 Off Site Hedge Baseline'!$B$1:$L$257,8,FALSE)),"",(VLOOKUP($B147,'E-1 Off Site Hedge Baseline'!$B$1:$L$257,8,FALSE))))</f>
        <v/>
      </c>
      <c r="I147" s="520" t="str">
        <f>IF(B147="","",IF(ISNA(VLOOKUP($B147,'E-1 Off Site Hedge Baseline'!$B$1:$L$257,10,FALSE)),"",(VLOOKUP($B147,'E-1 Off Site Hedge Baseline'!$B$1:$L$257,10,FALSE))))</f>
        <v/>
      </c>
      <c r="J147" s="520" t="str">
        <f>IF(B147="","",IF(ISNA(VLOOKUP($B147,'E-1 Off Site Hedge Baseline'!$B$1:$L$257,11,FALSE)),"",(VLOOKUP($B147,'E-1 Off Site Hedge Baseline'!$B$1:$L$257,11,FALSE))))</f>
        <v/>
      </c>
      <c r="K147" s="520" t="str">
        <f>IF(B147="","",IF(ISNA(VLOOKUP($B147,'E-1 Off Site Hedge Baseline'!$B$1:$U$257,113,FALSE)),"",(VLOOKUP($B147,'E-1 Off Site Hedge Baseline'!$B$1:$U$257,13,FALSE))))</f>
        <v/>
      </c>
      <c r="L147" s="507" t="str">
        <f>IF(B147="","",IF(ISNA(VLOOKUP($B147,'E-1 Off Site Hedge Baseline'!$B$1:$U$257,12,FALSE)),"",(VLOOKUP($B147,'E-1 Off Site Hedge Baseline'!$B$1:$U$257,12,FALSE))))</f>
        <v/>
      </c>
      <c r="M147" s="418" t="str">
        <f t="shared" si="24"/>
        <v/>
      </c>
      <c r="N147" s="498" t="str">
        <f>IFERROR(IF(B147="","",INDEX('G-6 Hedgerow Data'!$AN$3:$AZ$15,MATCH(C147,'G-6 Hedgerow Data'!$AM$3:$AM$15,0),MATCH(M147,'G-6 Hedgerow Data'!$AN$2:$AZ$2,0))),"")</f>
        <v/>
      </c>
      <c r="O147" s="499" t="str">
        <f t="shared" si="18"/>
        <v/>
      </c>
      <c r="P147" s="505" t="str">
        <f>IF(B147="","",VLOOKUP(B147,'E-1 Off Site Hedge Baseline'!$B$10:T392,16,FALSE))</f>
        <v/>
      </c>
      <c r="Q147" s="498" t="str">
        <f>IF(M147="","",VLOOKUP(M147,'G-6 Hedgerow Data'!$B$2:$AG$15,2,FALSE))</f>
        <v/>
      </c>
      <c r="R147" s="499" t="str">
        <f>IF(M147="","",VLOOKUP(M147,'G-6 Hedgerow Data'!$B$2:$AG$15,3,FALSE))</f>
        <v/>
      </c>
      <c r="S147" s="145"/>
      <c r="T147" s="499" t="str">
        <f>IFERROR(IF(AND(Q147="V.Low",OR(S147="Good",S147="Moderate")),"Error ▲",VLOOKUP(S147,'G-1 All Habitats'!$Z$2:$AA$9,2,FALSE)),"")</f>
        <v/>
      </c>
      <c r="U147" s="145"/>
      <c r="V147" s="507" t="str">
        <f>IF(U147="","",IF(VLOOKUP(U147,'G-3 Multipliers'!$L$3:$N$6,2,FALSE)=0,"Spatial Data Missing ⚠",VLOOKUP(U147,'G-3 Multipliers'!$L$3:$N$6,2,FALSE)))</f>
        <v/>
      </c>
      <c r="W147" s="505" t="str">
        <f>IF(U147="","",IF(VLOOKUP(U147,'G-3 Multipliers'!$L$3:$N$6,3,FALSE)=0,"Spatial Data Missing ⚠",VLOOKUP(U147,'G-3 Multipliers'!$L$3:$N$6,3,FALSE)))</f>
        <v/>
      </c>
      <c r="X147" s="498"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7" t="str">
        <f t="shared" si="19"/>
        <v/>
      </c>
      <c r="AB147" s="521" t="str">
        <f t="shared" si="20"/>
        <v/>
      </c>
      <c r="AC147" s="522" t="str">
        <f t="shared" si="17"/>
        <v/>
      </c>
      <c r="AD147" s="537" t="str">
        <f>IF(M147="","",VLOOKUP(M147,'G-6 Hedgerow Data'!$B$3:$AG$15,31,FALSE))</f>
        <v/>
      </c>
      <c r="AE147" s="520" t="str">
        <f t="shared" si="21"/>
        <v/>
      </c>
      <c r="AF147" s="520" t="str">
        <f t="shared" si="22"/>
        <v/>
      </c>
      <c r="AG147" s="524" t="str">
        <f>IFERROR(IF(O147="","",VLOOKUP(AD147,'G-3 Multipliers'!$P$3:$Q$6,2,FALSE)),"")</f>
        <v/>
      </c>
      <c r="AH147" s="197"/>
      <c r="AI147" s="499" t="str">
        <f>IF(AH147="","",IF(VLOOKUP(AH147,'G-3 Multipliers'!$S$3:$T$6,2,FALSE)=0,"Spatial Data Missing ⚠",VLOOKUP(AH147,'G-3 Multipliers'!$S$3:$T$6,2,FALSE)))</f>
        <v/>
      </c>
      <c r="AJ147" s="545" t="str">
        <f t="shared" si="23"/>
        <v/>
      </c>
      <c r="AK147" s="149"/>
      <c r="AL147" s="150"/>
      <c r="AP147" s="31" t="str">
        <f>IFERROR(INDEX('G-6 Hedgerow Data'!$BJ$3:$BJ$15,MATCH(M147,'G-6 Hedgerow Data'!$B$3:$B$15,0)),"")</f>
        <v/>
      </c>
    </row>
    <row r="148" spans="2:42" ht="13.8" x14ac:dyDescent="0.25">
      <c r="B148" s="531" t="str">
        <f>'E-1 Off Site Hedge Baseline'!AK146</f>
        <v/>
      </c>
      <c r="C148" s="520" t="str">
        <f>IF(B148="","",IF(ISNA(VLOOKUP($B148,'E-1 Off Site Hedge Baseline'!$B$1:$L$257,3,FALSE)),"",(VLOOKUP($B148,'E-1 Off Site Hedge Baseline'!$B$1:$L$257,3,FALSE))))</f>
        <v/>
      </c>
      <c r="D148" s="520" t="str">
        <f>IF(B148="","",IF(ISNA(VLOOKUP($B148,'E-1 Off Site Hedge Baseline'!$B$1:$L$258,4,FALSE)),"",(VLOOKUP($B148,'E-1 Off Site Hedge Baseline'!$B$1:$L$258,4,FALSE))))</f>
        <v/>
      </c>
      <c r="E148" s="520" t="str">
        <f>IF(B148="","",IF(ISNA(VLOOKUP($B148,'E-1 Off Site Hedge Baseline'!$B$1:$L$257,5,FALSE)),"",(VLOOKUP($B148,'E-1 Off Site Hedge Baseline'!$B$1:$L$257,5,FALSE))))</f>
        <v/>
      </c>
      <c r="F148" s="520" t="str">
        <f>IF(B148="","",IF(ISNA(VLOOKUP($B148,'E-1 Off Site Hedge Baseline'!$B$1:$L$257,6,FALSE)),"",(VLOOKUP($B148,'E-1 Off Site Hedge Baseline'!$B$1:$L$257,6,FALSE))))</f>
        <v/>
      </c>
      <c r="G148" s="520" t="str">
        <f>IF(B148="","",IF(ISNA(VLOOKUP($B148,'E-1 Off Site Hedge Baseline'!$B$1:$L$257,7,FALSE)),"",(VLOOKUP($B148,'E-1 Off Site Hedge Baseline'!$B$1:$L$257,7,FALSE))))</f>
        <v/>
      </c>
      <c r="H148" s="520" t="str">
        <f>IF(B148="","",IF(ISNA(VLOOKUP($B148,'E-1 Off Site Hedge Baseline'!$B$1:$L$257,8,FALSE)),"",(VLOOKUP($B148,'E-1 Off Site Hedge Baseline'!$B$1:$L$257,8,FALSE))))</f>
        <v/>
      </c>
      <c r="I148" s="520" t="str">
        <f>IF(B148="","",IF(ISNA(VLOOKUP($B148,'E-1 Off Site Hedge Baseline'!$B$1:$L$257,10,FALSE)),"",(VLOOKUP($B148,'E-1 Off Site Hedge Baseline'!$B$1:$L$257,10,FALSE))))</f>
        <v/>
      </c>
      <c r="J148" s="520" t="str">
        <f>IF(B148="","",IF(ISNA(VLOOKUP($B148,'E-1 Off Site Hedge Baseline'!$B$1:$L$257,11,FALSE)),"",(VLOOKUP($B148,'E-1 Off Site Hedge Baseline'!$B$1:$L$257,11,FALSE))))</f>
        <v/>
      </c>
      <c r="K148" s="520" t="str">
        <f>IF(B148="","",IF(ISNA(VLOOKUP($B148,'E-1 Off Site Hedge Baseline'!$B$1:$U$257,113,FALSE)),"",(VLOOKUP($B148,'E-1 Off Site Hedge Baseline'!$B$1:$U$257,13,FALSE))))</f>
        <v/>
      </c>
      <c r="L148" s="507" t="str">
        <f>IF(B148="","",IF(ISNA(VLOOKUP($B148,'E-1 Off Site Hedge Baseline'!$B$1:$U$257,12,FALSE)),"",(VLOOKUP($B148,'E-1 Off Site Hedge Baseline'!$B$1:$U$257,12,FALSE))))</f>
        <v/>
      </c>
      <c r="M148" s="418" t="str">
        <f t="shared" si="24"/>
        <v/>
      </c>
      <c r="N148" s="498" t="str">
        <f>IFERROR(IF(B148="","",INDEX('G-6 Hedgerow Data'!$AN$3:$AZ$15,MATCH(C148,'G-6 Hedgerow Data'!$AM$3:$AM$15,0),MATCH(M148,'G-6 Hedgerow Data'!$AN$2:$AZ$2,0))),"")</f>
        <v/>
      </c>
      <c r="O148" s="499" t="str">
        <f t="shared" si="18"/>
        <v/>
      </c>
      <c r="P148" s="505" t="str">
        <f>IF(B148="","",VLOOKUP(B148,'E-1 Off Site Hedge Baseline'!$B$10:T393,16,FALSE))</f>
        <v/>
      </c>
      <c r="Q148" s="498" t="str">
        <f>IF(M148="","",VLOOKUP(M148,'G-6 Hedgerow Data'!$B$2:$AG$15,2,FALSE))</f>
        <v/>
      </c>
      <c r="R148" s="499" t="str">
        <f>IF(M148="","",VLOOKUP(M148,'G-6 Hedgerow Data'!$B$2:$AG$15,3,FALSE))</f>
        <v/>
      </c>
      <c r="S148" s="145"/>
      <c r="T148" s="499" t="str">
        <f>IFERROR(IF(AND(Q148="V.Low",OR(S148="Good",S148="Moderate")),"Error ▲",VLOOKUP(S148,'G-1 All Habitats'!$Z$2:$AA$9,2,FALSE)),"")</f>
        <v/>
      </c>
      <c r="U148" s="145"/>
      <c r="V148" s="507" t="str">
        <f>IF(U148="","",IF(VLOOKUP(U148,'G-3 Multipliers'!$L$3:$N$6,2,FALSE)=0,"Spatial Data Missing ⚠",VLOOKUP(U148,'G-3 Multipliers'!$L$3:$N$6,2,FALSE)))</f>
        <v/>
      </c>
      <c r="W148" s="505" t="str">
        <f>IF(U148="","",IF(VLOOKUP(U148,'G-3 Multipliers'!$L$3:$N$6,3,FALSE)=0,"Spatial Data Missing ⚠",VLOOKUP(U148,'G-3 Multipliers'!$L$3:$N$6,3,FALSE)))</f>
        <v/>
      </c>
      <c r="X148" s="498"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7" t="str">
        <f t="shared" si="19"/>
        <v/>
      </c>
      <c r="AB148" s="521" t="str">
        <f t="shared" si="20"/>
        <v/>
      </c>
      <c r="AC148" s="522" t="str">
        <f t="shared" si="17"/>
        <v/>
      </c>
      <c r="AD148" s="537" t="str">
        <f>IF(M148="","",VLOOKUP(M148,'G-6 Hedgerow Data'!$B$3:$AG$15,31,FALSE))</f>
        <v/>
      </c>
      <c r="AE148" s="520" t="str">
        <f t="shared" si="21"/>
        <v/>
      </c>
      <c r="AF148" s="520" t="str">
        <f t="shared" si="22"/>
        <v/>
      </c>
      <c r="AG148" s="524" t="str">
        <f>IFERROR(IF(O148="","",VLOOKUP(AD148,'G-3 Multipliers'!$P$3:$Q$6,2,FALSE)),"")</f>
        <v/>
      </c>
      <c r="AH148" s="197"/>
      <c r="AI148" s="499" t="str">
        <f>IF(AH148="","",IF(VLOOKUP(AH148,'G-3 Multipliers'!$S$3:$T$6,2,FALSE)=0,"Spatial Data Missing ⚠",VLOOKUP(AH148,'G-3 Multipliers'!$S$3:$T$6,2,FALSE)))</f>
        <v/>
      </c>
      <c r="AJ148" s="545" t="str">
        <f t="shared" si="23"/>
        <v/>
      </c>
      <c r="AK148" s="149"/>
      <c r="AL148" s="150"/>
      <c r="AP148" s="31" t="str">
        <f>IFERROR(INDEX('G-6 Hedgerow Data'!$BJ$3:$BJ$15,MATCH(M148,'G-6 Hedgerow Data'!$B$3:$B$15,0)),"")</f>
        <v/>
      </c>
    </row>
    <row r="149" spans="2:42" ht="13.8" x14ac:dyDescent="0.25">
      <c r="B149" s="531" t="str">
        <f>'E-1 Off Site Hedge Baseline'!AK147</f>
        <v/>
      </c>
      <c r="C149" s="520" t="str">
        <f>IF(B149="","",IF(ISNA(VLOOKUP($B149,'E-1 Off Site Hedge Baseline'!$B$1:$L$257,3,FALSE)),"",(VLOOKUP($B149,'E-1 Off Site Hedge Baseline'!$B$1:$L$257,3,FALSE))))</f>
        <v/>
      </c>
      <c r="D149" s="520" t="str">
        <f>IF(B149="","",IF(ISNA(VLOOKUP($B149,'E-1 Off Site Hedge Baseline'!$B$1:$L$258,4,FALSE)),"",(VLOOKUP($B149,'E-1 Off Site Hedge Baseline'!$B$1:$L$258,4,FALSE))))</f>
        <v/>
      </c>
      <c r="E149" s="520" t="str">
        <f>IF(B149="","",IF(ISNA(VLOOKUP($B149,'E-1 Off Site Hedge Baseline'!$B$1:$L$257,5,FALSE)),"",(VLOOKUP($B149,'E-1 Off Site Hedge Baseline'!$B$1:$L$257,5,FALSE))))</f>
        <v/>
      </c>
      <c r="F149" s="520" t="str">
        <f>IF(B149="","",IF(ISNA(VLOOKUP($B149,'E-1 Off Site Hedge Baseline'!$B$1:$L$257,6,FALSE)),"",(VLOOKUP($B149,'E-1 Off Site Hedge Baseline'!$B$1:$L$257,6,FALSE))))</f>
        <v/>
      </c>
      <c r="G149" s="520" t="str">
        <f>IF(B149="","",IF(ISNA(VLOOKUP($B149,'E-1 Off Site Hedge Baseline'!$B$1:$L$257,7,FALSE)),"",(VLOOKUP($B149,'E-1 Off Site Hedge Baseline'!$B$1:$L$257,7,FALSE))))</f>
        <v/>
      </c>
      <c r="H149" s="520" t="str">
        <f>IF(B149="","",IF(ISNA(VLOOKUP($B149,'E-1 Off Site Hedge Baseline'!$B$1:$L$257,8,FALSE)),"",(VLOOKUP($B149,'E-1 Off Site Hedge Baseline'!$B$1:$L$257,8,FALSE))))</f>
        <v/>
      </c>
      <c r="I149" s="520" t="str">
        <f>IF(B149="","",IF(ISNA(VLOOKUP($B149,'E-1 Off Site Hedge Baseline'!$B$1:$L$257,10,FALSE)),"",(VLOOKUP($B149,'E-1 Off Site Hedge Baseline'!$B$1:$L$257,10,FALSE))))</f>
        <v/>
      </c>
      <c r="J149" s="520" t="str">
        <f>IF(B149="","",IF(ISNA(VLOOKUP($B149,'E-1 Off Site Hedge Baseline'!$B$1:$L$257,11,FALSE)),"",(VLOOKUP($B149,'E-1 Off Site Hedge Baseline'!$B$1:$L$257,11,FALSE))))</f>
        <v/>
      </c>
      <c r="K149" s="520" t="str">
        <f>IF(B149="","",IF(ISNA(VLOOKUP($B149,'E-1 Off Site Hedge Baseline'!$B$1:$U$257,113,FALSE)),"",(VLOOKUP($B149,'E-1 Off Site Hedge Baseline'!$B$1:$U$257,13,FALSE))))</f>
        <v/>
      </c>
      <c r="L149" s="507" t="str">
        <f>IF(B149="","",IF(ISNA(VLOOKUP($B149,'E-1 Off Site Hedge Baseline'!$B$1:$U$257,12,FALSE)),"",(VLOOKUP($B149,'E-1 Off Site Hedge Baseline'!$B$1:$U$257,12,FALSE))))</f>
        <v/>
      </c>
      <c r="M149" s="418" t="str">
        <f t="shared" si="24"/>
        <v/>
      </c>
      <c r="N149" s="498" t="str">
        <f>IFERROR(IF(B149="","",INDEX('G-6 Hedgerow Data'!$AN$3:$AZ$15,MATCH(C149,'G-6 Hedgerow Data'!$AM$3:$AM$15,0),MATCH(M149,'G-6 Hedgerow Data'!$AN$2:$AZ$2,0))),"")</f>
        <v/>
      </c>
      <c r="O149" s="499" t="str">
        <f t="shared" si="18"/>
        <v/>
      </c>
      <c r="P149" s="505" t="str">
        <f>IF(B149="","",VLOOKUP(B149,'E-1 Off Site Hedge Baseline'!$B$10:T394,16,FALSE))</f>
        <v/>
      </c>
      <c r="Q149" s="498" t="str">
        <f>IF(M149="","",VLOOKUP(M149,'G-6 Hedgerow Data'!$B$2:$AG$15,2,FALSE))</f>
        <v/>
      </c>
      <c r="R149" s="499" t="str">
        <f>IF(M149="","",VLOOKUP(M149,'G-6 Hedgerow Data'!$B$2:$AG$15,3,FALSE))</f>
        <v/>
      </c>
      <c r="S149" s="145"/>
      <c r="T149" s="499" t="str">
        <f>IFERROR(IF(AND(Q149="V.Low",OR(S149="Good",S149="Moderate")),"Error ▲",VLOOKUP(S149,'G-1 All Habitats'!$Z$2:$AA$9,2,FALSE)),"")</f>
        <v/>
      </c>
      <c r="U149" s="145"/>
      <c r="V149" s="507" t="str">
        <f>IF(U149="","",IF(VLOOKUP(U149,'G-3 Multipliers'!$L$3:$N$6,2,FALSE)=0,"Spatial Data Missing ⚠",VLOOKUP(U149,'G-3 Multipliers'!$L$3:$N$6,2,FALSE)))</f>
        <v/>
      </c>
      <c r="W149" s="505" t="str">
        <f>IF(U149="","",IF(VLOOKUP(U149,'G-3 Multipliers'!$L$3:$N$6,3,FALSE)=0,"Spatial Data Missing ⚠",VLOOKUP(U149,'G-3 Multipliers'!$L$3:$N$6,3,FALSE)))</f>
        <v/>
      </c>
      <c r="X149" s="498"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7" t="str">
        <f t="shared" si="19"/>
        <v/>
      </c>
      <c r="AB149" s="521" t="str">
        <f t="shared" si="20"/>
        <v/>
      </c>
      <c r="AC149" s="522" t="str">
        <f t="shared" si="17"/>
        <v/>
      </c>
      <c r="AD149" s="537" t="str">
        <f>IF(M149="","",VLOOKUP(M149,'G-6 Hedgerow Data'!$B$3:$AG$15,31,FALSE))</f>
        <v/>
      </c>
      <c r="AE149" s="520" t="str">
        <f t="shared" si="21"/>
        <v/>
      </c>
      <c r="AF149" s="520" t="str">
        <f t="shared" si="22"/>
        <v/>
      </c>
      <c r="AG149" s="524" t="str">
        <f>IFERROR(IF(O149="","",VLOOKUP(AD149,'G-3 Multipliers'!$P$3:$Q$6,2,FALSE)),"")</f>
        <v/>
      </c>
      <c r="AH149" s="197"/>
      <c r="AI149" s="499" t="str">
        <f>IF(AH149="","",IF(VLOOKUP(AH149,'G-3 Multipliers'!$S$3:$T$6,2,FALSE)=0,"Spatial Data Missing ⚠",VLOOKUP(AH149,'G-3 Multipliers'!$S$3:$T$6,2,FALSE)))</f>
        <v/>
      </c>
      <c r="AJ149" s="545" t="str">
        <f t="shared" si="23"/>
        <v/>
      </c>
      <c r="AK149" s="149"/>
      <c r="AL149" s="150"/>
      <c r="AP149" s="31" t="str">
        <f>IFERROR(INDEX('G-6 Hedgerow Data'!$BJ$3:$BJ$15,MATCH(M149,'G-6 Hedgerow Data'!$B$3:$B$15,0)),"")</f>
        <v/>
      </c>
    </row>
    <row r="150" spans="2:42" ht="13.8" x14ac:dyDescent="0.25">
      <c r="B150" s="531" t="str">
        <f>'E-1 Off Site Hedge Baseline'!AK148</f>
        <v/>
      </c>
      <c r="C150" s="520" t="str">
        <f>IF(B150="","",IF(ISNA(VLOOKUP($B150,'E-1 Off Site Hedge Baseline'!$B$1:$L$257,3,FALSE)),"",(VLOOKUP($B150,'E-1 Off Site Hedge Baseline'!$B$1:$L$257,3,FALSE))))</f>
        <v/>
      </c>
      <c r="D150" s="520" t="str">
        <f>IF(B150="","",IF(ISNA(VLOOKUP($B150,'E-1 Off Site Hedge Baseline'!$B$1:$L$258,4,FALSE)),"",(VLOOKUP($B150,'E-1 Off Site Hedge Baseline'!$B$1:$L$258,4,FALSE))))</f>
        <v/>
      </c>
      <c r="E150" s="520" t="str">
        <f>IF(B150="","",IF(ISNA(VLOOKUP($B150,'E-1 Off Site Hedge Baseline'!$B$1:$L$257,5,FALSE)),"",(VLOOKUP($B150,'E-1 Off Site Hedge Baseline'!$B$1:$L$257,5,FALSE))))</f>
        <v/>
      </c>
      <c r="F150" s="520" t="str">
        <f>IF(B150="","",IF(ISNA(VLOOKUP($B150,'E-1 Off Site Hedge Baseline'!$B$1:$L$257,6,FALSE)),"",(VLOOKUP($B150,'E-1 Off Site Hedge Baseline'!$B$1:$L$257,6,FALSE))))</f>
        <v/>
      </c>
      <c r="G150" s="520" t="str">
        <f>IF(B150="","",IF(ISNA(VLOOKUP($B150,'E-1 Off Site Hedge Baseline'!$B$1:$L$257,7,FALSE)),"",(VLOOKUP($B150,'E-1 Off Site Hedge Baseline'!$B$1:$L$257,7,FALSE))))</f>
        <v/>
      </c>
      <c r="H150" s="520" t="str">
        <f>IF(B150="","",IF(ISNA(VLOOKUP($B150,'E-1 Off Site Hedge Baseline'!$B$1:$L$257,8,FALSE)),"",(VLOOKUP($B150,'E-1 Off Site Hedge Baseline'!$B$1:$L$257,8,FALSE))))</f>
        <v/>
      </c>
      <c r="I150" s="520" t="str">
        <f>IF(B150="","",IF(ISNA(VLOOKUP($B150,'E-1 Off Site Hedge Baseline'!$B$1:$L$257,10,FALSE)),"",(VLOOKUP($B150,'E-1 Off Site Hedge Baseline'!$B$1:$L$257,10,FALSE))))</f>
        <v/>
      </c>
      <c r="J150" s="520" t="str">
        <f>IF(B150="","",IF(ISNA(VLOOKUP($B150,'E-1 Off Site Hedge Baseline'!$B$1:$L$257,11,FALSE)),"",(VLOOKUP($B150,'E-1 Off Site Hedge Baseline'!$B$1:$L$257,11,FALSE))))</f>
        <v/>
      </c>
      <c r="K150" s="520" t="str">
        <f>IF(B150="","",IF(ISNA(VLOOKUP($B150,'E-1 Off Site Hedge Baseline'!$B$1:$U$257,113,FALSE)),"",(VLOOKUP($B150,'E-1 Off Site Hedge Baseline'!$B$1:$U$257,13,FALSE))))</f>
        <v/>
      </c>
      <c r="L150" s="507" t="str">
        <f>IF(B150="","",IF(ISNA(VLOOKUP($B150,'E-1 Off Site Hedge Baseline'!$B$1:$U$257,12,FALSE)),"",(VLOOKUP($B150,'E-1 Off Site Hedge Baseline'!$B$1:$U$257,12,FALSE))))</f>
        <v/>
      </c>
      <c r="M150" s="418" t="str">
        <f t="shared" si="24"/>
        <v/>
      </c>
      <c r="N150" s="498" t="str">
        <f>IFERROR(IF(B150="","",INDEX('G-6 Hedgerow Data'!$AN$3:$AZ$15,MATCH(C150,'G-6 Hedgerow Data'!$AM$3:$AM$15,0),MATCH(M150,'G-6 Hedgerow Data'!$AN$2:$AZ$2,0))),"")</f>
        <v/>
      </c>
      <c r="O150" s="499" t="str">
        <f t="shared" si="18"/>
        <v/>
      </c>
      <c r="P150" s="505" t="str">
        <f>IF(B150="","",VLOOKUP(B150,'E-1 Off Site Hedge Baseline'!$B$10:T395,16,FALSE))</f>
        <v/>
      </c>
      <c r="Q150" s="498" t="str">
        <f>IF(M150="","",VLOOKUP(M150,'G-6 Hedgerow Data'!$B$2:$AG$15,2,FALSE))</f>
        <v/>
      </c>
      <c r="R150" s="499" t="str">
        <f>IF(M150="","",VLOOKUP(M150,'G-6 Hedgerow Data'!$B$2:$AG$15,3,FALSE))</f>
        <v/>
      </c>
      <c r="S150" s="145"/>
      <c r="T150" s="499" t="str">
        <f>IFERROR(IF(AND(Q150="V.Low",OR(S150="Good",S150="Moderate")),"Error ▲",VLOOKUP(S150,'G-1 All Habitats'!$Z$2:$AA$9,2,FALSE)),"")</f>
        <v/>
      </c>
      <c r="U150" s="145"/>
      <c r="V150" s="507" t="str">
        <f>IF(U150="","",IF(VLOOKUP(U150,'G-3 Multipliers'!$L$3:$N$6,2,FALSE)=0,"Spatial Data Missing ⚠",VLOOKUP(U150,'G-3 Multipliers'!$L$3:$N$6,2,FALSE)))</f>
        <v/>
      </c>
      <c r="W150" s="505" t="str">
        <f>IF(U150="","",IF(VLOOKUP(U150,'G-3 Multipliers'!$L$3:$N$6,3,FALSE)=0,"Spatial Data Missing ⚠",VLOOKUP(U150,'G-3 Multipliers'!$L$3:$N$6,3,FALSE)))</f>
        <v/>
      </c>
      <c r="X150" s="498"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7" t="str">
        <f t="shared" si="19"/>
        <v/>
      </c>
      <c r="AB150" s="521" t="str">
        <f t="shared" si="20"/>
        <v/>
      </c>
      <c r="AC150" s="522" t="str">
        <f t="shared" si="17"/>
        <v/>
      </c>
      <c r="AD150" s="537" t="str">
        <f>IF(M150="","",VLOOKUP(M150,'G-6 Hedgerow Data'!$B$3:$AG$15,31,FALSE))</f>
        <v/>
      </c>
      <c r="AE150" s="520" t="str">
        <f t="shared" si="21"/>
        <v/>
      </c>
      <c r="AF150" s="520" t="str">
        <f t="shared" si="22"/>
        <v/>
      </c>
      <c r="AG150" s="524" t="str">
        <f>IFERROR(IF(O150="","",VLOOKUP(AD150,'G-3 Multipliers'!$P$3:$Q$6,2,FALSE)),"")</f>
        <v/>
      </c>
      <c r="AH150" s="197"/>
      <c r="AI150" s="499" t="str">
        <f>IF(AH150="","",IF(VLOOKUP(AH150,'G-3 Multipliers'!$S$3:$T$6,2,FALSE)=0,"Spatial Data Missing ⚠",VLOOKUP(AH150,'G-3 Multipliers'!$S$3:$T$6,2,FALSE)))</f>
        <v/>
      </c>
      <c r="AJ150" s="545" t="str">
        <f t="shared" si="23"/>
        <v/>
      </c>
      <c r="AK150" s="149"/>
      <c r="AL150" s="150"/>
      <c r="AP150" s="31" t="str">
        <f>IFERROR(INDEX('G-6 Hedgerow Data'!$BJ$3:$BJ$15,MATCH(M150,'G-6 Hedgerow Data'!$B$3:$B$15,0)),"")</f>
        <v/>
      </c>
    </row>
    <row r="151" spans="2:42" ht="13.8" x14ac:dyDescent="0.25">
      <c r="B151" s="531" t="str">
        <f>'E-1 Off Site Hedge Baseline'!AK149</f>
        <v/>
      </c>
      <c r="C151" s="520" t="str">
        <f>IF(B151="","",IF(ISNA(VLOOKUP($B151,'E-1 Off Site Hedge Baseline'!$B$1:$L$257,3,FALSE)),"",(VLOOKUP($B151,'E-1 Off Site Hedge Baseline'!$B$1:$L$257,3,FALSE))))</f>
        <v/>
      </c>
      <c r="D151" s="520" t="str">
        <f>IF(B151="","",IF(ISNA(VLOOKUP($B151,'E-1 Off Site Hedge Baseline'!$B$1:$L$258,4,FALSE)),"",(VLOOKUP($B151,'E-1 Off Site Hedge Baseline'!$B$1:$L$258,4,FALSE))))</f>
        <v/>
      </c>
      <c r="E151" s="520" t="str">
        <f>IF(B151="","",IF(ISNA(VLOOKUP($B151,'E-1 Off Site Hedge Baseline'!$B$1:$L$257,5,FALSE)),"",(VLOOKUP($B151,'E-1 Off Site Hedge Baseline'!$B$1:$L$257,5,FALSE))))</f>
        <v/>
      </c>
      <c r="F151" s="520" t="str">
        <f>IF(B151="","",IF(ISNA(VLOOKUP($B151,'E-1 Off Site Hedge Baseline'!$B$1:$L$257,6,FALSE)),"",(VLOOKUP($B151,'E-1 Off Site Hedge Baseline'!$B$1:$L$257,6,FALSE))))</f>
        <v/>
      </c>
      <c r="G151" s="520" t="str">
        <f>IF(B151="","",IF(ISNA(VLOOKUP($B151,'E-1 Off Site Hedge Baseline'!$B$1:$L$257,7,FALSE)),"",(VLOOKUP($B151,'E-1 Off Site Hedge Baseline'!$B$1:$L$257,7,FALSE))))</f>
        <v/>
      </c>
      <c r="H151" s="520" t="str">
        <f>IF(B151="","",IF(ISNA(VLOOKUP($B151,'E-1 Off Site Hedge Baseline'!$B$1:$L$257,8,FALSE)),"",(VLOOKUP($B151,'E-1 Off Site Hedge Baseline'!$B$1:$L$257,8,FALSE))))</f>
        <v/>
      </c>
      <c r="I151" s="520" t="str">
        <f>IF(B151="","",IF(ISNA(VLOOKUP($B151,'E-1 Off Site Hedge Baseline'!$B$1:$L$257,10,FALSE)),"",(VLOOKUP($B151,'E-1 Off Site Hedge Baseline'!$B$1:$L$257,10,FALSE))))</f>
        <v/>
      </c>
      <c r="J151" s="520" t="str">
        <f>IF(B151="","",IF(ISNA(VLOOKUP($B151,'E-1 Off Site Hedge Baseline'!$B$1:$L$257,11,FALSE)),"",(VLOOKUP($B151,'E-1 Off Site Hedge Baseline'!$B$1:$L$257,11,FALSE))))</f>
        <v/>
      </c>
      <c r="K151" s="520" t="str">
        <f>IF(B151="","",IF(ISNA(VLOOKUP($B151,'E-1 Off Site Hedge Baseline'!$B$1:$U$257,113,FALSE)),"",(VLOOKUP($B151,'E-1 Off Site Hedge Baseline'!$B$1:$U$257,13,FALSE))))</f>
        <v/>
      </c>
      <c r="L151" s="507" t="str">
        <f>IF(B151="","",IF(ISNA(VLOOKUP($B151,'E-1 Off Site Hedge Baseline'!$B$1:$U$257,12,FALSE)),"",(VLOOKUP($B151,'E-1 Off Site Hedge Baseline'!$B$1:$U$257,12,FALSE))))</f>
        <v/>
      </c>
      <c r="M151" s="418" t="str">
        <f t="shared" si="24"/>
        <v/>
      </c>
      <c r="N151" s="498" t="str">
        <f>IFERROR(IF(B151="","",INDEX('G-6 Hedgerow Data'!$AN$3:$AZ$15,MATCH(C151,'G-6 Hedgerow Data'!$AM$3:$AM$15,0),MATCH(M151,'G-6 Hedgerow Data'!$AN$2:$AZ$2,0))),"")</f>
        <v/>
      </c>
      <c r="O151" s="499" t="str">
        <f t="shared" si="18"/>
        <v/>
      </c>
      <c r="P151" s="505" t="str">
        <f>IF(B151="","",VLOOKUP(B151,'E-1 Off Site Hedge Baseline'!$B$10:T396,16,FALSE))</f>
        <v/>
      </c>
      <c r="Q151" s="498" t="str">
        <f>IF(M151="","",VLOOKUP(M151,'G-6 Hedgerow Data'!$B$2:$AG$15,2,FALSE))</f>
        <v/>
      </c>
      <c r="R151" s="499" t="str">
        <f>IF(M151="","",VLOOKUP(M151,'G-6 Hedgerow Data'!$B$2:$AG$15,3,FALSE))</f>
        <v/>
      </c>
      <c r="S151" s="145"/>
      <c r="T151" s="499" t="str">
        <f>IFERROR(IF(AND(Q151="V.Low",OR(S151="Good",S151="Moderate")),"Error ▲",VLOOKUP(S151,'G-1 All Habitats'!$Z$2:$AA$9,2,FALSE)),"")</f>
        <v/>
      </c>
      <c r="U151" s="145"/>
      <c r="V151" s="507" t="str">
        <f>IF(U151="","",IF(VLOOKUP(U151,'G-3 Multipliers'!$L$3:$N$6,2,FALSE)=0,"Spatial Data Missing ⚠",VLOOKUP(U151,'G-3 Multipliers'!$L$3:$N$6,2,FALSE)))</f>
        <v/>
      </c>
      <c r="W151" s="505" t="str">
        <f>IF(U151="","",IF(VLOOKUP(U151,'G-3 Multipliers'!$L$3:$N$6,3,FALSE)=0,"Spatial Data Missing ⚠",VLOOKUP(U151,'G-3 Multipliers'!$L$3:$N$6,3,FALSE)))</f>
        <v/>
      </c>
      <c r="X151" s="498"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7" t="str">
        <f t="shared" si="19"/>
        <v/>
      </c>
      <c r="AB151" s="521" t="str">
        <f t="shared" si="20"/>
        <v/>
      </c>
      <c r="AC151" s="522" t="str">
        <f t="shared" si="17"/>
        <v/>
      </c>
      <c r="AD151" s="537" t="str">
        <f>IF(M151="","",VLOOKUP(M151,'G-6 Hedgerow Data'!$B$3:$AG$15,31,FALSE))</f>
        <v/>
      </c>
      <c r="AE151" s="520" t="str">
        <f t="shared" si="21"/>
        <v/>
      </c>
      <c r="AF151" s="520" t="str">
        <f t="shared" si="22"/>
        <v/>
      </c>
      <c r="AG151" s="524" t="str">
        <f>IFERROR(IF(O151="","",VLOOKUP(AD151,'G-3 Multipliers'!$P$3:$Q$6,2,FALSE)),"")</f>
        <v/>
      </c>
      <c r="AH151" s="197"/>
      <c r="AI151" s="499" t="str">
        <f>IF(AH151="","",IF(VLOOKUP(AH151,'G-3 Multipliers'!$S$3:$T$6,2,FALSE)=0,"Spatial Data Missing ⚠",VLOOKUP(AH151,'G-3 Multipliers'!$S$3:$T$6,2,FALSE)))</f>
        <v/>
      </c>
      <c r="AJ151" s="545" t="str">
        <f t="shared" si="23"/>
        <v/>
      </c>
      <c r="AK151" s="149"/>
      <c r="AL151" s="150"/>
      <c r="AP151" s="31" t="str">
        <f>IFERROR(INDEX('G-6 Hedgerow Data'!$BJ$3:$BJ$15,MATCH(M151,'G-6 Hedgerow Data'!$B$3:$B$15,0)),"")</f>
        <v/>
      </c>
    </row>
    <row r="152" spans="2:42" ht="13.8" x14ac:dyDescent="0.25">
      <c r="B152" s="531" t="str">
        <f>'E-1 Off Site Hedge Baseline'!AK150</f>
        <v/>
      </c>
      <c r="C152" s="520" t="str">
        <f>IF(B152="","",IF(ISNA(VLOOKUP($B152,'E-1 Off Site Hedge Baseline'!$B$1:$L$257,3,FALSE)),"",(VLOOKUP($B152,'E-1 Off Site Hedge Baseline'!$B$1:$L$257,3,FALSE))))</f>
        <v/>
      </c>
      <c r="D152" s="520" t="str">
        <f>IF(B152="","",IF(ISNA(VLOOKUP($B152,'E-1 Off Site Hedge Baseline'!$B$1:$L$258,4,FALSE)),"",(VLOOKUP($B152,'E-1 Off Site Hedge Baseline'!$B$1:$L$258,4,FALSE))))</f>
        <v/>
      </c>
      <c r="E152" s="520" t="str">
        <f>IF(B152="","",IF(ISNA(VLOOKUP($B152,'E-1 Off Site Hedge Baseline'!$B$1:$L$257,5,FALSE)),"",(VLOOKUP($B152,'E-1 Off Site Hedge Baseline'!$B$1:$L$257,5,FALSE))))</f>
        <v/>
      </c>
      <c r="F152" s="520" t="str">
        <f>IF(B152="","",IF(ISNA(VLOOKUP($B152,'E-1 Off Site Hedge Baseline'!$B$1:$L$257,6,FALSE)),"",(VLOOKUP($B152,'E-1 Off Site Hedge Baseline'!$B$1:$L$257,6,FALSE))))</f>
        <v/>
      </c>
      <c r="G152" s="520" t="str">
        <f>IF(B152="","",IF(ISNA(VLOOKUP($B152,'E-1 Off Site Hedge Baseline'!$B$1:$L$257,7,FALSE)),"",(VLOOKUP($B152,'E-1 Off Site Hedge Baseline'!$B$1:$L$257,7,FALSE))))</f>
        <v/>
      </c>
      <c r="H152" s="520" t="str">
        <f>IF(B152="","",IF(ISNA(VLOOKUP($B152,'E-1 Off Site Hedge Baseline'!$B$1:$L$257,8,FALSE)),"",(VLOOKUP($B152,'E-1 Off Site Hedge Baseline'!$B$1:$L$257,8,FALSE))))</f>
        <v/>
      </c>
      <c r="I152" s="520" t="str">
        <f>IF(B152="","",IF(ISNA(VLOOKUP($B152,'E-1 Off Site Hedge Baseline'!$B$1:$L$257,10,FALSE)),"",(VLOOKUP($B152,'E-1 Off Site Hedge Baseline'!$B$1:$L$257,10,FALSE))))</f>
        <v/>
      </c>
      <c r="J152" s="520" t="str">
        <f>IF(B152="","",IF(ISNA(VLOOKUP($B152,'E-1 Off Site Hedge Baseline'!$B$1:$L$257,11,FALSE)),"",(VLOOKUP($B152,'E-1 Off Site Hedge Baseline'!$B$1:$L$257,11,FALSE))))</f>
        <v/>
      </c>
      <c r="K152" s="520" t="str">
        <f>IF(B152="","",IF(ISNA(VLOOKUP($B152,'E-1 Off Site Hedge Baseline'!$B$1:$U$257,113,FALSE)),"",(VLOOKUP($B152,'E-1 Off Site Hedge Baseline'!$B$1:$U$257,13,FALSE))))</f>
        <v/>
      </c>
      <c r="L152" s="507" t="str">
        <f>IF(B152="","",IF(ISNA(VLOOKUP($B152,'E-1 Off Site Hedge Baseline'!$B$1:$U$257,12,FALSE)),"",(VLOOKUP($B152,'E-1 Off Site Hedge Baseline'!$B$1:$U$257,12,FALSE))))</f>
        <v/>
      </c>
      <c r="M152" s="418" t="str">
        <f t="shared" si="24"/>
        <v/>
      </c>
      <c r="N152" s="498" t="str">
        <f>IFERROR(IF(B152="","",INDEX('G-6 Hedgerow Data'!$AN$3:$AZ$15,MATCH(C152,'G-6 Hedgerow Data'!$AM$3:$AM$15,0),MATCH(M152,'G-6 Hedgerow Data'!$AN$2:$AZ$2,0))),"")</f>
        <v/>
      </c>
      <c r="O152" s="499" t="str">
        <f t="shared" si="18"/>
        <v/>
      </c>
      <c r="P152" s="505" t="str">
        <f>IF(B152="","",VLOOKUP(B152,'E-1 Off Site Hedge Baseline'!$B$10:T397,16,FALSE))</f>
        <v/>
      </c>
      <c r="Q152" s="498" t="str">
        <f>IF(M152="","",VLOOKUP(M152,'G-6 Hedgerow Data'!$B$2:$AG$15,2,FALSE))</f>
        <v/>
      </c>
      <c r="R152" s="499" t="str">
        <f>IF(M152="","",VLOOKUP(M152,'G-6 Hedgerow Data'!$B$2:$AG$15,3,FALSE))</f>
        <v/>
      </c>
      <c r="S152" s="145"/>
      <c r="T152" s="499" t="str">
        <f>IFERROR(IF(AND(Q152="V.Low",OR(S152="Good",S152="Moderate")),"Error ▲",VLOOKUP(S152,'G-1 All Habitats'!$Z$2:$AA$9,2,FALSE)),"")</f>
        <v/>
      </c>
      <c r="U152" s="145"/>
      <c r="V152" s="507" t="str">
        <f>IF(U152="","",IF(VLOOKUP(U152,'G-3 Multipliers'!$L$3:$N$6,2,FALSE)=0,"Spatial Data Missing ⚠",VLOOKUP(U152,'G-3 Multipliers'!$L$3:$N$6,2,FALSE)))</f>
        <v/>
      </c>
      <c r="W152" s="505" t="str">
        <f>IF(U152="","",IF(VLOOKUP(U152,'G-3 Multipliers'!$L$3:$N$6,3,FALSE)=0,"Spatial Data Missing ⚠",VLOOKUP(U152,'G-3 Multipliers'!$L$3:$N$6,3,FALSE)))</f>
        <v/>
      </c>
      <c r="X152" s="498"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7" t="str">
        <f t="shared" si="19"/>
        <v/>
      </c>
      <c r="AB152" s="521" t="str">
        <f t="shared" si="20"/>
        <v/>
      </c>
      <c r="AC152" s="522" t="str">
        <f t="shared" si="17"/>
        <v/>
      </c>
      <c r="AD152" s="537" t="str">
        <f>IF(M152="","",VLOOKUP(M152,'G-6 Hedgerow Data'!$B$3:$AG$15,31,FALSE))</f>
        <v/>
      </c>
      <c r="AE152" s="520" t="str">
        <f t="shared" si="21"/>
        <v/>
      </c>
      <c r="AF152" s="520" t="str">
        <f t="shared" si="22"/>
        <v/>
      </c>
      <c r="AG152" s="524" t="str">
        <f>IFERROR(IF(O152="","",VLOOKUP(AD152,'G-3 Multipliers'!$P$3:$Q$6,2,FALSE)),"")</f>
        <v/>
      </c>
      <c r="AH152" s="197"/>
      <c r="AI152" s="499" t="str">
        <f>IF(AH152="","",IF(VLOOKUP(AH152,'G-3 Multipliers'!$S$3:$T$6,2,FALSE)=0,"Spatial Data Missing ⚠",VLOOKUP(AH152,'G-3 Multipliers'!$S$3:$T$6,2,FALSE)))</f>
        <v/>
      </c>
      <c r="AJ152" s="545" t="str">
        <f t="shared" si="23"/>
        <v/>
      </c>
      <c r="AK152" s="149"/>
      <c r="AL152" s="150"/>
      <c r="AP152" s="31" t="str">
        <f>IFERROR(INDEX('G-6 Hedgerow Data'!$BJ$3:$BJ$15,MATCH(M152,'G-6 Hedgerow Data'!$B$3:$B$15,0)),"")</f>
        <v/>
      </c>
    </row>
    <row r="153" spans="2:42" ht="13.8" x14ac:dyDescent="0.25">
      <c r="B153" s="531" t="str">
        <f>'E-1 Off Site Hedge Baseline'!AK151</f>
        <v/>
      </c>
      <c r="C153" s="520" t="str">
        <f>IF(B153="","",IF(ISNA(VLOOKUP($B153,'E-1 Off Site Hedge Baseline'!$B$1:$L$257,3,FALSE)),"",(VLOOKUP($B153,'E-1 Off Site Hedge Baseline'!$B$1:$L$257,3,FALSE))))</f>
        <v/>
      </c>
      <c r="D153" s="520" t="str">
        <f>IF(B153="","",IF(ISNA(VLOOKUP($B153,'E-1 Off Site Hedge Baseline'!$B$1:$L$258,4,FALSE)),"",(VLOOKUP($B153,'E-1 Off Site Hedge Baseline'!$B$1:$L$258,4,FALSE))))</f>
        <v/>
      </c>
      <c r="E153" s="520" t="str">
        <f>IF(B153="","",IF(ISNA(VLOOKUP($B153,'E-1 Off Site Hedge Baseline'!$B$1:$L$257,5,FALSE)),"",(VLOOKUP($B153,'E-1 Off Site Hedge Baseline'!$B$1:$L$257,5,FALSE))))</f>
        <v/>
      </c>
      <c r="F153" s="520" t="str">
        <f>IF(B153="","",IF(ISNA(VLOOKUP($B153,'E-1 Off Site Hedge Baseline'!$B$1:$L$257,6,FALSE)),"",(VLOOKUP($B153,'E-1 Off Site Hedge Baseline'!$B$1:$L$257,6,FALSE))))</f>
        <v/>
      </c>
      <c r="G153" s="520" t="str">
        <f>IF(B153="","",IF(ISNA(VLOOKUP($B153,'E-1 Off Site Hedge Baseline'!$B$1:$L$257,7,FALSE)),"",(VLOOKUP($B153,'E-1 Off Site Hedge Baseline'!$B$1:$L$257,7,FALSE))))</f>
        <v/>
      </c>
      <c r="H153" s="520" t="str">
        <f>IF(B153="","",IF(ISNA(VLOOKUP($B153,'E-1 Off Site Hedge Baseline'!$B$1:$L$257,8,FALSE)),"",(VLOOKUP($B153,'E-1 Off Site Hedge Baseline'!$B$1:$L$257,8,FALSE))))</f>
        <v/>
      </c>
      <c r="I153" s="520" t="str">
        <f>IF(B153="","",IF(ISNA(VLOOKUP($B153,'E-1 Off Site Hedge Baseline'!$B$1:$L$257,10,FALSE)),"",(VLOOKUP($B153,'E-1 Off Site Hedge Baseline'!$B$1:$L$257,10,FALSE))))</f>
        <v/>
      </c>
      <c r="J153" s="520" t="str">
        <f>IF(B153="","",IF(ISNA(VLOOKUP($B153,'E-1 Off Site Hedge Baseline'!$B$1:$L$257,11,FALSE)),"",(VLOOKUP($B153,'E-1 Off Site Hedge Baseline'!$B$1:$L$257,11,FALSE))))</f>
        <v/>
      </c>
      <c r="K153" s="520" t="str">
        <f>IF(B153="","",IF(ISNA(VLOOKUP($B153,'E-1 Off Site Hedge Baseline'!$B$1:$U$257,113,FALSE)),"",(VLOOKUP($B153,'E-1 Off Site Hedge Baseline'!$B$1:$U$257,13,FALSE))))</f>
        <v/>
      </c>
      <c r="L153" s="507" t="str">
        <f>IF(B153="","",IF(ISNA(VLOOKUP($B153,'E-1 Off Site Hedge Baseline'!$B$1:$U$257,12,FALSE)),"",(VLOOKUP($B153,'E-1 Off Site Hedge Baseline'!$B$1:$U$257,12,FALSE))))</f>
        <v/>
      </c>
      <c r="M153" s="418" t="str">
        <f t="shared" si="24"/>
        <v/>
      </c>
      <c r="N153" s="498" t="str">
        <f>IFERROR(IF(B153="","",INDEX('G-6 Hedgerow Data'!$AN$3:$AZ$15,MATCH(C153,'G-6 Hedgerow Data'!$AM$3:$AM$15,0),MATCH(M153,'G-6 Hedgerow Data'!$AN$2:$AZ$2,0))),"")</f>
        <v/>
      </c>
      <c r="O153" s="499" t="str">
        <f t="shared" si="18"/>
        <v/>
      </c>
      <c r="P153" s="505" t="str">
        <f>IF(B153="","",VLOOKUP(B153,'E-1 Off Site Hedge Baseline'!$B$10:T398,16,FALSE))</f>
        <v/>
      </c>
      <c r="Q153" s="498" t="str">
        <f>IF(M153="","",VLOOKUP(M153,'G-6 Hedgerow Data'!$B$2:$AG$15,2,FALSE))</f>
        <v/>
      </c>
      <c r="R153" s="499" t="str">
        <f>IF(M153="","",VLOOKUP(M153,'G-6 Hedgerow Data'!$B$2:$AG$15,3,FALSE))</f>
        <v/>
      </c>
      <c r="S153" s="145"/>
      <c r="T153" s="499" t="str">
        <f>IFERROR(IF(AND(Q153="V.Low",OR(S153="Good",S153="Moderate")),"Error ▲",VLOOKUP(S153,'G-1 All Habitats'!$Z$2:$AA$9,2,FALSE)),"")</f>
        <v/>
      </c>
      <c r="U153" s="145"/>
      <c r="V153" s="507" t="str">
        <f>IF(U153="","",IF(VLOOKUP(U153,'G-3 Multipliers'!$L$3:$N$6,2,FALSE)=0,"Spatial Data Missing ⚠",VLOOKUP(U153,'G-3 Multipliers'!$L$3:$N$6,2,FALSE)))</f>
        <v/>
      </c>
      <c r="W153" s="505" t="str">
        <f>IF(U153="","",IF(VLOOKUP(U153,'G-3 Multipliers'!$L$3:$N$6,3,FALSE)=0,"Spatial Data Missing ⚠",VLOOKUP(U153,'G-3 Multipliers'!$L$3:$N$6,3,FALSE)))</f>
        <v/>
      </c>
      <c r="X153" s="498"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7" t="str">
        <f t="shared" si="19"/>
        <v/>
      </c>
      <c r="AB153" s="521" t="str">
        <f t="shared" si="20"/>
        <v/>
      </c>
      <c r="AC153" s="522" t="str">
        <f t="shared" si="17"/>
        <v/>
      </c>
      <c r="AD153" s="537" t="str">
        <f>IF(M153="","",VLOOKUP(M153,'G-6 Hedgerow Data'!$B$3:$AG$15,31,FALSE))</f>
        <v/>
      </c>
      <c r="AE153" s="520" t="str">
        <f t="shared" si="21"/>
        <v/>
      </c>
      <c r="AF153" s="520" t="str">
        <f t="shared" si="22"/>
        <v/>
      </c>
      <c r="AG153" s="524" t="str">
        <f>IFERROR(IF(O153="","",VLOOKUP(AD153,'G-3 Multipliers'!$P$3:$Q$6,2,FALSE)),"")</f>
        <v/>
      </c>
      <c r="AH153" s="197"/>
      <c r="AI153" s="499" t="str">
        <f>IF(AH153="","",IF(VLOOKUP(AH153,'G-3 Multipliers'!$S$3:$T$6,2,FALSE)=0,"Spatial Data Missing ⚠",VLOOKUP(AH153,'G-3 Multipliers'!$S$3:$T$6,2,FALSE)))</f>
        <v/>
      </c>
      <c r="AJ153" s="545" t="str">
        <f t="shared" si="23"/>
        <v/>
      </c>
      <c r="AK153" s="149"/>
      <c r="AL153" s="150"/>
      <c r="AP153" s="31" t="str">
        <f>IFERROR(INDEX('G-6 Hedgerow Data'!$BJ$3:$BJ$15,MATCH(M153,'G-6 Hedgerow Data'!$B$3:$B$15,0)),"")</f>
        <v/>
      </c>
    </row>
    <row r="154" spans="2:42" ht="13.8" x14ac:dyDescent="0.25">
      <c r="B154" s="531" t="str">
        <f>'E-1 Off Site Hedge Baseline'!AK152</f>
        <v/>
      </c>
      <c r="C154" s="520" t="str">
        <f>IF(B154="","",IF(ISNA(VLOOKUP($B154,'E-1 Off Site Hedge Baseline'!$B$1:$L$257,3,FALSE)),"",(VLOOKUP($B154,'E-1 Off Site Hedge Baseline'!$B$1:$L$257,3,FALSE))))</f>
        <v/>
      </c>
      <c r="D154" s="520" t="str">
        <f>IF(B154="","",IF(ISNA(VLOOKUP($B154,'E-1 Off Site Hedge Baseline'!$B$1:$L$258,4,FALSE)),"",(VLOOKUP($B154,'E-1 Off Site Hedge Baseline'!$B$1:$L$258,4,FALSE))))</f>
        <v/>
      </c>
      <c r="E154" s="520" t="str">
        <f>IF(B154="","",IF(ISNA(VLOOKUP($B154,'E-1 Off Site Hedge Baseline'!$B$1:$L$257,5,FALSE)),"",(VLOOKUP($B154,'E-1 Off Site Hedge Baseline'!$B$1:$L$257,5,FALSE))))</f>
        <v/>
      </c>
      <c r="F154" s="520" t="str">
        <f>IF(B154="","",IF(ISNA(VLOOKUP($B154,'E-1 Off Site Hedge Baseline'!$B$1:$L$257,6,FALSE)),"",(VLOOKUP($B154,'E-1 Off Site Hedge Baseline'!$B$1:$L$257,6,FALSE))))</f>
        <v/>
      </c>
      <c r="G154" s="520" t="str">
        <f>IF(B154="","",IF(ISNA(VLOOKUP($B154,'E-1 Off Site Hedge Baseline'!$B$1:$L$257,7,FALSE)),"",(VLOOKUP($B154,'E-1 Off Site Hedge Baseline'!$B$1:$L$257,7,FALSE))))</f>
        <v/>
      </c>
      <c r="H154" s="520" t="str">
        <f>IF(B154="","",IF(ISNA(VLOOKUP($B154,'E-1 Off Site Hedge Baseline'!$B$1:$L$257,8,FALSE)),"",(VLOOKUP($B154,'E-1 Off Site Hedge Baseline'!$B$1:$L$257,8,FALSE))))</f>
        <v/>
      </c>
      <c r="I154" s="520" t="str">
        <f>IF(B154="","",IF(ISNA(VLOOKUP($B154,'E-1 Off Site Hedge Baseline'!$B$1:$L$257,10,FALSE)),"",(VLOOKUP($B154,'E-1 Off Site Hedge Baseline'!$B$1:$L$257,10,FALSE))))</f>
        <v/>
      </c>
      <c r="J154" s="520" t="str">
        <f>IF(B154="","",IF(ISNA(VLOOKUP($B154,'E-1 Off Site Hedge Baseline'!$B$1:$L$257,11,FALSE)),"",(VLOOKUP($B154,'E-1 Off Site Hedge Baseline'!$B$1:$L$257,11,FALSE))))</f>
        <v/>
      </c>
      <c r="K154" s="520" t="str">
        <f>IF(B154="","",IF(ISNA(VLOOKUP($B154,'E-1 Off Site Hedge Baseline'!$B$1:$U$257,113,FALSE)),"",(VLOOKUP($B154,'E-1 Off Site Hedge Baseline'!$B$1:$U$257,13,FALSE))))</f>
        <v/>
      </c>
      <c r="L154" s="507" t="str">
        <f>IF(B154="","",IF(ISNA(VLOOKUP($B154,'E-1 Off Site Hedge Baseline'!$B$1:$U$257,12,FALSE)),"",(VLOOKUP($B154,'E-1 Off Site Hedge Baseline'!$B$1:$U$257,12,FALSE))))</f>
        <v/>
      </c>
      <c r="M154" s="418" t="str">
        <f t="shared" si="24"/>
        <v/>
      </c>
      <c r="N154" s="498" t="str">
        <f>IFERROR(IF(B154="","",INDEX('G-6 Hedgerow Data'!$AN$3:$AZ$15,MATCH(C154,'G-6 Hedgerow Data'!$AM$3:$AM$15,0),MATCH(M154,'G-6 Hedgerow Data'!$AN$2:$AZ$2,0))),"")</f>
        <v/>
      </c>
      <c r="O154" s="499" t="str">
        <f t="shared" si="18"/>
        <v/>
      </c>
      <c r="P154" s="505" t="str">
        <f>IF(B154="","",VLOOKUP(B154,'E-1 Off Site Hedge Baseline'!$B$10:T399,16,FALSE))</f>
        <v/>
      </c>
      <c r="Q154" s="498" t="str">
        <f>IF(M154="","",VLOOKUP(M154,'G-6 Hedgerow Data'!$B$2:$AG$15,2,FALSE))</f>
        <v/>
      </c>
      <c r="R154" s="499" t="str">
        <f>IF(M154="","",VLOOKUP(M154,'G-6 Hedgerow Data'!$B$2:$AG$15,3,FALSE))</f>
        <v/>
      </c>
      <c r="S154" s="145"/>
      <c r="T154" s="499" t="str">
        <f>IFERROR(IF(AND(Q154="V.Low",OR(S154="Good",S154="Moderate")),"Error ▲",VLOOKUP(S154,'G-1 All Habitats'!$Z$2:$AA$9,2,FALSE)),"")</f>
        <v/>
      </c>
      <c r="U154" s="145"/>
      <c r="V154" s="507" t="str">
        <f>IF(U154="","",IF(VLOOKUP(U154,'G-3 Multipliers'!$L$3:$N$6,2,FALSE)=0,"Spatial Data Missing ⚠",VLOOKUP(U154,'G-3 Multipliers'!$L$3:$N$6,2,FALSE)))</f>
        <v/>
      </c>
      <c r="W154" s="505" t="str">
        <f>IF(U154="","",IF(VLOOKUP(U154,'G-3 Multipliers'!$L$3:$N$6,3,FALSE)=0,"Spatial Data Missing ⚠",VLOOKUP(U154,'G-3 Multipliers'!$L$3:$N$6,3,FALSE)))</f>
        <v/>
      </c>
      <c r="X154" s="498"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7" t="str">
        <f t="shared" si="19"/>
        <v/>
      </c>
      <c r="AB154" s="521" t="str">
        <f t="shared" si="20"/>
        <v/>
      </c>
      <c r="AC154" s="522" t="str">
        <f t="shared" si="17"/>
        <v/>
      </c>
      <c r="AD154" s="537" t="str">
        <f>IF(M154="","",VLOOKUP(M154,'G-6 Hedgerow Data'!$B$3:$AG$15,31,FALSE))</f>
        <v/>
      </c>
      <c r="AE154" s="520" t="str">
        <f t="shared" si="21"/>
        <v/>
      </c>
      <c r="AF154" s="520" t="str">
        <f t="shared" si="22"/>
        <v/>
      </c>
      <c r="AG154" s="524" t="str">
        <f>IFERROR(IF(O154="","",VLOOKUP(AD154,'G-3 Multipliers'!$P$3:$Q$6,2,FALSE)),"")</f>
        <v/>
      </c>
      <c r="AH154" s="197"/>
      <c r="AI154" s="499" t="str">
        <f>IF(AH154="","",IF(VLOOKUP(AH154,'G-3 Multipliers'!$S$3:$T$6,2,FALSE)=0,"Spatial Data Missing ⚠",VLOOKUP(AH154,'G-3 Multipliers'!$S$3:$T$6,2,FALSE)))</f>
        <v/>
      </c>
      <c r="AJ154" s="545" t="str">
        <f t="shared" si="23"/>
        <v/>
      </c>
      <c r="AK154" s="149"/>
      <c r="AL154" s="150"/>
      <c r="AP154" s="31" t="str">
        <f>IFERROR(INDEX('G-6 Hedgerow Data'!$BJ$3:$BJ$15,MATCH(M154,'G-6 Hedgerow Data'!$B$3:$B$15,0)),"")</f>
        <v/>
      </c>
    </row>
    <row r="155" spans="2:42" ht="13.8" x14ac:dyDescent="0.25">
      <c r="B155" s="531" t="str">
        <f>'E-1 Off Site Hedge Baseline'!AK153</f>
        <v/>
      </c>
      <c r="C155" s="520" t="str">
        <f>IF(B155="","",IF(ISNA(VLOOKUP($B155,'E-1 Off Site Hedge Baseline'!$B$1:$L$257,3,FALSE)),"",(VLOOKUP($B155,'E-1 Off Site Hedge Baseline'!$B$1:$L$257,3,FALSE))))</f>
        <v/>
      </c>
      <c r="D155" s="520" t="str">
        <f>IF(B155="","",IF(ISNA(VLOOKUP($B155,'E-1 Off Site Hedge Baseline'!$B$1:$L$258,4,FALSE)),"",(VLOOKUP($B155,'E-1 Off Site Hedge Baseline'!$B$1:$L$258,4,FALSE))))</f>
        <v/>
      </c>
      <c r="E155" s="520" t="str">
        <f>IF(B155="","",IF(ISNA(VLOOKUP($B155,'E-1 Off Site Hedge Baseline'!$B$1:$L$257,5,FALSE)),"",(VLOOKUP($B155,'E-1 Off Site Hedge Baseline'!$B$1:$L$257,5,FALSE))))</f>
        <v/>
      </c>
      <c r="F155" s="520" t="str">
        <f>IF(B155="","",IF(ISNA(VLOOKUP($B155,'E-1 Off Site Hedge Baseline'!$B$1:$L$257,6,FALSE)),"",(VLOOKUP($B155,'E-1 Off Site Hedge Baseline'!$B$1:$L$257,6,FALSE))))</f>
        <v/>
      </c>
      <c r="G155" s="520" t="str">
        <f>IF(B155="","",IF(ISNA(VLOOKUP($B155,'E-1 Off Site Hedge Baseline'!$B$1:$L$257,7,FALSE)),"",(VLOOKUP($B155,'E-1 Off Site Hedge Baseline'!$B$1:$L$257,7,FALSE))))</f>
        <v/>
      </c>
      <c r="H155" s="520" t="str">
        <f>IF(B155="","",IF(ISNA(VLOOKUP($B155,'E-1 Off Site Hedge Baseline'!$B$1:$L$257,8,FALSE)),"",(VLOOKUP($B155,'E-1 Off Site Hedge Baseline'!$B$1:$L$257,8,FALSE))))</f>
        <v/>
      </c>
      <c r="I155" s="520" t="str">
        <f>IF(B155="","",IF(ISNA(VLOOKUP($B155,'E-1 Off Site Hedge Baseline'!$B$1:$L$257,10,FALSE)),"",(VLOOKUP($B155,'E-1 Off Site Hedge Baseline'!$B$1:$L$257,10,FALSE))))</f>
        <v/>
      </c>
      <c r="J155" s="520" t="str">
        <f>IF(B155="","",IF(ISNA(VLOOKUP($B155,'E-1 Off Site Hedge Baseline'!$B$1:$L$257,11,FALSE)),"",(VLOOKUP($B155,'E-1 Off Site Hedge Baseline'!$B$1:$L$257,11,FALSE))))</f>
        <v/>
      </c>
      <c r="K155" s="520" t="str">
        <f>IF(B155="","",IF(ISNA(VLOOKUP($B155,'E-1 Off Site Hedge Baseline'!$B$1:$U$257,113,FALSE)),"",(VLOOKUP($B155,'E-1 Off Site Hedge Baseline'!$B$1:$U$257,13,FALSE))))</f>
        <v/>
      </c>
      <c r="L155" s="507" t="str">
        <f>IF(B155="","",IF(ISNA(VLOOKUP($B155,'E-1 Off Site Hedge Baseline'!$B$1:$U$257,12,FALSE)),"",(VLOOKUP($B155,'E-1 Off Site Hedge Baseline'!$B$1:$U$257,12,FALSE))))</f>
        <v/>
      </c>
      <c r="M155" s="418" t="str">
        <f t="shared" si="24"/>
        <v/>
      </c>
      <c r="N155" s="498" t="str">
        <f>IFERROR(IF(B155="","",INDEX('G-6 Hedgerow Data'!$AN$3:$AZ$15,MATCH(C155,'G-6 Hedgerow Data'!$AM$3:$AM$15,0),MATCH(M155,'G-6 Hedgerow Data'!$AN$2:$AZ$2,0))),"")</f>
        <v/>
      </c>
      <c r="O155" s="499" t="str">
        <f t="shared" si="18"/>
        <v/>
      </c>
      <c r="P155" s="505" t="str">
        <f>IF(B155="","",VLOOKUP(B155,'E-1 Off Site Hedge Baseline'!$B$10:T400,16,FALSE))</f>
        <v/>
      </c>
      <c r="Q155" s="498" t="str">
        <f>IF(M155="","",VLOOKUP(M155,'G-6 Hedgerow Data'!$B$2:$AG$15,2,FALSE))</f>
        <v/>
      </c>
      <c r="R155" s="499" t="str">
        <f>IF(M155="","",VLOOKUP(M155,'G-6 Hedgerow Data'!$B$2:$AG$15,3,FALSE))</f>
        <v/>
      </c>
      <c r="S155" s="145"/>
      <c r="T155" s="499" t="str">
        <f>IFERROR(IF(AND(Q155="V.Low",OR(S155="Good",S155="Moderate")),"Error ▲",VLOOKUP(S155,'G-1 All Habitats'!$Z$2:$AA$9,2,FALSE)),"")</f>
        <v/>
      </c>
      <c r="U155" s="145"/>
      <c r="V155" s="507" t="str">
        <f>IF(U155="","",IF(VLOOKUP(U155,'G-3 Multipliers'!$L$3:$N$6,2,FALSE)=0,"Spatial Data Missing ⚠",VLOOKUP(U155,'G-3 Multipliers'!$L$3:$N$6,2,FALSE)))</f>
        <v/>
      </c>
      <c r="W155" s="505" t="str">
        <f>IF(U155="","",IF(VLOOKUP(U155,'G-3 Multipliers'!$L$3:$N$6,3,FALSE)=0,"Spatial Data Missing ⚠",VLOOKUP(U155,'G-3 Multipliers'!$L$3:$N$6,3,FALSE)))</f>
        <v/>
      </c>
      <c r="X155" s="498"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7" t="str">
        <f t="shared" si="19"/>
        <v/>
      </c>
      <c r="AB155" s="521" t="str">
        <f t="shared" si="20"/>
        <v/>
      </c>
      <c r="AC155" s="522" t="str">
        <f t="shared" si="17"/>
        <v/>
      </c>
      <c r="AD155" s="537" t="str">
        <f>IF(M155="","",VLOOKUP(M155,'G-6 Hedgerow Data'!$B$3:$AG$15,31,FALSE))</f>
        <v/>
      </c>
      <c r="AE155" s="520" t="str">
        <f t="shared" si="21"/>
        <v/>
      </c>
      <c r="AF155" s="520" t="str">
        <f t="shared" si="22"/>
        <v/>
      </c>
      <c r="AG155" s="524" t="str">
        <f>IFERROR(IF(O155="","",VLOOKUP(AD155,'G-3 Multipliers'!$P$3:$Q$6,2,FALSE)),"")</f>
        <v/>
      </c>
      <c r="AH155" s="197"/>
      <c r="AI155" s="499" t="str">
        <f>IF(AH155="","",IF(VLOOKUP(AH155,'G-3 Multipliers'!$S$3:$T$6,2,FALSE)=0,"Spatial Data Missing ⚠",VLOOKUP(AH155,'G-3 Multipliers'!$S$3:$T$6,2,FALSE)))</f>
        <v/>
      </c>
      <c r="AJ155" s="545" t="str">
        <f t="shared" si="23"/>
        <v/>
      </c>
      <c r="AK155" s="149"/>
      <c r="AL155" s="150"/>
      <c r="AP155" s="31" t="str">
        <f>IFERROR(INDEX('G-6 Hedgerow Data'!$BJ$3:$BJ$15,MATCH(M155,'G-6 Hedgerow Data'!$B$3:$B$15,0)),"")</f>
        <v/>
      </c>
    </row>
    <row r="156" spans="2:42" ht="13.8" x14ac:dyDescent="0.25">
      <c r="B156" s="531" t="str">
        <f>'E-1 Off Site Hedge Baseline'!AK154</f>
        <v/>
      </c>
      <c r="C156" s="520" t="str">
        <f>IF(B156="","",IF(ISNA(VLOOKUP($B156,'E-1 Off Site Hedge Baseline'!$B$1:$L$257,3,FALSE)),"",(VLOOKUP($B156,'E-1 Off Site Hedge Baseline'!$B$1:$L$257,3,FALSE))))</f>
        <v/>
      </c>
      <c r="D156" s="520" t="str">
        <f>IF(B156="","",IF(ISNA(VLOOKUP($B156,'E-1 Off Site Hedge Baseline'!$B$1:$L$258,4,FALSE)),"",(VLOOKUP($B156,'E-1 Off Site Hedge Baseline'!$B$1:$L$258,4,FALSE))))</f>
        <v/>
      </c>
      <c r="E156" s="520" t="str">
        <f>IF(B156="","",IF(ISNA(VLOOKUP($B156,'E-1 Off Site Hedge Baseline'!$B$1:$L$257,5,FALSE)),"",(VLOOKUP($B156,'E-1 Off Site Hedge Baseline'!$B$1:$L$257,5,FALSE))))</f>
        <v/>
      </c>
      <c r="F156" s="520" t="str">
        <f>IF(B156="","",IF(ISNA(VLOOKUP($B156,'E-1 Off Site Hedge Baseline'!$B$1:$L$257,6,FALSE)),"",(VLOOKUP($B156,'E-1 Off Site Hedge Baseline'!$B$1:$L$257,6,FALSE))))</f>
        <v/>
      </c>
      <c r="G156" s="520" t="str">
        <f>IF(B156="","",IF(ISNA(VLOOKUP($B156,'E-1 Off Site Hedge Baseline'!$B$1:$L$257,7,FALSE)),"",(VLOOKUP($B156,'E-1 Off Site Hedge Baseline'!$B$1:$L$257,7,FALSE))))</f>
        <v/>
      </c>
      <c r="H156" s="520" t="str">
        <f>IF(B156="","",IF(ISNA(VLOOKUP($B156,'E-1 Off Site Hedge Baseline'!$B$1:$L$257,8,FALSE)),"",(VLOOKUP($B156,'E-1 Off Site Hedge Baseline'!$B$1:$L$257,8,FALSE))))</f>
        <v/>
      </c>
      <c r="I156" s="520" t="str">
        <f>IF(B156="","",IF(ISNA(VLOOKUP($B156,'E-1 Off Site Hedge Baseline'!$B$1:$L$257,10,FALSE)),"",(VLOOKUP($B156,'E-1 Off Site Hedge Baseline'!$B$1:$L$257,10,FALSE))))</f>
        <v/>
      </c>
      <c r="J156" s="520" t="str">
        <f>IF(B156="","",IF(ISNA(VLOOKUP($B156,'E-1 Off Site Hedge Baseline'!$B$1:$L$257,11,FALSE)),"",(VLOOKUP($B156,'E-1 Off Site Hedge Baseline'!$B$1:$L$257,11,FALSE))))</f>
        <v/>
      </c>
      <c r="K156" s="520" t="str">
        <f>IF(B156="","",IF(ISNA(VLOOKUP($B156,'E-1 Off Site Hedge Baseline'!$B$1:$U$257,113,FALSE)),"",(VLOOKUP($B156,'E-1 Off Site Hedge Baseline'!$B$1:$U$257,13,FALSE))))</f>
        <v/>
      </c>
      <c r="L156" s="507" t="str">
        <f>IF(B156="","",IF(ISNA(VLOOKUP($B156,'E-1 Off Site Hedge Baseline'!$B$1:$U$257,12,FALSE)),"",(VLOOKUP($B156,'E-1 Off Site Hedge Baseline'!$B$1:$U$257,12,FALSE))))</f>
        <v/>
      </c>
      <c r="M156" s="418" t="str">
        <f t="shared" si="24"/>
        <v/>
      </c>
      <c r="N156" s="498" t="str">
        <f>IFERROR(IF(B156="","",INDEX('G-6 Hedgerow Data'!$AN$3:$AZ$15,MATCH(C156,'G-6 Hedgerow Data'!$AM$3:$AM$15,0),MATCH(M156,'G-6 Hedgerow Data'!$AN$2:$AZ$2,0))),"")</f>
        <v/>
      </c>
      <c r="O156" s="499" t="str">
        <f t="shared" si="18"/>
        <v/>
      </c>
      <c r="P156" s="505" t="str">
        <f>IF(B156="","",VLOOKUP(B156,'E-1 Off Site Hedge Baseline'!$B$10:T401,16,FALSE))</f>
        <v/>
      </c>
      <c r="Q156" s="498" t="str">
        <f>IF(M156="","",VLOOKUP(M156,'G-6 Hedgerow Data'!$B$2:$AG$15,2,FALSE))</f>
        <v/>
      </c>
      <c r="R156" s="499" t="str">
        <f>IF(M156="","",VLOOKUP(M156,'G-6 Hedgerow Data'!$B$2:$AG$15,3,FALSE))</f>
        <v/>
      </c>
      <c r="S156" s="145"/>
      <c r="T156" s="499" t="str">
        <f>IFERROR(IF(AND(Q156="V.Low",OR(S156="Good",S156="Moderate")),"Error ▲",VLOOKUP(S156,'G-1 All Habitats'!$Z$2:$AA$9,2,FALSE)),"")</f>
        <v/>
      </c>
      <c r="U156" s="145"/>
      <c r="V156" s="507" t="str">
        <f>IF(U156="","",IF(VLOOKUP(U156,'G-3 Multipliers'!$L$3:$N$6,2,FALSE)=0,"Spatial Data Missing ⚠",VLOOKUP(U156,'G-3 Multipliers'!$L$3:$N$6,2,FALSE)))</f>
        <v/>
      </c>
      <c r="W156" s="505" t="str">
        <f>IF(U156="","",IF(VLOOKUP(U156,'G-3 Multipliers'!$L$3:$N$6,3,FALSE)=0,"Spatial Data Missing ⚠",VLOOKUP(U156,'G-3 Multipliers'!$L$3:$N$6,3,FALSE)))</f>
        <v/>
      </c>
      <c r="X156" s="498"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7" t="str">
        <f t="shared" si="19"/>
        <v/>
      </c>
      <c r="AB156" s="521" t="str">
        <f t="shared" si="20"/>
        <v/>
      </c>
      <c r="AC156" s="522" t="str">
        <f t="shared" si="17"/>
        <v/>
      </c>
      <c r="AD156" s="537" t="str">
        <f>IF(M156="","",VLOOKUP(M156,'G-6 Hedgerow Data'!$B$3:$AG$15,31,FALSE))</f>
        <v/>
      </c>
      <c r="AE156" s="520" t="str">
        <f t="shared" si="21"/>
        <v/>
      </c>
      <c r="AF156" s="520" t="str">
        <f t="shared" si="22"/>
        <v/>
      </c>
      <c r="AG156" s="524" t="str">
        <f>IFERROR(IF(O156="","",VLOOKUP(AD156,'G-3 Multipliers'!$P$3:$Q$6,2,FALSE)),"")</f>
        <v/>
      </c>
      <c r="AH156" s="197"/>
      <c r="AI156" s="499" t="str">
        <f>IF(AH156="","",IF(VLOOKUP(AH156,'G-3 Multipliers'!$S$3:$T$6,2,FALSE)=0,"Spatial Data Missing ⚠",VLOOKUP(AH156,'G-3 Multipliers'!$S$3:$T$6,2,FALSE)))</f>
        <v/>
      </c>
      <c r="AJ156" s="545" t="str">
        <f t="shared" si="23"/>
        <v/>
      </c>
      <c r="AK156" s="149"/>
      <c r="AL156" s="150"/>
      <c r="AP156" s="31" t="str">
        <f>IFERROR(INDEX('G-6 Hedgerow Data'!$BJ$3:$BJ$15,MATCH(M156,'G-6 Hedgerow Data'!$B$3:$B$15,0)),"")</f>
        <v/>
      </c>
    </row>
    <row r="157" spans="2:42" ht="13.8" x14ac:dyDescent="0.25">
      <c r="B157" s="531" t="str">
        <f>'E-1 Off Site Hedge Baseline'!AK155</f>
        <v/>
      </c>
      <c r="C157" s="520" t="str">
        <f>IF(B157="","",IF(ISNA(VLOOKUP($B157,'E-1 Off Site Hedge Baseline'!$B$1:$L$257,3,FALSE)),"",(VLOOKUP($B157,'E-1 Off Site Hedge Baseline'!$B$1:$L$257,3,FALSE))))</f>
        <v/>
      </c>
      <c r="D157" s="520" t="str">
        <f>IF(B157="","",IF(ISNA(VLOOKUP($B157,'E-1 Off Site Hedge Baseline'!$B$1:$L$258,4,FALSE)),"",(VLOOKUP($B157,'E-1 Off Site Hedge Baseline'!$B$1:$L$258,4,FALSE))))</f>
        <v/>
      </c>
      <c r="E157" s="520" t="str">
        <f>IF(B157="","",IF(ISNA(VLOOKUP($B157,'E-1 Off Site Hedge Baseline'!$B$1:$L$257,5,FALSE)),"",(VLOOKUP($B157,'E-1 Off Site Hedge Baseline'!$B$1:$L$257,5,FALSE))))</f>
        <v/>
      </c>
      <c r="F157" s="520" t="str">
        <f>IF(B157="","",IF(ISNA(VLOOKUP($B157,'E-1 Off Site Hedge Baseline'!$B$1:$L$257,6,FALSE)),"",(VLOOKUP($B157,'E-1 Off Site Hedge Baseline'!$B$1:$L$257,6,FALSE))))</f>
        <v/>
      </c>
      <c r="G157" s="520" t="str">
        <f>IF(B157="","",IF(ISNA(VLOOKUP($B157,'E-1 Off Site Hedge Baseline'!$B$1:$L$257,7,FALSE)),"",(VLOOKUP($B157,'E-1 Off Site Hedge Baseline'!$B$1:$L$257,7,FALSE))))</f>
        <v/>
      </c>
      <c r="H157" s="520" t="str">
        <f>IF(B157="","",IF(ISNA(VLOOKUP($B157,'E-1 Off Site Hedge Baseline'!$B$1:$L$257,8,FALSE)),"",(VLOOKUP($B157,'E-1 Off Site Hedge Baseline'!$B$1:$L$257,8,FALSE))))</f>
        <v/>
      </c>
      <c r="I157" s="520" t="str">
        <f>IF(B157="","",IF(ISNA(VLOOKUP($B157,'E-1 Off Site Hedge Baseline'!$B$1:$L$257,10,FALSE)),"",(VLOOKUP($B157,'E-1 Off Site Hedge Baseline'!$B$1:$L$257,10,FALSE))))</f>
        <v/>
      </c>
      <c r="J157" s="520" t="str">
        <f>IF(B157="","",IF(ISNA(VLOOKUP($B157,'E-1 Off Site Hedge Baseline'!$B$1:$L$257,11,FALSE)),"",(VLOOKUP($B157,'E-1 Off Site Hedge Baseline'!$B$1:$L$257,11,FALSE))))</f>
        <v/>
      </c>
      <c r="K157" s="520" t="str">
        <f>IF(B157="","",IF(ISNA(VLOOKUP($B157,'E-1 Off Site Hedge Baseline'!$B$1:$U$257,113,FALSE)),"",(VLOOKUP($B157,'E-1 Off Site Hedge Baseline'!$B$1:$U$257,13,FALSE))))</f>
        <v/>
      </c>
      <c r="L157" s="507" t="str">
        <f>IF(B157="","",IF(ISNA(VLOOKUP($B157,'E-1 Off Site Hedge Baseline'!$B$1:$U$257,12,FALSE)),"",(VLOOKUP($B157,'E-1 Off Site Hedge Baseline'!$B$1:$U$257,12,FALSE))))</f>
        <v/>
      </c>
      <c r="M157" s="418" t="str">
        <f t="shared" si="24"/>
        <v/>
      </c>
      <c r="N157" s="498" t="str">
        <f>IFERROR(IF(B157="","",INDEX('G-6 Hedgerow Data'!$AN$3:$AZ$15,MATCH(C157,'G-6 Hedgerow Data'!$AM$3:$AM$15,0),MATCH(M157,'G-6 Hedgerow Data'!$AN$2:$AZ$2,0))),"")</f>
        <v/>
      </c>
      <c r="O157" s="499" t="str">
        <f t="shared" si="18"/>
        <v/>
      </c>
      <c r="P157" s="505" t="str">
        <f>IF(B157="","",VLOOKUP(B157,'E-1 Off Site Hedge Baseline'!$B$10:T402,16,FALSE))</f>
        <v/>
      </c>
      <c r="Q157" s="498" t="str">
        <f>IF(M157="","",VLOOKUP(M157,'G-6 Hedgerow Data'!$B$2:$AG$15,2,FALSE))</f>
        <v/>
      </c>
      <c r="R157" s="499" t="str">
        <f>IF(M157="","",VLOOKUP(M157,'G-6 Hedgerow Data'!$B$2:$AG$15,3,FALSE))</f>
        <v/>
      </c>
      <c r="S157" s="145"/>
      <c r="T157" s="499" t="str">
        <f>IFERROR(IF(AND(Q157="V.Low",OR(S157="Good",S157="Moderate")),"Error ▲",VLOOKUP(S157,'G-1 All Habitats'!$Z$2:$AA$9,2,FALSE)),"")</f>
        <v/>
      </c>
      <c r="U157" s="145"/>
      <c r="V157" s="507" t="str">
        <f>IF(U157="","",IF(VLOOKUP(U157,'G-3 Multipliers'!$L$3:$N$6,2,FALSE)=0,"Spatial Data Missing ⚠",VLOOKUP(U157,'G-3 Multipliers'!$L$3:$N$6,2,FALSE)))</f>
        <v/>
      </c>
      <c r="W157" s="505" t="str">
        <f>IF(U157="","",IF(VLOOKUP(U157,'G-3 Multipliers'!$L$3:$N$6,3,FALSE)=0,"Spatial Data Missing ⚠",VLOOKUP(U157,'G-3 Multipliers'!$L$3:$N$6,3,FALSE)))</f>
        <v/>
      </c>
      <c r="X157" s="498"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7" t="str">
        <f t="shared" si="19"/>
        <v/>
      </c>
      <c r="AB157" s="521" t="str">
        <f t="shared" si="20"/>
        <v/>
      </c>
      <c r="AC157" s="522" t="str">
        <f t="shared" si="17"/>
        <v/>
      </c>
      <c r="AD157" s="537" t="str">
        <f>IF(M157="","",VLOOKUP(M157,'G-6 Hedgerow Data'!$B$3:$AG$15,31,FALSE))</f>
        <v/>
      </c>
      <c r="AE157" s="520" t="str">
        <f t="shared" si="21"/>
        <v/>
      </c>
      <c r="AF157" s="520" t="str">
        <f t="shared" si="22"/>
        <v/>
      </c>
      <c r="AG157" s="524" t="str">
        <f>IFERROR(IF(O157="","",VLOOKUP(AD157,'G-3 Multipliers'!$P$3:$Q$6,2,FALSE)),"")</f>
        <v/>
      </c>
      <c r="AH157" s="197"/>
      <c r="AI157" s="499" t="str">
        <f>IF(AH157="","",IF(VLOOKUP(AH157,'G-3 Multipliers'!$S$3:$T$6,2,FALSE)=0,"Spatial Data Missing ⚠",VLOOKUP(AH157,'G-3 Multipliers'!$S$3:$T$6,2,FALSE)))</f>
        <v/>
      </c>
      <c r="AJ157" s="545" t="str">
        <f t="shared" si="23"/>
        <v/>
      </c>
      <c r="AK157" s="149"/>
      <c r="AL157" s="150"/>
      <c r="AP157" s="31" t="str">
        <f>IFERROR(INDEX('G-6 Hedgerow Data'!$BJ$3:$BJ$15,MATCH(M157,'G-6 Hedgerow Data'!$B$3:$B$15,0)),"")</f>
        <v/>
      </c>
    </row>
    <row r="158" spans="2:42" ht="13.8" x14ac:dyDescent="0.25">
      <c r="B158" s="531" t="str">
        <f>'E-1 Off Site Hedge Baseline'!AK156</f>
        <v/>
      </c>
      <c r="C158" s="520" t="str">
        <f>IF(B158="","",IF(ISNA(VLOOKUP($B158,'E-1 Off Site Hedge Baseline'!$B$1:$L$257,3,FALSE)),"",(VLOOKUP($B158,'E-1 Off Site Hedge Baseline'!$B$1:$L$257,3,FALSE))))</f>
        <v/>
      </c>
      <c r="D158" s="520" t="str">
        <f>IF(B158="","",IF(ISNA(VLOOKUP($B158,'E-1 Off Site Hedge Baseline'!$B$1:$L$258,4,FALSE)),"",(VLOOKUP($B158,'E-1 Off Site Hedge Baseline'!$B$1:$L$258,4,FALSE))))</f>
        <v/>
      </c>
      <c r="E158" s="520" t="str">
        <f>IF(B158="","",IF(ISNA(VLOOKUP($B158,'E-1 Off Site Hedge Baseline'!$B$1:$L$257,5,FALSE)),"",(VLOOKUP($B158,'E-1 Off Site Hedge Baseline'!$B$1:$L$257,5,FALSE))))</f>
        <v/>
      </c>
      <c r="F158" s="520" t="str">
        <f>IF(B158="","",IF(ISNA(VLOOKUP($B158,'E-1 Off Site Hedge Baseline'!$B$1:$L$257,6,FALSE)),"",(VLOOKUP($B158,'E-1 Off Site Hedge Baseline'!$B$1:$L$257,6,FALSE))))</f>
        <v/>
      </c>
      <c r="G158" s="520" t="str">
        <f>IF(B158="","",IF(ISNA(VLOOKUP($B158,'E-1 Off Site Hedge Baseline'!$B$1:$L$257,7,FALSE)),"",(VLOOKUP($B158,'E-1 Off Site Hedge Baseline'!$B$1:$L$257,7,FALSE))))</f>
        <v/>
      </c>
      <c r="H158" s="520" t="str">
        <f>IF(B158="","",IF(ISNA(VLOOKUP($B158,'E-1 Off Site Hedge Baseline'!$B$1:$L$257,8,FALSE)),"",(VLOOKUP($B158,'E-1 Off Site Hedge Baseline'!$B$1:$L$257,8,FALSE))))</f>
        <v/>
      </c>
      <c r="I158" s="520" t="str">
        <f>IF(B158="","",IF(ISNA(VLOOKUP($B158,'E-1 Off Site Hedge Baseline'!$B$1:$L$257,10,FALSE)),"",(VLOOKUP($B158,'E-1 Off Site Hedge Baseline'!$B$1:$L$257,10,FALSE))))</f>
        <v/>
      </c>
      <c r="J158" s="520" t="str">
        <f>IF(B158="","",IF(ISNA(VLOOKUP($B158,'E-1 Off Site Hedge Baseline'!$B$1:$L$257,11,FALSE)),"",(VLOOKUP($B158,'E-1 Off Site Hedge Baseline'!$B$1:$L$257,11,FALSE))))</f>
        <v/>
      </c>
      <c r="K158" s="520" t="str">
        <f>IF(B158="","",IF(ISNA(VLOOKUP($B158,'E-1 Off Site Hedge Baseline'!$B$1:$U$257,113,FALSE)),"",(VLOOKUP($B158,'E-1 Off Site Hedge Baseline'!$B$1:$U$257,13,FALSE))))</f>
        <v/>
      </c>
      <c r="L158" s="507" t="str">
        <f>IF(B158="","",IF(ISNA(VLOOKUP($B158,'E-1 Off Site Hedge Baseline'!$B$1:$U$257,12,FALSE)),"",(VLOOKUP($B158,'E-1 Off Site Hedge Baseline'!$B$1:$U$257,12,FALSE))))</f>
        <v/>
      </c>
      <c r="M158" s="418" t="str">
        <f t="shared" si="24"/>
        <v/>
      </c>
      <c r="N158" s="498" t="str">
        <f>IFERROR(IF(B158="","",INDEX('G-6 Hedgerow Data'!$AN$3:$AZ$15,MATCH(C158,'G-6 Hedgerow Data'!$AM$3:$AM$15,0),MATCH(M158,'G-6 Hedgerow Data'!$AN$2:$AZ$2,0))),"")</f>
        <v/>
      </c>
      <c r="O158" s="499" t="str">
        <f t="shared" si="18"/>
        <v/>
      </c>
      <c r="P158" s="505" t="str">
        <f>IF(B158="","",VLOOKUP(B158,'E-1 Off Site Hedge Baseline'!$B$10:T403,16,FALSE))</f>
        <v/>
      </c>
      <c r="Q158" s="498" t="str">
        <f>IF(M158="","",VLOOKUP(M158,'G-6 Hedgerow Data'!$B$2:$AG$15,2,FALSE))</f>
        <v/>
      </c>
      <c r="R158" s="499" t="str">
        <f>IF(M158="","",VLOOKUP(M158,'G-6 Hedgerow Data'!$B$2:$AG$15,3,FALSE))</f>
        <v/>
      </c>
      <c r="S158" s="145"/>
      <c r="T158" s="499" t="str">
        <f>IFERROR(IF(AND(Q158="V.Low",OR(S158="Good",S158="Moderate")),"Error ▲",VLOOKUP(S158,'G-1 All Habitats'!$Z$2:$AA$9,2,FALSE)),"")</f>
        <v/>
      </c>
      <c r="U158" s="145"/>
      <c r="V158" s="507" t="str">
        <f>IF(U158="","",IF(VLOOKUP(U158,'G-3 Multipliers'!$L$3:$N$6,2,FALSE)=0,"Spatial Data Missing ⚠",VLOOKUP(U158,'G-3 Multipliers'!$L$3:$N$6,2,FALSE)))</f>
        <v/>
      </c>
      <c r="W158" s="505" t="str">
        <f>IF(U158="","",IF(VLOOKUP(U158,'G-3 Multipliers'!$L$3:$N$6,3,FALSE)=0,"Spatial Data Missing ⚠",VLOOKUP(U158,'G-3 Multipliers'!$L$3:$N$6,3,FALSE)))</f>
        <v/>
      </c>
      <c r="X158" s="498"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7" t="str">
        <f t="shared" si="19"/>
        <v/>
      </c>
      <c r="AB158" s="521" t="str">
        <f t="shared" si="20"/>
        <v/>
      </c>
      <c r="AC158" s="522" t="str">
        <f t="shared" si="17"/>
        <v/>
      </c>
      <c r="AD158" s="537" t="str">
        <f>IF(M158="","",VLOOKUP(M158,'G-6 Hedgerow Data'!$B$3:$AG$15,31,FALSE))</f>
        <v/>
      </c>
      <c r="AE158" s="520" t="str">
        <f t="shared" si="21"/>
        <v/>
      </c>
      <c r="AF158" s="520" t="str">
        <f t="shared" si="22"/>
        <v/>
      </c>
      <c r="AG158" s="524" t="str">
        <f>IFERROR(IF(O158="","",VLOOKUP(AD158,'G-3 Multipliers'!$P$3:$Q$6,2,FALSE)),"")</f>
        <v/>
      </c>
      <c r="AH158" s="197"/>
      <c r="AI158" s="499" t="str">
        <f>IF(AH158="","",IF(VLOOKUP(AH158,'G-3 Multipliers'!$S$3:$T$6,2,FALSE)=0,"Spatial Data Missing ⚠",VLOOKUP(AH158,'G-3 Multipliers'!$S$3:$T$6,2,FALSE)))</f>
        <v/>
      </c>
      <c r="AJ158" s="545" t="str">
        <f t="shared" si="23"/>
        <v/>
      </c>
      <c r="AK158" s="149"/>
      <c r="AL158" s="150"/>
      <c r="AP158" s="31" t="str">
        <f>IFERROR(INDEX('G-6 Hedgerow Data'!$BJ$3:$BJ$15,MATCH(M158,'G-6 Hedgerow Data'!$B$3:$B$15,0)),"")</f>
        <v/>
      </c>
    </row>
    <row r="159" spans="2:42" ht="13.8" x14ac:dyDescent="0.25">
      <c r="B159" s="531" t="str">
        <f>'E-1 Off Site Hedge Baseline'!AK157</f>
        <v/>
      </c>
      <c r="C159" s="520" t="str">
        <f>IF(B159="","",IF(ISNA(VLOOKUP($B159,'E-1 Off Site Hedge Baseline'!$B$1:$L$257,3,FALSE)),"",(VLOOKUP($B159,'E-1 Off Site Hedge Baseline'!$B$1:$L$257,3,FALSE))))</f>
        <v/>
      </c>
      <c r="D159" s="520" t="str">
        <f>IF(B159="","",IF(ISNA(VLOOKUP($B159,'E-1 Off Site Hedge Baseline'!$B$1:$L$258,4,FALSE)),"",(VLOOKUP($B159,'E-1 Off Site Hedge Baseline'!$B$1:$L$258,4,FALSE))))</f>
        <v/>
      </c>
      <c r="E159" s="520" t="str">
        <f>IF(B159="","",IF(ISNA(VLOOKUP($B159,'E-1 Off Site Hedge Baseline'!$B$1:$L$257,5,FALSE)),"",(VLOOKUP($B159,'E-1 Off Site Hedge Baseline'!$B$1:$L$257,5,FALSE))))</f>
        <v/>
      </c>
      <c r="F159" s="520" t="str">
        <f>IF(B159="","",IF(ISNA(VLOOKUP($B159,'E-1 Off Site Hedge Baseline'!$B$1:$L$257,6,FALSE)),"",(VLOOKUP($B159,'E-1 Off Site Hedge Baseline'!$B$1:$L$257,6,FALSE))))</f>
        <v/>
      </c>
      <c r="G159" s="520" t="str">
        <f>IF(B159="","",IF(ISNA(VLOOKUP($B159,'E-1 Off Site Hedge Baseline'!$B$1:$L$257,7,FALSE)),"",(VLOOKUP($B159,'E-1 Off Site Hedge Baseline'!$B$1:$L$257,7,FALSE))))</f>
        <v/>
      </c>
      <c r="H159" s="520" t="str">
        <f>IF(B159="","",IF(ISNA(VLOOKUP($B159,'E-1 Off Site Hedge Baseline'!$B$1:$L$257,8,FALSE)),"",(VLOOKUP($B159,'E-1 Off Site Hedge Baseline'!$B$1:$L$257,8,FALSE))))</f>
        <v/>
      </c>
      <c r="I159" s="520" t="str">
        <f>IF(B159="","",IF(ISNA(VLOOKUP($B159,'E-1 Off Site Hedge Baseline'!$B$1:$L$257,10,FALSE)),"",(VLOOKUP($B159,'E-1 Off Site Hedge Baseline'!$B$1:$L$257,10,FALSE))))</f>
        <v/>
      </c>
      <c r="J159" s="520" t="str">
        <f>IF(B159="","",IF(ISNA(VLOOKUP($B159,'E-1 Off Site Hedge Baseline'!$B$1:$L$257,11,FALSE)),"",(VLOOKUP($B159,'E-1 Off Site Hedge Baseline'!$B$1:$L$257,11,FALSE))))</f>
        <v/>
      </c>
      <c r="K159" s="520" t="str">
        <f>IF(B159="","",IF(ISNA(VLOOKUP($B159,'E-1 Off Site Hedge Baseline'!$B$1:$U$257,113,FALSE)),"",(VLOOKUP($B159,'E-1 Off Site Hedge Baseline'!$B$1:$U$257,13,FALSE))))</f>
        <v/>
      </c>
      <c r="L159" s="507" t="str">
        <f>IF(B159="","",IF(ISNA(VLOOKUP($B159,'E-1 Off Site Hedge Baseline'!$B$1:$U$257,12,FALSE)),"",(VLOOKUP($B159,'E-1 Off Site Hedge Baseline'!$B$1:$U$257,12,FALSE))))</f>
        <v/>
      </c>
      <c r="M159" s="418" t="str">
        <f t="shared" si="24"/>
        <v/>
      </c>
      <c r="N159" s="498" t="str">
        <f>IFERROR(IF(B159="","",INDEX('G-6 Hedgerow Data'!$AN$3:$AZ$15,MATCH(C159,'G-6 Hedgerow Data'!$AM$3:$AM$15,0),MATCH(M159,'G-6 Hedgerow Data'!$AN$2:$AZ$2,0))),"")</f>
        <v/>
      </c>
      <c r="O159" s="499" t="str">
        <f t="shared" si="18"/>
        <v/>
      </c>
      <c r="P159" s="505" t="str">
        <f>IF(B159="","",VLOOKUP(B159,'E-1 Off Site Hedge Baseline'!$B$10:T404,16,FALSE))</f>
        <v/>
      </c>
      <c r="Q159" s="498" t="str">
        <f>IF(M159="","",VLOOKUP(M159,'G-6 Hedgerow Data'!$B$2:$AG$15,2,FALSE))</f>
        <v/>
      </c>
      <c r="R159" s="499" t="str">
        <f>IF(M159="","",VLOOKUP(M159,'G-6 Hedgerow Data'!$B$2:$AG$15,3,FALSE))</f>
        <v/>
      </c>
      <c r="S159" s="145"/>
      <c r="T159" s="499" t="str">
        <f>IFERROR(IF(AND(Q159="V.Low",OR(S159="Good",S159="Moderate")),"Error ▲",VLOOKUP(S159,'G-1 All Habitats'!$Z$2:$AA$9,2,FALSE)),"")</f>
        <v/>
      </c>
      <c r="U159" s="145"/>
      <c r="V159" s="507" t="str">
        <f>IF(U159="","",IF(VLOOKUP(U159,'G-3 Multipliers'!$L$3:$N$6,2,FALSE)=0,"Spatial Data Missing ⚠",VLOOKUP(U159,'G-3 Multipliers'!$L$3:$N$6,2,FALSE)))</f>
        <v/>
      </c>
      <c r="W159" s="505" t="str">
        <f>IF(U159="","",IF(VLOOKUP(U159,'G-3 Multipliers'!$L$3:$N$6,3,FALSE)=0,"Spatial Data Missing ⚠",VLOOKUP(U159,'G-3 Multipliers'!$L$3:$N$6,3,FALSE)))</f>
        <v/>
      </c>
      <c r="X159" s="498"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7" t="str">
        <f t="shared" si="19"/>
        <v/>
      </c>
      <c r="AB159" s="521" t="str">
        <f t="shared" si="20"/>
        <v/>
      </c>
      <c r="AC159" s="522" t="str">
        <f t="shared" si="17"/>
        <v/>
      </c>
      <c r="AD159" s="537" t="str">
        <f>IF(M159="","",VLOOKUP(M159,'G-6 Hedgerow Data'!$B$3:$AG$15,31,FALSE))</f>
        <v/>
      </c>
      <c r="AE159" s="520" t="str">
        <f t="shared" si="21"/>
        <v/>
      </c>
      <c r="AF159" s="520" t="str">
        <f t="shared" si="22"/>
        <v/>
      </c>
      <c r="AG159" s="524" t="str">
        <f>IFERROR(IF(O159="","",VLOOKUP(AD159,'G-3 Multipliers'!$P$3:$Q$6,2,FALSE)),"")</f>
        <v/>
      </c>
      <c r="AH159" s="197"/>
      <c r="AI159" s="499" t="str">
        <f>IF(AH159="","",IF(VLOOKUP(AH159,'G-3 Multipliers'!$S$3:$T$6,2,FALSE)=0,"Spatial Data Missing ⚠",VLOOKUP(AH159,'G-3 Multipliers'!$S$3:$T$6,2,FALSE)))</f>
        <v/>
      </c>
      <c r="AJ159" s="545" t="str">
        <f t="shared" si="23"/>
        <v/>
      </c>
      <c r="AK159" s="149"/>
      <c r="AL159" s="150"/>
      <c r="AP159" s="31" t="str">
        <f>IFERROR(INDEX('G-6 Hedgerow Data'!$BJ$3:$BJ$15,MATCH(M159,'G-6 Hedgerow Data'!$B$3:$B$15,0)),"")</f>
        <v/>
      </c>
    </row>
    <row r="160" spans="2:42" ht="13.8" x14ac:dyDescent="0.25">
      <c r="B160" s="531" t="str">
        <f>'E-1 Off Site Hedge Baseline'!AK158</f>
        <v/>
      </c>
      <c r="C160" s="520" t="str">
        <f>IF(B160="","",IF(ISNA(VLOOKUP($B160,'E-1 Off Site Hedge Baseline'!$B$1:$L$257,3,FALSE)),"",(VLOOKUP($B160,'E-1 Off Site Hedge Baseline'!$B$1:$L$257,3,FALSE))))</f>
        <v/>
      </c>
      <c r="D160" s="520" t="str">
        <f>IF(B160="","",IF(ISNA(VLOOKUP($B160,'E-1 Off Site Hedge Baseline'!$B$1:$L$258,4,FALSE)),"",(VLOOKUP($B160,'E-1 Off Site Hedge Baseline'!$B$1:$L$258,4,FALSE))))</f>
        <v/>
      </c>
      <c r="E160" s="520" t="str">
        <f>IF(B160="","",IF(ISNA(VLOOKUP($B160,'E-1 Off Site Hedge Baseline'!$B$1:$L$257,5,FALSE)),"",(VLOOKUP($B160,'E-1 Off Site Hedge Baseline'!$B$1:$L$257,5,FALSE))))</f>
        <v/>
      </c>
      <c r="F160" s="520" t="str">
        <f>IF(B160="","",IF(ISNA(VLOOKUP($B160,'E-1 Off Site Hedge Baseline'!$B$1:$L$257,6,FALSE)),"",(VLOOKUP($B160,'E-1 Off Site Hedge Baseline'!$B$1:$L$257,6,FALSE))))</f>
        <v/>
      </c>
      <c r="G160" s="520" t="str">
        <f>IF(B160="","",IF(ISNA(VLOOKUP($B160,'E-1 Off Site Hedge Baseline'!$B$1:$L$257,7,FALSE)),"",(VLOOKUP($B160,'E-1 Off Site Hedge Baseline'!$B$1:$L$257,7,FALSE))))</f>
        <v/>
      </c>
      <c r="H160" s="520" t="str">
        <f>IF(B160="","",IF(ISNA(VLOOKUP($B160,'E-1 Off Site Hedge Baseline'!$B$1:$L$257,8,FALSE)),"",(VLOOKUP($B160,'E-1 Off Site Hedge Baseline'!$B$1:$L$257,8,FALSE))))</f>
        <v/>
      </c>
      <c r="I160" s="520" t="str">
        <f>IF(B160="","",IF(ISNA(VLOOKUP($B160,'E-1 Off Site Hedge Baseline'!$B$1:$L$257,10,FALSE)),"",(VLOOKUP($B160,'E-1 Off Site Hedge Baseline'!$B$1:$L$257,10,FALSE))))</f>
        <v/>
      </c>
      <c r="J160" s="520" t="str">
        <f>IF(B160="","",IF(ISNA(VLOOKUP($B160,'E-1 Off Site Hedge Baseline'!$B$1:$L$257,11,FALSE)),"",(VLOOKUP($B160,'E-1 Off Site Hedge Baseline'!$B$1:$L$257,11,FALSE))))</f>
        <v/>
      </c>
      <c r="K160" s="520" t="str">
        <f>IF(B160="","",IF(ISNA(VLOOKUP($B160,'E-1 Off Site Hedge Baseline'!$B$1:$U$257,113,FALSE)),"",(VLOOKUP($B160,'E-1 Off Site Hedge Baseline'!$B$1:$U$257,13,FALSE))))</f>
        <v/>
      </c>
      <c r="L160" s="507" t="str">
        <f>IF(B160="","",IF(ISNA(VLOOKUP($B160,'E-1 Off Site Hedge Baseline'!$B$1:$U$257,12,FALSE)),"",(VLOOKUP($B160,'E-1 Off Site Hedge Baseline'!$B$1:$U$257,12,FALSE))))</f>
        <v/>
      </c>
      <c r="M160" s="418" t="str">
        <f t="shared" si="24"/>
        <v/>
      </c>
      <c r="N160" s="498" t="str">
        <f>IFERROR(IF(B160="","",INDEX('G-6 Hedgerow Data'!$AN$3:$AZ$15,MATCH(C160,'G-6 Hedgerow Data'!$AM$3:$AM$15,0),MATCH(M160,'G-6 Hedgerow Data'!$AN$2:$AZ$2,0))),"")</f>
        <v/>
      </c>
      <c r="O160" s="499" t="str">
        <f t="shared" si="18"/>
        <v/>
      </c>
      <c r="P160" s="505" t="str">
        <f>IF(B160="","",VLOOKUP(B160,'E-1 Off Site Hedge Baseline'!$B$10:T405,16,FALSE))</f>
        <v/>
      </c>
      <c r="Q160" s="498" t="str">
        <f>IF(M160="","",VLOOKUP(M160,'G-6 Hedgerow Data'!$B$2:$AG$15,2,FALSE))</f>
        <v/>
      </c>
      <c r="R160" s="499" t="str">
        <f>IF(M160="","",VLOOKUP(M160,'G-6 Hedgerow Data'!$B$2:$AG$15,3,FALSE))</f>
        <v/>
      </c>
      <c r="S160" s="145"/>
      <c r="T160" s="499" t="str">
        <f>IFERROR(IF(AND(Q160="V.Low",OR(S160="Good",S160="Moderate")),"Error ▲",VLOOKUP(S160,'G-1 All Habitats'!$Z$2:$AA$9,2,FALSE)),"")</f>
        <v/>
      </c>
      <c r="U160" s="145"/>
      <c r="V160" s="507" t="str">
        <f>IF(U160="","",IF(VLOOKUP(U160,'G-3 Multipliers'!$L$3:$N$6,2,FALSE)=0,"Spatial Data Missing ⚠",VLOOKUP(U160,'G-3 Multipliers'!$L$3:$N$6,2,FALSE)))</f>
        <v/>
      </c>
      <c r="W160" s="505" t="str">
        <f>IF(U160="","",IF(VLOOKUP(U160,'G-3 Multipliers'!$L$3:$N$6,3,FALSE)=0,"Spatial Data Missing ⚠",VLOOKUP(U160,'G-3 Multipliers'!$L$3:$N$6,3,FALSE)))</f>
        <v/>
      </c>
      <c r="X160" s="498"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7" t="str">
        <f t="shared" si="19"/>
        <v/>
      </c>
      <c r="AB160" s="521" t="str">
        <f t="shared" si="20"/>
        <v/>
      </c>
      <c r="AC160" s="522" t="str">
        <f t="shared" si="17"/>
        <v/>
      </c>
      <c r="AD160" s="537" t="str">
        <f>IF(M160="","",VLOOKUP(M160,'G-6 Hedgerow Data'!$B$3:$AG$15,31,FALSE))</f>
        <v/>
      </c>
      <c r="AE160" s="520" t="str">
        <f t="shared" si="21"/>
        <v/>
      </c>
      <c r="AF160" s="520" t="str">
        <f t="shared" si="22"/>
        <v/>
      </c>
      <c r="AG160" s="524" t="str">
        <f>IFERROR(IF(O160="","",VLOOKUP(AD160,'G-3 Multipliers'!$P$3:$Q$6,2,FALSE)),"")</f>
        <v/>
      </c>
      <c r="AH160" s="197"/>
      <c r="AI160" s="499" t="str">
        <f>IF(AH160="","",IF(VLOOKUP(AH160,'G-3 Multipliers'!$S$3:$T$6,2,FALSE)=0,"Spatial Data Missing ⚠",VLOOKUP(AH160,'G-3 Multipliers'!$S$3:$T$6,2,FALSE)))</f>
        <v/>
      </c>
      <c r="AJ160" s="545" t="str">
        <f t="shared" si="23"/>
        <v/>
      </c>
      <c r="AK160" s="149"/>
      <c r="AL160" s="150"/>
      <c r="AP160" s="31" t="str">
        <f>IFERROR(INDEX('G-6 Hedgerow Data'!$BJ$3:$BJ$15,MATCH(M160,'G-6 Hedgerow Data'!$B$3:$B$15,0)),"")</f>
        <v/>
      </c>
    </row>
    <row r="161" spans="2:42" ht="13.8" x14ac:dyDescent="0.25">
      <c r="B161" s="531" t="str">
        <f>'E-1 Off Site Hedge Baseline'!AK159</f>
        <v/>
      </c>
      <c r="C161" s="520" t="str">
        <f>IF(B161="","",IF(ISNA(VLOOKUP($B161,'E-1 Off Site Hedge Baseline'!$B$1:$L$257,3,FALSE)),"",(VLOOKUP($B161,'E-1 Off Site Hedge Baseline'!$B$1:$L$257,3,FALSE))))</f>
        <v/>
      </c>
      <c r="D161" s="520" t="str">
        <f>IF(B161="","",IF(ISNA(VLOOKUP($B161,'E-1 Off Site Hedge Baseline'!$B$1:$L$258,4,FALSE)),"",(VLOOKUP($B161,'E-1 Off Site Hedge Baseline'!$B$1:$L$258,4,FALSE))))</f>
        <v/>
      </c>
      <c r="E161" s="520" t="str">
        <f>IF(B161="","",IF(ISNA(VLOOKUP($B161,'E-1 Off Site Hedge Baseline'!$B$1:$L$257,5,FALSE)),"",(VLOOKUP($B161,'E-1 Off Site Hedge Baseline'!$B$1:$L$257,5,FALSE))))</f>
        <v/>
      </c>
      <c r="F161" s="520" t="str">
        <f>IF(B161="","",IF(ISNA(VLOOKUP($B161,'E-1 Off Site Hedge Baseline'!$B$1:$L$257,6,FALSE)),"",(VLOOKUP($B161,'E-1 Off Site Hedge Baseline'!$B$1:$L$257,6,FALSE))))</f>
        <v/>
      </c>
      <c r="G161" s="520" t="str">
        <f>IF(B161="","",IF(ISNA(VLOOKUP($B161,'E-1 Off Site Hedge Baseline'!$B$1:$L$257,7,FALSE)),"",(VLOOKUP($B161,'E-1 Off Site Hedge Baseline'!$B$1:$L$257,7,FALSE))))</f>
        <v/>
      </c>
      <c r="H161" s="520" t="str">
        <f>IF(B161="","",IF(ISNA(VLOOKUP($B161,'E-1 Off Site Hedge Baseline'!$B$1:$L$257,8,FALSE)),"",(VLOOKUP($B161,'E-1 Off Site Hedge Baseline'!$B$1:$L$257,8,FALSE))))</f>
        <v/>
      </c>
      <c r="I161" s="520" t="str">
        <f>IF(B161="","",IF(ISNA(VLOOKUP($B161,'E-1 Off Site Hedge Baseline'!$B$1:$L$257,10,FALSE)),"",(VLOOKUP($B161,'E-1 Off Site Hedge Baseline'!$B$1:$L$257,10,FALSE))))</f>
        <v/>
      </c>
      <c r="J161" s="520" t="str">
        <f>IF(B161="","",IF(ISNA(VLOOKUP($B161,'E-1 Off Site Hedge Baseline'!$B$1:$L$257,11,FALSE)),"",(VLOOKUP($B161,'E-1 Off Site Hedge Baseline'!$B$1:$L$257,11,FALSE))))</f>
        <v/>
      </c>
      <c r="K161" s="520" t="str">
        <f>IF(B161="","",IF(ISNA(VLOOKUP($B161,'E-1 Off Site Hedge Baseline'!$B$1:$U$257,113,FALSE)),"",(VLOOKUP($B161,'E-1 Off Site Hedge Baseline'!$B$1:$U$257,13,FALSE))))</f>
        <v/>
      </c>
      <c r="L161" s="507" t="str">
        <f>IF(B161="","",IF(ISNA(VLOOKUP($B161,'E-1 Off Site Hedge Baseline'!$B$1:$U$257,12,FALSE)),"",(VLOOKUP($B161,'E-1 Off Site Hedge Baseline'!$B$1:$U$257,12,FALSE))))</f>
        <v/>
      </c>
      <c r="M161" s="418" t="str">
        <f t="shared" si="24"/>
        <v/>
      </c>
      <c r="N161" s="498" t="str">
        <f>IFERROR(IF(B161="","",INDEX('G-6 Hedgerow Data'!$AN$3:$AZ$15,MATCH(C161,'G-6 Hedgerow Data'!$AM$3:$AM$15,0),MATCH(M161,'G-6 Hedgerow Data'!$AN$2:$AZ$2,0))),"")</f>
        <v/>
      </c>
      <c r="O161" s="499" t="str">
        <f t="shared" si="18"/>
        <v/>
      </c>
      <c r="P161" s="505" t="str">
        <f>IF(B161="","",VLOOKUP(B161,'E-1 Off Site Hedge Baseline'!$B$10:T406,16,FALSE))</f>
        <v/>
      </c>
      <c r="Q161" s="498" t="str">
        <f>IF(M161="","",VLOOKUP(M161,'G-6 Hedgerow Data'!$B$2:$AG$15,2,FALSE))</f>
        <v/>
      </c>
      <c r="R161" s="499" t="str">
        <f>IF(M161="","",VLOOKUP(M161,'G-6 Hedgerow Data'!$B$2:$AG$15,3,FALSE))</f>
        <v/>
      </c>
      <c r="S161" s="145"/>
      <c r="T161" s="499" t="str">
        <f>IFERROR(IF(AND(Q161="V.Low",OR(S161="Good",S161="Moderate")),"Error ▲",VLOOKUP(S161,'G-1 All Habitats'!$Z$2:$AA$9,2,FALSE)),"")</f>
        <v/>
      </c>
      <c r="U161" s="145"/>
      <c r="V161" s="507" t="str">
        <f>IF(U161="","",IF(VLOOKUP(U161,'G-3 Multipliers'!$L$3:$N$6,2,FALSE)=0,"Spatial Data Missing ⚠",VLOOKUP(U161,'G-3 Multipliers'!$L$3:$N$6,2,FALSE)))</f>
        <v/>
      </c>
      <c r="W161" s="505" t="str">
        <f>IF(U161="","",IF(VLOOKUP(U161,'G-3 Multipliers'!$L$3:$N$6,3,FALSE)=0,"Spatial Data Missing ⚠",VLOOKUP(U161,'G-3 Multipliers'!$L$3:$N$6,3,FALSE)))</f>
        <v/>
      </c>
      <c r="X161" s="498"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7" t="str">
        <f t="shared" si="19"/>
        <v/>
      </c>
      <c r="AB161" s="521" t="str">
        <f t="shared" si="20"/>
        <v/>
      </c>
      <c r="AC161" s="522" t="str">
        <f t="shared" si="17"/>
        <v/>
      </c>
      <c r="AD161" s="537" t="str">
        <f>IF(M161="","",VLOOKUP(M161,'G-6 Hedgerow Data'!$B$3:$AG$15,31,FALSE))</f>
        <v/>
      </c>
      <c r="AE161" s="520" t="str">
        <f t="shared" si="21"/>
        <v/>
      </c>
      <c r="AF161" s="520" t="str">
        <f t="shared" si="22"/>
        <v/>
      </c>
      <c r="AG161" s="524" t="str">
        <f>IFERROR(IF(O161="","",VLOOKUP(AD161,'G-3 Multipliers'!$P$3:$Q$6,2,FALSE)),"")</f>
        <v/>
      </c>
      <c r="AH161" s="197"/>
      <c r="AI161" s="499" t="str">
        <f>IF(AH161="","",IF(VLOOKUP(AH161,'G-3 Multipliers'!$S$3:$T$6,2,FALSE)=0,"Spatial Data Missing ⚠",VLOOKUP(AH161,'G-3 Multipliers'!$S$3:$T$6,2,FALSE)))</f>
        <v/>
      </c>
      <c r="AJ161" s="545" t="str">
        <f t="shared" si="23"/>
        <v/>
      </c>
      <c r="AK161" s="149"/>
      <c r="AL161" s="150"/>
      <c r="AP161" s="31" t="str">
        <f>IFERROR(INDEX('G-6 Hedgerow Data'!$BJ$3:$BJ$15,MATCH(M161,'G-6 Hedgerow Data'!$B$3:$B$15,0)),"")</f>
        <v/>
      </c>
    </row>
    <row r="162" spans="2:42" ht="13.8" x14ac:dyDescent="0.25">
      <c r="B162" s="531" t="str">
        <f>'E-1 Off Site Hedge Baseline'!AK160</f>
        <v/>
      </c>
      <c r="C162" s="520" t="str">
        <f>IF(B162="","",IF(ISNA(VLOOKUP($B162,'E-1 Off Site Hedge Baseline'!$B$1:$L$257,3,FALSE)),"",(VLOOKUP($B162,'E-1 Off Site Hedge Baseline'!$B$1:$L$257,3,FALSE))))</f>
        <v/>
      </c>
      <c r="D162" s="520" t="str">
        <f>IF(B162="","",IF(ISNA(VLOOKUP($B162,'E-1 Off Site Hedge Baseline'!$B$1:$L$258,4,FALSE)),"",(VLOOKUP($B162,'E-1 Off Site Hedge Baseline'!$B$1:$L$258,4,FALSE))))</f>
        <v/>
      </c>
      <c r="E162" s="520" t="str">
        <f>IF(B162="","",IF(ISNA(VLOOKUP($B162,'E-1 Off Site Hedge Baseline'!$B$1:$L$257,5,FALSE)),"",(VLOOKUP($B162,'E-1 Off Site Hedge Baseline'!$B$1:$L$257,5,FALSE))))</f>
        <v/>
      </c>
      <c r="F162" s="520" t="str">
        <f>IF(B162="","",IF(ISNA(VLOOKUP($B162,'E-1 Off Site Hedge Baseline'!$B$1:$L$257,6,FALSE)),"",(VLOOKUP($B162,'E-1 Off Site Hedge Baseline'!$B$1:$L$257,6,FALSE))))</f>
        <v/>
      </c>
      <c r="G162" s="520" t="str">
        <f>IF(B162="","",IF(ISNA(VLOOKUP($B162,'E-1 Off Site Hedge Baseline'!$B$1:$L$257,7,FALSE)),"",(VLOOKUP($B162,'E-1 Off Site Hedge Baseline'!$B$1:$L$257,7,FALSE))))</f>
        <v/>
      </c>
      <c r="H162" s="520" t="str">
        <f>IF(B162="","",IF(ISNA(VLOOKUP($B162,'E-1 Off Site Hedge Baseline'!$B$1:$L$257,8,FALSE)),"",(VLOOKUP($B162,'E-1 Off Site Hedge Baseline'!$B$1:$L$257,8,FALSE))))</f>
        <v/>
      </c>
      <c r="I162" s="520" t="str">
        <f>IF(B162="","",IF(ISNA(VLOOKUP($B162,'E-1 Off Site Hedge Baseline'!$B$1:$L$257,10,FALSE)),"",(VLOOKUP($B162,'E-1 Off Site Hedge Baseline'!$B$1:$L$257,10,FALSE))))</f>
        <v/>
      </c>
      <c r="J162" s="520" t="str">
        <f>IF(B162="","",IF(ISNA(VLOOKUP($B162,'E-1 Off Site Hedge Baseline'!$B$1:$L$257,11,FALSE)),"",(VLOOKUP($B162,'E-1 Off Site Hedge Baseline'!$B$1:$L$257,11,FALSE))))</f>
        <v/>
      </c>
      <c r="K162" s="520" t="str">
        <f>IF(B162="","",IF(ISNA(VLOOKUP($B162,'E-1 Off Site Hedge Baseline'!$B$1:$U$257,113,FALSE)),"",(VLOOKUP($B162,'E-1 Off Site Hedge Baseline'!$B$1:$U$257,13,FALSE))))</f>
        <v/>
      </c>
      <c r="L162" s="507" t="str">
        <f>IF(B162="","",IF(ISNA(VLOOKUP($B162,'E-1 Off Site Hedge Baseline'!$B$1:$U$257,12,FALSE)),"",(VLOOKUP($B162,'E-1 Off Site Hedge Baseline'!$B$1:$U$257,12,FALSE))))</f>
        <v/>
      </c>
      <c r="M162" s="418" t="str">
        <f t="shared" si="24"/>
        <v/>
      </c>
      <c r="N162" s="498" t="str">
        <f>IFERROR(IF(B162="","",INDEX('G-6 Hedgerow Data'!$AN$3:$AZ$15,MATCH(C162,'G-6 Hedgerow Data'!$AM$3:$AM$15,0),MATCH(M162,'G-6 Hedgerow Data'!$AN$2:$AZ$2,0))),"")</f>
        <v/>
      </c>
      <c r="O162" s="499" t="str">
        <f t="shared" si="18"/>
        <v/>
      </c>
      <c r="P162" s="505" t="str">
        <f>IF(B162="","",VLOOKUP(B162,'E-1 Off Site Hedge Baseline'!$B$10:T407,16,FALSE))</f>
        <v/>
      </c>
      <c r="Q162" s="498" t="str">
        <f>IF(M162="","",VLOOKUP(M162,'G-6 Hedgerow Data'!$B$2:$AG$15,2,FALSE))</f>
        <v/>
      </c>
      <c r="R162" s="499" t="str">
        <f>IF(M162="","",VLOOKUP(M162,'G-6 Hedgerow Data'!$B$2:$AG$15,3,FALSE))</f>
        <v/>
      </c>
      <c r="S162" s="145"/>
      <c r="T162" s="499" t="str">
        <f>IFERROR(IF(AND(Q162="V.Low",OR(S162="Good",S162="Moderate")),"Error ▲",VLOOKUP(S162,'G-1 All Habitats'!$Z$2:$AA$9,2,FALSE)),"")</f>
        <v/>
      </c>
      <c r="U162" s="145"/>
      <c r="V162" s="507" t="str">
        <f>IF(U162="","",IF(VLOOKUP(U162,'G-3 Multipliers'!$L$3:$N$6,2,FALSE)=0,"Spatial Data Missing ⚠",VLOOKUP(U162,'G-3 Multipliers'!$L$3:$N$6,2,FALSE)))</f>
        <v/>
      </c>
      <c r="W162" s="505" t="str">
        <f>IF(U162="","",IF(VLOOKUP(U162,'G-3 Multipliers'!$L$3:$N$6,3,FALSE)=0,"Spatial Data Missing ⚠",VLOOKUP(U162,'G-3 Multipliers'!$L$3:$N$6,3,FALSE)))</f>
        <v/>
      </c>
      <c r="X162" s="498"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7" t="str">
        <f t="shared" si="19"/>
        <v/>
      </c>
      <c r="AB162" s="521" t="str">
        <f t="shared" si="20"/>
        <v/>
      </c>
      <c r="AC162" s="522" t="str">
        <f t="shared" si="17"/>
        <v/>
      </c>
      <c r="AD162" s="537" t="str">
        <f>IF(M162="","",VLOOKUP(M162,'G-6 Hedgerow Data'!$B$3:$AG$15,31,FALSE))</f>
        <v/>
      </c>
      <c r="AE162" s="520" t="str">
        <f t="shared" si="21"/>
        <v/>
      </c>
      <c r="AF162" s="520" t="str">
        <f t="shared" si="22"/>
        <v/>
      </c>
      <c r="AG162" s="524" t="str">
        <f>IFERROR(IF(O162="","",VLOOKUP(AD162,'G-3 Multipliers'!$P$3:$Q$6,2,FALSE)),"")</f>
        <v/>
      </c>
      <c r="AH162" s="197"/>
      <c r="AI162" s="499" t="str">
        <f>IF(AH162="","",IF(VLOOKUP(AH162,'G-3 Multipliers'!$S$3:$T$6,2,FALSE)=0,"Spatial Data Missing ⚠",VLOOKUP(AH162,'G-3 Multipliers'!$S$3:$T$6,2,FALSE)))</f>
        <v/>
      </c>
      <c r="AJ162" s="545" t="str">
        <f t="shared" si="23"/>
        <v/>
      </c>
      <c r="AK162" s="149"/>
      <c r="AL162" s="150"/>
      <c r="AP162" s="31" t="str">
        <f>IFERROR(INDEX('G-6 Hedgerow Data'!$BJ$3:$BJ$15,MATCH(M162,'G-6 Hedgerow Data'!$B$3:$B$15,0)),"")</f>
        <v/>
      </c>
    </row>
    <row r="163" spans="2:42" ht="13.8" x14ac:dyDescent="0.25">
      <c r="B163" s="531" t="str">
        <f>'E-1 Off Site Hedge Baseline'!AK161</f>
        <v/>
      </c>
      <c r="C163" s="520" t="str">
        <f>IF(B163="","",IF(ISNA(VLOOKUP($B163,'E-1 Off Site Hedge Baseline'!$B$1:$L$257,3,FALSE)),"",(VLOOKUP($B163,'E-1 Off Site Hedge Baseline'!$B$1:$L$257,3,FALSE))))</f>
        <v/>
      </c>
      <c r="D163" s="520" t="str">
        <f>IF(B163="","",IF(ISNA(VLOOKUP($B163,'E-1 Off Site Hedge Baseline'!$B$1:$L$258,4,FALSE)),"",(VLOOKUP($B163,'E-1 Off Site Hedge Baseline'!$B$1:$L$258,4,FALSE))))</f>
        <v/>
      </c>
      <c r="E163" s="520" t="str">
        <f>IF(B163="","",IF(ISNA(VLOOKUP($B163,'E-1 Off Site Hedge Baseline'!$B$1:$L$257,5,FALSE)),"",(VLOOKUP($B163,'E-1 Off Site Hedge Baseline'!$B$1:$L$257,5,FALSE))))</f>
        <v/>
      </c>
      <c r="F163" s="520" t="str">
        <f>IF(B163="","",IF(ISNA(VLOOKUP($B163,'E-1 Off Site Hedge Baseline'!$B$1:$L$257,6,FALSE)),"",(VLOOKUP($B163,'E-1 Off Site Hedge Baseline'!$B$1:$L$257,6,FALSE))))</f>
        <v/>
      </c>
      <c r="G163" s="520" t="str">
        <f>IF(B163="","",IF(ISNA(VLOOKUP($B163,'E-1 Off Site Hedge Baseline'!$B$1:$L$257,7,FALSE)),"",(VLOOKUP($B163,'E-1 Off Site Hedge Baseline'!$B$1:$L$257,7,FALSE))))</f>
        <v/>
      </c>
      <c r="H163" s="520" t="str">
        <f>IF(B163="","",IF(ISNA(VLOOKUP($B163,'E-1 Off Site Hedge Baseline'!$B$1:$L$257,8,FALSE)),"",(VLOOKUP($B163,'E-1 Off Site Hedge Baseline'!$B$1:$L$257,8,FALSE))))</f>
        <v/>
      </c>
      <c r="I163" s="520" t="str">
        <f>IF(B163="","",IF(ISNA(VLOOKUP($B163,'E-1 Off Site Hedge Baseline'!$B$1:$L$257,10,FALSE)),"",(VLOOKUP($B163,'E-1 Off Site Hedge Baseline'!$B$1:$L$257,10,FALSE))))</f>
        <v/>
      </c>
      <c r="J163" s="520" t="str">
        <f>IF(B163="","",IF(ISNA(VLOOKUP($B163,'E-1 Off Site Hedge Baseline'!$B$1:$L$257,11,FALSE)),"",(VLOOKUP($B163,'E-1 Off Site Hedge Baseline'!$B$1:$L$257,11,FALSE))))</f>
        <v/>
      </c>
      <c r="K163" s="520" t="str">
        <f>IF(B163="","",IF(ISNA(VLOOKUP($B163,'E-1 Off Site Hedge Baseline'!$B$1:$U$257,113,FALSE)),"",(VLOOKUP($B163,'E-1 Off Site Hedge Baseline'!$B$1:$U$257,13,FALSE))))</f>
        <v/>
      </c>
      <c r="L163" s="507" t="str">
        <f>IF(B163="","",IF(ISNA(VLOOKUP($B163,'E-1 Off Site Hedge Baseline'!$B$1:$U$257,12,FALSE)),"",(VLOOKUP($B163,'E-1 Off Site Hedge Baseline'!$B$1:$U$257,12,FALSE))))</f>
        <v/>
      </c>
      <c r="M163" s="418" t="str">
        <f t="shared" si="24"/>
        <v/>
      </c>
      <c r="N163" s="498" t="str">
        <f>IFERROR(IF(B163="","",INDEX('G-6 Hedgerow Data'!$AN$3:$AZ$15,MATCH(C163,'G-6 Hedgerow Data'!$AM$3:$AM$15,0),MATCH(M163,'G-6 Hedgerow Data'!$AN$2:$AZ$2,0))),"")</f>
        <v/>
      </c>
      <c r="O163" s="499" t="str">
        <f t="shared" si="18"/>
        <v/>
      </c>
      <c r="P163" s="505" t="str">
        <f>IF(B163="","",VLOOKUP(B163,'E-1 Off Site Hedge Baseline'!$B$10:T408,16,FALSE))</f>
        <v/>
      </c>
      <c r="Q163" s="498" t="str">
        <f>IF(M163="","",VLOOKUP(M163,'G-6 Hedgerow Data'!$B$2:$AG$15,2,FALSE))</f>
        <v/>
      </c>
      <c r="R163" s="499" t="str">
        <f>IF(M163="","",VLOOKUP(M163,'G-6 Hedgerow Data'!$B$2:$AG$15,3,FALSE))</f>
        <v/>
      </c>
      <c r="S163" s="145"/>
      <c r="T163" s="499" t="str">
        <f>IFERROR(IF(AND(Q163="V.Low",OR(S163="Good",S163="Moderate")),"Error ▲",VLOOKUP(S163,'G-1 All Habitats'!$Z$2:$AA$9,2,FALSE)),"")</f>
        <v/>
      </c>
      <c r="U163" s="145"/>
      <c r="V163" s="507" t="str">
        <f>IF(U163="","",IF(VLOOKUP(U163,'G-3 Multipliers'!$L$3:$N$6,2,FALSE)=0,"Spatial Data Missing ⚠",VLOOKUP(U163,'G-3 Multipliers'!$L$3:$N$6,2,FALSE)))</f>
        <v/>
      </c>
      <c r="W163" s="505" t="str">
        <f>IF(U163="","",IF(VLOOKUP(U163,'G-3 Multipliers'!$L$3:$N$6,3,FALSE)=0,"Spatial Data Missing ⚠",VLOOKUP(U163,'G-3 Multipliers'!$L$3:$N$6,3,FALSE)))</f>
        <v/>
      </c>
      <c r="X163" s="498"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7" t="str">
        <f t="shared" si="19"/>
        <v/>
      </c>
      <c r="AB163" s="521" t="str">
        <f t="shared" si="20"/>
        <v/>
      </c>
      <c r="AC163" s="522" t="str">
        <f t="shared" si="17"/>
        <v/>
      </c>
      <c r="AD163" s="537" t="str">
        <f>IF(M163="","",VLOOKUP(M163,'G-6 Hedgerow Data'!$B$3:$AG$15,31,FALSE))</f>
        <v/>
      </c>
      <c r="AE163" s="520" t="str">
        <f t="shared" si="21"/>
        <v/>
      </c>
      <c r="AF163" s="520" t="str">
        <f t="shared" si="22"/>
        <v/>
      </c>
      <c r="AG163" s="524" t="str">
        <f>IFERROR(IF(O163="","",VLOOKUP(AD163,'G-3 Multipliers'!$P$3:$Q$6,2,FALSE)),"")</f>
        <v/>
      </c>
      <c r="AH163" s="197"/>
      <c r="AI163" s="499" t="str">
        <f>IF(AH163="","",IF(VLOOKUP(AH163,'G-3 Multipliers'!$S$3:$T$6,2,FALSE)=0,"Spatial Data Missing ⚠",VLOOKUP(AH163,'G-3 Multipliers'!$S$3:$T$6,2,FALSE)))</f>
        <v/>
      </c>
      <c r="AJ163" s="545" t="str">
        <f t="shared" si="23"/>
        <v/>
      </c>
      <c r="AK163" s="149"/>
      <c r="AL163" s="150"/>
      <c r="AP163" s="31" t="str">
        <f>IFERROR(INDEX('G-6 Hedgerow Data'!$BJ$3:$BJ$15,MATCH(M163,'G-6 Hedgerow Data'!$B$3:$B$15,0)),"")</f>
        <v/>
      </c>
    </row>
    <row r="164" spans="2:42" ht="13.8" x14ac:dyDescent="0.25">
      <c r="B164" s="531" t="str">
        <f>'E-1 Off Site Hedge Baseline'!AK162</f>
        <v/>
      </c>
      <c r="C164" s="520" t="str">
        <f>IF(B164="","",IF(ISNA(VLOOKUP($B164,'E-1 Off Site Hedge Baseline'!$B$1:$L$257,3,FALSE)),"",(VLOOKUP($B164,'E-1 Off Site Hedge Baseline'!$B$1:$L$257,3,FALSE))))</f>
        <v/>
      </c>
      <c r="D164" s="520" t="str">
        <f>IF(B164="","",IF(ISNA(VLOOKUP($B164,'E-1 Off Site Hedge Baseline'!$B$1:$L$258,4,FALSE)),"",(VLOOKUP($B164,'E-1 Off Site Hedge Baseline'!$B$1:$L$258,4,FALSE))))</f>
        <v/>
      </c>
      <c r="E164" s="520" t="str">
        <f>IF(B164="","",IF(ISNA(VLOOKUP($B164,'E-1 Off Site Hedge Baseline'!$B$1:$L$257,5,FALSE)),"",(VLOOKUP($B164,'E-1 Off Site Hedge Baseline'!$B$1:$L$257,5,FALSE))))</f>
        <v/>
      </c>
      <c r="F164" s="520" t="str">
        <f>IF(B164="","",IF(ISNA(VLOOKUP($B164,'E-1 Off Site Hedge Baseline'!$B$1:$L$257,6,FALSE)),"",(VLOOKUP($B164,'E-1 Off Site Hedge Baseline'!$B$1:$L$257,6,FALSE))))</f>
        <v/>
      </c>
      <c r="G164" s="520" t="str">
        <f>IF(B164="","",IF(ISNA(VLOOKUP($B164,'E-1 Off Site Hedge Baseline'!$B$1:$L$257,7,FALSE)),"",(VLOOKUP($B164,'E-1 Off Site Hedge Baseline'!$B$1:$L$257,7,FALSE))))</f>
        <v/>
      </c>
      <c r="H164" s="520" t="str">
        <f>IF(B164="","",IF(ISNA(VLOOKUP($B164,'E-1 Off Site Hedge Baseline'!$B$1:$L$257,8,FALSE)),"",(VLOOKUP($B164,'E-1 Off Site Hedge Baseline'!$B$1:$L$257,8,FALSE))))</f>
        <v/>
      </c>
      <c r="I164" s="520" t="str">
        <f>IF(B164="","",IF(ISNA(VLOOKUP($B164,'E-1 Off Site Hedge Baseline'!$B$1:$L$257,10,FALSE)),"",(VLOOKUP($B164,'E-1 Off Site Hedge Baseline'!$B$1:$L$257,10,FALSE))))</f>
        <v/>
      </c>
      <c r="J164" s="520" t="str">
        <f>IF(B164="","",IF(ISNA(VLOOKUP($B164,'E-1 Off Site Hedge Baseline'!$B$1:$L$257,11,FALSE)),"",(VLOOKUP($B164,'E-1 Off Site Hedge Baseline'!$B$1:$L$257,11,FALSE))))</f>
        <v/>
      </c>
      <c r="K164" s="520" t="str">
        <f>IF(B164="","",IF(ISNA(VLOOKUP($B164,'E-1 Off Site Hedge Baseline'!$B$1:$U$257,113,FALSE)),"",(VLOOKUP($B164,'E-1 Off Site Hedge Baseline'!$B$1:$U$257,13,FALSE))))</f>
        <v/>
      </c>
      <c r="L164" s="507" t="str">
        <f>IF(B164="","",IF(ISNA(VLOOKUP($B164,'E-1 Off Site Hedge Baseline'!$B$1:$U$257,12,FALSE)),"",(VLOOKUP($B164,'E-1 Off Site Hedge Baseline'!$B$1:$U$257,12,FALSE))))</f>
        <v/>
      </c>
      <c r="M164" s="418" t="str">
        <f t="shared" si="24"/>
        <v/>
      </c>
      <c r="N164" s="498" t="str">
        <f>IFERROR(IF(B164="","",INDEX('G-6 Hedgerow Data'!$AN$3:$AZ$15,MATCH(C164,'G-6 Hedgerow Data'!$AM$3:$AM$15,0),MATCH(M164,'G-6 Hedgerow Data'!$AN$2:$AZ$2,0))),"")</f>
        <v/>
      </c>
      <c r="O164" s="499" t="str">
        <f t="shared" si="18"/>
        <v/>
      </c>
      <c r="P164" s="505" t="str">
        <f>IF(B164="","",VLOOKUP(B164,'E-1 Off Site Hedge Baseline'!$B$10:T409,16,FALSE))</f>
        <v/>
      </c>
      <c r="Q164" s="498" t="str">
        <f>IF(M164="","",VLOOKUP(M164,'G-6 Hedgerow Data'!$B$2:$AG$15,2,FALSE))</f>
        <v/>
      </c>
      <c r="R164" s="499" t="str">
        <f>IF(M164="","",VLOOKUP(M164,'G-6 Hedgerow Data'!$B$2:$AG$15,3,FALSE))</f>
        <v/>
      </c>
      <c r="S164" s="145"/>
      <c r="T164" s="499" t="str">
        <f>IFERROR(IF(AND(Q164="V.Low",OR(S164="Good",S164="Moderate")),"Error ▲",VLOOKUP(S164,'G-1 All Habitats'!$Z$2:$AA$9,2,FALSE)),"")</f>
        <v/>
      </c>
      <c r="U164" s="145"/>
      <c r="V164" s="507" t="str">
        <f>IF(U164="","",IF(VLOOKUP(U164,'G-3 Multipliers'!$L$3:$N$6,2,FALSE)=0,"Spatial Data Missing ⚠",VLOOKUP(U164,'G-3 Multipliers'!$L$3:$N$6,2,FALSE)))</f>
        <v/>
      </c>
      <c r="W164" s="505" t="str">
        <f>IF(U164="","",IF(VLOOKUP(U164,'G-3 Multipliers'!$L$3:$N$6,3,FALSE)=0,"Spatial Data Missing ⚠",VLOOKUP(U164,'G-3 Multipliers'!$L$3:$N$6,3,FALSE)))</f>
        <v/>
      </c>
      <c r="X164" s="498"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7" t="str">
        <f t="shared" si="19"/>
        <v/>
      </c>
      <c r="AB164" s="521" t="str">
        <f t="shared" si="20"/>
        <v/>
      </c>
      <c r="AC164" s="522" t="str">
        <f t="shared" si="17"/>
        <v/>
      </c>
      <c r="AD164" s="537" t="str">
        <f>IF(M164="","",VLOOKUP(M164,'G-6 Hedgerow Data'!$B$3:$AG$15,31,FALSE))</f>
        <v/>
      </c>
      <c r="AE164" s="520" t="str">
        <f t="shared" si="21"/>
        <v/>
      </c>
      <c r="AF164" s="520" t="str">
        <f t="shared" si="22"/>
        <v/>
      </c>
      <c r="AG164" s="524" t="str">
        <f>IFERROR(IF(O164="","",VLOOKUP(AD164,'G-3 Multipliers'!$P$3:$Q$6,2,FALSE)),"")</f>
        <v/>
      </c>
      <c r="AH164" s="197"/>
      <c r="AI164" s="499" t="str">
        <f>IF(AH164="","",IF(VLOOKUP(AH164,'G-3 Multipliers'!$S$3:$T$6,2,FALSE)=0,"Spatial Data Missing ⚠",VLOOKUP(AH164,'G-3 Multipliers'!$S$3:$T$6,2,FALSE)))</f>
        <v/>
      </c>
      <c r="AJ164" s="545" t="str">
        <f t="shared" si="23"/>
        <v/>
      </c>
      <c r="AK164" s="149"/>
      <c r="AL164" s="150"/>
      <c r="AP164" s="31" t="str">
        <f>IFERROR(INDEX('G-6 Hedgerow Data'!$BJ$3:$BJ$15,MATCH(M164,'G-6 Hedgerow Data'!$B$3:$B$15,0)),"")</f>
        <v/>
      </c>
    </row>
    <row r="165" spans="2:42" ht="13.8" x14ac:dyDescent="0.25">
      <c r="B165" s="531" t="str">
        <f>'E-1 Off Site Hedge Baseline'!AK163</f>
        <v/>
      </c>
      <c r="C165" s="520" t="str">
        <f>IF(B165="","",IF(ISNA(VLOOKUP($B165,'E-1 Off Site Hedge Baseline'!$B$1:$L$257,3,FALSE)),"",(VLOOKUP($B165,'E-1 Off Site Hedge Baseline'!$B$1:$L$257,3,FALSE))))</f>
        <v/>
      </c>
      <c r="D165" s="520" t="str">
        <f>IF(B165="","",IF(ISNA(VLOOKUP($B165,'E-1 Off Site Hedge Baseline'!$B$1:$L$258,4,FALSE)),"",(VLOOKUP($B165,'E-1 Off Site Hedge Baseline'!$B$1:$L$258,4,FALSE))))</f>
        <v/>
      </c>
      <c r="E165" s="520" t="str">
        <f>IF(B165="","",IF(ISNA(VLOOKUP($B165,'E-1 Off Site Hedge Baseline'!$B$1:$L$257,5,FALSE)),"",(VLOOKUP($B165,'E-1 Off Site Hedge Baseline'!$B$1:$L$257,5,FALSE))))</f>
        <v/>
      </c>
      <c r="F165" s="520" t="str">
        <f>IF(B165="","",IF(ISNA(VLOOKUP($B165,'E-1 Off Site Hedge Baseline'!$B$1:$L$257,6,FALSE)),"",(VLOOKUP($B165,'E-1 Off Site Hedge Baseline'!$B$1:$L$257,6,FALSE))))</f>
        <v/>
      </c>
      <c r="G165" s="520" t="str">
        <f>IF(B165="","",IF(ISNA(VLOOKUP($B165,'E-1 Off Site Hedge Baseline'!$B$1:$L$257,7,FALSE)),"",(VLOOKUP($B165,'E-1 Off Site Hedge Baseline'!$B$1:$L$257,7,FALSE))))</f>
        <v/>
      </c>
      <c r="H165" s="520" t="str">
        <f>IF(B165="","",IF(ISNA(VLOOKUP($B165,'E-1 Off Site Hedge Baseline'!$B$1:$L$257,8,FALSE)),"",(VLOOKUP($B165,'E-1 Off Site Hedge Baseline'!$B$1:$L$257,8,FALSE))))</f>
        <v/>
      </c>
      <c r="I165" s="520" t="str">
        <f>IF(B165="","",IF(ISNA(VLOOKUP($B165,'E-1 Off Site Hedge Baseline'!$B$1:$L$257,10,FALSE)),"",(VLOOKUP($B165,'E-1 Off Site Hedge Baseline'!$B$1:$L$257,10,FALSE))))</f>
        <v/>
      </c>
      <c r="J165" s="520" t="str">
        <f>IF(B165="","",IF(ISNA(VLOOKUP($B165,'E-1 Off Site Hedge Baseline'!$B$1:$L$257,11,FALSE)),"",(VLOOKUP($B165,'E-1 Off Site Hedge Baseline'!$B$1:$L$257,11,FALSE))))</f>
        <v/>
      </c>
      <c r="K165" s="520" t="str">
        <f>IF(B165="","",IF(ISNA(VLOOKUP($B165,'E-1 Off Site Hedge Baseline'!$B$1:$U$257,113,FALSE)),"",(VLOOKUP($B165,'E-1 Off Site Hedge Baseline'!$B$1:$U$257,13,FALSE))))</f>
        <v/>
      </c>
      <c r="L165" s="507" t="str">
        <f>IF(B165="","",IF(ISNA(VLOOKUP($B165,'E-1 Off Site Hedge Baseline'!$B$1:$U$257,12,FALSE)),"",(VLOOKUP($B165,'E-1 Off Site Hedge Baseline'!$B$1:$U$257,12,FALSE))))</f>
        <v/>
      </c>
      <c r="M165" s="418" t="str">
        <f t="shared" si="24"/>
        <v/>
      </c>
      <c r="N165" s="498" t="str">
        <f>IFERROR(IF(B165="","",INDEX('G-6 Hedgerow Data'!$AN$3:$AZ$15,MATCH(C165,'G-6 Hedgerow Data'!$AM$3:$AM$15,0),MATCH(M165,'G-6 Hedgerow Data'!$AN$2:$AZ$2,0))),"")</f>
        <v/>
      </c>
      <c r="O165" s="499" t="str">
        <f t="shared" si="18"/>
        <v/>
      </c>
      <c r="P165" s="505" t="str">
        <f>IF(B165="","",VLOOKUP(B165,'E-1 Off Site Hedge Baseline'!$B$10:T410,16,FALSE))</f>
        <v/>
      </c>
      <c r="Q165" s="498" t="str">
        <f>IF(M165="","",VLOOKUP(M165,'G-6 Hedgerow Data'!$B$2:$AG$15,2,FALSE))</f>
        <v/>
      </c>
      <c r="R165" s="499" t="str">
        <f>IF(M165="","",VLOOKUP(M165,'G-6 Hedgerow Data'!$B$2:$AG$15,3,FALSE))</f>
        <v/>
      </c>
      <c r="S165" s="145"/>
      <c r="T165" s="499" t="str">
        <f>IFERROR(IF(AND(Q165="V.Low",OR(S165="Good",S165="Moderate")),"Error ▲",VLOOKUP(S165,'G-1 All Habitats'!$Z$2:$AA$9,2,FALSE)),"")</f>
        <v/>
      </c>
      <c r="U165" s="145"/>
      <c r="V165" s="507" t="str">
        <f>IF(U165="","",IF(VLOOKUP(U165,'G-3 Multipliers'!$L$3:$N$6,2,FALSE)=0,"Spatial Data Missing ⚠",VLOOKUP(U165,'G-3 Multipliers'!$L$3:$N$6,2,FALSE)))</f>
        <v/>
      </c>
      <c r="W165" s="505" t="str">
        <f>IF(U165="","",IF(VLOOKUP(U165,'G-3 Multipliers'!$L$3:$N$6,3,FALSE)=0,"Spatial Data Missing ⚠",VLOOKUP(U165,'G-3 Multipliers'!$L$3:$N$6,3,FALSE)))</f>
        <v/>
      </c>
      <c r="X165" s="498"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7" t="str">
        <f t="shared" si="19"/>
        <v/>
      </c>
      <c r="AB165" s="521" t="str">
        <f t="shared" si="20"/>
        <v/>
      </c>
      <c r="AC165" s="522" t="str">
        <f t="shared" si="17"/>
        <v/>
      </c>
      <c r="AD165" s="537" t="str">
        <f>IF(M165="","",VLOOKUP(M165,'G-6 Hedgerow Data'!$B$3:$AG$15,31,FALSE))</f>
        <v/>
      </c>
      <c r="AE165" s="520" t="str">
        <f t="shared" si="21"/>
        <v/>
      </c>
      <c r="AF165" s="520" t="str">
        <f t="shared" si="22"/>
        <v/>
      </c>
      <c r="AG165" s="524" t="str">
        <f>IFERROR(IF(O165="","",VLOOKUP(AD165,'G-3 Multipliers'!$P$3:$Q$6,2,FALSE)),"")</f>
        <v/>
      </c>
      <c r="AH165" s="197"/>
      <c r="AI165" s="499" t="str">
        <f>IF(AH165="","",IF(VLOOKUP(AH165,'G-3 Multipliers'!$S$3:$T$6,2,FALSE)=0,"Spatial Data Missing ⚠",VLOOKUP(AH165,'G-3 Multipliers'!$S$3:$T$6,2,FALSE)))</f>
        <v/>
      </c>
      <c r="AJ165" s="545" t="str">
        <f t="shared" si="23"/>
        <v/>
      </c>
      <c r="AK165" s="149"/>
      <c r="AL165" s="150"/>
      <c r="AP165" s="31" t="str">
        <f>IFERROR(INDEX('G-6 Hedgerow Data'!$BJ$3:$BJ$15,MATCH(M165,'G-6 Hedgerow Data'!$B$3:$B$15,0)),"")</f>
        <v/>
      </c>
    </row>
    <row r="166" spans="2:42" ht="13.8" x14ac:dyDescent="0.25">
      <c r="B166" s="531" t="str">
        <f>'E-1 Off Site Hedge Baseline'!AK164</f>
        <v/>
      </c>
      <c r="C166" s="520" t="str">
        <f>IF(B166="","",IF(ISNA(VLOOKUP($B166,'E-1 Off Site Hedge Baseline'!$B$1:$L$257,3,FALSE)),"",(VLOOKUP($B166,'E-1 Off Site Hedge Baseline'!$B$1:$L$257,3,FALSE))))</f>
        <v/>
      </c>
      <c r="D166" s="520" t="str">
        <f>IF(B166="","",IF(ISNA(VLOOKUP($B166,'E-1 Off Site Hedge Baseline'!$B$1:$L$258,4,FALSE)),"",(VLOOKUP($B166,'E-1 Off Site Hedge Baseline'!$B$1:$L$258,4,FALSE))))</f>
        <v/>
      </c>
      <c r="E166" s="520" t="str">
        <f>IF(B166="","",IF(ISNA(VLOOKUP($B166,'E-1 Off Site Hedge Baseline'!$B$1:$L$257,5,FALSE)),"",(VLOOKUP($B166,'E-1 Off Site Hedge Baseline'!$B$1:$L$257,5,FALSE))))</f>
        <v/>
      </c>
      <c r="F166" s="520" t="str">
        <f>IF(B166="","",IF(ISNA(VLOOKUP($B166,'E-1 Off Site Hedge Baseline'!$B$1:$L$257,6,FALSE)),"",(VLOOKUP($B166,'E-1 Off Site Hedge Baseline'!$B$1:$L$257,6,FALSE))))</f>
        <v/>
      </c>
      <c r="G166" s="520" t="str">
        <f>IF(B166="","",IF(ISNA(VLOOKUP($B166,'E-1 Off Site Hedge Baseline'!$B$1:$L$257,7,FALSE)),"",(VLOOKUP($B166,'E-1 Off Site Hedge Baseline'!$B$1:$L$257,7,FALSE))))</f>
        <v/>
      </c>
      <c r="H166" s="520" t="str">
        <f>IF(B166="","",IF(ISNA(VLOOKUP($B166,'E-1 Off Site Hedge Baseline'!$B$1:$L$257,8,FALSE)),"",(VLOOKUP($B166,'E-1 Off Site Hedge Baseline'!$B$1:$L$257,8,FALSE))))</f>
        <v/>
      </c>
      <c r="I166" s="520" t="str">
        <f>IF(B166="","",IF(ISNA(VLOOKUP($B166,'E-1 Off Site Hedge Baseline'!$B$1:$L$257,10,FALSE)),"",(VLOOKUP($B166,'E-1 Off Site Hedge Baseline'!$B$1:$L$257,10,FALSE))))</f>
        <v/>
      </c>
      <c r="J166" s="520" t="str">
        <f>IF(B166="","",IF(ISNA(VLOOKUP($B166,'E-1 Off Site Hedge Baseline'!$B$1:$L$257,11,FALSE)),"",(VLOOKUP($B166,'E-1 Off Site Hedge Baseline'!$B$1:$L$257,11,FALSE))))</f>
        <v/>
      </c>
      <c r="K166" s="520" t="str">
        <f>IF(B166="","",IF(ISNA(VLOOKUP($B166,'E-1 Off Site Hedge Baseline'!$B$1:$U$257,113,FALSE)),"",(VLOOKUP($B166,'E-1 Off Site Hedge Baseline'!$B$1:$U$257,13,FALSE))))</f>
        <v/>
      </c>
      <c r="L166" s="507" t="str">
        <f>IF(B166="","",IF(ISNA(VLOOKUP($B166,'E-1 Off Site Hedge Baseline'!$B$1:$U$257,12,FALSE)),"",(VLOOKUP($B166,'E-1 Off Site Hedge Baseline'!$B$1:$U$257,12,FALSE))))</f>
        <v/>
      </c>
      <c r="M166" s="418" t="str">
        <f t="shared" si="24"/>
        <v/>
      </c>
      <c r="N166" s="498" t="str">
        <f>IFERROR(IF(B166="","",INDEX('G-6 Hedgerow Data'!$AN$3:$AZ$15,MATCH(C166,'G-6 Hedgerow Data'!$AM$3:$AM$15,0),MATCH(M166,'G-6 Hedgerow Data'!$AN$2:$AZ$2,0))),"")</f>
        <v/>
      </c>
      <c r="O166" s="499" t="str">
        <f t="shared" si="18"/>
        <v/>
      </c>
      <c r="P166" s="505" t="str">
        <f>IF(B166="","",VLOOKUP(B166,'E-1 Off Site Hedge Baseline'!$B$10:T411,16,FALSE))</f>
        <v/>
      </c>
      <c r="Q166" s="498" t="str">
        <f>IF(M166="","",VLOOKUP(M166,'G-6 Hedgerow Data'!$B$2:$AG$15,2,FALSE))</f>
        <v/>
      </c>
      <c r="R166" s="499" t="str">
        <f>IF(M166="","",VLOOKUP(M166,'G-6 Hedgerow Data'!$B$2:$AG$15,3,FALSE))</f>
        <v/>
      </c>
      <c r="S166" s="145"/>
      <c r="T166" s="499" t="str">
        <f>IFERROR(IF(AND(Q166="V.Low",OR(S166="Good",S166="Moderate")),"Error ▲",VLOOKUP(S166,'G-1 All Habitats'!$Z$2:$AA$9,2,FALSE)),"")</f>
        <v/>
      </c>
      <c r="U166" s="145"/>
      <c r="V166" s="507" t="str">
        <f>IF(U166="","",IF(VLOOKUP(U166,'G-3 Multipliers'!$L$3:$N$6,2,FALSE)=0,"Spatial Data Missing ⚠",VLOOKUP(U166,'G-3 Multipliers'!$L$3:$N$6,2,FALSE)))</f>
        <v/>
      </c>
      <c r="W166" s="505" t="str">
        <f>IF(U166="","",IF(VLOOKUP(U166,'G-3 Multipliers'!$L$3:$N$6,3,FALSE)=0,"Spatial Data Missing ⚠",VLOOKUP(U166,'G-3 Multipliers'!$L$3:$N$6,3,FALSE)))</f>
        <v/>
      </c>
      <c r="X166" s="498"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7" t="str">
        <f t="shared" si="19"/>
        <v/>
      </c>
      <c r="AB166" s="521" t="str">
        <f t="shared" si="20"/>
        <v/>
      </c>
      <c r="AC166" s="522" t="str">
        <f t="shared" si="17"/>
        <v/>
      </c>
      <c r="AD166" s="537" t="str">
        <f>IF(M166="","",VLOOKUP(M166,'G-6 Hedgerow Data'!$B$3:$AG$15,31,FALSE))</f>
        <v/>
      </c>
      <c r="AE166" s="520" t="str">
        <f t="shared" si="21"/>
        <v/>
      </c>
      <c r="AF166" s="520" t="str">
        <f t="shared" si="22"/>
        <v/>
      </c>
      <c r="AG166" s="524" t="str">
        <f>IFERROR(IF(O166="","",VLOOKUP(AD166,'G-3 Multipliers'!$P$3:$Q$6,2,FALSE)),"")</f>
        <v/>
      </c>
      <c r="AH166" s="197"/>
      <c r="AI166" s="499" t="str">
        <f>IF(AH166="","",IF(VLOOKUP(AH166,'G-3 Multipliers'!$S$3:$T$6,2,FALSE)=0,"Spatial Data Missing ⚠",VLOOKUP(AH166,'G-3 Multipliers'!$S$3:$T$6,2,FALSE)))</f>
        <v/>
      </c>
      <c r="AJ166" s="545" t="str">
        <f t="shared" si="23"/>
        <v/>
      </c>
      <c r="AK166" s="149"/>
      <c r="AL166" s="150"/>
      <c r="AP166" s="31" t="str">
        <f>IFERROR(INDEX('G-6 Hedgerow Data'!$BJ$3:$BJ$15,MATCH(M166,'G-6 Hedgerow Data'!$B$3:$B$15,0)),"")</f>
        <v/>
      </c>
    </row>
    <row r="167" spans="2:42" ht="13.8" x14ac:dyDescent="0.25">
      <c r="B167" s="531" t="str">
        <f>'E-1 Off Site Hedge Baseline'!AK165</f>
        <v/>
      </c>
      <c r="C167" s="520" t="str">
        <f>IF(B167="","",IF(ISNA(VLOOKUP($B167,'E-1 Off Site Hedge Baseline'!$B$1:$L$257,3,FALSE)),"",(VLOOKUP($B167,'E-1 Off Site Hedge Baseline'!$B$1:$L$257,3,FALSE))))</f>
        <v/>
      </c>
      <c r="D167" s="520" t="str">
        <f>IF(B167="","",IF(ISNA(VLOOKUP($B167,'E-1 Off Site Hedge Baseline'!$B$1:$L$258,4,FALSE)),"",(VLOOKUP($B167,'E-1 Off Site Hedge Baseline'!$B$1:$L$258,4,FALSE))))</f>
        <v/>
      </c>
      <c r="E167" s="520" t="str">
        <f>IF(B167="","",IF(ISNA(VLOOKUP($B167,'E-1 Off Site Hedge Baseline'!$B$1:$L$257,5,FALSE)),"",(VLOOKUP($B167,'E-1 Off Site Hedge Baseline'!$B$1:$L$257,5,FALSE))))</f>
        <v/>
      </c>
      <c r="F167" s="520" t="str">
        <f>IF(B167="","",IF(ISNA(VLOOKUP($B167,'E-1 Off Site Hedge Baseline'!$B$1:$L$257,6,FALSE)),"",(VLOOKUP($B167,'E-1 Off Site Hedge Baseline'!$B$1:$L$257,6,FALSE))))</f>
        <v/>
      </c>
      <c r="G167" s="520" t="str">
        <f>IF(B167="","",IF(ISNA(VLOOKUP($B167,'E-1 Off Site Hedge Baseline'!$B$1:$L$257,7,FALSE)),"",(VLOOKUP($B167,'E-1 Off Site Hedge Baseline'!$B$1:$L$257,7,FALSE))))</f>
        <v/>
      </c>
      <c r="H167" s="520" t="str">
        <f>IF(B167="","",IF(ISNA(VLOOKUP($B167,'E-1 Off Site Hedge Baseline'!$B$1:$L$257,8,FALSE)),"",(VLOOKUP($B167,'E-1 Off Site Hedge Baseline'!$B$1:$L$257,8,FALSE))))</f>
        <v/>
      </c>
      <c r="I167" s="520" t="str">
        <f>IF(B167="","",IF(ISNA(VLOOKUP($B167,'E-1 Off Site Hedge Baseline'!$B$1:$L$257,10,FALSE)),"",(VLOOKUP($B167,'E-1 Off Site Hedge Baseline'!$B$1:$L$257,10,FALSE))))</f>
        <v/>
      </c>
      <c r="J167" s="520" t="str">
        <f>IF(B167="","",IF(ISNA(VLOOKUP($B167,'E-1 Off Site Hedge Baseline'!$B$1:$L$257,11,FALSE)),"",(VLOOKUP($B167,'E-1 Off Site Hedge Baseline'!$B$1:$L$257,11,FALSE))))</f>
        <v/>
      </c>
      <c r="K167" s="520" t="str">
        <f>IF(B167="","",IF(ISNA(VLOOKUP($B167,'E-1 Off Site Hedge Baseline'!$B$1:$U$257,113,FALSE)),"",(VLOOKUP($B167,'E-1 Off Site Hedge Baseline'!$B$1:$U$257,13,FALSE))))</f>
        <v/>
      </c>
      <c r="L167" s="507" t="str">
        <f>IF(B167="","",IF(ISNA(VLOOKUP($B167,'E-1 Off Site Hedge Baseline'!$B$1:$U$257,12,FALSE)),"",(VLOOKUP($B167,'E-1 Off Site Hedge Baseline'!$B$1:$U$257,12,FALSE))))</f>
        <v/>
      </c>
      <c r="M167" s="418" t="str">
        <f t="shared" si="24"/>
        <v/>
      </c>
      <c r="N167" s="498" t="str">
        <f>IFERROR(IF(B167="","",INDEX('G-6 Hedgerow Data'!$AN$3:$AZ$15,MATCH(C167,'G-6 Hedgerow Data'!$AM$3:$AM$15,0),MATCH(M167,'G-6 Hedgerow Data'!$AN$2:$AZ$2,0))),"")</f>
        <v/>
      </c>
      <c r="O167" s="499" t="str">
        <f t="shared" si="18"/>
        <v/>
      </c>
      <c r="P167" s="505" t="str">
        <f>IF(B167="","",VLOOKUP(B167,'E-1 Off Site Hedge Baseline'!$B$10:T412,16,FALSE))</f>
        <v/>
      </c>
      <c r="Q167" s="498" t="str">
        <f>IF(M167="","",VLOOKUP(M167,'G-6 Hedgerow Data'!$B$2:$AG$15,2,FALSE))</f>
        <v/>
      </c>
      <c r="R167" s="499" t="str">
        <f>IF(M167="","",VLOOKUP(M167,'G-6 Hedgerow Data'!$B$2:$AG$15,3,FALSE))</f>
        <v/>
      </c>
      <c r="S167" s="145"/>
      <c r="T167" s="499" t="str">
        <f>IFERROR(IF(AND(Q167="V.Low",OR(S167="Good",S167="Moderate")),"Error ▲",VLOOKUP(S167,'G-1 All Habitats'!$Z$2:$AA$9,2,FALSE)),"")</f>
        <v/>
      </c>
      <c r="U167" s="145"/>
      <c r="V167" s="507" t="str">
        <f>IF(U167="","",IF(VLOOKUP(U167,'G-3 Multipliers'!$L$3:$N$6,2,FALSE)=0,"Spatial Data Missing ⚠",VLOOKUP(U167,'G-3 Multipliers'!$L$3:$N$6,2,FALSE)))</f>
        <v/>
      </c>
      <c r="W167" s="505" t="str">
        <f>IF(U167="","",IF(VLOOKUP(U167,'G-3 Multipliers'!$L$3:$N$6,3,FALSE)=0,"Spatial Data Missing ⚠",VLOOKUP(U167,'G-3 Multipliers'!$L$3:$N$6,3,FALSE)))</f>
        <v/>
      </c>
      <c r="X167" s="498"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7" t="str">
        <f t="shared" si="19"/>
        <v/>
      </c>
      <c r="AB167" s="521" t="str">
        <f t="shared" si="20"/>
        <v/>
      </c>
      <c r="AC167" s="522" t="str">
        <f t="shared" si="17"/>
        <v/>
      </c>
      <c r="AD167" s="537" t="str">
        <f>IF(M167="","",VLOOKUP(M167,'G-6 Hedgerow Data'!$B$3:$AG$15,31,FALSE))</f>
        <v/>
      </c>
      <c r="AE167" s="520" t="str">
        <f t="shared" si="21"/>
        <v/>
      </c>
      <c r="AF167" s="520" t="str">
        <f t="shared" si="22"/>
        <v/>
      </c>
      <c r="AG167" s="524" t="str">
        <f>IFERROR(IF(O167="","",VLOOKUP(AD167,'G-3 Multipliers'!$P$3:$Q$6,2,FALSE)),"")</f>
        <v/>
      </c>
      <c r="AH167" s="197"/>
      <c r="AI167" s="499" t="str">
        <f>IF(AH167="","",IF(VLOOKUP(AH167,'G-3 Multipliers'!$S$3:$T$6,2,FALSE)=0,"Spatial Data Missing ⚠",VLOOKUP(AH167,'G-3 Multipliers'!$S$3:$T$6,2,FALSE)))</f>
        <v/>
      </c>
      <c r="AJ167" s="545" t="str">
        <f t="shared" si="23"/>
        <v/>
      </c>
      <c r="AK167" s="149"/>
      <c r="AL167" s="150"/>
      <c r="AP167" s="31" t="str">
        <f>IFERROR(INDEX('G-6 Hedgerow Data'!$BJ$3:$BJ$15,MATCH(M167,'G-6 Hedgerow Data'!$B$3:$B$15,0)),"")</f>
        <v/>
      </c>
    </row>
    <row r="168" spans="2:42" ht="13.8" x14ac:dyDescent="0.25">
      <c r="B168" s="531" t="str">
        <f>'E-1 Off Site Hedge Baseline'!AK166</f>
        <v/>
      </c>
      <c r="C168" s="520" t="str">
        <f>IF(B168="","",IF(ISNA(VLOOKUP($B168,'E-1 Off Site Hedge Baseline'!$B$1:$L$257,3,FALSE)),"",(VLOOKUP($B168,'E-1 Off Site Hedge Baseline'!$B$1:$L$257,3,FALSE))))</f>
        <v/>
      </c>
      <c r="D168" s="520" t="str">
        <f>IF(B168="","",IF(ISNA(VLOOKUP($B168,'E-1 Off Site Hedge Baseline'!$B$1:$L$258,4,FALSE)),"",(VLOOKUP($B168,'E-1 Off Site Hedge Baseline'!$B$1:$L$258,4,FALSE))))</f>
        <v/>
      </c>
      <c r="E168" s="520" t="str">
        <f>IF(B168="","",IF(ISNA(VLOOKUP($B168,'E-1 Off Site Hedge Baseline'!$B$1:$L$257,5,FALSE)),"",(VLOOKUP($B168,'E-1 Off Site Hedge Baseline'!$B$1:$L$257,5,FALSE))))</f>
        <v/>
      </c>
      <c r="F168" s="520" t="str">
        <f>IF(B168="","",IF(ISNA(VLOOKUP($B168,'E-1 Off Site Hedge Baseline'!$B$1:$L$257,6,FALSE)),"",(VLOOKUP($B168,'E-1 Off Site Hedge Baseline'!$B$1:$L$257,6,FALSE))))</f>
        <v/>
      </c>
      <c r="G168" s="520" t="str">
        <f>IF(B168="","",IF(ISNA(VLOOKUP($B168,'E-1 Off Site Hedge Baseline'!$B$1:$L$257,7,FALSE)),"",(VLOOKUP($B168,'E-1 Off Site Hedge Baseline'!$B$1:$L$257,7,FALSE))))</f>
        <v/>
      </c>
      <c r="H168" s="520" t="str">
        <f>IF(B168="","",IF(ISNA(VLOOKUP($B168,'E-1 Off Site Hedge Baseline'!$B$1:$L$257,8,FALSE)),"",(VLOOKUP($B168,'E-1 Off Site Hedge Baseline'!$B$1:$L$257,8,FALSE))))</f>
        <v/>
      </c>
      <c r="I168" s="520" t="str">
        <f>IF(B168="","",IF(ISNA(VLOOKUP($B168,'E-1 Off Site Hedge Baseline'!$B$1:$L$257,10,FALSE)),"",(VLOOKUP($B168,'E-1 Off Site Hedge Baseline'!$B$1:$L$257,10,FALSE))))</f>
        <v/>
      </c>
      <c r="J168" s="520" t="str">
        <f>IF(B168="","",IF(ISNA(VLOOKUP($B168,'E-1 Off Site Hedge Baseline'!$B$1:$L$257,11,FALSE)),"",(VLOOKUP($B168,'E-1 Off Site Hedge Baseline'!$B$1:$L$257,11,FALSE))))</f>
        <v/>
      </c>
      <c r="K168" s="520" t="str">
        <f>IF(B168="","",IF(ISNA(VLOOKUP($B168,'E-1 Off Site Hedge Baseline'!$B$1:$U$257,113,FALSE)),"",(VLOOKUP($B168,'E-1 Off Site Hedge Baseline'!$B$1:$U$257,13,FALSE))))</f>
        <v/>
      </c>
      <c r="L168" s="507" t="str">
        <f>IF(B168="","",IF(ISNA(VLOOKUP($B168,'E-1 Off Site Hedge Baseline'!$B$1:$U$257,12,FALSE)),"",(VLOOKUP($B168,'E-1 Off Site Hedge Baseline'!$B$1:$U$257,12,FALSE))))</f>
        <v/>
      </c>
      <c r="M168" s="418" t="str">
        <f t="shared" si="24"/>
        <v/>
      </c>
      <c r="N168" s="498" t="str">
        <f>IFERROR(IF(B168="","",INDEX('G-6 Hedgerow Data'!$AN$3:$AZ$15,MATCH(C168,'G-6 Hedgerow Data'!$AM$3:$AM$15,0),MATCH(M168,'G-6 Hedgerow Data'!$AN$2:$AZ$2,0))),"")</f>
        <v/>
      </c>
      <c r="O168" s="499" t="str">
        <f t="shared" si="18"/>
        <v/>
      </c>
      <c r="P168" s="505" t="str">
        <f>IF(B168="","",VLOOKUP(B168,'E-1 Off Site Hedge Baseline'!$B$10:T413,16,FALSE))</f>
        <v/>
      </c>
      <c r="Q168" s="498" t="str">
        <f>IF(M168="","",VLOOKUP(M168,'G-6 Hedgerow Data'!$B$2:$AG$15,2,FALSE))</f>
        <v/>
      </c>
      <c r="R168" s="499" t="str">
        <f>IF(M168="","",VLOOKUP(M168,'G-6 Hedgerow Data'!$B$2:$AG$15,3,FALSE))</f>
        <v/>
      </c>
      <c r="S168" s="145"/>
      <c r="T168" s="499" t="str">
        <f>IFERROR(IF(AND(Q168="V.Low",OR(S168="Good",S168="Moderate")),"Error ▲",VLOOKUP(S168,'G-1 All Habitats'!$Z$2:$AA$9,2,FALSE)),"")</f>
        <v/>
      </c>
      <c r="U168" s="145"/>
      <c r="V168" s="507" t="str">
        <f>IF(U168="","",IF(VLOOKUP(U168,'G-3 Multipliers'!$L$3:$N$6,2,FALSE)=0,"Spatial Data Missing ⚠",VLOOKUP(U168,'G-3 Multipliers'!$L$3:$N$6,2,FALSE)))</f>
        <v/>
      </c>
      <c r="W168" s="505" t="str">
        <f>IF(U168="","",IF(VLOOKUP(U168,'G-3 Multipliers'!$L$3:$N$6,3,FALSE)=0,"Spatial Data Missing ⚠",VLOOKUP(U168,'G-3 Multipliers'!$L$3:$N$6,3,FALSE)))</f>
        <v/>
      </c>
      <c r="X168" s="498"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7" t="str">
        <f t="shared" si="19"/>
        <v/>
      </c>
      <c r="AB168" s="521" t="str">
        <f t="shared" si="20"/>
        <v/>
      </c>
      <c r="AC168" s="522" t="str">
        <f t="shared" si="17"/>
        <v/>
      </c>
      <c r="AD168" s="537" t="str">
        <f>IF(M168="","",VLOOKUP(M168,'G-6 Hedgerow Data'!$B$3:$AG$15,31,FALSE))</f>
        <v/>
      </c>
      <c r="AE168" s="520" t="str">
        <f t="shared" si="21"/>
        <v/>
      </c>
      <c r="AF168" s="520" t="str">
        <f t="shared" si="22"/>
        <v/>
      </c>
      <c r="AG168" s="524" t="str">
        <f>IFERROR(IF(O168="","",VLOOKUP(AD168,'G-3 Multipliers'!$P$3:$Q$6,2,FALSE)),"")</f>
        <v/>
      </c>
      <c r="AH168" s="197"/>
      <c r="AI168" s="499" t="str">
        <f>IF(AH168="","",IF(VLOOKUP(AH168,'G-3 Multipliers'!$S$3:$T$6,2,FALSE)=0,"Spatial Data Missing ⚠",VLOOKUP(AH168,'G-3 Multipliers'!$S$3:$T$6,2,FALSE)))</f>
        <v/>
      </c>
      <c r="AJ168" s="545" t="str">
        <f t="shared" si="23"/>
        <v/>
      </c>
      <c r="AK168" s="149"/>
      <c r="AL168" s="150"/>
      <c r="AP168" s="31" t="str">
        <f>IFERROR(INDEX('G-6 Hedgerow Data'!$BJ$3:$BJ$15,MATCH(M168,'G-6 Hedgerow Data'!$B$3:$B$15,0)),"")</f>
        <v/>
      </c>
    </row>
    <row r="169" spans="2:42" ht="13.8" x14ac:dyDescent="0.25">
      <c r="B169" s="531" t="str">
        <f>'E-1 Off Site Hedge Baseline'!AK167</f>
        <v/>
      </c>
      <c r="C169" s="520" t="str">
        <f>IF(B169="","",IF(ISNA(VLOOKUP($B169,'E-1 Off Site Hedge Baseline'!$B$1:$L$257,3,FALSE)),"",(VLOOKUP($B169,'E-1 Off Site Hedge Baseline'!$B$1:$L$257,3,FALSE))))</f>
        <v/>
      </c>
      <c r="D169" s="520" t="str">
        <f>IF(B169="","",IF(ISNA(VLOOKUP($B169,'E-1 Off Site Hedge Baseline'!$B$1:$L$258,4,FALSE)),"",(VLOOKUP($B169,'E-1 Off Site Hedge Baseline'!$B$1:$L$258,4,FALSE))))</f>
        <v/>
      </c>
      <c r="E169" s="520" t="str">
        <f>IF(B169="","",IF(ISNA(VLOOKUP($B169,'E-1 Off Site Hedge Baseline'!$B$1:$L$257,5,FALSE)),"",(VLOOKUP($B169,'E-1 Off Site Hedge Baseline'!$B$1:$L$257,5,FALSE))))</f>
        <v/>
      </c>
      <c r="F169" s="520" t="str">
        <f>IF(B169="","",IF(ISNA(VLOOKUP($B169,'E-1 Off Site Hedge Baseline'!$B$1:$L$257,6,FALSE)),"",(VLOOKUP($B169,'E-1 Off Site Hedge Baseline'!$B$1:$L$257,6,FALSE))))</f>
        <v/>
      </c>
      <c r="G169" s="520" t="str">
        <f>IF(B169="","",IF(ISNA(VLOOKUP($B169,'E-1 Off Site Hedge Baseline'!$B$1:$L$257,7,FALSE)),"",(VLOOKUP($B169,'E-1 Off Site Hedge Baseline'!$B$1:$L$257,7,FALSE))))</f>
        <v/>
      </c>
      <c r="H169" s="520" t="str">
        <f>IF(B169="","",IF(ISNA(VLOOKUP($B169,'E-1 Off Site Hedge Baseline'!$B$1:$L$257,8,FALSE)),"",(VLOOKUP($B169,'E-1 Off Site Hedge Baseline'!$B$1:$L$257,8,FALSE))))</f>
        <v/>
      </c>
      <c r="I169" s="520" t="str">
        <f>IF(B169="","",IF(ISNA(VLOOKUP($B169,'E-1 Off Site Hedge Baseline'!$B$1:$L$257,10,FALSE)),"",(VLOOKUP($B169,'E-1 Off Site Hedge Baseline'!$B$1:$L$257,10,FALSE))))</f>
        <v/>
      </c>
      <c r="J169" s="520" t="str">
        <f>IF(B169="","",IF(ISNA(VLOOKUP($B169,'E-1 Off Site Hedge Baseline'!$B$1:$L$257,11,FALSE)),"",(VLOOKUP($B169,'E-1 Off Site Hedge Baseline'!$B$1:$L$257,11,FALSE))))</f>
        <v/>
      </c>
      <c r="K169" s="520" t="str">
        <f>IF(B169="","",IF(ISNA(VLOOKUP($B169,'E-1 Off Site Hedge Baseline'!$B$1:$U$257,113,FALSE)),"",(VLOOKUP($B169,'E-1 Off Site Hedge Baseline'!$B$1:$U$257,13,FALSE))))</f>
        <v/>
      </c>
      <c r="L169" s="507" t="str">
        <f>IF(B169="","",IF(ISNA(VLOOKUP($B169,'E-1 Off Site Hedge Baseline'!$B$1:$U$257,12,FALSE)),"",(VLOOKUP($B169,'E-1 Off Site Hedge Baseline'!$B$1:$U$257,12,FALSE))))</f>
        <v/>
      </c>
      <c r="M169" s="418" t="str">
        <f t="shared" si="24"/>
        <v/>
      </c>
      <c r="N169" s="498" t="str">
        <f>IFERROR(IF(B169="","",INDEX('G-6 Hedgerow Data'!$AN$3:$AZ$15,MATCH(C169,'G-6 Hedgerow Data'!$AM$3:$AM$15,0),MATCH(M169,'G-6 Hedgerow Data'!$AN$2:$AZ$2,0))),"")</f>
        <v/>
      </c>
      <c r="O169" s="499" t="str">
        <f t="shared" si="18"/>
        <v/>
      </c>
      <c r="P169" s="505" t="str">
        <f>IF(B169="","",VLOOKUP(B169,'E-1 Off Site Hedge Baseline'!$B$10:T414,16,FALSE))</f>
        <v/>
      </c>
      <c r="Q169" s="498" t="str">
        <f>IF(M169="","",VLOOKUP(M169,'G-6 Hedgerow Data'!$B$2:$AG$15,2,FALSE))</f>
        <v/>
      </c>
      <c r="R169" s="499" t="str">
        <f>IF(M169="","",VLOOKUP(M169,'G-6 Hedgerow Data'!$B$2:$AG$15,3,FALSE))</f>
        <v/>
      </c>
      <c r="S169" s="145"/>
      <c r="T169" s="499" t="str">
        <f>IFERROR(IF(AND(Q169="V.Low",OR(S169="Good",S169="Moderate")),"Error ▲",VLOOKUP(S169,'G-1 All Habitats'!$Z$2:$AA$9,2,FALSE)),"")</f>
        <v/>
      </c>
      <c r="U169" s="145"/>
      <c r="V169" s="507" t="str">
        <f>IF(U169="","",IF(VLOOKUP(U169,'G-3 Multipliers'!$L$3:$N$6,2,FALSE)=0,"Spatial Data Missing ⚠",VLOOKUP(U169,'G-3 Multipliers'!$L$3:$N$6,2,FALSE)))</f>
        <v/>
      </c>
      <c r="W169" s="505" t="str">
        <f>IF(U169="","",IF(VLOOKUP(U169,'G-3 Multipliers'!$L$3:$N$6,3,FALSE)=0,"Spatial Data Missing ⚠",VLOOKUP(U169,'G-3 Multipliers'!$L$3:$N$6,3,FALSE)))</f>
        <v/>
      </c>
      <c r="X169" s="498"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7" t="str">
        <f t="shared" si="19"/>
        <v/>
      </c>
      <c r="AB169" s="521" t="str">
        <f t="shared" si="20"/>
        <v/>
      </c>
      <c r="AC169" s="522" t="str">
        <f t="shared" si="17"/>
        <v/>
      </c>
      <c r="AD169" s="537" t="str">
        <f>IF(M169="","",VLOOKUP(M169,'G-6 Hedgerow Data'!$B$3:$AG$15,31,FALSE))</f>
        <v/>
      </c>
      <c r="AE169" s="520" t="str">
        <f t="shared" si="21"/>
        <v/>
      </c>
      <c r="AF169" s="520" t="str">
        <f t="shared" si="22"/>
        <v/>
      </c>
      <c r="AG169" s="524" t="str">
        <f>IFERROR(IF(O169="","",VLOOKUP(AD169,'G-3 Multipliers'!$P$3:$Q$6,2,FALSE)),"")</f>
        <v/>
      </c>
      <c r="AH169" s="197"/>
      <c r="AI169" s="499" t="str">
        <f>IF(AH169="","",IF(VLOOKUP(AH169,'G-3 Multipliers'!$S$3:$T$6,2,FALSE)=0,"Spatial Data Missing ⚠",VLOOKUP(AH169,'G-3 Multipliers'!$S$3:$T$6,2,FALSE)))</f>
        <v/>
      </c>
      <c r="AJ169" s="545" t="str">
        <f t="shared" si="23"/>
        <v/>
      </c>
      <c r="AK169" s="149"/>
      <c r="AL169" s="150"/>
      <c r="AP169" s="31" t="str">
        <f>IFERROR(INDEX('G-6 Hedgerow Data'!$BJ$3:$BJ$15,MATCH(M169,'G-6 Hedgerow Data'!$B$3:$B$15,0)),"")</f>
        <v/>
      </c>
    </row>
    <row r="170" spans="2:42" ht="13.8" x14ac:dyDescent="0.25">
      <c r="B170" s="531" t="str">
        <f>'E-1 Off Site Hedge Baseline'!AK168</f>
        <v/>
      </c>
      <c r="C170" s="520" t="str">
        <f>IF(B170="","",IF(ISNA(VLOOKUP($B170,'E-1 Off Site Hedge Baseline'!$B$1:$L$257,3,FALSE)),"",(VLOOKUP($B170,'E-1 Off Site Hedge Baseline'!$B$1:$L$257,3,FALSE))))</f>
        <v/>
      </c>
      <c r="D170" s="520" t="str">
        <f>IF(B170="","",IF(ISNA(VLOOKUP($B170,'E-1 Off Site Hedge Baseline'!$B$1:$L$258,4,FALSE)),"",(VLOOKUP($B170,'E-1 Off Site Hedge Baseline'!$B$1:$L$258,4,FALSE))))</f>
        <v/>
      </c>
      <c r="E170" s="520" t="str">
        <f>IF(B170="","",IF(ISNA(VLOOKUP($B170,'E-1 Off Site Hedge Baseline'!$B$1:$L$257,5,FALSE)),"",(VLOOKUP($B170,'E-1 Off Site Hedge Baseline'!$B$1:$L$257,5,FALSE))))</f>
        <v/>
      </c>
      <c r="F170" s="520" t="str">
        <f>IF(B170="","",IF(ISNA(VLOOKUP($B170,'E-1 Off Site Hedge Baseline'!$B$1:$L$257,6,FALSE)),"",(VLOOKUP($B170,'E-1 Off Site Hedge Baseline'!$B$1:$L$257,6,FALSE))))</f>
        <v/>
      </c>
      <c r="G170" s="520" t="str">
        <f>IF(B170="","",IF(ISNA(VLOOKUP($B170,'E-1 Off Site Hedge Baseline'!$B$1:$L$257,7,FALSE)),"",(VLOOKUP($B170,'E-1 Off Site Hedge Baseline'!$B$1:$L$257,7,FALSE))))</f>
        <v/>
      </c>
      <c r="H170" s="520" t="str">
        <f>IF(B170="","",IF(ISNA(VLOOKUP($B170,'E-1 Off Site Hedge Baseline'!$B$1:$L$257,8,FALSE)),"",(VLOOKUP($B170,'E-1 Off Site Hedge Baseline'!$B$1:$L$257,8,FALSE))))</f>
        <v/>
      </c>
      <c r="I170" s="520" t="str">
        <f>IF(B170="","",IF(ISNA(VLOOKUP($B170,'E-1 Off Site Hedge Baseline'!$B$1:$L$257,10,FALSE)),"",(VLOOKUP($B170,'E-1 Off Site Hedge Baseline'!$B$1:$L$257,10,FALSE))))</f>
        <v/>
      </c>
      <c r="J170" s="520" t="str">
        <f>IF(B170="","",IF(ISNA(VLOOKUP($B170,'E-1 Off Site Hedge Baseline'!$B$1:$L$257,11,FALSE)),"",(VLOOKUP($B170,'E-1 Off Site Hedge Baseline'!$B$1:$L$257,11,FALSE))))</f>
        <v/>
      </c>
      <c r="K170" s="520" t="str">
        <f>IF(B170="","",IF(ISNA(VLOOKUP($B170,'E-1 Off Site Hedge Baseline'!$B$1:$U$257,113,FALSE)),"",(VLOOKUP($B170,'E-1 Off Site Hedge Baseline'!$B$1:$U$257,13,FALSE))))</f>
        <v/>
      </c>
      <c r="L170" s="507" t="str">
        <f>IF(B170="","",IF(ISNA(VLOOKUP($B170,'E-1 Off Site Hedge Baseline'!$B$1:$U$257,12,FALSE)),"",(VLOOKUP($B170,'E-1 Off Site Hedge Baseline'!$B$1:$U$257,12,FALSE))))</f>
        <v/>
      </c>
      <c r="M170" s="418" t="str">
        <f t="shared" si="24"/>
        <v/>
      </c>
      <c r="N170" s="498" t="str">
        <f>IFERROR(IF(B170="","",INDEX('G-6 Hedgerow Data'!$AN$3:$AZ$15,MATCH(C170,'G-6 Hedgerow Data'!$AM$3:$AM$15,0),MATCH(M170,'G-6 Hedgerow Data'!$AN$2:$AZ$2,0))),"")</f>
        <v/>
      </c>
      <c r="O170" s="499" t="str">
        <f t="shared" si="18"/>
        <v/>
      </c>
      <c r="P170" s="505" t="str">
        <f>IF(B170="","",VLOOKUP(B170,'E-1 Off Site Hedge Baseline'!$B$10:T415,16,FALSE))</f>
        <v/>
      </c>
      <c r="Q170" s="498" t="str">
        <f>IF(M170="","",VLOOKUP(M170,'G-6 Hedgerow Data'!$B$2:$AG$15,2,FALSE))</f>
        <v/>
      </c>
      <c r="R170" s="499" t="str">
        <f>IF(M170="","",VLOOKUP(M170,'G-6 Hedgerow Data'!$B$2:$AG$15,3,FALSE))</f>
        <v/>
      </c>
      <c r="S170" s="145"/>
      <c r="T170" s="499" t="str">
        <f>IFERROR(IF(AND(Q170="V.Low",OR(S170="Good",S170="Moderate")),"Error ▲",VLOOKUP(S170,'G-1 All Habitats'!$Z$2:$AA$9,2,FALSE)),"")</f>
        <v/>
      </c>
      <c r="U170" s="145"/>
      <c r="V170" s="507" t="str">
        <f>IF(U170="","",IF(VLOOKUP(U170,'G-3 Multipliers'!$L$3:$N$6,2,FALSE)=0,"Spatial Data Missing ⚠",VLOOKUP(U170,'G-3 Multipliers'!$L$3:$N$6,2,FALSE)))</f>
        <v/>
      </c>
      <c r="W170" s="505" t="str">
        <f>IF(U170="","",IF(VLOOKUP(U170,'G-3 Multipliers'!$L$3:$N$6,3,FALSE)=0,"Spatial Data Missing ⚠",VLOOKUP(U170,'G-3 Multipliers'!$L$3:$N$6,3,FALSE)))</f>
        <v/>
      </c>
      <c r="X170" s="498"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7" t="str">
        <f t="shared" si="19"/>
        <v/>
      </c>
      <c r="AB170" s="521" t="str">
        <f t="shared" si="20"/>
        <v/>
      </c>
      <c r="AC170" s="522" t="str">
        <f t="shared" si="17"/>
        <v/>
      </c>
      <c r="AD170" s="537" t="str">
        <f>IF(M170="","",VLOOKUP(M170,'G-6 Hedgerow Data'!$B$3:$AG$15,31,FALSE))</f>
        <v/>
      </c>
      <c r="AE170" s="520" t="str">
        <f t="shared" si="21"/>
        <v/>
      </c>
      <c r="AF170" s="520" t="str">
        <f t="shared" si="22"/>
        <v/>
      </c>
      <c r="AG170" s="524" t="str">
        <f>IFERROR(IF(O170="","",VLOOKUP(AD170,'G-3 Multipliers'!$P$3:$Q$6,2,FALSE)),"")</f>
        <v/>
      </c>
      <c r="AH170" s="197"/>
      <c r="AI170" s="499" t="str">
        <f>IF(AH170="","",IF(VLOOKUP(AH170,'G-3 Multipliers'!$S$3:$T$6,2,FALSE)=0,"Spatial Data Missing ⚠",VLOOKUP(AH170,'G-3 Multipliers'!$S$3:$T$6,2,FALSE)))</f>
        <v/>
      </c>
      <c r="AJ170" s="545" t="str">
        <f t="shared" si="23"/>
        <v/>
      </c>
      <c r="AK170" s="149"/>
      <c r="AL170" s="150"/>
      <c r="AP170" s="31" t="str">
        <f>IFERROR(INDEX('G-6 Hedgerow Data'!$BJ$3:$BJ$15,MATCH(M170,'G-6 Hedgerow Data'!$B$3:$B$15,0)),"")</f>
        <v/>
      </c>
    </row>
    <row r="171" spans="2:42" ht="13.8" x14ac:dyDescent="0.25">
      <c r="B171" s="531" t="str">
        <f>'E-1 Off Site Hedge Baseline'!AK169</f>
        <v/>
      </c>
      <c r="C171" s="520" t="str">
        <f>IF(B171="","",IF(ISNA(VLOOKUP($B171,'E-1 Off Site Hedge Baseline'!$B$1:$L$257,3,FALSE)),"",(VLOOKUP($B171,'E-1 Off Site Hedge Baseline'!$B$1:$L$257,3,FALSE))))</f>
        <v/>
      </c>
      <c r="D171" s="520" t="str">
        <f>IF(B171="","",IF(ISNA(VLOOKUP($B171,'E-1 Off Site Hedge Baseline'!$B$1:$L$258,4,FALSE)),"",(VLOOKUP($B171,'E-1 Off Site Hedge Baseline'!$B$1:$L$258,4,FALSE))))</f>
        <v/>
      </c>
      <c r="E171" s="520" t="str">
        <f>IF(B171="","",IF(ISNA(VLOOKUP($B171,'E-1 Off Site Hedge Baseline'!$B$1:$L$257,5,FALSE)),"",(VLOOKUP($B171,'E-1 Off Site Hedge Baseline'!$B$1:$L$257,5,FALSE))))</f>
        <v/>
      </c>
      <c r="F171" s="520" t="str">
        <f>IF(B171="","",IF(ISNA(VLOOKUP($B171,'E-1 Off Site Hedge Baseline'!$B$1:$L$257,6,FALSE)),"",(VLOOKUP($B171,'E-1 Off Site Hedge Baseline'!$B$1:$L$257,6,FALSE))))</f>
        <v/>
      </c>
      <c r="G171" s="520" t="str">
        <f>IF(B171="","",IF(ISNA(VLOOKUP($B171,'E-1 Off Site Hedge Baseline'!$B$1:$L$257,7,FALSE)),"",(VLOOKUP($B171,'E-1 Off Site Hedge Baseline'!$B$1:$L$257,7,FALSE))))</f>
        <v/>
      </c>
      <c r="H171" s="520" t="str">
        <f>IF(B171="","",IF(ISNA(VLOOKUP($B171,'E-1 Off Site Hedge Baseline'!$B$1:$L$257,8,FALSE)),"",(VLOOKUP($B171,'E-1 Off Site Hedge Baseline'!$B$1:$L$257,8,FALSE))))</f>
        <v/>
      </c>
      <c r="I171" s="520" t="str">
        <f>IF(B171="","",IF(ISNA(VLOOKUP($B171,'E-1 Off Site Hedge Baseline'!$B$1:$L$257,10,FALSE)),"",(VLOOKUP($B171,'E-1 Off Site Hedge Baseline'!$B$1:$L$257,10,FALSE))))</f>
        <v/>
      </c>
      <c r="J171" s="520" t="str">
        <f>IF(B171="","",IF(ISNA(VLOOKUP($B171,'E-1 Off Site Hedge Baseline'!$B$1:$L$257,11,FALSE)),"",(VLOOKUP($B171,'E-1 Off Site Hedge Baseline'!$B$1:$L$257,11,FALSE))))</f>
        <v/>
      </c>
      <c r="K171" s="520" t="str">
        <f>IF(B171="","",IF(ISNA(VLOOKUP($B171,'E-1 Off Site Hedge Baseline'!$B$1:$U$257,113,FALSE)),"",(VLOOKUP($B171,'E-1 Off Site Hedge Baseline'!$B$1:$U$257,13,FALSE))))</f>
        <v/>
      </c>
      <c r="L171" s="507" t="str">
        <f>IF(B171="","",IF(ISNA(VLOOKUP($B171,'E-1 Off Site Hedge Baseline'!$B$1:$U$257,12,FALSE)),"",(VLOOKUP($B171,'E-1 Off Site Hedge Baseline'!$B$1:$U$257,12,FALSE))))</f>
        <v/>
      </c>
      <c r="M171" s="418" t="str">
        <f t="shared" si="24"/>
        <v/>
      </c>
      <c r="N171" s="498" t="str">
        <f>IFERROR(IF(B171="","",INDEX('G-6 Hedgerow Data'!$AN$3:$AZ$15,MATCH(C171,'G-6 Hedgerow Data'!$AM$3:$AM$15,0),MATCH(M171,'G-6 Hedgerow Data'!$AN$2:$AZ$2,0))),"")</f>
        <v/>
      </c>
      <c r="O171" s="499" t="str">
        <f t="shared" si="18"/>
        <v/>
      </c>
      <c r="P171" s="505" t="str">
        <f>IF(B171="","",VLOOKUP(B171,'E-1 Off Site Hedge Baseline'!$B$10:T416,16,FALSE))</f>
        <v/>
      </c>
      <c r="Q171" s="498" t="str">
        <f>IF(M171="","",VLOOKUP(M171,'G-6 Hedgerow Data'!$B$2:$AG$15,2,FALSE))</f>
        <v/>
      </c>
      <c r="R171" s="499" t="str">
        <f>IF(M171="","",VLOOKUP(M171,'G-6 Hedgerow Data'!$B$2:$AG$15,3,FALSE))</f>
        <v/>
      </c>
      <c r="S171" s="145"/>
      <c r="T171" s="499" t="str">
        <f>IFERROR(IF(AND(Q171="V.Low",OR(S171="Good",S171="Moderate")),"Error ▲",VLOOKUP(S171,'G-1 All Habitats'!$Z$2:$AA$9,2,FALSE)),"")</f>
        <v/>
      </c>
      <c r="U171" s="145"/>
      <c r="V171" s="507" t="str">
        <f>IF(U171="","",IF(VLOOKUP(U171,'G-3 Multipliers'!$L$3:$N$6,2,FALSE)=0,"Spatial Data Missing ⚠",VLOOKUP(U171,'G-3 Multipliers'!$L$3:$N$6,2,FALSE)))</f>
        <v/>
      </c>
      <c r="W171" s="505" t="str">
        <f>IF(U171="","",IF(VLOOKUP(U171,'G-3 Multipliers'!$L$3:$N$6,3,FALSE)=0,"Spatial Data Missing ⚠",VLOOKUP(U171,'G-3 Multipliers'!$L$3:$N$6,3,FALSE)))</f>
        <v/>
      </c>
      <c r="X171" s="498"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7" t="str">
        <f t="shared" si="19"/>
        <v/>
      </c>
      <c r="AB171" s="521" t="str">
        <f t="shared" si="20"/>
        <v/>
      </c>
      <c r="AC171" s="522" t="str">
        <f t="shared" si="17"/>
        <v/>
      </c>
      <c r="AD171" s="537" t="str">
        <f>IF(M171="","",VLOOKUP(M171,'G-6 Hedgerow Data'!$B$3:$AG$15,31,FALSE))</f>
        <v/>
      </c>
      <c r="AE171" s="520" t="str">
        <f t="shared" si="21"/>
        <v/>
      </c>
      <c r="AF171" s="520" t="str">
        <f t="shared" si="22"/>
        <v/>
      </c>
      <c r="AG171" s="524" t="str">
        <f>IFERROR(IF(O171="","",VLOOKUP(AD171,'G-3 Multipliers'!$P$3:$Q$6,2,FALSE)),"")</f>
        <v/>
      </c>
      <c r="AH171" s="197"/>
      <c r="AI171" s="499" t="str">
        <f>IF(AH171="","",IF(VLOOKUP(AH171,'G-3 Multipliers'!$S$3:$T$6,2,FALSE)=0,"Spatial Data Missing ⚠",VLOOKUP(AH171,'G-3 Multipliers'!$S$3:$T$6,2,FALSE)))</f>
        <v/>
      </c>
      <c r="AJ171" s="545" t="str">
        <f t="shared" si="23"/>
        <v/>
      </c>
      <c r="AK171" s="149"/>
      <c r="AL171" s="150"/>
      <c r="AP171" s="31" t="str">
        <f>IFERROR(INDEX('G-6 Hedgerow Data'!$BJ$3:$BJ$15,MATCH(M171,'G-6 Hedgerow Data'!$B$3:$B$15,0)),"")</f>
        <v/>
      </c>
    </row>
    <row r="172" spans="2:42" ht="13.8" x14ac:dyDescent="0.25">
      <c r="B172" s="531" t="str">
        <f>'E-1 Off Site Hedge Baseline'!AK170</f>
        <v/>
      </c>
      <c r="C172" s="520" t="str">
        <f>IF(B172="","",IF(ISNA(VLOOKUP($B172,'E-1 Off Site Hedge Baseline'!$B$1:$L$257,3,FALSE)),"",(VLOOKUP($B172,'E-1 Off Site Hedge Baseline'!$B$1:$L$257,3,FALSE))))</f>
        <v/>
      </c>
      <c r="D172" s="520" t="str">
        <f>IF(B172="","",IF(ISNA(VLOOKUP($B172,'E-1 Off Site Hedge Baseline'!$B$1:$L$258,4,FALSE)),"",(VLOOKUP($B172,'E-1 Off Site Hedge Baseline'!$B$1:$L$258,4,FALSE))))</f>
        <v/>
      </c>
      <c r="E172" s="520" t="str">
        <f>IF(B172="","",IF(ISNA(VLOOKUP($B172,'E-1 Off Site Hedge Baseline'!$B$1:$L$257,5,FALSE)),"",(VLOOKUP($B172,'E-1 Off Site Hedge Baseline'!$B$1:$L$257,5,FALSE))))</f>
        <v/>
      </c>
      <c r="F172" s="520" t="str">
        <f>IF(B172="","",IF(ISNA(VLOOKUP($B172,'E-1 Off Site Hedge Baseline'!$B$1:$L$257,6,FALSE)),"",(VLOOKUP($B172,'E-1 Off Site Hedge Baseline'!$B$1:$L$257,6,FALSE))))</f>
        <v/>
      </c>
      <c r="G172" s="520" t="str">
        <f>IF(B172="","",IF(ISNA(VLOOKUP($B172,'E-1 Off Site Hedge Baseline'!$B$1:$L$257,7,FALSE)),"",(VLOOKUP($B172,'E-1 Off Site Hedge Baseline'!$B$1:$L$257,7,FALSE))))</f>
        <v/>
      </c>
      <c r="H172" s="520" t="str">
        <f>IF(B172="","",IF(ISNA(VLOOKUP($B172,'E-1 Off Site Hedge Baseline'!$B$1:$L$257,8,FALSE)),"",(VLOOKUP($B172,'E-1 Off Site Hedge Baseline'!$B$1:$L$257,8,FALSE))))</f>
        <v/>
      </c>
      <c r="I172" s="520" t="str">
        <f>IF(B172="","",IF(ISNA(VLOOKUP($B172,'E-1 Off Site Hedge Baseline'!$B$1:$L$257,10,FALSE)),"",(VLOOKUP($B172,'E-1 Off Site Hedge Baseline'!$B$1:$L$257,10,FALSE))))</f>
        <v/>
      </c>
      <c r="J172" s="520" t="str">
        <f>IF(B172="","",IF(ISNA(VLOOKUP($B172,'E-1 Off Site Hedge Baseline'!$B$1:$L$257,11,FALSE)),"",(VLOOKUP($B172,'E-1 Off Site Hedge Baseline'!$B$1:$L$257,11,FALSE))))</f>
        <v/>
      </c>
      <c r="K172" s="520" t="str">
        <f>IF(B172="","",IF(ISNA(VLOOKUP($B172,'E-1 Off Site Hedge Baseline'!$B$1:$U$257,113,FALSE)),"",(VLOOKUP($B172,'E-1 Off Site Hedge Baseline'!$B$1:$U$257,13,FALSE))))</f>
        <v/>
      </c>
      <c r="L172" s="507" t="str">
        <f>IF(B172="","",IF(ISNA(VLOOKUP($B172,'E-1 Off Site Hedge Baseline'!$B$1:$U$257,12,FALSE)),"",(VLOOKUP($B172,'E-1 Off Site Hedge Baseline'!$B$1:$U$257,12,FALSE))))</f>
        <v/>
      </c>
      <c r="M172" s="418" t="str">
        <f t="shared" si="24"/>
        <v/>
      </c>
      <c r="N172" s="498" t="str">
        <f>IFERROR(IF(B172="","",INDEX('G-6 Hedgerow Data'!$AN$3:$AZ$15,MATCH(C172,'G-6 Hedgerow Data'!$AM$3:$AM$15,0),MATCH(M172,'G-6 Hedgerow Data'!$AN$2:$AZ$2,0))),"")</f>
        <v/>
      </c>
      <c r="O172" s="499" t="str">
        <f t="shared" si="18"/>
        <v/>
      </c>
      <c r="P172" s="505" t="str">
        <f>IF(B172="","",VLOOKUP(B172,'E-1 Off Site Hedge Baseline'!$B$10:T417,16,FALSE))</f>
        <v/>
      </c>
      <c r="Q172" s="498" t="str">
        <f>IF(M172="","",VLOOKUP(M172,'G-6 Hedgerow Data'!$B$2:$AG$15,2,FALSE))</f>
        <v/>
      </c>
      <c r="R172" s="499" t="str">
        <f>IF(M172="","",VLOOKUP(M172,'G-6 Hedgerow Data'!$B$2:$AG$15,3,FALSE))</f>
        <v/>
      </c>
      <c r="S172" s="145"/>
      <c r="T172" s="499" t="str">
        <f>IFERROR(IF(AND(Q172="V.Low",OR(S172="Good",S172="Moderate")),"Error ▲",VLOOKUP(S172,'G-1 All Habitats'!$Z$2:$AA$9,2,FALSE)),"")</f>
        <v/>
      </c>
      <c r="U172" s="145"/>
      <c r="V172" s="507" t="str">
        <f>IF(U172="","",IF(VLOOKUP(U172,'G-3 Multipliers'!$L$3:$N$6,2,FALSE)=0,"Spatial Data Missing ⚠",VLOOKUP(U172,'G-3 Multipliers'!$L$3:$N$6,2,FALSE)))</f>
        <v/>
      </c>
      <c r="W172" s="505" t="str">
        <f>IF(U172="","",IF(VLOOKUP(U172,'G-3 Multipliers'!$L$3:$N$6,3,FALSE)=0,"Spatial Data Missing ⚠",VLOOKUP(U172,'G-3 Multipliers'!$L$3:$N$6,3,FALSE)))</f>
        <v/>
      </c>
      <c r="X172" s="498"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7" t="str">
        <f t="shared" si="19"/>
        <v/>
      </c>
      <c r="AB172" s="521" t="str">
        <f t="shared" si="20"/>
        <v/>
      </c>
      <c r="AC172" s="522" t="str">
        <f t="shared" si="17"/>
        <v/>
      </c>
      <c r="AD172" s="537" t="str">
        <f>IF(M172="","",VLOOKUP(M172,'G-6 Hedgerow Data'!$B$3:$AG$15,31,FALSE))</f>
        <v/>
      </c>
      <c r="AE172" s="520" t="str">
        <f t="shared" si="21"/>
        <v/>
      </c>
      <c r="AF172" s="520" t="str">
        <f t="shared" si="22"/>
        <v/>
      </c>
      <c r="AG172" s="524" t="str">
        <f>IFERROR(IF(O172="","",VLOOKUP(AD172,'G-3 Multipliers'!$P$3:$Q$6,2,FALSE)),"")</f>
        <v/>
      </c>
      <c r="AH172" s="197"/>
      <c r="AI172" s="499" t="str">
        <f>IF(AH172="","",IF(VLOOKUP(AH172,'G-3 Multipliers'!$S$3:$T$6,2,FALSE)=0,"Spatial Data Missing ⚠",VLOOKUP(AH172,'G-3 Multipliers'!$S$3:$T$6,2,FALSE)))</f>
        <v/>
      </c>
      <c r="AJ172" s="545" t="str">
        <f t="shared" si="23"/>
        <v/>
      </c>
      <c r="AK172" s="149"/>
      <c r="AL172" s="150"/>
      <c r="AP172" s="31" t="str">
        <f>IFERROR(INDEX('G-6 Hedgerow Data'!$BJ$3:$BJ$15,MATCH(M172,'G-6 Hedgerow Data'!$B$3:$B$15,0)),"")</f>
        <v/>
      </c>
    </row>
    <row r="173" spans="2:42" ht="13.8" x14ac:dyDescent="0.25">
      <c r="B173" s="531" t="str">
        <f>'E-1 Off Site Hedge Baseline'!AK171</f>
        <v/>
      </c>
      <c r="C173" s="520" t="str">
        <f>IF(B173="","",IF(ISNA(VLOOKUP($B173,'E-1 Off Site Hedge Baseline'!$B$1:$L$257,3,FALSE)),"",(VLOOKUP($B173,'E-1 Off Site Hedge Baseline'!$B$1:$L$257,3,FALSE))))</f>
        <v/>
      </c>
      <c r="D173" s="520" t="str">
        <f>IF(B173="","",IF(ISNA(VLOOKUP($B173,'E-1 Off Site Hedge Baseline'!$B$1:$L$258,4,FALSE)),"",(VLOOKUP($B173,'E-1 Off Site Hedge Baseline'!$B$1:$L$258,4,FALSE))))</f>
        <v/>
      </c>
      <c r="E173" s="520" t="str">
        <f>IF(B173="","",IF(ISNA(VLOOKUP($B173,'E-1 Off Site Hedge Baseline'!$B$1:$L$257,5,FALSE)),"",(VLOOKUP($B173,'E-1 Off Site Hedge Baseline'!$B$1:$L$257,5,FALSE))))</f>
        <v/>
      </c>
      <c r="F173" s="520" t="str">
        <f>IF(B173="","",IF(ISNA(VLOOKUP($B173,'E-1 Off Site Hedge Baseline'!$B$1:$L$257,6,FALSE)),"",(VLOOKUP($B173,'E-1 Off Site Hedge Baseline'!$B$1:$L$257,6,FALSE))))</f>
        <v/>
      </c>
      <c r="G173" s="520" t="str">
        <f>IF(B173="","",IF(ISNA(VLOOKUP($B173,'E-1 Off Site Hedge Baseline'!$B$1:$L$257,7,FALSE)),"",(VLOOKUP($B173,'E-1 Off Site Hedge Baseline'!$B$1:$L$257,7,FALSE))))</f>
        <v/>
      </c>
      <c r="H173" s="520" t="str">
        <f>IF(B173="","",IF(ISNA(VLOOKUP($B173,'E-1 Off Site Hedge Baseline'!$B$1:$L$257,8,FALSE)),"",(VLOOKUP($B173,'E-1 Off Site Hedge Baseline'!$B$1:$L$257,8,FALSE))))</f>
        <v/>
      </c>
      <c r="I173" s="520" t="str">
        <f>IF(B173="","",IF(ISNA(VLOOKUP($B173,'E-1 Off Site Hedge Baseline'!$B$1:$L$257,10,FALSE)),"",(VLOOKUP($B173,'E-1 Off Site Hedge Baseline'!$B$1:$L$257,10,FALSE))))</f>
        <v/>
      </c>
      <c r="J173" s="520" t="str">
        <f>IF(B173="","",IF(ISNA(VLOOKUP($B173,'E-1 Off Site Hedge Baseline'!$B$1:$L$257,11,FALSE)),"",(VLOOKUP($B173,'E-1 Off Site Hedge Baseline'!$B$1:$L$257,11,FALSE))))</f>
        <v/>
      </c>
      <c r="K173" s="520" t="str">
        <f>IF(B173="","",IF(ISNA(VLOOKUP($B173,'E-1 Off Site Hedge Baseline'!$B$1:$U$257,113,FALSE)),"",(VLOOKUP($B173,'E-1 Off Site Hedge Baseline'!$B$1:$U$257,13,FALSE))))</f>
        <v/>
      </c>
      <c r="L173" s="507" t="str">
        <f>IF(B173="","",IF(ISNA(VLOOKUP($B173,'E-1 Off Site Hedge Baseline'!$B$1:$U$257,12,FALSE)),"",(VLOOKUP($B173,'E-1 Off Site Hedge Baseline'!$B$1:$U$257,12,FALSE))))</f>
        <v/>
      </c>
      <c r="M173" s="418" t="str">
        <f t="shared" si="24"/>
        <v/>
      </c>
      <c r="N173" s="498" t="str">
        <f>IFERROR(IF(B173="","",INDEX('G-6 Hedgerow Data'!$AN$3:$AZ$15,MATCH(C173,'G-6 Hedgerow Data'!$AM$3:$AM$15,0),MATCH(M173,'G-6 Hedgerow Data'!$AN$2:$AZ$2,0))),"")</f>
        <v/>
      </c>
      <c r="O173" s="499" t="str">
        <f t="shared" si="18"/>
        <v/>
      </c>
      <c r="P173" s="505" t="str">
        <f>IF(B173="","",VLOOKUP(B173,'E-1 Off Site Hedge Baseline'!$B$10:T418,16,FALSE))</f>
        <v/>
      </c>
      <c r="Q173" s="498" t="str">
        <f>IF(M173="","",VLOOKUP(M173,'G-6 Hedgerow Data'!$B$2:$AG$15,2,FALSE))</f>
        <v/>
      </c>
      <c r="R173" s="499" t="str">
        <f>IF(M173="","",VLOOKUP(M173,'G-6 Hedgerow Data'!$B$2:$AG$15,3,FALSE))</f>
        <v/>
      </c>
      <c r="S173" s="145"/>
      <c r="T173" s="499" t="str">
        <f>IFERROR(IF(AND(Q173="V.Low",OR(S173="Good",S173="Moderate")),"Error ▲",VLOOKUP(S173,'G-1 All Habitats'!$Z$2:$AA$9,2,FALSE)),"")</f>
        <v/>
      </c>
      <c r="U173" s="145"/>
      <c r="V173" s="507" t="str">
        <f>IF(U173="","",IF(VLOOKUP(U173,'G-3 Multipliers'!$L$3:$N$6,2,FALSE)=0,"Spatial Data Missing ⚠",VLOOKUP(U173,'G-3 Multipliers'!$L$3:$N$6,2,FALSE)))</f>
        <v/>
      </c>
      <c r="W173" s="505" t="str">
        <f>IF(U173="","",IF(VLOOKUP(U173,'G-3 Multipliers'!$L$3:$N$6,3,FALSE)=0,"Spatial Data Missing ⚠",VLOOKUP(U173,'G-3 Multipliers'!$L$3:$N$6,3,FALSE)))</f>
        <v/>
      </c>
      <c r="X173" s="498"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7" t="str">
        <f t="shared" si="19"/>
        <v/>
      </c>
      <c r="AB173" s="521" t="str">
        <f t="shared" si="20"/>
        <v/>
      </c>
      <c r="AC173" s="522" t="str">
        <f t="shared" si="17"/>
        <v/>
      </c>
      <c r="AD173" s="537" t="str">
        <f>IF(M173="","",VLOOKUP(M173,'G-6 Hedgerow Data'!$B$3:$AG$15,31,FALSE))</f>
        <v/>
      </c>
      <c r="AE173" s="520" t="str">
        <f t="shared" si="21"/>
        <v/>
      </c>
      <c r="AF173" s="520" t="str">
        <f t="shared" si="22"/>
        <v/>
      </c>
      <c r="AG173" s="524" t="str">
        <f>IFERROR(IF(O173="","",VLOOKUP(AD173,'G-3 Multipliers'!$P$3:$Q$6,2,FALSE)),"")</f>
        <v/>
      </c>
      <c r="AH173" s="197"/>
      <c r="AI173" s="499" t="str">
        <f>IF(AH173="","",IF(VLOOKUP(AH173,'G-3 Multipliers'!$S$3:$T$6,2,FALSE)=0,"Spatial Data Missing ⚠",VLOOKUP(AH173,'G-3 Multipliers'!$S$3:$T$6,2,FALSE)))</f>
        <v/>
      </c>
      <c r="AJ173" s="545" t="str">
        <f t="shared" si="23"/>
        <v/>
      </c>
      <c r="AK173" s="149"/>
      <c r="AL173" s="150"/>
      <c r="AP173" s="31" t="str">
        <f>IFERROR(INDEX('G-6 Hedgerow Data'!$BJ$3:$BJ$15,MATCH(M173,'G-6 Hedgerow Data'!$B$3:$B$15,0)),"")</f>
        <v/>
      </c>
    </row>
    <row r="174" spans="2:42" ht="13.8" x14ac:dyDescent="0.25">
      <c r="B174" s="531" t="str">
        <f>'E-1 Off Site Hedge Baseline'!AK172</f>
        <v/>
      </c>
      <c r="C174" s="520" t="str">
        <f>IF(B174="","",IF(ISNA(VLOOKUP($B174,'E-1 Off Site Hedge Baseline'!$B$1:$L$257,3,FALSE)),"",(VLOOKUP($B174,'E-1 Off Site Hedge Baseline'!$B$1:$L$257,3,FALSE))))</f>
        <v/>
      </c>
      <c r="D174" s="520" t="str">
        <f>IF(B174="","",IF(ISNA(VLOOKUP($B174,'E-1 Off Site Hedge Baseline'!$B$1:$L$258,4,FALSE)),"",(VLOOKUP($B174,'E-1 Off Site Hedge Baseline'!$B$1:$L$258,4,FALSE))))</f>
        <v/>
      </c>
      <c r="E174" s="520" t="str">
        <f>IF(B174="","",IF(ISNA(VLOOKUP($B174,'E-1 Off Site Hedge Baseline'!$B$1:$L$257,5,FALSE)),"",(VLOOKUP($B174,'E-1 Off Site Hedge Baseline'!$B$1:$L$257,5,FALSE))))</f>
        <v/>
      </c>
      <c r="F174" s="520" t="str">
        <f>IF(B174="","",IF(ISNA(VLOOKUP($B174,'E-1 Off Site Hedge Baseline'!$B$1:$L$257,6,FALSE)),"",(VLOOKUP($B174,'E-1 Off Site Hedge Baseline'!$B$1:$L$257,6,FALSE))))</f>
        <v/>
      </c>
      <c r="G174" s="520" t="str">
        <f>IF(B174="","",IF(ISNA(VLOOKUP($B174,'E-1 Off Site Hedge Baseline'!$B$1:$L$257,7,FALSE)),"",(VLOOKUP($B174,'E-1 Off Site Hedge Baseline'!$B$1:$L$257,7,FALSE))))</f>
        <v/>
      </c>
      <c r="H174" s="520" t="str">
        <f>IF(B174="","",IF(ISNA(VLOOKUP($B174,'E-1 Off Site Hedge Baseline'!$B$1:$L$257,8,FALSE)),"",(VLOOKUP($B174,'E-1 Off Site Hedge Baseline'!$B$1:$L$257,8,FALSE))))</f>
        <v/>
      </c>
      <c r="I174" s="520" t="str">
        <f>IF(B174="","",IF(ISNA(VLOOKUP($B174,'E-1 Off Site Hedge Baseline'!$B$1:$L$257,10,FALSE)),"",(VLOOKUP($B174,'E-1 Off Site Hedge Baseline'!$B$1:$L$257,10,FALSE))))</f>
        <v/>
      </c>
      <c r="J174" s="520" t="str">
        <f>IF(B174="","",IF(ISNA(VLOOKUP($B174,'E-1 Off Site Hedge Baseline'!$B$1:$L$257,11,FALSE)),"",(VLOOKUP($B174,'E-1 Off Site Hedge Baseline'!$B$1:$L$257,11,FALSE))))</f>
        <v/>
      </c>
      <c r="K174" s="520" t="str">
        <f>IF(B174="","",IF(ISNA(VLOOKUP($B174,'E-1 Off Site Hedge Baseline'!$B$1:$U$257,113,FALSE)),"",(VLOOKUP($B174,'E-1 Off Site Hedge Baseline'!$B$1:$U$257,13,FALSE))))</f>
        <v/>
      </c>
      <c r="L174" s="507" t="str">
        <f>IF(B174="","",IF(ISNA(VLOOKUP($B174,'E-1 Off Site Hedge Baseline'!$B$1:$U$257,12,FALSE)),"",(VLOOKUP($B174,'E-1 Off Site Hedge Baseline'!$B$1:$U$257,12,FALSE))))</f>
        <v/>
      </c>
      <c r="M174" s="418" t="str">
        <f t="shared" si="24"/>
        <v/>
      </c>
      <c r="N174" s="498" t="str">
        <f>IFERROR(IF(B174="","",INDEX('G-6 Hedgerow Data'!$AN$3:$AZ$15,MATCH(C174,'G-6 Hedgerow Data'!$AM$3:$AM$15,0),MATCH(M174,'G-6 Hedgerow Data'!$AN$2:$AZ$2,0))),"")</f>
        <v/>
      </c>
      <c r="O174" s="499" t="str">
        <f t="shared" si="18"/>
        <v/>
      </c>
      <c r="P174" s="505" t="str">
        <f>IF(B174="","",VLOOKUP(B174,'E-1 Off Site Hedge Baseline'!$B$10:T419,16,FALSE))</f>
        <v/>
      </c>
      <c r="Q174" s="498" t="str">
        <f>IF(M174="","",VLOOKUP(M174,'G-6 Hedgerow Data'!$B$2:$AG$15,2,FALSE))</f>
        <v/>
      </c>
      <c r="R174" s="499" t="str">
        <f>IF(M174="","",VLOOKUP(M174,'G-6 Hedgerow Data'!$B$2:$AG$15,3,FALSE))</f>
        <v/>
      </c>
      <c r="S174" s="145"/>
      <c r="T174" s="499" t="str">
        <f>IFERROR(IF(AND(Q174="V.Low",OR(S174="Good",S174="Moderate")),"Error ▲",VLOOKUP(S174,'G-1 All Habitats'!$Z$2:$AA$9,2,FALSE)),"")</f>
        <v/>
      </c>
      <c r="U174" s="145"/>
      <c r="V174" s="507" t="str">
        <f>IF(U174="","",IF(VLOOKUP(U174,'G-3 Multipliers'!$L$3:$N$6,2,FALSE)=0,"Spatial Data Missing ⚠",VLOOKUP(U174,'G-3 Multipliers'!$L$3:$N$6,2,FALSE)))</f>
        <v/>
      </c>
      <c r="W174" s="505" t="str">
        <f>IF(U174="","",IF(VLOOKUP(U174,'G-3 Multipliers'!$L$3:$N$6,3,FALSE)=0,"Spatial Data Missing ⚠",VLOOKUP(U174,'G-3 Multipliers'!$L$3:$N$6,3,FALSE)))</f>
        <v/>
      </c>
      <c r="X174" s="498"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7" t="str">
        <f t="shared" si="19"/>
        <v/>
      </c>
      <c r="AB174" s="521" t="str">
        <f t="shared" si="20"/>
        <v/>
      </c>
      <c r="AC174" s="522" t="str">
        <f t="shared" si="17"/>
        <v/>
      </c>
      <c r="AD174" s="537" t="str">
        <f>IF(M174="","",VLOOKUP(M174,'G-6 Hedgerow Data'!$B$3:$AG$15,31,FALSE))</f>
        <v/>
      </c>
      <c r="AE174" s="520" t="str">
        <f t="shared" si="21"/>
        <v/>
      </c>
      <c r="AF174" s="520" t="str">
        <f t="shared" si="22"/>
        <v/>
      </c>
      <c r="AG174" s="524" t="str">
        <f>IFERROR(IF(O174="","",VLOOKUP(AD174,'G-3 Multipliers'!$P$3:$Q$6,2,FALSE)),"")</f>
        <v/>
      </c>
      <c r="AH174" s="197"/>
      <c r="AI174" s="499" t="str">
        <f>IF(AH174="","",IF(VLOOKUP(AH174,'G-3 Multipliers'!$S$3:$T$6,2,FALSE)=0,"Spatial Data Missing ⚠",VLOOKUP(AH174,'G-3 Multipliers'!$S$3:$T$6,2,FALSE)))</f>
        <v/>
      </c>
      <c r="AJ174" s="545" t="str">
        <f t="shared" si="23"/>
        <v/>
      </c>
      <c r="AK174" s="149"/>
      <c r="AL174" s="150"/>
      <c r="AP174" s="31" t="str">
        <f>IFERROR(INDEX('G-6 Hedgerow Data'!$BJ$3:$BJ$15,MATCH(M174,'G-6 Hedgerow Data'!$B$3:$B$15,0)),"")</f>
        <v/>
      </c>
    </row>
    <row r="175" spans="2:42" ht="13.8" x14ac:dyDescent="0.25">
      <c r="B175" s="531" t="str">
        <f>'E-1 Off Site Hedge Baseline'!AK173</f>
        <v/>
      </c>
      <c r="C175" s="520" t="str">
        <f>IF(B175="","",IF(ISNA(VLOOKUP($B175,'E-1 Off Site Hedge Baseline'!$B$1:$L$257,3,FALSE)),"",(VLOOKUP($B175,'E-1 Off Site Hedge Baseline'!$B$1:$L$257,3,FALSE))))</f>
        <v/>
      </c>
      <c r="D175" s="520" t="str">
        <f>IF(B175="","",IF(ISNA(VLOOKUP($B175,'E-1 Off Site Hedge Baseline'!$B$1:$L$258,4,FALSE)),"",(VLOOKUP($B175,'E-1 Off Site Hedge Baseline'!$B$1:$L$258,4,FALSE))))</f>
        <v/>
      </c>
      <c r="E175" s="520" t="str">
        <f>IF(B175="","",IF(ISNA(VLOOKUP($B175,'E-1 Off Site Hedge Baseline'!$B$1:$L$257,5,FALSE)),"",(VLOOKUP($B175,'E-1 Off Site Hedge Baseline'!$B$1:$L$257,5,FALSE))))</f>
        <v/>
      </c>
      <c r="F175" s="520" t="str">
        <f>IF(B175="","",IF(ISNA(VLOOKUP($B175,'E-1 Off Site Hedge Baseline'!$B$1:$L$257,6,FALSE)),"",(VLOOKUP($B175,'E-1 Off Site Hedge Baseline'!$B$1:$L$257,6,FALSE))))</f>
        <v/>
      </c>
      <c r="G175" s="520" t="str">
        <f>IF(B175="","",IF(ISNA(VLOOKUP($B175,'E-1 Off Site Hedge Baseline'!$B$1:$L$257,7,FALSE)),"",(VLOOKUP($B175,'E-1 Off Site Hedge Baseline'!$B$1:$L$257,7,FALSE))))</f>
        <v/>
      </c>
      <c r="H175" s="520" t="str">
        <f>IF(B175="","",IF(ISNA(VLOOKUP($B175,'E-1 Off Site Hedge Baseline'!$B$1:$L$257,8,FALSE)),"",(VLOOKUP($B175,'E-1 Off Site Hedge Baseline'!$B$1:$L$257,8,FALSE))))</f>
        <v/>
      </c>
      <c r="I175" s="520" t="str">
        <f>IF(B175="","",IF(ISNA(VLOOKUP($B175,'E-1 Off Site Hedge Baseline'!$B$1:$L$257,10,FALSE)),"",(VLOOKUP($B175,'E-1 Off Site Hedge Baseline'!$B$1:$L$257,10,FALSE))))</f>
        <v/>
      </c>
      <c r="J175" s="520" t="str">
        <f>IF(B175="","",IF(ISNA(VLOOKUP($B175,'E-1 Off Site Hedge Baseline'!$B$1:$L$257,11,FALSE)),"",(VLOOKUP($B175,'E-1 Off Site Hedge Baseline'!$B$1:$L$257,11,FALSE))))</f>
        <v/>
      </c>
      <c r="K175" s="520" t="str">
        <f>IF(B175="","",IF(ISNA(VLOOKUP($B175,'E-1 Off Site Hedge Baseline'!$B$1:$U$257,113,FALSE)),"",(VLOOKUP($B175,'E-1 Off Site Hedge Baseline'!$B$1:$U$257,13,FALSE))))</f>
        <v/>
      </c>
      <c r="L175" s="507" t="str">
        <f>IF(B175="","",IF(ISNA(VLOOKUP($B175,'E-1 Off Site Hedge Baseline'!$B$1:$U$257,12,FALSE)),"",(VLOOKUP($B175,'E-1 Off Site Hedge Baseline'!$B$1:$U$257,12,FALSE))))</f>
        <v/>
      </c>
      <c r="M175" s="418" t="str">
        <f t="shared" si="24"/>
        <v/>
      </c>
      <c r="N175" s="498" t="str">
        <f>IFERROR(IF(B175="","",INDEX('G-6 Hedgerow Data'!$AN$3:$AZ$15,MATCH(C175,'G-6 Hedgerow Data'!$AM$3:$AM$15,0),MATCH(M175,'G-6 Hedgerow Data'!$AN$2:$AZ$2,0))),"")</f>
        <v/>
      </c>
      <c r="O175" s="499" t="str">
        <f t="shared" si="18"/>
        <v/>
      </c>
      <c r="P175" s="505" t="str">
        <f>IF(B175="","",VLOOKUP(B175,'E-1 Off Site Hedge Baseline'!$B$10:T420,16,FALSE))</f>
        <v/>
      </c>
      <c r="Q175" s="498" t="str">
        <f>IF(M175="","",VLOOKUP(M175,'G-6 Hedgerow Data'!$B$2:$AG$15,2,FALSE))</f>
        <v/>
      </c>
      <c r="R175" s="499" t="str">
        <f>IF(M175="","",VLOOKUP(M175,'G-6 Hedgerow Data'!$B$2:$AG$15,3,FALSE))</f>
        <v/>
      </c>
      <c r="S175" s="145"/>
      <c r="T175" s="499" t="str">
        <f>IFERROR(IF(AND(Q175="V.Low",OR(S175="Good",S175="Moderate")),"Error ▲",VLOOKUP(S175,'G-1 All Habitats'!$Z$2:$AA$9,2,FALSE)),"")</f>
        <v/>
      </c>
      <c r="U175" s="145"/>
      <c r="V175" s="507" t="str">
        <f>IF(U175="","",IF(VLOOKUP(U175,'G-3 Multipliers'!$L$3:$N$6,2,FALSE)=0,"Spatial Data Missing ⚠",VLOOKUP(U175,'G-3 Multipliers'!$L$3:$N$6,2,FALSE)))</f>
        <v/>
      </c>
      <c r="W175" s="505" t="str">
        <f>IF(U175="","",IF(VLOOKUP(U175,'G-3 Multipliers'!$L$3:$N$6,3,FALSE)=0,"Spatial Data Missing ⚠",VLOOKUP(U175,'G-3 Multipliers'!$L$3:$N$6,3,FALSE)))</f>
        <v/>
      </c>
      <c r="X175" s="498"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7" t="str">
        <f t="shared" si="19"/>
        <v/>
      </c>
      <c r="AB175" s="521" t="str">
        <f t="shared" si="20"/>
        <v/>
      </c>
      <c r="AC175" s="522" t="str">
        <f t="shared" si="17"/>
        <v/>
      </c>
      <c r="AD175" s="537" t="str">
        <f>IF(M175="","",VLOOKUP(M175,'G-6 Hedgerow Data'!$B$3:$AG$15,31,FALSE))</f>
        <v/>
      </c>
      <c r="AE175" s="520" t="str">
        <f t="shared" si="21"/>
        <v/>
      </c>
      <c r="AF175" s="520" t="str">
        <f t="shared" si="22"/>
        <v/>
      </c>
      <c r="AG175" s="524" t="str">
        <f>IFERROR(IF(O175="","",VLOOKUP(AD175,'G-3 Multipliers'!$P$3:$Q$6,2,FALSE)),"")</f>
        <v/>
      </c>
      <c r="AH175" s="197"/>
      <c r="AI175" s="499" t="str">
        <f>IF(AH175="","",IF(VLOOKUP(AH175,'G-3 Multipliers'!$S$3:$T$6,2,FALSE)=0,"Spatial Data Missing ⚠",VLOOKUP(AH175,'G-3 Multipliers'!$S$3:$T$6,2,FALSE)))</f>
        <v/>
      </c>
      <c r="AJ175" s="545" t="str">
        <f t="shared" si="23"/>
        <v/>
      </c>
      <c r="AK175" s="149"/>
      <c r="AL175" s="150"/>
      <c r="AP175" s="31" t="str">
        <f>IFERROR(INDEX('G-6 Hedgerow Data'!$BJ$3:$BJ$15,MATCH(M175,'G-6 Hedgerow Data'!$B$3:$B$15,0)),"")</f>
        <v/>
      </c>
    </row>
    <row r="176" spans="2:42" ht="13.8" x14ac:dyDescent="0.25">
      <c r="B176" s="531" t="str">
        <f>'E-1 Off Site Hedge Baseline'!AK174</f>
        <v/>
      </c>
      <c r="C176" s="520" t="str">
        <f>IF(B176="","",IF(ISNA(VLOOKUP($B176,'E-1 Off Site Hedge Baseline'!$B$1:$L$257,3,FALSE)),"",(VLOOKUP($B176,'E-1 Off Site Hedge Baseline'!$B$1:$L$257,3,FALSE))))</f>
        <v/>
      </c>
      <c r="D176" s="520" t="str">
        <f>IF(B176="","",IF(ISNA(VLOOKUP($B176,'E-1 Off Site Hedge Baseline'!$B$1:$L$258,4,FALSE)),"",(VLOOKUP($B176,'E-1 Off Site Hedge Baseline'!$B$1:$L$258,4,FALSE))))</f>
        <v/>
      </c>
      <c r="E176" s="520" t="str">
        <f>IF(B176="","",IF(ISNA(VLOOKUP($B176,'E-1 Off Site Hedge Baseline'!$B$1:$L$257,5,FALSE)),"",(VLOOKUP($B176,'E-1 Off Site Hedge Baseline'!$B$1:$L$257,5,FALSE))))</f>
        <v/>
      </c>
      <c r="F176" s="520" t="str">
        <f>IF(B176="","",IF(ISNA(VLOOKUP($B176,'E-1 Off Site Hedge Baseline'!$B$1:$L$257,6,FALSE)),"",(VLOOKUP($B176,'E-1 Off Site Hedge Baseline'!$B$1:$L$257,6,FALSE))))</f>
        <v/>
      </c>
      <c r="G176" s="520" t="str">
        <f>IF(B176="","",IF(ISNA(VLOOKUP($B176,'E-1 Off Site Hedge Baseline'!$B$1:$L$257,7,FALSE)),"",(VLOOKUP($B176,'E-1 Off Site Hedge Baseline'!$B$1:$L$257,7,FALSE))))</f>
        <v/>
      </c>
      <c r="H176" s="520" t="str">
        <f>IF(B176="","",IF(ISNA(VLOOKUP($B176,'E-1 Off Site Hedge Baseline'!$B$1:$L$257,8,FALSE)),"",(VLOOKUP($B176,'E-1 Off Site Hedge Baseline'!$B$1:$L$257,8,FALSE))))</f>
        <v/>
      </c>
      <c r="I176" s="520" t="str">
        <f>IF(B176="","",IF(ISNA(VLOOKUP($B176,'E-1 Off Site Hedge Baseline'!$B$1:$L$257,10,FALSE)),"",(VLOOKUP($B176,'E-1 Off Site Hedge Baseline'!$B$1:$L$257,10,FALSE))))</f>
        <v/>
      </c>
      <c r="J176" s="520" t="str">
        <f>IF(B176="","",IF(ISNA(VLOOKUP($B176,'E-1 Off Site Hedge Baseline'!$B$1:$L$257,11,FALSE)),"",(VLOOKUP($B176,'E-1 Off Site Hedge Baseline'!$B$1:$L$257,11,FALSE))))</f>
        <v/>
      </c>
      <c r="K176" s="520" t="str">
        <f>IF(B176="","",IF(ISNA(VLOOKUP($B176,'E-1 Off Site Hedge Baseline'!$B$1:$U$257,113,FALSE)),"",(VLOOKUP($B176,'E-1 Off Site Hedge Baseline'!$B$1:$U$257,13,FALSE))))</f>
        <v/>
      </c>
      <c r="L176" s="507" t="str">
        <f>IF(B176="","",IF(ISNA(VLOOKUP($B176,'E-1 Off Site Hedge Baseline'!$B$1:$U$257,12,FALSE)),"",(VLOOKUP($B176,'E-1 Off Site Hedge Baseline'!$B$1:$U$257,12,FALSE))))</f>
        <v/>
      </c>
      <c r="M176" s="418" t="str">
        <f t="shared" si="24"/>
        <v/>
      </c>
      <c r="N176" s="498" t="str">
        <f>IFERROR(IF(B176="","",INDEX('G-6 Hedgerow Data'!$AN$3:$AZ$15,MATCH(C176,'G-6 Hedgerow Data'!$AM$3:$AM$15,0),MATCH(M176,'G-6 Hedgerow Data'!$AN$2:$AZ$2,0))),"")</f>
        <v/>
      </c>
      <c r="O176" s="499" t="str">
        <f t="shared" si="18"/>
        <v/>
      </c>
      <c r="P176" s="505" t="str">
        <f>IF(B176="","",VLOOKUP(B176,'E-1 Off Site Hedge Baseline'!$B$10:T421,16,FALSE))</f>
        <v/>
      </c>
      <c r="Q176" s="498" t="str">
        <f>IF(M176="","",VLOOKUP(M176,'G-6 Hedgerow Data'!$B$2:$AG$15,2,FALSE))</f>
        <v/>
      </c>
      <c r="R176" s="499" t="str">
        <f>IF(M176="","",VLOOKUP(M176,'G-6 Hedgerow Data'!$B$2:$AG$15,3,FALSE))</f>
        <v/>
      </c>
      <c r="S176" s="145"/>
      <c r="T176" s="499" t="str">
        <f>IFERROR(IF(AND(Q176="V.Low",OR(S176="Good",S176="Moderate")),"Error ▲",VLOOKUP(S176,'G-1 All Habitats'!$Z$2:$AA$9,2,FALSE)),"")</f>
        <v/>
      </c>
      <c r="U176" s="145"/>
      <c r="V176" s="507" t="str">
        <f>IF(U176="","",IF(VLOOKUP(U176,'G-3 Multipliers'!$L$3:$N$6,2,FALSE)=0,"Spatial Data Missing ⚠",VLOOKUP(U176,'G-3 Multipliers'!$L$3:$N$6,2,FALSE)))</f>
        <v/>
      </c>
      <c r="W176" s="505" t="str">
        <f>IF(U176="","",IF(VLOOKUP(U176,'G-3 Multipliers'!$L$3:$N$6,3,FALSE)=0,"Spatial Data Missing ⚠",VLOOKUP(U176,'G-3 Multipliers'!$L$3:$N$6,3,FALSE)))</f>
        <v/>
      </c>
      <c r="X176" s="498"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7" t="str">
        <f t="shared" si="19"/>
        <v/>
      </c>
      <c r="AB176" s="521" t="str">
        <f t="shared" si="20"/>
        <v/>
      </c>
      <c r="AC176" s="522" t="str">
        <f t="shared" si="17"/>
        <v/>
      </c>
      <c r="AD176" s="537" t="str">
        <f>IF(M176="","",VLOOKUP(M176,'G-6 Hedgerow Data'!$B$3:$AG$15,31,FALSE))</f>
        <v/>
      </c>
      <c r="AE176" s="520" t="str">
        <f t="shared" si="21"/>
        <v/>
      </c>
      <c r="AF176" s="520" t="str">
        <f t="shared" si="22"/>
        <v/>
      </c>
      <c r="AG176" s="524" t="str">
        <f>IFERROR(IF(O176="","",VLOOKUP(AD176,'G-3 Multipliers'!$P$3:$Q$6,2,FALSE)),"")</f>
        <v/>
      </c>
      <c r="AH176" s="197"/>
      <c r="AI176" s="499" t="str">
        <f>IF(AH176="","",IF(VLOOKUP(AH176,'G-3 Multipliers'!$S$3:$T$6,2,FALSE)=0,"Spatial Data Missing ⚠",VLOOKUP(AH176,'G-3 Multipliers'!$S$3:$T$6,2,FALSE)))</f>
        <v/>
      </c>
      <c r="AJ176" s="545" t="str">
        <f t="shared" si="23"/>
        <v/>
      </c>
      <c r="AK176" s="149"/>
      <c r="AL176" s="150"/>
      <c r="AP176" s="31" t="str">
        <f>IFERROR(INDEX('G-6 Hedgerow Data'!$BJ$3:$BJ$15,MATCH(M176,'G-6 Hedgerow Data'!$B$3:$B$15,0)),"")</f>
        <v/>
      </c>
    </row>
    <row r="177" spans="2:42" ht="13.8" x14ac:dyDescent="0.25">
      <c r="B177" s="531" t="str">
        <f>'E-1 Off Site Hedge Baseline'!AK175</f>
        <v/>
      </c>
      <c r="C177" s="520" t="str">
        <f>IF(B177="","",IF(ISNA(VLOOKUP($B177,'E-1 Off Site Hedge Baseline'!$B$1:$L$257,3,FALSE)),"",(VLOOKUP($B177,'E-1 Off Site Hedge Baseline'!$B$1:$L$257,3,FALSE))))</f>
        <v/>
      </c>
      <c r="D177" s="520" t="str">
        <f>IF(B177="","",IF(ISNA(VLOOKUP($B177,'E-1 Off Site Hedge Baseline'!$B$1:$L$258,4,FALSE)),"",(VLOOKUP($B177,'E-1 Off Site Hedge Baseline'!$B$1:$L$258,4,FALSE))))</f>
        <v/>
      </c>
      <c r="E177" s="520" t="str">
        <f>IF(B177="","",IF(ISNA(VLOOKUP($B177,'E-1 Off Site Hedge Baseline'!$B$1:$L$257,5,FALSE)),"",(VLOOKUP($B177,'E-1 Off Site Hedge Baseline'!$B$1:$L$257,5,FALSE))))</f>
        <v/>
      </c>
      <c r="F177" s="520" t="str">
        <f>IF(B177="","",IF(ISNA(VLOOKUP($B177,'E-1 Off Site Hedge Baseline'!$B$1:$L$257,6,FALSE)),"",(VLOOKUP($B177,'E-1 Off Site Hedge Baseline'!$B$1:$L$257,6,FALSE))))</f>
        <v/>
      </c>
      <c r="G177" s="520" t="str">
        <f>IF(B177="","",IF(ISNA(VLOOKUP($B177,'E-1 Off Site Hedge Baseline'!$B$1:$L$257,7,FALSE)),"",(VLOOKUP($B177,'E-1 Off Site Hedge Baseline'!$B$1:$L$257,7,FALSE))))</f>
        <v/>
      </c>
      <c r="H177" s="520" t="str">
        <f>IF(B177="","",IF(ISNA(VLOOKUP($B177,'E-1 Off Site Hedge Baseline'!$B$1:$L$257,8,FALSE)),"",(VLOOKUP($B177,'E-1 Off Site Hedge Baseline'!$B$1:$L$257,8,FALSE))))</f>
        <v/>
      </c>
      <c r="I177" s="520" t="str">
        <f>IF(B177="","",IF(ISNA(VLOOKUP($B177,'E-1 Off Site Hedge Baseline'!$B$1:$L$257,10,FALSE)),"",(VLOOKUP($B177,'E-1 Off Site Hedge Baseline'!$B$1:$L$257,10,FALSE))))</f>
        <v/>
      </c>
      <c r="J177" s="520" t="str">
        <f>IF(B177="","",IF(ISNA(VLOOKUP($B177,'E-1 Off Site Hedge Baseline'!$B$1:$L$257,11,FALSE)),"",(VLOOKUP($B177,'E-1 Off Site Hedge Baseline'!$B$1:$L$257,11,FALSE))))</f>
        <v/>
      </c>
      <c r="K177" s="520" t="str">
        <f>IF(B177="","",IF(ISNA(VLOOKUP($B177,'E-1 Off Site Hedge Baseline'!$B$1:$U$257,113,FALSE)),"",(VLOOKUP($B177,'E-1 Off Site Hedge Baseline'!$B$1:$U$257,13,FALSE))))</f>
        <v/>
      </c>
      <c r="L177" s="507" t="str">
        <f>IF(B177="","",IF(ISNA(VLOOKUP($B177,'E-1 Off Site Hedge Baseline'!$B$1:$U$257,12,FALSE)),"",(VLOOKUP($B177,'E-1 Off Site Hedge Baseline'!$B$1:$U$257,12,FALSE))))</f>
        <v/>
      </c>
      <c r="M177" s="418" t="str">
        <f t="shared" si="24"/>
        <v/>
      </c>
      <c r="N177" s="498" t="str">
        <f>IFERROR(IF(B177="","",INDEX('G-6 Hedgerow Data'!$AN$3:$AZ$15,MATCH(C177,'G-6 Hedgerow Data'!$AM$3:$AM$15,0),MATCH(M177,'G-6 Hedgerow Data'!$AN$2:$AZ$2,0))),"")</f>
        <v/>
      </c>
      <c r="O177" s="499" t="str">
        <f t="shared" si="18"/>
        <v/>
      </c>
      <c r="P177" s="505" t="str">
        <f>IF(B177="","",VLOOKUP(B177,'E-1 Off Site Hedge Baseline'!$B$10:T422,16,FALSE))</f>
        <v/>
      </c>
      <c r="Q177" s="498" t="str">
        <f>IF(M177="","",VLOOKUP(M177,'G-6 Hedgerow Data'!$B$2:$AG$15,2,FALSE))</f>
        <v/>
      </c>
      <c r="R177" s="499" t="str">
        <f>IF(M177="","",VLOOKUP(M177,'G-6 Hedgerow Data'!$B$2:$AG$15,3,FALSE))</f>
        <v/>
      </c>
      <c r="S177" s="145"/>
      <c r="T177" s="499" t="str">
        <f>IFERROR(IF(AND(Q177="V.Low",OR(S177="Good",S177="Moderate")),"Error ▲",VLOOKUP(S177,'G-1 All Habitats'!$Z$2:$AA$9,2,FALSE)),"")</f>
        <v/>
      </c>
      <c r="U177" s="145"/>
      <c r="V177" s="507" t="str">
        <f>IF(U177="","",IF(VLOOKUP(U177,'G-3 Multipliers'!$L$3:$N$6,2,FALSE)=0,"Spatial Data Missing ⚠",VLOOKUP(U177,'G-3 Multipliers'!$L$3:$N$6,2,FALSE)))</f>
        <v/>
      </c>
      <c r="W177" s="505" t="str">
        <f>IF(U177="","",IF(VLOOKUP(U177,'G-3 Multipliers'!$L$3:$N$6,3,FALSE)=0,"Spatial Data Missing ⚠",VLOOKUP(U177,'G-3 Multipliers'!$L$3:$N$6,3,FALSE)))</f>
        <v/>
      </c>
      <c r="X177" s="498"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7" t="str">
        <f t="shared" si="19"/>
        <v/>
      </c>
      <c r="AB177" s="521" t="str">
        <f t="shared" si="20"/>
        <v/>
      </c>
      <c r="AC177" s="522" t="str">
        <f t="shared" si="17"/>
        <v/>
      </c>
      <c r="AD177" s="537" t="str">
        <f>IF(M177="","",VLOOKUP(M177,'G-6 Hedgerow Data'!$B$3:$AG$15,31,FALSE))</f>
        <v/>
      </c>
      <c r="AE177" s="520" t="str">
        <f t="shared" si="21"/>
        <v/>
      </c>
      <c r="AF177" s="520" t="str">
        <f t="shared" si="22"/>
        <v/>
      </c>
      <c r="AG177" s="524" t="str">
        <f>IFERROR(IF(O177="","",VLOOKUP(AD177,'G-3 Multipliers'!$P$3:$Q$6,2,FALSE)),"")</f>
        <v/>
      </c>
      <c r="AH177" s="197"/>
      <c r="AI177" s="499" t="str">
        <f>IF(AH177="","",IF(VLOOKUP(AH177,'G-3 Multipliers'!$S$3:$T$6,2,FALSE)=0,"Spatial Data Missing ⚠",VLOOKUP(AH177,'G-3 Multipliers'!$S$3:$T$6,2,FALSE)))</f>
        <v/>
      </c>
      <c r="AJ177" s="545" t="str">
        <f t="shared" si="23"/>
        <v/>
      </c>
      <c r="AK177" s="149"/>
      <c r="AL177" s="150"/>
      <c r="AP177" s="31" t="str">
        <f>IFERROR(INDEX('G-6 Hedgerow Data'!$BJ$3:$BJ$15,MATCH(M177,'G-6 Hedgerow Data'!$B$3:$B$15,0)),"")</f>
        <v/>
      </c>
    </row>
    <row r="178" spans="2:42" ht="13.8" x14ac:dyDescent="0.25">
      <c r="B178" s="531" t="str">
        <f>'E-1 Off Site Hedge Baseline'!AK176</f>
        <v/>
      </c>
      <c r="C178" s="520" t="str">
        <f>IF(B178="","",IF(ISNA(VLOOKUP($B178,'E-1 Off Site Hedge Baseline'!$B$1:$L$257,3,FALSE)),"",(VLOOKUP($B178,'E-1 Off Site Hedge Baseline'!$B$1:$L$257,3,FALSE))))</f>
        <v/>
      </c>
      <c r="D178" s="520" t="str">
        <f>IF(B178="","",IF(ISNA(VLOOKUP($B178,'E-1 Off Site Hedge Baseline'!$B$1:$L$258,4,FALSE)),"",(VLOOKUP($B178,'E-1 Off Site Hedge Baseline'!$B$1:$L$258,4,FALSE))))</f>
        <v/>
      </c>
      <c r="E178" s="520" t="str">
        <f>IF(B178="","",IF(ISNA(VLOOKUP($B178,'E-1 Off Site Hedge Baseline'!$B$1:$L$257,5,FALSE)),"",(VLOOKUP($B178,'E-1 Off Site Hedge Baseline'!$B$1:$L$257,5,FALSE))))</f>
        <v/>
      </c>
      <c r="F178" s="520" t="str">
        <f>IF(B178="","",IF(ISNA(VLOOKUP($B178,'E-1 Off Site Hedge Baseline'!$B$1:$L$257,6,FALSE)),"",(VLOOKUP($B178,'E-1 Off Site Hedge Baseline'!$B$1:$L$257,6,FALSE))))</f>
        <v/>
      </c>
      <c r="G178" s="520" t="str">
        <f>IF(B178="","",IF(ISNA(VLOOKUP($B178,'E-1 Off Site Hedge Baseline'!$B$1:$L$257,7,FALSE)),"",(VLOOKUP($B178,'E-1 Off Site Hedge Baseline'!$B$1:$L$257,7,FALSE))))</f>
        <v/>
      </c>
      <c r="H178" s="520" t="str">
        <f>IF(B178="","",IF(ISNA(VLOOKUP($B178,'E-1 Off Site Hedge Baseline'!$B$1:$L$257,8,FALSE)),"",(VLOOKUP($B178,'E-1 Off Site Hedge Baseline'!$B$1:$L$257,8,FALSE))))</f>
        <v/>
      </c>
      <c r="I178" s="520" t="str">
        <f>IF(B178="","",IF(ISNA(VLOOKUP($B178,'E-1 Off Site Hedge Baseline'!$B$1:$L$257,10,FALSE)),"",(VLOOKUP($B178,'E-1 Off Site Hedge Baseline'!$B$1:$L$257,10,FALSE))))</f>
        <v/>
      </c>
      <c r="J178" s="520" t="str">
        <f>IF(B178="","",IF(ISNA(VLOOKUP($B178,'E-1 Off Site Hedge Baseline'!$B$1:$L$257,11,FALSE)),"",(VLOOKUP($B178,'E-1 Off Site Hedge Baseline'!$B$1:$L$257,11,FALSE))))</f>
        <v/>
      </c>
      <c r="K178" s="520" t="str">
        <f>IF(B178="","",IF(ISNA(VLOOKUP($B178,'E-1 Off Site Hedge Baseline'!$B$1:$U$257,113,FALSE)),"",(VLOOKUP($B178,'E-1 Off Site Hedge Baseline'!$B$1:$U$257,13,FALSE))))</f>
        <v/>
      </c>
      <c r="L178" s="507" t="str">
        <f>IF(B178="","",IF(ISNA(VLOOKUP($B178,'E-1 Off Site Hedge Baseline'!$B$1:$U$257,12,FALSE)),"",(VLOOKUP($B178,'E-1 Off Site Hedge Baseline'!$B$1:$U$257,12,FALSE))))</f>
        <v/>
      </c>
      <c r="M178" s="418" t="str">
        <f t="shared" si="24"/>
        <v/>
      </c>
      <c r="N178" s="498" t="str">
        <f>IFERROR(IF(B178="","",INDEX('G-6 Hedgerow Data'!$AN$3:$AZ$15,MATCH(C178,'G-6 Hedgerow Data'!$AM$3:$AM$15,0),MATCH(M178,'G-6 Hedgerow Data'!$AN$2:$AZ$2,0))),"")</f>
        <v/>
      </c>
      <c r="O178" s="499" t="str">
        <f t="shared" si="18"/>
        <v/>
      </c>
      <c r="P178" s="505" t="str">
        <f>IF(B178="","",VLOOKUP(B178,'E-1 Off Site Hedge Baseline'!$B$10:T423,16,FALSE))</f>
        <v/>
      </c>
      <c r="Q178" s="498" t="str">
        <f>IF(M178="","",VLOOKUP(M178,'G-6 Hedgerow Data'!$B$2:$AG$15,2,FALSE))</f>
        <v/>
      </c>
      <c r="R178" s="499" t="str">
        <f>IF(M178="","",VLOOKUP(M178,'G-6 Hedgerow Data'!$B$2:$AG$15,3,FALSE))</f>
        <v/>
      </c>
      <c r="S178" s="145"/>
      <c r="T178" s="499" t="str">
        <f>IFERROR(IF(AND(Q178="V.Low",OR(S178="Good",S178="Moderate")),"Error ▲",VLOOKUP(S178,'G-1 All Habitats'!$Z$2:$AA$9,2,FALSE)),"")</f>
        <v/>
      </c>
      <c r="U178" s="145"/>
      <c r="V178" s="507" t="str">
        <f>IF(U178="","",IF(VLOOKUP(U178,'G-3 Multipliers'!$L$3:$N$6,2,FALSE)=0,"Spatial Data Missing ⚠",VLOOKUP(U178,'G-3 Multipliers'!$L$3:$N$6,2,FALSE)))</f>
        <v/>
      </c>
      <c r="W178" s="505" t="str">
        <f>IF(U178="","",IF(VLOOKUP(U178,'G-3 Multipliers'!$L$3:$N$6,3,FALSE)=0,"Spatial Data Missing ⚠",VLOOKUP(U178,'G-3 Multipliers'!$L$3:$N$6,3,FALSE)))</f>
        <v/>
      </c>
      <c r="X178" s="498"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7" t="str">
        <f t="shared" si="19"/>
        <v/>
      </c>
      <c r="AB178" s="521" t="str">
        <f t="shared" si="20"/>
        <v/>
      </c>
      <c r="AC178" s="522" t="str">
        <f t="shared" si="17"/>
        <v/>
      </c>
      <c r="AD178" s="537" t="str">
        <f>IF(M178="","",VLOOKUP(M178,'G-6 Hedgerow Data'!$B$3:$AG$15,31,FALSE))</f>
        <v/>
      </c>
      <c r="AE178" s="520" t="str">
        <f t="shared" si="21"/>
        <v/>
      </c>
      <c r="AF178" s="520" t="str">
        <f t="shared" si="22"/>
        <v/>
      </c>
      <c r="AG178" s="524" t="str">
        <f>IFERROR(IF(O178="","",VLOOKUP(AD178,'G-3 Multipliers'!$P$3:$Q$6,2,FALSE)),"")</f>
        <v/>
      </c>
      <c r="AH178" s="197"/>
      <c r="AI178" s="499" t="str">
        <f>IF(AH178="","",IF(VLOOKUP(AH178,'G-3 Multipliers'!$S$3:$T$6,2,FALSE)=0,"Spatial Data Missing ⚠",VLOOKUP(AH178,'G-3 Multipliers'!$S$3:$T$6,2,FALSE)))</f>
        <v/>
      </c>
      <c r="AJ178" s="545" t="str">
        <f t="shared" si="23"/>
        <v/>
      </c>
      <c r="AK178" s="149"/>
      <c r="AL178" s="150"/>
      <c r="AP178" s="31" t="str">
        <f>IFERROR(INDEX('G-6 Hedgerow Data'!$BJ$3:$BJ$15,MATCH(M178,'G-6 Hedgerow Data'!$B$3:$B$15,0)),"")</f>
        <v/>
      </c>
    </row>
    <row r="179" spans="2:42" ht="13.8" x14ac:dyDescent="0.25">
      <c r="B179" s="531" t="str">
        <f>'E-1 Off Site Hedge Baseline'!AK177</f>
        <v/>
      </c>
      <c r="C179" s="520" t="str">
        <f>IF(B179="","",IF(ISNA(VLOOKUP($B179,'E-1 Off Site Hedge Baseline'!$B$1:$L$257,3,FALSE)),"",(VLOOKUP($B179,'E-1 Off Site Hedge Baseline'!$B$1:$L$257,3,FALSE))))</f>
        <v/>
      </c>
      <c r="D179" s="520" t="str">
        <f>IF(B179="","",IF(ISNA(VLOOKUP($B179,'E-1 Off Site Hedge Baseline'!$B$1:$L$258,4,FALSE)),"",(VLOOKUP($B179,'E-1 Off Site Hedge Baseline'!$B$1:$L$258,4,FALSE))))</f>
        <v/>
      </c>
      <c r="E179" s="520" t="str">
        <f>IF(B179="","",IF(ISNA(VLOOKUP($B179,'E-1 Off Site Hedge Baseline'!$B$1:$L$257,5,FALSE)),"",(VLOOKUP($B179,'E-1 Off Site Hedge Baseline'!$B$1:$L$257,5,FALSE))))</f>
        <v/>
      </c>
      <c r="F179" s="520" t="str">
        <f>IF(B179="","",IF(ISNA(VLOOKUP($B179,'E-1 Off Site Hedge Baseline'!$B$1:$L$257,6,FALSE)),"",(VLOOKUP($B179,'E-1 Off Site Hedge Baseline'!$B$1:$L$257,6,FALSE))))</f>
        <v/>
      </c>
      <c r="G179" s="520" t="str">
        <f>IF(B179="","",IF(ISNA(VLOOKUP($B179,'E-1 Off Site Hedge Baseline'!$B$1:$L$257,7,FALSE)),"",(VLOOKUP($B179,'E-1 Off Site Hedge Baseline'!$B$1:$L$257,7,FALSE))))</f>
        <v/>
      </c>
      <c r="H179" s="520" t="str">
        <f>IF(B179="","",IF(ISNA(VLOOKUP($B179,'E-1 Off Site Hedge Baseline'!$B$1:$L$257,8,FALSE)),"",(VLOOKUP($B179,'E-1 Off Site Hedge Baseline'!$B$1:$L$257,8,FALSE))))</f>
        <v/>
      </c>
      <c r="I179" s="520" t="str">
        <f>IF(B179="","",IF(ISNA(VLOOKUP($B179,'E-1 Off Site Hedge Baseline'!$B$1:$L$257,10,FALSE)),"",(VLOOKUP($B179,'E-1 Off Site Hedge Baseline'!$B$1:$L$257,10,FALSE))))</f>
        <v/>
      </c>
      <c r="J179" s="520" t="str">
        <f>IF(B179="","",IF(ISNA(VLOOKUP($B179,'E-1 Off Site Hedge Baseline'!$B$1:$L$257,11,FALSE)),"",(VLOOKUP($B179,'E-1 Off Site Hedge Baseline'!$B$1:$L$257,11,FALSE))))</f>
        <v/>
      </c>
      <c r="K179" s="520" t="str">
        <f>IF(B179="","",IF(ISNA(VLOOKUP($B179,'E-1 Off Site Hedge Baseline'!$B$1:$U$257,113,FALSE)),"",(VLOOKUP($B179,'E-1 Off Site Hedge Baseline'!$B$1:$U$257,13,FALSE))))</f>
        <v/>
      </c>
      <c r="L179" s="507" t="str">
        <f>IF(B179="","",IF(ISNA(VLOOKUP($B179,'E-1 Off Site Hedge Baseline'!$B$1:$U$257,12,FALSE)),"",(VLOOKUP($B179,'E-1 Off Site Hedge Baseline'!$B$1:$U$257,12,FALSE))))</f>
        <v/>
      </c>
      <c r="M179" s="418" t="str">
        <f t="shared" si="24"/>
        <v/>
      </c>
      <c r="N179" s="498" t="str">
        <f>IFERROR(IF(B179="","",INDEX('G-6 Hedgerow Data'!$AN$3:$AZ$15,MATCH(C179,'G-6 Hedgerow Data'!$AM$3:$AM$15,0),MATCH(M179,'G-6 Hedgerow Data'!$AN$2:$AZ$2,0))),"")</f>
        <v/>
      </c>
      <c r="O179" s="499" t="str">
        <f t="shared" si="18"/>
        <v/>
      </c>
      <c r="P179" s="505" t="str">
        <f>IF(B179="","",VLOOKUP(B179,'E-1 Off Site Hedge Baseline'!$B$10:T424,16,FALSE))</f>
        <v/>
      </c>
      <c r="Q179" s="498" t="str">
        <f>IF(M179="","",VLOOKUP(M179,'G-6 Hedgerow Data'!$B$2:$AG$15,2,FALSE))</f>
        <v/>
      </c>
      <c r="R179" s="499" t="str">
        <f>IF(M179="","",VLOOKUP(M179,'G-6 Hedgerow Data'!$B$2:$AG$15,3,FALSE))</f>
        <v/>
      </c>
      <c r="S179" s="145"/>
      <c r="T179" s="499" t="str">
        <f>IFERROR(IF(AND(Q179="V.Low",OR(S179="Good",S179="Moderate")),"Error ▲",VLOOKUP(S179,'G-1 All Habitats'!$Z$2:$AA$9,2,FALSE)),"")</f>
        <v/>
      </c>
      <c r="U179" s="145"/>
      <c r="V179" s="507" t="str">
        <f>IF(U179="","",IF(VLOOKUP(U179,'G-3 Multipliers'!$L$3:$N$6,2,FALSE)=0,"Spatial Data Missing ⚠",VLOOKUP(U179,'G-3 Multipliers'!$L$3:$N$6,2,FALSE)))</f>
        <v/>
      </c>
      <c r="W179" s="505" t="str">
        <f>IF(U179="","",IF(VLOOKUP(U179,'G-3 Multipliers'!$L$3:$N$6,3,FALSE)=0,"Spatial Data Missing ⚠",VLOOKUP(U179,'G-3 Multipliers'!$L$3:$N$6,3,FALSE)))</f>
        <v/>
      </c>
      <c r="X179" s="498"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7" t="str">
        <f t="shared" si="19"/>
        <v/>
      </c>
      <c r="AB179" s="521" t="str">
        <f t="shared" si="20"/>
        <v/>
      </c>
      <c r="AC179" s="522" t="str">
        <f t="shared" si="17"/>
        <v/>
      </c>
      <c r="AD179" s="537" t="str">
        <f>IF(M179="","",VLOOKUP(M179,'G-6 Hedgerow Data'!$B$3:$AG$15,31,FALSE))</f>
        <v/>
      </c>
      <c r="AE179" s="520" t="str">
        <f t="shared" si="21"/>
        <v/>
      </c>
      <c r="AF179" s="520" t="str">
        <f t="shared" si="22"/>
        <v/>
      </c>
      <c r="AG179" s="524" t="str">
        <f>IFERROR(IF(O179="","",VLOOKUP(AD179,'G-3 Multipliers'!$P$3:$Q$6,2,FALSE)),"")</f>
        <v/>
      </c>
      <c r="AH179" s="197"/>
      <c r="AI179" s="499" t="str">
        <f>IF(AH179="","",IF(VLOOKUP(AH179,'G-3 Multipliers'!$S$3:$T$6,2,FALSE)=0,"Spatial Data Missing ⚠",VLOOKUP(AH179,'G-3 Multipliers'!$S$3:$T$6,2,FALSE)))</f>
        <v/>
      </c>
      <c r="AJ179" s="545" t="str">
        <f t="shared" si="23"/>
        <v/>
      </c>
      <c r="AK179" s="149"/>
      <c r="AL179" s="150"/>
      <c r="AP179" s="31" t="str">
        <f>IFERROR(INDEX('G-6 Hedgerow Data'!$BJ$3:$BJ$15,MATCH(M179,'G-6 Hedgerow Data'!$B$3:$B$15,0)),"")</f>
        <v/>
      </c>
    </row>
    <row r="180" spans="2:42" ht="13.8" x14ac:dyDescent="0.25">
      <c r="B180" s="531" t="str">
        <f>'E-1 Off Site Hedge Baseline'!AK178</f>
        <v/>
      </c>
      <c r="C180" s="520" t="str">
        <f>IF(B180="","",IF(ISNA(VLOOKUP($B180,'E-1 Off Site Hedge Baseline'!$B$1:$L$257,3,FALSE)),"",(VLOOKUP($B180,'E-1 Off Site Hedge Baseline'!$B$1:$L$257,3,FALSE))))</f>
        <v/>
      </c>
      <c r="D180" s="520" t="str">
        <f>IF(B180="","",IF(ISNA(VLOOKUP($B180,'E-1 Off Site Hedge Baseline'!$B$1:$L$258,4,FALSE)),"",(VLOOKUP($B180,'E-1 Off Site Hedge Baseline'!$B$1:$L$258,4,FALSE))))</f>
        <v/>
      </c>
      <c r="E180" s="520" t="str">
        <f>IF(B180="","",IF(ISNA(VLOOKUP($B180,'E-1 Off Site Hedge Baseline'!$B$1:$L$257,5,FALSE)),"",(VLOOKUP($B180,'E-1 Off Site Hedge Baseline'!$B$1:$L$257,5,FALSE))))</f>
        <v/>
      </c>
      <c r="F180" s="520" t="str">
        <f>IF(B180="","",IF(ISNA(VLOOKUP($B180,'E-1 Off Site Hedge Baseline'!$B$1:$L$257,6,FALSE)),"",(VLOOKUP($B180,'E-1 Off Site Hedge Baseline'!$B$1:$L$257,6,FALSE))))</f>
        <v/>
      </c>
      <c r="G180" s="520" t="str">
        <f>IF(B180="","",IF(ISNA(VLOOKUP($B180,'E-1 Off Site Hedge Baseline'!$B$1:$L$257,7,FALSE)),"",(VLOOKUP($B180,'E-1 Off Site Hedge Baseline'!$B$1:$L$257,7,FALSE))))</f>
        <v/>
      </c>
      <c r="H180" s="520" t="str">
        <f>IF(B180="","",IF(ISNA(VLOOKUP($B180,'E-1 Off Site Hedge Baseline'!$B$1:$L$257,8,FALSE)),"",(VLOOKUP($B180,'E-1 Off Site Hedge Baseline'!$B$1:$L$257,8,FALSE))))</f>
        <v/>
      </c>
      <c r="I180" s="520" t="str">
        <f>IF(B180="","",IF(ISNA(VLOOKUP($B180,'E-1 Off Site Hedge Baseline'!$B$1:$L$257,10,FALSE)),"",(VLOOKUP($B180,'E-1 Off Site Hedge Baseline'!$B$1:$L$257,10,FALSE))))</f>
        <v/>
      </c>
      <c r="J180" s="520" t="str">
        <f>IF(B180="","",IF(ISNA(VLOOKUP($B180,'E-1 Off Site Hedge Baseline'!$B$1:$L$257,11,FALSE)),"",(VLOOKUP($B180,'E-1 Off Site Hedge Baseline'!$B$1:$L$257,11,FALSE))))</f>
        <v/>
      </c>
      <c r="K180" s="520" t="str">
        <f>IF(B180="","",IF(ISNA(VLOOKUP($B180,'E-1 Off Site Hedge Baseline'!$B$1:$U$257,113,FALSE)),"",(VLOOKUP($B180,'E-1 Off Site Hedge Baseline'!$B$1:$U$257,13,FALSE))))</f>
        <v/>
      </c>
      <c r="L180" s="507" t="str">
        <f>IF(B180="","",IF(ISNA(VLOOKUP($B180,'E-1 Off Site Hedge Baseline'!$B$1:$U$257,12,FALSE)),"",(VLOOKUP($B180,'E-1 Off Site Hedge Baseline'!$B$1:$U$257,12,FALSE))))</f>
        <v/>
      </c>
      <c r="M180" s="418" t="str">
        <f t="shared" si="24"/>
        <v/>
      </c>
      <c r="N180" s="498" t="str">
        <f>IFERROR(IF(B180="","",INDEX('G-6 Hedgerow Data'!$AN$3:$AZ$15,MATCH(C180,'G-6 Hedgerow Data'!$AM$3:$AM$15,0),MATCH(M180,'G-6 Hedgerow Data'!$AN$2:$AZ$2,0))),"")</f>
        <v/>
      </c>
      <c r="O180" s="499" t="str">
        <f t="shared" si="18"/>
        <v/>
      </c>
      <c r="P180" s="505" t="str">
        <f>IF(B180="","",VLOOKUP(B180,'E-1 Off Site Hedge Baseline'!$B$10:T425,16,FALSE))</f>
        <v/>
      </c>
      <c r="Q180" s="498" t="str">
        <f>IF(M180="","",VLOOKUP(M180,'G-6 Hedgerow Data'!$B$2:$AG$15,2,FALSE))</f>
        <v/>
      </c>
      <c r="R180" s="499" t="str">
        <f>IF(M180="","",VLOOKUP(M180,'G-6 Hedgerow Data'!$B$2:$AG$15,3,FALSE))</f>
        <v/>
      </c>
      <c r="S180" s="145"/>
      <c r="T180" s="499" t="str">
        <f>IFERROR(IF(AND(Q180="V.Low",OR(S180="Good",S180="Moderate")),"Error ▲",VLOOKUP(S180,'G-1 All Habitats'!$Z$2:$AA$9,2,FALSE)),"")</f>
        <v/>
      </c>
      <c r="U180" s="145"/>
      <c r="V180" s="507" t="str">
        <f>IF(U180="","",IF(VLOOKUP(U180,'G-3 Multipliers'!$L$3:$N$6,2,FALSE)=0,"Spatial Data Missing ⚠",VLOOKUP(U180,'G-3 Multipliers'!$L$3:$N$6,2,FALSE)))</f>
        <v/>
      </c>
      <c r="W180" s="505" t="str">
        <f>IF(U180="","",IF(VLOOKUP(U180,'G-3 Multipliers'!$L$3:$N$6,3,FALSE)=0,"Spatial Data Missing ⚠",VLOOKUP(U180,'G-3 Multipliers'!$L$3:$N$6,3,FALSE)))</f>
        <v/>
      </c>
      <c r="X180" s="498"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7" t="str">
        <f t="shared" si="19"/>
        <v/>
      </c>
      <c r="AB180" s="521" t="str">
        <f t="shared" si="20"/>
        <v/>
      </c>
      <c r="AC180" s="522" t="str">
        <f t="shared" si="17"/>
        <v/>
      </c>
      <c r="AD180" s="537" t="str">
        <f>IF(M180="","",VLOOKUP(M180,'G-6 Hedgerow Data'!$B$3:$AG$15,31,FALSE))</f>
        <v/>
      </c>
      <c r="AE180" s="520" t="str">
        <f t="shared" si="21"/>
        <v/>
      </c>
      <c r="AF180" s="520" t="str">
        <f t="shared" si="22"/>
        <v/>
      </c>
      <c r="AG180" s="524" t="str">
        <f>IFERROR(IF(O180="","",VLOOKUP(AD180,'G-3 Multipliers'!$P$3:$Q$6,2,FALSE)),"")</f>
        <v/>
      </c>
      <c r="AH180" s="197"/>
      <c r="AI180" s="499" t="str">
        <f>IF(AH180="","",IF(VLOOKUP(AH180,'G-3 Multipliers'!$S$3:$T$6,2,FALSE)=0,"Spatial Data Missing ⚠",VLOOKUP(AH180,'G-3 Multipliers'!$S$3:$T$6,2,FALSE)))</f>
        <v/>
      </c>
      <c r="AJ180" s="545" t="str">
        <f t="shared" si="23"/>
        <v/>
      </c>
      <c r="AK180" s="149"/>
      <c r="AL180" s="150"/>
      <c r="AP180" s="31" t="str">
        <f>IFERROR(INDEX('G-6 Hedgerow Data'!$BJ$3:$BJ$15,MATCH(M180,'G-6 Hedgerow Data'!$B$3:$B$15,0)),"")</f>
        <v/>
      </c>
    </row>
    <row r="181" spans="2:42" ht="13.8" x14ac:dyDescent="0.25">
      <c r="B181" s="531" t="str">
        <f>'E-1 Off Site Hedge Baseline'!AK179</f>
        <v/>
      </c>
      <c r="C181" s="520" t="str">
        <f>IF(B181="","",IF(ISNA(VLOOKUP($B181,'E-1 Off Site Hedge Baseline'!$B$1:$L$257,3,FALSE)),"",(VLOOKUP($B181,'E-1 Off Site Hedge Baseline'!$B$1:$L$257,3,FALSE))))</f>
        <v/>
      </c>
      <c r="D181" s="520" t="str">
        <f>IF(B181="","",IF(ISNA(VLOOKUP($B181,'E-1 Off Site Hedge Baseline'!$B$1:$L$258,4,FALSE)),"",(VLOOKUP($B181,'E-1 Off Site Hedge Baseline'!$B$1:$L$258,4,FALSE))))</f>
        <v/>
      </c>
      <c r="E181" s="520" t="str">
        <f>IF(B181="","",IF(ISNA(VLOOKUP($B181,'E-1 Off Site Hedge Baseline'!$B$1:$L$257,5,FALSE)),"",(VLOOKUP($B181,'E-1 Off Site Hedge Baseline'!$B$1:$L$257,5,FALSE))))</f>
        <v/>
      </c>
      <c r="F181" s="520" t="str">
        <f>IF(B181="","",IF(ISNA(VLOOKUP($B181,'E-1 Off Site Hedge Baseline'!$B$1:$L$257,6,FALSE)),"",(VLOOKUP($B181,'E-1 Off Site Hedge Baseline'!$B$1:$L$257,6,FALSE))))</f>
        <v/>
      </c>
      <c r="G181" s="520" t="str">
        <f>IF(B181="","",IF(ISNA(VLOOKUP($B181,'E-1 Off Site Hedge Baseline'!$B$1:$L$257,7,FALSE)),"",(VLOOKUP($B181,'E-1 Off Site Hedge Baseline'!$B$1:$L$257,7,FALSE))))</f>
        <v/>
      </c>
      <c r="H181" s="520" t="str">
        <f>IF(B181="","",IF(ISNA(VLOOKUP($B181,'E-1 Off Site Hedge Baseline'!$B$1:$L$257,8,FALSE)),"",(VLOOKUP($B181,'E-1 Off Site Hedge Baseline'!$B$1:$L$257,8,FALSE))))</f>
        <v/>
      </c>
      <c r="I181" s="520" t="str">
        <f>IF(B181="","",IF(ISNA(VLOOKUP($B181,'E-1 Off Site Hedge Baseline'!$B$1:$L$257,10,FALSE)),"",(VLOOKUP($B181,'E-1 Off Site Hedge Baseline'!$B$1:$L$257,10,FALSE))))</f>
        <v/>
      </c>
      <c r="J181" s="520" t="str">
        <f>IF(B181="","",IF(ISNA(VLOOKUP($B181,'E-1 Off Site Hedge Baseline'!$B$1:$L$257,11,FALSE)),"",(VLOOKUP($B181,'E-1 Off Site Hedge Baseline'!$B$1:$L$257,11,FALSE))))</f>
        <v/>
      </c>
      <c r="K181" s="520" t="str">
        <f>IF(B181="","",IF(ISNA(VLOOKUP($B181,'E-1 Off Site Hedge Baseline'!$B$1:$U$257,113,FALSE)),"",(VLOOKUP($B181,'E-1 Off Site Hedge Baseline'!$B$1:$U$257,13,FALSE))))</f>
        <v/>
      </c>
      <c r="L181" s="507" t="str">
        <f>IF(B181="","",IF(ISNA(VLOOKUP($B181,'E-1 Off Site Hedge Baseline'!$B$1:$U$257,12,FALSE)),"",(VLOOKUP($B181,'E-1 Off Site Hedge Baseline'!$B$1:$U$257,12,FALSE))))</f>
        <v/>
      </c>
      <c r="M181" s="418" t="str">
        <f t="shared" si="24"/>
        <v/>
      </c>
      <c r="N181" s="498" t="str">
        <f>IFERROR(IF(B181="","",INDEX('G-6 Hedgerow Data'!$AN$3:$AZ$15,MATCH(C181,'G-6 Hedgerow Data'!$AM$3:$AM$15,0),MATCH(M181,'G-6 Hedgerow Data'!$AN$2:$AZ$2,0))),"")</f>
        <v/>
      </c>
      <c r="O181" s="499" t="str">
        <f t="shared" si="18"/>
        <v/>
      </c>
      <c r="P181" s="505" t="str">
        <f>IF(B181="","",VLOOKUP(B181,'E-1 Off Site Hedge Baseline'!$B$10:T426,16,FALSE))</f>
        <v/>
      </c>
      <c r="Q181" s="498" t="str">
        <f>IF(M181="","",VLOOKUP(M181,'G-6 Hedgerow Data'!$B$2:$AG$15,2,FALSE))</f>
        <v/>
      </c>
      <c r="R181" s="499" t="str">
        <f>IF(M181="","",VLOOKUP(M181,'G-6 Hedgerow Data'!$B$2:$AG$15,3,FALSE))</f>
        <v/>
      </c>
      <c r="S181" s="145"/>
      <c r="T181" s="499" t="str">
        <f>IFERROR(IF(AND(Q181="V.Low",OR(S181="Good",S181="Moderate")),"Error ▲",VLOOKUP(S181,'G-1 All Habitats'!$Z$2:$AA$9,2,FALSE)),"")</f>
        <v/>
      </c>
      <c r="U181" s="145"/>
      <c r="V181" s="507" t="str">
        <f>IF(U181="","",IF(VLOOKUP(U181,'G-3 Multipliers'!$L$3:$N$6,2,FALSE)=0,"Spatial Data Missing ⚠",VLOOKUP(U181,'G-3 Multipliers'!$L$3:$N$6,2,FALSE)))</f>
        <v/>
      </c>
      <c r="W181" s="505" t="str">
        <f>IF(U181="","",IF(VLOOKUP(U181,'G-3 Multipliers'!$L$3:$N$6,3,FALSE)=0,"Spatial Data Missing ⚠",VLOOKUP(U181,'G-3 Multipliers'!$L$3:$N$6,3,FALSE)))</f>
        <v/>
      </c>
      <c r="X181" s="498"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7" t="str">
        <f t="shared" si="19"/>
        <v/>
      </c>
      <c r="AB181" s="521" t="str">
        <f t="shared" si="20"/>
        <v/>
      </c>
      <c r="AC181" s="522" t="str">
        <f t="shared" si="17"/>
        <v/>
      </c>
      <c r="AD181" s="537" t="str">
        <f>IF(M181="","",VLOOKUP(M181,'G-6 Hedgerow Data'!$B$3:$AG$15,31,FALSE))</f>
        <v/>
      </c>
      <c r="AE181" s="520" t="str">
        <f t="shared" si="21"/>
        <v/>
      </c>
      <c r="AF181" s="520" t="str">
        <f t="shared" si="22"/>
        <v/>
      </c>
      <c r="AG181" s="524" t="str">
        <f>IFERROR(IF(O181="","",VLOOKUP(AD181,'G-3 Multipliers'!$P$3:$Q$6,2,FALSE)),"")</f>
        <v/>
      </c>
      <c r="AH181" s="197"/>
      <c r="AI181" s="499" t="str">
        <f>IF(AH181="","",IF(VLOOKUP(AH181,'G-3 Multipliers'!$S$3:$T$6,2,FALSE)=0,"Spatial Data Missing ⚠",VLOOKUP(AH181,'G-3 Multipliers'!$S$3:$T$6,2,FALSE)))</f>
        <v/>
      </c>
      <c r="AJ181" s="545" t="str">
        <f t="shared" si="23"/>
        <v/>
      </c>
      <c r="AK181" s="149"/>
      <c r="AL181" s="150"/>
      <c r="AP181" s="31" t="str">
        <f>IFERROR(INDEX('G-6 Hedgerow Data'!$BJ$3:$BJ$15,MATCH(M181,'G-6 Hedgerow Data'!$B$3:$B$15,0)),"")</f>
        <v/>
      </c>
    </row>
    <row r="182" spans="2:42" ht="13.8" x14ac:dyDescent="0.25">
      <c r="B182" s="531" t="str">
        <f>'E-1 Off Site Hedge Baseline'!AK180</f>
        <v/>
      </c>
      <c r="C182" s="520" t="str">
        <f>IF(B182="","",IF(ISNA(VLOOKUP($B182,'E-1 Off Site Hedge Baseline'!$B$1:$L$257,3,FALSE)),"",(VLOOKUP($B182,'E-1 Off Site Hedge Baseline'!$B$1:$L$257,3,FALSE))))</f>
        <v/>
      </c>
      <c r="D182" s="520" t="str">
        <f>IF(B182="","",IF(ISNA(VLOOKUP($B182,'E-1 Off Site Hedge Baseline'!$B$1:$L$258,4,FALSE)),"",(VLOOKUP($B182,'E-1 Off Site Hedge Baseline'!$B$1:$L$258,4,FALSE))))</f>
        <v/>
      </c>
      <c r="E182" s="520" t="str">
        <f>IF(B182="","",IF(ISNA(VLOOKUP($B182,'E-1 Off Site Hedge Baseline'!$B$1:$L$257,5,FALSE)),"",(VLOOKUP($B182,'E-1 Off Site Hedge Baseline'!$B$1:$L$257,5,FALSE))))</f>
        <v/>
      </c>
      <c r="F182" s="520" t="str">
        <f>IF(B182="","",IF(ISNA(VLOOKUP($B182,'E-1 Off Site Hedge Baseline'!$B$1:$L$257,6,FALSE)),"",(VLOOKUP($B182,'E-1 Off Site Hedge Baseline'!$B$1:$L$257,6,FALSE))))</f>
        <v/>
      </c>
      <c r="G182" s="520" t="str">
        <f>IF(B182="","",IF(ISNA(VLOOKUP($B182,'E-1 Off Site Hedge Baseline'!$B$1:$L$257,7,FALSE)),"",(VLOOKUP($B182,'E-1 Off Site Hedge Baseline'!$B$1:$L$257,7,FALSE))))</f>
        <v/>
      </c>
      <c r="H182" s="520" t="str">
        <f>IF(B182="","",IF(ISNA(VLOOKUP($B182,'E-1 Off Site Hedge Baseline'!$B$1:$L$257,8,FALSE)),"",(VLOOKUP($B182,'E-1 Off Site Hedge Baseline'!$B$1:$L$257,8,FALSE))))</f>
        <v/>
      </c>
      <c r="I182" s="520" t="str">
        <f>IF(B182="","",IF(ISNA(VLOOKUP($B182,'E-1 Off Site Hedge Baseline'!$B$1:$L$257,10,FALSE)),"",(VLOOKUP($B182,'E-1 Off Site Hedge Baseline'!$B$1:$L$257,10,FALSE))))</f>
        <v/>
      </c>
      <c r="J182" s="520" t="str">
        <f>IF(B182="","",IF(ISNA(VLOOKUP($B182,'E-1 Off Site Hedge Baseline'!$B$1:$L$257,11,FALSE)),"",(VLOOKUP($B182,'E-1 Off Site Hedge Baseline'!$B$1:$L$257,11,FALSE))))</f>
        <v/>
      </c>
      <c r="K182" s="520" t="str">
        <f>IF(B182="","",IF(ISNA(VLOOKUP($B182,'E-1 Off Site Hedge Baseline'!$B$1:$U$257,113,FALSE)),"",(VLOOKUP($B182,'E-1 Off Site Hedge Baseline'!$B$1:$U$257,13,FALSE))))</f>
        <v/>
      </c>
      <c r="L182" s="507" t="str">
        <f>IF(B182="","",IF(ISNA(VLOOKUP($B182,'E-1 Off Site Hedge Baseline'!$B$1:$U$257,12,FALSE)),"",(VLOOKUP($B182,'E-1 Off Site Hedge Baseline'!$B$1:$U$257,12,FALSE))))</f>
        <v/>
      </c>
      <c r="M182" s="418" t="str">
        <f t="shared" si="24"/>
        <v/>
      </c>
      <c r="N182" s="498" t="str">
        <f>IFERROR(IF(B182="","",INDEX('G-6 Hedgerow Data'!$AN$3:$AZ$15,MATCH(C182,'G-6 Hedgerow Data'!$AM$3:$AM$15,0),MATCH(M182,'G-6 Hedgerow Data'!$AN$2:$AZ$2,0))),"")</f>
        <v/>
      </c>
      <c r="O182" s="499" t="str">
        <f t="shared" si="18"/>
        <v/>
      </c>
      <c r="P182" s="505" t="str">
        <f>IF(B182="","",VLOOKUP(B182,'E-1 Off Site Hedge Baseline'!$B$10:T427,16,FALSE))</f>
        <v/>
      </c>
      <c r="Q182" s="498" t="str">
        <f>IF(M182="","",VLOOKUP(M182,'G-6 Hedgerow Data'!$B$2:$AG$15,2,FALSE))</f>
        <v/>
      </c>
      <c r="R182" s="499" t="str">
        <f>IF(M182="","",VLOOKUP(M182,'G-6 Hedgerow Data'!$B$2:$AG$15,3,FALSE))</f>
        <v/>
      </c>
      <c r="S182" s="145"/>
      <c r="T182" s="499" t="str">
        <f>IFERROR(IF(AND(Q182="V.Low",OR(S182="Good",S182="Moderate")),"Error ▲",VLOOKUP(S182,'G-1 All Habitats'!$Z$2:$AA$9,2,FALSE)),"")</f>
        <v/>
      </c>
      <c r="U182" s="145"/>
      <c r="V182" s="507" t="str">
        <f>IF(U182="","",IF(VLOOKUP(U182,'G-3 Multipliers'!$L$3:$N$6,2,FALSE)=0,"Spatial Data Missing ⚠",VLOOKUP(U182,'G-3 Multipliers'!$L$3:$N$6,2,FALSE)))</f>
        <v/>
      </c>
      <c r="W182" s="505" t="str">
        <f>IF(U182="","",IF(VLOOKUP(U182,'G-3 Multipliers'!$L$3:$N$6,3,FALSE)=0,"Spatial Data Missing ⚠",VLOOKUP(U182,'G-3 Multipliers'!$L$3:$N$6,3,FALSE)))</f>
        <v/>
      </c>
      <c r="X182" s="498"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7" t="str">
        <f t="shared" si="19"/>
        <v/>
      </c>
      <c r="AB182" s="521" t="str">
        <f t="shared" si="20"/>
        <v/>
      </c>
      <c r="AC182" s="522" t="str">
        <f t="shared" si="17"/>
        <v/>
      </c>
      <c r="AD182" s="537" t="str">
        <f>IF(M182="","",VLOOKUP(M182,'G-6 Hedgerow Data'!$B$3:$AG$15,31,FALSE))</f>
        <v/>
      </c>
      <c r="AE182" s="520" t="str">
        <f t="shared" si="21"/>
        <v/>
      </c>
      <c r="AF182" s="520" t="str">
        <f t="shared" si="22"/>
        <v/>
      </c>
      <c r="AG182" s="524" t="str">
        <f>IFERROR(IF(O182="","",VLOOKUP(AD182,'G-3 Multipliers'!$P$3:$Q$6,2,FALSE)),"")</f>
        <v/>
      </c>
      <c r="AH182" s="197"/>
      <c r="AI182" s="499" t="str">
        <f>IF(AH182="","",IF(VLOOKUP(AH182,'G-3 Multipliers'!$S$3:$T$6,2,FALSE)=0,"Spatial Data Missing ⚠",VLOOKUP(AH182,'G-3 Multipliers'!$S$3:$T$6,2,FALSE)))</f>
        <v/>
      </c>
      <c r="AJ182" s="545" t="str">
        <f t="shared" si="23"/>
        <v/>
      </c>
      <c r="AK182" s="149"/>
      <c r="AL182" s="150"/>
      <c r="AP182" s="31" t="str">
        <f>IFERROR(INDEX('G-6 Hedgerow Data'!$BJ$3:$BJ$15,MATCH(M182,'G-6 Hedgerow Data'!$B$3:$B$15,0)),"")</f>
        <v/>
      </c>
    </row>
    <row r="183" spans="2:42" ht="13.8" x14ac:dyDescent="0.25">
      <c r="B183" s="531" t="str">
        <f>'E-1 Off Site Hedge Baseline'!AK181</f>
        <v/>
      </c>
      <c r="C183" s="520" t="str">
        <f>IF(B183="","",IF(ISNA(VLOOKUP($B183,'E-1 Off Site Hedge Baseline'!$B$1:$L$257,3,FALSE)),"",(VLOOKUP($B183,'E-1 Off Site Hedge Baseline'!$B$1:$L$257,3,FALSE))))</f>
        <v/>
      </c>
      <c r="D183" s="520" t="str">
        <f>IF(B183="","",IF(ISNA(VLOOKUP($B183,'E-1 Off Site Hedge Baseline'!$B$1:$L$258,4,FALSE)),"",(VLOOKUP($B183,'E-1 Off Site Hedge Baseline'!$B$1:$L$258,4,FALSE))))</f>
        <v/>
      </c>
      <c r="E183" s="520" t="str">
        <f>IF(B183="","",IF(ISNA(VLOOKUP($B183,'E-1 Off Site Hedge Baseline'!$B$1:$L$257,5,FALSE)),"",(VLOOKUP($B183,'E-1 Off Site Hedge Baseline'!$B$1:$L$257,5,FALSE))))</f>
        <v/>
      </c>
      <c r="F183" s="520" t="str">
        <f>IF(B183="","",IF(ISNA(VLOOKUP($B183,'E-1 Off Site Hedge Baseline'!$B$1:$L$257,6,FALSE)),"",(VLOOKUP($B183,'E-1 Off Site Hedge Baseline'!$B$1:$L$257,6,FALSE))))</f>
        <v/>
      </c>
      <c r="G183" s="520" t="str">
        <f>IF(B183="","",IF(ISNA(VLOOKUP($B183,'E-1 Off Site Hedge Baseline'!$B$1:$L$257,7,FALSE)),"",(VLOOKUP($B183,'E-1 Off Site Hedge Baseline'!$B$1:$L$257,7,FALSE))))</f>
        <v/>
      </c>
      <c r="H183" s="520" t="str">
        <f>IF(B183="","",IF(ISNA(VLOOKUP($B183,'E-1 Off Site Hedge Baseline'!$B$1:$L$257,8,FALSE)),"",(VLOOKUP($B183,'E-1 Off Site Hedge Baseline'!$B$1:$L$257,8,FALSE))))</f>
        <v/>
      </c>
      <c r="I183" s="520" t="str">
        <f>IF(B183="","",IF(ISNA(VLOOKUP($B183,'E-1 Off Site Hedge Baseline'!$B$1:$L$257,10,FALSE)),"",(VLOOKUP($B183,'E-1 Off Site Hedge Baseline'!$B$1:$L$257,10,FALSE))))</f>
        <v/>
      </c>
      <c r="J183" s="520" t="str">
        <f>IF(B183="","",IF(ISNA(VLOOKUP($B183,'E-1 Off Site Hedge Baseline'!$B$1:$L$257,11,FALSE)),"",(VLOOKUP($B183,'E-1 Off Site Hedge Baseline'!$B$1:$L$257,11,FALSE))))</f>
        <v/>
      </c>
      <c r="K183" s="520" t="str">
        <f>IF(B183="","",IF(ISNA(VLOOKUP($B183,'E-1 Off Site Hedge Baseline'!$B$1:$U$257,113,FALSE)),"",(VLOOKUP($B183,'E-1 Off Site Hedge Baseline'!$B$1:$U$257,13,FALSE))))</f>
        <v/>
      </c>
      <c r="L183" s="507" t="str">
        <f>IF(B183="","",IF(ISNA(VLOOKUP($B183,'E-1 Off Site Hedge Baseline'!$B$1:$U$257,12,FALSE)),"",(VLOOKUP($B183,'E-1 Off Site Hedge Baseline'!$B$1:$U$257,12,FALSE))))</f>
        <v/>
      </c>
      <c r="M183" s="418" t="str">
        <f t="shared" si="24"/>
        <v/>
      </c>
      <c r="N183" s="498" t="str">
        <f>IFERROR(IF(B183="","",INDEX('G-6 Hedgerow Data'!$AN$3:$AZ$15,MATCH(C183,'G-6 Hedgerow Data'!$AM$3:$AM$15,0),MATCH(M183,'G-6 Hedgerow Data'!$AN$2:$AZ$2,0))),"")</f>
        <v/>
      </c>
      <c r="O183" s="499" t="str">
        <f t="shared" si="18"/>
        <v/>
      </c>
      <c r="P183" s="505" t="str">
        <f>IF(B183="","",VLOOKUP(B183,'E-1 Off Site Hedge Baseline'!$B$10:T428,16,FALSE))</f>
        <v/>
      </c>
      <c r="Q183" s="498" t="str">
        <f>IF(M183="","",VLOOKUP(M183,'G-6 Hedgerow Data'!$B$2:$AG$15,2,FALSE))</f>
        <v/>
      </c>
      <c r="R183" s="499" t="str">
        <f>IF(M183="","",VLOOKUP(M183,'G-6 Hedgerow Data'!$B$2:$AG$15,3,FALSE))</f>
        <v/>
      </c>
      <c r="S183" s="145"/>
      <c r="T183" s="499" t="str">
        <f>IFERROR(IF(AND(Q183="V.Low",OR(S183="Good",S183="Moderate")),"Error ▲",VLOOKUP(S183,'G-1 All Habitats'!$Z$2:$AA$9,2,FALSE)),"")</f>
        <v/>
      </c>
      <c r="U183" s="145"/>
      <c r="V183" s="507" t="str">
        <f>IF(U183="","",IF(VLOOKUP(U183,'G-3 Multipliers'!$L$3:$N$6,2,FALSE)=0,"Spatial Data Missing ⚠",VLOOKUP(U183,'G-3 Multipliers'!$L$3:$N$6,2,FALSE)))</f>
        <v/>
      </c>
      <c r="W183" s="505" t="str">
        <f>IF(U183="","",IF(VLOOKUP(U183,'G-3 Multipliers'!$L$3:$N$6,3,FALSE)=0,"Spatial Data Missing ⚠",VLOOKUP(U183,'G-3 Multipliers'!$L$3:$N$6,3,FALSE)))</f>
        <v/>
      </c>
      <c r="X183" s="498"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7" t="str">
        <f t="shared" si="19"/>
        <v/>
      </c>
      <c r="AB183" s="521" t="str">
        <f t="shared" si="20"/>
        <v/>
      </c>
      <c r="AC183" s="522" t="str">
        <f t="shared" si="17"/>
        <v/>
      </c>
      <c r="AD183" s="537" t="str">
        <f>IF(M183="","",VLOOKUP(M183,'G-6 Hedgerow Data'!$B$3:$AG$15,31,FALSE))</f>
        <v/>
      </c>
      <c r="AE183" s="520" t="str">
        <f t="shared" si="21"/>
        <v/>
      </c>
      <c r="AF183" s="520" t="str">
        <f t="shared" si="22"/>
        <v/>
      </c>
      <c r="AG183" s="524" t="str">
        <f>IFERROR(IF(O183="","",VLOOKUP(AD183,'G-3 Multipliers'!$P$3:$Q$6,2,FALSE)),"")</f>
        <v/>
      </c>
      <c r="AH183" s="197"/>
      <c r="AI183" s="499" t="str">
        <f>IF(AH183="","",IF(VLOOKUP(AH183,'G-3 Multipliers'!$S$3:$T$6,2,FALSE)=0,"Spatial Data Missing ⚠",VLOOKUP(AH183,'G-3 Multipliers'!$S$3:$T$6,2,FALSE)))</f>
        <v/>
      </c>
      <c r="AJ183" s="545" t="str">
        <f t="shared" si="23"/>
        <v/>
      </c>
      <c r="AK183" s="149"/>
      <c r="AL183" s="150"/>
      <c r="AP183" s="31" t="str">
        <f>IFERROR(INDEX('G-6 Hedgerow Data'!$BJ$3:$BJ$15,MATCH(M183,'G-6 Hedgerow Data'!$B$3:$B$15,0)),"")</f>
        <v/>
      </c>
    </row>
    <row r="184" spans="2:42" ht="13.8" x14ac:dyDescent="0.25">
      <c r="B184" s="531" t="str">
        <f>'E-1 Off Site Hedge Baseline'!AK182</f>
        <v/>
      </c>
      <c r="C184" s="520" t="str">
        <f>IF(B184="","",IF(ISNA(VLOOKUP($B184,'E-1 Off Site Hedge Baseline'!$B$1:$L$257,3,FALSE)),"",(VLOOKUP($B184,'E-1 Off Site Hedge Baseline'!$B$1:$L$257,3,FALSE))))</f>
        <v/>
      </c>
      <c r="D184" s="520" t="str">
        <f>IF(B184="","",IF(ISNA(VLOOKUP($B184,'E-1 Off Site Hedge Baseline'!$B$1:$L$258,4,FALSE)),"",(VLOOKUP($B184,'E-1 Off Site Hedge Baseline'!$B$1:$L$258,4,FALSE))))</f>
        <v/>
      </c>
      <c r="E184" s="520" t="str">
        <f>IF(B184="","",IF(ISNA(VLOOKUP($B184,'E-1 Off Site Hedge Baseline'!$B$1:$L$257,5,FALSE)),"",(VLOOKUP($B184,'E-1 Off Site Hedge Baseline'!$B$1:$L$257,5,FALSE))))</f>
        <v/>
      </c>
      <c r="F184" s="520" t="str">
        <f>IF(B184="","",IF(ISNA(VLOOKUP($B184,'E-1 Off Site Hedge Baseline'!$B$1:$L$257,6,FALSE)),"",(VLOOKUP($B184,'E-1 Off Site Hedge Baseline'!$B$1:$L$257,6,FALSE))))</f>
        <v/>
      </c>
      <c r="G184" s="520" t="str">
        <f>IF(B184="","",IF(ISNA(VLOOKUP($B184,'E-1 Off Site Hedge Baseline'!$B$1:$L$257,7,FALSE)),"",(VLOOKUP($B184,'E-1 Off Site Hedge Baseline'!$B$1:$L$257,7,FALSE))))</f>
        <v/>
      </c>
      <c r="H184" s="520" t="str">
        <f>IF(B184="","",IF(ISNA(VLOOKUP($B184,'E-1 Off Site Hedge Baseline'!$B$1:$L$257,8,FALSE)),"",(VLOOKUP($B184,'E-1 Off Site Hedge Baseline'!$B$1:$L$257,8,FALSE))))</f>
        <v/>
      </c>
      <c r="I184" s="520" t="str">
        <f>IF(B184="","",IF(ISNA(VLOOKUP($B184,'E-1 Off Site Hedge Baseline'!$B$1:$L$257,10,FALSE)),"",(VLOOKUP($B184,'E-1 Off Site Hedge Baseline'!$B$1:$L$257,10,FALSE))))</f>
        <v/>
      </c>
      <c r="J184" s="520" t="str">
        <f>IF(B184="","",IF(ISNA(VLOOKUP($B184,'E-1 Off Site Hedge Baseline'!$B$1:$L$257,11,FALSE)),"",(VLOOKUP($B184,'E-1 Off Site Hedge Baseline'!$B$1:$L$257,11,FALSE))))</f>
        <v/>
      </c>
      <c r="K184" s="520" t="str">
        <f>IF(B184="","",IF(ISNA(VLOOKUP($B184,'E-1 Off Site Hedge Baseline'!$B$1:$U$257,113,FALSE)),"",(VLOOKUP($B184,'E-1 Off Site Hedge Baseline'!$B$1:$U$257,13,FALSE))))</f>
        <v/>
      </c>
      <c r="L184" s="507" t="str">
        <f>IF(B184="","",IF(ISNA(VLOOKUP($B184,'E-1 Off Site Hedge Baseline'!$B$1:$U$257,12,FALSE)),"",(VLOOKUP($B184,'E-1 Off Site Hedge Baseline'!$B$1:$U$257,12,FALSE))))</f>
        <v/>
      </c>
      <c r="M184" s="418" t="str">
        <f t="shared" si="24"/>
        <v/>
      </c>
      <c r="N184" s="498" t="str">
        <f>IFERROR(IF(B184="","",INDEX('G-6 Hedgerow Data'!$AN$3:$AZ$15,MATCH(C184,'G-6 Hedgerow Data'!$AM$3:$AM$15,0),MATCH(M184,'G-6 Hedgerow Data'!$AN$2:$AZ$2,0))),"")</f>
        <v/>
      </c>
      <c r="O184" s="499" t="str">
        <f t="shared" si="18"/>
        <v/>
      </c>
      <c r="P184" s="505" t="str">
        <f>IF(B184="","",VLOOKUP(B184,'E-1 Off Site Hedge Baseline'!$B$10:T429,16,FALSE))</f>
        <v/>
      </c>
      <c r="Q184" s="498" t="str">
        <f>IF(M184="","",VLOOKUP(M184,'G-6 Hedgerow Data'!$B$2:$AG$15,2,FALSE))</f>
        <v/>
      </c>
      <c r="R184" s="499" t="str">
        <f>IF(M184="","",VLOOKUP(M184,'G-6 Hedgerow Data'!$B$2:$AG$15,3,FALSE))</f>
        <v/>
      </c>
      <c r="S184" s="145"/>
      <c r="T184" s="499" t="str">
        <f>IFERROR(IF(AND(Q184="V.Low",OR(S184="Good",S184="Moderate")),"Error ▲",VLOOKUP(S184,'G-1 All Habitats'!$Z$2:$AA$9,2,FALSE)),"")</f>
        <v/>
      </c>
      <c r="U184" s="145"/>
      <c r="V184" s="507" t="str">
        <f>IF(U184="","",IF(VLOOKUP(U184,'G-3 Multipliers'!$L$3:$N$6,2,FALSE)=0,"Spatial Data Missing ⚠",VLOOKUP(U184,'G-3 Multipliers'!$L$3:$N$6,2,FALSE)))</f>
        <v/>
      </c>
      <c r="W184" s="505" t="str">
        <f>IF(U184="","",IF(VLOOKUP(U184,'G-3 Multipliers'!$L$3:$N$6,3,FALSE)=0,"Spatial Data Missing ⚠",VLOOKUP(U184,'G-3 Multipliers'!$L$3:$N$6,3,FALSE)))</f>
        <v/>
      </c>
      <c r="X184" s="498"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7" t="str">
        <f t="shared" si="19"/>
        <v/>
      </c>
      <c r="AB184" s="521" t="str">
        <f t="shared" si="20"/>
        <v/>
      </c>
      <c r="AC184" s="522" t="str">
        <f t="shared" si="17"/>
        <v/>
      </c>
      <c r="AD184" s="537" t="str">
        <f>IF(M184="","",VLOOKUP(M184,'G-6 Hedgerow Data'!$B$3:$AG$15,31,FALSE))</f>
        <v/>
      </c>
      <c r="AE184" s="520" t="str">
        <f t="shared" si="21"/>
        <v/>
      </c>
      <c r="AF184" s="520" t="str">
        <f t="shared" si="22"/>
        <v/>
      </c>
      <c r="AG184" s="524" t="str">
        <f>IFERROR(IF(O184="","",VLOOKUP(AD184,'G-3 Multipliers'!$P$3:$Q$6,2,FALSE)),"")</f>
        <v/>
      </c>
      <c r="AH184" s="197"/>
      <c r="AI184" s="499" t="str">
        <f>IF(AH184="","",IF(VLOOKUP(AH184,'G-3 Multipliers'!$S$3:$T$6,2,FALSE)=0,"Spatial Data Missing ⚠",VLOOKUP(AH184,'G-3 Multipliers'!$S$3:$T$6,2,FALSE)))</f>
        <v/>
      </c>
      <c r="AJ184" s="545" t="str">
        <f t="shared" si="23"/>
        <v/>
      </c>
      <c r="AK184" s="149"/>
      <c r="AL184" s="150"/>
      <c r="AP184" s="31" t="str">
        <f>IFERROR(INDEX('G-6 Hedgerow Data'!$BJ$3:$BJ$15,MATCH(M184,'G-6 Hedgerow Data'!$B$3:$B$15,0)),"")</f>
        <v/>
      </c>
    </row>
    <row r="185" spans="2:42" ht="13.8" x14ac:dyDescent="0.25">
      <c r="B185" s="531" t="str">
        <f>'E-1 Off Site Hedge Baseline'!AK183</f>
        <v/>
      </c>
      <c r="C185" s="520" t="str">
        <f>IF(B185="","",IF(ISNA(VLOOKUP($B185,'E-1 Off Site Hedge Baseline'!$B$1:$L$257,3,FALSE)),"",(VLOOKUP($B185,'E-1 Off Site Hedge Baseline'!$B$1:$L$257,3,FALSE))))</f>
        <v/>
      </c>
      <c r="D185" s="520" t="str">
        <f>IF(B185="","",IF(ISNA(VLOOKUP($B185,'E-1 Off Site Hedge Baseline'!$B$1:$L$258,4,FALSE)),"",(VLOOKUP($B185,'E-1 Off Site Hedge Baseline'!$B$1:$L$258,4,FALSE))))</f>
        <v/>
      </c>
      <c r="E185" s="520" t="str">
        <f>IF(B185="","",IF(ISNA(VLOOKUP($B185,'E-1 Off Site Hedge Baseline'!$B$1:$L$257,5,FALSE)),"",(VLOOKUP($B185,'E-1 Off Site Hedge Baseline'!$B$1:$L$257,5,FALSE))))</f>
        <v/>
      </c>
      <c r="F185" s="520" t="str">
        <f>IF(B185="","",IF(ISNA(VLOOKUP($B185,'E-1 Off Site Hedge Baseline'!$B$1:$L$257,6,FALSE)),"",(VLOOKUP($B185,'E-1 Off Site Hedge Baseline'!$B$1:$L$257,6,FALSE))))</f>
        <v/>
      </c>
      <c r="G185" s="520" t="str">
        <f>IF(B185="","",IF(ISNA(VLOOKUP($B185,'E-1 Off Site Hedge Baseline'!$B$1:$L$257,7,FALSE)),"",(VLOOKUP($B185,'E-1 Off Site Hedge Baseline'!$B$1:$L$257,7,FALSE))))</f>
        <v/>
      </c>
      <c r="H185" s="520" t="str">
        <f>IF(B185="","",IF(ISNA(VLOOKUP($B185,'E-1 Off Site Hedge Baseline'!$B$1:$L$257,8,FALSE)),"",(VLOOKUP($B185,'E-1 Off Site Hedge Baseline'!$B$1:$L$257,8,FALSE))))</f>
        <v/>
      </c>
      <c r="I185" s="520" t="str">
        <f>IF(B185="","",IF(ISNA(VLOOKUP($B185,'E-1 Off Site Hedge Baseline'!$B$1:$L$257,10,FALSE)),"",(VLOOKUP($B185,'E-1 Off Site Hedge Baseline'!$B$1:$L$257,10,FALSE))))</f>
        <v/>
      </c>
      <c r="J185" s="520" t="str">
        <f>IF(B185="","",IF(ISNA(VLOOKUP($B185,'E-1 Off Site Hedge Baseline'!$B$1:$L$257,11,FALSE)),"",(VLOOKUP($B185,'E-1 Off Site Hedge Baseline'!$B$1:$L$257,11,FALSE))))</f>
        <v/>
      </c>
      <c r="K185" s="520" t="str">
        <f>IF(B185="","",IF(ISNA(VLOOKUP($B185,'E-1 Off Site Hedge Baseline'!$B$1:$U$257,113,FALSE)),"",(VLOOKUP($B185,'E-1 Off Site Hedge Baseline'!$B$1:$U$257,13,FALSE))))</f>
        <v/>
      </c>
      <c r="L185" s="507" t="str">
        <f>IF(B185="","",IF(ISNA(VLOOKUP($B185,'E-1 Off Site Hedge Baseline'!$B$1:$U$257,12,FALSE)),"",(VLOOKUP($B185,'E-1 Off Site Hedge Baseline'!$B$1:$U$257,12,FALSE))))</f>
        <v/>
      </c>
      <c r="M185" s="418" t="str">
        <f t="shared" si="24"/>
        <v/>
      </c>
      <c r="N185" s="498" t="str">
        <f>IFERROR(IF(B185="","",INDEX('G-6 Hedgerow Data'!$AN$3:$AZ$15,MATCH(C185,'G-6 Hedgerow Data'!$AM$3:$AM$15,0),MATCH(M185,'G-6 Hedgerow Data'!$AN$2:$AZ$2,0))),"")</f>
        <v/>
      </c>
      <c r="O185" s="499" t="str">
        <f t="shared" si="18"/>
        <v/>
      </c>
      <c r="P185" s="505" t="str">
        <f>IF(B185="","",VLOOKUP(B185,'E-1 Off Site Hedge Baseline'!$B$10:T430,16,FALSE))</f>
        <v/>
      </c>
      <c r="Q185" s="498" t="str">
        <f>IF(M185="","",VLOOKUP(M185,'G-6 Hedgerow Data'!$B$2:$AG$15,2,FALSE))</f>
        <v/>
      </c>
      <c r="R185" s="499" t="str">
        <f>IF(M185="","",VLOOKUP(M185,'G-6 Hedgerow Data'!$B$2:$AG$15,3,FALSE))</f>
        <v/>
      </c>
      <c r="S185" s="145"/>
      <c r="T185" s="499" t="str">
        <f>IFERROR(IF(AND(Q185="V.Low",OR(S185="Good",S185="Moderate")),"Error ▲",VLOOKUP(S185,'G-1 All Habitats'!$Z$2:$AA$9,2,FALSE)),"")</f>
        <v/>
      </c>
      <c r="U185" s="145"/>
      <c r="V185" s="507" t="str">
        <f>IF(U185="","",IF(VLOOKUP(U185,'G-3 Multipliers'!$L$3:$N$6,2,FALSE)=0,"Spatial Data Missing ⚠",VLOOKUP(U185,'G-3 Multipliers'!$L$3:$N$6,2,FALSE)))</f>
        <v/>
      </c>
      <c r="W185" s="505" t="str">
        <f>IF(U185="","",IF(VLOOKUP(U185,'G-3 Multipliers'!$L$3:$N$6,3,FALSE)=0,"Spatial Data Missing ⚠",VLOOKUP(U185,'G-3 Multipliers'!$L$3:$N$6,3,FALSE)))</f>
        <v/>
      </c>
      <c r="X185" s="498"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7" t="str">
        <f t="shared" si="19"/>
        <v/>
      </c>
      <c r="AB185" s="521" t="str">
        <f t="shared" si="20"/>
        <v/>
      </c>
      <c r="AC185" s="522" t="str">
        <f t="shared" si="17"/>
        <v/>
      </c>
      <c r="AD185" s="537" t="str">
        <f>IF(M185="","",VLOOKUP(M185,'G-6 Hedgerow Data'!$B$3:$AG$15,31,FALSE))</f>
        <v/>
      </c>
      <c r="AE185" s="520" t="str">
        <f t="shared" si="21"/>
        <v/>
      </c>
      <c r="AF185" s="520" t="str">
        <f t="shared" si="22"/>
        <v/>
      </c>
      <c r="AG185" s="524" t="str">
        <f>IFERROR(IF(O185="","",VLOOKUP(AD185,'G-3 Multipliers'!$P$3:$Q$6,2,FALSE)),"")</f>
        <v/>
      </c>
      <c r="AH185" s="197"/>
      <c r="AI185" s="499" t="str">
        <f>IF(AH185="","",IF(VLOOKUP(AH185,'G-3 Multipliers'!$S$3:$T$6,2,FALSE)=0,"Spatial Data Missing ⚠",VLOOKUP(AH185,'G-3 Multipliers'!$S$3:$T$6,2,FALSE)))</f>
        <v/>
      </c>
      <c r="AJ185" s="545" t="str">
        <f t="shared" si="23"/>
        <v/>
      </c>
      <c r="AK185" s="149"/>
      <c r="AL185" s="150"/>
      <c r="AP185" s="31" t="str">
        <f>IFERROR(INDEX('G-6 Hedgerow Data'!$BJ$3:$BJ$15,MATCH(M185,'G-6 Hedgerow Data'!$B$3:$B$15,0)),"")</f>
        <v/>
      </c>
    </row>
    <row r="186" spans="2:42" ht="13.8" x14ac:dyDescent="0.25">
      <c r="B186" s="531" t="str">
        <f>'E-1 Off Site Hedge Baseline'!AK184</f>
        <v/>
      </c>
      <c r="C186" s="520" t="str">
        <f>IF(B186="","",IF(ISNA(VLOOKUP($B186,'E-1 Off Site Hedge Baseline'!$B$1:$L$257,3,FALSE)),"",(VLOOKUP($B186,'E-1 Off Site Hedge Baseline'!$B$1:$L$257,3,FALSE))))</f>
        <v/>
      </c>
      <c r="D186" s="520" t="str">
        <f>IF(B186="","",IF(ISNA(VLOOKUP($B186,'E-1 Off Site Hedge Baseline'!$B$1:$L$258,4,FALSE)),"",(VLOOKUP($B186,'E-1 Off Site Hedge Baseline'!$B$1:$L$258,4,FALSE))))</f>
        <v/>
      </c>
      <c r="E186" s="520" t="str">
        <f>IF(B186="","",IF(ISNA(VLOOKUP($B186,'E-1 Off Site Hedge Baseline'!$B$1:$L$257,5,FALSE)),"",(VLOOKUP($B186,'E-1 Off Site Hedge Baseline'!$B$1:$L$257,5,FALSE))))</f>
        <v/>
      </c>
      <c r="F186" s="520" t="str">
        <f>IF(B186="","",IF(ISNA(VLOOKUP($B186,'E-1 Off Site Hedge Baseline'!$B$1:$L$257,6,FALSE)),"",(VLOOKUP($B186,'E-1 Off Site Hedge Baseline'!$B$1:$L$257,6,FALSE))))</f>
        <v/>
      </c>
      <c r="G186" s="520" t="str">
        <f>IF(B186="","",IF(ISNA(VLOOKUP($B186,'E-1 Off Site Hedge Baseline'!$B$1:$L$257,7,FALSE)),"",(VLOOKUP($B186,'E-1 Off Site Hedge Baseline'!$B$1:$L$257,7,FALSE))))</f>
        <v/>
      </c>
      <c r="H186" s="520" t="str">
        <f>IF(B186="","",IF(ISNA(VLOOKUP($B186,'E-1 Off Site Hedge Baseline'!$B$1:$L$257,8,FALSE)),"",(VLOOKUP($B186,'E-1 Off Site Hedge Baseline'!$B$1:$L$257,8,FALSE))))</f>
        <v/>
      </c>
      <c r="I186" s="520" t="str">
        <f>IF(B186="","",IF(ISNA(VLOOKUP($B186,'E-1 Off Site Hedge Baseline'!$B$1:$L$257,10,FALSE)),"",(VLOOKUP($B186,'E-1 Off Site Hedge Baseline'!$B$1:$L$257,10,FALSE))))</f>
        <v/>
      </c>
      <c r="J186" s="520" t="str">
        <f>IF(B186="","",IF(ISNA(VLOOKUP($B186,'E-1 Off Site Hedge Baseline'!$B$1:$L$257,11,FALSE)),"",(VLOOKUP($B186,'E-1 Off Site Hedge Baseline'!$B$1:$L$257,11,FALSE))))</f>
        <v/>
      </c>
      <c r="K186" s="520" t="str">
        <f>IF(B186="","",IF(ISNA(VLOOKUP($B186,'E-1 Off Site Hedge Baseline'!$B$1:$U$257,113,FALSE)),"",(VLOOKUP($B186,'E-1 Off Site Hedge Baseline'!$B$1:$U$257,13,FALSE))))</f>
        <v/>
      </c>
      <c r="L186" s="507" t="str">
        <f>IF(B186="","",IF(ISNA(VLOOKUP($B186,'E-1 Off Site Hedge Baseline'!$B$1:$U$257,12,FALSE)),"",(VLOOKUP($B186,'E-1 Off Site Hedge Baseline'!$B$1:$U$257,12,FALSE))))</f>
        <v/>
      </c>
      <c r="M186" s="418" t="str">
        <f t="shared" si="24"/>
        <v/>
      </c>
      <c r="N186" s="498" t="str">
        <f>IFERROR(IF(B186="","",INDEX('G-6 Hedgerow Data'!$AN$3:$AZ$15,MATCH(C186,'G-6 Hedgerow Data'!$AM$3:$AM$15,0),MATCH(M186,'G-6 Hedgerow Data'!$AN$2:$AZ$2,0))),"")</f>
        <v/>
      </c>
      <c r="O186" s="499" t="str">
        <f t="shared" si="18"/>
        <v/>
      </c>
      <c r="P186" s="505" t="str">
        <f>IF(B186="","",VLOOKUP(B186,'E-1 Off Site Hedge Baseline'!$B$10:T431,16,FALSE))</f>
        <v/>
      </c>
      <c r="Q186" s="498" t="str">
        <f>IF(M186="","",VLOOKUP(M186,'G-6 Hedgerow Data'!$B$2:$AG$15,2,FALSE))</f>
        <v/>
      </c>
      <c r="R186" s="499" t="str">
        <f>IF(M186="","",VLOOKUP(M186,'G-6 Hedgerow Data'!$B$2:$AG$15,3,FALSE))</f>
        <v/>
      </c>
      <c r="S186" s="145"/>
      <c r="T186" s="499" t="str">
        <f>IFERROR(IF(AND(Q186="V.Low",OR(S186="Good",S186="Moderate")),"Error ▲",VLOOKUP(S186,'G-1 All Habitats'!$Z$2:$AA$9,2,FALSE)),"")</f>
        <v/>
      </c>
      <c r="U186" s="145"/>
      <c r="V186" s="507" t="str">
        <f>IF(U186="","",IF(VLOOKUP(U186,'G-3 Multipliers'!$L$3:$N$6,2,FALSE)=0,"Spatial Data Missing ⚠",VLOOKUP(U186,'G-3 Multipliers'!$L$3:$N$6,2,FALSE)))</f>
        <v/>
      </c>
      <c r="W186" s="505" t="str">
        <f>IF(U186="","",IF(VLOOKUP(U186,'G-3 Multipliers'!$L$3:$N$6,3,FALSE)=0,"Spatial Data Missing ⚠",VLOOKUP(U186,'G-3 Multipliers'!$L$3:$N$6,3,FALSE)))</f>
        <v/>
      </c>
      <c r="X186" s="498"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7" t="str">
        <f t="shared" si="19"/>
        <v/>
      </c>
      <c r="AB186" s="521" t="str">
        <f t="shared" si="20"/>
        <v/>
      </c>
      <c r="AC186" s="522" t="str">
        <f t="shared" si="17"/>
        <v/>
      </c>
      <c r="AD186" s="537" t="str">
        <f>IF(M186="","",VLOOKUP(M186,'G-6 Hedgerow Data'!$B$3:$AG$15,31,FALSE))</f>
        <v/>
      </c>
      <c r="AE186" s="520" t="str">
        <f t="shared" si="21"/>
        <v/>
      </c>
      <c r="AF186" s="520" t="str">
        <f t="shared" si="22"/>
        <v/>
      </c>
      <c r="AG186" s="524" t="str">
        <f>IFERROR(IF(O186="","",VLOOKUP(AD186,'G-3 Multipliers'!$P$3:$Q$6,2,FALSE)),"")</f>
        <v/>
      </c>
      <c r="AH186" s="197"/>
      <c r="AI186" s="499" t="str">
        <f>IF(AH186="","",IF(VLOOKUP(AH186,'G-3 Multipliers'!$S$3:$T$6,2,FALSE)=0,"Spatial Data Missing ⚠",VLOOKUP(AH186,'G-3 Multipliers'!$S$3:$T$6,2,FALSE)))</f>
        <v/>
      </c>
      <c r="AJ186" s="545" t="str">
        <f t="shared" si="23"/>
        <v/>
      </c>
      <c r="AK186" s="149"/>
      <c r="AL186" s="150"/>
      <c r="AP186" s="31" t="str">
        <f>IFERROR(INDEX('G-6 Hedgerow Data'!$BJ$3:$BJ$15,MATCH(M186,'G-6 Hedgerow Data'!$B$3:$B$15,0)),"")</f>
        <v/>
      </c>
    </row>
    <row r="187" spans="2:42" ht="13.8" x14ac:dyDescent="0.25">
      <c r="B187" s="531" t="str">
        <f>'E-1 Off Site Hedge Baseline'!AK185</f>
        <v/>
      </c>
      <c r="C187" s="520" t="str">
        <f>IF(B187="","",IF(ISNA(VLOOKUP($B187,'E-1 Off Site Hedge Baseline'!$B$1:$L$257,3,FALSE)),"",(VLOOKUP($B187,'E-1 Off Site Hedge Baseline'!$B$1:$L$257,3,FALSE))))</f>
        <v/>
      </c>
      <c r="D187" s="520" t="str">
        <f>IF(B187="","",IF(ISNA(VLOOKUP($B187,'E-1 Off Site Hedge Baseline'!$B$1:$L$258,4,FALSE)),"",(VLOOKUP($B187,'E-1 Off Site Hedge Baseline'!$B$1:$L$258,4,FALSE))))</f>
        <v/>
      </c>
      <c r="E187" s="520" t="str">
        <f>IF(B187="","",IF(ISNA(VLOOKUP($B187,'E-1 Off Site Hedge Baseline'!$B$1:$L$257,5,FALSE)),"",(VLOOKUP($B187,'E-1 Off Site Hedge Baseline'!$B$1:$L$257,5,FALSE))))</f>
        <v/>
      </c>
      <c r="F187" s="520" t="str">
        <f>IF(B187="","",IF(ISNA(VLOOKUP($B187,'E-1 Off Site Hedge Baseline'!$B$1:$L$257,6,FALSE)),"",(VLOOKUP($B187,'E-1 Off Site Hedge Baseline'!$B$1:$L$257,6,FALSE))))</f>
        <v/>
      </c>
      <c r="G187" s="520" t="str">
        <f>IF(B187="","",IF(ISNA(VLOOKUP($B187,'E-1 Off Site Hedge Baseline'!$B$1:$L$257,7,FALSE)),"",(VLOOKUP($B187,'E-1 Off Site Hedge Baseline'!$B$1:$L$257,7,FALSE))))</f>
        <v/>
      </c>
      <c r="H187" s="520" t="str">
        <f>IF(B187="","",IF(ISNA(VLOOKUP($B187,'E-1 Off Site Hedge Baseline'!$B$1:$L$257,8,FALSE)),"",(VLOOKUP($B187,'E-1 Off Site Hedge Baseline'!$B$1:$L$257,8,FALSE))))</f>
        <v/>
      </c>
      <c r="I187" s="520" t="str">
        <f>IF(B187="","",IF(ISNA(VLOOKUP($B187,'E-1 Off Site Hedge Baseline'!$B$1:$L$257,10,FALSE)),"",(VLOOKUP($B187,'E-1 Off Site Hedge Baseline'!$B$1:$L$257,10,FALSE))))</f>
        <v/>
      </c>
      <c r="J187" s="520" t="str">
        <f>IF(B187="","",IF(ISNA(VLOOKUP($B187,'E-1 Off Site Hedge Baseline'!$B$1:$L$257,11,FALSE)),"",(VLOOKUP($B187,'E-1 Off Site Hedge Baseline'!$B$1:$L$257,11,FALSE))))</f>
        <v/>
      </c>
      <c r="K187" s="520" t="str">
        <f>IF(B187="","",IF(ISNA(VLOOKUP($B187,'E-1 Off Site Hedge Baseline'!$B$1:$U$257,113,FALSE)),"",(VLOOKUP($B187,'E-1 Off Site Hedge Baseline'!$B$1:$U$257,13,FALSE))))</f>
        <v/>
      </c>
      <c r="L187" s="507" t="str">
        <f>IF(B187="","",IF(ISNA(VLOOKUP($B187,'E-1 Off Site Hedge Baseline'!$B$1:$U$257,12,FALSE)),"",(VLOOKUP($B187,'E-1 Off Site Hedge Baseline'!$B$1:$U$257,12,FALSE))))</f>
        <v/>
      </c>
      <c r="M187" s="418" t="str">
        <f t="shared" si="24"/>
        <v/>
      </c>
      <c r="N187" s="498" t="str">
        <f>IFERROR(IF(B187="","",INDEX('G-6 Hedgerow Data'!$AN$3:$AZ$15,MATCH(C187,'G-6 Hedgerow Data'!$AM$3:$AM$15,0),MATCH(M187,'G-6 Hedgerow Data'!$AN$2:$AZ$2,0))),"")</f>
        <v/>
      </c>
      <c r="O187" s="499" t="str">
        <f t="shared" si="18"/>
        <v/>
      </c>
      <c r="P187" s="505" t="str">
        <f>IF(B187="","",VLOOKUP(B187,'E-1 Off Site Hedge Baseline'!$B$10:T432,16,FALSE))</f>
        <v/>
      </c>
      <c r="Q187" s="498" t="str">
        <f>IF(M187="","",VLOOKUP(M187,'G-6 Hedgerow Data'!$B$2:$AG$15,2,FALSE))</f>
        <v/>
      </c>
      <c r="R187" s="499" t="str">
        <f>IF(M187="","",VLOOKUP(M187,'G-6 Hedgerow Data'!$B$2:$AG$15,3,FALSE))</f>
        <v/>
      </c>
      <c r="S187" s="145"/>
      <c r="T187" s="499" t="str">
        <f>IFERROR(IF(AND(Q187="V.Low",OR(S187="Good",S187="Moderate")),"Error ▲",VLOOKUP(S187,'G-1 All Habitats'!$Z$2:$AA$9,2,FALSE)),"")</f>
        <v/>
      </c>
      <c r="U187" s="145"/>
      <c r="V187" s="507" t="str">
        <f>IF(U187="","",IF(VLOOKUP(U187,'G-3 Multipliers'!$L$3:$N$6,2,FALSE)=0,"Spatial Data Missing ⚠",VLOOKUP(U187,'G-3 Multipliers'!$L$3:$N$6,2,FALSE)))</f>
        <v/>
      </c>
      <c r="W187" s="505" t="str">
        <f>IF(U187="","",IF(VLOOKUP(U187,'G-3 Multipliers'!$L$3:$N$6,3,FALSE)=0,"Spatial Data Missing ⚠",VLOOKUP(U187,'G-3 Multipliers'!$L$3:$N$6,3,FALSE)))</f>
        <v/>
      </c>
      <c r="X187" s="498"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7" t="str">
        <f t="shared" si="19"/>
        <v/>
      </c>
      <c r="AB187" s="521" t="str">
        <f t="shared" si="20"/>
        <v/>
      </c>
      <c r="AC187" s="522" t="str">
        <f t="shared" si="17"/>
        <v/>
      </c>
      <c r="AD187" s="537" t="str">
        <f>IF(M187="","",VLOOKUP(M187,'G-6 Hedgerow Data'!$B$3:$AG$15,31,FALSE))</f>
        <v/>
      </c>
      <c r="AE187" s="520" t="str">
        <f t="shared" si="21"/>
        <v/>
      </c>
      <c r="AF187" s="520" t="str">
        <f t="shared" si="22"/>
        <v/>
      </c>
      <c r="AG187" s="524" t="str">
        <f>IFERROR(IF(O187="","",VLOOKUP(AD187,'G-3 Multipliers'!$P$3:$Q$6,2,FALSE)),"")</f>
        <v/>
      </c>
      <c r="AH187" s="197"/>
      <c r="AI187" s="499" t="str">
        <f>IF(AH187="","",IF(VLOOKUP(AH187,'G-3 Multipliers'!$S$3:$T$6,2,FALSE)=0,"Spatial Data Missing ⚠",VLOOKUP(AH187,'G-3 Multipliers'!$S$3:$T$6,2,FALSE)))</f>
        <v/>
      </c>
      <c r="AJ187" s="545" t="str">
        <f t="shared" si="23"/>
        <v/>
      </c>
      <c r="AK187" s="149"/>
      <c r="AL187" s="150"/>
      <c r="AP187" s="31" t="str">
        <f>IFERROR(INDEX('G-6 Hedgerow Data'!$BJ$3:$BJ$15,MATCH(M187,'G-6 Hedgerow Data'!$B$3:$B$15,0)),"")</f>
        <v/>
      </c>
    </row>
    <row r="188" spans="2:42" ht="13.8" x14ac:dyDescent="0.25">
      <c r="B188" s="531" t="str">
        <f>'E-1 Off Site Hedge Baseline'!AK186</f>
        <v/>
      </c>
      <c r="C188" s="520" t="str">
        <f>IF(B188="","",IF(ISNA(VLOOKUP($B188,'E-1 Off Site Hedge Baseline'!$B$1:$L$257,3,FALSE)),"",(VLOOKUP($B188,'E-1 Off Site Hedge Baseline'!$B$1:$L$257,3,FALSE))))</f>
        <v/>
      </c>
      <c r="D188" s="520" t="str">
        <f>IF(B188="","",IF(ISNA(VLOOKUP($B188,'E-1 Off Site Hedge Baseline'!$B$1:$L$258,4,FALSE)),"",(VLOOKUP($B188,'E-1 Off Site Hedge Baseline'!$B$1:$L$258,4,FALSE))))</f>
        <v/>
      </c>
      <c r="E188" s="520" t="str">
        <f>IF(B188="","",IF(ISNA(VLOOKUP($B188,'E-1 Off Site Hedge Baseline'!$B$1:$L$257,5,FALSE)),"",(VLOOKUP($B188,'E-1 Off Site Hedge Baseline'!$B$1:$L$257,5,FALSE))))</f>
        <v/>
      </c>
      <c r="F188" s="520" t="str">
        <f>IF(B188="","",IF(ISNA(VLOOKUP($B188,'E-1 Off Site Hedge Baseline'!$B$1:$L$257,6,FALSE)),"",(VLOOKUP($B188,'E-1 Off Site Hedge Baseline'!$B$1:$L$257,6,FALSE))))</f>
        <v/>
      </c>
      <c r="G188" s="520" t="str">
        <f>IF(B188="","",IF(ISNA(VLOOKUP($B188,'E-1 Off Site Hedge Baseline'!$B$1:$L$257,7,FALSE)),"",(VLOOKUP($B188,'E-1 Off Site Hedge Baseline'!$B$1:$L$257,7,FALSE))))</f>
        <v/>
      </c>
      <c r="H188" s="520" t="str">
        <f>IF(B188="","",IF(ISNA(VLOOKUP($B188,'E-1 Off Site Hedge Baseline'!$B$1:$L$257,8,FALSE)),"",(VLOOKUP($B188,'E-1 Off Site Hedge Baseline'!$B$1:$L$257,8,FALSE))))</f>
        <v/>
      </c>
      <c r="I188" s="520" t="str">
        <f>IF(B188="","",IF(ISNA(VLOOKUP($B188,'E-1 Off Site Hedge Baseline'!$B$1:$L$257,10,FALSE)),"",(VLOOKUP($B188,'E-1 Off Site Hedge Baseline'!$B$1:$L$257,10,FALSE))))</f>
        <v/>
      </c>
      <c r="J188" s="520" t="str">
        <f>IF(B188="","",IF(ISNA(VLOOKUP($B188,'E-1 Off Site Hedge Baseline'!$B$1:$L$257,11,FALSE)),"",(VLOOKUP($B188,'E-1 Off Site Hedge Baseline'!$B$1:$L$257,11,FALSE))))</f>
        <v/>
      </c>
      <c r="K188" s="520" t="str">
        <f>IF(B188="","",IF(ISNA(VLOOKUP($B188,'E-1 Off Site Hedge Baseline'!$B$1:$U$257,113,FALSE)),"",(VLOOKUP($B188,'E-1 Off Site Hedge Baseline'!$B$1:$U$257,13,FALSE))))</f>
        <v/>
      </c>
      <c r="L188" s="507" t="str">
        <f>IF(B188="","",IF(ISNA(VLOOKUP($B188,'E-1 Off Site Hedge Baseline'!$B$1:$U$257,12,FALSE)),"",(VLOOKUP($B188,'E-1 Off Site Hedge Baseline'!$B$1:$U$257,12,FALSE))))</f>
        <v/>
      </c>
      <c r="M188" s="418" t="str">
        <f t="shared" si="24"/>
        <v/>
      </c>
      <c r="N188" s="498" t="str">
        <f>IFERROR(IF(B188="","",INDEX('G-6 Hedgerow Data'!$AN$3:$AZ$15,MATCH(C188,'G-6 Hedgerow Data'!$AM$3:$AM$15,0),MATCH(M188,'G-6 Hedgerow Data'!$AN$2:$AZ$2,0))),"")</f>
        <v/>
      </c>
      <c r="O188" s="499" t="str">
        <f t="shared" si="18"/>
        <v/>
      </c>
      <c r="P188" s="505" t="str">
        <f>IF(B188="","",VLOOKUP(B188,'E-1 Off Site Hedge Baseline'!$B$10:T433,16,FALSE))</f>
        <v/>
      </c>
      <c r="Q188" s="498" t="str">
        <f>IF(M188="","",VLOOKUP(M188,'G-6 Hedgerow Data'!$B$2:$AG$15,2,FALSE))</f>
        <v/>
      </c>
      <c r="R188" s="499" t="str">
        <f>IF(M188="","",VLOOKUP(M188,'G-6 Hedgerow Data'!$B$2:$AG$15,3,FALSE))</f>
        <v/>
      </c>
      <c r="S188" s="145"/>
      <c r="T188" s="499" t="str">
        <f>IFERROR(IF(AND(Q188="V.Low",OR(S188="Good",S188="Moderate")),"Error ▲",VLOOKUP(S188,'G-1 All Habitats'!$Z$2:$AA$9,2,FALSE)),"")</f>
        <v/>
      </c>
      <c r="U188" s="145"/>
      <c r="V188" s="507" t="str">
        <f>IF(U188="","",IF(VLOOKUP(U188,'G-3 Multipliers'!$L$3:$N$6,2,FALSE)=0,"Spatial Data Missing ⚠",VLOOKUP(U188,'G-3 Multipliers'!$L$3:$N$6,2,FALSE)))</f>
        <v/>
      </c>
      <c r="W188" s="505" t="str">
        <f>IF(U188="","",IF(VLOOKUP(U188,'G-3 Multipliers'!$L$3:$N$6,3,FALSE)=0,"Spatial Data Missing ⚠",VLOOKUP(U188,'G-3 Multipliers'!$L$3:$N$6,3,FALSE)))</f>
        <v/>
      </c>
      <c r="X188" s="498"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7" t="str">
        <f t="shared" si="19"/>
        <v/>
      </c>
      <c r="AB188" s="521" t="str">
        <f t="shared" si="20"/>
        <v/>
      </c>
      <c r="AC188" s="522" t="str">
        <f t="shared" si="17"/>
        <v/>
      </c>
      <c r="AD188" s="537" t="str">
        <f>IF(M188="","",VLOOKUP(M188,'G-6 Hedgerow Data'!$B$3:$AG$15,31,FALSE))</f>
        <v/>
      </c>
      <c r="AE188" s="520" t="str">
        <f t="shared" si="21"/>
        <v/>
      </c>
      <c r="AF188" s="520" t="str">
        <f t="shared" si="22"/>
        <v/>
      </c>
      <c r="AG188" s="524" t="str">
        <f>IFERROR(IF(O188="","",VLOOKUP(AD188,'G-3 Multipliers'!$P$3:$Q$6,2,FALSE)),"")</f>
        <v/>
      </c>
      <c r="AH188" s="197"/>
      <c r="AI188" s="499" t="str">
        <f>IF(AH188="","",IF(VLOOKUP(AH188,'G-3 Multipliers'!$S$3:$T$6,2,FALSE)=0,"Spatial Data Missing ⚠",VLOOKUP(AH188,'G-3 Multipliers'!$S$3:$T$6,2,FALSE)))</f>
        <v/>
      </c>
      <c r="AJ188" s="545" t="str">
        <f t="shared" si="23"/>
        <v/>
      </c>
      <c r="AK188" s="149"/>
      <c r="AL188" s="150"/>
      <c r="AP188" s="31" t="str">
        <f>IFERROR(INDEX('G-6 Hedgerow Data'!$BJ$3:$BJ$15,MATCH(M188,'G-6 Hedgerow Data'!$B$3:$B$15,0)),"")</f>
        <v/>
      </c>
    </row>
    <row r="189" spans="2:42" ht="13.8" x14ac:dyDescent="0.25">
      <c r="B189" s="531" t="str">
        <f>'E-1 Off Site Hedge Baseline'!AK187</f>
        <v/>
      </c>
      <c r="C189" s="520" t="str">
        <f>IF(B189="","",IF(ISNA(VLOOKUP($B189,'E-1 Off Site Hedge Baseline'!$B$1:$L$257,3,FALSE)),"",(VLOOKUP($B189,'E-1 Off Site Hedge Baseline'!$B$1:$L$257,3,FALSE))))</f>
        <v/>
      </c>
      <c r="D189" s="520" t="str">
        <f>IF(B189="","",IF(ISNA(VLOOKUP($B189,'E-1 Off Site Hedge Baseline'!$B$1:$L$258,4,FALSE)),"",(VLOOKUP($B189,'E-1 Off Site Hedge Baseline'!$B$1:$L$258,4,FALSE))))</f>
        <v/>
      </c>
      <c r="E189" s="520" t="str">
        <f>IF(B189="","",IF(ISNA(VLOOKUP($B189,'E-1 Off Site Hedge Baseline'!$B$1:$L$257,5,FALSE)),"",(VLOOKUP($B189,'E-1 Off Site Hedge Baseline'!$B$1:$L$257,5,FALSE))))</f>
        <v/>
      </c>
      <c r="F189" s="520" t="str">
        <f>IF(B189="","",IF(ISNA(VLOOKUP($B189,'E-1 Off Site Hedge Baseline'!$B$1:$L$257,6,FALSE)),"",(VLOOKUP($B189,'E-1 Off Site Hedge Baseline'!$B$1:$L$257,6,FALSE))))</f>
        <v/>
      </c>
      <c r="G189" s="520" t="str">
        <f>IF(B189="","",IF(ISNA(VLOOKUP($B189,'E-1 Off Site Hedge Baseline'!$B$1:$L$257,7,FALSE)),"",(VLOOKUP($B189,'E-1 Off Site Hedge Baseline'!$B$1:$L$257,7,FALSE))))</f>
        <v/>
      </c>
      <c r="H189" s="520" t="str">
        <f>IF(B189="","",IF(ISNA(VLOOKUP($B189,'E-1 Off Site Hedge Baseline'!$B$1:$L$257,8,FALSE)),"",(VLOOKUP($B189,'E-1 Off Site Hedge Baseline'!$B$1:$L$257,8,FALSE))))</f>
        <v/>
      </c>
      <c r="I189" s="520" t="str">
        <f>IF(B189="","",IF(ISNA(VLOOKUP($B189,'E-1 Off Site Hedge Baseline'!$B$1:$L$257,10,FALSE)),"",(VLOOKUP($B189,'E-1 Off Site Hedge Baseline'!$B$1:$L$257,10,FALSE))))</f>
        <v/>
      </c>
      <c r="J189" s="520" t="str">
        <f>IF(B189="","",IF(ISNA(VLOOKUP($B189,'E-1 Off Site Hedge Baseline'!$B$1:$L$257,11,FALSE)),"",(VLOOKUP($B189,'E-1 Off Site Hedge Baseline'!$B$1:$L$257,11,FALSE))))</f>
        <v/>
      </c>
      <c r="K189" s="520" t="str">
        <f>IF(B189="","",IF(ISNA(VLOOKUP($B189,'E-1 Off Site Hedge Baseline'!$B$1:$U$257,113,FALSE)),"",(VLOOKUP($B189,'E-1 Off Site Hedge Baseline'!$B$1:$U$257,13,FALSE))))</f>
        <v/>
      </c>
      <c r="L189" s="507" t="str">
        <f>IF(B189="","",IF(ISNA(VLOOKUP($B189,'E-1 Off Site Hedge Baseline'!$B$1:$U$257,12,FALSE)),"",(VLOOKUP($B189,'E-1 Off Site Hedge Baseline'!$B$1:$U$257,12,FALSE))))</f>
        <v/>
      </c>
      <c r="M189" s="418" t="str">
        <f t="shared" si="24"/>
        <v/>
      </c>
      <c r="N189" s="498" t="str">
        <f>IFERROR(IF(B189="","",INDEX('G-6 Hedgerow Data'!$AN$3:$AZ$15,MATCH(C189,'G-6 Hedgerow Data'!$AM$3:$AM$15,0),MATCH(M189,'G-6 Hedgerow Data'!$AN$2:$AZ$2,0))),"")</f>
        <v/>
      </c>
      <c r="O189" s="499" t="str">
        <f t="shared" si="18"/>
        <v/>
      </c>
      <c r="P189" s="505" t="str">
        <f>IF(B189="","",VLOOKUP(B189,'E-1 Off Site Hedge Baseline'!$B$10:T434,16,FALSE))</f>
        <v/>
      </c>
      <c r="Q189" s="498" t="str">
        <f>IF(M189="","",VLOOKUP(M189,'G-6 Hedgerow Data'!$B$2:$AG$15,2,FALSE))</f>
        <v/>
      </c>
      <c r="R189" s="499" t="str">
        <f>IF(M189="","",VLOOKUP(M189,'G-6 Hedgerow Data'!$B$2:$AG$15,3,FALSE))</f>
        <v/>
      </c>
      <c r="S189" s="145"/>
      <c r="T189" s="499" t="str">
        <f>IFERROR(IF(AND(Q189="V.Low",OR(S189="Good",S189="Moderate")),"Error ▲",VLOOKUP(S189,'G-1 All Habitats'!$Z$2:$AA$9,2,FALSE)),"")</f>
        <v/>
      </c>
      <c r="U189" s="145"/>
      <c r="V189" s="507" t="str">
        <f>IF(U189="","",IF(VLOOKUP(U189,'G-3 Multipliers'!$L$3:$N$6,2,FALSE)=0,"Spatial Data Missing ⚠",VLOOKUP(U189,'G-3 Multipliers'!$L$3:$N$6,2,FALSE)))</f>
        <v/>
      </c>
      <c r="W189" s="505" t="str">
        <f>IF(U189="","",IF(VLOOKUP(U189,'G-3 Multipliers'!$L$3:$N$6,3,FALSE)=0,"Spatial Data Missing ⚠",VLOOKUP(U189,'G-3 Multipliers'!$L$3:$N$6,3,FALSE)))</f>
        <v/>
      </c>
      <c r="X189" s="498"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7" t="str">
        <f t="shared" si="19"/>
        <v/>
      </c>
      <c r="AB189" s="521" t="str">
        <f t="shared" si="20"/>
        <v/>
      </c>
      <c r="AC189" s="522" t="str">
        <f t="shared" si="17"/>
        <v/>
      </c>
      <c r="AD189" s="537" t="str">
        <f>IF(M189="","",VLOOKUP(M189,'G-6 Hedgerow Data'!$B$3:$AG$15,31,FALSE))</f>
        <v/>
      </c>
      <c r="AE189" s="520" t="str">
        <f t="shared" si="21"/>
        <v/>
      </c>
      <c r="AF189" s="520" t="str">
        <f t="shared" si="22"/>
        <v/>
      </c>
      <c r="AG189" s="524" t="str">
        <f>IFERROR(IF(O189="","",VLOOKUP(AD189,'G-3 Multipliers'!$P$3:$Q$6,2,FALSE)),"")</f>
        <v/>
      </c>
      <c r="AH189" s="197"/>
      <c r="AI189" s="499" t="str">
        <f>IF(AH189="","",IF(VLOOKUP(AH189,'G-3 Multipliers'!$S$3:$T$6,2,FALSE)=0,"Spatial Data Missing ⚠",VLOOKUP(AH189,'G-3 Multipliers'!$S$3:$T$6,2,FALSE)))</f>
        <v/>
      </c>
      <c r="AJ189" s="545" t="str">
        <f t="shared" si="23"/>
        <v/>
      </c>
      <c r="AK189" s="149"/>
      <c r="AL189" s="150"/>
      <c r="AP189" s="31" t="str">
        <f>IFERROR(INDEX('G-6 Hedgerow Data'!$BJ$3:$BJ$15,MATCH(M189,'G-6 Hedgerow Data'!$B$3:$B$15,0)),"")</f>
        <v/>
      </c>
    </row>
    <row r="190" spans="2:42" ht="13.8" x14ac:dyDescent="0.25">
      <c r="B190" s="531" t="str">
        <f>'E-1 Off Site Hedge Baseline'!AK188</f>
        <v/>
      </c>
      <c r="C190" s="520" t="str">
        <f>IF(B190="","",IF(ISNA(VLOOKUP($B190,'E-1 Off Site Hedge Baseline'!$B$1:$L$257,3,FALSE)),"",(VLOOKUP($B190,'E-1 Off Site Hedge Baseline'!$B$1:$L$257,3,FALSE))))</f>
        <v/>
      </c>
      <c r="D190" s="520" t="str">
        <f>IF(B190="","",IF(ISNA(VLOOKUP($B190,'E-1 Off Site Hedge Baseline'!$B$1:$L$258,4,FALSE)),"",(VLOOKUP($B190,'E-1 Off Site Hedge Baseline'!$B$1:$L$258,4,FALSE))))</f>
        <v/>
      </c>
      <c r="E190" s="520" t="str">
        <f>IF(B190="","",IF(ISNA(VLOOKUP($B190,'E-1 Off Site Hedge Baseline'!$B$1:$L$257,5,FALSE)),"",(VLOOKUP($B190,'E-1 Off Site Hedge Baseline'!$B$1:$L$257,5,FALSE))))</f>
        <v/>
      </c>
      <c r="F190" s="520" t="str">
        <f>IF(B190="","",IF(ISNA(VLOOKUP($B190,'E-1 Off Site Hedge Baseline'!$B$1:$L$257,6,FALSE)),"",(VLOOKUP($B190,'E-1 Off Site Hedge Baseline'!$B$1:$L$257,6,FALSE))))</f>
        <v/>
      </c>
      <c r="G190" s="520" t="str">
        <f>IF(B190="","",IF(ISNA(VLOOKUP($B190,'E-1 Off Site Hedge Baseline'!$B$1:$L$257,7,FALSE)),"",(VLOOKUP($B190,'E-1 Off Site Hedge Baseline'!$B$1:$L$257,7,FALSE))))</f>
        <v/>
      </c>
      <c r="H190" s="520" t="str">
        <f>IF(B190="","",IF(ISNA(VLOOKUP($B190,'E-1 Off Site Hedge Baseline'!$B$1:$L$257,8,FALSE)),"",(VLOOKUP($B190,'E-1 Off Site Hedge Baseline'!$B$1:$L$257,8,FALSE))))</f>
        <v/>
      </c>
      <c r="I190" s="520" t="str">
        <f>IF(B190="","",IF(ISNA(VLOOKUP($B190,'E-1 Off Site Hedge Baseline'!$B$1:$L$257,10,FALSE)),"",(VLOOKUP($B190,'E-1 Off Site Hedge Baseline'!$B$1:$L$257,10,FALSE))))</f>
        <v/>
      </c>
      <c r="J190" s="520" t="str">
        <f>IF(B190="","",IF(ISNA(VLOOKUP($B190,'E-1 Off Site Hedge Baseline'!$B$1:$L$257,11,FALSE)),"",(VLOOKUP($B190,'E-1 Off Site Hedge Baseline'!$B$1:$L$257,11,FALSE))))</f>
        <v/>
      </c>
      <c r="K190" s="520" t="str">
        <f>IF(B190="","",IF(ISNA(VLOOKUP($B190,'E-1 Off Site Hedge Baseline'!$B$1:$U$257,113,FALSE)),"",(VLOOKUP($B190,'E-1 Off Site Hedge Baseline'!$B$1:$U$257,13,FALSE))))</f>
        <v/>
      </c>
      <c r="L190" s="507" t="str">
        <f>IF(B190="","",IF(ISNA(VLOOKUP($B190,'E-1 Off Site Hedge Baseline'!$B$1:$U$257,12,FALSE)),"",(VLOOKUP($B190,'E-1 Off Site Hedge Baseline'!$B$1:$U$257,12,FALSE))))</f>
        <v/>
      </c>
      <c r="M190" s="418" t="str">
        <f t="shared" si="24"/>
        <v/>
      </c>
      <c r="N190" s="498" t="str">
        <f>IFERROR(IF(B190="","",INDEX('G-6 Hedgerow Data'!$AN$3:$AZ$15,MATCH(C190,'G-6 Hedgerow Data'!$AM$3:$AM$15,0),MATCH(M190,'G-6 Hedgerow Data'!$AN$2:$AZ$2,0))),"")</f>
        <v/>
      </c>
      <c r="O190" s="499" t="str">
        <f t="shared" si="18"/>
        <v/>
      </c>
      <c r="P190" s="505" t="str">
        <f>IF(B190="","",VLOOKUP(B190,'E-1 Off Site Hedge Baseline'!$B$10:T435,16,FALSE))</f>
        <v/>
      </c>
      <c r="Q190" s="498" t="str">
        <f>IF(M190="","",VLOOKUP(M190,'G-6 Hedgerow Data'!$B$2:$AG$15,2,FALSE))</f>
        <v/>
      </c>
      <c r="R190" s="499" t="str">
        <f>IF(M190="","",VLOOKUP(M190,'G-6 Hedgerow Data'!$B$2:$AG$15,3,FALSE))</f>
        <v/>
      </c>
      <c r="S190" s="145"/>
      <c r="T190" s="499" t="str">
        <f>IFERROR(IF(AND(Q190="V.Low",OR(S190="Good",S190="Moderate")),"Error ▲",VLOOKUP(S190,'G-1 All Habitats'!$Z$2:$AA$9,2,FALSE)),"")</f>
        <v/>
      </c>
      <c r="U190" s="145"/>
      <c r="V190" s="507" t="str">
        <f>IF(U190="","",IF(VLOOKUP(U190,'G-3 Multipliers'!$L$3:$N$6,2,FALSE)=0,"Spatial Data Missing ⚠",VLOOKUP(U190,'G-3 Multipliers'!$L$3:$N$6,2,FALSE)))</f>
        <v/>
      </c>
      <c r="W190" s="505" t="str">
        <f>IF(U190="","",IF(VLOOKUP(U190,'G-3 Multipliers'!$L$3:$N$6,3,FALSE)=0,"Spatial Data Missing ⚠",VLOOKUP(U190,'G-3 Multipliers'!$L$3:$N$6,3,FALSE)))</f>
        <v/>
      </c>
      <c r="X190" s="498"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7" t="str">
        <f t="shared" si="19"/>
        <v/>
      </c>
      <c r="AB190" s="521" t="str">
        <f t="shared" si="20"/>
        <v/>
      </c>
      <c r="AC190" s="522" t="str">
        <f t="shared" si="17"/>
        <v/>
      </c>
      <c r="AD190" s="537" t="str">
        <f>IF(M190="","",VLOOKUP(M190,'G-6 Hedgerow Data'!$B$3:$AG$15,31,FALSE))</f>
        <v/>
      </c>
      <c r="AE190" s="520" t="str">
        <f t="shared" si="21"/>
        <v/>
      </c>
      <c r="AF190" s="520" t="str">
        <f t="shared" si="22"/>
        <v/>
      </c>
      <c r="AG190" s="524" t="str">
        <f>IFERROR(IF(O190="","",VLOOKUP(AD190,'G-3 Multipliers'!$P$3:$Q$6,2,FALSE)),"")</f>
        <v/>
      </c>
      <c r="AH190" s="197"/>
      <c r="AI190" s="499" t="str">
        <f>IF(AH190="","",IF(VLOOKUP(AH190,'G-3 Multipliers'!$S$3:$T$6,2,FALSE)=0,"Spatial Data Missing ⚠",VLOOKUP(AH190,'G-3 Multipliers'!$S$3:$T$6,2,FALSE)))</f>
        <v/>
      </c>
      <c r="AJ190" s="545" t="str">
        <f t="shared" si="23"/>
        <v/>
      </c>
      <c r="AK190" s="149"/>
      <c r="AL190" s="150"/>
      <c r="AP190" s="31" t="str">
        <f>IFERROR(INDEX('G-6 Hedgerow Data'!$BJ$3:$BJ$15,MATCH(M190,'G-6 Hedgerow Data'!$B$3:$B$15,0)),"")</f>
        <v/>
      </c>
    </row>
    <row r="191" spans="2:42" ht="13.8" x14ac:dyDescent="0.25">
      <c r="B191" s="531" t="str">
        <f>'E-1 Off Site Hedge Baseline'!AK189</f>
        <v/>
      </c>
      <c r="C191" s="520" t="str">
        <f>IF(B191="","",IF(ISNA(VLOOKUP($B191,'E-1 Off Site Hedge Baseline'!$B$1:$L$257,3,FALSE)),"",(VLOOKUP($B191,'E-1 Off Site Hedge Baseline'!$B$1:$L$257,3,FALSE))))</f>
        <v/>
      </c>
      <c r="D191" s="520" t="str">
        <f>IF(B191="","",IF(ISNA(VLOOKUP($B191,'E-1 Off Site Hedge Baseline'!$B$1:$L$258,4,FALSE)),"",(VLOOKUP($B191,'E-1 Off Site Hedge Baseline'!$B$1:$L$258,4,FALSE))))</f>
        <v/>
      </c>
      <c r="E191" s="520" t="str">
        <f>IF(B191="","",IF(ISNA(VLOOKUP($B191,'E-1 Off Site Hedge Baseline'!$B$1:$L$257,5,FALSE)),"",(VLOOKUP($B191,'E-1 Off Site Hedge Baseline'!$B$1:$L$257,5,FALSE))))</f>
        <v/>
      </c>
      <c r="F191" s="520" t="str">
        <f>IF(B191="","",IF(ISNA(VLOOKUP($B191,'E-1 Off Site Hedge Baseline'!$B$1:$L$257,6,FALSE)),"",(VLOOKUP($B191,'E-1 Off Site Hedge Baseline'!$B$1:$L$257,6,FALSE))))</f>
        <v/>
      </c>
      <c r="G191" s="520" t="str">
        <f>IF(B191="","",IF(ISNA(VLOOKUP($B191,'E-1 Off Site Hedge Baseline'!$B$1:$L$257,7,FALSE)),"",(VLOOKUP($B191,'E-1 Off Site Hedge Baseline'!$B$1:$L$257,7,FALSE))))</f>
        <v/>
      </c>
      <c r="H191" s="520" t="str">
        <f>IF(B191="","",IF(ISNA(VLOOKUP($B191,'E-1 Off Site Hedge Baseline'!$B$1:$L$257,8,FALSE)),"",(VLOOKUP($B191,'E-1 Off Site Hedge Baseline'!$B$1:$L$257,8,FALSE))))</f>
        <v/>
      </c>
      <c r="I191" s="520" t="str">
        <f>IF(B191="","",IF(ISNA(VLOOKUP($B191,'E-1 Off Site Hedge Baseline'!$B$1:$L$257,10,FALSE)),"",(VLOOKUP($B191,'E-1 Off Site Hedge Baseline'!$B$1:$L$257,10,FALSE))))</f>
        <v/>
      </c>
      <c r="J191" s="520" t="str">
        <f>IF(B191="","",IF(ISNA(VLOOKUP($B191,'E-1 Off Site Hedge Baseline'!$B$1:$L$257,11,FALSE)),"",(VLOOKUP($B191,'E-1 Off Site Hedge Baseline'!$B$1:$L$257,11,FALSE))))</f>
        <v/>
      </c>
      <c r="K191" s="520" t="str">
        <f>IF(B191="","",IF(ISNA(VLOOKUP($B191,'E-1 Off Site Hedge Baseline'!$B$1:$U$257,113,FALSE)),"",(VLOOKUP($B191,'E-1 Off Site Hedge Baseline'!$B$1:$U$257,13,FALSE))))</f>
        <v/>
      </c>
      <c r="L191" s="507" t="str">
        <f>IF(B191="","",IF(ISNA(VLOOKUP($B191,'E-1 Off Site Hedge Baseline'!$B$1:$U$257,12,FALSE)),"",(VLOOKUP($B191,'E-1 Off Site Hedge Baseline'!$B$1:$U$257,12,FALSE))))</f>
        <v/>
      </c>
      <c r="M191" s="418" t="str">
        <f t="shared" si="24"/>
        <v/>
      </c>
      <c r="N191" s="498" t="str">
        <f>IFERROR(IF(B191="","",INDEX('G-6 Hedgerow Data'!$AN$3:$AZ$15,MATCH(C191,'G-6 Hedgerow Data'!$AM$3:$AM$15,0),MATCH(M191,'G-6 Hedgerow Data'!$AN$2:$AZ$2,0))),"")</f>
        <v/>
      </c>
      <c r="O191" s="499" t="str">
        <f t="shared" si="18"/>
        <v/>
      </c>
      <c r="P191" s="505" t="str">
        <f>IF(B191="","",VLOOKUP(B191,'E-1 Off Site Hedge Baseline'!$B$10:T436,16,FALSE))</f>
        <v/>
      </c>
      <c r="Q191" s="498" t="str">
        <f>IF(M191="","",VLOOKUP(M191,'G-6 Hedgerow Data'!$B$2:$AG$15,2,FALSE))</f>
        <v/>
      </c>
      <c r="R191" s="499" t="str">
        <f>IF(M191="","",VLOOKUP(M191,'G-6 Hedgerow Data'!$B$2:$AG$15,3,FALSE))</f>
        <v/>
      </c>
      <c r="S191" s="145"/>
      <c r="T191" s="499" t="str">
        <f>IFERROR(IF(AND(Q191="V.Low",OR(S191="Good",S191="Moderate")),"Error ▲",VLOOKUP(S191,'G-1 All Habitats'!$Z$2:$AA$9,2,FALSE)),"")</f>
        <v/>
      </c>
      <c r="U191" s="145"/>
      <c r="V191" s="507" t="str">
        <f>IF(U191="","",IF(VLOOKUP(U191,'G-3 Multipliers'!$L$3:$N$6,2,FALSE)=0,"Spatial Data Missing ⚠",VLOOKUP(U191,'G-3 Multipliers'!$L$3:$N$6,2,FALSE)))</f>
        <v/>
      </c>
      <c r="W191" s="505" t="str">
        <f>IF(U191="","",IF(VLOOKUP(U191,'G-3 Multipliers'!$L$3:$N$6,3,FALSE)=0,"Spatial Data Missing ⚠",VLOOKUP(U191,'G-3 Multipliers'!$L$3:$N$6,3,FALSE)))</f>
        <v/>
      </c>
      <c r="X191" s="498"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7" t="str">
        <f t="shared" si="19"/>
        <v/>
      </c>
      <c r="AB191" s="521" t="str">
        <f t="shared" si="20"/>
        <v/>
      </c>
      <c r="AC191" s="522" t="str">
        <f t="shared" si="17"/>
        <v/>
      </c>
      <c r="AD191" s="537" t="str">
        <f>IF(M191="","",VLOOKUP(M191,'G-6 Hedgerow Data'!$B$3:$AG$15,31,FALSE))</f>
        <v/>
      </c>
      <c r="AE191" s="520" t="str">
        <f t="shared" si="21"/>
        <v/>
      </c>
      <c r="AF191" s="520" t="str">
        <f t="shared" si="22"/>
        <v/>
      </c>
      <c r="AG191" s="524" t="str">
        <f>IFERROR(IF(O191="","",VLOOKUP(AD191,'G-3 Multipliers'!$P$3:$Q$6,2,FALSE)),"")</f>
        <v/>
      </c>
      <c r="AH191" s="197"/>
      <c r="AI191" s="499" t="str">
        <f>IF(AH191="","",IF(VLOOKUP(AH191,'G-3 Multipliers'!$S$3:$T$6,2,FALSE)=0,"Spatial Data Missing ⚠",VLOOKUP(AH191,'G-3 Multipliers'!$S$3:$T$6,2,FALSE)))</f>
        <v/>
      </c>
      <c r="AJ191" s="545" t="str">
        <f t="shared" si="23"/>
        <v/>
      </c>
      <c r="AK191" s="149"/>
      <c r="AL191" s="150"/>
      <c r="AP191" s="31" t="str">
        <f>IFERROR(INDEX('G-6 Hedgerow Data'!$BJ$3:$BJ$15,MATCH(M191,'G-6 Hedgerow Data'!$B$3:$B$15,0)),"")</f>
        <v/>
      </c>
    </row>
    <row r="192" spans="2:42" ht="13.8" x14ac:dyDescent="0.25">
      <c r="B192" s="531" t="str">
        <f>'E-1 Off Site Hedge Baseline'!AK190</f>
        <v/>
      </c>
      <c r="C192" s="520" t="str">
        <f>IF(B192="","",IF(ISNA(VLOOKUP($B192,'E-1 Off Site Hedge Baseline'!$B$1:$L$257,3,FALSE)),"",(VLOOKUP($B192,'E-1 Off Site Hedge Baseline'!$B$1:$L$257,3,FALSE))))</f>
        <v/>
      </c>
      <c r="D192" s="520" t="str">
        <f>IF(B192="","",IF(ISNA(VLOOKUP($B192,'E-1 Off Site Hedge Baseline'!$B$1:$L$258,4,FALSE)),"",(VLOOKUP($B192,'E-1 Off Site Hedge Baseline'!$B$1:$L$258,4,FALSE))))</f>
        <v/>
      </c>
      <c r="E192" s="520" t="str">
        <f>IF(B192="","",IF(ISNA(VLOOKUP($B192,'E-1 Off Site Hedge Baseline'!$B$1:$L$257,5,FALSE)),"",(VLOOKUP($B192,'E-1 Off Site Hedge Baseline'!$B$1:$L$257,5,FALSE))))</f>
        <v/>
      </c>
      <c r="F192" s="520" t="str">
        <f>IF(B192="","",IF(ISNA(VLOOKUP($B192,'E-1 Off Site Hedge Baseline'!$B$1:$L$257,6,FALSE)),"",(VLOOKUP($B192,'E-1 Off Site Hedge Baseline'!$B$1:$L$257,6,FALSE))))</f>
        <v/>
      </c>
      <c r="G192" s="520" t="str">
        <f>IF(B192="","",IF(ISNA(VLOOKUP($B192,'E-1 Off Site Hedge Baseline'!$B$1:$L$257,7,FALSE)),"",(VLOOKUP($B192,'E-1 Off Site Hedge Baseline'!$B$1:$L$257,7,FALSE))))</f>
        <v/>
      </c>
      <c r="H192" s="520" t="str">
        <f>IF(B192="","",IF(ISNA(VLOOKUP($B192,'E-1 Off Site Hedge Baseline'!$B$1:$L$257,8,FALSE)),"",(VLOOKUP($B192,'E-1 Off Site Hedge Baseline'!$B$1:$L$257,8,FALSE))))</f>
        <v/>
      </c>
      <c r="I192" s="520" t="str">
        <f>IF(B192="","",IF(ISNA(VLOOKUP($B192,'E-1 Off Site Hedge Baseline'!$B$1:$L$257,10,FALSE)),"",(VLOOKUP($B192,'E-1 Off Site Hedge Baseline'!$B$1:$L$257,10,FALSE))))</f>
        <v/>
      </c>
      <c r="J192" s="520" t="str">
        <f>IF(B192="","",IF(ISNA(VLOOKUP($B192,'E-1 Off Site Hedge Baseline'!$B$1:$L$257,11,FALSE)),"",(VLOOKUP($B192,'E-1 Off Site Hedge Baseline'!$B$1:$L$257,11,FALSE))))</f>
        <v/>
      </c>
      <c r="K192" s="520" t="str">
        <f>IF(B192="","",IF(ISNA(VLOOKUP($B192,'E-1 Off Site Hedge Baseline'!$B$1:$U$257,113,FALSE)),"",(VLOOKUP($B192,'E-1 Off Site Hedge Baseline'!$B$1:$U$257,13,FALSE))))</f>
        <v/>
      </c>
      <c r="L192" s="507" t="str">
        <f>IF(B192="","",IF(ISNA(VLOOKUP($B192,'E-1 Off Site Hedge Baseline'!$B$1:$U$257,12,FALSE)),"",(VLOOKUP($B192,'E-1 Off Site Hedge Baseline'!$B$1:$U$257,12,FALSE))))</f>
        <v/>
      </c>
      <c r="M192" s="418" t="str">
        <f t="shared" si="24"/>
        <v/>
      </c>
      <c r="N192" s="498" t="str">
        <f>IFERROR(IF(B192="","",INDEX('G-6 Hedgerow Data'!$AN$3:$AZ$15,MATCH(C192,'G-6 Hedgerow Data'!$AM$3:$AM$15,0),MATCH(M192,'G-6 Hedgerow Data'!$AN$2:$AZ$2,0))),"")</f>
        <v/>
      </c>
      <c r="O192" s="499" t="str">
        <f t="shared" si="18"/>
        <v/>
      </c>
      <c r="P192" s="505" t="str">
        <f>IF(B192="","",VLOOKUP(B192,'E-1 Off Site Hedge Baseline'!$B$10:T437,16,FALSE))</f>
        <v/>
      </c>
      <c r="Q192" s="498" t="str">
        <f>IF(M192="","",VLOOKUP(M192,'G-6 Hedgerow Data'!$B$2:$AG$15,2,FALSE))</f>
        <v/>
      </c>
      <c r="R192" s="499" t="str">
        <f>IF(M192="","",VLOOKUP(M192,'G-6 Hedgerow Data'!$B$2:$AG$15,3,FALSE))</f>
        <v/>
      </c>
      <c r="S192" s="145"/>
      <c r="T192" s="499" t="str">
        <f>IFERROR(IF(AND(Q192="V.Low",OR(S192="Good",S192="Moderate")),"Error ▲",VLOOKUP(S192,'G-1 All Habitats'!$Z$2:$AA$9,2,FALSE)),"")</f>
        <v/>
      </c>
      <c r="U192" s="145"/>
      <c r="V192" s="507" t="str">
        <f>IF(U192="","",IF(VLOOKUP(U192,'G-3 Multipliers'!$L$3:$N$6,2,FALSE)=0,"Spatial Data Missing ⚠",VLOOKUP(U192,'G-3 Multipliers'!$L$3:$N$6,2,FALSE)))</f>
        <v/>
      </c>
      <c r="W192" s="505" t="str">
        <f>IF(U192="","",IF(VLOOKUP(U192,'G-3 Multipliers'!$L$3:$N$6,3,FALSE)=0,"Spatial Data Missing ⚠",VLOOKUP(U192,'G-3 Multipliers'!$L$3:$N$6,3,FALSE)))</f>
        <v/>
      </c>
      <c r="X192" s="498"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7" t="str">
        <f t="shared" si="19"/>
        <v/>
      </c>
      <c r="AB192" s="521" t="str">
        <f t="shared" si="20"/>
        <v/>
      </c>
      <c r="AC192" s="522" t="str">
        <f t="shared" si="17"/>
        <v/>
      </c>
      <c r="AD192" s="537" t="str">
        <f>IF(M192="","",VLOOKUP(M192,'G-6 Hedgerow Data'!$B$3:$AG$15,31,FALSE))</f>
        <v/>
      </c>
      <c r="AE192" s="520" t="str">
        <f t="shared" si="21"/>
        <v/>
      </c>
      <c r="AF192" s="520" t="str">
        <f t="shared" si="22"/>
        <v/>
      </c>
      <c r="AG192" s="524" t="str">
        <f>IFERROR(IF(O192="","",VLOOKUP(AD192,'G-3 Multipliers'!$P$3:$Q$6,2,FALSE)),"")</f>
        <v/>
      </c>
      <c r="AH192" s="197"/>
      <c r="AI192" s="499" t="str">
        <f>IF(AH192="","",IF(VLOOKUP(AH192,'G-3 Multipliers'!$S$3:$T$6,2,FALSE)=0,"Spatial Data Missing ⚠",VLOOKUP(AH192,'G-3 Multipliers'!$S$3:$T$6,2,FALSE)))</f>
        <v/>
      </c>
      <c r="AJ192" s="545" t="str">
        <f t="shared" si="23"/>
        <v/>
      </c>
      <c r="AK192" s="149"/>
      <c r="AL192" s="150"/>
      <c r="AP192" s="31" t="str">
        <f>IFERROR(INDEX('G-6 Hedgerow Data'!$BJ$3:$BJ$15,MATCH(M192,'G-6 Hedgerow Data'!$B$3:$B$15,0)),"")</f>
        <v/>
      </c>
    </row>
    <row r="193" spans="2:42" ht="13.8" x14ac:dyDescent="0.25">
      <c r="B193" s="531" t="str">
        <f>'E-1 Off Site Hedge Baseline'!AK191</f>
        <v/>
      </c>
      <c r="C193" s="520" t="str">
        <f>IF(B193="","",IF(ISNA(VLOOKUP($B193,'E-1 Off Site Hedge Baseline'!$B$1:$L$257,3,FALSE)),"",(VLOOKUP($B193,'E-1 Off Site Hedge Baseline'!$B$1:$L$257,3,FALSE))))</f>
        <v/>
      </c>
      <c r="D193" s="520" t="str">
        <f>IF(B193="","",IF(ISNA(VLOOKUP($B193,'E-1 Off Site Hedge Baseline'!$B$1:$L$258,4,FALSE)),"",(VLOOKUP($B193,'E-1 Off Site Hedge Baseline'!$B$1:$L$258,4,FALSE))))</f>
        <v/>
      </c>
      <c r="E193" s="520" t="str">
        <f>IF(B193="","",IF(ISNA(VLOOKUP($B193,'E-1 Off Site Hedge Baseline'!$B$1:$L$257,5,FALSE)),"",(VLOOKUP($B193,'E-1 Off Site Hedge Baseline'!$B$1:$L$257,5,FALSE))))</f>
        <v/>
      </c>
      <c r="F193" s="520" t="str">
        <f>IF(B193="","",IF(ISNA(VLOOKUP($B193,'E-1 Off Site Hedge Baseline'!$B$1:$L$257,6,FALSE)),"",(VLOOKUP($B193,'E-1 Off Site Hedge Baseline'!$B$1:$L$257,6,FALSE))))</f>
        <v/>
      </c>
      <c r="G193" s="520" t="str">
        <f>IF(B193="","",IF(ISNA(VLOOKUP($B193,'E-1 Off Site Hedge Baseline'!$B$1:$L$257,7,FALSE)),"",(VLOOKUP($B193,'E-1 Off Site Hedge Baseline'!$B$1:$L$257,7,FALSE))))</f>
        <v/>
      </c>
      <c r="H193" s="520" t="str">
        <f>IF(B193="","",IF(ISNA(VLOOKUP($B193,'E-1 Off Site Hedge Baseline'!$B$1:$L$257,8,FALSE)),"",(VLOOKUP($B193,'E-1 Off Site Hedge Baseline'!$B$1:$L$257,8,FALSE))))</f>
        <v/>
      </c>
      <c r="I193" s="520" t="str">
        <f>IF(B193="","",IF(ISNA(VLOOKUP($B193,'E-1 Off Site Hedge Baseline'!$B$1:$L$257,10,FALSE)),"",(VLOOKUP($B193,'E-1 Off Site Hedge Baseline'!$B$1:$L$257,10,FALSE))))</f>
        <v/>
      </c>
      <c r="J193" s="520" t="str">
        <f>IF(B193="","",IF(ISNA(VLOOKUP($B193,'E-1 Off Site Hedge Baseline'!$B$1:$L$257,11,FALSE)),"",(VLOOKUP($B193,'E-1 Off Site Hedge Baseline'!$B$1:$L$257,11,FALSE))))</f>
        <v/>
      </c>
      <c r="K193" s="520" t="str">
        <f>IF(B193="","",IF(ISNA(VLOOKUP($B193,'E-1 Off Site Hedge Baseline'!$B$1:$U$257,113,FALSE)),"",(VLOOKUP($B193,'E-1 Off Site Hedge Baseline'!$B$1:$U$257,13,FALSE))))</f>
        <v/>
      </c>
      <c r="L193" s="507" t="str">
        <f>IF(B193="","",IF(ISNA(VLOOKUP($B193,'E-1 Off Site Hedge Baseline'!$B$1:$U$257,12,FALSE)),"",(VLOOKUP($B193,'E-1 Off Site Hedge Baseline'!$B$1:$U$257,12,FALSE))))</f>
        <v/>
      </c>
      <c r="M193" s="418" t="str">
        <f t="shared" si="24"/>
        <v/>
      </c>
      <c r="N193" s="498" t="str">
        <f>IFERROR(IF(B193="","",INDEX('G-6 Hedgerow Data'!$AN$3:$AZ$15,MATCH(C193,'G-6 Hedgerow Data'!$AM$3:$AM$15,0),MATCH(M193,'G-6 Hedgerow Data'!$AN$2:$AZ$2,0))),"")</f>
        <v/>
      </c>
      <c r="O193" s="499" t="str">
        <f t="shared" si="18"/>
        <v/>
      </c>
      <c r="P193" s="505" t="str">
        <f>IF(B193="","",VLOOKUP(B193,'E-1 Off Site Hedge Baseline'!$B$10:T438,16,FALSE))</f>
        <v/>
      </c>
      <c r="Q193" s="498" t="str">
        <f>IF(M193="","",VLOOKUP(M193,'G-6 Hedgerow Data'!$B$2:$AG$15,2,FALSE))</f>
        <v/>
      </c>
      <c r="R193" s="499" t="str">
        <f>IF(M193="","",VLOOKUP(M193,'G-6 Hedgerow Data'!$B$2:$AG$15,3,FALSE))</f>
        <v/>
      </c>
      <c r="S193" s="145"/>
      <c r="T193" s="499" t="str">
        <f>IFERROR(IF(AND(Q193="V.Low",OR(S193="Good",S193="Moderate")),"Error ▲",VLOOKUP(S193,'G-1 All Habitats'!$Z$2:$AA$9,2,FALSE)),"")</f>
        <v/>
      </c>
      <c r="U193" s="145"/>
      <c r="V193" s="507" t="str">
        <f>IF(U193="","",IF(VLOOKUP(U193,'G-3 Multipliers'!$L$3:$N$6,2,FALSE)=0,"Spatial Data Missing ⚠",VLOOKUP(U193,'G-3 Multipliers'!$L$3:$N$6,2,FALSE)))</f>
        <v/>
      </c>
      <c r="W193" s="505" t="str">
        <f>IF(U193="","",IF(VLOOKUP(U193,'G-3 Multipliers'!$L$3:$N$6,3,FALSE)=0,"Spatial Data Missing ⚠",VLOOKUP(U193,'G-3 Multipliers'!$L$3:$N$6,3,FALSE)))</f>
        <v/>
      </c>
      <c r="X193" s="498"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7" t="str">
        <f t="shared" si="19"/>
        <v/>
      </c>
      <c r="AB193" s="521" t="str">
        <f t="shared" si="20"/>
        <v/>
      </c>
      <c r="AC193" s="522" t="str">
        <f t="shared" si="17"/>
        <v/>
      </c>
      <c r="AD193" s="537" t="str">
        <f>IF(M193="","",VLOOKUP(M193,'G-6 Hedgerow Data'!$B$3:$AG$15,31,FALSE))</f>
        <v/>
      </c>
      <c r="AE193" s="520" t="str">
        <f t="shared" si="21"/>
        <v/>
      </c>
      <c r="AF193" s="520" t="str">
        <f t="shared" si="22"/>
        <v/>
      </c>
      <c r="AG193" s="524" t="str">
        <f>IFERROR(IF(O193="","",VLOOKUP(AD193,'G-3 Multipliers'!$P$3:$Q$6,2,FALSE)),"")</f>
        <v/>
      </c>
      <c r="AH193" s="197"/>
      <c r="AI193" s="499" t="str">
        <f>IF(AH193="","",IF(VLOOKUP(AH193,'G-3 Multipliers'!$S$3:$T$6,2,FALSE)=0,"Spatial Data Missing ⚠",VLOOKUP(AH193,'G-3 Multipliers'!$S$3:$T$6,2,FALSE)))</f>
        <v/>
      </c>
      <c r="AJ193" s="545" t="str">
        <f t="shared" si="23"/>
        <v/>
      </c>
      <c r="AK193" s="149"/>
      <c r="AL193" s="150"/>
      <c r="AP193" s="31" t="str">
        <f>IFERROR(INDEX('G-6 Hedgerow Data'!$BJ$3:$BJ$15,MATCH(M193,'G-6 Hedgerow Data'!$B$3:$B$15,0)),"")</f>
        <v/>
      </c>
    </row>
    <row r="194" spans="2:42" ht="13.8" x14ac:dyDescent="0.25">
      <c r="B194" s="531" t="str">
        <f>'E-1 Off Site Hedge Baseline'!AK192</f>
        <v/>
      </c>
      <c r="C194" s="520" t="str">
        <f>IF(B194="","",IF(ISNA(VLOOKUP($B194,'E-1 Off Site Hedge Baseline'!$B$1:$L$257,3,FALSE)),"",(VLOOKUP($B194,'E-1 Off Site Hedge Baseline'!$B$1:$L$257,3,FALSE))))</f>
        <v/>
      </c>
      <c r="D194" s="520" t="str">
        <f>IF(B194="","",IF(ISNA(VLOOKUP($B194,'E-1 Off Site Hedge Baseline'!$B$1:$L$258,4,FALSE)),"",(VLOOKUP($B194,'E-1 Off Site Hedge Baseline'!$B$1:$L$258,4,FALSE))))</f>
        <v/>
      </c>
      <c r="E194" s="520" t="str">
        <f>IF(B194="","",IF(ISNA(VLOOKUP($B194,'E-1 Off Site Hedge Baseline'!$B$1:$L$257,5,FALSE)),"",(VLOOKUP($B194,'E-1 Off Site Hedge Baseline'!$B$1:$L$257,5,FALSE))))</f>
        <v/>
      </c>
      <c r="F194" s="520" t="str">
        <f>IF(B194="","",IF(ISNA(VLOOKUP($B194,'E-1 Off Site Hedge Baseline'!$B$1:$L$257,6,FALSE)),"",(VLOOKUP($B194,'E-1 Off Site Hedge Baseline'!$B$1:$L$257,6,FALSE))))</f>
        <v/>
      </c>
      <c r="G194" s="520" t="str">
        <f>IF(B194="","",IF(ISNA(VLOOKUP($B194,'E-1 Off Site Hedge Baseline'!$B$1:$L$257,7,FALSE)),"",(VLOOKUP($B194,'E-1 Off Site Hedge Baseline'!$B$1:$L$257,7,FALSE))))</f>
        <v/>
      </c>
      <c r="H194" s="520" t="str">
        <f>IF(B194="","",IF(ISNA(VLOOKUP($B194,'E-1 Off Site Hedge Baseline'!$B$1:$L$257,8,FALSE)),"",(VLOOKUP($B194,'E-1 Off Site Hedge Baseline'!$B$1:$L$257,8,FALSE))))</f>
        <v/>
      </c>
      <c r="I194" s="520" t="str">
        <f>IF(B194="","",IF(ISNA(VLOOKUP($B194,'E-1 Off Site Hedge Baseline'!$B$1:$L$257,10,FALSE)),"",(VLOOKUP($B194,'E-1 Off Site Hedge Baseline'!$B$1:$L$257,10,FALSE))))</f>
        <v/>
      </c>
      <c r="J194" s="520" t="str">
        <f>IF(B194="","",IF(ISNA(VLOOKUP($B194,'E-1 Off Site Hedge Baseline'!$B$1:$L$257,11,FALSE)),"",(VLOOKUP($B194,'E-1 Off Site Hedge Baseline'!$B$1:$L$257,11,FALSE))))</f>
        <v/>
      </c>
      <c r="K194" s="520" t="str">
        <f>IF(B194="","",IF(ISNA(VLOOKUP($B194,'E-1 Off Site Hedge Baseline'!$B$1:$U$257,113,FALSE)),"",(VLOOKUP($B194,'E-1 Off Site Hedge Baseline'!$B$1:$U$257,13,FALSE))))</f>
        <v/>
      </c>
      <c r="L194" s="507" t="str">
        <f>IF(B194="","",IF(ISNA(VLOOKUP($B194,'E-1 Off Site Hedge Baseline'!$B$1:$U$257,12,FALSE)),"",(VLOOKUP($B194,'E-1 Off Site Hedge Baseline'!$B$1:$U$257,12,FALSE))))</f>
        <v/>
      </c>
      <c r="M194" s="418" t="str">
        <f t="shared" si="24"/>
        <v/>
      </c>
      <c r="N194" s="498" t="str">
        <f>IFERROR(IF(B194="","",INDEX('G-6 Hedgerow Data'!$AN$3:$AZ$15,MATCH(C194,'G-6 Hedgerow Data'!$AM$3:$AM$15,0),MATCH(M194,'G-6 Hedgerow Data'!$AN$2:$AZ$2,0))),"")</f>
        <v/>
      </c>
      <c r="O194" s="499" t="str">
        <f t="shared" si="18"/>
        <v/>
      </c>
      <c r="P194" s="505" t="str">
        <f>IF(B194="","",VLOOKUP(B194,'E-1 Off Site Hedge Baseline'!$B$10:T439,16,FALSE))</f>
        <v/>
      </c>
      <c r="Q194" s="498" t="str">
        <f>IF(M194="","",VLOOKUP(M194,'G-6 Hedgerow Data'!$B$2:$AG$15,2,FALSE))</f>
        <v/>
      </c>
      <c r="R194" s="499" t="str">
        <f>IF(M194="","",VLOOKUP(M194,'G-6 Hedgerow Data'!$B$2:$AG$15,3,FALSE))</f>
        <v/>
      </c>
      <c r="S194" s="145"/>
      <c r="T194" s="499" t="str">
        <f>IFERROR(IF(AND(Q194="V.Low",OR(S194="Good",S194="Moderate")),"Error ▲",VLOOKUP(S194,'G-1 All Habitats'!$Z$2:$AA$9,2,FALSE)),"")</f>
        <v/>
      </c>
      <c r="U194" s="145"/>
      <c r="V194" s="507" t="str">
        <f>IF(U194="","",IF(VLOOKUP(U194,'G-3 Multipliers'!$L$3:$N$6,2,FALSE)=0,"Spatial Data Missing ⚠",VLOOKUP(U194,'G-3 Multipliers'!$L$3:$N$6,2,FALSE)))</f>
        <v/>
      </c>
      <c r="W194" s="505" t="str">
        <f>IF(U194="","",IF(VLOOKUP(U194,'G-3 Multipliers'!$L$3:$N$6,3,FALSE)=0,"Spatial Data Missing ⚠",VLOOKUP(U194,'G-3 Multipliers'!$L$3:$N$6,3,FALSE)))</f>
        <v/>
      </c>
      <c r="X194" s="498"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7" t="str">
        <f t="shared" si="19"/>
        <v/>
      </c>
      <c r="AB194" s="521" t="str">
        <f t="shared" si="20"/>
        <v/>
      </c>
      <c r="AC194" s="522" t="str">
        <f t="shared" si="17"/>
        <v/>
      </c>
      <c r="AD194" s="537" t="str">
        <f>IF(M194="","",VLOOKUP(M194,'G-6 Hedgerow Data'!$B$3:$AG$15,31,FALSE))</f>
        <v/>
      </c>
      <c r="AE194" s="520" t="str">
        <f t="shared" si="21"/>
        <v/>
      </c>
      <c r="AF194" s="520" t="str">
        <f t="shared" si="22"/>
        <v/>
      </c>
      <c r="AG194" s="524" t="str">
        <f>IFERROR(IF(O194="","",VLOOKUP(AD194,'G-3 Multipliers'!$P$3:$Q$6,2,FALSE)),"")</f>
        <v/>
      </c>
      <c r="AH194" s="197"/>
      <c r="AI194" s="499" t="str">
        <f>IF(AH194="","",IF(VLOOKUP(AH194,'G-3 Multipliers'!$S$3:$T$6,2,FALSE)=0,"Spatial Data Missing ⚠",VLOOKUP(AH194,'G-3 Multipliers'!$S$3:$T$6,2,FALSE)))</f>
        <v/>
      </c>
      <c r="AJ194" s="545" t="str">
        <f t="shared" si="23"/>
        <v/>
      </c>
      <c r="AK194" s="149"/>
      <c r="AL194" s="150"/>
      <c r="AP194" s="31" t="str">
        <f>IFERROR(INDEX('G-6 Hedgerow Data'!$BJ$3:$BJ$15,MATCH(M194,'G-6 Hedgerow Data'!$B$3:$B$15,0)),"")</f>
        <v/>
      </c>
    </row>
    <row r="195" spans="2:42" ht="13.8" x14ac:dyDescent="0.25">
      <c r="B195" s="531" t="str">
        <f>'E-1 Off Site Hedge Baseline'!AK193</f>
        <v/>
      </c>
      <c r="C195" s="520" t="str">
        <f>IF(B195="","",IF(ISNA(VLOOKUP($B195,'E-1 Off Site Hedge Baseline'!$B$1:$L$257,3,FALSE)),"",(VLOOKUP($B195,'E-1 Off Site Hedge Baseline'!$B$1:$L$257,3,FALSE))))</f>
        <v/>
      </c>
      <c r="D195" s="520" t="str">
        <f>IF(B195="","",IF(ISNA(VLOOKUP($B195,'E-1 Off Site Hedge Baseline'!$B$1:$L$258,4,FALSE)),"",(VLOOKUP($B195,'E-1 Off Site Hedge Baseline'!$B$1:$L$258,4,FALSE))))</f>
        <v/>
      </c>
      <c r="E195" s="520" t="str">
        <f>IF(B195="","",IF(ISNA(VLOOKUP($B195,'E-1 Off Site Hedge Baseline'!$B$1:$L$257,5,FALSE)),"",(VLOOKUP($B195,'E-1 Off Site Hedge Baseline'!$B$1:$L$257,5,FALSE))))</f>
        <v/>
      </c>
      <c r="F195" s="520" t="str">
        <f>IF(B195="","",IF(ISNA(VLOOKUP($B195,'E-1 Off Site Hedge Baseline'!$B$1:$L$257,6,FALSE)),"",(VLOOKUP($B195,'E-1 Off Site Hedge Baseline'!$B$1:$L$257,6,FALSE))))</f>
        <v/>
      </c>
      <c r="G195" s="520" t="str">
        <f>IF(B195="","",IF(ISNA(VLOOKUP($B195,'E-1 Off Site Hedge Baseline'!$B$1:$L$257,7,FALSE)),"",(VLOOKUP($B195,'E-1 Off Site Hedge Baseline'!$B$1:$L$257,7,FALSE))))</f>
        <v/>
      </c>
      <c r="H195" s="520" t="str">
        <f>IF(B195="","",IF(ISNA(VLOOKUP($B195,'E-1 Off Site Hedge Baseline'!$B$1:$L$257,8,FALSE)),"",(VLOOKUP($B195,'E-1 Off Site Hedge Baseline'!$B$1:$L$257,8,FALSE))))</f>
        <v/>
      </c>
      <c r="I195" s="520" t="str">
        <f>IF(B195="","",IF(ISNA(VLOOKUP($B195,'E-1 Off Site Hedge Baseline'!$B$1:$L$257,10,FALSE)),"",(VLOOKUP($B195,'E-1 Off Site Hedge Baseline'!$B$1:$L$257,10,FALSE))))</f>
        <v/>
      </c>
      <c r="J195" s="520" t="str">
        <f>IF(B195="","",IF(ISNA(VLOOKUP($B195,'E-1 Off Site Hedge Baseline'!$B$1:$L$257,11,FALSE)),"",(VLOOKUP($B195,'E-1 Off Site Hedge Baseline'!$B$1:$L$257,11,FALSE))))</f>
        <v/>
      </c>
      <c r="K195" s="520" t="str">
        <f>IF(B195="","",IF(ISNA(VLOOKUP($B195,'E-1 Off Site Hedge Baseline'!$B$1:$U$257,113,FALSE)),"",(VLOOKUP($B195,'E-1 Off Site Hedge Baseline'!$B$1:$U$257,13,FALSE))))</f>
        <v/>
      </c>
      <c r="L195" s="507" t="str">
        <f>IF(B195="","",IF(ISNA(VLOOKUP($B195,'E-1 Off Site Hedge Baseline'!$B$1:$U$257,12,FALSE)),"",(VLOOKUP($B195,'E-1 Off Site Hedge Baseline'!$B$1:$U$257,12,FALSE))))</f>
        <v/>
      </c>
      <c r="M195" s="418" t="str">
        <f t="shared" si="24"/>
        <v/>
      </c>
      <c r="N195" s="498" t="str">
        <f>IFERROR(IF(B195="","",INDEX('G-6 Hedgerow Data'!$AN$3:$AZ$15,MATCH(C195,'G-6 Hedgerow Data'!$AM$3:$AM$15,0),MATCH(M195,'G-6 Hedgerow Data'!$AN$2:$AZ$2,0))),"")</f>
        <v/>
      </c>
      <c r="O195" s="499" t="str">
        <f t="shared" si="18"/>
        <v/>
      </c>
      <c r="P195" s="505" t="str">
        <f>IF(B195="","",VLOOKUP(B195,'E-1 Off Site Hedge Baseline'!$B$10:T440,16,FALSE))</f>
        <v/>
      </c>
      <c r="Q195" s="498" t="str">
        <f>IF(M195="","",VLOOKUP(M195,'G-6 Hedgerow Data'!$B$2:$AG$15,2,FALSE))</f>
        <v/>
      </c>
      <c r="R195" s="499" t="str">
        <f>IF(M195="","",VLOOKUP(M195,'G-6 Hedgerow Data'!$B$2:$AG$15,3,FALSE))</f>
        <v/>
      </c>
      <c r="S195" s="145"/>
      <c r="T195" s="499" t="str">
        <f>IFERROR(IF(AND(Q195="V.Low",OR(S195="Good",S195="Moderate")),"Error ▲",VLOOKUP(S195,'G-1 All Habitats'!$Z$2:$AA$9,2,FALSE)),"")</f>
        <v/>
      </c>
      <c r="U195" s="145"/>
      <c r="V195" s="507" t="str">
        <f>IF(U195="","",IF(VLOOKUP(U195,'G-3 Multipliers'!$L$3:$N$6,2,FALSE)=0,"Spatial Data Missing ⚠",VLOOKUP(U195,'G-3 Multipliers'!$L$3:$N$6,2,FALSE)))</f>
        <v/>
      </c>
      <c r="W195" s="505" t="str">
        <f>IF(U195="","",IF(VLOOKUP(U195,'G-3 Multipliers'!$L$3:$N$6,3,FALSE)=0,"Spatial Data Missing ⚠",VLOOKUP(U195,'G-3 Multipliers'!$L$3:$N$6,3,FALSE)))</f>
        <v/>
      </c>
      <c r="X195" s="498"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7" t="str">
        <f t="shared" si="19"/>
        <v/>
      </c>
      <c r="AB195" s="521" t="str">
        <f t="shared" si="20"/>
        <v/>
      </c>
      <c r="AC195" s="522" t="str">
        <f t="shared" si="17"/>
        <v/>
      </c>
      <c r="AD195" s="537" t="str">
        <f>IF(M195="","",VLOOKUP(M195,'G-6 Hedgerow Data'!$B$3:$AG$15,31,FALSE))</f>
        <v/>
      </c>
      <c r="AE195" s="520" t="str">
        <f t="shared" si="21"/>
        <v/>
      </c>
      <c r="AF195" s="520" t="str">
        <f t="shared" si="22"/>
        <v/>
      </c>
      <c r="AG195" s="524" t="str">
        <f>IFERROR(IF(O195="","",VLOOKUP(AD195,'G-3 Multipliers'!$P$3:$Q$6,2,FALSE)),"")</f>
        <v/>
      </c>
      <c r="AH195" s="197"/>
      <c r="AI195" s="499" t="str">
        <f>IF(AH195="","",IF(VLOOKUP(AH195,'G-3 Multipliers'!$S$3:$T$6,2,FALSE)=0,"Spatial Data Missing ⚠",VLOOKUP(AH195,'G-3 Multipliers'!$S$3:$T$6,2,FALSE)))</f>
        <v/>
      </c>
      <c r="AJ195" s="545" t="str">
        <f t="shared" si="23"/>
        <v/>
      </c>
      <c r="AK195" s="149"/>
      <c r="AL195" s="150"/>
      <c r="AP195" s="31" t="str">
        <f>IFERROR(INDEX('G-6 Hedgerow Data'!$BJ$3:$BJ$15,MATCH(M195,'G-6 Hedgerow Data'!$B$3:$B$15,0)),"")</f>
        <v/>
      </c>
    </row>
    <row r="196" spans="2:42" ht="13.8" x14ac:dyDescent="0.25">
      <c r="B196" s="531" t="str">
        <f>'E-1 Off Site Hedge Baseline'!AK194</f>
        <v/>
      </c>
      <c r="C196" s="520" t="str">
        <f>IF(B196="","",IF(ISNA(VLOOKUP($B196,'E-1 Off Site Hedge Baseline'!$B$1:$L$257,3,FALSE)),"",(VLOOKUP($B196,'E-1 Off Site Hedge Baseline'!$B$1:$L$257,3,FALSE))))</f>
        <v/>
      </c>
      <c r="D196" s="520" t="str">
        <f>IF(B196="","",IF(ISNA(VLOOKUP($B196,'E-1 Off Site Hedge Baseline'!$B$1:$L$258,4,FALSE)),"",(VLOOKUP($B196,'E-1 Off Site Hedge Baseline'!$B$1:$L$258,4,FALSE))))</f>
        <v/>
      </c>
      <c r="E196" s="520" t="str">
        <f>IF(B196="","",IF(ISNA(VLOOKUP($B196,'E-1 Off Site Hedge Baseline'!$B$1:$L$257,5,FALSE)),"",(VLOOKUP($B196,'E-1 Off Site Hedge Baseline'!$B$1:$L$257,5,FALSE))))</f>
        <v/>
      </c>
      <c r="F196" s="520" t="str">
        <f>IF(B196="","",IF(ISNA(VLOOKUP($B196,'E-1 Off Site Hedge Baseline'!$B$1:$L$257,6,FALSE)),"",(VLOOKUP($B196,'E-1 Off Site Hedge Baseline'!$B$1:$L$257,6,FALSE))))</f>
        <v/>
      </c>
      <c r="G196" s="520" t="str">
        <f>IF(B196="","",IF(ISNA(VLOOKUP($B196,'E-1 Off Site Hedge Baseline'!$B$1:$L$257,7,FALSE)),"",(VLOOKUP($B196,'E-1 Off Site Hedge Baseline'!$B$1:$L$257,7,FALSE))))</f>
        <v/>
      </c>
      <c r="H196" s="520" t="str">
        <f>IF(B196="","",IF(ISNA(VLOOKUP($B196,'E-1 Off Site Hedge Baseline'!$B$1:$L$257,8,FALSE)),"",(VLOOKUP($B196,'E-1 Off Site Hedge Baseline'!$B$1:$L$257,8,FALSE))))</f>
        <v/>
      </c>
      <c r="I196" s="520" t="str">
        <f>IF(B196="","",IF(ISNA(VLOOKUP($B196,'E-1 Off Site Hedge Baseline'!$B$1:$L$257,10,FALSE)),"",(VLOOKUP($B196,'E-1 Off Site Hedge Baseline'!$B$1:$L$257,10,FALSE))))</f>
        <v/>
      </c>
      <c r="J196" s="520" t="str">
        <f>IF(B196="","",IF(ISNA(VLOOKUP($B196,'E-1 Off Site Hedge Baseline'!$B$1:$L$257,11,FALSE)),"",(VLOOKUP($B196,'E-1 Off Site Hedge Baseline'!$B$1:$L$257,11,FALSE))))</f>
        <v/>
      </c>
      <c r="K196" s="520" t="str">
        <f>IF(B196="","",IF(ISNA(VLOOKUP($B196,'E-1 Off Site Hedge Baseline'!$B$1:$U$257,113,FALSE)),"",(VLOOKUP($B196,'E-1 Off Site Hedge Baseline'!$B$1:$U$257,13,FALSE))))</f>
        <v/>
      </c>
      <c r="L196" s="507" t="str">
        <f>IF(B196="","",IF(ISNA(VLOOKUP($B196,'E-1 Off Site Hedge Baseline'!$B$1:$U$257,12,FALSE)),"",(VLOOKUP($B196,'E-1 Off Site Hedge Baseline'!$B$1:$U$257,12,FALSE))))</f>
        <v/>
      </c>
      <c r="M196" s="418" t="str">
        <f t="shared" si="24"/>
        <v/>
      </c>
      <c r="N196" s="498" t="str">
        <f>IFERROR(IF(B196="","",INDEX('G-6 Hedgerow Data'!$AN$3:$AZ$15,MATCH(C196,'G-6 Hedgerow Data'!$AM$3:$AM$15,0),MATCH(M196,'G-6 Hedgerow Data'!$AN$2:$AZ$2,0))),"")</f>
        <v/>
      </c>
      <c r="O196" s="499" t="str">
        <f t="shared" si="18"/>
        <v/>
      </c>
      <c r="P196" s="505" t="str">
        <f>IF(B196="","",VLOOKUP(B196,'E-1 Off Site Hedge Baseline'!$B$10:T441,16,FALSE))</f>
        <v/>
      </c>
      <c r="Q196" s="498" t="str">
        <f>IF(M196="","",VLOOKUP(M196,'G-6 Hedgerow Data'!$B$2:$AG$15,2,FALSE))</f>
        <v/>
      </c>
      <c r="R196" s="499" t="str">
        <f>IF(M196="","",VLOOKUP(M196,'G-6 Hedgerow Data'!$B$2:$AG$15,3,FALSE))</f>
        <v/>
      </c>
      <c r="S196" s="145"/>
      <c r="T196" s="499" t="str">
        <f>IFERROR(IF(AND(Q196="V.Low",OR(S196="Good",S196="Moderate")),"Error ▲",VLOOKUP(S196,'G-1 All Habitats'!$Z$2:$AA$9,2,FALSE)),"")</f>
        <v/>
      </c>
      <c r="U196" s="145"/>
      <c r="V196" s="507" t="str">
        <f>IF(U196="","",IF(VLOOKUP(U196,'G-3 Multipliers'!$L$3:$N$6,2,FALSE)=0,"Spatial Data Missing ⚠",VLOOKUP(U196,'G-3 Multipliers'!$L$3:$N$6,2,FALSE)))</f>
        <v/>
      </c>
      <c r="W196" s="505" t="str">
        <f>IF(U196="","",IF(VLOOKUP(U196,'G-3 Multipliers'!$L$3:$N$6,3,FALSE)=0,"Spatial Data Missing ⚠",VLOOKUP(U196,'G-3 Multipliers'!$L$3:$N$6,3,FALSE)))</f>
        <v/>
      </c>
      <c r="X196" s="498"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7" t="str">
        <f t="shared" si="19"/>
        <v/>
      </c>
      <c r="AB196" s="521" t="str">
        <f t="shared" si="20"/>
        <v/>
      </c>
      <c r="AC196" s="522" t="str">
        <f t="shared" si="17"/>
        <v/>
      </c>
      <c r="AD196" s="537" t="str">
        <f>IF(M196="","",VLOOKUP(M196,'G-6 Hedgerow Data'!$B$3:$AG$15,31,FALSE))</f>
        <v/>
      </c>
      <c r="AE196" s="520" t="str">
        <f t="shared" si="21"/>
        <v/>
      </c>
      <c r="AF196" s="520" t="str">
        <f t="shared" si="22"/>
        <v/>
      </c>
      <c r="AG196" s="524" t="str">
        <f>IFERROR(IF(O196="","",VLOOKUP(AD196,'G-3 Multipliers'!$P$3:$Q$6,2,FALSE)),"")</f>
        <v/>
      </c>
      <c r="AH196" s="197"/>
      <c r="AI196" s="499" t="str">
        <f>IF(AH196="","",IF(VLOOKUP(AH196,'G-3 Multipliers'!$S$3:$T$6,2,FALSE)=0,"Spatial Data Missing ⚠",VLOOKUP(AH196,'G-3 Multipliers'!$S$3:$T$6,2,FALSE)))</f>
        <v/>
      </c>
      <c r="AJ196" s="545" t="str">
        <f t="shared" si="23"/>
        <v/>
      </c>
      <c r="AK196" s="149"/>
      <c r="AL196" s="150"/>
      <c r="AP196" s="31" t="str">
        <f>IFERROR(INDEX('G-6 Hedgerow Data'!$BJ$3:$BJ$15,MATCH(M196,'G-6 Hedgerow Data'!$B$3:$B$15,0)),"")</f>
        <v/>
      </c>
    </row>
    <row r="197" spans="2:42" ht="13.8" x14ac:dyDescent="0.25">
      <c r="B197" s="531" t="str">
        <f>'E-1 Off Site Hedge Baseline'!AK195</f>
        <v/>
      </c>
      <c r="C197" s="520" t="str">
        <f>IF(B197="","",IF(ISNA(VLOOKUP($B197,'E-1 Off Site Hedge Baseline'!$B$1:$L$257,3,FALSE)),"",(VLOOKUP($B197,'E-1 Off Site Hedge Baseline'!$B$1:$L$257,3,FALSE))))</f>
        <v/>
      </c>
      <c r="D197" s="520" t="str">
        <f>IF(B197="","",IF(ISNA(VLOOKUP($B197,'E-1 Off Site Hedge Baseline'!$B$1:$L$258,4,FALSE)),"",(VLOOKUP($B197,'E-1 Off Site Hedge Baseline'!$B$1:$L$258,4,FALSE))))</f>
        <v/>
      </c>
      <c r="E197" s="520" t="str">
        <f>IF(B197="","",IF(ISNA(VLOOKUP($B197,'E-1 Off Site Hedge Baseline'!$B$1:$L$257,5,FALSE)),"",(VLOOKUP($B197,'E-1 Off Site Hedge Baseline'!$B$1:$L$257,5,FALSE))))</f>
        <v/>
      </c>
      <c r="F197" s="520" t="str">
        <f>IF(B197="","",IF(ISNA(VLOOKUP($B197,'E-1 Off Site Hedge Baseline'!$B$1:$L$257,6,FALSE)),"",(VLOOKUP($B197,'E-1 Off Site Hedge Baseline'!$B$1:$L$257,6,FALSE))))</f>
        <v/>
      </c>
      <c r="G197" s="520" t="str">
        <f>IF(B197="","",IF(ISNA(VLOOKUP($B197,'E-1 Off Site Hedge Baseline'!$B$1:$L$257,7,FALSE)),"",(VLOOKUP($B197,'E-1 Off Site Hedge Baseline'!$B$1:$L$257,7,FALSE))))</f>
        <v/>
      </c>
      <c r="H197" s="520" t="str">
        <f>IF(B197="","",IF(ISNA(VLOOKUP($B197,'E-1 Off Site Hedge Baseline'!$B$1:$L$257,8,FALSE)),"",(VLOOKUP($B197,'E-1 Off Site Hedge Baseline'!$B$1:$L$257,8,FALSE))))</f>
        <v/>
      </c>
      <c r="I197" s="520" t="str">
        <f>IF(B197="","",IF(ISNA(VLOOKUP($B197,'E-1 Off Site Hedge Baseline'!$B$1:$L$257,10,FALSE)),"",(VLOOKUP($B197,'E-1 Off Site Hedge Baseline'!$B$1:$L$257,10,FALSE))))</f>
        <v/>
      </c>
      <c r="J197" s="520" t="str">
        <f>IF(B197="","",IF(ISNA(VLOOKUP($B197,'E-1 Off Site Hedge Baseline'!$B$1:$L$257,11,FALSE)),"",(VLOOKUP($B197,'E-1 Off Site Hedge Baseline'!$B$1:$L$257,11,FALSE))))</f>
        <v/>
      </c>
      <c r="K197" s="520" t="str">
        <f>IF(B197="","",IF(ISNA(VLOOKUP($B197,'E-1 Off Site Hedge Baseline'!$B$1:$U$257,113,FALSE)),"",(VLOOKUP($B197,'E-1 Off Site Hedge Baseline'!$B$1:$U$257,13,FALSE))))</f>
        <v/>
      </c>
      <c r="L197" s="507" t="str">
        <f>IF(B197="","",IF(ISNA(VLOOKUP($B197,'E-1 Off Site Hedge Baseline'!$B$1:$U$257,12,FALSE)),"",(VLOOKUP($B197,'E-1 Off Site Hedge Baseline'!$B$1:$U$257,12,FALSE))))</f>
        <v/>
      </c>
      <c r="M197" s="418" t="str">
        <f t="shared" si="24"/>
        <v/>
      </c>
      <c r="N197" s="498" t="str">
        <f>IFERROR(IF(B197="","",INDEX('G-6 Hedgerow Data'!$AN$3:$AZ$15,MATCH(C197,'G-6 Hedgerow Data'!$AM$3:$AM$15,0),MATCH(M197,'G-6 Hedgerow Data'!$AN$2:$AZ$2,0))),"")</f>
        <v/>
      </c>
      <c r="O197" s="499" t="str">
        <f t="shared" si="18"/>
        <v/>
      </c>
      <c r="P197" s="505" t="str">
        <f>IF(B197="","",VLOOKUP(B197,'E-1 Off Site Hedge Baseline'!$B$10:T442,16,FALSE))</f>
        <v/>
      </c>
      <c r="Q197" s="498" t="str">
        <f>IF(M197="","",VLOOKUP(M197,'G-6 Hedgerow Data'!$B$2:$AG$15,2,FALSE))</f>
        <v/>
      </c>
      <c r="R197" s="499" t="str">
        <f>IF(M197="","",VLOOKUP(M197,'G-6 Hedgerow Data'!$B$2:$AG$15,3,FALSE))</f>
        <v/>
      </c>
      <c r="S197" s="145"/>
      <c r="T197" s="499" t="str">
        <f>IFERROR(IF(AND(Q197="V.Low",OR(S197="Good",S197="Moderate")),"Error ▲",VLOOKUP(S197,'G-1 All Habitats'!$Z$2:$AA$9,2,FALSE)),"")</f>
        <v/>
      </c>
      <c r="U197" s="145"/>
      <c r="V197" s="507" t="str">
        <f>IF(U197="","",IF(VLOOKUP(U197,'G-3 Multipliers'!$L$3:$N$6,2,FALSE)=0,"Spatial Data Missing ⚠",VLOOKUP(U197,'G-3 Multipliers'!$L$3:$N$6,2,FALSE)))</f>
        <v/>
      </c>
      <c r="W197" s="505" t="str">
        <f>IF(U197="","",IF(VLOOKUP(U197,'G-3 Multipliers'!$L$3:$N$6,3,FALSE)=0,"Spatial Data Missing ⚠",VLOOKUP(U197,'G-3 Multipliers'!$L$3:$N$6,3,FALSE)))</f>
        <v/>
      </c>
      <c r="X197" s="498"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7" t="str">
        <f t="shared" si="19"/>
        <v/>
      </c>
      <c r="AB197" s="521" t="str">
        <f t="shared" si="20"/>
        <v/>
      </c>
      <c r="AC197" s="522" t="str">
        <f t="shared" si="17"/>
        <v/>
      </c>
      <c r="AD197" s="537" t="str">
        <f>IF(M197="","",VLOOKUP(M197,'G-6 Hedgerow Data'!$B$3:$AG$15,31,FALSE))</f>
        <v/>
      </c>
      <c r="AE197" s="520" t="str">
        <f t="shared" si="21"/>
        <v/>
      </c>
      <c r="AF197" s="520" t="str">
        <f t="shared" si="22"/>
        <v/>
      </c>
      <c r="AG197" s="524" t="str">
        <f>IFERROR(IF(O197="","",VLOOKUP(AD197,'G-3 Multipliers'!$P$3:$Q$6,2,FALSE)),"")</f>
        <v/>
      </c>
      <c r="AH197" s="197"/>
      <c r="AI197" s="499" t="str">
        <f>IF(AH197="","",IF(VLOOKUP(AH197,'G-3 Multipliers'!$S$3:$T$6,2,FALSE)=0,"Spatial Data Missing ⚠",VLOOKUP(AH197,'G-3 Multipliers'!$S$3:$T$6,2,FALSE)))</f>
        <v/>
      </c>
      <c r="AJ197" s="545" t="str">
        <f t="shared" si="23"/>
        <v/>
      </c>
      <c r="AK197" s="149"/>
      <c r="AL197" s="150"/>
      <c r="AP197" s="31" t="str">
        <f>IFERROR(INDEX('G-6 Hedgerow Data'!$BJ$3:$BJ$15,MATCH(M197,'G-6 Hedgerow Data'!$B$3:$B$15,0)),"")</f>
        <v/>
      </c>
    </row>
    <row r="198" spans="2:42" ht="13.8" x14ac:dyDescent="0.25">
      <c r="B198" s="531" t="str">
        <f>'E-1 Off Site Hedge Baseline'!AK196</f>
        <v/>
      </c>
      <c r="C198" s="520" t="str">
        <f>IF(B198="","",IF(ISNA(VLOOKUP($B198,'E-1 Off Site Hedge Baseline'!$B$1:$L$257,3,FALSE)),"",(VLOOKUP($B198,'E-1 Off Site Hedge Baseline'!$B$1:$L$257,3,FALSE))))</f>
        <v/>
      </c>
      <c r="D198" s="520" t="str">
        <f>IF(B198="","",IF(ISNA(VLOOKUP($B198,'E-1 Off Site Hedge Baseline'!$B$1:$L$258,4,FALSE)),"",(VLOOKUP($B198,'E-1 Off Site Hedge Baseline'!$B$1:$L$258,4,FALSE))))</f>
        <v/>
      </c>
      <c r="E198" s="520" t="str">
        <f>IF(B198="","",IF(ISNA(VLOOKUP($B198,'E-1 Off Site Hedge Baseline'!$B$1:$L$257,5,FALSE)),"",(VLOOKUP($B198,'E-1 Off Site Hedge Baseline'!$B$1:$L$257,5,FALSE))))</f>
        <v/>
      </c>
      <c r="F198" s="520" t="str">
        <f>IF(B198="","",IF(ISNA(VLOOKUP($B198,'E-1 Off Site Hedge Baseline'!$B$1:$L$257,6,FALSE)),"",(VLOOKUP($B198,'E-1 Off Site Hedge Baseline'!$B$1:$L$257,6,FALSE))))</f>
        <v/>
      </c>
      <c r="G198" s="520" t="str">
        <f>IF(B198="","",IF(ISNA(VLOOKUP($B198,'E-1 Off Site Hedge Baseline'!$B$1:$L$257,7,FALSE)),"",(VLOOKUP($B198,'E-1 Off Site Hedge Baseline'!$B$1:$L$257,7,FALSE))))</f>
        <v/>
      </c>
      <c r="H198" s="520" t="str">
        <f>IF(B198="","",IF(ISNA(VLOOKUP($B198,'E-1 Off Site Hedge Baseline'!$B$1:$L$257,8,FALSE)),"",(VLOOKUP($B198,'E-1 Off Site Hedge Baseline'!$B$1:$L$257,8,FALSE))))</f>
        <v/>
      </c>
      <c r="I198" s="520" t="str">
        <f>IF(B198="","",IF(ISNA(VLOOKUP($B198,'E-1 Off Site Hedge Baseline'!$B$1:$L$257,10,FALSE)),"",(VLOOKUP($B198,'E-1 Off Site Hedge Baseline'!$B$1:$L$257,10,FALSE))))</f>
        <v/>
      </c>
      <c r="J198" s="520" t="str">
        <f>IF(B198="","",IF(ISNA(VLOOKUP($B198,'E-1 Off Site Hedge Baseline'!$B$1:$L$257,11,FALSE)),"",(VLOOKUP($B198,'E-1 Off Site Hedge Baseline'!$B$1:$L$257,11,FALSE))))</f>
        <v/>
      </c>
      <c r="K198" s="520" t="str">
        <f>IF(B198="","",IF(ISNA(VLOOKUP($B198,'E-1 Off Site Hedge Baseline'!$B$1:$U$257,113,FALSE)),"",(VLOOKUP($B198,'E-1 Off Site Hedge Baseline'!$B$1:$U$257,13,FALSE))))</f>
        <v/>
      </c>
      <c r="L198" s="507" t="str">
        <f>IF(B198="","",IF(ISNA(VLOOKUP($B198,'E-1 Off Site Hedge Baseline'!$B$1:$U$257,12,FALSE)),"",(VLOOKUP($B198,'E-1 Off Site Hedge Baseline'!$B$1:$U$257,12,FALSE))))</f>
        <v/>
      </c>
      <c r="M198" s="418" t="str">
        <f t="shared" si="24"/>
        <v/>
      </c>
      <c r="N198" s="498" t="str">
        <f>IFERROR(IF(B198="","",INDEX('G-6 Hedgerow Data'!$AN$3:$AZ$15,MATCH(C198,'G-6 Hedgerow Data'!$AM$3:$AM$15,0),MATCH(M198,'G-6 Hedgerow Data'!$AN$2:$AZ$2,0))),"")</f>
        <v/>
      </c>
      <c r="O198" s="499" t="str">
        <f t="shared" si="18"/>
        <v/>
      </c>
      <c r="P198" s="505" t="str">
        <f>IF(B198="","",VLOOKUP(B198,'E-1 Off Site Hedge Baseline'!$B$10:T443,16,FALSE))</f>
        <v/>
      </c>
      <c r="Q198" s="498" t="str">
        <f>IF(M198="","",VLOOKUP(M198,'G-6 Hedgerow Data'!$B$2:$AG$15,2,FALSE))</f>
        <v/>
      </c>
      <c r="R198" s="499" t="str">
        <f>IF(M198="","",VLOOKUP(M198,'G-6 Hedgerow Data'!$B$2:$AG$15,3,FALSE))</f>
        <v/>
      </c>
      <c r="S198" s="145"/>
      <c r="T198" s="499" t="str">
        <f>IFERROR(IF(AND(Q198="V.Low",OR(S198="Good",S198="Moderate")),"Error ▲",VLOOKUP(S198,'G-1 All Habitats'!$Z$2:$AA$9,2,FALSE)),"")</f>
        <v/>
      </c>
      <c r="U198" s="145"/>
      <c r="V198" s="507" t="str">
        <f>IF(U198="","",IF(VLOOKUP(U198,'G-3 Multipliers'!$L$3:$N$6,2,FALSE)=0,"Spatial Data Missing ⚠",VLOOKUP(U198,'G-3 Multipliers'!$L$3:$N$6,2,FALSE)))</f>
        <v/>
      </c>
      <c r="W198" s="505" t="str">
        <f>IF(U198="","",IF(VLOOKUP(U198,'G-3 Multipliers'!$L$3:$N$6,3,FALSE)=0,"Spatial Data Missing ⚠",VLOOKUP(U198,'G-3 Multipliers'!$L$3:$N$6,3,FALSE)))</f>
        <v/>
      </c>
      <c r="X198" s="498"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7" t="str">
        <f t="shared" si="19"/>
        <v/>
      </c>
      <c r="AB198" s="521" t="str">
        <f t="shared" si="20"/>
        <v/>
      </c>
      <c r="AC198" s="522" t="str">
        <f t="shared" si="17"/>
        <v/>
      </c>
      <c r="AD198" s="537" t="str">
        <f>IF(M198="","",VLOOKUP(M198,'G-6 Hedgerow Data'!$B$3:$AG$15,31,FALSE))</f>
        <v/>
      </c>
      <c r="AE198" s="520" t="str">
        <f t="shared" si="21"/>
        <v/>
      </c>
      <c r="AF198" s="520" t="str">
        <f t="shared" si="22"/>
        <v/>
      </c>
      <c r="AG198" s="524" t="str">
        <f>IFERROR(IF(O198="","",VLOOKUP(AD198,'G-3 Multipliers'!$P$3:$Q$6,2,FALSE)),"")</f>
        <v/>
      </c>
      <c r="AH198" s="197"/>
      <c r="AI198" s="499" t="str">
        <f>IF(AH198="","",IF(VLOOKUP(AH198,'G-3 Multipliers'!$S$3:$T$6,2,FALSE)=0,"Spatial Data Missing ⚠",VLOOKUP(AH198,'G-3 Multipliers'!$S$3:$T$6,2,FALSE)))</f>
        <v/>
      </c>
      <c r="AJ198" s="545" t="str">
        <f t="shared" si="23"/>
        <v/>
      </c>
      <c r="AK198" s="149"/>
      <c r="AL198" s="150"/>
      <c r="AP198" s="31" t="str">
        <f>IFERROR(INDEX('G-6 Hedgerow Data'!$BJ$3:$BJ$15,MATCH(M198,'G-6 Hedgerow Data'!$B$3:$B$15,0)),"")</f>
        <v/>
      </c>
    </row>
    <row r="199" spans="2:42" ht="13.8" x14ac:dyDescent="0.25">
      <c r="B199" s="531" t="str">
        <f>'E-1 Off Site Hedge Baseline'!AK197</f>
        <v/>
      </c>
      <c r="C199" s="520" t="str">
        <f>IF(B199="","",IF(ISNA(VLOOKUP($B199,'E-1 Off Site Hedge Baseline'!$B$1:$L$257,3,FALSE)),"",(VLOOKUP($B199,'E-1 Off Site Hedge Baseline'!$B$1:$L$257,3,FALSE))))</f>
        <v/>
      </c>
      <c r="D199" s="520" t="str">
        <f>IF(B199="","",IF(ISNA(VLOOKUP($B199,'E-1 Off Site Hedge Baseline'!$B$1:$L$258,4,FALSE)),"",(VLOOKUP($B199,'E-1 Off Site Hedge Baseline'!$B$1:$L$258,4,FALSE))))</f>
        <v/>
      </c>
      <c r="E199" s="520" t="str">
        <f>IF(B199="","",IF(ISNA(VLOOKUP($B199,'E-1 Off Site Hedge Baseline'!$B$1:$L$257,5,FALSE)),"",(VLOOKUP($B199,'E-1 Off Site Hedge Baseline'!$B$1:$L$257,5,FALSE))))</f>
        <v/>
      </c>
      <c r="F199" s="520" t="str">
        <f>IF(B199="","",IF(ISNA(VLOOKUP($B199,'E-1 Off Site Hedge Baseline'!$B$1:$L$257,6,FALSE)),"",(VLOOKUP($B199,'E-1 Off Site Hedge Baseline'!$B$1:$L$257,6,FALSE))))</f>
        <v/>
      </c>
      <c r="G199" s="520" t="str">
        <f>IF(B199="","",IF(ISNA(VLOOKUP($B199,'E-1 Off Site Hedge Baseline'!$B$1:$L$257,7,FALSE)),"",(VLOOKUP($B199,'E-1 Off Site Hedge Baseline'!$B$1:$L$257,7,FALSE))))</f>
        <v/>
      </c>
      <c r="H199" s="520" t="str">
        <f>IF(B199="","",IF(ISNA(VLOOKUP($B199,'E-1 Off Site Hedge Baseline'!$B$1:$L$257,8,FALSE)),"",(VLOOKUP($B199,'E-1 Off Site Hedge Baseline'!$B$1:$L$257,8,FALSE))))</f>
        <v/>
      </c>
      <c r="I199" s="520" t="str">
        <f>IF(B199="","",IF(ISNA(VLOOKUP($B199,'E-1 Off Site Hedge Baseline'!$B$1:$L$257,10,FALSE)),"",(VLOOKUP($B199,'E-1 Off Site Hedge Baseline'!$B$1:$L$257,10,FALSE))))</f>
        <v/>
      </c>
      <c r="J199" s="520" t="str">
        <f>IF(B199="","",IF(ISNA(VLOOKUP($B199,'E-1 Off Site Hedge Baseline'!$B$1:$L$257,11,FALSE)),"",(VLOOKUP($B199,'E-1 Off Site Hedge Baseline'!$B$1:$L$257,11,FALSE))))</f>
        <v/>
      </c>
      <c r="K199" s="520" t="str">
        <f>IF(B199="","",IF(ISNA(VLOOKUP($B199,'E-1 Off Site Hedge Baseline'!$B$1:$U$257,113,FALSE)),"",(VLOOKUP($B199,'E-1 Off Site Hedge Baseline'!$B$1:$U$257,13,FALSE))))</f>
        <v/>
      </c>
      <c r="L199" s="507" t="str">
        <f>IF(B199="","",IF(ISNA(VLOOKUP($B199,'E-1 Off Site Hedge Baseline'!$B$1:$U$257,12,FALSE)),"",(VLOOKUP($B199,'E-1 Off Site Hedge Baseline'!$B$1:$U$257,12,FALSE))))</f>
        <v/>
      </c>
      <c r="M199" s="418" t="str">
        <f t="shared" si="24"/>
        <v/>
      </c>
      <c r="N199" s="498" t="str">
        <f>IFERROR(IF(B199="","",INDEX('G-6 Hedgerow Data'!$AN$3:$AZ$15,MATCH(C199,'G-6 Hedgerow Data'!$AM$3:$AM$15,0),MATCH(M199,'G-6 Hedgerow Data'!$AN$2:$AZ$2,0))),"")</f>
        <v/>
      </c>
      <c r="O199" s="499" t="str">
        <f t="shared" si="18"/>
        <v/>
      </c>
      <c r="P199" s="505" t="str">
        <f>IF(B199="","",VLOOKUP(B199,'E-1 Off Site Hedge Baseline'!$B$10:T444,16,FALSE))</f>
        <v/>
      </c>
      <c r="Q199" s="498" t="str">
        <f>IF(M199="","",VLOOKUP(M199,'G-6 Hedgerow Data'!$B$2:$AG$15,2,FALSE))</f>
        <v/>
      </c>
      <c r="R199" s="499" t="str">
        <f>IF(M199="","",VLOOKUP(M199,'G-6 Hedgerow Data'!$B$2:$AG$15,3,FALSE))</f>
        <v/>
      </c>
      <c r="S199" s="145"/>
      <c r="T199" s="499" t="str">
        <f>IFERROR(IF(AND(Q199="V.Low",OR(S199="Good",S199="Moderate")),"Error ▲",VLOOKUP(S199,'G-1 All Habitats'!$Z$2:$AA$9,2,FALSE)),"")</f>
        <v/>
      </c>
      <c r="U199" s="145"/>
      <c r="V199" s="507" t="str">
        <f>IF(U199="","",IF(VLOOKUP(U199,'G-3 Multipliers'!$L$3:$N$6,2,FALSE)=0,"Spatial Data Missing ⚠",VLOOKUP(U199,'G-3 Multipliers'!$L$3:$N$6,2,FALSE)))</f>
        <v/>
      </c>
      <c r="W199" s="505" t="str">
        <f>IF(U199="","",IF(VLOOKUP(U199,'G-3 Multipliers'!$L$3:$N$6,3,FALSE)=0,"Spatial Data Missing ⚠",VLOOKUP(U199,'G-3 Multipliers'!$L$3:$N$6,3,FALSE)))</f>
        <v/>
      </c>
      <c r="X199" s="498"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7" t="str">
        <f t="shared" si="19"/>
        <v/>
      </c>
      <c r="AB199" s="521" t="str">
        <f t="shared" si="20"/>
        <v/>
      </c>
      <c r="AC199" s="522" t="str">
        <f t="shared" si="17"/>
        <v/>
      </c>
      <c r="AD199" s="537" t="str">
        <f>IF(M199="","",VLOOKUP(M199,'G-6 Hedgerow Data'!$B$3:$AG$15,31,FALSE))</f>
        <v/>
      </c>
      <c r="AE199" s="520" t="str">
        <f t="shared" si="21"/>
        <v/>
      </c>
      <c r="AF199" s="520" t="str">
        <f t="shared" si="22"/>
        <v/>
      </c>
      <c r="AG199" s="524" t="str">
        <f>IFERROR(IF(O199="","",VLOOKUP(AD199,'G-3 Multipliers'!$P$3:$Q$6,2,FALSE)),"")</f>
        <v/>
      </c>
      <c r="AH199" s="197"/>
      <c r="AI199" s="499" t="str">
        <f>IF(AH199="","",IF(VLOOKUP(AH199,'G-3 Multipliers'!$S$3:$T$6,2,FALSE)=0,"Spatial Data Missing ⚠",VLOOKUP(AH199,'G-3 Multipliers'!$S$3:$T$6,2,FALSE)))</f>
        <v/>
      </c>
      <c r="AJ199" s="545" t="str">
        <f t="shared" si="23"/>
        <v/>
      </c>
      <c r="AK199" s="149"/>
      <c r="AL199" s="150"/>
      <c r="AP199" s="31" t="str">
        <f>IFERROR(INDEX('G-6 Hedgerow Data'!$BJ$3:$BJ$15,MATCH(M199,'G-6 Hedgerow Data'!$B$3:$B$15,0)),"")</f>
        <v/>
      </c>
    </row>
    <row r="200" spans="2:42" ht="13.8" x14ac:dyDescent="0.25">
      <c r="B200" s="531" t="str">
        <f>'E-1 Off Site Hedge Baseline'!AK198</f>
        <v/>
      </c>
      <c r="C200" s="520" t="str">
        <f>IF(B200="","",IF(ISNA(VLOOKUP($B200,'E-1 Off Site Hedge Baseline'!$B$1:$L$257,3,FALSE)),"",(VLOOKUP($B200,'E-1 Off Site Hedge Baseline'!$B$1:$L$257,3,FALSE))))</f>
        <v/>
      </c>
      <c r="D200" s="520" t="str">
        <f>IF(B200="","",IF(ISNA(VLOOKUP($B200,'E-1 Off Site Hedge Baseline'!$B$1:$L$258,4,FALSE)),"",(VLOOKUP($B200,'E-1 Off Site Hedge Baseline'!$B$1:$L$258,4,FALSE))))</f>
        <v/>
      </c>
      <c r="E200" s="520" t="str">
        <f>IF(B200="","",IF(ISNA(VLOOKUP($B200,'E-1 Off Site Hedge Baseline'!$B$1:$L$257,5,FALSE)),"",(VLOOKUP($B200,'E-1 Off Site Hedge Baseline'!$B$1:$L$257,5,FALSE))))</f>
        <v/>
      </c>
      <c r="F200" s="520" t="str">
        <f>IF(B200="","",IF(ISNA(VLOOKUP($B200,'E-1 Off Site Hedge Baseline'!$B$1:$L$257,6,FALSE)),"",(VLOOKUP($B200,'E-1 Off Site Hedge Baseline'!$B$1:$L$257,6,FALSE))))</f>
        <v/>
      </c>
      <c r="G200" s="520" t="str">
        <f>IF(B200="","",IF(ISNA(VLOOKUP($B200,'E-1 Off Site Hedge Baseline'!$B$1:$L$257,7,FALSE)),"",(VLOOKUP($B200,'E-1 Off Site Hedge Baseline'!$B$1:$L$257,7,FALSE))))</f>
        <v/>
      </c>
      <c r="H200" s="520" t="str">
        <f>IF(B200="","",IF(ISNA(VLOOKUP($B200,'E-1 Off Site Hedge Baseline'!$B$1:$L$257,8,FALSE)),"",(VLOOKUP($B200,'E-1 Off Site Hedge Baseline'!$B$1:$L$257,8,FALSE))))</f>
        <v/>
      </c>
      <c r="I200" s="520" t="str">
        <f>IF(B200="","",IF(ISNA(VLOOKUP($B200,'E-1 Off Site Hedge Baseline'!$B$1:$L$257,10,FALSE)),"",(VLOOKUP($B200,'E-1 Off Site Hedge Baseline'!$B$1:$L$257,10,FALSE))))</f>
        <v/>
      </c>
      <c r="J200" s="520" t="str">
        <f>IF(B200="","",IF(ISNA(VLOOKUP($B200,'E-1 Off Site Hedge Baseline'!$B$1:$L$257,11,FALSE)),"",(VLOOKUP($B200,'E-1 Off Site Hedge Baseline'!$B$1:$L$257,11,FALSE))))</f>
        <v/>
      </c>
      <c r="K200" s="520" t="str">
        <f>IF(B200="","",IF(ISNA(VLOOKUP($B200,'E-1 Off Site Hedge Baseline'!$B$1:$U$257,113,FALSE)),"",(VLOOKUP($B200,'E-1 Off Site Hedge Baseline'!$B$1:$U$257,13,FALSE))))</f>
        <v/>
      </c>
      <c r="L200" s="507" t="str">
        <f>IF(B200="","",IF(ISNA(VLOOKUP($B200,'E-1 Off Site Hedge Baseline'!$B$1:$U$257,12,FALSE)),"",(VLOOKUP($B200,'E-1 Off Site Hedge Baseline'!$B$1:$U$257,12,FALSE))))</f>
        <v/>
      </c>
      <c r="M200" s="418" t="str">
        <f t="shared" si="24"/>
        <v/>
      </c>
      <c r="N200" s="498" t="str">
        <f>IFERROR(IF(B200="","",INDEX('G-6 Hedgerow Data'!$AN$3:$AZ$15,MATCH(C200,'G-6 Hedgerow Data'!$AM$3:$AM$15,0),MATCH(M200,'G-6 Hedgerow Data'!$AN$2:$AZ$2,0))),"")</f>
        <v/>
      </c>
      <c r="O200" s="499" t="str">
        <f t="shared" si="18"/>
        <v/>
      </c>
      <c r="P200" s="505" t="str">
        <f>IF(B200="","",VLOOKUP(B200,'E-1 Off Site Hedge Baseline'!$B$10:T445,16,FALSE))</f>
        <v/>
      </c>
      <c r="Q200" s="498" t="str">
        <f>IF(M200="","",VLOOKUP(M200,'G-6 Hedgerow Data'!$B$2:$AG$15,2,FALSE))</f>
        <v/>
      </c>
      <c r="R200" s="499" t="str">
        <f>IF(M200="","",VLOOKUP(M200,'G-6 Hedgerow Data'!$B$2:$AG$15,3,FALSE))</f>
        <v/>
      </c>
      <c r="S200" s="145"/>
      <c r="T200" s="499" t="str">
        <f>IFERROR(IF(AND(Q200="V.Low",OR(S200="Good",S200="Moderate")),"Error ▲",VLOOKUP(S200,'G-1 All Habitats'!$Z$2:$AA$9,2,FALSE)),"")</f>
        <v/>
      </c>
      <c r="U200" s="145"/>
      <c r="V200" s="507" t="str">
        <f>IF(U200="","",IF(VLOOKUP(U200,'G-3 Multipliers'!$L$3:$N$6,2,FALSE)=0,"Spatial Data Missing ⚠",VLOOKUP(U200,'G-3 Multipliers'!$L$3:$N$6,2,FALSE)))</f>
        <v/>
      </c>
      <c r="W200" s="505" t="str">
        <f>IF(U200="","",IF(VLOOKUP(U200,'G-3 Multipliers'!$L$3:$N$6,3,FALSE)=0,"Spatial Data Missing ⚠",VLOOKUP(U200,'G-3 Multipliers'!$L$3:$N$6,3,FALSE)))</f>
        <v/>
      </c>
      <c r="X200" s="498"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7" t="str">
        <f t="shared" si="19"/>
        <v/>
      </c>
      <c r="AB200" s="521" t="str">
        <f t="shared" si="20"/>
        <v/>
      </c>
      <c r="AC200" s="522" t="str">
        <f t="shared" si="17"/>
        <v/>
      </c>
      <c r="AD200" s="537" t="str">
        <f>IF(M200="","",VLOOKUP(M200,'G-6 Hedgerow Data'!$B$3:$AG$15,31,FALSE))</f>
        <v/>
      </c>
      <c r="AE200" s="520" t="str">
        <f t="shared" si="21"/>
        <v/>
      </c>
      <c r="AF200" s="520" t="str">
        <f t="shared" si="22"/>
        <v/>
      </c>
      <c r="AG200" s="524" t="str">
        <f>IFERROR(IF(O200="","",VLOOKUP(AD200,'G-3 Multipliers'!$P$3:$Q$6,2,FALSE)),"")</f>
        <v/>
      </c>
      <c r="AH200" s="197"/>
      <c r="AI200" s="499" t="str">
        <f>IF(AH200="","",IF(VLOOKUP(AH200,'G-3 Multipliers'!$S$3:$T$6,2,FALSE)=0,"Spatial Data Missing ⚠",VLOOKUP(AH200,'G-3 Multipliers'!$S$3:$T$6,2,FALSE)))</f>
        <v/>
      </c>
      <c r="AJ200" s="545" t="str">
        <f t="shared" si="23"/>
        <v/>
      </c>
      <c r="AK200" s="149"/>
      <c r="AL200" s="150"/>
      <c r="AP200" s="31" t="str">
        <f>IFERROR(INDEX('G-6 Hedgerow Data'!$BJ$3:$BJ$15,MATCH(M200,'G-6 Hedgerow Data'!$B$3:$B$15,0)),"")</f>
        <v/>
      </c>
    </row>
    <row r="201" spans="2:42" ht="13.8" x14ac:dyDescent="0.25">
      <c r="B201" s="531" t="str">
        <f>'E-1 Off Site Hedge Baseline'!AK199</f>
        <v/>
      </c>
      <c r="C201" s="520" t="str">
        <f>IF(B201="","",IF(ISNA(VLOOKUP($B201,'E-1 Off Site Hedge Baseline'!$B$1:$L$257,3,FALSE)),"",(VLOOKUP($B201,'E-1 Off Site Hedge Baseline'!$B$1:$L$257,3,FALSE))))</f>
        <v/>
      </c>
      <c r="D201" s="520" t="str">
        <f>IF(B201="","",IF(ISNA(VLOOKUP($B201,'E-1 Off Site Hedge Baseline'!$B$1:$L$258,4,FALSE)),"",(VLOOKUP($B201,'E-1 Off Site Hedge Baseline'!$B$1:$L$258,4,FALSE))))</f>
        <v/>
      </c>
      <c r="E201" s="520" t="str">
        <f>IF(B201="","",IF(ISNA(VLOOKUP($B201,'E-1 Off Site Hedge Baseline'!$B$1:$L$257,5,FALSE)),"",(VLOOKUP($B201,'E-1 Off Site Hedge Baseline'!$B$1:$L$257,5,FALSE))))</f>
        <v/>
      </c>
      <c r="F201" s="520" t="str">
        <f>IF(B201="","",IF(ISNA(VLOOKUP($B201,'E-1 Off Site Hedge Baseline'!$B$1:$L$257,6,FALSE)),"",(VLOOKUP($B201,'E-1 Off Site Hedge Baseline'!$B$1:$L$257,6,FALSE))))</f>
        <v/>
      </c>
      <c r="G201" s="520" t="str">
        <f>IF(B201="","",IF(ISNA(VLOOKUP($B201,'E-1 Off Site Hedge Baseline'!$B$1:$L$257,7,FALSE)),"",(VLOOKUP($B201,'E-1 Off Site Hedge Baseline'!$B$1:$L$257,7,FALSE))))</f>
        <v/>
      </c>
      <c r="H201" s="520" t="str">
        <f>IF(B201="","",IF(ISNA(VLOOKUP($B201,'E-1 Off Site Hedge Baseline'!$B$1:$L$257,8,FALSE)),"",(VLOOKUP($B201,'E-1 Off Site Hedge Baseline'!$B$1:$L$257,8,FALSE))))</f>
        <v/>
      </c>
      <c r="I201" s="520" t="str">
        <f>IF(B201="","",IF(ISNA(VLOOKUP($B201,'E-1 Off Site Hedge Baseline'!$B$1:$L$257,10,FALSE)),"",(VLOOKUP($B201,'E-1 Off Site Hedge Baseline'!$B$1:$L$257,10,FALSE))))</f>
        <v/>
      </c>
      <c r="J201" s="520" t="str">
        <f>IF(B201="","",IF(ISNA(VLOOKUP($B201,'E-1 Off Site Hedge Baseline'!$B$1:$L$257,11,FALSE)),"",(VLOOKUP($B201,'E-1 Off Site Hedge Baseline'!$B$1:$L$257,11,FALSE))))</f>
        <v/>
      </c>
      <c r="K201" s="520" t="str">
        <f>IF(B201="","",IF(ISNA(VLOOKUP($B201,'E-1 Off Site Hedge Baseline'!$B$1:$U$257,113,FALSE)),"",(VLOOKUP($B201,'E-1 Off Site Hedge Baseline'!$B$1:$U$257,13,FALSE))))</f>
        <v/>
      </c>
      <c r="L201" s="507" t="str">
        <f>IF(B201="","",IF(ISNA(VLOOKUP($B201,'E-1 Off Site Hedge Baseline'!$B$1:$U$257,12,FALSE)),"",(VLOOKUP($B201,'E-1 Off Site Hedge Baseline'!$B$1:$U$257,12,FALSE))))</f>
        <v/>
      </c>
      <c r="M201" s="418" t="str">
        <f t="shared" si="24"/>
        <v/>
      </c>
      <c r="N201" s="498" t="str">
        <f>IFERROR(IF(B201="","",INDEX('G-6 Hedgerow Data'!$AN$3:$AZ$15,MATCH(C201,'G-6 Hedgerow Data'!$AM$3:$AM$15,0),MATCH(M201,'G-6 Hedgerow Data'!$AN$2:$AZ$2,0))),"")</f>
        <v/>
      </c>
      <c r="O201" s="499" t="str">
        <f t="shared" si="18"/>
        <v/>
      </c>
      <c r="P201" s="505" t="str">
        <f>IF(B201="","",VLOOKUP(B201,'E-1 Off Site Hedge Baseline'!$B$10:T446,16,FALSE))</f>
        <v/>
      </c>
      <c r="Q201" s="498" t="str">
        <f>IF(M201="","",VLOOKUP(M201,'G-6 Hedgerow Data'!$B$2:$AG$15,2,FALSE))</f>
        <v/>
      </c>
      <c r="R201" s="499" t="str">
        <f>IF(M201="","",VLOOKUP(M201,'G-6 Hedgerow Data'!$B$2:$AG$15,3,FALSE))</f>
        <v/>
      </c>
      <c r="S201" s="145"/>
      <c r="T201" s="499" t="str">
        <f>IFERROR(IF(AND(Q201="V.Low",OR(S201="Good",S201="Moderate")),"Error ▲",VLOOKUP(S201,'G-1 All Habitats'!$Z$2:$AA$9,2,FALSE)),"")</f>
        <v/>
      </c>
      <c r="U201" s="145"/>
      <c r="V201" s="507" t="str">
        <f>IF(U201="","",IF(VLOOKUP(U201,'G-3 Multipliers'!$L$3:$N$6,2,FALSE)=0,"Spatial Data Missing ⚠",VLOOKUP(U201,'G-3 Multipliers'!$L$3:$N$6,2,FALSE)))</f>
        <v/>
      </c>
      <c r="W201" s="505" t="str">
        <f>IF(U201="","",IF(VLOOKUP(U201,'G-3 Multipliers'!$L$3:$N$6,3,FALSE)=0,"Spatial Data Missing ⚠",VLOOKUP(U201,'G-3 Multipliers'!$L$3:$N$6,3,FALSE)))</f>
        <v/>
      </c>
      <c r="X201" s="498"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7" t="str">
        <f t="shared" si="19"/>
        <v/>
      </c>
      <c r="AB201" s="521" t="str">
        <f t="shared" si="20"/>
        <v/>
      </c>
      <c r="AC201" s="522" t="str">
        <f t="shared" si="17"/>
        <v/>
      </c>
      <c r="AD201" s="537" t="str">
        <f>IF(M201="","",VLOOKUP(M201,'G-6 Hedgerow Data'!$B$3:$AG$15,31,FALSE))</f>
        <v/>
      </c>
      <c r="AE201" s="520" t="str">
        <f t="shared" si="21"/>
        <v/>
      </c>
      <c r="AF201" s="520" t="str">
        <f t="shared" si="22"/>
        <v/>
      </c>
      <c r="AG201" s="524" t="str">
        <f>IFERROR(IF(O201="","",VLOOKUP(AD201,'G-3 Multipliers'!$P$3:$Q$6,2,FALSE)),"")</f>
        <v/>
      </c>
      <c r="AH201" s="197"/>
      <c r="AI201" s="499" t="str">
        <f>IF(AH201="","",IF(VLOOKUP(AH201,'G-3 Multipliers'!$S$3:$T$6,2,FALSE)=0,"Spatial Data Missing ⚠",VLOOKUP(AH201,'G-3 Multipliers'!$S$3:$T$6,2,FALSE)))</f>
        <v/>
      </c>
      <c r="AJ201" s="545" t="str">
        <f t="shared" si="23"/>
        <v/>
      </c>
      <c r="AK201" s="149"/>
      <c r="AL201" s="150"/>
      <c r="AP201" s="31" t="str">
        <f>IFERROR(INDEX('G-6 Hedgerow Data'!$BJ$3:$BJ$15,MATCH(M201,'G-6 Hedgerow Data'!$B$3:$B$15,0)),"")</f>
        <v/>
      </c>
    </row>
    <row r="202" spans="2:42" ht="13.8" x14ac:dyDescent="0.25">
      <c r="B202" s="531" t="str">
        <f>'E-1 Off Site Hedge Baseline'!AK200</f>
        <v/>
      </c>
      <c r="C202" s="520" t="str">
        <f>IF(B202="","",IF(ISNA(VLOOKUP($B202,'E-1 Off Site Hedge Baseline'!$B$1:$L$257,3,FALSE)),"",(VLOOKUP($B202,'E-1 Off Site Hedge Baseline'!$B$1:$L$257,3,FALSE))))</f>
        <v/>
      </c>
      <c r="D202" s="520" t="str">
        <f>IF(B202="","",IF(ISNA(VLOOKUP($B202,'E-1 Off Site Hedge Baseline'!$B$1:$L$258,4,FALSE)),"",(VLOOKUP($B202,'E-1 Off Site Hedge Baseline'!$B$1:$L$258,4,FALSE))))</f>
        <v/>
      </c>
      <c r="E202" s="520" t="str">
        <f>IF(B202="","",IF(ISNA(VLOOKUP($B202,'E-1 Off Site Hedge Baseline'!$B$1:$L$257,5,FALSE)),"",(VLOOKUP($B202,'E-1 Off Site Hedge Baseline'!$B$1:$L$257,5,FALSE))))</f>
        <v/>
      </c>
      <c r="F202" s="520" t="str">
        <f>IF(B202="","",IF(ISNA(VLOOKUP($B202,'E-1 Off Site Hedge Baseline'!$B$1:$L$257,6,FALSE)),"",(VLOOKUP($B202,'E-1 Off Site Hedge Baseline'!$B$1:$L$257,6,FALSE))))</f>
        <v/>
      </c>
      <c r="G202" s="520" t="str">
        <f>IF(B202="","",IF(ISNA(VLOOKUP($B202,'E-1 Off Site Hedge Baseline'!$B$1:$L$257,7,FALSE)),"",(VLOOKUP($B202,'E-1 Off Site Hedge Baseline'!$B$1:$L$257,7,FALSE))))</f>
        <v/>
      </c>
      <c r="H202" s="520" t="str">
        <f>IF(B202="","",IF(ISNA(VLOOKUP($B202,'E-1 Off Site Hedge Baseline'!$B$1:$L$257,8,FALSE)),"",(VLOOKUP($B202,'E-1 Off Site Hedge Baseline'!$B$1:$L$257,8,FALSE))))</f>
        <v/>
      </c>
      <c r="I202" s="520" t="str">
        <f>IF(B202="","",IF(ISNA(VLOOKUP($B202,'E-1 Off Site Hedge Baseline'!$B$1:$L$257,10,FALSE)),"",(VLOOKUP($B202,'E-1 Off Site Hedge Baseline'!$B$1:$L$257,10,FALSE))))</f>
        <v/>
      </c>
      <c r="J202" s="520" t="str">
        <f>IF(B202="","",IF(ISNA(VLOOKUP($B202,'E-1 Off Site Hedge Baseline'!$B$1:$L$257,11,FALSE)),"",(VLOOKUP($B202,'E-1 Off Site Hedge Baseline'!$B$1:$L$257,11,FALSE))))</f>
        <v/>
      </c>
      <c r="K202" s="520" t="str">
        <f>IF(B202="","",IF(ISNA(VLOOKUP($B202,'E-1 Off Site Hedge Baseline'!$B$1:$U$257,113,FALSE)),"",(VLOOKUP($B202,'E-1 Off Site Hedge Baseline'!$B$1:$U$257,13,FALSE))))</f>
        <v/>
      </c>
      <c r="L202" s="507" t="str">
        <f>IF(B202="","",IF(ISNA(VLOOKUP($B202,'E-1 Off Site Hedge Baseline'!$B$1:$U$257,12,FALSE)),"",(VLOOKUP($B202,'E-1 Off Site Hedge Baseline'!$B$1:$U$257,12,FALSE))))</f>
        <v/>
      </c>
      <c r="M202" s="418" t="str">
        <f t="shared" si="24"/>
        <v/>
      </c>
      <c r="N202" s="498" t="str">
        <f>IFERROR(IF(B202="","",INDEX('G-6 Hedgerow Data'!$AN$3:$AZ$15,MATCH(C202,'G-6 Hedgerow Data'!$AM$3:$AM$15,0),MATCH(M202,'G-6 Hedgerow Data'!$AN$2:$AZ$2,0))),"")</f>
        <v/>
      </c>
      <c r="O202" s="499" t="str">
        <f t="shared" si="18"/>
        <v/>
      </c>
      <c r="P202" s="505" t="str">
        <f>IF(B202="","",VLOOKUP(B202,'E-1 Off Site Hedge Baseline'!$B$10:T447,16,FALSE))</f>
        <v/>
      </c>
      <c r="Q202" s="498" t="str">
        <f>IF(M202="","",VLOOKUP(M202,'G-6 Hedgerow Data'!$B$2:$AG$15,2,FALSE))</f>
        <v/>
      </c>
      <c r="R202" s="499" t="str">
        <f>IF(M202="","",VLOOKUP(M202,'G-6 Hedgerow Data'!$B$2:$AG$15,3,FALSE))</f>
        <v/>
      </c>
      <c r="S202" s="145"/>
      <c r="T202" s="499" t="str">
        <f>IFERROR(IF(AND(Q202="V.Low",OR(S202="Good",S202="Moderate")),"Error ▲",VLOOKUP(S202,'G-1 All Habitats'!$Z$2:$AA$9,2,FALSE)),"")</f>
        <v/>
      </c>
      <c r="U202" s="145"/>
      <c r="V202" s="507" t="str">
        <f>IF(U202="","",IF(VLOOKUP(U202,'G-3 Multipliers'!$L$3:$N$6,2,FALSE)=0,"Spatial Data Missing ⚠",VLOOKUP(U202,'G-3 Multipliers'!$L$3:$N$6,2,FALSE)))</f>
        <v/>
      </c>
      <c r="W202" s="505" t="str">
        <f>IF(U202="","",IF(VLOOKUP(U202,'G-3 Multipliers'!$L$3:$N$6,3,FALSE)=0,"Spatial Data Missing ⚠",VLOOKUP(U202,'G-3 Multipliers'!$L$3:$N$6,3,FALSE)))</f>
        <v/>
      </c>
      <c r="X202" s="498"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7" t="str">
        <f t="shared" si="19"/>
        <v/>
      </c>
      <c r="AB202" s="521" t="str">
        <f t="shared" si="20"/>
        <v/>
      </c>
      <c r="AC202" s="522" t="str">
        <f t="shared" si="17"/>
        <v/>
      </c>
      <c r="AD202" s="537" t="str">
        <f>IF(M202="","",VLOOKUP(M202,'G-6 Hedgerow Data'!$B$3:$AG$15,31,FALSE))</f>
        <v/>
      </c>
      <c r="AE202" s="520" t="str">
        <f t="shared" si="21"/>
        <v/>
      </c>
      <c r="AF202" s="520" t="str">
        <f t="shared" si="22"/>
        <v/>
      </c>
      <c r="AG202" s="524" t="str">
        <f>IFERROR(IF(O202="","",VLOOKUP(AD202,'G-3 Multipliers'!$P$3:$Q$6,2,FALSE)),"")</f>
        <v/>
      </c>
      <c r="AH202" s="197"/>
      <c r="AI202" s="499" t="str">
        <f>IF(AH202="","",IF(VLOOKUP(AH202,'G-3 Multipliers'!$S$3:$T$6,2,FALSE)=0,"Spatial Data Missing ⚠",VLOOKUP(AH202,'G-3 Multipliers'!$S$3:$T$6,2,FALSE)))</f>
        <v/>
      </c>
      <c r="AJ202" s="545" t="str">
        <f t="shared" si="23"/>
        <v/>
      </c>
      <c r="AK202" s="149"/>
      <c r="AL202" s="150"/>
      <c r="AP202" s="31" t="str">
        <f>IFERROR(INDEX('G-6 Hedgerow Data'!$BJ$3:$BJ$15,MATCH(M202,'G-6 Hedgerow Data'!$B$3:$B$15,0)),"")</f>
        <v/>
      </c>
    </row>
    <row r="203" spans="2:42" ht="13.8" x14ac:dyDescent="0.25">
      <c r="B203" s="531" t="str">
        <f>'E-1 Off Site Hedge Baseline'!AK201</f>
        <v/>
      </c>
      <c r="C203" s="520" t="str">
        <f>IF(B203="","",IF(ISNA(VLOOKUP($B203,'E-1 Off Site Hedge Baseline'!$B$1:$L$257,3,FALSE)),"",(VLOOKUP($B203,'E-1 Off Site Hedge Baseline'!$B$1:$L$257,3,FALSE))))</f>
        <v/>
      </c>
      <c r="D203" s="520" t="str">
        <f>IF(B203="","",IF(ISNA(VLOOKUP($B203,'E-1 Off Site Hedge Baseline'!$B$1:$L$258,4,FALSE)),"",(VLOOKUP($B203,'E-1 Off Site Hedge Baseline'!$B$1:$L$258,4,FALSE))))</f>
        <v/>
      </c>
      <c r="E203" s="520" t="str">
        <f>IF(B203="","",IF(ISNA(VLOOKUP($B203,'E-1 Off Site Hedge Baseline'!$B$1:$L$257,5,FALSE)),"",(VLOOKUP($B203,'E-1 Off Site Hedge Baseline'!$B$1:$L$257,5,FALSE))))</f>
        <v/>
      </c>
      <c r="F203" s="520" t="str">
        <f>IF(B203="","",IF(ISNA(VLOOKUP($B203,'E-1 Off Site Hedge Baseline'!$B$1:$L$257,6,FALSE)),"",(VLOOKUP($B203,'E-1 Off Site Hedge Baseline'!$B$1:$L$257,6,FALSE))))</f>
        <v/>
      </c>
      <c r="G203" s="520" t="str">
        <f>IF(B203="","",IF(ISNA(VLOOKUP($B203,'E-1 Off Site Hedge Baseline'!$B$1:$L$257,7,FALSE)),"",(VLOOKUP($B203,'E-1 Off Site Hedge Baseline'!$B$1:$L$257,7,FALSE))))</f>
        <v/>
      </c>
      <c r="H203" s="520" t="str">
        <f>IF(B203="","",IF(ISNA(VLOOKUP($B203,'E-1 Off Site Hedge Baseline'!$B$1:$L$257,8,FALSE)),"",(VLOOKUP($B203,'E-1 Off Site Hedge Baseline'!$B$1:$L$257,8,FALSE))))</f>
        <v/>
      </c>
      <c r="I203" s="520" t="str">
        <f>IF(B203="","",IF(ISNA(VLOOKUP($B203,'E-1 Off Site Hedge Baseline'!$B$1:$L$257,10,FALSE)),"",(VLOOKUP($B203,'E-1 Off Site Hedge Baseline'!$B$1:$L$257,10,FALSE))))</f>
        <v/>
      </c>
      <c r="J203" s="520" t="str">
        <f>IF(B203="","",IF(ISNA(VLOOKUP($B203,'E-1 Off Site Hedge Baseline'!$B$1:$L$257,11,FALSE)),"",(VLOOKUP($B203,'E-1 Off Site Hedge Baseline'!$B$1:$L$257,11,FALSE))))</f>
        <v/>
      </c>
      <c r="K203" s="520" t="str">
        <f>IF(B203="","",IF(ISNA(VLOOKUP($B203,'E-1 Off Site Hedge Baseline'!$B$1:$U$257,113,FALSE)),"",(VLOOKUP($B203,'E-1 Off Site Hedge Baseline'!$B$1:$U$257,13,FALSE))))</f>
        <v/>
      </c>
      <c r="L203" s="507" t="str">
        <f>IF(B203="","",IF(ISNA(VLOOKUP($B203,'E-1 Off Site Hedge Baseline'!$B$1:$U$257,12,FALSE)),"",(VLOOKUP($B203,'E-1 Off Site Hedge Baseline'!$B$1:$U$257,12,FALSE))))</f>
        <v/>
      </c>
      <c r="M203" s="418" t="str">
        <f t="shared" si="24"/>
        <v/>
      </c>
      <c r="N203" s="498" t="str">
        <f>IFERROR(IF(B203="","",INDEX('G-6 Hedgerow Data'!$AN$3:$AZ$15,MATCH(C203,'G-6 Hedgerow Data'!$AM$3:$AM$15,0),MATCH(M203,'G-6 Hedgerow Data'!$AN$2:$AZ$2,0))),"")</f>
        <v/>
      </c>
      <c r="O203" s="499" t="str">
        <f t="shared" si="18"/>
        <v/>
      </c>
      <c r="P203" s="505" t="str">
        <f>IF(B203="","",VLOOKUP(B203,'E-1 Off Site Hedge Baseline'!$B$10:T448,16,FALSE))</f>
        <v/>
      </c>
      <c r="Q203" s="498" t="str">
        <f>IF(M203="","",VLOOKUP(M203,'G-6 Hedgerow Data'!$B$2:$AG$15,2,FALSE))</f>
        <v/>
      </c>
      <c r="R203" s="499" t="str">
        <f>IF(M203="","",VLOOKUP(M203,'G-6 Hedgerow Data'!$B$2:$AG$15,3,FALSE))</f>
        <v/>
      </c>
      <c r="S203" s="145"/>
      <c r="T203" s="499" t="str">
        <f>IFERROR(IF(AND(Q203="V.Low",OR(S203="Good",S203="Moderate")),"Error ▲",VLOOKUP(S203,'G-1 All Habitats'!$Z$2:$AA$9,2,FALSE)),"")</f>
        <v/>
      </c>
      <c r="U203" s="145"/>
      <c r="V203" s="507" t="str">
        <f>IF(U203="","",IF(VLOOKUP(U203,'G-3 Multipliers'!$L$3:$N$6,2,FALSE)=0,"Spatial Data Missing ⚠",VLOOKUP(U203,'G-3 Multipliers'!$L$3:$N$6,2,FALSE)))</f>
        <v/>
      </c>
      <c r="W203" s="505" t="str">
        <f>IF(U203="","",IF(VLOOKUP(U203,'G-3 Multipliers'!$L$3:$N$6,3,FALSE)=0,"Spatial Data Missing ⚠",VLOOKUP(U203,'G-3 Multipliers'!$L$3:$N$6,3,FALSE)))</f>
        <v/>
      </c>
      <c r="X203" s="498"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7" t="str">
        <f t="shared" si="19"/>
        <v/>
      </c>
      <c r="AB203" s="521" t="str">
        <f t="shared" si="20"/>
        <v/>
      </c>
      <c r="AC203" s="522" t="str">
        <f t="shared" si="17"/>
        <v/>
      </c>
      <c r="AD203" s="537" t="str">
        <f>IF(M203="","",VLOOKUP(M203,'G-6 Hedgerow Data'!$B$3:$AG$15,31,FALSE))</f>
        <v/>
      </c>
      <c r="AE203" s="520" t="str">
        <f t="shared" si="21"/>
        <v/>
      </c>
      <c r="AF203" s="520" t="str">
        <f t="shared" si="22"/>
        <v/>
      </c>
      <c r="AG203" s="524" t="str">
        <f>IFERROR(IF(O203="","",VLOOKUP(AD203,'G-3 Multipliers'!$P$3:$Q$6,2,FALSE)),"")</f>
        <v/>
      </c>
      <c r="AH203" s="197"/>
      <c r="AI203" s="499" t="str">
        <f>IF(AH203="","",IF(VLOOKUP(AH203,'G-3 Multipliers'!$S$3:$T$6,2,FALSE)=0,"Spatial Data Missing ⚠",VLOOKUP(AH203,'G-3 Multipliers'!$S$3:$T$6,2,FALSE)))</f>
        <v/>
      </c>
      <c r="AJ203" s="545" t="str">
        <f t="shared" si="23"/>
        <v/>
      </c>
      <c r="AK203" s="149"/>
      <c r="AL203" s="150"/>
      <c r="AP203" s="31" t="str">
        <f>IFERROR(INDEX('G-6 Hedgerow Data'!$BJ$3:$BJ$15,MATCH(M203,'G-6 Hedgerow Data'!$B$3:$B$15,0)),"")</f>
        <v/>
      </c>
    </row>
    <row r="204" spans="2:42" ht="13.8" x14ac:dyDescent="0.25">
      <c r="B204" s="531" t="str">
        <f>'E-1 Off Site Hedge Baseline'!AK202</f>
        <v/>
      </c>
      <c r="C204" s="520" t="str">
        <f>IF(B204="","",IF(ISNA(VLOOKUP($B204,'E-1 Off Site Hedge Baseline'!$B$1:$L$257,3,FALSE)),"",(VLOOKUP($B204,'E-1 Off Site Hedge Baseline'!$B$1:$L$257,3,FALSE))))</f>
        <v/>
      </c>
      <c r="D204" s="520" t="str">
        <f>IF(B204="","",IF(ISNA(VLOOKUP($B204,'E-1 Off Site Hedge Baseline'!$B$1:$L$258,4,FALSE)),"",(VLOOKUP($B204,'E-1 Off Site Hedge Baseline'!$B$1:$L$258,4,FALSE))))</f>
        <v/>
      </c>
      <c r="E204" s="520" t="str">
        <f>IF(B204="","",IF(ISNA(VLOOKUP($B204,'E-1 Off Site Hedge Baseline'!$B$1:$L$257,5,FALSE)),"",(VLOOKUP($B204,'E-1 Off Site Hedge Baseline'!$B$1:$L$257,5,FALSE))))</f>
        <v/>
      </c>
      <c r="F204" s="520" t="str">
        <f>IF(B204="","",IF(ISNA(VLOOKUP($B204,'E-1 Off Site Hedge Baseline'!$B$1:$L$257,6,FALSE)),"",(VLOOKUP($B204,'E-1 Off Site Hedge Baseline'!$B$1:$L$257,6,FALSE))))</f>
        <v/>
      </c>
      <c r="G204" s="520" t="str">
        <f>IF(B204="","",IF(ISNA(VLOOKUP($B204,'E-1 Off Site Hedge Baseline'!$B$1:$L$257,7,FALSE)),"",(VLOOKUP($B204,'E-1 Off Site Hedge Baseline'!$B$1:$L$257,7,FALSE))))</f>
        <v/>
      </c>
      <c r="H204" s="520" t="str">
        <f>IF(B204="","",IF(ISNA(VLOOKUP($B204,'E-1 Off Site Hedge Baseline'!$B$1:$L$257,8,FALSE)),"",(VLOOKUP($B204,'E-1 Off Site Hedge Baseline'!$B$1:$L$257,8,FALSE))))</f>
        <v/>
      </c>
      <c r="I204" s="520" t="str">
        <f>IF(B204="","",IF(ISNA(VLOOKUP($B204,'E-1 Off Site Hedge Baseline'!$B$1:$L$257,10,FALSE)),"",(VLOOKUP($B204,'E-1 Off Site Hedge Baseline'!$B$1:$L$257,10,FALSE))))</f>
        <v/>
      </c>
      <c r="J204" s="520" t="str">
        <f>IF(B204="","",IF(ISNA(VLOOKUP($B204,'E-1 Off Site Hedge Baseline'!$B$1:$L$257,11,FALSE)),"",(VLOOKUP($B204,'E-1 Off Site Hedge Baseline'!$B$1:$L$257,11,FALSE))))</f>
        <v/>
      </c>
      <c r="K204" s="520" t="str">
        <f>IF(B204="","",IF(ISNA(VLOOKUP($B204,'E-1 Off Site Hedge Baseline'!$B$1:$U$257,113,FALSE)),"",(VLOOKUP($B204,'E-1 Off Site Hedge Baseline'!$B$1:$U$257,13,FALSE))))</f>
        <v/>
      </c>
      <c r="L204" s="507" t="str">
        <f>IF(B204="","",IF(ISNA(VLOOKUP($B204,'E-1 Off Site Hedge Baseline'!$B$1:$U$257,12,FALSE)),"",(VLOOKUP($B204,'E-1 Off Site Hedge Baseline'!$B$1:$U$257,12,FALSE))))</f>
        <v/>
      </c>
      <c r="M204" s="418" t="str">
        <f t="shared" si="24"/>
        <v/>
      </c>
      <c r="N204" s="498" t="str">
        <f>IFERROR(IF(B204="","",INDEX('G-6 Hedgerow Data'!$AN$3:$AZ$15,MATCH(C204,'G-6 Hedgerow Data'!$AM$3:$AM$15,0),MATCH(M204,'G-6 Hedgerow Data'!$AN$2:$AZ$2,0))),"")</f>
        <v/>
      </c>
      <c r="O204" s="499" t="str">
        <f t="shared" si="18"/>
        <v/>
      </c>
      <c r="P204" s="505" t="str">
        <f>IF(B204="","",VLOOKUP(B204,'E-1 Off Site Hedge Baseline'!$B$10:T449,16,FALSE))</f>
        <v/>
      </c>
      <c r="Q204" s="498" t="str">
        <f>IF(M204="","",VLOOKUP(M204,'G-6 Hedgerow Data'!$B$2:$AG$15,2,FALSE))</f>
        <v/>
      </c>
      <c r="R204" s="499" t="str">
        <f>IF(M204="","",VLOOKUP(M204,'G-6 Hedgerow Data'!$B$2:$AG$15,3,FALSE))</f>
        <v/>
      </c>
      <c r="S204" s="145"/>
      <c r="T204" s="499" t="str">
        <f>IFERROR(IF(AND(Q204="V.Low",OR(S204="Good",S204="Moderate")),"Error ▲",VLOOKUP(S204,'G-1 All Habitats'!$Z$2:$AA$9,2,FALSE)),"")</f>
        <v/>
      </c>
      <c r="U204" s="145"/>
      <c r="V204" s="507" t="str">
        <f>IF(U204="","",IF(VLOOKUP(U204,'G-3 Multipliers'!$L$3:$N$6,2,FALSE)=0,"Spatial Data Missing ⚠",VLOOKUP(U204,'G-3 Multipliers'!$L$3:$N$6,2,FALSE)))</f>
        <v/>
      </c>
      <c r="W204" s="505" t="str">
        <f>IF(U204="","",IF(VLOOKUP(U204,'G-3 Multipliers'!$L$3:$N$6,3,FALSE)=0,"Spatial Data Missing ⚠",VLOOKUP(U204,'G-3 Multipliers'!$L$3:$N$6,3,FALSE)))</f>
        <v/>
      </c>
      <c r="X204" s="498"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7" t="str">
        <f t="shared" si="19"/>
        <v/>
      </c>
      <c r="AB204" s="521" t="str">
        <f t="shared" si="20"/>
        <v/>
      </c>
      <c r="AC204" s="522" t="str">
        <f t="shared" ref="AC204:AC257" si="25">IF(OR(S204="",M204=""),"",IF(LEFT(AB204,5)="Error ▲","Check Data ⚠",IF(AB204="Check Data ⚠","Check Data ⚠",VLOOKUP(AB204,TemporalMultipliers,3,FALSE))))</f>
        <v/>
      </c>
      <c r="AD204" s="537" t="str">
        <f>IF(M204="","",VLOOKUP(M204,'G-6 Hedgerow Data'!$B$3:$AG$15,31,FALSE))</f>
        <v/>
      </c>
      <c r="AE204" s="520" t="str">
        <f t="shared" si="21"/>
        <v/>
      </c>
      <c r="AF204" s="520" t="str">
        <f t="shared" si="22"/>
        <v/>
      </c>
      <c r="AG204" s="524" t="str">
        <f>IFERROR(IF(O204="","",VLOOKUP(AD204,'G-3 Multipliers'!$P$3:$Q$6,2,FALSE)),"")</f>
        <v/>
      </c>
      <c r="AH204" s="197"/>
      <c r="AI204" s="499" t="str">
        <f>IF(AH204="","",IF(VLOOKUP(AH204,'G-3 Multipliers'!$S$3:$T$6,2,FALSE)=0,"Spatial Data Missing ⚠",VLOOKUP(AH204,'G-3 Multipliers'!$S$3:$T$6,2,FALSE)))</f>
        <v/>
      </c>
      <c r="AJ204" s="545" t="str">
        <f t="shared" si="23"/>
        <v/>
      </c>
      <c r="AK204" s="149"/>
      <c r="AL204" s="150"/>
      <c r="AP204" s="31" t="str">
        <f>IFERROR(INDEX('G-6 Hedgerow Data'!$BJ$3:$BJ$15,MATCH(M204,'G-6 Hedgerow Data'!$B$3:$B$15,0)),"")</f>
        <v/>
      </c>
    </row>
    <row r="205" spans="2:42" ht="13.8" x14ac:dyDescent="0.25">
      <c r="B205" s="531" t="str">
        <f>'E-1 Off Site Hedge Baseline'!AK203</f>
        <v/>
      </c>
      <c r="C205" s="520" t="str">
        <f>IF(B205="","",IF(ISNA(VLOOKUP($B205,'E-1 Off Site Hedge Baseline'!$B$1:$L$257,3,FALSE)),"",(VLOOKUP($B205,'E-1 Off Site Hedge Baseline'!$B$1:$L$257,3,FALSE))))</f>
        <v/>
      </c>
      <c r="D205" s="520" t="str">
        <f>IF(B205="","",IF(ISNA(VLOOKUP($B205,'E-1 Off Site Hedge Baseline'!$B$1:$L$258,4,FALSE)),"",(VLOOKUP($B205,'E-1 Off Site Hedge Baseline'!$B$1:$L$258,4,FALSE))))</f>
        <v/>
      </c>
      <c r="E205" s="520" t="str">
        <f>IF(B205="","",IF(ISNA(VLOOKUP($B205,'E-1 Off Site Hedge Baseline'!$B$1:$L$257,5,FALSE)),"",(VLOOKUP($B205,'E-1 Off Site Hedge Baseline'!$B$1:$L$257,5,FALSE))))</f>
        <v/>
      </c>
      <c r="F205" s="520" t="str">
        <f>IF(B205="","",IF(ISNA(VLOOKUP($B205,'E-1 Off Site Hedge Baseline'!$B$1:$L$257,6,FALSE)),"",(VLOOKUP($B205,'E-1 Off Site Hedge Baseline'!$B$1:$L$257,6,FALSE))))</f>
        <v/>
      </c>
      <c r="G205" s="520" t="str">
        <f>IF(B205="","",IF(ISNA(VLOOKUP($B205,'E-1 Off Site Hedge Baseline'!$B$1:$L$257,7,FALSE)),"",(VLOOKUP($B205,'E-1 Off Site Hedge Baseline'!$B$1:$L$257,7,FALSE))))</f>
        <v/>
      </c>
      <c r="H205" s="520" t="str">
        <f>IF(B205="","",IF(ISNA(VLOOKUP($B205,'E-1 Off Site Hedge Baseline'!$B$1:$L$257,8,FALSE)),"",(VLOOKUP($B205,'E-1 Off Site Hedge Baseline'!$B$1:$L$257,8,FALSE))))</f>
        <v/>
      </c>
      <c r="I205" s="520" t="str">
        <f>IF(B205="","",IF(ISNA(VLOOKUP($B205,'E-1 Off Site Hedge Baseline'!$B$1:$L$257,10,FALSE)),"",(VLOOKUP($B205,'E-1 Off Site Hedge Baseline'!$B$1:$L$257,10,FALSE))))</f>
        <v/>
      </c>
      <c r="J205" s="520" t="str">
        <f>IF(B205="","",IF(ISNA(VLOOKUP($B205,'E-1 Off Site Hedge Baseline'!$B$1:$L$257,11,FALSE)),"",(VLOOKUP($B205,'E-1 Off Site Hedge Baseline'!$B$1:$L$257,11,FALSE))))</f>
        <v/>
      </c>
      <c r="K205" s="520" t="str">
        <f>IF(B205="","",IF(ISNA(VLOOKUP($B205,'E-1 Off Site Hedge Baseline'!$B$1:$U$257,113,FALSE)),"",(VLOOKUP($B205,'E-1 Off Site Hedge Baseline'!$B$1:$U$257,13,FALSE))))</f>
        <v/>
      </c>
      <c r="L205" s="507" t="str">
        <f>IF(B205="","",IF(ISNA(VLOOKUP($B205,'E-1 Off Site Hedge Baseline'!$B$1:$U$257,12,FALSE)),"",(VLOOKUP($B205,'E-1 Off Site Hedge Baseline'!$B$1:$U$257,12,FALSE))))</f>
        <v/>
      </c>
      <c r="M205" s="418" t="str">
        <f t="shared" si="24"/>
        <v/>
      </c>
      <c r="N205" s="498" t="str">
        <f>IFERROR(IF(B205="","",INDEX('G-6 Hedgerow Data'!$AN$3:$AZ$15,MATCH(C205,'G-6 Hedgerow Data'!$AM$3:$AM$15,0),MATCH(M205,'G-6 Hedgerow Data'!$AN$2:$AZ$2,0))),"")</f>
        <v/>
      </c>
      <c r="O205" s="499" t="str">
        <f t="shared" ref="O205:O257"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05" t="str">
        <f>IF(B205="","",VLOOKUP(B205,'E-1 Off Site Hedge Baseline'!$B$10:T450,16,FALSE))</f>
        <v/>
      </c>
      <c r="Q205" s="498" t="str">
        <f>IF(M205="","",VLOOKUP(M205,'G-6 Hedgerow Data'!$B$2:$AG$15,2,FALSE))</f>
        <v/>
      </c>
      <c r="R205" s="499" t="str">
        <f>IF(M205="","",VLOOKUP(M205,'G-6 Hedgerow Data'!$B$2:$AG$15,3,FALSE))</f>
        <v/>
      </c>
      <c r="S205" s="145"/>
      <c r="T205" s="499" t="str">
        <f>IFERROR(IF(AND(Q205="V.Low",OR(S205="Good",S205="Moderate")),"Error ▲",VLOOKUP(S205,'G-1 All Habitats'!$Z$2:$AA$9,2,FALSE)),"")</f>
        <v/>
      </c>
      <c r="U205" s="145"/>
      <c r="V205" s="507" t="str">
        <f>IF(U205="","",IF(VLOOKUP(U205,'G-3 Multipliers'!$L$3:$N$6,2,FALSE)=0,"Spatial Data Missing ⚠",VLOOKUP(U205,'G-3 Multipliers'!$L$3:$N$6,2,FALSE)))</f>
        <v/>
      </c>
      <c r="W205" s="505" t="str">
        <f>IF(U205="","",IF(VLOOKUP(U205,'G-3 Multipliers'!$L$3:$N$6,3,FALSE)=0,"Spatial Data Missing ⚠",VLOOKUP(U205,'G-3 Multipliers'!$L$3:$N$6,3,FALSE)))</f>
        <v/>
      </c>
      <c r="X205" s="498"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7"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1" t="str">
        <f t="shared" ref="AB205:AB257" si="28">IF(X205="","",IF(AA205="Check Data ⚠","Check Data ⚠",IF(Y205="30+ ⚠",0,IF(Z205="30+","30+ ⚠",IF(X205+Z205&gt;30,"30+ ⚠",IF(LEFT(AA205,5)="Error ▲","Check Data ⚠",IF(X205+Z205-Y205&gt;0,X205+Z205-Y205,IF(X205-Y205&lt;=0,0,))))))))</f>
        <v/>
      </c>
      <c r="AC205" s="522" t="str">
        <f t="shared" si="25"/>
        <v/>
      </c>
      <c r="AD205" s="537" t="str">
        <f>IF(M205="","",VLOOKUP(M205,'G-6 Hedgerow Data'!$B$3:$AG$15,31,FALSE))</f>
        <v/>
      </c>
      <c r="AE205" s="520"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20" t="str">
        <f t="shared" ref="AF205:AF257" si="30">(IF(AND(AE205="Yes",X205&gt;Y205),AD205,IF(AND(AE205="Low Difficulty - only applicable if all habitat created before losses ⚠",Y205&gt;=X205),"Low",AD205)))</f>
        <v/>
      </c>
      <c r="AG205" s="524" t="str">
        <f>IFERROR(IF(O205="","",VLOOKUP(AD205,'G-3 Multipliers'!$P$3:$Q$6,2,FALSE)),"")</f>
        <v/>
      </c>
      <c r="AH205" s="197"/>
      <c r="AI205" s="499" t="str">
        <f>IF(AH205="","",IF(VLOOKUP(AH205,'G-3 Multipliers'!$S$3:$T$6,2,FALSE)=0,"Spatial Data Missing ⚠",VLOOKUP(AH205,'G-3 Multipliers'!$S$3:$T$6,2,FALSE)))</f>
        <v/>
      </c>
      <c r="AJ205" s="545" t="str">
        <f t="shared" ref="AJ205:AJ257" si="31">IFERROR(IF(OR(M205="",S205="",U205="",AH205=""),"",(((((P205*R205*T205)-(P205*F205*H205))*(AG205*AC205))+(P205*F205*H205))*(W205)*AI205)),"")</f>
        <v/>
      </c>
      <c r="AK205" s="149"/>
      <c r="AL205" s="150"/>
      <c r="AP205" s="31" t="str">
        <f>IFERROR(INDEX('G-6 Hedgerow Data'!$BJ$3:$BJ$15,MATCH(M205,'G-6 Hedgerow Data'!$B$3:$B$15,0)),"")</f>
        <v/>
      </c>
    </row>
    <row r="206" spans="2:42" ht="13.8" x14ac:dyDescent="0.25">
      <c r="B206" s="531" t="str">
        <f>'E-1 Off Site Hedge Baseline'!AK204</f>
        <v/>
      </c>
      <c r="C206" s="520" t="str">
        <f>IF(B206="","",IF(ISNA(VLOOKUP($B206,'E-1 Off Site Hedge Baseline'!$B$1:$L$257,3,FALSE)),"",(VLOOKUP($B206,'E-1 Off Site Hedge Baseline'!$B$1:$L$257,3,FALSE))))</f>
        <v/>
      </c>
      <c r="D206" s="520" t="str">
        <f>IF(B206="","",IF(ISNA(VLOOKUP($B206,'E-1 Off Site Hedge Baseline'!$B$1:$L$258,4,FALSE)),"",(VLOOKUP($B206,'E-1 Off Site Hedge Baseline'!$B$1:$L$258,4,FALSE))))</f>
        <v/>
      </c>
      <c r="E206" s="520" t="str">
        <f>IF(B206="","",IF(ISNA(VLOOKUP($B206,'E-1 Off Site Hedge Baseline'!$B$1:$L$257,5,FALSE)),"",(VLOOKUP($B206,'E-1 Off Site Hedge Baseline'!$B$1:$L$257,5,FALSE))))</f>
        <v/>
      </c>
      <c r="F206" s="520" t="str">
        <f>IF(B206="","",IF(ISNA(VLOOKUP($B206,'E-1 Off Site Hedge Baseline'!$B$1:$L$257,6,FALSE)),"",(VLOOKUP($B206,'E-1 Off Site Hedge Baseline'!$B$1:$L$257,6,FALSE))))</f>
        <v/>
      </c>
      <c r="G206" s="520" t="str">
        <f>IF(B206="","",IF(ISNA(VLOOKUP($B206,'E-1 Off Site Hedge Baseline'!$B$1:$L$257,7,FALSE)),"",(VLOOKUP($B206,'E-1 Off Site Hedge Baseline'!$B$1:$L$257,7,FALSE))))</f>
        <v/>
      </c>
      <c r="H206" s="520" t="str">
        <f>IF(B206="","",IF(ISNA(VLOOKUP($B206,'E-1 Off Site Hedge Baseline'!$B$1:$L$257,8,FALSE)),"",(VLOOKUP($B206,'E-1 Off Site Hedge Baseline'!$B$1:$L$257,8,FALSE))))</f>
        <v/>
      </c>
      <c r="I206" s="520" t="str">
        <f>IF(B206="","",IF(ISNA(VLOOKUP($B206,'E-1 Off Site Hedge Baseline'!$B$1:$L$257,10,FALSE)),"",(VLOOKUP($B206,'E-1 Off Site Hedge Baseline'!$B$1:$L$257,10,FALSE))))</f>
        <v/>
      </c>
      <c r="J206" s="520" t="str">
        <f>IF(B206="","",IF(ISNA(VLOOKUP($B206,'E-1 Off Site Hedge Baseline'!$B$1:$L$257,11,FALSE)),"",(VLOOKUP($B206,'E-1 Off Site Hedge Baseline'!$B$1:$L$257,11,FALSE))))</f>
        <v/>
      </c>
      <c r="K206" s="520" t="str">
        <f>IF(B206="","",IF(ISNA(VLOOKUP($B206,'E-1 Off Site Hedge Baseline'!$B$1:$U$257,113,FALSE)),"",(VLOOKUP($B206,'E-1 Off Site Hedge Baseline'!$B$1:$U$257,13,FALSE))))</f>
        <v/>
      </c>
      <c r="L206" s="507" t="str">
        <f>IF(B206="","",IF(ISNA(VLOOKUP($B206,'E-1 Off Site Hedge Baseline'!$B$1:$U$257,12,FALSE)),"",(VLOOKUP($B206,'E-1 Off Site Hedge Baseline'!$B$1:$U$257,12,FALSE))))</f>
        <v/>
      </c>
      <c r="M206" s="418" t="str">
        <f t="shared" ref="M206:M257" si="32">C206</f>
        <v/>
      </c>
      <c r="N206" s="498" t="str">
        <f>IFERROR(IF(B206="","",INDEX('G-6 Hedgerow Data'!$AN$3:$AZ$15,MATCH(C206,'G-6 Hedgerow Data'!$AM$3:$AM$15,0),MATCH(M206,'G-6 Hedgerow Data'!$AN$2:$AZ$2,0))),"")</f>
        <v/>
      </c>
      <c r="O206" s="499" t="str">
        <f t="shared" si="26"/>
        <v/>
      </c>
      <c r="P206" s="505" t="str">
        <f>IF(B206="","",VLOOKUP(B206,'E-1 Off Site Hedge Baseline'!$B$10:T451,16,FALSE))</f>
        <v/>
      </c>
      <c r="Q206" s="498" t="str">
        <f>IF(M206="","",VLOOKUP(M206,'G-6 Hedgerow Data'!$B$2:$AG$15,2,FALSE))</f>
        <v/>
      </c>
      <c r="R206" s="499" t="str">
        <f>IF(M206="","",VLOOKUP(M206,'G-6 Hedgerow Data'!$B$2:$AG$15,3,FALSE))</f>
        <v/>
      </c>
      <c r="S206" s="145"/>
      <c r="T206" s="499" t="str">
        <f>IFERROR(IF(AND(Q206="V.Low",OR(S206="Good",S206="Moderate")),"Error ▲",VLOOKUP(S206,'G-1 All Habitats'!$Z$2:$AA$9,2,FALSE)),"")</f>
        <v/>
      </c>
      <c r="U206" s="145"/>
      <c r="V206" s="507" t="str">
        <f>IF(U206="","",IF(VLOOKUP(U206,'G-3 Multipliers'!$L$3:$N$6,2,FALSE)=0,"Spatial Data Missing ⚠",VLOOKUP(U206,'G-3 Multipliers'!$L$3:$N$6,2,FALSE)))</f>
        <v/>
      </c>
      <c r="W206" s="505" t="str">
        <f>IF(U206="","",IF(VLOOKUP(U206,'G-3 Multipliers'!$L$3:$N$6,3,FALSE)=0,"Spatial Data Missing ⚠",VLOOKUP(U206,'G-3 Multipliers'!$L$3:$N$6,3,FALSE)))</f>
        <v/>
      </c>
      <c r="X206" s="498"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7" t="str">
        <f t="shared" si="27"/>
        <v/>
      </c>
      <c r="AB206" s="521" t="str">
        <f t="shared" si="28"/>
        <v/>
      </c>
      <c r="AC206" s="522" t="str">
        <f t="shared" si="25"/>
        <v/>
      </c>
      <c r="AD206" s="537" t="str">
        <f>IF(M206="","",VLOOKUP(M206,'G-6 Hedgerow Data'!$B$3:$AG$15,31,FALSE))</f>
        <v/>
      </c>
      <c r="AE206" s="520" t="str">
        <f t="shared" si="29"/>
        <v/>
      </c>
      <c r="AF206" s="520" t="str">
        <f t="shared" si="30"/>
        <v/>
      </c>
      <c r="AG206" s="524" t="str">
        <f>IFERROR(IF(O206="","",VLOOKUP(AD206,'G-3 Multipliers'!$P$3:$Q$6,2,FALSE)),"")</f>
        <v/>
      </c>
      <c r="AH206" s="197"/>
      <c r="AI206" s="499" t="str">
        <f>IF(AH206="","",IF(VLOOKUP(AH206,'G-3 Multipliers'!$S$3:$T$6,2,FALSE)=0,"Spatial Data Missing ⚠",VLOOKUP(AH206,'G-3 Multipliers'!$S$3:$T$6,2,FALSE)))</f>
        <v/>
      </c>
      <c r="AJ206" s="545" t="str">
        <f t="shared" si="31"/>
        <v/>
      </c>
      <c r="AK206" s="149"/>
      <c r="AL206" s="150"/>
      <c r="AP206" s="31" t="str">
        <f>IFERROR(INDEX('G-6 Hedgerow Data'!$BJ$3:$BJ$15,MATCH(M206,'G-6 Hedgerow Data'!$B$3:$B$15,0)),"")</f>
        <v/>
      </c>
    </row>
    <row r="207" spans="2:42" ht="13.8" x14ac:dyDescent="0.25">
      <c r="B207" s="531" t="str">
        <f>'E-1 Off Site Hedge Baseline'!AK205</f>
        <v/>
      </c>
      <c r="C207" s="520" t="str">
        <f>IF(B207="","",IF(ISNA(VLOOKUP($B207,'E-1 Off Site Hedge Baseline'!$B$1:$L$257,3,FALSE)),"",(VLOOKUP($B207,'E-1 Off Site Hedge Baseline'!$B$1:$L$257,3,FALSE))))</f>
        <v/>
      </c>
      <c r="D207" s="520" t="str">
        <f>IF(B207="","",IF(ISNA(VLOOKUP($B207,'E-1 Off Site Hedge Baseline'!$B$1:$L$258,4,FALSE)),"",(VLOOKUP($B207,'E-1 Off Site Hedge Baseline'!$B$1:$L$258,4,FALSE))))</f>
        <v/>
      </c>
      <c r="E207" s="520" t="str">
        <f>IF(B207="","",IF(ISNA(VLOOKUP($B207,'E-1 Off Site Hedge Baseline'!$B$1:$L$257,5,FALSE)),"",(VLOOKUP($B207,'E-1 Off Site Hedge Baseline'!$B$1:$L$257,5,FALSE))))</f>
        <v/>
      </c>
      <c r="F207" s="520" t="str">
        <f>IF(B207="","",IF(ISNA(VLOOKUP($B207,'E-1 Off Site Hedge Baseline'!$B$1:$L$257,6,FALSE)),"",(VLOOKUP($B207,'E-1 Off Site Hedge Baseline'!$B$1:$L$257,6,FALSE))))</f>
        <v/>
      </c>
      <c r="G207" s="520" t="str">
        <f>IF(B207="","",IF(ISNA(VLOOKUP($B207,'E-1 Off Site Hedge Baseline'!$B$1:$L$257,7,FALSE)),"",(VLOOKUP($B207,'E-1 Off Site Hedge Baseline'!$B$1:$L$257,7,FALSE))))</f>
        <v/>
      </c>
      <c r="H207" s="520" t="str">
        <f>IF(B207="","",IF(ISNA(VLOOKUP($B207,'E-1 Off Site Hedge Baseline'!$B$1:$L$257,8,FALSE)),"",(VLOOKUP($B207,'E-1 Off Site Hedge Baseline'!$B$1:$L$257,8,FALSE))))</f>
        <v/>
      </c>
      <c r="I207" s="520" t="str">
        <f>IF(B207="","",IF(ISNA(VLOOKUP($B207,'E-1 Off Site Hedge Baseline'!$B$1:$L$257,10,FALSE)),"",(VLOOKUP($B207,'E-1 Off Site Hedge Baseline'!$B$1:$L$257,10,FALSE))))</f>
        <v/>
      </c>
      <c r="J207" s="520" t="str">
        <f>IF(B207="","",IF(ISNA(VLOOKUP($B207,'E-1 Off Site Hedge Baseline'!$B$1:$L$257,11,FALSE)),"",(VLOOKUP($B207,'E-1 Off Site Hedge Baseline'!$B$1:$L$257,11,FALSE))))</f>
        <v/>
      </c>
      <c r="K207" s="520" t="str">
        <f>IF(B207="","",IF(ISNA(VLOOKUP($B207,'E-1 Off Site Hedge Baseline'!$B$1:$U$257,113,FALSE)),"",(VLOOKUP($B207,'E-1 Off Site Hedge Baseline'!$B$1:$U$257,13,FALSE))))</f>
        <v/>
      </c>
      <c r="L207" s="507" t="str">
        <f>IF(B207="","",IF(ISNA(VLOOKUP($B207,'E-1 Off Site Hedge Baseline'!$B$1:$U$257,12,FALSE)),"",(VLOOKUP($B207,'E-1 Off Site Hedge Baseline'!$B$1:$U$257,12,FALSE))))</f>
        <v/>
      </c>
      <c r="M207" s="418" t="str">
        <f t="shared" si="32"/>
        <v/>
      </c>
      <c r="N207" s="498" t="str">
        <f>IFERROR(IF(B207="","",INDEX('G-6 Hedgerow Data'!$AN$3:$AZ$15,MATCH(C207,'G-6 Hedgerow Data'!$AM$3:$AM$15,0),MATCH(M207,'G-6 Hedgerow Data'!$AN$2:$AZ$2,0))),"")</f>
        <v/>
      </c>
      <c r="O207" s="499" t="str">
        <f t="shared" si="26"/>
        <v/>
      </c>
      <c r="P207" s="505" t="str">
        <f>IF(B207="","",VLOOKUP(B207,'E-1 Off Site Hedge Baseline'!$B$10:T452,16,FALSE))</f>
        <v/>
      </c>
      <c r="Q207" s="498" t="str">
        <f>IF(M207="","",VLOOKUP(M207,'G-6 Hedgerow Data'!$B$2:$AG$15,2,FALSE))</f>
        <v/>
      </c>
      <c r="R207" s="499" t="str">
        <f>IF(M207="","",VLOOKUP(M207,'G-6 Hedgerow Data'!$B$2:$AG$15,3,FALSE))</f>
        <v/>
      </c>
      <c r="S207" s="145"/>
      <c r="T207" s="499" t="str">
        <f>IFERROR(IF(AND(Q207="V.Low",OR(S207="Good",S207="Moderate")),"Error ▲",VLOOKUP(S207,'G-1 All Habitats'!$Z$2:$AA$9,2,FALSE)),"")</f>
        <v/>
      </c>
      <c r="U207" s="145"/>
      <c r="V207" s="507" t="str">
        <f>IF(U207="","",IF(VLOOKUP(U207,'G-3 Multipliers'!$L$3:$N$6,2,FALSE)=0,"Spatial Data Missing ⚠",VLOOKUP(U207,'G-3 Multipliers'!$L$3:$N$6,2,FALSE)))</f>
        <v/>
      </c>
      <c r="W207" s="505" t="str">
        <f>IF(U207="","",IF(VLOOKUP(U207,'G-3 Multipliers'!$L$3:$N$6,3,FALSE)=0,"Spatial Data Missing ⚠",VLOOKUP(U207,'G-3 Multipliers'!$L$3:$N$6,3,FALSE)))</f>
        <v/>
      </c>
      <c r="X207" s="498"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7" t="str">
        <f t="shared" si="27"/>
        <v/>
      </c>
      <c r="AB207" s="521" t="str">
        <f t="shared" si="28"/>
        <v/>
      </c>
      <c r="AC207" s="522" t="str">
        <f t="shared" si="25"/>
        <v/>
      </c>
      <c r="AD207" s="537" t="str">
        <f>IF(M207="","",VLOOKUP(M207,'G-6 Hedgerow Data'!$B$3:$AG$15,31,FALSE))</f>
        <v/>
      </c>
      <c r="AE207" s="520" t="str">
        <f t="shared" si="29"/>
        <v/>
      </c>
      <c r="AF207" s="520" t="str">
        <f t="shared" si="30"/>
        <v/>
      </c>
      <c r="AG207" s="524" t="str">
        <f>IFERROR(IF(O207="","",VLOOKUP(AD207,'G-3 Multipliers'!$P$3:$Q$6,2,FALSE)),"")</f>
        <v/>
      </c>
      <c r="AH207" s="197"/>
      <c r="AI207" s="499" t="str">
        <f>IF(AH207="","",IF(VLOOKUP(AH207,'G-3 Multipliers'!$S$3:$T$6,2,FALSE)=0,"Spatial Data Missing ⚠",VLOOKUP(AH207,'G-3 Multipliers'!$S$3:$T$6,2,FALSE)))</f>
        <v/>
      </c>
      <c r="AJ207" s="545" t="str">
        <f t="shared" si="31"/>
        <v/>
      </c>
      <c r="AK207" s="149"/>
      <c r="AL207" s="150"/>
      <c r="AP207" s="31" t="str">
        <f>IFERROR(INDEX('G-6 Hedgerow Data'!$BJ$3:$BJ$15,MATCH(M207,'G-6 Hedgerow Data'!$B$3:$B$15,0)),"")</f>
        <v/>
      </c>
    </row>
    <row r="208" spans="2:42" ht="13.8" x14ac:dyDescent="0.25">
      <c r="B208" s="531" t="str">
        <f>'E-1 Off Site Hedge Baseline'!AK206</f>
        <v/>
      </c>
      <c r="C208" s="520" t="str">
        <f>IF(B208="","",IF(ISNA(VLOOKUP($B208,'E-1 Off Site Hedge Baseline'!$B$1:$L$257,3,FALSE)),"",(VLOOKUP($B208,'E-1 Off Site Hedge Baseline'!$B$1:$L$257,3,FALSE))))</f>
        <v/>
      </c>
      <c r="D208" s="520" t="str">
        <f>IF(B208="","",IF(ISNA(VLOOKUP($B208,'E-1 Off Site Hedge Baseline'!$B$1:$L$258,4,FALSE)),"",(VLOOKUP($B208,'E-1 Off Site Hedge Baseline'!$B$1:$L$258,4,FALSE))))</f>
        <v/>
      </c>
      <c r="E208" s="520" t="str">
        <f>IF(B208="","",IF(ISNA(VLOOKUP($B208,'E-1 Off Site Hedge Baseline'!$B$1:$L$257,5,FALSE)),"",(VLOOKUP($B208,'E-1 Off Site Hedge Baseline'!$B$1:$L$257,5,FALSE))))</f>
        <v/>
      </c>
      <c r="F208" s="520" t="str">
        <f>IF(B208="","",IF(ISNA(VLOOKUP($B208,'E-1 Off Site Hedge Baseline'!$B$1:$L$257,6,FALSE)),"",(VLOOKUP($B208,'E-1 Off Site Hedge Baseline'!$B$1:$L$257,6,FALSE))))</f>
        <v/>
      </c>
      <c r="G208" s="520" t="str">
        <f>IF(B208="","",IF(ISNA(VLOOKUP($B208,'E-1 Off Site Hedge Baseline'!$B$1:$L$257,7,FALSE)),"",(VLOOKUP($B208,'E-1 Off Site Hedge Baseline'!$B$1:$L$257,7,FALSE))))</f>
        <v/>
      </c>
      <c r="H208" s="520" t="str">
        <f>IF(B208="","",IF(ISNA(VLOOKUP($B208,'E-1 Off Site Hedge Baseline'!$B$1:$L$257,8,FALSE)),"",(VLOOKUP($B208,'E-1 Off Site Hedge Baseline'!$B$1:$L$257,8,FALSE))))</f>
        <v/>
      </c>
      <c r="I208" s="520" t="str">
        <f>IF(B208="","",IF(ISNA(VLOOKUP($B208,'E-1 Off Site Hedge Baseline'!$B$1:$L$257,10,FALSE)),"",(VLOOKUP($B208,'E-1 Off Site Hedge Baseline'!$B$1:$L$257,10,FALSE))))</f>
        <v/>
      </c>
      <c r="J208" s="520" t="str">
        <f>IF(B208="","",IF(ISNA(VLOOKUP($B208,'E-1 Off Site Hedge Baseline'!$B$1:$L$257,11,FALSE)),"",(VLOOKUP($B208,'E-1 Off Site Hedge Baseline'!$B$1:$L$257,11,FALSE))))</f>
        <v/>
      </c>
      <c r="K208" s="520" t="str">
        <f>IF(B208="","",IF(ISNA(VLOOKUP($B208,'E-1 Off Site Hedge Baseline'!$B$1:$U$257,113,FALSE)),"",(VLOOKUP($B208,'E-1 Off Site Hedge Baseline'!$B$1:$U$257,13,FALSE))))</f>
        <v/>
      </c>
      <c r="L208" s="507" t="str">
        <f>IF(B208="","",IF(ISNA(VLOOKUP($B208,'E-1 Off Site Hedge Baseline'!$B$1:$U$257,12,FALSE)),"",(VLOOKUP($B208,'E-1 Off Site Hedge Baseline'!$B$1:$U$257,12,FALSE))))</f>
        <v/>
      </c>
      <c r="M208" s="418" t="str">
        <f t="shared" si="32"/>
        <v/>
      </c>
      <c r="N208" s="498" t="str">
        <f>IFERROR(IF(B208="","",INDEX('G-6 Hedgerow Data'!$AN$3:$AZ$15,MATCH(C208,'G-6 Hedgerow Data'!$AM$3:$AM$15,0),MATCH(M208,'G-6 Hedgerow Data'!$AN$2:$AZ$2,0))),"")</f>
        <v/>
      </c>
      <c r="O208" s="499" t="str">
        <f t="shared" si="26"/>
        <v/>
      </c>
      <c r="P208" s="505" t="str">
        <f>IF(B208="","",VLOOKUP(B208,'E-1 Off Site Hedge Baseline'!$B$10:T453,16,FALSE))</f>
        <v/>
      </c>
      <c r="Q208" s="498" t="str">
        <f>IF(M208="","",VLOOKUP(M208,'G-6 Hedgerow Data'!$B$2:$AG$15,2,FALSE))</f>
        <v/>
      </c>
      <c r="R208" s="499" t="str">
        <f>IF(M208="","",VLOOKUP(M208,'G-6 Hedgerow Data'!$B$2:$AG$15,3,FALSE))</f>
        <v/>
      </c>
      <c r="S208" s="145"/>
      <c r="T208" s="499" t="str">
        <f>IFERROR(IF(AND(Q208="V.Low",OR(S208="Good",S208="Moderate")),"Error ▲",VLOOKUP(S208,'G-1 All Habitats'!$Z$2:$AA$9,2,FALSE)),"")</f>
        <v/>
      </c>
      <c r="U208" s="145"/>
      <c r="V208" s="507" t="str">
        <f>IF(U208="","",IF(VLOOKUP(U208,'G-3 Multipliers'!$L$3:$N$6,2,FALSE)=0,"Spatial Data Missing ⚠",VLOOKUP(U208,'G-3 Multipliers'!$L$3:$N$6,2,FALSE)))</f>
        <v/>
      </c>
      <c r="W208" s="505" t="str">
        <f>IF(U208="","",IF(VLOOKUP(U208,'G-3 Multipliers'!$L$3:$N$6,3,FALSE)=0,"Spatial Data Missing ⚠",VLOOKUP(U208,'G-3 Multipliers'!$L$3:$N$6,3,FALSE)))</f>
        <v/>
      </c>
      <c r="X208" s="498"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7" t="str">
        <f t="shared" si="27"/>
        <v/>
      </c>
      <c r="AB208" s="521" t="str">
        <f t="shared" si="28"/>
        <v/>
      </c>
      <c r="AC208" s="522" t="str">
        <f t="shared" si="25"/>
        <v/>
      </c>
      <c r="AD208" s="537" t="str">
        <f>IF(M208="","",VLOOKUP(M208,'G-6 Hedgerow Data'!$B$3:$AG$15,31,FALSE))</f>
        <v/>
      </c>
      <c r="AE208" s="520" t="str">
        <f t="shared" si="29"/>
        <v/>
      </c>
      <c r="AF208" s="520" t="str">
        <f t="shared" si="30"/>
        <v/>
      </c>
      <c r="AG208" s="524" t="str">
        <f>IFERROR(IF(O208="","",VLOOKUP(AD208,'G-3 Multipliers'!$P$3:$Q$6,2,FALSE)),"")</f>
        <v/>
      </c>
      <c r="AH208" s="197"/>
      <c r="AI208" s="499" t="str">
        <f>IF(AH208="","",IF(VLOOKUP(AH208,'G-3 Multipliers'!$S$3:$T$6,2,FALSE)=0,"Spatial Data Missing ⚠",VLOOKUP(AH208,'G-3 Multipliers'!$S$3:$T$6,2,FALSE)))</f>
        <v/>
      </c>
      <c r="AJ208" s="545" t="str">
        <f t="shared" si="31"/>
        <v/>
      </c>
      <c r="AK208" s="149"/>
      <c r="AL208" s="150"/>
      <c r="AP208" s="31" t="str">
        <f>IFERROR(INDEX('G-6 Hedgerow Data'!$BJ$3:$BJ$15,MATCH(M208,'G-6 Hedgerow Data'!$B$3:$B$15,0)),"")</f>
        <v/>
      </c>
    </row>
    <row r="209" spans="2:42" ht="13.8" x14ac:dyDescent="0.25">
      <c r="B209" s="531" t="str">
        <f>'E-1 Off Site Hedge Baseline'!AK207</f>
        <v/>
      </c>
      <c r="C209" s="520" t="str">
        <f>IF(B209="","",IF(ISNA(VLOOKUP($B209,'E-1 Off Site Hedge Baseline'!$B$1:$L$257,3,FALSE)),"",(VLOOKUP($B209,'E-1 Off Site Hedge Baseline'!$B$1:$L$257,3,FALSE))))</f>
        <v/>
      </c>
      <c r="D209" s="520" t="str">
        <f>IF(B209="","",IF(ISNA(VLOOKUP($B209,'E-1 Off Site Hedge Baseline'!$B$1:$L$258,4,FALSE)),"",(VLOOKUP($B209,'E-1 Off Site Hedge Baseline'!$B$1:$L$258,4,FALSE))))</f>
        <v/>
      </c>
      <c r="E209" s="520" t="str">
        <f>IF(B209="","",IF(ISNA(VLOOKUP($B209,'E-1 Off Site Hedge Baseline'!$B$1:$L$257,5,FALSE)),"",(VLOOKUP($B209,'E-1 Off Site Hedge Baseline'!$B$1:$L$257,5,FALSE))))</f>
        <v/>
      </c>
      <c r="F209" s="520" t="str">
        <f>IF(B209="","",IF(ISNA(VLOOKUP($B209,'E-1 Off Site Hedge Baseline'!$B$1:$L$257,6,FALSE)),"",(VLOOKUP($B209,'E-1 Off Site Hedge Baseline'!$B$1:$L$257,6,FALSE))))</f>
        <v/>
      </c>
      <c r="G209" s="520" t="str">
        <f>IF(B209="","",IF(ISNA(VLOOKUP($B209,'E-1 Off Site Hedge Baseline'!$B$1:$L$257,7,FALSE)),"",(VLOOKUP($B209,'E-1 Off Site Hedge Baseline'!$B$1:$L$257,7,FALSE))))</f>
        <v/>
      </c>
      <c r="H209" s="520" t="str">
        <f>IF(B209="","",IF(ISNA(VLOOKUP($B209,'E-1 Off Site Hedge Baseline'!$B$1:$L$257,8,FALSE)),"",(VLOOKUP($B209,'E-1 Off Site Hedge Baseline'!$B$1:$L$257,8,FALSE))))</f>
        <v/>
      </c>
      <c r="I209" s="520" t="str">
        <f>IF(B209="","",IF(ISNA(VLOOKUP($B209,'E-1 Off Site Hedge Baseline'!$B$1:$L$257,10,FALSE)),"",(VLOOKUP($B209,'E-1 Off Site Hedge Baseline'!$B$1:$L$257,10,FALSE))))</f>
        <v/>
      </c>
      <c r="J209" s="520" t="str">
        <f>IF(B209="","",IF(ISNA(VLOOKUP($B209,'E-1 Off Site Hedge Baseline'!$B$1:$L$257,11,FALSE)),"",(VLOOKUP($B209,'E-1 Off Site Hedge Baseline'!$B$1:$L$257,11,FALSE))))</f>
        <v/>
      </c>
      <c r="K209" s="520" t="str">
        <f>IF(B209="","",IF(ISNA(VLOOKUP($B209,'E-1 Off Site Hedge Baseline'!$B$1:$U$257,113,FALSE)),"",(VLOOKUP($B209,'E-1 Off Site Hedge Baseline'!$B$1:$U$257,13,FALSE))))</f>
        <v/>
      </c>
      <c r="L209" s="507" t="str">
        <f>IF(B209="","",IF(ISNA(VLOOKUP($B209,'E-1 Off Site Hedge Baseline'!$B$1:$U$257,12,FALSE)),"",(VLOOKUP($B209,'E-1 Off Site Hedge Baseline'!$B$1:$U$257,12,FALSE))))</f>
        <v/>
      </c>
      <c r="M209" s="418" t="str">
        <f t="shared" si="32"/>
        <v/>
      </c>
      <c r="N209" s="498" t="str">
        <f>IFERROR(IF(B209="","",INDEX('G-6 Hedgerow Data'!$AN$3:$AZ$15,MATCH(C209,'G-6 Hedgerow Data'!$AM$3:$AM$15,0),MATCH(M209,'G-6 Hedgerow Data'!$AN$2:$AZ$2,0))),"")</f>
        <v/>
      </c>
      <c r="O209" s="499" t="str">
        <f t="shared" si="26"/>
        <v/>
      </c>
      <c r="P209" s="505" t="str">
        <f>IF(B209="","",VLOOKUP(B209,'E-1 Off Site Hedge Baseline'!$B$10:T454,16,FALSE))</f>
        <v/>
      </c>
      <c r="Q209" s="498" t="str">
        <f>IF(M209="","",VLOOKUP(M209,'G-6 Hedgerow Data'!$B$2:$AG$15,2,FALSE))</f>
        <v/>
      </c>
      <c r="R209" s="499" t="str">
        <f>IF(M209="","",VLOOKUP(M209,'G-6 Hedgerow Data'!$B$2:$AG$15,3,FALSE))</f>
        <v/>
      </c>
      <c r="S209" s="145"/>
      <c r="T209" s="499" t="str">
        <f>IFERROR(IF(AND(Q209="V.Low",OR(S209="Good",S209="Moderate")),"Error ▲",VLOOKUP(S209,'G-1 All Habitats'!$Z$2:$AA$9,2,FALSE)),"")</f>
        <v/>
      </c>
      <c r="U209" s="145"/>
      <c r="V209" s="507" t="str">
        <f>IF(U209="","",IF(VLOOKUP(U209,'G-3 Multipliers'!$L$3:$N$6,2,FALSE)=0,"Spatial Data Missing ⚠",VLOOKUP(U209,'G-3 Multipliers'!$L$3:$N$6,2,FALSE)))</f>
        <v/>
      </c>
      <c r="W209" s="505" t="str">
        <f>IF(U209="","",IF(VLOOKUP(U209,'G-3 Multipliers'!$L$3:$N$6,3,FALSE)=0,"Spatial Data Missing ⚠",VLOOKUP(U209,'G-3 Multipliers'!$L$3:$N$6,3,FALSE)))</f>
        <v/>
      </c>
      <c r="X209" s="498"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7" t="str">
        <f t="shared" si="27"/>
        <v/>
      </c>
      <c r="AB209" s="521" t="str">
        <f t="shared" si="28"/>
        <v/>
      </c>
      <c r="AC209" s="522" t="str">
        <f t="shared" si="25"/>
        <v/>
      </c>
      <c r="AD209" s="537" t="str">
        <f>IF(M209="","",VLOOKUP(M209,'G-6 Hedgerow Data'!$B$3:$AG$15,31,FALSE))</f>
        <v/>
      </c>
      <c r="AE209" s="520" t="str">
        <f t="shared" si="29"/>
        <v/>
      </c>
      <c r="AF209" s="520" t="str">
        <f t="shared" si="30"/>
        <v/>
      </c>
      <c r="AG209" s="524" t="str">
        <f>IFERROR(IF(O209="","",VLOOKUP(AD209,'G-3 Multipliers'!$P$3:$Q$6,2,FALSE)),"")</f>
        <v/>
      </c>
      <c r="AH209" s="197"/>
      <c r="AI209" s="499" t="str">
        <f>IF(AH209="","",IF(VLOOKUP(AH209,'G-3 Multipliers'!$S$3:$T$6,2,FALSE)=0,"Spatial Data Missing ⚠",VLOOKUP(AH209,'G-3 Multipliers'!$S$3:$T$6,2,FALSE)))</f>
        <v/>
      </c>
      <c r="AJ209" s="545" t="str">
        <f t="shared" si="31"/>
        <v/>
      </c>
      <c r="AK209" s="149"/>
      <c r="AL209" s="150"/>
      <c r="AP209" s="31" t="str">
        <f>IFERROR(INDEX('G-6 Hedgerow Data'!$BJ$3:$BJ$15,MATCH(M209,'G-6 Hedgerow Data'!$B$3:$B$15,0)),"")</f>
        <v/>
      </c>
    </row>
    <row r="210" spans="2:42" ht="13.8" x14ac:dyDescent="0.25">
      <c r="B210" s="531" t="str">
        <f>'E-1 Off Site Hedge Baseline'!AK208</f>
        <v/>
      </c>
      <c r="C210" s="520" t="str">
        <f>IF(B210="","",IF(ISNA(VLOOKUP($B210,'E-1 Off Site Hedge Baseline'!$B$1:$L$257,3,FALSE)),"",(VLOOKUP($B210,'E-1 Off Site Hedge Baseline'!$B$1:$L$257,3,FALSE))))</f>
        <v/>
      </c>
      <c r="D210" s="520" t="str">
        <f>IF(B210="","",IF(ISNA(VLOOKUP($B210,'E-1 Off Site Hedge Baseline'!$B$1:$L$258,4,FALSE)),"",(VLOOKUP($B210,'E-1 Off Site Hedge Baseline'!$B$1:$L$258,4,FALSE))))</f>
        <v/>
      </c>
      <c r="E210" s="520" t="str">
        <f>IF(B210="","",IF(ISNA(VLOOKUP($B210,'E-1 Off Site Hedge Baseline'!$B$1:$L$257,5,FALSE)),"",(VLOOKUP($B210,'E-1 Off Site Hedge Baseline'!$B$1:$L$257,5,FALSE))))</f>
        <v/>
      </c>
      <c r="F210" s="520" t="str">
        <f>IF(B210="","",IF(ISNA(VLOOKUP($B210,'E-1 Off Site Hedge Baseline'!$B$1:$L$257,6,FALSE)),"",(VLOOKUP($B210,'E-1 Off Site Hedge Baseline'!$B$1:$L$257,6,FALSE))))</f>
        <v/>
      </c>
      <c r="G210" s="520" t="str">
        <f>IF(B210="","",IF(ISNA(VLOOKUP($B210,'E-1 Off Site Hedge Baseline'!$B$1:$L$257,7,FALSE)),"",(VLOOKUP($B210,'E-1 Off Site Hedge Baseline'!$B$1:$L$257,7,FALSE))))</f>
        <v/>
      </c>
      <c r="H210" s="520" t="str">
        <f>IF(B210="","",IF(ISNA(VLOOKUP($B210,'E-1 Off Site Hedge Baseline'!$B$1:$L$257,8,FALSE)),"",(VLOOKUP($B210,'E-1 Off Site Hedge Baseline'!$B$1:$L$257,8,FALSE))))</f>
        <v/>
      </c>
      <c r="I210" s="520" t="str">
        <f>IF(B210="","",IF(ISNA(VLOOKUP($B210,'E-1 Off Site Hedge Baseline'!$B$1:$L$257,10,FALSE)),"",(VLOOKUP($B210,'E-1 Off Site Hedge Baseline'!$B$1:$L$257,10,FALSE))))</f>
        <v/>
      </c>
      <c r="J210" s="520" t="str">
        <f>IF(B210="","",IF(ISNA(VLOOKUP($B210,'E-1 Off Site Hedge Baseline'!$B$1:$L$257,11,FALSE)),"",(VLOOKUP($B210,'E-1 Off Site Hedge Baseline'!$B$1:$L$257,11,FALSE))))</f>
        <v/>
      </c>
      <c r="K210" s="520" t="str">
        <f>IF(B210="","",IF(ISNA(VLOOKUP($B210,'E-1 Off Site Hedge Baseline'!$B$1:$U$257,113,FALSE)),"",(VLOOKUP($B210,'E-1 Off Site Hedge Baseline'!$B$1:$U$257,13,FALSE))))</f>
        <v/>
      </c>
      <c r="L210" s="507" t="str">
        <f>IF(B210="","",IF(ISNA(VLOOKUP($B210,'E-1 Off Site Hedge Baseline'!$B$1:$U$257,12,FALSE)),"",(VLOOKUP($B210,'E-1 Off Site Hedge Baseline'!$B$1:$U$257,12,FALSE))))</f>
        <v/>
      </c>
      <c r="M210" s="418" t="str">
        <f t="shared" si="32"/>
        <v/>
      </c>
      <c r="N210" s="498" t="str">
        <f>IFERROR(IF(B210="","",INDEX('G-6 Hedgerow Data'!$AN$3:$AZ$15,MATCH(C210,'G-6 Hedgerow Data'!$AM$3:$AM$15,0),MATCH(M210,'G-6 Hedgerow Data'!$AN$2:$AZ$2,0))),"")</f>
        <v/>
      </c>
      <c r="O210" s="499" t="str">
        <f t="shared" si="26"/>
        <v/>
      </c>
      <c r="P210" s="505" t="str">
        <f>IF(B210="","",VLOOKUP(B210,'E-1 Off Site Hedge Baseline'!$B$10:T455,16,FALSE))</f>
        <v/>
      </c>
      <c r="Q210" s="498" t="str">
        <f>IF(M210="","",VLOOKUP(M210,'G-6 Hedgerow Data'!$B$2:$AG$15,2,FALSE))</f>
        <v/>
      </c>
      <c r="R210" s="499" t="str">
        <f>IF(M210="","",VLOOKUP(M210,'G-6 Hedgerow Data'!$B$2:$AG$15,3,FALSE))</f>
        <v/>
      </c>
      <c r="S210" s="145"/>
      <c r="T210" s="499" t="str">
        <f>IFERROR(IF(AND(Q210="V.Low",OR(S210="Good",S210="Moderate")),"Error ▲",VLOOKUP(S210,'G-1 All Habitats'!$Z$2:$AA$9,2,FALSE)),"")</f>
        <v/>
      </c>
      <c r="U210" s="145"/>
      <c r="V210" s="507" t="str">
        <f>IF(U210="","",IF(VLOOKUP(U210,'G-3 Multipliers'!$L$3:$N$6,2,FALSE)=0,"Spatial Data Missing ⚠",VLOOKUP(U210,'G-3 Multipliers'!$L$3:$N$6,2,FALSE)))</f>
        <v/>
      </c>
      <c r="W210" s="505" t="str">
        <f>IF(U210="","",IF(VLOOKUP(U210,'G-3 Multipliers'!$L$3:$N$6,3,FALSE)=0,"Spatial Data Missing ⚠",VLOOKUP(U210,'G-3 Multipliers'!$L$3:$N$6,3,FALSE)))</f>
        <v/>
      </c>
      <c r="X210" s="498"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7" t="str">
        <f t="shared" si="27"/>
        <v/>
      </c>
      <c r="AB210" s="521" t="str">
        <f t="shared" si="28"/>
        <v/>
      </c>
      <c r="AC210" s="522" t="str">
        <f t="shared" si="25"/>
        <v/>
      </c>
      <c r="AD210" s="537" t="str">
        <f>IF(M210="","",VLOOKUP(M210,'G-6 Hedgerow Data'!$B$3:$AG$15,31,FALSE))</f>
        <v/>
      </c>
      <c r="AE210" s="520" t="str">
        <f t="shared" si="29"/>
        <v/>
      </c>
      <c r="AF210" s="520" t="str">
        <f t="shared" si="30"/>
        <v/>
      </c>
      <c r="AG210" s="524" t="str">
        <f>IFERROR(IF(O210="","",VLOOKUP(AD210,'G-3 Multipliers'!$P$3:$Q$6,2,FALSE)),"")</f>
        <v/>
      </c>
      <c r="AH210" s="197"/>
      <c r="AI210" s="499" t="str">
        <f>IF(AH210="","",IF(VLOOKUP(AH210,'G-3 Multipliers'!$S$3:$T$6,2,FALSE)=0,"Spatial Data Missing ⚠",VLOOKUP(AH210,'G-3 Multipliers'!$S$3:$T$6,2,FALSE)))</f>
        <v/>
      </c>
      <c r="AJ210" s="545" t="str">
        <f t="shared" si="31"/>
        <v/>
      </c>
      <c r="AK210" s="149"/>
      <c r="AL210" s="150"/>
      <c r="AP210" s="31" t="str">
        <f>IFERROR(INDEX('G-6 Hedgerow Data'!$BJ$3:$BJ$15,MATCH(M210,'G-6 Hedgerow Data'!$B$3:$B$15,0)),"")</f>
        <v/>
      </c>
    </row>
    <row r="211" spans="2:42" ht="13.8" x14ac:dyDescent="0.25">
      <c r="B211" s="531" t="str">
        <f>'E-1 Off Site Hedge Baseline'!AK209</f>
        <v/>
      </c>
      <c r="C211" s="520" t="str">
        <f>IF(B211="","",IF(ISNA(VLOOKUP($B211,'E-1 Off Site Hedge Baseline'!$B$1:$L$257,3,FALSE)),"",(VLOOKUP($B211,'E-1 Off Site Hedge Baseline'!$B$1:$L$257,3,FALSE))))</f>
        <v/>
      </c>
      <c r="D211" s="520" t="str">
        <f>IF(B211="","",IF(ISNA(VLOOKUP($B211,'E-1 Off Site Hedge Baseline'!$B$1:$L$258,4,FALSE)),"",(VLOOKUP($B211,'E-1 Off Site Hedge Baseline'!$B$1:$L$258,4,FALSE))))</f>
        <v/>
      </c>
      <c r="E211" s="520" t="str">
        <f>IF(B211="","",IF(ISNA(VLOOKUP($B211,'E-1 Off Site Hedge Baseline'!$B$1:$L$257,5,FALSE)),"",(VLOOKUP($B211,'E-1 Off Site Hedge Baseline'!$B$1:$L$257,5,FALSE))))</f>
        <v/>
      </c>
      <c r="F211" s="520" t="str">
        <f>IF(B211="","",IF(ISNA(VLOOKUP($B211,'E-1 Off Site Hedge Baseline'!$B$1:$L$257,6,FALSE)),"",(VLOOKUP($B211,'E-1 Off Site Hedge Baseline'!$B$1:$L$257,6,FALSE))))</f>
        <v/>
      </c>
      <c r="G211" s="520" t="str">
        <f>IF(B211="","",IF(ISNA(VLOOKUP($B211,'E-1 Off Site Hedge Baseline'!$B$1:$L$257,7,FALSE)),"",(VLOOKUP($B211,'E-1 Off Site Hedge Baseline'!$B$1:$L$257,7,FALSE))))</f>
        <v/>
      </c>
      <c r="H211" s="520" t="str">
        <f>IF(B211="","",IF(ISNA(VLOOKUP($B211,'E-1 Off Site Hedge Baseline'!$B$1:$L$257,8,FALSE)),"",(VLOOKUP($B211,'E-1 Off Site Hedge Baseline'!$B$1:$L$257,8,FALSE))))</f>
        <v/>
      </c>
      <c r="I211" s="520" t="str">
        <f>IF(B211="","",IF(ISNA(VLOOKUP($B211,'E-1 Off Site Hedge Baseline'!$B$1:$L$257,10,FALSE)),"",(VLOOKUP($B211,'E-1 Off Site Hedge Baseline'!$B$1:$L$257,10,FALSE))))</f>
        <v/>
      </c>
      <c r="J211" s="520" t="str">
        <f>IF(B211="","",IF(ISNA(VLOOKUP($B211,'E-1 Off Site Hedge Baseline'!$B$1:$L$257,11,FALSE)),"",(VLOOKUP($B211,'E-1 Off Site Hedge Baseline'!$B$1:$L$257,11,FALSE))))</f>
        <v/>
      </c>
      <c r="K211" s="520" t="str">
        <f>IF(B211="","",IF(ISNA(VLOOKUP($B211,'E-1 Off Site Hedge Baseline'!$B$1:$U$257,113,FALSE)),"",(VLOOKUP($B211,'E-1 Off Site Hedge Baseline'!$B$1:$U$257,13,FALSE))))</f>
        <v/>
      </c>
      <c r="L211" s="507" t="str">
        <f>IF(B211="","",IF(ISNA(VLOOKUP($B211,'E-1 Off Site Hedge Baseline'!$B$1:$U$257,12,FALSE)),"",(VLOOKUP($B211,'E-1 Off Site Hedge Baseline'!$B$1:$U$257,12,FALSE))))</f>
        <v/>
      </c>
      <c r="M211" s="418" t="str">
        <f t="shared" si="32"/>
        <v/>
      </c>
      <c r="N211" s="498" t="str">
        <f>IFERROR(IF(B211="","",INDEX('G-6 Hedgerow Data'!$AN$3:$AZ$15,MATCH(C211,'G-6 Hedgerow Data'!$AM$3:$AM$15,0),MATCH(M211,'G-6 Hedgerow Data'!$AN$2:$AZ$2,0))),"")</f>
        <v/>
      </c>
      <c r="O211" s="499" t="str">
        <f t="shared" si="26"/>
        <v/>
      </c>
      <c r="P211" s="505" t="str">
        <f>IF(B211="","",VLOOKUP(B211,'E-1 Off Site Hedge Baseline'!$B$10:T456,16,FALSE))</f>
        <v/>
      </c>
      <c r="Q211" s="498" t="str">
        <f>IF(M211="","",VLOOKUP(M211,'G-6 Hedgerow Data'!$B$2:$AG$15,2,FALSE))</f>
        <v/>
      </c>
      <c r="R211" s="499" t="str">
        <f>IF(M211="","",VLOOKUP(M211,'G-6 Hedgerow Data'!$B$2:$AG$15,3,FALSE))</f>
        <v/>
      </c>
      <c r="S211" s="145"/>
      <c r="T211" s="499" t="str">
        <f>IFERROR(IF(AND(Q211="V.Low",OR(S211="Good",S211="Moderate")),"Error ▲",VLOOKUP(S211,'G-1 All Habitats'!$Z$2:$AA$9,2,FALSE)),"")</f>
        <v/>
      </c>
      <c r="U211" s="145"/>
      <c r="V211" s="507" t="str">
        <f>IF(U211="","",IF(VLOOKUP(U211,'G-3 Multipliers'!$L$3:$N$6,2,FALSE)=0,"Spatial Data Missing ⚠",VLOOKUP(U211,'G-3 Multipliers'!$L$3:$N$6,2,FALSE)))</f>
        <v/>
      </c>
      <c r="W211" s="505" t="str">
        <f>IF(U211="","",IF(VLOOKUP(U211,'G-3 Multipliers'!$L$3:$N$6,3,FALSE)=0,"Spatial Data Missing ⚠",VLOOKUP(U211,'G-3 Multipliers'!$L$3:$N$6,3,FALSE)))</f>
        <v/>
      </c>
      <c r="X211" s="498"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7" t="str">
        <f t="shared" si="27"/>
        <v/>
      </c>
      <c r="AB211" s="521" t="str">
        <f t="shared" si="28"/>
        <v/>
      </c>
      <c r="AC211" s="522" t="str">
        <f t="shared" si="25"/>
        <v/>
      </c>
      <c r="AD211" s="537" t="str">
        <f>IF(M211="","",VLOOKUP(M211,'G-6 Hedgerow Data'!$B$3:$AG$15,31,FALSE))</f>
        <v/>
      </c>
      <c r="AE211" s="520" t="str">
        <f t="shared" si="29"/>
        <v/>
      </c>
      <c r="AF211" s="520" t="str">
        <f t="shared" si="30"/>
        <v/>
      </c>
      <c r="AG211" s="524" t="str">
        <f>IFERROR(IF(O211="","",VLOOKUP(AD211,'G-3 Multipliers'!$P$3:$Q$6,2,FALSE)),"")</f>
        <v/>
      </c>
      <c r="AH211" s="197"/>
      <c r="AI211" s="499" t="str">
        <f>IF(AH211="","",IF(VLOOKUP(AH211,'G-3 Multipliers'!$S$3:$T$6,2,FALSE)=0,"Spatial Data Missing ⚠",VLOOKUP(AH211,'G-3 Multipliers'!$S$3:$T$6,2,FALSE)))</f>
        <v/>
      </c>
      <c r="AJ211" s="545" t="str">
        <f t="shared" si="31"/>
        <v/>
      </c>
      <c r="AK211" s="149"/>
      <c r="AL211" s="150"/>
      <c r="AP211" s="31" t="str">
        <f>IFERROR(INDEX('G-6 Hedgerow Data'!$BJ$3:$BJ$15,MATCH(M211,'G-6 Hedgerow Data'!$B$3:$B$15,0)),"")</f>
        <v/>
      </c>
    </row>
    <row r="212" spans="2:42" ht="13.8" x14ac:dyDescent="0.25">
      <c r="B212" s="531" t="str">
        <f>'E-1 Off Site Hedge Baseline'!AK210</f>
        <v/>
      </c>
      <c r="C212" s="520" t="str">
        <f>IF(B212="","",IF(ISNA(VLOOKUP($B212,'E-1 Off Site Hedge Baseline'!$B$1:$L$257,3,FALSE)),"",(VLOOKUP($B212,'E-1 Off Site Hedge Baseline'!$B$1:$L$257,3,FALSE))))</f>
        <v/>
      </c>
      <c r="D212" s="520" t="str">
        <f>IF(B212="","",IF(ISNA(VLOOKUP($B212,'E-1 Off Site Hedge Baseline'!$B$1:$L$258,4,FALSE)),"",(VLOOKUP($B212,'E-1 Off Site Hedge Baseline'!$B$1:$L$258,4,FALSE))))</f>
        <v/>
      </c>
      <c r="E212" s="520" t="str">
        <f>IF(B212="","",IF(ISNA(VLOOKUP($B212,'E-1 Off Site Hedge Baseline'!$B$1:$L$257,5,FALSE)),"",(VLOOKUP($B212,'E-1 Off Site Hedge Baseline'!$B$1:$L$257,5,FALSE))))</f>
        <v/>
      </c>
      <c r="F212" s="520" t="str">
        <f>IF(B212="","",IF(ISNA(VLOOKUP($B212,'E-1 Off Site Hedge Baseline'!$B$1:$L$257,6,FALSE)),"",(VLOOKUP($B212,'E-1 Off Site Hedge Baseline'!$B$1:$L$257,6,FALSE))))</f>
        <v/>
      </c>
      <c r="G212" s="520" t="str">
        <f>IF(B212="","",IF(ISNA(VLOOKUP($B212,'E-1 Off Site Hedge Baseline'!$B$1:$L$257,7,FALSE)),"",(VLOOKUP($B212,'E-1 Off Site Hedge Baseline'!$B$1:$L$257,7,FALSE))))</f>
        <v/>
      </c>
      <c r="H212" s="520" t="str">
        <f>IF(B212="","",IF(ISNA(VLOOKUP($B212,'E-1 Off Site Hedge Baseline'!$B$1:$L$257,8,FALSE)),"",(VLOOKUP($B212,'E-1 Off Site Hedge Baseline'!$B$1:$L$257,8,FALSE))))</f>
        <v/>
      </c>
      <c r="I212" s="520" t="str">
        <f>IF(B212="","",IF(ISNA(VLOOKUP($B212,'E-1 Off Site Hedge Baseline'!$B$1:$L$257,10,FALSE)),"",(VLOOKUP($B212,'E-1 Off Site Hedge Baseline'!$B$1:$L$257,10,FALSE))))</f>
        <v/>
      </c>
      <c r="J212" s="520" t="str">
        <f>IF(B212="","",IF(ISNA(VLOOKUP($B212,'E-1 Off Site Hedge Baseline'!$B$1:$L$257,11,FALSE)),"",(VLOOKUP($B212,'E-1 Off Site Hedge Baseline'!$B$1:$L$257,11,FALSE))))</f>
        <v/>
      </c>
      <c r="K212" s="520" t="str">
        <f>IF(B212="","",IF(ISNA(VLOOKUP($B212,'E-1 Off Site Hedge Baseline'!$B$1:$U$257,113,FALSE)),"",(VLOOKUP($B212,'E-1 Off Site Hedge Baseline'!$B$1:$U$257,13,FALSE))))</f>
        <v/>
      </c>
      <c r="L212" s="507" t="str">
        <f>IF(B212="","",IF(ISNA(VLOOKUP($B212,'E-1 Off Site Hedge Baseline'!$B$1:$U$257,12,FALSE)),"",(VLOOKUP($B212,'E-1 Off Site Hedge Baseline'!$B$1:$U$257,12,FALSE))))</f>
        <v/>
      </c>
      <c r="M212" s="418" t="str">
        <f t="shared" si="32"/>
        <v/>
      </c>
      <c r="N212" s="498" t="str">
        <f>IFERROR(IF(B212="","",INDEX('G-6 Hedgerow Data'!$AN$3:$AZ$15,MATCH(C212,'G-6 Hedgerow Data'!$AM$3:$AM$15,0),MATCH(M212,'G-6 Hedgerow Data'!$AN$2:$AZ$2,0))),"")</f>
        <v/>
      </c>
      <c r="O212" s="499" t="str">
        <f t="shared" si="26"/>
        <v/>
      </c>
      <c r="P212" s="505" t="str">
        <f>IF(B212="","",VLOOKUP(B212,'E-1 Off Site Hedge Baseline'!$B$10:T457,16,FALSE))</f>
        <v/>
      </c>
      <c r="Q212" s="498" t="str">
        <f>IF(M212="","",VLOOKUP(M212,'G-6 Hedgerow Data'!$B$2:$AG$15,2,FALSE))</f>
        <v/>
      </c>
      <c r="R212" s="499" t="str">
        <f>IF(M212="","",VLOOKUP(M212,'G-6 Hedgerow Data'!$B$2:$AG$15,3,FALSE))</f>
        <v/>
      </c>
      <c r="S212" s="145"/>
      <c r="T212" s="499" t="str">
        <f>IFERROR(IF(AND(Q212="V.Low",OR(S212="Good",S212="Moderate")),"Error ▲",VLOOKUP(S212,'G-1 All Habitats'!$Z$2:$AA$9,2,FALSE)),"")</f>
        <v/>
      </c>
      <c r="U212" s="145"/>
      <c r="V212" s="507" t="str">
        <f>IF(U212="","",IF(VLOOKUP(U212,'G-3 Multipliers'!$L$3:$N$6,2,FALSE)=0,"Spatial Data Missing ⚠",VLOOKUP(U212,'G-3 Multipliers'!$L$3:$N$6,2,FALSE)))</f>
        <v/>
      </c>
      <c r="W212" s="505" t="str">
        <f>IF(U212="","",IF(VLOOKUP(U212,'G-3 Multipliers'!$L$3:$N$6,3,FALSE)=0,"Spatial Data Missing ⚠",VLOOKUP(U212,'G-3 Multipliers'!$L$3:$N$6,3,FALSE)))</f>
        <v/>
      </c>
      <c r="X212" s="498"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7" t="str">
        <f t="shared" si="27"/>
        <v/>
      </c>
      <c r="AB212" s="521" t="str">
        <f t="shared" si="28"/>
        <v/>
      </c>
      <c r="AC212" s="522" t="str">
        <f t="shared" si="25"/>
        <v/>
      </c>
      <c r="AD212" s="537" t="str">
        <f>IF(M212="","",VLOOKUP(M212,'G-6 Hedgerow Data'!$B$3:$AG$15,31,FALSE))</f>
        <v/>
      </c>
      <c r="AE212" s="520" t="str">
        <f t="shared" si="29"/>
        <v/>
      </c>
      <c r="AF212" s="520" t="str">
        <f t="shared" si="30"/>
        <v/>
      </c>
      <c r="AG212" s="524" t="str">
        <f>IFERROR(IF(O212="","",VLOOKUP(AD212,'G-3 Multipliers'!$P$3:$Q$6,2,FALSE)),"")</f>
        <v/>
      </c>
      <c r="AH212" s="197"/>
      <c r="AI212" s="499" t="str">
        <f>IF(AH212="","",IF(VLOOKUP(AH212,'G-3 Multipliers'!$S$3:$T$6,2,FALSE)=0,"Spatial Data Missing ⚠",VLOOKUP(AH212,'G-3 Multipliers'!$S$3:$T$6,2,FALSE)))</f>
        <v/>
      </c>
      <c r="AJ212" s="545" t="str">
        <f t="shared" si="31"/>
        <v/>
      </c>
      <c r="AK212" s="149"/>
      <c r="AL212" s="150"/>
      <c r="AP212" s="31" t="str">
        <f>IFERROR(INDEX('G-6 Hedgerow Data'!$BJ$3:$BJ$15,MATCH(M212,'G-6 Hedgerow Data'!$B$3:$B$15,0)),"")</f>
        <v/>
      </c>
    </row>
    <row r="213" spans="2:42" ht="13.8" x14ac:dyDescent="0.25">
      <c r="B213" s="531" t="str">
        <f>'E-1 Off Site Hedge Baseline'!AK211</f>
        <v/>
      </c>
      <c r="C213" s="520" t="str">
        <f>IF(B213="","",IF(ISNA(VLOOKUP($B213,'E-1 Off Site Hedge Baseline'!$B$1:$L$257,3,FALSE)),"",(VLOOKUP($B213,'E-1 Off Site Hedge Baseline'!$B$1:$L$257,3,FALSE))))</f>
        <v/>
      </c>
      <c r="D213" s="520" t="str">
        <f>IF(B213="","",IF(ISNA(VLOOKUP($B213,'E-1 Off Site Hedge Baseline'!$B$1:$L$258,4,FALSE)),"",(VLOOKUP($B213,'E-1 Off Site Hedge Baseline'!$B$1:$L$258,4,FALSE))))</f>
        <v/>
      </c>
      <c r="E213" s="520" t="str">
        <f>IF(B213="","",IF(ISNA(VLOOKUP($B213,'E-1 Off Site Hedge Baseline'!$B$1:$L$257,5,FALSE)),"",(VLOOKUP($B213,'E-1 Off Site Hedge Baseline'!$B$1:$L$257,5,FALSE))))</f>
        <v/>
      </c>
      <c r="F213" s="520" t="str">
        <f>IF(B213="","",IF(ISNA(VLOOKUP($B213,'E-1 Off Site Hedge Baseline'!$B$1:$L$257,6,FALSE)),"",(VLOOKUP($B213,'E-1 Off Site Hedge Baseline'!$B$1:$L$257,6,FALSE))))</f>
        <v/>
      </c>
      <c r="G213" s="520" t="str">
        <f>IF(B213="","",IF(ISNA(VLOOKUP($B213,'E-1 Off Site Hedge Baseline'!$B$1:$L$257,7,FALSE)),"",(VLOOKUP($B213,'E-1 Off Site Hedge Baseline'!$B$1:$L$257,7,FALSE))))</f>
        <v/>
      </c>
      <c r="H213" s="520" t="str">
        <f>IF(B213="","",IF(ISNA(VLOOKUP($B213,'E-1 Off Site Hedge Baseline'!$B$1:$L$257,8,FALSE)),"",(VLOOKUP($B213,'E-1 Off Site Hedge Baseline'!$B$1:$L$257,8,FALSE))))</f>
        <v/>
      </c>
      <c r="I213" s="520" t="str">
        <f>IF(B213="","",IF(ISNA(VLOOKUP($B213,'E-1 Off Site Hedge Baseline'!$B$1:$L$257,10,FALSE)),"",(VLOOKUP($B213,'E-1 Off Site Hedge Baseline'!$B$1:$L$257,10,FALSE))))</f>
        <v/>
      </c>
      <c r="J213" s="520" t="str">
        <f>IF(B213="","",IF(ISNA(VLOOKUP($B213,'E-1 Off Site Hedge Baseline'!$B$1:$L$257,11,FALSE)),"",(VLOOKUP($B213,'E-1 Off Site Hedge Baseline'!$B$1:$L$257,11,FALSE))))</f>
        <v/>
      </c>
      <c r="K213" s="520" t="str">
        <f>IF(B213="","",IF(ISNA(VLOOKUP($B213,'E-1 Off Site Hedge Baseline'!$B$1:$U$257,113,FALSE)),"",(VLOOKUP($B213,'E-1 Off Site Hedge Baseline'!$B$1:$U$257,13,FALSE))))</f>
        <v/>
      </c>
      <c r="L213" s="507" t="str">
        <f>IF(B213="","",IF(ISNA(VLOOKUP($B213,'E-1 Off Site Hedge Baseline'!$B$1:$U$257,12,FALSE)),"",(VLOOKUP($B213,'E-1 Off Site Hedge Baseline'!$B$1:$U$257,12,FALSE))))</f>
        <v/>
      </c>
      <c r="M213" s="418" t="str">
        <f t="shared" si="32"/>
        <v/>
      </c>
      <c r="N213" s="498" t="str">
        <f>IFERROR(IF(B213="","",INDEX('G-6 Hedgerow Data'!$AN$3:$AZ$15,MATCH(C213,'G-6 Hedgerow Data'!$AM$3:$AM$15,0),MATCH(M213,'G-6 Hedgerow Data'!$AN$2:$AZ$2,0))),"")</f>
        <v/>
      </c>
      <c r="O213" s="499" t="str">
        <f t="shared" si="26"/>
        <v/>
      </c>
      <c r="P213" s="505" t="str">
        <f>IF(B213="","",VLOOKUP(B213,'E-1 Off Site Hedge Baseline'!$B$10:T458,16,FALSE))</f>
        <v/>
      </c>
      <c r="Q213" s="498" t="str">
        <f>IF(M213="","",VLOOKUP(M213,'G-6 Hedgerow Data'!$B$2:$AG$15,2,FALSE))</f>
        <v/>
      </c>
      <c r="R213" s="499" t="str">
        <f>IF(M213="","",VLOOKUP(M213,'G-6 Hedgerow Data'!$B$2:$AG$15,3,FALSE))</f>
        <v/>
      </c>
      <c r="S213" s="145"/>
      <c r="T213" s="499" t="str">
        <f>IFERROR(IF(AND(Q213="V.Low",OR(S213="Good",S213="Moderate")),"Error ▲",VLOOKUP(S213,'G-1 All Habitats'!$Z$2:$AA$9,2,FALSE)),"")</f>
        <v/>
      </c>
      <c r="U213" s="145"/>
      <c r="V213" s="507" t="str">
        <f>IF(U213="","",IF(VLOOKUP(U213,'G-3 Multipliers'!$L$3:$N$6,2,FALSE)=0,"Spatial Data Missing ⚠",VLOOKUP(U213,'G-3 Multipliers'!$L$3:$N$6,2,FALSE)))</f>
        <v/>
      </c>
      <c r="W213" s="505" t="str">
        <f>IF(U213="","",IF(VLOOKUP(U213,'G-3 Multipliers'!$L$3:$N$6,3,FALSE)=0,"Spatial Data Missing ⚠",VLOOKUP(U213,'G-3 Multipliers'!$L$3:$N$6,3,FALSE)))</f>
        <v/>
      </c>
      <c r="X213" s="498"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7" t="str">
        <f t="shared" si="27"/>
        <v/>
      </c>
      <c r="AB213" s="521" t="str">
        <f t="shared" si="28"/>
        <v/>
      </c>
      <c r="AC213" s="522" t="str">
        <f t="shared" si="25"/>
        <v/>
      </c>
      <c r="AD213" s="537" t="str">
        <f>IF(M213="","",VLOOKUP(M213,'G-6 Hedgerow Data'!$B$3:$AG$15,31,FALSE))</f>
        <v/>
      </c>
      <c r="AE213" s="520" t="str">
        <f t="shared" si="29"/>
        <v/>
      </c>
      <c r="AF213" s="520" t="str">
        <f t="shared" si="30"/>
        <v/>
      </c>
      <c r="AG213" s="524" t="str">
        <f>IFERROR(IF(O213="","",VLOOKUP(AD213,'G-3 Multipliers'!$P$3:$Q$6,2,FALSE)),"")</f>
        <v/>
      </c>
      <c r="AH213" s="197"/>
      <c r="AI213" s="499" t="str">
        <f>IF(AH213="","",IF(VLOOKUP(AH213,'G-3 Multipliers'!$S$3:$T$6,2,FALSE)=0,"Spatial Data Missing ⚠",VLOOKUP(AH213,'G-3 Multipliers'!$S$3:$T$6,2,FALSE)))</f>
        <v/>
      </c>
      <c r="AJ213" s="545" t="str">
        <f t="shared" si="31"/>
        <v/>
      </c>
      <c r="AK213" s="149"/>
      <c r="AL213" s="150"/>
      <c r="AP213" s="31" t="str">
        <f>IFERROR(INDEX('G-6 Hedgerow Data'!$BJ$3:$BJ$15,MATCH(M213,'G-6 Hedgerow Data'!$B$3:$B$15,0)),"")</f>
        <v/>
      </c>
    </row>
    <row r="214" spans="2:42" ht="13.8" x14ac:dyDescent="0.25">
      <c r="B214" s="531" t="str">
        <f>'E-1 Off Site Hedge Baseline'!AK212</f>
        <v/>
      </c>
      <c r="C214" s="520" t="str">
        <f>IF(B214="","",IF(ISNA(VLOOKUP($B214,'E-1 Off Site Hedge Baseline'!$B$1:$L$257,3,FALSE)),"",(VLOOKUP($B214,'E-1 Off Site Hedge Baseline'!$B$1:$L$257,3,FALSE))))</f>
        <v/>
      </c>
      <c r="D214" s="520" t="str">
        <f>IF(B214="","",IF(ISNA(VLOOKUP($B214,'E-1 Off Site Hedge Baseline'!$B$1:$L$258,4,FALSE)),"",(VLOOKUP($B214,'E-1 Off Site Hedge Baseline'!$B$1:$L$258,4,FALSE))))</f>
        <v/>
      </c>
      <c r="E214" s="520" t="str">
        <f>IF(B214="","",IF(ISNA(VLOOKUP($B214,'E-1 Off Site Hedge Baseline'!$B$1:$L$257,5,FALSE)),"",(VLOOKUP($B214,'E-1 Off Site Hedge Baseline'!$B$1:$L$257,5,FALSE))))</f>
        <v/>
      </c>
      <c r="F214" s="520" t="str">
        <f>IF(B214="","",IF(ISNA(VLOOKUP($B214,'E-1 Off Site Hedge Baseline'!$B$1:$L$257,6,FALSE)),"",(VLOOKUP($B214,'E-1 Off Site Hedge Baseline'!$B$1:$L$257,6,FALSE))))</f>
        <v/>
      </c>
      <c r="G214" s="520" t="str">
        <f>IF(B214="","",IF(ISNA(VLOOKUP($B214,'E-1 Off Site Hedge Baseline'!$B$1:$L$257,7,FALSE)),"",(VLOOKUP($B214,'E-1 Off Site Hedge Baseline'!$B$1:$L$257,7,FALSE))))</f>
        <v/>
      </c>
      <c r="H214" s="520" t="str">
        <f>IF(B214="","",IF(ISNA(VLOOKUP($B214,'E-1 Off Site Hedge Baseline'!$B$1:$L$257,8,FALSE)),"",(VLOOKUP($B214,'E-1 Off Site Hedge Baseline'!$B$1:$L$257,8,FALSE))))</f>
        <v/>
      </c>
      <c r="I214" s="520" t="str">
        <f>IF(B214="","",IF(ISNA(VLOOKUP($B214,'E-1 Off Site Hedge Baseline'!$B$1:$L$257,10,FALSE)),"",(VLOOKUP($B214,'E-1 Off Site Hedge Baseline'!$B$1:$L$257,10,FALSE))))</f>
        <v/>
      </c>
      <c r="J214" s="520" t="str">
        <f>IF(B214="","",IF(ISNA(VLOOKUP($B214,'E-1 Off Site Hedge Baseline'!$B$1:$L$257,11,FALSE)),"",(VLOOKUP($B214,'E-1 Off Site Hedge Baseline'!$B$1:$L$257,11,FALSE))))</f>
        <v/>
      </c>
      <c r="K214" s="520" t="str">
        <f>IF(B214="","",IF(ISNA(VLOOKUP($B214,'E-1 Off Site Hedge Baseline'!$B$1:$U$257,113,FALSE)),"",(VLOOKUP($B214,'E-1 Off Site Hedge Baseline'!$B$1:$U$257,13,FALSE))))</f>
        <v/>
      </c>
      <c r="L214" s="507" t="str">
        <f>IF(B214="","",IF(ISNA(VLOOKUP($B214,'E-1 Off Site Hedge Baseline'!$B$1:$U$257,12,FALSE)),"",(VLOOKUP($B214,'E-1 Off Site Hedge Baseline'!$B$1:$U$257,12,FALSE))))</f>
        <v/>
      </c>
      <c r="M214" s="418" t="str">
        <f t="shared" si="32"/>
        <v/>
      </c>
      <c r="N214" s="498" t="str">
        <f>IFERROR(IF(B214="","",INDEX('G-6 Hedgerow Data'!$AN$3:$AZ$15,MATCH(C214,'G-6 Hedgerow Data'!$AM$3:$AM$15,0),MATCH(M214,'G-6 Hedgerow Data'!$AN$2:$AZ$2,0))),"")</f>
        <v/>
      </c>
      <c r="O214" s="499" t="str">
        <f t="shared" si="26"/>
        <v/>
      </c>
      <c r="P214" s="505" t="str">
        <f>IF(B214="","",VLOOKUP(B214,'E-1 Off Site Hedge Baseline'!$B$10:T459,16,FALSE))</f>
        <v/>
      </c>
      <c r="Q214" s="498" t="str">
        <f>IF(M214="","",VLOOKUP(M214,'G-6 Hedgerow Data'!$B$2:$AG$15,2,FALSE))</f>
        <v/>
      </c>
      <c r="R214" s="499" t="str">
        <f>IF(M214="","",VLOOKUP(M214,'G-6 Hedgerow Data'!$B$2:$AG$15,3,FALSE))</f>
        <v/>
      </c>
      <c r="S214" s="145"/>
      <c r="T214" s="499" t="str">
        <f>IFERROR(IF(AND(Q214="V.Low",OR(S214="Good",S214="Moderate")),"Error ▲",VLOOKUP(S214,'G-1 All Habitats'!$Z$2:$AA$9,2,FALSE)),"")</f>
        <v/>
      </c>
      <c r="U214" s="145"/>
      <c r="V214" s="507" t="str">
        <f>IF(U214="","",IF(VLOOKUP(U214,'G-3 Multipliers'!$L$3:$N$6,2,FALSE)=0,"Spatial Data Missing ⚠",VLOOKUP(U214,'G-3 Multipliers'!$L$3:$N$6,2,FALSE)))</f>
        <v/>
      </c>
      <c r="W214" s="505" t="str">
        <f>IF(U214="","",IF(VLOOKUP(U214,'G-3 Multipliers'!$L$3:$N$6,3,FALSE)=0,"Spatial Data Missing ⚠",VLOOKUP(U214,'G-3 Multipliers'!$L$3:$N$6,3,FALSE)))</f>
        <v/>
      </c>
      <c r="X214" s="498"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7" t="str">
        <f t="shared" si="27"/>
        <v/>
      </c>
      <c r="AB214" s="521" t="str">
        <f t="shared" si="28"/>
        <v/>
      </c>
      <c r="AC214" s="522" t="str">
        <f t="shared" si="25"/>
        <v/>
      </c>
      <c r="AD214" s="537" t="str">
        <f>IF(M214="","",VLOOKUP(M214,'G-6 Hedgerow Data'!$B$3:$AG$15,31,FALSE))</f>
        <v/>
      </c>
      <c r="AE214" s="520" t="str">
        <f t="shared" si="29"/>
        <v/>
      </c>
      <c r="AF214" s="520" t="str">
        <f t="shared" si="30"/>
        <v/>
      </c>
      <c r="AG214" s="524" t="str">
        <f>IFERROR(IF(O214="","",VLOOKUP(AD214,'G-3 Multipliers'!$P$3:$Q$6,2,FALSE)),"")</f>
        <v/>
      </c>
      <c r="AH214" s="197"/>
      <c r="AI214" s="499" t="str">
        <f>IF(AH214="","",IF(VLOOKUP(AH214,'G-3 Multipliers'!$S$3:$T$6,2,FALSE)=0,"Spatial Data Missing ⚠",VLOOKUP(AH214,'G-3 Multipliers'!$S$3:$T$6,2,FALSE)))</f>
        <v/>
      </c>
      <c r="AJ214" s="545" t="str">
        <f t="shared" si="31"/>
        <v/>
      </c>
      <c r="AK214" s="149"/>
      <c r="AL214" s="150"/>
      <c r="AP214" s="31" t="str">
        <f>IFERROR(INDEX('G-6 Hedgerow Data'!$BJ$3:$BJ$15,MATCH(M214,'G-6 Hedgerow Data'!$B$3:$B$15,0)),"")</f>
        <v/>
      </c>
    </row>
    <row r="215" spans="2:42" ht="13.8" x14ac:dyDescent="0.25">
      <c r="B215" s="531" t="str">
        <f>'E-1 Off Site Hedge Baseline'!AK213</f>
        <v/>
      </c>
      <c r="C215" s="520" t="str">
        <f>IF(B215="","",IF(ISNA(VLOOKUP($B215,'E-1 Off Site Hedge Baseline'!$B$1:$L$257,3,FALSE)),"",(VLOOKUP($B215,'E-1 Off Site Hedge Baseline'!$B$1:$L$257,3,FALSE))))</f>
        <v/>
      </c>
      <c r="D215" s="520" t="str">
        <f>IF(B215="","",IF(ISNA(VLOOKUP($B215,'E-1 Off Site Hedge Baseline'!$B$1:$L$258,4,FALSE)),"",(VLOOKUP($B215,'E-1 Off Site Hedge Baseline'!$B$1:$L$258,4,FALSE))))</f>
        <v/>
      </c>
      <c r="E215" s="520" t="str">
        <f>IF(B215="","",IF(ISNA(VLOOKUP($B215,'E-1 Off Site Hedge Baseline'!$B$1:$L$257,5,FALSE)),"",(VLOOKUP($B215,'E-1 Off Site Hedge Baseline'!$B$1:$L$257,5,FALSE))))</f>
        <v/>
      </c>
      <c r="F215" s="520" t="str">
        <f>IF(B215="","",IF(ISNA(VLOOKUP($B215,'E-1 Off Site Hedge Baseline'!$B$1:$L$257,6,FALSE)),"",(VLOOKUP($B215,'E-1 Off Site Hedge Baseline'!$B$1:$L$257,6,FALSE))))</f>
        <v/>
      </c>
      <c r="G215" s="520" t="str">
        <f>IF(B215="","",IF(ISNA(VLOOKUP($B215,'E-1 Off Site Hedge Baseline'!$B$1:$L$257,7,FALSE)),"",(VLOOKUP($B215,'E-1 Off Site Hedge Baseline'!$B$1:$L$257,7,FALSE))))</f>
        <v/>
      </c>
      <c r="H215" s="520" t="str">
        <f>IF(B215="","",IF(ISNA(VLOOKUP($B215,'E-1 Off Site Hedge Baseline'!$B$1:$L$257,8,FALSE)),"",(VLOOKUP($B215,'E-1 Off Site Hedge Baseline'!$B$1:$L$257,8,FALSE))))</f>
        <v/>
      </c>
      <c r="I215" s="520" t="str">
        <f>IF(B215="","",IF(ISNA(VLOOKUP($B215,'E-1 Off Site Hedge Baseline'!$B$1:$L$257,10,FALSE)),"",(VLOOKUP($B215,'E-1 Off Site Hedge Baseline'!$B$1:$L$257,10,FALSE))))</f>
        <v/>
      </c>
      <c r="J215" s="520" t="str">
        <f>IF(B215="","",IF(ISNA(VLOOKUP($B215,'E-1 Off Site Hedge Baseline'!$B$1:$L$257,11,FALSE)),"",(VLOOKUP($B215,'E-1 Off Site Hedge Baseline'!$B$1:$L$257,11,FALSE))))</f>
        <v/>
      </c>
      <c r="K215" s="520" t="str">
        <f>IF(B215="","",IF(ISNA(VLOOKUP($B215,'E-1 Off Site Hedge Baseline'!$B$1:$U$257,113,FALSE)),"",(VLOOKUP($B215,'E-1 Off Site Hedge Baseline'!$B$1:$U$257,13,FALSE))))</f>
        <v/>
      </c>
      <c r="L215" s="507" t="str">
        <f>IF(B215="","",IF(ISNA(VLOOKUP($B215,'E-1 Off Site Hedge Baseline'!$B$1:$U$257,12,FALSE)),"",(VLOOKUP($B215,'E-1 Off Site Hedge Baseline'!$B$1:$U$257,12,FALSE))))</f>
        <v/>
      </c>
      <c r="M215" s="418" t="str">
        <f t="shared" si="32"/>
        <v/>
      </c>
      <c r="N215" s="498" t="str">
        <f>IFERROR(IF(B215="","",INDEX('G-6 Hedgerow Data'!$AN$3:$AZ$15,MATCH(C215,'G-6 Hedgerow Data'!$AM$3:$AM$15,0),MATCH(M215,'G-6 Hedgerow Data'!$AN$2:$AZ$2,0))),"")</f>
        <v/>
      </c>
      <c r="O215" s="499" t="str">
        <f t="shared" si="26"/>
        <v/>
      </c>
      <c r="P215" s="505" t="str">
        <f>IF(B215="","",VLOOKUP(B215,'E-1 Off Site Hedge Baseline'!$B$10:T460,16,FALSE))</f>
        <v/>
      </c>
      <c r="Q215" s="498" t="str">
        <f>IF(M215="","",VLOOKUP(M215,'G-6 Hedgerow Data'!$B$2:$AG$15,2,FALSE))</f>
        <v/>
      </c>
      <c r="R215" s="499" t="str">
        <f>IF(M215="","",VLOOKUP(M215,'G-6 Hedgerow Data'!$B$2:$AG$15,3,FALSE))</f>
        <v/>
      </c>
      <c r="S215" s="145"/>
      <c r="T215" s="499" t="str">
        <f>IFERROR(IF(AND(Q215="V.Low",OR(S215="Good",S215="Moderate")),"Error ▲",VLOOKUP(S215,'G-1 All Habitats'!$Z$2:$AA$9,2,FALSE)),"")</f>
        <v/>
      </c>
      <c r="U215" s="145"/>
      <c r="V215" s="507" t="str">
        <f>IF(U215="","",IF(VLOOKUP(U215,'G-3 Multipliers'!$L$3:$N$6,2,FALSE)=0,"Spatial Data Missing ⚠",VLOOKUP(U215,'G-3 Multipliers'!$L$3:$N$6,2,FALSE)))</f>
        <v/>
      </c>
      <c r="W215" s="505" t="str">
        <f>IF(U215="","",IF(VLOOKUP(U215,'G-3 Multipliers'!$L$3:$N$6,3,FALSE)=0,"Spatial Data Missing ⚠",VLOOKUP(U215,'G-3 Multipliers'!$L$3:$N$6,3,FALSE)))</f>
        <v/>
      </c>
      <c r="X215" s="498"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7" t="str">
        <f t="shared" si="27"/>
        <v/>
      </c>
      <c r="AB215" s="521" t="str">
        <f t="shared" si="28"/>
        <v/>
      </c>
      <c r="AC215" s="522" t="str">
        <f t="shared" si="25"/>
        <v/>
      </c>
      <c r="AD215" s="537" t="str">
        <f>IF(M215="","",VLOOKUP(M215,'G-6 Hedgerow Data'!$B$3:$AG$15,31,FALSE))</f>
        <v/>
      </c>
      <c r="AE215" s="520" t="str">
        <f t="shared" si="29"/>
        <v/>
      </c>
      <c r="AF215" s="520" t="str">
        <f t="shared" si="30"/>
        <v/>
      </c>
      <c r="AG215" s="524" t="str">
        <f>IFERROR(IF(O215="","",VLOOKUP(AD215,'G-3 Multipliers'!$P$3:$Q$6,2,FALSE)),"")</f>
        <v/>
      </c>
      <c r="AH215" s="197"/>
      <c r="AI215" s="499" t="str">
        <f>IF(AH215="","",IF(VLOOKUP(AH215,'G-3 Multipliers'!$S$3:$T$6,2,FALSE)=0,"Spatial Data Missing ⚠",VLOOKUP(AH215,'G-3 Multipliers'!$S$3:$T$6,2,FALSE)))</f>
        <v/>
      </c>
      <c r="AJ215" s="545" t="str">
        <f t="shared" si="31"/>
        <v/>
      </c>
      <c r="AK215" s="149"/>
      <c r="AL215" s="150"/>
      <c r="AP215" s="31" t="str">
        <f>IFERROR(INDEX('G-6 Hedgerow Data'!$BJ$3:$BJ$15,MATCH(M215,'G-6 Hedgerow Data'!$B$3:$B$15,0)),"")</f>
        <v/>
      </c>
    </row>
    <row r="216" spans="2:42" ht="13.8" x14ac:dyDescent="0.25">
      <c r="B216" s="531" t="str">
        <f>'E-1 Off Site Hedge Baseline'!AK214</f>
        <v/>
      </c>
      <c r="C216" s="520" t="str">
        <f>IF(B216="","",IF(ISNA(VLOOKUP($B216,'E-1 Off Site Hedge Baseline'!$B$1:$L$257,3,FALSE)),"",(VLOOKUP($B216,'E-1 Off Site Hedge Baseline'!$B$1:$L$257,3,FALSE))))</f>
        <v/>
      </c>
      <c r="D216" s="520" t="str">
        <f>IF(B216="","",IF(ISNA(VLOOKUP($B216,'E-1 Off Site Hedge Baseline'!$B$1:$L$258,4,FALSE)),"",(VLOOKUP($B216,'E-1 Off Site Hedge Baseline'!$B$1:$L$258,4,FALSE))))</f>
        <v/>
      </c>
      <c r="E216" s="520" t="str">
        <f>IF(B216="","",IF(ISNA(VLOOKUP($B216,'E-1 Off Site Hedge Baseline'!$B$1:$L$257,5,FALSE)),"",(VLOOKUP($B216,'E-1 Off Site Hedge Baseline'!$B$1:$L$257,5,FALSE))))</f>
        <v/>
      </c>
      <c r="F216" s="520" t="str">
        <f>IF(B216="","",IF(ISNA(VLOOKUP($B216,'E-1 Off Site Hedge Baseline'!$B$1:$L$257,6,FALSE)),"",(VLOOKUP($B216,'E-1 Off Site Hedge Baseline'!$B$1:$L$257,6,FALSE))))</f>
        <v/>
      </c>
      <c r="G216" s="520" t="str">
        <f>IF(B216="","",IF(ISNA(VLOOKUP($B216,'E-1 Off Site Hedge Baseline'!$B$1:$L$257,7,FALSE)),"",(VLOOKUP($B216,'E-1 Off Site Hedge Baseline'!$B$1:$L$257,7,FALSE))))</f>
        <v/>
      </c>
      <c r="H216" s="520" t="str">
        <f>IF(B216="","",IF(ISNA(VLOOKUP($B216,'E-1 Off Site Hedge Baseline'!$B$1:$L$257,8,FALSE)),"",(VLOOKUP($B216,'E-1 Off Site Hedge Baseline'!$B$1:$L$257,8,FALSE))))</f>
        <v/>
      </c>
      <c r="I216" s="520" t="str">
        <f>IF(B216="","",IF(ISNA(VLOOKUP($B216,'E-1 Off Site Hedge Baseline'!$B$1:$L$257,10,FALSE)),"",(VLOOKUP($B216,'E-1 Off Site Hedge Baseline'!$B$1:$L$257,10,FALSE))))</f>
        <v/>
      </c>
      <c r="J216" s="520" t="str">
        <f>IF(B216="","",IF(ISNA(VLOOKUP($B216,'E-1 Off Site Hedge Baseline'!$B$1:$L$257,11,FALSE)),"",(VLOOKUP($B216,'E-1 Off Site Hedge Baseline'!$B$1:$L$257,11,FALSE))))</f>
        <v/>
      </c>
      <c r="K216" s="520" t="str">
        <f>IF(B216="","",IF(ISNA(VLOOKUP($B216,'E-1 Off Site Hedge Baseline'!$B$1:$U$257,113,FALSE)),"",(VLOOKUP($B216,'E-1 Off Site Hedge Baseline'!$B$1:$U$257,13,FALSE))))</f>
        <v/>
      </c>
      <c r="L216" s="507" t="str">
        <f>IF(B216="","",IF(ISNA(VLOOKUP($B216,'E-1 Off Site Hedge Baseline'!$B$1:$U$257,12,FALSE)),"",(VLOOKUP($B216,'E-1 Off Site Hedge Baseline'!$B$1:$U$257,12,FALSE))))</f>
        <v/>
      </c>
      <c r="M216" s="418" t="str">
        <f t="shared" si="32"/>
        <v/>
      </c>
      <c r="N216" s="498" t="str">
        <f>IFERROR(IF(B216="","",INDEX('G-6 Hedgerow Data'!$AN$3:$AZ$15,MATCH(C216,'G-6 Hedgerow Data'!$AM$3:$AM$15,0),MATCH(M216,'G-6 Hedgerow Data'!$AN$2:$AZ$2,0))),"")</f>
        <v/>
      </c>
      <c r="O216" s="499" t="str">
        <f t="shared" si="26"/>
        <v/>
      </c>
      <c r="P216" s="505" t="str">
        <f>IF(B216="","",VLOOKUP(B216,'E-1 Off Site Hedge Baseline'!$B$10:T461,16,FALSE))</f>
        <v/>
      </c>
      <c r="Q216" s="498" t="str">
        <f>IF(M216="","",VLOOKUP(M216,'G-6 Hedgerow Data'!$B$2:$AG$15,2,FALSE))</f>
        <v/>
      </c>
      <c r="R216" s="499" t="str">
        <f>IF(M216="","",VLOOKUP(M216,'G-6 Hedgerow Data'!$B$2:$AG$15,3,FALSE))</f>
        <v/>
      </c>
      <c r="S216" s="145"/>
      <c r="T216" s="499" t="str">
        <f>IFERROR(IF(AND(Q216="V.Low",OR(S216="Good",S216="Moderate")),"Error ▲",VLOOKUP(S216,'G-1 All Habitats'!$Z$2:$AA$9,2,FALSE)),"")</f>
        <v/>
      </c>
      <c r="U216" s="145"/>
      <c r="V216" s="507" t="str">
        <f>IF(U216="","",IF(VLOOKUP(U216,'G-3 Multipliers'!$L$3:$N$6,2,FALSE)=0,"Spatial Data Missing ⚠",VLOOKUP(U216,'G-3 Multipliers'!$L$3:$N$6,2,FALSE)))</f>
        <v/>
      </c>
      <c r="W216" s="505" t="str">
        <f>IF(U216="","",IF(VLOOKUP(U216,'G-3 Multipliers'!$L$3:$N$6,3,FALSE)=0,"Spatial Data Missing ⚠",VLOOKUP(U216,'G-3 Multipliers'!$L$3:$N$6,3,FALSE)))</f>
        <v/>
      </c>
      <c r="X216" s="498"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7" t="str">
        <f t="shared" si="27"/>
        <v/>
      </c>
      <c r="AB216" s="521" t="str">
        <f t="shared" si="28"/>
        <v/>
      </c>
      <c r="AC216" s="522" t="str">
        <f t="shared" si="25"/>
        <v/>
      </c>
      <c r="AD216" s="537" t="str">
        <f>IF(M216="","",VLOOKUP(M216,'G-6 Hedgerow Data'!$B$3:$AG$15,31,FALSE))</f>
        <v/>
      </c>
      <c r="AE216" s="520" t="str">
        <f t="shared" si="29"/>
        <v/>
      </c>
      <c r="AF216" s="520" t="str">
        <f t="shared" si="30"/>
        <v/>
      </c>
      <c r="AG216" s="524" t="str">
        <f>IFERROR(IF(O216="","",VLOOKUP(AD216,'G-3 Multipliers'!$P$3:$Q$6,2,FALSE)),"")</f>
        <v/>
      </c>
      <c r="AH216" s="197"/>
      <c r="AI216" s="499" t="str">
        <f>IF(AH216="","",IF(VLOOKUP(AH216,'G-3 Multipliers'!$S$3:$T$6,2,FALSE)=0,"Spatial Data Missing ⚠",VLOOKUP(AH216,'G-3 Multipliers'!$S$3:$T$6,2,FALSE)))</f>
        <v/>
      </c>
      <c r="AJ216" s="545" t="str">
        <f t="shared" si="31"/>
        <v/>
      </c>
      <c r="AK216" s="149"/>
      <c r="AL216" s="150"/>
      <c r="AP216" s="31" t="str">
        <f>IFERROR(INDEX('G-6 Hedgerow Data'!$BJ$3:$BJ$15,MATCH(M216,'G-6 Hedgerow Data'!$B$3:$B$15,0)),"")</f>
        <v/>
      </c>
    </row>
    <row r="217" spans="2:42" ht="13.8" x14ac:dyDescent="0.25">
      <c r="B217" s="531" t="str">
        <f>'E-1 Off Site Hedge Baseline'!AK215</f>
        <v/>
      </c>
      <c r="C217" s="520" t="str">
        <f>IF(B217="","",IF(ISNA(VLOOKUP($B217,'E-1 Off Site Hedge Baseline'!$B$1:$L$257,3,FALSE)),"",(VLOOKUP($B217,'E-1 Off Site Hedge Baseline'!$B$1:$L$257,3,FALSE))))</f>
        <v/>
      </c>
      <c r="D217" s="520" t="str">
        <f>IF(B217="","",IF(ISNA(VLOOKUP($B217,'E-1 Off Site Hedge Baseline'!$B$1:$L$258,4,FALSE)),"",(VLOOKUP($B217,'E-1 Off Site Hedge Baseline'!$B$1:$L$258,4,FALSE))))</f>
        <v/>
      </c>
      <c r="E217" s="520" t="str">
        <f>IF(B217="","",IF(ISNA(VLOOKUP($B217,'E-1 Off Site Hedge Baseline'!$B$1:$L$257,5,FALSE)),"",(VLOOKUP($B217,'E-1 Off Site Hedge Baseline'!$B$1:$L$257,5,FALSE))))</f>
        <v/>
      </c>
      <c r="F217" s="520" t="str">
        <f>IF(B217="","",IF(ISNA(VLOOKUP($B217,'E-1 Off Site Hedge Baseline'!$B$1:$L$257,6,FALSE)),"",(VLOOKUP($B217,'E-1 Off Site Hedge Baseline'!$B$1:$L$257,6,FALSE))))</f>
        <v/>
      </c>
      <c r="G217" s="520" t="str">
        <f>IF(B217="","",IF(ISNA(VLOOKUP($B217,'E-1 Off Site Hedge Baseline'!$B$1:$L$257,7,FALSE)),"",(VLOOKUP($B217,'E-1 Off Site Hedge Baseline'!$B$1:$L$257,7,FALSE))))</f>
        <v/>
      </c>
      <c r="H217" s="520" t="str">
        <f>IF(B217="","",IF(ISNA(VLOOKUP($B217,'E-1 Off Site Hedge Baseline'!$B$1:$L$257,8,FALSE)),"",(VLOOKUP($B217,'E-1 Off Site Hedge Baseline'!$B$1:$L$257,8,FALSE))))</f>
        <v/>
      </c>
      <c r="I217" s="520" t="str">
        <f>IF(B217="","",IF(ISNA(VLOOKUP($B217,'E-1 Off Site Hedge Baseline'!$B$1:$L$257,10,FALSE)),"",(VLOOKUP($B217,'E-1 Off Site Hedge Baseline'!$B$1:$L$257,10,FALSE))))</f>
        <v/>
      </c>
      <c r="J217" s="520" t="str">
        <f>IF(B217="","",IF(ISNA(VLOOKUP($B217,'E-1 Off Site Hedge Baseline'!$B$1:$L$257,11,FALSE)),"",(VLOOKUP($B217,'E-1 Off Site Hedge Baseline'!$B$1:$L$257,11,FALSE))))</f>
        <v/>
      </c>
      <c r="K217" s="520" t="str">
        <f>IF(B217="","",IF(ISNA(VLOOKUP($B217,'E-1 Off Site Hedge Baseline'!$B$1:$U$257,113,FALSE)),"",(VLOOKUP($B217,'E-1 Off Site Hedge Baseline'!$B$1:$U$257,13,FALSE))))</f>
        <v/>
      </c>
      <c r="L217" s="507" t="str">
        <f>IF(B217="","",IF(ISNA(VLOOKUP($B217,'E-1 Off Site Hedge Baseline'!$B$1:$U$257,12,FALSE)),"",(VLOOKUP($B217,'E-1 Off Site Hedge Baseline'!$B$1:$U$257,12,FALSE))))</f>
        <v/>
      </c>
      <c r="M217" s="418" t="str">
        <f t="shared" si="32"/>
        <v/>
      </c>
      <c r="N217" s="498" t="str">
        <f>IFERROR(IF(B217="","",INDEX('G-6 Hedgerow Data'!$AN$3:$AZ$15,MATCH(C217,'G-6 Hedgerow Data'!$AM$3:$AM$15,0),MATCH(M217,'G-6 Hedgerow Data'!$AN$2:$AZ$2,0))),"")</f>
        <v/>
      </c>
      <c r="O217" s="499" t="str">
        <f t="shared" si="26"/>
        <v/>
      </c>
      <c r="P217" s="505" t="str">
        <f>IF(B217="","",VLOOKUP(B217,'E-1 Off Site Hedge Baseline'!$B$10:T462,16,FALSE))</f>
        <v/>
      </c>
      <c r="Q217" s="498" t="str">
        <f>IF(M217="","",VLOOKUP(M217,'G-6 Hedgerow Data'!$B$2:$AG$15,2,FALSE))</f>
        <v/>
      </c>
      <c r="R217" s="499" t="str">
        <f>IF(M217="","",VLOOKUP(M217,'G-6 Hedgerow Data'!$B$2:$AG$15,3,FALSE))</f>
        <v/>
      </c>
      <c r="S217" s="145"/>
      <c r="T217" s="499" t="str">
        <f>IFERROR(IF(AND(Q217="V.Low",OR(S217="Good",S217="Moderate")),"Error ▲",VLOOKUP(S217,'G-1 All Habitats'!$Z$2:$AA$9,2,FALSE)),"")</f>
        <v/>
      </c>
      <c r="U217" s="145"/>
      <c r="V217" s="507" t="str">
        <f>IF(U217="","",IF(VLOOKUP(U217,'G-3 Multipliers'!$L$3:$N$6,2,FALSE)=0,"Spatial Data Missing ⚠",VLOOKUP(U217,'G-3 Multipliers'!$L$3:$N$6,2,FALSE)))</f>
        <v/>
      </c>
      <c r="W217" s="505" t="str">
        <f>IF(U217="","",IF(VLOOKUP(U217,'G-3 Multipliers'!$L$3:$N$6,3,FALSE)=0,"Spatial Data Missing ⚠",VLOOKUP(U217,'G-3 Multipliers'!$L$3:$N$6,3,FALSE)))</f>
        <v/>
      </c>
      <c r="X217" s="498"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7" t="str">
        <f t="shared" si="27"/>
        <v/>
      </c>
      <c r="AB217" s="521" t="str">
        <f t="shared" si="28"/>
        <v/>
      </c>
      <c r="AC217" s="522" t="str">
        <f t="shared" si="25"/>
        <v/>
      </c>
      <c r="AD217" s="537" t="str">
        <f>IF(M217="","",VLOOKUP(M217,'G-6 Hedgerow Data'!$B$3:$AG$15,31,FALSE))</f>
        <v/>
      </c>
      <c r="AE217" s="520" t="str">
        <f t="shared" si="29"/>
        <v/>
      </c>
      <c r="AF217" s="520" t="str">
        <f t="shared" si="30"/>
        <v/>
      </c>
      <c r="AG217" s="524" t="str">
        <f>IFERROR(IF(O217="","",VLOOKUP(AD217,'G-3 Multipliers'!$P$3:$Q$6,2,FALSE)),"")</f>
        <v/>
      </c>
      <c r="AH217" s="197"/>
      <c r="AI217" s="499" t="str">
        <f>IF(AH217="","",IF(VLOOKUP(AH217,'G-3 Multipliers'!$S$3:$T$6,2,FALSE)=0,"Spatial Data Missing ⚠",VLOOKUP(AH217,'G-3 Multipliers'!$S$3:$T$6,2,FALSE)))</f>
        <v/>
      </c>
      <c r="AJ217" s="545" t="str">
        <f t="shared" si="31"/>
        <v/>
      </c>
      <c r="AK217" s="149"/>
      <c r="AL217" s="150"/>
      <c r="AP217" s="31" t="str">
        <f>IFERROR(INDEX('G-6 Hedgerow Data'!$BJ$3:$BJ$15,MATCH(M217,'G-6 Hedgerow Data'!$B$3:$B$15,0)),"")</f>
        <v/>
      </c>
    </row>
    <row r="218" spans="2:42" ht="13.8" x14ac:dyDescent="0.25">
      <c r="B218" s="531" t="str">
        <f>'E-1 Off Site Hedge Baseline'!AK216</f>
        <v/>
      </c>
      <c r="C218" s="520" t="str">
        <f>IF(B218="","",IF(ISNA(VLOOKUP($B218,'E-1 Off Site Hedge Baseline'!$B$1:$L$257,3,FALSE)),"",(VLOOKUP($B218,'E-1 Off Site Hedge Baseline'!$B$1:$L$257,3,FALSE))))</f>
        <v/>
      </c>
      <c r="D218" s="520" t="str">
        <f>IF(B218="","",IF(ISNA(VLOOKUP($B218,'E-1 Off Site Hedge Baseline'!$B$1:$L$258,4,FALSE)),"",(VLOOKUP($B218,'E-1 Off Site Hedge Baseline'!$B$1:$L$258,4,FALSE))))</f>
        <v/>
      </c>
      <c r="E218" s="520" t="str">
        <f>IF(B218="","",IF(ISNA(VLOOKUP($B218,'E-1 Off Site Hedge Baseline'!$B$1:$L$257,5,FALSE)),"",(VLOOKUP($B218,'E-1 Off Site Hedge Baseline'!$B$1:$L$257,5,FALSE))))</f>
        <v/>
      </c>
      <c r="F218" s="520" t="str">
        <f>IF(B218="","",IF(ISNA(VLOOKUP($B218,'E-1 Off Site Hedge Baseline'!$B$1:$L$257,6,FALSE)),"",(VLOOKUP($B218,'E-1 Off Site Hedge Baseline'!$B$1:$L$257,6,FALSE))))</f>
        <v/>
      </c>
      <c r="G218" s="520" t="str">
        <f>IF(B218="","",IF(ISNA(VLOOKUP($B218,'E-1 Off Site Hedge Baseline'!$B$1:$L$257,7,FALSE)),"",(VLOOKUP($B218,'E-1 Off Site Hedge Baseline'!$B$1:$L$257,7,FALSE))))</f>
        <v/>
      </c>
      <c r="H218" s="520" t="str">
        <f>IF(B218="","",IF(ISNA(VLOOKUP($B218,'E-1 Off Site Hedge Baseline'!$B$1:$L$257,8,FALSE)),"",(VLOOKUP($B218,'E-1 Off Site Hedge Baseline'!$B$1:$L$257,8,FALSE))))</f>
        <v/>
      </c>
      <c r="I218" s="520" t="str">
        <f>IF(B218="","",IF(ISNA(VLOOKUP($B218,'E-1 Off Site Hedge Baseline'!$B$1:$L$257,10,FALSE)),"",(VLOOKUP($B218,'E-1 Off Site Hedge Baseline'!$B$1:$L$257,10,FALSE))))</f>
        <v/>
      </c>
      <c r="J218" s="520" t="str">
        <f>IF(B218="","",IF(ISNA(VLOOKUP($B218,'E-1 Off Site Hedge Baseline'!$B$1:$L$257,11,FALSE)),"",(VLOOKUP($B218,'E-1 Off Site Hedge Baseline'!$B$1:$L$257,11,FALSE))))</f>
        <v/>
      </c>
      <c r="K218" s="520" t="str">
        <f>IF(B218="","",IF(ISNA(VLOOKUP($B218,'E-1 Off Site Hedge Baseline'!$B$1:$U$257,113,FALSE)),"",(VLOOKUP($B218,'E-1 Off Site Hedge Baseline'!$B$1:$U$257,13,FALSE))))</f>
        <v/>
      </c>
      <c r="L218" s="507" t="str">
        <f>IF(B218="","",IF(ISNA(VLOOKUP($B218,'E-1 Off Site Hedge Baseline'!$B$1:$U$257,12,FALSE)),"",(VLOOKUP($B218,'E-1 Off Site Hedge Baseline'!$B$1:$U$257,12,FALSE))))</f>
        <v/>
      </c>
      <c r="M218" s="418" t="str">
        <f t="shared" si="32"/>
        <v/>
      </c>
      <c r="N218" s="498" t="str">
        <f>IFERROR(IF(B218="","",INDEX('G-6 Hedgerow Data'!$AN$3:$AZ$15,MATCH(C218,'G-6 Hedgerow Data'!$AM$3:$AM$15,0),MATCH(M218,'G-6 Hedgerow Data'!$AN$2:$AZ$2,0))),"")</f>
        <v/>
      </c>
      <c r="O218" s="499" t="str">
        <f t="shared" si="26"/>
        <v/>
      </c>
      <c r="P218" s="505" t="str">
        <f>IF(B218="","",VLOOKUP(B218,'E-1 Off Site Hedge Baseline'!$B$10:T463,16,FALSE))</f>
        <v/>
      </c>
      <c r="Q218" s="498" t="str">
        <f>IF(M218="","",VLOOKUP(M218,'G-6 Hedgerow Data'!$B$2:$AG$15,2,FALSE))</f>
        <v/>
      </c>
      <c r="R218" s="499" t="str">
        <f>IF(M218="","",VLOOKUP(M218,'G-6 Hedgerow Data'!$B$2:$AG$15,3,FALSE))</f>
        <v/>
      </c>
      <c r="S218" s="145"/>
      <c r="T218" s="499" t="str">
        <f>IFERROR(IF(AND(Q218="V.Low",OR(S218="Good",S218="Moderate")),"Error ▲",VLOOKUP(S218,'G-1 All Habitats'!$Z$2:$AA$9,2,FALSE)),"")</f>
        <v/>
      </c>
      <c r="U218" s="145"/>
      <c r="V218" s="507" t="str">
        <f>IF(U218="","",IF(VLOOKUP(U218,'G-3 Multipliers'!$L$3:$N$6,2,FALSE)=0,"Spatial Data Missing ⚠",VLOOKUP(U218,'G-3 Multipliers'!$L$3:$N$6,2,FALSE)))</f>
        <v/>
      </c>
      <c r="W218" s="505" t="str">
        <f>IF(U218="","",IF(VLOOKUP(U218,'G-3 Multipliers'!$L$3:$N$6,3,FALSE)=0,"Spatial Data Missing ⚠",VLOOKUP(U218,'G-3 Multipliers'!$L$3:$N$6,3,FALSE)))</f>
        <v/>
      </c>
      <c r="X218" s="498"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7" t="str">
        <f t="shared" si="27"/>
        <v/>
      </c>
      <c r="AB218" s="521" t="str">
        <f t="shared" si="28"/>
        <v/>
      </c>
      <c r="AC218" s="522" t="str">
        <f t="shared" si="25"/>
        <v/>
      </c>
      <c r="AD218" s="537" t="str">
        <f>IF(M218="","",VLOOKUP(M218,'G-6 Hedgerow Data'!$B$3:$AG$15,31,FALSE))</f>
        <v/>
      </c>
      <c r="AE218" s="520" t="str">
        <f t="shared" si="29"/>
        <v/>
      </c>
      <c r="AF218" s="520" t="str">
        <f t="shared" si="30"/>
        <v/>
      </c>
      <c r="AG218" s="524" t="str">
        <f>IFERROR(IF(O218="","",VLOOKUP(AD218,'G-3 Multipliers'!$P$3:$Q$6,2,FALSE)),"")</f>
        <v/>
      </c>
      <c r="AH218" s="197"/>
      <c r="AI218" s="499" t="str">
        <f>IF(AH218="","",IF(VLOOKUP(AH218,'G-3 Multipliers'!$S$3:$T$6,2,FALSE)=0,"Spatial Data Missing ⚠",VLOOKUP(AH218,'G-3 Multipliers'!$S$3:$T$6,2,FALSE)))</f>
        <v/>
      </c>
      <c r="AJ218" s="545" t="str">
        <f t="shared" si="31"/>
        <v/>
      </c>
      <c r="AK218" s="149"/>
      <c r="AL218" s="150"/>
      <c r="AP218" s="31" t="str">
        <f>IFERROR(INDEX('G-6 Hedgerow Data'!$BJ$3:$BJ$15,MATCH(M218,'G-6 Hedgerow Data'!$B$3:$B$15,0)),"")</f>
        <v/>
      </c>
    </row>
    <row r="219" spans="2:42" ht="13.8" x14ac:dyDescent="0.25">
      <c r="B219" s="531" t="str">
        <f>'E-1 Off Site Hedge Baseline'!AK217</f>
        <v/>
      </c>
      <c r="C219" s="520" t="str">
        <f>IF(B219="","",IF(ISNA(VLOOKUP($B219,'E-1 Off Site Hedge Baseline'!$B$1:$L$257,3,FALSE)),"",(VLOOKUP($B219,'E-1 Off Site Hedge Baseline'!$B$1:$L$257,3,FALSE))))</f>
        <v/>
      </c>
      <c r="D219" s="520" t="str">
        <f>IF(B219="","",IF(ISNA(VLOOKUP($B219,'E-1 Off Site Hedge Baseline'!$B$1:$L$258,4,FALSE)),"",(VLOOKUP($B219,'E-1 Off Site Hedge Baseline'!$B$1:$L$258,4,FALSE))))</f>
        <v/>
      </c>
      <c r="E219" s="520" t="str">
        <f>IF(B219="","",IF(ISNA(VLOOKUP($B219,'E-1 Off Site Hedge Baseline'!$B$1:$L$257,5,FALSE)),"",(VLOOKUP($B219,'E-1 Off Site Hedge Baseline'!$B$1:$L$257,5,FALSE))))</f>
        <v/>
      </c>
      <c r="F219" s="520" t="str">
        <f>IF(B219="","",IF(ISNA(VLOOKUP($B219,'E-1 Off Site Hedge Baseline'!$B$1:$L$257,6,FALSE)),"",(VLOOKUP($B219,'E-1 Off Site Hedge Baseline'!$B$1:$L$257,6,FALSE))))</f>
        <v/>
      </c>
      <c r="G219" s="520" t="str">
        <f>IF(B219="","",IF(ISNA(VLOOKUP($B219,'E-1 Off Site Hedge Baseline'!$B$1:$L$257,7,FALSE)),"",(VLOOKUP($B219,'E-1 Off Site Hedge Baseline'!$B$1:$L$257,7,FALSE))))</f>
        <v/>
      </c>
      <c r="H219" s="520" t="str">
        <f>IF(B219="","",IF(ISNA(VLOOKUP($B219,'E-1 Off Site Hedge Baseline'!$B$1:$L$257,8,FALSE)),"",(VLOOKUP($B219,'E-1 Off Site Hedge Baseline'!$B$1:$L$257,8,FALSE))))</f>
        <v/>
      </c>
      <c r="I219" s="520" t="str">
        <f>IF(B219="","",IF(ISNA(VLOOKUP($B219,'E-1 Off Site Hedge Baseline'!$B$1:$L$257,10,FALSE)),"",(VLOOKUP($B219,'E-1 Off Site Hedge Baseline'!$B$1:$L$257,10,FALSE))))</f>
        <v/>
      </c>
      <c r="J219" s="520" t="str">
        <f>IF(B219="","",IF(ISNA(VLOOKUP($B219,'E-1 Off Site Hedge Baseline'!$B$1:$L$257,11,FALSE)),"",(VLOOKUP($B219,'E-1 Off Site Hedge Baseline'!$B$1:$L$257,11,FALSE))))</f>
        <v/>
      </c>
      <c r="K219" s="520" t="str">
        <f>IF(B219="","",IF(ISNA(VLOOKUP($B219,'E-1 Off Site Hedge Baseline'!$B$1:$U$257,113,FALSE)),"",(VLOOKUP($B219,'E-1 Off Site Hedge Baseline'!$B$1:$U$257,13,FALSE))))</f>
        <v/>
      </c>
      <c r="L219" s="507" t="str">
        <f>IF(B219="","",IF(ISNA(VLOOKUP($B219,'E-1 Off Site Hedge Baseline'!$B$1:$U$257,12,FALSE)),"",(VLOOKUP($B219,'E-1 Off Site Hedge Baseline'!$B$1:$U$257,12,FALSE))))</f>
        <v/>
      </c>
      <c r="M219" s="418" t="str">
        <f t="shared" si="32"/>
        <v/>
      </c>
      <c r="N219" s="498" t="str">
        <f>IFERROR(IF(B219="","",INDEX('G-6 Hedgerow Data'!$AN$3:$AZ$15,MATCH(C219,'G-6 Hedgerow Data'!$AM$3:$AM$15,0),MATCH(M219,'G-6 Hedgerow Data'!$AN$2:$AZ$2,0))),"")</f>
        <v/>
      </c>
      <c r="O219" s="499" t="str">
        <f t="shared" si="26"/>
        <v/>
      </c>
      <c r="P219" s="505" t="str">
        <f>IF(B219="","",VLOOKUP(B219,'E-1 Off Site Hedge Baseline'!$B$10:T464,16,FALSE))</f>
        <v/>
      </c>
      <c r="Q219" s="498" t="str">
        <f>IF(M219="","",VLOOKUP(M219,'G-6 Hedgerow Data'!$B$2:$AG$15,2,FALSE))</f>
        <v/>
      </c>
      <c r="R219" s="499" t="str">
        <f>IF(M219="","",VLOOKUP(M219,'G-6 Hedgerow Data'!$B$2:$AG$15,3,FALSE))</f>
        <v/>
      </c>
      <c r="S219" s="145"/>
      <c r="T219" s="499" t="str">
        <f>IFERROR(IF(AND(Q219="V.Low",OR(S219="Good",S219="Moderate")),"Error ▲",VLOOKUP(S219,'G-1 All Habitats'!$Z$2:$AA$9,2,FALSE)),"")</f>
        <v/>
      </c>
      <c r="U219" s="145"/>
      <c r="V219" s="507" t="str">
        <f>IF(U219="","",IF(VLOOKUP(U219,'G-3 Multipliers'!$L$3:$N$6,2,FALSE)=0,"Spatial Data Missing ⚠",VLOOKUP(U219,'G-3 Multipliers'!$L$3:$N$6,2,FALSE)))</f>
        <v/>
      </c>
      <c r="W219" s="505" t="str">
        <f>IF(U219="","",IF(VLOOKUP(U219,'G-3 Multipliers'!$L$3:$N$6,3,FALSE)=0,"Spatial Data Missing ⚠",VLOOKUP(U219,'G-3 Multipliers'!$L$3:$N$6,3,FALSE)))</f>
        <v/>
      </c>
      <c r="X219" s="498"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7" t="str">
        <f t="shared" si="27"/>
        <v/>
      </c>
      <c r="AB219" s="521" t="str">
        <f t="shared" si="28"/>
        <v/>
      </c>
      <c r="AC219" s="522" t="str">
        <f t="shared" si="25"/>
        <v/>
      </c>
      <c r="AD219" s="537" t="str">
        <f>IF(M219="","",VLOOKUP(M219,'G-6 Hedgerow Data'!$B$3:$AG$15,31,FALSE))</f>
        <v/>
      </c>
      <c r="AE219" s="520" t="str">
        <f t="shared" si="29"/>
        <v/>
      </c>
      <c r="AF219" s="520" t="str">
        <f t="shared" si="30"/>
        <v/>
      </c>
      <c r="AG219" s="524" t="str">
        <f>IFERROR(IF(O219="","",VLOOKUP(AD219,'G-3 Multipliers'!$P$3:$Q$6,2,FALSE)),"")</f>
        <v/>
      </c>
      <c r="AH219" s="197"/>
      <c r="AI219" s="499" t="str">
        <f>IF(AH219="","",IF(VLOOKUP(AH219,'G-3 Multipliers'!$S$3:$T$6,2,FALSE)=0,"Spatial Data Missing ⚠",VLOOKUP(AH219,'G-3 Multipliers'!$S$3:$T$6,2,FALSE)))</f>
        <v/>
      </c>
      <c r="AJ219" s="545" t="str">
        <f t="shared" si="31"/>
        <v/>
      </c>
      <c r="AK219" s="149"/>
      <c r="AL219" s="150"/>
      <c r="AP219" s="31" t="str">
        <f>IFERROR(INDEX('G-6 Hedgerow Data'!$BJ$3:$BJ$15,MATCH(M219,'G-6 Hedgerow Data'!$B$3:$B$15,0)),"")</f>
        <v/>
      </c>
    </row>
    <row r="220" spans="2:42" ht="13.8" x14ac:dyDescent="0.25">
      <c r="B220" s="531" t="str">
        <f>'E-1 Off Site Hedge Baseline'!AK218</f>
        <v/>
      </c>
      <c r="C220" s="520" t="str">
        <f>IF(B220="","",IF(ISNA(VLOOKUP($B220,'E-1 Off Site Hedge Baseline'!$B$1:$L$257,3,FALSE)),"",(VLOOKUP($B220,'E-1 Off Site Hedge Baseline'!$B$1:$L$257,3,FALSE))))</f>
        <v/>
      </c>
      <c r="D220" s="520" t="str">
        <f>IF(B220="","",IF(ISNA(VLOOKUP($B220,'E-1 Off Site Hedge Baseline'!$B$1:$L$258,4,FALSE)),"",(VLOOKUP($B220,'E-1 Off Site Hedge Baseline'!$B$1:$L$258,4,FALSE))))</f>
        <v/>
      </c>
      <c r="E220" s="520" t="str">
        <f>IF(B220="","",IF(ISNA(VLOOKUP($B220,'E-1 Off Site Hedge Baseline'!$B$1:$L$257,5,FALSE)),"",(VLOOKUP($B220,'E-1 Off Site Hedge Baseline'!$B$1:$L$257,5,FALSE))))</f>
        <v/>
      </c>
      <c r="F220" s="520" t="str">
        <f>IF(B220="","",IF(ISNA(VLOOKUP($B220,'E-1 Off Site Hedge Baseline'!$B$1:$L$257,6,FALSE)),"",(VLOOKUP($B220,'E-1 Off Site Hedge Baseline'!$B$1:$L$257,6,FALSE))))</f>
        <v/>
      </c>
      <c r="G220" s="520" t="str">
        <f>IF(B220="","",IF(ISNA(VLOOKUP($B220,'E-1 Off Site Hedge Baseline'!$B$1:$L$257,7,FALSE)),"",(VLOOKUP($B220,'E-1 Off Site Hedge Baseline'!$B$1:$L$257,7,FALSE))))</f>
        <v/>
      </c>
      <c r="H220" s="520" t="str">
        <f>IF(B220="","",IF(ISNA(VLOOKUP($B220,'E-1 Off Site Hedge Baseline'!$B$1:$L$257,8,FALSE)),"",(VLOOKUP($B220,'E-1 Off Site Hedge Baseline'!$B$1:$L$257,8,FALSE))))</f>
        <v/>
      </c>
      <c r="I220" s="520" t="str">
        <f>IF(B220="","",IF(ISNA(VLOOKUP($B220,'E-1 Off Site Hedge Baseline'!$B$1:$L$257,10,FALSE)),"",(VLOOKUP($B220,'E-1 Off Site Hedge Baseline'!$B$1:$L$257,10,FALSE))))</f>
        <v/>
      </c>
      <c r="J220" s="520" t="str">
        <f>IF(B220="","",IF(ISNA(VLOOKUP($B220,'E-1 Off Site Hedge Baseline'!$B$1:$L$257,11,FALSE)),"",(VLOOKUP($B220,'E-1 Off Site Hedge Baseline'!$B$1:$L$257,11,FALSE))))</f>
        <v/>
      </c>
      <c r="K220" s="520" t="str">
        <f>IF(B220="","",IF(ISNA(VLOOKUP($B220,'E-1 Off Site Hedge Baseline'!$B$1:$U$257,113,FALSE)),"",(VLOOKUP($B220,'E-1 Off Site Hedge Baseline'!$B$1:$U$257,13,FALSE))))</f>
        <v/>
      </c>
      <c r="L220" s="507" t="str">
        <f>IF(B220="","",IF(ISNA(VLOOKUP($B220,'E-1 Off Site Hedge Baseline'!$B$1:$U$257,12,FALSE)),"",(VLOOKUP($B220,'E-1 Off Site Hedge Baseline'!$B$1:$U$257,12,FALSE))))</f>
        <v/>
      </c>
      <c r="M220" s="418" t="str">
        <f t="shared" si="32"/>
        <v/>
      </c>
      <c r="N220" s="498" t="str">
        <f>IFERROR(IF(B220="","",INDEX('G-6 Hedgerow Data'!$AN$3:$AZ$15,MATCH(C220,'G-6 Hedgerow Data'!$AM$3:$AM$15,0),MATCH(M220,'G-6 Hedgerow Data'!$AN$2:$AZ$2,0))),"")</f>
        <v/>
      </c>
      <c r="O220" s="499" t="str">
        <f t="shared" si="26"/>
        <v/>
      </c>
      <c r="P220" s="505" t="str">
        <f>IF(B220="","",VLOOKUP(B220,'E-1 Off Site Hedge Baseline'!$B$10:T465,16,FALSE))</f>
        <v/>
      </c>
      <c r="Q220" s="498" t="str">
        <f>IF(M220="","",VLOOKUP(M220,'G-6 Hedgerow Data'!$B$2:$AG$15,2,FALSE))</f>
        <v/>
      </c>
      <c r="R220" s="499" t="str">
        <f>IF(M220="","",VLOOKUP(M220,'G-6 Hedgerow Data'!$B$2:$AG$15,3,FALSE))</f>
        <v/>
      </c>
      <c r="S220" s="145"/>
      <c r="T220" s="499" t="str">
        <f>IFERROR(IF(AND(Q220="V.Low",OR(S220="Good",S220="Moderate")),"Error ▲",VLOOKUP(S220,'G-1 All Habitats'!$Z$2:$AA$9,2,FALSE)),"")</f>
        <v/>
      </c>
      <c r="U220" s="145"/>
      <c r="V220" s="507" t="str">
        <f>IF(U220="","",IF(VLOOKUP(U220,'G-3 Multipliers'!$L$3:$N$6,2,FALSE)=0,"Spatial Data Missing ⚠",VLOOKUP(U220,'G-3 Multipliers'!$L$3:$N$6,2,FALSE)))</f>
        <v/>
      </c>
      <c r="W220" s="505" t="str">
        <f>IF(U220="","",IF(VLOOKUP(U220,'G-3 Multipliers'!$L$3:$N$6,3,FALSE)=0,"Spatial Data Missing ⚠",VLOOKUP(U220,'G-3 Multipliers'!$L$3:$N$6,3,FALSE)))</f>
        <v/>
      </c>
      <c r="X220" s="498"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7" t="str">
        <f t="shared" si="27"/>
        <v/>
      </c>
      <c r="AB220" s="521" t="str">
        <f t="shared" si="28"/>
        <v/>
      </c>
      <c r="AC220" s="522" t="str">
        <f t="shared" si="25"/>
        <v/>
      </c>
      <c r="AD220" s="537" t="str">
        <f>IF(M220="","",VLOOKUP(M220,'G-6 Hedgerow Data'!$B$3:$AG$15,31,FALSE))</f>
        <v/>
      </c>
      <c r="AE220" s="520" t="str">
        <f t="shared" si="29"/>
        <v/>
      </c>
      <c r="AF220" s="520" t="str">
        <f t="shared" si="30"/>
        <v/>
      </c>
      <c r="AG220" s="524" t="str">
        <f>IFERROR(IF(O220="","",VLOOKUP(AD220,'G-3 Multipliers'!$P$3:$Q$6,2,FALSE)),"")</f>
        <v/>
      </c>
      <c r="AH220" s="197"/>
      <c r="AI220" s="499" t="str">
        <f>IF(AH220="","",IF(VLOOKUP(AH220,'G-3 Multipliers'!$S$3:$T$6,2,FALSE)=0,"Spatial Data Missing ⚠",VLOOKUP(AH220,'G-3 Multipliers'!$S$3:$T$6,2,FALSE)))</f>
        <v/>
      </c>
      <c r="AJ220" s="545" t="str">
        <f t="shared" si="31"/>
        <v/>
      </c>
      <c r="AK220" s="149"/>
      <c r="AL220" s="150"/>
      <c r="AP220" s="31" t="str">
        <f>IFERROR(INDEX('G-6 Hedgerow Data'!$BJ$3:$BJ$15,MATCH(M220,'G-6 Hedgerow Data'!$B$3:$B$15,0)),"")</f>
        <v/>
      </c>
    </row>
    <row r="221" spans="2:42" ht="13.8" x14ac:dyDescent="0.25">
      <c r="B221" s="531" t="str">
        <f>'E-1 Off Site Hedge Baseline'!AK219</f>
        <v/>
      </c>
      <c r="C221" s="520" t="str">
        <f>IF(B221="","",IF(ISNA(VLOOKUP($B221,'E-1 Off Site Hedge Baseline'!$B$1:$L$257,3,FALSE)),"",(VLOOKUP($B221,'E-1 Off Site Hedge Baseline'!$B$1:$L$257,3,FALSE))))</f>
        <v/>
      </c>
      <c r="D221" s="520" t="str">
        <f>IF(B221="","",IF(ISNA(VLOOKUP($B221,'E-1 Off Site Hedge Baseline'!$B$1:$L$258,4,FALSE)),"",(VLOOKUP($B221,'E-1 Off Site Hedge Baseline'!$B$1:$L$258,4,FALSE))))</f>
        <v/>
      </c>
      <c r="E221" s="520" t="str">
        <f>IF(B221="","",IF(ISNA(VLOOKUP($B221,'E-1 Off Site Hedge Baseline'!$B$1:$L$257,5,FALSE)),"",(VLOOKUP($B221,'E-1 Off Site Hedge Baseline'!$B$1:$L$257,5,FALSE))))</f>
        <v/>
      </c>
      <c r="F221" s="520" t="str">
        <f>IF(B221="","",IF(ISNA(VLOOKUP($B221,'E-1 Off Site Hedge Baseline'!$B$1:$L$257,6,FALSE)),"",(VLOOKUP($B221,'E-1 Off Site Hedge Baseline'!$B$1:$L$257,6,FALSE))))</f>
        <v/>
      </c>
      <c r="G221" s="520" t="str">
        <f>IF(B221="","",IF(ISNA(VLOOKUP($B221,'E-1 Off Site Hedge Baseline'!$B$1:$L$257,7,FALSE)),"",(VLOOKUP($B221,'E-1 Off Site Hedge Baseline'!$B$1:$L$257,7,FALSE))))</f>
        <v/>
      </c>
      <c r="H221" s="520" t="str">
        <f>IF(B221="","",IF(ISNA(VLOOKUP($B221,'E-1 Off Site Hedge Baseline'!$B$1:$L$257,8,FALSE)),"",(VLOOKUP($B221,'E-1 Off Site Hedge Baseline'!$B$1:$L$257,8,FALSE))))</f>
        <v/>
      </c>
      <c r="I221" s="520" t="str">
        <f>IF(B221="","",IF(ISNA(VLOOKUP($B221,'E-1 Off Site Hedge Baseline'!$B$1:$L$257,10,FALSE)),"",(VLOOKUP($B221,'E-1 Off Site Hedge Baseline'!$B$1:$L$257,10,FALSE))))</f>
        <v/>
      </c>
      <c r="J221" s="520" t="str">
        <f>IF(B221="","",IF(ISNA(VLOOKUP($B221,'E-1 Off Site Hedge Baseline'!$B$1:$L$257,11,FALSE)),"",(VLOOKUP($B221,'E-1 Off Site Hedge Baseline'!$B$1:$L$257,11,FALSE))))</f>
        <v/>
      </c>
      <c r="K221" s="520" t="str">
        <f>IF(B221="","",IF(ISNA(VLOOKUP($B221,'E-1 Off Site Hedge Baseline'!$B$1:$U$257,113,FALSE)),"",(VLOOKUP($B221,'E-1 Off Site Hedge Baseline'!$B$1:$U$257,13,FALSE))))</f>
        <v/>
      </c>
      <c r="L221" s="507" t="str">
        <f>IF(B221="","",IF(ISNA(VLOOKUP($B221,'E-1 Off Site Hedge Baseline'!$B$1:$U$257,12,FALSE)),"",(VLOOKUP($B221,'E-1 Off Site Hedge Baseline'!$B$1:$U$257,12,FALSE))))</f>
        <v/>
      </c>
      <c r="M221" s="418" t="str">
        <f t="shared" si="32"/>
        <v/>
      </c>
      <c r="N221" s="498" t="str">
        <f>IFERROR(IF(B221="","",INDEX('G-6 Hedgerow Data'!$AN$3:$AZ$15,MATCH(C221,'G-6 Hedgerow Data'!$AM$3:$AM$15,0),MATCH(M221,'G-6 Hedgerow Data'!$AN$2:$AZ$2,0))),"")</f>
        <v/>
      </c>
      <c r="O221" s="499" t="str">
        <f t="shared" si="26"/>
        <v/>
      </c>
      <c r="P221" s="505" t="str">
        <f>IF(B221="","",VLOOKUP(B221,'E-1 Off Site Hedge Baseline'!$B$10:T466,16,FALSE))</f>
        <v/>
      </c>
      <c r="Q221" s="498" t="str">
        <f>IF(M221="","",VLOOKUP(M221,'G-6 Hedgerow Data'!$B$2:$AG$15,2,FALSE))</f>
        <v/>
      </c>
      <c r="R221" s="499" t="str">
        <f>IF(M221="","",VLOOKUP(M221,'G-6 Hedgerow Data'!$B$2:$AG$15,3,FALSE))</f>
        <v/>
      </c>
      <c r="S221" s="145"/>
      <c r="T221" s="499" t="str">
        <f>IFERROR(IF(AND(Q221="V.Low",OR(S221="Good",S221="Moderate")),"Error ▲",VLOOKUP(S221,'G-1 All Habitats'!$Z$2:$AA$9,2,FALSE)),"")</f>
        <v/>
      </c>
      <c r="U221" s="145"/>
      <c r="V221" s="507" t="str">
        <f>IF(U221="","",IF(VLOOKUP(U221,'G-3 Multipliers'!$L$3:$N$6,2,FALSE)=0,"Spatial Data Missing ⚠",VLOOKUP(U221,'G-3 Multipliers'!$L$3:$N$6,2,FALSE)))</f>
        <v/>
      </c>
      <c r="W221" s="505" t="str">
        <f>IF(U221="","",IF(VLOOKUP(U221,'G-3 Multipliers'!$L$3:$N$6,3,FALSE)=0,"Spatial Data Missing ⚠",VLOOKUP(U221,'G-3 Multipliers'!$L$3:$N$6,3,FALSE)))</f>
        <v/>
      </c>
      <c r="X221" s="498"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7" t="str">
        <f t="shared" si="27"/>
        <v/>
      </c>
      <c r="AB221" s="521" t="str">
        <f t="shared" si="28"/>
        <v/>
      </c>
      <c r="AC221" s="522" t="str">
        <f t="shared" si="25"/>
        <v/>
      </c>
      <c r="AD221" s="537" t="str">
        <f>IF(M221="","",VLOOKUP(M221,'G-6 Hedgerow Data'!$B$3:$AG$15,31,FALSE))</f>
        <v/>
      </c>
      <c r="AE221" s="520" t="str">
        <f t="shared" si="29"/>
        <v/>
      </c>
      <c r="AF221" s="520" t="str">
        <f t="shared" si="30"/>
        <v/>
      </c>
      <c r="AG221" s="524" t="str">
        <f>IFERROR(IF(O221="","",VLOOKUP(AD221,'G-3 Multipliers'!$P$3:$Q$6,2,FALSE)),"")</f>
        <v/>
      </c>
      <c r="AH221" s="197"/>
      <c r="AI221" s="499" t="str">
        <f>IF(AH221="","",IF(VLOOKUP(AH221,'G-3 Multipliers'!$S$3:$T$6,2,FALSE)=0,"Spatial Data Missing ⚠",VLOOKUP(AH221,'G-3 Multipliers'!$S$3:$T$6,2,FALSE)))</f>
        <v/>
      </c>
      <c r="AJ221" s="545" t="str">
        <f t="shared" si="31"/>
        <v/>
      </c>
      <c r="AK221" s="149"/>
      <c r="AL221" s="150"/>
      <c r="AP221" s="31" t="str">
        <f>IFERROR(INDEX('G-6 Hedgerow Data'!$BJ$3:$BJ$15,MATCH(M221,'G-6 Hedgerow Data'!$B$3:$B$15,0)),"")</f>
        <v/>
      </c>
    </row>
    <row r="222" spans="2:42" ht="13.8" x14ac:dyDescent="0.25">
      <c r="B222" s="531" t="str">
        <f>'E-1 Off Site Hedge Baseline'!AK220</f>
        <v/>
      </c>
      <c r="C222" s="520" t="str">
        <f>IF(B222="","",IF(ISNA(VLOOKUP($B222,'E-1 Off Site Hedge Baseline'!$B$1:$L$257,3,FALSE)),"",(VLOOKUP($B222,'E-1 Off Site Hedge Baseline'!$B$1:$L$257,3,FALSE))))</f>
        <v/>
      </c>
      <c r="D222" s="520" t="str">
        <f>IF(B222="","",IF(ISNA(VLOOKUP($B222,'E-1 Off Site Hedge Baseline'!$B$1:$L$258,4,FALSE)),"",(VLOOKUP($B222,'E-1 Off Site Hedge Baseline'!$B$1:$L$258,4,FALSE))))</f>
        <v/>
      </c>
      <c r="E222" s="520" t="str">
        <f>IF(B222="","",IF(ISNA(VLOOKUP($B222,'E-1 Off Site Hedge Baseline'!$B$1:$L$257,5,FALSE)),"",(VLOOKUP($B222,'E-1 Off Site Hedge Baseline'!$B$1:$L$257,5,FALSE))))</f>
        <v/>
      </c>
      <c r="F222" s="520" t="str">
        <f>IF(B222="","",IF(ISNA(VLOOKUP($B222,'E-1 Off Site Hedge Baseline'!$B$1:$L$257,6,FALSE)),"",(VLOOKUP($B222,'E-1 Off Site Hedge Baseline'!$B$1:$L$257,6,FALSE))))</f>
        <v/>
      </c>
      <c r="G222" s="520" t="str">
        <f>IF(B222="","",IF(ISNA(VLOOKUP($B222,'E-1 Off Site Hedge Baseline'!$B$1:$L$257,7,FALSE)),"",(VLOOKUP($B222,'E-1 Off Site Hedge Baseline'!$B$1:$L$257,7,FALSE))))</f>
        <v/>
      </c>
      <c r="H222" s="520" t="str">
        <f>IF(B222="","",IF(ISNA(VLOOKUP($B222,'E-1 Off Site Hedge Baseline'!$B$1:$L$257,8,FALSE)),"",(VLOOKUP($B222,'E-1 Off Site Hedge Baseline'!$B$1:$L$257,8,FALSE))))</f>
        <v/>
      </c>
      <c r="I222" s="520" t="str">
        <f>IF(B222="","",IF(ISNA(VLOOKUP($B222,'E-1 Off Site Hedge Baseline'!$B$1:$L$257,10,FALSE)),"",(VLOOKUP($B222,'E-1 Off Site Hedge Baseline'!$B$1:$L$257,10,FALSE))))</f>
        <v/>
      </c>
      <c r="J222" s="520" t="str">
        <f>IF(B222="","",IF(ISNA(VLOOKUP($B222,'E-1 Off Site Hedge Baseline'!$B$1:$L$257,11,FALSE)),"",(VLOOKUP($B222,'E-1 Off Site Hedge Baseline'!$B$1:$L$257,11,FALSE))))</f>
        <v/>
      </c>
      <c r="K222" s="520" t="str">
        <f>IF(B222="","",IF(ISNA(VLOOKUP($B222,'E-1 Off Site Hedge Baseline'!$B$1:$U$257,113,FALSE)),"",(VLOOKUP($B222,'E-1 Off Site Hedge Baseline'!$B$1:$U$257,13,FALSE))))</f>
        <v/>
      </c>
      <c r="L222" s="507" t="str">
        <f>IF(B222="","",IF(ISNA(VLOOKUP($B222,'E-1 Off Site Hedge Baseline'!$B$1:$U$257,12,FALSE)),"",(VLOOKUP($B222,'E-1 Off Site Hedge Baseline'!$B$1:$U$257,12,FALSE))))</f>
        <v/>
      </c>
      <c r="M222" s="418" t="str">
        <f t="shared" si="32"/>
        <v/>
      </c>
      <c r="N222" s="498" t="str">
        <f>IFERROR(IF(B222="","",INDEX('G-6 Hedgerow Data'!$AN$3:$AZ$15,MATCH(C222,'G-6 Hedgerow Data'!$AM$3:$AM$15,0),MATCH(M222,'G-6 Hedgerow Data'!$AN$2:$AZ$2,0))),"")</f>
        <v/>
      </c>
      <c r="O222" s="499" t="str">
        <f t="shared" si="26"/>
        <v/>
      </c>
      <c r="P222" s="505" t="str">
        <f>IF(B222="","",VLOOKUP(B222,'E-1 Off Site Hedge Baseline'!$B$10:T467,16,FALSE))</f>
        <v/>
      </c>
      <c r="Q222" s="498" t="str">
        <f>IF(M222="","",VLOOKUP(M222,'G-6 Hedgerow Data'!$B$2:$AG$15,2,FALSE))</f>
        <v/>
      </c>
      <c r="R222" s="499" t="str">
        <f>IF(M222="","",VLOOKUP(M222,'G-6 Hedgerow Data'!$B$2:$AG$15,3,FALSE))</f>
        <v/>
      </c>
      <c r="S222" s="145"/>
      <c r="T222" s="499" t="str">
        <f>IFERROR(IF(AND(Q222="V.Low",OR(S222="Good",S222="Moderate")),"Error ▲",VLOOKUP(S222,'G-1 All Habitats'!$Z$2:$AA$9,2,FALSE)),"")</f>
        <v/>
      </c>
      <c r="U222" s="145"/>
      <c r="V222" s="507" t="str">
        <f>IF(U222="","",IF(VLOOKUP(U222,'G-3 Multipliers'!$L$3:$N$6,2,FALSE)=0,"Spatial Data Missing ⚠",VLOOKUP(U222,'G-3 Multipliers'!$L$3:$N$6,2,FALSE)))</f>
        <v/>
      </c>
      <c r="W222" s="505" t="str">
        <f>IF(U222="","",IF(VLOOKUP(U222,'G-3 Multipliers'!$L$3:$N$6,3,FALSE)=0,"Spatial Data Missing ⚠",VLOOKUP(U222,'G-3 Multipliers'!$L$3:$N$6,3,FALSE)))</f>
        <v/>
      </c>
      <c r="X222" s="498"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7" t="str">
        <f t="shared" si="27"/>
        <v/>
      </c>
      <c r="AB222" s="521" t="str">
        <f t="shared" si="28"/>
        <v/>
      </c>
      <c r="AC222" s="522" t="str">
        <f t="shared" si="25"/>
        <v/>
      </c>
      <c r="AD222" s="537" t="str">
        <f>IF(M222="","",VLOOKUP(M222,'G-6 Hedgerow Data'!$B$3:$AG$15,31,FALSE))</f>
        <v/>
      </c>
      <c r="AE222" s="520" t="str">
        <f t="shared" si="29"/>
        <v/>
      </c>
      <c r="AF222" s="520" t="str">
        <f t="shared" si="30"/>
        <v/>
      </c>
      <c r="AG222" s="524" t="str">
        <f>IFERROR(IF(O222="","",VLOOKUP(AD222,'G-3 Multipliers'!$P$3:$Q$6,2,FALSE)),"")</f>
        <v/>
      </c>
      <c r="AH222" s="197"/>
      <c r="AI222" s="499" t="str">
        <f>IF(AH222="","",IF(VLOOKUP(AH222,'G-3 Multipliers'!$S$3:$T$6,2,FALSE)=0,"Spatial Data Missing ⚠",VLOOKUP(AH222,'G-3 Multipliers'!$S$3:$T$6,2,FALSE)))</f>
        <v/>
      </c>
      <c r="AJ222" s="545" t="str">
        <f t="shared" si="31"/>
        <v/>
      </c>
      <c r="AK222" s="149"/>
      <c r="AL222" s="150"/>
      <c r="AP222" s="31" t="str">
        <f>IFERROR(INDEX('G-6 Hedgerow Data'!$BJ$3:$BJ$15,MATCH(M222,'G-6 Hedgerow Data'!$B$3:$B$15,0)),"")</f>
        <v/>
      </c>
    </row>
    <row r="223" spans="2:42" ht="13.8" x14ac:dyDescent="0.25">
      <c r="B223" s="531" t="str">
        <f>'E-1 Off Site Hedge Baseline'!AK221</f>
        <v/>
      </c>
      <c r="C223" s="520" t="str">
        <f>IF(B223="","",IF(ISNA(VLOOKUP($B223,'E-1 Off Site Hedge Baseline'!$B$1:$L$257,3,FALSE)),"",(VLOOKUP($B223,'E-1 Off Site Hedge Baseline'!$B$1:$L$257,3,FALSE))))</f>
        <v/>
      </c>
      <c r="D223" s="520" t="str">
        <f>IF(B223="","",IF(ISNA(VLOOKUP($B223,'E-1 Off Site Hedge Baseline'!$B$1:$L$258,4,FALSE)),"",(VLOOKUP($B223,'E-1 Off Site Hedge Baseline'!$B$1:$L$258,4,FALSE))))</f>
        <v/>
      </c>
      <c r="E223" s="520" t="str">
        <f>IF(B223="","",IF(ISNA(VLOOKUP($B223,'E-1 Off Site Hedge Baseline'!$B$1:$L$257,5,FALSE)),"",(VLOOKUP($B223,'E-1 Off Site Hedge Baseline'!$B$1:$L$257,5,FALSE))))</f>
        <v/>
      </c>
      <c r="F223" s="520" t="str">
        <f>IF(B223="","",IF(ISNA(VLOOKUP($B223,'E-1 Off Site Hedge Baseline'!$B$1:$L$257,6,FALSE)),"",(VLOOKUP($B223,'E-1 Off Site Hedge Baseline'!$B$1:$L$257,6,FALSE))))</f>
        <v/>
      </c>
      <c r="G223" s="520" t="str">
        <f>IF(B223="","",IF(ISNA(VLOOKUP($B223,'E-1 Off Site Hedge Baseline'!$B$1:$L$257,7,FALSE)),"",(VLOOKUP($B223,'E-1 Off Site Hedge Baseline'!$B$1:$L$257,7,FALSE))))</f>
        <v/>
      </c>
      <c r="H223" s="520" t="str">
        <f>IF(B223="","",IF(ISNA(VLOOKUP($B223,'E-1 Off Site Hedge Baseline'!$B$1:$L$257,8,FALSE)),"",(VLOOKUP($B223,'E-1 Off Site Hedge Baseline'!$B$1:$L$257,8,FALSE))))</f>
        <v/>
      </c>
      <c r="I223" s="520" t="str">
        <f>IF(B223="","",IF(ISNA(VLOOKUP($B223,'E-1 Off Site Hedge Baseline'!$B$1:$L$257,10,FALSE)),"",(VLOOKUP($B223,'E-1 Off Site Hedge Baseline'!$B$1:$L$257,10,FALSE))))</f>
        <v/>
      </c>
      <c r="J223" s="520" t="str">
        <f>IF(B223="","",IF(ISNA(VLOOKUP($B223,'E-1 Off Site Hedge Baseline'!$B$1:$L$257,11,FALSE)),"",(VLOOKUP($B223,'E-1 Off Site Hedge Baseline'!$B$1:$L$257,11,FALSE))))</f>
        <v/>
      </c>
      <c r="K223" s="520" t="str">
        <f>IF(B223="","",IF(ISNA(VLOOKUP($B223,'E-1 Off Site Hedge Baseline'!$B$1:$U$257,113,FALSE)),"",(VLOOKUP($B223,'E-1 Off Site Hedge Baseline'!$B$1:$U$257,13,FALSE))))</f>
        <v/>
      </c>
      <c r="L223" s="507" t="str">
        <f>IF(B223="","",IF(ISNA(VLOOKUP($B223,'E-1 Off Site Hedge Baseline'!$B$1:$U$257,12,FALSE)),"",(VLOOKUP($B223,'E-1 Off Site Hedge Baseline'!$B$1:$U$257,12,FALSE))))</f>
        <v/>
      </c>
      <c r="M223" s="418" t="str">
        <f t="shared" si="32"/>
        <v/>
      </c>
      <c r="N223" s="498" t="str">
        <f>IFERROR(IF(B223="","",INDEX('G-6 Hedgerow Data'!$AN$3:$AZ$15,MATCH(C223,'G-6 Hedgerow Data'!$AM$3:$AM$15,0),MATCH(M223,'G-6 Hedgerow Data'!$AN$2:$AZ$2,0))),"")</f>
        <v/>
      </c>
      <c r="O223" s="499" t="str">
        <f t="shared" si="26"/>
        <v/>
      </c>
      <c r="P223" s="505" t="str">
        <f>IF(B223="","",VLOOKUP(B223,'E-1 Off Site Hedge Baseline'!$B$10:T468,16,FALSE))</f>
        <v/>
      </c>
      <c r="Q223" s="498" t="str">
        <f>IF(M223="","",VLOOKUP(M223,'G-6 Hedgerow Data'!$B$2:$AG$15,2,FALSE))</f>
        <v/>
      </c>
      <c r="R223" s="499" t="str">
        <f>IF(M223="","",VLOOKUP(M223,'G-6 Hedgerow Data'!$B$2:$AG$15,3,FALSE))</f>
        <v/>
      </c>
      <c r="S223" s="145"/>
      <c r="T223" s="499" t="str">
        <f>IFERROR(IF(AND(Q223="V.Low",OR(S223="Good",S223="Moderate")),"Error ▲",VLOOKUP(S223,'G-1 All Habitats'!$Z$2:$AA$9,2,FALSE)),"")</f>
        <v/>
      </c>
      <c r="U223" s="145"/>
      <c r="V223" s="507" t="str">
        <f>IF(U223="","",IF(VLOOKUP(U223,'G-3 Multipliers'!$L$3:$N$6,2,FALSE)=0,"Spatial Data Missing ⚠",VLOOKUP(U223,'G-3 Multipliers'!$L$3:$N$6,2,FALSE)))</f>
        <v/>
      </c>
      <c r="W223" s="505" t="str">
        <f>IF(U223="","",IF(VLOOKUP(U223,'G-3 Multipliers'!$L$3:$N$6,3,FALSE)=0,"Spatial Data Missing ⚠",VLOOKUP(U223,'G-3 Multipliers'!$L$3:$N$6,3,FALSE)))</f>
        <v/>
      </c>
      <c r="X223" s="498"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7" t="str">
        <f t="shared" si="27"/>
        <v/>
      </c>
      <c r="AB223" s="521" t="str">
        <f t="shared" si="28"/>
        <v/>
      </c>
      <c r="AC223" s="522" t="str">
        <f t="shared" si="25"/>
        <v/>
      </c>
      <c r="AD223" s="537" t="str">
        <f>IF(M223="","",VLOOKUP(M223,'G-6 Hedgerow Data'!$B$3:$AG$15,31,FALSE))</f>
        <v/>
      </c>
      <c r="AE223" s="520" t="str">
        <f t="shared" si="29"/>
        <v/>
      </c>
      <c r="AF223" s="520" t="str">
        <f t="shared" si="30"/>
        <v/>
      </c>
      <c r="AG223" s="524" t="str">
        <f>IFERROR(IF(O223="","",VLOOKUP(AD223,'G-3 Multipliers'!$P$3:$Q$6,2,FALSE)),"")</f>
        <v/>
      </c>
      <c r="AH223" s="197"/>
      <c r="AI223" s="499" t="str">
        <f>IF(AH223="","",IF(VLOOKUP(AH223,'G-3 Multipliers'!$S$3:$T$6,2,FALSE)=0,"Spatial Data Missing ⚠",VLOOKUP(AH223,'G-3 Multipliers'!$S$3:$T$6,2,FALSE)))</f>
        <v/>
      </c>
      <c r="AJ223" s="545" t="str">
        <f t="shared" si="31"/>
        <v/>
      </c>
      <c r="AK223" s="149"/>
      <c r="AL223" s="150"/>
      <c r="AP223" s="31" t="str">
        <f>IFERROR(INDEX('G-6 Hedgerow Data'!$BJ$3:$BJ$15,MATCH(M223,'G-6 Hedgerow Data'!$B$3:$B$15,0)),"")</f>
        <v/>
      </c>
    </row>
    <row r="224" spans="2:42" ht="13.8" x14ac:dyDescent="0.25">
      <c r="B224" s="531" t="str">
        <f>'E-1 Off Site Hedge Baseline'!AK222</f>
        <v/>
      </c>
      <c r="C224" s="520" t="str">
        <f>IF(B224="","",IF(ISNA(VLOOKUP($B224,'E-1 Off Site Hedge Baseline'!$B$1:$L$257,3,FALSE)),"",(VLOOKUP($B224,'E-1 Off Site Hedge Baseline'!$B$1:$L$257,3,FALSE))))</f>
        <v/>
      </c>
      <c r="D224" s="520" t="str">
        <f>IF(B224="","",IF(ISNA(VLOOKUP($B224,'E-1 Off Site Hedge Baseline'!$B$1:$L$258,4,FALSE)),"",(VLOOKUP($B224,'E-1 Off Site Hedge Baseline'!$B$1:$L$258,4,FALSE))))</f>
        <v/>
      </c>
      <c r="E224" s="520" t="str">
        <f>IF(B224="","",IF(ISNA(VLOOKUP($B224,'E-1 Off Site Hedge Baseline'!$B$1:$L$257,5,FALSE)),"",(VLOOKUP($B224,'E-1 Off Site Hedge Baseline'!$B$1:$L$257,5,FALSE))))</f>
        <v/>
      </c>
      <c r="F224" s="520" t="str">
        <f>IF(B224="","",IF(ISNA(VLOOKUP($B224,'E-1 Off Site Hedge Baseline'!$B$1:$L$257,6,FALSE)),"",(VLOOKUP($B224,'E-1 Off Site Hedge Baseline'!$B$1:$L$257,6,FALSE))))</f>
        <v/>
      </c>
      <c r="G224" s="520" t="str">
        <f>IF(B224="","",IF(ISNA(VLOOKUP($B224,'E-1 Off Site Hedge Baseline'!$B$1:$L$257,7,FALSE)),"",(VLOOKUP($B224,'E-1 Off Site Hedge Baseline'!$B$1:$L$257,7,FALSE))))</f>
        <v/>
      </c>
      <c r="H224" s="520" t="str">
        <f>IF(B224="","",IF(ISNA(VLOOKUP($B224,'E-1 Off Site Hedge Baseline'!$B$1:$L$257,8,FALSE)),"",(VLOOKUP($B224,'E-1 Off Site Hedge Baseline'!$B$1:$L$257,8,FALSE))))</f>
        <v/>
      </c>
      <c r="I224" s="520" t="str">
        <f>IF(B224="","",IF(ISNA(VLOOKUP($B224,'E-1 Off Site Hedge Baseline'!$B$1:$L$257,10,FALSE)),"",(VLOOKUP($B224,'E-1 Off Site Hedge Baseline'!$B$1:$L$257,10,FALSE))))</f>
        <v/>
      </c>
      <c r="J224" s="520" t="str">
        <f>IF(B224="","",IF(ISNA(VLOOKUP($B224,'E-1 Off Site Hedge Baseline'!$B$1:$L$257,11,FALSE)),"",(VLOOKUP($B224,'E-1 Off Site Hedge Baseline'!$B$1:$L$257,11,FALSE))))</f>
        <v/>
      </c>
      <c r="K224" s="520" t="str">
        <f>IF(B224="","",IF(ISNA(VLOOKUP($B224,'E-1 Off Site Hedge Baseline'!$B$1:$U$257,113,FALSE)),"",(VLOOKUP($B224,'E-1 Off Site Hedge Baseline'!$B$1:$U$257,13,FALSE))))</f>
        <v/>
      </c>
      <c r="L224" s="507" t="str">
        <f>IF(B224="","",IF(ISNA(VLOOKUP($B224,'E-1 Off Site Hedge Baseline'!$B$1:$U$257,12,FALSE)),"",(VLOOKUP($B224,'E-1 Off Site Hedge Baseline'!$B$1:$U$257,12,FALSE))))</f>
        <v/>
      </c>
      <c r="M224" s="418" t="str">
        <f t="shared" si="32"/>
        <v/>
      </c>
      <c r="N224" s="498" t="str">
        <f>IFERROR(IF(B224="","",INDEX('G-6 Hedgerow Data'!$AN$3:$AZ$15,MATCH(C224,'G-6 Hedgerow Data'!$AM$3:$AM$15,0),MATCH(M224,'G-6 Hedgerow Data'!$AN$2:$AZ$2,0))),"")</f>
        <v/>
      </c>
      <c r="O224" s="499" t="str">
        <f t="shared" si="26"/>
        <v/>
      </c>
      <c r="P224" s="505" t="str">
        <f>IF(B224="","",VLOOKUP(B224,'E-1 Off Site Hedge Baseline'!$B$10:T469,16,FALSE))</f>
        <v/>
      </c>
      <c r="Q224" s="498" t="str">
        <f>IF(M224="","",VLOOKUP(M224,'G-6 Hedgerow Data'!$B$2:$AG$15,2,FALSE))</f>
        <v/>
      </c>
      <c r="R224" s="499" t="str">
        <f>IF(M224="","",VLOOKUP(M224,'G-6 Hedgerow Data'!$B$2:$AG$15,3,FALSE))</f>
        <v/>
      </c>
      <c r="S224" s="145"/>
      <c r="T224" s="499" t="str">
        <f>IFERROR(IF(AND(Q224="V.Low",OR(S224="Good",S224="Moderate")),"Error ▲",VLOOKUP(S224,'G-1 All Habitats'!$Z$2:$AA$9,2,FALSE)),"")</f>
        <v/>
      </c>
      <c r="U224" s="145"/>
      <c r="V224" s="507" t="str">
        <f>IF(U224="","",IF(VLOOKUP(U224,'G-3 Multipliers'!$L$3:$N$6,2,FALSE)=0,"Spatial Data Missing ⚠",VLOOKUP(U224,'G-3 Multipliers'!$L$3:$N$6,2,FALSE)))</f>
        <v/>
      </c>
      <c r="W224" s="505" t="str">
        <f>IF(U224="","",IF(VLOOKUP(U224,'G-3 Multipliers'!$L$3:$N$6,3,FALSE)=0,"Spatial Data Missing ⚠",VLOOKUP(U224,'G-3 Multipliers'!$L$3:$N$6,3,FALSE)))</f>
        <v/>
      </c>
      <c r="X224" s="498"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7" t="str">
        <f t="shared" si="27"/>
        <v/>
      </c>
      <c r="AB224" s="521" t="str">
        <f t="shared" si="28"/>
        <v/>
      </c>
      <c r="AC224" s="522" t="str">
        <f t="shared" si="25"/>
        <v/>
      </c>
      <c r="AD224" s="537" t="str">
        <f>IF(M224="","",VLOOKUP(M224,'G-6 Hedgerow Data'!$B$3:$AG$15,31,FALSE))</f>
        <v/>
      </c>
      <c r="AE224" s="520" t="str">
        <f t="shared" si="29"/>
        <v/>
      </c>
      <c r="AF224" s="520" t="str">
        <f t="shared" si="30"/>
        <v/>
      </c>
      <c r="AG224" s="524" t="str">
        <f>IFERROR(IF(O224="","",VLOOKUP(AD224,'G-3 Multipliers'!$P$3:$Q$6,2,FALSE)),"")</f>
        <v/>
      </c>
      <c r="AH224" s="197"/>
      <c r="AI224" s="499" t="str">
        <f>IF(AH224="","",IF(VLOOKUP(AH224,'G-3 Multipliers'!$S$3:$T$6,2,FALSE)=0,"Spatial Data Missing ⚠",VLOOKUP(AH224,'G-3 Multipliers'!$S$3:$T$6,2,FALSE)))</f>
        <v/>
      </c>
      <c r="AJ224" s="545" t="str">
        <f t="shared" si="31"/>
        <v/>
      </c>
      <c r="AK224" s="149"/>
      <c r="AL224" s="150"/>
      <c r="AP224" s="31" t="str">
        <f>IFERROR(INDEX('G-6 Hedgerow Data'!$BJ$3:$BJ$15,MATCH(M224,'G-6 Hedgerow Data'!$B$3:$B$15,0)),"")</f>
        <v/>
      </c>
    </row>
    <row r="225" spans="2:42" ht="13.8" x14ac:dyDescent="0.25">
      <c r="B225" s="531" t="str">
        <f>'E-1 Off Site Hedge Baseline'!AK223</f>
        <v/>
      </c>
      <c r="C225" s="520" t="str">
        <f>IF(B225="","",IF(ISNA(VLOOKUP($B225,'E-1 Off Site Hedge Baseline'!$B$1:$L$257,3,FALSE)),"",(VLOOKUP($B225,'E-1 Off Site Hedge Baseline'!$B$1:$L$257,3,FALSE))))</f>
        <v/>
      </c>
      <c r="D225" s="520" t="str">
        <f>IF(B225="","",IF(ISNA(VLOOKUP($B225,'E-1 Off Site Hedge Baseline'!$B$1:$L$258,4,FALSE)),"",(VLOOKUP($B225,'E-1 Off Site Hedge Baseline'!$B$1:$L$258,4,FALSE))))</f>
        <v/>
      </c>
      <c r="E225" s="520" t="str">
        <f>IF(B225="","",IF(ISNA(VLOOKUP($B225,'E-1 Off Site Hedge Baseline'!$B$1:$L$257,5,FALSE)),"",(VLOOKUP($B225,'E-1 Off Site Hedge Baseline'!$B$1:$L$257,5,FALSE))))</f>
        <v/>
      </c>
      <c r="F225" s="520" t="str">
        <f>IF(B225="","",IF(ISNA(VLOOKUP($B225,'E-1 Off Site Hedge Baseline'!$B$1:$L$257,6,FALSE)),"",(VLOOKUP($B225,'E-1 Off Site Hedge Baseline'!$B$1:$L$257,6,FALSE))))</f>
        <v/>
      </c>
      <c r="G225" s="520" t="str">
        <f>IF(B225="","",IF(ISNA(VLOOKUP($B225,'E-1 Off Site Hedge Baseline'!$B$1:$L$257,7,FALSE)),"",(VLOOKUP($B225,'E-1 Off Site Hedge Baseline'!$B$1:$L$257,7,FALSE))))</f>
        <v/>
      </c>
      <c r="H225" s="520" t="str">
        <f>IF(B225="","",IF(ISNA(VLOOKUP($B225,'E-1 Off Site Hedge Baseline'!$B$1:$L$257,8,FALSE)),"",(VLOOKUP($B225,'E-1 Off Site Hedge Baseline'!$B$1:$L$257,8,FALSE))))</f>
        <v/>
      </c>
      <c r="I225" s="520" t="str">
        <f>IF(B225="","",IF(ISNA(VLOOKUP($B225,'E-1 Off Site Hedge Baseline'!$B$1:$L$257,10,FALSE)),"",(VLOOKUP($B225,'E-1 Off Site Hedge Baseline'!$B$1:$L$257,10,FALSE))))</f>
        <v/>
      </c>
      <c r="J225" s="520" t="str">
        <f>IF(B225="","",IF(ISNA(VLOOKUP($B225,'E-1 Off Site Hedge Baseline'!$B$1:$L$257,11,FALSE)),"",(VLOOKUP($B225,'E-1 Off Site Hedge Baseline'!$B$1:$L$257,11,FALSE))))</f>
        <v/>
      </c>
      <c r="K225" s="520" t="str">
        <f>IF(B225="","",IF(ISNA(VLOOKUP($B225,'E-1 Off Site Hedge Baseline'!$B$1:$U$257,113,FALSE)),"",(VLOOKUP($B225,'E-1 Off Site Hedge Baseline'!$B$1:$U$257,13,FALSE))))</f>
        <v/>
      </c>
      <c r="L225" s="507" t="str">
        <f>IF(B225="","",IF(ISNA(VLOOKUP($B225,'E-1 Off Site Hedge Baseline'!$B$1:$U$257,12,FALSE)),"",(VLOOKUP($B225,'E-1 Off Site Hedge Baseline'!$B$1:$U$257,12,FALSE))))</f>
        <v/>
      </c>
      <c r="M225" s="418" t="str">
        <f t="shared" si="32"/>
        <v/>
      </c>
      <c r="N225" s="498" t="str">
        <f>IFERROR(IF(B225="","",INDEX('G-6 Hedgerow Data'!$AN$3:$AZ$15,MATCH(C225,'G-6 Hedgerow Data'!$AM$3:$AM$15,0),MATCH(M225,'G-6 Hedgerow Data'!$AN$2:$AZ$2,0))),"")</f>
        <v/>
      </c>
      <c r="O225" s="499" t="str">
        <f t="shared" si="26"/>
        <v/>
      </c>
      <c r="P225" s="505" t="str">
        <f>IF(B225="","",VLOOKUP(B225,'E-1 Off Site Hedge Baseline'!$B$10:T470,16,FALSE))</f>
        <v/>
      </c>
      <c r="Q225" s="498" t="str">
        <f>IF(M225="","",VLOOKUP(M225,'G-6 Hedgerow Data'!$B$2:$AG$15,2,FALSE))</f>
        <v/>
      </c>
      <c r="R225" s="499" t="str">
        <f>IF(M225="","",VLOOKUP(M225,'G-6 Hedgerow Data'!$B$2:$AG$15,3,FALSE))</f>
        <v/>
      </c>
      <c r="S225" s="145"/>
      <c r="T225" s="499" t="str">
        <f>IFERROR(IF(AND(Q225="V.Low",OR(S225="Good",S225="Moderate")),"Error ▲",VLOOKUP(S225,'G-1 All Habitats'!$Z$2:$AA$9,2,FALSE)),"")</f>
        <v/>
      </c>
      <c r="U225" s="145"/>
      <c r="V225" s="507" t="str">
        <f>IF(U225="","",IF(VLOOKUP(U225,'G-3 Multipliers'!$L$3:$N$6,2,FALSE)=0,"Spatial Data Missing ⚠",VLOOKUP(U225,'G-3 Multipliers'!$L$3:$N$6,2,FALSE)))</f>
        <v/>
      </c>
      <c r="W225" s="505" t="str">
        <f>IF(U225="","",IF(VLOOKUP(U225,'G-3 Multipliers'!$L$3:$N$6,3,FALSE)=0,"Spatial Data Missing ⚠",VLOOKUP(U225,'G-3 Multipliers'!$L$3:$N$6,3,FALSE)))</f>
        <v/>
      </c>
      <c r="X225" s="498"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7" t="str">
        <f t="shared" si="27"/>
        <v/>
      </c>
      <c r="AB225" s="521" t="str">
        <f t="shared" si="28"/>
        <v/>
      </c>
      <c r="AC225" s="522" t="str">
        <f t="shared" si="25"/>
        <v/>
      </c>
      <c r="AD225" s="537" t="str">
        <f>IF(M225="","",VLOOKUP(M225,'G-6 Hedgerow Data'!$B$3:$AG$15,31,FALSE))</f>
        <v/>
      </c>
      <c r="AE225" s="520" t="str">
        <f t="shared" si="29"/>
        <v/>
      </c>
      <c r="AF225" s="520" t="str">
        <f t="shared" si="30"/>
        <v/>
      </c>
      <c r="AG225" s="524" t="str">
        <f>IFERROR(IF(O225="","",VLOOKUP(AD225,'G-3 Multipliers'!$P$3:$Q$6,2,FALSE)),"")</f>
        <v/>
      </c>
      <c r="AH225" s="197"/>
      <c r="AI225" s="499" t="str">
        <f>IF(AH225="","",IF(VLOOKUP(AH225,'G-3 Multipliers'!$S$3:$T$6,2,FALSE)=0,"Spatial Data Missing ⚠",VLOOKUP(AH225,'G-3 Multipliers'!$S$3:$T$6,2,FALSE)))</f>
        <v/>
      </c>
      <c r="AJ225" s="545" t="str">
        <f t="shared" si="31"/>
        <v/>
      </c>
      <c r="AK225" s="149"/>
      <c r="AL225" s="150"/>
      <c r="AP225" s="31" t="str">
        <f>IFERROR(INDEX('G-6 Hedgerow Data'!$BJ$3:$BJ$15,MATCH(M225,'G-6 Hedgerow Data'!$B$3:$B$15,0)),"")</f>
        <v/>
      </c>
    </row>
    <row r="226" spans="2:42" ht="13.8" x14ac:dyDescent="0.25">
      <c r="B226" s="531" t="str">
        <f>'E-1 Off Site Hedge Baseline'!AK224</f>
        <v/>
      </c>
      <c r="C226" s="520" t="str">
        <f>IF(B226="","",IF(ISNA(VLOOKUP($B226,'E-1 Off Site Hedge Baseline'!$B$1:$L$257,3,FALSE)),"",(VLOOKUP($B226,'E-1 Off Site Hedge Baseline'!$B$1:$L$257,3,FALSE))))</f>
        <v/>
      </c>
      <c r="D226" s="520" t="str">
        <f>IF(B226="","",IF(ISNA(VLOOKUP($B226,'E-1 Off Site Hedge Baseline'!$B$1:$L$258,4,FALSE)),"",(VLOOKUP($B226,'E-1 Off Site Hedge Baseline'!$B$1:$L$258,4,FALSE))))</f>
        <v/>
      </c>
      <c r="E226" s="520" t="str">
        <f>IF(B226="","",IF(ISNA(VLOOKUP($B226,'E-1 Off Site Hedge Baseline'!$B$1:$L$257,5,FALSE)),"",(VLOOKUP($B226,'E-1 Off Site Hedge Baseline'!$B$1:$L$257,5,FALSE))))</f>
        <v/>
      </c>
      <c r="F226" s="520" t="str">
        <f>IF(B226="","",IF(ISNA(VLOOKUP($B226,'E-1 Off Site Hedge Baseline'!$B$1:$L$257,6,FALSE)),"",(VLOOKUP($B226,'E-1 Off Site Hedge Baseline'!$B$1:$L$257,6,FALSE))))</f>
        <v/>
      </c>
      <c r="G226" s="520" t="str">
        <f>IF(B226="","",IF(ISNA(VLOOKUP($B226,'E-1 Off Site Hedge Baseline'!$B$1:$L$257,7,FALSE)),"",(VLOOKUP($B226,'E-1 Off Site Hedge Baseline'!$B$1:$L$257,7,FALSE))))</f>
        <v/>
      </c>
      <c r="H226" s="520" t="str">
        <f>IF(B226="","",IF(ISNA(VLOOKUP($B226,'E-1 Off Site Hedge Baseline'!$B$1:$L$257,8,FALSE)),"",(VLOOKUP($B226,'E-1 Off Site Hedge Baseline'!$B$1:$L$257,8,FALSE))))</f>
        <v/>
      </c>
      <c r="I226" s="520" t="str">
        <f>IF(B226="","",IF(ISNA(VLOOKUP($B226,'E-1 Off Site Hedge Baseline'!$B$1:$L$257,10,FALSE)),"",(VLOOKUP($B226,'E-1 Off Site Hedge Baseline'!$B$1:$L$257,10,FALSE))))</f>
        <v/>
      </c>
      <c r="J226" s="520" t="str">
        <f>IF(B226="","",IF(ISNA(VLOOKUP($B226,'E-1 Off Site Hedge Baseline'!$B$1:$L$257,11,FALSE)),"",(VLOOKUP($B226,'E-1 Off Site Hedge Baseline'!$B$1:$L$257,11,FALSE))))</f>
        <v/>
      </c>
      <c r="K226" s="520" t="str">
        <f>IF(B226="","",IF(ISNA(VLOOKUP($B226,'E-1 Off Site Hedge Baseline'!$B$1:$U$257,113,FALSE)),"",(VLOOKUP($B226,'E-1 Off Site Hedge Baseline'!$B$1:$U$257,13,FALSE))))</f>
        <v/>
      </c>
      <c r="L226" s="507" t="str">
        <f>IF(B226="","",IF(ISNA(VLOOKUP($B226,'E-1 Off Site Hedge Baseline'!$B$1:$U$257,12,FALSE)),"",(VLOOKUP($B226,'E-1 Off Site Hedge Baseline'!$B$1:$U$257,12,FALSE))))</f>
        <v/>
      </c>
      <c r="M226" s="418" t="str">
        <f t="shared" si="32"/>
        <v/>
      </c>
      <c r="N226" s="498" t="str">
        <f>IFERROR(IF(B226="","",INDEX('G-6 Hedgerow Data'!$AN$3:$AZ$15,MATCH(C226,'G-6 Hedgerow Data'!$AM$3:$AM$15,0),MATCH(M226,'G-6 Hedgerow Data'!$AN$2:$AZ$2,0))),"")</f>
        <v/>
      </c>
      <c r="O226" s="499" t="str">
        <f t="shared" si="26"/>
        <v/>
      </c>
      <c r="P226" s="505" t="str">
        <f>IF(B226="","",VLOOKUP(B226,'E-1 Off Site Hedge Baseline'!$B$10:T471,16,FALSE))</f>
        <v/>
      </c>
      <c r="Q226" s="498" t="str">
        <f>IF(M226="","",VLOOKUP(M226,'G-6 Hedgerow Data'!$B$2:$AG$15,2,FALSE))</f>
        <v/>
      </c>
      <c r="R226" s="499" t="str">
        <f>IF(M226="","",VLOOKUP(M226,'G-6 Hedgerow Data'!$B$2:$AG$15,3,FALSE))</f>
        <v/>
      </c>
      <c r="S226" s="145"/>
      <c r="T226" s="499" t="str">
        <f>IFERROR(IF(AND(Q226="V.Low",OR(S226="Good",S226="Moderate")),"Error ▲",VLOOKUP(S226,'G-1 All Habitats'!$Z$2:$AA$9,2,FALSE)),"")</f>
        <v/>
      </c>
      <c r="U226" s="145"/>
      <c r="V226" s="507" t="str">
        <f>IF(U226="","",IF(VLOOKUP(U226,'G-3 Multipliers'!$L$3:$N$6,2,FALSE)=0,"Spatial Data Missing ⚠",VLOOKUP(U226,'G-3 Multipliers'!$L$3:$N$6,2,FALSE)))</f>
        <v/>
      </c>
      <c r="W226" s="505" t="str">
        <f>IF(U226="","",IF(VLOOKUP(U226,'G-3 Multipliers'!$L$3:$N$6,3,FALSE)=0,"Spatial Data Missing ⚠",VLOOKUP(U226,'G-3 Multipliers'!$L$3:$N$6,3,FALSE)))</f>
        <v/>
      </c>
      <c r="X226" s="498"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7" t="str">
        <f t="shared" si="27"/>
        <v/>
      </c>
      <c r="AB226" s="521" t="str">
        <f t="shared" si="28"/>
        <v/>
      </c>
      <c r="AC226" s="522" t="str">
        <f t="shared" si="25"/>
        <v/>
      </c>
      <c r="AD226" s="537" t="str">
        <f>IF(M226="","",VLOOKUP(M226,'G-6 Hedgerow Data'!$B$3:$AG$15,31,FALSE))</f>
        <v/>
      </c>
      <c r="AE226" s="520" t="str">
        <f t="shared" si="29"/>
        <v/>
      </c>
      <c r="AF226" s="520" t="str">
        <f t="shared" si="30"/>
        <v/>
      </c>
      <c r="AG226" s="524" t="str">
        <f>IFERROR(IF(O226="","",VLOOKUP(AD226,'G-3 Multipliers'!$P$3:$Q$6,2,FALSE)),"")</f>
        <v/>
      </c>
      <c r="AH226" s="197"/>
      <c r="AI226" s="499" t="str">
        <f>IF(AH226="","",IF(VLOOKUP(AH226,'G-3 Multipliers'!$S$3:$T$6,2,FALSE)=0,"Spatial Data Missing ⚠",VLOOKUP(AH226,'G-3 Multipliers'!$S$3:$T$6,2,FALSE)))</f>
        <v/>
      </c>
      <c r="AJ226" s="545" t="str">
        <f t="shared" si="31"/>
        <v/>
      </c>
      <c r="AK226" s="149"/>
      <c r="AL226" s="150"/>
      <c r="AP226" s="31" t="str">
        <f>IFERROR(INDEX('G-6 Hedgerow Data'!$BJ$3:$BJ$15,MATCH(M226,'G-6 Hedgerow Data'!$B$3:$B$15,0)),"")</f>
        <v/>
      </c>
    </row>
    <row r="227" spans="2:42" ht="13.8" x14ac:dyDescent="0.25">
      <c r="B227" s="531" t="str">
        <f>'E-1 Off Site Hedge Baseline'!AK225</f>
        <v/>
      </c>
      <c r="C227" s="520" t="str">
        <f>IF(B227="","",IF(ISNA(VLOOKUP($B227,'E-1 Off Site Hedge Baseline'!$B$1:$L$257,3,FALSE)),"",(VLOOKUP($B227,'E-1 Off Site Hedge Baseline'!$B$1:$L$257,3,FALSE))))</f>
        <v/>
      </c>
      <c r="D227" s="520" t="str">
        <f>IF(B227="","",IF(ISNA(VLOOKUP($B227,'E-1 Off Site Hedge Baseline'!$B$1:$L$258,4,FALSE)),"",(VLOOKUP($B227,'E-1 Off Site Hedge Baseline'!$B$1:$L$258,4,FALSE))))</f>
        <v/>
      </c>
      <c r="E227" s="520" t="str">
        <f>IF(B227="","",IF(ISNA(VLOOKUP($B227,'E-1 Off Site Hedge Baseline'!$B$1:$L$257,5,FALSE)),"",(VLOOKUP($B227,'E-1 Off Site Hedge Baseline'!$B$1:$L$257,5,FALSE))))</f>
        <v/>
      </c>
      <c r="F227" s="520" t="str">
        <f>IF(B227="","",IF(ISNA(VLOOKUP($B227,'E-1 Off Site Hedge Baseline'!$B$1:$L$257,6,FALSE)),"",(VLOOKUP($B227,'E-1 Off Site Hedge Baseline'!$B$1:$L$257,6,FALSE))))</f>
        <v/>
      </c>
      <c r="G227" s="520" t="str">
        <f>IF(B227="","",IF(ISNA(VLOOKUP($B227,'E-1 Off Site Hedge Baseline'!$B$1:$L$257,7,FALSE)),"",(VLOOKUP($B227,'E-1 Off Site Hedge Baseline'!$B$1:$L$257,7,FALSE))))</f>
        <v/>
      </c>
      <c r="H227" s="520" t="str">
        <f>IF(B227="","",IF(ISNA(VLOOKUP($B227,'E-1 Off Site Hedge Baseline'!$B$1:$L$257,8,FALSE)),"",(VLOOKUP($B227,'E-1 Off Site Hedge Baseline'!$B$1:$L$257,8,FALSE))))</f>
        <v/>
      </c>
      <c r="I227" s="520" t="str">
        <f>IF(B227="","",IF(ISNA(VLOOKUP($B227,'E-1 Off Site Hedge Baseline'!$B$1:$L$257,10,FALSE)),"",(VLOOKUP($B227,'E-1 Off Site Hedge Baseline'!$B$1:$L$257,10,FALSE))))</f>
        <v/>
      </c>
      <c r="J227" s="520" t="str">
        <f>IF(B227="","",IF(ISNA(VLOOKUP($B227,'E-1 Off Site Hedge Baseline'!$B$1:$L$257,11,FALSE)),"",(VLOOKUP($B227,'E-1 Off Site Hedge Baseline'!$B$1:$L$257,11,FALSE))))</f>
        <v/>
      </c>
      <c r="K227" s="520" t="str">
        <f>IF(B227="","",IF(ISNA(VLOOKUP($B227,'E-1 Off Site Hedge Baseline'!$B$1:$U$257,113,FALSE)),"",(VLOOKUP($B227,'E-1 Off Site Hedge Baseline'!$B$1:$U$257,13,FALSE))))</f>
        <v/>
      </c>
      <c r="L227" s="507" t="str">
        <f>IF(B227="","",IF(ISNA(VLOOKUP($B227,'E-1 Off Site Hedge Baseline'!$B$1:$U$257,12,FALSE)),"",(VLOOKUP($B227,'E-1 Off Site Hedge Baseline'!$B$1:$U$257,12,FALSE))))</f>
        <v/>
      </c>
      <c r="M227" s="418" t="str">
        <f t="shared" si="32"/>
        <v/>
      </c>
      <c r="N227" s="498" t="str">
        <f>IFERROR(IF(B227="","",INDEX('G-6 Hedgerow Data'!$AN$3:$AZ$15,MATCH(C227,'G-6 Hedgerow Data'!$AM$3:$AM$15,0),MATCH(M227,'G-6 Hedgerow Data'!$AN$2:$AZ$2,0))),"")</f>
        <v/>
      </c>
      <c r="O227" s="499" t="str">
        <f t="shared" si="26"/>
        <v/>
      </c>
      <c r="P227" s="505" t="str">
        <f>IF(B227="","",VLOOKUP(B227,'E-1 Off Site Hedge Baseline'!$B$10:T472,16,FALSE))</f>
        <v/>
      </c>
      <c r="Q227" s="498" t="str">
        <f>IF(M227="","",VLOOKUP(M227,'G-6 Hedgerow Data'!$B$2:$AG$15,2,FALSE))</f>
        <v/>
      </c>
      <c r="R227" s="499" t="str">
        <f>IF(M227="","",VLOOKUP(M227,'G-6 Hedgerow Data'!$B$2:$AG$15,3,FALSE))</f>
        <v/>
      </c>
      <c r="S227" s="145"/>
      <c r="T227" s="499" t="str">
        <f>IFERROR(IF(AND(Q227="V.Low",OR(S227="Good",S227="Moderate")),"Error ▲",VLOOKUP(S227,'G-1 All Habitats'!$Z$2:$AA$9,2,FALSE)),"")</f>
        <v/>
      </c>
      <c r="U227" s="145"/>
      <c r="V227" s="507" t="str">
        <f>IF(U227="","",IF(VLOOKUP(U227,'G-3 Multipliers'!$L$3:$N$6,2,FALSE)=0,"Spatial Data Missing ⚠",VLOOKUP(U227,'G-3 Multipliers'!$L$3:$N$6,2,FALSE)))</f>
        <v/>
      </c>
      <c r="W227" s="505" t="str">
        <f>IF(U227="","",IF(VLOOKUP(U227,'G-3 Multipliers'!$L$3:$N$6,3,FALSE)=0,"Spatial Data Missing ⚠",VLOOKUP(U227,'G-3 Multipliers'!$L$3:$N$6,3,FALSE)))</f>
        <v/>
      </c>
      <c r="X227" s="498"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7" t="str">
        <f t="shared" si="27"/>
        <v/>
      </c>
      <c r="AB227" s="521" t="str">
        <f t="shared" si="28"/>
        <v/>
      </c>
      <c r="AC227" s="522" t="str">
        <f t="shared" si="25"/>
        <v/>
      </c>
      <c r="AD227" s="537" t="str">
        <f>IF(M227="","",VLOOKUP(M227,'G-6 Hedgerow Data'!$B$3:$AG$15,31,FALSE))</f>
        <v/>
      </c>
      <c r="AE227" s="520" t="str">
        <f t="shared" si="29"/>
        <v/>
      </c>
      <c r="AF227" s="520" t="str">
        <f t="shared" si="30"/>
        <v/>
      </c>
      <c r="AG227" s="524" t="str">
        <f>IFERROR(IF(O227="","",VLOOKUP(AD227,'G-3 Multipliers'!$P$3:$Q$6,2,FALSE)),"")</f>
        <v/>
      </c>
      <c r="AH227" s="197"/>
      <c r="AI227" s="499" t="str">
        <f>IF(AH227="","",IF(VLOOKUP(AH227,'G-3 Multipliers'!$S$3:$T$6,2,FALSE)=0,"Spatial Data Missing ⚠",VLOOKUP(AH227,'G-3 Multipliers'!$S$3:$T$6,2,FALSE)))</f>
        <v/>
      </c>
      <c r="AJ227" s="545" t="str">
        <f t="shared" si="31"/>
        <v/>
      </c>
      <c r="AK227" s="149"/>
      <c r="AL227" s="150"/>
      <c r="AP227" s="31" t="str">
        <f>IFERROR(INDEX('G-6 Hedgerow Data'!$BJ$3:$BJ$15,MATCH(M227,'G-6 Hedgerow Data'!$B$3:$B$15,0)),"")</f>
        <v/>
      </c>
    </row>
    <row r="228" spans="2:42" ht="13.8" x14ac:dyDescent="0.25">
      <c r="B228" s="531" t="str">
        <f>'E-1 Off Site Hedge Baseline'!AK226</f>
        <v/>
      </c>
      <c r="C228" s="520" t="str">
        <f>IF(B228="","",IF(ISNA(VLOOKUP($B228,'E-1 Off Site Hedge Baseline'!$B$1:$L$257,3,FALSE)),"",(VLOOKUP($B228,'E-1 Off Site Hedge Baseline'!$B$1:$L$257,3,FALSE))))</f>
        <v/>
      </c>
      <c r="D228" s="520" t="str">
        <f>IF(B228="","",IF(ISNA(VLOOKUP($B228,'E-1 Off Site Hedge Baseline'!$B$1:$L$258,4,FALSE)),"",(VLOOKUP($B228,'E-1 Off Site Hedge Baseline'!$B$1:$L$258,4,FALSE))))</f>
        <v/>
      </c>
      <c r="E228" s="520" t="str">
        <f>IF(B228="","",IF(ISNA(VLOOKUP($B228,'E-1 Off Site Hedge Baseline'!$B$1:$L$257,5,FALSE)),"",(VLOOKUP($B228,'E-1 Off Site Hedge Baseline'!$B$1:$L$257,5,FALSE))))</f>
        <v/>
      </c>
      <c r="F228" s="520" t="str">
        <f>IF(B228="","",IF(ISNA(VLOOKUP($B228,'E-1 Off Site Hedge Baseline'!$B$1:$L$257,6,FALSE)),"",(VLOOKUP($B228,'E-1 Off Site Hedge Baseline'!$B$1:$L$257,6,FALSE))))</f>
        <v/>
      </c>
      <c r="G228" s="520" t="str">
        <f>IF(B228="","",IF(ISNA(VLOOKUP($B228,'E-1 Off Site Hedge Baseline'!$B$1:$L$257,7,FALSE)),"",(VLOOKUP($B228,'E-1 Off Site Hedge Baseline'!$B$1:$L$257,7,FALSE))))</f>
        <v/>
      </c>
      <c r="H228" s="520" t="str">
        <f>IF(B228="","",IF(ISNA(VLOOKUP($B228,'E-1 Off Site Hedge Baseline'!$B$1:$L$257,8,FALSE)),"",(VLOOKUP($B228,'E-1 Off Site Hedge Baseline'!$B$1:$L$257,8,FALSE))))</f>
        <v/>
      </c>
      <c r="I228" s="520" t="str">
        <f>IF(B228="","",IF(ISNA(VLOOKUP($B228,'E-1 Off Site Hedge Baseline'!$B$1:$L$257,10,FALSE)),"",(VLOOKUP($B228,'E-1 Off Site Hedge Baseline'!$B$1:$L$257,10,FALSE))))</f>
        <v/>
      </c>
      <c r="J228" s="520" t="str">
        <f>IF(B228="","",IF(ISNA(VLOOKUP($B228,'E-1 Off Site Hedge Baseline'!$B$1:$L$257,11,FALSE)),"",(VLOOKUP($B228,'E-1 Off Site Hedge Baseline'!$B$1:$L$257,11,FALSE))))</f>
        <v/>
      </c>
      <c r="K228" s="520" t="str">
        <f>IF(B228="","",IF(ISNA(VLOOKUP($B228,'E-1 Off Site Hedge Baseline'!$B$1:$U$257,113,FALSE)),"",(VLOOKUP($B228,'E-1 Off Site Hedge Baseline'!$B$1:$U$257,13,FALSE))))</f>
        <v/>
      </c>
      <c r="L228" s="507" t="str">
        <f>IF(B228="","",IF(ISNA(VLOOKUP($B228,'E-1 Off Site Hedge Baseline'!$B$1:$U$257,12,FALSE)),"",(VLOOKUP($B228,'E-1 Off Site Hedge Baseline'!$B$1:$U$257,12,FALSE))))</f>
        <v/>
      </c>
      <c r="M228" s="418" t="str">
        <f t="shared" si="32"/>
        <v/>
      </c>
      <c r="N228" s="498" t="str">
        <f>IFERROR(IF(B228="","",INDEX('G-6 Hedgerow Data'!$AN$3:$AZ$15,MATCH(C228,'G-6 Hedgerow Data'!$AM$3:$AM$15,0),MATCH(M228,'G-6 Hedgerow Data'!$AN$2:$AZ$2,0))),"")</f>
        <v/>
      </c>
      <c r="O228" s="499" t="str">
        <f t="shared" si="26"/>
        <v/>
      </c>
      <c r="P228" s="505" t="str">
        <f>IF(B228="","",VLOOKUP(B228,'E-1 Off Site Hedge Baseline'!$B$10:T473,16,FALSE))</f>
        <v/>
      </c>
      <c r="Q228" s="498" t="str">
        <f>IF(M228="","",VLOOKUP(M228,'G-6 Hedgerow Data'!$B$2:$AG$15,2,FALSE))</f>
        <v/>
      </c>
      <c r="R228" s="499" t="str">
        <f>IF(M228="","",VLOOKUP(M228,'G-6 Hedgerow Data'!$B$2:$AG$15,3,FALSE))</f>
        <v/>
      </c>
      <c r="S228" s="145"/>
      <c r="T228" s="499" t="str">
        <f>IFERROR(IF(AND(Q228="V.Low",OR(S228="Good",S228="Moderate")),"Error ▲",VLOOKUP(S228,'G-1 All Habitats'!$Z$2:$AA$9,2,FALSE)),"")</f>
        <v/>
      </c>
      <c r="U228" s="145"/>
      <c r="V228" s="507" t="str">
        <f>IF(U228="","",IF(VLOOKUP(U228,'G-3 Multipliers'!$L$3:$N$6,2,FALSE)=0,"Spatial Data Missing ⚠",VLOOKUP(U228,'G-3 Multipliers'!$L$3:$N$6,2,FALSE)))</f>
        <v/>
      </c>
      <c r="W228" s="505" t="str">
        <f>IF(U228="","",IF(VLOOKUP(U228,'G-3 Multipliers'!$L$3:$N$6,3,FALSE)=0,"Spatial Data Missing ⚠",VLOOKUP(U228,'G-3 Multipliers'!$L$3:$N$6,3,FALSE)))</f>
        <v/>
      </c>
      <c r="X228" s="498"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7" t="str">
        <f t="shared" si="27"/>
        <v/>
      </c>
      <c r="AB228" s="521" t="str">
        <f t="shared" si="28"/>
        <v/>
      </c>
      <c r="AC228" s="522" t="str">
        <f t="shared" si="25"/>
        <v/>
      </c>
      <c r="AD228" s="537" t="str">
        <f>IF(M228="","",VLOOKUP(M228,'G-6 Hedgerow Data'!$B$3:$AG$15,31,FALSE))</f>
        <v/>
      </c>
      <c r="AE228" s="520" t="str">
        <f t="shared" si="29"/>
        <v/>
      </c>
      <c r="AF228" s="520" t="str">
        <f t="shared" si="30"/>
        <v/>
      </c>
      <c r="AG228" s="524" t="str">
        <f>IFERROR(IF(O228="","",VLOOKUP(AD228,'G-3 Multipliers'!$P$3:$Q$6,2,FALSE)),"")</f>
        <v/>
      </c>
      <c r="AH228" s="197"/>
      <c r="AI228" s="499" t="str">
        <f>IF(AH228="","",IF(VLOOKUP(AH228,'G-3 Multipliers'!$S$3:$T$6,2,FALSE)=0,"Spatial Data Missing ⚠",VLOOKUP(AH228,'G-3 Multipliers'!$S$3:$T$6,2,FALSE)))</f>
        <v/>
      </c>
      <c r="AJ228" s="545" t="str">
        <f t="shared" si="31"/>
        <v/>
      </c>
      <c r="AK228" s="149"/>
      <c r="AL228" s="150"/>
      <c r="AP228" s="31" t="str">
        <f>IFERROR(INDEX('G-6 Hedgerow Data'!$BJ$3:$BJ$15,MATCH(M228,'G-6 Hedgerow Data'!$B$3:$B$15,0)),"")</f>
        <v/>
      </c>
    </row>
    <row r="229" spans="2:42" ht="13.8" x14ac:dyDescent="0.25">
      <c r="B229" s="531" t="str">
        <f>'E-1 Off Site Hedge Baseline'!AK227</f>
        <v/>
      </c>
      <c r="C229" s="520" t="str">
        <f>IF(B229="","",IF(ISNA(VLOOKUP($B229,'E-1 Off Site Hedge Baseline'!$B$1:$L$257,3,FALSE)),"",(VLOOKUP($B229,'E-1 Off Site Hedge Baseline'!$B$1:$L$257,3,FALSE))))</f>
        <v/>
      </c>
      <c r="D229" s="520" t="str">
        <f>IF(B229="","",IF(ISNA(VLOOKUP($B229,'E-1 Off Site Hedge Baseline'!$B$1:$L$258,4,FALSE)),"",(VLOOKUP($B229,'E-1 Off Site Hedge Baseline'!$B$1:$L$258,4,FALSE))))</f>
        <v/>
      </c>
      <c r="E229" s="520" t="str">
        <f>IF(B229="","",IF(ISNA(VLOOKUP($B229,'E-1 Off Site Hedge Baseline'!$B$1:$L$257,5,FALSE)),"",(VLOOKUP($B229,'E-1 Off Site Hedge Baseline'!$B$1:$L$257,5,FALSE))))</f>
        <v/>
      </c>
      <c r="F229" s="520" t="str">
        <f>IF(B229="","",IF(ISNA(VLOOKUP($B229,'E-1 Off Site Hedge Baseline'!$B$1:$L$257,6,FALSE)),"",(VLOOKUP($B229,'E-1 Off Site Hedge Baseline'!$B$1:$L$257,6,FALSE))))</f>
        <v/>
      </c>
      <c r="G229" s="520" t="str">
        <f>IF(B229="","",IF(ISNA(VLOOKUP($B229,'E-1 Off Site Hedge Baseline'!$B$1:$L$257,7,FALSE)),"",(VLOOKUP($B229,'E-1 Off Site Hedge Baseline'!$B$1:$L$257,7,FALSE))))</f>
        <v/>
      </c>
      <c r="H229" s="520" t="str">
        <f>IF(B229="","",IF(ISNA(VLOOKUP($B229,'E-1 Off Site Hedge Baseline'!$B$1:$L$257,8,FALSE)),"",(VLOOKUP($B229,'E-1 Off Site Hedge Baseline'!$B$1:$L$257,8,FALSE))))</f>
        <v/>
      </c>
      <c r="I229" s="520" t="str">
        <f>IF(B229="","",IF(ISNA(VLOOKUP($B229,'E-1 Off Site Hedge Baseline'!$B$1:$L$257,10,FALSE)),"",(VLOOKUP($B229,'E-1 Off Site Hedge Baseline'!$B$1:$L$257,10,FALSE))))</f>
        <v/>
      </c>
      <c r="J229" s="520" t="str">
        <f>IF(B229="","",IF(ISNA(VLOOKUP($B229,'E-1 Off Site Hedge Baseline'!$B$1:$L$257,11,FALSE)),"",(VLOOKUP($B229,'E-1 Off Site Hedge Baseline'!$B$1:$L$257,11,FALSE))))</f>
        <v/>
      </c>
      <c r="K229" s="520" t="str">
        <f>IF(B229="","",IF(ISNA(VLOOKUP($B229,'E-1 Off Site Hedge Baseline'!$B$1:$U$257,113,FALSE)),"",(VLOOKUP($B229,'E-1 Off Site Hedge Baseline'!$B$1:$U$257,13,FALSE))))</f>
        <v/>
      </c>
      <c r="L229" s="507" t="str">
        <f>IF(B229="","",IF(ISNA(VLOOKUP($B229,'E-1 Off Site Hedge Baseline'!$B$1:$U$257,12,FALSE)),"",(VLOOKUP($B229,'E-1 Off Site Hedge Baseline'!$B$1:$U$257,12,FALSE))))</f>
        <v/>
      </c>
      <c r="M229" s="418" t="str">
        <f t="shared" si="32"/>
        <v/>
      </c>
      <c r="N229" s="498" t="str">
        <f>IFERROR(IF(B229="","",INDEX('G-6 Hedgerow Data'!$AN$3:$AZ$15,MATCH(C229,'G-6 Hedgerow Data'!$AM$3:$AM$15,0),MATCH(M229,'G-6 Hedgerow Data'!$AN$2:$AZ$2,0))),"")</f>
        <v/>
      </c>
      <c r="O229" s="499" t="str">
        <f t="shared" si="26"/>
        <v/>
      </c>
      <c r="P229" s="505" t="str">
        <f>IF(B229="","",VLOOKUP(B229,'E-1 Off Site Hedge Baseline'!$B$10:T474,16,FALSE))</f>
        <v/>
      </c>
      <c r="Q229" s="498" t="str">
        <f>IF(M229="","",VLOOKUP(M229,'G-6 Hedgerow Data'!$B$2:$AG$15,2,FALSE))</f>
        <v/>
      </c>
      <c r="R229" s="499" t="str">
        <f>IF(M229="","",VLOOKUP(M229,'G-6 Hedgerow Data'!$B$2:$AG$15,3,FALSE))</f>
        <v/>
      </c>
      <c r="S229" s="145"/>
      <c r="T229" s="499" t="str">
        <f>IFERROR(IF(AND(Q229="V.Low",OR(S229="Good",S229="Moderate")),"Error ▲",VLOOKUP(S229,'G-1 All Habitats'!$Z$2:$AA$9,2,FALSE)),"")</f>
        <v/>
      </c>
      <c r="U229" s="145"/>
      <c r="V229" s="507" t="str">
        <f>IF(U229="","",IF(VLOOKUP(U229,'G-3 Multipliers'!$L$3:$N$6,2,FALSE)=0,"Spatial Data Missing ⚠",VLOOKUP(U229,'G-3 Multipliers'!$L$3:$N$6,2,FALSE)))</f>
        <v/>
      </c>
      <c r="W229" s="505" t="str">
        <f>IF(U229="","",IF(VLOOKUP(U229,'G-3 Multipliers'!$L$3:$N$6,3,FALSE)=0,"Spatial Data Missing ⚠",VLOOKUP(U229,'G-3 Multipliers'!$L$3:$N$6,3,FALSE)))</f>
        <v/>
      </c>
      <c r="X229" s="498"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7" t="str">
        <f t="shared" si="27"/>
        <v/>
      </c>
      <c r="AB229" s="521" t="str">
        <f t="shared" si="28"/>
        <v/>
      </c>
      <c r="AC229" s="522" t="str">
        <f t="shared" si="25"/>
        <v/>
      </c>
      <c r="AD229" s="537" t="str">
        <f>IF(M229="","",VLOOKUP(M229,'G-6 Hedgerow Data'!$B$3:$AG$15,31,FALSE))</f>
        <v/>
      </c>
      <c r="AE229" s="520" t="str">
        <f t="shared" si="29"/>
        <v/>
      </c>
      <c r="AF229" s="520" t="str">
        <f t="shared" si="30"/>
        <v/>
      </c>
      <c r="AG229" s="524" t="str">
        <f>IFERROR(IF(O229="","",VLOOKUP(AD229,'G-3 Multipliers'!$P$3:$Q$6,2,FALSE)),"")</f>
        <v/>
      </c>
      <c r="AH229" s="197"/>
      <c r="AI229" s="499" t="str">
        <f>IF(AH229="","",IF(VLOOKUP(AH229,'G-3 Multipliers'!$S$3:$T$6,2,FALSE)=0,"Spatial Data Missing ⚠",VLOOKUP(AH229,'G-3 Multipliers'!$S$3:$T$6,2,FALSE)))</f>
        <v/>
      </c>
      <c r="AJ229" s="545" t="str">
        <f t="shared" si="31"/>
        <v/>
      </c>
      <c r="AK229" s="149"/>
      <c r="AL229" s="150"/>
      <c r="AP229" s="31" t="str">
        <f>IFERROR(INDEX('G-6 Hedgerow Data'!$BJ$3:$BJ$15,MATCH(M229,'G-6 Hedgerow Data'!$B$3:$B$15,0)),"")</f>
        <v/>
      </c>
    </row>
    <row r="230" spans="2:42" ht="13.8" x14ac:dyDescent="0.25">
      <c r="B230" s="531" t="str">
        <f>'E-1 Off Site Hedge Baseline'!AK228</f>
        <v/>
      </c>
      <c r="C230" s="520" t="str">
        <f>IF(B230="","",IF(ISNA(VLOOKUP($B230,'E-1 Off Site Hedge Baseline'!$B$1:$L$257,3,FALSE)),"",(VLOOKUP($B230,'E-1 Off Site Hedge Baseline'!$B$1:$L$257,3,FALSE))))</f>
        <v/>
      </c>
      <c r="D230" s="520" t="str">
        <f>IF(B230="","",IF(ISNA(VLOOKUP($B230,'E-1 Off Site Hedge Baseline'!$B$1:$L$258,4,FALSE)),"",(VLOOKUP($B230,'E-1 Off Site Hedge Baseline'!$B$1:$L$258,4,FALSE))))</f>
        <v/>
      </c>
      <c r="E230" s="520" t="str">
        <f>IF(B230="","",IF(ISNA(VLOOKUP($B230,'E-1 Off Site Hedge Baseline'!$B$1:$L$257,5,FALSE)),"",(VLOOKUP($B230,'E-1 Off Site Hedge Baseline'!$B$1:$L$257,5,FALSE))))</f>
        <v/>
      </c>
      <c r="F230" s="520" t="str">
        <f>IF(B230="","",IF(ISNA(VLOOKUP($B230,'E-1 Off Site Hedge Baseline'!$B$1:$L$257,6,FALSE)),"",(VLOOKUP($B230,'E-1 Off Site Hedge Baseline'!$B$1:$L$257,6,FALSE))))</f>
        <v/>
      </c>
      <c r="G230" s="520" t="str">
        <f>IF(B230="","",IF(ISNA(VLOOKUP($B230,'E-1 Off Site Hedge Baseline'!$B$1:$L$257,7,FALSE)),"",(VLOOKUP($B230,'E-1 Off Site Hedge Baseline'!$B$1:$L$257,7,FALSE))))</f>
        <v/>
      </c>
      <c r="H230" s="520" t="str">
        <f>IF(B230="","",IF(ISNA(VLOOKUP($B230,'E-1 Off Site Hedge Baseline'!$B$1:$L$257,8,FALSE)),"",(VLOOKUP($B230,'E-1 Off Site Hedge Baseline'!$B$1:$L$257,8,FALSE))))</f>
        <v/>
      </c>
      <c r="I230" s="520" t="str">
        <f>IF(B230="","",IF(ISNA(VLOOKUP($B230,'E-1 Off Site Hedge Baseline'!$B$1:$L$257,10,FALSE)),"",(VLOOKUP($B230,'E-1 Off Site Hedge Baseline'!$B$1:$L$257,10,FALSE))))</f>
        <v/>
      </c>
      <c r="J230" s="520" t="str">
        <f>IF(B230="","",IF(ISNA(VLOOKUP($B230,'E-1 Off Site Hedge Baseline'!$B$1:$L$257,11,FALSE)),"",(VLOOKUP($B230,'E-1 Off Site Hedge Baseline'!$B$1:$L$257,11,FALSE))))</f>
        <v/>
      </c>
      <c r="K230" s="520" t="str">
        <f>IF(B230="","",IF(ISNA(VLOOKUP($B230,'E-1 Off Site Hedge Baseline'!$B$1:$U$257,113,FALSE)),"",(VLOOKUP($B230,'E-1 Off Site Hedge Baseline'!$B$1:$U$257,13,FALSE))))</f>
        <v/>
      </c>
      <c r="L230" s="507" t="str">
        <f>IF(B230="","",IF(ISNA(VLOOKUP($B230,'E-1 Off Site Hedge Baseline'!$B$1:$U$257,12,FALSE)),"",(VLOOKUP($B230,'E-1 Off Site Hedge Baseline'!$B$1:$U$257,12,FALSE))))</f>
        <v/>
      </c>
      <c r="M230" s="418" t="str">
        <f t="shared" si="32"/>
        <v/>
      </c>
      <c r="N230" s="498" t="str">
        <f>IFERROR(IF(B230="","",INDEX('G-6 Hedgerow Data'!$AN$3:$AZ$15,MATCH(C230,'G-6 Hedgerow Data'!$AM$3:$AM$15,0),MATCH(M230,'G-6 Hedgerow Data'!$AN$2:$AZ$2,0))),"")</f>
        <v/>
      </c>
      <c r="O230" s="499" t="str">
        <f t="shared" si="26"/>
        <v/>
      </c>
      <c r="P230" s="505" t="str">
        <f>IF(B230="","",VLOOKUP(B230,'E-1 Off Site Hedge Baseline'!$B$10:T475,16,FALSE))</f>
        <v/>
      </c>
      <c r="Q230" s="498" t="str">
        <f>IF(M230="","",VLOOKUP(M230,'G-6 Hedgerow Data'!$B$2:$AG$15,2,FALSE))</f>
        <v/>
      </c>
      <c r="R230" s="499" t="str">
        <f>IF(M230="","",VLOOKUP(M230,'G-6 Hedgerow Data'!$B$2:$AG$15,3,FALSE))</f>
        <v/>
      </c>
      <c r="S230" s="145"/>
      <c r="T230" s="499" t="str">
        <f>IFERROR(IF(AND(Q230="V.Low",OR(S230="Good",S230="Moderate")),"Error ▲",VLOOKUP(S230,'G-1 All Habitats'!$Z$2:$AA$9,2,FALSE)),"")</f>
        <v/>
      </c>
      <c r="U230" s="145"/>
      <c r="V230" s="507" t="str">
        <f>IF(U230="","",IF(VLOOKUP(U230,'G-3 Multipliers'!$L$3:$N$6,2,FALSE)=0,"Spatial Data Missing ⚠",VLOOKUP(U230,'G-3 Multipliers'!$L$3:$N$6,2,FALSE)))</f>
        <v/>
      </c>
      <c r="W230" s="505" t="str">
        <f>IF(U230="","",IF(VLOOKUP(U230,'G-3 Multipliers'!$L$3:$N$6,3,FALSE)=0,"Spatial Data Missing ⚠",VLOOKUP(U230,'G-3 Multipliers'!$L$3:$N$6,3,FALSE)))</f>
        <v/>
      </c>
      <c r="X230" s="498"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7" t="str">
        <f t="shared" si="27"/>
        <v/>
      </c>
      <c r="AB230" s="521" t="str">
        <f t="shared" si="28"/>
        <v/>
      </c>
      <c r="AC230" s="522" t="str">
        <f t="shared" si="25"/>
        <v/>
      </c>
      <c r="AD230" s="537" t="str">
        <f>IF(M230="","",VLOOKUP(M230,'G-6 Hedgerow Data'!$B$3:$AG$15,31,FALSE))</f>
        <v/>
      </c>
      <c r="AE230" s="520" t="str">
        <f t="shared" si="29"/>
        <v/>
      </c>
      <c r="AF230" s="520" t="str">
        <f t="shared" si="30"/>
        <v/>
      </c>
      <c r="AG230" s="524" t="str">
        <f>IFERROR(IF(O230="","",VLOOKUP(AD230,'G-3 Multipliers'!$P$3:$Q$6,2,FALSE)),"")</f>
        <v/>
      </c>
      <c r="AH230" s="197"/>
      <c r="AI230" s="499" t="str">
        <f>IF(AH230="","",IF(VLOOKUP(AH230,'G-3 Multipliers'!$S$3:$T$6,2,FALSE)=0,"Spatial Data Missing ⚠",VLOOKUP(AH230,'G-3 Multipliers'!$S$3:$T$6,2,FALSE)))</f>
        <v/>
      </c>
      <c r="AJ230" s="545" t="str">
        <f t="shared" si="31"/>
        <v/>
      </c>
      <c r="AK230" s="149"/>
      <c r="AL230" s="150"/>
      <c r="AP230" s="31" t="str">
        <f>IFERROR(INDEX('G-6 Hedgerow Data'!$BJ$3:$BJ$15,MATCH(M230,'G-6 Hedgerow Data'!$B$3:$B$15,0)),"")</f>
        <v/>
      </c>
    </row>
    <row r="231" spans="2:42" ht="13.8" x14ac:dyDescent="0.25">
      <c r="B231" s="531" t="str">
        <f>'E-1 Off Site Hedge Baseline'!AK229</f>
        <v/>
      </c>
      <c r="C231" s="520" t="str">
        <f>IF(B231="","",IF(ISNA(VLOOKUP($B231,'E-1 Off Site Hedge Baseline'!$B$1:$L$257,3,FALSE)),"",(VLOOKUP($B231,'E-1 Off Site Hedge Baseline'!$B$1:$L$257,3,FALSE))))</f>
        <v/>
      </c>
      <c r="D231" s="520" t="str">
        <f>IF(B231="","",IF(ISNA(VLOOKUP($B231,'E-1 Off Site Hedge Baseline'!$B$1:$L$258,4,FALSE)),"",(VLOOKUP($B231,'E-1 Off Site Hedge Baseline'!$B$1:$L$258,4,FALSE))))</f>
        <v/>
      </c>
      <c r="E231" s="520" t="str">
        <f>IF(B231="","",IF(ISNA(VLOOKUP($B231,'E-1 Off Site Hedge Baseline'!$B$1:$L$257,5,FALSE)),"",(VLOOKUP($B231,'E-1 Off Site Hedge Baseline'!$B$1:$L$257,5,FALSE))))</f>
        <v/>
      </c>
      <c r="F231" s="520" t="str">
        <f>IF(B231="","",IF(ISNA(VLOOKUP($B231,'E-1 Off Site Hedge Baseline'!$B$1:$L$257,6,FALSE)),"",(VLOOKUP($B231,'E-1 Off Site Hedge Baseline'!$B$1:$L$257,6,FALSE))))</f>
        <v/>
      </c>
      <c r="G231" s="520" t="str">
        <f>IF(B231="","",IF(ISNA(VLOOKUP($B231,'E-1 Off Site Hedge Baseline'!$B$1:$L$257,7,FALSE)),"",(VLOOKUP($B231,'E-1 Off Site Hedge Baseline'!$B$1:$L$257,7,FALSE))))</f>
        <v/>
      </c>
      <c r="H231" s="520" t="str">
        <f>IF(B231="","",IF(ISNA(VLOOKUP($B231,'E-1 Off Site Hedge Baseline'!$B$1:$L$257,8,FALSE)),"",(VLOOKUP($B231,'E-1 Off Site Hedge Baseline'!$B$1:$L$257,8,FALSE))))</f>
        <v/>
      </c>
      <c r="I231" s="520" t="str">
        <f>IF(B231="","",IF(ISNA(VLOOKUP($B231,'E-1 Off Site Hedge Baseline'!$B$1:$L$257,10,FALSE)),"",(VLOOKUP($B231,'E-1 Off Site Hedge Baseline'!$B$1:$L$257,10,FALSE))))</f>
        <v/>
      </c>
      <c r="J231" s="520" t="str">
        <f>IF(B231="","",IF(ISNA(VLOOKUP($B231,'E-1 Off Site Hedge Baseline'!$B$1:$L$257,11,FALSE)),"",(VLOOKUP($B231,'E-1 Off Site Hedge Baseline'!$B$1:$L$257,11,FALSE))))</f>
        <v/>
      </c>
      <c r="K231" s="520" t="str">
        <f>IF(B231="","",IF(ISNA(VLOOKUP($B231,'E-1 Off Site Hedge Baseline'!$B$1:$U$257,113,FALSE)),"",(VLOOKUP($B231,'E-1 Off Site Hedge Baseline'!$B$1:$U$257,13,FALSE))))</f>
        <v/>
      </c>
      <c r="L231" s="507" t="str">
        <f>IF(B231="","",IF(ISNA(VLOOKUP($B231,'E-1 Off Site Hedge Baseline'!$B$1:$U$257,12,FALSE)),"",(VLOOKUP($B231,'E-1 Off Site Hedge Baseline'!$B$1:$U$257,12,FALSE))))</f>
        <v/>
      </c>
      <c r="M231" s="418" t="str">
        <f t="shared" si="32"/>
        <v/>
      </c>
      <c r="N231" s="498" t="str">
        <f>IFERROR(IF(B231="","",INDEX('G-6 Hedgerow Data'!$AN$3:$AZ$15,MATCH(C231,'G-6 Hedgerow Data'!$AM$3:$AM$15,0),MATCH(M231,'G-6 Hedgerow Data'!$AN$2:$AZ$2,0))),"")</f>
        <v/>
      </c>
      <c r="O231" s="499" t="str">
        <f t="shared" si="26"/>
        <v/>
      </c>
      <c r="P231" s="505" t="str">
        <f>IF(B231="","",VLOOKUP(B231,'E-1 Off Site Hedge Baseline'!$B$10:T476,16,FALSE))</f>
        <v/>
      </c>
      <c r="Q231" s="498" t="str">
        <f>IF(M231="","",VLOOKUP(M231,'G-6 Hedgerow Data'!$B$2:$AG$15,2,FALSE))</f>
        <v/>
      </c>
      <c r="R231" s="499" t="str">
        <f>IF(M231="","",VLOOKUP(M231,'G-6 Hedgerow Data'!$B$2:$AG$15,3,FALSE))</f>
        <v/>
      </c>
      <c r="S231" s="145"/>
      <c r="T231" s="499" t="str">
        <f>IFERROR(IF(AND(Q231="V.Low",OR(S231="Good",S231="Moderate")),"Error ▲",VLOOKUP(S231,'G-1 All Habitats'!$Z$2:$AA$9,2,FALSE)),"")</f>
        <v/>
      </c>
      <c r="U231" s="145"/>
      <c r="V231" s="507" t="str">
        <f>IF(U231="","",IF(VLOOKUP(U231,'G-3 Multipliers'!$L$3:$N$6,2,FALSE)=0,"Spatial Data Missing ⚠",VLOOKUP(U231,'G-3 Multipliers'!$L$3:$N$6,2,FALSE)))</f>
        <v/>
      </c>
      <c r="W231" s="505" t="str">
        <f>IF(U231="","",IF(VLOOKUP(U231,'G-3 Multipliers'!$L$3:$N$6,3,FALSE)=0,"Spatial Data Missing ⚠",VLOOKUP(U231,'G-3 Multipliers'!$L$3:$N$6,3,FALSE)))</f>
        <v/>
      </c>
      <c r="X231" s="498"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7" t="str">
        <f t="shared" si="27"/>
        <v/>
      </c>
      <c r="AB231" s="521" t="str">
        <f t="shared" si="28"/>
        <v/>
      </c>
      <c r="AC231" s="522" t="str">
        <f t="shared" si="25"/>
        <v/>
      </c>
      <c r="AD231" s="537" t="str">
        <f>IF(M231="","",VLOOKUP(M231,'G-6 Hedgerow Data'!$B$3:$AG$15,31,FALSE))</f>
        <v/>
      </c>
      <c r="AE231" s="520" t="str">
        <f t="shared" si="29"/>
        <v/>
      </c>
      <c r="AF231" s="520" t="str">
        <f t="shared" si="30"/>
        <v/>
      </c>
      <c r="AG231" s="524" t="str">
        <f>IFERROR(IF(O231="","",VLOOKUP(AD231,'G-3 Multipliers'!$P$3:$Q$6,2,FALSE)),"")</f>
        <v/>
      </c>
      <c r="AH231" s="197"/>
      <c r="AI231" s="499" t="str">
        <f>IF(AH231="","",IF(VLOOKUP(AH231,'G-3 Multipliers'!$S$3:$T$6,2,FALSE)=0,"Spatial Data Missing ⚠",VLOOKUP(AH231,'G-3 Multipliers'!$S$3:$T$6,2,FALSE)))</f>
        <v/>
      </c>
      <c r="AJ231" s="545" t="str">
        <f t="shared" si="31"/>
        <v/>
      </c>
      <c r="AK231" s="149"/>
      <c r="AL231" s="150"/>
      <c r="AP231" s="31" t="str">
        <f>IFERROR(INDEX('G-6 Hedgerow Data'!$BJ$3:$BJ$15,MATCH(M231,'G-6 Hedgerow Data'!$B$3:$B$15,0)),"")</f>
        <v/>
      </c>
    </row>
    <row r="232" spans="2:42" ht="13.8" x14ac:dyDescent="0.25">
      <c r="B232" s="531" t="str">
        <f>'E-1 Off Site Hedge Baseline'!AK230</f>
        <v/>
      </c>
      <c r="C232" s="520" t="str">
        <f>IF(B232="","",IF(ISNA(VLOOKUP($B232,'E-1 Off Site Hedge Baseline'!$B$1:$L$257,3,FALSE)),"",(VLOOKUP($B232,'E-1 Off Site Hedge Baseline'!$B$1:$L$257,3,FALSE))))</f>
        <v/>
      </c>
      <c r="D232" s="520" t="str">
        <f>IF(B232="","",IF(ISNA(VLOOKUP($B232,'E-1 Off Site Hedge Baseline'!$B$1:$L$258,4,FALSE)),"",(VLOOKUP($B232,'E-1 Off Site Hedge Baseline'!$B$1:$L$258,4,FALSE))))</f>
        <v/>
      </c>
      <c r="E232" s="520" t="str">
        <f>IF(B232="","",IF(ISNA(VLOOKUP($B232,'E-1 Off Site Hedge Baseline'!$B$1:$L$257,5,FALSE)),"",(VLOOKUP($B232,'E-1 Off Site Hedge Baseline'!$B$1:$L$257,5,FALSE))))</f>
        <v/>
      </c>
      <c r="F232" s="520" t="str">
        <f>IF(B232="","",IF(ISNA(VLOOKUP($B232,'E-1 Off Site Hedge Baseline'!$B$1:$L$257,6,FALSE)),"",(VLOOKUP($B232,'E-1 Off Site Hedge Baseline'!$B$1:$L$257,6,FALSE))))</f>
        <v/>
      </c>
      <c r="G232" s="520" t="str">
        <f>IF(B232="","",IF(ISNA(VLOOKUP($B232,'E-1 Off Site Hedge Baseline'!$B$1:$L$257,7,FALSE)),"",(VLOOKUP($B232,'E-1 Off Site Hedge Baseline'!$B$1:$L$257,7,FALSE))))</f>
        <v/>
      </c>
      <c r="H232" s="520" t="str">
        <f>IF(B232="","",IF(ISNA(VLOOKUP($B232,'E-1 Off Site Hedge Baseline'!$B$1:$L$257,8,FALSE)),"",(VLOOKUP($B232,'E-1 Off Site Hedge Baseline'!$B$1:$L$257,8,FALSE))))</f>
        <v/>
      </c>
      <c r="I232" s="520" t="str">
        <f>IF(B232="","",IF(ISNA(VLOOKUP($B232,'E-1 Off Site Hedge Baseline'!$B$1:$L$257,10,FALSE)),"",(VLOOKUP($B232,'E-1 Off Site Hedge Baseline'!$B$1:$L$257,10,FALSE))))</f>
        <v/>
      </c>
      <c r="J232" s="520" t="str">
        <f>IF(B232="","",IF(ISNA(VLOOKUP($B232,'E-1 Off Site Hedge Baseline'!$B$1:$L$257,11,FALSE)),"",(VLOOKUP($B232,'E-1 Off Site Hedge Baseline'!$B$1:$L$257,11,FALSE))))</f>
        <v/>
      </c>
      <c r="K232" s="520" t="str">
        <f>IF(B232="","",IF(ISNA(VLOOKUP($B232,'E-1 Off Site Hedge Baseline'!$B$1:$U$257,113,FALSE)),"",(VLOOKUP($B232,'E-1 Off Site Hedge Baseline'!$B$1:$U$257,13,FALSE))))</f>
        <v/>
      </c>
      <c r="L232" s="507" t="str">
        <f>IF(B232="","",IF(ISNA(VLOOKUP($B232,'E-1 Off Site Hedge Baseline'!$B$1:$U$257,12,FALSE)),"",(VLOOKUP($B232,'E-1 Off Site Hedge Baseline'!$B$1:$U$257,12,FALSE))))</f>
        <v/>
      </c>
      <c r="M232" s="418" t="str">
        <f t="shared" si="32"/>
        <v/>
      </c>
      <c r="N232" s="498" t="str">
        <f>IFERROR(IF(B232="","",INDEX('G-6 Hedgerow Data'!$AN$3:$AZ$15,MATCH(C232,'G-6 Hedgerow Data'!$AM$3:$AM$15,0),MATCH(M232,'G-6 Hedgerow Data'!$AN$2:$AZ$2,0))),"")</f>
        <v/>
      </c>
      <c r="O232" s="499" t="str">
        <f t="shared" si="26"/>
        <v/>
      </c>
      <c r="P232" s="505" t="str">
        <f>IF(B232="","",VLOOKUP(B232,'E-1 Off Site Hedge Baseline'!$B$10:T477,16,FALSE))</f>
        <v/>
      </c>
      <c r="Q232" s="498" t="str">
        <f>IF(M232="","",VLOOKUP(M232,'G-6 Hedgerow Data'!$B$2:$AG$15,2,FALSE))</f>
        <v/>
      </c>
      <c r="R232" s="499" t="str">
        <f>IF(M232="","",VLOOKUP(M232,'G-6 Hedgerow Data'!$B$2:$AG$15,3,FALSE))</f>
        <v/>
      </c>
      <c r="S232" s="145"/>
      <c r="T232" s="499" t="str">
        <f>IFERROR(IF(AND(Q232="V.Low",OR(S232="Good",S232="Moderate")),"Error ▲",VLOOKUP(S232,'G-1 All Habitats'!$Z$2:$AA$9,2,FALSE)),"")</f>
        <v/>
      </c>
      <c r="U232" s="145"/>
      <c r="V232" s="507" t="str">
        <f>IF(U232="","",IF(VLOOKUP(U232,'G-3 Multipliers'!$L$3:$N$6,2,FALSE)=0,"Spatial Data Missing ⚠",VLOOKUP(U232,'G-3 Multipliers'!$L$3:$N$6,2,FALSE)))</f>
        <v/>
      </c>
      <c r="W232" s="505" t="str">
        <f>IF(U232="","",IF(VLOOKUP(U232,'G-3 Multipliers'!$L$3:$N$6,3,FALSE)=0,"Spatial Data Missing ⚠",VLOOKUP(U232,'G-3 Multipliers'!$L$3:$N$6,3,FALSE)))</f>
        <v/>
      </c>
      <c r="X232" s="498"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7" t="str">
        <f t="shared" si="27"/>
        <v/>
      </c>
      <c r="AB232" s="521" t="str">
        <f t="shared" si="28"/>
        <v/>
      </c>
      <c r="AC232" s="522" t="str">
        <f t="shared" si="25"/>
        <v/>
      </c>
      <c r="AD232" s="537" t="str">
        <f>IF(M232="","",VLOOKUP(M232,'G-6 Hedgerow Data'!$B$3:$AG$15,31,FALSE))</f>
        <v/>
      </c>
      <c r="AE232" s="520" t="str">
        <f t="shared" si="29"/>
        <v/>
      </c>
      <c r="AF232" s="520" t="str">
        <f t="shared" si="30"/>
        <v/>
      </c>
      <c r="AG232" s="524" t="str">
        <f>IFERROR(IF(O232="","",VLOOKUP(AD232,'G-3 Multipliers'!$P$3:$Q$6,2,FALSE)),"")</f>
        <v/>
      </c>
      <c r="AH232" s="197"/>
      <c r="AI232" s="499" t="str">
        <f>IF(AH232="","",IF(VLOOKUP(AH232,'G-3 Multipliers'!$S$3:$T$6,2,FALSE)=0,"Spatial Data Missing ⚠",VLOOKUP(AH232,'G-3 Multipliers'!$S$3:$T$6,2,FALSE)))</f>
        <v/>
      </c>
      <c r="AJ232" s="545" t="str">
        <f t="shared" si="31"/>
        <v/>
      </c>
      <c r="AK232" s="149"/>
      <c r="AL232" s="150"/>
      <c r="AP232" s="31" t="str">
        <f>IFERROR(INDEX('G-6 Hedgerow Data'!$BJ$3:$BJ$15,MATCH(M232,'G-6 Hedgerow Data'!$B$3:$B$15,0)),"")</f>
        <v/>
      </c>
    </row>
    <row r="233" spans="2:42" ht="13.8" x14ac:dyDescent="0.25">
      <c r="B233" s="531" t="str">
        <f>'E-1 Off Site Hedge Baseline'!AK231</f>
        <v/>
      </c>
      <c r="C233" s="520" t="str">
        <f>IF(B233="","",IF(ISNA(VLOOKUP($B233,'E-1 Off Site Hedge Baseline'!$B$1:$L$257,3,FALSE)),"",(VLOOKUP($B233,'E-1 Off Site Hedge Baseline'!$B$1:$L$257,3,FALSE))))</f>
        <v/>
      </c>
      <c r="D233" s="520" t="str">
        <f>IF(B233="","",IF(ISNA(VLOOKUP($B233,'E-1 Off Site Hedge Baseline'!$B$1:$L$258,4,FALSE)),"",(VLOOKUP($B233,'E-1 Off Site Hedge Baseline'!$B$1:$L$258,4,FALSE))))</f>
        <v/>
      </c>
      <c r="E233" s="520" t="str">
        <f>IF(B233="","",IF(ISNA(VLOOKUP($B233,'E-1 Off Site Hedge Baseline'!$B$1:$L$257,5,FALSE)),"",(VLOOKUP($B233,'E-1 Off Site Hedge Baseline'!$B$1:$L$257,5,FALSE))))</f>
        <v/>
      </c>
      <c r="F233" s="520" t="str">
        <f>IF(B233="","",IF(ISNA(VLOOKUP($B233,'E-1 Off Site Hedge Baseline'!$B$1:$L$257,6,FALSE)),"",(VLOOKUP($B233,'E-1 Off Site Hedge Baseline'!$B$1:$L$257,6,FALSE))))</f>
        <v/>
      </c>
      <c r="G233" s="520" t="str">
        <f>IF(B233="","",IF(ISNA(VLOOKUP($B233,'E-1 Off Site Hedge Baseline'!$B$1:$L$257,7,FALSE)),"",(VLOOKUP($B233,'E-1 Off Site Hedge Baseline'!$B$1:$L$257,7,FALSE))))</f>
        <v/>
      </c>
      <c r="H233" s="520" t="str">
        <f>IF(B233="","",IF(ISNA(VLOOKUP($B233,'E-1 Off Site Hedge Baseline'!$B$1:$L$257,8,FALSE)),"",(VLOOKUP($B233,'E-1 Off Site Hedge Baseline'!$B$1:$L$257,8,FALSE))))</f>
        <v/>
      </c>
      <c r="I233" s="520" t="str">
        <f>IF(B233="","",IF(ISNA(VLOOKUP($B233,'E-1 Off Site Hedge Baseline'!$B$1:$L$257,10,FALSE)),"",(VLOOKUP($B233,'E-1 Off Site Hedge Baseline'!$B$1:$L$257,10,FALSE))))</f>
        <v/>
      </c>
      <c r="J233" s="520" t="str">
        <f>IF(B233="","",IF(ISNA(VLOOKUP($B233,'E-1 Off Site Hedge Baseline'!$B$1:$L$257,11,FALSE)),"",(VLOOKUP($B233,'E-1 Off Site Hedge Baseline'!$B$1:$L$257,11,FALSE))))</f>
        <v/>
      </c>
      <c r="K233" s="520" t="str">
        <f>IF(B233="","",IF(ISNA(VLOOKUP($B233,'E-1 Off Site Hedge Baseline'!$B$1:$U$257,113,FALSE)),"",(VLOOKUP($B233,'E-1 Off Site Hedge Baseline'!$B$1:$U$257,13,FALSE))))</f>
        <v/>
      </c>
      <c r="L233" s="507" t="str">
        <f>IF(B233="","",IF(ISNA(VLOOKUP($B233,'E-1 Off Site Hedge Baseline'!$B$1:$U$257,12,FALSE)),"",(VLOOKUP($B233,'E-1 Off Site Hedge Baseline'!$B$1:$U$257,12,FALSE))))</f>
        <v/>
      </c>
      <c r="M233" s="418" t="str">
        <f t="shared" si="32"/>
        <v/>
      </c>
      <c r="N233" s="498" t="str">
        <f>IFERROR(IF(B233="","",INDEX('G-6 Hedgerow Data'!$AN$3:$AZ$15,MATCH(C233,'G-6 Hedgerow Data'!$AM$3:$AM$15,0),MATCH(M233,'G-6 Hedgerow Data'!$AN$2:$AZ$2,0))),"")</f>
        <v/>
      </c>
      <c r="O233" s="499" t="str">
        <f t="shared" si="26"/>
        <v/>
      </c>
      <c r="P233" s="505" t="str">
        <f>IF(B233="","",VLOOKUP(B233,'E-1 Off Site Hedge Baseline'!$B$10:T478,16,FALSE))</f>
        <v/>
      </c>
      <c r="Q233" s="498" t="str">
        <f>IF(M233="","",VLOOKUP(M233,'G-6 Hedgerow Data'!$B$2:$AG$15,2,FALSE))</f>
        <v/>
      </c>
      <c r="R233" s="499" t="str">
        <f>IF(M233="","",VLOOKUP(M233,'G-6 Hedgerow Data'!$B$2:$AG$15,3,FALSE))</f>
        <v/>
      </c>
      <c r="S233" s="145"/>
      <c r="T233" s="499" t="str">
        <f>IFERROR(IF(AND(Q233="V.Low",OR(S233="Good",S233="Moderate")),"Error ▲",VLOOKUP(S233,'G-1 All Habitats'!$Z$2:$AA$9,2,FALSE)),"")</f>
        <v/>
      </c>
      <c r="U233" s="145"/>
      <c r="V233" s="507" t="str">
        <f>IF(U233="","",IF(VLOOKUP(U233,'G-3 Multipliers'!$L$3:$N$6,2,FALSE)=0,"Spatial Data Missing ⚠",VLOOKUP(U233,'G-3 Multipliers'!$L$3:$N$6,2,FALSE)))</f>
        <v/>
      </c>
      <c r="W233" s="505" t="str">
        <f>IF(U233="","",IF(VLOOKUP(U233,'G-3 Multipliers'!$L$3:$N$6,3,FALSE)=0,"Spatial Data Missing ⚠",VLOOKUP(U233,'G-3 Multipliers'!$L$3:$N$6,3,FALSE)))</f>
        <v/>
      </c>
      <c r="X233" s="498"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7" t="str">
        <f t="shared" si="27"/>
        <v/>
      </c>
      <c r="AB233" s="521" t="str">
        <f t="shared" si="28"/>
        <v/>
      </c>
      <c r="AC233" s="522" t="str">
        <f t="shared" si="25"/>
        <v/>
      </c>
      <c r="AD233" s="537" t="str">
        <f>IF(M233="","",VLOOKUP(M233,'G-6 Hedgerow Data'!$B$3:$AG$15,31,FALSE))</f>
        <v/>
      </c>
      <c r="AE233" s="520" t="str">
        <f t="shared" si="29"/>
        <v/>
      </c>
      <c r="AF233" s="520" t="str">
        <f t="shared" si="30"/>
        <v/>
      </c>
      <c r="AG233" s="524" t="str">
        <f>IFERROR(IF(O233="","",VLOOKUP(AD233,'G-3 Multipliers'!$P$3:$Q$6,2,FALSE)),"")</f>
        <v/>
      </c>
      <c r="AH233" s="197"/>
      <c r="AI233" s="499" t="str">
        <f>IF(AH233="","",IF(VLOOKUP(AH233,'G-3 Multipliers'!$S$3:$T$6,2,FALSE)=0,"Spatial Data Missing ⚠",VLOOKUP(AH233,'G-3 Multipliers'!$S$3:$T$6,2,FALSE)))</f>
        <v/>
      </c>
      <c r="AJ233" s="545" t="str">
        <f t="shared" si="31"/>
        <v/>
      </c>
      <c r="AK233" s="149"/>
      <c r="AL233" s="150"/>
      <c r="AP233" s="31" t="str">
        <f>IFERROR(INDEX('G-6 Hedgerow Data'!$BJ$3:$BJ$15,MATCH(M233,'G-6 Hedgerow Data'!$B$3:$B$15,0)),"")</f>
        <v/>
      </c>
    </row>
    <row r="234" spans="2:42" ht="13.8" x14ac:dyDescent="0.25">
      <c r="B234" s="531" t="str">
        <f>'E-1 Off Site Hedge Baseline'!AK232</f>
        <v/>
      </c>
      <c r="C234" s="520" t="str">
        <f>IF(B234="","",IF(ISNA(VLOOKUP($B234,'E-1 Off Site Hedge Baseline'!$B$1:$L$257,3,FALSE)),"",(VLOOKUP($B234,'E-1 Off Site Hedge Baseline'!$B$1:$L$257,3,FALSE))))</f>
        <v/>
      </c>
      <c r="D234" s="520" t="str">
        <f>IF(B234="","",IF(ISNA(VLOOKUP($B234,'E-1 Off Site Hedge Baseline'!$B$1:$L$258,4,FALSE)),"",(VLOOKUP($B234,'E-1 Off Site Hedge Baseline'!$B$1:$L$258,4,FALSE))))</f>
        <v/>
      </c>
      <c r="E234" s="520" t="str">
        <f>IF(B234="","",IF(ISNA(VLOOKUP($B234,'E-1 Off Site Hedge Baseline'!$B$1:$L$257,5,FALSE)),"",(VLOOKUP($B234,'E-1 Off Site Hedge Baseline'!$B$1:$L$257,5,FALSE))))</f>
        <v/>
      </c>
      <c r="F234" s="520" t="str">
        <f>IF(B234="","",IF(ISNA(VLOOKUP($B234,'E-1 Off Site Hedge Baseline'!$B$1:$L$257,6,FALSE)),"",(VLOOKUP($B234,'E-1 Off Site Hedge Baseline'!$B$1:$L$257,6,FALSE))))</f>
        <v/>
      </c>
      <c r="G234" s="520" t="str">
        <f>IF(B234="","",IF(ISNA(VLOOKUP($B234,'E-1 Off Site Hedge Baseline'!$B$1:$L$257,7,FALSE)),"",(VLOOKUP($B234,'E-1 Off Site Hedge Baseline'!$B$1:$L$257,7,FALSE))))</f>
        <v/>
      </c>
      <c r="H234" s="520" t="str">
        <f>IF(B234="","",IF(ISNA(VLOOKUP($B234,'E-1 Off Site Hedge Baseline'!$B$1:$L$257,8,FALSE)),"",(VLOOKUP($B234,'E-1 Off Site Hedge Baseline'!$B$1:$L$257,8,FALSE))))</f>
        <v/>
      </c>
      <c r="I234" s="520" t="str">
        <f>IF(B234="","",IF(ISNA(VLOOKUP($B234,'E-1 Off Site Hedge Baseline'!$B$1:$L$257,10,FALSE)),"",(VLOOKUP($B234,'E-1 Off Site Hedge Baseline'!$B$1:$L$257,10,FALSE))))</f>
        <v/>
      </c>
      <c r="J234" s="520" t="str">
        <f>IF(B234="","",IF(ISNA(VLOOKUP($B234,'E-1 Off Site Hedge Baseline'!$B$1:$L$257,11,FALSE)),"",(VLOOKUP($B234,'E-1 Off Site Hedge Baseline'!$B$1:$L$257,11,FALSE))))</f>
        <v/>
      </c>
      <c r="K234" s="520" t="str">
        <f>IF(B234="","",IF(ISNA(VLOOKUP($B234,'E-1 Off Site Hedge Baseline'!$B$1:$U$257,113,FALSE)),"",(VLOOKUP($B234,'E-1 Off Site Hedge Baseline'!$B$1:$U$257,13,FALSE))))</f>
        <v/>
      </c>
      <c r="L234" s="507" t="str">
        <f>IF(B234="","",IF(ISNA(VLOOKUP($B234,'E-1 Off Site Hedge Baseline'!$B$1:$U$257,12,FALSE)),"",(VLOOKUP($B234,'E-1 Off Site Hedge Baseline'!$B$1:$U$257,12,FALSE))))</f>
        <v/>
      </c>
      <c r="M234" s="418" t="str">
        <f t="shared" si="32"/>
        <v/>
      </c>
      <c r="N234" s="498" t="str">
        <f>IFERROR(IF(B234="","",INDEX('G-6 Hedgerow Data'!$AN$3:$AZ$15,MATCH(C234,'G-6 Hedgerow Data'!$AM$3:$AM$15,0),MATCH(M234,'G-6 Hedgerow Data'!$AN$2:$AZ$2,0))),"")</f>
        <v/>
      </c>
      <c r="O234" s="499" t="str">
        <f t="shared" si="26"/>
        <v/>
      </c>
      <c r="P234" s="505" t="str">
        <f>IF(B234="","",VLOOKUP(B234,'E-1 Off Site Hedge Baseline'!$B$10:T479,16,FALSE))</f>
        <v/>
      </c>
      <c r="Q234" s="498" t="str">
        <f>IF(M234="","",VLOOKUP(M234,'G-6 Hedgerow Data'!$B$2:$AG$15,2,FALSE))</f>
        <v/>
      </c>
      <c r="R234" s="499" t="str">
        <f>IF(M234="","",VLOOKUP(M234,'G-6 Hedgerow Data'!$B$2:$AG$15,3,FALSE))</f>
        <v/>
      </c>
      <c r="S234" s="145"/>
      <c r="T234" s="499" t="str">
        <f>IFERROR(IF(AND(Q234="V.Low",OR(S234="Good",S234="Moderate")),"Error ▲",VLOOKUP(S234,'G-1 All Habitats'!$Z$2:$AA$9,2,FALSE)),"")</f>
        <v/>
      </c>
      <c r="U234" s="145"/>
      <c r="V234" s="507" t="str">
        <f>IF(U234="","",IF(VLOOKUP(U234,'G-3 Multipliers'!$L$3:$N$6,2,FALSE)=0,"Spatial Data Missing ⚠",VLOOKUP(U234,'G-3 Multipliers'!$L$3:$N$6,2,FALSE)))</f>
        <v/>
      </c>
      <c r="W234" s="505" t="str">
        <f>IF(U234="","",IF(VLOOKUP(U234,'G-3 Multipliers'!$L$3:$N$6,3,FALSE)=0,"Spatial Data Missing ⚠",VLOOKUP(U234,'G-3 Multipliers'!$L$3:$N$6,3,FALSE)))</f>
        <v/>
      </c>
      <c r="X234" s="498"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7" t="str">
        <f t="shared" si="27"/>
        <v/>
      </c>
      <c r="AB234" s="521" t="str">
        <f t="shared" si="28"/>
        <v/>
      </c>
      <c r="AC234" s="522" t="str">
        <f t="shared" si="25"/>
        <v/>
      </c>
      <c r="AD234" s="537" t="str">
        <f>IF(M234="","",VLOOKUP(M234,'G-6 Hedgerow Data'!$B$3:$AG$15,31,FALSE))</f>
        <v/>
      </c>
      <c r="AE234" s="520" t="str">
        <f t="shared" si="29"/>
        <v/>
      </c>
      <c r="AF234" s="520" t="str">
        <f t="shared" si="30"/>
        <v/>
      </c>
      <c r="AG234" s="524" t="str">
        <f>IFERROR(IF(O234="","",VLOOKUP(AD234,'G-3 Multipliers'!$P$3:$Q$6,2,FALSE)),"")</f>
        <v/>
      </c>
      <c r="AH234" s="197"/>
      <c r="AI234" s="499" t="str">
        <f>IF(AH234="","",IF(VLOOKUP(AH234,'G-3 Multipliers'!$S$3:$T$6,2,FALSE)=0,"Spatial Data Missing ⚠",VLOOKUP(AH234,'G-3 Multipliers'!$S$3:$T$6,2,FALSE)))</f>
        <v/>
      </c>
      <c r="AJ234" s="545" t="str">
        <f t="shared" si="31"/>
        <v/>
      </c>
      <c r="AK234" s="149"/>
      <c r="AL234" s="150"/>
      <c r="AP234" s="31" t="str">
        <f>IFERROR(INDEX('G-6 Hedgerow Data'!$BJ$3:$BJ$15,MATCH(M234,'G-6 Hedgerow Data'!$B$3:$B$15,0)),"")</f>
        <v/>
      </c>
    </row>
    <row r="235" spans="2:42" ht="13.8" x14ac:dyDescent="0.25">
      <c r="B235" s="531" t="str">
        <f>'E-1 Off Site Hedge Baseline'!AK233</f>
        <v/>
      </c>
      <c r="C235" s="520" t="str">
        <f>IF(B235="","",IF(ISNA(VLOOKUP($B235,'E-1 Off Site Hedge Baseline'!$B$1:$L$257,3,FALSE)),"",(VLOOKUP($B235,'E-1 Off Site Hedge Baseline'!$B$1:$L$257,3,FALSE))))</f>
        <v/>
      </c>
      <c r="D235" s="520" t="str">
        <f>IF(B235="","",IF(ISNA(VLOOKUP($B235,'E-1 Off Site Hedge Baseline'!$B$1:$L$258,4,FALSE)),"",(VLOOKUP($B235,'E-1 Off Site Hedge Baseline'!$B$1:$L$258,4,FALSE))))</f>
        <v/>
      </c>
      <c r="E235" s="520" t="str">
        <f>IF(B235="","",IF(ISNA(VLOOKUP($B235,'E-1 Off Site Hedge Baseline'!$B$1:$L$257,5,FALSE)),"",(VLOOKUP($B235,'E-1 Off Site Hedge Baseline'!$B$1:$L$257,5,FALSE))))</f>
        <v/>
      </c>
      <c r="F235" s="520" t="str">
        <f>IF(B235="","",IF(ISNA(VLOOKUP($B235,'E-1 Off Site Hedge Baseline'!$B$1:$L$257,6,FALSE)),"",(VLOOKUP($B235,'E-1 Off Site Hedge Baseline'!$B$1:$L$257,6,FALSE))))</f>
        <v/>
      </c>
      <c r="G235" s="520" t="str">
        <f>IF(B235="","",IF(ISNA(VLOOKUP($B235,'E-1 Off Site Hedge Baseline'!$B$1:$L$257,7,FALSE)),"",(VLOOKUP($B235,'E-1 Off Site Hedge Baseline'!$B$1:$L$257,7,FALSE))))</f>
        <v/>
      </c>
      <c r="H235" s="520" t="str">
        <f>IF(B235="","",IF(ISNA(VLOOKUP($B235,'E-1 Off Site Hedge Baseline'!$B$1:$L$257,8,FALSE)),"",(VLOOKUP($B235,'E-1 Off Site Hedge Baseline'!$B$1:$L$257,8,FALSE))))</f>
        <v/>
      </c>
      <c r="I235" s="520" t="str">
        <f>IF(B235="","",IF(ISNA(VLOOKUP($B235,'E-1 Off Site Hedge Baseline'!$B$1:$L$257,10,FALSE)),"",(VLOOKUP($B235,'E-1 Off Site Hedge Baseline'!$B$1:$L$257,10,FALSE))))</f>
        <v/>
      </c>
      <c r="J235" s="520" t="str">
        <f>IF(B235="","",IF(ISNA(VLOOKUP($B235,'E-1 Off Site Hedge Baseline'!$B$1:$L$257,11,FALSE)),"",(VLOOKUP($B235,'E-1 Off Site Hedge Baseline'!$B$1:$L$257,11,FALSE))))</f>
        <v/>
      </c>
      <c r="K235" s="520" t="str">
        <f>IF(B235="","",IF(ISNA(VLOOKUP($B235,'E-1 Off Site Hedge Baseline'!$B$1:$U$257,113,FALSE)),"",(VLOOKUP($B235,'E-1 Off Site Hedge Baseline'!$B$1:$U$257,13,FALSE))))</f>
        <v/>
      </c>
      <c r="L235" s="507" t="str">
        <f>IF(B235="","",IF(ISNA(VLOOKUP($B235,'E-1 Off Site Hedge Baseline'!$B$1:$U$257,12,FALSE)),"",(VLOOKUP($B235,'E-1 Off Site Hedge Baseline'!$B$1:$U$257,12,FALSE))))</f>
        <v/>
      </c>
      <c r="M235" s="418" t="str">
        <f t="shared" si="32"/>
        <v/>
      </c>
      <c r="N235" s="498" t="str">
        <f>IFERROR(IF(B235="","",INDEX('G-6 Hedgerow Data'!$AN$3:$AZ$15,MATCH(C235,'G-6 Hedgerow Data'!$AM$3:$AM$15,0),MATCH(M235,'G-6 Hedgerow Data'!$AN$2:$AZ$2,0))),"")</f>
        <v/>
      </c>
      <c r="O235" s="499" t="str">
        <f t="shared" si="26"/>
        <v/>
      </c>
      <c r="P235" s="505" t="str">
        <f>IF(B235="","",VLOOKUP(B235,'E-1 Off Site Hedge Baseline'!$B$10:T480,16,FALSE))</f>
        <v/>
      </c>
      <c r="Q235" s="498" t="str">
        <f>IF(M235="","",VLOOKUP(M235,'G-6 Hedgerow Data'!$B$2:$AG$15,2,FALSE))</f>
        <v/>
      </c>
      <c r="R235" s="499" t="str">
        <f>IF(M235="","",VLOOKUP(M235,'G-6 Hedgerow Data'!$B$2:$AG$15,3,FALSE))</f>
        <v/>
      </c>
      <c r="S235" s="145"/>
      <c r="T235" s="499" t="str">
        <f>IFERROR(IF(AND(Q235="V.Low",OR(S235="Good",S235="Moderate")),"Error ▲",VLOOKUP(S235,'G-1 All Habitats'!$Z$2:$AA$9,2,FALSE)),"")</f>
        <v/>
      </c>
      <c r="U235" s="145"/>
      <c r="V235" s="507" t="str">
        <f>IF(U235="","",IF(VLOOKUP(U235,'G-3 Multipliers'!$L$3:$N$6,2,FALSE)=0,"Spatial Data Missing ⚠",VLOOKUP(U235,'G-3 Multipliers'!$L$3:$N$6,2,FALSE)))</f>
        <v/>
      </c>
      <c r="W235" s="505" t="str">
        <f>IF(U235="","",IF(VLOOKUP(U235,'G-3 Multipliers'!$L$3:$N$6,3,FALSE)=0,"Spatial Data Missing ⚠",VLOOKUP(U235,'G-3 Multipliers'!$L$3:$N$6,3,FALSE)))</f>
        <v/>
      </c>
      <c r="X235" s="498"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7" t="str">
        <f t="shared" si="27"/>
        <v/>
      </c>
      <c r="AB235" s="521" t="str">
        <f t="shared" si="28"/>
        <v/>
      </c>
      <c r="AC235" s="522" t="str">
        <f t="shared" si="25"/>
        <v/>
      </c>
      <c r="AD235" s="537" t="str">
        <f>IF(M235="","",VLOOKUP(M235,'G-6 Hedgerow Data'!$B$3:$AG$15,31,FALSE))</f>
        <v/>
      </c>
      <c r="AE235" s="520" t="str">
        <f t="shared" si="29"/>
        <v/>
      </c>
      <c r="AF235" s="520" t="str">
        <f t="shared" si="30"/>
        <v/>
      </c>
      <c r="AG235" s="524" t="str">
        <f>IFERROR(IF(O235="","",VLOOKUP(AD235,'G-3 Multipliers'!$P$3:$Q$6,2,FALSE)),"")</f>
        <v/>
      </c>
      <c r="AH235" s="197"/>
      <c r="AI235" s="499" t="str">
        <f>IF(AH235="","",IF(VLOOKUP(AH235,'G-3 Multipliers'!$S$3:$T$6,2,FALSE)=0,"Spatial Data Missing ⚠",VLOOKUP(AH235,'G-3 Multipliers'!$S$3:$T$6,2,FALSE)))</f>
        <v/>
      </c>
      <c r="AJ235" s="545" t="str">
        <f t="shared" si="31"/>
        <v/>
      </c>
      <c r="AK235" s="149"/>
      <c r="AL235" s="150"/>
      <c r="AP235" s="31" t="str">
        <f>IFERROR(INDEX('G-6 Hedgerow Data'!$BJ$3:$BJ$15,MATCH(M235,'G-6 Hedgerow Data'!$B$3:$B$15,0)),"")</f>
        <v/>
      </c>
    </row>
    <row r="236" spans="2:42" ht="13.8" x14ac:dyDescent="0.25">
      <c r="B236" s="531" t="str">
        <f>'E-1 Off Site Hedge Baseline'!AK234</f>
        <v/>
      </c>
      <c r="C236" s="520" t="str">
        <f>IF(B236="","",IF(ISNA(VLOOKUP($B236,'E-1 Off Site Hedge Baseline'!$B$1:$L$257,3,FALSE)),"",(VLOOKUP($B236,'E-1 Off Site Hedge Baseline'!$B$1:$L$257,3,FALSE))))</f>
        <v/>
      </c>
      <c r="D236" s="520" t="str">
        <f>IF(B236="","",IF(ISNA(VLOOKUP($B236,'E-1 Off Site Hedge Baseline'!$B$1:$L$258,4,FALSE)),"",(VLOOKUP($B236,'E-1 Off Site Hedge Baseline'!$B$1:$L$258,4,FALSE))))</f>
        <v/>
      </c>
      <c r="E236" s="520" t="str">
        <f>IF(B236="","",IF(ISNA(VLOOKUP($B236,'E-1 Off Site Hedge Baseline'!$B$1:$L$257,5,FALSE)),"",(VLOOKUP($B236,'E-1 Off Site Hedge Baseline'!$B$1:$L$257,5,FALSE))))</f>
        <v/>
      </c>
      <c r="F236" s="520" t="str">
        <f>IF(B236="","",IF(ISNA(VLOOKUP($B236,'E-1 Off Site Hedge Baseline'!$B$1:$L$257,6,FALSE)),"",(VLOOKUP($B236,'E-1 Off Site Hedge Baseline'!$B$1:$L$257,6,FALSE))))</f>
        <v/>
      </c>
      <c r="G236" s="520" t="str">
        <f>IF(B236="","",IF(ISNA(VLOOKUP($B236,'E-1 Off Site Hedge Baseline'!$B$1:$L$257,7,FALSE)),"",(VLOOKUP($B236,'E-1 Off Site Hedge Baseline'!$B$1:$L$257,7,FALSE))))</f>
        <v/>
      </c>
      <c r="H236" s="520" t="str">
        <f>IF(B236="","",IF(ISNA(VLOOKUP($B236,'E-1 Off Site Hedge Baseline'!$B$1:$L$257,8,FALSE)),"",(VLOOKUP($B236,'E-1 Off Site Hedge Baseline'!$B$1:$L$257,8,FALSE))))</f>
        <v/>
      </c>
      <c r="I236" s="520" t="str">
        <f>IF(B236="","",IF(ISNA(VLOOKUP($B236,'E-1 Off Site Hedge Baseline'!$B$1:$L$257,10,FALSE)),"",(VLOOKUP($B236,'E-1 Off Site Hedge Baseline'!$B$1:$L$257,10,FALSE))))</f>
        <v/>
      </c>
      <c r="J236" s="520" t="str">
        <f>IF(B236="","",IF(ISNA(VLOOKUP($B236,'E-1 Off Site Hedge Baseline'!$B$1:$L$257,11,FALSE)),"",(VLOOKUP($B236,'E-1 Off Site Hedge Baseline'!$B$1:$L$257,11,FALSE))))</f>
        <v/>
      </c>
      <c r="K236" s="520" t="str">
        <f>IF(B236="","",IF(ISNA(VLOOKUP($B236,'E-1 Off Site Hedge Baseline'!$B$1:$U$257,113,FALSE)),"",(VLOOKUP($B236,'E-1 Off Site Hedge Baseline'!$B$1:$U$257,13,FALSE))))</f>
        <v/>
      </c>
      <c r="L236" s="507" t="str">
        <f>IF(B236="","",IF(ISNA(VLOOKUP($B236,'E-1 Off Site Hedge Baseline'!$B$1:$U$257,12,FALSE)),"",(VLOOKUP($B236,'E-1 Off Site Hedge Baseline'!$B$1:$U$257,12,FALSE))))</f>
        <v/>
      </c>
      <c r="M236" s="418" t="str">
        <f t="shared" si="32"/>
        <v/>
      </c>
      <c r="N236" s="498" t="str">
        <f>IFERROR(IF(B236="","",INDEX('G-6 Hedgerow Data'!$AN$3:$AZ$15,MATCH(C236,'G-6 Hedgerow Data'!$AM$3:$AM$15,0),MATCH(M236,'G-6 Hedgerow Data'!$AN$2:$AZ$2,0))),"")</f>
        <v/>
      </c>
      <c r="O236" s="499" t="str">
        <f t="shared" si="26"/>
        <v/>
      </c>
      <c r="P236" s="505" t="str">
        <f>IF(B236="","",VLOOKUP(B236,'E-1 Off Site Hedge Baseline'!$B$10:T481,16,FALSE))</f>
        <v/>
      </c>
      <c r="Q236" s="498" t="str">
        <f>IF(M236="","",VLOOKUP(M236,'G-6 Hedgerow Data'!$B$2:$AG$15,2,FALSE))</f>
        <v/>
      </c>
      <c r="R236" s="499" t="str">
        <f>IF(M236="","",VLOOKUP(M236,'G-6 Hedgerow Data'!$B$2:$AG$15,3,FALSE))</f>
        <v/>
      </c>
      <c r="S236" s="145"/>
      <c r="T236" s="499" t="str">
        <f>IFERROR(IF(AND(Q236="V.Low",OR(S236="Good",S236="Moderate")),"Error ▲",VLOOKUP(S236,'G-1 All Habitats'!$Z$2:$AA$9,2,FALSE)),"")</f>
        <v/>
      </c>
      <c r="U236" s="145"/>
      <c r="V236" s="507" t="str">
        <f>IF(U236="","",IF(VLOOKUP(U236,'G-3 Multipliers'!$L$3:$N$6,2,FALSE)=0,"Spatial Data Missing ⚠",VLOOKUP(U236,'G-3 Multipliers'!$L$3:$N$6,2,FALSE)))</f>
        <v/>
      </c>
      <c r="W236" s="505" t="str">
        <f>IF(U236="","",IF(VLOOKUP(U236,'G-3 Multipliers'!$L$3:$N$6,3,FALSE)=0,"Spatial Data Missing ⚠",VLOOKUP(U236,'G-3 Multipliers'!$L$3:$N$6,3,FALSE)))</f>
        <v/>
      </c>
      <c r="X236" s="498"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7" t="str">
        <f t="shared" si="27"/>
        <v/>
      </c>
      <c r="AB236" s="521" t="str">
        <f t="shared" si="28"/>
        <v/>
      </c>
      <c r="AC236" s="522" t="str">
        <f t="shared" si="25"/>
        <v/>
      </c>
      <c r="AD236" s="537" t="str">
        <f>IF(M236="","",VLOOKUP(M236,'G-6 Hedgerow Data'!$B$3:$AG$15,31,FALSE))</f>
        <v/>
      </c>
      <c r="AE236" s="520" t="str">
        <f t="shared" si="29"/>
        <v/>
      </c>
      <c r="AF236" s="520" t="str">
        <f t="shared" si="30"/>
        <v/>
      </c>
      <c r="AG236" s="524" t="str">
        <f>IFERROR(IF(O236="","",VLOOKUP(AD236,'G-3 Multipliers'!$P$3:$Q$6,2,FALSE)),"")</f>
        <v/>
      </c>
      <c r="AH236" s="197"/>
      <c r="AI236" s="499" t="str">
        <f>IF(AH236="","",IF(VLOOKUP(AH236,'G-3 Multipliers'!$S$3:$T$6,2,FALSE)=0,"Spatial Data Missing ⚠",VLOOKUP(AH236,'G-3 Multipliers'!$S$3:$T$6,2,FALSE)))</f>
        <v/>
      </c>
      <c r="AJ236" s="545" t="str">
        <f t="shared" si="31"/>
        <v/>
      </c>
      <c r="AK236" s="149"/>
      <c r="AL236" s="150"/>
      <c r="AP236" s="31" t="str">
        <f>IFERROR(INDEX('G-6 Hedgerow Data'!$BJ$3:$BJ$15,MATCH(M236,'G-6 Hedgerow Data'!$B$3:$B$15,0)),"")</f>
        <v/>
      </c>
    </row>
    <row r="237" spans="2:42" ht="13.8" x14ac:dyDescent="0.25">
      <c r="B237" s="531" t="str">
        <f>'E-1 Off Site Hedge Baseline'!AK235</f>
        <v/>
      </c>
      <c r="C237" s="520" t="str">
        <f>IF(B237="","",IF(ISNA(VLOOKUP($B237,'E-1 Off Site Hedge Baseline'!$B$1:$L$257,3,FALSE)),"",(VLOOKUP($B237,'E-1 Off Site Hedge Baseline'!$B$1:$L$257,3,FALSE))))</f>
        <v/>
      </c>
      <c r="D237" s="520" t="str">
        <f>IF(B237="","",IF(ISNA(VLOOKUP($B237,'E-1 Off Site Hedge Baseline'!$B$1:$L$258,4,FALSE)),"",(VLOOKUP($B237,'E-1 Off Site Hedge Baseline'!$B$1:$L$258,4,FALSE))))</f>
        <v/>
      </c>
      <c r="E237" s="520" t="str">
        <f>IF(B237="","",IF(ISNA(VLOOKUP($B237,'E-1 Off Site Hedge Baseline'!$B$1:$L$257,5,FALSE)),"",(VLOOKUP($B237,'E-1 Off Site Hedge Baseline'!$B$1:$L$257,5,FALSE))))</f>
        <v/>
      </c>
      <c r="F237" s="520" t="str">
        <f>IF(B237="","",IF(ISNA(VLOOKUP($B237,'E-1 Off Site Hedge Baseline'!$B$1:$L$257,6,FALSE)),"",(VLOOKUP($B237,'E-1 Off Site Hedge Baseline'!$B$1:$L$257,6,FALSE))))</f>
        <v/>
      </c>
      <c r="G237" s="520" t="str">
        <f>IF(B237="","",IF(ISNA(VLOOKUP($B237,'E-1 Off Site Hedge Baseline'!$B$1:$L$257,7,FALSE)),"",(VLOOKUP($B237,'E-1 Off Site Hedge Baseline'!$B$1:$L$257,7,FALSE))))</f>
        <v/>
      </c>
      <c r="H237" s="520" t="str">
        <f>IF(B237="","",IF(ISNA(VLOOKUP($B237,'E-1 Off Site Hedge Baseline'!$B$1:$L$257,8,FALSE)),"",(VLOOKUP($B237,'E-1 Off Site Hedge Baseline'!$B$1:$L$257,8,FALSE))))</f>
        <v/>
      </c>
      <c r="I237" s="520" t="str">
        <f>IF(B237="","",IF(ISNA(VLOOKUP($B237,'E-1 Off Site Hedge Baseline'!$B$1:$L$257,10,FALSE)),"",(VLOOKUP($B237,'E-1 Off Site Hedge Baseline'!$B$1:$L$257,10,FALSE))))</f>
        <v/>
      </c>
      <c r="J237" s="520" t="str">
        <f>IF(B237="","",IF(ISNA(VLOOKUP($B237,'E-1 Off Site Hedge Baseline'!$B$1:$L$257,11,FALSE)),"",(VLOOKUP($B237,'E-1 Off Site Hedge Baseline'!$B$1:$L$257,11,FALSE))))</f>
        <v/>
      </c>
      <c r="K237" s="520" t="str">
        <f>IF(B237="","",IF(ISNA(VLOOKUP($B237,'E-1 Off Site Hedge Baseline'!$B$1:$U$257,113,FALSE)),"",(VLOOKUP($B237,'E-1 Off Site Hedge Baseline'!$B$1:$U$257,13,FALSE))))</f>
        <v/>
      </c>
      <c r="L237" s="507" t="str">
        <f>IF(B237="","",IF(ISNA(VLOOKUP($B237,'E-1 Off Site Hedge Baseline'!$B$1:$U$257,12,FALSE)),"",(VLOOKUP($B237,'E-1 Off Site Hedge Baseline'!$B$1:$U$257,12,FALSE))))</f>
        <v/>
      </c>
      <c r="M237" s="418" t="str">
        <f t="shared" si="32"/>
        <v/>
      </c>
      <c r="N237" s="498" t="str">
        <f>IFERROR(IF(B237="","",INDEX('G-6 Hedgerow Data'!$AN$3:$AZ$15,MATCH(C237,'G-6 Hedgerow Data'!$AM$3:$AM$15,0),MATCH(M237,'G-6 Hedgerow Data'!$AN$2:$AZ$2,0))),"")</f>
        <v/>
      </c>
      <c r="O237" s="499" t="str">
        <f t="shared" si="26"/>
        <v/>
      </c>
      <c r="P237" s="505" t="str">
        <f>IF(B237="","",VLOOKUP(B237,'E-1 Off Site Hedge Baseline'!$B$10:T482,16,FALSE))</f>
        <v/>
      </c>
      <c r="Q237" s="498" t="str">
        <f>IF(M237="","",VLOOKUP(M237,'G-6 Hedgerow Data'!$B$2:$AG$15,2,FALSE))</f>
        <v/>
      </c>
      <c r="R237" s="499" t="str">
        <f>IF(M237="","",VLOOKUP(M237,'G-6 Hedgerow Data'!$B$2:$AG$15,3,FALSE))</f>
        <v/>
      </c>
      <c r="S237" s="145"/>
      <c r="T237" s="499" t="str">
        <f>IFERROR(IF(AND(Q237="V.Low",OR(S237="Good",S237="Moderate")),"Error ▲",VLOOKUP(S237,'G-1 All Habitats'!$Z$2:$AA$9,2,FALSE)),"")</f>
        <v/>
      </c>
      <c r="U237" s="145"/>
      <c r="V237" s="507" t="str">
        <f>IF(U237="","",IF(VLOOKUP(U237,'G-3 Multipliers'!$L$3:$N$6,2,FALSE)=0,"Spatial Data Missing ⚠",VLOOKUP(U237,'G-3 Multipliers'!$L$3:$N$6,2,FALSE)))</f>
        <v/>
      </c>
      <c r="W237" s="505" t="str">
        <f>IF(U237="","",IF(VLOOKUP(U237,'G-3 Multipliers'!$L$3:$N$6,3,FALSE)=0,"Spatial Data Missing ⚠",VLOOKUP(U237,'G-3 Multipliers'!$L$3:$N$6,3,FALSE)))</f>
        <v/>
      </c>
      <c r="X237" s="498"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7" t="str">
        <f t="shared" si="27"/>
        <v/>
      </c>
      <c r="AB237" s="521" t="str">
        <f t="shared" si="28"/>
        <v/>
      </c>
      <c r="AC237" s="522" t="str">
        <f t="shared" si="25"/>
        <v/>
      </c>
      <c r="AD237" s="537" t="str">
        <f>IF(M237="","",VLOOKUP(M237,'G-6 Hedgerow Data'!$B$3:$AG$15,31,FALSE))</f>
        <v/>
      </c>
      <c r="AE237" s="520" t="str">
        <f t="shared" si="29"/>
        <v/>
      </c>
      <c r="AF237" s="520" t="str">
        <f t="shared" si="30"/>
        <v/>
      </c>
      <c r="AG237" s="524" t="str">
        <f>IFERROR(IF(O237="","",VLOOKUP(AD237,'G-3 Multipliers'!$P$3:$Q$6,2,FALSE)),"")</f>
        <v/>
      </c>
      <c r="AH237" s="197"/>
      <c r="AI237" s="499" t="str">
        <f>IF(AH237="","",IF(VLOOKUP(AH237,'G-3 Multipliers'!$S$3:$T$6,2,FALSE)=0,"Spatial Data Missing ⚠",VLOOKUP(AH237,'G-3 Multipliers'!$S$3:$T$6,2,FALSE)))</f>
        <v/>
      </c>
      <c r="AJ237" s="545" t="str">
        <f t="shared" si="31"/>
        <v/>
      </c>
      <c r="AK237" s="149"/>
      <c r="AL237" s="150"/>
      <c r="AP237" s="31" t="str">
        <f>IFERROR(INDEX('G-6 Hedgerow Data'!$BJ$3:$BJ$15,MATCH(M237,'G-6 Hedgerow Data'!$B$3:$B$15,0)),"")</f>
        <v/>
      </c>
    </row>
    <row r="238" spans="2:42" ht="13.8" x14ac:dyDescent="0.25">
      <c r="B238" s="531" t="str">
        <f>'E-1 Off Site Hedge Baseline'!AK236</f>
        <v/>
      </c>
      <c r="C238" s="520" t="str">
        <f>IF(B238="","",IF(ISNA(VLOOKUP($B238,'E-1 Off Site Hedge Baseline'!$B$1:$L$257,3,FALSE)),"",(VLOOKUP($B238,'E-1 Off Site Hedge Baseline'!$B$1:$L$257,3,FALSE))))</f>
        <v/>
      </c>
      <c r="D238" s="520" t="str">
        <f>IF(B238="","",IF(ISNA(VLOOKUP($B238,'E-1 Off Site Hedge Baseline'!$B$1:$L$258,4,FALSE)),"",(VLOOKUP($B238,'E-1 Off Site Hedge Baseline'!$B$1:$L$258,4,FALSE))))</f>
        <v/>
      </c>
      <c r="E238" s="520" t="str">
        <f>IF(B238="","",IF(ISNA(VLOOKUP($B238,'E-1 Off Site Hedge Baseline'!$B$1:$L$257,5,FALSE)),"",(VLOOKUP($B238,'E-1 Off Site Hedge Baseline'!$B$1:$L$257,5,FALSE))))</f>
        <v/>
      </c>
      <c r="F238" s="520" t="str">
        <f>IF(B238="","",IF(ISNA(VLOOKUP($B238,'E-1 Off Site Hedge Baseline'!$B$1:$L$257,6,FALSE)),"",(VLOOKUP($B238,'E-1 Off Site Hedge Baseline'!$B$1:$L$257,6,FALSE))))</f>
        <v/>
      </c>
      <c r="G238" s="520" t="str">
        <f>IF(B238="","",IF(ISNA(VLOOKUP($B238,'E-1 Off Site Hedge Baseline'!$B$1:$L$257,7,FALSE)),"",(VLOOKUP($B238,'E-1 Off Site Hedge Baseline'!$B$1:$L$257,7,FALSE))))</f>
        <v/>
      </c>
      <c r="H238" s="520" t="str">
        <f>IF(B238="","",IF(ISNA(VLOOKUP($B238,'E-1 Off Site Hedge Baseline'!$B$1:$L$257,8,FALSE)),"",(VLOOKUP($B238,'E-1 Off Site Hedge Baseline'!$B$1:$L$257,8,FALSE))))</f>
        <v/>
      </c>
      <c r="I238" s="520" t="str">
        <f>IF(B238="","",IF(ISNA(VLOOKUP($B238,'E-1 Off Site Hedge Baseline'!$B$1:$L$257,10,FALSE)),"",(VLOOKUP($B238,'E-1 Off Site Hedge Baseline'!$B$1:$L$257,10,FALSE))))</f>
        <v/>
      </c>
      <c r="J238" s="520" t="str">
        <f>IF(B238="","",IF(ISNA(VLOOKUP($B238,'E-1 Off Site Hedge Baseline'!$B$1:$L$257,11,FALSE)),"",(VLOOKUP($B238,'E-1 Off Site Hedge Baseline'!$B$1:$L$257,11,FALSE))))</f>
        <v/>
      </c>
      <c r="K238" s="520" t="str">
        <f>IF(B238="","",IF(ISNA(VLOOKUP($B238,'E-1 Off Site Hedge Baseline'!$B$1:$U$257,113,FALSE)),"",(VLOOKUP($B238,'E-1 Off Site Hedge Baseline'!$B$1:$U$257,13,FALSE))))</f>
        <v/>
      </c>
      <c r="L238" s="507" t="str">
        <f>IF(B238="","",IF(ISNA(VLOOKUP($B238,'E-1 Off Site Hedge Baseline'!$B$1:$U$257,12,FALSE)),"",(VLOOKUP($B238,'E-1 Off Site Hedge Baseline'!$B$1:$U$257,12,FALSE))))</f>
        <v/>
      </c>
      <c r="M238" s="418" t="str">
        <f t="shared" si="32"/>
        <v/>
      </c>
      <c r="N238" s="498" t="str">
        <f>IFERROR(IF(B238="","",INDEX('G-6 Hedgerow Data'!$AN$3:$AZ$15,MATCH(C238,'G-6 Hedgerow Data'!$AM$3:$AM$15,0),MATCH(M238,'G-6 Hedgerow Data'!$AN$2:$AZ$2,0))),"")</f>
        <v/>
      </c>
      <c r="O238" s="499" t="str">
        <f t="shared" si="26"/>
        <v/>
      </c>
      <c r="P238" s="505" t="str">
        <f>IF(B238="","",VLOOKUP(B238,'E-1 Off Site Hedge Baseline'!$B$10:T483,16,FALSE))</f>
        <v/>
      </c>
      <c r="Q238" s="498" t="str">
        <f>IF(M238="","",VLOOKUP(M238,'G-6 Hedgerow Data'!$B$2:$AG$15,2,FALSE))</f>
        <v/>
      </c>
      <c r="R238" s="499" t="str">
        <f>IF(M238="","",VLOOKUP(M238,'G-6 Hedgerow Data'!$B$2:$AG$15,3,FALSE))</f>
        <v/>
      </c>
      <c r="S238" s="145"/>
      <c r="T238" s="499" t="str">
        <f>IFERROR(IF(AND(Q238="V.Low",OR(S238="Good",S238="Moderate")),"Error ▲",VLOOKUP(S238,'G-1 All Habitats'!$Z$2:$AA$9,2,FALSE)),"")</f>
        <v/>
      </c>
      <c r="U238" s="145"/>
      <c r="V238" s="507" t="str">
        <f>IF(U238="","",IF(VLOOKUP(U238,'G-3 Multipliers'!$L$3:$N$6,2,FALSE)=0,"Spatial Data Missing ⚠",VLOOKUP(U238,'G-3 Multipliers'!$L$3:$N$6,2,FALSE)))</f>
        <v/>
      </c>
      <c r="W238" s="505" t="str">
        <f>IF(U238="","",IF(VLOOKUP(U238,'G-3 Multipliers'!$L$3:$N$6,3,FALSE)=0,"Spatial Data Missing ⚠",VLOOKUP(U238,'G-3 Multipliers'!$L$3:$N$6,3,FALSE)))</f>
        <v/>
      </c>
      <c r="X238" s="498"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7" t="str">
        <f t="shared" si="27"/>
        <v/>
      </c>
      <c r="AB238" s="521" t="str">
        <f t="shared" si="28"/>
        <v/>
      </c>
      <c r="AC238" s="522" t="str">
        <f t="shared" si="25"/>
        <v/>
      </c>
      <c r="AD238" s="537" t="str">
        <f>IF(M238="","",VLOOKUP(M238,'G-6 Hedgerow Data'!$B$3:$AG$15,31,FALSE))</f>
        <v/>
      </c>
      <c r="AE238" s="520" t="str">
        <f t="shared" si="29"/>
        <v/>
      </c>
      <c r="AF238" s="520" t="str">
        <f t="shared" si="30"/>
        <v/>
      </c>
      <c r="AG238" s="524" t="str">
        <f>IFERROR(IF(O238="","",VLOOKUP(AD238,'G-3 Multipliers'!$P$3:$Q$6,2,FALSE)),"")</f>
        <v/>
      </c>
      <c r="AH238" s="197"/>
      <c r="AI238" s="499" t="str">
        <f>IF(AH238="","",IF(VLOOKUP(AH238,'G-3 Multipliers'!$S$3:$T$6,2,FALSE)=0,"Spatial Data Missing ⚠",VLOOKUP(AH238,'G-3 Multipliers'!$S$3:$T$6,2,FALSE)))</f>
        <v/>
      </c>
      <c r="AJ238" s="545" t="str">
        <f t="shared" si="31"/>
        <v/>
      </c>
      <c r="AK238" s="149"/>
      <c r="AL238" s="150"/>
      <c r="AP238" s="31" t="str">
        <f>IFERROR(INDEX('G-6 Hedgerow Data'!$BJ$3:$BJ$15,MATCH(M238,'G-6 Hedgerow Data'!$B$3:$B$15,0)),"")</f>
        <v/>
      </c>
    </row>
    <row r="239" spans="2:42" ht="13.8" x14ac:dyDescent="0.25">
      <c r="B239" s="531" t="str">
        <f>'E-1 Off Site Hedge Baseline'!AK237</f>
        <v/>
      </c>
      <c r="C239" s="520" t="str">
        <f>IF(B239="","",IF(ISNA(VLOOKUP($B239,'E-1 Off Site Hedge Baseline'!$B$1:$L$257,3,FALSE)),"",(VLOOKUP($B239,'E-1 Off Site Hedge Baseline'!$B$1:$L$257,3,FALSE))))</f>
        <v/>
      </c>
      <c r="D239" s="520" t="str">
        <f>IF(B239="","",IF(ISNA(VLOOKUP($B239,'E-1 Off Site Hedge Baseline'!$B$1:$L$258,4,FALSE)),"",(VLOOKUP($B239,'E-1 Off Site Hedge Baseline'!$B$1:$L$258,4,FALSE))))</f>
        <v/>
      </c>
      <c r="E239" s="520" t="str">
        <f>IF(B239="","",IF(ISNA(VLOOKUP($B239,'E-1 Off Site Hedge Baseline'!$B$1:$L$257,5,FALSE)),"",(VLOOKUP($B239,'E-1 Off Site Hedge Baseline'!$B$1:$L$257,5,FALSE))))</f>
        <v/>
      </c>
      <c r="F239" s="520" t="str">
        <f>IF(B239="","",IF(ISNA(VLOOKUP($B239,'E-1 Off Site Hedge Baseline'!$B$1:$L$257,6,FALSE)),"",(VLOOKUP($B239,'E-1 Off Site Hedge Baseline'!$B$1:$L$257,6,FALSE))))</f>
        <v/>
      </c>
      <c r="G239" s="520" t="str">
        <f>IF(B239="","",IF(ISNA(VLOOKUP($B239,'E-1 Off Site Hedge Baseline'!$B$1:$L$257,7,FALSE)),"",(VLOOKUP($B239,'E-1 Off Site Hedge Baseline'!$B$1:$L$257,7,FALSE))))</f>
        <v/>
      </c>
      <c r="H239" s="520" t="str">
        <f>IF(B239="","",IF(ISNA(VLOOKUP($B239,'E-1 Off Site Hedge Baseline'!$B$1:$L$257,8,FALSE)),"",(VLOOKUP($B239,'E-1 Off Site Hedge Baseline'!$B$1:$L$257,8,FALSE))))</f>
        <v/>
      </c>
      <c r="I239" s="520" t="str">
        <f>IF(B239="","",IF(ISNA(VLOOKUP($B239,'E-1 Off Site Hedge Baseline'!$B$1:$L$257,10,FALSE)),"",(VLOOKUP($B239,'E-1 Off Site Hedge Baseline'!$B$1:$L$257,10,FALSE))))</f>
        <v/>
      </c>
      <c r="J239" s="520" t="str">
        <f>IF(B239="","",IF(ISNA(VLOOKUP($B239,'E-1 Off Site Hedge Baseline'!$B$1:$L$257,11,FALSE)),"",(VLOOKUP($B239,'E-1 Off Site Hedge Baseline'!$B$1:$L$257,11,FALSE))))</f>
        <v/>
      </c>
      <c r="K239" s="520" t="str">
        <f>IF(B239="","",IF(ISNA(VLOOKUP($B239,'E-1 Off Site Hedge Baseline'!$B$1:$U$257,113,FALSE)),"",(VLOOKUP($B239,'E-1 Off Site Hedge Baseline'!$B$1:$U$257,13,FALSE))))</f>
        <v/>
      </c>
      <c r="L239" s="507" t="str">
        <f>IF(B239="","",IF(ISNA(VLOOKUP($B239,'E-1 Off Site Hedge Baseline'!$B$1:$U$257,12,FALSE)),"",(VLOOKUP($B239,'E-1 Off Site Hedge Baseline'!$B$1:$U$257,12,FALSE))))</f>
        <v/>
      </c>
      <c r="M239" s="418" t="str">
        <f t="shared" si="32"/>
        <v/>
      </c>
      <c r="N239" s="498" t="str">
        <f>IFERROR(IF(B239="","",INDEX('G-6 Hedgerow Data'!$AN$3:$AZ$15,MATCH(C239,'G-6 Hedgerow Data'!$AM$3:$AM$15,0),MATCH(M239,'G-6 Hedgerow Data'!$AN$2:$AZ$2,0))),"")</f>
        <v/>
      </c>
      <c r="O239" s="499" t="str">
        <f t="shared" si="26"/>
        <v/>
      </c>
      <c r="P239" s="505" t="str">
        <f>IF(B239="","",VLOOKUP(B239,'E-1 Off Site Hedge Baseline'!$B$10:T484,16,FALSE))</f>
        <v/>
      </c>
      <c r="Q239" s="498" t="str">
        <f>IF(M239="","",VLOOKUP(M239,'G-6 Hedgerow Data'!$B$2:$AG$15,2,FALSE))</f>
        <v/>
      </c>
      <c r="R239" s="499" t="str">
        <f>IF(M239="","",VLOOKUP(M239,'G-6 Hedgerow Data'!$B$2:$AG$15,3,FALSE))</f>
        <v/>
      </c>
      <c r="S239" s="145"/>
      <c r="T239" s="499" t="str">
        <f>IFERROR(IF(AND(Q239="V.Low",OR(S239="Good",S239="Moderate")),"Error ▲",VLOOKUP(S239,'G-1 All Habitats'!$Z$2:$AA$9,2,FALSE)),"")</f>
        <v/>
      </c>
      <c r="U239" s="145"/>
      <c r="V239" s="507" t="str">
        <f>IF(U239="","",IF(VLOOKUP(U239,'G-3 Multipliers'!$L$3:$N$6,2,FALSE)=0,"Spatial Data Missing ⚠",VLOOKUP(U239,'G-3 Multipliers'!$L$3:$N$6,2,FALSE)))</f>
        <v/>
      </c>
      <c r="W239" s="505" t="str">
        <f>IF(U239="","",IF(VLOOKUP(U239,'G-3 Multipliers'!$L$3:$N$6,3,FALSE)=0,"Spatial Data Missing ⚠",VLOOKUP(U239,'G-3 Multipliers'!$L$3:$N$6,3,FALSE)))</f>
        <v/>
      </c>
      <c r="X239" s="498"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7" t="str">
        <f t="shared" si="27"/>
        <v/>
      </c>
      <c r="AB239" s="521" t="str">
        <f t="shared" si="28"/>
        <v/>
      </c>
      <c r="AC239" s="522" t="str">
        <f t="shared" si="25"/>
        <v/>
      </c>
      <c r="AD239" s="537" t="str">
        <f>IF(M239="","",VLOOKUP(M239,'G-6 Hedgerow Data'!$B$3:$AG$15,31,FALSE))</f>
        <v/>
      </c>
      <c r="AE239" s="520" t="str">
        <f t="shared" si="29"/>
        <v/>
      </c>
      <c r="AF239" s="520" t="str">
        <f t="shared" si="30"/>
        <v/>
      </c>
      <c r="AG239" s="524" t="str">
        <f>IFERROR(IF(O239="","",VLOOKUP(AD239,'G-3 Multipliers'!$P$3:$Q$6,2,FALSE)),"")</f>
        <v/>
      </c>
      <c r="AH239" s="197"/>
      <c r="AI239" s="499" t="str">
        <f>IF(AH239="","",IF(VLOOKUP(AH239,'G-3 Multipliers'!$S$3:$T$6,2,FALSE)=0,"Spatial Data Missing ⚠",VLOOKUP(AH239,'G-3 Multipliers'!$S$3:$T$6,2,FALSE)))</f>
        <v/>
      </c>
      <c r="AJ239" s="545" t="str">
        <f t="shared" si="31"/>
        <v/>
      </c>
      <c r="AK239" s="149"/>
      <c r="AL239" s="150"/>
      <c r="AP239" s="31" t="str">
        <f>IFERROR(INDEX('G-6 Hedgerow Data'!$BJ$3:$BJ$15,MATCH(M239,'G-6 Hedgerow Data'!$B$3:$B$15,0)),"")</f>
        <v/>
      </c>
    </row>
    <row r="240" spans="2:42" ht="13.8" x14ac:dyDescent="0.25">
      <c r="B240" s="531" t="str">
        <f>'E-1 Off Site Hedge Baseline'!AK238</f>
        <v/>
      </c>
      <c r="C240" s="520" t="str">
        <f>IF(B240="","",IF(ISNA(VLOOKUP($B240,'E-1 Off Site Hedge Baseline'!$B$1:$L$257,3,FALSE)),"",(VLOOKUP($B240,'E-1 Off Site Hedge Baseline'!$B$1:$L$257,3,FALSE))))</f>
        <v/>
      </c>
      <c r="D240" s="520" t="str">
        <f>IF(B240="","",IF(ISNA(VLOOKUP($B240,'E-1 Off Site Hedge Baseline'!$B$1:$L$258,4,FALSE)),"",(VLOOKUP($B240,'E-1 Off Site Hedge Baseline'!$B$1:$L$258,4,FALSE))))</f>
        <v/>
      </c>
      <c r="E240" s="520" t="str">
        <f>IF(B240="","",IF(ISNA(VLOOKUP($B240,'E-1 Off Site Hedge Baseline'!$B$1:$L$257,5,FALSE)),"",(VLOOKUP($B240,'E-1 Off Site Hedge Baseline'!$B$1:$L$257,5,FALSE))))</f>
        <v/>
      </c>
      <c r="F240" s="520" t="str">
        <f>IF(B240="","",IF(ISNA(VLOOKUP($B240,'E-1 Off Site Hedge Baseline'!$B$1:$L$257,6,FALSE)),"",(VLOOKUP($B240,'E-1 Off Site Hedge Baseline'!$B$1:$L$257,6,FALSE))))</f>
        <v/>
      </c>
      <c r="G240" s="520" t="str">
        <f>IF(B240="","",IF(ISNA(VLOOKUP($B240,'E-1 Off Site Hedge Baseline'!$B$1:$L$257,7,FALSE)),"",(VLOOKUP($B240,'E-1 Off Site Hedge Baseline'!$B$1:$L$257,7,FALSE))))</f>
        <v/>
      </c>
      <c r="H240" s="520" t="str">
        <f>IF(B240="","",IF(ISNA(VLOOKUP($B240,'E-1 Off Site Hedge Baseline'!$B$1:$L$257,8,FALSE)),"",(VLOOKUP($B240,'E-1 Off Site Hedge Baseline'!$B$1:$L$257,8,FALSE))))</f>
        <v/>
      </c>
      <c r="I240" s="520" t="str">
        <f>IF(B240="","",IF(ISNA(VLOOKUP($B240,'E-1 Off Site Hedge Baseline'!$B$1:$L$257,10,FALSE)),"",(VLOOKUP($B240,'E-1 Off Site Hedge Baseline'!$B$1:$L$257,10,FALSE))))</f>
        <v/>
      </c>
      <c r="J240" s="520" t="str">
        <f>IF(B240="","",IF(ISNA(VLOOKUP($B240,'E-1 Off Site Hedge Baseline'!$B$1:$L$257,11,FALSE)),"",(VLOOKUP($B240,'E-1 Off Site Hedge Baseline'!$B$1:$L$257,11,FALSE))))</f>
        <v/>
      </c>
      <c r="K240" s="520" t="str">
        <f>IF(B240="","",IF(ISNA(VLOOKUP($B240,'E-1 Off Site Hedge Baseline'!$B$1:$U$257,113,FALSE)),"",(VLOOKUP($B240,'E-1 Off Site Hedge Baseline'!$B$1:$U$257,13,FALSE))))</f>
        <v/>
      </c>
      <c r="L240" s="507" t="str">
        <f>IF(B240="","",IF(ISNA(VLOOKUP($B240,'E-1 Off Site Hedge Baseline'!$B$1:$U$257,12,FALSE)),"",(VLOOKUP($B240,'E-1 Off Site Hedge Baseline'!$B$1:$U$257,12,FALSE))))</f>
        <v/>
      </c>
      <c r="M240" s="418" t="str">
        <f t="shared" si="32"/>
        <v/>
      </c>
      <c r="N240" s="498" t="str">
        <f>IFERROR(IF(B240="","",INDEX('G-6 Hedgerow Data'!$AN$3:$AZ$15,MATCH(C240,'G-6 Hedgerow Data'!$AM$3:$AM$15,0),MATCH(M240,'G-6 Hedgerow Data'!$AN$2:$AZ$2,0))),"")</f>
        <v/>
      </c>
      <c r="O240" s="499" t="str">
        <f t="shared" si="26"/>
        <v/>
      </c>
      <c r="P240" s="505" t="str">
        <f>IF(B240="","",VLOOKUP(B240,'E-1 Off Site Hedge Baseline'!$B$10:T485,16,FALSE))</f>
        <v/>
      </c>
      <c r="Q240" s="498" t="str">
        <f>IF(M240="","",VLOOKUP(M240,'G-6 Hedgerow Data'!$B$2:$AG$15,2,FALSE))</f>
        <v/>
      </c>
      <c r="R240" s="499" t="str">
        <f>IF(M240="","",VLOOKUP(M240,'G-6 Hedgerow Data'!$B$2:$AG$15,3,FALSE))</f>
        <v/>
      </c>
      <c r="S240" s="145"/>
      <c r="T240" s="499" t="str">
        <f>IFERROR(IF(AND(Q240="V.Low",OR(S240="Good",S240="Moderate")),"Error ▲",VLOOKUP(S240,'G-1 All Habitats'!$Z$2:$AA$9,2,FALSE)),"")</f>
        <v/>
      </c>
      <c r="U240" s="145"/>
      <c r="V240" s="507" t="str">
        <f>IF(U240="","",IF(VLOOKUP(U240,'G-3 Multipliers'!$L$3:$N$6,2,FALSE)=0,"Spatial Data Missing ⚠",VLOOKUP(U240,'G-3 Multipliers'!$L$3:$N$6,2,FALSE)))</f>
        <v/>
      </c>
      <c r="W240" s="505" t="str">
        <f>IF(U240="","",IF(VLOOKUP(U240,'G-3 Multipliers'!$L$3:$N$6,3,FALSE)=0,"Spatial Data Missing ⚠",VLOOKUP(U240,'G-3 Multipliers'!$L$3:$N$6,3,FALSE)))</f>
        <v/>
      </c>
      <c r="X240" s="498"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7" t="str">
        <f t="shared" si="27"/>
        <v/>
      </c>
      <c r="AB240" s="521" t="str">
        <f t="shared" si="28"/>
        <v/>
      </c>
      <c r="AC240" s="522" t="str">
        <f t="shared" si="25"/>
        <v/>
      </c>
      <c r="AD240" s="537" t="str">
        <f>IF(M240="","",VLOOKUP(M240,'G-6 Hedgerow Data'!$B$3:$AG$15,31,FALSE))</f>
        <v/>
      </c>
      <c r="AE240" s="520" t="str">
        <f t="shared" si="29"/>
        <v/>
      </c>
      <c r="AF240" s="520" t="str">
        <f t="shared" si="30"/>
        <v/>
      </c>
      <c r="AG240" s="524" t="str">
        <f>IFERROR(IF(O240="","",VLOOKUP(AD240,'G-3 Multipliers'!$P$3:$Q$6,2,FALSE)),"")</f>
        <v/>
      </c>
      <c r="AH240" s="197"/>
      <c r="AI240" s="499" t="str">
        <f>IF(AH240="","",IF(VLOOKUP(AH240,'G-3 Multipliers'!$S$3:$T$6,2,FALSE)=0,"Spatial Data Missing ⚠",VLOOKUP(AH240,'G-3 Multipliers'!$S$3:$T$6,2,FALSE)))</f>
        <v/>
      </c>
      <c r="AJ240" s="545" t="str">
        <f t="shared" si="31"/>
        <v/>
      </c>
      <c r="AK240" s="149"/>
      <c r="AL240" s="150"/>
      <c r="AP240" s="31" t="str">
        <f>IFERROR(INDEX('G-6 Hedgerow Data'!$BJ$3:$BJ$15,MATCH(M240,'G-6 Hedgerow Data'!$B$3:$B$15,0)),"")</f>
        <v/>
      </c>
    </row>
    <row r="241" spans="2:42" ht="13.8" x14ac:dyDescent="0.25">
      <c r="B241" s="531" t="str">
        <f>'E-1 Off Site Hedge Baseline'!AK239</f>
        <v/>
      </c>
      <c r="C241" s="520" t="str">
        <f>IF(B241="","",IF(ISNA(VLOOKUP($B241,'E-1 Off Site Hedge Baseline'!$B$1:$L$257,3,FALSE)),"",(VLOOKUP($B241,'E-1 Off Site Hedge Baseline'!$B$1:$L$257,3,FALSE))))</f>
        <v/>
      </c>
      <c r="D241" s="520" t="str">
        <f>IF(B241="","",IF(ISNA(VLOOKUP($B241,'E-1 Off Site Hedge Baseline'!$B$1:$L$258,4,FALSE)),"",(VLOOKUP($B241,'E-1 Off Site Hedge Baseline'!$B$1:$L$258,4,FALSE))))</f>
        <v/>
      </c>
      <c r="E241" s="520" t="str">
        <f>IF(B241="","",IF(ISNA(VLOOKUP($B241,'E-1 Off Site Hedge Baseline'!$B$1:$L$257,5,FALSE)),"",(VLOOKUP($B241,'E-1 Off Site Hedge Baseline'!$B$1:$L$257,5,FALSE))))</f>
        <v/>
      </c>
      <c r="F241" s="520" t="str">
        <f>IF(B241="","",IF(ISNA(VLOOKUP($B241,'E-1 Off Site Hedge Baseline'!$B$1:$L$257,6,FALSE)),"",(VLOOKUP($B241,'E-1 Off Site Hedge Baseline'!$B$1:$L$257,6,FALSE))))</f>
        <v/>
      </c>
      <c r="G241" s="520" t="str">
        <f>IF(B241="","",IF(ISNA(VLOOKUP($B241,'E-1 Off Site Hedge Baseline'!$B$1:$L$257,7,FALSE)),"",(VLOOKUP($B241,'E-1 Off Site Hedge Baseline'!$B$1:$L$257,7,FALSE))))</f>
        <v/>
      </c>
      <c r="H241" s="520" t="str">
        <f>IF(B241="","",IF(ISNA(VLOOKUP($B241,'E-1 Off Site Hedge Baseline'!$B$1:$L$257,8,FALSE)),"",(VLOOKUP($B241,'E-1 Off Site Hedge Baseline'!$B$1:$L$257,8,FALSE))))</f>
        <v/>
      </c>
      <c r="I241" s="520" t="str">
        <f>IF(B241="","",IF(ISNA(VLOOKUP($B241,'E-1 Off Site Hedge Baseline'!$B$1:$L$257,10,FALSE)),"",(VLOOKUP($B241,'E-1 Off Site Hedge Baseline'!$B$1:$L$257,10,FALSE))))</f>
        <v/>
      </c>
      <c r="J241" s="520" t="str">
        <f>IF(B241="","",IF(ISNA(VLOOKUP($B241,'E-1 Off Site Hedge Baseline'!$B$1:$L$257,11,FALSE)),"",(VLOOKUP($B241,'E-1 Off Site Hedge Baseline'!$B$1:$L$257,11,FALSE))))</f>
        <v/>
      </c>
      <c r="K241" s="520" t="str">
        <f>IF(B241="","",IF(ISNA(VLOOKUP($B241,'E-1 Off Site Hedge Baseline'!$B$1:$U$257,113,FALSE)),"",(VLOOKUP($B241,'E-1 Off Site Hedge Baseline'!$B$1:$U$257,13,FALSE))))</f>
        <v/>
      </c>
      <c r="L241" s="507" t="str">
        <f>IF(B241="","",IF(ISNA(VLOOKUP($B241,'E-1 Off Site Hedge Baseline'!$B$1:$U$257,12,FALSE)),"",(VLOOKUP($B241,'E-1 Off Site Hedge Baseline'!$B$1:$U$257,12,FALSE))))</f>
        <v/>
      </c>
      <c r="M241" s="418" t="str">
        <f t="shared" si="32"/>
        <v/>
      </c>
      <c r="N241" s="498" t="str">
        <f>IFERROR(IF(B241="","",INDEX('G-6 Hedgerow Data'!$AN$3:$AZ$15,MATCH(C241,'G-6 Hedgerow Data'!$AM$3:$AM$15,0),MATCH(M241,'G-6 Hedgerow Data'!$AN$2:$AZ$2,0))),"")</f>
        <v/>
      </c>
      <c r="O241" s="499" t="str">
        <f t="shared" si="26"/>
        <v/>
      </c>
      <c r="P241" s="505" t="str">
        <f>IF(B241="","",VLOOKUP(B241,'E-1 Off Site Hedge Baseline'!$B$10:T486,16,FALSE))</f>
        <v/>
      </c>
      <c r="Q241" s="498" t="str">
        <f>IF(M241="","",VLOOKUP(M241,'G-6 Hedgerow Data'!$B$2:$AG$15,2,FALSE))</f>
        <v/>
      </c>
      <c r="R241" s="499" t="str">
        <f>IF(M241="","",VLOOKUP(M241,'G-6 Hedgerow Data'!$B$2:$AG$15,3,FALSE))</f>
        <v/>
      </c>
      <c r="S241" s="145"/>
      <c r="T241" s="499" t="str">
        <f>IFERROR(IF(AND(Q241="V.Low",OR(S241="Good",S241="Moderate")),"Error ▲",VLOOKUP(S241,'G-1 All Habitats'!$Z$2:$AA$9,2,FALSE)),"")</f>
        <v/>
      </c>
      <c r="U241" s="145"/>
      <c r="V241" s="507" t="str">
        <f>IF(U241="","",IF(VLOOKUP(U241,'G-3 Multipliers'!$L$3:$N$6,2,FALSE)=0,"Spatial Data Missing ⚠",VLOOKUP(U241,'G-3 Multipliers'!$L$3:$N$6,2,FALSE)))</f>
        <v/>
      </c>
      <c r="W241" s="505" t="str">
        <f>IF(U241="","",IF(VLOOKUP(U241,'G-3 Multipliers'!$L$3:$N$6,3,FALSE)=0,"Spatial Data Missing ⚠",VLOOKUP(U241,'G-3 Multipliers'!$L$3:$N$6,3,FALSE)))</f>
        <v/>
      </c>
      <c r="X241" s="498"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7" t="str">
        <f t="shared" si="27"/>
        <v/>
      </c>
      <c r="AB241" s="521" t="str">
        <f t="shared" si="28"/>
        <v/>
      </c>
      <c r="AC241" s="522" t="str">
        <f t="shared" si="25"/>
        <v/>
      </c>
      <c r="AD241" s="537" t="str">
        <f>IF(M241="","",VLOOKUP(M241,'G-6 Hedgerow Data'!$B$3:$AG$15,31,FALSE))</f>
        <v/>
      </c>
      <c r="AE241" s="520" t="str">
        <f t="shared" si="29"/>
        <v/>
      </c>
      <c r="AF241" s="520" t="str">
        <f t="shared" si="30"/>
        <v/>
      </c>
      <c r="AG241" s="524" t="str">
        <f>IFERROR(IF(O241="","",VLOOKUP(AD241,'G-3 Multipliers'!$P$3:$Q$6,2,FALSE)),"")</f>
        <v/>
      </c>
      <c r="AH241" s="197"/>
      <c r="AI241" s="499" t="str">
        <f>IF(AH241="","",IF(VLOOKUP(AH241,'G-3 Multipliers'!$S$3:$T$6,2,FALSE)=0,"Spatial Data Missing ⚠",VLOOKUP(AH241,'G-3 Multipliers'!$S$3:$T$6,2,FALSE)))</f>
        <v/>
      </c>
      <c r="AJ241" s="545" t="str">
        <f t="shared" si="31"/>
        <v/>
      </c>
      <c r="AK241" s="149"/>
      <c r="AL241" s="150"/>
      <c r="AP241" s="31" t="str">
        <f>IFERROR(INDEX('G-6 Hedgerow Data'!$BJ$3:$BJ$15,MATCH(M241,'G-6 Hedgerow Data'!$B$3:$B$15,0)),"")</f>
        <v/>
      </c>
    </row>
    <row r="242" spans="2:42" ht="13.8" x14ac:dyDescent="0.25">
      <c r="B242" s="531" t="str">
        <f>'E-1 Off Site Hedge Baseline'!AK240</f>
        <v/>
      </c>
      <c r="C242" s="520" t="str">
        <f>IF(B242="","",IF(ISNA(VLOOKUP($B242,'E-1 Off Site Hedge Baseline'!$B$1:$L$257,3,FALSE)),"",(VLOOKUP($B242,'E-1 Off Site Hedge Baseline'!$B$1:$L$257,3,FALSE))))</f>
        <v/>
      </c>
      <c r="D242" s="520" t="str">
        <f>IF(B242="","",IF(ISNA(VLOOKUP($B242,'E-1 Off Site Hedge Baseline'!$B$1:$L$258,4,FALSE)),"",(VLOOKUP($B242,'E-1 Off Site Hedge Baseline'!$B$1:$L$258,4,FALSE))))</f>
        <v/>
      </c>
      <c r="E242" s="520" t="str">
        <f>IF(B242="","",IF(ISNA(VLOOKUP($B242,'E-1 Off Site Hedge Baseline'!$B$1:$L$257,5,FALSE)),"",(VLOOKUP($B242,'E-1 Off Site Hedge Baseline'!$B$1:$L$257,5,FALSE))))</f>
        <v/>
      </c>
      <c r="F242" s="520" t="str">
        <f>IF(B242="","",IF(ISNA(VLOOKUP($B242,'E-1 Off Site Hedge Baseline'!$B$1:$L$257,6,FALSE)),"",(VLOOKUP($B242,'E-1 Off Site Hedge Baseline'!$B$1:$L$257,6,FALSE))))</f>
        <v/>
      </c>
      <c r="G242" s="520" t="str">
        <f>IF(B242="","",IF(ISNA(VLOOKUP($B242,'E-1 Off Site Hedge Baseline'!$B$1:$L$257,7,FALSE)),"",(VLOOKUP($B242,'E-1 Off Site Hedge Baseline'!$B$1:$L$257,7,FALSE))))</f>
        <v/>
      </c>
      <c r="H242" s="520" t="str">
        <f>IF(B242="","",IF(ISNA(VLOOKUP($B242,'E-1 Off Site Hedge Baseline'!$B$1:$L$257,8,FALSE)),"",(VLOOKUP($B242,'E-1 Off Site Hedge Baseline'!$B$1:$L$257,8,FALSE))))</f>
        <v/>
      </c>
      <c r="I242" s="520" t="str">
        <f>IF(B242="","",IF(ISNA(VLOOKUP($B242,'E-1 Off Site Hedge Baseline'!$B$1:$L$257,10,FALSE)),"",(VLOOKUP($B242,'E-1 Off Site Hedge Baseline'!$B$1:$L$257,10,FALSE))))</f>
        <v/>
      </c>
      <c r="J242" s="520" t="str">
        <f>IF(B242="","",IF(ISNA(VLOOKUP($B242,'E-1 Off Site Hedge Baseline'!$B$1:$L$257,11,FALSE)),"",(VLOOKUP($B242,'E-1 Off Site Hedge Baseline'!$B$1:$L$257,11,FALSE))))</f>
        <v/>
      </c>
      <c r="K242" s="520" t="str">
        <f>IF(B242="","",IF(ISNA(VLOOKUP($B242,'E-1 Off Site Hedge Baseline'!$B$1:$U$257,113,FALSE)),"",(VLOOKUP($B242,'E-1 Off Site Hedge Baseline'!$B$1:$U$257,13,FALSE))))</f>
        <v/>
      </c>
      <c r="L242" s="507" t="str">
        <f>IF(B242="","",IF(ISNA(VLOOKUP($B242,'E-1 Off Site Hedge Baseline'!$B$1:$U$257,12,FALSE)),"",(VLOOKUP($B242,'E-1 Off Site Hedge Baseline'!$B$1:$U$257,12,FALSE))))</f>
        <v/>
      </c>
      <c r="M242" s="418" t="str">
        <f t="shared" si="32"/>
        <v/>
      </c>
      <c r="N242" s="498" t="str">
        <f>IFERROR(IF(B242="","",INDEX('G-6 Hedgerow Data'!$AN$3:$AZ$15,MATCH(C242,'G-6 Hedgerow Data'!$AM$3:$AM$15,0),MATCH(M242,'G-6 Hedgerow Data'!$AN$2:$AZ$2,0))),"")</f>
        <v/>
      </c>
      <c r="O242" s="499" t="str">
        <f t="shared" si="26"/>
        <v/>
      </c>
      <c r="P242" s="505" t="str">
        <f>IF(B242="","",VLOOKUP(B242,'E-1 Off Site Hedge Baseline'!$B$10:T487,16,FALSE))</f>
        <v/>
      </c>
      <c r="Q242" s="498" t="str">
        <f>IF(M242="","",VLOOKUP(M242,'G-6 Hedgerow Data'!$B$2:$AG$15,2,FALSE))</f>
        <v/>
      </c>
      <c r="R242" s="499" t="str">
        <f>IF(M242="","",VLOOKUP(M242,'G-6 Hedgerow Data'!$B$2:$AG$15,3,FALSE))</f>
        <v/>
      </c>
      <c r="S242" s="145"/>
      <c r="T242" s="499" t="str">
        <f>IFERROR(IF(AND(Q242="V.Low",OR(S242="Good",S242="Moderate")),"Error ▲",VLOOKUP(S242,'G-1 All Habitats'!$Z$2:$AA$9,2,FALSE)),"")</f>
        <v/>
      </c>
      <c r="U242" s="145"/>
      <c r="V242" s="507" t="str">
        <f>IF(U242="","",IF(VLOOKUP(U242,'G-3 Multipliers'!$L$3:$N$6,2,FALSE)=0,"Spatial Data Missing ⚠",VLOOKUP(U242,'G-3 Multipliers'!$L$3:$N$6,2,FALSE)))</f>
        <v/>
      </c>
      <c r="W242" s="505" t="str">
        <f>IF(U242="","",IF(VLOOKUP(U242,'G-3 Multipliers'!$L$3:$N$6,3,FALSE)=0,"Spatial Data Missing ⚠",VLOOKUP(U242,'G-3 Multipliers'!$L$3:$N$6,3,FALSE)))</f>
        <v/>
      </c>
      <c r="X242" s="498"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7" t="str">
        <f t="shared" si="27"/>
        <v/>
      </c>
      <c r="AB242" s="521" t="str">
        <f t="shared" si="28"/>
        <v/>
      </c>
      <c r="AC242" s="522" t="str">
        <f t="shared" si="25"/>
        <v/>
      </c>
      <c r="AD242" s="537" t="str">
        <f>IF(M242="","",VLOOKUP(M242,'G-6 Hedgerow Data'!$B$3:$AG$15,31,FALSE))</f>
        <v/>
      </c>
      <c r="AE242" s="520" t="str">
        <f t="shared" si="29"/>
        <v/>
      </c>
      <c r="AF242" s="520" t="str">
        <f t="shared" si="30"/>
        <v/>
      </c>
      <c r="AG242" s="524" t="str">
        <f>IFERROR(IF(O242="","",VLOOKUP(AD242,'G-3 Multipliers'!$P$3:$Q$6,2,FALSE)),"")</f>
        <v/>
      </c>
      <c r="AH242" s="197"/>
      <c r="AI242" s="499" t="str">
        <f>IF(AH242="","",IF(VLOOKUP(AH242,'G-3 Multipliers'!$S$3:$T$6,2,FALSE)=0,"Spatial Data Missing ⚠",VLOOKUP(AH242,'G-3 Multipliers'!$S$3:$T$6,2,FALSE)))</f>
        <v/>
      </c>
      <c r="AJ242" s="545" t="str">
        <f t="shared" si="31"/>
        <v/>
      </c>
      <c r="AK242" s="149"/>
      <c r="AL242" s="150"/>
      <c r="AP242" s="31" t="str">
        <f>IFERROR(INDEX('G-6 Hedgerow Data'!$BJ$3:$BJ$15,MATCH(M242,'G-6 Hedgerow Data'!$B$3:$B$15,0)),"")</f>
        <v/>
      </c>
    </row>
    <row r="243" spans="2:42" ht="13.8" x14ac:dyDescent="0.25">
      <c r="B243" s="531" t="str">
        <f>'E-1 Off Site Hedge Baseline'!AK241</f>
        <v/>
      </c>
      <c r="C243" s="520" t="str">
        <f>IF(B243="","",IF(ISNA(VLOOKUP($B243,'E-1 Off Site Hedge Baseline'!$B$1:$L$257,3,FALSE)),"",(VLOOKUP($B243,'E-1 Off Site Hedge Baseline'!$B$1:$L$257,3,FALSE))))</f>
        <v/>
      </c>
      <c r="D243" s="520" t="str">
        <f>IF(B243="","",IF(ISNA(VLOOKUP($B243,'E-1 Off Site Hedge Baseline'!$B$1:$L$258,4,FALSE)),"",(VLOOKUP($B243,'E-1 Off Site Hedge Baseline'!$B$1:$L$258,4,FALSE))))</f>
        <v/>
      </c>
      <c r="E243" s="520" t="str">
        <f>IF(B243="","",IF(ISNA(VLOOKUP($B243,'E-1 Off Site Hedge Baseline'!$B$1:$L$257,5,FALSE)),"",(VLOOKUP($B243,'E-1 Off Site Hedge Baseline'!$B$1:$L$257,5,FALSE))))</f>
        <v/>
      </c>
      <c r="F243" s="520" t="str">
        <f>IF(B243="","",IF(ISNA(VLOOKUP($B243,'E-1 Off Site Hedge Baseline'!$B$1:$L$257,6,FALSE)),"",(VLOOKUP($B243,'E-1 Off Site Hedge Baseline'!$B$1:$L$257,6,FALSE))))</f>
        <v/>
      </c>
      <c r="G243" s="520" t="str">
        <f>IF(B243="","",IF(ISNA(VLOOKUP($B243,'E-1 Off Site Hedge Baseline'!$B$1:$L$257,7,FALSE)),"",(VLOOKUP($B243,'E-1 Off Site Hedge Baseline'!$B$1:$L$257,7,FALSE))))</f>
        <v/>
      </c>
      <c r="H243" s="520" t="str">
        <f>IF(B243="","",IF(ISNA(VLOOKUP($B243,'E-1 Off Site Hedge Baseline'!$B$1:$L$257,8,FALSE)),"",(VLOOKUP($B243,'E-1 Off Site Hedge Baseline'!$B$1:$L$257,8,FALSE))))</f>
        <v/>
      </c>
      <c r="I243" s="520" t="str">
        <f>IF(B243="","",IF(ISNA(VLOOKUP($B243,'E-1 Off Site Hedge Baseline'!$B$1:$L$257,10,FALSE)),"",(VLOOKUP($B243,'E-1 Off Site Hedge Baseline'!$B$1:$L$257,10,FALSE))))</f>
        <v/>
      </c>
      <c r="J243" s="520" t="str">
        <f>IF(B243="","",IF(ISNA(VLOOKUP($B243,'E-1 Off Site Hedge Baseline'!$B$1:$L$257,11,FALSE)),"",(VLOOKUP($B243,'E-1 Off Site Hedge Baseline'!$B$1:$L$257,11,FALSE))))</f>
        <v/>
      </c>
      <c r="K243" s="520" t="str">
        <f>IF(B243="","",IF(ISNA(VLOOKUP($B243,'E-1 Off Site Hedge Baseline'!$B$1:$U$257,113,FALSE)),"",(VLOOKUP($B243,'E-1 Off Site Hedge Baseline'!$B$1:$U$257,13,FALSE))))</f>
        <v/>
      </c>
      <c r="L243" s="507" t="str">
        <f>IF(B243="","",IF(ISNA(VLOOKUP($B243,'E-1 Off Site Hedge Baseline'!$B$1:$U$257,12,FALSE)),"",(VLOOKUP($B243,'E-1 Off Site Hedge Baseline'!$B$1:$U$257,12,FALSE))))</f>
        <v/>
      </c>
      <c r="M243" s="418" t="str">
        <f t="shared" si="32"/>
        <v/>
      </c>
      <c r="N243" s="498" t="str">
        <f>IFERROR(IF(B243="","",INDEX('G-6 Hedgerow Data'!$AN$3:$AZ$15,MATCH(C243,'G-6 Hedgerow Data'!$AM$3:$AM$15,0),MATCH(M243,'G-6 Hedgerow Data'!$AN$2:$AZ$2,0))),"")</f>
        <v/>
      </c>
      <c r="O243" s="499" t="str">
        <f t="shared" si="26"/>
        <v/>
      </c>
      <c r="P243" s="505" t="str">
        <f>IF(B243="","",VLOOKUP(B243,'E-1 Off Site Hedge Baseline'!$B$10:T488,16,FALSE))</f>
        <v/>
      </c>
      <c r="Q243" s="498" t="str">
        <f>IF(M243="","",VLOOKUP(M243,'G-6 Hedgerow Data'!$B$2:$AG$15,2,FALSE))</f>
        <v/>
      </c>
      <c r="R243" s="499" t="str">
        <f>IF(M243="","",VLOOKUP(M243,'G-6 Hedgerow Data'!$B$2:$AG$15,3,FALSE))</f>
        <v/>
      </c>
      <c r="S243" s="145"/>
      <c r="T243" s="499" t="str">
        <f>IFERROR(IF(AND(Q243="V.Low",OR(S243="Good",S243="Moderate")),"Error ▲",VLOOKUP(S243,'G-1 All Habitats'!$Z$2:$AA$9,2,FALSE)),"")</f>
        <v/>
      </c>
      <c r="U243" s="145"/>
      <c r="V243" s="507" t="str">
        <f>IF(U243="","",IF(VLOOKUP(U243,'G-3 Multipliers'!$L$3:$N$6,2,FALSE)=0,"Spatial Data Missing ⚠",VLOOKUP(U243,'G-3 Multipliers'!$L$3:$N$6,2,FALSE)))</f>
        <v/>
      </c>
      <c r="W243" s="505" t="str">
        <f>IF(U243="","",IF(VLOOKUP(U243,'G-3 Multipliers'!$L$3:$N$6,3,FALSE)=0,"Spatial Data Missing ⚠",VLOOKUP(U243,'G-3 Multipliers'!$L$3:$N$6,3,FALSE)))</f>
        <v/>
      </c>
      <c r="X243" s="498"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7" t="str">
        <f t="shared" si="27"/>
        <v/>
      </c>
      <c r="AB243" s="521" t="str">
        <f t="shared" si="28"/>
        <v/>
      </c>
      <c r="AC243" s="522" t="str">
        <f t="shared" si="25"/>
        <v/>
      </c>
      <c r="AD243" s="537" t="str">
        <f>IF(M243="","",VLOOKUP(M243,'G-6 Hedgerow Data'!$B$3:$AG$15,31,FALSE))</f>
        <v/>
      </c>
      <c r="AE243" s="520" t="str">
        <f t="shared" si="29"/>
        <v/>
      </c>
      <c r="AF243" s="520" t="str">
        <f t="shared" si="30"/>
        <v/>
      </c>
      <c r="AG243" s="524" t="str">
        <f>IFERROR(IF(O243="","",VLOOKUP(AD243,'G-3 Multipliers'!$P$3:$Q$6,2,FALSE)),"")</f>
        <v/>
      </c>
      <c r="AH243" s="197"/>
      <c r="AI243" s="499" t="str">
        <f>IF(AH243="","",IF(VLOOKUP(AH243,'G-3 Multipliers'!$S$3:$T$6,2,FALSE)=0,"Spatial Data Missing ⚠",VLOOKUP(AH243,'G-3 Multipliers'!$S$3:$T$6,2,FALSE)))</f>
        <v/>
      </c>
      <c r="AJ243" s="545" t="str">
        <f t="shared" si="31"/>
        <v/>
      </c>
      <c r="AK243" s="149"/>
      <c r="AL243" s="150"/>
      <c r="AP243" s="31" t="str">
        <f>IFERROR(INDEX('G-6 Hedgerow Data'!$BJ$3:$BJ$15,MATCH(M243,'G-6 Hedgerow Data'!$B$3:$B$15,0)),"")</f>
        <v/>
      </c>
    </row>
    <row r="244" spans="2:42" ht="13.8" x14ac:dyDescent="0.25">
      <c r="B244" s="531" t="str">
        <f>'E-1 Off Site Hedge Baseline'!AK242</f>
        <v/>
      </c>
      <c r="C244" s="520" t="str">
        <f>IF(B244="","",IF(ISNA(VLOOKUP($B244,'E-1 Off Site Hedge Baseline'!$B$1:$L$257,3,FALSE)),"",(VLOOKUP($B244,'E-1 Off Site Hedge Baseline'!$B$1:$L$257,3,FALSE))))</f>
        <v/>
      </c>
      <c r="D244" s="520" t="str">
        <f>IF(B244="","",IF(ISNA(VLOOKUP($B244,'E-1 Off Site Hedge Baseline'!$B$1:$L$258,4,FALSE)),"",(VLOOKUP($B244,'E-1 Off Site Hedge Baseline'!$B$1:$L$258,4,FALSE))))</f>
        <v/>
      </c>
      <c r="E244" s="520" t="str">
        <f>IF(B244="","",IF(ISNA(VLOOKUP($B244,'E-1 Off Site Hedge Baseline'!$B$1:$L$257,5,FALSE)),"",(VLOOKUP($B244,'E-1 Off Site Hedge Baseline'!$B$1:$L$257,5,FALSE))))</f>
        <v/>
      </c>
      <c r="F244" s="520" t="str">
        <f>IF(B244="","",IF(ISNA(VLOOKUP($B244,'E-1 Off Site Hedge Baseline'!$B$1:$L$257,6,FALSE)),"",(VLOOKUP($B244,'E-1 Off Site Hedge Baseline'!$B$1:$L$257,6,FALSE))))</f>
        <v/>
      </c>
      <c r="G244" s="520" t="str">
        <f>IF(B244="","",IF(ISNA(VLOOKUP($B244,'E-1 Off Site Hedge Baseline'!$B$1:$L$257,7,FALSE)),"",(VLOOKUP($B244,'E-1 Off Site Hedge Baseline'!$B$1:$L$257,7,FALSE))))</f>
        <v/>
      </c>
      <c r="H244" s="520" t="str">
        <f>IF(B244="","",IF(ISNA(VLOOKUP($B244,'E-1 Off Site Hedge Baseline'!$B$1:$L$257,8,FALSE)),"",(VLOOKUP($B244,'E-1 Off Site Hedge Baseline'!$B$1:$L$257,8,FALSE))))</f>
        <v/>
      </c>
      <c r="I244" s="520" t="str">
        <f>IF(B244="","",IF(ISNA(VLOOKUP($B244,'E-1 Off Site Hedge Baseline'!$B$1:$L$257,10,FALSE)),"",(VLOOKUP($B244,'E-1 Off Site Hedge Baseline'!$B$1:$L$257,10,FALSE))))</f>
        <v/>
      </c>
      <c r="J244" s="520" t="str">
        <f>IF(B244="","",IF(ISNA(VLOOKUP($B244,'E-1 Off Site Hedge Baseline'!$B$1:$L$257,11,FALSE)),"",(VLOOKUP($B244,'E-1 Off Site Hedge Baseline'!$B$1:$L$257,11,FALSE))))</f>
        <v/>
      </c>
      <c r="K244" s="520" t="str">
        <f>IF(B244="","",IF(ISNA(VLOOKUP($B244,'E-1 Off Site Hedge Baseline'!$B$1:$U$257,113,FALSE)),"",(VLOOKUP($B244,'E-1 Off Site Hedge Baseline'!$B$1:$U$257,13,FALSE))))</f>
        <v/>
      </c>
      <c r="L244" s="507" t="str">
        <f>IF(B244="","",IF(ISNA(VLOOKUP($B244,'E-1 Off Site Hedge Baseline'!$B$1:$U$257,12,FALSE)),"",(VLOOKUP($B244,'E-1 Off Site Hedge Baseline'!$B$1:$U$257,12,FALSE))))</f>
        <v/>
      </c>
      <c r="M244" s="418" t="str">
        <f t="shared" si="32"/>
        <v/>
      </c>
      <c r="N244" s="498" t="str">
        <f>IFERROR(IF(B244="","",INDEX('G-6 Hedgerow Data'!$AN$3:$AZ$15,MATCH(C244,'G-6 Hedgerow Data'!$AM$3:$AM$15,0),MATCH(M244,'G-6 Hedgerow Data'!$AN$2:$AZ$2,0))),"")</f>
        <v/>
      </c>
      <c r="O244" s="499" t="str">
        <f t="shared" si="26"/>
        <v/>
      </c>
      <c r="P244" s="505" t="str">
        <f>IF(B244="","",VLOOKUP(B244,'E-1 Off Site Hedge Baseline'!$B$10:T489,16,FALSE))</f>
        <v/>
      </c>
      <c r="Q244" s="498" t="str">
        <f>IF(M244="","",VLOOKUP(M244,'G-6 Hedgerow Data'!$B$2:$AG$15,2,FALSE))</f>
        <v/>
      </c>
      <c r="R244" s="499" t="str">
        <f>IF(M244="","",VLOOKUP(M244,'G-6 Hedgerow Data'!$B$2:$AG$15,3,FALSE))</f>
        <v/>
      </c>
      <c r="S244" s="145"/>
      <c r="T244" s="499" t="str">
        <f>IFERROR(IF(AND(Q244="V.Low",OR(S244="Good",S244="Moderate")),"Error ▲",VLOOKUP(S244,'G-1 All Habitats'!$Z$2:$AA$9,2,FALSE)),"")</f>
        <v/>
      </c>
      <c r="U244" s="145"/>
      <c r="V244" s="507" t="str">
        <f>IF(U244="","",IF(VLOOKUP(U244,'G-3 Multipliers'!$L$3:$N$6,2,FALSE)=0,"Spatial Data Missing ⚠",VLOOKUP(U244,'G-3 Multipliers'!$L$3:$N$6,2,FALSE)))</f>
        <v/>
      </c>
      <c r="W244" s="505" t="str">
        <f>IF(U244="","",IF(VLOOKUP(U244,'G-3 Multipliers'!$L$3:$N$6,3,FALSE)=0,"Spatial Data Missing ⚠",VLOOKUP(U244,'G-3 Multipliers'!$L$3:$N$6,3,FALSE)))</f>
        <v/>
      </c>
      <c r="X244" s="498"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7" t="str">
        <f t="shared" si="27"/>
        <v/>
      </c>
      <c r="AB244" s="521" t="str">
        <f t="shared" si="28"/>
        <v/>
      </c>
      <c r="AC244" s="522" t="str">
        <f t="shared" si="25"/>
        <v/>
      </c>
      <c r="AD244" s="537" t="str">
        <f>IF(M244="","",VLOOKUP(M244,'G-6 Hedgerow Data'!$B$3:$AG$15,31,FALSE))</f>
        <v/>
      </c>
      <c r="AE244" s="520" t="str">
        <f t="shared" si="29"/>
        <v/>
      </c>
      <c r="AF244" s="520" t="str">
        <f t="shared" si="30"/>
        <v/>
      </c>
      <c r="AG244" s="524" t="str">
        <f>IFERROR(IF(O244="","",VLOOKUP(AD244,'G-3 Multipliers'!$P$3:$Q$6,2,FALSE)),"")</f>
        <v/>
      </c>
      <c r="AH244" s="197"/>
      <c r="AI244" s="499" t="str">
        <f>IF(AH244="","",IF(VLOOKUP(AH244,'G-3 Multipliers'!$S$3:$T$6,2,FALSE)=0,"Spatial Data Missing ⚠",VLOOKUP(AH244,'G-3 Multipliers'!$S$3:$T$6,2,FALSE)))</f>
        <v/>
      </c>
      <c r="AJ244" s="545" t="str">
        <f t="shared" si="31"/>
        <v/>
      </c>
      <c r="AK244" s="149"/>
      <c r="AL244" s="150"/>
      <c r="AP244" s="31" t="str">
        <f>IFERROR(INDEX('G-6 Hedgerow Data'!$BJ$3:$BJ$15,MATCH(M244,'G-6 Hedgerow Data'!$B$3:$B$15,0)),"")</f>
        <v/>
      </c>
    </row>
    <row r="245" spans="2:42" ht="13.8" x14ac:dyDescent="0.25">
      <c r="B245" s="531" t="str">
        <f>'E-1 Off Site Hedge Baseline'!AK243</f>
        <v/>
      </c>
      <c r="C245" s="520" t="str">
        <f>IF(B245="","",IF(ISNA(VLOOKUP($B245,'E-1 Off Site Hedge Baseline'!$B$1:$L$257,3,FALSE)),"",(VLOOKUP($B245,'E-1 Off Site Hedge Baseline'!$B$1:$L$257,3,FALSE))))</f>
        <v/>
      </c>
      <c r="D245" s="520" t="str">
        <f>IF(B245="","",IF(ISNA(VLOOKUP($B245,'E-1 Off Site Hedge Baseline'!$B$1:$L$258,4,FALSE)),"",(VLOOKUP($B245,'E-1 Off Site Hedge Baseline'!$B$1:$L$258,4,FALSE))))</f>
        <v/>
      </c>
      <c r="E245" s="520" t="str">
        <f>IF(B245="","",IF(ISNA(VLOOKUP($B245,'E-1 Off Site Hedge Baseline'!$B$1:$L$257,5,FALSE)),"",(VLOOKUP($B245,'E-1 Off Site Hedge Baseline'!$B$1:$L$257,5,FALSE))))</f>
        <v/>
      </c>
      <c r="F245" s="520" t="str">
        <f>IF(B245="","",IF(ISNA(VLOOKUP($B245,'E-1 Off Site Hedge Baseline'!$B$1:$L$257,6,FALSE)),"",(VLOOKUP($B245,'E-1 Off Site Hedge Baseline'!$B$1:$L$257,6,FALSE))))</f>
        <v/>
      </c>
      <c r="G245" s="520" t="str">
        <f>IF(B245="","",IF(ISNA(VLOOKUP($B245,'E-1 Off Site Hedge Baseline'!$B$1:$L$257,7,FALSE)),"",(VLOOKUP($B245,'E-1 Off Site Hedge Baseline'!$B$1:$L$257,7,FALSE))))</f>
        <v/>
      </c>
      <c r="H245" s="520" t="str">
        <f>IF(B245="","",IF(ISNA(VLOOKUP($B245,'E-1 Off Site Hedge Baseline'!$B$1:$L$257,8,FALSE)),"",(VLOOKUP($B245,'E-1 Off Site Hedge Baseline'!$B$1:$L$257,8,FALSE))))</f>
        <v/>
      </c>
      <c r="I245" s="520" t="str">
        <f>IF(B245="","",IF(ISNA(VLOOKUP($B245,'E-1 Off Site Hedge Baseline'!$B$1:$L$257,10,FALSE)),"",(VLOOKUP($B245,'E-1 Off Site Hedge Baseline'!$B$1:$L$257,10,FALSE))))</f>
        <v/>
      </c>
      <c r="J245" s="520" t="str">
        <f>IF(B245="","",IF(ISNA(VLOOKUP($B245,'E-1 Off Site Hedge Baseline'!$B$1:$L$257,11,FALSE)),"",(VLOOKUP($B245,'E-1 Off Site Hedge Baseline'!$B$1:$L$257,11,FALSE))))</f>
        <v/>
      </c>
      <c r="K245" s="520" t="str">
        <f>IF(B245="","",IF(ISNA(VLOOKUP($B245,'E-1 Off Site Hedge Baseline'!$B$1:$U$257,113,FALSE)),"",(VLOOKUP($B245,'E-1 Off Site Hedge Baseline'!$B$1:$U$257,13,FALSE))))</f>
        <v/>
      </c>
      <c r="L245" s="507" t="str">
        <f>IF(B245="","",IF(ISNA(VLOOKUP($B245,'E-1 Off Site Hedge Baseline'!$B$1:$U$257,12,FALSE)),"",(VLOOKUP($B245,'E-1 Off Site Hedge Baseline'!$B$1:$U$257,12,FALSE))))</f>
        <v/>
      </c>
      <c r="M245" s="418" t="str">
        <f t="shared" si="32"/>
        <v/>
      </c>
      <c r="N245" s="498" t="str">
        <f>IFERROR(IF(B245="","",INDEX('G-6 Hedgerow Data'!$AN$3:$AZ$15,MATCH(C245,'G-6 Hedgerow Data'!$AM$3:$AM$15,0),MATCH(M245,'G-6 Hedgerow Data'!$AN$2:$AZ$2,0))),"")</f>
        <v/>
      </c>
      <c r="O245" s="499" t="str">
        <f t="shared" si="26"/>
        <v/>
      </c>
      <c r="P245" s="505" t="str">
        <f>IF(B245="","",VLOOKUP(B245,'E-1 Off Site Hedge Baseline'!$B$10:T490,16,FALSE))</f>
        <v/>
      </c>
      <c r="Q245" s="498" t="str">
        <f>IF(M245="","",VLOOKUP(M245,'G-6 Hedgerow Data'!$B$2:$AG$15,2,FALSE))</f>
        <v/>
      </c>
      <c r="R245" s="499" t="str">
        <f>IF(M245="","",VLOOKUP(M245,'G-6 Hedgerow Data'!$B$2:$AG$15,3,FALSE))</f>
        <v/>
      </c>
      <c r="S245" s="145"/>
      <c r="T245" s="499" t="str">
        <f>IFERROR(IF(AND(Q245="V.Low",OR(S245="Good",S245="Moderate")),"Error ▲",VLOOKUP(S245,'G-1 All Habitats'!$Z$2:$AA$9,2,FALSE)),"")</f>
        <v/>
      </c>
      <c r="U245" s="145"/>
      <c r="V245" s="507" t="str">
        <f>IF(U245="","",IF(VLOOKUP(U245,'G-3 Multipliers'!$L$3:$N$6,2,FALSE)=0,"Spatial Data Missing ⚠",VLOOKUP(U245,'G-3 Multipliers'!$L$3:$N$6,2,FALSE)))</f>
        <v/>
      </c>
      <c r="W245" s="505" t="str">
        <f>IF(U245="","",IF(VLOOKUP(U245,'G-3 Multipliers'!$L$3:$N$6,3,FALSE)=0,"Spatial Data Missing ⚠",VLOOKUP(U245,'G-3 Multipliers'!$L$3:$N$6,3,FALSE)))</f>
        <v/>
      </c>
      <c r="X245" s="498"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7" t="str">
        <f t="shared" si="27"/>
        <v/>
      </c>
      <c r="AB245" s="521" t="str">
        <f t="shared" si="28"/>
        <v/>
      </c>
      <c r="AC245" s="522" t="str">
        <f t="shared" si="25"/>
        <v/>
      </c>
      <c r="AD245" s="537" t="str">
        <f>IF(M245="","",VLOOKUP(M245,'G-6 Hedgerow Data'!$B$3:$AG$15,31,FALSE))</f>
        <v/>
      </c>
      <c r="AE245" s="520" t="str">
        <f t="shared" si="29"/>
        <v/>
      </c>
      <c r="AF245" s="520" t="str">
        <f t="shared" si="30"/>
        <v/>
      </c>
      <c r="AG245" s="524" t="str">
        <f>IFERROR(IF(O245="","",VLOOKUP(AD245,'G-3 Multipliers'!$P$3:$Q$6,2,FALSE)),"")</f>
        <v/>
      </c>
      <c r="AH245" s="197"/>
      <c r="AI245" s="499" t="str">
        <f>IF(AH245="","",IF(VLOOKUP(AH245,'G-3 Multipliers'!$S$3:$T$6,2,FALSE)=0,"Spatial Data Missing ⚠",VLOOKUP(AH245,'G-3 Multipliers'!$S$3:$T$6,2,FALSE)))</f>
        <v/>
      </c>
      <c r="AJ245" s="545" t="str">
        <f t="shared" si="31"/>
        <v/>
      </c>
      <c r="AK245" s="149"/>
      <c r="AL245" s="150"/>
      <c r="AP245" s="31" t="str">
        <f>IFERROR(INDEX('G-6 Hedgerow Data'!$BJ$3:$BJ$15,MATCH(M245,'G-6 Hedgerow Data'!$B$3:$B$15,0)),"")</f>
        <v/>
      </c>
    </row>
    <row r="246" spans="2:42" ht="13.8" x14ac:dyDescent="0.25">
      <c r="B246" s="531" t="str">
        <f>'E-1 Off Site Hedge Baseline'!AK244</f>
        <v/>
      </c>
      <c r="C246" s="520" t="str">
        <f>IF(B246="","",IF(ISNA(VLOOKUP($B246,'E-1 Off Site Hedge Baseline'!$B$1:$L$257,3,FALSE)),"",(VLOOKUP($B246,'E-1 Off Site Hedge Baseline'!$B$1:$L$257,3,FALSE))))</f>
        <v/>
      </c>
      <c r="D246" s="520" t="str">
        <f>IF(B246="","",IF(ISNA(VLOOKUP($B246,'E-1 Off Site Hedge Baseline'!$B$1:$L$258,4,FALSE)),"",(VLOOKUP($B246,'E-1 Off Site Hedge Baseline'!$B$1:$L$258,4,FALSE))))</f>
        <v/>
      </c>
      <c r="E246" s="520" t="str">
        <f>IF(B246="","",IF(ISNA(VLOOKUP($B246,'E-1 Off Site Hedge Baseline'!$B$1:$L$257,5,FALSE)),"",(VLOOKUP($B246,'E-1 Off Site Hedge Baseline'!$B$1:$L$257,5,FALSE))))</f>
        <v/>
      </c>
      <c r="F246" s="520" t="str">
        <f>IF(B246="","",IF(ISNA(VLOOKUP($B246,'E-1 Off Site Hedge Baseline'!$B$1:$L$257,6,FALSE)),"",(VLOOKUP($B246,'E-1 Off Site Hedge Baseline'!$B$1:$L$257,6,FALSE))))</f>
        <v/>
      </c>
      <c r="G246" s="520" t="str">
        <f>IF(B246="","",IF(ISNA(VLOOKUP($B246,'E-1 Off Site Hedge Baseline'!$B$1:$L$257,7,FALSE)),"",(VLOOKUP($B246,'E-1 Off Site Hedge Baseline'!$B$1:$L$257,7,FALSE))))</f>
        <v/>
      </c>
      <c r="H246" s="520" t="str">
        <f>IF(B246="","",IF(ISNA(VLOOKUP($B246,'E-1 Off Site Hedge Baseline'!$B$1:$L$257,8,FALSE)),"",(VLOOKUP($B246,'E-1 Off Site Hedge Baseline'!$B$1:$L$257,8,FALSE))))</f>
        <v/>
      </c>
      <c r="I246" s="520" t="str">
        <f>IF(B246="","",IF(ISNA(VLOOKUP($B246,'E-1 Off Site Hedge Baseline'!$B$1:$L$257,10,FALSE)),"",(VLOOKUP($B246,'E-1 Off Site Hedge Baseline'!$B$1:$L$257,10,FALSE))))</f>
        <v/>
      </c>
      <c r="J246" s="520" t="str">
        <f>IF(B246="","",IF(ISNA(VLOOKUP($B246,'E-1 Off Site Hedge Baseline'!$B$1:$L$257,11,FALSE)),"",(VLOOKUP($B246,'E-1 Off Site Hedge Baseline'!$B$1:$L$257,11,FALSE))))</f>
        <v/>
      </c>
      <c r="K246" s="520" t="str">
        <f>IF(B246="","",IF(ISNA(VLOOKUP($B246,'E-1 Off Site Hedge Baseline'!$B$1:$U$257,113,FALSE)),"",(VLOOKUP($B246,'E-1 Off Site Hedge Baseline'!$B$1:$U$257,13,FALSE))))</f>
        <v/>
      </c>
      <c r="L246" s="507" t="str">
        <f>IF(B246="","",IF(ISNA(VLOOKUP($B246,'E-1 Off Site Hedge Baseline'!$B$1:$U$257,12,FALSE)),"",(VLOOKUP($B246,'E-1 Off Site Hedge Baseline'!$B$1:$U$257,12,FALSE))))</f>
        <v/>
      </c>
      <c r="M246" s="418" t="str">
        <f t="shared" si="32"/>
        <v/>
      </c>
      <c r="N246" s="498" t="str">
        <f>IFERROR(IF(B246="","",INDEX('G-6 Hedgerow Data'!$AN$3:$AZ$15,MATCH(C246,'G-6 Hedgerow Data'!$AM$3:$AM$15,0),MATCH(M246,'G-6 Hedgerow Data'!$AN$2:$AZ$2,0))),"")</f>
        <v/>
      </c>
      <c r="O246" s="499" t="str">
        <f t="shared" si="26"/>
        <v/>
      </c>
      <c r="P246" s="505" t="str">
        <f>IF(B246="","",VLOOKUP(B246,'E-1 Off Site Hedge Baseline'!$B$10:T491,16,FALSE))</f>
        <v/>
      </c>
      <c r="Q246" s="498" t="str">
        <f>IF(M246="","",VLOOKUP(M246,'G-6 Hedgerow Data'!$B$2:$AG$15,2,FALSE))</f>
        <v/>
      </c>
      <c r="R246" s="499" t="str">
        <f>IF(M246="","",VLOOKUP(M246,'G-6 Hedgerow Data'!$B$2:$AG$15,3,FALSE))</f>
        <v/>
      </c>
      <c r="S246" s="145"/>
      <c r="T246" s="499" t="str">
        <f>IFERROR(IF(AND(Q246="V.Low",OR(S246="Good",S246="Moderate")),"Error ▲",VLOOKUP(S246,'G-1 All Habitats'!$Z$2:$AA$9,2,FALSE)),"")</f>
        <v/>
      </c>
      <c r="U246" s="145"/>
      <c r="V246" s="507" t="str">
        <f>IF(U246="","",IF(VLOOKUP(U246,'G-3 Multipliers'!$L$3:$N$6,2,FALSE)=0,"Spatial Data Missing ⚠",VLOOKUP(U246,'G-3 Multipliers'!$L$3:$N$6,2,FALSE)))</f>
        <v/>
      </c>
      <c r="W246" s="505" t="str">
        <f>IF(U246="","",IF(VLOOKUP(U246,'G-3 Multipliers'!$L$3:$N$6,3,FALSE)=0,"Spatial Data Missing ⚠",VLOOKUP(U246,'G-3 Multipliers'!$L$3:$N$6,3,FALSE)))</f>
        <v/>
      </c>
      <c r="X246" s="498"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7" t="str">
        <f t="shared" si="27"/>
        <v/>
      </c>
      <c r="AB246" s="521" t="str">
        <f t="shared" si="28"/>
        <v/>
      </c>
      <c r="AC246" s="522" t="str">
        <f t="shared" si="25"/>
        <v/>
      </c>
      <c r="AD246" s="537" t="str">
        <f>IF(M246="","",VLOOKUP(M246,'G-6 Hedgerow Data'!$B$3:$AG$15,31,FALSE))</f>
        <v/>
      </c>
      <c r="AE246" s="520" t="str">
        <f t="shared" si="29"/>
        <v/>
      </c>
      <c r="AF246" s="520" t="str">
        <f t="shared" si="30"/>
        <v/>
      </c>
      <c r="AG246" s="524" t="str">
        <f>IFERROR(IF(O246="","",VLOOKUP(AD246,'G-3 Multipliers'!$P$3:$Q$6,2,FALSE)),"")</f>
        <v/>
      </c>
      <c r="AH246" s="197"/>
      <c r="AI246" s="499" t="str">
        <f>IF(AH246="","",IF(VLOOKUP(AH246,'G-3 Multipliers'!$S$3:$T$6,2,FALSE)=0,"Spatial Data Missing ⚠",VLOOKUP(AH246,'G-3 Multipliers'!$S$3:$T$6,2,FALSE)))</f>
        <v/>
      </c>
      <c r="AJ246" s="545" t="str">
        <f t="shared" si="31"/>
        <v/>
      </c>
      <c r="AK246" s="149"/>
      <c r="AL246" s="150"/>
      <c r="AP246" s="31" t="str">
        <f>IFERROR(INDEX('G-6 Hedgerow Data'!$BJ$3:$BJ$15,MATCH(M246,'G-6 Hedgerow Data'!$B$3:$B$15,0)),"")</f>
        <v/>
      </c>
    </row>
    <row r="247" spans="2:42" ht="13.8" x14ac:dyDescent="0.25">
      <c r="B247" s="531" t="str">
        <f>'E-1 Off Site Hedge Baseline'!AK245</f>
        <v/>
      </c>
      <c r="C247" s="520" t="str">
        <f>IF(B247="","",IF(ISNA(VLOOKUP($B247,'E-1 Off Site Hedge Baseline'!$B$1:$L$257,3,FALSE)),"",(VLOOKUP($B247,'E-1 Off Site Hedge Baseline'!$B$1:$L$257,3,FALSE))))</f>
        <v/>
      </c>
      <c r="D247" s="520" t="str">
        <f>IF(B247="","",IF(ISNA(VLOOKUP($B247,'E-1 Off Site Hedge Baseline'!$B$1:$L$258,4,FALSE)),"",(VLOOKUP($B247,'E-1 Off Site Hedge Baseline'!$B$1:$L$258,4,FALSE))))</f>
        <v/>
      </c>
      <c r="E247" s="520" t="str">
        <f>IF(B247="","",IF(ISNA(VLOOKUP($B247,'E-1 Off Site Hedge Baseline'!$B$1:$L$257,5,FALSE)),"",(VLOOKUP($B247,'E-1 Off Site Hedge Baseline'!$B$1:$L$257,5,FALSE))))</f>
        <v/>
      </c>
      <c r="F247" s="520" t="str">
        <f>IF(B247="","",IF(ISNA(VLOOKUP($B247,'E-1 Off Site Hedge Baseline'!$B$1:$L$257,6,FALSE)),"",(VLOOKUP($B247,'E-1 Off Site Hedge Baseline'!$B$1:$L$257,6,FALSE))))</f>
        <v/>
      </c>
      <c r="G247" s="520" t="str">
        <f>IF(B247="","",IF(ISNA(VLOOKUP($B247,'E-1 Off Site Hedge Baseline'!$B$1:$L$257,7,FALSE)),"",(VLOOKUP($B247,'E-1 Off Site Hedge Baseline'!$B$1:$L$257,7,FALSE))))</f>
        <v/>
      </c>
      <c r="H247" s="520" t="str">
        <f>IF(B247="","",IF(ISNA(VLOOKUP($B247,'E-1 Off Site Hedge Baseline'!$B$1:$L$257,8,FALSE)),"",(VLOOKUP($B247,'E-1 Off Site Hedge Baseline'!$B$1:$L$257,8,FALSE))))</f>
        <v/>
      </c>
      <c r="I247" s="520" t="str">
        <f>IF(B247="","",IF(ISNA(VLOOKUP($B247,'E-1 Off Site Hedge Baseline'!$B$1:$L$257,10,FALSE)),"",(VLOOKUP($B247,'E-1 Off Site Hedge Baseline'!$B$1:$L$257,10,FALSE))))</f>
        <v/>
      </c>
      <c r="J247" s="520" t="str">
        <f>IF(B247="","",IF(ISNA(VLOOKUP($B247,'E-1 Off Site Hedge Baseline'!$B$1:$L$257,11,FALSE)),"",(VLOOKUP($B247,'E-1 Off Site Hedge Baseline'!$B$1:$L$257,11,FALSE))))</f>
        <v/>
      </c>
      <c r="K247" s="520" t="str">
        <f>IF(B247="","",IF(ISNA(VLOOKUP($B247,'E-1 Off Site Hedge Baseline'!$B$1:$U$257,113,FALSE)),"",(VLOOKUP($B247,'E-1 Off Site Hedge Baseline'!$B$1:$U$257,13,FALSE))))</f>
        <v/>
      </c>
      <c r="L247" s="507" t="str">
        <f>IF(B247="","",IF(ISNA(VLOOKUP($B247,'E-1 Off Site Hedge Baseline'!$B$1:$U$257,12,FALSE)),"",(VLOOKUP($B247,'E-1 Off Site Hedge Baseline'!$B$1:$U$257,12,FALSE))))</f>
        <v/>
      </c>
      <c r="M247" s="418" t="str">
        <f t="shared" si="32"/>
        <v/>
      </c>
      <c r="N247" s="498" t="str">
        <f>IFERROR(IF(B247="","",INDEX('G-6 Hedgerow Data'!$AN$3:$AZ$15,MATCH(C247,'G-6 Hedgerow Data'!$AM$3:$AM$15,0),MATCH(M247,'G-6 Hedgerow Data'!$AN$2:$AZ$2,0))),"")</f>
        <v/>
      </c>
      <c r="O247" s="499" t="str">
        <f t="shared" si="26"/>
        <v/>
      </c>
      <c r="P247" s="505" t="str">
        <f>IF(B247="","",VLOOKUP(B247,'E-1 Off Site Hedge Baseline'!$B$10:T492,16,FALSE))</f>
        <v/>
      </c>
      <c r="Q247" s="498" t="str">
        <f>IF(M247="","",VLOOKUP(M247,'G-6 Hedgerow Data'!$B$2:$AG$15,2,FALSE))</f>
        <v/>
      </c>
      <c r="R247" s="499" t="str">
        <f>IF(M247="","",VLOOKUP(M247,'G-6 Hedgerow Data'!$B$2:$AG$15,3,FALSE))</f>
        <v/>
      </c>
      <c r="S247" s="145"/>
      <c r="T247" s="499" t="str">
        <f>IFERROR(IF(AND(Q247="V.Low",OR(S247="Good",S247="Moderate")),"Error ▲",VLOOKUP(S247,'G-1 All Habitats'!$Z$2:$AA$9,2,FALSE)),"")</f>
        <v/>
      </c>
      <c r="U247" s="145"/>
      <c r="V247" s="507" t="str">
        <f>IF(U247="","",IF(VLOOKUP(U247,'G-3 Multipliers'!$L$3:$N$6,2,FALSE)=0,"Spatial Data Missing ⚠",VLOOKUP(U247,'G-3 Multipliers'!$L$3:$N$6,2,FALSE)))</f>
        <v/>
      </c>
      <c r="W247" s="505" t="str">
        <f>IF(U247="","",IF(VLOOKUP(U247,'G-3 Multipliers'!$L$3:$N$6,3,FALSE)=0,"Spatial Data Missing ⚠",VLOOKUP(U247,'G-3 Multipliers'!$L$3:$N$6,3,FALSE)))</f>
        <v/>
      </c>
      <c r="X247" s="498"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7" t="str">
        <f t="shared" si="27"/>
        <v/>
      </c>
      <c r="AB247" s="521" t="str">
        <f t="shared" si="28"/>
        <v/>
      </c>
      <c r="AC247" s="522" t="str">
        <f t="shared" si="25"/>
        <v/>
      </c>
      <c r="AD247" s="537" t="str">
        <f>IF(M247="","",VLOOKUP(M247,'G-6 Hedgerow Data'!$B$3:$AG$15,31,FALSE))</f>
        <v/>
      </c>
      <c r="AE247" s="520" t="str">
        <f t="shared" si="29"/>
        <v/>
      </c>
      <c r="AF247" s="520" t="str">
        <f t="shared" si="30"/>
        <v/>
      </c>
      <c r="AG247" s="524" t="str">
        <f>IFERROR(IF(O247="","",VLOOKUP(AD247,'G-3 Multipliers'!$P$3:$Q$6,2,FALSE)),"")</f>
        <v/>
      </c>
      <c r="AH247" s="197"/>
      <c r="AI247" s="499" t="str">
        <f>IF(AH247="","",IF(VLOOKUP(AH247,'G-3 Multipliers'!$S$3:$T$6,2,FALSE)=0,"Spatial Data Missing ⚠",VLOOKUP(AH247,'G-3 Multipliers'!$S$3:$T$6,2,FALSE)))</f>
        <v/>
      </c>
      <c r="AJ247" s="545" t="str">
        <f t="shared" si="31"/>
        <v/>
      </c>
      <c r="AK247" s="149"/>
      <c r="AL247" s="150"/>
      <c r="AP247" s="31" t="str">
        <f>IFERROR(INDEX('G-6 Hedgerow Data'!$BJ$3:$BJ$15,MATCH(M247,'G-6 Hedgerow Data'!$B$3:$B$15,0)),"")</f>
        <v/>
      </c>
    </row>
    <row r="248" spans="2:42" ht="13.8" x14ac:dyDescent="0.25">
      <c r="B248" s="531" t="str">
        <f>'E-1 Off Site Hedge Baseline'!AK246</f>
        <v/>
      </c>
      <c r="C248" s="520" t="str">
        <f>IF(B248="","",IF(ISNA(VLOOKUP($B248,'E-1 Off Site Hedge Baseline'!$B$1:$L$257,3,FALSE)),"",(VLOOKUP($B248,'E-1 Off Site Hedge Baseline'!$B$1:$L$257,3,FALSE))))</f>
        <v/>
      </c>
      <c r="D248" s="520" t="str">
        <f>IF(B248="","",IF(ISNA(VLOOKUP($B248,'E-1 Off Site Hedge Baseline'!$B$1:$L$258,4,FALSE)),"",(VLOOKUP($B248,'E-1 Off Site Hedge Baseline'!$B$1:$L$258,4,FALSE))))</f>
        <v/>
      </c>
      <c r="E248" s="520" t="str">
        <f>IF(B248="","",IF(ISNA(VLOOKUP($B248,'E-1 Off Site Hedge Baseline'!$B$1:$L$257,5,FALSE)),"",(VLOOKUP($B248,'E-1 Off Site Hedge Baseline'!$B$1:$L$257,5,FALSE))))</f>
        <v/>
      </c>
      <c r="F248" s="520" t="str">
        <f>IF(B248="","",IF(ISNA(VLOOKUP($B248,'E-1 Off Site Hedge Baseline'!$B$1:$L$257,6,FALSE)),"",(VLOOKUP($B248,'E-1 Off Site Hedge Baseline'!$B$1:$L$257,6,FALSE))))</f>
        <v/>
      </c>
      <c r="G248" s="520" t="str">
        <f>IF(B248="","",IF(ISNA(VLOOKUP($B248,'E-1 Off Site Hedge Baseline'!$B$1:$L$257,7,FALSE)),"",(VLOOKUP($B248,'E-1 Off Site Hedge Baseline'!$B$1:$L$257,7,FALSE))))</f>
        <v/>
      </c>
      <c r="H248" s="520" t="str">
        <f>IF(B248="","",IF(ISNA(VLOOKUP($B248,'E-1 Off Site Hedge Baseline'!$B$1:$L$257,8,FALSE)),"",(VLOOKUP($B248,'E-1 Off Site Hedge Baseline'!$B$1:$L$257,8,FALSE))))</f>
        <v/>
      </c>
      <c r="I248" s="520" t="str">
        <f>IF(B248="","",IF(ISNA(VLOOKUP($B248,'E-1 Off Site Hedge Baseline'!$B$1:$L$257,10,FALSE)),"",(VLOOKUP($B248,'E-1 Off Site Hedge Baseline'!$B$1:$L$257,10,FALSE))))</f>
        <v/>
      </c>
      <c r="J248" s="520" t="str">
        <f>IF(B248="","",IF(ISNA(VLOOKUP($B248,'E-1 Off Site Hedge Baseline'!$B$1:$L$257,11,FALSE)),"",(VLOOKUP($B248,'E-1 Off Site Hedge Baseline'!$B$1:$L$257,11,FALSE))))</f>
        <v/>
      </c>
      <c r="K248" s="520" t="str">
        <f>IF(B248="","",IF(ISNA(VLOOKUP($B248,'E-1 Off Site Hedge Baseline'!$B$1:$U$257,113,FALSE)),"",(VLOOKUP($B248,'E-1 Off Site Hedge Baseline'!$B$1:$U$257,13,FALSE))))</f>
        <v/>
      </c>
      <c r="L248" s="507" t="str">
        <f>IF(B248="","",IF(ISNA(VLOOKUP($B248,'E-1 Off Site Hedge Baseline'!$B$1:$U$257,12,FALSE)),"",(VLOOKUP($B248,'E-1 Off Site Hedge Baseline'!$B$1:$U$257,12,FALSE))))</f>
        <v/>
      </c>
      <c r="M248" s="418" t="str">
        <f t="shared" si="32"/>
        <v/>
      </c>
      <c r="N248" s="498" t="str">
        <f>IFERROR(IF(B248="","",INDEX('G-6 Hedgerow Data'!$AN$3:$AZ$15,MATCH(C248,'G-6 Hedgerow Data'!$AM$3:$AM$15,0),MATCH(M248,'G-6 Hedgerow Data'!$AN$2:$AZ$2,0))),"")</f>
        <v/>
      </c>
      <c r="O248" s="499" t="str">
        <f t="shared" si="26"/>
        <v/>
      </c>
      <c r="P248" s="505" t="str">
        <f>IF(B248="","",VLOOKUP(B248,'E-1 Off Site Hedge Baseline'!$B$10:T493,16,FALSE))</f>
        <v/>
      </c>
      <c r="Q248" s="498" t="str">
        <f>IF(M248="","",VLOOKUP(M248,'G-6 Hedgerow Data'!$B$2:$AG$15,2,FALSE))</f>
        <v/>
      </c>
      <c r="R248" s="499" t="str">
        <f>IF(M248="","",VLOOKUP(M248,'G-6 Hedgerow Data'!$B$2:$AG$15,3,FALSE))</f>
        <v/>
      </c>
      <c r="S248" s="145"/>
      <c r="T248" s="499" t="str">
        <f>IFERROR(IF(AND(Q248="V.Low",OR(S248="Good",S248="Moderate")),"Error ▲",VLOOKUP(S248,'G-1 All Habitats'!$Z$2:$AA$9,2,FALSE)),"")</f>
        <v/>
      </c>
      <c r="U248" s="145"/>
      <c r="V248" s="507" t="str">
        <f>IF(U248="","",IF(VLOOKUP(U248,'G-3 Multipliers'!$L$3:$N$6,2,FALSE)=0,"Spatial Data Missing ⚠",VLOOKUP(U248,'G-3 Multipliers'!$L$3:$N$6,2,FALSE)))</f>
        <v/>
      </c>
      <c r="W248" s="505" t="str">
        <f>IF(U248="","",IF(VLOOKUP(U248,'G-3 Multipliers'!$L$3:$N$6,3,FALSE)=0,"Spatial Data Missing ⚠",VLOOKUP(U248,'G-3 Multipliers'!$L$3:$N$6,3,FALSE)))</f>
        <v/>
      </c>
      <c r="X248" s="498"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7" t="str">
        <f t="shared" si="27"/>
        <v/>
      </c>
      <c r="AB248" s="521" t="str">
        <f t="shared" si="28"/>
        <v/>
      </c>
      <c r="AC248" s="522" t="str">
        <f t="shared" si="25"/>
        <v/>
      </c>
      <c r="AD248" s="537" t="str">
        <f>IF(M248="","",VLOOKUP(M248,'G-6 Hedgerow Data'!$B$3:$AG$15,31,FALSE))</f>
        <v/>
      </c>
      <c r="AE248" s="520" t="str">
        <f t="shared" si="29"/>
        <v/>
      </c>
      <c r="AF248" s="520" t="str">
        <f t="shared" si="30"/>
        <v/>
      </c>
      <c r="AG248" s="524" t="str">
        <f>IFERROR(IF(O248="","",VLOOKUP(AD248,'G-3 Multipliers'!$P$3:$Q$6,2,FALSE)),"")</f>
        <v/>
      </c>
      <c r="AH248" s="197"/>
      <c r="AI248" s="499" t="str">
        <f>IF(AH248="","",IF(VLOOKUP(AH248,'G-3 Multipliers'!$S$3:$T$6,2,FALSE)=0,"Spatial Data Missing ⚠",VLOOKUP(AH248,'G-3 Multipliers'!$S$3:$T$6,2,FALSE)))</f>
        <v/>
      </c>
      <c r="AJ248" s="545" t="str">
        <f t="shared" si="31"/>
        <v/>
      </c>
      <c r="AK248" s="149"/>
      <c r="AL248" s="150"/>
      <c r="AP248" s="31" t="str">
        <f>IFERROR(INDEX('G-6 Hedgerow Data'!$BJ$3:$BJ$15,MATCH(M248,'G-6 Hedgerow Data'!$B$3:$B$15,0)),"")</f>
        <v/>
      </c>
    </row>
    <row r="249" spans="2:42" ht="13.8" x14ac:dyDescent="0.25">
      <c r="B249" s="531" t="str">
        <f>'E-1 Off Site Hedge Baseline'!AK247</f>
        <v/>
      </c>
      <c r="C249" s="520" t="str">
        <f>IF(B249="","",IF(ISNA(VLOOKUP($B249,'E-1 Off Site Hedge Baseline'!$B$1:$L$257,3,FALSE)),"",(VLOOKUP($B249,'E-1 Off Site Hedge Baseline'!$B$1:$L$257,3,FALSE))))</f>
        <v/>
      </c>
      <c r="D249" s="520" t="str">
        <f>IF(B249="","",IF(ISNA(VLOOKUP($B249,'E-1 Off Site Hedge Baseline'!$B$1:$L$258,4,FALSE)),"",(VLOOKUP($B249,'E-1 Off Site Hedge Baseline'!$B$1:$L$258,4,FALSE))))</f>
        <v/>
      </c>
      <c r="E249" s="520" t="str">
        <f>IF(B249="","",IF(ISNA(VLOOKUP($B249,'E-1 Off Site Hedge Baseline'!$B$1:$L$257,5,FALSE)),"",(VLOOKUP($B249,'E-1 Off Site Hedge Baseline'!$B$1:$L$257,5,FALSE))))</f>
        <v/>
      </c>
      <c r="F249" s="520" t="str">
        <f>IF(B249="","",IF(ISNA(VLOOKUP($B249,'E-1 Off Site Hedge Baseline'!$B$1:$L$257,6,FALSE)),"",(VLOOKUP($B249,'E-1 Off Site Hedge Baseline'!$B$1:$L$257,6,FALSE))))</f>
        <v/>
      </c>
      <c r="G249" s="520" t="str">
        <f>IF(B249="","",IF(ISNA(VLOOKUP($B249,'E-1 Off Site Hedge Baseline'!$B$1:$L$257,7,FALSE)),"",(VLOOKUP($B249,'E-1 Off Site Hedge Baseline'!$B$1:$L$257,7,FALSE))))</f>
        <v/>
      </c>
      <c r="H249" s="520" t="str">
        <f>IF(B249="","",IF(ISNA(VLOOKUP($B249,'E-1 Off Site Hedge Baseline'!$B$1:$L$257,8,FALSE)),"",(VLOOKUP($B249,'E-1 Off Site Hedge Baseline'!$B$1:$L$257,8,FALSE))))</f>
        <v/>
      </c>
      <c r="I249" s="520" t="str">
        <f>IF(B249="","",IF(ISNA(VLOOKUP($B249,'E-1 Off Site Hedge Baseline'!$B$1:$L$257,10,FALSE)),"",(VLOOKUP($B249,'E-1 Off Site Hedge Baseline'!$B$1:$L$257,10,FALSE))))</f>
        <v/>
      </c>
      <c r="J249" s="520" t="str">
        <f>IF(B249="","",IF(ISNA(VLOOKUP($B249,'E-1 Off Site Hedge Baseline'!$B$1:$L$257,11,FALSE)),"",(VLOOKUP($B249,'E-1 Off Site Hedge Baseline'!$B$1:$L$257,11,FALSE))))</f>
        <v/>
      </c>
      <c r="K249" s="520" t="str">
        <f>IF(B249="","",IF(ISNA(VLOOKUP($B249,'E-1 Off Site Hedge Baseline'!$B$1:$U$257,113,FALSE)),"",(VLOOKUP($B249,'E-1 Off Site Hedge Baseline'!$B$1:$U$257,13,FALSE))))</f>
        <v/>
      </c>
      <c r="L249" s="507" t="str">
        <f>IF(B249="","",IF(ISNA(VLOOKUP($B249,'E-1 Off Site Hedge Baseline'!$B$1:$U$257,12,FALSE)),"",(VLOOKUP($B249,'E-1 Off Site Hedge Baseline'!$B$1:$U$257,12,FALSE))))</f>
        <v/>
      </c>
      <c r="M249" s="418" t="str">
        <f t="shared" si="32"/>
        <v/>
      </c>
      <c r="N249" s="498" t="str">
        <f>IFERROR(IF(B249="","",INDEX('G-6 Hedgerow Data'!$AN$3:$AZ$15,MATCH(C249,'G-6 Hedgerow Data'!$AM$3:$AM$15,0),MATCH(M249,'G-6 Hedgerow Data'!$AN$2:$AZ$2,0))),"")</f>
        <v/>
      </c>
      <c r="O249" s="499" t="str">
        <f t="shared" si="26"/>
        <v/>
      </c>
      <c r="P249" s="505" t="str">
        <f>IF(B249="","",VLOOKUP(B249,'E-1 Off Site Hedge Baseline'!$B$10:T494,16,FALSE))</f>
        <v/>
      </c>
      <c r="Q249" s="498" t="str">
        <f>IF(M249="","",VLOOKUP(M249,'G-6 Hedgerow Data'!$B$2:$AG$15,2,FALSE))</f>
        <v/>
      </c>
      <c r="R249" s="499" t="str">
        <f>IF(M249="","",VLOOKUP(M249,'G-6 Hedgerow Data'!$B$2:$AG$15,3,FALSE))</f>
        <v/>
      </c>
      <c r="S249" s="145"/>
      <c r="T249" s="499" t="str">
        <f>IFERROR(IF(AND(Q249="V.Low",OR(S249="Good",S249="Moderate")),"Error ▲",VLOOKUP(S249,'G-1 All Habitats'!$Z$2:$AA$9,2,FALSE)),"")</f>
        <v/>
      </c>
      <c r="U249" s="145"/>
      <c r="V249" s="507" t="str">
        <f>IF(U249="","",IF(VLOOKUP(U249,'G-3 Multipliers'!$L$3:$N$6,2,FALSE)=0,"Spatial Data Missing ⚠",VLOOKUP(U249,'G-3 Multipliers'!$L$3:$N$6,2,FALSE)))</f>
        <v/>
      </c>
      <c r="W249" s="505" t="str">
        <f>IF(U249="","",IF(VLOOKUP(U249,'G-3 Multipliers'!$L$3:$N$6,3,FALSE)=0,"Spatial Data Missing ⚠",VLOOKUP(U249,'G-3 Multipliers'!$L$3:$N$6,3,FALSE)))</f>
        <v/>
      </c>
      <c r="X249" s="498"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7" t="str">
        <f t="shared" si="27"/>
        <v/>
      </c>
      <c r="AB249" s="521" t="str">
        <f t="shared" si="28"/>
        <v/>
      </c>
      <c r="AC249" s="522" t="str">
        <f t="shared" si="25"/>
        <v/>
      </c>
      <c r="AD249" s="537" t="str">
        <f>IF(M249="","",VLOOKUP(M249,'G-6 Hedgerow Data'!$B$3:$AG$15,31,FALSE))</f>
        <v/>
      </c>
      <c r="AE249" s="520" t="str">
        <f t="shared" si="29"/>
        <v/>
      </c>
      <c r="AF249" s="520" t="str">
        <f t="shared" si="30"/>
        <v/>
      </c>
      <c r="AG249" s="524" t="str">
        <f>IFERROR(IF(O249="","",VLOOKUP(AD249,'G-3 Multipliers'!$P$3:$Q$6,2,FALSE)),"")</f>
        <v/>
      </c>
      <c r="AH249" s="197"/>
      <c r="AI249" s="499" t="str">
        <f>IF(AH249="","",IF(VLOOKUP(AH249,'G-3 Multipliers'!$S$3:$T$6,2,FALSE)=0,"Spatial Data Missing ⚠",VLOOKUP(AH249,'G-3 Multipliers'!$S$3:$T$6,2,FALSE)))</f>
        <v/>
      </c>
      <c r="AJ249" s="545" t="str">
        <f t="shared" si="31"/>
        <v/>
      </c>
      <c r="AK249" s="149"/>
      <c r="AL249" s="150"/>
      <c r="AP249" s="31" t="str">
        <f>IFERROR(INDEX('G-6 Hedgerow Data'!$BJ$3:$BJ$15,MATCH(M249,'G-6 Hedgerow Data'!$B$3:$B$15,0)),"")</f>
        <v/>
      </c>
    </row>
    <row r="250" spans="2:42" ht="13.8" x14ac:dyDescent="0.25">
      <c r="B250" s="531" t="str">
        <f>'E-1 Off Site Hedge Baseline'!AK248</f>
        <v/>
      </c>
      <c r="C250" s="520" t="str">
        <f>IF(B250="","",IF(ISNA(VLOOKUP($B250,'E-1 Off Site Hedge Baseline'!$B$1:$L$257,3,FALSE)),"",(VLOOKUP($B250,'E-1 Off Site Hedge Baseline'!$B$1:$L$257,3,FALSE))))</f>
        <v/>
      </c>
      <c r="D250" s="520" t="str">
        <f>IF(B250="","",IF(ISNA(VLOOKUP($B250,'E-1 Off Site Hedge Baseline'!$B$1:$L$258,4,FALSE)),"",(VLOOKUP($B250,'E-1 Off Site Hedge Baseline'!$B$1:$L$258,4,FALSE))))</f>
        <v/>
      </c>
      <c r="E250" s="520" t="str">
        <f>IF(B250="","",IF(ISNA(VLOOKUP($B250,'E-1 Off Site Hedge Baseline'!$B$1:$L$257,5,FALSE)),"",(VLOOKUP($B250,'E-1 Off Site Hedge Baseline'!$B$1:$L$257,5,FALSE))))</f>
        <v/>
      </c>
      <c r="F250" s="520" t="str">
        <f>IF(B250="","",IF(ISNA(VLOOKUP($B250,'E-1 Off Site Hedge Baseline'!$B$1:$L$257,6,FALSE)),"",(VLOOKUP($B250,'E-1 Off Site Hedge Baseline'!$B$1:$L$257,6,FALSE))))</f>
        <v/>
      </c>
      <c r="G250" s="520" t="str">
        <f>IF(B250="","",IF(ISNA(VLOOKUP($B250,'E-1 Off Site Hedge Baseline'!$B$1:$L$257,7,FALSE)),"",(VLOOKUP($B250,'E-1 Off Site Hedge Baseline'!$B$1:$L$257,7,FALSE))))</f>
        <v/>
      </c>
      <c r="H250" s="520" t="str">
        <f>IF(B250="","",IF(ISNA(VLOOKUP($B250,'E-1 Off Site Hedge Baseline'!$B$1:$L$257,8,FALSE)),"",(VLOOKUP($B250,'E-1 Off Site Hedge Baseline'!$B$1:$L$257,8,FALSE))))</f>
        <v/>
      </c>
      <c r="I250" s="520" t="str">
        <f>IF(B250="","",IF(ISNA(VLOOKUP($B250,'E-1 Off Site Hedge Baseline'!$B$1:$L$257,10,FALSE)),"",(VLOOKUP($B250,'E-1 Off Site Hedge Baseline'!$B$1:$L$257,10,FALSE))))</f>
        <v/>
      </c>
      <c r="J250" s="520" t="str">
        <f>IF(B250="","",IF(ISNA(VLOOKUP($B250,'E-1 Off Site Hedge Baseline'!$B$1:$L$257,11,FALSE)),"",(VLOOKUP($B250,'E-1 Off Site Hedge Baseline'!$B$1:$L$257,11,FALSE))))</f>
        <v/>
      </c>
      <c r="K250" s="520" t="str">
        <f>IF(B250="","",IF(ISNA(VLOOKUP($B250,'E-1 Off Site Hedge Baseline'!$B$1:$U$257,113,FALSE)),"",(VLOOKUP($B250,'E-1 Off Site Hedge Baseline'!$B$1:$U$257,13,FALSE))))</f>
        <v/>
      </c>
      <c r="L250" s="507" t="str">
        <f>IF(B250="","",IF(ISNA(VLOOKUP($B250,'E-1 Off Site Hedge Baseline'!$B$1:$U$257,12,FALSE)),"",(VLOOKUP($B250,'E-1 Off Site Hedge Baseline'!$B$1:$U$257,12,FALSE))))</f>
        <v/>
      </c>
      <c r="M250" s="418" t="str">
        <f t="shared" si="32"/>
        <v/>
      </c>
      <c r="N250" s="498" t="str">
        <f>IFERROR(IF(B250="","",INDEX('G-6 Hedgerow Data'!$AN$3:$AZ$15,MATCH(C250,'G-6 Hedgerow Data'!$AM$3:$AM$15,0),MATCH(M250,'G-6 Hedgerow Data'!$AN$2:$AZ$2,0))),"")</f>
        <v/>
      </c>
      <c r="O250" s="499" t="str">
        <f t="shared" si="26"/>
        <v/>
      </c>
      <c r="P250" s="505" t="str">
        <f>IF(B250="","",VLOOKUP(B250,'E-1 Off Site Hedge Baseline'!$B$10:T495,16,FALSE))</f>
        <v/>
      </c>
      <c r="Q250" s="498" t="str">
        <f>IF(M250="","",VLOOKUP(M250,'G-6 Hedgerow Data'!$B$2:$AG$15,2,FALSE))</f>
        <v/>
      </c>
      <c r="R250" s="499" t="str">
        <f>IF(M250="","",VLOOKUP(M250,'G-6 Hedgerow Data'!$B$2:$AG$15,3,FALSE))</f>
        <v/>
      </c>
      <c r="S250" s="145"/>
      <c r="T250" s="499" t="str">
        <f>IFERROR(IF(AND(Q250="V.Low",OR(S250="Good",S250="Moderate")),"Error ▲",VLOOKUP(S250,'G-1 All Habitats'!$Z$2:$AA$9,2,FALSE)),"")</f>
        <v/>
      </c>
      <c r="U250" s="145"/>
      <c r="V250" s="507" t="str">
        <f>IF(U250="","",IF(VLOOKUP(U250,'G-3 Multipliers'!$L$3:$N$6,2,FALSE)=0,"Spatial Data Missing ⚠",VLOOKUP(U250,'G-3 Multipliers'!$L$3:$N$6,2,FALSE)))</f>
        <v/>
      </c>
      <c r="W250" s="505" t="str">
        <f>IF(U250="","",IF(VLOOKUP(U250,'G-3 Multipliers'!$L$3:$N$6,3,FALSE)=0,"Spatial Data Missing ⚠",VLOOKUP(U250,'G-3 Multipliers'!$L$3:$N$6,3,FALSE)))</f>
        <v/>
      </c>
      <c r="X250" s="498"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7" t="str">
        <f t="shared" si="27"/>
        <v/>
      </c>
      <c r="AB250" s="521" t="str">
        <f t="shared" si="28"/>
        <v/>
      </c>
      <c r="AC250" s="522" t="str">
        <f t="shared" si="25"/>
        <v/>
      </c>
      <c r="AD250" s="537" t="str">
        <f>IF(M250="","",VLOOKUP(M250,'G-6 Hedgerow Data'!$B$3:$AG$15,31,FALSE))</f>
        <v/>
      </c>
      <c r="AE250" s="520" t="str">
        <f t="shared" si="29"/>
        <v/>
      </c>
      <c r="AF250" s="520" t="str">
        <f t="shared" si="30"/>
        <v/>
      </c>
      <c r="AG250" s="524" t="str">
        <f>IFERROR(IF(O250="","",VLOOKUP(AD250,'G-3 Multipliers'!$P$3:$Q$6,2,FALSE)),"")</f>
        <v/>
      </c>
      <c r="AH250" s="197"/>
      <c r="AI250" s="499" t="str">
        <f>IF(AH250="","",IF(VLOOKUP(AH250,'G-3 Multipliers'!$S$3:$T$6,2,FALSE)=0,"Spatial Data Missing ⚠",VLOOKUP(AH250,'G-3 Multipliers'!$S$3:$T$6,2,FALSE)))</f>
        <v/>
      </c>
      <c r="AJ250" s="545" t="str">
        <f t="shared" si="31"/>
        <v/>
      </c>
      <c r="AK250" s="149"/>
      <c r="AL250" s="150"/>
      <c r="AP250" s="31" t="str">
        <f>IFERROR(INDEX('G-6 Hedgerow Data'!$BJ$3:$BJ$15,MATCH(M250,'G-6 Hedgerow Data'!$B$3:$B$15,0)),"")</f>
        <v/>
      </c>
    </row>
    <row r="251" spans="2:42" ht="13.8" x14ac:dyDescent="0.25">
      <c r="B251" s="531" t="str">
        <f>'E-1 Off Site Hedge Baseline'!AK249</f>
        <v/>
      </c>
      <c r="C251" s="520" t="str">
        <f>IF(B251="","",IF(ISNA(VLOOKUP($B251,'E-1 Off Site Hedge Baseline'!$B$1:$L$257,3,FALSE)),"",(VLOOKUP($B251,'E-1 Off Site Hedge Baseline'!$B$1:$L$257,3,FALSE))))</f>
        <v/>
      </c>
      <c r="D251" s="520" t="str">
        <f>IF(B251="","",IF(ISNA(VLOOKUP($B251,'E-1 Off Site Hedge Baseline'!$B$1:$L$258,4,FALSE)),"",(VLOOKUP($B251,'E-1 Off Site Hedge Baseline'!$B$1:$L$258,4,FALSE))))</f>
        <v/>
      </c>
      <c r="E251" s="520" t="str">
        <f>IF(B251="","",IF(ISNA(VLOOKUP($B251,'E-1 Off Site Hedge Baseline'!$B$1:$L$257,5,FALSE)),"",(VLOOKUP($B251,'E-1 Off Site Hedge Baseline'!$B$1:$L$257,5,FALSE))))</f>
        <v/>
      </c>
      <c r="F251" s="520" t="str">
        <f>IF(B251="","",IF(ISNA(VLOOKUP($B251,'E-1 Off Site Hedge Baseline'!$B$1:$L$257,6,FALSE)),"",(VLOOKUP($B251,'E-1 Off Site Hedge Baseline'!$B$1:$L$257,6,FALSE))))</f>
        <v/>
      </c>
      <c r="G251" s="520" t="str">
        <f>IF(B251="","",IF(ISNA(VLOOKUP($B251,'E-1 Off Site Hedge Baseline'!$B$1:$L$257,7,FALSE)),"",(VLOOKUP($B251,'E-1 Off Site Hedge Baseline'!$B$1:$L$257,7,FALSE))))</f>
        <v/>
      </c>
      <c r="H251" s="520" t="str">
        <f>IF(B251="","",IF(ISNA(VLOOKUP($B251,'E-1 Off Site Hedge Baseline'!$B$1:$L$257,8,FALSE)),"",(VLOOKUP($B251,'E-1 Off Site Hedge Baseline'!$B$1:$L$257,8,FALSE))))</f>
        <v/>
      </c>
      <c r="I251" s="520" t="str">
        <f>IF(B251="","",IF(ISNA(VLOOKUP($B251,'E-1 Off Site Hedge Baseline'!$B$1:$L$257,10,FALSE)),"",(VLOOKUP($B251,'E-1 Off Site Hedge Baseline'!$B$1:$L$257,10,FALSE))))</f>
        <v/>
      </c>
      <c r="J251" s="520" t="str">
        <f>IF(B251="","",IF(ISNA(VLOOKUP($B251,'E-1 Off Site Hedge Baseline'!$B$1:$L$257,11,FALSE)),"",(VLOOKUP($B251,'E-1 Off Site Hedge Baseline'!$B$1:$L$257,11,FALSE))))</f>
        <v/>
      </c>
      <c r="K251" s="520" t="str">
        <f>IF(B251="","",IF(ISNA(VLOOKUP($B251,'E-1 Off Site Hedge Baseline'!$B$1:$U$257,113,FALSE)),"",(VLOOKUP($B251,'E-1 Off Site Hedge Baseline'!$B$1:$U$257,13,FALSE))))</f>
        <v/>
      </c>
      <c r="L251" s="507" t="str">
        <f>IF(B251="","",IF(ISNA(VLOOKUP($B251,'E-1 Off Site Hedge Baseline'!$B$1:$U$257,12,FALSE)),"",(VLOOKUP($B251,'E-1 Off Site Hedge Baseline'!$B$1:$U$257,12,FALSE))))</f>
        <v/>
      </c>
      <c r="M251" s="418" t="str">
        <f t="shared" si="32"/>
        <v/>
      </c>
      <c r="N251" s="498" t="str">
        <f>IFERROR(IF(B251="","",INDEX('G-6 Hedgerow Data'!$AN$3:$AZ$15,MATCH(C251,'G-6 Hedgerow Data'!$AM$3:$AM$15,0),MATCH(M251,'G-6 Hedgerow Data'!$AN$2:$AZ$2,0))),"")</f>
        <v/>
      </c>
      <c r="O251" s="499" t="str">
        <f t="shared" si="26"/>
        <v/>
      </c>
      <c r="P251" s="505" t="str">
        <f>IF(B251="","",VLOOKUP(B251,'E-1 Off Site Hedge Baseline'!$B$10:T496,16,FALSE))</f>
        <v/>
      </c>
      <c r="Q251" s="498" t="str">
        <f>IF(M251="","",VLOOKUP(M251,'G-6 Hedgerow Data'!$B$2:$AG$15,2,FALSE))</f>
        <v/>
      </c>
      <c r="R251" s="499" t="str">
        <f>IF(M251="","",VLOOKUP(M251,'G-6 Hedgerow Data'!$B$2:$AG$15,3,FALSE))</f>
        <v/>
      </c>
      <c r="S251" s="145"/>
      <c r="T251" s="499" t="str">
        <f>IFERROR(IF(AND(Q251="V.Low",OR(S251="Good",S251="Moderate")),"Error ▲",VLOOKUP(S251,'G-1 All Habitats'!$Z$2:$AA$9,2,FALSE)),"")</f>
        <v/>
      </c>
      <c r="U251" s="145"/>
      <c r="V251" s="507" t="str">
        <f>IF(U251="","",IF(VLOOKUP(U251,'G-3 Multipliers'!$L$3:$N$6,2,FALSE)=0,"Spatial Data Missing ⚠",VLOOKUP(U251,'G-3 Multipliers'!$L$3:$N$6,2,FALSE)))</f>
        <v/>
      </c>
      <c r="W251" s="505" t="str">
        <f>IF(U251="","",IF(VLOOKUP(U251,'G-3 Multipliers'!$L$3:$N$6,3,FALSE)=0,"Spatial Data Missing ⚠",VLOOKUP(U251,'G-3 Multipliers'!$L$3:$N$6,3,FALSE)))</f>
        <v/>
      </c>
      <c r="X251" s="498"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7" t="str">
        <f t="shared" si="27"/>
        <v/>
      </c>
      <c r="AB251" s="521" t="str">
        <f t="shared" si="28"/>
        <v/>
      </c>
      <c r="AC251" s="522" t="str">
        <f t="shared" si="25"/>
        <v/>
      </c>
      <c r="AD251" s="537" t="str">
        <f>IF(M251="","",VLOOKUP(M251,'G-6 Hedgerow Data'!$B$3:$AG$15,31,FALSE))</f>
        <v/>
      </c>
      <c r="AE251" s="520" t="str">
        <f t="shared" si="29"/>
        <v/>
      </c>
      <c r="AF251" s="520" t="str">
        <f t="shared" si="30"/>
        <v/>
      </c>
      <c r="AG251" s="524" t="str">
        <f>IFERROR(IF(O251="","",VLOOKUP(AD251,'G-3 Multipliers'!$P$3:$Q$6,2,FALSE)),"")</f>
        <v/>
      </c>
      <c r="AH251" s="197"/>
      <c r="AI251" s="499" t="str">
        <f>IF(AH251="","",IF(VLOOKUP(AH251,'G-3 Multipliers'!$S$3:$T$6,2,FALSE)=0,"Spatial Data Missing ⚠",VLOOKUP(AH251,'G-3 Multipliers'!$S$3:$T$6,2,FALSE)))</f>
        <v/>
      </c>
      <c r="AJ251" s="545" t="str">
        <f t="shared" si="31"/>
        <v/>
      </c>
      <c r="AK251" s="149"/>
      <c r="AL251" s="150"/>
      <c r="AP251" s="31" t="str">
        <f>IFERROR(INDEX('G-6 Hedgerow Data'!$BJ$3:$BJ$15,MATCH(M251,'G-6 Hedgerow Data'!$B$3:$B$15,0)),"")</f>
        <v/>
      </c>
    </row>
    <row r="252" spans="2:42" ht="13.8" x14ac:dyDescent="0.25">
      <c r="B252" s="531" t="str">
        <f>'E-1 Off Site Hedge Baseline'!AK250</f>
        <v/>
      </c>
      <c r="C252" s="520" t="str">
        <f>IF(B252="","",IF(ISNA(VLOOKUP($B252,'E-1 Off Site Hedge Baseline'!$B$1:$L$257,3,FALSE)),"",(VLOOKUP($B252,'E-1 Off Site Hedge Baseline'!$B$1:$L$257,3,FALSE))))</f>
        <v/>
      </c>
      <c r="D252" s="520" t="str">
        <f>IF(B252="","",IF(ISNA(VLOOKUP($B252,'E-1 Off Site Hedge Baseline'!$B$1:$L$258,4,FALSE)),"",(VLOOKUP($B252,'E-1 Off Site Hedge Baseline'!$B$1:$L$258,4,FALSE))))</f>
        <v/>
      </c>
      <c r="E252" s="520" t="str">
        <f>IF(B252="","",IF(ISNA(VLOOKUP($B252,'E-1 Off Site Hedge Baseline'!$B$1:$L$257,5,FALSE)),"",(VLOOKUP($B252,'E-1 Off Site Hedge Baseline'!$B$1:$L$257,5,FALSE))))</f>
        <v/>
      </c>
      <c r="F252" s="520" t="str">
        <f>IF(B252="","",IF(ISNA(VLOOKUP($B252,'E-1 Off Site Hedge Baseline'!$B$1:$L$257,6,FALSE)),"",(VLOOKUP($B252,'E-1 Off Site Hedge Baseline'!$B$1:$L$257,6,FALSE))))</f>
        <v/>
      </c>
      <c r="G252" s="520" t="str">
        <f>IF(B252="","",IF(ISNA(VLOOKUP($B252,'E-1 Off Site Hedge Baseline'!$B$1:$L$257,7,FALSE)),"",(VLOOKUP($B252,'E-1 Off Site Hedge Baseline'!$B$1:$L$257,7,FALSE))))</f>
        <v/>
      </c>
      <c r="H252" s="520" t="str">
        <f>IF(B252="","",IF(ISNA(VLOOKUP($B252,'E-1 Off Site Hedge Baseline'!$B$1:$L$257,8,FALSE)),"",(VLOOKUP($B252,'E-1 Off Site Hedge Baseline'!$B$1:$L$257,8,FALSE))))</f>
        <v/>
      </c>
      <c r="I252" s="520" t="str">
        <f>IF(B252="","",IF(ISNA(VLOOKUP($B252,'E-1 Off Site Hedge Baseline'!$B$1:$L$257,10,FALSE)),"",(VLOOKUP($B252,'E-1 Off Site Hedge Baseline'!$B$1:$L$257,10,FALSE))))</f>
        <v/>
      </c>
      <c r="J252" s="520" t="str">
        <f>IF(B252="","",IF(ISNA(VLOOKUP($B252,'E-1 Off Site Hedge Baseline'!$B$1:$L$257,11,FALSE)),"",(VLOOKUP($B252,'E-1 Off Site Hedge Baseline'!$B$1:$L$257,11,FALSE))))</f>
        <v/>
      </c>
      <c r="K252" s="520" t="str">
        <f>IF(B252="","",IF(ISNA(VLOOKUP($B252,'E-1 Off Site Hedge Baseline'!$B$1:$U$257,113,FALSE)),"",(VLOOKUP($B252,'E-1 Off Site Hedge Baseline'!$B$1:$U$257,13,FALSE))))</f>
        <v/>
      </c>
      <c r="L252" s="507" t="str">
        <f>IF(B252="","",IF(ISNA(VLOOKUP($B252,'E-1 Off Site Hedge Baseline'!$B$1:$U$257,12,FALSE)),"",(VLOOKUP($B252,'E-1 Off Site Hedge Baseline'!$B$1:$U$257,12,FALSE))))</f>
        <v/>
      </c>
      <c r="M252" s="418" t="str">
        <f t="shared" si="32"/>
        <v/>
      </c>
      <c r="N252" s="498" t="str">
        <f>IFERROR(IF(B252="","",INDEX('G-6 Hedgerow Data'!$AN$3:$AZ$15,MATCH(C252,'G-6 Hedgerow Data'!$AM$3:$AM$15,0),MATCH(M252,'G-6 Hedgerow Data'!$AN$2:$AZ$2,0))),"")</f>
        <v/>
      </c>
      <c r="O252" s="499" t="str">
        <f t="shared" si="26"/>
        <v/>
      </c>
      <c r="P252" s="505" t="str">
        <f>IF(B252="","",VLOOKUP(B252,'E-1 Off Site Hedge Baseline'!$B$10:T497,16,FALSE))</f>
        <v/>
      </c>
      <c r="Q252" s="498" t="str">
        <f>IF(M252="","",VLOOKUP(M252,'G-6 Hedgerow Data'!$B$2:$AG$15,2,FALSE))</f>
        <v/>
      </c>
      <c r="R252" s="499" t="str">
        <f>IF(M252="","",VLOOKUP(M252,'G-6 Hedgerow Data'!$B$2:$AG$15,3,FALSE))</f>
        <v/>
      </c>
      <c r="S252" s="145"/>
      <c r="T252" s="499" t="str">
        <f>IFERROR(IF(AND(Q252="V.Low",OR(S252="Good",S252="Moderate")),"Error ▲",VLOOKUP(S252,'G-1 All Habitats'!$Z$2:$AA$9,2,FALSE)),"")</f>
        <v/>
      </c>
      <c r="U252" s="145"/>
      <c r="V252" s="507" t="str">
        <f>IF(U252="","",IF(VLOOKUP(U252,'G-3 Multipliers'!$L$3:$N$6,2,FALSE)=0,"Spatial Data Missing ⚠",VLOOKUP(U252,'G-3 Multipliers'!$L$3:$N$6,2,FALSE)))</f>
        <v/>
      </c>
      <c r="W252" s="505" t="str">
        <f>IF(U252="","",IF(VLOOKUP(U252,'G-3 Multipliers'!$L$3:$N$6,3,FALSE)=0,"Spatial Data Missing ⚠",VLOOKUP(U252,'G-3 Multipliers'!$L$3:$N$6,3,FALSE)))</f>
        <v/>
      </c>
      <c r="X252" s="498"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7" t="str">
        <f t="shared" si="27"/>
        <v/>
      </c>
      <c r="AB252" s="521" t="str">
        <f t="shared" si="28"/>
        <v/>
      </c>
      <c r="AC252" s="522" t="str">
        <f t="shared" si="25"/>
        <v/>
      </c>
      <c r="AD252" s="537" t="str">
        <f>IF(M252="","",VLOOKUP(M252,'G-6 Hedgerow Data'!$B$3:$AG$15,31,FALSE))</f>
        <v/>
      </c>
      <c r="AE252" s="520" t="str">
        <f t="shared" si="29"/>
        <v/>
      </c>
      <c r="AF252" s="520" t="str">
        <f t="shared" si="30"/>
        <v/>
      </c>
      <c r="AG252" s="524" t="str">
        <f>IFERROR(IF(O252="","",VLOOKUP(AD252,'G-3 Multipliers'!$P$3:$Q$6,2,FALSE)),"")</f>
        <v/>
      </c>
      <c r="AH252" s="197"/>
      <c r="AI252" s="499" t="str">
        <f>IF(AH252="","",IF(VLOOKUP(AH252,'G-3 Multipliers'!$S$3:$T$6,2,FALSE)=0,"Spatial Data Missing ⚠",VLOOKUP(AH252,'G-3 Multipliers'!$S$3:$T$6,2,FALSE)))</f>
        <v/>
      </c>
      <c r="AJ252" s="545" t="str">
        <f t="shared" si="31"/>
        <v/>
      </c>
      <c r="AK252" s="149"/>
      <c r="AL252" s="150"/>
      <c r="AP252" s="31" t="str">
        <f>IFERROR(INDEX('G-6 Hedgerow Data'!$BJ$3:$BJ$15,MATCH(M252,'G-6 Hedgerow Data'!$B$3:$B$15,0)),"")</f>
        <v/>
      </c>
    </row>
    <row r="253" spans="2:42" ht="13.8" x14ac:dyDescent="0.25">
      <c r="B253" s="531" t="str">
        <f>'E-1 Off Site Hedge Baseline'!AK251</f>
        <v/>
      </c>
      <c r="C253" s="520" t="str">
        <f>IF(B253="","",IF(ISNA(VLOOKUP($B253,'E-1 Off Site Hedge Baseline'!$B$1:$L$257,3,FALSE)),"",(VLOOKUP($B253,'E-1 Off Site Hedge Baseline'!$B$1:$L$257,3,FALSE))))</f>
        <v/>
      </c>
      <c r="D253" s="520" t="str">
        <f>IF(B253="","",IF(ISNA(VLOOKUP($B253,'E-1 Off Site Hedge Baseline'!$B$1:$L$258,4,FALSE)),"",(VLOOKUP($B253,'E-1 Off Site Hedge Baseline'!$B$1:$L$258,4,FALSE))))</f>
        <v/>
      </c>
      <c r="E253" s="520" t="str">
        <f>IF(B253="","",IF(ISNA(VLOOKUP($B253,'E-1 Off Site Hedge Baseline'!$B$1:$L$257,5,FALSE)),"",(VLOOKUP($B253,'E-1 Off Site Hedge Baseline'!$B$1:$L$257,5,FALSE))))</f>
        <v/>
      </c>
      <c r="F253" s="520" t="str">
        <f>IF(B253="","",IF(ISNA(VLOOKUP($B253,'E-1 Off Site Hedge Baseline'!$B$1:$L$257,6,FALSE)),"",(VLOOKUP($B253,'E-1 Off Site Hedge Baseline'!$B$1:$L$257,6,FALSE))))</f>
        <v/>
      </c>
      <c r="G253" s="520" t="str">
        <f>IF(B253="","",IF(ISNA(VLOOKUP($B253,'E-1 Off Site Hedge Baseline'!$B$1:$L$257,7,FALSE)),"",(VLOOKUP($B253,'E-1 Off Site Hedge Baseline'!$B$1:$L$257,7,FALSE))))</f>
        <v/>
      </c>
      <c r="H253" s="520" t="str">
        <f>IF(B253="","",IF(ISNA(VLOOKUP($B253,'E-1 Off Site Hedge Baseline'!$B$1:$L$257,8,FALSE)),"",(VLOOKUP($B253,'E-1 Off Site Hedge Baseline'!$B$1:$L$257,8,FALSE))))</f>
        <v/>
      </c>
      <c r="I253" s="520" t="str">
        <f>IF(B253="","",IF(ISNA(VLOOKUP($B253,'E-1 Off Site Hedge Baseline'!$B$1:$L$257,10,FALSE)),"",(VLOOKUP($B253,'E-1 Off Site Hedge Baseline'!$B$1:$L$257,10,FALSE))))</f>
        <v/>
      </c>
      <c r="J253" s="520" t="str">
        <f>IF(B253="","",IF(ISNA(VLOOKUP($B253,'E-1 Off Site Hedge Baseline'!$B$1:$L$257,11,FALSE)),"",(VLOOKUP($B253,'E-1 Off Site Hedge Baseline'!$B$1:$L$257,11,FALSE))))</f>
        <v/>
      </c>
      <c r="K253" s="520" t="str">
        <f>IF(B253="","",IF(ISNA(VLOOKUP($B253,'E-1 Off Site Hedge Baseline'!$B$1:$U$257,113,FALSE)),"",(VLOOKUP($B253,'E-1 Off Site Hedge Baseline'!$B$1:$U$257,13,FALSE))))</f>
        <v/>
      </c>
      <c r="L253" s="507" t="str">
        <f>IF(B253="","",IF(ISNA(VLOOKUP($B253,'E-1 Off Site Hedge Baseline'!$B$1:$U$257,12,FALSE)),"",(VLOOKUP($B253,'E-1 Off Site Hedge Baseline'!$B$1:$U$257,12,FALSE))))</f>
        <v/>
      </c>
      <c r="M253" s="418" t="str">
        <f t="shared" si="32"/>
        <v/>
      </c>
      <c r="N253" s="498" t="str">
        <f>IFERROR(IF(B253="","",INDEX('G-6 Hedgerow Data'!$AN$3:$AZ$15,MATCH(C253,'G-6 Hedgerow Data'!$AM$3:$AM$15,0),MATCH(M253,'G-6 Hedgerow Data'!$AN$2:$AZ$2,0))),"")</f>
        <v/>
      </c>
      <c r="O253" s="499" t="str">
        <f t="shared" si="26"/>
        <v/>
      </c>
      <c r="P253" s="505" t="str">
        <f>IF(B253="","",VLOOKUP(B253,'E-1 Off Site Hedge Baseline'!$B$10:T498,16,FALSE))</f>
        <v/>
      </c>
      <c r="Q253" s="498" t="str">
        <f>IF(M253="","",VLOOKUP(M253,'G-6 Hedgerow Data'!$B$2:$AG$15,2,FALSE))</f>
        <v/>
      </c>
      <c r="R253" s="499" t="str">
        <f>IF(M253="","",VLOOKUP(M253,'G-6 Hedgerow Data'!$B$2:$AG$15,3,FALSE))</f>
        <v/>
      </c>
      <c r="S253" s="145"/>
      <c r="T253" s="499" t="str">
        <f>IFERROR(IF(AND(Q253="V.Low",OR(S253="Good",S253="Moderate")),"Error ▲",VLOOKUP(S253,'G-1 All Habitats'!$Z$2:$AA$9,2,FALSE)),"")</f>
        <v/>
      </c>
      <c r="U253" s="145"/>
      <c r="V253" s="507" t="str">
        <f>IF(U253="","",IF(VLOOKUP(U253,'G-3 Multipliers'!$L$3:$N$6,2,FALSE)=0,"Spatial Data Missing ⚠",VLOOKUP(U253,'G-3 Multipliers'!$L$3:$N$6,2,FALSE)))</f>
        <v/>
      </c>
      <c r="W253" s="505" t="str">
        <f>IF(U253="","",IF(VLOOKUP(U253,'G-3 Multipliers'!$L$3:$N$6,3,FALSE)=0,"Spatial Data Missing ⚠",VLOOKUP(U253,'G-3 Multipliers'!$L$3:$N$6,3,FALSE)))</f>
        <v/>
      </c>
      <c r="X253" s="498"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7" t="str">
        <f t="shared" si="27"/>
        <v/>
      </c>
      <c r="AB253" s="521" t="str">
        <f t="shared" si="28"/>
        <v/>
      </c>
      <c r="AC253" s="522" t="str">
        <f t="shared" si="25"/>
        <v/>
      </c>
      <c r="AD253" s="537" t="str">
        <f>IF(M253="","",VLOOKUP(M253,'G-6 Hedgerow Data'!$B$3:$AG$15,31,FALSE))</f>
        <v/>
      </c>
      <c r="AE253" s="520" t="str">
        <f t="shared" si="29"/>
        <v/>
      </c>
      <c r="AF253" s="520" t="str">
        <f t="shared" si="30"/>
        <v/>
      </c>
      <c r="AG253" s="524" t="str">
        <f>IFERROR(IF(O253="","",VLOOKUP(AD253,'G-3 Multipliers'!$P$3:$Q$6,2,FALSE)),"")</f>
        <v/>
      </c>
      <c r="AH253" s="197"/>
      <c r="AI253" s="499" t="str">
        <f>IF(AH253="","",IF(VLOOKUP(AH253,'G-3 Multipliers'!$S$3:$T$6,2,FALSE)=0,"Spatial Data Missing ⚠",VLOOKUP(AH253,'G-3 Multipliers'!$S$3:$T$6,2,FALSE)))</f>
        <v/>
      </c>
      <c r="AJ253" s="545" t="str">
        <f t="shared" si="31"/>
        <v/>
      </c>
      <c r="AK253" s="149"/>
      <c r="AL253" s="150"/>
      <c r="AP253" s="31" t="str">
        <f>IFERROR(INDEX('G-6 Hedgerow Data'!$BJ$3:$BJ$15,MATCH(M253,'G-6 Hedgerow Data'!$B$3:$B$15,0)),"")</f>
        <v/>
      </c>
    </row>
    <row r="254" spans="2:42" ht="13.8" x14ac:dyDescent="0.25">
      <c r="B254" s="531" t="str">
        <f>'E-1 Off Site Hedge Baseline'!AK252</f>
        <v/>
      </c>
      <c r="C254" s="520" t="str">
        <f>IF(B254="","",IF(ISNA(VLOOKUP($B254,'E-1 Off Site Hedge Baseline'!$B$1:$L$257,3,FALSE)),"",(VLOOKUP($B254,'E-1 Off Site Hedge Baseline'!$B$1:$L$257,3,FALSE))))</f>
        <v/>
      </c>
      <c r="D254" s="520" t="str">
        <f>IF(B254="","",IF(ISNA(VLOOKUP($B254,'E-1 Off Site Hedge Baseline'!$B$1:$L$258,4,FALSE)),"",(VLOOKUP($B254,'E-1 Off Site Hedge Baseline'!$B$1:$L$258,4,FALSE))))</f>
        <v/>
      </c>
      <c r="E254" s="520" t="str">
        <f>IF(B254="","",IF(ISNA(VLOOKUP($B254,'E-1 Off Site Hedge Baseline'!$B$1:$L$257,5,FALSE)),"",(VLOOKUP($B254,'E-1 Off Site Hedge Baseline'!$B$1:$L$257,5,FALSE))))</f>
        <v/>
      </c>
      <c r="F254" s="520" t="str">
        <f>IF(B254="","",IF(ISNA(VLOOKUP($B254,'E-1 Off Site Hedge Baseline'!$B$1:$L$257,6,FALSE)),"",(VLOOKUP($B254,'E-1 Off Site Hedge Baseline'!$B$1:$L$257,6,FALSE))))</f>
        <v/>
      </c>
      <c r="G254" s="520" t="str">
        <f>IF(B254="","",IF(ISNA(VLOOKUP($B254,'E-1 Off Site Hedge Baseline'!$B$1:$L$257,7,FALSE)),"",(VLOOKUP($B254,'E-1 Off Site Hedge Baseline'!$B$1:$L$257,7,FALSE))))</f>
        <v/>
      </c>
      <c r="H254" s="520" t="str">
        <f>IF(B254="","",IF(ISNA(VLOOKUP($B254,'E-1 Off Site Hedge Baseline'!$B$1:$L$257,8,FALSE)),"",(VLOOKUP($B254,'E-1 Off Site Hedge Baseline'!$B$1:$L$257,8,FALSE))))</f>
        <v/>
      </c>
      <c r="I254" s="520" t="str">
        <f>IF(B254="","",IF(ISNA(VLOOKUP($B254,'E-1 Off Site Hedge Baseline'!$B$1:$L$257,10,FALSE)),"",(VLOOKUP($B254,'E-1 Off Site Hedge Baseline'!$B$1:$L$257,10,FALSE))))</f>
        <v/>
      </c>
      <c r="J254" s="520" t="str">
        <f>IF(B254="","",IF(ISNA(VLOOKUP($B254,'E-1 Off Site Hedge Baseline'!$B$1:$L$257,11,FALSE)),"",(VLOOKUP($B254,'E-1 Off Site Hedge Baseline'!$B$1:$L$257,11,FALSE))))</f>
        <v/>
      </c>
      <c r="K254" s="520" t="str">
        <f>IF(B254="","",IF(ISNA(VLOOKUP($B254,'E-1 Off Site Hedge Baseline'!$B$1:$U$257,113,FALSE)),"",(VLOOKUP($B254,'E-1 Off Site Hedge Baseline'!$B$1:$U$257,13,FALSE))))</f>
        <v/>
      </c>
      <c r="L254" s="507" t="str">
        <f>IF(B254="","",IF(ISNA(VLOOKUP($B254,'E-1 Off Site Hedge Baseline'!$B$1:$U$257,12,FALSE)),"",(VLOOKUP($B254,'E-1 Off Site Hedge Baseline'!$B$1:$U$257,12,FALSE))))</f>
        <v/>
      </c>
      <c r="M254" s="418" t="str">
        <f t="shared" si="32"/>
        <v/>
      </c>
      <c r="N254" s="498" t="str">
        <f>IFERROR(IF(B254="","",INDEX('G-6 Hedgerow Data'!$AN$3:$AZ$15,MATCH(C254,'G-6 Hedgerow Data'!$AM$3:$AM$15,0),MATCH(M254,'G-6 Hedgerow Data'!$AN$2:$AZ$2,0))),"")</f>
        <v/>
      </c>
      <c r="O254" s="499" t="str">
        <f t="shared" si="26"/>
        <v/>
      </c>
      <c r="P254" s="505" t="str">
        <f>IF(B254="","",VLOOKUP(B254,'E-1 Off Site Hedge Baseline'!$B$10:T499,16,FALSE))</f>
        <v/>
      </c>
      <c r="Q254" s="498" t="str">
        <f>IF(M254="","",VLOOKUP(M254,'G-6 Hedgerow Data'!$B$2:$AG$15,2,FALSE))</f>
        <v/>
      </c>
      <c r="R254" s="499" t="str">
        <f>IF(M254="","",VLOOKUP(M254,'G-6 Hedgerow Data'!$B$2:$AG$15,3,FALSE))</f>
        <v/>
      </c>
      <c r="S254" s="145"/>
      <c r="T254" s="499" t="str">
        <f>IFERROR(IF(AND(Q254="V.Low",OR(S254="Good",S254="Moderate")),"Error ▲",VLOOKUP(S254,'G-1 All Habitats'!$Z$2:$AA$9,2,FALSE)),"")</f>
        <v/>
      </c>
      <c r="U254" s="145"/>
      <c r="V254" s="507" t="str">
        <f>IF(U254="","",IF(VLOOKUP(U254,'G-3 Multipliers'!$L$3:$N$6,2,FALSE)=0,"Spatial Data Missing ⚠",VLOOKUP(U254,'G-3 Multipliers'!$L$3:$N$6,2,FALSE)))</f>
        <v/>
      </c>
      <c r="W254" s="505" t="str">
        <f>IF(U254="","",IF(VLOOKUP(U254,'G-3 Multipliers'!$L$3:$N$6,3,FALSE)=0,"Spatial Data Missing ⚠",VLOOKUP(U254,'G-3 Multipliers'!$L$3:$N$6,3,FALSE)))</f>
        <v/>
      </c>
      <c r="X254" s="498"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7" t="str">
        <f t="shared" si="27"/>
        <v/>
      </c>
      <c r="AB254" s="521" t="str">
        <f t="shared" si="28"/>
        <v/>
      </c>
      <c r="AC254" s="522" t="str">
        <f t="shared" si="25"/>
        <v/>
      </c>
      <c r="AD254" s="537" t="str">
        <f>IF(M254="","",VLOOKUP(M254,'G-6 Hedgerow Data'!$B$3:$AG$15,31,FALSE))</f>
        <v/>
      </c>
      <c r="AE254" s="520" t="str">
        <f t="shared" si="29"/>
        <v/>
      </c>
      <c r="AF254" s="520" t="str">
        <f t="shared" si="30"/>
        <v/>
      </c>
      <c r="AG254" s="524" t="str">
        <f>IFERROR(IF(O254="","",VLOOKUP(AD254,'G-3 Multipliers'!$P$3:$Q$6,2,FALSE)),"")</f>
        <v/>
      </c>
      <c r="AH254" s="197"/>
      <c r="AI254" s="499" t="str">
        <f>IF(AH254="","",IF(VLOOKUP(AH254,'G-3 Multipliers'!$S$3:$T$6,2,FALSE)=0,"Spatial Data Missing ⚠",VLOOKUP(AH254,'G-3 Multipliers'!$S$3:$T$6,2,FALSE)))</f>
        <v/>
      </c>
      <c r="AJ254" s="545" t="str">
        <f t="shared" si="31"/>
        <v/>
      </c>
      <c r="AK254" s="149"/>
      <c r="AL254" s="150"/>
      <c r="AP254" s="31" t="str">
        <f>IFERROR(INDEX('G-6 Hedgerow Data'!$BJ$3:$BJ$15,MATCH(M254,'G-6 Hedgerow Data'!$B$3:$B$15,0)),"")</f>
        <v/>
      </c>
    </row>
    <row r="255" spans="2:42" ht="13.8" x14ac:dyDescent="0.25">
      <c r="B255" s="531" t="str">
        <f>'E-1 Off Site Hedge Baseline'!AK253</f>
        <v/>
      </c>
      <c r="C255" s="520" t="str">
        <f>IF(B255="","",IF(ISNA(VLOOKUP($B255,'E-1 Off Site Hedge Baseline'!$B$1:$L$257,3,FALSE)),"",(VLOOKUP($B255,'E-1 Off Site Hedge Baseline'!$B$1:$L$257,3,FALSE))))</f>
        <v/>
      </c>
      <c r="D255" s="520" t="str">
        <f>IF(B255="","",IF(ISNA(VLOOKUP($B255,'E-1 Off Site Hedge Baseline'!$B$1:$L$258,4,FALSE)),"",(VLOOKUP($B255,'E-1 Off Site Hedge Baseline'!$B$1:$L$258,4,FALSE))))</f>
        <v/>
      </c>
      <c r="E255" s="520" t="str">
        <f>IF(B255="","",IF(ISNA(VLOOKUP($B255,'E-1 Off Site Hedge Baseline'!$B$1:$L$257,5,FALSE)),"",(VLOOKUP($B255,'E-1 Off Site Hedge Baseline'!$B$1:$L$257,5,FALSE))))</f>
        <v/>
      </c>
      <c r="F255" s="520" t="str">
        <f>IF(B255="","",IF(ISNA(VLOOKUP($B255,'E-1 Off Site Hedge Baseline'!$B$1:$L$257,6,FALSE)),"",(VLOOKUP($B255,'E-1 Off Site Hedge Baseline'!$B$1:$L$257,6,FALSE))))</f>
        <v/>
      </c>
      <c r="G255" s="520" t="str">
        <f>IF(B255="","",IF(ISNA(VLOOKUP($B255,'E-1 Off Site Hedge Baseline'!$B$1:$L$257,7,FALSE)),"",(VLOOKUP($B255,'E-1 Off Site Hedge Baseline'!$B$1:$L$257,7,FALSE))))</f>
        <v/>
      </c>
      <c r="H255" s="520" t="str">
        <f>IF(B255="","",IF(ISNA(VLOOKUP($B255,'E-1 Off Site Hedge Baseline'!$B$1:$L$257,8,FALSE)),"",(VLOOKUP($B255,'E-1 Off Site Hedge Baseline'!$B$1:$L$257,8,FALSE))))</f>
        <v/>
      </c>
      <c r="I255" s="520" t="str">
        <f>IF(B255="","",IF(ISNA(VLOOKUP($B255,'E-1 Off Site Hedge Baseline'!$B$1:$L$257,10,FALSE)),"",(VLOOKUP($B255,'E-1 Off Site Hedge Baseline'!$B$1:$L$257,10,FALSE))))</f>
        <v/>
      </c>
      <c r="J255" s="520" t="str">
        <f>IF(B255="","",IF(ISNA(VLOOKUP($B255,'E-1 Off Site Hedge Baseline'!$B$1:$L$257,11,FALSE)),"",(VLOOKUP($B255,'E-1 Off Site Hedge Baseline'!$B$1:$L$257,11,FALSE))))</f>
        <v/>
      </c>
      <c r="K255" s="520" t="str">
        <f>IF(B255="","",IF(ISNA(VLOOKUP($B255,'E-1 Off Site Hedge Baseline'!$B$1:$U$257,113,FALSE)),"",(VLOOKUP($B255,'E-1 Off Site Hedge Baseline'!$B$1:$U$257,13,FALSE))))</f>
        <v/>
      </c>
      <c r="L255" s="507" t="str">
        <f>IF(B255="","",IF(ISNA(VLOOKUP($B255,'E-1 Off Site Hedge Baseline'!$B$1:$U$257,12,FALSE)),"",(VLOOKUP($B255,'E-1 Off Site Hedge Baseline'!$B$1:$U$257,12,FALSE))))</f>
        <v/>
      </c>
      <c r="M255" s="418" t="str">
        <f t="shared" si="32"/>
        <v/>
      </c>
      <c r="N255" s="498" t="str">
        <f>IFERROR(IF(B255="","",INDEX('G-6 Hedgerow Data'!$AN$3:$AZ$15,MATCH(C255,'G-6 Hedgerow Data'!$AM$3:$AM$15,0),MATCH(M255,'G-6 Hedgerow Data'!$AN$2:$AZ$2,0))),"")</f>
        <v/>
      </c>
      <c r="O255" s="499" t="str">
        <f t="shared" si="26"/>
        <v/>
      </c>
      <c r="P255" s="505" t="str">
        <f>IF(B255="","",VLOOKUP(B255,'E-1 Off Site Hedge Baseline'!$B$10:T500,16,FALSE))</f>
        <v/>
      </c>
      <c r="Q255" s="498" t="str">
        <f>IF(M255="","",VLOOKUP(M255,'G-6 Hedgerow Data'!$B$2:$AG$15,2,FALSE))</f>
        <v/>
      </c>
      <c r="R255" s="499" t="str">
        <f>IF(M255="","",VLOOKUP(M255,'G-6 Hedgerow Data'!$B$2:$AG$15,3,FALSE))</f>
        <v/>
      </c>
      <c r="S255" s="145"/>
      <c r="T255" s="499" t="str">
        <f>IFERROR(IF(AND(Q255="V.Low",OR(S255="Good",S255="Moderate")),"Error ▲",VLOOKUP(S255,'G-1 All Habitats'!$Z$2:$AA$9,2,FALSE)),"")</f>
        <v/>
      </c>
      <c r="U255" s="145"/>
      <c r="V255" s="507" t="str">
        <f>IF(U255="","",IF(VLOOKUP(U255,'G-3 Multipliers'!$L$3:$N$6,2,FALSE)=0,"Spatial Data Missing ⚠",VLOOKUP(U255,'G-3 Multipliers'!$L$3:$N$6,2,FALSE)))</f>
        <v/>
      </c>
      <c r="W255" s="505" t="str">
        <f>IF(U255="","",IF(VLOOKUP(U255,'G-3 Multipliers'!$L$3:$N$6,3,FALSE)=0,"Spatial Data Missing ⚠",VLOOKUP(U255,'G-3 Multipliers'!$L$3:$N$6,3,FALSE)))</f>
        <v/>
      </c>
      <c r="X255" s="498"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7" t="str">
        <f t="shared" si="27"/>
        <v/>
      </c>
      <c r="AB255" s="521" t="str">
        <f t="shared" si="28"/>
        <v/>
      </c>
      <c r="AC255" s="522" t="str">
        <f t="shared" si="25"/>
        <v/>
      </c>
      <c r="AD255" s="537" t="str">
        <f>IF(M255="","",VLOOKUP(M255,'G-6 Hedgerow Data'!$B$3:$AG$15,31,FALSE))</f>
        <v/>
      </c>
      <c r="AE255" s="520" t="str">
        <f t="shared" si="29"/>
        <v/>
      </c>
      <c r="AF255" s="520" t="str">
        <f t="shared" si="30"/>
        <v/>
      </c>
      <c r="AG255" s="524" t="str">
        <f>IFERROR(IF(O255="","",VLOOKUP(AD255,'G-3 Multipliers'!$P$3:$Q$6,2,FALSE)),"")</f>
        <v/>
      </c>
      <c r="AH255" s="197"/>
      <c r="AI255" s="499" t="str">
        <f>IF(AH255="","",IF(VLOOKUP(AH255,'G-3 Multipliers'!$S$3:$T$6,2,FALSE)=0,"Spatial Data Missing ⚠",VLOOKUP(AH255,'G-3 Multipliers'!$S$3:$T$6,2,FALSE)))</f>
        <v/>
      </c>
      <c r="AJ255" s="545" t="str">
        <f t="shared" si="31"/>
        <v/>
      </c>
      <c r="AK255" s="149"/>
      <c r="AL255" s="150"/>
      <c r="AP255" s="31" t="str">
        <f>IFERROR(INDEX('G-6 Hedgerow Data'!$BJ$3:$BJ$15,MATCH(M255,'G-6 Hedgerow Data'!$B$3:$B$15,0)),"")</f>
        <v/>
      </c>
    </row>
    <row r="256" spans="2:42" ht="13.8" x14ac:dyDescent="0.25">
      <c r="B256" s="531" t="str">
        <f>'E-1 Off Site Hedge Baseline'!AK254</f>
        <v/>
      </c>
      <c r="C256" s="520" t="str">
        <f>IF(B256="","",IF(ISNA(VLOOKUP($B256,'E-1 Off Site Hedge Baseline'!$B$1:$L$257,3,FALSE)),"",(VLOOKUP($B256,'E-1 Off Site Hedge Baseline'!$B$1:$L$257,3,FALSE))))</f>
        <v/>
      </c>
      <c r="D256" s="520" t="str">
        <f>IF(B256="","",IF(ISNA(VLOOKUP($B256,'E-1 Off Site Hedge Baseline'!$B$1:$L$258,4,FALSE)),"",(VLOOKUP($B256,'E-1 Off Site Hedge Baseline'!$B$1:$L$258,4,FALSE))))</f>
        <v/>
      </c>
      <c r="E256" s="520" t="str">
        <f>IF(B256="","",IF(ISNA(VLOOKUP($B256,'E-1 Off Site Hedge Baseline'!$B$1:$L$257,5,FALSE)),"",(VLOOKUP($B256,'E-1 Off Site Hedge Baseline'!$B$1:$L$257,5,FALSE))))</f>
        <v/>
      </c>
      <c r="F256" s="520" t="str">
        <f>IF(B256="","",IF(ISNA(VLOOKUP($B256,'E-1 Off Site Hedge Baseline'!$B$1:$L$257,6,FALSE)),"",(VLOOKUP($B256,'E-1 Off Site Hedge Baseline'!$B$1:$L$257,6,FALSE))))</f>
        <v/>
      </c>
      <c r="G256" s="520" t="str">
        <f>IF(B256="","",IF(ISNA(VLOOKUP($B256,'E-1 Off Site Hedge Baseline'!$B$1:$L$257,7,FALSE)),"",(VLOOKUP($B256,'E-1 Off Site Hedge Baseline'!$B$1:$L$257,7,FALSE))))</f>
        <v/>
      </c>
      <c r="H256" s="520" t="str">
        <f>IF(B256="","",IF(ISNA(VLOOKUP($B256,'E-1 Off Site Hedge Baseline'!$B$1:$L$257,8,FALSE)),"",(VLOOKUP($B256,'E-1 Off Site Hedge Baseline'!$B$1:$L$257,8,FALSE))))</f>
        <v/>
      </c>
      <c r="I256" s="520" t="str">
        <f>IF(B256="","",IF(ISNA(VLOOKUP($B256,'E-1 Off Site Hedge Baseline'!$B$1:$L$257,10,FALSE)),"",(VLOOKUP($B256,'E-1 Off Site Hedge Baseline'!$B$1:$L$257,10,FALSE))))</f>
        <v/>
      </c>
      <c r="J256" s="520" t="str">
        <f>IF(B256="","",IF(ISNA(VLOOKUP($B256,'E-1 Off Site Hedge Baseline'!$B$1:$L$257,11,FALSE)),"",(VLOOKUP($B256,'E-1 Off Site Hedge Baseline'!$B$1:$L$257,11,FALSE))))</f>
        <v/>
      </c>
      <c r="K256" s="520" t="str">
        <f>IF(B256="","",IF(ISNA(VLOOKUP($B256,'E-1 Off Site Hedge Baseline'!$B$1:$U$257,113,FALSE)),"",(VLOOKUP($B256,'E-1 Off Site Hedge Baseline'!$B$1:$U$257,13,FALSE))))</f>
        <v/>
      </c>
      <c r="L256" s="507" t="str">
        <f>IF(B256="","",IF(ISNA(VLOOKUP($B256,'E-1 Off Site Hedge Baseline'!$B$1:$U$257,12,FALSE)),"",(VLOOKUP($B256,'E-1 Off Site Hedge Baseline'!$B$1:$U$257,12,FALSE))))</f>
        <v/>
      </c>
      <c r="M256" s="418" t="str">
        <f t="shared" si="32"/>
        <v/>
      </c>
      <c r="N256" s="498" t="str">
        <f>IFERROR(IF(B256="","",INDEX('G-6 Hedgerow Data'!$AN$3:$AZ$15,MATCH(C256,'G-6 Hedgerow Data'!$AM$3:$AM$15,0),MATCH(M256,'G-6 Hedgerow Data'!$AN$2:$AZ$2,0))),"")</f>
        <v/>
      </c>
      <c r="O256" s="499" t="str">
        <f t="shared" si="26"/>
        <v/>
      </c>
      <c r="P256" s="505" t="str">
        <f>IF(B256="","",VLOOKUP(B256,'E-1 Off Site Hedge Baseline'!$B$10:T501,16,FALSE))</f>
        <v/>
      </c>
      <c r="Q256" s="498" t="str">
        <f>IF(M256="","",VLOOKUP(M256,'G-6 Hedgerow Data'!$B$2:$AG$15,2,FALSE))</f>
        <v/>
      </c>
      <c r="R256" s="499" t="str">
        <f>IF(M256="","",VLOOKUP(M256,'G-6 Hedgerow Data'!$B$2:$AG$15,3,FALSE))</f>
        <v/>
      </c>
      <c r="S256" s="145"/>
      <c r="T256" s="499" t="str">
        <f>IFERROR(IF(AND(Q256="V.Low",OR(S256="Good",S256="Moderate")),"Error ▲",VLOOKUP(S256,'G-1 All Habitats'!$Z$2:$AA$9,2,FALSE)),"")</f>
        <v/>
      </c>
      <c r="U256" s="145"/>
      <c r="V256" s="507" t="str">
        <f>IF(U256="","",IF(VLOOKUP(U256,'G-3 Multipliers'!$L$3:$N$6,2,FALSE)=0,"Spatial Data Missing ⚠",VLOOKUP(U256,'G-3 Multipliers'!$L$3:$N$6,2,FALSE)))</f>
        <v/>
      </c>
      <c r="W256" s="505" t="str">
        <f>IF(U256="","",IF(VLOOKUP(U256,'G-3 Multipliers'!$L$3:$N$6,3,FALSE)=0,"Spatial Data Missing ⚠",VLOOKUP(U256,'G-3 Multipliers'!$L$3:$N$6,3,FALSE)))</f>
        <v/>
      </c>
      <c r="X256" s="498"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7" t="str">
        <f t="shared" si="27"/>
        <v/>
      </c>
      <c r="AB256" s="521" t="str">
        <f t="shared" si="28"/>
        <v/>
      </c>
      <c r="AC256" s="522" t="str">
        <f t="shared" si="25"/>
        <v/>
      </c>
      <c r="AD256" s="537" t="str">
        <f>IF(M256="","",VLOOKUP(M256,'G-6 Hedgerow Data'!$B$3:$AG$15,31,FALSE))</f>
        <v/>
      </c>
      <c r="AE256" s="520" t="str">
        <f t="shared" si="29"/>
        <v/>
      </c>
      <c r="AF256" s="520" t="str">
        <f t="shared" si="30"/>
        <v/>
      </c>
      <c r="AG256" s="524" t="str">
        <f>IFERROR(IF(O256="","",VLOOKUP(AD256,'G-3 Multipliers'!$P$3:$Q$6,2,FALSE)),"")</f>
        <v/>
      </c>
      <c r="AH256" s="197"/>
      <c r="AI256" s="499" t="str">
        <f>IF(AH256="","",IF(VLOOKUP(AH256,'G-3 Multipliers'!$S$3:$T$6,2,FALSE)=0,"Spatial Data Missing ⚠",VLOOKUP(AH256,'G-3 Multipliers'!$S$3:$T$6,2,FALSE)))</f>
        <v/>
      </c>
      <c r="AJ256" s="545" t="str">
        <f t="shared" si="31"/>
        <v/>
      </c>
      <c r="AK256" s="149"/>
      <c r="AL256" s="150"/>
      <c r="AP256" s="31" t="str">
        <f>IFERROR(INDEX('G-6 Hedgerow Data'!$BJ$3:$BJ$15,MATCH(M256,'G-6 Hedgerow Data'!$B$3:$B$15,0)),"")</f>
        <v/>
      </c>
    </row>
    <row r="257" spans="2:42" ht="14.4" thickBot="1" x14ac:dyDescent="0.3">
      <c r="B257" s="558" t="str">
        <f>'E-1 Off Site Hedge Baseline'!AK255</f>
        <v/>
      </c>
      <c r="C257" s="508" t="str">
        <f>IF(B257="","",IF(ISNA(VLOOKUP($B257,'E-1 Off Site Hedge Baseline'!$B$1:$L$257,3,FALSE)),"",(VLOOKUP($B257,'E-1 Off Site Hedge Baseline'!$B$1:$L$257,3,FALSE))))</f>
        <v/>
      </c>
      <c r="D257" s="508" t="str">
        <f>IF(B257="","",IF(ISNA(VLOOKUP($B257,'E-1 Off Site Hedge Baseline'!$B$1:$L$258,4,FALSE)),"",(VLOOKUP($B257,'E-1 Off Site Hedge Baseline'!$B$1:$L$258,4,FALSE))))</f>
        <v/>
      </c>
      <c r="E257" s="508" t="str">
        <f>IF(B257="","",IF(ISNA(VLOOKUP($B257,'E-1 Off Site Hedge Baseline'!$B$1:$L$257,5,FALSE)),"",(VLOOKUP($B257,'E-1 Off Site Hedge Baseline'!$B$1:$L$257,5,FALSE))))</f>
        <v/>
      </c>
      <c r="F257" s="508" t="str">
        <f>IF(B257="","",IF(ISNA(VLOOKUP($B257,'E-1 Off Site Hedge Baseline'!$B$1:$L$257,6,FALSE)),"",(VLOOKUP($B257,'E-1 Off Site Hedge Baseline'!$B$1:$L$257,6,FALSE))))</f>
        <v/>
      </c>
      <c r="G257" s="508" t="str">
        <f>IF(B257="","",IF(ISNA(VLOOKUP($B257,'E-1 Off Site Hedge Baseline'!$B$1:$L$257,7,FALSE)),"",(VLOOKUP($B257,'E-1 Off Site Hedge Baseline'!$B$1:$L$257,7,FALSE))))</f>
        <v/>
      </c>
      <c r="H257" s="508" t="str">
        <f>IF(B257="","",IF(ISNA(VLOOKUP($B257,'E-1 Off Site Hedge Baseline'!$B$1:$L$257,8,FALSE)),"",(VLOOKUP($B257,'E-1 Off Site Hedge Baseline'!$B$1:$L$257,8,FALSE))))</f>
        <v/>
      </c>
      <c r="I257" s="508" t="str">
        <f>IF(B257="","",IF(ISNA(VLOOKUP($B257,'E-1 Off Site Hedge Baseline'!$B$1:$L$257,10,FALSE)),"",(VLOOKUP($B257,'E-1 Off Site Hedge Baseline'!$B$1:$L$257,10,FALSE))))</f>
        <v/>
      </c>
      <c r="J257" s="508" t="str">
        <f>IF(B257="","",IF(ISNA(VLOOKUP($B257,'E-1 Off Site Hedge Baseline'!$B$1:$L$257,11,FALSE)),"",(VLOOKUP($B257,'E-1 Off Site Hedge Baseline'!$B$1:$L$257,11,FALSE))))</f>
        <v/>
      </c>
      <c r="K257" s="508" t="str">
        <f>IF(B257="","",IF(ISNA(VLOOKUP($B257,'E-1 Off Site Hedge Baseline'!$B$1:$U$257,113,FALSE)),"",(VLOOKUP($B257,'E-1 Off Site Hedge Baseline'!$B$1:$U$257,13,FALSE))))</f>
        <v/>
      </c>
      <c r="L257" s="508" t="str">
        <f>IF(B257="","",IF(ISNA(VLOOKUP($B257,'E-1 Off Site Hedge Baseline'!$B$1:$U$257,12,FALSE)),"",(VLOOKUP($B257,'E-1 Off Site Hedge Baseline'!$B$1:$U$257,12,FALSE))))</f>
        <v/>
      </c>
      <c r="M257" s="420" t="str">
        <f t="shared" si="32"/>
        <v/>
      </c>
      <c r="N257" s="500" t="str">
        <f>IFERROR(IF(B257="","",INDEX('G-6 Hedgerow Data'!$AN$3:$AZ$15,MATCH(C257,'G-6 Hedgerow Data'!$AM$3:$AM$15,0),MATCH(M257,'G-6 Hedgerow Data'!$AN$2:$AZ$2,0))),"")</f>
        <v/>
      </c>
      <c r="O257" s="499" t="str">
        <f t="shared" si="26"/>
        <v/>
      </c>
      <c r="P257" s="509" t="str">
        <f>IF(B257="","",VLOOKUP(B257,'E-1 Off Site Hedge Baseline'!$B$10:T502,16,FALSE))</f>
        <v/>
      </c>
      <c r="Q257" s="500" t="str">
        <f>IF(M257="","",VLOOKUP(M257,'G-6 Hedgerow Data'!$B$2:$AG$15,2,FALSE))</f>
        <v/>
      </c>
      <c r="R257" s="499" t="str">
        <f>IF(M257="","",VLOOKUP(M257,'G-6 Hedgerow Data'!$B$2:$AG$15,3,FALSE))</f>
        <v/>
      </c>
      <c r="S257" s="161"/>
      <c r="T257" s="499" t="str">
        <f>IFERROR(IF(AND(Q257="V.Low",OR(S257="Good",S257="Moderate")),"Error ▲",VLOOKUP(S257,'G-1 All Habitats'!$Z$2:$AA$9,2,FALSE)),"")</f>
        <v/>
      </c>
      <c r="U257" s="161"/>
      <c r="V257" s="507" t="str">
        <f>IF(U257="","",IF(VLOOKUP(U257,'G-3 Multipliers'!$L$3:$N$6,2,FALSE)=0,"Spatial Data Missing ⚠",VLOOKUP(U257,'G-3 Multipliers'!$L$3:$N$6,2,FALSE)))</f>
        <v/>
      </c>
      <c r="W257" s="505" t="str">
        <f>IF(U257="","",IF(VLOOKUP(U257,'G-3 Multipliers'!$L$3:$N$6,3,FALSE)=0,"Spatial Data Missing ⚠",VLOOKUP(U257,'G-3 Multipliers'!$L$3:$N$6,3,FALSE)))</f>
        <v/>
      </c>
      <c r="X257" s="498" t="str">
        <f>IFERROR(IF(OR(LEFT(O257,5)="Error ▲",LEFT(N257,5)="Error ▲",T257="Error ▲"),"Check Data ⚠",IF(F257&lt;R257,INDEX('G-6 Hedgerow Data'!$S$3:$AE$14,MATCH(C257,'G-6 Hedgerow Data'!$B$3:$B$14,0),MATCH(M257,'G-6 Hedgerow Data'!$S$2:$AE$2,0)),INDEX('G-6 Hedgerow Data'!$K$3:$Q$14,MATCH(M257,'G-6 Hedgerow Data'!$B$3:$B$14,0),MATCH(O257,'G-6 Hedgerow Data'!$K$2:$Q$2,0)))),"")</f>
        <v/>
      </c>
      <c r="Y257" s="206"/>
      <c r="Z257" s="206"/>
      <c r="AA257" s="507" t="str">
        <f t="shared" si="27"/>
        <v/>
      </c>
      <c r="AB257" s="521" t="str">
        <f t="shared" si="28"/>
        <v/>
      </c>
      <c r="AC257" s="522" t="str">
        <f t="shared" si="25"/>
        <v/>
      </c>
      <c r="AD257" s="500" t="str">
        <f>IF(M257="","",VLOOKUP(M257,'G-6 Hedgerow Data'!$B$3:$AG$15,31,FALSE))</f>
        <v/>
      </c>
      <c r="AE257" s="520" t="str">
        <f t="shared" si="29"/>
        <v/>
      </c>
      <c r="AF257" s="520" t="str">
        <f t="shared" si="30"/>
        <v/>
      </c>
      <c r="AG257" s="501" t="str">
        <f>IFERROR(IF(O257="","",VLOOKUP(AD257,'G-3 Multipliers'!$P$3:$Q$6,2,FALSE)),"")</f>
        <v/>
      </c>
      <c r="AH257" s="271"/>
      <c r="AI257" s="499" t="str">
        <f>IF(AH257="","",IF(VLOOKUP(AH257,'G-3 Multipliers'!$S$3:$T$6,2,FALSE)=0,"Spatial Data Missing ⚠",VLOOKUP(AH257,'G-3 Multipliers'!$S$3:$T$6,2,FALSE)))</f>
        <v/>
      </c>
      <c r="AJ257" s="546" t="str">
        <f t="shared" si="31"/>
        <v/>
      </c>
      <c r="AK257" s="163"/>
      <c r="AL257" s="164"/>
      <c r="AP257" s="31" t="str">
        <f>IFERROR(INDEX('G-6 Hedgerow Data'!$BJ$3:$BJ$15,MATCH(M257,'G-6 Hedgerow Data'!$B$3:$B$15,0)),"")</f>
        <v/>
      </c>
    </row>
    <row r="258" spans="2:42" ht="14.4" thickBot="1" x14ac:dyDescent="0.3">
      <c r="B258" s="46"/>
      <c r="C258" s="46"/>
      <c r="D258" s="46"/>
      <c r="E258" s="46"/>
      <c r="F258" s="46"/>
      <c r="G258" s="46"/>
      <c r="H258" s="46"/>
      <c r="I258" s="46"/>
      <c r="J258" s="46"/>
      <c r="K258" s="46"/>
      <c r="L258" s="46"/>
      <c r="M258" s="46"/>
      <c r="N258" s="46"/>
      <c r="O258" s="277"/>
      <c r="P258" s="503">
        <f>SUM(P12:P257)</f>
        <v>0</v>
      </c>
      <c r="Q258" s="46"/>
      <c r="R258" s="46"/>
      <c r="S258" s="46"/>
      <c r="T258" s="46"/>
      <c r="U258" s="46"/>
      <c r="V258" s="46"/>
      <c r="W258" s="46"/>
      <c r="X258" s="46"/>
      <c r="Y258" s="46"/>
      <c r="Z258" s="46"/>
      <c r="AA258" s="46"/>
      <c r="AB258" s="46"/>
      <c r="AC258" s="46"/>
      <c r="AD258" s="46"/>
      <c r="AE258" s="46"/>
      <c r="AF258" s="46"/>
      <c r="AG258" s="46"/>
      <c r="AH258" s="427"/>
      <c r="AI258" s="427"/>
      <c r="AJ258" s="503">
        <f>SUM(AJ12:AJ257)</f>
        <v>0</v>
      </c>
      <c r="AK258" s="46"/>
      <c r="AL258" s="46"/>
    </row>
    <row r="259" spans="2:42" ht="13.8" x14ac:dyDescent="0.25"/>
    <row r="260" spans="2:42" ht="13.8" x14ac:dyDescent="0.25"/>
    <row r="261" spans="2:42" ht="13.8" x14ac:dyDescent="0.25"/>
    <row r="262" spans="2:42" ht="13.8" x14ac:dyDescent="0.25"/>
    <row r="263" spans="2:42" ht="13.8" x14ac:dyDescent="0.25"/>
    <row r="264" spans="2:42" ht="13.8" x14ac:dyDescent="0.25"/>
    <row r="265" spans="2:42" ht="13.8" x14ac:dyDescent="0.25"/>
    <row r="266" spans="2:42" ht="13.8" x14ac:dyDescent="0.25"/>
    <row r="267" spans="2:42" ht="15" hidden="1" customHeight="1" x14ac:dyDescent="0.25"/>
    <row r="268" spans="2:42" ht="15" hidden="1" customHeight="1" x14ac:dyDescent="0.25"/>
    <row r="269" spans="2:42" ht="15" hidden="1" customHeight="1" x14ac:dyDescent="0.25"/>
    <row r="270" spans="2:42" ht="15" hidden="1" customHeight="1" x14ac:dyDescent="0.25"/>
    <row r="271" spans="2:42" ht="15" hidden="1" customHeight="1" x14ac:dyDescent="0.25"/>
    <row r="272" spans="2:4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sheetData>
  <sheetProtection algorithmName="SHA-512" hashValue="K9ytJJdmvB/r742R3tqoOeTykW/UVKEBW06AKVr+qsttA4f6cyUH0wzDnB++LDBrPzEwsG1H3vtYxtE5D/6M/Q==" saltValue="gkk+KHzS0r6y6EiRgNSVe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6">
    <mergeCell ref="AJ10:AJ11"/>
    <mergeCell ref="AK10:AL10"/>
    <mergeCell ref="C10:L10"/>
    <mergeCell ref="U10:W10"/>
    <mergeCell ref="P10:P11"/>
    <mergeCell ref="M8:AI8"/>
    <mergeCell ref="M9:AI9"/>
    <mergeCell ref="M10:M11"/>
    <mergeCell ref="B3:C4"/>
    <mergeCell ref="X10:AC10"/>
    <mergeCell ref="AD10:AG10"/>
    <mergeCell ref="AI10:AI11"/>
    <mergeCell ref="N10:O10"/>
    <mergeCell ref="Q10:R10"/>
    <mergeCell ref="S10:T10"/>
    <mergeCell ref="X2:AC4"/>
  </mergeCells>
  <conditionalFormatting sqref="L12:L257">
    <cfRule type="cellIs" dxfId="68" priority="7" operator="equal">
      <formula>"Same distinctiveness band or better"</formula>
    </cfRule>
    <cfRule type="cellIs" dxfId="67" priority="8" operator="equal">
      <formula>"Like for like or better"</formula>
    </cfRule>
    <cfRule type="cellIs" dxfId="66" priority="9" operator="equal">
      <formula>"Like for Like"</formula>
    </cfRule>
  </conditionalFormatting>
  <conditionalFormatting sqref="N12:AJ257">
    <cfRule type="containsText" dxfId="65" priority="2" operator="containsText" text="30+">
      <formula>NOT(ISERROR(SEARCH("30+",N12)))</formula>
    </cfRule>
    <cfRule type="beginsWith" dxfId="64" priority="3" operator="beginsWith" text="No">
      <formula>LEFT(N12,LEN("No"))="No"</formula>
    </cfRule>
    <cfRule type="containsText" dxfId="63" priority="4" operator="containsText" text="Spatial">
      <formula>NOT(ISERROR(SEARCH("Spatial",N12)))</formula>
    </cfRule>
    <cfRule type="containsText" dxfId="62" priority="5" operator="containsText" text="Check">
      <formula>NOT(ISERROR(SEARCH("Check",N12)))</formula>
    </cfRule>
    <cfRule type="containsText" dxfId="61" priority="6" operator="containsText" text="Error">
      <formula>NOT(ISERROR(SEARCH("Error",N12)))</formula>
    </cfRule>
  </conditionalFormatting>
  <conditionalFormatting sqref="X2">
    <cfRule type="containsText" dxfId="60" priority="1" operator="containsText" text="Note">
      <formula>NOT(ISERROR(SEARCH("Note",X2)))</formula>
    </cfRule>
  </conditionalFormatting>
  <dataValidations count="1">
    <dataValidation type="list" allowBlank="1" showInputMessage="1" showErrorMessage="1" sqref="S12:S257" xr:uid="{00000000-0002-0000-1500-000000000000}">
      <formula1>INDIRECT(AP12)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3000000}">
          <x14:formula1>
            <xm:f>'G-3 Multipliers'!$S$4:$S$6</xm:f>
          </x14:formula1>
          <xm:sqref>AH12:AH257</xm:sqref>
        </x14:dataValidation>
        <x14:dataValidation type="list" allowBlank="1" showInputMessage="1" showErrorMessage="1" xr:uid="{00000000-0002-0000-1500-000004000000}">
          <x14:formula1>
            <xm:f>'G-4 Temporal multipliers'!$A$4:$A$36</xm:f>
          </x14:formula1>
          <xm:sqref>Y12:Z257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A1:AQ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3" style="31" customWidth="1"/>
    <col min="2" max="2" width="3.33203125" style="132" customWidth="1"/>
    <col min="3" max="3" width="12.6640625" style="132" customWidth="1"/>
    <col min="4" max="4" width="55" style="31" customWidth="1"/>
    <col min="5" max="5" width="8.5546875" style="31" customWidth="1"/>
    <col min="6" max="6" width="17.6640625" style="31" customWidth="1"/>
    <col min="7" max="7" width="8.6640625" style="31" customWidth="1"/>
    <col min="8" max="8" width="14.33203125" style="31" bestFit="1" customWidth="1"/>
    <col min="9" max="9" width="13.109375" style="31" customWidth="1"/>
    <col min="10" max="10" width="33.6640625" style="31" customWidth="1"/>
    <col min="11" max="11" width="14.88671875" style="31" customWidth="1"/>
    <col min="12" max="12" width="13.109375" style="31" customWidth="1"/>
    <col min="13" max="13" width="17.33203125" style="31" customWidth="1"/>
    <col min="14" max="14" width="13.5546875" style="31" customWidth="1"/>
    <col min="15" max="15" width="16.33203125" style="31" customWidth="1"/>
    <col min="16" max="16" width="14.44140625" style="31" customWidth="1"/>
    <col min="17" max="17" width="14.33203125" style="31" customWidth="1"/>
    <col min="18" max="18" width="15" style="31" customWidth="1"/>
    <col min="19" max="19" width="3.6640625" style="31" customWidth="1"/>
    <col min="20" max="21" width="12.33203125" style="31" customWidth="1"/>
    <col min="22" max="22" width="13.44140625" style="31" customWidth="1"/>
    <col min="23" max="23" width="12.109375" style="31" customWidth="1"/>
    <col min="24" max="24" width="10.44140625" style="31" customWidth="1"/>
    <col min="25" max="25" width="11" style="31" customWidth="1"/>
    <col min="26" max="27" width="50.109375" style="31" customWidth="1"/>
    <col min="28" max="30" width="8.88671875" style="31" customWidth="1"/>
    <col min="31" max="36" width="8.88671875" style="31" hidden="1" customWidth="1"/>
    <col min="37" max="37" width="11.88671875" style="31" hidden="1" customWidth="1"/>
    <col min="38" max="41" width="8.88671875" style="31" hidden="1" customWidth="1"/>
    <col min="42" max="42" width="19.5546875" style="31" hidden="1" customWidth="1"/>
    <col min="43" max="43" width="35" style="31" hidden="1" customWidth="1"/>
    <col min="44" max="16384" width="8.88671875" style="31" hidden="1"/>
  </cols>
  <sheetData>
    <row r="1" spans="2:42" ht="12.75" customHeight="1" thickBot="1" x14ac:dyDescent="0.3">
      <c r="B1" s="31"/>
      <c r="C1" s="31"/>
    </row>
    <row r="2" spans="2:42" ht="19.5" customHeight="1" thickBot="1" x14ac:dyDescent="0.3">
      <c r="B2" s="987" t="str">
        <f>IF([2]Start!F12="","",[2]Start!F12)</f>
        <v/>
      </c>
      <c r="C2" s="988"/>
      <c r="D2" s="989"/>
    </row>
    <row r="3" spans="2:42" ht="15" customHeight="1" x14ac:dyDescent="0.25">
      <c r="B3" s="1016" t="str">
        <f ca="1">MID(CELL("filename",A1),FIND("]",CELL("filename",A1))+1,256)</f>
        <v>C-1 Site River Baseline</v>
      </c>
      <c r="C3" s="1017"/>
      <c r="D3" s="1018"/>
    </row>
    <row r="4" spans="2:42" ht="19.95" customHeight="1" thickBot="1" x14ac:dyDescent="0.3">
      <c r="B4" s="944"/>
      <c r="C4" s="945"/>
      <c r="D4" s="946"/>
    </row>
    <row r="5" spans="2:42" ht="19.2" customHeight="1" x14ac:dyDescent="0.25">
      <c r="B5" s="31"/>
      <c r="C5" s="31"/>
      <c r="F5" s="131"/>
      <c r="T5" s="1019" t="str">
        <f>IF(SUM(AG10:AG257)&gt;0,"Check Lengths ⚠","")</f>
        <v/>
      </c>
      <c r="U5" s="1019"/>
      <c r="V5" s="1019"/>
      <c r="W5" s="1019"/>
      <c r="X5" s="1019"/>
      <c r="Y5" s="1019"/>
    </row>
    <row r="6" spans="2:42" ht="15.75" customHeight="1" x14ac:dyDescent="0.25">
      <c r="B6" s="31"/>
      <c r="C6" s="31"/>
      <c r="T6" s="1019"/>
      <c r="U6" s="1019"/>
      <c r="V6" s="1019"/>
      <c r="W6" s="1019"/>
      <c r="X6" s="1019"/>
      <c r="Y6" s="1019"/>
    </row>
    <row r="7" spans="2:42" ht="46.2" customHeight="1" thickBot="1" x14ac:dyDescent="0.3"/>
    <row r="8" spans="2:42" ht="28.2" thickBot="1" x14ac:dyDescent="0.3">
      <c r="C8" s="950" t="s">
        <v>318</v>
      </c>
      <c r="D8" s="950"/>
      <c r="E8" s="950"/>
      <c r="F8" s="940" t="s">
        <v>272</v>
      </c>
      <c r="G8" s="940"/>
      <c r="H8" s="940" t="s">
        <v>273</v>
      </c>
      <c r="I8" s="940"/>
      <c r="J8" s="950" t="s">
        <v>191</v>
      </c>
      <c r="K8" s="950"/>
      <c r="L8" s="950"/>
      <c r="M8" s="940" t="s">
        <v>319</v>
      </c>
      <c r="N8" s="940"/>
      <c r="O8" s="940" t="s">
        <v>320</v>
      </c>
      <c r="P8" s="940"/>
      <c r="Q8" s="939" t="s">
        <v>309</v>
      </c>
      <c r="R8" s="167" t="s">
        <v>193</v>
      </c>
      <c r="S8" s="134"/>
      <c r="T8" s="950" t="s">
        <v>194</v>
      </c>
      <c r="U8" s="950"/>
      <c r="V8" s="950"/>
      <c r="W8" s="950"/>
      <c r="X8" s="950"/>
      <c r="Y8" s="950"/>
      <c r="Z8" s="986" t="s">
        <v>196</v>
      </c>
      <c r="AA8" s="986"/>
    </row>
    <row r="9" spans="2:42" ht="42" thickBot="1" x14ac:dyDescent="0.3">
      <c r="C9" s="368" t="s">
        <v>254</v>
      </c>
      <c r="D9" s="201" t="s">
        <v>138</v>
      </c>
      <c r="E9" s="202" t="s">
        <v>294</v>
      </c>
      <c r="F9" s="368" t="s">
        <v>189</v>
      </c>
      <c r="G9" s="202" t="s">
        <v>206</v>
      </c>
      <c r="H9" s="368" t="s">
        <v>190</v>
      </c>
      <c r="I9" s="202" t="s">
        <v>206</v>
      </c>
      <c r="J9" s="368" t="s">
        <v>191</v>
      </c>
      <c r="K9" s="201" t="s">
        <v>191</v>
      </c>
      <c r="L9" s="202" t="s">
        <v>321</v>
      </c>
      <c r="M9" s="368" t="s">
        <v>322</v>
      </c>
      <c r="N9" s="202" t="s">
        <v>323</v>
      </c>
      <c r="O9" s="368" t="s">
        <v>322</v>
      </c>
      <c r="P9" s="202" t="s">
        <v>323</v>
      </c>
      <c r="Q9" s="940"/>
      <c r="R9" s="421" t="s">
        <v>324</v>
      </c>
      <c r="S9" s="138"/>
      <c r="T9" s="368" t="s">
        <v>296</v>
      </c>
      <c r="U9" s="201" t="s">
        <v>297</v>
      </c>
      <c r="V9" s="201" t="s">
        <v>298</v>
      </c>
      <c r="W9" s="201" t="s">
        <v>299</v>
      </c>
      <c r="X9" s="201" t="s">
        <v>325</v>
      </c>
      <c r="Y9" s="202" t="s">
        <v>326</v>
      </c>
      <c r="Z9" s="133" t="s">
        <v>327</v>
      </c>
      <c r="AA9" s="133" t="s">
        <v>216</v>
      </c>
      <c r="AG9" s="42" t="s">
        <v>328</v>
      </c>
      <c r="AH9" s="156" t="s">
        <v>219</v>
      </c>
      <c r="AI9" s="156" t="s">
        <v>220</v>
      </c>
      <c r="AK9" s="156" t="s">
        <v>222</v>
      </c>
      <c r="AM9" s="156" t="s">
        <v>219</v>
      </c>
      <c r="AN9" s="156" t="s">
        <v>220</v>
      </c>
      <c r="AP9" s="131" t="s">
        <v>200</v>
      </c>
    </row>
    <row r="10" spans="2:42" ht="13.8" x14ac:dyDescent="0.25">
      <c r="C10" s="141">
        <v>1</v>
      </c>
      <c r="D10" s="459"/>
      <c r="E10" s="70"/>
      <c r="F10" s="498" t="str">
        <f>IF(D10="","",VLOOKUP(D10,'G-7 Rivers Data'!$B$2:$G$8,2,FALSE))</f>
        <v/>
      </c>
      <c r="G10" s="499" t="str">
        <f>IFERROR(VLOOKUP(F10,'G-7 Rivers Data'!$C$4:$D$8,2,FALSE),"")</f>
        <v/>
      </c>
      <c r="H10" s="71"/>
      <c r="I10" s="499" t="str">
        <f>IFERROR(INDEX('G-7 Rivers Data'!$H$4:$L$8,MATCH(D10,'G-7 Rivers Data'!$B$4:$B$8,0),MATCH(H10,'G-7 Rivers Data'!$H$3:$L$3,0)),"")</f>
        <v/>
      </c>
      <c r="J10" s="426"/>
      <c r="K10" s="537" t="str">
        <f>IF(J10="","",IF(VLOOKUP(J10,'G-7 Rivers Data'!$AK$4:$AM$9,2,FALSE)=0,"Spatial Data Missing ⚠",VLOOKUP(J10,'G-7 Rivers Data'!$AK$4:$AM$9,2,FALSE)))</f>
        <v/>
      </c>
      <c r="L10" s="505" t="str">
        <f>IF(J10="","",IF(VLOOKUP(J10,'G-7 Rivers Data'!$AK$4:$AM$9,3,FALSE)=0,"Spatial Data Missing ⚠",VLOOKUP(J10,'G-7 Rivers Data'!$AK$4:$AM$9,3,FALSE)))</f>
        <v/>
      </c>
      <c r="M10" s="146"/>
      <c r="N10" s="499" t="str">
        <f>IF(M10="","",IF(VLOOKUP(M10,'G-7 Rivers Data'!$AA$4:$AB$7,2,FALSE)=0,"Spatial Data Missing ⚠",VLOOKUP(M10,'G-7 Rivers Data'!$AA$4:$AB$7,2,FALSE)))</f>
        <v/>
      </c>
      <c r="O10" s="78"/>
      <c r="P10" s="499" t="str">
        <f>IF(O10="","",IF(VLOOKUP(O10,'G-7 Rivers Data'!$AD$4:$AE$8,2,FALSE)=0,"Spatial Data Missing ⚠",VLOOKUP(O10,'G-7 Rivers Data'!$AD$4:$AE$8,2,FALSE)))</f>
        <v/>
      </c>
      <c r="Q10" s="506" t="str">
        <f>IF(D10="","",VLOOKUP(D10,'G-7 Rivers Data'!$B$2:$G$8,6,FALSE))</f>
        <v/>
      </c>
      <c r="R10" s="513" t="str">
        <f>IFERROR(IF(D10="","",E10*G10*I10*L10*N10*P10),"")</f>
        <v/>
      </c>
      <c r="S10" s="40"/>
      <c r="T10" s="71"/>
      <c r="U10" s="72"/>
      <c r="V10" s="511" t="str">
        <f>IFERROR(IF(T10&gt;E10,"Check Lengths",T10*G10*I10*L10*N10*P10),"")</f>
        <v/>
      </c>
      <c r="W10" s="511" t="str">
        <f>IFERROR(IF(D10="","",U10*G10*I10*L10*N10*P10),"")</f>
        <v/>
      </c>
      <c r="X10" s="511" t="str">
        <f>IFERROR(IF(D10="","",IF(E10&gt;(T10+U10),E10-T10-U10,0)),"")</f>
        <v/>
      </c>
      <c r="Y10" s="515" t="str">
        <f>IFERROR(IF(E10="","",IF((V10+W10)&gt;R10,0,R10-V10-W10)),"Check Data ⚠")</f>
        <v/>
      </c>
      <c r="Z10" s="169"/>
      <c r="AA10" s="170"/>
      <c r="AG10" s="31">
        <f>IFERROR(IF(T10+U10&gt;E10,1,0),"")</f>
        <v>0</v>
      </c>
      <c r="AH10" s="156" t="str">
        <f>IF(D10="","",IF(T10&gt;0,TRUE,FALSE))</f>
        <v/>
      </c>
      <c r="AI10" s="156" t="str">
        <f>IF(D10="","",IF(U10&gt;0,TRUE,FALSE))</f>
        <v/>
      </c>
      <c r="AK10" s="156">
        <v>1</v>
      </c>
      <c r="AM10" s="156" t="str">
        <f t="array" ref="AM10">IFERROR(INDEX($AK$10:$AK$258, MATCH(0, IF(TRUE=$AH$10:$AH$258, COUNTIF($AM9:$AM$9, $AK$10:$AK$258), ""), 0)),"")</f>
        <v/>
      </c>
      <c r="AN10" s="156" t="str">
        <f t="array" ref="AN10">IFERROR(INDEX($AK$10:$AK$258, MATCH(0, IF(TRUE=$AI$10:$AI$258, COUNTIF($AN9:$AN$9, $AK$10:$AK$258), ""), 0)),"")</f>
        <v/>
      </c>
      <c r="AP10" s="31" t="str">
        <f>IFERROR(INDEX('G-7 Rivers Data'!$AZ$3:$AZ$7,MATCH(D10,'G-7 Rivers Data'!$AY$3:$AY$7,0)),"")</f>
        <v/>
      </c>
    </row>
    <row r="11" spans="2:42" ht="13.8" x14ac:dyDescent="0.25">
      <c r="C11" s="141">
        <v>2</v>
      </c>
      <c r="D11" s="459"/>
      <c r="E11" s="70"/>
      <c r="F11" s="498" t="str">
        <f>IF(D11="","",VLOOKUP(D11,'G-7 Rivers Data'!$B$2:$G$8,2,FALSE))</f>
        <v/>
      </c>
      <c r="G11" s="499" t="str">
        <f>IFERROR(VLOOKUP(F11,'G-7 Rivers Data'!$C$4:$D$8,2,FALSE),"")</f>
        <v/>
      </c>
      <c r="H11" s="71"/>
      <c r="I11" s="499" t="str">
        <f>IFERROR(INDEX('G-7 Rivers Data'!$H$4:$L$8,MATCH(D11,'G-7 Rivers Data'!$B$4:$B$8,0),MATCH(H11,'G-7 Rivers Data'!$H$3:$L$3,0)),"")</f>
        <v/>
      </c>
      <c r="J11" s="426"/>
      <c r="K11" s="498" t="str">
        <f>IF(J11="","",IF(VLOOKUP(J11,'G-7 Rivers Data'!$AK$4:$AM$9,2,FALSE)=0,"Spatial Data Missing ⚠",VLOOKUP(J11,'G-7 Rivers Data'!$AK$4:$AM$9,2,FALSE)))</f>
        <v/>
      </c>
      <c r="L11" s="505" t="str">
        <f>IF(J11="","",IF(VLOOKUP(J11,'G-7 Rivers Data'!$AK$4:$AM$9,3,FALSE)=0,"Spatial Data Missing ⚠",VLOOKUP(J11,'G-7 Rivers Data'!$AK$4:$AM$9,3,FALSE)))</f>
        <v/>
      </c>
      <c r="M11" s="71"/>
      <c r="N11" s="499" t="str">
        <f>IF(M11="","",IF(VLOOKUP(M11,'G-7 Rivers Data'!$AA$4:$AB$7,2,FALSE)=0,"Spatial Data Missing ⚠",VLOOKUP(M11,'G-7 Rivers Data'!$AA$4:$AB$7,2,FALSE)))</f>
        <v/>
      </c>
      <c r="O11" s="78"/>
      <c r="P11" s="499" t="str">
        <f>IF(O11="","",IF(VLOOKUP(O11,'G-7 Rivers Data'!$AD$4:$AE$8,2,FALSE)=0,"Spatial Data Missing ⚠",VLOOKUP(O11,'G-7 Rivers Data'!$AD$4:$AE$8,2,FALSE)))</f>
        <v/>
      </c>
      <c r="Q11" s="506" t="str">
        <f>IF(D11="","",VLOOKUP(D11,'G-7 Rivers Data'!$B$2:$G$8,6,FALSE))</f>
        <v/>
      </c>
      <c r="R11" s="513" t="str">
        <f t="shared" ref="R11:R74" si="0">IFERROR(IF(D11="","",E11*G11*I11*L11*N11*P11),"")</f>
        <v/>
      </c>
      <c r="S11" s="40"/>
      <c r="T11" s="71"/>
      <c r="U11" s="157"/>
      <c r="V11" s="511" t="str">
        <f t="shared" ref="V11:V74" si="1">IFERROR(IF(T11&gt;E11,"Check Lengths",T11*G11*I11*L11*N11*P11),"")</f>
        <v/>
      </c>
      <c r="W11" s="511" t="str">
        <f t="shared" ref="W11:W74" si="2">IFERROR(IF(D11="","",U11*G11*I11*L11*N11*P11),"")</f>
        <v/>
      </c>
      <c r="X11" s="511" t="str">
        <f t="shared" ref="X11:X74" si="3">IFERROR(IF(D11="","",IF(E11&gt;(T11+U11),E11-T11-U11,0)),"")</f>
        <v/>
      </c>
      <c r="Y11" s="515" t="str">
        <f t="shared" ref="Y11:Y74" si="4">IFERROR(IF(E11="","",IF((V11+W11)&gt;R11,0,R11-V11-W11)),"Check Data ⚠")</f>
        <v/>
      </c>
      <c r="Z11" s="151"/>
      <c r="AA11" s="152"/>
      <c r="AG11" s="31">
        <f t="shared" ref="AG11:AG74" si="5">IFERROR(IF(T11+U11&gt;E11,1,0),"")</f>
        <v>0</v>
      </c>
      <c r="AH11" s="156" t="str">
        <f t="shared" ref="AH11:AH74" si="6">IF(D11="","",IF(T11&gt;0,TRUE,FALSE))</f>
        <v/>
      </c>
      <c r="AI11" s="156" t="str">
        <f t="shared" ref="AI11:AI74" si="7">IF(D11="","",IF(U11&gt;0,TRUE,FALSE))</f>
        <v/>
      </c>
      <c r="AK11" s="156">
        <v>2</v>
      </c>
      <c r="AM11" s="156" t="str">
        <f t="array" ref="AM11">IFERROR(INDEX($AK$10:$AK$258, MATCH(0, IF(TRUE=$AH$10:$AH$258, COUNTIF($AM$9:$AM10, $AK$10:$AK$258), ""), 0)),"")</f>
        <v/>
      </c>
      <c r="AN11" s="156" t="str">
        <f t="array" ref="AN11">IFERROR(INDEX($AK$10:$AK$258, MATCH(0, IF(TRUE=$AI$10:$AI$258, COUNTIF($AN$9:$AN10, $AK$10:$AK$258), ""), 0)),"")</f>
        <v/>
      </c>
      <c r="AP11" s="31" t="str">
        <f>IFERROR(INDEX('G-7 Rivers Data'!$AZ$3:$AZ$7,MATCH(D11,'G-7 Rivers Data'!$AY$3:$AY$7,0)),"")</f>
        <v/>
      </c>
    </row>
    <row r="12" spans="2:42" ht="13.8" x14ac:dyDescent="0.25">
      <c r="C12" s="141">
        <v>3</v>
      </c>
      <c r="D12" s="459"/>
      <c r="E12" s="70"/>
      <c r="F12" s="498" t="str">
        <f>IF(D12="","",VLOOKUP(D12,'G-7 Rivers Data'!$B$2:$G$8,2,FALSE))</f>
        <v/>
      </c>
      <c r="G12" s="499" t="str">
        <f>IFERROR(VLOOKUP(F12,'G-7 Rivers Data'!$C$4:$D$8,2,FALSE),"")</f>
        <v/>
      </c>
      <c r="H12" s="71"/>
      <c r="I12" s="499" t="str">
        <f>IFERROR(INDEX('G-7 Rivers Data'!$H$4:$L$8,MATCH(D12,'G-7 Rivers Data'!$B$4:$B$8,0),MATCH(H12,'G-7 Rivers Data'!$H$3:$L$3,0)),"")</f>
        <v/>
      </c>
      <c r="J12" s="426"/>
      <c r="K12" s="498" t="str">
        <f>IF(J12="","",IF(VLOOKUP(J12,'G-7 Rivers Data'!$AK$4:$AM$9,2,FALSE)=0,"Spatial Data Missing ⚠",VLOOKUP(J12,'G-7 Rivers Data'!$AK$4:$AM$9,2,FALSE)))</f>
        <v/>
      </c>
      <c r="L12" s="505" t="str">
        <f>IF(J12="","",IF(VLOOKUP(J12,'G-7 Rivers Data'!$AK$4:$AM$9,3,FALSE)=0,"Spatial Data Missing ⚠",VLOOKUP(J12,'G-7 Rivers Data'!$AK$4:$AM$9,3,FALSE)))</f>
        <v/>
      </c>
      <c r="M12" s="71"/>
      <c r="N12" s="499" t="str">
        <f>IF(M12="","",IF(VLOOKUP(M12,'G-7 Rivers Data'!$AA$4:$AB$7,2,FALSE)=0,"Spatial Data Missing ⚠",VLOOKUP(M12,'G-7 Rivers Data'!$AA$4:$AB$7,2,FALSE)))</f>
        <v/>
      </c>
      <c r="O12" s="78"/>
      <c r="P12" s="499" t="str">
        <f>IF(O12="","",IF(VLOOKUP(O12,'G-7 Rivers Data'!$AD$4:$AE$8,2,FALSE)=0,"Spatial Data Missing ⚠",VLOOKUP(O12,'G-7 Rivers Data'!$AD$4:$AE$8,2,FALSE)))</f>
        <v/>
      </c>
      <c r="Q12" s="506" t="str">
        <f>IF(D12="","",VLOOKUP(D12,'G-7 Rivers Data'!$B$2:$G$8,6,FALSE))</f>
        <v/>
      </c>
      <c r="R12" s="513" t="str">
        <f t="shared" si="0"/>
        <v/>
      </c>
      <c r="S12" s="40"/>
      <c r="T12" s="71"/>
      <c r="U12" s="157"/>
      <c r="V12" s="511" t="str">
        <f t="shared" si="1"/>
        <v/>
      </c>
      <c r="W12" s="511" t="str">
        <f t="shared" si="2"/>
        <v/>
      </c>
      <c r="X12" s="511" t="str">
        <f t="shared" si="3"/>
        <v/>
      </c>
      <c r="Y12" s="515" t="str">
        <f t="shared" si="4"/>
        <v/>
      </c>
      <c r="Z12" s="151"/>
      <c r="AA12" s="152"/>
      <c r="AG12" s="31">
        <f t="shared" si="5"/>
        <v>0</v>
      </c>
      <c r="AH12" s="156" t="str">
        <f t="shared" si="6"/>
        <v/>
      </c>
      <c r="AI12" s="156" t="str">
        <f t="shared" si="7"/>
        <v/>
      </c>
      <c r="AK12" s="156">
        <v>3</v>
      </c>
      <c r="AM12" s="156" t="str">
        <f t="array" ref="AM12">IFERROR(INDEX($AK$10:$AK$258, MATCH(0, IF(TRUE=$AH$10:$AH$258, COUNTIF($AM$9:$AM11, $AK$10:$AK$258), ""), 0)),"")</f>
        <v/>
      </c>
      <c r="AN12" s="156" t="str">
        <f t="array" ref="AN12">IFERROR(INDEX($AK$10:$AK$258, MATCH(0, IF(TRUE=$AI$10:$AI$258, COUNTIF($AN$9:$AN11, $AK$10:$AK$258), ""), 0)),"")</f>
        <v/>
      </c>
      <c r="AP12" s="31" t="str">
        <f>IFERROR(INDEX('G-7 Rivers Data'!$AZ$3:$AZ$7,MATCH(D12,'G-7 Rivers Data'!$AY$3:$AY$7,0)),"")</f>
        <v/>
      </c>
    </row>
    <row r="13" spans="2:42" ht="13.8" x14ac:dyDescent="0.25">
      <c r="C13" s="141">
        <v>4</v>
      </c>
      <c r="D13" s="459"/>
      <c r="E13" s="70"/>
      <c r="F13" s="498" t="str">
        <f>IF(D13="","",VLOOKUP(D13,'G-7 Rivers Data'!$B$2:$G$8,2,FALSE))</f>
        <v/>
      </c>
      <c r="G13" s="499" t="str">
        <f>IFERROR(VLOOKUP(F13,'G-7 Rivers Data'!$C$4:$D$8,2,FALSE),"")</f>
        <v/>
      </c>
      <c r="H13" s="71"/>
      <c r="I13" s="499" t="str">
        <f>IFERROR(INDEX('G-7 Rivers Data'!$H$4:$L$8,MATCH(D13,'G-7 Rivers Data'!$B$4:$B$8,0),MATCH(H13,'G-7 Rivers Data'!$H$3:$L$3,0)),"")</f>
        <v/>
      </c>
      <c r="J13" s="426"/>
      <c r="K13" s="498" t="str">
        <f>IF(J13="","",IF(VLOOKUP(J13,'G-7 Rivers Data'!$AK$4:$AM$9,2,FALSE)=0,"Spatial Data Missing ⚠",VLOOKUP(J13,'G-7 Rivers Data'!$AK$4:$AM$9,2,FALSE)))</f>
        <v/>
      </c>
      <c r="L13" s="505" t="str">
        <f>IF(J13="","",IF(VLOOKUP(J13,'G-7 Rivers Data'!$AK$4:$AM$9,3,FALSE)=0,"Spatial Data Missing ⚠",VLOOKUP(J13,'G-7 Rivers Data'!$AK$4:$AM$9,3,FALSE)))</f>
        <v/>
      </c>
      <c r="M13" s="71"/>
      <c r="N13" s="499" t="str">
        <f>IF(M13="","",IF(VLOOKUP(M13,'G-7 Rivers Data'!$AA$4:$AB$7,2,FALSE)=0,"Spatial Data Missing ⚠",VLOOKUP(M13,'G-7 Rivers Data'!$AA$4:$AB$7,2,FALSE)))</f>
        <v/>
      </c>
      <c r="O13" s="78"/>
      <c r="P13" s="499" t="str">
        <f>IF(O13="","",IF(VLOOKUP(O13,'G-7 Rivers Data'!$AD$4:$AE$8,2,FALSE)=0,"Spatial Data Missing ⚠",VLOOKUP(O13,'G-7 Rivers Data'!$AD$4:$AE$8,2,FALSE)))</f>
        <v/>
      </c>
      <c r="Q13" s="506" t="str">
        <f>IF(D13="","",VLOOKUP(D13,'G-7 Rivers Data'!$B$2:$G$8,6,FALSE))</f>
        <v/>
      </c>
      <c r="R13" s="513" t="str">
        <f t="shared" si="0"/>
        <v/>
      </c>
      <c r="S13" s="40"/>
      <c r="T13" s="71"/>
      <c r="U13" s="157"/>
      <c r="V13" s="511" t="str">
        <f t="shared" si="1"/>
        <v/>
      </c>
      <c r="W13" s="511" t="str">
        <f t="shared" si="2"/>
        <v/>
      </c>
      <c r="X13" s="511" t="str">
        <f t="shared" si="3"/>
        <v/>
      </c>
      <c r="Y13" s="515" t="str">
        <f t="shared" si="4"/>
        <v/>
      </c>
      <c r="Z13" s="151"/>
      <c r="AA13" s="152"/>
      <c r="AG13" s="31">
        <f t="shared" si="5"/>
        <v>0</v>
      </c>
      <c r="AH13" s="156" t="str">
        <f t="shared" si="6"/>
        <v/>
      </c>
      <c r="AI13" s="156" t="str">
        <f t="shared" si="7"/>
        <v/>
      </c>
      <c r="AK13" s="156">
        <v>4</v>
      </c>
      <c r="AM13" s="156" t="str">
        <f t="array" ref="AM13">IFERROR(INDEX($AK$10:$AK$258, MATCH(0, IF(TRUE=$AH$10:$AH$258, COUNTIF($AM$9:$AM12, $AK$10:$AK$258), ""), 0)),"")</f>
        <v/>
      </c>
      <c r="AN13" s="156" t="str">
        <f t="array" ref="AN13">IFERROR(INDEX($AK$10:$AK$258, MATCH(0, IF(TRUE=$AI$10:$AI$258, COUNTIF($AN$9:$AN12, $AK$10:$AK$258), ""), 0)),"")</f>
        <v/>
      </c>
      <c r="AP13" s="31" t="str">
        <f>IFERROR(INDEX('G-7 Rivers Data'!$AZ$3:$AZ$7,MATCH(D13,'G-7 Rivers Data'!$AY$3:$AY$7,0)),"")</f>
        <v/>
      </c>
    </row>
    <row r="14" spans="2:42" ht="13.8" x14ac:dyDescent="0.25">
      <c r="C14" s="141">
        <v>5</v>
      </c>
      <c r="D14" s="459"/>
      <c r="E14" s="172"/>
      <c r="F14" s="498" t="str">
        <f>IF(D14="","",VLOOKUP(D14,'G-7 Rivers Data'!$B$2:$G$8,2,FALSE))</f>
        <v/>
      </c>
      <c r="G14" s="499" t="str">
        <f>IFERROR(VLOOKUP(F14,'G-7 Rivers Data'!$C$4:$D$8,2,FALSE),"")</f>
        <v/>
      </c>
      <c r="H14" s="145"/>
      <c r="I14" s="499" t="str">
        <f>IFERROR(INDEX('G-7 Rivers Data'!$H$4:$L$8,MATCH(D14,'G-7 Rivers Data'!$B$4:$B$8,0),MATCH(H14,'G-7 Rivers Data'!$H$3:$L$3,0)),"")</f>
        <v/>
      </c>
      <c r="J14" s="426"/>
      <c r="K14" s="498" t="str">
        <f>IF(J14="","",IF(VLOOKUP(J14,'G-7 Rivers Data'!$AK$4:$AM$9,2,FALSE)=0,"Spatial Data Missing ⚠",VLOOKUP(J14,'G-7 Rivers Data'!$AK$4:$AM$9,2,FALSE)))</f>
        <v/>
      </c>
      <c r="L14" s="505" t="str">
        <f>IF(J14="","",IF(VLOOKUP(J14,'G-7 Rivers Data'!$AK$4:$AM$9,3,FALSE)=0,"Spatial Data Missing ⚠",VLOOKUP(J14,'G-7 Rivers Data'!$AK$4:$AM$9,3,FALSE)))</f>
        <v/>
      </c>
      <c r="M14" s="71"/>
      <c r="N14" s="499" t="str">
        <f>IF(M14="","",IF(VLOOKUP(M14,'G-7 Rivers Data'!$AA$4:$AB$7,2,FALSE)=0,"Spatial Data Missing ⚠",VLOOKUP(M14,'G-7 Rivers Data'!$AA$4:$AB$7,2,FALSE)))</f>
        <v/>
      </c>
      <c r="O14" s="78"/>
      <c r="P14" s="499" t="str">
        <f>IF(O14="","",IF(VLOOKUP(O14,'G-7 Rivers Data'!$AD$4:$AE$8,2,FALSE)=0,"Spatial Data Missing ⚠",VLOOKUP(O14,'G-7 Rivers Data'!$AD$4:$AE$8,2,FALSE)))</f>
        <v/>
      </c>
      <c r="Q14" s="506" t="str">
        <f>IF(D14="","",VLOOKUP(D14,'G-7 Rivers Data'!$B$2:$G$8,6,FALSE))</f>
        <v/>
      </c>
      <c r="R14" s="513" t="str">
        <f t="shared" si="0"/>
        <v/>
      </c>
      <c r="S14" s="40"/>
      <c r="T14" s="71"/>
      <c r="U14" s="157"/>
      <c r="V14" s="511" t="str">
        <f t="shared" si="1"/>
        <v/>
      </c>
      <c r="W14" s="511" t="str">
        <f t="shared" si="2"/>
        <v/>
      </c>
      <c r="X14" s="511" t="str">
        <f t="shared" si="3"/>
        <v/>
      </c>
      <c r="Y14" s="515" t="str">
        <f t="shared" si="4"/>
        <v/>
      </c>
      <c r="Z14" s="151"/>
      <c r="AA14" s="152"/>
      <c r="AG14" s="31">
        <f t="shared" si="5"/>
        <v>0</v>
      </c>
      <c r="AH14" s="156" t="str">
        <f t="shared" si="6"/>
        <v/>
      </c>
      <c r="AI14" s="156" t="str">
        <f t="shared" si="7"/>
        <v/>
      </c>
      <c r="AK14" s="156">
        <v>5</v>
      </c>
      <c r="AM14" s="156" t="str">
        <f t="array" ref="AM14">IFERROR(INDEX($AK$10:$AK$258, MATCH(0, IF(TRUE=$AH$10:$AH$258, COUNTIF($AM$9:$AM13, $AK$10:$AK$258), ""), 0)),"")</f>
        <v/>
      </c>
      <c r="AN14" s="156" t="str">
        <f t="array" ref="AN14">IFERROR(INDEX($AK$10:$AK$258, MATCH(0, IF(TRUE=$AI$10:$AI$258, COUNTIF($AN$9:$AN13, $AK$10:$AK$258), ""), 0)),"")</f>
        <v/>
      </c>
      <c r="AP14" s="31" t="str">
        <f>IFERROR(INDEX('G-7 Rivers Data'!$AZ$3:$AZ$7,MATCH(D14,'G-7 Rivers Data'!$AY$3:$AY$7,0)),"")</f>
        <v/>
      </c>
    </row>
    <row r="15" spans="2:42" ht="13.8" x14ac:dyDescent="0.25">
      <c r="C15" s="141">
        <v>6</v>
      </c>
      <c r="D15" s="459"/>
      <c r="E15" s="172"/>
      <c r="F15" s="498" t="str">
        <f>IF(D15="","",VLOOKUP(D15,'G-7 Rivers Data'!$B$2:$G$8,2,FALSE))</f>
        <v/>
      </c>
      <c r="G15" s="499" t="str">
        <f>IFERROR(VLOOKUP(F15,'G-7 Rivers Data'!$C$4:$D$8,2,FALSE),"")</f>
        <v/>
      </c>
      <c r="H15" s="145"/>
      <c r="I15" s="499" t="str">
        <f>IFERROR(INDEX('G-7 Rivers Data'!$H$4:$L$8,MATCH(D15,'G-7 Rivers Data'!$B$4:$B$8,0),MATCH(H15,'G-7 Rivers Data'!$H$3:$L$3,0)),"")</f>
        <v/>
      </c>
      <c r="J15" s="418"/>
      <c r="K15" s="498" t="str">
        <f>IF(J15="","",IF(VLOOKUP(J15,'G-7 Rivers Data'!$AK$4:$AM$9,2,FALSE)=0,"Spatial Data Missing ⚠",VLOOKUP(J15,'G-7 Rivers Data'!$AK$4:$AM$9,2,FALSE)))</f>
        <v/>
      </c>
      <c r="L15" s="505" t="str">
        <f>IF(J15="","",IF(VLOOKUP(J15,'G-7 Rivers Data'!$AK$4:$AM$9,3,FALSE)=0,"Spatial Data Missing ⚠",VLOOKUP(J15,'G-7 Rivers Data'!$AK$4:$AM$9,3,FALSE)))</f>
        <v/>
      </c>
      <c r="M15" s="71"/>
      <c r="N15" s="499" t="str">
        <f>IF(M15="","",IF(VLOOKUP(M15,'G-7 Rivers Data'!$AA$4:$AB$7,2,FALSE)=0,"Spatial Data Missing ⚠",VLOOKUP(M15,'G-7 Rivers Data'!$AA$4:$AB$7,2,FALSE)))</f>
        <v/>
      </c>
      <c r="O15" s="155"/>
      <c r="P15" s="499" t="str">
        <f>IF(O15="","",IF(VLOOKUP(O15,'G-7 Rivers Data'!$AD$4:$AE$8,2,FALSE)=0,"Spatial Data Missing ⚠",VLOOKUP(O15,'G-7 Rivers Data'!$AD$4:$AE$8,2,FALSE)))</f>
        <v/>
      </c>
      <c r="Q15" s="506" t="str">
        <f>IF(D15="","",VLOOKUP(D15,'G-7 Rivers Data'!$B$2:$G$8,6,FALSE))</f>
        <v/>
      </c>
      <c r="R15" s="513" t="str">
        <f t="shared" si="0"/>
        <v/>
      </c>
      <c r="S15" s="40"/>
      <c r="T15" s="145"/>
      <c r="U15" s="157"/>
      <c r="V15" s="511" t="str">
        <f t="shared" si="1"/>
        <v/>
      </c>
      <c r="W15" s="511" t="str">
        <f t="shared" si="2"/>
        <v/>
      </c>
      <c r="X15" s="511" t="str">
        <f t="shared" si="3"/>
        <v/>
      </c>
      <c r="Y15" s="515" t="str">
        <f t="shared" si="4"/>
        <v/>
      </c>
      <c r="Z15" s="151"/>
      <c r="AA15" s="152"/>
      <c r="AG15" s="31">
        <f t="shared" si="5"/>
        <v>0</v>
      </c>
      <c r="AH15" s="156" t="str">
        <f t="shared" si="6"/>
        <v/>
      </c>
      <c r="AI15" s="156" t="str">
        <f t="shared" si="7"/>
        <v/>
      </c>
      <c r="AK15" s="156">
        <v>6</v>
      </c>
      <c r="AM15" s="156" t="str">
        <f t="array" ref="AM15">IFERROR(INDEX($AK$10:$AK$258, MATCH(0, IF(TRUE=$AH$10:$AH$258, COUNTIF($AM$9:$AM14, $AK$10:$AK$258), ""), 0)),"")</f>
        <v/>
      </c>
      <c r="AN15" s="156" t="str">
        <f t="array" ref="AN15">IFERROR(INDEX($AK$10:$AK$258, MATCH(0, IF(TRUE=$AI$10:$AI$258, COUNTIF($AN$9:$AN14, $AK$10:$AK$258), ""), 0)),"")</f>
        <v/>
      </c>
      <c r="AP15" s="31" t="str">
        <f>IFERROR(INDEX('G-7 Rivers Data'!$AZ$3:$AZ$7,MATCH(D15,'G-7 Rivers Data'!$AY$3:$AY$7,0)),"")</f>
        <v/>
      </c>
    </row>
    <row r="16" spans="2:42" ht="14.4" customHeight="1" x14ac:dyDescent="0.25">
      <c r="C16" s="141">
        <v>7</v>
      </c>
      <c r="D16" s="459"/>
      <c r="E16" s="172"/>
      <c r="F16" s="498" t="str">
        <f>IF(D16="","",VLOOKUP(D16,'G-7 Rivers Data'!$B$2:$G$8,2,FALSE))</f>
        <v/>
      </c>
      <c r="G16" s="499" t="str">
        <f>IFERROR(VLOOKUP(F16,'G-7 Rivers Data'!$C$4:$D$8,2,FALSE),"")</f>
        <v/>
      </c>
      <c r="H16" s="145"/>
      <c r="I16" s="499" t="str">
        <f>IFERROR(INDEX('G-7 Rivers Data'!$H$4:$L$8,MATCH(D16,'G-7 Rivers Data'!$B$4:$B$8,0),MATCH(H16,'G-7 Rivers Data'!$H$3:$L$3,0)),"")</f>
        <v/>
      </c>
      <c r="J16" s="418"/>
      <c r="K16" s="498" t="str">
        <f>IF(J16="","",IF(VLOOKUP(J16,'G-7 Rivers Data'!$AK$4:$AM$9,2,FALSE)=0,"Spatial Data Missing ⚠",VLOOKUP(J16,'G-7 Rivers Data'!$AK$4:$AM$9,2,FALSE)))</f>
        <v/>
      </c>
      <c r="L16" s="505" t="str">
        <f>IF(J16="","",IF(VLOOKUP(J16,'G-7 Rivers Data'!$AK$4:$AM$9,3,FALSE)=0,"Spatial Data Missing ⚠",VLOOKUP(J16,'G-7 Rivers Data'!$AK$4:$AM$9,3,FALSE)))</f>
        <v/>
      </c>
      <c r="M16" s="71"/>
      <c r="N16" s="499" t="str">
        <f>IF(M16="","",IF(VLOOKUP(M16,'G-7 Rivers Data'!$AA$4:$AB$7,2,FALSE)=0,"Spatial Data Missing ⚠",VLOOKUP(M16,'G-7 Rivers Data'!$AA$4:$AB$7,2,FALSE)))</f>
        <v/>
      </c>
      <c r="O16" s="155"/>
      <c r="P16" s="499" t="str">
        <f>IF(O16="","",IF(VLOOKUP(O16,'G-7 Rivers Data'!$AD$4:$AE$8,2,FALSE)=0,"Spatial Data Missing ⚠",VLOOKUP(O16,'G-7 Rivers Data'!$AD$4:$AE$8,2,FALSE)))</f>
        <v/>
      </c>
      <c r="Q16" s="506" t="str">
        <f>IF(D16="","",VLOOKUP(D16,'G-7 Rivers Data'!$B$2:$G$8,6,FALSE))</f>
        <v/>
      </c>
      <c r="R16" s="513" t="str">
        <f t="shared" si="0"/>
        <v/>
      </c>
      <c r="S16" s="40"/>
      <c r="T16" s="145"/>
      <c r="U16" s="157"/>
      <c r="V16" s="511" t="str">
        <f t="shared" si="1"/>
        <v/>
      </c>
      <c r="W16" s="511" t="str">
        <f t="shared" si="2"/>
        <v/>
      </c>
      <c r="X16" s="511" t="str">
        <f t="shared" si="3"/>
        <v/>
      </c>
      <c r="Y16" s="515" t="str">
        <f t="shared" si="4"/>
        <v/>
      </c>
      <c r="Z16" s="151"/>
      <c r="AA16" s="152"/>
      <c r="AG16" s="31">
        <f t="shared" si="5"/>
        <v>0</v>
      </c>
      <c r="AH16" s="156" t="str">
        <f t="shared" si="6"/>
        <v/>
      </c>
      <c r="AI16" s="156" t="str">
        <f t="shared" si="7"/>
        <v/>
      </c>
      <c r="AK16" s="156">
        <v>7</v>
      </c>
      <c r="AM16" s="156" t="str">
        <f t="array" ref="AM16">IFERROR(INDEX($AK$10:$AK$258, MATCH(0, IF(TRUE=$AH$10:$AH$258, COUNTIF($AM$9:$AM15, $AK$10:$AK$258), ""), 0)),"")</f>
        <v/>
      </c>
      <c r="AN16" s="156" t="str">
        <f t="array" ref="AN16">IFERROR(INDEX($AK$10:$AK$258, MATCH(0, IF(TRUE=$AI$10:$AI$258, COUNTIF($AN$9:$AN15, $AK$10:$AK$258), ""), 0)),"")</f>
        <v/>
      </c>
      <c r="AP16" s="31" t="str">
        <f>IFERROR(INDEX('G-7 Rivers Data'!$AZ$3:$AZ$7,MATCH(D16,'G-7 Rivers Data'!$AY$3:$AY$7,0)),"")</f>
        <v/>
      </c>
    </row>
    <row r="17" spans="3:42" ht="13.8" x14ac:dyDescent="0.25">
      <c r="C17" s="141">
        <v>8</v>
      </c>
      <c r="D17" s="459"/>
      <c r="E17" s="172"/>
      <c r="F17" s="498" t="str">
        <f>IF(D17="","",VLOOKUP(D17,'G-7 Rivers Data'!$B$2:$G$8,2,FALSE))</f>
        <v/>
      </c>
      <c r="G17" s="499" t="str">
        <f>IFERROR(VLOOKUP(F17,'G-7 Rivers Data'!$C$4:$D$8,2,FALSE),"")</f>
        <v/>
      </c>
      <c r="H17" s="145"/>
      <c r="I17" s="499" t="str">
        <f>IFERROR(INDEX('G-7 Rivers Data'!$H$4:$L$8,MATCH(D17,'G-7 Rivers Data'!$B$4:$B$8,0),MATCH(H17,'G-7 Rivers Data'!$H$3:$L$3,0)),"")</f>
        <v/>
      </c>
      <c r="J17" s="418"/>
      <c r="K17" s="498" t="str">
        <f>IF(J17="","",IF(VLOOKUP(J17,'G-7 Rivers Data'!$AK$4:$AM$9,2,FALSE)=0,"Spatial Data Missing ⚠",VLOOKUP(J17,'G-7 Rivers Data'!$AK$4:$AM$9,2,FALSE)))</f>
        <v/>
      </c>
      <c r="L17" s="505" t="str">
        <f>IF(J17="","",IF(VLOOKUP(J17,'G-7 Rivers Data'!$AK$4:$AM$9,3,FALSE)=0,"Spatial Data Missing ⚠",VLOOKUP(J17,'G-7 Rivers Data'!$AK$4:$AM$9,3,FALSE)))</f>
        <v/>
      </c>
      <c r="M17" s="71"/>
      <c r="N17" s="499" t="str">
        <f>IF(M17="","",IF(VLOOKUP(M17,'G-7 Rivers Data'!$AA$4:$AB$7,2,FALSE)=0,"Spatial Data Missing ⚠",VLOOKUP(M17,'G-7 Rivers Data'!$AA$4:$AB$7,2,FALSE)))</f>
        <v/>
      </c>
      <c r="O17" s="155"/>
      <c r="P17" s="499" t="str">
        <f>IF(O17="","",IF(VLOOKUP(O17,'G-7 Rivers Data'!$AD$4:$AE$8,2,FALSE)=0,"Spatial Data Missing ⚠",VLOOKUP(O17,'G-7 Rivers Data'!$AD$4:$AE$8,2,FALSE)))</f>
        <v/>
      </c>
      <c r="Q17" s="506" t="str">
        <f>IF(D17="","",VLOOKUP(D17,'G-7 Rivers Data'!$B$2:$G$8,6,FALSE))</f>
        <v/>
      </c>
      <c r="R17" s="513" t="str">
        <f t="shared" si="0"/>
        <v/>
      </c>
      <c r="S17" s="40"/>
      <c r="T17" s="145"/>
      <c r="U17" s="157"/>
      <c r="V17" s="511" t="str">
        <f t="shared" si="1"/>
        <v/>
      </c>
      <c r="W17" s="511" t="str">
        <f t="shared" si="2"/>
        <v/>
      </c>
      <c r="X17" s="511" t="str">
        <f t="shared" si="3"/>
        <v/>
      </c>
      <c r="Y17" s="515" t="str">
        <f t="shared" si="4"/>
        <v/>
      </c>
      <c r="Z17" s="151"/>
      <c r="AA17" s="152"/>
      <c r="AG17" s="31">
        <f t="shared" si="5"/>
        <v>0</v>
      </c>
      <c r="AH17" s="156" t="str">
        <f t="shared" si="6"/>
        <v/>
      </c>
      <c r="AI17" s="156" t="str">
        <f t="shared" si="7"/>
        <v/>
      </c>
      <c r="AK17" s="156">
        <v>8</v>
      </c>
      <c r="AM17" s="156" t="str">
        <f t="array" ref="AM17">IFERROR(INDEX($AK$10:$AK$258, MATCH(0, IF(TRUE=$AH$10:$AH$258, COUNTIF($AM$9:$AM16, $AK$10:$AK$258), ""), 0)),"")</f>
        <v/>
      </c>
      <c r="AN17" s="156" t="str">
        <f t="array" ref="AN17">IFERROR(INDEX($AK$10:$AK$258, MATCH(0, IF(TRUE=$AI$10:$AI$258, COUNTIF($AN$9:$AN16, $AK$10:$AK$258), ""), 0)),"")</f>
        <v/>
      </c>
      <c r="AP17" s="31" t="str">
        <f>IFERROR(INDEX('G-7 Rivers Data'!$AZ$3:$AZ$7,MATCH(D17,'G-7 Rivers Data'!$AY$3:$AY$7,0)),"")</f>
        <v/>
      </c>
    </row>
    <row r="18" spans="3:42" ht="13.8" x14ac:dyDescent="0.25">
      <c r="C18" s="141">
        <v>9</v>
      </c>
      <c r="D18" s="459"/>
      <c r="E18" s="172"/>
      <c r="F18" s="498" t="str">
        <f>IF(D18="","",VLOOKUP(D18,'G-7 Rivers Data'!$B$2:$G$8,2,FALSE))</f>
        <v/>
      </c>
      <c r="G18" s="499" t="str">
        <f>IFERROR(VLOOKUP(F18,'G-7 Rivers Data'!$C$4:$D$8,2,FALSE),"")</f>
        <v/>
      </c>
      <c r="H18" s="145"/>
      <c r="I18" s="499" t="str">
        <f>IFERROR(INDEX('G-7 Rivers Data'!$H$4:$L$8,MATCH(D18,'G-7 Rivers Data'!$B$4:$B$8,0),MATCH(H18,'G-7 Rivers Data'!$H$3:$L$3,0)),"")</f>
        <v/>
      </c>
      <c r="J18" s="418"/>
      <c r="K18" s="498" t="str">
        <f>IF(J18="","",IF(VLOOKUP(J18,'G-7 Rivers Data'!$AK$4:$AM$9,2,FALSE)=0,"Spatial Data Missing ⚠",VLOOKUP(J18,'G-7 Rivers Data'!$AK$4:$AM$9,2,FALSE)))</f>
        <v/>
      </c>
      <c r="L18" s="505" t="str">
        <f>IF(J18="","",IF(VLOOKUP(J18,'G-7 Rivers Data'!$AK$4:$AM$9,3,FALSE)=0,"Spatial Data Missing ⚠",VLOOKUP(J18,'G-7 Rivers Data'!$AK$4:$AM$9,3,FALSE)))</f>
        <v/>
      </c>
      <c r="M18" s="71"/>
      <c r="N18" s="499" t="str">
        <f>IF(M18="","",IF(VLOOKUP(M18,'G-7 Rivers Data'!$AA$4:$AB$7,2,FALSE)=0,"Spatial Data Missing ⚠",VLOOKUP(M18,'G-7 Rivers Data'!$AA$4:$AB$7,2,FALSE)))</f>
        <v/>
      </c>
      <c r="O18" s="155"/>
      <c r="P18" s="499" t="str">
        <f>IF(O18="","",IF(VLOOKUP(O18,'G-7 Rivers Data'!$AD$4:$AE$8,2,FALSE)=0,"Spatial Data Missing ⚠",VLOOKUP(O18,'G-7 Rivers Data'!$AD$4:$AE$8,2,FALSE)))</f>
        <v/>
      </c>
      <c r="Q18" s="506" t="str">
        <f>IF(D18="","",VLOOKUP(D18,'G-7 Rivers Data'!$B$2:$G$8,6,FALSE))</f>
        <v/>
      </c>
      <c r="R18" s="513" t="str">
        <f t="shared" si="0"/>
        <v/>
      </c>
      <c r="S18" s="40"/>
      <c r="T18" s="145"/>
      <c r="U18" s="157"/>
      <c r="V18" s="511" t="str">
        <f t="shared" si="1"/>
        <v/>
      </c>
      <c r="W18" s="511" t="str">
        <f t="shared" si="2"/>
        <v/>
      </c>
      <c r="X18" s="511" t="str">
        <f t="shared" si="3"/>
        <v/>
      </c>
      <c r="Y18" s="515" t="str">
        <f t="shared" si="4"/>
        <v/>
      </c>
      <c r="Z18" s="151"/>
      <c r="AA18" s="152"/>
      <c r="AG18" s="31">
        <f t="shared" si="5"/>
        <v>0</v>
      </c>
      <c r="AH18" s="156" t="str">
        <f t="shared" si="6"/>
        <v/>
      </c>
      <c r="AI18" s="156" t="str">
        <f t="shared" si="7"/>
        <v/>
      </c>
      <c r="AK18" s="156">
        <v>9</v>
      </c>
      <c r="AM18" s="156" t="str">
        <f t="array" ref="AM18">IFERROR(INDEX($AK$10:$AK$258, MATCH(0, IF(TRUE=$AH$10:$AH$258, COUNTIF($AM$9:$AM17, $AK$10:$AK$258), ""), 0)),"")</f>
        <v/>
      </c>
      <c r="AN18" s="156" t="str">
        <f t="array" ref="AN18">IFERROR(INDEX($AK$10:$AK$258, MATCH(0, IF(TRUE=$AI$10:$AI$258, COUNTIF($AN$9:$AN17, $AK$10:$AK$258), ""), 0)),"")</f>
        <v/>
      </c>
      <c r="AP18" s="31" t="str">
        <f>IFERROR(INDEX('G-7 Rivers Data'!$AZ$3:$AZ$7,MATCH(D18,'G-7 Rivers Data'!$AY$3:$AY$7,0)),"")</f>
        <v/>
      </c>
    </row>
    <row r="19" spans="3:42" ht="15" customHeight="1" x14ac:dyDescent="0.25">
      <c r="C19" s="141">
        <v>10</v>
      </c>
      <c r="D19" s="459"/>
      <c r="E19" s="172"/>
      <c r="F19" s="498" t="str">
        <f>IF(D19="","",VLOOKUP(D19,'G-7 Rivers Data'!$B$2:$G$8,2,FALSE))</f>
        <v/>
      </c>
      <c r="G19" s="499" t="str">
        <f>IFERROR(VLOOKUP(F19,'G-7 Rivers Data'!$C$4:$D$8,2,FALSE),"")</f>
        <v/>
      </c>
      <c r="H19" s="145"/>
      <c r="I19" s="499" t="str">
        <f>IFERROR(INDEX('G-7 Rivers Data'!$H$4:$L$8,MATCH(D19,'G-7 Rivers Data'!$B$4:$B$8,0),MATCH(H19,'G-7 Rivers Data'!$H$3:$L$3,0)),"")</f>
        <v/>
      </c>
      <c r="J19" s="418"/>
      <c r="K19" s="498" t="str">
        <f>IF(J19="","",IF(VLOOKUP(J19,'G-7 Rivers Data'!$AK$4:$AM$9,2,FALSE)=0,"Spatial Data Missing ⚠",VLOOKUP(J19,'G-7 Rivers Data'!$AK$4:$AM$9,2,FALSE)))</f>
        <v/>
      </c>
      <c r="L19" s="505" t="str">
        <f>IF(J19="","",IF(VLOOKUP(J19,'G-7 Rivers Data'!$AK$4:$AM$9,3,FALSE)=0,"Spatial Data Missing ⚠",VLOOKUP(J19,'G-7 Rivers Data'!$AK$4:$AM$9,3,FALSE)))</f>
        <v/>
      </c>
      <c r="M19" s="71"/>
      <c r="N19" s="499" t="str">
        <f>IF(M19="","",IF(VLOOKUP(M19,'G-7 Rivers Data'!$AA$4:$AB$7,2,FALSE)=0,"Spatial Data Missing ⚠",VLOOKUP(M19,'G-7 Rivers Data'!$AA$4:$AB$7,2,FALSE)))</f>
        <v/>
      </c>
      <c r="O19" s="155"/>
      <c r="P19" s="499" t="str">
        <f>IF(O19="","",IF(VLOOKUP(O19,'G-7 Rivers Data'!$AD$4:$AE$8,2,FALSE)=0,"Spatial Data Missing ⚠",VLOOKUP(O19,'G-7 Rivers Data'!$AD$4:$AE$8,2,FALSE)))</f>
        <v/>
      </c>
      <c r="Q19" s="506" t="str">
        <f>IF(D19="","",VLOOKUP(D19,'G-7 Rivers Data'!$B$2:$G$8,6,FALSE))</f>
        <v/>
      </c>
      <c r="R19" s="513" t="str">
        <f t="shared" si="0"/>
        <v/>
      </c>
      <c r="S19" s="40"/>
      <c r="T19" s="145"/>
      <c r="U19" s="157"/>
      <c r="V19" s="511" t="str">
        <f t="shared" si="1"/>
        <v/>
      </c>
      <c r="W19" s="511" t="str">
        <f t="shared" si="2"/>
        <v/>
      </c>
      <c r="X19" s="511" t="str">
        <f t="shared" si="3"/>
        <v/>
      </c>
      <c r="Y19" s="515" t="str">
        <f t="shared" si="4"/>
        <v/>
      </c>
      <c r="Z19" s="151"/>
      <c r="AA19" s="152"/>
      <c r="AG19" s="31">
        <f t="shared" si="5"/>
        <v>0</v>
      </c>
      <c r="AH19" s="156" t="str">
        <f t="shared" si="6"/>
        <v/>
      </c>
      <c r="AI19" s="156" t="str">
        <f t="shared" si="7"/>
        <v/>
      </c>
      <c r="AK19" s="156">
        <v>10</v>
      </c>
      <c r="AM19" s="156" t="str">
        <f t="array" ref="AM19">IFERROR(INDEX($AK$10:$AK$258, MATCH(0, IF(TRUE=$AH$10:$AH$258, COUNTIF($AM$9:$AM18, $AK$10:$AK$258), ""), 0)),"")</f>
        <v/>
      </c>
      <c r="AN19" s="156" t="str">
        <f t="array" ref="AN19">IFERROR(INDEX($AK$10:$AK$258, MATCH(0, IF(TRUE=$AI$10:$AI$258, COUNTIF($AN$9:$AN18, $AK$10:$AK$258), ""), 0)),"")</f>
        <v/>
      </c>
      <c r="AP19" s="31" t="str">
        <f>IFERROR(INDEX('G-7 Rivers Data'!$AZ$3:$AZ$7,MATCH(D19,'G-7 Rivers Data'!$AY$3:$AY$7,0)),"")</f>
        <v/>
      </c>
    </row>
    <row r="20" spans="3:42" ht="13.8" x14ac:dyDescent="0.25">
      <c r="C20" s="141">
        <v>11</v>
      </c>
      <c r="D20" s="459"/>
      <c r="E20" s="172"/>
      <c r="F20" s="498" t="str">
        <f>IF(D20="","",VLOOKUP(D20,'G-7 Rivers Data'!$B$2:$G$8,2,FALSE))</f>
        <v/>
      </c>
      <c r="G20" s="499" t="str">
        <f>IFERROR(VLOOKUP(F20,'G-7 Rivers Data'!$C$4:$D$8,2,FALSE),"")</f>
        <v/>
      </c>
      <c r="H20" s="145"/>
      <c r="I20" s="499" t="str">
        <f>IFERROR(INDEX('G-7 Rivers Data'!$H$4:$L$8,MATCH(D20,'G-7 Rivers Data'!$B$4:$B$8,0),MATCH(H20,'G-7 Rivers Data'!$H$3:$L$3,0)),"")</f>
        <v/>
      </c>
      <c r="J20" s="418"/>
      <c r="K20" s="498" t="str">
        <f>IF(J20="","",IF(VLOOKUP(J20,'G-7 Rivers Data'!$AK$4:$AM$9,2,FALSE)=0,"Spatial Data Missing ⚠",VLOOKUP(J20,'G-7 Rivers Data'!$AK$4:$AM$9,2,FALSE)))</f>
        <v/>
      </c>
      <c r="L20" s="505" t="str">
        <f>IF(J20="","",IF(VLOOKUP(J20,'G-7 Rivers Data'!$AK$4:$AM$9,3,FALSE)=0,"Spatial Data Missing ⚠",VLOOKUP(J20,'G-7 Rivers Data'!$AK$4:$AM$9,3,FALSE)))</f>
        <v/>
      </c>
      <c r="M20" s="71"/>
      <c r="N20" s="499" t="str">
        <f>IF(M20="","",IF(VLOOKUP(M20,'G-7 Rivers Data'!$AA$4:$AB$7,2,FALSE)=0,"Spatial Data Missing ⚠",VLOOKUP(M20,'G-7 Rivers Data'!$AA$4:$AB$7,2,FALSE)))</f>
        <v/>
      </c>
      <c r="O20" s="155"/>
      <c r="P20" s="499" t="str">
        <f>IF(O20="","",IF(VLOOKUP(O20,'G-7 Rivers Data'!$AD$4:$AE$8,2,FALSE)=0,"Spatial Data Missing ⚠",VLOOKUP(O20,'G-7 Rivers Data'!$AD$4:$AE$8,2,FALSE)))</f>
        <v/>
      </c>
      <c r="Q20" s="506" t="str">
        <f>IF(D20="","",VLOOKUP(D20,'G-7 Rivers Data'!$B$2:$G$8,6,FALSE))</f>
        <v/>
      </c>
      <c r="R20" s="513" t="str">
        <f t="shared" si="0"/>
        <v/>
      </c>
      <c r="S20" s="40"/>
      <c r="T20" s="145"/>
      <c r="U20" s="157"/>
      <c r="V20" s="511" t="str">
        <f t="shared" si="1"/>
        <v/>
      </c>
      <c r="W20" s="511" t="str">
        <f t="shared" si="2"/>
        <v/>
      </c>
      <c r="X20" s="511" t="str">
        <f t="shared" si="3"/>
        <v/>
      </c>
      <c r="Y20" s="515" t="str">
        <f t="shared" si="4"/>
        <v/>
      </c>
      <c r="Z20" s="151"/>
      <c r="AA20" s="152"/>
      <c r="AG20" s="31">
        <f t="shared" si="5"/>
        <v>0</v>
      </c>
      <c r="AH20" s="156" t="str">
        <f t="shared" si="6"/>
        <v/>
      </c>
      <c r="AI20" s="156" t="str">
        <f t="shared" si="7"/>
        <v/>
      </c>
      <c r="AK20" s="156">
        <v>11</v>
      </c>
      <c r="AM20" s="156" t="str">
        <f t="array" ref="AM20">IFERROR(INDEX($AK$10:$AK$258, MATCH(0, IF(TRUE=$AH$10:$AH$258, COUNTIF($AM$9:$AM19, $AK$10:$AK$258), ""), 0)),"")</f>
        <v/>
      </c>
      <c r="AN20" s="156" t="str">
        <f t="array" ref="AN20">IFERROR(INDEX($AK$10:$AK$258, MATCH(0, IF(TRUE=$AI$10:$AI$258, COUNTIF($AN$9:$AN19, $AK$10:$AK$258), ""), 0)),"")</f>
        <v/>
      </c>
      <c r="AP20" s="31" t="str">
        <f>IFERROR(INDEX('G-7 Rivers Data'!$AZ$3:$AZ$7,MATCH(D20,'G-7 Rivers Data'!$AY$3:$AY$7,0)),"")</f>
        <v/>
      </c>
    </row>
    <row r="21" spans="3:42" ht="13.8" x14ac:dyDescent="0.25">
      <c r="C21" s="141">
        <v>12</v>
      </c>
      <c r="D21" s="459"/>
      <c r="E21" s="172"/>
      <c r="F21" s="498" t="str">
        <f>IF(D21="","",VLOOKUP(D21,'G-7 Rivers Data'!$B$2:$G$8,2,FALSE))</f>
        <v/>
      </c>
      <c r="G21" s="499" t="str">
        <f>IFERROR(VLOOKUP(F21,'G-7 Rivers Data'!$C$4:$D$8,2,FALSE),"")</f>
        <v/>
      </c>
      <c r="H21" s="145"/>
      <c r="I21" s="499" t="str">
        <f>IFERROR(INDEX('G-7 Rivers Data'!$H$4:$L$8,MATCH(D21,'G-7 Rivers Data'!$B$4:$B$8,0),MATCH(H21,'G-7 Rivers Data'!$H$3:$L$3,0)),"")</f>
        <v/>
      </c>
      <c r="J21" s="418"/>
      <c r="K21" s="498" t="str">
        <f>IF(J21="","",IF(VLOOKUP(J21,'G-7 Rivers Data'!$AK$4:$AM$9,2,FALSE)=0,"Spatial Data Missing ⚠",VLOOKUP(J21,'G-7 Rivers Data'!$AK$4:$AM$9,2,FALSE)))</f>
        <v/>
      </c>
      <c r="L21" s="505" t="str">
        <f>IF(J21="","",IF(VLOOKUP(J21,'G-7 Rivers Data'!$AK$4:$AM$9,3,FALSE)=0,"Spatial Data Missing ⚠",VLOOKUP(J21,'G-7 Rivers Data'!$AK$4:$AM$9,3,FALSE)))</f>
        <v/>
      </c>
      <c r="M21" s="71"/>
      <c r="N21" s="499" t="str">
        <f>IF(M21="","",IF(VLOOKUP(M21,'G-7 Rivers Data'!$AA$4:$AB$7,2,FALSE)=0,"Spatial Data Missing ⚠",VLOOKUP(M21,'G-7 Rivers Data'!$AA$4:$AB$7,2,FALSE)))</f>
        <v/>
      </c>
      <c r="O21" s="155"/>
      <c r="P21" s="499" t="str">
        <f>IF(O21="","",IF(VLOOKUP(O21,'G-7 Rivers Data'!$AD$4:$AE$8,2,FALSE)=0,"Spatial Data Missing ⚠",VLOOKUP(O21,'G-7 Rivers Data'!$AD$4:$AE$8,2,FALSE)))</f>
        <v/>
      </c>
      <c r="Q21" s="506" t="str">
        <f>IF(D21="","",VLOOKUP(D21,'G-7 Rivers Data'!$B$2:$G$8,6,FALSE))</f>
        <v/>
      </c>
      <c r="R21" s="513" t="str">
        <f t="shared" si="0"/>
        <v/>
      </c>
      <c r="S21" s="40"/>
      <c r="T21" s="145"/>
      <c r="U21" s="157"/>
      <c r="V21" s="511" t="str">
        <f t="shared" si="1"/>
        <v/>
      </c>
      <c r="W21" s="511" t="str">
        <f t="shared" si="2"/>
        <v/>
      </c>
      <c r="X21" s="511" t="str">
        <f t="shared" si="3"/>
        <v/>
      </c>
      <c r="Y21" s="515" t="str">
        <f t="shared" si="4"/>
        <v/>
      </c>
      <c r="Z21" s="151"/>
      <c r="AA21" s="152"/>
      <c r="AG21" s="31">
        <f t="shared" si="5"/>
        <v>0</v>
      </c>
      <c r="AH21" s="156" t="str">
        <f t="shared" si="6"/>
        <v/>
      </c>
      <c r="AI21" s="156" t="str">
        <f t="shared" si="7"/>
        <v/>
      </c>
      <c r="AK21" s="156">
        <v>12</v>
      </c>
      <c r="AM21" s="156" t="str">
        <f t="array" ref="AM21">IFERROR(INDEX($AK$10:$AK$258, MATCH(0, IF(TRUE=$AH$10:$AH$258, COUNTIF($AM$9:$AM20, $AK$10:$AK$258), ""), 0)),"")</f>
        <v/>
      </c>
      <c r="AN21" s="156" t="str">
        <f t="array" ref="AN21">IFERROR(INDEX($AK$10:$AK$258, MATCH(0, IF(TRUE=$AI$10:$AI$258, COUNTIF($AN$9:$AN20, $AK$10:$AK$258), ""), 0)),"")</f>
        <v/>
      </c>
      <c r="AP21" s="31" t="str">
        <f>IFERROR(INDEX('G-7 Rivers Data'!$AZ$3:$AZ$7,MATCH(D21,'G-7 Rivers Data'!$AY$3:$AY$7,0)),"")</f>
        <v/>
      </c>
    </row>
    <row r="22" spans="3:42" ht="13.8" x14ac:dyDescent="0.25">
      <c r="C22" s="141">
        <v>13</v>
      </c>
      <c r="D22" s="459"/>
      <c r="E22" s="172"/>
      <c r="F22" s="498" t="str">
        <f>IF(D22="","",VLOOKUP(D22,'G-7 Rivers Data'!$B$2:$G$8,2,FALSE))</f>
        <v/>
      </c>
      <c r="G22" s="499" t="str">
        <f>IFERROR(VLOOKUP(F22,'G-7 Rivers Data'!$C$4:$D$8,2,FALSE),"")</f>
        <v/>
      </c>
      <c r="H22" s="145"/>
      <c r="I22" s="499" t="str">
        <f>IFERROR(INDEX('G-7 Rivers Data'!$H$4:$L$8,MATCH(D22,'G-7 Rivers Data'!$B$4:$B$8,0),MATCH(H22,'G-7 Rivers Data'!$H$3:$L$3,0)),"")</f>
        <v/>
      </c>
      <c r="J22" s="418"/>
      <c r="K22" s="498" t="str">
        <f>IF(J22="","",IF(VLOOKUP(J22,'G-7 Rivers Data'!$AK$4:$AM$9,2,FALSE)=0,"Spatial Data Missing ⚠",VLOOKUP(J22,'G-7 Rivers Data'!$AK$4:$AM$9,2,FALSE)))</f>
        <v/>
      </c>
      <c r="L22" s="505" t="str">
        <f>IF(J22="","",IF(VLOOKUP(J22,'G-7 Rivers Data'!$AK$4:$AM$9,3,FALSE)=0,"Spatial Data Missing ⚠",VLOOKUP(J22,'G-7 Rivers Data'!$AK$4:$AM$9,3,FALSE)))</f>
        <v/>
      </c>
      <c r="M22" s="71"/>
      <c r="N22" s="499" t="str">
        <f>IF(M22="","",IF(VLOOKUP(M22,'G-7 Rivers Data'!$AA$4:$AB$7,2,FALSE)=0,"Spatial Data Missing ⚠",VLOOKUP(M22,'G-7 Rivers Data'!$AA$4:$AB$7,2,FALSE)))</f>
        <v/>
      </c>
      <c r="O22" s="155"/>
      <c r="P22" s="499" t="str">
        <f>IF(O22="","",IF(VLOOKUP(O22,'G-7 Rivers Data'!$AD$4:$AE$8,2,FALSE)=0,"Spatial Data Missing ⚠",VLOOKUP(O22,'G-7 Rivers Data'!$AD$4:$AE$8,2,FALSE)))</f>
        <v/>
      </c>
      <c r="Q22" s="506" t="str">
        <f>IF(D22="","",VLOOKUP(D22,'G-7 Rivers Data'!$B$2:$G$8,6,FALSE))</f>
        <v/>
      </c>
      <c r="R22" s="513" t="str">
        <f t="shared" si="0"/>
        <v/>
      </c>
      <c r="S22" s="40"/>
      <c r="T22" s="145"/>
      <c r="U22" s="157"/>
      <c r="V22" s="511" t="str">
        <f t="shared" si="1"/>
        <v/>
      </c>
      <c r="W22" s="511" t="str">
        <f t="shared" si="2"/>
        <v/>
      </c>
      <c r="X22" s="511" t="str">
        <f t="shared" si="3"/>
        <v/>
      </c>
      <c r="Y22" s="515" t="str">
        <f t="shared" si="4"/>
        <v/>
      </c>
      <c r="Z22" s="151"/>
      <c r="AA22" s="152"/>
      <c r="AG22" s="31">
        <f t="shared" si="5"/>
        <v>0</v>
      </c>
      <c r="AH22" s="156" t="str">
        <f t="shared" si="6"/>
        <v/>
      </c>
      <c r="AI22" s="156" t="str">
        <f t="shared" si="7"/>
        <v/>
      </c>
      <c r="AK22" s="156">
        <v>13</v>
      </c>
      <c r="AM22" s="156" t="str">
        <f t="array" ref="AM22">IFERROR(INDEX($AK$10:$AK$258, MATCH(0, IF(TRUE=$AH$10:$AH$258, COUNTIF($AM$9:$AM21, $AK$10:$AK$258), ""), 0)),"")</f>
        <v/>
      </c>
      <c r="AN22" s="156" t="str">
        <f t="array" ref="AN22">IFERROR(INDEX($AK$10:$AK$258, MATCH(0, IF(TRUE=$AI$10:$AI$258, COUNTIF($AN$9:$AN21, $AK$10:$AK$258), ""), 0)),"")</f>
        <v/>
      </c>
      <c r="AP22" s="31" t="str">
        <f>IFERROR(INDEX('G-7 Rivers Data'!$AZ$3:$AZ$7,MATCH(D22,'G-7 Rivers Data'!$AY$3:$AY$7,0)),"")</f>
        <v/>
      </c>
    </row>
    <row r="23" spans="3:42" ht="13.8" x14ac:dyDescent="0.25">
      <c r="C23" s="141">
        <v>14</v>
      </c>
      <c r="D23" s="459"/>
      <c r="E23" s="172"/>
      <c r="F23" s="498" t="str">
        <f>IF(D23="","",VLOOKUP(D23,'G-7 Rivers Data'!$B$2:$G$8,2,FALSE))</f>
        <v/>
      </c>
      <c r="G23" s="499" t="str">
        <f>IFERROR(VLOOKUP(F23,'G-7 Rivers Data'!$C$4:$D$8,2,FALSE),"")</f>
        <v/>
      </c>
      <c r="H23" s="145"/>
      <c r="I23" s="499" t="str">
        <f>IFERROR(INDEX('G-7 Rivers Data'!$H$4:$L$8,MATCH(D23,'G-7 Rivers Data'!$B$4:$B$8,0),MATCH(H23,'G-7 Rivers Data'!$H$3:$L$3,0)),"")</f>
        <v/>
      </c>
      <c r="J23" s="418"/>
      <c r="K23" s="498" t="str">
        <f>IF(J23="","",IF(VLOOKUP(J23,'G-7 Rivers Data'!$AK$4:$AM$9,2,FALSE)=0,"Spatial Data Missing ⚠",VLOOKUP(J23,'G-7 Rivers Data'!$AK$4:$AM$9,2,FALSE)))</f>
        <v/>
      </c>
      <c r="L23" s="505" t="str">
        <f>IF(J23="","",IF(VLOOKUP(J23,'G-7 Rivers Data'!$AK$4:$AM$9,3,FALSE)=0,"Spatial Data Missing ⚠",VLOOKUP(J23,'G-7 Rivers Data'!$AK$4:$AM$9,3,FALSE)))</f>
        <v/>
      </c>
      <c r="M23" s="71"/>
      <c r="N23" s="499" t="str">
        <f>IF(M23="","",IF(VLOOKUP(M23,'G-7 Rivers Data'!$AA$4:$AB$7,2,FALSE)=0,"Spatial Data Missing ⚠",VLOOKUP(M23,'G-7 Rivers Data'!$AA$4:$AB$7,2,FALSE)))</f>
        <v/>
      </c>
      <c r="O23" s="155"/>
      <c r="P23" s="499" t="str">
        <f>IF(O23="","",IF(VLOOKUP(O23,'G-7 Rivers Data'!$AD$4:$AE$8,2,FALSE)=0,"Spatial Data Missing ⚠",VLOOKUP(O23,'G-7 Rivers Data'!$AD$4:$AE$8,2,FALSE)))</f>
        <v/>
      </c>
      <c r="Q23" s="506" t="str">
        <f>IF(D23="","",VLOOKUP(D23,'G-7 Rivers Data'!$B$2:$G$8,6,FALSE))</f>
        <v/>
      </c>
      <c r="R23" s="513" t="str">
        <f t="shared" si="0"/>
        <v/>
      </c>
      <c r="S23" s="40"/>
      <c r="T23" s="145"/>
      <c r="U23" s="157"/>
      <c r="V23" s="511" t="str">
        <f t="shared" si="1"/>
        <v/>
      </c>
      <c r="W23" s="511" t="str">
        <f t="shared" si="2"/>
        <v/>
      </c>
      <c r="X23" s="511" t="str">
        <f t="shared" si="3"/>
        <v/>
      </c>
      <c r="Y23" s="515" t="str">
        <f t="shared" si="4"/>
        <v/>
      </c>
      <c r="Z23" s="151"/>
      <c r="AA23" s="152"/>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c r="AP23" s="31" t="str">
        <f>IFERROR(INDEX('G-7 Rivers Data'!$AZ$3:$AZ$7,MATCH(D23,'G-7 Rivers Data'!$AY$3:$AY$7,0)),"")</f>
        <v/>
      </c>
    </row>
    <row r="24" spans="3:42" ht="13.8" x14ac:dyDescent="0.25">
      <c r="C24" s="141">
        <v>15</v>
      </c>
      <c r="D24" s="459"/>
      <c r="E24" s="172"/>
      <c r="F24" s="498" t="str">
        <f>IF(D24="","",VLOOKUP(D24,'G-7 Rivers Data'!$B$2:$G$8,2,FALSE))</f>
        <v/>
      </c>
      <c r="G24" s="499" t="str">
        <f>IFERROR(VLOOKUP(F24,'G-7 Rivers Data'!$C$4:$D$8,2,FALSE),"")</f>
        <v/>
      </c>
      <c r="H24" s="145"/>
      <c r="I24" s="499" t="str">
        <f>IFERROR(INDEX('G-7 Rivers Data'!$H$4:$L$8,MATCH(D24,'G-7 Rivers Data'!$B$4:$B$8,0),MATCH(H24,'G-7 Rivers Data'!$H$3:$L$3,0)),"")</f>
        <v/>
      </c>
      <c r="J24" s="418"/>
      <c r="K24" s="498" t="str">
        <f>IF(J24="","",IF(VLOOKUP(J24,'G-7 Rivers Data'!$AK$4:$AM$9,2,FALSE)=0,"Spatial Data Missing ⚠",VLOOKUP(J24,'G-7 Rivers Data'!$AK$4:$AM$9,2,FALSE)))</f>
        <v/>
      </c>
      <c r="L24" s="505" t="str">
        <f>IF(J24="","",IF(VLOOKUP(J24,'G-7 Rivers Data'!$AK$4:$AM$9,3,FALSE)=0,"Spatial Data Missing ⚠",VLOOKUP(J24,'G-7 Rivers Data'!$AK$4:$AM$9,3,FALSE)))</f>
        <v/>
      </c>
      <c r="M24" s="71"/>
      <c r="N24" s="499" t="str">
        <f>IF(M24="","",IF(VLOOKUP(M24,'G-7 Rivers Data'!$AA$4:$AB$7,2,FALSE)=0,"Spatial Data Missing ⚠",VLOOKUP(M24,'G-7 Rivers Data'!$AA$4:$AB$7,2,FALSE)))</f>
        <v/>
      </c>
      <c r="O24" s="155"/>
      <c r="P24" s="499" t="str">
        <f>IF(O24="","",IF(VLOOKUP(O24,'G-7 Rivers Data'!$AD$4:$AE$8,2,FALSE)=0,"Spatial Data Missing ⚠",VLOOKUP(O24,'G-7 Rivers Data'!$AD$4:$AE$8,2,FALSE)))</f>
        <v/>
      </c>
      <c r="Q24" s="506" t="str">
        <f>IF(D24="","",VLOOKUP(D24,'G-7 Rivers Data'!$B$2:$G$8,6,FALSE))</f>
        <v/>
      </c>
      <c r="R24" s="513" t="str">
        <f t="shared" si="0"/>
        <v/>
      </c>
      <c r="S24" s="40"/>
      <c r="T24" s="145"/>
      <c r="U24" s="157"/>
      <c r="V24" s="511" t="str">
        <f t="shared" si="1"/>
        <v/>
      </c>
      <c r="W24" s="511" t="str">
        <f t="shared" si="2"/>
        <v/>
      </c>
      <c r="X24" s="511" t="str">
        <f t="shared" si="3"/>
        <v/>
      </c>
      <c r="Y24" s="515" t="str">
        <f t="shared" si="4"/>
        <v/>
      </c>
      <c r="Z24" s="151"/>
      <c r="AA24" s="152"/>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c r="AP24" s="31" t="str">
        <f>IFERROR(INDEX('G-7 Rivers Data'!$AZ$3:$AZ$7,MATCH(D24,'G-7 Rivers Data'!$AY$3:$AY$7,0)),"")</f>
        <v/>
      </c>
    </row>
    <row r="25" spans="3:42" ht="13.8" x14ac:dyDescent="0.25">
      <c r="C25" s="141">
        <v>16</v>
      </c>
      <c r="D25" s="459"/>
      <c r="E25" s="172"/>
      <c r="F25" s="498" t="str">
        <f>IF(D25="","",VLOOKUP(D25,'G-7 Rivers Data'!$B$2:$G$8,2,FALSE))</f>
        <v/>
      </c>
      <c r="G25" s="499" t="str">
        <f>IFERROR(VLOOKUP(F25,'G-7 Rivers Data'!$C$4:$D$8,2,FALSE),"")</f>
        <v/>
      </c>
      <c r="H25" s="145"/>
      <c r="I25" s="499" t="str">
        <f>IFERROR(INDEX('G-7 Rivers Data'!$H$4:$L$8,MATCH(D25,'G-7 Rivers Data'!$B$4:$B$8,0),MATCH(H25,'G-7 Rivers Data'!$H$3:$L$3,0)),"")</f>
        <v/>
      </c>
      <c r="J25" s="418"/>
      <c r="K25" s="498" t="str">
        <f>IF(J25="","",IF(VLOOKUP(J25,'G-7 Rivers Data'!$AK$4:$AM$9,2,FALSE)=0,"Spatial Data Missing ⚠",VLOOKUP(J25,'G-7 Rivers Data'!$AK$4:$AM$9,2,FALSE)))</f>
        <v/>
      </c>
      <c r="L25" s="505" t="str">
        <f>IF(J25="","",IF(VLOOKUP(J25,'G-7 Rivers Data'!$AK$4:$AM$9,3,FALSE)=0,"Spatial Data Missing ⚠",VLOOKUP(J25,'G-7 Rivers Data'!$AK$4:$AM$9,3,FALSE)))</f>
        <v/>
      </c>
      <c r="M25" s="71"/>
      <c r="N25" s="499" t="str">
        <f>IF(M25="","",IF(VLOOKUP(M25,'G-7 Rivers Data'!$AA$4:$AB$7,2,FALSE)=0,"Spatial Data Missing ⚠",VLOOKUP(M25,'G-7 Rivers Data'!$AA$4:$AB$7,2,FALSE)))</f>
        <v/>
      </c>
      <c r="O25" s="155"/>
      <c r="P25" s="499" t="str">
        <f>IF(O25="","",IF(VLOOKUP(O25,'G-7 Rivers Data'!$AD$4:$AE$8,2,FALSE)=0,"Spatial Data Missing ⚠",VLOOKUP(O25,'G-7 Rivers Data'!$AD$4:$AE$8,2,FALSE)))</f>
        <v/>
      </c>
      <c r="Q25" s="506" t="str">
        <f>IF(D25="","",VLOOKUP(D25,'G-7 Rivers Data'!$B$2:$G$8,6,FALSE))</f>
        <v/>
      </c>
      <c r="R25" s="513" t="str">
        <f t="shared" si="0"/>
        <v/>
      </c>
      <c r="S25" s="40"/>
      <c r="T25" s="145"/>
      <c r="U25" s="157"/>
      <c r="V25" s="511" t="str">
        <f t="shared" si="1"/>
        <v/>
      </c>
      <c r="W25" s="511" t="str">
        <f t="shared" si="2"/>
        <v/>
      </c>
      <c r="X25" s="511" t="str">
        <f t="shared" si="3"/>
        <v/>
      </c>
      <c r="Y25" s="515" t="str">
        <f t="shared" si="4"/>
        <v/>
      </c>
      <c r="Z25" s="151"/>
      <c r="AA25" s="152"/>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c r="AP25" s="31" t="str">
        <f>IFERROR(INDEX('G-7 Rivers Data'!$AZ$3:$AZ$7,MATCH(D25,'G-7 Rivers Data'!$AY$3:$AY$7,0)),"")</f>
        <v/>
      </c>
    </row>
    <row r="26" spans="3:42" ht="13.8" x14ac:dyDescent="0.25">
      <c r="C26" s="141">
        <v>17</v>
      </c>
      <c r="D26" s="459"/>
      <c r="E26" s="172"/>
      <c r="F26" s="498" t="str">
        <f>IF(D26="","",VLOOKUP(D26,'G-7 Rivers Data'!$B$2:$G$8,2,FALSE))</f>
        <v/>
      </c>
      <c r="G26" s="499" t="str">
        <f>IFERROR(VLOOKUP(F26,'G-7 Rivers Data'!$C$4:$D$8,2,FALSE),"")</f>
        <v/>
      </c>
      <c r="H26" s="145"/>
      <c r="I26" s="499" t="str">
        <f>IFERROR(INDEX('G-7 Rivers Data'!$H$4:$L$8,MATCH(D26,'G-7 Rivers Data'!$B$4:$B$8,0),MATCH(H26,'G-7 Rivers Data'!$H$3:$L$3,0)),"")</f>
        <v/>
      </c>
      <c r="J26" s="418"/>
      <c r="K26" s="498" t="str">
        <f>IF(J26="","",IF(VLOOKUP(J26,'G-7 Rivers Data'!$AK$4:$AM$9,2,FALSE)=0,"Spatial Data Missing ⚠",VLOOKUP(J26,'G-7 Rivers Data'!$AK$4:$AM$9,2,FALSE)))</f>
        <v/>
      </c>
      <c r="L26" s="505" t="str">
        <f>IF(J26="","",IF(VLOOKUP(J26,'G-7 Rivers Data'!$AK$4:$AM$9,3,FALSE)=0,"Spatial Data Missing ⚠",VLOOKUP(J26,'G-7 Rivers Data'!$AK$4:$AM$9,3,FALSE)))</f>
        <v/>
      </c>
      <c r="M26" s="71"/>
      <c r="N26" s="499" t="str">
        <f>IF(M26="","",IF(VLOOKUP(M26,'G-7 Rivers Data'!$AA$4:$AB$7,2,FALSE)=0,"Spatial Data Missing ⚠",VLOOKUP(M26,'G-7 Rivers Data'!$AA$4:$AB$7,2,FALSE)))</f>
        <v/>
      </c>
      <c r="O26" s="155"/>
      <c r="P26" s="499" t="str">
        <f>IF(O26="","",IF(VLOOKUP(O26,'G-7 Rivers Data'!$AD$4:$AE$8,2,FALSE)=0,"Spatial Data Missing ⚠",VLOOKUP(O26,'G-7 Rivers Data'!$AD$4:$AE$8,2,FALSE)))</f>
        <v/>
      </c>
      <c r="Q26" s="506" t="str">
        <f>IF(D26="","",VLOOKUP(D26,'G-7 Rivers Data'!$B$2:$G$8,6,FALSE))</f>
        <v/>
      </c>
      <c r="R26" s="513" t="str">
        <f t="shared" si="0"/>
        <v/>
      </c>
      <c r="S26" s="40"/>
      <c r="T26" s="145"/>
      <c r="U26" s="157"/>
      <c r="V26" s="511" t="str">
        <f t="shared" si="1"/>
        <v/>
      </c>
      <c r="W26" s="511" t="str">
        <f t="shared" si="2"/>
        <v/>
      </c>
      <c r="X26" s="511" t="str">
        <f t="shared" si="3"/>
        <v/>
      </c>
      <c r="Y26" s="515" t="str">
        <f t="shared" si="4"/>
        <v/>
      </c>
      <c r="Z26" s="151"/>
      <c r="AA26" s="152"/>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c r="AP26" s="31" t="str">
        <f>IFERROR(INDEX('G-7 Rivers Data'!$AZ$3:$AZ$7,MATCH(D26,'G-7 Rivers Data'!$AY$3:$AY$7,0)),"")</f>
        <v/>
      </c>
    </row>
    <row r="27" spans="3:42" ht="13.8" x14ac:dyDescent="0.25">
      <c r="C27" s="141">
        <v>18</v>
      </c>
      <c r="D27" s="459"/>
      <c r="E27" s="172"/>
      <c r="F27" s="498" t="str">
        <f>IF(D27="","",VLOOKUP(D27,'G-7 Rivers Data'!$B$2:$G$8,2,FALSE))</f>
        <v/>
      </c>
      <c r="G27" s="499" t="str">
        <f>IFERROR(VLOOKUP(F27,'G-7 Rivers Data'!$C$4:$D$8,2,FALSE),"")</f>
        <v/>
      </c>
      <c r="H27" s="145"/>
      <c r="I27" s="499" t="str">
        <f>IFERROR(INDEX('G-7 Rivers Data'!$H$4:$L$8,MATCH(D27,'G-7 Rivers Data'!$B$4:$B$8,0),MATCH(H27,'G-7 Rivers Data'!$H$3:$L$3,0)),"")</f>
        <v/>
      </c>
      <c r="J27" s="418"/>
      <c r="K27" s="498" t="str">
        <f>IF(J27="","",IF(VLOOKUP(J27,'G-7 Rivers Data'!$AK$4:$AM$9,2,FALSE)=0,"Spatial Data Missing ⚠",VLOOKUP(J27,'G-7 Rivers Data'!$AK$4:$AM$9,2,FALSE)))</f>
        <v/>
      </c>
      <c r="L27" s="505" t="str">
        <f>IF(J27="","",IF(VLOOKUP(J27,'G-7 Rivers Data'!$AK$4:$AM$9,3,FALSE)=0,"Spatial Data Missing ⚠",VLOOKUP(J27,'G-7 Rivers Data'!$AK$4:$AM$9,3,FALSE)))</f>
        <v/>
      </c>
      <c r="M27" s="71"/>
      <c r="N27" s="499" t="str">
        <f>IF(M27="","",IF(VLOOKUP(M27,'G-7 Rivers Data'!$AA$4:$AB$7,2,FALSE)=0,"Spatial Data Missing ⚠",VLOOKUP(M27,'G-7 Rivers Data'!$AA$4:$AB$7,2,FALSE)))</f>
        <v/>
      </c>
      <c r="O27" s="155"/>
      <c r="P27" s="499" t="str">
        <f>IF(O27="","",IF(VLOOKUP(O27,'G-7 Rivers Data'!$AD$4:$AE$8,2,FALSE)=0,"Spatial Data Missing ⚠",VLOOKUP(O27,'G-7 Rivers Data'!$AD$4:$AE$8,2,FALSE)))</f>
        <v/>
      </c>
      <c r="Q27" s="506" t="str">
        <f>IF(D27="","",VLOOKUP(D27,'G-7 Rivers Data'!$B$2:$G$8,6,FALSE))</f>
        <v/>
      </c>
      <c r="R27" s="513" t="str">
        <f t="shared" si="0"/>
        <v/>
      </c>
      <c r="S27" s="40"/>
      <c r="T27" s="145"/>
      <c r="U27" s="157"/>
      <c r="V27" s="511" t="str">
        <f t="shared" si="1"/>
        <v/>
      </c>
      <c r="W27" s="511" t="str">
        <f t="shared" si="2"/>
        <v/>
      </c>
      <c r="X27" s="511" t="str">
        <f t="shared" si="3"/>
        <v/>
      </c>
      <c r="Y27" s="515" t="str">
        <f t="shared" si="4"/>
        <v/>
      </c>
      <c r="Z27" s="151"/>
      <c r="AA27" s="152"/>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c r="AP27" s="31" t="str">
        <f>IFERROR(INDEX('G-7 Rivers Data'!$AZ$3:$AZ$7,MATCH(D27,'G-7 Rivers Data'!$AY$3:$AY$7,0)),"")</f>
        <v/>
      </c>
    </row>
    <row r="28" spans="3:42" ht="13.8" x14ac:dyDescent="0.25">
      <c r="C28" s="141">
        <v>19</v>
      </c>
      <c r="D28" s="459"/>
      <c r="E28" s="172"/>
      <c r="F28" s="498" t="str">
        <f>IF(D28="","",VLOOKUP(D28,'G-7 Rivers Data'!$B$2:$G$8,2,FALSE))</f>
        <v/>
      </c>
      <c r="G28" s="499" t="str">
        <f>IFERROR(VLOOKUP(F28,'G-7 Rivers Data'!$C$4:$D$8,2,FALSE),"")</f>
        <v/>
      </c>
      <c r="H28" s="145"/>
      <c r="I28" s="499" t="str">
        <f>IFERROR(INDEX('G-7 Rivers Data'!$H$4:$L$8,MATCH(D28,'G-7 Rivers Data'!$B$4:$B$8,0),MATCH(H28,'G-7 Rivers Data'!$H$3:$L$3,0)),"")</f>
        <v/>
      </c>
      <c r="J28" s="418"/>
      <c r="K28" s="498" t="str">
        <f>IF(J28="","",IF(VLOOKUP(J28,'G-7 Rivers Data'!$AK$4:$AM$9,2,FALSE)=0,"Spatial Data Missing ⚠",VLOOKUP(J28,'G-7 Rivers Data'!$AK$4:$AM$9,2,FALSE)))</f>
        <v/>
      </c>
      <c r="L28" s="505" t="str">
        <f>IF(J28="","",IF(VLOOKUP(J28,'G-7 Rivers Data'!$AK$4:$AM$9,3,FALSE)=0,"Spatial Data Missing ⚠",VLOOKUP(J28,'G-7 Rivers Data'!$AK$4:$AM$9,3,FALSE)))</f>
        <v/>
      </c>
      <c r="M28" s="71"/>
      <c r="N28" s="499" t="str">
        <f>IF(M28="","",IF(VLOOKUP(M28,'G-7 Rivers Data'!$AA$4:$AB$7,2,FALSE)=0,"Spatial Data Missing ⚠",VLOOKUP(M28,'G-7 Rivers Data'!$AA$4:$AB$7,2,FALSE)))</f>
        <v/>
      </c>
      <c r="O28" s="155"/>
      <c r="P28" s="499" t="str">
        <f>IF(O28="","",IF(VLOOKUP(O28,'G-7 Rivers Data'!$AD$4:$AE$8,2,FALSE)=0,"Spatial Data Missing ⚠",VLOOKUP(O28,'G-7 Rivers Data'!$AD$4:$AE$8,2,FALSE)))</f>
        <v/>
      </c>
      <c r="Q28" s="506" t="str">
        <f>IF(D28="","",VLOOKUP(D28,'G-7 Rivers Data'!$B$2:$G$8,6,FALSE))</f>
        <v/>
      </c>
      <c r="R28" s="513" t="str">
        <f t="shared" si="0"/>
        <v/>
      </c>
      <c r="S28" s="40"/>
      <c r="T28" s="145"/>
      <c r="U28" s="157"/>
      <c r="V28" s="511" t="str">
        <f t="shared" si="1"/>
        <v/>
      </c>
      <c r="W28" s="511" t="str">
        <f t="shared" si="2"/>
        <v/>
      </c>
      <c r="X28" s="511" t="str">
        <f t="shared" si="3"/>
        <v/>
      </c>
      <c r="Y28" s="515" t="str">
        <f t="shared" si="4"/>
        <v/>
      </c>
      <c r="Z28" s="151"/>
      <c r="AA28" s="152"/>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c r="AP28" s="31" t="str">
        <f>IFERROR(INDEX('G-7 Rivers Data'!$AZ$3:$AZ$7,MATCH(D28,'G-7 Rivers Data'!$AY$3:$AY$7,0)),"")</f>
        <v/>
      </c>
    </row>
    <row r="29" spans="3:42" ht="13.8" x14ac:dyDescent="0.25">
      <c r="C29" s="141">
        <v>20</v>
      </c>
      <c r="D29" s="459"/>
      <c r="E29" s="172"/>
      <c r="F29" s="498" t="str">
        <f>IF(D29="","",VLOOKUP(D29,'G-7 Rivers Data'!$B$2:$G$8,2,FALSE))</f>
        <v/>
      </c>
      <c r="G29" s="499" t="str">
        <f>IFERROR(VLOOKUP(F29,'G-7 Rivers Data'!$C$4:$D$8,2,FALSE),"")</f>
        <v/>
      </c>
      <c r="H29" s="145"/>
      <c r="I29" s="499" t="str">
        <f>IFERROR(INDEX('G-7 Rivers Data'!$H$4:$L$8,MATCH(D29,'G-7 Rivers Data'!$B$4:$B$8,0),MATCH(H29,'G-7 Rivers Data'!$H$3:$L$3,0)),"")</f>
        <v/>
      </c>
      <c r="J29" s="418"/>
      <c r="K29" s="498" t="str">
        <f>IF(J29="","",IF(VLOOKUP(J29,'G-7 Rivers Data'!$AK$4:$AM$9,2,FALSE)=0,"Spatial Data Missing ⚠",VLOOKUP(J29,'G-7 Rivers Data'!$AK$4:$AM$9,2,FALSE)))</f>
        <v/>
      </c>
      <c r="L29" s="505" t="str">
        <f>IF(J29="","",IF(VLOOKUP(J29,'G-7 Rivers Data'!$AK$4:$AM$9,3,FALSE)=0,"Spatial Data Missing ⚠",VLOOKUP(J29,'G-7 Rivers Data'!$AK$4:$AM$9,3,FALSE)))</f>
        <v/>
      </c>
      <c r="M29" s="71"/>
      <c r="N29" s="499" t="str">
        <f>IF(M29="","",IF(VLOOKUP(M29,'G-7 Rivers Data'!$AA$4:$AB$7,2,FALSE)=0,"Spatial Data Missing ⚠",VLOOKUP(M29,'G-7 Rivers Data'!$AA$4:$AB$7,2,FALSE)))</f>
        <v/>
      </c>
      <c r="O29" s="155"/>
      <c r="P29" s="499" t="str">
        <f>IF(O29="","",IF(VLOOKUP(O29,'G-7 Rivers Data'!$AD$4:$AE$8,2,FALSE)=0,"Spatial Data Missing ⚠",VLOOKUP(O29,'G-7 Rivers Data'!$AD$4:$AE$8,2,FALSE)))</f>
        <v/>
      </c>
      <c r="Q29" s="506" t="str">
        <f>IF(D29="","",VLOOKUP(D29,'G-7 Rivers Data'!$B$2:$G$8,6,FALSE))</f>
        <v/>
      </c>
      <c r="R29" s="513" t="str">
        <f t="shared" si="0"/>
        <v/>
      </c>
      <c r="S29" s="40"/>
      <c r="T29" s="145"/>
      <c r="U29" s="157"/>
      <c r="V29" s="511" t="str">
        <f t="shared" si="1"/>
        <v/>
      </c>
      <c r="W29" s="511" t="str">
        <f t="shared" si="2"/>
        <v/>
      </c>
      <c r="X29" s="511" t="str">
        <f t="shared" si="3"/>
        <v/>
      </c>
      <c r="Y29" s="515" t="str">
        <f t="shared" si="4"/>
        <v/>
      </c>
      <c r="Z29" s="151"/>
      <c r="AA29" s="152"/>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c r="AP29" s="31" t="str">
        <f>IFERROR(INDEX('G-7 Rivers Data'!$AZ$3:$AZ$7,MATCH(D29,'G-7 Rivers Data'!$AY$3:$AY$7,0)),"")</f>
        <v/>
      </c>
    </row>
    <row r="30" spans="3:42" ht="13.8" x14ac:dyDescent="0.25">
      <c r="C30" s="141">
        <v>21</v>
      </c>
      <c r="D30" s="459"/>
      <c r="E30" s="172"/>
      <c r="F30" s="498" t="str">
        <f>IF(D30="","",VLOOKUP(D30,'G-7 Rivers Data'!$B$2:$G$8,2,FALSE))</f>
        <v/>
      </c>
      <c r="G30" s="499" t="str">
        <f>IFERROR(VLOOKUP(F30,'G-7 Rivers Data'!$C$4:$D$8,2,FALSE),"")</f>
        <v/>
      </c>
      <c r="H30" s="145"/>
      <c r="I30" s="499" t="str">
        <f>IFERROR(INDEX('G-7 Rivers Data'!$H$4:$L$8,MATCH(D30,'G-7 Rivers Data'!$B$4:$B$8,0),MATCH(H30,'G-7 Rivers Data'!$H$3:$L$3,0)),"")</f>
        <v/>
      </c>
      <c r="J30" s="418"/>
      <c r="K30" s="498" t="str">
        <f>IF(J30="","",IF(VLOOKUP(J30,'G-7 Rivers Data'!$AK$4:$AM$9,2,FALSE)=0,"Spatial Data Missing ⚠",VLOOKUP(J30,'G-7 Rivers Data'!$AK$4:$AM$9,2,FALSE)))</f>
        <v/>
      </c>
      <c r="L30" s="505" t="str">
        <f>IF(J30="","",IF(VLOOKUP(J30,'G-7 Rivers Data'!$AK$4:$AM$9,3,FALSE)=0,"Spatial Data Missing ⚠",VLOOKUP(J30,'G-7 Rivers Data'!$AK$4:$AM$9,3,FALSE)))</f>
        <v/>
      </c>
      <c r="M30" s="71"/>
      <c r="N30" s="499" t="str">
        <f>IF(M30="","",IF(VLOOKUP(M30,'G-7 Rivers Data'!$AA$4:$AB$7,2,FALSE)=0,"Spatial Data Missing ⚠",VLOOKUP(M30,'G-7 Rivers Data'!$AA$4:$AB$7,2,FALSE)))</f>
        <v/>
      </c>
      <c r="O30" s="155"/>
      <c r="P30" s="499" t="str">
        <f>IF(O30="","",IF(VLOOKUP(O30,'G-7 Rivers Data'!$AD$4:$AE$8,2,FALSE)=0,"Spatial Data Missing ⚠",VLOOKUP(O30,'G-7 Rivers Data'!$AD$4:$AE$8,2,FALSE)))</f>
        <v/>
      </c>
      <c r="Q30" s="506" t="str">
        <f>IF(D30="","",VLOOKUP(D30,'G-7 Rivers Data'!$B$2:$G$8,6,FALSE))</f>
        <v/>
      </c>
      <c r="R30" s="513" t="str">
        <f t="shared" si="0"/>
        <v/>
      </c>
      <c r="S30" s="40"/>
      <c r="T30" s="145"/>
      <c r="U30" s="157"/>
      <c r="V30" s="511" t="str">
        <f t="shared" si="1"/>
        <v/>
      </c>
      <c r="W30" s="511" t="str">
        <f t="shared" si="2"/>
        <v/>
      </c>
      <c r="X30" s="511" t="str">
        <f t="shared" si="3"/>
        <v/>
      </c>
      <c r="Y30" s="515" t="str">
        <f t="shared" si="4"/>
        <v/>
      </c>
      <c r="Z30" s="151"/>
      <c r="AA30" s="152"/>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c r="AP30" s="31" t="str">
        <f>IFERROR(INDEX('G-7 Rivers Data'!$AZ$3:$AZ$7,MATCH(D30,'G-7 Rivers Data'!$AY$3:$AY$7,0)),"")</f>
        <v/>
      </c>
    </row>
    <row r="31" spans="3:42" ht="13.8" x14ac:dyDescent="0.25">
      <c r="C31" s="141">
        <v>22</v>
      </c>
      <c r="D31" s="459"/>
      <c r="E31" s="172"/>
      <c r="F31" s="498" t="str">
        <f>IF(D31="","",VLOOKUP(D31,'G-7 Rivers Data'!$B$2:$G$8,2,FALSE))</f>
        <v/>
      </c>
      <c r="G31" s="499" t="str">
        <f>IFERROR(VLOOKUP(F31,'G-7 Rivers Data'!$C$4:$D$8,2,FALSE),"")</f>
        <v/>
      </c>
      <c r="H31" s="145"/>
      <c r="I31" s="499" t="str">
        <f>IFERROR(INDEX('G-7 Rivers Data'!$H$4:$L$8,MATCH(D31,'G-7 Rivers Data'!$B$4:$B$8,0),MATCH(H31,'G-7 Rivers Data'!$H$3:$L$3,0)),"")</f>
        <v/>
      </c>
      <c r="J31" s="418"/>
      <c r="K31" s="498" t="str">
        <f>IF(J31="","",IF(VLOOKUP(J31,'G-7 Rivers Data'!$AK$4:$AM$9,2,FALSE)=0,"Spatial Data Missing ⚠",VLOOKUP(J31,'G-7 Rivers Data'!$AK$4:$AM$9,2,FALSE)))</f>
        <v/>
      </c>
      <c r="L31" s="505" t="str">
        <f>IF(J31="","",IF(VLOOKUP(J31,'G-7 Rivers Data'!$AK$4:$AM$9,3,FALSE)=0,"Spatial Data Missing ⚠",VLOOKUP(J31,'G-7 Rivers Data'!$AK$4:$AM$9,3,FALSE)))</f>
        <v/>
      </c>
      <c r="M31" s="71"/>
      <c r="N31" s="499" t="str">
        <f>IF(M31="","",IF(VLOOKUP(M31,'G-7 Rivers Data'!$AA$4:$AB$7,2,FALSE)=0,"Spatial Data Missing ⚠",VLOOKUP(M31,'G-7 Rivers Data'!$AA$4:$AB$7,2,FALSE)))</f>
        <v/>
      </c>
      <c r="O31" s="155"/>
      <c r="P31" s="499" t="str">
        <f>IF(O31="","",IF(VLOOKUP(O31,'G-7 Rivers Data'!$AD$4:$AE$8,2,FALSE)=0,"Spatial Data Missing ⚠",VLOOKUP(O31,'G-7 Rivers Data'!$AD$4:$AE$8,2,FALSE)))</f>
        <v/>
      </c>
      <c r="Q31" s="506" t="str">
        <f>IF(D31="","",VLOOKUP(D31,'G-7 Rivers Data'!$B$2:$G$8,6,FALSE))</f>
        <v/>
      </c>
      <c r="R31" s="513" t="str">
        <f t="shared" si="0"/>
        <v/>
      </c>
      <c r="S31" s="40"/>
      <c r="T31" s="145"/>
      <c r="U31" s="157"/>
      <c r="V31" s="511" t="str">
        <f t="shared" si="1"/>
        <v/>
      </c>
      <c r="W31" s="511" t="str">
        <f t="shared" si="2"/>
        <v/>
      </c>
      <c r="X31" s="511" t="str">
        <f t="shared" si="3"/>
        <v/>
      </c>
      <c r="Y31" s="515" t="str">
        <f t="shared" si="4"/>
        <v/>
      </c>
      <c r="Z31" s="151"/>
      <c r="AA31" s="152"/>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c r="AP31" s="31" t="str">
        <f>IFERROR(INDEX('G-7 Rivers Data'!$AZ$3:$AZ$7,MATCH(D31,'G-7 Rivers Data'!$AY$3:$AY$7,0)),"")</f>
        <v/>
      </c>
    </row>
    <row r="32" spans="3:42" ht="13.8" x14ac:dyDescent="0.25">
      <c r="C32" s="141">
        <v>23</v>
      </c>
      <c r="D32" s="459"/>
      <c r="E32" s="172"/>
      <c r="F32" s="498" t="str">
        <f>IF(D32="","",VLOOKUP(D32,'G-7 Rivers Data'!$B$2:$G$8,2,FALSE))</f>
        <v/>
      </c>
      <c r="G32" s="499" t="str">
        <f>IFERROR(VLOOKUP(F32,'G-7 Rivers Data'!$C$4:$D$8,2,FALSE),"")</f>
        <v/>
      </c>
      <c r="H32" s="145"/>
      <c r="I32" s="499" t="str">
        <f>IFERROR(INDEX('G-7 Rivers Data'!$H$4:$L$8,MATCH(D32,'G-7 Rivers Data'!$B$4:$B$8,0),MATCH(H32,'G-7 Rivers Data'!$H$3:$L$3,0)),"")</f>
        <v/>
      </c>
      <c r="J32" s="418"/>
      <c r="K32" s="498" t="str">
        <f>IF(J32="","",IF(VLOOKUP(J32,'G-7 Rivers Data'!$AK$4:$AM$9,2,FALSE)=0,"Spatial Data Missing ⚠",VLOOKUP(J32,'G-7 Rivers Data'!$AK$4:$AM$9,2,FALSE)))</f>
        <v/>
      </c>
      <c r="L32" s="505" t="str">
        <f>IF(J32="","",IF(VLOOKUP(J32,'G-7 Rivers Data'!$AK$4:$AM$9,3,FALSE)=0,"Spatial Data Missing ⚠",VLOOKUP(J32,'G-7 Rivers Data'!$AK$4:$AM$9,3,FALSE)))</f>
        <v/>
      </c>
      <c r="M32" s="71"/>
      <c r="N32" s="499" t="str">
        <f>IF(M32="","",IF(VLOOKUP(M32,'G-7 Rivers Data'!$AA$4:$AB$7,2,FALSE)=0,"Spatial Data Missing ⚠",VLOOKUP(M32,'G-7 Rivers Data'!$AA$4:$AB$7,2,FALSE)))</f>
        <v/>
      </c>
      <c r="O32" s="155"/>
      <c r="P32" s="499" t="str">
        <f>IF(O32="","",IF(VLOOKUP(O32,'G-7 Rivers Data'!$AD$4:$AE$8,2,FALSE)=0,"Spatial Data Missing ⚠",VLOOKUP(O32,'G-7 Rivers Data'!$AD$4:$AE$8,2,FALSE)))</f>
        <v/>
      </c>
      <c r="Q32" s="506" t="str">
        <f>IF(D32="","",VLOOKUP(D32,'G-7 Rivers Data'!$B$2:$G$8,6,FALSE))</f>
        <v/>
      </c>
      <c r="R32" s="513" t="str">
        <f t="shared" si="0"/>
        <v/>
      </c>
      <c r="S32" s="40"/>
      <c r="T32" s="145"/>
      <c r="U32" s="157"/>
      <c r="V32" s="511" t="str">
        <f t="shared" si="1"/>
        <v/>
      </c>
      <c r="W32" s="511" t="str">
        <f t="shared" si="2"/>
        <v/>
      </c>
      <c r="X32" s="511" t="str">
        <f t="shared" si="3"/>
        <v/>
      </c>
      <c r="Y32" s="515" t="str">
        <f t="shared" si="4"/>
        <v/>
      </c>
      <c r="Z32" s="151"/>
      <c r="AA32" s="152"/>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c r="AP32" s="31" t="str">
        <f>IFERROR(INDEX('G-7 Rivers Data'!$AZ$3:$AZ$7,MATCH(D32,'G-7 Rivers Data'!$AY$3:$AY$7,0)),"")</f>
        <v/>
      </c>
    </row>
    <row r="33" spans="3:42" ht="13.8" x14ac:dyDescent="0.25">
      <c r="C33" s="141">
        <v>24</v>
      </c>
      <c r="D33" s="460"/>
      <c r="E33" s="172"/>
      <c r="F33" s="498" t="str">
        <f>IF(D33="","",VLOOKUP(D33,'G-7 Rivers Data'!$B$2:$G$8,2,FALSE))</f>
        <v/>
      </c>
      <c r="G33" s="499" t="str">
        <f>IFERROR(VLOOKUP(F33,'G-7 Rivers Data'!$C$4:$D$8,2,FALSE),"")</f>
        <v/>
      </c>
      <c r="H33" s="145"/>
      <c r="I33" s="499" t="str">
        <f>IFERROR(INDEX('G-7 Rivers Data'!$H$4:$L$8,MATCH(D33,'G-7 Rivers Data'!$B$4:$B$8,0),MATCH(H33,'G-7 Rivers Data'!$H$3:$L$3,0)),"")</f>
        <v/>
      </c>
      <c r="J33" s="418"/>
      <c r="K33" s="498" t="str">
        <f>IF(J33="","",IF(VLOOKUP(J33,'G-7 Rivers Data'!$AK$4:$AM$9,2,FALSE)=0,"Spatial Data Missing ⚠",VLOOKUP(J33,'G-7 Rivers Data'!$AK$4:$AM$9,2,FALSE)))</f>
        <v/>
      </c>
      <c r="L33" s="505" t="str">
        <f>IF(J33="","",IF(VLOOKUP(J33,'G-7 Rivers Data'!$AK$4:$AM$9,3,FALSE)=0,"Spatial Data Missing ⚠",VLOOKUP(J33,'G-7 Rivers Data'!$AK$4:$AM$9,3,FALSE)))</f>
        <v/>
      </c>
      <c r="M33" s="71"/>
      <c r="N33" s="499" t="str">
        <f>IF(M33="","",IF(VLOOKUP(M33,'G-7 Rivers Data'!$AA$4:$AB$7,2,FALSE)=0,"Spatial Data Missing ⚠",VLOOKUP(M33,'G-7 Rivers Data'!$AA$4:$AB$7,2,FALSE)))</f>
        <v/>
      </c>
      <c r="O33" s="155"/>
      <c r="P33" s="499" t="str">
        <f>IF(O33="","",IF(VLOOKUP(O33,'G-7 Rivers Data'!$AD$4:$AE$8,2,FALSE)=0,"Spatial Data Missing ⚠",VLOOKUP(O33,'G-7 Rivers Data'!$AD$4:$AE$8,2,FALSE)))</f>
        <v/>
      </c>
      <c r="Q33" s="506" t="str">
        <f>IF(D33="","",VLOOKUP(D33,'G-7 Rivers Data'!$B$2:$G$8,6,FALSE))</f>
        <v/>
      </c>
      <c r="R33" s="513" t="str">
        <f t="shared" si="0"/>
        <v/>
      </c>
      <c r="S33" s="40"/>
      <c r="T33" s="145"/>
      <c r="U33" s="157"/>
      <c r="V33" s="511" t="str">
        <f t="shared" si="1"/>
        <v/>
      </c>
      <c r="W33" s="511" t="str">
        <f t="shared" si="2"/>
        <v/>
      </c>
      <c r="X33" s="511" t="str">
        <f t="shared" si="3"/>
        <v/>
      </c>
      <c r="Y33" s="515" t="str">
        <f t="shared" si="4"/>
        <v/>
      </c>
      <c r="Z33" s="151"/>
      <c r="AA33" s="152"/>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c r="AP33" s="31" t="str">
        <f>IFERROR(INDEX('G-7 Rivers Data'!$AZ$3:$AZ$7,MATCH(D33,'G-7 Rivers Data'!$AY$3:$AY$7,0)),"")</f>
        <v/>
      </c>
    </row>
    <row r="34" spans="3:42" ht="13.8" x14ac:dyDescent="0.25">
      <c r="C34" s="141">
        <v>25</v>
      </c>
      <c r="D34" s="460"/>
      <c r="E34" s="172"/>
      <c r="F34" s="498" t="str">
        <f>IF(D34="","",VLOOKUP(D34,'G-7 Rivers Data'!$B$2:$G$8,2,FALSE))</f>
        <v/>
      </c>
      <c r="G34" s="499" t="str">
        <f>IFERROR(VLOOKUP(F34,'G-7 Rivers Data'!$C$4:$D$8,2,FALSE),"")</f>
        <v/>
      </c>
      <c r="H34" s="145"/>
      <c r="I34" s="499" t="str">
        <f>IFERROR(INDEX('G-7 Rivers Data'!$H$4:$L$8,MATCH(D34,'G-7 Rivers Data'!$B$4:$B$8,0),MATCH(H34,'G-7 Rivers Data'!$H$3:$L$3,0)),"")</f>
        <v/>
      </c>
      <c r="J34" s="418"/>
      <c r="K34" s="498" t="str">
        <f>IF(J34="","",IF(VLOOKUP(J34,'G-7 Rivers Data'!$AK$4:$AM$9,2,FALSE)=0,"Spatial Data Missing ⚠",VLOOKUP(J34,'G-7 Rivers Data'!$AK$4:$AM$9,2,FALSE)))</f>
        <v/>
      </c>
      <c r="L34" s="505" t="str">
        <f>IF(J34="","",IF(VLOOKUP(J34,'G-7 Rivers Data'!$AK$4:$AM$9,3,FALSE)=0,"Spatial Data Missing ⚠",VLOOKUP(J34,'G-7 Rivers Data'!$AK$4:$AM$9,3,FALSE)))</f>
        <v/>
      </c>
      <c r="M34" s="71"/>
      <c r="N34" s="499" t="str">
        <f>IF(M34="","",IF(VLOOKUP(M34,'G-7 Rivers Data'!$AA$4:$AB$7,2,FALSE)=0,"Spatial Data Missing ⚠",VLOOKUP(M34,'G-7 Rivers Data'!$AA$4:$AB$7,2,FALSE)))</f>
        <v/>
      </c>
      <c r="O34" s="155"/>
      <c r="P34" s="499" t="str">
        <f>IF(O34="","",IF(VLOOKUP(O34,'G-7 Rivers Data'!$AD$4:$AE$8,2,FALSE)=0,"Spatial Data Missing ⚠",VLOOKUP(O34,'G-7 Rivers Data'!$AD$4:$AE$8,2,FALSE)))</f>
        <v/>
      </c>
      <c r="Q34" s="506" t="str">
        <f>IF(D34="","",VLOOKUP(D34,'G-7 Rivers Data'!$B$2:$G$8,6,FALSE))</f>
        <v/>
      </c>
      <c r="R34" s="513" t="str">
        <f t="shared" si="0"/>
        <v/>
      </c>
      <c r="S34" s="40"/>
      <c r="T34" s="145"/>
      <c r="U34" s="157"/>
      <c r="V34" s="511" t="str">
        <f t="shared" si="1"/>
        <v/>
      </c>
      <c r="W34" s="511" t="str">
        <f t="shared" si="2"/>
        <v/>
      </c>
      <c r="X34" s="511" t="str">
        <f t="shared" si="3"/>
        <v/>
      </c>
      <c r="Y34" s="515" t="str">
        <f t="shared" si="4"/>
        <v/>
      </c>
      <c r="Z34" s="151"/>
      <c r="AA34" s="152"/>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c r="AP34" s="31" t="str">
        <f>IFERROR(INDEX('G-7 Rivers Data'!$AZ$3:$AZ$7,MATCH(D34,'G-7 Rivers Data'!$AY$3:$AY$7,0)),"")</f>
        <v/>
      </c>
    </row>
    <row r="35" spans="3:42" ht="13.8" x14ac:dyDescent="0.25">
      <c r="C35" s="141">
        <v>26</v>
      </c>
      <c r="D35" s="460"/>
      <c r="E35" s="172"/>
      <c r="F35" s="498" t="str">
        <f>IF(D35="","",VLOOKUP(D35,'G-7 Rivers Data'!$B$2:$G$8,2,FALSE))</f>
        <v/>
      </c>
      <c r="G35" s="499" t="str">
        <f>IFERROR(VLOOKUP(F35,'G-7 Rivers Data'!$C$4:$D$8,2,FALSE),"")</f>
        <v/>
      </c>
      <c r="H35" s="145"/>
      <c r="I35" s="499" t="str">
        <f>IFERROR(INDEX('G-7 Rivers Data'!$H$4:$L$8,MATCH(D35,'G-7 Rivers Data'!$B$4:$B$8,0),MATCH(H35,'G-7 Rivers Data'!$H$3:$L$3,0)),"")</f>
        <v/>
      </c>
      <c r="J35" s="418"/>
      <c r="K35" s="498" t="str">
        <f>IF(J35="","",IF(VLOOKUP(J35,'G-7 Rivers Data'!$AK$4:$AM$9,2,FALSE)=0,"Spatial Data Missing ⚠",VLOOKUP(J35,'G-7 Rivers Data'!$AK$4:$AM$9,2,FALSE)))</f>
        <v/>
      </c>
      <c r="L35" s="505" t="str">
        <f>IF(J35="","",IF(VLOOKUP(J35,'G-7 Rivers Data'!$AK$4:$AM$9,3,FALSE)=0,"Spatial Data Missing ⚠",VLOOKUP(J35,'G-7 Rivers Data'!$AK$4:$AM$9,3,FALSE)))</f>
        <v/>
      </c>
      <c r="M35" s="71"/>
      <c r="N35" s="499" t="str">
        <f>IF(M35="","",IF(VLOOKUP(M35,'G-7 Rivers Data'!$AA$4:$AB$7,2,FALSE)=0,"Spatial Data Missing ⚠",VLOOKUP(M35,'G-7 Rivers Data'!$AA$4:$AB$7,2,FALSE)))</f>
        <v/>
      </c>
      <c r="O35" s="155"/>
      <c r="P35" s="499" t="str">
        <f>IF(O35="","",IF(VLOOKUP(O35,'G-7 Rivers Data'!$AD$4:$AE$8,2,FALSE)=0,"Spatial Data Missing ⚠",VLOOKUP(O35,'G-7 Rivers Data'!$AD$4:$AE$8,2,FALSE)))</f>
        <v/>
      </c>
      <c r="Q35" s="506" t="str">
        <f>IF(D35="","",VLOOKUP(D35,'G-7 Rivers Data'!$B$2:$G$8,6,FALSE))</f>
        <v/>
      </c>
      <c r="R35" s="513" t="str">
        <f t="shared" si="0"/>
        <v/>
      </c>
      <c r="S35" s="40"/>
      <c r="T35" s="145"/>
      <c r="U35" s="157"/>
      <c r="V35" s="511" t="str">
        <f t="shared" si="1"/>
        <v/>
      </c>
      <c r="W35" s="511" t="str">
        <f t="shared" si="2"/>
        <v/>
      </c>
      <c r="X35" s="511" t="str">
        <f t="shared" si="3"/>
        <v/>
      </c>
      <c r="Y35" s="515" t="str">
        <f t="shared" si="4"/>
        <v/>
      </c>
      <c r="Z35" s="151"/>
      <c r="AA35" s="152"/>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c r="AP35" s="31" t="str">
        <f>IFERROR(INDEX('G-7 Rivers Data'!$AZ$3:$AZ$7,MATCH(D35,'G-7 Rivers Data'!$AY$3:$AY$7,0)),"")</f>
        <v/>
      </c>
    </row>
    <row r="36" spans="3:42" ht="13.8" x14ac:dyDescent="0.25">
      <c r="C36" s="141">
        <v>27</v>
      </c>
      <c r="D36" s="460"/>
      <c r="E36" s="172"/>
      <c r="F36" s="498" t="str">
        <f>IF(D36="","",VLOOKUP(D36,'G-7 Rivers Data'!$B$2:$G$8,2,FALSE))</f>
        <v/>
      </c>
      <c r="G36" s="499" t="str">
        <f>IFERROR(VLOOKUP(F36,'G-7 Rivers Data'!$C$4:$D$8,2,FALSE),"")</f>
        <v/>
      </c>
      <c r="H36" s="145"/>
      <c r="I36" s="499" t="str">
        <f>IFERROR(INDEX('G-7 Rivers Data'!$H$4:$L$8,MATCH(D36,'G-7 Rivers Data'!$B$4:$B$8,0),MATCH(H36,'G-7 Rivers Data'!$H$3:$L$3,0)),"")</f>
        <v/>
      </c>
      <c r="J36" s="418"/>
      <c r="K36" s="498" t="str">
        <f>IF(J36="","",IF(VLOOKUP(J36,'G-7 Rivers Data'!$AK$4:$AM$9,2,FALSE)=0,"Spatial Data Missing ⚠",VLOOKUP(J36,'G-7 Rivers Data'!$AK$4:$AM$9,2,FALSE)))</f>
        <v/>
      </c>
      <c r="L36" s="505" t="str">
        <f>IF(J36="","",IF(VLOOKUP(J36,'G-7 Rivers Data'!$AK$4:$AM$9,3,FALSE)=0,"Spatial Data Missing ⚠",VLOOKUP(J36,'G-7 Rivers Data'!$AK$4:$AM$9,3,FALSE)))</f>
        <v/>
      </c>
      <c r="M36" s="71"/>
      <c r="N36" s="499" t="str">
        <f>IF(M36="","",IF(VLOOKUP(M36,'G-7 Rivers Data'!$AA$4:$AB$7,2,FALSE)=0,"Spatial Data Missing ⚠",VLOOKUP(M36,'G-7 Rivers Data'!$AA$4:$AB$7,2,FALSE)))</f>
        <v/>
      </c>
      <c r="O36" s="155"/>
      <c r="P36" s="499" t="str">
        <f>IF(O36="","",IF(VLOOKUP(O36,'G-7 Rivers Data'!$AD$4:$AE$8,2,FALSE)=0,"Spatial Data Missing ⚠",VLOOKUP(O36,'G-7 Rivers Data'!$AD$4:$AE$8,2,FALSE)))</f>
        <v/>
      </c>
      <c r="Q36" s="506" t="str">
        <f>IF(D36="","",VLOOKUP(D36,'G-7 Rivers Data'!$B$2:$G$8,6,FALSE))</f>
        <v/>
      </c>
      <c r="R36" s="513" t="str">
        <f t="shared" si="0"/>
        <v/>
      </c>
      <c r="S36" s="40"/>
      <c r="T36" s="145"/>
      <c r="U36" s="157"/>
      <c r="V36" s="511" t="str">
        <f t="shared" si="1"/>
        <v/>
      </c>
      <c r="W36" s="511" t="str">
        <f t="shared" si="2"/>
        <v/>
      </c>
      <c r="X36" s="511" t="str">
        <f t="shared" si="3"/>
        <v/>
      </c>
      <c r="Y36" s="515" t="str">
        <f t="shared" si="4"/>
        <v/>
      </c>
      <c r="Z36" s="151"/>
      <c r="AA36" s="152"/>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c r="AP36" s="31" t="str">
        <f>IFERROR(INDEX('G-7 Rivers Data'!$AZ$3:$AZ$7,MATCH(D36,'G-7 Rivers Data'!$AY$3:$AY$7,0)),"")</f>
        <v/>
      </c>
    </row>
    <row r="37" spans="3:42" ht="13.8" x14ac:dyDescent="0.25">
      <c r="C37" s="141">
        <v>28</v>
      </c>
      <c r="D37" s="460"/>
      <c r="E37" s="172"/>
      <c r="F37" s="498" t="str">
        <f>IF(D37="","",VLOOKUP(D37,'G-7 Rivers Data'!$B$2:$G$8,2,FALSE))</f>
        <v/>
      </c>
      <c r="G37" s="499" t="str">
        <f>IFERROR(VLOOKUP(F37,'G-7 Rivers Data'!$C$4:$D$8,2,FALSE),"")</f>
        <v/>
      </c>
      <c r="H37" s="145"/>
      <c r="I37" s="499" t="str">
        <f>IFERROR(INDEX('G-7 Rivers Data'!$H$4:$L$8,MATCH(D37,'G-7 Rivers Data'!$B$4:$B$8,0),MATCH(H37,'G-7 Rivers Data'!$H$3:$L$3,0)),"")</f>
        <v/>
      </c>
      <c r="J37" s="418"/>
      <c r="K37" s="498" t="str">
        <f>IF(J37="","",IF(VLOOKUP(J37,'G-7 Rivers Data'!$AK$4:$AM$9,2,FALSE)=0,"Spatial Data Missing ⚠",VLOOKUP(J37,'G-7 Rivers Data'!$AK$4:$AM$9,2,FALSE)))</f>
        <v/>
      </c>
      <c r="L37" s="505" t="str">
        <f>IF(J37="","",IF(VLOOKUP(J37,'G-7 Rivers Data'!$AK$4:$AM$9,3,FALSE)=0,"Spatial Data Missing ⚠",VLOOKUP(J37,'G-7 Rivers Data'!$AK$4:$AM$9,3,FALSE)))</f>
        <v/>
      </c>
      <c r="M37" s="71"/>
      <c r="N37" s="499" t="str">
        <f>IF(M37="","",IF(VLOOKUP(M37,'G-7 Rivers Data'!$AA$4:$AB$7,2,FALSE)=0,"Spatial Data Missing ⚠",VLOOKUP(M37,'G-7 Rivers Data'!$AA$4:$AB$7,2,FALSE)))</f>
        <v/>
      </c>
      <c r="O37" s="155"/>
      <c r="P37" s="499" t="str">
        <f>IF(O37="","",IF(VLOOKUP(O37,'G-7 Rivers Data'!$AD$4:$AE$8,2,FALSE)=0,"Spatial Data Missing ⚠",VLOOKUP(O37,'G-7 Rivers Data'!$AD$4:$AE$8,2,FALSE)))</f>
        <v/>
      </c>
      <c r="Q37" s="506" t="str">
        <f>IF(D37="","",VLOOKUP(D37,'G-7 Rivers Data'!$B$2:$G$8,6,FALSE))</f>
        <v/>
      </c>
      <c r="R37" s="513" t="str">
        <f t="shared" si="0"/>
        <v/>
      </c>
      <c r="S37" s="40"/>
      <c r="T37" s="145"/>
      <c r="U37" s="157"/>
      <c r="V37" s="511" t="str">
        <f t="shared" si="1"/>
        <v/>
      </c>
      <c r="W37" s="511" t="str">
        <f t="shared" si="2"/>
        <v/>
      </c>
      <c r="X37" s="511" t="str">
        <f t="shared" si="3"/>
        <v/>
      </c>
      <c r="Y37" s="515" t="str">
        <f t="shared" si="4"/>
        <v/>
      </c>
      <c r="Z37" s="151"/>
      <c r="AA37" s="152"/>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c r="AP37" s="31" t="str">
        <f>IFERROR(INDEX('G-7 Rivers Data'!$AZ$3:$AZ$7,MATCH(D37,'G-7 Rivers Data'!$AY$3:$AY$7,0)),"")</f>
        <v/>
      </c>
    </row>
    <row r="38" spans="3:42" ht="13.8" x14ac:dyDescent="0.25">
      <c r="C38" s="141">
        <v>29</v>
      </c>
      <c r="D38" s="460"/>
      <c r="E38" s="172"/>
      <c r="F38" s="498" t="str">
        <f>IF(D38="","",VLOOKUP(D38,'G-7 Rivers Data'!$B$2:$G$8,2,FALSE))</f>
        <v/>
      </c>
      <c r="G38" s="499" t="str">
        <f>IFERROR(VLOOKUP(F38,'G-7 Rivers Data'!$C$4:$D$8,2,FALSE),"")</f>
        <v/>
      </c>
      <c r="H38" s="145"/>
      <c r="I38" s="499" t="str">
        <f>IFERROR(INDEX('G-7 Rivers Data'!$H$4:$L$8,MATCH(D38,'G-7 Rivers Data'!$B$4:$B$8,0),MATCH(H38,'G-7 Rivers Data'!$H$3:$L$3,0)),"")</f>
        <v/>
      </c>
      <c r="J38" s="418"/>
      <c r="K38" s="498" t="str">
        <f>IF(J38="","",IF(VLOOKUP(J38,'G-7 Rivers Data'!$AK$4:$AM$9,2,FALSE)=0,"Spatial Data Missing ⚠",VLOOKUP(J38,'G-7 Rivers Data'!$AK$4:$AM$9,2,FALSE)))</f>
        <v/>
      </c>
      <c r="L38" s="505" t="str">
        <f>IF(J38="","",IF(VLOOKUP(J38,'G-7 Rivers Data'!$AK$4:$AM$9,3,FALSE)=0,"Spatial Data Missing ⚠",VLOOKUP(J38,'G-7 Rivers Data'!$AK$4:$AM$9,3,FALSE)))</f>
        <v/>
      </c>
      <c r="M38" s="71"/>
      <c r="N38" s="499" t="str">
        <f>IF(M38="","",IF(VLOOKUP(M38,'G-7 Rivers Data'!$AA$4:$AB$7,2,FALSE)=0,"Spatial Data Missing ⚠",VLOOKUP(M38,'G-7 Rivers Data'!$AA$4:$AB$7,2,FALSE)))</f>
        <v/>
      </c>
      <c r="O38" s="155"/>
      <c r="P38" s="499" t="str">
        <f>IF(O38="","",IF(VLOOKUP(O38,'G-7 Rivers Data'!$AD$4:$AE$8,2,FALSE)=0,"Spatial Data Missing ⚠",VLOOKUP(O38,'G-7 Rivers Data'!$AD$4:$AE$8,2,FALSE)))</f>
        <v/>
      </c>
      <c r="Q38" s="506" t="str">
        <f>IF(D38="","",VLOOKUP(D38,'G-7 Rivers Data'!$B$2:$G$8,6,FALSE))</f>
        <v/>
      </c>
      <c r="R38" s="513" t="str">
        <f t="shared" si="0"/>
        <v/>
      </c>
      <c r="S38" s="40"/>
      <c r="T38" s="145"/>
      <c r="U38" s="157"/>
      <c r="V38" s="511" t="str">
        <f t="shared" si="1"/>
        <v/>
      </c>
      <c r="W38" s="511" t="str">
        <f t="shared" si="2"/>
        <v/>
      </c>
      <c r="X38" s="511" t="str">
        <f t="shared" si="3"/>
        <v/>
      </c>
      <c r="Y38" s="515" t="str">
        <f t="shared" si="4"/>
        <v/>
      </c>
      <c r="Z38" s="151"/>
      <c r="AA38" s="152"/>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c r="AP38" s="31" t="str">
        <f>IFERROR(INDEX('G-7 Rivers Data'!$AZ$3:$AZ$7,MATCH(D38,'G-7 Rivers Data'!$AY$3:$AY$7,0)),"")</f>
        <v/>
      </c>
    </row>
    <row r="39" spans="3:42" ht="13.8" x14ac:dyDescent="0.25">
      <c r="C39" s="141">
        <v>30</v>
      </c>
      <c r="D39" s="460"/>
      <c r="E39" s="172"/>
      <c r="F39" s="498" t="str">
        <f>IF(D39="","",VLOOKUP(D39,'G-7 Rivers Data'!$B$2:$G$8,2,FALSE))</f>
        <v/>
      </c>
      <c r="G39" s="499" t="str">
        <f>IFERROR(VLOOKUP(F39,'G-7 Rivers Data'!$C$4:$D$8,2,FALSE),"")</f>
        <v/>
      </c>
      <c r="H39" s="145"/>
      <c r="I39" s="499" t="str">
        <f>IFERROR(INDEX('G-7 Rivers Data'!$H$4:$L$8,MATCH(D39,'G-7 Rivers Data'!$B$4:$B$8,0),MATCH(H39,'G-7 Rivers Data'!$H$3:$L$3,0)),"")</f>
        <v/>
      </c>
      <c r="J39" s="418"/>
      <c r="K39" s="498" t="str">
        <f>IF(J39="","",IF(VLOOKUP(J39,'G-7 Rivers Data'!$AK$4:$AM$9,2,FALSE)=0,"Spatial Data Missing ⚠",VLOOKUP(J39,'G-7 Rivers Data'!$AK$4:$AM$9,2,FALSE)))</f>
        <v/>
      </c>
      <c r="L39" s="505" t="str">
        <f>IF(J39="","",IF(VLOOKUP(J39,'G-7 Rivers Data'!$AK$4:$AM$9,3,FALSE)=0,"Spatial Data Missing ⚠",VLOOKUP(J39,'G-7 Rivers Data'!$AK$4:$AM$9,3,FALSE)))</f>
        <v/>
      </c>
      <c r="M39" s="71"/>
      <c r="N39" s="499" t="str">
        <f>IF(M39="","",IF(VLOOKUP(M39,'G-7 Rivers Data'!$AA$4:$AB$7,2,FALSE)=0,"Spatial Data Missing ⚠",VLOOKUP(M39,'G-7 Rivers Data'!$AA$4:$AB$7,2,FALSE)))</f>
        <v/>
      </c>
      <c r="O39" s="155"/>
      <c r="P39" s="499" t="str">
        <f>IF(O39="","",IF(VLOOKUP(O39,'G-7 Rivers Data'!$AD$4:$AE$8,2,FALSE)=0,"Spatial Data Missing ⚠",VLOOKUP(O39,'G-7 Rivers Data'!$AD$4:$AE$8,2,FALSE)))</f>
        <v/>
      </c>
      <c r="Q39" s="506" t="str">
        <f>IF(D39="","",VLOOKUP(D39,'G-7 Rivers Data'!$B$2:$G$8,6,FALSE))</f>
        <v/>
      </c>
      <c r="R39" s="513" t="str">
        <f t="shared" si="0"/>
        <v/>
      </c>
      <c r="S39" s="40"/>
      <c r="T39" s="145"/>
      <c r="U39" s="157"/>
      <c r="V39" s="511" t="str">
        <f t="shared" si="1"/>
        <v/>
      </c>
      <c r="W39" s="511" t="str">
        <f t="shared" si="2"/>
        <v/>
      </c>
      <c r="X39" s="511" t="str">
        <f t="shared" si="3"/>
        <v/>
      </c>
      <c r="Y39" s="515" t="str">
        <f t="shared" si="4"/>
        <v/>
      </c>
      <c r="Z39" s="151"/>
      <c r="AA39" s="152"/>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c r="AP39" s="31" t="str">
        <f>IFERROR(INDEX('G-7 Rivers Data'!$AZ$3:$AZ$7,MATCH(D39,'G-7 Rivers Data'!$AY$3:$AY$7,0)),"")</f>
        <v/>
      </c>
    </row>
    <row r="40" spans="3:42" ht="13.8" x14ac:dyDescent="0.25">
      <c r="C40" s="141">
        <v>31</v>
      </c>
      <c r="D40" s="460"/>
      <c r="E40" s="172"/>
      <c r="F40" s="498" t="str">
        <f>IF(D40="","",VLOOKUP(D40,'G-7 Rivers Data'!$B$2:$G$8,2,FALSE))</f>
        <v/>
      </c>
      <c r="G40" s="499" t="str">
        <f>IFERROR(VLOOKUP(F40,'G-7 Rivers Data'!$C$4:$D$8,2,FALSE),"")</f>
        <v/>
      </c>
      <c r="H40" s="145"/>
      <c r="I40" s="499" t="str">
        <f>IFERROR(INDEX('G-7 Rivers Data'!$H$4:$L$8,MATCH(D40,'G-7 Rivers Data'!$B$4:$B$8,0),MATCH(H40,'G-7 Rivers Data'!$H$3:$L$3,0)),"")</f>
        <v/>
      </c>
      <c r="J40" s="418"/>
      <c r="K40" s="498" t="str">
        <f>IF(J40="","",IF(VLOOKUP(J40,'G-7 Rivers Data'!$AK$4:$AM$9,2,FALSE)=0,"Spatial Data Missing ⚠",VLOOKUP(J40,'G-7 Rivers Data'!$AK$4:$AM$9,2,FALSE)))</f>
        <v/>
      </c>
      <c r="L40" s="505" t="str">
        <f>IF(J40="","",IF(VLOOKUP(J40,'G-7 Rivers Data'!$AK$4:$AM$9,3,FALSE)=0,"Spatial Data Missing ⚠",VLOOKUP(J40,'G-7 Rivers Data'!$AK$4:$AM$9,3,FALSE)))</f>
        <v/>
      </c>
      <c r="M40" s="71"/>
      <c r="N40" s="499" t="str">
        <f>IF(M40="","",IF(VLOOKUP(M40,'G-7 Rivers Data'!$AA$4:$AB$7,2,FALSE)=0,"Spatial Data Missing ⚠",VLOOKUP(M40,'G-7 Rivers Data'!$AA$4:$AB$7,2,FALSE)))</f>
        <v/>
      </c>
      <c r="O40" s="155"/>
      <c r="P40" s="499" t="str">
        <f>IF(O40="","",IF(VLOOKUP(O40,'G-7 Rivers Data'!$AD$4:$AE$8,2,FALSE)=0,"Spatial Data Missing ⚠",VLOOKUP(O40,'G-7 Rivers Data'!$AD$4:$AE$8,2,FALSE)))</f>
        <v/>
      </c>
      <c r="Q40" s="506" t="str">
        <f>IF(D40="","",VLOOKUP(D40,'G-7 Rivers Data'!$B$2:$G$8,6,FALSE))</f>
        <v/>
      </c>
      <c r="R40" s="513" t="str">
        <f t="shared" si="0"/>
        <v/>
      </c>
      <c r="S40" s="40"/>
      <c r="T40" s="145"/>
      <c r="U40" s="157"/>
      <c r="V40" s="511" t="str">
        <f t="shared" si="1"/>
        <v/>
      </c>
      <c r="W40" s="511" t="str">
        <f t="shared" si="2"/>
        <v/>
      </c>
      <c r="X40" s="511" t="str">
        <f t="shared" si="3"/>
        <v/>
      </c>
      <c r="Y40" s="515" t="str">
        <f t="shared" si="4"/>
        <v/>
      </c>
      <c r="Z40" s="151"/>
      <c r="AA40" s="152"/>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c r="AP40" s="31" t="str">
        <f>IFERROR(INDEX('G-7 Rivers Data'!$AZ$3:$AZ$7,MATCH(D40,'G-7 Rivers Data'!$AY$3:$AY$7,0)),"")</f>
        <v/>
      </c>
    </row>
    <row r="41" spans="3:42" ht="13.8" x14ac:dyDescent="0.25">
      <c r="C41" s="141">
        <v>32</v>
      </c>
      <c r="D41" s="460"/>
      <c r="E41" s="172"/>
      <c r="F41" s="498" t="str">
        <f>IF(D41="","",VLOOKUP(D41,'G-7 Rivers Data'!$B$2:$G$8,2,FALSE))</f>
        <v/>
      </c>
      <c r="G41" s="499" t="str">
        <f>IFERROR(VLOOKUP(F41,'G-7 Rivers Data'!$C$4:$D$8,2,FALSE),"")</f>
        <v/>
      </c>
      <c r="H41" s="145"/>
      <c r="I41" s="499" t="str">
        <f>IFERROR(INDEX('G-7 Rivers Data'!$H$4:$L$8,MATCH(D41,'G-7 Rivers Data'!$B$4:$B$8,0),MATCH(H41,'G-7 Rivers Data'!$H$3:$L$3,0)),"")</f>
        <v/>
      </c>
      <c r="J41" s="418"/>
      <c r="K41" s="498" t="str">
        <f>IF(J41="","",IF(VLOOKUP(J41,'G-7 Rivers Data'!$AK$4:$AM$9,2,FALSE)=0,"Spatial Data Missing ⚠",VLOOKUP(J41,'G-7 Rivers Data'!$AK$4:$AM$9,2,FALSE)))</f>
        <v/>
      </c>
      <c r="L41" s="505" t="str">
        <f>IF(J41="","",IF(VLOOKUP(J41,'G-7 Rivers Data'!$AK$4:$AM$9,3,FALSE)=0,"Spatial Data Missing ⚠",VLOOKUP(J41,'G-7 Rivers Data'!$AK$4:$AM$9,3,FALSE)))</f>
        <v/>
      </c>
      <c r="M41" s="71"/>
      <c r="N41" s="499" t="str">
        <f>IF(M41="","",IF(VLOOKUP(M41,'G-7 Rivers Data'!$AA$4:$AB$7,2,FALSE)=0,"Spatial Data Missing ⚠",VLOOKUP(M41,'G-7 Rivers Data'!$AA$4:$AB$7,2,FALSE)))</f>
        <v/>
      </c>
      <c r="O41" s="155"/>
      <c r="P41" s="499" t="str">
        <f>IF(O41="","",IF(VLOOKUP(O41,'G-7 Rivers Data'!$AD$4:$AE$8,2,FALSE)=0,"Spatial Data Missing ⚠",VLOOKUP(O41,'G-7 Rivers Data'!$AD$4:$AE$8,2,FALSE)))</f>
        <v/>
      </c>
      <c r="Q41" s="506" t="str">
        <f>IF(D41="","",VLOOKUP(D41,'G-7 Rivers Data'!$B$2:$G$8,6,FALSE))</f>
        <v/>
      </c>
      <c r="R41" s="513" t="str">
        <f t="shared" si="0"/>
        <v/>
      </c>
      <c r="S41" s="40"/>
      <c r="T41" s="145"/>
      <c r="U41" s="157"/>
      <c r="V41" s="511" t="str">
        <f t="shared" si="1"/>
        <v/>
      </c>
      <c r="W41" s="511" t="str">
        <f t="shared" si="2"/>
        <v/>
      </c>
      <c r="X41" s="511" t="str">
        <f t="shared" si="3"/>
        <v/>
      </c>
      <c r="Y41" s="515" t="str">
        <f t="shared" si="4"/>
        <v/>
      </c>
      <c r="Z41" s="151"/>
      <c r="AA41" s="152"/>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c r="AP41" s="31" t="str">
        <f>IFERROR(INDEX('G-7 Rivers Data'!$AZ$3:$AZ$7,MATCH(D41,'G-7 Rivers Data'!$AY$3:$AY$7,0)),"")</f>
        <v/>
      </c>
    </row>
    <row r="42" spans="3:42" ht="13.8" x14ac:dyDescent="0.25">
      <c r="C42" s="141">
        <v>33</v>
      </c>
      <c r="D42" s="460"/>
      <c r="E42" s="172"/>
      <c r="F42" s="498" t="str">
        <f>IF(D42="","",VLOOKUP(D42,'G-7 Rivers Data'!$B$2:$G$8,2,FALSE))</f>
        <v/>
      </c>
      <c r="G42" s="499" t="str">
        <f>IFERROR(VLOOKUP(F42,'G-7 Rivers Data'!$C$4:$D$8,2,FALSE),"")</f>
        <v/>
      </c>
      <c r="H42" s="145"/>
      <c r="I42" s="499" t="str">
        <f>IFERROR(INDEX('G-7 Rivers Data'!$H$4:$L$8,MATCH(D42,'G-7 Rivers Data'!$B$4:$B$8,0),MATCH(H42,'G-7 Rivers Data'!$H$3:$L$3,0)),"")</f>
        <v/>
      </c>
      <c r="J42" s="418"/>
      <c r="K42" s="498" t="str">
        <f>IF(J42="","",IF(VLOOKUP(J42,'G-7 Rivers Data'!$AK$4:$AM$9,2,FALSE)=0,"Spatial Data Missing ⚠",VLOOKUP(J42,'G-7 Rivers Data'!$AK$4:$AM$9,2,FALSE)))</f>
        <v/>
      </c>
      <c r="L42" s="505" t="str">
        <f>IF(J42="","",IF(VLOOKUP(J42,'G-7 Rivers Data'!$AK$4:$AM$9,3,FALSE)=0,"Spatial Data Missing ⚠",VLOOKUP(J42,'G-7 Rivers Data'!$AK$4:$AM$9,3,FALSE)))</f>
        <v/>
      </c>
      <c r="M42" s="71"/>
      <c r="N42" s="499" t="str">
        <f>IF(M42="","",IF(VLOOKUP(M42,'G-7 Rivers Data'!$AA$4:$AB$7,2,FALSE)=0,"Spatial Data Missing ⚠",VLOOKUP(M42,'G-7 Rivers Data'!$AA$4:$AB$7,2,FALSE)))</f>
        <v/>
      </c>
      <c r="O42" s="155"/>
      <c r="P42" s="499" t="str">
        <f>IF(O42="","",IF(VLOOKUP(O42,'G-7 Rivers Data'!$AD$4:$AE$8,2,FALSE)=0,"Spatial Data Missing ⚠",VLOOKUP(O42,'G-7 Rivers Data'!$AD$4:$AE$8,2,FALSE)))</f>
        <v/>
      </c>
      <c r="Q42" s="506" t="str">
        <f>IF(D42="","",VLOOKUP(D42,'G-7 Rivers Data'!$B$2:$G$8,6,FALSE))</f>
        <v/>
      </c>
      <c r="R42" s="513" t="str">
        <f t="shared" si="0"/>
        <v/>
      </c>
      <c r="S42" s="40"/>
      <c r="T42" s="145"/>
      <c r="U42" s="157"/>
      <c r="V42" s="511" t="str">
        <f t="shared" si="1"/>
        <v/>
      </c>
      <c r="W42" s="511" t="str">
        <f t="shared" si="2"/>
        <v/>
      </c>
      <c r="X42" s="511" t="str">
        <f t="shared" si="3"/>
        <v/>
      </c>
      <c r="Y42" s="515" t="str">
        <f t="shared" si="4"/>
        <v/>
      </c>
      <c r="Z42" s="151"/>
      <c r="AA42" s="152"/>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c r="AP42" s="31" t="str">
        <f>IFERROR(INDEX('G-7 Rivers Data'!$AZ$3:$AZ$7,MATCH(D42,'G-7 Rivers Data'!$AY$3:$AY$7,0)),"")</f>
        <v/>
      </c>
    </row>
    <row r="43" spans="3:42" ht="13.8" x14ac:dyDescent="0.25">
      <c r="C43" s="141">
        <v>34</v>
      </c>
      <c r="D43" s="460"/>
      <c r="E43" s="172"/>
      <c r="F43" s="498" t="str">
        <f>IF(D43="","",VLOOKUP(D43,'G-7 Rivers Data'!$B$2:$G$8,2,FALSE))</f>
        <v/>
      </c>
      <c r="G43" s="499" t="str">
        <f>IFERROR(VLOOKUP(F43,'G-7 Rivers Data'!$C$4:$D$8,2,FALSE),"")</f>
        <v/>
      </c>
      <c r="H43" s="145"/>
      <c r="I43" s="499" t="str">
        <f>IFERROR(INDEX('G-7 Rivers Data'!$H$4:$L$8,MATCH(D43,'G-7 Rivers Data'!$B$4:$B$8,0),MATCH(H43,'G-7 Rivers Data'!$H$3:$L$3,0)),"")</f>
        <v/>
      </c>
      <c r="J43" s="418"/>
      <c r="K43" s="498" t="str">
        <f>IF(J43="","",IF(VLOOKUP(J43,'G-7 Rivers Data'!$AK$4:$AM$9,2,FALSE)=0,"Spatial Data Missing ⚠",VLOOKUP(J43,'G-7 Rivers Data'!$AK$4:$AM$9,2,FALSE)))</f>
        <v/>
      </c>
      <c r="L43" s="505" t="str">
        <f>IF(J43="","",IF(VLOOKUP(J43,'G-7 Rivers Data'!$AK$4:$AM$9,3,FALSE)=0,"Spatial Data Missing ⚠",VLOOKUP(J43,'G-7 Rivers Data'!$AK$4:$AM$9,3,FALSE)))</f>
        <v/>
      </c>
      <c r="M43" s="71"/>
      <c r="N43" s="499" t="str">
        <f>IF(M43="","",IF(VLOOKUP(M43,'G-7 Rivers Data'!$AA$4:$AB$7,2,FALSE)=0,"Spatial Data Missing ⚠",VLOOKUP(M43,'G-7 Rivers Data'!$AA$4:$AB$7,2,FALSE)))</f>
        <v/>
      </c>
      <c r="O43" s="155"/>
      <c r="P43" s="499" t="str">
        <f>IF(O43="","",IF(VLOOKUP(O43,'G-7 Rivers Data'!$AD$4:$AE$8,2,FALSE)=0,"Spatial Data Missing ⚠",VLOOKUP(O43,'G-7 Rivers Data'!$AD$4:$AE$8,2,FALSE)))</f>
        <v/>
      </c>
      <c r="Q43" s="506" t="str">
        <f>IF(D43="","",VLOOKUP(D43,'G-7 Rivers Data'!$B$2:$G$8,6,FALSE))</f>
        <v/>
      </c>
      <c r="R43" s="513" t="str">
        <f t="shared" si="0"/>
        <v/>
      </c>
      <c r="S43" s="40"/>
      <c r="T43" s="145"/>
      <c r="U43" s="157"/>
      <c r="V43" s="511" t="str">
        <f t="shared" si="1"/>
        <v/>
      </c>
      <c r="W43" s="511" t="str">
        <f t="shared" si="2"/>
        <v/>
      </c>
      <c r="X43" s="511" t="str">
        <f t="shared" si="3"/>
        <v/>
      </c>
      <c r="Y43" s="515" t="str">
        <f t="shared" si="4"/>
        <v/>
      </c>
      <c r="Z43" s="151"/>
      <c r="AA43" s="152"/>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c r="AP43" s="31" t="str">
        <f>IFERROR(INDEX('G-7 Rivers Data'!$AZ$3:$AZ$7,MATCH(D43,'G-7 Rivers Data'!$AY$3:$AY$7,0)),"")</f>
        <v/>
      </c>
    </row>
    <row r="44" spans="3:42" ht="13.8" x14ac:dyDescent="0.25">
      <c r="C44" s="141">
        <v>35</v>
      </c>
      <c r="D44" s="460"/>
      <c r="E44" s="172"/>
      <c r="F44" s="498" t="str">
        <f>IF(D44="","",VLOOKUP(D44,'G-7 Rivers Data'!$B$2:$G$8,2,FALSE))</f>
        <v/>
      </c>
      <c r="G44" s="499" t="str">
        <f>IFERROR(VLOOKUP(F44,'G-7 Rivers Data'!$C$4:$D$8,2,FALSE),"")</f>
        <v/>
      </c>
      <c r="H44" s="145"/>
      <c r="I44" s="499" t="str">
        <f>IFERROR(INDEX('G-7 Rivers Data'!$H$4:$L$8,MATCH(D44,'G-7 Rivers Data'!$B$4:$B$8,0),MATCH(H44,'G-7 Rivers Data'!$H$3:$L$3,0)),"")</f>
        <v/>
      </c>
      <c r="J44" s="418"/>
      <c r="K44" s="498" t="str">
        <f>IF(J44="","",IF(VLOOKUP(J44,'G-7 Rivers Data'!$AK$4:$AM$9,2,FALSE)=0,"Spatial Data Missing ⚠",VLOOKUP(J44,'G-7 Rivers Data'!$AK$4:$AM$9,2,FALSE)))</f>
        <v/>
      </c>
      <c r="L44" s="505" t="str">
        <f>IF(J44="","",IF(VLOOKUP(J44,'G-7 Rivers Data'!$AK$4:$AM$9,3,FALSE)=0,"Spatial Data Missing ⚠",VLOOKUP(J44,'G-7 Rivers Data'!$AK$4:$AM$9,3,FALSE)))</f>
        <v/>
      </c>
      <c r="M44" s="71"/>
      <c r="N44" s="499" t="str">
        <f>IF(M44="","",IF(VLOOKUP(M44,'G-7 Rivers Data'!$AA$4:$AB$7,2,FALSE)=0,"Spatial Data Missing ⚠",VLOOKUP(M44,'G-7 Rivers Data'!$AA$4:$AB$7,2,FALSE)))</f>
        <v/>
      </c>
      <c r="O44" s="155"/>
      <c r="P44" s="499" t="str">
        <f>IF(O44="","",IF(VLOOKUP(O44,'G-7 Rivers Data'!$AD$4:$AE$8,2,FALSE)=0,"Spatial Data Missing ⚠",VLOOKUP(O44,'G-7 Rivers Data'!$AD$4:$AE$8,2,FALSE)))</f>
        <v/>
      </c>
      <c r="Q44" s="506" t="str">
        <f>IF(D44="","",VLOOKUP(D44,'G-7 Rivers Data'!$B$2:$G$8,6,FALSE))</f>
        <v/>
      </c>
      <c r="R44" s="513" t="str">
        <f t="shared" si="0"/>
        <v/>
      </c>
      <c r="S44" s="40"/>
      <c r="T44" s="145"/>
      <c r="U44" s="157"/>
      <c r="V44" s="511" t="str">
        <f t="shared" si="1"/>
        <v/>
      </c>
      <c r="W44" s="511" t="str">
        <f t="shared" si="2"/>
        <v/>
      </c>
      <c r="X44" s="511" t="str">
        <f t="shared" si="3"/>
        <v/>
      </c>
      <c r="Y44" s="515" t="str">
        <f t="shared" si="4"/>
        <v/>
      </c>
      <c r="Z44" s="151"/>
      <c r="AA44" s="152"/>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c r="AP44" s="31" t="str">
        <f>IFERROR(INDEX('G-7 Rivers Data'!$AZ$3:$AZ$7,MATCH(D44,'G-7 Rivers Data'!$AY$3:$AY$7,0)),"")</f>
        <v/>
      </c>
    </row>
    <row r="45" spans="3:42" ht="13.8" x14ac:dyDescent="0.25">
      <c r="C45" s="141">
        <v>36</v>
      </c>
      <c r="D45" s="460"/>
      <c r="E45" s="172"/>
      <c r="F45" s="498" t="str">
        <f>IF(D45="","",VLOOKUP(D45,'G-7 Rivers Data'!$B$2:$G$8,2,FALSE))</f>
        <v/>
      </c>
      <c r="G45" s="499" t="str">
        <f>IFERROR(VLOOKUP(F45,'G-7 Rivers Data'!$C$4:$D$8,2,FALSE),"")</f>
        <v/>
      </c>
      <c r="H45" s="145"/>
      <c r="I45" s="499" t="str">
        <f>IFERROR(INDEX('G-7 Rivers Data'!$H$4:$L$8,MATCH(D45,'G-7 Rivers Data'!$B$4:$B$8,0),MATCH(H45,'G-7 Rivers Data'!$H$3:$L$3,0)),"")</f>
        <v/>
      </c>
      <c r="J45" s="418"/>
      <c r="K45" s="498" t="str">
        <f>IF(J45="","",IF(VLOOKUP(J45,'G-7 Rivers Data'!$AK$4:$AM$9,2,FALSE)=0,"Spatial Data Missing ⚠",VLOOKUP(J45,'G-7 Rivers Data'!$AK$4:$AM$9,2,FALSE)))</f>
        <v/>
      </c>
      <c r="L45" s="505" t="str">
        <f>IF(J45="","",IF(VLOOKUP(J45,'G-7 Rivers Data'!$AK$4:$AM$9,3,FALSE)=0,"Spatial Data Missing ⚠",VLOOKUP(J45,'G-7 Rivers Data'!$AK$4:$AM$9,3,FALSE)))</f>
        <v/>
      </c>
      <c r="M45" s="71"/>
      <c r="N45" s="499" t="str">
        <f>IF(M45="","",IF(VLOOKUP(M45,'G-7 Rivers Data'!$AA$4:$AB$7,2,FALSE)=0,"Spatial Data Missing ⚠",VLOOKUP(M45,'G-7 Rivers Data'!$AA$4:$AB$7,2,FALSE)))</f>
        <v/>
      </c>
      <c r="O45" s="155"/>
      <c r="P45" s="499" t="str">
        <f>IF(O45="","",IF(VLOOKUP(O45,'G-7 Rivers Data'!$AD$4:$AE$8,2,FALSE)=0,"Spatial Data Missing ⚠",VLOOKUP(O45,'G-7 Rivers Data'!$AD$4:$AE$8,2,FALSE)))</f>
        <v/>
      </c>
      <c r="Q45" s="506" t="str">
        <f>IF(D45="","",VLOOKUP(D45,'G-7 Rivers Data'!$B$2:$G$8,6,FALSE))</f>
        <v/>
      </c>
      <c r="R45" s="513" t="str">
        <f t="shared" si="0"/>
        <v/>
      </c>
      <c r="S45" s="40"/>
      <c r="T45" s="145"/>
      <c r="U45" s="157"/>
      <c r="V45" s="511" t="str">
        <f t="shared" si="1"/>
        <v/>
      </c>
      <c r="W45" s="511" t="str">
        <f t="shared" si="2"/>
        <v/>
      </c>
      <c r="X45" s="511" t="str">
        <f t="shared" si="3"/>
        <v/>
      </c>
      <c r="Y45" s="515" t="str">
        <f t="shared" si="4"/>
        <v/>
      </c>
      <c r="Z45" s="151"/>
      <c r="AA45" s="152"/>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c r="AP45" s="31" t="str">
        <f>IFERROR(INDEX('G-7 Rivers Data'!$AZ$3:$AZ$7,MATCH(D45,'G-7 Rivers Data'!$AY$3:$AY$7,0)),"")</f>
        <v/>
      </c>
    </row>
    <row r="46" spans="3:42" ht="13.8" x14ac:dyDescent="0.25">
      <c r="C46" s="141">
        <v>37</v>
      </c>
      <c r="D46" s="460"/>
      <c r="E46" s="172"/>
      <c r="F46" s="498" t="str">
        <f>IF(D46="","",VLOOKUP(D46,'G-7 Rivers Data'!$B$2:$G$8,2,FALSE))</f>
        <v/>
      </c>
      <c r="G46" s="499" t="str">
        <f>IFERROR(VLOOKUP(F46,'G-7 Rivers Data'!$C$4:$D$8,2,FALSE),"")</f>
        <v/>
      </c>
      <c r="H46" s="145"/>
      <c r="I46" s="499" t="str">
        <f>IFERROR(INDEX('G-7 Rivers Data'!$H$4:$L$8,MATCH(D46,'G-7 Rivers Data'!$B$4:$B$8,0),MATCH(H46,'G-7 Rivers Data'!$H$3:$L$3,0)),"")</f>
        <v/>
      </c>
      <c r="J46" s="418"/>
      <c r="K46" s="498" t="str">
        <f>IF(J46="","",IF(VLOOKUP(J46,'G-7 Rivers Data'!$AK$4:$AM$9,2,FALSE)=0,"Spatial Data Missing ⚠",VLOOKUP(J46,'G-7 Rivers Data'!$AK$4:$AM$9,2,FALSE)))</f>
        <v/>
      </c>
      <c r="L46" s="505" t="str">
        <f>IF(J46="","",IF(VLOOKUP(J46,'G-7 Rivers Data'!$AK$4:$AM$9,3,FALSE)=0,"Spatial Data Missing ⚠",VLOOKUP(J46,'G-7 Rivers Data'!$AK$4:$AM$9,3,FALSE)))</f>
        <v/>
      </c>
      <c r="M46" s="71"/>
      <c r="N46" s="499" t="str">
        <f>IF(M46="","",IF(VLOOKUP(M46,'G-7 Rivers Data'!$AA$4:$AB$7,2,FALSE)=0,"Spatial Data Missing ⚠",VLOOKUP(M46,'G-7 Rivers Data'!$AA$4:$AB$7,2,FALSE)))</f>
        <v/>
      </c>
      <c r="O46" s="155"/>
      <c r="P46" s="499" t="str">
        <f>IF(O46="","",IF(VLOOKUP(O46,'G-7 Rivers Data'!$AD$4:$AE$8,2,FALSE)=0,"Spatial Data Missing ⚠",VLOOKUP(O46,'G-7 Rivers Data'!$AD$4:$AE$8,2,FALSE)))</f>
        <v/>
      </c>
      <c r="Q46" s="506" t="str">
        <f>IF(D46="","",VLOOKUP(D46,'G-7 Rivers Data'!$B$2:$G$8,6,FALSE))</f>
        <v/>
      </c>
      <c r="R46" s="513" t="str">
        <f t="shared" si="0"/>
        <v/>
      </c>
      <c r="S46" s="40"/>
      <c r="T46" s="145"/>
      <c r="U46" s="157"/>
      <c r="V46" s="511" t="str">
        <f t="shared" si="1"/>
        <v/>
      </c>
      <c r="W46" s="511" t="str">
        <f t="shared" si="2"/>
        <v/>
      </c>
      <c r="X46" s="511" t="str">
        <f t="shared" si="3"/>
        <v/>
      </c>
      <c r="Y46" s="515" t="str">
        <f t="shared" si="4"/>
        <v/>
      </c>
      <c r="Z46" s="151"/>
      <c r="AA46" s="152"/>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c r="AP46" s="31" t="str">
        <f>IFERROR(INDEX('G-7 Rivers Data'!$AZ$3:$AZ$7,MATCH(D46,'G-7 Rivers Data'!$AY$3:$AY$7,0)),"")</f>
        <v/>
      </c>
    </row>
    <row r="47" spans="3:42" ht="13.8" x14ac:dyDescent="0.25">
      <c r="C47" s="141">
        <v>38</v>
      </c>
      <c r="D47" s="460"/>
      <c r="E47" s="172"/>
      <c r="F47" s="498" t="str">
        <f>IF(D47="","",VLOOKUP(D47,'G-7 Rivers Data'!$B$2:$G$8,2,FALSE))</f>
        <v/>
      </c>
      <c r="G47" s="499" t="str">
        <f>IFERROR(VLOOKUP(F47,'G-7 Rivers Data'!$C$4:$D$8,2,FALSE),"")</f>
        <v/>
      </c>
      <c r="H47" s="145"/>
      <c r="I47" s="499" t="str">
        <f>IFERROR(INDEX('G-7 Rivers Data'!$H$4:$L$8,MATCH(D47,'G-7 Rivers Data'!$B$4:$B$8,0),MATCH(H47,'G-7 Rivers Data'!$H$3:$L$3,0)),"")</f>
        <v/>
      </c>
      <c r="J47" s="418"/>
      <c r="K47" s="498" t="str">
        <f>IF(J47="","",IF(VLOOKUP(J47,'G-7 Rivers Data'!$AK$4:$AM$9,2,FALSE)=0,"Spatial Data Missing ⚠",VLOOKUP(J47,'G-7 Rivers Data'!$AK$4:$AM$9,2,FALSE)))</f>
        <v/>
      </c>
      <c r="L47" s="505" t="str">
        <f>IF(J47="","",IF(VLOOKUP(J47,'G-7 Rivers Data'!$AK$4:$AM$9,3,FALSE)=0,"Spatial Data Missing ⚠",VLOOKUP(J47,'G-7 Rivers Data'!$AK$4:$AM$9,3,FALSE)))</f>
        <v/>
      </c>
      <c r="M47" s="71"/>
      <c r="N47" s="499" t="str">
        <f>IF(M47="","",IF(VLOOKUP(M47,'G-7 Rivers Data'!$AA$4:$AB$7,2,FALSE)=0,"Spatial Data Missing ⚠",VLOOKUP(M47,'G-7 Rivers Data'!$AA$4:$AB$7,2,FALSE)))</f>
        <v/>
      </c>
      <c r="O47" s="155"/>
      <c r="P47" s="499" t="str">
        <f>IF(O47="","",IF(VLOOKUP(O47,'G-7 Rivers Data'!$AD$4:$AE$8,2,FALSE)=0,"Spatial Data Missing ⚠",VLOOKUP(O47,'G-7 Rivers Data'!$AD$4:$AE$8,2,FALSE)))</f>
        <v/>
      </c>
      <c r="Q47" s="506" t="str">
        <f>IF(D47="","",VLOOKUP(D47,'G-7 Rivers Data'!$B$2:$G$8,6,FALSE))</f>
        <v/>
      </c>
      <c r="R47" s="513" t="str">
        <f t="shared" si="0"/>
        <v/>
      </c>
      <c r="S47" s="40"/>
      <c r="T47" s="145"/>
      <c r="U47" s="157"/>
      <c r="V47" s="511" t="str">
        <f t="shared" si="1"/>
        <v/>
      </c>
      <c r="W47" s="511" t="str">
        <f t="shared" si="2"/>
        <v/>
      </c>
      <c r="X47" s="511" t="str">
        <f t="shared" si="3"/>
        <v/>
      </c>
      <c r="Y47" s="515" t="str">
        <f t="shared" si="4"/>
        <v/>
      </c>
      <c r="Z47" s="151"/>
      <c r="AA47" s="152"/>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c r="AP47" s="31" t="str">
        <f>IFERROR(INDEX('G-7 Rivers Data'!$AZ$3:$AZ$7,MATCH(D47,'G-7 Rivers Data'!$AY$3:$AY$7,0)),"")</f>
        <v/>
      </c>
    </row>
    <row r="48" spans="3:42" ht="13.8" x14ac:dyDescent="0.25">
      <c r="C48" s="141">
        <v>39</v>
      </c>
      <c r="D48" s="460"/>
      <c r="E48" s="172"/>
      <c r="F48" s="498" t="str">
        <f>IF(D48="","",VLOOKUP(D48,'G-7 Rivers Data'!$B$2:$G$8,2,FALSE))</f>
        <v/>
      </c>
      <c r="G48" s="499" t="str">
        <f>IFERROR(VLOOKUP(F48,'G-7 Rivers Data'!$C$4:$D$8,2,FALSE),"")</f>
        <v/>
      </c>
      <c r="H48" s="145"/>
      <c r="I48" s="499" t="str">
        <f>IFERROR(INDEX('G-7 Rivers Data'!$H$4:$L$8,MATCH(D48,'G-7 Rivers Data'!$B$4:$B$8,0),MATCH(H48,'G-7 Rivers Data'!$H$3:$L$3,0)),"")</f>
        <v/>
      </c>
      <c r="J48" s="418"/>
      <c r="K48" s="498" t="str">
        <f>IF(J48="","",IF(VLOOKUP(J48,'G-7 Rivers Data'!$AK$4:$AM$9,2,FALSE)=0,"Spatial Data Missing ⚠",VLOOKUP(J48,'G-7 Rivers Data'!$AK$4:$AM$9,2,FALSE)))</f>
        <v/>
      </c>
      <c r="L48" s="505" t="str">
        <f>IF(J48="","",IF(VLOOKUP(J48,'G-7 Rivers Data'!$AK$4:$AM$9,3,FALSE)=0,"Spatial Data Missing ⚠",VLOOKUP(J48,'G-7 Rivers Data'!$AK$4:$AM$9,3,FALSE)))</f>
        <v/>
      </c>
      <c r="M48" s="71"/>
      <c r="N48" s="499" t="str">
        <f>IF(M48="","",IF(VLOOKUP(M48,'G-7 Rivers Data'!$AA$4:$AB$7,2,FALSE)=0,"Spatial Data Missing ⚠",VLOOKUP(M48,'G-7 Rivers Data'!$AA$4:$AB$7,2,FALSE)))</f>
        <v/>
      </c>
      <c r="O48" s="155"/>
      <c r="P48" s="499" t="str">
        <f>IF(O48="","",IF(VLOOKUP(O48,'G-7 Rivers Data'!$AD$4:$AE$8,2,FALSE)=0,"Spatial Data Missing ⚠",VLOOKUP(O48,'G-7 Rivers Data'!$AD$4:$AE$8,2,FALSE)))</f>
        <v/>
      </c>
      <c r="Q48" s="506" t="str">
        <f>IF(D48="","",VLOOKUP(D48,'G-7 Rivers Data'!$B$2:$G$8,6,FALSE))</f>
        <v/>
      </c>
      <c r="R48" s="513" t="str">
        <f t="shared" si="0"/>
        <v/>
      </c>
      <c r="S48" s="40"/>
      <c r="T48" s="145"/>
      <c r="U48" s="157"/>
      <c r="V48" s="511" t="str">
        <f t="shared" si="1"/>
        <v/>
      </c>
      <c r="W48" s="511" t="str">
        <f t="shared" si="2"/>
        <v/>
      </c>
      <c r="X48" s="511" t="str">
        <f t="shared" si="3"/>
        <v/>
      </c>
      <c r="Y48" s="515" t="str">
        <f t="shared" si="4"/>
        <v/>
      </c>
      <c r="Z48" s="151"/>
      <c r="AA48" s="152"/>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c r="AP48" s="31" t="str">
        <f>IFERROR(INDEX('G-7 Rivers Data'!$AZ$3:$AZ$7,MATCH(D48,'G-7 Rivers Data'!$AY$3:$AY$7,0)),"")</f>
        <v/>
      </c>
    </row>
    <row r="49" spans="3:42" ht="13.8" x14ac:dyDescent="0.25">
      <c r="C49" s="141">
        <v>40</v>
      </c>
      <c r="D49" s="460"/>
      <c r="E49" s="172"/>
      <c r="F49" s="498" t="str">
        <f>IF(D49="","",VLOOKUP(D49,'G-7 Rivers Data'!$B$2:$G$8,2,FALSE))</f>
        <v/>
      </c>
      <c r="G49" s="499" t="str">
        <f>IFERROR(VLOOKUP(F49,'G-7 Rivers Data'!$C$4:$D$8,2,FALSE),"")</f>
        <v/>
      </c>
      <c r="H49" s="145"/>
      <c r="I49" s="499" t="str">
        <f>IFERROR(INDEX('G-7 Rivers Data'!$H$4:$L$8,MATCH(D49,'G-7 Rivers Data'!$B$4:$B$8,0),MATCH(H49,'G-7 Rivers Data'!$H$3:$L$3,0)),"")</f>
        <v/>
      </c>
      <c r="J49" s="418"/>
      <c r="K49" s="498" t="str">
        <f>IF(J49="","",IF(VLOOKUP(J49,'G-7 Rivers Data'!$AK$4:$AM$9,2,FALSE)=0,"Spatial Data Missing ⚠",VLOOKUP(J49,'G-7 Rivers Data'!$AK$4:$AM$9,2,FALSE)))</f>
        <v/>
      </c>
      <c r="L49" s="505" t="str">
        <f>IF(J49="","",IF(VLOOKUP(J49,'G-7 Rivers Data'!$AK$4:$AM$9,3,FALSE)=0,"Spatial Data Missing ⚠",VLOOKUP(J49,'G-7 Rivers Data'!$AK$4:$AM$9,3,FALSE)))</f>
        <v/>
      </c>
      <c r="M49" s="71"/>
      <c r="N49" s="499" t="str">
        <f>IF(M49="","",IF(VLOOKUP(M49,'G-7 Rivers Data'!$AA$4:$AB$7,2,FALSE)=0,"Spatial Data Missing ⚠",VLOOKUP(M49,'G-7 Rivers Data'!$AA$4:$AB$7,2,FALSE)))</f>
        <v/>
      </c>
      <c r="O49" s="155"/>
      <c r="P49" s="499" t="str">
        <f>IF(O49="","",IF(VLOOKUP(O49,'G-7 Rivers Data'!$AD$4:$AE$8,2,FALSE)=0,"Spatial Data Missing ⚠",VLOOKUP(O49,'G-7 Rivers Data'!$AD$4:$AE$8,2,FALSE)))</f>
        <v/>
      </c>
      <c r="Q49" s="506" t="str">
        <f>IF(D49="","",VLOOKUP(D49,'G-7 Rivers Data'!$B$2:$G$8,6,FALSE))</f>
        <v/>
      </c>
      <c r="R49" s="513" t="str">
        <f t="shared" si="0"/>
        <v/>
      </c>
      <c r="S49" s="40"/>
      <c r="T49" s="145"/>
      <c r="U49" s="157"/>
      <c r="V49" s="511" t="str">
        <f t="shared" si="1"/>
        <v/>
      </c>
      <c r="W49" s="511" t="str">
        <f t="shared" si="2"/>
        <v/>
      </c>
      <c r="X49" s="511" t="str">
        <f t="shared" si="3"/>
        <v/>
      </c>
      <c r="Y49" s="515" t="str">
        <f t="shared" si="4"/>
        <v/>
      </c>
      <c r="Z49" s="151"/>
      <c r="AA49" s="152"/>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c r="AP49" s="31" t="str">
        <f>IFERROR(INDEX('G-7 Rivers Data'!$AZ$3:$AZ$7,MATCH(D49,'G-7 Rivers Data'!$AY$3:$AY$7,0)),"")</f>
        <v/>
      </c>
    </row>
    <row r="50" spans="3:42" ht="13.8" x14ac:dyDescent="0.25">
      <c r="C50" s="141">
        <v>41</v>
      </c>
      <c r="D50" s="460"/>
      <c r="E50" s="172"/>
      <c r="F50" s="498" t="str">
        <f>IF(D50="","",VLOOKUP(D50,'G-7 Rivers Data'!$B$2:$G$8,2,FALSE))</f>
        <v/>
      </c>
      <c r="G50" s="499" t="str">
        <f>IFERROR(VLOOKUP(F50,'G-7 Rivers Data'!$C$4:$D$8,2,FALSE),"")</f>
        <v/>
      </c>
      <c r="H50" s="145"/>
      <c r="I50" s="499" t="str">
        <f>IFERROR(INDEX('G-7 Rivers Data'!$H$4:$L$8,MATCH(D50,'G-7 Rivers Data'!$B$4:$B$8,0),MATCH(H50,'G-7 Rivers Data'!$H$3:$L$3,0)),"")</f>
        <v/>
      </c>
      <c r="J50" s="418"/>
      <c r="K50" s="498" t="str">
        <f>IF(J50="","",IF(VLOOKUP(J50,'G-7 Rivers Data'!$AK$4:$AM$9,2,FALSE)=0,"Spatial Data Missing ⚠",VLOOKUP(J50,'G-7 Rivers Data'!$AK$4:$AM$9,2,FALSE)))</f>
        <v/>
      </c>
      <c r="L50" s="505" t="str">
        <f>IF(J50="","",IF(VLOOKUP(J50,'G-7 Rivers Data'!$AK$4:$AM$9,3,FALSE)=0,"Spatial Data Missing ⚠",VLOOKUP(J50,'G-7 Rivers Data'!$AK$4:$AM$9,3,FALSE)))</f>
        <v/>
      </c>
      <c r="M50" s="71"/>
      <c r="N50" s="499" t="str">
        <f>IF(M50="","",IF(VLOOKUP(M50,'G-7 Rivers Data'!$AA$4:$AB$7,2,FALSE)=0,"Spatial Data Missing ⚠",VLOOKUP(M50,'G-7 Rivers Data'!$AA$4:$AB$7,2,FALSE)))</f>
        <v/>
      </c>
      <c r="O50" s="155"/>
      <c r="P50" s="499" t="str">
        <f>IF(O50="","",IF(VLOOKUP(O50,'G-7 Rivers Data'!$AD$4:$AE$8,2,FALSE)=0,"Spatial Data Missing ⚠",VLOOKUP(O50,'G-7 Rivers Data'!$AD$4:$AE$8,2,FALSE)))</f>
        <v/>
      </c>
      <c r="Q50" s="506" t="str">
        <f>IF(D50="","",VLOOKUP(D50,'G-7 Rivers Data'!$B$2:$G$8,6,FALSE))</f>
        <v/>
      </c>
      <c r="R50" s="513" t="str">
        <f t="shared" si="0"/>
        <v/>
      </c>
      <c r="S50" s="40"/>
      <c r="T50" s="145"/>
      <c r="U50" s="157"/>
      <c r="V50" s="511" t="str">
        <f t="shared" si="1"/>
        <v/>
      </c>
      <c r="W50" s="511" t="str">
        <f t="shared" si="2"/>
        <v/>
      </c>
      <c r="X50" s="511" t="str">
        <f t="shared" si="3"/>
        <v/>
      </c>
      <c r="Y50" s="515" t="str">
        <f t="shared" si="4"/>
        <v/>
      </c>
      <c r="Z50" s="151"/>
      <c r="AA50" s="152"/>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c r="AP50" s="31" t="str">
        <f>IFERROR(INDEX('G-7 Rivers Data'!$AZ$3:$AZ$7,MATCH(D50,'G-7 Rivers Data'!$AY$3:$AY$7,0)),"")</f>
        <v/>
      </c>
    </row>
    <row r="51" spans="3:42" ht="13.8" x14ac:dyDescent="0.25">
      <c r="C51" s="141">
        <v>42</v>
      </c>
      <c r="D51" s="460"/>
      <c r="E51" s="172"/>
      <c r="F51" s="498" t="str">
        <f>IF(D51="","",VLOOKUP(D51,'G-7 Rivers Data'!$B$2:$G$8,2,FALSE))</f>
        <v/>
      </c>
      <c r="G51" s="499" t="str">
        <f>IFERROR(VLOOKUP(F51,'G-7 Rivers Data'!$C$4:$D$8,2,FALSE),"")</f>
        <v/>
      </c>
      <c r="H51" s="145"/>
      <c r="I51" s="499" t="str">
        <f>IFERROR(INDEX('G-7 Rivers Data'!$H$4:$L$8,MATCH(D51,'G-7 Rivers Data'!$B$4:$B$8,0),MATCH(H51,'G-7 Rivers Data'!$H$3:$L$3,0)),"")</f>
        <v/>
      </c>
      <c r="J51" s="418"/>
      <c r="K51" s="498" t="str">
        <f>IF(J51="","",IF(VLOOKUP(J51,'G-7 Rivers Data'!$AK$4:$AM$9,2,FALSE)=0,"Spatial Data Missing ⚠",VLOOKUP(J51,'G-7 Rivers Data'!$AK$4:$AM$9,2,FALSE)))</f>
        <v/>
      </c>
      <c r="L51" s="505" t="str">
        <f>IF(J51="","",IF(VLOOKUP(J51,'G-7 Rivers Data'!$AK$4:$AM$9,3,FALSE)=0,"Spatial Data Missing ⚠",VLOOKUP(J51,'G-7 Rivers Data'!$AK$4:$AM$9,3,FALSE)))</f>
        <v/>
      </c>
      <c r="M51" s="71"/>
      <c r="N51" s="499" t="str">
        <f>IF(M51="","",IF(VLOOKUP(M51,'G-7 Rivers Data'!$AA$4:$AB$7,2,FALSE)=0,"Spatial Data Missing ⚠",VLOOKUP(M51,'G-7 Rivers Data'!$AA$4:$AB$7,2,FALSE)))</f>
        <v/>
      </c>
      <c r="O51" s="155"/>
      <c r="P51" s="499" t="str">
        <f>IF(O51="","",IF(VLOOKUP(O51,'G-7 Rivers Data'!$AD$4:$AE$8,2,FALSE)=0,"Spatial Data Missing ⚠",VLOOKUP(O51,'G-7 Rivers Data'!$AD$4:$AE$8,2,FALSE)))</f>
        <v/>
      </c>
      <c r="Q51" s="506" t="str">
        <f>IF(D51="","",VLOOKUP(D51,'G-7 Rivers Data'!$B$2:$G$8,6,FALSE))</f>
        <v/>
      </c>
      <c r="R51" s="513" t="str">
        <f t="shared" si="0"/>
        <v/>
      </c>
      <c r="S51" s="40"/>
      <c r="T51" s="145"/>
      <c r="U51" s="157"/>
      <c r="V51" s="511" t="str">
        <f t="shared" si="1"/>
        <v/>
      </c>
      <c r="W51" s="511" t="str">
        <f t="shared" si="2"/>
        <v/>
      </c>
      <c r="X51" s="511" t="str">
        <f t="shared" si="3"/>
        <v/>
      </c>
      <c r="Y51" s="515" t="str">
        <f t="shared" si="4"/>
        <v/>
      </c>
      <c r="Z51" s="151"/>
      <c r="AA51" s="152"/>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c r="AP51" s="31" t="str">
        <f>IFERROR(INDEX('G-7 Rivers Data'!$AZ$3:$AZ$7,MATCH(D51,'G-7 Rivers Data'!$AY$3:$AY$7,0)),"")</f>
        <v/>
      </c>
    </row>
    <row r="52" spans="3:42" ht="13.8" x14ac:dyDescent="0.25">
      <c r="C52" s="141">
        <v>43</v>
      </c>
      <c r="D52" s="460"/>
      <c r="E52" s="172"/>
      <c r="F52" s="498" t="str">
        <f>IF(D52="","",VLOOKUP(D52,'G-7 Rivers Data'!$B$2:$G$8,2,FALSE))</f>
        <v/>
      </c>
      <c r="G52" s="499" t="str">
        <f>IFERROR(VLOOKUP(F52,'G-7 Rivers Data'!$C$4:$D$8,2,FALSE),"")</f>
        <v/>
      </c>
      <c r="H52" s="145"/>
      <c r="I52" s="499" t="str">
        <f>IFERROR(INDEX('G-7 Rivers Data'!$H$4:$L$8,MATCH(D52,'G-7 Rivers Data'!$B$4:$B$8,0),MATCH(H52,'G-7 Rivers Data'!$H$3:$L$3,0)),"")</f>
        <v/>
      </c>
      <c r="J52" s="418"/>
      <c r="K52" s="498" t="str">
        <f>IF(J52="","",IF(VLOOKUP(J52,'G-7 Rivers Data'!$AK$4:$AM$9,2,FALSE)=0,"Spatial Data Missing ⚠",VLOOKUP(J52,'G-7 Rivers Data'!$AK$4:$AM$9,2,FALSE)))</f>
        <v/>
      </c>
      <c r="L52" s="505" t="str">
        <f>IF(J52="","",IF(VLOOKUP(J52,'G-7 Rivers Data'!$AK$4:$AM$9,3,FALSE)=0,"Spatial Data Missing ⚠",VLOOKUP(J52,'G-7 Rivers Data'!$AK$4:$AM$9,3,FALSE)))</f>
        <v/>
      </c>
      <c r="M52" s="71"/>
      <c r="N52" s="499" t="str">
        <f>IF(M52="","",IF(VLOOKUP(M52,'G-7 Rivers Data'!$AA$4:$AB$7,2,FALSE)=0,"Spatial Data Missing ⚠",VLOOKUP(M52,'G-7 Rivers Data'!$AA$4:$AB$7,2,FALSE)))</f>
        <v/>
      </c>
      <c r="O52" s="155"/>
      <c r="P52" s="499" t="str">
        <f>IF(O52="","",IF(VLOOKUP(O52,'G-7 Rivers Data'!$AD$4:$AE$8,2,FALSE)=0,"Spatial Data Missing ⚠",VLOOKUP(O52,'G-7 Rivers Data'!$AD$4:$AE$8,2,FALSE)))</f>
        <v/>
      </c>
      <c r="Q52" s="506" t="str">
        <f>IF(D52="","",VLOOKUP(D52,'G-7 Rivers Data'!$B$2:$G$8,6,FALSE))</f>
        <v/>
      </c>
      <c r="R52" s="513" t="str">
        <f t="shared" si="0"/>
        <v/>
      </c>
      <c r="S52" s="40"/>
      <c r="T52" s="145"/>
      <c r="U52" s="157"/>
      <c r="V52" s="511" t="str">
        <f t="shared" si="1"/>
        <v/>
      </c>
      <c r="W52" s="511" t="str">
        <f t="shared" si="2"/>
        <v/>
      </c>
      <c r="X52" s="511" t="str">
        <f t="shared" si="3"/>
        <v/>
      </c>
      <c r="Y52" s="515" t="str">
        <f t="shared" si="4"/>
        <v/>
      </c>
      <c r="Z52" s="151"/>
      <c r="AA52" s="152"/>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c r="AP52" s="31" t="str">
        <f>IFERROR(INDEX('G-7 Rivers Data'!$AZ$3:$AZ$7,MATCH(D52,'G-7 Rivers Data'!$AY$3:$AY$7,0)),"")</f>
        <v/>
      </c>
    </row>
    <row r="53" spans="3:42" ht="13.8" x14ac:dyDescent="0.25">
      <c r="C53" s="141">
        <v>44</v>
      </c>
      <c r="D53" s="460"/>
      <c r="E53" s="172"/>
      <c r="F53" s="498" t="str">
        <f>IF(D53="","",VLOOKUP(D53,'G-7 Rivers Data'!$B$2:$G$8,2,FALSE))</f>
        <v/>
      </c>
      <c r="G53" s="499" t="str">
        <f>IFERROR(VLOOKUP(F53,'G-7 Rivers Data'!$C$4:$D$8,2,FALSE),"")</f>
        <v/>
      </c>
      <c r="H53" s="145"/>
      <c r="I53" s="499" t="str">
        <f>IFERROR(INDEX('G-7 Rivers Data'!$H$4:$L$8,MATCH(D53,'G-7 Rivers Data'!$B$4:$B$8,0),MATCH(H53,'G-7 Rivers Data'!$H$3:$L$3,0)),"")</f>
        <v/>
      </c>
      <c r="J53" s="418"/>
      <c r="K53" s="498" t="str">
        <f>IF(J53="","",IF(VLOOKUP(J53,'G-7 Rivers Data'!$AK$4:$AM$9,2,FALSE)=0,"Spatial Data Missing ⚠",VLOOKUP(J53,'G-7 Rivers Data'!$AK$4:$AM$9,2,FALSE)))</f>
        <v/>
      </c>
      <c r="L53" s="505" t="str">
        <f>IF(J53="","",IF(VLOOKUP(J53,'G-7 Rivers Data'!$AK$4:$AM$9,3,FALSE)=0,"Spatial Data Missing ⚠",VLOOKUP(J53,'G-7 Rivers Data'!$AK$4:$AM$9,3,FALSE)))</f>
        <v/>
      </c>
      <c r="M53" s="71"/>
      <c r="N53" s="499" t="str">
        <f>IF(M53="","",IF(VLOOKUP(M53,'G-7 Rivers Data'!$AA$4:$AB$7,2,FALSE)=0,"Spatial Data Missing ⚠",VLOOKUP(M53,'G-7 Rivers Data'!$AA$4:$AB$7,2,FALSE)))</f>
        <v/>
      </c>
      <c r="O53" s="155"/>
      <c r="P53" s="499" t="str">
        <f>IF(O53="","",IF(VLOOKUP(O53,'G-7 Rivers Data'!$AD$4:$AE$8,2,FALSE)=0,"Spatial Data Missing ⚠",VLOOKUP(O53,'G-7 Rivers Data'!$AD$4:$AE$8,2,FALSE)))</f>
        <v/>
      </c>
      <c r="Q53" s="506" t="str">
        <f>IF(D53="","",VLOOKUP(D53,'G-7 Rivers Data'!$B$2:$G$8,6,FALSE))</f>
        <v/>
      </c>
      <c r="R53" s="513" t="str">
        <f t="shared" si="0"/>
        <v/>
      </c>
      <c r="S53" s="40"/>
      <c r="T53" s="145"/>
      <c r="U53" s="157"/>
      <c r="V53" s="511" t="str">
        <f t="shared" si="1"/>
        <v/>
      </c>
      <c r="W53" s="511" t="str">
        <f t="shared" si="2"/>
        <v/>
      </c>
      <c r="X53" s="511" t="str">
        <f t="shared" si="3"/>
        <v/>
      </c>
      <c r="Y53" s="515" t="str">
        <f t="shared" si="4"/>
        <v/>
      </c>
      <c r="Z53" s="151"/>
      <c r="AA53" s="152"/>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c r="AP53" s="31" t="str">
        <f>IFERROR(INDEX('G-7 Rivers Data'!$AZ$3:$AZ$7,MATCH(D53,'G-7 Rivers Data'!$AY$3:$AY$7,0)),"")</f>
        <v/>
      </c>
    </row>
    <row r="54" spans="3:42" ht="13.8" x14ac:dyDescent="0.25">
      <c r="C54" s="141">
        <v>45</v>
      </c>
      <c r="D54" s="460"/>
      <c r="E54" s="172"/>
      <c r="F54" s="498" t="str">
        <f>IF(D54="","",VLOOKUP(D54,'G-7 Rivers Data'!$B$2:$G$8,2,FALSE))</f>
        <v/>
      </c>
      <c r="G54" s="499" t="str">
        <f>IFERROR(VLOOKUP(F54,'G-7 Rivers Data'!$C$4:$D$8,2,FALSE),"")</f>
        <v/>
      </c>
      <c r="H54" s="145"/>
      <c r="I54" s="499" t="str">
        <f>IFERROR(INDEX('G-7 Rivers Data'!$H$4:$L$8,MATCH(D54,'G-7 Rivers Data'!$B$4:$B$8,0),MATCH(H54,'G-7 Rivers Data'!$H$3:$L$3,0)),"")</f>
        <v/>
      </c>
      <c r="J54" s="418"/>
      <c r="K54" s="498" t="str">
        <f>IF(J54="","",IF(VLOOKUP(J54,'G-7 Rivers Data'!$AK$4:$AM$9,2,FALSE)=0,"Spatial Data Missing ⚠",VLOOKUP(J54,'G-7 Rivers Data'!$AK$4:$AM$9,2,FALSE)))</f>
        <v/>
      </c>
      <c r="L54" s="505" t="str">
        <f>IF(J54="","",IF(VLOOKUP(J54,'G-7 Rivers Data'!$AK$4:$AM$9,3,FALSE)=0,"Spatial Data Missing ⚠",VLOOKUP(J54,'G-7 Rivers Data'!$AK$4:$AM$9,3,FALSE)))</f>
        <v/>
      </c>
      <c r="M54" s="71"/>
      <c r="N54" s="499" t="str">
        <f>IF(M54="","",IF(VLOOKUP(M54,'G-7 Rivers Data'!$AA$4:$AB$7,2,FALSE)=0,"Spatial Data Missing ⚠",VLOOKUP(M54,'G-7 Rivers Data'!$AA$4:$AB$7,2,FALSE)))</f>
        <v/>
      </c>
      <c r="O54" s="155"/>
      <c r="P54" s="499" t="str">
        <f>IF(O54="","",IF(VLOOKUP(O54,'G-7 Rivers Data'!$AD$4:$AE$8,2,FALSE)=0,"Spatial Data Missing ⚠",VLOOKUP(O54,'G-7 Rivers Data'!$AD$4:$AE$8,2,FALSE)))</f>
        <v/>
      </c>
      <c r="Q54" s="506" t="str">
        <f>IF(D54="","",VLOOKUP(D54,'G-7 Rivers Data'!$B$2:$G$8,6,FALSE))</f>
        <v/>
      </c>
      <c r="R54" s="513" t="str">
        <f t="shared" si="0"/>
        <v/>
      </c>
      <c r="S54" s="40"/>
      <c r="T54" s="145"/>
      <c r="U54" s="157"/>
      <c r="V54" s="511" t="str">
        <f t="shared" si="1"/>
        <v/>
      </c>
      <c r="W54" s="511" t="str">
        <f t="shared" si="2"/>
        <v/>
      </c>
      <c r="X54" s="511" t="str">
        <f t="shared" si="3"/>
        <v/>
      </c>
      <c r="Y54" s="515" t="str">
        <f t="shared" si="4"/>
        <v/>
      </c>
      <c r="Z54" s="151"/>
      <c r="AA54" s="152"/>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c r="AP54" s="31" t="str">
        <f>IFERROR(INDEX('G-7 Rivers Data'!$AZ$3:$AZ$7,MATCH(D54,'G-7 Rivers Data'!$AY$3:$AY$7,0)),"")</f>
        <v/>
      </c>
    </row>
    <row r="55" spans="3:42" ht="13.8" x14ac:dyDescent="0.25">
      <c r="C55" s="141">
        <v>46</v>
      </c>
      <c r="D55" s="460"/>
      <c r="E55" s="172"/>
      <c r="F55" s="498" t="str">
        <f>IF(D55="","",VLOOKUP(D55,'G-7 Rivers Data'!$B$2:$G$8,2,FALSE))</f>
        <v/>
      </c>
      <c r="G55" s="499" t="str">
        <f>IFERROR(VLOOKUP(F55,'G-7 Rivers Data'!$C$4:$D$8,2,FALSE),"")</f>
        <v/>
      </c>
      <c r="H55" s="145"/>
      <c r="I55" s="499" t="str">
        <f>IFERROR(INDEX('G-7 Rivers Data'!$H$4:$L$8,MATCH(D55,'G-7 Rivers Data'!$B$4:$B$8,0),MATCH(H55,'G-7 Rivers Data'!$H$3:$L$3,0)),"")</f>
        <v/>
      </c>
      <c r="J55" s="418"/>
      <c r="K55" s="498" t="str">
        <f>IF(J55="","",IF(VLOOKUP(J55,'G-7 Rivers Data'!$AK$4:$AM$9,2,FALSE)=0,"Spatial Data Missing ⚠",VLOOKUP(J55,'G-7 Rivers Data'!$AK$4:$AM$9,2,FALSE)))</f>
        <v/>
      </c>
      <c r="L55" s="505" t="str">
        <f>IF(J55="","",IF(VLOOKUP(J55,'G-7 Rivers Data'!$AK$4:$AM$9,3,FALSE)=0,"Spatial Data Missing ⚠",VLOOKUP(J55,'G-7 Rivers Data'!$AK$4:$AM$9,3,FALSE)))</f>
        <v/>
      </c>
      <c r="M55" s="71"/>
      <c r="N55" s="499" t="str">
        <f>IF(M55="","",IF(VLOOKUP(M55,'G-7 Rivers Data'!$AA$4:$AB$7,2,FALSE)=0,"Spatial Data Missing ⚠",VLOOKUP(M55,'G-7 Rivers Data'!$AA$4:$AB$7,2,FALSE)))</f>
        <v/>
      </c>
      <c r="O55" s="155"/>
      <c r="P55" s="499" t="str">
        <f>IF(O55="","",IF(VLOOKUP(O55,'G-7 Rivers Data'!$AD$4:$AE$8,2,FALSE)=0,"Spatial Data Missing ⚠",VLOOKUP(O55,'G-7 Rivers Data'!$AD$4:$AE$8,2,FALSE)))</f>
        <v/>
      </c>
      <c r="Q55" s="506" t="str">
        <f>IF(D55="","",VLOOKUP(D55,'G-7 Rivers Data'!$B$2:$G$8,6,FALSE))</f>
        <v/>
      </c>
      <c r="R55" s="513" t="str">
        <f t="shared" si="0"/>
        <v/>
      </c>
      <c r="S55" s="40"/>
      <c r="T55" s="145"/>
      <c r="U55" s="157"/>
      <c r="V55" s="511" t="str">
        <f t="shared" si="1"/>
        <v/>
      </c>
      <c r="W55" s="511" t="str">
        <f t="shared" si="2"/>
        <v/>
      </c>
      <c r="X55" s="511" t="str">
        <f t="shared" si="3"/>
        <v/>
      </c>
      <c r="Y55" s="515" t="str">
        <f t="shared" si="4"/>
        <v/>
      </c>
      <c r="Z55" s="151"/>
      <c r="AA55" s="152"/>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c r="AP55" s="31" t="str">
        <f>IFERROR(INDEX('G-7 Rivers Data'!$AZ$3:$AZ$7,MATCH(D55,'G-7 Rivers Data'!$AY$3:$AY$7,0)),"")</f>
        <v/>
      </c>
    </row>
    <row r="56" spans="3:42" ht="13.8" x14ac:dyDescent="0.25">
      <c r="C56" s="141">
        <v>47</v>
      </c>
      <c r="D56" s="460"/>
      <c r="E56" s="172"/>
      <c r="F56" s="498" t="str">
        <f>IF(D56="","",VLOOKUP(D56,'G-7 Rivers Data'!$B$2:$G$8,2,FALSE))</f>
        <v/>
      </c>
      <c r="G56" s="499" t="str">
        <f>IFERROR(VLOOKUP(F56,'G-7 Rivers Data'!$C$4:$D$8,2,FALSE),"")</f>
        <v/>
      </c>
      <c r="H56" s="145"/>
      <c r="I56" s="499" t="str">
        <f>IFERROR(INDEX('G-7 Rivers Data'!$H$4:$L$8,MATCH(D56,'G-7 Rivers Data'!$B$4:$B$8,0),MATCH(H56,'G-7 Rivers Data'!$H$3:$L$3,0)),"")</f>
        <v/>
      </c>
      <c r="J56" s="418"/>
      <c r="K56" s="498" t="str">
        <f>IF(J56="","",IF(VLOOKUP(J56,'G-7 Rivers Data'!$AK$4:$AM$9,2,FALSE)=0,"Spatial Data Missing ⚠",VLOOKUP(J56,'G-7 Rivers Data'!$AK$4:$AM$9,2,FALSE)))</f>
        <v/>
      </c>
      <c r="L56" s="505" t="str">
        <f>IF(J56="","",IF(VLOOKUP(J56,'G-7 Rivers Data'!$AK$4:$AM$9,3,FALSE)=0,"Spatial Data Missing ⚠",VLOOKUP(J56,'G-7 Rivers Data'!$AK$4:$AM$9,3,FALSE)))</f>
        <v/>
      </c>
      <c r="M56" s="71"/>
      <c r="N56" s="499" t="str">
        <f>IF(M56="","",IF(VLOOKUP(M56,'G-7 Rivers Data'!$AA$4:$AB$7,2,FALSE)=0,"Spatial Data Missing ⚠",VLOOKUP(M56,'G-7 Rivers Data'!$AA$4:$AB$7,2,FALSE)))</f>
        <v/>
      </c>
      <c r="O56" s="155"/>
      <c r="P56" s="499" t="str">
        <f>IF(O56="","",IF(VLOOKUP(O56,'G-7 Rivers Data'!$AD$4:$AE$8,2,FALSE)=0,"Spatial Data Missing ⚠",VLOOKUP(O56,'G-7 Rivers Data'!$AD$4:$AE$8,2,FALSE)))</f>
        <v/>
      </c>
      <c r="Q56" s="506" t="str">
        <f>IF(D56="","",VLOOKUP(D56,'G-7 Rivers Data'!$B$2:$G$8,6,FALSE))</f>
        <v/>
      </c>
      <c r="R56" s="513" t="str">
        <f t="shared" si="0"/>
        <v/>
      </c>
      <c r="S56" s="40"/>
      <c r="T56" s="145"/>
      <c r="U56" s="157"/>
      <c r="V56" s="511" t="str">
        <f t="shared" si="1"/>
        <v/>
      </c>
      <c r="W56" s="511" t="str">
        <f t="shared" si="2"/>
        <v/>
      </c>
      <c r="X56" s="511" t="str">
        <f t="shared" si="3"/>
        <v/>
      </c>
      <c r="Y56" s="515" t="str">
        <f t="shared" si="4"/>
        <v/>
      </c>
      <c r="Z56" s="151"/>
      <c r="AA56" s="152"/>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c r="AP56" s="31" t="str">
        <f>IFERROR(INDEX('G-7 Rivers Data'!$AZ$3:$AZ$7,MATCH(D56,'G-7 Rivers Data'!$AY$3:$AY$7,0)),"")</f>
        <v/>
      </c>
    </row>
    <row r="57" spans="3:42" ht="13.8" x14ac:dyDescent="0.25">
      <c r="C57" s="141">
        <v>48</v>
      </c>
      <c r="D57" s="460"/>
      <c r="E57" s="172"/>
      <c r="F57" s="498" t="str">
        <f>IF(D57="","",VLOOKUP(D57,'G-7 Rivers Data'!$B$2:$G$8,2,FALSE))</f>
        <v/>
      </c>
      <c r="G57" s="499" t="str">
        <f>IFERROR(VLOOKUP(F57,'G-7 Rivers Data'!$C$4:$D$8,2,FALSE),"")</f>
        <v/>
      </c>
      <c r="H57" s="145"/>
      <c r="I57" s="499" t="str">
        <f>IFERROR(INDEX('G-7 Rivers Data'!$H$4:$L$8,MATCH(D57,'G-7 Rivers Data'!$B$4:$B$8,0),MATCH(H57,'G-7 Rivers Data'!$H$3:$L$3,0)),"")</f>
        <v/>
      </c>
      <c r="J57" s="418"/>
      <c r="K57" s="498" t="str">
        <f>IF(J57="","",IF(VLOOKUP(J57,'G-7 Rivers Data'!$AK$4:$AM$9,2,FALSE)=0,"Spatial Data Missing ⚠",VLOOKUP(J57,'G-7 Rivers Data'!$AK$4:$AM$9,2,FALSE)))</f>
        <v/>
      </c>
      <c r="L57" s="505" t="str">
        <f>IF(J57="","",IF(VLOOKUP(J57,'G-7 Rivers Data'!$AK$4:$AM$9,3,FALSE)=0,"Spatial Data Missing ⚠",VLOOKUP(J57,'G-7 Rivers Data'!$AK$4:$AM$9,3,FALSE)))</f>
        <v/>
      </c>
      <c r="M57" s="71"/>
      <c r="N57" s="499" t="str">
        <f>IF(M57="","",IF(VLOOKUP(M57,'G-7 Rivers Data'!$AA$4:$AB$7,2,FALSE)=0,"Spatial Data Missing ⚠",VLOOKUP(M57,'G-7 Rivers Data'!$AA$4:$AB$7,2,FALSE)))</f>
        <v/>
      </c>
      <c r="O57" s="155"/>
      <c r="P57" s="499" t="str">
        <f>IF(O57="","",IF(VLOOKUP(O57,'G-7 Rivers Data'!$AD$4:$AE$8,2,FALSE)=0,"Spatial Data Missing ⚠",VLOOKUP(O57,'G-7 Rivers Data'!$AD$4:$AE$8,2,FALSE)))</f>
        <v/>
      </c>
      <c r="Q57" s="506" t="str">
        <f>IF(D57="","",VLOOKUP(D57,'G-7 Rivers Data'!$B$2:$G$8,6,FALSE))</f>
        <v/>
      </c>
      <c r="R57" s="513" t="str">
        <f t="shared" si="0"/>
        <v/>
      </c>
      <c r="S57" s="40"/>
      <c r="T57" s="145"/>
      <c r="U57" s="157"/>
      <c r="V57" s="511" t="str">
        <f t="shared" si="1"/>
        <v/>
      </c>
      <c r="W57" s="511" t="str">
        <f t="shared" si="2"/>
        <v/>
      </c>
      <c r="X57" s="511" t="str">
        <f t="shared" si="3"/>
        <v/>
      </c>
      <c r="Y57" s="515" t="str">
        <f t="shared" si="4"/>
        <v/>
      </c>
      <c r="Z57" s="151"/>
      <c r="AA57" s="152"/>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c r="AP57" s="31" t="str">
        <f>IFERROR(INDEX('G-7 Rivers Data'!$AZ$3:$AZ$7,MATCH(D57,'G-7 Rivers Data'!$AY$3:$AY$7,0)),"")</f>
        <v/>
      </c>
    </row>
    <row r="58" spans="3:42" ht="13.8" x14ac:dyDescent="0.25">
      <c r="C58" s="141">
        <v>49</v>
      </c>
      <c r="D58" s="460"/>
      <c r="E58" s="172"/>
      <c r="F58" s="498" t="str">
        <f>IF(D58="","",VLOOKUP(D58,'G-7 Rivers Data'!$B$2:$G$8,2,FALSE))</f>
        <v/>
      </c>
      <c r="G58" s="499" t="str">
        <f>IFERROR(VLOOKUP(F58,'G-7 Rivers Data'!$C$4:$D$8,2,FALSE),"")</f>
        <v/>
      </c>
      <c r="H58" s="145"/>
      <c r="I58" s="499" t="str">
        <f>IFERROR(INDEX('G-7 Rivers Data'!$H$4:$L$8,MATCH(D58,'G-7 Rivers Data'!$B$4:$B$8,0),MATCH(H58,'G-7 Rivers Data'!$H$3:$L$3,0)),"")</f>
        <v/>
      </c>
      <c r="J58" s="418"/>
      <c r="K58" s="498" t="str">
        <f>IF(J58="","",IF(VLOOKUP(J58,'G-7 Rivers Data'!$AK$4:$AM$9,2,FALSE)=0,"Spatial Data Missing ⚠",VLOOKUP(J58,'G-7 Rivers Data'!$AK$4:$AM$9,2,FALSE)))</f>
        <v/>
      </c>
      <c r="L58" s="505" t="str">
        <f>IF(J58="","",IF(VLOOKUP(J58,'G-7 Rivers Data'!$AK$4:$AM$9,3,FALSE)=0,"Spatial Data Missing ⚠",VLOOKUP(J58,'G-7 Rivers Data'!$AK$4:$AM$9,3,FALSE)))</f>
        <v/>
      </c>
      <c r="M58" s="71"/>
      <c r="N58" s="499" t="str">
        <f>IF(M58="","",IF(VLOOKUP(M58,'G-7 Rivers Data'!$AA$4:$AB$7,2,FALSE)=0,"Spatial Data Missing ⚠",VLOOKUP(M58,'G-7 Rivers Data'!$AA$4:$AB$7,2,FALSE)))</f>
        <v/>
      </c>
      <c r="O58" s="155"/>
      <c r="P58" s="499" t="str">
        <f>IF(O58="","",IF(VLOOKUP(O58,'G-7 Rivers Data'!$AD$4:$AE$8,2,FALSE)=0,"Spatial Data Missing ⚠",VLOOKUP(O58,'G-7 Rivers Data'!$AD$4:$AE$8,2,FALSE)))</f>
        <v/>
      </c>
      <c r="Q58" s="506" t="str">
        <f>IF(D58="","",VLOOKUP(D58,'G-7 Rivers Data'!$B$2:$G$8,6,FALSE))</f>
        <v/>
      </c>
      <c r="R58" s="513" t="str">
        <f t="shared" si="0"/>
        <v/>
      </c>
      <c r="S58" s="40"/>
      <c r="T58" s="145"/>
      <c r="U58" s="157"/>
      <c r="V58" s="511" t="str">
        <f t="shared" si="1"/>
        <v/>
      </c>
      <c r="W58" s="511" t="str">
        <f t="shared" si="2"/>
        <v/>
      </c>
      <c r="X58" s="511" t="str">
        <f t="shared" si="3"/>
        <v/>
      </c>
      <c r="Y58" s="515" t="str">
        <f t="shared" si="4"/>
        <v/>
      </c>
      <c r="Z58" s="151"/>
      <c r="AA58" s="152"/>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c r="AP58" s="31" t="str">
        <f>IFERROR(INDEX('G-7 Rivers Data'!$AZ$3:$AZ$7,MATCH(D58,'G-7 Rivers Data'!$AY$3:$AY$7,0)),"")</f>
        <v/>
      </c>
    </row>
    <row r="59" spans="3:42" ht="13.8" x14ac:dyDescent="0.25">
      <c r="C59" s="141">
        <v>50</v>
      </c>
      <c r="D59" s="460"/>
      <c r="E59" s="172"/>
      <c r="F59" s="498" t="str">
        <f>IF(D59="","",VLOOKUP(D59,'G-7 Rivers Data'!$B$2:$G$8,2,FALSE))</f>
        <v/>
      </c>
      <c r="G59" s="499" t="str">
        <f>IFERROR(VLOOKUP(F59,'G-7 Rivers Data'!$C$4:$D$8,2,FALSE),"")</f>
        <v/>
      </c>
      <c r="H59" s="145"/>
      <c r="I59" s="499" t="str">
        <f>IFERROR(INDEX('G-7 Rivers Data'!$H$4:$L$8,MATCH(D59,'G-7 Rivers Data'!$B$4:$B$8,0),MATCH(H59,'G-7 Rivers Data'!$H$3:$L$3,0)),"")</f>
        <v/>
      </c>
      <c r="J59" s="418"/>
      <c r="K59" s="498" t="str">
        <f>IF(J59="","",IF(VLOOKUP(J59,'G-7 Rivers Data'!$AK$4:$AM$9,2,FALSE)=0,"Spatial Data Missing ⚠",VLOOKUP(J59,'G-7 Rivers Data'!$AK$4:$AM$9,2,FALSE)))</f>
        <v/>
      </c>
      <c r="L59" s="505" t="str">
        <f>IF(J59="","",IF(VLOOKUP(J59,'G-7 Rivers Data'!$AK$4:$AM$9,3,FALSE)=0,"Spatial Data Missing ⚠",VLOOKUP(J59,'G-7 Rivers Data'!$AK$4:$AM$9,3,FALSE)))</f>
        <v/>
      </c>
      <c r="M59" s="71"/>
      <c r="N59" s="499" t="str">
        <f>IF(M59="","",IF(VLOOKUP(M59,'G-7 Rivers Data'!$AA$4:$AB$7,2,FALSE)=0,"Spatial Data Missing ⚠",VLOOKUP(M59,'G-7 Rivers Data'!$AA$4:$AB$7,2,FALSE)))</f>
        <v/>
      </c>
      <c r="O59" s="155"/>
      <c r="P59" s="499" t="str">
        <f>IF(O59="","",IF(VLOOKUP(O59,'G-7 Rivers Data'!$AD$4:$AE$8,2,FALSE)=0,"Spatial Data Missing ⚠",VLOOKUP(O59,'G-7 Rivers Data'!$AD$4:$AE$8,2,FALSE)))</f>
        <v/>
      </c>
      <c r="Q59" s="506" t="str">
        <f>IF(D59="","",VLOOKUP(D59,'G-7 Rivers Data'!$B$2:$G$8,6,FALSE))</f>
        <v/>
      </c>
      <c r="R59" s="513" t="str">
        <f t="shared" si="0"/>
        <v/>
      </c>
      <c r="S59" s="40"/>
      <c r="T59" s="145"/>
      <c r="U59" s="157"/>
      <c r="V59" s="511" t="str">
        <f t="shared" si="1"/>
        <v/>
      </c>
      <c r="W59" s="511" t="str">
        <f t="shared" si="2"/>
        <v/>
      </c>
      <c r="X59" s="511" t="str">
        <f t="shared" si="3"/>
        <v/>
      </c>
      <c r="Y59" s="515" t="str">
        <f t="shared" si="4"/>
        <v/>
      </c>
      <c r="Z59" s="151"/>
      <c r="AA59" s="152"/>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c r="AP59" s="31" t="str">
        <f>IFERROR(INDEX('G-7 Rivers Data'!$AZ$3:$AZ$7,MATCH(D59,'G-7 Rivers Data'!$AY$3:$AY$7,0)),"")</f>
        <v/>
      </c>
    </row>
    <row r="60" spans="3:42" ht="13.8" x14ac:dyDescent="0.25">
      <c r="C60" s="141">
        <v>51</v>
      </c>
      <c r="D60" s="460"/>
      <c r="E60" s="172"/>
      <c r="F60" s="498" t="str">
        <f>IF(D60="","",VLOOKUP(D60,'G-7 Rivers Data'!$B$2:$G$8,2,FALSE))</f>
        <v/>
      </c>
      <c r="G60" s="499" t="str">
        <f>IFERROR(VLOOKUP(F60,'G-7 Rivers Data'!$C$4:$D$8,2,FALSE),"")</f>
        <v/>
      </c>
      <c r="H60" s="145"/>
      <c r="I60" s="499" t="str">
        <f>IFERROR(INDEX('G-7 Rivers Data'!$H$4:$L$8,MATCH(D60,'G-7 Rivers Data'!$B$4:$B$8,0),MATCH(H60,'G-7 Rivers Data'!$H$3:$L$3,0)),"")</f>
        <v/>
      </c>
      <c r="J60" s="418"/>
      <c r="K60" s="498" t="str">
        <f>IF(J60="","",IF(VLOOKUP(J60,'G-7 Rivers Data'!$AK$4:$AM$9,2,FALSE)=0,"Spatial Data Missing ⚠",VLOOKUP(J60,'G-7 Rivers Data'!$AK$4:$AM$9,2,FALSE)))</f>
        <v/>
      </c>
      <c r="L60" s="505" t="str">
        <f>IF(J60="","",IF(VLOOKUP(J60,'G-7 Rivers Data'!$AK$4:$AM$9,3,FALSE)=0,"Spatial Data Missing ⚠",VLOOKUP(J60,'G-7 Rivers Data'!$AK$4:$AM$9,3,FALSE)))</f>
        <v/>
      </c>
      <c r="M60" s="71"/>
      <c r="N60" s="499" t="str">
        <f>IF(M60="","",IF(VLOOKUP(M60,'G-7 Rivers Data'!$AA$4:$AB$7,2,FALSE)=0,"Spatial Data Missing ⚠",VLOOKUP(M60,'G-7 Rivers Data'!$AA$4:$AB$7,2,FALSE)))</f>
        <v/>
      </c>
      <c r="O60" s="155"/>
      <c r="P60" s="499" t="str">
        <f>IF(O60="","",IF(VLOOKUP(O60,'G-7 Rivers Data'!$AD$4:$AE$8,2,FALSE)=0,"Spatial Data Missing ⚠",VLOOKUP(O60,'G-7 Rivers Data'!$AD$4:$AE$8,2,FALSE)))</f>
        <v/>
      </c>
      <c r="Q60" s="506" t="str">
        <f>IF(D60="","",VLOOKUP(D60,'G-7 Rivers Data'!$B$2:$G$8,6,FALSE))</f>
        <v/>
      </c>
      <c r="R60" s="513" t="str">
        <f t="shared" si="0"/>
        <v/>
      </c>
      <c r="S60" s="40"/>
      <c r="T60" s="145"/>
      <c r="U60" s="157"/>
      <c r="V60" s="511" t="str">
        <f t="shared" si="1"/>
        <v/>
      </c>
      <c r="W60" s="511" t="str">
        <f t="shared" si="2"/>
        <v/>
      </c>
      <c r="X60" s="511" t="str">
        <f t="shared" si="3"/>
        <v/>
      </c>
      <c r="Y60" s="515" t="str">
        <f t="shared" si="4"/>
        <v/>
      </c>
      <c r="Z60" s="151"/>
      <c r="AA60" s="152"/>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c r="AP60" s="31" t="str">
        <f>IFERROR(INDEX('G-7 Rivers Data'!$AZ$3:$AZ$7,MATCH(D60,'G-7 Rivers Data'!$AY$3:$AY$7,0)),"")</f>
        <v/>
      </c>
    </row>
    <row r="61" spans="3:42" ht="13.8" x14ac:dyDescent="0.25">
      <c r="C61" s="141">
        <v>52</v>
      </c>
      <c r="D61" s="460"/>
      <c r="E61" s="172"/>
      <c r="F61" s="498" t="str">
        <f>IF(D61="","",VLOOKUP(D61,'G-7 Rivers Data'!$B$2:$G$8,2,FALSE))</f>
        <v/>
      </c>
      <c r="G61" s="499" t="str">
        <f>IFERROR(VLOOKUP(F61,'G-7 Rivers Data'!$C$4:$D$8,2,FALSE),"")</f>
        <v/>
      </c>
      <c r="H61" s="145"/>
      <c r="I61" s="499" t="str">
        <f>IFERROR(INDEX('G-7 Rivers Data'!$H$4:$L$8,MATCH(D61,'G-7 Rivers Data'!$B$4:$B$8,0),MATCH(H61,'G-7 Rivers Data'!$H$3:$L$3,0)),"")</f>
        <v/>
      </c>
      <c r="J61" s="418"/>
      <c r="K61" s="498" t="str">
        <f>IF(J61="","",IF(VLOOKUP(J61,'G-7 Rivers Data'!$AK$4:$AM$9,2,FALSE)=0,"Spatial Data Missing ⚠",VLOOKUP(J61,'G-7 Rivers Data'!$AK$4:$AM$9,2,FALSE)))</f>
        <v/>
      </c>
      <c r="L61" s="505" t="str">
        <f>IF(J61="","",IF(VLOOKUP(J61,'G-7 Rivers Data'!$AK$4:$AM$9,3,FALSE)=0,"Spatial Data Missing ⚠",VLOOKUP(J61,'G-7 Rivers Data'!$AK$4:$AM$9,3,FALSE)))</f>
        <v/>
      </c>
      <c r="M61" s="71"/>
      <c r="N61" s="499" t="str">
        <f>IF(M61="","",IF(VLOOKUP(M61,'G-7 Rivers Data'!$AA$4:$AB$7,2,FALSE)=0,"Spatial Data Missing ⚠",VLOOKUP(M61,'G-7 Rivers Data'!$AA$4:$AB$7,2,FALSE)))</f>
        <v/>
      </c>
      <c r="O61" s="155"/>
      <c r="P61" s="499" t="str">
        <f>IF(O61="","",IF(VLOOKUP(O61,'G-7 Rivers Data'!$AD$4:$AE$8,2,FALSE)=0,"Spatial Data Missing ⚠",VLOOKUP(O61,'G-7 Rivers Data'!$AD$4:$AE$8,2,FALSE)))</f>
        <v/>
      </c>
      <c r="Q61" s="506" t="str">
        <f>IF(D61="","",VLOOKUP(D61,'G-7 Rivers Data'!$B$2:$G$8,6,FALSE))</f>
        <v/>
      </c>
      <c r="R61" s="513" t="str">
        <f t="shared" si="0"/>
        <v/>
      </c>
      <c r="S61" s="40"/>
      <c r="T61" s="145"/>
      <c r="U61" s="157"/>
      <c r="V61" s="511" t="str">
        <f t="shared" si="1"/>
        <v/>
      </c>
      <c r="W61" s="511" t="str">
        <f t="shared" si="2"/>
        <v/>
      </c>
      <c r="X61" s="511" t="str">
        <f t="shared" si="3"/>
        <v/>
      </c>
      <c r="Y61" s="515" t="str">
        <f t="shared" si="4"/>
        <v/>
      </c>
      <c r="Z61" s="151"/>
      <c r="AA61" s="152"/>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c r="AP61" s="31" t="str">
        <f>IFERROR(INDEX('G-7 Rivers Data'!$AZ$3:$AZ$7,MATCH(D61,'G-7 Rivers Data'!$AY$3:$AY$7,0)),"")</f>
        <v/>
      </c>
    </row>
    <row r="62" spans="3:42" ht="13.8" x14ac:dyDescent="0.25">
      <c r="C62" s="141">
        <v>53</v>
      </c>
      <c r="D62" s="460"/>
      <c r="E62" s="172"/>
      <c r="F62" s="498" t="str">
        <f>IF(D62="","",VLOOKUP(D62,'G-7 Rivers Data'!$B$2:$G$8,2,FALSE))</f>
        <v/>
      </c>
      <c r="G62" s="499" t="str">
        <f>IFERROR(VLOOKUP(F62,'G-7 Rivers Data'!$C$4:$D$8,2,FALSE),"")</f>
        <v/>
      </c>
      <c r="H62" s="145"/>
      <c r="I62" s="499" t="str">
        <f>IFERROR(INDEX('G-7 Rivers Data'!$H$4:$L$8,MATCH(D62,'G-7 Rivers Data'!$B$4:$B$8,0),MATCH(H62,'G-7 Rivers Data'!$H$3:$L$3,0)),"")</f>
        <v/>
      </c>
      <c r="J62" s="418"/>
      <c r="K62" s="498" t="str">
        <f>IF(J62="","",IF(VLOOKUP(J62,'G-7 Rivers Data'!$AK$4:$AM$9,2,FALSE)=0,"Spatial Data Missing ⚠",VLOOKUP(J62,'G-7 Rivers Data'!$AK$4:$AM$9,2,FALSE)))</f>
        <v/>
      </c>
      <c r="L62" s="505" t="str">
        <f>IF(J62="","",IF(VLOOKUP(J62,'G-7 Rivers Data'!$AK$4:$AM$9,3,FALSE)=0,"Spatial Data Missing ⚠",VLOOKUP(J62,'G-7 Rivers Data'!$AK$4:$AM$9,3,FALSE)))</f>
        <v/>
      </c>
      <c r="M62" s="71"/>
      <c r="N62" s="499" t="str">
        <f>IF(M62="","",IF(VLOOKUP(M62,'G-7 Rivers Data'!$AA$4:$AB$7,2,FALSE)=0,"Spatial Data Missing ⚠",VLOOKUP(M62,'G-7 Rivers Data'!$AA$4:$AB$7,2,FALSE)))</f>
        <v/>
      </c>
      <c r="O62" s="155"/>
      <c r="P62" s="499" t="str">
        <f>IF(O62="","",IF(VLOOKUP(O62,'G-7 Rivers Data'!$AD$4:$AE$8,2,FALSE)=0,"Spatial Data Missing ⚠",VLOOKUP(O62,'G-7 Rivers Data'!$AD$4:$AE$8,2,FALSE)))</f>
        <v/>
      </c>
      <c r="Q62" s="506" t="str">
        <f>IF(D62="","",VLOOKUP(D62,'G-7 Rivers Data'!$B$2:$G$8,6,FALSE))</f>
        <v/>
      </c>
      <c r="R62" s="513" t="str">
        <f t="shared" si="0"/>
        <v/>
      </c>
      <c r="S62" s="40"/>
      <c r="T62" s="145"/>
      <c r="U62" s="157"/>
      <c r="V62" s="511" t="str">
        <f t="shared" si="1"/>
        <v/>
      </c>
      <c r="W62" s="511" t="str">
        <f t="shared" si="2"/>
        <v/>
      </c>
      <c r="X62" s="511" t="str">
        <f t="shared" si="3"/>
        <v/>
      </c>
      <c r="Y62" s="515" t="str">
        <f t="shared" si="4"/>
        <v/>
      </c>
      <c r="Z62" s="151"/>
      <c r="AA62" s="152"/>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c r="AP62" s="31" t="str">
        <f>IFERROR(INDEX('G-7 Rivers Data'!$AZ$3:$AZ$7,MATCH(D62,'G-7 Rivers Data'!$AY$3:$AY$7,0)),"")</f>
        <v/>
      </c>
    </row>
    <row r="63" spans="3:42" ht="13.8" x14ac:dyDescent="0.25">
      <c r="C63" s="141">
        <v>54</v>
      </c>
      <c r="D63" s="460"/>
      <c r="E63" s="172"/>
      <c r="F63" s="498" t="str">
        <f>IF(D63="","",VLOOKUP(D63,'G-7 Rivers Data'!$B$2:$G$8,2,FALSE))</f>
        <v/>
      </c>
      <c r="G63" s="499" t="str">
        <f>IFERROR(VLOOKUP(F63,'G-7 Rivers Data'!$C$4:$D$8,2,FALSE),"")</f>
        <v/>
      </c>
      <c r="H63" s="145"/>
      <c r="I63" s="499" t="str">
        <f>IFERROR(INDEX('G-7 Rivers Data'!$H$4:$L$8,MATCH(D63,'G-7 Rivers Data'!$B$4:$B$8,0),MATCH(H63,'G-7 Rivers Data'!$H$3:$L$3,0)),"")</f>
        <v/>
      </c>
      <c r="J63" s="418"/>
      <c r="K63" s="498" t="str">
        <f>IF(J63="","",IF(VLOOKUP(J63,'G-7 Rivers Data'!$AK$4:$AM$9,2,FALSE)=0,"Spatial Data Missing ⚠",VLOOKUP(J63,'G-7 Rivers Data'!$AK$4:$AM$9,2,FALSE)))</f>
        <v/>
      </c>
      <c r="L63" s="505" t="str">
        <f>IF(J63="","",IF(VLOOKUP(J63,'G-7 Rivers Data'!$AK$4:$AM$9,3,FALSE)=0,"Spatial Data Missing ⚠",VLOOKUP(J63,'G-7 Rivers Data'!$AK$4:$AM$9,3,FALSE)))</f>
        <v/>
      </c>
      <c r="M63" s="71"/>
      <c r="N63" s="499" t="str">
        <f>IF(M63="","",IF(VLOOKUP(M63,'G-7 Rivers Data'!$AA$4:$AB$7,2,FALSE)=0,"Spatial Data Missing ⚠",VLOOKUP(M63,'G-7 Rivers Data'!$AA$4:$AB$7,2,FALSE)))</f>
        <v/>
      </c>
      <c r="O63" s="155"/>
      <c r="P63" s="499" t="str">
        <f>IF(O63="","",IF(VLOOKUP(O63,'G-7 Rivers Data'!$AD$4:$AE$8,2,FALSE)=0,"Spatial Data Missing ⚠",VLOOKUP(O63,'G-7 Rivers Data'!$AD$4:$AE$8,2,FALSE)))</f>
        <v/>
      </c>
      <c r="Q63" s="506" t="str">
        <f>IF(D63="","",VLOOKUP(D63,'G-7 Rivers Data'!$B$2:$G$8,6,FALSE))</f>
        <v/>
      </c>
      <c r="R63" s="513" t="str">
        <f t="shared" si="0"/>
        <v/>
      </c>
      <c r="S63" s="40"/>
      <c r="T63" s="145"/>
      <c r="U63" s="157"/>
      <c r="V63" s="511" t="str">
        <f t="shared" si="1"/>
        <v/>
      </c>
      <c r="W63" s="511" t="str">
        <f t="shared" si="2"/>
        <v/>
      </c>
      <c r="X63" s="511" t="str">
        <f t="shared" si="3"/>
        <v/>
      </c>
      <c r="Y63" s="515" t="str">
        <f t="shared" si="4"/>
        <v/>
      </c>
      <c r="Z63" s="151"/>
      <c r="AA63" s="152"/>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c r="AP63" s="31" t="str">
        <f>IFERROR(INDEX('G-7 Rivers Data'!$AZ$3:$AZ$7,MATCH(D63,'G-7 Rivers Data'!$AY$3:$AY$7,0)),"")</f>
        <v/>
      </c>
    </row>
    <row r="64" spans="3:42" ht="13.8" x14ac:dyDescent="0.25">
      <c r="C64" s="141">
        <v>55</v>
      </c>
      <c r="D64" s="460"/>
      <c r="E64" s="172"/>
      <c r="F64" s="498" t="str">
        <f>IF(D64="","",VLOOKUP(D64,'G-7 Rivers Data'!$B$2:$G$8,2,FALSE))</f>
        <v/>
      </c>
      <c r="G64" s="499" t="str">
        <f>IFERROR(VLOOKUP(F64,'G-7 Rivers Data'!$C$4:$D$8,2,FALSE),"")</f>
        <v/>
      </c>
      <c r="H64" s="145"/>
      <c r="I64" s="499" t="str">
        <f>IFERROR(INDEX('G-7 Rivers Data'!$H$4:$L$8,MATCH(D64,'G-7 Rivers Data'!$B$4:$B$8,0),MATCH(H64,'G-7 Rivers Data'!$H$3:$L$3,0)),"")</f>
        <v/>
      </c>
      <c r="J64" s="418"/>
      <c r="K64" s="498" t="str">
        <f>IF(J64="","",IF(VLOOKUP(J64,'G-7 Rivers Data'!$AK$4:$AM$9,2,FALSE)=0,"Spatial Data Missing ⚠",VLOOKUP(J64,'G-7 Rivers Data'!$AK$4:$AM$9,2,FALSE)))</f>
        <v/>
      </c>
      <c r="L64" s="505" t="str">
        <f>IF(J64="","",IF(VLOOKUP(J64,'G-7 Rivers Data'!$AK$4:$AM$9,3,FALSE)=0,"Spatial Data Missing ⚠",VLOOKUP(J64,'G-7 Rivers Data'!$AK$4:$AM$9,3,FALSE)))</f>
        <v/>
      </c>
      <c r="M64" s="71"/>
      <c r="N64" s="499" t="str">
        <f>IF(M64="","",IF(VLOOKUP(M64,'G-7 Rivers Data'!$AA$4:$AB$7,2,FALSE)=0,"Spatial Data Missing ⚠",VLOOKUP(M64,'G-7 Rivers Data'!$AA$4:$AB$7,2,FALSE)))</f>
        <v/>
      </c>
      <c r="O64" s="155"/>
      <c r="P64" s="499" t="str">
        <f>IF(O64="","",IF(VLOOKUP(O64,'G-7 Rivers Data'!$AD$4:$AE$8,2,FALSE)=0,"Spatial Data Missing ⚠",VLOOKUP(O64,'G-7 Rivers Data'!$AD$4:$AE$8,2,FALSE)))</f>
        <v/>
      </c>
      <c r="Q64" s="506" t="str">
        <f>IF(D64="","",VLOOKUP(D64,'G-7 Rivers Data'!$B$2:$G$8,6,FALSE))</f>
        <v/>
      </c>
      <c r="R64" s="513" t="str">
        <f t="shared" si="0"/>
        <v/>
      </c>
      <c r="S64" s="40"/>
      <c r="T64" s="145"/>
      <c r="U64" s="157"/>
      <c r="V64" s="511" t="str">
        <f t="shared" si="1"/>
        <v/>
      </c>
      <c r="W64" s="511" t="str">
        <f t="shared" si="2"/>
        <v/>
      </c>
      <c r="X64" s="511" t="str">
        <f t="shared" si="3"/>
        <v/>
      </c>
      <c r="Y64" s="515" t="str">
        <f t="shared" si="4"/>
        <v/>
      </c>
      <c r="Z64" s="151"/>
      <c r="AA64" s="152"/>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c r="AP64" s="31" t="str">
        <f>IFERROR(INDEX('G-7 Rivers Data'!$AZ$3:$AZ$7,MATCH(D64,'G-7 Rivers Data'!$AY$3:$AY$7,0)),"")</f>
        <v/>
      </c>
    </row>
    <row r="65" spans="3:42" ht="13.8" x14ac:dyDescent="0.25">
      <c r="C65" s="141">
        <v>56</v>
      </c>
      <c r="D65" s="460"/>
      <c r="E65" s="172"/>
      <c r="F65" s="498" t="str">
        <f>IF(D65="","",VLOOKUP(D65,'G-7 Rivers Data'!$B$2:$G$8,2,FALSE))</f>
        <v/>
      </c>
      <c r="G65" s="499" t="str">
        <f>IFERROR(VLOOKUP(F65,'G-7 Rivers Data'!$C$4:$D$8,2,FALSE),"")</f>
        <v/>
      </c>
      <c r="H65" s="145"/>
      <c r="I65" s="499" t="str">
        <f>IFERROR(INDEX('G-7 Rivers Data'!$H$4:$L$8,MATCH(D65,'G-7 Rivers Data'!$B$4:$B$8,0),MATCH(H65,'G-7 Rivers Data'!$H$3:$L$3,0)),"")</f>
        <v/>
      </c>
      <c r="J65" s="418"/>
      <c r="K65" s="498" t="str">
        <f>IF(J65="","",IF(VLOOKUP(J65,'G-7 Rivers Data'!$AK$4:$AM$9,2,FALSE)=0,"Spatial Data Missing ⚠",VLOOKUP(J65,'G-7 Rivers Data'!$AK$4:$AM$9,2,FALSE)))</f>
        <v/>
      </c>
      <c r="L65" s="505" t="str">
        <f>IF(J65="","",IF(VLOOKUP(J65,'G-7 Rivers Data'!$AK$4:$AM$9,3,FALSE)=0,"Spatial Data Missing ⚠",VLOOKUP(J65,'G-7 Rivers Data'!$AK$4:$AM$9,3,FALSE)))</f>
        <v/>
      </c>
      <c r="M65" s="71"/>
      <c r="N65" s="499" t="str">
        <f>IF(M65="","",IF(VLOOKUP(M65,'G-7 Rivers Data'!$AA$4:$AB$7,2,FALSE)=0,"Spatial Data Missing ⚠",VLOOKUP(M65,'G-7 Rivers Data'!$AA$4:$AB$7,2,FALSE)))</f>
        <v/>
      </c>
      <c r="O65" s="155"/>
      <c r="P65" s="499" t="str">
        <f>IF(O65="","",IF(VLOOKUP(O65,'G-7 Rivers Data'!$AD$4:$AE$8,2,FALSE)=0,"Spatial Data Missing ⚠",VLOOKUP(O65,'G-7 Rivers Data'!$AD$4:$AE$8,2,FALSE)))</f>
        <v/>
      </c>
      <c r="Q65" s="506" t="str">
        <f>IF(D65="","",VLOOKUP(D65,'G-7 Rivers Data'!$B$2:$G$8,6,FALSE))</f>
        <v/>
      </c>
      <c r="R65" s="513" t="str">
        <f t="shared" si="0"/>
        <v/>
      </c>
      <c r="S65" s="40"/>
      <c r="T65" s="145"/>
      <c r="U65" s="157"/>
      <c r="V65" s="511" t="str">
        <f t="shared" si="1"/>
        <v/>
      </c>
      <c r="W65" s="511" t="str">
        <f t="shared" si="2"/>
        <v/>
      </c>
      <c r="X65" s="511" t="str">
        <f t="shared" si="3"/>
        <v/>
      </c>
      <c r="Y65" s="515" t="str">
        <f t="shared" si="4"/>
        <v/>
      </c>
      <c r="Z65" s="151"/>
      <c r="AA65" s="152"/>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c r="AP65" s="31" t="str">
        <f>IFERROR(INDEX('G-7 Rivers Data'!$AZ$3:$AZ$7,MATCH(D65,'G-7 Rivers Data'!$AY$3:$AY$7,0)),"")</f>
        <v/>
      </c>
    </row>
    <row r="66" spans="3:42" ht="13.8" x14ac:dyDescent="0.25">
      <c r="C66" s="141">
        <v>57</v>
      </c>
      <c r="D66" s="460"/>
      <c r="E66" s="172"/>
      <c r="F66" s="498" t="str">
        <f>IF(D66="","",VLOOKUP(D66,'G-7 Rivers Data'!$B$2:$G$8,2,FALSE))</f>
        <v/>
      </c>
      <c r="G66" s="499" t="str">
        <f>IFERROR(VLOOKUP(F66,'G-7 Rivers Data'!$C$4:$D$8,2,FALSE),"")</f>
        <v/>
      </c>
      <c r="H66" s="145"/>
      <c r="I66" s="499" t="str">
        <f>IFERROR(INDEX('G-7 Rivers Data'!$H$4:$L$8,MATCH(D66,'G-7 Rivers Data'!$B$4:$B$8,0),MATCH(H66,'G-7 Rivers Data'!$H$3:$L$3,0)),"")</f>
        <v/>
      </c>
      <c r="J66" s="418"/>
      <c r="K66" s="498" t="str">
        <f>IF(J66="","",IF(VLOOKUP(J66,'G-7 Rivers Data'!$AK$4:$AM$9,2,FALSE)=0,"Spatial Data Missing ⚠",VLOOKUP(J66,'G-7 Rivers Data'!$AK$4:$AM$9,2,FALSE)))</f>
        <v/>
      </c>
      <c r="L66" s="505" t="str">
        <f>IF(J66="","",IF(VLOOKUP(J66,'G-7 Rivers Data'!$AK$4:$AM$9,3,FALSE)=0,"Spatial Data Missing ⚠",VLOOKUP(J66,'G-7 Rivers Data'!$AK$4:$AM$9,3,FALSE)))</f>
        <v/>
      </c>
      <c r="M66" s="71"/>
      <c r="N66" s="499" t="str">
        <f>IF(M66="","",IF(VLOOKUP(M66,'G-7 Rivers Data'!$AA$4:$AB$7,2,FALSE)=0,"Spatial Data Missing ⚠",VLOOKUP(M66,'G-7 Rivers Data'!$AA$4:$AB$7,2,FALSE)))</f>
        <v/>
      </c>
      <c r="O66" s="155"/>
      <c r="P66" s="499" t="str">
        <f>IF(O66="","",IF(VLOOKUP(O66,'G-7 Rivers Data'!$AD$4:$AE$8,2,FALSE)=0,"Spatial Data Missing ⚠",VLOOKUP(O66,'G-7 Rivers Data'!$AD$4:$AE$8,2,FALSE)))</f>
        <v/>
      </c>
      <c r="Q66" s="506" t="str">
        <f>IF(D66="","",VLOOKUP(D66,'G-7 Rivers Data'!$B$2:$G$8,6,FALSE))</f>
        <v/>
      </c>
      <c r="R66" s="513" t="str">
        <f t="shared" si="0"/>
        <v/>
      </c>
      <c r="S66" s="40"/>
      <c r="T66" s="145"/>
      <c r="U66" s="157"/>
      <c r="V66" s="511" t="str">
        <f t="shared" si="1"/>
        <v/>
      </c>
      <c r="W66" s="511" t="str">
        <f t="shared" si="2"/>
        <v/>
      </c>
      <c r="X66" s="511" t="str">
        <f t="shared" si="3"/>
        <v/>
      </c>
      <c r="Y66" s="515" t="str">
        <f t="shared" si="4"/>
        <v/>
      </c>
      <c r="Z66" s="151"/>
      <c r="AA66" s="152"/>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c r="AP66" s="31" t="str">
        <f>IFERROR(INDEX('G-7 Rivers Data'!$AZ$3:$AZ$7,MATCH(D66,'G-7 Rivers Data'!$AY$3:$AY$7,0)),"")</f>
        <v/>
      </c>
    </row>
    <row r="67" spans="3:42" ht="13.8" x14ac:dyDescent="0.25">
      <c r="C67" s="141">
        <v>58</v>
      </c>
      <c r="D67" s="460"/>
      <c r="E67" s="172"/>
      <c r="F67" s="498" t="str">
        <f>IF(D67="","",VLOOKUP(D67,'G-7 Rivers Data'!$B$2:$G$8,2,FALSE))</f>
        <v/>
      </c>
      <c r="G67" s="499" t="str">
        <f>IFERROR(VLOOKUP(F67,'G-7 Rivers Data'!$C$4:$D$8,2,FALSE),"")</f>
        <v/>
      </c>
      <c r="H67" s="145"/>
      <c r="I67" s="499" t="str">
        <f>IFERROR(INDEX('G-7 Rivers Data'!$H$4:$L$8,MATCH(D67,'G-7 Rivers Data'!$B$4:$B$8,0),MATCH(H67,'G-7 Rivers Data'!$H$3:$L$3,0)),"")</f>
        <v/>
      </c>
      <c r="J67" s="418"/>
      <c r="K67" s="498" t="str">
        <f>IF(J67="","",IF(VLOOKUP(J67,'G-7 Rivers Data'!$AK$4:$AM$9,2,FALSE)=0,"Spatial Data Missing ⚠",VLOOKUP(J67,'G-7 Rivers Data'!$AK$4:$AM$9,2,FALSE)))</f>
        <v/>
      </c>
      <c r="L67" s="505" t="str">
        <f>IF(J67="","",IF(VLOOKUP(J67,'G-7 Rivers Data'!$AK$4:$AM$9,3,FALSE)=0,"Spatial Data Missing ⚠",VLOOKUP(J67,'G-7 Rivers Data'!$AK$4:$AM$9,3,FALSE)))</f>
        <v/>
      </c>
      <c r="M67" s="71"/>
      <c r="N67" s="499" t="str">
        <f>IF(M67="","",IF(VLOOKUP(M67,'G-7 Rivers Data'!$AA$4:$AB$7,2,FALSE)=0,"Spatial Data Missing ⚠",VLOOKUP(M67,'G-7 Rivers Data'!$AA$4:$AB$7,2,FALSE)))</f>
        <v/>
      </c>
      <c r="O67" s="155"/>
      <c r="P67" s="499" t="str">
        <f>IF(O67="","",IF(VLOOKUP(O67,'G-7 Rivers Data'!$AD$4:$AE$8,2,FALSE)=0,"Spatial Data Missing ⚠",VLOOKUP(O67,'G-7 Rivers Data'!$AD$4:$AE$8,2,FALSE)))</f>
        <v/>
      </c>
      <c r="Q67" s="506" t="str">
        <f>IF(D67="","",VLOOKUP(D67,'G-7 Rivers Data'!$B$2:$G$8,6,FALSE))</f>
        <v/>
      </c>
      <c r="R67" s="513" t="str">
        <f t="shared" si="0"/>
        <v/>
      </c>
      <c r="S67" s="40"/>
      <c r="T67" s="145"/>
      <c r="U67" s="157"/>
      <c r="V67" s="511" t="str">
        <f t="shared" si="1"/>
        <v/>
      </c>
      <c r="W67" s="511" t="str">
        <f t="shared" si="2"/>
        <v/>
      </c>
      <c r="X67" s="511" t="str">
        <f t="shared" si="3"/>
        <v/>
      </c>
      <c r="Y67" s="515" t="str">
        <f t="shared" si="4"/>
        <v/>
      </c>
      <c r="Z67" s="151"/>
      <c r="AA67" s="152"/>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c r="AP67" s="31" t="str">
        <f>IFERROR(INDEX('G-7 Rivers Data'!$AZ$3:$AZ$7,MATCH(D67,'G-7 Rivers Data'!$AY$3:$AY$7,0)),"")</f>
        <v/>
      </c>
    </row>
    <row r="68" spans="3:42" ht="13.8" x14ac:dyDescent="0.25">
      <c r="C68" s="141">
        <v>59</v>
      </c>
      <c r="D68" s="460"/>
      <c r="E68" s="172"/>
      <c r="F68" s="498" t="str">
        <f>IF(D68="","",VLOOKUP(D68,'G-7 Rivers Data'!$B$2:$G$8,2,FALSE))</f>
        <v/>
      </c>
      <c r="G68" s="499" t="str">
        <f>IFERROR(VLOOKUP(F68,'G-7 Rivers Data'!$C$4:$D$8,2,FALSE),"")</f>
        <v/>
      </c>
      <c r="H68" s="145"/>
      <c r="I68" s="499" t="str">
        <f>IFERROR(INDEX('G-7 Rivers Data'!$H$4:$L$8,MATCH(D68,'G-7 Rivers Data'!$B$4:$B$8,0),MATCH(H68,'G-7 Rivers Data'!$H$3:$L$3,0)),"")</f>
        <v/>
      </c>
      <c r="J68" s="418"/>
      <c r="K68" s="498" t="str">
        <f>IF(J68="","",IF(VLOOKUP(J68,'G-7 Rivers Data'!$AK$4:$AM$9,2,FALSE)=0,"Spatial Data Missing ⚠",VLOOKUP(J68,'G-7 Rivers Data'!$AK$4:$AM$9,2,FALSE)))</f>
        <v/>
      </c>
      <c r="L68" s="505" t="str">
        <f>IF(J68="","",IF(VLOOKUP(J68,'G-7 Rivers Data'!$AK$4:$AM$9,3,FALSE)=0,"Spatial Data Missing ⚠",VLOOKUP(J68,'G-7 Rivers Data'!$AK$4:$AM$9,3,FALSE)))</f>
        <v/>
      </c>
      <c r="M68" s="71"/>
      <c r="N68" s="499" t="str">
        <f>IF(M68="","",IF(VLOOKUP(M68,'G-7 Rivers Data'!$AA$4:$AB$7,2,FALSE)=0,"Spatial Data Missing ⚠",VLOOKUP(M68,'G-7 Rivers Data'!$AA$4:$AB$7,2,FALSE)))</f>
        <v/>
      </c>
      <c r="O68" s="155"/>
      <c r="P68" s="499" t="str">
        <f>IF(O68="","",IF(VLOOKUP(O68,'G-7 Rivers Data'!$AD$4:$AE$8,2,FALSE)=0,"Spatial Data Missing ⚠",VLOOKUP(O68,'G-7 Rivers Data'!$AD$4:$AE$8,2,FALSE)))</f>
        <v/>
      </c>
      <c r="Q68" s="506" t="str">
        <f>IF(D68="","",VLOOKUP(D68,'G-7 Rivers Data'!$B$2:$G$8,6,FALSE))</f>
        <v/>
      </c>
      <c r="R68" s="513" t="str">
        <f t="shared" si="0"/>
        <v/>
      </c>
      <c r="S68" s="40"/>
      <c r="T68" s="145"/>
      <c r="U68" s="157"/>
      <c r="V68" s="511" t="str">
        <f t="shared" si="1"/>
        <v/>
      </c>
      <c r="W68" s="511" t="str">
        <f t="shared" si="2"/>
        <v/>
      </c>
      <c r="X68" s="511" t="str">
        <f t="shared" si="3"/>
        <v/>
      </c>
      <c r="Y68" s="515" t="str">
        <f t="shared" si="4"/>
        <v/>
      </c>
      <c r="Z68" s="151"/>
      <c r="AA68" s="152"/>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c r="AP68" s="31" t="str">
        <f>IFERROR(INDEX('G-7 Rivers Data'!$AZ$3:$AZ$7,MATCH(D68,'G-7 Rivers Data'!$AY$3:$AY$7,0)),"")</f>
        <v/>
      </c>
    </row>
    <row r="69" spans="3:42" ht="13.8" x14ac:dyDescent="0.25">
      <c r="C69" s="141">
        <v>60</v>
      </c>
      <c r="D69" s="460"/>
      <c r="E69" s="172"/>
      <c r="F69" s="498" t="str">
        <f>IF(D69="","",VLOOKUP(D69,'G-7 Rivers Data'!$B$2:$G$8,2,FALSE))</f>
        <v/>
      </c>
      <c r="G69" s="499" t="str">
        <f>IFERROR(VLOOKUP(F69,'G-7 Rivers Data'!$C$4:$D$8,2,FALSE),"")</f>
        <v/>
      </c>
      <c r="H69" s="145"/>
      <c r="I69" s="499" t="str">
        <f>IFERROR(INDEX('G-7 Rivers Data'!$H$4:$L$8,MATCH(D69,'G-7 Rivers Data'!$B$4:$B$8,0),MATCH(H69,'G-7 Rivers Data'!$H$3:$L$3,0)),"")</f>
        <v/>
      </c>
      <c r="J69" s="418"/>
      <c r="K69" s="498" t="str">
        <f>IF(J69="","",IF(VLOOKUP(J69,'G-7 Rivers Data'!$AK$4:$AM$9,2,FALSE)=0,"Spatial Data Missing ⚠",VLOOKUP(J69,'G-7 Rivers Data'!$AK$4:$AM$9,2,FALSE)))</f>
        <v/>
      </c>
      <c r="L69" s="505" t="str">
        <f>IF(J69="","",IF(VLOOKUP(J69,'G-7 Rivers Data'!$AK$4:$AM$9,3,FALSE)=0,"Spatial Data Missing ⚠",VLOOKUP(J69,'G-7 Rivers Data'!$AK$4:$AM$9,3,FALSE)))</f>
        <v/>
      </c>
      <c r="M69" s="71"/>
      <c r="N69" s="499" t="str">
        <f>IF(M69="","",IF(VLOOKUP(M69,'G-7 Rivers Data'!$AA$4:$AB$7,2,FALSE)=0,"Spatial Data Missing ⚠",VLOOKUP(M69,'G-7 Rivers Data'!$AA$4:$AB$7,2,FALSE)))</f>
        <v/>
      </c>
      <c r="O69" s="155"/>
      <c r="P69" s="499" t="str">
        <f>IF(O69="","",IF(VLOOKUP(O69,'G-7 Rivers Data'!$AD$4:$AE$8,2,FALSE)=0,"Spatial Data Missing ⚠",VLOOKUP(O69,'G-7 Rivers Data'!$AD$4:$AE$8,2,FALSE)))</f>
        <v/>
      </c>
      <c r="Q69" s="506" t="str">
        <f>IF(D69="","",VLOOKUP(D69,'G-7 Rivers Data'!$B$2:$G$8,6,FALSE))</f>
        <v/>
      </c>
      <c r="R69" s="513" t="str">
        <f t="shared" si="0"/>
        <v/>
      </c>
      <c r="S69" s="40"/>
      <c r="T69" s="145"/>
      <c r="U69" s="157"/>
      <c r="V69" s="511" t="str">
        <f t="shared" si="1"/>
        <v/>
      </c>
      <c r="W69" s="511" t="str">
        <f t="shared" si="2"/>
        <v/>
      </c>
      <c r="X69" s="511" t="str">
        <f t="shared" si="3"/>
        <v/>
      </c>
      <c r="Y69" s="515" t="str">
        <f t="shared" si="4"/>
        <v/>
      </c>
      <c r="Z69" s="151"/>
      <c r="AA69" s="152"/>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c r="AP69" s="31" t="str">
        <f>IFERROR(INDEX('G-7 Rivers Data'!$AZ$3:$AZ$7,MATCH(D69,'G-7 Rivers Data'!$AY$3:$AY$7,0)),"")</f>
        <v/>
      </c>
    </row>
    <row r="70" spans="3:42" ht="13.8" x14ac:dyDescent="0.25">
      <c r="C70" s="141">
        <v>61</v>
      </c>
      <c r="D70" s="460"/>
      <c r="E70" s="172"/>
      <c r="F70" s="498" t="str">
        <f>IF(D70="","",VLOOKUP(D70,'G-7 Rivers Data'!$B$2:$G$8,2,FALSE))</f>
        <v/>
      </c>
      <c r="G70" s="499" t="str">
        <f>IFERROR(VLOOKUP(F70,'G-7 Rivers Data'!$C$4:$D$8,2,FALSE),"")</f>
        <v/>
      </c>
      <c r="H70" s="145"/>
      <c r="I70" s="499" t="str">
        <f>IFERROR(INDEX('G-7 Rivers Data'!$H$4:$L$8,MATCH(D70,'G-7 Rivers Data'!$B$4:$B$8,0),MATCH(H70,'G-7 Rivers Data'!$H$3:$L$3,0)),"")</f>
        <v/>
      </c>
      <c r="J70" s="418"/>
      <c r="K70" s="498" t="str">
        <f>IF(J70="","",IF(VLOOKUP(J70,'G-7 Rivers Data'!$AK$4:$AM$9,2,FALSE)=0,"Spatial Data Missing ⚠",VLOOKUP(J70,'G-7 Rivers Data'!$AK$4:$AM$9,2,FALSE)))</f>
        <v/>
      </c>
      <c r="L70" s="505" t="str">
        <f>IF(J70="","",IF(VLOOKUP(J70,'G-7 Rivers Data'!$AK$4:$AM$9,3,FALSE)=0,"Spatial Data Missing ⚠",VLOOKUP(J70,'G-7 Rivers Data'!$AK$4:$AM$9,3,FALSE)))</f>
        <v/>
      </c>
      <c r="M70" s="71"/>
      <c r="N70" s="499" t="str">
        <f>IF(M70="","",IF(VLOOKUP(M70,'G-7 Rivers Data'!$AA$4:$AB$7,2,FALSE)=0,"Spatial Data Missing ⚠",VLOOKUP(M70,'G-7 Rivers Data'!$AA$4:$AB$7,2,FALSE)))</f>
        <v/>
      </c>
      <c r="O70" s="155"/>
      <c r="P70" s="499" t="str">
        <f>IF(O70="","",IF(VLOOKUP(O70,'G-7 Rivers Data'!$AD$4:$AE$8,2,FALSE)=0,"Spatial Data Missing ⚠",VLOOKUP(O70,'G-7 Rivers Data'!$AD$4:$AE$8,2,FALSE)))</f>
        <v/>
      </c>
      <c r="Q70" s="506" t="str">
        <f>IF(D70="","",VLOOKUP(D70,'G-7 Rivers Data'!$B$2:$G$8,6,FALSE))</f>
        <v/>
      </c>
      <c r="R70" s="513" t="str">
        <f t="shared" si="0"/>
        <v/>
      </c>
      <c r="S70" s="40"/>
      <c r="T70" s="145"/>
      <c r="U70" s="157"/>
      <c r="V70" s="511" t="str">
        <f t="shared" si="1"/>
        <v/>
      </c>
      <c r="W70" s="511" t="str">
        <f t="shared" si="2"/>
        <v/>
      </c>
      <c r="X70" s="511" t="str">
        <f t="shared" si="3"/>
        <v/>
      </c>
      <c r="Y70" s="515" t="str">
        <f t="shared" si="4"/>
        <v/>
      </c>
      <c r="Z70" s="151"/>
      <c r="AA70" s="152"/>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c r="AP70" s="31" t="str">
        <f>IFERROR(INDEX('G-7 Rivers Data'!$AZ$3:$AZ$7,MATCH(D70,'G-7 Rivers Data'!$AY$3:$AY$7,0)),"")</f>
        <v/>
      </c>
    </row>
    <row r="71" spans="3:42" ht="13.8" x14ac:dyDescent="0.25">
      <c r="C71" s="141">
        <v>62</v>
      </c>
      <c r="D71" s="460"/>
      <c r="E71" s="172"/>
      <c r="F71" s="498" t="str">
        <f>IF(D71="","",VLOOKUP(D71,'G-7 Rivers Data'!$B$2:$G$8,2,FALSE))</f>
        <v/>
      </c>
      <c r="G71" s="499" t="str">
        <f>IFERROR(VLOOKUP(F71,'G-7 Rivers Data'!$C$4:$D$8,2,FALSE),"")</f>
        <v/>
      </c>
      <c r="H71" s="145"/>
      <c r="I71" s="499" t="str">
        <f>IFERROR(INDEX('G-7 Rivers Data'!$H$4:$L$8,MATCH(D71,'G-7 Rivers Data'!$B$4:$B$8,0),MATCH(H71,'G-7 Rivers Data'!$H$3:$L$3,0)),"")</f>
        <v/>
      </c>
      <c r="J71" s="418"/>
      <c r="K71" s="498" t="str">
        <f>IF(J71="","",IF(VLOOKUP(J71,'G-7 Rivers Data'!$AK$4:$AM$9,2,FALSE)=0,"Spatial Data Missing ⚠",VLOOKUP(J71,'G-7 Rivers Data'!$AK$4:$AM$9,2,FALSE)))</f>
        <v/>
      </c>
      <c r="L71" s="505" t="str">
        <f>IF(J71="","",IF(VLOOKUP(J71,'G-7 Rivers Data'!$AK$4:$AM$9,3,FALSE)=0,"Spatial Data Missing ⚠",VLOOKUP(J71,'G-7 Rivers Data'!$AK$4:$AM$9,3,FALSE)))</f>
        <v/>
      </c>
      <c r="M71" s="71"/>
      <c r="N71" s="499" t="str">
        <f>IF(M71="","",IF(VLOOKUP(M71,'G-7 Rivers Data'!$AA$4:$AB$7,2,FALSE)=0,"Spatial Data Missing ⚠",VLOOKUP(M71,'G-7 Rivers Data'!$AA$4:$AB$7,2,FALSE)))</f>
        <v/>
      </c>
      <c r="O71" s="155"/>
      <c r="P71" s="499" t="str">
        <f>IF(O71="","",IF(VLOOKUP(O71,'G-7 Rivers Data'!$AD$4:$AE$8,2,FALSE)=0,"Spatial Data Missing ⚠",VLOOKUP(O71,'G-7 Rivers Data'!$AD$4:$AE$8,2,FALSE)))</f>
        <v/>
      </c>
      <c r="Q71" s="506" t="str">
        <f>IF(D71="","",VLOOKUP(D71,'G-7 Rivers Data'!$B$2:$G$8,6,FALSE))</f>
        <v/>
      </c>
      <c r="R71" s="513" t="str">
        <f t="shared" si="0"/>
        <v/>
      </c>
      <c r="S71" s="40"/>
      <c r="T71" s="145"/>
      <c r="U71" s="157"/>
      <c r="V71" s="511" t="str">
        <f t="shared" si="1"/>
        <v/>
      </c>
      <c r="W71" s="511" t="str">
        <f t="shared" si="2"/>
        <v/>
      </c>
      <c r="X71" s="511" t="str">
        <f t="shared" si="3"/>
        <v/>
      </c>
      <c r="Y71" s="515" t="str">
        <f t="shared" si="4"/>
        <v/>
      </c>
      <c r="Z71" s="151"/>
      <c r="AA71" s="152"/>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c r="AP71" s="31" t="str">
        <f>IFERROR(INDEX('G-7 Rivers Data'!$AZ$3:$AZ$7,MATCH(D71,'G-7 Rivers Data'!$AY$3:$AY$7,0)),"")</f>
        <v/>
      </c>
    </row>
    <row r="72" spans="3:42" ht="13.8" x14ac:dyDescent="0.25">
      <c r="C72" s="141">
        <v>63</v>
      </c>
      <c r="D72" s="460"/>
      <c r="E72" s="172"/>
      <c r="F72" s="498" t="str">
        <f>IF(D72="","",VLOOKUP(D72,'G-7 Rivers Data'!$B$2:$G$8,2,FALSE))</f>
        <v/>
      </c>
      <c r="G72" s="499" t="str">
        <f>IFERROR(VLOOKUP(F72,'G-7 Rivers Data'!$C$4:$D$8,2,FALSE),"")</f>
        <v/>
      </c>
      <c r="H72" s="145"/>
      <c r="I72" s="499" t="str">
        <f>IFERROR(INDEX('G-7 Rivers Data'!$H$4:$L$8,MATCH(D72,'G-7 Rivers Data'!$B$4:$B$8,0),MATCH(H72,'G-7 Rivers Data'!$H$3:$L$3,0)),"")</f>
        <v/>
      </c>
      <c r="J72" s="418"/>
      <c r="K72" s="498" t="str">
        <f>IF(J72="","",IF(VLOOKUP(J72,'G-7 Rivers Data'!$AK$4:$AM$9,2,FALSE)=0,"Spatial Data Missing ⚠",VLOOKUP(J72,'G-7 Rivers Data'!$AK$4:$AM$9,2,FALSE)))</f>
        <v/>
      </c>
      <c r="L72" s="505" t="str">
        <f>IF(J72="","",IF(VLOOKUP(J72,'G-7 Rivers Data'!$AK$4:$AM$9,3,FALSE)=0,"Spatial Data Missing ⚠",VLOOKUP(J72,'G-7 Rivers Data'!$AK$4:$AM$9,3,FALSE)))</f>
        <v/>
      </c>
      <c r="M72" s="71"/>
      <c r="N72" s="499" t="str">
        <f>IF(M72="","",IF(VLOOKUP(M72,'G-7 Rivers Data'!$AA$4:$AB$7,2,FALSE)=0,"Spatial Data Missing ⚠",VLOOKUP(M72,'G-7 Rivers Data'!$AA$4:$AB$7,2,FALSE)))</f>
        <v/>
      </c>
      <c r="O72" s="155"/>
      <c r="P72" s="499" t="str">
        <f>IF(O72="","",IF(VLOOKUP(O72,'G-7 Rivers Data'!$AD$4:$AE$8,2,FALSE)=0,"Spatial Data Missing ⚠",VLOOKUP(O72,'G-7 Rivers Data'!$AD$4:$AE$8,2,FALSE)))</f>
        <v/>
      </c>
      <c r="Q72" s="506" t="str">
        <f>IF(D72="","",VLOOKUP(D72,'G-7 Rivers Data'!$B$2:$G$8,6,FALSE))</f>
        <v/>
      </c>
      <c r="R72" s="513" t="str">
        <f t="shared" si="0"/>
        <v/>
      </c>
      <c r="S72" s="40"/>
      <c r="T72" s="145"/>
      <c r="U72" s="157"/>
      <c r="V72" s="511" t="str">
        <f t="shared" si="1"/>
        <v/>
      </c>
      <c r="W72" s="511" t="str">
        <f t="shared" si="2"/>
        <v/>
      </c>
      <c r="X72" s="511" t="str">
        <f t="shared" si="3"/>
        <v/>
      </c>
      <c r="Y72" s="515" t="str">
        <f t="shared" si="4"/>
        <v/>
      </c>
      <c r="Z72" s="151"/>
      <c r="AA72" s="152"/>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c r="AP72" s="31" t="str">
        <f>IFERROR(INDEX('G-7 Rivers Data'!$AZ$3:$AZ$7,MATCH(D72,'G-7 Rivers Data'!$AY$3:$AY$7,0)),"")</f>
        <v/>
      </c>
    </row>
    <row r="73" spans="3:42" ht="13.8" x14ac:dyDescent="0.25">
      <c r="C73" s="141">
        <v>64</v>
      </c>
      <c r="D73" s="460"/>
      <c r="E73" s="172"/>
      <c r="F73" s="498" t="str">
        <f>IF(D73="","",VLOOKUP(D73,'G-7 Rivers Data'!$B$2:$G$8,2,FALSE))</f>
        <v/>
      </c>
      <c r="G73" s="499" t="str">
        <f>IFERROR(VLOOKUP(F73,'G-7 Rivers Data'!$C$4:$D$8,2,FALSE),"")</f>
        <v/>
      </c>
      <c r="H73" s="145"/>
      <c r="I73" s="499" t="str">
        <f>IFERROR(INDEX('G-7 Rivers Data'!$H$4:$L$8,MATCH(D73,'G-7 Rivers Data'!$B$4:$B$8,0),MATCH(H73,'G-7 Rivers Data'!$H$3:$L$3,0)),"")</f>
        <v/>
      </c>
      <c r="J73" s="418"/>
      <c r="K73" s="498" t="str">
        <f>IF(J73="","",IF(VLOOKUP(J73,'G-7 Rivers Data'!$AK$4:$AM$9,2,FALSE)=0,"Spatial Data Missing ⚠",VLOOKUP(J73,'G-7 Rivers Data'!$AK$4:$AM$9,2,FALSE)))</f>
        <v/>
      </c>
      <c r="L73" s="505" t="str">
        <f>IF(J73="","",IF(VLOOKUP(J73,'G-7 Rivers Data'!$AK$4:$AM$9,3,FALSE)=0,"Spatial Data Missing ⚠",VLOOKUP(J73,'G-7 Rivers Data'!$AK$4:$AM$9,3,FALSE)))</f>
        <v/>
      </c>
      <c r="M73" s="71"/>
      <c r="N73" s="499" t="str">
        <f>IF(M73="","",IF(VLOOKUP(M73,'G-7 Rivers Data'!$AA$4:$AB$7,2,FALSE)=0,"Spatial Data Missing ⚠",VLOOKUP(M73,'G-7 Rivers Data'!$AA$4:$AB$7,2,FALSE)))</f>
        <v/>
      </c>
      <c r="O73" s="155"/>
      <c r="P73" s="499" t="str">
        <f>IF(O73="","",IF(VLOOKUP(O73,'G-7 Rivers Data'!$AD$4:$AE$8,2,FALSE)=0,"Spatial Data Missing ⚠",VLOOKUP(O73,'G-7 Rivers Data'!$AD$4:$AE$8,2,FALSE)))</f>
        <v/>
      </c>
      <c r="Q73" s="506" t="str">
        <f>IF(D73="","",VLOOKUP(D73,'G-7 Rivers Data'!$B$2:$G$8,6,FALSE))</f>
        <v/>
      </c>
      <c r="R73" s="513" t="str">
        <f t="shared" si="0"/>
        <v/>
      </c>
      <c r="S73" s="40"/>
      <c r="T73" s="145"/>
      <c r="U73" s="157"/>
      <c r="V73" s="511" t="str">
        <f t="shared" si="1"/>
        <v/>
      </c>
      <c r="W73" s="511" t="str">
        <f t="shared" si="2"/>
        <v/>
      </c>
      <c r="X73" s="511" t="str">
        <f t="shared" si="3"/>
        <v/>
      </c>
      <c r="Y73" s="515" t="str">
        <f t="shared" si="4"/>
        <v/>
      </c>
      <c r="Z73" s="151"/>
      <c r="AA73" s="152"/>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c r="AP73" s="31" t="str">
        <f>IFERROR(INDEX('G-7 Rivers Data'!$AZ$3:$AZ$7,MATCH(D73,'G-7 Rivers Data'!$AY$3:$AY$7,0)),"")</f>
        <v/>
      </c>
    </row>
    <row r="74" spans="3:42" ht="13.8" x14ac:dyDescent="0.25">
      <c r="C74" s="141">
        <v>65</v>
      </c>
      <c r="D74" s="460"/>
      <c r="E74" s="172"/>
      <c r="F74" s="498" t="str">
        <f>IF(D74="","",VLOOKUP(D74,'G-7 Rivers Data'!$B$2:$G$8,2,FALSE))</f>
        <v/>
      </c>
      <c r="G74" s="499" t="str">
        <f>IFERROR(VLOOKUP(F74,'G-7 Rivers Data'!$C$4:$D$8,2,FALSE),"")</f>
        <v/>
      </c>
      <c r="H74" s="145"/>
      <c r="I74" s="499" t="str">
        <f>IFERROR(INDEX('G-7 Rivers Data'!$H$4:$L$8,MATCH(D74,'G-7 Rivers Data'!$B$4:$B$8,0),MATCH(H74,'G-7 Rivers Data'!$H$3:$L$3,0)),"")</f>
        <v/>
      </c>
      <c r="J74" s="418"/>
      <c r="K74" s="498" t="str">
        <f>IF(J74="","",IF(VLOOKUP(J74,'G-7 Rivers Data'!$AK$4:$AM$9,2,FALSE)=0,"Spatial Data Missing ⚠",VLOOKUP(J74,'G-7 Rivers Data'!$AK$4:$AM$9,2,FALSE)))</f>
        <v/>
      </c>
      <c r="L74" s="505" t="str">
        <f>IF(J74="","",IF(VLOOKUP(J74,'G-7 Rivers Data'!$AK$4:$AM$9,3,FALSE)=0,"Spatial Data Missing ⚠",VLOOKUP(J74,'G-7 Rivers Data'!$AK$4:$AM$9,3,FALSE)))</f>
        <v/>
      </c>
      <c r="M74" s="71"/>
      <c r="N74" s="499" t="str">
        <f>IF(M74="","",IF(VLOOKUP(M74,'G-7 Rivers Data'!$AA$4:$AB$7,2,FALSE)=0,"Spatial Data Missing ⚠",VLOOKUP(M74,'G-7 Rivers Data'!$AA$4:$AB$7,2,FALSE)))</f>
        <v/>
      </c>
      <c r="O74" s="155"/>
      <c r="P74" s="499" t="str">
        <f>IF(O74="","",IF(VLOOKUP(O74,'G-7 Rivers Data'!$AD$4:$AE$8,2,FALSE)=0,"Spatial Data Missing ⚠",VLOOKUP(O74,'G-7 Rivers Data'!$AD$4:$AE$8,2,FALSE)))</f>
        <v/>
      </c>
      <c r="Q74" s="506" t="str">
        <f>IF(D74="","",VLOOKUP(D74,'G-7 Rivers Data'!$B$2:$G$8,6,FALSE))</f>
        <v/>
      </c>
      <c r="R74" s="513" t="str">
        <f t="shared" si="0"/>
        <v/>
      </c>
      <c r="S74" s="40"/>
      <c r="T74" s="145"/>
      <c r="U74" s="157"/>
      <c r="V74" s="511" t="str">
        <f t="shared" si="1"/>
        <v/>
      </c>
      <c r="W74" s="511" t="str">
        <f t="shared" si="2"/>
        <v/>
      </c>
      <c r="X74" s="511" t="str">
        <f t="shared" si="3"/>
        <v/>
      </c>
      <c r="Y74" s="515" t="str">
        <f t="shared" si="4"/>
        <v/>
      </c>
      <c r="Z74" s="151"/>
      <c r="AA74" s="152"/>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c r="AP74" s="31" t="str">
        <f>IFERROR(INDEX('G-7 Rivers Data'!$AZ$3:$AZ$7,MATCH(D74,'G-7 Rivers Data'!$AY$3:$AY$7,0)),"")</f>
        <v/>
      </c>
    </row>
    <row r="75" spans="3:42" ht="13.8" x14ac:dyDescent="0.25">
      <c r="C75" s="141">
        <v>66</v>
      </c>
      <c r="D75" s="460"/>
      <c r="E75" s="172"/>
      <c r="F75" s="498" t="str">
        <f>IF(D75="","",VLOOKUP(D75,'G-7 Rivers Data'!$B$2:$G$8,2,FALSE))</f>
        <v/>
      </c>
      <c r="G75" s="499" t="str">
        <f>IFERROR(VLOOKUP(F75,'G-7 Rivers Data'!$C$4:$D$8,2,FALSE),"")</f>
        <v/>
      </c>
      <c r="H75" s="145"/>
      <c r="I75" s="499" t="str">
        <f>IFERROR(INDEX('G-7 Rivers Data'!$H$4:$L$8,MATCH(D75,'G-7 Rivers Data'!$B$4:$B$8,0),MATCH(H75,'G-7 Rivers Data'!$H$3:$L$3,0)),"")</f>
        <v/>
      </c>
      <c r="J75" s="418"/>
      <c r="K75" s="498" t="str">
        <f>IF(J75="","",IF(VLOOKUP(J75,'G-7 Rivers Data'!$AK$4:$AM$9,2,FALSE)=0,"Spatial Data Missing ⚠",VLOOKUP(J75,'G-7 Rivers Data'!$AK$4:$AM$9,2,FALSE)))</f>
        <v/>
      </c>
      <c r="L75" s="505" t="str">
        <f>IF(J75="","",IF(VLOOKUP(J75,'G-7 Rivers Data'!$AK$4:$AM$9,3,FALSE)=0,"Spatial Data Missing ⚠",VLOOKUP(J75,'G-7 Rivers Data'!$AK$4:$AM$9,3,FALSE)))</f>
        <v/>
      </c>
      <c r="M75" s="71"/>
      <c r="N75" s="499" t="str">
        <f>IF(M75="","",IF(VLOOKUP(M75,'G-7 Rivers Data'!$AA$4:$AB$7,2,FALSE)=0,"Spatial Data Missing ⚠",VLOOKUP(M75,'G-7 Rivers Data'!$AA$4:$AB$7,2,FALSE)))</f>
        <v/>
      </c>
      <c r="O75" s="155"/>
      <c r="P75" s="499" t="str">
        <f>IF(O75="","",IF(VLOOKUP(O75,'G-7 Rivers Data'!$AD$4:$AE$8,2,FALSE)=0,"Spatial Data Missing ⚠",VLOOKUP(O75,'G-7 Rivers Data'!$AD$4:$AE$8,2,FALSE)))</f>
        <v/>
      </c>
      <c r="Q75" s="506" t="str">
        <f>IF(D75="","",VLOOKUP(D75,'G-7 Rivers Data'!$B$2:$G$8,6,FALSE))</f>
        <v/>
      </c>
      <c r="R75" s="513" t="str">
        <f t="shared" ref="R75:R138" si="8">IFERROR(IF(D75="","",E75*G75*I75*L75*N75*P75),"")</f>
        <v/>
      </c>
      <c r="S75" s="40"/>
      <c r="T75" s="145"/>
      <c r="U75" s="157"/>
      <c r="V75" s="511" t="str">
        <f t="shared" ref="V75:V138" si="9">IFERROR(IF(T75&gt;E75,"Check Lengths",T75*G75*I75*L75*N75*P75),"")</f>
        <v/>
      </c>
      <c r="W75" s="511" t="str">
        <f t="shared" ref="W75:W138" si="10">IFERROR(IF(D75="","",U75*G75*I75*L75*N75*P75),"")</f>
        <v/>
      </c>
      <c r="X75" s="511" t="str">
        <f t="shared" ref="X75:X138" si="11">IFERROR(IF(D75="","",IF(E75&gt;(T75+U75),E75-T75-U75,0)),"")</f>
        <v/>
      </c>
      <c r="Y75" s="515" t="str">
        <f t="shared" ref="Y75:Y138" si="12">IFERROR(IF(E75="","",IF((V75+W75)&gt;R75,0,R75-V75-W75)),"Check Data ⚠")</f>
        <v/>
      </c>
      <c r="Z75" s="151"/>
      <c r="AA75" s="152"/>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c r="AP75" s="31" t="str">
        <f>IFERROR(INDEX('G-7 Rivers Data'!$AZ$3:$AZ$7,MATCH(D75,'G-7 Rivers Data'!$AY$3:$AY$7,0)),"")</f>
        <v/>
      </c>
    </row>
    <row r="76" spans="3:42" ht="13.8" x14ac:dyDescent="0.25">
      <c r="C76" s="141">
        <v>67</v>
      </c>
      <c r="D76" s="460"/>
      <c r="E76" s="172"/>
      <c r="F76" s="498" t="str">
        <f>IF(D76="","",VLOOKUP(D76,'G-7 Rivers Data'!$B$2:$G$8,2,FALSE))</f>
        <v/>
      </c>
      <c r="G76" s="499" t="str">
        <f>IFERROR(VLOOKUP(F76,'G-7 Rivers Data'!$C$4:$D$8,2,FALSE),"")</f>
        <v/>
      </c>
      <c r="H76" s="145"/>
      <c r="I76" s="499" t="str">
        <f>IFERROR(INDEX('G-7 Rivers Data'!$H$4:$L$8,MATCH(D76,'G-7 Rivers Data'!$B$4:$B$8,0),MATCH(H76,'G-7 Rivers Data'!$H$3:$L$3,0)),"")</f>
        <v/>
      </c>
      <c r="J76" s="418"/>
      <c r="K76" s="498" t="str">
        <f>IF(J76="","",IF(VLOOKUP(J76,'G-7 Rivers Data'!$AK$4:$AM$9,2,FALSE)=0,"Spatial Data Missing ⚠",VLOOKUP(J76,'G-7 Rivers Data'!$AK$4:$AM$9,2,FALSE)))</f>
        <v/>
      </c>
      <c r="L76" s="505" t="str">
        <f>IF(J76="","",IF(VLOOKUP(J76,'G-7 Rivers Data'!$AK$4:$AM$9,3,FALSE)=0,"Spatial Data Missing ⚠",VLOOKUP(J76,'G-7 Rivers Data'!$AK$4:$AM$9,3,FALSE)))</f>
        <v/>
      </c>
      <c r="M76" s="71"/>
      <c r="N76" s="499" t="str">
        <f>IF(M76="","",IF(VLOOKUP(M76,'G-7 Rivers Data'!$AA$4:$AB$7,2,FALSE)=0,"Spatial Data Missing ⚠",VLOOKUP(M76,'G-7 Rivers Data'!$AA$4:$AB$7,2,FALSE)))</f>
        <v/>
      </c>
      <c r="O76" s="155"/>
      <c r="P76" s="499" t="str">
        <f>IF(O76="","",IF(VLOOKUP(O76,'G-7 Rivers Data'!$AD$4:$AE$8,2,FALSE)=0,"Spatial Data Missing ⚠",VLOOKUP(O76,'G-7 Rivers Data'!$AD$4:$AE$8,2,FALSE)))</f>
        <v/>
      </c>
      <c r="Q76" s="506" t="str">
        <f>IF(D76="","",VLOOKUP(D76,'G-7 Rivers Data'!$B$2:$G$8,6,FALSE))</f>
        <v/>
      </c>
      <c r="R76" s="513" t="str">
        <f t="shared" si="8"/>
        <v/>
      </c>
      <c r="S76" s="40"/>
      <c r="T76" s="145"/>
      <c r="U76" s="157"/>
      <c r="V76" s="511" t="str">
        <f t="shared" si="9"/>
        <v/>
      </c>
      <c r="W76" s="511" t="str">
        <f t="shared" si="10"/>
        <v/>
      </c>
      <c r="X76" s="511" t="str">
        <f t="shared" si="11"/>
        <v/>
      </c>
      <c r="Y76" s="515" t="str">
        <f t="shared" si="12"/>
        <v/>
      </c>
      <c r="Z76" s="151"/>
      <c r="AA76" s="152"/>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c r="AP76" s="31" t="str">
        <f>IFERROR(INDEX('G-7 Rivers Data'!$AZ$3:$AZ$7,MATCH(D76,'G-7 Rivers Data'!$AY$3:$AY$7,0)),"")</f>
        <v/>
      </c>
    </row>
    <row r="77" spans="3:42" ht="13.8" x14ac:dyDescent="0.25">
      <c r="C77" s="141">
        <v>68</v>
      </c>
      <c r="D77" s="460"/>
      <c r="E77" s="172"/>
      <c r="F77" s="498" t="str">
        <f>IF(D77="","",VLOOKUP(D77,'G-7 Rivers Data'!$B$2:$G$8,2,FALSE))</f>
        <v/>
      </c>
      <c r="G77" s="499" t="str">
        <f>IFERROR(VLOOKUP(F77,'G-7 Rivers Data'!$C$4:$D$8,2,FALSE),"")</f>
        <v/>
      </c>
      <c r="H77" s="145"/>
      <c r="I77" s="499" t="str">
        <f>IFERROR(INDEX('G-7 Rivers Data'!$H$4:$L$8,MATCH(D77,'G-7 Rivers Data'!$B$4:$B$8,0),MATCH(H77,'G-7 Rivers Data'!$H$3:$L$3,0)),"")</f>
        <v/>
      </c>
      <c r="J77" s="418"/>
      <c r="K77" s="498" t="str">
        <f>IF(J77="","",IF(VLOOKUP(J77,'G-7 Rivers Data'!$AK$4:$AM$9,2,FALSE)=0,"Spatial Data Missing ⚠",VLOOKUP(J77,'G-7 Rivers Data'!$AK$4:$AM$9,2,FALSE)))</f>
        <v/>
      </c>
      <c r="L77" s="505" t="str">
        <f>IF(J77="","",IF(VLOOKUP(J77,'G-7 Rivers Data'!$AK$4:$AM$9,3,FALSE)=0,"Spatial Data Missing ⚠",VLOOKUP(J77,'G-7 Rivers Data'!$AK$4:$AM$9,3,FALSE)))</f>
        <v/>
      </c>
      <c r="M77" s="71"/>
      <c r="N77" s="499" t="str">
        <f>IF(M77="","",IF(VLOOKUP(M77,'G-7 Rivers Data'!$AA$4:$AB$7,2,FALSE)=0,"Spatial Data Missing ⚠",VLOOKUP(M77,'G-7 Rivers Data'!$AA$4:$AB$7,2,FALSE)))</f>
        <v/>
      </c>
      <c r="O77" s="155"/>
      <c r="P77" s="499" t="str">
        <f>IF(O77="","",IF(VLOOKUP(O77,'G-7 Rivers Data'!$AD$4:$AE$8,2,FALSE)=0,"Spatial Data Missing ⚠",VLOOKUP(O77,'G-7 Rivers Data'!$AD$4:$AE$8,2,FALSE)))</f>
        <v/>
      </c>
      <c r="Q77" s="506" t="str">
        <f>IF(D77="","",VLOOKUP(D77,'G-7 Rivers Data'!$B$2:$G$8,6,FALSE))</f>
        <v/>
      </c>
      <c r="R77" s="513" t="str">
        <f t="shared" si="8"/>
        <v/>
      </c>
      <c r="S77" s="40"/>
      <c r="T77" s="145"/>
      <c r="U77" s="157"/>
      <c r="V77" s="511" t="str">
        <f t="shared" si="9"/>
        <v/>
      </c>
      <c r="W77" s="511" t="str">
        <f t="shared" si="10"/>
        <v/>
      </c>
      <c r="X77" s="511" t="str">
        <f t="shared" si="11"/>
        <v/>
      </c>
      <c r="Y77" s="515" t="str">
        <f t="shared" si="12"/>
        <v/>
      </c>
      <c r="Z77" s="151"/>
      <c r="AA77" s="152"/>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c r="AP77" s="31" t="str">
        <f>IFERROR(INDEX('G-7 Rivers Data'!$AZ$3:$AZ$7,MATCH(D77,'G-7 Rivers Data'!$AY$3:$AY$7,0)),"")</f>
        <v/>
      </c>
    </row>
    <row r="78" spans="3:42" ht="13.8" x14ac:dyDescent="0.25">
      <c r="C78" s="141">
        <v>69</v>
      </c>
      <c r="D78" s="460"/>
      <c r="E78" s="172"/>
      <c r="F78" s="498" t="str">
        <f>IF(D78="","",VLOOKUP(D78,'G-7 Rivers Data'!$B$2:$G$8,2,FALSE))</f>
        <v/>
      </c>
      <c r="G78" s="499" t="str">
        <f>IFERROR(VLOOKUP(F78,'G-7 Rivers Data'!$C$4:$D$8,2,FALSE),"")</f>
        <v/>
      </c>
      <c r="H78" s="145"/>
      <c r="I78" s="499" t="str">
        <f>IFERROR(INDEX('G-7 Rivers Data'!$H$4:$L$8,MATCH(D78,'G-7 Rivers Data'!$B$4:$B$8,0),MATCH(H78,'G-7 Rivers Data'!$H$3:$L$3,0)),"")</f>
        <v/>
      </c>
      <c r="J78" s="418"/>
      <c r="K78" s="498" t="str">
        <f>IF(J78="","",IF(VLOOKUP(J78,'G-7 Rivers Data'!$AK$4:$AM$9,2,FALSE)=0,"Spatial Data Missing ⚠",VLOOKUP(J78,'G-7 Rivers Data'!$AK$4:$AM$9,2,FALSE)))</f>
        <v/>
      </c>
      <c r="L78" s="505" t="str">
        <f>IF(J78="","",IF(VLOOKUP(J78,'G-7 Rivers Data'!$AK$4:$AM$9,3,FALSE)=0,"Spatial Data Missing ⚠",VLOOKUP(J78,'G-7 Rivers Data'!$AK$4:$AM$9,3,FALSE)))</f>
        <v/>
      </c>
      <c r="M78" s="71"/>
      <c r="N78" s="499" t="str">
        <f>IF(M78="","",IF(VLOOKUP(M78,'G-7 Rivers Data'!$AA$4:$AB$7,2,FALSE)=0,"Spatial Data Missing ⚠",VLOOKUP(M78,'G-7 Rivers Data'!$AA$4:$AB$7,2,FALSE)))</f>
        <v/>
      </c>
      <c r="O78" s="155"/>
      <c r="P78" s="499" t="str">
        <f>IF(O78="","",IF(VLOOKUP(O78,'G-7 Rivers Data'!$AD$4:$AE$8,2,FALSE)=0,"Spatial Data Missing ⚠",VLOOKUP(O78,'G-7 Rivers Data'!$AD$4:$AE$8,2,FALSE)))</f>
        <v/>
      </c>
      <c r="Q78" s="506" t="str">
        <f>IF(D78="","",VLOOKUP(D78,'G-7 Rivers Data'!$B$2:$G$8,6,FALSE))</f>
        <v/>
      </c>
      <c r="R78" s="513" t="str">
        <f t="shared" si="8"/>
        <v/>
      </c>
      <c r="S78" s="40"/>
      <c r="T78" s="145"/>
      <c r="U78" s="157"/>
      <c r="V78" s="511" t="str">
        <f t="shared" si="9"/>
        <v/>
      </c>
      <c r="W78" s="511" t="str">
        <f t="shared" si="10"/>
        <v/>
      </c>
      <c r="X78" s="511" t="str">
        <f t="shared" si="11"/>
        <v/>
      </c>
      <c r="Y78" s="515" t="str">
        <f t="shared" si="12"/>
        <v/>
      </c>
      <c r="Z78" s="151"/>
      <c r="AA78" s="152"/>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c r="AP78" s="31" t="str">
        <f>IFERROR(INDEX('G-7 Rivers Data'!$AZ$3:$AZ$7,MATCH(D78,'G-7 Rivers Data'!$AY$3:$AY$7,0)),"")</f>
        <v/>
      </c>
    </row>
    <row r="79" spans="3:42" ht="13.8" x14ac:dyDescent="0.25">
      <c r="C79" s="141">
        <v>70</v>
      </c>
      <c r="D79" s="460"/>
      <c r="E79" s="172"/>
      <c r="F79" s="498" t="str">
        <f>IF(D79="","",VLOOKUP(D79,'G-7 Rivers Data'!$B$2:$G$8,2,FALSE))</f>
        <v/>
      </c>
      <c r="G79" s="499" t="str">
        <f>IFERROR(VLOOKUP(F79,'G-7 Rivers Data'!$C$4:$D$8,2,FALSE),"")</f>
        <v/>
      </c>
      <c r="H79" s="145"/>
      <c r="I79" s="499" t="str">
        <f>IFERROR(INDEX('G-7 Rivers Data'!$H$4:$L$8,MATCH(D79,'G-7 Rivers Data'!$B$4:$B$8,0),MATCH(H79,'G-7 Rivers Data'!$H$3:$L$3,0)),"")</f>
        <v/>
      </c>
      <c r="J79" s="418"/>
      <c r="K79" s="498" t="str">
        <f>IF(J79="","",IF(VLOOKUP(J79,'G-7 Rivers Data'!$AK$4:$AM$9,2,FALSE)=0,"Spatial Data Missing ⚠",VLOOKUP(J79,'G-7 Rivers Data'!$AK$4:$AM$9,2,FALSE)))</f>
        <v/>
      </c>
      <c r="L79" s="505" t="str">
        <f>IF(J79="","",IF(VLOOKUP(J79,'G-7 Rivers Data'!$AK$4:$AM$9,3,FALSE)=0,"Spatial Data Missing ⚠",VLOOKUP(J79,'G-7 Rivers Data'!$AK$4:$AM$9,3,FALSE)))</f>
        <v/>
      </c>
      <c r="M79" s="71"/>
      <c r="N79" s="499" t="str">
        <f>IF(M79="","",IF(VLOOKUP(M79,'G-7 Rivers Data'!$AA$4:$AB$7,2,FALSE)=0,"Spatial Data Missing ⚠",VLOOKUP(M79,'G-7 Rivers Data'!$AA$4:$AB$7,2,FALSE)))</f>
        <v/>
      </c>
      <c r="O79" s="155"/>
      <c r="P79" s="499" t="str">
        <f>IF(O79="","",IF(VLOOKUP(O79,'G-7 Rivers Data'!$AD$4:$AE$8,2,FALSE)=0,"Spatial Data Missing ⚠",VLOOKUP(O79,'G-7 Rivers Data'!$AD$4:$AE$8,2,FALSE)))</f>
        <v/>
      </c>
      <c r="Q79" s="506" t="str">
        <f>IF(D79="","",VLOOKUP(D79,'G-7 Rivers Data'!$B$2:$G$8,6,FALSE))</f>
        <v/>
      </c>
      <c r="R79" s="513" t="str">
        <f t="shared" si="8"/>
        <v/>
      </c>
      <c r="S79" s="40"/>
      <c r="T79" s="145"/>
      <c r="U79" s="157"/>
      <c r="V79" s="511" t="str">
        <f t="shared" si="9"/>
        <v/>
      </c>
      <c r="W79" s="511" t="str">
        <f t="shared" si="10"/>
        <v/>
      </c>
      <c r="X79" s="511" t="str">
        <f t="shared" si="11"/>
        <v/>
      </c>
      <c r="Y79" s="515" t="str">
        <f t="shared" si="12"/>
        <v/>
      </c>
      <c r="Z79" s="151"/>
      <c r="AA79" s="152"/>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c r="AP79" s="31" t="str">
        <f>IFERROR(INDEX('G-7 Rivers Data'!$AZ$3:$AZ$7,MATCH(D79,'G-7 Rivers Data'!$AY$3:$AY$7,0)),"")</f>
        <v/>
      </c>
    </row>
    <row r="80" spans="3:42" ht="13.8" x14ac:dyDescent="0.25">
      <c r="C80" s="141">
        <v>71</v>
      </c>
      <c r="D80" s="460"/>
      <c r="E80" s="172"/>
      <c r="F80" s="498" t="str">
        <f>IF(D80="","",VLOOKUP(D80,'G-7 Rivers Data'!$B$2:$G$8,2,FALSE))</f>
        <v/>
      </c>
      <c r="G80" s="499" t="str">
        <f>IFERROR(VLOOKUP(F80,'G-7 Rivers Data'!$C$4:$D$8,2,FALSE),"")</f>
        <v/>
      </c>
      <c r="H80" s="145"/>
      <c r="I80" s="499" t="str">
        <f>IFERROR(INDEX('G-7 Rivers Data'!$H$4:$L$8,MATCH(D80,'G-7 Rivers Data'!$B$4:$B$8,0),MATCH(H80,'G-7 Rivers Data'!$H$3:$L$3,0)),"")</f>
        <v/>
      </c>
      <c r="J80" s="418"/>
      <c r="K80" s="498" t="str">
        <f>IF(J80="","",IF(VLOOKUP(J80,'G-7 Rivers Data'!$AK$4:$AM$9,2,FALSE)=0,"Spatial Data Missing ⚠",VLOOKUP(J80,'G-7 Rivers Data'!$AK$4:$AM$9,2,FALSE)))</f>
        <v/>
      </c>
      <c r="L80" s="505" t="str">
        <f>IF(J80="","",IF(VLOOKUP(J80,'G-7 Rivers Data'!$AK$4:$AM$9,3,FALSE)=0,"Spatial Data Missing ⚠",VLOOKUP(J80,'G-7 Rivers Data'!$AK$4:$AM$9,3,FALSE)))</f>
        <v/>
      </c>
      <c r="M80" s="71"/>
      <c r="N80" s="499" t="str">
        <f>IF(M80="","",IF(VLOOKUP(M80,'G-7 Rivers Data'!$AA$4:$AB$7,2,FALSE)=0,"Spatial Data Missing ⚠",VLOOKUP(M80,'G-7 Rivers Data'!$AA$4:$AB$7,2,FALSE)))</f>
        <v/>
      </c>
      <c r="O80" s="155"/>
      <c r="P80" s="499" t="str">
        <f>IF(O80="","",IF(VLOOKUP(O80,'G-7 Rivers Data'!$AD$4:$AE$8,2,FALSE)=0,"Spatial Data Missing ⚠",VLOOKUP(O80,'G-7 Rivers Data'!$AD$4:$AE$8,2,FALSE)))</f>
        <v/>
      </c>
      <c r="Q80" s="506" t="str">
        <f>IF(D80="","",VLOOKUP(D80,'G-7 Rivers Data'!$B$2:$G$8,6,FALSE))</f>
        <v/>
      </c>
      <c r="R80" s="513" t="str">
        <f t="shared" si="8"/>
        <v/>
      </c>
      <c r="S80" s="40"/>
      <c r="T80" s="145"/>
      <c r="U80" s="157"/>
      <c r="V80" s="511" t="str">
        <f t="shared" si="9"/>
        <v/>
      </c>
      <c r="W80" s="511" t="str">
        <f t="shared" si="10"/>
        <v/>
      </c>
      <c r="X80" s="511" t="str">
        <f t="shared" si="11"/>
        <v/>
      </c>
      <c r="Y80" s="515" t="str">
        <f t="shared" si="12"/>
        <v/>
      </c>
      <c r="Z80" s="151"/>
      <c r="AA80" s="152"/>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c r="AP80" s="31" t="str">
        <f>IFERROR(INDEX('G-7 Rivers Data'!$AZ$3:$AZ$7,MATCH(D80,'G-7 Rivers Data'!$AY$3:$AY$7,0)),"")</f>
        <v/>
      </c>
    </row>
    <row r="81" spans="3:42" ht="13.8" x14ac:dyDescent="0.25">
      <c r="C81" s="141">
        <v>72</v>
      </c>
      <c r="D81" s="460"/>
      <c r="E81" s="172"/>
      <c r="F81" s="498" t="str">
        <f>IF(D81="","",VLOOKUP(D81,'G-7 Rivers Data'!$B$2:$G$8,2,FALSE))</f>
        <v/>
      </c>
      <c r="G81" s="499" t="str">
        <f>IFERROR(VLOOKUP(F81,'G-7 Rivers Data'!$C$4:$D$8,2,FALSE),"")</f>
        <v/>
      </c>
      <c r="H81" s="145"/>
      <c r="I81" s="499" t="str">
        <f>IFERROR(INDEX('G-7 Rivers Data'!$H$4:$L$8,MATCH(D81,'G-7 Rivers Data'!$B$4:$B$8,0),MATCH(H81,'G-7 Rivers Data'!$H$3:$L$3,0)),"")</f>
        <v/>
      </c>
      <c r="J81" s="418"/>
      <c r="K81" s="498" t="str">
        <f>IF(J81="","",IF(VLOOKUP(J81,'G-7 Rivers Data'!$AK$4:$AM$9,2,FALSE)=0,"Spatial Data Missing ⚠",VLOOKUP(J81,'G-7 Rivers Data'!$AK$4:$AM$9,2,FALSE)))</f>
        <v/>
      </c>
      <c r="L81" s="505" t="str">
        <f>IF(J81="","",IF(VLOOKUP(J81,'G-7 Rivers Data'!$AK$4:$AM$9,3,FALSE)=0,"Spatial Data Missing ⚠",VLOOKUP(J81,'G-7 Rivers Data'!$AK$4:$AM$9,3,FALSE)))</f>
        <v/>
      </c>
      <c r="M81" s="71"/>
      <c r="N81" s="499" t="str">
        <f>IF(M81="","",IF(VLOOKUP(M81,'G-7 Rivers Data'!$AA$4:$AB$7,2,FALSE)=0,"Spatial Data Missing ⚠",VLOOKUP(M81,'G-7 Rivers Data'!$AA$4:$AB$7,2,FALSE)))</f>
        <v/>
      </c>
      <c r="O81" s="155"/>
      <c r="P81" s="499" t="str">
        <f>IF(O81="","",IF(VLOOKUP(O81,'G-7 Rivers Data'!$AD$4:$AE$8,2,FALSE)=0,"Spatial Data Missing ⚠",VLOOKUP(O81,'G-7 Rivers Data'!$AD$4:$AE$8,2,FALSE)))</f>
        <v/>
      </c>
      <c r="Q81" s="506" t="str">
        <f>IF(D81="","",VLOOKUP(D81,'G-7 Rivers Data'!$B$2:$G$8,6,FALSE))</f>
        <v/>
      </c>
      <c r="R81" s="513" t="str">
        <f t="shared" si="8"/>
        <v/>
      </c>
      <c r="S81" s="40"/>
      <c r="T81" s="145"/>
      <c r="U81" s="157"/>
      <c r="V81" s="511" t="str">
        <f t="shared" si="9"/>
        <v/>
      </c>
      <c r="W81" s="511" t="str">
        <f t="shared" si="10"/>
        <v/>
      </c>
      <c r="X81" s="511" t="str">
        <f t="shared" si="11"/>
        <v/>
      </c>
      <c r="Y81" s="515" t="str">
        <f t="shared" si="12"/>
        <v/>
      </c>
      <c r="Z81" s="151"/>
      <c r="AA81" s="152"/>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c r="AP81" s="31" t="str">
        <f>IFERROR(INDEX('G-7 Rivers Data'!$AZ$3:$AZ$7,MATCH(D81,'G-7 Rivers Data'!$AY$3:$AY$7,0)),"")</f>
        <v/>
      </c>
    </row>
    <row r="82" spans="3:42" ht="13.8" x14ac:dyDescent="0.25">
      <c r="C82" s="141">
        <v>73</v>
      </c>
      <c r="D82" s="460"/>
      <c r="E82" s="172"/>
      <c r="F82" s="498" t="str">
        <f>IF(D82="","",VLOOKUP(D82,'G-7 Rivers Data'!$B$2:$G$8,2,FALSE))</f>
        <v/>
      </c>
      <c r="G82" s="499" t="str">
        <f>IFERROR(VLOOKUP(F82,'G-7 Rivers Data'!$C$4:$D$8,2,FALSE),"")</f>
        <v/>
      </c>
      <c r="H82" s="145"/>
      <c r="I82" s="499" t="str">
        <f>IFERROR(INDEX('G-7 Rivers Data'!$H$4:$L$8,MATCH(D82,'G-7 Rivers Data'!$B$4:$B$8,0),MATCH(H82,'G-7 Rivers Data'!$H$3:$L$3,0)),"")</f>
        <v/>
      </c>
      <c r="J82" s="418"/>
      <c r="K82" s="498" t="str">
        <f>IF(J82="","",IF(VLOOKUP(J82,'G-7 Rivers Data'!$AK$4:$AM$9,2,FALSE)=0,"Spatial Data Missing ⚠",VLOOKUP(J82,'G-7 Rivers Data'!$AK$4:$AM$9,2,FALSE)))</f>
        <v/>
      </c>
      <c r="L82" s="505" t="str">
        <f>IF(J82="","",IF(VLOOKUP(J82,'G-7 Rivers Data'!$AK$4:$AM$9,3,FALSE)=0,"Spatial Data Missing ⚠",VLOOKUP(J82,'G-7 Rivers Data'!$AK$4:$AM$9,3,FALSE)))</f>
        <v/>
      </c>
      <c r="M82" s="71"/>
      <c r="N82" s="499" t="str">
        <f>IF(M82="","",IF(VLOOKUP(M82,'G-7 Rivers Data'!$AA$4:$AB$7,2,FALSE)=0,"Spatial Data Missing ⚠",VLOOKUP(M82,'G-7 Rivers Data'!$AA$4:$AB$7,2,FALSE)))</f>
        <v/>
      </c>
      <c r="O82" s="155"/>
      <c r="P82" s="499" t="str">
        <f>IF(O82="","",IF(VLOOKUP(O82,'G-7 Rivers Data'!$AD$4:$AE$8,2,FALSE)=0,"Spatial Data Missing ⚠",VLOOKUP(O82,'G-7 Rivers Data'!$AD$4:$AE$8,2,FALSE)))</f>
        <v/>
      </c>
      <c r="Q82" s="506" t="str">
        <f>IF(D82="","",VLOOKUP(D82,'G-7 Rivers Data'!$B$2:$G$8,6,FALSE))</f>
        <v/>
      </c>
      <c r="R82" s="513" t="str">
        <f t="shared" si="8"/>
        <v/>
      </c>
      <c r="S82" s="40"/>
      <c r="T82" s="145"/>
      <c r="U82" s="157"/>
      <c r="V82" s="511" t="str">
        <f t="shared" si="9"/>
        <v/>
      </c>
      <c r="W82" s="511" t="str">
        <f t="shared" si="10"/>
        <v/>
      </c>
      <c r="X82" s="511" t="str">
        <f t="shared" si="11"/>
        <v/>
      </c>
      <c r="Y82" s="515" t="str">
        <f t="shared" si="12"/>
        <v/>
      </c>
      <c r="Z82" s="151"/>
      <c r="AA82" s="152"/>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c r="AP82" s="31" t="str">
        <f>IFERROR(INDEX('G-7 Rivers Data'!$AZ$3:$AZ$7,MATCH(D82,'G-7 Rivers Data'!$AY$3:$AY$7,0)),"")</f>
        <v/>
      </c>
    </row>
    <row r="83" spans="3:42" ht="13.8" x14ac:dyDescent="0.25">
      <c r="C83" s="141">
        <v>74</v>
      </c>
      <c r="D83" s="460"/>
      <c r="E83" s="172"/>
      <c r="F83" s="498" t="str">
        <f>IF(D83="","",VLOOKUP(D83,'G-7 Rivers Data'!$B$2:$G$8,2,FALSE))</f>
        <v/>
      </c>
      <c r="G83" s="499" t="str">
        <f>IFERROR(VLOOKUP(F83,'G-7 Rivers Data'!$C$4:$D$8,2,FALSE),"")</f>
        <v/>
      </c>
      <c r="H83" s="145"/>
      <c r="I83" s="499" t="str">
        <f>IFERROR(INDEX('G-7 Rivers Data'!$H$4:$L$8,MATCH(D83,'G-7 Rivers Data'!$B$4:$B$8,0),MATCH(H83,'G-7 Rivers Data'!$H$3:$L$3,0)),"")</f>
        <v/>
      </c>
      <c r="J83" s="418"/>
      <c r="K83" s="498" t="str">
        <f>IF(J83="","",IF(VLOOKUP(J83,'G-7 Rivers Data'!$AK$4:$AM$9,2,FALSE)=0,"Spatial Data Missing ⚠",VLOOKUP(J83,'G-7 Rivers Data'!$AK$4:$AM$9,2,FALSE)))</f>
        <v/>
      </c>
      <c r="L83" s="505" t="str">
        <f>IF(J83="","",IF(VLOOKUP(J83,'G-7 Rivers Data'!$AK$4:$AM$9,3,FALSE)=0,"Spatial Data Missing ⚠",VLOOKUP(J83,'G-7 Rivers Data'!$AK$4:$AM$9,3,FALSE)))</f>
        <v/>
      </c>
      <c r="M83" s="71"/>
      <c r="N83" s="499" t="str">
        <f>IF(M83="","",IF(VLOOKUP(M83,'G-7 Rivers Data'!$AA$4:$AB$7,2,FALSE)=0,"Spatial Data Missing ⚠",VLOOKUP(M83,'G-7 Rivers Data'!$AA$4:$AB$7,2,FALSE)))</f>
        <v/>
      </c>
      <c r="O83" s="155"/>
      <c r="P83" s="499" t="str">
        <f>IF(O83="","",IF(VLOOKUP(O83,'G-7 Rivers Data'!$AD$4:$AE$8,2,FALSE)=0,"Spatial Data Missing ⚠",VLOOKUP(O83,'G-7 Rivers Data'!$AD$4:$AE$8,2,FALSE)))</f>
        <v/>
      </c>
      <c r="Q83" s="506" t="str">
        <f>IF(D83="","",VLOOKUP(D83,'G-7 Rivers Data'!$B$2:$G$8,6,FALSE))</f>
        <v/>
      </c>
      <c r="R83" s="513" t="str">
        <f t="shared" si="8"/>
        <v/>
      </c>
      <c r="S83" s="40"/>
      <c r="T83" s="145"/>
      <c r="U83" s="157"/>
      <c r="V83" s="511" t="str">
        <f t="shared" si="9"/>
        <v/>
      </c>
      <c r="W83" s="511" t="str">
        <f t="shared" si="10"/>
        <v/>
      </c>
      <c r="X83" s="511" t="str">
        <f t="shared" si="11"/>
        <v/>
      </c>
      <c r="Y83" s="515" t="str">
        <f t="shared" si="12"/>
        <v/>
      </c>
      <c r="Z83" s="151"/>
      <c r="AA83" s="152"/>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c r="AP83" s="31" t="str">
        <f>IFERROR(INDEX('G-7 Rivers Data'!$AZ$3:$AZ$7,MATCH(D83,'G-7 Rivers Data'!$AY$3:$AY$7,0)),"")</f>
        <v/>
      </c>
    </row>
    <row r="84" spans="3:42" ht="13.8" x14ac:dyDescent="0.25">
      <c r="C84" s="141">
        <v>75</v>
      </c>
      <c r="D84" s="460"/>
      <c r="E84" s="172"/>
      <c r="F84" s="498" t="str">
        <f>IF(D84="","",VLOOKUP(D84,'G-7 Rivers Data'!$B$2:$G$8,2,FALSE))</f>
        <v/>
      </c>
      <c r="G84" s="499" t="str">
        <f>IFERROR(VLOOKUP(F84,'G-7 Rivers Data'!$C$4:$D$8,2,FALSE),"")</f>
        <v/>
      </c>
      <c r="H84" s="145"/>
      <c r="I84" s="499" t="str">
        <f>IFERROR(INDEX('G-7 Rivers Data'!$H$4:$L$8,MATCH(D84,'G-7 Rivers Data'!$B$4:$B$8,0),MATCH(H84,'G-7 Rivers Data'!$H$3:$L$3,0)),"")</f>
        <v/>
      </c>
      <c r="J84" s="418"/>
      <c r="K84" s="498" t="str">
        <f>IF(J84="","",IF(VLOOKUP(J84,'G-7 Rivers Data'!$AK$4:$AM$9,2,FALSE)=0,"Spatial Data Missing ⚠",VLOOKUP(J84,'G-7 Rivers Data'!$AK$4:$AM$9,2,FALSE)))</f>
        <v/>
      </c>
      <c r="L84" s="505" t="str">
        <f>IF(J84="","",IF(VLOOKUP(J84,'G-7 Rivers Data'!$AK$4:$AM$9,3,FALSE)=0,"Spatial Data Missing ⚠",VLOOKUP(J84,'G-7 Rivers Data'!$AK$4:$AM$9,3,FALSE)))</f>
        <v/>
      </c>
      <c r="M84" s="71"/>
      <c r="N84" s="499" t="str">
        <f>IF(M84="","",IF(VLOOKUP(M84,'G-7 Rivers Data'!$AA$4:$AB$7,2,FALSE)=0,"Spatial Data Missing ⚠",VLOOKUP(M84,'G-7 Rivers Data'!$AA$4:$AB$7,2,FALSE)))</f>
        <v/>
      </c>
      <c r="O84" s="155"/>
      <c r="P84" s="499" t="str">
        <f>IF(O84="","",IF(VLOOKUP(O84,'G-7 Rivers Data'!$AD$4:$AE$8,2,FALSE)=0,"Spatial Data Missing ⚠",VLOOKUP(O84,'G-7 Rivers Data'!$AD$4:$AE$8,2,FALSE)))</f>
        <v/>
      </c>
      <c r="Q84" s="506" t="str">
        <f>IF(D84="","",VLOOKUP(D84,'G-7 Rivers Data'!$B$2:$G$8,6,FALSE))</f>
        <v/>
      </c>
      <c r="R84" s="513" t="str">
        <f t="shared" si="8"/>
        <v/>
      </c>
      <c r="S84" s="40"/>
      <c r="T84" s="145"/>
      <c r="U84" s="157"/>
      <c r="V84" s="511" t="str">
        <f t="shared" si="9"/>
        <v/>
      </c>
      <c r="W84" s="511" t="str">
        <f t="shared" si="10"/>
        <v/>
      </c>
      <c r="X84" s="511" t="str">
        <f t="shared" si="11"/>
        <v/>
      </c>
      <c r="Y84" s="515" t="str">
        <f t="shared" si="12"/>
        <v/>
      </c>
      <c r="Z84" s="151"/>
      <c r="AA84" s="152"/>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c r="AP84" s="31" t="str">
        <f>IFERROR(INDEX('G-7 Rivers Data'!$AZ$3:$AZ$7,MATCH(D84,'G-7 Rivers Data'!$AY$3:$AY$7,0)),"")</f>
        <v/>
      </c>
    </row>
    <row r="85" spans="3:42" ht="13.8" x14ac:dyDescent="0.25">
      <c r="C85" s="141">
        <v>76</v>
      </c>
      <c r="D85" s="460"/>
      <c r="E85" s="172"/>
      <c r="F85" s="498" t="str">
        <f>IF(D85="","",VLOOKUP(D85,'G-7 Rivers Data'!$B$2:$G$8,2,FALSE))</f>
        <v/>
      </c>
      <c r="G85" s="499" t="str">
        <f>IFERROR(VLOOKUP(F85,'G-7 Rivers Data'!$C$4:$D$8,2,FALSE),"")</f>
        <v/>
      </c>
      <c r="H85" s="145"/>
      <c r="I85" s="499" t="str">
        <f>IFERROR(INDEX('G-7 Rivers Data'!$H$4:$L$8,MATCH(D85,'G-7 Rivers Data'!$B$4:$B$8,0),MATCH(H85,'G-7 Rivers Data'!$H$3:$L$3,0)),"")</f>
        <v/>
      </c>
      <c r="J85" s="418"/>
      <c r="K85" s="498" t="str">
        <f>IF(J85="","",IF(VLOOKUP(J85,'G-7 Rivers Data'!$AK$4:$AM$9,2,FALSE)=0,"Spatial Data Missing ⚠",VLOOKUP(J85,'G-7 Rivers Data'!$AK$4:$AM$9,2,FALSE)))</f>
        <v/>
      </c>
      <c r="L85" s="505" t="str">
        <f>IF(J85="","",IF(VLOOKUP(J85,'G-7 Rivers Data'!$AK$4:$AM$9,3,FALSE)=0,"Spatial Data Missing ⚠",VLOOKUP(J85,'G-7 Rivers Data'!$AK$4:$AM$9,3,FALSE)))</f>
        <v/>
      </c>
      <c r="M85" s="71"/>
      <c r="N85" s="499" t="str">
        <f>IF(M85="","",IF(VLOOKUP(M85,'G-7 Rivers Data'!$AA$4:$AB$7,2,FALSE)=0,"Spatial Data Missing ⚠",VLOOKUP(M85,'G-7 Rivers Data'!$AA$4:$AB$7,2,FALSE)))</f>
        <v/>
      </c>
      <c r="O85" s="155"/>
      <c r="P85" s="499" t="str">
        <f>IF(O85="","",IF(VLOOKUP(O85,'G-7 Rivers Data'!$AD$4:$AE$8,2,FALSE)=0,"Spatial Data Missing ⚠",VLOOKUP(O85,'G-7 Rivers Data'!$AD$4:$AE$8,2,FALSE)))</f>
        <v/>
      </c>
      <c r="Q85" s="506" t="str">
        <f>IF(D85="","",VLOOKUP(D85,'G-7 Rivers Data'!$B$2:$G$8,6,FALSE))</f>
        <v/>
      </c>
      <c r="R85" s="513" t="str">
        <f t="shared" si="8"/>
        <v/>
      </c>
      <c r="S85" s="40"/>
      <c r="T85" s="145"/>
      <c r="U85" s="157"/>
      <c r="V85" s="511" t="str">
        <f t="shared" si="9"/>
        <v/>
      </c>
      <c r="W85" s="511" t="str">
        <f t="shared" si="10"/>
        <v/>
      </c>
      <c r="X85" s="511" t="str">
        <f t="shared" si="11"/>
        <v/>
      </c>
      <c r="Y85" s="515" t="str">
        <f t="shared" si="12"/>
        <v/>
      </c>
      <c r="Z85" s="151"/>
      <c r="AA85" s="152"/>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c r="AP85" s="31" t="str">
        <f>IFERROR(INDEX('G-7 Rivers Data'!$AZ$3:$AZ$7,MATCH(D85,'G-7 Rivers Data'!$AY$3:$AY$7,0)),"")</f>
        <v/>
      </c>
    </row>
    <row r="86" spans="3:42" ht="13.8" x14ac:dyDescent="0.25">
      <c r="C86" s="141">
        <v>77</v>
      </c>
      <c r="D86" s="460"/>
      <c r="E86" s="172"/>
      <c r="F86" s="498" t="str">
        <f>IF(D86="","",VLOOKUP(D86,'G-7 Rivers Data'!$B$2:$G$8,2,FALSE))</f>
        <v/>
      </c>
      <c r="G86" s="499" t="str">
        <f>IFERROR(VLOOKUP(F86,'G-7 Rivers Data'!$C$4:$D$8,2,FALSE),"")</f>
        <v/>
      </c>
      <c r="H86" s="145"/>
      <c r="I86" s="499" t="str">
        <f>IFERROR(INDEX('G-7 Rivers Data'!$H$4:$L$8,MATCH(D86,'G-7 Rivers Data'!$B$4:$B$8,0),MATCH(H86,'G-7 Rivers Data'!$H$3:$L$3,0)),"")</f>
        <v/>
      </c>
      <c r="J86" s="418"/>
      <c r="K86" s="498" t="str">
        <f>IF(J86="","",IF(VLOOKUP(J86,'G-7 Rivers Data'!$AK$4:$AM$9,2,FALSE)=0,"Spatial Data Missing ⚠",VLOOKUP(J86,'G-7 Rivers Data'!$AK$4:$AM$9,2,FALSE)))</f>
        <v/>
      </c>
      <c r="L86" s="505" t="str">
        <f>IF(J86="","",IF(VLOOKUP(J86,'G-7 Rivers Data'!$AK$4:$AM$9,3,FALSE)=0,"Spatial Data Missing ⚠",VLOOKUP(J86,'G-7 Rivers Data'!$AK$4:$AM$9,3,FALSE)))</f>
        <v/>
      </c>
      <c r="M86" s="71"/>
      <c r="N86" s="499" t="str">
        <f>IF(M86="","",IF(VLOOKUP(M86,'G-7 Rivers Data'!$AA$4:$AB$7,2,FALSE)=0,"Spatial Data Missing ⚠",VLOOKUP(M86,'G-7 Rivers Data'!$AA$4:$AB$7,2,FALSE)))</f>
        <v/>
      </c>
      <c r="O86" s="155"/>
      <c r="P86" s="499" t="str">
        <f>IF(O86="","",IF(VLOOKUP(O86,'G-7 Rivers Data'!$AD$4:$AE$8,2,FALSE)=0,"Spatial Data Missing ⚠",VLOOKUP(O86,'G-7 Rivers Data'!$AD$4:$AE$8,2,FALSE)))</f>
        <v/>
      </c>
      <c r="Q86" s="506" t="str">
        <f>IF(D86="","",VLOOKUP(D86,'G-7 Rivers Data'!$B$2:$G$8,6,FALSE))</f>
        <v/>
      </c>
      <c r="R86" s="513" t="str">
        <f t="shared" si="8"/>
        <v/>
      </c>
      <c r="S86" s="40"/>
      <c r="T86" s="145"/>
      <c r="U86" s="157"/>
      <c r="V86" s="511" t="str">
        <f t="shared" si="9"/>
        <v/>
      </c>
      <c r="W86" s="511" t="str">
        <f t="shared" si="10"/>
        <v/>
      </c>
      <c r="X86" s="511" t="str">
        <f t="shared" si="11"/>
        <v/>
      </c>
      <c r="Y86" s="515" t="str">
        <f t="shared" si="12"/>
        <v/>
      </c>
      <c r="Z86" s="151"/>
      <c r="AA86" s="152"/>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c r="AP86" s="31" t="str">
        <f>IFERROR(INDEX('G-7 Rivers Data'!$AZ$3:$AZ$7,MATCH(D86,'G-7 Rivers Data'!$AY$3:$AY$7,0)),"")</f>
        <v/>
      </c>
    </row>
    <row r="87" spans="3:42" ht="13.8" x14ac:dyDescent="0.25">
      <c r="C87" s="141">
        <v>78</v>
      </c>
      <c r="D87" s="460"/>
      <c r="E87" s="172"/>
      <c r="F87" s="498" t="str">
        <f>IF(D87="","",VLOOKUP(D87,'G-7 Rivers Data'!$B$2:$G$8,2,FALSE))</f>
        <v/>
      </c>
      <c r="G87" s="499" t="str">
        <f>IFERROR(VLOOKUP(F87,'G-7 Rivers Data'!$C$4:$D$8,2,FALSE),"")</f>
        <v/>
      </c>
      <c r="H87" s="145"/>
      <c r="I87" s="499" t="str">
        <f>IFERROR(INDEX('G-7 Rivers Data'!$H$4:$L$8,MATCH(D87,'G-7 Rivers Data'!$B$4:$B$8,0),MATCH(H87,'G-7 Rivers Data'!$H$3:$L$3,0)),"")</f>
        <v/>
      </c>
      <c r="J87" s="418"/>
      <c r="K87" s="498" t="str">
        <f>IF(J87="","",IF(VLOOKUP(J87,'G-7 Rivers Data'!$AK$4:$AM$9,2,FALSE)=0,"Spatial Data Missing ⚠",VLOOKUP(J87,'G-7 Rivers Data'!$AK$4:$AM$9,2,FALSE)))</f>
        <v/>
      </c>
      <c r="L87" s="505" t="str">
        <f>IF(J87="","",IF(VLOOKUP(J87,'G-7 Rivers Data'!$AK$4:$AM$9,3,FALSE)=0,"Spatial Data Missing ⚠",VLOOKUP(J87,'G-7 Rivers Data'!$AK$4:$AM$9,3,FALSE)))</f>
        <v/>
      </c>
      <c r="M87" s="71"/>
      <c r="N87" s="499" t="str">
        <f>IF(M87="","",IF(VLOOKUP(M87,'G-7 Rivers Data'!$AA$4:$AB$7,2,FALSE)=0,"Spatial Data Missing ⚠",VLOOKUP(M87,'G-7 Rivers Data'!$AA$4:$AB$7,2,FALSE)))</f>
        <v/>
      </c>
      <c r="O87" s="155"/>
      <c r="P87" s="499" t="str">
        <f>IF(O87="","",IF(VLOOKUP(O87,'G-7 Rivers Data'!$AD$4:$AE$8,2,FALSE)=0,"Spatial Data Missing ⚠",VLOOKUP(O87,'G-7 Rivers Data'!$AD$4:$AE$8,2,FALSE)))</f>
        <v/>
      </c>
      <c r="Q87" s="506" t="str">
        <f>IF(D87="","",VLOOKUP(D87,'G-7 Rivers Data'!$B$2:$G$8,6,FALSE))</f>
        <v/>
      </c>
      <c r="R87" s="513" t="str">
        <f t="shared" si="8"/>
        <v/>
      </c>
      <c r="S87" s="40"/>
      <c r="T87" s="145"/>
      <c r="U87" s="157"/>
      <c r="V87" s="511" t="str">
        <f t="shared" si="9"/>
        <v/>
      </c>
      <c r="W87" s="511" t="str">
        <f t="shared" si="10"/>
        <v/>
      </c>
      <c r="X87" s="511" t="str">
        <f t="shared" si="11"/>
        <v/>
      </c>
      <c r="Y87" s="515" t="str">
        <f t="shared" si="12"/>
        <v/>
      </c>
      <c r="Z87" s="151"/>
      <c r="AA87" s="152"/>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c r="AP87" s="31" t="str">
        <f>IFERROR(INDEX('G-7 Rivers Data'!$AZ$3:$AZ$7,MATCH(D87,'G-7 Rivers Data'!$AY$3:$AY$7,0)),"")</f>
        <v/>
      </c>
    </row>
    <row r="88" spans="3:42" ht="13.8" x14ac:dyDescent="0.25">
      <c r="C88" s="141">
        <v>79</v>
      </c>
      <c r="D88" s="460"/>
      <c r="E88" s="172"/>
      <c r="F88" s="498" t="str">
        <f>IF(D88="","",VLOOKUP(D88,'G-7 Rivers Data'!$B$2:$G$8,2,FALSE))</f>
        <v/>
      </c>
      <c r="G88" s="499" t="str">
        <f>IFERROR(VLOOKUP(F88,'G-7 Rivers Data'!$C$4:$D$8,2,FALSE),"")</f>
        <v/>
      </c>
      <c r="H88" s="145"/>
      <c r="I88" s="499" t="str">
        <f>IFERROR(INDEX('G-7 Rivers Data'!$H$4:$L$8,MATCH(D88,'G-7 Rivers Data'!$B$4:$B$8,0),MATCH(H88,'G-7 Rivers Data'!$H$3:$L$3,0)),"")</f>
        <v/>
      </c>
      <c r="J88" s="418"/>
      <c r="K88" s="498" t="str">
        <f>IF(J88="","",IF(VLOOKUP(J88,'G-7 Rivers Data'!$AK$4:$AM$9,2,FALSE)=0,"Spatial Data Missing ⚠",VLOOKUP(J88,'G-7 Rivers Data'!$AK$4:$AM$9,2,FALSE)))</f>
        <v/>
      </c>
      <c r="L88" s="505" t="str">
        <f>IF(J88="","",IF(VLOOKUP(J88,'G-7 Rivers Data'!$AK$4:$AM$9,3,FALSE)=0,"Spatial Data Missing ⚠",VLOOKUP(J88,'G-7 Rivers Data'!$AK$4:$AM$9,3,FALSE)))</f>
        <v/>
      </c>
      <c r="M88" s="71"/>
      <c r="N88" s="499" t="str">
        <f>IF(M88="","",IF(VLOOKUP(M88,'G-7 Rivers Data'!$AA$4:$AB$7,2,FALSE)=0,"Spatial Data Missing ⚠",VLOOKUP(M88,'G-7 Rivers Data'!$AA$4:$AB$7,2,FALSE)))</f>
        <v/>
      </c>
      <c r="O88" s="155"/>
      <c r="P88" s="499" t="str">
        <f>IF(O88="","",IF(VLOOKUP(O88,'G-7 Rivers Data'!$AD$4:$AE$8,2,FALSE)=0,"Spatial Data Missing ⚠",VLOOKUP(O88,'G-7 Rivers Data'!$AD$4:$AE$8,2,FALSE)))</f>
        <v/>
      </c>
      <c r="Q88" s="506" t="str">
        <f>IF(D88="","",VLOOKUP(D88,'G-7 Rivers Data'!$B$2:$G$8,6,FALSE))</f>
        <v/>
      </c>
      <c r="R88" s="513" t="str">
        <f t="shared" si="8"/>
        <v/>
      </c>
      <c r="S88" s="40"/>
      <c r="T88" s="145"/>
      <c r="U88" s="157"/>
      <c r="V88" s="511" t="str">
        <f t="shared" si="9"/>
        <v/>
      </c>
      <c r="W88" s="511" t="str">
        <f t="shared" si="10"/>
        <v/>
      </c>
      <c r="X88" s="511" t="str">
        <f t="shared" si="11"/>
        <v/>
      </c>
      <c r="Y88" s="515" t="str">
        <f t="shared" si="12"/>
        <v/>
      </c>
      <c r="Z88" s="151"/>
      <c r="AA88" s="152"/>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c r="AP88" s="31" t="str">
        <f>IFERROR(INDEX('G-7 Rivers Data'!$AZ$3:$AZ$7,MATCH(D88,'G-7 Rivers Data'!$AY$3:$AY$7,0)),"")</f>
        <v/>
      </c>
    </row>
    <row r="89" spans="3:42" ht="13.8" x14ac:dyDescent="0.25">
      <c r="C89" s="141">
        <v>80</v>
      </c>
      <c r="D89" s="460"/>
      <c r="E89" s="172"/>
      <c r="F89" s="498" t="str">
        <f>IF(D89="","",VLOOKUP(D89,'G-7 Rivers Data'!$B$2:$G$8,2,FALSE))</f>
        <v/>
      </c>
      <c r="G89" s="499" t="str">
        <f>IFERROR(VLOOKUP(F89,'G-7 Rivers Data'!$C$4:$D$8,2,FALSE),"")</f>
        <v/>
      </c>
      <c r="H89" s="145"/>
      <c r="I89" s="499" t="str">
        <f>IFERROR(INDEX('G-7 Rivers Data'!$H$4:$L$8,MATCH(D89,'G-7 Rivers Data'!$B$4:$B$8,0),MATCH(H89,'G-7 Rivers Data'!$H$3:$L$3,0)),"")</f>
        <v/>
      </c>
      <c r="J89" s="418"/>
      <c r="K89" s="498" t="str">
        <f>IF(J89="","",IF(VLOOKUP(J89,'G-7 Rivers Data'!$AK$4:$AM$9,2,FALSE)=0,"Spatial Data Missing ⚠",VLOOKUP(J89,'G-7 Rivers Data'!$AK$4:$AM$9,2,FALSE)))</f>
        <v/>
      </c>
      <c r="L89" s="505" t="str">
        <f>IF(J89="","",IF(VLOOKUP(J89,'G-7 Rivers Data'!$AK$4:$AM$9,3,FALSE)=0,"Spatial Data Missing ⚠",VLOOKUP(J89,'G-7 Rivers Data'!$AK$4:$AM$9,3,FALSE)))</f>
        <v/>
      </c>
      <c r="M89" s="71"/>
      <c r="N89" s="499" t="str">
        <f>IF(M89="","",IF(VLOOKUP(M89,'G-7 Rivers Data'!$AA$4:$AB$7,2,FALSE)=0,"Spatial Data Missing ⚠",VLOOKUP(M89,'G-7 Rivers Data'!$AA$4:$AB$7,2,FALSE)))</f>
        <v/>
      </c>
      <c r="O89" s="155"/>
      <c r="P89" s="499" t="str">
        <f>IF(O89="","",IF(VLOOKUP(O89,'G-7 Rivers Data'!$AD$4:$AE$8,2,FALSE)=0,"Spatial Data Missing ⚠",VLOOKUP(O89,'G-7 Rivers Data'!$AD$4:$AE$8,2,FALSE)))</f>
        <v/>
      </c>
      <c r="Q89" s="506" t="str">
        <f>IF(D89="","",VLOOKUP(D89,'G-7 Rivers Data'!$B$2:$G$8,6,FALSE))</f>
        <v/>
      </c>
      <c r="R89" s="513" t="str">
        <f t="shared" si="8"/>
        <v/>
      </c>
      <c r="S89" s="40"/>
      <c r="T89" s="145"/>
      <c r="U89" s="157"/>
      <c r="V89" s="511" t="str">
        <f t="shared" si="9"/>
        <v/>
      </c>
      <c r="W89" s="511" t="str">
        <f t="shared" si="10"/>
        <v/>
      </c>
      <c r="X89" s="511" t="str">
        <f t="shared" si="11"/>
        <v/>
      </c>
      <c r="Y89" s="515" t="str">
        <f t="shared" si="12"/>
        <v/>
      </c>
      <c r="Z89" s="151"/>
      <c r="AA89" s="152"/>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c r="AP89" s="31" t="str">
        <f>IFERROR(INDEX('G-7 Rivers Data'!$AZ$3:$AZ$7,MATCH(D89,'G-7 Rivers Data'!$AY$3:$AY$7,0)),"")</f>
        <v/>
      </c>
    </row>
    <row r="90" spans="3:42" ht="13.8" x14ac:dyDescent="0.25">
      <c r="C90" s="141">
        <v>81</v>
      </c>
      <c r="D90" s="460"/>
      <c r="E90" s="172"/>
      <c r="F90" s="498" t="str">
        <f>IF(D90="","",VLOOKUP(D90,'G-7 Rivers Data'!$B$2:$G$8,2,FALSE))</f>
        <v/>
      </c>
      <c r="G90" s="499" t="str">
        <f>IFERROR(VLOOKUP(F90,'G-7 Rivers Data'!$C$4:$D$8,2,FALSE),"")</f>
        <v/>
      </c>
      <c r="H90" s="145"/>
      <c r="I90" s="499" t="str">
        <f>IFERROR(INDEX('G-7 Rivers Data'!$H$4:$L$8,MATCH(D90,'G-7 Rivers Data'!$B$4:$B$8,0),MATCH(H90,'G-7 Rivers Data'!$H$3:$L$3,0)),"")</f>
        <v/>
      </c>
      <c r="J90" s="418"/>
      <c r="K90" s="498" t="str">
        <f>IF(J90="","",IF(VLOOKUP(J90,'G-7 Rivers Data'!$AK$4:$AM$9,2,FALSE)=0,"Spatial Data Missing ⚠",VLOOKUP(J90,'G-7 Rivers Data'!$AK$4:$AM$9,2,FALSE)))</f>
        <v/>
      </c>
      <c r="L90" s="505" t="str">
        <f>IF(J90="","",IF(VLOOKUP(J90,'G-7 Rivers Data'!$AK$4:$AM$9,3,FALSE)=0,"Spatial Data Missing ⚠",VLOOKUP(J90,'G-7 Rivers Data'!$AK$4:$AM$9,3,FALSE)))</f>
        <v/>
      </c>
      <c r="M90" s="71"/>
      <c r="N90" s="499" t="str">
        <f>IF(M90="","",IF(VLOOKUP(M90,'G-7 Rivers Data'!$AA$4:$AB$7,2,FALSE)=0,"Spatial Data Missing ⚠",VLOOKUP(M90,'G-7 Rivers Data'!$AA$4:$AB$7,2,FALSE)))</f>
        <v/>
      </c>
      <c r="O90" s="155"/>
      <c r="P90" s="499" t="str">
        <f>IF(O90="","",IF(VLOOKUP(O90,'G-7 Rivers Data'!$AD$4:$AE$8,2,FALSE)=0,"Spatial Data Missing ⚠",VLOOKUP(O90,'G-7 Rivers Data'!$AD$4:$AE$8,2,FALSE)))</f>
        <v/>
      </c>
      <c r="Q90" s="506" t="str">
        <f>IF(D90="","",VLOOKUP(D90,'G-7 Rivers Data'!$B$2:$G$8,6,FALSE))</f>
        <v/>
      </c>
      <c r="R90" s="513" t="str">
        <f t="shared" si="8"/>
        <v/>
      </c>
      <c r="S90" s="40"/>
      <c r="T90" s="145"/>
      <c r="U90" s="157"/>
      <c r="V90" s="511" t="str">
        <f t="shared" si="9"/>
        <v/>
      </c>
      <c r="W90" s="511" t="str">
        <f t="shared" si="10"/>
        <v/>
      </c>
      <c r="X90" s="511" t="str">
        <f t="shared" si="11"/>
        <v/>
      </c>
      <c r="Y90" s="515" t="str">
        <f t="shared" si="12"/>
        <v/>
      </c>
      <c r="Z90" s="151"/>
      <c r="AA90" s="152"/>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c r="AP90" s="31" t="str">
        <f>IFERROR(INDEX('G-7 Rivers Data'!$AZ$3:$AZ$7,MATCH(D90,'G-7 Rivers Data'!$AY$3:$AY$7,0)),"")</f>
        <v/>
      </c>
    </row>
    <row r="91" spans="3:42" ht="13.8" x14ac:dyDescent="0.25">
      <c r="C91" s="141">
        <v>82</v>
      </c>
      <c r="D91" s="460"/>
      <c r="E91" s="172"/>
      <c r="F91" s="498" t="str">
        <f>IF(D91="","",VLOOKUP(D91,'G-7 Rivers Data'!$B$2:$G$8,2,FALSE))</f>
        <v/>
      </c>
      <c r="G91" s="499" t="str">
        <f>IFERROR(VLOOKUP(F91,'G-7 Rivers Data'!$C$4:$D$8,2,FALSE),"")</f>
        <v/>
      </c>
      <c r="H91" s="145"/>
      <c r="I91" s="499" t="str">
        <f>IFERROR(INDEX('G-7 Rivers Data'!$H$4:$L$8,MATCH(D91,'G-7 Rivers Data'!$B$4:$B$8,0),MATCH(H91,'G-7 Rivers Data'!$H$3:$L$3,0)),"")</f>
        <v/>
      </c>
      <c r="J91" s="418"/>
      <c r="K91" s="498" t="str">
        <f>IF(J91="","",IF(VLOOKUP(J91,'G-7 Rivers Data'!$AK$4:$AM$9,2,FALSE)=0,"Spatial Data Missing ⚠",VLOOKUP(J91,'G-7 Rivers Data'!$AK$4:$AM$9,2,FALSE)))</f>
        <v/>
      </c>
      <c r="L91" s="505" t="str">
        <f>IF(J91="","",IF(VLOOKUP(J91,'G-7 Rivers Data'!$AK$4:$AM$9,3,FALSE)=0,"Spatial Data Missing ⚠",VLOOKUP(J91,'G-7 Rivers Data'!$AK$4:$AM$9,3,FALSE)))</f>
        <v/>
      </c>
      <c r="M91" s="71"/>
      <c r="N91" s="499" t="str">
        <f>IF(M91="","",IF(VLOOKUP(M91,'G-7 Rivers Data'!$AA$4:$AB$7,2,FALSE)=0,"Spatial Data Missing ⚠",VLOOKUP(M91,'G-7 Rivers Data'!$AA$4:$AB$7,2,FALSE)))</f>
        <v/>
      </c>
      <c r="O91" s="155"/>
      <c r="P91" s="499" t="str">
        <f>IF(O91="","",IF(VLOOKUP(O91,'G-7 Rivers Data'!$AD$4:$AE$8,2,FALSE)=0,"Spatial Data Missing ⚠",VLOOKUP(O91,'G-7 Rivers Data'!$AD$4:$AE$8,2,FALSE)))</f>
        <v/>
      </c>
      <c r="Q91" s="506" t="str">
        <f>IF(D91="","",VLOOKUP(D91,'G-7 Rivers Data'!$B$2:$G$8,6,FALSE))</f>
        <v/>
      </c>
      <c r="R91" s="513" t="str">
        <f t="shared" si="8"/>
        <v/>
      </c>
      <c r="S91" s="40"/>
      <c r="T91" s="145"/>
      <c r="U91" s="157"/>
      <c r="V91" s="511" t="str">
        <f t="shared" si="9"/>
        <v/>
      </c>
      <c r="W91" s="511" t="str">
        <f t="shared" si="10"/>
        <v/>
      </c>
      <c r="X91" s="511" t="str">
        <f t="shared" si="11"/>
        <v/>
      </c>
      <c r="Y91" s="515" t="str">
        <f t="shared" si="12"/>
        <v/>
      </c>
      <c r="Z91" s="151"/>
      <c r="AA91" s="152"/>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c r="AP91" s="31" t="str">
        <f>IFERROR(INDEX('G-7 Rivers Data'!$AZ$3:$AZ$7,MATCH(D91,'G-7 Rivers Data'!$AY$3:$AY$7,0)),"")</f>
        <v/>
      </c>
    </row>
    <row r="92" spans="3:42" ht="13.8" x14ac:dyDescent="0.25">
      <c r="C92" s="141">
        <v>83</v>
      </c>
      <c r="D92" s="460"/>
      <c r="E92" s="172"/>
      <c r="F92" s="498" t="str">
        <f>IF(D92="","",VLOOKUP(D92,'G-7 Rivers Data'!$B$2:$G$8,2,FALSE))</f>
        <v/>
      </c>
      <c r="G92" s="499" t="str">
        <f>IFERROR(VLOOKUP(F92,'G-7 Rivers Data'!$C$4:$D$8,2,FALSE),"")</f>
        <v/>
      </c>
      <c r="H92" s="145"/>
      <c r="I92" s="499" t="str">
        <f>IFERROR(INDEX('G-7 Rivers Data'!$H$4:$L$8,MATCH(D92,'G-7 Rivers Data'!$B$4:$B$8,0),MATCH(H92,'G-7 Rivers Data'!$H$3:$L$3,0)),"")</f>
        <v/>
      </c>
      <c r="J92" s="418"/>
      <c r="K92" s="498" t="str">
        <f>IF(J92="","",IF(VLOOKUP(J92,'G-7 Rivers Data'!$AK$4:$AM$9,2,FALSE)=0,"Spatial Data Missing ⚠",VLOOKUP(J92,'G-7 Rivers Data'!$AK$4:$AM$9,2,FALSE)))</f>
        <v/>
      </c>
      <c r="L92" s="505" t="str">
        <f>IF(J92="","",IF(VLOOKUP(J92,'G-7 Rivers Data'!$AK$4:$AM$9,3,FALSE)=0,"Spatial Data Missing ⚠",VLOOKUP(J92,'G-7 Rivers Data'!$AK$4:$AM$9,3,FALSE)))</f>
        <v/>
      </c>
      <c r="M92" s="71"/>
      <c r="N92" s="499" t="str">
        <f>IF(M92="","",IF(VLOOKUP(M92,'G-7 Rivers Data'!$AA$4:$AB$7,2,FALSE)=0,"Spatial Data Missing ⚠",VLOOKUP(M92,'G-7 Rivers Data'!$AA$4:$AB$7,2,FALSE)))</f>
        <v/>
      </c>
      <c r="O92" s="155"/>
      <c r="P92" s="499" t="str">
        <f>IF(O92="","",IF(VLOOKUP(O92,'G-7 Rivers Data'!$AD$4:$AE$8,2,FALSE)=0,"Spatial Data Missing ⚠",VLOOKUP(O92,'G-7 Rivers Data'!$AD$4:$AE$8,2,FALSE)))</f>
        <v/>
      </c>
      <c r="Q92" s="506" t="str">
        <f>IF(D92="","",VLOOKUP(D92,'G-7 Rivers Data'!$B$2:$G$8,6,FALSE))</f>
        <v/>
      </c>
      <c r="R92" s="513" t="str">
        <f t="shared" si="8"/>
        <v/>
      </c>
      <c r="S92" s="40"/>
      <c r="T92" s="145"/>
      <c r="U92" s="157"/>
      <c r="V92" s="511" t="str">
        <f t="shared" si="9"/>
        <v/>
      </c>
      <c r="W92" s="511" t="str">
        <f t="shared" si="10"/>
        <v/>
      </c>
      <c r="X92" s="511" t="str">
        <f t="shared" si="11"/>
        <v/>
      </c>
      <c r="Y92" s="515" t="str">
        <f t="shared" si="12"/>
        <v/>
      </c>
      <c r="Z92" s="151"/>
      <c r="AA92" s="152"/>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c r="AP92" s="31" t="str">
        <f>IFERROR(INDEX('G-7 Rivers Data'!$AZ$3:$AZ$7,MATCH(D92,'G-7 Rivers Data'!$AY$3:$AY$7,0)),"")</f>
        <v/>
      </c>
    </row>
    <row r="93" spans="3:42" ht="13.8" x14ac:dyDescent="0.25">
      <c r="C93" s="141">
        <v>84</v>
      </c>
      <c r="D93" s="460"/>
      <c r="E93" s="172"/>
      <c r="F93" s="498" t="str">
        <f>IF(D93="","",VLOOKUP(D93,'G-7 Rivers Data'!$B$2:$G$8,2,FALSE))</f>
        <v/>
      </c>
      <c r="G93" s="499" t="str">
        <f>IFERROR(VLOOKUP(F93,'G-7 Rivers Data'!$C$4:$D$8,2,FALSE),"")</f>
        <v/>
      </c>
      <c r="H93" s="145"/>
      <c r="I93" s="499" t="str">
        <f>IFERROR(INDEX('G-7 Rivers Data'!$H$4:$L$8,MATCH(D93,'G-7 Rivers Data'!$B$4:$B$8,0),MATCH(H93,'G-7 Rivers Data'!$H$3:$L$3,0)),"")</f>
        <v/>
      </c>
      <c r="J93" s="418"/>
      <c r="K93" s="498" t="str">
        <f>IF(J93="","",IF(VLOOKUP(J93,'G-7 Rivers Data'!$AK$4:$AM$9,2,FALSE)=0,"Spatial Data Missing ⚠",VLOOKUP(J93,'G-7 Rivers Data'!$AK$4:$AM$9,2,FALSE)))</f>
        <v/>
      </c>
      <c r="L93" s="505" t="str">
        <f>IF(J93="","",IF(VLOOKUP(J93,'G-7 Rivers Data'!$AK$4:$AM$9,3,FALSE)=0,"Spatial Data Missing ⚠",VLOOKUP(J93,'G-7 Rivers Data'!$AK$4:$AM$9,3,FALSE)))</f>
        <v/>
      </c>
      <c r="M93" s="71"/>
      <c r="N93" s="499" t="str">
        <f>IF(M93="","",IF(VLOOKUP(M93,'G-7 Rivers Data'!$AA$4:$AB$7,2,FALSE)=0,"Spatial Data Missing ⚠",VLOOKUP(M93,'G-7 Rivers Data'!$AA$4:$AB$7,2,FALSE)))</f>
        <v/>
      </c>
      <c r="O93" s="155"/>
      <c r="P93" s="499" t="str">
        <f>IF(O93="","",IF(VLOOKUP(O93,'G-7 Rivers Data'!$AD$4:$AE$8,2,FALSE)=0,"Spatial Data Missing ⚠",VLOOKUP(O93,'G-7 Rivers Data'!$AD$4:$AE$8,2,FALSE)))</f>
        <v/>
      </c>
      <c r="Q93" s="506" t="str">
        <f>IF(D93="","",VLOOKUP(D93,'G-7 Rivers Data'!$B$2:$G$8,6,FALSE))</f>
        <v/>
      </c>
      <c r="R93" s="513" t="str">
        <f t="shared" si="8"/>
        <v/>
      </c>
      <c r="S93" s="40"/>
      <c r="T93" s="145"/>
      <c r="U93" s="157"/>
      <c r="V93" s="511" t="str">
        <f t="shared" si="9"/>
        <v/>
      </c>
      <c r="W93" s="511" t="str">
        <f t="shared" si="10"/>
        <v/>
      </c>
      <c r="X93" s="511" t="str">
        <f t="shared" si="11"/>
        <v/>
      </c>
      <c r="Y93" s="515" t="str">
        <f t="shared" si="12"/>
        <v/>
      </c>
      <c r="Z93" s="151"/>
      <c r="AA93" s="152"/>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c r="AP93" s="31" t="str">
        <f>IFERROR(INDEX('G-7 Rivers Data'!$AZ$3:$AZ$7,MATCH(D93,'G-7 Rivers Data'!$AY$3:$AY$7,0)),"")</f>
        <v/>
      </c>
    </row>
    <row r="94" spans="3:42" ht="13.8" x14ac:dyDescent="0.25">
      <c r="C94" s="141">
        <v>85</v>
      </c>
      <c r="D94" s="460"/>
      <c r="E94" s="172"/>
      <c r="F94" s="498" t="str">
        <f>IF(D94="","",VLOOKUP(D94,'G-7 Rivers Data'!$B$2:$G$8,2,FALSE))</f>
        <v/>
      </c>
      <c r="G94" s="499" t="str">
        <f>IFERROR(VLOOKUP(F94,'G-7 Rivers Data'!$C$4:$D$8,2,FALSE),"")</f>
        <v/>
      </c>
      <c r="H94" s="145"/>
      <c r="I94" s="499" t="str">
        <f>IFERROR(INDEX('G-7 Rivers Data'!$H$4:$L$8,MATCH(D94,'G-7 Rivers Data'!$B$4:$B$8,0),MATCH(H94,'G-7 Rivers Data'!$H$3:$L$3,0)),"")</f>
        <v/>
      </c>
      <c r="J94" s="418"/>
      <c r="K94" s="498" t="str">
        <f>IF(J94="","",IF(VLOOKUP(J94,'G-7 Rivers Data'!$AK$4:$AM$9,2,FALSE)=0,"Spatial Data Missing ⚠",VLOOKUP(J94,'G-7 Rivers Data'!$AK$4:$AM$9,2,FALSE)))</f>
        <v/>
      </c>
      <c r="L94" s="505" t="str">
        <f>IF(J94="","",IF(VLOOKUP(J94,'G-7 Rivers Data'!$AK$4:$AM$9,3,FALSE)=0,"Spatial Data Missing ⚠",VLOOKUP(J94,'G-7 Rivers Data'!$AK$4:$AM$9,3,FALSE)))</f>
        <v/>
      </c>
      <c r="M94" s="71"/>
      <c r="N94" s="499" t="str">
        <f>IF(M94="","",IF(VLOOKUP(M94,'G-7 Rivers Data'!$AA$4:$AB$7,2,FALSE)=0,"Spatial Data Missing ⚠",VLOOKUP(M94,'G-7 Rivers Data'!$AA$4:$AB$7,2,FALSE)))</f>
        <v/>
      </c>
      <c r="O94" s="155"/>
      <c r="P94" s="499" t="str">
        <f>IF(O94="","",IF(VLOOKUP(O94,'G-7 Rivers Data'!$AD$4:$AE$8,2,FALSE)=0,"Spatial Data Missing ⚠",VLOOKUP(O94,'G-7 Rivers Data'!$AD$4:$AE$8,2,FALSE)))</f>
        <v/>
      </c>
      <c r="Q94" s="506" t="str">
        <f>IF(D94="","",VLOOKUP(D94,'G-7 Rivers Data'!$B$2:$G$8,6,FALSE))</f>
        <v/>
      </c>
      <c r="R94" s="513" t="str">
        <f t="shared" si="8"/>
        <v/>
      </c>
      <c r="S94" s="40"/>
      <c r="T94" s="145"/>
      <c r="U94" s="157"/>
      <c r="V94" s="511" t="str">
        <f t="shared" si="9"/>
        <v/>
      </c>
      <c r="W94" s="511" t="str">
        <f t="shared" si="10"/>
        <v/>
      </c>
      <c r="X94" s="511" t="str">
        <f t="shared" si="11"/>
        <v/>
      </c>
      <c r="Y94" s="515" t="str">
        <f t="shared" si="12"/>
        <v/>
      </c>
      <c r="Z94" s="151"/>
      <c r="AA94" s="152"/>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c r="AP94" s="31" t="str">
        <f>IFERROR(INDEX('G-7 Rivers Data'!$AZ$3:$AZ$7,MATCH(D94,'G-7 Rivers Data'!$AY$3:$AY$7,0)),"")</f>
        <v/>
      </c>
    </row>
    <row r="95" spans="3:42" ht="13.8" x14ac:dyDescent="0.25">
      <c r="C95" s="141">
        <v>86</v>
      </c>
      <c r="D95" s="460"/>
      <c r="E95" s="172"/>
      <c r="F95" s="498" t="str">
        <f>IF(D95="","",VLOOKUP(D95,'G-7 Rivers Data'!$B$2:$G$8,2,FALSE))</f>
        <v/>
      </c>
      <c r="G95" s="499" t="str">
        <f>IFERROR(VLOOKUP(F95,'G-7 Rivers Data'!$C$4:$D$8,2,FALSE),"")</f>
        <v/>
      </c>
      <c r="H95" s="145"/>
      <c r="I95" s="499" t="str">
        <f>IFERROR(INDEX('G-7 Rivers Data'!$H$4:$L$8,MATCH(D95,'G-7 Rivers Data'!$B$4:$B$8,0),MATCH(H95,'G-7 Rivers Data'!$H$3:$L$3,0)),"")</f>
        <v/>
      </c>
      <c r="J95" s="418"/>
      <c r="K95" s="498" t="str">
        <f>IF(J95="","",IF(VLOOKUP(J95,'G-7 Rivers Data'!$AK$4:$AM$9,2,FALSE)=0,"Spatial Data Missing ⚠",VLOOKUP(J95,'G-7 Rivers Data'!$AK$4:$AM$9,2,FALSE)))</f>
        <v/>
      </c>
      <c r="L95" s="505" t="str">
        <f>IF(J95="","",IF(VLOOKUP(J95,'G-7 Rivers Data'!$AK$4:$AM$9,3,FALSE)=0,"Spatial Data Missing ⚠",VLOOKUP(J95,'G-7 Rivers Data'!$AK$4:$AM$9,3,FALSE)))</f>
        <v/>
      </c>
      <c r="M95" s="71"/>
      <c r="N95" s="499" t="str">
        <f>IF(M95="","",IF(VLOOKUP(M95,'G-7 Rivers Data'!$AA$4:$AB$7,2,FALSE)=0,"Spatial Data Missing ⚠",VLOOKUP(M95,'G-7 Rivers Data'!$AA$4:$AB$7,2,FALSE)))</f>
        <v/>
      </c>
      <c r="O95" s="155"/>
      <c r="P95" s="499" t="str">
        <f>IF(O95="","",IF(VLOOKUP(O95,'G-7 Rivers Data'!$AD$4:$AE$8,2,FALSE)=0,"Spatial Data Missing ⚠",VLOOKUP(O95,'G-7 Rivers Data'!$AD$4:$AE$8,2,FALSE)))</f>
        <v/>
      </c>
      <c r="Q95" s="506" t="str">
        <f>IF(D95="","",VLOOKUP(D95,'G-7 Rivers Data'!$B$2:$G$8,6,FALSE))</f>
        <v/>
      </c>
      <c r="R95" s="513" t="str">
        <f t="shared" si="8"/>
        <v/>
      </c>
      <c r="S95" s="40"/>
      <c r="T95" s="145"/>
      <c r="U95" s="157"/>
      <c r="V95" s="511" t="str">
        <f t="shared" si="9"/>
        <v/>
      </c>
      <c r="W95" s="511" t="str">
        <f t="shared" si="10"/>
        <v/>
      </c>
      <c r="X95" s="511" t="str">
        <f t="shared" si="11"/>
        <v/>
      </c>
      <c r="Y95" s="515" t="str">
        <f t="shared" si="12"/>
        <v/>
      </c>
      <c r="Z95" s="151"/>
      <c r="AA95" s="152"/>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c r="AP95" s="31" t="str">
        <f>IFERROR(INDEX('G-7 Rivers Data'!$AZ$3:$AZ$7,MATCH(D95,'G-7 Rivers Data'!$AY$3:$AY$7,0)),"")</f>
        <v/>
      </c>
    </row>
    <row r="96" spans="3:42" ht="13.8" x14ac:dyDescent="0.25">
      <c r="C96" s="141">
        <v>87</v>
      </c>
      <c r="D96" s="460"/>
      <c r="E96" s="172"/>
      <c r="F96" s="498" t="str">
        <f>IF(D96="","",VLOOKUP(D96,'G-7 Rivers Data'!$B$2:$G$8,2,FALSE))</f>
        <v/>
      </c>
      <c r="G96" s="499" t="str">
        <f>IFERROR(VLOOKUP(F96,'G-7 Rivers Data'!$C$4:$D$8,2,FALSE),"")</f>
        <v/>
      </c>
      <c r="H96" s="145"/>
      <c r="I96" s="499" t="str">
        <f>IFERROR(INDEX('G-7 Rivers Data'!$H$4:$L$8,MATCH(D96,'G-7 Rivers Data'!$B$4:$B$8,0),MATCH(H96,'G-7 Rivers Data'!$H$3:$L$3,0)),"")</f>
        <v/>
      </c>
      <c r="J96" s="418"/>
      <c r="K96" s="498" t="str">
        <f>IF(J96="","",IF(VLOOKUP(J96,'G-7 Rivers Data'!$AK$4:$AM$9,2,FALSE)=0,"Spatial Data Missing ⚠",VLOOKUP(J96,'G-7 Rivers Data'!$AK$4:$AM$9,2,FALSE)))</f>
        <v/>
      </c>
      <c r="L96" s="505" t="str">
        <f>IF(J96="","",IF(VLOOKUP(J96,'G-7 Rivers Data'!$AK$4:$AM$9,3,FALSE)=0,"Spatial Data Missing ⚠",VLOOKUP(J96,'G-7 Rivers Data'!$AK$4:$AM$9,3,FALSE)))</f>
        <v/>
      </c>
      <c r="M96" s="71"/>
      <c r="N96" s="499" t="str">
        <f>IF(M96="","",IF(VLOOKUP(M96,'G-7 Rivers Data'!$AA$4:$AB$7,2,FALSE)=0,"Spatial Data Missing ⚠",VLOOKUP(M96,'G-7 Rivers Data'!$AA$4:$AB$7,2,FALSE)))</f>
        <v/>
      </c>
      <c r="O96" s="155"/>
      <c r="P96" s="499" t="str">
        <f>IF(O96="","",IF(VLOOKUP(O96,'G-7 Rivers Data'!$AD$4:$AE$8,2,FALSE)=0,"Spatial Data Missing ⚠",VLOOKUP(O96,'G-7 Rivers Data'!$AD$4:$AE$8,2,FALSE)))</f>
        <v/>
      </c>
      <c r="Q96" s="506" t="str">
        <f>IF(D96="","",VLOOKUP(D96,'G-7 Rivers Data'!$B$2:$G$8,6,FALSE))</f>
        <v/>
      </c>
      <c r="R96" s="513" t="str">
        <f t="shared" si="8"/>
        <v/>
      </c>
      <c r="S96" s="40"/>
      <c r="T96" s="145"/>
      <c r="U96" s="157"/>
      <c r="V96" s="511" t="str">
        <f t="shared" si="9"/>
        <v/>
      </c>
      <c r="W96" s="511" t="str">
        <f t="shared" si="10"/>
        <v/>
      </c>
      <c r="X96" s="511" t="str">
        <f t="shared" si="11"/>
        <v/>
      </c>
      <c r="Y96" s="515" t="str">
        <f t="shared" si="12"/>
        <v/>
      </c>
      <c r="Z96" s="151"/>
      <c r="AA96" s="152"/>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c r="AP96" s="31" t="str">
        <f>IFERROR(INDEX('G-7 Rivers Data'!$AZ$3:$AZ$7,MATCH(D96,'G-7 Rivers Data'!$AY$3:$AY$7,0)),"")</f>
        <v/>
      </c>
    </row>
    <row r="97" spans="3:42" ht="13.8" x14ac:dyDescent="0.25">
      <c r="C97" s="141">
        <v>88</v>
      </c>
      <c r="D97" s="460"/>
      <c r="E97" s="172"/>
      <c r="F97" s="498" t="str">
        <f>IF(D97="","",VLOOKUP(D97,'G-7 Rivers Data'!$B$2:$G$8,2,FALSE))</f>
        <v/>
      </c>
      <c r="G97" s="499" t="str">
        <f>IFERROR(VLOOKUP(F97,'G-7 Rivers Data'!$C$4:$D$8,2,FALSE),"")</f>
        <v/>
      </c>
      <c r="H97" s="145"/>
      <c r="I97" s="499" t="str">
        <f>IFERROR(INDEX('G-7 Rivers Data'!$H$4:$L$8,MATCH(D97,'G-7 Rivers Data'!$B$4:$B$8,0),MATCH(H97,'G-7 Rivers Data'!$H$3:$L$3,0)),"")</f>
        <v/>
      </c>
      <c r="J97" s="418"/>
      <c r="K97" s="498" t="str">
        <f>IF(J97="","",IF(VLOOKUP(J97,'G-7 Rivers Data'!$AK$4:$AM$9,2,FALSE)=0,"Spatial Data Missing ⚠",VLOOKUP(J97,'G-7 Rivers Data'!$AK$4:$AM$9,2,FALSE)))</f>
        <v/>
      </c>
      <c r="L97" s="505" t="str">
        <f>IF(J97="","",IF(VLOOKUP(J97,'G-7 Rivers Data'!$AK$4:$AM$9,3,FALSE)=0,"Spatial Data Missing ⚠",VLOOKUP(J97,'G-7 Rivers Data'!$AK$4:$AM$9,3,FALSE)))</f>
        <v/>
      </c>
      <c r="M97" s="71"/>
      <c r="N97" s="499" t="str">
        <f>IF(M97="","",IF(VLOOKUP(M97,'G-7 Rivers Data'!$AA$4:$AB$7,2,FALSE)=0,"Spatial Data Missing ⚠",VLOOKUP(M97,'G-7 Rivers Data'!$AA$4:$AB$7,2,FALSE)))</f>
        <v/>
      </c>
      <c r="O97" s="155"/>
      <c r="P97" s="499" t="str">
        <f>IF(O97="","",IF(VLOOKUP(O97,'G-7 Rivers Data'!$AD$4:$AE$8,2,FALSE)=0,"Spatial Data Missing ⚠",VLOOKUP(O97,'G-7 Rivers Data'!$AD$4:$AE$8,2,FALSE)))</f>
        <v/>
      </c>
      <c r="Q97" s="506" t="str">
        <f>IF(D97="","",VLOOKUP(D97,'G-7 Rivers Data'!$B$2:$G$8,6,FALSE))</f>
        <v/>
      </c>
      <c r="R97" s="513" t="str">
        <f t="shared" si="8"/>
        <v/>
      </c>
      <c r="S97" s="40"/>
      <c r="T97" s="145"/>
      <c r="U97" s="157"/>
      <c r="V97" s="511" t="str">
        <f t="shared" si="9"/>
        <v/>
      </c>
      <c r="W97" s="511" t="str">
        <f t="shared" si="10"/>
        <v/>
      </c>
      <c r="X97" s="511" t="str">
        <f t="shared" si="11"/>
        <v/>
      </c>
      <c r="Y97" s="515" t="str">
        <f t="shared" si="12"/>
        <v/>
      </c>
      <c r="Z97" s="151"/>
      <c r="AA97" s="152"/>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c r="AP97" s="31" t="str">
        <f>IFERROR(INDEX('G-7 Rivers Data'!$AZ$3:$AZ$7,MATCH(D97,'G-7 Rivers Data'!$AY$3:$AY$7,0)),"")</f>
        <v/>
      </c>
    </row>
    <row r="98" spans="3:42" ht="13.8" x14ac:dyDescent="0.25">
      <c r="C98" s="141">
        <v>89</v>
      </c>
      <c r="D98" s="460"/>
      <c r="E98" s="172"/>
      <c r="F98" s="498" t="str">
        <f>IF(D98="","",VLOOKUP(D98,'G-7 Rivers Data'!$B$2:$G$8,2,FALSE))</f>
        <v/>
      </c>
      <c r="G98" s="499" t="str">
        <f>IFERROR(VLOOKUP(F98,'G-7 Rivers Data'!$C$4:$D$8,2,FALSE),"")</f>
        <v/>
      </c>
      <c r="H98" s="145"/>
      <c r="I98" s="499" t="str">
        <f>IFERROR(INDEX('G-7 Rivers Data'!$H$4:$L$8,MATCH(D98,'G-7 Rivers Data'!$B$4:$B$8,0),MATCH(H98,'G-7 Rivers Data'!$H$3:$L$3,0)),"")</f>
        <v/>
      </c>
      <c r="J98" s="418"/>
      <c r="K98" s="498" t="str">
        <f>IF(J98="","",IF(VLOOKUP(J98,'G-7 Rivers Data'!$AK$4:$AM$9,2,FALSE)=0,"Spatial Data Missing ⚠",VLOOKUP(J98,'G-7 Rivers Data'!$AK$4:$AM$9,2,FALSE)))</f>
        <v/>
      </c>
      <c r="L98" s="505" t="str">
        <f>IF(J98="","",IF(VLOOKUP(J98,'G-7 Rivers Data'!$AK$4:$AM$9,3,FALSE)=0,"Spatial Data Missing ⚠",VLOOKUP(J98,'G-7 Rivers Data'!$AK$4:$AM$9,3,FALSE)))</f>
        <v/>
      </c>
      <c r="M98" s="71"/>
      <c r="N98" s="499" t="str">
        <f>IF(M98="","",IF(VLOOKUP(M98,'G-7 Rivers Data'!$AA$4:$AB$7,2,FALSE)=0,"Spatial Data Missing ⚠",VLOOKUP(M98,'G-7 Rivers Data'!$AA$4:$AB$7,2,FALSE)))</f>
        <v/>
      </c>
      <c r="O98" s="155"/>
      <c r="P98" s="499" t="str">
        <f>IF(O98="","",IF(VLOOKUP(O98,'G-7 Rivers Data'!$AD$4:$AE$8,2,FALSE)=0,"Spatial Data Missing ⚠",VLOOKUP(O98,'G-7 Rivers Data'!$AD$4:$AE$8,2,FALSE)))</f>
        <v/>
      </c>
      <c r="Q98" s="506" t="str">
        <f>IF(D98="","",VLOOKUP(D98,'G-7 Rivers Data'!$B$2:$G$8,6,FALSE))</f>
        <v/>
      </c>
      <c r="R98" s="513" t="str">
        <f t="shared" si="8"/>
        <v/>
      </c>
      <c r="S98" s="40"/>
      <c r="T98" s="145"/>
      <c r="U98" s="157"/>
      <c r="V98" s="511" t="str">
        <f t="shared" si="9"/>
        <v/>
      </c>
      <c r="W98" s="511" t="str">
        <f t="shared" si="10"/>
        <v/>
      </c>
      <c r="X98" s="511" t="str">
        <f t="shared" si="11"/>
        <v/>
      </c>
      <c r="Y98" s="515" t="str">
        <f t="shared" si="12"/>
        <v/>
      </c>
      <c r="Z98" s="151"/>
      <c r="AA98" s="152"/>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c r="AP98" s="31" t="str">
        <f>IFERROR(INDEX('G-7 Rivers Data'!$AZ$3:$AZ$7,MATCH(D98,'G-7 Rivers Data'!$AY$3:$AY$7,0)),"")</f>
        <v/>
      </c>
    </row>
    <row r="99" spans="3:42" ht="13.8" x14ac:dyDescent="0.25">
      <c r="C99" s="141">
        <v>90</v>
      </c>
      <c r="D99" s="460"/>
      <c r="E99" s="172"/>
      <c r="F99" s="498" t="str">
        <f>IF(D99="","",VLOOKUP(D99,'G-7 Rivers Data'!$B$2:$G$8,2,FALSE))</f>
        <v/>
      </c>
      <c r="G99" s="499" t="str">
        <f>IFERROR(VLOOKUP(F99,'G-7 Rivers Data'!$C$4:$D$8,2,FALSE),"")</f>
        <v/>
      </c>
      <c r="H99" s="145"/>
      <c r="I99" s="499" t="str">
        <f>IFERROR(INDEX('G-7 Rivers Data'!$H$4:$L$8,MATCH(D99,'G-7 Rivers Data'!$B$4:$B$8,0),MATCH(H99,'G-7 Rivers Data'!$H$3:$L$3,0)),"")</f>
        <v/>
      </c>
      <c r="J99" s="418"/>
      <c r="K99" s="498" t="str">
        <f>IF(J99="","",IF(VLOOKUP(J99,'G-7 Rivers Data'!$AK$4:$AM$9,2,FALSE)=0,"Spatial Data Missing ⚠",VLOOKUP(J99,'G-7 Rivers Data'!$AK$4:$AM$9,2,FALSE)))</f>
        <v/>
      </c>
      <c r="L99" s="505" t="str">
        <f>IF(J99="","",IF(VLOOKUP(J99,'G-7 Rivers Data'!$AK$4:$AM$9,3,FALSE)=0,"Spatial Data Missing ⚠",VLOOKUP(J99,'G-7 Rivers Data'!$AK$4:$AM$9,3,FALSE)))</f>
        <v/>
      </c>
      <c r="M99" s="71"/>
      <c r="N99" s="499" t="str">
        <f>IF(M99="","",IF(VLOOKUP(M99,'G-7 Rivers Data'!$AA$4:$AB$7,2,FALSE)=0,"Spatial Data Missing ⚠",VLOOKUP(M99,'G-7 Rivers Data'!$AA$4:$AB$7,2,FALSE)))</f>
        <v/>
      </c>
      <c r="O99" s="155"/>
      <c r="P99" s="499" t="str">
        <f>IF(O99="","",IF(VLOOKUP(O99,'G-7 Rivers Data'!$AD$4:$AE$8,2,FALSE)=0,"Spatial Data Missing ⚠",VLOOKUP(O99,'G-7 Rivers Data'!$AD$4:$AE$8,2,FALSE)))</f>
        <v/>
      </c>
      <c r="Q99" s="506" t="str">
        <f>IF(D99="","",VLOOKUP(D99,'G-7 Rivers Data'!$B$2:$G$8,6,FALSE))</f>
        <v/>
      </c>
      <c r="R99" s="513" t="str">
        <f t="shared" si="8"/>
        <v/>
      </c>
      <c r="S99" s="40"/>
      <c r="T99" s="145"/>
      <c r="U99" s="157"/>
      <c r="V99" s="511" t="str">
        <f t="shared" si="9"/>
        <v/>
      </c>
      <c r="W99" s="511" t="str">
        <f t="shared" si="10"/>
        <v/>
      </c>
      <c r="X99" s="511" t="str">
        <f t="shared" si="11"/>
        <v/>
      </c>
      <c r="Y99" s="515" t="str">
        <f t="shared" si="12"/>
        <v/>
      </c>
      <c r="Z99" s="151"/>
      <c r="AA99" s="152"/>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c r="AP99" s="31" t="str">
        <f>IFERROR(INDEX('G-7 Rivers Data'!$AZ$3:$AZ$7,MATCH(D99,'G-7 Rivers Data'!$AY$3:$AY$7,0)),"")</f>
        <v/>
      </c>
    </row>
    <row r="100" spans="3:42" ht="13.8" x14ac:dyDescent="0.25">
      <c r="C100" s="141">
        <v>91</v>
      </c>
      <c r="D100" s="460"/>
      <c r="E100" s="172"/>
      <c r="F100" s="498" t="str">
        <f>IF(D100="","",VLOOKUP(D100,'G-7 Rivers Data'!$B$2:$G$8,2,FALSE))</f>
        <v/>
      </c>
      <c r="G100" s="499" t="str">
        <f>IFERROR(VLOOKUP(F100,'G-7 Rivers Data'!$C$4:$D$8,2,FALSE),"")</f>
        <v/>
      </c>
      <c r="H100" s="145"/>
      <c r="I100" s="499" t="str">
        <f>IFERROR(INDEX('G-7 Rivers Data'!$H$4:$L$8,MATCH(D100,'G-7 Rivers Data'!$B$4:$B$8,0),MATCH(H100,'G-7 Rivers Data'!$H$3:$L$3,0)),"")</f>
        <v/>
      </c>
      <c r="J100" s="418"/>
      <c r="K100" s="498" t="str">
        <f>IF(J100="","",IF(VLOOKUP(J100,'G-7 Rivers Data'!$AK$4:$AM$9,2,FALSE)=0,"Spatial Data Missing ⚠",VLOOKUP(J100,'G-7 Rivers Data'!$AK$4:$AM$9,2,FALSE)))</f>
        <v/>
      </c>
      <c r="L100" s="505" t="str">
        <f>IF(J100="","",IF(VLOOKUP(J100,'G-7 Rivers Data'!$AK$4:$AM$9,3,FALSE)=0,"Spatial Data Missing ⚠",VLOOKUP(J100,'G-7 Rivers Data'!$AK$4:$AM$9,3,FALSE)))</f>
        <v/>
      </c>
      <c r="M100" s="71"/>
      <c r="N100" s="499" t="str">
        <f>IF(M100="","",IF(VLOOKUP(M100,'G-7 Rivers Data'!$AA$4:$AB$7,2,FALSE)=0,"Spatial Data Missing ⚠",VLOOKUP(M100,'G-7 Rivers Data'!$AA$4:$AB$7,2,FALSE)))</f>
        <v/>
      </c>
      <c r="O100" s="155"/>
      <c r="P100" s="499" t="str">
        <f>IF(O100="","",IF(VLOOKUP(O100,'G-7 Rivers Data'!$AD$4:$AE$8,2,FALSE)=0,"Spatial Data Missing ⚠",VLOOKUP(O100,'G-7 Rivers Data'!$AD$4:$AE$8,2,FALSE)))</f>
        <v/>
      </c>
      <c r="Q100" s="506" t="str">
        <f>IF(D100="","",VLOOKUP(D100,'G-7 Rivers Data'!$B$2:$G$8,6,FALSE))</f>
        <v/>
      </c>
      <c r="R100" s="513" t="str">
        <f t="shared" si="8"/>
        <v/>
      </c>
      <c r="S100" s="40"/>
      <c r="T100" s="145"/>
      <c r="U100" s="157"/>
      <c r="V100" s="511" t="str">
        <f t="shared" si="9"/>
        <v/>
      </c>
      <c r="W100" s="511" t="str">
        <f t="shared" si="10"/>
        <v/>
      </c>
      <c r="X100" s="511" t="str">
        <f t="shared" si="11"/>
        <v/>
      </c>
      <c r="Y100" s="515" t="str">
        <f t="shared" si="12"/>
        <v/>
      </c>
      <c r="Z100" s="151"/>
      <c r="AA100" s="152"/>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c r="AP100" s="31" t="str">
        <f>IFERROR(INDEX('G-7 Rivers Data'!$AZ$3:$AZ$7,MATCH(D100,'G-7 Rivers Data'!$AY$3:$AY$7,0)),"")</f>
        <v/>
      </c>
    </row>
    <row r="101" spans="3:42" ht="13.8" x14ac:dyDescent="0.25">
      <c r="C101" s="141">
        <v>92</v>
      </c>
      <c r="D101" s="460"/>
      <c r="E101" s="172"/>
      <c r="F101" s="498" t="str">
        <f>IF(D101="","",VLOOKUP(D101,'G-7 Rivers Data'!$B$2:$G$8,2,FALSE))</f>
        <v/>
      </c>
      <c r="G101" s="499" t="str">
        <f>IFERROR(VLOOKUP(F101,'G-7 Rivers Data'!$C$4:$D$8,2,FALSE),"")</f>
        <v/>
      </c>
      <c r="H101" s="145"/>
      <c r="I101" s="499" t="str">
        <f>IFERROR(INDEX('G-7 Rivers Data'!$H$4:$L$8,MATCH(D101,'G-7 Rivers Data'!$B$4:$B$8,0),MATCH(H101,'G-7 Rivers Data'!$H$3:$L$3,0)),"")</f>
        <v/>
      </c>
      <c r="J101" s="418"/>
      <c r="K101" s="498" t="str">
        <f>IF(J101="","",IF(VLOOKUP(J101,'G-7 Rivers Data'!$AK$4:$AM$9,2,FALSE)=0,"Spatial Data Missing ⚠",VLOOKUP(J101,'G-7 Rivers Data'!$AK$4:$AM$9,2,FALSE)))</f>
        <v/>
      </c>
      <c r="L101" s="505" t="str">
        <f>IF(J101="","",IF(VLOOKUP(J101,'G-7 Rivers Data'!$AK$4:$AM$9,3,FALSE)=0,"Spatial Data Missing ⚠",VLOOKUP(J101,'G-7 Rivers Data'!$AK$4:$AM$9,3,FALSE)))</f>
        <v/>
      </c>
      <c r="M101" s="71"/>
      <c r="N101" s="499" t="str">
        <f>IF(M101="","",IF(VLOOKUP(M101,'G-7 Rivers Data'!$AA$4:$AB$7,2,FALSE)=0,"Spatial Data Missing ⚠",VLOOKUP(M101,'G-7 Rivers Data'!$AA$4:$AB$7,2,FALSE)))</f>
        <v/>
      </c>
      <c r="O101" s="155"/>
      <c r="P101" s="499" t="str">
        <f>IF(O101="","",IF(VLOOKUP(O101,'G-7 Rivers Data'!$AD$4:$AE$8,2,FALSE)=0,"Spatial Data Missing ⚠",VLOOKUP(O101,'G-7 Rivers Data'!$AD$4:$AE$8,2,FALSE)))</f>
        <v/>
      </c>
      <c r="Q101" s="506" t="str">
        <f>IF(D101="","",VLOOKUP(D101,'G-7 Rivers Data'!$B$2:$G$8,6,FALSE))</f>
        <v/>
      </c>
      <c r="R101" s="513" t="str">
        <f t="shared" si="8"/>
        <v/>
      </c>
      <c r="S101" s="40"/>
      <c r="T101" s="145"/>
      <c r="U101" s="157"/>
      <c r="V101" s="511" t="str">
        <f t="shared" si="9"/>
        <v/>
      </c>
      <c r="W101" s="511" t="str">
        <f t="shared" si="10"/>
        <v/>
      </c>
      <c r="X101" s="511" t="str">
        <f t="shared" si="11"/>
        <v/>
      </c>
      <c r="Y101" s="515" t="str">
        <f t="shared" si="12"/>
        <v/>
      </c>
      <c r="Z101" s="151"/>
      <c r="AA101" s="152"/>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c r="AP101" s="31" t="str">
        <f>IFERROR(INDEX('G-7 Rivers Data'!$AZ$3:$AZ$7,MATCH(D101,'G-7 Rivers Data'!$AY$3:$AY$7,0)),"")</f>
        <v/>
      </c>
    </row>
    <row r="102" spans="3:42" ht="13.8" x14ac:dyDescent="0.25">
      <c r="C102" s="141">
        <v>93</v>
      </c>
      <c r="D102" s="460"/>
      <c r="E102" s="172"/>
      <c r="F102" s="498" t="str">
        <f>IF(D102="","",VLOOKUP(D102,'G-7 Rivers Data'!$B$2:$G$8,2,FALSE))</f>
        <v/>
      </c>
      <c r="G102" s="499" t="str">
        <f>IFERROR(VLOOKUP(F102,'G-7 Rivers Data'!$C$4:$D$8,2,FALSE),"")</f>
        <v/>
      </c>
      <c r="H102" s="145"/>
      <c r="I102" s="499" t="str">
        <f>IFERROR(INDEX('G-7 Rivers Data'!$H$4:$L$8,MATCH(D102,'G-7 Rivers Data'!$B$4:$B$8,0),MATCH(H102,'G-7 Rivers Data'!$H$3:$L$3,0)),"")</f>
        <v/>
      </c>
      <c r="J102" s="418"/>
      <c r="K102" s="498" t="str">
        <f>IF(J102="","",IF(VLOOKUP(J102,'G-7 Rivers Data'!$AK$4:$AM$9,2,FALSE)=0,"Spatial Data Missing ⚠",VLOOKUP(J102,'G-7 Rivers Data'!$AK$4:$AM$9,2,FALSE)))</f>
        <v/>
      </c>
      <c r="L102" s="505" t="str">
        <f>IF(J102="","",IF(VLOOKUP(J102,'G-7 Rivers Data'!$AK$4:$AM$9,3,FALSE)=0,"Spatial Data Missing ⚠",VLOOKUP(J102,'G-7 Rivers Data'!$AK$4:$AM$9,3,FALSE)))</f>
        <v/>
      </c>
      <c r="M102" s="71"/>
      <c r="N102" s="499" t="str">
        <f>IF(M102="","",IF(VLOOKUP(M102,'G-7 Rivers Data'!$AA$4:$AB$7,2,FALSE)=0,"Spatial Data Missing ⚠",VLOOKUP(M102,'G-7 Rivers Data'!$AA$4:$AB$7,2,FALSE)))</f>
        <v/>
      </c>
      <c r="O102" s="155"/>
      <c r="P102" s="499" t="str">
        <f>IF(O102="","",IF(VLOOKUP(O102,'G-7 Rivers Data'!$AD$4:$AE$8,2,FALSE)=0,"Spatial Data Missing ⚠",VLOOKUP(O102,'G-7 Rivers Data'!$AD$4:$AE$8,2,FALSE)))</f>
        <v/>
      </c>
      <c r="Q102" s="506" t="str">
        <f>IF(D102="","",VLOOKUP(D102,'G-7 Rivers Data'!$B$2:$G$8,6,FALSE))</f>
        <v/>
      </c>
      <c r="R102" s="513" t="str">
        <f t="shared" si="8"/>
        <v/>
      </c>
      <c r="S102" s="40"/>
      <c r="T102" s="145"/>
      <c r="U102" s="157"/>
      <c r="V102" s="511" t="str">
        <f t="shared" si="9"/>
        <v/>
      </c>
      <c r="W102" s="511" t="str">
        <f t="shared" si="10"/>
        <v/>
      </c>
      <c r="X102" s="511" t="str">
        <f t="shared" si="11"/>
        <v/>
      </c>
      <c r="Y102" s="515" t="str">
        <f t="shared" si="12"/>
        <v/>
      </c>
      <c r="Z102" s="151"/>
      <c r="AA102" s="152"/>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c r="AP102" s="31" t="str">
        <f>IFERROR(INDEX('G-7 Rivers Data'!$AZ$3:$AZ$7,MATCH(D102,'G-7 Rivers Data'!$AY$3:$AY$7,0)),"")</f>
        <v/>
      </c>
    </row>
    <row r="103" spans="3:42" ht="13.8" x14ac:dyDescent="0.25">
      <c r="C103" s="141">
        <v>94</v>
      </c>
      <c r="D103" s="460"/>
      <c r="E103" s="172"/>
      <c r="F103" s="498" t="str">
        <f>IF(D103="","",VLOOKUP(D103,'G-7 Rivers Data'!$B$2:$G$8,2,FALSE))</f>
        <v/>
      </c>
      <c r="G103" s="499" t="str">
        <f>IFERROR(VLOOKUP(F103,'G-7 Rivers Data'!$C$4:$D$8,2,FALSE),"")</f>
        <v/>
      </c>
      <c r="H103" s="145"/>
      <c r="I103" s="499" t="str">
        <f>IFERROR(INDEX('G-7 Rivers Data'!$H$4:$L$8,MATCH(D103,'G-7 Rivers Data'!$B$4:$B$8,0),MATCH(H103,'G-7 Rivers Data'!$H$3:$L$3,0)),"")</f>
        <v/>
      </c>
      <c r="J103" s="418"/>
      <c r="K103" s="498" t="str">
        <f>IF(J103="","",IF(VLOOKUP(J103,'G-7 Rivers Data'!$AK$4:$AM$9,2,FALSE)=0,"Spatial Data Missing ⚠",VLOOKUP(J103,'G-7 Rivers Data'!$AK$4:$AM$9,2,FALSE)))</f>
        <v/>
      </c>
      <c r="L103" s="505" t="str">
        <f>IF(J103="","",IF(VLOOKUP(J103,'G-7 Rivers Data'!$AK$4:$AM$9,3,FALSE)=0,"Spatial Data Missing ⚠",VLOOKUP(J103,'G-7 Rivers Data'!$AK$4:$AM$9,3,FALSE)))</f>
        <v/>
      </c>
      <c r="M103" s="71"/>
      <c r="N103" s="499" t="str">
        <f>IF(M103="","",IF(VLOOKUP(M103,'G-7 Rivers Data'!$AA$4:$AB$7,2,FALSE)=0,"Spatial Data Missing ⚠",VLOOKUP(M103,'G-7 Rivers Data'!$AA$4:$AB$7,2,FALSE)))</f>
        <v/>
      </c>
      <c r="O103" s="155"/>
      <c r="P103" s="499" t="str">
        <f>IF(O103="","",IF(VLOOKUP(O103,'G-7 Rivers Data'!$AD$4:$AE$8,2,FALSE)=0,"Spatial Data Missing ⚠",VLOOKUP(O103,'G-7 Rivers Data'!$AD$4:$AE$8,2,FALSE)))</f>
        <v/>
      </c>
      <c r="Q103" s="506" t="str">
        <f>IF(D103="","",VLOOKUP(D103,'G-7 Rivers Data'!$B$2:$G$8,6,FALSE))</f>
        <v/>
      </c>
      <c r="R103" s="513" t="str">
        <f t="shared" si="8"/>
        <v/>
      </c>
      <c r="S103" s="40"/>
      <c r="T103" s="145"/>
      <c r="U103" s="157"/>
      <c r="V103" s="511" t="str">
        <f t="shared" si="9"/>
        <v/>
      </c>
      <c r="W103" s="511" t="str">
        <f t="shared" si="10"/>
        <v/>
      </c>
      <c r="X103" s="511" t="str">
        <f t="shared" si="11"/>
        <v/>
      </c>
      <c r="Y103" s="515" t="str">
        <f t="shared" si="12"/>
        <v/>
      </c>
      <c r="Z103" s="151"/>
      <c r="AA103" s="152"/>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c r="AP103" s="31" t="str">
        <f>IFERROR(INDEX('G-7 Rivers Data'!$AZ$3:$AZ$7,MATCH(D103,'G-7 Rivers Data'!$AY$3:$AY$7,0)),"")</f>
        <v/>
      </c>
    </row>
    <row r="104" spans="3:42" ht="13.8" x14ac:dyDescent="0.25">
      <c r="C104" s="141">
        <v>95</v>
      </c>
      <c r="D104" s="460"/>
      <c r="E104" s="172"/>
      <c r="F104" s="498" t="str">
        <f>IF(D104="","",VLOOKUP(D104,'G-7 Rivers Data'!$B$2:$G$8,2,FALSE))</f>
        <v/>
      </c>
      <c r="G104" s="499" t="str">
        <f>IFERROR(VLOOKUP(F104,'G-7 Rivers Data'!$C$4:$D$8,2,FALSE),"")</f>
        <v/>
      </c>
      <c r="H104" s="145"/>
      <c r="I104" s="499" t="str">
        <f>IFERROR(INDEX('G-7 Rivers Data'!$H$4:$L$8,MATCH(D104,'G-7 Rivers Data'!$B$4:$B$8,0),MATCH(H104,'G-7 Rivers Data'!$H$3:$L$3,0)),"")</f>
        <v/>
      </c>
      <c r="J104" s="418"/>
      <c r="K104" s="498" t="str">
        <f>IF(J104="","",IF(VLOOKUP(J104,'G-7 Rivers Data'!$AK$4:$AM$9,2,FALSE)=0,"Spatial Data Missing ⚠",VLOOKUP(J104,'G-7 Rivers Data'!$AK$4:$AM$9,2,FALSE)))</f>
        <v/>
      </c>
      <c r="L104" s="505" t="str">
        <f>IF(J104="","",IF(VLOOKUP(J104,'G-7 Rivers Data'!$AK$4:$AM$9,3,FALSE)=0,"Spatial Data Missing ⚠",VLOOKUP(J104,'G-7 Rivers Data'!$AK$4:$AM$9,3,FALSE)))</f>
        <v/>
      </c>
      <c r="M104" s="71"/>
      <c r="N104" s="499" t="str">
        <f>IF(M104="","",IF(VLOOKUP(M104,'G-7 Rivers Data'!$AA$4:$AB$7,2,FALSE)=0,"Spatial Data Missing ⚠",VLOOKUP(M104,'G-7 Rivers Data'!$AA$4:$AB$7,2,FALSE)))</f>
        <v/>
      </c>
      <c r="O104" s="155"/>
      <c r="P104" s="499" t="str">
        <f>IF(O104="","",IF(VLOOKUP(O104,'G-7 Rivers Data'!$AD$4:$AE$8,2,FALSE)=0,"Spatial Data Missing ⚠",VLOOKUP(O104,'G-7 Rivers Data'!$AD$4:$AE$8,2,FALSE)))</f>
        <v/>
      </c>
      <c r="Q104" s="506" t="str">
        <f>IF(D104="","",VLOOKUP(D104,'G-7 Rivers Data'!$B$2:$G$8,6,FALSE))</f>
        <v/>
      </c>
      <c r="R104" s="513" t="str">
        <f t="shared" si="8"/>
        <v/>
      </c>
      <c r="S104" s="40"/>
      <c r="T104" s="145"/>
      <c r="U104" s="157"/>
      <c r="V104" s="511" t="str">
        <f t="shared" si="9"/>
        <v/>
      </c>
      <c r="W104" s="511" t="str">
        <f t="shared" si="10"/>
        <v/>
      </c>
      <c r="X104" s="511" t="str">
        <f t="shared" si="11"/>
        <v/>
      </c>
      <c r="Y104" s="515" t="str">
        <f t="shared" si="12"/>
        <v/>
      </c>
      <c r="Z104" s="151"/>
      <c r="AA104" s="152"/>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c r="AP104" s="31" t="str">
        <f>IFERROR(INDEX('G-7 Rivers Data'!$AZ$3:$AZ$7,MATCH(D104,'G-7 Rivers Data'!$AY$3:$AY$7,0)),"")</f>
        <v/>
      </c>
    </row>
    <row r="105" spans="3:42" ht="13.8" x14ac:dyDescent="0.25">
      <c r="C105" s="141">
        <v>96</v>
      </c>
      <c r="D105" s="460"/>
      <c r="E105" s="172"/>
      <c r="F105" s="498" t="str">
        <f>IF(D105="","",VLOOKUP(D105,'G-7 Rivers Data'!$B$2:$G$8,2,FALSE))</f>
        <v/>
      </c>
      <c r="G105" s="499" t="str">
        <f>IFERROR(VLOOKUP(F105,'G-7 Rivers Data'!$C$4:$D$8,2,FALSE),"")</f>
        <v/>
      </c>
      <c r="H105" s="145"/>
      <c r="I105" s="499" t="str">
        <f>IFERROR(INDEX('G-7 Rivers Data'!$H$4:$L$8,MATCH(D105,'G-7 Rivers Data'!$B$4:$B$8,0),MATCH(H105,'G-7 Rivers Data'!$H$3:$L$3,0)),"")</f>
        <v/>
      </c>
      <c r="J105" s="418"/>
      <c r="K105" s="498" t="str">
        <f>IF(J105="","",IF(VLOOKUP(J105,'G-7 Rivers Data'!$AK$4:$AM$9,2,FALSE)=0,"Spatial Data Missing ⚠",VLOOKUP(J105,'G-7 Rivers Data'!$AK$4:$AM$9,2,FALSE)))</f>
        <v/>
      </c>
      <c r="L105" s="505" t="str">
        <f>IF(J105="","",IF(VLOOKUP(J105,'G-7 Rivers Data'!$AK$4:$AM$9,3,FALSE)=0,"Spatial Data Missing ⚠",VLOOKUP(J105,'G-7 Rivers Data'!$AK$4:$AM$9,3,FALSE)))</f>
        <v/>
      </c>
      <c r="M105" s="71"/>
      <c r="N105" s="499" t="str">
        <f>IF(M105="","",IF(VLOOKUP(M105,'G-7 Rivers Data'!$AA$4:$AB$7,2,FALSE)=0,"Spatial Data Missing ⚠",VLOOKUP(M105,'G-7 Rivers Data'!$AA$4:$AB$7,2,FALSE)))</f>
        <v/>
      </c>
      <c r="O105" s="155"/>
      <c r="P105" s="499" t="str">
        <f>IF(O105="","",IF(VLOOKUP(O105,'G-7 Rivers Data'!$AD$4:$AE$8,2,FALSE)=0,"Spatial Data Missing ⚠",VLOOKUP(O105,'G-7 Rivers Data'!$AD$4:$AE$8,2,FALSE)))</f>
        <v/>
      </c>
      <c r="Q105" s="506" t="str">
        <f>IF(D105="","",VLOOKUP(D105,'G-7 Rivers Data'!$B$2:$G$8,6,FALSE))</f>
        <v/>
      </c>
      <c r="R105" s="513" t="str">
        <f t="shared" si="8"/>
        <v/>
      </c>
      <c r="S105" s="40"/>
      <c r="T105" s="145"/>
      <c r="U105" s="157"/>
      <c r="V105" s="511" t="str">
        <f t="shared" si="9"/>
        <v/>
      </c>
      <c r="W105" s="511" t="str">
        <f t="shared" si="10"/>
        <v/>
      </c>
      <c r="X105" s="511" t="str">
        <f t="shared" si="11"/>
        <v/>
      </c>
      <c r="Y105" s="515" t="str">
        <f t="shared" si="12"/>
        <v/>
      </c>
      <c r="Z105" s="151"/>
      <c r="AA105" s="152"/>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c r="AP105" s="31" t="str">
        <f>IFERROR(INDEX('G-7 Rivers Data'!$AZ$3:$AZ$7,MATCH(D105,'G-7 Rivers Data'!$AY$3:$AY$7,0)),"")</f>
        <v/>
      </c>
    </row>
    <row r="106" spans="3:42" ht="13.8" x14ac:dyDescent="0.25">
      <c r="C106" s="141">
        <v>97</v>
      </c>
      <c r="D106" s="460"/>
      <c r="E106" s="172"/>
      <c r="F106" s="498" t="str">
        <f>IF(D106="","",VLOOKUP(D106,'G-7 Rivers Data'!$B$2:$G$8,2,FALSE))</f>
        <v/>
      </c>
      <c r="G106" s="499" t="str">
        <f>IFERROR(VLOOKUP(F106,'G-7 Rivers Data'!$C$4:$D$8,2,FALSE),"")</f>
        <v/>
      </c>
      <c r="H106" s="145"/>
      <c r="I106" s="499" t="str">
        <f>IFERROR(INDEX('G-7 Rivers Data'!$H$4:$L$8,MATCH(D106,'G-7 Rivers Data'!$B$4:$B$8,0),MATCH(H106,'G-7 Rivers Data'!$H$3:$L$3,0)),"")</f>
        <v/>
      </c>
      <c r="J106" s="418"/>
      <c r="K106" s="498" t="str">
        <f>IF(J106="","",IF(VLOOKUP(J106,'G-7 Rivers Data'!$AK$4:$AM$9,2,FALSE)=0,"Spatial Data Missing ⚠",VLOOKUP(J106,'G-7 Rivers Data'!$AK$4:$AM$9,2,FALSE)))</f>
        <v/>
      </c>
      <c r="L106" s="505" t="str">
        <f>IF(J106="","",IF(VLOOKUP(J106,'G-7 Rivers Data'!$AK$4:$AM$9,3,FALSE)=0,"Spatial Data Missing ⚠",VLOOKUP(J106,'G-7 Rivers Data'!$AK$4:$AM$9,3,FALSE)))</f>
        <v/>
      </c>
      <c r="M106" s="71"/>
      <c r="N106" s="499" t="str">
        <f>IF(M106="","",IF(VLOOKUP(M106,'G-7 Rivers Data'!$AA$4:$AB$7,2,FALSE)=0,"Spatial Data Missing ⚠",VLOOKUP(M106,'G-7 Rivers Data'!$AA$4:$AB$7,2,FALSE)))</f>
        <v/>
      </c>
      <c r="O106" s="155"/>
      <c r="P106" s="499" t="str">
        <f>IF(O106="","",IF(VLOOKUP(O106,'G-7 Rivers Data'!$AD$4:$AE$8,2,FALSE)=0,"Spatial Data Missing ⚠",VLOOKUP(O106,'G-7 Rivers Data'!$AD$4:$AE$8,2,FALSE)))</f>
        <v/>
      </c>
      <c r="Q106" s="506" t="str">
        <f>IF(D106="","",VLOOKUP(D106,'G-7 Rivers Data'!$B$2:$G$8,6,FALSE))</f>
        <v/>
      </c>
      <c r="R106" s="513" t="str">
        <f t="shared" si="8"/>
        <v/>
      </c>
      <c r="S106" s="40"/>
      <c r="T106" s="145"/>
      <c r="U106" s="157"/>
      <c r="V106" s="511" t="str">
        <f t="shared" si="9"/>
        <v/>
      </c>
      <c r="W106" s="511" t="str">
        <f t="shared" si="10"/>
        <v/>
      </c>
      <c r="X106" s="511" t="str">
        <f t="shared" si="11"/>
        <v/>
      </c>
      <c r="Y106" s="515" t="str">
        <f t="shared" si="12"/>
        <v/>
      </c>
      <c r="Z106" s="151"/>
      <c r="AA106" s="152"/>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c r="AP106" s="31" t="str">
        <f>IFERROR(INDEX('G-7 Rivers Data'!$AZ$3:$AZ$7,MATCH(D106,'G-7 Rivers Data'!$AY$3:$AY$7,0)),"")</f>
        <v/>
      </c>
    </row>
    <row r="107" spans="3:42" ht="13.8" x14ac:dyDescent="0.25">
      <c r="C107" s="141">
        <v>98</v>
      </c>
      <c r="D107" s="460"/>
      <c r="E107" s="172"/>
      <c r="F107" s="498" t="str">
        <f>IF(D107="","",VLOOKUP(D107,'G-7 Rivers Data'!$B$2:$G$8,2,FALSE))</f>
        <v/>
      </c>
      <c r="G107" s="499" t="str">
        <f>IFERROR(VLOOKUP(F107,'G-7 Rivers Data'!$C$4:$D$8,2,FALSE),"")</f>
        <v/>
      </c>
      <c r="H107" s="145"/>
      <c r="I107" s="499" t="str">
        <f>IFERROR(INDEX('G-7 Rivers Data'!$H$4:$L$8,MATCH(D107,'G-7 Rivers Data'!$B$4:$B$8,0),MATCH(H107,'G-7 Rivers Data'!$H$3:$L$3,0)),"")</f>
        <v/>
      </c>
      <c r="J107" s="418"/>
      <c r="K107" s="498" t="str">
        <f>IF(J107="","",IF(VLOOKUP(J107,'G-7 Rivers Data'!$AK$4:$AM$9,2,FALSE)=0,"Spatial Data Missing ⚠",VLOOKUP(J107,'G-7 Rivers Data'!$AK$4:$AM$9,2,FALSE)))</f>
        <v/>
      </c>
      <c r="L107" s="505" t="str">
        <f>IF(J107="","",IF(VLOOKUP(J107,'G-7 Rivers Data'!$AK$4:$AM$9,3,FALSE)=0,"Spatial Data Missing ⚠",VLOOKUP(J107,'G-7 Rivers Data'!$AK$4:$AM$9,3,FALSE)))</f>
        <v/>
      </c>
      <c r="M107" s="71"/>
      <c r="N107" s="499" t="str">
        <f>IF(M107="","",IF(VLOOKUP(M107,'G-7 Rivers Data'!$AA$4:$AB$7,2,FALSE)=0,"Spatial Data Missing ⚠",VLOOKUP(M107,'G-7 Rivers Data'!$AA$4:$AB$7,2,FALSE)))</f>
        <v/>
      </c>
      <c r="O107" s="155"/>
      <c r="P107" s="499" t="str">
        <f>IF(O107="","",IF(VLOOKUP(O107,'G-7 Rivers Data'!$AD$4:$AE$8,2,FALSE)=0,"Spatial Data Missing ⚠",VLOOKUP(O107,'G-7 Rivers Data'!$AD$4:$AE$8,2,FALSE)))</f>
        <v/>
      </c>
      <c r="Q107" s="506" t="str">
        <f>IF(D107="","",VLOOKUP(D107,'G-7 Rivers Data'!$B$2:$G$8,6,FALSE))</f>
        <v/>
      </c>
      <c r="R107" s="513" t="str">
        <f t="shared" si="8"/>
        <v/>
      </c>
      <c r="S107" s="40"/>
      <c r="T107" s="145"/>
      <c r="U107" s="157"/>
      <c r="V107" s="511" t="str">
        <f t="shared" si="9"/>
        <v/>
      </c>
      <c r="W107" s="511" t="str">
        <f t="shared" si="10"/>
        <v/>
      </c>
      <c r="X107" s="511" t="str">
        <f t="shared" si="11"/>
        <v/>
      </c>
      <c r="Y107" s="515" t="str">
        <f t="shared" si="12"/>
        <v/>
      </c>
      <c r="Z107" s="151"/>
      <c r="AA107" s="152"/>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c r="AP107" s="31" t="str">
        <f>IFERROR(INDEX('G-7 Rivers Data'!$AZ$3:$AZ$7,MATCH(D107,'G-7 Rivers Data'!$AY$3:$AY$7,0)),"")</f>
        <v/>
      </c>
    </row>
    <row r="108" spans="3:42" ht="13.8" x14ac:dyDescent="0.25">
      <c r="C108" s="141">
        <v>99</v>
      </c>
      <c r="D108" s="460"/>
      <c r="E108" s="172"/>
      <c r="F108" s="498" t="str">
        <f>IF(D108="","",VLOOKUP(D108,'G-7 Rivers Data'!$B$2:$G$8,2,FALSE))</f>
        <v/>
      </c>
      <c r="G108" s="499" t="str">
        <f>IFERROR(VLOOKUP(F108,'G-7 Rivers Data'!$C$4:$D$8,2,FALSE),"")</f>
        <v/>
      </c>
      <c r="H108" s="145"/>
      <c r="I108" s="499" t="str">
        <f>IFERROR(INDEX('G-7 Rivers Data'!$H$4:$L$8,MATCH(D108,'G-7 Rivers Data'!$B$4:$B$8,0),MATCH(H108,'G-7 Rivers Data'!$H$3:$L$3,0)),"")</f>
        <v/>
      </c>
      <c r="J108" s="418"/>
      <c r="K108" s="498" t="str">
        <f>IF(J108="","",IF(VLOOKUP(J108,'G-7 Rivers Data'!$AK$4:$AM$9,2,FALSE)=0,"Spatial Data Missing ⚠",VLOOKUP(J108,'G-7 Rivers Data'!$AK$4:$AM$9,2,FALSE)))</f>
        <v/>
      </c>
      <c r="L108" s="505" t="str">
        <f>IF(J108="","",IF(VLOOKUP(J108,'G-7 Rivers Data'!$AK$4:$AM$9,3,FALSE)=0,"Spatial Data Missing ⚠",VLOOKUP(J108,'G-7 Rivers Data'!$AK$4:$AM$9,3,FALSE)))</f>
        <v/>
      </c>
      <c r="M108" s="71"/>
      <c r="N108" s="499" t="str">
        <f>IF(M108="","",IF(VLOOKUP(M108,'G-7 Rivers Data'!$AA$4:$AB$7,2,FALSE)=0,"Spatial Data Missing ⚠",VLOOKUP(M108,'G-7 Rivers Data'!$AA$4:$AB$7,2,FALSE)))</f>
        <v/>
      </c>
      <c r="O108" s="155"/>
      <c r="P108" s="499" t="str">
        <f>IF(O108="","",IF(VLOOKUP(O108,'G-7 Rivers Data'!$AD$4:$AE$8,2,FALSE)=0,"Spatial Data Missing ⚠",VLOOKUP(O108,'G-7 Rivers Data'!$AD$4:$AE$8,2,FALSE)))</f>
        <v/>
      </c>
      <c r="Q108" s="506" t="str">
        <f>IF(D108="","",VLOOKUP(D108,'G-7 Rivers Data'!$B$2:$G$8,6,FALSE))</f>
        <v/>
      </c>
      <c r="R108" s="513" t="str">
        <f t="shared" si="8"/>
        <v/>
      </c>
      <c r="S108" s="40"/>
      <c r="T108" s="145"/>
      <c r="U108" s="157"/>
      <c r="V108" s="511" t="str">
        <f t="shared" si="9"/>
        <v/>
      </c>
      <c r="W108" s="511" t="str">
        <f t="shared" si="10"/>
        <v/>
      </c>
      <c r="X108" s="511" t="str">
        <f t="shared" si="11"/>
        <v/>
      </c>
      <c r="Y108" s="515" t="str">
        <f t="shared" si="12"/>
        <v/>
      </c>
      <c r="Z108" s="151"/>
      <c r="AA108" s="152"/>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c r="AP108" s="31" t="str">
        <f>IFERROR(INDEX('G-7 Rivers Data'!$AZ$3:$AZ$7,MATCH(D108,'G-7 Rivers Data'!$AY$3:$AY$7,0)),"")</f>
        <v/>
      </c>
    </row>
    <row r="109" spans="3:42" ht="13.8" x14ac:dyDescent="0.25">
      <c r="C109" s="141">
        <v>100</v>
      </c>
      <c r="D109" s="460"/>
      <c r="E109" s="172"/>
      <c r="F109" s="498" t="str">
        <f>IF(D109="","",VLOOKUP(D109,'G-7 Rivers Data'!$B$2:$G$8,2,FALSE))</f>
        <v/>
      </c>
      <c r="G109" s="499" t="str">
        <f>IFERROR(VLOOKUP(F109,'G-7 Rivers Data'!$C$4:$D$8,2,FALSE),"")</f>
        <v/>
      </c>
      <c r="H109" s="145"/>
      <c r="I109" s="499" t="str">
        <f>IFERROR(INDEX('G-7 Rivers Data'!$H$4:$L$8,MATCH(D109,'G-7 Rivers Data'!$B$4:$B$8,0),MATCH(H109,'G-7 Rivers Data'!$H$3:$L$3,0)),"")</f>
        <v/>
      </c>
      <c r="J109" s="418"/>
      <c r="K109" s="498" t="str">
        <f>IF(J109="","",IF(VLOOKUP(J109,'G-7 Rivers Data'!$AK$4:$AM$9,2,FALSE)=0,"Spatial Data Missing ⚠",VLOOKUP(J109,'G-7 Rivers Data'!$AK$4:$AM$9,2,FALSE)))</f>
        <v/>
      </c>
      <c r="L109" s="505" t="str">
        <f>IF(J109="","",IF(VLOOKUP(J109,'G-7 Rivers Data'!$AK$4:$AM$9,3,FALSE)=0,"Spatial Data Missing ⚠",VLOOKUP(J109,'G-7 Rivers Data'!$AK$4:$AM$9,3,FALSE)))</f>
        <v/>
      </c>
      <c r="M109" s="71"/>
      <c r="N109" s="499" t="str">
        <f>IF(M109="","",IF(VLOOKUP(M109,'G-7 Rivers Data'!$AA$4:$AB$7,2,FALSE)=0,"Spatial Data Missing ⚠",VLOOKUP(M109,'G-7 Rivers Data'!$AA$4:$AB$7,2,FALSE)))</f>
        <v/>
      </c>
      <c r="O109" s="155"/>
      <c r="P109" s="499" t="str">
        <f>IF(O109="","",IF(VLOOKUP(O109,'G-7 Rivers Data'!$AD$4:$AE$8,2,FALSE)=0,"Spatial Data Missing ⚠",VLOOKUP(O109,'G-7 Rivers Data'!$AD$4:$AE$8,2,FALSE)))</f>
        <v/>
      </c>
      <c r="Q109" s="506" t="str">
        <f>IF(D109="","",VLOOKUP(D109,'G-7 Rivers Data'!$B$2:$G$8,6,FALSE))</f>
        <v/>
      </c>
      <c r="R109" s="513" t="str">
        <f t="shared" si="8"/>
        <v/>
      </c>
      <c r="S109" s="40"/>
      <c r="T109" s="145"/>
      <c r="U109" s="157"/>
      <c r="V109" s="511" t="str">
        <f t="shared" si="9"/>
        <v/>
      </c>
      <c r="W109" s="511" t="str">
        <f t="shared" si="10"/>
        <v/>
      </c>
      <c r="X109" s="511" t="str">
        <f t="shared" si="11"/>
        <v/>
      </c>
      <c r="Y109" s="515" t="str">
        <f t="shared" si="12"/>
        <v/>
      </c>
      <c r="Z109" s="151"/>
      <c r="AA109" s="152"/>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c r="AP109" s="31" t="str">
        <f>IFERROR(INDEX('G-7 Rivers Data'!$AZ$3:$AZ$7,MATCH(D109,'G-7 Rivers Data'!$AY$3:$AY$7,0)),"")</f>
        <v/>
      </c>
    </row>
    <row r="110" spans="3:42" ht="13.8" x14ac:dyDescent="0.25">
      <c r="C110" s="141">
        <v>101</v>
      </c>
      <c r="D110" s="460"/>
      <c r="E110" s="172"/>
      <c r="F110" s="498" t="str">
        <f>IF(D110="","",VLOOKUP(D110,'G-7 Rivers Data'!$B$2:$G$8,2,FALSE))</f>
        <v/>
      </c>
      <c r="G110" s="499" t="str">
        <f>IFERROR(VLOOKUP(F110,'G-7 Rivers Data'!$C$4:$D$8,2,FALSE),"")</f>
        <v/>
      </c>
      <c r="H110" s="145"/>
      <c r="I110" s="499" t="str">
        <f>IFERROR(INDEX('G-7 Rivers Data'!$H$4:$L$8,MATCH(D110,'G-7 Rivers Data'!$B$4:$B$8,0),MATCH(H110,'G-7 Rivers Data'!$H$3:$L$3,0)),"")</f>
        <v/>
      </c>
      <c r="J110" s="418"/>
      <c r="K110" s="498" t="str">
        <f>IF(J110="","",IF(VLOOKUP(J110,'G-7 Rivers Data'!$AK$4:$AM$9,2,FALSE)=0,"Spatial Data Missing ⚠",VLOOKUP(J110,'G-7 Rivers Data'!$AK$4:$AM$9,2,FALSE)))</f>
        <v/>
      </c>
      <c r="L110" s="505" t="str">
        <f>IF(J110="","",IF(VLOOKUP(J110,'G-7 Rivers Data'!$AK$4:$AM$9,3,FALSE)=0,"Spatial Data Missing ⚠",VLOOKUP(J110,'G-7 Rivers Data'!$AK$4:$AM$9,3,FALSE)))</f>
        <v/>
      </c>
      <c r="M110" s="71"/>
      <c r="N110" s="499" t="str">
        <f>IF(M110="","",IF(VLOOKUP(M110,'G-7 Rivers Data'!$AA$4:$AB$7,2,FALSE)=0,"Spatial Data Missing ⚠",VLOOKUP(M110,'G-7 Rivers Data'!$AA$4:$AB$7,2,FALSE)))</f>
        <v/>
      </c>
      <c r="O110" s="155"/>
      <c r="P110" s="499" t="str">
        <f>IF(O110="","",IF(VLOOKUP(O110,'G-7 Rivers Data'!$AD$4:$AE$8,2,FALSE)=0,"Spatial Data Missing ⚠",VLOOKUP(O110,'G-7 Rivers Data'!$AD$4:$AE$8,2,FALSE)))</f>
        <v/>
      </c>
      <c r="Q110" s="506" t="str">
        <f>IF(D110="","",VLOOKUP(D110,'G-7 Rivers Data'!$B$2:$G$8,6,FALSE))</f>
        <v/>
      </c>
      <c r="R110" s="513" t="str">
        <f t="shared" si="8"/>
        <v/>
      </c>
      <c r="S110" s="40"/>
      <c r="T110" s="145"/>
      <c r="U110" s="157"/>
      <c r="V110" s="511" t="str">
        <f t="shared" si="9"/>
        <v/>
      </c>
      <c r="W110" s="511" t="str">
        <f t="shared" si="10"/>
        <v/>
      </c>
      <c r="X110" s="511" t="str">
        <f t="shared" si="11"/>
        <v/>
      </c>
      <c r="Y110" s="515" t="str">
        <f t="shared" si="12"/>
        <v/>
      </c>
      <c r="Z110" s="151"/>
      <c r="AA110" s="152"/>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c r="AP110" s="31" t="str">
        <f>IFERROR(INDEX('G-7 Rivers Data'!$AZ$3:$AZ$7,MATCH(D110,'G-7 Rivers Data'!$AY$3:$AY$7,0)),"")</f>
        <v/>
      </c>
    </row>
    <row r="111" spans="3:42" ht="13.8" x14ac:dyDescent="0.25">
      <c r="C111" s="141">
        <v>102</v>
      </c>
      <c r="D111" s="460"/>
      <c r="E111" s="172"/>
      <c r="F111" s="498" t="str">
        <f>IF(D111="","",VLOOKUP(D111,'G-7 Rivers Data'!$B$2:$G$8,2,FALSE))</f>
        <v/>
      </c>
      <c r="G111" s="499" t="str">
        <f>IFERROR(VLOOKUP(F111,'G-7 Rivers Data'!$C$4:$D$8,2,FALSE),"")</f>
        <v/>
      </c>
      <c r="H111" s="145"/>
      <c r="I111" s="499" t="str">
        <f>IFERROR(INDEX('G-7 Rivers Data'!$H$4:$L$8,MATCH(D111,'G-7 Rivers Data'!$B$4:$B$8,0),MATCH(H111,'G-7 Rivers Data'!$H$3:$L$3,0)),"")</f>
        <v/>
      </c>
      <c r="J111" s="418"/>
      <c r="K111" s="498" t="str">
        <f>IF(J111="","",IF(VLOOKUP(J111,'G-7 Rivers Data'!$AK$4:$AM$9,2,FALSE)=0,"Spatial Data Missing ⚠",VLOOKUP(J111,'G-7 Rivers Data'!$AK$4:$AM$9,2,FALSE)))</f>
        <v/>
      </c>
      <c r="L111" s="505" t="str">
        <f>IF(J111="","",IF(VLOOKUP(J111,'G-7 Rivers Data'!$AK$4:$AM$9,3,FALSE)=0,"Spatial Data Missing ⚠",VLOOKUP(J111,'G-7 Rivers Data'!$AK$4:$AM$9,3,FALSE)))</f>
        <v/>
      </c>
      <c r="M111" s="71"/>
      <c r="N111" s="499" t="str">
        <f>IF(M111="","",IF(VLOOKUP(M111,'G-7 Rivers Data'!$AA$4:$AB$7,2,FALSE)=0,"Spatial Data Missing ⚠",VLOOKUP(M111,'G-7 Rivers Data'!$AA$4:$AB$7,2,FALSE)))</f>
        <v/>
      </c>
      <c r="O111" s="155"/>
      <c r="P111" s="499" t="str">
        <f>IF(O111="","",IF(VLOOKUP(O111,'G-7 Rivers Data'!$AD$4:$AE$8,2,FALSE)=0,"Spatial Data Missing ⚠",VLOOKUP(O111,'G-7 Rivers Data'!$AD$4:$AE$8,2,FALSE)))</f>
        <v/>
      </c>
      <c r="Q111" s="506" t="str">
        <f>IF(D111="","",VLOOKUP(D111,'G-7 Rivers Data'!$B$2:$G$8,6,FALSE))</f>
        <v/>
      </c>
      <c r="R111" s="513" t="str">
        <f t="shared" si="8"/>
        <v/>
      </c>
      <c r="S111" s="40"/>
      <c r="T111" s="145"/>
      <c r="U111" s="157"/>
      <c r="V111" s="511" t="str">
        <f t="shared" si="9"/>
        <v/>
      </c>
      <c r="W111" s="511" t="str">
        <f t="shared" si="10"/>
        <v/>
      </c>
      <c r="X111" s="511" t="str">
        <f t="shared" si="11"/>
        <v/>
      </c>
      <c r="Y111" s="515" t="str">
        <f t="shared" si="12"/>
        <v/>
      </c>
      <c r="Z111" s="151"/>
      <c r="AA111" s="152"/>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c r="AP111" s="31" t="str">
        <f>IFERROR(INDEX('G-7 Rivers Data'!$AZ$3:$AZ$7,MATCH(D111,'G-7 Rivers Data'!$AY$3:$AY$7,0)),"")</f>
        <v/>
      </c>
    </row>
    <row r="112" spans="3:42" ht="13.8" x14ac:dyDescent="0.25">
      <c r="C112" s="141">
        <v>103</v>
      </c>
      <c r="D112" s="460"/>
      <c r="E112" s="172"/>
      <c r="F112" s="498" t="str">
        <f>IF(D112="","",VLOOKUP(D112,'G-7 Rivers Data'!$B$2:$G$8,2,FALSE))</f>
        <v/>
      </c>
      <c r="G112" s="499" t="str">
        <f>IFERROR(VLOOKUP(F112,'G-7 Rivers Data'!$C$4:$D$8,2,FALSE),"")</f>
        <v/>
      </c>
      <c r="H112" s="145"/>
      <c r="I112" s="499" t="str">
        <f>IFERROR(INDEX('G-7 Rivers Data'!$H$4:$L$8,MATCH(D112,'G-7 Rivers Data'!$B$4:$B$8,0),MATCH(H112,'G-7 Rivers Data'!$H$3:$L$3,0)),"")</f>
        <v/>
      </c>
      <c r="J112" s="418"/>
      <c r="K112" s="498" t="str">
        <f>IF(J112="","",IF(VLOOKUP(J112,'G-7 Rivers Data'!$AK$4:$AM$9,2,FALSE)=0,"Spatial Data Missing ⚠",VLOOKUP(J112,'G-7 Rivers Data'!$AK$4:$AM$9,2,FALSE)))</f>
        <v/>
      </c>
      <c r="L112" s="505" t="str">
        <f>IF(J112="","",IF(VLOOKUP(J112,'G-7 Rivers Data'!$AK$4:$AM$9,3,FALSE)=0,"Spatial Data Missing ⚠",VLOOKUP(J112,'G-7 Rivers Data'!$AK$4:$AM$9,3,FALSE)))</f>
        <v/>
      </c>
      <c r="M112" s="71"/>
      <c r="N112" s="499" t="str">
        <f>IF(M112="","",IF(VLOOKUP(M112,'G-7 Rivers Data'!$AA$4:$AB$7,2,FALSE)=0,"Spatial Data Missing ⚠",VLOOKUP(M112,'G-7 Rivers Data'!$AA$4:$AB$7,2,FALSE)))</f>
        <v/>
      </c>
      <c r="O112" s="155"/>
      <c r="P112" s="499" t="str">
        <f>IF(O112="","",IF(VLOOKUP(O112,'G-7 Rivers Data'!$AD$4:$AE$8,2,FALSE)=0,"Spatial Data Missing ⚠",VLOOKUP(O112,'G-7 Rivers Data'!$AD$4:$AE$8,2,FALSE)))</f>
        <v/>
      </c>
      <c r="Q112" s="506" t="str">
        <f>IF(D112="","",VLOOKUP(D112,'G-7 Rivers Data'!$B$2:$G$8,6,FALSE))</f>
        <v/>
      </c>
      <c r="R112" s="513" t="str">
        <f t="shared" si="8"/>
        <v/>
      </c>
      <c r="S112" s="40"/>
      <c r="T112" s="145"/>
      <c r="U112" s="157"/>
      <c r="V112" s="511" t="str">
        <f t="shared" si="9"/>
        <v/>
      </c>
      <c r="W112" s="511" t="str">
        <f t="shared" si="10"/>
        <v/>
      </c>
      <c r="X112" s="511" t="str">
        <f t="shared" si="11"/>
        <v/>
      </c>
      <c r="Y112" s="515" t="str">
        <f t="shared" si="12"/>
        <v/>
      </c>
      <c r="Z112" s="151"/>
      <c r="AA112" s="152"/>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c r="AP112" s="31" t="str">
        <f>IFERROR(INDEX('G-7 Rivers Data'!$AZ$3:$AZ$7,MATCH(D112,'G-7 Rivers Data'!$AY$3:$AY$7,0)),"")</f>
        <v/>
      </c>
    </row>
    <row r="113" spans="3:42" ht="13.8" x14ac:dyDescent="0.25">
      <c r="C113" s="141">
        <v>104</v>
      </c>
      <c r="D113" s="460"/>
      <c r="E113" s="172"/>
      <c r="F113" s="498" t="str">
        <f>IF(D113="","",VLOOKUP(D113,'G-7 Rivers Data'!$B$2:$G$8,2,FALSE))</f>
        <v/>
      </c>
      <c r="G113" s="499" t="str">
        <f>IFERROR(VLOOKUP(F113,'G-7 Rivers Data'!$C$4:$D$8,2,FALSE),"")</f>
        <v/>
      </c>
      <c r="H113" s="145"/>
      <c r="I113" s="499" t="str">
        <f>IFERROR(INDEX('G-7 Rivers Data'!$H$4:$L$8,MATCH(D113,'G-7 Rivers Data'!$B$4:$B$8,0),MATCH(H113,'G-7 Rivers Data'!$H$3:$L$3,0)),"")</f>
        <v/>
      </c>
      <c r="J113" s="418"/>
      <c r="K113" s="498" t="str">
        <f>IF(J113="","",IF(VLOOKUP(J113,'G-7 Rivers Data'!$AK$4:$AM$9,2,FALSE)=0,"Spatial Data Missing ⚠",VLOOKUP(J113,'G-7 Rivers Data'!$AK$4:$AM$9,2,FALSE)))</f>
        <v/>
      </c>
      <c r="L113" s="505" t="str">
        <f>IF(J113="","",IF(VLOOKUP(J113,'G-7 Rivers Data'!$AK$4:$AM$9,3,FALSE)=0,"Spatial Data Missing ⚠",VLOOKUP(J113,'G-7 Rivers Data'!$AK$4:$AM$9,3,FALSE)))</f>
        <v/>
      </c>
      <c r="M113" s="71"/>
      <c r="N113" s="499" t="str">
        <f>IF(M113="","",IF(VLOOKUP(M113,'G-7 Rivers Data'!$AA$4:$AB$7,2,FALSE)=0,"Spatial Data Missing ⚠",VLOOKUP(M113,'G-7 Rivers Data'!$AA$4:$AB$7,2,FALSE)))</f>
        <v/>
      </c>
      <c r="O113" s="155"/>
      <c r="P113" s="499" t="str">
        <f>IF(O113="","",IF(VLOOKUP(O113,'G-7 Rivers Data'!$AD$4:$AE$8,2,FALSE)=0,"Spatial Data Missing ⚠",VLOOKUP(O113,'G-7 Rivers Data'!$AD$4:$AE$8,2,FALSE)))</f>
        <v/>
      </c>
      <c r="Q113" s="506" t="str">
        <f>IF(D113="","",VLOOKUP(D113,'G-7 Rivers Data'!$B$2:$G$8,6,FALSE))</f>
        <v/>
      </c>
      <c r="R113" s="513" t="str">
        <f t="shared" si="8"/>
        <v/>
      </c>
      <c r="S113" s="40"/>
      <c r="T113" s="145"/>
      <c r="U113" s="157"/>
      <c r="V113" s="511" t="str">
        <f t="shared" si="9"/>
        <v/>
      </c>
      <c r="W113" s="511" t="str">
        <f t="shared" si="10"/>
        <v/>
      </c>
      <c r="X113" s="511" t="str">
        <f t="shared" si="11"/>
        <v/>
      </c>
      <c r="Y113" s="515" t="str">
        <f t="shared" si="12"/>
        <v/>
      </c>
      <c r="Z113" s="151"/>
      <c r="AA113" s="152"/>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c r="AP113" s="31" t="str">
        <f>IFERROR(INDEX('G-7 Rivers Data'!$AZ$3:$AZ$7,MATCH(D113,'G-7 Rivers Data'!$AY$3:$AY$7,0)),"")</f>
        <v/>
      </c>
    </row>
    <row r="114" spans="3:42" ht="13.8" x14ac:dyDescent="0.25">
      <c r="C114" s="141">
        <v>105</v>
      </c>
      <c r="D114" s="460"/>
      <c r="E114" s="172"/>
      <c r="F114" s="498" t="str">
        <f>IF(D114="","",VLOOKUP(D114,'G-7 Rivers Data'!$B$2:$G$8,2,FALSE))</f>
        <v/>
      </c>
      <c r="G114" s="499" t="str">
        <f>IFERROR(VLOOKUP(F114,'G-7 Rivers Data'!$C$4:$D$8,2,FALSE),"")</f>
        <v/>
      </c>
      <c r="H114" s="145"/>
      <c r="I114" s="499" t="str">
        <f>IFERROR(INDEX('G-7 Rivers Data'!$H$4:$L$8,MATCH(D114,'G-7 Rivers Data'!$B$4:$B$8,0),MATCH(H114,'G-7 Rivers Data'!$H$3:$L$3,0)),"")</f>
        <v/>
      </c>
      <c r="J114" s="418"/>
      <c r="K114" s="498" t="str">
        <f>IF(J114="","",IF(VLOOKUP(J114,'G-7 Rivers Data'!$AK$4:$AM$9,2,FALSE)=0,"Spatial Data Missing ⚠",VLOOKUP(J114,'G-7 Rivers Data'!$AK$4:$AM$9,2,FALSE)))</f>
        <v/>
      </c>
      <c r="L114" s="505" t="str">
        <f>IF(J114="","",IF(VLOOKUP(J114,'G-7 Rivers Data'!$AK$4:$AM$9,3,FALSE)=0,"Spatial Data Missing ⚠",VLOOKUP(J114,'G-7 Rivers Data'!$AK$4:$AM$9,3,FALSE)))</f>
        <v/>
      </c>
      <c r="M114" s="71"/>
      <c r="N114" s="499" t="str">
        <f>IF(M114="","",IF(VLOOKUP(M114,'G-7 Rivers Data'!$AA$4:$AB$7,2,FALSE)=0,"Spatial Data Missing ⚠",VLOOKUP(M114,'G-7 Rivers Data'!$AA$4:$AB$7,2,FALSE)))</f>
        <v/>
      </c>
      <c r="O114" s="155"/>
      <c r="P114" s="499" t="str">
        <f>IF(O114="","",IF(VLOOKUP(O114,'G-7 Rivers Data'!$AD$4:$AE$8,2,FALSE)=0,"Spatial Data Missing ⚠",VLOOKUP(O114,'G-7 Rivers Data'!$AD$4:$AE$8,2,FALSE)))</f>
        <v/>
      </c>
      <c r="Q114" s="506" t="str">
        <f>IF(D114="","",VLOOKUP(D114,'G-7 Rivers Data'!$B$2:$G$8,6,FALSE))</f>
        <v/>
      </c>
      <c r="R114" s="513" t="str">
        <f t="shared" si="8"/>
        <v/>
      </c>
      <c r="S114" s="40"/>
      <c r="T114" s="145"/>
      <c r="U114" s="157"/>
      <c r="V114" s="511" t="str">
        <f t="shared" si="9"/>
        <v/>
      </c>
      <c r="W114" s="511" t="str">
        <f t="shared" si="10"/>
        <v/>
      </c>
      <c r="X114" s="511" t="str">
        <f t="shared" si="11"/>
        <v/>
      </c>
      <c r="Y114" s="515" t="str">
        <f t="shared" si="12"/>
        <v/>
      </c>
      <c r="Z114" s="151"/>
      <c r="AA114" s="152"/>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c r="AP114" s="31" t="str">
        <f>IFERROR(INDEX('G-7 Rivers Data'!$AZ$3:$AZ$7,MATCH(D114,'G-7 Rivers Data'!$AY$3:$AY$7,0)),"")</f>
        <v/>
      </c>
    </row>
    <row r="115" spans="3:42" ht="13.8" x14ac:dyDescent="0.25">
      <c r="C115" s="141">
        <v>106</v>
      </c>
      <c r="D115" s="460"/>
      <c r="E115" s="172"/>
      <c r="F115" s="498" t="str">
        <f>IF(D115="","",VLOOKUP(D115,'G-7 Rivers Data'!$B$2:$G$8,2,FALSE))</f>
        <v/>
      </c>
      <c r="G115" s="499" t="str">
        <f>IFERROR(VLOOKUP(F115,'G-7 Rivers Data'!$C$4:$D$8,2,FALSE),"")</f>
        <v/>
      </c>
      <c r="H115" s="145"/>
      <c r="I115" s="499" t="str">
        <f>IFERROR(INDEX('G-7 Rivers Data'!$H$4:$L$8,MATCH(D115,'G-7 Rivers Data'!$B$4:$B$8,0),MATCH(H115,'G-7 Rivers Data'!$H$3:$L$3,0)),"")</f>
        <v/>
      </c>
      <c r="J115" s="418"/>
      <c r="K115" s="498" t="str">
        <f>IF(J115="","",IF(VLOOKUP(J115,'G-7 Rivers Data'!$AK$4:$AM$9,2,FALSE)=0,"Spatial Data Missing ⚠",VLOOKUP(J115,'G-7 Rivers Data'!$AK$4:$AM$9,2,FALSE)))</f>
        <v/>
      </c>
      <c r="L115" s="505" t="str">
        <f>IF(J115="","",IF(VLOOKUP(J115,'G-7 Rivers Data'!$AK$4:$AM$9,3,FALSE)=0,"Spatial Data Missing ⚠",VLOOKUP(J115,'G-7 Rivers Data'!$AK$4:$AM$9,3,FALSE)))</f>
        <v/>
      </c>
      <c r="M115" s="71"/>
      <c r="N115" s="499" t="str">
        <f>IF(M115="","",IF(VLOOKUP(M115,'G-7 Rivers Data'!$AA$4:$AB$7,2,FALSE)=0,"Spatial Data Missing ⚠",VLOOKUP(M115,'G-7 Rivers Data'!$AA$4:$AB$7,2,FALSE)))</f>
        <v/>
      </c>
      <c r="O115" s="155"/>
      <c r="P115" s="499" t="str">
        <f>IF(O115="","",IF(VLOOKUP(O115,'G-7 Rivers Data'!$AD$4:$AE$8,2,FALSE)=0,"Spatial Data Missing ⚠",VLOOKUP(O115,'G-7 Rivers Data'!$AD$4:$AE$8,2,FALSE)))</f>
        <v/>
      </c>
      <c r="Q115" s="506" t="str">
        <f>IF(D115="","",VLOOKUP(D115,'G-7 Rivers Data'!$B$2:$G$8,6,FALSE))</f>
        <v/>
      </c>
      <c r="R115" s="513" t="str">
        <f t="shared" si="8"/>
        <v/>
      </c>
      <c r="S115" s="40"/>
      <c r="T115" s="145"/>
      <c r="U115" s="157"/>
      <c r="V115" s="511" t="str">
        <f t="shared" si="9"/>
        <v/>
      </c>
      <c r="W115" s="511" t="str">
        <f t="shared" si="10"/>
        <v/>
      </c>
      <c r="X115" s="511" t="str">
        <f t="shared" si="11"/>
        <v/>
      </c>
      <c r="Y115" s="515" t="str">
        <f t="shared" si="12"/>
        <v/>
      </c>
      <c r="Z115" s="151"/>
      <c r="AA115" s="152"/>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c r="AP115" s="31" t="str">
        <f>IFERROR(INDEX('G-7 Rivers Data'!$AZ$3:$AZ$7,MATCH(D115,'G-7 Rivers Data'!$AY$3:$AY$7,0)),"")</f>
        <v/>
      </c>
    </row>
    <row r="116" spans="3:42" ht="13.8" x14ac:dyDescent="0.25">
      <c r="C116" s="141">
        <v>107</v>
      </c>
      <c r="D116" s="460"/>
      <c r="E116" s="172"/>
      <c r="F116" s="498" t="str">
        <f>IF(D116="","",VLOOKUP(D116,'G-7 Rivers Data'!$B$2:$G$8,2,FALSE))</f>
        <v/>
      </c>
      <c r="G116" s="499" t="str">
        <f>IFERROR(VLOOKUP(F116,'G-7 Rivers Data'!$C$4:$D$8,2,FALSE),"")</f>
        <v/>
      </c>
      <c r="H116" s="145"/>
      <c r="I116" s="499" t="str">
        <f>IFERROR(INDEX('G-7 Rivers Data'!$H$4:$L$8,MATCH(D116,'G-7 Rivers Data'!$B$4:$B$8,0),MATCH(H116,'G-7 Rivers Data'!$H$3:$L$3,0)),"")</f>
        <v/>
      </c>
      <c r="J116" s="418"/>
      <c r="K116" s="498" t="str">
        <f>IF(J116="","",IF(VLOOKUP(J116,'G-7 Rivers Data'!$AK$4:$AM$9,2,FALSE)=0,"Spatial Data Missing ⚠",VLOOKUP(J116,'G-7 Rivers Data'!$AK$4:$AM$9,2,FALSE)))</f>
        <v/>
      </c>
      <c r="L116" s="505" t="str">
        <f>IF(J116="","",IF(VLOOKUP(J116,'G-7 Rivers Data'!$AK$4:$AM$9,3,FALSE)=0,"Spatial Data Missing ⚠",VLOOKUP(J116,'G-7 Rivers Data'!$AK$4:$AM$9,3,FALSE)))</f>
        <v/>
      </c>
      <c r="M116" s="71"/>
      <c r="N116" s="499" t="str">
        <f>IF(M116="","",IF(VLOOKUP(M116,'G-7 Rivers Data'!$AA$4:$AB$7,2,FALSE)=0,"Spatial Data Missing ⚠",VLOOKUP(M116,'G-7 Rivers Data'!$AA$4:$AB$7,2,FALSE)))</f>
        <v/>
      </c>
      <c r="O116" s="155"/>
      <c r="P116" s="499" t="str">
        <f>IF(O116="","",IF(VLOOKUP(O116,'G-7 Rivers Data'!$AD$4:$AE$8,2,FALSE)=0,"Spatial Data Missing ⚠",VLOOKUP(O116,'G-7 Rivers Data'!$AD$4:$AE$8,2,FALSE)))</f>
        <v/>
      </c>
      <c r="Q116" s="506" t="str">
        <f>IF(D116="","",VLOOKUP(D116,'G-7 Rivers Data'!$B$2:$G$8,6,FALSE))</f>
        <v/>
      </c>
      <c r="R116" s="513" t="str">
        <f t="shared" si="8"/>
        <v/>
      </c>
      <c r="S116" s="40"/>
      <c r="T116" s="145"/>
      <c r="U116" s="157"/>
      <c r="V116" s="511" t="str">
        <f t="shared" si="9"/>
        <v/>
      </c>
      <c r="W116" s="511" t="str">
        <f t="shared" si="10"/>
        <v/>
      </c>
      <c r="X116" s="511" t="str">
        <f t="shared" si="11"/>
        <v/>
      </c>
      <c r="Y116" s="515" t="str">
        <f t="shared" si="12"/>
        <v/>
      </c>
      <c r="Z116" s="151"/>
      <c r="AA116" s="152"/>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c r="AP116" s="31" t="str">
        <f>IFERROR(INDEX('G-7 Rivers Data'!$AZ$3:$AZ$7,MATCH(D116,'G-7 Rivers Data'!$AY$3:$AY$7,0)),"")</f>
        <v/>
      </c>
    </row>
    <row r="117" spans="3:42" ht="13.8" x14ac:dyDescent="0.25">
      <c r="C117" s="141">
        <v>108</v>
      </c>
      <c r="D117" s="460"/>
      <c r="E117" s="172"/>
      <c r="F117" s="498" t="str">
        <f>IF(D117="","",VLOOKUP(D117,'G-7 Rivers Data'!$B$2:$G$8,2,FALSE))</f>
        <v/>
      </c>
      <c r="G117" s="499" t="str">
        <f>IFERROR(VLOOKUP(F117,'G-7 Rivers Data'!$C$4:$D$8,2,FALSE),"")</f>
        <v/>
      </c>
      <c r="H117" s="145"/>
      <c r="I117" s="499" t="str">
        <f>IFERROR(INDEX('G-7 Rivers Data'!$H$4:$L$8,MATCH(D117,'G-7 Rivers Data'!$B$4:$B$8,0),MATCH(H117,'G-7 Rivers Data'!$H$3:$L$3,0)),"")</f>
        <v/>
      </c>
      <c r="J117" s="418"/>
      <c r="K117" s="498" t="str">
        <f>IF(J117="","",IF(VLOOKUP(J117,'G-7 Rivers Data'!$AK$4:$AM$9,2,FALSE)=0,"Spatial Data Missing ⚠",VLOOKUP(J117,'G-7 Rivers Data'!$AK$4:$AM$9,2,FALSE)))</f>
        <v/>
      </c>
      <c r="L117" s="505" t="str">
        <f>IF(J117="","",IF(VLOOKUP(J117,'G-7 Rivers Data'!$AK$4:$AM$9,3,FALSE)=0,"Spatial Data Missing ⚠",VLOOKUP(J117,'G-7 Rivers Data'!$AK$4:$AM$9,3,FALSE)))</f>
        <v/>
      </c>
      <c r="M117" s="71"/>
      <c r="N117" s="499" t="str">
        <f>IF(M117="","",IF(VLOOKUP(M117,'G-7 Rivers Data'!$AA$4:$AB$7,2,FALSE)=0,"Spatial Data Missing ⚠",VLOOKUP(M117,'G-7 Rivers Data'!$AA$4:$AB$7,2,FALSE)))</f>
        <v/>
      </c>
      <c r="O117" s="155"/>
      <c r="P117" s="499" t="str">
        <f>IF(O117="","",IF(VLOOKUP(O117,'G-7 Rivers Data'!$AD$4:$AE$8,2,FALSE)=0,"Spatial Data Missing ⚠",VLOOKUP(O117,'G-7 Rivers Data'!$AD$4:$AE$8,2,FALSE)))</f>
        <v/>
      </c>
      <c r="Q117" s="506" t="str">
        <f>IF(D117="","",VLOOKUP(D117,'G-7 Rivers Data'!$B$2:$G$8,6,FALSE))</f>
        <v/>
      </c>
      <c r="R117" s="513" t="str">
        <f t="shared" si="8"/>
        <v/>
      </c>
      <c r="S117" s="40"/>
      <c r="T117" s="145"/>
      <c r="U117" s="157"/>
      <c r="V117" s="511" t="str">
        <f t="shared" si="9"/>
        <v/>
      </c>
      <c r="W117" s="511" t="str">
        <f t="shared" si="10"/>
        <v/>
      </c>
      <c r="X117" s="511" t="str">
        <f t="shared" si="11"/>
        <v/>
      </c>
      <c r="Y117" s="515" t="str">
        <f t="shared" si="12"/>
        <v/>
      </c>
      <c r="Z117" s="151"/>
      <c r="AA117" s="152"/>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c r="AP117" s="31" t="str">
        <f>IFERROR(INDEX('G-7 Rivers Data'!$AZ$3:$AZ$7,MATCH(D117,'G-7 Rivers Data'!$AY$3:$AY$7,0)),"")</f>
        <v/>
      </c>
    </row>
    <row r="118" spans="3:42" ht="13.8" x14ac:dyDescent="0.25">
      <c r="C118" s="141">
        <v>109</v>
      </c>
      <c r="D118" s="460"/>
      <c r="E118" s="172"/>
      <c r="F118" s="498" t="str">
        <f>IF(D118="","",VLOOKUP(D118,'G-7 Rivers Data'!$B$2:$G$8,2,FALSE))</f>
        <v/>
      </c>
      <c r="G118" s="499" t="str">
        <f>IFERROR(VLOOKUP(F118,'G-7 Rivers Data'!$C$4:$D$8,2,FALSE),"")</f>
        <v/>
      </c>
      <c r="H118" s="145"/>
      <c r="I118" s="499" t="str">
        <f>IFERROR(INDEX('G-7 Rivers Data'!$H$4:$L$8,MATCH(D118,'G-7 Rivers Data'!$B$4:$B$8,0),MATCH(H118,'G-7 Rivers Data'!$H$3:$L$3,0)),"")</f>
        <v/>
      </c>
      <c r="J118" s="418"/>
      <c r="K118" s="498" t="str">
        <f>IF(J118="","",IF(VLOOKUP(J118,'G-7 Rivers Data'!$AK$4:$AM$9,2,FALSE)=0,"Spatial Data Missing ⚠",VLOOKUP(J118,'G-7 Rivers Data'!$AK$4:$AM$9,2,FALSE)))</f>
        <v/>
      </c>
      <c r="L118" s="505" t="str">
        <f>IF(J118="","",IF(VLOOKUP(J118,'G-7 Rivers Data'!$AK$4:$AM$9,3,FALSE)=0,"Spatial Data Missing ⚠",VLOOKUP(J118,'G-7 Rivers Data'!$AK$4:$AM$9,3,FALSE)))</f>
        <v/>
      </c>
      <c r="M118" s="71"/>
      <c r="N118" s="499" t="str">
        <f>IF(M118="","",IF(VLOOKUP(M118,'G-7 Rivers Data'!$AA$4:$AB$7,2,FALSE)=0,"Spatial Data Missing ⚠",VLOOKUP(M118,'G-7 Rivers Data'!$AA$4:$AB$7,2,FALSE)))</f>
        <v/>
      </c>
      <c r="O118" s="155"/>
      <c r="P118" s="499" t="str">
        <f>IF(O118="","",IF(VLOOKUP(O118,'G-7 Rivers Data'!$AD$4:$AE$8,2,FALSE)=0,"Spatial Data Missing ⚠",VLOOKUP(O118,'G-7 Rivers Data'!$AD$4:$AE$8,2,FALSE)))</f>
        <v/>
      </c>
      <c r="Q118" s="506" t="str">
        <f>IF(D118="","",VLOOKUP(D118,'G-7 Rivers Data'!$B$2:$G$8,6,FALSE))</f>
        <v/>
      </c>
      <c r="R118" s="513" t="str">
        <f t="shared" si="8"/>
        <v/>
      </c>
      <c r="S118" s="40"/>
      <c r="T118" s="145"/>
      <c r="U118" s="157"/>
      <c r="V118" s="511" t="str">
        <f t="shared" si="9"/>
        <v/>
      </c>
      <c r="W118" s="511" t="str">
        <f t="shared" si="10"/>
        <v/>
      </c>
      <c r="X118" s="511" t="str">
        <f t="shared" si="11"/>
        <v/>
      </c>
      <c r="Y118" s="515" t="str">
        <f t="shared" si="12"/>
        <v/>
      </c>
      <c r="Z118" s="151"/>
      <c r="AA118" s="152"/>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c r="AP118" s="31" t="str">
        <f>IFERROR(INDEX('G-7 Rivers Data'!$AZ$3:$AZ$7,MATCH(D118,'G-7 Rivers Data'!$AY$3:$AY$7,0)),"")</f>
        <v/>
      </c>
    </row>
    <row r="119" spans="3:42" ht="13.8" x14ac:dyDescent="0.25">
      <c r="C119" s="141">
        <v>110</v>
      </c>
      <c r="D119" s="460"/>
      <c r="E119" s="172"/>
      <c r="F119" s="498" t="str">
        <f>IF(D119="","",VLOOKUP(D119,'G-7 Rivers Data'!$B$2:$G$8,2,FALSE))</f>
        <v/>
      </c>
      <c r="G119" s="499" t="str">
        <f>IFERROR(VLOOKUP(F119,'G-7 Rivers Data'!$C$4:$D$8,2,FALSE),"")</f>
        <v/>
      </c>
      <c r="H119" s="145"/>
      <c r="I119" s="499" t="str">
        <f>IFERROR(INDEX('G-7 Rivers Data'!$H$4:$L$8,MATCH(D119,'G-7 Rivers Data'!$B$4:$B$8,0),MATCH(H119,'G-7 Rivers Data'!$H$3:$L$3,0)),"")</f>
        <v/>
      </c>
      <c r="J119" s="418"/>
      <c r="K119" s="498" t="str">
        <f>IF(J119="","",IF(VLOOKUP(J119,'G-7 Rivers Data'!$AK$4:$AM$9,2,FALSE)=0,"Spatial Data Missing ⚠",VLOOKUP(J119,'G-7 Rivers Data'!$AK$4:$AM$9,2,FALSE)))</f>
        <v/>
      </c>
      <c r="L119" s="505" t="str">
        <f>IF(J119="","",IF(VLOOKUP(J119,'G-7 Rivers Data'!$AK$4:$AM$9,3,FALSE)=0,"Spatial Data Missing ⚠",VLOOKUP(J119,'G-7 Rivers Data'!$AK$4:$AM$9,3,FALSE)))</f>
        <v/>
      </c>
      <c r="M119" s="71"/>
      <c r="N119" s="499" t="str">
        <f>IF(M119="","",IF(VLOOKUP(M119,'G-7 Rivers Data'!$AA$4:$AB$7,2,FALSE)=0,"Spatial Data Missing ⚠",VLOOKUP(M119,'G-7 Rivers Data'!$AA$4:$AB$7,2,FALSE)))</f>
        <v/>
      </c>
      <c r="O119" s="155"/>
      <c r="P119" s="499" t="str">
        <f>IF(O119="","",IF(VLOOKUP(O119,'G-7 Rivers Data'!$AD$4:$AE$8,2,FALSE)=0,"Spatial Data Missing ⚠",VLOOKUP(O119,'G-7 Rivers Data'!$AD$4:$AE$8,2,FALSE)))</f>
        <v/>
      </c>
      <c r="Q119" s="506" t="str">
        <f>IF(D119="","",VLOOKUP(D119,'G-7 Rivers Data'!$B$2:$G$8,6,FALSE))</f>
        <v/>
      </c>
      <c r="R119" s="513" t="str">
        <f t="shared" si="8"/>
        <v/>
      </c>
      <c r="S119" s="40"/>
      <c r="T119" s="145"/>
      <c r="U119" s="157"/>
      <c r="V119" s="511" t="str">
        <f t="shared" si="9"/>
        <v/>
      </c>
      <c r="W119" s="511" t="str">
        <f t="shared" si="10"/>
        <v/>
      </c>
      <c r="X119" s="511" t="str">
        <f t="shared" si="11"/>
        <v/>
      </c>
      <c r="Y119" s="515" t="str">
        <f t="shared" si="12"/>
        <v/>
      </c>
      <c r="Z119" s="151"/>
      <c r="AA119" s="152"/>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c r="AP119" s="31" t="str">
        <f>IFERROR(INDEX('G-7 Rivers Data'!$AZ$3:$AZ$7,MATCH(D119,'G-7 Rivers Data'!$AY$3:$AY$7,0)),"")</f>
        <v/>
      </c>
    </row>
    <row r="120" spans="3:42" ht="13.8" x14ac:dyDescent="0.25">
      <c r="C120" s="141">
        <v>111</v>
      </c>
      <c r="D120" s="460"/>
      <c r="E120" s="172"/>
      <c r="F120" s="498" t="str">
        <f>IF(D120="","",VLOOKUP(D120,'G-7 Rivers Data'!$B$2:$G$8,2,FALSE))</f>
        <v/>
      </c>
      <c r="G120" s="499" t="str">
        <f>IFERROR(VLOOKUP(F120,'G-7 Rivers Data'!$C$4:$D$8,2,FALSE),"")</f>
        <v/>
      </c>
      <c r="H120" s="145"/>
      <c r="I120" s="499" t="str">
        <f>IFERROR(INDEX('G-7 Rivers Data'!$H$4:$L$8,MATCH(D120,'G-7 Rivers Data'!$B$4:$B$8,0),MATCH(H120,'G-7 Rivers Data'!$H$3:$L$3,0)),"")</f>
        <v/>
      </c>
      <c r="J120" s="418"/>
      <c r="K120" s="498" t="str">
        <f>IF(J120="","",IF(VLOOKUP(J120,'G-7 Rivers Data'!$AK$4:$AM$9,2,FALSE)=0,"Spatial Data Missing ⚠",VLOOKUP(J120,'G-7 Rivers Data'!$AK$4:$AM$9,2,FALSE)))</f>
        <v/>
      </c>
      <c r="L120" s="505" t="str">
        <f>IF(J120="","",IF(VLOOKUP(J120,'G-7 Rivers Data'!$AK$4:$AM$9,3,FALSE)=0,"Spatial Data Missing ⚠",VLOOKUP(J120,'G-7 Rivers Data'!$AK$4:$AM$9,3,FALSE)))</f>
        <v/>
      </c>
      <c r="M120" s="71"/>
      <c r="N120" s="499" t="str">
        <f>IF(M120="","",IF(VLOOKUP(M120,'G-7 Rivers Data'!$AA$4:$AB$7,2,FALSE)=0,"Spatial Data Missing ⚠",VLOOKUP(M120,'G-7 Rivers Data'!$AA$4:$AB$7,2,FALSE)))</f>
        <v/>
      </c>
      <c r="O120" s="155"/>
      <c r="P120" s="499" t="str">
        <f>IF(O120="","",IF(VLOOKUP(O120,'G-7 Rivers Data'!$AD$4:$AE$8,2,FALSE)=0,"Spatial Data Missing ⚠",VLOOKUP(O120,'G-7 Rivers Data'!$AD$4:$AE$8,2,FALSE)))</f>
        <v/>
      </c>
      <c r="Q120" s="506" t="str">
        <f>IF(D120="","",VLOOKUP(D120,'G-7 Rivers Data'!$B$2:$G$8,6,FALSE))</f>
        <v/>
      </c>
      <c r="R120" s="513" t="str">
        <f t="shared" si="8"/>
        <v/>
      </c>
      <c r="S120" s="40"/>
      <c r="T120" s="145"/>
      <c r="U120" s="157"/>
      <c r="V120" s="511" t="str">
        <f t="shared" si="9"/>
        <v/>
      </c>
      <c r="W120" s="511" t="str">
        <f t="shared" si="10"/>
        <v/>
      </c>
      <c r="X120" s="511" t="str">
        <f t="shared" si="11"/>
        <v/>
      </c>
      <c r="Y120" s="515" t="str">
        <f t="shared" si="12"/>
        <v/>
      </c>
      <c r="Z120" s="151"/>
      <c r="AA120" s="152"/>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c r="AP120" s="31" t="str">
        <f>IFERROR(INDEX('G-7 Rivers Data'!$AZ$3:$AZ$7,MATCH(D120,'G-7 Rivers Data'!$AY$3:$AY$7,0)),"")</f>
        <v/>
      </c>
    </row>
    <row r="121" spans="3:42" ht="13.8" x14ac:dyDescent="0.25">
      <c r="C121" s="141">
        <v>112</v>
      </c>
      <c r="D121" s="460"/>
      <c r="E121" s="172"/>
      <c r="F121" s="498" t="str">
        <f>IF(D121="","",VLOOKUP(D121,'G-7 Rivers Data'!$B$2:$G$8,2,FALSE))</f>
        <v/>
      </c>
      <c r="G121" s="499" t="str">
        <f>IFERROR(VLOOKUP(F121,'G-7 Rivers Data'!$C$4:$D$8,2,FALSE),"")</f>
        <v/>
      </c>
      <c r="H121" s="145"/>
      <c r="I121" s="499" t="str">
        <f>IFERROR(INDEX('G-7 Rivers Data'!$H$4:$L$8,MATCH(D121,'G-7 Rivers Data'!$B$4:$B$8,0),MATCH(H121,'G-7 Rivers Data'!$H$3:$L$3,0)),"")</f>
        <v/>
      </c>
      <c r="J121" s="418"/>
      <c r="K121" s="498" t="str">
        <f>IF(J121="","",IF(VLOOKUP(J121,'G-7 Rivers Data'!$AK$4:$AM$9,2,FALSE)=0,"Spatial Data Missing ⚠",VLOOKUP(J121,'G-7 Rivers Data'!$AK$4:$AM$9,2,FALSE)))</f>
        <v/>
      </c>
      <c r="L121" s="505" t="str">
        <f>IF(J121="","",IF(VLOOKUP(J121,'G-7 Rivers Data'!$AK$4:$AM$9,3,FALSE)=0,"Spatial Data Missing ⚠",VLOOKUP(J121,'G-7 Rivers Data'!$AK$4:$AM$9,3,FALSE)))</f>
        <v/>
      </c>
      <c r="M121" s="71"/>
      <c r="N121" s="499" t="str">
        <f>IF(M121="","",IF(VLOOKUP(M121,'G-7 Rivers Data'!$AA$4:$AB$7,2,FALSE)=0,"Spatial Data Missing ⚠",VLOOKUP(M121,'G-7 Rivers Data'!$AA$4:$AB$7,2,FALSE)))</f>
        <v/>
      </c>
      <c r="O121" s="155"/>
      <c r="P121" s="499" t="str">
        <f>IF(O121="","",IF(VLOOKUP(O121,'G-7 Rivers Data'!$AD$4:$AE$8,2,FALSE)=0,"Spatial Data Missing ⚠",VLOOKUP(O121,'G-7 Rivers Data'!$AD$4:$AE$8,2,FALSE)))</f>
        <v/>
      </c>
      <c r="Q121" s="506" t="str">
        <f>IF(D121="","",VLOOKUP(D121,'G-7 Rivers Data'!$B$2:$G$8,6,FALSE))</f>
        <v/>
      </c>
      <c r="R121" s="513" t="str">
        <f t="shared" si="8"/>
        <v/>
      </c>
      <c r="S121" s="40"/>
      <c r="T121" s="145"/>
      <c r="U121" s="157"/>
      <c r="V121" s="511" t="str">
        <f t="shared" si="9"/>
        <v/>
      </c>
      <c r="W121" s="511" t="str">
        <f t="shared" si="10"/>
        <v/>
      </c>
      <c r="X121" s="511" t="str">
        <f t="shared" si="11"/>
        <v/>
      </c>
      <c r="Y121" s="515" t="str">
        <f t="shared" si="12"/>
        <v/>
      </c>
      <c r="Z121" s="151"/>
      <c r="AA121" s="152"/>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c r="AP121" s="31" t="str">
        <f>IFERROR(INDEX('G-7 Rivers Data'!$AZ$3:$AZ$7,MATCH(D121,'G-7 Rivers Data'!$AY$3:$AY$7,0)),"")</f>
        <v/>
      </c>
    </row>
    <row r="122" spans="3:42" ht="13.8" x14ac:dyDescent="0.25">
      <c r="C122" s="141">
        <v>113</v>
      </c>
      <c r="D122" s="460"/>
      <c r="E122" s="172"/>
      <c r="F122" s="498" t="str">
        <f>IF(D122="","",VLOOKUP(D122,'G-7 Rivers Data'!$B$2:$G$8,2,FALSE))</f>
        <v/>
      </c>
      <c r="G122" s="499" t="str">
        <f>IFERROR(VLOOKUP(F122,'G-7 Rivers Data'!$C$4:$D$8,2,FALSE),"")</f>
        <v/>
      </c>
      <c r="H122" s="145"/>
      <c r="I122" s="499" t="str">
        <f>IFERROR(INDEX('G-7 Rivers Data'!$H$4:$L$8,MATCH(D122,'G-7 Rivers Data'!$B$4:$B$8,0),MATCH(H122,'G-7 Rivers Data'!$H$3:$L$3,0)),"")</f>
        <v/>
      </c>
      <c r="J122" s="418"/>
      <c r="K122" s="498" t="str">
        <f>IF(J122="","",IF(VLOOKUP(J122,'G-7 Rivers Data'!$AK$4:$AM$9,2,FALSE)=0,"Spatial Data Missing ⚠",VLOOKUP(J122,'G-7 Rivers Data'!$AK$4:$AM$9,2,FALSE)))</f>
        <v/>
      </c>
      <c r="L122" s="505" t="str">
        <f>IF(J122="","",IF(VLOOKUP(J122,'G-7 Rivers Data'!$AK$4:$AM$9,3,FALSE)=0,"Spatial Data Missing ⚠",VLOOKUP(J122,'G-7 Rivers Data'!$AK$4:$AM$9,3,FALSE)))</f>
        <v/>
      </c>
      <c r="M122" s="71"/>
      <c r="N122" s="499" t="str">
        <f>IF(M122="","",IF(VLOOKUP(M122,'G-7 Rivers Data'!$AA$4:$AB$7,2,FALSE)=0,"Spatial Data Missing ⚠",VLOOKUP(M122,'G-7 Rivers Data'!$AA$4:$AB$7,2,FALSE)))</f>
        <v/>
      </c>
      <c r="O122" s="155"/>
      <c r="P122" s="499" t="str">
        <f>IF(O122="","",IF(VLOOKUP(O122,'G-7 Rivers Data'!$AD$4:$AE$8,2,FALSE)=0,"Spatial Data Missing ⚠",VLOOKUP(O122,'G-7 Rivers Data'!$AD$4:$AE$8,2,FALSE)))</f>
        <v/>
      </c>
      <c r="Q122" s="506" t="str">
        <f>IF(D122="","",VLOOKUP(D122,'G-7 Rivers Data'!$B$2:$G$8,6,FALSE))</f>
        <v/>
      </c>
      <c r="R122" s="513" t="str">
        <f t="shared" si="8"/>
        <v/>
      </c>
      <c r="S122" s="40"/>
      <c r="T122" s="145"/>
      <c r="U122" s="157"/>
      <c r="V122" s="511" t="str">
        <f t="shared" si="9"/>
        <v/>
      </c>
      <c r="W122" s="511" t="str">
        <f t="shared" si="10"/>
        <v/>
      </c>
      <c r="X122" s="511" t="str">
        <f t="shared" si="11"/>
        <v/>
      </c>
      <c r="Y122" s="515" t="str">
        <f t="shared" si="12"/>
        <v/>
      </c>
      <c r="Z122" s="151"/>
      <c r="AA122" s="152"/>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c r="AP122" s="31" t="str">
        <f>IFERROR(INDEX('G-7 Rivers Data'!$AZ$3:$AZ$7,MATCH(D122,'G-7 Rivers Data'!$AY$3:$AY$7,0)),"")</f>
        <v/>
      </c>
    </row>
    <row r="123" spans="3:42" ht="13.8" x14ac:dyDescent="0.25">
      <c r="C123" s="141">
        <v>114</v>
      </c>
      <c r="D123" s="460"/>
      <c r="E123" s="172"/>
      <c r="F123" s="498" t="str">
        <f>IF(D123="","",VLOOKUP(D123,'G-7 Rivers Data'!$B$2:$G$8,2,FALSE))</f>
        <v/>
      </c>
      <c r="G123" s="499" t="str">
        <f>IFERROR(VLOOKUP(F123,'G-7 Rivers Data'!$C$4:$D$8,2,FALSE),"")</f>
        <v/>
      </c>
      <c r="H123" s="145"/>
      <c r="I123" s="499" t="str">
        <f>IFERROR(INDEX('G-7 Rivers Data'!$H$4:$L$8,MATCH(D123,'G-7 Rivers Data'!$B$4:$B$8,0),MATCH(H123,'G-7 Rivers Data'!$H$3:$L$3,0)),"")</f>
        <v/>
      </c>
      <c r="J123" s="418"/>
      <c r="K123" s="498" t="str">
        <f>IF(J123="","",IF(VLOOKUP(J123,'G-7 Rivers Data'!$AK$4:$AM$9,2,FALSE)=0,"Spatial Data Missing ⚠",VLOOKUP(J123,'G-7 Rivers Data'!$AK$4:$AM$9,2,FALSE)))</f>
        <v/>
      </c>
      <c r="L123" s="505" t="str">
        <f>IF(J123="","",IF(VLOOKUP(J123,'G-7 Rivers Data'!$AK$4:$AM$9,3,FALSE)=0,"Spatial Data Missing ⚠",VLOOKUP(J123,'G-7 Rivers Data'!$AK$4:$AM$9,3,FALSE)))</f>
        <v/>
      </c>
      <c r="M123" s="71"/>
      <c r="N123" s="499" t="str">
        <f>IF(M123="","",IF(VLOOKUP(M123,'G-7 Rivers Data'!$AA$4:$AB$7,2,FALSE)=0,"Spatial Data Missing ⚠",VLOOKUP(M123,'G-7 Rivers Data'!$AA$4:$AB$7,2,FALSE)))</f>
        <v/>
      </c>
      <c r="O123" s="155"/>
      <c r="P123" s="499" t="str">
        <f>IF(O123="","",IF(VLOOKUP(O123,'G-7 Rivers Data'!$AD$4:$AE$8,2,FALSE)=0,"Spatial Data Missing ⚠",VLOOKUP(O123,'G-7 Rivers Data'!$AD$4:$AE$8,2,FALSE)))</f>
        <v/>
      </c>
      <c r="Q123" s="506" t="str">
        <f>IF(D123="","",VLOOKUP(D123,'G-7 Rivers Data'!$B$2:$G$8,6,FALSE))</f>
        <v/>
      </c>
      <c r="R123" s="513" t="str">
        <f t="shared" si="8"/>
        <v/>
      </c>
      <c r="S123" s="40"/>
      <c r="T123" s="145"/>
      <c r="U123" s="157"/>
      <c r="V123" s="511" t="str">
        <f t="shared" si="9"/>
        <v/>
      </c>
      <c r="W123" s="511" t="str">
        <f t="shared" si="10"/>
        <v/>
      </c>
      <c r="X123" s="511" t="str">
        <f t="shared" si="11"/>
        <v/>
      </c>
      <c r="Y123" s="515" t="str">
        <f t="shared" si="12"/>
        <v/>
      </c>
      <c r="Z123" s="151"/>
      <c r="AA123" s="152"/>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c r="AP123" s="31" t="str">
        <f>IFERROR(INDEX('G-7 Rivers Data'!$AZ$3:$AZ$7,MATCH(D123,'G-7 Rivers Data'!$AY$3:$AY$7,0)),"")</f>
        <v/>
      </c>
    </row>
    <row r="124" spans="3:42" ht="13.8" x14ac:dyDescent="0.25">
      <c r="C124" s="141">
        <v>115</v>
      </c>
      <c r="D124" s="460"/>
      <c r="E124" s="172"/>
      <c r="F124" s="498" t="str">
        <f>IF(D124="","",VLOOKUP(D124,'G-7 Rivers Data'!$B$2:$G$8,2,FALSE))</f>
        <v/>
      </c>
      <c r="G124" s="499" t="str">
        <f>IFERROR(VLOOKUP(F124,'G-7 Rivers Data'!$C$4:$D$8,2,FALSE),"")</f>
        <v/>
      </c>
      <c r="H124" s="145"/>
      <c r="I124" s="499" t="str">
        <f>IFERROR(INDEX('G-7 Rivers Data'!$H$4:$L$8,MATCH(D124,'G-7 Rivers Data'!$B$4:$B$8,0),MATCH(H124,'G-7 Rivers Data'!$H$3:$L$3,0)),"")</f>
        <v/>
      </c>
      <c r="J124" s="418"/>
      <c r="K124" s="498" t="str">
        <f>IF(J124="","",IF(VLOOKUP(J124,'G-7 Rivers Data'!$AK$4:$AM$9,2,FALSE)=0,"Spatial Data Missing ⚠",VLOOKUP(J124,'G-7 Rivers Data'!$AK$4:$AM$9,2,FALSE)))</f>
        <v/>
      </c>
      <c r="L124" s="505" t="str">
        <f>IF(J124="","",IF(VLOOKUP(J124,'G-7 Rivers Data'!$AK$4:$AM$9,3,FALSE)=0,"Spatial Data Missing ⚠",VLOOKUP(J124,'G-7 Rivers Data'!$AK$4:$AM$9,3,FALSE)))</f>
        <v/>
      </c>
      <c r="M124" s="71"/>
      <c r="N124" s="499" t="str">
        <f>IF(M124="","",IF(VLOOKUP(M124,'G-7 Rivers Data'!$AA$4:$AB$7,2,FALSE)=0,"Spatial Data Missing ⚠",VLOOKUP(M124,'G-7 Rivers Data'!$AA$4:$AB$7,2,FALSE)))</f>
        <v/>
      </c>
      <c r="O124" s="155"/>
      <c r="P124" s="499" t="str">
        <f>IF(O124="","",IF(VLOOKUP(O124,'G-7 Rivers Data'!$AD$4:$AE$8,2,FALSE)=0,"Spatial Data Missing ⚠",VLOOKUP(O124,'G-7 Rivers Data'!$AD$4:$AE$8,2,FALSE)))</f>
        <v/>
      </c>
      <c r="Q124" s="506" t="str">
        <f>IF(D124="","",VLOOKUP(D124,'G-7 Rivers Data'!$B$2:$G$8,6,FALSE))</f>
        <v/>
      </c>
      <c r="R124" s="513" t="str">
        <f t="shared" si="8"/>
        <v/>
      </c>
      <c r="S124" s="40"/>
      <c r="T124" s="145"/>
      <c r="U124" s="157"/>
      <c r="V124" s="511" t="str">
        <f t="shared" si="9"/>
        <v/>
      </c>
      <c r="W124" s="511" t="str">
        <f t="shared" si="10"/>
        <v/>
      </c>
      <c r="X124" s="511" t="str">
        <f t="shared" si="11"/>
        <v/>
      </c>
      <c r="Y124" s="515" t="str">
        <f t="shared" si="12"/>
        <v/>
      </c>
      <c r="Z124" s="151"/>
      <c r="AA124" s="152"/>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c r="AP124" s="31" t="str">
        <f>IFERROR(INDEX('G-7 Rivers Data'!$AZ$3:$AZ$7,MATCH(D124,'G-7 Rivers Data'!$AY$3:$AY$7,0)),"")</f>
        <v/>
      </c>
    </row>
    <row r="125" spans="3:42" ht="13.8" x14ac:dyDescent="0.25">
      <c r="C125" s="141">
        <v>116</v>
      </c>
      <c r="D125" s="460"/>
      <c r="E125" s="172"/>
      <c r="F125" s="498" t="str">
        <f>IF(D125="","",VLOOKUP(D125,'G-7 Rivers Data'!$B$2:$G$8,2,FALSE))</f>
        <v/>
      </c>
      <c r="G125" s="499" t="str">
        <f>IFERROR(VLOOKUP(F125,'G-7 Rivers Data'!$C$4:$D$8,2,FALSE),"")</f>
        <v/>
      </c>
      <c r="H125" s="145"/>
      <c r="I125" s="499" t="str">
        <f>IFERROR(INDEX('G-7 Rivers Data'!$H$4:$L$8,MATCH(D125,'G-7 Rivers Data'!$B$4:$B$8,0),MATCH(H125,'G-7 Rivers Data'!$H$3:$L$3,0)),"")</f>
        <v/>
      </c>
      <c r="J125" s="418"/>
      <c r="K125" s="498" t="str">
        <f>IF(J125="","",IF(VLOOKUP(J125,'G-7 Rivers Data'!$AK$4:$AM$9,2,FALSE)=0,"Spatial Data Missing ⚠",VLOOKUP(J125,'G-7 Rivers Data'!$AK$4:$AM$9,2,FALSE)))</f>
        <v/>
      </c>
      <c r="L125" s="505" t="str">
        <f>IF(J125="","",IF(VLOOKUP(J125,'G-7 Rivers Data'!$AK$4:$AM$9,3,FALSE)=0,"Spatial Data Missing ⚠",VLOOKUP(J125,'G-7 Rivers Data'!$AK$4:$AM$9,3,FALSE)))</f>
        <v/>
      </c>
      <c r="M125" s="71"/>
      <c r="N125" s="499" t="str">
        <f>IF(M125="","",IF(VLOOKUP(M125,'G-7 Rivers Data'!$AA$4:$AB$7,2,FALSE)=0,"Spatial Data Missing ⚠",VLOOKUP(M125,'G-7 Rivers Data'!$AA$4:$AB$7,2,FALSE)))</f>
        <v/>
      </c>
      <c r="O125" s="155"/>
      <c r="P125" s="499" t="str">
        <f>IF(O125="","",IF(VLOOKUP(O125,'G-7 Rivers Data'!$AD$4:$AE$8,2,FALSE)=0,"Spatial Data Missing ⚠",VLOOKUP(O125,'G-7 Rivers Data'!$AD$4:$AE$8,2,FALSE)))</f>
        <v/>
      </c>
      <c r="Q125" s="506" t="str">
        <f>IF(D125="","",VLOOKUP(D125,'G-7 Rivers Data'!$B$2:$G$8,6,FALSE))</f>
        <v/>
      </c>
      <c r="R125" s="513" t="str">
        <f t="shared" si="8"/>
        <v/>
      </c>
      <c r="S125" s="40"/>
      <c r="T125" s="145"/>
      <c r="U125" s="157"/>
      <c r="V125" s="511" t="str">
        <f t="shared" si="9"/>
        <v/>
      </c>
      <c r="W125" s="511" t="str">
        <f t="shared" si="10"/>
        <v/>
      </c>
      <c r="X125" s="511" t="str">
        <f t="shared" si="11"/>
        <v/>
      </c>
      <c r="Y125" s="515" t="str">
        <f t="shared" si="12"/>
        <v/>
      </c>
      <c r="Z125" s="151"/>
      <c r="AA125" s="152"/>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c r="AP125" s="31" t="str">
        <f>IFERROR(INDEX('G-7 Rivers Data'!$AZ$3:$AZ$7,MATCH(D125,'G-7 Rivers Data'!$AY$3:$AY$7,0)),"")</f>
        <v/>
      </c>
    </row>
    <row r="126" spans="3:42" ht="13.8" x14ac:dyDescent="0.25">
      <c r="C126" s="141">
        <v>117</v>
      </c>
      <c r="D126" s="460"/>
      <c r="E126" s="172"/>
      <c r="F126" s="498" t="str">
        <f>IF(D126="","",VLOOKUP(D126,'G-7 Rivers Data'!$B$2:$G$8,2,FALSE))</f>
        <v/>
      </c>
      <c r="G126" s="499" t="str">
        <f>IFERROR(VLOOKUP(F126,'G-7 Rivers Data'!$C$4:$D$8,2,FALSE),"")</f>
        <v/>
      </c>
      <c r="H126" s="145"/>
      <c r="I126" s="499" t="str">
        <f>IFERROR(INDEX('G-7 Rivers Data'!$H$4:$L$8,MATCH(D126,'G-7 Rivers Data'!$B$4:$B$8,0),MATCH(H126,'G-7 Rivers Data'!$H$3:$L$3,0)),"")</f>
        <v/>
      </c>
      <c r="J126" s="418"/>
      <c r="K126" s="498" t="str">
        <f>IF(J126="","",IF(VLOOKUP(J126,'G-7 Rivers Data'!$AK$4:$AM$9,2,FALSE)=0,"Spatial Data Missing ⚠",VLOOKUP(J126,'G-7 Rivers Data'!$AK$4:$AM$9,2,FALSE)))</f>
        <v/>
      </c>
      <c r="L126" s="505" t="str">
        <f>IF(J126="","",IF(VLOOKUP(J126,'G-7 Rivers Data'!$AK$4:$AM$9,3,FALSE)=0,"Spatial Data Missing ⚠",VLOOKUP(J126,'G-7 Rivers Data'!$AK$4:$AM$9,3,FALSE)))</f>
        <v/>
      </c>
      <c r="M126" s="71"/>
      <c r="N126" s="499" t="str">
        <f>IF(M126="","",IF(VLOOKUP(M126,'G-7 Rivers Data'!$AA$4:$AB$7,2,FALSE)=0,"Spatial Data Missing ⚠",VLOOKUP(M126,'G-7 Rivers Data'!$AA$4:$AB$7,2,FALSE)))</f>
        <v/>
      </c>
      <c r="O126" s="155"/>
      <c r="P126" s="499" t="str">
        <f>IF(O126="","",IF(VLOOKUP(O126,'G-7 Rivers Data'!$AD$4:$AE$8,2,FALSE)=0,"Spatial Data Missing ⚠",VLOOKUP(O126,'G-7 Rivers Data'!$AD$4:$AE$8,2,FALSE)))</f>
        <v/>
      </c>
      <c r="Q126" s="506" t="str">
        <f>IF(D126="","",VLOOKUP(D126,'G-7 Rivers Data'!$B$2:$G$8,6,FALSE))</f>
        <v/>
      </c>
      <c r="R126" s="513" t="str">
        <f t="shared" si="8"/>
        <v/>
      </c>
      <c r="S126" s="40"/>
      <c r="T126" s="145"/>
      <c r="U126" s="157"/>
      <c r="V126" s="511" t="str">
        <f t="shared" si="9"/>
        <v/>
      </c>
      <c r="W126" s="511" t="str">
        <f t="shared" si="10"/>
        <v/>
      </c>
      <c r="X126" s="511" t="str">
        <f t="shared" si="11"/>
        <v/>
      </c>
      <c r="Y126" s="515" t="str">
        <f t="shared" si="12"/>
        <v/>
      </c>
      <c r="Z126" s="151"/>
      <c r="AA126" s="152"/>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c r="AP126" s="31" t="str">
        <f>IFERROR(INDEX('G-7 Rivers Data'!$AZ$3:$AZ$7,MATCH(D126,'G-7 Rivers Data'!$AY$3:$AY$7,0)),"")</f>
        <v/>
      </c>
    </row>
    <row r="127" spans="3:42" ht="13.8" x14ac:dyDescent="0.25">
      <c r="C127" s="141">
        <v>118</v>
      </c>
      <c r="D127" s="460"/>
      <c r="E127" s="172"/>
      <c r="F127" s="498" t="str">
        <f>IF(D127="","",VLOOKUP(D127,'G-7 Rivers Data'!$B$2:$G$8,2,FALSE))</f>
        <v/>
      </c>
      <c r="G127" s="499" t="str">
        <f>IFERROR(VLOOKUP(F127,'G-7 Rivers Data'!$C$4:$D$8,2,FALSE),"")</f>
        <v/>
      </c>
      <c r="H127" s="145"/>
      <c r="I127" s="499" t="str">
        <f>IFERROR(INDEX('G-7 Rivers Data'!$H$4:$L$8,MATCH(D127,'G-7 Rivers Data'!$B$4:$B$8,0),MATCH(H127,'G-7 Rivers Data'!$H$3:$L$3,0)),"")</f>
        <v/>
      </c>
      <c r="J127" s="418"/>
      <c r="K127" s="498" t="str">
        <f>IF(J127="","",IF(VLOOKUP(J127,'G-7 Rivers Data'!$AK$4:$AM$9,2,FALSE)=0,"Spatial Data Missing ⚠",VLOOKUP(J127,'G-7 Rivers Data'!$AK$4:$AM$9,2,FALSE)))</f>
        <v/>
      </c>
      <c r="L127" s="505" t="str">
        <f>IF(J127="","",IF(VLOOKUP(J127,'G-7 Rivers Data'!$AK$4:$AM$9,3,FALSE)=0,"Spatial Data Missing ⚠",VLOOKUP(J127,'G-7 Rivers Data'!$AK$4:$AM$9,3,FALSE)))</f>
        <v/>
      </c>
      <c r="M127" s="71"/>
      <c r="N127" s="499" t="str">
        <f>IF(M127="","",IF(VLOOKUP(M127,'G-7 Rivers Data'!$AA$4:$AB$7,2,FALSE)=0,"Spatial Data Missing ⚠",VLOOKUP(M127,'G-7 Rivers Data'!$AA$4:$AB$7,2,FALSE)))</f>
        <v/>
      </c>
      <c r="O127" s="155"/>
      <c r="P127" s="499" t="str">
        <f>IF(O127="","",IF(VLOOKUP(O127,'G-7 Rivers Data'!$AD$4:$AE$8,2,FALSE)=0,"Spatial Data Missing ⚠",VLOOKUP(O127,'G-7 Rivers Data'!$AD$4:$AE$8,2,FALSE)))</f>
        <v/>
      </c>
      <c r="Q127" s="506" t="str">
        <f>IF(D127="","",VLOOKUP(D127,'G-7 Rivers Data'!$B$2:$G$8,6,FALSE))</f>
        <v/>
      </c>
      <c r="R127" s="513" t="str">
        <f t="shared" si="8"/>
        <v/>
      </c>
      <c r="S127" s="40"/>
      <c r="T127" s="145"/>
      <c r="U127" s="157"/>
      <c r="V127" s="511" t="str">
        <f t="shared" si="9"/>
        <v/>
      </c>
      <c r="W127" s="511" t="str">
        <f t="shared" si="10"/>
        <v/>
      </c>
      <c r="X127" s="511" t="str">
        <f t="shared" si="11"/>
        <v/>
      </c>
      <c r="Y127" s="515" t="str">
        <f t="shared" si="12"/>
        <v/>
      </c>
      <c r="Z127" s="151"/>
      <c r="AA127" s="152"/>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c r="AP127" s="31" t="str">
        <f>IFERROR(INDEX('G-7 Rivers Data'!$AZ$3:$AZ$7,MATCH(D127,'G-7 Rivers Data'!$AY$3:$AY$7,0)),"")</f>
        <v/>
      </c>
    </row>
    <row r="128" spans="3:42" ht="13.8" x14ac:dyDescent="0.25">
      <c r="C128" s="141">
        <v>119</v>
      </c>
      <c r="D128" s="460"/>
      <c r="E128" s="172"/>
      <c r="F128" s="498" t="str">
        <f>IF(D128="","",VLOOKUP(D128,'G-7 Rivers Data'!$B$2:$G$8,2,FALSE))</f>
        <v/>
      </c>
      <c r="G128" s="499" t="str">
        <f>IFERROR(VLOOKUP(F128,'G-7 Rivers Data'!$C$4:$D$8,2,FALSE),"")</f>
        <v/>
      </c>
      <c r="H128" s="145"/>
      <c r="I128" s="499" t="str">
        <f>IFERROR(INDEX('G-7 Rivers Data'!$H$4:$L$8,MATCH(D128,'G-7 Rivers Data'!$B$4:$B$8,0),MATCH(H128,'G-7 Rivers Data'!$H$3:$L$3,0)),"")</f>
        <v/>
      </c>
      <c r="J128" s="418"/>
      <c r="K128" s="498" t="str">
        <f>IF(J128="","",IF(VLOOKUP(J128,'G-7 Rivers Data'!$AK$4:$AM$9,2,FALSE)=0,"Spatial Data Missing ⚠",VLOOKUP(J128,'G-7 Rivers Data'!$AK$4:$AM$9,2,FALSE)))</f>
        <v/>
      </c>
      <c r="L128" s="505" t="str">
        <f>IF(J128="","",IF(VLOOKUP(J128,'G-7 Rivers Data'!$AK$4:$AM$9,3,FALSE)=0,"Spatial Data Missing ⚠",VLOOKUP(J128,'G-7 Rivers Data'!$AK$4:$AM$9,3,FALSE)))</f>
        <v/>
      </c>
      <c r="M128" s="71"/>
      <c r="N128" s="499" t="str">
        <f>IF(M128="","",IF(VLOOKUP(M128,'G-7 Rivers Data'!$AA$4:$AB$7,2,FALSE)=0,"Spatial Data Missing ⚠",VLOOKUP(M128,'G-7 Rivers Data'!$AA$4:$AB$7,2,FALSE)))</f>
        <v/>
      </c>
      <c r="O128" s="155"/>
      <c r="P128" s="499" t="str">
        <f>IF(O128="","",IF(VLOOKUP(O128,'G-7 Rivers Data'!$AD$4:$AE$8,2,FALSE)=0,"Spatial Data Missing ⚠",VLOOKUP(O128,'G-7 Rivers Data'!$AD$4:$AE$8,2,FALSE)))</f>
        <v/>
      </c>
      <c r="Q128" s="506" t="str">
        <f>IF(D128="","",VLOOKUP(D128,'G-7 Rivers Data'!$B$2:$G$8,6,FALSE))</f>
        <v/>
      </c>
      <c r="R128" s="513" t="str">
        <f t="shared" si="8"/>
        <v/>
      </c>
      <c r="S128" s="40"/>
      <c r="T128" s="145"/>
      <c r="U128" s="157"/>
      <c r="V128" s="511" t="str">
        <f t="shared" si="9"/>
        <v/>
      </c>
      <c r="W128" s="511" t="str">
        <f t="shared" si="10"/>
        <v/>
      </c>
      <c r="X128" s="511" t="str">
        <f t="shared" si="11"/>
        <v/>
      </c>
      <c r="Y128" s="515" t="str">
        <f t="shared" si="12"/>
        <v/>
      </c>
      <c r="Z128" s="151"/>
      <c r="AA128" s="152"/>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c r="AP128" s="31" t="str">
        <f>IFERROR(INDEX('G-7 Rivers Data'!$AZ$3:$AZ$7,MATCH(D128,'G-7 Rivers Data'!$AY$3:$AY$7,0)),"")</f>
        <v/>
      </c>
    </row>
    <row r="129" spans="3:42" ht="13.8" x14ac:dyDescent="0.25">
      <c r="C129" s="141">
        <v>120</v>
      </c>
      <c r="D129" s="460"/>
      <c r="E129" s="172"/>
      <c r="F129" s="498" t="str">
        <f>IF(D129="","",VLOOKUP(D129,'G-7 Rivers Data'!$B$2:$G$8,2,FALSE))</f>
        <v/>
      </c>
      <c r="G129" s="499" t="str">
        <f>IFERROR(VLOOKUP(F129,'G-7 Rivers Data'!$C$4:$D$8,2,FALSE),"")</f>
        <v/>
      </c>
      <c r="H129" s="145"/>
      <c r="I129" s="499" t="str">
        <f>IFERROR(INDEX('G-7 Rivers Data'!$H$4:$L$8,MATCH(D129,'G-7 Rivers Data'!$B$4:$B$8,0),MATCH(H129,'G-7 Rivers Data'!$H$3:$L$3,0)),"")</f>
        <v/>
      </c>
      <c r="J129" s="418"/>
      <c r="K129" s="498" t="str">
        <f>IF(J129="","",IF(VLOOKUP(J129,'G-7 Rivers Data'!$AK$4:$AM$9,2,FALSE)=0,"Spatial Data Missing ⚠",VLOOKUP(J129,'G-7 Rivers Data'!$AK$4:$AM$9,2,FALSE)))</f>
        <v/>
      </c>
      <c r="L129" s="505" t="str">
        <f>IF(J129="","",IF(VLOOKUP(J129,'G-7 Rivers Data'!$AK$4:$AM$9,3,FALSE)=0,"Spatial Data Missing ⚠",VLOOKUP(J129,'G-7 Rivers Data'!$AK$4:$AM$9,3,FALSE)))</f>
        <v/>
      </c>
      <c r="M129" s="71"/>
      <c r="N129" s="499" t="str">
        <f>IF(M129="","",IF(VLOOKUP(M129,'G-7 Rivers Data'!$AA$4:$AB$7,2,FALSE)=0,"Spatial Data Missing ⚠",VLOOKUP(M129,'G-7 Rivers Data'!$AA$4:$AB$7,2,FALSE)))</f>
        <v/>
      </c>
      <c r="O129" s="155"/>
      <c r="P129" s="499" t="str">
        <f>IF(O129="","",IF(VLOOKUP(O129,'G-7 Rivers Data'!$AD$4:$AE$8,2,FALSE)=0,"Spatial Data Missing ⚠",VLOOKUP(O129,'G-7 Rivers Data'!$AD$4:$AE$8,2,FALSE)))</f>
        <v/>
      </c>
      <c r="Q129" s="506" t="str">
        <f>IF(D129="","",VLOOKUP(D129,'G-7 Rivers Data'!$B$2:$G$8,6,FALSE))</f>
        <v/>
      </c>
      <c r="R129" s="513" t="str">
        <f t="shared" si="8"/>
        <v/>
      </c>
      <c r="S129" s="40"/>
      <c r="T129" s="145"/>
      <c r="U129" s="157"/>
      <c r="V129" s="511" t="str">
        <f t="shared" si="9"/>
        <v/>
      </c>
      <c r="W129" s="511" t="str">
        <f t="shared" si="10"/>
        <v/>
      </c>
      <c r="X129" s="511" t="str">
        <f t="shared" si="11"/>
        <v/>
      </c>
      <c r="Y129" s="515" t="str">
        <f t="shared" si="12"/>
        <v/>
      </c>
      <c r="Z129" s="151"/>
      <c r="AA129" s="152"/>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c r="AP129" s="31" t="str">
        <f>IFERROR(INDEX('G-7 Rivers Data'!$AZ$3:$AZ$7,MATCH(D129,'G-7 Rivers Data'!$AY$3:$AY$7,0)),"")</f>
        <v/>
      </c>
    </row>
    <row r="130" spans="3:42" ht="13.8" x14ac:dyDescent="0.25">
      <c r="C130" s="141">
        <v>121</v>
      </c>
      <c r="D130" s="460"/>
      <c r="E130" s="172"/>
      <c r="F130" s="498" t="str">
        <f>IF(D130="","",VLOOKUP(D130,'G-7 Rivers Data'!$B$2:$G$8,2,FALSE))</f>
        <v/>
      </c>
      <c r="G130" s="499" t="str">
        <f>IFERROR(VLOOKUP(F130,'G-7 Rivers Data'!$C$4:$D$8,2,FALSE),"")</f>
        <v/>
      </c>
      <c r="H130" s="145"/>
      <c r="I130" s="499" t="str">
        <f>IFERROR(INDEX('G-7 Rivers Data'!$H$4:$L$8,MATCH(D130,'G-7 Rivers Data'!$B$4:$B$8,0),MATCH(H130,'G-7 Rivers Data'!$H$3:$L$3,0)),"")</f>
        <v/>
      </c>
      <c r="J130" s="418"/>
      <c r="K130" s="498" t="str">
        <f>IF(J130="","",IF(VLOOKUP(J130,'G-7 Rivers Data'!$AK$4:$AM$9,2,FALSE)=0,"Spatial Data Missing ⚠",VLOOKUP(J130,'G-7 Rivers Data'!$AK$4:$AM$9,2,FALSE)))</f>
        <v/>
      </c>
      <c r="L130" s="505" t="str">
        <f>IF(J130="","",IF(VLOOKUP(J130,'G-7 Rivers Data'!$AK$4:$AM$9,3,FALSE)=0,"Spatial Data Missing ⚠",VLOOKUP(J130,'G-7 Rivers Data'!$AK$4:$AM$9,3,FALSE)))</f>
        <v/>
      </c>
      <c r="M130" s="71"/>
      <c r="N130" s="499" t="str">
        <f>IF(M130="","",IF(VLOOKUP(M130,'G-7 Rivers Data'!$AA$4:$AB$7,2,FALSE)=0,"Spatial Data Missing ⚠",VLOOKUP(M130,'G-7 Rivers Data'!$AA$4:$AB$7,2,FALSE)))</f>
        <v/>
      </c>
      <c r="O130" s="155"/>
      <c r="P130" s="499" t="str">
        <f>IF(O130="","",IF(VLOOKUP(O130,'G-7 Rivers Data'!$AD$4:$AE$8,2,FALSE)=0,"Spatial Data Missing ⚠",VLOOKUP(O130,'G-7 Rivers Data'!$AD$4:$AE$8,2,FALSE)))</f>
        <v/>
      </c>
      <c r="Q130" s="506" t="str">
        <f>IF(D130="","",VLOOKUP(D130,'G-7 Rivers Data'!$B$2:$G$8,6,FALSE))</f>
        <v/>
      </c>
      <c r="R130" s="513" t="str">
        <f t="shared" si="8"/>
        <v/>
      </c>
      <c r="S130" s="40"/>
      <c r="T130" s="145"/>
      <c r="U130" s="157"/>
      <c r="V130" s="511" t="str">
        <f t="shared" si="9"/>
        <v/>
      </c>
      <c r="W130" s="511" t="str">
        <f t="shared" si="10"/>
        <v/>
      </c>
      <c r="X130" s="511" t="str">
        <f t="shared" si="11"/>
        <v/>
      </c>
      <c r="Y130" s="515" t="str">
        <f t="shared" si="12"/>
        <v/>
      </c>
      <c r="Z130" s="151"/>
      <c r="AA130" s="152"/>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c r="AP130" s="31" t="str">
        <f>IFERROR(INDEX('G-7 Rivers Data'!$AZ$3:$AZ$7,MATCH(D130,'G-7 Rivers Data'!$AY$3:$AY$7,0)),"")</f>
        <v/>
      </c>
    </row>
    <row r="131" spans="3:42" ht="13.8" x14ac:dyDescent="0.25">
      <c r="C131" s="141">
        <v>122</v>
      </c>
      <c r="D131" s="460"/>
      <c r="E131" s="172"/>
      <c r="F131" s="498" t="str">
        <f>IF(D131="","",VLOOKUP(D131,'G-7 Rivers Data'!$B$2:$G$8,2,FALSE))</f>
        <v/>
      </c>
      <c r="G131" s="499" t="str">
        <f>IFERROR(VLOOKUP(F131,'G-7 Rivers Data'!$C$4:$D$8,2,FALSE),"")</f>
        <v/>
      </c>
      <c r="H131" s="145"/>
      <c r="I131" s="499" t="str">
        <f>IFERROR(INDEX('G-7 Rivers Data'!$H$4:$L$8,MATCH(D131,'G-7 Rivers Data'!$B$4:$B$8,0),MATCH(H131,'G-7 Rivers Data'!$H$3:$L$3,0)),"")</f>
        <v/>
      </c>
      <c r="J131" s="418"/>
      <c r="K131" s="498" t="str">
        <f>IF(J131="","",IF(VLOOKUP(J131,'G-7 Rivers Data'!$AK$4:$AM$9,2,FALSE)=0,"Spatial Data Missing ⚠",VLOOKUP(J131,'G-7 Rivers Data'!$AK$4:$AM$9,2,FALSE)))</f>
        <v/>
      </c>
      <c r="L131" s="505" t="str">
        <f>IF(J131="","",IF(VLOOKUP(J131,'G-7 Rivers Data'!$AK$4:$AM$9,3,FALSE)=0,"Spatial Data Missing ⚠",VLOOKUP(J131,'G-7 Rivers Data'!$AK$4:$AM$9,3,FALSE)))</f>
        <v/>
      </c>
      <c r="M131" s="71"/>
      <c r="N131" s="499" t="str">
        <f>IF(M131="","",IF(VLOOKUP(M131,'G-7 Rivers Data'!$AA$4:$AB$7,2,FALSE)=0,"Spatial Data Missing ⚠",VLOOKUP(M131,'G-7 Rivers Data'!$AA$4:$AB$7,2,FALSE)))</f>
        <v/>
      </c>
      <c r="O131" s="155"/>
      <c r="P131" s="499" t="str">
        <f>IF(O131="","",IF(VLOOKUP(O131,'G-7 Rivers Data'!$AD$4:$AE$8,2,FALSE)=0,"Spatial Data Missing ⚠",VLOOKUP(O131,'G-7 Rivers Data'!$AD$4:$AE$8,2,FALSE)))</f>
        <v/>
      </c>
      <c r="Q131" s="506" t="str">
        <f>IF(D131="","",VLOOKUP(D131,'G-7 Rivers Data'!$B$2:$G$8,6,FALSE))</f>
        <v/>
      </c>
      <c r="R131" s="513" t="str">
        <f t="shared" si="8"/>
        <v/>
      </c>
      <c r="S131" s="40"/>
      <c r="T131" s="145"/>
      <c r="U131" s="157"/>
      <c r="V131" s="511" t="str">
        <f t="shared" si="9"/>
        <v/>
      </c>
      <c r="W131" s="511" t="str">
        <f t="shared" si="10"/>
        <v/>
      </c>
      <c r="X131" s="511" t="str">
        <f t="shared" si="11"/>
        <v/>
      </c>
      <c r="Y131" s="515" t="str">
        <f t="shared" si="12"/>
        <v/>
      </c>
      <c r="Z131" s="151"/>
      <c r="AA131" s="152"/>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c r="AP131" s="31" t="str">
        <f>IFERROR(INDEX('G-7 Rivers Data'!$AZ$3:$AZ$7,MATCH(D131,'G-7 Rivers Data'!$AY$3:$AY$7,0)),"")</f>
        <v/>
      </c>
    </row>
    <row r="132" spans="3:42" ht="13.8" x14ac:dyDescent="0.25">
      <c r="C132" s="141">
        <v>123</v>
      </c>
      <c r="D132" s="460"/>
      <c r="E132" s="172"/>
      <c r="F132" s="498" t="str">
        <f>IF(D132="","",VLOOKUP(D132,'G-7 Rivers Data'!$B$2:$G$8,2,FALSE))</f>
        <v/>
      </c>
      <c r="G132" s="499" t="str">
        <f>IFERROR(VLOOKUP(F132,'G-7 Rivers Data'!$C$4:$D$8,2,FALSE),"")</f>
        <v/>
      </c>
      <c r="H132" s="145"/>
      <c r="I132" s="499" t="str">
        <f>IFERROR(INDEX('G-7 Rivers Data'!$H$4:$L$8,MATCH(D132,'G-7 Rivers Data'!$B$4:$B$8,0),MATCH(H132,'G-7 Rivers Data'!$H$3:$L$3,0)),"")</f>
        <v/>
      </c>
      <c r="J132" s="418"/>
      <c r="K132" s="498" t="str">
        <f>IF(J132="","",IF(VLOOKUP(J132,'G-7 Rivers Data'!$AK$4:$AM$9,2,FALSE)=0,"Spatial Data Missing ⚠",VLOOKUP(J132,'G-7 Rivers Data'!$AK$4:$AM$9,2,FALSE)))</f>
        <v/>
      </c>
      <c r="L132" s="505" t="str">
        <f>IF(J132="","",IF(VLOOKUP(J132,'G-7 Rivers Data'!$AK$4:$AM$9,3,FALSE)=0,"Spatial Data Missing ⚠",VLOOKUP(J132,'G-7 Rivers Data'!$AK$4:$AM$9,3,FALSE)))</f>
        <v/>
      </c>
      <c r="M132" s="71"/>
      <c r="N132" s="499" t="str">
        <f>IF(M132="","",IF(VLOOKUP(M132,'G-7 Rivers Data'!$AA$4:$AB$7,2,FALSE)=0,"Spatial Data Missing ⚠",VLOOKUP(M132,'G-7 Rivers Data'!$AA$4:$AB$7,2,FALSE)))</f>
        <v/>
      </c>
      <c r="O132" s="155"/>
      <c r="P132" s="499" t="str">
        <f>IF(O132="","",IF(VLOOKUP(O132,'G-7 Rivers Data'!$AD$4:$AE$8,2,FALSE)=0,"Spatial Data Missing ⚠",VLOOKUP(O132,'G-7 Rivers Data'!$AD$4:$AE$8,2,FALSE)))</f>
        <v/>
      </c>
      <c r="Q132" s="506" t="str">
        <f>IF(D132="","",VLOOKUP(D132,'G-7 Rivers Data'!$B$2:$G$8,6,FALSE))</f>
        <v/>
      </c>
      <c r="R132" s="513" t="str">
        <f t="shared" si="8"/>
        <v/>
      </c>
      <c r="S132" s="40"/>
      <c r="T132" s="145"/>
      <c r="U132" s="157"/>
      <c r="V132" s="511" t="str">
        <f t="shared" si="9"/>
        <v/>
      </c>
      <c r="W132" s="511" t="str">
        <f t="shared" si="10"/>
        <v/>
      </c>
      <c r="X132" s="511" t="str">
        <f t="shared" si="11"/>
        <v/>
      </c>
      <c r="Y132" s="515" t="str">
        <f t="shared" si="12"/>
        <v/>
      </c>
      <c r="Z132" s="151"/>
      <c r="AA132" s="152"/>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c r="AP132" s="31" t="str">
        <f>IFERROR(INDEX('G-7 Rivers Data'!$AZ$3:$AZ$7,MATCH(D132,'G-7 Rivers Data'!$AY$3:$AY$7,0)),"")</f>
        <v/>
      </c>
    </row>
    <row r="133" spans="3:42" ht="13.8" x14ac:dyDescent="0.25">
      <c r="C133" s="141">
        <v>124</v>
      </c>
      <c r="D133" s="460"/>
      <c r="E133" s="172"/>
      <c r="F133" s="498" t="str">
        <f>IF(D133="","",VLOOKUP(D133,'G-7 Rivers Data'!$B$2:$G$8,2,FALSE))</f>
        <v/>
      </c>
      <c r="G133" s="499" t="str">
        <f>IFERROR(VLOOKUP(F133,'G-7 Rivers Data'!$C$4:$D$8,2,FALSE),"")</f>
        <v/>
      </c>
      <c r="H133" s="145"/>
      <c r="I133" s="499" t="str">
        <f>IFERROR(INDEX('G-7 Rivers Data'!$H$4:$L$8,MATCH(D133,'G-7 Rivers Data'!$B$4:$B$8,0),MATCH(H133,'G-7 Rivers Data'!$H$3:$L$3,0)),"")</f>
        <v/>
      </c>
      <c r="J133" s="418"/>
      <c r="K133" s="498" t="str">
        <f>IF(J133="","",IF(VLOOKUP(J133,'G-7 Rivers Data'!$AK$4:$AM$9,2,FALSE)=0,"Spatial Data Missing ⚠",VLOOKUP(J133,'G-7 Rivers Data'!$AK$4:$AM$9,2,FALSE)))</f>
        <v/>
      </c>
      <c r="L133" s="505" t="str">
        <f>IF(J133="","",IF(VLOOKUP(J133,'G-7 Rivers Data'!$AK$4:$AM$9,3,FALSE)=0,"Spatial Data Missing ⚠",VLOOKUP(J133,'G-7 Rivers Data'!$AK$4:$AM$9,3,FALSE)))</f>
        <v/>
      </c>
      <c r="M133" s="71"/>
      <c r="N133" s="499" t="str">
        <f>IF(M133="","",IF(VLOOKUP(M133,'G-7 Rivers Data'!$AA$4:$AB$7,2,FALSE)=0,"Spatial Data Missing ⚠",VLOOKUP(M133,'G-7 Rivers Data'!$AA$4:$AB$7,2,FALSE)))</f>
        <v/>
      </c>
      <c r="O133" s="155"/>
      <c r="P133" s="499" t="str">
        <f>IF(O133="","",IF(VLOOKUP(O133,'G-7 Rivers Data'!$AD$4:$AE$8,2,FALSE)=0,"Spatial Data Missing ⚠",VLOOKUP(O133,'G-7 Rivers Data'!$AD$4:$AE$8,2,FALSE)))</f>
        <v/>
      </c>
      <c r="Q133" s="506" t="str">
        <f>IF(D133="","",VLOOKUP(D133,'G-7 Rivers Data'!$B$2:$G$8,6,FALSE))</f>
        <v/>
      </c>
      <c r="R133" s="513" t="str">
        <f t="shared" si="8"/>
        <v/>
      </c>
      <c r="S133" s="40"/>
      <c r="T133" s="145"/>
      <c r="U133" s="157"/>
      <c r="V133" s="511" t="str">
        <f t="shared" si="9"/>
        <v/>
      </c>
      <c r="W133" s="511" t="str">
        <f t="shared" si="10"/>
        <v/>
      </c>
      <c r="X133" s="511" t="str">
        <f t="shared" si="11"/>
        <v/>
      </c>
      <c r="Y133" s="515" t="str">
        <f t="shared" si="12"/>
        <v/>
      </c>
      <c r="Z133" s="151"/>
      <c r="AA133" s="152"/>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c r="AP133" s="31" t="str">
        <f>IFERROR(INDEX('G-7 Rivers Data'!$AZ$3:$AZ$7,MATCH(D133,'G-7 Rivers Data'!$AY$3:$AY$7,0)),"")</f>
        <v/>
      </c>
    </row>
    <row r="134" spans="3:42" ht="13.8" x14ac:dyDescent="0.25">
      <c r="C134" s="141">
        <v>125</v>
      </c>
      <c r="D134" s="460"/>
      <c r="E134" s="172"/>
      <c r="F134" s="498" t="str">
        <f>IF(D134="","",VLOOKUP(D134,'G-7 Rivers Data'!$B$2:$G$8,2,FALSE))</f>
        <v/>
      </c>
      <c r="G134" s="499" t="str">
        <f>IFERROR(VLOOKUP(F134,'G-7 Rivers Data'!$C$4:$D$8,2,FALSE),"")</f>
        <v/>
      </c>
      <c r="H134" s="145"/>
      <c r="I134" s="499" t="str">
        <f>IFERROR(INDEX('G-7 Rivers Data'!$H$4:$L$8,MATCH(D134,'G-7 Rivers Data'!$B$4:$B$8,0),MATCH(H134,'G-7 Rivers Data'!$H$3:$L$3,0)),"")</f>
        <v/>
      </c>
      <c r="J134" s="418"/>
      <c r="K134" s="498" t="str">
        <f>IF(J134="","",IF(VLOOKUP(J134,'G-7 Rivers Data'!$AK$4:$AM$9,2,FALSE)=0,"Spatial Data Missing ⚠",VLOOKUP(J134,'G-7 Rivers Data'!$AK$4:$AM$9,2,FALSE)))</f>
        <v/>
      </c>
      <c r="L134" s="505" t="str">
        <f>IF(J134="","",IF(VLOOKUP(J134,'G-7 Rivers Data'!$AK$4:$AM$9,3,FALSE)=0,"Spatial Data Missing ⚠",VLOOKUP(J134,'G-7 Rivers Data'!$AK$4:$AM$9,3,FALSE)))</f>
        <v/>
      </c>
      <c r="M134" s="71"/>
      <c r="N134" s="499" t="str">
        <f>IF(M134="","",IF(VLOOKUP(M134,'G-7 Rivers Data'!$AA$4:$AB$7,2,FALSE)=0,"Spatial Data Missing ⚠",VLOOKUP(M134,'G-7 Rivers Data'!$AA$4:$AB$7,2,FALSE)))</f>
        <v/>
      </c>
      <c r="O134" s="155"/>
      <c r="P134" s="499" t="str">
        <f>IF(O134="","",IF(VLOOKUP(O134,'G-7 Rivers Data'!$AD$4:$AE$8,2,FALSE)=0,"Spatial Data Missing ⚠",VLOOKUP(O134,'G-7 Rivers Data'!$AD$4:$AE$8,2,FALSE)))</f>
        <v/>
      </c>
      <c r="Q134" s="506" t="str">
        <f>IF(D134="","",VLOOKUP(D134,'G-7 Rivers Data'!$B$2:$G$8,6,FALSE))</f>
        <v/>
      </c>
      <c r="R134" s="513" t="str">
        <f t="shared" si="8"/>
        <v/>
      </c>
      <c r="S134" s="40"/>
      <c r="T134" s="145"/>
      <c r="U134" s="157"/>
      <c r="V134" s="511" t="str">
        <f t="shared" si="9"/>
        <v/>
      </c>
      <c r="W134" s="511" t="str">
        <f t="shared" si="10"/>
        <v/>
      </c>
      <c r="X134" s="511" t="str">
        <f t="shared" si="11"/>
        <v/>
      </c>
      <c r="Y134" s="515" t="str">
        <f t="shared" si="12"/>
        <v/>
      </c>
      <c r="Z134" s="151"/>
      <c r="AA134" s="152"/>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c r="AP134" s="31" t="str">
        <f>IFERROR(INDEX('G-7 Rivers Data'!$AZ$3:$AZ$7,MATCH(D134,'G-7 Rivers Data'!$AY$3:$AY$7,0)),"")</f>
        <v/>
      </c>
    </row>
    <row r="135" spans="3:42" ht="13.8" x14ac:dyDescent="0.25">
      <c r="C135" s="141">
        <v>126</v>
      </c>
      <c r="D135" s="460"/>
      <c r="E135" s="172"/>
      <c r="F135" s="498" t="str">
        <f>IF(D135="","",VLOOKUP(D135,'G-7 Rivers Data'!$B$2:$G$8,2,FALSE))</f>
        <v/>
      </c>
      <c r="G135" s="499" t="str">
        <f>IFERROR(VLOOKUP(F135,'G-7 Rivers Data'!$C$4:$D$8,2,FALSE),"")</f>
        <v/>
      </c>
      <c r="H135" s="145"/>
      <c r="I135" s="499" t="str">
        <f>IFERROR(INDEX('G-7 Rivers Data'!$H$4:$L$8,MATCH(D135,'G-7 Rivers Data'!$B$4:$B$8,0),MATCH(H135,'G-7 Rivers Data'!$H$3:$L$3,0)),"")</f>
        <v/>
      </c>
      <c r="J135" s="418"/>
      <c r="K135" s="498" t="str">
        <f>IF(J135="","",IF(VLOOKUP(J135,'G-7 Rivers Data'!$AK$4:$AM$9,2,FALSE)=0,"Spatial Data Missing ⚠",VLOOKUP(J135,'G-7 Rivers Data'!$AK$4:$AM$9,2,FALSE)))</f>
        <v/>
      </c>
      <c r="L135" s="505" t="str">
        <f>IF(J135="","",IF(VLOOKUP(J135,'G-7 Rivers Data'!$AK$4:$AM$9,3,FALSE)=0,"Spatial Data Missing ⚠",VLOOKUP(J135,'G-7 Rivers Data'!$AK$4:$AM$9,3,FALSE)))</f>
        <v/>
      </c>
      <c r="M135" s="71"/>
      <c r="N135" s="499" t="str">
        <f>IF(M135="","",IF(VLOOKUP(M135,'G-7 Rivers Data'!$AA$4:$AB$7,2,FALSE)=0,"Spatial Data Missing ⚠",VLOOKUP(M135,'G-7 Rivers Data'!$AA$4:$AB$7,2,FALSE)))</f>
        <v/>
      </c>
      <c r="O135" s="155"/>
      <c r="P135" s="499" t="str">
        <f>IF(O135="","",IF(VLOOKUP(O135,'G-7 Rivers Data'!$AD$4:$AE$8,2,FALSE)=0,"Spatial Data Missing ⚠",VLOOKUP(O135,'G-7 Rivers Data'!$AD$4:$AE$8,2,FALSE)))</f>
        <v/>
      </c>
      <c r="Q135" s="506" t="str">
        <f>IF(D135="","",VLOOKUP(D135,'G-7 Rivers Data'!$B$2:$G$8,6,FALSE))</f>
        <v/>
      </c>
      <c r="R135" s="513" t="str">
        <f t="shared" si="8"/>
        <v/>
      </c>
      <c r="S135" s="40"/>
      <c r="T135" s="145"/>
      <c r="U135" s="157"/>
      <c r="V135" s="511" t="str">
        <f t="shared" si="9"/>
        <v/>
      </c>
      <c r="W135" s="511" t="str">
        <f t="shared" si="10"/>
        <v/>
      </c>
      <c r="X135" s="511" t="str">
        <f t="shared" si="11"/>
        <v/>
      </c>
      <c r="Y135" s="515" t="str">
        <f t="shared" si="12"/>
        <v/>
      </c>
      <c r="Z135" s="151"/>
      <c r="AA135" s="152"/>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c r="AP135" s="31" t="str">
        <f>IFERROR(INDEX('G-7 Rivers Data'!$AZ$3:$AZ$7,MATCH(D135,'G-7 Rivers Data'!$AY$3:$AY$7,0)),"")</f>
        <v/>
      </c>
    </row>
    <row r="136" spans="3:42" ht="13.8" x14ac:dyDescent="0.25">
      <c r="C136" s="141">
        <v>127</v>
      </c>
      <c r="D136" s="460"/>
      <c r="E136" s="172"/>
      <c r="F136" s="498" t="str">
        <f>IF(D136="","",VLOOKUP(D136,'G-7 Rivers Data'!$B$2:$G$8,2,FALSE))</f>
        <v/>
      </c>
      <c r="G136" s="499" t="str">
        <f>IFERROR(VLOOKUP(F136,'G-7 Rivers Data'!$C$4:$D$8,2,FALSE),"")</f>
        <v/>
      </c>
      <c r="H136" s="145"/>
      <c r="I136" s="499" t="str">
        <f>IFERROR(INDEX('G-7 Rivers Data'!$H$4:$L$8,MATCH(D136,'G-7 Rivers Data'!$B$4:$B$8,0),MATCH(H136,'G-7 Rivers Data'!$H$3:$L$3,0)),"")</f>
        <v/>
      </c>
      <c r="J136" s="418"/>
      <c r="K136" s="498" t="str">
        <f>IF(J136="","",IF(VLOOKUP(J136,'G-7 Rivers Data'!$AK$4:$AM$9,2,FALSE)=0,"Spatial Data Missing ⚠",VLOOKUP(J136,'G-7 Rivers Data'!$AK$4:$AM$9,2,FALSE)))</f>
        <v/>
      </c>
      <c r="L136" s="505" t="str">
        <f>IF(J136="","",IF(VLOOKUP(J136,'G-7 Rivers Data'!$AK$4:$AM$9,3,FALSE)=0,"Spatial Data Missing ⚠",VLOOKUP(J136,'G-7 Rivers Data'!$AK$4:$AM$9,3,FALSE)))</f>
        <v/>
      </c>
      <c r="M136" s="71"/>
      <c r="N136" s="499" t="str">
        <f>IF(M136="","",IF(VLOOKUP(M136,'G-7 Rivers Data'!$AA$4:$AB$7,2,FALSE)=0,"Spatial Data Missing ⚠",VLOOKUP(M136,'G-7 Rivers Data'!$AA$4:$AB$7,2,FALSE)))</f>
        <v/>
      </c>
      <c r="O136" s="155"/>
      <c r="P136" s="499" t="str">
        <f>IF(O136="","",IF(VLOOKUP(O136,'G-7 Rivers Data'!$AD$4:$AE$8,2,FALSE)=0,"Spatial Data Missing ⚠",VLOOKUP(O136,'G-7 Rivers Data'!$AD$4:$AE$8,2,FALSE)))</f>
        <v/>
      </c>
      <c r="Q136" s="506" t="str">
        <f>IF(D136="","",VLOOKUP(D136,'G-7 Rivers Data'!$B$2:$G$8,6,FALSE))</f>
        <v/>
      </c>
      <c r="R136" s="513" t="str">
        <f t="shared" si="8"/>
        <v/>
      </c>
      <c r="S136" s="40"/>
      <c r="T136" s="145"/>
      <c r="U136" s="157"/>
      <c r="V136" s="511" t="str">
        <f t="shared" si="9"/>
        <v/>
      </c>
      <c r="W136" s="511" t="str">
        <f t="shared" si="10"/>
        <v/>
      </c>
      <c r="X136" s="511" t="str">
        <f t="shared" si="11"/>
        <v/>
      </c>
      <c r="Y136" s="515" t="str">
        <f t="shared" si="12"/>
        <v/>
      </c>
      <c r="Z136" s="151"/>
      <c r="AA136" s="152"/>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c r="AP136" s="31" t="str">
        <f>IFERROR(INDEX('G-7 Rivers Data'!$AZ$3:$AZ$7,MATCH(D136,'G-7 Rivers Data'!$AY$3:$AY$7,0)),"")</f>
        <v/>
      </c>
    </row>
    <row r="137" spans="3:42" ht="13.8" x14ac:dyDescent="0.25">
      <c r="C137" s="141">
        <v>128</v>
      </c>
      <c r="D137" s="460"/>
      <c r="E137" s="172"/>
      <c r="F137" s="498" t="str">
        <f>IF(D137="","",VLOOKUP(D137,'G-7 Rivers Data'!$B$2:$G$8,2,FALSE))</f>
        <v/>
      </c>
      <c r="G137" s="499" t="str">
        <f>IFERROR(VLOOKUP(F137,'G-7 Rivers Data'!$C$4:$D$8,2,FALSE),"")</f>
        <v/>
      </c>
      <c r="H137" s="145"/>
      <c r="I137" s="499" t="str">
        <f>IFERROR(INDEX('G-7 Rivers Data'!$H$4:$L$8,MATCH(D137,'G-7 Rivers Data'!$B$4:$B$8,0),MATCH(H137,'G-7 Rivers Data'!$H$3:$L$3,0)),"")</f>
        <v/>
      </c>
      <c r="J137" s="418"/>
      <c r="K137" s="498" t="str">
        <f>IF(J137="","",IF(VLOOKUP(J137,'G-7 Rivers Data'!$AK$4:$AM$9,2,FALSE)=0,"Spatial Data Missing ⚠",VLOOKUP(J137,'G-7 Rivers Data'!$AK$4:$AM$9,2,FALSE)))</f>
        <v/>
      </c>
      <c r="L137" s="505" t="str">
        <f>IF(J137="","",IF(VLOOKUP(J137,'G-7 Rivers Data'!$AK$4:$AM$9,3,FALSE)=0,"Spatial Data Missing ⚠",VLOOKUP(J137,'G-7 Rivers Data'!$AK$4:$AM$9,3,FALSE)))</f>
        <v/>
      </c>
      <c r="M137" s="71"/>
      <c r="N137" s="499" t="str">
        <f>IF(M137="","",IF(VLOOKUP(M137,'G-7 Rivers Data'!$AA$4:$AB$7,2,FALSE)=0,"Spatial Data Missing ⚠",VLOOKUP(M137,'G-7 Rivers Data'!$AA$4:$AB$7,2,FALSE)))</f>
        <v/>
      </c>
      <c r="O137" s="155"/>
      <c r="P137" s="499" t="str">
        <f>IF(O137="","",IF(VLOOKUP(O137,'G-7 Rivers Data'!$AD$4:$AE$8,2,FALSE)=0,"Spatial Data Missing ⚠",VLOOKUP(O137,'G-7 Rivers Data'!$AD$4:$AE$8,2,FALSE)))</f>
        <v/>
      </c>
      <c r="Q137" s="506" t="str">
        <f>IF(D137="","",VLOOKUP(D137,'G-7 Rivers Data'!$B$2:$G$8,6,FALSE))</f>
        <v/>
      </c>
      <c r="R137" s="513" t="str">
        <f t="shared" si="8"/>
        <v/>
      </c>
      <c r="S137" s="40"/>
      <c r="T137" s="145"/>
      <c r="U137" s="157"/>
      <c r="V137" s="511" t="str">
        <f t="shared" si="9"/>
        <v/>
      </c>
      <c r="W137" s="511" t="str">
        <f t="shared" si="10"/>
        <v/>
      </c>
      <c r="X137" s="511" t="str">
        <f t="shared" si="11"/>
        <v/>
      </c>
      <c r="Y137" s="515" t="str">
        <f t="shared" si="12"/>
        <v/>
      </c>
      <c r="Z137" s="151"/>
      <c r="AA137" s="152"/>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c r="AP137" s="31" t="str">
        <f>IFERROR(INDEX('G-7 Rivers Data'!$AZ$3:$AZ$7,MATCH(D137,'G-7 Rivers Data'!$AY$3:$AY$7,0)),"")</f>
        <v/>
      </c>
    </row>
    <row r="138" spans="3:42" ht="13.8" x14ac:dyDescent="0.25">
      <c r="C138" s="141">
        <v>129</v>
      </c>
      <c r="D138" s="460"/>
      <c r="E138" s="172"/>
      <c r="F138" s="498" t="str">
        <f>IF(D138="","",VLOOKUP(D138,'G-7 Rivers Data'!$B$2:$G$8,2,FALSE))</f>
        <v/>
      </c>
      <c r="G138" s="499" t="str">
        <f>IFERROR(VLOOKUP(F138,'G-7 Rivers Data'!$C$4:$D$8,2,FALSE),"")</f>
        <v/>
      </c>
      <c r="H138" s="145"/>
      <c r="I138" s="499" t="str">
        <f>IFERROR(INDEX('G-7 Rivers Data'!$H$4:$L$8,MATCH(D138,'G-7 Rivers Data'!$B$4:$B$8,0),MATCH(H138,'G-7 Rivers Data'!$H$3:$L$3,0)),"")</f>
        <v/>
      </c>
      <c r="J138" s="418"/>
      <c r="K138" s="498" t="str">
        <f>IF(J138="","",IF(VLOOKUP(J138,'G-7 Rivers Data'!$AK$4:$AM$9,2,FALSE)=0,"Spatial Data Missing ⚠",VLOOKUP(J138,'G-7 Rivers Data'!$AK$4:$AM$9,2,FALSE)))</f>
        <v/>
      </c>
      <c r="L138" s="505" t="str">
        <f>IF(J138="","",IF(VLOOKUP(J138,'G-7 Rivers Data'!$AK$4:$AM$9,3,FALSE)=0,"Spatial Data Missing ⚠",VLOOKUP(J138,'G-7 Rivers Data'!$AK$4:$AM$9,3,FALSE)))</f>
        <v/>
      </c>
      <c r="M138" s="71"/>
      <c r="N138" s="499" t="str">
        <f>IF(M138="","",IF(VLOOKUP(M138,'G-7 Rivers Data'!$AA$4:$AB$7,2,FALSE)=0,"Spatial Data Missing ⚠",VLOOKUP(M138,'G-7 Rivers Data'!$AA$4:$AB$7,2,FALSE)))</f>
        <v/>
      </c>
      <c r="O138" s="155"/>
      <c r="P138" s="499" t="str">
        <f>IF(O138="","",IF(VLOOKUP(O138,'G-7 Rivers Data'!$AD$4:$AE$8,2,FALSE)=0,"Spatial Data Missing ⚠",VLOOKUP(O138,'G-7 Rivers Data'!$AD$4:$AE$8,2,FALSE)))</f>
        <v/>
      </c>
      <c r="Q138" s="506" t="str">
        <f>IF(D138="","",VLOOKUP(D138,'G-7 Rivers Data'!$B$2:$G$8,6,FALSE))</f>
        <v/>
      </c>
      <c r="R138" s="513" t="str">
        <f t="shared" si="8"/>
        <v/>
      </c>
      <c r="S138" s="40"/>
      <c r="T138" s="145"/>
      <c r="U138" s="157"/>
      <c r="V138" s="511" t="str">
        <f t="shared" si="9"/>
        <v/>
      </c>
      <c r="W138" s="511" t="str">
        <f t="shared" si="10"/>
        <v/>
      </c>
      <c r="X138" s="511" t="str">
        <f t="shared" si="11"/>
        <v/>
      </c>
      <c r="Y138" s="515" t="str">
        <f t="shared" si="12"/>
        <v/>
      </c>
      <c r="Z138" s="151"/>
      <c r="AA138" s="152"/>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c r="AP138" s="31" t="str">
        <f>IFERROR(INDEX('G-7 Rivers Data'!$AZ$3:$AZ$7,MATCH(D138,'G-7 Rivers Data'!$AY$3:$AY$7,0)),"")</f>
        <v/>
      </c>
    </row>
    <row r="139" spans="3:42" ht="13.8" x14ac:dyDescent="0.25">
      <c r="C139" s="141">
        <v>130</v>
      </c>
      <c r="D139" s="460"/>
      <c r="E139" s="172"/>
      <c r="F139" s="498" t="str">
        <f>IF(D139="","",VLOOKUP(D139,'G-7 Rivers Data'!$B$2:$G$8,2,FALSE))</f>
        <v/>
      </c>
      <c r="G139" s="499" t="str">
        <f>IFERROR(VLOOKUP(F139,'G-7 Rivers Data'!$C$4:$D$8,2,FALSE),"")</f>
        <v/>
      </c>
      <c r="H139" s="145"/>
      <c r="I139" s="499" t="str">
        <f>IFERROR(INDEX('G-7 Rivers Data'!$H$4:$L$8,MATCH(D139,'G-7 Rivers Data'!$B$4:$B$8,0),MATCH(H139,'G-7 Rivers Data'!$H$3:$L$3,0)),"")</f>
        <v/>
      </c>
      <c r="J139" s="418"/>
      <c r="K139" s="498" t="str">
        <f>IF(J139="","",IF(VLOOKUP(J139,'G-7 Rivers Data'!$AK$4:$AM$9,2,FALSE)=0,"Spatial Data Missing ⚠",VLOOKUP(J139,'G-7 Rivers Data'!$AK$4:$AM$9,2,FALSE)))</f>
        <v/>
      </c>
      <c r="L139" s="505" t="str">
        <f>IF(J139="","",IF(VLOOKUP(J139,'G-7 Rivers Data'!$AK$4:$AM$9,3,FALSE)=0,"Spatial Data Missing ⚠",VLOOKUP(J139,'G-7 Rivers Data'!$AK$4:$AM$9,3,FALSE)))</f>
        <v/>
      </c>
      <c r="M139" s="71"/>
      <c r="N139" s="499" t="str">
        <f>IF(M139="","",IF(VLOOKUP(M139,'G-7 Rivers Data'!$AA$4:$AB$7,2,FALSE)=0,"Spatial Data Missing ⚠",VLOOKUP(M139,'G-7 Rivers Data'!$AA$4:$AB$7,2,FALSE)))</f>
        <v/>
      </c>
      <c r="O139" s="155"/>
      <c r="P139" s="499" t="str">
        <f>IF(O139="","",IF(VLOOKUP(O139,'G-7 Rivers Data'!$AD$4:$AE$8,2,FALSE)=0,"Spatial Data Missing ⚠",VLOOKUP(O139,'G-7 Rivers Data'!$AD$4:$AE$8,2,FALSE)))</f>
        <v/>
      </c>
      <c r="Q139" s="506" t="str">
        <f>IF(D139="","",VLOOKUP(D139,'G-7 Rivers Data'!$B$2:$G$8,6,FALSE))</f>
        <v/>
      </c>
      <c r="R139" s="513" t="str">
        <f t="shared" ref="R139:R202" si="16">IFERROR(IF(D139="","",E139*G139*I139*L139*N139*P139),"")</f>
        <v/>
      </c>
      <c r="S139" s="40"/>
      <c r="T139" s="145"/>
      <c r="U139" s="157"/>
      <c r="V139" s="511" t="str">
        <f t="shared" ref="V139:V202" si="17">IFERROR(IF(T139&gt;E139,"Check Lengths",T139*G139*I139*L139*N139*P139),"")</f>
        <v/>
      </c>
      <c r="W139" s="511" t="str">
        <f t="shared" ref="W139:W202" si="18">IFERROR(IF(D139="","",U139*G139*I139*L139*N139*P139),"")</f>
        <v/>
      </c>
      <c r="X139" s="511" t="str">
        <f t="shared" ref="X139:X202" si="19">IFERROR(IF(D139="","",IF(E139&gt;(T139+U139),E139-T139-U139,0)),"")</f>
        <v/>
      </c>
      <c r="Y139" s="515" t="str">
        <f t="shared" ref="Y139:Y202" si="20">IFERROR(IF(E139="","",IF((V139+W139)&gt;R139,0,R139-V139-W139)),"Check Data ⚠")</f>
        <v/>
      </c>
      <c r="Z139" s="151"/>
      <c r="AA139" s="152"/>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c r="AP139" s="31" t="str">
        <f>IFERROR(INDEX('G-7 Rivers Data'!$AZ$3:$AZ$7,MATCH(D139,'G-7 Rivers Data'!$AY$3:$AY$7,0)),"")</f>
        <v/>
      </c>
    </row>
    <row r="140" spans="3:42" ht="13.8" x14ac:dyDescent="0.25">
      <c r="C140" s="141">
        <v>131</v>
      </c>
      <c r="D140" s="460"/>
      <c r="E140" s="172"/>
      <c r="F140" s="498" t="str">
        <f>IF(D140="","",VLOOKUP(D140,'G-7 Rivers Data'!$B$2:$G$8,2,FALSE))</f>
        <v/>
      </c>
      <c r="G140" s="499" t="str">
        <f>IFERROR(VLOOKUP(F140,'G-7 Rivers Data'!$C$4:$D$8,2,FALSE),"")</f>
        <v/>
      </c>
      <c r="H140" s="145"/>
      <c r="I140" s="499" t="str">
        <f>IFERROR(INDEX('G-7 Rivers Data'!$H$4:$L$8,MATCH(D140,'G-7 Rivers Data'!$B$4:$B$8,0),MATCH(H140,'G-7 Rivers Data'!$H$3:$L$3,0)),"")</f>
        <v/>
      </c>
      <c r="J140" s="418"/>
      <c r="K140" s="498" t="str">
        <f>IF(J140="","",IF(VLOOKUP(J140,'G-7 Rivers Data'!$AK$4:$AM$9,2,FALSE)=0,"Spatial Data Missing ⚠",VLOOKUP(J140,'G-7 Rivers Data'!$AK$4:$AM$9,2,FALSE)))</f>
        <v/>
      </c>
      <c r="L140" s="505" t="str">
        <f>IF(J140="","",IF(VLOOKUP(J140,'G-7 Rivers Data'!$AK$4:$AM$9,3,FALSE)=0,"Spatial Data Missing ⚠",VLOOKUP(J140,'G-7 Rivers Data'!$AK$4:$AM$9,3,FALSE)))</f>
        <v/>
      </c>
      <c r="M140" s="71"/>
      <c r="N140" s="499" t="str">
        <f>IF(M140="","",IF(VLOOKUP(M140,'G-7 Rivers Data'!$AA$4:$AB$7,2,FALSE)=0,"Spatial Data Missing ⚠",VLOOKUP(M140,'G-7 Rivers Data'!$AA$4:$AB$7,2,FALSE)))</f>
        <v/>
      </c>
      <c r="O140" s="155"/>
      <c r="P140" s="499" t="str">
        <f>IF(O140="","",IF(VLOOKUP(O140,'G-7 Rivers Data'!$AD$4:$AE$8,2,FALSE)=0,"Spatial Data Missing ⚠",VLOOKUP(O140,'G-7 Rivers Data'!$AD$4:$AE$8,2,FALSE)))</f>
        <v/>
      </c>
      <c r="Q140" s="506" t="str">
        <f>IF(D140="","",VLOOKUP(D140,'G-7 Rivers Data'!$B$2:$G$8,6,FALSE))</f>
        <v/>
      </c>
      <c r="R140" s="513" t="str">
        <f t="shared" si="16"/>
        <v/>
      </c>
      <c r="S140" s="40"/>
      <c r="T140" s="145"/>
      <c r="U140" s="157"/>
      <c r="V140" s="511" t="str">
        <f t="shared" si="17"/>
        <v/>
      </c>
      <c r="W140" s="511" t="str">
        <f t="shared" si="18"/>
        <v/>
      </c>
      <c r="X140" s="511" t="str">
        <f t="shared" si="19"/>
        <v/>
      </c>
      <c r="Y140" s="515" t="str">
        <f t="shared" si="20"/>
        <v/>
      </c>
      <c r="Z140" s="151"/>
      <c r="AA140" s="152"/>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c r="AP140" s="31" t="str">
        <f>IFERROR(INDEX('G-7 Rivers Data'!$AZ$3:$AZ$7,MATCH(D140,'G-7 Rivers Data'!$AY$3:$AY$7,0)),"")</f>
        <v/>
      </c>
    </row>
    <row r="141" spans="3:42" ht="13.8" x14ac:dyDescent="0.25">
      <c r="C141" s="141">
        <v>132</v>
      </c>
      <c r="D141" s="460"/>
      <c r="E141" s="172"/>
      <c r="F141" s="498" t="str">
        <f>IF(D141="","",VLOOKUP(D141,'G-7 Rivers Data'!$B$2:$G$8,2,FALSE))</f>
        <v/>
      </c>
      <c r="G141" s="499" t="str">
        <f>IFERROR(VLOOKUP(F141,'G-7 Rivers Data'!$C$4:$D$8,2,FALSE),"")</f>
        <v/>
      </c>
      <c r="H141" s="145"/>
      <c r="I141" s="499" t="str">
        <f>IFERROR(INDEX('G-7 Rivers Data'!$H$4:$L$8,MATCH(D141,'G-7 Rivers Data'!$B$4:$B$8,0),MATCH(H141,'G-7 Rivers Data'!$H$3:$L$3,0)),"")</f>
        <v/>
      </c>
      <c r="J141" s="418"/>
      <c r="K141" s="498" t="str">
        <f>IF(J141="","",IF(VLOOKUP(J141,'G-7 Rivers Data'!$AK$4:$AM$9,2,FALSE)=0,"Spatial Data Missing ⚠",VLOOKUP(J141,'G-7 Rivers Data'!$AK$4:$AM$9,2,FALSE)))</f>
        <v/>
      </c>
      <c r="L141" s="505" t="str">
        <f>IF(J141="","",IF(VLOOKUP(J141,'G-7 Rivers Data'!$AK$4:$AM$9,3,FALSE)=0,"Spatial Data Missing ⚠",VLOOKUP(J141,'G-7 Rivers Data'!$AK$4:$AM$9,3,FALSE)))</f>
        <v/>
      </c>
      <c r="M141" s="71"/>
      <c r="N141" s="499" t="str">
        <f>IF(M141="","",IF(VLOOKUP(M141,'G-7 Rivers Data'!$AA$4:$AB$7,2,FALSE)=0,"Spatial Data Missing ⚠",VLOOKUP(M141,'G-7 Rivers Data'!$AA$4:$AB$7,2,FALSE)))</f>
        <v/>
      </c>
      <c r="O141" s="155"/>
      <c r="P141" s="499" t="str">
        <f>IF(O141="","",IF(VLOOKUP(O141,'G-7 Rivers Data'!$AD$4:$AE$8,2,FALSE)=0,"Spatial Data Missing ⚠",VLOOKUP(O141,'G-7 Rivers Data'!$AD$4:$AE$8,2,FALSE)))</f>
        <v/>
      </c>
      <c r="Q141" s="506" t="str">
        <f>IF(D141="","",VLOOKUP(D141,'G-7 Rivers Data'!$B$2:$G$8,6,FALSE))</f>
        <v/>
      </c>
      <c r="R141" s="513" t="str">
        <f t="shared" si="16"/>
        <v/>
      </c>
      <c r="S141" s="40"/>
      <c r="T141" s="145"/>
      <c r="U141" s="157"/>
      <c r="V141" s="511" t="str">
        <f t="shared" si="17"/>
        <v/>
      </c>
      <c r="W141" s="511" t="str">
        <f t="shared" si="18"/>
        <v/>
      </c>
      <c r="X141" s="511" t="str">
        <f t="shared" si="19"/>
        <v/>
      </c>
      <c r="Y141" s="515" t="str">
        <f t="shared" si="20"/>
        <v/>
      </c>
      <c r="Z141" s="151"/>
      <c r="AA141" s="152"/>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c r="AP141" s="31" t="str">
        <f>IFERROR(INDEX('G-7 Rivers Data'!$AZ$3:$AZ$7,MATCH(D141,'G-7 Rivers Data'!$AY$3:$AY$7,0)),"")</f>
        <v/>
      </c>
    </row>
    <row r="142" spans="3:42" ht="13.8" x14ac:dyDescent="0.25">
      <c r="C142" s="141">
        <v>133</v>
      </c>
      <c r="D142" s="460"/>
      <c r="E142" s="172"/>
      <c r="F142" s="498" t="str">
        <f>IF(D142="","",VLOOKUP(D142,'G-7 Rivers Data'!$B$2:$G$8,2,FALSE))</f>
        <v/>
      </c>
      <c r="G142" s="499" t="str">
        <f>IFERROR(VLOOKUP(F142,'G-7 Rivers Data'!$C$4:$D$8,2,FALSE),"")</f>
        <v/>
      </c>
      <c r="H142" s="145"/>
      <c r="I142" s="499" t="str">
        <f>IFERROR(INDEX('G-7 Rivers Data'!$H$4:$L$8,MATCH(D142,'G-7 Rivers Data'!$B$4:$B$8,0),MATCH(H142,'G-7 Rivers Data'!$H$3:$L$3,0)),"")</f>
        <v/>
      </c>
      <c r="J142" s="418"/>
      <c r="K142" s="498" t="str">
        <f>IF(J142="","",IF(VLOOKUP(J142,'G-7 Rivers Data'!$AK$4:$AM$9,2,FALSE)=0,"Spatial Data Missing ⚠",VLOOKUP(J142,'G-7 Rivers Data'!$AK$4:$AM$9,2,FALSE)))</f>
        <v/>
      </c>
      <c r="L142" s="505" t="str">
        <f>IF(J142="","",IF(VLOOKUP(J142,'G-7 Rivers Data'!$AK$4:$AM$9,3,FALSE)=0,"Spatial Data Missing ⚠",VLOOKUP(J142,'G-7 Rivers Data'!$AK$4:$AM$9,3,FALSE)))</f>
        <v/>
      </c>
      <c r="M142" s="71"/>
      <c r="N142" s="499" t="str">
        <f>IF(M142="","",IF(VLOOKUP(M142,'G-7 Rivers Data'!$AA$4:$AB$7,2,FALSE)=0,"Spatial Data Missing ⚠",VLOOKUP(M142,'G-7 Rivers Data'!$AA$4:$AB$7,2,FALSE)))</f>
        <v/>
      </c>
      <c r="O142" s="155"/>
      <c r="P142" s="499" t="str">
        <f>IF(O142="","",IF(VLOOKUP(O142,'G-7 Rivers Data'!$AD$4:$AE$8,2,FALSE)=0,"Spatial Data Missing ⚠",VLOOKUP(O142,'G-7 Rivers Data'!$AD$4:$AE$8,2,FALSE)))</f>
        <v/>
      </c>
      <c r="Q142" s="506" t="str">
        <f>IF(D142="","",VLOOKUP(D142,'G-7 Rivers Data'!$B$2:$G$8,6,FALSE))</f>
        <v/>
      </c>
      <c r="R142" s="513" t="str">
        <f t="shared" si="16"/>
        <v/>
      </c>
      <c r="S142" s="40"/>
      <c r="T142" s="145"/>
      <c r="U142" s="157"/>
      <c r="V142" s="511" t="str">
        <f t="shared" si="17"/>
        <v/>
      </c>
      <c r="W142" s="511" t="str">
        <f t="shared" si="18"/>
        <v/>
      </c>
      <c r="X142" s="511" t="str">
        <f t="shared" si="19"/>
        <v/>
      </c>
      <c r="Y142" s="515" t="str">
        <f t="shared" si="20"/>
        <v/>
      </c>
      <c r="Z142" s="151"/>
      <c r="AA142" s="152"/>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c r="AP142" s="31" t="str">
        <f>IFERROR(INDEX('G-7 Rivers Data'!$AZ$3:$AZ$7,MATCH(D142,'G-7 Rivers Data'!$AY$3:$AY$7,0)),"")</f>
        <v/>
      </c>
    </row>
    <row r="143" spans="3:42" ht="13.8" x14ac:dyDescent="0.25">
      <c r="C143" s="141">
        <v>134</v>
      </c>
      <c r="D143" s="460"/>
      <c r="E143" s="172"/>
      <c r="F143" s="498" t="str">
        <f>IF(D143="","",VLOOKUP(D143,'G-7 Rivers Data'!$B$2:$G$8,2,FALSE))</f>
        <v/>
      </c>
      <c r="G143" s="499" t="str">
        <f>IFERROR(VLOOKUP(F143,'G-7 Rivers Data'!$C$4:$D$8,2,FALSE),"")</f>
        <v/>
      </c>
      <c r="H143" s="145"/>
      <c r="I143" s="499" t="str">
        <f>IFERROR(INDEX('G-7 Rivers Data'!$H$4:$L$8,MATCH(D143,'G-7 Rivers Data'!$B$4:$B$8,0),MATCH(H143,'G-7 Rivers Data'!$H$3:$L$3,0)),"")</f>
        <v/>
      </c>
      <c r="J143" s="418"/>
      <c r="K143" s="498" t="str">
        <f>IF(J143="","",IF(VLOOKUP(J143,'G-7 Rivers Data'!$AK$4:$AM$9,2,FALSE)=0,"Spatial Data Missing ⚠",VLOOKUP(J143,'G-7 Rivers Data'!$AK$4:$AM$9,2,FALSE)))</f>
        <v/>
      </c>
      <c r="L143" s="505" t="str">
        <f>IF(J143="","",IF(VLOOKUP(J143,'G-7 Rivers Data'!$AK$4:$AM$9,3,FALSE)=0,"Spatial Data Missing ⚠",VLOOKUP(J143,'G-7 Rivers Data'!$AK$4:$AM$9,3,FALSE)))</f>
        <v/>
      </c>
      <c r="M143" s="71"/>
      <c r="N143" s="499" t="str">
        <f>IF(M143="","",IF(VLOOKUP(M143,'G-7 Rivers Data'!$AA$4:$AB$7,2,FALSE)=0,"Spatial Data Missing ⚠",VLOOKUP(M143,'G-7 Rivers Data'!$AA$4:$AB$7,2,FALSE)))</f>
        <v/>
      </c>
      <c r="O143" s="155"/>
      <c r="P143" s="499" t="str">
        <f>IF(O143="","",IF(VLOOKUP(O143,'G-7 Rivers Data'!$AD$4:$AE$8,2,FALSE)=0,"Spatial Data Missing ⚠",VLOOKUP(O143,'G-7 Rivers Data'!$AD$4:$AE$8,2,FALSE)))</f>
        <v/>
      </c>
      <c r="Q143" s="506" t="str">
        <f>IF(D143="","",VLOOKUP(D143,'G-7 Rivers Data'!$B$2:$G$8,6,FALSE))</f>
        <v/>
      </c>
      <c r="R143" s="513" t="str">
        <f t="shared" si="16"/>
        <v/>
      </c>
      <c r="S143" s="40"/>
      <c r="T143" s="145"/>
      <c r="U143" s="157"/>
      <c r="V143" s="511" t="str">
        <f t="shared" si="17"/>
        <v/>
      </c>
      <c r="W143" s="511" t="str">
        <f t="shared" si="18"/>
        <v/>
      </c>
      <c r="X143" s="511" t="str">
        <f t="shared" si="19"/>
        <v/>
      </c>
      <c r="Y143" s="515" t="str">
        <f t="shared" si="20"/>
        <v/>
      </c>
      <c r="Z143" s="151"/>
      <c r="AA143" s="152"/>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c r="AP143" s="31" t="str">
        <f>IFERROR(INDEX('G-7 Rivers Data'!$AZ$3:$AZ$7,MATCH(D143,'G-7 Rivers Data'!$AY$3:$AY$7,0)),"")</f>
        <v/>
      </c>
    </row>
    <row r="144" spans="3:42" ht="13.8" x14ac:dyDescent="0.25">
      <c r="C144" s="141">
        <v>135</v>
      </c>
      <c r="D144" s="460"/>
      <c r="E144" s="172"/>
      <c r="F144" s="498" t="str">
        <f>IF(D144="","",VLOOKUP(D144,'G-7 Rivers Data'!$B$2:$G$8,2,FALSE))</f>
        <v/>
      </c>
      <c r="G144" s="499" t="str">
        <f>IFERROR(VLOOKUP(F144,'G-7 Rivers Data'!$C$4:$D$8,2,FALSE),"")</f>
        <v/>
      </c>
      <c r="H144" s="145"/>
      <c r="I144" s="499" t="str">
        <f>IFERROR(INDEX('G-7 Rivers Data'!$H$4:$L$8,MATCH(D144,'G-7 Rivers Data'!$B$4:$B$8,0),MATCH(H144,'G-7 Rivers Data'!$H$3:$L$3,0)),"")</f>
        <v/>
      </c>
      <c r="J144" s="418"/>
      <c r="K144" s="498" t="str">
        <f>IF(J144="","",IF(VLOOKUP(J144,'G-7 Rivers Data'!$AK$4:$AM$9,2,FALSE)=0,"Spatial Data Missing ⚠",VLOOKUP(J144,'G-7 Rivers Data'!$AK$4:$AM$9,2,FALSE)))</f>
        <v/>
      </c>
      <c r="L144" s="505" t="str">
        <f>IF(J144="","",IF(VLOOKUP(J144,'G-7 Rivers Data'!$AK$4:$AM$9,3,FALSE)=0,"Spatial Data Missing ⚠",VLOOKUP(J144,'G-7 Rivers Data'!$AK$4:$AM$9,3,FALSE)))</f>
        <v/>
      </c>
      <c r="M144" s="71"/>
      <c r="N144" s="499" t="str">
        <f>IF(M144="","",IF(VLOOKUP(M144,'G-7 Rivers Data'!$AA$4:$AB$7,2,FALSE)=0,"Spatial Data Missing ⚠",VLOOKUP(M144,'G-7 Rivers Data'!$AA$4:$AB$7,2,FALSE)))</f>
        <v/>
      </c>
      <c r="O144" s="155"/>
      <c r="P144" s="499" t="str">
        <f>IF(O144="","",IF(VLOOKUP(O144,'G-7 Rivers Data'!$AD$4:$AE$8,2,FALSE)=0,"Spatial Data Missing ⚠",VLOOKUP(O144,'G-7 Rivers Data'!$AD$4:$AE$8,2,FALSE)))</f>
        <v/>
      </c>
      <c r="Q144" s="506" t="str">
        <f>IF(D144="","",VLOOKUP(D144,'G-7 Rivers Data'!$B$2:$G$8,6,FALSE))</f>
        <v/>
      </c>
      <c r="R144" s="513" t="str">
        <f t="shared" si="16"/>
        <v/>
      </c>
      <c r="S144" s="40"/>
      <c r="T144" s="145"/>
      <c r="U144" s="157"/>
      <c r="V144" s="511" t="str">
        <f t="shared" si="17"/>
        <v/>
      </c>
      <c r="W144" s="511" t="str">
        <f t="shared" si="18"/>
        <v/>
      </c>
      <c r="X144" s="511" t="str">
        <f t="shared" si="19"/>
        <v/>
      </c>
      <c r="Y144" s="515" t="str">
        <f t="shared" si="20"/>
        <v/>
      </c>
      <c r="Z144" s="151"/>
      <c r="AA144" s="152"/>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c r="AP144" s="31" t="str">
        <f>IFERROR(INDEX('G-7 Rivers Data'!$AZ$3:$AZ$7,MATCH(D144,'G-7 Rivers Data'!$AY$3:$AY$7,0)),"")</f>
        <v/>
      </c>
    </row>
    <row r="145" spans="3:42" ht="13.8" x14ac:dyDescent="0.25">
      <c r="C145" s="141">
        <v>136</v>
      </c>
      <c r="D145" s="460"/>
      <c r="E145" s="172"/>
      <c r="F145" s="498" t="str">
        <f>IF(D145="","",VLOOKUP(D145,'G-7 Rivers Data'!$B$2:$G$8,2,FALSE))</f>
        <v/>
      </c>
      <c r="G145" s="499" t="str">
        <f>IFERROR(VLOOKUP(F145,'G-7 Rivers Data'!$C$4:$D$8,2,FALSE),"")</f>
        <v/>
      </c>
      <c r="H145" s="145"/>
      <c r="I145" s="499" t="str">
        <f>IFERROR(INDEX('G-7 Rivers Data'!$H$4:$L$8,MATCH(D145,'G-7 Rivers Data'!$B$4:$B$8,0),MATCH(H145,'G-7 Rivers Data'!$H$3:$L$3,0)),"")</f>
        <v/>
      </c>
      <c r="J145" s="418"/>
      <c r="K145" s="498" t="str">
        <f>IF(J145="","",IF(VLOOKUP(J145,'G-7 Rivers Data'!$AK$4:$AM$9,2,FALSE)=0,"Spatial Data Missing ⚠",VLOOKUP(J145,'G-7 Rivers Data'!$AK$4:$AM$9,2,FALSE)))</f>
        <v/>
      </c>
      <c r="L145" s="505" t="str">
        <f>IF(J145="","",IF(VLOOKUP(J145,'G-7 Rivers Data'!$AK$4:$AM$9,3,FALSE)=0,"Spatial Data Missing ⚠",VLOOKUP(J145,'G-7 Rivers Data'!$AK$4:$AM$9,3,FALSE)))</f>
        <v/>
      </c>
      <c r="M145" s="71"/>
      <c r="N145" s="499" t="str">
        <f>IF(M145="","",IF(VLOOKUP(M145,'G-7 Rivers Data'!$AA$4:$AB$7,2,FALSE)=0,"Spatial Data Missing ⚠",VLOOKUP(M145,'G-7 Rivers Data'!$AA$4:$AB$7,2,FALSE)))</f>
        <v/>
      </c>
      <c r="O145" s="155"/>
      <c r="P145" s="499" t="str">
        <f>IF(O145="","",IF(VLOOKUP(O145,'G-7 Rivers Data'!$AD$4:$AE$8,2,FALSE)=0,"Spatial Data Missing ⚠",VLOOKUP(O145,'G-7 Rivers Data'!$AD$4:$AE$8,2,FALSE)))</f>
        <v/>
      </c>
      <c r="Q145" s="506" t="str">
        <f>IF(D145="","",VLOOKUP(D145,'G-7 Rivers Data'!$B$2:$G$8,6,FALSE))</f>
        <v/>
      </c>
      <c r="R145" s="513" t="str">
        <f t="shared" si="16"/>
        <v/>
      </c>
      <c r="S145" s="40"/>
      <c r="T145" s="145"/>
      <c r="U145" s="157"/>
      <c r="V145" s="511" t="str">
        <f t="shared" si="17"/>
        <v/>
      </c>
      <c r="W145" s="511" t="str">
        <f t="shared" si="18"/>
        <v/>
      </c>
      <c r="X145" s="511" t="str">
        <f t="shared" si="19"/>
        <v/>
      </c>
      <c r="Y145" s="515" t="str">
        <f t="shared" si="20"/>
        <v/>
      </c>
      <c r="Z145" s="151"/>
      <c r="AA145" s="152"/>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c r="AP145" s="31" t="str">
        <f>IFERROR(INDEX('G-7 Rivers Data'!$AZ$3:$AZ$7,MATCH(D145,'G-7 Rivers Data'!$AY$3:$AY$7,0)),"")</f>
        <v/>
      </c>
    </row>
    <row r="146" spans="3:42" ht="13.8" x14ac:dyDescent="0.25">
      <c r="C146" s="141">
        <v>137</v>
      </c>
      <c r="D146" s="460"/>
      <c r="E146" s="172"/>
      <c r="F146" s="498" t="str">
        <f>IF(D146="","",VLOOKUP(D146,'G-7 Rivers Data'!$B$2:$G$8,2,FALSE))</f>
        <v/>
      </c>
      <c r="G146" s="499" t="str">
        <f>IFERROR(VLOOKUP(F146,'G-7 Rivers Data'!$C$4:$D$8,2,FALSE),"")</f>
        <v/>
      </c>
      <c r="H146" s="145"/>
      <c r="I146" s="499" t="str">
        <f>IFERROR(INDEX('G-7 Rivers Data'!$H$4:$L$8,MATCH(D146,'G-7 Rivers Data'!$B$4:$B$8,0),MATCH(H146,'G-7 Rivers Data'!$H$3:$L$3,0)),"")</f>
        <v/>
      </c>
      <c r="J146" s="418"/>
      <c r="K146" s="498" t="str">
        <f>IF(J146="","",IF(VLOOKUP(J146,'G-7 Rivers Data'!$AK$4:$AM$9,2,FALSE)=0,"Spatial Data Missing ⚠",VLOOKUP(J146,'G-7 Rivers Data'!$AK$4:$AM$9,2,FALSE)))</f>
        <v/>
      </c>
      <c r="L146" s="505" t="str">
        <f>IF(J146="","",IF(VLOOKUP(J146,'G-7 Rivers Data'!$AK$4:$AM$9,3,FALSE)=0,"Spatial Data Missing ⚠",VLOOKUP(J146,'G-7 Rivers Data'!$AK$4:$AM$9,3,FALSE)))</f>
        <v/>
      </c>
      <c r="M146" s="71"/>
      <c r="N146" s="499" t="str">
        <f>IF(M146="","",IF(VLOOKUP(M146,'G-7 Rivers Data'!$AA$4:$AB$7,2,FALSE)=0,"Spatial Data Missing ⚠",VLOOKUP(M146,'G-7 Rivers Data'!$AA$4:$AB$7,2,FALSE)))</f>
        <v/>
      </c>
      <c r="O146" s="155"/>
      <c r="P146" s="499" t="str">
        <f>IF(O146="","",IF(VLOOKUP(O146,'G-7 Rivers Data'!$AD$4:$AE$8,2,FALSE)=0,"Spatial Data Missing ⚠",VLOOKUP(O146,'G-7 Rivers Data'!$AD$4:$AE$8,2,FALSE)))</f>
        <v/>
      </c>
      <c r="Q146" s="506" t="str">
        <f>IF(D146="","",VLOOKUP(D146,'G-7 Rivers Data'!$B$2:$G$8,6,FALSE))</f>
        <v/>
      </c>
      <c r="R146" s="513" t="str">
        <f t="shared" si="16"/>
        <v/>
      </c>
      <c r="S146" s="40"/>
      <c r="T146" s="145"/>
      <c r="U146" s="157"/>
      <c r="V146" s="511" t="str">
        <f t="shared" si="17"/>
        <v/>
      </c>
      <c r="W146" s="511" t="str">
        <f t="shared" si="18"/>
        <v/>
      </c>
      <c r="X146" s="511" t="str">
        <f t="shared" si="19"/>
        <v/>
      </c>
      <c r="Y146" s="515" t="str">
        <f t="shared" si="20"/>
        <v/>
      </c>
      <c r="Z146" s="151"/>
      <c r="AA146" s="152"/>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c r="AP146" s="31" t="str">
        <f>IFERROR(INDEX('G-7 Rivers Data'!$AZ$3:$AZ$7,MATCH(D146,'G-7 Rivers Data'!$AY$3:$AY$7,0)),"")</f>
        <v/>
      </c>
    </row>
    <row r="147" spans="3:42" ht="13.8" x14ac:dyDescent="0.25">
      <c r="C147" s="141">
        <v>138</v>
      </c>
      <c r="D147" s="460"/>
      <c r="E147" s="172"/>
      <c r="F147" s="498" t="str">
        <f>IF(D147="","",VLOOKUP(D147,'G-7 Rivers Data'!$B$2:$G$8,2,FALSE))</f>
        <v/>
      </c>
      <c r="G147" s="499" t="str">
        <f>IFERROR(VLOOKUP(F147,'G-7 Rivers Data'!$C$4:$D$8,2,FALSE),"")</f>
        <v/>
      </c>
      <c r="H147" s="145"/>
      <c r="I147" s="499" t="str">
        <f>IFERROR(INDEX('G-7 Rivers Data'!$H$4:$L$8,MATCH(D147,'G-7 Rivers Data'!$B$4:$B$8,0),MATCH(H147,'G-7 Rivers Data'!$H$3:$L$3,0)),"")</f>
        <v/>
      </c>
      <c r="J147" s="418"/>
      <c r="K147" s="498" t="str">
        <f>IF(J147="","",IF(VLOOKUP(J147,'G-7 Rivers Data'!$AK$4:$AM$9,2,FALSE)=0,"Spatial Data Missing ⚠",VLOOKUP(J147,'G-7 Rivers Data'!$AK$4:$AM$9,2,FALSE)))</f>
        <v/>
      </c>
      <c r="L147" s="505" t="str">
        <f>IF(J147="","",IF(VLOOKUP(J147,'G-7 Rivers Data'!$AK$4:$AM$9,3,FALSE)=0,"Spatial Data Missing ⚠",VLOOKUP(J147,'G-7 Rivers Data'!$AK$4:$AM$9,3,FALSE)))</f>
        <v/>
      </c>
      <c r="M147" s="71"/>
      <c r="N147" s="499" t="str">
        <f>IF(M147="","",IF(VLOOKUP(M147,'G-7 Rivers Data'!$AA$4:$AB$7,2,FALSE)=0,"Spatial Data Missing ⚠",VLOOKUP(M147,'G-7 Rivers Data'!$AA$4:$AB$7,2,FALSE)))</f>
        <v/>
      </c>
      <c r="O147" s="155"/>
      <c r="P147" s="499" t="str">
        <f>IF(O147="","",IF(VLOOKUP(O147,'G-7 Rivers Data'!$AD$4:$AE$8,2,FALSE)=0,"Spatial Data Missing ⚠",VLOOKUP(O147,'G-7 Rivers Data'!$AD$4:$AE$8,2,FALSE)))</f>
        <v/>
      </c>
      <c r="Q147" s="506" t="str">
        <f>IF(D147="","",VLOOKUP(D147,'G-7 Rivers Data'!$B$2:$G$8,6,FALSE))</f>
        <v/>
      </c>
      <c r="R147" s="513" t="str">
        <f t="shared" si="16"/>
        <v/>
      </c>
      <c r="S147" s="40"/>
      <c r="T147" s="145"/>
      <c r="U147" s="157"/>
      <c r="V147" s="511" t="str">
        <f t="shared" si="17"/>
        <v/>
      </c>
      <c r="W147" s="511" t="str">
        <f t="shared" si="18"/>
        <v/>
      </c>
      <c r="X147" s="511" t="str">
        <f t="shared" si="19"/>
        <v/>
      </c>
      <c r="Y147" s="515" t="str">
        <f t="shared" si="20"/>
        <v/>
      </c>
      <c r="Z147" s="151"/>
      <c r="AA147" s="152"/>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c r="AP147" s="31" t="str">
        <f>IFERROR(INDEX('G-7 Rivers Data'!$AZ$3:$AZ$7,MATCH(D147,'G-7 Rivers Data'!$AY$3:$AY$7,0)),"")</f>
        <v/>
      </c>
    </row>
    <row r="148" spans="3:42" ht="13.8" x14ac:dyDescent="0.25">
      <c r="C148" s="141">
        <v>139</v>
      </c>
      <c r="D148" s="460"/>
      <c r="E148" s="172"/>
      <c r="F148" s="498" t="str">
        <f>IF(D148="","",VLOOKUP(D148,'G-7 Rivers Data'!$B$2:$G$8,2,FALSE))</f>
        <v/>
      </c>
      <c r="G148" s="499" t="str">
        <f>IFERROR(VLOOKUP(F148,'G-7 Rivers Data'!$C$4:$D$8,2,FALSE),"")</f>
        <v/>
      </c>
      <c r="H148" s="145"/>
      <c r="I148" s="499" t="str">
        <f>IFERROR(INDEX('G-7 Rivers Data'!$H$4:$L$8,MATCH(D148,'G-7 Rivers Data'!$B$4:$B$8,0),MATCH(H148,'G-7 Rivers Data'!$H$3:$L$3,0)),"")</f>
        <v/>
      </c>
      <c r="J148" s="418"/>
      <c r="K148" s="498" t="str">
        <f>IF(J148="","",IF(VLOOKUP(J148,'G-7 Rivers Data'!$AK$4:$AM$9,2,FALSE)=0,"Spatial Data Missing ⚠",VLOOKUP(J148,'G-7 Rivers Data'!$AK$4:$AM$9,2,FALSE)))</f>
        <v/>
      </c>
      <c r="L148" s="505" t="str">
        <f>IF(J148="","",IF(VLOOKUP(J148,'G-7 Rivers Data'!$AK$4:$AM$9,3,FALSE)=0,"Spatial Data Missing ⚠",VLOOKUP(J148,'G-7 Rivers Data'!$AK$4:$AM$9,3,FALSE)))</f>
        <v/>
      </c>
      <c r="M148" s="71"/>
      <c r="N148" s="499" t="str">
        <f>IF(M148="","",IF(VLOOKUP(M148,'G-7 Rivers Data'!$AA$4:$AB$7,2,FALSE)=0,"Spatial Data Missing ⚠",VLOOKUP(M148,'G-7 Rivers Data'!$AA$4:$AB$7,2,FALSE)))</f>
        <v/>
      </c>
      <c r="O148" s="155"/>
      <c r="P148" s="499" t="str">
        <f>IF(O148="","",IF(VLOOKUP(O148,'G-7 Rivers Data'!$AD$4:$AE$8,2,FALSE)=0,"Spatial Data Missing ⚠",VLOOKUP(O148,'G-7 Rivers Data'!$AD$4:$AE$8,2,FALSE)))</f>
        <v/>
      </c>
      <c r="Q148" s="506" t="str">
        <f>IF(D148="","",VLOOKUP(D148,'G-7 Rivers Data'!$B$2:$G$8,6,FALSE))</f>
        <v/>
      </c>
      <c r="R148" s="513" t="str">
        <f t="shared" si="16"/>
        <v/>
      </c>
      <c r="S148" s="40"/>
      <c r="T148" s="145"/>
      <c r="U148" s="157"/>
      <c r="V148" s="511" t="str">
        <f t="shared" si="17"/>
        <v/>
      </c>
      <c r="W148" s="511" t="str">
        <f t="shared" si="18"/>
        <v/>
      </c>
      <c r="X148" s="511" t="str">
        <f t="shared" si="19"/>
        <v/>
      </c>
      <c r="Y148" s="515" t="str">
        <f t="shared" si="20"/>
        <v/>
      </c>
      <c r="Z148" s="151"/>
      <c r="AA148" s="152"/>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c r="AP148" s="31" t="str">
        <f>IFERROR(INDEX('G-7 Rivers Data'!$AZ$3:$AZ$7,MATCH(D148,'G-7 Rivers Data'!$AY$3:$AY$7,0)),"")</f>
        <v/>
      </c>
    </row>
    <row r="149" spans="3:42" ht="13.8" x14ac:dyDescent="0.25">
      <c r="C149" s="141">
        <v>140</v>
      </c>
      <c r="D149" s="460"/>
      <c r="E149" s="172"/>
      <c r="F149" s="498" t="str">
        <f>IF(D149="","",VLOOKUP(D149,'G-7 Rivers Data'!$B$2:$G$8,2,FALSE))</f>
        <v/>
      </c>
      <c r="G149" s="499" t="str">
        <f>IFERROR(VLOOKUP(F149,'G-7 Rivers Data'!$C$4:$D$8,2,FALSE),"")</f>
        <v/>
      </c>
      <c r="H149" s="145"/>
      <c r="I149" s="499" t="str">
        <f>IFERROR(INDEX('G-7 Rivers Data'!$H$4:$L$8,MATCH(D149,'G-7 Rivers Data'!$B$4:$B$8,0),MATCH(H149,'G-7 Rivers Data'!$H$3:$L$3,0)),"")</f>
        <v/>
      </c>
      <c r="J149" s="418"/>
      <c r="K149" s="498" t="str">
        <f>IF(J149="","",IF(VLOOKUP(J149,'G-7 Rivers Data'!$AK$4:$AM$9,2,FALSE)=0,"Spatial Data Missing ⚠",VLOOKUP(J149,'G-7 Rivers Data'!$AK$4:$AM$9,2,FALSE)))</f>
        <v/>
      </c>
      <c r="L149" s="505" t="str">
        <f>IF(J149="","",IF(VLOOKUP(J149,'G-7 Rivers Data'!$AK$4:$AM$9,3,FALSE)=0,"Spatial Data Missing ⚠",VLOOKUP(J149,'G-7 Rivers Data'!$AK$4:$AM$9,3,FALSE)))</f>
        <v/>
      </c>
      <c r="M149" s="71"/>
      <c r="N149" s="499" t="str">
        <f>IF(M149="","",IF(VLOOKUP(M149,'G-7 Rivers Data'!$AA$4:$AB$7,2,FALSE)=0,"Spatial Data Missing ⚠",VLOOKUP(M149,'G-7 Rivers Data'!$AA$4:$AB$7,2,FALSE)))</f>
        <v/>
      </c>
      <c r="O149" s="155"/>
      <c r="P149" s="499" t="str">
        <f>IF(O149="","",IF(VLOOKUP(O149,'G-7 Rivers Data'!$AD$4:$AE$8,2,FALSE)=0,"Spatial Data Missing ⚠",VLOOKUP(O149,'G-7 Rivers Data'!$AD$4:$AE$8,2,FALSE)))</f>
        <v/>
      </c>
      <c r="Q149" s="506" t="str">
        <f>IF(D149="","",VLOOKUP(D149,'G-7 Rivers Data'!$B$2:$G$8,6,FALSE))</f>
        <v/>
      </c>
      <c r="R149" s="513" t="str">
        <f t="shared" si="16"/>
        <v/>
      </c>
      <c r="S149" s="40"/>
      <c r="T149" s="145"/>
      <c r="U149" s="157"/>
      <c r="V149" s="511" t="str">
        <f t="shared" si="17"/>
        <v/>
      </c>
      <c r="W149" s="511" t="str">
        <f t="shared" si="18"/>
        <v/>
      </c>
      <c r="X149" s="511" t="str">
        <f t="shared" si="19"/>
        <v/>
      </c>
      <c r="Y149" s="515" t="str">
        <f t="shared" si="20"/>
        <v/>
      </c>
      <c r="Z149" s="151"/>
      <c r="AA149" s="152"/>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c r="AP149" s="31" t="str">
        <f>IFERROR(INDEX('G-7 Rivers Data'!$AZ$3:$AZ$7,MATCH(D149,'G-7 Rivers Data'!$AY$3:$AY$7,0)),"")</f>
        <v/>
      </c>
    </row>
    <row r="150" spans="3:42" ht="13.8" x14ac:dyDescent="0.25">
      <c r="C150" s="141">
        <v>141</v>
      </c>
      <c r="D150" s="460"/>
      <c r="E150" s="172"/>
      <c r="F150" s="498" t="str">
        <f>IF(D150="","",VLOOKUP(D150,'G-7 Rivers Data'!$B$2:$G$8,2,FALSE))</f>
        <v/>
      </c>
      <c r="G150" s="499" t="str">
        <f>IFERROR(VLOOKUP(F150,'G-7 Rivers Data'!$C$4:$D$8,2,FALSE),"")</f>
        <v/>
      </c>
      <c r="H150" s="145"/>
      <c r="I150" s="499" t="str">
        <f>IFERROR(INDEX('G-7 Rivers Data'!$H$4:$L$8,MATCH(D150,'G-7 Rivers Data'!$B$4:$B$8,0),MATCH(H150,'G-7 Rivers Data'!$H$3:$L$3,0)),"")</f>
        <v/>
      </c>
      <c r="J150" s="418"/>
      <c r="K150" s="498" t="str">
        <f>IF(J150="","",IF(VLOOKUP(J150,'G-7 Rivers Data'!$AK$4:$AM$9,2,FALSE)=0,"Spatial Data Missing ⚠",VLOOKUP(J150,'G-7 Rivers Data'!$AK$4:$AM$9,2,FALSE)))</f>
        <v/>
      </c>
      <c r="L150" s="505" t="str">
        <f>IF(J150="","",IF(VLOOKUP(J150,'G-7 Rivers Data'!$AK$4:$AM$9,3,FALSE)=0,"Spatial Data Missing ⚠",VLOOKUP(J150,'G-7 Rivers Data'!$AK$4:$AM$9,3,FALSE)))</f>
        <v/>
      </c>
      <c r="M150" s="71"/>
      <c r="N150" s="499" t="str">
        <f>IF(M150="","",IF(VLOOKUP(M150,'G-7 Rivers Data'!$AA$4:$AB$7,2,FALSE)=0,"Spatial Data Missing ⚠",VLOOKUP(M150,'G-7 Rivers Data'!$AA$4:$AB$7,2,FALSE)))</f>
        <v/>
      </c>
      <c r="O150" s="155"/>
      <c r="P150" s="499" t="str">
        <f>IF(O150="","",IF(VLOOKUP(O150,'G-7 Rivers Data'!$AD$4:$AE$8,2,FALSE)=0,"Spatial Data Missing ⚠",VLOOKUP(O150,'G-7 Rivers Data'!$AD$4:$AE$8,2,FALSE)))</f>
        <v/>
      </c>
      <c r="Q150" s="506" t="str">
        <f>IF(D150="","",VLOOKUP(D150,'G-7 Rivers Data'!$B$2:$G$8,6,FALSE))</f>
        <v/>
      </c>
      <c r="R150" s="513" t="str">
        <f t="shared" si="16"/>
        <v/>
      </c>
      <c r="S150" s="40"/>
      <c r="T150" s="145"/>
      <c r="U150" s="157"/>
      <c r="V150" s="511" t="str">
        <f t="shared" si="17"/>
        <v/>
      </c>
      <c r="W150" s="511" t="str">
        <f t="shared" si="18"/>
        <v/>
      </c>
      <c r="X150" s="511" t="str">
        <f t="shared" si="19"/>
        <v/>
      </c>
      <c r="Y150" s="515" t="str">
        <f t="shared" si="20"/>
        <v/>
      </c>
      <c r="Z150" s="151"/>
      <c r="AA150" s="152"/>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c r="AP150" s="31" t="str">
        <f>IFERROR(INDEX('G-7 Rivers Data'!$AZ$3:$AZ$7,MATCH(D150,'G-7 Rivers Data'!$AY$3:$AY$7,0)),"")</f>
        <v/>
      </c>
    </row>
    <row r="151" spans="3:42" ht="13.8" x14ac:dyDescent="0.25">
      <c r="C151" s="141">
        <v>142</v>
      </c>
      <c r="D151" s="460"/>
      <c r="E151" s="172"/>
      <c r="F151" s="498" t="str">
        <f>IF(D151="","",VLOOKUP(D151,'G-7 Rivers Data'!$B$2:$G$8,2,FALSE))</f>
        <v/>
      </c>
      <c r="G151" s="499" t="str">
        <f>IFERROR(VLOOKUP(F151,'G-7 Rivers Data'!$C$4:$D$8,2,FALSE),"")</f>
        <v/>
      </c>
      <c r="H151" s="145"/>
      <c r="I151" s="499" t="str">
        <f>IFERROR(INDEX('G-7 Rivers Data'!$H$4:$L$8,MATCH(D151,'G-7 Rivers Data'!$B$4:$B$8,0),MATCH(H151,'G-7 Rivers Data'!$H$3:$L$3,0)),"")</f>
        <v/>
      </c>
      <c r="J151" s="418"/>
      <c r="K151" s="498" t="str">
        <f>IF(J151="","",IF(VLOOKUP(J151,'G-7 Rivers Data'!$AK$4:$AM$9,2,FALSE)=0,"Spatial Data Missing ⚠",VLOOKUP(J151,'G-7 Rivers Data'!$AK$4:$AM$9,2,FALSE)))</f>
        <v/>
      </c>
      <c r="L151" s="505" t="str">
        <f>IF(J151="","",IF(VLOOKUP(J151,'G-7 Rivers Data'!$AK$4:$AM$9,3,FALSE)=0,"Spatial Data Missing ⚠",VLOOKUP(J151,'G-7 Rivers Data'!$AK$4:$AM$9,3,FALSE)))</f>
        <v/>
      </c>
      <c r="M151" s="71"/>
      <c r="N151" s="499" t="str">
        <f>IF(M151="","",IF(VLOOKUP(M151,'G-7 Rivers Data'!$AA$4:$AB$7,2,FALSE)=0,"Spatial Data Missing ⚠",VLOOKUP(M151,'G-7 Rivers Data'!$AA$4:$AB$7,2,FALSE)))</f>
        <v/>
      </c>
      <c r="O151" s="155"/>
      <c r="P151" s="499" t="str">
        <f>IF(O151="","",IF(VLOOKUP(O151,'G-7 Rivers Data'!$AD$4:$AE$8,2,FALSE)=0,"Spatial Data Missing ⚠",VLOOKUP(O151,'G-7 Rivers Data'!$AD$4:$AE$8,2,FALSE)))</f>
        <v/>
      </c>
      <c r="Q151" s="506" t="str">
        <f>IF(D151="","",VLOOKUP(D151,'G-7 Rivers Data'!$B$2:$G$8,6,FALSE))</f>
        <v/>
      </c>
      <c r="R151" s="513" t="str">
        <f t="shared" si="16"/>
        <v/>
      </c>
      <c r="S151" s="40"/>
      <c r="T151" s="145"/>
      <c r="U151" s="157"/>
      <c r="V151" s="511" t="str">
        <f t="shared" si="17"/>
        <v/>
      </c>
      <c r="W151" s="511" t="str">
        <f t="shared" si="18"/>
        <v/>
      </c>
      <c r="X151" s="511" t="str">
        <f t="shared" si="19"/>
        <v/>
      </c>
      <c r="Y151" s="515" t="str">
        <f t="shared" si="20"/>
        <v/>
      </c>
      <c r="Z151" s="151"/>
      <c r="AA151" s="152"/>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c r="AP151" s="31" t="str">
        <f>IFERROR(INDEX('G-7 Rivers Data'!$AZ$3:$AZ$7,MATCH(D151,'G-7 Rivers Data'!$AY$3:$AY$7,0)),"")</f>
        <v/>
      </c>
    </row>
    <row r="152" spans="3:42" ht="13.8" x14ac:dyDescent="0.25">
      <c r="C152" s="141">
        <v>143</v>
      </c>
      <c r="D152" s="460"/>
      <c r="E152" s="172"/>
      <c r="F152" s="498" t="str">
        <f>IF(D152="","",VLOOKUP(D152,'G-7 Rivers Data'!$B$2:$G$8,2,FALSE))</f>
        <v/>
      </c>
      <c r="G152" s="499" t="str">
        <f>IFERROR(VLOOKUP(F152,'G-7 Rivers Data'!$C$4:$D$8,2,FALSE),"")</f>
        <v/>
      </c>
      <c r="H152" s="145"/>
      <c r="I152" s="499" t="str">
        <f>IFERROR(INDEX('G-7 Rivers Data'!$H$4:$L$8,MATCH(D152,'G-7 Rivers Data'!$B$4:$B$8,0),MATCH(H152,'G-7 Rivers Data'!$H$3:$L$3,0)),"")</f>
        <v/>
      </c>
      <c r="J152" s="418"/>
      <c r="K152" s="498" t="str">
        <f>IF(J152="","",IF(VLOOKUP(J152,'G-7 Rivers Data'!$AK$4:$AM$9,2,FALSE)=0,"Spatial Data Missing ⚠",VLOOKUP(J152,'G-7 Rivers Data'!$AK$4:$AM$9,2,FALSE)))</f>
        <v/>
      </c>
      <c r="L152" s="505" t="str">
        <f>IF(J152="","",IF(VLOOKUP(J152,'G-7 Rivers Data'!$AK$4:$AM$9,3,FALSE)=0,"Spatial Data Missing ⚠",VLOOKUP(J152,'G-7 Rivers Data'!$AK$4:$AM$9,3,FALSE)))</f>
        <v/>
      </c>
      <c r="M152" s="71"/>
      <c r="N152" s="499" t="str">
        <f>IF(M152="","",IF(VLOOKUP(M152,'G-7 Rivers Data'!$AA$4:$AB$7,2,FALSE)=0,"Spatial Data Missing ⚠",VLOOKUP(M152,'G-7 Rivers Data'!$AA$4:$AB$7,2,FALSE)))</f>
        <v/>
      </c>
      <c r="O152" s="155"/>
      <c r="P152" s="499" t="str">
        <f>IF(O152="","",IF(VLOOKUP(O152,'G-7 Rivers Data'!$AD$4:$AE$8,2,FALSE)=0,"Spatial Data Missing ⚠",VLOOKUP(O152,'G-7 Rivers Data'!$AD$4:$AE$8,2,FALSE)))</f>
        <v/>
      </c>
      <c r="Q152" s="506" t="str">
        <f>IF(D152="","",VLOOKUP(D152,'G-7 Rivers Data'!$B$2:$G$8,6,FALSE))</f>
        <v/>
      </c>
      <c r="R152" s="513" t="str">
        <f t="shared" si="16"/>
        <v/>
      </c>
      <c r="S152" s="40"/>
      <c r="T152" s="145"/>
      <c r="U152" s="157"/>
      <c r="V152" s="511" t="str">
        <f t="shared" si="17"/>
        <v/>
      </c>
      <c r="W152" s="511" t="str">
        <f t="shared" si="18"/>
        <v/>
      </c>
      <c r="X152" s="511" t="str">
        <f t="shared" si="19"/>
        <v/>
      </c>
      <c r="Y152" s="515" t="str">
        <f t="shared" si="20"/>
        <v/>
      </c>
      <c r="Z152" s="151"/>
      <c r="AA152" s="152"/>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c r="AP152" s="31" t="str">
        <f>IFERROR(INDEX('G-7 Rivers Data'!$AZ$3:$AZ$7,MATCH(D152,'G-7 Rivers Data'!$AY$3:$AY$7,0)),"")</f>
        <v/>
      </c>
    </row>
    <row r="153" spans="3:42" ht="13.8" x14ac:dyDescent="0.25">
      <c r="C153" s="141">
        <v>144</v>
      </c>
      <c r="D153" s="460"/>
      <c r="E153" s="172"/>
      <c r="F153" s="498" t="str">
        <f>IF(D153="","",VLOOKUP(D153,'G-7 Rivers Data'!$B$2:$G$8,2,FALSE))</f>
        <v/>
      </c>
      <c r="G153" s="499" t="str">
        <f>IFERROR(VLOOKUP(F153,'G-7 Rivers Data'!$C$4:$D$8,2,FALSE),"")</f>
        <v/>
      </c>
      <c r="H153" s="145"/>
      <c r="I153" s="499" t="str">
        <f>IFERROR(INDEX('G-7 Rivers Data'!$H$4:$L$8,MATCH(D153,'G-7 Rivers Data'!$B$4:$B$8,0),MATCH(H153,'G-7 Rivers Data'!$H$3:$L$3,0)),"")</f>
        <v/>
      </c>
      <c r="J153" s="418"/>
      <c r="K153" s="498" t="str">
        <f>IF(J153="","",IF(VLOOKUP(J153,'G-7 Rivers Data'!$AK$4:$AM$9,2,FALSE)=0,"Spatial Data Missing ⚠",VLOOKUP(J153,'G-7 Rivers Data'!$AK$4:$AM$9,2,FALSE)))</f>
        <v/>
      </c>
      <c r="L153" s="505" t="str">
        <f>IF(J153="","",IF(VLOOKUP(J153,'G-7 Rivers Data'!$AK$4:$AM$9,3,FALSE)=0,"Spatial Data Missing ⚠",VLOOKUP(J153,'G-7 Rivers Data'!$AK$4:$AM$9,3,FALSE)))</f>
        <v/>
      </c>
      <c r="M153" s="71"/>
      <c r="N153" s="499" t="str">
        <f>IF(M153="","",IF(VLOOKUP(M153,'G-7 Rivers Data'!$AA$4:$AB$7,2,FALSE)=0,"Spatial Data Missing ⚠",VLOOKUP(M153,'G-7 Rivers Data'!$AA$4:$AB$7,2,FALSE)))</f>
        <v/>
      </c>
      <c r="O153" s="155"/>
      <c r="P153" s="499" t="str">
        <f>IF(O153="","",IF(VLOOKUP(O153,'G-7 Rivers Data'!$AD$4:$AE$8,2,FALSE)=0,"Spatial Data Missing ⚠",VLOOKUP(O153,'G-7 Rivers Data'!$AD$4:$AE$8,2,FALSE)))</f>
        <v/>
      </c>
      <c r="Q153" s="506" t="str">
        <f>IF(D153="","",VLOOKUP(D153,'G-7 Rivers Data'!$B$2:$G$8,6,FALSE))</f>
        <v/>
      </c>
      <c r="R153" s="513" t="str">
        <f t="shared" si="16"/>
        <v/>
      </c>
      <c r="S153" s="40"/>
      <c r="T153" s="145"/>
      <c r="U153" s="157"/>
      <c r="V153" s="511" t="str">
        <f t="shared" si="17"/>
        <v/>
      </c>
      <c r="W153" s="511" t="str">
        <f t="shared" si="18"/>
        <v/>
      </c>
      <c r="X153" s="511" t="str">
        <f t="shared" si="19"/>
        <v/>
      </c>
      <c r="Y153" s="515" t="str">
        <f t="shared" si="20"/>
        <v/>
      </c>
      <c r="Z153" s="151"/>
      <c r="AA153" s="152"/>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c r="AP153" s="31" t="str">
        <f>IFERROR(INDEX('G-7 Rivers Data'!$AZ$3:$AZ$7,MATCH(D153,'G-7 Rivers Data'!$AY$3:$AY$7,0)),"")</f>
        <v/>
      </c>
    </row>
    <row r="154" spans="3:42" ht="13.8" x14ac:dyDescent="0.25">
      <c r="C154" s="141">
        <v>145</v>
      </c>
      <c r="D154" s="460"/>
      <c r="E154" s="172"/>
      <c r="F154" s="498" t="str">
        <f>IF(D154="","",VLOOKUP(D154,'G-7 Rivers Data'!$B$2:$G$8,2,FALSE))</f>
        <v/>
      </c>
      <c r="G154" s="499" t="str">
        <f>IFERROR(VLOOKUP(F154,'G-7 Rivers Data'!$C$4:$D$8,2,FALSE),"")</f>
        <v/>
      </c>
      <c r="H154" s="145"/>
      <c r="I154" s="499" t="str">
        <f>IFERROR(INDEX('G-7 Rivers Data'!$H$4:$L$8,MATCH(D154,'G-7 Rivers Data'!$B$4:$B$8,0),MATCH(H154,'G-7 Rivers Data'!$H$3:$L$3,0)),"")</f>
        <v/>
      </c>
      <c r="J154" s="418"/>
      <c r="K154" s="498" t="str">
        <f>IF(J154="","",IF(VLOOKUP(J154,'G-7 Rivers Data'!$AK$4:$AM$9,2,FALSE)=0,"Spatial Data Missing ⚠",VLOOKUP(J154,'G-7 Rivers Data'!$AK$4:$AM$9,2,FALSE)))</f>
        <v/>
      </c>
      <c r="L154" s="505" t="str">
        <f>IF(J154="","",IF(VLOOKUP(J154,'G-7 Rivers Data'!$AK$4:$AM$9,3,FALSE)=0,"Spatial Data Missing ⚠",VLOOKUP(J154,'G-7 Rivers Data'!$AK$4:$AM$9,3,FALSE)))</f>
        <v/>
      </c>
      <c r="M154" s="71"/>
      <c r="N154" s="499" t="str">
        <f>IF(M154="","",IF(VLOOKUP(M154,'G-7 Rivers Data'!$AA$4:$AB$7,2,FALSE)=0,"Spatial Data Missing ⚠",VLOOKUP(M154,'G-7 Rivers Data'!$AA$4:$AB$7,2,FALSE)))</f>
        <v/>
      </c>
      <c r="O154" s="155"/>
      <c r="P154" s="499" t="str">
        <f>IF(O154="","",IF(VLOOKUP(O154,'G-7 Rivers Data'!$AD$4:$AE$8,2,FALSE)=0,"Spatial Data Missing ⚠",VLOOKUP(O154,'G-7 Rivers Data'!$AD$4:$AE$8,2,FALSE)))</f>
        <v/>
      </c>
      <c r="Q154" s="506" t="str">
        <f>IF(D154="","",VLOOKUP(D154,'G-7 Rivers Data'!$B$2:$G$8,6,FALSE))</f>
        <v/>
      </c>
      <c r="R154" s="513" t="str">
        <f t="shared" si="16"/>
        <v/>
      </c>
      <c r="S154" s="40"/>
      <c r="T154" s="145"/>
      <c r="U154" s="157"/>
      <c r="V154" s="511" t="str">
        <f t="shared" si="17"/>
        <v/>
      </c>
      <c r="W154" s="511" t="str">
        <f t="shared" si="18"/>
        <v/>
      </c>
      <c r="X154" s="511" t="str">
        <f t="shared" si="19"/>
        <v/>
      </c>
      <c r="Y154" s="515" t="str">
        <f t="shared" si="20"/>
        <v/>
      </c>
      <c r="Z154" s="151"/>
      <c r="AA154" s="152"/>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c r="AP154" s="31" t="str">
        <f>IFERROR(INDEX('G-7 Rivers Data'!$AZ$3:$AZ$7,MATCH(D154,'G-7 Rivers Data'!$AY$3:$AY$7,0)),"")</f>
        <v/>
      </c>
    </row>
    <row r="155" spans="3:42" ht="13.8" x14ac:dyDescent="0.25">
      <c r="C155" s="141">
        <v>146</v>
      </c>
      <c r="D155" s="460"/>
      <c r="E155" s="172"/>
      <c r="F155" s="498" t="str">
        <f>IF(D155="","",VLOOKUP(D155,'G-7 Rivers Data'!$B$2:$G$8,2,FALSE))</f>
        <v/>
      </c>
      <c r="G155" s="499" t="str">
        <f>IFERROR(VLOOKUP(F155,'G-7 Rivers Data'!$C$4:$D$8,2,FALSE),"")</f>
        <v/>
      </c>
      <c r="H155" s="145"/>
      <c r="I155" s="499" t="str">
        <f>IFERROR(INDEX('G-7 Rivers Data'!$H$4:$L$8,MATCH(D155,'G-7 Rivers Data'!$B$4:$B$8,0),MATCH(H155,'G-7 Rivers Data'!$H$3:$L$3,0)),"")</f>
        <v/>
      </c>
      <c r="J155" s="418"/>
      <c r="K155" s="498" t="str">
        <f>IF(J155="","",IF(VLOOKUP(J155,'G-7 Rivers Data'!$AK$4:$AM$9,2,FALSE)=0,"Spatial Data Missing ⚠",VLOOKUP(J155,'G-7 Rivers Data'!$AK$4:$AM$9,2,FALSE)))</f>
        <v/>
      </c>
      <c r="L155" s="505" t="str">
        <f>IF(J155="","",IF(VLOOKUP(J155,'G-7 Rivers Data'!$AK$4:$AM$9,3,FALSE)=0,"Spatial Data Missing ⚠",VLOOKUP(J155,'G-7 Rivers Data'!$AK$4:$AM$9,3,FALSE)))</f>
        <v/>
      </c>
      <c r="M155" s="71"/>
      <c r="N155" s="499" t="str">
        <f>IF(M155="","",IF(VLOOKUP(M155,'G-7 Rivers Data'!$AA$4:$AB$7,2,FALSE)=0,"Spatial Data Missing ⚠",VLOOKUP(M155,'G-7 Rivers Data'!$AA$4:$AB$7,2,FALSE)))</f>
        <v/>
      </c>
      <c r="O155" s="155"/>
      <c r="P155" s="499" t="str">
        <f>IF(O155="","",IF(VLOOKUP(O155,'G-7 Rivers Data'!$AD$4:$AE$8,2,FALSE)=0,"Spatial Data Missing ⚠",VLOOKUP(O155,'G-7 Rivers Data'!$AD$4:$AE$8,2,FALSE)))</f>
        <v/>
      </c>
      <c r="Q155" s="506" t="str">
        <f>IF(D155="","",VLOOKUP(D155,'G-7 Rivers Data'!$B$2:$G$8,6,FALSE))</f>
        <v/>
      </c>
      <c r="R155" s="513" t="str">
        <f t="shared" si="16"/>
        <v/>
      </c>
      <c r="S155" s="40"/>
      <c r="T155" s="145"/>
      <c r="U155" s="157"/>
      <c r="V155" s="511" t="str">
        <f t="shared" si="17"/>
        <v/>
      </c>
      <c r="W155" s="511" t="str">
        <f t="shared" si="18"/>
        <v/>
      </c>
      <c r="X155" s="511" t="str">
        <f t="shared" si="19"/>
        <v/>
      </c>
      <c r="Y155" s="515" t="str">
        <f t="shared" si="20"/>
        <v/>
      </c>
      <c r="Z155" s="151"/>
      <c r="AA155" s="152"/>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c r="AP155" s="31" t="str">
        <f>IFERROR(INDEX('G-7 Rivers Data'!$AZ$3:$AZ$7,MATCH(D155,'G-7 Rivers Data'!$AY$3:$AY$7,0)),"")</f>
        <v/>
      </c>
    </row>
    <row r="156" spans="3:42" ht="13.8" x14ac:dyDescent="0.25">
      <c r="C156" s="141">
        <v>147</v>
      </c>
      <c r="D156" s="460"/>
      <c r="E156" s="172"/>
      <c r="F156" s="498" t="str">
        <f>IF(D156="","",VLOOKUP(D156,'G-7 Rivers Data'!$B$2:$G$8,2,FALSE))</f>
        <v/>
      </c>
      <c r="G156" s="499" t="str">
        <f>IFERROR(VLOOKUP(F156,'G-7 Rivers Data'!$C$4:$D$8,2,FALSE),"")</f>
        <v/>
      </c>
      <c r="H156" s="145"/>
      <c r="I156" s="499" t="str">
        <f>IFERROR(INDEX('G-7 Rivers Data'!$H$4:$L$8,MATCH(D156,'G-7 Rivers Data'!$B$4:$B$8,0),MATCH(H156,'G-7 Rivers Data'!$H$3:$L$3,0)),"")</f>
        <v/>
      </c>
      <c r="J156" s="418"/>
      <c r="K156" s="498" t="str">
        <f>IF(J156="","",IF(VLOOKUP(J156,'G-7 Rivers Data'!$AK$4:$AM$9,2,FALSE)=0,"Spatial Data Missing ⚠",VLOOKUP(J156,'G-7 Rivers Data'!$AK$4:$AM$9,2,FALSE)))</f>
        <v/>
      </c>
      <c r="L156" s="505" t="str">
        <f>IF(J156="","",IF(VLOOKUP(J156,'G-7 Rivers Data'!$AK$4:$AM$9,3,FALSE)=0,"Spatial Data Missing ⚠",VLOOKUP(J156,'G-7 Rivers Data'!$AK$4:$AM$9,3,FALSE)))</f>
        <v/>
      </c>
      <c r="M156" s="71"/>
      <c r="N156" s="499" t="str">
        <f>IF(M156="","",IF(VLOOKUP(M156,'G-7 Rivers Data'!$AA$4:$AB$7,2,FALSE)=0,"Spatial Data Missing ⚠",VLOOKUP(M156,'G-7 Rivers Data'!$AA$4:$AB$7,2,FALSE)))</f>
        <v/>
      </c>
      <c r="O156" s="155"/>
      <c r="P156" s="499" t="str">
        <f>IF(O156="","",IF(VLOOKUP(O156,'G-7 Rivers Data'!$AD$4:$AE$8,2,FALSE)=0,"Spatial Data Missing ⚠",VLOOKUP(O156,'G-7 Rivers Data'!$AD$4:$AE$8,2,FALSE)))</f>
        <v/>
      </c>
      <c r="Q156" s="506" t="str">
        <f>IF(D156="","",VLOOKUP(D156,'G-7 Rivers Data'!$B$2:$G$8,6,FALSE))</f>
        <v/>
      </c>
      <c r="R156" s="513" t="str">
        <f t="shared" si="16"/>
        <v/>
      </c>
      <c r="S156" s="40"/>
      <c r="T156" s="145"/>
      <c r="U156" s="157"/>
      <c r="V156" s="511" t="str">
        <f t="shared" si="17"/>
        <v/>
      </c>
      <c r="W156" s="511" t="str">
        <f t="shared" si="18"/>
        <v/>
      </c>
      <c r="X156" s="511" t="str">
        <f t="shared" si="19"/>
        <v/>
      </c>
      <c r="Y156" s="515" t="str">
        <f t="shared" si="20"/>
        <v/>
      </c>
      <c r="Z156" s="151"/>
      <c r="AA156" s="152"/>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c r="AP156" s="31" t="str">
        <f>IFERROR(INDEX('G-7 Rivers Data'!$AZ$3:$AZ$7,MATCH(D156,'G-7 Rivers Data'!$AY$3:$AY$7,0)),"")</f>
        <v/>
      </c>
    </row>
    <row r="157" spans="3:42" ht="13.8" x14ac:dyDescent="0.25">
      <c r="C157" s="141">
        <v>148</v>
      </c>
      <c r="D157" s="460"/>
      <c r="E157" s="172"/>
      <c r="F157" s="498" t="str">
        <f>IF(D157="","",VLOOKUP(D157,'G-7 Rivers Data'!$B$2:$G$8,2,FALSE))</f>
        <v/>
      </c>
      <c r="G157" s="499" t="str">
        <f>IFERROR(VLOOKUP(F157,'G-7 Rivers Data'!$C$4:$D$8,2,FALSE),"")</f>
        <v/>
      </c>
      <c r="H157" s="145"/>
      <c r="I157" s="499" t="str">
        <f>IFERROR(INDEX('G-7 Rivers Data'!$H$4:$L$8,MATCH(D157,'G-7 Rivers Data'!$B$4:$B$8,0),MATCH(H157,'G-7 Rivers Data'!$H$3:$L$3,0)),"")</f>
        <v/>
      </c>
      <c r="J157" s="418"/>
      <c r="K157" s="498" t="str">
        <f>IF(J157="","",IF(VLOOKUP(J157,'G-7 Rivers Data'!$AK$4:$AM$9,2,FALSE)=0,"Spatial Data Missing ⚠",VLOOKUP(J157,'G-7 Rivers Data'!$AK$4:$AM$9,2,FALSE)))</f>
        <v/>
      </c>
      <c r="L157" s="505" t="str">
        <f>IF(J157="","",IF(VLOOKUP(J157,'G-7 Rivers Data'!$AK$4:$AM$9,3,FALSE)=0,"Spatial Data Missing ⚠",VLOOKUP(J157,'G-7 Rivers Data'!$AK$4:$AM$9,3,FALSE)))</f>
        <v/>
      </c>
      <c r="M157" s="71"/>
      <c r="N157" s="499" t="str">
        <f>IF(M157="","",IF(VLOOKUP(M157,'G-7 Rivers Data'!$AA$4:$AB$7,2,FALSE)=0,"Spatial Data Missing ⚠",VLOOKUP(M157,'G-7 Rivers Data'!$AA$4:$AB$7,2,FALSE)))</f>
        <v/>
      </c>
      <c r="O157" s="155"/>
      <c r="P157" s="499" t="str">
        <f>IF(O157="","",IF(VLOOKUP(O157,'G-7 Rivers Data'!$AD$4:$AE$8,2,FALSE)=0,"Spatial Data Missing ⚠",VLOOKUP(O157,'G-7 Rivers Data'!$AD$4:$AE$8,2,FALSE)))</f>
        <v/>
      </c>
      <c r="Q157" s="506" t="str">
        <f>IF(D157="","",VLOOKUP(D157,'G-7 Rivers Data'!$B$2:$G$8,6,FALSE))</f>
        <v/>
      </c>
      <c r="R157" s="513" t="str">
        <f t="shared" si="16"/>
        <v/>
      </c>
      <c r="S157" s="40"/>
      <c r="T157" s="145"/>
      <c r="U157" s="157"/>
      <c r="V157" s="511" t="str">
        <f t="shared" si="17"/>
        <v/>
      </c>
      <c r="W157" s="511" t="str">
        <f t="shared" si="18"/>
        <v/>
      </c>
      <c r="X157" s="511" t="str">
        <f t="shared" si="19"/>
        <v/>
      </c>
      <c r="Y157" s="515" t="str">
        <f t="shared" si="20"/>
        <v/>
      </c>
      <c r="Z157" s="151"/>
      <c r="AA157" s="152"/>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c r="AP157" s="31" t="str">
        <f>IFERROR(INDEX('G-7 Rivers Data'!$AZ$3:$AZ$7,MATCH(D157,'G-7 Rivers Data'!$AY$3:$AY$7,0)),"")</f>
        <v/>
      </c>
    </row>
    <row r="158" spans="3:42" ht="13.8" x14ac:dyDescent="0.25">
      <c r="C158" s="141">
        <v>149</v>
      </c>
      <c r="D158" s="460"/>
      <c r="E158" s="172"/>
      <c r="F158" s="498" t="str">
        <f>IF(D158="","",VLOOKUP(D158,'G-7 Rivers Data'!$B$2:$G$8,2,FALSE))</f>
        <v/>
      </c>
      <c r="G158" s="499" t="str">
        <f>IFERROR(VLOOKUP(F158,'G-7 Rivers Data'!$C$4:$D$8,2,FALSE),"")</f>
        <v/>
      </c>
      <c r="H158" s="145"/>
      <c r="I158" s="499" t="str">
        <f>IFERROR(INDEX('G-7 Rivers Data'!$H$4:$L$8,MATCH(D158,'G-7 Rivers Data'!$B$4:$B$8,0),MATCH(H158,'G-7 Rivers Data'!$H$3:$L$3,0)),"")</f>
        <v/>
      </c>
      <c r="J158" s="418"/>
      <c r="K158" s="498" t="str">
        <f>IF(J158="","",IF(VLOOKUP(J158,'G-7 Rivers Data'!$AK$4:$AM$9,2,FALSE)=0,"Spatial Data Missing ⚠",VLOOKUP(J158,'G-7 Rivers Data'!$AK$4:$AM$9,2,FALSE)))</f>
        <v/>
      </c>
      <c r="L158" s="505" t="str">
        <f>IF(J158="","",IF(VLOOKUP(J158,'G-7 Rivers Data'!$AK$4:$AM$9,3,FALSE)=0,"Spatial Data Missing ⚠",VLOOKUP(J158,'G-7 Rivers Data'!$AK$4:$AM$9,3,FALSE)))</f>
        <v/>
      </c>
      <c r="M158" s="71"/>
      <c r="N158" s="499" t="str">
        <f>IF(M158="","",IF(VLOOKUP(M158,'G-7 Rivers Data'!$AA$4:$AB$7,2,FALSE)=0,"Spatial Data Missing ⚠",VLOOKUP(M158,'G-7 Rivers Data'!$AA$4:$AB$7,2,FALSE)))</f>
        <v/>
      </c>
      <c r="O158" s="155"/>
      <c r="P158" s="499" t="str">
        <f>IF(O158="","",IF(VLOOKUP(O158,'G-7 Rivers Data'!$AD$4:$AE$8,2,FALSE)=0,"Spatial Data Missing ⚠",VLOOKUP(O158,'G-7 Rivers Data'!$AD$4:$AE$8,2,FALSE)))</f>
        <v/>
      </c>
      <c r="Q158" s="506" t="str">
        <f>IF(D158="","",VLOOKUP(D158,'G-7 Rivers Data'!$B$2:$G$8,6,FALSE))</f>
        <v/>
      </c>
      <c r="R158" s="513" t="str">
        <f t="shared" si="16"/>
        <v/>
      </c>
      <c r="S158" s="40"/>
      <c r="T158" s="145"/>
      <c r="U158" s="157"/>
      <c r="V158" s="511" t="str">
        <f t="shared" si="17"/>
        <v/>
      </c>
      <c r="W158" s="511" t="str">
        <f t="shared" si="18"/>
        <v/>
      </c>
      <c r="X158" s="511" t="str">
        <f t="shared" si="19"/>
        <v/>
      </c>
      <c r="Y158" s="515" t="str">
        <f t="shared" si="20"/>
        <v/>
      </c>
      <c r="Z158" s="151"/>
      <c r="AA158" s="152"/>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c r="AP158" s="31" t="str">
        <f>IFERROR(INDEX('G-7 Rivers Data'!$AZ$3:$AZ$7,MATCH(D158,'G-7 Rivers Data'!$AY$3:$AY$7,0)),"")</f>
        <v/>
      </c>
    </row>
    <row r="159" spans="3:42" ht="13.8" x14ac:dyDescent="0.25">
      <c r="C159" s="141">
        <v>150</v>
      </c>
      <c r="D159" s="460"/>
      <c r="E159" s="172"/>
      <c r="F159" s="498" t="str">
        <f>IF(D159="","",VLOOKUP(D159,'G-7 Rivers Data'!$B$2:$G$8,2,FALSE))</f>
        <v/>
      </c>
      <c r="G159" s="499" t="str">
        <f>IFERROR(VLOOKUP(F159,'G-7 Rivers Data'!$C$4:$D$8,2,FALSE),"")</f>
        <v/>
      </c>
      <c r="H159" s="145"/>
      <c r="I159" s="499" t="str">
        <f>IFERROR(INDEX('G-7 Rivers Data'!$H$4:$L$8,MATCH(D159,'G-7 Rivers Data'!$B$4:$B$8,0),MATCH(H159,'G-7 Rivers Data'!$H$3:$L$3,0)),"")</f>
        <v/>
      </c>
      <c r="J159" s="418"/>
      <c r="K159" s="498" t="str">
        <f>IF(J159="","",IF(VLOOKUP(J159,'G-7 Rivers Data'!$AK$4:$AM$9,2,FALSE)=0,"Spatial Data Missing ⚠",VLOOKUP(J159,'G-7 Rivers Data'!$AK$4:$AM$9,2,FALSE)))</f>
        <v/>
      </c>
      <c r="L159" s="505" t="str">
        <f>IF(J159="","",IF(VLOOKUP(J159,'G-7 Rivers Data'!$AK$4:$AM$9,3,FALSE)=0,"Spatial Data Missing ⚠",VLOOKUP(J159,'G-7 Rivers Data'!$AK$4:$AM$9,3,FALSE)))</f>
        <v/>
      </c>
      <c r="M159" s="71"/>
      <c r="N159" s="499" t="str">
        <f>IF(M159="","",IF(VLOOKUP(M159,'G-7 Rivers Data'!$AA$4:$AB$7,2,FALSE)=0,"Spatial Data Missing ⚠",VLOOKUP(M159,'G-7 Rivers Data'!$AA$4:$AB$7,2,FALSE)))</f>
        <v/>
      </c>
      <c r="O159" s="155"/>
      <c r="P159" s="499" t="str">
        <f>IF(O159="","",IF(VLOOKUP(O159,'G-7 Rivers Data'!$AD$4:$AE$8,2,FALSE)=0,"Spatial Data Missing ⚠",VLOOKUP(O159,'G-7 Rivers Data'!$AD$4:$AE$8,2,FALSE)))</f>
        <v/>
      </c>
      <c r="Q159" s="506" t="str">
        <f>IF(D159="","",VLOOKUP(D159,'G-7 Rivers Data'!$B$2:$G$8,6,FALSE))</f>
        <v/>
      </c>
      <c r="R159" s="513" t="str">
        <f t="shared" si="16"/>
        <v/>
      </c>
      <c r="S159" s="40"/>
      <c r="T159" s="145"/>
      <c r="U159" s="157"/>
      <c r="V159" s="511" t="str">
        <f t="shared" si="17"/>
        <v/>
      </c>
      <c r="W159" s="511" t="str">
        <f t="shared" si="18"/>
        <v/>
      </c>
      <c r="X159" s="511" t="str">
        <f t="shared" si="19"/>
        <v/>
      </c>
      <c r="Y159" s="515" t="str">
        <f t="shared" si="20"/>
        <v/>
      </c>
      <c r="Z159" s="151"/>
      <c r="AA159" s="152"/>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c r="AP159" s="31" t="str">
        <f>IFERROR(INDEX('G-7 Rivers Data'!$AZ$3:$AZ$7,MATCH(D159,'G-7 Rivers Data'!$AY$3:$AY$7,0)),"")</f>
        <v/>
      </c>
    </row>
    <row r="160" spans="3:42" ht="13.8" x14ac:dyDescent="0.25">
      <c r="C160" s="141">
        <v>151</v>
      </c>
      <c r="D160" s="460"/>
      <c r="E160" s="172"/>
      <c r="F160" s="498" t="str">
        <f>IF(D160="","",VLOOKUP(D160,'G-7 Rivers Data'!$B$2:$G$8,2,FALSE))</f>
        <v/>
      </c>
      <c r="G160" s="499" t="str">
        <f>IFERROR(VLOOKUP(F160,'G-7 Rivers Data'!$C$4:$D$8,2,FALSE),"")</f>
        <v/>
      </c>
      <c r="H160" s="145"/>
      <c r="I160" s="499" t="str">
        <f>IFERROR(INDEX('G-7 Rivers Data'!$H$4:$L$8,MATCH(D160,'G-7 Rivers Data'!$B$4:$B$8,0),MATCH(H160,'G-7 Rivers Data'!$H$3:$L$3,0)),"")</f>
        <v/>
      </c>
      <c r="J160" s="418"/>
      <c r="K160" s="498" t="str">
        <f>IF(J160="","",IF(VLOOKUP(J160,'G-7 Rivers Data'!$AK$4:$AM$9,2,FALSE)=0,"Spatial Data Missing ⚠",VLOOKUP(J160,'G-7 Rivers Data'!$AK$4:$AM$9,2,FALSE)))</f>
        <v/>
      </c>
      <c r="L160" s="505" t="str">
        <f>IF(J160="","",IF(VLOOKUP(J160,'G-7 Rivers Data'!$AK$4:$AM$9,3,FALSE)=0,"Spatial Data Missing ⚠",VLOOKUP(J160,'G-7 Rivers Data'!$AK$4:$AM$9,3,FALSE)))</f>
        <v/>
      </c>
      <c r="M160" s="71"/>
      <c r="N160" s="499" t="str">
        <f>IF(M160="","",IF(VLOOKUP(M160,'G-7 Rivers Data'!$AA$4:$AB$7,2,FALSE)=0,"Spatial Data Missing ⚠",VLOOKUP(M160,'G-7 Rivers Data'!$AA$4:$AB$7,2,FALSE)))</f>
        <v/>
      </c>
      <c r="O160" s="155"/>
      <c r="P160" s="499" t="str">
        <f>IF(O160="","",IF(VLOOKUP(O160,'G-7 Rivers Data'!$AD$4:$AE$8,2,FALSE)=0,"Spatial Data Missing ⚠",VLOOKUP(O160,'G-7 Rivers Data'!$AD$4:$AE$8,2,FALSE)))</f>
        <v/>
      </c>
      <c r="Q160" s="506" t="str">
        <f>IF(D160="","",VLOOKUP(D160,'G-7 Rivers Data'!$B$2:$G$8,6,FALSE))</f>
        <v/>
      </c>
      <c r="R160" s="513" t="str">
        <f t="shared" si="16"/>
        <v/>
      </c>
      <c r="S160" s="40"/>
      <c r="T160" s="145"/>
      <c r="U160" s="157"/>
      <c r="V160" s="511" t="str">
        <f t="shared" si="17"/>
        <v/>
      </c>
      <c r="W160" s="511" t="str">
        <f t="shared" si="18"/>
        <v/>
      </c>
      <c r="X160" s="511" t="str">
        <f t="shared" si="19"/>
        <v/>
      </c>
      <c r="Y160" s="515" t="str">
        <f t="shared" si="20"/>
        <v/>
      </c>
      <c r="Z160" s="151"/>
      <c r="AA160" s="152"/>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c r="AP160" s="31" t="str">
        <f>IFERROR(INDEX('G-7 Rivers Data'!$AZ$3:$AZ$7,MATCH(D160,'G-7 Rivers Data'!$AY$3:$AY$7,0)),"")</f>
        <v/>
      </c>
    </row>
    <row r="161" spans="3:42" ht="13.8" x14ac:dyDescent="0.25">
      <c r="C161" s="141">
        <v>152</v>
      </c>
      <c r="D161" s="460"/>
      <c r="E161" s="172"/>
      <c r="F161" s="498" t="str">
        <f>IF(D161="","",VLOOKUP(D161,'G-7 Rivers Data'!$B$2:$G$8,2,FALSE))</f>
        <v/>
      </c>
      <c r="G161" s="499" t="str">
        <f>IFERROR(VLOOKUP(F161,'G-7 Rivers Data'!$C$4:$D$8,2,FALSE),"")</f>
        <v/>
      </c>
      <c r="H161" s="145"/>
      <c r="I161" s="499" t="str">
        <f>IFERROR(INDEX('G-7 Rivers Data'!$H$4:$L$8,MATCH(D161,'G-7 Rivers Data'!$B$4:$B$8,0),MATCH(H161,'G-7 Rivers Data'!$H$3:$L$3,0)),"")</f>
        <v/>
      </c>
      <c r="J161" s="418"/>
      <c r="K161" s="498" t="str">
        <f>IF(J161="","",IF(VLOOKUP(J161,'G-7 Rivers Data'!$AK$4:$AM$9,2,FALSE)=0,"Spatial Data Missing ⚠",VLOOKUP(J161,'G-7 Rivers Data'!$AK$4:$AM$9,2,FALSE)))</f>
        <v/>
      </c>
      <c r="L161" s="505" t="str">
        <f>IF(J161="","",IF(VLOOKUP(J161,'G-7 Rivers Data'!$AK$4:$AM$9,3,FALSE)=0,"Spatial Data Missing ⚠",VLOOKUP(J161,'G-7 Rivers Data'!$AK$4:$AM$9,3,FALSE)))</f>
        <v/>
      </c>
      <c r="M161" s="71"/>
      <c r="N161" s="499" t="str">
        <f>IF(M161="","",IF(VLOOKUP(M161,'G-7 Rivers Data'!$AA$4:$AB$7,2,FALSE)=0,"Spatial Data Missing ⚠",VLOOKUP(M161,'G-7 Rivers Data'!$AA$4:$AB$7,2,FALSE)))</f>
        <v/>
      </c>
      <c r="O161" s="155"/>
      <c r="P161" s="499" t="str">
        <f>IF(O161="","",IF(VLOOKUP(O161,'G-7 Rivers Data'!$AD$4:$AE$8,2,FALSE)=0,"Spatial Data Missing ⚠",VLOOKUP(O161,'G-7 Rivers Data'!$AD$4:$AE$8,2,FALSE)))</f>
        <v/>
      </c>
      <c r="Q161" s="506" t="str">
        <f>IF(D161="","",VLOOKUP(D161,'G-7 Rivers Data'!$B$2:$G$8,6,FALSE))</f>
        <v/>
      </c>
      <c r="R161" s="513" t="str">
        <f t="shared" si="16"/>
        <v/>
      </c>
      <c r="S161" s="40"/>
      <c r="T161" s="145"/>
      <c r="U161" s="157"/>
      <c r="V161" s="511" t="str">
        <f t="shared" si="17"/>
        <v/>
      </c>
      <c r="W161" s="511" t="str">
        <f t="shared" si="18"/>
        <v/>
      </c>
      <c r="X161" s="511" t="str">
        <f t="shared" si="19"/>
        <v/>
      </c>
      <c r="Y161" s="515" t="str">
        <f t="shared" si="20"/>
        <v/>
      </c>
      <c r="Z161" s="151"/>
      <c r="AA161" s="152"/>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c r="AP161" s="31" t="str">
        <f>IFERROR(INDEX('G-7 Rivers Data'!$AZ$3:$AZ$7,MATCH(D161,'G-7 Rivers Data'!$AY$3:$AY$7,0)),"")</f>
        <v/>
      </c>
    </row>
    <row r="162" spans="3:42" ht="13.8" x14ac:dyDescent="0.25">
      <c r="C162" s="141">
        <v>153</v>
      </c>
      <c r="D162" s="460"/>
      <c r="E162" s="172"/>
      <c r="F162" s="498" t="str">
        <f>IF(D162="","",VLOOKUP(D162,'G-7 Rivers Data'!$B$2:$G$8,2,FALSE))</f>
        <v/>
      </c>
      <c r="G162" s="499" t="str">
        <f>IFERROR(VLOOKUP(F162,'G-7 Rivers Data'!$C$4:$D$8,2,FALSE),"")</f>
        <v/>
      </c>
      <c r="H162" s="145"/>
      <c r="I162" s="499" t="str">
        <f>IFERROR(INDEX('G-7 Rivers Data'!$H$4:$L$8,MATCH(D162,'G-7 Rivers Data'!$B$4:$B$8,0),MATCH(H162,'G-7 Rivers Data'!$H$3:$L$3,0)),"")</f>
        <v/>
      </c>
      <c r="J162" s="418"/>
      <c r="K162" s="498" t="str">
        <f>IF(J162="","",IF(VLOOKUP(J162,'G-7 Rivers Data'!$AK$4:$AM$9,2,FALSE)=0,"Spatial Data Missing ⚠",VLOOKUP(J162,'G-7 Rivers Data'!$AK$4:$AM$9,2,FALSE)))</f>
        <v/>
      </c>
      <c r="L162" s="505" t="str">
        <f>IF(J162="","",IF(VLOOKUP(J162,'G-7 Rivers Data'!$AK$4:$AM$9,3,FALSE)=0,"Spatial Data Missing ⚠",VLOOKUP(J162,'G-7 Rivers Data'!$AK$4:$AM$9,3,FALSE)))</f>
        <v/>
      </c>
      <c r="M162" s="71"/>
      <c r="N162" s="499" t="str">
        <f>IF(M162="","",IF(VLOOKUP(M162,'G-7 Rivers Data'!$AA$4:$AB$7,2,FALSE)=0,"Spatial Data Missing ⚠",VLOOKUP(M162,'G-7 Rivers Data'!$AA$4:$AB$7,2,FALSE)))</f>
        <v/>
      </c>
      <c r="O162" s="155"/>
      <c r="P162" s="499" t="str">
        <f>IF(O162="","",IF(VLOOKUP(O162,'G-7 Rivers Data'!$AD$4:$AE$8,2,FALSE)=0,"Spatial Data Missing ⚠",VLOOKUP(O162,'G-7 Rivers Data'!$AD$4:$AE$8,2,FALSE)))</f>
        <v/>
      </c>
      <c r="Q162" s="506" t="str">
        <f>IF(D162="","",VLOOKUP(D162,'G-7 Rivers Data'!$B$2:$G$8,6,FALSE))</f>
        <v/>
      </c>
      <c r="R162" s="513" t="str">
        <f t="shared" si="16"/>
        <v/>
      </c>
      <c r="S162" s="40"/>
      <c r="T162" s="145"/>
      <c r="U162" s="157"/>
      <c r="V162" s="511" t="str">
        <f t="shared" si="17"/>
        <v/>
      </c>
      <c r="W162" s="511" t="str">
        <f t="shared" si="18"/>
        <v/>
      </c>
      <c r="X162" s="511" t="str">
        <f t="shared" si="19"/>
        <v/>
      </c>
      <c r="Y162" s="515" t="str">
        <f t="shared" si="20"/>
        <v/>
      </c>
      <c r="Z162" s="151"/>
      <c r="AA162" s="152"/>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c r="AP162" s="31" t="str">
        <f>IFERROR(INDEX('G-7 Rivers Data'!$AZ$3:$AZ$7,MATCH(D162,'G-7 Rivers Data'!$AY$3:$AY$7,0)),"")</f>
        <v/>
      </c>
    </row>
    <row r="163" spans="3:42" ht="13.8" x14ac:dyDescent="0.25">
      <c r="C163" s="141">
        <v>154</v>
      </c>
      <c r="D163" s="460"/>
      <c r="E163" s="172"/>
      <c r="F163" s="498" t="str">
        <f>IF(D163="","",VLOOKUP(D163,'G-7 Rivers Data'!$B$2:$G$8,2,FALSE))</f>
        <v/>
      </c>
      <c r="G163" s="499" t="str">
        <f>IFERROR(VLOOKUP(F163,'G-7 Rivers Data'!$C$4:$D$8,2,FALSE),"")</f>
        <v/>
      </c>
      <c r="H163" s="145"/>
      <c r="I163" s="499" t="str">
        <f>IFERROR(INDEX('G-7 Rivers Data'!$H$4:$L$8,MATCH(D163,'G-7 Rivers Data'!$B$4:$B$8,0),MATCH(H163,'G-7 Rivers Data'!$H$3:$L$3,0)),"")</f>
        <v/>
      </c>
      <c r="J163" s="418"/>
      <c r="K163" s="498" t="str">
        <f>IF(J163="","",IF(VLOOKUP(J163,'G-7 Rivers Data'!$AK$4:$AM$9,2,FALSE)=0,"Spatial Data Missing ⚠",VLOOKUP(J163,'G-7 Rivers Data'!$AK$4:$AM$9,2,FALSE)))</f>
        <v/>
      </c>
      <c r="L163" s="505" t="str">
        <f>IF(J163="","",IF(VLOOKUP(J163,'G-7 Rivers Data'!$AK$4:$AM$9,3,FALSE)=0,"Spatial Data Missing ⚠",VLOOKUP(J163,'G-7 Rivers Data'!$AK$4:$AM$9,3,FALSE)))</f>
        <v/>
      </c>
      <c r="M163" s="71"/>
      <c r="N163" s="499" t="str">
        <f>IF(M163="","",IF(VLOOKUP(M163,'G-7 Rivers Data'!$AA$4:$AB$7,2,FALSE)=0,"Spatial Data Missing ⚠",VLOOKUP(M163,'G-7 Rivers Data'!$AA$4:$AB$7,2,FALSE)))</f>
        <v/>
      </c>
      <c r="O163" s="155"/>
      <c r="P163" s="499" t="str">
        <f>IF(O163="","",IF(VLOOKUP(O163,'G-7 Rivers Data'!$AD$4:$AE$8,2,FALSE)=0,"Spatial Data Missing ⚠",VLOOKUP(O163,'G-7 Rivers Data'!$AD$4:$AE$8,2,FALSE)))</f>
        <v/>
      </c>
      <c r="Q163" s="506" t="str">
        <f>IF(D163="","",VLOOKUP(D163,'G-7 Rivers Data'!$B$2:$G$8,6,FALSE))</f>
        <v/>
      </c>
      <c r="R163" s="513" t="str">
        <f t="shared" si="16"/>
        <v/>
      </c>
      <c r="S163" s="40"/>
      <c r="T163" s="145"/>
      <c r="U163" s="157"/>
      <c r="V163" s="511" t="str">
        <f t="shared" si="17"/>
        <v/>
      </c>
      <c r="W163" s="511" t="str">
        <f t="shared" si="18"/>
        <v/>
      </c>
      <c r="X163" s="511" t="str">
        <f t="shared" si="19"/>
        <v/>
      </c>
      <c r="Y163" s="515" t="str">
        <f t="shared" si="20"/>
        <v/>
      </c>
      <c r="Z163" s="151"/>
      <c r="AA163" s="152"/>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c r="AP163" s="31" t="str">
        <f>IFERROR(INDEX('G-7 Rivers Data'!$AZ$3:$AZ$7,MATCH(D163,'G-7 Rivers Data'!$AY$3:$AY$7,0)),"")</f>
        <v/>
      </c>
    </row>
    <row r="164" spans="3:42" ht="13.8" x14ac:dyDescent="0.25">
      <c r="C164" s="141">
        <v>155</v>
      </c>
      <c r="D164" s="460"/>
      <c r="E164" s="172"/>
      <c r="F164" s="498" t="str">
        <f>IF(D164="","",VLOOKUP(D164,'G-7 Rivers Data'!$B$2:$G$8,2,FALSE))</f>
        <v/>
      </c>
      <c r="G164" s="499" t="str">
        <f>IFERROR(VLOOKUP(F164,'G-7 Rivers Data'!$C$4:$D$8,2,FALSE),"")</f>
        <v/>
      </c>
      <c r="H164" s="145"/>
      <c r="I164" s="499" t="str">
        <f>IFERROR(INDEX('G-7 Rivers Data'!$H$4:$L$8,MATCH(D164,'G-7 Rivers Data'!$B$4:$B$8,0),MATCH(H164,'G-7 Rivers Data'!$H$3:$L$3,0)),"")</f>
        <v/>
      </c>
      <c r="J164" s="418"/>
      <c r="K164" s="498" t="str">
        <f>IF(J164="","",IF(VLOOKUP(J164,'G-7 Rivers Data'!$AK$4:$AM$9,2,FALSE)=0,"Spatial Data Missing ⚠",VLOOKUP(J164,'G-7 Rivers Data'!$AK$4:$AM$9,2,FALSE)))</f>
        <v/>
      </c>
      <c r="L164" s="505" t="str">
        <f>IF(J164="","",IF(VLOOKUP(J164,'G-7 Rivers Data'!$AK$4:$AM$9,3,FALSE)=0,"Spatial Data Missing ⚠",VLOOKUP(J164,'G-7 Rivers Data'!$AK$4:$AM$9,3,FALSE)))</f>
        <v/>
      </c>
      <c r="M164" s="71"/>
      <c r="N164" s="499" t="str">
        <f>IF(M164="","",IF(VLOOKUP(M164,'G-7 Rivers Data'!$AA$4:$AB$7,2,FALSE)=0,"Spatial Data Missing ⚠",VLOOKUP(M164,'G-7 Rivers Data'!$AA$4:$AB$7,2,FALSE)))</f>
        <v/>
      </c>
      <c r="O164" s="155"/>
      <c r="P164" s="499" t="str">
        <f>IF(O164="","",IF(VLOOKUP(O164,'G-7 Rivers Data'!$AD$4:$AE$8,2,FALSE)=0,"Spatial Data Missing ⚠",VLOOKUP(O164,'G-7 Rivers Data'!$AD$4:$AE$8,2,FALSE)))</f>
        <v/>
      </c>
      <c r="Q164" s="506" t="str">
        <f>IF(D164="","",VLOOKUP(D164,'G-7 Rivers Data'!$B$2:$G$8,6,FALSE))</f>
        <v/>
      </c>
      <c r="R164" s="513" t="str">
        <f t="shared" si="16"/>
        <v/>
      </c>
      <c r="S164" s="40"/>
      <c r="T164" s="145"/>
      <c r="U164" s="157"/>
      <c r="V164" s="511" t="str">
        <f t="shared" si="17"/>
        <v/>
      </c>
      <c r="W164" s="511" t="str">
        <f t="shared" si="18"/>
        <v/>
      </c>
      <c r="X164" s="511" t="str">
        <f t="shared" si="19"/>
        <v/>
      </c>
      <c r="Y164" s="515" t="str">
        <f t="shared" si="20"/>
        <v/>
      </c>
      <c r="Z164" s="151"/>
      <c r="AA164" s="152"/>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c r="AP164" s="31" t="str">
        <f>IFERROR(INDEX('G-7 Rivers Data'!$AZ$3:$AZ$7,MATCH(D164,'G-7 Rivers Data'!$AY$3:$AY$7,0)),"")</f>
        <v/>
      </c>
    </row>
    <row r="165" spans="3:42" ht="13.8" x14ac:dyDescent="0.25">
      <c r="C165" s="141">
        <v>156</v>
      </c>
      <c r="D165" s="460"/>
      <c r="E165" s="172"/>
      <c r="F165" s="498" t="str">
        <f>IF(D165="","",VLOOKUP(D165,'G-7 Rivers Data'!$B$2:$G$8,2,FALSE))</f>
        <v/>
      </c>
      <c r="G165" s="499" t="str">
        <f>IFERROR(VLOOKUP(F165,'G-7 Rivers Data'!$C$4:$D$8,2,FALSE),"")</f>
        <v/>
      </c>
      <c r="H165" s="145"/>
      <c r="I165" s="499" t="str">
        <f>IFERROR(INDEX('G-7 Rivers Data'!$H$4:$L$8,MATCH(D165,'G-7 Rivers Data'!$B$4:$B$8,0),MATCH(H165,'G-7 Rivers Data'!$H$3:$L$3,0)),"")</f>
        <v/>
      </c>
      <c r="J165" s="418"/>
      <c r="K165" s="498" t="str">
        <f>IF(J165="","",IF(VLOOKUP(J165,'G-7 Rivers Data'!$AK$4:$AM$9,2,FALSE)=0,"Spatial Data Missing ⚠",VLOOKUP(J165,'G-7 Rivers Data'!$AK$4:$AM$9,2,FALSE)))</f>
        <v/>
      </c>
      <c r="L165" s="505" t="str">
        <f>IF(J165="","",IF(VLOOKUP(J165,'G-7 Rivers Data'!$AK$4:$AM$9,3,FALSE)=0,"Spatial Data Missing ⚠",VLOOKUP(J165,'G-7 Rivers Data'!$AK$4:$AM$9,3,FALSE)))</f>
        <v/>
      </c>
      <c r="M165" s="71"/>
      <c r="N165" s="499" t="str">
        <f>IF(M165="","",IF(VLOOKUP(M165,'G-7 Rivers Data'!$AA$4:$AB$7,2,FALSE)=0,"Spatial Data Missing ⚠",VLOOKUP(M165,'G-7 Rivers Data'!$AA$4:$AB$7,2,FALSE)))</f>
        <v/>
      </c>
      <c r="O165" s="155"/>
      <c r="P165" s="499" t="str">
        <f>IF(O165="","",IF(VLOOKUP(O165,'G-7 Rivers Data'!$AD$4:$AE$8,2,FALSE)=0,"Spatial Data Missing ⚠",VLOOKUP(O165,'G-7 Rivers Data'!$AD$4:$AE$8,2,FALSE)))</f>
        <v/>
      </c>
      <c r="Q165" s="506" t="str">
        <f>IF(D165="","",VLOOKUP(D165,'G-7 Rivers Data'!$B$2:$G$8,6,FALSE))</f>
        <v/>
      </c>
      <c r="R165" s="513" t="str">
        <f t="shared" si="16"/>
        <v/>
      </c>
      <c r="S165" s="40"/>
      <c r="T165" s="145"/>
      <c r="U165" s="157"/>
      <c r="V165" s="511" t="str">
        <f t="shared" si="17"/>
        <v/>
      </c>
      <c r="W165" s="511" t="str">
        <f t="shared" si="18"/>
        <v/>
      </c>
      <c r="X165" s="511" t="str">
        <f t="shared" si="19"/>
        <v/>
      </c>
      <c r="Y165" s="515" t="str">
        <f t="shared" si="20"/>
        <v/>
      </c>
      <c r="Z165" s="151"/>
      <c r="AA165" s="152"/>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c r="AP165" s="31" t="str">
        <f>IFERROR(INDEX('G-7 Rivers Data'!$AZ$3:$AZ$7,MATCH(D165,'G-7 Rivers Data'!$AY$3:$AY$7,0)),"")</f>
        <v/>
      </c>
    </row>
    <row r="166" spans="3:42" ht="13.8" x14ac:dyDescent="0.25">
      <c r="C166" s="141">
        <v>157</v>
      </c>
      <c r="D166" s="460"/>
      <c r="E166" s="172"/>
      <c r="F166" s="498" t="str">
        <f>IF(D166="","",VLOOKUP(D166,'G-7 Rivers Data'!$B$2:$G$8,2,FALSE))</f>
        <v/>
      </c>
      <c r="G166" s="499" t="str">
        <f>IFERROR(VLOOKUP(F166,'G-7 Rivers Data'!$C$4:$D$8,2,FALSE),"")</f>
        <v/>
      </c>
      <c r="H166" s="145"/>
      <c r="I166" s="499" t="str">
        <f>IFERROR(INDEX('G-7 Rivers Data'!$H$4:$L$8,MATCH(D166,'G-7 Rivers Data'!$B$4:$B$8,0),MATCH(H166,'G-7 Rivers Data'!$H$3:$L$3,0)),"")</f>
        <v/>
      </c>
      <c r="J166" s="418"/>
      <c r="K166" s="498" t="str">
        <f>IF(J166="","",IF(VLOOKUP(J166,'G-7 Rivers Data'!$AK$4:$AM$9,2,FALSE)=0,"Spatial Data Missing ⚠",VLOOKUP(J166,'G-7 Rivers Data'!$AK$4:$AM$9,2,FALSE)))</f>
        <v/>
      </c>
      <c r="L166" s="505" t="str">
        <f>IF(J166="","",IF(VLOOKUP(J166,'G-7 Rivers Data'!$AK$4:$AM$9,3,FALSE)=0,"Spatial Data Missing ⚠",VLOOKUP(J166,'G-7 Rivers Data'!$AK$4:$AM$9,3,FALSE)))</f>
        <v/>
      </c>
      <c r="M166" s="71"/>
      <c r="N166" s="499" t="str">
        <f>IF(M166="","",IF(VLOOKUP(M166,'G-7 Rivers Data'!$AA$4:$AB$7,2,FALSE)=0,"Spatial Data Missing ⚠",VLOOKUP(M166,'G-7 Rivers Data'!$AA$4:$AB$7,2,FALSE)))</f>
        <v/>
      </c>
      <c r="O166" s="155"/>
      <c r="P166" s="499" t="str">
        <f>IF(O166="","",IF(VLOOKUP(O166,'G-7 Rivers Data'!$AD$4:$AE$8,2,FALSE)=0,"Spatial Data Missing ⚠",VLOOKUP(O166,'G-7 Rivers Data'!$AD$4:$AE$8,2,FALSE)))</f>
        <v/>
      </c>
      <c r="Q166" s="506" t="str">
        <f>IF(D166="","",VLOOKUP(D166,'G-7 Rivers Data'!$B$2:$G$8,6,FALSE))</f>
        <v/>
      </c>
      <c r="R166" s="513" t="str">
        <f t="shared" si="16"/>
        <v/>
      </c>
      <c r="S166" s="40"/>
      <c r="T166" s="145"/>
      <c r="U166" s="157"/>
      <c r="V166" s="511" t="str">
        <f t="shared" si="17"/>
        <v/>
      </c>
      <c r="W166" s="511" t="str">
        <f t="shared" si="18"/>
        <v/>
      </c>
      <c r="X166" s="511" t="str">
        <f t="shared" si="19"/>
        <v/>
      </c>
      <c r="Y166" s="515" t="str">
        <f t="shared" si="20"/>
        <v/>
      </c>
      <c r="Z166" s="151"/>
      <c r="AA166" s="152"/>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c r="AP166" s="31" t="str">
        <f>IFERROR(INDEX('G-7 Rivers Data'!$AZ$3:$AZ$7,MATCH(D166,'G-7 Rivers Data'!$AY$3:$AY$7,0)),"")</f>
        <v/>
      </c>
    </row>
    <row r="167" spans="3:42" ht="13.8" x14ac:dyDescent="0.25">
      <c r="C167" s="141">
        <v>158</v>
      </c>
      <c r="D167" s="460"/>
      <c r="E167" s="172"/>
      <c r="F167" s="498" t="str">
        <f>IF(D167="","",VLOOKUP(D167,'G-7 Rivers Data'!$B$2:$G$8,2,FALSE))</f>
        <v/>
      </c>
      <c r="G167" s="499" t="str">
        <f>IFERROR(VLOOKUP(F167,'G-7 Rivers Data'!$C$4:$D$8,2,FALSE),"")</f>
        <v/>
      </c>
      <c r="H167" s="145"/>
      <c r="I167" s="499" t="str">
        <f>IFERROR(INDEX('G-7 Rivers Data'!$H$4:$L$8,MATCH(D167,'G-7 Rivers Data'!$B$4:$B$8,0),MATCH(H167,'G-7 Rivers Data'!$H$3:$L$3,0)),"")</f>
        <v/>
      </c>
      <c r="J167" s="418"/>
      <c r="K167" s="498" t="str">
        <f>IF(J167="","",IF(VLOOKUP(J167,'G-7 Rivers Data'!$AK$4:$AM$9,2,FALSE)=0,"Spatial Data Missing ⚠",VLOOKUP(J167,'G-7 Rivers Data'!$AK$4:$AM$9,2,FALSE)))</f>
        <v/>
      </c>
      <c r="L167" s="505" t="str">
        <f>IF(J167="","",IF(VLOOKUP(J167,'G-7 Rivers Data'!$AK$4:$AM$9,3,FALSE)=0,"Spatial Data Missing ⚠",VLOOKUP(J167,'G-7 Rivers Data'!$AK$4:$AM$9,3,FALSE)))</f>
        <v/>
      </c>
      <c r="M167" s="71"/>
      <c r="N167" s="499" t="str">
        <f>IF(M167="","",IF(VLOOKUP(M167,'G-7 Rivers Data'!$AA$4:$AB$7,2,FALSE)=0,"Spatial Data Missing ⚠",VLOOKUP(M167,'G-7 Rivers Data'!$AA$4:$AB$7,2,FALSE)))</f>
        <v/>
      </c>
      <c r="O167" s="155"/>
      <c r="P167" s="499" t="str">
        <f>IF(O167="","",IF(VLOOKUP(O167,'G-7 Rivers Data'!$AD$4:$AE$8,2,FALSE)=0,"Spatial Data Missing ⚠",VLOOKUP(O167,'G-7 Rivers Data'!$AD$4:$AE$8,2,FALSE)))</f>
        <v/>
      </c>
      <c r="Q167" s="506" t="str">
        <f>IF(D167="","",VLOOKUP(D167,'G-7 Rivers Data'!$B$2:$G$8,6,FALSE))</f>
        <v/>
      </c>
      <c r="R167" s="513" t="str">
        <f t="shared" si="16"/>
        <v/>
      </c>
      <c r="S167" s="40"/>
      <c r="T167" s="145"/>
      <c r="U167" s="157"/>
      <c r="V167" s="511" t="str">
        <f t="shared" si="17"/>
        <v/>
      </c>
      <c r="W167" s="511" t="str">
        <f t="shared" si="18"/>
        <v/>
      </c>
      <c r="X167" s="511" t="str">
        <f t="shared" si="19"/>
        <v/>
      </c>
      <c r="Y167" s="515" t="str">
        <f t="shared" si="20"/>
        <v/>
      </c>
      <c r="Z167" s="151"/>
      <c r="AA167" s="152"/>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c r="AP167" s="31" t="str">
        <f>IFERROR(INDEX('G-7 Rivers Data'!$AZ$3:$AZ$7,MATCH(D167,'G-7 Rivers Data'!$AY$3:$AY$7,0)),"")</f>
        <v/>
      </c>
    </row>
    <row r="168" spans="3:42" ht="13.8" x14ac:dyDescent="0.25">
      <c r="C168" s="141">
        <v>159</v>
      </c>
      <c r="D168" s="460"/>
      <c r="E168" s="172"/>
      <c r="F168" s="498" t="str">
        <f>IF(D168="","",VLOOKUP(D168,'G-7 Rivers Data'!$B$2:$G$8,2,FALSE))</f>
        <v/>
      </c>
      <c r="G168" s="499" t="str">
        <f>IFERROR(VLOOKUP(F168,'G-7 Rivers Data'!$C$4:$D$8,2,FALSE),"")</f>
        <v/>
      </c>
      <c r="H168" s="145"/>
      <c r="I168" s="499" t="str">
        <f>IFERROR(INDEX('G-7 Rivers Data'!$H$4:$L$8,MATCH(D168,'G-7 Rivers Data'!$B$4:$B$8,0),MATCH(H168,'G-7 Rivers Data'!$H$3:$L$3,0)),"")</f>
        <v/>
      </c>
      <c r="J168" s="418"/>
      <c r="K168" s="498" t="str">
        <f>IF(J168="","",IF(VLOOKUP(J168,'G-7 Rivers Data'!$AK$4:$AM$9,2,FALSE)=0,"Spatial Data Missing ⚠",VLOOKUP(J168,'G-7 Rivers Data'!$AK$4:$AM$9,2,FALSE)))</f>
        <v/>
      </c>
      <c r="L168" s="505" t="str">
        <f>IF(J168="","",IF(VLOOKUP(J168,'G-7 Rivers Data'!$AK$4:$AM$9,3,FALSE)=0,"Spatial Data Missing ⚠",VLOOKUP(J168,'G-7 Rivers Data'!$AK$4:$AM$9,3,FALSE)))</f>
        <v/>
      </c>
      <c r="M168" s="71"/>
      <c r="N168" s="499" t="str">
        <f>IF(M168="","",IF(VLOOKUP(M168,'G-7 Rivers Data'!$AA$4:$AB$7,2,FALSE)=0,"Spatial Data Missing ⚠",VLOOKUP(M168,'G-7 Rivers Data'!$AA$4:$AB$7,2,FALSE)))</f>
        <v/>
      </c>
      <c r="O168" s="155"/>
      <c r="P168" s="499" t="str">
        <f>IF(O168="","",IF(VLOOKUP(O168,'G-7 Rivers Data'!$AD$4:$AE$8,2,FALSE)=0,"Spatial Data Missing ⚠",VLOOKUP(O168,'G-7 Rivers Data'!$AD$4:$AE$8,2,FALSE)))</f>
        <v/>
      </c>
      <c r="Q168" s="506" t="str">
        <f>IF(D168="","",VLOOKUP(D168,'G-7 Rivers Data'!$B$2:$G$8,6,FALSE))</f>
        <v/>
      </c>
      <c r="R168" s="513" t="str">
        <f t="shared" si="16"/>
        <v/>
      </c>
      <c r="S168" s="40"/>
      <c r="T168" s="145"/>
      <c r="U168" s="157"/>
      <c r="V168" s="511" t="str">
        <f t="shared" si="17"/>
        <v/>
      </c>
      <c r="W168" s="511" t="str">
        <f t="shared" si="18"/>
        <v/>
      </c>
      <c r="X168" s="511" t="str">
        <f t="shared" si="19"/>
        <v/>
      </c>
      <c r="Y168" s="515" t="str">
        <f t="shared" si="20"/>
        <v/>
      </c>
      <c r="Z168" s="151"/>
      <c r="AA168" s="152"/>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c r="AP168" s="31" t="str">
        <f>IFERROR(INDEX('G-7 Rivers Data'!$AZ$3:$AZ$7,MATCH(D168,'G-7 Rivers Data'!$AY$3:$AY$7,0)),"")</f>
        <v/>
      </c>
    </row>
    <row r="169" spans="3:42" ht="13.8" x14ac:dyDescent="0.25">
      <c r="C169" s="141">
        <v>160</v>
      </c>
      <c r="D169" s="460"/>
      <c r="E169" s="172"/>
      <c r="F169" s="498" t="str">
        <f>IF(D169="","",VLOOKUP(D169,'G-7 Rivers Data'!$B$2:$G$8,2,FALSE))</f>
        <v/>
      </c>
      <c r="G169" s="499" t="str">
        <f>IFERROR(VLOOKUP(F169,'G-7 Rivers Data'!$C$4:$D$8,2,FALSE),"")</f>
        <v/>
      </c>
      <c r="H169" s="145"/>
      <c r="I169" s="499" t="str">
        <f>IFERROR(INDEX('G-7 Rivers Data'!$H$4:$L$8,MATCH(D169,'G-7 Rivers Data'!$B$4:$B$8,0),MATCH(H169,'G-7 Rivers Data'!$H$3:$L$3,0)),"")</f>
        <v/>
      </c>
      <c r="J169" s="418"/>
      <c r="K169" s="498" t="str">
        <f>IF(J169="","",IF(VLOOKUP(J169,'G-7 Rivers Data'!$AK$4:$AM$9,2,FALSE)=0,"Spatial Data Missing ⚠",VLOOKUP(J169,'G-7 Rivers Data'!$AK$4:$AM$9,2,FALSE)))</f>
        <v/>
      </c>
      <c r="L169" s="505" t="str">
        <f>IF(J169="","",IF(VLOOKUP(J169,'G-7 Rivers Data'!$AK$4:$AM$9,3,FALSE)=0,"Spatial Data Missing ⚠",VLOOKUP(J169,'G-7 Rivers Data'!$AK$4:$AM$9,3,FALSE)))</f>
        <v/>
      </c>
      <c r="M169" s="71"/>
      <c r="N169" s="499" t="str">
        <f>IF(M169="","",IF(VLOOKUP(M169,'G-7 Rivers Data'!$AA$4:$AB$7,2,FALSE)=0,"Spatial Data Missing ⚠",VLOOKUP(M169,'G-7 Rivers Data'!$AA$4:$AB$7,2,FALSE)))</f>
        <v/>
      </c>
      <c r="O169" s="155"/>
      <c r="P169" s="499" t="str">
        <f>IF(O169="","",IF(VLOOKUP(O169,'G-7 Rivers Data'!$AD$4:$AE$8,2,FALSE)=0,"Spatial Data Missing ⚠",VLOOKUP(O169,'G-7 Rivers Data'!$AD$4:$AE$8,2,FALSE)))</f>
        <v/>
      </c>
      <c r="Q169" s="506" t="str">
        <f>IF(D169="","",VLOOKUP(D169,'G-7 Rivers Data'!$B$2:$G$8,6,FALSE))</f>
        <v/>
      </c>
      <c r="R169" s="513" t="str">
        <f t="shared" si="16"/>
        <v/>
      </c>
      <c r="S169" s="40"/>
      <c r="T169" s="145"/>
      <c r="U169" s="157"/>
      <c r="V169" s="511" t="str">
        <f t="shared" si="17"/>
        <v/>
      </c>
      <c r="W169" s="511" t="str">
        <f t="shared" si="18"/>
        <v/>
      </c>
      <c r="X169" s="511" t="str">
        <f t="shared" si="19"/>
        <v/>
      </c>
      <c r="Y169" s="515" t="str">
        <f t="shared" si="20"/>
        <v/>
      </c>
      <c r="Z169" s="151"/>
      <c r="AA169" s="152"/>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c r="AP169" s="31" t="str">
        <f>IFERROR(INDEX('G-7 Rivers Data'!$AZ$3:$AZ$7,MATCH(D169,'G-7 Rivers Data'!$AY$3:$AY$7,0)),"")</f>
        <v/>
      </c>
    </row>
    <row r="170" spans="3:42" ht="13.8" x14ac:dyDescent="0.25">
      <c r="C170" s="141">
        <v>161</v>
      </c>
      <c r="D170" s="460"/>
      <c r="E170" s="172"/>
      <c r="F170" s="498" t="str">
        <f>IF(D170="","",VLOOKUP(D170,'G-7 Rivers Data'!$B$2:$G$8,2,FALSE))</f>
        <v/>
      </c>
      <c r="G170" s="499" t="str">
        <f>IFERROR(VLOOKUP(F170,'G-7 Rivers Data'!$C$4:$D$8,2,FALSE),"")</f>
        <v/>
      </c>
      <c r="H170" s="145"/>
      <c r="I170" s="499" t="str">
        <f>IFERROR(INDEX('G-7 Rivers Data'!$H$4:$L$8,MATCH(D170,'G-7 Rivers Data'!$B$4:$B$8,0),MATCH(H170,'G-7 Rivers Data'!$H$3:$L$3,0)),"")</f>
        <v/>
      </c>
      <c r="J170" s="418"/>
      <c r="K170" s="498" t="str">
        <f>IF(J170="","",IF(VLOOKUP(J170,'G-7 Rivers Data'!$AK$4:$AM$9,2,FALSE)=0,"Spatial Data Missing ⚠",VLOOKUP(J170,'G-7 Rivers Data'!$AK$4:$AM$9,2,FALSE)))</f>
        <v/>
      </c>
      <c r="L170" s="505" t="str">
        <f>IF(J170="","",IF(VLOOKUP(J170,'G-7 Rivers Data'!$AK$4:$AM$9,3,FALSE)=0,"Spatial Data Missing ⚠",VLOOKUP(J170,'G-7 Rivers Data'!$AK$4:$AM$9,3,FALSE)))</f>
        <v/>
      </c>
      <c r="M170" s="71"/>
      <c r="N170" s="499" t="str">
        <f>IF(M170="","",IF(VLOOKUP(M170,'G-7 Rivers Data'!$AA$4:$AB$7,2,FALSE)=0,"Spatial Data Missing ⚠",VLOOKUP(M170,'G-7 Rivers Data'!$AA$4:$AB$7,2,FALSE)))</f>
        <v/>
      </c>
      <c r="O170" s="155"/>
      <c r="P170" s="499" t="str">
        <f>IF(O170="","",IF(VLOOKUP(O170,'G-7 Rivers Data'!$AD$4:$AE$8,2,FALSE)=0,"Spatial Data Missing ⚠",VLOOKUP(O170,'G-7 Rivers Data'!$AD$4:$AE$8,2,FALSE)))</f>
        <v/>
      </c>
      <c r="Q170" s="506" t="str">
        <f>IF(D170="","",VLOOKUP(D170,'G-7 Rivers Data'!$B$2:$G$8,6,FALSE))</f>
        <v/>
      </c>
      <c r="R170" s="513" t="str">
        <f t="shared" si="16"/>
        <v/>
      </c>
      <c r="S170" s="40"/>
      <c r="T170" s="145"/>
      <c r="U170" s="157"/>
      <c r="V170" s="511" t="str">
        <f t="shared" si="17"/>
        <v/>
      </c>
      <c r="W170" s="511" t="str">
        <f t="shared" si="18"/>
        <v/>
      </c>
      <c r="X170" s="511" t="str">
        <f t="shared" si="19"/>
        <v/>
      </c>
      <c r="Y170" s="515" t="str">
        <f t="shared" si="20"/>
        <v/>
      </c>
      <c r="Z170" s="151"/>
      <c r="AA170" s="152"/>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c r="AP170" s="31" t="str">
        <f>IFERROR(INDEX('G-7 Rivers Data'!$AZ$3:$AZ$7,MATCH(D170,'G-7 Rivers Data'!$AY$3:$AY$7,0)),"")</f>
        <v/>
      </c>
    </row>
    <row r="171" spans="3:42" ht="13.8" x14ac:dyDescent="0.25">
      <c r="C171" s="141">
        <v>162</v>
      </c>
      <c r="D171" s="460"/>
      <c r="E171" s="172"/>
      <c r="F171" s="498" t="str">
        <f>IF(D171="","",VLOOKUP(D171,'G-7 Rivers Data'!$B$2:$G$8,2,FALSE))</f>
        <v/>
      </c>
      <c r="G171" s="499" t="str">
        <f>IFERROR(VLOOKUP(F171,'G-7 Rivers Data'!$C$4:$D$8,2,FALSE),"")</f>
        <v/>
      </c>
      <c r="H171" s="145"/>
      <c r="I171" s="499" t="str">
        <f>IFERROR(INDEX('G-7 Rivers Data'!$H$4:$L$8,MATCH(D171,'G-7 Rivers Data'!$B$4:$B$8,0),MATCH(H171,'G-7 Rivers Data'!$H$3:$L$3,0)),"")</f>
        <v/>
      </c>
      <c r="J171" s="418"/>
      <c r="K171" s="498" t="str">
        <f>IF(J171="","",IF(VLOOKUP(J171,'G-7 Rivers Data'!$AK$4:$AM$9,2,FALSE)=0,"Spatial Data Missing ⚠",VLOOKUP(J171,'G-7 Rivers Data'!$AK$4:$AM$9,2,FALSE)))</f>
        <v/>
      </c>
      <c r="L171" s="505" t="str">
        <f>IF(J171="","",IF(VLOOKUP(J171,'G-7 Rivers Data'!$AK$4:$AM$9,3,FALSE)=0,"Spatial Data Missing ⚠",VLOOKUP(J171,'G-7 Rivers Data'!$AK$4:$AM$9,3,FALSE)))</f>
        <v/>
      </c>
      <c r="M171" s="71"/>
      <c r="N171" s="499" t="str">
        <f>IF(M171="","",IF(VLOOKUP(M171,'G-7 Rivers Data'!$AA$4:$AB$7,2,FALSE)=0,"Spatial Data Missing ⚠",VLOOKUP(M171,'G-7 Rivers Data'!$AA$4:$AB$7,2,FALSE)))</f>
        <v/>
      </c>
      <c r="O171" s="155"/>
      <c r="P171" s="499" t="str">
        <f>IF(O171="","",IF(VLOOKUP(O171,'G-7 Rivers Data'!$AD$4:$AE$8,2,FALSE)=0,"Spatial Data Missing ⚠",VLOOKUP(O171,'G-7 Rivers Data'!$AD$4:$AE$8,2,FALSE)))</f>
        <v/>
      </c>
      <c r="Q171" s="506" t="str">
        <f>IF(D171="","",VLOOKUP(D171,'G-7 Rivers Data'!$B$2:$G$8,6,FALSE))</f>
        <v/>
      </c>
      <c r="R171" s="513" t="str">
        <f t="shared" si="16"/>
        <v/>
      </c>
      <c r="S171" s="40"/>
      <c r="T171" s="145"/>
      <c r="U171" s="157"/>
      <c r="V171" s="511" t="str">
        <f t="shared" si="17"/>
        <v/>
      </c>
      <c r="W171" s="511" t="str">
        <f t="shared" si="18"/>
        <v/>
      </c>
      <c r="X171" s="511" t="str">
        <f t="shared" si="19"/>
        <v/>
      </c>
      <c r="Y171" s="515" t="str">
        <f t="shared" si="20"/>
        <v/>
      </c>
      <c r="Z171" s="151"/>
      <c r="AA171" s="152"/>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c r="AP171" s="31" t="str">
        <f>IFERROR(INDEX('G-7 Rivers Data'!$AZ$3:$AZ$7,MATCH(D171,'G-7 Rivers Data'!$AY$3:$AY$7,0)),"")</f>
        <v/>
      </c>
    </row>
    <row r="172" spans="3:42" ht="13.8" x14ac:dyDescent="0.25">
      <c r="C172" s="141">
        <v>163</v>
      </c>
      <c r="D172" s="460"/>
      <c r="E172" s="172"/>
      <c r="F172" s="498" t="str">
        <f>IF(D172="","",VLOOKUP(D172,'G-7 Rivers Data'!$B$2:$G$8,2,FALSE))</f>
        <v/>
      </c>
      <c r="G172" s="499" t="str">
        <f>IFERROR(VLOOKUP(F172,'G-7 Rivers Data'!$C$4:$D$8,2,FALSE),"")</f>
        <v/>
      </c>
      <c r="H172" s="145"/>
      <c r="I172" s="499" t="str">
        <f>IFERROR(INDEX('G-7 Rivers Data'!$H$4:$L$8,MATCH(D172,'G-7 Rivers Data'!$B$4:$B$8,0),MATCH(H172,'G-7 Rivers Data'!$H$3:$L$3,0)),"")</f>
        <v/>
      </c>
      <c r="J172" s="418"/>
      <c r="K172" s="498" t="str">
        <f>IF(J172="","",IF(VLOOKUP(J172,'G-7 Rivers Data'!$AK$4:$AM$9,2,FALSE)=0,"Spatial Data Missing ⚠",VLOOKUP(J172,'G-7 Rivers Data'!$AK$4:$AM$9,2,FALSE)))</f>
        <v/>
      </c>
      <c r="L172" s="505" t="str">
        <f>IF(J172="","",IF(VLOOKUP(J172,'G-7 Rivers Data'!$AK$4:$AM$9,3,FALSE)=0,"Spatial Data Missing ⚠",VLOOKUP(J172,'G-7 Rivers Data'!$AK$4:$AM$9,3,FALSE)))</f>
        <v/>
      </c>
      <c r="M172" s="71"/>
      <c r="N172" s="499" t="str">
        <f>IF(M172="","",IF(VLOOKUP(M172,'G-7 Rivers Data'!$AA$4:$AB$7,2,FALSE)=0,"Spatial Data Missing ⚠",VLOOKUP(M172,'G-7 Rivers Data'!$AA$4:$AB$7,2,FALSE)))</f>
        <v/>
      </c>
      <c r="O172" s="155"/>
      <c r="P172" s="499" t="str">
        <f>IF(O172="","",IF(VLOOKUP(O172,'G-7 Rivers Data'!$AD$4:$AE$8,2,FALSE)=0,"Spatial Data Missing ⚠",VLOOKUP(O172,'G-7 Rivers Data'!$AD$4:$AE$8,2,FALSE)))</f>
        <v/>
      </c>
      <c r="Q172" s="506" t="str">
        <f>IF(D172="","",VLOOKUP(D172,'G-7 Rivers Data'!$B$2:$G$8,6,FALSE))</f>
        <v/>
      </c>
      <c r="R172" s="513" t="str">
        <f t="shared" si="16"/>
        <v/>
      </c>
      <c r="S172" s="40"/>
      <c r="T172" s="145"/>
      <c r="U172" s="157"/>
      <c r="V172" s="511" t="str">
        <f t="shared" si="17"/>
        <v/>
      </c>
      <c r="W172" s="511" t="str">
        <f t="shared" si="18"/>
        <v/>
      </c>
      <c r="X172" s="511" t="str">
        <f t="shared" si="19"/>
        <v/>
      </c>
      <c r="Y172" s="515" t="str">
        <f t="shared" si="20"/>
        <v/>
      </c>
      <c r="Z172" s="151"/>
      <c r="AA172" s="152"/>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c r="AP172" s="31" t="str">
        <f>IFERROR(INDEX('G-7 Rivers Data'!$AZ$3:$AZ$7,MATCH(D172,'G-7 Rivers Data'!$AY$3:$AY$7,0)),"")</f>
        <v/>
      </c>
    </row>
    <row r="173" spans="3:42" ht="13.8" x14ac:dyDescent="0.25">
      <c r="C173" s="141">
        <v>164</v>
      </c>
      <c r="D173" s="460"/>
      <c r="E173" s="172"/>
      <c r="F173" s="498" t="str">
        <f>IF(D173="","",VLOOKUP(D173,'G-7 Rivers Data'!$B$2:$G$8,2,FALSE))</f>
        <v/>
      </c>
      <c r="G173" s="499" t="str">
        <f>IFERROR(VLOOKUP(F173,'G-7 Rivers Data'!$C$4:$D$8,2,FALSE),"")</f>
        <v/>
      </c>
      <c r="H173" s="145"/>
      <c r="I173" s="499" t="str">
        <f>IFERROR(INDEX('G-7 Rivers Data'!$H$4:$L$8,MATCH(D173,'G-7 Rivers Data'!$B$4:$B$8,0),MATCH(H173,'G-7 Rivers Data'!$H$3:$L$3,0)),"")</f>
        <v/>
      </c>
      <c r="J173" s="418"/>
      <c r="K173" s="498" t="str">
        <f>IF(J173="","",IF(VLOOKUP(J173,'G-7 Rivers Data'!$AK$4:$AM$9,2,FALSE)=0,"Spatial Data Missing ⚠",VLOOKUP(J173,'G-7 Rivers Data'!$AK$4:$AM$9,2,FALSE)))</f>
        <v/>
      </c>
      <c r="L173" s="505" t="str">
        <f>IF(J173="","",IF(VLOOKUP(J173,'G-7 Rivers Data'!$AK$4:$AM$9,3,FALSE)=0,"Spatial Data Missing ⚠",VLOOKUP(J173,'G-7 Rivers Data'!$AK$4:$AM$9,3,FALSE)))</f>
        <v/>
      </c>
      <c r="M173" s="71"/>
      <c r="N173" s="499" t="str">
        <f>IF(M173="","",IF(VLOOKUP(M173,'G-7 Rivers Data'!$AA$4:$AB$7,2,FALSE)=0,"Spatial Data Missing ⚠",VLOOKUP(M173,'G-7 Rivers Data'!$AA$4:$AB$7,2,FALSE)))</f>
        <v/>
      </c>
      <c r="O173" s="155"/>
      <c r="P173" s="499" t="str">
        <f>IF(O173="","",IF(VLOOKUP(O173,'G-7 Rivers Data'!$AD$4:$AE$8,2,FALSE)=0,"Spatial Data Missing ⚠",VLOOKUP(O173,'G-7 Rivers Data'!$AD$4:$AE$8,2,FALSE)))</f>
        <v/>
      </c>
      <c r="Q173" s="506" t="str">
        <f>IF(D173="","",VLOOKUP(D173,'G-7 Rivers Data'!$B$2:$G$8,6,FALSE))</f>
        <v/>
      </c>
      <c r="R173" s="513" t="str">
        <f t="shared" si="16"/>
        <v/>
      </c>
      <c r="S173" s="40"/>
      <c r="T173" s="145"/>
      <c r="U173" s="157"/>
      <c r="V173" s="511" t="str">
        <f t="shared" si="17"/>
        <v/>
      </c>
      <c r="W173" s="511" t="str">
        <f t="shared" si="18"/>
        <v/>
      </c>
      <c r="X173" s="511" t="str">
        <f t="shared" si="19"/>
        <v/>
      </c>
      <c r="Y173" s="515" t="str">
        <f t="shared" si="20"/>
        <v/>
      </c>
      <c r="Z173" s="151"/>
      <c r="AA173" s="152"/>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c r="AP173" s="31" t="str">
        <f>IFERROR(INDEX('G-7 Rivers Data'!$AZ$3:$AZ$7,MATCH(D173,'G-7 Rivers Data'!$AY$3:$AY$7,0)),"")</f>
        <v/>
      </c>
    </row>
    <row r="174" spans="3:42" ht="13.8" x14ac:dyDescent="0.25">
      <c r="C174" s="141">
        <v>165</v>
      </c>
      <c r="D174" s="460"/>
      <c r="E174" s="172"/>
      <c r="F174" s="498" t="str">
        <f>IF(D174="","",VLOOKUP(D174,'G-7 Rivers Data'!$B$2:$G$8,2,FALSE))</f>
        <v/>
      </c>
      <c r="G174" s="499" t="str">
        <f>IFERROR(VLOOKUP(F174,'G-7 Rivers Data'!$C$4:$D$8,2,FALSE),"")</f>
        <v/>
      </c>
      <c r="H174" s="145"/>
      <c r="I174" s="499" t="str">
        <f>IFERROR(INDEX('G-7 Rivers Data'!$H$4:$L$8,MATCH(D174,'G-7 Rivers Data'!$B$4:$B$8,0),MATCH(H174,'G-7 Rivers Data'!$H$3:$L$3,0)),"")</f>
        <v/>
      </c>
      <c r="J174" s="418"/>
      <c r="K174" s="498" t="str">
        <f>IF(J174="","",IF(VLOOKUP(J174,'G-7 Rivers Data'!$AK$4:$AM$9,2,FALSE)=0,"Spatial Data Missing ⚠",VLOOKUP(J174,'G-7 Rivers Data'!$AK$4:$AM$9,2,FALSE)))</f>
        <v/>
      </c>
      <c r="L174" s="505" t="str">
        <f>IF(J174="","",IF(VLOOKUP(J174,'G-7 Rivers Data'!$AK$4:$AM$9,3,FALSE)=0,"Spatial Data Missing ⚠",VLOOKUP(J174,'G-7 Rivers Data'!$AK$4:$AM$9,3,FALSE)))</f>
        <v/>
      </c>
      <c r="M174" s="71"/>
      <c r="N174" s="499" t="str">
        <f>IF(M174="","",IF(VLOOKUP(M174,'G-7 Rivers Data'!$AA$4:$AB$7,2,FALSE)=0,"Spatial Data Missing ⚠",VLOOKUP(M174,'G-7 Rivers Data'!$AA$4:$AB$7,2,FALSE)))</f>
        <v/>
      </c>
      <c r="O174" s="155"/>
      <c r="P174" s="499" t="str">
        <f>IF(O174="","",IF(VLOOKUP(O174,'G-7 Rivers Data'!$AD$4:$AE$8,2,FALSE)=0,"Spatial Data Missing ⚠",VLOOKUP(O174,'G-7 Rivers Data'!$AD$4:$AE$8,2,FALSE)))</f>
        <v/>
      </c>
      <c r="Q174" s="506" t="str">
        <f>IF(D174="","",VLOOKUP(D174,'G-7 Rivers Data'!$B$2:$G$8,6,FALSE))</f>
        <v/>
      </c>
      <c r="R174" s="513" t="str">
        <f t="shared" si="16"/>
        <v/>
      </c>
      <c r="S174" s="40"/>
      <c r="T174" s="145"/>
      <c r="U174" s="157"/>
      <c r="V174" s="511" t="str">
        <f t="shared" si="17"/>
        <v/>
      </c>
      <c r="W174" s="511" t="str">
        <f t="shared" si="18"/>
        <v/>
      </c>
      <c r="X174" s="511" t="str">
        <f t="shared" si="19"/>
        <v/>
      </c>
      <c r="Y174" s="515" t="str">
        <f t="shared" si="20"/>
        <v/>
      </c>
      <c r="Z174" s="151"/>
      <c r="AA174" s="152"/>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c r="AP174" s="31" t="str">
        <f>IFERROR(INDEX('G-7 Rivers Data'!$AZ$3:$AZ$7,MATCH(D174,'G-7 Rivers Data'!$AY$3:$AY$7,0)),"")</f>
        <v/>
      </c>
    </row>
    <row r="175" spans="3:42" ht="13.8" x14ac:dyDescent="0.25">
      <c r="C175" s="141">
        <v>166</v>
      </c>
      <c r="D175" s="460"/>
      <c r="E175" s="172"/>
      <c r="F175" s="498" t="str">
        <f>IF(D175="","",VLOOKUP(D175,'G-7 Rivers Data'!$B$2:$G$8,2,FALSE))</f>
        <v/>
      </c>
      <c r="G175" s="499" t="str">
        <f>IFERROR(VLOOKUP(F175,'G-7 Rivers Data'!$C$4:$D$8,2,FALSE),"")</f>
        <v/>
      </c>
      <c r="H175" s="145"/>
      <c r="I175" s="499" t="str">
        <f>IFERROR(INDEX('G-7 Rivers Data'!$H$4:$L$8,MATCH(D175,'G-7 Rivers Data'!$B$4:$B$8,0),MATCH(H175,'G-7 Rivers Data'!$H$3:$L$3,0)),"")</f>
        <v/>
      </c>
      <c r="J175" s="418"/>
      <c r="K175" s="498" t="str">
        <f>IF(J175="","",IF(VLOOKUP(J175,'G-7 Rivers Data'!$AK$4:$AM$9,2,FALSE)=0,"Spatial Data Missing ⚠",VLOOKUP(J175,'G-7 Rivers Data'!$AK$4:$AM$9,2,FALSE)))</f>
        <v/>
      </c>
      <c r="L175" s="505" t="str">
        <f>IF(J175="","",IF(VLOOKUP(J175,'G-7 Rivers Data'!$AK$4:$AM$9,3,FALSE)=0,"Spatial Data Missing ⚠",VLOOKUP(J175,'G-7 Rivers Data'!$AK$4:$AM$9,3,FALSE)))</f>
        <v/>
      </c>
      <c r="M175" s="71"/>
      <c r="N175" s="499" t="str">
        <f>IF(M175="","",IF(VLOOKUP(M175,'G-7 Rivers Data'!$AA$4:$AB$7,2,FALSE)=0,"Spatial Data Missing ⚠",VLOOKUP(M175,'G-7 Rivers Data'!$AA$4:$AB$7,2,FALSE)))</f>
        <v/>
      </c>
      <c r="O175" s="155"/>
      <c r="P175" s="499" t="str">
        <f>IF(O175="","",IF(VLOOKUP(O175,'G-7 Rivers Data'!$AD$4:$AE$8,2,FALSE)=0,"Spatial Data Missing ⚠",VLOOKUP(O175,'G-7 Rivers Data'!$AD$4:$AE$8,2,FALSE)))</f>
        <v/>
      </c>
      <c r="Q175" s="506" t="str">
        <f>IF(D175="","",VLOOKUP(D175,'G-7 Rivers Data'!$B$2:$G$8,6,FALSE))</f>
        <v/>
      </c>
      <c r="R175" s="513" t="str">
        <f t="shared" si="16"/>
        <v/>
      </c>
      <c r="S175" s="40"/>
      <c r="T175" s="145"/>
      <c r="U175" s="157"/>
      <c r="V175" s="511" t="str">
        <f t="shared" si="17"/>
        <v/>
      </c>
      <c r="W175" s="511" t="str">
        <f t="shared" si="18"/>
        <v/>
      </c>
      <c r="X175" s="511" t="str">
        <f t="shared" si="19"/>
        <v/>
      </c>
      <c r="Y175" s="515" t="str">
        <f t="shared" si="20"/>
        <v/>
      </c>
      <c r="Z175" s="151"/>
      <c r="AA175" s="152"/>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c r="AP175" s="31" t="str">
        <f>IFERROR(INDEX('G-7 Rivers Data'!$AZ$3:$AZ$7,MATCH(D175,'G-7 Rivers Data'!$AY$3:$AY$7,0)),"")</f>
        <v/>
      </c>
    </row>
    <row r="176" spans="3:42" ht="13.8" x14ac:dyDescent="0.25">
      <c r="C176" s="141">
        <v>167</v>
      </c>
      <c r="D176" s="460"/>
      <c r="E176" s="172"/>
      <c r="F176" s="498" t="str">
        <f>IF(D176="","",VLOOKUP(D176,'G-7 Rivers Data'!$B$2:$G$8,2,FALSE))</f>
        <v/>
      </c>
      <c r="G176" s="499" t="str">
        <f>IFERROR(VLOOKUP(F176,'G-7 Rivers Data'!$C$4:$D$8,2,FALSE),"")</f>
        <v/>
      </c>
      <c r="H176" s="145"/>
      <c r="I176" s="499" t="str">
        <f>IFERROR(INDEX('G-7 Rivers Data'!$H$4:$L$8,MATCH(D176,'G-7 Rivers Data'!$B$4:$B$8,0),MATCH(H176,'G-7 Rivers Data'!$H$3:$L$3,0)),"")</f>
        <v/>
      </c>
      <c r="J176" s="418"/>
      <c r="K176" s="498" t="str">
        <f>IF(J176="","",IF(VLOOKUP(J176,'G-7 Rivers Data'!$AK$4:$AM$9,2,FALSE)=0,"Spatial Data Missing ⚠",VLOOKUP(J176,'G-7 Rivers Data'!$AK$4:$AM$9,2,FALSE)))</f>
        <v/>
      </c>
      <c r="L176" s="505" t="str">
        <f>IF(J176="","",IF(VLOOKUP(J176,'G-7 Rivers Data'!$AK$4:$AM$9,3,FALSE)=0,"Spatial Data Missing ⚠",VLOOKUP(J176,'G-7 Rivers Data'!$AK$4:$AM$9,3,FALSE)))</f>
        <v/>
      </c>
      <c r="M176" s="71"/>
      <c r="N176" s="499" t="str">
        <f>IF(M176="","",IF(VLOOKUP(M176,'G-7 Rivers Data'!$AA$4:$AB$7,2,FALSE)=0,"Spatial Data Missing ⚠",VLOOKUP(M176,'G-7 Rivers Data'!$AA$4:$AB$7,2,FALSE)))</f>
        <v/>
      </c>
      <c r="O176" s="155"/>
      <c r="P176" s="499" t="str">
        <f>IF(O176="","",IF(VLOOKUP(O176,'G-7 Rivers Data'!$AD$4:$AE$8,2,FALSE)=0,"Spatial Data Missing ⚠",VLOOKUP(O176,'G-7 Rivers Data'!$AD$4:$AE$8,2,FALSE)))</f>
        <v/>
      </c>
      <c r="Q176" s="506" t="str">
        <f>IF(D176="","",VLOOKUP(D176,'G-7 Rivers Data'!$B$2:$G$8,6,FALSE))</f>
        <v/>
      </c>
      <c r="R176" s="513" t="str">
        <f t="shared" si="16"/>
        <v/>
      </c>
      <c r="S176" s="40"/>
      <c r="T176" s="145"/>
      <c r="U176" s="157"/>
      <c r="V176" s="511" t="str">
        <f t="shared" si="17"/>
        <v/>
      </c>
      <c r="W176" s="511" t="str">
        <f t="shared" si="18"/>
        <v/>
      </c>
      <c r="X176" s="511" t="str">
        <f t="shared" si="19"/>
        <v/>
      </c>
      <c r="Y176" s="515" t="str">
        <f t="shared" si="20"/>
        <v/>
      </c>
      <c r="Z176" s="151"/>
      <c r="AA176" s="152"/>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c r="AP176" s="31" t="str">
        <f>IFERROR(INDEX('G-7 Rivers Data'!$AZ$3:$AZ$7,MATCH(D176,'G-7 Rivers Data'!$AY$3:$AY$7,0)),"")</f>
        <v/>
      </c>
    </row>
    <row r="177" spans="3:42" ht="13.8" x14ac:dyDescent="0.25">
      <c r="C177" s="141">
        <v>168</v>
      </c>
      <c r="D177" s="460"/>
      <c r="E177" s="172"/>
      <c r="F177" s="498" t="str">
        <f>IF(D177="","",VLOOKUP(D177,'G-7 Rivers Data'!$B$2:$G$8,2,FALSE))</f>
        <v/>
      </c>
      <c r="G177" s="499" t="str">
        <f>IFERROR(VLOOKUP(F177,'G-7 Rivers Data'!$C$4:$D$8,2,FALSE),"")</f>
        <v/>
      </c>
      <c r="H177" s="145"/>
      <c r="I177" s="499" t="str">
        <f>IFERROR(INDEX('G-7 Rivers Data'!$H$4:$L$8,MATCH(D177,'G-7 Rivers Data'!$B$4:$B$8,0),MATCH(H177,'G-7 Rivers Data'!$H$3:$L$3,0)),"")</f>
        <v/>
      </c>
      <c r="J177" s="418"/>
      <c r="K177" s="498" t="str">
        <f>IF(J177="","",IF(VLOOKUP(J177,'G-7 Rivers Data'!$AK$4:$AM$9,2,FALSE)=0,"Spatial Data Missing ⚠",VLOOKUP(J177,'G-7 Rivers Data'!$AK$4:$AM$9,2,FALSE)))</f>
        <v/>
      </c>
      <c r="L177" s="505" t="str">
        <f>IF(J177="","",IF(VLOOKUP(J177,'G-7 Rivers Data'!$AK$4:$AM$9,3,FALSE)=0,"Spatial Data Missing ⚠",VLOOKUP(J177,'G-7 Rivers Data'!$AK$4:$AM$9,3,FALSE)))</f>
        <v/>
      </c>
      <c r="M177" s="71"/>
      <c r="N177" s="499" t="str">
        <f>IF(M177="","",IF(VLOOKUP(M177,'G-7 Rivers Data'!$AA$4:$AB$7,2,FALSE)=0,"Spatial Data Missing ⚠",VLOOKUP(M177,'G-7 Rivers Data'!$AA$4:$AB$7,2,FALSE)))</f>
        <v/>
      </c>
      <c r="O177" s="155"/>
      <c r="P177" s="499" t="str">
        <f>IF(O177="","",IF(VLOOKUP(O177,'G-7 Rivers Data'!$AD$4:$AE$8,2,FALSE)=0,"Spatial Data Missing ⚠",VLOOKUP(O177,'G-7 Rivers Data'!$AD$4:$AE$8,2,FALSE)))</f>
        <v/>
      </c>
      <c r="Q177" s="506" t="str">
        <f>IF(D177="","",VLOOKUP(D177,'G-7 Rivers Data'!$B$2:$G$8,6,FALSE))</f>
        <v/>
      </c>
      <c r="R177" s="513" t="str">
        <f t="shared" si="16"/>
        <v/>
      </c>
      <c r="S177" s="40"/>
      <c r="T177" s="145"/>
      <c r="U177" s="157"/>
      <c r="V177" s="511" t="str">
        <f t="shared" si="17"/>
        <v/>
      </c>
      <c r="W177" s="511" t="str">
        <f t="shared" si="18"/>
        <v/>
      </c>
      <c r="X177" s="511" t="str">
        <f t="shared" si="19"/>
        <v/>
      </c>
      <c r="Y177" s="515" t="str">
        <f t="shared" si="20"/>
        <v/>
      </c>
      <c r="Z177" s="151"/>
      <c r="AA177" s="152"/>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c r="AP177" s="31" t="str">
        <f>IFERROR(INDEX('G-7 Rivers Data'!$AZ$3:$AZ$7,MATCH(D177,'G-7 Rivers Data'!$AY$3:$AY$7,0)),"")</f>
        <v/>
      </c>
    </row>
    <row r="178" spans="3:42" ht="13.8" x14ac:dyDescent="0.25">
      <c r="C178" s="141">
        <v>169</v>
      </c>
      <c r="D178" s="460"/>
      <c r="E178" s="172"/>
      <c r="F178" s="498" t="str">
        <f>IF(D178="","",VLOOKUP(D178,'G-7 Rivers Data'!$B$2:$G$8,2,FALSE))</f>
        <v/>
      </c>
      <c r="G178" s="499" t="str">
        <f>IFERROR(VLOOKUP(F178,'G-7 Rivers Data'!$C$4:$D$8,2,FALSE),"")</f>
        <v/>
      </c>
      <c r="H178" s="145"/>
      <c r="I178" s="499" t="str">
        <f>IFERROR(INDEX('G-7 Rivers Data'!$H$4:$L$8,MATCH(D178,'G-7 Rivers Data'!$B$4:$B$8,0),MATCH(H178,'G-7 Rivers Data'!$H$3:$L$3,0)),"")</f>
        <v/>
      </c>
      <c r="J178" s="418"/>
      <c r="K178" s="498" t="str">
        <f>IF(J178="","",IF(VLOOKUP(J178,'G-7 Rivers Data'!$AK$4:$AM$9,2,FALSE)=0,"Spatial Data Missing ⚠",VLOOKUP(J178,'G-7 Rivers Data'!$AK$4:$AM$9,2,FALSE)))</f>
        <v/>
      </c>
      <c r="L178" s="505" t="str">
        <f>IF(J178="","",IF(VLOOKUP(J178,'G-7 Rivers Data'!$AK$4:$AM$9,3,FALSE)=0,"Spatial Data Missing ⚠",VLOOKUP(J178,'G-7 Rivers Data'!$AK$4:$AM$9,3,FALSE)))</f>
        <v/>
      </c>
      <c r="M178" s="71"/>
      <c r="N178" s="499" t="str">
        <f>IF(M178="","",IF(VLOOKUP(M178,'G-7 Rivers Data'!$AA$4:$AB$7,2,FALSE)=0,"Spatial Data Missing ⚠",VLOOKUP(M178,'G-7 Rivers Data'!$AA$4:$AB$7,2,FALSE)))</f>
        <v/>
      </c>
      <c r="O178" s="155"/>
      <c r="P178" s="499" t="str">
        <f>IF(O178="","",IF(VLOOKUP(O178,'G-7 Rivers Data'!$AD$4:$AE$8,2,FALSE)=0,"Spatial Data Missing ⚠",VLOOKUP(O178,'G-7 Rivers Data'!$AD$4:$AE$8,2,FALSE)))</f>
        <v/>
      </c>
      <c r="Q178" s="506" t="str">
        <f>IF(D178="","",VLOOKUP(D178,'G-7 Rivers Data'!$B$2:$G$8,6,FALSE))</f>
        <v/>
      </c>
      <c r="R178" s="513" t="str">
        <f t="shared" si="16"/>
        <v/>
      </c>
      <c r="S178" s="40"/>
      <c r="T178" s="145"/>
      <c r="U178" s="157"/>
      <c r="V178" s="511" t="str">
        <f t="shared" si="17"/>
        <v/>
      </c>
      <c r="W178" s="511" t="str">
        <f t="shared" si="18"/>
        <v/>
      </c>
      <c r="X178" s="511" t="str">
        <f t="shared" si="19"/>
        <v/>
      </c>
      <c r="Y178" s="515" t="str">
        <f t="shared" si="20"/>
        <v/>
      </c>
      <c r="Z178" s="151"/>
      <c r="AA178" s="152"/>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c r="AP178" s="31" t="str">
        <f>IFERROR(INDEX('G-7 Rivers Data'!$AZ$3:$AZ$7,MATCH(D178,'G-7 Rivers Data'!$AY$3:$AY$7,0)),"")</f>
        <v/>
      </c>
    </row>
    <row r="179" spans="3:42" ht="13.8" x14ac:dyDescent="0.25">
      <c r="C179" s="141">
        <v>170</v>
      </c>
      <c r="D179" s="460"/>
      <c r="E179" s="172"/>
      <c r="F179" s="498" t="str">
        <f>IF(D179="","",VLOOKUP(D179,'G-7 Rivers Data'!$B$2:$G$8,2,FALSE))</f>
        <v/>
      </c>
      <c r="G179" s="499" t="str">
        <f>IFERROR(VLOOKUP(F179,'G-7 Rivers Data'!$C$4:$D$8,2,FALSE),"")</f>
        <v/>
      </c>
      <c r="H179" s="145"/>
      <c r="I179" s="499" t="str">
        <f>IFERROR(INDEX('G-7 Rivers Data'!$H$4:$L$8,MATCH(D179,'G-7 Rivers Data'!$B$4:$B$8,0),MATCH(H179,'G-7 Rivers Data'!$H$3:$L$3,0)),"")</f>
        <v/>
      </c>
      <c r="J179" s="418"/>
      <c r="K179" s="498" t="str">
        <f>IF(J179="","",IF(VLOOKUP(J179,'G-7 Rivers Data'!$AK$4:$AM$9,2,FALSE)=0,"Spatial Data Missing ⚠",VLOOKUP(J179,'G-7 Rivers Data'!$AK$4:$AM$9,2,FALSE)))</f>
        <v/>
      </c>
      <c r="L179" s="505" t="str">
        <f>IF(J179="","",IF(VLOOKUP(J179,'G-7 Rivers Data'!$AK$4:$AM$9,3,FALSE)=0,"Spatial Data Missing ⚠",VLOOKUP(J179,'G-7 Rivers Data'!$AK$4:$AM$9,3,FALSE)))</f>
        <v/>
      </c>
      <c r="M179" s="71"/>
      <c r="N179" s="499" t="str">
        <f>IF(M179="","",IF(VLOOKUP(M179,'G-7 Rivers Data'!$AA$4:$AB$7,2,FALSE)=0,"Spatial Data Missing ⚠",VLOOKUP(M179,'G-7 Rivers Data'!$AA$4:$AB$7,2,FALSE)))</f>
        <v/>
      </c>
      <c r="O179" s="155"/>
      <c r="P179" s="499" t="str">
        <f>IF(O179="","",IF(VLOOKUP(O179,'G-7 Rivers Data'!$AD$4:$AE$8,2,FALSE)=0,"Spatial Data Missing ⚠",VLOOKUP(O179,'G-7 Rivers Data'!$AD$4:$AE$8,2,FALSE)))</f>
        <v/>
      </c>
      <c r="Q179" s="506" t="str">
        <f>IF(D179="","",VLOOKUP(D179,'G-7 Rivers Data'!$B$2:$G$8,6,FALSE))</f>
        <v/>
      </c>
      <c r="R179" s="513" t="str">
        <f t="shared" si="16"/>
        <v/>
      </c>
      <c r="S179" s="40"/>
      <c r="T179" s="145"/>
      <c r="U179" s="157"/>
      <c r="V179" s="511" t="str">
        <f t="shared" si="17"/>
        <v/>
      </c>
      <c r="W179" s="511" t="str">
        <f t="shared" si="18"/>
        <v/>
      </c>
      <c r="X179" s="511" t="str">
        <f t="shared" si="19"/>
        <v/>
      </c>
      <c r="Y179" s="515" t="str">
        <f t="shared" si="20"/>
        <v/>
      </c>
      <c r="Z179" s="151"/>
      <c r="AA179" s="152"/>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c r="AP179" s="31" t="str">
        <f>IFERROR(INDEX('G-7 Rivers Data'!$AZ$3:$AZ$7,MATCH(D179,'G-7 Rivers Data'!$AY$3:$AY$7,0)),"")</f>
        <v/>
      </c>
    </row>
    <row r="180" spans="3:42" ht="13.8" x14ac:dyDescent="0.25">
      <c r="C180" s="141">
        <v>171</v>
      </c>
      <c r="D180" s="460"/>
      <c r="E180" s="172"/>
      <c r="F180" s="498" t="str">
        <f>IF(D180="","",VLOOKUP(D180,'G-7 Rivers Data'!$B$2:$G$8,2,FALSE))</f>
        <v/>
      </c>
      <c r="G180" s="499" t="str">
        <f>IFERROR(VLOOKUP(F180,'G-7 Rivers Data'!$C$4:$D$8,2,FALSE),"")</f>
        <v/>
      </c>
      <c r="H180" s="145"/>
      <c r="I180" s="499" t="str">
        <f>IFERROR(INDEX('G-7 Rivers Data'!$H$4:$L$8,MATCH(D180,'G-7 Rivers Data'!$B$4:$B$8,0),MATCH(H180,'G-7 Rivers Data'!$H$3:$L$3,0)),"")</f>
        <v/>
      </c>
      <c r="J180" s="418"/>
      <c r="K180" s="498" t="str">
        <f>IF(J180="","",IF(VLOOKUP(J180,'G-7 Rivers Data'!$AK$4:$AM$9,2,FALSE)=0,"Spatial Data Missing ⚠",VLOOKUP(J180,'G-7 Rivers Data'!$AK$4:$AM$9,2,FALSE)))</f>
        <v/>
      </c>
      <c r="L180" s="505" t="str">
        <f>IF(J180="","",IF(VLOOKUP(J180,'G-7 Rivers Data'!$AK$4:$AM$9,3,FALSE)=0,"Spatial Data Missing ⚠",VLOOKUP(J180,'G-7 Rivers Data'!$AK$4:$AM$9,3,FALSE)))</f>
        <v/>
      </c>
      <c r="M180" s="71"/>
      <c r="N180" s="499" t="str">
        <f>IF(M180="","",IF(VLOOKUP(M180,'G-7 Rivers Data'!$AA$4:$AB$7,2,FALSE)=0,"Spatial Data Missing ⚠",VLOOKUP(M180,'G-7 Rivers Data'!$AA$4:$AB$7,2,FALSE)))</f>
        <v/>
      </c>
      <c r="O180" s="155"/>
      <c r="P180" s="499" t="str">
        <f>IF(O180="","",IF(VLOOKUP(O180,'G-7 Rivers Data'!$AD$4:$AE$8,2,FALSE)=0,"Spatial Data Missing ⚠",VLOOKUP(O180,'G-7 Rivers Data'!$AD$4:$AE$8,2,FALSE)))</f>
        <v/>
      </c>
      <c r="Q180" s="506" t="str">
        <f>IF(D180="","",VLOOKUP(D180,'G-7 Rivers Data'!$B$2:$G$8,6,FALSE))</f>
        <v/>
      </c>
      <c r="R180" s="513" t="str">
        <f t="shared" si="16"/>
        <v/>
      </c>
      <c r="S180" s="40"/>
      <c r="T180" s="145"/>
      <c r="U180" s="157"/>
      <c r="V180" s="511" t="str">
        <f t="shared" si="17"/>
        <v/>
      </c>
      <c r="W180" s="511" t="str">
        <f t="shared" si="18"/>
        <v/>
      </c>
      <c r="X180" s="511" t="str">
        <f t="shared" si="19"/>
        <v/>
      </c>
      <c r="Y180" s="515" t="str">
        <f t="shared" si="20"/>
        <v/>
      </c>
      <c r="Z180" s="151"/>
      <c r="AA180" s="152"/>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c r="AP180" s="31" t="str">
        <f>IFERROR(INDEX('G-7 Rivers Data'!$AZ$3:$AZ$7,MATCH(D180,'G-7 Rivers Data'!$AY$3:$AY$7,0)),"")</f>
        <v/>
      </c>
    </row>
    <row r="181" spans="3:42" ht="13.8" x14ac:dyDescent="0.25">
      <c r="C181" s="141">
        <v>172</v>
      </c>
      <c r="D181" s="460"/>
      <c r="E181" s="172"/>
      <c r="F181" s="498" t="str">
        <f>IF(D181="","",VLOOKUP(D181,'G-7 Rivers Data'!$B$2:$G$8,2,FALSE))</f>
        <v/>
      </c>
      <c r="G181" s="499" t="str">
        <f>IFERROR(VLOOKUP(F181,'G-7 Rivers Data'!$C$4:$D$8,2,FALSE),"")</f>
        <v/>
      </c>
      <c r="H181" s="145"/>
      <c r="I181" s="499" t="str">
        <f>IFERROR(INDEX('G-7 Rivers Data'!$H$4:$L$8,MATCH(D181,'G-7 Rivers Data'!$B$4:$B$8,0),MATCH(H181,'G-7 Rivers Data'!$H$3:$L$3,0)),"")</f>
        <v/>
      </c>
      <c r="J181" s="418"/>
      <c r="K181" s="498" t="str">
        <f>IF(J181="","",IF(VLOOKUP(J181,'G-7 Rivers Data'!$AK$4:$AM$9,2,FALSE)=0,"Spatial Data Missing ⚠",VLOOKUP(J181,'G-7 Rivers Data'!$AK$4:$AM$9,2,FALSE)))</f>
        <v/>
      </c>
      <c r="L181" s="505" t="str">
        <f>IF(J181="","",IF(VLOOKUP(J181,'G-7 Rivers Data'!$AK$4:$AM$9,3,FALSE)=0,"Spatial Data Missing ⚠",VLOOKUP(J181,'G-7 Rivers Data'!$AK$4:$AM$9,3,FALSE)))</f>
        <v/>
      </c>
      <c r="M181" s="71"/>
      <c r="N181" s="499" t="str">
        <f>IF(M181="","",IF(VLOOKUP(M181,'G-7 Rivers Data'!$AA$4:$AB$7,2,FALSE)=0,"Spatial Data Missing ⚠",VLOOKUP(M181,'G-7 Rivers Data'!$AA$4:$AB$7,2,FALSE)))</f>
        <v/>
      </c>
      <c r="O181" s="155"/>
      <c r="P181" s="499" t="str">
        <f>IF(O181="","",IF(VLOOKUP(O181,'G-7 Rivers Data'!$AD$4:$AE$8,2,FALSE)=0,"Spatial Data Missing ⚠",VLOOKUP(O181,'G-7 Rivers Data'!$AD$4:$AE$8,2,FALSE)))</f>
        <v/>
      </c>
      <c r="Q181" s="506" t="str">
        <f>IF(D181="","",VLOOKUP(D181,'G-7 Rivers Data'!$B$2:$G$8,6,FALSE))</f>
        <v/>
      </c>
      <c r="R181" s="513" t="str">
        <f t="shared" si="16"/>
        <v/>
      </c>
      <c r="S181" s="40"/>
      <c r="T181" s="145"/>
      <c r="U181" s="157"/>
      <c r="V181" s="511" t="str">
        <f t="shared" si="17"/>
        <v/>
      </c>
      <c r="W181" s="511" t="str">
        <f t="shared" si="18"/>
        <v/>
      </c>
      <c r="X181" s="511" t="str">
        <f t="shared" si="19"/>
        <v/>
      </c>
      <c r="Y181" s="515" t="str">
        <f t="shared" si="20"/>
        <v/>
      </c>
      <c r="Z181" s="151"/>
      <c r="AA181" s="152"/>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c r="AP181" s="31" t="str">
        <f>IFERROR(INDEX('G-7 Rivers Data'!$AZ$3:$AZ$7,MATCH(D181,'G-7 Rivers Data'!$AY$3:$AY$7,0)),"")</f>
        <v/>
      </c>
    </row>
    <row r="182" spans="3:42" ht="13.8" x14ac:dyDescent="0.25">
      <c r="C182" s="141">
        <v>173</v>
      </c>
      <c r="D182" s="460"/>
      <c r="E182" s="172"/>
      <c r="F182" s="498" t="str">
        <f>IF(D182="","",VLOOKUP(D182,'G-7 Rivers Data'!$B$2:$G$8,2,FALSE))</f>
        <v/>
      </c>
      <c r="G182" s="499" t="str">
        <f>IFERROR(VLOOKUP(F182,'G-7 Rivers Data'!$C$4:$D$8,2,FALSE),"")</f>
        <v/>
      </c>
      <c r="H182" s="145"/>
      <c r="I182" s="499" t="str">
        <f>IFERROR(INDEX('G-7 Rivers Data'!$H$4:$L$8,MATCH(D182,'G-7 Rivers Data'!$B$4:$B$8,0),MATCH(H182,'G-7 Rivers Data'!$H$3:$L$3,0)),"")</f>
        <v/>
      </c>
      <c r="J182" s="418"/>
      <c r="K182" s="498" t="str">
        <f>IF(J182="","",IF(VLOOKUP(J182,'G-7 Rivers Data'!$AK$4:$AM$9,2,FALSE)=0,"Spatial Data Missing ⚠",VLOOKUP(J182,'G-7 Rivers Data'!$AK$4:$AM$9,2,FALSE)))</f>
        <v/>
      </c>
      <c r="L182" s="505" t="str">
        <f>IF(J182="","",IF(VLOOKUP(J182,'G-7 Rivers Data'!$AK$4:$AM$9,3,FALSE)=0,"Spatial Data Missing ⚠",VLOOKUP(J182,'G-7 Rivers Data'!$AK$4:$AM$9,3,FALSE)))</f>
        <v/>
      </c>
      <c r="M182" s="71"/>
      <c r="N182" s="499" t="str">
        <f>IF(M182="","",IF(VLOOKUP(M182,'G-7 Rivers Data'!$AA$4:$AB$7,2,FALSE)=0,"Spatial Data Missing ⚠",VLOOKUP(M182,'G-7 Rivers Data'!$AA$4:$AB$7,2,FALSE)))</f>
        <v/>
      </c>
      <c r="O182" s="155"/>
      <c r="P182" s="499" t="str">
        <f>IF(O182="","",IF(VLOOKUP(O182,'G-7 Rivers Data'!$AD$4:$AE$8,2,FALSE)=0,"Spatial Data Missing ⚠",VLOOKUP(O182,'G-7 Rivers Data'!$AD$4:$AE$8,2,FALSE)))</f>
        <v/>
      </c>
      <c r="Q182" s="506" t="str">
        <f>IF(D182="","",VLOOKUP(D182,'G-7 Rivers Data'!$B$2:$G$8,6,FALSE))</f>
        <v/>
      </c>
      <c r="R182" s="513" t="str">
        <f t="shared" si="16"/>
        <v/>
      </c>
      <c r="S182" s="40"/>
      <c r="T182" s="145"/>
      <c r="U182" s="157"/>
      <c r="V182" s="511" t="str">
        <f t="shared" si="17"/>
        <v/>
      </c>
      <c r="W182" s="511" t="str">
        <f t="shared" si="18"/>
        <v/>
      </c>
      <c r="X182" s="511" t="str">
        <f t="shared" si="19"/>
        <v/>
      </c>
      <c r="Y182" s="515" t="str">
        <f t="shared" si="20"/>
        <v/>
      </c>
      <c r="Z182" s="151"/>
      <c r="AA182" s="152"/>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c r="AP182" s="31" t="str">
        <f>IFERROR(INDEX('G-7 Rivers Data'!$AZ$3:$AZ$7,MATCH(D182,'G-7 Rivers Data'!$AY$3:$AY$7,0)),"")</f>
        <v/>
      </c>
    </row>
    <row r="183" spans="3:42" ht="13.8" x14ac:dyDescent="0.25">
      <c r="C183" s="141">
        <v>174</v>
      </c>
      <c r="D183" s="460"/>
      <c r="E183" s="172"/>
      <c r="F183" s="498" t="str">
        <f>IF(D183="","",VLOOKUP(D183,'G-7 Rivers Data'!$B$2:$G$8,2,FALSE))</f>
        <v/>
      </c>
      <c r="G183" s="499" t="str">
        <f>IFERROR(VLOOKUP(F183,'G-7 Rivers Data'!$C$4:$D$8,2,FALSE),"")</f>
        <v/>
      </c>
      <c r="H183" s="145"/>
      <c r="I183" s="499" t="str">
        <f>IFERROR(INDEX('G-7 Rivers Data'!$H$4:$L$8,MATCH(D183,'G-7 Rivers Data'!$B$4:$B$8,0),MATCH(H183,'G-7 Rivers Data'!$H$3:$L$3,0)),"")</f>
        <v/>
      </c>
      <c r="J183" s="418"/>
      <c r="K183" s="498" t="str">
        <f>IF(J183="","",IF(VLOOKUP(J183,'G-7 Rivers Data'!$AK$4:$AM$9,2,FALSE)=0,"Spatial Data Missing ⚠",VLOOKUP(J183,'G-7 Rivers Data'!$AK$4:$AM$9,2,FALSE)))</f>
        <v/>
      </c>
      <c r="L183" s="505" t="str">
        <f>IF(J183="","",IF(VLOOKUP(J183,'G-7 Rivers Data'!$AK$4:$AM$9,3,FALSE)=0,"Spatial Data Missing ⚠",VLOOKUP(J183,'G-7 Rivers Data'!$AK$4:$AM$9,3,FALSE)))</f>
        <v/>
      </c>
      <c r="M183" s="71"/>
      <c r="N183" s="499" t="str">
        <f>IF(M183="","",IF(VLOOKUP(M183,'G-7 Rivers Data'!$AA$4:$AB$7,2,FALSE)=0,"Spatial Data Missing ⚠",VLOOKUP(M183,'G-7 Rivers Data'!$AA$4:$AB$7,2,FALSE)))</f>
        <v/>
      </c>
      <c r="O183" s="155"/>
      <c r="P183" s="499" t="str">
        <f>IF(O183="","",IF(VLOOKUP(O183,'G-7 Rivers Data'!$AD$4:$AE$8,2,FALSE)=0,"Spatial Data Missing ⚠",VLOOKUP(O183,'G-7 Rivers Data'!$AD$4:$AE$8,2,FALSE)))</f>
        <v/>
      </c>
      <c r="Q183" s="506" t="str">
        <f>IF(D183="","",VLOOKUP(D183,'G-7 Rivers Data'!$B$2:$G$8,6,FALSE))</f>
        <v/>
      </c>
      <c r="R183" s="513" t="str">
        <f t="shared" si="16"/>
        <v/>
      </c>
      <c r="S183" s="40"/>
      <c r="T183" s="145"/>
      <c r="U183" s="157"/>
      <c r="V183" s="511" t="str">
        <f t="shared" si="17"/>
        <v/>
      </c>
      <c r="W183" s="511" t="str">
        <f t="shared" si="18"/>
        <v/>
      </c>
      <c r="X183" s="511" t="str">
        <f t="shared" si="19"/>
        <v/>
      </c>
      <c r="Y183" s="515" t="str">
        <f t="shared" si="20"/>
        <v/>
      </c>
      <c r="Z183" s="151"/>
      <c r="AA183" s="152"/>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c r="AP183" s="31" t="str">
        <f>IFERROR(INDEX('G-7 Rivers Data'!$AZ$3:$AZ$7,MATCH(D183,'G-7 Rivers Data'!$AY$3:$AY$7,0)),"")</f>
        <v/>
      </c>
    </row>
    <row r="184" spans="3:42" ht="13.8" x14ac:dyDescent="0.25">
      <c r="C184" s="141">
        <v>175</v>
      </c>
      <c r="D184" s="460"/>
      <c r="E184" s="172"/>
      <c r="F184" s="498" t="str">
        <f>IF(D184="","",VLOOKUP(D184,'G-7 Rivers Data'!$B$2:$G$8,2,FALSE))</f>
        <v/>
      </c>
      <c r="G184" s="499" t="str">
        <f>IFERROR(VLOOKUP(F184,'G-7 Rivers Data'!$C$4:$D$8,2,FALSE),"")</f>
        <v/>
      </c>
      <c r="H184" s="145"/>
      <c r="I184" s="499" t="str">
        <f>IFERROR(INDEX('G-7 Rivers Data'!$H$4:$L$8,MATCH(D184,'G-7 Rivers Data'!$B$4:$B$8,0),MATCH(H184,'G-7 Rivers Data'!$H$3:$L$3,0)),"")</f>
        <v/>
      </c>
      <c r="J184" s="418"/>
      <c r="K184" s="498" t="str">
        <f>IF(J184="","",IF(VLOOKUP(J184,'G-7 Rivers Data'!$AK$4:$AM$9,2,FALSE)=0,"Spatial Data Missing ⚠",VLOOKUP(J184,'G-7 Rivers Data'!$AK$4:$AM$9,2,FALSE)))</f>
        <v/>
      </c>
      <c r="L184" s="505" t="str">
        <f>IF(J184="","",IF(VLOOKUP(J184,'G-7 Rivers Data'!$AK$4:$AM$9,3,FALSE)=0,"Spatial Data Missing ⚠",VLOOKUP(J184,'G-7 Rivers Data'!$AK$4:$AM$9,3,FALSE)))</f>
        <v/>
      </c>
      <c r="M184" s="71"/>
      <c r="N184" s="499" t="str">
        <f>IF(M184="","",IF(VLOOKUP(M184,'G-7 Rivers Data'!$AA$4:$AB$7,2,FALSE)=0,"Spatial Data Missing ⚠",VLOOKUP(M184,'G-7 Rivers Data'!$AA$4:$AB$7,2,FALSE)))</f>
        <v/>
      </c>
      <c r="O184" s="155"/>
      <c r="P184" s="499" t="str">
        <f>IF(O184="","",IF(VLOOKUP(O184,'G-7 Rivers Data'!$AD$4:$AE$8,2,FALSE)=0,"Spatial Data Missing ⚠",VLOOKUP(O184,'G-7 Rivers Data'!$AD$4:$AE$8,2,FALSE)))</f>
        <v/>
      </c>
      <c r="Q184" s="506" t="str">
        <f>IF(D184="","",VLOOKUP(D184,'G-7 Rivers Data'!$B$2:$G$8,6,FALSE))</f>
        <v/>
      </c>
      <c r="R184" s="513" t="str">
        <f t="shared" si="16"/>
        <v/>
      </c>
      <c r="S184" s="40"/>
      <c r="T184" s="145"/>
      <c r="U184" s="157"/>
      <c r="V184" s="511" t="str">
        <f t="shared" si="17"/>
        <v/>
      </c>
      <c r="W184" s="511" t="str">
        <f t="shared" si="18"/>
        <v/>
      </c>
      <c r="X184" s="511" t="str">
        <f t="shared" si="19"/>
        <v/>
      </c>
      <c r="Y184" s="515" t="str">
        <f t="shared" si="20"/>
        <v/>
      </c>
      <c r="Z184" s="151"/>
      <c r="AA184" s="152"/>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c r="AP184" s="31" t="str">
        <f>IFERROR(INDEX('G-7 Rivers Data'!$AZ$3:$AZ$7,MATCH(D184,'G-7 Rivers Data'!$AY$3:$AY$7,0)),"")</f>
        <v/>
      </c>
    </row>
    <row r="185" spans="3:42" ht="13.8" x14ac:dyDescent="0.25">
      <c r="C185" s="141">
        <v>176</v>
      </c>
      <c r="D185" s="460"/>
      <c r="E185" s="172"/>
      <c r="F185" s="498" t="str">
        <f>IF(D185="","",VLOOKUP(D185,'G-7 Rivers Data'!$B$2:$G$8,2,FALSE))</f>
        <v/>
      </c>
      <c r="G185" s="499" t="str">
        <f>IFERROR(VLOOKUP(F185,'G-7 Rivers Data'!$C$4:$D$8,2,FALSE),"")</f>
        <v/>
      </c>
      <c r="H185" s="145"/>
      <c r="I185" s="499" t="str">
        <f>IFERROR(INDEX('G-7 Rivers Data'!$H$4:$L$8,MATCH(D185,'G-7 Rivers Data'!$B$4:$B$8,0),MATCH(H185,'G-7 Rivers Data'!$H$3:$L$3,0)),"")</f>
        <v/>
      </c>
      <c r="J185" s="418"/>
      <c r="K185" s="498" t="str">
        <f>IF(J185="","",IF(VLOOKUP(J185,'G-7 Rivers Data'!$AK$4:$AM$9,2,FALSE)=0,"Spatial Data Missing ⚠",VLOOKUP(J185,'G-7 Rivers Data'!$AK$4:$AM$9,2,FALSE)))</f>
        <v/>
      </c>
      <c r="L185" s="505" t="str">
        <f>IF(J185="","",IF(VLOOKUP(J185,'G-7 Rivers Data'!$AK$4:$AM$9,3,FALSE)=0,"Spatial Data Missing ⚠",VLOOKUP(J185,'G-7 Rivers Data'!$AK$4:$AM$9,3,FALSE)))</f>
        <v/>
      </c>
      <c r="M185" s="71"/>
      <c r="N185" s="499" t="str">
        <f>IF(M185="","",IF(VLOOKUP(M185,'G-7 Rivers Data'!$AA$4:$AB$7,2,FALSE)=0,"Spatial Data Missing ⚠",VLOOKUP(M185,'G-7 Rivers Data'!$AA$4:$AB$7,2,FALSE)))</f>
        <v/>
      </c>
      <c r="O185" s="155"/>
      <c r="P185" s="499" t="str">
        <f>IF(O185="","",IF(VLOOKUP(O185,'G-7 Rivers Data'!$AD$4:$AE$8,2,FALSE)=0,"Spatial Data Missing ⚠",VLOOKUP(O185,'G-7 Rivers Data'!$AD$4:$AE$8,2,FALSE)))</f>
        <v/>
      </c>
      <c r="Q185" s="506" t="str">
        <f>IF(D185="","",VLOOKUP(D185,'G-7 Rivers Data'!$B$2:$G$8,6,FALSE))</f>
        <v/>
      </c>
      <c r="R185" s="513" t="str">
        <f t="shared" si="16"/>
        <v/>
      </c>
      <c r="S185" s="40"/>
      <c r="T185" s="145"/>
      <c r="U185" s="157"/>
      <c r="V185" s="511" t="str">
        <f t="shared" si="17"/>
        <v/>
      </c>
      <c r="W185" s="511" t="str">
        <f t="shared" si="18"/>
        <v/>
      </c>
      <c r="X185" s="511" t="str">
        <f t="shared" si="19"/>
        <v/>
      </c>
      <c r="Y185" s="515" t="str">
        <f t="shared" si="20"/>
        <v/>
      </c>
      <c r="Z185" s="151"/>
      <c r="AA185" s="152"/>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c r="AP185" s="31" t="str">
        <f>IFERROR(INDEX('G-7 Rivers Data'!$AZ$3:$AZ$7,MATCH(D185,'G-7 Rivers Data'!$AY$3:$AY$7,0)),"")</f>
        <v/>
      </c>
    </row>
    <row r="186" spans="3:42" ht="13.8" x14ac:dyDescent="0.25">
      <c r="C186" s="141">
        <v>177</v>
      </c>
      <c r="D186" s="460"/>
      <c r="E186" s="172"/>
      <c r="F186" s="498" t="str">
        <f>IF(D186="","",VLOOKUP(D186,'G-7 Rivers Data'!$B$2:$G$8,2,FALSE))</f>
        <v/>
      </c>
      <c r="G186" s="499" t="str">
        <f>IFERROR(VLOOKUP(F186,'G-7 Rivers Data'!$C$4:$D$8,2,FALSE),"")</f>
        <v/>
      </c>
      <c r="H186" s="145"/>
      <c r="I186" s="499" t="str">
        <f>IFERROR(INDEX('G-7 Rivers Data'!$H$4:$L$8,MATCH(D186,'G-7 Rivers Data'!$B$4:$B$8,0),MATCH(H186,'G-7 Rivers Data'!$H$3:$L$3,0)),"")</f>
        <v/>
      </c>
      <c r="J186" s="418"/>
      <c r="K186" s="498" t="str">
        <f>IF(J186="","",IF(VLOOKUP(J186,'G-7 Rivers Data'!$AK$4:$AM$9,2,FALSE)=0,"Spatial Data Missing ⚠",VLOOKUP(J186,'G-7 Rivers Data'!$AK$4:$AM$9,2,FALSE)))</f>
        <v/>
      </c>
      <c r="L186" s="505" t="str">
        <f>IF(J186="","",IF(VLOOKUP(J186,'G-7 Rivers Data'!$AK$4:$AM$9,3,FALSE)=0,"Spatial Data Missing ⚠",VLOOKUP(J186,'G-7 Rivers Data'!$AK$4:$AM$9,3,FALSE)))</f>
        <v/>
      </c>
      <c r="M186" s="71"/>
      <c r="N186" s="499" t="str">
        <f>IF(M186="","",IF(VLOOKUP(M186,'G-7 Rivers Data'!$AA$4:$AB$7,2,FALSE)=0,"Spatial Data Missing ⚠",VLOOKUP(M186,'G-7 Rivers Data'!$AA$4:$AB$7,2,FALSE)))</f>
        <v/>
      </c>
      <c r="O186" s="155"/>
      <c r="P186" s="499" t="str">
        <f>IF(O186="","",IF(VLOOKUP(O186,'G-7 Rivers Data'!$AD$4:$AE$8,2,FALSE)=0,"Spatial Data Missing ⚠",VLOOKUP(O186,'G-7 Rivers Data'!$AD$4:$AE$8,2,FALSE)))</f>
        <v/>
      </c>
      <c r="Q186" s="506" t="str">
        <f>IF(D186="","",VLOOKUP(D186,'G-7 Rivers Data'!$B$2:$G$8,6,FALSE))</f>
        <v/>
      </c>
      <c r="R186" s="513" t="str">
        <f t="shared" si="16"/>
        <v/>
      </c>
      <c r="S186" s="40"/>
      <c r="T186" s="145"/>
      <c r="U186" s="157"/>
      <c r="V186" s="511" t="str">
        <f t="shared" si="17"/>
        <v/>
      </c>
      <c r="W186" s="511" t="str">
        <f t="shared" si="18"/>
        <v/>
      </c>
      <c r="X186" s="511" t="str">
        <f t="shared" si="19"/>
        <v/>
      </c>
      <c r="Y186" s="515" t="str">
        <f t="shared" si="20"/>
        <v/>
      </c>
      <c r="Z186" s="151"/>
      <c r="AA186" s="152"/>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c r="AP186" s="31" t="str">
        <f>IFERROR(INDEX('G-7 Rivers Data'!$AZ$3:$AZ$7,MATCH(D186,'G-7 Rivers Data'!$AY$3:$AY$7,0)),"")</f>
        <v/>
      </c>
    </row>
    <row r="187" spans="3:42" ht="13.8" x14ac:dyDescent="0.25">
      <c r="C187" s="141">
        <v>178</v>
      </c>
      <c r="D187" s="460"/>
      <c r="E187" s="172"/>
      <c r="F187" s="498" t="str">
        <f>IF(D187="","",VLOOKUP(D187,'G-7 Rivers Data'!$B$2:$G$8,2,FALSE))</f>
        <v/>
      </c>
      <c r="G187" s="499" t="str">
        <f>IFERROR(VLOOKUP(F187,'G-7 Rivers Data'!$C$4:$D$8,2,FALSE),"")</f>
        <v/>
      </c>
      <c r="H187" s="145"/>
      <c r="I187" s="499" t="str">
        <f>IFERROR(INDEX('G-7 Rivers Data'!$H$4:$L$8,MATCH(D187,'G-7 Rivers Data'!$B$4:$B$8,0),MATCH(H187,'G-7 Rivers Data'!$H$3:$L$3,0)),"")</f>
        <v/>
      </c>
      <c r="J187" s="418"/>
      <c r="K187" s="498" t="str">
        <f>IF(J187="","",IF(VLOOKUP(J187,'G-7 Rivers Data'!$AK$4:$AM$9,2,FALSE)=0,"Spatial Data Missing ⚠",VLOOKUP(J187,'G-7 Rivers Data'!$AK$4:$AM$9,2,FALSE)))</f>
        <v/>
      </c>
      <c r="L187" s="505" t="str">
        <f>IF(J187="","",IF(VLOOKUP(J187,'G-7 Rivers Data'!$AK$4:$AM$9,3,FALSE)=0,"Spatial Data Missing ⚠",VLOOKUP(J187,'G-7 Rivers Data'!$AK$4:$AM$9,3,FALSE)))</f>
        <v/>
      </c>
      <c r="M187" s="71"/>
      <c r="N187" s="499" t="str">
        <f>IF(M187="","",IF(VLOOKUP(M187,'G-7 Rivers Data'!$AA$4:$AB$7,2,FALSE)=0,"Spatial Data Missing ⚠",VLOOKUP(M187,'G-7 Rivers Data'!$AA$4:$AB$7,2,FALSE)))</f>
        <v/>
      </c>
      <c r="O187" s="155"/>
      <c r="P187" s="499" t="str">
        <f>IF(O187="","",IF(VLOOKUP(O187,'G-7 Rivers Data'!$AD$4:$AE$8,2,FALSE)=0,"Spatial Data Missing ⚠",VLOOKUP(O187,'G-7 Rivers Data'!$AD$4:$AE$8,2,FALSE)))</f>
        <v/>
      </c>
      <c r="Q187" s="506" t="str">
        <f>IF(D187="","",VLOOKUP(D187,'G-7 Rivers Data'!$B$2:$G$8,6,FALSE))</f>
        <v/>
      </c>
      <c r="R187" s="513" t="str">
        <f t="shared" si="16"/>
        <v/>
      </c>
      <c r="S187" s="40"/>
      <c r="T187" s="145"/>
      <c r="U187" s="157"/>
      <c r="V187" s="511" t="str">
        <f t="shared" si="17"/>
        <v/>
      </c>
      <c r="W187" s="511" t="str">
        <f t="shared" si="18"/>
        <v/>
      </c>
      <c r="X187" s="511" t="str">
        <f t="shared" si="19"/>
        <v/>
      </c>
      <c r="Y187" s="515" t="str">
        <f t="shared" si="20"/>
        <v/>
      </c>
      <c r="Z187" s="151"/>
      <c r="AA187" s="152"/>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c r="AP187" s="31" t="str">
        <f>IFERROR(INDEX('G-7 Rivers Data'!$AZ$3:$AZ$7,MATCH(D187,'G-7 Rivers Data'!$AY$3:$AY$7,0)),"")</f>
        <v/>
      </c>
    </row>
    <row r="188" spans="3:42" ht="13.8" x14ac:dyDescent="0.25">
      <c r="C188" s="141">
        <v>179</v>
      </c>
      <c r="D188" s="460"/>
      <c r="E188" s="172"/>
      <c r="F188" s="498" t="str">
        <f>IF(D188="","",VLOOKUP(D188,'G-7 Rivers Data'!$B$2:$G$8,2,FALSE))</f>
        <v/>
      </c>
      <c r="G188" s="499" t="str">
        <f>IFERROR(VLOOKUP(F188,'G-7 Rivers Data'!$C$4:$D$8,2,FALSE),"")</f>
        <v/>
      </c>
      <c r="H188" s="145"/>
      <c r="I188" s="499" t="str">
        <f>IFERROR(INDEX('G-7 Rivers Data'!$H$4:$L$8,MATCH(D188,'G-7 Rivers Data'!$B$4:$B$8,0),MATCH(H188,'G-7 Rivers Data'!$H$3:$L$3,0)),"")</f>
        <v/>
      </c>
      <c r="J188" s="418"/>
      <c r="K188" s="498" t="str">
        <f>IF(J188="","",IF(VLOOKUP(J188,'G-7 Rivers Data'!$AK$4:$AM$9,2,FALSE)=0,"Spatial Data Missing ⚠",VLOOKUP(J188,'G-7 Rivers Data'!$AK$4:$AM$9,2,FALSE)))</f>
        <v/>
      </c>
      <c r="L188" s="505" t="str">
        <f>IF(J188="","",IF(VLOOKUP(J188,'G-7 Rivers Data'!$AK$4:$AM$9,3,FALSE)=0,"Spatial Data Missing ⚠",VLOOKUP(J188,'G-7 Rivers Data'!$AK$4:$AM$9,3,FALSE)))</f>
        <v/>
      </c>
      <c r="M188" s="71"/>
      <c r="N188" s="499" t="str">
        <f>IF(M188="","",IF(VLOOKUP(M188,'G-7 Rivers Data'!$AA$4:$AB$7,2,FALSE)=0,"Spatial Data Missing ⚠",VLOOKUP(M188,'G-7 Rivers Data'!$AA$4:$AB$7,2,FALSE)))</f>
        <v/>
      </c>
      <c r="O188" s="155"/>
      <c r="P188" s="499" t="str">
        <f>IF(O188="","",IF(VLOOKUP(O188,'G-7 Rivers Data'!$AD$4:$AE$8,2,FALSE)=0,"Spatial Data Missing ⚠",VLOOKUP(O188,'G-7 Rivers Data'!$AD$4:$AE$8,2,FALSE)))</f>
        <v/>
      </c>
      <c r="Q188" s="506" t="str">
        <f>IF(D188="","",VLOOKUP(D188,'G-7 Rivers Data'!$B$2:$G$8,6,FALSE))</f>
        <v/>
      </c>
      <c r="R188" s="513" t="str">
        <f t="shared" si="16"/>
        <v/>
      </c>
      <c r="S188" s="40"/>
      <c r="T188" s="145"/>
      <c r="U188" s="157"/>
      <c r="V188" s="511" t="str">
        <f t="shared" si="17"/>
        <v/>
      </c>
      <c r="W188" s="511" t="str">
        <f t="shared" si="18"/>
        <v/>
      </c>
      <c r="X188" s="511" t="str">
        <f t="shared" si="19"/>
        <v/>
      </c>
      <c r="Y188" s="515" t="str">
        <f t="shared" si="20"/>
        <v/>
      </c>
      <c r="Z188" s="151"/>
      <c r="AA188" s="152"/>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c r="AP188" s="31" t="str">
        <f>IFERROR(INDEX('G-7 Rivers Data'!$AZ$3:$AZ$7,MATCH(D188,'G-7 Rivers Data'!$AY$3:$AY$7,0)),"")</f>
        <v/>
      </c>
    </row>
    <row r="189" spans="3:42" ht="13.8" x14ac:dyDescent="0.25">
      <c r="C189" s="141">
        <v>180</v>
      </c>
      <c r="D189" s="460"/>
      <c r="E189" s="172"/>
      <c r="F189" s="498" t="str">
        <f>IF(D189="","",VLOOKUP(D189,'G-7 Rivers Data'!$B$2:$G$8,2,FALSE))</f>
        <v/>
      </c>
      <c r="G189" s="499" t="str">
        <f>IFERROR(VLOOKUP(F189,'G-7 Rivers Data'!$C$4:$D$8,2,FALSE),"")</f>
        <v/>
      </c>
      <c r="H189" s="145"/>
      <c r="I189" s="499" t="str">
        <f>IFERROR(INDEX('G-7 Rivers Data'!$H$4:$L$8,MATCH(D189,'G-7 Rivers Data'!$B$4:$B$8,0),MATCH(H189,'G-7 Rivers Data'!$H$3:$L$3,0)),"")</f>
        <v/>
      </c>
      <c r="J189" s="418"/>
      <c r="K189" s="498" t="str">
        <f>IF(J189="","",IF(VLOOKUP(J189,'G-7 Rivers Data'!$AK$4:$AM$9,2,FALSE)=0,"Spatial Data Missing ⚠",VLOOKUP(J189,'G-7 Rivers Data'!$AK$4:$AM$9,2,FALSE)))</f>
        <v/>
      </c>
      <c r="L189" s="505" t="str">
        <f>IF(J189="","",IF(VLOOKUP(J189,'G-7 Rivers Data'!$AK$4:$AM$9,3,FALSE)=0,"Spatial Data Missing ⚠",VLOOKUP(J189,'G-7 Rivers Data'!$AK$4:$AM$9,3,FALSE)))</f>
        <v/>
      </c>
      <c r="M189" s="71"/>
      <c r="N189" s="499" t="str">
        <f>IF(M189="","",IF(VLOOKUP(M189,'G-7 Rivers Data'!$AA$4:$AB$7,2,FALSE)=0,"Spatial Data Missing ⚠",VLOOKUP(M189,'G-7 Rivers Data'!$AA$4:$AB$7,2,FALSE)))</f>
        <v/>
      </c>
      <c r="O189" s="155"/>
      <c r="P189" s="499" t="str">
        <f>IF(O189="","",IF(VLOOKUP(O189,'G-7 Rivers Data'!$AD$4:$AE$8,2,FALSE)=0,"Spatial Data Missing ⚠",VLOOKUP(O189,'G-7 Rivers Data'!$AD$4:$AE$8,2,FALSE)))</f>
        <v/>
      </c>
      <c r="Q189" s="506" t="str">
        <f>IF(D189="","",VLOOKUP(D189,'G-7 Rivers Data'!$B$2:$G$8,6,FALSE))</f>
        <v/>
      </c>
      <c r="R189" s="513" t="str">
        <f t="shared" si="16"/>
        <v/>
      </c>
      <c r="S189" s="40"/>
      <c r="T189" s="145"/>
      <c r="U189" s="157"/>
      <c r="V189" s="511" t="str">
        <f t="shared" si="17"/>
        <v/>
      </c>
      <c r="W189" s="511" t="str">
        <f t="shared" si="18"/>
        <v/>
      </c>
      <c r="X189" s="511" t="str">
        <f t="shared" si="19"/>
        <v/>
      </c>
      <c r="Y189" s="515" t="str">
        <f t="shared" si="20"/>
        <v/>
      </c>
      <c r="Z189" s="151"/>
      <c r="AA189" s="152"/>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c r="AP189" s="31" t="str">
        <f>IFERROR(INDEX('G-7 Rivers Data'!$AZ$3:$AZ$7,MATCH(D189,'G-7 Rivers Data'!$AY$3:$AY$7,0)),"")</f>
        <v/>
      </c>
    </row>
    <row r="190" spans="3:42" ht="13.8" x14ac:dyDescent="0.25">
      <c r="C190" s="141">
        <v>181</v>
      </c>
      <c r="D190" s="460"/>
      <c r="E190" s="172"/>
      <c r="F190" s="498" t="str">
        <f>IF(D190="","",VLOOKUP(D190,'G-7 Rivers Data'!$B$2:$G$8,2,FALSE))</f>
        <v/>
      </c>
      <c r="G190" s="499" t="str">
        <f>IFERROR(VLOOKUP(F190,'G-7 Rivers Data'!$C$4:$D$8,2,FALSE),"")</f>
        <v/>
      </c>
      <c r="H190" s="145"/>
      <c r="I190" s="499" t="str">
        <f>IFERROR(INDEX('G-7 Rivers Data'!$H$4:$L$8,MATCH(D190,'G-7 Rivers Data'!$B$4:$B$8,0),MATCH(H190,'G-7 Rivers Data'!$H$3:$L$3,0)),"")</f>
        <v/>
      </c>
      <c r="J190" s="418"/>
      <c r="K190" s="498" t="str">
        <f>IF(J190="","",IF(VLOOKUP(J190,'G-7 Rivers Data'!$AK$4:$AM$9,2,FALSE)=0,"Spatial Data Missing ⚠",VLOOKUP(J190,'G-7 Rivers Data'!$AK$4:$AM$9,2,FALSE)))</f>
        <v/>
      </c>
      <c r="L190" s="505" t="str">
        <f>IF(J190="","",IF(VLOOKUP(J190,'G-7 Rivers Data'!$AK$4:$AM$9,3,FALSE)=0,"Spatial Data Missing ⚠",VLOOKUP(J190,'G-7 Rivers Data'!$AK$4:$AM$9,3,FALSE)))</f>
        <v/>
      </c>
      <c r="M190" s="71"/>
      <c r="N190" s="499" t="str">
        <f>IF(M190="","",IF(VLOOKUP(M190,'G-7 Rivers Data'!$AA$4:$AB$7,2,FALSE)=0,"Spatial Data Missing ⚠",VLOOKUP(M190,'G-7 Rivers Data'!$AA$4:$AB$7,2,FALSE)))</f>
        <v/>
      </c>
      <c r="O190" s="155"/>
      <c r="P190" s="499" t="str">
        <f>IF(O190="","",IF(VLOOKUP(O190,'G-7 Rivers Data'!$AD$4:$AE$8,2,FALSE)=0,"Spatial Data Missing ⚠",VLOOKUP(O190,'G-7 Rivers Data'!$AD$4:$AE$8,2,FALSE)))</f>
        <v/>
      </c>
      <c r="Q190" s="506" t="str">
        <f>IF(D190="","",VLOOKUP(D190,'G-7 Rivers Data'!$B$2:$G$8,6,FALSE))</f>
        <v/>
      </c>
      <c r="R190" s="513" t="str">
        <f t="shared" si="16"/>
        <v/>
      </c>
      <c r="S190" s="40"/>
      <c r="T190" s="145"/>
      <c r="U190" s="157"/>
      <c r="V190" s="511" t="str">
        <f t="shared" si="17"/>
        <v/>
      </c>
      <c r="W190" s="511" t="str">
        <f t="shared" si="18"/>
        <v/>
      </c>
      <c r="X190" s="511" t="str">
        <f t="shared" si="19"/>
        <v/>
      </c>
      <c r="Y190" s="515" t="str">
        <f t="shared" si="20"/>
        <v/>
      </c>
      <c r="Z190" s="151"/>
      <c r="AA190" s="152"/>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c r="AP190" s="31" t="str">
        <f>IFERROR(INDEX('G-7 Rivers Data'!$AZ$3:$AZ$7,MATCH(D190,'G-7 Rivers Data'!$AY$3:$AY$7,0)),"")</f>
        <v/>
      </c>
    </row>
    <row r="191" spans="3:42" ht="13.8" x14ac:dyDescent="0.25">
      <c r="C191" s="141">
        <v>182</v>
      </c>
      <c r="D191" s="460"/>
      <c r="E191" s="172"/>
      <c r="F191" s="498" t="str">
        <f>IF(D191="","",VLOOKUP(D191,'G-7 Rivers Data'!$B$2:$G$8,2,FALSE))</f>
        <v/>
      </c>
      <c r="G191" s="499" t="str">
        <f>IFERROR(VLOOKUP(F191,'G-7 Rivers Data'!$C$4:$D$8,2,FALSE),"")</f>
        <v/>
      </c>
      <c r="H191" s="145"/>
      <c r="I191" s="499" t="str">
        <f>IFERROR(INDEX('G-7 Rivers Data'!$H$4:$L$8,MATCH(D191,'G-7 Rivers Data'!$B$4:$B$8,0),MATCH(H191,'G-7 Rivers Data'!$H$3:$L$3,0)),"")</f>
        <v/>
      </c>
      <c r="J191" s="418"/>
      <c r="K191" s="498" t="str">
        <f>IF(J191="","",IF(VLOOKUP(J191,'G-7 Rivers Data'!$AK$4:$AM$9,2,FALSE)=0,"Spatial Data Missing ⚠",VLOOKUP(J191,'G-7 Rivers Data'!$AK$4:$AM$9,2,FALSE)))</f>
        <v/>
      </c>
      <c r="L191" s="505" t="str">
        <f>IF(J191="","",IF(VLOOKUP(J191,'G-7 Rivers Data'!$AK$4:$AM$9,3,FALSE)=0,"Spatial Data Missing ⚠",VLOOKUP(J191,'G-7 Rivers Data'!$AK$4:$AM$9,3,FALSE)))</f>
        <v/>
      </c>
      <c r="M191" s="71"/>
      <c r="N191" s="499" t="str">
        <f>IF(M191="","",IF(VLOOKUP(M191,'G-7 Rivers Data'!$AA$4:$AB$7,2,FALSE)=0,"Spatial Data Missing ⚠",VLOOKUP(M191,'G-7 Rivers Data'!$AA$4:$AB$7,2,FALSE)))</f>
        <v/>
      </c>
      <c r="O191" s="155"/>
      <c r="P191" s="499" t="str">
        <f>IF(O191="","",IF(VLOOKUP(O191,'G-7 Rivers Data'!$AD$4:$AE$8,2,FALSE)=0,"Spatial Data Missing ⚠",VLOOKUP(O191,'G-7 Rivers Data'!$AD$4:$AE$8,2,FALSE)))</f>
        <v/>
      </c>
      <c r="Q191" s="506" t="str">
        <f>IF(D191="","",VLOOKUP(D191,'G-7 Rivers Data'!$B$2:$G$8,6,FALSE))</f>
        <v/>
      </c>
      <c r="R191" s="513" t="str">
        <f t="shared" si="16"/>
        <v/>
      </c>
      <c r="S191" s="40"/>
      <c r="T191" s="145"/>
      <c r="U191" s="157"/>
      <c r="V191" s="511" t="str">
        <f t="shared" si="17"/>
        <v/>
      </c>
      <c r="W191" s="511" t="str">
        <f t="shared" si="18"/>
        <v/>
      </c>
      <c r="X191" s="511" t="str">
        <f t="shared" si="19"/>
        <v/>
      </c>
      <c r="Y191" s="515" t="str">
        <f t="shared" si="20"/>
        <v/>
      </c>
      <c r="Z191" s="151"/>
      <c r="AA191" s="152"/>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c r="AP191" s="31" t="str">
        <f>IFERROR(INDEX('G-7 Rivers Data'!$AZ$3:$AZ$7,MATCH(D191,'G-7 Rivers Data'!$AY$3:$AY$7,0)),"")</f>
        <v/>
      </c>
    </row>
    <row r="192" spans="3:42" ht="13.8" x14ac:dyDescent="0.25">
      <c r="C192" s="141">
        <v>183</v>
      </c>
      <c r="D192" s="460"/>
      <c r="E192" s="172"/>
      <c r="F192" s="498" t="str">
        <f>IF(D192="","",VLOOKUP(D192,'G-7 Rivers Data'!$B$2:$G$8,2,FALSE))</f>
        <v/>
      </c>
      <c r="G192" s="499" t="str">
        <f>IFERROR(VLOOKUP(F192,'G-7 Rivers Data'!$C$4:$D$8,2,FALSE),"")</f>
        <v/>
      </c>
      <c r="H192" s="145"/>
      <c r="I192" s="499" t="str">
        <f>IFERROR(INDEX('G-7 Rivers Data'!$H$4:$L$8,MATCH(D192,'G-7 Rivers Data'!$B$4:$B$8,0),MATCH(H192,'G-7 Rivers Data'!$H$3:$L$3,0)),"")</f>
        <v/>
      </c>
      <c r="J192" s="418"/>
      <c r="K192" s="498" t="str">
        <f>IF(J192="","",IF(VLOOKUP(J192,'G-7 Rivers Data'!$AK$4:$AM$9,2,FALSE)=0,"Spatial Data Missing ⚠",VLOOKUP(J192,'G-7 Rivers Data'!$AK$4:$AM$9,2,FALSE)))</f>
        <v/>
      </c>
      <c r="L192" s="505" t="str">
        <f>IF(J192="","",IF(VLOOKUP(J192,'G-7 Rivers Data'!$AK$4:$AM$9,3,FALSE)=0,"Spatial Data Missing ⚠",VLOOKUP(J192,'G-7 Rivers Data'!$AK$4:$AM$9,3,FALSE)))</f>
        <v/>
      </c>
      <c r="M192" s="71"/>
      <c r="N192" s="499" t="str">
        <f>IF(M192="","",IF(VLOOKUP(M192,'G-7 Rivers Data'!$AA$4:$AB$7,2,FALSE)=0,"Spatial Data Missing ⚠",VLOOKUP(M192,'G-7 Rivers Data'!$AA$4:$AB$7,2,FALSE)))</f>
        <v/>
      </c>
      <c r="O192" s="155"/>
      <c r="P192" s="499" t="str">
        <f>IF(O192="","",IF(VLOOKUP(O192,'G-7 Rivers Data'!$AD$4:$AE$8,2,FALSE)=0,"Spatial Data Missing ⚠",VLOOKUP(O192,'G-7 Rivers Data'!$AD$4:$AE$8,2,FALSE)))</f>
        <v/>
      </c>
      <c r="Q192" s="506" t="str">
        <f>IF(D192="","",VLOOKUP(D192,'G-7 Rivers Data'!$B$2:$G$8,6,FALSE))</f>
        <v/>
      </c>
      <c r="R192" s="513" t="str">
        <f t="shared" si="16"/>
        <v/>
      </c>
      <c r="S192" s="40"/>
      <c r="T192" s="145"/>
      <c r="U192" s="157"/>
      <c r="V192" s="511" t="str">
        <f t="shared" si="17"/>
        <v/>
      </c>
      <c r="W192" s="511" t="str">
        <f t="shared" si="18"/>
        <v/>
      </c>
      <c r="X192" s="511" t="str">
        <f t="shared" si="19"/>
        <v/>
      </c>
      <c r="Y192" s="515" t="str">
        <f t="shared" si="20"/>
        <v/>
      </c>
      <c r="Z192" s="151"/>
      <c r="AA192" s="152"/>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c r="AP192" s="31" t="str">
        <f>IFERROR(INDEX('G-7 Rivers Data'!$AZ$3:$AZ$7,MATCH(D192,'G-7 Rivers Data'!$AY$3:$AY$7,0)),"")</f>
        <v/>
      </c>
    </row>
    <row r="193" spans="3:42" ht="13.8" x14ac:dyDescent="0.25">
      <c r="C193" s="141">
        <v>184</v>
      </c>
      <c r="D193" s="460"/>
      <c r="E193" s="172"/>
      <c r="F193" s="498" t="str">
        <f>IF(D193="","",VLOOKUP(D193,'G-7 Rivers Data'!$B$2:$G$8,2,FALSE))</f>
        <v/>
      </c>
      <c r="G193" s="499" t="str">
        <f>IFERROR(VLOOKUP(F193,'G-7 Rivers Data'!$C$4:$D$8,2,FALSE),"")</f>
        <v/>
      </c>
      <c r="H193" s="145"/>
      <c r="I193" s="499" t="str">
        <f>IFERROR(INDEX('G-7 Rivers Data'!$H$4:$L$8,MATCH(D193,'G-7 Rivers Data'!$B$4:$B$8,0),MATCH(H193,'G-7 Rivers Data'!$H$3:$L$3,0)),"")</f>
        <v/>
      </c>
      <c r="J193" s="418"/>
      <c r="K193" s="498" t="str">
        <f>IF(J193="","",IF(VLOOKUP(J193,'G-7 Rivers Data'!$AK$4:$AM$9,2,FALSE)=0,"Spatial Data Missing ⚠",VLOOKUP(J193,'G-7 Rivers Data'!$AK$4:$AM$9,2,FALSE)))</f>
        <v/>
      </c>
      <c r="L193" s="505" t="str">
        <f>IF(J193="","",IF(VLOOKUP(J193,'G-7 Rivers Data'!$AK$4:$AM$9,3,FALSE)=0,"Spatial Data Missing ⚠",VLOOKUP(J193,'G-7 Rivers Data'!$AK$4:$AM$9,3,FALSE)))</f>
        <v/>
      </c>
      <c r="M193" s="71"/>
      <c r="N193" s="499" t="str">
        <f>IF(M193="","",IF(VLOOKUP(M193,'G-7 Rivers Data'!$AA$4:$AB$7,2,FALSE)=0,"Spatial Data Missing ⚠",VLOOKUP(M193,'G-7 Rivers Data'!$AA$4:$AB$7,2,FALSE)))</f>
        <v/>
      </c>
      <c r="O193" s="155"/>
      <c r="P193" s="499" t="str">
        <f>IF(O193="","",IF(VLOOKUP(O193,'G-7 Rivers Data'!$AD$4:$AE$8,2,FALSE)=0,"Spatial Data Missing ⚠",VLOOKUP(O193,'G-7 Rivers Data'!$AD$4:$AE$8,2,FALSE)))</f>
        <v/>
      </c>
      <c r="Q193" s="506" t="str">
        <f>IF(D193="","",VLOOKUP(D193,'G-7 Rivers Data'!$B$2:$G$8,6,FALSE))</f>
        <v/>
      </c>
      <c r="R193" s="513" t="str">
        <f t="shared" si="16"/>
        <v/>
      </c>
      <c r="S193" s="40"/>
      <c r="T193" s="145"/>
      <c r="U193" s="157"/>
      <c r="V193" s="511" t="str">
        <f t="shared" si="17"/>
        <v/>
      </c>
      <c r="W193" s="511" t="str">
        <f t="shared" si="18"/>
        <v/>
      </c>
      <c r="X193" s="511" t="str">
        <f t="shared" si="19"/>
        <v/>
      </c>
      <c r="Y193" s="515" t="str">
        <f t="shared" si="20"/>
        <v/>
      </c>
      <c r="Z193" s="151"/>
      <c r="AA193" s="152"/>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c r="AP193" s="31" t="str">
        <f>IFERROR(INDEX('G-7 Rivers Data'!$AZ$3:$AZ$7,MATCH(D193,'G-7 Rivers Data'!$AY$3:$AY$7,0)),"")</f>
        <v/>
      </c>
    </row>
    <row r="194" spans="3:42" ht="13.8" x14ac:dyDescent="0.25">
      <c r="C194" s="141">
        <v>185</v>
      </c>
      <c r="D194" s="460"/>
      <c r="E194" s="172"/>
      <c r="F194" s="498" t="str">
        <f>IF(D194="","",VLOOKUP(D194,'G-7 Rivers Data'!$B$2:$G$8,2,FALSE))</f>
        <v/>
      </c>
      <c r="G194" s="499" t="str">
        <f>IFERROR(VLOOKUP(F194,'G-7 Rivers Data'!$C$4:$D$8,2,FALSE),"")</f>
        <v/>
      </c>
      <c r="H194" s="145"/>
      <c r="I194" s="499" t="str">
        <f>IFERROR(INDEX('G-7 Rivers Data'!$H$4:$L$8,MATCH(D194,'G-7 Rivers Data'!$B$4:$B$8,0),MATCH(H194,'G-7 Rivers Data'!$H$3:$L$3,0)),"")</f>
        <v/>
      </c>
      <c r="J194" s="418"/>
      <c r="K194" s="498" t="str">
        <f>IF(J194="","",IF(VLOOKUP(J194,'G-7 Rivers Data'!$AK$4:$AM$9,2,FALSE)=0,"Spatial Data Missing ⚠",VLOOKUP(J194,'G-7 Rivers Data'!$AK$4:$AM$9,2,FALSE)))</f>
        <v/>
      </c>
      <c r="L194" s="505" t="str">
        <f>IF(J194="","",IF(VLOOKUP(J194,'G-7 Rivers Data'!$AK$4:$AM$9,3,FALSE)=0,"Spatial Data Missing ⚠",VLOOKUP(J194,'G-7 Rivers Data'!$AK$4:$AM$9,3,FALSE)))</f>
        <v/>
      </c>
      <c r="M194" s="71"/>
      <c r="N194" s="499" t="str">
        <f>IF(M194="","",IF(VLOOKUP(M194,'G-7 Rivers Data'!$AA$4:$AB$7,2,FALSE)=0,"Spatial Data Missing ⚠",VLOOKUP(M194,'G-7 Rivers Data'!$AA$4:$AB$7,2,FALSE)))</f>
        <v/>
      </c>
      <c r="O194" s="155"/>
      <c r="P194" s="499" t="str">
        <f>IF(O194="","",IF(VLOOKUP(O194,'G-7 Rivers Data'!$AD$4:$AE$8,2,FALSE)=0,"Spatial Data Missing ⚠",VLOOKUP(O194,'G-7 Rivers Data'!$AD$4:$AE$8,2,FALSE)))</f>
        <v/>
      </c>
      <c r="Q194" s="506" t="str">
        <f>IF(D194="","",VLOOKUP(D194,'G-7 Rivers Data'!$B$2:$G$8,6,FALSE))</f>
        <v/>
      </c>
      <c r="R194" s="513" t="str">
        <f t="shared" si="16"/>
        <v/>
      </c>
      <c r="S194" s="40"/>
      <c r="T194" s="145"/>
      <c r="U194" s="157"/>
      <c r="V194" s="511" t="str">
        <f t="shared" si="17"/>
        <v/>
      </c>
      <c r="W194" s="511" t="str">
        <f t="shared" si="18"/>
        <v/>
      </c>
      <c r="X194" s="511" t="str">
        <f t="shared" si="19"/>
        <v/>
      </c>
      <c r="Y194" s="515" t="str">
        <f t="shared" si="20"/>
        <v/>
      </c>
      <c r="Z194" s="151"/>
      <c r="AA194" s="152"/>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c r="AP194" s="31" t="str">
        <f>IFERROR(INDEX('G-7 Rivers Data'!$AZ$3:$AZ$7,MATCH(D194,'G-7 Rivers Data'!$AY$3:$AY$7,0)),"")</f>
        <v/>
      </c>
    </row>
    <row r="195" spans="3:42" ht="13.8" x14ac:dyDescent="0.25">
      <c r="C195" s="141">
        <v>186</v>
      </c>
      <c r="D195" s="460"/>
      <c r="E195" s="172"/>
      <c r="F195" s="498" t="str">
        <f>IF(D195="","",VLOOKUP(D195,'G-7 Rivers Data'!$B$2:$G$8,2,FALSE))</f>
        <v/>
      </c>
      <c r="G195" s="499" t="str">
        <f>IFERROR(VLOOKUP(F195,'G-7 Rivers Data'!$C$4:$D$8,2,FALSE),"")</f>
        <v/>
      </c>
      <c r="H195" s="145"/>
      <c r="I195" s="499" t="str">
        <f>IFERROR(INDEX('G-7 Rivers Data'!$H$4:$L$8,MATCH(D195,'G-7 Rivers Data'!$B$4:$B$8,0),MATCH(H195,'G-7 Rivers Data'!$H$3:$L$3,0)),"")</f>
        <v/>
      </c>
      <c r="J195" s="418"/>
      <c r="K195" s="498" t="str">
        <f>IF(J195="","",IF(VLOOKUP(J195,'G-7 Rivers Data'!$AK$4:$AM$9,2,FALSE)=0,"Spatial Data Missing ⚠",VLOOKUP(J195,'G-7 Rivers Data'!$AK$4:$AM$9,2,FALSE)))</f>
        <v/>
      </c>
      <c r="L195" s="505" t="str">
        <f>IF(J195="","",IF(VLOOKUP(J195,'G-7 Rivers Data'!$AK$4:$AM$9,3,FALSE)=0,"Spatial Data Missing ⚠",VLOOKUP(J195,'G-7 Rivers Data'!$AK$4:$AM$9,3,FALSE)))</f>
        <v/>
      </c>
      <c r="M195" s="71"/>
      <c r="N195" s="499" t="str">
        <f>IF(M195="","",IF(VLOOKUP(M195,'G-7 Rivers Data'!$AA$4:$AB$7,2,FALSE)=0,"Spatial Data Missing ⚠",VLOOKUP(M195,'G-7 Rivers Data'!$AA$4:$AB$7,2,FALSE)))</f>
        <v/>
      </c>
      <c r="O195" s="155"/>
      <c r="P195" s="499" t="str">
        <f>IF(O195="","",IF(VLOOKUP(O195,'G-7 Rivers Data'!$AD$4:$AE$8,2,FALSE)=0,"Spatial Data Missing ⚠",VLOOKUP(O195,'G-7 Rivers Data'!$AD$4:$AE$8,2,FALSE)))</f>
        <v/>
      </c>
      <c r="Q195" s="506" t="str">
        <f>IF(D195="","",VLOOKUP(D195,'G-7 Rivers Data'!$B$2:$G$8,6,FALSE))</f>
        <v/>
      </c>
      <c r="R195" s="513" t="str">
        <f t="shared" si="16"/>
        <v/>
      </c>
      <c r="S195" s="40"/>
      <c r="T195" s="145"/>
      <c r="U195" s="157"/>
      <c r="V195" s="511" t="str">
        <f t="shared" si="17"/>
        <v/>
      </c>
      <c r="W195" s="511" t="str">
        <f t="shared" si="18"/>
        <v/>
      </c>
      <c r="X195" s="511" t="str">
        <f t="shared" si="19"/>
        <v/>
      </c>
      <c r="Y195" s="515" t="str">
        <f t="shared" si="20"/>
        <v/>
      </c>
      <c r="Z195" s="151"/>
      <c r="AA195" s="152"/>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c r="AP195" s="31" t="str">
        <f>IFERROR(INDEX('G-7 Rivers Data'!$AZ$3:$AZ$7,MATCH(D195,'G-7 Rivers Data'!$AY$3:$AY$7,0)),"")</f>
        <v/>
      </c>
    </row>
    <row r="196" spans="3:42" ht="13.8" x14ac:dyDescent="0.25">
      <c r="C196" s="141">
        <v>187</v>
      </c>
      <c r="D196" s="460"/>
      <c r="E196" s="172"/>
      <c r="F196" s="498" t="str">
        <f>IF(D196="","",VLOOKUP(D196,'G-7 Rivers Data'!$B$2:$G$8,2,FALSE))</f>
        <v/>
      </c>
      <c r="G196" s="499" t="str">
        <f>IFERROR(VLOOKUP(F196,'G-7 Rivers Data'!$C$4:$D$8,2,FALSE),"")</f>
        <v/>
      </c>
      <c r="H196" s="145"/>
      <c r="I196" s="499" t="str">
        <f>IFERROR(INDEX('G-7 Rivers Data'!$H$4:$L$8,MATCH(D196,'G-7 Rivers Data'!$B$4:$B$8,0),MATCH(H196,'G-7 Rivers Data'!$H$3:$L$3,0)),"")</f>
        <v/>
      </c>
      <c r="J196" s="418"/>
      <c r="K196" s="498" t="str">
        <f>IF(J196="","",IF(VLOOKUP(J196,'G-7 Rivers Data'!$AK$4:$AM$9,2,FALSE)=0,"Spatial Data Missing ⚠",VLOOKUP(J196,'G-7 Rivers Data'!$AK$4:$AM$9,2,FALSE)))</f>
        <v/>
      </c>
      <c r="L196" s="505" t="str">
        <f>IF(J196="","",IF(VLOOKUP(J196,'G-7 Rivers Data'!$AK$4:$AM$9,3,FALSE)=0,"Spatial Data Missing ⚠",VLOOKUP(J196,'G-7 Rivers Data'!$AK$4:$AM$9,3,FALSE)))</f>
        <v/>
      </c>
      <c r="M196" s="71"/>
      <c r="N196" s="499" t="str">
        <f>IF(M196="","",IF(VLOOKUP(M196,'G-7 Rivers Data'!$AA$4:$AB$7,2,FALSE)=0,"Spatial Data Missing ⚠",VLOOKUP(M196,'G-7 Rivers Data'!$AA$4:$AB$7,2,FALSE)))</f>
        <v/>
      </c>
      <c r="O196" s="155"/>
      <c r="P196" s="499" t="str">
        <f>IF(O196="","",IF(VLOOKUP(O196,'G-7 Rivers Data'!$AD$4:$AE$8,2,FALSE)=0,"Spatial Data Missing ⚠",VLOOKUP(O196,'G-7 Rivers Data'!$AD$4:$AE$8,2,FALSE)))</f>
        <v/>
      </c>
      <c r="Q196" s="506" t="str">
        <f>IF(D196="","",VLOOKUP(D196,'G-7 Rivers Data'!$B$2:$G$8,6,FALSE))</f>
        <v/>
      </c>
      <c r="R196" s="513" t="str">
        <f t="shared" si="16"/>
        <v/>
      </c>
      <c r="S196" s="40"/>
      <c r="T196" s="145"/>
      <c r="U196" s="157"/>
      <c r="V196" s="511" t="str">
        <f t="shared" si="17"/>
        <v/>
      </c>
      <c r="W196" s="511" t="str">
        <f t="shared" si="18"/>
        <v/>
      </c>
      <c r="X196" s="511" t="str">
        <f t="shared" si="19"/>
        <v/>
      </c>
      <c r="Y196" s="515" t="str">
        <f t="shared" si="20"/>
        <v/>
      </c>
      <c r="Z196" s="151"/>
      <c r="AA196" s="152"/>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c r="AP196" s="31" t="str">
        <f>IFERROR(INDEX('G-7 Rivers Data'!$AZ$3:$AZ$7,MATCH(D196,'G-7 Rivers Data'!$AY$3:$AY$7,0)),"")</f>
        <v/>
      </c>
    </row>
    <row r="197" spans="3:42" ht="13.8" x14ac:dyDescent="0.25">
      <c r="C197" s="141">
        <v>188</v>
      </c>
      <c r="D197" s="460"/>
      <c r="E197" s="172"/>
      <c r="F197" s="498" t="str">
        <f>IF(D197="","",VLOOKUP(D197,'G-7 Rivers Data'!$B$2:$G$8,2,FALSE))</f>
        <v/>
      </c>
      <c r="G197" s="499" t="str">
        <f>IFERROR(VLOOKUP(F197,'G-7 Rivers Data'!$C$4:$D$8,2,FALSE),"")</f>
        <v/>
      </c>
      <c r="H197" s="145"/>
      <c r="I197" s="499" t="str">
        <f>IFERROR(INDEX('G-7 Rivers Data'!$H$4:$L$8,MATCH(D197,'G-7 Rivers Data'!$B$4:$B$8,0),MATCH(H197,'G-7 Rivers Data'!$H$3:$L$3,0)),"")</f>
        <v/>
      </c>
      <c r="J197" s="418"/>
      <c r="K197" s="498" t="str">
        <f>IF(J197="","",IF(VLOOKUP(J197,'G-7 Rivers Data'!$AK$4:$AM$9,2,FALSE)=0,"Spatial Data Missing ⚠",VLOOKUP(J197,'G-7 Rivers Data'!$AK$4:$AM$9,2,FALSE)))</f>
        <v/>
      </c>
      <c r="L197" s="505" t="str">
        <f>IF(J197="","",IF(VLOOKUP(J197,'G-7 Rivers Data'!$AK$4:$AM$9,3,FALSE)=0,"Spatial Data Missing ⚠",VLOOKUP(J197,'G-7 Rivers Data'!$AK$4:$AM$9,3,FALSE)))</f>
        <v/>
      </c>
      <c r="M197" s="71"/>
      <c r="N197" s="499" t="str">
        <f>IF(M197="","",IF(VLOOKUP(M197,'G-7 Rivers Data'!$AA$4:$AB$7,2,FALSE)=0,"Spatial Data Missing ⚠",VLOOKUP(M197,'G-7 Rivers Data'!$AA$4:$AB$7,2,FALSE)))</f>
        <v/>
      </c>
      <c r="O197" s="155"/>
      <c r="P197" s="499" t="str">
        <f>IF(O197="","",IF(VLOOKUP(O197,'G-7 Rivers Data'!$AD$4:$AE$8,2,FALSE)=0,"Spatial Data Missing ⚠",VLOOKUP(O197,'G-7 Rivers Data'!$AD$4:$AE$8,2,FALSE)))</f>
        <v/>
      </c>
      <c r="Q197" s="506" t="str">
        <f>IF(D197="","",VLOOKUP(D197,'G-7 Rivers Data'!$B$2:$G$8,6,FALSE))</f>
        <v/>
      </c>
      <c r="R197" s="513" t="str">
        <f t="shared" si="16"/>
        <v/>
      </c>
      <c r="S197" s="40"/>
      <c r="T197" s="145"/>
      <c r="U197" s="157"/>
      <c r="V197" s="511" t="str">
        <f t="shared" si="17"/>
        <v/>
      </c>
      <c r="W197" s="511" t="str">
        <f t="shared" si="18"/>
        <v/>
      </c>
      <c r="X197" s="511" t="str">
        <f t="shared" si="19"/>
        <v/>
      </c>
      <c r="Y197" s="515" t="str">
        <f t="shared" si="20"/>
        <v/>
      </c>
      <c r="Z197" s="151"/>
      <c r="AA197" s="152"/>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c r="AP197" s="31" t="str">
        <f>IFERROR(INDEX('G-7 Rivers Data'!$AZ$3:$AZ$7,MATCH(D197,'G-7 Rivers Data'!$AY$3:$AY$7,0)),"")</f>
        <v/>
      </c>
    </row>
    <row r="198" spans="3:42" ht="13.8" x14ac:dyDescent="0.25">
      <c r="C198" s="141">
        <v>189</v>
      </c>
      <c r="D198" s="460"/>
      <c r="E198" s="172"/>
      <c r="F198" s="498" t="str">
        <f>IF(D198="","",VLOOKUP(D198,'G-7 Rivers Data'!$B$2:$G$8,2,FALSE))</f>
        <v/>
      </c>
      <c r="G198" s="499" t="str">
        <f>IFERROR(VLOOKUP(F198,'G-7 Rivers Data'!$C$4:$D$8,2,FALSE),"")</f>
        <v/>
      </c>
      <c r="H198" s="145"/>
      <c r="I198" s="499" t="str">
        <f>IFERROR(INDEX('G-7 Rivers Data'!$H$4:$L$8,MATCH(D198,'G-7 Rivers Data'!$B$4:$B$8,0),MATCH(H198,'G-7 Rivers Data'!$H$3:$L$3,0)),"")</f>
        <v/>
      </c>
      <c r="J198" s="418"/>
      <c r="K198" s="498" t="str">
        <f>IF(J198="","",IF(VLOOKUP(J198,'G-7 Rivers Data'!$AK$4:$AM$9,2,FALSE)=0,"Spatial Data Missing ⚠",VLOOKUP(J198,'G-7 Rivers Data'!$AK$4:$AM$9,2,FALSE)))</f>
        <v/>
      </c>
      <c r="L198" s="505" t="str">
        <f>IF(J198="","",IF(VLOOKUP(J198,'G-7 Rivers Data'!$AK$4:$AM$9,3,FALSE)=0,"Spatial Data Missing ⚠",VLOOKUP(J198,'G-7 Rivers Data'!$AK$4:$AM$9,3,FALSE)))</f>
        <v/>
      </c>
      <c r="M198" s="71"/>
      <c r="N198" s="499" t="str">
        <f>IF(M198="","",IF(VLOOKUP(M198,'G-7 Rivers Data'!$AA$4:$AB$7,2,FALSE)=0,"Spatial Data Missing ⚠",VLOOKUP(M198,'G-7 Rivers Data'!$AA$4:$AB$7,2,FALSE)))</f>
        <v/>
      </c>
      <c r="O198" s="155"/>
      <c r="P198" s="499" t="str">
        <f>IF(O198="","",IF(VLOOKUP(O198,'G-7 Rivers Data'!$AD$4:$AE$8,2,FALSE)=0,"Spatial Data Missing ⚠",VLOOKUP(O198,'G-7 Rivers Data'!$AD$4:$AE$8,2,FALSE)))</f>
        <v/>
      </c>
      <c r="Q198" s="506" t="str">
        <f>IF(D198="","",VLOOKUP(D198,'G-7 Rivers Data'!$B$2:$G$8,6,FALSE))</f>
        <v/>
      </c>
      <c r="R198" s="513" t="str">
        <f t="shared" si="16"/>
        <v/>
      </c>
      <c r="S198" s="40"/>
      <c r="T198" s="145"/>
      <c r="U198" s="157"/>
      <c r="V198" s="511" t="str">
        <f t="shared" si="17"/>
        <v/>
      </c>
      <c r="W198" s="511" t="str">
        <f t="shared" si="18"/>
        <v/>
      </c>
      <c r="X198" s="511" t="str">
        <f t="shared" si="19"/>
        <v/>
      </c>
      <c r="Y198" s="515" t="str">
        <f t="shared" si="20"/>
        <v/>
      </c>
      <c r="Z198" s="151"/>
      <c r="AA198" s="152"/>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c r="AP198" s="31" t="str">
        <f>IFERROR(INDEX('G-7 Rivers Data'!$AZ$3:$AZ$7,MATCH(D198,'G-7 Rivers Data'!$AY$3:$AY$7,0)),"")</f>
        <v/>
      </c>
    </row>
    <row r="199" spans="3:42" ht="13.8" x14ac:dyDescent="0.25">
      <c r="C199" s="141">
        <v>190</v>
      </c>
      <c r="D199" s="460"/>
      <c r="E199" s="172"/>
      <c r="F199" s="498" t="str">
        <f>IF(D199="","",VLOOKUP(D199,'G-7 Rivers Data'!$B$2:$G$8,2,FALSE))</f>
        <v/>
      </c>
      <c r="G199" s="499" t="str">
        <f>IFERROR(VLOOKUP(F199,'G-7 Rivers Data'!$C$4:$D$8,2,FALSE),"")</f>
        <v/>
      </c>
      <c r="H199" s="145"/>
      <c r="I199" s="499" t="str">
        <f>IFERROR(INDEX('G-7 Rivers Data'!$H$4:$L$8,MATCH(D199,'G-7 Rivers Data'!$B$4:$B$8,0),MATCH(H199,'G-7 Rivers Data'!$H$3:$L$3,0)),"")</f>
        <v/>
      </c>
      <c r="J199" s="418"/>
      <c r="K199" s="498" t="str">
        <f>IF(J199="","",IF(VLOOKUP(J199,'G-7 Rivers Data'!$AK$4:$AM$9,2,FALSE)=0,"Spatial Data Missing ⚠",VLOOKUP(J199,'G-7 Rivers Data'!$AK$4:$AM$9,2,FALSE)))</f>
        <v/>
      </c>
      <c r="L199" s="505" t="str">
        <f>IF(J199="","",IF(VLOOKUP(J199,'G-7 Rivers Data'!$AK$4:$AM$9,3,FALSE)=0,"Spatial Data Missing ⚠",VLOOKUP(J199,'G-7 Rivers Data'!$AK$4:$AM$9,3,FALSE)))</f>
        <v/>
      </c>
      <c r="M199" s="71"/>
      <c r="N199" s="499" t="str">
        <f>IF(M199="","",IF(VLOOKUP(M199,'G-7 Rivers Data'!$AA$4:$AB$7,2,FALSE)=0,"Spatial Data Missing ⚠",VLOOKUP(M199,'G-7 Rivers Data'!$AA$4:$AB$7,2,FALSE)))</f>
        <v/>
      </c>
      <c r="O199" s="155"/>
      <c r="P199" s="499" t="str">
        <f>IF(O199="","",IF(VLOOKUP(O199,'G-7 Rivers Data'!$AD$4:$AE$8,2,FALSE)=0,"Spatial Data Missing ⚠",VLOOKUP(O199,'G-7 Rivers Data'!$AD$4:$AE$8,2,FALSE)))</f>
        <v/>
      </c>
      <c r="Q199" s="506" t="str">
        <f>IF(D199="","",VLOOKUP(D199,'G-7 Rivers Data'!$B$2:$G$8,6,FALSE))</f>
        <v/>
      </c>
      <c r="R199" s="513" t="str">
        <f t="shared" si="16"/>
        <v/>
      </c>
      <c r="S199" s="40"/>
      <c r="T199" s="145"/>
      <c r="U199" s="157"/>
      <c r="V199" s="511" t="str">
        <f t="shared" si="17"/>
        <v/>
      </c>
      <c r="W199" s="511" t="str">
        <f t="shared" si="18"/>
        <v/>
      </c>
      <c r="X199" s="511" t="str">
        <f t="shared" si="19"/>
        <v/>
      </c>
      <c r="Y199" s="515" t="str">
        <f t="shared" si="20"/>
        <v/>
      </c>
      <c r="Z199" s="151"/>
      <c r="AA199" s="152"/>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c r="AP199" s="31" t="str">
        <f>IFERROR(INDEX('G-7 Rivers Data'!$AZ$3:$AZ$7,MATCH(D199,'G-7 Rivers Data'!$AY$3:$AY$7,0)),"")</f>
        <v/>
      </c>
    </row>
    <row r="200" spans="3:42" ht="13.8" x14ac:dyDescent="0.25">
      <c r="C200" s="141">
        <v>191</v>
      </c>
      <c r="D200" s="460"/>
      <c r="E200" s="172"/>
      <c r="F200" s="498" t="str">
        <f>IF(D200="","",VLOOKUP(D200,'G-7 Rivers Data'!$B$2:$G$8,2,FALSE))</f>
        <v/>
      </c>
      <c r="G200" s="499" t="str">
        <f>IFERROR(VLOOKUP(F200,'G-7 Rivers Data'!$C$4:$D$8,2,FALSE),"")</f>
        <v/>
      </c>
      <c r="H200" s="145"/>
      <c r="I200" s="499" t="str">
        <f>IFERROR(INDEX('G-7 Rivers Data'!$H$4:$L$8,MATCH(D200,'G-7 Rivers Data'!$B$4:$B$8,0),MATCH(H200,'G-7 Rivers Data'!$H$3:$L$3,0)),"")</f>
        <v/>
      </c>
      <c r="J200" s="418"/>
      <c r="K200" s="498" t="str">
        <f>IF(J200="","",IF(VLOOKUP(J200,'G-7 Rivers Data'!$AK$4:$AM$9,2,FALSE)=0,"Spatial Data Missing ⚠",VLOOKUP(J200,'G-7 Rivers Data'!$AK$4:$AM$9,2,FALSE)))</f>
        <v/>
      </c>
      <c r="L200" s="505" t="str">
        <f>IF(J200="","",IF(VLOOKUP(J200,'G-7 Rivers Data'!$AK$4:$AM$9,3,FALSE)=0,"Spatial Data Missing ⚠",VLOOKUP(J200,'G-7 Rivers Data'!$AK$4:$AM$9,3,FALSE)))</f>
        <v/>
      </c>
      <c r="M200" s="71"/>
      <c r="N200" s="499" t="str">
        <f>IF(M200="","",IF(VLOOKUP(M200,'G-7 Rivers Data'!$AA$4:$AB$7,2,FALSE)=0,"Spatial Data Missing ⚠",VLOOKUP(M200,'G-7 Rivers Data'!$AA$4:$AB$7,2,FALSE)))</f>
        <v/>
      </c>
      <c r="O200" s="155"/>
      <c r="P200" s="499" t="str">
        <f>IF(O200="","",IF(VLOOKUP(O200,'G-7 Rivers Data'!$AD$4:$AE$8,2,FALSE)=0,"Spatial Data Missing ⚠",VLOOKUP(O200,'G-7 Rivers Data'!$AD$4:$AE$8,2,FALSE)))</f>
        <v/>
      </c>
      <c r="Q200" s="506" t="str">
        <f>IF(D200="","",VLOOKUP(D200,'G-7 Rivers Data'!$B$2:$G$8,6,FALSE))</f>
        <v/>
      </c>
      <c r="R200" s="513" t="str">
        <f t="shared" si="16"/>
        <v/>
      </c>
      <c r="S200" s="40"/>
      <c r="T200" s="145"/>
      <c r="U200" s="157"/>
      <c r="V200" s="511" t="str">
        <f t="shared" si="17"/>
        <v/>
      </c>
      <c r="W200" s="511" t="str">
        <f t="shared" si="18"/>
        <v/>
      </c>
      <c r="X200" s="511" t="str">
        <f t="shared" si="19"/>
        <v/>
      </c>
      <c r="Y200" s="515" t="str">
        <f t="shared" si="20"/>
        <v/>
      </c>
      <c r="Z200" s="151"/>
      <c r="AA200" s="152"/>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c r="AP200" s="31" t="str">
        <f>IFERROR(INDEX('G-7 Rivers Data'!$AZ$3:$AZ$7,MATCH(D200,'G-7 Rivers Data'!$AY$3:$AY$7,0)),"")</f>
        <v/>
      </c>
    </row>
    <row r="201" spans="3:42" ht="13.8" x14ac:dyDescent="0.25">
      <c r="C201" s="141">
        <v>192</v>
      </c>
      <c r="D201" s="460"/>
      <c r="E201" s="172"/>
      <c r="F201" s="498" t="str">
        <f>IF(D201="","",VLOOKUP(D201,'G-7 Rivers Data'!$B$2:$G$8,2,FALSE))</f>
        <v/>
      </c>
      <c r="G201" s="499" t="str">
        <f>IFERROR(VLOOKUP(F201,'G-7 Rivers Data'!$C$4:$D$8,2,FALSE),"")</f>
        <v/>
      </c>
      <c r="H201" s="145"/>
      <c r="I201" s="499" t="str">
        <f>IFERROR(INDEX('G-7 Rivers Data'!$H$4:$L$8,MATCH(D201,'G-7 Rivers Data'!$B$4:$B$8,0),MATCH(H201,'G-7 Rivers Data'!$H$3:$L$3,0)),"")</f>
        <v/>
      </c>
      <c r="J201" s="418"/>
      <c r="K201" s="498" t="str">
        <f>IF(J201="","",IF(VLOOKUP(J201,'G-7 Rivers Data'!$AK$4:$AM$9,2,FALSE)=0,"Spatial Data Missing ⚠",VLOOKUP(J201,'G-7 Rivers Data'!$AK$4:$AM$9,2,FALSE)))</f>
        <v/>
      </c>
      <c r="L201" s="505" t="str">
        <f>IF(J201="","",IF(VLOOKUP(J201,'G-7 Rivers Data'!$AK$4:$AM$9,3,FALSE)=0,"Spatial Data Missing ⚠",VLOOKUP(J201,'G-7 Rivers Data'!$AK$4:$AM$9,3,FALSE)))</f>
        <v/>
      </c>
      <c r="M201" s="71"/>
      <c r="N201" s="499" t="str">
        <f>IF(M201="","",IF(VLOOKUP(M201,'G-7 Rivers Data'!$AA$4:$AB$7,2,FALSE)=0,"Spatial Data Missing ⚠",VLOOKUP(M201,'G-7 Rivers Data'!$AA$4:$AB$7,2,FALSE)))</f>
        <v/>
      </c>
      <c r="O201" s="155"/>
      <c r="P201" s="499" t="str">
        <f>IF(O201="","",IF(VLOOKUP(O201,'G-7 Rivers Data'!$AD$4:$AE$8,2,FALSE)=0,"Spatial Data Missing ⚠",VLOOKUP(O201,'G-7 Rivers Data'!$AD$4:$AE$8,2,FALSE)))</f>
        <v/>
      </c>
      <c r="Q201" s="506" t="str">
        <f>IF(D201="","",VLOOKUP(D201,'G-7 Rivers Data'!$B$2:$G$8,6,FALSE))</f>
        <v/>
      </c>
      <c r="R201" s="513" t="str">
        <f t="shared" si="16"/>
        <v/>
      </c>
      <c r="S201" s="40"/>
      <c r="T201" s="145"/>
      <c r="U201" s="157"/>
      <c r="V201" s="511" t="str">
        <f t="shared" si="17"/>
        <v/>
      </c>
      <c r="W201" s="511" t="str">
        <f t="shared" si="18"/>
        <v/>
      </c>
      <c r="X201" s="511" t="str">
        <f t="shared" si="19"/>
        <v/>
      </c>
      <c r="Y201" s="515" t="str">
        <f t="shared" si="20"/>
        <v/>
      </c>
      <c r="Z201" s="151"/>
      <c r="AA201" s="152"/>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c r="AP201" s="31" t="str">
        <f>IFERROR(INDEX('G-7 Rivers Data'!$AZ$3:$AZ$7,MATCH(D201,'G-7 Rivers Data'!$AY$3:$AY$7,0)),"")</f>
        <v/>
      </c>
    </row>
    <row r="202" spans="3:42" ht="13.8" x14ac:dyDescent="0.25">
      <c r="C202" s="141">
        <v>193</v>
      </c>
      <c r="D202" s="460"/>
      <c r="E202" s="172"/>
      <c r="F202" s="498" t="str">
        <f>IF(D202="","",VLOOKUP(D202,'G-7 Rivers Data'!$B$2:$G$8,2,FALSE))</f>
        <v/>
      </c>
      <c r="G202" s="499" t="str">
        <f>IFERROR(VLOOKUP(F202,'G-7 Rivers Data'!$C$4:$D$8,2,FALSE),"")</f>
        <v/>
      </c>
      <c r="H202" s="145"/>
      <c r="I202" s="499" t="str">
        <f>IFERROR(INDEX('G-7 Rivers Data'!$H$4:$L$8,MATCH(D202,'G-7 Rivers Data'!$B$4:$B$8,0),MATCH(H202,'G-7 Rivers Data'!$H$3:$L$3,0)),"")</f>
        <v/>
      </c>
      <c r="J202" s="418"/>
      <c r="K202" s="498" t="str">
        <f>IF(J202="","",IF(VLOOKUP(J202,'G-7 Rivers Data'!$AK$4:$AM$9,2,FALSE)=0,"Spatial Data Missing ⚠",VLOOKUP(J202,'G-7 Rivers Data'!$AK$4:$AM$9,2,FALSE)))</f>
        <v/>
      </c>
      <c r="L202" s="505" t="str">
        <f>IF(J202="","",IF(VLOOKUP(J202,'G-7 Rivers Data'!$AK$4:$AM$9,3,FALSE)=0,"Spatial Data Missing ⚠",VLOOKUP(J202,'G-7 Rivers Data'!$AK$4:$AM$9,3,FALSE)))</f>
        <v/>
      </c>
      <c r="M202" s="71"/>
      <c r="N202" s="499" t="str">
        <f>IF(M202="","",IF(VLOOKUP(M202,'G-7 Rivers Data'!$AA$4:$AB$7,2,FALSE)=0,"Spatial Data Missing ⚠",VLOOKUP(M202,'G-7 Rivers Data'!$AA$4:$AB$7,2,FALSE)))</f>
        <v/>
      </c>
      <c r="O202" s="155"/>
      <c r="P202" s="499" t="str">
        <f>IF(O202="","",IF(VLOOKUP(O202,'G-7 Rivers Data'!$AD$4:$AE$8,2,FALSE)=0,"Spatial Data Missing ⚠",VLOOKUP(O202,'G-7 Rivers Data'!$AD$4:$AE$8,2,FALSE)))</f>
        <v/>
      </c>
      <c r="Q202" s="506" t="str">
        <f>IF(D202="","",VLOOKUP(D202,'G-7 Rivers Data'!$B$2:$G$8,6,FALSE))</f>
        <v/>
      </c>
      <c r="R202" s="513" t="str">
        <f t="shared" si="16"/>
        <v/>
      </c>
      <c r="S202" s="40"/>
      <c r="T202" s="145"/>
      <c r="U202" s="157"/>
      <c r="V202" s="511" t="str">
        <f t="shared" si="17"/>
        <v/>
      </c>
      <c r="W202" s="511" t="str">
        <f t="shared" si="18"/>
        <v/>
      </c>
      <c r="X202" s="511" t="str">
        <f t="shared" si="19"/>
        <v/>
      </c>
      <c r="Y202" s="515" t="str">
        <f t="shared" si="20"/>
        <v/>
      </c>
      <c r="Z202" s="151"/>
      <c r="AA202" s="152"/>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c r="AP202" s="31" t="str">
        <f>IFERROR(INDEX('G-7 Rivers Data'!$AZ$3:$AZ$7,MATCH(D202,'G-7 Rivers Data'!$AY$3:$AY$7,0)),"")</f>
        <v/>
      </c>
    </row>
    <row r="203" spans="3:42" ht="13.8" x14ac:dyDescent="0.25">
      <c r="C203" s="141">
        <v>194</v>
      </c>
      <c r="D203" s="460"/>
      <c r="E203" s="172"/>
      <c r="F203" s="498" t="str">
        <f>IF(D203="","",VLOOKUP(D203,'G-7 Rivers Data'!$B$2:$G$8,2,FALSE))</f>
        <v/>
      </c>
      <c r="G203" s="499" t="str">
        <f>IFERROR(VLOOKUP(F203,'G-7 Rivers Data'!$C$4:$D$8,2,FALSE),"")</f>
        <v/>
      </c>
      <c r="H203" s="145"/>
      <c r="I203" s="499" t="str">
        <f>IFERROR(INDEX('G-7 Rivers Data'!$H$4:$L$8,MATCH(D203,'G-7 Rivers Data'!$B$4:$B$8,0),MATCH(H203,'G-7 Rivers Data'!$H$3:$L$3,0)),"")</f>
        <v/>
      </c>
      <c r="J203" s="418"/>
      <c r="K203" s="498" t="str">
        <f>IF(J203="","",IF(VLOOKUP(J203,'G-7 Rivers Data'!$AK$4:$AM$9,2,FALSE)=0,"Spatial Data Missing ⚠",VLOOKUP(J203,'G-7 Rivers Data'!$AK$4:$AM$9,2,FALSE)))</f>
        <v/>
      </c>
      <c r="L203" s="505" t="str">
        <f>IF(J203="","",IF(VLOOKUP(J203,'G-7 Rivers Data'!$AK$4:$AM$9,3,FALSE)=0,"Spatial Data Missing ⚠",VLOOKUP(J203,'G-7 Rivers Data'!$AK$4:$AM$9,3,FALSE)))</f>
        <v/>
      </c>
      <c r="M203" s="71"/>
      <c r="N203" s="499" t="str">
        <f>IF(M203="","",IF(VLOOKUP(M203,'G-7 Rivers Data'!$AA$4:$AB$7,2,FALSE)=0,"Spatial Data Missing ⚠",VLOOKUP(M203,'G-7 Rivers Data'!$AA$4:$AB$7,2,FALSE)))</f>
        <v/>
      </c>
      <c r="O203" s="155"/>
      <c r="P203" s="499" t="str">
        <f>IF(O203="","",IF(VLOOKUP(O203,'G-7 Rivers Data'!$AD$4:$AE$8,2,FALSE)=0,"Spatial Data Missing ⚠",VLOOKUP(O203,'G-7 Rivers Data'!$AD$4:$AE$8,2,FALSE)))</f>
        <v/>
      </c>
      <c r="Q203" s="506" t="str">
        <f>IF(D203="","",VLOOKUP(D203,'G-7 Rivers Data'!$B$2:$G$8,6,FALSE))</f>
        <v/>
      </c>
      <c r="R203" s="513" t="str">
        <f t="shared" ref="R203:R257" si="24">IFERROR(IF(D203="","",E203*G203*I203*L203*N203*P203),"")</f>
        <v/>
      </c>
      <c r="S203" s="40"/>
      <c r="T203" s="145"/>
      <c r="U203" s="157"/>
      <c r="V203" s="511" t="str">
        <f t="shared" ref="V203:V257" si="25">IFERROR(IF(T203&gt;E203,"Check Lengths",T203*G203*I203*L203*N203*P203),"")</f>
        <v/>
      </c>
      <c r="W203" s="511" t="str">
        <f t="shared" ref="W203:W257" si="26">IFERROR(IF(D203="","",U203*G203*I203*L203*N203*P203),"")</f>
        <v/>
      </c>
      <c r="X203" s="511" t="str">
        <f t="shared" ref="X203:X257" si="27">IFERROR(IF(D203="","",IF(E203&gt;(T203+U203),E203-T203-U203,0)),"")</f>
        <v/>
      </c>
      <c r="Y203" s="515" t="str">
        <f t="shared" ref="Y203:Y258" si="28">IFERROR(IF(E203="","",IF((V203+W203)&gt;R203,0,R203-V203-W203)),"Check Data ⚠")</f>
        <v/>
      </c>
      <c r="Z203" s="151"/>
      <c r="AA203" s="152"/>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c r="AP203" s="31" t="str">
        <f>IFERROR(INDEX('G-7 Rivers Data'!$AZ$3:$AZ$7,MATCH(D203,'G-7 Rivers Data'!$AY$3:$AY$7,0)),"")</f>
        <v/>
      </c>
    </row>
    <row r="204" spans="3:42" ht="13.8" x14ac:dyDescent="0.25">
      <c r="C204" s="141">
        <v>195</v>
      </c>
      <c r="D204" s="460"/>
      <c r="E204" s="172"/>
      <c r="F204" s="498" t="str">
        <f>IF(D204="","",VLOOKUP(D204,'G-7 Rivers Data'!$B$2:$G$8,2,FALSE))</f>
        <v/>
      </c>
      <c r="G204" s="499" t="str">
        <f>IFERROR(VLOOKUP(F204,'G-7 Rivers Data'!$C$4:$D$8,2,FALSE),"")</f>
        <v/>
      </c>
      <c r="H204" s="145"/>
      <c r="I204" s="499" t="str">
        <f>IFERROR(INDEX('G-7 Rivers Data'!$H$4:$L$8,MATCH(D204,'G-7 Rivers Data'!$B$4:$B$8,0),MATCH(H204,'G-7 Rivers Data'!$H$3:$L$3,0)),"")</f>
        <v/>
      </c>
      <c r="J204" s="418"/>
      <c r="K204" s="498" t="str">
        <f>IF(J204="","",IF(VLOOKUP(J204,'G-7 Rivers Data'!$AK$4:$AM$9,2,FALSE)=0,"Spatial Data Missing ⚠",VLOOKUP(J204,'G-7 Rivers Data'!$AK$4:$AM$9,2,FALSE)))</f>
        <v/>
      </c>
      <c r="L204" s="505" t="str">
        <f>IF(J204="","",IF(VLOOKUP(J204,'G-7 Rivers Data'!$AK$4:$AM$9,3,FALSE)=0,"Spatial Data Missing ⚠",VLOOKUP(J204,'G-7 Rivers Data'!$AK$4:$AM$9,3,FALSE)))</f>
        <v/>
      </c>
      <c r="M204" s="71"/>
      <c r="N204" s="499" t="str">
        <f>IF(M204="","",IF(VLOOKUP(M204,'G-7 Rivers Data'!$AA$4:$AB$7,2,FALSE)=0,"Spatial Data Missing ⚠",VLOOKUP(M204,'G-7 Rivers Data'!$AA$4:$AB$7,2,FALSE)))</f>
        <v/>
      </c>
      <c r="O204" s="155"/>
      <c r="P204" s="499" t="str">
        <f>IF(O204="","",IF(VLOOKUP(O204,'G-7 Rivers Data'!$AD$4:$AE$8,2,FALSE)=0,"Spatial Data Missing ⚠",VLOOKUP(O204,'G-7 Rivers Data'!$AD$4:$AE$8,2,FALSE)))</f>
        <v/>
      </c>
      <c r="Q204" s="506" t="str">
        <f>IF(D204="","",VLOOKUP(D204,'G-7 Rivers Data'!$B$2:$G$8,6,FALSE))</f>
        <v/>
      </c>
      <c r="R204" s="513" t="str">
        <f t="shared" si="24"/>
        <v/>
      </c>
      <c r="S204" s="40"/>
      <c r="T204" s="145"/>
      <c r="U204" s="157"/>
      <c r="V204" s="511" t="str">
        <f t="shared" si="25"/>
        <v/>
      </c>
      <c r="W204" s="511" t="str">
        <f t="shared" si="26"/>
        <v/>
      </c>
      <c r="X204" s="511" t="str">
        <f t="shared" si="27"/>
        <v/>
      </c>
      <c r="Y204" s="515" t="str">
        <f t="shared" si="28"/>
        <v/>
      </c>
      <c r="Z204" s="151"/>
      <c r="AA204" s="152"/>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c r="AP204" s="31" t="str">
        <f>IFERROR(INDEX('G-7 Rivers Data'!$AZ$3:$AZ$7,MATCH(D204,'G-7 Rivers Data'!$AY$3:$AY$7,0)),"")</f>
        <v/>
      </c>
    </row>
    <row r="205" spans="3:42" ht="13.8" x14ac:dyDescent="0.25">
      <c r="C205" s="141">
        <v>196</v>
      </c>
      <c r="D205" s="460"/>
      <c r="E205" s="172"/>
      <c r="F205" s="498" t="str">
        <f>IF(D205="","",VLOOKUP(D205,'G-7 Rivers Data'!$B$2:$G$8,2,FALSE))</f>
        <v/>
      </c>
      <c r="G205" s="499" t="str">
        <f>IFERROR(VLOOKUP(F205,'G-7 Rivers Data'!$C$4:$D$8,2,FALSE),"")</f>
        <v/>
      </c>
      <c r="H205" s="145"/>
      <c r="I205" s="499" t="str">
        <f>IFERROR(INDEX('G-7 Rivers Data'!$H$4:$L$8,MATCH(D205,'G-7 Rivers Data'!$B$4:$B$8,0),MATCH(H205,'G-7 Rivers Data'!$H$3:$L$3,0)),"")</f>
        <v/>
      </c>
      <c r="J205" s="418"/>
      <c r="K205" s="498" t="str">
        <f>IF(J205="","",IF(VLOOKUP(J205,'G-7 Rivers Data'!$AK$4:$AM$9,2,FALSE)=0,"Spatial Data Missing ⚠",VLOOKUP(J205,'G-7 Rivers Data'!$AK$4:$AM$9,2,FALSE)))</f>
        <v/>
      </c>
      <c r="L205" s="505" t="str">
        <f>IF(J205="","",IF(VLOOKUP(J205,'G-7 Rivers Data'!$AK$4:$AM$9,3,FALSE)=0,"Spatial Data Missing ⚠",VLOOKUP(J205,'G-7 Rivers Data'!$AK$4:$AM$9,3,FALSE)))</f>
        <v/>
      </c>
      <c r="M205" s="71"/>
      <c r="N205" s="499" t="str">
        <f>IF(M205="","",IF(VLOOKUP(M205,'G-7 Rivers Data'!$AA$4:$AB$7,2,FALSE)=0,"Spatial Data Missing ⚠",VLOOKUP(M205,'G-7 Rivers Data'!$AA$4:$AB$7,2,FALSE)))</f>
        <v/>
      </c>
      <c r="O205" s="155"/>
      <c r="P205" s="499" t="str">
        <f>IF(O205="","",IF(VLOOKUP(O205,'G-7 Rivers Data'!$AD$4:$AE$8,2,FALSE)=0,"Spatial Data Missing ⚠",VLOOKUP(O205,'G-7 Rivers Data'!$AD$4:$AE$8,2,FALSE)))</f>
        <v/>
      </c>
      <c r="Q205" s="506" t="str">
        <f>IF(D205="","",VLOOKUP(D205,'G-7 Rivers Data'!$B$2:$G$8,6,FALSE))</f>
        <v/>
      </c>
      <c r="R205" s="513" t="str">
        <f t="shared" si="24"/>
        <v/>
      </c>
      <c r="S205" s="40"/>
      <c r="T205" s="145"/>
      <c r="U205" s="157"/>
      <c r="V205" s="511" t="str">
        <f t="shared" si="25"/>
        <v/>
      </c>
      <c r="W205" s="511" t="str">
        <f t="shared" si="26"/>
        <v/>
      </c>
      <c r="X205" s="511" t="str">
        <f t="shared" si="27"/>
        <v/>
      </c>
      <c r="Y205" s="515" t="str">
        <f t="shared" si="28"/>
        <v/>
      </c>
      <c r="Z205" s="151"/>
      <c r="AA205" s="152"/>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c r="AP205" s="31" t="str">
        <f>IFERROR(INDEX('G-7 Rivers Data'!$AZ$3:$AZ$7,MATCH(D205,'G-7 Rivers Data'!$AY$3:$AY$7,0)),"")</f>
        <v/>
      </c>
    </row>
    <row r="206" spans="3:42" ht="13.8" x14ac:dyDescent="0.25">
      <c r="C206" s="141">
        <v>197</v>
      </c>
      <c r="D206" s="460"/>
      <c r="E206" s="172"/>
      <c r="F206" s="498" t="str">
        <f>IF(D206="","",VLOOKUP(D206,'G-7 Rivers Data'!$B$2:$G$8,2,FALSE))</f>
        <v/>
      </c>
      <c r="G206" s="499" t="str">
        <f>IFERROR(VLOOKUP(F206,'G-7 Rivers Data'!$C$4:$D$8,2,FALSE),"")</f>
        <v/>
      </c>
      <c r="H206" s="145"/>
      <c r="I206" s="499" t="str">
        <f>IFERROR(INDEX('G-7 Rivers Data'!$H$4:$L$8,MATCH(D206,'G-7 Rivers Data'!$B$4:$B$8,0),MATCH(H206,'G-7 Rivers Data'!$H$3:$L$3,0)),"")</f>
        <v/>
      </c>
      <c r="J206" s="418"/>
      <c r="K206" s="498" t="str">
        <f>IF(J206="","",IF(VLOOKUP(J206,'G-7 Rivers Data'!$AK$4:$AM$9,2,FALSE)=0,"Spatial Data Missing ⚠",VLOOKUP(J206,'G-7 Rivers Data'!$AK$4:$AM$9,2,FALSE)))</f>
        <v/>
      </c>
      <c r="L206" s="505" t="str">
        <f>IF(J206="","",IF(VLOOKUP(J206,'G-7 Rivers Data'!$AK$4:$AM$9,3,FALSE)=0,"Spatial Data Missing ⚠",VLOOKUP(J206,'G-7 Rivers Data'!$AK$4:$AM$9,3,FALSE)))</f>
        <v/>
      </c>
      <c r="M206" s="71"/>
      <c r="N206" s="499" t="str">
        <f>IF(M206="","",IF(VLOOKUP(M206,'G-7 Rivers Data'!$AA$4:$AB$7,2,FALSE)=0,"Spatial Data Missing ⚠",VLOOKUP(M206,'G-7 Rivers Data'!$AA$4:$AB$7,2,FALSE)))</f>
        <v/>
      </c>
      <c r="O206" s="155"/>
      <c r="P206" s="499" t="str">
        <f>IF(O206="","",IF(VLOOKUP(O206,'G-7 Rivers Data'!$AD$4:$AE$8,2,FALSE)=0,"Spatial Data Missing ⚠",VLOOKUP(O206,'G-7 Rivers Data'!$AD$4:$AE$8,2,FALSE)))</f>
        <v/>
      </c>
      <c r="Q206" s="506" t="str">
        <f>IF(D206="","",VLOOKUP(D206,'G-7 Rivers Data'!$B$2:$G$8,6,FALSE))</f>
        <v/>
      </c>
      <c r="R206" s="513" t="str">
        <f t="shared" si="24"/>
        <v/>
      </c>
      <c r="S206" s="40"/>
      <c r="T206" s="145"/>
      <c r="U206" s="157"/>
      <c r="V206" s="511" t="str">
        <f t="shared" si="25"/>
        <v/>
      </c>
      <c r="W206" s="511" t="str">
        <f t="shared" si="26"/>
        <v/>
      </c>
      <c r="X206" s="511" t="str">
        <f t="shared" si="27"/>
        <v/>
      </c>
      <c r="Y206" s="515" t="str">
        <f t="shared" si="28"/>
        <v/>
      </c>
      <c r="Z206" s="151"/>
      <c r="AA206" s="152"/>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c r="AP206" s="31" t="str">
        <f>IFERROR(INDEX('G-7 Rivers Data'!$AZ$3:$AZ$7,MATCH(D206,'G-7 Rivers Data'!$AY$3:$AY$7,0)),"")</f>
        <v/>
      </c>
    </row>
    <row r="207" spans="3:42" ht="13.8" x14ac:dyDescent="0.25">
      <c r="C207" s="141">
        <v>198</v>
      </c>
      <c r="D207" s="460"/>
      <c r="E207" s="172"/>
      <c r="F207" s="498" t="str">
        <f>IF(D207="","",VLOOKUP(D207,'G-7 Rivers Data'!$B$2:$G$8,2,FALSE))</f>
        <v/>
      </c>
      <c r="G207" s="499" t="str">
        <f>IFERROR(VLOOKUP(F207,'G-7 Rivers Data'!$C$4:$D$8,2,FALSE),"")</f>
        <v/>
      </c>
      <c r="H207" s="145"/>
      <c r="I207" s="499" t="str">
        <f>IFERROR(INDEX('G-7 Rivers Data'!$H$4:$L$8,MATCH(D207,'G-7 Rivers Data'!$B$4:$B$8,0),MATCH(H207,'G-7 Rivers Data'!$H$3:$L$3,0)),"")</f>
        <v/>
      </c>
      <c r="J207" s="418"/>
      <c r="K207" s="498" t="str">
        <f>IF(J207="","",IF(VLOOKUP(J207,'G-7 Rivers Data'!$AK$4:$AM$9,2,FALSE)=0,"Spatial Data Missing ⚠",VLOOKUP(J207,'G-7 Rivers Data'!$AK$4:$AM$9,2,FALSE)))</f>
        <v/>
      </c>
      <c r="L207" s="505" t="str">
        <f>IF(J207="","",IF(VLOOKUP(J207,'G-7 Rivers Data'!$AK$4:$AM$9,3,FALSE)=0,"Spatial Data Missing ⚠",VLOOKUP(J207,'G-7 Rivers Data'!$AK$4:$AM$9,3,FALSE)))</f>
        <v/>
      </c>
      <c r="M207" s="71"/>
      <c r="N207" s="499" t="str">
        <f>IF(M207="","",IF(VLOOKUP(M207,'G-7 Rivers Data'!$AA$4:$AB$7,2,FALSE)=0,"Spatial Data Missing ⚠",VLOOKUP(M207,'G-7 Rivers Data'!$AA$4:$AB$7,2,FALSE)))</f>
        <v/>
      </c>
      <c r="O207" s="155"/>
      <c r="P207" s="499" t="str">
        <f>IF(O207="","",IF(VLOOKUP(O207,'G-7 Rivers Data'!$AD$4:$AE$8,2,FALSE)=0,"Spatial Data Missing ⚠",VLOOKUP(O207,'G-7 Rivers Data'!$AD$4:$AE$8,2,FALSE)))</f>
        <v/>
      </c>
      <c r="Q207" s="506" t="str">
        <f>IF(D207="","",VLOOKUP(D207,'G-7 Rivers Data'!$B$2:$G$8,6,FALSE))</f>
        <v/>
      </c>
      <c r="R207" s="513" t="str">
        <f t="shared" si="24"/>
        <v/>
      </c>
      <c r="S207" s="40"/>
      <c r="T207" s="145"/>
      <c r="U207" s="157"/>
      <c r="V207" s="511" t="str">
        <f t="shared" si="25"/>
        <v/>
      </c>
      <c r="W207" s="511" t="str">
        <f t="shared" si="26"/>
        <v/>
      </c>
      <c r="X207" s="511" t="str">
        <f t="shared" si="27"/>
        <v/>
      </c>
      <c r="Y207" s="515" t="str">
        <f t="shared" si="28"/>
        <v/>
      </c>
      <c r="Z207" s="151"/>
      <c r="AA207" s="152"/>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c r="AP207" s="31" t="str">
        <f>IFERROR(INDEX('G-7 Rivers Data'!$AZ$3:$AZ$7,MATCH(D207,'G-7 Rivers Data'!$AY$3:$AY$7,0)),"")</f>
        <v/>
      </c>
    </row>
    <row r="208" spans="3:42" ht="13.8" x14ac:dyDescent="0.25">
      <c r="C208" s="141">
        <v>199</v>
      </c>
      <c r="D208" s="460"/>
      <c r="E208" s="172"/>
      <c r="F208" s="498" t="str">
        <f>IF(D208="","",VLOOKUP(D208,'G-7 Rivers Data'!$B$2:$G$8,2,FALSE))</f>
        <v/>
      </c>
      <c r="G208" s="499" t="str">
        <f>IFERROR(VLOOKUP(F208,'G-7 Rivers Data'!$C$4:$D$8,2,FALSE),"")</f>
        <v/>
      </c>
      <c r="H208" s="145"/>
      <c r="I208" s="499" t="str">
        <f>IFERROR(INDEX('G-7 Rivers Data'!$H$4:$L$8,MATCH(D208,'G-7 Rivers Data'!$B$4:$B$8,0),MATCH(H208,'G-7 Rivers Data'!$H$3:$L$3,0)),"")</f>
        <v/>
      </c>
      <c r="J208" s="418"/>
      <c r="K208" s="498" t="str">
        <f>IF(J208="","",IF(VLOOKUP(J208,'G-7 Rivers Data'!$AK$4:$AM$9,2,FALSE)=0,"Spatial Data Missing ⚠",VLOOKUP(J208,'G-7 Rivers Data'!$AK$4:$AM$9,2,FALSE)))</f>
        <v/>
      </c>
      <c r="L208" s="505" t="str">
        <f>IF(J208="","",IF(VLOOKUP(J208,'G-7 Rivers Data'!$AK$4:$AM$9,3,FALSE)=0,"Spatial Data Missing ⚠",VLOOKUP(J208,'G-7 Rivers Data'!$AK$4:$AM$9,3,FALSE)))</f>
        <v/>
      </c>
      <c r="M208" s="71"/>
      <c r="N208" s="499" t="str">
        <f>IF(M208="","",IF(VLOOKUP(M208,'G-7 Rivers Data'!$AA$4:$AB$7,2,FALSE)=0,"Spatial Data Missing ⚠",VLOOKUP(M208,'G-7 Rivers Data'!$AA$4:$AB$7,2,FALSE)))</f>
        <v/>
      </c>
      <c r="O208" s="155"/>
      <c r="P208" s="499" t="str">
        <f>IF(O208="","",IF(VLOOKUP(O208,'G-7 Rivers Data'!$AD$4:$AE$8,2,FALSE)=0,"Spatial Data Missing ⚠",VLOOKUP(O208,'G-7 Rivers Data'!$AD$4:$AE$8,2,FALSE)))</f>
        <v/>
      </c>
      <c r="Q208" s="506" t="str">
        <f>IF(D208="","",VLOOKUP(D208,'G-7 Rivers Data'!$B$2:$G$8,6,FALSE))</f>
        <v/>
      </c>
      <c r="R208" s="513" t="str">
        <f t="shared" si="24"/>
        <v/>
      </c>
      <c r="S208" s="40"/>
      <c r="T208" s="145"/>
      <c r="U208" s="157"/>
      <c r="V208" s="511" t="str">
        <f t="shared" si="25"/>
        <v/>
      </c>
      <c r="W208" s="511" t="str">
        <f t="shared" si="26"/>
        <v/>
      </c>
      <c r="X208" s="511" t="str">
        <f t="shared" si="27"/>
        <v/>
      </c>
      <c r="Y208" s="515" t="str">
        <f t="shared" si="28"/>
        <v/>
      </c>
      <c r="Z208" s="151"/>
      <c r="AA208" s="152"/>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c r="AP208" s="31" t="str">
        <f>IFERROR(INDEX('G-7 Rivers Data'!$AZ$3:$AZ$7,MATCH(D208,'G-7 Rivers Data'!$AY$3:$AY$7,0)),"")</f>
        <v/>
      </c>
    </row>
    <row r="209" spans="3:42" ht="13.8" x14ac:dyDescent="0.25">
      <c r="C209" s="141">
        <v>200</v>
      </c>
      <c r="D209" s="460"/>
      <c r="E209" s="172"/>
      <c r="F209" s="498" t="str">
        <f>IF(D209="","",VLOOKUP(D209,'G-7 Rivers Data'!$B$2:$G$8,2,FALSE))</f>
        <v/>
      </c>
      <c r="G209" s="499" t="str">
        <f>IFERROR(VLOOKUP(F209,'G-7 Rivers Data'!$C$4:$D$8,2,FALSE),"")</f>
        <v/>
      </c>
      <c r="H209" s="145"/>
      <c r="I209" s="499" t="str">
        <f>IFERROR(INDEX('G-7 Rivers Data'!$H$4:$L$8,MATCH(D209,'G-7 Rivers Data'!$B$4:$B$8,0),MATCH(H209,'G-7 Rivers Data'!$H$3:$L$3,0)),"")</f>
        <v/>
      </c>
      <c r="J209" s="418"/>
      <c r="K209" s="498" t="str">
        <f>IF(J209="","",IF(VLOOKUP(J209,'G-7 Rivers Data'!$AK$4:$AM$9,2,FALSE)=0,"Spatial Data Missing ⚠",VLOOKUP(J209,'G-7 Rivers Data'!$AK$4:$AM$9,2,FALSE)))</f>
        <v/>
      </c>
      <c r="L209" s="505" t="str">
        <f>IF(J209="","",IF(VLOOKUP(J209,'G-7 Rivers Data'!$AK$4:$AM$9,3,FALSE)=0,"Spatial Data Missing ⚠",VLOOKUP(J209,'G-7 Rivers Data'!$AK$4:$AM$9,3,FALSE)))</f>
        <v/>
      </c>
      <c r="M209" s="71"/>
      <c r="N209" s="499" t="str">
        <f>IF(M209="","",IF(VLOOKUP(M209,'G-7 Rivers Data'!$AA$4:$AB$7,2,FALSE)=0,"Spatial Data Missing ⚠",VLOOKUP(M209,'G-7 Rivers Data'!$AA$4:$AB$7,2,FALSE)))</f>
        <v/>
      </c>
      <c r="O209" s="155"/>
      <c r="P209" s="499" t="str">
        <f>IF(O209="","",IF(VLOOKUP(O209,'G-7 Rivers Data'!$AD$4:$AE$8,2,FALSE)=0,"Spatial Data Missing ⚠",VLOOKUP(O209,'G-7 Rivers Data'!$AD$4:$AE$8,2,FALSE)))</f>
        <v/>
      </c>
      <c r="Q209" s="506" t="str">
        <f>IF(D209="","",VLOOKUP(D209,'G-7 Rivers Data'!$B$2:$G$8,6,FALSE))</f>
        <v/>
      </c>
      <c r="R209" s="513" t="str">
        <f t="shared" si="24"/>
        <v/>
      </c>
      <c r="S209" s="40"/>
      <c r="T209" s="145"/>
      <c r="U209" s="157"/>
      <c r="V209" s="511" t="str">
        <f t="shared" si="25"/>
        <v/>
      </c>
      <c r="W209" s="511" t="str">
        <f t="shared" si="26"/>
        <v/>
      </c>
      <c r="X209" s="511" t="str">
        <f t="shared" si="27"/>
        <v/>
      </c>
      <c r="Y209" s="515" t="str">
        <f t="shared" si="28"/>
        <v/>
      </c>
      <c r="Z209" s="151"/>
      <c r="AA209" s="152"/>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c r="AP209" s="31" t="str">
        <f>IFERROR(INDEX('G-7 Rivers Data'!$AZ$3:$AZ$7,MATCH(D209,'G-7 Rivers Data'!$AY$3:$AY$7,0)),"")</f>
        <v/>
      </c>
    </row>
    <row r="210" spans="3:42" ht="13.8" x14ac:dyDescent="0.25">
      <c r="C210" s="141">
        <v>201</v>
      </c>
      <c r="D210" s="460"/>
      <c r="E210" s="172"/>
      <c r="F210" s="498" t="str">
        <f>IF(D210="","",VLOOKUP(D210,'G-7 Rivers Data'!$B$2:$G$8,2,FALSE))</f>
        <v/>
      </c>
      <c r="G210" s="499" t="str">
        <f>IFERROR(VLOOKUP(F210,'G-7 Rivers Data'!$C$4:$D$8,2,FALSE),"")</f>
        <v/>
      </c>
      <c r="H210" s="145"/>
      <c r="I210" s="499" t="str">
        <f>IFERROR(INDEX('G-7 Rivers Data'!$H$4:$L$8,MATCH(D210,'G-7 Rivers Data'!$B$4:$B$8,0),MATCH(H210,'G-7 Rivers Data'!$H$3:$L$3,0)),"")</f>
        <v/>
      </c>
      <c r="J210" s="418"/>
      <c r="K210" s="498" t="str">
        <f>IF(J210="","",IF(VLOOKUP(J210,'G-7 Rivers Data'!$AK$4:$AM$9,2,FALSE)=0,"Spatial Data Missing ⚠",VLOOKUP(J210,'G-7 Rivers Data'!$AK$4:$AM$9,2,FALSE)))</f>
        <v/>
      </c>
      <c r="L210" s="505" t="str">
        <f>IF(J210="","",IF(VLOOKUP(J210,'G-7 Rivers Data'!$AK$4:$AM$9,3,FALSE)=0,"Spatial Data Missing ⚠",VLOOKUP(J210,'G-7 Rivers Data'!$AK$4:$AM$9,3,FALSE)))</f>
        <v/>
      </c>
      <c r="M210" s="71"/>
      <c r="N210" s="499" t="str">
        <f>IF(M210="","",IF(VLOOKUP(M210,'G-7 Rivers Data'!$AA$4:$AB$7,2,FALSE)=0,"Spatial Data Missing ⚠",VLOOKUP(M210,'G-7 Rivers Data'!$AA$4:$AB$7,2,FALSE)))</f>
        <v/>
      </c>
      <c r="O210" s="155"/>
      <c r="P210" s="499" t="str">
        <f>IF(O210="","",IF(VLOOKUP(O210,'G-7 Rivers Data'!$AD$4:$AE$8,2,FALSE)=0,"Spatial Data Missing ⚠",VLOOKUP(O210,'G-7 Rivers Data'!$AD$4:$AE$8,2,FALSE)))</f>
        <v/>
      </c>
      <c r="Q210" s="506" t="str">
        <f>IF(D210="","",VLOOKUP(D210,'G-7 Rivers Data'!$B$2:$G$8,6,FALSE))</f>
        <v/>
      </c>
      <c r="R210" s="513" t="str">
        <f t="shared" si="24"/>
        <v/>
      </c>
      <c r="S210" s="40"/>
      <c r="T210" s="145"/>
      <c r="U210" s="157"/>
      <c r="V210" s="511" t="str">
        <f t="shared" si="25"/>
        <v/>
      </c>
      <c r="W210" s="511" t="str">
        <f t="shared" si="26"/>
        <v/>
      </c>
      <c r="X210" s="511" t="str">
        <f t="shared" si="27"/>
        <v/>
      </c>
      <c r="Y210" s="515" t="str">
        <f t="shared" si="28"/>
        <v/>
      </c>
      <c r="Z210" s="151"/>
      <c r="AA210" s="152"/>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c r="AP210" s="31" t="str">
        <f>IFERROR(INDEX('G-7 Rivers Data'!$AZ$3:$AZ$7,MATCH(D210,'G-7 Rivers Data'!$AY$3:$AY$7,0)),"")</f>
        <v/>
      </c>
    </row>
    <row r="211" spans="3:42" ht="13.8" x14ac:dyDescent="0.25">
      <c r="C211" s="141">
        <v>202</v>
      </c>
      <c r="D211" s="460"/>
      <c r="E211" s="172"/>
      <c r="F211" s="498" t="str">
        <f>IF(D211="","",VLOOKUP(D211,'G-7 Rivers Data'!$B$2:$G$8,2,FALSE))</f>
        <v/>
      </c>
      <c r="G211" s="499" t="str">
        <f>IFERROR(VLOOKUP(F211,'G-7 Rivers Data'!$C$4:$D$8,2,FALSE),"")</f>
        <v/>
      </c>
      <c r="H211" s="145"/>
      <c r="I211" s="499" t="str">
        <f>IFERROR(INDEX('G-7 Rivers Data'!$H$4:$L$8,MATCH(D211,'G-7 Rivers Data'!$B$4:$B$8,0),MATCH(H211,'G-7 Rivers Data'!$H$3:$L$3,0)),"")</f>
        <v/>
      </c>
      <c r="J211" s="418"/>
      <c r="K211" s="498" t="str">
        <f>IF(J211="","",IF(VLOOKUP(J211,'G-7 Rivers Data'!$AK$4:$AM$9,2,FALSE)=0,"Spatial Data Missing ⚠",VLOOKUP(J211,'G-7 Rivers Data'!$AK$4:$AM$9,2,FALSE)))</f>
        <v/>
      </c>
      <c r="L211" s="505" t="str">
        <f>IF(J211="","",IF(VLOOKUP(J211,'G-7 Rivers Data'!$AK$4:$AM$9,3,FALSE)=0,"Spatial Data Missing ⚠",VLOOKUP(J211,'G-7 Rivers Data'!$AK$4:$AM$9,3,FALSE)))</f>
        <v/>
      </c>
      <c r="M211" s="71"/>
      <c r="N211" s="499" t="str">
        <f>IF(M211="","",IF(VLOOKUP(M211,'G-7 Rivers Data'!$AA$4:$AB$7,2,FALSE)=0,"Spatial Data Missing ⚠",VLOOKUP(M211,'G-7 Rivers Data'!$AA$4:$AB$7,2,FALSE)))</f>
        <v/>
      </c>
      <c r="O211" s="155"/>
      <c r="P211" s="499" t="str">
        <f>IF(O211="","",IF(VLOOKUP(O211,'G-7 Rivers Data'!$AD$4:$AE$8,2,FALSE)=0,"Spatial Data Missing ⚠",VLOOKUP(O211,'G-7 Rivers Data'!$AD$4:$AE$8,2,FALSE)))</f>
        <v/>
      </c>
      <c r="Q211" s="506" t="str">
        <f>IF(D211="","",VLOOKUP(D211,'G-7 Rivers Data'!$B$2:$G$8,6,FALSE))</f>
        <v/>
      </c>
      <c r="R211" s="513" t="str">
        <f t="shared" si="24"/>
        <v/>
      </c>
      <c r="S211" s="40"/>
      <c r="T211" s="145"/>
      <c r="U211" s="157"/>
      <c r="V211" s="511" t="str">
        <f t="shared" si="25"/>
        <v/>
      </c>
      <c r="W211" s="511" t="str">
        <f t="shared" si="26"/>
        <v/>
      </c>
      <c r="X211" s="511" t="str">
        <f t="shared" si="27"/>
        <v/>
      </c>
      <c r="Y211" s="515" t="str">
        <f t="shared" si="28"/>
        <v/>
      </c>
      <c r="Z211" s="151"/>
      <c r="AA211" s="152"/>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c r="AP211" s="31" t="str">
        <f>IFERROR(INDEX('G-7 Rivers Data'!$AZ$3:$AZ$7,MATCH(D211,'G-7 Rivers Data'!$AY$3:$AY$7,0)),"")</f>
        <v/>
      </c>
    </row>
    <row r="212" spans="3:42" ht="13.8" x14ac:dyDescent="0.25">
      <c r="C212" s="141">
        <v>203</v>
      </c>
      <c r="D212" s="460"/>
      <c r="E212" s="172"/>
      <c r="F212" s="498" t="str">
        <f>IF(D212="","",VLOOKUP(D212,'G-7 Rivers Data'!$B$2:$G$8,2,FALSE))</f>
        <v/>
      </c>
      <c r="G212" s="499" t="str">
        <f>IFERROR(VLOOKUP(F212,'G-7 Rivers Data'!$C$4:$D$8,2,FALSE),"")</f>
        <v/>
      </c>
      <c r="H212" s="145"/>
      <c r="I212" s="499" t="str">
        <f>IFERROR(INDEX('G-7 Rivers Data'!$H$4:$L$8,MATCH(D212,'G-7 Rivers Data'!$B$4:$B$8,0),MATCH(H212,'G-7 Rivers Data'!$H$3:$L$3,0)),"")</f>
        <v/>
      </c>
      <c r="J212" s="418"/>
      <c r="K212" s="498" t="str">
        <f>IF(J212="","",IF(VLOOKUP(J212,'G-7 Rivers Data'!$AK$4:$AM$9,2,FALSE)=0,"Spatial Data Missing ⚠",VLOOKUP(J212,'G-7 Rivers Data'!$AK$4:$AM$9,2,FALSE)))</f>
        <v/>
      </c>
      <c r="L212" s="505" t="str">
        <f>IF(J212="","",IF(VLOOKUP(J212,'G-7 Rivers Data'!$AK$4:$AM$9,3,FALSE)=0,"Spatial Data Missing ⚠",VLOOKUP(J212,'G-7 Rivers Data'!$AK$4:$AM$9,3,FALSE)))</f>
        <v/>
      </c>
      <c r="M212" s="71"/>
      <c r="N212" s="499" t="str">
        <f>IF(M212="","",IF(VLOOKUP(M212,'G-7 Rivers Data'!$AA$4:$AB$7,2,FALSE)=0,"Spatial Data Missing ⚠",VLOOKUP(M212,'G-7 Rivers Data'!$AA$4:$AB$7,2,FALSE)))</f>
        <v/>
      </c>
      <c r="O212" s="155"/>
      <c r="P212" s="499" t="str">
        <f>IF(O212="","",IF(VLOOKUP(O212,'G-7 Rivers Data'!$AD$4:$AE$8,2,FALSE)=0,"Spatial Data Missing ⚠",VLOOKUP(O212,'G-7 Rivers Data'!$AD$4:$AE$8,2,FALSE)))</f>
        <v/>
      </c>
      <c r="Q212" s="506" t="str">
        <f>IF(D212="","",VLOOKUP(D212,'G-7 Rivers Data'!$B$2:$G$8,6,FALSE))</f>
        <v/>
      </c>
      <c r="R212" s="513" t="str">
        <f t="shared" si="24"/>
        <v/>
      </c>
      <c r="S212" s="40"/>
      <c r="T212" s="145"/>
      <c r="U212" s="157"/>
      <c r="V212" s="511" t="str">
        <f t="shared" si="25"/>
        <v/>
      </c>
      <c r="W212" s="511" t="str">
        <f t="shared" si="26"/>
        <v/>
      </c>
      <c r="X212" s="511" t="str">
        <f t="shared" si="27"/>
        <v/>
      </c>
      <c r="Y212" s="515" t="str">
        <f t="shared" si="28"/>
        <v/>
      </c>
      <c r="Z212" s="151"/>
      <c r="AA212" s="152"/>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c r="AP212" s="31" t="str">
        <f>IFERROR(INDEX('G-7 Rivers Data'!$AZ$3:$AZ$7,MATCH(D212,'G-7 Rivers Data'!$AY$3:$AY$7,0)),"")</f>
        <v/>
      </c>
    </row>
    <row r="213" spans="3:42" ht="13.8" x14ac:dyDescent="0.25">
      <c r="C213" s="141">
        <v>204</v>
      </c>
      <c r="D213" s="460"/>
      <c r="E213" s="172"/>
      <c r="F213" s="498" t="str">
        <f>IF(D213="","",VLOOKUP(D213,'G-7 Rivers Data'!$B$2:$G$8,2,FALSE))</f>
        <v/>
      </c>
      <c r="G213" s="499" t="str">
        <f>IFERROR(VLOOKUP(F213,'G-7 Rivers Data'!$C$4:$D$8,2,FALSE),"")</f>
        <v/>
      </c>
      <c r="H213" s="145"/>
      <c r="I213" s="499" t="str">
        <f>IFERROR(INDEX('G-7 Rivers Data'!$H$4:$L$8,MATCH(D213,'G-7 Rivers Data'!$B$4:$B$8,0),MATCH(H213,'G-7 Rivers Data'!$H$3:$L$3,0)),"")</f>
        <v/>
      </c>
      <c r="J213" s="418"/>
      <c r="K213" s="498" t="str">
        <f>IF(J213="","",IF(VLOOKUP(J213,'G-7 Rivers Data'!$AK$4:$AM$9,2,FALSE)=0,"Spatial Data Missing ⚠",VLOOKUP(J213,'G-7 Rivers Data'!$AK$4:$AM$9,2,FALSE)))</f>
        <v/>
      </c>
      <c r="L213" s="505" t="str">
        <f>IF(J213="","",IF(VLOOKUP(J213,'G-7 Rivers Data'!$AK$4:$AM$9,3,FALSE)=0,"Spatial Data Missing ⚠",VLOOKUP(J213,'G-7 Rivers Data'!$AK$4:$AM$9,3,FALSE)))</f>
        <v/>
      </c>
      <c r="M213" s="71"/>
      <c r="N213" s="499" t="str">
        <f>IF(M213="","",IF(VLOOKUP(M213,'G-7 Rivers Data'!$AA$4:$AB$7,2,FALSE)=0,"Spatial Data Missing ⚠",VLOOKUP(M213,'G-7 Rivers Data'!$AA$4:$AB$7,2,FALSE)))</f>
        <v/>
      </c>
      <c r="O213" s="155"/>
      <c r="P213" s="499" t="str">
        <f>IF(O213="","",IF(VLOOKUP(O213,'G-7 Rivers Data'!$AD$4:$AE$8,2,FALSE)=0,"Spatial Data Missing ⚠",VLOOKUP(O213,'G-7 Rivers Data'!$AD$4:$AE$8,2,FALSE)))</f>
        <v/>
      </c>
      <c r="Q213" s="506" t="str">
        <f>IF(D213="","",VLOOKUP(D213,'G-7 Rivers Data'!$B$2:$G$8,6,FALSE))</f>
        <v/>
      </c>
      <c r="R213" s="513" t="str">
        <f t="shared" si="24"/>
        <v/>
      </c>
      <c r="S213" s="40"/>
      <c r="T213" s="145"/>
      <c r="U213" s="157"/>
      <c r="V213" s="511" t="str">
        <f t="shared" si="25"/>
        <v/>
      </c>
      <c r="W213" s="511" t="str">
        <f t="shared" si="26"/>
        <v/>
      </c>
      <c r="X213" s="511" t="str">
        <f t="shared" si="27"/>
        <v/>
      </c>
      <c r="Y213" s="515" t="str">
        <f t="shared" si="28"/>
        <v/>
      </c>
      <c r="Z213" s="151"/>
      <c r="AA213" s="152"/>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c r="AP213" s="31" t="str">
        <f>IFERROR(INDEX('G-7 Rivers Data'!$AZ$3:$AZ$7,MATCH(D213,'G-7 Rivers Data'!$AY$3:$AY$7,0)),"")</f>
        <v/>
      </c>
    </row>
    <row r="214" spans="3:42" ht="13.8" x14ac:dyDescent="0.25">
      <c r="C214" s="141">
        <v>205</v>
      </c>
      <c r="D214" s="460"/>
      <c r="E214" s="172"/>
      <c r="F214" s="498" t="str">
        <f>IF(D214="","",VLOOKUP(D214,'G-7 Rivers Data'!$B$2:$G$8,2,FALSE))</f>
        <v/>
      </c>
      <c r="G214" s="499" t="str">
        <f>IFERROR(VLOOKUP(F214,'G-7 Rivers Data'!$C$4:$D$8,2,FALSE),"")</f>
        <v/>
      </c>
      <c r="H214" s="145"/>
      <c r="I214" s="499" t="str">
        <f>IFERROR(INDEX('G-7 Rivers Data'!$H$4:$L$8,MATCH(D214,'G-7 Rivers Data'!$B$4:$B$8,0),MATCH(H214,'G-7 Rivers Data'!$H$3:$L$3,0)),"")</f>
        <v/>
      </c>
      <c r="J214" s="418"/>
      <c r="K214" s="498" t="str">
        <f>IF(J214="","",IF(VLOOKUP(J214,'G-7 Rivers Data'!$AK$4:$AM$9,2,FALSE)=0,"Spatial Data Missing ⚠",VLOOKUP(J214,'G-7 Rivers Data'!$AK$4:$AM$9,2,FALSE)))</f>
        <v/>
      </c>
      <c r="L214" s="505" t="str">
        <f>IF(J214="","",IF(VLOOKUP(J214,'G-7 Rivers Data'!$AK$4:$AM$9,3,FALSE)=0,"Spatial Data Missing ⚠",VLOOKUP(J214,'G-7 Rivers Data'!$AK$4:$AM$9,3,FALSE)))</f>
        <v/>
      </c>
      <c r="M214" s="71"/>
      <c r="N214" s="499" t="str">
        <f>IF(M214="","",IF(VLOOKUP(M214,'G-7 Rivers Data'!$AA$4:$AB$7,2,FALSE)=0,"Spatial Data Missing ⚠",VLOOKUP(M214,'G-7 Rivers Data'!$AA$4:$AB$7,2,FALSE)))</f>
        <v/>
      </c>
      <c r="O214" s="155"/>
      <c r="P214" s="499" t="str">
        <f>IF(O214="","",IF(VLOOKUP(O214,'G-7 Rivers Data'!$AD$4:$AE$8,2,FALSE)=0,"Spatial Data Missing ⚠",VLOOKUP(O214,'G-7 Rivers Data'!$AD$4:$AE$8,2,FALSE)))</f>
        <v/>
      </c>
      <c r="Q214" s="506" t="str">
        <f>IF(D214="","",VLOOKUP(D214,'G-7 Rivers Data'!$B$2:$G$8,6,FALSE))</f>
        <v/>
      </c>
      <c r="R214" s="513" t="str">
        <f t="shared" si="24"/>
        <v/>
      </c>
      <c r="S214" s="40"/>
      <c r="T214" s="145"/>
      <c r="U214" s="157"/>
      <c r="V214" s="511" t="str">
        <f t="shared" si="25"/>
        <v/>
      </c>
      <c r="W214" s="511" t="str">
        <f t="shared" si="26"/>
        <v/>
      </c>
      <c r="X214" s="511" t="str">
        <f t="shared" si="27"/>
        <v/>
      </c>
      <c r="Y214" s="515" t="str">
        <f t="shared" si="28"/>
        <v/>
      </c>
      <c r="Z214" s="151"/>
      <c r="AA214" s="152"/>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c r="AP214" s="31" t="str">
        <f>IFERROR(INDEX('G-7 Rivers Data'!$AZ$3:$AZ$7,MATCH(D214,'G-7 Rivers Data'!$AY$3:$AY$7,0)),"")</f>
        <v/>
      </c>
    </row>
    <row r="215" spans="3:42" ht="13.8" x14ac:dyDescent="0.25">
      <c r="C215" s="141">
        <v>206</v>
      </c>
      <c r="D215" s="460"/>
      <c r="E215" s="172"/>
      <c r="F215" s="498" t="str">
        <f>IF(D215="","",VLOOKUP(D215,'G-7 Rivers Data'!$B$2:$G$8,2,FALSE))</f>
        <v/>
      </c>
      <c r="G215" s="499" t="str">
        <f>IFERROR(VLOOKUP(F215,'G-7 Rivers Data'!$C$4:$D$8,2,FALSE),"")</f>
        <v/>
      </c>
      <c r="H215" s="145"/>
      <c r="I215" s="499" t="str">
        <f>IFERROR(INDEX('G-7 Rivers Data'!$H$4:$L$8,MATCH(D215,'G-7 Rivers Data'!$B$4:$B$8,0),MATCH(H215,'G-7 Rivers Data'!$H$3:$L$3,0)),"")</f>
        <v/>
      </c>
      <c r="J215" s="418"/>
      <c r="K215" s="498" t="str">
        <f>IF(J215="","",IF(VLOOKUP(J215,'G-7 Rivers Data'!$AK$4:$AM$9,2,FALSE)=0,"Spatial Data Missing ⚠",VLOOKUP(J215,'G-7 Rivers Data'!$AK$4:$AM$9,2,FALSE)))</f>
        <v/>
      </c>
      <c r="L215" s="505" t="str">
        <f>IF(J215="","",IF(VLOOKUP(J215,'G-7 Rivers Data'!$AK$4:$AM$9,3,FALSE)=0,"Spatial Data Missing ⚠",VLOOKUP(J215,'G-7 Rivers Data'!$AK$4:$AM$9,3,FALSE)))</f>
        <v/>
      </c>
      <c r="M215" s="71"/>
      <c r="N215" s="499" t="str">
        <f>IF(M215="","",IF(VLOOKUP(M215,'G-7 Rivers Data'!$AA$4:$AB$7,2,FALSE)=0,"Spatial Data Missing ⚠",VLOOKUP(M215,'G-7 Rivers Data'!$AA$4:$AB$7,2,FALSE)))</f>
        <v/>
      </c>
      <c r="O215" s="155"/>
      <c r="P215" s="499" t="str">
        <f>IF(O215="","",IF(VLOOKUP(O215,'G-7 Rivers Data'!$AD$4:$AE$8,2,FALSE)=0,"Spatial Data Missing ⚠",VLOOKUP(O215,'G-7 Rivers Data'!$AD$4:$AE$8,2,FALSE)))</f>
        <v/>
      </c>
      <c r="Q215" s="506" t="str">
        <f>IF(D215="","",VLOOKUP(D215,'G-7 Rivers Data'!$B$2:$G$8,6,FALSE))</f>
        <v/>
      </c>
      <c r="R215" s="513" t="str">
        <f t="shared" si="24"/>
        <v/>
      </c>
      <c r="S215" s="40"/>
      <c r="T215" s="145"/>
      <c r="U215" s="157"/>
      <c r="V215" s="511" t="str">
        <f t="shared" si="25"/>
        <v/>
      </c>
      <c r="W215" s="511" t="str">
        <f t="shared" si="26"/>
        <v/>
      </c>
      <c r="X215" s="511" t="str">
        <f t="shared" si="27"/>
        <v/>
      </c>
      <c r="Y215" s="515" t="str">
        <f t="shared" si="28"/>
        <v/>
      </c>
      <c r="Z215" s="151"/>
      <c r="AA215" s="152"/>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c r="AP215" s="31" t="str">
        <f>IFERROR(INDEX('G-7 Rivers Data'!$AZ$3:$AZ$7,MATCH(D215,'G-7 Rivers Data'!$AY$3:$AY$7,0)),"")</f>
        <v/>
      </c>
    </row>
    <row r="216" spans="3:42" ht="13.8" x14ac:dyDescent="0.25">
      <c r="C216" s="141">
        <v>207</v>
      </c>
      <c r="D216" s="460"/>
      <c r="E216" s="172"/>
      <c r="F216" s="498" t="str">
        <f>IF(D216="","",VLOOKUP(D216,'G-7 Rivers Data'!$B$2:$G$8,2,FALSE))</f>
        <v/>
      </c>
      <c r="G216" s="499" t="str">
        <f>IFERROR(VLOOKUP(F216,'G-7 Rivers Data'!$C$4:$D$8,2,FALSE),"")</f>
        <v/>
      </c>
      <c r="H216" s="145"/>
      <c r="I216" s="499" t="str">
        <f>IFERROR(INDEX('G-7 Rivers Data'!$H$4:$L$8,MATCH(D216,'G-7 Rivers Data'!$B$4:$B$8,0),MATCH(H216,'G-7 Rivers Data'!$H$3:$L$3,0)),"")</f>
        <v/>
      </c>
      <c r="J216" s="418"/>
      <c r="K216" s="498" t="str">
        <f>IF(J216="","",IF(VLOOKUP(J216,'G-7 Rivers Data'!$AK$4:$AM$9,2,FALSE)=0,"Spatial Data Missing ⚠",VLOOKUP(J216,'G-7 Rivers Data'!$AK$4:$AM$9,2,FALSE)))</f>
        <v/>
      </c>
      <c r="L216" s="505" t="str">
        <f>IF(J216="","",IF(VLOOKUP(J216,'G-7 Rivers Data'!$AK$4:$AM$9,3,FALSE)=0,"Spatial Data Missing ⚠",VLOOKUP(J216,'G-7 Rivers Data'!$AK$4:$AM$9,3,FALSE)))</f>
        <v/>
      </c>
      <c r="M216" s="71"/>
      <c r="N216" s="499" t="str">
        <f>IF(M216="","",IF(VLOOKUP(M216,'G-7 Rivers Data'!$AA$4:$AB$7,2,FALSE)=0,"Spatial Data Missing ⚠",VLOOKUP(M216,'G-7 Rivers Data'!$AA$4:$AB$7,2,FALSE)))</f>
        <v/>
      </c>
      <c r="O216" s="155"/>
      <c r="P216" s="499" t="str">
        <f>IF(O216="","",IF(VLOOKUP(O216,'G-7 Rivers Data'!$AD$4:$AE$8,2,FALSE)=0,"Spatial Data Missing ⚠",VLOOKUP(O216,'G-7 Rivers Data'!$AD$4:$AE$8,2,FALSE)))</f>
        <v/>
      </c>
      <c r="Q216" s="506" t="str">
        <f>IF(D216="","",VLOOKUP(D216,'G-7 Rivers Data'!$B$2:$G$8,6,FALSE))</f>
        <v/>
      </c>
      <c r="R216" s="513" t="str">
        <f t="shared" si="24"/>
        <v/>
      </c>
      <c r="S216" s="40"/>
      <c r="T216" s="145"/>
      <c r="U216" s="157"/>
      <c r="V216" s="511" t="str">
        <f t="shared" si="25"/>
        <v/>
      </c>
      <c r="W216" s="511" t="str">
        <f t="shared" si="26"/>
        <v/>
      </c>
      <c r="X216" s="511" t="str">
        <f t="shared" si="27"/>
        <v/>
      </c>
      <c r="Y216" s="515" t="str">
        <f t="shared" si="28"/>
        <v/>
      </c>
      <c r="Z216" s="151"/>
      <c r="AA216" s="152"/>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c r="AP216" s="31" t="str">
        <f>IFERROR(INDEX('G-7 Rivers Data'!$AZ$3:$AZ$7,MATCH(D216,'G-7 Rivers Data'!$AY$3:$AY$7,0)),"")</f>
        <v/>
      </c>
    </row>
    <row r="217" spans="3:42" ht="13.8" x14ac:dyDescent="0.25">
      <c r="C217" s="141">
        <v>208</v>
      </c>
      <c r="D217" s="460"/>
      <c r="E217" s="172"/>
      <c r="F217" s="498" t="str">
        <f>IF(D217="","",VLOOKUP(D217,'G-7 Rivers Data'!$B$2:$G$8,2,FALSE))</f>
        <v/>
      </c>
      <c r="G217" s="499" t="str">
        <f>IFERROR(VLOOKUP(F217,'G-7 Rivers Data'!$C$4:$D$8,2,FALSE),"")</f>
        <v/>
      </c>
      <c r="H217" s="145"/>
      <c r="I217" s="499" t="str">
        <f>IFERROR(INDEX('G-7 Rivers Data'!$H$4:$L$8,MATCH(D217,'G-7 Rivers Data'!$B$4:$B$8,0),MATCH(H217,'G-7 Rivers Data'!$H$3:$L$3,0)),"")</f>
        <v/>
      </c>
      <c r="J217" s="418"/>
      <c r="K217" s="498" t="str">
        <f>IF(J217="","",IF(VLOOKUP(J217,'G-7 Rivers Data'!$AK$4:$AM$9,2,FALSE)=0,"Spatial Data Missing ⚠",VLOOKUP(J217,'G-7 Rivers Data'!$AK$4:$AM$9,2,FALSE)))</f>
        <v/>
      </c>
      <c r="L217" s="505" t="str">
        <f>IF(J217="","",IF(VLOOKUP(J217,'G-7 Rivers Data'!$AK$4:$AM$9,3,FALSE)=0,"Spatial Data Missing ⚠",VLOOKUP(J217,'G-7 Rivers Data'!$AK$4:$AM$9,3,FALSE)))</f>
        <v/>
      </c>
      <c r="M217" s="71"/>
      <c r="N217" s="499" t="str">
        <f>IF(M217="","",IF(VLOOKUP(M217,'G-7 Rivers Data'!$AA$4:$AB$7,2,FALSE)=0,"Spatial Data Missing ⚠",VLOOKUP(M217,'G-7 Rivers Data'!$AA$4:$AB$7,2,FALSE)))</f>
        <v/>
      </c>
      <c r="O217" s="155"/>
      <c r="P217" s="499" t="str">
        <f>IF(O217="","",IF(VLOOKUP(O217,'G-7 Rivers Data'!$AD$4:$AE$8,2,FALSE)=0,"Spatial Data Missing ⚠",VLOOKUP(O217,'G-7 Rivers Data'!$AD$4:$AE$8,2,FALSE)))</f>
        <v/>
      </c>
      <c r="Q217" s="506" t="str">
        <f>IF(D217="","",VLOOKUP(D217,'G-7 Rivers Data'!$B$2:$G$8,6,FALSE))</f>
        <v/>
      </c>
      <c r="R217" s="513" t="str">
        <f t="shared" si="24"/>
        <v/>
      </c>
      <c r="S217" s="40"/>
      <c r="T217" s="145"/>
      <c r="U217" s="157"/>
      <c r="V217" s="511" t="str">
        <f t="shared" si="25"/>
        <v/>
      </c>
      <c r="W217" s="511" t="str">
        <f t="shared" si="26"/>
        <v/>
      </c>
      <c r="X217" s="511" t="str">
        <f t="shared" si="27"/>
        <v/>
      </c>
      <c r="Y217" s="515" t="str">
        <f t="shared" si="28"/>
        <v/>
      </c>
      <c r="Z217" s="151"/>
      <c r="AA217" s="152"/>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c r="AP217" s="31" t="str">
        <f>IFERROR(INDEX('G-7 Rivers Data'!$AZ$3:$AZ$7,MATCH(D217,'G-7 Rivers Data'!$AY$3:$AY$7,0)),"")</f>
        <v/>
      </c>
    </row>
    <row r="218" spans="3:42" ht="13.8" x14ac:dyDescent="0.25">
      <c r="C218" s="141">
        <v>209</v>
      </c>
      <c r="D218" s="460"/>
      <c r="E218" s="172"/>
      <c r="F218" s="498" t="str">
        <f>IF(D218="","",VLOOKUP(D218,'G-7 Rivers Data'!$B$2:$G$8,2,FALSE))</f>
        <v/>
      </c>
      <c r="G218" s="499" t="str">
        <f>IFERROR(VLOOKUP(F218,'G-7 Rivers Data'!$C$4:$D$8,2,FALSE),"")</f>
        <v/>
      </c>
      <c r="H218" s="145"/>
      <c r="I218" s="499" t="str">
        <f>IFERROR(INDEX('G-7 Rivers Data'!$H$4:$L$8,MATCH(D218,'G-7 Rivers Data'!$B$4:$B$8,0),MATCH(H218,'G-7 Rivers Data'!$H$3:$L$3,0)),"")</f>
        <v/>
      </c>
      <c r="J218" s="418"/>
      <c r="K218" s="498" t="str">
        <f>IF(J218="","",IF(VLOOKUP(J218,'G-7 Rivers Data'!$AK$4:$AM$9,2,FALSE)=0,"Spatial Data Missing ⚠",VLOOKUP(J218,'G-7 Rivers Data'!$AK$4:$AM$9,2,FALSE)))</f>
        <v/>
      </c>
      <c r="L218" s="505" t="str">
        <f>IF(J218="","",IF(VLOOKUP(J218,'G-7 Rivers Data'!$AK$4:$AM$9,3,FALSE)=0,"Spatial Data Missing ⚠",VLOOKUP(J218,'G-7 Rivers Data'!$AK$4:$AM$9,3,FALSE)))</f>
        <v/>
      </c>
      <c r="M218" s="71"/>
      <c r="N218" s="499" t="str">
        <f>IF(M218="","",IF(VLOOKUP(M218,'G-7 Rivers Data'!$AA$4:$AB$7,2,FALSE)=0,"Spatial Data Missing ⚠",VLOOKUP(M218,'G-7 Rivers Data'!$AA$4:$AB$7,2,FALSE)))</f>
        <v/>
      </c>
      <c r="O218" s="155"/>
      <c r="P218" s="499" t="str">
        <f>IF(O218="","",IF(VLOOKUP(O218,'G-7 Rivers Data'!$AD$4:$AE$8,2,FALSE)=0,"Spatial Data Missing ⚠",VLOOKUP(O218,'G-7 Rivers Data'!$AD$4:$AE$8,2,FALSE)))</f>
        <v/>
      </c>
      <c r="Q218" s="506" t="str">
        <f>IF(D218="","",VLOOKUP(D218,'G-7 Rivers Data'!$B$2:$G$8,6,FALSE))</f>
        <v/>
      </c>
      <c r="R218" s="513" t="str">
        <f t="shared" si="24"/>
        <v/>
      </c>
      <c r="S218" s="40"/>
      <c r="T218" s="145"/>
      <c r="U218" s="157"/>
      <c r="V218" s="511" t="str">
        <f t="shared" si="25"/>
        <v/>
      </c>
      <c r="W218" s="511" t="str">
        <f t="shared" si="26"/>
        <v/>
      </c>
      <c r="X218" s="511" t="str">
        <f t="shared" si="27"/>
        <v/>
      </c>
      <c r="Y218" s="515" t="str">
        <f t="shared" si="28"/>
        <v/>
      </c>
      <c r="Z218" s="151"/>
      <c r="AA218" s="152"/>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c r="AP218" s="31" t="str">
        <f>IFERROR(INDEX('G-7 Rivers Data'!$AZ$3:$AZ$7,MATCH(D218,'G-7 Rivers Data'!$AY$3:$AY$7,0)),"")</f>
        <v/>
      </c>
    </row>
    <row r="219" spans="3:42" ht="13.8" x14ac:dyDescent="0.25">
      <c r="C219" s="141">
        <v>210</v>
      </c>
      <c r="D219" s="460"/>
      <c r="E219" s="172"/>
      <c r="F219" s="498" t="str">
        <f>IF(D219="","",VLOOKUP(D219,'G-7 Rivers Data'!$B$2:$G$8,2,FALSE))</f>
        <v/>
      </c>
      <c r="G219" s="499" t="str">
        <f>IFERROR(VLOOKUP(F219,'G-7 Rivers Data'!$C$4:$D$8,2,FALSE),"")</f>
        <v/>
      </c>
      <c r="H219" s="145"/>
      <c r="I219" s="499" t="str">
        <f>IFERROR(INDEX('G-7 Rivers Data'!$H$4:$L$8,MATCH(D219,'G-7 Rivers Data'!$B$4:$B$8,0),MATCH(H219,'G-7 Rivers Data'!$H$3:$L$3,0)),"")</f>
        <v/>
      </c>
      <c r="J219" s="418"/>
      <c r="K219" s="498" t="str">
        <f>IF(J219="","",IF(VLOOKUP(J219,'G-7 Rivers Data'!$AK$4:$AM$9,2,FALSE)=0,"Spatial Data Missing ⚠",VLOOKUP(J219,'G-7 Rivers Data'!$AK$4:$AM$9,2,FALSE)))</f>
        <v/>
      </c>
      <c r="L219" s="505" t="str">
        <f>IF(J219="","",IF(VLOOKUP(J219,'G-7 Rivers Data'!$AK$4:$AM$9,3,FALSE)=0,"Spatial Data Missing ⚠",VLOOKUP(J219,'G-7 Rivers Data'!$AK$4:$AM$9,3,FALSE)))</f>
        <v/>
      </c>
      <c r="M219" s="71"/>
      <c r="N219" s="499" t="str">
        <f>IF(M219="","",IF(VLOOKUP(M219,'G-7 Rivers Data'!$AA$4:$AB$7,2,FALSE)=0,"Spatial Data Missing ⚠",VLOOKUP(M219,'G-7 Rivers Data'!$AA$4:$AB$7,2,FALSE)))</f>
        <v/>
      </c>
      <c r="O219" s="155"/>
      <c r="P219" s="499" t="str">
        <f>IF(O219="","",IF(VLOOKUP(O219,'G-7 Rivers Data'!$AD$4:$AE$8,2,FALSE)=0,"Spatial Data Missing ⚠",VLOOKUP(O219,'G-7 Rivers Data'!$AD$4:$AE$8,2,FALSE)))</f>
        <v/>
      </c>
      <c r="Q219" s="506" t="str">
        <f>IF(D219="","",VLOOKUP(D219,'G-7 Rivers Data'!$B$2:$G$8,6,FALSE))</f>
        <v/>
      </c>
      <c r="R219" s="513" t="str">
        <f t="shared" si="24"/>
        <v/>
      </c>
      <c r="S219" s="40"/>
      <c r="T219" s="145"/>
      <c r="U219" s="157"/>
      <c r="V219" s="511" t="str">
        <f t="shared" si="25"/>
        <v/>
      </c>
      <c r="W219" s="511" t="str">
        <f t="shared" si="26"/>
        <v/>
      </c>
      <c r="X219" s="511" t="str">
        <f t="shared" si="27"/>
        <v/>
      </c>
      <c r="Y219" s="515" t="str">
        <f t="shared" si="28"/>
        <v/>
      </c>
      <c r="Z219" s="151"/>
      <c r="AA219" s="152"/>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c r="AP219" s="31" t="str">
        <f>IFERROR(INDEX('G-7 Rivers Data'!$AZ$3:$AZ$7,MATCH(D219,'G-7 Rivers Data'!$AY$3:$AY$7,0)),"")</f>
        <v/>
      </c>
    </row>
    <row r="220" spans="3:42" ht="13.8" x14ac:dyDescent="0.25">
      <c r="C220" s="141">
        <v>211</v>
      </c>
      <c r="D220" s="460"/>
      <c r="E220" s="172"/>
      <c r="F220" s="498" t="str">
        <f>IF(D220="","",VLOOKUP(D220,'G-7 Rivers Data'!$B$2:$G$8,2,FALSE))</f>
        <v/>
      </c>
      <c r="G220" s="499" t="str">
        <f>IFERROR(VLOOKUP(F220,'G-7 Rivers Data'!$C$4:$D$8,2,FALSE),"")</f>
        <v/>
      </c>
      <c r="H220" s="145"/>
      <c r="I220" s="499" t="str">
        <f>IFERROR(INDEX('G-7 Rivers Data'!$H$4:$L$8,MATCH(D220,'G-7 Rivers Data'!$B$4:$B$8,0),MATCH(H220,'G-7 Rivers Data'!$H$3:$L$3,0)),"")</f>
        <v/>
      </c>
      <c r="J220" s="418"/>
      <c r="K220" s="498" t="str">
        <f>IF(J220="","",IF(VLOOKUP(J220,'G-7 Rivers Data'!$AK$4:$AM$9,2,FALSE)=0,"Spatial Data Missing ⚠",VLOOKUP(J220,'G-7 Rivers Data'!$AK$4:$AM$9,2,FALSE)))</f>
        <v/>
      </c>
      <c r="L220" s="505" t="str">
        <f>IF(J220="","",IF(VLOOKUP(J220,'G-7 Rivers Data'!$AK$4:$AM$9,3,FALSE)=0,"Spatial Data Missing ⚠",VLOOKUP(J220,'G-7 Rivers Data'!$AK$4:$AM$9,3,FALSE)))</f>
        <v/>
      </c>
      <c r="M220" s="71"/>
      <c r="N220" s="499" t="str">
        <f>IF(M220="","",IF(VLOOKUP(M220,'G-7 Rivers Data'!$AA$4:$AB$7,2,FALSE)=0,"Spatial Data Missing ⚠",VLOOKUP(M220,'G-7 Rivers Data'!$AA$4:$AB$7,2,FALSE)))</f>
        <v/>
      </c>
      <c r="O220" s="155"/>
      <c r="P220" s="499" t="str">
        <f>IF(O220="","",IF(VLOOKUP(O220,'G-7 Rivers Data'!$AD$4:$AE$8,2,FALSE)=0,"Spatial Data Missing ⚠",VLOOKUP(O220,'G-7 Rivers Data'!$AD$4:$AE$8,2,FALSE)))</f>
        <v/>
      </c>
      <c r="Q220" s="506" t="str">
        <f>IF(D220="","",VLOOKUP(D220,'G-7 Rivers Data'!$B$2:$G$8,6,FALSE))</f>
        <v/>
      </c>
      <c r="R220" s="513" t="str">
        <f t="shared" si="24"/>
        <v/>
      </c>
      <c r="S220" s="40"/>
      <c r="T220" s="145"/>
      <c r="U220" s="157"/>
      <c r="V220" s="511" t="str">
        <f t="shared" si="25"/>
        <v/>
      </c>
      <c r="W220" s="511" t="str">
        <f t="shared" si="26"/>
        <v/>
      </c>
      <c r="X220" s="511" t="str">
        <f t="shared" si="27"/>
        <v/>
      </c>
      <c r="Y220" s="515" t="str">
        <f t="shared" si="28"/>
        <v/>
      </c>
      <c r="Z220" s="151"/>
      <c r="AA220" s="152"/>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c r="AP220" s="31" t="str">
        <f>IFERROR(INDEX('G-7 Rivers Data'!$AZ$3:$AZ$7,MATCH(D220,'G-7 Rivers Data'!$AY$3:$AY$7,0)),"")</f>
        <v/>
      </c>
    </row>
    <row r="221" spans="3:42" ht="13.8" x14ac:dyDescent="0.25">
      <c r="C221" s="141">
        <v>212</v>
      </c>
      <c r="D221" s="460"/>
      <c r="E221" s="172"/>
      <c r="F221" s="498" t="str">
        <f>IF(D221="","",VLOOKUP(D221,'G-7 Rivers Data'!$B$2:$G$8,2,FALSE))</f>
        <v/>
      </c>
      <c r="G221" s="499" t="str">
        <f>IFERROR(VLOOKUP(F221,'G-7 Rivers Data'!$C$4:$D$8,2,FALSE),"")</f>
        <v/>
      </c>
      <c r="H221" s="145"/>
      <c r="I221" s="499" t="str">
        <f>IFERROR(INDEX('G-7 Rivers Data'!$H$4:$L$8,MATCH(D221,'G-7 Rivers Data'!$B$4:$B$8,0),MATCH(H221,'G-7 Rivers Data'!$H$3:$L$3,0)),"")</f>
        <v/>
      </c>
      <c r="J221" s="418"/>
      <c r="K221" s="498" t="str">
        <f>IF(J221="","",IF(VLOOKUP(J221,'G-7 Rivers Data'!$AK$4:$AM$9,2,FALSE)=0,"Spatial Data Missing ⚠",VLOOKUP(J221,'G-7 Rivers Data'!$AK$4:$AM$9,2,FALSE)))</f>
        <v/>
      </c>
      <c r="L221" s="505" t="str">
        <f>IF(J221="","",IF(VLOOKUP(J221,'G-7 Rivers Data'!$AK$4:$AM$9,3,FALSE)=0,"Spatial Data Missing ⚠",VLOOKUP(J221,'G-7 Rivers Data'!$AK$4:$AM$9,3,FALSE)))</f>
        <v/>
      </c>
      <c r="M221" s="71"/>
      <c r="N221" s="499" t="str">
        <f>IF(M221="","",IF(VLOOKUP(M221,'G-7 Rivers Data'!$AA$4:$AB$7,2,FALSE)=0,"Spatial Data Missing ⚠",VLOOKUP(M221,'G-7 Rivers Data'!$AA$4:$AB$7,2,FALSE)))</f>
        <v/>
      </c>
      <c r="O221" s="155"/>
      <c r="P221" s="499" t="str">
        <f>IF(O221="","",IF(VLOOKUP(O221,'G-7 Rivers Data'!$AD$4:$AE$8,2,FALSE)=0,"Spatial Data Missing ⚠",VLOOKUP(O221,'G-7 Rivers Data'!$AD$4:$AE$8,2,FALSE)))</f>
        <v/>
      </c>
      <c r="Q221" s="506" t="str">
        <f>IF(D221="","",VLOOKUP(D221,'G-7 Rivers Data'!$B$2:$G$8,6,FALSE))</f>
        <v/>
      </c>
      <c r="R221" s="513" t="str">
        <f t="shared" si="24"/>
        <v/>
      </c>
      <c r="S221" s="40"/>
      <c r="T221" s="145"/>
      <c r="U221" s="157"/>
      <c r="V221" s="511" t="str">
        <f t="shared" si="25"/>
        <v/>
      </c>
      <c r="W221" s="511" t="str">
        <f t="shared" si="26"/>
        <v/>
      </c>
      <c r="X221" s="511" t="str">
        <f t="shared" si="27"/>
        <v/>
      </c>
      <c r="Y221" s="515" t="str">
        <f t="shared" si="28"/>
        <v/>
      </c>
      <c r="Z221" s="151"/>
      <c r="AA221" s="152"/>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c r="AP221" s="31" t="str">
        <f>IFERROR(INDEX('G-7 Rivers Data'!$AZ$3:$AZ$7,MATCH(D221,'G-7 Rivers Data'!$AY$3:$AY$7,0)),"")</f>
        <v/>
      </c>
    </row>
    <row r="222" spans="3:42" ht="13.8" x14ac:dyDescent="0.25">
      <c r="C222" s="141">
        <v>213</v>
      </c>
      <c r="D222" s="460"/>
      <c r="E222" s="172"/>
      <c r="F222" s="498" t="str">
        <f>IF(D222="","",VLOOKUP(D222,'G-7 Rivers Data'!$B$2:$G$8,2,FALSE))</f>
        <v/>
      </c>
      <c r="G222" s="499" t="str">
        <f>IFERROR(VLOOKUP(F222,'G-7 Rivers Data'!$C$4:$D$8,2,FALSE),"")</f>
        <v/>
      </c>
      <c r="H222" s="145"/>
      <c r="I222" s="499" t="str">
        <f>IFERROR(INDEX('G-7 Rivers Data'!$H$4:$L$8,MATCH(D222,'G-7 Rivers Data'!$B$4:$B$8,0),MATCH(H222,'G-7 Rivers Data'!$H$3:$L$3,0)),"")</f>
        <v/>
      </c>
      <c r="J222" s="418"/>
      <c r="K222" s="498" t="str">
        <f>IF(J222="","",IF(VLOOKUP(J222,'G-7 Rivers Data'!$AK$4:$AM$9,2,FALSE)=0,"Spatial Data Missing ⚠",VLOOKUP(J222,'G-7 Rivers Data'!$AK$4:$AM$9,2,FALSE)))</f>
        <v/>
      </c>
      <c r="L222" s="505" t="str">
        <f>IF(J222="","",IF(VLOOKUP(J222,'G-7 Rivers Data'!$AK$4:$AM$9,3,FALSE)=0,"Spatial Data Missing ⚠",VLOOKUP(J222,'G-7 Rivers Data'!$AK$4:$AM$9,3,FALSE)))</f>
        <v/>
      </c>
      <c r="M222" s="71"/>
      <c r="N222" s="499" t="str">
        <f>IF(M222="","",IF(VLOOKUP(M222,'G-7 Rivers Data'!$AA$4:$AB$7,2,FALSE)=0,"Spatial Data Missing ⚠",VLOOKUP(M222,'G-7 Rivers Data'!$AA$4:$AB$7,2,FALSE)))</f>
        <v/>
      </c>
      <c r="O222" s="155"/>
      <c r="P222" s="499" t="str">
        <f>IF(O222="","",IF(VLOOKUP(O222,'G-7 Rivers Data'!$AD$4:$AE$8,2,FALSE)=0,"Spatial Data Missing ⚠",VLOOKUP(O222,'G-7 Rivers Data'!$AD$4:$AE$8,2,FALSE)))</f>
        <v/>
      </c>
      <c r="Q222" s="506" t="str">
        <f>IF(D222="","",VLOOKUP(D222,'G-7 Rivers Data'!$B$2:$G$8,6,FALSE))</f>
        <v/>
      </c>
      <c r="R222" s="513" t="str">
        <f t="shared" si="24"/>
        <v/>
      </c>
      <c r="S222" s="40"/>
      <c r="T222" s="145"/>
      <c r="U222" s="157"/>
      <c r="V222" s="511" t="str">
        <f t="shared" si="25"/>
        <v/>
      </c>
      <c r="W222" s="511" t="str">
        <f t="shared" si="26"/>
        <v/>
      </c>
      <c r="X222" s="511" t="str">
        <f t="shared" si="27"/>
        <v/>
      </c>
      <c r="Y222" s="515" t="str">
        <f t="shared" si="28"/>
        <v/>
      </c>
      <c r="Z222" s="151"/>
      <c r="AA222" s="152"/>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c r="AP222" s="31" t="str">
        <f>IFERROR(INDEX('G-7 Rivers Data'!$AZ$3:$AZ$7,MATCH(D222,'G-7 Rivers Data'!$AY$3:$AY$7,0)),"")</f>
        <v/>
      </c>
    </row>
    <row r="223" spans="3:42" ht="13.8" x14ac:dyDescent="0.25">
      <c r="C223" s="141">
        <v>214</v>
      </c>
      <c r="D223" s="460"/>
      <c r="E223" s="172"/>
      <c r="F223" s="498" t="str">
        <f>IF(D223="","",VLOOKUP(D223,'G-7 Rivers Data'!$B$2:$G$8,2,FALSE))</f>
        <v/>
      </c>
      <c r="G223" s="499" t="str">
        <f>IFERROR(VLOOKUP(F223,'G-7 Rivers Data'!$C$4:$D$8,2,FALSE),"")</f>
        <v/>
      </c>
      <c r="H223" s="145"/>
      <c r="I223" s="499" t="str">
        <f>IFERROR(INDEX('G-7 Rivers Data'!$H$4:$L$8,MATCH(D223,'G-7 Rivers Data'!$B$4:$B$8,0),MATCH(H223,'G-7 Rivers Data'!$H$3:$L$3,0)),"")</f>
        <v/>
      </c>
      <c r="J223" s="418"/>
      <c r="K223" s="498" t="str">
        <f>IF(J223="","",IF(VLOOKUP(J223,'G-7 Rivers Data'!$AK$4:$AM$9,2,FALSE)=0,"Spatial Data Missing ⚠",VLOOKUP(J223,'G-7 Rivers Data'!$AK$4:$AM$9,2,FALSE)))</f>
        <v/>
      </c>
      <c r="L223" s="505" t="str">
        <f>IF(J223="","",IF(VLOOKUP(J223,'G-7 Rivers Data'!$AK$4:$AM$9,3,FALSE)=0,"Spatial Data Missing ⚠",VLOOKUP(J223,'G-7 Rivers Data'!$AK$4:$AM$9,3,FALSE)))</f>
        <v/>
      </c>
      <c r="M223" s="71"/>
      <c r="N223" s="499" t="str">
        <f>IF(M223="","",IF(VLOOKUP(M223,'G-7 Rivers Data'!$AA$4:$AB$7,2,FALSE)=0,"Spatial Data Missing ⚠",VLOOKUP(M223,'G-7 Rivers Data'!$AA$4:$AB$7,2,FALSE)))</f>
        <v/>
      </c>
      <c r="O223" s="155"/>
      <c r="P223" s="499" t="str">
        <f>IF(O223="","",IF(VLOOKUP(O223,'G-7 Rivers Data'!$AD$4:$AE$8,2,FALSE)=0,"Spatial Data Missing ⚠",VLOOKUP(O223,'G-7 Rivers Data'!$AD$4:$AE$8,2,FALSE)))</f>
        <v/>
      </c>
      <c r="Q223" s="506" t="str">
        <f>IF(D223="","",VLOOKUP(D223,'G-7 Rivers Data'!$B$2:$G$8,6,FALSE))</f>
        <v/>
      </c>
      <c r="R223" s="513" t="str">
        <f t="shared" si="24"/>
        <v/>
      </c>
      <c r="S223" s="40"/>
      <c r="T223" s="145"/>
      <c r="U223" s="157"/>
      <c r="V223" s="511" t="str">
        <f t="shared" si="25"/>
        <v/>
      </c>
      <c r="W223" s="511" t="str">
        <f t="shared" si="26"/>
        <v/>
      </c>
      <c r="X223" s="511" t="str">
        <f t="shared" si="27"/>
        <v/>
      </c>
      <c r="Y223" s="515" t="str">
        <f t="shared" si="28"/>
        <v/>
      </c>
      <c r="Z223" s="151"/>
      <c r="AA223" s="152"/>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c r="AP223" s="31" t="str">
        <f>IFERROR(INDEX('G-7 Rivers Data'!$AZ$3:$AZ$7,MATCH(D223,'G-7 Rivers Data'!$AY$3:$AY$7,0)),"")</f>
        <v/>
      </c>
    </row>
    <row r="224" spans="3:42" ht="13.8" x14ac:dyDescent="0.25">
      <c r="C224" s="141">
        <v>215</v>
      </c>
      <c r="D224" s="460"/>
      <c r="E224" s="172"/>
      <c r="F224" s="498" t="str">
        <f>IF(D224="","",VLOOKUP(D224,'G-7 Rivers Data'!$B$2:$G$8,2,FALSE))</f>
        <v/>
      </c>
      <c r="G224" s="499" t="str">
        <f>IFERROR(VLOOKUP(F224,'G-7 Rivers Data'!$C$4:$D$8,2,FALSE),"")</f>
        <v/>
      </c>
      <c r="H224" s="145"/>
      <c r="I224" s="499" t="str">
        <f>IFERROR(INDEX('G-7 Rivers Data'!$H$4:$L$8,MATCH(D224,'G-7 Rivers Data'!$B$4:$B$8,0),MATCH(H224,'G-7 Rivers Data'!$H$3:$L$3,0)),"")</f>
        <v/>
      </c>
      <c r="J224" s="418"/>
      <c r="K224" s="498" t="str">
        <f>IF(J224="","",IF(VLOOKUP(J224,'G-7 Rivers Data'!$AK$4:$AM$9,2,FALSE)=0,"Spatial Data Missing ⚠",VLOOKUP(J224,'G-7 Rivers Data'!$AK$4:$AM$9,2,FALSE)))</f>
        <v/>
      </c>
      <c r="L224" s="505" t="str">
        <f>IF(J224="","",IF(VLOOKUP(J224,'G-7 Rivers Data'!$AK$4:$AM$9,3,FALSE)=0,"Spatial Data Missing ⚠",VLOOKUP(J224,'G-7 Rivers Data'!$AK$4:$AM$9,3,FALSE)))</f>
        <v/>
      </c>
      <c r="M224" s="71"/>
      <c r="N224" s="499" t="str">
        <f>IF(M224="","",IF(VLOOKUP(M224,'G-7 Rivers Data'!$AA$4:$AB$7,2,FALSE)=0,"Spatial Data Missing ⚠",VLOOKUP(M224,'G-7 Rivers Data'!$AA$4:$AB$7,2,FALSE)))</f>
        <v/>
      </c>
      <c r="O224" s="155"/>
      <c r="P224" s="499" t="str">
        <f>IF(O224="","",IF(VLOOKUP(O224,'G-7 Rivers Data'!$AD$4:$AE$8,2,FALSE)=0,"Spatial Data Missing ⚠",VLOOKUP(O224,'G-7 Rivers Data'!$AD$4:$AE$8,2,FALSE)))</f>
        <v/>
      </c>
      <c r="Q224" s="506" t="str">
        <f>IF(D224="","",VLOOKUP(D224,'G-7 Rivers Data'!$B$2:$G$8,6,FALSE))</f>
        <v/>
      </c>
      <c r="R224" s="513" t="str">
        <f t="shared" si="24"/>
        <v/>
      </c>
      <c r="S224" s="40"/>
      <c r="T224" s="145"/>
      <c r="U224" s="157"/>
      <c r="V224" s="511" t="str">
        <f t="shared" si="25"/>
        <v/>
      </c>
      <c r="W224" s="511" t="str">
        <f t="shared" si="26"/>
        <v/>
      </c>
      <c r="X224" s="511" t="str">
        <f t="shared" si="27"/>
        <v/>
      </c>
      <c r="Y224" s="515" t="str">
        <f t="shared" si="28"/>
        <v/>
      </c>
      <c r="Z224" s="151"/>
      <c r="AA224" s="152"/>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c r="AP224" s="31" t="str">
        <f>IFERROR(INDEX('G-7 Rivers Data'!$AZ$3:$AZ$7,MATCH(D224,'G-7 Rivers Data'!$AY$3:$AY$7,0)),"")</f>
        <v/>
      </c>
    </row>
    <row r="225" spans="3:42" ht="13.8" x14ac:dyDescent="0.25">
      <c r="C225" s="141">
        <v>216</v>
      </c>
      <c r="D225" s="460"/>
      <c r="E225" s="172"/>
      <c r="F225" s="498" t="str">
        <f>IF(D225="","",VLOOKUP(D225,'G-7 Rivers Data'!$B$2:$G$8,2,FALSE))</f>
        <v/>
      </c>
      <c r="G225" s="499" t="str">
        <f>IFERROR(VLOOKUP(F225,'G-7 Rivers Data'!$C$4:$D$8,2,FALSE),"")</f>
        <v/>
      </c>
      <c r="H225" s="145"/>
      <c r="I225" s="499" t="str">
        <f>IFERROR(INDEX('G-7 Rivers Data'!$H$4:$L$8,MATCH(D225,'G-7 Rivers Data'!$B$4:$B$8,0),MATCH(H225,'G-7 Rivers Data'!$H$3:$L$3,0)),"")</f>
        <v/>
      </c>
      <c r="J225" s="418"/>
      <c r="K225" s="498" t="str">
        <f>IF(J225="","",IF(VLOOKUP(J225,'G-7 Rivers Data'!$AK$4:$AM$9,2,FALSE)=0,"Spatial Data Missing ⚠",VLOOKUP(J225,'G-7 Rivers Data'!$AK$4:$AM$9,2,FALSE)))</f>
        <v/>
      </c>
      <c r="L225" s="505" t="str">
        <f>IF(J225="","",IF(VLOOKUP(J225,'G-7 Rivers Data'!$AK$4:$AM$9,3,FALSE)=0,"Spatial Data Missing ⚠",VLOOKUP(J225,'G-7 Rivers Data'!$AK$4:$AM$9,3,FALSE)))</f>
        <v/>
      </c>
      <c r="M225" s="71"/>
      <c r="N225" s="499" t="str">
        <f>IF(M225="","",IF(VLOOKUP(M225,'G-7 Rivers Data'!$AA$4:$AB$7,2,FALSE)=0,"Spatial Data Missing ⚠",VLOOKUP(M225,'G-7 Rivers Data'!$AA$4:$AB$7,2,FALSE)))</f>
        <v/>
      </c>
      <c r="O225" s="155"/>
      <c r="P225" s="499" t="str">
        <f>IF(O225="","",IF(VLOOKUP(O225,'G-7 Rivers Data'!$AD$4:$AE$8,2,FALSE)=0,"Spatial Data Missing ⚠",VLOOKUP(O225,'G-7 Rivers Data'!$AD$4:$AE$8,2,FALSE)))</f>
        <v/>
      </c>
      <c r="Q225" s="506" t="str">
        <f>IF(D225="","",VLOOKUP(D225,'G-7 Rivers Data'!$B$2:$G$8,6,FALSE))</f>
        <v/>
      </c>
      <c r="R225" s="513" t="str">
        <f t="shared" si="24"/>
        <v/>
      </c>
      <c r="S225" s="40"/>
      <c r="T225" s="145"/>
      <c r="U225" s="157"/>
      <c r="V225" s="511" t="str">
        <f t="shared" si="25"/>
        <v/>
      </c>
      <c r="W225" s="511" t="str">
        <f t="shared" si="26"/>
        <v/>
      </c>
      <c r="X225" s="511" t="str">
        <f t="shared" si="27"/>
        <v/>
      </c>
      <c r="Y225" s="515" t="str">
        <f t="shared" si="28"/>
        <v/>
      </c>
      <c r="Z225" s="151"/>
      <c r="AA225" s="152"/>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c r="AP225" s="31" t="str">
        <f>IFERROR(INDEX('G-7 Rivers Data'!$AZ$3:$AZ$7,MATCH(D225,'G-7 Rivers Data'!$AY$3:$AY$7,0)),"")</f>
        <v/>
      </c>
    </row>
    <row r="226" spans="3:42" ht="13.8" x14ac:dyDescent="0.25">
      <c r="C226" s="141">
        <v>217</v>
      </c>
      <c r="D226" s="460"/>
      <c r="E226" s="172"/>
      <c r="F226" s="498" t="str">
        <f>IF(D226="","",VLOOKUP(D226,'G-7 Rivers Data'!$B$2:$G$8,2,FALSE))</f>
        <v/>
      </c>
      <c r="G226" s="499" t="str">
        <f>IFERROR(VLOOKUP(F226,'G-7 Rivers Data'!$C$4:$D$8,2,FALSE),"")</f>
        <v/>
      </c>
      <c r="H226" s="145"/>
      <c r="I226" s="499" t="str">
        <f>IFERROR(INDEX('G-7 Rivers Data'!$H$4:$L$8,MATCH(D226,'G-7 Rivers Data'!$B$4:$B$8,0),MATCH(H226,'G-7 Rivers Data'!$H$3:$L$3,0)),"")</f>
        <v/>
      </c>
      <c r="J226" s="418"/>
      <c r="K226" s="498" t="str">
        <f>IF(J226="","",IF(VLOOKUP(J226,'G-7 Rivers Data'!$AK$4:$AM$9,2,FALSE)=0,"Spatial Data Missing ⚠",VLOOKUP(J226,'G-7 Rivers Data'!$AK$4:$AM$9,2,FALSE)))</f>
        <v/>
      </c>
      <c r="L226" s="505" t="str">
        <f>IF(J226="","",IF(VLOOKUP(J226,'G-7 Rivers Data'!$AK$4:$AM$9,3,FALSE)=0,"Spatial Data Missing ⚠",VLOOKUP(J226,'G-7 Rivers Data'!$AK$4:$AM$9,3,FALSE)))</f>
        <v/>
      </c>
      <c r="M226" s="71"/>
      <c r="N226" s="499" t="str">
        <f>IF(M226="","",IF(VLOOKUP(M226,'G-7 Rivers Data'!$AA$4:$AB$7,2,FALSE)=0,"Spatial Data Missing ⚠",VLOOKUP(M226,'G-7 Rivers Data'!$AA$4:$AB$7,2,FALSE)))</f>
        <v/>
      </c>
      <c r="O226" s="155"/>
      <c r="P226" s="499" t="str">
        <f>IF(O226="","",IF(VLOOKUP(O226,'G-7 Rivers Data'!$AD$4:$AE$8,2,FALSE)=0,"Spatial Data Missing ⚠",VLOOKUP(O226,'G-7 Rivers Data'!$AD$4:$AE$8,2,FALSE)))</f>
        <v/>
      </c>
      <c r="Q226" s="506" t="str">
        <f>IF(D226="","",VLOOKUP(D226,'G-7 Rivers Data'!$B$2:$G$8,6,FALSE))</f>
        <v/>
      </c>
      <c r="R226" s="513" t="str">
        <f t="shared" si="24"/>
        <v/>
      </c>
      <c r="S226" s="40"/>
      <c r="T226" s="145"/>
      <c r="U226" s="157"/>
      <c r="V226" s="511" t="str">
        <f t="shared" si="25"/>
        <v/>
      </c>
      <c r="W226" s="511" t="str">
        <f t="shared" si="26"/>
        <v/>
      </c>
      <c r="X226" s="511" t="str">
        <f t="shared" si="27"/>
        <v/>
      </c>
      <c r="Y226" s="515" t="str">
        <f t="shared" si="28"/>
        <v/>
      </c>
      <c r="Z226" s="151"/>
      <c r="AA226" s="152"/>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c r="AP226" s="31" t="str">
        <f>IFERROR(INDEX('G-7 Rivers Data'!$AZ$3:$AZ$7,MATCH(D226,'G-7 Rivers Data'!$AY$3:$AY$7,0)),"")</f>
        <v/>
      </c>
    </row>
    <row r="227" spans="3:42" ht="13.8" x14ac:dyDescent="0.25">
      <c r="C227" s="141">
        <v>218</v>
      </c>
      <c r="D227" s="460"/>
      <c r="E227" s="172"/>
      <c r="F227" s="498" t="str">
        <f>IF(D227="","",VLOOKUP(D227,'G-7 Rivers Data'!$B$2:$G$8,2,FALSE))</f>
        <v/>
      </c>
      <c r="G227" s="499" t="str">
        <f>IFERROR(VLOOKUP(F227,'G-7 Rivers Data'!$C$4:$D$8,2,FALSE),"")</f>
        <v/>
      </c>
      <c r="H227" s="145"/>
      <c r="I227" s="499" t="str">
        <f>IFERROR(INDEX('G-7 Rivers Data'!$H$4:$L$8,MATCH(D227,'G-7 Rivers Data'!$B$4:$B$8,0),MATCH(H227,'G-7 Rivers Data'!$H$3:$L$3,0)),"")</f>
        <v/>
      </c>
      <c r="J227" s="418"/>
      <c r="K227" s="498" t="str">
        <f>IF(J227="","",IF(VLOOKUP(J227,'G-7 Rivers Data'!$AK$4:$AM$9,2,FALSE)=0,"Spatial Data Missing ⚠",VLOOKUP(J227,'G-7 Rivers Data'!$AK$4:$AM$9,2,FALSE)))</f>
        <v/>
      </c>
      <c r="L227" s="505" t="str">
        <f>IF(J227="","",IF(VLOOKUP(J227,'G-7 Rivers Data'!$AK$4:$AM$9,3,FALSE)=0,"Spatial Data Missing ⚠",VLOOKUP(J227,'G-7 Rivers Data'!$AK$4:$AM$9,3,FALSE)))</f>
        <v/>
      </c>
      <c r="M227" s="71"/>
      <c r="N227" s="499" t="str">
        <f>IF(M227="","",IF(VLOOKUP(M227,'G-7 Rivers Data'!$AA$4:$AB$7,2,FALSE)=0,"Spatial Data Missing ⚠",VLOOKUP(M227,'G-7 Rivers Data'!$AA$4:$AB$7,2,FALSE)))</f>
        <v/>
      </c>
      <c r="O227" s="155"/>
      <c r="P227" s="499" t="str">
        <f>IF(O227="","",IF(VLOOKUP(O227,'G-7 Rivers Data'!$AD$4:$AE$8,2,FALSE)=0,"Spatial Data Missing ⚠",VLOOKUP(O227,'G-7 Rivers Data'!$AD$4:$AE$8,2,FALSE)))</f>
        <v/>
      </c>
      <c r="Q227" s="506" t="str">
        <f>IF(D227="","",VLOOKUP(D227,'G-7 Rivers Data'!$B$2:$G$8,6,FALSE))</f>
        <v/>
      </c>
      <c r="R227" s="513" t="str">
        <f t="shared" si="24"/>
        <v/>
      </c>
      <c r="S227" s="40"/>
      <c r="T227" s="145"/>
      <c r="U227" s="157"/>
      <c r="V227" s="511" t="str">
        <f t="shared" si="25"/>
        <v/>
      </c>
      <c r="W227" s="511" t="str">
        <f t="shared" si="26"/>
        <v/>
      </c>
      <c r="X227" s="511" t="str">
        <f t="shared" si="27"/>
        <v/>
      </c>
      <c r="Y227" s="515" t="str">
        <f t="shared" si="28"/>
        <v/>
      </c>
      <c r="Z227" s="151"/>
      <c r="AA227" s="152"/>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c r="AP227" s="31" t="str">
        <f>IFERROR(INDEX('G-7 Rivers Data'!$AZ$3:$AZ$7,MATCH(D227,'G-7 Rivers Data'!$AY$3:$AY$7,0)),"")</f>
        <v/>
      </c>
    </row>
    <row r="228" spans="3:42" ht="13.8" x14ac:dyDescent="0.25">
      <c r="C228" s="141">
        <v>219</v>
      </c>
      <c r="D228" s="460"/>
      <c r="E228" s="172"/>
      <c r="F228" s="498" t="str">
        <f>IF(D228="","",VLOOKUP(D228,'G-7 Rivers Data'!$B$2:$G$8,2,FALSE))</f>
        <v/>
      </c>
      <c r="G228" s="499" t="str">
        <f>IFERROR(VLOOKUP(F228,'G-7 Rivers Data'!$C$4:$D$8,2,FALSE),"")</f>
        <v/>
      </c>
      <c r="H228" s="145"/>
      <c r="I228" s="499" t="str">
        <f>IFERROR(INDEX('G-7 Rivers Data'!$H$4:$L$8,MATCH(D228,'G-7 Rivers Data'!$B$4:$B$8,0),MATCH(H228,'G-7 Rivers Data'!$H$3:$L$3,0)),"")</f>
        <v/>
      </c>
      <c r="J228" s="418"/>
      <c r="K228" s="498" t="str">
        <f>IF(J228="","",IF(VLOOKUP(J228,'G-7 Rivers Data'!$AK$4:$AM$9,2,FALSE)=0,"Spatial Data Missing ⚠",VLOOKUP(J228,'G-7 Rivers Data'!$AK$4:$AM$9,2,FALSE)))</f>
        <v/>
      </c>
      <c r="L228" s="505" t="str">
        <f>IF(J228="","",IF(VLOOKUP(J228,'G-7 Rivers Data'!$AK$4:$AM$9,3,FALSE)=0,"Spatial Data Missing ⚠",VLOOKUP(J228,'G-7 Rivers Data'!$AK$4:$AM$9,3,FALSE)))</f>
        <v/>
      </c>
      <c r="M228" s="71"/>
      <c r="N228" s="499" t="str">
        <f>IF(M228="","",IF(VLOOKUP(M228,'G-7 Rivers Data'!$AA$4:$AB$7,2,FALSE)=0,"Spatial Data Missing ⚠",VLOOKUP(M228,'G-7 Rivers Data'!$AA$4:$AB$7,2,FALSE)))</f>
        <v/>
      </c>
      <c r="O228" s="155"/>
      <c r="P228" s="499" t="str">
        <f>IF(O228="","",IF(VLOOKUP(O228,'G-7 Rivers Data'!$AD$4:$AE$8,2,FALSE)=0,"Spatial Data Missing ⚠",VLOOKUP(O228,'G-7 Rivers Data'!$AD$4:$AE$8,2,FALSE)))</f>
        <v/>
      </c>
      <c r="Q228" s="506" t="str">
        <f>IF(D228="","",VLOOKUP(D228,'G-7 Rivers Data'!$B$2:$G$8,6,FALSE))</f>
        <v/>
      </c>
      <c r="R228" s="513" t="str">
        <f t="shared" si="24"/>
        <v/>
      </c>
      <c r="S228" s="40"/>
      <c r="T228" s="145"/>
      <c r="U228" s="157"/>
      <c r="V228" s="511" t="str">
        <f t="shared" si="25"/>
        <v/>
      </c>
      <c r="W228" s="511" t="str">
        <f t="shared" si="26"/>
        <v/>
      </c>
      <c r="X228" s="511" t="str">
        <f t="shared" si="27"/>
        <v/>
      </c>
      <c r="Y228" s="515" t="str">
        <f t="shared" si="28"/>
        <v/>
      </c>
      <c r="Z228" s="151"/>
      <c r="AA228" s="152"/>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c r="AP228" s="31" t="str">
        <f>IFERROR(INDEX('G-7 Rivers Data'!$AZ$3:$AZ$7,MATCH(D228,'G-7 Rivers Data'!$AY$3:$AY$7,0)),"")</f>
        <v/>
      </c>
    </row>
    <row r="229" spans="3:42" ht="13.8" x14ac:dyDescent="0.25">
      <c r="C229" s="141">
        <v>220</v>
      </c>
      <c r="D229" s="460"/>
      <c r="E229" s="172"/>
      <c r="F229" s="498" t="str">
        <f>IF(D229="","",VLOOKUP(D229,'G-7 Rivers Data'!$B$2:$G$8,2,FALSE))</f>
        <v/>
      </c>
      <c r="G229" s="499" t="str">
        <f>IFERROR(VLOOKUP(F229,'G-7 Rivers Data'!$C$4:$D$8,2,FALSE),"")</f>
        <v/>
      </c>
      <c r="H229" s="145"/>
      <c r="I229" s="499" t="str">
        <f>IFERROR(INDEX('G-7 Rivers Data'!$H$4:$L$8,MATCH(D229,'G-7 Rivers Data'!$B$4:$B$8,0),MATCH(H229,'G-7 Rivers Data'!$H$3:$L$3,0)),"")</f>
        <v/>
      </c>
      <c r="J229" s="418"/>
      <c r="K229" s="498" t="str">
        <f>IF(J229="","",IF(VLOOKUP(J229,'G-7 Rivers Data'!$AK$4:$AM$9,2,FALSE)=0,"Spatial Data Missing ⚠",VLOOKUP(J229,'G-7 Rivers Data'!$AK$4:$AM$9,2,FALSE)))</f>
        <v/>
      </c>
      <c r="L229" s="505" t="str">
        <f>IF(J229="","",IF(VLOOKUP(J229,'G-7 Rivers Data'!$AK$4:$AM$9,3,FALSE)=0,"Spatial Data Missing ⚠",VLOOKUP(J229,'G-7 Rivers Data'!$AK$4:$AM$9,3,FALSE)))</f>
        <v/>
      </c>
      <c r="M229" s="71"/>
      <c r="N229" s="499" t="str">
        <f>IF(M229="","",IF(VLOOKUP(M229,'G-7 Rivers Data'!$AA$4:$AB$7,2,FALSE)=0,"Spatial Data Missing ⚠",VLOOKUP(M229,'G-7 Rivers Data'!$AA$4:$AB$7,2,FALSE)))</f>
        <v/>
      </c>
      <c r="O229" s="155"/>
      <c r="P229" s="499" t="str">
        <f>IF(O229="","",IF(VLOOKUP(O229,'G-7 Rivers Data'!$AD$4:$AE$8,2,FALSE)=0,"Spatial Data Missing ⚠",VLOOKUP(O229,'G-7 Rivers Data'!$AD$4:$AE$8,2,FALSE)))</f>
        <v/>
      </c>
      <c r="Q229" s="506" t="str">
        <f>IF(D229="","",VLOOKUP(D229,'G-7 Rivers Data'!$B$2:$G$8,6,FALSE))</f>
        <v/>
      </c>
      <c r="R229" s="513" t="str">
        <f t="shared" si="24"/>
        <v/>
      </c>
      <c r="S229" s="40"/>
      <c r="T229" s="145"/>
      <c r="U229" s="157"/>
      <c r="V229" s="511" t="str">
        <f t="shared" si="25"/>
        <v/>
      </c>
      <c r="W229" s="511" t="str">
        <f t="shared" si="26"/>
        <v/>
      </c>
      <c r="X229" s="511" t="str">
        <f t="shared" si="27"/>
        <v/>
      </c>
      <c r="Y229" s="515" t="str">
        <f t="shared" si="28"/>
        <v/>
      </c>
      <c r="Z229" s="151"/>
      <c r="AA229" s="152"/>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c r="AP229" s="31" t="str">
        <f>IFERROR(INDEX('G-7 Rivers Data'!$AZ$3:$AZ$7,MATCH(D229,'G-7 Rivers Data'!$AY$3:$AY$7,0)),"")</f>
        <v/>
      </c>
    </row>
    <row r="230" spans="3:42" ht="13.8" x14ac:dyDescent="0.25">
      <c r="C230" s="141">
        <v>221</v>
      </c>
      <c r="D230" s="460"/>
      <c r="E230" s="172"/>
      <c r="F230" s="498" t="str">
        <f>IF(D230="","",VLOOKUP(D230,'G-7 Rivers Data'!$B$2:$G$8,2,FALSE))</f>
        <v/>
      </c>
      <c r="G230" s="499" t="str">
        <f>IFERROR(VLOOKUP(F230,'G-7 Rivers Data'!$C$4:$D$8,2,FALSE),"")</f>
        <v/>
      </c>
      <c r="H230" s="145"/>
      <c r="I230" s="499" t="str">
        <f>IFERROR(INDEX('G-7 Rivers Data'!$H$4:$L$8,MATCH(D230,'G-7 Rivers Data'!$B$4:$B$8,0),MATCH(H230,'G-7 Rivers Data'!$H$3:$L$3,0)),"")</f>
        <v/>
      </c>
      <c r="J230" s="418"/>
      <c r="K230" s="498" t="str">
        <f>IF(J230="","",IF(VLOOKUP(J230,'G-7 Rivers Data'!$AK$4:$AM$9,2,FALSE)=0,"Spatial Data Missing ⚠",VLOOKUP(J230,'G-7 Rivers Data'!$AK$4:$AM$9,2,FALSE)))</f>
        <v/>
      </c>
      <c r="L230" s="505" t="str">
        <f>IF(J230="","",IF(VLOOKUP(J230,'G-7 Rivers Data'!$AK$4:$AM$9,3,FALSE)=0,"Spatial Data Missing ⚠",VLOOKUP(J230,'G-7 Rivers Data'!$AK$4:$AM$9,3,FALSE)))</f>
        <v/>
      </c>
      <c r="M230" s="71"/>
      <c r="N230" s="499" t="str">
        <f>IF(M230="","",IF(VLOOKUP(M230,'G-7 Rivers Data'!$AA$4:$AB$7,2,FALSE)=0,"Spatial Data Missing ⚠",VLOOKUP(M230,'G-7 Rivers Data'!$AA$4:$AB$7,2,FALSE)))</f>
        <v/>
      </c>
      <c r="O230" s="155"/>
      <c r="P230" s="499" t="str">
        <f>IF(O230="","",IF(VLOOKUP(O230,'G-7 Rivers Data'!$AD$4:$AE$8,2,FALSE)=0,"Spatial Data Missing ⚠",VLOOKUP(O230,'G-7 Rivers Data'!$AD$4:$AE$8,2,FALSE)))</f>
        <v/>
      </c>
      <c r="Q230" s="506" t="str">
        <f>IF(D230="","",VLOOKUP(D230,'G-7 Rivers Data'!$B$2:$G$8,6,FALSE))</f>
        <v/>
      </c>
      <c r="R230" s="513" t="str">
        <f t="shared" si="24"/>
        <v/>
      </c>
      <c r="S230" s="40"/>
      <c r="T230" s="145"/>
      <c r="U230" s="157"/>
      <c r="V230" s="511" t="str">
        <f t="shared" si="25"/>
        <v/>
      </c>
      <c r="W230" s="511" t="str">
        <f t="shared" si="26"/>
        <v/>
      </c>
      <c r="X230" s="511" t="str">
        <f t="shared" si="27"/>
        <v/>
      </c>
      <c r="Y230" s="515" t="str">
        <f t="shared" si="28"/>
        <v/>
      </c>
      <c r="Z230" s="151"/>
      <c r="AA230" s="152"/>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c r="AP230" s="31" t="str">
        <f>IFERROR(INDEX('G-7 Rivers Data'!$AZ$3:$AZ$7,MATCH(D230,'G-7 Rivers Data'!$AY$3:$AY$7,0)),"")</f>
        <v/>
      </c>
    </row>
    <row r="231" spans="3:42" ht="13.8" x14ac:dyDescent="0.25">
      <c r="C231" s="141">
        <v>222</v>
      </c>
      <c r="D231" s="460"/>
      <c r="E231" s="172"/>
      <c r="F231" s="498" t="str">
        <f>IF(D231="","",VLOOKUP(D231,'G-7 Rivers Data'!$B$2:$G$8,2,FALSE))</f>
        <v/>
      </c>
      <c r="G231" s="499" t="str">
        <f>IFERROR(VLOOKUP(F231,'G-7 Rivers Data'!$C$4:$D$8,2,FALSE),"")</f>
        <v/>
      </c>
      <c r="H231" s="145"/>
      <c r="I231" s="499" t="str">
        <f>IFERROR(INDEX('G-7 Rivers Data'!$H$4:$L$8,MATCH(D231,'G-7 Rivers Data'!$B$4:$B$8,0),MATCH(H231,'G-7 Rivers Data'!$H$3:$L$3,0)),"")</f>
        <v/>
      </c>
      <c r="J231" s="418"/>
      <c r="K231" s="498" t="str">
        <f>IF(J231="","",IF(VLOOKUP(J231,'G-7 Rivers Data'!$AK$4:$AM$9,2,FALSE)=0,"Spatial Data Missing ⚠",VLOOKUP(J231,'G-7 Rivers Data'!$AK$4:$AM$9,2,FALSE)))</f>
        <v/>
      </c>
      <c r="L231" s="505" t="str">
        <f>IF(J231="","",IF(VLOOKUP(J231,'G-7 Rivers Data'!$AK$4:$AM$9,3,FALSE)=0,"Spatial Data Missing ⚠",VLOOKUP(J231,'G-7 Rivers Data'!$AK$4:$AM$9,3,FALSE)))</f>
        <v/>
      </c>
      <c r="M231" s="71"/>
      <c r="N231" s="499" t="str">
        <f>IF(M231="","",IF(VLOOKUP(M231,'G-7 Rivers Data'!$AA$4:$AB$7,2,FALSE)=0,"Spatial Data Missing ⚠",VLOOKUP(M231,'G-7 Rivers Data'!$AA$4:$AB$7,2,FALSE)))</f>
        <v/>
      </c>
      <c r="O231" s="155"/>
      <c r="P231" s="499" t="str">
        <f>IF(O231="","",IF(VLOOKUP(O231,'G-7 Rivers Data'!$AD$4:$AE$8,2,FALSE)=0,"Spatial Data Missing ⚠",VLOOKUP(O231,'G-7 Rivers Data'!$AD$4:$AE$8,2,FALSE)))</f>
        <v/>
      </c>
      <c r="Q231" s="506" t="str">
        <f>IF(D231="","",VLOOKUP(D231,'G-7 Rivers Data'!$B$2:$G$8,6,FALSE))</f>
        <v/>
      </c>
      <c r="R231" s="513" t="str">
        <f t="shared" si="24"/>
        <v/>
      </c>
      <c r="S231" s="40"/>
      <c r="T231" s="145"/>
      <c r="U231" s="157"/>
      <c r="V231" s="511" t="str">
        <f t="shared" si="25"/>
        <v/>
      </c>
      <c r="W231" s="511" t="str">
        <f t="shared" si="26"/>
        <v/>
      </c>
      <c r="X231" s="511" t="str">
        <f t="shared" si="27"/>
        <v/>
      </c>
      <c r="Y231" s="515" t="str">
        <f t="shared" si="28"/>
        <v/>
      </c>
      <c r="Z231" s="151"/>
      <c r="AA231" s="152"/>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c r="AP231" s="31" t="str">
        <f>IFERROR(INDEX('G-7 Rivers Data'!$AZ$3:$AZ$7,MATCH(D231,'G-7 Rivers Data'!$AY$3:$AY$7,0)),"")</f>
        <v/>
      </c>
    </row>
    <row r="232" spans="3:42" ht="13.8" x14ac:dyDescent="0.25">
      <c r="C232" s="141">
        <v>223</v>
      </c>
      <c r="D232" s="460"/>
      <c r="E232" s="172"/>
      <c r="F232" s="498" t="str">
        <f>IF(D232="","",VLOOKUP(D232,'G-7 Rivers Data'!$B$2:$G$8,2,FALSE))</f>
        <v/>
      </c>
      <c r="G232" s="499" t="str">
        <f>IFERROR(VLOOKUP(F232,'G-7 Rivers Data'!$C$4:$D$8,2,FALSE),"")</f>
        <v/>
      </c>
      <c r="H232" s="145"/>
      <c r="I232" s="499" t="str">
        <f>IFERROR(INDEX('G-7 Rivers Data'!$H$4:$L$8,MATCH(D232,'G-7 Rivers Data'!$B$4:$B$8,0),MATCH(H232,'G-7 Rivers Data'!$H$3:$L$3,0)),"")</f>
        <v/>
      </c>
      <c r="J232" s="418"/>
      <c r="K232" s="498" t="str">
        <f>IF(J232="","",IF(VLOOKUP(J232,'G-7 Rivers Data'!$AK$4:$AM$9,2,FALSE)=0,"Spatial Data Missing ⚠",VLOOKUP(J232,'G-7 Rivers Data'!$AK$4:$AM$9,2,FALSE)))</f>
        <v/>
      </c>
      <c r="L232" s="505" t="str">
        <f>IF(J232="","",IF(VLOOKUP(J232,'G-7 Rivers Data'!$AK$4:$AM$9,3,FALSE)=0,"Spatial Data Missing ⚠",VLOOKUP(J232,'G-7 Rivers Data'!$AK$4:$AM$9,3,FALSE)))</f>
        <v/>
      </c>
      <c r="M232" s="71"/>
      <c r="N232" s="499" t="str">
        <f>IF(M232="","",IF(VLOOKUP(M232,'G-7 Rivers Data'!$AA$4:$AB$7,2,FALSE)=0,"Spatial Data Missing ⚠",VLOOKUP(M232,'G-7 Rivers Data'!$AA$4:$AB$7,2,FALSE)))</f>
        <v/>
      </c>
      <c r="O232" s="155"/>
      <c r="P232" s="499" t="str">
        <f>IF(O232="","",IF(VLOOKUP(O232,'G-7 Rivers Data'!$AD$4:$AE$8,2,FALSE)=0,"Spatial Data Missing ⚠",VLOOKUP(O232,'G-7 Rivers Data'!$AD$4:$AE$8,2,FALSE)))</f>
        <v/>
      </c>
      <c r="Q232" s="506" t="str">
        <f>IF(D232="","",VLOOKUP(D232,'G-7 Rivers Data'!$B$2:$G$8,6,FALSE))</f>
        <v/>
      </c>
      <c r="R232" s="513" t="str">
        <f t="shared" si="24"/>
        <v/>
      </c>
      <c r="S232" s="40"/>
      <c r="T232" s="145"/>
      <c r="U232" s="157"/>
      <c r="V232" s="511" t="str">
        <f t="shared" si="25"/>
        <v/>
      </c>
      <c r="W232" s="511" t="str">
        <f t="shared" si="26"/>
        <v/>
      </c>
      <c r="X232" s="511" t="str">
        <f t="shared" si="27"/>
        <v/>
      </c>
      <c r="Y232" s="515" t="str">
        <f t="shared" si="28"/>
        <v/>
      </c>
      <c r="Z232" s="151"/>
      <c r="AA232" s="152"/>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c r="AP232" s="31" t="str">
        <f>IFERROR(INDEX('G-7 Rivers Data'!$AZ$3:$AZ$7,MATCH(D232,'G-7 Rivers Data'!$AY$3:$AY$7,0)),"")</f>
        <v/>
      </c>
    </row>
    <row r="233" spans="3:42" ht="13.8" x14ac:dyDescent="0.25">
      <c r="C233" s="141">
        <v>224</v>
      </c>
      <c r="D233" s="460"/>
      <c r="E233" s="172"/>
      <c r="F233" s="498" t="str">
        <f>IF(D233="","",VLOOKUP(D233,'G-7 Rivers Data'!$B$2:$G$8,2,FALSE))</f>
        <v/>
      </c>
      <c r="G233" s="499" t="str">
        <f>IFERROR(VLOOKUP(F233,'G-7 Rivers Data'!$C$4:$D$8,2,FALSE),"")</f>
        <v/>
      </c>
      <c r="H233" s="145"/>
      <c r="I233" s="499" t="str">
        <f>IFERROR(INDEX('G-7 Rivers Data'!$H$4:$L$8,MATCH(D233,'G-7 Rivers Data'!$B$4:$B$8,0),MATCH(H233,'G-7 Rivers Data'!$H$3:$L$3,0)),"")</f>
        <v/>
      </c>
      <c r="J233" s="418"/>
      <c r="K233" s="498" t="str">
        <f>IF(J233="","",IF(VLOOKUP(J233,'G-7 Rivers Data'!$AK$4:$AM$9,2,FALSE)=0,"Spatial Data Missing ⚠",VLOOKUP(J233,'G-7 Rivers Data'!$AK$4:$AM$9,2,FALSE)))</f>
        <v/>
      </c>
      <c r="L233" s="505" t="str">
        <f>IF(J233="","",IF(VLOOKUP(J233,'G-7 Rivers Data'!$AK$4:$AM$9,3,FALSE)=0,"Spatial Data Missing ⚠",VLOOKUP(J233,'G-7 Rivers Data'!$AK$4:$AM$9,3,FALSE)))</f>
        <v/>
      </c>
      <c r="M233" s="71"/>
      <c r="N233" s="499" t="str">
        <f>IF(M233="","",IF(VLOOKUP(M233,'G-7 Rivers Data'!$AA$4:$AB$7,2,FALSE)=0,"Spatial Data Missing ⚠",VLOOKUP(M233,'G-7 Rivers Data'!$AA$4:$AB$7,2,FALSE)))</f>
        <v/>
      </c>
      <c r="O233" s="155"/>
      <c r="P233" s="499" t="str">
        <f>IF(O233="","",IF(VLOOKUP(O233,'G-7 Rivers Data'!$AD$4:$AE$8,2,FALSE)=0,"Spatial Data Missing ⚠",VLOOKUP(O233,'G-7 Rivers Data'!$AD$4:$AE$8,2,FALSE)))</f>
        <v/>
      </c>
      <c r="Q233" s="506" t="str">
        <f>IF(D233="","",VLOOKUP(D233,'G-7 Rivers Data'!$B$2:$G$8,6,FALSE))</f>
        <v/>
      </c>
      <c r="R233" s="513" t="str">
        <f t="shared" si="24"/>
        <v/>
      </c>
      <c r="S233" s="40"/>
      <c r="T233" s="145"/>
      <c r="U233" s="157"/>
      <c r="V233" s="511" t="str">
        <f t="shared" si="25"/>
        <v/>
      </c>
      <c r="W233" s="511" t="str">
        <f t="shared" si="26"/>
        <v/>
      </c>
      <c r="X233" s="511" t="str">
        <f t="shared" si="27"/>
        <v/>
      </c>
      <c r="Y233" s="515" t="str">
        <f t="shared" si="28"/>
        <v/>
      </c>
      <c r="Z233" s="151"/>
      <c r="AA233" s="152"/>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c r="AP233" s="31" t="str">
        <f>IFERROR(INDEX('G-7 Rivers Data'!$AZ$3:$AZ$7,MATCH(D233,'G-7 Rivers Data'!$AY$3:$AY$7,0)),"")</f>
        <v/>
      </c>
    </row>
    <row r="234" spans="3:42" ht="13.8" x14ac:dyDescent="0.25">
      <c r="C234" s="141">
        <v>225</v>
      </c>
      <c r="D234" s="460"/>
      <c r="E234" s="172"/>
      <c r="F234" s="498" t="str">
        <f>IF(D234="","",VLOOKUP(D234,'G-7 Rivers Data'!$B$2:$G$8,2,FALSE))</f>
        <v/>
      </c>
      <c r="G234" s="499" t="str">
        <f>IFERROR(VLOOKUP(F234,'G-7 Rivers Data'!$C$4:$D$8,2,FALSE),"")</f>
        <v/>
      </c>
      <c r="H234" s="145"/>
      <c r="I234" s="499" t="str">
        <f>IFERROR(INDEX('G-7 Rivers Data'!$H$4:$L$8,MATCH(D234,'G-7 Rivers Data'!$B$4:$B$8,0),MATCH(H234,'G-7 Rivers Data'!$H$3:$L$3,0)),"")</f>
        <v/>
      </c>
      <c r="J234" s="418"/>
      <c r="K234" s="498" t="str">
        <f>IF(J234="","",IF(VLOOKUP(J234,'G-7 Rivers Data'!$AK$4:$AM$9,2,FALSE)=0,"Spatial Data Missing ⚠",VLOOKUP(J234,'G-7 Rivers Data'!$AK$4:$AM$9,2,FALSE)))</f>
        <v/>
      </c>
      <c r="L234" s="505" t="str">
        <f>IF(J234="","",IF(VLOOKUP(J234,'G-7 Rivers Data'!$AK$4:$AM$9,3,FALSE)=0,"Spatial Data Missing ⚠",VLOOKUP(J234,'G-7 Rivers Data'!$AK$4:$AM$9,3,FALSE)))</f>
        <v/>
      </c>
      <c r="M234" s="71"/>
      <c r="N234" s="499" t="str">
        <f>IF(M234="","",IF(VLOOKUP(M234,'G-7 Rivers Data'!$AA$4:$AB$7,2,FALSE)=0,"Spatial Data Missing ⚠",VLOOKUP(M234,'G-7 Rivers Data'!$AA$4:$AB$7,2,FALSE)))</f>
        <v/>
      </c>
      <c r="O234" s="155"/>
      <c r="P234" s="499" t="str">
        <f>IF(O234="","",IF(VLOOKUP(O234,'G-7 Rivers Data'!$AD$4:$AE$8,2,FALSE)=0,"Spatial Data Missing ⚠",VLOOKUP(O234,'G-7 Rivers Data'!$AD$4:$AE$8,2,FALSE)))</f>
        <v/>
      </c>
      <c r="Q234" s="506" t="str">
        <f>IF(D234="","",VLOOKUP(D234,'G-7 Rivers Data'!$B$2:$G$8,6,FALSE))</f>
        <v/>
      </c>
      <c r="R234" s="513" t="str">
        <f t="shared" si="24"/>
        <v/>
      </c>
      <c r="S234" s="40"/>
      <c r="T234" s="145"/>
      <c r="U234" s="157"/>
      <c r="V234" s="511" t="str">
        <f t="shared" si="25"/>
        <v/>
      </c>
      <c r="W234" s="511" t="str">
        <f t="shared" si="26"/>
        <v/>
      </c>
      <c r="X234" s="511" t="str">
        <f t="shared" si="27"/>
        <v/>
      </c>
      <c r="Y234" s="515" t="str">
        <f t="shared" si="28"/>
        <v/>
      </c>
      <c r="Z234" s="151"/>
      <c r="AA234" s="152"/>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c r="AP234" s="31" t="str">
        <f>IFERROR(INDEX('G-7 Rivers Data'!$AZ$3:$AZ$7,MATCH(D234,'G-7 Rivers Data'!$AY$3:$AY$7,0)),"")</f>
        <v/>
      </c>
    </row>
    <row r="235" spans="3:42" ht="13.8" x14ac:dyDescent="0.25">
      <c r="C235" s="141">
        <v>226</v>
      </c>
      <c r="D235" s="460"/>
      <c r="E235" s="172"/>
      <c r="F235" s="498" t="str">
        <f>IF(D235="","",VLOOKUP(D235,'G-7 Rivers Data'!$B$2:$G$8,2,FALSE))</f>
        <v/>
      </c>
      <c r="G235" s="499" t="str">
        <f>IFERROR(VLOOKUP(F235,'G-7 Rivers Data'!$C$4:$D$8,2,FALSE),"")</f>
        <v/>
      </c>
      <c r="H235" s="145"/>
      <c r="I235" s="499" t="str">
        <f>IFERROR(INDEX('G-7 Rivers Data'!$H$4:$L$8,MATCH(D235,'G-7 Rivers Data'!$B$4:$B$8,0),MATCH(H235,'G-7 Rivers Data'!$H$3:$L$3,0)),"")</f>
        <v/>
      </c>
      <c r="J235" s="418"/>
      <c r="K235" s="498" t="str">
        <f>IF(J235="","",IF(VLOOKUP(J235,'G-7 Rivers Data'!$AK$4:$AM$9,2,FALSE)=0,"Spatial Data Missing ⚠",VLOOKUP(J235,'G-7 Rivers Data'!$AK$4:$AM$9,2,FALSE)))</f>
        <v/>
      </c>
      <c r="L235" s="505" t="str">
        <f>IF(J235="","",IF(VLOOKUP(J235,'G-7 Rivers Data'!$AK$4:$AM$9,3,FALSE)=0,"Spatial Data Missing ⚠",VLOOKUP(J235,'G-7 Rivers Data'!$AK$4:$AM$9,3,FALSE)))</f>
        <v/>
      </c>
      <c r="M235" s="71"/>
      <c r="N235" s="499" t="str">
        <f>IF(M235="","",IF(VLOOKUP(M235,'G-7 Rivers Data'!$AA$4:$AB$7,2,FALSE)=0,"Spatial Data Missing ⚠",VLOOKUP(M235,'G-7 Rivers Data'!$AA$4:$AB$7,2,FALSE)))</f>
        <v/>
      </c>
      <c r="O235" s="155"/>
      <c r="P235" s="499" t="str">
        <f>IF(O235="","",IF(VLOOKUP(O235,'G-7 Rivers Data'!$AD$4:$AE$8,2,FALSE)=0,"Spatial Data Missing ⚠",VLOOKUP(O235,'G-7 Rivers Data'!$AD$4:$AE$8,2,FALSE)))</f>
        <v/>
      </c>
      <c r="Q235" s="506" t="str">
        <f>IF(D235="","",VLOOKUP(D235,'G-7 Rivers Data'!$B$2:$G$8,6,FALSE))</f>
        <v/>
      </c>
      <c r="R235" s="513" t="str">
        <f t="shared" si="24"/>
        <v/>
      </c>
      <c r="S235" s="40"/>
      <c r="T235" s="145"/>
      <c r="U235" s="157"/>
      <c r="V235" s="511" t="str">
        <f t="shared" si="25"/>
        <v/>
      </c>
      <c r="W235" s="511" t="str">
        <f t="shared" si="26"/>
        <v/>
      </c>
      <c r="X235" s="511" t="str">
        <f t="shared" si="27"/>
        <v/>
      </c>
      <c r="Y235" s="515" t="str">
        <f t="shared" si="28"/>
        <v/>
      </c>
      <c r="Z235" s="151"/>
      <c r="AA235" s="152"/>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c r="AP235" s="31" t="str">
        <f>IFERROR(INDEX('G-7 Rivers Data'!$AZ$3:$AZ$7,MATCH(D235,'G-7 Rivers Data'!$AY$3:$AY$7,0)),"")</f>
        <v/>
      </c>
    </row>
    <row r="236" spans="3:42" ht="13.8" x14ac:dyDescent="0.25">
      <c r="C236" s="141">
        <v>227</v>
      </c>
      <c r="D236" s="460"/>
      <c r="E236" s="172"/>
      <c r="F236" s="498" t="str">
        <f>IF(D236="","",VLOOKUP(D236,'G-7 Rivers Data'!$B$2:$G$8,2,FALSE))</f>
        <v/>
      </c>
      <c r="G236" s="499" t="str">
        <f>IFERROR(VLOOKUP(F236,'G-7 Rivers Data'!$C$4:$D$8,2,FALSE),"")</f>
        <v/>
      </c>
      <c r="H236" s="145"/>
      <c r="I236" s="499" t="str">
        <f>IFERROR(INDEX('G-7 Rivers Data'!$H$4:$L$8,MATCH(D236,'G-7 Rivers Data'!$B$4:$B$8,0),MATCH(H236,'G-7 Rivers Data'!$H$3:$L$3,0)),"")</f>
        <v/>
      </c>
      <c r="J236" s="418"/>
      <c r="K236" s="498" t="str">
        <f>IF(J236="","",IF(VLOOKUP(J236,'G-7 Rivers Data'!$AK$4:$AM$9,2,FALSE)=0,"Spatial Data Missing ⚠",VLOOKUP(J236,'G-7 Rivers Data'!$AK$4:$AM$9,2,FALSE)))</f>
        <v/>
      </c>
      <c r="L236" s="505" t="str">
        <f>IF(J236="","",IF(VLOOKUP(J236,'G-7 Rivers Data'!$AK$4:$AM$9,3,FALSE)=0,"Spatial Data Missing ⚠",VLOOKUP(J236,'G-7 Rivers Data'!$AK$4:$AM$9,3,FALSE)))</f>
        <v/>
      </c>
      <c r="M236" s="71"/>
      <c r="N236" s="499" t="str">
        <f>IF(M236="","",IF(VLOOKUP(M236,'G-7 Rivers Data'!$AA$4:$AB$7,2,FALSE)=0,"Spatial Data Missing ⚠",VLOOKUP(M236,'G-7 Rivers Data'!$AA$4:$AB$7,2,FALSE)))</f>
        <v/>
      </c>
      <c r="O236" s="155"/>
      <c r="P236" s="499" t="str">
        <f>IF(O236="","",IF(VLOOKUP(O236,'G-7 Rivers Data'!$AD$4:$AE$8,2,FALSE)=0,"Spatial Data Missing ⚠",VLOOKUP(O236,'G-7 Rivers Data'!$AD$4:$AE$8,2,FALSE)))</f>
        <v/>
      </c>
      <c r="Q236" s="506" t="str">
        <f>IF(D236="","",VLOOKUP(D236,'G-7 Rivers Data'!$B$2:$G$8,6,FALSE))</f>
        <v/>
      </c>
      <c r="R236" s="513" t="str">
        <f t="shared" si="24"/>
        <v/>
      </c>
      <c r="S236" s="40"/>
      <c r="T236" s="145"/>
      <c r="U236" s="157"/>
      <c r="V236" s="511" t="str">
        <f t="shared" si="25"/>
        <v/>
      </c>
      <c r="W236" s="511" t="str">
        <f t="shared" si="26"/>
        <v/>
      </c>
      <c r="X236" s="511" t="str">
        <f t="shared" si="27"/>
        <v/>
      </c>
      <c r="Y236" s="515" t="str">
        <f t="shared" si="28"/>
        <v/>
      </c>
      <c r="Z236" s="151"/>
      <c r="AA236" s="152"/>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c r="AP236" s="31" t="str">
        <f>IFERROR(INDEX('G-7 Rivers Data'!$AZ$3:$AZ$7,MATCH(D236,'G-7 Rivers Data'!$AY$3:$AY$7,0)),"")</f>
        <v/>
      </c>
    </row>
    <row r="237" spans="3:42" ht="13.8" x14ac:dyDescent="0.25">
      <c r="C237" s="141">
        <v>228</v>
      </c>
      <c r="D237" s="460"/>
      <c r="E237" s="172"/>
      <c r="F237" s="498" t="str">
        <f>IF(D237="","",VLOOKUP(D237,'G-7 Rivers Data'!$B$2:$G$8,2,FALSE))</f>
        <v/>
      </c>
      <c r="G237" s="499" t="str">
        <f>IFERROR(VLOOKUP(F237,'G-7 Rivers Data'!$C$4:$D$8,2,FALSE),"")</f>
        <v/>
      </c>
      <c r="H237" s="145"/>
      <c r="I237" s="499" t="str">
        <f>IFERROR(INDEX('G-7 Rivers Data'!$H$4:$L$8,MATCH(D237,'G-7 Rivers Data'!$B$4:$B$8,0),MATCH(H237,'G-7 Rivers Data'!$H$3:$L$3,0)),"")</f>
        <v/>
      </c>
      <c r="J237" s="418"/>
      <c r="K237" s="498" t="str">
        <f>IF(J237="","",IF(VLOOKUP(J237,'G-7 Rivers Data'!$AK$4:$AM$9,2,FALSE)=0,"Spatial Data Missing ⚠",VLOOKUP(J237,'G-7 Rivers Data'!$AK$4:$AM$9,2,FALSE)))</f>
        <v/>
      </c>
      <c r="L237" s="505" t="str">
        <f>IF(J237="","",IF(VLOOKUP(J237,'G-7 Rivers Data'!$AK$4:$AM$9,3,FALSE)=0,"Spatial Data Missing ⚠",VLOOKUP(J237,'G-7 Rivers Data'!$AK$4:$AM$9,3,FALSE)))</f>
        <v/>
      </c>
      <c r="M237" s="71"/>
      <c r="N237" s="499" t="str">
        <f>IF(M237="","",IF(VLOOKUP(M237,'G-7 Rivers Data'!$AA$4:$AB$7,2,FALSE)=0,"Spatial Data Missing ⚠",VLOOKUP(M237,'G-7 Rivers Data'!$AA$4:$AB$7,2,FALSE)))</f>
        <v/>
      </c>
      <c r="O237" s="155"/>
      <c r="P237" s="499" t="str">
        <f>IF(O237="","",IF(VLOOKUP(O237,'G-7 Rivers Data'!$AD$4:$AE$8,2,FALSE)=0,"Spatial Data Missing ⚠",VLOOKUP(O237,'G-7 Rivers Data'!$AD$4:$AE$8,2,FALSE)))</f>
        <v/>
      </c>
      <c r="Q237" s="506" t="str">
        <f>IF(D237="","",VLOOKUP(D237,'G-7 Rivers Data'!$B$2:$G$8,6,FALSE))</f>
        <v/>
      </c>
      <c r="R237" s="513" t="str">
        <f t="shared" si="24"/>
        <v/>
      </c>
      <c r="S237" s="40"/>
      <c r="T237" s="145"/>
      <c r="U237" s="157"/>
      <c r="V237" s="511" t="str">
        <f t="shared" si="25"/>
        <v/>
      </c>
      <c r="W237" s="511" t="str">
        <f t="shared" si="26"/>
        <v/>
      </c>
      <c r="X237" s="511" t="str">
        <f t="shared" si="27"/>
        <v/>
      </c>
      <c r="Y237" s="515" t="str">
        <f t="shared" si="28"/>
        <v/>
      </c>
      <c r="Z237" s="151"/>
      <c r="AA237" s="152"/>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c r="AP237" s="31" t="str">
        <f>IFERROR(INDEX('G-7 Rivers Data'!$AZ$3:$AZ$7,MATCH(D237,'G-7 Rivers Data'!$AY$3:$AY$7,0)),"")</f>
        <v/>
      </c>
    </row>
    <row r="238" spans="3:42" ht="13.8" x14ac:dyDescent="0.25">
      <c r="C238" s="141">
        <v>229</v>
      </c>
      <c r="D238" s="460"/>
      <c r="E238" s="172"/>
      <c r="F238" s="498" t="str">
        <f>IF(D238="","",VLOOKUP(D238,'G-7 Rivers Data'!$B$2:$G$8,2,FALSE))</f>
        <v/>
      </c>
      <c r="G238" s="499" t="str">
        <f>IFERROR(VLOOKUP(F238,'G-7 Rivers Data'!$C$4:$D$8,2,FALSE),"")</f>
        <v/>
      </c>
      <c r="H238" s="145"/>
      <c r="I238" s="499" t="str">
        <f>IFERROR(INDEX('G-7 Rivers Data'!$H$4:$L$8,MATCH(D238,'G-7 Rivers Data'!$B$4:$B$8,0),MATCH(H238,'G-7 Rivers Data'!$H$3:$L$3,0)),"")</f>
        <v/>
      </c>
      <c r="J238" s="418"/>
      <c r="K238" s="498" t="str">
        <f>IF(J238="","",IF(VLOOKUP(J238,'G-7 Rivers Data'!$AK$4:$AM$9,2,FALSE)=0,"Spatial Data Missing ⚠",VLOOKUP(J238,'G-7 Rivers Data'!$AK$4:$AM$9,2,FALSE)))</f>
        <v/>
      </c>
      <c r="L238" s="505" t="str">
        <f>IF(J238="","",IF(VLOOKUP(J238,'G-7 Rivers Data'!$AK$4:$AM$9,3,FALSE)=0,"Spatial Data Missing ⚠",VLOOKUP(J238,'G-7 Rivers Data'!$AK$4:$AM$9,3,FALSE)))</f>
        <v/>
      </c>
      <c r="M238" s="71"/>
      <c r="N238" s="499" t="str">
        <f>IF(M238="","",IF(VLOOKUP(M238,'G-7 Rivers Data'!$AA$4:$AB$7,2,FALSE)=0,"Spatial Data Missing ⚠",VLOOKUP(M238,'G-7 Rivers Data'!$AA$4:$AB$7,2,FALSE)))</f>
        <v/>
      </c>
      <c r="O238" s="155"/>
      <c r="P238" s="499" t="str">
        <f>IF(O238="","",IF(VLOOKUP(O238,'G-7 Rivers Data'!$AD$4:$AE$8,2,FALSE)=0,"Spatial Data Missing ⚠",VLOOKUP(O238,'G-7 Rivers Data'!$AD$4:$AE$8,2,FALSE)))</f>
        <v/>
      </c>
      <c r="Q238" s="506" t="str">
        <f>IF(D238="","",VLOOKUP(D238,'G-7 Rivers Data'!$B$2:$G$8,6,FALSE))</f>
        <v/>
      </c>
      <c r="R238" s="513" t="str">
        <f t="shared" si="24"/>
        <v/>
      </c>
      <c r="S238" s="40"/>
      <c r="T238" s="145"/>
      <c r="U238" s="157"/>
      <c r="V238" s="511" t="str">
        <f t="shared" si="25"/>
        <v/>
      </c>
      <c r="W238" s="511" t="str">
        <f t="shared" si="26"/>
        <v/>
      </c>
      <c r="X238" s="511" t="str">
        <f t="shared" si="27"/>
        <v/>
      </c>
      <c r="Y238" s="515" t="str">
        <f t="shared" si="28"/>
        <v/>
      </c>
      <c r="Z238" s="151"/>
      <c r="AA238" s="152"/>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c r="AP238" s="31" t="str">
        <f>IFERROR(INDEX('G-7 Rivers Data'!$AZ$3:$AZ$7,MATCH(D238,'G-7 Rivers Data'!$AY$3:$AY$7,0)),"")</f>
        <v/>
      </c>
    </row>
    <row r="239" spans="3:42" ht="13.8" x14ac:dyDescent="0.25">
      <c r="C239" s="141">
        <v>230</v>
      </c>
      <c r="D239" s="460"/>
      <c r="E239" s="172"/>
      <c r="F239" s="498" t="str">
        <f>IF(D239="","",VLOOKUP(D239,'G-7 Rivers Data'!$B$2:$G$8,2,FALSE))</f>
        <v/>
      </c>
      <c r="G239" s="499" t="str">
        <f>IFERROR(VLOOKUP(F239,'G-7 Rivers Data'!$C$4:$D$8,2,FALSE),"")</f>
        <v/>
      </c>
      <c r="H239" s="145"/>
      <c r="I239" s="499" t="str">
        <f>IFERROR(INDEX('G-7 Rivers Data'!$H$4:$L$8,MATCH(D239,'G-7 Rivers Data'!$B$4:$B$8,0),MATCH(H239,'G-7 Rivers Data'!$H$3:$L$3,0)),"")</f>
        <v/>
      </c>
      <c r="J239" s="418"/>
      <c r="K239" s="498" t="str">
        <f>IF(J239="","",IF(VLOOKUP(J239,'G-7 Rivers Data'!$AK$4:$AM$9,2,FALSE)=0,"Spatial Data Missing ⚠",VLOOKUP(J239,'G-7 Rivers Data'!$AK$4:$AM$9,2,FALSE)))</f>
        <v/>
      </c>
      <c r="L239" s="505" t="str">
        <f>IF(J239="","",IF(VLOOKUP(J239,'G-7 Rivers Data'!$AK$4:$AM$9,3,FALSE)=0,"Spatial Data Missing ⚠",VLOOKUP(J239,'G-7 Rivers Data'!$AK$4:$AM$9,3,FALSE)))</f>
        <v/>
      </c>
      <c r="M239" s="71"/>
      <c r="N239" s="499" t="str">
        <f>IF(M239="","",IF(VLOOKUP(M239,'G-7 Rivers Data'!$AA$4:$AB$7,2,FALSE)=0,"Spatial Data Missing ⚠",VLOOKUP(M239,'G-7 Rivers Data'!$AA$4:$AB$7,2,FALSE)))</f>
        <v/>
      </c>
      <c r="O239" s="155"/>
      <c r="P239" s="499" t="str">
        <f>IF(O239="","",IF(VLOOKUP(O239,'G-7 Rivers Data'!$AD$4:$AE$8,2,FALSE)=0,"Spatial Data Missing ⚠",VLOOKUP(O239,'G-7 Rivers Data'!$AD$4:$AE$8,2,FALSE)))</f>
        <v/>
      </c>
      <c r="Q239" s="506" t="str">
        <f>IF(D239="","",VLOOKUP(D239,'G-7 Rivers Data'!$B$2:$G$8,6,FALSE))</f>
        <v/>
      </c>
      <c r="R239" s="513" t="str">
        <f t="shared" si="24"/>
        <v/>
      </c>
      <c r="S239" s="40"/>
      <c r="T239" s="145"/>
      <c r="U239" s="157"/>
      <c r="V239" s="511" t="str">
        <f t="shared" si="25"/>
        <v/>
      </c>
      <c r="W239" s="511" t="str">
        <f t="shared" si="26"/>
        <v/>
      </c>
      <c r="X239" s="511" t="str">
        <f t="shared" si="27"/>
        <v/>
      </c>
      <c r="Y239" s="515" t="str">
        <f t="shared" si="28"/>
        <v/>
      </c>
      <c r="Z239" s="151"/>
      <c r="AA239" s="152"/>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c r="AP239" s="31" t="str">
        <f>IFERROR(INDEX('G-7 Rivers Data'!$AZ$3:$AZ$7,MATCH(D239,'G-7 Rivers Data'!$AY$3:$AY$7,0)),"")</f>
        <v/>
      </c>
    </row>
    <row r="240" spans="3:42" ht="13.8" x14ac:dyDescent="0.25">
      <c r="C240" s="141">
        <v>231</v>
      </c>
      <c r="D240" s="460"/>
      <c r="E240" s="172"/>
      <c r="F240" s="498" t="str">
        <f>IF(D240="","",VLOOKUP(D240,'G-7 Rivers Data'!$B$2:$G$8,2,FALSE))</f>
        <v/>
      </c>
      <c r="G240" s="499" t="str">
        <f>IFERROR(VLOOKUP(F240,'G-7 Rivers Data'!$C$4:$D$8,2,FALSE),"")</f>
        <v/>
      </c>
      <c r="H240" s="145"/>
      <c r="I240" s="499" t="str">
        <f>IFERROR(INDEX('G-7 Rivers Data'!$H$4:$L$8,MATCH(D240,'G-7 Rivers Data'!$B$4:$B$8,0),MATCH(H240,'G-7 Rivers Data'!$H$3:$L$3,0)),"")</f>
        <v/>
      </c>
      <c r="J240" s="418"/>
      <c r="K240" s="498" t="str">
        <f>IF(J240="","",IF(VLOOKUP(J240,'G-7 Rivers Data'!$AK$4:$AM$9,2,FALSE)=0,"Spatial Data Missing ⚠",VLOOKUP(J240,'G-7 Rivers Data'!$AK$4:$AM$9,2,FALSE)))</f>
        <v/>
      </c>
      <c r="L240" s="505" t="str">
        <f>IF(J240="","",IF(VLOOKUP(J240,'G-7 Rivers Data'!$AK$4:$AM$9,3,FALSE)=0,"Spatial Data Missing ⚠",VLOOKUP(J240,'G-7 Rivers Data'!$AK$4:$AM$9,3,FALSE)))</f>
        <v/>
      </c>
      <c r="M240" s="71"/>
      <c r="N240" s="499" t="str">
        <f>IF(M240="","",IF(VLOOKUP(M240,'G-7 Rivers Data'!$AA$4:$AB$7,2,FALSE)=0,"Spatial Data Missing ⚠",VLOOKUP(M240,'G-7 Rivers Data'!$AA$4:$AB$7,2,FALSE)))</f>
        <v/>
      </c>
      <c r="O240" s="155"/>
      <c r="P240" s="499" t="str">
        <f>IF(O240="","",IF(VLOOKUP(O240,'G-7 Rivers Data'!$AD$4:$AE$8,2,FALSE)=0,"Spatial Data Missing ⚠",VLOOKUP(O240,'G-7 Rivers Data'!$AD$4:$AE$8,2,FALSE)))</f>
        <v/>
      </c>
      <c r="Q240" s="506" t="str">
        <f>IF(D240="","",VLOOKUP(D240,'G-7 Rivers Data'!$B$2:$G$8,6,FALSE))</f>
        <v/>
      </c>
      <c r="R240" s="513" t="str">
        <f t="shared" si="24"/>
        <v/>
      </c>
      <c r="S240" s="40"/>
      <c r="T240" s="145"/>
      <c r="U240" s="157"/>
      <c r="V240" s="511" t="str">
        <f t="shared" si="25"/>
        <v/>
      </c>
      <c r="W240" s="511" t="str">
        <f t="shared" si="26"/>
        <v/>
      </c>
      <c r="X240" s="511" t="str">
        <f t="shared" si="27"/>
        <v/>
      </c>
      <c r="Y240" s="515" t="str">
        <f t="shared" si="28"/>
        <v/>
      </c>
      <c r="Z240" s="151"/>
      <c r="AA240" s="152"/>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c r="AP240" s="31" t="str">
        <f>IFERROR(INDEX('G-7 Rivers Data'!$AZ$3:$AZ$7,MATCH(D240,'G-7 Rivers Data'!$AY$3:$AY$7,0)),"")</f>
        <v/>
      </c>
    </row>
    <row r="241" spans="3:42" ht="13.8" x14ac:dyDescent="0.25">
      <c r="C241" s="141">
        <v>232</v>
      </c>
      <c r="D241" s="460"/>
      <c r="E241" s="172"/>
      <c r="F241" s="498" t="str">
        <f>IF(D241="","",VLOOKUP(D241,'G-7 Rivers Data'!$B$2:$G$8,2,FALSE))</f>
        <v/>
      </c>
      <c r="G241" s="499" t="str">
        <f>IFERROR(VLOOKUP(F241,'G-7 Rivers Data'!$C$4:$D$8,2,FALSE),"")</f>
        <v/>
      </c>
      <c r="H241" s="145"/>
      <c r="I241" s="499" t="str">
        <f>IFERROR(INDEX('G-7 Rivers Data'!$H$4:$L$8,MATCH(D241,'G-7 Rivers Data'!$B$4:$B$8,0),MATCH(H241,'G-7 Rivers Data'!$H$3:$L$3,0)),"")</f>
        <v/>
      </c>
      <c r="J241" s="418"/>
      <c r="K241" s="498" t="str">
        <f>IF(J241="","",IF(VLOOKUP(J241,'G-7 Rivers Data'!$AK$4:$AM$9,2,FALSE)=0,"Spatial Data Missing ⚠",VLOOKUP(J241,'G-7 Rivers Data'!$AK$4:$AM$9,2,FALSE)))</f>
        <v/>
      </c>
      <c r="L241" s="505" t="str">
        <f>IF(J241="","",IF(VLOOKUP(J241,'G-7 Rivers Data'!$AK$4:$AM$9,3,FALSE)=0,"Spatial Data Missing ⚠",VLOOKUP(J241,'G-7 Rivers Data'!$AK$4:$AM$9,3,FALSE)))</f>
        <v/>
      </c>
      <c r="M241" s="71"/>
      <c r="N241" s="499" t="str">
        <f>IF(M241="","",IF(VLOOKUP(M241,'G-7 Rivers Data'!$AA$4:$AB$7,2,FALSE)=0,"Spatial Data Missing ⚠",VLOOKUP(M241,'G-7 Rivers Data'!$AA$4:$AB$7,2,FALSE)))</f>
        <v/>
      </c>
      <c r="O241" s="155"/>
      <c r="P241" s="499" t="str">
        <f>IF(O241="","",IF(VLOOKUP(O241,'G-7 Rivers Data'!$AD$4:$AE$8,2,FALSE)=0,"Spatial Data Missing ⚠",VLOOKUP(O241,'G-7 Rivers Data'!$AD$4:$AE$8,2,FALSE)))</f>
        <v/>
      </c>
      <c r="Q241" s="506" t="str">
        <f>IF(D241="","",VLOOKUP(D241,'G-7 Rivers Data'!$B$2:$G$8,6,FALSE))</f>
        <v/>
      </c>
      <c r="R241" s="513" t="str">
        <f t="shared" si="24"/>
        <v/>
      </c>
      <c r="S241" s="40"/>
      <c r="T241" s="145"/>
      <c r="U241" s="157"/>
      <c r="V241" s="511" t="str">
        <f t="shared" si="25"/>
        <v/>
      </c>
      <c r="W241" s="511" t="str">
        <f t="shared" si="26"/>
        <v/>
      </c>
      <c r="X241" s="511" t="str">
        <f t="shared" si="27"/>
        <v/>
      </c>
      <c r="Y241" s="515" t="str">
        <f t="shared" si="28"/>
        <v/>
      </c>
      <c r="Z241" s="151"/>
      <c r="AA241" s="152"/>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c r="AP241" s="31" t="str">
        <f>IFERROR(INDEX('G-7 Rivers Data'!$AZ$3:$AZ$7,MATCH(D241,'G-7 Rivers Data'!$AY$3:$AY$7,0)),"")</f>
        <v/>
      </c>
    </row>
    <row r="242" spans="3:42" ht="13.8" x14ac:dyDescent="0.25">
      <c r="C242" s="141">
        <v>233</v>
      </c>
      <c r="D242" s="460"/>
      <c r="E242" s="172"/>
      <c r="F242" s="498" t="str">
        <f>IF(D242="","",VLOOKUP(D242,'G-7 Rivers Data'!$B$2:$G$8,2,FALSE))</f>
        <v/>
      </c>
      <c r="G242" s="499" t="str">
        <f>IFERROR(VLOOKUP(F242,'G-7 Rivers Data'!$C$4:$D$8,2,FALSE),"")</f>
        <v/>
      </c>
      <c r="H242" s="145"/>
      <c r="I242" s="499" t="str">
        <f>IFERROR(INDEX('G-7 Rivers Data'!$H$4:$L$8,MATCH(D242,'G-7 Rivers Data'!$B$4:$B$8,0),MATCH(H242,'G-7 Rivers Data'!$H$3:$L$3,0)),"")</f>
        <v/>
      </c>
      <c r="J242" s="418"/>
      <c r="K242" s="498" t="str">
        <f>IF(J242="","",IF(VLOOKUP(J242,'G-7 Rivers Data'!$AK$4:$AM$9,2,FALSE)=0,"Spatial Data Missing ⚠",VLOOKUP(J242,'G-7 Rivers Data'!$AK$4:$AM$9,2,FALSE)))</f>
        <v/>
      </c>
      <c r="L242" s="505" t="str">
        <f>IF(J242="","",IF(VLOOKUP(J242,'G-7 Rivers Data'!$AK$4:$AM$9,3,FALSE)=0,"Spatial Data Missing ⚠",VLOOKUP(J242,'G-7 Rivers Data'!$AK$4:$AM$9,3,FALSE)))</f>
        <v/>
      </c>
      <c r="M242" s="71"/>
      <c r="N242" s="499" t="str">
        <f>IF(M242="","",IF(VLOOKUP(M242,'G-7 Rivers Data'!$AA$4:$AB$7,2,FALSE)=0,"Spatial Data Missing ⚠",VLOOKUP(M242,'G-7 Rivers Data'!$AA$4:$AB$7,2,FALSE)))</f>
        <v/>
      </c>
      <c r="O242" s="155"/>
      <c r="P242" s="499" t="str">
        <f>IF(O242="","",IF(VLOOKUP(O242,'G-7 Rivers Data'!$AD$4:$AE$8,2,FALSE)=0,"Spatial Data Missing ⚠",VLOOKUP(O242,'G-7 Rivers Data'!$AD$4:$AE$8,2,FALSE)))</f>
        <v/>
      </c>
      <c r="Q242" s="506" t="str">
        <f>IF(D242="","",VLOOKUP(D242,'G-7 Rivers Data'!$B$2:$G$8,6,FALSE))</f>
        <v/>
      </c>
      <c r="R242" s="513" t="str">
        <f t="shared" si="24"/>
        <v/>
      </c>
      <c r="S242" s="40"/>
      <c r="T242" s="145"/>
      <c r="U242" s="157"/>
      <c r="V242" s="511" t="str">
        <f t="shared" si="25"/>
        <v/>
      </c>
      <c r="W242" s="511" t="str">
        <f t="shared" si="26"/>
        <v/>
      </c>
      <c r="X242" s="511" t="str">
        <f t="shared" si="27"/>
        <v/>
      </c>
      <c r="Y242" s="515" t="str">
        <f t="shared" si="28"/>
        <v/>
      </c>
      <c r="Z242" s="151"/>
      <c r="AA242" s="152"/>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c r="AP242" s="31" t="str">
        <f>IFERROR(INDEX('G-7 Rivers Data'!$AZ$3:$AZ$7,MATCH(D242,'G-7 Rivers Data'!$AY$3:$AY$7,0)),"")</f>
        <v/>
      </c>
    </row>
    <row r="243" spans="3:42" ht="13.8" x14ac:dyDescent="0.25">
      <c r="C243" s="141">
        <v>234</v>
      </c>
      <c r="D243" s="460"/>
      <c r="E243" s="172"/>
      <c r="F243" s="498" t="str">
        <f>IF(D243="","",VLOOKUP(D243,'G-7 Rivers Data'!$B$2:$G$8,2,FALSE))</f>
        <v/>
      </c>
      <c r="G243" s="499" t="str">
        <f>IFERROR(VLOOKUP(F243,'G-7 Rivers Data'!$C$4:$D$8,2,FALSE),"")</f>
        <v/>
      </c>
      <c r="H243" s="145"/>
      <c r="I243" s="499" t="str">
        <f>IFERROR(INDEX('G-7 Rivers Data'!$H$4:$L$8,MATCH(D243,'G-7 Rivers Data'!$B$4:$B$8,0),MATCH(H243,'G-7 Rivers Data'!$H$3:$L$3,0)),"")</f>
        <v/>
      </c>
      <c r="J243" s="418"/>
      <c r="K243" s="498" t="str">
        <f>IF(J243="","",IF(VLOOKUP(J243,'G-7 Rivers Data'!$AK$4:$AM$9,2,FALSE)=0,"Spatial Data Missing ⚠",VLOOKUP(J243,'G-7 Rivers Data'!$AK$4:$AM$9,2,FALSE)))</f>
        <v/>
      </c>
      <c r="L243" s="505" t="str">
        <f>IF(J243="","",IF(VLOOKUP(J243,'G-7 Rivers Data'!$AK$4:$AM$9,3,FALSE)=0,"Spatial Data Missing ⚠",VLOOKUP(J243,'G-7 Rivers Data'!$AK$4:$AM$9,3,FALSE)))</f>
        <v/>
      </c>
      <c r="M243" s="71"/>
      <c r="N243" s="499" t="str">
        <f>IF(M243="","",IF(VLOOKUP(M243,'G-7 Rivers Data'!$AA$4:$AB$7,2,FALSE)=0,"Spatial Data Missing ⚠",VLOOKUP(M243,'G-7 Rivers Data'!$AA$4:$AB$7,2,FALSE)))</f>
        <v/>
      </c>
      <c r="O243" s="155"/>
      <c r="P243" s="499" t="str">
        <f>IF(O243="","",IF(VLOOKUP(O243,'G-7 Rivers Data'!$AD$4:$AE$8,2,FALSE)=0,"Spatial Data Missing ⚠",VLOOKUP(O243,'G-7 Rivers Data'!$AD$4:$AE$8,2,FALSE)))</f>
        <v/>
      </c>
      <c r="Q243" s="506" t="str">
        <f>IF(D243="","",VLOOKUP(D243,'G-7 Rivers Data'!$B$2:$G$8,6,FALSE))</f>
        <v/>
      </c>
      <c r="R243" s="513" t="str">
        <f t="shared" si="24"/>
        <v/>
      </c>
      <c r="S243" s="40"/>
      <c r="T243" s="145"/>
      <c r="U243" s="157"/>
      <c r="V243" s="511" t="str">
        <f t="shared" si="25"/>
        <v/>
      </c>
      <c r="W243" s="511" t="str">
        <f t="shared" si="26"/>
        <v/>
      </c>
      <c r="X243" s="511" t="str">
        <f t="shared" si="27"/>
        <v/>
      </c>
      <c r="Y243" s="515" t="str">
        <f t="shared" si="28"/>
        <v/>
      </c>
      <c r="Z243" s="151"/>
      <c r="AA243" s="152"/>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c r="AP243" s="31" t="str">
        <f>IFERROR(INDEX('G-7 Rivers Data'!$AZ$3:$AZ$7,MATCH(D243,'G-7 Rivers Data'!$AY$3:$AY$7,0)),"")</f>
        <v/>
      </c>
    </row>
    <row r="244" spans="3:42" ht="13.8" x14ac:dyDescent="0.25">
      <c r="C244" s="141">
        <v>235</v>
      </c>
      <c r="D244" s="460"/>
      <c r="E244" s="172"/>
      <c r="F244" s="498" t="str">
        <f>IF(D244="","",VLOOKUP(D244,'G-7 Rivers Data'!$B$2:$G$8,2,FALSE))</f>
        <v/>
      </c>
      <c r="G244" s="499" t="str">
        <f>IFERROR(VLOOKUP(F244,'G-7 Rivers Data'!$C$4:$D$8,2,FALSE),"")</f>
        <v/>
      </c>
      <c r="H244" s="145"/>
      <c r="I244" s="499" t="str">
        <f>IFERROR(INDEX('G-7 Rivers Data'!$H$4:$L$8,MATCH(D244,'G-7 Rivers Data'!$B$4:$B$8,0),MATCH(H244,'G-7 Rivers Data'!$H$3:$L$3,0)),"")</f>
        <v/>
      </c>
      <c r="J244" s="418"/>
      <c r="K244" s="498" t="str">
        <f>IF(J244="","",IF(VLOOKUP(J244,'G-7 Rivers Data'!$AK$4:$AM$9,2,FALSE)=0,"Spatial Data Missing ⚠",VLOOKUP(J244,'G-7 Rivers Data'!$AK$4:$AM$9,2,FALSE)))</f>
        <v/>
      </c>
      <c r="L244" s="505" t="str">
        <f>IF(J244="","",IF(VLOOKUP(J244,'G-7 Rivers Data'!$AK$4:$AM$9,3,FALSE)=0,"Spatial Data Missing ⚠",VLOOKUP(J244,'G-7 Rivers Data'!$AK$4:$AM$9,3,FALSE)))</f>
        <v/>
      </c>
      <c r="M244" s="71"/>
      <c r="N244" s="499" t="str">
        <f>IF(M244="","",IF(VLOOKUP(M244,'G-7 Rivers Data'!$AA$4:$AB$7,2,FALSE)=0,"Spatial Data Missing ⚠",VLOOKUP(M244,'G-7 Rivers Data'!$AA$4:$AB$7,2,FALSE)))</f>
        <v/>
      </c>
      <c r="O244" s="155"/>
      <c r="P244" s="499" t="str">
        <f>IF(O244="","",IF(VLOOKUP(O244,'G-7 Rivers Data'!$AD$4:$AE$8,2,FALSE)=0,"Spatial Data Missing ⚠",VLOOKUP(O244,'G-7 Rivers Data'!$AD$4:$AE$8,2,FALSE)))</f>
        <v/>
      </c>
      <c r="Q244" s="506" t="str">
        <f>IF(D244="","",VLOOKUP(D244,'G-7 Rivers Data'!$B$2:$G$8,6,FALSE))</f>
        <v/>
      </c>
      <c r="R244" s="513" t="str">
        <f t="shared" si="24"/>
        <v/>
      </c>
      <c r="S244" s="40"/>
      <c r="T244" s="145"/>
      <c r="U244" s="157"/>
      <c r="V244" s="511" t="str">
        <f t="shared" si="25"/>
        <v/>
      </c>
      <c r="W244" s="511" t="str">
        <f t="shared" si="26"/>
        <v/>
      </c>
      <c r="X244" s="511" t="str">
        <f t="shared" si="27"/>
        <v/>
      </c>
      <c r="Y244" s="515" t="str">
        <f t="shared" si="28"/>
        <v/>
      </c>
      <c r="Z244" s="151"/>
      <c r="AA244" s="152"/>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c r="AP244" s="31" t="str">
        <f>IFERROR(INDEX('G-7 Rivers Data'!$AZ$3:$AZ$7,MATCH(D244,'G-7 Rivers Data'!$AY$3:$AY$7,0)),"")</f>
        <v/>
      </c>
    </row>
    <row r="245" spans="3:42" ht="13.8" x14ac:dyDescent="0.25">
      <c r="C245" s="141">
        <v>236</v>
      </c>
      <c r="D245" s="460"/>
      <c r="E245" s="172"/>
      <c r="F245" s="498" t="str">
        <f>IF(D245="","",VLOOKUP(D245,'G-7 Rivers Data'!$B$2:$G$8,2,FALSE))</f>
        <v/>
      </c>
      <c r="G245" s="499" t="str">
        <f>IFERROR(VLOOKUP(F245,'G-7 Rivers Data'!$C$4:$D$8,2,FALSE),"")</f>
        <v/>
      </c>
      <c r="H245" s="145"/>
      <c r="I245" s="499" t="str">
        <f>IFERROR(INDEX('G-7 Rivers Data'!$H$4:$L$8,MATCH(D245,'G-7 Rivers Data'!$B$4:$B$8,0),MATCH(H245,'G-7 Rivers Data'!$H$3:$L$3,0)),"")</f>
        <v/>
      </c>
      <c r="J245" s="418"/>
      <c r="K245" s="498" t="str">
        <f>IF(J245="","",IF(VLOOKUP(J245,'G-7 Rivers Data'!$AK$4:$AM$9,2,FALSE)=0,"Spatial Data Missing ⚠",VLOOKUP(J245,'G-7 Rivers Data'!$AK$4:$AM$9,2,FALSE)))</f>
        <v/>
      </c>
      <c r="L245" s="505" t="str">
        <f>IF(J245="","",IF(VLOOKUP(J245,'G-7 Rivers Data'!$AK$4:$AM$9,3,FALSE)=0,"Spatial Data Missing ⚠",VLOOKUP(J245,'G-7 Rivers Data'!$AK$4:$AM$9,3,FALSE)))</f>
        <v/>
      </c>
      <c r="M245" s="71"/>
      <c r="N245" s="499" t="str">
        <f>IF(M245="","",IF(VLOOKUP(M245,'G-7 Rivers Data'!$AA$4:$AB$7,2,FALSE)=0,"Spatial Data Missing ⚠",VLOOKUP(M245,'G-7 Rivers Data'!$AA$4:$AB$7,2,FALSE)))</f>
        <v/>
      </c>
      <c r="O245" s="155"/>
      <c r="P245" s="499" t="str">
        <f>IF(O245="","",IF(VLOOKUP(O245,'G-7 Rivers Data'!$AD$4:$AE$8,2,FALSE)=0,"Spatial Data Missing ⚠",VLOOKUP(O245,'G-7 Rivers Data'!$AD$4:$AE$8,2,FALSE)))</f>
        <v/>
      </c>
      <c r="Q245" s="506" t="str">
        <f>IF(D245="","",VLOOKUP(D245,'G-7 Rivers Data'!$B$2:$G$8,6,FALSE))</f>
        <v/>
      </c>
      <c r="R245" s="513" t="str">
        <f t="shared" si="24"/>
        <v/>
      </c>
      <c r="S245" s="40"/>
      <c r="T245" s="145"/>
      <c r="U245" s="157"/>
      <c r="V245" s="511" t="str">
        <f t="shared" si="25"/>
        <v/>
      </c>
      <c r="W245" s="511" t="str">
        <f t="shared" si="26"/>
        <v/>
      </c>
      <c r="X245" s="511" t="str">
        <f t="shared" si="27"/>
        <v/>
      </c>
      <c r="Y245" s="515" t="str">
        <f t="shared" si="28"/>
        <v/>
      </c>
      <c r="Z245" s="151"/>
      <c r="AA245" s="152"/>
      <c r="AG245" s="31">
        <f t="shared" si="29"/>
        <v>0</v>
      </c>
      <c r="AH245" s="156" t="str">
        <f t="shared" si="30"/>
        <v/>
      </c>
      <c r="AI245" s="156" t="str">
        <f t="shared" si="31"/>
        <v/>
      </c>
      <c r="AK245" s="156">
        <v>236</v>
      </c>
      <c r="AM245" s="156" t="str">
        <f t="array" ref="AM245">IFERROR(INDEX($AK$10:$AK$258, MATCH(0, IF(TRUE=$AH$10:$AH$258, COUNTIF($AM$9:$AM244, $AK$10:$AK$258), ""), 0)),"")</f>
        <v/>
      </c>
      <c r="AN245" s="156" t="str">
        <f t="array" ref="AN245">IFERROR(INDEX($AK$10:$AK$258, MATCH(0, IF(TRUE=$AI$10:$AI$258, COUNTIF($AN$9:$AN244, $AK$10:$AK$258), ""), 0)),"")</f>
        <v/>
      </c>
      <c r="AP245" s="31" t="str">
        <f>IFERROR(INDEX('G-7 Rivers Data'!$AZ$3:$AZ$7,MATCH(D245,'G-7 Rivers Data'!$AY$3:$AY$7,0)),"")</f>
        <v/>
      </c>
    </row>
    <row r="246" spans="3:42" ht="13.8" x14ac:dyDescent="0.25">
      <c r="C246" s="141">
        <v>237</v>
      </c>
      <c r="D246" s="460"/>
      <c r="E246" s="172"/>
      <c r="F246" s="498" t="str">
        <f>IF(D246="","",VLOOKUP(D246,'G-7 Rivers Data'!$B$2:$G$8,2,FALSE))</f>
        <v/>
      </c>
      <c r="G246" s="499" t="str">
        <f>IFERROR(VLOOKUP(F246,'G-7 Rivers Data'!$C$4:$D$8,2,FALSE),"")</f>
        <v/>
      </c>
      <c r="H246" s="145"/>
      <c r="I246" s="499" t="str">
        <f>IFERROR(INDEX('G-7 Rivers Data'!$H$4:$L$8,MATCH(D246,'G-7 Rivers Data'!$B$4:$B$8,0),MATCH(H246,'G-7 Rivers Data'!$H$3:$L$3,0)),"")</f>
        <v/>
      </c>
      <c r="J246" s="418"/>
      <c r="K246" s="498" t="str">
        <f>IF(J246="","",IF(VLOOKUP(J246,'G-7 Rivers Data'!$AK$4:$AM$9,2,FALSE)=0,"Spatial Data Missing ⚠",VLOOKUP(J246,'G-7 Rivers Data'!$AK$4:$AM$9,2,FALSE)))</f>
        <v/>
      </c>
      <c r="L246" s="505" t="str">
        <f>IF(J246="","",IF(VLOOKUP(J246,'G-7 Rivers Data'!$AK$4:$AM$9,3,FALSE)=0,"Spatial Data Missing ⚠",VLOOKUP(J246,'G-7 Rivers Data'!$AK$4:$AM$9,3,FALSE)))</f>
        <v/>
      </c>
      <c r="M246" s="71"/>
      <c r="N246" s="499" t="str">
        <f>IF(M246="","",IF(VLOOKUP(M246,'G-7 Rivers Data'!$AA$4:$AB$7,2,FALSE)=0,"Spatial Data Missing ⚠",VLOOKUP(M246,'G-7 Rivers Data'!$AA$4:$AB$7,2,FALSE)))</f>
        <v/>
      </c>
      <c r="O246" s="155"/>
      <c r="P246" s="499" t="str">
        <f>IF(O246="","",IF(VLOOKUP(O246,'G-7 Rivers Data'!$AD$4:$AE$8,2,FALSE)=0,"Spatial Data Missing ⚠",VLOOKUP(O246,'G-7 Rivers Data'!$AD$4:$AE$8,2,FALSE)))</f>
        <v/>
      </c>
      <c r="Q246" s="506" t="str">
        <f>IF(D246="","",VLOOKUP(D246,'G-7 Rivers Data'!$B$2:$G$8,6,FALSE))</f>
        <v/>
      </c>
      <c r="R246" s="513" t="str">
        <f t="shared" si="24"/>
        <v/>
      </c>
      <c r="S246" s="40"/>
      <c r="T246" s="145"/>
      <c r="U246" s="157"/>
      <c r="V246" s="511" t="str">
        <f t="shared" si="25"/>
        <v/>
      </c>
      <c r="W246" s="511" t="str">
        <f t="shared" si="26"/>
        <v/>
      </c>
      <c r="X246" s="511" t="str">
        <f t="shared" si="27"/>
        <v/>
      </c>
      <c r="Y246" s="515" t="str">
        <f t="shared" si="28"/>
        <v/>
      </c>
      <c r="Z246" s="151"/>
      <c r="AA246" s="152"/>
      <c r="AG246" s="31">
        <f t="shared" si="29"/>
        <v>0</v>
      </c>
      <c r="AH246" s="156" t="str">
        <f t="shared" si="30"/>
        <v/>
      </c>
      <c r="AI246" s="156" t="str">
        <f t="shared" si="31"/>
        <v/>
      </c>
      <c r="AK246" s="156">
        <v>237</v>
      </c>
      <c r="AM246" s="156" t="str">
        <f t="array" ref="AM246">IFERROR(INDEX($AK$10:$AK$258, MATCH(0, IF(TRUE=$AH$10:$AH$258, COUNTIF($AM$9:$AM245, $AK$10:$AK$258), ""), 0)),"")</f>
        <v/>
      </c>
      <c r="AN246" s="156" t="str">
        <f t="array" ref="AN246">IFERROR(INDEX($AK$10:$AK$258, MATCH(0, IF(TRUE=$AI$10:$AI$258, COUNTIF($AN$9:$AN245, $AK$10:$AK$258), ""), 0)),"")</f>
        <v/>
      </c>
      <c r="AP246" s="31" t="str">
        <f>IFERROR(INDEX('G-7 Rivers Data'!$AZ$3:$AZ$7,MATCH(D246,'G-7 Rivers Data'!$AY$3:$AY$7,0)),"")</f>
        <v/>
      </c>
    </row>
    <row r="247" spans="3:42" ht="13.8" x14ac:dyDescent="0.25">
      <c r="C247" s="141">
        <v>238</v>
      </c>
      <c r="D247" s="460"/>
      <c r="E247" s="172"/>
      <c r="F247" s="498" t="str">
        <f>IF(D247="","",VLOOKUP(D247,'G-7 Rivers Data'!$B$2:$G$8,2,FALSE))</f>
        <v/>
      </c>
      <c r="G247" s="499" t="str">
        <f>IFERROR(VLOOKUP(F247,'G-7 Rivers Data'!$C$4:$D$8,2,FALSE),"")</f>
        <v/>
      </c>
      <c r="H247" s="145"/>
      <c r="I247" s="499" t="str">
        <f>IFERROR(INDEX('G-7 Rivers Data'!$H$4:$L$8,MATCH(D247,'G-7 Rivers Data'!$B$4:$B$8,0),MATCH(H247,'G-7 Rivers Data'!$H$3:$L$3,0)),"")</f>
        <v/>
      </c>
      <c r="J247" s="418"/>
      <c r="K247" s="498" t="str">
        <f>IF(J247="","",IF(VLOOKUP(J247,'G-7 Rivers Data'!$AK$4:$AM$9,2,FALSE)=0,"Spatial Data Missing ⚠",VLOOKUP(J247,'G-7 Rivers Data'!$AK$4:$AM$9,2,FALSE)))</f>
        <v/>
      </c>
      <c r="L247" s="505" t="str">
        <f>IF(J247="","",IF(VLOOKUP(J247,'G-7 Rivers Data'!$AK$4:$AM$9,3,FALSE)=0,"Spatial Data Missing ⚠",VLOOKUP(J247,'G-7 Rivers Data'!$AK$4:$AM$9,3,FALSE)))</f>
        <v/>
      </c>
      <c r="M247" s="71"/>
      <c r="N247" s="499" t="str">
        <f>IF(M247="","",IF(VLOOKUP(M247,'G-7 Rivers Data'!$AA$4:$AB$7,2,FALSE)=0,"Spatial Data Missing ⚠",VLOOKUP(M247,'G-7 Rivers Data'!$AA$4:$AB$7,2,FALSE)))</f>
        <v/>
      </c>
      <c r="O247" s="155"/>
      <c r="P247" s="499" t="str">
        <f>IF(O247="","",IF(VLOOKUP(O247,'G-7 Rivers Data'!$AD$4:$AE$8,2,FALSE)=0,"Spatial Data Missing ⚠",VLOOKUP(O247,'G-7 Rivers Data'!$AD$4:$AE$8,2,FALSE)))</f>
        <v/>
      </c>
      <c r="Q247" s="506" t="str">
        <f>IF(D247="","",VLOOKUP(D247,'G-7 Rivers Data'!$B$2:$G$8,6,FALSE))</f>
        <v/>
      </c>
      <c r="R247" s="513" t="str">
        <f t="shared" si="24"/>
        <v/>
      </c>
      <c r="S247" s="40"/>
      <c r="T247" s="145"/>
      <c r="U247" s="157"/>
      <c r="V247" s="511" t="str">
        <f t="shared" si="25"/>
        <v/>
      </c>
      <c r="W247" s="511" t="str">
        <f t="shared" si="26"/>
        <v/>
      </c>
      <c r="X247" s="511" t="str">
        <f t="shared" si="27"/>
        <v/>
      </c>
      <c r="Y247" s="515" t="str">
        <f t="shared" si="28"/>
        <v/>
      </c>
      <c r="Z247" s="151"/>
      <c r="AA247" s="152"/>
      <c r="AG247" s="31">
        <f t="shared" si="29"/>
        <v>0</v>
      </c>
      <c r="AH247" s="156" t="str">
        <f t="shared" si="30"/>
        <v/>
      </c>
      <c r="AI247" s="156" t="str">
        <f t="shared" si="31"/>
        <v/>
      </c>
      <c r="AK247" s="156">
        <v>238</v>
      </c>
      <c r="AM247" s="156" t="str">
        <f t="array" ref="AM247">IFERROR(INDEX($AK$10:$AK$258, MATCH(0, IF(TRUE=$AH$10:$AH$258, COUNTIF($AM$9:$AM246, $AK$10:$AK$258), ""), 0)),"")</f>
        <v/>
      </c>
      <c r="AN247" s="156" t="str">
        <f t="array" ref="AN247">IFERROR(INDEX($AK$10:$AK$258, MATCH(0, IF(TRUE=$AI$10:$AI$258, COUNTIF($AN$9:$AN246, $AK$10:$AK$258), ""), 0)),"")</f>
        <v/>
      </c>
      <c r="AP247" s="31" t="str">
        <f>IFERROR(INDEX('G-7 Rivers Data'!$AZ$3:$AZ$7,MATCH(D247,'G-7 Rivers Data'!$AY$3:$AY$7,0)),"")</f>
        <v/>
      </c>
    </row>
    <row r="248" spans="3:42" ht="13.8" x14ac:dyDescent="0.25">
      <c r="C248" s="141">
        <v>239</v>
      </c>
      <c r="D248" s="460"/>
      <c r="E248" s="172"/>
      <c r="F248" s="498" t="str">
        <f>IF(D248="","",VLOOKUP(D248,'G-7 Rivers Data'!$B$2:$G$8,2,FALSE))</f>
        <v/>
      </c>
      <c r="G248" s="499" t="str">
        <f>IFERROR(VLOOKUP(F248,'G-7 Rivers Data'!$C$4:$D$8,2,FALSE),"")</f>
        <v/>
      </c>
      <c r="H248" s="145"/>
      <c r="I248" s="499" t="str">
        <f>IFERROR(INDEX('G-7 Rivers Data'!$H$4:$L$8,MATCH(D248,'G-7 Rivers Data'!$B$4:$B$8,0),MATCH(H248,'G-7 Rivers Data'!$H$3:$L$3,0)),"")</f>
        <v/>
      </c>
      <c r="J248" s="418"/>
      <c r="K248" s="498" t="str">
        <f>IF(J248="","",IF(VLOOKUP(J248,'G-7 Rivers Data'!$AK$4:$AM$9,2,FALSE)=0,"Spatial Data Missing ⚠",VLOOKUP(J248,'G-7 Rivers Data'!$AK$4:$AM$9,2,FALSE)))</f>
        <v/>
      </c>
      <c r="L248" s="505" t="str">
        <f>IF(J248="","",IF(VLOOKUP(J248,'G-7 Rivers Data'!$AK$4:$AM$9,3,FALSE)=0,"Spatial Data Missing ⚠",VLOOKUP(J248,'G-7 Rivers Data'!$AK$4:$AM$9,3,FALSE)))</f>
        <v/>
      </c>
      <c r="M248" s="71"/>
      <c r="N248" s="499" t="str">
        <f>IF(M248="","",IF(VLOOKUP(M248,'G-7 Rivers Data'!$AA$4:$AB$7,2,FALSE)=0,"Spatial Data Missing ⚠",VLOOKUP(M248,'G-7 Rivers Data'!$AA$4:$AB$7,2,FALSE)))</f>
        <v/>
      </c>
      <c r="O248" s="155"/>
      <c r="P248" s="499" t="str">
        <f>IF(O248="","",IF(VLOOKUP(O248,'G-7 Rivers Data'!$AD$4:$AE$8,2,FALSE)=0,"Spatial Data Missing ⚠",VLOOKUP(O248,'G-7 Rivers Data'!$AD$4:$AE$8,2,FALSE)))</f>
        <v/>
      </c>
      <c r="Q248" s="506" t="str">
        <f>IF(D248="","",VLOOKUP(D248,'G-7 Rivers Data'!$B$2:$G$8,6,FALSE))</f>
        <v/>
      </c>
      <c r="R248" s="513" t="str">
        <f t="shared" si="24"/>
        <v/>
      </c>
      <c r="S248" s="40"/>
      <c r="T248" s="145"/>
      <c r="U248" s="157"/>
      <c r="V248" s="511" t="str">
        <f t="shared" si="25"/>
        <v/>
      </c>
      <c r="W248" s="511" t="str">
        <f t="shared" si="26"/>
        <v/>
      </c>
      <c r="X248" s="511" t="str">
        <f t="shared" si="27"/>
        <v/>
      </c>
      <c r="Y248" s="515" t="str">
        <f t="shared" si="28"/>
        <v/>
      </c>
      <c r="Z248" s="151"/>
      <c r="AA248" s="152"/>
      <c r="AG248" s="31">
        <f t="shared" si="29"/>
        <v>0</v>
      </c>
      <c r="AH248" s="156" t="str">
        <f t="shared" si="30"/>
        <v/>
      </c>
      <c r="AI248" s="156" t="str">
        <f t="shared" si="31"/>
        <v/>
      </c>
      <c r="AK248" s="156">
        <v>239</v>
      </c>
      <c r="AM248" s="156" t="str">
        <f t="array" ref="AM248">IFERROR(INDEX($AK$10:$AK$258, MATCH(0, IF(TRUE=$AH$10:$AH$258, COUNTIF($AM$9:$AM247, $AK$10:$AK$258), ""), 0)),"")</f>
        <v/>
      </c>
      <c r="AN248" s="156" t="str">
        <f t="array" ref="AN248">IFERROR(INDEX($AK$10:$AK$258, MATCH(0, IF(TRUE=$AI$10:$AI$258, COUNTIF($AN$9:$AN247, $AK$10:$AK$258), ""), 0)),"")</f>
        <v/>
      </c>
      <c r="AP248" s="31" t="str">
        <f>IFERROR(INDEX('G-7 Rivers Data'!$AZ$3:$AZ$7,MATCH(D248,'G-7 Rivers Data'!$AY$3:$AY$7,0)),"")</f>
        <v/>
      </c>
    </row>
    <row r="249" spans="3:42" ht="13.8" x14ac:dyDescent="0.25">
      <c r="C249" s="141">
        <v>240</v>
      </c>
      <c r="D249" s="460"/>
      <c r="E249" s="172"/>
      <c r="F249" s="498" t="str">
        <f>IF(D249="","",VLOOKUP(D249,'G-7 Rivers Data'!$B$2:$G$8,2,FALSE))</f>
        <v/>
      </c>
      <c r="G249" s="499" t="str">
        <f>IFERROR(VLOOKUP(F249,'G-7 Rivers Data'!$C$4:$D$8,2,FALSE),"")</f>
        <v/>
      </c>
      <c r="H249" s="145"/>
      <c r="I249" s="499" t="str">
        <f>IFERROR(INDEX('G-7 Rivers Data'!$H$4:$L$8,MATCH(D249,'G-7 Rivers Data'!$B$4:$B$8,0),MATCH(H249,'G-7 Rivers Data'!$H$3:$L$3,0)),"")</f>
        <v/>
      </c>
      <c r="J249" s="418"/>
      <c r="K249" s="498" t="str">
        <f>IF(J249="","",IF(VLOOKUP(J249,'G-7 Rivers Data'!$AK$4:$AM$9,2,FALSE)=0,"Spatial Data Missing ⚠",VLOOKUP(J249,'G-7 Rivers Data'!$AK$4:$AM$9,2,FALSE)))</f>
        <v/>
      </c>
      <c r="L249" s="505" t="str">
        <f>IF(J249="","",IF(VLOOKUP(J249,'G-7 Rivers Data'!$AK$4:$AM$9,3,FALSE)=0,"Spatial Data Missing ⚠",VLOOKUP(J249,'G-7 Rivers Data'!$AK$4:$AM$9,3,FALSE)))</f>
        <v/>
      </c>
      <c r="M249" s="71"/>
      <c r="N249" s="499" t="str">
        <f>IF(M249="","",IF(VLOOKUP(M249,'G-7 Rivers Data'!$AA$4:$AB$7,2,FALSE)=0,"Spatial Data Missing ⚠",VLOOKUP(M249,'G-7 Rivers Data'!$AA$4:$AB$7,2,FALSE)))</f>
        <v/>
      </c>
      <c r="O249" s="155"/>
      <c r="P249" s="499" t="str">
        <f>IF(O249="","",IF(VLOOKUP(O249,'G-7 Rivers Data'!$AD$4:$AE$8,2,FALSE)=0,"Spatial Data Missing ⚠",VLOOKUP(O249,'G-7 Rivers Data'!$AD$4:$AE$8,2,FALSE)))</f>
        <v/>
      </c>
      <c r="Q249" s="506" t="str">
        <f>IF(D249="","",VLOOKUP(D249,'G-7 Rivers Data'!$B$2:$G$8,6,FALSE))</f>
        <v/>
      </c>
      <c r="R249" s="513" t="str">
        <f t="shared" si="24"/>
        <v/>
      </c>
      <c r="S249" s="40"/>
      <c r="T249" s="145"/>
      <c r="U249" s="157"/>
      <c r="V249" s="511" t="str">
        <f t="shared" si="25"/>
        <v/>
      </c>
      <c r="W249" s="511" t="str">
        <f t="shared" si="26"/>
        <v/>
      </c>
      <c r="X249" s="511" t="str">
        <f t="shared" si="27"/>
        <v/>
      </c>
      <c r="Y249" s="515" t="str">
        <f t="shared" si="28"/>
        <v/>
      </c>
      <c r="Z249" s="151"/>
      <c r="AA249" s="152"/>
      <c r="AG249" s="31">
        <f t="shared" si="29"/>
        <v>0</v>
      </c>
      <c r="AH249" s="156" t="str">
        <f t="shared" si="30"/>
        <v/>
      </c>
      <c r="AI249" s="156" t="str">
        <f t="shared" si="31"/>
        <v/>
      </c>
      <c r="AK249" s="156">
        <v>240</v>
      </c>
      <c r="AM249" s="156" t="str">
        <f t="array" ref="AM249">IFERROR(INDEX($AK$10:$AK$258, MATCH(0, IF(TRUE=$AH$10:$AH$258, COUNTIF($AM$9:$AM248, $AK$10:$AK$258), ""), 0)),"")</f>
        <v/>
      </c>
      <c r="AN249" s="156" t="str">
        <f t="array" ref="AN249">IFERROR(INDEX($AK$10:$AK$258, MATCH(0, IF(TRUE=$AI$10:$AI$258, COUNTIF($AN$9:$AN248, $AK$10:$AK$258), ""), 0)),"")</f>
        <v/>
      </c>
      <c r="AP249" s="31" t="str">
        <f>IFERROR(INDEX('G-7 Rivers Data'!$AZ$3:$AZ$7,MATCH(D249,'G-7 Rivers Data'!$AY$3:$AY$7,0)),"")</f>
        <v/>
      </c>
    </row>
    <row r="250" spans="3:42" ht="13.8" x14ac:dyDescent="0.25">
      <c r="C250" s="141">
        <v>241</v>
      </c>
      <c r="D250" s="460"/>
      <c r="E250" s="172"/>
      <c r="F250" s="498" t="str">
        <f>IF(D250="","",VLOOKUP(D250,'G-7 Rivers Data'!$B$2:$G$8,2,FALSE))</f>
        <v/>
      </c>
      <c r="G250" s="499" t="str">
        <f>IFERROR(VLOOKUP(F250,'G-7 Rivers Data'!$C$4:$D$8,2,FALSE),"")</f>
        <v/>
      </c>
      <c r="H250" s="145"/>
      <c r="I250" s="499" t="str">
        <f>IFERROR(INDEX('G-7 Rivers Data'!$H$4:$L$8,MATCH(D250,'G-7 Rivers Data'!$B$4:$B$8,0),MATCH(H250,'G-7 Rivers Data'!$H$3:$L$3,0)),"")</f>
        <v/>
      </c>
      <c r="J250" s="418"/>
      <c r="K250" s="498" t="str">
        <f>IF(J250="","",IF(VLOOKUP(J250,'G-7 Rivers Data'!$AK$4:$AM$9,2,FALSE)=0,"Spatial Data Missing ⚠",VLOOKUP(J250,'G-7 Rivers Data'!$AK$4:$AM$9,2,FALSE)))</f>
        <v/>
      </c>
      <c r="L250" s="505" t="str">
        <f>IF(J250="","",IF(VLOOKUP(J250,'G-7 Rivers Data'!$AK$4:$AM$9,3,FALSE)=0,"Spatial Data Missing ⚠",VLOOKUP(J250,'G-7 Rivers Data'!$AK$4:$AM$9,3,FALSE)))</f>
        <v/>
      </c>
      <c r="M250" s="71"/>
      <c r="N250" s="499" t="str">
        <f>IF(M250="","",IF(VLOOKUP(M250,'G-7 Rivers Data'!$AA$4:$AB$7,2,FALSE)=0,"Spatial Data Missing ⚠",VLOOKUP(M250,'G-7 Rivers Data'!$AA$4:$AB$7,2,FALSE)))</f>
        <v/>
      </c>
      <c r="O250" s="155"/>
      <c r="P250" s="499" t="str">
        <f>IF(O250="","",IF(VLOOKUP(O250,'G-7 Rivers Data'!$AD$4:$AE$8,2,FALSE)=0,"Spatial Data Missing ⚠",VLOOKUP(O250,'G-7 Rivers Data'!$AD$4:$AE$8,2,FALSE)))</f>
        <v/>
      </c>
      <c r="Q250" s="506" t="str">
        <f>IF(D250="","",VLOOKUP(D250,'G-7 Rivers Data'!$B$2:$G$8,6,FALSE))</f>
        <v/>
      </c>
      <c r="R250" s="513" t="str">
        <f t="shared" si="24"/>
        <v/>
      </c>
      <c r="S250" s="40"/>
      <c r="T250" s="145"/>
      <c r="U250" s="157"/>
      <c r="V250" s="511" t="str">
        <f t="shared" si="25"/>
        <v/>
      </c>
      <c r="W250" s="511" t="str">
        <f t="shared" si="26"/>
        <v/>
      </c>
      <c r="X250" s="511" t="str">
        <f t="shared" si="27"/>
        <v/>
      </c>
      <c r="Y250" s="515" t="str">
        <f t="shared" si="28"/>
        <v/>
      </c>
      <c r="Z250" s="151"/>
      <c r="AA250" s="152"/>
      <c r="AG250" s="31">
        <f t="shared" si="29"/>
        <v>0</v>
      </c>
      <c r="AH250" s="156" t="str">
        <f t="shared" si="30"/>
        <v/>
      </c>
      <c r="AI250" s="156" t="str">
        <f t="shared" si="31"/>
        <v/>
      </c>
      <c r="AK250" s="156">
        <v>241</v>
      </c>
      <c r="AM250" s="156" t="str">
        <f t="array" ref="AM250">IFERROR(INDEX($AK$10:$AK$258, MATCH(0, IF(TRUE=$AH$10:$AH$258, COUNTIF($AM$9:$AM249, $AK$10:$AK$258), ""), 0)),"")</f>
        <v/>
      </c>
      <c r="AN250" s="156" t="str">
        <f t="array" ref="AN250">IFERROR(INDEX($AK$10:$AK$258, MATCH(0, IF(TRUE=$AI$10:$AI$258, COUNTIF($AN$9:$AN249, $AK$10:$AK$258), ""), 0)),"")</f>
        <v/>
      </c>
      <c r="AP250" s="31" t="str">
        <f>IFERROR(INDEX('G-7 Rivers Data'!$AZ$3:$AZ$7,MATCH(D250,'G-7 Rivers Data'!$AY$3:$AY$7,0)),"")</f>
        <v/>
      </c>
    </row>
    <row r="251" spans="3:42" ht="13.8" x14ac:dyDescent="0.25">
      <c r="C251" s="141">
        <v>242</v>
      </c>
      <c r="D251" s="460"/>
      <c r="E251" s="172"/>
      <c r="F251" s="498" t="str">
        <f>IF(D251="","",VLOOKUP(D251,'G-7 Rivers Data'!$B$2:$G$8,2,FALSE))</f>
        <v/>
      </c>
      <c r="G251" s="499" t="str">
        <f>IFERROR(VLOOKUP(F251,'G-7 Rivers Data'!$C$4:$D$8,2,FALSE),"")</f>
        <v/>
      </c>
      <c r="H251" s="145"/>
      <c r="I251" s="499" t="str">
        <f>IFERROR(INDEX('G-7 Rivers Data'!$H$4:$L$8,MATCH(D251,'G-7 Rivers Data'!$B$4:$B$8,0),MATCH(H251,'G-7 Rivers Data'!$H$3:$L$3,0)),"")</f>
        <v/>
      </c>
      <c r="J251" s="418"/>
      <c r="K251" s="498" t="str">
        <f>IF(J251="","",IF(VLOOKUP(J251,'G-7 Rivers Data'!$AK$4:$AM$9,2,FALSE)=0,"Spatial Data Missing ⚠",VLOOKUP(J251,'G-7 Rivers Data'!$AK$4:$AM$9,2,FALSE)))</f>
        <v/>
      </c>
      <c r="L251" s="505" t="str">
        <f>IF(J251="","",IF(VLOOKUP(J251,'G-7 Rivers Data'!$AK$4:$AM$9,3,FALSE)=0,"Spatial Data Missing ⚠",VLOOKUP(J251,'G-7 Rivers Data'!$AK$4:$AM$9,3,FALSE)))</f>
        <v/>
      </c>
      <c r="M251" s="71"/>
      <c r="N251" s="499" t="str">
        <f>IF(M251="","",IF(VLOOKUP(M251,'G-7 Rivers Data'!$AA$4:$AB$7,2,FALSE)=0,"Spatial Data Missing ⚠",VLOOKUP(M251,'G-7 Rivers Data'!$AA$4:$AB$7,2,FALSE)))</f>
        <v/>
      </c>
      <c r="O251" s="155"/>
      <c r="P251" s="499" t="str">
        <f>IF(O251="","",IF(VLOOKUP(O251,'G-7 Rivers Data'!$AD$4:$AE$8,2,FALSE)=0,"Spatial Data Missing ⚠",VLOOKUP(O251,'G-7 Rivers Data'!$AD$4:$AE$8,2,FALSE)))</f>
        <v/>
      </c>
      <c r="Q251" s="506" t="str">
        <f>IF(D251="","",VLOOKUP(D251,'G-7 Rivers Data'!$B$2:$G$8,6,FALSE))</f>
        <v/>
      </c>
      <c r="R251" s="513" t="str">
        <f t="shared" si="24"/>
        <v/>
      </c>
      <c r="S251" s="40"/>
      <c r="T251" s="145"/>
      <c r="U251" s="157"/>
      <c r="V251" s="511" t="str">
        <f t="shared" si="25"/>
        <v/>
      </c>
      <c r="W251" s="511" t="str">
        <f t="shared" si="26"/>
        <v/>
      </c>
      <c r="X251" s="511" t="str">
        <f t="shared" si="27"/>
        <v/>
      </c>
      <c r="Y251" s="515" t="str">
        <f t="shared" si="28"/>
        <v/>
      </c>
      <c r="Z251" s="151"/>
      <c r="AA251" s="152"/>
      <c r="AG251" s="31">
        <f t="shared" si="29"/>
        <v>0</v>
      </c>
      <c r="AH251" s="156" t="str">
        <f t="shared" si="30"/>
        <v/>
      </c>
      <c r="AI251" s="156" t="str">
        <f t="shared" si="31"/>
        <v/>
      </c>
      <c r="AK251" s="156">
        <v>242</v>
      </c>
      <c r="AM251" s="156" t="str">
        <f t="array" ref="AM251">IFERROR(INDEX($AK$10:$AK$258, MATCH(0, IF(TRUE=$AH$10:$AH$258, COUNTIF($AM$9:$AM250, $AK$10:$AK$258), ""), 0)),"")</f>
        <v/>
      </c>
      <c r="AN251" s="156" t="str">
        <f t="array" ref="AN251">IFERROR(INDEX($AK$10:$AK$258, MATCH(0, IF(TRUE=$AI$10:$AI$258, COUNTIF($AN$9:$AN250, $AK$10:$AK$258), ""), 0)),"")</f>
        <v/>
      </c>
      <c r="AP251" s="31" t="str">
        <f>IFERROR(INDEX('G-7 Rivers Data'!$AZ$3:$AZ$7,MATCH(D251,'G-7 Rivers Data'!$AY$3:$AY$7,0)),"")</f>
        <v/>
      </c>
    </row>
    <row r="252" spans="3:42" ht="13.8" x14ac:dyDescent="0.25">
      <c r="C252" s="141">
        <v>243</v>
      </c>
      <c r="D252" s="460"/>
      <c r="E252" s="172"/>
      <c r="F252" s="498" t="str">
        <f>IF(D252="","",VLOOKUP(D252,'G-7 Rivers Data'!$B$2:$G$8,2,FALSE))</f>
        <v/>
      </c>
      <c r="G252" s="499" t="str">
        <f>IFERROR(VLOOKUP(F252,'G-7 Rivers Data'!$C$4:$D$8,2,FALSE),"")</f>
        <v/>
      </c>
      <c r="H252" s="145"/>
      <c r="I252" s="499" t="str">
        <f>IFERROR(INDEX('G-7 Rivers Data'!$H$4:$L$8,MATCH(D252,'G-7 Rivers Data'!$B$4:$B$8,0),MATCH(H252,'G-7 Rivers Data'!$H$3:$L$3,0)),"")</f>
        <v/>
      </c>
      <c r="J252" s="418"/>
      <c r="K252" s="498" t="str">
        <f>IF(J252="","",IF(VLOOKUP(J252,'G-7 Rivers Data'!$AK$4:$AM$9,2,FALSE)=0,"Spatial Data Missing ⚠",VLOOKUP(J252,'G-7 Rivers Data'!$AK$4:$AM$9,2,FALSE)))</f>
        <v/>
      </c>
      <c r="L252" s="505" t="str">
        <f>IF(J252="","",IF(VLOOKUP(J252,'G-7 Rivers Data'!$AK$4:$AM$9,3,FALSE)=0,"Spatial Data Missing ⚠",VLOOKUP(J252,'G-7 Rivers Data'!$AK$4:$AM$9,3,FALSE)))</f>
        <v/>
      </c>
      <c r="M252" s="71"/>
      <c r="N252" s="499" t="str">
        <f>IF(M252="","",IF(VLOOKUP(M252,'G-7 Rivers Data'!$AA$4:$AB$7,2,FALSE)=0,"Spatial Data Missing ⚠",VLOOKUP(M252,'G-7 Rivers Data'!$AA$4:$AB$7,2,FALSE)))</f>
        <v/>
      </c>
      <c r="O252" s="155"/>
      <c r="P252" s="499" t="str">
        <f>IF(O252="","",IF(VLOOKUP(O252,'G-7 Rivers Data'!$AD$4:$AE$8,2,FALSE)=0,"Spatial Data Missing ⚠",VLOOKUP(O252,'G-7 Rivers Data'!$AD$4:$AE$8,2,FALSE)))</f>
        <v/>
      </c>
      <c r="Q252" s="506" t="str">
        <f>IF(D252="","",VLOOKUP(D252,'G-7 Rivers Data'!$B$2:$G$8,6,FALSE))</f>
        <v/>
      </c>
      <c r="R252" s="513" t="str">
        <f t="shared" si="24"/>
        <v/>
      </c>
      <c r="S252" s="40"/>
      <c r="T252" s="145"/>
      <c r="U252" s="157"/>
      <c r="V252" s="511" t="str">
        <f t="shared" si="25"/>
        <v/>
      </c>
      <c r="W252" s="511" t="str">
        <f t="shared" si="26"/>
        <v/>
      </c>
      <c r="X252" s="511" t="str">
        <f t="shared" si="27"/>
        <v/>
      </c>
      <c r="Y252" s="515" t="str">
        <f t="shared" si="28"/>
        <v/>
      </c>
      <c r="Z252" s="151"/>
      <c r="AA252" s="152"/>
      <c r="AG252" s="31">
        <f t="shared" si="29"/>
        <v>0</v>
      </c>
      <c r="AH252" s="156" t="str">
        <f t="shared" si="30"/>
        <v/>
      </c>
      <c r="AI252" s="156" t="str">
        <f t="shared" si="31"/>
        <v/>
      </c>
      <c r="AK252" s="156">
        <v>243</v>
      </c>
      <c r="AM252" s="156" t="str">
        <f t="array" ref="AM252">IFERROR(INDEX($AK$10:$AK$258, MATCH(0, IF(TRUE=$AH$10:$AH$258, COUNTIF($AM$9:$AM251, $AK$10:$AK$258), ""), 0)),"")</f>
        <v/>
      </c>
      <c r="AN252" s="156" t="str">
        <f t="array" ref="AN252">IFERROR(INDEX($AK$10:$AK$258, MATCH(0, IF(TRUE=$AI$10:$AI$258, COUNTIF($AN$9:$AN251, $AK$10:$AK$258), ""), 0)),"")</f>
        <v/>
      </c>
      <c r="AP252" s="31" t="str">
        <f>IFERROR(INDEX('G-7 Rivers Data'!$AZ$3:$AZ$7,MATCH(D252,'G-7 Rivers Data'!$AY$3:$AY$7,0)),"")</f>
        <v/>
      </c>
    </row>
    <row r="253" spans="3:42" ht="13.8" x14ac:dyDescent="0.25">
      <c r="C253" s="141">
        <v>244</v>
      </c>
      <c r="D253" s="460"/>
      <c r="E253" s="172"/>
      <c r="F253" s="498" t="str">
        <f>IF(D253="","",VLOOKUP(D253,'G-7 Rivers Data'!$B$2:$G$8,2,FALSE))</f>
        <v/>
      </c>
      <c r="G253" s="499" t="str">
        <f>IFERROR(VLOOKUP(F253,'G-7 Rivers Data'!$C$4:$D$8,2,FALSE),"")</f>
        <v/>
      </c>
      <c r="H253" s="145"/>
      <c r="I253" s="499" t="str">
        <f>IFERROR(INDEX('G-7 Rivers Data'!$H$4:$L$8,MATCH(D253,'G-7 Rivers Data'!$B$4:$B$8,0),MATCH(H253,'G-7 Rivers Data'!$H$3:$L$3,0)),"")</f>
        <v/>
      </c>
      <c r="J253" s="418"/>
      <c r="K253" s="498" t="str">
        <f>IF(J253="","",IF(VLOOKUP(J253,'G-7 Rivers Data'!$AK$4:$AM$9,2,FALSE)=0,"Spatial Data Missing ⚠",VLOOKUP(J253,'G-7 Rivers Data'!$AK$4:$AM$9,2,FALSE)))</f>
        <v/>
      </c>
      <c r="L253" s="505" t="str">
        <f>IF(J253="","",IF(VLOOKUP(J253,'G-7 Rivers Data'!$AK$4:$AM$9,3,FALSE)=0,"Spatial Data Missing ⚠",VLOOKUP(J253,'G-7 Rivers Data'!$AK$4:$AM$9,3,FALSE)))</f>
        <v/>
      </c>
      <c r="M253" s="71"/>
      <c r="N253" s="499" t="str">
        <f>IF(M253="","",IF(VLOOKUP(M253,'G-7 Rivers Data'!$AA$4:$AB$7,2,FALSE)=0,"Spatial Data Missing ⚠",VLOOKUP(M253,'G-7 Rivers Data'!$AA$4:$AB$7,2,FALSE)))</f>
        <v/>
      </c>
      <c r="O253" s="155"/>
      <c r="P253" s="499" t="str">
        <f>IF(O253="","",IF(VLOOKUP(O253,'G-7 Rivers Data'!$AD$4:$AE$8,2,FALSE)=0,"Spatial Data Missing ⚠",VLOOKUP(O253,'G-7 Rivers Data'!$AD$4:$AE$8,2,FALSE)))</f>
        <v/>
      </c>
      <c r="Q253" s="506" t="str">
        <f>IF(D253="","",VLOOKUP(D253,'G-7 Rivers Data'!$B$2:$G$8,6,FALSE))</f>
        <v/>
      </c>
      <c r="R253" s="513" t="str">
        <f t="shared" si="24"/>
        <v/>
      </c>
      <c r="S253" s="40"/>
      <c r="T253" s="145"/>
      <c r="U253" s="157"/>
      <c r="V253" s="511" t="str">
        <f t="shared" si="25"/>
        <v/>
      </c>
      <c r="W253" s="511" t="str">
        <f t="shared" si="26"/>
        <v/>
      </c>
      <c r="X253" s="511" t="str">
        <f t="shared" si="27"/>
        <v/>
      </c>
      <c r="Y253" s="515" t="str">
        <f t="shared" si="28"/>
        <v/>
      </c>
      <c r="Z253" s="151"/>
      <c r="AA253" s="152"/>
      <c r="AG253" s="31">
        <f t="shared" si="29"/>
        <v>0</v>
      </c>
      <c r="AH253" s="156" t="str">
        <f t="shared" si="30"/>
        <v/>
      </c>
      <c r="AI253" s="156" t="str">
        <f t="shared" si="31"/>
        <v/>
      </c>
      <c r="AK253" s="156">
        <v>244</v>
      </c>
      <c r="AM253" s="156" t="str">
        <f t="array" ref="AM253">IFERROR(INDEX($AK$10:$AK$258, MATCH(0, IF(TRUE=$AH$10:$AH$258, COUNTIF($AM$9:$AM252, $AK$10:$AK$258), ""), 0)),"")</f>
        <v/>
      </c>
      <c r="AN253" s="156" t="str">
        <f t="array" ref="AN253">IFERROR(INDEX($AK$10:$AK$258, MATCH(0, IF(TRUE=$AI$10:$AI$258, COUNTIF($AN$9:$AN252, $AK$10:$AK$258), ""), 0)),"")</f>
        <v/>
      </c>
      <c r="AP253" s="31" t="str">
        <f>IFERROR(INDEX('G-7 Rivers Data'!$AZ$3:$AZ$7,MATCH(D253,'G-7 Rivers Data'!$AY$3:$AY$7,0)),"")</f>
        <v/>
      </c>
    </row>
    <row r="254" spans="3:42" ht="13.8" x14ac:dyDescent="0.25">
      <c r="C254" s="141">
        <v>245</v>
      </c>
      <c r="D254" s="460"/>
      <c r="E254" s="172"/>
      <c r="F254" s="498" t="str">
        <f>IF(D254="","",VLOOKUP(D254,'G-7 Rivers Data'!$B$2:$G$8,2,FALSE))</f>
        <v/>
      </c>
      <c r="G254" s="499" t="str">
        <f>IFERROR(VLOOKUP(F254,'G-7 Rivers Data'!$C$4:$D$8,2,FALSE),"")</f>
        <v/>
      </c>
      <c r="H254" s="145"/>
      <c r="I254" s="499" t="str">
        <f>IFERROR(INDEX('G-7 Rivers Data'!$H$4:$L$8,MATCH(D254,'G-7 Rivers Data'!$B$4:$B$8,0),MATCH(H254,'G-7 Rivers Data'!$H$3:$L$3,0)),"")</f>
        <v/>
      </c>
      <c r="J254" s="418"/>
      <c r="K254" s="498" t="str">
        <f>IF(J254="","",IF(VLOOKUP(J254,'G-7 Rivers Data'!$AK$4:$AM$9,2,FALSE)=0,"Spatial Data Missing ⚠",VLOOKUP(J254,'G-7 Rivers Data'!$AK$4:$AM$9,2,FALSE)))</f>
        <v/>
      </c>
      <c r="L254" s="505" t="str">
        <f>IF(J254="","",IF(VLOOKUP(J254,'G-7 Rivers Data'!$AK$4:$AM$9,3,FALSE)=0,"Spatial Data Missing ⚠",VLOOKUP(J254,'G-7 Rivers Data'!$AK$4:$AM$9,3,FALSE)))</f>
        <v/>
      </c>
      <c r="M254" s="71"/>
      <c r="N254" s="499" t="str">
        <f>IF(M254="","",IF(VLOOKUP(M254,'G-7 Rivers Data'!$AA$4:$AB$7,2,FALSE)=0,"Spatial Data Missing ⚠",VLOOKUP(M254,'G-7 Rivers Data'!$AA$4:$AB$7,2,FALSE)))</f>
        <v/>
      </c>
      <c r="O254" s="155"/>
      <c r="P254" s="499" t="str">
        <f>IF(O254="","",IF(VLOOKUP(O254,'G-7 Rivers Data'!$AD$4:$AE$8,2,FALSE)=0,"Spatial Data Missing ⚠",VLOOKUP(O254,'G-7 Rivers Data'!$AD$4:$AE$8,2,FALSE)))</f>
        <v/>
      </c>
      <c r="Q254" s="506" t="str">
        <f>IF(D254="","",VLOOKUP(D254,'G-7 Rivers Data'!$B$2:$G$8,6,FALSE))</f>
        <v/>
      </c>
      <c r="R254" s="513" t="str">
        <f t="shared" si="24"/>
        <v/>
      </c>
      <c r="S254" s="40"/>
      <c r="T254" s="145"/>
      <c r="U254" s="157"/>
      <c r="V254" s="511" t="str">
        <f t="shared" si="25"/>
        <v/>
      </c>
      <c r="W254" s="511" t="str">
        <f t="shared" si="26"/>
        <v/>
      </c>
      <c r="X254" s="511" t="str">
        <f t="shared" si="27"/>
        <v/>
      </c>
      <c r="Y254" s="515" t="str">
        <f t="shared" si="28"/>
        <v/>
      </c>
      <c r="Z254" s="151"/>
      <c r="AA254" s="152"/>
      <c r="AG254" s="31">
        <f t="shared" si="29"/>
        <v>0</v>
      </c>
      <c r="AH254" s="156" t="str">
        <f t="shared" si="30"/>
        <v/>
      </c>
      <c r="AI254" s="156" t="str">
        <f t="shared" si="31"/>
        <v/>
      </c>
      <c r="AK254" s="156">
        <v>245</v>
      </c>
      <c r="AM254" s="156" t="str">
        <f t="array" ref="AM254">IFERROR(INDEX($AK$10:$AK$258, MATCH(0, IF(TRUE=$AH$10:$AH$258, COUNTIF($AM$9:$AM253, $AK$10:$AK$258), ""), 0)),"")</f>
        <v/>
      </c>
      <c r="AN254" s="156" t="str">
        <f t="array" ref="AN254">IFERROR(INDEX($AK$10:$AK$258, MATCH(0, IF(TRUE=$AI$10:$AI$258, COUNTIF($AN$9:$AN253, $AK$10:$AK$258), ""), 0)),"")</f>
        <v/>
      </c>
      <c r="AP254" s="31" t="str">
        <f>IFERROR(INDEX('G-7 Rivers Data'!$AZ$3:$AZ$7,MATCH(D254,'G-7 Rivers Data'!$AY$3:$AY$7,0)),"")</f>
        <v/>
      </c>
    </row>
    <row r="255" spans="3:42" ht="13.8" x14ac:dyDescent="0.25">
      <c r="C255" s="141">
        <v>246</v>
      </c>
      <c r="D255" s="460"/>
      <c r="E255" s="172"/>
      <c r="F255" s="498" t="str">
        <f>IF(D255="","",VLOOKUP(D255,'G-7 Rivers Data'!$B$2:$G$8,2,FALSE))</f>
        <v/>
      </c>
      <c r="G255" s="499" t="str">
        <f>IFERROR(VLOOKUP(F255,'G-7 Rivers Data'!$C$4:$D$8,2,FALSE),"")</f>
        <v/>
      </c>
      <c r="H255" s="145"/>
      <c r="I255" s="499" t="str">
        <f>IFERROR(INDEX('G-7 Rivers Data'!$H$4:$L$8,MATCH(D255,'G-7 Rivers Data'!$B$4:$B$8,0),MATCH(H255,'G-7 Rivers Data'!$H$3:$L$3,0)),"")</f>
        <v/>
      </c>
      <c r="J255" s="418"/>
      <c r="K255" s="498" t="str">
        <f>IF(J255="","",IF(VLOOKUP(J255,'G-7 Rivers Data'!$AK$4:$AM$9,2,FALSE)=0,"Spatial Data Missing ⚠",VLOOKUP(J255,'G-7 Rivers Data'!$AK$4:$AM$9,2,FALSE)))</f>
        <v/>
      </c>
      <c r="L255" s="505" t="str">
        <f>IF(J255="","",IF(VLOOKUP(J255,'G-7 Rivers Data'!$AK$4:$AM$9,3,FALSE)=0,"Spatial Data Missing ⚠",VLOOKUP(J255,'G-7 Rivers Data'!$AK$4:$AM$9,3,FALSE)))</f>
        <v/>
      </c>
      <c r="M255" s="71"/>
      <c r="N255" s="499" t="str">
        <f>IF(M255="","",IF(VLOOKUP(M255,'G-7 Rivers Data'!$AA$4:$AB$7,2,FALSE)=0,"Spatial Data Missing ⚠",VLOOKUP(M255,'G-7 Rivers Data'!$AA$4:$AB$7,2,FALSE)))</f>
        <v/>
      </c>
      <c r="O255" s="155"/>
      <c r="P255" s="499" t="str">
        <f>IF(O255="","",IF(VLOOKUP(O255,'G-7 Rivers Data'!$AD$4:$AE$8,2,FALSE)=0,"Spatial Data Missing ⚠",VLOOKUP(O255,'G-7 Rivers Data'!$AD$4:$AE$8,2,FALSE)))</f>
        <v/>
      </c>
      <c r="Q255" s="506" t="str">
        <f>IF(D255="","",VLOOKUP(D255,'G-7 Rivers Data'!$B$2:$G$8,6,FALSE))</f>
        <v/>
      </c>
      <c r="R255" s="513" t="str">
        <f t="shared" si="24"/>
        <v/>
      </c>
      <c r="S255" s="40"/>
      <c r="T255" s="145"/>
      <c r="U255" s="157"/>
      <c r="V255" s="511" t="str">
        <f t="shared" si="25"/>
        <v/>
      </c>
      <c r="W255" s="511" t="str">
        <f t="shared" si="26"/>
        <v/>
      </c>
      <c r="X255" s="511" t="str">
        <f t="shared" si="27"/>
        <v/>
      </c>
      <c r="Y255" s="515" t="str">
        <f t="shared" si="28"/>
        <v/>
      </c>
      <c r="Z255" s="151"/>
      <c r="AA255" s="152"/>
      <c r="AG255" s="31">
        <f t="shared" si="29"/>
        <v>0</v>
      </c>
      <c r="AH255" s="156" t="str">
        <f t="shared" si="30"/>
        <v/>
      </c>
      <c r="AI255" s="156" t="str">
        <f t="shared" si="31"/>
        <v/>
      </c>
      <c r="AK255" s="156">
        <v>246</v>
      </c>
      <c r="AM255" s="156" t="str">
        <f t="array" ref="AM255">IFERROR(INDEX($AK$10:$AK$258, MATCH(0, IF(TRUE=$AH$10:$AH$258, COUNTIF($AM$9:$AM254, $AK$10:$AK$258), ""), 0)),"")</f>
        <v/>
      </c>
      <c r="AN255" s="156" t="str">
        <f t="array" ref="AN255">IFERROR(INDEX($AK$10:$AK$258, MATCH(0, IF(TRUE=$AI$10:$AI$258, COUNTIF($AN$9:$AN254, $AK$10:$AK$258), ""), 0)),"")</f>
        <v/>
      </c>
      <c r="AP255" s="31" t="str">
        <f>IFERROR(INDEX('G-7 Rivers Data'!$AZ$3:$AZ$7,MATCH(D255,'G-7 Rivers Data'!$AY$3:$AY$7,0)),"")</f>
        <v/>
      </c>
    </row>
    <row r="256" spans="3:42" ht="13.95" customHeight="1" x14ac:dyDescent="0.25">
      <c r="C256" s="141">
        <v>247</v>
      </c>
      <c r="D256" s="460"/>
      <c r="E256" s="172"/>
      <c r="F256" s="498" t="str">
        <f>IF(D256="","",VLOOKUP(D256,'G-7 Rivers Data'!$B$2:$G$8,2,FALSE))</f>
        <v/>
      </c>
      <c r="G256" s="499" t="str">
        <f>IFERROR(VLOOKUP(F256,'G-7 Rivers Data'!$C$4:$D$8,2,FALSE),"")</f>
        <v/>
      </c>
      <c r="H256" s="145"/>
      <c r="I256" s="499" t="str">
        <f>IFERROR(INDEX('G-7 Rivers Data'!$H$4:$L$8,MATCH(D256,'G-7 Rivers Data'!$B$4:$B$8,0),MATCH(H256,'G-7 Rivers Data'!$H$3:$L$3,0)),"")</f>
        <v/>
      </c>
      <c r="J256" s="418"/>
      <c r="K256" s="498" t="str">
        <f>IF(J256="","",IF(VLOOKUP(J256,'G-7 Rivers Data'!$AK$4:$AM$9,2,FALSE)=0,"Spatial Data Missing ⚠",VLOOKUP(J256,'G-7 Rivers Data'!$AK$4:$AM$9,2,FALSE)))</f>
        <v/>
      </c>
      <c r="L256" s="505" t="str">
        <f>IF(J256="","",IF(VLOOKUP(J256,'G-7 Rivers Data'!$AK$4:$AM$9,3,FALSE)=0,"Spatial Data Missing ⚠",VLOOKUP(J256,'G-7 Rivers Data'!$AK$4:$AM$9,3,FALSE)))</f>
        <v/>
      </c>
      <c r="M256" s="71"/>
      <c r="N256" s="499" t="str">
        <f>IF(M256="","",IF(VLOOKUP(M256,'G-7 Rivers Data'!$AA$4:$AB$7,2,FALSE)=0,"Spatial Data Missing ⚠",VLOOKUP(M256,'G-7 Rivers Data'!$AA$4:$AB$7,2,FALSE)))</f>
        <v/>
      </c>
      <c r="O256" s="155"/>
      <c r="P256" s="499" t="str">
        <f>IF(O256="","",IF(VLOOKUP(O256,'G-7 Rivers Data'!$AD$4:$AE$8,2,FALSE)=0,"Spatial Data Missing ⚠",VLOOKUP(O256,'G-7 Rivers Data'!$AD$4:$AE$8,2,FALSE)))</f>
        <v/>
      </c>
      <c r="Q256" s="506" t="str">
        <f>IF(D256="","",VLOOKUP(D256,'G-7 Rivers Data'!$B$2:$G$8,6,FALSE))</f>
        <v/>
      </c>
      <c r="R256" s="513" t="str">
        <f t="shared" si="24"/>
        <v/>
      </c>
      <c r="S256" s="40"/>
      <c r="T256" s="145"/>
      <c r="U256" s="157"/>
      <c r="V256" s="511" t="str">
        <f t="shared" si="25"/>
        <v/>
      </c>
      <c r="W256" s="511" t="str">
        <f t="shared" si="26"/>
        <v/>
      </c>
      <c r="X256" s="511" t="str">
        <f t="shared" si="27"/>
        <v/>
      </c>
      <c r="Y256" s="515" t="str">
        <f t="shared" si="28"/>
        <v/>
      </c>
      <c r="Z256" s="151"/>
      <c r="AA256" s="152"/>
      <c r="AG256" s="31">
        <f t="shared" si="29"/>
        <v>0</v>
      </c>
      <c r="AH256" s="156" t="str">
        <f t="shared" si="30"/>
        <v/>
      </c>
      <c r="AI256" s="156" t="str">
        <f t="shared" si="31"/>
        <v/>
      </c>
      <c r="AK256" s="156">
        <v>247</v>
      </c>
      <c r="AM256" s="156" t="str">
        <f t="array" ref="AM256">IFERROR(INDEX($AK$10:$AK$258, MATCH(0, IF(TRUE=$AH$10:$AH$258, COUNTIF($AM$9:$AM255, $AK$10:$AK$258), ""), 0)),"")</f>
        <v/>
      </c>
      <c r="AN256" s="156" t="str">
        <f t="array" ref="AN256">IFERROR(INDEX($AK$10:$AK$258, MATCH(0, IF(TRUE=$AI$10:$AI$258, COUNTIF($AN$9:$AN255, $AK$10:$AK$258), ""), 0)),"")</f>
        <v/>
      </c>
      <c r="AP256" s="31" t="str">
        <f>IFERROR(INDEX('G-7 Rivers Data'!$AZ$3:$AZ$7,MATCH(D256,'G-7 Rivers Data'!$AY$3:$AY$7,0)),"")</f>
        <v/>
      </c>
    </row>
    <row r="257" spans="2:42" ht="13.95" customHeight="1" thickBot="1" x14ac:dyDescent="0.3">
      <c r="C257" s="158">
        <v>248</v>
      </c>
      <c r="D257" s="460"/>
      <c r="E257" s="172"/>
      <c r="F257" s="500" t="str">
        <f>IF(D257="","",VLOOKUP(D257,'G-7 Rivers Data'!$B$2:$G$8,2,FALSE))</f>
        <v/>
      </c>
      <c r="G257" s="501" t="str">
        <f>IFERROR(VLOOKUP(F257,'G-7 Rivers Data'!$C$4:$D$8,2,FALSE),"")</f>
        <v/>
      </c>
      <c r="H257" s="161"/>
      <c r="I257" s="501" t="str">
        <f>IFERROR(INDEX('G-7 Rivers Data'!$H$4:$L$8,MATCH(D257,'G-7 Rivers Data'!$B$4:$B$8,0),MATCH(H257,'G-7 Rivers Data'!$H$3:$L$3,0)),"")</f>
        <v/>
      </c>
      <c r="J257" s="420"/>
      <c r="K257" s="634" t="str">
        <f>IF(J257="","",IF(VLOOKUP(J257,'G-7 Rivers Data'!$AK$4:$AM$9,2,FALSE)=0,"Spatial Data Missing ⚠",VLOOKUP(J257,'G-7 Rivers Data'!$AK$4:$AM$9,2,FALSE)))</f>
        <v/>
      </c>
      <c r="L257" s="505" t="str">
        <f>IF(J257="","",IF(VLOOKUP(J257,'G-7 Rivers Data'!$AK$4:$AM$9,3,FALSE)=0,"Spatial Data Missing ⚠",VLOOKUP(J257,'G-7 Rivers Data'!$AK$4:$AM$9,3,FALSE)))</f>
        <v/>
      </c>
      <c r="M257" s="452"/>
      <c r="N257" s="499" t="str">
        <f>IF(M257="","",IF(VLOOKUP(M257,'G-7 Rivers Data'!$AA$4:$AB$7,2,FALSE)=0,"Spatial Data Missing ⚠",VLOOKUP(M257,'G-7 Rivers Data'!$AA$4:$AB$7,2,FALSE)))</f>
        <v/>
      </c>
      <c r="O257" s="273"/>
      <c r="P257" s="499" t="str">
        <f>IF(O257="","",IF(VLOOKUP(O257,'G-7 Rivers Data'!$AD$4:$AE$8,2,FALSE)=0,"Spatial Data Missing ⚠",VLOOKUP(O257,'G-7 Rivers Data'!$AD$4:$AE$8,2,FALSE)))</f>
        <v/>
      </c>
      <c r="Q257" s="510" t="str">
        <f>IF(D257="","",VLOOKUP(D257,'G-7 Rivers Data'!$B$2:$G$8,6,FALSE))</f>
        <v/>
      </c>
      <c r="R257" s="555" t="str">
        <f t="shared" si="24"/>
        <v/>
      </c>
      <c r="S257" s="40"/>
      <c r="T257" s="410"/>
      <c r="U257" s="411"/>
      <c r="V257" s="511" t="str">
        <f t="shared" si="25"/>
        <v/>
      </c>
      <c r="W257" s="511" t="str">
        <f t="shared" si="26"/>
        <v/>
      </c>
      <c r="X257" s="511" t="str">
        <f t="shared" si="27"/>
        <v/>
      </c>
      <c r="Y257" s="515" t="str">
        <f t="shared" si="28"/>
        <v/>
      </c>
      <c r="Z257" s="163"/>
      <c r="AA257" s="164"/>
      <c r="AG257" s="31">
        <f t="shared" si="29"/>
        <v>0</v>
      </c>
      <c r="AH257" s="156" t="str">
        <f t="shared" si="30"/>
        <v/>
      </c>
      <c r="AI257" s="156" t="str">
        <f t="shared" si="31"/>
        <v/>
      </c>
      <c r="AK257" s="156">
        <v>248</v>
      </c>
      <c r="AM257" s="156" t="str">
        <f t="array" ref="AM257">IFERROR(INDEX($AK$10:$AK$258, MATCH(0, IF(TRUE=$AH$10:$AH$258, COUNTIF($AM$9:$AM256, $AK$10:$AK$258), ""), 0)),"")</f>
        <v/>
      </c>
      <c r="AN257" s="156" t="str">
        <f t="array" ref="AN257">IFERROR(INDEX($AK$10:$AK$258, MATCH(0, IF(TRUE=$AI$10:$AI$258, COUNTIF($AN$9:$AN256, $AK$10:$AK$258), ""), 0)),"")</f>
        <v/>
      </c>
      <c r="AP257" s="31" t="str">
        <f>IFERROR(INDEX('G-7 Rivers Data'!$AZ$3:$AZ$7,MATCH(D257,'G-7 Rivers Data'!$AY$3:$AY$7,0)),"")</f>
        <v/>
      </c>
    </row>
    <row r="258" spans="2:42" ht="13.95" customHeight="1" thickBot="1" x14ac:dyDescent="0.3">
      <c r="B258" s="31"/>
      <c r="C258" s="46"/>
      <c r="D258" s="443"/>
      <c r="E258" s="563">
        <f>SUM(E10:E257)</f>
        <v>0</v>
      </c>
      <c r="F258" s="46"/>
      <c r="G258" s="46"/>
      <c r="H258" s="46"/>
      <c r="I258" s="46"/>
      <c r="J258" s="46"/>
      <c r="K258" s="46"/>
      <c r="L258" s="46"/>
      <c r="M258" s="46"/>
      <c r="N258" s="46"/>
      <c r="O258" s="46"/>
      <c r="P258" s="1014"/>
      <c r="Q258" s="1015"/>
      <c r="R258" s="563">
        <f>SUM(R10:R257)</f>
        <v>0</v>
      </c>
      <c r="S258" s="166"/>
      <c r="T258" s="517">
        <f>SUM(T10:T257)</f>
        <v>0</v>
      </c>
      <c r="U258" s="518">
        <f>SUM(U10:U257)</f>
        <v>0</v>
      </c>
      <c r="V258" s="518">
        <f>SUM(V10:V257)</f>
        <v>0</v>
      </c>
      <c r="W258" s="518">
        <f t="shared" ref="W258:X258" si="32">SUM(W10:W257)</f>
        <v>0</v>
      </c>
      <c r="X258" s="518">
        <f t="shared" si="32"/>
        <v>0</v>
      </c>
      <c r="Y258" s="515">
        <f t="shared" si="28"/>
        <v>0</v>
      </c>
    </row>
    <row r="259" spans="2:42" ht="13.8" x14ac:dyDescent="0.25">
      <c r="B259" s="31"/>
      <c r="C259" s="31"/>
      <c r="S259" s="166"/>
      <c r="T259" s="166"/>
      <c r="U259" s="166"/>
      <c r="V259" s="166"/>
      <c r="W259" s="166"/>
      <c r="X259" s="166"/>
      <c r="Y259" s="166"/>
    </row>
    <row r="260" spans="2:42" ht="13.8" x14ac:dyDescent="0.25"/>
    <row r="261" spans="2:42" ht="13.8" x14ac:dyDescent="0.25"/>
    <row r="262" spans="2:42" ht="13.8" x14ac:dyDescent="0.25"/>
    <row r="263" spans="2:42" ht="13.8" x14ac:dyDescent="0.25"/>
    <row r="264" spans="2:42" ht="13.8" x14ac:dyDescent="0.25"/>
    <row r="265" spans="2:42" ht="13.8" x14ac:dyDescent="0.25"/>
    <row r="266" spans="2:42" ht="13.8" x14ac:dyDescent="0.25"/>
    <row r="267" spans="2:42" ht="13.8" x14ac:dyDescent="0.25"/>
    <row r="268" spans="2:42" ht="13.8" x14ac:dyDescent="0.25"/>
    <row r="269" spans="2:42" ht="13.8" x14ac:dyDescent="0.25"/>
    <row r="270" spans="2:42" ht="13.8" x14ac:dyDescent="0.25"/>
    <row r="271" spans="2:42" ht="13.8" x14ac:dyDescent="0.25"/>
    <row r="272" spans="2:42" ht="13.8" x14ac:dyDescent="0.25"/>
  </sheetData>
  <sheetProtection algorithmName="SHA-512" hashValue="RPH6/hYvcnhbH9aj1SIgJhUpYlBnFWyc9rs6RjzvLdvN4vXEGzJceSVasooGwnibYrIIdyuTLcYMv2zuXg97uQ==" saltValue="3v5XhrtD5G1c0cdH+ol3u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D2"/>
    <mergeCell ref="B3:D4"/>
    <mergeCell ref="C8:E8"/>
    <mergeCell ref="F8:G8"/>
    <mergeCell ref="H8:I8"/>
    <mergeCell ref="J8:L8"/>
    <mergeCell ref="M8:N8"/>
    <mergeCell ref="O8:P8"/>
    <mergeCell ref="Q8:Q9"/>
    <mergeCell ref="T8:Y8"/>
    <mergeCell ref="T5:Y6"/>
  </mergeCells>
  <conditionalFormatting sqref="Q10:Q257">
    <cfRule type="containsText" dxfId="59" priority="19" operator="containsText" text="Restore">
      <formula>NOT(ISERROR(SEARCH("Restore",Q10)))</formula>
    </cfRule>
  </conditionalFormatting>
  <conditionalFormatting sqref="K10:L257">
    <cfRule type="containsText" dxfId="58" priority="14" operator="containsText" text="Spatial">
      <formula>NOT(ISERROR(SEARCH("Spatial",K10)))</formula>
    </cfRule>
  </conditionalFormatting>
  <conditionalFormatting sqref="P10:P257">
    <cfRule type="containsText" dxfId="57" priority="13" operator="containsText" text="Spatial">
      <formula>NOT(ISERROR(SEARCH("Spatial",P10)))</formula>
    </cfRule>
  </conditionalFormatting>
  <conditionalFormatting sqref="X10:X257">
    <cfRule type="containsText" dxfId="56" priority="12" operator="containsText" text="Error">
      <formula>NOT(ISERROR(SEARCH("Error",X10)))</formula>
    </cfRule>
  </conditionalFormatting>
  <conditionalFormatting sqref="Y10:Y258">
    <cfRule type="containsText" dxfId="55" priority="10" operator="containsText" text="Check">
      <formula>NOT(ISERROR(SEARCH("Check",Y10)))</formula>
    </cfRule>
    <cfRule type="containsText" dxfId="54" priority="11" operator="containsText" text="Error">
      <formula>NOT(ISERROR(SEARCH("Error",Y10)))</formula>
    </cfRule>
  </conditionalFormatting>
  <conditionalFormatting sqref="T5:Y6">
    <cfRule type="containsText" dxfId="53" priority="1" operator="containsText" text="Check">
      <formula>NOT(ISERROR(SEARCH("Check",T5)))</formula>
    </cfRule>
  </conditionalFormatting>
  <dataValidations count="1">
    <dataValidation type="list" allowBlank="1" showInputMessage="1" showErrorMessage="1" sqref="H10:H14" xr:uid="{00000000-0002-0000-1700-000000000000}">
      <formula1>INDIRECT(AP10)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'G-7 Rivers Data'!$H$3:$L$3</xm:f>
          </x14:formula1>
          <xm:sqref>H15:H257</xm:sqref>
        </x14:dataValidation>
        <x14:dataValidation type="list" allowBlank="1" showInputMessage="1" showErrorMessage="1" xr:uid="{00000000-0002-0000-1700-000002000000}">
          <x14:formula1>
            <xm:f>'G-7 Rivers Data'!$AK$4:$AK$9</xm:f>
          </x14:formula1>
          <xm:sqref>J10:J257</xm:sqref>
        </x14:dataValidation>
        <x14:dataValidation type="list" allowBlank="1" showInputMessage="1" showErrorMessage="1" xr:uid="{00000000-0002-0000-1700-000004000000}">
          <x14:formula1>
            <xm:f>'G-7 Rivers Data'!$AD$4:$AD$7</xm:f>
          </x14:formula1>
          <xm:sqref>O10:O257</xm:sqref>
        </x14:dataValidation>
        <x14:dataValidation type="list" allowBlank="1" showInputMessage="1" showErrorMessage="1" xr:uid="{00000000-0002-0000-1700-000005000000}">
          <x14:formula1>
            <xm:f>'G-7 Rivers Data'!$B$4:$B$8</xm:f>
          </x14:formula1>
          <xm:sqref>D10:D257</xm:sqref>
        </x14:dataValidation>
        <x14:dataValidation type="list" allowBlank="1" showInputMessage="1" showErrorMessage="1" xr:uid="{EA200A12-2AB4-41A2-8065-78EBD76ED851}">
          <x14:formula1>
            <xm:f>'G-7 Rivers Data'!$AA$4:$AA$7</xm:f>
          </x14:formula1>
          <xm:sqref>M10:M257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showRowColHeaders="0" zoomScale="85" zoomScaleNormal="85"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0.6640625" style="31" customWidth="1"/>
    <col min="3" max="3" width="41" style="31" customWidth="1"/>
    <col min="4" max="4" width="10" style="31" customWidth="1"/>
    <col min="5" max="5" width="18.33203125" style="31" customWidth="1"/>
    <col min="6" max="6" width="13.109375" style="31" customWidth="1"/>
    <col min="7" max="7" width="12.5546875" style="31" bestFit="1" customWidth="1"/>
    <col min="8" max="8" width="12.5546875" style="31" customWidth="1"/>
    <col min="9" max="9" width="33.6640625" style="31" customWidth="1"/>
    <col min="10" max="10" width="22.33203125" style="31" customWidth="1"/>
    <col min="11" max="11" width="12.33203125" style="31" customWidth="1"/>
    <col min="12" max="14" width="17.6640625" style="31" customWidth="1"/>
    <col min="15" max="15" width="23.5546875" style="31" customWidth="1"/>
    <col min="16" max="16" width="17.6640625" style="31" customWidth="1"/>
    <col min="17" max="17" width="15.33203125" style="31" customWidth="1"/>
    <col min="18" max="18" width="10.6640625" style="31" customWidth="1"/>
    <col min="19" max="19" width="21.88671875" style="31" customWidth="1"/>
    <col min="20" max="20" width="15.5546875" style="31" customWidth="1"/>
    <col min="21" max="21" width="13.88671875" style="31" customWidth="1"/>
    <col min="22" max="22" width="17.88671875" style="31" customWidth="1"/>
    <col min="23" max="23" width="12.33203125" style="31" customWidth="1"/>
    <col min="24" max="24" width="21.33203125" style="31" customWidth="1"/>
    <col min="25" max="25" width="13.33203125" style="31" customWidth="1"/>
    <col min="26" max="26" width="17.33203125" style="31" customWidth="1"/>
    <col min="27" max="28" width="34.88671875" style="31" customWidth="1"/>
    <col min="29" max="32" width="8.88671875" style="31" customWidth="1"/>
    <col min="33" max="33" width="8.88671875" style="31" hidden="1" customWidth="1"/>
    <col min="34" max="34" width="10.88671875" style="31" hidden="1" customWidth="1"/>
    <col min="35" max="16384" width="8.88671875" style="31" hidden="1"/>
  </cols>
  <sheetData>
    <row r="1" spans="2:34" ht="14.4" hidden="1" thickBot="1" x14ac:dyDescent="0.3"/>
    <row r="2" spans="2:34" ht="24.6" customHeight="1" thickBot="1" x14ac:dyDescent="0.3">
      <c r="B2" s="987" t="str">
        <f>IF([2]Start!F12="","",[2]Start!F12)</f>
        <v/>
      </c>
      <c r="C2" s="988"/>
      <c r="D2" s="988"/>
      <c r="E2" s="989"/>
    </row>
    <row r="3" spans="2:34" ht="15.6" customHeight="1" thickBot="1" x14ac:dyDescent="0.3">
      <c r="B3" s="1020" t="str">
        <f ca="1">MID(CELL("filename",A1),FIND("]",CELL("filename",A1))+1,256)</f>
        <v>C-2 Site River Creation</v>
      </c>
      <c r="C3" s="1021"/>
      <c r="D3" s="1021"/>
      <c r="E3" s="1022"/>
      <c r="L3" s="919" t="str">
        <f>IF(OR(COUNTIF(L$12:$L260,"*30+*")&gt;0,COUNTIF(P$12:$P260,"*30+*")&gt;0),"Note; Habitat selected has a time to target condition greater than 30 years. Non standard agreement may be required. ⚠","")</f>
        <v/>
      </c>
      <c r="M3" s="919"/>
      <c r="N3" s="919"/>
      <c r="O3" s="919"/>
      <c r="P3" s="919"/>
      <c r="Q3" s="919"/>
    </row>
    <row r="4" spans="2:34" ht="15" customHeight="1" thickBot="1" x14ac:dyDescent="0.3">
      <c r="B4" s="1020"/>
      <c r="C4" s="1021"/>
      <c r="D4" s="1021"/>
      <c r="E4" s="1022"/>
      <c r="L4" s="919"/>
      <c r="M4" s="919"/>
      <c r="N4" s="919"/>
      <c r="O4" s="919"/>
      <c r="P4" s="919"/>
      <c r="Q4" s="919"/>
    </row>
    <row r="5" spans="2:34" ht="26.4" customHeight="1" x14ac:dyDescent="0.25">
      <c r="L5" s="919"/>
      <c r="M5" s="919"/>
      <c r="N5" s="919"/>
      <c r="O5" s="919"/>
      <c r="P5" s="919"/>
      <c r="Q5" s="919"/>
    </row>
    <row r="6" spans="2:34" ht="23.25" customHeight="1" x14ac:dyDescent="0.25">
      <c r="L6" s="403"/>
      <c r="M6" s="403"/>
      <c r="N6" s="403"/>
      <c r="O6" s="403"/>
      <c r="P6" s="403"/>
    </row>
    <row r="7" spans="2:34" ht="6" customHeight="1" x14ac:dyDescent="0.25">
      <c r="L7" s="403"/>
      <c r="M7" s="403"/>
      <c r="N7" s="403"/>
      <c r="O7" s="403"/>
      <c r="P7" s="403"/>
    </row>
    <row r="8" spans="2:34" ht="6" customHeight="1" x14ac:dyDescent="0.25"/>
    <row r="9" spans="2:34" ht="15.75" customHeight="1" thickBot="1" x14ac:dyDescent="0.3"/>
    <row r="10" spans="2:34" s="42" customFormat="1" ht="29.25" customHeight="1" thickBot="1" x14ac:dyDescent="0.3">
      <c r="B10" s="247"/>
      <c r="C10" s="940" t="s">
        <v>301</v>
      </c>
      <c r="D10" s="940"/>
      <c r="E10" s="940" t="s">
        <v>272</v>
      </c>
      <c r="F10" s="940"/>
      <c r="G10" s="940" t="s">
        <v>273</v>
      </c>
      <c r="H10" s="940"/>
      <c r="I10" s="940" t="s">
        <v>191</v>
      </c>
      <c r="J10" s="940"/>
      <c r="K10" s="940"/>
      <c r="L10" s="967" t="s">
        <v>228</v>
      </c>
      <c r="M10" s="968"/>
      <c r="N10" s="968"/>
      <c r="O10" s="968"/>
      <c r="P10" s="968"/>
      <c r="Q10" s="969"/>
      <c r="R10" s="967" t="s">
        <v>229</v>
      </c>
      <c r="S10" s="968"/>
      <c r="T10" s="968"/>
      <c r="U10" s="969"/>
      <c r="V10" s="940" t="s">
        <v>319</v>
      </c>
      <c r="W10" s="940"/>
      <c r="X10" s="940" t="s">
        <v>320</v>
      </c>
      <c r="Y10" s="940"/>
      <c r="Z10" s="939" t="s">
        <v>329</v>
      </c>
      <c r="AA10" s="880" t="s">
        <v>196</v>
      </c>
      <c r="AB10" s="878"/>
    </row>
    <row r="11" spans="2:34" s="42" customFormat="1" ht="41.4" x14ac:dyDescent="0.25">
      <c r="B11" s="135" t="s">
        <v>254</v>
      </c>
      <c r="C11" s="201" t="s">
        <v>138</v>
      </c>
      <c r="D11" s="202" t="s">
        <v>294</v>
      </c>
      <c r="E11" s="368" t="s">
        <v>189</v>
      </c>
      <c r="F11" s="202" t="s">
        <v>206</v>
      </c>
      <c r="G11" s="368" t="s">
        <v>190</v>
      </c>
      <c r="H11" s="202" t="s">
        <v>206</v>
      </c>
      <c r="I11" s="368" t="s">
        <v>191</v>
      </c>
      <c r="J11" s="201" t="s">
        <v>191</v>
      </c>
      <c r="K11" s="202" t="s">
        <v>231</v>
      </c>
      <c r="L11" s="368" t="s">
        <v>304</v>
      </c>
      <c r="M11" s="201" t="s">
        <v>233</v>
      </c>
      <c r="N11" s="201" t="s">
        <v>234</v>
      </c>
      <c r="O11" s="201" t="s">
        <v>235</v>
      </c>
      <c r="P11" s="201" t="s">
        <v>236</v>
      </c>
      <c r="Q11" s="202" t="s">
        <v>312</v>
      </c>
      <c r="R11" s="368" t="s">
        <v>238</v>
      </c>
      <c r="S11" s="201" t="s">
        <v>330</v>
      </c>
      <c r="T11" s="201" t="s">
        <v>240</v>
      </c>
      <c r="U11" s="202" t="s">
        <v>241</v>
      </c>
      <c r="V11" s="141" t="s">
        <v>322</v>
      </c>
      <c r="W11" s="359" t="s">
        <v>323</v>
      </c>
      <c r="X11" s="141" t="s">
        <v>322</v>
      </c>
      <c r="Y11" s="359" t="s">
        <v>323</v>
      </c>
      <c r="Z11" s="940"/>
      <c r="AA11" s="141" t="s">
        <v>215</v>
      </c>
      <c r="AB11" s="359" t="s">
        <v>216</v>
      </c>
      <c r="AH11" s="261" t="s">
        <v>200</v>
      </c>
    </row>
    <row r="12" spans="2:34" ht="75.900000000000006" customHeight="1" x14ac:dyDescent="0.25">
      <c r="B12" s="368">
        <v>1</v>
      </c>
      <c r="C12" s="260"/>
      <c r="D12" s="70"/>
      <c r="E12" s="498" t="str">
        <f>IF(C12="","",VLOOKUP(C12,'G-7 Rivers Data'!$B$2:$G$8,2,FALSE))</f>
        <v/>
      </c>
      <c r="F12" s="499" t="str">
        <f>IFERROR(VLOOKUP(E12,'G-7 Rivers Data'!$C$4:$D$8,2,FALSE),"")</f>
        <v/>
      </c>
      <c r="G12" s="145"/>
      <c r="H12" s="499" t="str">
        <f>IFERROR(INDEX('G-7 Rivers Data'!$H$4:$L$8,MATCH(C12,'G-7 Rivers Data'!$B$4:$B$8,0),MATCH(G12,'G-7 Rivers Data'!$H$3:$L$3,0)),"")</f>
        <v/>
      </c>
      <c r="I12" s="71"/>
      <c r="J12" s="507" t="str">
        <f>IF(I12="","",IF(VLOOKUP(I12,'G-7 Rivers Data'!$AG$4:$AI$9,2,FALSE)=0,"Spatial Data Missing ⚠",VLOOKUP(I12,'G-7 Rivers Data'!$AG$4:$AI$9,2,FALSE)))</f>
        <v/>
      </c>
      <c r="K12" s="499" t="str">
        <f>IF(I12="","",IF(VLOOKUP(I12,'G-7 Rivers Data'!$AG$4:$AI$9,3,FALSE)=0,"Spatial Data Missing ⚠",VLOOKUP(I12,'G-7 Rivers Data'!$AG$4:$AI$9,3,FALSE)))</f>
        <v/>
      </c>
      <c r="L12" s="498" t="str">
        <f>IFERROR(INDEX('G-7 Rivers Data'!$O$3:$O$7,MATCH(G12,'G-7 Rivers Data'!$N$3:$N$7,0)),"")</f>
        <v/>
      </c>
      <c r="M12" s="82"/>
      <c r="N12" s="82"/>
      <c r="O12" s="507"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1" t="str">
        <f>IF(LEFT(O12,5)="Error ▲","Check Data ⚠",IF(L12="","",IF(M12="30+",0,IF(N12="30+","30+ ⚠",IF(L12+N12&gt;30,"30+ ⚠",IF(L12+N12-M12&gt;0,L12+N12-M12,IF(L12-M12&lt;0,0,L12+N12-M12)))))))</f>
        <v/>
      </c>
      <c r="Q12" s="564" t="str">
        <f>IFERROR(IF(P12="Check Data ⚠","Check Data ⚠",VLOOKUP(P12,'G-4 Temporal multipliers'!$A$4:$C$37,3,FALSE)),"")</f>
        <v/>
      </c>
      <c r="R12" s="498" t="str">
        <f>IF(C12="","",VLOOKUP(C12,'G-7 Rivers Data'!$B$4:$G$8,4,FALSE))</f>
        <v/>
      </c>
      <c r="S12" s="507" t="str">
        <f>IF(C12="","",IF(P12="Check Data ⚠","Check Data ⚠",IF(G12="","",IF($O12="Check details - Is there evidence that habitat has reached target condition? ⚠","Low Difficulty - only applicable if all habitat created before losses ⚠","Standard difficulty applied"))))</f>
        <v/>
      </c>
      <c r="T12" s="540" t="str">
        <f>(IF(AND(S12="Standard difficulty applied",L12&gt;M12),R12,IF(AND(S12="Low Difficulty - only applicable if all habitat created before losses ⚠",M12&gt;=L12),"Low",R12)))</f>
        <v/>
      </c>
      <c r="U12" s="499" t="str">
        <f t="shared" ref="U12" si="0">IF(C12="","",VLOOKUP(R12,Difficulty,2,FALSE))</f>
        <v/>
      </c>
      <c r="V12" s="146"/>
      <c r="W12" s="499" t="str">
        <f>IF(V12="","",IF(VLOOKUP(V12,'G-7 Rivers Data'!$AA$4:$AB$7,2,FALSE)=0,"Spatial Data Missing ⚠",VLOOKUP(V12,'G-7 Rivers Data'!$AA$4:$AB$7,2,FALSE)))</f>
        <v/>
      </c>
      <c r="X12" s="78"/>
      <c r="Y12" s="499" t="str">
        <f>IF(X12="","",IF(VLOOKUP(X12,'G-7 Rivers Data'!$AD$4:$AE$8,2,FALSE)=0,"Enrcoachment Data Missing ⚠",VLOOKUP(X12,'G-7 Rivers Data'!$AD$4:$AE$8,2,FALSE)))</f>
        <v/>
      </c>
      <c r="Z12" s="565" t="str">
        <f>IFERROR(IF(C12="","",D12*F12*H12*K12*Q12*U12*Y12*W12),"")</f>
        <v/>
      </c>
      <c r="AA12" s="149"/>
      <c r="AB12" s="150"/>
      <c r="AH12" s="31" t="str">
        <f>IFERROR(INDEX('G-7 Rivers Data'!$AZ$3:$AZ$7,MATCH(C12,'G-7 Rivers Data'!$AY$3:$AY$7,0)),"")</f>
        <v/>
      </c>
    </row>
    <row r="13" spans="2:34" ht="13.8" x14ac:dyDescent="0.25">
      <c r="B13" s="141">
        <v>2</v>
      </c>
      <c r="C13" s="168"/>
      <c r="D13" s="70"/>
      <c r="E13" s="498" t="str">
        <f>IF(C13="","",VLOOKUP(C13,'G-7 Rivers Data'!$B$2:$G$8,2,FALSE))</f>
        <v/>
      </c>
      <c r="F13" s="499" t="str">
        <f>IFERROR(VLOOKUP(E13,'G-7 Rivers Data'!$C$4:$D$8,2,FALSE),"")</f>
        <v/>
      </c>
      <c r="G13" s="145"/>
      <c r="H13" s="499" t="str">
        <f>IFERROR(INDEX('G-7 Rivers Data'!$H$4:$L$8,MATCH(C13,'G-7 Rivers Data'!$B$4:$B$8,0),MATCH(G13,'G-7 Rivers Data'!$H$3:$L$3,0)),"")</f>
        <v/>
      </c>
      <c r="I13" s="146"/>
      <c r="J13" s="507" t="str">
        <f>IF(I13="","",IF(VLOOKUP(I13,'G-7 Rivers Data'!$AG$4:$AI$9,2,FALSE)=0,"Spatial Data Missing ⚠",VLOOKUP(I13,'G-7 Rivers Data'!$AG$4:$AI$9,2,FALSE)))</f>
        <v/>
      </c>
      <c r="K13" s="499" t="str">
        <f>IF(I13="","",IF(VLOOKUP(I13,'G-7 Rivers Data'!$AG$4:$AI$9,3,FALSE)=0,"Spatial Data Missing ⚠",VLOOKUP(I13,'G-7 Rivers Data'!$AG$4:$AI$9,3,FALSE)))</f>
        <v/>
      </c>
      <c r="L13" s="498" t="str">
        <f>IFERROR(INDEX('G-7 Rivers Data'!$O$3:$O$7,MATCH(G13,'G-7 Rivers Data'!$N$3:$N$7,0)),"")</f>
        <v/>
      </c>
      <c r="M13" s="82"/>
      <c r="N13" s="82"/>
      <c r="O13" s="507"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1" t="str">
        <f t="shared" ref="P13:P76" si="2">IF(LEFT(O13,5)="Error ▲","Check Data ⚠",IF(L13="","",IF(M13="30+",0,IF(N13="30+","30+ ⚠",IF(L13+N13&gt;30,"30+ ⚠",IF(L13+N13-M13&gt;0,L13+N13-M13,IF(L13-M13&lt;0,0,L13+N13-M13)))))))</f>
        <v/>
      </c>
      <c r="Q13" s="564" t="str">
        <f>IFERROR(IF(P13="Check Data ⚠","Check Data ⚠",VLOOKUP(P13,'G-4 Temporal multipliers'!$A$4:$C$37,3,FALSE)),"")</f>
        <v/>
      </c>
      <c r="R13" s="498" t="str">
        <f>IF(C13="","",VLOOKUP(C13,'G-7 Rivers Data'!$B$4:$G$8,4,FALSE))</f>
        <v/>
      </c>
      <c r="S13" s="507" t="str">
        <f t="shared" ref="S13:S76" si="3">IF(C13="","",IF(P13="Check Data ⚠","Check Data ⚠",IF(G13="","",IF($O13="Check details - Is there evidence that habitat has reached target condition? ⚠","Low Difficulty - only applicable if all habitat created before losses ⚠","Standard difficulty applied"))))</f>
        <v/>
      </c>
      <c r="T13" s="540" t="str">
        <f t="shared" ref="T13:T76" si="4">(IF(AND(S13="Standard difficulty applied",L13&gt;M13),R13,IF(AND(S13="Low Difficulty - only applicable if all habitat created before losses ⚠",M13&gt;=L13),"Low",R13)))</f>
        <v/>
      </c>
      <c r="U13" s="499" t="str">
        <f t="shared" ref="U13:U76" si="5">IF(C13="","",VLOOKUP(R13,Difficulty,2,FALSE))</f>
        <v/>
      </c>
      <c r="V13" s="71"/>
      <c r="W13" s="499" t="str">
        <f>IF(V13="","",IF(VLOOKUP(V13,'G-7 Rivers Data'!$AA$4:$AB$7,2,FALSE)=0,"Spatial Data Missing ⚠",VLOOKUP(V13,'G-7 Rivers Data'!$AA$4:$AB$7,2,FALSE)))</f>
        <v/>
      </c>
      <c r="X13" s="78"/>
      <c r="Y13" s="499" t="str">
        <f>IF(X13="","",IF(VLOOKUP(X13,'G-7 Rivers Data'!$AD$4:$AE$8,2,FALSE)=0,"Enrcoachment Data Missing ⚠",VLOOKUP(X13,'G-7 Rivers Data'!$AD$4:$AE$8,2,FALSE)))</f>
        <v/>
      </c>
      <c r="Z13" s="565" t="str">
        <f t="shared" ref="Z13:Z76" si="6">IFERROR(IF(C13="","",D13*F13*H13*K13*Q13*U13*Y13*W13),"")</f>
        <v/>
      </c>
      <c r="AA13" s="149"/>
      <c r="AB13" s="150"/>
      <c r="AH13" s="31" t="str">
        <f>IFERROR(INDEX('G-7 Rivers Data'!$AZ$3:$AZ$7,MATCH(C13,'G-7 Rivers Data'!$AY$3:$AY$7,0)),"")</f>
        <v/>
      </c>
    </row>
    <row r="14" spans="2:34" ht="13.8" x14ac:dyDescent="0.25">
      <c r="B14" s="141">
        <v>3</v>
      </c>
      <c r="C14" s="168"/>
      <c r="D14" s="70"/>
      <c r="E14" s="498" t="str">
        <f>IF(C14="","",VLOOKUP(C14,'G-7 Rivers Data'!$B$2:$G$8,2,FALSE))</f>
        <v/>
      </c>
      <c r="F14" s="499" t="str">
        <f>IFERROR(VLOOKUP(E14,'G-7 Rivers Data'!$C$4:$D$8,2,FALSE),"")</f>
        <v/>
      </c>
      <c r="G14" s="145"/>
      <c r="H14" s="499" t="str">
        <f>IFERROR(INDEX('G-7 Rivers Data'!$H$4:$L$8,MATCH(C14,'G-7 Rivers Data'!$B$4:$B$8,0),MATCH(G14,'G-7 Rivers Data'!$H$3:$L$3,0)),"")</f>
        <v/>
      </c>
      <c r="I14" s="146"/>
      <c r="J14" s="507" t="str">
        <f>IF(I14="","",IF(VLOOKUP(I14,'G-7 Rivers Data'!$AG$4:$AI$9,2,FALSE)=0,"Spatial Data Missing ⚠",VLOOKUP(I14,'G-7 Rivers Data'!$AG$4:$AI$9,2,FALSE)))</f>
        <v/>
      </c>
      <c r="K14" s="499" t="str">
        <f>IF(I14="","",IF(VLOOKUP(I14,'G-7 Rivers Data'!$AG$4:$AI$9,3,FALSE)=0,"Spatial Data Missing ⚠",VLOOKUP(I14,'G-7 Rivers Data'!$AG$4:$AI$9,3,FALSE)))</f>
        <v/>
      </c>
      <c r="L14" s="498" t="str">
        <f>IFERROR(INDEX('G-7 Rivers Data'!$O$3:$O$7,MATCH(G14,'G-7 Rivers Data'!$N$3:$N$7,0)),"")</f>
        <v/>
      </c>
      <c r="M14" s="82"/>
      <c r="N14" s="82"/>
      <c r="O14" s="507" t="str">
        <f t="shared" si="1"/>
        <v/>
      </c>
      <c r="P14" s="521" t="str">
        <f t="shared" si="2"/>
        <v/>
      </c>
      <c r="Q14" s="564" t="str">
        <f>IFERROR(IF(P14="Check Data ⚠","Check Data ⚠",VLOOKUP(P14,'G-4 Temporal multipliers'!$A$4:$C$37,3,FALSE)),"")</f>
        <v/>
      </c>
      <c r="R14" s="498" t="str">
        <f>IF(C14="","",VLOOKUP(C14,'G-7 Rivers Data'!$B$4:$G$8,4,FALSE))</f>
        <v/>
      </c>
      <c r="S14" s="507" t="str">
        <f t="shared" si="3"/>
        <v/>
      </c>
      <c r="T14" s="540" t="str">
        <f t="shared" si="4"/>
        <v/>
      </c>
      <c r="U14" s="499" t="str">
        <f t="shared" si="5"/>
        <v/>
      </c>
      <c r="V14" s="71"/>
      <c r="W14" s="499" t="str">
        <f>IF(V14="","",IF(VLOOKUP(V14,'G-7 Rivers Data'!$AA$4:$AB$7,2,FALSE)=0,"Spatial Data Missing ⚠",VLOOKUP(V14,'G-7 Rivers Data'!$AA$4:$AB$7,2,FALSE)))</f>
        <v/>
      </c>
      <c r="X14" s="78"/>
      <c r="Y14" s="499" t="str">
        <f>IF(X14="","",IF(VLOOKUP(X14,'G-7 Rivers Data'!$AD$4:$AE$8,2,FALSE)=0,"Enrcoachment Data Missing ⚠",VLOOKUP(X14,'G-7 Rivers Data'!$AD$4:$AE$8,2,FALSE)))</f>
        <v/>
      </c>
      <c r="Z14" s="565" t="str">
        <f t="shared" si="6"/>
        <v/>
      </c>
      <c r="AA14" s="149"/>
      <c r="AB14" s="150"/>
      <c r="AH14" s="31" t="str">
        <f>IFERROR(INDEX('G-7 Rivers Data'!$AZ$3:$AZ$7,MATCH(C14,'G-7 Rivers Data'!$AY$3:$AY$7,0)),"")</f>
        <v/>
      </c>
    </row>
    <row r="15" spans="2:34" ht="13.8" x14ac:dyDescent="0.25">
      <c r="B15" s="141">
        <v>4</v>
      </c>
      <c r="C15" s="168"/>
      <c r="D15" s="70"/>
      <c r="E15" s="498" t="str">
        <f>IF(C15="","",VLOOKUP(C15,'G-7 Rivers Data'!$B$2:$G$8,2,FALSE))</f>
        <v/>
      </c>
      <c r="F15" s="499" t="str">
        <f>IFERROR(VLOOKUP(E15,'G-7 Rivers Data'!$C$4:$D$8,2,FALSE),"")</f>
        <v/>
      </c>
      <c r="G15" s="145"/>
      <c r="H15" s="499" t="str">
        <f>IFERROR(INDEX('G-7 Rivers Data'!$H$4:$L$8,MATCH(C15,'G-7 Rivers Data'!$B$4:$B$8,0),MATCH(G15,'G-7 Rivers Data'!$H$3:$L$3,0)),"")</f>
        <v/>
      </c>
      <c r="I15" s="146"/>
      <c r="J15" s="507" t="str">
        <f>IF(I15="","",IF(VLOOKUP(I15,'G-7 Rivers Data'!$AG$4:$AI$9,2,FALSE)=0,"Spatial Data Missing ⚠",VLOOKUP(I15,'G-7 Rivers Data'!$AG$4:$AI$9,2,FALSE)))</f>
        <v/>
      </c>
      <c r="K15" s="499" t="str">
        <f>IF(I15="","",IF(VLOOKUP(I15,'G-7 Rivers Data'!$AG$4:$AI$9,3,FALSE)=0,"Spatial Data Missing ⚠",VLOOKUP(I15,'G-7 Rivers Data'!$AG$4:$AI$9,3,FALSE)))</f>
        <v/>
      </c>
      <c r="L15" s="498" t="str">
        <f>IFERROR(INDEX('G-7 Rivers Data'!$O$3:$O$7,MATCH(G15,'G-7 Rivers Data'!$N$3:$N$7,0)),"")</f>
        <v/>
      </c>
      <c r="M15" s="82"/>
      <c r="N15" s="82"/>
      <c r="O15" s="507" t="str">
        <f t="shared" si="1"/>
        <v/>
      </c>
      <c r="P15" s="521" t="str">
        <f t="shared" si="2"/>
        <v/>
      </c>
      <c r="Q15" s="564" t="str">
        <f>IFERROR(IF(P15="Check Data ⚠","Check Data ⚠",VLOOKUP(P15,'G-4 Temporal multipliers'!$A$4:$C$37,3,FALSE)),"")</f>
        <v/>
      </c>
      <c r="R15" s="498" t="str">
        <f>IF(C15="","",VLOOKUP(C15,'G-7 Rivers Data'!$B$4:$G$8,4,FALSE))</f>
        <v/>
      </c>
      <c r="S15" s="507" t="str">
        <f t="shared" si="3"/>
        <v/>
      </c>
      <c r="T15" s="540" t="str">
        <f t="shared" si="4"/>
        <v/>
      </c>
      <c r="U15" s="499" t="str">
        <f t="shared" si="5"/>
        <v/>
      </c>
      <c r="V15" s="71"/>
      <c r="W15" s="499" t="str">
        <f>IF(V15="","",IF(VLOOKUP(V15,'G-7 Rivers Data'!$AA$4:$AB$7,2,FALSE)=0,"Spatial Data Missing ⚠",VLOOKUP(V15,'G-7 Rivers Data'!$AA$4:$AB$7,2,FALSE)))</f>
        <v/>
      </c>
      <c r="X15" s="78"/>
      <c r="Y15" s="499" t="str">
        <f>IF(X15="","",IF(VLOOKUP(X15,'G-7 Rivers Data'!$AD$4:$AE$8,2,FALSE)=0,"Enrcoachment Data Missing ⚠",VLOOKUP(X15,'G-7 Rivers Data'!$AD$4:$AE$8,2,FALSE)))</f>
        <v/>
      </c>
      <c r="Z15" s="565" t="str">
        <f t="shared" si="6"/>
        <v/>
      </c>
      <c r="AA15" s="149"/>
      <c r="AB15" s="150"/>
      <c r="AH15" s="31" t="str">
        <f>IFERROR(INDEX('G-7 Rivers Data'!$AZ$3:$AZ$7,MATCH(C15,'G-7 Rivers Data'!$AY$3:$AY$7,0)),"")</f>
        <v/>
      </c>
    </row>
    <row r="16" spans="2:34" ht="13.8" x14ac:dyDescent="0.25">
      <c r="B16" s="141">
        <v>5</v>
      </c>
      <c r="C16" s="171"/>
      <c r="D16" s="172"/>
      <c r="E16" s="498" t="str">
        <f>IF(C16="","",VLOOKUP(C16,'G-7 Rivers Data'!$B$2:$G$8,2,FALSE))</f>
        <v/>
      </c>
      <c r="F16" s="499" t="str">
        <f>IFERROR(VLOOKUP(E16,'G-7 Rivers Data'!$C$4:$D$8,2,FALSE),"")</f>
        <v/>
      </c>
      <c r="G16" s="145"/>
      <c r="H16" s="499" t="str">
        <f>IFERROR(INDEX('G-7 Rivers Data'!$H$4:$L$8,MATCH(C16,'G-7 Rivers Data'!$B$4:$B$8,0),MATCH(G16,'G-7 Rivers Data'!$H$3:$L$3,0)),"")</f>
        <v/>
      </c>
      <c r="I16" s="146"/>
      <c r="J16" s="507" t="str">
        <f>IF(I16="","",IF(VLOOKUP(I16,'G-7 Rivers Data'!$AG$4:$AI$9,2,FALSE)=0,"Spatial Data Missing ⚠",VLOOKUP(I16,'G-7 Rivers Data'!$AG$4:$AI$9,2,FALSE)))</f>
        <v/>
      </c>
      <c r="K16" s="499" t="str">
        <f>IF(I16="","",IF(VLOOKUP(I16,'G-7 Rivers Data'!$AG$4:$AI$9,3,FALSE)=0,"Spatial Data Missing ⚠",VLOOKUP(I16,'G-7 Rivers Data'!$AG$4:$AI$9,3,FALSE)))</f>
        <v/>
      </c>
      <c r="L16" s="498" t="str">
        <f>IFERROR(INDEX('G-7 Rivers Data'!$O$3:$O$7,MATCH(G16,'G-7 Rivers Data'!$N$3:$N$7,0)),"")</f>
        <v/>
      </c>
      <c r="M16" s="82"/>
      <c r="N16" s="195"/>
      <c r="O16" s="507" t="str">
        <f t="shared" si="1"/>
        <v/>
      </c>
      <c r="P16" s="521" t="str">
        <f t="shared" si="2"/>
        <v/>
      </c>
      <c r="Q16" s="564" t="str">
        <f>IFERROR(IF(P16="Check Data ⚠","Check Data ⚠",VLOOKUP(P16,'G-4 Temporal multipliers'!$A$4:$C$37,3,FALSE)),"")</f>
        <v/>
      </c>
      <c r="R16" s="498" t="str">
        <f>IF(C16="","",VLOOKUP(C16,'G-7 Rivers Data'!$B$4:$G$8,4,FALSE))</f>
        <v/>
      </c>
      <c r="S16" s="507" t="str">
        <f t="shared" si="3"/>
        <v/>
      </c>
      <c r="T16" s="540" t="str">
        <f t="shared" si="4"/>
        <v/>
      </c>
      <c r="U16" s="499" t="str">
        <f t="shared" si="5"/>
        <v/>
      </c>
      <c r="V16" s="71"/>
      <c r="W16" s="499" t="str">
        <f>IF(V16="","",IF(VLOOKUP(V16,'G-7 Rivers Data'!$AA$4:$AB$7,2,FALSE)=0,"Spatial Data Missing ⚠",VLOOKUP(V16,'G-7 Rivers Data'!$AA$4:$AB$7,2,FALSE)))</f>
        <v/>
      </c>
      <c r="X16" s="78"/>
      <c r="Y16" s="499" t="str">
        <f>IF(X16="","",IF(VLOOKUP(X16,'G-7 Rivers Data'!$AD$4:$AE$8,2,FALSE)=0,"Enrcoachment Data Missing ⚠",VLOOKUP(X16,'G-7 Rivers Data'!$AD$4:$AE$8,2,FALSE)))</f>
        <v/>
      </c>
      <c r="Z16" s="565" t="str">
        <f t="shared" si="6"/>
        <v/>
      </c>
      <c r="AA16" s="149"/>
      <c r="AB16" s="150"/>
      <c r="AH16" s="31" t="str">
        <f>IFERROR(INDEX('G-7 Rivers Data'!$AZ$3:$AZ$7,MATCH(C16,'G-7 Rivers Data'!$AY$3:$AY$7,0)),"")</f>
        <v/>
      </c>
    </row>
    <row r="17" spans="2:34" ht="13.8" x14ac:dyDescent="0.25">
      <c r="B17" s="141">
        <v>6</v>
      </c>
      <c r="C17" s="171"/>
      <c r="D17" s="172"/>
      <c r="E17" s="498" t="str">
        <f>IF(C17="","",VLOOKUP(C17,'G-7 Rivers Data'!$B$2:$G$8,2,FALSE))</f>
        <v/>
      </c>
      <c r="F17" s="499" t="str">
        <f>IFERROR(VLOOKUP(E17,'G-7 Rivers Data'!$C$4:$D$8,2,FALSE),"")</f>
        <v/>
      </c>
      <c r="G17" s="145"/>
      <c r="H17" s="499" t="str">
        <f>IFERROR(INDEX('G-7 Rivers Data'!$H$4:$L$8,MATCH(C17,'G-7 Rivers Data'!$B$4:$B$8,0),MATCH(G17,'G-7 Rivers Data'!$H$3:$L$3,0)),"")</f>
        <v/>
      </c>
      <c r="I17" s="154"/>
      <c r="J17" s="507" t="str">
        <f>IF(I17="","",IF(VLOOKUP(I17,'G-7 Rivers Data'!$AG$4:$AI$9,2,FALSE)=0,"Spatial Data Missing ⚠",VLOOKUP(I17,'G-7 Rivers Data'!$AG$4:$AI$9,2,FALSE)))</f>
        <v/>
      </c>
      <c r="K17" s="499" t="str">
        <f>IF(I17="","",IF(VLOOKUP(I17,'G-7 Rivers Data'!$AG$4:$AI$9,3,FALSE)=0,"Spatial Data Missing ⚠",VLOOKUP(I17,'G-7 Rivers Data'!$AG$4:$AI$9,3,FALSE)))</f>
        <v/>
      </c>
      <c r="L17" s="498" t="str">
        <f>IFERROR(INDEX('G-7 Rivers Data'!$O$3:$O$7,MATCH(G17,'G-7 Rivers Data'!$N$3:$N$7,0)),"")</f>
        <v/>
      </c>
      <c r="M17" s="82"/>
      <c r="N17" s="195"/>
      <c r="O17" s="507" t="str">
        <f t="shared" si="1"/>
        <v/>
      </c>
      <c r="P17" s="521" t="str">
        <f t="shared" si="2"/>
        <v/>
      </c>
      <c r="Q17" s="564" t="str">
        <f>IFERROR(IF(P17="Check Data ⚠","Check Data ⚠",VLOOKUP(P17,'G-4 Temporal multipliers'!$A$4:$C$37,3,FALSE)),"")</f>
        <v/>
      </c>
      <c r="R17" s="498" t="str">
        <f>IF(C17="","",VLOOKUP(C17,'G-7 Rivers Data'!$B$4:$G$8,4,FALSE))</f>
        <v/>
      </c>
      <c r="S17" s="507" t="str">
        <f t="shared" si="3"/>
        <v/>
      </c>
      <c r="T17" s="540" t="str">
        <f t="shared" si="4"/>
        <v/>
      </c>
      <c r="U17" s="499" t="str">
        <f t="shared" si="5"/>
        <v/>
      </c>
      <c r="V17" s="71"/>
      <c r="W17" s="499" t="str">
        <f>IF(V17="","",IF(VLOOKUP(V17,'G-7 Rivers Data'!$AA$4:$AB$7,2,FALSE)=0,"Spatial Data Missing ⚠",VLOOKUP(V17,'G-7 Rivers Data'!$AA$4:$AB$7,2,FALSE)))</f>
        <v/>
      </c>
      <c r="X17" s="155"/>
      <c r="Y17" s="499" t="str">
        <f>IF(X17="","",IF(VLOOKUP(X17,'G-7 Rivers Data'!$AD$4:$AE$8,2,FALSE)=0,"Enrcoachment Data Missing ⚠",VLOOKUP(X17,'G-7 Rivers Data'!$AD$4:$AE$8,2,FALSE)))</f>
        <v/>
      </c>
      <c r="Z17" s="565" t="str">
        <f t="shared" si="6"/>
        <v/>
      </c>
      <c r="AA17" s="149"/>
      <c r="AB17" s="150"/>
      <c r="AH17" s="31" t="str">
        <f>IFERROR(INDEX('G-7 Rivers Data'!$AZ$3:$AZ$7,MATCH(C17,'G-7 Rivers Data'!$AY$3:$AY$7,0)),"")</f>
        <v/>
      </c>
    </row>
    <row r="18" spans="2:34" ht="13.8" x14ac:dyDescent="0.25">
      <c r="B18" s="141">
        <v>7</v>
      </c>
      <c r="C18" s="171"/>
      <c r="D18" s="172"/>
      <c r="E18" s="498" t="str">
        <f>IF(C18="","",VLOOKUP(C18,'G-7 Rivers Data'!$B$2:$G$8,2,FALSE))</f>
        <v/>
      </c>
      <c r="F18" s="499" t="str">
        <f>IFERROR(VLOOKUP(E18,'G-7 Rivers Data'!$C$4:$D$8,2,FALSE),"")</f>
        <v/>
      </c>
      <c r="G18" s="145"/>
      <c r="H18" s="499" t="str">
        <f>IFERROR(INDEX('G-7 Rivers Data'!$H$4:$L$8,MATCH(C18,'G-7 Rivers Data'!$B$4:$B$8,0),MATCH(G18,'G-7 Rivers Data'!$H$3:$L$3,0)),"")</f>
        <v/>
      </c>
      <c r="I18" s="154"/>
      <c r="J18" s="507" t="str">
        <f>IF(I18="","",IF(VLOOKUP(I18,'G-7 Rivers Data'!$AG$4:$AI$9,2,FALSE)=0,"Spatial Data Missing ⚠",VLOOKUP(I18,'G-7 Rivers Data'!$AG$4:$AI$9,2,FALSE)))</f>
        <v/>
      </c>
      <c r="K18" s="499" t="str">
        <f>IF(I18="","",IF(VLOOKUP(I18,'G-7 Rivers Data'!$AG$4:$AI$9,3,FALSE)=0,"Spatial Data Missing ⚠",VLOOKUP(I18,'G-7 Rivers Data'!$AG$4:$AI$9,3,FALSE)))</f>
        <v/>
      </c>
      <c r="L18" s="498" t="str">
        <f>IFERROR(INDEX('G-7 Rivers Data'!$O$3:$O$7,MATCH(G18,'G-7 Rivers Data'!$N$3:$N$7,0)),"")</f>
        <v/>
      </c>
      <c r="M18" s="82"/>
      <c r="N18" s="195"/>
      <c r="O18" s="507" t="str">
        <f t="shared" si="1"/>
        <v/>
      </c>
      <c r="P18" s="521" t="str">
        <f t="shared" si="2"/>
        <v/>
      </c>
      <c r="Q18" s="564" t="str">
        <f>IFERROR(IF(P18="Check Data ⚠","Check Data ⚠",VLOOKUP(P18,'G-4 Temporal multipliers'!$A$4:$C$37,3,FALSE)),"")</f>
        <v/>
      </c>
      <c r="R18" s="498" t="str">
        <f>IF(C18="","",VLOOKUP(C18,'G-7 Rivers Data'!$B$4:$G$8,4,FALSE))</f>
        <v/>
      </c>
      <c r="S18" s="507" t="str">
        <f t="shared" si="3"/>
        <v/>
      </c>
      <c r="T18" s="540" t="str">
        <f t="shared" si="4"/>
        <v/>
      </c>
      <c r="U18" s="499" t="str">
        <f t="shared" si="5"/>
        <v/>
      </c>
      <c r="V18" s="71"/>
      <c r="W18" s="499" t="str">
        <f>IF(V18="","",IF(VLOOKUP(V18,'G-7 Rivers Data'!$AA$4:$AB$7,2,FALSE)=0,"Spatial Data Missing ⚠",VLOOKUP(V18,'G-7 Rivers Data'!$AA$4:$AB$7,2,FALSE)))</f>
        <v/>
      </c>
      <c r="X18" s="155"/>
      <c r="Y18" s="499" t="str">
        <f>IF(X18="","",IF(VLOOKUP(X18,'G-7 Rivers Data'!$AD$4:$AE$8,2,FALSE)=0,"Enrcoachment Data Missing ⚠",VLOOKUP(X18,'G-7 Rivers Data'!$AD$4:$AE$8,2,FALSE)))</f>
        <v/>
      </c>
      <c r="Z18" s="565" t="str">
        <f t="shared" si="6"/>
        <v/>
      </c>
      <c r="AA18" s="149"/>
      <c r="AB18" s="150"/>
      <c r="AH18" s="31" t="str">
        <f>IFERROR(INDEX('G-7 Rivers Data'!$AZ$3:$AZ$7,MATCH(C18,'G-7 Rivers Data'!$AY$3:$AY$7,0)),"")</f>
        <v/>
      </c>
    </row>
    <row r="19" spans="2:34" ht="13.8" x14ac:dyDescent="0.25">
      <c r="B19" s="141">
        <v>8</v>
      </c>
      <c r="C19" s="171"/>
      <c r="D19" s="172"/>
      <c r="E19" s="498" t="str">
        <f>IF(C19="","",VLOOKUP(C19,'G-7 Rivers Data'!$B$2:$G$8,2,FALSE))</f>
        <v/>
      </c>
      <c r="F19" s="499" t="str">
        <f>IFERROR(VLOOKUP(E19,'G-7 Rivers Data'!$C$4:$D$8,2,FALSE),"")</f>
        <v/>
      </c>
      <c r="G19" s="145"/>
      <c r="H19" s="499" t="str">
        <f>IFERROR(INDEX('G-7 Rivers Data'!$H$4:$L$8,MATCH(C19,'G-7 Rivers Data'!$B$4:$B$8,0),MATCH(G19,'G-7 Rivers Data'!$H$3:$L$3,0)),"")</f>
        <v/>
      </c>
      <c r="I19" s="154"/>
      <c r="J19" s="507" t="str">
        <f>IF(I19="","",IF(VLOOKUP(I19,'G-7 Rivers Data'!$AG$4:$AI$9,2,FALSE)=0,"Spatial Data Missing ⚠",VLOOKUP(I19,'G-7 Rivers Data'!$AG$4:$AI$9,2,FALSE)))</f>
        <v/>
      </c>
      <c r="K19" s="499" t="str">
        <f>IF(I19="","",IF(VLOOKUP(I19,'G-7 Rivers Data'!$AG$4:$AI$9,3,FALSE)=0,"Spatial Data Missing ⚠",VLOOKUP(I19,'G-7 Rivers Data'!$AG$4:$AI$9,3,FALSE)))</f>
        <v/>
      </c>
      <c r="L19" s="498" t="str">
        <f>IFERROR(INDEX('G-7 Rivers Data'!$O$3:$O$7,MATCH(G19,'G-7 Rivers Data'!$N$3:$N$7,0)),"")</f>
        <v/>
      </c>
      <c r="M19" s="82"/>
      <c r="N19" s="195"/>
      <c r="O19" s="507" t="str">
        <f t="shared" si="1"/>
        <v/>
      </c>
      <c r="P19" s="521" t="str">
        <f t="shared" si="2"/>
        <v/>
      </c>
      <c r="Q19" s="564" t="str">
        <f>IFERROR(IF(P19="Check Data ⚠","Check Data ⚠",VLOOKUP(P19,'G-4 Temporal multipliers'!$A$4:$C$37,3,FALSE)),"")</f>
        <v/>
      </c>
      <c r="R19" s="498" t="str">
        <f>IF(C19="","",VLOOKUP(C19,'G-7 Rivers Data'!$B$4:$G$8,4,FALSE))</f>
        <v/>
      </c>
      <c r="S19" s="507" t="str">
        <f t="shared" si="3"/>
        <v/>
      </c>
      <c r="T19" s="540" t="str">
        <f t="shared" si="4"/>
        <v/>
      </c>
      <c r="U19" s="499" t="str">
        <f t="shared" si="5"/>
        <v/>
      </c>
      <c r="V19" s="71"/>
      <c r="W19" s="499" t="str">
        <f>IF(V19="","",IF(VLOOKUP(V19,'G-7 Rivers Data'!$AA$4:$AB$7,2,FALSE)=0,"Spatial Data Missing ⚠",VLOOKUP(V19,'G-7 Rivers Data'!$AA$4:$AB$7,2,FALSE)))</f>
        <v/>
      </c>
      <c r="X19" s="155"/>
      <c r="Y19" s="499" t="str">
        <f>IF(X19="","",IF(VLOOKUP(X19,'G-7 Rivers Data'!$AD$4:$AE$8,2,FALSE)=0,"Enrcoachment Data Missing ⚠",VLOOKUP(X19,'G-7 Rivers Data'!$AD$4:$AE$8,2,FALSE)))</f>
        <v/>
      </c>
      <c r="Z19" s="565" t="str">
        <f t="shared" si="6"/>
        <v/>
      </c>
      <c r="AA19" s="149"/>
      <c r="AB19" s="150"/>
      <c r="AH19" s="31" t="str">
        <f>IFERROR(INDEX('G-7 Rivers Data'!$AZ$3:$AZ$7,MATCH(C19,'G-7 Rivers Data'!$AY$3:$AY$7,0)),"")</f>
        <v/>
      </c>
    </row>
    <row r="20" spans="2:34" ht="13.8" x14ac:dyDescent="0.25">
      <c r="B20" s="141">
        <v>9</v>
      </c>
      <c r="C20" s="171"/>
      <c r="D20" s="172"/>
      <c r="E20" s="498" t="str">
        <f>IF(C20="","",VLOOKUP(C20,'G-7 Rivers Data'!$B$2:$G$8,2,FALSE))</f>
        <v/>
      </c>
      <c r="F20" s="499" t="str">
        <f>IFERROR(VLOOKUP(E20,'G-7 Rivers Data'!$C$4:$D$8,2,FALSE),"")</f>
        <v/>
      </c>
      <c r="G20" s="145"/>
      <c r="H20" s="499" t="str">
        <f>IFERROR(INDEX('G-7 Rivers Data'!$H$4:$L$8,MATCH(C20,'G-7 Rivers Data'!$B$4:$B$8,0),MATCH(G20,'G-7 Rivers Data'!$H$3:$L$3,0)),"")</f>
        <v/>
      </c>
      <c r="I20" s="154"/>
      <c r="J20" s="507" t="str">
        <f>IF(I20="","",IF(VLOOKUP(I20,'G-7 Rivers Data'!$AG$4:$AI$9,2,FALSE)=0,"Spatial Data Missing ⚠",VLOOKUP(I20,'G-7 Rivers Data'!$AG$4:$AI$9,2,FALSE)))</f>
        <v/>
      </c>
      <c r="K20" s="499" t="str">
        <f>IF(I20="","",IF(VLOOKUP(I20,'G-7 Rivers Data'!$AG$4:$AI$9,3,FALSE)=0,"Spatial Data Missing ⚠",VLOOKUP(I20,'G-7 Rivers Data'!$AG$4:$AI$9,3,FALSE)))</f>
        <v/>
      </c>
      <c r="L20" s="498" t="str">
        <f>IFERROR(INDEX('G-7 Rivers Data'!$O$3:$O$7,MATCH(G20,'G-7 Rivers Data'!$N$3:$N$7,0)),"")</f>
        <v/>
      </c>
      <c r="M20" s="82"/>
      <c r="N20" s="195"/>
      <c r="O20" s="507" t="str">
        <f t="shared" si="1"/>
        <v/>
      </c>
      <c r="P20" s="521" t="str">
        <f t="shared" si="2"/>
        <v/>
      </c>
      <c r="Q20" s="564" t="str">
        <f>IFERROR(IF(P20="Check Data ⚠","Check Data ⚠",VLOOKUP(P20,'G-4 Temporal multipliers'!$A$4:$C$37,3,FALSE)),"")</f>
        <v/>
      </c>
      <c r="R20" s="498" t="str">
        <f>IF(C20="","",VLOOKUP(C20,'G-7 Rivers Data'!$B$4:$G$8,4,FALSE))</f>
        <v/>
      </c>
      <c r="S20" s="507" t="str">
        <f t="shared" si="3"/>
        <v/>
      </c>
      <c r="T20" s="540" t="str">
        <f t="shared" si="4"/>
        <v/>
      </c>
      <c r="U20" s="499" t="str">
        <f t="shared" si="5"/>
        <v/>
      </c>
      <c r="V20" s="71"/>
      <c r="W20" s="499" t="str">
        <f>IF(V20="","",IF(VLOOKUP(V20,'G-7 Rivers Data'!$AA$4:$AB$7,2,FALSE)=0,"Spatial Data Missing ⚠",VLOOKUP(V20,'G-7 Rivers Data'!$AA$4:$AB$7,2,FALSE)))</f>
        <v/>
      </c>
      <c r="X20" s="155"/>
      <c r="Y20" s="499" t="str">
        <f>IF(X20="","",IF(VLOOKUP(X20,'G-7 Rivers Data'!$AD$4:$AE$8,2,FALSE)=0,"Enrcoachment Data Missing ⚠",VLOOKUP(X20,'G-7 Rivers Data'!$AD$4:$AE$8,2,FALSE)))</f>
        <v/>
      </c>
      <c r="Z20" s="565" t="str">
        <f t="shared" si="6"/>
        <v/>
      </c>
      <c r="AA20" s="149"/>
      <c r="AB20" s="150"/>
      <c r="AH20" s="31" t="str">
        <f>IFERROR(INDEX('G-7 Rivers Data'!$AZ$3:$AZ$7,MATCH(C20,'G-7 Rivers Data'!$AY$3:$AY$7,0)),"")</f>
        <v/>
      </c>
    </row>
    <row r="21" spans="2:34" ht="13.8" x14ac:dyDescent="0.25">
      <c r="B21" s="141">
        <v>10</v>
      </c>
      <c r="C21" s="171"/>
      <c r="D21" s="172"/>
      <c r="E21" s="498" t="str">
        <f>IF(C21="","",VLOOKUP(C21,'G-7 Rivers Data'!$B$2:$G$8,2,FALSE))</f>
        <v/>
      </c>
      <c r="F21" s="499" t="str">
        <f>IFERROR(VLOOKUP(E21,'G-7 Rivers Data'!$C$4:$D$8,2,FALSE),"")</f>
        <v/>
      </c>
      <c r="G21" s="145"/>
      <c r="H21" s="499" t="str">
        <f>IFERROR(INDEX('G-7 Rivers Data'!$H$4:$L$8,MATCH(C21,'G-7 Rivers Data'!$B$4:$B$8,0),MATCH(G21,'G-7 Rivers Data'!$H$3:$L$3,0)),"")</f>
        <v/>
      </c>
      <c r="I21" s="154"/>
      <c r="J21" s="507" t="str">
        <f>IF(I21="","",IF(VLOOKUP(I21,'G-7 Rivers Data'!$AG$4:$AI$9,2,FALSE)=0,"Spatial Data Missing ⚠",VLOOKUP(I21,'G-7 Rivers Data'!$AG$4:$AI$9,2,FALSE)))</f>
        <v/>
      </c>
      <c r="K21" s="499" t="str">
        <f>IF(I21="","",IF(VLOOKUP(I21,'G-7 Rivers Data'!$AG$4:$AI$9,3,FALSE)=0,"Spatial Data Missing ⚠",VLOOKUP(I21,'G-7 Rivers Data'!$AG$4:$AI$9,3,FALSE)))</f>
        <v/>
      </c>
      <c r="L21" s="498" t="str">
        <f>IFERROR(INDEX('G-7 Rivers Data'!$O$3:$O$7,MATCH(G21,'G-7 Rivers Data'!$N$3:$N$7,0)),"")</f>
        <v/>
      </c>
      <c r="M21" s="82"/>
      <c r="N21" s="195"/>
      <c r="O21" s="507" t="str">
        <f t="shared" si="1"/>
        <v/>
      </c>
      <c r="P21" s="521" t="str">
        <f t="shared" si="2"/>
        <v/>
      </c>
      <c r="Q21" s="564" t="str">
        <f>IFERROR(IF(P21="Check Data ⚠","Check Data ⚠",VLOOKUP(P21,'G-4 Temporal multipliers'!$A$4:$C$37,3,FALSE)),"")</f>
        <v/>
      </c>
      <c r="R21" s="498" t="str">
        <f>IF(C21="","",VLOOKUP(C21,'G-7 Rivers Data'!$B$4:$G$8,4,FALSE))</f>
        <v/>
      </c>
      <c r="S21" s="507" t="str">
        <f t="shared" si="3"/>
        <v/>
      </c>
      <c r="T21" s="540" t="str">
        <f t="shared" si="4"/>
        <v/>
      </c>
      <c r="U21" s="499" t="str">
        <f t="shared" si="5"/>
        <v/>
      </c>
      <c r="V21" s="71"/>
      <c r="W21" s="499" t="str">
        <f>IF(V21="","",IF(VLOOKUP(V21,'G-7 Rivers Data'!$AA$4:$AB$7,2,FALSE)=0,"Spatial Data Missing ⚠",VLOOKUP(V21,'G-7 Rivers Data'!$AA$4:$AB$7,2,FALSE)))</f>
        <v/>
      </c>
      <c r="X21" s="155"/>
      <c r="Y21" s="499" t="str">
        <f>IF(X21="","",IF(VLOOKUP(X21,'G-7 Rivers Data'!$AD$4:$AE$8,2,FALSE)=0,"Enrcoachment Data Missing ⚠",VLOOKUP(X21,'G-7 Rivers Data'!$AD$4:$AE$8,2,FALSE)))</f>
        <v/>
      </c>
      <c r="Z21" s="565" t="str">
        <f t="shared" si="6"/>
        <v/>
      </c>
      <c r="AA21" s="149"/>
      <c r="AB21" s="150"/>
      <c r="AH21" s="31" t="str">
        <f>IFERROR(INDEX('G-7 Rivers Data'!$AZ$3:$AZ$7,MATCH(C21,'G-7 Rivers Data'!$AY$3:$AY$7,0)),"")</f>
        <v/>
      </c>
    </row>
    <row r="22" spans="2:34" ht="13.8" x14ac:dyDescent="0.25">
      <c r="B22" s="141">
        <v>11</v>
      </c>
      <c r="C22" s="171"/>
      <c r="D22" s="172"/>
      <c r="E22" s="498" t="str">
        <f>IF(C22="","",VLOOKUP(C22,'G-7 Rivers Data'!$B$2:$G$8,2,FALSE))</f>
        <v/>
      </c>
      <c r="F22" s="499" t="str">
        <f>IFERROR(VLOOKUP(E22,'G-7 Rivers Data'!$C$4:$D$8,2,FALSE),"")</f>
        <v/>
      </c>
      <c r="G22" s="145"/>
      <c r="H22" s="499" t="str">
        <f>IFERROR(INDEX('G-7 Rivers Data'!$H$4:$L$8,MATCH(C22,'G-7 Rivers Data'!$B$4:$B$8,0),MATCH(G22,'G-7 Rivers Data'!$H$3:$L$3,0)),"")</f>
        <v/>
      </c>
      <c r="I22" s="154"/>
      <c r="J22" s="507" t="str">
        <f>IF(I22="","",IF(VLOOKUP(I22,'G-7 Rivers Data'!$AG$4:$AI$9,2,FALSE)=0,"Spatial Data Missing ⚠",VLOOKUP(I22,'G-7 Rivers Data'!$AG$4:$AI$9,2,FALSE)))</f>
        <v/>
      </c>
      <c r="K22" s="499" t="str">
        <f>IF(I22="","",IF(VLOOKUP(I22,'G-7 Rivers Data'!$AG$4:$AI$9,3,FALSE)=0,"Spatial Data Missing ⚠",VLOOKUP(I22,'G-7 Rivers Data'!$AG$4:$AI$9,3,FALSE)))</f>
        <v/>
      </c>
      <c r="L22" s="498" t="str">
        <f>IFERROR(INDEX('G-7 Rivers Data'!$O$3:$O$7,MATCH(G22,'G-7 Rivers Data'!$N$3:$N$7,0)),"")</f>
        <v/>
      </c>
      <c r="M22" s="82"/>
      <c r="N22" s="195"/>
      <c r="O22" s="507" t="str">
        <f t="shared" si="1"/>
        <v/>
      </c>
      <c r="P22" s="521" t="str">
        <f t="shared" si="2"/>
        <v/>
      </c>
      <c r="Q22" s="564" t="str">
        <f>IFERROR(IF(P22="Check Data ⚠","Check Data ⚠",VLOOKUP(P22,'G-4 Temporal multipliers'!$A$4:$C$37,3,FALSE)),"")</f>
        <v/>
      </c>
      <c r="R22" s="498" t="str">
        <f>IF(C22="","",VLOOKUP(C22,'G-7 Rivers Data'!$B$4:$G$8,4,FALSE))</f>
        <v/>
      </c>
      <c r="S22" s="507" t="str">
        <f t="shared" si="3"/>
        <v/>
      </c>
      <c r="T22" s="540" t="str">
        <f t="shared" si="4"/>
        <v/>
      </c>
      <c r="U22" s="499" t="str">
        <f t="shared" si="5"/>
        <v/>
      </c>
      <c r="V22" s="71"/>
      <c r="W22" s="499" t="str">
        <f>IF(V22="","",IF(VLOOKUP(V22,'G-7 Rivers Data'!$AA$4:$AB$7,2,FALSE)=0,"Spatial Data Missing ⚠",VLOOKUP(V22,'G-7 Rivers Data'!$AA$4:$AB$7,2,FALSE)))</f>
        <v/>
      </c>
      <c r="X22" s="155"/>
      <c r="Y22" s="499" t="str">
        <f>IF(X22="","",IF(VLOOKUP(X22,'G-7 Rivers Data'!$AD$4:$AE$8,2,FALSE)=0,"Enrcoachment Data Missing ⚠",VLOOKUP(X22,'G-7 Rivers Data'!$AD$4:$AE$8,2,FALSE)))</f>
        <v/>
      </c>
      <c r="Z22" s="565" t="str">
        <f t="shared" si="6"/>
        <v/>
      </c>
      <c r="AA22" s="149"/>
      <c r="AB22" s="150"/>
      <c r="AH22" s="31" t="str">
        <f>IFERROR(INDEX('G-7 Rivers Data'!$AZ$3:$AZ$7,MATCH(C22,'G-7 Rivers Data'!$AY$3:$AY$7,0)),"")</f>
        <v/>
      </c>
    </row>
    <row r="23" spans="2:34" ht="13.8" x14ac:dyDescent="0.25">
      <c r="B23" s="141">
        <v>12</v>
      </c>
      <c r="C23" s="171"/>
      <c r="D23" s="172"/>
      <c r="E23" s="498" t="str">
        <f>IF(C23="","",VLOOKUP(C23,'G-7 Rivers Data'!$B$2:$G$8,2,FALSE))</f>
        <v/>
      </c>
      <c r="F23" s="499" t="str">
        <f>IFERROR(VLOOKUP(E23,'G-7 Rivers Data'!$C$4:$D$8,2,FALSE),"")</f>
        <v/>
      </c>
      <c r="G23" s="145"/>
      <c r="H23" s="499" t="str">
        <f>IFERROR(INDEX('G-7 Rivers Data'!$H$4:$L$8,MATCH(C23,'G-7 Rivers Data'!$B$4:$B$8,0),MATCH(G23,'G-7 Rivers Data'!$H$3:$L$3,0)),"")</f>
        <v/>
      </c>
      <c r="I23" s="154"/>
      <c r="J23" s="507" t="str">
        <f>IF(I23="","",IF(VLOOKUP(I23,'G-7 Rivers Data'!$AG$4:$AI$9,2,FALSE)=0,"Spatial Data Missing ⚠",VLOOKUP(I23,'G-7 Rivers Data'!$AG$4:$AI$9,2,FALSE)))</f>
        <v/>
      </c>
      <c r="K23" s="499" t="str">
        <f>IF(I23="","",IF(VLOOKUP(I23,'G-7 Rivers Data'!$AG$4:$AI$9,3,FALSE)=0,"Spatial Data Missing ⚠",VLOOKUP(I23,'G-7 Rivers Data'!$AG$4:$AI$9,3,FALSE)))</f>
        <v/>
      </c>
      <c r="L23" s="498" t="str">
        <f>IFERROR(INDEX('G-7 Rivers Data'!$O$3:$O$7,MATCH(G23,'G-7 Rivers Data'!$N$3:$N$7,0)),"")</f>
        <v/>
      </c>
      <c r="M23" s="82"/>
      <c r="N23" s="195"/>
      <c r="O23" s="507" t="str">
        <f t="shared" si="1"/>
        <v/>
      </c>
      <c r="P23" s="521" t="str">
        <f t="shared" si="2"/>
        <v/>
      </c>
      <c r="Q23" s="564" t="str">
        <f>IFERROR(IF(P23="Check Data ⚠","Check Data ⚠",VLOOKUP(P23,'G-4 Temporal multipliers'!$A$4:$C$37,3,FALSE)),"")</f>
        <v/>
      </c>
      <c r="R23" s="498" t="str">
        <f>IF(C23="","",VLOOKUP(C23,'G-7 Rivers Data'!$B$4:$G$8,4,FALSE))</f>
        <v/>
      </c>
      <c r="S23" s="507" t="str">
        <f t="shared" si="3"/>
        <v/>
      </c>
      <c r="T23" s="540" t="str">
        <f t="shared" si="4"/>
        <v/>
      </c>
      <c r="U23" s="499" t="str">
        <f t="shared" si="5"/>
        <v/>
      </c>
      <c r="V23" s="71"/>
      <c r="W23" s="499" t="str">
        <f>IF(V23="","",IF(VLOOKUP(V23,'G-7 Rivers Data'!$AA$4:$AB$7,2,FALSE)=0,"Spatial Data Missing ⚠",VLOOKUP(V23,'G-7 Rivers Data'!$AA$4:$AB$7,2,FALSE)))</f>
        <v/>
      </c>
      <c r="X23" s="155"/>
      <c r="Y23" s="499" t="str">
        <f>IF(X23="","",IF(VLOOKUP(X23,'G-7 Rivers Data'!$AD$4:$AE$8,2,FALSE)=0,"Enrcoachment Data Missing ⚠",VLOOKUP(X23,'G-7 Rivers Data'!$AD$4:$AE$8,2,FALSE)))</f>
        <v/>
      </c>
      <c r="Z23" s="565" t="str">
        <f t="shared" si="6"/>
        <v/>
      </c>
      <c r="AA23" s="149"/>
      <c r="AB23" s="150"/>
      <c r="AH23" s="31" t="str">
        <f>IFERROR(INDEX('G-7 Rivers Data'!$AZ$3:$AZ$7,MATCH(C23,'G-7 Rivers Data'!$AY$3:$AY$7,0)),"")</f>
        <v/>
      </c>
    </row>
    <row r="24" spans="2:34" ht="13.8" x14ac:dyDescent="0.25">
      <c r="B24" s="141">
        <v>13</v>
      </c>
      <c r="C24" s="171"/>
      <c r="D24" s="172"/>
      <c r="E24" s="498" t="str">
        <f>IF(C24="","",VLOOKUP(C24,'G-7 Rivers Data'!$B$2:$G$8,2,FALSE))</f>
        <v/>
      </c>
      <c r="F24" s="499" t="str">
        <f>IFERROR(VLOOKUP(E24,'G-7 Rivers Data'!$C$4:$D$8,2,FALSE),"")</f>
        <v/>
      </c>
      <c r="G24" s="145"/>
      <c r="H24" s="499" t="str">
        <f>IFERROR(INDEX('G-7 Rivers Data'!$H$4:$L$8,MATCH(C24,'G-7 Rivers Data'!$B$4:$B$8,0),MATCH(G24,'G-7 Rivers Data'!$H$3:$L$3,0)),"")</f>
        <v/>
      </c>
      <c r="I24" s="154"/>
      <c r="J24" s="507" t="str">
        <f>IF(I24="","",IF(VLOOKUP(I24,'G-7 Rivers Data'!$AG$4:$AI$9,2,FALSE)=0,"Spatial Data Missing ⚠",VLOOKUP(I24,'G-7 Rivers Data'!$AG$4:$AI$9,2,FALSE)))</f>
        <v/>
      </c>
      <c r="K24" s="499" t="str">
        <f>IF(I24="","",IF(VLOOKUP(I24,'G-7 Rivers Data'!$AG$4:$AI$9,3,FALSE)=0,"Spatial Data Missing ⚠",VLOOKUP(I24,'G-7 Rivers Data'!$AG$4:$AI$9,3,FALSE)))</f>
        <v/>
      </c>
      <c r="L24" s="498" t="str">
        <f>IFERROR(INDEX('G-7 Rivers Data'!$O$3:$O$7,MATCH(G24,'G-7 Rivers Data'!$N$3:$N$7,0)),"")</f>
        <v/>
      </c>
      <c r="M24" s="82"/>
      <c r="N24" s="195"/>
      <c r="O24" s="507" t="str">
        <f t="shared" si="1"/>
        <v/>
      </c>
      <c r="P24" s="521" t="str">
        <f t="shared" si="2"/>
        <v/>
      </c>
      <c r="Q24" s="564" t="str">
        <f>IFERROR(IF(P24="Check Data ⚠","Check Data ⚠",VLOOKUP(P24,'G-4 Temporal multipliers'!$A$4:$C$37,3,FALSE)),"")</f>
        <v/>
      </c>
      <c r="R24" s="498" t="str">
        <f>IF(C24="","",VLOOKUP(C24,'G-7 Rivers Data'!$B$4:$G$8,4,FALSE))</f>
        <v/>
      </c>
      <c r="S24" s="507" t="str">
        <f t="shared" si="3"/>
        <v/>
      </c>
      <c r="T24" s="540" t="str">
        <f t="shared" si="4"/>
        <v/>
      </c>
      <c r="U24" s="499" t="str">
        <f t="shared" si="5"/>
        <v/>
      </c>
      <c r="V24" s="71"/>
      <c r="W24" s="499" t="str">
        <f>IF(V24="","",IF(VLOOKUP(V24,'G-7 Rivers Data'!$AA$4:$AB$7,2,FALSE)=0,"Spatial Data Missing ⚠",VLOOKUP(V24,'G-7 Rivers Data'!$AA$4:$AB$7,2,FALSE)))</f>
        <v/>
      </c>
      <c r="X24" s="155"/>
      <c r="Y24" s="499" t="str">
        <f>IF(X24="","",IF(VLOOKUP(X24,'G-7 Rivers Data'!$AD$4:$AE$8,2,FALSE)=0,"Enrcoachment Data Missing ⚠",VLOOKUP(X24,'G-7 Rivers Data'!$AD$4:$AE$8,2,FALSE)))</f>
        <v/>
      </c>
      <c r="Z24" s="565" t="str">
        <f t="shared" si="6"/>
        <v/>
      </c>
      <c r="AA24" s="149"/>
      <c r="AB24" s="150"/>
      <c r="AH24" s="31" t="str">
        <f>IFERROR(INDEX('G-7 Rivers Data'!$AZ$3:$AZ$7,MATCH(C24,'G-7 Rivers Data'!$AY$3:$AY$7,0)),"")</f>
        <v/>
      </c>
    </row>
    <row r="25" spans="2:34" ht="13.8" x14ac:dyDescent="0.25">
      <c r="B25" s="141">
        <v>14</v>
      </c>
      <c r="C25" s="171"/>
      <c r="D25" s="172"/>
      <c r="E25" s="498" t="str">
        <f>IF(C25="","",VLOOKUP(C25,'G-7 Rivers Data'!$B$2:$G$8,2,FALSE))</f>
        <v/>
      </c>
      <c r="F25" s="499" t="str">
        <f>IFERROR(VLOOKUP(E25,'G-7 Rivers Data'!$C$4:$D$8,2,FALSE),"")</f>
        <v/>
      </c>
      <c r="G25" s="145"/>
      <c r="H25" s="499" t="str">
        <f>IFERROR(INDEX('G-7 Rivers Data'!$H$4:$L$8,MATCH(C25,'G-7 Rivers Data'!$B$4:$B$8,0),MATCH(G25,'G-7 Rivers Data'!$H$3:$L$3,0)),"")</f>
        <v/>
      </c>
      <c r="I25" s="154"/>
      <c r="J25" s="507" t="str">
        <f>IF(I25="","",IF(VLOOKUP(I25,'G-7 Rivers Data'!$AG$4:$AI$9,2,FALSE)=0,"Spatial Data Missing ⚠",VLOOKUP(I25,'G-7 Rivers Data'!$AG$4:$AI$9,2,FALSE)))</f>
        <v/>
      </c>
      <c r="K25" s="499" t="str">
        <f>IF(I25="","",IF(VLOOKUP(I25,'G-7 Rivers Data'!$AG$4:$AI$9,3,FALSE)=0,"Spatial Data Missing ⚠",VLOOKUP(I25,'G-7 Rivers Data'!$AG$4:$AI$9,3,FALSE)))</f>
        <v/>
      </c>
      <c r="L25" s="498" t="str">
        <f>IFERROR(INDEX('G-7 Rivers Data'!$O$3:$O$7,MATCH(G25,'G-7 Rivers Data'!$N$3:$N$7,0)),"")</f>
        <v/>
      </c>
      <c r="M25" s="82"/>
      <c r="N25" s="195"/>
      <c r="O25" s="507" t="str">
        <f t="shared" si="1"/>
        <v/>
      </c>
      <c r="P25" s="521" t="str">
        <f t="shared" si="2"/>
        <v/>
      </c>
      <c r="Q25" s="564" t="str">
        <f>IFERROR(IF(P25="Check Data ⚠","Check Data ⚠",VLOOKUP(P25,'G-4 Temporal multipliers'!$A$4:$C$37,3,FALSE)),"")</f>
        <v/>
      </c>
      <c r="R25" s="498" t="str">
        <f>IF(C25="","",VLOOKUP(C25,'G-7 Rivers Data'!$B$4:$G$8,4,FALSE))</f>
        <v/>
      </c>
      <c r="S25" s="507" t="str">
        <f t="shared" si="3"/>
        <v/>
      </c>
      <c r="T25" s="540" t="str">
        <f t="shared" si="4"/>
        <v/>
      </c>
      <c r="U25" s="499" t="str">
        <f t="shared" si="5"/>
        <v/>
      </c>
      <c r="V25" s="71"/>
      <c r="W25" s="499" t="str">
        <f>IF(V25="","",IF(VLOOKUP(V25,'G-7 Rivers Data'!$AA$4:$AB$7,2,FALSE)=0,"Spatial Data Missing ⚠",VLOOKUP(V25,'G-7 Rivers Data'!$AA$4:$AB$7,2,FALSE)))</f>
        <v/>
      </c>
      <c r="X25" s="155"/>
      <c r="Y25" s="499" t="str">
        <f>IF(X25="","",IF(VLOOKUP(X25,'G-7 Rivers Data'!$AD$4:$AE$8,2,FALSE)=0,"Enrcoachment Data Missing ⚠",VLOOKUP(X25,'G-7 Rivers Data'!$AD$4:$AE$8,2,FALSE)))</f>
        <v/>
      </c>
      <c r="Z25" s="565" t="str">
        <f t="shared" si="6"/>
        <v/>
      </c>
      <c r="AA25" s="149"/>
      <c r="AB25" s="150"/>
      <c r="AH25" s="31" t="str">
        <f>IFERROR(INDEX('G-7 Rivers Data'!$AZ$3:$AZ$7,MATCH(C25,'G-7 Rivers Data'!$AY$3:$AY$7,0)),"")</f>
        <v/>
      </c>
    </row>
    <row r="26" spans="2:34" ht="13.8" x14ac:dyDescent="0.25">
      <c r="B26" s="141">
        <v>15</v>
      </c>
      <c r="C26" s="171"/>
      <c r="D26" s="172"/>
      <c r="E26" s="498" t="str">
        <f>IF(C26="","",VLOOKUP(C26,'G-7 Rivers Data'!$B$2:$G$8,2,FALSE))</f>
        <v/>
      </c>
      <c r="F26" s="499" t="str">
        <f>IFERROR(VLOOKUP(E26,'G-7 Rivers Data'!$C$4:$D$8,2,FALSE),"")</f>
        <v/>
      </c>
      <c r="G26" s="145"/>
      <c r="H26" s="499" t="str">
        <f>IFERROR(INDEX('G-7 Rivers Data'!$H$4:$L$8,MATCH(C26,'G-7 Rivers Data'!$B$4:$B$8,0),MATCH(G26,'G-7 Rivers Data'!$H$3:$L$3,0)),"")</f>
        <v/>
      </c>
      <c r="I26" s="154"/>
      <c r="J26" s="507" t="str">
        <f>IF(I26="","",IF(VLOOKUP(I26,'G-7 Rivers Data'!$AG$4:$AI$9,2,FALSE)=0,"Spatial Data Missing ⚠",VLOOKUP(I26,'G-7 Rivers Data'!$AG$4:$AI$9,2,FALSE)))</f>
        <v/>
      </c>
      <c r="K26" s="499" t="str">
        <f>IF(I26="","",IF(VLOOKUP(I26,'G-7 Rivers Data'!$AG$4:$AI$9,3,FALSE)=0,"Spatial Data Missing ⚠",VLOOKUP(I26,'G-7 Rivers Data'!$AG$4:$AI$9,3,FALSE)))</f>
        <v/>
      </c>
      <c r="L26" s="498" t="str">
        <f>IFERROR(INDEX('G-7 Rivers Data'!$O$3:$O$7,MATCH(G26,'G-7 Rivers Data'!$N$3:$N$7,0)),"")</f>
        <v/>
      </c>
      <c r="M26" s="82"/>
      <c r="N26" s="195"/>
      <c r="O26" s="507" t="str">
        <f t="shared" si="1"/>
        <v/>
      </c>
      <c r="P26" s="521" t="str">
        <f t="shared" si="2"/>
        <v/>
      </c>
      <c r="Q26" s="564" t="str">
        <f>IFERROR(IF(P26="Check Data ⚠","Check Data ⚠",VLOOKUP(P26,'G-4 Temporal multipliers'!$A$4:$C$37,3,FALSE)),"")</f>
        <v/>
      </c>
      <c r="R26" s="498" t="str">
        <f>IF(C26="","",VLOOKUP(C26,'G-7 Rivers Data'!$B$4:$G$8,4,FALSE))</f>
        <v/>
      </c>
      <c r="S26" s="507" t="str">
        <f t="shared" si="3"/>
        <v/>
      </c>
      <c r="T26" s="540" t="str">
        <f t="shared" si="4"/>
        <v/>
      </c>
      <c r="U26" s="499" t="str">
        <f t="shared" si="5"/>
        <v/>
      </c>
      <c r="V26" s="71"/>
      <c r="W26" s="499" t="str">
        <f>IF(V26="","",IF(VLOOKUP(V26,'G-7 Rivers Data'!$AA$4:$AB$7,2,FALSE)=0,"Spatial Data Missing ⚠",VLOOKUP(V26,'G-7 Rivers Data'!$AA$4:$AB$7,2,FALSE)))</f>
        <v/>
      </c>
      <c r="X26" s="155"/>
      <c r="Y26" s="499" t="str">
        <f>IF(X26="","",IF(VLOOKUP(X26,'G-7 Rivers Data'!$AD$4:$AE$8,2,FALSE)=0,"Enrcoachment Data Missing ⚠",VLOOKUP(X26,'G-7 Rivers Data'!$AD$4:$AE$8,2,FALSE)))</f>
        <v/>
      </c>
      <c r="Z26" s="565" t="str">
        <f t="shared" si="6"/>
        <v/>
      </c>
      <c r="AA26" s="149"/>
      <c r="AB26" s="150"/>
      <c r="AH26" s="31" t="str">
        <f>IFERROR(INDEX('G-7 Rivers Data'!$AZ$3:$AZ$7,MATCH(C26,'G-7 Rivers Data'!$AY$3:$AY$7,0)),"")</f>
        <v/>
      </c>
    </row>
    <row r="27" spans="2:34" ht="13.8" x14ac:dyDescent="0.25">
      <c r="B27" s="141">
        <v>16</v>
      </c>
      <c r="C27" s="171"/>
      <c r="D27" s="172"/>
      <c r="E27" s="498" t="str">
        <f>IF(C27="","",VLOOKUP(C27,'G-7 Rivers Data'!$B$2:$G$8,2,FALSE))</f>
        <v/>
      </c>
      <c r="F27" s="499" t="str">
        <f>IFERROR(VLOOKUP(E27,'G-7 Rivers Data'!$C$4:$D$8,2,FALSE),"")</f>
        <v/>
      </c>
      <c r="G27" s="145"/>
      <c r="H27" s="499" t="str">
        <f>IFERROR(INDEX('G-7 Rivers Data'!$H$4:$L$8,MATCH(C27,'G-7 Rivers Data'!$B$4:$B$8,0),MATCH(G27,'G-7 Rivers Data'!$H$3:$L$3,0)),"")</f>
        <v/>
      </c>
      <c r="I27" s="154"/>
      <c r="J27" s="507" t="str">
        <f>IF(I27="","",IF(VLOOKUP(I27,'G-7 Rivers Data'!$AG$4:$AI$9,2,FALSE)=0,"Spatial Data Missing ⚠",VLOOKUP(I27,'G-7 Rivers Data'!$AG$4:$AI$9,2,FALSE)))</f>
        <v/>
      </c>
      <c r="K27" s="499" t="str">
        <f>IF(I27="","",IF(VLOOKUP(I27,'G-7 Rivers Data'!$AG$4:$AI$9,3,FALSE)=0,"Spatial Data Missing ⚠",VLOOKUP(I27,'G-7 Rivers Data'!$AG$4:$AI$9,3,FALSE)))</f>
        <v/>
      </c>
      <c r="L27" s="498" t="str">
        <f>IFERROR(INDEX('G-7 Rivers Data'!$O$3:$O$7,MATCH(G27,'G-7 Rivers Data'!$N$3:$N$7,0)),"")</f>
        <v/>
      </c>
      <c r="M27" s="82"/>
      <c r="N27" s="195"/>
      <c r="O27" s="507" t="str">
        <f t="shared" si="1"/>
        <v/>
      </c>
      <c r="P27" s="521" t="str">
        <f t="shared" si="2"/>
        <v/>
      </c>
      <c r="Q27" s="564" t="str">
        <f>IFERROR(IF(P27="Check Data ⚠","Check Data ⚠",VLOOKUP(P27,'G-4 Temporal multipliers'!$A$4:$C$37,3,FALSE)),"")</f>
        <v/>
      </c>
      <c r="R27" s="498" t="str">
        <f>IF(C27="","",VLOOKUP(C27,'G-7 Rivers Data'!$B$4:$G$8,4,FALSE))</f>
        <v/>
      </c>
      <c r="S27" s="507" t="str">
        <f t="shared" si="3"/>
        <v/>
      </c>
      <c r="T27" s="540" t="str">
        <f t="shared" si="4"/>
        <v/>
      </c>
      <c r="U27" s="499" t="str">
        <f t="shared" si="5"/>
        <v/>
      </c>
      <c r="V27" s="71"/>
      <c r="W27" s="499" t="str">
        <f>IF(V27="","",IF(VLOOKUP(V27,'G-7 Rivers Data'!$AA$4:$AB$7,2,FALSE)=0,"Spatial Data Missing ⚠",VLOOKUP(V27,'G-7 Rivers Data'!$AA$4:$AB$7,2,FALSE)))</f>
        <v/>
      </c>
      <c r="X27" s="155"/>
      <c r="Y27" s="499" t="str">
        <f>IF(X27="","",IF(VLOOKUP(X27,'G-7 Rivers Data'!$AD$4:$AE$8,2,FALSE)=0,"Enrcoachment Data Missing ⚠",VLOOKUP(X27,'G-7 Rivers Data'!$AD$4:$AE$8,2,FALSE)))</f>
        <v/>
      </c>
      <c r="Z27" s="565" t="str">
        <f t="shared" si="6"/>
        <v/>
      </c>
      <c r="AA27" s="149"/>
      <c r="AB27" s="150"/>
      <c r="AH27" s="31" t="str">
        <f>IFERROR(INDEX('G-7 Rivers Data'!$AZ$3:$AZ$7,MATCH(C27,'G-7 Rivers Data'!$AY$3:$AY$7,0)),"")</f>
        <v/>
      </c>
    </row>
    <row r="28" spans="2:34" ht="13.8" x14ac:dyDescent="0.25">
      <c r="B28" s="141">
        <v>17</v>
      </c>
      <c r="C28" s="171"/>
      <c r="D28" s="172"/>
      <c r="E28" s="498" t="str">
        <f>IF(C28="","",VLOOKUP(C28,'G-7 Rivers Data'!$B$2:$G$8,2,FALSE))</f>
        <v/>
      </c>
      <c r="F28" s="499" t="str">
        <f>IFERROR(VLOOKUP(E28,'G-7 Rivers Data'!$C$4:$D$8,2,FALSE),"")</f>
        <v/>
      </c>
      <c r="G28" s="145"/>
      <c r="H28" s="499" t="str">
        <f>IFERROR(INDEX('G-7 Rivers Data'!$H$4:$L$8,MATCH(C28,'G-7 Rivers Data'!$B$4:$B$8,0),MATCH(G28,'G-7 Rivers Data'!$H$3:$L$3,0)),"")</f>
        <v/>
      </c>
      <c r="I28" s="154"/>
      <c r="J28" s="507" t="str">
        <f>IF(I28="","",IF(VLOOKUP(I28,'G-7 Rivers Data'!$AG$4:$AI$9,2,FALSE)=0,"Spatial Data Missing ⚠",VLOOKUP(I28,'G-7 Rivers Data'!$AG$4:$AI$9,2,FALSE)))</f>
        <v/>
      </c>
      <c r="K28" s="499" t="str">
        <f>IF(I28="","",IF(VLOOKUP(I28,'G-7 Rivers Data'!$AG$4:$AI$9,3,FALSE)=0,"Spatial Data Missing ⚠",VLOOKUP(I28,'G-7 Rivers Data'!$AG$4:$AI$9,3,FALSE)))</f>
        <v/>
      </c>
      <c r="L28" s="498" t="str">
        <f>IFERROR(INDEX('G-7 Rivers Data'!$O$3:$O$7,MATCH(G28,'G-7 Rivers Data'!$N$3:$N$7,0)),"")</f>
        <v/>
      </c>
      <c r="M28" s="82"/>
      <c r="N28" s="195"/>
      <c r="O28" s="507" t="str">
        <f t="shared" si="1"/>
        <v/>
      </c>
      <c r="P28" s="521" t="str">
        <f t="shared" si="2"/>
        <v/>
      </c>
      <c r="Q28" s="564" t="str">
        <f>IFERROR(IF(P28="Check Data ⚠","Check Data ⚠",VLOOKUP(P28,'G-4 Temporal multipliers'!$A$4:$C$37,3,FALSE)),"")</f>
        <v/>
      </c>
      <c r="R28" s="498" t="str">
        <f>IF(C28="","",VLOOKUP(C28,'G-7 Rivers Data'!$B$4:$G$8,4,FALSE))</f>
        <v/>
      </c>
      <c r="S28" s="507" t="str">
        <f t="shared" si="3"/>
        <v/>
      </c>
      <c r="T28" s="540" t="str">
        <f t="shared" si="4"/>
        <v/>
      </c>
      <c r="U28" s="499" t="str">
        <f t="shared" si="5"/>
        <v/>
      </c>
      <c r="V28" s="71"/>
      <c r="W28" s="499" t="str">
        <f>IF(V28="","",IF(VLOOKUP(V28,'G-7 Rivers Data'!$AA$4:$AB$7,2,FALSE)=0,"Spatial Data Missing ⚠",VLOOKUP(V28,'G-7 Rivers Data'!$AA$4:$AB$7,2,FALSE)))</f>
        <v/>
      </c>
      <c r="X28" s="155"/>
      <c r="Y28" s="499" t="str">
        <f>IF(X28="","",IF(VLOOKUP(X28,'G-7 Rivers Data'!$AD$4:$AE$8,2,FALSE)=0,"Enrcoachment Data Missing ⚠",VLOOKUP(X28,'G-7 Rivers Data'!$AD$4:$AE$8,2,FALSE)))</f>
        <v/>
      </c>
      <c r="Z28" s="565" t="str">
        <f t="shared" si="6"/>
        <v/>
      </c>
      <c r="AA28" s="149"/>
      <c r="AB28" s="150"/>
      <c r="AH28" s="31" t="str">
        <f>IFERROR(INDEX('G-7 Rivers Data'!$AZ$3:$AZ$7,MATCH(C28,'G-7 Rivers Data'!$AY$3:$AY$7,0)),"")</f>
        <v/>
      </c>
    </row>
    <row r="29" spans="2:34" ht="13.8" x14ac:dyDescent="0.25">
      <c r="B29" s="141">
        <v>18</v>
      </c>
      <c r="C29" s="171"/>
      <c r="D29" s="172"/>
      <c r="E29" s="498" t="str">
        <f>IF(C29="","",VLOOKUP(C29,'G-7 Rivers Data'!$B$2:$G$8,2,FALSE))</f>
        <v/>
      </c>
      <c r="F29" s="499" t="str">
        <f>IFERROR(VLOOKUP(E29,'G-7 Rivers Data'!$C$4:$D$8,2,FALSE),"")</f>
        <v/>
      </c>
      <c r="G29" s="145"/>
      <c r="H29" s="499" t="str">
        <f>IFERROR(INDEX('G-7 Rivers Data'!$H$4:$L$8,MATCH(C29,'G-7 Rivers Data'!$B$4:$B$8,0),MATCH(G29,'G-7 Rivers Data'!$H$3:$L$3,0)),"")</f>
        <v/>
      </c>
      <c r="I29" s="154"/>
      <c r="J29" s="507" t="str">
        <f>IF(I29="","",IF(VLOOKUP(I29,'G-7 Rivers Data'!$AG$4:$AI$9,2,FALSE)=0,"Spatial Data Missing ⚠",VLOOKUP(I29,'G-7 Rivers Data'!$AG$4:$AI$9,2,FALSE)))</f>
        <v/>
      </c>
      <c r="K29" s="499" t="str">
        <f>IF(I29="","",IF(VLOOKUP(I29,'G-7 Rivers Data'!$AG$4:$AI$9,3,FALSE)=0,"Spatial Data Missing ⚠",VLOOKUP(I29,'G-7 Rivers Data'!$AG$4:$AI$9,3,FALSE)))</f>
        <v/>
      </c>
      <c r="L29" s="498" t="str">
        <f>IFERROR(INDEX('G-7 Rivers Data'!$O$3:$O$7,MATCH(G29,'G-7 Rivers Data'!$N$3:$N$7,0)),"")</f>
        <v/>
      </c>
      <c r="M29" s="82"/>
      <c r="N29" s="195"/>
      <c r="O29" s="507" t="str">
        <f t="shared" si="1"/>
        <v/>
      </c>
      <c r="P29" s="521" t="str">
        <f t="shared" si="2"/>
        <v/>
      </c>
      <c r="Q29" s="564" t="str">
        <f>IFERROR(IF(P29="Check Data ⚠","Check Data ⚠",VLOOKUP(P29,'G-4 Temporal multipliers'!$A$4:$C$37,3,FALSE)),"")</f>
        <v/>
      </c>
      <c r="R29" s="498" t="str">
        <f>IF(C29="","",VLOOKUP(C29,'G-7 Rivers Data'!$B$4:$G$8,4,FALSE))</f>
        <v/>
      </c>
      <c r="S29" s="507" t="str">
        <f t="shared" si="3"/>
        <v/>
      </c>
      <c r="T29" s="540" t="str">
        <f t="shared" si="4"/>
        <v/>
      </c>
      <c r="U29" s="499" t="str">
        <f t="shared" si="5"/>
        <v/>
      </c>
      <c r="V29" s="71"/>
      <c r="W29" s="499" t="str">
        <f>IF(V29="","",IF(VLOOKUP(V29,'G-7 Rivers Data'!$AA$4:$AB$7,2,FALSE)=0,"Spatial Data Missing ⚠",VLOOKUP(V29,'G-7 Rivers Data'!$AA$4:$AB$7,2,FALSE)))</f>
        <v/>
      </c>
      <c r="X29" s="155"/>
      <c r="Y29" s="499" t="str">
        <f>IF(X29="","",IF(VLOOKUP(X29,'G-7 Rivers Data'!$AD$4:$AE$8,2,FALSE)=0,"Enrcoachment Data Missing ⚠",VLOOKUP(X29,'G-7 Rivers Data'!$AD$4:$AE$8,2,FALSE)))</f>
        <v/>
      </c>
      <c r="Z29" s="565" t="str">
        <f t="shared" si="6"/>
        <v/>
      </c>
      <c r="AA29" s="149"/>
      <c r="AB29" s="150"/>
      <c r="AH29" s="31" t="str">
        <f>IFERROR(INDEX('G-7 Rivers Data'!$AZ$3:$AZ$7,MATCH(C29,'G-7 Rivers Data'!$AY$3:$AY$7,0)),"")</f>
        <v/>
      </c>
    </row>
    <row r="30" spans="2:34" ht="13.8" x14ac:dyDescent="0.25">
      <c r="B30" s="141">
        <v>19</v>
      </c>
      <c r="C30" s="171"/>
      <c r="D30" s="172"/>
      <c r="E30" s="498" t="str">
        <f>IF(C30="","",VLOOKUP(C30,'G-7 Rivers Data'!$B$2:$G$8,2,FALSE))</f>
        <v/>
      </c>
      <c r="F30" s="499" t="str">
        <f>IFERROR(VLOOKUP(E30,'G-7 Rivers Data'!$C$4:$D$8,2,FALSE),"")</f>
        <v/>
      </c>
      <c r="G30" s="145"/>
      <c r="H30" s="499" t="str">
        <f>IFERROR(INDEX('G-7 Rivers Data'!$H$4:$L$8,MATCH(C30,'G-7 Rivers Data'!$B$4:$B$8,0),MATCH(G30,'G-7 Rivers Data'!$H$3:$L$3,0)),"")</f>
        <v/>
      </c>
      <c r="I30" s="154"/>
      <c r="J30" s="507" t="str">
        <f>IF(I30="","",IF(VLOOKUP(I30,'G-7 Rivers Data'!$AG$4:$AI$9,2,FALSE)=0,"Spatial Data Missing ⚠",VLOOKUP(I30,'G-7 Rivers Data'!$AG$4:$AI$9,2,FALSE)))</f>
        <v/>
      </c>
      <c r="K30" s="499" t="str">
        <f>IF(I30="","",IF(VLOOKUP(I30,'G-7 Rivers Data'!$AG$4:$AI$9,3,FALSE)=0,"Spatial Data Missing ⚠",VLOOKUP(I30,'G-7 Rivers Data'!$AG$4:$AI$9,3,FALSE)))</f>
        <v/>
      </c>
      <c r="L30" s="498" t="str">
        <f>IFERROR(INDEX('G-7 Rivers Data'!$O$3:$O$7,MATCH(G30,'G-7 Rivers Data'!$N$3:$N$7,0)),"")</f>
        <v/>
      </c>
      <c r="M30" s="82"/>
      <c r="N30" s="195"/>
      <c r="O30" s="507" t="str">
        <f t="shared" si="1"/>
        <v/>
      </c>
      <c r="P30" s="521" t="str">
        <f t="shared" si="2"/>
        <v/>
      </c>
      <c r="Q30" s="564" t="str">
        <f>IFERROR(IF(P30="Check Data ⚠","Check Data ⚠",VLOOKUP(P30,'G-4 Temporal multipliers'!$A$4:$C$37,3,FALSE)),"")</f>
        <v/>
      </c>
      <c r="R30" s="498" t="str">
        <f>IF(C30="","",VLOOKUP(C30,'G-7 Rivers Data'!$B$4:$G$8,4,FALSE))</f>
        <v/>
      </c>
      <c r="S30" s="507" t="str">
        <f t="shared" si="3"/>
        <v/>
      </c>
      <c r="T30" s="540" t="str">
        <f t="shared" si="4"/>
        <v/>
      </c>
      <c r="U30" s="499" t="str">
        <f t="shared" si="5"/>
        <v/>
      </c>
      <c r="V30" s="71"/>
      <c r="W30" s="499" t="str">
        <f>IF(V30="","",IF(VLOOKUP(V30,'G-7 Rivers Data'!$AA$4:$AB$7,2,FALSE)=0,"Spatial Data Missing ⚠",VLOOKUP(V30,'G-7 Rivers Data'!$AA$4:$AB$7,2,FALSE)))</f>
        <v/>
      </c>
      <c r="X30" s="155"/>
      <c r="Y30" s="499" t="str">
        <f>IF(X30="","",IF(VLOOKUP(X30,'G-7 Rivers Data'!$AD$4:$AE$8,2,FALSE)=0,"Enrcoachment Data Missing ⚠",VLOOKUP(X30,'G-7 Rivers Data'!$AD$4:$AE$8,2,FALSE)))</f>
        <v/>
      </c>
      <c r="Z30" s="565" t="str">
        <f t="shared" si="6"/>
        <v/>
      </c>
      <c r="AA30" s="149"/>
      <c r="AB30" s="150"/>
      <c r="AH30" s="31" t="str">
        <f>IFERROR(INDEX('G-7 Rivers Data'!$AZ$3:$AZ$7,MATCH(C30,'G-7 Rivers Data'!$AY$3:$AY$7,0)),"")</f>
        <v/>
      </c>
    </row>
    <row r="31" spans="2:34" ht="13.8" x14ac:dyDescent="0.25">
      <c r="B31" s="141">
        <v>20</v>
      </c>
      <c r="C31" s="171"/>
      <c r="D31" s="172"/>
      <c r="E31" s="498" t="str">
        <f>IF(C31="","",VLOOKUP(C31,'G-7 Rivers Data'!$B$2:$G$8,2,FALSE))</f>
        <v/>
      </c>
      <c r="F31" s="499" t="str">
        <f>IFERROR(VLOOKUP(E31,'G-7 Rivers Data'!$C$4:$D$8,2,FALSE),"")</f>
        <v/>
      </c>
      <c r="G31" s="145"/>
      <c r="H31" s="499" t="str">
        <f>IFERROR(INDEX('G-7 Rivers Data'!$H$4:$L$8,MATCH(C31,'G-7 Rivers Data'!$B$4:$B$8,0),MATCH(G31,'G-7 Rivers Data'!$H$3:$L$3,0)),"")</f>
        <v/>
      </c>
      <c r="I31" s="154"/>
      <c r="J31" s="507" t="str">
        <f>IF(I31="","",IF(VLOOKUP(I31,'G-7 Rivers Data'!$AG$4:$AI$9,2,FALSE)=0,"Spatial Data Missing ⚠",VLOOKUP(I31,'G-7 Rivers Data'!$AG$4:$AI$9,2,FALSE)))</f>
        <v/>
      </c>
      <c r="K31" s="499" t="str">
        <f>IF(I31="","",IF(VLOOKUP(I31,'G-7 Rivers Data'!$AG$4:$AI$9,3,FALSE)=0,"Spatial Data Missing ⚠",VLOOKUP(I31,'G-7 Rivers Data'!$AG$4:$AI$9,3,FALSE)))</f>
        <v/>
      </c>
      <c r="L31" s="498" t="str">
        <f>IFERROR(INDEX('G-7 Rivers Data'!$O$3:$O$7,MATCH(G31,'G-7 Rivers Data'!$N$3:$N$7,0)),"")</f>
        <v/>
      </c>
      <c r="M31" s="82"/>
      <c r="N31" s="195"/>
      <c r="O31" s="507" t="str">
        <f t="shared" si="1"/>
        <v/>
      </c>
      <c r="P31" s="521" t="str">
        <f t="shared" si="2"/>
        <v/>
      </c>
      <c r="Q31" s="564" t="str">
        <f>IFERROR(IF(P31="Check Data ⚠","Check Data ⚠",VLOOKUP(P31,'G-4 Temporal multipliers'!$A$4:$C$37,3,FALSE)),"")</f>
        <v/>
      </c>
      <c r="R31" s="498" t="str">
        <f>IF(C31="","",VLOOKUP(C31,'G-7 Rivers Data'!$B$4:$G$8,4,FALSE))</f>
        <v/>
      </c>
      <c r="S31" s="507" t="str">
        <f t="shared" si="3"/>
        <v/>
      </c>
      <c r="T31" s="540" t="str">
        <f t="shared" si="4"/>
        <v/>
      </c>
      <c r="U31" s="499" t="str">
        <f t="shared" si="5"/>
        <v/>
      </c>
      <c r="V31" s="71"/>
      <c r="W31" s="499" t="str">
        <f>IF(V31="","",IF(VLOOKUP(V31,'G-7 Rivers Data'!$AA$4:$AB$7,2,FALSE)=0,"Spatial Data Missing ⚠",VLOOKUP(V31,'G-7 Rivers Data'!$AA$4:$AB$7,2,FALSE)))</f>
        <v/>
      </c>
      <c r="X31" s="155"/>
      <c r="Y31" s="499" t="str">
        <f>IF(X31="","",IF(VLOOKUP(X31,'G-7 Rivers Data'!$AD$4:$AE$8,2,FALSE)=0,"Enrcoachment Data Missing ⚠",VLOOKUP(X31,'G-7 Rivers Data'!$AD$4:$AE$8,2,FALSE)))</f>
        <v/>
      </c>
      <c r="Z31" s="565" t="str">
        <f t="shared" si="6"/>
        <v/>
      </c>
      <c r="AA31" s="149"/>
      <c r="AB31" s="150"/>
      <c r="AH31" s="31" t="str">
        <f>IFERROR(INDEX('G-7 Rivers Data'!$AZ$3:$AZ$7,MATCH(C31,'G-7 Rivers Data'!$AY$3:$AY$7,0)),"")</f>
        <v/>
      </c>
    </row>
    <row r="32" spans="2:34" ht="13.8" x14ac:dyDescent="0.25">
      <c r="B32" s="141">
        <v>21</v>
      </c>
      <c r="C32" s="171"/>
      <c r="D32" s="172"/>
      <c r="E32" s="498" t="str">
        <f>IF(C32="","",VLOOKUP(C32,'G-7 Rivers Data'!$B$2:$G$8,2,FALSE))</f>
        <v/>
      </c>
      <c r="F32" s="499" t="str">
        <f>IFERROR(VLOOKUP(E32,'G-7 Rivers Data'!$C$4:$D$8,2,FALSE),"")</f>
        <v/>
      </c>
      <c r="G32" s="145"/>
      <c r="H32" s="499" t="str">
        <f>IFERROR(INDEX('G-7 Rivers Data'!$H$4:$L$8,MATCH(C32,'G-7 Rivers Data'!$B$4:$B$8,0),MATCH(G32,'G-7 Rivers Data'!$H$3:$L$3,0)),"")</f>
        <v/>
      </c>
      <c r="I32" s="154"/>
      <c r="J32" s="507" t="str">
        <f>IF(I32="","",IF(VLOOKUP(I32,'G-7 Rivers Data'!$AG$4:$AI$9,2,FALSE)=0,"Spatial Data Missing ⚠",VLOOKUP(I32,'G-7 Rivers Data'!$AG$4:$AI$9,2,FALSE)))</f>
        <v/>
      </c>
      <c r="K32" s="499" t="str">
        <f>IF(I32="","",IF(VLOOKUP(I32,'G-7 Rivers Data'!$AG$4:$AI$9,3,FALSE)=0,"Spatial Data Missing ⚠",VLOOKUP(I32,'G-7 Rivers Data'!$AG$4:$AI$9,3,FALSE)))</f>
        <v/>
      </c>
      <c r="L32" s="498" t="str">
        <f>IFERROR(INDEX('G-7 Rivers Data'!$O$3:$O$7,MATCH(G32,'G-7 Rivers Data'!$N$3:$N$7,0)),"")</f>
        <v/>
      </c>
      <c r="M32" s="82"/>
      <c r="N32" s="195"/>
      <c r="O32" s="507" t="str">
        <f t="shared" si="1"/>
        <v/>
      </c>
      <c r="P32" s="521" t="str">
        <f t="shared" si="2"/>
        <v/>
      </c>
      <c r="Q32" s="564" t="str">
        <f>IFERROR(IF(P32="Check Data ⚠","Check Data ⚠",VLOOKUP(P32,'G-4 Temporal multipliers'!$A$4:$C$37,3,FALSE)),"")</f>
        <v/>
      </c>
      <c r="R32" s="498" t="str">
        <f>IF(C32="","",VLOOKUP(C32,'G-7 Rivers Data'!$B$4:$G$8,4,FALSE))</f>
        <v/>
      </c>
      <c r="S32" s="507" t="str">
        <f t="shared" si="3"/>
        <v/>
      </c>
      <c r="T32" s="540" t="str">
        <f t="shared" si="4"/>
        <v/>
      </c>
      <c r="U32" s="499" t="str">
        <f t="shared" si="5"/>
        <v/>
      </c>
      <c r="V32" s="71"/>
      <c r="W32" s="499" t="str">
        <f>IF(V32="","",IF(VLOOKUP(V32,'G-7 Rivers Data'!$AA$4:$AB$7,2,FALSE)=0,"Spatial Data Missing ⚠",VLOOKUP(V32,'G-7 Rivers Data'!$AA$4:$AB$7,2,FALSE)))</f>
        <v/>
      </c>
      <c r="X32" s="155"/>
      <c r="Y32" s="499" t="str">
        <f>IF(X32="","",IF(VLOOKUP(X32,'G-7 Rivers Data'!$AD$4:$AE$8,2,FALSE)=0,"Enrcoachment Data Missing ⚠",VLOOKUP(X32,'G-7 Rivers Data'!$AD$4:$AE$8,2,FALSE)))</f>
        <v/>
      </c>
      <c r="Z32" s="565" t="str">
        <f t="shared" si="6"/>
        <v/>
      </c>
      <c r="AA32" s="149"/>
      <c r="AB32" s="150"/>
      <c r="AH32" s="31" t="str">
        <f>IFERROR(INDEX('G-7 Rivers Data'!$AZ$3:$AZ$7,MATCH(C32,'G-7 Rivers Data'!$AY$3:$AY$7,0)),"")</f>
        <v/>
      </c>
    </row>
    <row r="33" spans="2:34" ht="13.8" x14ac:dyDescent="0.25">
      <c r="B33" s="141">
        <v>22</v>
      </c>
      <c r="C33" s="171"/>
      <c r="D33" s="172"/>
      <c r="E33" s="498" t="str">
        <f>IF(C33="","",VLOOKUP(C33,'G-7 Rivers Data'!$B$2:$G$8,2,FALSE))</f>
        <v/>
      </c>
      <c r="F33" s="499" t="str">
        <f>IFERROR(VLOOKUP(E33,'G-7 Rivers Data'!$C$4:$D$8,2,FALSE),"")</f>
        <v/>
      </c>
      <c r="G33" s="145"/>
      <c r="H33" s="499" t="str">
        <f>IFERROR(INDEX('G-7 Rivers Data'!$H$4:$L$8,MATCH(C33,'G-7 Rivers Data'!$B$4:$B$8,0),MATCH(G33,'G-7 Rivers Data'!$H$3:$L$3,0)),"")</f>
        <v/>
      </c>
      <c r="I33" s="154"/>
      <c r="J33" s="507" t="str">
        <f>IF(I33="","",IF(VLOOKUP(I33,'G-7 Rivers Data'!$AG$4:$AI$9,2,FALSE)=0,"Spatial Data Missing ⚠",VLOOKUP(I33,'G-7 Rivers Data'!$AG$4:$AI$9,2,FALSE)))</f>
        <v/>
      </c>
      <c r="K33" s="499" t="str">
        <f>IF(I33="","",IF(VLOOKUP(I33,'G-7 Rivers Data'!$AG$4:$AI$9,3,FALSE)=0,"Spatial Data Missing ⚠",VLOOKUP(I33,'G-7 Rivers Data'!$AG$4:$AI$9,3,FALSE)))</f>
        <v/>
      </c>
      <c r="L33" s="498" t="str">
        <f>IFERROR(INDEX('G-7 Rivers Data'!$O$3:$O$7,MATCH(G33,'G-7 Rivers Data'!$N$3:$N$7,0)),"")</f>
        <v/>
      </c>
      <c r="M33" s="82"/>
      <c r="N33" s="195"/>
      <c r="O33" s="507" t="str">
        <f t="shared" si="1"/>
        <v/>
      </c>
      <c r="P33" s="521" t="str">
        <f t="shared" si="2"/>
        <v/>
      </c>
      <c r="Q33" s="564" t="str">
        <f>IFERROR(IF(P33="Check Data ⚠","Check Data ⚠",VLOOKUP(P33,'G-4 Temporal multipliers'!$A$4:$C$37,3,FALSE)),"")</f>
        <v/>
      </c>
      <c r="R33" s="498" t="str">
        <f>IF(C33="","",VLOOKUP(C33,'G-7 Rivers Data'!$B$4:$G$8,4,FALSE))</f>
        <v/>
      </c>
      <c r="S33" s="507" t="str">
        <f t="shared" si="3"/>
        <v/>
      </c>
      <c r="T33" s="540" t="str">
        <f t="shared" si="4"/>
        <v/>
      </c>
      <c r="U33" s="499" t="str">
        <f t="shared" si="5"/>
        <v/>
      </c>
      <c r="V33" s="71"/>
      <c r="W33" s="499" t="str">
        <f>IF(V33="","",IF(VLOOKUP(V33,'G-7 Rivers Data'!$AA$4:$AB$7,2,FALSE)=0,"Spatial Data Missing ⚠",VLOOKUP(V33,'G-7 Rivers Data'!$AA$4:$AB$7,2,FALSE)))</f>
        <v/>
      </c>
      <c r="X33" s="155"/>
      <c r="Y33" s="499" t="str">
        <f>IF(X33="","",IF(VLOOKUP(X33,'G-7 Rivers Data'!$AD$4:$AE$8,2,FALSE)=0,"Enrcoachment Data Missing ⚠",VLOOKUP(X33,'G-7 Rivers Data'!$AD$4:$AE$8,2,FALSE)))</f>
        <v/>
      </c>
      <c r="Z33" s="565" t="str">
        <f t="shared" si="6"/>
        <v/>
      </c>
      <c r="AA33" s="149"/>
      <c r="AB33" s="150"/>
      <c r="AH33" s="31" t="str">
        <f>IFERROR(INDEX('G-7 Rivers Data'!$AZ$3:$AZ$7,MATCH(C33,'G-7 Rivers Data'!$AY$3:$AY$7,0)),"")</f>
        <v/>
      </c>
    </row>
    <row r="34" spans="2:34" ht="13.8" x14ac:dyDescent="0.25">
      <c r="B34" s="141">
        <v>23</v>
      </c>
      <c r="C34" s="171"/>
      <c r="D34" s="172"/>
      <c r="E34" s="498" t="str">
        <f>IF(C34="","",VLOOKUP(C34,'G-7 Rivers Data'!$B$2:$G$8,2,FALSE))</f>
        <v/>
      </c>
      <c r="F34" s="499" t="str">
        <f>IFERROR(VLOOKUP(E34,'G-7 Rivers Data'!$C$4:$D$8,2,FALSE),"")</f>
        <v/>
      </c>
      <c r="G34" s="145"/>
      <c r="H34" s="499" t="str">
        <f>IFERROR(INDEX('G-7 Rivers Data'!$H$4:$L$8,MATCH(C34,'G-7 Rivers Data'!$B$4:$B$8,0),MATCH(G34,'G-7 Rivers Data'!$H$3:$L$3,0)),"")</f>
        <v/>
      </c>
      <c r="I34" s="154"/>
      <c r="J34" s="507" t="str">
        <f>IF(I34="","",IF(VLOOKUP(I34,'G-7 Rivers Data'!$AG$4:$AI$9,2,FALSE)=0,"Spatial Data Missing ⚠",VLOOKUP(I34,'G-7 Rivers Data'!$AG$4:$AI$9,2,FALSE)))</f>
        <v/>
      </c>
      <c r="K34" s="499" t="str">
        <f>IF(I34="","",IF(VLOOKUP(I34,'G-7 Rivers Data'!$AG$4:$AI$9,3,FALSE)=0,"Spatial Data Missing ⚠",VLOOKUP(I34,'G-7 Rivers Data'!$AG$4:$AI$9,3,FALSE)))</f>
        <v/>
      </c>
      <c r="L34" s="498" t="str">
        <f>IFERROR(INDEX('G-7 Rivers Data'!$O$3:$O$7,MATCH(G34,'G-7 Rivers Data'!$N$3:$N$7,0)),"")</f>
        <v/>
      </c>
      <c r="M34" s="82"/>
      <c r="N34" s="195"/>
      <c r="O34" s="507" t="str">
        <f t="shared" si="1"/>
        <v/>
      </c>
      <c r="P34" s="521" t="str">
        <f t="shared" si="2"/>
        <v/>
      </c>
      <c r="Q34" s="564" t="str">
        <f>IFERROR(IF(P34="Check Data ⚠","Check Data ⚠",VLOOKUP(P34,'G-4 Temporal multipliers'!$A$4:$C$37,3,FALSE)),"")</f>
        <v/>
      </c>
      <c r="R34" s="498" t="str">
        <f>IF(C34="","",VLOOKUP(C34,'G-7 Rivers Data'!$B$4:$G$8,4,FALSE))</f>
        <v/>
      </c>
      <c r="S34" s="507" t="str">
        <f t="shared" si="3"/>
        <v/>
      </c>
      <c r="T34" s="540" t="str">
        <f t="shared" si="4"/>
        <v/>
      </c>
      <c r="U34" s="499" t="str">
        <f t="shared" si="5"/>
        <v/>
      </c>
      <c r="V34" s="71"/>
      <c r="W34" s="499" t="str">
        <f>IF(V34="","",IF(VLOOKUP(V34,'G-7 Rivers Data'!$AA$4:$AB$7,2,FALSE)=0,"Spatial Data Missing ⚠",VLOOKUP(V34,'G-7 Rivers Data'!$AA$4:$AB$7,2,FALSE)))</f>
        <v/>
      </c>
      <c r="X34" s="155"/>
      <c r="Y34" s="499" t="str">
        <f>IF(X34="","",IF(VLOOKUP(X34,'G-7 Rivers Data'!$AD$4:$AE$8,2,FALSE)=0,"Enrcoachment Data Missing ⚠",VLOOKUP(X34,'G-7 Rivers Data'!$AD$4:$AE$8,2,FALSE)))</f>
        <v/>
      </c>
      <c r="Z34" s="565" t="str">
        <f t="shared" si="6"/>
        <v/>
      </c>
      <c r="AA34" s="149"/>
      <c r="AB34" s="150"/>
      <c r="AH34" s="31" t="str">
        <f>IFERROR(INDEX('G-7 Rivers Data'!$AZ$3:$AZ$7,MATCH(C34,'G-7 Rivers Data'!$AY$3:$AY$7,0)),"")</f>
        <v/>
      </c>
    </row>
    <row r="35" spans="2:34" ht="13.8" x14ac:dyDescent="0.25">
      <c r="B35" s="141">
        <v>24</v>
      </c>
      <c r="C35" s="171"/>
      <c r="D35" s="172"/>
      <c r="E35" s="498" t="str">
        <f>IF(C35="","",VLOOKUP(C35,'G-7 Rivers Data'!$B$2:$G$8,2,FALSE))</f>
        <v/>
      </c>
      <c r="F35" s="499" t="str">
        <f>IFERROR(VLOOKUP(E35,'G-7 Rivers Data'!$C$4:$D$8,2,FALSE),"")</f>
        <v/>
      </c>
      <c r="G35" s="145"/>
      <c r="H35" s="499" t="str">
        <f>IFERROR(INDEX('G-7 Rivers Data'!$H$4:$L$8,MATCH(C35,'G-7 Rivers Data'!$B$4:$B$8,0),MATCH(G35,'G-7 Rivers Data'!$H$3:$L$3,0)),"")</f>
        <v/>
      </c>
      <c r="I35" s="154"/>
      <c r="J35" s="507" t="str">
        <f>IF(I35="","",IF(VLOOKUP(I35,'G-7 Rivers Data'!$AG$4:$AI$9,2,FALSE)=0,"Spatial Data Missing ⚠",VLOOKUP(I35,'G-7 Rivers Data'!$AG$4:$AI$9,2,FALSE)))</f>
        <v/>
      </c>
      <c r="K35" s="499" t="str">
        <f>IF(I35="","",IF(VLOOKUP(I35,'G-7 Rivers Data'!$AG$4:$AI$9,3,FALSE)=0,"Spatial Data Missing ⚠",VLOOKUP(I35,'G-7 Rivers Data'!$AG$4:$AI$9,3,FALSE)))</f>
        <v/>
      </c>
      <c r="L35" s="498" t="str">
        <f>IFERROR(INDEX('G-7 Rivers Data'!$O$3:$O$7,MATCH(G35,'G-7 Rivers Data'!$N$3:$N$7,0)),"")</f>
        <v/>
      </c>
      <c r="M35" s="82"/>
      <c r="N35" s="195"/>
      <c r="O35" s="507" t="str">
        <f t="shared" si="1"/>
        <v/>
      </c>
      <c r="P35" s="521" t="str">
        <f t="shared" si="2"/>
        <v/>
      </c>
      <c r="Q35" s="564" t="str">
        <f>IFERROR(IF(P35="Check Data ⚠","Check Data ⚠",VLOOKUP(P35,'G-4 Temporal multipliers'!$A$4:$C$37,3,FALSE)),"")</f>
        <v/>
      </c>
      <c r="R35" s="498" t="str">
        <f>IF(C35="","",VLOOKUP(C35,'G-7 Rivers Data'!$B$4:$G$8,4,FALSE))</f>
        <v/>
      </c>
      <c r="S35" s="507" t="str">
        <f t="shared" si="3"/>
        <v/>
      </c>
      <c r="T35" s="540" t="str">
        <f t="shared" si="4"/>
        <v/>
      </c>
      <c r="U35" s="499" t="str">
        <f t="shared" si="5"/>
        <v/>
      </c>
      <c r="V35" s="71"/>
      <c r="W35" s="499" t="str">
        <f>IF(V35="","",IF(VLOOKUP(V35,'G-7 Rivers Data'!$AA$4:$AB$7,2,FALSE)=0,"Spatial Data Missing ⚠",VLOOKUP(V35,'G-7 Rivers Data'!$AA$4:$AB$7,2,FALSE)))</f>
        <v/>
      </c>
      <c r="X35" s="155"/>
      <c r="Y35" s="499" t="str">
        <f>IF(X35="","",IF(VLOOKUP(X35,'G-7 Rivers Data'!$AD$4:$AE$8,2,FALSE)=0,"Enrcoachment Data Missing ⚠",VLOOKUP(X35,'G-7 Rivers Data'!$AD$4:$AE$8,2,FALSE)))</f>
        <v/>
      </c>
      <c r="Z35" s="565" t="str">
        <f t="shared" si="6"/>
        <v/>
      </c>
      <c r="AA35" s="149"/>
      <c r="AB35" s="150"/>
      <c r="AH35" s="31" t="str">
        <f>IFERROR(INDEX('G-7 Rivers Data'!$AZ$3:$AZ$7,MATCH(C35,'G-7 Rivers Data'!$AY$3:$AY$7,0)),"")</f>
        <v/>
      </c>
    </row>
    <row r="36" spans="2:34" ht="13.8" x14ac:dyDescent="0.25">
      <c r="B36" s="141">
        <v>25</v>
      </c>
      <c r="C36" s="171"/>
      <c r="D36" s="172"/>
      <c r="E36" s="498" t="str">
        <f>IF(C36="","",VLOOKUP(C36,'G-7 Rivers Data'!$B$2:$G$8,2,FALSE))</f>
        <v/>
      </c>
      <c r="F36" s="499" t="str">
        <f>IFERROR(VLOOKUP(E36,'G-7 Rivers Data'!$C$4:$D$8,2,FALSE),"")</f>
        <v/>
      </c>
      <c r="G36" s="145"/>
      <c r="H36" s="499" t="str">
        <f>IFERROR(INDEX('G-7 Rivers Data'!$H$4:$L$8,MATCH(C36,'G-7 Rivers Data'!$B$4:$B$8,0),MATCH(G36,'G-7 Rivers Data'!$H$3:$L$3,0)),"")</f>
        <v/>
      </c>
      <c r="I36" s="154"/>
      <c r="J36" s="507" t="str">
        <f>IF(I36="","",IF(VLOOKUP(I36,'G-7 Rivers Data'!$AG$4:$AI$9,2,FALSE)=0,"Spatial Data Missing ⚠",VLOOKUP(I36,'G-7 Rivers Data'!$AG$4:$AI$9,2,FALSE)))</f>
        <v/>
      </c>
      <c r="K36" s="499" t="str">
        <f>IF(I36="","",IF(VLOOKUP(I36,'G-7 Rivers Data'!$AG$4:$AI$9,3,FALSE)=0,"Spatial Data Missing ⚠",VLOOKUP(I36,'G-7 Rivers Data'!$AG$4:$AI$9,3,FALSE)))</f>
        <v/>
      </c>
      <c r="L36" s="498" t="str">
        <f>IFERROR(INDEX('G-7 Rivers Data'!$O$3:$O$7,MATCH(G36,'G-7 Rivers Data'!$N$3:$N$7,0)),"")</f>
        <v/>
      </c>
      <c r="M36" s="82"/>
      <c r="N36" s="195"/>
      <c r="O36" s="507" t="str">
        <f t="shared" si="1"/>
        <v/>
      </c>
      <c r="P36" s="521" t="str">
        <f t="shared" si="2"/>
        <v/>
      </c>
      <c r="Q36" s="564" t="str">
        <f>IFERROR(IF(P36="Check Data ⚠","Check Data ⚠",VLOOKUP(P36,'G-4 Temporal multipliers'!$A$4:$C$37,3,FALSE)),"")</f>
        <v/>
      </c>
      <c r="R36" s="498" t="str">
        <f>IF(C36="","",VLOOKUP(C36,'G-7 Rivers Data'!$B$4:$G$8,4,FALSE))</f>
        <v/>
      </c>
      <c r="S36" s="507" t="str">
        <f t="shared" si="3"/>
        <v/>
      </c>
      <c r="T36" s="540" t="str">
        <f t="shared" si="4"/>
        <v/>
      </c>
      <c r="U36" s="499" t="str">
        <f t="shared" si="5"/>
        <v/>
      </c>
      <c r="V36" s="71"/>
      <c r="W36" s="499" t="str">
        <f>IF(V36="","",IF(VLOOKUP(V36,'G-7 Rivers Data'!$AA$4:$AB$7,2,FALSE)=0,"Spatial Data Missing ⚠",VLOOKUP(V36,'G-7 Rivers Data'!$AA$4:$AB$7,2,FALSE)))</f>
        <v/>
      </c>
      <c r="X36" s="155"/>
      <c r="Y36" s="499" t="str">
        <f>IF(X36="","",IF(VLOOKUP(X36,'G-7 Rivers Data'!$AD$4:$AE$8,2,FALSE)=0,"Enrcoachment Data Missing ⚠",VLOOKUP(X36,'G-7 Rivers Data'!$AD$4:$AE$8,2,FALSE)))</f>
        <v/>
      </c>
      <c r="Z36" s="565" t="str">
        <f t="shared" si="6"/>
        <v/>
      </c>
      <c r="AA36" s="149"/>
      <c r="AB36" s="150"/>
      <c r="AH36" s="31" t="str">
        <f>IFERROR(INDEX('G-7 Rivers Data'!$AZ$3:$AZ$7,MATCH(C36,'G-7 Rivers Data'!$AY$3:$AY$7,0)),"")</f>
        <v/>
      </c>
    </row>
    <row r="37" spans="2:34" ht="13.8" x14ac:dyDescent="0.25">
      <c r="B37" s="141">
        <v>26</v>
      </c>
      <c r="C37" s="171"/>
      <c r="D37" s="172"/>
      <c r="E37" s="498" t="str">
        <f>IF(C37="","",VLOOKUP(C37,'G-7 Rivers Data'!$B$2:$G$8,2,FALSE))</f>
        <v/>
      </c>
      <c r="F37" s="499" t="str">
        <f>IFERROR(VLOOKUP(E37,'G-7 Rivers Data'!$C$4:$D$8,2,FALSE),"")</f>
        <v/>
      </c>
      <c r="G37" s="145"/>
      <c r="H37" s="499" t="str">
        <f>IFERROR(INDEX('G-7 Rivers Data'!$H$4:$L$8,MATCH(C37,'G-7 Rivers Data'!$B$4:$B$8,0),MATCH(G37,'G-7 Rivers Data'!$H$3:$L$3,0)),"")</f>
        <v/>
      </c>
      <c r="I37" s="154"/>
      <c r="J37" s="507" t="str">
        <f>IF(I37="","",IF(VLOOKUP(I37,'G-7 Rivers Data'!$AG$4:$AI$9,2,FALSE)=0,"Spatial Data Missing ⚠",VLOOKUP(I37,'G-7 Rivers Data'!$AG$4:$AI$9,2,FALSE)))</f>
        <v/>
      </c>
      <c r="K37" s="499" t="str">
        <f>IF(I37="","",IF(VLOOKUP(I37,'G-7 Rivers Data'!$AG$4:$AI$9,3,FALSE)=0,"Spatial Data Missing ⚠",VLOOKUP(I37,'G-7 Rivers Data'!$AG$4:$AI$9,3,FALSE)))</f>
        <v/>
      </c>
      <c r="L37" s="498" t="str">
        <f>IFERROR(INDEX('G-7 Rivers Data'!$O$3:$O$7,MATCH(G37,'G-7 Rivers Data'!$N$3:$N$7,0)),"")</f>
        <v/>
      </c>
      <c r="M37" s="82"/>
      <c r="N37" s="195"/>
      <c r="O37" s="507" t="str">
        <f t="shared" si="1"/>
        <v/>
      </c>
      <c r="P37" s="521" t="str">
        <f t="shared" si="2"/>
        <v/>
      </c>
      <c r="Q37" s="564" t="str">
        <f>IFERROR(IF(P37="Check Data ⚠","Check Data ⚠",VLOOKUP(P37,'G-4 Temporal multipliers'!$A$4:$C$37,3,FALSE)),"")</f>
        <v/>
      </c>
      <c r="R37" s="498" t="str">
        <f>IF(C37="","",VLOOKUP(C37,'G-7 Rivers Data'!$B$4:$G$8,4,FALSE))</f>
        <v/>
      </c>
      <c r="S37" s="507" t="str">
        <f t="shared" si="3"/>
        <v/>
      </c>
      <c r="T37" s="540" t="str">
        <f t="shared" si="4"/>
        <v/>
      </c>
      <c r="U37" s="499" t="str">
        <f t="shared" si="5"/>
        <v/>
      </c>
      <c r="V37" s="71"/>
      <c r="W37" s="499" t="str">
        <f>IF(V37="","",IF(VLOOKUP(V37,'G-7 Rivers Data'!$AA$4:$AB$7,2,FALSE)=0,"Spatial Data Missing ⚠",VLOOKUP(V37,'G-7 Rivers Data'!$AA$4:$AB$7,2,FALSE)))</f>
        <v/>
      </c>
      <c r="X37" s="155"/>
      <c r="Y37" s="499" t="str">
        <f>IF(X37="","",IF(VLOOKUP(X37,'G-7 Rivers Data'!$AD$4:$AE$8,2,FALSE)=0,"Enrcoachment Data Missing ⚠",VLOOKUP(X37,'G-7 Rivers Data'!$AD$4:$AE$8,2,FALSE)))</f>
        <v/>
      </c>
      <c r="Z37" s="565" t="str">
        <f t="shared" si="6"/>
        <v/>
      </c>
      <c r="AA37" s="149"/>
      <c r="AB37" s="150"/>
      <c r="AH37" s="31" t="str">
        <f>IFERROR(INDEX('G-7 Rivers Data'!$AZ$3:$AZ$7,MATCH(C37,'G-7 Rivers Data'!$AY$3:$AY$7,0)),"")</f>
        <v/>
      </c>
    </row>
    <row r="38" spans="2:34" ht="13.8" x14ac:dyDescent="0.25">
      <c r="B38" s="141">
        <v>27</v>
      </c>
      <c r="C38" s="171"/>
      <c r="D38" s="172"/>
      <c r="E38" s="498" t="str">
        <f>IF(C38="","",VLOOKUP(C38,'G-7 Rivers Data'!$B$2:$G$8,2,FALSE))</f>
        <v/>
      </c>
      <c r="F38" s="499" t="str">
        <f>IFERROR(VLOOKUP(E38,'G-7 Rivers Data'!$C$4:$D$8,2,FALSE),"")</f>
        <v/>
      </c>
      <c r="G38" s="145"/>
      <c r="H38" s="499" t="str">
        <f>IFERROR(INDEX('G-7 Rivers Data'!$H$4:$L$8,MATCH(C38,'G-7 Rivers Data'!$B$4:$B$8,0),MATCH(G38,'G-7 Rivers Data'!$H$3:$L$3,0)),"")</f>
        <v/>
      </c>
      <c r="I38" s="154"/>
      <c r="J38" s="507" t="str">
        <f>IF(I38="","",IF(VLOOKUP(I38,'G-7 Rivers Data'!$AG$4:$AI$9,2,FALSE)=0,"Spatial Data Missing ⚠",VLOOKUP(I38,'G-7 Rivers Data'!$AG$4:$AI$9,2,FALSE)))</f>
        <v/>
      </c>
      <c r="K38" s="499" t="str">
        <f>IF(I38="","",IF(VLOOKUP(I38,'G-7 Rivers Data'!$AG$4:$AI$9,3,FALSE)=0,"Spatial Data Missing ⚠",VLOOKUP(I38,'G-7 Rivers Data'!$AG$4:$AI$9,3,FALSE)))</f>
        <v/>
      </c>
      <c r="L38" s="498" t="str">
        <f>IFERROR(INDEX('G-7 Rivers Data'!$O$3:$O$7,MATCH(G38,'G-7 Rivers Data'!$N$3:$N$7,0)),"")</f>
        <v/>
      </c>
      <c r="M38" s="82"/>
      <c r="N38" s="195"/>
      <c r="O38" s="507" t="str">
        <f t="shared" si="1"/>
        <v/>
      </c>
      <c r="P38" s="521" t="str">
        <f t="shared" si="2"/>
        <v/>
      </c>
      <c r="Q38" s="564" t="str">
        <f>IFERROR(IF(P38="Check Data ⚠","Check Data ⚠",VLOOKUP(P38,'G-4 Temporal multipliers'!$A$4:$C$37,3,FALSE)),"")</f>
        <v/>
      </c>
      <c r="R38" s="498" t="str">
        <f>IF(C38="","",VLOOKUP(C38,'G-7 Rivers Data'!$B$4:$G$8,4,FALSE))</f>
        <v/>
      </c>
      <c r="S38" s="507" t="str">
        <f t="shared" si="3"/>
        <v/>
      </c>
      <c r="T38" s="540" t="str">
        <f t="shared" si="4"/>
        <v/>
      </c>
      <c r="U38" s="499" t="str">
        <f t="shared" si="5"/>
        <v/>
      </c>
      <c r="V38" s="71"/>
      <c r="W38" s="499" t="str">
        <f>IF(V38="","",IF(VLOOKUP(V38,'G-7 Rivers Data'!$AA$4:$AB$7,2,FALSE)=0,"Spatial Data Missing ⚠",VLOOKUP(V38,'G-7 Rivers Data'!$AA$4:$AB$7,2,FALSE)))</f>
        <v/>
      </c>
      <c r="X38" s="155"/>
      <c r="Y38" s="499" t="str">
        <f>IF(X38="","",IF(VLOOKUP(X38,'G-7 Rivers Data'!$AD$4:$AE$8,2,FALSE)=0,"Enrcoachment Data Missing ⚠",VLOOKUP(X38,'G-7 Rivers Data'!$AD$4:$AE$8,2,FALSE)))</f>
        <v/>
      </c>
      <c r="Z38" s="565" t="str">
        <f t="shared" si="6"/>
        <v/>
      </c>
      <c r="AA38" s="149"/>
      <c r="AB38" s="150"/>
      <c r="AH38" s="31" t="str">
        <f>IFERROR(INDEX('G-7 Rivers Data'!$AZ$3:$AZ$7,MATCH(C38,'G-7 Rivers Data'!$AY$3:$AY$7,0)),"")</f>
        <v/>
      </c>
    </row>
    <row r="39" spans="2:34" ht="13.8" x14ac:dyDescent="0.25">
      <c r="B39" s="141">
        <v>28</v>
      </c>
      <c r="C39" s="171"/>
      <c r="D39" s="172"/>
      <c r="E39" s="498" t="str">
        <f>IF(C39="","",VLOOKUP(C39,'G-7 Rivers Data'!$B$2:$G$8,2,FALSE))</f>
        <v/>
      </c>
      <c r="F39" s="499" t="str">
        <f>IFERROR(VLOOKUP(E39,'G-7 Rivers Data'!$C$4:$D$8,2,FALSE),"")</f>
        <v/>
      </c>
      <c r="G39" s="145"/>
      <c r="H39" s="499" t="str">
        <f>IFERROR(INDEX('G-7 Rivers Data'!$H$4:$L$8,MATCH(C39,'G-7 Rivers Data'!$B$4:$B$8,0),MATCH(G39,'G-7 Rivers Data'!$H$3:$L$3,0)),"")</f>
        <v/>
      </c>
      <c r="I39" s="154"/>
      <c r="J39" s="507" t="str">
        <f>IF(I39="","",IF(VLOOKUP(I39,'G-7 Rivers Data'!$AG$4:$AI$9,2,FALSE)=0,"Spatial Data Missing ⚠",VLOOKUP(I39,'G-7 Rivers Data'!$AG$4:$AI$9,2,FALSE)))</f>
        <v/>
      </c>
      <c r="K39" s="499" t="str">
        <f>IF(I39="","",IF(VLOOKUP(I39,'G-7 Rivers Data'!$AG$4:$AI$9,3,FALSE)=0,"Spatial Data Missing ⚠",VLOOKUP(I39,'G-7 Rivers Data'!$AG$4:$AI$9,3,FALSE)))</f>
        <v/>
      </c>
      <c r="L39" s="498" t="str">
        <f>IFERROR(INDEX('G-7 Rivers Data'!$O$3:$O$7,MATCH(G39,'G-7 Rivers Data'!$N$3:$N$7,0)),"")</f>
        <v/>
      </c>
      <c r="M39" s="82"/>
      <c r="N39" s="195"/>
      <c r="O39" s="507" t="str">
        <f t="shared" si="1"/>
        <v/>
      </c>
      <c r="P39" s="521" t="str">
        <f t="shared" si="2"/>
        <v/>
      </c>
      <c r="Q39" s="564" t="str">
        <f>IFERROR(IF(P39="Check Data ⚠","Check Data ⚠",VLOOKUP(P39,'G-4 Temporal multipliers'!$A$4:$C$37,3,FALSE)),"")</f>
        <v/>
      </c>
      <c r="R39" s="498" t="str">
        <f>IF(C39="","",VLOOKUP(C39,'G-7 Rivers Data'!$B$4:$G$8,4,FALSE))</f>
        <v/>
      </c>
      <c r="S39" s="507" t="str">
        <f t="shared" si="3"/>
        <v/>
      </c>
      <c r="T39" s="540" t="str">
        <f t="shared" si="4"/>
        <v/>
      </c>
      <c r="U39" s="499" t="str">
        <f t="shared" si="5"/>
        <v/>
      </c>
      <c r="V39" s="71"/>
      <c r="W39" s="499" t="str">
        <f>IF(V39="","",IF(VLOOKUP(V39,'G-7 Rivers Data'!$AA$4:$AB$7,2,FALSE)=0,"Spatial Data Missing ⚠",VLOOKUP(V39,'G-7 Rivers Data'!$AA$4:$AB$7,2,FALSE)))</f>
        <v/>
      </c>
      <c r="X39" s="155"/>
      <c r="Y39" s="499" t="str">
        <f>IF(X39="","",IF(VLOOKUP(X39,'G-7 Rivers Data'!$AD$4:$AE$8,2,FALSE)=0,"Enrcoachment Data Missing ⚠",VLOOKUP(X39,'G-7 Rivers Data'!$AD$4:$AE$8,2,FALSE)))</f>
        <v/>
      </c>
      <c r="Z39" s="565" t="str">
        <f t="shared" si="6"/>
        <v/>
      </c>
      <c r="AA39" s="149"/>
      <c r="AB39" s="150"/>
      <c r="AH39" s="31" t="str">
        <f>IFERROR(INDEX('G-7 Rivers Data'!$AZ$3:$AZ$7,MATCH(C39,'G-7 Rivers Data'!$AY$3:$AY$7,0)),"")</f>
        <v/>
      </c>
    </row>
    <row r="40" spans="2:34" ht="13.8" x14ac:dyDescent="0.25">
      <c r="B40" s="141">
        <v>29</v>
      </c>
      <c r="C40" s="171"/>
      <c r="D40" s="172"/>
      <c r="E40" s="498" t="str">
        <f>IF(C40="","",VLOOKUP(C40,'G-7 Rivers Data'!$B$2:$G$8,2,FALSE))</f>
        <v/>
      </c>
      <c r="F40" s="499" t="str">
        <f>IFERROR(VLOOKUP(E40,'G-7 Rivers Data'!$C$4:$D$8,2,FALSE),"")</f>
        <v/>
      </c>
      <c r="G40" s="145"/>
      <c r="H40" s="499" t="str">
        <f>IFERROR(INDEX('G-7 Rivers Data'!$H$4:$L$8,MATCH(C40,'G-7 Rivers Data'!$B$4:$B$8,0),MATCH(G40,'G-7 Rivers Data'!$H$3:$L$3,0)),"")</f>
        <v/>
      </c>
      <c r="I40" s="154"/>
      <c r="J40" s="507" t="str">
        <f>IF(I40="","",IF(VLOOKUP(I40,'G-7 Rivers Data'!$AG$4:$AI$9,2,FALSE)=0,"Spatial Data Missing ⚠",VLOOKUP(I40,'G-7 Rivers Data'!$AG$4:$AI$9,2,FALSE)))</f>
        <v/>
      </c>
      <c r="K40" s="499" t="str">
        <f>IF(I40="","",IF(VLOOKUP(I40,'G-7 Rivers Data'!$AG$4:$AI$9,3,FALSE)=0,"Spatial Data Missing ⚠",VLOOKUP(I40,'G-7 Rivers Data'!$AG$4:$AI$9,3,FALSE)))</f>
        <v/>
      </c>
      <c r="L40" s="498" t="str">
        <f>IFERROR(INDEX('G-7 Rivers Data'!$O$3:$O$7,MATCH(G40,'G-7 Rivers Data'!$N$3:$N$7,0)),"")</f>
        <v/>
      </c>
      <c r="M40" s="82"/>
      <c r="N40" s="195"/>
      <c r="O40" s="507" t="str">
        <f t="shared" si="1"/>
        <v/>
      </c>
      <c r="P40" s="521" t="str">
        <f t="shared" si="2"/>
        <v/>
      </c>
      <c r="Q40" s="564" t="str">
        <f>IFERROR(IF(P40="Check Data ⚠","Check Data ⚠",VLOOKUP(P40,'G-4 Temporal multipliers'!$A$4:$C$37,3,FALSE)),"")</f>
        <v/>
      </c>
      <c r="R40" s="498" t="str">
        <f>IF(C40="","",VLOOKUP(C40,'G-7 Rivers Data'!$B$4:$G$8,4,FALSE))</f>
        <v/>
      </c>
      <c r="S40" s="507" t="str">
        <f t="shared" si="3"/>
        <v/>
      </c>
      <c r="T40" s="540" t="str">
        <f t="shared" si="4"/>
        <v/>
      </c>
      <c r="U40" s="499" t="str">
        <f t="shared" si="5"/>
        <v/>
      </c>
      <c r="V40" s="71"/>
      <c r="W40" s="499" t="str">
        <f>IF(V40="","",IF(VLOOKUP(V40,'G-7 Rivers Data'!$AA$4:$AB$7,2,FALSE)=0,"Spatial Data Missing ⚠",VLOOKUP(V40,'G-7 Rivers Data'!$AA$4:$AB$7,2,FALSE)))</f>
        <v/>
      </c>
      <c r="X40" s="155"/>
      <c r="Y40" s="499" t="str">
        <f>IF(X40="","",IF(VLOOKUP(X40,'G-7 Rivers Data'!$AD$4:$AE$8,2,FALSE)=0,"Enrcoachment Data Missing ⚠",VLOOKUP(X40,'G-7 Rivers Data'!$AD$4:$AE$8,2,FALSE)))</f>
        <v/>
      </c>
      <c r="Z40" s="565" t="str">
        <f t="shared" si="6"/>
        <v/>
      </c>
      <c r="AA40" s="149"/>
      <c r="AB40" s="150"/>
      <c r="AH40" s="31" t="str">
        <f>IFERROR(INDEX('G-7 Rivers Data'!$AZ$3:$AZ$7,MATCH(C40,'G-7 Rivers Data'!$AY$3:$AY$7,0)),"")</f>
        <v/>
      </c>
    </row>
    <row r="41" spans="2:34" ht="13.8" x14ac:dyDescent="0.25">
      <c r="B41" s="141">
        <v>30</v>
      </c>
      <c r="C41" s="171"/>
      <c r="D41" s="172"/>
      <c r="E41" s="498" t="str">
        <f>IF(C41="","",VLOOKUP(C41,'G-7 Rivers Data'!$B$2:$G$8,2,FALSE))</f>
        <v/>
      </c>
      <c r="F41" s="499" t="str">
        <f>IFERROR(VLOOKUP(E41,'G-7 Rivers Data'!$C$4:$D$8,2,FALSE),"")</f>
        <v/>
      </c>
      <c r="G41" s="145"/>
      <c r="H41" s="499" t="str">
        <f>IFERROR(INDEX('G-7 Rivers Data'!$H$4:$L$8,MATCH(C41,'G-7 Rivers Data'!$B$4:$B$8,0),MATCH(G41,'G-7 Rivers Data'!$H$3:$L$3,0)),"")</f>
        <v/>
      </c>
      <c r="I41" s="154"/>
      <c r="J41" s="507" t="str">
        <f>IF(I41="","",IF(VLOOKUP(I41,'G-7 Rivers Data'!$AG$4:$AI$9,2,FALSE)=0,"Spatial Data Missing ⚠",VLOOKUP(I41,'G-7 Rivers Data'!$AG$4:$AI$9,2,FALSE)))</f>
        <v/>
      </c>
      <c r="K41" s="499" t="str">
        <f>IF(I41="","",IF(VLOOKUP(I41,'G-7 Rivers Data'!$AG$4:$AI$9,3,FALSE)=0,"Spatial Data Missing ⚠",VLOOKUP(I41,'G-7 Rivers Data'!$AG$4:$AI$9,3,FALSE)))</f>
        <v/>
      </c>
      <c r="L41" s="498" t="str">
        <f>IFERROR(INDEX('G-7 Rivers Data'!$O$3:$O$7,MATCH(G41,'G-7 Rivers Data'!$N$3:$N$7,0)),"")</f>
        <v/>
      </c>
      <c r="M41" s="82"/>
      <c r="N41" s="195"/>
      <c r="O41" s="507" t="str">
        <f t="shared" si="1"/>
        <v/>
      </c>
      <c r="P41" s="521" t="str">
        <f t="shared" si="2"/>
        <v/>
      </c>
      <c r="Q41" s="564" t="str">
        <f>IFERROR(IF(P41="Check Data ⚠","Check Data ⚠",VLOOKUP(P41,'G-4 Temporal multipliers'!$A$4:$C$37,3,FALSE)),"")</f>
        <v/>
      </c>
      <c r="R41" s="498" t="str">
        <f>IF(C41="","",VLOOKUP(C41,'G-7 Rivers Data'!$B$4:$G$8,4,FALSE))</f>
        <v/>
      </c>
      <c r="S41" s="507" t="str">
        <f t="shared" si="3"/>
        <v/>
      </c>
      <c r="T41" s="540" t="str">
        <f t="shared" si="4"/>
        <v/>
      </c>
      <c r="U41" s="499" t="str">
        <f t="shared" si="5"/>
        <v/>
      </c>
      <c r="V41" s="71"/>
      <c r="W41" s="499" t="str">
        <f>IF(V41="","",IF(VLOOKUP(V41,'G-7 Rivers Data'!$AA$4:$AB$7,2,FALSE)=0,"Spatial Data Missing ⚠",VLOOKUP(V41,'G-7 Rivers Data'!$AA$4:$AB$7,2,FALSE)))</f>
        <v/>
      </c>
      <c r="X41" s="155"/>
      <c r="Y41" s="499" t="str">
        <f>IF(X41="","",IF(VLOOKUP(X41,'G-7 Rivers Data'!$AD$4:$AE$8,2,FALSE)=0,"Enrcoachment Data Missing ⚠",VLOOKUP(X41,'G-7 Rivers Data'!$AD$4:$AE$8,2,FALSE)))</f>
        <v/>
      </c>
      <c r="Z41" s="565" t="str">
        <f t="shared" si="6"/>
        <v/>
      </c>
      <c r="AA41" s="149"/>
      <c r="AB41" s="150"/>
      <c r="AH41" s="31" t="str">
        <f>IFERROR(INDEX('G-7 Rivers Data'!$AZ$3:$AZ$7,MATCH(C41,'G-7 Rivers Data'!$AY$3:$AY$7,0)),"")</f>
        <v/>
      </c>
    </row>
    <row r="42" spans="2:34" ht="13.8" x14ac:dyDescent="0.25">
      <c r="B42" s="141">
        <v>31</v>
      </c>
      <c r="C42" s="171"/>
      <c r="D42" s="172"/>
      <c r="E42" s="498" t="str">
        <f>IF(C42="","",VLOOKUP(C42,'G-7 Rivers Data'!$B$2:$G$8,2,FALSE))</f>
        <v/>
      </c>
      <c r="F42" s="499" t="str">
        <f>IFERROR(VLOOKUP(E42,'G-7 Rivers Data'!$C$4:$D$8,2,FALSE),"")</f>
        <v/>
      </c>
      <c r="G42" s="145"/>
      <c r="H42" s="499" t="str">
        <f>IFERROR(INDEX('G-7 Rivers Data'!$H$4:$L$8,MATCH(C42,'G-7 Rivers Data'!$B$4:$B$8,0),MATCH(G42,'G-7 Rivers Data'!$H$3:$L$3,0)),"")</f>
        <v/>
      </c>
      <c r="I42" s="154"/>
      <c r="J42" s="507" t="str">
        <f>IF(I42="","",IF(VLOOKUP(I42,'G-7 Rivers Data'!$AG$4:$AI$9,2,FALSE)=0,"Spatial Data Missing ⚠",VLOOKUP(I42,'G-7 Rivers Data'!$AG$4:$AI$9,2,FALSE)))</f>
        <v/>
      </c>
      <c r="K42" s="499" t="str">
        <f>IF(I42="","",IF(VLOOKUP(I42,'G-7 Rivers Data'!$AG$4:$AI$9,3,FALSE)=0,"Spatial Data Missing ⚠",VLOOKUP(I42,'G-7 Rivers Data'!$AG$4:$AI$9,3,FALSE)))</f>
        <v/>
      </c>
      <c r="L42" s="498" t="str">
        <f>IFERROR(INDEX('G-7 Rivers Data'!$O$3:$O$7,MATCH(G42,'G-7 Rivers Data'!$N$3:$N$7,0)),"")</f>
        <v/>
      </c>
      <c r="M42" s="82"/>
      <c r="N42" s="195"/>
      <c r="O42" s="507" t="str">
        <f t="shared" si="1"/>
        <v/>
      </c>
      <c r="P42" s="521" t="str">
        <f t="shared" si="2"/>
        <v/>
      </c>
      <c r="Q42" s="564" t="str">
        <f>IFERROR(IF(P42="Check Data ⚠","Check Data ⚠",VLOOKUP(P42,'G-4 Temporal multipliers'!$A$4:$C$37,3,FALSE)),"")</f>
        <v/>
      </c>
      <c r="R42" s="498" t="str">
        <f>IF(C42="","",VLOOKUP(C42,'G-7 Rivers Data'!$B$4:$G$8,4,FALSE))</f>
        <v/>
      </c>
      <c r="S42" s="507" t="str">
        <f t="shared" si="3"/>
        <v/>
      </c>
      <c r="T42" s="540" t="str">
        <f t="shared" si="4"/>
        <v/>
      </c>
      <c r="U42" s="499" t="str">
        <f t="shared" si="5"/>
        <v/>
      </c>
      <c r="V42" s="71"/>
      <c r="W42" s="499" t="str">
        <f>IF(V42="","",IF(VLOOKUP(V42,'G-7 Rivers Data'!$AA$4:$AB$7,2,FALSE)=0,"Spatial Data Missing ⚠",VLOOKUP(V42,'G-7 Rivers Data'!$AA$4:$AB$7,2,FALSE)))</f>
        <v/>
      </c>
      <c r="X42" s="155"/>
      <c r="Y42" s="499" t="str">
        <f>IF(X42="","",IF(VLOOKUP(X42,'G-7 Rivers Data'!$AD$4:$AE$8,2,FALSE)=0,"Enrcoachment Data Missing ⚠",VLOOKUP(X42,'G-7 Rivers Data'!$AD$4:$AE$8,2,FALSE)))</f>
        <v/>
      </c>
      <c r="Z42" s="565" t="str">
        <f t="shared" si="6"/>
        <v/>
      </c>
      <c r="AA42" s="149"/>
      <c r="AB42" s="150"/>
      <c r="AH42" s="31" t="str">
        <f>IFERROR(INDEX('G-7 Rivers Data'!$AZ$3:$AZ$7,MATCH(C42,'G-7 Rivers Data'!$AY$3:$AY$7,0)),"")</f>
        <v/>
      </c>
    </row>
    <row r="43" spans="2:34" ht="13.8" x14ac:dyDescent="0.25">
      <c r="B43" s="141">
        <v>32</v>
      </c>
      <c r="C43" s="171"/>
      <c r="D43" s="172"/>
      <c r="E43" s="498" t="str">
        <f>IF(C43="","",VLOOKUP(C43,'G-7 Rivers Data'!$B$2:$G$8,2,FALSE))</f>
        <v/>
      </c>
      <c r="F43" s="499" t="str">
        <f>IFERROR(VLOOKUP(E43,'G-7 Rivers Data'!$C$4:$D$8,2,FALSE),"")</f>
        <v/>
      </c>
      <c r="G43" s="145"/>
      <c r="H43" s="499" t="str">
        <f>IFERROR(INDEX('G-7 Rivers Data'!$H$4:$L$8,MATCH(C43,'G-7 Rivers Data'!$B$4:$B$8,0),MATCH(G43,'G-7 Rivers Data'!$H$3:$L$3,0)),"")</f>
        <v/>
      </c>
      <c r="I43" s="154"/>
      <c r="J43" s="507" t="str">
        <f>IF(I43="","",IF(VLOOKUP(I43,'G-7 Rivers Data'!$AG$4:$AI$9,2,FALSE)=0,"Spatial Data Missing ⚠",VLOOKUP(I43,'G-7 Rivers Data'!$AG$4:$AI$9,2,FALSE)))</f>
        <v/>
      </c>
      <c r="K43" s="499" t="str">
        <f>IF(I43="","",IF(VLOOKUP(I43,'G-7 Rivers Data'!$AG$4:$AI$9,3,FALSE)=0,"Spatial Data Missing ⚠",VLOOKUP(I43,'G-7 Rivers Data'!$AG$4:$AI$9,3,FALSE)))</f>
        <v/>
      </c>
      <c r="L43" s="498" t="str">
        <f>IFERROR(INDEX('G-7 Rivers Data'!$O$3:$O$7,MATCH(G43,'G-7 Rivers Data'!$N$3:$N$7,0)),"")</f>
        <v/>
      </c>
      <c r="M43" s="82"/>
      <c r="N43" s="195"/>
      <c r="O43" s="507" t="str">
        <f t="shared" si="1"/>
        <v/>
      </c>
      <c r="P43" s="521" t="str">
        <f t="shared" si="2"/>
        <v/>
      </c>
      <c r="Q43" s="564" t="str">
        <f>IFERROR(IF(P43="Check Data ⚠","Check Data ⚠",VLOOKUP(P43,'G-4 Temporal multipliers'!$A$4:$C$37,3,FALSE)),"")</f>
        <v/>
      </c>
      <c r="R43" s="498" t="str">
        <f>IF(C43="","",VLOOKUP(C43,'G-7 Rivers Data'!$B$4:$G$8,4,FALSE))</f>
        <v/>
      </c>
      <c r="S43" s="507" t="str">
        <f t="shared" si="3"/>
        <v/>
      </c>
      <c r="T43" s="540" t="str">
        <f t="shared" si="4"/>
        <v/>
      </c>
      <c r="U43" s="499" t="str">
        <f t="shared" si="5"/>
        <v/>
      </c>
      <c r="V43" s="71"/>
      <c r="W43" s="499" t="str">
        <f>IF(V43="","",IF(VLOOKUP(V43,'G-7 Rivers Data'!$AA$4:$AB$7,2,FALSE)=0,"Spatial Data Missing ⚠",VLOOKUP(V43,'G-7 Rivers Data'!$AA$4:$AB$7,2,FALSE)))</f>
        <v/>
      </c>
      <c r="X43" s="155"/>
      <c r="Y43" s="499" t="str">
        <f>IF(X43="","",IF(VLOOKUP(X43,'G-7 Rivers Data'!$AD$4:$AE$8,2,FALSE)=0,"Enrcoachment Data Missing ⚠",VLOOKUP(X43,'G-7 Rivers Data'!$AD$4:$AE$8,2,FALSE)))</f>
        <v/>
      </c>
      <c r="Z43" s="565" t="str">
        <f t="shared" si="6"/>
        <v/>
      </c>
      <c r="AA43" s="149"/>
      <c r="AB43" s="150"/>
      <c r="AH43" s="31" t="str">
        <f>IFERROR(INDEX('G-7 Rivers Data'!$AZ$3:$AZ$7,MATCH(C43,'G-7 Rivers Data'!$AY$3:$AY$7,0)),"")</f>
        <v/>
      </c>
    </row>
    <row r="44" spans="2:34" ht="13.8" x14ac:dyDescent="0.25">
      <c r="B44" s="141">
        <v>33</v>
      </c>
      <c r="C44" s="171"/>
      <c r="D44" s="172"/>
      <c r="E44" s="498" t="str">
        <f>IF(C44="","",VLOOKUP(C44,'G-7 Rivers Data'!$B$2:$G$8,2,FALSE))</f>
        <v/>
      </c>
      <c r="F44" s="499" t="str">
        <f>IFERROR(VLOOKUP(E44,'G-7 Rivers Data'!$C$4:$D$8,2,FALSE),"")</f>
        <v/>
      </c>
      <c r="G44" s="145"/>
      <c r="H44" s="499" t="str">
        <f>IFERROR(INDEX('G-7 Rivers Data'!$H$4:$L$8,MATCH(C44,'G-7 Rivers Data'!$B$4:$B$8,0),MATCH(G44,'G-7 Rivers Data'!$H$3:$L$3,0)),"")</f>
        <v/>
      </c>
      <c r="I44" s="154"/>
      <c r="J44" s="507" t="str">
        <f>IF(I44="","",IF(VLOOKUP(I44,'G-7 Rivers Data'!$AG$4:$AI$9,2,FALSE)=0,"Spatial Data Missing ⚠",VLOOKUP(I44,'G-7 Rivers Data'!$AG$4:$AI$9,2,FALSE)))</f>
        <v/>
      </c>
      <c r="K44" s="499" t="str">
        <f>IF(I44="","",IF(VLOOKUP(I44,'G-7 Rivers Data'!$AG$4:$AI$9,3,FALSE)=0,"Spatial Data Missing ⚠",VLOOKUP(I44,'G-7 Rivers Data'!$AG$4:$AI$9,3,FALSE)))</f>
        <v/>
      </c>
      <c r="L44" s="498" t="str">
        <f>IFERROR(INDEX('G-7 Rivers Data'!$O$3:$O$7,MATCH(G44,'G-7 Rivers Data'!$N$3:$N$7,0)),"")</f>
        <v/>
      </c>
      <c r="M44" s="82"/>
      <c r="N44" s="195"/>
      <c r="O44" s="507" t="str">
        <f t="shared" si="1"/>
        <v/>
      </c>
      <c r="P44" s="521" t="str">
        <f t="shared" si="2"/>
        <v/>
      </c>
      <c r="Q44" s="564" t="str">
        <f>IFERROR(IF(P44="Check Data ⚠","Check Data ⚠",VLOOKUP(P44,'G-4 Temporal multipliers'!$A$4:$C$37,3,FALSE)),"")</f>
        <v/>
      </c>
      <c r="R44" s="498" t="str">
        <f>IF(C44="","",VLOOKUP(C44,'G-7 Rivers Data'!$B$4:$G$8,4,FALSE))</f>
        <v/>
      </c>
      <c r="S44" s="507" t="str">
        <f t="shared" si="3"/>
        <v/>
      </c>
      <c r="T44" s="540" t="str">
        <f t="shared" si="4"/>
        <v/>
      </c>
      <c r="U44" s="499" t="str">
        <f t="shared" si="5"/>
        <v/>
      </c>
      <c r="V44" s="71"/>
      <c r="W44" s="499" t="str">
        <f>IF(V44="","",IF(VLOOKUP(V44,'G-7 Rivers Data'!$AA$4:$AB$7,2,FALSE)=0,"Spatial Data Missing ⚠",VLOOKUP(V44,'G-7 Rivers Data'!$AA$4:$AB$7,2,FALSE)))</f>
        <v/>
      </c>
      <c r="X44" s="155"/>
      <c r="Y44" s="499" t="str">
        <f>IF(X44="","",IF(VLOOKUP(X44,'G-7 Rivers Data'!$AD$4:$AE$8,2,FALSE)=0,"Enrcoachment Data Missing ⚠",VLOOKUP(X44,'G-7 Rivers Data'!$AD$4:$AE$8,2,FALSE)))</f>
        <v/>
      </c>
      <c r="Z44" s="565" t="str">
        <f t="shared" si="6"/>
        <v/>
      </c>
      <c r="AA44" s="149"/>
      <c r="AB44" s="150"/>
      <c r="AH44" s="31" t="str">
        <f>IFERROR(INDEX('G-7 Rivers Data'!$AZ$3:$AZ$7,MATCH(C44,'G-7 Rivers Data'!$AY$3:$AY$7,0)),"")</f>
        <v/>
      </c>
    </row>
    <row r="45" spans="2:34" ht="13.8" x14ac:dyDescent="0.25">
      <c r="B45" s="141">
        <v>34</v>
      </c>
      <c r="C45" s="171"/>
      <c r="D45" s="172"/>
      <c r="E45" s="498" t="str">
        <f>IF(C45="","",VLOOKUP(C45,'G-7 Rivers Data'!$B$2:$G$8,2,FALSE))</f>
        <v/>
      </c>
      <c r="F45" s="499" t="str">
        <f>IFERROR(VLOOKUP(E45,'G-7 Rivers Data'!$C$4:$D$8,2,FALSE),"")</f>
        <v/>
      </c>
      <c r="G45" s="145"/>
      <c r="H45" s="499" t="str">
        <f>IFERROR(INDEX('G-7 Rivers Data'!$H$4:$L$8,MATCH(C45,'G-7 Rivers Data'!$B$4:$B$8,0),MATCH(G45,'G-7 Rivers Data'!$H$3:$L$3,0)),"")</f>
        <v/>
      </c>
      <c r="I45" s="154"/>
      <c r="J45" s="507" t="str">
        <f>IF(I45="","",IF(VLOOKUP(I45,'G-7 Rivers Data'!$AG$4:$AI$9,2,FALSE)=0,"Spatial Data Missing ⚠",VLOOKUP(I45,'G-7 Rivers Data'!$AG$4:$AI$9,2,FALSE)))</f>
        <v/>
      </c>
      <c r="K45" s="499" t="str">
        <f>IF(I45="","",IF(VLOOKUP(I45,'G-7 Rivers Data'!$AG$4:$AI$9,3,FALSE)=0,"Spatial Data Missing ⚠",VLOOKUP(I45,'G-7 Rivers Data'!$AG$4:$AI$9,3,FALSE)))</f>
        <v/>
      </c>
      <c r="L45" s="498" t="str">
        <f>IFERROR(INDEX('G-7 Rivers Data'!$O$3:$O$7,MATCH(G45,'G-7 Rivers Data'!$N$3:$N$7,0)),"")</f>
        <v/>
      </c>
      <c r="M45" s="82"/>
      <c r="N45" s="195"/>
      <c r="O45" s="507" t="str">
        <f t="shared" si="1"/>
        <v/>
      </c>
      <c r="P45" s="521" t="str">
        <f t="shared" si="2"/>
        <v/>
      </c>
      <c r="Q45" s="564" t="str">
        <f>IFERROR(IF(P45="Check Data ⚠","Check Data ⚠",VLOOKUP(P45,'G-4 Temporal multipliers'!$A$4:$C$37,3,FALSE)),"")</f>
        <v/>
      </c>
      <c r="R45" s="498" t="str">
        <f>IF(C45="","",VLOOKUP(C45,'G-7 Rivers Data'!$B$4:$G$8,4,FALSE))</f>
        <v/>
      </c>
      <c r="S45" s="507" t="str">
        <f t="shared" si="3"/>
        <v/>
      </c>
      <c r="T45" s="540" t="str">
        <f t="shared" si="4"/>
        <v/>
      </c>
      <c r="U45" s="499" t="str">
        <f t="shared" si="5"/>
        <v/>
      </c>
      <c r="V45" s="71"/>
      <c r="W45" s="499" t="str">
        <f>IF(V45="","",IF(VLOOKUP(V45,'G-7 Rivers Data'!$AA$4:$AB$7,2,FALSE)=0,"Spatial Data Missing ⚠",VLOOKUP(V45,'G-7 Rivers Data'!$AA$4:$AB$7,2,FALSE)))</f>
        <v/>
      </c>
      <c r="X45" s="155"/>
      <c r="Y45" s="499" t="str">
        <f>IF(X45="","",IF(VLOOKUP(X45,'G-7 Rivers Data'!$AD$4:$AE$8,2,FALSE)=0,"Enrcoachment Data Missing ⚠",VLOOKUP(X45,'G-7 Rivers Data'!$AD$4:$AE$8,2,FALSE)))</f>
        <v/>
      </c>
      <c r="Z45" s="565" t="str">
        <f t="shared" si="6"/>
        <v/>
      </c>
      <c r="AA45" s="149"/>
      <c r="AB45" s="150"/>
      <c r="AH45" s="31" t="str">
        <f>IFERROR(INDEX('G-7 Rivers Data'!$AZ$3:$AZ$7,MATCH(C45,'G-7 Rivers Data'!$AY$3:$AY$7,0)),"")</f>
        <v/>
      </c>
    </row>
    <row r="46" spans="2:34" ht="13.8" x14ac:dyDescent="0.25">
      <c r="B46" s="141">
        <v>35</v>
      </c>
      <c r="C46" s="171"/>
      <c r="D46" s="172"/>
      <c r="E46" s="498" t="str">
        <f>IF(C46="","",VLOOKUP(C46,'G-7 Rivers Data'!$B$2:$G$8,2,FALSE))</f>
        <v/>
      </c>
      <c r="F46" s="499" t="str">
        <f>IFERROR(VLOOKUP(E46,'G-7 Rivers Data'!$C$4:$D$8,2,FALSE),"")</f>
        <v/>
      </c>
      <c r="G46" s="145"/>
      <c r="H46" s="499" t="str">
        <f>IFERROR(INDEX('G-7 Rivers Data'!$H$4:$L$8,MATCH(C46,'G-7 Rivers Data'!$B$4:$B$8,0),MATCH(G46,'G-7 Rivers Data'!$H$3:$L$3,0)),"")</f>
        <v/>
      </c>
      <c r="I46" s="154"/>
      <c r="J46" s="507" t="str">
        <f>IF(I46="","",IF(VLOOKUP(I46,'G-7 Rivers Data'!$AG$4:$AI$9,2,FALSE)=0,"Spatial Data Missing ⚠",VLOOKUP(I46,'G-7 Rivers Data'!$AG$4:$AI$9,2,FALSE)))</f>
        <v/>
      </c>
      <c r="K46" s="499" t="str">
        <f>IF(I46="","",IF(VLOOKUP(I46,'G-7 Rivers Data'!$AG$4:$AI$9,3,FALSE)=0,"Spatial Data Missing ⚠",VLOOKUP(I46,'G-7 Rivers Data'!$AG$4:$AI$9,3,FALSE)))</f>
        <v/>
      </c>
      <c r="L46" s="498" t="str">
        <f>IFERROR(INDEX('G-7 Rivers Data'!$O$3:$O$7,MATCH(G46,'G-7 Rivers Data'!$N$3:$N$7,0)),"")</f>
        <v/>
      </c>
      <c r="M46" s="82"/>
      <c r="N46" s="195"/>
      <c r="O46" s="507" t="str">
        <f t="shared" si="1"/>
        <v/>
      </c>
      <c r="P46" s="521" t="str">
        <f t="shared" si="2"/>
        <v/>
      </c>
      <c r="Q46" s="564" t="str">
        <f>IFERROR(IF(P46="Check Data ⚠","Check Data ⚠",VLOOKUP(P46,'G-4 Temporal multipliers'!$A$4:$C$37,3,FALSE)),"")</f>
        <v/>
      </c>
      <c r="R46" s="498" t="str">
        <f>IF(C46="","",VLOOKUP(C46,'G-7 Rivers Data'!$B$4:$G$8,4,FALSE))</f>
        <v/>
      </c>
      <c r="S46" s="507" t="str">
        <f t="shared" si="3"/>
        <v/>
      </c>
      <c r="T46" s="540" t="str">
        <f t="shared" si="4"/>
        <v/>
      </c>
      <c r="U46" s="499" t="str">
        <f t="shared" si="5"/>
        <v/>
      </c>
      <c r="V46" s="71"/>
      <c r="W46" s="499" t="str">
        <f>IF(V46="","",IF(VLOOKUP(V46,'G-7 Rivers Data'!$AA$4:$AB$7,2,FALSE)=0,"Spatial Data Missing ⚠",VLOOKUP(V46,'G-7 Rivers Data'!$AA$4:$AB$7,2,FALSE)))</f>
        <v/>
      </c>
      <c r="X46" s="155"/>
      <c r="Y46" s="499" t="str">
        <f>IF(X46="","",IF(VLOOKUP(X46,'G-7 Rivers Data'!$AD$4:$AE$8,2,FALSE)=0,"Enrcoachment Data Missing ⚠",VLOOKUP(X46,'G-7 Rivers Data'!$AD$4:$AE$8,2,FALSE)))</f>
        <v/>
      </c>
      <c r="Z46" s="565" t="str">
        <f t="shared" si="6"/>
        <v/>
      </c>
      <c r="AA46" s="149"/>
      <c r="AB46" s="150"/>
      <c r="AH46" s="31" t="str">
        <f>IFERROR(INDEX('G-7 Rivers Data'!$AZ$3:$AZ$7,MATCH(C46,'G-7 Rivers Data'!$AY$3:$AY$7,0)),"")</f>
        <v/>
      </c>
    </row>
    <row r="47" spans="2:34" ht="13.8" x14ac:dyDescent="0.25">
      <c r="B47" s="141">
        <v>36</v>
      </c>
      <c r="C47" s="171"/>
      <c r="D47" s="172"/>
      <c r="E47" s="498" t="str">
        <f>IF(C47="","",VLOOKUP(C47,'G-7 Rivers Data'!$B$2:$G$8,2,FALSE))</f>
        <v/>
      </c>
      <c r="F47" s="499" t="str">
        <f>IFERROR(VLOOKUP(E47,'G-7 Rivers Data'!$C$4:$D$8,2,FALSE),"")</f>
        <v/>
      </c>
      <c r="G47" s="145"/>
      <c r="H47" s="499" t="str">
        <f>IFERROR(INDEX('G-7 Rivers Data'!$H$4:$L$8,MATCH(C47,'G-7 Rivers Data'!$B$4:$B$8,0),MATCH(G47,'G-7 Rivers Data'!$H$3:$L$3,0)),"")</f>
        <v/>
      </c>
      <c r="I47" s="154"/>
      <c r="J47" s="507" t="str">
        <f>IF(I47="","",IF(VLOOKUP(I47,'G-7 Rivers Data'!$AG$4:$AI$9,2,FALSE)=0,"Spatial Data Missing ⚠",VLOOKUP(I47,'G-7 Rivers Data'!$AG$4:$AI$9,2,FALSE)))</f>
        <v/>
      </c>
      <c r="K47" s="499" t="str">
        <f>IF(I47="","",IF(VLOOKUP(I47,'G-7 Rivers Data'!$AG$4:$AI$9,3,FALSE)=0,"Spatial Data Missing ⚠",VLOOKUP(I47,'G-7 Rivers Data'!$AG$4:$AI$9,3,FALSE)))</f>
        <v/>
      </c>
      <c r="L47" s="498" t="str">
        <f>IFERROR(INDEX('G-7 Rivers Data'!$O$3:$O$7,MATCH(G47,'G-7 Rivers Data'!$N$3:$N$7,0)),"")</f>
        <v/>
      </c>
      <c r="M47" s="82"/>
      <c r="N47" s="195"/>
      <c r="O47" s="507" t="str">
        <f t="shared" si="1"/>
        <v/>
      </c>
      <c r="P47" s="521" t="str">
        <f t="shared" si="2"/>
        <v/>
      </c>
      <c r="Q47" s="564" t="str">
        <f>IFERROR(IF(P47="Check Data ⚠","Check Data ⚠",VLOOKUP(P47,'G-4 Temporal multipliers'!$A$4:$C$37,3,FALSE)),"")</f>
        <v/>
      </c>
      <c r="R47" s="498" t="str">
        <f>IF(C47="","",VLOOKUP(C47,'G-7 Rivers Data'!$B$4:$G$8,4,FALSE))</f>
        <v/>
      </c>
      <c r="S47" s="507" t="str">
        <f t="shared" si="3"/>
        <v/>
      </c>
      <c r="T47" s="540" t="str">
        <f t="shared" si="4"/>
        <v/>
      </c>
      <c r="U47" s="499" t="str">
        <f t="shared" si="5"/>
        <v/>
      </c>
      <c r="V47" s="71"/>
      <c r="W47" s="499" t="str">
        <f>IF(V47="","",IF(VLOOKUP(V47,'G-7 Rivers Data'!$AA$4:$AB$7,2,FALSE)=0,"Spatial Data Missing ⚠",VLOOKUP(V47,'G-7 Rivers Data'!$AA$4:$AB$7,2,FALSE)))</f>
        <v/>
      </c>
      <c r="X47" s="155"/>
      <c r="Y47" s="499" t="str">
        <f>IF(X47="","",IF(VLOOKUP(X47,'G-7 Rivers Data'!$AD$4:$AE$8,2,FALSE)=0,"Enrcoachment Data Missing ⚠",VLOOKUP(X47,'G-7 Rivers Data'!$AD$4:$AE$8,2,FALSE)))</f>
        <v/>
      </c>
      <c r="Z47" s="565" t="str">
        <f t="shared" si="6"/>
        <v/>
      </c>
      <c r="AA47" s="149"/>
      <c r="AB47" s="150"/>
      <c r="AH47" s="31" t="str">
        <f>IFERROR(INDEX('G-7 Rivers Data'!$AZ$3:$AZ$7,MATCH(C47,'G-7 Rivers Data'!$AY$3:$AY$7,0)),"")</f>
        <v/>
      </c>
    </row>
    <row r="48" spans="2:34" ht="13.8" x14ac:dyDescent="0.25">
      <c r="B48" s="141">
        <v>37</v>
      </c>
      <c r="C48" s="171"/>
      <c r="D48" s="172"/>
      <c r="E48" s="498" t="str">
        <f>IF(C48="","",VLOOKUP(C48,'G-7 Rivers Data'!$B$2:$G$8,2,FALSE))</f>
        <v/>
      </c>
      <c r="F48" s="499" t="str">
        <f>IFERROR(VLOOKUP(E48,'G-7 Rivers Data'!$C$4:$D$8,2,FALSE),"")</f>
        <v/>
      </c>
      <c r="G48" s="145"/>
      <c r="H48" s="499" t="str">
        <f>IFERROR(INDEX('G-7 Rivers Data'!$H$4:$L$8,MATCH(C48,'G-7 Rivers Data'!$B$4:$B$8,0),MATCH(G48,'G-7 Rivers Data'!$H$3:$L$3,0)),"")</f>
        <v/>
      </c>
      <c r="I48" s="154"/>
      <c r="J48" s="507" t="str">
        <f>IF(I48="","",IF(VLOOKUP(I48,'G-7 Rivers Data'!$AG$4:$AI$9,2,FALSE)=0,"Spatial Data Missing ⚠",VLOOKUP(I48,'G-7 Rivers Data'!$AG$4:$AI$9,2,FALSE)))</f>
        <v/>
      </c>
      <c r="K48" s="499" t="str">
        <f>IF(I48="","",IF(VLOOKUP(I48,'G-7 Rivers Data'!$AG$4:$AI$9,3,FALSE)=0,"Spatial Data Missing ⚠",VLOOKUP(I48,'G-7 Rivers Data'!$AG$4:$AI$9,3,FALSE)))</f>
        <v/>
      </c>
      <c r="L48" s="498" t="str">
        <f>IFERROR(INDEX('G-7 Rivers Data'!$O$3:$O$7,MATCH(G48,'G-7 Rivers Data'!$N$3:$N$7,0)),"")</f>
        <v/>
      </c>
      <c r="M48" s="82"/>
      <c r="N48" s="195"/>
      <c r="O48" s="507" t="str">
        <f t="shared" si="1"/>
        <v/>
      </c>
      <c r="P48" s="521" t="str">
        <f t="shared" si="2"/>
        <v/>
      </c>
      <c r="Q48" s="564" t="str">
        <f>IFERROR(IF(P48="Check Data ⚠","Check Data ⚠",VLOOKUP(P48,'G-4 Temporal multipliers'!$A$4:$C$37,3,FALSE)),"")</f>
        <v/>
      </c>
      <c r="R48" s="498" t="str">
        <f>IF(C48="","",VLOOKUP(C48,'G-7 Rivers Data'!$B$4:$G$8,4,FALSE))</f>
        <v/>
      </c>
      <c r="S48" s="507" t="str">
        <f t="shared" si="3"/>
        <v/>
      </c>
      <c r="T48" s="540" t="str">
        <f t="shared" si="4"/>
        <v/>
      </c>
      <c r="U48" s="499" t="str">
        <f t="shared" si="5"/>
        <v/>
      </c>
      <c r="V48" s="71"/>
      <c r="W48" s="499" t="str">
        <f>IF(V48="","",IF(VLOOKUP(V48,'G-7 Rivers Data'!$AA$4:$AB$7,2,FALSE)=0,"Spatial Data Missing ⚠",VLOOKUP(V48,'G-7 Rivers Data'!$AA$4:$AB$7,2,FALSE)))</f>
        <v/>
      </c>
      <c r="X48" s="155"/>
      <c r="Y48" s="499" t="str">
        <f>IF(X48="","",IF(VLOOKUP(X48,'G-7 Rivers Data'!$AD$4:$AE$8,2,FALSE)=0,"Enrcoachment Data Missing ⚠",VLOOKUP(X48,'G-7 Rivers Data'!$AD$4:$AE$8,2,FALSE)))</f>
        <v/>
      </c>
      <c r="Z48" s="565" t="str">
        <f t="shared" si="6"/>
        <v/>
      </c>
      <c r="AA48" s="149"/>
      <c r="AB48" s="150"/>
      <c r="AH48" s="31" t="str">
        <f>IFERROR(INDEX('G-7 Rivers Data'!$AZ$3:$AZ$7,MATCH(C48,'G-7 Rivers Data'!$AY$3:$AY$7,0)),"")</f>
        <v/>
      </c>
    </row>
    <row r="49" spans="2:34" ht="13.8" x14ac:dyDescent="0.25">
      <c r="B49" s="141">
        <v>38</v>
      </c>
      <c r="C49" s="171"/>
      <c r="D49" s="172"/>
      <c r="E49" s="498" t="str">
        <f>IF(C49="","",VLOOKUP(C49,'G-7 Rivers Data'!$B$2:$G$8,2,FALSE))</f>
        <v/>
      </c>
      <c r="F49" s="499" t="str">
        <f>IFERROR(VLOOKUP(E49,'G-7 Rivers Data'!$C$4:$D$8,2,FALSE),"")</f>
        <v/>
      </c>
      <c r="G49" s="145"/>
      <c r="H49" s="499" t="str">
        <f>IFERROR(INDEX('G-7 Rivers Data'!$H$4:$L$8,MATCH(C49,'G-7 Rivers Data'!$B$4:$B$8,0),MATCH(G49,'G-7 Rivers Data'!$H$3:$L$3,0)),"")</f>
        <v/>
      </c>
      <c r="I49" s="154"/>
      <c r="J49" s="507" t="str">
        <f>IF(I49="","",IF(VLOOKUP(I49,'G-7 Rivers Data'!$AG$4:$AI$9,2,FALSE)=0,"Spatial Data Missing ⚠",VLOOKUP(I49,'G-7 Rivers Data'!$AG$4:$AI$9,2,FALSE)))</f>
        <v/>
      </c>
      <c r="K49" s="499" t="str">
        <f>IF(I49="","",IF(VLOOKUP(I49,'G-7 Rivers Data'!$AG$4:$AI$9,3,FALSE)=0,"Spatial Data Missing ⚠",VLOOKUP(I49,'G-7 Rivers Data'!$AG$4:$AI$9,3,FALSE)))</f>
        <v/>
      </c>
      <c r="L49" s="498" t="str">
        <f>IFERROR(INDEX('G-7 Rivers Data'!$O$3:$O$7,MATCH(G49,'G-7 Rivers Data'!$N$3:$N$7,0)),"")</f>
        <v/>
      </c>
      <c r="M49" s="82"/>
      <c r="N49" s="195"/>
      <c r="O49" s="507" t="str">
        <f t="shared" si="1"/>
        <v/>
      </c>
      <c r="P49" s="521" t="str">
        <f t="shared" si="2"/>
        <v/>
      </c>
      <c r="Q49" s="564" t="str">
        <f>IFERROR(IF(P49="Check Data ⚠","Check Data ⚠",VLOOKUP(P49,'G-4 Temporal multipliers'!$A$4:$C$37,3,FALSE)),"")</f>
        <v/>
      </c>
      <c r="R49" s="498" t="str">
        <f>IF(C49="","",VLOOKUP(C49,'G-7 Rivers Data'!$B$4:$G$8,4,FALSE))</f>
        <v/>
      </c>
      <c r="S49" s="507" t="str">
        <f t="shared" si="3"/>
        <v/>
      </c>
      <c r="T49" s="540" t="str">
        <f t="shared" si="4"/>
        <v/>
      </c>
      <c r="U49" s="499" t="str">
        <f t="shared" si="5"/>
        <v/>
      </c>
      <c r="V49" s="71"/>
      <c r="W49" s="499" t="str">
        <f>IF(V49="","",IF(VLOOKUP(V49,'G-7 Rivers Data'!$AA$4:$AB$7,2,FALSE)=0,"Spatial Data Missing ⚠",VLOOKUP(V49,'G-7 Rivers Data'!$AA$4:$AB$7,2,FALSE)))</f>
        <v/>
      </c>
      <c r="X49" s="155"/>
      <c r="Y49" s="499" t="str">
        <f>IF(X49="","",IF(VLOOKUP(X49,'G-7 Rivers Data'!$AD$4:$AE$8,2,FALSE)=0,"Enrcoachment Data Missing ⚠",VLOOKUP(X49,'G-7 Rivers Data'!$AD$4:$AE$8,2,FALSE)))</f>
        <v/>
      </c>
      <c r="Z49" s="565" t="str">
        <f t="shared" si="6"/>
        <v/>
      </c>
      <c r="AA49" s="149"/>
      <c r="AB49" s="150"/>
      <c r="AH49" s="31" t="str">
        <f>IFERROR(INDEX('G-7 Rivers Data'!$AZ$3:$AZ$7,MATCH(C49,'G-7 Rivers Data'!$AY$3:$AY$7,0)),"")</f>
        <v/>
      </c>
    </row>
    <row r="50" spans="2:34" ht="13.8" x14ac:dyDescent="0.25">
      <c r="B50" s="141">
        <v>39</v>
      </c>
      <c r="C50" s="171"/>
      <c r="D50" s="172"/>
      <c r="E50" s="498" t="str">
        <f>IF(C50="","",VLOOKUP(C50,'G-7 Rivers Data'!$B$2:$G$8,2,FALSE))</f>
        <v/>
      </c>
      <c r="F50" s="499" t="str">
        <f>IFERROR(VLOOKUP(E50,'G-7 Rivers Data'!$C$4:$D$8,2,FALSE),"")</f>
        <v/>
      </c>
      <c r="G50" s="145"/>
      <c r="H50" s="499" t="str">
        <f>IFERROR(INDEX('G-7 Rivers Data'!$H$4:$L$8,MATCH(C50,'G-7 Rivers Data'!$B$4:$B$8,0),MATCH(G50,'G-7 Rivers Data'!$H$3:$L$3,0)),"")</f>
        <v/>
      </c>
      <c r="I50" s="154"/>
      <c r="J50" s="507" t="str">
        <f>IF(I50="","",IF(VLOOKUP(I50,'G-7 Rivers Data'!$AG$4:$AI$9,2,FALSE)=0,"Spatial Data Missing ⚠",VLOOKUP(I50,'G-7 Rivers Data'!$AG$4:$AI$9,2,FALSE)))</f>
        <v/>
      </c>
      <c r="K50" s="499" t="str">
        <f>IF(I50="","",IF(VLOOKUP(I50,'G-7 Rivers Data'!$AG$4:$AI$9,3,FALSE)=0,"Spatial Data Missing ⚠",VLOOKUP(I50,'G-7 Rivers Data'!$AG$4:$AI$9,3,FALSE)))</f>
        <v/>
      </c>
      <c r="L50" s="498" t="str">
        <f>IFERROR(INDEX('G-7 Rivers Data'!$O$3:$O$7,MATCH(G50,'G-7 Rivers Data'!$N$3:$N$7,0)),"")</f>
        <v/>
      </c>
      <c r="M50" s="82"/>
      <c r="N50" s="195"/>
      <c r="O50" s="507" t="str">
        <f t="shared" si="1"/>
        <v/>
      </c>
      <c r="P50" s="521" t="str">
        <f t="shared" si="2"/>
        <v/>
      </c>
      <c r="Q50" s="564" t="str">
        <f>IFERROR(IF(P50="Check Data ⚠","Check Data ⚠",VLOOKUP(P50,'G-4 Temporal multipliers'!$A$4:$C$37,3,FALSE)),"")</f>
        <v/>
      </c>
      <c r="R50" s="498" t="str">
        <f>IF(C50="","",VLOOKUP(C50,'G-7 Rivers Data'!$B$4:$G$8,4,FALSE))</f>
        <v/>
      </c>
      <c r="S50" s="507" t="str">
        <f t="shared" si="3"/>
        <v/>
      </c>
      <c r="T50" s="540" t="str">
        <f t="shared" si="4"/>
        <v/>
      </c>
      <c r="U50" s="499" t="str">
        <f t="shared" si="5"/>
        <v/>
      </c>
      <c r="V50" s="71"/>
      <c r="W50" s="499" t="str">
        <f>IF(V50="","",IF(VLOOKUP(V50,'G-7 Rivers Data'!$AA$4:$AB$7,2,FALSE)=0,"Spatial Data Missing ⚠",VLOOKUP(V50,'G-7 Rivers Data'!$AA$4:$AB$7,2,FALSE)))</f>
        <v/>
      </c>
      <c r="X50" s="155"/>
      <c r="Y50" s="499" t="str">
        <f>IF(X50="","",IF(VLOOKUP(X50,'G-7 Rivers Data'!$AD$4:$AE$8,2,FALSE)=0,"Enrcoachment Data Missing ⚠",VLOOKUP(X50,'G-7 Rivers Data'!$AD$4:$AE$8,2,FALSE)))</f>
        <v/>
      </c>
      <c r="Z50" s="565" t="str">
        <f t="shared" si="6"/>
        <v/>
      </c>
      <c r="AA50" s="149"/>
      <c r="AB50" s="150"/>
      <c r="AH50" s="31" t="str">
        <f>IFERROR(INDEX('G-7 Rivers Data'!$AZ$3:$AZ$7,MATCH(C50,'G-7 Rivers Data'!$AY$3:$AY$7,0)),"")</f>
        <v/>
      </c>
    </row>
    <row r="51" spans="2:34" ht="13.8" x14ac:dyDescent="0.25">
      <c r="B51" s="141">
        <v>40</v>
      </c>
      <c r="C51" s="171"/>
      <c r="D51" s="172"/>
      <c r="E51" s="498" t="str">
        <f>IF(C51="","",VLOOKUP(C51,'G-7 Rivers Data'!$B$2:$G$8,2,FALSE))</f>
        <v/>
      </c>
      <c r="F51" s="499" t="str">
        <f>IFERROR(VLOOKUP(E51,'G-7 Rivers Data'!$C$4:$D$8,2,FALSE),"")</f>
        <v/>
      </c>
      <c r="G51" s="145"/>
      <c r="H51" s="499" t="str">
        <f>IFERROR(INDEX('G-7 Rivers Data'!$H$4:$L$8,MATCH(C51,'G-7 Rivers Data'!$B$4:$B$8,0),MATCH(G51,'G-7 Rivers Data'!$H$3:$L$3,0)),"")</f>
        <v/>
      </c>
      <c r="I51" s="154"/>
      <c r="J51" s="507" t="str">
        <f>IF(I51="","",IF(VLOOKUP(I51,'G-7 Rivers Data'!$AG$4:$AI$9,2,FALSE)=0,"Spatial Data Missing ⚠",VLOOKUP(I51,'G-7 Rivers Data'!$AG$4:$AI$9,2,FALSE)))</f>
        <v/>
      </c>
      <c r="K51" s="499" t="str">
        <f>IF(I51="","",IF(VLOOKUP(I51,'G-7 Rivers Data'!$AG$4:$AI$9,3,FALSE)=0,"Spatial Data Missing ⚠",VLOOKUP(I51,'G-7 Rivers Data'!$AG$4:$AI$9,3,FALSE)))</f>
        <v/>
      </c>
      <c r="L51" s="498" t="str">
        <f>IFERROR(INDEX('G-7 Rivers Data'!$O$3:$O$7,MATCH(G51,'G-7 Rivers Data'!$N$3:$N$7,0)),"")</f>
        <v/>
      </c>
      <c r="M51" s="82"/>
      <c r="N51" s="195"/>
      <c r="O51" s="507" t="str">
        <f t="shared" si="1"/>
        <v/>
      </c>
      <c r="P51" s="521" t="str">
        <f t="shared" si="2"/>
        <v/>
      </c>
      <c r="Q51" s="564" t="str">
        <f>IFERROR(IF(P51="Check Data ⚠","Check Data ⚠",VLOOKUP(P51,'G-4 Temporal multipliers'!$A$4:$C$37,3,FALSE)),"")</f>
        <v/>
      </c>
      <c r="R51" s="498" t="str">
        <f>IF(C51="","",VLOOKUP(C51,'G-7 Rivers Data'!$B$4:$G$8,4,FALSE))</f>
        <v/>
      </c>
      <c r="S51" s="507" t="str">
        <f t="shared" si="3"/>
        <v/>
      </c>
      <c r="T51" s="540" t="str">
        <f t="shared" si="4"/>
        <v/>
      </c>
      <c r="U51" s="499" t="str">
        <f t="shared" si="5"/>
        <v/>
      </c>
      <c r="V51" s="71"/>
      <c r="W51" s="499" t="str">
        <f>IF(V51="","",IF(VLOOKUP(V51,'G-7 Rivers Data'!$AA$4:$AB$7,2,FALSE)=0,"Spatial Data Missing ⚠",VLOOKUP(V51,'G-7 Rivers Data'!$AA$4:$AB$7,2,FALSE)))</f>
        <v/>
      </c>
      <c r="X51" s="155"/>
      <c r="Y51" s="499" t="str">
        <f>IF(X51="","",IF(VLOOKUP(X51,'G-7 Rivers Data'!$AD$4:$AE$8,2,FALSE)=0,"Enrcoachment Data Missing ⚠",VLOOKUP(X51,'G-7 Rivers Data'!$AD$4:$AE$8,2,FALSE)))</f>
        <v/>
      </c>
      <c r="Z51" s="565" t="str">
        <f t="shared" si="6"/>
        <v/>
      </c>
      <c r="AA51" s="149"/>
      <c r="AB51" s="150"/>
      <c r="AH51" s="31" t="str">
        <f>IFERROR(INDEX('G-7 Rivers Data'!$AZ$3:$AZ$7,MATCH(C51,'G-7 Rivers Data'!$AY$3:$AY$7,0)),"")</f>
        <v/>
      </c>
    </row>
    <row r="52" spans="2:34" ht="13.8" x14ac:dyDescent="0.25">
      <c r="B52" s="141">
        <v>41</v>
      </c>
      <c r="C52" s="171"/>
      <c r="D52" s="172"/>
      <c r="E52" s="498" t="str">
        <f>IF(C52="","",VLOOKUP(C52,'G-7 Rivers Data'!$B$2:$G$8,2,FALSE))</f>
        <v/>
      </c>
      <c r="F52" s="499" t="str">
        <f>IFERROR(VLOOKUP(E52,'G-7 Rivers Data'!$C$4:$D$8,2,FALSE),"")</f>
        <v/>
      </c>
      <c r="G52" s="145"/>
      <c r="H52" s="499" t="str">
        <f>IFERROR(INDEX('G-7 Rivers Data'!$H$4:$L$8,MATCH(C52,'G-7 Rivers Data'!$B$4:$B$8,0),MATCH(G52,'G-7 Rivers Data'!$H$3:$L$3,0)),"")</f>
        <v/>
      </c>
      <c r="I52" s="154"/>
      <c r="J52" s="507" t="str">
        <f>IF(I52="","",IF(VLOOKUP(I52,'G-7 Rivers Data'!$AG$4:$AI$9,2,FALSE)=0,"Spatial Data Missing ⚠",VLOOKUP(I52,'G-7 Rivers Data'!$AG$4:$AI$9,2,FALSE)))</f>
        <v/>
      </c>
      <c r="K52" s="499" t="str">
        <f>IF(I52="","",IF(VLOOKUP(I52,'G-7 Rivers Data'!$AG$4:$AI$9,3,FALSE)=0,"Spatial Data Missing ⚠",VLOOKUP(I52,'G-7 Rivers Data'!$AG$4:$AI$9,3,FALSE)))</f>
        <v/>
      </c>
      <c r="L52" s="498" t="str">
        <f>IFERROR(INDEX('G-7 Rivers Data'!$O$3:$O$7,MATCH(G52,'G-7 Rivers Data'!$N$3:$N$7,0)),"")</f>
        <v/>
      </c>
      <c r="M52" s="82"/>
      <c r="N52" s="195"/>
      <c r="O52" s="507" t="str">
        <f t="shared" si="1"/>
        <v/>
      </c>
      <c r="P52" s="521" t="str">
        <f t="shared" si="2"/>
        <v/>
      </c>
      <c r="Q52" s="564" t="str">
        <f>IFERROR(IF(P52="Check Data ⚠","Check Data ⚠",VLOOKUP(P52,'G-4 Temporal multipliers'!$A$4:$C$37,3,FALSE)),"")</f>
        <v/>
      </c>
      <c r="R52" s="498" t="str">
        <f>IF(C52="","",VLOOKUP(C52,'G-7 Rivers Data'!$B$4:$G$8,4,FALSE))</f>
        <v/>
      </c>
      <c r="S52" s="507" t="str">
        <f t="shared" si="3"/>
        <v/>
      </c>
      <c r="T52" s="540" t="str">
        <f t="shared" si="4"/>
        <v/>
      </c>
      <c r="U52" s="499" t="str">
        <f t="shared" si="5"/>
        <v/>
      </c>
      <c r="V52" s="71"/>
      <c r="W52" s="499" t="str">
        <f>IF(V52="","",IF(VLOOKUP(V52,'G-7 Rivers Data'!$AA$4:$AB$7,2,FALSE)=0,"Spatial Data Missing ⚠",VLOOKUP(V52,'G-7 Rivers Data'!$AA$4:$AB$7,2,FALSE)))</f>
        <v/>
      </c>
      <c r="X52" s="155"/>
      <c r="Y52" s="499" t="str">
        <f>IF(X52="","",IF(VLOOKUP(X52,'G-7 Rivers Data'!$AD$4:$AE$8,2,FALSE)=0,"Enrcoachment Data Missing ⚠",VLOOKUP(X52,'G-7 Rivers Data'!$AD$4:$AE$8,2,FALSE)))</f>
        <v/>
      </c>
      <c r="Z52" s="565" t="str">
        <f t="shared" si="6"/>
        <v/>
      </c>
      <c r="AA52" s="149"/>
      <c r="AB52" s="150"/>
      <c r="AH52" s="31" t="str">
        <f>IFERROR(INDEX('G-7 Rivers Data'!$AZ$3:$AZ$7,MATCH(C52,'G-7 Rivers Data'!$AY$3:$AY$7,0)),"")</f>
        <v/>
      </c>
    </row>
    <row r="53" spans="2:34" ht="13.8" x14ac:dyDescent="0.25">
      <c r="B53" s="141">
        <v>42</v>
      </c>
      <c r="C53" s="171"/>
      <c r="D53" s="172"/>
      <c r="E53" s="498" t="str">
        <f>IF(C53="","",VLOOKUP(C53,'G-7 Rivers Data'!$B$2:$G$8,2,FALSE))</f>
        <v/>
      </c>
      <c r="F53" s="499" t="str">
        <f>IFERROR(VLOOKUP(E53,'G-7 Rivers Data'!$C$4:$D$8,2,FALSE),"")</f>
        <v/>
      </c>
      <c r="G53" s="145"/>
      <c r="H53" s="499" t="str">
        <f>IFERROR(INDEX('G-7 Rivers Data'!$H$4:$L$8,MATCH(C53,'G-7 Rivers Data'!$B$4:$B$8,0),MATCH(G53,'G-7 Rivers Data'!$H$3:$L$3,0)),"")</f>
        <v/>
      </c>
      <c r="I53" s="154"/>
      <c r="J53" s="507" t="str">
        <f>IF(I53="","",IF(VLOOKUP(I53,'G-7 Rivers Data'!$AG$4:$AI$9,2,FALSE)=0,"Spatial Data Missing ⚠",VLOOKUP(I53,'G-7 Rivers Data'!$AG$4:$AI$9,2,FALSE)))</f>
        <v/>
      </c>
      <c r="K53" s="499" t="str">
        <f>IF(I53="","",IF(VLOOKUP(I53,'G-7 Rivers Data'!$AG$4:$AI$9,3,FALSE)=0,"Spatial Data Missing ⚠",VLOOKUP(I53,'G-7 Rivers Data'!$AG$4:$AI$9,3,FALSE)))</f>
        <v/>
      </c>
      <c r="L53" s="498" t="str">
        <f>IFERROR(INDEX('G-7 Rivers Data'!$O$3:$O$7,MATCH(G53,'G-7 Rivers Data'!$N$3:$N$7,0)),"")</f>
        <v/>
      </c>
      <c r="M53" s="82"/>
      <c r="N53" s="195"/>
      <c r="O53" s="507" t="str">
        <f t="shared" si="1"/>
        <v/>
      </c>
      <c r="P53" s="521" t="str">
        <f t="shared" si="2"/>
        <v/>
      </c>
      <c r="Q53" s="564" t="str">
        <f>IFERROR(IF(P53="Check Data ⚠","Check Data ⚠",VLOOKUP(P53,'G-4 Temporal multipliers'!$A$4:$C$37,3,FALSE)),"")</f>
        <v/>
      </c>
      <c r="R53" s="498" t="str">
        <f>IF(C53="","",VLOOKUP(C53,'G-7 Rivers Data'!$B$4:$G$8,4,FALSE))</f>
        <v/>
      </c>
      <c r="S53" s="507" t="str">
        <f t="shared" si="3"/>
        <v/>
      </c>
      <c r="T53" s="540" t="str">
        <f t="shared" si="4"/>
        <v/>
      </c>
      <c r="U53" s="499" t="str">
        <f t="shared" si="5"/>
        <v/>
      </c>
      <c r="V53" s="71"/>
      <c r="W53" s="499" t="str">
        <f>IF(V53="","",IF(VLOOKUP(V53,'G-7 Rivers Data'!$AA$4:$AB$7,2,FALSE)=0,"Spatial Data Missing ⚠",VLOOKUP(V53,'G-7 Rivers Data'!$AA$4:$AB$7,2,FALSE)))</f>
        <v/>
      </c>
      <c r="X53" s="155"/>
      <c r="Y53" s="499" t="str">
        <f>IF(X53="","",IF(VLOOKUP(X53,'G-7 Rivers Data'!$AD$4:$AE$8,2,FALSE)=0,"Enrcoachment Data Missing ⚠",VLOOKUP(X53,'G-7 Rivers Data'!$AD$4:$AE$8,2,FALSE)))</f>
        <v/>
      </c>
      <c r="Z53" s="565" t="str">
        <f t="shared" si="6"/>
        <v/>
      </c>
      <c r="AA53" s="149"/>
      <c r="AB53" s="150"/>
      <c r="AH53" s="31" t="str">
        <f>IFERROR(INDEX('G-7 Rivers Data'!$AZ$3:$AZ$7,MATCH(C53,'G-7 Rivers Data'!$AY$3:$AY$7,0)),"")</f>
        <v/>
      </c>
    </row>
    <row r="54" spans="2:34" ht="13.8" x14ac:dyDescent="0.25">
      <c r="B54" s="141">
        <v>43</v>
      </c>
      <c r="C54" s="171"/>
      <c r="D54" s="172"/>
      <c r="E54" s="498" t="str">
        <f>IF(C54="","",VLOOKUP(C54,'G-7 Rivers Data'!$B$2:$G$8,2,FALSE))</f>
        <v/>
      </c>
      <c r="F54" s="499" t="str">
        <f>IFERROR(VLOOKUP(E54,'G-7 Rivers Data'!$C$4:$D$8,2,FALSE),"")</f>
        <v/>
      </c>
      <c r="G54" s="145"/>
      <c r="H54" s="499" t="str">
        <f>IFERROR(INDEX('G-7 Rivers Data'!$H$4:$L$8,MATCH(C54,'G-7 Rivers Data'!$B$4:$B$8,0),MATCH(G54,'G-7 Rivers Data'!$H$3:$L$3,0)),"")</f>
        <v/>
      </c>
      <c r="I54" s="154"/>
      <c r="J54" s="507" t="str">
        <f>IF(I54="","",IF(VLOOKUP(I54,'G-7 Rivers Data'!$AG$4:$AI$9,2,FALSE)=0,"Spatial Data Missing ⚠",VLOOKUP(I54,'G-7 Rivers Data'!$AG$4:$AI$9,2,FALSE)))</f>
        <v/>
      </c>
      <c r="K54" s="499" t="str">
        <f>IF(I54="","",IF(VLOOKUP(I54,'G-7 Rivers Data'!$AG$4:$AI$9,3,FALSE)=0,"Spatial Data Missing ⚠",VLOOKUP(I54,'G-7 Rivers Data'!$AG$4:$AI$9,3,FALSE)))</f>
        <v/>
      </c>
      <c r="L54" s="498" t="str">
        <f>IFERROR(INDEX('G-7 Rivers Data'!$O$3:$O$7,MATCH(G54,'G-7 Rivers Data'!$N$3:$N$7,0)),"")</f>
        <v/>
      </c>
      <c r="M54" s="82"/>
      <c r="N54" s="195"/>
      <c r="O54" s="507" t="str">
        <f t="shared" si="1"/>
        <v/>
      </c>
      <c r="P54" s="521" t="str">
        <f t="shared" si="2"/>
        <v/>
      </c>
      <c r="Q54" s="564" t="str">
        <f>IFERROR(IF(P54="Check Data ⚠","Check Data ⚠",VLOOKUP(P54,'G-4 Temporal multipliers'!$A$4:$C$37,3,FALSE)),"")</f>
        <v/>
      </c>
      <c r="R54" s="498" t="str">
        <f>IF(C54="","",VLOOKUP(C54,'G-7 Rivers Data'!$B$4:$G$8,4,FALSE))</f>
        <v/>
      </c>
      <c r="S54" s="507" t="str">
        <f t="shared" si="3"/>
        <v/>
      </c>
      <c r="T54" s="540" t="str">
        <f t="shared" si="4"/>
        <v/>
      </c>
      <c r="U54" s="499" t="str">
        <f t="shared" si="5"/>
        <v/>
      </c>
      <c r="V54" s="71"/>
      <c r="W54" s="499" t="str">
        <f>IF(V54="","",IF(VLOOKUP(V54,'G-7 Rivers Data'!$AA$4:$AB$7,2,FALSE)=0,"Spatial Data Missing ⚠",VLOOKUP(V54,'G-7 Rivers Data'!$AA$4:$AB$7,2,FALSE)))</f>
        <v/>
      </c>
      <c r="X54" s="155"/>
      <c r="Y54" s="499" t="str">
        <f>IF(X54="","",IF(VLOOKUP(X54,'G-7 Rivers Data'!$AD$4:$AE$8,2,FALSE)=0,"Enrcoachment Data Missing ⚠",VLOOKUP(X54,'G-7 Rivers Data'!$AD$4:$AE$8,2,FALSE)))</f>
        <v/>
      </c>
      <c r="Z54" s="565" t="str">
        <f t="shared" si="6"/>
        <v/>
      </c>
      <c r="AA54" s="149"/>
      <c r="AB54" s="150"/>
      <c r="AH54" s="31" t="str">
        <f>IFERROR(INDEX('G-7 Rivers Data'!$AZ$3:$AZ$7,MATCH(C54,'G-7 Rivers Data'!$AY$3:$AY$7,0)),"")</f>
        <v/>
      </c>
    </row>
    <row r="55" spans="2:34" ht="13.8" x14ac:dyDescent="0.25">
      <c r="B55" s="141">
        <v>44</v>
      </c>
      <c r="C55" s="171"/>
      <c r="D55" s="172"/>
      <c r="E55" s="498" t="str">
        <f>IF(C55="","",VLOOKUP(C55,'G-7 Rivers Data'!$B$2:$G$8,2,FALSE))</f>
        <v/>
      </c>
      <c r="F55" s="499" t="str">
        <f>IFERROR(VLOOKUP(E55,'G-7 Rivers Data'!$C$4:$D$8,2,FALSE),"")</f>
        <v/>
      </c>
      <c r="G55" s="145"/>
      <c r="H55" s="499" t="str">
        <f>IFERROR(INDEX('G-7 Rivers Data'!$H$4:$L$8,MATCH(C55,'G-7 Rivers Data'!$B$4:$B$8,0),MATCH(G55,'G-7 Rivers Data'!$H$3:$L$3,0)),"")</f>
        <v/>
      </c>
      <c r="I55" s="154"/>
      <c r="J55" s="507" t="str">
        <f>IF(I55="","",IF(VLOOKUP(I55,'G-7 Rivers Data'!$AG$4:$AI$9,2,FALSE)=0,"Spatial Data Missing ⚠",VLOOKUP(I55,'G-7 Rivers Data'!$AG$4:$AI$9,2,FALSE)))</f>
        <v/>
      </c>
      <c r="K55" s="499" t="str">
        <f>IF(I55="","",IF(VLOOKUP(I55,'G-7 Rivers Data'!$AG$4:$AI$9,3,FALSE)=0,"Spatial Data Missing ⚠",VLOOKUP(I55,'G-7 Rivers Data'!$AG$4:$AI$9,3,FALSE)))</f>
        <v/>
      </c>
      <c r="L55" s="498" t="str">
        <f>IFERROR(INDEX('G-7 Rivers Data'!$O$3:$O$7,MATCH(G55,'G-7 Rivers Data'!$N$3:$N$7,0)),"")</f>
        <v/>
      </c>
      <c r="M55" s="82"/>
      <c r="N55" s="195"/>
      <c r="O55" s="507" t="str">
        <f t="shared" si="1"/>
        <v/>
      </c>
      <c r="P55" s="521" t="str">
        <f t="shared" si="2"/>
        <v/>
      </c>
      <c r="Q55" s="564" t="str">
        <f>IFERROR(IF(P55="Check Data ⚠","Check Data ⚠",VLOOKUP(P55,'G-4 Temporal multipliers'!$A$4:$C$37,3,FALSE)),"")</f>
        <v/>
      </c>
      <c r="R55" s="498" t="str">
        <f>IF(C55="","",VLOOKUP(C55,'G-7 Rivers Data'!$B$4:$G$8,4,FALSE))</f>
        <v/>
      </c>
      <c r="S55" s="507" t="str">
        <f t="shared" si="3"/>
        <v/>
      </c>
      <c r="T55" s="540" t="str">
        <f t="shared" si="4"/>
        <v/>
      </c>
      <c r="U55" s="499" t="str">
        <f t="shared" si="5"/>
        <v/>
      </c>
      <c r="V55" s="71"/>
      <c r="W55" s="499" t="str">
        <f>IF(V55="","",IF(VLOOKUP(V55,'G-7 Rivers Data'!$AA$4:$AB$7,2,FALSE)=0,"Spatial Data Missing ⚠",VLOOKUP(V55,'G-7 Rivers Data'!$AA$4:$AB$7,2,FALSE)))</f>
        <v/>
      </c>
      <c r="X55" s="155"/>
      <c r="Y55" s="499" t="str">
        <f>IF(X55="","",IF(VLOOKUP(X55,'G-7 Rivers Data'!$AD$4:$AE$8,2,FALSE)=0,"Enrcoachment Data Missing ⚠",VLOOKUP(X55,'G-7 Rivers Data'!$AD$4:$AE$8,2,FALSE)))</f>
        <v/>
      </c>
      <c r="Z55" s="565" t="str">
        <f t="shared" si="6"/>
        <v/>
      </c>
      <c r="AA55" s="149"/>
      <c r="AB55" s="150"/>
      <c r="AH55" s="31" t="str">
        <f>IFERROR(INDEX('G-7 Rivers Data'!$AZ$3:$AZ$7,MATCH(C55,'G-7 Rivers Data'!$AY$3:$AY$7,0)),"")</f>
        <v/>
      </c>
    </row>
    <row r="56" spans="2:34" ht="13.8" x14ac:dyDescent="0.25">
      <c r="B56" s="141">
        <v>45</v>
      </c>
      <c r="C56" s="171"/>
      <c r="D56" s="172"/>
      <c r="E56" s="498" t="str">
        <f>IF(C56="","",VLOOKUP(C56,'G-7 Rivers Data'!$B$2:$G$8,2,FALSE))</f>
        <v/>
      </c>
      <c r="F56" s="499" t="str">
        <f>IFERROR(VLOOKUP(E56,'G-7 Rivers Data'!$C$4:$D$8,2,FALSE),"")</f>
        <v/>
      </c>
      <c r="G56" s="145"/>
      <c r="H56" s="499" t="str">
        <f>IFERROR(INDEX('G-7 Rivers Data'!$H$4:$L$8,MATCH(C56,'G-7 Rivers Data'!$B$4:$B$8,0),MATCH(G56,'G-7 Rivers Data'!$H$3:$L$3,0)),"")</f>
        <v/>
      </c>
      <c r="I56" s="154"/>
      <c r="J56" s="507" t="str">
        <f>IF(I56="","",IF(VLOOKUP(I56,'G-7 Rivers Data'!$AG$4:$AI$9,2,FALSE)=0,"Spatial Data Missing ⚠",VLOOKUP(I56,'G-7 Rivers Data'!$AG$4:$AI$9,2,FALSE)))</f>
        <v/>
      </c>
      <c r="K56" s="499" t="str">
        <f>IF(I56="","",IF(VLOOKUP(I56,'G-7 Rivers Data'!$AG$4:$AI$9,3,FALSE)=0,"Spatial Data Missing ⚠",VLOOKUP(I56,'G-7 Rivers Data'!$AG$4:$AI$9,3,FALSE)))</f>
        <v/>
      </c>
      <c r="L56" s="498" t="str">
        <f>IFERROR(INDEX('G-7 Rivers Data'!$O$3:$O$7,MATCH(G56,'G-7 Rivers Data'!$N$3:$N$7,0)),"")</f>
        <v/>
      </c>
      <c r="M56" s="82"/>
      <c r="N56" s="195"/>
      <c r="O56" s="507" t="str">
        <f t="shared" si="1"/>
        <v/>
      </c>
      <c r="P56" s="521" t="str">
        <f t="shared" si="2"/>
        <v/>
      </c>
      <c r="Q56" s="564" t="str">
        <f>IFERROR(IF(P56="Check Data ⚠","Check Data ⚠",VLOOKUP(P56,'G-4 Temporal multipliers'!$A$4:$C$37,3,FALSE)),"")</f>
        <v/>
      </c>
      <c r="R56" s="498" t="str">
        <f>IF(C56="","",VLOOKUP(C56,'G-7 Rivers Data'!$B$4:$G$8,4,FALSE))</f>
        <v/>
      </c>
      <c r="S56" s="507" t="str">
        <f t="shared" si="3"/>
        <v/>
      </c>
      <c r="T56" s="540" t="str">
        <f t="shared" si="4"/>
        <v/>
      </c>
      <c r="U56" s="499" t="str">
        <f t="shared" si="5"/>
        <v/>
      </c>
      <c r="V56" s="71"/>
      <c r="W56" s="499" t="str">
        <f>IF(V56="","",IF(VLOOKUP(V56,'G-7 Rivers Data'!$AA$4:$AB$7,2,FALSE)=0,"Spatial Data Missing ⚠",VLOOKUP(V56,'G-7 Rivers Data'!$AA$4:$AB$7,2,FALSE)))</f>
        <v/>
      </c>
      <c r="X56" s="155"/>
      <c r="Y56" s="499" t="str">
        <f>IF(X56="","",IF(VLOOKUP(X56,'G-7 Rivers Data'!$AD$4:$AE$8,2,FALSE)=0,"Enrcoachment Data Missing ⚠",VLOOKUP(X56,'G-7 Rivers Data'!$AD$4:$AE$8,2,FALSE)))</f>
        <v/>
      </c>
      <c r="Z56" s="565" t="str">
        <f t="shared" si="6"/>
        <v/>
      </c>
      <c r="AA56" s="149"/>
      <c r="AB56" s="150"/>
      <c r="AH56" s="31" t="str">
        <f>IFERROR(INDEX('G-7 Rivers Data'!$AZ$3:$AZ$7,MATCH(C56,'G-7 Rivers Data'!$AY$3:$AY$7,0)),"")</f>
        <v/>
      </c>
    </row>
    <row r="57" spans="2:34" ht="13.8" x14ac:dyDescent="0.25">
      <c r="B57" s="141">
        <v>46</v>
      </c>
      <c r="C57" s="171"/>
      <c r="D57" s="172"/>
      <c r="E57" s="498" t="str">
        <f>IF(C57="","",VLOOKUP(C57,'G-7 Rivers Data'!$B$2:$G$8,2,FALSE))</f>
        <v/>
      </c>
      <c r="F57" s="499" t="str">
        <f>IFERROR(VLOOKUP(E57,'G-7 Rivers Data'!$C$4:$D$8,2,FALSE),"")</f>
        <v/>
      </c>
      <c r="G57" s="145"/>
      <c r="H57" s="499" t="str">
        <f>IFERROR(INDEX('G-7 Rivers Data'!$H$4:$L$8,MATCH(C57,'G-7 Rivers Data'!$B$4:$B$8,0),MATCH(G57,'G-7 Rivers Data'!$H$3:$L$3,0)),"")</f>
        <v/>
      </c>
      <c r="I57" s="154"/>
      <c r="J57" s="507" t="str">
        <f>IF(I57="","",IF(VLOOKUP(I57,'G-7 Rivers Data'!$AG$4:$AI$9,2,FALSE)=0,"Spatial Data Missing ⚠",VLOOKUP(I57,'G-7 Rivers Data'!$AG$4:$AI$9,2,FALSE)))</f>
        <v/>
      </c>
      <c r="K57" s="499" t="str">
        <f>IF(I57="","",IF(VLOOKUP(I57,'G-7 Rivers Data'!$AG$4:$AI$9,3,FALSE)=0,"Spatial Data Missing ⚠",VLOOKUP(I57,'G-7 Rivers Data'!$AG$4:$AI$9,3,FALSE)))</f>
        <v/>
      </c>
      <c r="L57" s="498" t="str">
        <f>IFERROR(INDEX('G-7 Rivers Data'!$O$3:$O$7,MATCH(G57,'G-7 Rivers Data'!$N$3:$N$7,0)),"")</f>
        <v/>
      </c>
      <c r="M57" s="82"/>
      <c r="N57" s="195"/>
      <c r="O57" s="507" t="str">
        <f t="shared" si="1"/>
        <v/>
      </c>
      <c r="P57" s="521" t="str">
        <f t="shared" si="2"/>
        <v/>
      </c>
      <c r="Q57" s="564" t="str">
        <f>IFERROR(IF(P57="Check Data ⚠","Check Data ⚠",VLOOKUP(P57,'G-4 Temporal multipliers'!$A$4:$C$37,3,FALSE)),"")</f>
        <v/>
      </c>
      <c r="R57" s="498" t="str">
        <f>IF(C57="","",VLOOKUP(C57,'G-7 Rivers Data'!$B$4:$G$8,4,FALSE))</f>
        <v/>
      </c>
      <c r="S57" s="507" t="str">
        <f t="shared" si="3"/>
        <v/>
      </c>
      <c r="T57" s="540" t="str">
        <f t="shared" si="4"/>
        <v/>
      </c>
      <c r="U57" s="499" t="str">
        <f t="shared" si="5"/>
        <v/>
      </c>
      <c r="V57" s="71"/>
      <c r="W57" s="499" t="str">
        <f>IF(V57="","",IF(VLOOKUP(V57,'G-7 Rivers Data'!$AA$4:$AB$7,2,FALSE)=0,"Spatial Data Missing ⚠",VLOOKUP(V57,'G-7 Rivers Data'!$AA$4:$AB$7,2,FALSE)))</f>
        <v/>
      </c>
      <c r="X57" s="155"/>
      <c r="Y57" s="499" t="str">
        <f>IF(X57="","",IF(VLOOKUP(X57,'G-7 Rivers Data'!$AD$4:$AE$8,2,FALSE)=0,"Enrcoachment Data Missing ⚠",VLOOKUP(X57,'G-7 Rivers Data'!$AD$4:$AE$8,2,FALSE)))</f>
        <v/>
      </c>
      <c r="Z57" s="565" t="str">
        <f t="shared" si="6"/>
        <v/>
      </c>
      <c r="AA57" s="149"/>
      <c r="AB57" s="150"/>
      <c r="AH57" s="31" t="str">
        <f>IFERROR(INDEX('G-7 Rivers Data'!$AZ$3:$AZ$7,MATCH(C57,'G-7 Rivers Data'!$AY$3:$AY$7,0)),"")</f>
        <v/>
      </c>
    </row>
    <row r="58" spans="2:34" ht="13.8" x14ac:dyDescent="0.25">
      <c r="B58" s="141">
        <v>47</v>
      </c>
      <c r="C58" s="171"/>
      <c r="D58" s="172"/>
      <c r="E58" s="498" t="str">
        <f>IF(C58="","",VLOOKUP(C58,'G-7 Rivers Data'!$B$2:$G$8,2,FALSE))</f>
        <v/>
      </c>
      <c r="F58" s="499" t="str">
        <f>IFERROR(VLOOKUP(E58,'G-7 Rivers Data'!$C$4:$D$8,2,FALSE),"")</f>
        <v/>
      </c>
      <c r="G58" s="145"/>
      <c r="H58" s="499" t="str">
        <f>IFERROR(INDEX('G-7 Rivers Data'!$H$4:$L$8,MATCH(C58,'G-7 Rivers Data'!$B$4:$B$8,0),MATCH(G58,'G-7 Rivers Data'!$H$3:$L$3,0)),"")</f>
        <v/>
      </c>
      <c r="I58" s="154"/>
      <c r="J58" s="507" t="str">
        <f>IF(I58="","",IF(VLOOKUP(I58,'G-7 Rivers Data'!$AG$4:$AI$9,2,FALSE)=0,"Spatial Data Missing ⚠",VLOOKUP(I58,'G-7 Rivers Data'!$AG$4:$AI$9,2,FALSE)))</f>
        <v/>
      </c>
      <c r="K58" s="499" t="str">
        <f>IF(I58="","",IF(VLOOKUP(I58,'G-7 Rivers Data'!$AG$4:$AI$9,3,FALSE)=0,"Spatial Data Missing ⚠",VLOOKUP(I58,'G-7 Rivers Data'!$AG$4:$AI$9,3,FALSE)))</f>
        <v/>
      </c>
      <c r="L58" s="498" t="str">
        <f>IFERROR(INDEX('G-7 Rivers Data'!$O$3:$O$7,MATCH(G58,'G-7 Rivers Data'!$N$3:$N$7,0)),"")</f>
        <v/>
      </c>
      <c r="M58" s="82"/>
      <c r="N58" s="195"/>
      <c r="O58" s="507" t="str">
        <f t="shared" si="1"/>
        <v/>
      </c>
      <c r="P58" s="521" t="str">
        <f t="shared" si="2"/>
        <v/>
      </c>
      <c r="Q58" s="564" t="str">
        <f>IFERROR(IF(P58="Check Data ⚠","Check Data ⚠",VLOOKUP(P58,'G-4 Temporal multipliers'!$A$4:$C$37,3,FALSE)),"")</f>
        <v/>
      </c>
      <c r="R58" s="498" t="str">
        <f>IF(C58="","",VLOOKUP(C58,'G-7 Rivers Data'!$B$4:$G$8,4,FALSE))</f>
        <v/>
      </c>
      <c r="S58" s="507" t="str">
        <f t="shared" si="3"/>
        <v/>
      </c>
      <c r="T58" s="540" t="str">
        <f t="shared" si="4"/>
        <v/>
      </c>
      <c r="U58" s="499" t="str">
        <f t="shared" si="5"/>
        <v/>
      </c>
      <c r="V58" s="71"/>
      <c r="W58" s="499" t="str">
        <f>IF(V58="","",IF(VLOOKUP(V58,'G-7 Rivers Data'!$AA$4:$AB$7,2,FALSE)=0,"Spatial Data Missing ⚠",VLOOKUP(V58,'G-7 Rivers Data'!$AA$4:$AB$7,2,FALSE)))</f>
        <v/>
      </c>
      <c r="X58" s="155"/>
      <c r="Y58" s="499" t="str">
        <f>IF(X58="","",IF(VLOOKUP(X58,'G-7 Rivers Data'!$AD$4:$AE$8,2,FALSE)=0,"Enrcoachment Data Missing ⚠",VLOOKUP(X58,'G-7 Rivers Data'!$AD$4:$AE$8,2,FALSE)))</f>
        <v/>
      </c>
      <c r="Z58" s="565" t="str">
        <f t="shared" si="6"/>
        <v/>
      </c>
      <c r="AA58" s="149"/>
      <c r="AB58" s="150"/>
      <c r="AH58" s="31" t="str">
        <f>IFERROR(INDEX('G-7 Rivers Data'!$AZ$3:$AZ$7,MATCH(C58,'G-7 Rivers Data'!$AY$3:$AY$7,0)),"")</f>
        <v/>
      </c>
    </row>
    <row r="59" spans="2:34" ht="13.8" x14ac:dyDescent="0.25">
      <c r="B59" s="141">
        <v>48</v>
      </c>
      <c r="C59" s="171"/>
      <c r="D59" s="172"/>
      <c r="E59" s="498" t="str">
        <f>IF(C59="","",VLOOKUP(C59,'G-7 Rivers Data'!$B$2:$G$8,2,FALSE))</f>
        <v/>
      </c>
      <c r="F59" s="499" t="str">
        <f>IFERROR(VLOOKUP(E59,'G-7 Rivers Data'!$C$4:$D$8,2,FALSE),"")</f>
        <v/>
      </c>
      <c r="G59" s="145"/>
      <c r="H59" s="499" t="str">
        <f>IFERROR(INDEX('G-7 Rivers Data'!$H$4:$L$8,MATCH(C59,'G-7 Rivers Data'!$B$4:$B$8,0),MATCH(G59,'G-7 Rivers Data'!$H$3:$L$3,0)),"")</f>
        <v/>
      </c>
      <c r="I59" s="154"/>
      <c r="J59" s="507" t="str">
        <f>IF(I59="","",IF(VLOOKUP(I59,'G-7 Rivers Data'!$AG$4:$AI$9,2,FALSE)=0,"Spatial Data Missing ⚠",VLOOKUP(I59,'G-7 Rivers Data'!$AG$4:$AI$9,2,FALSE)))</f>
        <v/>
      </c>
      <c r="K59" s="499" t="str">
        <f>IF(I59="","",IF(VLOOKUP(I59,'G-7 Rivers Data'!$AG$4:$AI$9,3,FALSE)=0,"Spatial Data Missing ⚠",VLOOKUP(I59,'G-7 Rivers Data'!$AG$4:$AI$9,3,FALSE)))</f>
        <v/>
      </c>
      <c r="L59" s="498" t="str">
        <f>IFERROR(INDEX('G-7 Rivers Data'!$O$3:$O$7,MATCH(G59,'G-7 Rivers Data'!$N$3:$N$7,0)),"")</f>
        <v/>
      </c>
      <c r="M59" s="82"/>
      <c r="N59" s="195"/>
      <c r="O59" s="507" t="str">
        <f t="shared" si="1"/>
        <v/>
      </c>
      <c r="P59" s="521" t="str">
        <f t="shared" si="2"/>
        <v/>
      </c>
      <c r="Q59" s="564" t="str">
        <f>IFERROR(IF(P59="Check Data ⚠","Check Data ⚠",VLOOKUP(P59,'G-4 Temporal multipliers'!$A$4:$C$37,3,FALSE)),"")</f>
        <v/>
      </c>
      <c r="R59" s="498" t="str">
        <f>IF(C59="","",VLOOKUP(C59,'G-7 Rivers Data'!$B$4:$G$8,4,FALSE))</f>
        <v/>
      </c>
      <c r="S59" s="507" t="str">
        <f t="shared" si="3"/>
        <v/>
      </c>
      <c r="T59" s="540" t="str">
        <f t="shared" si="4"/>
        <v/>
      </c>
      <c r="U59" s="499" t="str">
        <f t="shared" si="5"/>
        <v/>
      </c>
      <c r="V59" s="71"/>
      <c r="W59" s="499" t="str">
        <f>IF(V59="","",IF(VLOOKUP(V59,'G-7 Rivers Data'!$AA$4:$AB$7,2,FALSE)=0,"Spatial Data Missing ⚠",VLOOKUP(V59,'G-7 Rivers Data'!$AA$4:$AB$7,2,FALSE)))</f>
        <v/>
      </c>
      <c r="X59" s="155"/>
      <c r="Y59" s="499" t="str">
        <f>IF(X59="","",IF(VLOOKUP(X59,'G-7 Rivers Data'!$AD$4:$AE$8,2,FALSE)=0,"Enrcoachment Data Missing ⚠",VLOOKUP(X59,'G-7 Rivers Data'!$AD$4:$AE$8,2,FALSE)))</f>
        <v/>
      </c>
      <c r="Z59" s="565" t="str">
        <f t="shared" si="6"/>
        <v/>
      </c>
      <c r="AA59" s="149"/>
      <c r="AB59" s="150"/>
      <c r="AH59" s="31" t="str">
        <f>IFERROR(INDEX('G-7 Rivers Data'!$AZ$3:$AZ$7,MATCH(C59,'G-7 Rivers Data'!$AY$3:$AY$7,0)),"")</f>
        <v/>
      </c>
    </row>
    <row r="60" spans="2:34" ht="13.8" x14ac:dyDescent="0.25">
      <c r="B60" s="141">
        <v>49</v>
      </c>
      <c r="C60" s="171"/>
      <c r="D60" s="172"/>
      <c r="E60" s="498" t="str">
        <f>IF(C60="","",VLOOKUP(C60,'G-7 Rivers Data'!$B$2:$G$8,2,FALSE))</f>
        <v/>
      </c>
      <c r="F60" s="499" t="str">
        <f>IFERROR(VLOOKUP(E60,'G-7 Rivers Data'!$C$4:$D$8,2,FALSE),"")</f>
        <v/>
      </c>
      <c r="G60" s="145"/>
      <c r="H60" s="499" t="str">
        <f>IFERROR(INDEX('G-7 Rivers Data'!$H$4:$L$8,MATCH(C60,'G-7 Rivers Data'!$B$4:$B$8,0),MATCH(G60,'G-7 Rivers Data'!$H$3:$L$3,0)),"")</f>
        <v/>
      </c>
      <c r="I60" s="154"/>
      <c r="J60" s="507" t="str">
        <f>IF(I60="","",IF(VLOOKUP(I60,'G-7 Rivers Data'!$AG$4:$AI$9,2,FALSE)=0,"Spatial Data Missing ⚠",VLOOKUP(I60,'G-7 Rivers Data'!$AG$4:$AI$9,2,FALSE)))</f>
        <v/>
      </c>
      <c r="K60" s="499" t="str">
        <f>IF(I60="","",IF(VLOOKUP(I60,'G-7 Rivers Data'!$AG$4:$AI$9,3,FALSE)=0,"Spatial Data Missing ⚠",VLOOKUP(I60,'G-7 Rivers Data'!$AG$4:$AI$9,3,FALSE)))</f>
        <v/>
      </c>
      <c r="L60" s="498" t="str">
        <f>IFERROR(INDEX('G-7 Rivers Data'!$O$3:$O$7,MATCH(G60,'G-7 Rivers Data'!$N$3:$N$7,0)),"")</f>
        <v/>
      </c>
      <c r="M60" s="82"/>
      <c r="N60" s="195"/>
      <c r="O60" s="507" t="str">
        <f t="shared" si="1"/>
        <v/>
      </c>
      <c r="P60" s="521" t="str">
        <f t="shared" si="2"/>
        <v/>
      </c>
      <c r="Q60" s="564" t="str">
        <f>IFERROR(IF(P60="Check Data ⚠","Check Data ⚠",VLOOKUP(P60,'G-4 Temporal multipliers'!$A$4:$C$37,3,FALSE)),"")</f>
        <v/>
      </c>
      <c r="R60" s="498" t="str">
        <f>IF(C60="","",VLOOKUP(C60,'G-7 Rivers Data'!$B$4:$G$8,4,FALSE))</f>
        <v/>
      </c>
      <c r="S60" s="507" t="str">
        <f t="shared" si="3"/>
        <v/>
      </c>
      <c r="T60" s="540" t="str">
        <f t="shared" si="4"/>
        <v/>
      </c>
      <c r="U60" s="499" t="str">
        <f t="shared" si="5"/>
        <v/>
      </c>
      <c r="V60" s="71"/>
      <c r="W60" s="499" t="str">
        <f>IF(V60="","",IF(VLOOKUP(V60,'G-7 Rivers Data'!$AA$4:$AB$7,2,FALSE)=0,"Spatial Data Missing ⚠",VLOOKUP(V60,'G-7 Rivers Data'!$AA$4:$AB$7,2,FALSE)))</f>
        <v/>
      </c>
      <c r="X60" s="155"/>
      <c r="Y60" s="499" t="str">
        <f>IF(X60="","",IF(VLOOKUP(X60,'G-7 Rivers Data'!$AD$4:$AE$8,2,FALSE)=0,"Enrcoachment Data Missing ⚠",VLOOKUP(X60,'G-7 Rivers Data'!$AD$4:$AE$8,2,FALSE)))</f>
        <v/>
      </c>
      <c r="Z60" s="565" t="str">
        <f t="shared" si="6"/>
        <v/>
      </c>
      <c r="AA60" s="149"/>
      <c r="AB60" s="150"/>
      <c r="AH60" s="31" t="str">
        <f>IFERROR(INDEX('G-7 Rivers Data'!$AZ$3:$AZ$7,MATCH(C60,'G-7 Rivers Data'!$AY$3:$AY$7,0)),"")</f>
        <v/>
      </c>
    </row>
    <row r="61" spans="2:34" ht="13.8" x14ac:dyDescent="0.25">
      <c r="B61" s="141">
        <v>50</v>
      </c>
      <c r="C61" s="171"/>
      <c r="D61" s="172"/>
      <c r="E61" s="498" t="str">
        <f>IF(C61="","",VLOOKUP(C61,'G-7 Rivers Data'!$B$2:$G$8,2,FALSE))</f>
        <v/>
      </c>
      <c r="F61" s="499" t="str">
        <f>IFERROR(VLOOKUP(E61,'G-7 Rivers Data'!$C$4:$D$8,2,FALSE),"")</f>
        <v/>
      </c>
      <c r="G61" s="145"/>
      <c r="H61" s="499" t="str">
        <f>IFERROR(INDEX('G-7 Rivers Data'!$H$4:$L$8,MATCH(C61,'G-7 Rivers Data'!$B$4:$B$8,0),MATCH(G61,'G-7 Rivers Data'!$H$3:$L$3,0)),"")</f>
        <v/>
      </c>
      <c r="I61" s="154"/>
      <c r="J61" s="507" t="str">
        <f>IF(I61="","",IF(VLOOKUP(I61,'G-7 Rivers Data'!$AG$4:$AI$9,2,FALSE)=0,"Spatial Data Missing ⚠",VLOOKUP(I61,'G-7 Rivers Data'!$AG$4:$AI$9,2,FALSE)))</f>
        <v/>
      </c>
      <c r="K61" s="499" t="str">
        <f>IF(I61="","",IF(VLOOKUP(I61,'G-7 Rivers Data'!$AG$4:$AI$9,3,FALSE)=0,"Spatial Data Missing ⚠",VLOOKUP(I61,'G-7 Rivers Data'!$AG$4:$AI$9,3,FALSE)))</f>
        <v/>
      </c>
      <c r="L61" s="498" t="str">
        <f>IFERROR(INDEX('G-7 Rivers Data'!$O$3:$O$7,MATCH(G61,'G-7 Rivers Data'!$N$3:$N$7,0)),"")</f>
        <v/>
      </c>
      <c r="M61" s="82"/>
      <c r="N61" s="195"/>
      <c r="O61" s="507" t="str">
        <f t="shared" si="1"/>
        <v/>
      </c>
      <c r="P61" s="521" t="str">
        <f t="shared" si="2"/>
        <v/>
      </c>
      <c r="Q61" s="564" t="str">
        <f>IFERROR(IF(P61="Check Data ⚠","Check Data ⚠",VLOOKUP(P61,'G-4 Temporal multipliers'!$A$4:$C$37,3,FALSE)),"")</f>
        <v/>
      </c>
      <c r="R61" s="498" t="str">
        <f>IF(C61="","",VLOOKUP(C61,'G-7 Rivers Data'!$B$4:$G$8,4,FALSE))</f>
        <v/>
      </c>
      <c r="S61" s="507" t="str">
        <f t="shared" si="3"/>
        <v/>
      </c>
      <c r="T61" s="540" t="str">
        <f t="shared" si="4"/>
        <v/>
      </c>
      <c r="U61" s="499" t="str">
        <f t="shared" si="5"/>
        <v/>
      </c>
      <c r="V61" s="71"/>
      <c r="W61" s="499" t="str">
        <f>IF(V61="","",IF(VLOOKUP(V61,'G-7 Rivers Data'!$AA$4:$AB$7,2,FALSE)=0,"Spatial Data Missing ⚠",VLOOKUP(V61,'G-7 Rivers Data'!$AA$4:$AB$7,2,FALSE)))</f>
        <v/>
      </c>
      <c r="X61" s="155"/>
      <c r="Y61" s="499" t="str">
        <f>IF(X61="","",IF(VLOOKUP(X61,'G-7 Rivers Data'!$AD$4:$AE$8,2,FALSE)=0,"Enrcoachment Data Missing ⚠",VLOOKUP(X61,'G-7 Rivers Data'!$AD$4:$AE$8,2,FALSE)))</f>
        <v/>
      </c>
      <c r="Z61" s="565" t="str">
        <f t="shared" si="6"/>
        <v/>
      </c>
      <c r="AA61" s="149"/>
      <c r="AB61" s="150"/>
      <c r="AH61" s="31" t="str">
        <f>IFERROR(INDEX('G-7 Rivers Data'!$AZ$3:$AZ$7,MATCH(C61,'G-7 Rivers Data'!$AY$3:$AY$7,0)),"")</f>
        <v/>
      </c>
    </row>
    <row r="62" spans="2:34" ht="13.8" x14ac:dyDescent="0.25">
      <c r="B62" s="141">
        <v>51</v>
      </c>
      <c r="C62" s="171"/>
      <c r="D62" s="172"/>
      <c r="E62" s="498" t="str">
        <f>IF(C62="","",VLOOKUP(C62,'G-7 Rivers Data'!$B$2:$G$8,2,FALSE))</f>
        <v/>
      </c>
      <c r="F62" s="499" t="str">
        <f>IFERROR(VLOOKUP(E62,'G-7 Rivers Data'!$C$4:$D$8,2,FALSE),"")</f>
        <v/>
      </c>
      <c r="G62" s="145"/>
      <c r="H62" s="499" t="str">
        <f>IFERROR(INDEX('G-7 Rivers Data'!$H$4:$L$8,MATCH(C62,'G-7 Rivers Data'!$B$4:$B$8,0),MATCH(G62,'G-7 Rivers Data'!$H$3:$L$3,0)),"")</f>
        <v/>
      </c>
      <c r="I62" s="154"/>
      <c r="J62" s="507" t="str">
        <f>IF(I62="","",IF(VLOOKUP(I62,'G-7 Rivers Data'!$AG$4:$AI$9,2,FALSE)=0,"Spatial Data Missing ⚠",VLOOKUP(I62,'G-7 Rivers Data'!$AG$4:$AI$9,2,FALSE)))</f>
        <v/>
      </c>
      <c r="K62" s="499" t="str">
        <f>IF(I62="","",IF(VLOOKUP(I62,'G-7 Rivers Data'!$AG$4:$AI$9,3,FALSE)=0,"Spatial Data Missing ⚠",VLOOKUP(I62,'G-7 Rivers Data'!$AG$4:$AI$9,3,FALSE)))</f>
        <v/>
      </c>
      <c r="L62" s="498" t="str">
        <f>IFERROR(INDEX('G-7 Rivers Data'!$O$3:$O$7,MATCH(G62,'G-7 Rivers Data'!$N$3:$N$7,0)),"")</f>
        <v/>
      </c>
      <c r="M62" s="82"/>
      <c r="N62" s="195"/>
      <c r="O62" s="507" t="str">
        <f t="shared" si="1"/>
        <v/>
      </c>
      <c r="P62" s="521" t="str">
        <f t="shared" si="2"/>
        <v/>
      </c>
      <c r="Q62" s="564" t="str">
        <f>IFERROR(IF(P62="Check Data ⚠","Check Data ⚠",VLOOKUP(P62,'G-4 Temporal multipliers'!$A$4:$C$37,3,FALSE)),"")</f>
        <v/>
      </c>
      <c r="R62" s="498" t="str">
        <f>IF(C62="","",VLOOKUP(C62,'G-7 Rivers Data'!$B$4:$G$8,4,FALSE))</f>
        <v/>
      </c>
      <c r="S62" s="507" t="str">
        <f t="shared" si="3"/>
        <v/>
      </c>
      <c r="T62" s="540" t="str">
        <f t="shared" si="4"/>
        <v/>
      </c>
      <c r="U62" s="499" t="str">
        <f t="shared" si="5"/>
        <v/>
      </c>
      <c r="V62" s="71"/>
      <c r="W62" s="499" t="str">
        <f>IF(V62="","",IF(VLOOKUP(V62,'G-7 Rivers Data'!$AA$4:$AB$7,2,FALSE)=0,"Spatial Data Missing ⚠",VLOOKUP(V62,'G-7 Rivers Data'!$AA$4:$AB$7,2,FALSE)))</f>
        <v/>
      </c>
      <c r="X62" s="155"/>
      <c r="Y62" s="499" t="str">
        <f>IF(X62="","",IF(VLOOKUP(X62,'G-7 Rivers Data'!$AD$4:$AE$8,2,FALSE)=0,"Enrcoachment Data Missing ⚠",VLOOKUP(X62,'G-7 Rivers Data'!$AD$4:$AE$8,2,FALSE)))</f>
        <v/>
      </c>
      <c r="Z62" s="565" t="str">
        <f t="shared" si="6"/>
        <v/>
      </c>
      <c r="AA62" s="149"/>
      <c r="AB62" s="150"/>
      <c r="AH62" s="31" t="str">
        <f>IFERROR(INDEX('G-7 Rivers Data'!$AZ$3:$AZ$7,MATCH(C62,'G-7 Rivers Data'!$AY$3:$AY$7,0)),"")</f>
        <v/>
      </c>
    </row>
    <row r="63" spans="2:34" ht="13.8" x14ac:dyDescent="0.25">
      <c r="B63" s="141">
        <v>52</v>
      </c>
      <c r="C63" s="171"/>
      <c r="D63" s="172"/>
      <c r="E63" s="498" t="str">
        <f>IF(C63="","",VLOOKUP(C63,'G-7 Rivers Data'!$B$2:$G$8,2,FALSE))</f>
        <v/>
      </c>
      <c r="F63" s="499" t="str">
        <f>IFERROR(VLOOKUP(E63,'G-7 Rivers Data'!$C$4:$D$8,2,FALSE),"")</f>
        <v/>
      </c>
      <c r="G63" s="145"/>
      <c r="H63" s="499" t="str">
        <f>IFERROR(INDEX('G-7 Rivers Data'!$H$4:$L$8,MATCH(C63,'G-7 Rivers Data'!$B$4:$B$8,0),MATCH(G63,'G-7 Rivers Data'!$H$3:$L$3,0)),"")</f>
        <v/>
      </c>
      <c r="I63" s="154"/>
      <c r="J63" s="507" t="str">
        <f>IF(I63="","",IF(VLOOKUP(I63,'G-7 Rivers Data'!$AG$4:$AI$9,2,FALSE)=0,"Spatial Data Missing ⚠",VLOOKUP(I63,'G-7 Rivers Data'!$AG$4:$AI$9,2,FALSE)))</f>
        <v/>
      </c>
      <c r="K63" s="499" t="str">
        <f>IF(I63="","",IF(VLOOKUP(I63,'G-7 Rivers Data'!$AG$4:$AI$9,3,FALSE)=0,"Spatial Data Missing ⚠",VLOOKUP(I63,'G-7 Rivers Data'!$AG$4:$AI$9,3,FALSE)))</f>
        <v/>
      </c>
      <c r="L63" s="498" t="str">
        <f>IFERROR(INDEX('G-7 Rivers Data'!$O$3:$O$7,MATCH(G63,'G-7 Rivers Data'!$N$3:$N$7,0)),"")</f>
        <v/>
      </c>
      <c r="M63" s="82"/>
      <c r="N63" s="195"/>
      <c r="O63" s="507" t="str">
        <f t="shared" si="1"/>
        <v/>
      </c>
      <c r="P63" s="521" t="str">
        <f t="shared" si="2"/>
        <v/>
      </c>
      <c r="Q63" s="564" t="str">
        <f>IFERROR(IF(P63="Check Data ⚠","Check Data ⚠",VLOOKUP(P63,'G-4 Temporal multipliers'!$A$4:$C$37,3,FALSE)),"")</f>
        <v/>
      </c>
      <c r="R63" s="498" t="str">
        <f>IF(C63="","",VLOOKUP(C63,'G-7 Rivers Data'!$B$4:$G$8,4,FALSE))</f>
        <v/>
      </c>
      <c r="S63" s="507" t="str">
        <f t="shared" si="3"/>
        <v/>
      </c>
      <c r="T63" s="540" t="str">
        <f t="shared" si="4"/>
        <v/>
      </c>
      <c r="U63" s="499" t="str">
        <f t="shared" si="5"/>
        <v/>
      </c>
      <c r="V63" s="71"/>
      <c r="W63" s="499" t="str">
        <f>IF(V63="","",IF(VLOOKUP(V63,'G-7 Rivers Data'!$AA$4:$AB$7,2,FALSE)=0,"Spatial Data Missing ⚠",VLOOKUP(V63,'G-7 Rivers Data'!$AA$4:$AB$7,2,FALSE)))</f>
        <v/>
      </c>
      <c r="X63" s="155"/>
      <c r="Y63" s="499" t="str">
        <f>IF(X63="","",IF(VLOOKUP(X63,'G-7 Rivers Data'!$AD$4:$AE$8,2,FALSE)=0,"Enrcoachment Data Missing ⚠",VLOOKUP(X63,'G-7 Rivers Data'!$AD$4:$AE$8,2,FALSE)))</f>
        <v/>
      </c>
      <c r="Z63" s="565" t="str">
        <f t="shared" si="6"/>
        <v/>
      </c>
      <c r="AA63" s="149"/>
      <c r="AB63" s="150"/>
      <c r="AH63" s="31" t="str">
        <f>IFERROR(INDEX('G-7 Rivers Data'!$AZ$3:$AZ$7,MATCH(C63,'G-7 Rivers Data'!$AY$3:$AY$7,0)),"")</f>
        <v/>
      </c>
    </row>
    <row r="64" spans="2:34" ht="13.8" x14ac:dyDescent="0.25">
      <c r="B64" s="141">
        <v>53</v>
      </c>
      <c r="C64" s="171"/>
      <c r="D64" s="172"/>
      <c r="E64" s="498" t="str">
        <f>IF(C64="","",VLOOKUP(C64,'G-7 Rivers Data'!$B$2:$G$8,2,FALSE))</f>
        <v/>
      </c>
      <c r="F64" s="499" t="str">
        <f>IFERROR(VLOOKUP(E64,'G-7 Rivers Data'!$C$4:$D$8,2,FALSE),"")</f>
        <v/>
      </c>
      <c r="G64" s="145"/>
      <c r="H64" s="499" t="str">
        <f>IFERROR(INDEX('G-7 Rivers Data'!$H$4:$L$8,MATCH(C64,'G-7 Rivers Data'!$B$4:$B$8,0),MATCH(G64,'G-7 Rivers Data'!$H$3:$L$3,0)),"")</f>
        <v/>
      </c>
      <c r="I64" s="154"/>
      <c r="J64" s="507" t="str">
        <f>IF(I64="","",IF(VLOOKUP(I64,'G-7 Rivers Data'!$AG$4:$AI$9,2,FALSE)=0,"Spatial Data Missing ⚠",VLOOKUP(I64,'G-7 Rivers Data'!$AG$4:$AI$9,2,FALSE)))</f>
        <v/>
      </c>
      <c r="K64" s="499" t="str">
        <f>IF(I64="","",IF(VLOOKUP(I64,'G-7 Rivers Data'!$AG$4:$AI$9,3,FALSE)=0,"Spatial Data Missing ⚠",VLOOKUP(I64,'G-7 Rivers Data'!$AG$4:$AI$9,3,FALSE)))</f>
        <v/>
      </c>
      <c r="L64" s="498" t="str">
        <f>IFERROR(INDEX('G-7 Rivers Data'!$O$3:$O$7,MATCH(G64,'G-7 Rivers Data'!$N$3:$N$7,0)),"")</f>
        <v/>
      </c>
      <c r="M64" s="82"/>
      <c r="N64" s="195"/>
      <c r="O64" s="507" t="str">
        <f t="shared" si="1"/>
        <v/>
      </c>
      <c r="P64" s="521" t="str">
        <f t="shared" si="2"/>
        <v/>
      </c>
      <c r="Q64" s="564" t="str">
        <f>IFERROR(IF(P64="Check Data ⚠","Check Data ⚠",VLOOKUP(P64,'G-4 Temporal multipliers'!$A$4:$C$37,3,FALSE)),"")</f>
        <v/>
      </c>
      <c r="R64" s="498" t="str">
        <f>IF(C64="","",VLOOKUP(C64,'G-7 Rivers Data'!$B$4:$G$8,4,FALSE))</f>
        <v/>
      </c>
      <c r="S64" s="507" t="str">
        <f t="shared" si="3"/>
        <v/>
      </c>
      <c r="T64" s="540" t="str">
        <f t="shared" si="4"/>
        <v/>
      </c>
      <c r="U64" s="499" t="str">
        <f t="shared" si="5"/>
        <v/>
      </c>
      <c r="V64" s="71"/>
      <c r="W64" s="499" t="str">
        <f>IF(V64="","",IF(VLOOKUP(V64,'G-7 Rivers Data'!$AA$4:$AB$7,2,FALSE)=0,"Spatial Data Missing ⚠",VLOOKUP(V64,'G-7 Rivers Data'!$AA$4:$AB$7,2,FALSE)))</f>
        <v/>
      </c>
      <c r="X64" s="155"/>
      <c r="Y64" s="499" t="str">
        <f>IF(X64="","",IF(VLOOKUP(X64,'G-7 Rivers Data'!$AD$4:$AE$8,2,FALSE)=0,"Enrcoachment Data Missing ⚠",VLOOKUP(X64,'G-7 Rivers Data'!$AD$4:$AE$8,2,FALSE)))</f>
        <v/>
      </c>
      <c r="Z64" s="565" t="str">
        <f t="shared" si="6"/>
        <v/>
      </c>
      <c r="AA64" s="149"/>
      <c r="AB64" s="150"/>
      <c r="AH64" s="31" t="str">
        <f>IFERROR(INDEX('G-7 Rivers Data'!$AZ$3:$AZ$7,MATCH(C64,'G-7 Rivers Data'!$AY$3:$AY$7,0)),"")</f>
        <v/>
      </c>
    </row>
    <row r="65" spans="2:34" ht="13.8" x14ac:dyDescent="0.25">
      <c r="B65" s="141">
        <v>54</v>
      </c>
      <c r="C65" s="171"/>
      <c r="D65" s="172"/>
      <c r="E65" s="498" t="str">
        <f>IF(C65="","",VLOOKUP(C65,'G-7 Rivers Data'!$B$2:$G$8,2,FALSE))</f>
        <v/>
      </c>
      <c r="F65" s="499" t="str">
        <f>IFERROR(VLOOKUP(E65,'G-7 Rivers Data'!$C$4:$D$8,2,FALSE),"")</f>
        <v/>
      </c>
      <c r="G65" s="145"/>
      <c r="H65" s="499" t="str">
        <f>IFERROR(INDEX('G-7 Rivers Data'!$H$4:$L$8,MATCH(C65,'G-7 Rivers Data'!$B$4:$B$8,0),MATCH(G65,'G-7 Rivers Data'!$H$3:$L$3,0)),"")</f>
        <v/>
      </c>
      <c r="I65" s="154"/>
      <c r="J65" s="507" t="str">
        <f>IF(I65="","",IF(VLOOKUP(I65,'G-7 Rivers Data'!$AG$4:$AI$9,2,FALSE)=0,"Spatial Data Missing ⚠",VLOOKUP(I65,'G-7 Rivers Data'!$AG$4:$AI$9,2,FALSE)))</f>
        <v/>
      </c>
      <c r="K65" s="499" t="str">
        <f>IF(I65="","",IF(VLOOKUP(I65,'G-7 Rivers Data'!$AG$4:$AI$9,3,FALSE)=0,"Spatial Data Missing ⚠",VLOOKUP(I65,'G-7 Rivers Data'!$AG$4:$AI$9,3,FALSE)))</f>
        <v/>
      </c>
      <c r="L65" s="498" t="str">
        <f>IFERROR(INDEX('G-7 Rivers Data'!$O$3:$O$7,MATCH(G65,'G-7 Rivers Data'!$N$3:$N$7,0)),"")</f>
        <v/>
      </c>
      <c r="M65" s="82"/>
      <c r="N65" s="195"/>
      <c r="O65" s="507" t="str">
        <f t="shared" si="1"/>
        <v/>
      </c>
      <c r="P65" s="521" t="str">
        <f t="shared" si="2"/>
        <v/>
      </c>
      <c r="Q65" s="564" t="str">
        <f>IFERROR(IF(P65="Check Data ⚠","Check Data ⚠",VLOOKUP(P65,'G-4 Temporal multipliers'!$A$4:$C$37,3,FALSE)),"")</f>
        <v/>
      </c>
      <c r="R65" s="498" t="str">
        <f>IF(C65="","",VLOOKUP(C65,'G-7 Rivers Data'!$B$4:$G$8,4,FALSE))</f>
        <v/>
      </c>
      <c r="S65" s="507" t="str">
        <f t="shared" si="3"/>
        <v/>
      </c>
      <c r="T65" s="540" t="str">
        <f t="shared" si="4"/>
        <v/>
      </c>
      <c r="U65" s="499" t="str">
        <f t="shared" si="5"/>
        <v/>
      </c>
      <c r="V65" s="71"/>
      <c r="W65" s="499" t="str">
        <f>IF(V65="","",IF(VLOOKUP(V65,'G-7 Rivers Data'!$AA$4:$AB$7,2,FALSE)=0,"Spatial Data Missing ⚠",VLOOKUP(V65,'G-7 Rivers Data'!$AA$4:$AB$7,2,FALSE)))</f>
        <v/>
      </c>
      <c r="X65" s="155"/>
      <c r="Y65" s="499" t="str">
        <f>IF(X65="","",IF(VLOOKUP(X65,'G-7 Rivers Data'!$AD$4:$AE$8,2,FALSE)=0,"Enrcoachment Data Missing ⚠",VLOOKUP(X65,'G-7 Rivers Data'!$AD$4:$AE$8,2,FALSE)))</f>
        <v/>
      </c>
      <c r="Z65" s="565" t="str">
        <f t="shared" si="6"/>
        <v/>
      </c>
      <c r="AA65" s="149"/>
      <c r="AB65" s="150"/>
      <c r="AH65" s="31" t="str">
        <f>IFERROR(INDEX('G-7 Rivers Data'!$AZ$3:$AZ$7,MATCH(C65,'G-7 Rivers Data'!$AY$3:$AY$7,0)),"")</f>
        <v/>
      </c>
    </row>
    <row r="66" spans="2:34" ht="13.8" x14ac:dyDescent="0.25">
      <c r="B66" s="141">
        <v>55</v>
      </c>
      <c r="C66" s="171"/>
      <c r="D66" s="172"/>
      <c r="E66" s="498" t="str">
        <f>IF(C66="","",VLOOKUP(C66,'G-7 Rivers Data'!$B$2:$G$8,2,FALSE))</f>
        <v/>
      </c>
      <c r="F66" s="499" t="str">
        <f>IFERROR(VLOOKUP(E66,'G-7 Rivers Data'!$C$4:$D$8,2,FALSE),"")</f>
        <v/>
      </c>
      <c r="G66" s="145"/>
      <c r="H66" s="499" t="str">
        <f>IFERROR(INDEX('G-7 Rivers Data'!$H$4:$L$8,MATCH(C66,'G-7 Rivers Data'!$B$4:$B$8,0),MATCH(G66,'G-7 Rivers Data'!$H$3:$L$3,0)),"")</f>
        <v/>
      </c>
      <c r="I66" s="154"/>
      <c r="J66" s="507" t="str">
        <f>IF(I66="","",IF(VLOOKUP(I66,'G-7 Rivers Data'!$AG$4:$AI$9,2,FALSE)=0,"Spatial Data Missing ⚠",VLOOKUP(I66,'G-7 Rivers Data'!$AG$4:$AI$9,2,FALSE)))</f>
        <v/>
      </c>
      <c r="K66" s="499" t="str">
        <f>IF(I66="","",IF(VLOOKUP(I66,'G-7 Rivers Data'!$AG$4:$AI$9,3,FALSE)=0,"Spatial Data Missing ⚠",VLOOKUP(I66,'G-7 Rivers Data'!$AG$4:$AI$9,3,FALSE)))</f>
        <v/>
      </c>
      <c r="L66" s="498" t="str">
        <f>IFERROR(INDEX('G-7 Rivers Data'!$O$3:$O$7,MATCH(G66,'G-7 Rivers Data'!$N$3:$N$7,0)),"")</f>
        <v/>
      </c>
      <c r="M66" s="82"/>
      <c r="N66" s="195"/>
      <c r="O66" s="507" t="str">
        <f t="shared" si="1"/>
        <v/>
      </c>
      <c r="P66" s="521" t="str">
        <f t="shared" si="2"/>
        <v/>
      </c>
      <c r="Q66" s="564" t="str">
        <f>IFERROR(IF(P66="Check Data ⚠","Check Data ⚠",VLOOKUP(P66,'G-4 Temporal multipliers'!$A$4:$C$37,3,FALSE)),"")</f>
        <v/>
      </c>
      <c r="R66" s="498" t="str">
        <f>IF(C66="","",VLOOKUP(C66,'G-7 Rivers Data'!$B$4:$G$8,4,FALSE))</f>
        <v/>
      </c>
      <c r="S66" s="507" t="str">
        <f t="shared" si="3"/>
        <v/>
      </c>
      <c r="T66" s="540" t="str">
        <f t="shared" si="4"/>
        <v/>
      </c>
      <c r="U66" s="499" t="str">
        <f t="shared" si="5"/>
        <v/>
      </c>
      <c r="V66" s="71"/>
      <c r="W66" s="499" t="str">
        <f>IF(V66="","",IF(VLOOKUP(V66,'G-7 Rivers Data'!$AA$4:$AB$7,2,FALSE)=0,"Spatial Data Missing ⚠",VLOOKUP(V66,'G-7 Rivers Data'!$AA$4:$AB$7,2,FALSE)))</f>
        <v/>
      </c>
      <c r="X66" s="155"/>
      <c r="Y66" s="499" t="str">
        <f>IF(X66="","",IF(VLOOKUP(X66,'G-7 Rivers Data'!$AD$4:$AE$8,2,FALSE)=0,"Enrcoachment Data Missing ⚠",VLOOKUP(X66,'G-7 Rivers Data'!$AD$4:$AE$8,2,FALSE)))</f>
        <v/>
      </c>
      <c r="Z66" s="565" t="str">
        <f t="shared" si="6"/>
        <v/>
      </c>
      <c r="AA66" s="149"/>
      <c r="AB66" s="150"/>
      <c r="AH66" s="31" t="str">
        <f>IFERROR(INDEX('G-7 Rivers Data'!$AZ$3:$AZ$7,MATCH(C66,'G-7 Rivers Data'!$AY$3:$AY$7,0)),"")</f>
        <v/>
      </c>
    </row>
    <row r="67" spans="2:34" ht="13.8" x14ac:dyDescent="0.25">
      <c r="B67" s="141">
        <v>56</v>
      </c>
      <c r="C67" s="171"/>
      <c r="D67" s="172"/>
      <c r="E67" s="498" t="str">
        <f>IF(C67="","",VLOOKUP(C67,'G-7 Rivers Data'!$B$2:$G$8,2,FALSE))</f>
        <v/>
      </c>
      <c r="F67" s="499" t="str">
        <f>IFERROR(VLOOKUP(E67,'G-7 Rivers Data'!$C$4:$D$8,2,FALSE),"")</f>
        <v/>
      </c>
      <c r="G67" s="145"/>
      <c r="H67" s="499" t="str">
        <f>IFERROR(INDEX('G-7 Rivers Data'!$H$4:$L$8,MATCH(C67,'G-7 Rivers Data'!$B$4:$B$8,0),MATCH(G67,'G-7 Rivers Data'!$H$3:$L$3,0)),"")</f>
        <v/>
      </c>
      <c r="I67" s="154"/>
      <c r="J67" s="507" t="str">
        <f>IF(I67="","",IF(VLOOKUP(I67,'G-7 Rivers Data'!$AG$4:$AI$9,2,FALSE)=0,"Spatial Data Missing ⚠",VLOOKUP(I67,'G-7 Rivers Data'!$AG$4:$AI$9,2,FALSE)))</f>
        <v/>
      </c>
      <c r="K67" s="499" t="str">
        <f>IF(I67="","",IF(VLOOKUP(I67,'G-7 Rivers Data'!$AG$4:$AI$9,3,FALSE)=0,"Spatial Data Missing ⚠",VLOOKUP(I67,'G-7 Rivers Data'!$AG$4:$AI$9,3,FALSE)))</f>
        <v/>
      </c>
      <c r="L67" s="498" t="str">
        <f>IFERROR(INDEX('G-7 Rivers Data'!$O$3:$O$7,MATCH(G67,'G-7 Rivers Data'!$N$3:$N$7,0)),"")</f>
        <v/>
      </c>
      <c r="M67" s="82"/>
      <c r="N67" s="195"/>
      <c r="O67" s="507" t="str">
        <f t="shared" si="1"/>
        <v/>
      </c>
      <c r="P67" s="521" t="str">
        <f t="shared" si="2"/>
        <v/>
      </c>
      <c r="Q67" s="564" t="str">
        <f>IFERROR(IF(P67="Check Data ⚠","Check Data ⚠",VLOOKUP(P67,'G-4 Temporal multipliers'!$A$4:$C$37,3,FALSE)),"")</f>
        <v/>
      </c>
      <c r="R67" s="498" t="str">
        <f>IF(C67="","",VLOOKUP(C67,'G-7 Rivers Data'!$B$4:$G$8,4,FALSE))</f>
        <v/>
      </c>
      <c r="S67" s="507" t="str">
        <f t="shared" si="3"/>
        <v/>
      </c>
      <c r="T67" s="540" t="str">
        <f t="shared" si="4"/>
        <v/>
      </c>
      <c r="U67" s="499" t="str">
        <f t="shared" si="5"/>
        <v/>
      </c>
      <c r="V67" s="71"/>
      <c r="W67" s="499" t="str">
        <f>IF(V67="","",IF(VLOOKUP(V67,'G-7 Rivers Data'!$AA$4:$AB$7,2,FALSE)=0,"Spatial Data Missing ⚠",VLOOKUP(V67,'G-7 Rivers Data'!$AA$4:$AB$7,2,FALSE)))</f>
        <v/>
      </c>
      <c r="X67" s="155"/>
      <c r="Y67" s="499" t="str">
        <f>IF(X67="","",IF(VLOOKUP(X67,'G-7 Rivers Data'!$AD$4:$AE$8,2,FALSE)=0,"Enrcoachment Data Missing ⚠",VLOOKUP(X67,'G-7 Rivers Data'!$AD$4:$AE$8,2,FALSE)))</f>
        <v/>
      </c>
      <c r="Z67" s="565" t="str">
        <f t="shared" si="6"/>
        <v/>
      </c>
      <c r="AA67" s="149"/>
      <c r="AB67" s="150"/>
      <c r="AH67" s="31" t="str">
        <f>IFERROR(INDEX('G-7 Rivers Data'!$AZ$3:$AZ$7,MATCH(C67,'G-7 Rivers Data'!$AY$3:$AY$7,0)),"")</f>
        <v/>
      </c>
    </row>
    <row r="68" spans="2:34" ht="13.8" x14ac:dyDescent="0.25">
      <c r="B68" s="141">
        <v>57</v>
      </c>
      <c r="C68" s="171"/>
      <c r="D68" s="172"/>
      <c r="E68" s="498" t="str">
        <f>IF(C68="","",VLOOKUP(C68,'G-7 Rivers Data'!$B$2:$G$8,2,FALSE))</f>
        <v/>
      </c>
      <c r="F68" s="499" t="str">
        <f>IFERROR(VLOOKUP(E68,'G-7 Rivers Data'!$C$4:$D$8,2,FALSE),"")</f>
        <v/>
      </c>
      <c r="G68" s="145"/>
      <c r="H68" s="499" t="str">
        <f>IFERROR(INDEX('G-7 Rivers Data'!$H$4:$L$8,MATCH(C68,'G-7 Rivers Data'!$B$4:$B$8,0),MATCH(G68,'G-7 Rivers Data'!$H$3:$L$3,0)),"")</f>
        <v/>
      </c>
      <c r="I68" s="154"/>
      <c r="J68" s="507" t="str">
        <f>IF(I68="","",IF(VLOOKUP(I68,'G-7 Rivers Data'!$AG$4:$AI$9,2,FALSE)=0,"Spatial Data Missing ⚠",VLOOKUP(I68,'G-7 Rivers Data'!$AG$4:$AI$9,2,FALSE)))</f>
        <v/>
      </c>
      <c r="K68" s="499" t="str">
        <f>IF(I68="","",IF(VLOOKUP(I68,'G-7 Rivers Data'!$AG$4:$AI$9,3,FALSE)=0,"Spatial Data Missing ⚠",VLOOKUP(I68,'G-7 Rivers Data'!$AG$4:$AI$9,3,FALSE)))</f>
        <v/>
      </c>
      <c r="L68" s="498" t="str">
        <f>IFERROR(INDEX('G-7 Rivers Data'!$O$3:$O$7,MATCH(G68,'G-7 Rivers Data'!$N$3:$N$7,0)),"")</f>
        <v/>
      </c>
      <c r="M68" s="82"/>
      <c r="N68" s="195"/>
      <c r="O68" s="507" t="str">
        <f t="shared" si="1"/>
        <v/>
      </c>
      <c r="P68" s="521" t="str">
        <f t="shared" si="2"/>
        <v/>
      </c>
      <c r="Q68" s="564" t="str">
        <f>IFERROR(IF(P68="Check Data ⚠","Check Data ⚠",VLOOKUP(P68,'G-4 Temporal multipliers'!$A$4:$C$37,3,FALSE)),"")</f>
        <v/>
      </c>
      <c r="R68" s="498" t="str">
        <f>IF(C68="","",VLOOKUP(C68,'G-7 Rivers Data'!$B$4:$G$8,4,FALSE))</f>
        <v/>
      </c>
      <c r="S68" s="507" t="str">
        <f t="shared" si="3"/>
        <v/>
      </c>
      <c r="T68" s="540" t="str">
        <f t="shared" si="4"/>
        <v/>
      </c>
      <c r="U68" s="499" t="str">
        <f t="shared" si="5"/>
        <v/>
      </c>
      <c r="V68" s="71"/>
      <c r="W68" s="499" t="str">
        <f>IF(V68="","",IF(VLOOKUP(V68,'G-7 Rivers Data'!$AA$4:$AB$7,2,FALSE)=0,"Spatial Data Missing ⚠",VLOOKUP(V68,'G-7 Rivers Data'!$AA$4:$AB$7,2,FALSE)))</f>
        <v/>
      </c>
      <c r="X68" s="155"/>
      <c r="Y68" s="499" t="str">
        <f>IF(X68="","",IF(VLOOKUP(X68,'G-7 Rivers Data'!$AD$4:$AE$8,2,FALSE)=0,"Enrcoachment Data Missing ⚠",VLOOKUP(X68,'G-7 Rivers Data'!$AD$4:$AE$8,2,FALSE)))</f>
        <v/>
      </c>
      <c r="Z68" s="565" t="str">
        <f t="shared" si="6"/>
        <v/>
      </c>
      <c r="AA68" s="149"/>
      <c r="AB68" s="150"/>
      <c r="AH68" s="31" t="str">
        <f>IFERROR(INDEX('G-7 Rivers Data'!$AZ$3:$AZ$7,MATCH(C68,'G-7 Rivers Data'!$AY$3:$AY$7,0)),"")</f>
        <v/>
      </c>
    </row>
    <row r="69" spans="2:34" ht="13.8" x14ac:dyDescent="0.25">
      <c r="B69" s="141">
        <v>58</v>
      </c>
      <c r="C69" s="171"/>
      <c r="D69" s="172"/>
      <c r="E69" s="498" t="str">
        <f>IF(C69="","",VLOOKUP(C69,'G-7 Rivers Data'!$B$2:$G$8,2,FALSE))</f>
        <v/>
      </c>
      <c r="F69" s="499" t="str">
        <f>IFERROR(VLOOKUP(E69,'G-7 Rivers Data'!$C$4:$D$8,2,FALSE),"")</f>
        <v/>
      </c>
      <c r="G69" s="145"/>
      <c r="H69" s="499" t="str">
        <f>IFERROR(INDEX('G-7 Rivers Data'!$H$4:$L$8,MATCH(C69,'G-7 Rivers Data'!$B$4:$B$8,0),MATCH(G69,'G-7 Rivers Data'!$H$3:$L$3,0)),"")</f>
        <v/>
      </c>
      <c r="I69" s="154"/>
      <c r="J69" s="507" t="str">
        <f>IF(I69="","",IF(VLOOKUP(I69,'G-7 Rivers Data'!$AG$4:$AI$9,2,FALSE)=0,"Spatial Data Missing ⚠",VLOOKUP(I69,'G-7 Rivers Data'!$AG$4:$AI$9,2,FALSE)))</f>
        <v/>
      </c>
      <c r="K69" s="499" t="str">
        <f>IF(I69="","",IF(VLOOKUP(I69,'G-7 Rivers Data'!$AG$4:$AI$9,3,FALSE)=0,"Spatial Data Missing ⚠",VLOOKUP(I69,'G-7 Rivers Data'!$AG$4:$AI$9,3,FALSE)))</f>
        <v/>
      </c>
      <c r="L69" s="498" t="str">
        <f>IFERROR(INDEX('G-7 Rivers Data'!$O$3:$O$7,MATCH(G69,'G-7 Rivers Data'!$N$3:$N$7,0)),"")</f>
        <v/>
      </c>
      <c r="M69" s="82"/>
      <c r="N69" s="195"/>
      <c r="O69" s="507" t="str">
        <f t="shared" si="1"/>
        <v/>
      </c>
      <c r="P69" s="521" t="str">
        <f t="shared" si="2"/>
        <v/>
      </c>
      <c r="Q69" s="564" t="str">
        <f>IFERROR(IF(P69="Check Data ⚠","Check Data ⚠",VLOOKUP(P69,'G-4 Temporal multipliers'!$A$4:$C$37,3,FALSE)),"")</f>
        <v/>
      </c>
      <c r="R69" s="498" t="str">
        <f>IF(C69="","",VLOOKUP(C69,'G-7 Rivers Data'!$B$4:$G$8,4,FALSE))</f>
        <v/>
      </c>
      <c r="S69" s="507" t="str">
        <f t="shared" si="3"/>
        <v/>
      </c>
      <c r="T69" s="540" t="str">
        <f t="shared" si="4"/>
        <v/>
      </c>
      <c r="U69" s="499" t="str">
        <f t="shared" si="5"/>
        <v/>
      </c>
      <c r="V69" s="71"/>
      <c r="W69" s="499" t="str">
        <f>IF(V69="","",IF(VLOOKUP(V69,'G-7 Rivers Data'!$AA$4:$AB$7,2,FALSE)=0,"Spatial Data Missing ⚠",VLOOKUP(V69,'G-7 Rivers Data'!$AA$4:$AB$7,2,FALSE)))</f>
        <v/>
      </c>
      <c r="X69" s="155"/>
      <c r="Y69" s="499" t="str">
        <f>IF(X69="","",IF(VLOOKUP(X69,'G-7 Rivers Data'!$AD$4:$AE$8,2,FALSE)=0,"Enrcoachment Data Missing ⚠",VLOOKUP(X69,'G-7 Rivers Data'!$AD$4:$AE$8,2,FALSE)))</f>
        <v/>
      </c>
      <c r="Z69" s="565" t="str">
        <f t="shared" si="6"/>
        <v/>
      </c>
      <c r="AA69" s="149"/>
      <c r="AB69" s="150"/>
      <c r="AH69" s="31" t="str">
        <f>IFERROR(INDEX('G-7 Rivers Data'!$AZ$3:$AZ$7,MATCH(C69,'G-7 Rivers Data'!$AY$3:$AY$7,0)),"")</f>
        <v/>
      </c>
    </row>
    <row r="70" spans="2:34" ht="13.8" x14ac:dyDescent="0.25">
      <c r="B70" s="141">
        <v>59</v>
      </c>
      <c r="C70" s="171"/>
      <c r="D70" s="172"/>
      <c r="E70" s="498" t="str">
        <f>IF(C70="","",VLOOKUP(C70,'G-7 Rivers Data'!$B$2:$G$8,2,FALSE))</f>
        <v/>
      </c>
      <c r="F70" s="499" t="str">
        <f>IFERROR(VLOOKUP(E70,'G-7 Rivers Data'!$C$4:$D$8,2,FALSE),"")</f>
        <v/>
      </c>
      <c r="G70" s="145"/>
      <c r="H70" s="499" t="str">
        <f>IFERROR(INDEX('G-7 Rivers Data'!$H$4:$L$8,MATCH(C70,'G-7 Rivers Data'!$B$4:$B$8,0),MATCH(G70,'G-7 Rivers Data'!$H$3:$L$3,0)),"")</f>
        <v/>
      </c>
      <c r="I70" s="154"/>
      <c r="J70" s="507" t="str">
        <f>IF(I70="","",IF(VLOOKUP(I70,'G-7 Rivers Data'!$AG$4:$AI$9,2,FALSE)=0,"Spatial Data Missing ⚠",VLOOKUP(I70,'G-7 Rivers Data'!$AG$4:$AI$9,2,FALSE)))</f>
        <v/>
      </c>
      <c r="K70" s="499" t="str">
        <f>IF(I70="","",IF(VLOOKUP(I70,'G-7 Rivers Data'!$AG$4:$AI$9,3,FALSE)=0,"Spatial Data Missing ⚠",VLOOKUP(I70,'G-7 Rivers Data'!$AG$4:$AI$9,3,FALSE)))</f>
        <v/>
      </c>
      <c r="L70" s="498" t="str">
        <f>IFERROR(INDEX('G-7 Rivers Data'!$O$3:$O$7,MATCH(G70,'G-7 Rivers Data'!$N$3:$N$7,0)),"")</f>
        <v/>
      </c>
      <c r="M70" s="82"/>
      <c r="N70" s="195"/>
      <c r="O70" s="507" t="str">
        <f t="shared" si="1"/>
        <v/>
      </c>
      <c r="P70" s="521" t="str">
        <f t="shared" si="2"/>
        <v/>
      </c>
      <c r="Q70" s="564" t="str">
        <f>IFERROR(IF(P70="Check Data ⚠","Check Data ⚠",VLOOKUP(P70,'G-4 Temporal multipliers'!$A$4:$C$37,3,FALSE)),"")</f>
        <v/>
      </c>
      <c r="R70" s="498" t="str">
        <f>IF(C70="","",VLOOKUP(C70,'G-7 Rivers Data'!$B$4:$G$8,4,FALSE))</f>
        <v/>
      </c>
      <c r="S70" s="507" t="str">
        <f t="shared" si="3"/>
        <v/>
      </c>
      <c r="T70" s="540" t="str">
        <f t="shared" si="4"/>
        <v/>
      </c>
      <c r="U70" s="499" t="str">
        <f t="shared" si="5"/>
        <v/>
      </c>
      <c r="V70" s="71"/>
      <c r="W70" s="499" t="str">
        <f>IF(V70="","",IF(VLOOKUP(V70,'G-7 Rivers Data'!$AA$4:$AB$7,2,FALSE)=0,"Spatial Data Missing ⚠",VLOOKUP(V70,'G-7 Rivers Data'!$AA$4:$AB$7,2,FALSE)))</f>
        <v/>
      </c>
      <c r="X70" s="155"/>
      <c r="Y70" s="499" t="str">
        <f>IF(X70="","",IF(VLOOKUP(X70,'G-7 Rivers Data'!$AD$4:$AE$8,2,FALSE)=0,"Enrcoachment Data Missing ⚠",VLOOKUP(X70,'G-7 Rivers Data'!$AD$4:$AE$8,2,FALSE)))</f>
        <v/>
      </c>
      <c r="Z70" s="565" t="str">
        <f t="shared" si="6"/>
        <v/>
      </c>
      <c r="AA70" s="149"/>
      <c r="AB70" s="150"/>
      <c r="AH70" s="31" t="str">
        <f>IFERROR(INDEX('G-7 Rivers Data'!$AZ$3:$AZ$7,MATCH(C70,'G-7 Rivers Data'!$AY$3:$AY$7,0)),"")</f>
        <v/>
      </c>
    </row>
    <row r="71" spans="2:34" ht="13.8" x14ac:dyDescent="0.25">
      <c r="B71" s="141">
        <v>60</v>
      </c>
      <c r="C71" s="171"/>
      <c r="D71" s="172"/>
      <c r="E71" s="498" t="str">
        <f>IF(C71="","",VLOOKUP(C71,'G-7 Rivers Data'!$B$2:$G$8,2,FALSE))</f>
        <v/>
      </c>
      <c r="F71" s="499" t="str">
        <f>IFERROR(VLOOKUP(E71,'G-7 Rivers Data'!$C$4:$D$8,2,FALSE),"")</f>
        <v/>
      </c>
      <c r="G71" s="145"/>
      <c r="H71" s="499" t="str">
        <f>IFERROR(INDEX('G-7 Rivers Data'!$H$4:$L$8,MATCH(C71,'G-7 Rivers Data'!$B$4:$B$8,0),MATCH(G71,'G-7 Rivers Data'!$H$3:$L$3,0)),"")</f>
        <v/>
      </c>
      <c r="I71" s="154"/>
      <c r="J71" s="507" t="str">
        <f>IF(I71="","",IF(VLOOKUP(I71,'G-7 Rivers Data'!$AG$4:$AI$9,2,FALSE)=0,"Spatial Data Missing ⚠",VLOOKUP(I71,'G-7 Rivers Data'!$AG$4:$AI$9,2,FALSE)))</f>
        <v/>
      </c>
      <c r="K71" s="499" t="str">
        <f>IF(I71="","",IF(VLOOKUP(I71,'G-7 Rivers Data'!$AG$4:$AI$9,3,FALSE)=0,"Spatial Data Missing ⚠",VLOOKUP(I71,'G-7 Rivers Data'!$AG$4:$AI$9,3,FALSE)))</f>
        <v/>
      </c>
      <c r="L71" s="498" t="str">
        <f>IFERROR(INDEX('G-7 Rivers Data'!$O$3:$O$7,MATCH(G71,'G-7 Rivers Data'!$N$3:$N$7,0)),"")</f>
        <v/>
      </c>
      <c r="M71" s="82"/>
      <c r="N71" s="195"/>
      <c r="O71" s="507" t="str">
        <f t="shared" si="1"/>
        <v/>
      </c>
      <c r="P71" s="521" t="str">
        <f t="shared" si="2"/>
        <v/>
      </c>
      <c r="Q71" s="564" t="str">
        <f>IFERROR(IF(P71="Check Data ⚠","Check Data ⚠",VLOOKUP(P71,'G-4 Temporal multipliers'!$A$4:$C$37,3,FALSE)),"")</f>
        <v/>
      </c>
      <c r="R71" s="498" t="str">
        <f>IF(C71="","",VLOOKUP(C71,'G-7 Rivers Data'!$B$4:$G$8,4,FALSE))</f>
        <v/>
      </c>
      <c r="S71" s="507" t="str">
        <f t="shared" si="3"/>
        <v/>
      </c>
      <c r="T71" s="540" t="str">
        <f t="shared" si="4"/>
        <v/>
      </c>
      <c r="U71" s="499" t="str">
        <f t="shared" si="5"/>
        <v/>
      </c>
      <c r="V71" s="71"/>
      <c r="W71" s="499" t="str">
        <f>IF(V71="","",IF(VLOOKUP(V71,'G-7 Rivers Data'!$AA$4:$AB$7,2,FALSE)=0,"Spatial Data Missing ⚠",VLOOKUP(V71,'G-7 Rivers Data'!$AA$4:$AB$7,2,FALSE)))</f>
        <v/>
      </c>
      <c r="X71" s="155"/>
      <c r="Y71" s="499" t="str">
        <f>IF(X71="","",IF(VLOOKUP(X71,'G-7 Rivers Data'!$AD$4:$AE$8,2,FALSE)=0,"Enrcoachment Data Missing ⚠",VLOOKUP(X71,'G-7 Rivers Data'!$AD$4:$AE$8,2,FALSE)))</f>
        <v/>
      </c>
      <c r="Z71" s="565" t="str">
        <f t="shared" si="6"/>
        <v/>
      </c>
      <c r="AA71" s="149"/>
      <c r="AB71" s="150"/>
      <c r="AH71" s="31" t="str">
        <f>IFERROR(INDEX('G-7 Rivers Data'!$AZ$3:$AZ$7,MATCH(C71,'G-7 Rivers Data'!$AY$3:$AY$7,0)),"")</f>
        <v/>
      </c>
    </row>
    <row r="72" spans="2:34" ht="13.8" x14ac:dyDescent="0.25">
      <c r="B72" s="141">
        <v>61</v>
      </c>
      <c r="C72" s="171"/>
      <c r="D72" s="172"/>
      <c r="E72" s="498" t="str">
        <f>IF(C72="","",VLOOKUP(C72,'G-7 Rivers Data'!$B$2:$G$8,2,FALSE))</f>
        <v/>
      </c>
      <c r="F72" s="499" t="str">
        <f>IFERROR(VLOOKUP(E72,'G-7 Rivers Data'!$C$4:$D$8,2,FALSE),"")</f>
        <v/>
      </c>
      <c r="G72" s="145"/>
      <c r="H72" s="499" t="str">
        <f>IFERROR(INDEX('G-7 Rivers Data'!$H$4:$L$8,MATCH(C72,'G-7 Rivers Data'!$B$4:$B$8,0),MATCH(G72,'G-7 Rivers Data'!$H$3:$L$3,0)),"")</f>
        <v/>
      </c>
      <c r="I72" s="154"/>
      <c r="J72" s="507" t="str">
        <f>IF(I72="","",IF(VLOOKUP(I72,'G-7 Rivers Data'!$AG$4:$AI$9,2,FALSE)=0,"Spatial Data Missing ⚠",VLOOKUP(I72,'G-7 Rivers Data'!$AG$4:$AI$9,2,FALSE)))</f>
        <v/>
      </c>
      <c r="K72" s="499" t="str">
        <f>IF(I72="","",IF(VLOOKUP(I72,'G-7 Rivers Data'!$AG$4:$AI$9,3,FALSE)=0,"Spatial Data Missing ⚠",VLOOKUP(I72,'G-7 Rivers Data'!$AG$4:$AI$9,3,FALSE)))</f>
        <v/>
      </c>
      <c r="L72" s="498" t="str">
        <f>IFERROR(INDEX('G-7 Rivers Data'!$O$3:$O$7,MATCH(G72,'G-7 Rivers Data'!$N$3:$N$7,0)),"")</f>
        <v/>
      </c>
      <c r="M72" s="82"/>
      <c r="N72" s="195"/>
      <c r="O72" s="507" t="str">
        <f t="shared" si="1"/>
        <v/>
      </c>
      <c r="P72" s="521" t="str">
        <f t="shared" si="2"/>
        <v/>
      </c>
      <c r="Q72" s="564" t="str">
        <f>IFERROR(IF(P72="Check Data ⚠","Check Data ⚠",VLOOKUP(P72,'G-4 Temporal multipliers'!$A$4:$C$37,3,FALSE)),"")</f>
        <v/>
      </c>
      <c r="R72" s="498" t="str">
        <f>IF(C72="","",VLOOKUP(C72,'G-7 Rivers Data'!$B$4:$G$8,4,FALSE))</f>
        <v/>
      </c>
      <c r="S72" s="507" t="str">
        <f t="shared" si="3"/>
        <v/>
      </c>
      <c r="T72" s="540" t="str">
        <f t="shared" si="4"/>
        <v/>
      </c>
      <c r="U72" s="499" t="str">
        <f t="shared" si="5"/>
        <v/>
      </c>
      <c r="V72" s="71"/>
      <c r="W72" s="499" t="str">
        <f>IF(V72="","",IF(VLOOKUP(V72,'G-7 Rivers Data'!$AA$4:$AB$7,2,FALSE)=0,"Spatial Data Missing ⚠",VLOOKUP(V72,'G-7 Rivers Data'!$AA$4:$AB$7,2,FALSE)))</f>
        <v/>
      </c>
      <c r="X72" s="155"/>
      <c r="Y72" s="499" t="str">
        <f>IF(X72="","",IF(VLOOKUP(X72,'G-7 Rivers Data'!$AD$4:$AE$8,2,FALSE)=0,"Enrcoachment Data Missing ⚠",VLOOKUP(X72,'G-7 Rivers Data'!$AD$4:$AE$8,2,FALSE)))</f>
        <v/>
      </c>
      <c r="Z72" s="565" t="str">
        <f t="shared" si="6"/>
        <v/>
      </c>
      <c r="AA72" s="149"/>
      <c r="AB72" s="150"/>
      <c r="AH72" s="31" t="str">
        <f>IFERROR(INDEX('G-7 Rivers Data'!$AZ$3:$AZ$7,MATCH(C72,'G-7 Rivers Data'!$AY$3:$AY$7,0)),"")</f>
        <v/>
      </c>
    </row>
    <row r="73" spans="2:34" ht="13.8" x14ac:dyDescent="0.25">
      <c r="B73" s="141">
        <v>62</v>
      </c>
      <c r="C73" s="171"/>
      <c r="D73" s="172"/>
      <c r="E73" s="498" t="str">
        <f>IF(C73="","",VLOOKUP(C73,'G-7 Rivers Data'!$B$2:$G$8,2,FALSE))</f>
        <v/>
      </c>
      <c r="F73" s="499" t="str">
        <f>IFERROR(VLOOKUP(E73,'G-7 Rivers Data'!$C$4:$D$8,2,FALSE),"")</f>
        <v/>
      </c>
      <c r="G73" s="145"/>
      <c r="H73" s="499" t="str">
        <f>IFERROR(INDEX('G-7 Rivers Data'!$H$4:$L$8,MATCH(C73,'G-7 Rivers Data'!$B$4:$B$8,0),MATCH(G73,'G-7 Rivers Data'!$H$3:$L$3,0)),"")</f>
        <v/>
      </c>
      <c r="I73" s="154"/>
      <c r="J73" s="507" t="str">
        <f>IF(I73="","",IF(VLOOKUP(I73,'G-7 Rivers Data'!$AG$4:$AI$9,2,FALSE)=0,"Spatial Data Missing ⚠",VLOOKUP(I73,'G-7 Rivers Data'!$AG$4:$AI$9,2,FALSE)))</f>
        <v/>
      </c>
      <c r="K73" s="499" t="str">
        <f>IF(I73="","",IF(VLOOKUP(I73,'G-7 Rivers Data'!$AG$4:$AI$9,3,FALSE)=0,"Spatial Data Missing ⚠",VLOOKUP(I73,'G-7 Rivers Data'!$AG$4:$AI$9,3,FALSE)))</f>
        <v/>
      </c>
      <c r="L73" s="498" t="str">
        <f>IFERROR(INDEX('G-7 Rivers Data'!$O$3:$O$7,MATCH(G73,'G-7 Rivers Data'!$N$3:$N$7,0)),"")</f>
        <v/>
      </c>
      <c r="M73" s="82"/>
      <c r="N73" s="195"/>
      <c r="O73" s="507" t="str">
        <f t="shared" si="1"/>
        <v/>
      </c>
      <c r="P73" s="521" t="str">
        <f t="shared" si="2"/>
        <v/>
      </c>
      <c r="Q73" s="564" t="str">
        <f>IFERROR(IF(P73="Check Data ⚠","Check Data ⚠",VLOOKUP(P73,'G-4 Temporal multipliers'!$A$4:$C$37,3,FALSE)),"")</f>
        <v/>
      </c>
      <c r="R73" s="498" t="str">
        <f>IF(C73="","",VLOOKUP(C73,'G-7 Rivers Data'!$B$4:$G$8,4,FALSE))</f>
        <v/>
      </c>
      <c r="S73" s="507" t="str">
        <f t="shared" si="3"/>
        <v/>
      </c>
      <c r="T73" s="540" t="str">
        <f t="shared" si="4"/>
        <v/>
      </c>
      <c r="U73" s="499" t="str">
        <f t="shared" si="5"/>
        <v/>
      </c>
      <c r="V73" s="71"/>
      <c r="W73" s="499" t="str">
        <f>IF(V73="","",IF(VLOOKUP(V73,'G-7 Rivers Data'!$AA$4:$AB$7,2,FALSE)=0,"Spatial Data Missing ⚠",VLOOKUP(V73,'G-7 Rivers Data'!$AA$4:$AB$7,2,FALSE)))</f>
        <v/>
      </c>
      <c r="X73" s="155"/>
      <c r="Y73" s="499" t="str">
        <f>IF(X73="","",IF(VLOOKUP(X73,'G-7 Rivers Data'!$AD$4:$AE$8,2,FALSE)=0,"Enrcoachment Data Missing ⚠",VLOOKUP(X73,'G-7 Rivers Data'!$AD$4:$AE$8,2,FALSE)))</f>
        <v/>
      </c>
      <c r="Z73" s="565" t="str">
        <f t="shared" si="6"/>
        <v/>
      </c>
      <c r="AA73" s="149"/>
      <c r="AB73" s="150"/>
      <c r="AH73" s="31" t="str">
        <f>IFERROR(INDEX('G-7 Rivers Data'!$AZ$3:$AZ$7,MATCH(C73,'G-7 Rivers Data'!$AY$3:$AY$7,0)),"")</f>
        <v/>
      </c>
    </row>
    <row r="74" spans="2:34" ht="13.8" x14ac:dyDescent="0.25">
      <c r="B74" s="141">
        <v>63</v>
      </c>
      <c r="C74" s="171"/>
      <c r="D74" s="172"/>
      <c r="E74" s="498" t="str">
        <f>IF(C74="","",VLOOKUP(C74,'G-7 Rivers Data'!$B$2:$G$8,2,FALSE))</f>
        <v/>
      </c>
      <c r="F74" s="499" t="str">
        <f>IFERROR(VLOOKUP(E74,'G-7 Rivers Data'!$C$4:$D$8,2,FALSE),"")</f>
        <v/>
      </c>
      <c r="G74" s="145"/>
      <c r="H74" s="499" t="str">
        <f>IFERROR(INDEX('G-7 Rivers Data'!$H$4:$L$8,MATCH(C74,'G-7 Rivers Data'!$B$4:$B$8,0),MATCH(G74,'G-7 Rivers Data'!$H$3:$L$3,0)),"")</f>
        <v/>
      </c>
      <c r="I74" s="154"/>
      <c r="J74" s="507" t="str">
        <f>IF(I74="","",IF(VLOOKUP(I74,'G-7 Rivers Data'!$AG$4:$AI$9,2,FALSE)=0,"Spatial Data Missing ⚠",VLOOKUP(I74,'G-7 Rivers Data'!$AG$4:$AI$9,2,FALSE)))</f>
        <v/>
      </c>
      <c r="K74" s="499" t="str">
        <f>IF(I74="","",IF(VLOOKUP(I74,'G-7 Rivers Data'!$AG$4:$AI$9,3,FALSE)=0,"Spatial Data Missing ⚠",VLOOKUP(I74,'G-7 Rivers Data'!$AG$4:$AI$9,3,FALSE)))</f>
        <v/>
      </c>
      <c r="L74" s="498" t="str">
        <f>IFERROR(INDEX('G-7 Rivers Data'!$O$3:$O$7,MATCH(G74,'G-7 Rivers Data'!$N$3:$N$7,0)),"")</f>
        <v/>
      </c>
      <c r="M74" s="82"/>
      <c r="N74" s="195"/>
      <c r="O74" s="507" t="str">
        <f t="shared" si="1"/>
        <v/>
      </c>
      <c r="P74" s="521" t="str">
        <f t="shared" si="2"/>
        <v/>
      </c>
      <c r="Q74" s="564" t="str">
        <f>IFERROR(IF(P74="Check Data ⚠","Check Data ⚠",VLOOKUP(P74,'G-4 Temporal multipliers'!$A$4:$C$37,3,FALSE)),"")</f>
        <v/>
      </c>
      <c r="R74" s="498" t="str">
        <f>IF(C74="","",VLOOKUP(C74,'G-7 Rivers Data'!$B$4:$G$8,4,FALSE))</f>
        <v/>
      </c>
      <c r="S74" s="507" t="str">
        <f t="shared" si="3"/>
        <v/>
      </c>
      <c r="T74" s="540" t="str">
        <f t="shared" si="4"/>
        <v/>
      </c>
      <c r="U74" s="499" t="str">
        <f t="shared" si="5"/>
        <v/>
      </c>
      <c r="V74" s="71"/>
      <c r="W74" s="499" t="str">
        <f>IF(V74="","",IF(VLOOKUP(V74,'G-7 Rivers Data'!$AA$4:$AB$7,2,FALSE)=0,"Spatial Data Missing ⚠",VLOOKUP(V74,'G-7 Rivers Data'!$AA$4:$AB$7,2,FALSE)))</f>
        <v/>
      </c>
      <c r="X74" s="155"/>
      <c r="Y74" s="499" t="str">
        <f>IF(X74="","",IF(VLOOKUP(X74,'G-7 Rivers Data'!$AD$4:$AE$8,2,FALSE)=0,"Enrcoachment Data Missing ⚠",VLOOKUP(X74,'G-7 Rivers Data'!$AD$4:$AE$8,2,FALSE)))</f>
        <v/>
      </c>
      <c r="Z74" s="565" t="str">
        <f t="shared" si="6"/>
        <v/>
      </c>
      <c r="AA74" s="149"/>
      <c r="AB74" s="150"/>
      <c r="AH74" s="31" t="str">
        <f>IFERROR(INDEX('G-7 Rivers Data'!$AZ$3:$AZ$7,MATCH(C74,'G-7 Rivers Data'!$AY$3:$AY$7,0)),"")</f>
        <v/>
      </c>
    </row>
    <row r="75" spans="2:34" ht="13.8" x14ac:dyDescent="0.25">
      <c r="B75" s="141">
        <v>64</v>
      </c>
      <c r="C75" s="171"/>
      <c r="D75" s="172"/>
      <c r="E75" s="498" t="str">
        <f>IF(C75="","",VLOOKUP(C75,'G-7 Rivers Data'!$B$2:$G$8,2,FALSE))</f>
        <v/>
      </c>
      <c r="F75" s="499" t="str">
        <f>IFERROR(VLOOKUP(E75,'G-7 Rivers Data'!$C$4:$D$8,2,FALSE),"")</f>
        <v/>
      </c>
      <c r="G75" s="145"/>
      <c r="H75" s="499" t="str">
        <f>IFERROR(INDEX('G-7 Rivers Data'!$H$4:$L$8,MATCH(C75,'G-7 Rivers Data'!$B$4:$B$8,0),MATCH(G75,'G-7 Rivers Data'!$H$3:$L$3,0)),"")</f>
        <v/>
      </c>
      <c r="I75" s="154"/>
      <c r="J75" s="507" t="str">
        <f>IF(I75="","",IF(VLOOKUP(I75,'G-7 Rivers Data'!$AG$4:$AI$9,2,FALSE)=0,"Spatial Data Missing ⚠",VLOOKUP(I75,'G-7 Rivers Data'!$AG$4:$AI$9,2,FALSE)))</f>
        <v/>
      </c>
      <c r="K75" s="499" t="str">
        <f>IF(I75="","",IF(VLOOKUP(I75,'G-7 Rivers Data'!$AG$4:$AI$9,3,FALSE)=0,"Spatial Data Missing ⚠",VLOOKUP(I75,'G-7 Rivers Data'!$AG$4:$AI$9,3,FALSE)))</f>
        <v/>
      </c>
      <c r="L75" s="498" t="str">
        <f>IFERROR(INDEX('G-7 Rivers Data'!$O$3:$O$7,MATCH(G75,'G-7 Rivers Data'!$N$3:$N$7,0)),"")</f>
        <v/>
      </c>
      <c r="M75" s="82"/>
      <c r="N75" s="195"/>
      <c r="O75" s="507" t="str">
        <f t="shared" si="1"/>
        <v/>
      </c>
      <c r="P75" s="521" t="str">
        <f t="shared" si="2"/>
        <v/>
      </c>
      <c r="Q75" s="564" t="str">
        <f>IFERROR(IF(P75="Check Data ⚠","Check Data ⚠",VLOOKUP(P75,'G-4 Temporal multipliers'!$A$4:$C$37,3,FALSE)),"")</f>
        <v/>
      </c>
      <c r="R75" s="498" t="str">
        <f>IF(C75="","",VLOOKUP(C75,'G-7 Rivers Data'!$B$4:$G$8,4,FALSE))</f>
        <v/>
      </c>
      <c r="S75" s="507" t="str">
        <f t="shared" si="3"/>
        <v/>
      </c>
      <c r="T75" s="540" t="str">
        <f t="shared" si="4"/>
        <v/>
      </c>
      <c r="U75" s="499" t="str">
        <f t="shared" si="5"/>
        <v/>
      </c>
      <c r="V75" s="71"/>
      <c r="W75" s="499" t="str">
        <f>IF(V75="","",IF(VLOOKUP(V75,'G-7 Rivers Data'!$AA$4:$AB$7,2,FALSE)=0,"Spatial Data Missing ⚠",VLOOKUP(V75,'G-7 Rivers Data'!$AA$4:$AB$7,2,FALSE)))</f>
        <v/>
      </c>
      <c r="X75" s="155"/>
      <c r="Y75" s="499" t="str">
        <f>IF(X75="","",IF(VLOOKUP(X75,'G-7 Rivers Data'!$AD$4:$AE$8,2,FALSE)=0,"Enrcoachment Data Missing ⚠",VLOOKUP(X75,'G-7 Rivers Data'!$AD$4:$AE$8,2,FALSE)))</f>
        <v/>
      </c>
      <c r="Z75" s="565" t="str">
        <f t="shared" si="6"/>
        <v/>
      </c>
      <c r="AA75" s="149"/>
      <c r="AB75" s="150"/>
      <c r="AH75" s="31" t="str">
        <f>IFERROR(INDEX('G-7 Rivers Data'!$AZ$3:$AZ$7,MATCH(C75,'G-7 Rivers Data'!$AY$3:$AY$7,0)),"")</f>
        <v/>
      </c>
    </row>
    <row r="76" spans="2:34" ht="13.8" x14ac:dyDescent="0.25">
      <c r="B76" s="141">
        <v>65</v>
      </c>
      <c r="C76" s="171"/>
      <c r="D76" s="172"/>
      <c r="E76" s="498" t="str">
        <f>IF(C76="","",VLOOKUP(C76,'G-7 Rivers Data'!$B$2:$G$8,2,FALSE))</f>
        <v/>
      </c>
      <c r="F76" s="499" t="str">
        <f>IFERROR(VLOOKUP(E76,'G-7 Rivers Data'!$C$4:$D$8,2,FALSE),"")</f>
        <v/>
      </c>
      <c r="G76" s="145"/>
      <c r="H76" s="499" t="str">
        <f>IFERROR(INDEX('G-7 Rivers Data'!$H$4:$L$8,MATCH(C76,'G-7 Rivers Data'!$B$4:$B$8,0),MATCH(G76,'G-7 Rivers Data'!$H$3:$L$3,0)),"")</f>
        <v/>
      </c>
      <c r="I76" s="154"/>
      <c r="J76" s="507" t="str">
        <f>IF(I76="","",IF(VLOOKUP(I76,'G-7 Rivers Data'!$AG$4:$AI$9,2,FALSE)=0,"Spatial Data Missing ⚠",VLOOKUP(I76,'G-7 Rivers Data'!$AG$4:$AI$9,2,FALSE)))</f>
        <v/>
      </c>
      <c r="K76" s="499" t="str">
        <f>IF(I76="","",IF(VLOOKUP(I76,'G-7 Rivers Data'!$AG$4:$AI$9,3,FALSE)=0,"Spatial Data Missing ⚠",VLOOKUP(I76,'G-7 Rivers Data'!$AG$4:$AI$9,3,FALSE)))</f>
        <v/>
      </c>
      <c r="L76" s="498" t="str">
        <f>IFERROR(INDEX('G-7 Rivers Data'!$O$3:$O$7,MATCH(G76,'G-7 Rivers Data'!$N$3:$N$7,0)),"")</f>
        <v/>
      </c>
      <c r="M76" s="82"/>
      <c r="N76" s="195"/>
      <c r="O76" s="507" t="str">
        <f t="shared" si="1"/>
        <v/>
      </c>
      <c r="P76" s="521" t="str">
        <f t="shared" si="2"/>
        <v/>
      </c>
      <c r="Q76" s="564" t="str">
        <f>IFERROR(IF(P76="Check Data ⚠","Check Data ⚠",VLOOKUP(P76,'G-4 Temporal multipliers'!$A$4:$C$37,3,FALSE)),"")</f>
        <v/>
      </c>
      <c r="R76" s="498" t="str">
        <f>IF(C76="","",VLOOKUP(C76,'G-7 Rivers Data'!$B$4:$G$8,4,FALSE))</f>
        <v/>
      </c>
      <c r="S76" s="507" t="str">
        <f t="shared" si="3"/>
        <v/>
      </c>
      <c r="T76" s="540" t="str">
        <f t="shared" si="4"/>
        <v/>
      </c>
      <c r="U76" s="499" t="str">
        <f t="shared" si="5"/>
        <v/>
      </c>
      <c r="V76" s="71"/>
      <c r="W76" s="499" t="str">
        <f>IF(V76="","",IF(VLOOKUP(V76,'G-7 Rivers Data'!$AA$4:$AB$7,2,FALSE)=0,"Spatial Data Missing ⚠",VLOOKUP(V76,'G-7 Rivers Data'!$AA$4:$AB$7,2,FALSE)))</f>
        <v/>
      </c>
      <c r="X76" s="155"/>
      <c r="Y76" s="499" t="str">
        <f>IF(X76="","",IF(VLOOKUP(X76,'G-7 Rivers Data'!$AD$4:$AE$8,2,FALSE)=0,"Enrcoachment Data Missing ⚠",VLOOKUP(X76,'G-7 Rivers Data'!$AD$4:$AE$8,2,FALSE)))</f>
        <v/>
      </c>
      <c r="Z76" s="565" t="str">
        <f t="shared" si="6"/>
        <v/>
      </c>
      <c r="AA76" s="149"/>
      <c r="AB76" s="150"/>
      <c r="AH76" s="31" t="str">
        <f>IFERROR(INDEX('G-7 Rivers Data'!$AZ$3:$AZ$7,MATCH(C76,'G-7 Rivers Data'!$AY$3:$AY$7,0)),"")</f>
        <v/>
      </c>
    </row>
    <row r="77" spans="2:34" ht="13.8" x14ac:dyDescent="0.25">
      <c r="B77" s="141">
        <v>66</v>
      </c>
      <c r="C77" s="171"/>
      <c r="D77" s="172"/>
      <c r="E77" s="498" t="str">
        <f>IF(C77="","",VLOOKUP(C77,'G-7 Rivers Data'!$B$2:$G$8,2,FALSE))</f>
        <v/>
      </c>
      <c r="F77" s="499" t="str">
        <f>IFERROR(VLOOKUP(E77,'G-7 Rivers Data'!$C$4:$D$8,2,FALSE),"")</f>
        <v/>
      </c>
      <c r="G77" s="145"/>
      <c r="H77" s="499" t="str">
        <f>IFERROR(INDEX('G-7 Rivers Data'!$H$4:$L$8,MATCH(C77,'G-7 Rivers Data'!$B$4:$B$8,0),MATCH(G77,'G-7 Rivers Data'!$H$3:$L$3,0)),"")</f>
        <v/>
      </c>
      <c r="I77" s="154"/>
      <c r="J77" s="507" t="str">
        <f>IF(I77="","",IF(VLOOKUP(I77,'G-7 Rivers Data'!$AG$4:$AI$9,2,FALSE)=0,"Spatial Data Missing ⚠",VLOOKUP(I77,'G-7 Rivers Data'!$AG$4:$AI$9,2,FALSE)))</f>
        <v/>
      </c>
      <c r="K77" s="499" t="str">
        <f>IF(I77="","",IF(VLOOKUP(I77,'G-7 Rivers Data'!$AG$4:$AI$9,3,FALSE)=0,"Spatial Data Missing ⚠",VLOOKUP(I77,'G-7 Rivers Data'!$AG$4:$AI$9,3,FALSE)))</f>
        <v/>
      </c>
      <c r="L77" s="498" t="str">
        <f>IFERROR(INDEX('G-7 Rivers Data'!$O$3:$O$7,MATCH(G77,'G-7 Rivers Data'!$N$3:$N$7,0)),"")</f>
        <v/>
      </c>
      <c r="M77" s="82"/>
      <c r="N77" s="195"/>
      <c r="O77" s="507"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1" t="str">
        <f t="shared" ref="P77:P140" si="8">IF(LEFT(O77,5)="Error ▲","Check Data ⚠",IF(L77="","",IF(M77="30+",0,IF(N77="30+","30+ ⚠",IF(L77+N77&gt;30,"30+ ⚠",IF(L77+N77-M77&gt;0,L77+N77-M77,IF(L77-M77&lt;0,0,L77+N77-M77)))))))</f>
        <v/>
      </c>
      <c r="Q77" s="564" t="str">
        <f>IFERROR(IF(P77="Check Data ⚠","Check Data ⚠",VLOOKUP(P77,'G-4 Temporal multipliers'!$A$4:$C$37,3,FALSE)),"")</f>
        <v/>
      </c>
      <c r="R77" s="498" t="str">
        <f>IF(C77="","",VLOOKUP(C77,'G-7 Rivers Data'!$B$4:$G$8,4,FALSE))</f>
        <v/>
      </c>
      <c r="S77" s="507" t="str">
        <f t="shared" ref="S77:S140" si="9">IF(C77="","",IF(P77="Check Data ⚠","Check Data ⚠",IF(G77="","",IF($O77="Check details - Is there evidence that habitat has reached target condition? ⚠","Low Difficulty - only applicable if all habitat created before losses ⚠","Standard difficulty applied"))))</f>
        <v/>
      </c>
      <c r="T77" s="540" t="str">
        <f t="shared" ref="T77:T140" si="10">(IF(AND(S77="Standard difficulty applied",L77&gt;M77),R77,IF(AND(S77="Low Difficulty - only applicable if all habitat created before losses ⚠",M77&gt;=L77),"Low",R77)))</f>
        <v/>
      </c>
      <c r="U77" s="499" t="str">
        <f t="shared" ref="U77:U140" si="11">IF(C77="","",VLOOKUP(R77,Difficulty,2,FALSE))</f>
        <v/>
      </c>
      <c r="V77" s="71"/>
      <c r="W77" s="499" t="str">
        <f>IF(V77="","",IF(VLOOKUP(V77,'G-7 Rivers Data'!$AA$4:$AB$7,2,FALSE)=0,"Spatial Data Missing ⚠",VLOOKUP(V77,'G-7 Rivers Data'!$AA$4:$AB$7,2,FALSE)))</f>
        <v/>
      </c>
      <c r="X77" s="155"/>
      <c r="Y77" s="499" t="str">
        <f>IF(X77="","",IF(VLOOKUP(X77,'G-7 Rivers Data'!$AD$4:$AE$8,2,FALSE)=0,"Enrcoachment Data Missing ⚠",VLOOKUP(X77,'G-7 Rivers Data'!$AD$4:$AE$8,2,FALSE)))</f>
        <v/>
      </c>
      <c r="Z77" s="565" t="str">
        <f t="shared" ref="Z77:Z140" si="12">IFERROR(IF(C77="","",D77*F77*H77*K77*Q77*U77*Y77*W77),"")</f>
        <v/>
      </c>
      <c r="AA77" s="149"/>
      <c r="AB77" s="150"/>
      <c r="AH77" s="31" t="str">
        <f>IFERROR(INDEX('G-7 Rivers Data'!$AZ$3:$AZ$7,MATCH(C77,'G-7 Rivers Data'!$AY$3:$AY$7,0)),"")</f>
        <v/>
      </c>
    </row>
    <row r="78" spans="2:34" ht="13.8" x14ac:dyDescent="0.25">
      <c r="B78" s="141">
        <v>67</v>
      </c>
      <c r="C78" s="171"/>
      <c r="D78" s="172"/>
      <c r="E78" s="498" t="str">
        <f>IF(C78="","",VLOOKUP(C78,'G-7 Rivers Data'!$B$2:$G$8,2,FALSE))</f>
        <v/>
      </c>
      <c r="F78" s="499" t="str">
        <f>IFERROR(VLOOKUP(E78,'G-7 Rivers Data'!$C$4:$D$8,2,FALSE),"")</f>
        <v/>
      </c>
      <c r="G78" s="145"/>
      <c r="H78" s="499" t="str">
        <f>IFERROR(INDEX('G-7 Rivers Data'!$H$4:$L$8,MATCH(C78,'G-7 Rivers Data'!$B$4:$B$8,0),MATCH(G78,'G-7 Rivers Data'!$H$3:$L$3,0)),"")</f>
        <v/>
      </c>
      <c r="I78" s="154"/>
      <c r="J78" s="507" t="str">
        <f>IF(I78="","",IF(VLOOKUP(I78,'G-7 Rivers Data'!$AG$4:$AI$9,2,FALSE)=0,"Spatial Data Missing ⚠",VLOOKUP(I78,'G-7 Rivers Data'!$AG$4:$AI$9,2,FALSE)))</f>
        <v/>
      </c>
      <c r="K78" s="499" t="str">
        <f>IF(I78="","",IF(VLOOKUP(I78,'G-7 Rivers Data'!$AG$4:$AI$9,3,FALSE)=0,"Spatial Data Missing ⚠",VLOOKUP(I78,'G-7 Rivers Data'!$AG$4:$AI$9,3,FALSE)))</f>
        <v/>
      </c>
      <c r="L78" s="498" t="str">
        <f>IFERROR(INDEX('G-7 Rivers Data'!$O$3:$O$7,MATCH(G78,'G-7 Rivers Data'!$N$3:$N$7,0)),"")</f>
        <v/>
      </c>
      <c r="M78" s="82"/>
      <c r="N78" s="195"/>
      <c r="O78" s="507" t="str">
        <f t="shared" si="7"/>
        <v/>
      </c>
      <c r="P78" s="521" t="str">
        <f t="shared" si="8"/>
        <v/>
      </c>
      <c r="Q78" s="564" t="str">
        <f>IFERROR(IF(P78="Check Data ⚠","Check Data ⚠",VLOOKUP(P78,'G-4 Temporal multipliers'!$A$4:$C$37,3,FALSE)),"")</f>
        <v/>
      </c>
      <c r="R78" s="498" t="str">
        <f>IF(C78="","",VLOOKUP(C78,'G-7 Rivers Data'!$B$4:$G$8,4,FALSE))</f>
        <v/>
      </c>
      <c r="S78" s="507" t="str">
        <f t="shared" si="9"/>
        <v/>
      </c>
      <c r="T78" s="540" t="str">
        <f t="shared" si="10"/>
        <v/>
      </c>
      <c r="U78" s="499" t="str">
        <f t="shared" si="11"/>
        <v/>
      </c>
      <c r="V78" s="71"/>
      <c r="W78" s="499" t="str">
        <f>IF(V78="","",IF(VLOOKUP(V78,'G-7 Rivers Data'!$AA$4:$AB$7,2,FALSE)=0,"Spatial Data Missing ⚠",VLOOKUP(V78,'G-7 Rivers Data'!$AA$4:$AB$7,2,FALSE)))</f>
        <v/>
      </c>
      <c r="X78" s="155"/>
      <c r="Y78" s="499" t="str">
        <f>IF(X78="","",IF(VLOOKUP(X78,'G-7 Rivers Data'!$AD$4:$AE$8,2,FALSE)=0,"Enrcoachment Data Missing ⚠",VLOOKUP(X78,'G-7 Rivers Data'!$AD$4:$AE$8,2,FALSE)))</f>
        <v/>
      </c>
      <c r="Z78" s="565" t="str">
        <f t="shared" si="12"/>
        <v/>
      </c>
      <c r="AA78" s="149"/>
      <c r="AB78" s="150"/>
      <c r="AH78" s="31" t="str">
        <f>IFERROR(INDEX('G-7 Rivers Data'!$AZ$3:$AZ$7,MATCH(C78,'G-7 Rivers Data'!$AY$3:$AY$7,0)),"")</f>
        <v/>
      </c>
    </row>
    <row r="79" spans="2:34" ht="13.8" x14ac:dyDescent="0.25">
      <c r="B79" s="141">
        <v>68</v>
      </c>
      <c r="C79" s="171"/>
      <c r="D79" s="172"/>
      <c r="E79" s="498" t="str">
        <f>IF(C79="","",VLOOKUP(C79,'G-7 Rivers Data'!$B$2:$G$8,2,FALSE))</f>
        <v/>
      </c>
      <c r="F79" s="499" t="str">
        <f>IFERROR(VLOOKUP(E79,'G-7 Rivers Data'!$C$4:$D$8,2,FALSE),"")</f>
        <v/>
      </c>
      <c r="G79" s="145"/>
      <c r="H79" s="499" t="str">
        <f>IFERROR(INDEX('G-7 Rivers Data'!$H$4:$L$8,MATCH(C79,'G-7 Rivers Data'!$B$4:$B$8,0),MATCH(G79,'G-7 Rivers Data'!$H$3:$L$3,0)),"")</f>
        <v/>
      </c>
      <c r="I79" s="154"/>
      <c r="J79" s="507" t="str">
        <f>IF(I79="","",IF(VLOOKUP(I79,'G-7 Rivers Data'!$AG$4:$AI$9,2,FALSE)=0,"Spatial Data Missing ⚠",VLOOKUP(I79,'G-7 Rivers Data'!$AG$4:$AI$9,2,FALSE)))</f>
        <v/>
      </c>
      <c r="K79" s="499" t="str">
        <f>IF(I79="","",IF(VLOOKUP(I79,'G-7 Rivers Data'!$AG$4:$AI$9,3,FALSE)=0,"Spatial Data Missing ⚠",VLOOKUP(I79,'G-7 Rivers Data'!$AG$4:$AI$9,3,FALSE)))</f>
        <v/>
      </c>
      <c r="L79" s="498" t="str">
        <f>IFERROR(INDEX('G-7 Rivers Data'!$O$3:$O$7,MATCH(G79,'G-7 Rivers Data'!$N$3:$N$7,0)),"")</f>
        <v/>
      </c>
      <c r="M79" s="82"/>
      <c r="N79" s="195"/>
      <c r="O79" s="507" t="str">
        <f t="shared" si="7"/>
        <v/>
      </c>
      <c r="P79" s="521" t="str">
        <f t="shared" si="8"/>
        <v/>
      </c>
      <c r="Q79" s="564" t="str">
        <f>IFERROR(IF(P79="Check Data ⚠","Check Data ⚠",VLOOKUP(P79,'G-4 Temporal multipliers'!$A$4:$C$37,3,FALSE)),"")</f>
        <v/>
      </c>
      <c r="R79" s="498" t="str">
        <f>IF(C79="","",VLOOKUP(C79,'G-7 Rivers Data'!$B$4:$G$8,4,FALSE))</f>
        <v/>
      </c>
      <c r="S79" s="507" t="str">
        <f t="shared" si="9"/>
        <v/>
      </c>
      <c r="T79" s="540" t="str">
        <f t="shared" si="10"/>
        <v/>
      </c>
      <c r="U79" s="499" t="str">
        <f t="shared" si="11"/>
        <v/>
      </c>
      <c r="V79" s="71"/>
      <c r="W79" s="499" t="str">
        <f>IF(V79="","",IF(VLOOKUP(V79,'G-7 Rivers Data'!$AA$4:$AB$7,2,FALSE)=0,"Spatial Data Missing ⚠",VLOOKUP(V79,'G-7 Rivers Data'!$AA$4:$AB$7,2,FALSE)))</f>
        <v/>
      </c>
      <c r="X79" s="155"/>
      <c r="Y79" s="499" t="str">
        <f>IF(X79="","",IF(VLOOKUP(X79,'G-7 Rivers Data'!$AD$4:$AE$8,2,FALSE)=0,"Enrcoachment Data Missing ⚠",VLOOKUP(X79,'G-7 Rivers Data'!$AD$4:$AE$8,2,FALSE)))</f>
        <v/>
      </c>
      <c r="Z79" s="565" t="str">
        <f t="shared" si="12"/>
        <v/>
      </c>
      <c r="AA79" s="149"/>
      <c r="AB79" s="150"/>
      <c r="AH79" s="31" t="str">
        <f>IFERROR(INDEX('G-7 Rivers Data'!$AZ$3:$AZ$7,MATCH(C79,'G-7 Rivers Data'!$AY$3:$AY$7,0)),"")</f>
        <v/>
      </c>
    </row>
    <row r="80" spans="2:34" ht="13.8" x14ac:dyDescent="0.25">
      <c r="B80" s="141">
        <v>69</v>
      </c>
      <c r="C80" s="171"/>
      <c r="D80" s="172"/>
      <c r="E80" s="498" t="str">
        <f>IF(C80="","",VLOOKUP(C80,'G-7 Rivers Data'!$B$2:$G$8,2,FALSE))</f>
        <v/>
      </c>
      <c r="F80" s="499" t="str">
        <f>IFERROR(VLOOKUP(E80,'G-7 Rivers Data'!$C$4:$D$8,2,FALSE),"")</f>
        <v/>
      </c>
      <c r="G80" s="145"/>
      <c r="H80" s="499" t="str">
        <f>IFERROR(INDEX('G-7 Rivers Data'!$H$4:$L$8,MATCH(C80,'G-7 Rivers Data'!$B$4:$B$8,0),MATCH(G80,'G-7 Rivers Data'!$H$3:$L$3,0)),"")</f>
        <v/>
      </c>
      <c r="I80" s="154"/>
      <c r="J80" s="507" t="str">
        <f>IF(I80="","",IF(VLOOKUP(I80,'G-7 Rivers Data'!$AG$4:$AI$9,2,FALSE)=0,"Spatial Data Missing ⚠",VLOOKUP(I80,'G-7 Rivers Data'!$AG$4:$AI$9,2,FALSE)))</f>
        <v/>
      </c>
      <c r="K80" s="499" t="str">
        <f>IF(I80="","",IF(VLOOKUP(I80,'G-7 Rivers Data'!$AG$4:$AI$9,3,FALSE)=0,"Spatial Data Missing ⚠",VLOOKUP(I80,'G-7 Rivers Data'!$AG$4:$AI$9,3,FALSE)))</f>
        <v/>
      </c>
      <c r="L80" s="498" t="str">
        <f>IFERROR(INDEX('G-7 Rivers Data'!$O$3:$O$7,MATCH(G80,'G-7 Rivers Data'!$N$3:$N$7,0)),"")</f>
        <v/>
      </c>
      <c r="M80" s="82"/>
      <c r="N80" s="195"/>
      <c r="O80" s="507" t="str">
        <f t="shared" si="7"/>
        <v/>
      </c>
      <c r="P80" s="521" t="str">
        <f t="shared" si="8"/>
        <v/>
      </c>
      <c r="Q80" s="564" t="str">
        <f>IFERROR(IF(P80="Check Data ⚠","Check Data ⚠",VLOOKUP(P80,'G-4 Temporal multipliers'!$A$4:$C$37,3,FALSE)),"")</f>
        <v/>
      </c>
      <c r="R80" s="498" t="str">
        <f>IF(C80="","",VLOOKUP(C80,'G-7 Rivers Data'!$B$4:$G$8,4,FALSE))</f>
        <v/>
      </c>
      <c r="S80" s="507" t="str">
        <f t="shared" si="9"/>
        <v/>
      </c>
      <c r="T80" s="540" t="str">
        <f t="shared" si="10"/>
        <v/>
      </c>
      <c r="U80" s="499" t="str">
        <f t="shared" si="11"/>
        <v/>
      </c>
      <c r="V80" s="71"/>
      <c r="W80" s="499" t="str">
        <f>IF(V80="","",IF(VLOOKUP(V80,'G-7 Rivers Data'!$AA$4:$AB$7,2,FALSE)=0,"Spatial Data Missing ⚠",VLOOKUP(V80,'G-7 Rivers Data'!$AA$4:$AB$7,2,FALSE)))</f>
        <v/>
      </c>
      <c r="X80" s="155"/>
      <c r="Y80" s="499" t="str">
        <f>IF(X80="","",IF(VLOOKUP(X80,'G-7 Rivers Data'!$AD$4:$AE$8,2,FALSE)=0,"Enrcoachment Data Missing ⚠",VLOOKUP(X80,'G-7 Rivers Data'!$AD$4:$AE$8,2,FALSE)))</f>
        <v/>
      </c>
      <c r="Z80" s="565" t="str">
        <f t="shared" si="12"/>
        <v/>
      </c>
      <c r="AA80" s="149"/>
      <c r="AB80" s="150"/>
      <c r="AH80" s="31" t="str">
        <f>IFERROR(INDEX('G-7 Rivers Data'!$AZ$3:$AZ$7,MATCH(C80,'G-7 Rivers Data'!$AY$3:$AY$7,0)),"")</f>
        <v/>
      </c>
    </row>
    <row r="81" spans="2:34" ht="13.8" x14ac:dyDescent="0.25">
      <c r="B81" s="141">
        <v>70</v>
      </c>
      <c r="C81" s="171"/>
      <c r="D81" s="172"/>
      <c r="E81" s="498" t="str">
        <f>IF(C81="","",VLOOKUP(C81,'G-7 Rivers Data'!$B$2:$G$8,2,FALSE))</f>
        <v/>
      </c>
      <c r="F81" s="499" t="str">
        <f>IFERROR(VLOOKUP(E81,'G-7 Rivers Data'!$C$4:$D$8,2,FALSE),"")</f>
        <v/>
      </c>
      <c r="G81" s="145"/>
      <c r="H81" s="499" t="str">
        <f>IFERROR(INDEX('G-7 Rivers Data'!$H$4:$L$8,MATCH(C81,'G-7 Rivers Data'!$B$4:$B$8,0),MATCH(G81,'G-7 Rivers Data'!$H$3:$L$3,0)),"")</f>
        <v/>
      </c>
      <c r="I81" s="154"/>
      <c r="J81" s="507" t="str">
        <f>IF(I81="","",IF(VLOOKUP(I81,'G-7 Rivers Data'!$AG$4:$AI$9,2,FALSE)=0,"Spatial Data Missing ⚠",VLOOKUP(I81,'G-7 Rivers Data'!$AG$4:$AI$9,2,FALSE)))</f>
        <v/>
      </c>
      <c r="K81" s="499" t="str">
        <f>IF(I81="","",IF(VLOOKUP(I81,'G-7 Rivers Data'!$AG$4:$AI$9,3,FALSE)=0,"Spatial Data Missing ⚠",VLOOKUP(I81,'G-7 Rivers Data'!$AG$4:$AI$9,3,FALSE)))</f>
        <v/>
      </c>
      <c r="L81" s="498" t="str">
        <f>IFERROR(INDEX('G-7 Rivers Data'!$O$3:$O$7,MATCH(G81,'G-7 Rivers Data'!$N$3:$N$7,0)),"")</f>
        <v/>
      </c>
      <c r="M81" s="82"/>
      <c r="N81" s="195"/>
      <c r="O81" s="507" t="str">
        <f t="shared" si="7"/>
        <v/>
      </c>
      <c r="P81" s="521" t="str">
        <f t="shared" si="8"/>
        <v/>
      </c>
      <c r="Q81" s="564" t="str">
        <f>IFERROR(IF(P81="Check Data ⚠","Check Data ⚠",VLOOKUP(P81,'G-4 Temporal multipliers'!$A$4:$C$37,3,FALSE)),"")</f>
        <v/>
      </c>
      <c r="R81" s="498" t="str">
        <f>IF(C81="","",VLOOKUP(C81,'G-7 Rivers Data'!$B$4:$G$8,4,FALSE))</f>
        <v/>
      </c>
      <c r="S81" s="507" t="str">
        <f t="shared" si="9"/>
        <v/>
      </c>
      <c r="T81" s="540" t="str">
        <f t="shared" si="10"/>
        <v/>
      </c>
      <c r="U81" s="499" t="str">
        <f t="shared" si="11"/>
        <v/>
      </c>
      <c r="V81" s="71"/>
      <c r="W81" s="499" t="str">
        <f>IF(V81="","",IF(VLOOKUP(V81,'G-7 Rivers Data'!$AA$4:$AB$7,2,FALSE)=0,"Spatial Data Missing ⚠",VLOOKUP(V81,'G-7 Rivers Data'!$AA$4:$AB$7,2,FALSE)))</f>
        <v/>
      </c>
      <c r="X81" s="155"/>
      <c r="Y81" s="499" t="str">
        <f>IF(X81="","",IF(VLOOKUP(X81,'G-7 Rivers Data'!$AD$4:$AE$8,2,FALSE)=0,"Enrcoachment Data Missing ⚠",VLOOKUP(X81,'G-7 Rivers Data'!$AD$4:$AE$8,2,FALSE)))</f>
        <v/>
      </c>
      <c r="Z81" s="565" t="str">
        <f t="shared" si="12"/>
        <v/>
      </c>
      <c r="AA81" s="149"/>
      <c r="AB81" s="150"/>
      <c r="AH81" s="31" t="str">
        <f>IFERROR(INDEX('G-7 Rivers Data'!$AZ$3:$AZ$7,MATCH(C81,'G-7 Rivers Data'!$AY$3:$AY$7,0)),"")</f>
        <v/>
      </c>
    </row>
    <row r="82" spans="2:34" ht="13.8" x14ac:dyDescent="0.25">
      <c r="B82" s="141">
        <v>71</v>
      </c>
      <c r="C82" s="171"/>
      <c r="D82" s="172"/>
      <c r="E82" s="498" t="str">
        <f>IF(C82="","",VLOOKUP(C82,'G-7 Rivers Data'!$B$2:$G$8,2,FALSE))</f>
        <v/>
      </c>
      <c r="F82" s="499" t="str">
        <f>IFERROR(VLOOKUP(E82,'G-7 Rivers Data'!$C$4:$D$8,2,FALSE),"")</f>
        <v/>
      </c>
      <c r="G82" s="145"/>
      <c r="H82" s="499" t="str">
        <f>IFERROR(INDEX('G-7 Rivers Data'!$H$4:$L$8,MATCH(C82,'G-7 Rivers Data'!$B$4:$B$8,0),MATCH(G82,'G-7 Rivers Data'!$H$3:$L$3,0)),"")</f>
        <v/>
      </c>
      <c r="I82" s="154"/>
      <c r="J82" s="507" t="str">
        <f>IF(I82="","",IF(VLOOKUP(I82,'G-7 Rivers Data'!$AG$4:$AI$9,2,FALSE)=0,"Spatial Data Missing ⚠",VLOOKUP(I82,'G-7 Rivers Data'!$AG$4:$AI$9,2,FALSE)))</f>
        <v/>
      </c>
      <c r="K82" s="499" t="str">
        <f>IF(I82="","",IF(VLOOKUP(I82,'G-7 Rivers Data'!$AG$4:$AI$9,3,FALSE)=0,"Spatial Data Missing ⚠",VLOOKUP(I82,'G-7 Rivers Data'!$AG$4:$AI$9,3,FALSE)))</f>
        <v/>
      </c>
      <c r="L82" s="498" t="str">
        <f>IFERROR(INDEX('G-7 Rivers Data'!$O$3:$O$7,MATCH(G82,'G-7 Rivers Data'!$N$3:$N$7,0)),"")</f>
        <v/>
      </c>
      <c r="M82" s="82"/>
      <c r="N82" s="195"/>
      <c r="O82" s="507" t="str">
        <f t="shared" si="7"/>
        <v/>
      </c>
      <c r="P82" s="521" t="str">
        <f t="shared" si="8"/>
        <v/>
      </c>
      <c r="Q82" s="564" t="str">
        <f>IFERROR(IF(P82="Check Data ⚠","Check Data ⚠",VLOOKUP(P82,'G-4 Temporal multipliers'!$A$4:$C$37,3,FALSE)),"")</f>
        <v/>
      </c>
      <c r="R82" s="498" t="str">
        <f>IF(C82="","",VLOOKUP(C82,'G-7 Rivers Data'!$B$4:$G$8,4,FALSE))</f>
        <v/>
      </c>
      <c r="S82" s="507" t="str">
        <f t="shared" si="9"/>
        <v/>
      </c>
      <c r="T82" s="540" t="str">
        <f t="shared" si="10"/>
        <v/>
      </c>
      <c r="U82" s="499" t="str">
        <f t="shared" si="11"/>
        <v/>
      </c>
      <c r="V82" s="71"/>
      <c r="W82" s="499" t="str">
        <f>IF(V82="","",IF(VLOOKUP(V82,'G-7 Rivers Data'!$AA$4:$AB$7,2,FALSE)=0,"Spatial Data Missing ⚠",VLOOKUP(V82,'G-7 Rivers Data'!$AA$4:$AB$7,2,FALSE)))</f>
        <v/>
      </c>
      <c r="X82" s="155"/>
      <c r="Y82" s="499" t="str">
        <f>IF(X82="","",IF(VLOOKUP(X82,'G-7 Rivers Data'!$AD$4:$AE$8,2,FALSE)=0,"Enrcoachment Data Missing ⚠",VLOOKUP(X82,'G-7 Rivers Data'!$AD$4:$AE$8,2,FALSE)))</f>
        <v/>
      </c>
      <c r="Z82" s="565" t="str">
        <f t="shared" si="12"/>
        <v/>
      </c>
      <c r="AA82" s="149"/>
      <c r="AB82" s="150"/>
      <c r="AH82" s="31" t="str">
        <f>IFERROR(INDEX('G-7 Rivers Data'!$AZ$3:$AZ$7,MATCH(C82,'G-7 Rivers Data'!$AY$3:$AY$7,0)),"")</f>
        <v/>
      </c>
    </row>
    <row r="83" spans="2:34" ht="13.8" x14ac:dyDescent="0.25">
      <c r="B83" s="141">
        <v>72</v>
      </c>
      <c r="C83" s="171"/>
      <c r="D83" s="172"/>
      <c r="E83" s="498" t="str">
        <f>IF(C83="","",VLOOKUP(C83,'G-7 Rivers Data'!$B$2:$G$8,2,FALSE))</f>
        <v/>
      </c>
      <c r="F83" s="499" t="str">
        <f>IFERROR(VLOOKUP(E83,'G-7 Rivers Data'!$C$4:$D$8,2,FALSE),"")</f>
        <v/>
      </c>
      <c r="G83" s="145"/>
      <c r="H83" s="499" t="str">
        <f>IFERROR(INDEX('G-7 Rivers Data'!$H$4:$L$8,MATCH(C83,'G-7 Rivers Data'!$B$4:$B$8,0),MATCH(G83,'G-7 Rivers Data'!$H$3:$L$3,0)),"")</f>
        <v/>
      </c>
      <c r="I83" s="154"/>
      <c r="J83" s="507" t="str">
        <f>IF(I83="","",IF(VLOOKUP(I83,'G-7 Rivers Data'!$AG$4:$AI$9,2,FALSE)=0,"Spatial Data Missing ⚠",VLOOKUP(I83,'G-7 Rivers Data'!$AG$4:$AI$9,2,FALSE)))</f>
        <v/>
      </c>
      <c r="K83" s="499" t="str">
        <f>IF(I83="","",IF(VLOOKUP(I83,'G-7 Rivers Data'!$AG$4:$AI$9,3,FALSE)=0,"Spatial Data Missing ⚠",VLOOKUP(I83,'G-7 Rivers Data'!$AG$4:$AI$9,3,FALSE)))</f>
        <v/>
      </c>
      <c r="L83" s="498" t="str">
        <f>IFERROR(INDEX('G-7 Rivers Data'!$O$3:$O$7,MATCH(G83,'G-7 Rivers Data'!$N$3:$N$7,0)),"")</f>
        <v/>
      </c>
      <c r="M83" s="82"/>
      <c r="N83" s="195"/>
      <c r="O83" s="507" t="str">
        <f t="shared" si="7"/>
        <v/>
      </c>
      <c r="P83" s="521" t="str">
        <f t="shared" si="8"/>
        <v/>
      </c>
      <c r="Q83" s="564" t="str">
        <f>IFERROR(IF(P83="Check Data ⚠","Check Data ⚠",VLOOKUP(P83,'G-4 Temporal multipliers'!$A$4:$C$37,3,FALSE)),"")</f>
        <v/>
      </c>
      <c r="R83" s="498" t="str">
        <f>IF(C83="","",VLOOKUP(C83,'G-7 Rivers Data'!$B$4:$G$8,4,FALSE))</f>
        <v/>
      </c>
      <c r="S83" s="507" t="str">
        <f t="shared" si="9"/>
        <v/>
      </c>
      <c r="T83" s="540" t="str">
        <f t="shared" si="10"/>
        <v/>
      </c>
      <c r="U83" s="499" t="str">
        <f t="shared" si="11"/>
        <v/>
      </c>
      <c r="V83" s="71"/>
      <c r="W83" s="499" t="str">
        <f>IF(V83="","",IF(VLOOKUP(V83,'G-7 Rivers Data'!$AA$4:$AB$7,2,FALSE)=0,"Spatial Data Missing ⚠",VLOOKUP(V83,'G-7 Rivers Data'!$AA$4:$AB$7,2,FALSE)))</f>
        <v/>
      </c>
      <c r="X83" s="155"/>
      <c r="Y83" s="499" t="str">
        <f>IF(X83="","",IF(VLOOKUP(X83,'G-7 Rivers Data'!$AD$4:$AE$8,2,FALSE)=0,"Enrcoachment Data Missing ⚠",VLOOKUP(X83,'G-7 Rivers Data'!$AD$4:$AE$8,2,FALSE)))</f>
        <v/>
      </c>
      <c r="Z83" s="565" t="str">
        <f t="shared" si="12"/>
        <v/>
      </c>
      <c r="AA83" s="149"/>
      <c r="AB83" s="150"/>
      <c r="AH83" s="31" t="str">
        <f>IFERROR(INDEX('G-7 Rivers Data'!$AZ$3:$AZ$7,MATCH(C83,'G-7 Rivers Data'!$AY$3:$AY$7,0)),"")</f>
        <v/>
      </c>
    </row>
    <row r="84" spans="2:34" ht="13.8" x14ac:dyDescent="0.25">
      <c r="B84" s="141">
        <v>73</v>
      </c>
      <c r="C84" s="171"/>
      <c r="D84" s="172"/>
      <c r="E84" s="498" t="str">
        <f>IF(C84="","",VLOOKUP(C84,'G-7 Rivers Data'!$B$2:$G$8,2,FALSE))</f>
        <v/>
      </c>
      <c r="F84" s="499" t="str">
        <f>IFERROR(VLOOKUP(E84,'G-7 Rivers Data'!$C$4:$D$8,2,FALSE),"")</f>
        <v/>
      </c>
      <c r="G84" s="145"/>
      <c r="H84" s="499" t="str">
        <f>IFERROR(INDEX('G-7 Rivers Data'!$H$4:$L$8,MATCH(C84,'G-7 Rivers Data'!$B$4:$B$8,0),MATCH(G84,'G-7 Rivers Data'!$H$3:$L$3,0)),"")</f>
        <v/>
      </c>
      <c r="I84" s="154"/>
      <c r="J84" s="507" t="str">
        <f>IF(I84="","",IF(VLOOKUP(I84,'G-7 Rivers Data'!$AG$4:$AI$9,2,FALSE)=0,"Spatial Data Missing ⚠",VLOOKUP(I84,'G-7 Rivers Data'!$AG$4:$AI$9,2,FALSE)))</f>
        <v/>
      </c>
      <c r="K84" s="499" t="str">
        <f>IF(I84="","",IF(VLOOKUP(I84,'G-7 Rivers Data'!$AG$4:$AI$9,3,FALSE)=0,"Spatial Data Missing ⚠",VLOOKUP(I84,'G-7 Rivers Data'!$AG$4:$AI$9,3,FALSE)))</f>
        <v/>
      </c>
      <c r="L84" s="498" t="str">
        <f>IFERROR(INDEX('G-7 Rivers Data'!$O$3:$O$7,MATCH(G84,'G-7 Rivers Data'!$N$3:$N$7,0)),"")</f>
        <v/>
      </c>
      <c r="M84" s="82"/>
      <c r="N84" s="195"/>
      <c r="O84" s="507" t="str">
        <f t="shared" si="7"/>
        <v/>
      </c>
      <c r="P84" s="521" t="str">
        <f t="shared" si="8"/>
        <v/>
      </c>
      <c r="Q84" s="564" t="str">
        <f>IFERROR(IF(P84="Check Data ⚠","Check Data ⚠",VLOOKUP(P84,'G-4 Temporal multipliers'!$A$4:$C$37,3,FALSE)),"")</f>
        <v/>
      </c>
      <c r="R84" s="498" t="str">
        <f>IF(C84="","",VLOOKUP(C84,'G-7 Rivers Data'!$B$4:$G$8,4,FALSE))</f>
        <v/>
      </c>
      <c r="S84" s="507" t="str">
        <f t="shared" si="9"/>
        <v/>
      </c>
      <c r="T84" s="540" t="str">
        <f t="shared" si="10"/>
        <v/>
      </c>
      <c r="U84" s="499" t="str">
        <f t="shared" si="11"/>
        <v/>
      </c>
      <c r="V84" s="71"/>
      <c r="W84" s="499" t="str">
        <f>IF(V84="","",IF(VLOOKUP(V84,'G-7 Rivers Data'!$AA$4:$AB$7,2,FALSE)=0,"Spatial Data Missing ⚠",VLOOKUP(V84,'G-7 Rivers Data'!$AA$4:$AB$7,2,FALSE)))</f>
        <v/>
      </c>
      <c r="X84" s="155"/>
      <c r="Y84" s="499" t="str">
        <f>IF(X84="","",IF(VLOOKUP(X84,'G-7 Rivers Data'!$AD$4:$AE$8,2,FALSE)=0,"Enrcoachment Data Missing ⚠",VLOOKUP(X84,'G-7 Rivers Data'!$AD$4:$AE$8,2,FALSE)))</f>
        <v/>
      </c>
      <c r="Z84" s="565" t="str">
        <f t="shared" si="12"/>
        <v/>
      </c>
      <c r="AA84" s="149"/>
      <c r="AB84" s="150"/>
      <c r="AH84" s="31" t="str">
        <f>IFERROR(INDEX('G-7 Rivers Data'!$AZ$3:$AZ$7,MATCH(C84,'G-7 Rivers Data'!$AY$3:$AY$7,0)),"")</f>
        <v/>
      </c>
    </row>
    <row r="85" spans="2:34" ht="13.8" x14ac:dyDescent="0.25">
      <c r="B85" s="141">
        <v>74</v>
      </c>
      <c r="C85" s="171"/>
      <c r="D85" s="172"/>
      <c r="E85" s="498" t="str">
        <f>IF(C85="","",VLOOKUP(C85,'G-7 Rivers Data'!$B$2:$G$8,2,FALSE))</f>
        <v/>
      </c>
      <c r="F85" s="499" t="str">
        <f>IFERROR(VLOOKUP(E85,'G-7 Rivers Data'!$C$4:$D$8,2,FALSE),"")</f>
        <v/>
      </c>
      <c r="G85" s="145"/>
      <c r="H85" s="499" t="str">
        <f>IFERROR(INDEX('G-7 Rivers Data'!$H$4:$L$8,MATCH(C85,'G-7 Rivers Data'!$B$4:$B$8,0),MATCH(G85,'G-7 Rivers Data'!$H$3:$L$3,0)),"")</f>
        <v/>
      </c>
      <c r="I85" s="154"/>
      <c r="J85" s="507" t="str">
        <f>IF(I85="","",IF(VLOOKUP(I85,'G-7 Rivers Data'!$AG$4:$AI$9,2,FALSE)=0,"Spatial Data Missing ⚠",VLOOKUP(I85,'G-7 Rivers Data'!$AG$4:$AI$9,2,FALSE)))</f>
        <v/>
      </c>
      <c r="K85" s="499" t="str">
        <f>IF(I85="","",IF(VLOOKUP(I85,'G-7 Rivers Data'!$AG$4:$AI$9,3,FALSE)=0,"Spatial Data Missing ⚠",VLOOKUP(I85,'G-7 Rivers Data'!$AG$4:$AI$9,3,FALSE)))</f>
        <v/>
      </c>
      <c r="L85" s="498" t="str">
        <f>IFERROR(INDEX('G-7 Rivers Data'!$O$3:$O$7,MATCH(G85,'G-7 Rivers Data'!$N$3:$N$7,0)),"")</f>
        <v/>
      </c>
      <c r="M85" s="82"/>
      <c r="N85" s="195"/>
      <c r="O85" s="507" t="str">
        <f t="shared" si="7"/>
        <v/>
      </c>
      <c r="P85" s="521" t="str">
        <f t="shared" si="8"/>
        <v/>
      </c>
      <c r="Q85" s="564" t="str">
        <f>IFERROR(IF(P85="Check Data ⚠","Check Data ⚠",VLOOKUP(P85,'G-4 Temporal multipliers'!$A$4:$C$37,3,FALSE)),"")</f>
        <v/>
      </c>
      <c r="R85" s="498" t="str">
        <f>IF(C85="","",VLOOKUP(C85,'G-7 Rivers Data'!$B$4:$G$8,4,FALSE))</f>
        <v/>
      </c>
      <c r="S85" s="507" t="str">
        <f t="shared" si="9"/>
        <v/>
      </c>
      <c r="T85" s="540" t="str">
        <f t="shared" si="10"/>
        <v/>
      </c>
      <c r="U85" s="499" t="str">
        <f t="shared" si="11"/>
        <v/>
      </c>
      <c r="V85" s="71"/>
      <c r="W85" s="499" t="str">
        <f>IF(V85="","",IF(VLOOKUP(V85,'G-7 Rivers Data'!$AA$4:$AB$7,2,FALSE)=0,"Spatial Data Missing ⚠",VLOOKUP(V85,'G-7 Rivers Data'!$AA$4:$AB$7,2,FALSE)))</f>
        <v/>
      </c>
      <c r="X85" s="155"/>
      <c r="Y85" s="499" t="str">
        <f>IF(X85="","",IF(VLOOKUP(X85,'G-7 Rivers Data'!$AD$4:$AE$8,2,FALSE)=0,"Enrcoachment Data Missing ⚠",VLOOKUP(X85,'G-7 Rivers Data'!$AD$4:$AE$8,2,FALSE)))</f>
        <v/>
      </c>
      <c r="Z85" s="565" t="str">
        <f t="shared" si="12"/>
        <v/>
      </c>
      <c r="AA85" s="149"/>
      <c r="AB85" s="150"/>
      <c r="AH85" s="31" t="str">
        <f>IFERROR(INDEX('G-7 Rivers Data'!$AZ$3:$AZ$7,MATCH(C85,'G-7 Rivers Data'!$AY$3:$AY$7,0)),"")</f>
        <v/>
      </c>
    </row>
    <row r="86" spans="2:34" ht="13.8" x14ac:dyDescent="0.25">
      <c r="B86" s="141">
        <v>75</v>
      </c>
      <c r="C86" s="171"/>
      <c r="D86" s="172"/>
      <c r="E86" s="498" t="str">
        <f>IF(C86="","",VLOOKUP(C86,'G-7 Rivers Data'!$B$2:$G$8,2,FALSE))</f>
        <v/>
      </c>
      <c r="F86" s="499" t="str">
        <f>IFERROR(VLOOKUP(E86,'G-7 Rivers Data'!$C$4:$D$8,2,FALSE),"")</f>
        <v/>
      </c>
      <c r="G86" s="145"/>
      <c r="H86" s="499" t="str">
        <f>IFERROR(INDEX('G-7 Rivers Data'!$H$4:$L$8,MATCH(C86,'G-7 Rivers Data'!$B$4:$B$8,0),MATCH(G86,'G-7 Rivers Data'!$H$3:$L$3,0)),"")</f>
        <v/>
      </c>
      <c r="I86" s="154"/>
      <c r="J86" s="507" t="str">
        <f>IF(I86="","",IF(VLOOKUP(I86,'G-7 Rivers Data'!$AG$4:$AI$9,2,FALSE)=0,"Spatial Data Missing ⚠",VLOOKUP(I86,'G-7 Rivers Data'!$AG$4:$AI$9,2,FALSE)))</f>
        <v/>
      </c>
      <c r="K86" s="499" t="str">
        <f>IF(I86="","",IF(VLOOKUP(I86,'G-7 Rivers Data'!$AG$4:$AI$9,3,FALSE)=0,"Spatial Data Missing ⚠",VLOOKUP(I86,'G-7 Rivers Data'!$AG$4:$AI$9,3,FALSE)))</f>
        <v/>
      </c>
      <c r="L86" s="498" t="str">
        <f>IFERROR(INDEX('G-7 Rivers Data'!$O$3:$O$7,MATCH(G86,'G-7 Rivers Data'!$N$3:$N$7,0)),"")</f>
        <v/>
      </c>
      <c r="M86" s="82"/>
      <c r="N86" s="195"/>
      <c r="O86" s="507" t="str">
        <f t="shared" si="7"/>
        <v/>
      </c>
      <c r="P86" s="521" t="str">
        <f t="shared" si="8"/>
        <v/>
      </c>
      <c r="Q86" s="564" t="str">
        <f>IFERROR(IF(P86="Check Data ⚠","Check Data ⚠",VLOOKUP(P86,'G-4 Temporal multipliers'!$A$4:$C$37,3,FALSE)),"")</f>
        <v/>
      </c>
      <c r="R86" s="498" t="str">
        <f>IF(C86="","",VLOOKUP(C86,'G-7 Rivers Data'!$B$4:$G$8,4,FALSE))</f>
        <v/>
      </c>
      <c r="S86" s="507" t="str">
        <f t="shared" si="9"/>
        <v/>
      </c>
      <c r="T86" s="540" t="str">
        <f t="shared" si="10"/>
        <v/>
      </c>
      <c r="U86" s="499" t="str">
        <f t="shared" si="11"/>
        <v/>
      </c>
      <c r="V86" s="71"/>
      <c r="W86" s="499" t="str">
        <f>IF(V86="","",IF(VLOOKUP(V86,'G-7 Rivers Data'!$AA$4:$AB$7,2,FALSE)=0,"Spatial Data Missing ⚠",VLOOKUP(V86,'G-7 Rivers Data'!$AA$4:$AB$7,2,FALSE)))</f>
        <v/>
      </c>
      <c r="X86" s="155"/>
      <c r="Y86" s="499" t="str">
        <f>IF(X86="","",IF(VLOOKUP(X86,'G-7 Rivers Data'!$AD$4:$AE$8,2,FALSE)=0,"Enrcoachment Data Missing ⚠",VLOOKUP(X86,'G-7 Rivers Data'!$AD$4:$AE$8,2,FALSE)))</f>
        <v/>
      </c>
      <c r="Z86" s="565" t="str">
        <f t="shared" si="12"/>
        <v/>
      </c>
      <c r="AA86" s="149"/>
      <c r="AB86" s="150"/>
      <c r="AH86" s="31" t="str">
        <f>IFERROR(INDEX('G-7 Rivers Data'!$AZ$3:$AZ$7,MATCH(C86,'G-7 Rivers Data'!$AY$3:$AY$7,0)),"")</f>
        <v/>
      </c>
    </row>
    <row r="87" spans="2:34" ht="13.8" x14ac:dyDescent="0.25">
      <c r="B87" s="141">
        <v>76</v>
      </c>
      <c r="C87" s="171"/>
      <c r="D87" s="172"/>
      <c r="E87" s="498" t="str">
        <f>IF(C87="","",VLOOKUP(C87,'G-7 Rivers Data'!$B$2:$G$8,2,FALSE))</f>
        <v/>
      </c>
      <c r="F87" s="499" t="str">
        <f>IFERROR(VLOOKUP(E87,'G-7 Rivers Data'!$C$4:$D$8,2,FALSE),"")</f>
        <v/>
      </c>
      <c r="G87" s="145"/>
      <c r="H87" s="499" t="str">
        <f>IFERROR(INDEX('G-7 Rivers Data'!$H$4:$L$8,MATCH(C87,'G-7 Rivers Data'!$B$4:$B$8,0),MATCH(G87,'G-7 Rivers Data'!$H$3:$L$3,0)),"")</f>
        <v/>
      </c>
      <c r="I87" s="154"/>
      <c r="J87" s="507" t="str">
        <f>IF(I87="","",IF(VLOOKUP(I87,'G-7 Rivers Data'!$AG$4:$AI$9,2,FALSE)=0,"Spatial Data Missing ⚠",VLOOKUP(I87,'G-7 Rivers Data'!$AG$4:$AI$9,2,FALSE)))</f>
        <v/>
      </c>
      <c r="K87" s="499" t="str">
        <f>IF(I87="","",IF(VLOOKUP(I87,'G-7 Rivers Data'!$AG$4:$AI$9,3,FALSE)=0,"Spatial Data Missing ⚠",VLOOKUP(I87,'G-7 Rivers Data'!$AG$4:$AI$9,3,FALSE)))</f>
        <v/>
      </c>
      <c r="L87" s="498" t="str">
        <f>IFERROR(INDEX('G-7 Rivers Data'!$O$3:$O$7,MATCH(G87,'G-7 Rivers Data'!$N$3:$N$7,0)),"")</f>
        <v/>
      </c>
      <c r="M87" s="82"/>
      <c r="N87" s="195"/>
      <c r="O87" s="507" t="str">
        <f t="shared" si="7"/>
        <v/>
      </c>
      <c r="P87" s="521" t="str">
        <f t="shared" si="8"/>
        <v/>
      </c>
      <c r="Q87" s="564" t="str">
        <f>IFERROR(IF(P87="Check Data ⚠","Check Data ⚠",VLOOKUP(P87,'G-4 Temporal multipliers'!$A$4:$C$37,3,FALSE)),"")</f>
        <v/>
      </c>
      <c r="R87" s="498" t="str">
        <f>IF(C87="","",VLOOKUP(C87,'G-7 Rivers Data'!$B$4:$G$8,4,FALSE))</f>
        <v/>
      </c>
      <c r="S87" s="507" t="str">
        <f t="shared" si="9"/>
        <v/>
      </c>
      <c r="T87" s="540" t="str">
        <f t="shared" si="10"/>
        <v/>
      </c>
      <c r="U87" s="499" t="str">
        <f t="shared" si="11"/>
        <v/>
      </c>
      <c r="V87" s="71"/>
      <c r="W87" s="499" t="str">
        <f>IF(V87="","",IF(VLOOKUP(V87,'G-7 Rivers Data'!$AA$4:$AB$7,2,FALSE)=0,"Spatial Data Missing ⚠",VLOOKUP(V87,'G-7 Rivers Data'!$AA$4:$AB$7,2,FALSE)))</f>
        <v/>
      </c>
      <c r="X87" s="155"/>
      <c r="Y87" s="499" t="str">
        <f>IF(X87="","",IF(VLOOKUP(X87,'G-7 Rivers Data'!$AD$4:$AE$8,2,FALSE)=0,"Enrcoachment Data Missing ⚠",VLOOKUP(X87,'G-7 Rivers Data'!$AD$4:$AE$8,2,FALSE)))</f>
        <v/>
      </c>
      <c r="Z87" s="565" t="str">
        <f t="shared" si="12"/>
        <v/>
      </c>
      <c r="AA87" s="149"/>
      <c r="AB87" s="150"/>
      <c r="AH87" s="31" t="str">
        <f>IFERROR(INDEX('G-7 Rivers Data'!$AZ$3:$AZ$7,MATCH(C87,'G-7 Rivers Data'!$AY$3:$AY$7,0)),"")</f>
        <v/>
      </c>
    </row>
    <row r="88" spans="2:34" ht="13.8" x14ac:dyDescent="0.25">
      <c r="B88" s="141">
        <v>77</v>
      </c>
      <c r="C88" s="171"/>
      <c r="D88" s="172"/>
      <c r="E88" s="498" t="str">
        <f>IF(C88="","",VLOOKUP(C88,'G-7 Rivers Data'!$B$2:$G$8,2,FALSE))</f>
        <v/>
      </c>
      <c r="F88" s="499" t="str">
        <f>IFERROR(VLOOKUP(E88,'G-7 Rivers Data'!$C$4:$D$8,2,FALSE),"")</f>
        <v/>
      </c>
      <c r="G88" s="145"/>
      <c r="H88" s="499" t="str">
        <f>IFERROR(INDEX('G-7 Rivers Data'!$H$4:$L$8,MATCH(C88,'G-7 Rivers Data'!$B$4:$B$8,0),MATCH(G88,'G-7 Rivers Data'!$H$3:$L$3,0)),"")</f>
        <v/>
      </c>
      <c r="I88" s="154"/>
      <c r="J88" s="507" t="str">
        <f>IF(I88="","",IF(VLOOKUP(I88,'G-7 Rivers Data'!$AG$4:$AI$9,2,FALSE)=0,"Spatial Data Missing ⚠",VLOOKUP(I88,'G-7 Rivers Data'!$AG$4:$AI$9,2,FALSE)))</f>
        <v/>
      </c>
      <c r="K88" s="499" t="str">
        <f>IF(I88="","",IF(VLOOKUP(I88,'G-7 Rivers Data'!$AG$4:$AI$9,3,FALSE)=0,"Spatial Data Missing ⚠",VLOOKUP(I88,'G-7 Rivers Data'!$AG$4:$AI$9,3,FALSE)))</f>
        <v/>
      </c>
      <c r="L88" s="498" t="str">
        <f>IFERROR(INDEX('G-7 Rivers Data'!$O$3:$O$7,MATCH(G88,'G-7 Rivers Data'!$N$3:$N$7,0)),"")</f>
        <v/>
      </c>
      <c r="M88" s="82"/>
      <c r="N88" s="195"/>
      <c r="O88" s="507" t="str">
        <f t="shared" si="7"/>
        <v/>
      </c>
      <c r="P88" s="521" t="str">
        <f t="shared" si="8"/>
        <v/>
      </c>
      <c r="Q88" s="564" t="str">
        <f>IFERROR(IF(P88="Check Data ⚠","Check Data ⚠",VLOOKUP(P88,'G-4 Temporal multipliers'!$A$4:$C$37,3,FALSE)),"")</f>
        <v/>
      </c>
      <c r="R88" s="498" t="str">
        <f>IF(C88="","",VLOOKUP(C88,'G-7 Rivers Data'!$B$4:$G$8,4,FALSE))</f>
        <v/>
      </c>
      <c r="S88" s="507" t="str">
        <f t="shared" si="9"/>
        <v/>
      </c>
      <c r="T88" s="540" t="str">
        <f t="shared" si="10"/>
        <v/>
      </c>
      <c r="U88" s="499" t="str">
        <f t="shared" si="11"/>
        <v/>
      </c>
      <c r="V88" s="71"/>
      <c r="W88" s="499" t="str">
        <f>IF(V88="","",IF(VLOOKUP(V88,'G-7 Rivers Data'!$AA$4:$AB$7,2,FALSE)=0,"Spatial Data Missing ⚠",VLOOKUP(V88,'G-7 Rivers Data'!$AA$4:$AB$7,2,FALSE)))</f>
        <v/>
      </c>
      <c r="X88" s="155"/>
      <c r="Y88" s="499" t="str">
        <f>IF(X88="","",IF(VLOOKUP(X88,'G-7 Rivers Data'!$AD$4:$AE$8,2,FALSE)=0,"Enrcoachment Data Missing ⚠",VLOOKUP(X88,'G-7 Rivers Data'!$AD$4:$AE$8,2,FALSE)))</f>
        <v/>
      </c>
      <c r="Z88" s="565" t="str">
        <f t="shared" si="12"/>
        <v/>
      </c>
      <c r="AA88" s="149"/>
      <c r="AB88" s="150"/>
      <c r="AH88" s="31" t="str">
        <f>IFERROR(INDEX('G-7 Rivers Data'!$AZ$3:$AZ$7,MATCH(C88,'G-7 Rivers Data'!$AY$3:$AY$7,0)),"")</f>
        <v/>
      </c>
    </row>
    <row r="89" spans="2:34" ht="13.8" x14ac:dyDescent="0.25">
      <c r="B89" s="141">
        <v>78</v>
      </c>
      <c r="C89" s="171"/>
      <c r="D89" s="172"/>
      <c r="E89" s="498" t="str">
        <f>IF(C89="","",VLOOKUP(C89,'G-7 Rivers Data'!$B$2:$G$8,2,FALSE))</f>
        <v/>
      </c>
      <c r="F89" s="499" t="str">
        <f>IFERROR(VLOOKUP(E89,'G-7 Rivers Data'!$C$4:$D$8,2,FALSE),"")</f>
        <v/>
      </c>
      <c r="G89" s="145"/>
      <c r="H89" s="499" t="str">
        <f>IFERROR(INDEX('G-7 Rivers Data'!$H$4:$L$8,MATCH(C89,'G-7 Rivers Data'!$B$4:$B$8,0),MATCH(G89,'G-7 Rivers Data'!$H$3:$L$3,0)),"")</f>
        <v/>
      </c>
      <c r="I89" s="154"/>
      <c r="J89" s="507" t="str">
        <f>IF(I89="","",IF(VLOOKUP(I89,'G-7 Rivers Data'!$AG$4:$AI$9,2,FALSE)=0,"Spatial Data Missing ⚠",VLOOKUP(I89,'G-7 Rivers Data'!$AG$4:$AI$9,2,FALSE)))</f>
        <v/>
      </c>
      <c r="K89" s="499" t="str">
        <f>IF(I89="","",IF(VLOOKUP(I89,'G-7 Rivers Data'!$AG$4:$AI$9,3,FALSE)=0,"Spatial Data Missing ⚠",VLOOKUP(I89,'G-7 Rivers Data'!$AG$4:$AI$9,3,FALSE)))</f>
        <v/>
      </c>
      <c r="L89" s="498" t="str">
        <f>IFERROR(INDEX('G-7 Rivers Data'!$O$3:$O$7,MATCH(G89,'G-7 Rivers Data'!$N$3:$N$7,0)),"")</f>
        <v/>
      </c>
      <c r="M89" s="82"/>
      <c r="N89" s="195"/>
      <c r="O89" s="507" t="str">
        <f t="shared" si="7"/>
        <v/>
      </c>
      <c r="P89" s="521" t="str">
        <f t="shared" si="8"/>
        <v/>
      </c>
      <c r="Q89" s="564" t="str">
        <f>IFERROR(IF(P89="Check Data ⚠","Check Data ⚠",VLOOKUP(P89,'G-4 Temporal multipliers'!$A$4:$C$37,3,FALSE)),"")</f>
        <v/>
      </c>
      <c r="R89" s="498" t="str">
        <f>IF(C89="","",VLOOKUP(C89,'G-7 Rivers Data'!$B$4:$G$8,4,FALSE))</f>
        <v/>
      </c>
      <c r="S89" s="507" t="str">
        <f t="shared" si="9"/>
        <v/>
      </c>
      <c r="T89" s="540" t="str">
        <f t="shared" si="10"/>
        <v/>
      </c>
      <c r="U89" s="499" t="str">
        <f t="shared" si="11"/>
        <v/>
      </c>
      <c r="V89" s="71"/>
      <c r="W89" s="499" t="str">
        <f>IF(V89="","",IF(VLOOKUP(V89,'G-7 Rivers Data'!$AA$4:$AB$7,2,FALSE)=0,"Spatial Data Missing ⚠",VLOOKUP(V89,'G-7 Rivers Data'!$AA$4:$AB$7,2,FALSE)))</f>
        <v/>
      </c>
      <c r="X89" s="155"/>
      <c r="Y89" s="499" t="str">
        <f>IF(X89="","",IF(VLOOKUP(X89,'G-7 Rivers Data'!$AD$4:$AE$8,2,FALSE)=0,"Enrcoachment Data Missing ⚠",VLOOKUP(X89,'G-7 Rivers Data'!$AD$4:$AE$8,2,FALSE)))</f>
        <v/>
      </c>
      <c r="Z89" s="565" t="str">
        <f t="shared" si="12"/>
        <v/>
      </c>
      <c r="AA89" s="149"/>
      <c r="AB89" s="150"/>
      <c r="AH89" s="31" t="str">
        <f>IFERROR(INDEX('G-7 Rivers Data'!$AZ$3:$AZ$7,MATCH(C89,'G-7 Rivers Data'!$AY$3:$AY$7,0)),"")</f>
        <v/>
      </c>
    </row>
    <row r="90" spans="2:34" ht="13.8" x14ac:dyDescent="0.25">
      <c r="B90" s="141">
        <v>79</v>
      </c>
      <c r="C90" s="171"/>
      <c r="D90" s="172"/>
      <c r="E90" s="498" t="str">
        <f>IF(C90="","",VLOOKUP(C90,'G-7 Rivers Data'!$B$2:$G$8,2,FALSE))</f>
        <v/>
      </c>
      <c r="F90" s="499" t="str">
        <f>IFERROR(VLOOKUP(E90,'G-7 Rivers Data'!$C$4:$D$8,2,FALSE),"")</f>
        <v/>
      </c>
      <c r="G90" s="145"/>
      <c r="H90" s="499" t="str">
        <f>IFERROR(INDEX('G-7 Rivers Data'!$H$4:$L$8,MATCH(C90,'G-7 Rivers Data'!$B$4:$B$8,0),MATCH(G90,'G-7 Rivers Data'!$H$3:$L$3,0)),"")</f>
        <v/>
      </c>
      <c r="I90" s="154"/>
      <c r="J90" s="507" t="str">
        <f>IF(I90="","",IF(VLOOKUP(I90,'G-7 Rivers Data'!$AG$4:$AI$9,2,FALSE)=0,"Spatial Data Missing ⚠",VLOOKUP(I90,'G-7 Rivers Data'!$AG$4:$AI$9,2,FALSE)))</f>
        <v/>
      </c>
      <c r="K90" s="499" t="str">
        <f>IF(I90="","",IF(VLOOKUP(I90,'G-7 Rivers Data'!$AG$4:$AI$9,3,FALSE)=0,"Spatial Data Missing ⚠",VLOOKUP(I90,'G-7 Rivers Data'!$AG$4:$AI$9,3,FALSE)))</f>
        <v/>
      </c>
      <c r="L90" s="498" t="str">
        <f>IFERROR(INDEX('G-7 Rivers Data'!$O$3:$O$7,MATCH(G90,'G-7 Rivers Data'!$N$3:$N$7,0)),"")</f>
        <v/>
      </c>
      <c r="M90" s="82"/>
      <c r="N90" s="195"/>
      <c r="O90" s="507" t="str">
        <f t="shared" si="7"/>
        <v/>
      </c>
      <c r="P90" s="521" t="str">
        <f t="shared" si="8"/>
        <v/>
      </c>
      <c r="Q90" s="564" t="str">
        <f>IFERROR(IF(P90="Check Data ⚠","Check Data ⚠",VLOOKUP(P90,'G-4 Temporal multipliers'!$A$4:$C$37,3,FALSE)),"")</f>
        <v/>
      </c>
      <c r="R90" s="498" t="str">
        <f>IF(C90="","",VLOOKUP(C90,'G-7 Rivers Data'!$B$4:$G$8,4,FALSE))</f>
        <v/>
      </c>
      <c r="S90" s="507" t="str">
        <f t="shared" si="9"/>
        <v/>
      </c>
      <c r="T90" s="540" t="str">
        <f t="shared" si="10"/>
        <v/>
      </c>
      <c r="U90" s="499" t="str">
        <f t="shared" si="11"/>
        <v/>
      </c>
      <c r="V90" s="71"/>
      <c r="W90" s="499" t="str">
        <f>IF(V90="","",IF(VLOOKUP(V90,'G-7 Rivers Data'!$AA$4:$AB$7,2,FALSE)=0,"Spatial Data Missing ⚠",VLOOKUP(V90,'G-7 Rivers Data'!$AA$4:$AB$7,2,FALSE)))</f>
        <v/>
      </c>
      <c r="X90" s="155"/>
      <c r="Y90" s="499" t="str">
        <f>IF(X90="","",IF(VLOOKUP(X90,'G-7 Rivers Data'!$AD$4:$AE$8,2,FALSE)=0,"Enrcoachment Data Missing ⚠",VLOOKUP(X90,'G-7 Rivers Data'!$AD$4:$AE$8,2,FALSE)))</f>
        <v/>
      </c>
      <c r="Z90" s="565" t="str">
        <f t="shared" si="12"/>
        <v/>
      </c>
      <c r="AA90" s="149"/>
      <c r="AB90" s="150"/>
      <c r="AH90" s="31" t="str">
        <f>IFERROR(INDEX('G-7 Rivers Data'!$AZ$3:$AZ$7,MATCH(C90,'G-7 Rivers Data'!$AY$3:$AY$7,0)),"")</f>
        <v/>
      </c>
    </row>
    <row r="91" spans="2:34" ht="13.8" x14ac:dyDescent="0.25">
      <c r="B91" s="141">
        <v>80</v>
      </c>
      <c r="C91" s="171"/>
      <c r="D91" s="172"/>
      <c r="E91" s="498" t="str">
        <f>IF(C91="","",VLOOKUP(C91,'G-7 Rivers Data'!$B$2:$G$8,2,FALSE))</f>
        <v/>
      </c>
      <c r="F91" s="499" t="str">
        <f>IFERROR(VLOOKUP(E91,'G-7 Rivers Data'!$C$4:$D$8,2,FALSE),"")</f>
        <v/>
      </c>
      <c r="G91" s="145"/>
      <c r="H91" s="499" t="str">
        <f>IFERROR(INDEX('G-7 Rivers Data'!$H$4:$L$8,MATCH(C91,'G-7 Rivers Data'!$B$4:$B$8,0),MATCH(G91,'G-7 Rivers Data'!$H$3:$L$3,0)),"")</f>
        <v/>
      </c>
      <c r="I91" s="154"/>
      <c r="J91" s="507" t="str">
        <f>IF(I91="","",IF(VLOOKUP(I91,'G-7 Rivers Data'!$AG$4:$AI$9,2,FALSE)=0,"Spatial Data Missing ⚠",VLOOKUP(I91,'G-7 Rivers Data'!$AG$4:$AI$9,2,FALSE)))</f>
        <v/>
      </c>
      <c r="K91" s="499" t="str">
        <f>IF(I91="","",IF(VLOOKUP(I91,'G-7 Rivers Data'!$AG$4:$AI$9,3,FALSE)=0,"Spatial Data Missing ⚠",VLOOKUP(I91,'G-7 Rivers Data'!$AG$4:$AI$9,3,FALSE)))</f>
        <v/>
      </c>
      <c r="L91" s="498" t="str">
        <f>IFERROR(INDEX('G-7 Rivers Data'!$O$3:$O$7,MATCH(G91,'G-7 Rivers Data'!$N$3:$N$7,0)),"")</f>
        <v/>
      </c>
      <c r="M91" s="82"/>
      <c r="N91" s="195"/>
      <c r="O91" s="507" t="str">
        <f t="shared" si="7"/>
        <v/>
      </c>
      <c r="P91" s="521" t="str">
        <f t="shared" si="8"/>
        <v/>
      </c>
      <c r="Q91" s="564" t="str">
        <f>IFERROR(IF(P91="Check Data ⚠","Check Data ⚠",VLOOKUP(P91,'G-4 Temporal multipliers'!$A$4:$C$37,3,FALSE)),"")</f>
        <v/>
      </c>
      <c r="R91" s="498" t="str">
        <f>IF(C91="","",VLOOKUP(C91,'G-7 Rivers Data'!$B$4:$G$8,4,FALSE))</f>
        <v/>
      </c>
      <c r="S91" s="507" t="str">
        <f t="shared" si="9"/>
        <v/>
      </c>
      <c r="T91" s="540" t="str">
        <f t="shared" si="10"/>
        <v/>
      </c>
      <c r="U91" s="499" t="str">
        <f t="shared" si="11"/>
        <v/>
      </c>
      <c r="V91" s="71"/>
      <c r="W91" s="499" t="str">
        <f>IF(V91="","",IF(VLOOKUP(V91,'G-7 Rivers Data'!$AA$4:$AB$7,2,FALSE)=0,"Spatial Data Missing ⚠",VLOOKUP(V91,'G-7 Rivers Data'!$AA$4:$AB$7,2,FALSE)))</f>
        <v/>
      </c>
      <c r="X91" s="155"/>
      <c r="Y91" s="499" t="str">
        <f>IF(X91="","",IF(VLOOKUP(X91,'G-7 Rivers Data'!$AD$4:$AE$8,2,FALSE)=0,"Enrcoachment Data Missing ⚠",VLOOKUP(X91,'G-7 Rivers Data'!$AD$4:$AE$8,2,FALSE)))</f>
        <v/>
      </c>
      <c r="Z91" s="565" t="str">
        <f t="shared" si="12"/>
        <v/>
      </c>
      <c r="AA91" s="149"/>
      <c r="AB91" s="150"/>
      <c r="AH91" s="31" t="str">
        <f>IFERROR(INDEX('G-7 Rivers Data'!$AZ$3:$AZ$7,MATCH(C91,'G-7 Rivers Data'!$AY$3:$AY$7,0)),"")</f>
        <v/>
      </c>
    </row>
    <row r="92" spans="2:34" ht="13.8" x14ac:dyDescent="0.25">
      <c r="B92" s="141">
        <v>81</v>
      </c>
      <c r="C92" s="171"/>
      <c r="D92" s="172"/>
      <c r="E92" s="498" t="str">
        <f>IF(C92="","",VLOOKUP(C92,'G-7 Rivers Data'!$B$2:$G$8,2,FALSE))</f>
        <v/>
      </c>
      <c r="F92" s="499" t="str">
        <f>IFERROR(VLOOKUP(E92,'G-7 Rivers Data'!$C$4:$D$8,2,FALSE),"")</f>
        <v/>
      </c>
      <c r="G92" s="145"/>
      <c r="H92" s="499" t="str">
        <f>IFERROR(INDEX('G-7 Rivers Data'!$H$4:$L$8,MATCH(C92,'G-7 Rivers Data'!$B$4:$B$8,0),MATCH(G92,'G-7 Rivers Data'!$H$3:$L$3,0)),"")</f>
        <v/>
      </c>
      <c r="I92" s="154"/>
      <c r="J92" s="507" t="str">
        <f>IF(I92="","",IF(VLOOKUP(I92,'G-7 Rivers Data'!$AG$4:$AI$9,2,FALSE)=0,"Spatial Data Missing ⚠",VLOOKUP(I92,'G-7 Rivers Data'!$AG$4:$AI$9,2,FALSE)))</f>
        <v/>
      </c>
      <c r="K92" s="499" t="str">
        <f>IF(I92="","",IF(VLOOKUP(I92,'G-7 Rivers Data'!$AG$4:$AI$9,3,FALSE)=0,"Spatial Data Missing ⚠",VLOOKUP(I92,'G-7 Rivers Data'!$AG$4:$AI$9,3,FALSE)))</f>
        <v/>
      </c>
      <c r="L92" s="498" t="str">
        <f>IFERROR(INDEX('G-7 Rivers Data'!$O$3:$O$7,MATCH(G92,'G-7 Rivers Data'!$N$3:$N$7,0)),"")</f>
        <v/>
      </c>
      <c r="M92" s="82"/>
      <c r="N92" s="195"/>
      <c r="O92" s="507" t="str">
        <f t="shared" si="7"/>
        <v/>
      </c>
      <c r="P92" s="521" t="str">
        <f t="shared" si="8"/>
        <v/>
      </c>
      <c r="Q92" s="564" t="str">
        <f>IFERROR(IF(P92="Check Data ⚠","Check Data ⚠",VLOOKUP(P92,'G-4 Temporal multipliers'!$A$4:$C$37,3,FALSE)),"")</f>
        <v/>
      </c>
      <c r="R92" s="498" t="str">
        <f>IF(C92="","",VLOOKUP(C92,'G-7 Rivers Data'!$B$4:$G$8,4,FALSE))</f>
        <v/>
      </c>
      <c r="S92" s="507" t="str">
        <f t="shared" si="9"/>
        <v/>
      </c>
      <c r="T92" s="540" t="str">
        <f t="shared" si="10"/>
        <v/>
      </c>
      <c r="U92" s="499" t="str">
        <f t="shared" si="11"/>
        <v/>
      </c>
      <c r="V92" s="71"/>
      <c r="W92" s="499" t="str">
        <f>IF(V92="","",IF(VLOOKUP(V92,'G-7 Rivers Data'!$AA$4:$AB$7,2,FALSE)=0,"Spatial Data Missing ⚠",VLOOKUP(V92,'G-7 Rivers Data'!$AA$4:$AB$7,2,FALSE)))</f>
        <v/>
      </c>
      <c r="X92" s="155"/>
      <c r="Y92" s="499" t="str">
        <f>IF(X92="","",IF(VLOOKUP(X92,'G-7 Rivers Data'!$AD$4:$AE$8,2,FALSE)=0,"Enrcoachment Data Missing ⚠",VLOOKUP(X92,'G-7 Rivers Data'!$AD$4:$AE$8,2,FALSE)))</f>
        <v/>
      </c>
      <c r="Z92" s="565" t="str">
        <f t="shared" si="12"/>
        <v/>
      </c>
      <c r="AA92" s="149"/>
      <c r="AB92" s="150"/>
      <c r="AH92" s="31" t="str">
        <f>IFERROR(INDEX('G-7 Rivers Data'!$AZ$3:$AZ$7,MATCH(C92,'G-7 Rivers Data'!$AY$3:$AY$7,0)),"")</f>
        <v/>
      </c>
    </row>
    <row r="93" spans="2:34" ht="13.8" x14ac:dyDescent="0.25">
      <c r="B93" s="141">
        <v>82</v>
      </c>
      <c r="C93" s="171"/>
      <c r="D93" s="172"/>
      <c r="E93" s="498" t="str">
        <f>IF(C93="","",VLOOKUP(C93,'G-7 Rivers Data'!$B$2:$G$8,2,FALSE))</f>
        <v/>
      </c>
      <c r="F93" s="499" t="str">
        <f>IFERROR(VLOOKUP(E93,'G-7 Rivers Data'!$C$4:$D$8,2,FALSE),"")</f>
        <v/>
      </c>
      <c r="G93" s="145"/>
      <c r="H93" s="499" t="str">
        <f>IFERROR(INDEX('G-7 Rivers Data'!$H$4:$L$8,MATCH(C93,'G-7 Rivers Data'!$B$4:$B$8,0),MATCH(G93,'G-7 Rivers Data'!$H$3:$L$3,0)),"")</f>
        <v/>
      </c>
      <c r="I93" s="154"/>
      <c r="J93" s="507" t="str">
        <f>IF(I93="","",IF(VLOOKUP(I93,'G-7 Rivers Data'!$AG$4:$AI$9,2,FALSE)=0,"Spatial Data Missing ⚠",VLOOKUP(I93,'G-7 Rivers Data'!$AG$4:$AI$9,2,FALSE)))</f>
        <v/>
      </c>
      <c r="K93" s="499" t="str">
        <f>IF(I93="","",IF(VLOOKUP(I93,'G-7 Rivers Data'!$AG$4:$AI$9,3,FALSE)=0,"Spatial Data Missing ⚠",VLOOKUP(I93,'G-7 Rivers Data'!$AG$4:$AI$9,3,FALSE)))</f>
        <v/>
      </c>
      <c r="L93" s="498" t="str">
        <f>IFERROR(INDEX('G-7 Rivers Data'!$O$3:$O$7,MATCH(G93,'G-7 Rivers Data'!$N$3:$N$7,0)),"")</f>
        <v/>
      </c>
      <c r="M93" s="82"/>
      <c r="N93" s="195"/>
      <c r="O93" s="507" t="str">
        <f t="shared" si="7"/>
        <v/>
      </c>
      <c r="P93" s="521" t="str">
        <f t="shared" si="8"/>
        <v/>
      </c>
      <c r="Q93" s="564" t="str">
        <f>IFERROR(IF(P93="Check Data ⚠","Check Data ⚠",VLOOKUP(P93,'G-4 Temporal multipliers'!$A$4:$C$37,3,FALSE)),"")</f>
        <v/>
      </c>
      <c r="R93" s="498" t="str">
        <f>IF(C93="","",VLOOKUP(C93,'G-7 Rivers Data'!$B$4:$G$8,4,FALSE))</f>
        <v/>
      </c>
      <c r="S93" s="507" t="str">
        <f t="shared" si="9"/>
        <v/>
      </c>
      <c r="T93" s="540" t="str">
        <f t="shared" si="10"/>
        <v/>
      </c>
      <c r="U93" s="499" t="str">
        <f t="shared" si="11"/>
        <v/>
      </c>
      <c r="V93" s="71"/>
      <c r="W93" s="499" t="str">
        <f>IF(V93="","",IF(VLOOKUP(V93,'G-7 Rivers Data'!$AA$4:$AB$7,2,FALSE)=0,"Spatial Data Missing ⚠",VLOOKUP(V93,'G-7 Rivers Data'!$AA$4:$AB$7,2,FALSE)))</f>
        <v/>
      </c>
      <c r="X93" s="155"/>
      <c r="Y93" s="499" t="str">
        <f>IF(X93="","",IF(VLOOKUP(X93,'G-7 Rivers Data'!$AD$4:$AE$8,2,FALSE)=0,"Enrcoachment Data Missing ⚠",VLOOKUP(X93,'G-7 Rivers Data'!$AD$4:$AE$8,2,FALSE)))</f>
        <v/>
      </c>
      <c r="Z93" s="565" t="str">
        <f t="shared" si="12"/>
        <v/>
      </c>
      <c r="AA93" s="149"/>
      <c r="AB93" s="150"/>
      <c r="AH93" s="31" t="str">
        <f>IFERROR(INDEX('G-7 Rivers Data'!$AZ$3:$AZ$7,MATCH(C93,'G-7 Rivers Data'!$AY$3:$AY$7,0)),"")</f>
        <v/>
      </c>
    </row>
    <row r="94" spans="2:34" ht="13.8" x14ac:dyDescent="0.25">
      <c r="B94" s="141">
        <v>83</v>
      </c>
      <c r="C94" s="171"/>
      <c r="D94" s="172"/>
      <c r="E94" s="498" t="str">
        <f>IF(C94="","",VLOOKUP(C94,'G-7 Rivers Data'!$B$2:$G$8,2,FALSE))</f>
        <v/>
      </c>
      <c r="F94" s="499" t="str">
        <f>IFERROR(VLOOKUP(E94,'G-7 Rivers Data'!$C$4:$D$8,2,FALSE),"")</f>
        <v/>
      </c>
      <c r="G94" s="145"/>
      <c r="H94" s="499" t="str">
        <f>IFERROR(INDEX('G-7 Rivers Data'!$H$4:$L$8,MATCH(C94,'G-7 Rivers Data'!$B$4:$B$8,0),MATCH(G94,'G-7 Rivers Data'!$H$3:$L$3,0)),"")</f>
        <v/>
      </c>
      <c r="I94" s="154"/>
      <c r="J94" s="507" t="str">
        <f>IF(I94="","",IF(VLOOKUP(I94,'G-7 Rivers Data'!$AG$4:$AI$9,2,FALSE)=0,"Spatial Data Missing ⚠",VLOOKUP(I94,'G-7 Rivers Data'!$AG$4:$AI$9,2,FALSE)))</f>
        <v/>
      </c>
      <c r="K94" s="499" t="str">
        <f>IF(I94="","",IF(VLOOKUP(I94,'G-7 Rivers Data'!$AG$4:$AI$9,3,FALSE)=0,"Spatial Data Missing ⚠",VLOOKUP(I94,'G-7 Rivers Data'!$AG$4:$AI$9,3,FALSE)))</f>
        <v/>
      </c>
      <c r="L94" s="498" t="str">
        <f>IFERROR(INDEX('G-7 Rivers Data'!$O$3:$O$7,MATCH(G94,'G-7 Rivers Data'!$N$3:$N$7,0)),"")</f>
        <v/>
      </c>
      <c r="M94" s="82"/>
      <c r="N94" s="195"/>
      <c r="O94" s="507" t="str">
        <f t="shared" si="7"/>
        <v/>
      </c>
      <c r="P94" s="521" t="str">
        <f t="shared" si="8"/>
        <v/>
      </c>
      <c r="Q94" s="564" t="str">
        <f>IFERROR(IF(P94="Check Data ⚠","Check Data ⚠",VLOOKUP(P94,'G-4 Temporal multipliers'!$A$4:$C$37,3,FALSE)),"")</f>
        <v/>
      </c>
      <c r="R94" s="498" t="str">
        <f>IF(C94="","",VLOOKUP(C94,'G-7 Rivers Data'!$B$4:$G$8,4,FALSE))</f>
        <v/>
      </c>
      <c r="S94" s="507" t="str">
        <f t="shared" si="9"/>
        <v/>
      </c>
      <c r="T94" s="540" t="str">
        <f t="shared" si="10"/>
        <v/>
      </c>
      <c r="U94" s="499" t="str">
        <f t="shared" si="11"/>
        <v/>
      </c>
      <c r="V94" s="71"/>
      <c r="W94" s="499" t="str">
        <f>IF(V94="","",IF(VLOOKUP(V94,'G-7 Rivers Data'!$AA$4:$AB$7,2,FALSE)=0,"Spatial Data Missing ⚠",VLOOKUP(V94,'G-7 Rivers Data'!$AA$4:$AB$7,2,FALSE)))</f>
        <v/>
      </c>
      <c r="X94" s="155"/>
      <c r="Y94" s="499" t="str">
        <f>IF(X94="","",IF(VLOOKUP(X94,'G-7 Rivers Data'!$AD$4:$AE$8,2,FALSE)=0,"Enrcoachment Data Missing ⚠",VLOOKUP(X94,'G-7 Rivers Data'!$AD$4:$AE$8,2,FALSE)))</f>
        <v/>
      </c>
      <c r="Z94" s="565" t="str">
        <f t="shared" si="12"/>
        <v/>
      </c>
      <c r="AA94" s="149"/>
      <c r="AB94" s="150"/>
      <c r="AH94" s="31" t="str">
        <f>IFERROR(INDEX('G-7 Rivers Data'!$AZ$3:$AZ$7,MATCH(C94,'G-7 Rivers Data'!$AY$3:$AY$7,0)),"")</f>
        <v/>
      </c>
    </row>
    <row r="95" spans="2:34" ht="13.8" x14ac:dyDescent="0.25">
      <c r="B95" s="141">
        <v>84</v>
      </c>
      <c r="C95" s="171"/>
      <c r="D95" s="172"/>
      <c r="E95" s="498" t="str">
        <f>IF(C95="","",VLOOKUP(C95,'G-7 Rivers Data'!$B$2:$G$8,2,FALSE))</f>
        <v/>
      </c>
      <c r="F95" s="499" t="str">
        <f>IFERROR(VLOOKUP(E95,'G-7 Rivers Data'!$C$4:$D$8,2,FALSE),"")</f>
        <v/>
      </c>
      <c r="G95" s="145"/>
      <c r="H95" s="499" t="str">
        <f>IFERROR(INDEX('G-7 Rivers Data'!$H$4:$L$8,MATCH(C95,'G-7 Rivers Data'!$B$4:$B$8,0),MATCH(G95,'G-7 Rivers Data'!$H$3:$L$3,0)),"")</f>
        <v/>
      </c>
      <c r="I95" s="154"/>
      <c r="J95" s="507" t="str">
        <f>IF(I95="","",IF(VLOOKUP(I95,'G-7 Rivers Data'!$AG$4:$AI$9,2,FALSE)=0,"Spatial Data Missing ⚠",VLOOKUP(I95,'G-7 Rivers Data'!$AG$4:$AI$9,2,FALSE)))</f>
        <v/>
      </c>
      <c r="K95" s="499" t="str">
        <f>IF(I95="","",IF(VLOOKUP(I95,'G-7 Rivers Data'!$AG$4:$AI$9,3,FALSE)=0,"Spatial Data Missing ⚠",VLOOKUP(I95,'G-7 Rivers Data'!$AG$4:$AI$9,3,FALSE)))</f>
        <v/>
      </c>
      <c r="L95" s="498" t="str">
        <f>IFERROR(INDEX('G-7 Rivers Data'!$O$3:$O$7,MATCH(G95,'G-7 Rivers Data'!$N$3:$N$7,0)),"")</f>
        <v/>
      </c>
      <c r="M95" s="82"/>
      <c r="N95" s="195"/>
      <c r="O95" s="507" t="str">
        <f t="shared" si="7"/>
        <v/>
      </c>
      <c r="P95" s="521" t="str">
        <f t="shared" si="8"/>
        <v/>
      </c>
      <c r="Q95" s="564" t="str">
        <f>IFERROR(IF(P95="Check Data ⚠","Check Data ⚠",VLOOKUP(P95,'G-4 Temporal multipliers'!$A$4:$C$37,3,FALSE)),"")</f>
        <v/>
      </c>
      <c r="R95" s="498" t="str">
        <f>IF(C95="","",VLOOKUP(C95,'G-7 Rivers Data'!$B$4:$G$8,4,FALSE))</f>
        <v/>
      </c>
      <c r="S95" s="507" t="str">
        <f t="shared" si="9"/>
        <v/>
      </c>
      <c r="T95" s="540" t="str">
        <f t="shared" si="10"/>
        <v/>
      </c>
      <c r="U95" s="499" t="str">
        <f t="shared" si="11"/>
        <v/>
      </c>
      <c r="V95" s="71"/>
      <c r="W95" s="499" t="str">
        <f>IF(V95="","",IF(VLOOKUP(V95,'G-7 Rivers Data'!$AA$4:$AB$7,2,FALSE)=0,"Spatial Data Missing ⚠",VLOOKUP(V95,'G-7 Rivers Data'!$AA$4:$AB$7,2,FALSE)))</f>
        <v/>
      </c>
      <c r="X95" s="155"/>
      <c r="Y95" s="499" t="str">
        <f>IF(X95="","",IF(VLOOKUP(X95,'G-7 Rivers Data'!$AD$4:$AE$8,2,FALSE)=0,"Enrcoachment Data Missing ⚠",VLOOKUP(X95,'G-7 Rivers Data'!$AD$4:$AE$8,2,FALSE)))</f>
        <v/>
      </c>
      <c r="Z95" s="565" t="str">
        <f t="shared" si="12"/>
        <v/>
      </c>
      <c r="AA95" s="149"/>
      <c r="AB95" s="150"/>
      <c r="AH95" s="31" t="str">
        <f>IFERROR(INDEX('G-7 Rivers Data'!$AZ$3:$AZ$7,MATCH(C95,'G-7 Rivers Data'!$AY$3:$AY$7,0)),"")</f>
        <v/>
      </c>
    </row>
    <row r="96" spans="2:34" ht="13.8" x14ac:dyDescent="0.25">
      <c r="B96" s="141">
        <v>85</v>
      </c>
      <c r="C96" s="171"/>
      <c r="D96" s="172"/>
      <c r="E96" s="498" t="str">
        <f>IF(C96="","",VLOOKUP(C96,'G-7 Rivers Data'!$B$2:$G$8,2,FALSE))</f>
        <v/>
      </c>
      <c r="F96" s="499" t="str">
        <f>IFERROR(VLOOKUP(E96,'G-7 Rivers Data'!$C$4:$D$8,2,FALSE),"")</f>
        <v/>
      </c>
      <c r="G96" s="145"/>
      <c r="H96" s="499" t="str">
        <f>IFERROR(INDEX('G-7 Rivers Data'!$H$4:$L$8,MATCH(C96,'G-7 Rivers Data'!$B$4:$B$8,0),MATCH(G96,'G-7 Rivers Data'!$H$3:$L$3,0)),"")</f>
        <v/>
      </c>
      <c r="I96" s="154"/>
      <c r="J96" s="507" t="str">
        <f>IF(I96="","",IF(VLOOKUP(I96,'G-7 Rivers Data'!$AG$4:$AI$9,2,FALSE)=0,"Spatial Data Missing ⚠",VLOOKUP(I96,'G-7 Rivers Data'!$AG$4:$AI$9,2,FALSE)))</f>
        <v/>
      </c>
      <c r="K96" s="499" t="str">
        <f>IF(I96="","",IF(VLOOKUP(I96,'G-7 Rivers Data'!$AG$4:$AI$9,3,FALSE)=0,"Spatial Data Missing ⚠",VLOOKUP(I96,'G-7 Rivers Data'!$AG$4:$AI$9,3,FALSE)))</f>
        <v/>
      </c>
      <c r="L96" s="498" t="str">
        <f>IFERROR(INDEX('G-7 Rivers Data'!$O$3:$O$7,MATCH(G96,'G-7 Rivers Data'!$N$3:$N$7,0)),"")</f>
        <v/>
      </c>
      <c r="M96" s="82"/>
      <c r="N96" s="195"/>
      <c r="O96" s="507" t="str">
        <f t="shared" si="7"/>
        <v/>
      </c>
      <c r="P96" s="521" t="str">
        <f t="shared" si="8"/>
        <v/>
      </c>
      <c r="Q96" s="564" t="str">
        <f>IFERROR(IF(P96="Check Data ⚠","Check Data ⚠",VLOOKUP(P96,'G-4 Temporal multipliers'!$A$4:$C$37,3,FALSE)),"")</f>
        <v/>
      </c>
      <c r="R96" s="498" t="str">
        <f>IF(C96="","",VLOOKUP(C96,'G-7 Rivers Data'!$B$4:$G$8,4,FALSE))</f>
        <v/>
      </c>
      <c r="S96" s="507" t="str">
        <f t="shared" si="9"/>
        <v/>
      </c>
      <c r="T96" s="540" t="str">
        <f t="shared" si="10"/>
        <v/>
      </c>
      <c r="U96" s="499" t="str">
        <f t="shared" si="11"/>
        <v/>
      </c>
      <c r="V96" s="71"/>
      <c r="W96" s="499" t="str">
        <f>IF(V96="","",IF(VLOOKUP(V96,'G-7 Rivers Data'!$AA$4:$AB$7,2,FALSE)=0,"Spatial Data Missing ⚠",VLOOKUP(V96,'G-7 Rivers Data'!$AA$4:$AB$7,2,FALSE)))</f>
        <v/>
      </c>
      <c r="X96" s="155"/>
      <c r="Y96" s="499" t="str">
        <f>IF(X96="","",IF(VLOOKUP(X96,'G-7 Rivers Data'!$AD$4:$AE$8,2,FALSE)=0,"Enrcoachment Data Missing ⚠",VLOOKUP(X96,'G-7 Rivers Data'!$AD$4:$AE$8,2,FALSE)))</f>
        <v/>
      </c>
      <c r="Z96" s="565" t="str">
        <f t="shared" si="12"/>
        <v/>
      </c>
      <c r="AA96" s="149"/>
      <c r="AB96" s="150"/>
      <c r="AH96" s="31" t="str">
        <f>IFERROR(INDEX('G-7 Rivers Data'!$AZ$3:$AZ$7,MATCH(C96,'G-7 Rivers Data'!$AY$3:$AY$7,0)),"")</f>
        <v/>
      </c>
    </row>
    <row r="97" spans="2:34" ht="13.8" x14ac:dyDescent="0.25">
      <c r="B97" s="141">
        <v>86</v>
      </c>
      <c r="C97" s="171"/>
      <c r="D97" s="172"/>
      <c r="E97" s="498" t="str">
        <f>IF(C97="","",VLOOKUP(C97,'G-7 Rivers Data'!$B$2:$G$8,2,FALSE))</f>
        <v/>
      </c>
      <c r="F97" s="499" t="str">
        <f>IFERROR(VLOOKUP(E97,'G-7 Rivers Data'!$C$4:$D$8,2,FALSE),"")</f>
        <v/>
      </c>
      <c r="G97" s="145"/>
      <c r="H97" s="499" t="str">
        <f>IFERROR(INDEX('G-7 Rivers Data'!$H$4:$L$8,MATCH(C97,'G-7 Rivers Data'!$B$4:$B$8,0),MATCH(G97,'G-7 Rivers Data'!$H$3:$L$3,0)),"")</f>
        <v/>
      </c>
      <c r="I97" s="154"/>
      <c r="J97" s="507" t="str">
        <f>IF(I97="","",IF(VLOOKUP(I97,'G-7 Rivers Data'!$AG$4:$AI$9,2,FALSE)=0,"Spatial Data Missing ⚠",VLOOKUP(I97,'G-7 Rivers Data'!$AG$4:$AI$9,2,FALSE)))</f>
        <v/>
      </c>
      <c r="K97" s="499" t="str">
        <f>IF(I97="","",IF(VLOOKUP(I97,'G-7 Rivers Data'!$AG$4:$AI$9,3,FALSE)=0,"Spatial Data Missing ⚠",VLOOKUP(I97,'G-7 Rivers Data'!$AG$4:$AI$9,3,FALSE)))</f>
        <v/>
      </c>
      <c r="L97" s="498" t="str">
        <f>IFERROR(INDEX('G-7 Rivers Data'!$O$3:$O$7,MATCH(G97,'G-7 Rivers Data'!$N$3:$N$7,0)),"")</f>
        <v/>
      </c>
      <c r="M97" s="82"/>
      <c r="N97" s="195"/>
      <c r="O97" s="507" t="str">
        <f t="shared" si="7"/>
        <v/>
      </c>
      <c r="P97" s="521" t="str">
        <f t="shared" si="8"/>
        <v/>
      </c>
      <c r="Q97" s="564" t="str">
        <f>IFERROR(IF(P97="Check Data ⚠","Check Data ⚠",VLOOKUP(P97,'G-4 Temporal multipliers'!$A$4:$C$37,3,FALSE)),"")</f>
        <v/>
      </c>
      <c r="R97" s="498" t="str">
        <f>IF(C97="","",VLOOKUP(C97,'G-7 Rivers Data'!$B$4:$G$8,4,FALSE))</f>
        <v/>
      </c>
      <c r="S97" s="507" t="str">
        <f t="shared" si="9"/>
        <v/>
      </c>
      <c r="T97" s="540" t="str">
        <f t="shared" si="10"/>
        <v/>
      </c>
      <c r="U97" s="499" t="str">
        <f t="shared" si="11"/>
        <v/>
      </c>
      <c r="V97" s="71"/>
      <c r="W97" s="499" t="str">
        <f>IF(V97="","",IF(VLOOKUP(V97,'G-7 Rivers Data'!$AA$4:$AB$7,2,FALSE)=0,"Spatial Data Missing ⚠",VLOOKUP(V97,'G-7 Rivers Data'!$AA$4:$AB$7,2,FALSE)))</f>
        <v/>
      </c>
      <c r="X97" s="155"/>
      <c r="Y97" s="499" t="str">
        <f>IF(X97="","",IF(VLOOKUP(X97,'G-7 Rivers Data'!$AD$4:$AE$8,2,FALSE)=0,"Enrcoachment Data Missing ⚠",VLOOKUP(X97,'G-7 Rivers Data'!$AD$4:$AE$8,2,FALSE)))</f>
        <v/>
      </c>
      <c r="Z97" s="565" t="str">
        <f t="shared" si="12"/>
        <v/>
      </c>
      <c r="AA97" s="149"/>
      <c r="AB97" s="150"/>
      <c r="AH97" s="31" t="str">
        <f>IFERROR(INDEX('G-7 Rivers Data'!$AZ$3:$AZ$7,MATCH(C97,'G-7 Rivers Data'!$AY$3:$AY$7,0)),"")</f>
        <v/>
      </c>
    </row>
    <row r="98" spans="2:34" ht="13.8" x14ac:dyDescent="0.25">
      <c r="B98" s="141">
        <v>87</v>
      </c>
      <c r="C98" s="171"/>
      <c r="D98" s="172"/>
      <c r="E98" s="498" t="str">
        <f>IF(C98="","",VLOOKUP(C98,'G-7 Rivers Data'!$B$2:$G$8,2,FALSE))</f>
        <v/>
      </c>
      <c r="F98" s="499" t="str">
        <f>IFERROR(VLOOKUP(E98,'G-7 Rivers Data'!$C$4:$D$8,2,FALSE),"")</f>
        <v/>
      </c>
      <c r="G98" s="145"/>
      <c r="H98" s="499" t="str">
        <f>IFERROR(INDEX('G-7 Rivers Data'!$H$4:$L$8,MATCH(C98,'G-7 Rivers Data'!$B$4:$B$8,0),MATCH(G98,'G-7 Rivers Data'!$H$3:$L$3,0)),"")</f>
        <v/>
      </c>
      <c r="I98" s="154"/>
      <c r="J98" s="507" t="str">
        <f>IF(I98="","",IF(VLOOKUP(I98,'G-7 Rivers Data'!$AG$4:$AI$9,2,FALSE)=0,"Spatial Data Missing ⚠",VLOOKUP(I98,'G-7 Rivers Data'!$AG$4:$AI$9,2,FALSE)))</f>
        <v/>
      </c>
      <c r="K98" s="499" t="str">
        <f>IF(I98="","",IF(VLOOKUP(I98,'G-7 Rivers Data'!$AG$4:$AI$9,3,FALSE)=0,"Spatial Data Missing ⚠",VLOOKUP(I98,'G-7 Rivers Data'!$AG$4:$AI$9,3,FALSE)))</f>
        <v/>
      </c>
      <c r="L98" s="498" t="str">
        <f>IFERROR(INDEX('G-7 Rivers Data'!$O$3:$O$7,MATCH(G98,'G-7 Rivers Data'!$N$3:$N$7,0)),"")</f>
        <v/>
      </c>
      <c r="M98" s="82"/>
      <c r="N98" s="195"/>
      <c r="O98" s="507" t="str">
        <f t="shared" si="7"/>
        <v/>
      </c>
      <c r="P98" s="521" t="str">
        <f t="shared" si="8"/>
        <v/>
      </c>
      <c r="Q98" s="564" t="str">
        <f>IFERROR(IF(P98="Check Data ⚠","Check Data ⚠",VLOOKUP(P98,'G-4 Temporal multipliers'!$A$4:$C$37,3,FALSE)),"")</f>
        <v/>
      </c>
      <c r="R98" s="498" t="str">
        <f>IF(C98="","",VLOOKUP(C98,'G-7 Rivers Data'!$B$4:$G$8,4,FALSE))</f>
        <v/>
      </c>
      <c r="S98" s="507" t="str">
        <f t="shared" si="9"/>
        <v/>
      </c>
      <c r="T98" s="540" t="str">
        <f t="shared" si="10"/>
        <v/>
      </c>
      <c r="U98" s="499" t="str">
        <f t="shared" si="11"/>
        <v/>
      </c>
      <c r="V98" s="71"/>
      <c r="W98" s="499" t="str">
        <f>IF(V98="","",IF(VLOOKUP(V98,'G-7 Rivers Data'!$AA$4:$AB$7,2,FALSE)=0,"Spatial Data Missing ⚠",VLOOKUP(V98,'G-7 Rivers Data'!$AA$4:$AB$7,2,FALSE)))</f>
        <v/>
      </c>
      <c r="X98" s="155"/>
      <c r="Y98" s="499" t="str">
        <f>IF(X98="","",IF(VLOOKUP(X98,'G-7 Rivers Data'!$AD$4:$AE$8,2,FALSE)=0,"Enrcoachment Data Missing ⚠",VLOOKUP(X98,'G-7 Rivers Data'!$AD$4:$AE$8,2,FALSE)))</f>
        <v/>
      </c>
      <c r="Z98" s="565" t="str">
        <f t="shared" si="12"/>
        <v/>
      </c>
      <c r="AA98" s="149"/>
      <c r="AB98" s="150"/>
      <c r="AH98" s="31" t="str">
        <f>IFERROR(INDEX('G-7 Rivers Data'!$AZ$3:$AZ$7,MATCH(C98,'G-7 Rivers Data'!$AY$3:$AY$7,0)),"")</f>
        <v/>
      </c>
    </row>
    <row r="99" spans="2:34" ht="13.8" x14ac:dyDescent="0.25">
      <c r="B99" s="141">
        <v>88</v>
      </c>
      <c r="C99" s="171"/>
      <c r="D99" s="172"/>
      <c r="E99" s="498" t="str">
        <f>IF(C99="","",VLOOKUP(C99,'G-7 Rivers Data'!$B$2:$G$8,2,FALSE))</f>
        <v/>
      </c>
      <c r="F99" s="499" t="str">
        <f>IFERROR(VLOOKUP(E99,'G-7 Rivers Data'!$C$4:$D$8,2,FALSE),"")</f>
        <v/>
      </c>
      <c r="G99" s="145"/>
      <c r="H99" s="499" t="str">
        <f>IFERROR(INDEX('G-7 Rivers Data'!$H$4:$L$8,MATCH(C99,'G-7 Rivers Data'!$B$4:$B$8,0),MATCH(G99,'G-7 Rivers Data'!$H$3:$L$3,0)),"")</f>
        <v/>
      </c>
      <c r="I99" s="154"/>
      <c r="J99" s="507" t="str">
        <f>IF(I99="","",IF(VLOOKUP(I99,'G-7 Rivers Data'!$AG$4:$AI$9,2,FALSE)=0,"Spatial Data Missing ⚠",VLOOKUP(I99,'G-7 Rivers Data'!$AG$4:$AI$9,2,FALSE)))</f>
        <v/>
      </c>
      <c r="K99" s="499" t="str">
        <f>IF(I99="","",IF(VLOOKUP(I99,'G-7 Rivers Data'!$AG$4:$AI$9,3,FALSE)=0,"Spatial Data Missing ⚠",VLOOKUP(I99,'G-7 Rivers Data'!$AG$4:$AI$9,3,FALSE)))</f>
        <v/>
      </c>
      <c r="L99" s="498" t="str">
        <f>IFERROR(INDEX('G-7 Rivers Data'!$O$3:$O$7,MATCH(G99,'G-7 Rivers Data'!$N$3:$N$7,0)),"")</f>
        <v/>
      </c>
      <c r="M99" s="82"/>
      <c r="N99" s="195"/>
      <c r="O99" s="507" t="str">
        <f t="shared" si="7"/>
        <v/>
      </c>
      <c r="P99" s="521" t="str">
        <f t="shared" si="8"/>
        <v/>
      </c>
      <c r="Q99" s="564" t="str">
        <f>IFERROR(IF(P99="Check Data ⚠","Check Data ⚠",VLOOKUP(P99,'G-4 Temporal multipliers'!$A$4:$C$37,3,FALSE)),"")</f>
        <v/>
      </c>
      <c r="R99" s="498" t="str">
        <f>IF(C99="","",VLOOKUP(C99,'G-7 Rivers Data'!$B$4:$G$8,4,FALSE))</f>
        <v/>
      </c>
      <c r="S99" s="507" t="str">
        <f t="shared" si="9"/>
        <v/>
      </c>
      <c r="T99" s="540" t="str">
        <f t="shared" si="10"/>
        <v/>
      </c>
      <c r="U99" s="499" t="str">
        <f t="shared" si="11"/>
        <v/>
      </c>
      <c r="V99" s="71"/>
      <c r="W99" s="499" t="str">
        <f>IF(V99="","",IF(VLOOKUP(V99,'G-7 Rivers Data'!$AA$4:$AB$7,2,FALSE)=0,"Spatial Data Missing ⚠",VLOOKUP(V99,'G-7 Rivers Data'!$AA$4:$AB$7,2,FALSE)))</f>
        <v/>
      </c>
      <c r="X99" s="155"/>
      <c r="Y99" s="499" t="str">
        <f>IF(X99="","",IF(VLOOKUP(X99,'G-7 Rivers Data'!$AD$4:$AE$8,2,FALSE)=0,"Enrcoachment Data Missing ⚠",VLOOKUP(X99,'G-7 Rivers Data'!$AD$4:$AE$8,2,FALSE)))</f>
        <v/>
      </c>
      <c r="Z99" s="565" t="str">
        <f t="shared" si="12"/>
        <v/>
      </c>
      <c r="AA99" s="149"/>
      <c r="AB99" s="150"/>
      <c r="AH99" s="31" t="str">
        <f>IFERROR(INDEX('G-7 Rivers Data'!$AZ$3:$AZ$7,MATCH(C99,'G-7 Rivers Data'!$AY$3:$AY$7,0)),"")</f>
        <v/>
      </c>
    </row>
    <row r="100" spans="2:34" ht="13.8" x14ac:dyDescent="0.25">
      <c r="B100" s="141">
        <v>89</v>
      </c>
      <c r="C100" s="171"/>
      <c r="D100" s="172"/>
      <c r="E100" s="498" t="str">
        <f>IF(C100="","",VLOOKUP(C100,'G-7 Rivers Data'!$B$2:$G$8,2,FALSE))</f>
        <v/>
      </c>
      <c r="F100" s="499" t="str">
        <f>IFERROR(VLOOKUP(E100,'G-7 Rivers Data'!$C$4:$D$8,2,FALSE),"")</f>
        <v/>
      </c>
      <c r="G100" s="145"/>
      <c r="H100" s="499" t="str">
        <f>IFERROR(INDEX('G-7 Rivers Data'!$H$4:$L$8,MATCH(C100,'G-7 Rivers Data'!$B$4:$B$8,0),MATCH(G100,'G-7 Rivers Data'!$H$3:$L$3,0)),"")</f>
        <v/>
      </c>
      <c r="I100" s="154"/>
      <c r="J100" s="507" t="str">
        <f>IF(I100="","",IF(VLOOKUP(I100,'G-7 Rivers Data'!$AG$4:$AI$9,2,FALSE)=0,"Spatial Data Missing ⚠",VLOOKUP(I100,'G-7 Rivers Data'!$AG$4:$AI$9,2,FALSE)))</f>
        <v/>
      </c>
      <c r="K100" s="499" t="str">
        <f>IF(I100="","",IF(VLOOKUP(I100,'G-7 Rivers Data'!$AG$4:$AI$9,3,FALSE)=0,"Spatial Data Missing ⚠",VLOOKUP(I100,'G-7 Rivers Data'!$AG$4:$AI$9,3,FALSE)))</f>
        <v/>
      </c>
      <c r="L100" s="498" t="str">
        <f>IFERROR(INDEX('G-7 Rivers Data'!$O$3:$O$7,MATCH(G100,'G-7 Rivers Data'!$N$3:$N$7,0)),"")</f>
        <v/>
      </c>
      <c r="M100" s="82"/>
      <c r="N100" s="195"/>
      <c r="O100" s="507" t="str">
        <f t="shared" si="7"/>
        <v/>
      </c>
      <c r="P100" s="521" t="str">
        <f t="shared" si="8"/>
        <v/>
      </c>
      <c r="Q100" s="564" t="str">
        <f>IFERROR(IF(P100="Check Data ⚠","Check Data ⚠",VLOOKUP(P100,'G-4 Temporal multipliers'!$A$4:$C$37,3,FALSE)),"")</f>
        <v/>
      </c>
      <c r="R100" s="498" t="str">
        <f>IF(C100="","",VLOOKUP(C100,'G-7 Rivers Data'!$B$4:$G$8,4,FALSE))</f>
        <v/>
      </c>
      <c r="S100" s="507" t="str">
        <f t="shared" si="9"/>
        <v/>
      </c>
      <c r="T100" s="540" t="str">
        <f t="shared" si="10"/>
        <v/>
      </c>
      <c r="U100" s="499" t="str">
        <f t="shared" si="11"/>
        <v/>
      </c>
      <c r="V100" s="71"/>
      <c r="W100" s="499" t="str">
        <f>IF(V100="","",IF(VLOOKUP(V100,'G-7 Rivers Data'!$AA$4:$AB$7,2,FALSE)=0,"Spatial Data Missing ⚠",VLOOKUP(V100,'G-7 Rivers Data'!$AA$4:$AB$7,2,FALSE)))</f>
        <v/>
      </c>
      <c r="X100" s="155"/>
      <c r="Y100" s="499" t="str">
        <f>IF(X100="","",IF(VLOOKUP(X100,'G-7 Rivers Data'!$AD$4:$AE$8,2,FALSE)=0,"Enrcoachment Data Missing ⚠",VLOOKUP(X100,'G-7 Rivers Data'!$AD$4:$AE$8,2,FALSE)))</f>
        <v/>
      </c>
      <c r="Z100" s="565" t="str">
        <f t="shared" si="12"/>
        <v/>
      </c>
      <c r="AA100" s="149"/>
      <c r="AB100" s="150"/>
      <c r="AH100" s="31" t="str">
        <f>IFERROR(INDEX('G-7 Rivers Data'!$AZ$3:$AZ$7,MATCH(C100,'G-7 Rivers Data'!$AY$3:$AY$7,0)),"")</f>
        <v/>
      </c>
    </row>
    <row r="101" spans="2:34" ht="13.8" x14ac:dyDescent="0.25">
      <c r="B101" s="141">
        <v>90</v>
      </c>
      <c r="C101" s="171"/>
      <c r="D101" s="172"/>
      <c r="E101" s="498" t="str">
        <f>IF(C101="","",VLOOKUP(C101,'G-7 Rivers Data'!$B$2:$G$8,2,FALSE))</f>
        <v/>
      </c>
      <c r="F101" s="499" t="str">
        <f>IFERROR(VLOOKUP(E101,'G-7 Rivers Data'!$C$4:$D$8,2,FALSE),"")</f>
        <v/>
      </c>
      <c r="G101" s="145"/>
      <c r="H101" s="499" t="str">
        <f>IFERROR(INDEX('G-7 Rivers Data'!$H$4:$L$8,MATCH(C101,'G-7 Rivers Data'!$B$4:$B$8,0),MATCH(G101,'G-7 Rivers Data'!$H$3:$L$3,0)),"")</f>
        <v/>
      </c>
      <c r="I101" s="154"/>
      <c r="J101" s="507" t="str">
        <f>IF(I101="","",IF(VLOOKUP(I101,'G-7 Rivers Data'!$AG$4:$AI$9,2,FALSE)=0,"Spatial Data Missing ⚠",VLOOKUP(I101,'G-7 Rivers Data'!$AG$4:$AI$9,2,FALSE)))</f>
        <v/>
      </c>
      <c r="K101" s="499" t="str">
        <f>IF(I101="","",IF(VLOOKUP(I101,'G-7 Rivers Data'!$AG$4:$AI$9,3,FALSE)=0,"Spatial Data Missing ⚠",VLOOKUP(I101,'G-7 Rivers Data'!$AG$4:$AI$9,3,FALSE)))</f>
        <v/>
      </c>
      <c r="L101" s="498" t="str">
        <f>IFERROR(INDEX('G-7 Rivers Data'!$O$3:$O$7,MATCH(G101,'G-7 Rivers Data'!$N$3:$N$7,0)),"")</f>
        <v/>
      </c>
      <c r="M101" s="82"/>
      <c r="N101" s="195"/>
      <c r="O101" s="507" t="str">
        <f t="shared" si="7"/>
        <v/>
      </c>
      <c r="P101" s="521" t="str">
        <f t="shared" si="8"/>
        <v/>
      </c>
      <c r="Q101" s="564" t="str">
        <f>IFERROR(IF(P101="Check Data ⚠","Check Data ⚠",VLOOKUP(P101,'G-4 Temporal multipliers'!$A$4:$C$37,3,FALSE)),"")</f>
        <v/>
      </c>
      <c r="R101" s="498" t="str">
        <f>IF(C101="","",VLOOKUP(C101,'G-7 Rivers Data'!$B$4:$G$8,4,FALSE))</f>
        <v/>
      </c>
      <c r="S101" s="507" t="str">
        <f t="shared" si="9"/>
        <v/>
      </c>
      <c r="T101" s="540" t="str">
        <f t="shared" si="10"/>
        <v/>
      </c>
      <c r="U101" s="499" t="str">
        <f t="shared" si="11"/>
        <v/>
      </c>
      <c r="V101" s="71"/>
      <c r="W101" s="499" t="str">
        <f>IF(V101="","",IF(VLOOKUP(V101,'G-7 Rivers Data'!$AA$4:$AB$7,2,FALSE)=0,"Spatial Data Missing ⚠",VLOOKUP(V101,'G-7 Rivers Data'!$AA$4:$AB$7,2,FALSE)))</f>
        <v/>
      </c>
      <c r="X101" s="155"/>
      <c r="Y101" s="499" t="str">
        <f>IF(X101="","",IF(VLOOKUP(X101,'G-7 Rivers Data'!$AD$4:$AE$8,2,FALSE)=0,"Enrcoachment Data Missing ⚠",VLOOKUP(X101,'G-7 Rivers Data'!$AD$4:$AE$8,2,FALSE)))</f>
        <v/>
      </c>
      <c r="Z101" s="565" t="str">
        <f t="shared" si="12"/>
        <v/>
      </c>
      <c r="AA101" s="149"/>
      <c r="AB101" s="150"/>
      <c r="AH101" s="31" t="str">
        <f>IFERROR(INDEX('G-7 Rivers Data'!$AZ$3:$AZ$7,MATCH(C101,'G-7 Rivers Data'!$AY$3:$AY$7,0)),"")</f>
        <v/>
      </c>
    </row>
    <row r="102" spans="2:34" ht="13.8" x14ac:dyDescent="0.25">
      <c r="B102" s="141">
        <v>91</v>
      </c>
      <c r="C102" s="171"/>
      <c r="D102" s="172"/>
      <c r="E102" s="498" t="str">
        <f>IF(C102="","",VLOOKUP(C102,'G-7 Rivers Data'!$B$2:$G$8,2,FALSE))</f>
        <v/>
      </c>
      <c r="F102" s="499" t="str">
        <f>IFERROR(VLOOKUP(E102,'G-7 Rivers Data'!$C$4:$D$8,2,FALSE),"")</f>
        <v/>
      </c>
      <c r="G102" s="145"/>
      <c r="H102" s="499" t="str">
        <f>IFERROR(INDEX('G-7 Rivers Data'!$H$4:$L$8,MATCH(C102,'G-7 Rivers Data'!$B$4:$B$8,0),MATCH(G102,'G-7 Rivers Data'!$H$3:$L$3,0)),"")</f>
        <v/>
      </c>
      <c r="I102" s="154"/>
      <c r="J102" s="507" t="str">
        <f>IF(I102="","",IF(VLOOKUP(I102,'G-7 Rivers Data'!$AG$4:$AI$9,2,FALSE)=0,"Spatial Data Missing ⚠",VLOOKUP(I102,'G-7 Rivers Data'!$AG$4:$AI$9,2,FALSE)))</f>
        <v/>
      </c>
      <c r="K102" s="499" t="str">
        <f>IF(I102="","",IF(VLOOKUP(I102,'G-7 Rivers Data'!$AG$4:$AI$9,3,FALSE)=0,"Spatial Data Missing ⚠",VLOOKUP(I102,'G-7 Rivers Data'!$AG$4:$AI$9,3,FALSE)))</f>
        <v/>
      </c>
      <c r="L102" s="498" t="str">
        <f>IFERROR(INDEX('G-7 Rivers Data'!$O$3:$O$7,MATCH(G102,'G-7 Rivers Data'!$N$3:$N$7,0)),"")</f>
        <v/>
      </c>
      <c r="M102" s="82"/>
      <c r="N102" s="195"/>
      <c r="O102" s="507" t="str">
        <f t="shared" si="7"/>
        <v/>
      </c>
      <c r="P102" s="521" t="str">
        <f t="shared" si="8"/>
        <v/>
      </c>
      <c r="Q102" s="564" t="str">
        <f>IFERROR(IF(P102="Check Data ⚠","Check Data ⚠",VLOOKUP(P102,'G-4 Temporal multipliers'!$A$4:$C$37,3,FALSE)),"")</f>
        <v/>
      </c>
      <c r="R102" s="498" t="str">
        <f>IF(C102="","",VLOOKUP(C102,'G-7 Rivers Data'!$B$4:$G$8,4,FALSE))</f>
        <v/>
      </c>
      <c r="S102" s="507" t="str">
        <f t="shared" si="9"/>
        <v/>
      </c>
      <c r="T102" s="540" t="str">
        <f t="shared" si="10"/>
        <v/>
      </c>
      <c r="U102" s="499" t="str">
        <f t="shared" si="11"/>
        <v/>
      </c>
      <c r="V102" s="71"/>
      <c r="W102" s="499" t="str">
        <f>IF(V102="","",IF(VLOOKUP(V102,'G-7 Rivers Data'!$AA$4:$AB$7,2,FALSE)=0,"Spatial Data Missing ⚠",VLOOKUP(V102,'G-7 Rivers Data'!$AA$4:$AB$7,2,FALSE)))</f>
        <v/>
      </c>
      <c r="X102" s="155"/>
      <c r="Y102" s="499" t="str">
        <f>IF(X102="","",IF(VLOOKUP(X102,'G-7 Rivers Data'!$AD$4:$AE$8,2,FALSE)=0,"Enrcoachment Data Missing ⚠",VLOOKUP(X102,'G-7 Rivers Data'!$AD$4:$AE$8,2,FALSE)))</f>
        <v/>
      </c>
      <c r="Z102" s="565" t="str">
        <f t="shared" si="12"/>
        <v/>
      </c>
      <c r="AA102" s="149"/>
      <c r="AB102" s="150"/>
      <c r="AH102" s="31" t="str">
        <f>IFERROR(INDEX('G-7 Rivers Data'!$AZ$3:$AZ$7,MATCH(C102,'G-7 Rivers Data'!$AY$3:$AY$7,0)),"")</f>
        <v/>
      </c>
    </row>
    <row r="103" spans="2:34" ht="13.8" x14ac:dyDescent="0.25">
      <c r="B103" s="141">
        <v>92</v>
      </c>
      <c r="C103" s="171"/>
      <c r="D103" s="172"/>
      <c r="E103" s="498" t="str">
        <f>IF(C103="","",VLOOKUP(C103,'G-7 Rivers Data'!$B$2:$G$8,2,FALSE))</f>
        <v/>
      </c>
      <c r="F103" s="499" t="str">
        <f>IFERROR(VLOOKUP(E103,'G-7 Rivers Data'!$C$4:$D$8,2,FALSE),"")</f>
        <v/>
      </c>
      <c r="G103" s="145"/>
      <c r="H103" s="499" t="str">
        <f>IFERROR(INDEX('G-7 Rivers Data'!$H$4:$L$8,MATCH(C103,'G-7 Rivers Data'!$B$4:$B$8,0),MATCH(G103,'G-7 Rivers Data'!$H$3:$L$3,0)),"")</f>
        <v/>
      </c>
      <c r="I103" s="154"/>
      <c r="J103" s="507" t="str">
        <f>IF(I103="","",IF(VLOOKUP(I103,'G-7 Rivers Data'!$AG$4:$AI$9,2,FALSE)=0,"Spatial Data Missing ⚠",VLOOKUP(I103,'G-7 Rivers Data'!$AG$4:$AI$9,2,FALSE)))</f>
        <v/>
      </c>
      <c r="K103" s="499" t="str">
        <f>IF(I103="","",IF(VLOOKUP(I103,'G-7 Rivers Data'!$AG$4:$AI$9,3,FALSE)=0,"Spatial Data Missing ⚠",VLOOKUP(I103,'G-7 Rivers Data'!$AG$4:$AI$9,3,FALSE)))</f>
        <v/>
      </c>
      <c r="L103" s="498" t="str">
        <f>IFERROR(INDEX('G-7 Rivers Data'!$O$3:$O$7,MATCH(G103,'G-7 Rivers Data'!$N$3:$N$7,0)),"")</f>
        <v/>
      </c>
      <c r="M103" s="82"/>
      <c r="N103" s="195"/>
      <c r="O103" s="507" t="str">
        <f t="shared" si="7"/>
        <v/>
      </c>
      <c r="P103" s="521" t="str">
        <f t="shared" si="8"/>
        <v/>
      </c>
      <c r="Q103" s="564" t="str">
        <f>IFERROR(IF(P103="Check Data ⚠","Check Data ⚠",VLOOKUP(P103,'G-4 Temporal multipliers'!$A$4:$C$37,3,FALSE)),"")</f>
        <v/>
      </c>
      <c r="R103" s="498" t="str">
        <f>IF(C103="","",VLOOKUP(C103,'G-7 Rivers Data'!$B$4:$G$8,4,FALSE))</f>
        <v/>
      </c>
      <c r="S103" s="507" t="str">
        <f t="shared" si="9"/>
        <v/>
      </c>
      <c r="T103" s="540" t="str">
        <f t="shared" si="10"/>
        <v/>
      </c>
      <c r="U103" s="499" t="str">
        <f t="shared" si="11"/>
        <v/>
      </c>
      <c r="V103" s="71"/>
      <c r="W103" s="499" t="str">
        <f>IF(V103="","",IF(VLOOKUP(V103,'G-7 Rivers Data'!$AA$4:$AB$7,2,FALSE)=0,"Spatial Data Missing ⚠",VLOOKUP(V103,'G-7 Rivers Data'!$AA$4:$AB$7,2,FALSE)))</f>
        <v/>
      </c>
      <c r="X103" s="155"/>
      <c r="Y103" s="499" t="str">
        <f>IF(X103="","",IF(VLOOKUP(X103,'G-7 Rivers Data'!$AD$4:$AE$8,2,FALSE)=0,"Enrcoachment Data Missing ⚠",VLOOKUP(X103,'G-7 Rivers Data'!$AD$4:$AE$8,2,FALSE)))</f>
        <v/>
      </c>
      <c r="Z103" s="565" t="str">
        <f t="shared" si="12"/>
        <v/>
      </c>
      <c r="AA103" s="149"/>
      <c r="AB103" s="150"/>
      <c r="AH103" s="31" t="str">
        <f>IFERROR(INDEX('G-7 Rivers Data'!$AZ$3:$AZ$7,MATCH(C103,'G-7 Rivers Data'!$AY$3:$AY$7,0)),"")</f>
        <v/>
      </c>
    </row>
    <row r="104" spans="2:34" ht="13.8" x14ac:dyDescent="0.25">
      <c r="B104" s="141">
        <v>93</v>
      </c>
      <c r="C104" s="171"/>
      <c r="D104" s="172"/>
      <c r="E104" s="498" t="str">
        <f>IF(C104="","",VLOOKUP(C104,'G-7 Rivers Data'!$B$2:$G$8,2,FALSE))</f>
        <v/>
      </c>
      <c r="F104" s="499" t="str">
        <f>IFERROR(VLOOKUP(E104,'G-7 Rivers Data'!$C$4:$D$8,2,FALSE),"")</f>
        <v/>
      </c>
      <c r="G104" s="145"/>
      <c r="H104" s="499" t="str">
        <f>IFERROR(INDEX('G-7 Rivers Data'!$H$4:$L$8,MATCH(C104,'G-7 Rivers Data'!$B$4:$B$8,0),MATCH(G104,'G-7 Rivers Data'!$H$3:$L$3,0)),"")</f>
        <v/>
      </c>
      <c r="I104" s="154"/>
      <c r="J104" s="507" t="str">
        <f>IF(I104="","",IF(VLOOKUP(I104,'G-7 Rivers Data'!$AG$4:$AI$9,2,FALSE)=0,"Spatial Data Missing ⚠",VLOOKUP(I104,'G-7 Rivers Data'!$AG$4:$AI$9,2,FALSE)))</f>
        <v/>
      </c>
      <c r="K104" s="499" t="str">
        <f>IF(I104="","",IF(VLOOKUP(I104,'G-7 Rivers Data'!$AG$4:$AI$9,3,FALSE)=0,"Spatial Data Missing ⚠",VLOOKUP(I104,'G-7 Rivers Data'!$AG$4:$AI$9,3,FALSE)))</f>
        <v/>
      </c>
      <c r="L104" s="498" t="str">
        <f>IFERROR(INDEX('G-7 Rivers Data'!$O$3:$O$7,MATCH(G104,'G-7 Rivers Data'!$N$3:$N$7,0)),"")</f>
        <v/>
      </c>
      <c r="M104" s="82"/>
      <c r="N104" s="195"/>
      <c r="O104" s="507" t="str">
        <f t="shared" si="7"/>
        <v/>
      </c>
      <c r="P104" s="521" t="str">
        <f t="shared" si="8"/>
        <v/>
      </c>
      <c r="Q104" s="564" t="str">
        <f>IFERROR(IF(P104="Check Data ⚠","Check Data ⚠",VLOOKUP(P104,'G-4 Temporal multipliers'!$A$4:$C$37,3,FALSE)),"")</f>
        <v/>
      </c>
      <c r="R104" s="498" t="str">
        <f>IF(C104="","",VLOOKUP(C104,'G-7 Rivers Data'!$B$4:$G$8,4,FALSE))</f>
        <v/>
      </c>
      <c r="S104" s="507" t="str">
        <f t="shared" si="9"/>
        <v/>
      </c>
      <c r="T104" s="540" t="str">
        <f t="shared" si="10"/>
        <v/>
      </c>
      <c r="U104" s="499" t="str">
        <f t="shared" si="11"/>
        <v/>
      </c>
      <c r="V104" s="71"/>
      <c r="W104" s="499" t="str">
        <f>IF(V104="","",IF(VLOOKUP(V104,'G-7 Rivers Data'!$AA$4:$AB$7,2,FALSE)=0,"Spatial Data Missing ⚠",VLOOKUP(V104,'G-7 Rivers Data'!$AA$4:$AB$7,2,FALSE)))</f>
        <v/>
      </c>
      <c r="X104" s="155"/>
      <c r="Y104" s="499" t="str">
        <f>IF(X104="","",IF(VLOOKUP(X104,'G-7 Rivers Data'!$AD$4:$AE$8,2,FALSE)=0,"Enrcoachment Data Missing ⚠",VLOOKUP(X104,'G-7 Rivers Data'!$AD$4:$AE$8,2,FALSE)))</f>
        <v/>
      </c>
      <c r="Z104" s="565" t="str">
        <f t="shared" si="12"/>
        <v/>
      </c>
      <c r="AA104" s="149"/>
      <c r="AB104" s="150"/>
      <c r="AH104" s="31" t="str">
        <f>IFERROR(INDEX('G-7 Rivers Data'!$AZ$3:$AZ$7,MATCH(C104,'G-7 Rivers Data'!$AY$3:$AY$7,0)),"")</f>
        <v/>
      </c>
    </row>
    <row r="105" spans="2:34" ht="13.8" x14ac:dyDescent="0.25">
      <c r="B105" s="141">
        <v>94</v>
      </c>
      <c r="C105" s="171"/>
      <c r="D105" s="172"/>
      <c r="E105" s="498" t="str">
        <f>IF(C105="","",VLOOKUP(C105,'G-7 Rivers Data'!$B$2:$G$8,2,FALSE))</f>
        <v/>
      </c>
      <c r="F105" s="499" t="str">
        <f>IFERROR(VLOOKUP(E105,'G-7 Rivers Data'!$C$4:$D$8,2,FALSE),"")</f>
        <v/>
      </c>
      <c r="G105" s="145"/>
      <c r="H105" s="499" t="str">
        <f>IFERROR(INDEX('G-7 Rivers Data'!$H$4:$L$8,MATCH(C105,'G-7 Rivers Data'!$B$4:$B$8,0),MATCH(G105,'G-7 Rivers Data'!$H$3:$L$3,0)),"")</f>
        <v/>
      </c>
      <c r="I105" s="154"/>
      <c r="J105" s="507" t="str">
        <f>IF(I105="","",IF(VLOOKUP(I105,'G-7 Rivers Data'!$AG$4:$AI$9,2,FALSE)=0,"Spatial Data Missing ⚠",VLOOKUP(I105,'G-7 Rivers Data'!$AG$4:$AI$9,2,FALSE)))</f>
        <v/>
      </c>
      <c r="K105" s="499" t="str">
        <f>IF(I105="","",IF(VLOOKUP(I105,'G-7 Rivers Data'!$AG$4:$AI$9,3,FALSE)=0,"Spatial Data Missing ⚠",VLOOKUP(I105,'G-7 Rivers Data'!$AG$4:$AI$9,3,FALSE)))</f>
        <v/>
      </c>
      <c r="L105" s="498" t="str">
        <f>IFERROR(INDEX('G-7 Rivers Data'!$O$3:$O$7,MATCH(G105,'G-7 Rivers Data'!$N$3:$N$7,0)),"")</f>
        <v/>
      </c>
      <c r="M105" s="82"/>
      <c r="N105" s="195"/>
      <c r="O105" s="507" t="str">
        <f t="shared" si="7"/>
        <v/>
      </c>
      <c r="P105" s="521" t="str">
        <f t="shared" si="8"/>
        <v/>
      </c>
      <c r="Q105" s="564" t="str">
        <f>IFERROR(IF(P105="Check Data ⚠","Check Data ⚠",VLOOKUP(P105,'G-4 Temporal multipliers'!$A$4:$C$37,3,FALSE)),"")</f>
        <v/>
      </c>
      <c r="R105" s="498" t="str">
        <f>IF(C105="","",VLOOKUP(C105,'G-7 Rivers Data'!$B$4:$G$8,4,FALSE))</f>
        <v/>
      </c>
      <c r="S105" s="507" t="str">
        <f t="shared" si="9"/>
        <v/>
      </c>
      <c r="T105" s="540" t="str">
        <f t="shared" si="10"/>
        <v/>
      </c>
      <c r="U105" s="499" t="str">
        <f t="shared" si="11"/>
        <v/>
      </c>
      <c r="V105" s="71"/>
      <c r="W105" s="499" t="str">
        <f>IF(V105="","",IF(VLOOKUP(V105,'G-7 Rivers Data'!$AA$4:$AB$7,2,FALSE)=0,"Spatial Data Missing ⚠",VLOOKUP(V105,'G-7 Rivers Data'!$AA$4:$AB$7,2,FALSE)))</f>
        <v/>
      </c>
      <c r="X105" s="155"/>
      <c r="Y105" s="499" t="str">
        <f>IF(X105="","",IF(VLOOKUP(X105,'G-7 Rivers Data'!$AD$4:$AE$8,2,FALSE)=0,"Enrcoachment Data Missing ⚠",VLOOKUP(X105,'G-7 Rivers Data'!$AD$4:$AE$8,2,FALSE)))</f>
        <v/>
      </c>
      <c r="Z105" s="565" t="str">
        <f t="shared" si="12"/>
        <v/>
      </c>
      <c r="AA105" s="149"/>
      <c r="AB105" s="150"/>
      <c r="AH105" s="31" t="str">
        <f>IFERROR(INDEX('G-7 Rivers Data'!$AZ$3:$AZ$7,MATCH(C105,'G-7 Rivers Data'!$AY$3:$AY$7,0)),"")</f>
        <v/>
      </c>
    </row>
    <row r="106" spans="2:34" ht="13.8" x14ac:dyDescent="0.25">
      <c r="B106" s="141">
        <v>95</v>
      </c>
      <c r="C106" s="171"/>
      <c r="D106" s="172"/>
      <c r="E106" s="498" t="str">
        <f>IF(C106="","",VLOOKUP(C106,'G-7 Rivers Data'!$B$2:$G$8,2,FALSE))</f>
        <v/>
      </c>
      <c r="F106" s="499" t="str">
        <f>IFERROR(VLOOKUP(E106,'G-7 Rivers Data'!$C$4:$D$8,2,FALSE),"")</f>
        <v/>
      </c>
      <c r="G106" s="145"/>
      <c r="H106" s="499" t="str">
        <f>IFERROR(INDEX('G-7 Rivers Data'!$H$4:$L$8,MATCH(C106,'G-7 Rivers Data'!$B$4:$B$8,0),MATCH(G106,'G-7 Rivers Data'!$H$3:$L$3,0)),"")</f>
        <v/>
      </c>
      <c r="I106" s="154"/>
      <c r="J106" s="507" t="str">
        <f>IF(I106="","",IF(VLOOKUP(I106,'G-7 Rivers Data'!$AG$4:$AI$9,2,FALSE)=0,"Spatial Data Missing ⚠",VLOOKUP(I106,'G-7 Rivers Data'!$AG$4:$AI$9,2,FALSE)))</f>
        <v/>
      </c>
      <c r="K106" s="499" t="str">
        <f>IF(I106="","",IF(VLOOKUP(I106,'G-7 Rivers Data'!$AG$4:$AI$9,3,FALSE)=0,"Spatial Data Missing ⚠",VLOOKUP(I106,'G-7 Rivers Data'!$AG$4:$AI$9,3,FALSE)))</f>
        <v/>
      </c>
      <c r="L106" s="498" t="str">
        <f>IFERROR(INDEX('G-7 Rivers Data'!$O$3:$O$7,MATCH(G106,'G-7 Rivers Data'!$N$3:$N$7,0)),"")</f>
        <v/>
      </c>
      <c r="M106" s="82"/>
      <c r="N106" s="195"/>
      <c r="O106" s="507" t="str">
        <f t="shared" si="7"/>
        <v/>
      </c>
      <c r="P106" s="521" t="str">
        <f t="shared" si="8"/>
        <v/>
      </c>
      <c r="Q106" s="564" t="str">
        <f>IFERROR(IF(P106="Check Data ⚠","Check Data ⚠",VLOOKUP(P106,'G-4 Temporal multipliers'!$A$4:$C$37,3,FALSE)),"")</f>
        <v/>
      </c>
      <c r="R106" s="498" t="str">
        <f>IF(C106="","",VLOOKUP(C106,'G-7 Rivers Data'!$B$4:$G$8,4,FALSE))</f>
        <v/>
      </c>
      <c r="S106" s="507" t="str">
        <f t="shared" si="9"/>
        <v/>
      </c>
      <c r="T106" s="540" t="str">
        <f t="shared" si="10"/>
        <v/>
      </c>
      <c r="U106" s="499" t="str">
        <f t="shared" si="11"/>
        <v/>
      </c>
      <c r="V106" s="71"/>
      <c r="W106" s="499" t="str">
        <f>IF(V106="","",IF(VLOOKUP(V106,'G-7 Rivers Data'!$AA$4:$AB$7,2,FALSE)=0,"Spatial Data Missing ⚠",VLOOKUP(V106,'G-7 Rivers Data'!$AA$4:$AB$7,2,FALSE)))</f>
        <v/>
      </c>
      <c r="X106" s="155"/>
      <c r="Y106" s="499" t="str">
        <f>IF(X106="","",IF(VLOOKUP(X106,'G-7 Rivers Data'!$AD$4:$AE$8,2,FALSE)=0,"Enrcoachment Data Missing ⚠",VLOOKUP(X106,'G-7 Rivers Data'!$AD$4:$AE$8,2,FALSE)))</f>
        <v/>
      </c>
      <c r="Z106" s="565" t="str">
        <f t="shared" si="12"/>
        <v/>
      </c>
      <c r="AA106" s="149"/>
      <c r="AB106" s="150"/>
      <c r="AH106" s="31" t="str">
        <f>IFERROR(INDEX('G-7 Rivers Data'!$AZ$3:$AZ$7,MATCH(C106,'G-7 Rivers Data'!$AY$3:$AY$7,0)),"")</f>
        <v/>
      </c>
    </row>
    <row r="107" spans="2:34" ht="13.8" x14ac:dyDescent="0.25">
      <c r="B107" s="141">
        <v>96</v>
      </c>
      <c r="C107" s="171"/>
      <c r="D107" s="172"/>
      <c r="E107" s="498" t="str">
        <f>IF(C107="","",VLOOKUP(C107,'G-7 Rivers Data'!$B$2:$G$8,2,FALSE))</f>
        <v/>
      </c>
      <c r="F107" s="499" t="str">
        <f>IFERROR(VLOOKUP(E107,'G-7 Rivers Data'!$C$4:$D$8,2,FALSE),"")</f>
        <v/>
      </c>
      <c r="G107" s="145"/>
      <c r="H107" s="499" t="str">
        <f>IFERROR(INDEX('G-7 Rivers Data'!$H$4:$L$8,MATCH(C107,'G-7 Rivers Data'!$B$4:$B$8,0),MATCH(G107,'G-7 Rivers Data'!$H$3:$L$3,0)),"")</f>
        <v/>
      </c>
      <c r="I107" s="154"/>
      <c r="J107" s="507" t="str">
        <f>IF(I107="","",IF(VLOOKUP(I107,'G-7 Rivers Data'!$AG$4:$AI$9,2,FALSE)=0,"Spatial Data Missing ⚠",VLOOKUP(I107,'G-7 Rivers Data'!$AG$4:$AI$9,2,FALSE)))</f>
        <v/>
      </c>
      <c r="K107" s="499" t="str">
        <f>IF(I107="","",IF(VLOOKUP(I107,'G-7 Rivers Data'!$AG$4:$AI$9,3,FALSE)=0,"Spatial Data Missing ⚠",VLOOKUP(I107,'G-7 Rivers Data'!$AG$4:$AI$9,3,FALSE)))</f>
        <v/>
      </c>
      <c r="L107" s="498" t="str">
        <f>IFERROR(INDEX('G-7 Rivers Data'!$O$3:$O$7,MATCH(G107,'G-7 Rivers Data'!$N$3:$N$7,0)),"")</f>
        <v/>
      </c>
      <c r="M107" s="82"/>
      <c r="N107" s="195"/>
      <c r="O107" s="507" t="str">
        <f t="shared" si="7"/>
        <v/>
      </c>
      <c r="P107" s="521" t="str">
        <f t="shared" si="8"/>
        <v/>
      </c>
      <c r="Q107" s="564" t="str">
        <f>IFERROR(IF(P107="Check Data ⚠","Check Data ⚠",VLOOKUP(P107,'G-4 Temporal multipliers'!$A$4:$C$37,3,FALSE)),"")</f>
        <v/>
      </c>
      <c r="R107" s="498" t="str">
        <f>IF(C107="","",VLOOKUP(C107,'G-7 Rivers Data'!$B$4:$G$8,4,FALSE))</f>
        <v/>
      </c>
      <c r="S107" s="507" t="str">
        <f t="shared" si="9"/>
        <v/>
      </c>
      <c r="T107" s="540" t="str">
        <f t="shared" si="10"/>
        <v/>
      </c>
      <c r="U107" s="499" t="str">
        <f t="shared" si="11"/>
        <v/>
      </c>
      <c r="V107" s="71"/>
      <c r="W107" s="499" t="str">
        <f>IF(V107="","",IF(VLOOKUP(V107,'G-7 Rivers Data'!$AA$4:$AB$7,2,FALSE)=0,"Spatial Data Missing ⚠",VLOOKUP(V107,'G-7 Rivers Data'!$AA$4:$AB$7,2,FALSE)))</f>
        <v/>
      </c>
      <c r="X107" s="155"/>
      <c r="Y107" s="499" t="str">
        <f>IF(X107="","",IF(VLOOKUP(X107,'G-7 Rivers Data'!$AD$4:$AE$8,2,FALSE)=0,"Enrcoachment Data Missing ⚠",VLOOKUP(X107,'G-7 Rivers Data'!$AD$4:$AE$8,2,FALSE)))</f>
        <v/>
      </c>
      <c r="Z107" s="565" t="str">
        <f t="shared" si="12"/>
        <v/>
      </c>
      <c r="AA107" s="149"/>
      <c r="AB107" s="150"/>
      <c r="AH107" s="31" t="str">
        <f>IFERROR(INDEX('G-7 Rivers Data'!$AZ$3:$AZ$7,MATCH(C107,'G-7 Rivers Data'!$AY$3:$AY$7,0)),"")</f>
        <v/>
      </c>
    </row>
    <row r="108" spans="2:34" ht="13.8" x14ac:dyDescent="0.25">
      <c r="B108" s="141">
        <v>97</v>
      </c>
      <c r="C108" s="171"/>
      <c r="D108" s="172"/>
      <c r="E108" s="498" t="str">
        <f>IF(C108="","",VLOOKUP(C108,'G-7 Rivers Data'!$B$2:$G$8,2,FALSE))</f>
        <v/>
      </c>
      <c r="F108" s="499" t="str">
        <f>IFERROR(VLOOKUP(E108,'G-7 Rivers Data'!$C$4:$D$8,2,FALSE),"")</f>
        <v/>
      </c>
      <c r="G108" s="145"/>
      <c r="H108" s="499" t="str">
        <f>IFERROR(INDEX('G-7 Rivers Data'!$H$4:$L$8,MATCH(C108,'G-7 Rivers Data'!$B$4:$B$8,0),MATCH(G108,'G-7 Rivers Data'!$H$3:$L$3,0)),"")</f>
        <v/>
      </c>
      <c r="I108" s="154"/>
      <c r="J108" s="507" t="str">
        <f>IF(I108="","",IF(VLOOKUP(I108,'G-7 Rivers Data'!$AG$4:$AI$9,2,FALSE)=0,"Spatial Data Missing ⚠",VLOOKUP(I108,'G-7 Rivers Data'!$AG$4:$AI$9,2,FALSE)))</f>
        <v/>
      </c>
      <c r="K108" s="499" t="str">
        <f>IF(I108="","",IF(VLOOKUP(I108,'G-7 Rivers Data'!$AG$4:$AI$9,3,FALSE)=0,"Spatial Data Missing ⚠",VLOOKUP(I108,'G-7 Rivers Data'!$AG$4:$AI$9,3,FALSE)))</f>
        <v/>
      </c>
      <c r="L108" s="498" t="str">
        <f>IFERROR(INDEX('G-7 Rivers Data'!$O$3:$O$7,MATCH(G108,'G-7 Rivers Data'!$N$3:$N$7,0)),"")</f>
        <v/>
      </c>
      <c r="M108" s="82"/>
      <c r="N108" s="195"/>
      <c r="O108" s="507" t="str">
        <f t="shared" si="7"/>
        <v/>
      </c>
      <c r="P108" s="521" t="str">
        <f t="shared" si="8"/>
        <v/>
      </c>
      <c r="Q108" s="564" t="str">
        <f>IFERROR(IF(P108="Check Data ⚠","Check Data ⚠",VLOOKUP(P108,'G-4 Temporal multipliers'!$A$4:$C$37,3,FALSE)),"")</f>
        <v/>
      </c>
      <c r="R108" s="498" t="str">
        <f>IF(C108="","",VLOOKUP(C108,'G-7 Rivers Data'!$B$4:$G$8,4,FALSE))</f>
        <v/>
      </c>
      <c r="S108" s="507" t="str">
        <f t="shared" si="9"/>
        <v/>
      </c>
      <c r="T108" s="540" t="str">
        <f t="shared" si="10"/>
        <v/>
      </c>
      <c r="U108" s="499" t="str">
        <f t="shared" si="11"/>
        <v/>
      </c>
      <c r="V108" s="71"/>
      <c r="W108" s="499" t="str">
        <f>IF(V108="","",IF(VLOOKUP(V108,'G-7 Rivers Data'!$AA$4:$AB$7,2,FALSE)=0,"Spatial Data Missing ⚠",VLOOKUP(V108,'G-7 Rivers Data'!$AA$4:$AB$7,2,FALSE)))</f>
        <v/>
      </c>
      <c r="X108" s="155"/>
      <c r="Y108" s="499" t="str">
        <f>IF(X108="","",IF(VLOOKUP(X108,'G-7 Rivers Data'!$AD$4:$AE$8,2,FALSE)=0,"Enrcoachment Data Missing ⚠",VLOOKUP(X108,'G-7 Rivers Data'!$AD$4:$AE$8,2,FALSE)))</f>
        <v/>
      </c>
      <c r="Z108" s="565" t="str">
        <f t="shared" si="12"/>
        <v/>
      </c>
      <c r="AA108" s="149"/>
      <c r="AB108" s="150"/>
      <c r="AH108" s="31" t="str">
        <f>IFERROR(INDEX('G-7 Rivers Data'!$AZ$3:$AZ$7,MATCH(C108,'G-7 Rivers Data'!$AY$3:$AY$7,0)),"")</f>
        <v/>
      </c>
    </row>
    <row r="109" spans="2:34" ht="13.8" x14ac:dyDescent="0.25">
      <c r="B109" s="141">
        <v>98</v>
      </c>
      <c r="C109" s="171"/>
      <c r="D109" s="172"/>
      <c r="E109" s="498" t="str">
        <f>IF(C109="","",VLOOKUP(C109,'G-7 Rivers Data'!$B$2:$G$8,2,FALSE))</f>
        <v/>
      </c>
      <c r="F109" s="499" t="str">
        <f>IFERROR(VLOOKUP(E109,'G-7 Rivers Data'!$C$4:$D$8,2,FALSE),"")</f>
        <v/>
      </c>
      <c r="G109" s="145"/>
      <c r="H109" s="499" t="str">
        <f>IFERROR(INDEX('G-7 Rivers Data'!$H$4:$L$8,MATCH(C109,'G-7 Rivers Data'!$B$4:$B$8,0),MATCH(G109,'G-7 Rivers Data'!$H$3:$L$3,0)),"")</f>
        <v/>
      </c>
      <c r="I109" s="154"/>
      <c r="J109" s="507" t="str">
        <f>IF(I109="","",IF(VLOOKUP(I109,'G-7 Rivers Data'!$AG$4:$AI$9,2,FALSE)=0,"Spatial Data Missing ⚠",VLOOKUP(I109,'G-7 Rivers Data'!$AG$4:$AI$9,2,FALSE)))</f>
        <v/>
      </c>
      <c r="K109" s="499" t="str">
        <f>IF(I109="","",IF(VLOOKUP(I109,'G-7 Rivers Data'!$AG$4:$AI$9,3,FALSE)=0,"Spatial Data Missing ⚠",VLOOKUP(I109,'G-7 Rivers Data'!$AG$4:$AI$9,3,FALSE)))</f>
        <v/>
      </c>
      <c r="L109" s="498" t="str">
        <f>IFERROR(INDEX('G-7 Rivers Data'!$O$3:$O$7,MATCH(G109,'G-7 Rivers Data'!$N$3:$N$7,0)),"")</f>
        <v/>
      </c>
      <c r="M109" s="82"/>
      <c r="N109" s="195"/>
      <c r="O109" s="507" t="str">
        <f t="shared" si="7"/>
        <v/>
      </c>
      <c r="P109" s="521" t="str">
        <f t="shared" si="8"/>
        <v/>
      </c>
      <c r="Q109" s="564" t="str">
        <f>IFERROR(IF(P109="Check Data ⚠","Check Data ⚠",VLOOKUP(P109,'G-4 Temporal multipliers'!$A$4:$C$37,3,FALSE)),"")</f>
        <v/>
      </c>
      <c r="R109" s="498" t="str">
        <f>IF(C109="","",VLOOKUP(C109,'G-7 Rivers Data'!$B$4:$G$8,4,FALSE))</f>
        <v/>
      </c>
      <c r="S109" s="507" t="str">
        <f t="shared" si="9"/>
        <v/>
      </c>
      <c r="T109" s="540" t="str">
        <f t="shared" si="10"/>
        <v/>
      </c>
      <c r="U109" s="499" t="str">
        <f t="shared" si="11"/>
        <v/>
      </c>
      <c r="V109" s="71"/>
      <c r="W109" s="499" t="str">
        <f>IF(V109="","",IF(VLOOKUP(V109,'G-7 Rivers Data'!$AA$4:$AB$7,2,FALSE)=0,"Spatial Data Missing ⚠",VLOOKUP(V109,'G-7 Rivers Data'!$AA$4:$AB$7,2,FALSE)))</f>
        <v/>
      </c>
      <c r="X109" s="155"/>
      <c r="Y109" s="499" t="str">
        <f>IF(X109="","",IF(VLOOKUP(X109,'G-7 Rivers Data'!$AD$4:$AE$8,2,FALSE)=0,"Enrcoachment Data Missing ⚠",VLOOKUP(X109,'G-7 Rivers Data'!$AD$4:$AE$8,2,FALSE)))</f>
        <v/>
      </c>
      <c r="Z109" s="565" t="str">
        <f t="shared" si="12"/>
        <v/>
      </c>
      <c r="AA109" s="149"/>
      <c r="AB109" s="150"/>
      <c r="AH109" s="31" t="str">
        <f>IFERROR(INDEX('G-7 Rivers Data'!$AZ$3:$AZ$7,MATCH(C109,'G-7 Rivers Data'!$AY$3:$AY$7,0)),"")</f>
        <v/>
      </c>
    </row>
    <row r="110" spans="2:34" ht="13.8" x14ac:dyDescent="0.25">
      <c r="B110" s="141">
        <v>99</v>
      </c>
      <c r="C110" s="171"/>
      <c r="D110" s="172"/>
      <c r="E110" s="498" t="str">
        <f>IF(C110="","",VLOOKUP(C110,'G-7 Rivers Data'!$B$2:$G$8,2,FALSE))</f>
        <v/>
      </c>
      <c r="F110" s="499" t="str">
        <f>IFERROR(VLOOKUP(E110,'G-7 Rivers Data'!$C$4:$D$8,2,FALSE),"")</f>
        <v/>
      </c>
      <c r="G110" s="145"/>
      <c r="H110" s="499" t="str">
        <f>IFERROR(INDEX('G-7 Rivers Data'!$H$4:$L$8,MATCH(C110,'G-7 Rivers Data'!$B$4:$B$8,0),MATCH(G110,'G-7 Rivers Data'!$H$3:$L$3,0)),"")</f>
        <v/>
      </c>
      <c r="I110" s="154"/>
      <c r="J110" s="507" t="str">
        <f>IF(I110="","",IF(VLOOKUP(I110,'G-7 Rivers Data'!$AG$4:$AI$9,2,FALSE)=0,"Spatial Data Missing ⚠",VLOOKUP(I110,'G-7 Rivers Data'!$AG$4:$AI$9,2,FALSE)))</f>
        <v/>
      </c>
      <c r="K110" s="499" t="str">
        <f>IF(I110="","",IF(VLOOKUP(I110,'G-7 Rivers Data'!$AG$4:$AI$9,3,FALSE)=0,"Spatial Data Missing ⚠",VLOOKUP(I110,'G-7 Rivers Data'!$AG$4:$AI$9,3,FALSE)))</f>
        <v/>
      </c>
      <c r="L110" s="498" t="str">
        <f>IFERROR(INDEX('G-7 Rivers Data'!$O$3:$O$7,MATCH(G110,'G-7 Rivers Data'!$N$3:$N$7,0)),"")</f>
        <v/>
      </c>
      <c r="M110" s="82"/>
      <c r="N110" s="195"/>
      <c r="O110" s="507" t="str">
        <f t="shared" si="7"/>
        <v/>
      </c>
      <c r="P110" s="521" t="str">
        <f t="shared" si="8"/>
        <v/>
      </c>
      <c r="Q110" s="564" t="str">
        <f>IFERROR(IF(P110="Check Data ⚠","Check Data ⚠",VLOOKUP(P110,'G-4 Temporal multipliers'!$A$4:$C$37,3,FALSE)),"")</f>
        <v/>
      </c>
      <c r="R110" s="498" t="str">
        <f>IF(C110="","",VLOOKUP(C110,'G-7 Rivers Data'!$B$4:$G$8,4,FALSE))</f>
        <v/>
      </c>
      <c r="S110" s="507" t="str">
        <f t="shared" si="9"/>
        <v/>
      </c>
      <c r="T110" s="540" t="str">
        <f t="shared" si="10"/>
        <v/>
      </c>
      <c r="U110" s="499" t="str">
        <f t="shared" si="11"/>
        <v/>
      </c>
      <c r="V110" s="71"/>
      <c r="W110" s="499" t="str">
        <f>IF(V110="","",IF(VLOOKUP(V110,'G-7 Rivers Data'!$AA$4:$AB$7,2,FALSE)=0,"Spatial Data Missing ⚠",VLOOKUP(V110,'G-7 Rivers Data'!$AA$4:$AB$7,2,FALSE)))</f>
        <v/>
      </c>
      <c r="X110" s="155"/>
      <c r="Y110" s="499" t="str">
        <f>IF(X110="","",IF(VLOOKUP(X110,'G-7 Rivers Data'!$AD$4:$AE$8,2,FALSE)=0,"Enrcoachment Data Missing ⚠",VLOOKUP(X110,'G-7 Rivers Data'!$AD$4:$AE$8,2,FALSE)))</f>
        <v/>
      </c>
      <c r="Z110" s="565" t="str">
        <f t="shared" si="12"/>
        <v/>
      </c>
      <c r="AA110" s="149"/>
      <c r="AB110" s="150"/>
      <c r="AH110" s="31" t="str">
        <f>IFERROR(INDEX('G-7 Rivers Data'!$AZ$3:$AZ$7,MATCH(C110,'G-7 Rivers Data'!$AY$3:$AY$7,0)),"")</f>
        <v/>
      </c>
    </row>
    <row r="111" spans="2:34" ht="13.8" x14ac:dyDescent="0.25">
      <c r="B111" s="141">
        <v>100</v>
      </c>
      <c r="C111" s="171"/>
      <c r="D111" s="172"/>
      <c r="E111" s="498" t="str">
        <f>IF(C111="","",VLOOKUP(C111,'G-7 Rivers Data'!$B$2:$G$8,2,FALSE))</f>
        <v/>
      </c>
      <c r="F111" s="499" t="str">
        <f>IFERROR(VLOOKUP(E111,'G-7 Rivers Data'!$C$4:$D$8,2,FALSE),"")</f>
        <v/>
      </c>
      <c r="G111" s="145"/>
      <c r="H111" s="499" t="str">
        <f>IFERROR(INDEX('G-7 Rivers Data'!$H$4:$L$8,MATCH(C111,'G-7 Rivers Data'!$B$4:$B$8,0),MATCH(G111,'G-7 Rivers Data'!$H$3:$L$3,0)),"")</f>
        <v/>
      </c>
      <c r="I111" s="154"/>
      <c r="J111" s="507" t="str">
        <f>IF(I111="","",IF(VLOOKUP(I111,'G-7 Rivers Data'!$AG$4:$AI$9,2,FALSE)=0,"Spatial Data Missing ⚠",VLOOKUP(I111,'G-7 Rivers Data'!$AG$4:$AI$9,2,FALSE)))</f>
        <v/>
      </c>
      <c r="K111" s="499" t="str">
        <f>IF(I111="","",IF(VLOOKUP(I111,'G-7 Rivers Data'!$AG$4:$AI$9,3,FALSE)=0,"Spatial Data Missing ⚠",VLOOKUP(I111,'G-7 Rivers Data'!$AG$4:$AI$9,3,FALSE)))</f>
        <v/>
      </c>
      <c r="L111" s="498" t="str">
        <f>IFERROR(INDEX('G-7 Rivers Data'!$O$3:$O$7,MATCH(G111,'G-7 Rivers Data'!$N$3:$N$7,0)),"")</f>
        <v/>
      </c>
      <c r="M111" s="82"/>
      <c r="N111" s="195"/>
      <c r="O111" s="507" t="str">
        <f t="shared" si="7"/>
        <v/>
      </c>
      <c r="P111" s="521" t="str">
        <f t="shared" si="8"/>
        <v/>
      </c>
      <c r="Q111" s="564" t="str">
        <f>IFERROR(IF(P111="Check Data ⚠","Check Data ⚠",VLOOKUP(P111,'G-4 Temporal multipliers'!$A$4:$C$37,3,FALSE)),"")</f>
        <v/>
      </c>
      <c r="R111" s="498" t="str">
        <f>IF(C111="","",VLOOKUP(C111,'G-7 Rivers Data'!$B$4:$G$8,4,FALSE))</f>
        <v/>
      </c>
      <c r="S111" s="507" t="str">
        <f t="shared" si="9"/>
        <v/>
      </c>
      <c r="T111" s="540" t="str">
        <f t="shared" si="10"/>
        <v/>
      </c>
      <c r="U111" s="499" t="str">
        <f t="shared" si="11"/>
        <v/>
      </c>
      <c r="V111" s="71"/>
      <c r="W111" s="499" t="str">
        <f>IF(V111="","",IF(VLOOKUP(V111,'G-7 Rivers Data'!$AA$4:$AB$7,2,FALSE)=0,"Spatial Data Missing ⚠",VLOOKUP(V111,'G-7 Rivers Data'!$AA$4:$AB$7,2,FALSE)))</f>
        <v/>
      </c>
      <c r="X111" s="155"/>
      <c r="Y111" s="499" t="str">
        <f>IF(X111="","",IF(VLOOKUP(X111,'G-7 Rivers Data'!$AD$4:$AE$8,2,FALSE)=0,"Enrcoachment Data Missing ⚠",VLOOKUP(X111,'G-7 Rivers Data'!$AD$4:$AE$8,2,FALSE)))</f>
        <v/>
      </c>
      <c r="Z111" s="565" t="str">
        <f t="shared" si="12"/>
        <v/>
      </c>
      <c r="AA111" s="149"/>
      <c r="AB111" s="150"/>
      <c r="AH111" s="31" t="str">
        <f>IFERROR(INDEX('G-7 Rivers Data'!$AZ$3:$AZ$7,MATCH(C111,'G-7 Rivers Data'!$AY$3:$AY$7,0)),"")</f>
        <v/>
      </c>
    </row>
    <row r="112" spans="2:34" ht="13.8" x14ac:dyDescent="0.25">
      <c r="B112" s="141">
        <v>101</v>
      </c>
      <c r="C112" s="171"/>
      <c r="D112" s="172"/>
      <c r="E112" s="498" t="str">
        <f>IF(C112="","",VLOOKUP(C112,'G-7 Rivers Data'!$B$2:$G$8,2,FALSE))</f>
        <v/>
      </c>
      <c r="F112" s="499" t="str">
        <f>IFERROR(VLOOKUP(E112,'G-7 Rivers Data'!$C$4:$D$8,2,FALSE),"")</f>
        <v/>
      </c>
      <c r="G112" s="145"/>
      <c r="H112" s="499" t="str">
        <f>IFERROR(INDEX('G-7 Rivers Data'!$H$4:$L$8,MATCH(C112,'G-7 Rivers Data'!$B$4:$B$8,0),MATCH(G112,'G-7 Rivers Data'!$H$3:$L$3,0)),"")</f>
        <v/>
      </c>
      <c r="I112" s="154"/>
      <c r="J112" s="507" t="str">
        <f>IF(I112="","",IF(VLOOKUP(I112,'G-7 Rivers Data'!$AG$4:$AI$9,2,FALSE)=0,"Spatial Data Missing ⚠",VLOOKUP(I112,'G-7 Rivers Data'!$AG$4:$AI$9,2,FALSE)))</f>
        <v/>
      </c>
      <c r="K112" s="499" t="str">
        <f>IF(I112="","",IF(VLOOKUP(I112,'G-7 Rivers Data'!$AG$4:$AI$9,3,FALSE)=0,"Spatial Data Missing ⚠",VLOOKUP(I112,'G-7 Rivers Data'!$AG$4:$AI$9,3,FALSE)))</f>
        <v/>
      </c>
      <c r="L112" s="498" t="str">
        <f>IFERROR(INDEX('G-7 Rivers Data'!$O$3:$O$7,MATCH(G112,'G-7 Rivers Data'!$N$3:$N$7,0)),"")</f>
        <v/>
      </c>
      <c r="M112" s="82"/>
      <c r="N112" s="195"/>
      <c r="O112" s="507" t="str">
        <f t="shared" si="7"/>
        <v/>
      </c>
      <c r="P112" s="521" t="str">
        <f t="shared" si="8"/>
        <v/>
      </c>
      <c r="Q112" s="564" t="str">
        <f>IFERROR(IF(P112="Check Data ⚠","Check Data ⚠",VLOOKUP(P112,'G-4 Temporal multipliers'!$A$4:$C$37,3,FALSE)),"")</f>
        <v/>
      </c>
      <c r="R112" s="498" t="str">
        <f>IF(C112="","",VLOOKUP(C112,'G-7 Rivers Data'!$B$4:$G$8,4,FALSE))</f>
        <v/>
      </c>
      <c r="S112" s="507" t="str">
        <f t="shared" si="9"/>
        <v/>
      </c>
      <c r="T112" s="540" t="str">
        <f t="shared" si="10"/>
        <v/>
      </c>
      <c r="U112" s="499" t="str">
        <f t="shared" si="11"/>
        <v/>
      </c>
      <c r="V112" s="71"/>
      <c r="W112" s="499" t="str">
        <f>IF(V112="","",IF(VLOOKUP(V112,'G-7 Rivers Data'!$AA$4:$AB$7,2,FALSE)=0,"Spatial Data Missing ⚠",VLOOKUP(V112,'G-7 Rivers Data'!$AA$4:$AB$7,2,FALSE)))</f>
        <v/>
      </c>
      <c r="X112" s="155"/>
      <c r="Y112" s="499" t="str">
        <f>IF(X112="","",IF(VLOOKUP(X112,'G-7 Rivers Data'!$AD$4:$AE$8,2,FALSE)=0,"Enrcoachment Data Missing ⚠",VLOOKUP(X112,'G-7 Rivers Data'!$AD$4:$AE$8,2,FALSE)))</f>
        <v/>
      </c>
      <c r="Z112" s="565" t="str">
        <f t="shared" si="12"/>
        <v/>
      </c>
      <c r="AA112" s="149"/>
      <c r="AB112" s="150"/>
      <c r="AH112" s="31" t="str">
        <f>IFERROR(INDEX('G-7 Rivers Data'!$AZ$3:$AZ$7,MATCH(C112,'G-7 Rivers Data'!$AY$3:$AY$7,0)),"")</f>
        <v/>
      </c>
    </row>
    <row r="113" spans="2:34" ht="13.8" x14ac:dyDescent="0.25">
      <c r="B113" s="141">
        <v>102</v>
      </c>
      <c r="C113" s="171"/>
      <c r="D113" s="172"/>
      <c r="E113" s="498" t="str">
        <f>IF(C113="","",VLOOKUP(C113,'G-7 Rivers Data'!$B$2:$G$8,2,FALSE))</f>
        <v/>
      </c>
      <c r="F113" s="499" t="str">
        <f>IFERROR(VLOOKUP(E113,'G-7 Rivers Data'!$C$4:$D$8,2,FALSE),"")</f>
        <v/>
      </c>
      <c r="G113" s="145"/>
      <c r="H113" s="499" t="str">
        <f>IFERROR(INDEX('G-7 Rivers Data'!$H$4:$L$8,MATCH(C113,'G-7 Rivers Data'!$B$4:$B$8,0),MATCH(G113,'G-7 Rivers Data'!$H$3:$L$3,0)),"")</f>
        <v/>
      </c>
      <c r="I113" s="154"/>
      <c r="J113" s="507" t="str">
        <f>IF(I113="","",IF(VLOOKUP(I113,'G-7 Rivers Data'!$AG$4:$AI$9,2,FALSE)=0,"Spatial Data Missing ⚠",VLOOKUP(I113,'G-7 Rivers Data'!$AG$4:$AI$9,2,FALSE)))</f>
        <v/>
      </c>
      <c r="K113" s="499" t="str">
        <f>IF(I113="","",IF(VLOOKUP(I113,'G-7 Rivers Data'!$AG$4:$AI$9,3,FALSE)=0,"Spatial Data Missing ⚠",VLOOKUP(I113,'G-7 Rivers Data'!$AG$4:$AI$9,3,FALSE)))</f>
        <v/>
      </c>
      <c r="L113" s="498" t="str">
        <f>IFERROR(INDEX('G-7 Rivers Data'!$O$3:$O$7,MATCH(G113,'G-7 Rivers Data'!$N$3:$N$7,0)),"")</f>
        <v/>
      </c>
      <c r="M113" s="82"/>
      <c r="N113" s="195"/>
      <c r="O113" s="507" t="str">
        <f t="shared" si="7"/>
        <v/>
      </c>
      <c r="P113" s="521" t="str">
        <f t="shared" si="8"/>
        <v/>
      </c>
      <c r="Q113" s="564" t="str">
        <f>IFERROR(IF(P113="Check Data ⚠","Check Data ⚠",VLOOKUP(P113,'G-4 Temporal multipliers'!$A$4:$C$37,3,FALSE)),"")</f>
        <v/>
      </c>
      <c r="R113" s="498" t="str">
        <f>IF(C113="","",VLOOKUP(C113,'G-7 Rivers Data'!$B$4:$G$8,4,FALSE))</f>
        <v/>
      </c>
      <c r="S113" s="507" t="str">
        <f t="shared" si="9"/>
        <v/>
      </c>
      <c r="T113" s="540" t="str">
        <f t="shared" si="10"/>
        <v/>
      </c>
      <c r="U113" s="499" t="str">
        <f t="shared" si="11"/>
        <v/>
      </c>
      <c r="V113" s="71"/>
      <c r="W113" s="499" t="str">
        <f>IF(V113="","",IF(VLOOKUP(V113,'G-7 Rivers Data'!$AA$4:$AB$7,2,FALSE)=0,"Spatial Data Missing ⚠",VLOOKUP(V113,'G-7 Rivers Data'!$AA$4:$AB$7,2,FALSE)))</f>
        <v/>
      </c>
      <c r="X113" s="155"/>
      <c r="Y113" s="499" t="str">
        <f>IF(X113="","",IF(VLOOKUP(X113,'G-7 Rivers Data'!$AD$4:$AE$8,2,FALSE)=0,"Enrcoachment Data Missing ⚠",VLOOKUP(X113,'G-7 Rivers Data'!$AD$4:$AE$8,2,FALSE)))</f>
        <v/>
      </c>
      <c r="Z113" s="565" t="str">
        <f t="shared" si="12"/>
        <v/>
      </c>
      <c r="AA113" s="149"/>
      <c r="AB113" s="150"/>
      <c r="AH113" s="31" t="str">
        <f>IFERROR(INDEX('G-7 Rivers Data'!$AZ$3:$AZ$7,MATCH(C113,'G-7 Rivers Data'!$AY$3:$AY$7,0)),"")</f>
        <v/>
      </c>
    </row>
    <row r="114" spans="2:34" ht="13.8" x14ac:dyDescent="0.25">
      <c r="B114" s="141">
        <v>103</v>
      </c>
      <c r="C114" s="171"/>
      <c r="D114" s="172"/>
      <c r="E114" s="498" t="str">
        <f>IF(C114="","",VLOOKUP(C114,'G-7 Rivers Data'!$B$2:$G$8,2,FALSE))</f>
        <v/>
      </c>
      <c r="F114" s="499" t="str">
        <f>IFERROR(VLOOKUP(E114,'G-7 Rivers Data'!$C$4:$D$8,2,FALSE),"")</f>
        <v/>
      </c>
      <c r="G114" s="145"/>
      <c r="H114" s="499" t="str">
        <f>IFERROR(INDEX('G-7 Rivers Data'!$H$4:$L$8,MATCH(C114,'G-7 Rivers Data'!$B$4:$B$8,0),MATCH(G114,'G-7 Rivers Data'!$H$3:$L$3,0)),"")</f>
        <v/>
      </c>
      <c r="I114" s="154"/>
      <c r="J114" s="507" t="str">
        <f>IF(I114="","",IF(VLOOKUP(I114,'G-7 Rivers Data'!$AG$4:$AI$9,2,FALSE)=0,"Spatial Data Missing ⚠",VLOOKUP(I114,'G-7 Rivers Data'!$AG$4:$AI$9,2,FALSE)))</f>
        <v/>
      </c>
      <c r="K114" s="499" t="str">
        <f>IF(I114="","",IF(VLOOKUP(I114,'G-7 Rivers Data'!$AG$4:$AI$9,3,FALSE)=0,"Spatial Data Missing ⚠",VLOOKUP(I114,'G-7 Rivers Data'!$AG$4:$AI$9,3,FALSE)))</f>
        <v/>
      </c>
      <c r="L114" s="498" t="str">
        <f>IFERROR(INDEX('G-7 Rivers Data'!$O$3:$O$7,MATCH(G114,'G-7 Rivers Data'!$N$3:$N$7,0)),"")</f>
        <v/>
      </c>
      <c r="M114" s="82"/>
      <c r="N114" s="195"/>
      <c r="O114" s="507" t="str">
        <f t="shared" si="7"/>
        <v/>
      </c>
      <c r="P114" s="521" t="str">
        <f t="shared" si="8"/>
        <v/>
      </c>
      <c r="Q114" s="564" t="str">
        <f>IFERROR(IF(P114="Check Data ⚠","Check Data ⚠",VLOOKUP(P114,'G-4 Temporal multipliers'!$A$4:$C$37,3,FALSE)),"")</f>
        <v/>
      </c>
      <c r="R114" s="498" t="str">
        <f>IF(C114="","",VLOOKUP(C114,'G-7 Rivers Data'!$B$4:$G$8,4,FALSE))</f>
        <v/>
      </c>
      <c r="S114" s="507" t="str">
        <f t="shared" si="9"/>
        <v/>
      </c>
      <c r="T114" s="540" t="str">
        <f t="shared" si="10"/>
        <v/>
      </c>
      <c r="U114" s="499" t="str">
        <f t="shared" si="11"/>
        <v/>
      </c>
      <c r="V114" s="71"/>
      <c r="W114" s="499" t="str">
        <f>IF(V114="","",IF(VLOOKUP(V114,'G-7 Rivers Data'!$AA$4:$AB$7,2,FALSE)=0,"Spatial Data Missing ⚠",VLOOKUP(V114,'G-7 Rivers Data'!$AA$4:$AB$7,2,FALSE)))</f>
        <v/>
      </c>
      <c r="X114" s="155"/>
      <c r="Y114" s="499" t="str">
        <f>IF(X114="","",IF(VLOOKUP(X114,'G-7 Rivers Data'!$AD$4:$AE$8,2,FALSE)=0,"Enrcoachment Data Missing ⚠",VLOOKUP(X114,'G-7 Rivers Data'!$AD$4:$AE$8,2,FALSE)))</f>
        <v/>
      </c>
      <c r="Z114" s="565" t="str">
        <f t="shared" si="12"/>
        <v/>
      </c>
      <c r="AA114" s="149"/>
      <c r="AB114" s="150"/>
      <c r="AH114" s="31" t="str">
        <f>IFERROR(INDEX('G-7 Rivers Data'!$AZ$3:$AZ$7,MATCH(C114,'G-7 Rivers Data'!$AY$3:$AY$7,0)),"")</f>
        <v/>
      </c>
    </row>
    <row r="115" spans="2:34" ht="13.8" x14ac:dyDescent="0.25">
      <c r="B115" s="141">
        <v>104</v>
      </c>
      <c r="C115" s="171"/>
      <c r="D115" s="172"/>
      <c r="E115" s="498" t="str">
        <f>IF(C115="","",VLOOKUP(C115,'G-7 Rivers Data'!$B$2:$G$8,2,FALSE))</f>
        <v/>
      </c>
      <c r="F115" s="499" t="str">
        <f>IFERROR(VLOOKUP(E115,'G-7 Rivers Data'!$C$4:$D$8,2,FALSE),"")</f>
        <v/>
      </c>
      <c r="G115" s="145"/>
      <c r="H115" s="499" t="str">
        <f>IFERROR(INDEX('G-7 Rivers Data'!$H$4:$L$8,MATCH(C115,'G-7 Rivers Data'!$B$4:$B$8,0),MATCH(G115,'G-7 Rivers Data'!$H$3:$L$3,0)),"")</f>
        <v/>
      </c>
      <c r="I115" s="154"/>
      <c r="J115" s="507" t="str">
        <f>IF(I115="","",IF(VLOOKUP(I115,'G-7 Rivers Data'!$AG$4:$AI$9,2,FALSE)=0,"Spatial Data Missing ⚠",VLOOKUP(I115,'G-7 Rivers Data'!$AG$4:$AI$9,2,FALSE)))</f>
        <v/>
      </c>
      <c r="K115" s="499" t="str">
        <f>IF(I115="","",IF(VLOOKUP(I115,'G-7 Rivers Data'!$AG$4:$AI$9,3,FALSE)=0,"Spatial Data Missing ⚠",VLOOKUP(I115,'G-7 Rivers Data'!$AG$4:$AI$9,3,FALSE)))</f>
        <v/>
      </c>
      <c r="L115" s="498" t="str">
        <f>IFERROR(INDEX('G-7 Rivers Data'!$O$3:$O$7,MATCH(G115,'G-7 Rivers Data'!$N$3:$N$7,0)),"")</f>
        <v/>
      </c>
      <c r="M115" s="82"/>
      <c r="N115" s="195"/>
      <c r="O115" s="507" t="str">
        <f t="shared" si="7"/>
        <v/>
      </c>
      <c r="P115" s="521" t="str">
        <f t="shared" si="8"/>
        <v/>
      </c>
      <c r="Q115" s="564" t="str">
        <f>IFERROR(IF(P115="Check Data ⚠","Check Data ⚠",VLOOKUP(P115,'G-4 Temporal multipliers'!$A$4:$C$37,3,FALSE)),"")</f>
        <v/>
      </c>
      <c r="R115" s="498" t="str">
        <f>IF(C115="","",VLOOKUP(C115,'G-7 Rivers Data'!$B$4:$G$8,4,FALSE))</f>
        <v/>
      </c>
      <c r="S115" s="507" t="str">
        <f t="shared" si="9"/>
        <v/>
      </c>
      <c r="T115" s="540" t="str">
        <f t="shared" si="10"/>
        <v/>
      </c>
      <c r="U115" s="499" t="str">
        <f t="shared" si="11"/>
        <v/>
      </c>
      <c r="V115" s="71"/>
      <c r="W115" s="499" t="str">
        <f>IF(V115="","",IF(VLOOKUP(V115,'G-7 Rivers Data'!$AA$4:$AB$7,2,FALSE)=0,"Spatial Data Missing ⚠",VLOOKUP(V115,'G-7 Rivers Data'!$AA$4:$AB$7,2,FALSE)))</f>
        <v/>
      </c>
      <c r="X115" s="155"/>
      <c r="Y115" s="499" t="str">
        <f>IF(X115="","",IF(VLOOKUP(X115,'G-7 Rivers Data'!$AD$4:$AE$8,2,FALSE)=0,"Enrcoachment Data Missing ⚠",VLOOKUP(X115,'G-7 Rivers Data'!$AD$4:$AE$8,2,FALSE)))</f>
        <v/>
      </c>
      <c r="Z115" s="565" t="str">
        <f t="shared" si="12"/>
        <v/>
      </c>
      <c r="AA115" s="149"/>
      <c r="AB115" s="150"/>
      <c r="AH115" s="31" t="str">
        <f>IFERROR(INDEX('G-7 Rivers Data'!$AZ$3:$AZ$7,MATCH(C115,'G-7 Rivers Data'!$AY$3:$AY$7,0)),"")</f>
        <v/>
      </c>
    </row>
    <row r="116" spans="2:34" ht="13.8" x14ac:dyDescent="0.25">
      <c r="B116" s="141">
        <v>105</v>
      </c>
      <c r="C116" s="171"/>
      <c r="D116" s="172"/>
      <c r="E116" s="498" t="str">
        <f>IF(C116="","",VLOOKUP(C116,'G-7 Rivers Data'!$B$2:$G$8,2,FALSE))</f>
        <v/>
      </c>
      <c r="F116" s="499" t="str">
        <f>IFERROR(VLOOKUP(E116,'G-7 Rivers Data'!$C$4:$D$8,2,FALSE),"")</f>
        <v/>
      </c>
      <c r="G116" s="145"/>
      <c r="H116" s="499" t="str">
        <f>IFERROR(INDEX('G-7 Rivers Data'!$H$4:$L$8,MATCH(C116,'G-7 Rivers Data'!$B$4:$B$8,0),MATCH(G116,'G-7 Rivers Data'!$H$3:$L$3,0)),"")</f>
        <v/>
      </c>
      <c r="I116" s="154"/>
      <c r="J116" s="507" t="str">
        <f>IF(I116="","",IF(VLOOKUP(I116,'G-7 Rivers Data'!$AG$4:$AI$9,2,FALSE)=0,"Spatial Data Missing ⚠",VLOOKUP(I116,'G-7 Rivers Data'!$AG$4:$AI$9,2,FALSE)))</f>
        <v/>
      </c>
      <c r="K116" s="499" t="str">
        <f>IF(I116="","",IF(VLOOKUP(I116,'G-7 Rivers Data'!$AG$4:$AI$9,3,FALSE)=0,"Spatial Data Missing ⚠",VLOOKUP(I116,'G-7 Rivers Data'!$AG$4:$AI$9,3,FALSE)))</f>
        <v/>
      </c>
      <c r="L116" s="498" t="str">
        <f>IFERROR(INDEX('G-7 Rivers Data'!$O$3:$O$7,MATCH(G116,'G-7 Rivers Data'!$N$3:$N$7,0)),"")</f>
        <v/>
      </c>
      <c r="M116" s="82"/>
      <c r="N116" s="195"/>
      <c r="O116" s="507" t="str">
        <f t="shared" si="7"/>
        <v/>
      </c>
      <c r="P116" s="521" t="str">
        <f t="shared" si="8"/>
        <v/>
      </c>
      <c r="Q116" s="564" t="str">
        <f>IFERROR(IF(P116="Check Data ⚠","Check Data ⚠",VLOOKUP(P116,'G-4 Temporal multipliers'!$A$4:$C$37,3,FALSE)),"")</f>
        <v/>
      </c>
      <c r="R116" s="498" t="str">
        <f>IF(C116="","",VLOOKUP(C116,'G-7 Rivers Data'!$B$4:$G$8,4,FALSE))</f>
        <v/>
      </c>
      <c r="S116" s="507" t="str">
        <f t="shared" si="9"/>
        <v/>
      </c>
      <c r="T116" s="540" t="str">
        <f t="shared" si="10"/>
        <v/>
      </c>
      <c r="U116" s="499" t="str">
        <f t="shared" si="11"/>
        <v/>
      </c>
      <c r="V116" s="71"/>
      <c r="W116" s="499" t="str">
        <f>IF(V116="","",IF(VLOOKUP(V116,'G-7 Rivers Data'!$AA$4:$AB$7,2,FALSE)=0,"Spatial Data Missing ⚠",VLOOKUP(V116,'G-7 Rivers Data'!$AA$4:$AB$7,2,FALSE)))</f>
        <v/>
      </c>
      <c r="X116" s="155"/>
      <c r="Y116" s="499" t="str">
        <f>IF(X116="","",IF(VLOOKUP(X116,'G-7 Rivers Data'!$AD$4:$AE$8,2,FALSE)=0,"Enrcoachment Data Missing ⚠",VLOOKUP(X116,'G-7 Rivers Data'!$AD$4:$AE$8,2,FALSE)))</f>
        <v/>
      </c>
      <c r="Z116" s="565" t="str">
        <f t="shared" si="12"/>
        <v/>
      </c>
      <c r="AA116" s="149"/>
      <c r="AB116" s="150"/>
      <c r="AH116" s="31" t="str">
        <f>IFERROR(INDEX('G-7 Rivers Data'!$AZ$3:$AZ$7,MATCH(C116,'G-7 Rivers Data'!$AY$3:$AY$7,0)),"")</f>
        <v/>
      </c>
    </row>
    <row r="117" spans="2:34" ht="13.8" x14ac:dyDescent="0.25">
      <c r="B117" s="141">
        <v>106</v>
      </c>
      <c r="C117" s="171"/>
      <c r="D117" s="172"/>
      <c r="E117" s="498" t="str">
        <f>IF(C117="","",VLOOKUP(C117,'G-7 Rivers Data'!$B$2:$G$8,2,FALSE))</f>
        <v/>
      </c>
      <c r="F117" s="499" t="str">
        <f>IFERROR(VLOOKUP(E117,'G-7 Rivers Data'!$C$4:$D$8,2,FALSE),"")</f>
        <v/>
      </c>
      <c r="G117" s="145"/>
      <c r="H117" s="499" t="str">
        <f>IFERROR(INDEX('G-7 Rivers Data'!$H$4:$L$8,MATCH(C117,'G-7 Rivers Data'!$B$4:$B$8,0),MATCH(G117,'G-7 Rivers Data'!$H$3:$L$3,0)),"")</f>
        <v/>
      </c>
      <c r="I117" s="154"/>
      <c r="J117" s="507" t="str">
        <f>IF(I117="","",IF(VLOOKUP(I117,'G-7 Rivers Data'!$AG$4:$AI$9,2,FALSE)=0,"Spatial Data Missing ⚠",VLOOKUP(I117,'G-7 Rivers Data'!$AG$4:$AI$9,2,FALSE)))</f>
        <v/>
      </c>
      <c r="K117" s="499" t="str">
        <f>IF(I117="","",IF(VLOOKUP(I117,'G-7 Rivers Data'!$AG$4:$AI$9,3,FALSE)=0,"Spatial Data Missing ⚠",VLOOKUP(I117,'G-7 Rivers Data'!$AG$4:$AI$9,3,FALSE)))</f>
        <v/>
      </c>
      <c r="L117" s="498" t="str">
        <f>IFERROR(INDEX('G-7 Rivers Data'!$O$3:$O$7,MATCH(G117,'G-7 Rivers Data'!$N$3:$N$7,0)),"")</f>
        <v/>
      </c>
      <c r="M117" s="82"/>
      <c r="N117" s="195"/>
      <c r="O117" s="507" t="str">
        <f t="shared" si="7"/>
        <v/>
      </c>
      <c r="P117" s="521" t="str">
        <f t="shared" si="8"/>
        <v/>
      </c>
      <c r="Q117" s="564" t="str">
        <f>IFERROR(IF(P117="Check Data ⚠","Check Data ⚠",VLOOKUP(P117,'G-4 Temporal multipliers'!$A$4:$C$37,3,FALSE)),"")</f>
        <v/>
      </c>
      <c r="R117" s="498" t="str">
        <f>IF(C117="","",VLOOKUP(C117,'G-7 Rivers Data'!$B$4:$G$8,4,FALSE))</f>
        <v/>
      </c>
      <c r="S117" s="507" t="str">
        <f t="shared" si="9"/>
        <v/>
      </c>
      <c r="T117" s="540" t="str">
        <f t="shared" si="10"/>
        <v/>
      </c>
      <c r="U117" s="499" t="str">
        <f t="shared" si="11"/>
        <v/>
      </c>
      <c r="V117" s="71"/>
      <c r="W117" s="499" t="str">
        <f>IF(V117="","",IF(VLOOKUP(V117,'G-7 Rivers Data'!$AA$4:$AB$7,2,FALSE)=0,"Spatial Data Missing ⚠",VLOOKUP(V117,'G-7 Rivers Data'!$AA$4:$AB$7,2,FALSE)))</f>
        <v/>
      </c>
      <c r="X117" s="155"/>
      <c r="Y117" s="499" t="str">
        <f>IF(X117="","",IF(VLOOKUP(X117,'G-7 Rivers Data'!$AD$4:$AE$8,2,FALSE)=0,"Enrcoachment Data Missing ⚠",VLOOKUP(X117,'G-7 Rivers Data'!$AD$4:$AE$8,2,FALSE)))</f>
        <v/>
      </c>
      <c r="Z117" s="565" t="str">
        <f t="shared" si="12"/>
        <v/>
      </c>
      <c r="AA117" s="149"/>
      <c r="AB117" s="150"/>
      <c r="AH117" s="31" t="str">
        <f>IFERROR(INDEX('G-7 Rivers Data'!$AZ$3:$AZ$7,MATCH(C117,'G-7 Rivers Data'!$AY$3:$AY$7,0)),"")</f>
        <v/>
      </c>
    </row>
    <row r="118" spans="2:34" ht="13.8" x14ac:dyDescent="0.25">
      <c r="B118" s="141">
        <v>107</v>
      </c>
      <c r="C118" s="171"/>
      <c r="D118" s="172"/>
      <c r="E118" s="498" t="str">
        <f>IF(C118="","",VLOOKUP(C118,'G-7 Rivers Data'!$B$2:$G$8,2,FALSE))</f>
        <v/>
      </c>
      <c r="F118" s="499" t="str">
        <f>IFERROR(VLOOKUP(E118,'G-7 Rivers Data'!$C$4:$D$8,2,FALSE),"")</f>
        <v/>
      </c>
      <c r="G118" s="145"/>
      <c r="H118" s="499" t="str">
        <f>IFERROR(INDEX('G-7 Rivers Data'!$H$4:$L$8,MATCH(C118,'G-7 Rivers Data'!$B$4:$B$8,0),MATCH(G118,'G-7 Rivers Data'!$H$3:$L$3,0)),"")</f>
        <v/>
      </c>
      <c r="I118" s="154"/>
      <c r="J118" s="507" t="str">
        <f>IF(I118="","",IF(VLOOKUP(I118,'G-7 Rivers Data'!$AG$4:$AI$9,2,FALSE)=0,"Spatial Data Missing ⚠",VLOOKUP(I118,'G-7 Rivers Data'!$AG$4:$AI$9,2,FALSE)))</f>
        <v/>
      </c>
      <c r="K118" s="499" t="str">
        <f>IF(I118="","",IF(VLOOKUP(I118,'G-7 Rivers Data'!$AG$4:$AI$9,3,FALSE)=0,"Spatial Data Missing ⚠",VLOOKUP(I118,'G-7 Rivers Data'!$AG$4:$AI$9,3,FALSE)))</f>
        <v/>
      </c>
      <c r="L118" s="498" t="str">
        <f>IFERROR(INDEX('G-7 Rivers Data'!$O$3:$O$7,MATCH(G118,'G-7 Rivers Data'!$N$3:$N$7,0)),"")</f>
        <v/>
      </c>
      <c r="M118" s="82"/>
      <c r="N118" s="195"/>
      <c r="O118" s="507" t="str">
        <f t="shared" si="7"/>
        <v/>
      </c>
      <c r="P118" s="521" t="str">
        <f t="shared" si="8"/>
        <v/>
      </c>
      <c r="Q118" s="564" t="str">
        <f>IFERROR(IF(P118="Check Data ⚠","Check Data ⚠",VLOOKUP(P118,'G-4 Temporal multipliers'!$A$4:$C$37,3,FALSE)),"")</f>
        <v/>
      </c>
      <c r="R118" s="498" t="str">
        <f>IF(C118="","",VLOOKUP(C118,'G-7 Rivers Data'!$B$4:$G$8,4,FALSE))</f>
        <v/>
      </c>
      <c r="S118" s="507" t="str">
        <f t="shared" si="9"/>
        <v/>
      </c>
      <c r="T118" s="540" t="str">
        <f t="shared" si="10"/>
        <v/>
      </c>
      <c r="U118" s="499" t="str">
        <f t="shared" si="11"/>
        <v/>
      </c>
      <c r="V118" s="71"/>
      <c r="W118" s="499" t="str">
        <f>IF(V118="","",IF(VLOOKUP(V118,'G-7 Rivers Data'!$AA$4:$AB$7,2,FALSE)=0,"Spatial Data Missing ⚠",VLOOKUP(V118,'G-7 Rivers Data'!$AA$4:$AB$7,2,FALSE)))</f>
        <v/>
      </c>
      <c r="X118" s="155"/>
      <c r="Y118" s="499" t="str">
        <f>IF(X118="","",IF(VLOOKUP(X118,'G-7 Rivers Data'!$AD$4:$AE$8,2,FALSE)=0,"Enrcoachment Data Missing ⚠",VLOOKUP(X118,'G-7 Rivers Data'!$AD$4:$AE$8,2,FALSE)))</f>
        <v/>
      </c>
      <c r="Z118" s="565" t="str">
        <f t="shared" si="12"/>
        <v/>
      </c>
      <c r="AA118" s="149"/>
      <c r="AB118" s="150"/>
      <c r="AH118" s="31" t="str">
        <f>IFERROR(INDEX('G-7 Rivers Data'!$AZ$3:$AZ$7,MATCH(C118,'G-7 Rivers Data'!$AY$3:$AY$7,0)),"")</f>
        <v/>
      </c>
    </row>
    <row r="119" spans="2:34" ht="13.8" x14ac:dyDescent="0.25">
      <c r="B119" s="141">
        <v>108</v>
      </c>
      <c r="C119" s="171"/>
      <c r="D119" s="172"/>
      <c r="E119" s="498" t="str">
        <f>IF(C119="","",VLOOKUP(C119,'G-7 Rivers Data'!$B$2:$G$8,2,FALSE))</f>
        <v/>
      </c>
      <c r="F119" s="499" t="str">
        <f>IFERROR(VLOOKUP(E119,'G-7 Rivers Data'!$C$4:$D$8,2,FALSE),"")</f>
        <v/>
      </c>
      <c r="G119" s="145"/>
      <c r="H119" s="499" t="str">
        <f>IFERROR(INDEX('G-7 Rivers Data'!$H$4:$L$8,MATCH(C119,'G-7 Rivers Data'!$B$4:$B$8,0),MATCH(G119,'G-7 Rivers Data'!$H$3:$L$3,0)),"")</f>
        <v/>
      </c>
      <c r="I119" s="154"/>
      <c r="J119" s="507" t="str">
        <f>IF(I119="","",IF(VLOOKUP(I119,'G-7 Rivers Data'!$AG$4:$AI$9,2,FALSE)=0,"Spatial Data Missing ⚠",VLOOKUP(I119,'G-7 Rivers Data'!$AG$4:$AI$9,2,FALSE)))</f>
        <v/>
      </c>
      <c r="K119" s="499" t="str">
        <f>IF(I119="","",IF(VLOOKUP(I119,'G-7 Rivers Data'!$AG$4:$AI$9,3,FALSE)=0,"Spatial Data Missing ⚠",VLOOKUP(I119,'G-7 Rivers Data'!$AG$4:$AI$9,3,FALSE)))</f>
        <v/>
      </c>
      <c r="L119" s="498" t="str">
        <f>IFERROR(INDEX('G-7 Rivers Data'!$O$3:$O$7,MATCH(G119,'G-7 Rivers Data'!$N$3:$N$7,0)),"")</f>
        <v/>
      </c>
      <c r="M119" s="82"/>
      <c r="N119" s="195"/>
      <c r="O119" s="507" t="str">
        <f t="shared" si="7"/>
        <v/>
      </c>
      <c r="P119" s="521" t="str">
        <f t="shared" si="8"/>
        <v/>
      </c>
      <c r="Q119" s="564" t="str">
        <f>IFERROR(IF(P119="Check Data ⚠","Check Data ⚠",VLOOKUP(P119,'G-4 Temporal multipliers'!$A$4:$C$37,3,FALSE)),"")</f>
        <v/>
      </c>
      <c r="R119" s="498" t="str">
        <f>IF(C119="","",VLOOKUP(C119,'G-7 Rivers Data'!$B$4:$G$8,4,FALSE))</f>
        <v/>
      </c>
      <c r="S119" s="507" t="str">
        <f t="shared" si="9"/>
        <v/>
      </c>
      <c r="T119" s="540" t="str">
        <f t="shared" si="10"/>
        <v/>
      </c>
      <c r="U119" s="499" t="str">
        <f t="shared" si="11"/>
        <v/>
      </c>
      <c r="V119" s="71"/>
      <c r="W119" s="499" t="str">
        <f>IF(V119="","",IF(VLOOKUP(V119,'G-7 Rivers Data'!$AA$4:$AB$7,2,FALSE)=0,"Spatial Data Missing ⚠",VLOOKUP(V119,'G-7 Rivers Data'!$AA$4:$AB$7,2,FALSE)))</f>
        <v/>
      </c>
      <c r="X119" s="155"/>
      <c r="Y119" s="499" t="str">
        <f>IF(X119="","",IF(VLOOKUP(X119,'G-7 Rivers Data'!$AD$4:$AE$8,2,FALSE)=0,"Enrcoachment Data Missing ⚠",VLOOKUP(X119,'G-7 Rivers Data'!$AD$4:$AE$8,2,FALSE)))</f>
        <v/>
      </c>
      <c r="Z119" s="565" t="str">
        <f t="shared" si="12"/>
        <v/>
      </c>
      <c r="AA119" s="149"/>
      <c r="AB119" s="150"/>
      <c r="AH119" s="31" t="str">
        <f>IFERROR(INDEX('G-7 Rivers Data'!$AZ$3:$AZ$7,MATCH(C119,'G-7 Rivers Data'!$AY$3:$AY$7,0)),"")</f>
        <v/>
      </c>
    </row>
    <row r="120" spans="2:34" ht="13.8" x14ac:dyDescent="0.25">
      <c r="B120" s="141">
        <v>109</v>
      </c>
      <c r="C120" s="171"/>
      <c r="D120" s="172"/>
      <c r="E120" s="498" t="str">
        <f>IF(C120="","",VLOOKUP(C120,'G-7 Rivers Data'!$B$2:$G$8,2,FALSE))</f>
        <v/>
      </c>
      <c r="F120" s="499" t="str">
        <f>IFERROR(VLOOKUP(E120,'G-7 Rivers Data'!$C$4:$D$8,2,FALSE),"")</f>
        <v/>
      </c>
      <c r="G120" s="145"/>
      <c r="H120" s="499" t="str">
        <f>IFERROR(INDEX('G-7 Rivers Data'!$H$4:$L$8,MATCH(C120,'G-7 Rivers Data'!$B$4:$B$8,0),MATCH(G120,'G-7 Rivers Data'!$H$3:$L$3,0)),"")</f>
        <v/>
      </c>
      <c r="I120" s="154"/>
      <c r="J120" s="507" t="str">
        <f>IF(I120="","",IF(VLOOKUP(I120,'G-7 Rivers Data'!$AG$4:$AI$9,2,FALSE)=0,"Spatial Data Missing ⚠",VLOOKUP(I120,'G-7 Rivers Data'!$AG$4:$AI$9,2,FALSE)))</f>
        <v/>
      </c>
      <c r="K120" s="499" t="str">
        <f>IF(I120="","",IF(VLOOKUP(I120,'G-7 Rivers Data'!$AG$4:$AI$9,3,FALSE)=0,"Spatial Data Missing ⚠",VLOOKUP(I120,'G-7 Rivers Data'!$AG$4:$AI$9,3,FALSE)))</f>
        <v/>
      </c>
      <c r="L120" s="498" t="str">
        <f>IFERROR(INDEX('G-7 Rivers Data'!$O$3:$O$7,MATCH(G120,'G-7 Rivers Data'!$N$3:$N$7,0)),"")</f>
        <v/>
      </c>
      <c r="M120" s="82"/>
      <c r="N120" s="195"/>
      <c r="O120" s="507" t="str">
        <f t="shared" si="7"/>
        <v/>
      </c>
      <c r="P120" s="521" t="str">
        <f t="shared" si="8"/>
        <v/>
      </c>
      <c r="Q120" s="564" t="str">
        <f>IFERROR(IF(P120="Check Data ⚠","Check Data ⚠",VLOOKUP(P120,'G-4 Temporal multipliers'!$A$4:$C$37,3,FALSE)),"")</f>
        <v/>
      </c>
      <c r="R120" s="498" t="str">
        <f>IF(C120="","",VLOOKUP(C120,'G-7 Rivers Data'!$B$4:$G$8,4,FALSE))</f>
        <v/>
      </c>
      <c r="S120" s="507" t="str">
        <f t="shared" si="9"/>
        <v/>
      </c>
      <c r="T120" s="540" t="str">
        <f t="shared" si="10"/>
        <v/>
      </c>
      <c r="U120" s="499" t="str">
        <f t="shared" si="11"/>
        <v/>
      </c>
      <c r="V120" s="71"/>
      <c r="W120" s="499" t="str">
        <f>IF(V120="","",IF(VLOOKUP(V120,'G-7 Rivers Data'!$AA$4:$AB$7,2,FALSE)=0,"Spatial Data Missing ⚠",VLOOKUP(V120,'G-7 Rivers Data'!$AA$4:$AB$7,2,FALSE)))</f>
        <v/>
      </c>
      <c r="X120" s="155"/>
      <c r="Y120" s="499" t="str">
        <f>IF(X120="","",IF(VLOOKUP(X120,'G-7 Rivers Data'!$AD$4:$AE$8,2,FALSE)=0,"Enrcoachment Data Missing ⚠",VLOOKUP(X120,'G-7 Rivers Data'!$AD$4:$AE$8,2,FALSE)))</f>
        <v/>
      </c>
      <c r="Z120" s="565" t="str">
        <f t="shared" si="12"/>
        <v/>
      </c>
      <c r="AA120" s="149"/>
      <c r="AB120" s="150"/>
      <c r="AH120" s="31" t="str">
        <f>IFERROR(INDEX('G-7 Rivers Data'!$AZ$3:$AZ$7,MATCH(C120,'G-7 Rivers Data'!$AY$3:$AY$7,0)),"")</f>
        <v/>
      </c>
    </row>
    <row r="121" spans="2:34" ht="13.8" x14ac:dyDescent="0.25">
      <c r="B121" s="141">
        <v>110</v>
      </c>
      <c r="C121" s="171"/>
      <c r="D121" s="172"/>
      <c r="E121" s="498" t="str">
        <f>IF(C121="","",VLOOKUP(C121,'G-7 Rivers Data'!$B$2:$G$8,2,FALSE))</f>
        <v/>
      </c>
      <c r="F121" s="499" t="str">
        <f>IFERROR(VLOOKUP(E121,'G-7 Rivers Data'!$C$4:$D$8,2,FALSE),"")</f>
        <v/>
      </c>
      <c r="G121" s="145"/>
      <c r="H121" s="499" t="str">
        <f>IFERROR(INDEX('G-7 Rivers Data'!$H$4:$L$8,MATCH(C121,'G-7 Rivers Data'!$B$4:$B$8,0),MATCH(G121,'G-7 Rivers Data'!$H$3:$L$3,0)),"")</f>
        <v/>
      </c>
      <c r="I121" s="154"/>
      <c r="J121" s="507" t="str">
        <f>IF(I121="","",IF(VLOOKUP(I121,'G-7 Rivers Data'!$AG$4:$AI$9,2,FALSE)=0,"Spatial Data Missing ⚠",VLOOKUP(I121,'G-7 Rivers Data'!$AG$4:$AI$9,2,FALSE)))</f>
        <v/>
      </c>
      <c r="K121" s="499" t="str">
        <f>IF(I121="","",IF(VLOOKUP(I121,'G-7 Rivers Data'!$AG$4:$AI$9,3,FALSE)=0,"Spatial Data Missing ⚠",VLOOKUP(I121,'G-7 Rivers Data'!$AG$4:$AI$9,3,FALSE)))</f>
        <v/>
      </c>
      <c r="L121" s="498" t="str">
        <f>IFERROR(INDEX('G-7 Rivers Data'!$O$3:$O$7,MATCH(G121,'G-7 Rivers Data'!$N$3:$N$7,0)),"")</f>
        <v/>
      </c>
      <c r="M121" s="82"/>
      <c r="N121" s="195"/>
      <c r="O121" s="507" t="str">
        <f t="shared" si="7"/>
        <v/>
      </c>
      <c r="P121" s="521" t="str">
        <f t="shared" si="8"/>
        <v/>
      </c>
      <c r="Q121" s="564" t="str">
        <f>IFERROR(IF(P121="Check Data ⚠","Check Data ⚠",VLOOKUP(P121,'G-4 Temporal multipliers'!$A$4:$C$37,3,FALSE)),"")</f>
        <v/>
      </c>
      <c r="R121" s="498" t="str">
        <f>IF(C121="","",VLOOKUP(C121,'G-7 Rivers Data'!$B$4:$G$8,4,FALSE))</f>
        <v/>
      </c>
      <c r="S121" s="507" t="str">
        <f t="shared" si="9"/>
        <v/>
      </c>
      <c r="T121" s="540" t="str">
        <f t="shared" si="10"/>
        <v/>
      </c>
      <c r="U121" s="499" t="str">
        <f t="shared" si="11"/>
        <v/>
      </c>
      <c r="V121" s="71"/>
      <c r="W121" s="499" t="str">
        <f>IF(V121="","",IF(VLOOKUP(V121,'G-7 Rivers Data'!$AA$4:$AB$7,2,FALSE)=0,"Spatial Data Missing ⚠",VLOOKUP(V121,'G-7 Rivers Data'!$AA$4:$AB$7,2,FALSE)))</f>
        <v/>
      </c>
      <c r="X121" s="155"/>
      <c r="Y121" s="499" t="str">
        <f>IF(X121="","",IF(VLOOKUP(X121,'G-7 Rivers Data'!$AD$4:$AE$8,2,FALSE)=0,"Enrcoachment Data Missing ⚠",VLOOKUP(X121,'G-7 Rivers Data'!$AD$4:$AE$8,2,FALSE)))</f>
        <v/>
      </c>
      <c r="Z121" s="565" t="str">
        <f t="shared" si="12"/>
        <v/>
      </c>
      <c r="AA121" s="149"/>
      <c r="AB121" s="150"/>
      <c r="AH121" s="31" t="str">
        <f>IFERROR(INDEX('G-7 Rivers Data'!$AZ$3:$AZ$7,MATCH(C121,'G-7 Rivers Data'!$AY$3:$AY$7,0)),"")</f>
        <v/>
      </c>
    </row>
    <row r="122" spans="2:34" ht="13.8" x14ac:dyDescent="0.25">
      <c r="B122" s="141">
        <v>111</v>
      </c>
      <c r="C122" s="171"/>
      <c r="D122" s="172"/>
      <c r="E122" s="498" t="str">
        <f>IF(C122="","",VLOOKUP(C122,'G-7 Rivers Data'!$B$2:$G$8,2,FALSE))</f>
        <v/>
      </c>
      <c r="F122" s="499" t="str">
        <f>IFERROR(VLOOKUP(E122,'G-7 Rivers Data'!$C$4:$D$8,2,FALSE),"")</f>
        <v/>
      </c>
      <c r="G122" s="145"/>
      <c r="H122" s="499" t="str">
        <f>IFERROR(INDEX('G-7 Rivers Data'!$H$4:$L$8,MATCH(C122,'G-7 Rivers Data'!$B$4:$B$8,0),MATCH(G122,'G-7 Rivers Data'!$H$3:$L$3,0)),"")</f>
        <v/>
      </c>
      <c r="I122" s="154"/>
      <c r="J122" s="507" t="str">
        <f>IF(I122="","",IF(VLOOKUP(I122,'G-7 Rivers Data'!$AG$4:$AI$9,2,FALSE)=0,"Spatial Data Missing ⚠",VLOOKUP(I122,'G-7 Rivers Data'!$AG$4:$AI$9,2,FALSE)))</f>
        <v/>
      </c>
      <c r="K122" s="499" t="str">
        <f>IF(I122="","",IF(VLOOKUP(I122,'G-7 Rivers Data'!$AG$4:$AI$9,3,FALSE)=0,"Spatial Data Missing ⚠",VLOOKUP(I122,'G-7 Rivers Data'!$AG$4:$AI$9,3,FALSE)))</f>
        <v/>
      </c>
      <c r="L122" s="498" t="str">
        <f>IFERROR(INDEX('G-7 Rivers Data'!$O$3:$O$7,MATCH(G122,'G-7 Rivers Data'!$N$3:$N$7,0)),"")</f>
        <v/>
      </c>
      <c r="M122" s="82"/>
      <c r="N122" s="195"/>
      <c r="O122" s="507" t="str">
        <f t="shared" si="7"/>
        <v/>
      </c>
      <c r="P122" s="521" t="str">
        <f t="shared" si="8"/>
        <v/>
      </c>
      <c r="Q122" s="564" t="str">
        <f>IFERROR(IF(P122="Check Data ⚠","Check Data ⚠",VLOOKUP(P122,'G-4 Temporal multipliers'!$A$4:$C$37,3,FALSE)),"")</f>
        <v/>
      </c>
      <c r="R122" s="498" t="str">
        <f>IF(C122="","",VLOOKUP(C122,'G-7 Rivers Data'!$B$4:$G$8,4,FALSE))</f>
        <v/>
      </c>
      <c r="S122" s="507" t="str">
        <f t="shared" si="9"/>
        <v/>
      </c>
      <c r="T122" s="540" t="str">
        <f t="shared" si="10"/>
        <v/>
      </c>
      <c r="U122" s="499" t="str">
        <f t="shared" si="11"/>
        <v/>
      </c>
      <c r="V122" s="71"/>
      <c r="W122" s="499" t="str">
        <f>IF(V122="","",IF(VLOOKUP(V122,'G-7 Rivers Data'!$AA$4:$AB$7,2,FALSE)=0,"Spatial Data Missing ⚠",VLOOKUP(V122,'G-7 Rivers Data'!$AA$4:$AB$7,2,FALSE)))</f>
        <v/>
      </c>
      <c r="X122" s="155"/>
      <c r="Y122" s="499" t="str">
        <f>IF(X122="","",IF(VLOOKUP(X122,'G-7 Rivers Data'!$AD$4:$AE$8,2,FALSE)=0,"Enrcoachment Data Missing ⚠",VLOOKUP(X122,'G-7 Rivers Data'!$AD$4:$AE$8,2,FALSE)))</f>
        <v/>
      </c>
      <c r="Z122" s="565" t="str">
        <f t="shared" si="12"/>
        <v/>
      </c>
      <c r="AA122" s="149"/>
      <c r="AB122" s="150"/>
      <c r="AH122" s="31" t="str">
        <f>IFERROR(INDEX('G-7 Rivers Data'!$AZ$3:$AZ$7,MATCH(C122,'G-7 Rivers Data'!$AY$3:$AY$7,0)),"")</f>
        <v/>
      </c>
    </row>
    <row r="123" spans="2:34" ht="13.8" x14ac:dyDescent="0.25">
      <c r="B123" s="141">
        <v>112</v>
      </c>
      <c r="C123" s="171"/>
      <c r="D123" s="172"/>
      <c r="E123" s="498" t="str">
        <f>IF(C123="","",VLOOKUP(C123,'G-7 Rivers Data'!$B$2:$G$8,2,FALSE))</f>
        <v/>
      </c>
      <c r="F123" s="499" t="str">
        <f>IFERROR(VLOOKUP(E123,'G-7 Rivers Data'!$C$4:$D$8,2,FALSE),"")</f>
        <v/>
      </c>
      <c r="G123" s="145"/>
      <c r="H123" s="499" t="str">
        <f>IFERROR(INDEX('G-7 Rivers Data'!$H$4:$L$8,MATCH(C123,'G-7 Rivers Data'!$B$4:$B$8,0),MATCH(G123,'G-7 Rivers Data'!$H$3:$L$3,0)),"")</f>
        <v/>
      </c>
      <c r="I123" s="154"/>
      <c r="J123" s="507" t="str">
        <f>IF(I123="","",IF(VLOOKUP(I123,'G-7 Rivers Data'!$AG$4:$AI$9,2,FALSE)=0,"Spatial Data Missing ⚠",VLOOKUP(I123,'G-7 Rivers Data'!$AG$4:$AI$9,2,FALSE)))</f>
        <v/>
      </c>
      <c r="K123" s="499" t="str">
        <f>IF(I123="","",IF(VLOOKUP(I123,'G-7 Rivers Data'!$AG$4:$AI$9,3,FALSE)=0,"Spatial Data Missing ⚠",VLOOKUP(I123,'G-7 Rivers Data'!$AG$4:$AI$9,3,FALSE)))</f>
        <v/>
      </c>
      <c r="L123" s="498" t="str">
        <f>IFERROR(INDEX('G-7 Rivers Data'!$O$3:$O$7,MATCH(G123,'G-7 Rivers Data'!$N$3:$N$7,0)),"")</f>
        <v/>
      </c>
      <c r="M123" s="82"/>
      <c r="N123" s="195"/>
      <c r="O123" s="507" t="str">
        <f t="shared" si="7"/>
        <v/>
      </c>
      <c r="P123" s="521" t="str">
        <f t="shared" si="8"/>
        <v/>
      </c>
      <c r="Q123" s="564" t="str">
        <f>IFERROR(IF(P123="Check Data ⚠","Check Data ⚠",VLOOKUP(P123,'G-4 Temporal multipliers'!$A$4:$C$37,3,FALSE)),"")</f>
        <v/>
      </c>
      <c r="R123" s="498" t="str">
        <f>IF(C123="","",VLOOKUP(C123,'G-7 Rivers Data'!$B$4:$G$8,4,FALSE))</f>
        <v/>
      </c>
      <c r="S123" s="507" t="str">
        <f t="shared" si="9"/>
        <v/>
      </c>
      <c r="T123" s="540" t="str">
        <f t="shared" si="10"/>
        <v/>
      </c>
      <c r="U123" s="499" t="str">
        <f t="shared" si="11"/>
        <v/>
      </c>
      <c r="V123" s="71"/>
      <c r="W123" s="499" t="str">
        <f>IF(V123="","",IF(VLOOKUP(V123,'G-7 Rivers Data'!$AA$4:$AB$7,2,FALSE)=0,"Spatial Data Missing ⚠",VLOOKUP(V123,'G-7 Rivers Data'!$AA$4:$AB$7,2,FALSE)))</f>
        <v/>
      </c>
      <c r="X123" s="155"/>
      <c r="Y123" s="499" t="str">
        <f>IF(X123="","",IF(VLOOKUP(X123,'G-7 Rivers Data'!$AD$4:$AE$8,2,FALSE)=0,"Enrcoachment Data Missing ⚠",VLOOKUP(X123,'G-7 Rivers Data'!$AD$4:$AE$8,2,FALSE)))</f>
        <v/>
      </c>
      <c r="Z123" s="565" t="str">
        <f t="shared" si="12"/>
        <v/>
      </c>
      <c r="AA123" s="149"/>
      <c r="AB123" s="150"/>
      <c r="AH123" s="31" t="str">
        <f>IFERROR(INDEX('G-7 Rivers Data'!$AZ$3:$AZ$7,MATCH(C123,'G-7 Rivers Data'!$AY$3:$AY$7,0)),"")</f>
        <v/>
      </c>
    </row>
    <row r="124" spans="2:34" ht="13.8" x14ac:dyDescent="0.25">
      <c r="B124" s="141">
        <v>113</v>
      </c>
      <c r="C124" s="171"/>
      <c r="D124" s="172"/>
      <c r="E124" s="498" t="str">
        <f>IF(C124="","",VLOOKUP(C124,'G-7 Rivers Data'!$B$2:$G$8,2,FALSE))</f>
        <v/>
      </c>
      <c r="F124" s="499" t="str">
        <f>IFERROR(VLOOKUP(E124,'G-7 Rivers Data'!$C$4:$D$8,2,FALSE),"")</f>
        <v/>
      </c>
      <c r="G124" s="145"/>
      <c r="H124" s="499" t="str">
        <f>IFERROR(INDEX('G-7 Rivers Data'!$H$4:$L$8,MATCH(C124,'G-7 Rivers Data'!$B$4:$B$8,0),MATCH(G124,'G-7 Rivers Data'!$H$3:$L$3,0)),"")</f>
        <v/>
      </c>
      <c r="I124" s="154"/>
      <c r="J124" s="507" t="str">
        <f>IF(I124="","",IF(VLOOKUP(I124,'G-7 Rivers Data'!$AG$4:$AI$9,2,FALSE)=0,"Spatial Data Missing ⚠",VLOOKUP(I124,'G-7 Rivers Data'!$AG$4:$AI$9,2,FALSE)))</f>
        <v/>
      </c>
      <c r="K124" s="499" t="str">
        <f>IF(I124="","",IF(VLOOKUP(I124,'G-7 Rivers Data'!$AG$4:$AI$9,3,FALSE)=0,"Spatial Data Missing ⚠",VLOOKUP(I124,'G-7 Rivers Data'!$AG$4:$AI$9,3,FALSE)))</f>
        <v/>
      </c>
      <c r="L124" s="498" t="str">
        <f>IFERROR(INDEX('G-7 Rivers Data'!$O$3:$O$7,MATCH(G124,'G-7 Rivers Data'!$N$3:$N$7,0)),"")</f>
        <v/>
      </c>
      <c r="M124" s="82"/>
      <c r="N124" s="195"/>
      <c r="O124" s="507" t="str">
        <f t="shared" si="7"/>
        <v/>
      </c>
      <c r="P124" s="521" t="str">
        <f t="shared" si="8"/>
        <v/>
      </c>
      <c r="Q124" s="564" t="str">
        <f>IFERROR(IF(P124="Check Data ⚠","Check Data ⚠",VLOOKUP(P124,'G-4 Temporal multipliers'!$A$4:$C$37,3,FALSE)),"")</f>
        <v/>
      </c>
      <c r="R124" s="498" t="str">
        <f>IF(C124="","",VLOOKUP(C124,'G-7 Rivers Data'!$B$4:$G$8,4,FALSE))</f>
        <v/>
      </c>
      <c r="S124" s="507" t="str">
        <f t="shared" si="9"/>
        <v/>
      </c>
      <c r="T124" s="540" t="str">
        <f t="shared" si="10"/>
        <v/>
      </c>
      <c r="U124" s="499" t="str">
        <f t="shared" si="11"/>
        <v/>
      </c>
      <c r="V124" s="71"/>
      <c r="W124" s="499" t="str">
        <f>IF(V124="","",IF(VLOOKUP(V124,'G-7 Rivers Data'!$AA$4:$AB$7,2,FALSE)=0,"Spatial Data Missing ⚠",VLOOKUP(V124,'G-7 Rivers Data'!$AA$4:$AB$7,2,FALSE)))</f>
        <v/>
      </c>
      <c r="X124" s="155"/>
      <c r="Y124" s="499" t="str">
        <f>IF(X124="","",IF(VLOOKUP(X124,'G-7 Rivers Data'!$AD$4:$AE$8,2,FALSE)=0,"Enrcoachment Data Missing ⚠",VLOOKUP(X124,'G-7 Rivers Data'!$AD$4:$AE$8,2,FALSE)))</f>
        <v/>
      </c>
      <c r="Z124" s="565" t="str">
        <f t="shared" si="12"/>
        <v/>
      </c>
      <c r="AA124" s="149"/>
      <c r="AB124" s="150"/>
      <c r="AH124" s="31" t="str">
        <f>IFERROR(INDEX('G-7 Rivers Data'!$AZ$3:$AZ$7,MATCH(C124,'G-7 Rivers Data'!$AY$3:$AY$7,0)),"")</f>
        <v/>
      </c>
    </row>
    <row r="125" spans="2:34" ht="13.8" x14ac:dyDescent="0.25">
      <c r="B125" s="141">
        <v>114</v>
      </c>
      <c r="C125" s="171"/>
      <c r="D125" s="172"/>
      <c r="E125" s="498" t="str">
        <f>IF(C125="","",VLOOKUP(C125,'G-7 Rivers Data'!$B$2:$G$8,2,FALSE))</f>
        <v/>
      </c>
      <c r="F125" s="499" t="str">
        <f>IFERROR(VLOOKUP(E125,'G-7 Rivers Data'!$C$4:$D$8,2,FALSE),"")</f>
        <v/>
      </c>
      <c r="G125" s="145"/>
      <c r="H125" s="499" t="str">
        <f>IFERROR(INDEX('G-7 Rivers Data'!$H$4:$L$8,MATCH(C125,'G-7 Rivers Data'!$B$4:$B$8,0),MATCH(G125,'G-7 Rivers Data'!$H$3:$L$3,0)),"")</f>
        <v/>
      </c>
      <c r="I125" s="154"/>
      <c r="J125" s="507" t="str">
        <f>IF(I125="","",IF(VLOOKUP(I125,'G-7 Rivers Data'!$AG$4:$AI$9,2,FALSE)=0,"Spatial Data Missing ⚠",VLOOKUP(I125,'G-7 Rivers Data'!$AG$4:$AI$9,2,FALSE)))</f>
        <v/>
      </c>
      <c r="K125" s="499" t="str">
        <f>IF(I125="","",IF(VLOOKUP(I125,'G-7 Rivers Data'!$AG$4:$AI$9,3,FALSE)=0,"Spatial Data Missing ⚠",VLOOKUP(I125,'G-7 Rivers Data'!$AG$4:$AI$9,3,FALSE)))</f>
        <v/>
      </c>
      <c r="L125" s="498" t="str">
        <f>IFERROR(INDEX('G-7 Rivers Data'!$O$3:$O$7,MATCH(G125,'G-7 Rivers Data'!$N$3:$N$7,0)),"")</f>
        <v/>
      </c>
      <c r="M125" s="82"/>
      <c r="N125" s="195"/>
      <c r="O125" s="507" t="str">
        <f t="shared" si="7"/>
        <v/>
      </c>
      <c r="P125" s="521" t="str">
        <f t="shared" si="8"/>
        <v/>
      </c>
      <c r="Q125" s="564" t="str">
        <f>IFERROR(IF(P125="Check Data ⚠","Check Data ⚠",VLOOKUP(P125,'G-4 Temporal multipliers'!$A$4:$C$37,3,FALSE)),"")</f>
        <v/>
      </c>
      <c r="R125" s="498" t="str">
        <f>IF(C125="","",VLOOKUP(C125,'G-7 Rivers Data'!$B$4:$G$8,4,FALSE))</f>
        <v/>
      </c>
      <c r="S125" s="507" t="str">
        <f t="shared" si="9"/>
        <v/>
      </c>
      <c r="T125" s="540" t="str">
        <f t="shared" si="10"/>
        <v/>
      </c>
      <c r="U125" s="499" t="str">
        <f t="shared" si="11"/>
        <v/>
      </c>
      <c r="V125" s="71"/>
      <c r="W125" s="499" t="str">
        <f>IF(V125="","",IF(VLOOKUP(V125,'G-7 Rivers Data'!$AA$4:$AB$7,2,FALSE)=0,"Spatial Data Missing ⚠",VLOOKUP(V125,'G-7 Rivers Data'!$AA$4:$AB$7,2,FALSE)))</f>
        <v/>
      </c>
      <c r="X125" s="155"/>
      <c r="Y125" s="499" t="str">
        <f>IF(X125="","",IF(VLOOKUP(X125,'G-7 Rivers Data'!$AD$4:$AE$8,2,FALSE)=0,"Enrcoachment Data Missing ⚠",VLOOKUP(X125,'G-7 Rivers Data'!$AD$4:$AE$8,2,FALSE)))</f>
        <v/>
      </c>
      <c r="Z125" s="565" t="str">
        <f t="shared" si="12"/>
        <v/>
      </c>
      <c r="AA125" s="149"/>
      <c r="AB125" s="150"/>
      <c r="AH125" s="31" t="str">
        <f>IFERROR(INDEX('G-7 Rivers Data'!$AZ$3:$AZ$7,MATCH(C125,'G-7 Rivers Data'!$AY$3:$AY$7,0)),"")</f>
        <v/>
      </c>
    </row>
    <row r="126" spans="2:34" ht="13.8" x14ac:dyDescent="0.25">
      <c r="B126" s="141">
        <v>115</v>
      </c>
      <c r="C126" s="171"/>
      <c r="D126" s="172"/>
      <c r="E126" s="498" t="str">
        <f>IF(C126="","",VLOOKUP(C126,'G-7 Rivers Data'!$B$2:$G$8,2,FALSE))</f>
        <v/>
      </c>
      <c r="F126" s="499" t="str">
        <f>IFERROR(VLOOKUP(E126,'G-7 Rivers Data'!$C$4:$D$8,2,FALSE),"")</f>
        <v/>
      </c>
      <c r="G126" s="145"/>
      <c r="H126" s="499" t="str">
        <f>IFERROR(INDEX('G-7 Rivers Data'!$H$4:$L$8,MATCH(C126,'G-7 Rivers Data'!$B$4:$B$8,0),MATCH(G126,'G-7 Rivers Data'!$H$3:$L$3,0)),"")</f>
        <v/>
      </c>
      <c r="I126" s="154"/>
      <c r="J126" s="507" t="str">
        <f>IF(I126="","",IF(VLOOKUP(I126,'G-7 Rivers Data'!$AG$4:$AI$9,2,FALSE)=0,"Spatial Data Missing ⚠",VLOOKUP(I126,'G-7 Rivers Data'!$AG$4:$AI$9,2,FALSE)))</f>
        <v/>
      </c>
      <c r="K126" s="499" t="str">
        <f>IF(I126="","",IF(VLOOKUP(I126,'G-7 Rivers Data'!$AG$4:$AI$9,3,FALSE)=0,"Spatial Data Missing ⚠",VLOOKUP(I126,'G-7 Rivers Data'!$AG$4:$AI$9,3,FALSE)))</f>
        <v/>
      </c>
      <c r="L126" s="498" t="str">
        <f>IFERROR(INDEX('G-7 Rivers Data'!$O$3:$O$7,MATCH(G126,'G-7 Rivers Data'!$N$3:$N$7,0)),"")</f>
        <v/>
      </c>
      <c r="M126" s="82"/>
      <c r="N126" s="195"/>
      <c r="O126" s="507" t="str">
        <f t="shared" si="7"/>
        <v/>
      </c>
      <c r="P126" s="521" t="str">
        <f t="shared" si="8"/>
        <v/>
      </c>
      <c r="Q126" s="564" t="str">
        <f>IFERROR(IF(P126="Check Data ⚠","Check Data ⚠",VLOOKUP(P126,'G-4 Temporal multipliers'!$A$4:$C$37,3,FALSE)),"")</f>
        <v/>
      </c>
      <c r="R126" s="498" t="str">
        <f>IF(C126="","",VLOOKUP(C126,'G-7 Rivers Data'!$B$4:$G$8,4,FALSE))</f>
        <v/>
      </c>
      <c r="S126" s="507" t="str">
        <f t="shared" si="9"/>
        <v/>
      </c>
      <c r="T126" s="540" t="str">
        <f t="shared" si="10"/>
        <v/>
      </c>
      <c r="U126" s="499" t="str">
        <f t="shared" si="11"/>
        <v/>
      </c>
      <c r="V126" s="71"/>
      <c r="W126" s="499" t="str">
        <f>IF(V126="","",IF(VLOOKUP(V126,'G-7 Rivers Data'!$AA$4:$AB$7,2,FALSE)=0,"Spatial Data Missing ⚠",VLOOKUP(V126,'G-7 Rivers Data'!$AA$4:$AB$7,2,FALSE)))</f>
        <v/>
      </c>
      <c r="X126" s="155"/>
      <c r="Y126" s="499" t="str">
        <f>IF(X126="","",IF(VLOOKUP(X126,'G-7 Rivers Data'!$AD$4:$AE$8,2,FALSE)=0,"Enrcoachment Data Missing ⚠",VLOOKUP(X126,'G-7 Rivers Data'!$AD$4:$AE$8,2,FALSE)))</f>
        <v/>
      </c>
      <c r="Z126" s="565" t="str">
        <f t="shared" si="12"/>
        <v/>
      </c>
      <c r="AA126" s="149"/>
      <c r="AB126" s="150"/>
      <c r="AH126" s="31" t="str">
        <f>IFERROR(INDEX('G-7 Rivers Data'!$AZ$3:$AZ$7,MATCH(C126,'G-7 Rivers Data'!$AY$3:$AY$7,0)),"")</f>
        <v/>
      </c>
    </row>
    <row r="127" spans="2:34" ht="13.8" x14ac:dyDescent="0.25">
      <c r="B127" s="141">
        <v>116</v>
      </c>
      <c r="C127" s="171"/>
      <c r="D127" s="172"/>
      <c r="E127" s="498" t="str">
        <f>IF(C127="","",VLOOKUP(C127,'G-7 Rivers Data'!$B$2:$G$8,2,FALSE))</f>
        <v/>
      </c>
      <c r="F127" s="499" t="str">
        <f>IFERROR(VLOOKUP(E127,'G-7 Rivers Data'!$C$4:$D$8,2,FALSE),"")</f>
        <v/>
      </c>
      <c r="G127" s="145"/>
      <c r="H127" s="499" t="str">
        <f>IFERROR(INDEX('G-7 Rivers Data'!$H$4:$L$8,MATCH(C127,'G-7 Rivers Data'!$B$4:$B$8,0),MATCH(G127,'G-7 Rivers Data'!$H$3:$L$3,0)),"")</f>
        <v/>
      </c>
      <c r="I127" s="154"/>
      <c r="J127" s="507" t="str">
        <f>IF(I127="","",IF(VLOOKUP(I127,'G-7 Rivers Data'!$AG$4:$AI$9,2,FALSE)=0,"Spatial Data Missing ⚠",VLOOKUP(I127,'G-7 Rivers Data'!$AG$4:$AI$9,2,FALSE)))</f>
        <v/>
      </c>
      <c r="K127" s="499" t="str">
        <f>IF(I127="","",IF(VLOOKUP(I127,'G-7 Rivers Data'!$AG$4:$AI$9,3,FALSE)=0,"Spatial Data Missing ⚠",VLOOKUP(I127,'G-7 Rivers Data'!$AG$4:$AI$9,3,FALSE)))</f>
        <v/>
      </c>
      <c r="L127" s="498" t="str">
        <f>IFERROR(INDEX('G-7 Rivers Data'!$O$3:$O$7,MATCH(G127,'G-7 Rivers Data'!$N$3:$N$7,0)),"")</f>
        <v/>
      </c>
      <c r="M127" s="82"/>
      <c r="N127" s="195"/>
      <c r="O127" s="507" t="str">
        <f t="shared" si="7"/>
        <v/>
      </c>
      <c r="P127" s="521" t="str">
        <f t="shared" si="8"/>
        <v/>
      </c>
      <c r="Q127" s="564" t="str">
        <f>IFERROR(IF(P127="Check Data ⚠","Check Data ⚠",VLOOKUP(P127,'G-4 Temporal multipliers'!$A$4:$C$37,3,FALSE)),"")</f>
        <v/>
      </c>
      <c r="R127" s="498" t="str">
        <f>IF(C127="","",VLOOKUP(C127,'G-7 Rivers Data'!$B$4:$G$8,4,FALSE))</f>
        <v/>
      </c>
      <c r="S127" s="507" t="str">
        <f t="shared" si="9"/>
        <v/>
      </c>
      <c r="T127" s="540" t="str">
        <f t="shared" si="10"/>
        <v/>
      </c>
      <c r="U127" s="499" t="str">
        <f t="shared" si="11"/>
        <v/>
      </c>
      <c r="V127" s="71"/>
      <c r="W127" s="499" t="str">
        <f>IF(V127="","",IF(VLOOKUP(V127,'G-7 Rivers Data'!$AA$4:$AB$7,2,FALSE)=0,"Spatial Data Missing ⚠",VLOOKUP(V127,'G-7 Rivers Data'!$AA$4:$AB$7,2,FALSE)))</f>
        <v/>
      </c>
      <c r="X127" s="155"/>
      <c r="Y127" s="499" t="str">
        <f>IF(X127="","",IF(VLOOKUP(X127,'G-7 Rivers Data'!$AD$4:$AE$8,2,FALSE)=0,"Enrcoachment Data Missing ⚠",VLOOKUP(X127,'G-7 Rivers Data'!$AD$4:$AE$8,2,FALSE)))</f>
        <v/>
      </c>
      <c r="Z127" s="565" t="str">
        <f t="shared" si="12"/>
        <v/>
      </c>
      <c r="AA127" s="149"/>
      <c r="AB127" s="150"/>
      <c r="AH127" s="31" t="str">
        <f>IFERROR(INDEX('G-7 Rivers Data'!$AZ$3:$AZ$7,MATCH(C127,'G-7 Rivers Data'!$AY$3:$AY$7,0)),"")</f>
        <v/>
      </c>
    </row>
    <row r="128" spans="2:34" ht="13.8" x14ac:dyDescent="0.25">
      <c r="B128" s="141">
        <v>117</v>
      </c>
      <c r="C128" s="171"/>
      <c r="D128" s="172"/>
      <c r="E128" s="498" t="str">
        <f>IF(C128="","",VLOOKUP(C128,'G-7 Rivers Data'!$B$2:$G$8,2,FALSE))</f>
        <v/>
      </c>
      <c r="F128" s="499" t="str">
        <f>IFERROR(VLOOKUP(E128,'G-7 Rivers Data'!$C$4:$D$8,2,FALSE),"")</f>
        <v/>
      </c>
      <c r="G128" s="145"/>
      <c r="H128" s="499" t="str">
        <f>IFERROR(INDEX('G-7 Rivers Data'!$H$4:$L$8,MATCH(C128,'G-7 Rivers Data'!$B$4:$B$8,0),MATCH(G128,'G-7 Rivers Data'!$H$3:$L$3,0)),"")</f>
        <v/>
      </c>
      <c r="I128" s="154"/>
      <c r="J128" s="507" t="str">
        <f>IF(I128="","",IF(VLOOKUP(I128,'G-7 Rivers Data'!$AG$4:$AI$9,2,FALSE)=0,"Spatial Data Missing ⚠",VLOOKUP(I128,'G-7 Rivers Data'!$AG$4:$AI$9,2,FALSE)))</f>
        <v/>
      </c>
      <c r="K128" s="499" t="str">
        <f>IF(I128="","",IF(VLOOKUP(I128,'G-7 Rivers Data'!$AG$4:$AI$9,3,FALSE)=0,"Spatial Data Missing ⚠",VLOOKUP(I128,'G-7 Rivers Data'!$AG$4:$AI$9,3,FALSE)))</f>
        <v/>
      </c>
      <c r="L128" s="498" t="str">
        <f>IFERROR(INDEX('G-7 Rivers Data'!$O$3:$O$7,MATCH(G128,'G-7 Rivers Data'!$N$3:$N$7,0)),"")</f>
        <v/>
      </c>
      <c r="M128" s="82"/>
      <c r="N128" s="195"/>
      <c r="O128" s="507" t="str">
        <f t="shared" si="7"/>
        <v/>
      </c>
      <c r="P128" s="521" t="str">
        <f t="shared" si="8"/>
        <v/>
      </c>
      <c r="Q128" s="564" t="str">
        <f>IFERROR(IF(P128="Check Data ⚠","Check Data ⚠",VLOOKUP(P128,'G-4 Temporal multipliers'!$A$4:$C$37,3,FALSE)),"")</f>
        <v/>
      </c>
      <c r="R128" s="498" t="str">
        <f>IF(C128="","",VLOOKUP(C128,'G-7 Rivers Data'!$B$4:$G$8,4,FALSE))</f>
        <v/>
      </c>
      <c r="S128" s="507" t="str">
        <f t="shared" si="9"/>
        <v/>
      </c>
      <c r="T128" s="540" t="str">
        <f t="shared" si="10"/>
        <v/>
      </c>
      <c r="U128" s="499" t="str">
        <f t="shared" si="11"/>
        <v/>
      </c>
      <c r="V128" s="71"/>
      <c r="W128" s="499" t="str">
        <f>IF(V128="","",IF(VLOOKUP(V128,'G-7 Rivers Data'!$AA$4:$AB$7,2,FALSE)=0,"Spatial Data Missing ⚠",VLOOKUP(V128,'G-7 Rivers Data'!$AA$4:$AB$7,2,FALSE)))</f>
        <v/>
      </c>
      <c r="X128" s="155"/>
      <c r="Y128" s="499" t="str">
        <f>IF(X128="","",IF(VLOOKUP(X128,'G-7 Rivers Data'!$AD$4:$AE$8,2,FALSE)=0,"Enrcoachment Data Missing ⚠",VLOOKUP(X128,'G-7 Rivers Data'!$AD$4:$AE$8,2,FALSE)))</f>
        <v/>
      </c>
      <c r="Z128" s="565" t="str">
        <f t="shared" si="12"/>
        <v/>
      </c>
      <c r="AA128" s="149"/>
      <c r="AB128" s="150"/>
      <c r="AH128" s="31" t="str">
        <f>IFERROR(INDEX('G-7 Rivers Data'!$AZ$3:$AZ$7,MATCH(C128,'G-7 Rivers Data'!$AY$3:$AY$7,0)),"")</f>
        <v/>
      </c>
    </row>
    <row r="129" spans="2:34" ht="13.8" x14ac:dyDescent="0.25">
      <c r="B129" s="141">
        <v>118</v>
      </c>
      <c r="C129" s="171"/>
      <c r="D129" s="172"/>
      <c r="E129" s="498" t="str">
        <f>IF(C129="","",VLOOKUP(C129,'G-7 Rivers Data'!$B$2:$G$8,2,FALSE))</f>
        <v/>
      </c>
      <c r="F129" s="499" t="str">
        <f>IFERROR(VLOOKUP(E129,'G-7 Rivers Data'!$C$4:$D$8,2,FALSE),"")</f>
        <v/>
      </c>
      <c r="G129" s="145"/>
      <c r="H129" s="499" t="str">
        <f>IFERROR(INDEX('G-7 Rivers Data'!$H$4:$L$8,MATCH(C129,'G-7 Rivers Data'!$B$4:$B$8,0),MATCH(G129,'G-7 Rivers Data'!$H$3:$L$3,0)),"")</f>
        <v/>
      </c>
      <c r="I129" s="154"/>
      <c r="J129" s="507" t="str">
        <f>IF(I129="","",IF(VLOOKUP(I129,'G-7 Rivers Data'!$AG$4:$AI$9,2,FALSE)=0,"Spatial Data Missing ⚠",VLOOKUP(I129,'G-7 Rivers Data'!$AG$4:$AI$9,2,FALSE)))</f>
        <v/>
      </c>
      <c r="K129" s="499" t="str">
        <f>IF(I129="","",IF(VLOOKUP(I129,'G-7 Rivers Data'!$AG$4:$AI$9,3,FALSE)=0,"Spatial Data Missing ⚠",VLOOKUP(I129,'G-7 Rivers Data'!$AG$4:$AI$9,3,FALSE)))</f>
        <v/>
      </c>
      <c r="L129" s="498" t="str">
        <f>IFERROR(INDEX('G-7 Rivers Data'!$O$3:$O$7,MATCH(G129,'G-7 Rivers Data'!$N$3:$N$7,0)),"")</f>
        <v/>
      </c>
      <c r="M129" s="82"/>
      <c r="N129" s="195"/>
      <c r="O129" s="507" t="str">
        <f t="shared" si="7"/>
        <v/>
      </c>
      <c r="P129" s="521" t="str">
        <f t="shared" si="8"/>
        <v/>
      </c>
      <c r="Q129" s="564" t="str">
        <f>IFERROR(IF(P129="Check Data ⚠","Check Data ⚠",VLOOKUP(P129,'G-4 Temporal multipliers'!$A$4:$C$37,3,FALSE)),"")</f>
        <v/>
      </c>
      <c r="R129" s="498" t="str">
        <f>IF(C129="","",VLOOKUP(C129,'G-7 Rivers Data'!$B$4:$G$8,4,FALSE))</f>
        <v/>
      </c>
      <c r="S129" s="507" t="str">
        <f t="shared" si="9"/>
        <v/>
      </c>
      <c r="T129" s="540" t="str">
        <f t="shared" si="10"/>
        <v/>
      </c>
      <c r="U129" s="499" t="str">
        <f t="shared" si="11"/>
        <v/>
      </c>
      <c r="V129" s="71"/>
      <c r="W129" s="499" t="str">
        <f>IF(V129="","",IF(VLOOKUP(V129,'G-7 Rivers Data'!$AA$4:$AB$7,2,FALSE)=0,"Spatial Data Missing ⚠",VLOOKUP(V129,'G-7 Rivers Data'!$AA$4:$AB$7,2,FALSE)))</f>
        <v/>
      </c>
      <c r="X129" s="155"/>
      <c r="Y129" s="499" t="str">
        <f>IF(X129="","",IF(VLOOKUP(X129,'G-7 Rivers Data'!$AD$4:$AE$8,2,FALSE)=0,"Enrcoachment Data Missing ⚠",VLOOKUP(X129,'G-7 Rivers Data'!$AD$4:$AE$8,2,FALSE)))</f>
        <v/>
      </c>
      <c r="Z129" s="565" t="str">
        <f t="shared" si="12"/>
        <v/>
      </c>
      <c r="AA129" s="149"/>
      <c r="AB129" s="150"/>
      <c r="AH129" s="31" t="str">
        <f>IFERROR(INDEX('G-7 Rivers Data'!$AZ$3:$AZ$7,MATCH(C129,'G-7 Rivers Data'!$AY$3:$AY$7,0)),"")</f>
        <v/>
      </c>
    </row>
    <row r="130" spans="2:34" ht="13.8" x14ac:dyDescent="0.25">
      <c r="B130" s="141">
        <v>119</v>
      </c>
      <c r="C130" s="171"/>
      <c r="D130" s="172"/>
      <c r="E130" s="498" t="str">
        <f>IF(C130="","",VLOOKUP(C130,'G-7 Rivers Data'!$B$2:$G$8,2,FALSE))</f>
        <v/>
      </c>
      <c r="F130" s="499" t="str">
        <f>IFERROR(VLOOKUP(E130,'G-7 Rivers Data'!$C$4:$D$8,2,FALSE),"")</f>
        <v/>
      </c>
      <c r="G130" s="145"/>
      <c r="H130" s="499" t="str">
        <f>IFERROR(INDEX('G-7 Rivers Data'!$H$4:$L$8,MATCH(C130,'G-7 Rivers Data'!$B$4:$B$8,0),MATCH(G130,'G-7 Rivers Data'!$H$3:$L$3,0)),"")</f>
        <v/>
      </c>
      <c r="I130" s="154"/>
      <c r="J130" s="507" t="str">
        <f>IF(I130="","",IF(VLOOKUP(I130,'G-7 Rivers Data'!$AG$4:$AI$9,2,FALSE)=0,"Spatial Data Missing ⚠",VLOOKUP(I130,'G-7 Rivers Data'!$AG$4:$AI$9,2,FALSE)))</f>
        <v/>
      </c>
      <c r="K130" s="499" t="str">
        <f>IF(I130="","",IF(VLOOKUP(I130,'G-7 Rivers Data'!$AG$4:$AI$9,3,FALSE)=0,"Spatial Data Missing ⚠",VLOOKUP(I130,'G-7 Rivers Data'!$AG$4:$AI$9,3,FALSE)))</f>
        <v/>
      </c>
      <c r="L130" s="498" t="str">
        <f>IFERROR(INDEX('G-7 Rivers Data'!$O$3:$O$7,MATCH(G130,'G-7 Rivers Data'!$N$3:$N$7,0)),"")</f>
        <v/>
      </c>
      <c r="M130" s="82"/>
      <c r="N130" s="195"/>
      <c r="O130" s="507" t="str">
        <f t="shared" si="7"/>
        <v/>
      </c>
      <c r="P130" s="521" t="str">
        <f t="shared" si="8"/>
        <v/>
      </c>
      <c r="Q130" s="564" t="str">
        <f>IFERROR(IF(P130="Check Data ⚠","Check Data ⚠",VLOOKUP(P130,'G-4 Temporal multipliers'!$A$4:$C$37,3,FALSE)),"")</f>
        <v/>
      </c>
      <c r="R130" s="498" t="str">
        <f>IF(C130="","",VLOOKUP(C130,'G-7 Rivers Data'!$B$4:$G$8,4,FALSE))</f>
        <v/>
      </c>
      <c r="S130" s="507" t="str">
        <f t="shared" si="9"/>
        <v/>
      </c>
      <c r="T130" s="540" t="str">
        <f t="shared" si="10"/>
        <v/>
      </c>
      <c r="U130" s="499" t="str">
        <f t="shared" si="11"/>
        <v/>
      </c>
      <c r="V130" s="71"/>
      <c r="W130" s="499" t="str">
        <f>IF(V130="","",IF(VLOOKUP(V130,'G-7 Rivers Data'!$AA$4:$AB$7,2,FALSE)=0,"Spatial Data Missing ⚠",VLOOKUP(V130,'G-7 Rivers Data'!$AA$4:$AB$7,2,FALSE)))</f>
        <v/>
      </c>
      <c r="X130" s="155"/>
      <c r="Y130" s="499" t="str">
        <f>IF(X130="","",IF(VLOOKUP(X130,'G-7 Rivers Data'!$AD$4:$AE$8,2,FALSE)=0,"Enrcoachment Data Missing ⚠",VLOOKUP(X130,'G-7 Rivers Data'!$AD$4:$AE$8,2,FALSE)))</f>
        <v/>
      </c>
      <c r="Z130" s="565" t="str">
        <f t="shared" si="12"/>
        <v/>
      </c>
      <c r="AA130" s="149"/>
      <c r="AB130" s="150"/>
      <c r="AH130" s="31" t="str">
        <f>IFERROR(INDEX('G-7 Rivers Data'!$AZ$3:$AZ$7,MATCH(C130,'G-7 Rivers Data'!$AY$3:$AY$7,0)),"")</f>
        <v/>
      </c>
    </row>
    <row r="131" spans="2:34" ht="13.8" x14ac:dyDescent="0.25">
      <c r="B131" s="141">
        <v>120</v>
      </c>
      <c r="C131" s="171"/>
      <c r="D131" s="172"/>
      <c r="E131" s="498" t="str">
        <f>IF(C131="","",VLOOKUP(C131,'G-7 Rivers Data'!$B$2:$G$8,2,FALSE))</f>
        <v/>
      </c>
      <c r="F131" s="499" t="str">
        <f>IFERROR(VLOOKUP(E131,'G-7 Rivers Data'!$C$4:$D$8,2,FALSE),"")</f>
        <v/>
      </c>
      <c r="G131" s="145"/>
      <c r="H131" s="499" t="str">
        <f>IFERROR(INDEX('G-7 Rivers Data'!$H$4:$L$8,MATCH(C131,'G-7 Rivers Data'!$B$4:$B$8,0),MATCH(G131,'G-7 Rivers Data'!$H$3:$L$3,0)),"")</f>
        <v/>
      </c>
      <c r="I131" s="154"/>
      <c r="J131" s="507" t="str">
        <f>IF(I131="","",IF(VLOOKUP(I131,'G-7 Rivers Data'!$AG$4:$AI$9,2,FALSE)=0,"Spatial Data Missing ⚠",VLOOKUP(I131,'G-7 Rivers Data'!$AG$4:$AI$9,2,FALSE)))</f>
        <v/>
      </c>
      <c r="K131" s="499" t="str">
        <f>IF(I131="","",IF(VLOOKUP(I131,'G-7 Rivers Data'!$AG$4:$AI$9,3,FALSE)=0,"Spatial Data Missing ⚠",VLOOKUP(I131,'G-7 Rivers Data'!$AG$4:$AI$9,3,FALSE)))</f>
        <v/>
      </c>
      <c r="L131" s="498" t="str">
        <f>IFERROR(INDEX('G-7 Rivers Data'!$O$3:$O$7,MATCH(G131,'G-7 Rivers Data'!$N$3:$N$7,0)),"")</f>
        <v/>
      </c>
      <c r="M131" s="82"/>
      <c r="N131" s="195"/>
      <c r="O131" s="507" t="str">
        <f t="shared" si="7"/>
        <v/>
      </c>
      <c r="P131" s="521" t="str">
        <f t="shared" si="8"/>
        <v/>
      </c>
      <c r="Q131" s="564" t="str">
        <f>IFERROR(IF(P131="Check Data ⚠","Check Data ⚠",VLOOKUP(P131,'G-4 Temporal multipliers'!$A$4:$C$37,3,FALSE)),"")</f>
        <v/>
      </c>
      <c r="R131" s="498" t="str">
        <f>IF(C131="","",VLOOKUP(C131,'G-7 Rivers Data'!$B$4:$G$8,4,FALSE))</f>
        <v/>
      </c>
      <c r="S131" s="507" t="str">
        <f t="shared" si="9"/>
        <v/>
      </c>
      <c r="T131" s="540" t="str">
        <f t="shared" si="10"/>
        <v/>
      </c>
      <c r="U131" s="499" t="str">
        <f t="shared" si="11"/>
        <v/>
      </c>
      <c r="V131" s="71"/>
      <c r="W131" s="499" t="str">
        <f>IF(V131="","",IF(VLOOKUP(V131,'G-7 Rivers Data'!$AA$4:$AB$7,2,FALSE)=0,"Spatial Data Missing ⚠",VLOOKUP(V131,'G-7 Rivers Data'!$AA$4:$AB$7,2,FALSE)))</f>
        <v/>
      </c>
      <c r="X131" s="155"/>
      <c r="Y131" s="499" t="str">
        <f>IF(X131="","",IF(VLOOKUP(X131,'G-7 Rivers Data'!$AD$4:$AE$8,2,FALSE)=0,"Enrcoachment Data Missing ⚠",VLOOKUP(X131,'G-7 Rivers Data'!$AD$4:$AE$8,2,FALSE)))</f>
        <v/>
      </c>
      <c r="Z131" s="565" t="str">
        <f t="shared" si="12"/>
        <v/>
      </c>
      <c r="AA131" s="149"/>
      <c r="AB131" s="150"/>
      <c r="AH131" s="31" t="str">
        <f>IFERROR(INDEX('G-7 Rivers Data'!$AZ$3:$AZ$7,MATCH(C131,'G-7 Rivers Data'!$AY$3:$AY$7,0)),"")</f>
        <v/>
      </c>
    </row>
    <row r="132" spans="2:34" ht="13.8" x14ac:dyDescent="0.25">
      <c r="B132" s="141">
        <v>121</v>
      </c>
      <c r="C132" s="171"/>
      <c r="D132" s="172"/>
      <c r="E132" s="498" t="str">
        <f>IF(C132="","",VLOOKUP(C132,'G-7 Rivers Data'!$B$2:$G$8,2,FALSE))</f>
        <v/>
      </c>
      <c r="F132" s="499" t="str">
        <f>IFERROR(VLOOKUP(E132,'G-7 Rivers Data'!$C$4:$D$8,2,FALSE),"")</f>
        <v/>
      </c>
      <c r="G132" s="145"/>
      <c r="H132" s="499" t="str">
        <f>IFERROR(INDEX('G-7 Rivers Data'!$H$4:$L$8,MATCH(C132,'G-7 Rivers Data'!$B$4:$B$8,0),MATCH(G132,'G-7 Rivers Data'!$H$3:$L$3,0)),"")</f>
        <v/>
      </c>
      <c r="I132" s="154"/>
      <c r="J132" s="507" t="str">
        <f>IF(I132="","",IF(VLOOKUP(I132,'G-7 Rivers Data'!$AG$4:$AI$9,2,FALSE)=0,"Spatial Data Missing ⚠",VLOOKUP(I132,'G-7 Rivers Data'!$AG$4:$AI$9,2,FALSE)))</f>
        <v/>
      </c>
      <c r="K132" s="499" t="str">
        <f>IF(I132="","",IF(VLOOKUP(I132,'G-7 Rivers Data'!$AG$4:$AI$9,3,FALSE)=0,"Spatial Data Missing ⚠",VLOOKUP(I132,'G-7 Rivers Data'!$AG$4:$AI$9,3,FALSE)))</f>
        <v/>
      </c>
      <c r="L132" s="498" t="str">
        <f>IFERROR(INDEX('G-7 Rivers Data'!$O$3:$O$7,MATCH(G132,'G-7 Rivers Data'!$N$3:$N$7,0)),"")</f>
        <v/>
      </c>
      <c r="M132" s="82"/>
      <c r="N132" s="195"/>
      <c r="O132" s="507" t="str">
        <f t="shared" si="7"/>
        <v/>
      </c>
      <c r="P132" s="521" t="str">
        <f t="shared" si="8"/>
        <v/>
      </c>
      <c r="Q132" s="564" t="str">
        <f>IFERROR(IF(P132="Check Data ⚠","Check Data ⚠",VLOOKUP(P132,'G-4 Temporal multipliers'!$A$4:$C$37,3,FALSE)),"")</f>
        <v/>
      </c>
      <c r="R132" s="498" t="str">
        <f>IF(C132="","",VLOOKUP(C132,'G-7 Rivers Data'!$B$4:$G$8,4,FALSE))</f>
        <v/>
      </c>
      <c r="S132" s="507" t="str">
        <f t="shared" si="9"/>
        <v/>
      </c>
      <c r="T132" s="540" t="str">
        <f t="shared" si="10"/>
        <v/>
      </c>
      <c r="U132" s="499" t="str">
        <f t="shared" si="11"/>
        <v/>
      </c>
      <c r="V132" s="71"/>
      <c r="W132" s="499" t="str">
        <f>IF(V132="","",IF(VLOOKUP(V132,'G-7 Rivers Data'!$AA$4:$AB$7,2,FALSE)=0,"Spatial Data Missing ⚠",VLOOKUP(V132,'G-7 Rivers Data'!$AA$4:$AB$7,2,FALSE)))</f>
        <v/>
      </c>
      <c r="X132" s="155"/>
      <c r="Y132" s="499" t="str">
        <f>IF(X132="","",IF(VLOOKUP(X132,'G-7 Rivers Data'!$AD$4:$AE$8,2,FALSE)=0,"Enrcoachment Data Missing ⚠",VLOOKUP(X132,'G-7 Rivers Data'!$AD$4:$AE$8,2,FALSE)))</f>
        <v/>
      </c>
      <c r="Z132" s="565" t="str">
        <f t="shared" si="12"/>
        <v/>
      </c>
      <c r="AA132" s="149"/>
      <c r="AB132" s="150"/>
      <c r="AH132" s="31" t="str">
        <f>IFERROR(INDEX('G-7 Rivers Data'!$AZ$3:$AZ$7,MATCH(C132,'G-7 Rivers Data'!$AY$3:$AY$7,0)),"")</f>
        <v/>
      </c>
    </row>
    <row r="133" spans="2:34" ht="13.8" x14ac:dyDescent="0.25">
      <c r="B133" s="141">
        <v>122</v>
      </c>
      <c r="C133" s="171"/>
      <c r="D133" s="172"/>
      <c r="E133" s="498" t="str">
        <f>IF(C133="","",VLOOKUP(C133,'G-7 Rivers Data'!$B$2:$G$8,2,FALSE))</f>
        <v/>
      </c>
      <c r="F133" s="499" t="str">
        <f>IFERROR(VLOOKUP(E133,'G-7 Rivers Data'!$C$4:$D$8,2,FALSE),"")</f>
        <v/>
      </c>
      <c r="G133" s="145"/>
      <c r="H133" s="499" t="str">
        <f>IFERROR(INDEX('G-7 Rivers Data'!$H$4:$L$8,MATCH(C133,'G-7 Rivers Data'!$B$4:$B$8,0),MATCH(G133,'G-7 Rivers Data'!$H$3:$L$3,0)),"")</f>
        <v/>
      </c>
      <c r="I133" s="154"/>
      <c r="J133" s="507" t="str">
        <f>IF(I133="","",IF(VLOOKUP(I133,'G-7 Rivers Data'!$AG$4:$AI$9,2,FALSE)=0,"Spatial Data Missing ⚠",VLOOKUP(I133,'G-7 Rivers Data'!$AG$4:$AI$9,2,FALSE)))</f>
        <v/>
      </c>
      <c r="K133" s="499" t="str">
        <f>IF(I133="","",IF(VLOOKUP(I133,'G-7 Rivers Data'!$AG$4:$AI$9,3,FALSE)=0,"Spatial Data Missing ⚠",VLOOKUP(I133,'G-7 Rivers Data'!$AG$4:$AI$9,3,FALSE)))</f>
        <v/>
      </c>
      <c r="L133" s="498" t="str">
        <f>IFERROR(INDEX('G-7 Rivers Data'!$O$3:$O$7,MATCH(G133,'G-7 Rivers Data'!$N$3:$N$7,0)),"")</f>
        <v/>
      </c>
      <c r="M133" s="82"/>
      <c r="N133" s="195"/>
      <c r="O133" s="507" t="str">
        <f t="shared" si="7"/>
        <v/>
      </c>
      <c r="P133" s="521" t="str">
        <f t="shared" si="8"/>
        <v/>
      </c>
      <c r="Q133" s="564" t="str">
        <f>IFERROR(IF(P133="Check Data ⚠","Check Data ⚠",VLOOKUP(P133,'G-4 Temporal multipliers'!$A$4:$C$37,3,FALSE)),"")</f>
        <v/>
      </c>
      <c r="R133" s="498" t="str">
        <f>IF(C133="","",VLOOKUP(C133,'G-7 Rivers Data'!$B$4:$G$8,4,FALSE))</f>
        <v/>
      </c>
      <c r="S133" s="507" t="str">
        <f t="shared" si="9"/>
        <v/>
      </c>
      <c r="T133" s="540" t="str">
        <f t="shared" si="10"/>
        <v/>
      </c>
      <c r="U133" s="499" t="str">
        <f t="shared" si="11"/>
        <v/>
      </c>
      <c r="V133" s="71"/>
      <c r="W133" s="499" t="str">
        <f>IF(V133="","",IF(VLOOKUP(V133,'G-7 Rivers Data'!$AA$4:$AB$7,2,FALSE)=0,"Spatial Data Missing ⚠",VLOOKUP(V133,'G-7 Rivers Data'!$AA$4:$AB$7,2,FALSE)))</f>
        <v/>
      </c>
      <c r="X133" s="155"/>
      <c r="Y133" s="499" t="str">
        <f>IF(X133="","",IF(VLOOKUP(X133,'G-7 Rivers Data'!$AD$4:$AE$8,2,FALSE)=0,"Enrcoachment Data Missing ⚠",VLOOKUP(X133,'G-7 Rivers Data'!$AD$4:$AE$8,2,FALSE)))</f>
        <v/>
      </c>
      <c r="Z133" s="565" t="str">
        <f t="shared" si="12"/>
        <v/>
      </c>
      <c r="AA133" s="149"/>
      <c r="AB133" s="150"/>
      <c r="AH133" s="31" t="str">
        <f>IFERROR(INDEX('G-7 Rivers Data'!$AZ$3:$AZ$7,MATCH(C133,'G-7 Rivers Data'!$AY$3:$AY$7,0)),"")</f>
        <v/>
      </c>
    </row>
    <row r="134" spans="2:34" ht="13.8" x14ac:dyDescent="0.25">
      <c r="B134" s="141">
        <v>123</v>
      </c>
      <c r="C134" s="171"/>
      <c r="D134" s="172"/>
      <c r="E134" s="498" t="str">
        <f>IF(C134="","",VLOOKUP(C134,'G-7 Rivers Data'!$B$2:$G$8,2,FALSE))</f>
        <v/>
      </c>
      <c r="F134" s="499" t="str">
        <f>IFERROR(VLOOKUP(E134,'G-7 Rivers Data'!$C$4:$D$8,2,FALSE),"")</f>
        <v/>
      </c>
      <c r="G134" s="145"/>
      <c r="H134" s="499" t="str">
        <f>IFERROR(INDEX('G-7 Rivers Data'!$H$4:$L$8,MATCH(C134,'G-7 Rivers Data'!$B$4:$B$8,0),MATCH(G134,'G-7 Rivers Data'!$H$3:$L$3,0)),"")</f>
        <v/>
      </c>
      <c r="I134" s="154"/>
      <c r="J134" s="507" t="str">
        <f>IF(I134="","",IF(VLOOKUP(I134,'G-7 Rivers Data'!$AG$4:$AI$9,2,FALSE)=0,"Spatial Data Missing ⚠",VLOOKUP(I134,'G-7 Rivers Data'!$AG$4:$AI$9,2,FALSE)))</f>
        <v/>
      </c>
      <c r="K134" s="499" t="str">
        <f>IF(I134="","",IF(VLOOKUP(I134,'G-7 Rivers Data'!$AG$4:$AI$9,3,FALSE)=0,"Spatial Data Missing ⚠",VLOOKUP(I134,'G-7 Rivers Data'!$AG$4:$AI$9,3,FALSE)))</f>
        <v/>
      </c>
      <c r="L134" s="498" t="str">
        <f>IFERROR(INDEX('G-7 Rivers Data'!$O$3:$O$7,MATCH(G134,'G-7 Rivers Data'!$N$3:$N$7,0)),"")</f>
        <v/>
      </c>
      <c r="M134" s="82"/>
      <c r="N134" s="195"/>
      <c r="O134" s="507" t="str">
        <f t="shared" si="7"/>
        <v/>
      </c>
      <c r="P134" s="521" t="str">
        <f t="shared" si="8"/>
        <v/>
      </c>
      <c r="Q134" s="564" t="str">
        <f>IFERROR(IF(P134="Check Data ⚠","Check Data ⚠",VLOOKUP(P134,'G-4 Temporal multipliers'!$A$4:$C$37,3,FALSE)),"")</f>
        <v/>
      </c>
      <c r="R134" s="498" t="str">
        <f>IF(C134="","",VLOOKUP(C134,'G-7 Rivers Data'!$B$4:$G$8,4,FALSE))</f>
        <v/>
      </c>
      <c r="S134" s="507" t="str">
        <f t="shared" si="9"/>
        <v/>
      </c>
      <c r="T134" s="540" t="str">
        <f t="shared" si="10"/>
        <v/>
      </c>
      <c r="U134" s="499" t="str">
        <f t="shared" si="11"/>
        <v/>
      </c>
      <c r="V134" s="71"/>
      <c r="W134" s="499" t="str">
        <f>IF(V134="","",IF(VLOOKUP(V134,'G-7 Rivers Data'!$AA$4:$AB$7,2,FALSE)=0,"Spatial Data Missing ⚠",VLOOKUP(V134,'G-7 Rivers Data'!$AA$4:$AB$7,2,FALSE)))</f>
        <v/>
      </c>
      <c r="X134" s="155"/>
      <c r="Y134" s="499" t="str">
        <f>IF(X134="","",IF(VLOOKUP(X134,'G-7 Rivers Data'!$AD$4:$AE$8,2,FALSE)=0,"Enrcoachment Data Missing ⚠",VLOOKUP(X134,'G-7 Rivers Data'!$AD$4:$AE$8,2,FALSE)))</f>
        <v/>
      </c>
      <c r="Z134" s="565" t="str">
        <f t="shared" si="12"/>
        <v/>
      </c>
      <c r="AA134" s="149"/>
      <c r="AB134" s="150"/>
      <c r="AH134" s="31" t="str">
        <f>IFERROR(INDEX('G-7 Rivers Data'!$AZ$3:$AZ$7,MATCH(C134,'G-7 Rivers Data'!$AY$3:$AY$7,0)),"")</f>
        <v/>
      </c>
    </row>
    <row r="135" spans="2:34" ht="13.8" x14ac:dyDescent="0.25">
      <c r="B135" s="141">
        <v>124</v>
      </c>
      <c r="C135" s="171"/>
      <c r="D135" s="172"/>
      <c r="E135" s="498" t="str">
        <f>IF(C135="","",VLOOKUP(C135,'G-7 Rivers Data'!$B$2:$G$8,2,FALSE))</f>
        <v/>
      </c>
      <c r="F135" s="499" t="str">
        <f>IFERROR(VLOOKUP(E135,'G-7 Rivers Data'!$C$4:$D$8,2,FALSE),"")</f>
        <v/>
      </c>
      <c r="G135" s="145"/>
      <c r="H135" s="499" t="str">
        <f>IFERROR(INDEX('G-7 Rivers Data'!$H$4:$L$8,MATCH(C135,'G-7 Rivers Data'!$B$4:$B$8,0),MATCH(G135,'G-7 Rivers Data'!$H$3:$L$3,0)),"")</f>
        <v/>
      </c>
      <c r="I135" s="154"/>
      <c r="J135" s="507" t="str">
        <f>IF(I135="","",IF(VLOOKUP(I135,'G-7 Rivers Data'!$AG$4:$AI$9,2,FALSE)=0,"Spatial Data Missing ⚠",VLOOKUP(I135,'G-7 Rivers Data'!$AG$4:$AI$9,2,FALSE)))</f>
        <v/>
      </c>
      <c r="K135" s="499" t="str">
        <f>IF(I135="","",IF(VLOOKUP(I135,'G-7 Rivers Data'!$AG$4:$AI$9,3,FALSE)=0,"Spatial Data Missing ⚠",VLOOKUP(I135,'G-7 Rivers Data'!$AG$4:$AI$9,3,FALSE)))</f>
        <v/>
      </c>
      <c r="L135" s="498" t="str">
        <f>IFERROR(INDEX('G-7 Rivers Data'!$O$3:$O$7,MATCH(G135,'G-7 Rivers Data'!$N$3:$N$7,0)),"")</f>
        <v/>
      </c>
      <c r="M135" s="82"/>
      <c r="N135" s="195"/>
      <c r="O135" s="507" t="str">
        <f t="shared" si="7"/>
        <v/>
      </c>
      <c r="P135" s="521" t="str">
        <f t="shared" si="8"/>
        <v/>
      </c>
      <c r="Q135" s="564" t="str">
        <f>IFERROR(IF(P135="Check Data ⚠","Check Data ⚠",VLOOKUP(P135,'G-4 Temporal multipliers'!$A$4:$C$37,3,FALSE)),"")</f>
        <v/>
      </c>
      <c r="R135" s="498" t="str">
        <f>IF(C135="","",VLOOKUP(C135,'G-7 Rivers Data'!$B$4:$G$8,4,FALSE))</f>
        <v/>
      </c>
      <c r="S135" s="507" t="str">
        <f t="shared" si="9"/>
        <v/>
      </c>
      <c r="T135" s="540" t="str">
        <f t="shared" si="10"/>
        <v/>
      </c>
      <c r="U135" s="499" t="str">
        <f t="shared" si="11"/>
        <v/>
      </c>
      <c r="V135" s="71"/>
      <c r="W135" s="499" t="str">
        <f>IF(V135="","",IF(VLOOKUP(V135,'G-7 Rivers Data'!$AA$4:$AB$7,2,FALSE)=0,"Spatial Data Missing ⚠",VLOOKUP(V135,'G-7 Rivers Data'!$AA$4:$AB$7,2,FALSE)))</f>
        <v/>
      </c>
      <c r="X135" s="155"/>
      <c r="Y135" s="499" t="str">
        <f>IF(X135="","",IF(VLOOKUP(X135,'G-7 Rivers Data'!$AD$4:$AE$8,2,FALSE)=0,"Enrcoachment Data Missing ⚠",VLOOKUP(X135,'G-7 Rivers Data'!$AD$4:$AE$8,2,FALSE)))</f>
        <v/>
      </c>
      <c r="Z135" s="565" t="str">
        <f t="shared" si="12"/>
        <v/>
      </c>
      <c r="AA135" s="149"/>
      <c r="AB135" s="150"/>
      <c r="AH135" s="31" t="str">
        <f>IFERROR(INDEX('G-7 Rivers Data'!$AZ$3:$AZ$7,MATCH(C135,'G-7 Rivers Data'!$AY$3:$AY$7,0)),"")</f>
        <v/>
      </c>
    </row>
    <row r="136" spans="2:34" ht="13.8" x14ac:dyDescent="0.25">
      <c r="B136" s="141">
        <v>125</v>
      </c>
      <c r="C136" s="171"/>
      <c r="D136" s="172"/>
      <c r="E136" s="498" t="str">
        <f>IF(C136="","",VLOOKUP(C136,'G-7 Rivers Data'!$B$2:$G$8,2,FALSE))</f>
        <v/>
      </c>
      <c r="F136" s="499" t="str">
        <f>IFERROR(VLOOKUP(E136,'G-7 Rivers Data'!$C$4:$D$8,2,FALSE),"")</f>
        <v/>
      </c>
      <c r="G136" s="145"/>
      <c r="H136" s="499" t="str">
        <f>IFERROR(INDEX('G-7 Rivers Data'!$H$4:$L$8,MATCH(C136,'G-7 Rivers Data'!$B$4:$B$8,0),MATCH(G136,'G-7 Rivers Data'!$H$3:$L$3,0)),"")</f>
        <v/>
      </c>
      <c r="I136" s="154"/>
      <c r="J136" s="507" t="str">
        <f>IF(I136="","",IF(VLOOKUP(I136,'G-7 Rivers Data'!$AG$4:$AI$9,2,FALSE)=0,"Spatial Data Missing ⚠",VLOOKUP(I136,'G-7 Rivers Data'!$AG$4:$AI$9,2,FALSE)))</f>
        <v/>
      </c>
      <c r="K136" s="499" t="str">
        <f>IF(I136="","",IF(VLOOKUP(I136,'G-7 Rivers Data'!$AG$4:$AI$9,3,FALSE)=0,"Spatial Data Missing ⚠",VLOOKUP(I136,'G-7 Rivers Data'!$AG$4:$AI$9,3,FALSE)))</f>
        <v/>
      </c>
      <c r="L136" s="498" t="str">
        <f>IFERROR(INDEX('G-7 Rivers Data'!$O$3:$O$7,MATCH(G136,'G-7 Rivers Data'!$N$3:$N$7,0)),"")</f>
        <v/>
      </c>
      <c r="M136" s="82"/>
      <c r="N136" s="195"/>
      <c r="O136" s="507" t="str">
        <f t="shared" si="7"/>
        <v/>
      </c>
      <c r="P136" s="521" t="str">
        <f t="shared" si="8"/>
        <v/>
      </c>
      <c r="Q136" s="564" t="str">
        <f>IFERROR(IF(P136="Check Data ⚠","Check Data ⚠",VLOOKUP(P136,'G-4 Temporal multipliers'!$A$4:$C$37,3,FALSE)),"")</f>
        <v/>
      </c>
      <c r="R136" s="498" t="str">
        <f>IF(C136="","",VLOOKUP(C136,'G-7 Rivers Data'!$B$4:$G$8,4,FALSE))</f>
        <v/>
      </c>
      <c r="S136" s="507" t="str">
        <f t="shared" si="9"/>
        <v/>
      </c>
      <c r="T136" s="540" t="str">
        <f t="shared" si="10"/>
        <v/>
      </c>
      <c r="U136" s="499" t="str">
        <f t="shared" si="11"/>
        <v/>
      </c>
      <c r="V136" s="71"/>
      <c r="W136" s="499" t="str">
        <f>IF(V136="","",IF(VLOOKUP(V136,'G-7 Rivers Data'!$AA$4:$AB$7,2,FALSE)=0,"Spatial Data Missing ⚠",VLOOKUP(V136,'G-7 Rivers Data'!$AA$4:$AB$7,2,FALSE)))</f>
        <v/>
      </c>
      <c r="X136" s="155"/>
      <c r="Y136" s="499" t="str">
        <f>IF(X136="","",IF(VLOOKUP(X136,'G-7 Rivers Data'!$AD$4:$AE$8,2,FALSE)=0,"Enrcoachment Data Missing ⚠",VLOOKUP(X136,'G-7 Rivers Data'!$AD$4:$AE$8,2,FALSE)))</f>
        <v/>
      </c>
      <c r="Z136" s="565" t="str">
        <f t="shared" si="12"/>
        <v/>
      </c>
      <c r="AA136" s="149"/>
      <c r="AB136" s="150"/>
      <c r="AH136" s="31" t="str">
        <f>IFERROR(INDEX('G-7 Rivers Data'!$AZ$3:$AZ$7,MATCH(C136,'G-7 Rivers Data'!$AY$3:$AY$7,0)),"")</f>
        <v/>
      </c>
    </row>
    <row r="137" spans="2:34" ht="13.8" x14ac:dyDescent="0.25">
      <c r="B137" s="141">
        <v>126</v>
      </c>
      <c r="C137" s="171"/>
      <c r="D137" s="172"/>
      <c r="E137" s="498" t="str">
        <f>IF(C137="","",VLOOKUP(C137,'G-7 Rivers Data'!$B$2:$G$8,2,FALSE))</f>
        <v/>
      </c>
      <c r="F137" s="499" t="str">
        <f>IFERROR(VLOOKUP(E137,'G-7 Rivers Data'!$C$4:$D$8,2,FALSE),"")</f>
        <v/>
      </c>
      <c r="G137" s="145"/>
      <c r="H137" s="499" t="str">
        <f>IFERROR(INDEX('G-7 Rivers Data'!$H$4:$L$8,MATCH(C137,'G-7 Rivers Data'!$B$4:$B$8,0),MATCH(G137,'G-7 Rivers Data'!$H$3:$L$3,0)),"")</f>
        <v/>
      </c>
      <c r="I137" s="154"/>
      <c r="J137" s="507" t="str">
        <f>IF(I137="","",IF(VLOOKUP(I137,'G-7 Rivers Data'!$AG$4:$AI$9,2,FALSE)=0,"Spatial Data Missing ⚠",VLOOKUP(I137,'G-7 Rivers Data'!$AG$4:$AI$9,2,FALSE)))</f>
        <v/>
      </c>
      <c r="K137" s="499" t="str">
        <f>IF(I137="","",IF(VLOOKUP(I137,'G-7 Rivers Data'!$AG$4:$AI$9,3,FALSE)=0,"Spatial Data Missing ⚠",VLOOKUP(I137,'G-7 Rivers Data'!$AG$4:$AI$9,3,FALSE)))</f>
        <v/>
      </c>
      <c r="L137" s="498" t="str">
        <f>IFERROR(INDEX('G-7 Rivers Data'!$O$3:$O$7,MATCH(G137,'G-7 Rivers Data'!$N$3:$N$7,0)),"")</f>
        <v/>
      </c>
      <c r="M137" s="82"/>
      <c r="N137" s="195"/>
      <c r="O137" s="507" t="str">
        <f t="shared" si="7"/>
        <v/>
      </c>
      <c r="P137" s="521" t="str">
        <f t="shared" si="8"/>
        <v/>
      </c>
      <c r="Q137" s="564" t="str">
        <f>IFERROR(IF(P137="Check Data ⚠","Check Data ⚠",VLOOKUP(P137,'G-4 Temporal multipliers'!$A$4:$C$37,3,FALSE)),"")</f>
        <v/>
      </c>
      <c r="R137" s="498" t="str">
        <f>IF(C137="","",VLOOKUP(C137,'G-7 Rivers Data'!$B$4:$G$8,4,FALSE))</f>
        <v/>
      </c>
      <c r="S137" s="507" t="str">
        <f t="shared" si="9"/>
        <v/>
      </c>
      <c r="T137" s="540" t="str">
        <f t="shared" si="10"/>
        <v/>
      </c>
      <c r="U137" s="499" t="str">
        <f t="shared" si="11"/>
        <v/>
      </c>
      <c r="V137" s="71"/>
      <c r="W137" s="499" t="str">
        <f>IF(V137="","",IF(VLOOKUP(V137,'G-7 Rivers Data'!$AA$4:$AB$7,2,FALSE)=0,"Spatial Data Missing ⚠",VLOOKUP(V137,'G-7 Rivers Data'!$AA$4:$AB$7,2,FALSE)))</f>
        <v/>
      </c>
      <c r="X137" s="155"/>
      <c r="Y137" s="499" t="str">
        <f>IF(X137="","",IF(VLOOKUP(X137,'G-7 Rivers Data'!$AD$4:$AE$8,2,FALSE)=0,"Enrcoachment Data Missing ⚠",VLOOKUP(X137,'G-7 Rivers Data'!$AD$4:$AE$8,2,FALSE)))</f>
        <v/>
      </c>
      <c r="Z137" s="565" t="str">
        <f t="shared" si="12"/>
        <v/>
      </c>
      <c r="AA137" s="149"/>
      <c r="AB137" s="150"/>
      <c r="AH137" s="31" t="str">
        <f>IFERROR(INDEX('G-7 Rivers Data'!$AZ$3:$AZ$7,MATCH(C137,'G-7 Rivers Data'!$AY$3:$AY$7,0)),"")</f>
        <v/>
      </c>
    </row>
    <row r="138" spans="2:34" ht="13.8" x14ac:dyDescent="0.25">
      <c r="B138" s="141">
        <v>127</v>
      </c>
      <c r="C138" s="171"/>
      <c r="D138" s="172"/>
      <c r="E138" s="498" t="str">
        <f>IF(C138="","",VLOOKUP(C138,'G-7 Rivers Data'!$B$2:$G$8,2,FALSE))</f>
        <v/>
      </c>
      <c r="F138" s="499" t="str">
        <f>IFERROR(VLOOKUP(E138,'G-7 Rivers Data'!$C$4:$D$8,2,FALSE),"")</f>
        <v/>
      </c>
      <c r="G138" s="145"/>
      <c r="H138" s="499" t="str">
        <f>IFERROR(INDEX('G-7 Rivers Data'!$H$4:$L$8,MATCH(C138,'G-7 Rivers Data'!$B$4:$B$8,0),MATCH(G138,'G-7 Rivers Data'!$H$3:$L$3,0)),"")</f>
        <v/>
      </c>
      <c r="I138" s="154"/>
      <c r="J138" s="507" t="str">
        <f>IF(I138="","",IF(VLOOKUP(I138,'G-7 Rivers Data'!$AG$4:$AI$9,2,FALSE)=0,"Spatial Data Missing ⚠",VLOOKUP(I138,'G-7 Rivers Data'!$AG$4:$AI$9,2,FALSE)))</f>
        <v/>
      </c>
      <c r="K138" s="499" t="str">
        <f>IF(I138="","",IF(VLOOKUP(I138,'G-7 Rivers Data'!$AG$4:$AI$9,3,FALSE)=0,"Spatial Data Missing ⚠",VLOOKUP(I138,'G-7 Rivers Data'!$AG$4:$AI$9,3,FALSE)))</f>
        <v/>
      </c>
      <c r="L138" s="498" t="str">
        <f>IFERROR(INDEX('G-7 Rivers Data'!$O$3:$O$7,MATCH(G138,'G-7 Rivers Data'!$N$3:$N$7,0)),"")</f>
        <v/>
      </c>
      <c r="M138" s="82"/>
      <c r="N138" s="195"/>
      <c r="O138" s="507" t="str">
        <f t="shared" si="7"/>
        <v/>
      </c>
      <c r="P138" s="521" t="str">
        <f t="shared" si="8"/>
        <v/>
      </c>
      <c r="Q138" s="564" t="str">
        <f>IFERROR(IF(P138="Check Data ⚠","Check Data ⚠",VLOOKUP(P138,'G-4 Temporal multipliers'!$A$4:$C$37,3,FALSE)),"")</f>
        <v/>
      </c>
      <c r="R138" s="498" t="str">
        <f>IF(C138="","",VLOOKUP(C138,'G-7 Rivers Data'!$B$4:$G$8,4,FALSE))</f>
        <v/>
      </c>
      <c r="S138" s="507" t="str">
        <f t="shared" si="9"/>
        <v/>
      </c>
      <c r="T138" s="540" t="str">
        <f t="shared" si="10"/>
        <v/>
      </c>
      <c r="U138" s="499" t="str">
        <f t="shared" si="11"/>
        <v/>
      </c>
      <c r="V138" s="71"/>
      <c r="W138" s="499" t="str">
        <f>IF(V138="","",IF(VLOOKUP(V138,'G-7 Rivers Data'!$AA$4:$AB$7,2,FALSE)=0,"Spatial Data Missing ⚠",VLOOKUP(V138,'G-7 Rivers Data'!$AA$4:$AB$7,2,FALSE)))</f>
        <v/>
      </c>
      <c r="X138" s="155"/>
      <c r="Y138" s="499" t="str">
        <f>IF(X138="","",IF(VLOOKUP(X138,'G-7 Rivers Data'!$AD$4:$AE$8,2,FALSE)=0,"Enrcoachment Data Missing ⚠",VLOOKUP(X138,'G-7 Rivers Data'!$AD$4:$AE$8,2,FALSE)))</f>
        <v/>
      </c>
      <c r="Z138" s="565" t="str">
        <f t="shared" si="12"/>
        <v/>
      </c>
      <c r="AA138" s="149"/>
      <c r="AB138" s="150"/>
      <c r="AH138" s="31" t="str">
        <f>IFERROR(INDEX('G-7 Rivers Data'!$AZ$3:$AZ$7,MATCH(C138,'G-7 Rivers Data'!$AY$3:$AY$7,0)),"")</f>
        <v/>
      </c>
    </row>
    <row r="139" spans="2:34" ht="13.8" x14ac:dyDescent="0.25">
      <c r="B139" s="141">
        <v>128</v>
      </c>
      <c r="C139" s="171"/>
      <c r="D139" s="172"/>
      <c r="E139" s="498" t="str">
        <f>IF(C139="","",VLOOKUP(C139,'G-7 Rivers Data'!$B$2:$G$8,2,FALSE))</f>
        <v/>
      </c>
      <c r="F139" s="499" t="str">
        <f>IFERROR(VLOOKUP(E139,'G-7 Rivers Data'!$C$4:$D$8,2,FALSE),"")</f>
        <v/>
      </c>
      <c r="G139" s="145"/>
      <c r="H139" s="499" t="str">
        <f>IFERROR(INDEX('G-7 Rivers Data'!$H$4:$L$8,MATCH(C139,'G-7 Rivers Data'!$B$4:$B$8,0),MATCH(G139,'G-7 Rivers Data'!$H$3:$L$3,0)),"")</f>
        <v/>
      </c>
      <c r="I139" s="154"/>
      <c r="J139" s="507" t="str">
        <f>IF(I139="","",IF(VLOOKUP(I139,'G-7 Rivers Data'!$AG$4:$AI$9,2,FALSE)=0,"Spatial Data Missing ⚠",VLOOKUP(I139,'G-7 Rivers Data'!$AG$4:$AI$9,2,FALSE)))</f>
        <v/>
      </c>
      <c r="K139" s="499" t="str">
        <f>IF(I139="","",IF(VLOOKUP(I139,'G-7 Rivers Data'!$AG$4:$AI$9,3,FALSE)=0,"Spatial Data Missing ⚠",VLOOKUP(I139,'G-7 Rivers Data'!$AG$4:$AI$9,3,FALSE)))</f>
        <v/>
      </c>
      <c r="L139" s="498" t="str">
        <f>IFERROR(INDEX('G-7 Rivers Data'!$O$3:$O$7,MATCH(G139,'G-7 Rivers Data'!$N$3:$N$7,0)),"")</f>
        <v/>
      </c>
      <c r="M139" s="82"/>
      <c r="N139" s="195"/>
      <c r="O139" s="507" t="str">
        <f t="shared" si="7"/>
        <v/>
      </c>
      <c r="P139" s="521" t="str">
        <f t="shared" si="8"/>
        <v/>
      </c>
      <c r="Q139" s="564" t="str">
        <f>IFERROR(IF(P139="Check Data ⚠","Check Data ⚠",VLOOKUP(P139,'G-4 Temporal multipliers'!$A$4:$C$37,3,FALSE)),"")</f>
        <v/>
      </c>
      <c r="R139" s="498" t="str">
        <f>IF(C139="","",VLOOKUP(C139,'G-7 Rivers Data'!$B$4:$G$8,4,FALSE))</f>
        <v/>
      </c>
      <c r="S139" s="507" t="str">
        <f t="shared" si="9"/>
        <v/>
      </c>
      <c r="T139" s="540" t="str">
        <f t="shared" si="10"/>
        <v/>
      </c>
      <c r="U139" s="499" t="str">
        <f t="shared" si="11"/>
        <v/>
      </c>
      <c r="V139" s="71"/>
      <c r="W139" s="499" t="str">
        <f>IF(V139="","",IF(VLOOKUP(V139,'G-7 Rivers Data'!$AA$4:$AB$7,2,FALSE)=0,"Spatial Data Missing ⚠",VLOOKUP(V139,'G-7 Rivers Data'!$AA$4:$AB$7,2,FALSE)))</f>
        <v/>
      </c>
      <c r="X139" s="155"/>
      <c r="Y139" s="499" t="str">
        <f>IF(X139="","",IF(VLOOKUP(X139,'G-7 Rivers Data'!$AD$4:$AE$8,2,FALSE)=0,"Enrcoachment Data Missing ⚠",VLOOKUP(X139,'G-7 Rivers Data'!$AD$4:$AE$8,2,FALSE)))</f>
        <v/>
      </c>
      <c r="Z139" s="565" t="str">
        <f t="shared" si="12"/>
        <v/>
      </c>
      <c r="AA139" s="149"/>
      <c r="AB139" s="150"/>
      <c r="AH139" s="31" t="str">
        <f>IFERROR(INDEX('G-7 Rivers Data'!$AZ$3:$AZ$7,MATCH(C139,'G-7 Rivers Data'!$AY$3:$AY$7,0)),"")</f>
        <v/>
      </c>
    </row>
    <row r="140" spans="2:34" ht="13.8" x14ac:dyDescent="0.25">
      <c r="B140" s="141">
        <v>129</v>
      </c>
      <c r="C140" s="171"/>
      <c r="D140" s="172"/>
      <c r="E140" s="498" t="str">
        <f>IF(C140="","",VLOOKUP(C140,'G-7 Rivers Data'!$B$2:$G$8,2,FALSE))</f>
        <v/>
      </c>
      <c r="F140" s="499" t="str">
        <f>IFERROR(VLOOKUP(E140,'G-7 Rivers Data'!$C$4:$D$8,2,FALSE),"")</f>
        <v/>
      </c>
      <c r="G140" s="145"/>
      <c r="H140" s="499" t="str">
        <f>IFERROR(INDEX('G-7 Rivers Data'!$H$4:$L$8,MATCH(C140,'G-7 Rivers Data'!$B$4:$B$8,0),MATCH(G140,'G-7 Rivers Data'!$H$3:$L$3,0)),"")</f>
        <v/>
      </c>
      <c r="I140" s="154"/>
      <c r="J140" s="507" t="str">
        <f>IF(I140="","",IF(VLOOKUP(I140,'G-7 Rivers Data'!$AG$4:$AI$9,2,FALSE)=0,"Spatial Data Missing ⚠",VLOOKUP(I140,'G-7 Rivers Data'!$AG$4:$AI$9,2,FALSE)))</f>
        <v/>
      </c>
      <c r="K140" s="499" t="str">
        <f>IF(I140="","",IF(VLOOKUP(I140,'G-7 Rivers Data'!$AG$4:$AI$9,3,FALSE)=0,"Spatial Data Missing ⚠",VLOOKUP(I140,'G-7 Rivers Data'!$AG$4:$AI$9,3,FALSE)))</f>
        <v/>
      </c>
      <c r="L140" s="498" t="str">
        <f>IFERROR(INDEX('G-7 Rivers Data'!$O$3:$O$7,MATCH(G140,'G-7 Rivers Data'!$N$3:$N$7,0)),"")</f>
        <v/>
      </c>
      <c r="M140" s="82"/>
      <c r="N140" s="195"/>
      <c r="O140" s="507" t="str">
        <f t="shared" si="7"/>
        <v/>
      </c>
      <c r="P140" s="521" t="str">
        <f t="shared" si="8"/>
        <v/>
      </c>
      <c r="Q140" s="564" t="str">
        <f>IFERROR(IF(P140="Check Data ⚠","Check Data ⚠",VLOOKUP(P140,'G-4 Temporal multipliers'!$A$4:$C$37,3,FALSE)),"")</f>
        <v/>
      </c>
      <c r="R140" s="498" t="str">
        <f>IF(C140="","",VLOOKUP(C140,'G-7 Rivers Data'!$B$4:$G$8,4,FALSE))</f>
        <v/>
      </c>
      <c r="S140" s="507" t="str">
        <f t="shared" si="9"/>
        <v/>
      </c>
      <c r="T140" s="540" t="str">
        <f t="shared" si="10"/>
        <v/>
      </c>
      <c r="U140" s="499" t="str">
        <f t="shared" si="11"/>
        <v/>
      </c>
      <c r="V140" s="71"/>
      <c r="W140" s="499" t="str">
        <f>IF(V140="","",IF(VLOOKUP(V140,'G-7 Rivers Data'!$AA$4:$AB$7,2,FALSE)=0,"Spatial Data Missing ⚠",VLOOKUP(V140,'G-7 Rivers Data'!$AA$4:$AB$7,2,FALSE)))</f>
        <v/>
      </c>
      <c r="X140" s="155"/>
      <c r="Y140" s="499" t="str">
        <f>IF(X140="","",IF(VLOOKUP(X140,'G-7 Rivers Data'!$AD$4:$AE$8,2,FALSE)=0,"Enrcoachment Data Missing ⚠",VLOOKUP(X140,'G-7 Rivers Data'!$AD$4:$AE$8,2,FALSE)))</f>
        <v/>
      </c>
      <c r="Z140" s="565" t="str">
        <f t="shared" si="12"/>
        <v/>
      </c>
      <c r="AA140" s="149"/>
      <c r="AB140" s="150"/>
      <c r="AH140" s="31" t="str">
        <f>IFERROR(INDEX('G-7 Rivers Data'!$AZ$3:$AZ$7,MATCH(C140,'G-7 Rivers Data'!$AY$3:$AY$7,0)),"")</f>
        <v/>
      </c>
    </row>
    <row r="141" spans="2:34" ht="13.8" x14ac:dyDescent="0.25">
      <c r="B141" s="141">
        <v>130</v>
      </c>
      <c r="C141" s="171"/>
      <c r="D141" s="172"/>
      <c r="E141" s="498" t="str">
        <f>IF(C141="","",VLOOKUP(C141,'G-7 Rivers Data'!$B$2:$G$8,2,FALSE))</f>
        <v/>
      </c>
      <c r="F141" s="499" t="str">
        <f>IFERROR(VLOOKUP(E141,'G-7 Rivers Data'!$C$4:$D$8,2,FALSE),"")</f>
        <v/>
      </c>
      <c r="G141" s="145"/>
      <c r="H141" s="499" t="str">
        <f>IFERROR(INDEX('G-7 Rivers Data'!$H$4:$L$8,MATCH(C141,'G-7 Rivers Data'!$B$4:$B$8,0),MATCH(G141,'G-7 Rivers Data'!$H$3:$L$3,0)),"")</f>
        <v/>
      </c>
      <c r="I141" s="154"/>
      <c r="J141" s="507" t="str">
        <f>IF(I141="","",IF(VLOOKUP(I141,'G-7 Rivers Data'!$AG$4:$AI$9,2,FALSE)=0,"Spatial Data Missing ⚠",VLOOKUP(I141,'G-7 Rivers Data'!$AG$4:$AI$9,2,FALSE)))</f>
        <v/>
      </c>
      <c r="K141" s="499" t="str">
        <f>IF(I141="","",IF(VLOOKUP(I141,'G-7 Rivers Data'!$AG$4:$AI$9,3,FALSE)=0,"Spatial Data Missing ⚠",VLOOKUP(I141,'G-7 Rivers Data'!$AG$4:$AI$9,3,FALSE)))</f>
        <v/>
      </c>
      <c r="L141" s="498" t="str">
        <f>IFERROR(INDEX('G-7 Rivers Data'!$O$3:$O$7,MATCH(G141,'G-7 Rivers Data'!$N$3:$N$7,0)),"")</f>
        <v/>
      </c>
      <c r="M141" s="82"/>
      <c r="N141" s="195"/>
      <c r="O141" s="507"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1" t="str">
        <f t="shared" ref="P141:P204" si="14">IF(LEFT(O141,5)="Error ▲","Check Data ⚠",IF(L141="","",IF(M141="30+",0,IF(N141="30+","30+ ⚠",IF(L141+N141&gt;30,"30+ ⚠",IF(L141+N141-M141&gt;0,L141+N141-M141,IF(L141-M141&lt;0,0,L141+N141-M141)))))))</f>
        <v/>
      </c>
      <c r="Q141" s="564" t="str">
        <f>IFERROR(IF(P141="Check Data ⚠","Check Data ⚠",VLOOKUP(P141,'G-4 Temporal multipliers'!$A$4:$C$37,3,FALSE)),"")</f>
        <v/>
      </c>
      <c r="R141" s="498" t="str">
        <f>IF(C141="","",VLOOKUP(C141,'G-7 Rivers Data'!$B$4:$G$8,4,FALSE))</f>
        <v/>
      </c>
      <c r="S141" s="507" t="str">
        <f t="shared" ref="S141:S204" si="15">IF(C141="","",IF(P141="Check Data ⚠","Check Data ⚠",IF(G141="","",IF($O141="Check details - Is there evidence that habitat has reached target condition? ⚠","Low Difficulty - only applicable if all habitat created before losses ⚠","Standard difficulty applied"))))</f>
        <v/>
      </c>
      <c r="T141" s="540" t="str">
        <f t="shared" ref="T141:T204" si="16">(IF(AND(S141="Standard difficulty applied",L141&gt;M141),R141,IF(AND(S141="Low Difficulty - only applicable if all habitat created before losses ⚠",M141&gt;=L141),"Low",R141)))</f>
        <v/>
      </c>
      <c r="U141" s="499" t="str">
        <f t="shared" ref="U141:U204" si="17">IF(C141="","",VLOOKUP(R141,Difficulty,2,FALSE))</f>
        <v/>
      </c>
      <c r="V141" s="71"/>
      <c r="W141" s="499" t="str">
        <f>IF(V141="","",IF(VLOOKUP(V141,'G-7 Rivers Data'!$AA$4:$AB$7,2,FALSE)=0,"Spatial Data Missing ⚠",VLOOKUP(V141,'G-7 Rivers Data'!$AA$4:$AB$7,2,FALSE)))</f>
        <v/>
      </c>
      <c r="X141" s="155"/>
      <c r="Y141" s="499" t="str">
        <f>IF(X141="","",IF(VLOOKUP(X141,'G-7 Rivers Data'!$AD$4:$AE$8,2,FALSE)=0,"Enrcoachment Data Missing ⚠",VLOOKUP(X141,'G-7 Rivers Data'!$AD$4:$AE$8,2,FALSE)))</f>
        <v/>
      </c>
      <c r="Z141" s="565" t="str">
        <f t="shared" ref="Z141:Z204" si="18">IFERROR(IF(C141="","",D141*F141*H141*K141*Q141*U141*Y141*W141),"")</f>
        <v/>
      </c>
      <c r="AA141" s="149"/>
      <c r="AB141" s="150"/>
      <c r="AH141" s="31" t="str">
        <f>IFERROR(INDEX('G-7 Rivers Data'!$AZ$3:$AZ$7,MATCH(C141,'G-7 Rivers Data'!$AY$3:$AY$7,0)),"")</f>
        <v/>
      </c>
    </row>
    <row r="142" spans="2:34" ht="13.8" x14ac:dyDescent="0.25">
      <c r="B142" s="141">
        <v>131</v>
      </c>
      <c r="C142" s="171"/>
      <c r="D142" s="172"/>
      <c r="E142" s="498" t="str">
        <f>IF(C142="","",VLOOKUP(C142,'G-7 Rivers Data'!$B$2:$G$8,2,FALSE))</f>
        <v/>
      </c>
      <c r="F142" s="499" t="str">
        <f>IFERROR(VLOOKUP(E142,'G-7 Rivers Data'!$C$4:$D$8,2,FALSE),"")</f>
        <v/>
      </c>
      <c r="G142" s="145"/>
      <c r="H142" s="499" t="str">
        <f>IFERROR(INDEX('G-7 Rivers Data'!$H$4:$L$8,MATCH(C142,'G-7 Rivers Data'!$B$4:$B$8,0),MATCH(G142,'G-7 Rivers Data'!$H$3:$L$3,0)),"")</f>
        <v/>
      </c>
      <c r="I142" s="154"/>
      <c r="J142" s="507" t="str">
        <f>IF(I142="","",IF(VLOOKUP(I142,'G-7 Rivers Data'!$AG$4:$AI$9,2,FALSE)=0,"Spatial Data Missing ⚠",VLOOKUP(I142,'G-7 Rivers Data'!$AG$4:$AI$9,2,FALSE)))</f>
        <v/>
      </c>
      <c r="K142" s="499" t="str">
        <f>IF(I142="","",IF(VLOOKUP(I142,'G-7 Rivers Data'!$AG$4:$AI$9,3,FALSE)=0,"Spatial Data Missing ⚠",VLOOKUP(I142,'G-7 Rivers Data'!$AG$4:$AI$9,3,FALSE)))</f>
        <v/>
      </c>
      <c r="L142" s="498" t="str">
        <f>IFERROR(INDEX('G-7 Rivers Data'!$O$3:$O$7,MATCH(G142,'G-7 Rivers Data'!$N$3:$N$7,0)),"")</f>
        <v/>
      </c>
      <c r="M142" s="82"/>
      <c r="N142" s="195"/>
      <c r="O142" s="507" t="str">
        <f t="shared" si="13"/>
        <v/>
      </c>
      <c r="P142" s="521" t="str">
        <f t="shared" si="14"/>
        <v/>
      </c>
      <c r="Q142" s="564" t="str">
        <f>IFERROR(IF(P142="Check Data ⚠","Check Data ⚠",VLOOKUP(P142,'G-4 Temporal multipliers'!$A$4:$C$37,3,FALSE)),"")</f>
        <v/>
      </c>
      <c r="R142" s="498" t="str">
        <f>IF(C142="","",VLOOKUP(C142,'G-7 Rivers Data'!$B$4:$G$8,4,FALSE))</f>
        <v/>
      </c>
      <c r="S142" s="507" t="str">
        <f t="shared" si="15"/>
        <v/>
      </c>
      <c r="T142" s="540" t="str">
        <f t="shared" si="16"/>
        <v/>
      </c>
      <c r="U142" s="499" t="str">
        <f t="shared" si="17"/>
        <v/>
      </c>
      <c r="V142" s="71"/>
      <c r="W142" s="499" t="str">
        <f>IF(V142="","",IF(VLOOKUP(V142,'G-7 Rivers Data'!$AA$4:$AB$7,2,FALSE)=0,"Spatial Data Missing ⚠",VLOOKUP(V142,'G-7 Rivers Data'!$AA$4:$AB$7,2,FALSE)))</f>
        <v/>
      </c>
      <c r="X142" s="155"/>
      <c r="Y142" s="499" t="str">
        <f>IF(X142="","",IF(VLOOKUP(X142,'G-7 Rivers Data'!$AD$4:$AE$8,2,FALSE)=0,"Enrcoachment Data Missing ⚠",VLOOKUP(X142,'G-7 Rivers Data'!$AD$4:$AE$8,2,FALSE)))</f>
        <v/>
      </c>
      <c r="Z142" s="565" t="str">
        <f t="shared" si="18"/>
        <v/>
      </c>
      <c r="AA142" s="149"/>
      <c r="AB142" s="150"/>
      <c r="AH142" s="31" t="str">
        <f>IFERROR(INDEX('G-7 Rivers Data'!$AZ$3:$AZ$7,MATCH(C142,'G-7 Rivers Data'!$AY$3:$AY$7,0)),"")</f>
        <v/>
      </c>
    </row>
    <row r="143" spans="2:34" ht="13.8" x14ac:dyDescent="0.25">
      <c r="B143" s="141">
        <v>132</v>
      </c>
      <c r="C143" s="171"/>
      <c r="D143" s="172"/>
      <c r="E143" s="498" t="str">
        <f>IF(C143="","",VLOOKUP(C143,'G-7 Rivers Data'!$B$2:$G$8,2,FALSE))</f>
        <v/>
      </c>
      <c r="F143" s="499" t="str">
        <f>IFERROR(VLOOKUP(E143,'G-7 Rivers Data'!$C$4:$D$8,2,FALSE),"")</f>
        <v/>
      </c>
      <c r="G143" s="145"/>
      <c r="H143" s="499" t="str">
        <f>IFERROR(INDEX('G-7 Rivers Data'!$H$4:$L$8,MATCH(C143,'G-7 Rivers Data'!$B$4:$B$8,0),MATCH(G143,'G-7 Rivers Data'!$H$3:$L$3,0)),"")</f>
        <v/>
      </c>
      <c r="I143" s="154"/>
      <c r="J143" s="507" t="str">
        <f>IF(I143="","",IF(VLOOKUP(I143,'G-7 Rivers Data'!$AG$4:$AI$9,2,FALSE)=0,"Spatial Data Missing ⚠",VLOOKUP(I143,'G-7 Rivers Data'!$AG$4:$AI$9,2,FALSE)))</f>
        <v/>
      </c>
      <c r="K143" s="499" t="str">
        <f>IF(I143="","",IF(VLOOKUP(I143,'G-7 Rivers Data'!$AG$4:$AI$9,3,FALSE)=0,"Spatial Data Missing ⚠",VLOOKUP(I143,'G-7 Rivers Data'!$AG$4:$AI$9,3,FALSE)))</f>
        <v/>
      </c>
      <c r="L143" s="498" t="str">
        <f>IFERROR(INDEX('G-7 Rivers Data'!$O$3:$O$7,MATCH(G143,'G-7 Rivers Data'!$N$3:$N$7,0)),"")</f>
        <v/>
      </c>
      <c r="M143" s="82"/>
      <c r="N143" s="195"/>
      <c r="O143" s="507" t="str">
        <f t="shared" si="13"/>
        <v/>
      </c>
      <c r="P143" s="521" t="str">
        <f t="shared" si="14"/>
        <v/>
      </c>
      <c r="Q143" s="564" t="str">
        <f>IFERROR(IF(P143="Check Data ⚠","Check Data ⚠",VLOOKUP(P143,'G-4 Temporal multipliers'!$A$4:$C$37,3,FALSE)),"")</f>
        <v/>
      </c>
      <c r="R143" s="498" t="str">
        <f>IF(C143="","",VLOOKUP(C143,'G-7 Rivers Data'!$B$4:$G$8,4,FALSE))</f>
        <v/>
      </c>
      <c r="S143" s="507" t="str">
        <f t="shared" si="15"/>
        <v/>
      </c>
      <c r="T143" s="540" t="str">
        <f t="shared" si="16"/>
        <v/>
      </c>
      <c r="U143" s="499" t="str">
        <f t="shared" si="17"/>
        <v/>
      </c>
      <c r="V143" s="71"/>
      <c r="W143" s="499" t="str">
        <f>IF(V143="","",IF(VLOOKUP(V143,'G-7 Rivers Data'!$AA$4:$AB$7,2,FALSE)=0,"Spatial Data Missing ⚠",VLOOKUP(V143,'G-7 Rivers Data'!$AA$4:$AB$7,2,FALSE)))</f>
        <v/>
      </c>
      <c r="X143" s="155"/>
      <c r="Y143" s="499" t="str">
        <f>IF(X143="","",IF(VLOOKUP(X143,'G-7 Rivers Data'!$AD$4:$AE$8,2,FALSE)=0,"Enrcoachment Data Missing ⚠",VLOOKUP(X143,'G-7 Rivers Data'!$AD$4:$AE$8,2,FALSE)))</f>
        <v/>
      </c>
      <c r="Z143" s="565" t="str">
        <f t="shared" si="18"/>
        <v/>
      </c>
      <c r="AA143" s="149"/>
      <c r="AB143" s="150"/>
      <c r="AH143" s="31" t="str">
        <f>IFERROR(INDEX('G-7 Rivers Data'!$AZ$3:$AZ$7,MATCH(C143,'G-7 Rivers Data'!$AY$3:$AY$7,0)),"")</f>
        <v/>
      </c>
    </row>
    <row r="144" spans="2:34" ht="13.8" x14ac:dyDescent="0.25">
      <c r="B144" s="141">
        <v>133</v>
      </c>
      <c r="C144" s="171"/>
      <c r="D144" s="172"/>
      <c r="E144" s="498" t="str">
        <f>IF(C144="","",VLOOKUP(C144,'G-7 Rivers Data'!$B$2:$G$8,2,FALSE))</f>
        <v/>
      </c>
      <c r="F144" s="499" t="str">
        <f>IFERROR(VLOOKUP(E144,'G-7 Rivers Data'!$C$4:$D$8,2,FALSE),"")</f>
        <v/>
      </c>
      <c r="G144" s="145"/>
      <c r="H144" s="499" t="str">
        <f>IFERROR(INDEX('G-7 Rivers Data'!$H$4:$L$8,MATCH(C144,'G-7 Rivers Data'!$B$4:$B$8,0),MATCH(G144,'G-7 Rivers Data'!$H$3:$L$3,0)),"")</f>
        <v/>
      </c>
      <c r="I144" s="154"/>
      <c r="J144" s="507" t="str">
        <f>IF(I144="","",IF(VLOOKUP(I144,'G-7 Rivers Data'!$AG$4:$AI$9,2,FALSE)=0,"Spatial Data Missing ⚠",VLOOKUP(I144,'G-7 Rivers Data'!$AG$4:$AI$9,2,FALSE)))</f>
        <v/>
      </c>
      <c r="K144" s="499" t="str">
        <f>IF(I144="","",IF(VLOOKUP(I144,'G-7 Rivers Data'!$AG$4:$AI$9,3,FALSE)=0,"Spatial Data Missing ⚠",VLOOKUP(I144,'G-7 Rivers Data'!$AG$4:$AI$9,3,FALSE)))</f>
        <v/>
      </c>
      <c r="L144" s="498" t="str">
        <f>IFERROR(INDEX('G-7 Rivers Data'!$O$3:$O$7,MATCH(G144,'G-7 Rivers Data'!$N$3:$N$7,0)),"")</f>
        <v/>
      </c>
      <c r="M144" s="82"/>
      <c r="N144" s="195"/>
      <c r="O144" s="507" t="str">
        <f t="shared" si="13"/>
        <v/>
      </c>
      <c r="P144" s="521" t="str">
        <f t="shared" si="14"/>
        <v/>
      </c>
      <c r="Q144" s="564" t="str">
        <f>IFERROR(IF(P144="Check Data ⚠","Check Data ⚠",VLOOKUP(P144,'G-4 Temporal multipliers'!$A$4:$C$37,3,FALSE)),"")</f>
        <v/>
      </c>
      <c r="R144" s="498" t="str">
        <f>IF(C144="","",VLOOKUP(C144,'G-7 Rivers Data'!$B$4:$G$8,4,FALSE))</f>
        <v/>
      </c>
      <c r="S144" s="507" t="str">
        <f t="shared" si="15"/>
        <v/>
      </c>
      <c r="T144" s="540" t="str">
        <f t="shared" si="16"/>
        <v/>
      </c>
      <c r="U144" s="499" t="str">
        <f t="shared" si="17"/>
        <v/>
      </c>
      <c r="V144" s="71"/>
      <c r="W144" s="499" t="str">
        <f>IF(V144="","",IF(VLOOKUP(V144,'G-7 Rivers Data'!$AA$4:$AB$7,2,FALSE)=0,"Spatial Data Missing ⚠",VLOOKUP(V144,'G-7 Rivers Data'!$AA$4:$AB$7,2,FALSE)))</f>
        <v/>
      </c>
      <c r="X144" s="155"/>
      <c r="Y144" s="499" t="str">
        <f>IF(X144="","",IF(VLOOKUP(X144,'G-7 Rivers Data'!$AD$4:$AE$8,2,FALSE)=0,"Enrcoachment Data Missing ⚠",VLOOKUP(X144,'G-7 Rivers Data'!$AD$4:$AE$8,2,FALSE)))</f>
        <v/>
      </c>
      <c r="Z144" s="565" t="str">
        <f t="shared" si="18"/>
        <v/>
      </c>
      <c r="AA144" s="149"/>
      <c r="AB144" s="150"/>
      <c r="AH144" s="31" t="str">
        <f>IFERROR(INDEX('G-7 Rivers Data'!$AZ$3:$AZ$7,MATCH(C144,'G-7 Rivers Data'!$AY$3:$AY$7,0)),"")</f>
        <v/>
      </c>
    </row>
    <row r="145" spans="2:34" ht="13.8" x14ac:dyDescent="0.25">
      <c r="B145" s="141">
        <v>134</v>
      </c>
      <c r="C145" s="171"/>
      <c r="D145" s="172"/>
      <c r="E145" s="498" t="str">
        <f>IF(C145="","",VLOOKUP(C145,'G-7 Rivers Data'!$B$2:$G$8,2,FALSE))</f>
        <v/>
      </c>
      <c r="F145" s="499" t="str">
        <f>IFERROR(VLOOKUP(E145,'G-7 Rivers Data'!$C$4:$D$8,2,FALSE),"")</f>
        <v/>
      </c>
      <c r="G145" s="145"/>
      <c r="H145" s="499" t="str">
        <f>IFERROR(INDEX('G-7 Rivers Data'!$H$4:$L$8,MATCH(C145,'G-7 Rivers Data'!$B$4:$B$8,0),MATCH(G145,'G-7 Rivers Data'!$H$3:$L$3,0)),"")</f>
        <v/>
      </c>
      <c r="I145" s="154"/>
      <c r="J145" s="507" t="str">
        <f>IF(I145="","",IF(VLOOKUP(I145,'G-7 Rivers Data'!$AG$4:$AI$9,2,FALSE)=0,"Spatial Data Missing ⚠",VLOOKUP(I145,'G-7 Rivers Data'!$AG$4:$AI$9,2,FALSE)))</f>
        <v/>
      </c>
      <c r="K145" s="499" t="str">
        <f>IF(I145="","",IF(VLOOKUP(I145,'G-7 Rivers Data'!$AG$4:$AI$9,3,FALSE)=0,"Spatial Data Missing ⚠",VLOOKUP(I145,'G-7 Rivers Data'!$AG$4:$AI$9,3,FALSE)))</f>
        <v/>
      </c>
      <c r="L145" s="498" t="str">
        <f>IFERROR(INDEX('G-7 Rivers Data'!$O$3:$O$7,MATCH(G145,'G-7 Rivers Data'!$N$3:$N$7,0)),"")</f>
        <v/>
      </c>
      <c r="M145" s="82"/>
      <c r="N145" s="195"/>
      <c r="O145" s="507" t="str">
        <f t="shared" si="13"/>
        <v/>
      </c>
      <c r="P145" s="521" t="str">
        <f t="shared" si="14"/>
        <v/>
      </c>
      <c r="Q145" s="564" t="str">
        <f>IFERROR(IF(P145="Check Data ⚠","Check Data ⚠",VLOOKUP(P145,'G-4 Temporal multipliers'!$A$4:$C$37,3,FALSE)),"")</f>
        <v/>
      </c>
      <c r="R145" s="498" t="str">
        <f>IF(C145="","",VLOOKUP(C145,'G-7 Rivers Data'!$B$4:$G$8,4,FALSE))</f>
        <v/>
      </c>
      <c r="S145" s="507" t="str">
        <f t="shared" si="15"/>
        <v/>
      </c>
      <c r="T145" s="540" t="str">
        <f t="shared" si="16"/>
        <v/>
      </c>
      <c r="U145" s="499" t="str">
        <f t="shared" si="17"/>
        <v/>
      </c>
      <c r="V145" s="71"/>
      <c r="W145" s="499" t="str">
        <f>IF(V145="","",IF(VLOOKUP(V145,'G-7 Rivers Data'!$AA$4:$AB$7,2,FALSE)=0,"Spatial Data Missing ⚠",VLOOKUP(V145,'G-7 Rivers Data'!$AA$4:$AB$7,2,FALSE)))</f>
        <v/>
      </c>
      <c r="X145" s="155"/>
      <c r="Y145" s="499" t="str">
        <f>IF(X145="","",IF(VLOOKUP(X145,'G-7 Rivers Data'!$AD$4:$AE$8,2,FALSE)=0,"Enrcoachment Data Missing ⚠",VLOOKUP(X145,'G-7 Rivers Data'!$AD$4:$AE$8,2,FALSE)))</f>
        <v/>
      </c>
      <c r="Z145" s="565" t="str">
        <f t="shared" si="18"/>
        <v/>
      </c>
      <c r="AA145" s="149"/>
      <c r="AB145" s="150"/>
      <c r="AH145" s="31" t="str">
        <f>IFERROR(INDEX('G-7 Rivers Data'!$AZ$3:$AZ$7,MATCH(C145,'G-7 Rivers Data'!$AY$3:$AY$7,0)),"")</f>
        <v/>
      </c>
    </row>
    <row r="146" spans="2:34" ht="13.8" x14ac:dyDescent="0.25">
      <c r="B146" s="141">
        <v>135</v>
      </c>
      <c r="C146" s="171"/>
      <c r="D146" s="172"/>
      <c r="E146" s="498" t="str">
        <f>IF(C146="","",VLOOKUP(C146,'G-7 Rivers Data'!$B$2:$G$8,2,FALSE))</f>
        <v/>
      </c>
      <c r="F146" s="499" t="str">
        <f>IFERROR(VLOOKUP(E146,'G-7 Rivers Data'!$C$4:$D$8,2,FALSE),"")</f>
        <v/>
      </c>
      <c r="G146" s="145"/>
      <c r="H146" s="499" t="str">
        <f>IFERROR(INDEX('G-7 Rivers Data'!$H$4:$L$8,MATCH(C146,'G-7 Rivers Data'!$B$4:$B$8,0),MATCH(G146,'G-7 Rivers Data'!$H$3:$L$3,0)),"")</f>
        <v/>
      </c>
      <c r="I146" s="154"/>
      <c r="J146" s="507" t="str">
        <f>IF(I146="","",IF(VLOOKUP(I146,'G-7 Rivers Data'!$AG$4:$AI$9,2,FALSE)=0,"Spatial Data Missing ⚠",VLOOKUP(I146,'G-7 Rivers Data'!$AG$4:$AI$9,2,FALSE)))</f>
        <v/>
      </c>
      <c r="K146" s="499" t="str">
        <f>IF(I146="","",IF(VLOOKUP(I146,'G-7 Rivers Data'!$AG$4:$AI$9,3,FALSE)=0,"Spatial Data Missing ⚠",VLOOKUP(I146,'G-7 Rivers Data'!$AG$4:$AI$9,3,FALSE)))</f>
        <v/>
      </c>
      <c r="L146" s="498" t="str">
        <f>IFERROR(INDEX('G-7 Rivers Data'!$O$3:$O$7,MATCH(G146,'G-7 Rivers Data'!$N$3:$N$7,0)),"")</f>
        <v/>
      </c>
      <c r="M146" s="82"/>
      <c r="N146" s="195"/>
      <c r="O146" s="507" t="str">
        <f t="shared" si="13"/>
        <v/>
      </c>
      <c r="P146" s="521" t="str">
        <f t="shared" si="14"/>
        <v/>
      </c>
      <c r="Q146" s="564" t="str">
        <f>IFERROR(IF(P146="Check Data ⚠","Check Data ⚠",VLOOKUP(P146,'G-4 Temporal multipliers'!$A$4:$C$37,3,FALSE)),"")</f>
        <v/>
      </c>
      <c r="R146" s="498" t="str">
        <f>IF(C146="","",VLOOKUP(C146,'G-7 Rivers Data'!$B$4:$G$8,4,FALSE))</f>
        <v/>
      </c>
      <c r="S146" s="507" t="str">
        <f t="shared" si="15"/>
        <v/>
      </c>
      <c r="T146" s="540" t="str">
        <f t="shared" si="16"/>
        <v/>
      </c>
      <c r="U146" s="499" t="str">
        <f t="shared" si="17"/>
        <v/>
      </c>
      <c r="V146" s="71"/>
      <c r="W146" s="499" t="str">
        <f>IF(V146="","",IF(VLOOKUP(V146,'G-7 Rivers Data'!$AA$4:$AB$7,2,FALSE)=0,"Spatial Data Missing ⚠",VLOOKUP(V146,'G-7 Rivers Data'!$AA$4:$AB$7,2,FALSE)))</f>
        <v/>
      </c>
      <c r="X146" s="155"/>
      <c r="Y146" s="499" t="str">
        <f>IF(X146="","",IF(VLOOKUP(X146,'G-7 Rivers Data'!$AD$4:$AE$8,2,FALSE)=0,"Enrcoachment Data Missing ⚠",VLOOKUP(X146,'G-7 Rivers Data'!$AD$4:$AE$8,2,FALSE)))</f>
        <v/>
      </c>
      <c r="Z146" s="565" t="str">
        <f t="shared" si="18"/>
        <v/>
      </c>
      <c r="AA146" s="149"/>
      <c r="AB146" s="150"/>
      <c r="AH146" s="31" t="str">
        <f>IFERROR(INDEX('G-7 Rivers Data'!$AZ$3:$AZ$7,MATCH(C146,'G-7 Rivers Data'!$AY$3:$AY$7,0)),"")</f>
        <v/>
      </c>
    </row>
    <row r="147" spans="2:34" ht="13.8" x14ac:dyDescent="0.25">
      <c r="B147" s="141">
        <v>136</v>
      </c>
      <c r="C147" s="171"/>
      <c r="D147" s="172"/>
      <c r="E147" s="498" t="str">
        <f>IF(C147="","",VLOOKUP(C147,'G-7 Rivers Data'!$B$2:$G$8,2,FALSE))</f>
        <v/>
      </c>
      <c r="F147" s="499" t="str">
        <f>IFERROR(VLOOKUP(E147,'G-7 Rivers Data'!$C$4:$D$8,2,FALSE),"")</f>
        <v/>
      </c>
      <c r="G147" s="145"/>
      <c r="H147" s="499" t="str">
        <f>IFERROR(INDEX('G-7 Rivers Data'!$H$4:$L$8,MATCH(C147,'G-7 Rivers Data'!$B$4:$B$8,0),MATCH(G147,'G-7 Rivers Data'!$H$3:$L$3,0)),"")</f>
        <v/>
      </c>
      <c r="I147" s="154"/>
      <c r="J147" s="507" t="str">
        <f>IF(I147="","",IF(VLOOKUP(I147,'G-7 Rivers Data'!$AG$4:$AI$9,2,FALSE)=0,"Spatial Data Missing ⚠",VLOOKUP(I147,'G-7 Rivers Data'!$AG$4:$AI$9,2,FALSE)))</f>
        <v/>
      </c>
      <c r="K147" s="499" t="str">
        <f>IF(I147="","",IF(VLOOKUP(I147,'G-7 Rivers Data'!$AG$4:$AI$9,3,FALSE)=0,"Spatial Data Missing ⚠",VLOOKUP(I147,'G-7 Rivers Data'!$AG$4:$AI$9,3,FALSE)))</f>
        <v/>
      </c>
      <c r="L147" s="498" t="str">
        <f>IFERROR(INDEX('G-7 Rivers Data'!$O$3:$O$7,MATCH(G147,'G-7 Rivers Data'!$N$3:$N$7,0)),"")</f>
        <v/>
      </c>
      <c r="M147" s="82"/>
      <c r="N147" s="195"/>
      <c r="O147" s="507" t="str">
        <f t="shared" si="13"/>
        <v/>
      </c>
      <c r="P147" s="521" t="str">
        <f t="shared" si="14"/>
        <v/>
      </c>
      <c r="Q147" s="564" t="str">
        <f>IFERROR(IF(P147="Check Data ⚠","Check Data ⚠",VLOOKUP(P147,'G-4 Temporal multipliers'!$A$4:$C$37,3,FALSE)),"")</f>
        <v/>
      </c>
      <c r="R147" s="498" t="str">
        <f>IF(C147="","",VLOOKUP(C147,'G-7 Rivers Data'!$B$4:$G$8,4,FALSE))</f>
        <v/>
      </c>
      <c r="S147" s="507" t="str">
        <f t="shared" si="15"/>
        <v/>
      </c>
      <c r="T147" s="540" t="str">
        <f t="shared" si="16"/>
        <v/>
      </c>
      <c r="U147" s="499" t="str">
        <f t="shared" si="17"/>
        <v/>
      </c>
      <c r="V147" s="71"/>
      <c r="W147" s="499" t="str">
        <f>IF(V147="","",IF(VLOOKUP(V147,'G-7 Rivers Data'!$AA$4:$AB$7,2,FALSE)=0,"Spatial Data Missing ⚠",VLOOKUP(V147,'G-7 Rivers Data'!$AA$4:$AB$7,2,FALSE)))</f>
        <v/>
      </c>
      <c r="X147" s="155"/>
      <c r="Y147" s="499" t="str">
        <f>IF(X147="","",IF(VLOOKUP(X147,'G-7 Rivers Data'!$AD$4:$AE$8,2,FALSE)=0,"Enrcoachment Data Missing ⚠",VLOOKUP(X147,'G-7 Rivers Data'!$AD$4:$AE$8,2,FALSE)))</f>
        <v/>
      </c>
      <c r="Z147" s="565" t="str">
        <f t="shared" si="18"/>
        <v/>
      </c>
      <c r="AA147" s="149"/>
      <c r="AB147" s="150"/>
      <c r="AH147" s="31" t="str">
        <f>IFERROR(INDEX('G-7 Rivers Data'!$AZ$3:$AZ$7,MATCH(C147,'G-7 Rivers Data'!$AY$3:$AY$7,0)),"")</f>
        <v/>
      </c>
    </row>
    <row r="148" spans="2:34" ht="13.8" x14ac:dyDescent="0.25">
      <c r="B148" s="141">
        <v>137</v>
      </c>
      <c r="C148" s="171"/>
      <c r="D148" s="172"/>
      <c r="E148" s="498" t="str">
        <f>IF(C148="","",VLOOKUP(C148,'G-7 Rivers Data'!$B$2:$G$8,2,FALSE))</f>
        <v/>
      </c>
      <c r="F148" s="499" t="str">
        <f>IFERROR(VLOOKUP(E148,'G-7 Rivers Data'!$C$4:$D$8,2,FALSE),"")</f>
        <v/>
      </c>
      <c r="G148" s="145"/>
      <c r="H148" s="499" t="str">
        <f>IFERROR(INDEX('G-7 Rivers Data'!$H$4:$L$8,MATCH(C148,'G-7 Rivers Data'!$B$4:$B$8,0),MATCH(G148,'G-7 Rivers Data'!$H$3:$L$3,0)),"")</f>
        <v/>
      </c>
      <c r="I148" s="154"/>
      <c r="J148" s="507" t="str">
        <f>IF(I148="","",IF(VLOOKUP(I148,'G-7 Rivers Data'!$AG$4:$AI$9,2,FALSE)=0,"Spatial Data Missing ⚠",VLOOKUP(I148,'G-7 Rivers Data'!$AG$4:$AI$9,2,FALSE)))</f>
        <v/>
      </c>
      <c r="K148" s="499" t="str">
        <f>IF(I148="","",IF(VLOOKUP(I148,'G-7 Rivers Data'!$AG$4:$AI$9,3,FALSE)=0,"Spatial Data Missing ⚠",VLOOKUP(I148,'G-7 Rivers Data'!$AG$4:$AI$9,3,FALSE)))</f>
        <v/>
      </c>
      <c r="L148" s="498" t="str">
        <f>IFERROR(INDEX('G-7 Rivers Data'!$O$3:$O$7,MATCH(G148,'G-7 Rivers Data'!$N$3:$N$7,0)),"")</f>
        <v/>
      </c>
      <c r="M148" s="82"/>
      <c r="N148" s="195"/>
      <c r="O148" s="507" t="str">
        <f t="shared" si="13"/>
        <v/>
      </c>
      <c r="P148" s="521" t="str">
        <f t="shared" si="14"/>
        <v/>
      </c>
      <c r="Q148" s="564" t="str">
        <f>IFERROR(IF(P148="Check Data ⚠","Check Data ⚠",VLOOKUP(P148,'G-4 Temporal multipliers'!$A$4:$C$37,3,FALSE)),"")</f>
        <v/>
      </c>
      <c r="R148" s="498" t="str">
        <f>IF(C148="","",VLOOKUP(C148,'G-7 Rivers Data'!$B$4:$G$8,4,FALSE))</f>
        <v/>
      </c>
      <c r="S148" s="507" t="str">
        <f t="shared" si="15"/>
        <v/>
      </c>
      <c r="T148" s="540" t="str">
        <f t="shared" si="16"/>
        <v/>
      </c>
      <c r="U148" s="499" t="str">
        <f t="shared" si="17"/>
        <v/>
      </c>
      <c r="V148" s="71"/>
      <c r="W148" s="499" t="str">
        <f>IF(V148="","",IF(VLOOKUP(V148,'G-7 Rivers Data'!$AA$4:$AB$7,2,FALSE)=0,"Spatial Data Missing ⚠",VLOOKUP(V148,'G-7 Rivers Data'!$AA$4:$AB$7,2,FALSE)))</f>
        <v/>
      </c>
      <c r="X148" s="155"/>
      <c r="Y148" s="499" t="str">
        <f>IF(X148="","",IF(VLOOKUP(X148,'G-7 Rivers Data'!$AD$4:$AE$8,2,FALSE)=0,"Enrcoachment Data Missing ⚠",VLOOKUP(X148,'G-7 Rivers Data'!$AD$4:$AE$8,2,FALSE)))</f>
        <v/>
      </c>
      <c r="Z148" s="565" t="str">
        <f t="shared" si="18"/>
        <v/>
      </c>
      <c r="AA148" s="149"/>
      <c r="AB148" s="150"/>
      <c r="AH148" s="31" t="str">
        <f>IFERROR(INDEX('G-7 Rivers Data'!$AZ$3:$AZ$7,MATCH(C148,'G-7 Rivers Data'!$AY$3:$AY$7,0)),"")</f>
        <v/>
      </c>
    </row>
    <row r="149" spans="2:34" ht="13.8" x14ac:dyDescent="0.25">
      <c r="B149" s="141">
        <v>138</v>
      </c>
      <c r="C149" s="171"/>
      <c r="D149" s="172"/>
      <c r="E149" s="498" t="str">
        <f>IF(C149="","",VLOOKUP(C149,'G-7 Rivers Data'!$B$2:$G$8,2,FALSE))</f>
        <v/>
      </c>
      <c r="F149" s="499" t="str">
        <f>IFERROR(VLOOKUP(E149,'G-7 Rivers Data'!$C$4:$D$8,2,FALSE),"")</f>
        <v/>
      </c>
      <c r="G149" s="145"/>
      <c r="H149" s="499" t="str">
        <f>IFERROR(INDEX('G-7 Rivers Data'!$H$4:$L$8,MATCH(C149,'G-7 Rivers Data'!$B$4:$B$8,0),MATCH(G149,'G-7 Rivers Data'!$H$3:$L$3,0)),"")</f>
        <v/>
      </c>
      <c r="I149" s="154"/>
      <c r="J149" s="507" t="str">
        <f>IF(I149="","",IF(VLOOKUP(I149,'G-7 Rivers Data'!$AG$4:$AI$9,2,FALSE)=0,"Spatial Data Missing ⚠",VLOOKUP(I149,'G-7 Rivers Data'!$AG$4:$AI$9,2,FALSE)))</f>
        <v/>
      </c>
      <c r="K149" s="499" t="str">
        <f>IF(I149="","",IF(VLOOKUP(I149,'G-7 Rivers Data'!$AG$4:$AI$9,3,FALSE)=0,"Spatial Data Missing ⚠",VLOOKUP(I149,'G-7 Rivers Data'!$AG$4:$AI$9,3,FALSE)))</f>
        <v/>
      </c>
      <c r="L149" s="498" t="str">
        <f>IFERROR(INDEX('G-7 Rivers Data'!$O$3:$O$7,MATCH(G149,'G-7 Rivers Data'!$N$3:$N$7,0)),"")</f>
        <v/>
      </c>
      <c r="M149" s="82"/>
      <c r="N149" s="195"/>
      <c r="O149" s="507" t="str">
        <f t="shared" si="13"/>
        <v/>
      </c>
      <c r="P149" s="521" t="str">
        <f t="shared" si="14"/>
        <v/>
      </c>
      <c r="Q149" s="564" t="str">
        <f>IFERROR(IF(P149="Check Data ⚠","Check Data ⚠",VLOOKUP(P149,'G-4 Temporal multipliers'!$A$4:$C$37,3,FALSE)),"")</f>
        <v/>
      </c>
      <c r="R149" s="498" t="str">
        <f>IF(C149="","",VLOOKUP(C149,'G-7 Rivers Data'!$B$4:$G$8,4,FALSE))</f>
        <v/>
      </c>
      <c r="S149" s="507" t="str">
        <f t="shared" si="15"/>
        <v/>
      </c>
      <c r="T149" s="540" t="str">
        <f t="shared" si="16"/>
        <v/>
      </c>
      <c r="U149" s="499" t="str">
        <f t="shared" si="17"/>
        <v/>
      </c>
      <c r="V149" s="71"/>
      <c r="W149" s="499" t="str">
        <f>IF(V149="","",IF(VLOOKUP(V149,'G-7 Rivers Data'!$AA$4:$AB$7,2,FALSE)=0,"Spatial Data Missing ⚠",VLOOKUP(V149,'G-7 Rivers Data'!$AA$4:$AB$7,2,FALSE)))</f>
        <v/>
      </c>
      <c r="X149" s="155"/>
      <c r="Y149" s="499" t="str">
        <f>IF(X149="","",IF(VLOOKUP(X149,'G-7 Rivers Data'!$AD$4:$AE$8,2,FALSE)=0,"Enrcoachment Data Missing ⚠",VLOOKUP(X149,'G-7 Rivers Data'!$AD$4:$AE$8,2,FALSE)))</f>
        <v/>
      </c>
      <c r="Z149" s="565" t="str">
        <f t="shared" si="18"/>
        <v/>
      </c>
      <c r="AA149" s="149"/>
      <c r="AB149" s="150"/>
      <c r="AH149" s="31" t="str">
        <f>IFERROR(INDEX('G-7 Rivers Data'!$AZ$3:$AZ$7,MATCH(C149,'G-7 Rivers Data'!$AY$3:$AY$7,0)),"")</f>
        <v/>
      </c>
    </row>
    <row r="150" spans="2:34" ht="13.8" x14ac:dyDescent="0.25">
      <c r="B150" s="141">
        <v>139</v>
      </c>
      <c r="C150" s="171"/>
      <c r="D150" s="172"/>
      <c r="E150" s="498" t="str">
        <f>IF(C150="","",VLOOKUP(C150,'G-7 Rivers Data'!$B$2:$G$8,2,FALSE))</f>
        <v/>
      </c>
      <c r="F150" s="499" t="str">
        <f>IFERROR(VLOOKUP(E150,'G-7 Rivers Data'!$C$4:$D$8,2,FALSE),"")</f>
        <v/>
      </c>
      <c r="G150" s="145"/>
      <c r="H150" s="499" t="str">
        <f>IFERROR(INDEX('G-7 Rivers Data'!$H$4:$L$8,MATCH(C150,'G-7 Rivers Data'!$B$4:$B$8,0),MATCH(G150,'G-7 Rivers Data'!$H$3:$L$3,0)),"")</f>
        <v/>
      </c>
      <c r="I150" s="154"/>
      <c r="J150" s="507" t="str">
        <f>IF(I150="","",IF(VLOOKUP(I150,'G-7 Rivers Data'!$AG$4:$AI$9,2,FALSE)=0,"Spatial Data Missing ⚠",VLOOKUP(I150,'G-7 Rivers Data'!$AG$4:$AI$9,2,FALSE)))</f>
        <v/>
      </c>
      <c r="K150" s="499" t="str">
        <f>IF(I150="","",IF(VLOOKUP(I150,'G-7 Rivers Data'!$AG$4:$AI$9,3,FALSE)=0,"Spatial Data Missing ⚠",VLOOKUP(I150,'G-7 Rivers Data'!$AG$4:$AI$9,3,FALSE)))</f>
        <v/>
      </c>
      <c r="L150" s="498" t="str">
        <f>IFERROR(INDEX('G-7 Rivers Data'!$O$3:$O$7,MATCH(G150,'G-7 Rivers Data'!$N$3:$N$7,0)),"")</f>
        <v/>
      </c>
      <c r="M150" s="82"/>
      <c r="N150" s="195"/>
      <c r="O150" s="507" t="str">
        <f t="shared" si="13"/>
        <v/>
      </c>
      <c r="P150" s="521" t="str">
        <f t="shared" si="14"/>
        <v/>
      </c>
      <c r="Q150" s="564" t="str">
        <f>IFERROR(IF(P150="Check Data ⚠","Check Data ⚠",VLOOKUP(P150,'G-4 Temporal multipliers'!$A$4:$C$37,3,FALSE)),"")</f>
        <v/>
      </c>
      <c r="R150" s="498" t="str">
        <f>IF(C150="","",VLOOKUP(C150,'G-7 Rivers Data'!$B$4:$G$8,4,FALSE))</f>
        <v/>
      </c>
      <c r="S150" s="507" t="str">
        <f t="shared" si="15"/>
        <v/>
      </c>
      <c r="T150" s="540" t="str">
        <f t="shared" si="16"/>
        <v/>
      </c>
      <c r="U150" s="499" t="str">
        <f t="shared" si="17"/>
        <v/>
      </c>
      <c r="V150" s="71"/>
      <c r="W150" s="499" t="str">
        <f>IF(V150="","",IF(VLOOKUP(V150,'G-7 Rivers Data'!$AA$4:$AB$7,2,FALSE)=0,"Spatial Data Missing ⚠",VLOOKUP(V150,'G-7 Rivers Data'!$AA$4:$AB$7,2,FALSE)))</f>
        <v/>
      </c>
      <c r="X150" s="155"/>
      <c r="Y150" s="499" t="str">
        <f>IF(X150="","",IF(VLOOKUP(X150,'G-7 Rivers Data'!$AD$4:$AE$8,2,FALSE)=0,"Enrcoachment Data Missing ⚠",VLOOKUP(X150,'G-7 Rivers Data'!$AD$4:$AE$8,2,FALSE)))</f>
        <v/>
      </c>
      <c r="Z150" s="565" t="str">
        <f t="shared" si="18"/>
        <v/>
      </c>
      <c r="AA150" s="149"/>
      <c r="AB150" s="150"/>
      <c r="AH150" s="31" t="str">
        <f>IFERROR(INDEX('G-7 Rivers Data'!$AZ$3:$AZ$7,MATCH(C150,'G-7 Rivers Data'!$AY$3:$AY$7,0)),"")</f>
        <v/>
      </c>
    </row>
    <row r="151" spans="2:34" ht="13.8" x14ac:dyDescent="0.25">
      <c r="B151" s="141">
        <v>140</v>
      </c>
      <c r="C151" s="171"/>
      <c r="D151" s="172"/>
      <c r="E151" s="498" t="str">
        <f>IF(C151="","",VLOOKUP(C151,'G-7 Rivers Data'!$B$2:$G$8,2,FALSE))</f>
        <v/>
      </c>
      <c r="F151" s="499" t="str">
        <f>IFERROR(VLOOKUP(E151,'G-7 Rivers Data'!$C$4:$D$8,2,FALSE),"")</f>
        <v/>
      </c>
      <c r="G151" s="145"/>
      <c r="H151" s="499" t="str">
        <f>IFERROR(INDEX('G-7 Rivers Data'!$H$4:$L$8,MATCH(C151,'G-7 Rivers Data'!$B$4:$B$8,0),MATCH(G151,'G-7 Rivers Data'!$H$3:$L$3,0)),"")</f>
        <v/>
      </c>
      <c r="I151" s="154"/>
      <c r="J151" s="507" t="str">
        <f>IF(I151="","",IF(VLOOKUP(I151,'G-7 Rivers Data'!$AG$4:$AI$9,2,FALSE)=0,"Spatial Data Missing ⚠",VLOOKUP(I151,'G-7 Rivers Data'!$AG$4:$AI$9,2,FALSE)))</f>
        <v/>
      </c>
      <c r="K151" s="499" t="str">
        <f>IF(I151="","",IF(VLOOKUP(I151,'G-7 Rivers Data'!$AG$4:$AI$9,3,FALSE)=0,"Spatial Data Missing ⚠",VLOOKUP(I151,'G-7 Rivers Data'!$AG$4:$AI$9,3,FALSE)))</f>
        <v/>
      </c>
      <c r="L151" s="498" t="str">
        <f>IFERROR(INDEX('G-7 Rivers Data'!$O$3:$O$7,MATCH(G151,'G-7 Rivers Data'!$N$3:$N$7,0)),"")</f>
        <v/>
      </c>
      <c r="M151" s="82"/>
      <c r="N151" s="195"/>
      <c r="O151" s="507" t="str">
        <f t="shared" si="13"/>
        <v/>
      </c>
      <c r="P151" s="521" t="str">
        <f t="shared" si="14"/>
        <v/>
      </c>
      <c r="Q151" s="564" t="str">
        <f>IFERROR(IF(P151="Check Data ⚠","Check Data ⚠",VLOOKUP(P151,'G-4 Temporal multipliers'!$A$4:$C$37,3,FALSE)),"")</f>
        <v/>
      </c>
      <c r="R151" s="498" t="str">
        <f>IF(C151="","",VLOOKUP(C151,'G-7 Rivers Data'!$B$4:$G$8,4,FALSE))</f>
        <v/>
      </c>
      <c r="S151" s="507" t="str">
        <f t="shared" si="15"/>
        <v/>
      </c>
      <c r="T151" s="540" t="str">
        <f t="shared" si="16"/>
        <v/>
      </c>
      <c r="U151" s="499" t="str">
        <f t="shared" si="17"/>
        <v/>
      </c>
      <c r="V151" s="71"/>
      <c r="W151" s="499" t="str">
        <f>IF(V151="","",IF(VLOOKUP(V151,'G-7 Rivers Data'!$AA$4:$AB$7,2,FALSE)=0,"Spatial Data Missing ⚠",VLOOKUP(V151,'G-7 Rivers Data'!$AA$4:$AB$7,2,FALSE)))</f>
        <v/>
      </c>
      <c r="X151" s="155"/>
      <c r="Y151" s="499" t="str">
        <f>IF(X151="","",IF(VLOOKUP(X151,'G-7 Rivers Data'!$AD$4:$AE$8,2,FALSE)=0,"Enrcoachment Data Missing ⚠",VLOOKUP(X151,'G-7 Rivers Data'!$AD$4:$AE$8,2,FALSE)))</f>
        <v/>
      </c>
      <c r="Z151" s="565" t="str">
        <f t="shared" si="18"/>
        <v/>
      </c>
      <c r="AA151" s="149"/>
      <c r="AB151" s="150"/>
      <c r="AH151" s="31" t="str">
        <f>IFERROR(INDEX('G-7 Rivers Data'!$AZ$3:$AZ$7,MATCH(C151,'G-7 Rivers Data'!$AY$3:$AY$7,0)),"")</f>
        <v/>
      </c>
    </row>
    <row r="152" spans="2:34" ht="13.8" x14ac:dyDescent="0.25">
      <c r="B152" s="141">
        <v>141</v>
      </c>
      <c r="C152" s="171"/>
      <c r="D152" s="172"/>
      <c r="E152" s="498" t="str">
        <f>IF(C152="","",VLOOKUP(C152,'G-7 Rivers Data'!$B$2:$G$8,2,FALSE))</f>
        <v/>
      </c>
      <c r="F152" s="499" t="str">
        <f>IFERROR(VLOOKUP(E152,'G-7 Rivers Data'!$C$4:$D$8,2,FALSE),"")</f>
        <v/>
      </c>
      <c r="G152" s="145"/>
      <c r="H152" s="499" t="str">
        <f>IFERROR(INDEX('G-7 Rivers Data'!$H$4:$L$8,MATCH(C152,'G-7 Rivers Data'!$B$4:$B$8,0),MATCH(G152,'G-7 Rivers Data'!$H$3:$L$3,0)),"")</f>
        <v/>
      </c>
      <c r="I152" s="154"/>
      <c r="J152" s="507" t="str">
        <f>IF(I152="","",IF(VLOOKUP(I152,'G-7 Rivers Data'!$AG$4:$AI$9,2,FALSE)=0,"Spatial Data Missing ⚠",VLOOKUP(I152,'G-7 Rivers Data'!$AG$4:$AI$9,2,FALSE)))</f>
        <v/>
      </c>
      <c r="K152" s="499" t="str">
        <f>IF(I152="","",IF(VLOOKUP(I152,'G-7 Rivers Data'!$AG$4:$AI$9,3,FALSE)=0,"Spatial Data Missing ⚠",VLOOKUP(I152,'G-7 Rivers Data'!$AG$4:$AI$9,3,FALSE)))</f>
        <v/>
      </c>
      <c r="L152" s="498" t="str">
        <f>IFERROR(INDEX('G-7 Rivers Data'!$O$3:$O$7,MATCH(G152,'G-7 Rivers Data'!$N$3:$N$7,0)),"")</f>
        <v/>
      </c>
      <c r="M152" s="82"/>
      <c r="N152" s="195"/>
      <c r="O152" s="507" t="str">
        <f t="shared" si="13"/>
        <v/>
      </c>
      <c r="P152" s="521" t="str">
        <f t="shared" si="14"/>
        <v/>
      </c>
      <c r="Q152" s="564" t="str">
        <f>IFERROR(IF(P152="Check Data ⚠","Check Data ⚠",VLOOKUP(P152,'G-4 Temporal multipliers'!$A$4:$C$37,3,FALSE)),"")</f>
        <v/>
      </c>
      <c r="R152" s="498" t="str">
        <f>IF(C152="","",VLOOKUP(C152,'G-7 Rivers Data'!$B$4:$G$8,4,FALSE))</f>
        <v/>
      </c>
      <c r="S152" s="507" t="str">
        <f t="shared" si="15"/>
        <v/>
      </c>
      <c r="T152" s="540" t="str">
        <f t="shared" si="16"/>
        <v/>
      </c>
      <c r="U152" s="499" t="str">
        <f t="shared" si="17"/>
        <v/>
      </c>
      <c r="V152" s="71"/>
      <c r="W152" s="499" t="str">
        <f>IF(V152="","",IF(VLOOKUP(V152,'G-7 Rivers Data'!$AA$4:$AB$7,2,FALSE)=0,"Spatial Data Missing ⚠",VLOOKUP(V152,'G-7 Rivers Data'!$AA$4:$AB$7,2,FALSE)))</f>
        <v/>
      </c>
      <c r="X152" s="155"/>
      <c r="Y152" s="499" t="str">
        <f>IF(X152="","",IF(VLOOKUP(X152,'G-7 Rivers Data'!$AD$4:$AE$8,2,FALSE)=0,"Enrcoachment Data Missing ⚠",VLOOKUP(X152,'G-7 Rivers Data'!$AD$4:$AE$8,2,FALSE)))</f>
        <v/>
      </c>
      <c r="Z152" s="565" t="str">
        <f t="shared" si="18"/>
        <v/>
      </c>
      <c r="AA152" s="149"/>
      <c r="AB152" s="150"/>
      <c r="AH152" s="31" t="str">
        <f>IFERROR(INDEX('G-7 Rivers Data'!$AZ$3:$AZ$7,MATCH(C152,'G-7 Rivers Data'!$AY$3:$AY$7,0)),"")</f>
        <v/>
      </c>
    </row>
    <row r="153" spans="2:34" ht="13.8" x14ac:dyDescent="0.25">
      <c r="B153" s="141">
        <v>142</v>
      </c>
      <c r="C153" s="171"/>
      <c r="D153" s="172"/>
      <c r="E153" s="498" t="str">
        <f>IF(C153="","",VLOOKUP(C153,'G-7 Rivers Data'!$B$2:$G$8,2,FALSE))</f>
        <v/>
      </c>
      <c r="F153" s="499" t="str">
        <f>IFERROR(VLOOKUP(E153,'G-7 Rivers Data'!$C$4:$D$8,2,FALSE),"")</f>
        <v/>
      </c>
      <c r="G153" s="145"/>
      <c r="H153" s="499" t="str">
        <f>IFERROR(INDEX('G-7 Rivers Data'!$H$4:$L$8,MATCH(C153,'G-7 Rivers Data'!$B$4:$B$8,0),MATCH(G153,'G-7 Rivers Data'!$H$3:$L$3,0)),"")</f>
        <v/>
      </c>
      <c r="I153" s="154"/>
      <c r="J153" s="507" t="str">
        <f>IF(I153="","",IF(VLOOKUP(I153,'G-7 Rivers Data'!$AG$4:$AI$9,2,FALSE)=0,"Spatial Data Missing ⚠",VLOOKUP(I153,'G-7 Rivers Data'!$AG$4:$AI$9,2,FALSE)))</f>
        <v/>
      </c>
      <c r="K153" s="499" t="str">
        <f>IF(I153="","",IF(VLOOKUP(I153,'G-7 Rivers Data'!$AG$4:$AI$9,3,FALSE)=0,"Spatial Data Missing ⚠",VLOOKUP(I153,'G-7 Rivers Data'!$AG$4:$AI$9,3,FALSE)))</f>
        <v/>
      </c>
      <c r="L153" s="498" t="str">
        <f>IFERROR(INDEX('G-7 Rivers Data'!$O$3:$O$7,MATCH(G153,'G-7 Rivers Data'!$N$3:$N$7,0)),"")</f>
        <v/>
      </c>
      <c r="M153" s="82"/>
      <c r="N153" s="195"/>
      <c r="O153" s="507" t="str">
        <f t="shared" si="13"/>
        <v/>
      </c>
      <c r="P153" s="521" t="str">
        <f t="shared" si="14"/>
        <v/>
      </c>
      <c r="Q153" s="564" t="str">
        <f>IFERROR(IF(P153="Check Data ⚠","Check Data ⚠",VLOOKUP(P153,'G-4 Temporal multipliers'!$A$4:$C$37,3,FALSE)),"")</f>
        <v/>
      </c>
      <c r="R153" s="498" t="str">
        <f>IF(C153="","",VLOOKUP(C153,'G-7 Rivers Data'!$B$4:$G$8,4,FALSE))</f>
        <v/>
      </c>
      <c r="S153" s="507" t="str">
        <f t="shared" si="15"/>
        <v/>
      </c>
      <c r="T153" s="540" t="str">
        <f t="shared" si="16"/>
        <v/>
      </c>
      <c r="U153" s="499" t="str">
        <f t="shared" si="17"/>
        <v/>
      </c>
      <c r="V153" s="71"/>
      <c r="W153" s="499" t="str">
        <f>IF(V153="","",IF(VLOOKUP(V153,'G-7 Rivers Data'!$AA$4:$AB$7,2,FALSE)=0,"Spatial Data Missing ⚠",VLOOKUP(V153,'G-7 Rivers Data'!$AA$4:$AB$7,2,FALSE)))</f>
        <v/>
      </c>
      <c r="X153" s="155"/>
      <c r="Y153" s="499" t="str">
        <f>IF(X153="","",IF(VLOOKUP(X153,'G-7 Rivers Data'!$AD$4:$AE$8,2,FALSE)=0,"Enrcoachment Data Missing ⚠",VLOOKUP(X153,'G-7 Rivers Data'!$AD$4:$AE$8,2,FALSE)))</f>
        <v/>
      </c>
      <c r="Z153" s="565" t="str">
        <f t="shared" si="18"/>
        <v/>
      </c>
      <c r="AA153" s="149"/>
      <c r="AB153" s="150"/>
      <c r="AH153" s="31" t="str">
        <f>IFERROR(INDEX('G-7 Rivers Data'!$AZ$3:$AZ$7,MATCH(C153,'G-7 Rivers Data'!$AY$3:$AY$7,0)),"")</f>
        <v/>
      </c>
    </row>
    <row r="154" spans="2:34" ht="13.8" x14ac:dyDescent="0.25">
      <c r="B154" s="141">
        <v>143</v>
      </c>
      <c r="C154" s="171"/>
      <c r="D154" s="172"/>
      <c r="E154" s="498" t="str">
        <f>IF(C154="","",VLOOKUP(C154,'G-7 Rivers Data'!$B$2:$G$8,2,FALSE))</f>
        <v/>
      </c>
      <c r="F154" s="499" t="str">
        <f>IFERROR(VLOOKUP(E154,'G-7 Rivers Data'!$C$4:$D$8,2,FALSE),"")</f>
        <v/>
      </c>
      <c r="G154" s="145"/>
      <c r="H154" s="499" t="str">
        <f>IFERROR(INDEX('G-7 Rivers Data'!$H$4:$L$8,MATCH(C154,'G-7 Rivers Data'!$B$4:$B$8,0),MATCH(G154,'G-7 Rivers Data'!$H$3:$L$3,0)),"")</f>
        <v/>
      </c>
      <c r="I154" s="154"/>
      <c r="J154" s="507" t="str">
        <f>IF(I154="","",IF(VLOOKUP(I154,'G-7 Rivers Data'!$AG$4:$AI$9,2,FALSE)=0,"Spatial Data Missing ⚠",VLOOKUP(I154,'G-7 Rivers Data'!$AG$4:$AI$9,2,FALSE)))</f>
        <v/>
      </c>
      <c r="K154" s="499" t="str">
        <f>IF(I154="","",IF(VLOOKUP(I154,'G-7 Rivers Data'!$AG$4:$AI$9,3,FALSE)=0,"Spatial Data Missing ⚠",VLOOKUP(I154,'G-7 Rivers Data'!$AG$4:$AI$9,3,FALSE)))</f>
        <v/>
      </c>
      <c r="L154" s="498" t="str">
        <f>IFERROR(INDEX('G-7 Rivers Data'!$O$3:$O$7,MATCH(G154,'G-7 Rivers Data'!$N$3:$N$7,0)),"")</f>
        <v/>
      </c>
      <c r="M154" s="82"/>
      <c r="N154" s="195"/>
      <c r="O154" s="507" t="str">
        <f t="shared" si="13"/>
        <v/>
      </c>
      <c r="P154" s="521" t="str">
        <f t="shared" si="14"/>
        <v/>
      </c>
      <c r="Q154" s="564" t="str">
        <f>IFERROR(IF(P154="Check Data ⚠","Check Data ⚠",VLOOKUP(P154,'G-4 Temporal multipliers'!$A$4:$C$37,3,FALSE)),"")</f>
        <v/>
      </c>
      <c r="R154" s="498" t="str">
        <f>IF(C154="","",VLOOKUP(C154,'G-7 Rivers Data'!$B$4:$G$8,4,FALSE))</f>
        <v/>
      </c>
      <c r="S154" s="507" t="str">
        <f t="shared" si="15"/>
        <v/>
      </c>
      <c r="T154" s="540" t="str">
        <f t="shared" si="16"/>
        <v/>
      </c>
      <c r="U154" s="499" t="str">
        <f t="shared" si="17"/>
        <v/>
      </c>
      <c r="V154" s="71"/>
      <c r="W154" s="499" t="str">
        <f>IF(V154="","",IF(VLOOKUP(V154,'G-7 Rivers Data'!$AA$4:$AB$7,2,FALSE)=0,"Spatial Data Missing ⚠",VLOOKUP(V154,'G-7 Rivers Data'!$AA$4:$AB$7,2,FALSE)))</f>
        <v/>
      </c>
      <c r="X154" s="155"/>
      <c r="Y154" s="499" t="str">
        <f>IF(X154="","",IF(VLOOKUP(X154,'G-7 Rivers Data'!$AD$4:$AE$8,2,FALSE)=0,"Enrcoachment Data Missing ⚠",VLOOKUP(X154,'G-7 Rivers Data'!$AD$4:$AE$8,2,FALSE)))</f>
        <v/>
      </c>
      <c r="Z154" s="565" t="str">
        <f t="shared" si="18"/>
        <v/>
      </c>
      <c r="AA154" s="149"/>
      <c r="AB154" s="150"/>
      <c r="AH154" s="31" t="str">
        <f>IFERROR(INDEX('G-7 Rivers Data'!$AZ$3:$AZ$7,MATCH(C154,'G-7 Rivers Data'!$AY$3:$AY$7,0)),"")</f>
        <v/>
      </c>
    </row>
    <row r="155" spans="2:34" ht="13.8" x14ac:dyDescent="0.25">
      <c r="B155" s="141">
        <v>144</v>
      </c>
      <c r="C155" s="171"/>
      <c r="D155" s="172"/>
      <c r="E155" s="498" t="str">
        <f>IF(C155="","",VLOOKUP(C155,'G-7 Rivers Data'!$B$2:$G$8,2,FALSE))</f>
        <v/>
      </c>
      <c r="F155" s="499" t="str">
        <f>IFERROR(VLOOKUP(E155,'G-7 Rivers Data'!$C$4:$D$8,2,FALSE),"")</f>
        <v/>
      </c>
      <c r="G155" s="145"/>
      <c r="H155" s="499" t="str">
        <f>IFERROR(INDEX('G-7 Rivers Data'!$H$4:$L$8,MATCH(C155,'G-7 Rivers Data'!$B$4:$B$8,0),MATCH(G155,'G-7 Rivers Data'!$H$3:$L$3,0)),"")</f>
        <v/>
      </c>
      <c r="I155" s="154"/>
      <c r="J155" s="507" t="str">
        <f>IF(I155="","",IF(VLOOKUP(I155,'G-7 Rivers Data'!$AG$4:$AI$9,2,FALSE)=0,"Spatial Data Missing ⚠",VLOOKUP(I155,'G-7 Rivers Data'!$AG$4:$AI$9,2,FALSE)))</f>
        <v/>
      </c>
      <c r="K155" s="499" t="str">
        <f>IF(I155="","",IF(VLOOKUP(I155,'G-7 Rivers Data'!$AG$4:$AI$9,3,FALSE)=0,"Spatial Data Missing ⚠",VLOOKUP(I155,'G-7 Rivers Data'!$AG$4:$AI$9,3,FALSE)))</f>
        <v/>
      </c>
      <c r="L155" s="498" t="str">
        <f>IFERROR(INDEX('G-7 Rivers Data'!$O$3:$O$7,MATCH(G155,'G-7 Rivers Data'!$N$3:$N$7,0)),"")</f>
        <v/>
      </c>
      <c r="M155" s="82"/>
      <c r="N155" s="195"/>
      <c r="O155" s="507" t="str">
        <f t="shared" si="13"/>
        <v/>
      </c>
      <c r="P155" s="521" t="str">
        <f t="shared" si="14"/>
        <v/>
      </c>
      <c r="Q155" s="564" t="str">
        <f>IFERROR(IF(P155="Check Data ⚠","Check Data ⚠",VLOOKUP(P155,'G-4 Temporal multipliers'!$A$4:$C$37,3,FALSE)),"")</f>
        <v/>
      </c>
      <c r="R155" s="498" t="str">
        <f>IF(C155="","",VLOOKUP(C155,'G-7 Rivers Data'!$B$4:$G$8,4,FALSE))</f>
        <v/>
      </c>
      <c r="S155" s="507" t="str">
        <f t="shared" si="15"/>
        <v/>
      </c>
      <c r="T155" s="540" t="str">
        <f t="shared" si="16"/>
        <v/>
      </c>
      <c r="U155" s="499" t="str">
        <f t="shared" si="17"/>
        <v/>
      </c>
      <c r="V155" s="71"/>
      <c r="W155" s="499" t="str">
        <f>IF(V155="","",IF(VLOOKUP(V155,'G-7 Rivers Data'!$AA$4:$AB$7,2,FALSE)=0,"Spatial Data Missing ⚠",VLOOKUP(V155,'G-7 Rivers Data'!$AA$4:$AB$7,2,FALSE)))</f>
        <v/>
      </c>
      <c r="X155" s="155"/>
      <c r="Y155" s="499" t="str">
        <f>IF(X155="","",IF(VLOOKUP(X155,'G-7 Rivers Data'!$AD$4:$AE$8,2,FALSE)=0,"Enrcoachment Data Missing ⚠",VLOOKUP(X155,'G-7 Rivers Data'!$AD$4:$AE$8,2,FALSE)))</f>
        <v/>
      </c>
      <c r="Z155" s="565" t="str">
        <f t="shared" si="18"/>
        <v/>
      </c>
      <c r="AA155" s="149"/>
      <c r="AB155" s="150"/>
      <c r="AH155" s="31" t="str">
        <f>IFERROR(INDEX('G-7 Rivers Data'!$AZ$3:$AZ$7,MATCH(C155,'G-7 Rivers Data'!$AY$3:$AY$7,0)),"")</f>
        <v/>
      </c>
    </row>
    <row r="156" spans="2:34" ht="13.8" x14ac:dyDescent="0.25">
      <c r="B156" s="141">
        <v>145</v>
      </c>
      <c r="C156" s="171"/>
      <c r="D156" s="172"/>
      <c r="E156" s="498" t="str">
        <f>IF(C156="","",VLOOKUP(C156,'G-7 Rivers Data'!$B$2:$G$8,2,FALSE))</f>
        <v/>
      </c>
      <c r="F156" s="499" t="str">
        <f>IFERROR(VLOOKUP(E156,'G-7 Rivers Data'!$C$4:$D$8,2,FALSE),"")</f>
        <v/>
      </c>
      <c r="G156" s="145"/>
      <c r="H156" s="499" t="str">
        <f>IFERROR(INDEX('G-7 Rivers Data'!$H$4:$L$8,MATCH(C156,'G-7 Rivers Data'!$B$4:$B$8,0),MATCH(G156,'G-7 Rivers Data'!$H$3:$L$3,0)),"")</f>
        <v/>
      </c>
      <c r="I156" s="154"/>
      <c r="J156" s="507" t="str">
        <f>IF(I156="","",IF(VLOOKUP(I156,'G-7 Rivers Data'!$AG$4:$AI$9,2,FALSE)=0,"Spatial Data Missing ⚠",VLOOKUP(I156,'G-7 Rivers Data'!$AG$4:$AI$9,2,FALSE)))</f>
        <v/>
      </c>
      <c r="K156" s="499" t="str">
        <f>IF(I156="","",IF(VLOOKUP(I156,'G-7 Rivers Data'!$AG$4:$AI$9,3,FALSE)=0,"Spatial Data Missing ⚠",VLOOKUP(I156,'G-7 Rivers Data'!$AG$4:$AI$9,3,FALSE)))</f>
        <v/>
      </c>
      <c r="L156" s="498" t="str">
        <f>IFERROR(INDEX('G-7 Rivers Data'!$O$3:$O$7,MATCH(G156,'G-7 Rivers Data'!$N$3:$N$7,0)),"")</f>
        <v/>
      </c>
      <c r="M156" s="82"/>
      <c r="N156" s="195"/>
      <c r="O156" s="507" t="str">
        <f t="shared" si="13"/>
        <v/>
      </c>
      <c r="P156" s="521" t="str">
        <f t="shared" si="14"/>
        <v/>
      </c>
      <c r="Q156" s="564" t="str">
        <f>IFERROR(IF(P156="Check Data ⚠","Check Data ⚠",VLOOKUP(P156,'G-4 Temporal multipliers'!$A$4:$C$37,3,FALSE)),"")</f>
        <v/>
      </c>
      <c r="R156" s="498" t="str">
        <f>IF(C156="","",VLOOKUP(C156,'G-7 Rivers Data'!$B$4:$G$8,4,FALSE))</f>
        <v/>
      </c>
      <c r="S156" s="507" t="str">
        <f t="shared" si="15"/>
        <v/>
      </c>
      <c r="T156" s="540" t="str">
        <f t="shared" si="16"/>
        <v/>
      </c>
      <c r="U156" s="499" t="str">
        <f t="shared" si="17"/>
        <v/>
      </c>
      <c r="V156" s="71"/>
      <c r="W156" s="499" t="str">
        <f>IF(V156="","",IF(VLOOKUP(V156,'G-7 Rivers Data'!$AA$4:$AB$7,2,FALSE)=0,"Spatial Data Missing ⚠",VLOOKUP(V156,'G-7 Rivers Data'!$AA$4:$AB$7,2,FALSE)))</f>
        <v/>
      </c>
      <c r="X156" s="155"/>
      <c r="Y156" s="499" t="str">
        <f>IF(X156="","",IF(VLOOKUP(X156,'G-7 Rivers Data'!$AD$4:$AE$8,2,FALSE)=0,"Enrcoachment Data Missing ⚠",VLOOKUP(X156,'G-7 Rivers Data'!$AD$4:$AE$8,2,FALSE)))</f>
        <v/>
      </c>
      <c r="Z156" s="565" t="str">
        <f t="shared" si="18"/>
        <v/>
      </c>
      <c r="AA156" s="149"/>
      <c r="AB156" s="150"/>
      <c r="AH156" s="31" t="str">
        <f>IFERROR(INDEX('G-7 Rivers Data'!$AZ$3:$AZ$7,MATCH(C156,'G-7 Rivers Data'!$AY$3:$AY$7,0)),"")</f>
        <v/>
      </c>
    </row>
    <row r="157" spans="2:34" ht="13.8" x14ac:dyDescent="0.25">
      <c r="B157" s="141">
        <v>146</v>
      </c>
      <c r="C157" s="171"/>
      <c r="D157" s="172"/>
      <c r="E157" s="498" t="str">
        <f>IF(C157="","",VLOOKUP(C157,'G-7 Rivers Data'!$B$2:$G$8,2,FALSE))</f>
        <v/>
      </c>
      <c r="F157" s="499" t="str">
        <f>IFERROR(VLOOKUP(E157,'G-7 Rivers Data'!$C$4:$D$8,2,FALSE),"")</f>
        <v/>
      </c>
      <c r="G157" s="145"/>
      <c r="H157" s="499" t="str">
        <f>IFERROR(INDEX('G-7 Rivers Data'!$H$4:$L$8,MATCH(C157,'G-7 Rivers Data'!$B$4:$B$8,0),MATCH(G157,'G-7 Rivers Data'!$H$3:$L$3,0)),"")</f>
        <v/>
      </c>
      <c r="I157" s="154"/>
      <c r="J157" s="507" t="str">
        <f>IF(I157="","",IF(VLOOKUP(I157,'G-7 Rivers Data'!$AG$4:$AI$9,2,FALSE)=0,"Spatial Data Missing ⚠",VLOOKUP(I157,'G-7 Rivers Data'!$AG$4:$AI$9,2,FALSE)))</f>
        <v/>
      </c>
      <c r="K157" s="499" t="str">
        <f>IF(I157="","",IF(VLOOKUP(I157,'G-7 Rivers Data'!$AG$4:$AI$9,3,FALSE)=0,"Spatial Data Missing ⚠",VLOOKUP(I157,'G-7 Rivers Data'!$AG$4:$AI$9,3,FALSE)))</f>
        <v/>
      </c>
      <c r="L157" s="498" t="str">
        <f>IFERROR(INDEX('G-7 Rivers Data'!$O$3:$O$7,MATCH(G157,'G-7 Rivers Data'!$N$3:$N$7,0)),"")</f>
        <v/>
      </c>
      <c r="M157" s="82"/>
      <c r="N157" s="195"/>
      <c r="O157" s="507" t="str">
        <f t="shared" si="13"/>
        <v/>
      </c>
      <c r="P157" s="521" t="str">
        <f t="shared" si="14"/>
        <v/>
      </c>
      <c r="Q157" s="564" t="str">
        <f>IFERROR(IF(P157="Check Data ⚠","Check Data ⚠",VLOOKUP(P157,'G-4 Temporal multipliers'!$A$4:$C$37,3,FALSE)),"")</f>
        <v/>
      </c>
      <c r="R157" s="498" t="str">
        <f>IF(C157="","",VLOOKUP(C157,'G-7 Rivers Data'!$B$4:$G$8,4,FALSE))</f>
        <v/>
      </c>
      <c r="S157" s="507" t="str">
        <f t="shared" si="15"/>
        <v/>
      </c>
      <c r="T157" s="540" t="str">
        <f t="shared" si="16"/>
        <v/>
      </c>
      <c r="U157" s="499" t="str">
        <f t="shared" si="17"/>
        <v/>
      </c>
      <c r="V157" s="71"/>
      <c r="W157" s="499" t="str">
        <f>IF(V157="","",IF(VLOOKUP(V157,'G-7 Rivers Data'!$AA$4:$AB$7,2,FALSE)=0,"Spatial Data Missing ⚠",VLOOKUP(V157,'G-7 Rivers Data'!$AA$4:$AB$7,2,FALSE)))</f>
        <v/>
      </c>
      <c r="X157" s="155"/>
      <c r="Y157" s="499" t="str">
        <f>IF(X157="","",IF(VLOOKUP(X157,'G-7 Rivers Data'!$AD$4:$AE$8,2,FALSE)=0,"Enrcoachment Data Missing ⚠",VLOOKUP(X157,'G-7 Rivers Data'!$AD$4:$AE$8,2,FALSE)))</f>
        <v/>
      </c>
      <c r="Z157" s="565" t="str">
        <f t="shared" si="18"/>
        <v/>
      </c>
      <c r="AA157" s="149"/>
      <c r="AB157" s="150"/>
      <c r="AH157" s="31" t="str">
        <f>IFERROR(INDEX('G-7 Rivers Data'!$AZ$3:$AZ$7,MATCH(C157,'G-7 Rivers Data'!$AY$3:$AY$7,0)),"")</f>
        <v/>
      </c>
    </row>
    <row r="158" spans="2:34" ht="13.8" x14ac:dyDescent="0.25">
      <c r="B158" s="141">
        <v>147</v>
      </c>
      <c r="C158" s="171"/>
      <c r="D158" s="172"/>
      <c r="E158" s="498" t="str">
        <f>IF(C158="","",VLOOKUP(C158,'G-7 Rivers Data'!$B$2:$G$8,2,FALSE))</f>
        <v/>
      </c>
      <c r="F158" s="499" t="str">
        <f>IFERROR(VLOOKUP(E158,'G-7 Rivers Data'!$C$4:$D$8,2,FALSE),"")</f>
        <v/>
      </c>
      <c r="G158" s="145"/>
      <c r="H158" s="499" t="str">
        <f>IFERROR(INDEX('G-7 Rivers Data'!$H$4:$L$8,MATCH(C158,'G-7 Rivers Data'!$B$4:$B$8,0),MATCH(G158,'G-7 Rivers Data'!$H$3:$L$3,0)),"")</f>
        <v/>
      </c>
      <c r="I158" s="154"/>
      <c r="J158" s="507" t="str">
        <f>IF(I158="","",IF(VLOOKUP(I158,'G-7 Rivers Data'!$AG$4:$AI$9,2,FALSE)=0,"Spatial Data Missing ⚠",VLOOKUP(I158,'G-7 Rivers Data'!$AG$4:$AI$9,2,FALSE)))</f>
        <v/>
      </c>
      <c r="K158" s="499" t="str">
        <f>IF(I158="","",IF(VLOOKUP(I158,'G-7 Rivers Data'!$AG$4:$AI$9,3,FALSE)=0,"Spatial Data Missing ⚠",VLOOKUP(I158,'G-7 Rivers Data'!$AG$4:$AI$9,3,FALSE)))</f>
        <v/>
      </c>
      <c r="L158" s="498" t="str">
        <f>IFERROR(INDEX('G-7 Rivers Data'!$O$3:$O$7,MATCH(G158,'G-7 Rivers Data'!$N$3:$N$7,0)),"")</f>
        <v/>
      </c>
      <c r="M158" s="82"/>
      <c r="N158" s="195"/>
      <c r="O158" s="507" t="str">
        <f t="shared" si="13"/>
        <v/>
      </c>
      <c r="P158" s="521" t="str">
        <f t="shared" si="14"/>
        <v/>
      </c>
      <c r="Q158" s="564" t="str">
        <f>IFERROR(IF(P158="Check Data ⚠","Check Data ⚠",VLOOKUP(P158,'G-4 Temporal multipliers'!$A$4:$C$37,3,FALSE)),"")</f>
        <v/>
      </c>
      <c r="R158" s="498" t="str">
        <f>IF(C158="","",VLOOKUP(C158,'G-7 Rivers Data'!$B$4:$G$8,4,FALSE))</f>
        <v/>
      </c>
      <c r="S158" s="507" t="str">
        <f t="shared" si="15"/>
        <v/>
      </c>
      <c r="T158" s="540" t="str">
        <f t="shared" si="16"/>
        <v/>
      </c>
      <c r="U158" s="499" t="str">
        <f t="shared" si="17"/>
        <v/>
      </c>
      <c r="V158" s="71"/>
      <c r="W158" s="499" t="str">
        <f>IF(V158="","",IF(VLOOKUP(V158,'G-7 Rivers Data'!$AA$4:$AB$7,2,FALSE)=0,"Spatial Data Missing ⚠",VLOOKUP(V158,'G-7 Rivers Data'!$AA$4:$AB$7,2,FALSE)))</f>
        <v/>
      </c>
      <c r="X158" s="155"/>
      <c r="Y158" s="499" t="str">
        <f>IF(X158="","",IF(VLOOKUP(X158,'G-7 Rivers Data'!$AD$4:$AE$8,2,FALSE)=0,"Enrcoachment Data Missing ⚠",VLOOKUP(X158,'G-7 Rivers Data'!$AD$4:$AE$8,2,FALSE)))</f>
        <v/>
      </c>
      <c r="Z158" s="565" t="str">
        <f t="shared" si="18"/>
        <v/>
      </c>
      <c r="AA158" s="149"/>
      <c r="AB158" s="150"/>
      <c r="AH158" s="31" t="str">
        <f>IFERROR(INDEX('G-7 Rivers Data'!$AZ$3:$AZ$7,MATCH(C158,'G-7 Rivers Data'!$AY$3:$AY$7,0)),"")</f>
        <v/>
      </c>
    </row>
    <row r="159" spans="2:34" ht="13.8" x14ac:dyDescent="0.25">
      <c r="B159" s="141">
        <v>148</v>
      </c>
      <c r="C159" s="171"/>
      <c r="D159" s="172"/>
      <c r="E159" s="498" t="str">
        <f>IF(C159="","",VLOOKUP(C159,'G-7 Rivers Data'!$B$2:$G$8,2,FALSE))</f>
        <v/>
      </c>
      <c r="F159" s="499" t="str">
        <f>IFERROR(VLOOKUP(E159,'G-7 Rivers Data'!$C$4:$D$8,2,FALSE),"")</f>
        <v/>
      </c>
      <c r="G159" s="145"/>
      <c r="H159" s="499" t="str">
        <f>IFERROR(INDEX('G-7 Rivers Data'!$H$4:$L$8,MATCH(C159,'G-7 Rivers Data'!$B$4:$B$8,0),MATCH(G159,'G-7 Rivers Data'!$H$3:$L$3,0)),"")</f>
        <v/>
      </c>
      <c r="I159" s="154"/>
      <c r="J159" s="507" t="str">
        <f>IF(I159="","",IF(VLOOKUP(I159,'G-7 Rivers Data'!$AG$4:$AI$9,2,FALSE)=0,"Spatial Data Missing ⚠",VLOOKUP(I159,'G-7 Rivers Data'!$AG$4:$AI$9,2,FALSE)))</f>
        <v/>
      </c>
      <c r="K159" s="499" t="str">
        <f>IF(I159="","",IF(VLOOKUP(I159,'G-7 Rivers Data'!$AG$4:$AI$9,3,FALSE)=0,"Spatial Data Missing ⚠",VLOOKUP(I159,'G-7 Rivers Data'!$AG$4:$AI$9,3,FALSE)))</f>
        <v/>
      </c>
      <c r="L159" s="498" t="str">
        <f>IFERROR(INDEX('G-7 Rivers Data'!$O$3:$O$7,MATCH(G159,'G-7 Rivers Data'!$N$3:$N$7,0)),"")</f>
        <v/>
      </c>
      <c r="M159" s="82"/>
      <c r="N159" s="195"/>
      <c r="O159" s="507" t="str">
        <f t="shared" si="13"/>
        <v/>
      </c>
      <c r="P159" s="521" t="str">
        <f t="shared" si="14"/>
        <v/>
      </c>
      <c r="Q159" s="564" t="str">
        <f>IFERROR(IF(P159="Check Data ⚠","Check Data ⚠",VLOOKUP(P159,'G-4 Temporal multipliers'!$A$4:$C$37,3,FALSE)),"")</f>
        <v/>
      </c>
      <c r="R159" s="498" t="str">
        <f>IF(C159="","",VLOOKUP(C159,'G-7 Rivers Data'!$B$4:$G$8,4,FALSE))</f>
        <v/>
      </c>
      <c r="S159" s="507" t="str">
        <f t="shared" si="15"/>
        <v/>
      </c>
      <c r="T159" s="540" t="str">
        <f t="shared" si="16"/>
        <v/>
      </c>
      <c r="U159" s="499" t="str">
        <f t="shared" si="17"/>
        <v/>
      </c>
      <c r="V159" s="71"/>
      <c r="W159" s="499" t="str">
        <f>IF(V159="","",IF(VLOOKUP(V159,'G-7 Rivers Data'!$AA$4:$AB$7,2,FALSE)=0,"Spatial Data Missing ⚠",VLOOKUP(V159,'G-7 Rivers Data'!$AA$4:$AB$7,2,FALSE)))</f>
        <v/>
      </c>
      <c r="X159" s="155"/>
      <c r="Y159" s="499" t="str">
        <f>IF(X159="","",IF(VLOOKUP(X159,'G-7 Rivers Data'!$AD$4:$AE$8,2,FALSE)=0,"Enrcoachment Data Missing ⚠",VLOOKUP(X159,'G-7 Rivers Data'!$AD$4:$AE$8,2,FALSE)))</f>
        <v/>
      </c>
      <c r="Z159" s="565" t="str">
        <f t="shared" si="18"/>
        <v/>
      </c>
      <c r="AA159" s="149"/>
      <c r="AB159" s="150"/>
      <c r="AH159" s="31" t="str">
        <f>IFERROR(INDEX('G-7 Rivers Data'!$AZ$3:$AZ$7,MATCH(C159,'G-7 Rivers Data'!$AY$3:$AY$7,0)),"")</f>
        <v/>
      </c>
    </row>
    <row r="160" spans="2:34" ht="13.8" x14ac:dyDescent="0.25">
      <c r="B160" s="141">
        <v>149</v>
      </c>
      <c r="C160" s="171"/>
      <c r="D160" s="172"/>
      <c r="E160" s="498" t="str">
        <f>IF(C160="","",VLOOKUP(C160,'G-7 Rivers Data'!$B$2:$G$8,2,FALSE))</f>
        <v/>
      </c>
      <c r="F160" s="499" t="str">
        <f>IFERROR(VLOOKUP(E160,'G-7 Rivers Data'!$C$4:$D$8,2,FALSE),"")</f>
        <v/>
      </c>
      <c r="G160" s="145"/>
      <c r="H160" s="499" t="str">
        <f>IFERROR(INDEX('G-7 Rivers Data'!$H$4:$L$8,MATCH(C160,'G-7 Rivers Data'!$B$4:$B$8,0),MATCH(G160,'G-7 Rivers Data'!$H$3:$L$3,0)),"")</f>
        <v/>
      </c>
      <c r="I160" s="154"/>
      <c r="J160" s="507" t="str">
        <f>IF(I160="","",IF(VLOOKUP(I160,'G-7 Rivers Data'!$AG$4:$AI$9,2,FALSE)=0,"Spatial Data Missing ⚠",VLOOKUP(I160,'G-7 Rivers Data'!$AG$4:$AI$9,2,FALSE)))</f>
        <v/>
      </c>
      <c r="K160" s="499" t="str">
        <f>IF(I160="","",IF(VLOOKUP(I160,'G-7 Rivers Data'!$AG$4:$AI$9,3,FALSE)=0,"Spatial Data Missing ⚠",VLOOKUP(I160,'G-7 Rivers Data'!$AG$4:$AI$9,3,FALSE)))</f>
        <v/>
      </c>
      <c r="L160" s="498" t="str">
        <f>IFERROR(INDEX('G-7 Rivers Data'!$O$3:$O$7,MATCH(G160,'G-7 Rivers Data'!$N$3:$N$7,0)),"")</f>
        <v/>
      </c>
      <c r="M160" s="82"/>
      <c r="N160" s="195"/>
      <c r="O160" s="507" t="str">
        <f t="shared" si="13"/>
        <v/>
      </c>
      <c r="P160" s="521" t="str">
        <f t="shared" si="14"/>
        <v/>
      </c>
      <c r="Q160" s="564" t="str">
        <f>IFERROR(IF(P160="Check Data ⚠","Check Data ⚠",VLOOKUP(P160,'G-4 Temporal multipliers'!$A$4:$C$37,3,FALSE)),"")</f>
        <v/>
      </c>
      <c r="R160" s="498" t="str">
        <f>IF(C160="","",VLOOKUP(C160,'G-7 Rivers Data'!$B$4:$G$8,4,FALSE))</f>
        <v/>
      </c>
      <c r="S160" s="507" t="str">
        <f t="shared" si="15"/>
        <v/>
      </c>
      <c r="T160" s="540" t="str">
        <f t="shared" si="16"/>
        <v/>
      </c>
      <c r="U160" s="499" t="str">
        <f t="shared" si="17"/>
        <v/>
      </c>
      <c r="V160" s="71"/>
      <c r="W160" s="499" t="str">
        <f>IF(V160="","",IF(VLOOKUP(V160,'G-7 Rivers Data'!$AA$4:$AB$7,2,FALSE)=0,"Spatial Data Missing ⚠",VLOOKUP(V160,'G-7 Rivers Data'!$AA$4:$AB$7,2,FALSE)))</f>
        <v/>
      </c>
      <c r="X160" s="155"/>
      <c r="Y160" s="499" t="str">
        <f>IF(X160="","",IF(VLOOKUP(X160,'G-7 Rivers Data'!$AD$4:$AE$8,2,FALSE)=0,"Enrcoachment Data Missing ⚠",VLOOKUP(X160,'G-7 Rivers Data'!$AD$4:$AE$8,2,FALSE)))</f>
        <v/>
      </c>
      <c r="Z160" s="565" t="str">
        <f t="shared" si="18"/>
        <v/>
      </c>
      <c r="AA160" s="149"/>
      <c r="AB160" s="150"/>
      <c r="AH160" s="31" t="str">
        <f>IFERROR(INDEX('G-7 Rivers Data'!$AZ$3:$AZ$7,MATCH(C160,'G-7 Rivers Data'!$AY$3:$AY$7,0)),"")</f>
        <v/>
      </c>
    </row>
    <row r="161" spans="2:34" ht="13.8" x14ac:dyDescent="0.25">
      <c r="B161" s="141">
        <v>150</v>
      </c>
      <c r="C161" s="171"/>
      <c r="D161" s="172"/>
      <c r="E161" s="498" t="str">
        <f>IF(C161="","",VLOOKUP(C161,'G-7 Rivers Data'!$B$2:$G$8,2,FALSE))</f>
        <v/>
      </c>
      <c r="F161" s="499" t="str">
        <f>IFERROR(VLOOKUP(E161,'G-7 Rivers Data'!$C$4:$D$8,2,FALSE),"")</f>
        <v/>
      </c>
      <c r="G161" s="145"/>
      <c r="H161" s="499" t="str">
        <f>IFERROR(INDEX('G-7 Rivers Data'!$H$4:$L$8,MATCH(C161,'G-7 Rivers Data'!$B$4:$B$8,0),MATCH(G161,'G-7 Rivers Data'!$H$3:$L$3,0)),"")</f>
        <v/>
      </c>
      <c r="I161" s="154"/>
      <c r="J161" s="507" t="str">
        <f>IF(I161="","",IF(VLOOKUP(I161,'G-7 Rivers Data'!$AG$4:$AI$9,2,FALSE)=0,"Spatial Data Missing ⚠",VLOOKUP(I161,'G-7 Rivers Data'!$AG$4:$AI$9,2,FALSE)))</f>
        <v/>
      </c>
      <c r="K161" s="499" t="str">
        <f>IF(I161="","",IF(VLOOKUP(I161,'G-7 Rivers Data'!$AG$4:$AI$9,3,FALSE)=0,"Spatial Data Missing ⚠",VLOOKUP(I161,'G-7 Rivers Data'!$AG$4:$AI$9,3,FALSE)))</f>
        <v/>
      </c>
      <c r="L161" s="498" t="str">
        <f>IFERROR(INDEX('G-7 Rivers Data'!$O$3:$O$7,MATCH(G161,'G-7 Rivers Data'!$N$3:$N$7,0)),"")</f>
        <v/>
      </c>
      <c r="M161" s="82"/>
      <c r="N161" s="195"/>
      <c r="O161" s="507" t="str">
        <f t="shared" si="13"/>
        <v/>
      </c>
      <c r="P161" s="521" t="str">
        <f t="shared" si="14"/>
        <v/>
      </c>
      <c r="Q161" s="564" t="str">
        <f>IFERROR(IF(P161="Check Data ⚠","Check Data ⚠",VLOOKUP(P161,'G-4 Temporal multipliers'!$A$4:$C$37,3,FALSE)),"")</f>
        <v/>
      </c>
      <c r="R161" s="498" t="str">
        <f>IF(C161="","",VLOOKUP(C161,'G-7 Rivers Data'!$B$4:$G$8,4,FALSE))</f>
        <v/>
      </c>
      <c r="S161" s="507" t="str">
        <f t="shared" si="15"/>
        <v/>
      </c>
      <c r="T161" s="540" t="str">
        <f t="shared" si="16"/>
        <v/>
      </c>
      <c r="U161" s="499" t="str">
        <f t="shared" si="17"/>
        <v/>
      </c>
      <c r="V161" s="71"/>
      <c r="W161" s="499" t="str">
        <f>IF(V161="","",IF(VLOOKUP(V161,'G-7 Rivers Data'!$AA$4:$AB$7,2,FALSE)=0,"Spatial Data Missing ⚠",VLOOKUP(V161,'G-7 Rivers Data'!$AA$4:$AB$7,2,FALSE)))</f>
        <v/>
      </c>
      <c r="X161" s="155"/>
      <c r="Y161" s="499" t="str">
        <f>IF(X161="","",IF(VLOOKUP(X161,'G-7 Rivers Data'!$AD$4:$AE$8,2,FALSE)=0,"Enrcoachment Data Missing ⚠",VLOOKUP(X161,'G-7 Rivers Data'!$AD$4:$AE$8,2,FALSE)))</f>
        <v/>
      </c>
      <c r="Z161" s="565" t="str">
        <f t="shared" si="18"/>
        <v/>
      </c>
      <c r="AA161" s="149"/>
      <c r="AB161" s="150"/>
      <c r="AH161" s="31" t="str">
        <f>IFERROR(INDEX('G-7 Rivers Data'!$AZ$3:$AZ$7,MATCH(C161,'G-7 Rivers Data'!$AY$3:$AY$7,0)),"")</f>
        <v/>
      </c>
    </row>
    <row r="162" spans="2:34" ht="13.8" x14ac:dyDescent="0.25">
      <c r="B162" s="141">
        <v>151</v>
      </c>
      <c r="C162" s="171"/>
      <c r="D162" s="172"/>
      <c r="E162" s="498" t="str">
        <f>IF(C162="","",VLOOKUP(C162,'G-7 Rivers Data'!$B$2:$G$8,2,FALSE))</f>
        <v/>
      </c>
      <c r="F162" s="499" t="str">
        <f>IFERROR(VLOOKUP(E162,'G-7 Rivers Data'!$C$4:$D$8,2,FALSE),"")</f>
        <v/>
      </c>
      <c r="G162" s="145"/>
      <c r="H162" s="499" t="str">
        <f>IFERROR(INDEX('G-7 Rivers Data'!$H$4:$L$8,MATCH(C162,'G-7 Rivers Data'!$B$4:$B$8,0),MATCH(G162,'G-7 Rivers Data'!$H$3:$L$3,0)),"")</f>
        <v/>
      </c>
      <c r="I162" s="154"/>
      <c r="J162" s="507" t="str">
        <f>IF(I162="","",IF(VLOOKUP(I162,'G-7 Rivers Data'!$AG$4:$AI$9,2,FALSE)=0,"Spatial Data Missing ⚠",VLOOKUP(I162,'G-7 Rivers Data'!$AG$4:$AI$9,2,FALSE)))</f>
        <v/>
      </c>
      <c r="K162" s="499" t="str">
        <f>IF(I162="","",IF(VLOOKUP(I162,'G-7 Rivers Data'!$AG$4:$AI$9,3,FALSE)=0,"Spatial Data Missing ⚠",VLOOKUP(I162,'G-7 Rivers Data'!$AG$4:$AI$9,3,FALSE)))</f>
        <v/>
      </c>
      <c r="L162" s="498" t="str">
        <f>IFERROR(INDEX('G-7 Rivers Data'!$O$3:$O$7,MATCH(G162,'G-7 Rivers Data'!$N$3:$N$7,0)),"")</f>
        <v/>
      </c>
      <c r="M162" s="82"/>
      <c r="N162" s="195"/>
      <c r="O162" s="507" t="str">
        <f t="shared" si="13"/>
        <v/>
      </c>
      <c r="P162" s="521" t="str">
        <f t="shared" si="14"/>
        <v/>
      </c>
      <c r="Q162" s="564" t="str">
        <f>IFERROR(IF(P162="Check Data ⚠","Check Data ⚠",VLOOKUP(P162,'G-4 Temporal multipliers'!$A$4:$C$37,3,FALSE)),"")</f>
        <v/>
      </c>
      <c r="R162" s="498" t="str">
        <f>IF(C162="","",VLOOKUP(C162,'G-7 Rivers Data'!$B$4:$G$8,4,FALSE))</f>
        <v/>
      </c>
      <c r="S162" s="507" t="str">
        <f t="shared" si="15"/>
        <v/>
      </c>
      <c r="T162" s="540" t="str">
        <f t="shared" si="16"/>
        <v/>
      </c>
      <c r="U162" s="499" t="str">
        <f t="shared" si="17"/>
        <v/>
      </c>
      <c r="V162" s="71"/>
      <c r="W162" s="499" t="str">
        <f>IF(V162="","",IF(VLOOKUP(V162,'G-7 Rivers Data'!$AA$4:$AB$7,2,FALSE)=0,"Spatial Data Missing ⚠",VLOOKUP(V162,'G-7 Rivers Data'!$AA$4:$AB$7,2,FALSE)))</f>
        <v/>
      </c>
      <c r="X162" s="155"/>
      <c r="Y162" s="499" t="str">
        <f>IF(X162="","",IF(VLOOKUP(X162,'G-7 Rivers Data'!$AD$4:$AE$8,2,FALSE)=0,"Enrcoachment Data Missing ⚠",VLOOKUP(X162,'G-7 Rivers Data'!$AD$4:$AE$8,2,FALSE)))</f>
        <v/>
      </c>
      <c r="Z162" s="565" t="str">
        <f t="shared" si="18"/>
        <v/>
      </c>
      <c r="AA162" s="149"/>
      <c r="AB162" s="150"/>
      <c r="AH162" s="31" t="str">
        <f>IFERROR(INDEX('G-7 Rivers Data'!$AZ$3:$AZ$7,MATCH(C162,'G-7 Rivers Data'!$AY$3:$AY$7,0)),"")</f>
        <v/>
      </c>
    </row>
    <row r="163" spans="2:34" ht="13.8" x14ac:dyDescent="0.25">
      <c r="B163" s="141">
        <v>152</v>
      </c>
      <c r="C163" s="171"/>
      <c r="D163" s="172"/>
      <c r="E163" s="498" t="str">
        <f>IF(C163="","",VLOOKUP(C163,'G-7 Rivers Data'!$B$2:$G$8,2,FALSE))</f>
        <v/>
      </c>
      <c r="F163" s="499" t="str">
        <f>IFERROR(VLOOKUP(E163,'G-7 Rivers Data'!$C$4:$D$8,2,FALSE),"")</f>
        <v/>
      </c>
      <c r="G163" s="145"/>
      <c r="H163" s="499" t="str">
        <f>IFERROR(INDEX('G-7 Rivers Data'!$H$4:$L$8,MATCH(C163,'G-7 Rivers Data'!$B$4:$B$8,0),MATCH(G163,'G-7 Rivers Data'!$H$3:$L$3,0)),"")</f>
        <v/>
      </c>
      <c r="I163" s="154"/>
      <c r="J163" s="507" t="str">
        <f>IF(I163="","",IF(VLOOKUP(I163,'G-7 Rivers Data'!$AG$4:$AI$9,2,FALSE)=0,"Spatial Data Missing ⚠",VLOOKUP(I163,'G-7 Rivers Data'!$AG$4:$AI$9,2,FALSE)))</f>
        <v/>
      </c>
      <c r="K163" s="499" t="str">
        <f>IF(I163="","",IF(VLOOKUP(I163,'G-7 Rivers Data'!$AG$4:$AI$9,3,FALSE)=0,"Spatial Data Missing ⚠",VLOOKUP(I163,'G-7 Rivers Data'!$AG$4:$AI$9,3,FALSE)))</f>
        <v/>
      </c>
      <c r="L163" s="498" t="str">
        <f>IFERROR(INDEX('G-7 Rivers Data'!$O$3:$O$7,MATCH(G163,'G-7 Rivers Data'!$N$3:$N$7,0)),"")</f>
        <v/>
      </c>
      <c r="M163" s="82"/>
      <c r="N163" s="195"/>
      <c r="O163" s="507" t="str">
        <f t="shared" si="13"/>
        <v/>
      </c>
      <c r="P163" s="521" t="str">
        <f t="shared" si="14"/>
        <v/>
      </c>
      <c r="Q163" s="564" t="str">
        <f>IFERROR(IF(P163="Check Data ⚠","Check Data ⚠",VLOOKUP(P163,'G-4 Temporal multipliers'!$A$4:$C$37,3,FALSE)),"")</f>
        <v/>
      </c>
      <c r="R163" s="498" t="str">
        <f>IF(C163="","",VLOOKUP(C163,'G-7 Rivers Data'!$B$4:$G$8,4,FALSE))</f>
        <v/>
      </c>
      <c r="S163" s="507" t="str">
        <f t="shared" si="15"/>
        <v/>
      </c>
      <c r="T163" s="540" t="str">
        <f t="shared" si="16"/>
        <v/>
      </c>
      <c r="U163" s="499" t="str">
        <f t="shared" si="17"/>
        <v/>
      </c>
      <c r="V163" s="71"/>
      <c r="W163" s="499" t="str">
        <f>IF(V163="","",IF(VLOOKUP(V163,'G-7 Rivers Data'!$AA$4:$AB$7,2,FALSE)=0,"Spatial Data Missing ⚠",VLOOKUP(V163,'G-7 Rivers Data'!$AA$4:$AB$7,2,FALSE)))</f>
        <v/>
      </c>
      <c r="X163" s="155"/>
      <c r="Y163" s="499" t="str">
        <f>IF(X163="","",IF(VLOOKUP(X163,'G-7 Rivers Data'!$AD$4:$AE$8,2,FALSE)=0,"Enrcoachment Data Missing ⚠",VLOOKUP(X163,'G-7 Rivers Data'!$AD$4:$AE$8,2,FALSE)))</f>
        <v/>
      </c>
      <c r="Z163" s="565" t="str">
        <f t="shared" si="18"/>
        <v/>
      </c>
      <c r="AA163" s="149"/>
      <c r="AB163" s="150"/>
      <c r="AH163" s="31" t="str">
        <f>IFERROR(INDEX('G-7 Rivers Data'!$AZ$3:$AZ$7,MATCH(C163,'G-7 Rivers Data'!$AY$3:$AY$7,0)),"")</f>
        <v/>
      </c>
    </row>
    <row r="164" spans="2:34" ht="13.8" x14ac:dyDescent="0.25">
      <c r="B164" s="141">
        <v>153</v>
      </c>
      <c r="C164" s="171"/>
      <c r="D164" s="172"/>
      <c r="E164" s="498" t="str">
        <f>IF(C164="","",VLOOKUP(C164,'G-7 Rivers Data'!$B$2:$G$8,2,FALSE))</f>
        <v/>
      </c>
      <c r="F164" s="499" t="str">
        <f>IFERROR(VLOOKUP(E164,'G-7 Rivers Data'!$C$4:$D$8,2,FALSE),"")</f>
        <v/>
      </c>
      <c r="G164" s="145"/>
      <c r="H164" s="499" t="str">
        <f>IFERROR(INDEX('G-7 Rivers Data'!$H$4:$L$8,MATCH(C164,'G-7 Rivers Data'!$B$4:$B$8,0),MATCH(G164,'G-7 Rivers Data'!$H$3:$L$3,0)),"")</f>
        <v/>
      </c>
      <c r="I164" s="154"/>
      <c r="J164" s="507" t="str">
        <f>IF(I164="","",IF(VLOOKUP(I164,'G-7 Rivers Data'!$AG$4:$AI$9,2,FALSE)=0,"Spatial Data Missing ⚠",VLOOKUP(I164,'G-7 Rivers Data'!$AG$4:$AI$9,2,FALSE)))</f>
        <v/>
      </c>
      <c r="K164" s="499" t="str">
        <f>IF(I164="","",IF(VLOOKUP(I164,'G-7 Rivers Data'!$AG$4:$AI$9,3,FALSE)=0,"Spatial Data Missing ⚠",VLOOKUP(I164,'G-7 Rivers Data'!$AG$4:$AI$9,3,FALSE)))</f>
        <v/>
      </c>
      <c r="L164" s="498" t="str">
        <f>IFERROR(INDEX('G-7 Rivers Data'!$O$3:$O$7,MATCH(G164,'G-7 Rivers Data'!$N$3:$N$7,0)),"")</f>
        <v/>
      </c>
      <c r="M164" s="82"/>
      <c r="N164" s="195"/>
      <c r="O164" s="507" t="str">
        <f t="shared" si="13"/>
        <v/>
      </c>
      <c r="P164" s="521" t="str">
        <f t="shared" si="14"/>
        <v/>
      </c>
      <c r="Q164" s="564" t="str">
        <f>IFERROR(IF(P164="Check Data ⚠","Check Data ⚠",VLOOKUP(P164,'G-4 Temporal multipliers'!$A$4:$C$37,3,FALSE)),"")</f>
        <v/>
      </c>
      <c r="R164" s="498" t="str">
        <f>IF(C164="","",VLOOKUP(C164,'G-7 Rivers Data'!$B$4:$G$8,4,FALSE))</f>
        <v/>
      </c>
      <c r="S164" s="507" t="str">
        <f t="shared" si="15"/>
        <v/>
      </c>
      <c r="T164" s="540" t="str">
        <f t="shared" si="16"/>
        <v/>
      </c>
      <c r="U164" s="499" t="str">
        <f t="shared" si="17"/>
        <v/>
      </c>
      <c r="V164" s="71"/>
      <c r="W164" s="499" t="str">
        <f>IF(V164="","",IF(VLOOKUP(V164,'G-7 Rivers Data'!$AA$4:$AB$7,2,FALSE)=0,"Spatial Data Missing ⚠",VLOOKUP(V164,'G-7 Rivers Data'!$AA$4:$AB$7,2,FALSE)))</f>
        <v/>
      </c>
      <c r="X164" s="155"/>
      <c r="Y164" s="499" t="str">
        <f>IF(X164="","",IF(VLOOKUP(X164,'G-7 Rivers Data'!$AD$4:$AE$8,2,FALSE)=0,"Enrcoachment Data Missing ⚠",VLOOKUP(X164,'G-7 Rivers Data'!$AD$4:$AE$8,2,FALSE)))</f>
        <v/>
      </c>
      <c r="Z164" s="565" t="str">
        <f t="shared" si="18"/>
        <v/>
      </c>
      <c r="AA164" s="149"/>
      <c r="AB164" s="150"/>
      <c r="AH164" s="31" t="str">
        <f>IFERROR(INDEX('G-7 Rivers Data'!$AZ$3:$AZ$7,MATCH(C164,'G-7 Rivers Data'!$AY$3:$AY$7,0)),"")</f>
        <v/>
      </c>
    </row>
    <row r="165" spans="2:34" ht="13.8" x14ac:dyDescent="0.25">
      <c r="B165" s="141">
        <v>154</v>
      </c>
      <c r="C165" s="171"/>
      <c r="D165" s="172"/>
      <c r="E165" s="498" t="str">
        <f>IF(C165="","",VLOOKUP(C165,'G-7 Rivers Data'!$B$2:$G$8,2,FALSE))</f>
        <v/>
      </c>
      <c r="F165" s="499" t="str">
        <f>IFERROR(VLOOKUP(E165,'G-7 Rivers Data'!$C$4:$D$8,2,FALSE),"")</f>
        <v/>
      </c>
      <c r="G165" s="145"/>
      <c r="H165" s="499" t="str">
        <f>IFERROR(INDEX('G-7 Rivers Data'!$H$4:$L$8,MATCH(C165,'G-7 Rivers Data'!$B$4:$B$8,0),MATCH(G165,'G-7 Rivers Data'!$H$3:$L$3,0)),"")</f>
        <v/>
      </c>
      <c r="I165" s="154"/>
      <c r="J165" s="507" t="str">
        <f>IF(I165="","",IF(VLOOKUP(I165,'G-7 Rivers Data'!$AG$4:$AI$9,2,FALSE)=0,"Spatial Data Missing ⚠",VLOOKUP(I165,'G-7 Rivers Data'!$AG$4:$AI$9,2,FALSE)))</f>
        <v/>
      </c>
      <c r="K165" s="499" t="str">
        <f>IF(I165="","",IF(VLOOKUP(I165,'G-7 Rivers Data'!$AG$4:$AI$9,3,FALSE)=0,"Spatial Data Missing ⚠",VLOOKUP(I165,'G-7 Rivers Data'!$AG$4:$AI$9,3,FALSE)))</f>
        <v/>
      </c>
      <c r="L165" s="498" t="str">
        <f>IFERROR(INDEX('G-7 Rivers Data'!$O$3:$O$7,MATCH(G165,'G-7 Rivers Data'!$N$3:$N$7,0)),"")</f>
        <v/>
      </c>
      <c r="M165" s="82"/>
      <c r="N165" s="195"/>
      <c r="O165" s="507" t="str">
        <f t="shared" si="13"/>
        <v/>
      </c>
      <c r="P165" s="521" t="str">
        <f t="shared" si="14"/>
        <v/>
      </c>
      <c r="Q165" s="564" t="str">
        <f>IFERROR(IF(P165="Check Data ⚠","Check Data ⚠",VLOOKUP(P165,'G-4 Temporal multipliers'!$A$4:$C$37,3,FALSE)),"")</f>
        <v/>
      </c>
      <c r="R165" s="498" t="str">
        <f>IF(C165="","",VLOOKUP(C165,'G-7 Rivers Data'!$B$4:$G$8,4,FALSE))</f>
        <v/>
      </c>
      <c r="S165" s="507" t="str">
        <f t="shared" si="15"/>
        <v/>
      </c>
      <c r="T165" s="540" t="str">
        <f t="shared" si="16"/>
        <v/>
      </c>
      <c r="U165" s="499" t="str">
        <f t="shared" si="17"/>
        <v/>
      </c>
      <c r="V165" s="71"/>
      <c r="W165" s="499" t="str">
        <f>IF(V165="","",IF(VLOOKUP(V165,'G-7 Rivers Data'!$AA$4:$AB$7,2,FALSE)=0,"Spatial Data Missing ⚠",VLOOKUP(V165,'G-7 Rivers Data'!$AA$4:$AB$7,2,FALSE)))</f>
        <v/>
      </c>
      <c r="X165" s="155"/>
      <c r="Y165" s="499" t="str">
        <f>IF(X165="","",IF(VLOOKUP(X165,'G-7 Rivers Data'!$AD$4:$AE$8,2,FALSE)=0,"Enrcoachment Data Missing ⚠",VLOOKUP(X165,'G-7 Rivers Data'!$AD$4:$AE$8,2,FALSE)))</f>
        <v/>
      </c>
      <c r="Z165" s="565" t="str">
        <f t="shared" si="18"/>
        <v/>
      </c>
      <c r="AA165" s="149"/>
      <c r="AB165" s="150"/>
      <c r="AH165" s="31" t="str">
        <f>IFERROR(INDEX('G-7 Rivers Data'!$AZ$3:$AZ$7,MATCH(C165,'G-7 Rivers Data'!$AY$3:$AY$7,0)),"")</f>
        <v/>
      </c>
    </row>
    <row r="166" spans="2:34" ht="13.8" x14ac:dyDescent="0.25">
      <c r="B166" s="141">
        <v>155</v>
      </c>
      <c r="C166" s="171"/>
      <c r="D166" s="172"/>
      <c r="E166" s="498" t="str">
        <f>IF(C166="","",VLOOKUP(C166,'G-7 Rivers Data'!$B$2:$G$8,2,FALSE))</f>
        <v/>
      </c>
      <c r="F166" s="499" t="str">
        <f>IFERROR(VLOOKUP(E166,'G-7 Rivers Data'!$C$4:$D$8,2,FALSE),"")</f>
        <v/>
      </c>
      <c r="G166" s="145"/>
      <c r="H166" s="499" t="str">
        <f>IFERROR(INDEX('G-7 Rivers Data'!$H$4:$L$8,MATCH(C166,'G-7 Rivers Data'!$B$4:$B$8,0),MATCH(G166,'G-7 Rivers Data'!$H$3:$L$3,0)),"")</f>
        <v/>
      </c>
      <c r="I166" s="154"/>
      <c r="J166" s="507" t="str">
        <f>IF(I166="","",IF(VLOOKUP(I166,'G-7 Rivers Data'!$AG$4:$AI$9,2,FALSE)=0,"Spatial Data Missing ⚠",VLOOKUP(I166,'G-7 Rivers Data'!$AG$4:$AI$9,2,FALSE)))</f>
        <v/>
      </c>
      <c r="K166" s="499" t="str">
        <f>IF(I166="","",IF(VLOOKUP(I166,'G-7 Rivers Data'!$AG$4:$AI$9,3,FALSE)=0,"Spatial Data Missing ⚠",VLOOKUP(I166,'G-7 Rivers Data'!$AG$4:$AI$9,3,FALSE)))</f>
        <v/>
      </c>
      <c r="L166" s="498" t="str">
        <f>IFERROR(INDEX('G-7 Rivers Data'!$O$3:$O$7,MATCH(G166,'G-7 Rivers Data'!$N$3:$N$7,0)),"")</f>
        <v/>
      </c>
      <c r="M166" s="82"/>
      <c r="N166" s="195"/>
      <c r="O166" s="507" t="str">
        <f t="shared" si="13"/>
        <v/>
      </c>
      <c r="P166" s="521" t="str">
        <f t="shared" si="14"/>
        <v/>
      </c>
      <c r="Q166" s="564" t="str">
        <f>IFERROR(IF(P166="Check Data ⚠","Check Data ⚠",VLOOKUP(P166,'G-4 Temporal multipliers'!$A$4:$C$37,3,FALSE)),"")</f>
        <v/>
      </c>
      <c r="R166" s="498" t="str">
        <f>IF(C166="","",VLOOKUP(C166,'G-7 Rivers Data'!$B$4:$G$8,4,FALSE))</f>
        <v/>
      </c>
      <c r="S166" s="507" t="str">
        <f t="shared" si="15"/>
        <v/>
      </c>
      <c r="T166" s="540" t="str">
        <f t="shared" si="16"/>
        <v/>
      </c>
      <c r="U166" s="499" t="str">
        <f t="shared" si="17"/>
        <v/>
      </c>
      <c r="V166" s="71"/>
      <c r="W166" s="499" t="str">
        <f>IF(V166="","",IF(VLOOKUP(V166,'G-7 Rivers Data'!$AA$4:$AB$7,2,FALSE)=0,"Spatial Data Missing ⚠",VLOOKUP(V166,'G-7 Rivers Data'!$AA$4:$AB$7,2,FALSE)))</f>
        <v/>
      </c>
      <c r="X166" s="155"/>
      <c r="Y166" s="499" t="str">
        <f>IF(X166="","",IF(VLOOKUP(X166,'G-7 Rivers Data'!$AD$4:$AE$8,2,FALSE)=0,"Enrcoachment Data Missing ⚠",VLOOKUP(X166,'G-7 Rivers Data'!$AD$4:$AE$8,2,FALSE)))</f>
        <v/>
      </c>
      <c r="Z166" s="565" t="str">
        <f t="shared" si="18"/>
        <v/>
      </c>
      <c r="AA166" s="149"/>
      <c r="AB166" s="150"/>
      <c r="AH166" s="31" t="str">
        <f>IFERROR(INDEX('G-7 Rivers Data'!$AZ$3:$AZ$7,MATCH(C166,'G-7 Rivers Data'!$AY$3:$AY$7,0)),"")</f>
        <v/>
      </c>
    </row>
    <row r="167" spans="2:34" ht="13.8" x14ac:dyDescent="0.25">
      <c r="B167" s="141">
        <v>156</v>
      </c>
      <c r="C167" s="171"/>
      <c r="D167" s="172"/>
      <c r="E167" s="498" t="str">
        <f>IF(C167="","",VLOOKUP(C167,'G-7 Rivers Data'!$B$2:$G$8,2,FALSE))</f>
        <v/>
      </c>
      <c r="F167" s="499" t="str">
        <f>IFERROR(VLOOKUP(E167,'G-7 Rivers Data'!$C$4:$D$8,2,FALSE),"")</f>
        <v/>
      </c>
      <c r="G167" s="145"/>
      <c r="H167" s="499" t="str">
        <f>IFERROR(INDEX('G-7 Rivers Data'!$H$4:$L$8,MATCH(C167,'G-7 Rivers Data'!$B$4:$B$8,0),MATCH(G167,'G-7 Rivers Data'!$H$3:$L$3,0)),"")</f>
        <v/>
      </c>
      <c r="I167" s="154"/>
      <c r="J167" s="507" t="str">
        <f>IF(I167="","",IF(VLOOKUP(I167,'G-7 Rivers Data'!$AG$4:$AI$9,2,FALSE)=0,"Spatial Data Missing ⚠",VLOOKUP(I167,'G-7 Rivers Data'!$AG$4:$AI$9,2,FALSE)))</f>
        <v/>
      </c>
      <c r="K167" s="499" t="str">
        <f>IF(I167="","",IF(VLOOKUP(I167,'G-7 Rivers Data'!$AG$4:$AI$9,3,FALSE)=0,"Spatial Data Missing ⚠",VLOOKUP(I167,'G-7 Rivers Data'!$AG$4:$AI$9,3,FALSE)))</f>
        <v/>
      </c>
      <c r="L167" s="498" t="str">
        <f>IFERROR(INDEX('G-7 Rivers Data'!$O$3:$O$7,MATCH(G167,'G-7 Rivers Data'!$N$3:$N$7,0)),"")</f>
        <v/>
      </c>
      <c r="M167" s="82"/>
      <c r="N167" s="195"/>
      <c r="O167" s="507" t="str">
        <f t="shared" si="13"/>
        <v/>
      </c>
      <c r="P167" s="521" t="str">
        <f t="shared" si="14"/>
        <v/>
      </c>
      <c r="Q167" s="564" t="str">
        <f>IFERROR(IF(P167="Check Data ⚠","Check Data ⚠",VLOOKUP(P167,'G-4 Temporal multipliers'!$A$4:$C$37,3,FALSE)),"")</f>
        <v/>
      </c>
      <c r="R167" s="498" t="str">
        <f>IF(C167="","",VLOOKUP(C167,'G-7 Rivers Data'!$B$4:$G$8,4,FALSE))</f>
        <v/>
      </c>
      <c r="S167" s="507" t="str">
        <f t="shared" si="15"/>
        <v/>
      </c>
      <c r="T167" s="540" t="str">
        <f t="shared" si="16"/>
        <v/>
      </c>
      <c r="U167" s="499" t="str">
        <f t="shared" si="17"/>
        <v/>
      </c>
      <c r="V167" s="71"/>
      <c r="W167" s="499" t="str">
        <f>IF(V167="","",IF(VLOOKUP(V167,'G-7 Rivers Data'!$AA$4:$AB$7,2,FALSE)=0,"Spatial Data Missing ⚠",VLOOKUP(V167,'G-7 Rivers Data'!$AA$4:$AB$7,2,FALSE)))</f>
        <v/>
      </c>
      <c r="X167" s="155"/>
      <c r="Y167" s="499" t="str">
        <f>IF(X167="","",IF(VLOOKUP(X167,'G-7 Rivers Data'!$AD$4:$AE$8,2,FALSE)=0,"Enrcoachment Data Missing ⚠",VLOOKUP(X167,'G-7 Rivers Data'!$AD$4:$AE$8,2,FALSE)))</f>
        <v/>
      </c>
      <c r="Z167" s="565" t="str">
        <f t="shared" si="18"/>
        <v/>
      </c>
      <c r="AA167" s="149"/>
      <c r="AB167" s="150"/>
      <c r="AH167" s="31" t="str">
        <f>IFERROR(INDEX('G-7 Rivers Data'!$AZ$3:$AZ$7,MATCH(C167,'G-7 Rivers Data'!$AY$3:$AY$7,0)),"")</f>
        <v/>
      </c>
    </row>
    <row r="168" spans="2:34" ht="13.8" x14ac:dyDescent="0.25">
      <c r="B168" s="141">
        <v>157</v>
      </c>
      <c r="C168" s="171"/>
      <c r="D168" s="172"/>
      <c r="E168" s="498" t="str">
        <f>IF(C168="","",VLOOKUP(C168,'G-7 Rivers Data'!$B$2:$G$8,2,FALSE))</f>
        <v/>
      </c>
      <c r="F168" s="499" t="str">
        <f>IFERROR(VLOOKUP(E168,'G-7 Rivers Data'!$C$4:$D$8,2,FALSE),"")</f>
        <v/>
      </c>
      <c r="G168" s="145"/>
      <c r="H168" s="499" t="str">
        <f>IFERROR(INDEX('G-7 Rivers Data'!$H$4:$L$8,MATCH(C168,'G-7 Rivers Data'!$B$4:$B$8,0),MATCH(G168,'G-7 Rivers Data'!$H$3:$L$3,0)),"")</f>
        <v/>
      </c>
      <c r="I168" s="154"/>
      <c r="J168" s="507" t="str">
        <f>IF(I168="","",IF(VLOOKUP(I168,'G-7 Rivers Data'!$AG$4:$AI$9,2,FALSE)=0,"Spatial Data Missing ⚠",VLOOKUP(I168,'G-7 Rivers Data'!$AG$4:$AI$9,2,FALSE)))</f>
        <v/>
      </c>
      <c r="K168" s="499" t="str">
        <f>IF(I168="","",IF(VLOOKUP(I168,'G-7 Rivers Data'!$AG$4:$AI$9,3,FALSE)=0,"Spatial Data Missing ⚠",VLOOKUP(I168,'G-7 Rivers Data'!$AG$4:$AI$9,3,FALSE)))</f>
        <v/>
      </c>
      <c r="L168" s="498" t="str">
        <f>IFERROR(INDEX('G-7 Rivers Data'!$O$3:$O$7,MATCH(G168,'G-7 Rivers Data'!$N$3:$N$7,0)),"")</f>
        <v/>
      </c>
      <c r="M168" s="82"/>
      <c r="N168" s="195"/>
      <c r="O168" s="507" t="str">
        <f t="shared" si="13"/>
        <v/>
      </c>
      <c r="P168" s="521" t="str">
        <f t="shared" si="14"/>
        <v/>
      </c>
      <c r="Q168" s="564" t="str">
        <f>IFERROR(IF(P168="Check Data ⚠","Check Data ⚠",VLOOKUP(P168,'G-4 Temporal multipliers'!$A$4:$C$37,3,FALSE)),"")</f>
        <v/>
      </c>
      <c r="R168" s="498" t="str">
        <f>IF(C168="","",VLOOKUP(C168,'G-7 Rivers Data'!$B$4:$G$8,4,FALSE))</f>
        <v/>
      </c>
      <c r="S168" s="507" t="str">
        <f t="shared" si="15"/>
        <v/>
      </c>
      <c r="T168" s="540" t="str">
        <f t="shared" si="16"/>
        <v/>
      </c>
      <c r="U168" s="499" t="str">
        <f t="shared" si="17"/>
        <v/>
      </c>
      <c r="V168" s="71"/>
      <c r="W168" s="499" t="str">
        <f>IF(V168="","",IF(VLOOKUP(V168,'G-7 Rivers Data'!$AA$4:$AB$7,2,FALSE)=0,"Spatial Data Missing ⚠",VLOOKUP(V168,'G-7 Rivers Data'!$AA$4:$AB$7,2,FALSE)))</f>
        <v/>
      </c>
      <c r="X168" s="155"/>
      <c r="Y168" s="499" t="str">
        <f>IF(X168="","",IF(VLOOKUP(X168,'G-7 Rivers Data'!$AD$4:$AE$8,2,FALSE)=0,"Enrcoachment Data Missing ⚠",VLOOKUP(X168,'G-7 Rivers Data'!$AD$4:$AE$8,2,FALSE)))</f>
        <v/>
      </c>
      <c r="Z168" s="565" t="str">
        <f t="shared" si="18"/>
        <v/>
      </c>
      <c r="AA168" s="149"/>
      <c r="AB168" s="150"/>
      <c r="AH168" s="31" t="str">
        <f>IFERROR(INDEX('G-7 Rivers Data'!$AZ$3:$AZ$7,MATCH(C168,'G-7 Rivers Data'!$AY$3:$AY$7,0)),"")</f>
        <v/>
      </c>
    </row>
    <row r="169" spans="2:34" ht="13.8" x14ac:dyDescent="0.25">
      <c r="B169" s="141">
        <v>158</v>
      </c>
      <c r="C169" s="171"/>
      <c r="D169" s="172"/>
      <c r="E169" s="498" t="str">
        <f>IF(C169="","",VLOOKUP(C169,'G-7 Rivers Data'!$B$2:$G$8,2,FALSE))</f>
        <v/>
      </c>
      <c r="F169" s="499" t="str">
        <f>IFERROR(VLOOKUP(E169,'G-7 Rivers Data'!$C$4:$D$8,2,FALSE),"")</f>
        <v/>
      </c>
      <c r="G169" s="145"/>
      <c r="H169" s="499" t="str">
        <f>IFERROR(INDEX('G-7 Rivers Data'!$H$4:$L$8,MATCH(C169,'G-7 Rivers Data'!$B$4:$B$8,0),MATCH(G169,'G-7 Rivers Data'!$H$3:$L$3,0)),"")</f>
        <v/>
      </c>
      <c r="I169" s="154"/>
      <c r="J169" s="507" t="str">
        <f>IF(I169="","",IF(VLOOKUP(I169,'G-7 Rivers Data'!$AG$4:$AI$9,2,FALSE)=0,"Spatial Data Missing ⚠",VLOOKUP(I169,'G-7 Rivers Data'!$AG$4:$AI$9,2,FALSE)))</f>
        <v/>
      </c>
      <c r="K169" s="499" t="str">
        <f>IF(I169="","",IF(VLOOKUP(I169,'G-7 Rivers Data'!$AG$4:$AI$9,3,FALSE)=0,"Spatial Data Missing ⚠",VLOOKUP(I169,'G-7 Rivers Data'!$AG$4:$AI$9,3,FALSE)))</f>
        <v/>
      </c>
      <c r="L169" s="498" t="str">
        <f>IFERROR(INDEX('G-7 Rivers Data'!$O$3:$O$7,MATCH(G169,'G-7 Rivers Data'!$N$3:$N$7,0)),"")</f>
        <v/>
      </c>
      <c r="M169" s="82"/>
      <c r="N169" s="195"/>
      <c r="O169" s="507" t="str">
        <f t="shared" si="13"/>
        <v/>
      </c>
      <c r="P169" s="521" t="str">
        <f t="shared" si="14"/>
        <v/>
      </c>
      <c r="Q169" s="564" t="str">
        <f>IFERROR(IF(P169="Check Data ⚠","Check Data ⚠",VLOOKUP(P169,'G-4 Temporal multipliers'!$A$4:$C$37,3,FALSE)),"")</f>
        <v/>
      </c>
      <c r="R169" s="498" t="str">
        <f>IF(C169="","",VLOOKUP(C169,'G-7 Rivers Data'!$B$4:$G$8,4,FALSE))</f>
        <v/>
      </c>
      <c r="S169" s="507" t="str">
        <f t="shared" si="15"/>
        <v/>
      </c>
      <c r="T169" s="540" t="str">
        <f t="shared" si="16"/>
        <v/>
      </c>
      <c r="U169" s="499" t="str">
        <f t="shared" si="17"/>
        <v/>
      </c>
      <c r="V169" s="71"/>
      <c r="W169" s="499" t="str">
        <f>IF(V169="","",IF(VLOOKUP(V169,'G-7 Rivers Data'!$AA$4:$AB$7,2,FALSE)=0,"Spatial Data Missing ⚠",VLOOKUP(V169,'G-7 Rivers Data'!$AA$4:$AB$7,2,FALSE)))</f>
        <v/>
      </c>
      <c r="X169" s="155"/>
      <c r="Y169" s="499" t="str">
        <f>IF(X169="","",IF(VLOOKUP(X169,'G-7 Rivers Data'!$AD$4:$AE$8,2,FALSE)=0,"Enrcoachment Data Missing ⚠",VLOOKUP(X169,'G-7 Rivers Data'!$AD$4:$AE$8,2,FALSE)))</f>
        <v/>
      </c>
      <c r="Z169" s="565" t="str">
        <f t="shared" si="18"/>
        <v/>
      </c>
      <c r="AA169" s="149"/>
      <c r="AB169" s="150"/>
      <c r="AH169" s="31" t="str">
        <f>IFERROR(INDEX('G-7 Rivers Data'!$AZ$3:$AZ$7,MATCH(C169,'G-7 Rivers Data'!$AY$3:$AY$7,0)),"")</f>
        <v/>
      </c>
    </row>
    <row r="170" spans="2:34" ht="13.8" x14ac:dyDescent="0.25">
      <c r="B170" s="141">
        <v>159</v>
      </c>
      <c r="C170" s="171"/>
      <c r="D170" s="172"/>
      <c r="E170" s="498" t="str">
        <f>IF(C170="","",VLOOKUP(C170,'G-7 Rivers Data'!$B$2:$G$8,2,FALSE))</f>
        <v/>
      </c>
      <c r="F170" s="499" t="str">
        <f>IFERROR(VLOOKUP(E170,'G-7 Rivers Data'!$C$4:$D$8,2,FALSE),"")</f>
        <v/>
      </c>
      <c r="G170" s="145"/>
      <c r="H170" s="499" t="str">
        <f>IFERROR(INDEX('G-7 Rivers Data'!$H$4:$L$8,MATCH(C170,'G-7 Rivers Data'!$B$4:$B$8,0),MATCH(G170,'G-7 Rivers Data'!$H$3:$L$3,0)),"")</f>
        <v/>
      </c>
      <c r="I170" s="154"/>
      <c r="J170" s="507" t="str">
        <f>IF(I170="","",IF(VLOOKUP(I170,'G-7 Rivers Data'!$AG$4:$AI$9,2,FALSE)=0,"Spatial Data Missing ⚠",VLOOKUP(I170,'G-7 Rivers Data'!$AG$4:$AI$9,2,FALSE)))</f>
        <v/>
      </c>
      <c r="K170" s="499" t="str">
        <f>IF(I170="","",IF(VLOOKUP(I170,'G-7 Rivers Data'!$AG$4:$AI$9,3,FALSE)=0,"Spatial Data Missing ⚠",VLOOKUP(I170,'G-7 Rivers Data'!$AG$4:$AI$9,3,FALSE)))</f>
        <v/>
      </c>
      <c r="L170" s="498" t="str">
        <f>IFERROR(INDEX('G-7 Rivers Data'!$O$3:$O$7,MATCH(G170,'G-7 Rivers Data'!$N$3:$N$7,0)),"")</f>
        <v/>
      </c>
      <c r="M170" s="82"/>
      <c r="N170" s="195"/>
      <c r="O170" s="507" t="str">
        <f t="shared" si="13"/>
        <v/>
      </c>
      <c r="P170" s="521" t="str">
        <f t="shared" si="14"/>
        <v/>
      </c>
      <c r="Q170" s="564" t="str">
        <f>IFERROR(IF(P170="Check Data ⚠","Check Data ⚠",VLOOKUP(P170,'G-4 Temporal multipliers'!$A$4:$C$37,3,FALSE)),"")</f>
        <v/>
      </c>
      <c r="R170" s="498" t="str">
        <f>IF(C170="","",VLOOKUP(C170,'G-7 Rivers Data'!$B$4:$G$8,4,FALSE))</f>
        <v/>
      </c>
      <c r="S170" s="507" t="str">
        <f t="shared" si="15"/>
        <v/>
      </c>
      <c r="T170" s="540" t="str">
        <f t="shared" si="16"/>
        <v/>
      </c>
      <c r="U170" s="499" t="str">
        <f t="shared" si="17"/>
        <v/>
      </c>
      <c r="V170" s="71"/>
      <c r="W170" s="499" t="str">
        <f>IF(V170="","",IF(VLOOKUP(V170,'G-7 Rivers Data'!$AA$4:$AB$7,2,FALSE)=0,"Spatial Data Missing ⚠",VLOOKUP(V170,'G-7 Rivers Data'!$AA$4:$AB$7,2,FALSE)))</f>
        <v/>
      </c>
      <c r="X170" s="155"/>
      <c r="Y170" s="499" t="str">
        <f>IF(X170="","",IF(VLOOKUP(X170,'G-7 Rivers Data'!$AD$4:$AE$8,2,FALSE)=0,"Enrcoachment Data Missing ⚠",VLOOKUP(X170,'G-7 Rivers Data'!$AD$4:$AE$8,2,FALSE)))</f>
        <v/>
      </c>
      <c r="Z170" s="565" t="str">
        <f t="shared" si="18"/>
        <v/>
      </c>
      <c r="AA170" s="149"/>
      <c r="AB170" s="150"/>
      <c r="AH170" s="31" t="str">
        <f>IFERROR(INDEX('G-7 Rivers Data'!$AZ$3:$AZ$7,MATCH(C170,'G-7 Rivers Data'!$AY$3:$AY$7,0)),"")</f>
        <v/>
      </c>
    </row>
    <row r="171" spans="2:34" ht="13.8" x14ac:dyDescent="0.25">
      <c r="B171" s="141">
        <v>160</v>
      </c>
      <c r="C171" s="171"/>
      <c r="D171" s="172"/>
      <c r="E171" s="498" t="str">
        <f>IF(C171="","",VLOOKUP(C171,'G-7 Rivers Data'!$B$2:$G$8,2,FALSE))</f>
        <v/>
      </c>
      <c r="F171" s="499" t="str">
        <f>IFERROR(VLOOKUP(E171,'G-7 Rivers Data'!$C$4:$D$8,2,FALSE),"")</f>
        <v/>
      </c>
      <c r="G171" s="145"/>
      <c r="H171" s="499" t="str">
        <f>IFERROR(INDEX('G-7 Rivers Data'!$H$4:$L$8,MATCH(C171,'G-7 Rivers Data'!$B$4:$B$8,0),MATCH(G171,'G-7 Rivers Data'!$H$3:$L$3,0)),"")</f>
        <v/>
      </c>
      <c r="I171" s="154"/>
      <c r="J171" s="507" t="str">
        <f>IF(I171="","",IF(VLOOKUP(I171,'G-7 Rivers Data'!$AG$4:$AI$9,2,FALSE)=0,"Spatial Data Missing ⚠",VLOOKUP(I171,'G-7 Rivers Data'!$AG$4:$AI$9,2,FALSE)))</f>
        <v/>
      </c>
      <c r="K171" s="499" t="str">
        <f>IF(I171="","",IF(VLOOKUP(I171,'G-7 Rivers Data'!$AG$4:$AI$9,3,FALSE)=0,"Spatial Data Missing ⚠",VLOOKUP(I171,'G-7 Rivers Data'!$AG$4:$AI$9,3,FALSE)))</f>
        <v/>
      </c>
      <c r="L171" s="498" t="str">
        <f>IFERROR(INDEX('G-7 Rivers Data'!$O$3:$O$7,MATCH(G171,'G-7 Rivers Data'!$N$3:$N$7,0)),"")</f>
        <v/>
      </c>
      <c r="M171" s="82"/>
      <c r="N171" s="195"/>
      <c r="O171" s="507" t="str">
        <f t="shared" si="13"/>
        <v/>
      </c>
      <c r="P171" s="521" t="str">
        <f t="shared" si="14"/>
        <v/>
      </c>
      <c r="Q171" s="564" t="str">
        <f>IFERROR(IF(P171="Check Data ⚠","Check Data ⚠",VLOOKUP(P171,'G-4 Temporal multipliers'!$A$4:$C$37,3,FALSE)),"")</f>
        <v/>
      </c>
      <c r="R171" s="498" t="str">
        <f>IF(C171="","",VLOOKUP(C171,'G-7 Rivers Data'!$B$4:$G$8,4,FALSE))</f>
        <v/>
      </c>
      <c r="S171" s="507" t="str">
        <f t="shared" si="15"/>
        <v/>
      </c>
      <c r="T171" s="540" t="str">
        <f t="shared" si="16"/>
        <v/>
      </c>
      <c r="U171" s="499" t="str">
        <f t="shared" si="17"/>
        <v/>
      </c>
      <c r="V171" s="71"/>
      <c r="W171" s="499" t="str">
        <f>IF(V171="","",IF(VLOOKUP(V171,'G-7 Rivers Data'!$AA$4:$AB$7,2,FALSE)=0,"Spatial Data Missing ⚠",VLOOKUP(V171,'G-7 Rivers Data'!$AA$4:$AB$7,2,FALSE)))</f>
        <v/>
      </c>
      <c r="X171" s="155"/>
      <c r="Y171" s="499" t="str">
        <f>IF(X171="","",IF(VLOOKUP(X171,'G-7 Rivers Data'!$AD$4:$AE$8,2,FALSE)=0,"Enrcoachment Data Missing ⚠",VLOOKUP(X171,'G-7 Rivers Data'!$AD$4:$AE$8,2,FALSE)))</f>
        <v/>
      </c>
      <c r="Z171" s="565" t="str">
        <f t="shared" si="18"/>
        <v/>
      </c>
      <c r="AA171" s="149"/>
      <c r="AB171" s="150"/>
      <c r="AH171" s="31" t="str">
        <f>IFERROR(INDEX('G-7 Rivers Data'!$AZ$3:$AZ$7,MATCH(C171,'G-7 Rivers Data'!$AY$3:$AY$7,0)),"")</f>
        <v/>
      </c>
    </row>
    <row r="172" spans="2:34" ht="13.8" x14ac:dyDescent="0.25">
      <c r="B172" s="141">
        <v>161</v>
      </c>
      <c r="C172" s="171"/>
      <c r="D172" s="172"/>
      <c r="E172" s="498" t="str">
        <f>IF(C172="","",VLOOKUP(C172,'G-7 Rivers Data'!$B$2:$G$8,2,FALSE))</f>
        <v/>
      </c>
      <c r="F172" s="499" t="str">
        <f>IFERROR(VLOOKUP(E172,'G-7 Rivers Data'!$C$4:$D$8,2,FALSE),"")</f>
        <v/>
      </c>
      <c r="G172" s="145"/>
      <c r="H172" s="499" t="str">
        <f>IFERROR(INDEX('G-7 Rivers Data'!$H$4:$L$8,MATCH(C172,'G-7 Rivers Data'!$B$4:$B$8,0),MATCH(G172,'G-7 Rivers Data'!$H$3:$L$3,0)),"")</f>
        <v/>
      </c>
      <c r="I172" s="154"/>
      <c r="J172" s="507" t="str">
        <f>IF(I172="","",IF(VLOOKUP(I172,'G-7 Rivers Data'!$AG$4:$AI$9,2,FALSE)=0,"Spatial Data Missing ⚠",VLOOKUP(I172,'G-7 Rivers Data'!$AG$4:$AI$9,2,FALSE)))</f>
        <v/>
      </c>
      <c r="K172" s="499" t="str">
        <f>IF(I172="","",IF(VLOOKUP(I172,'G-7 Rivers Data'!$AG$4:$AI$9,3,FALSE)=0,"Spatial Data Missing ⚠",VLOOKUP(I172,'G-7 Rivers Data'!$AG$4:$AI$9,3,FALSE)))</f>
        <v/>
      </c>
      <c r="L172" s="498" t="str">
        <f>IFERROR(INDEX('G-7 Rivers Data'!$O$3:$O$7,MATCH(G172,'G-7 Rivers Data'!$N$3:$N$7,0)),"")</f>
        <v/>
      </c>
      <c r="M172" s="82"/>
      <c r="N172" s="195"/>
      <c r="O172" s="507" t="str">
        <f t="shared" si="13"/>
        <v/>
      </c>
      <c r="P172" s="521" t="str">
        <f t="shared" si="14"/>
        <v/>
      </c>
      <c r="Q172" s="564" t="str">
        <f>IFERROR(IF(P172="Check Data ⚠","Check Data ⚠",VLOOKUP(P172,'G-4 Temporal multipliers'!$A$4:$C$37,3,FALSE)),"")</f>
        <v/>
      </c>
      <c r="R172" s="498" t="str">
        <f>IF(C172="","",VLOOKUP(C172,'G-7 Rivers Data'!$B$4:$G$8,4,FALSE))</f>
        <v/>
      </c>
      <c r="S172" s="507" t="str">
        <f t="shared" si="15"/>
        <v/>
      </c>
      <c r="T172" s="540" t="str">
        <f t="shared" si="16"/>
        <v/>
      </c>
      <c r="U172" s="499" t="str">
        <f t="shared" si="17"/>
        <v/>
      </c>
      <c r="V172" s="71"/>
      <c r="W172" s="499" t="str">
        <f>IF(V172="","",IF(VLOOKUP(V172,'G-7 Rivers Data'!$AA$4:$AB$7,2,FALSE)=0,"Spatial Data Missing ⚠",VLOOKUP(V172,'G-7 Rivers Data'!$AA$4:$AB$7,2,FALSE)))</f>
        <v/>
      </c>
      <c r="X172" s="155"/>
      <c r="Y172" s="499" t="str">
        <f>IF(X172="","",IF(VLOOKUP(X172,'G-7 Rivers Data'!$AD$4:$AE$8,2,FALSE)=0,"Enrcoachment Data Missing ⚠",VLOOKUP(X172,'G-7 Rivers Data'!$AD$4:$AE$8,2,FALSE)))</f>
        <v/>
      </c>
      <c r="Z172" s="565" t="str">
        <f t="shared" si="18"/>
        <v/>
      </c>
      <c r="AA172" s="149"/>
      <c r="AB172" s="150"/>
      <c r="AH172" s="31" t="str">
        <f>IFERROR(INDEX('G-7 Rivers Data'!$AZ$3:$AZ$7,MATCH(C172,'G-7 Rivers Data'!$AY$3:$AY$7,0)),"")</f>
        <v/>
      </c>
    </row>
    <row r="173" spans="2:34" ht="13.8" x14ac:dyDescent="0.25">
      <c r="B173" s="141">
        <v>162</v>
      </c>
      <c r="C173" s="171"/>
      <c r="D173" s="172"/>
      <c r="E173" s="498" t="str">
        <f>IF(C173="","",VLOOKUP(C173,'G-7 Rivers Data'!$B$2:$G$8,2,FALSE))</f>
        <v/>
      </c>
      <c r="F173" s="499" t="str">
        <f>IFERROR(VLOOKUP(E173,'G-7 Rivers Data'!$C$4:$D$8,2,FALSE),"")</f>
        <v/>
      </c>
      <c r="G173" s="145"/>
      <c r="H173" s="499" t="str">
        <f>IFERROR(INDEX('G-7 Rivers Data'!$H$4:$L$8,MATCH(C173,'G-7 Rivers Data'!$B$4:$B$8,0),MATCH(G173,'G-7 Rivers Data'!$H$3:$L$3,0)),"")</f>
        <v/>
      </c>
      <c r="I173" s="154"/>
      <c r="J173" s="507" t="str">
        <f>IF(I173="","",IF(VLOOKUP(I173,'G-7 Rivers Data'!$AG$4:$AI$9,2,FALSE)=0,"Spatial Data Missing ⚠",VLOOKUP(I173,'G-7 Rivers Data'!$AG$4:$AI$9,2,FALSE)))</f>
        <v/>
      </c>
      <c r="K173" s="499" t="str">
        <f>IF(I173="","",IF(VLOOKUP(I173,'G-7 Rivers Data'!$AG$4:$AI$9,3,FALSE)=0,"Spatial Data Missing ⚠",VLOOKUP(I173,'G-7 Rivers Data'!$AG$4:$AI$9,3,FALSE)))</f>
        <v/>
      </c>
      <c r="L173" s="498" t="str">
        <f>IFERROR(INDEX('G-7 Rivers Data'!$O$3:$O$7,MATCH(G173,'G-7 Rivers Data'!$N$3:$N$7,0)),"")</f>
        <v/>
      </c>
      <c r="M173" s="82"/>
      <c r="N173" s="195"/>
      <c r="O173" s="507" t="str">
        <f t="shared" si="13"/>
        <v/>
      </c>
      <c r="P173" s="521" t="str">
        <f t="shared" si="14"/>
        <v/>
      </c>
      <c r="Q173" s="564" t="str">
        <f>IFERROR(IF(P173="Check Data ⚠","Check Data ⚠",VLOOKUP(P173,'G-4 Temporal multipliers'!$A$4:$C$37,3,FALSE)),"")</f>
        <v/>
      </c>
      <c r="R173" s="498" t="str">
        <f>IF(C173="","",VLOOKUP(C173,'G-7 Rivers Data'!$B$4:$G$8,4,FALSE))</f>
        <v/>
      </c>
      <c r="S173" s="507" t="str">
        <f t="shared" si="15"/>
        <v/>
      </c>
      <c r="T173" s="540" t="str">
        <f t="shared" si="16"/>
        <v/>
      </c>
      <c r="U173" s="499" t="str">
        <f t="shared" si="17"/>
        <v/>
      </c>
      <c r="V173" s="71"/>
      <c r="W173" s="499" t="str">
        <f>IF(V173="","",IF(VLOOKUP(V173,'G-7 Rivers Data'!$AA$4:$AB$7,2,FALSE)=0,"Spatial Data Missing ⚠",VLOOKUP(V173,'G-7 Rivers Data'!$AA$4:$AB$7,2,FALSE)))</f>
        <v/>
      </c>
      <c r="X173" s="155"/>
      <c r="Y173" s="499" t="str">
        <f>IF(X173="","",IF(VLOOKUP(X173,'G-7 Rivers Data'!$AD$4:$AE$8,2,FALSE)=0,"Enrcoachment Data Missing ⚠",VLOOKUP(X173,'G-7 Rivers Data'!$AD$4:$AE$8,2,FALSE)))</f>
        <v/>
      </c>
      <c r="Z173" s="565" t="str">
        <f t="shared" si="18"/>
        <v/>
      </c>
      <c r="AA173" s="149"/>
      <c r="AB173" s="150"/>
      <c r="AH173" s="31" t="str">
        <f>IFERROR(INDEX('G-7 Rivers Data'!$AZ$3:$AZ$7,MATCH(C173,'G-7 Rivers Data'!$AY$3:$AY$7,0)),"")</f>
        <v/>
      </c>
    </row>
    <row r="174" spans="2:34" ht="13.8" x14ac:dyDescent="0.25">
      <c r="B174" s="141">
        <v>163</v>
      </c>
      <c r="C174" s="171"/>
      <c r="D174" s="172"/>
      <c r="E174" s="498" t="str">
        <f>IF(C174="","",VLOOKUP(C174,'G-7 Rivers Data'!$B$2:$G$8,2,FALSE))</f>
        <v/>
      </c>
      <c r="F174" s="499" t="str">
        <f>IFERROR(VLOOKUP(E174,'G-7 Rivers Data'!$C$4:$D$8,2,FALSE),"")</f>
        <v/>
      </c>
      <c r="G174" s="145"/>
      <c r="H174" s="499" t="str">
        <f>IFERROR(INDEX('G-7 Rivers Data'!$H$4:$L$8,MATCH(C174,'G-7 Rivers Data'!$B$4:$B$8,0),MATCH(G174,'G-7 Rivers Data'!$H$3:$L$3,0)),"")</f>
        <v/>
      </c>
      <c r="I174" s="154"/>
      <c r="J174" s="507" t="str">
        <f>IF(I174="","",IF(VLOOKUP(I174,'G-7 Rivers Data'!$AG$4:$AI$9,2,FALSE)=0,"Spatial Data Missing ⚠",VLOOKUP(I174,'G-7 Rivers Data'!$AG$4:$AI$9,2,FALSE)))</f>
        <v/>
      </c>
      <c r="K174" s="499" t="str">
        <f>IF(I174="","",IF(VLOOKUP(I174,'G-7 Rivers Data'!$AG$4:$AI$9,3,FALSE)=0,"Spatial Data Missing ⚠",VLOOKUP(I174,'G-7 Rivers Data'!$AG$4:$AI$9,3,FALSE)))</f>
        <v/>
      </c>
      <c r="L174" s="498" t="str">
        <f>IFERROR(INDEX('G-7 Rivers Data'!$O$3:$O$7,MATCH(G174,'G-7 Rivers Data'!$N$3:$N$7,0)),"")</f>
        <v/>
      </c>
      <c r="M174" s="82"/>
      <c r="N174" s="195"/>
      <c r="O174" s="507" t="str">
        <f t="shared" si="13"/>
        <v/>
      </c>
      <c r="P174" s="521" t="str">
        <f t="shared" si="14"/>
        <v/>
      </c>
      <c r="Q174" s="564" t="str">
        <f>IFERROR(IF(P174="Check Data ⚠","Check Data ⚠",VLOOKUP(P174,'G-4 Temporal multipliers'!$A$4:$C$37,3,FALSE)),"")</f>
        <v/>
      </c>
      <c r="R174" s="498" t="str">
        <f>IF(C174="","",VLOOKUP(C174,'G-7 Rivers Data'!$B$4:$G$8,4,FALSE))</f>
        <v/>
      </c>
      <c r="S174" s="507" t="str">
        <f t="shared" si="15"/>
        <v/>
      </c>
      <c r="T174" s="540" t="str">
        <f t="shared" si="16"/>
        <v/>
      </c>
      <c r="U174" s="499" t="str">
        <f t="shared" si="17"/>
        <v/>
      </c>
      <c r="V174" s="71"/>
      <c r="W174" s="499" t="str">
        <f>IF(V174="","",IF(VLOOKUP(V174,'G-7 Rivers Data'!$AA$4:$AB$7,2,FALSE)=0,"Spatial Data Missing ⚠",VLOOKUP(V174,'G-7 Rivers Data'!$AA$4:$AB$7,2,FALSE)))</f>
        <v/>
      </c>
      <c r="X174" s="155"/>
      <c r="Y174" s="499" t="str">
        <f>IF(X174="","",IF(VLOOKUP(X174,'G-7 Rivers Data'!$AD$4:$AE$8,2,FALSE)=0,"Enrcoachment Data Missing ⚠",VLOOKUP(X174,'G-7 Rivers Data'!$AD$4:$AE$8,2,FALSE)))</f>
        <v/>
      </c>
      <c r="Z174" s="565" t="str">
        <f t="shared" si="18"/>
        <v/>
      </c>
      <c r="AA174" s="149"/>
      <c r="AB174" s="150"/>
      <c r="AH174" s="31" t="str">
        <f>IFERROR(INDEX('G-7 Rivers Data'!$AZ$3:$AZ$7,MATCH(C174,'G-7 Rivers Data'!$AY$3:$AY$7,0)),"")</f>
        <v/>
      </c>
    </row>
    <row r="175" spans="2:34" ht="13.8" x14ac:dyDescent="0.25">
      <c r="B175" s="141">
        <v>164</v>
      </c>
      <c r="C175" s="171"/>
      <c r="D175" s="172"/>
      <c r="E175" s="498" t="str">
        <f>IF(C175="","",VLOOKUP(C175,'G-7 Rivers Data'!$B$2:$G$8,2,FALSE))</f>
        <v/>
      </c>
      <c r="F175" s="499" t="str">
        <f>IFERROR(VLOOKUP(E175,'G-7 Rivers Data'!$C$4:$D$8,2,FALSE),"")</f>
        <v/>
      </c>
      <c r="G175" s="145"/>
      <c r="H175" s="499" t="str">
        <f>IFERROR(INDEX('G-7 Rivers Data'!$H$4:$L$8,MATCH(C175,'G-7 Rivers Data'!$B$4:$B$8,0),MATCH(G175,'G-7 Rivers Data'!$H$3:$L$3,0)),"")</f>
        <v/>
      </c>
      <c r="I175" s="154"/>
      <c r="J175" s="507" t="str">
        <f>IF(I175="","",IF(VLOOKUP(I175,'G-7 Rivers Data'!$AG$4:$AI$9,2,FALSE)=0,"Spatial Data Missing ⚠",VLOOKUP(I175,'G-7 Rivers Data'!$AG$4:$AI$9,2,FALSE)))</f>
        <v/>
      </c>
      <c r="K175" s="499" t="str">
        <f>IF(I175="","",IF(VLOOKUP(I175,'G-7 Rivers Data'!$AG$4:$AI$9,3,FALSE)=0,"Spatial Data Missing ⚠",VLOOKUP(I175,'G-7 Rivers Data'!$AG$4:$AI$9,3,FALSE)))</f>
        <v/>
      </c>
      <c r="L175" s="498" t="str">
        <f>IFERROR(INDEX('G-7 Rivers Data'!$O$3:$O$7,MATCH(G175,'G-7 Rivers Data'!$N$3:$N$7,0)),"")</f>
        <v/>
      </c>
      <c r="M175" s="82"/>
      <c r="N175" s="195"/>
      <c r="O175" s="507" t="str">
        <f t="shared" si="13"/>
        <v/>
      </c>
      <c r="P175" s="521" t="str">
        <f t="shared" si="14"/>
        <v/>
      </c>
      <c r="Q175" s="564" t="str">
        <f>IFERROR(IF(P175="Check Data ⚠","Check Data ⚠",VLOOKUP(P175,'G-4 Temporal multipliers'!$A$4:$C$37,3,FALSE)),"")</f>
        <v/>
      </c>
      <c r="R175" s="498" t="str">
        <f>IF(C175="","",VLOOKUP(C175,'G-7 Rivers Data'!$B$4:$G$8,4,FALSE))</f>
        <v/>
      </c>
      <c r="S175" s="507" t="str">
        <f t="shared" si="15"/>
        <v/>
      </c>
      <c r="T175" s="540" t="str">
        <f t="shared" si="16"/>
        <v/>
      </c>
      <c r="U175" s="499" t="str">
        <f t="shared" si="17"/>
        <v/>
      </c>
      <c r="V175" s="71"/>
      <c r="W175" s="499" t="str">
        <f>IF(V175="","",IF(VLOOKUP(V175,'G-7 Rivers Data'!$AA$4:$AB$7,2,FALSE)=0,"Spatial Data Missing ⚠",VLOOKUP(V175,'G-7 Rivers Data'!$AA$4:$AB$7,2,FALSE)))</f>
        <v/>
      </c>
      <c r="X175" s="155"/>
      <c r="Y175" s="499" t="str">
        <f>IF(X175="","",IF(VLOOKUP(X175,'G-7 Rivers Data'!$AD$4:$AE$8,2,FALSE)=0,"Enrcoachment Data Missing ⚠",VLOOKUP(X175,'G-7 Rivers Data'!$AD$4:$AE$8,2,FALSE)))</f>
        <v/>
      </c>
      <c r="Z175" s="565" t="str">
        <f t="shared" si="18"/>
        <v/>
      </c>
      <c r="AA175" s="149"/>
      <c r="AB175" s="150"/>
      <c r="AH175" s="31" t="str">
        <f>IFERROR(INDEX('G-7 Rivers Data'!$AZ$3:$AZ$7,MATCH(C175,'G-7 Rivers Data'!$AY$3:$AY$7,0)),"")</f>
        <v/>
      </c>
    </row>
    <row r="176" spans="2:34" ht="13.8" x14ac:dyDescent="0.25">
      <c r="B176" s="141">
        <v>165</v>
      </c>
      <c r="C176" s="171"/>
      <c r="D176" s="172"/>
      <c r="E176" s="498" t="str">
        <f>IF(C176="","",VLOOKUP(C176,'G-7 Rivers Data'!$B$2:$G$8,2,FALSE))</f>
        <v/>
      </c>
      <c r="F176" s="499" t="str">
        <f>IFERROR(VLOOKUP(E176,'G-7 Rivers Data'!$C$4:$D$8,2,FALSE),"")</f>
        <v/>
      </c>
      <c r="G176" s="145"/>
      <c r="H176" s="499" t="str">
        <f>IFERROR(INDEX('G-7 Rivers Data'!$H$4:$L$8,MATCH(C176,'G-7 Rivers Data'!$B$4:$B$8,0),MATCH(G176,'G-7 Rivers Data'!$H$3:$L$3,0)),"")</f>
        <v/>
      </c>
      <c r="I176" s="154"/>
      <c r="J176" s="507" t="str">
        <f>IF(I176="","",IF(VLOOKUP(I176,'G-7 Rivers Data'!$AG$4:$AI$9,2,FALSE)=0,"Spatial Data Missing ⚠",VLOOKUP(I176,'G-7 Rivers Data'!$AG$4:$AI$9,2,FALSE)))</f>
        <v/>
      </c>
      <c r="K176" s="499" t="str">
        <f>IF(I176="","",IF(VLOOKUP(I176,'G-7 Rivers Data'!$AG$4:$AI$9,3,FALSE)=0,"Spatial Data Missing ⚠",VLOOKUP(I176,'G-7 Rivers Data'!$AG$4:$AI$9,3,FALSE)))</f>
        <v/>
      </c>
      <c r="L176" s="498" t="str">
        <f>IFERROR(INDEX('G-7 Rivers Data'!$O$3:$O$7,MATCH(G176,'G-7 Rivers Data'!$N$3:$N$7,0)),"")</f>
        <v/>
      </c>
      <c r="M176" s="82"/>
      <c r="N176" s="195"/>
      <c r="O176" s="507" t="str">
        <f t="shared" si="13"/>
        <v/>
      </c>
      <c r="P176" s="521" t="str">
        <f t="shared" si="14"/>
        <v/>
      </c>
      <c r="Q176" s="564" t="str">
        <f>IFERROR(IF(P176="Check Data ⚠","Check Data ⚠",VLOOKUP(P176,'G-4 Temporal multipliers'!$A$4:$C$37,3,FALSE)),"")</f>
        <v/>
      </c>
      <c r="R176" s="498" t="str">
        <f>IF(C176="","",VLOOKUP(C176,'G-7 Rivers Data'!$B$4:$G$8,4,FALSE))</f>
        <v/>
      </c>
      <c r="S176" s="507" t="str">
        <f t="shared" si="15"/>
        <v/>
      </c>
      <c r="T176" s="540" t="str">
        <f t="shared" si="16"/>
        <v/>
      </c>
      <c r="U176" s="499" t="str">
        <f t="shared" si="17"/>
        <v/>
      </c>
      <c r="V176" s="71"/>
      <c r="W176" s="499" t="str">
        <f>IF(V176="","",IF(VLOOKUP(V176,'G-7 Rivers Data'!$AA$4:$AB$7,2,FALSE)=0,"Spatial Data Missing ⚠",VLOOKUP(V176,'G-7 Rivers Data'!$AA$4:$AB$7,2,FALSE)))</f>
        <v/>
      </c>
      <c r="X176" s="155"/>
      <c r="Y176" s="499" t="str">
        <f>IF(X176="","",IF(VLOOKUP(X176,'G-7 Rivers Data'!$AD$4:$AE$8,2,FALSE)=0,"Enrcoachment Data Missing ⚠",VLOOKUP(X176,'G-7 Rivers Data'!$AD$4:$AE$8,2,FALSE)))</f>
        <v/>
      </c>
      <c r="Z176" s="565" t="str">
        <f t="shared" si="18"/>
        <v/>
      </c>
      <c r="AA176" s="149"/>
      <c r="AB176" s="150"/>
      <c r="AH176" s="31" t="str">
        <f>IFERROR(INDEX('G-7 Rivers Data'!$AZ$3:$AZ$7,MATCH(C176,'G-7 Rivers Data'!$AY$3:$AY$7,0)),"")</f>
        <v/>
      </c>
    </row>
    <row r="177" spans="2:34" ht="13.8" x14ac:dyDescent="0.25">
      <c r="B177" s="141">
        <v>166</v>
      </c>
      <c r="C177" s="171"/>
      <c r="D177" s="172"/>
      <c r="E177" s="498" t="str">
        <f>IF(C177="","",VLOOKUP(C177,'G-7 Rivers Data'!$B$2:$G$8,2,FALSE))</f>
        <v/>
      </c>
      <c r="F177" s="499" t="str">
        <f>IFERROR(VLOOKUP(E177,'G-7 Rivers Data'!$C$4:$D$8,2,FALSE),"")</f>
        <v/>
      </c>
      <c r="G177" s="145"/>
      <c r="H177" s="499" t="str">
        <f>IFERROR(INDEX('G-7 Rivers Data'!$H$4:$L$8,MATCH(C177,'G-7 Rivers Data'!$B$4:$B$8,0),MATCH(G177,'G-7 Rivers Data'!$H$3:$L$3,0)),"")</f>
        <v/>
      </c>
      <c r="I177" s="154"/>
      <c r="J177" s="507" t="str">
        <f>IF(I177="","",IF(VLOOKUP(I177,'G-7 Rivers Data'!$AG$4:$AI$9,2,FALSE)=0,"Spatial Data Missing ⚠",VLOOKUP(I177,'G-7 Rivers Data'!$AG$4:$AI$9,2,FALSE)))</f>
        <v/>
      </c>
      <c r="K177" s="499" t="str">
        <f>IF(I177="","",IF(VLOOKUP(I177,'G-7 Rivers Data'!$AG$4:$AI$9,3,FALSE)=0,"Spatial Data Missing ⚠",VLOOKUP(I177,'G-7 Rivers Data'!$AG$4:$AI$9,3,FALSE)))</f>
        <v/>
      </c>
      <c r="L177" s="498" t="str">
        <f>IFERROR(INDEX('G-7 Rivers Data'!$O$3:$O$7,MATCH(G177,'G-7 Rivers Data'!$N$3:$N$7,0)),"")</f>
        <v/>
      </c>
      <c r="M177" s="82"/>
      <c r="N177" s="195"/>
      <c r="O177" s="507" t="str">
        <f t="shared" si="13"/>
        <v/>
      </c>
      <c r="P177" s="521" t="str">
        <f t="shared" si="14"/>
        <v/>
      </c>
      <c r="Q177" s="564" t="str">
        <f>IFERROR(IF(P177="Check Data ⚠","Check Data ⚠",VLOOKUP(P177,'G-4 Temporal multipliers'!$A$4:$C$37,3,FALSE)),"")</f>
        <v/>
      </c>
      <c r="R177" s="498" t="str">
        <f>IF(C177="","",VLOOKUP(C177,'G-7 Rivers Data'!$B$4:$G$8,4,FALSE))</f>
        <v/>
      </c>
      <c r="S177" s="507" t="str">
        <f t="shared" si="15"/>
        <v/>
      </c>
      <c r="T177" s="540" t="str">
        <f t="shared" si="16"/>
        <v/>
      </c>
      <c r="U177" s="499" t="str">
        <f t="shared" si="17"/>
        <v/>
      </c>
      <c r="V177" s="71"/>
      <c r="W177" s="499" t="str">
        <f>IF(V177="","",IF(VLOOKUP(V177,'G-7 Rivers Data'!$AA$4:$AB$7,2,FALSE)=0,"Spatial Data Missing ⚠",VLOOKUP(V177,'G-7 Rivers Data'!$AA$4:$AB$7,2,FALSE)))</f>
        <v/>
      </c>
      <c r="X177" s="155"/>
      <c r="Y177" s="499" t="str">
        <f>IF(X177="","",IF(VLOOKUP(X177,'G-7 Rivers Data'!$AD$4:$AE$8,2,FALSE)=0,"Enrcoachment Data Missing ⚠",VLOOKUP(X177,'G-7 Rivers Data'!$AD$4:$AE$8,2,FALSE)))</f>
        <v/>
      </c>
      <c r="Z177" s="565" t="str">
        <f t="shared" si="18"/>
        <v/>
      </c>
      <c r="AA177" s="149"/>
      <c r="AB177" s="150"/>
      <c r="AH177" s="31" t="str">
        <f>IFERROR(INDEX('G-7 Rivers Data'!$AZ$3:$AZ$7,MATCH(C177,'G-7 Rivers Data'!$AY$3:$AY$7,0)),"")</f>
        <v/>
      </c>
    </row>
    <row r="178" spans="2:34" ht="13.8" x14ac:dyDescent="0.25">
      <c r="B178" s="141">
        <v>167</v>
      </c>
      <c r="C178" s="171"/>
      <c r="D178" s="172"/>
      <c r="E178" s="498" t="str">
        <f>IF(C178="","",VLOOKUP(C178,'G-7 Rivers Data'!$B$2:$G$8,2,FALSE))</f>
        <v/>
      </c>
      <c r="F178" s="499" t="str">
        <f>IFERROR(VLOOKUP(E178,'G-7 Rivers Data'!$C$4:$D$8,2,FALSE),"")</f>
        <v/>
      </c>
      <c r="G178" s="145"/>
      <c r="H178" s="499" t="str">
        <f>IFERROR(INDEX('G-7 Rivers Data'!$H$4:$L$8,MATCH(C178,'G-7 Rivers Data'!$B$4:$B$8,0),MATCH(G178,'G-7 Rivers Data'!$H$3:$L$3,0)),"")</f>
        <v/>
      </c>
      <c r="I178" s="154"/>
      <c r="J178" s="507" t="str">
        <f>IF(I178="","",IF(VLOOKUP(I178,'G-7 Rivers Data'!$AG$4:$AI$9,2,FALSE)=0,"Spatial Data Missing ⚠",VLOOKUP(I178,'G-7 Rivers Data'!$AG$4:$AI$9,2,FALSE)))</f>
        <v/>
      </c>
      <c r="K178" s="499" t="str">
        <f>IF(I178="","",IF(VLOOKUP(I178,'G-7 Rivers Data'!$AG$4:$AI$9,3,FALSE)=0,"Spatial Data Missing ⚠",VLOOKUP(I178,'G-7 Rivers Data'!$AG$4:$AI$9,3,FALSE)))</f>
        <v/>
      </c>
      <c r="L178" s="498" t="str">
        <f>IFERROR(INDEX('G-7 Rivers Data'!$O$3:$O$7,MATCH(G178,'G-7 Rivers Data'!$N$3:$N$7,0)),"")</f>
        <v/>
      </c>
      <c r="M178" s="82"/>
      <c r="N178" s="195"/>
      <c r="O178" s="507" t="str">
        <f t="shared" si="13"/>
        <v/>
      </c>
      <c r="P178" s="521" t="str">
        <f t="shared" si="14"/>
        <v/>
      </c>
      <c r="Q178" s="564" t="str">
        <f>IFERROR(IF(P178="Check Data ⚠","Check Data ⚠",VLOOKUP(P178,'G-4 Temporal multipliers'!$A$4:$C$37,3,FALSE)),"")</f>
        <v/>
      </c>
      <c r="R178" s="498" t="str">
        <f>IF(C178="","",VLOOKUP(C178,'G-7 Rivers Data'!$B$4:$G$8,4,FALSE))</f>
        <v/>
      </c>
      <c r="S178" s="507" t="str">
        <f t="shared" si="15"/>
        <v/>
      </c>
      <c r="T178" s="540" t="str">
        <f t="shared" si="16"/>
        <v/>
      </c>
      <c r="U178" s="499" t="str">
        <f t="shared" si="17"/>
        <v/>
      </c>
      <c r="V178" s="71"/>
      <c r="W178" s="499" t="str">
        <f>IF(V178="","",IF(VLOOKUP(V178,'G-7 Rivers Data'!$AA$4:$AB$7,2,FALSE)=0,"Spatial Data Missing ⚠",VLOOKUP(V178,'G-7 Rivers Data'!$AA$4:$AB$7,2,FALSE)))</f>
        <v/>
      </c>
      <c r="X178" s="155"/>
      <c r="Y178" s="499" t="str">
        <f>IF(X178="","",IF(VLOOKUP(X178,'G-7 Rivers Data'!$AD$4:$AE$8,2,FALSE)=0,"Enrcoachment Data Missing ⚠",VLOOKUP(X178,'G-7 Rivers Data'!$AD$4:$AE$8,2,FALSE)))</f>
        <v/>
      </c>
      <c r="Z178" s="565" t="str">
        <f t="shared" si="18"/>
        <v/>
      </c>
      <c r="AA178" s="149"/>
      <c r="AB178" s="150"/>
      <c r="AH178" s="31" t="str">
        <f>IFERROR(INDEX('G-7 Rivers Data'!$AZ$3:$AZ$7,MATCH(C178,'G-7 Rivers Data'!$AY$3:$AY$7,0)),"")</f>
        <v/>
      </c>
    </row>
    <row r="179" spans="2:34" ht="13.8" x14ac:dyDescent="0.25">
      <c r="B179" s="141">
        <v>168</v>
      </c>
      <c r="C179" s="171"/>
      <c r="D179" s="172"/>
      <c r="E179" s="498" t="str">
        <f>IF(C179="","",VLOOKUP(C179,'G-7 Rivers Data'!$B$2:$G$8,2,FALSE))</f>
        <v/>
      </c>
      <c r="F179" s="499" t="str">
        <f>IFERROR(VLOOKUP(E179,'G-7 Rivers Data'!$C$4:$D$8,2,FALSE),"")</f>
        <v/>
      </c>
      <c r="G179" s="145"/>
      <c r="H179" s="499" t="str">
        <f>IFERROR(INDEX('G-7 Rivers Data'!$H$4:$L$8,MATCH(C179,'G-7 Rivers Data'!$B$4:$B$8,0),MATCH(G179,'G-7 Rivers Data'!$H$3:$L$3,0)),"")</f>
        <v/>
      </c>
      <c r="I179" s="154"/>
      <c r="J179" s="507" t="str">
        <f>IF(I179="","",IF(VLOOKUP(I179,'G-7 Rivers Data'!$AG$4:$AI$9,2,FALSE)=0,"Spatial Data Missing ⚠",VLOOKUP(I179,'G-7 Rivers Data'!$AG$4:$AI$9,2,FALSE)))</f>
        <v/>
      </c>
      <c r="K179" s="499" t="str">
        <f>IF(I179="","",IF(VLOOKUP(I179,'G-7 Rivers Data'!$AG$4:$AI$9,3,FALSE)=0,"Spatial Data Missing ⚠",VLOOKUP(I179,'G-7 Rivers Data'!$AG$4:$AI$9,3,FALSE)))</f>
        <v/>
      </c>
      <c r="L179" s="498" t="str">
        <f>IFERROR(INDEX('G-7 Rivers Data'!$O$3:$O$7,MATCH(G179,'G-7 Rivers Data'!$N$3:$N$7,0)),"")</f>
        <v/>
      </c>
      <c r="M179" s="82"/>
      <c r="N179" s="195"/>
      <c r="O179" s="507" t="str">
        <f t="shared" si="13"/>
        <v/>
      </c>
      <c r="P179" s="521" t="str">
        <f t="shared" si="14"/>
        <v/>
      </c>
      <c r="Q179" s="564" t="str">
        <f>IFERROR(IF(P179="Check Data ⚠","Check Data ⚠",VLOOKUP(P179,'G-4 Temporal multipliers'!$A$4:$C$37,3,FALSE)),"")</f>
        <v/>
      </c>
      <c r="R179" s="498" t="str">
        <f>IF(C179="","",VLOOKUP(C179,'G-7 Rivers Data'!$B$4:$G$8,4,FALSE))</f>
        <v/>
      </c>
      <c r="S179" s="507" t="str">
        <f t="shared" si="15"/>
        <v/>
      </c>
      <c r="T179" s="540" t="str">
        <f t="shared" si="16"/>
        <v/>
      </c>
      <c r="U179" s="499" t="str">
        <f t="shared" si="17"/>
        <v/>
      </c>
      <c r="V179" s="71"/>
      <c r="W179" s="499" t="str">
        <f>IF(V179="","",IF(VLOOKUP(V179,'G-7 Rivers Data'!$AA$4:$AB$7,2,FALSE)=0,"Spatial Data Missing ⚠",VLOOKUP(V179,'G-7 Rivers Data'!$AA$4:$AB$7,2,FALSE)))</f>
        <v/>
      </c>
      <c r="X179" s="155"/>
      <c r="Y179" s="499" t="str">
        <f>IF(X179="","",IF(VLOOKUP(X179,'G-7 Rivers Data'!$AD$4:$AE$8,2,FALSE)=0,"Enrcoachment Data Missing ⚠",VLOOKUP(X179,'G-7 Rivers Data'!$AD$4:$AE$8,2,FALSE)))</f>
        <v/>
      </c>
      <c r="Z179" s="565" t="str">
        <f t="shared" si="18"/>
        <v/>
      </c>
      <c r="AA179" s="149"/>
      <c r="AB179" s="150"/>
      <c r="AH179" s="31" t="str">
        <f>IFERROR(INDEX('G-7 Rivers Data'!$AZ$3:$AZ$7,MATCH(C179,'G-7 Rivers Data'!$AY$3:$AY$7,0)),"")</f>
        <v/>
      </c>
    </row>
    <row r="180" spans="2:34" ht="13.8" x14ac:dyDescent="0.25">
      <c r="B180" s="141">
        <v>169</v>
      </c>
      <c r="C180" s="171"/>
      <c r="D180" s="172"/>
      <c r="E180" s="498" t="str">
        <f>IF(C180="","",VLOOKUP(C180,'G-7 Rivers Data'!$B$2:$G$8,2,FALSE))</f>
        <v/>
      </c>
      <c r="F180" s="499" t="str">
        <f>IFERROR(VLOOKUP(E180,'G-7 Rivers Data'!$C$4:$D$8,2,FALSE),"")</f>
        <v/>
      </c>
      <c r="G180" s="145"/>
      <c r="H180" s="499" t="str">
        <f>IFERROR(INDEX('G-7 Rivers Data'!$H$4:$L$8,MATCH(C180,'G-7 Rivers Data'!$B$4:$B$8,0),MATCH(G180,'G-7 Rivers Data'!$H$3:$L$3,0)),"")</f>
        <v/>
      </c>
      <c r="I180" s="154"/>
      <c r="J180" s="507" t="str">
        <f>IF(I180="","",IF(VLOOKUP(I180,'G-7 Rivers Data'!$AG$4:$AI$9,2,FALSE)=0,"Spatial Data Missing ⚠",VLOOKUP(I180,'G-7 Rivers Data'!$AG$4:$AI$9,2,FALSE)))</f>
        <v/>
      </c>
      <c r="K180" s="499" t="str">
        <f>IF(I180="","",IF(VLOOKUP(I180,'G-7 Rivers Data'!$AG$4:$AI$9,3,FALSE)=0,"Spatial Data Missing ⚠",VLOOKUP(I180,'G-7 Rivers Data'!$AG$4:$AI$9,3,FALSE)))</f>
        <v/>
      </c>
      <c r="L180" s="498" t="str">
        <f>IFERROR(INDEX('G-7 Rivers Data'!$O$3:$O$7,MATCH(G180,'G-7 Rivers Data'!$N$3:$N$7,0)),"")</f>
        <v/>
      </c>
      <c r="M180" s="82"/>
      <c r="N180" s="195"/>
      <c r="O180" s="507" t="str">
        <f t="shared" si="13"/>
        <v/>
      </c>
      <c r="P180" s="521" t="str">
        <f t="shared" si="14"/>
        <v/>
      </c>
      <c r="Q180" s="564" t="str">
        <f>IFERROR(IF(P180="Check Data ⚠","Check Data ⚠",VLOOKUP(P180,'G-4 Temporal multipliers'!$A$4:$C$37,3,FALSE)),"")</f>
        <v/>
      </c>
      <c r="R180" s="498" t="str">
        <f>IF(C180="","",VLOOKUP(C180,'G-7 Rivers Data'!$B$4:$G$8,4,FALSE))</f>
        <v/>
      </c>
      <c r="S180" s="507" t="str">
        <f t="shared" si="15"/>
        <v/>
      </c>
      <c r="T180" s="540" t="str">
        <f t="shared" si="16"/>
        <v/>
      </c>
      <c r="U180" s="499" t="str">
        <f t="shared" si="17"/>
        <v/>
      </c>
      <c r="V180" s="71"/>
      <c r="W180" s="499" t="str">
        <f>IF(V180="","",IF(VLOOKUP(V180,'G-7 Rivers Data'!$AA$4:$AB$7,2,FALSE)=0,"Spatial Data Missing ⚠",VLOOKUP(V180,'G-7 Rivers Data'!$AA$4:$AB$7,2,FALSE)))</f>
        <v/>
      </c>
      <c r="X180" s="155"/>
      <c r="Y180" s="499" t="str">
        <f>IF(X180="","",IF(VLOOKUP(X180,'G-7 Rivers Data'!$AD$4:$AE$8,2,FALSE)=0,"Enrcoachment Data Missing ⚠",VLOOKUP(X180,'G-7 Rivers Data'!$AD$4:$AE$8,2,FALSE)))</f>
        <v/>
      </c>
      <c r="Z180" s="565" t="str">
        <f t="shared" si="18"/>
        <v/>
      </c>
      <c r="AA180" s="149"/>
      <c r="AB180" s="150"/>
      <c r="AH180" s="31" t="str">
        <f>IFERROR(INDEX('G-7 Rivers Data'!$AZ$3:$AZ$7,MATCH(C180,'G-7 Rivers Data'!$AY$3:$AY$7,0)),"")</f>
        <v/>
      </c>
    </row>
    <row r="181" spans="2:34" ht="13.8" x14ac:dyDescent="0.25">
      <c r="B181" s="141">
        <v>170</v>
      </c>
      <c r="C181" s="171"/>
      <c r="D181" s="172"/>
      <c r="E181" s="498" t="str">
        <f>IF(C181="","",VLOOKUP(C181,'G-7 Rivers Data'!$B$2:$G$8,2,FALSE))</f>
        <v/>
      </c>
      <c r="F181" s="499" t="str">
        <f>IFERROR(VLOOKUP(E181,'G-7 Rivers Data'!$C$4:$D$8,2,FALSE),"")</f>
        <v/>
      </c>
      <c r="G181" s="145"/>
      <c r="H181" s="499" t="str">
        <f>IFERROR(INDEX('G-7 Rivers Data'!$H$4:$L$8,MATCH(C181,'G-7 Rivers Data'!$B$4:$B$8,0),MATCH(G181,'G-7 Rivers Data'!$H$3:$L$3,0)),"")</f>
        <v/>
      </c>
      <c r="I181" s="154"/>
      <c r="J181" s="507" t="str">
        <f>IF(I181="","",IF(VLOOKUP(I181,'G-7 Rivers Data'!$AG$4:$AI$9,2,FALSE)=0,"Spatial Data Missing ⚠",VLOOKUP(I181,'G-7 Rivers Data'!$AG$4:$AI$9,2,FALSE)))</f>
        <v/>
      </c>
      <c r="K181" s="499" t="str">
        <f>IF(I181="","",IF(VLOOKUP(I181,'G-7 Rivers Data'!$AG$4:$AI$9,3,FALSE)=0,"Spatial Data Missing ⚠",VLOOKUP(I181,'G-7 Rivers Data'!$AG$4:$AI$9,3,FALSE)))</f>
        <v/>
      </c>
      <c r="L181" s="498" t="str">
        <f>IFERROR(INDEX('G-7 Rivers Data'!$O$3:$O$7,MATCH(G181,'G-7 Rivers Data'!$N$3:$N$7,0)),"")</f>
        <v/>
      </c>
      <c r="M181" s="82"/>
      <c r="N181" s="195"/>
      <c r="O181" s="507" t="str">
        <f t="shared" si="13"/>
        <v/>
      </c>
      <c r="P181" s="521" t="str">
        <f t="shared" si="14"/>
        <v/>
      </c>
      <c r="Q181" s="564" t="str">
        <f>IFERROR(IF(P181="Check Data ⚠","Check Data ⚠",VLOOKUP(P181,'G-4 Temporal multipliers'!$A$4:$C$37,3,FALSE)),"")</f>
        <v/>
      </c>
      <c r="R181" s="498" t="str">
        <f>IF(C181="","",VLOOKUP(C181,'G-7 Rivers Data'!$B$4:$G$8,4,FALSE))</f>
        <v/>
      </c>
      <c r="S181" s="507" t="str">
        <f t="shared" si="15"/>
        <v/>
      </c>
      <c r="T181" s="540" t="str">
        <f t="shared" si="16"/>
        <v/>
      </c>
      <c r="U181" s="499" t="str">
        <f t="shared" si="17"/>
        <v/>
      </c>
      <c r="V181" s="71"/>
      <c r="W181" s="499" t="str">
        <f>IF(V181="","",IF(VLOOKUP(V181,'G-7 Rivers Data'!$AA$4:$AB$7,2,FALSE)=0,"Spatial Data Missing ⚠",VLOOKUP(V181,'G-7 Rivers Data'!$AA$4:$AB$7,2,FALSE)))</f>
        <v/>
      </c>
      <c r="X181" s="155"/>
      <c r="Y181" s="499" t="str">
        <f>IF(X181="","",IF(VLOOKUP(X181,'G-7 Rivers Data'!$AD$4:$AE$8,2,FALSE)=0,"Enrcoachment Data Missing ⚠",VLOOKUP(X181,'G-7 Rivers Data'!$AD$4:$AE$8,2,FALSE)))</f>
        <v/>
      </c>
      <c r="Z181" s="565" t="str">
        <f t="shared" si="18"/>
        <v/>
      </c>
      <c r="AA181" s="149"/>
      <c r="AB181" s="150"/>
      <c r="AH181" s="31" t="str">
        <f>IFERROR(INDEX('G-7 Rivers Data'!$AZ$3:$AZ$7,MATCH(C181,'G-7 Rivers Data'!$AY$3:$AY$7,0)),"")</f>
        <v/>
      </c>
    </row>
    <row r="182" spans="2:34" ht="13.8" x14ac:dyDescent="0.25">
      <c r="B182" s="141">
        <v>171</v>
      </c>
      <c r="C182" s="171"/>
      <c r="D182" s="172"/>
      <c r="E182" s="498" t="str">
        <f>IF(C182="","",VLOOKUP(C182,'G-7 Rivers Data'!$B$2:$G$8,2,FALSE))</f>
        <v/>
      </c>
      <c r="F182" s="499" t="str">
        <f>IFERROR(VLOOKUP(E182,'G-7 Rivers Data'!$C$4:$D$8,2,FALSE),"")</f>
        <v/>
      </c>
      <c r="G182" s="145"/>
      <c r="H182" s="499" t="str">
        <f>IFERROR(INDEX('G-7 Rivers Data'!$H$4:$L$8,MATCH(C182,'G-7 Rivers Data'!$B$4:$B$8,0),MATCH(G182,'G-7 Rivers Data'!$H$3:$L$3,0)),"")</f>
        <v/>
      </c>
      <c r="I182" s="154"/>
      <c r="J182" s="507" t="str">
        <f>IF(I182="","",IF(VLOOKUP(I182,'G-7 Rivers Data'!$AG$4:$AI$9,2,FALSE)=0,"Spatial Data Missing ⚠",VLOOKUP(I182,'G-7 Rivers Data'!$AG$4:$AI$9,2,FALSE)))</f>
        <v/>
      </c>
      <c r="K182" s="499" t="str">
        <f>IF(I182="","",IF(VLOOKUP(I182,'G-7 Rivers Data'!$AG$4:$AI$9,3,FALSE)=0,"Spatial Data Missing ⚠",VLOOKUP(I182,'G-7 Rivers Data'!$AG$4:$AI$9,3,FALSE)))</f>
        <v/>
      </c>
      <c r="L182" s="498" t="str">
        <f>IFERROR(INDEX('G-7 Rivers Data'!$O$3:$O$7,MATCH(G182,'G-7 Rivers Data'!$N$3:$N$7,0)),"")</f>
        <v/>
      </c>
      <c r="M182" s="82"/>
      <c r="N182" s="195"/>
      <c r="O182" s="507" t="str">
        <f t="shared" si="13"/>
        <v/>
      </c>
      <c r="P182" s="521" t="str">
        <f t="shared" si="14"/>
        <v/>
      </c>
      <c r="Q182" s="564" t="str">
        <f>IFERROR(IF(P182="Check Data ⚠","Check Data ⚠",VLOOKUP(P182,'G-4 Temporal multipliers'!$A$4:$C$37,3,FALSE)),"")</f>
        <v/>
      </c>
      <c r="R182" s="498" t="str">
        <f>IF(C182="","",VLOOKUP(C182,'G-7 Rivers Data'!$B$4:$G$8,4,FALSE))</f>
        <v/>
      </c>
      <c r="S182" s="507" t="str">
        <f t="shared" si="15"/>
        <v/>
      </c>
      <c r="T182" s="540" t="str">
        <f t="shared" si="16"/>
        <v/>
      </c>
      <c r="U182" s="499" t="str">
        <f t="shared" si="17"/>
        <v/>
      </c>
      <c r="V182" s="71"/>
      <c r="W182" s="499" t="str">
        <f>IF(V182="","",IF(VLOOKUP(V182,'G-7 Rivers Data'!$AA$4:$AB$7,2,FALSE)=0,"Spatial Data Missing ⚠",VLOOKUP(V182,'G-7 Rivers Data'!$AA$4:$AB$7,2,FALSE)))</f>
        <v/>
      </c>
      <c r="X182" s="155"/>
      <c r="Y182" s="499" t="str">
        <f>IF(X182="","",IF(VLOOKUP(X182,'G-7 Rivers Data'!$AD$4:$AE$8,2,FALSE)=0,"Enrcoachment Data Missing ⚠",VLOOKUP(X182,'G-7 Rivers Data'!$AD$4:$AE$8,2,FALSE)))</f>
        <v/>
      </c>
      <c r="Z182" s="565" t="str">
        <f t="shared" si="18"/>
        <v/>
      </c>
      <c r="AA182" s="149"/>
      <c r="AB182" s="150"/>
      <c r="AH182" s="31" t="str">
        <f>IFERROR(INDEX('G-7 Rivers Data'!$AZ$3:$AZ$7,MATCH(C182,'G-7 Rivers Data'!$AY$3:$AY$7,0)),"")</f>
        <v/>
      </c>
    </row>
    <row r="183" spans="2:34" ht="13.8" x14ac:dyDescent="0.25">
      <c r="B183" s="141">
        <v>172</v>
      </c>
      <c r="C183" s="171"/>
      <c r="D183" s="172"/>
      <c r="E183" s="498" t="str">
        <f>IF(C183="","",VLOOKUP(C183,'G-7 Rivers Data'!$B$2:$G$8,2,FALSE))</f>
        <v/>
      </c>
      <c r="F183" s="499" t="str">
        <f>IFERROR(VLOOKUP(E183,'G-7 Rivers Data'!$C$4:$D$8,2,FALSE),"")</f>
        <v/>
      </c>
      <c r="G183" s="145"/>
      <c r="H183" s="499" t="str">
        <f>IFERROR(INDEX('G-7 Rivers Data'!$H$4:$L$8,MATCH(C183,'G-7 Rivers Data'!$B$4:$B$8,0),MATCH(G183,'G-7 Rivers Data'!$H$3:$L$3,0)),"")</f>
        <v/>
      </c>
      <c r="I183" s="154"/>
      <c r="J183" s="507" t="str">
        <f>IF(I183="","",IF(VLOOKUP(I183,'G-7 Rivers Data'!$AG$4:$AI$9,2,FALSE)=0,"Spatial Data Missing ⚠",VLOOKUP(I183,'G-7 Rivers Data'!$AG$4:$AI$9,2,FALSE)))</f>
        <v/>
      </c>
      <c r="K183" s="499" t="str">
        <f>IF(I183="","",IF(VLOOKUP(I183,'G-7 Rivers Data'!$AG$4:$AI$9,3,FALSE)=0,"Spatial Data Missing ⚠",VLOOKUP(I183,'G-7 Rivers Data'!$AG$4:$AI$9,3,FALSE)))</f>
        <v/>
      </c>
      <c r="L183" s="498" t="str">
        <f>IFERROR(INDEX('G-7 Rivers Data'!$O$3:$O$7,MATCH(G183,'G-7 Rivers Data'!$N$3:$N$7,0)),"")</f>
        <v/>
      </c>
      <c r="M183" s="82"/>
      <c r="N183" s="195"/>
      <c r="O183" s="507" t="str">
        <f t="shared" si="13"/>
        <v/>
      </c>
      <c r="P183" s="521" t="str">
        <f t="shared" si="14"/>
        <v/>
      </c>
      <c r="Q183" s="564" t="str">
        <f>IFERROR(IF(P183="Check Data ⚠","Check Data ⚠",VLOOKUP(P183,'G-4 Temporal multipliers'!$A$4:$C$37,3,FALSE)),"")</f>
        <v/>
      </c>
      <c r="R183" s="498" t="str">
        <f>IF(C183="","",VLOOKUP(C183,'G-7 Rivers Data'!$B$4:$G$8,4,FALSE))</f>
        <v/>
      </c>
      <c r="S183" s="507" t="str">
        <f t="shared" si="15"/>
        <v/>
      </c>
      <c r="T183" s="540" t="str">
        <f t="shared" si="16"/>
        <v/>
      </c>
      <c r="U183" s="499" t="str">
        <f t="shared" si="17"/>
        <v/>
      </c>
      <c r="V183" s="71"/>
      <c r="W183" s="499" t="str">
        <f>IF(V183="","",IF(VLOOKUP(V183,'G-7 Rivers Data'!$AA$4:$AB$7,2,FALSE)=0,"Spatial Data Missing ⚠",VLOOKUP(V183,'G-7 Rivers Data'!$AA$4:$AB$7,2,FALSE)))</f>
        <v/>
      </c>
      <c r="X183" s="155"/>
      <c r="Y183" s="499" t="str">
        <f>IF(X183="","",IF(VLOOKUP(X183,'G-7 Rivers Data'!$AD$4:$AE$8,2,FALSE)=0,"Enrcoachment Data Missing ⚠",VLOOKUP(X183,'G-7 Rivers Data'!$AD$4:$AE$8,2,FALSE)))</f>
        <v/>
      </c>
      <c r="Z183" s="565" t="str">
        <f t="shared" si="18"/>
        <v/>
      </c>
      <c r="AA183" s="149"/>
      <c r="AB183" s="150"/>
      <c r="AH183" s="31" t="str">
        <f>IFERROR(INDEX('G-7 Rivers Data'!$AZ$3:$AZ$7,MATCH(C183,'G-7 Rivers Data'!$AY$3:$AY$7,0)),"")</f>
        <v/>
      </c>
    </row>
    <row r="184" spans="2:34" ht="13.8" x14ac:dyDescent="0.25">
      <c r="B184" s="141">
        <v>173</v>
      </c>
      <c r="C184" s="171"/>
      <c r="D184" s="172"/>
      <c r="E184" s="498" t="str">
        <f>IF(C184="","",VLOOKUP(C184,'G-7 Rivers Data'!$B$2:$G$8,2,FALSE))</f>
        <v/>
      </c>
      <c r="F184" s="499" t="str">
        <f>IFERROR(VLOOKUP(E184,'G-7 Rivers Data'!$C$4:$D$8,2,FALSE),"")</f>
        <v/>
      </c>
      <c r="G184" s="145"/>
      <c r="H184" s="499" t="str">
        <f>IFERROR(INDEX('G-7 Rivers Data'!$H$4:$L$8,MATCH(C184,'G-7 Rivers Data'!$B$4:$B$8,0),MATCH(G184,'G-7 Rivers Data'!$H$3:$L$3,0)),"")</f>
        <v/>
      </c>
      <c r="I184" s="154"/>
      <c r="J184" s="507" t="str">
        <f>IF(I184="","",IF(VLOOKUP(I184,'G-7 Rivers Data'!$AG$4:$AI$9,2,FALSE)=0,"Spatial Data Missing ⚠",VLOOKUP(I184,'G-7 Rivers Data'!$AG$4:$AI$9,2,FALSE)))</f>
        <v/>
      </c>
      <c r="K184" s="499" t="str">
        <f>IF(I184="","",IF(VLOOKUP(I184,'G-7 Rivers Data'!$AG$4:$AI$9,3,FALSE)=0,"Spatial Data Missing ⚠",VLOOKUP(I184,'G-7 Rivers Data'!$AG$4:$AI$9,3,FALSE)))</f>
        <v/>
      </c>
      <c r="L184" s="498" t="str">
        <f>IFERROR(INDEX('G-7 Rivers Data'!$O$3:$O$7,MATCH(G184,'G-7 Rivers Data'!$N$3:$N$7,0)),"")</f>
        <v/>
      </c>
      <c r="M184" s="82"/>
      <c r="N184" s="195"/>
      <c r="O184" s="507" t="str">
        <f t="shared" si="13"/>
        <v/>
      </c>
      <c r="P184" s="521" t="str">
        <f t="shared" si="14"/>
        <v/>
      </c>
      <c r="Q184" s="564" t="str">
        <f>IFERROR(IF(P184="Check Data ⚠","Check Data ⚠",VLOOKUP(P184,'G-4 Temporal multipliers'!$A$4:$C$37,3,FALSE)),"")</f>
        <v/>
      </c>
      <c r="R184" s="498" t="str">
        <f>IF(C184="","",VLOOKUP(C184,'G-7 Rivers Data'!$B$4:$G$8,4,FALSE))</f>
        <v/>
      </c>
      <c r="S184" s="507" t="str">
        <f t="shared" si="15"/>
        <v/>
      </c>
      <c r="T184" s="540" t="str">
        <f t="shared" si="16"/>
        <v/>
      </c>
      <c r="U184" s="499" t="str">
        <f t="shared" si="17"/>
        <v/>
      </c>
      <c r="V184" s="71"/>
      <c r="W184" s="499" t="str">
        <f>IF(V184="","",IF(VLOOKUP(V184,'G-7 Rivers Data'!$AA$4:$AB$7,2,FALSE)=0,"Spatial Data Missing ⚠",VLOOKUP(V184,'G-7 Rivers Data'!$AA$4:$AB$7,2,FALSE)))</f>
        <v/>
      </c>
      <c r="X184" s="155"/>
      <c r="Y184" s="499" t="str">
        <f>IF(X184="","",IF(VLOOKUP(X184,'G-7 Rivers Data'!$AD$4:$AE$8,2,FALSE)=0,"Enrcoachment Data Missing ⚠",VLOOKUP(X184,'G-7 Rivers Data'!$AD$4:$AE$8,2,FALSE)))</f>
        <v/>
      </c>
      <c r="Z184" s="565" t="str">
        <f t="shared" si="18"/>
        <v/>
      </c>
      <c r="AA184" s="149"/>
      <c r="AB184" s="150"/>
      <c r="AH184" s="31" t="str">
        <f>IFERROR(INDEX('G-7 Rivers Data'!$AZ$3:$AZ$7,MATCH(C184,'G-7 Rivers Data'!$AY$3:$AY$7,0)),"")</f>
        <v/>
      </c>
    </row>
    <row r="185" spans="2:34" ht="13.8" x14ac:dyDescent="0.25">
      <c r="B185" s="141">
        <v>174</v>
      </c>
      <c r="C185" s="171"/>
      <c r="D185" s="172"/>
      <c r="E185" s="498" t="str">
        <f>IF(C185="","",VLOOKUP(C185,'G-7 Rivers Data'!$B$2:$G$8,2,FALSE))</f>
        <v/>
      </c>
      <c r="F185" s="499" t="str">
        <f>IFERROR(VLOOKUP(E185,'G-7 Rivers Data'!$C$4:$D$8,2,FALSE),"")</f>
        <v/>
      </c>
      <c r="G185" s="145"/>
      <c r="H185" s="499" t="str">
        <f>IFERROR(INDEX('G-7 Rivers Data'!$H$4:$L$8,MATCH(C185,'G-7 Rivers Data'!$B$4:$B$8,0),MATCH(G185,'G-7 Rivers Data'!$H$3:$L$3,0)),"")</f>
        <v/>
      </c>
      <c r="I185" s="154"/>
      <c r="J185" s="507" t="str">
        <f>IF(I185="","",IF(VLOOKUP(I185,'G-7 Rivers Data'!$AG$4:$AI$9,2,FALSE)=0,"Spatial Data Missing ⚠",VLOOKUP(I185,'G-7 Rivers Data'!$AG$4:$AI$9,2,FALSE)))</f>
        <v/>
      </c>
      <c r="K185" s="499" t="str">
        <f>IF(I185="","",IF(VLOOKUP(I185,'G-7 Rivers Data'!$AG$4:$AI$9,3,FALSE)=0,"Spatial Data Missing ⚠",VLOOKUP(I185,'G-7 Rivers Data'!$AG$4:$AI$9,3,FALSE)))</f>
        <v/>
      </c>
      <c r="L185" s="498" t="str">
        <f>IFERROR(INDEX('G-7 Rivers Data'!$O$3:$O$7,MATCH(G185,'G-7 Rivers Data'!$N$3:$N$7,0)),"")</f>
        <v/>
      </c>
      <c r="M185" s="82"/>
      <c r="N185" s="195"/>
      <c r="O185" s="507" t="str">
        <f t="shared" si="13"/>
        <v/>
      </c>
      <c r="P185" s="521" t="str">
        <f t="shared" si="14"/>
        <v/>
      </c>
      <c r="Q185" s="564" t="str">
        <f>IFERROR(IF(P185="Check Data ⚠","Check Data ⚠",VLOOKUP(P185,'G-4 Temporal multipliers'!$A$4:$C$37,3,FALSE)),"")</f>
        <v/>
      </c>
      <c r="R185" s="498" t="str">
        <f>IF(C185="","",VLOOKUP(C185,'G-7 Rivers Data'!$B$4:$G$8,4,FALSE))</f>
        <v/>
      </c>
      <c r="S185" s="507" t="str">
        <f t="shared" si="15"/>
        <v/>
      </c>
      <c r="T185" s="540" t="str">
        <f t="shared" si="16"/>
        <v/>
      </c>
      <c r="U185" s="499" t="str">
        <f t="shared" si="17"/>
        <v/>
      </c>
      <c r="V185" s="71"/>
      <c r="W185" s="499" t="str">
        <f>IF(V185="","",IF(VLOOKUP(V185,'G-7 Rivers Data'!$AA$4:$AB$7,2,FALSE)=0,"Spatial Data Missing ⚠",VLOOKUP(V185,'G-7 Rivers Data'!$AA$4:$AB$7,2,FALSE)))</f>
        <v/>
      </c>
      <c r="X185" s="155"/>
      <c r="Y185" s="499" t="str">
        <f>IF(X185="","",IF(VLOOKUP(X185,'G-7 Rivers Data'!$AD$4:$AE$8,2,FALSE)=0,"Enrcoachment Data Missing ⚠",VLOOKUP(X185,'G-7 Rivers Data'!$AD$4:$AE$8,2,FALSE)))</f>
        <v/>
      </c>
      <c r="Z185" s="565" t="str">
        <f t="shared" si="18"/>
        <v/>
      </c>
      <c r="AA185" s="149"/>
      <c r="AB185" s="150"/>
      <c r="AH185" s="31" t="str">
        <f>IFERROR(INDEX('G-7 Rivers Data'!$AZ$3:$AZ$7,MATCH(C185,'G-7 Rivers Data'!$AY$3:$AY$7,0)),"")</f>
        <v/>
      </c>
    </row>
    <row r="186" spans="2:34" ht="13.8" x14ac:dyDescent="0.25">
      <c r="B186" s="141">
        <v>175</v>
      </c>
      <c r="C186" s="171"/>
      <c r="D186" s="172"/>
      <c r="E186" s="498" t="str">
        <f>IF(C186="","",VLOOKUP(C186,'G-7 Rivers Data'!$B$2:$G$8,2,FALSE))</f>
        <v/>
      </c>
      <c r="F186" s="499" t="str">
        <f>IFERROR(VLOOKUP(E186,'G-7 Rivers Data'!$C$4:$D$8,2,FALSE),"")</f>
        <v/>
      </c>
      <c r="G186" s="145"/>
      <c r="H186" s="499" t="str">
        <f>IFERROR(INDEX('G-7 Rivers Data'!$H$4:$L$8,MATCH(C186,'G-7 Rivers Data'!$B$4:$B$8,0),MATCH(G186,'G-7 Rivers Data'!$H$3:$L$3,0)),"")</f>
        <v/>
      </c>
      <c r="I186" s="154"/>
      <c r="J186" s="507" t="str">
        <f>IF(I186="","",IF(VLOOKUP(I186,'G-7 Rivers Data'!$AG$4:$AI$9,2,FALSE)=0,"Spatial Data Missing ⚠",VLOOKUP(I186,'G-7 Rivers Data'!$AG$4:$AI$9,2,FALSE)))</f>
        <v/>
      </c>
      <c r="K186" s="499" t="str">
        <f>IF(I186="","",IF(VLOOKUP(I186,'G-7 Rivers Data'!$AG$4:$AI$9,3,FALSE)=0,"Spatial Data Missing ⚠",VLOOKUP(I186,'G-7 Rivers Data'!$AG$4:$AI$9,3,FALSE)))</f>
        <v/>
      </c>
      <c r="L186" s="498" t="str">
        <f>IFERROR(INDEX('G-7 Rivers Data'!$O$3:$O$7,MATCH(G186,'G-7 Rivers Data'!$N$3:$N$7,0)),"")</f>
        <v/>
      </c>
      <c r="M186" s="82"/>
      <c r="N186" s="195"/>
      <c r="O186" s="507" t="str">
        <f t="shared" si="13"/>
        <v/>
      </c>
      <c r="P186" s="521" t="str">
        <f t="shared" si="14"/>
        <v/>
      </c>
      <c r="Q186" s="564" t="str">
        <f>IFERROR(IF(P186="Check Data ⚠","Check Data ⚠",VLOOKUP(P186,'G-4 Temporal multipliers'!$A$4:$C$37,3,FALSE)),"")</f>
        <v/>
      </c>
      <c r="R186" s="498" t="str">
        <f>IF(C186="","",VLOOKUP(C186,'G-7 Rivers Data'!$B$4:$G$8,4,FALSE))</f>
        <v/>
      </c>
      <c r="S186" s="507" t="str">
        <f t="shared" si="15"/>
        <v/>
      </c>
      <c r="T186" s="540" t="str">
        <f t="shared" si="16"/>
        <v/>
      </c>
      <c r="U186" s="499" t="str">
        <f t="shared" si="17"/>
        <v/>
      </c>
      <c r="V186" s="71"/>
      <c r="W186" s="499" t="str">
        <f>IF(V186="","",IF(VLOOKUP(V186,'G-7 Rivers Data'!$AA$4:$AB$7,2,FALSE)=0,"Spatial Data Missing ⚠",VLOOKUP(V186,'G-7 Rivers Data'!$AA$4:$AB$7,2,FALSE)))</f>
        <v/>
      </c>
      <c r="X186" s="155"/>
      <c r="Y186" s="499" t="str">
        <f>IF(X186="","",IF(VLOOKUP(X186,'G-7 Rivers Data'!$AD$4:$AE$8,2,FALSE)=0,"Enrcoachment Data Missing ⚠",VLOOKUP(X186,'G-7 Rivers Data'!$AD$4:$AE$8,2,FALSE)))</f>
        <v/>
      </c>
      <c r="Z186" s="565" t="str">
        <f t="shared" si="18"/>
        <v/>
      </c>
      <c r="AA186" s="149"/>
      <c r="AB186" s="150"/>
      <c r="AH186" s="31" t="str">
        <f>IFERROR(INDEX('G-7 Rivers Data'!$AZ$3:$AZ$7,MATCH(C186,'G-7 Rivers Data'!$AY$3:$AY$7,0)),"")</f>
        <v/>
      </c>
    </row>
    <row r="187" spans="2:34" ht="13.8" x14ac:dyDescent="0.25">
      <c r="B187" s="141">
        <v>176</v>
      </c>
      <c r="C187" s="171"/>
      <c r="D187" s="172"/>
      <c r="E187" s="498" t="str">
        <f>IF(C187="","",VLOOKUP(C187,'G-7 Rivers Data'!$B$2:$G$8,2,FALSE))</f>
        <v/>
      </c>
      <c r="F187" s="499" t="str">
        <f>IFERROR(VLOOKUP(E187,'G-7 Rivers Data'!$C$4:$D$8,2,FALSE),"")</f>
        <v/>
      </c>
      <c r="G187" s="145"/>
      <c r="H187" s="499" t="str">
        <f>IFERROR(INDEX('G-7 Rivers Data'!$H$4:$L$8,MATCH(C187,'G-7 Rivers Data'!$B$4:$B$8,0),MATCH(G187,'G-7 Rivers Data'!$H$3:$L$3,0)),"")</f>
        <v/>
      </c>
      <c r="I187" s="154"/>
      <c r="J187" s="507" t="str">
        <f>IF(I187="","",IF(VLOOKUP(I187,'G-7 Rivers Data'!$AG$4:$AI$9,2,FALSE)=0,"Spatial Data Missing ⚠",VLOOKUP(I187,'G-7 Rivers Data'!$AG$4:$AI$9,2,FALSE)))</f>
        <v/>
      </c>
      <c r="K187" s="499" t="str">
        <f>IF(I187="","",IF(VLOOKUP(I187,'G-7 Rivers Data'!$AG$4:$AI$9,3,FALSE)=0,"Spatial Data Missing ⚠",VLOOKUP(I187,'G-7 Rivers Data'!$AG$4:$AI$9,3,FALSE)))</f>
        <v/>
      </c>
      <c r="L187" s="498" t="str">
        <f>IFERROR(INDEX('G-7 Rivers Data'!$O$3:$O$7,MATCH(G187,'G-7 Rivers Data'!$N$3:$N$7,0)),"")</f>
        <v/>
      </c>
      <c r="M187" s="82"/>
      <c r="N187" s="195"/>
      <c r="O187" s="507" t="str">
        <f t="shared" si="13"/>
        <v/>
      </c>
      <c r="P187" s="521" t="str">
        <f t="shared" si="14"/>
        <v/>
      </c>
      <c r="Q187" s="564" t="str">
        <f>IFERROR(IF(P187="Check Data ⚠","Check Data ⚠",VLOOKUP(P187,'G-4 Temporal multipliers'!$A$4:$C$37,3,FALSE)),"")</f>
        <v/>
      </c>
      <c r="R187" s="498" t="str">
        <f>IF(C187="","",VLOOKUP(C187,'G-7 Rivers Data'!$B$4:$G$8,4,FALSE))</f>
        <v/>
      </c>
      <c r="S187" s="507" t="str">
        <f t="shared" si="15"/>
        <v/>
      </c>
      <c r="T187" s="540" t="str">
        <f t="shared" si="16"/>
        <v/>
      </c>
      <c r="U187" s="499" t="str">
        <f t="shared" si="17"/>
        <v/>
      </c>
      <c r="V187" s="71"/>
      <c r="W187" s="499" t="str">
        <f>IF(V187="","",IF(VLOOKUP(V187,'G-7 Rivers Data'!$AA$4:$AB$7,2,FALSE)=0,"Spatial Data Missing ⚠",VLOOKUP(V187,'G-7 Rivers Data'!$AA$4:$AB$7,2,FALSE)))</f>
        <v/>
      </c>
      <c r="X187" s="155"/>
      <c r="Y187" s="499" t="str">
        <f>IF(X187="","",IF(VLOOKUP(X187,'G-7 Rivers Data'!$AD$4:$AE$8,2,FALSE)=0,"Enrcoachment Data Missing ⚠",VLOOKUP(X187,'G-7 Rivers Data'!$AD$4:$AE$8,2,FALSE)))</f>
        <v/>
      </c>
      <c r="Z187" s="565" t="str">
        <f t="shared" si="18"/>
        <v/>
      </c>
      <c r="AA187" s="149"/>
      <c r="AB187" s="150"/>
      <c r="AH187" s="31" t="str">
        <f>IFERROR(INDEX('G-7 Rivers Data'!$AZ$3:$AZ$7,MATCH(C187,'G-7 Rivers Data'!$AY$3:$AY$7,0)),"")</f>
        <v/>
      </c>
    </row>
    <row r="188" spans="2:34" ht="13.8" x14ac:dyDescent="0.25">
      <c r="B188" s="141">
        <v>177</v>
      </c>
      <c r="C188" s="171"/>
      <c r="D188" s="172"/>
      <c r="E188" s="498" t="str">
        <f>IF(C188="","",VLOOKUP(C188,'G-7 Rivers Data'!$B$2:$G$8,2,FALSE))</f>
        <v/>
      </c>
      <c r="F188" s="499" t="str">
        <f>IFERROR(VLOOKUP(E188,'G-7 Rivers Data'!$C$4:$D$8,2,FALSE),"")</f>
        <v/>
      </c>
      <c r="G188" s="145"/>
      <c r="H188" s="499" t="str">
        <f>IFERROR(INDEX('G-7 Rivers Data'!$H$4:$L$8,MATCH(C188,'G-7 Rivers Data'!$B$4:$B$8,0),MATCH(G188,'G-7 Rivers Data'!$H$3:$L$3,0)),"")</f>
        <v/>
      </c>
      <c r="I188" s="154"/>
      <c r="J188" s="507" t="str">
        <f>IF(I188="","",IF(VLOOKUP(I188,'G-7 Rivers Data'!$AG$4:$AI$9,2,FALSE)=0,"Spatial Data Missing ⚠",VLOOKUP(I188,'G-7 Rivers Data'!$AG$4:$AI$9,2,FALSE)))</f>
        <v/>
      </c>
      <c r="K188" s="499" t="str">
        <f>IF(I188="","",IF(VLOOKUP(I188,'G-7 Rivers Data'!$AG$4:$AI$9,3,FALSE)=0,"Spatial Data Missing ⚠",VLOOKUP(I188,'G-7 Rivers Data'!$AG$4:$AI$9,3,FALSE)))</f>
        <v/>
      </c>
      <c r="L188" s="498" t="str">
        <f>IFERROR(INDEX('G-7 Rivers Data'!$O$3:$O$7,MATCH(G188,'G-7 Rivers Data'!$N$3:$N$7,0)),"")</f>
        <v/>
      </c>
      <c r="M188" s="82"/>
      <c r="N188" s="195"/>
      <c r="O188" s="507" t="str">
        <f t="shared" si="13"/>
        <v/>
      </c>
      <c r="P188" s="521" t="str">
        <f t="shared" si="14"/>
        <v/>
      </c>
      <c r="Q188" s="564" t="str">
        <f>IFERROR(IF(P188="Check Data ⚠","Check Data ⚠",VLOOKUP(P188,'G-4 Temporal multipliers'!$A$4:$C$37,3,FALSE)),"")</f>
        <v/>
      </c>
      <c r="R188" s="498" t="str">
        <f>IF(C188="","",VLOOKUP(C188,'G-7 Rivers Data'!$B$4:$G$8,4,FALSE))</f>
        <v/>
      </c>
      <c r="S188" s="507" t="str">
        <f t="shared" si="15"/>
        <v/>
      </c>
      <c r="T188" s="540" t="str">
        <f t="shared" si="16"/>
        <v/>
      </c>
      <c r="U188" s="499" t="str">
        <f t="shared" si="17"/>
        <v/>
      </c>
      <c r="V188" s="71"/>
      <c r="W188" s="499" t="str">
        <f>IF(V188="","",IF(VLOOKUP(V188,'G-7 Rivers Data'!$AA$4:$AB$7,2,FALSE)=0,"Spatial Data Missing ⚠",VLOOKUP(V188,'G-7 Rivers Data'!$AA$4:$AB$7,2,FALSE)))</f>
        <v/>
      </c>
      <c r="X188" s="155"/>
      <c r="Y188" s="499" t="str">
        <f>IF(X188="","",IF(VLOOKUP(X188,'G-7 Rivers Data'!$AD$4:$AE$8,2,FALSE)=0,"Enrcoachment Data Missing ⚠",VLOOKUP(X188,'G-7 Rivers Data'!$AD$4:$AE$8,2,FALSE)))</f>
        <v/>
      </c>
      <c r="Z188" s="565" t="str">
        <f t="shared" si="18"/>
        <v/>
      </c>
      <c r="AA188" s="149"/>
      <c r="AB188" s="150"/>
      <c r="AH188" s="31" t="str">
        <f>IFERROR(INDEX('G-7 Rivers Data'!$AZ$3:$AZ$7,MATCH(C188,'G-7 Rivers Data'!$AY$3:$AY$7,0)),"")</f>
        <v/>
      </c>
    </row>
    <row r="189" spans="2:34" ht="13.8" x14ac:dyDescent="0.25">
      <c r="B189" s="141">
        <v>178</v>
      </c>
      <c r="C189" s="171"/>
      <c r="D189" s="172"/>
      <c r="E189" s="498" t="str">
        <f>IF(C189="","",VLOOKUP(C189,'G-7 Rivers Data'!$B$2:$G$8,2,FALSE))</f>
        <v/>
      </c>
      <c r="F189" s="499" t="str">
        <f>IFERROR(VLOOKUP(E189,'G-7 Rivers Data'!$C$4:$D$8,2,FALSE),"")</f>
        <v/>
      </c>
      <c r="G189" s="145"/>
      <c r="H189" s="499" t="str">
        <f>IFERROR(INDEX('G-7 Rivers Data'!$H$4:$L$8,MATCH(C189,'G-7 Rivers Data'!$B$4:$B$8,0),MATCH(G189,'G-7 Rivers Data'!$H$3:$L$3,0)),"")</f>
        <v/>
      </c>
      <c r="I189" s="154"/>
      <c r="J189" s="507" t="str">
        <f>IF(I189="","",IF(VLOOKUP(I189,'G-7 Rivers Data'!$AG$4:$AI$9,2,FALSE)=0,"Spatial Data Missing ⚠",VLOOKUP(I189,'G-7 Rivers Data'!$AG$4:$AI$9,2,FALSE)))</f>
        <v/>
      </c>
      <c r="K189" s="499" t="str">
        <f>IF(I189="","",IF(VLOOKUP(I189,'G-7 Rivers Data'!$AG$4:$AI$9,3,FALSE)=0,"Spatial Data Missing ⚠",VLOOKUP(I189,'G-7 Rivers Data'!$AG$4:$AI$9,3,FALSE)))</f>
        <v/>
      </c>
      <c r="L189" s="498" t="str">
        <f>IFERROR(INDEX('G-7 Rivers Data'!$O$3:$O$7,MATCH(G189,'G-7 Rivers Data'!$N$3:$N$7,0)),"")</f>
        <v/>
      </c>
      <c r="M189" s="82"/>
      <c r="N189" s="195"/>
      <c r="O189" s="507" t="str">
        <f t="shared" si="13"/>
        <v/>
      </c>
      <c r="P189" s="521" t="str">
        <f t="shared" si="14"/>
        <v/>
      </c>
      <c r="Q189" s="564" t="str">
        <f>IFERROR(IF(P189="Check Data ⚠","Check Data ⚠",VLOOKUP(P189,'G-4 Temporal multipliers'!$A$4:$C$37,3,FALSE)),"")</f>
        <v/>
      </c>
      <c r="R189" s="498" t="str">
        <f>IF(C189="","",VLOOKUP(C189,'G-7 Rivers Data'!$B$4:$G$8,4,FALSE))</f>
        <v/>
      </c>
      <c r="S189" s="507" t="str">
        <f t="shared" si="15"/>
        <v/>
      </c>
      <c r="T189" s="540" t="str">
        <f t="shared" si="16"/>
        <v/>
      </c>
      <c r="U189" s="499" t="str">
        <f t="shared" si="17"/>
        <v/>
      </c>
      <c r="V189" s="71"/>
      <c r="W189" s="499" t="str">
        <f>IF(V189="","",IF(VLOOKUP(V189,'G-7 Rivers Data'!$AA$4:$AB$7,2,FALSE)=0,"Spatial Data Missing ⚠",VLOOKUP(V189,'G-7 Rivers Data'!$AA$4:$AB$7,2,FALSE)))</f>
        <v/>
      </c>
      <c r="X189" s="155"/>
      <c r="Y189" s="499" t="str">
        <f>IF(X189="","",IF(VLOOKUP(X189,'G-7 Rivers Data'!$AD$4:$AE$8,2,FALSE)=0,"Enrcoachment Data Missing ⚠",VLOOKUP(X189,'G-7 Rivers Data'!$AD$4:$AE$8,2,FALSE)))</f>
        <v/>
      </c>
      <c r="Z189" s="565" t="str">
        <f t="shared" si="18"/>
        <v/>
      </c>
      <c r="AA189" s="149"/>
      <c r="AB189" s="150"/>
      <c r="AH189" s="31" t="str">
        <f>IFERROR(INDEX('G-7 Rivers Data'!$AZ$3:$AZ$7,MATCH(C189,'G-7 Rivers Data'!$AY$3:$AY$7,0)),"")</f>
        <v/>
      </c>
    </row>
    <row r="190" spans="2:34" ht="13.8" x14ac:dyDescent="0.25">
      <c r="B190" s="141">
        <v>179</v>
      </c>
      <c r="C190" s="171"/>
      <c r="D190" s="172"/>
      <c r="E190" s="498" t="str">
        <f>IF(C190="","",VLOOKUP(C190,'G-7 Rivers Data'!$B$2:$G$8,2,FALSE))</f>
        <v/>
      </c>
      <c r="F190" s="499" t="str">
        <f>IFERROR(VLOOKUP(E190,'G-7 Rivers Data'!$C$4:$D$8,2,FALSE),"")</f>
        <v/>
      </c>
      <c r="G190" s="145"/>
      <c r="H190" s="499" t="str">
        <f>IFERROR(INDEX('G-7 Rivers Data'!$H$4:$L$8,MATCH(C190,'G-7 Rivers Data'!$B$4:$B$8,0),MATCH(G190,'G-7 Rivers Data'!$H$3:$L$3,0)),"")</f>
        <v/>
      </c>
      <c r="I190" s="154"/>
      <c r="J190" s="507" t="str">
        <f>IF(I190="","",IF(VLOOKUP(I190,'G-7 Rivers Data'!$AG$4:$AI$9,2,FALSE)=0,"Spatial Data Missing ⚠",VLOOKUP(I190,'G-7 Rivers Data'!$AG$4:$AI$9,2,FALSE)))</f>
        <v/>
      </c>
      <c r="K190" s="499" t="str">
        <f>IF(I190="","",IF(VLOOKUP(I190,'G-7 Rivers Data'!$AG$4:$AI$9,3,FALSE)=0,"Spatial Data Missing ⚠",VLOOKUP(I190,'G-7 Rivers Data'!$AG$4:$AI$9,3,FALSE)))</f>
        <v/>
      </c>
      <c r="L190" s="498" t="str">
        <f>IFERROR(INDEX('G-7 Rivers Data'!$O$3:$O$7,MATCH(G190,'G-7 Rivers Data'!$N$3:$N$7,0)),"")</f>
        <v/>
      </c>
      <c r="M190" s="82"/>
      <c r="N190" s="195"/>
      <c r="O190" s="507" t="str">
        <f t="shared" si="13"/>
        <v/>
      </c>
      <c r="P190" s="521" t="str">
        <f t="shared" si="14"/>
        <v/>
      </c>
      <c r="Q190" s="564" t="str">
        <f>IFERROR(IF(P190="Check Data ⚠","Check Data ⚠",VLOOKUP(P190,'G-4 Temporal multipliers'!$A$4:$C$37,3,FALSE)),"")</f>
        <v/>
      </c>
      <c r="R190" s="498" t="str">
        <f>IF(C190="","",VLOOKUP(C190,'G-7 Rivers Data'!$B$4:$G$8,4,FALSE))</f>
        <v/>
      </c>
      <c r="S190" s="507" t="str">
        <f t="shared" si="15"/>
        <v/>
      </c>
      <c r="T190" s="540" t="str">
        <f t="shared" si="16"/>
        <v/>
      </c>
      <c r="U190" s="499" t="str">
        <f t="shared" si="17"/>
        <v/>
      </c>
      <c r="V190" s="71"/>
      <c r="W190" s="499" t="str">
        <f>IF(V190="","",IF(VLOOKUP(V190,'G-7 Rivers Data'!$AA$4:$AB$7,2,FALSE)=0,"Spatial Data Missing ⚠",VLOOKUP(V190,'G-7 Rivers Data'!$AA$4:$AB$7,2,FALSE)))</f>
        <v/>
      </c>
      <c r="X190" s="155"/>
      <c r="Y190" s="499" t="str">
        <f>IF(X190="","",IF(VLOOKUP(X190,'G-7 Rivers Data'!$AD$4:$AE$8,2,FALSE)=0,"Enrcoachment Data Missing ⚠",VLOOKUP(X190,'G-7 Rivers Data'!$AD$4:$AE$8,2,FALSE)))</f>
        <v/>
      </c>
      <c r="Z190" s="565" t="str">
        <f t="shared" si="18"/>
        <v/>
      </c>
      <c r="AA190" s="149"/>
      <c r="AB190" s="150"/>
      <c r="AH190" s="31" t="str">
        <f>IFERROR(INDEX('G-7 Rivers Data'!$AZ$3:$AZ$7,MATCH(C190,'G-7 Rivers Data'!$AY$3:$AY$7,0)),"")</f>
        <v/>
      </c>
    </row>
    <row r="191" spans="2:34" ht="13.8" x14ac:dyDescent="0.25">
      <c r="B191" s="141">
        <v>180</v>
      </c>
      <c r="C191" s="171"/>
      <c r="D191" s="172"/>
      <c r="E191" s="498" t="str">
        <f>IF(C191="","",VLOOKUP(C191,'G-7 Rivers Data'!$B$2:$G$8,2,FALSE))</f>
        <v/>
      </c>
      <c r="F191" s="499" t="str">
        <f>IFERROR(VLOOKUP(E191,'G-7 Rivers Data'!$C$4:$D$8,2,FALSE),"")</f>
        <v/>
      </c>
      <c r="G191" s="145"/>
      <c r="H191" s="499" t="str">
        <f>IFERROR(INDEX('G-7 Rivers Data'!$H$4:$L$8,MATCH(C191,'G-7 Rivers Data'!$B$4:$B$8,0),MATCH(G191,'G-7 Rivers Data'!$H$3:$L$3,0)),"")</f>
        <v/>
      </c>
      <c r="I191" s="154"/>
      <c r="J191" s="507" t="str">
        <f>IF(I191="","",IF(VLOOKUP(I191,'G-7 Rivers Data'!$AG$4:$AI$9,2,FALSE)=0,"Spatial Data Missing ⚠",VLOOKUP(I191,'G-7 Rivers Data'!$AG$4:$AI$9,2,FALSE)))</f>
        <v/>
      </c>
      <c r="K191" s="499" t="str">
        <f>IF(I191="","",IF(VLOOKUP(I191,'G-7 Rivers Data'!$AG$4:$AI$9,3,FALSE)=0,"Spatial Data Missing ⚠",VLOOKUP(I191,'G-7 Rivers Data'!$AG$4:$AI$9,3,FALSE)))</f>
        <v/>
      </c>
      <c r="L191" s="498" t="str">
        <f>IFERROR(INDEX('G-7 Rivers Data'!$O$3:$O$7,MATCH(G191,'G-7 Rivers Data'!$N$3:$N$7,0)),"")</f>
        <v/>
      </c>
      <c r="M191" s="82"/>
      <c r="N191" s="195"/>
      <c r="O191" s="507" t="str">
        <f t="shared" si="13"/>
        <v/>
      </c>
      <c r="P191" s="521" t="str">
        <f t="shared" si="14"/>
        <v/>
      </c>
      <c r="Q191" s="564" t="str">
        <f>IFERROR(IF(P191="Check Data ⚠","Check Data ⚠",VLOOKUP(P191,'G-4 Temporal multipliers'!$A$4:$C$37,3,FALSE)),"")</f>
        <v/>
      </c>
      <c r="R191" s="498" t="str">
        <f>IF(C191="","",VLOOKUP(C191,'G-7 Rivers Data'!$B$4:$G$8,4,FALSE))</f>
        <v/>
      </c>
      <c r="S191" s="507" t="str">
        <f t="shared" si="15"/>
        <v/>
      </c>
      <c r="T191" s="540" t="str">
        <f t="shared" si="16"/>
        <v/>
      </c>
      <c r="U191" s="499" t="str">
        <f t="shared" si="17"/>
        <v/>
      </c>
      <c r="V191" s="71"/>
      <c r="W191" s="499" t="str">
        <f>IF(V191="","",IF(VLOOKUP(V191,'G-7 Rivers Data'!$AA$4:$AB$7,2,FALSE)=0,"Spatial Data Missing ⚠",VLOOKUP(V191,'G-7 Rivers Data'!$AA$4:$AB$7,2,FALSE)))</f>
        <v/>
      </c>
      <c r="X191" s="155"/>
      <c r="Y191" s="499" t="str">
        <f>IF(X191="","",IF(VLOOKUP(X191,'G-7 Rivers Data'!$AD$4:$AE$8,2,FALSE)=0,"Enrcoachment Data Missing ⚠",VLOOKUP(X191,'G-7 Rivers Data'!$AD$4:$AE$8,2,FALSE)))</f>
        <v/>
      </c>
      <c r="Z191" s="565" t="str">
        <f t="shared" si="18"/>
        <v/>
      </c>
      <c r="AA191" s="149"/>
      <c r="AB191" s="150"/>
      <c r="AH191" s="31" t="str">
        <f>IFERROR(INDEX('G-7 Rivers Data'!$AZ$3:$AZ$7,MATCH(C191,'G-7 Rivers Data'!$AY$3:$AY$7,0)),"")</f>
        <v/>
      </c>
    </row>
    <row r="192" spans="2:34" ht="13.8" x14ac:dyDescent="0.25">
      <c r="B192" s="141">
        <v>181</v>
      </c>
      <c r="C192" s="171"/>
      <c r="D192" s="172"/>
      <c r="E192" s="498" t="str">
        <f>IF(C192="","",VLOOKUP(C192,'G-7 Rivers Data'!$B$2:$G$8,2,FALSE))</f>
        <v/>
      </c>
      <c r="F192" s="499" t="str">
        <f>IFERROR(VLOOKUP(E192,'G-7 Rivers Data'!$C$4:$D$8,2,FALSE),"")</f>
        <v/>
      </c>
      <c r="G192" s="145"/>
      <c r="H192" s="499" t="str">
        <f>IFERROR(INDEX('G-7 Rivers Data'!$H$4:$L$8,MATCH(C192,'G-7 Rivers Data'!$B$4:$B$8,0),MATCH(G192,'G-7 Rivers Data'!$H$3:$L$3,0)),"")</f>
        <v/>
      </c>
      <c r="I192" s="154"/>
      <c r="J192" s="507" t="str">
        <f>IF(I192="","",IF(VLOOKUP(I192,'G-7 Rivers Data'!$AG$4:$AI$9,2,FALSE)=0,"Spatial Data Missing ⚠",VLOOKUP(I192,'G-7 Rivers Data'!$AG$4:$AI$9,2,FALSE)))</f>
        <v/>
      </c>
      <c r="K192" s="499" t="str">
        <f>IF(I192="","",IF(VLOOKUP(I192,'G-7 Rivers Data'!$AG$4:$AI$9,3,FALSE)=0,"Spatial Data Missing ⚠",VLOOKUP(I192,'G-7 Rivers Data'!$AG$4:$AI$9,3,FALSE)))</f>
        <v/>
      </c>
      <c r="L192" s="498" t="str">
        <f>IFERROR(INDEX('G-7 Rivers Data'!$O$3:$O$7,MATCH(G192,'G-7 Rivers Data'!$N$3:$N$7,0)),"")</f>
        <v/>
      </c>
      <c r="M192" s="82"/>
      <c r="N192" s="195"/>
      <c r="O192" s="507" t="str">
        <f t="shared" si="13"/>
        <v/>
      </c>
      <c r="P192" s="521" t="str">
        <f t="shared" si="14"/>
        <v/>
      </c>
      <c r="Q192" s="564" t="str">
        <f>IFERROR(IF(P192="Check Data ⚠","Check Data ⚠",VLOOKUP(P192,'G-4 Temporal multipliers'!$A$4:$C$37,3,FALSE)),"")</f>
        <v/>
      </c>
      <c r="R192" s="498" t="str">
        <f>IF(C192="","",VLOOKUP(C192,'G-7 Rivers Data'!$B$4:$G$8,4,FALSE))</f>
        <v/>
      </c>
      <c r="S192" s="507" t="str">
        <f t="shared" si="15"/>
        <v/>
      </c>
      <c r="T192" s="540" t="str">
        <f t="shared" si="16"/>
        <v/>
      </c>
      <c r="U192" s="499" t="str">
        <f t="shared" si="17"/>
        <v/>
      </c>
      <c r="V192" s="71"/>
      <c r="W192" s="499" t="str">
        <f>IF(V192="","",IF(VLOOKUP(V192,'G-7 Rivers Data'!$AA$4:$AB$7,2,FALSE)=0,"Spatial Data Missing ⚠",VLOOKUP(V192,'G-7 Rivers Data'!$AA$4:$AB$7,2,FALSE)))</f>
        <v/>
      </c>
      <c r="X192" s="155"/>
      <c r="Y192" s="499" t="str">
        <f>IF(X192="","",IF(VLOOKUP(X192,'G-7 Rivers Data'!$AD$4:$AE$8,2,FALSE)=0,"Enrcoachment Data Missing ⚠",VLOOKUP(X192,'G-7 Rivers Data'!$AD$4:$AE$8,2,FALSE)))</f>
        <v/>
      </c>
      <c r="Z192" s="565" t="str">
        <f t="shared" si="18"/>
        <v/>
      </c>
      <c r="AA192" s="149"/>
      <c r="AB192" s="150"/>
      <c r="AH192" s="31" t="str">
        <f>IFERROR(INDEX('G-7 Rivers Data'!$AZ$3:$AZ$7,MATCH(C192,'G-7 Rivers Data'!$AY$3:$AY$7,0)),"")</f>
        <v/>
      </c>
    </row>
    <row r="193" spans="2:34" ht="13.8" x14ac:dyDescent="0.25">
      <c r="B193" s="141">
        <v>182</v>
      </c>
      <c r="C193" s="171"/>
      <c r="D193" s="172"/>
      <c r="E193" s="498" t="str">
        <f>IF(C193="","",VLOOKUP(C193,'G-7 Rivers Data'!$B$2:$G$8,2,FALSE))</f>
        <v/>
      </c>
      <c r="F193" s="499" t="str">
        <f>IFERROR(VLOOKUP(E193,'G-7 Rivers Data'!$C$4:$D$8,2,FALSE),"")</f>
        <v/>
      </c>
      <c r="G193" s="145"/>
      <c r="H193" s="499" t="str">
        <f>IFERROR(INDEX('G-7 Rivers Data'!$H$4:$L$8,MATCH(C193,'G-7 Rivers Data'!$B$4:$B$8,0),MATCH(G193,'G-7 Rivers Data'!$H$3:$L$3,0)),"")</f>
        <v/>
      </c>
      <c r="I193" s="154"/>
      <c r="J193" s="507" t="str">
        <f>IF(I193="","",IF(VLOOKUP(I193,'G-7 Rivers Data'!$AG$4:$AI$9,2,FALSE)=0,"Spatial Data Missing ⚠",VLOOKUP(I193,'G-7 Rivers Data'!$AG$4:$AI$9,2,FALSE)))</f>
        <v/>
      </c>
      <c r="K193" s="499" t="str">
        <f>IF(I193="","",IF(VLOOKUP(I193,'G-7 Rivers Data'!$AG$4:$AI$9,3,FALSE)=0,"Spatial Data Missing ⚠",VLOOKUP(I193,'G-7 Rivers Data'!$AG$4:$AI$9,3,FALSE)))</f>
        <v/>
      </c>
      <c r="L193" s="498" t="str">
        <f>IFERROR(INDEX('G-7 Rivers Data'!$O$3:$O$7,MATCH(G193,'G-7 Rivers Data'!$N$3:$N$7,0)),"")</f>
        <v/>
      </c>
      <c r="M193" s="82"/>
      <c r="N193" s="195"/>
      <c r="O193" s="507" t="str">
        <f t="shared" si="13"/>
        <v/>
      </c>
      <c r="P193" s="521" t="str">
        <f t="shared" si="14"/>
        <v/>
      </c>
      <c r="Q193" s="564" t="str">
        <f>IFERROR(IF(P193="Check Data ⚠","Check Data ⚠",VLOOKUP(P193,'G-4 Temporal multipliers'!$A$4:$C$37,3,FALSE)),"")</f>
        <v/>
      </c>
      <c r="R193" s="498" t="str">
        <f>IF(C193="","",VLOOKUP(C193,'G-7 Rivers Data'!$B$4:$G$8,4,FALSE))</f>
        <v/>
      </c>
      <c r="S193" s="507" t="str">
        <f t="shared" si="15"/>
        <v/>
      </c>
      <c r="T193" s="540" t="str">
        <f t="shared" si="16"/>
        <v/>
      </c>
      <c r="U193" s="499" t="str">
        <f t="shared" si="17"/>
        <v/>
      </c>
      <c r="V193" s="71"/>
      <c r="W193" s="499" t="str">
        <f>IF(V193="","",IF(VLOOKUP(V193,'G-7 Rivers Data'!$AA$4:$AB$7,2,FALSE)=0,"Spatial Data Missing ⚠",VLOOKUP(V193,'G-7 Rivers Data'!$AA$4:$AB$7,2,FALSE)))</f>
        <v/>
      </c>
      <c r="X193" s="155"/>
      <c r="Y193" s="499" t="str">
        <f>IF(X193="","",IF(VLOOKUP(X193,'G-7 Rivers Data'!$AD$4:$AE$8,2,FALSE)=0,"Enrcoachment Data Missing ⚠",VLOOKUP(X193,'G-7 Rivers Data'!$AD$4:$AE$8,2,FALSE)))</f>
        <v/>
      </c>
      <c r="Z193" s="565" t="str">
        <f t="shared" si="18"/>
        <v/>
      </c>
      <c r="AA193" s="149"/>
      <c r="AB193" s="150"/>
      <c r="AH193" s="31" t="str">
        <f>IFERROR(INDEX('G-7 Rivers Data'!$AZ$3:$AZ$7,MATCH(C193,'G-7 Rivers Data'!$AY$3:$AY$7,0)),"")</f>
        <v/>
      </c>
    </row>
    <row r="194" spans="2:34" ht="13.8" x14ac:dyDescent="0.25">
      <c r="B194" s="141">
        <v>183</v>
      </c>
      <c r="C194" s="171"/>
      <c r="D194" s="172"/>
      <c r="E194" s="498" t="str">
        <f>IF(C194="","",VLOOKUP(C194,'G-7 Rivers Data'!$B$2:$G$8,2,FALSE))</f>
        <v/>
      </c>
      <c r="F194" s="499" t="str">
        <f>IFERROR(VLOOKUP(E194,'G-7 Rivers Data'!$C$4:$D$8,2,FALSE),"")</f>
        <v/>
      </c>
      <c r="G194" s="145"/>
      <c r="H194" s="499" t="str">
        <f>IFERROR(INDEX('G-7 Rivers Data'!$H$4:$L$8,MATCH(C194,'G-7 Rivers Data'!$B$4:$B$8,0),MATCH(G194,'G-7 Rivers Data'!$H$3:$L$3,0)),"")</f>
        <v/>
      </c>
      <c r="I194" s="154"/>
      <c r="J194" s="507" t="str">
        <f>IF(I194="","",IF(VLOOKUP(I194,'G-7 Rivers Data'!$AG$4:$AI$9,2,FALSE)=0,"Spatial Data Missing ⚠",VLOOKUP(I194,'G-7 Rivers Data'!$AG$4:$AI$9,2,FALSE)))</f>
        <v/>
      </c>
      <c r="K194" s="499" t="str">
        <f>IF(I194="","",IF(VLOOKUP(I194,'G-7 Rivers Data'!$AG$4:$AI$9,3,FALSE)=0,"Spatial Data Missing ⚠",VLOOKUP(I194,'G-7 Rivers Data'!$AG$4:$AI$9,3,FALSE)))</f>
        <v/>
      </c>
      <c r="L194" s="498" t="str">
        <f>IFERROR(INDEX('G-7 Rivers Data'!$O$3:$O$7,MATCH(G194,'G-7 Rivers Data'!$N$3:$N$7,0)),"")</f>
        <v/>
      </c>
      <c r="M194" s="82"/>
      <c r="N194" s="195"/>
      <c r="O194" s="507" t="str">
        <f t="shared" si="13"/>
        <v/>
      </c>
      <c r="P194" s="521" t="str">
        <f t="shared" si="14"/>
        <v/>
      </c>
      <c r="Q194" s="564" t="str">
        <f>IFERROR(IF(P194="Check Data ⚠","Check Data ⚠",VLOOKUP(P194,'G-4 Temporal multipliers'!$A$4:$C$37,3,FALSE)),"")</f>
        <v/>
      </c>
      <c r="R194" s="498" t="str">
        <f>IF(C194="","",VLOOKUP(C194,'G-7 Rivers Data'!$B$4:$G$8,4,FALSE))</f>
        <v/>
      </c>
      <c r="S194" s="507" t="str">
        <f t="shared" si="15"/>
        <v/>
      </c>
      <c r="T194" s="540" t="str">
        <f t="shared" si="16"/>
        <v/>
      </c>
      <c r="U194" s="499" t="str">
        <f t="shared" si="17"/>
        <v/>
      </c>
      <c r="V194" s="71"/>
      <c r="W194" s="499" t="str">
        <f>IF(V194="","",IF(VLOOKUP(V194,'G-7 Rivers Data'!$AA$4:$AB$7,2,FALSE)=0,"Spatial Data Missing ⚠",VLOOKUP(V194,'G-7 Rivers Data'!$AA$4:$AB$7,2,FALSE)))</f>
        <v/>
      </c>
      <c r="X194" s="155"/>
      <c r="Y194" s="499" t="str">
        <f>IF(X194="","",IF(VLOOKUP(X194,'G-7 Rivers Data'!$AD$4:$AE$8,2,FALSE)=0,"Enrcoachment Data Missing ⚠",VLOOKUP(X194,'G-7 Rivers Data'!$AD$4:$AE$8,2,FALSE)))</f>
        <v/>
      </c>
      <c r="Z194" s="565" t="str">
        <f t="shared" si="18"/>
        <v/>
      </c>
      <c r="AA194" s="149"/>
      <c r="AB194" s="150"/>
      <c r="AH194" s="31" t="str">
        <f>IFERROR(INDEX('G-7 Rivers Data'!$AZ$3:$AZ$7,MATCH(C194,'G-7 Rivers Data'!$AY$3:$AY$7,0)),"")</f>
        <v/>
      </c>
    </row>
    <row r="195" spans="2:34" ht="13.8" x14ac:dyDescent="0.25">
      <c r="B195" s="141">
        <v>184</v>
      </c>
      <c r="C195" s="171"/>
      <c r="D195" s="172"/>
      <c r="E195" s="498" t="str">
        <f>IF(C195="","",VLOOKUP(C195,'G-7 Rivers Data'!$B$2:$G$8,2,FALSE))</f>
        <v/>
      </c>
      <c r="F195" s="499" t="str">
        <f>IFERROR(VLOOKUP(E195,'G-7 Rivers Data'!$C$4:$D$8,2,FALSE),"")</f>
        <v/>
      </c>
      <c r="G195" s="145"/>
      <c r="H195" s="499" t="str">
        <f>IFERROR(INDEX('G-7 Rivers Data'!$H$4:$L$8,MATCH(C195,'G-7 Rivers Data'!$B$4:$B$8,0),MATCH(G195,'G-7 Rivers Data'!$H$3:$L$3,0)),"")</f>
        <v/>
      </c>
      <c r="I195" s="154"/>
      <c r="J195" s="507" t="str">
        <f>IF(I195="","",IF(VLOOKUP(I195,'G-7 Rivers Data'!$AG$4:$AI$9,2,FALSE)=0,"Spatial Data Missing ⚠",VLOOKUP(I195,'G-7 Rivers Data'!$AG$4:$AI$9,2,FALSE)))</f>
        <v/>
      </c>
      <c r="K195" s="499" t="str">
        <f>IF(I195="","",IF(VLOOKUP(I195,'G-7 Rivers Data'!$AG$4:$AI$9,3,FALSE)=0,"Spatial Data Missing ⚠",VLOOKUP(I195,'G-7 Rivers Data'!$AG$4:$AI$9,3,FALSE)))</f>
        <v/>
      </c>
      <c r="L195" s="498" t="str">
        <f>IFERROR(INDEX('G-7 Rivers Data'!$O$3:$O$7,MATCH(G195,'G-7 Rivers Data'!$N$3:$N$7,0)),"")</f>
        <v/>
      </c>
      <c r="M195" s="82"/>
      <c r="N195" s="195"/>
      <c r="O195" s="507" t="str">
        <f t="shared" si="13"/>
        <v/>
      </c>
      <c r="P195" s="521" t="str">
        <f t="shared" si="14"/>
        <v/>
      </c>
      <c r="Q195" s="564" t="str">
        <f>IFERROR(IF(P195="Check Data ⚠","Check Data ⚠",VLOOKUP(P195,'G-4 Temporal multipliers'!$A$4:$C$37,3,FALSE)),"")</f>
        <v/>
      </c>
      <c r="R195" s="498" t="str">
        <f>IF(C195="","",VLOOKUP(C195,'G-7 Rivers Data'!$B$4:$G$8,4,FALSE))</f>
        <v/>
      </c>
      <c r="S195" s="507" t="str">
        <f t="shared" si="15"/>
        <v/>
      </c>
      <c r="T195" s="540" t="str">
        <f t="shared" si="16"/>
        <v/>
      </c>
      <c r="U195" s="499" t="str">
        <f t="shared" si="17"/>
        <v/>
      </c>
      <c r="V195" s="71"/>
      <c r="W195" s="499" t="str">
        <f>IF(V195="","",IF(VLOOKUP(V195,'G-7 Rivers Data'!$AA$4:$AB$7,2,FALSE)=0,"Spatial Data Missing ⚠",VLOOKUP(V195,'G-7 Rivers Data'!$AA$4:$AB$7,2,FALSE)))</f>
        <v/>
      </c>
      <c r="X195" s="155"/>
      <c r="Y195" s="499" t="str">
        <f>IF(X195="","",IF(VLOOKUP(X195,'G-7 Rivers Data'!$AD$4:$AE$8,2,FALSE)=0,"Enrcoachment Data Missing ⚠",VLOOKUP(X195,'G-7 Rivers Data'!$AD$4:$AE$8,2,FALSE)))</f>
        <v/>
      </c>
      <c r="Z195" s="565" t="str">
        <f t="shared" si="18"/>
        <v/>
      </c>
      <c r="AA195" s="149"/>
      <c r="AB195" s="150"/>
      <c r="AH195" s="31" t="str">
        <f>IFERROR(INDEX('G-7 Rivers Data'!$AZ$3:$AZ$7,MATCH(C195,'G-7 Rivers Data'!$AY$3:$AY$7,0)),"")</f>
        <v/>
      </c>
    </row>
    <row r="196" spans="2:34" ht="13.8" x14ac:dyDescent="0.25">
      <c r="B196" s="141">
        <v>185</v>
      </c>
      <c r="C196" s="171"/>
      <c r="D196" s="172"/>
      <c r="E196" s="498" t="str">
        <f>IF(C196="","",VLOOKUP(C196,'G-7 Rivers Data'!$B$2:$G$8,2,FALSE))</f>
        <v/>
      </c>
      <c r="F196" s="499" t="str">
        <f>IFERROR(VLOOKUP(E196,'G-7 Rivers Data'!$C$4:$D$8,2,FALSE),"")</f>
        <v/>
      </c>
      <c r="G196" s="145"/>
      <c r="H196" s="499" t="str">
        <f>IFERROR(INDEX('G-7 Rivers Data'!$H$4:$L$8,MATCH(C196,'G-7 Rivers Data'!$B$4:$B$8,0),MATCH(G196,'G-7 Rivers Data'!$H$3:$L$3,0)),"")</f>
        <v/>
      </c>
      <c r="I196" s="154"/>
      <c r="J196" s="507" t="str">
        <f>IF(I196="","",IF(VLOOKUP(I196,'G-7 Rivers Data'!$AG$4:$AI$9,2,FALSE)=0,"Spatial Data Missing ⚠",VLOOKUP(I196,'G-7 Rivers Data'!$AG$4:$AI$9,2,FALSE)))</f>
        <v/>
      </c>
      <c r="K196" s="499" t="str">
        <f>IF(I196="","",IF(VLOOKUP(I196,'G-7 Rivers Data'!$AG$4:$AI$9,3,FALSE)=0,"Spatial Data Missing ⚠",VLOOKUP(I196,'G-7 Rivers Data'!$AG$4:$AI$9,3,FALSE)))</f>
        <v/>
      </c>
      <c r="L196" s="498" t="str">
        <f>IFERROR(INDEX('G-7 Rivers Data'!$O$3:$O$7,MATCH(G196,'G-7 Rivers Data'!$N$3:$N$7,0)),"")</f>
        <v/>
      </c>
      <c r="M196" s="82"/>
      <c r="N196" s="195"/>
      <c r="O196" s="507" t="str">
        <f t="shared" si="13"/>
        <v/>
      </c>
      <c r="P196" s="521" t="str">
        <f t="shared" si="14"/>
        <v/>
      </c>
      <c r="Q196" s="564" t="str">
        <f>IFERROR(IF(P196="Check Data ⚠","Check Data ⚠",VLOOKUP(P196,'G-4 Temporal multipliers'!$A$4:$C$37,3,FALSE)),"")</f>
        <v/>
      </c>
      <c r="R196" s="498" t="str">
        <f>IF(C196="","",VLOOKUP(C196,'G-7 Rivers Data'!$B$4:$G$8,4,FALSE))</f>
        <v/>
      </c>
      <c r="S196" s="507" t="str">
        <f t="shared" si="15"/>
        <v/>
      </c>
      <c r="T196" s="540" t="str">
        <f t="shared" si="16"/>
        <v/>
      </c>
      <c r="U196" s="499" t="str">
        <f t="shared" si="17"/>
        <v/>
      </c>
      <c r="V196" s="71"/>
      <c r="W196" s="499" t="str">
        <f>IF(V196="","",IF(VLOOKUP(V196,'G-7 Rivers Data'!$AA$4:$AB$7,2,FALSE)=0,"Spatial Data Missing ⚠",VLOOKUP(V196,'G-7 Rivers Data'!$AA$4:$AB$7,2,FALSE)))</f>
        <v/>
      </c>
      <c r="X196" s="155"/>
      <c r="Y196" s="499" t="str">
        <f>IF(X196="","",IF(VLOOKUP(X196,'G-7 Rivers Data'!$AD$4:$AE$8,2,FALSE)=0,"Enrcoachment Data Missing ⚠",VLOOKUP(X196,'G-7 Rivers Data'!$AD$4:$AE$8,2,FALSE)))</f>
        <v/>
      </c>
      <c r="Z196" s="565" t="str">
        <f t="shared" si="18"/>
        <v/>
      </c>
      <c r="AA196" s="149"/>
      <c r="AB196" s="150"/>
      <c r="AH196" s="31" t="str">
        <f>IFERROR(INDEX('G-7 Rivers Data'!$AZ$3:$AZ$7,MATCH(C196,'G-7 Rivers Data'!$AY$3:$AY$7,0)),"")</f>
        <v/>
      </c>
    </row>
    <row r="197" spans="2:34" ht="13.8" x14ac:dyDescent="0.25">
      <c r="B197" s="141">
        <v>186</v>
      </c>
      <c r="C197" s="171"/>
      <c r="D197" s="172"/>
      <c r="E197" s="498" t="str">
        <f>IF(C197="","",VLOOKUP(C197,'G-7 Rivers Data'!$B$2:$G$8,2,FALSE))</f>
        <v/>
      </c>
      <c r="F197" s="499" t="str">
        <f>IFERROR(VLOOKUP(E197,'G-7 Rivers Data'!$C$4:$D$8,2,FALSE),"")</f>
        <v/>
      </c>
      <c r="G197" s="145"/>
      <c r="H197" s="499" t="str">
        <f>IFERROR(INDEX('G-7 Rivers Data'!$H$4:$L$8,MATCH(C197,'G-7 Rivers Data'!$B$4:$B$8,0),MATCH(G197,'G-7 Rivers Data'!$H$3:$L$3,0)),"")</f>
        <v/>
      </c>
      <c r="I197" s="154"/>
      <c r="J197" s="507" t="str">
        <f>IF(I197="","",IF(VLOOKUP(I197,'G-7 Rivers Data'!$AG$4:$AI$9,2,FALSE)=0,"Spatial Data Missing ⚠",VLOOKUP(I197,'G-7 Rivers Data'!$AG$4:$AI$9,2,FALSE)))</f>
        <v/>
      </c>
      <c r="K197" s="499" t="str">
        <f>IF(I197="","",IF(VLOOKUP(I197,'G-7 Rivers Data'!$AG$4:$AI$9,3,FALSE)=0,"Spatial Data Missing ⚠",VLOOKUP(I197,'G-7 Rivers Data'!$AG$4:$AI$9,3,FALSE)))</f>
        <v/>
      </c>
      <c r="L197" s="498" t="str">
        <f>IFERROR(INDEX('G-7 Rivers Data'!$O$3:$O$7,MATCH(G197,'G-7 Rivers Data'!$N$3:$N$7,0)),"")</f>
        <v/>
      </c>
      <c r="M197" s="82"/>
      <c r="N197" s="195"/>
      <c r="O197" s="507" t="str">
        <f t="shared" si="13"/>
        <v/>
      </c>
      <c r="P197" s="521" t="str">
        <f t="shared" si="14"/>
        <v/>
      </c>
      <c r="Q197" s="564" t="str">
        <f>IFERROR(IF(P197="Check Data ⚠","Check Data ⚠",VLOOKUP(P197,'G-4 Temporal multipliers'!$A$4:$C$37,3,FALSE)),"")</f>
        <v/>
      </c>
      <c r="R197" s="498" t="str">
        <f>IF(C197="","",VLOOKUP(C197,'G-7 Rivers Data'!$B$4:$G$8,4,FALSE))</f>
        <v/>
      </c>
      <c r="S197" s="507" t="str">
        <f t="shared" si="15"/>
        <v/>
      </c>
      <c r="T197" s="540" t="str">
        <f t="shared" si="16"/>
        <v/>
      </c>
      <c r="U197" s="499" t="str">
        <f t="shared" si="17"/>
        <v/>
      </c>
      <c r="V197" s="71"/>
      <c r="W197" s="499" t="str">
        <f>IF(V197="","",IF(VLOOKUP(V197,'G-7 Rivers Data'!$AA$4:$AB$7,2,FALSE)=0,"Spatial Data Missing ⚠",VLOOKUP(V197,'G-7 Rivers Data'!$AA$4:$AB$7,2,FALSE)))</f>
        <v/>
      </c>
      <c r="X197" s="155"/>
      <c r="Y197" s="499" t="str">
        <f>IF(X197="","",IF(VLOOKUP(X197,'G-7 Rivers Data'!$AD$4:$AE$8,2,FALSE)=0,"Enrcoachment Data Missing ⚠",VLOOKUP(X197,'G-7 Rivers Data'!$AD$4:$AE$8,2,FALSE)))</f>
        <v/>
      </c>
      <c r="Z197" s="565" t="str">
        <f t="shared" si="18"/>
        <v/>
      </c>
      <c r="AA197" s="149"/>
      <c r="AB197" s="150"/>
      <c r="AH197" s="31" t="str">
        <f>IFERROR(INDEX('G-7 Rivers Data'!$AZ$3:$AZ$7,MATCH(C197,'G-7 Rivers Data'!$AY$3:$AY$7,0)),"")</f>
        <v/>
      </c>
    </row>
    <row r="198" spans="2:34" ht="13.8" x14ac:dyDescent="0.25">
      <c r="B198" s="141">
        <v>187</v>
      </c>
      <c r="C198" s="171"/>
      <c r="D198" s="172"/>
      <c r="E198" s="498" t="str">
        <f>IF(C198="","",VLOOKUP(C198,'G-7 Rivers Data'!$B$2:$G$8,2,FALSE))</f>
        <v/>
      </c>
      <c r="F198" s="499" t="str">
        <f>IFERROR(VLOOKUP(E198,'G-7 Rivers Data'!$C$4:$D$8,2,FALSE),"")</f>
        <v/>
      </c>
      <c r="G198" s="145"/>
      <c r="H198" s="499" t="str">
        <f>IFERROR(INDEX('G-7 Rivers Data'!$H$4:$L$8,MATCH(C198,'G-7 Rivers Data'!$B$4:$B$8,0),MATCH(G198,'G-7 Rivers Data'!$H$3:$L$3,0)),"")</f>
        <v/>
      </c>
      <c r="I198" s="154"/>
      <c r="J198" s="507" t="str">
        <f>IF(I198="","",IF(VLOOKUP(I198,'G-7 Rivers Data'!$AG$4:$AI$9,2,FALSE)=0,"Spatial Data Missing ⚠",VLOOKUP(I198,'G-7 Rivers Data'!$AG$4:$AI$9,2,FALSE)))</f>
        <v/>
      </c>
      <c r="K198" s="499" t="str">
        <f>IF(I198="","",IF(VLOOKUP(I198,'G-7 Rivers Data'!$AG$4:$AI$9,3,FALSE)=0,"Spatial Data Missing ⚠",VLOOKUP(I198,'G-7 Rivers Data'!$AG$4:$AI$9,3,FALSE)))</f>
        <v/>
      </c>
      <c r="L198" s="498" t="str">
        <f>IFERROR(INDEX('G-7 Rivers Data'!$O$3:$O$7,MATCH(G198,'G-7 Rivers Data'!$N$3:$N$7,0)),"")</f>
        <v/>
      </c>
      <c r="M198" s="82"/>
      <c r="N198" s="195"/>
      <c r="O198" s="507" t="str">
        <f t="shared" si="13"/>
        <v/>
      </c>
      <c r="P198" s="521" t="str">
        <f t="shared" si="14"/>
        <v/>
      </c>
      <c r="Q198" s="564" t="str">
        <f>IFERROR(IF(P198="Check Data ⚠","Check Data ⚠",VLOOKUP(P198,'G-4 Temporal multipliers'!$A$4:$C$37,3,FALSE)),"")</f>
        <v/>
      </c>
      <c r="R198" s="498" t="str">
        <f>IF(C198="","",VLOOKUP(C198,'G-7 Rivers Data'!$B$4:$G$8,4,FALSE))</f>
        <v/>
      </c>
      <c r="S198" s="507" t="str">
        <f t="shared" si="15"/>
        <v/>
      </c>
      <c r="T198" s="540" t="str">
        <f t="shared" si="16"/>
        <v/>
      </c>
      <c r="U198" s="499" t="str">
        <f t="shared" si="17"/>
        <v/>
      </c>
      <c r="V198" s="71"/>
      <c r="W198" s="499" t="str">
        <f>IF(V198="","",IF(VLOOKUP(V198,'G-7 Rivers Data'!$AA$4:$AB$7,2,FALSE)=0,"Spatial Data Missing ⚠",VLOOKUP(V198,'G-7 Rivers Data'!$AA$4:$AB$7,2,FALSE)))</f>
        <v/>
      </c>
      <c r="X198" s="155"/>
      <c r="Y198" s="499" t="str">
        <f>IF(X198="","",IF(VLOOKUP(X198,'G-7 Rivers Data'!$AD$4:$AE$8,2,FALSE)=0,"Enrcoachment Data Missing ⚠",VLOOKUP(X198,'G-7 Rivers Data'!$AD$4:$AE$8,2,FALSE)))</f>
        <v/>
      </c>
      <c r="Z198" s="565" t="str">
        <f t="shared" si="18"/>
        <v/>
      </c>
      <c r="AA198" s="149"/>
      <c r="AB198" s="150"/>
      <c r="AH198" s="31" t="str">
        <f>IFERROR(INDEX('G-7 Rivers Data'!$AZ$3:$AZ$7,MATCH(C198,'G-7 Rivers Data'!$AY$3:$AY$7,0)),"")</f>
        <v/>
      </c>
    </row>
    <row r="199" spans="2:34" ht="13.8" x14ac:dyDescent="0.25">
      <c r="B199" s="141">
        <v>188</v>
      </c>
      <c r="C199" s="171"/>
      <c r="D199" s="172"/>
      <c r="E199" s="498" t="str">
        <f>IF(C199="","",VLOOKUP(C199,'G-7 Rivers Data'!$B$2:$G$8,2,FALSE))</f>
        <v/>
      </c>
      <c r="F199" s="499" t="str">
        <f>IFERROR(VLOOKUP(E199,'G-7 Rivers Data'!$C$4:$D$8,2,FALSE),"")</f>
        <v/>
      </c>
      <c r="G199" s="145"/>
      <c r="H199" s="499" t="str">
        <f>IFERROR(INDEX('G-7 Rivers Data'!$H$4:$L$8,MATCH(C199,'G-7 Rivers Data'!$B$4:$B$8,0),MATCH(G199,'G-7 Rivers Data'!$H$3:$L$3,0)),"")</f>
        <v/>
      </c>
      <c r="I199" s="154"/>
      <c r="J199" s="507" t="str">
        <f>IF(I199="","",IF(VLOOKUP(I199,'G-7 Rivers Data'!$AG$4:$AI$9,2,FALSE)=0,"Spatial Data Missing ⚠",VLOOKUP(I199,'G-7 Rivers Data'!$AG$4:$AI$9,2,FALSE)))</f>
        <v/>
      </c>
      <c r="K199" s="499" t="str">
        <f>IF(I199="","",IF(VLOOKUP(I199,'G-7 Rivers Data'!$AG$4:$AI$9,3,FALSE)=0,"Spatial Data Missing ⚠",VLOOKUP(I199,'G-7 Rivers Data'!$AG$4:$AI$9,3,FALSE)))</f>
        <v/>
      </c>
      <c r="L199" s="498" t="str">
        <f>IFERROR(INDEX('G-7 Rivers Data'!$O$3:$O$7,MATCH(G199,'G-7 Rivers Data'!$N$3:$N$7,0)),"")</f>
        <v/>
      </c>
      <c r="M199" s="82"/>
      <c r="N199" s="195"/>
      <c r="O199" s="507" t="str">
        <f t="shared" si="13"/>
        <v/>
      </c>
      <c r="P199" s="521" t="str">
        <f t="shared" si="14"/>
        <v/>
      </c>
      <c r="Q199" s="564" t="str">
        <f>IFERROR(IF(P199="Check Data ⚠","Check Data ⚠",VLOOKUP(P199,'G-4 Temporal multipliers'!$A$4:$C$37,3,FALSE)),"")</f>
        <v/>
      </c>
      <c r="R199" s="498" t="str">
        <f>IF(C199="","",VLOOKUP(C199,'G-7 Rivers Data'!$B$4:$G$8,4,FALSE))</f>
        <v/>
      </c>
      <c r="S199" s="507" t="str">
        <f t="shared" si="15"/>
        <v/>
      </c>
      <c r="T199" s="540" t="str">
        <f t="shared" si="16"/>
        <v/>
      </c>
      <c r="U199" s="499" t="str">
        <f t="shared" si="17"/>
        <v/>
      </c>
      <c r="V199" s="71"/>
      <c r="W199" s="499" t="str">
        <f>IF(V199="","",IF(VLOOKUP(V199,'G-7 Rivers Data'!$AA$4:$AB$7,2,FALSE)=0,"Spatial Data Missing ⚠",VLOOKUP(V199,'G-7 Rivers Data'!$AA$4:$AB$7,2,FALSE)))</f>
        <v/>
      </c>
      <c r="X199" s="155"/>
      <c r="Y199" s="499" t="str">
        <f>IF(X199="","",IF(VLOOKUP(X199,'G-7 Rivers Data'!$AD$4:$AE$8,2,FALSE)=0,"Enrcoachment Data Missing ⚠",VLOOKUP(X199,'G-7 Rivers Data'!$AD$4:$AE$8,2,FALSE)))</f>
        <v/>
      </c>
      <c r="Z199" s="565" t="str">
        <f t="shared" si="18"/>
        <v/>
      </c>
      <c r="AA199" s="149"/>
      <c r="AB199" s="150"/>
      <c r="AH199" s="31" t="str">
        <f>IFERROR(INDEX('G-7 Rivers Data'!$AZ$3:$AZ$7,MATCH(C199,'G-7 Rivers Data'!$AY$3:$AY$7,0)),"")</f>
        <v/>
      </c>
    </row>
    <row r="200" spans="2:34" ht="13.8" x14ac:dyDescent="0.25">
      <c r="B200" s="141">
        <v>189</v>
      </c>
      <c r="C200" s="171"/>
      <c r="D200" s="172"/>
      <c r="E200" s="498" t="str">
        <f>IF(C200="","",VLOOKUP(C200,'G-7 Rivers Data'!$B$2:$G$8,2,FALSE))</f>
        <v/>
      </c>
      <c r="F200" s="499" t="str">
        <f>IFERROR(VLOOKUP(E200,'G-7 Rivers Data'!$C$4:$D$8,2,FALSE),"")</f>
        <v/>
      </c>
      <c r="G200" s="145"/>
      <c r="H200" s="499" t="str">
        <f>IFERROR(INDEX('G-7 Rivers Data'!$H$4:$L$8,MATCH(C200,'G-7 Rivers Data'!$B$4:$B$8,0),MATCH(G200,'G-7 Rivers Data'!$H$3:$L$3,0)),"")</f>
        <v/>
      </c>
      <c r="I200" s="154"/>
      <c r="J200" s="507" t="str">
        <f>IF(I200="","",IF(VLOOKUP(I200,'G-7 Rivers Data'!$AG$4:$AI$9,2,FALSE)=0,"Spatial Data Missing ⚠",VLOOKUP(I200,'G-7 Rivers Data'!$AG$4:$AI$9,2,FALSE)))</f>
        <v/>
      </c>
      <c r="K200" s="499" t="str">
        <f>IF(I200="","",IF(VLOOKUP(I200,'G-7 Rivers Data'!$AG$4:$AI$9,3,FALSE)=0,"Spatial Data Missing ⚠",VLOOKUP(I200,'G-7 Rivers Data'!$AG$4:$AI$9,3,FALSE)))</f>
        <v/>
      </c>
      <c r="L200" s="498" t="str">
        <f>IFERROR(INDEX('G-7 Rivers Data'!$O$3:$O$7,MATCH(G200,'G-7 Rivers Data'!$N$3:$N$7,0)),"")</f>
        <v/>
      </c>
      <c r="M200" s="82"/>
      <c r="N200" s="195"/>
      <c r="O200" s="507" t="str">
        <f t="shared" si="13"/>
        <v/>
      </c>
      <c r="P200" s="521" t="str">
        <f t="shared" si="14"/>
        <v/>
      </c>
      <c r="Q200" s="564" t="str">
        <f>IFERROR(IF(P200="Check Data ⚠","Check Data ⚠",VLOOKUP(P200,'G-4 Temporal multipliers'!$A$4:$C$37,3,FALSE)),"")</f>
        <v/>
      </c>
      <c r="R200" s="498" t="str">
        <f>IF(C200="","",VLOOKUP(C200,'G-7 Rivers Data'!$B$4:$G$8,4,FALSE))</f>
        <v/>
      </c>
      <c r="S200" s="507" t="str">
        <f t="shared" si="15"/>
        <v/>
      </c>
      <c r="T200" s="540" t="str">
        <f t="shared" si="16"/>
        <v/>
      </c>
      <c r="U200" s="499" t="str">
        <f t="shared" si="17"/>
        <v/>
      </c>
      <c r="V200" s="71"/>
      <c r="W200" s="499" t="str">
        <f>IF(V200="","",IF(VLOOKUP(V200,'G-7 Rivers Data'!$AA$4:$AB$7,2,FALSE)=0,"Spatial Data Missing ⚠",VLOOKUP(V200,'G-7 Rivers Data'!$AA$4:$AB$7,2,FALSE)))</f>
        <v/>
      </c>
      <c r="X200" s="155"/>
      <c r="Y200" s="499" t="str">
        <f>IF(X200="","",IF(VLOOKUP(X200,'G-7 Rivers Data'!$AD$4:$AE$8,2,FALSE)=0,"Enrcoachment Data Missing ⚠",VLOOKUP(X200,'G-7 Rivers Data'!$AD$4:$AE$8,2,FALSE)))</f>
        <v/>
      </c>
      <c r="Z200" s="565" t="str">
        <f t="shared" si="18"/>
        <v/>
      </c>
      <c r="AA200" s="149"/>
      <c r="AB200" s="150"/>
      <c r="AH200" s="31" t="str">
        <f>IFERROR(INDEX('G-7 Rivers Data'!$AZ$3:$AZ$7,MATCH(C200,'G-7 Rivers Data'!$AY$3:$AY$7,0)),"")</f>
        <v/>
      </c>
    </row>
    <row r="201" spans="2:34" ht="13.8" x14ac:dyDescent="0.25">
      <c r="B201" s="141">
        <v>190</v>
      </c>
      <c r="C201" s="171"/>
      <c r="D201" s="172"/>
      <c r="E201" s="498" t="str">
        <f>IF(C201="","",VLOOKUP(C201,'G-7 Rivers Data'!$B$2:$G$8,2,FALSE))</f>
        <v/>
      </c>
      <c r="F201" s="499" t="str">
        <f>IFERROR(VLOOKUP(E201,'G-7 Rivers Data'!$C$4:$D$8,2,FALSE),"")</f>
        <v/>
      </c>
      <c r="G201" s="145"/>
      <c r="H201" s="499" t="str">
        <f>IFERROR(INDEX('G-7 Rivers Data'!$H$4:$L$8,MATCH(C201,'G-7 Rivers Data'!$B$4:$B$8,0),MATCH(G201,'G-7 Rivers Data'!$H$3:$L$3,0)),"")</f>
        <v/>
      </c>
      <c r="I201" s="154"/>
      <c r="J201" s="507" t="str">
        <f>IF(I201="","",IF(VLOOKUP(I201,'G-7 Rivers Data'!$AG$4:$AI$9,2,FALSE)=0,"Spatial Data Missing ⚠",VLOOKUP(I201,'G-7 Rivers Data'!$AG$4:$AI$9,2,FALSE)))</f>
        <v/>
      </c>
      <c r="K201" s="499" t="str">
        <f>IF(I201="","",IF(VLOOKUP(I201,'G-7 Rivers Data'!$AG$4:$AI$9,3,FALSE)=0,"Spatial Data Missing ⚠",VLOOKUP(I201,'G-7 Rivers Data'!$AG$4:$AI$9,3,FALSE)))</f>
        <v/>
      </c>
      <c r="L201" s="498" t="str">
        <f>IFERROR(INDEX('G-7 Rivers Data'!$O$3:$O$7,MATCH(G201,'G-7 Rivers Data'!$N$3:$N$7,0)),"")</f>
        <v/>
      </c>
      <c r="M201" s="82"/>
      <c r="N201" s="195"/>
      <c r="O201" s="507" t="str">
        <f t="shared" si="13"/>
        <v/>
      </c>
      <c r="P201" s="521" t="str">
        <f t="shared" si="14"/>
        <v/>
      </c>
      <c r="Q201" s="564" t="str">
        <f>IFERROR(IF(P201="Check Data ⚠","Check Data ⚠",VLOOKUP(P201,'G-4 Temporal multipliers'!$A$4:$C$37,3,FALSE)),"")</f>
        <v/>
      </c>
      <c r="R201" s="498" t="str">
        <f>IF(C201="","",VLOOKUP(C201,'G-7 Rivers Data'!$B$4:$G$8,4,FALSE))</f>
        <v/>
      </c>
      <c r="S201" s="507" t="str">
        <f t="shared" si="15"/>
        <v/>
      </c>
      <c r="T201" s="540" t="str">
        <f t="shared" si="16"/>
        <v/>
      </c>
      <c r="U201" s="499" t="str">
        <f t="shared" si="17"/>
        <v/>
      </c>
      <c r="V201" s="71"/>
      <c r="W201" s="499" t="str">
        <f>IF(V201="","",IF(VLOOKUP(V201,'G-7 Rivers Data'!$AA$4:$AB$7,2,FALSE)=0,"Spatial Data Missing ⚠",VLOOKUP(V201,'G-7 Rivers Data'!$AA$4:$AB$7,2,FALSE)))</f>
        <v/>
      </c>
      <c r="X201" s="155"/>
      <c r="Y201" s="499" t="str">
        <f>IF(X201="","",IF(VLOOKUP(X201,'G-7 Rivers Data'!$AD$4:$AE$8,2,FALSE)=0,"Enrcoachment Data Missing ⚠",VLOOKUP(X201,'G-7 Rivers Data'!$AD$4:$AE$8,2,FALSE)))</f>
        <v/>
      </c>
      <c r="Z201" s="565" t="str">
        <f t="shared" si="18"/>
        <v/>
      </c>
      <c r="AA201" s="149"/>
      <c r="AB201" s="150"/>
      <c r="AH201" s="31" t="str">
        <f>IFERROR(INDEX('G-7 Rivers Data'!$AZ$3:$AZ$7,MATCH(C201,'G-7 Rivers Data'!$AY$3:$AY$7,0)),"")</f>
        <v/>
      </c>
    </row>
    <row r="202" spans="2:34" ht="13.8" x14ac:dyDescent="0.25">
      <c r="B202" s="141">
        <v>191</v>
      </c>
      <c r="C202" s="171"/>
      <c r="D202" s="172"/>
      <c r="E202" s="498" t="str">
        <f>IF(C202="","",VLOOKUP(C202,'G-7 Rivers Data'!$B$2:$G$8,2,FALSE))</f>
        <v/>
      </c>
      <c r="F202" s="499" t="str">
        <f>IFERROR(VLOOKUP(E202,'G-7 Rivers Data'!$C$4:$D$8,2,FALSE),"")</f>
        <v/>
      </c>
      <c r="G202" s="145"/>
      <c r="H202" s="499" t="str">
        <f>IFERROR(INDEX('G-7 Rivers Data'!$H$4:$L$8,MATCH(C202,'G-7 Rivers Data'!$B$4:$B$8,0),MATCH(G202,'G-7 Rivers Data'!$H$3:$L$3,0)),"")</f>
        <v/>
      </c>
      <c r="I202" s="154"/>
      <c r="J202" s="507" t="str">
        <f>IF(I202="","",IF(VLOOKUP(I202,'G-7 Rivers Data'!$AG$4:$AI$9,2,FALSE)=0,"Spatial Data Missing ⚠",VLOOKUP(I202,'G-7 Rivers Data'!$AG$4:$AI$9,2,FALSE)))</f>
        <v/>
      </c>
      <c r="K202" s="499" t="str">
        <f>IF(I202="","",IF(VLOOKUP(I202,'G-7 Rivers Data'!$AG$4:$AI$9,3,FALSE)=0,"Spatial Data Missing ⚠",VLOOKUP(I202,'G-7 Rivers Data'!$AG$4:$AI$9,3,FALSE)))</f>
        <v/>
      </c>
      <c r="L202" s="498" t="str">
        <f>IFERROR(INDEX('G-7 Rivers Data'!$O$3:$O$7,MATCH(G202,'G-7 Rivers Data'!$N$3:$N$7,0)),"")</f>
        <v/>
      </c>
      <c r="M202" s="82"/>
      <c r="N202" s="195"/>
      <c r="O202" s="507" t="str">
        <f t="shared" si="13"/>
        <v/>
      </c>
      <c r="P202" s="521" t="str">
        <f t="shared" si="14"/>
        <v/>
      </c>
      <c r="Q202" s="564" t="str">
        <f>IFERROR(IF(P202="Check Data ⚠","Check Data ⚠",VLOOKUP(P202,'G-4 Temporal multipliers'!$A$4:$C$37,3,FALSE)),"")</f>
        <v/>
      </c>
      <c r="R202" s="498" t="str">
        <f>IF(C202="","",VLOOKUP(C202,'G-7 Rivers Data'!$B$4:$G$8,4,FALSE))</f>
        <v/>
      </c>
      <c r="S202" s="507" t="str">
        <f t="shared" si="15"/>
        <v/>
      </c>
      <c r="T202" s="540" t="str">
        <f t="shared" si="16"/>
        <v/>
      </c>
      <c r="U202" s="499" t="str">
        <f t="shared" si="17"/>
        <v/>
      </c>
      <c r="V202" s="71"/>
      <c r="W202" s="499" t="str">
        <f>IF(V202="","",IF(VLOOKUP(V202,'G-7 Rivers Data'!$AA$4:$AB$7,2,FALSE)=0,"Spatial Data Missing ⚠",VLOOKUP(V202,'G-7 Rivers Data'!$AA$4:$AB$7,2,FALSE)))</f>
        <v/>
      </c>
      <c r="X202" s="155"/>
      <c r="Y202" s="499" t="str">
        <f>IF(X202="","",IF(VLOOKUP(X202,'G-7 Rivers Data'!$AD$4:$AE$8,2,FALSE)=0,"Enrcoachment Data Missing ⚠",VLOOKUP(X202,'G-7 Rivers Data'!$AD$4:$AE$8,2,FALSE)))</f>
        <v/>
      </c>
      <c r="Z202" s="565" t="str">
        <f t="shared" si="18"/>
        <v/>
      </c>
      <c r="AA202" s="149"/>
      <c r="AB202" s="150"/>
      <c r="AH202" s="31" t="str">
        <f>IFERROR(INDEX('G-7 Rivers Data'!$AZ$3:$AZ$7,MATCH(C202,'G-7 Rivers Data'!$AY$3:$AY$7,0)),"")</f>
        <v/>
      </c>
    </row>
    <row r="203" spans="2:34" ht="13.8" x14ac:dyDescent="0.25">
      <c r="B203" s="141">
        <v>192</v>
      </c>
      <c r="C203" s="171"/>
      <c r="D203" s="172"/>
      <c r="E203" s="498" t="str">
        <f>IF(C203="","",VLOOKUP(C203,'G-7 Rivers Data'!$B$2:$G$8,2,FALSE))</f>
        <v/>
      </c>
      <c r="F203" s="499" t="str">
        <f>IFERROR(VLOOKUP(E203,'G-7 Rivers Data'!$C$4:$D$8,2,FALSE),"")</f>
        <v/>
      </c>
      <c r="G203" s="145"/>
      <c r="H203" s="499" t="str">
        <f>IFERROR(INDEX('G-7 Rivers Data'!$H$4:$L$8,MATCH(C203,'G-7 Rivers Data'!$B$4:$B$8,0),MATCH(G203,'G-7 Rivers Data'!$H$3:$L$3,0)),"")</f>
        <v/>
      </c>
      <c r="I203" s="154"/>
      <c r="J203" s="507" t="str">
        <f>IF(I203="","",IF(VLOOKUP(I203,'G-7 Rivers Data'!$AG$4:$AI$9,2,FALSE)=0,"Spatial Data Missing ⚠",VLOOKUP(I203,'G-7 Rivers Data'!$AG$4:$AI$9,2,FALSE)))</f>
        <v/>
      </c>
      <c r="K203" s="499" t="str">
        <f>IF(I203="","",IF(VLOOKUP(I203,'G-7 Rivers Data'!$AG$4:$AI$9,3,FALSE)=0,"Spatial Data Missing ⚠",VLOOKUP(I203,'G-7 Rivers Data'!$AG$4:$AI$9,3,FALSE)))</f>
        <v/>
      </c>
      <c r="L203" s="498" t="str">
        <f>IFERROR(INDEX('G-7 Rivers Data'!$O$3:$O$7,MATCH(G203,'G-7 Rivers Data'!$N$3:$N$7,0)),"")</f>
        <v/>
      </c>
      <c r="M203" s="82"/>
      <c r="N203" s="195"/>
      <c r="O203" s="507" t="str">
        <f t="shared" si="13"/>
        <v/>
      </c>
      <c r="P203" s="521" t="str">
        <f t="shared" si="14"/>
        <v/>
      </c>
      <c r="Q203" s="564" t="str">
        <f>IFERROR(IF(P203="Check Data ⚠","Check Data ⚠",VLOOKUP(P203,'G-4 Temporal multipliers'!$A$4:$C$37,3,FALSE)),"")</f>
        <v/>
      </c>
      <c r="R203" s="498" t="str">
        <f>IF(C203="","",VLOOKUP(C203,'G-7 Rivers Data'!$B$4:$G$8,4,FALSE))</f>
        <v/>
      </c>
      <c r="S203" s="507" t="str">
        <f t="shared" si="15"/>
        <v/>
      </c>
      <c r="T203" s="540" t="str">
        <f t="shared" si="16"/>
        <v/>
      </c>
      <c r="U203" s="499" t="str">
        <f t="shared" si="17"/>
        <v/>
      </c>
      <c r="V203" s="71"/>
      <c r="W203" s="499" t="str">
        <f>IF(V203="","",IF(VLOOKUP(V203,'G-7 Rivers Data'!$AA$4:$AB$7,2,FALSE)=0,"Spatial Data Missing ⚠",VLOOKUP(V203,'G-7 Rivers Data'!$AA$4:$AB$7,2,FALSE)))</f>
        <v/>
      </c>
      <c r="X203" s="155"/>
      <c r="Y203" s="499" t="str">
        <f>IF(X203="","",IF(VLOOKUP(X203,'G-7 Rivers Data'!$AD$4:$AE$8,2,FALSE)=0,"Enrcoachment Data Missing ⚠",VLOOKUP(X203,'G-7 Rivers Data'!$AD$4:$AE$8,2,FALSE)))</f>
        <v/>
      </c>
      <c r="Z203" s="565" t="str">
        <f t="shared" si="18"/>
        <v/>
      </c>
      <c r="AA203" s="149"/>
      <c r="AB203" s="150"/>
      <c r="AH203" s="31" t="str">
        <f>IFERROR(INDEX('G-7 Rivers Data'!$AZ$3:$AZ$7,MATCH(C203,'G-7 Rivers Data'!$AY$3:$AY$7,0)),"")</f>
        <v/>
      </c>
    </row>
    <row r="204" spans="2:34" ht="13.8" x14ac:dyDescent="0.25">
      <c r="B204" s="141">
        <v>193</v>
      </c>
      <c r="C204" s="171"/>
      <c r="D204" s="172"/>
      <c r="E204" s="498" t="str">
        <f>IF(C204="","",VLOOKUP(C204,'G-7 Rivers Data'!$B$2:$G$8,2,FALSE))</f>
        <v/>
      </c>
      <c r="F204" s="499" t="str">
        <f>IFERROR(VLOOKUP(E204,'G-7 Rivers Data'!$C$4:$D$8,2,FALSE),"")</f>
        <v/>
      </c>
      <c r="G204" s="145"/>
      <c r="H204" s="499" t="str">
        <f>IFERROR(INDEX('G-7 Rivers Data'!$H$4:$L$8,MATCH(C204,'G-7 Rivers Data'!$B$4:$B$8,0),MATCH(G204,'G-7 Rivers Data'!$H$3:$L$3,0)),"")</f>
        <v/>
      </c>
      <c r="I204" s="154"/>
      <c r="J204" s="507" t="str">
        <f>IF(I204="","",IF(VLOOKUP(I204,'G-7 Rivers Data'!$AG$4:$AI$9,2,FALSE)=0,"Spatial Data Missing ⚠",VLOOKUP(I204,'G-7 Rivers Data'!$AG$4:$AI$9,2,FALSE)))</f>
        <v/>
      </c>
      <c r="K204" s="499" t="str">
        <f>IF(I204="","",IF(VLOOKUP(I204,'G-7 Rivers Data'!$AG$4:$AI$9,3,FALSE)=0,"Spatial Data Missing ⚠",VLOOKUP(I204,'G-7 Rivers Data'!$AG$4:$AI$9,3,FALSE)))</f>
        <v/>
      </c>
      <c r="L204" s="498" t="str">
        <f>IFERROR(INDEX('G-7 Rivers Data'!$O$3:$O$7,MATCH(G204,'G-7 Rivers Data'!$N$3:$N$7,0)),"")</f>
        <v/>
      </c>
      <c r="M204" s="82"/>
      <c r="N204" s="195"/>
      <c r="O204" s="507" t="str">
        <f t="shared" si="13"/>
        <v/>
      </c>
      <c r="P204" s="521" t="str">
        <f t="shared" si="14"/>
        <v/>
      </c>
      <c r="Q204" s="564" t="str">
        <f>IFERROR(IF(P204="Check Data ⚠","Check Data ⚠",VLOOKUP(P204,'G-4 Temporal multipliers'!$A$4:$C$37,3,FALSE)),"")</f>
        <v/>
      </c>
      <c r="R204" s="498" t="str">
        <f>IF(C204="","",VLOOKUP(C204,'G-7 Rivers Data'!$B$4:$G$8,4,FALSE))</f>
        <v/>
      </c>
      <c r="S204" s="507" t="str">
        <f t="shared" si="15"/>
        <v/>
      </c>
      <c r="T204" s="540" t="str">
        <f t="shared" si="16"/>
        <v/>
      </c>
      <c r="U204" s="499" t="str">
        <f t="shared" si="17"/>
        <v/>
      </c>
      <c r="V204" s="71"/>
      <c r="W204" s="499" t="str">
        <f>IF(V204="","",IF(VLOOKUP(V204,'G-7 Rivers Data'!$AA$4:$AB$7,2,FALSE)=0,"Spatial Data Missing ⚠",VLOOKUP(V204,'G-7 Rivers Data'!$AA$4:$AB$7,2,FALSE)))</f>
        <v/>
      </c>
      <c r="X204" s="155"/>
      <c r="Y204" s="499" t="str">
        <f>IF(X204="","",IF(VLOOKUP(X204,'G-7 Rivers Data'!$AD$4:$AE$8,2,FALSE)=0,"Enrcoachment Data Missing ⚠",VLOOKUP(X204,'G-7 Rivers Data'!$AD$4:$AE$8,2,FALSE)))</f>
        <v/>
      </c>
      <c r="Z204" s="565" t="str">
        <f t="shared" si="18"/>
        <v/>
      </c>
      <c r="AA204" s="149"/>
      <c r="AB204" s="150"/>
      <c r="AH204" s="31" t="str">
        <f>IFERROR(INDEX('G-7 Rivers Data'!$AZ$3:$AZ$7,MATCH(C204,'G-7 Rivers Data'!$AY$3:$AY$7,0)),"")</f>
        <v/>
      </c>
    </row>
    <row r="205" spans="2:34" ht="13.8" x14ac:dyDescent="0.25">
      <c r="B205" s="141">
        <v>194</v>
      </c>
      <c r="C205" s="171"/>
      <c r="D205" s="172"/>
      <c r="E205" s="498" t="str">
        <f>IF(C205="","",VLOOKUP(C205,'G-7 Rivers Data'!$B$2:$G$8,2,FALSE))</f>
        <v/>
      </c>
      <c r="F205" s="499" t="str">
        <f>IFERROR(VLOOKUP(E205,'G-7 Rivers Data'!$C$4:$D$8,2,FALSE),"")</f>
        <v/>
      </c>
      <c r="G205" s="145"/>
      <c r="H205" s="499" t="str">
        <f>IFERROR(INDEX('G-7 Rivers Data'!$H$4:$L$8,MATCH(C205,'G-7 Rivers Data'!$B$4:$B$8,0),MATCH(G205,'G-7 Rivers Data'!$H$3:$L$3,0)),"")</f>
        <v/>
      </c>
      <c r="I205" s="154"/>
      <c r="J205" s="507" t="str">
        <f>IF(I205="","",IF(VLOOKUP(I205,'G-7 Rivers Data'!$AG$4:$AI$9,2,FALSE)=0,"Spatial Data Missing ⚠",VLOOKUP(I205,'G-7 Rivers Data'!$AG$4:$AI$9,2,FALSE)))</f>
        <v/>
      </c>
      <c r="K205" s="499" t="str">
        <f>IF(I205="","",IF(VLOOKUP(I205,'G-7 Rivers Data'!$AG$4:$AI$9,3,FALSE)=0,"Spatial Data Missing ⚠",VLOOKUP(I205,'G-7 Rivers Data'!$AG$4:$AI$9,3,FALSE)))</f>
        <v/>
      </c>
      <c r="L205" s="498" t="str">
        <f>IFERROR(INDEX('G-7 Rivers Data'!$O$3:$O$7,MATCH(G205,'G-7 Rivers Data'!$N$3:$N$7,0)),"")</f>
        <v/>
      </c>
      <c r="M205" s="82"/>
      <c r="N205" s="195"/>
      <c r="O205" s="507"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1" t="str">
        <f t="shared" ref="P205:P259" si="20">IF(LEFT(O205,5)="Error ▲","Check Data ⚠",IF(L205="","",IF(M205="30+",0,IF(N205="30+","30+ ⚠",IF(L205+N205&gt;30,"30+ ⚠",IF(L205+N205-M205&gt;0,L205+N205-M205,IF(L205-M205&lt;0,0,L205+N205-M205)))))))</f>
        <v/>
      </c>
      <c r="Q205" s="564" t="str">
        <f>IFERROR(IF(P205="Check Data ⚠","Check Data ⚠",VLOOKUP(P205,'G-4 Temporal multipliers'!$A$4:$C$37,3,FALSE)),"")</f>
        <v/>
      </c>
      <c r="R205" s="498" t="str">
        <f>IF(C205="","",VLOOKUP(C205,'G-7 Rivers Data'!$B$4:$G$8,4,FALSE))</f>
        <v/>
      </c>
      <c r="S205" s="507" t="str">
        <f t="shared" ref="S205:S259" si="21">IF(C205="","",IF(P205="Check Data ⚠","Check Data ⚠",IF(G205="","",IF($O205="Check details - Is there evidence that habitat has reached target condition? ⚠","Low Difficulty - only applicable if all habitat created before losses ⚠","Standard difficulty applied"))))</f>
        <v/>
      </c>
      <c r="T205" s="540" t="str">
        <f t="shared" ref="T205:T259" si="22">(IF(AND(S205="Standard difficulty applied",L205&gt;M205),R205,IF(AND(S205="Low Difficulty - only applicable if all habitat created before losses ⚠",M205&gt;=L205),"Low",R205)))</f>
        <v/>
      </c>
      <c r="U205" s="499" t="str">
        <f t="shared" ref="U205:U259" si="23">IF(C205="","",VLOOKUP(R205,Difficulty,2,FALSE))</f>
        <v/>
      </c>
      <c r="V205" s="71"/>
      <c r="W205" s="499" t="str">
        <f>IF(V205="","",IF(VLOOKUP(V205,'G-7 Rivers Data'!$AA$4:$AB$7,2,FALSE)=0,"Spatial Data Missing ⚠",VLOOKUP(V205,'G-7 Rivers Data'!$AA$4:$AB$7,2,FALSE)))</f>
        <v/>
      </c>
      <c r="X205" s="155"/>
      <c r="Y205" s="499" t="str">
        <f>IF(X205="","",IF(VLOOKUP(X205,'G-7 Rivers Data'!$AD$4:$AE$8,2,FALSE)=0,"Enrcoachment Data Missing ⚠",VLOOKUP(X205,'G-7 Rivers Data'!$AD$4:$AE$8,2,FALSE)))</f>
        <v/>
      </c>
      <c r="Z205" s="565" t="str">
        <f t="shared" ref="Z205:Z259" si="24">IFERROR(IF(C205="","",D205*F205*H205*K205*Q205*U205*Y205*W205),"")</f>
        <v/>
      </c>
      <c r="AA205" s="149"/>
      <c r="AB205" s="150"/>
      <c r="AH205" s="31" t="str">
        <f>IFERROR(INDEX('G-7 Rivers Data'!$AZ$3:$AZ$7,MATCH(C205,'G-7 Rivers Data'!$AY$3:$AY$7,0)),"")</f>
        <v/>
      </c>
    </row>
    <row r="206" spans="2:34" ht="13.8" x14ac:dyDescent="0.25">
      <c r="B206" s="141">
        <v>195</v>
      </c>
      <c r="C206" s="171"/>
      <c r="D206" s="172"/>
      <c r="E206" s="498" t="str">
        <f>IF(C206="","",VLOOKUP(C206,'G-7 Rivers Data'!$B$2:$G$8,2,FALSE))</f>
        <v/>
      </c>
      <c r="F206" s="499" t="str">
        <f>IFERROR(VLOOKUP(E206,'G-7 Rivers Data'!$C$4:$D$8,2,FALSE),"")</f>
        <v/>
      </c>
      <c r="G206" s="145"/>
      <c r="H206" s="499" t="str">
        <f>IFERROR(INDEX('G-7 Rivers Data'!$H$4:$L$8,MATCH(C206,'G-7 Rivers Data'!$B$4:$B$8,0),MATCH(G206,'G-7 Rivers Data'!$H$3:$L$3,0)),"")</f>
        <v/>
      </c>
      <c r="I206" s="154"/>
      <c r="J206" s="507" t="str">
        <f>IF(I206="","",IF(VLOOKUP(I206,'G-7 Rivers Data'!$AG$4:$AI$9,2,FALSE)=0,"Spatial Data Missing ⚠",VLOOKUP(I206,'G-7 Rivers Data'!$AG$4:$AI$9,2,FALSE)))</f>
        <v/>
      </c>
      <c r="K206" s="499" t="str">
        <f>IF(I206="","",IF(VLOOKUP(I206,'G-7 Rivers Data'!$AG$4:$AI$9,3,FALSE)=0,"Spatial Data Missing ⚠",VLOOKUP(I206,'G-7 Rivers Data'!$AG$4:$AI$9,3,FALSE)))</f>
        <v/>
      </c>
      <c r="L206" s="498" t="str">
        <f>IFERROR(INDEX('G-7 Rivers Data'!$O$3:$O$7,MATCH(G206,'G-7 Rivers Data'!$N$3:$N$7,0)),"")</f>
        <v/>
      </c>
      <c r="M206" s="82"/>
      <c r="N206" s="195"/>
      <c r="O206" s="507" t="str">
        <f t="shared" si="19"/>
        <v/>
      </c>
      <c r="P206" s="521" t="str">
        <f t="shared" si="20"/>
        <v/>
      </c>
      <c r="Q206" s="564" t="str">
        <f>IFERROR(IF(P206="Check Data ⚠","Check Data ⚠",VLOOKUP(P206,'G-4 Temporal multipliers'!$A$4:$C$37,3,FALSE)),"")</f>
        <v/>
      </c>
      <c r="R206" s="498" t="str">
        <f>IF(C206="","",VLOOKUP(C206,'G-7 Rivers Data'!$B$4:$G$8,4,FALSE))</f>
        <v/>
      </c>
      <c r="S206" s="507" t="str">
        <f t="shared" si="21"/>
        <v/>
      </c>
      <c r="T206" s="540" t="str">
        <f t="shared" si="22"/>
        <v/>
      </c>
      <c r="U206" s="499" t="str">
        <f t="shared" si="23"/>
        <v/>
      </c>
      <c r="V206" s="71"/>
      <c r="W206" s="499" t="str">
        <f>IF(V206="","",IF(VLOOKUP(V206,'G-7 Rivers Data'!$AA$4:$AB$7,2,FALSE)=0,"Spatial Data Missing ⚠",VLOOKUP(V206,'G-7 Rivers Data'!$AA$4:$AB$7,2,FALSE)))</f>
        <v/>
      </c>
      <c r="X206" s="155"/>
      <c r="Y206" s="499" t="str">
        <f>IF(X206="","",IF(VLOOKUP(X206,'G-7 Rivers Data'!$AD$4:$AE$8,2,FALSE)=0,"Enrcoachment Data Missing ⚠",VLOOKUP(X206,'G-7 Rivers Data'!$AD$4:$AE$8,2,FALSE)))</f>
        <v/>
      </c>
      <c r="Z206" s="565" t="str">
        <f t="shared" si="24"/>
        <v/>
      </c>
      <c r="AA206" s="149"/>
      <c r="AB206" s="150"/>
      <c r="AH206" s="31" t="str">
        <f>IFERROR(INDEX('G-7 Rivers Data'!$AZ$3:$AZ$7,MATCH(C206,'G-7 Rivers Data'!$AY$3:$AY$7,0)),"")</f>
        <v/>
      </c>
    </row>
    <row r="207" spans="2:34" ht="13.8" x14ac:dyDescent="0.25">
      <c r="B207" s="141">
        <v>196</v>
      </c>
      <c r="C207" s="171"/>
      <c r="D207" s="172"/>
      <c r="E207" s="498" t="str">
        <f>IF(C207="","",VLOOKUP(C207,'G-7 Rivers Data'!$B$2:$G$8,2,FALSE))</f>
        <v/>
      </c>
      <c r="F207" s="499" t="str">
        <f>IFERROR(VLOOKUP(E207,'G-7 Rivers Data'!$C$4:$D$8,2,FALSE),"")</f>
        <v/>
      </c>
      <c r="G207" s="145"/>
      <c r="H207" s="499" t="str">
        <f>IFERROR(INDEX('G-7 Rivers Data'!$H$4:$L$8,MATCH(C207,'G-7 Rivers Data'!$B$4:$B$8,0),MATCH(G207,'G-7 Rivers Data'!$H$3:$L$3,0)),"")</f>
        <v/>
      </c>
      <c r="I207" s="154"/>
      <c r="J207" s="507" t="str">
        <f>IF(I207="","",IF(VLOOKUP(I207,'G-7 Rivers Data'!$AG$4:$AI$9,2,FALSE)=0,"Spatial Data Missing ⚠",VLOOKUP(I207,'G-7 Rivers Data'!$AG$4:$AI$9,2,FALSE)))</f>
        <v/>
      </c>
      <c r="K207" s="499" t="str">
        <f>IF(I207="","",IF(VLOOKUP(I207,'G-7 Rivers Data'!$AG$4:$AI$9,3,FALSE)=0,"Spatial Data Missing ⚠",VLOOKUP(I207,'G-7 Rivers Data'!$AG$4:$AI$9,3,FALSE)))</f>
        <v/>
      </c>
      <c r="L207" s="498" t="str">
        <f>IFERROR(INDEX('G-7 Rivers Data'!$O$3:$O$7,MATCH(G207,'G-7 Rivers Data'!$N$3:$N$7,0)),"")</f>
        <v/>
      </c>
      <c r="M207" s="82"/>
      <c r="N207" s="195"/>
      <c r="O207" s="507" t="str">
        <f t="shared" si="19"/>
        <v/>
      </c>
      <c r="P207" s="521" t="str">
        <f t="shared" si="20"/>
        <v/>
      </c>
      <c r="Q207" s="564" t="str">
        <f>IFERROR(IF(P207="Check Data ⚠","Check Data ⚠",VLOOKUP(P207,'G-4 Temporal multipliers'!$A$4:$C$37,3,FALSE)),"")</f>
        <v/>
      </c>
      <c r="R207" s="498" t="str">
        <f>IF(C207="","",VLOOKUP(C207,'G-7 Rivers Data'!$B$4:$G$8,4,FALSE))</f>
        <v/>
      </c>
      <c r="S207" s="507" t="str">
        <f t="shared" si="21"/>
        <v/>
      </c>
      <c r="T207" s="540" t="str">
        <f t="shared" si="22"/>
        <v/>
      </c>
      <c r="U207" s="499" t="str">
        <f t="shared" si="23"/>
        <v/>
      </c>
      <c r="V207" s="71"/>
      <c r="W207" s="499" t="str">
        <f>IF(V207="","",IF(VLOOKUP(V207,'G-7 Rivers Data'!$AA$4:$AB$7,2,FALSE)=0,"Spatial Data Missing ⚠",VLOOKUP(V207,'G-7 Rivers Data'!$AA$4:$AB$7,2,FALSE)))</f>
        <v/>
      </c>
      <c r="X207" s="155"/>
      <c r="Y207" s="499" t="str">
        <f>IF(X207="","",IF(VLOOKUP(X207,'G-7 Rivers Data'!$AD$4:$AE$8,2,FALSE)=0,"Enrcoachment Data Missing ⚠",VLOOKUP(X207,'G-7 Rivers Data'!$AD$4:$AE$8,2,FALSE)))</f>
        <v/>
      </c>
      <c r="Z207" s="565" t="str">
        <f t="shared" si="24"/>
        <v/>
      </c>
      <c r="AA207" s="149"/>
      <c r="AB207" s="150"/>
      <c r="AH207" s="31" t="str">
        <f>IFERROR(INDEX('G-7 Rivers Data'!$AZ$3:$AZ$7,MATCH(C207,'G-7 Rivers Data'!$AY$3:$AY$7,0)),"")</f>
        <v/>
      </c>
    </row>
    <row r="208" spans="2:34" ht="13.8" x14ac:dyDescent="0.25">
      <c r="B208" s="141">
        <v>197</v>
      </c>
      <c r="C208" s="171"/>
      <c r="D208" s="172"/>
      <c r="E208" s="498" t="str">
        <f>IF(C208="","",VLOOKUP(C208,'G-7 Rivers Data'!$B$2:$G$8,2,FALSE))</f>
        <v/>
      </c>
      <c r="F208" s="499" t="str">
        <f>IFERROR(VLOOKUP(E208,'G-7 Rivers Data'!$C$4:$D$8,2,FALSE),"")</f>
        <v/>
      </c>
      <c r="G208" s="145"/>
      <c r="H208" s="499" t="str">
        <f>IFERROR(INDEX('G-7 Rivers Data'!$H$4:$L$8,MATCH(C208,'G-7 Rivers Data'!$B$4:$B$8,0),MATCH(G208,'G-7 Rivers Data'!$H$3:$L$3,0)),"")</f>
        <v/>
      </c>
      <c r="I208" s="154"/>
      <c r="J208" s="507" t="str">
        <f>IF(I208="","",IF(VLOOKUP(I208,'G-7 Rivers Data'!$AG$4:$AI$9,2,FALSE)=0,"Spatial Data Missing ⚠",VLOOKUP(I208,'G-7 Rivers Data'!$AG$4:$AI$9,2,FALSE)))</f>
        <v/>
      </c>
      <c r="K208" s="499" t="str">
        <f>IF(I208="","",IF(VLOOKUP(I208,'G-7 Rivers Data'!$AG$4:$AI$9,3,FALSE)=0,"Spatial Data Missing ⚠",VLOOKUP(I208,'G-7 Rivers Data'!$AG$4:$AI$9,3,FALSE)))</f>
        <v/>
      </c>
      <c r="L208" s="498" t="str">
        <f>IFERROR(INDEX('G-7 Rivers Data'!$O$3:$O$7,MATCH(G208,'G-7 Rivers Data'!$N$3:$N$7,0)),"")</f>
        <v/>
      </c>
      <c r="M208" s="82"/>
      <c r="N208" s="195"/>
      <c r="O208" s="507" t="str">
        <f t="shared" si="19"/>
        <v/>
      </c>
      <c r="P208" s="521" t="str">
        <f t="shared" si="20"/>
        <v/>
      </c>
      <c r="Q208" s="564" t="str">
        <f>IFERROR(IF(P208="Check Data ⚠","Check Data ⚠",VLOOKUP(P208,'G-4 Temporal multipliers'!$A$4:$C$37,3,FALSE)),"")</f>
        <v/>
      </c>
      <c r="R208" s="498" t="str">
        <f>IF(C208="","",VLOOKUP(C208,'G-7 Rivers Data'!$B$4:$G$8,4,FALSE))</f>
        <v/>
      </c>
      <c r="S208" s="507" t="str">
        <f t="shared" si="21"/>
        <v/>
      </c>
      <c r="T208" s="540" t="str">
        <f t="shared" si="22"/>
        <v/>
      </c>
      <c r="U208" s="499" t="str">
        <f t="shared" si="23"/>
        <v/>
      </c>
      <c r="V208" s="71"/>
      <c r="W208" s="499" t="str">
        <f>IF(V208="","",IF(VLOOKUP(V208,'G-7 Rivers Data'!$AA$4:$AB$7,2,FALSE)=0,"Spatial Data Missing ⚠",VLOOKUP(V208,'G-7 Rivers Data'!$AA$4:$AB$7,2,FALSE)))</f>
        <v/>
      </c>
      <c r="X208" s="155"/>
      <c r="Y208" s="499" t="str">
        <f>IF(X208="","",IF(VLOOKUP(X208,'G-7 Rivers Data'!$AD$4:$AE$8,2,FALSE)=0,"Enrcoachment Data Missing ⚠",VLOOKUP(X208,'G-7 Rivers Data'!$AD$4:$AE$8,2,FALSE)))</f>
        <v/>
      </c>
      <c r="Z208" s="565" t="str">
        <f t="shared" si="24"/>
        <v/>
      </c>
      <c r="AA208" s="149"/>
      <c r="AB208" s="150"/>
      <c r="AH208" s="31" t="str">
        <f>IFERROR(INDEX('G-7 Rivers Data'!$AZ$3:$AZ$7,MATCH(C208,'G-7 Rivers Data'!$AY$3:$AY$7,0)),"")</f>
        <v/>
      </c>
    </row>
    <row r="209" spans="2:34" ht="13.8" x14ac:dyDescent="0.25">
      <c r="B209" s="141">
        <v>198</v>
      </c>
      <c r="C209" s="171"/>
      <c r="D209" s="172"/>
      <c r="E209" s="498" t="str">
        <f>IF(C209="","",VLOOKUP(C209,'G-7 Rivers Data'!$B$2:$G$8,2,FALSE))</f>
        <v/>
      </c>
      <c r="F209" s="499" t="str">
        <f>IFERROR(VLOOKUP(E209,'G-7 Rivers Data'!$C$4:$D$8,2,FALSE),"")</f>
        <v/>
      </c>
      <c r="G209" s="145"/>
      <c r="H209" s="499" t="str">
        <f>IFERROR(INDEX('G-7 Rivers Data'!$H$4:$L$8,MATCH(C209,'G-7 Rivers Data'!$B$4:$B$8,0),MATCH(G209,'G-7 Rivers Data'!$H$3:$L$3,0)),"")</f>
        <v/>
      </c>
      <c r="I209" s="154"/>
      <c r="J209" s="507" t="str">
        <f>IF(I209="","",IF(VLOOKUP(I209,'G-7 Rivers Data'!$AG$4:$AI$9,2,FALSE)=0,"Spatial Data Missing ⚠",VLOOKUP(I209,'G-7 Rivers Data'!$AG$4:$AI$9,2,FALSE)))</f>
        <v/>
      </c>
      <c r="K209" s="499" t="str">
        <f>IF(I209="","",IF(VLOOKUP(I209,'G-7 Rivers Data'!$AG$4:$AI$9,3,FALSE)=0,"Spatial Data Missing ⚠",VLOOKUP(I209,'G-7 Rivers Data'!$AG$4:$AI$9,3,FALSE)))</f>
        <v/>
      </c>
      <c r="L209" s="498" t="str">
        <f>IFERROR(INDEX('G-7 Rivers Data'!$O$3:$O$7,MATCH(G209,'G-7 Rivers Data'!$N$3:$N$7,0)),"")</f>
        <v/>
      </c>
      <c r="M209" s="82"/>
      <c r="N209" s="195"/>
      <c r="O209" s="507" t="str">
        <f t="shared" si="19"/>
        <v/>
      </c>
      <c r="P209" s="521" t="str">
        <f t="shared" si="20"/>
        <v/>
      </c>
      <c r="Q209" s="564" t="str">
        <f>IFERROR(IF(P209="Check Data ⚠","Check Data ⚠",VLOOKUP(P209,'G-4 Temporal multipliers'!$A$4:$C$37,3,FALSE)),"")</f>
        <v/>
      </c>
      <c r="R209" s="498" t="str">
        <f>IF(C209="","",VLOOKUP(C209,'G-7 Rivers Data'!$B$4:$G$8,4,FALSE))</f>
        <v/>
      </c>
      <c r="S209" s="507" t="str">
        <f t="shared" si="21"/>
        <v/>
      </c>
      <c r="T209" s="540" t="str">
        <f t="shared" si="22"/>
        <v/>
      </c>
      <c r="U209" s="499" t="str">
        <f t="shared" si="23"/>
        <v/>
      </c>
      <c r="V209" s="71"/>
      <c r="W209" s="499" t="str">
        <f>IF(V209="","",IF(VLOOKUP(V209,'G-7 Rivers Data'!$AA$4:$AB$7,2,FALSE)=0,"Spatial Data Missing ⚠",VLOOKUP(V209,'G-7 Rivers Data'!$AA$4:$AB$7,2,FALSE)))</f>
        <v/>
      </c>
      <c r="X209" s="155"/>
      <c r="Y209" s="499" t="str">
        <f>IF(X209="","",IF(VLOOKUP(X209,'G-7 Rivers Data'!$AD$4:$AE$8,2,FALSE)=0,"Enrcoachment Data Missing ⚠",VLOOKUP(X209,'G-7 Rivers Data'!$AD$4:$AE$8,2,FALSE)))</f>
        <v/>
      </c>
      <c r="Z209" s="565" t="str">
        <f t="shared" si="24"/>
        <v/>
      </c>
      <c r="AA209" s="149"/>
      <c r="AB209" s="150"/>
      <c r="AH209" s="31" t="str">
        <f>IFERROR(INDEX('G-7 Rivers Data'!$AZ$3:$AZ$7,MATCH(C209,'G-7 Rivers Data'!$AY$3:$AY$7,0)),"")</f>
        <v/>
      </c>
    </row>
    <row r="210" spans="2:34" ht="13.8" x14ac:dyDescent="0.25">
      <c r="B210" s="141">
        <v>199</v>
      </c>
      <c r="C210" s="171"/>
      <c r="D210" s="172"/>
      <c r="E210" s="498" t="str">
        <f>IF(C210="","",VLOOKUP(C210,'G-7 Rivers Data'!$B$2:$G$8,2,FALSE))</f>
        <v/>
      </c>
      <c r="F210" s="499" t="str">
        <f>IFERROR(VLOOKUP(E210,'G-7 Rivers Data'!$C$4:$D$8,2,FALSE),"")</f>
        <v/>
      </c>
      <c r="G210" s="145"/>
      <c r="H210" s="499" t="str">
        <f>IFERROR(INDEX('G-7 Rivers Data'!$H$4:$L$8,MATCH(C210,'G-7 Rivers Data'!$B$4:$B$8,0),MATCH(G210,'G-7 Rivers Data'!$H$3:$L$3,0)),"")</f>
        <v/>
      </c>
      <c r="I210" s="154"/>
      <c r="J210" s="507" t="str">
        <f>IF(I210="","",IF(VLOOKUP(I210,'G-7 Rivers Data'!$AG$4:$AI$9,2,FALSE)=0,"Spatial Data Missing ⚠",VLOOKUP(I210,'G-7 Rivers Data'!$AG$4:$AI$9,2,FALSE)))</f>
        <v/>
      </c>
      <c r="K210" s="499" t="str">
        <f>IF(I210="","",IF(VLOOKUP(I210,'G-7 Rivers Data'!$AG$4:$AI$9,3,FALSE)=0,"Spatial Data Missing ⚠",VLOOKUP(I210,'G-7 Rivers Data'!$AG$4:$AI$9,3,FALSE)))</f>
        <v/>
      </c>
      <c r="L210" s="498" t="str">
        <f>IFERROR(INDEX('G-7 Rivers Data'!$O$3:$O$7,MATCH(G210,'G-7 Rivers Data'!$N$3:$N$7,0)),"")</f>
        <v/>
      </c>
      <c r="M210" s="82"/>
      <c r="N210" s="195"/>
      <c r="O210" s="507" t="str">
        <f t="shared" si="19"/>
        <v/>
      </c>
      <c r="P210" s="521" t="str">
        <f t="shared" si="20"/>
        <v/>
      </c>
      <c r="Q210" s="564" t="str">
        <f>IFERROR(IF(P210="Check Data ⚠","Check Data ⚠",VLOOKUP(P210,'G-4 Temporal multipliers'!$A$4:$C$37,3,FALSE)),"")</f>
        <v/>
      </c>
      <c r="R210" s="498" t="str">
        <f>IF(C210="","",VLOOKUP(C210,'G-7 Rivers Data'!$B$4:$G$8,4,FALSE))</f>
        <v/>
      </c>
      <c r="S210" s="507" t="str">
        <f t="shared" si="21"/>
        <v/>
      </c>
      <c r="T210" s="540" t="str">
        <f t="shared" si="22"/>
        <v/>
      </c>
      <c r="U210" s="499" t="str">
        <f t="shared" si="23"/>
        <v/>
      </c>
      <c r="V210" s="71"/>
      <c r="W210" s="499" t="str">
        <f>IF(V210="","",IF(VLOOKUP(V210,'G-7 Rivers Data'!$AA$4:$AB$7,2,FALSE)=0,"Spatial Data Missing ⚠",VLOOKUP(V210,'G-7 Rivers Data'!$AA$4:$AB$7,2,FALSE)))</f>
        <v/>
      </c>
      <c r="X210" s="155"/>
      <c r="Y210" s="499" t="str">
        <f>IF(X210="","",IF(VLOOKUP(X210,'G-7 Rivers Data'!$AD$4:$AE$8,2,FALSE)=0,"Enrcoachment Data Missing ⚠",VLOOKUP(X210,'G-7 Rivers Data'!$AD$4:$AE$8,2,FALSE)))</f>
        <v/>
      </c>
      <c r="Z210" s="565" t="str">
        <f t="shared" si="24"/>
        <v/>
      </c>
      <c r="AA210" s="149"/>
      <c r="AB210" s="150"/>
      <c r="AH210" s="31" t="str">
        <f>IFERROR(INDEX('G-7 Rivers Data'!$AZ$3:$AZ$7,MATCH(C210,'G-7 Rivers Data'!$AY$3:$AY$7,0)),"")</f>
        <v/>
      </c>
    </row>
    <row r="211" spans="2:34" ht="13.8" x14ac:dyDescent="0.25">
      <c r="B211" s="141">
        <v>200</v>
      </c>
      <c r="C211" s="171"/>
      <c r="D211" s="172"/>
      <c r="E211" s="498" t="str">
        <f>IF(C211="","",VLOOKUP(C211,'G-7 Rivers Data'!$B$2:$G$8,2,FALSE))</f>
        <v/>
      </c>
      <c r="F211" s="499" t="str">
        <f>IFERROR(VLOOKUP(E211,'G-7 Rivers Data'!$C$4:$D$8,2,FALSE),"")</f>
        <v/>
      </c>
      <c r="G211" s="145"/>
      <c r="H211" s="499" t="str">
        <f>IFERROR(INDEX('G-7 Rivers Data'!$H$4:$L$8,MATCH(C211,'G-7 Rivers Data'!$B$4:$B$8,0),MATCH(G211,'G-7 Rivers Data'!$H$3:$L$3,0)),"")</f>
        <v/>
      </c>
      <c r="I211" s="154"/>
      <c r="J211" s="507" t="str">
        <f>IF(I211="","",IF(VLOOKUP(I211,'G-7 Rivers Data'!$AG$4:$AI$9,2,FALSE)=0,"Spatial Data Missing ⚠",VLOOKUP(I211,'G-7 Rivers Data'!$AG$4:$AI$9,2,FALSE)))</f>
        <v/>
      </c>
      <c r="K211" s="499" t="str">
        <f>IF(I211="","",IF(VLOOKUP(I211,'G-7 Rivers Data'!$AG$4:$AI$9,3,FALSE)=0,"Spatial Data Missing ⚠",VLOOKUP(I211,'G-7 Rivers Data'!$AG$4:$AI$9,3,FALSE)))</f>
        <v/>
      </c>
      <c r="L211" s="498" t="str">
        <f>IFERROR(INDEX('G-7 Rivers Data'!$O$3:$O$7,MATCH(G211,'G-7 Rivers Data'!$N$3:$N$7,0)),"")</f>
        <v/>
      </c>
      <c r="M211" s="82"/>
      <c r="N211" s="195"/>
      <c r="O211" s="507" t="str">
        <f t="shared" si="19"/>
        <v/>
      </c>
      <c r="P211" s="521" t="str">
        <f t="shared" si="20"/>
        <v/>
      </c>
      <c r="Q211" s="564" t="str">
        <f>IFERROR(IF(P211="Check Data ⚠","Check Data ⚠",VLOOKUP(P211,'G-4 Temporal multipliers'!$A$4:$C$37,3,FALSE)),"")</f>
        <v/>
      </c>
      <c r="R211" s="498" t="str">
        <f>IF(C211="","",VLOOKUP(C211,'G-7 Rivers Data'!$B$4:$G$8,4,FALSE))</f>
        <v/>
      </c>
      <c r="S211" s="507" t="str">
        <f t="shared" si="21"/>
        <v/>
      </c>
      <c r="T211" s="540" t="str">
        <f t="shared" si="22"/>
        <v/>
      </c>
      <c r="U211" s="499" t="str">
        <f t="shared" si="23"/>
        <v/>
      </c>
      <c r="V211" s="71"/>
      <c r="W211" s="499" t="str">
        <f>IF(V211="","",IF(VLOOKUP(V211,'G-7 Rivers Data'!$AA$4:$AB$7,2,FALSE)=0,"Spatial Data Missing ⚠",VLOOKUP(V211,'G-7 Rivers Data'!$AA$4:$AB$7,2,FALSE)))</f>
        <v/>
      </c>
      <c r="X211" s="155"/>
      <c r="Y211" s="499" t="str">
        <f>IF(X211="","",IF(VLOOKUP(X211,'G-7 Rivers Data'!$AD$4:$AE$8,2,FALSE)=0,"Enrcoachment Data Missing ⚠",VLOOKUP(X211,'G-7 Rivers Data'!$AD$4:$AE$8,2,FALSE)))</f>
        <v/>
      </c>
      <c r="Z211" s="565" t="str">
        <f t="shared" si="24"/>
        <v/>
      </c>
      <c r="AA211" s="149"/>
      <c r="AB211" s="150"/>
      <c r="AH211" s="31" t="str">
        <f>IFERROR(INDEX('G-7 Rivers Data'!$AZ$3:$AZ$7,MATCH(C211,'G-7 Rivers Data'!$AY$3:$AY$7,0)),"")</f>
        <v/>
      </c>
    </row>
    <row r="212" spans="2:34" ht="13.8" x14ac:dyDescent="0.25">
      <c r="B212" s="141">
        <v>201</v>
      </c>
      <c r="C212" s="171"/>
      <c r="D212" s="172"/>
      <c r="E212" s="498" t="str">
        <f>IF(C212="","",VLOOKUP(C212,'G-7 Rivers Data'!$B$2:$G$8,2,FALSE))</f>
        <v/>
      </c>
      <c r="F212" s="499" t="str">
        <f>IFERROR(VLOOKUP(E212,'G-7 Rivers Data'!$C$4:$D$8,2,FALSE),"")</f>
        <v/>
      </c>
      <c r="G212" s="145"/>
      <c r="H212" s="499" t="str">
        <f>IFERROR(INDEX('G-7 Rivers Data'!$H$4:$L$8,MATCH(C212,'G-7 Rivers Data'!$B$4:$B$8,0),MATCH(G212,'G-7 Rivers Data'!$H$3:$L$3,0)),"")</f>
        <v/>
      </c>
      <c r="I212" s="154"/>
      <c r="J212" s="507" t="str">
        <f>IF(I212="","",IF(VLOOKUP(I212,'G-7 Rivers Data'!$AG$4:$AI$9,2,FALSE)=0,"Spatial Data Missing ⚠",VLOOKUP(I212,'G-7 Rivers Data'!$AG$4:$AI$9,2,FALSE)))</f>
        <v/>
      </c>
      <c r="K212" s="499" t="str">
        <f>IF(I212="","",IF(VLOOKUP(I212,'G-7 Rivers Data'!$AG$4:$AI$9,3,FALSE)=0,"Spatial Data Missing ⚠",VLOOKUP(I212,'G-7 Rivers Data'!$AG$4:$AI$9,3,FALSE)))</f>
        <v/>
      </c>
      <c r="L212" s="498" t="str">
        <f>IFERROR(INDEX('G-7 Rivers Data'!$O$3:$O$7,MATCH(G212,'G-7 Rivers Data'!$N$3:$N$7,0)),"")</f>
        <v/>
      </c>
      <c r="M212" s="82"/>
      <c r="N212" s="195"/>
      <c r="O212" s="507" t="str">
        <f t="shared" si="19"/>
        <v/>
      </c>
      <c r="P212" s="521" t="str">
        <f t="shared" si="20"/>
        <v/>
      </c>
      <c r="Q212" s="564" t="str">
        <f>IFERROR(IF(P212="Check Data ⚠","Check Data ⚠",VLOOKUP(P212,'G-4 Temporal multipliers'!$A$4:$C$37,3,FALSE)),"")</f>
        <v/>
      </c>
      <c r="R212" s="498" t="str">
        <f>IF(C212="","",VLOOKUP(C212,'G-7 Rivers Data'!$B$4:$G$8,4,FALSE))</f>
        <v/>
      </c>
      <c r="S212" s="507" t="str">
        <f t="shared" si="21"/>
        <v/>
      </c>
      <c r="T212" s="540" t="str">
        <f t="shared" si="22"/>
        <v/>
      </c>
      <c r="U212" s="499" t="str">
        <f t="shared" si="23"/>
        <v/>
      </c>
      <c r="V212" s="71"/>
      <c r="W212" s="499" t="str">
        <f>IF(V212="","",IF(VLOOKUP(V212,'G-7 Rivers Data'!$AA$4:$AB$7,2,FALSE)=0,"Spatial Data Missing ⚠",VLOOKUP(V212,'G-7 Rivers Data'!$AA$4:$AB$7,2,FALSE)))</f>
        <v/>
      </c>
      <c r="X212" s="155"/>
      <c r="Y212" s="499" t="str">
        <f>IF(X212="","",IF(VLOOKUP(X212,'G-7 Rivers Data'!$AD$4:$AE$8,2,FALSE)=0,"Enrcoachment Data Missing ⚠",VLOOKUP(X212,'G-7 Rivers Data'!$AD$4:$AE$8,2,FALSE)))</f>
        <v/>
      </c>
      <c r="Z212" s="565" t="str">
        <f t="shared" si="24"/>
        <v/>
      </c>
      <c r="AA212" s="149"/>
      <c r="AB212" s="150"/>
      <c r="AH212" s="31" t="str">
        <f>IFERROR(INDEX('G-7 Rivers Data'!$AZ$3:$AZ$7,MATCH(C212,'G-7 Rivers Data'!$AY$3:$AY$7,0)),"")</f>
        <v/>
      </c>
    </row>
    <row r="213" spans="2:34" ht="13.8" x14ac:dyDescent="0.25">
      <c r="B213" s="141">
        <v>202</v>
      </c>
      <c r="C213" s="171"/>
      <c r="D213" s="172"/>
      <c r="E213" s="498" t="str">
        <f>IF(C213="","",VLOOKUP(C213,'G-7 Rivers Data'!$B$2:$G$8,2,FALSE))</f>
        <v/>
      </c>
      <c r="F213" s="499" t="str">
        <f>IFERROR(VLOOKUP(E213,'G-7 Rivers Data'!$C$4:$D$8,2,FALSE),"")</f>
        <v/>
      </c>
      <c r="G213" s="145"/>
      <c r="H213" s="499" t="str">
        <f>IFERROR(INDEX('G-7 Rivers Data'!$H$4:$L$8,MATCH(C213,'G-7 Rivers Data'!$B$4:$B$8,0),MATCH(G213,'G-7 Rivers Data'!$H$3:$L$3,0)),"")</f>
        <v/>
      </c>
      <c r="I213" s="154"/>
      <c r="J213" s="507" t="str">
        <f>IF(I213="","",IF(VLOOKUP(I213,'G-7 Rivers Data'!$AG$4:$AI$9,2,FALSE)=0,"Spatial Data Missing ⚠",VLOOKUP(I213,'G-7 Rivers Data'!$AG$4:$AI$9,2,FALSE)))</f>
        <v/>
      </c>
      <c r="K213" s="499" t="str">
        <f>IF(I213="","",IF(VLOOKUP(I213,'G-7 Rivers Data'!$AG$4:$AI$9,3,FALSE)=0,"Spatial Data Missing ⚠",VLOOKUP(I213,'G-7 Rivers Data'!$AG$4:$AI$9,3,FALSE)))</f>
        <v/>
      </c>
      <c r="L213" s="498" t="str">
        <f>IFERROR(INDEX('G-7 Rivers Data'!$O$3:$O$7,MATCH(G213,'G-7 Rivers Data'!$N$3:$N$7,0)),"")</f>
        <v/>
      </c>
      <c r="M213" s="82"/>
      <c r="N213" s="195"/>
      <c r="O213" s="507" t="str">
        <f t="shared" si="19"/>
        <v/>
      </c>
      <c r="P213" s="521" t="str">
        <f t="shared" si="20"/>
        <v/>
      </c>
      <c r="Q213" s="564" t="str">
        <f>IFERROR(IF(P213="Check Data ⚠","Check Data ⚠",VLOOKUP(P213,'G-4 Temporal multipliers'!$A$4:$C$37,3,FALSE)),"")</f>
        <v/>
      </c>
      <c r="R213" s="498" t="str">
        <f>IF(C213="","",VLOOKUP(C213,'G-7 Rivers Data'!$B$4:$G$8,4,FALSE))</f>
        <v/>
      </c>
      <c r="S213" s="507" t="str">
        <f t="shared" si="21"/>
        <v/>
      </c>
      <c r="T213" s="540" t="str">
        <f t="shared" si="22"/>
        <v/>
      </c>
      <c r="U213" s="499" t="str">
        <f t="shared" si="23"/>
        <v/>
      </c>
      <c r="V213" s="71"/>
      <c r="W213" s="499" t="str">
        <f>IF(V213="","",IF(VLOOKUP(V213,'G-7 Rivers Data'!$AA$4:$AB$7,2,FALSE)=0,"Spatial Data Missing ⚠",VLOOKUP(V213,'G-7 Rivers Data'!$AA$4:$AB$7,2,FALSE)))</f>
        <v/>
      </c>
      <c r="X213" s="155"/>
      <c r="Y213" s="499" t="str">
        <f>IF(X213="","",IF(VLOOKUP(X213,'G-7 Rivers Data'!$AD$4:$AE$8,2,FALSE)=0,"Enrcoachment Data Missing ⚠",VLOOKUP(X213,'G-7 Rivers Data'!$AD$4:$AE$8,2,FALSE)))</f>
        <v/>
      </c>
      <c r="Z213" s="565" t="str">
        <f t="shared" si="24"/>
        <v/>
      </c>
      <c r="AA213" s="149"/>
      <c r="AB213" s="150"/>
      <c r="AH213" s="31" t="str">
        <f>IFERROR(INDEX('G-7 Rivers Data'!$AZ$3:$AZ$7,MATCH(C213,'G-7 Rivers Data'!$AY$3:$AY$7,0)),"")</f>
        <v/>
      </c>
    </row>
    <row r="214" spans="2:34" ht="13.8" x14ac:dyDescent="0.25">
      <c r="B214" s="141">
        <v>203</v>
      </c>
      <c r="C214" s="171"/>
      <c r="D214" s="172"/>
      <c r="E214" s="498" t="str">
        <f>IF(C214="","",VLOOKUP(C214,'G-7 Rivers Data'!$B$2:$G$8,2,FALSE))</f>
        <v/>
      </c>
      <c r="F214" s="499" t="str">
        <f>IFERROR(VLOOKUP(E214,'G-7 Rivers Data'!$C$4:$D$8,2,FALSE),"")</f>
        <v/>
      </c>
      <c r="G214" s="145"/>
      <c r="H214" s="499" t="str">
        <f>IFERROR(INDEX('G-7 Rivers Data'!$H$4:$L$8,MATCH(C214,'G-7 Rivers Data'!$B$4:$B$8,0),MATCH(G214,'G-7 Rivers Data'!$H$3:$L$3,0)),"")</f>
        <v/>
      </c>
      <c r="I214" s="154"/>
      <c r="J214" s="507" t="str">
        <f>IF(I214="","",IF(VLOOKUP(I214,'G-7 Rivers Data'!$AG$4:$AI$9,2,FALSE)=0,"Spatial Data Missing ⚠",VLOOKUP(I214,'G-7 Rivers Data'!$AG$4:$AI$9,2,FALSE)))</f>
        <v/>
      </c>
      <c r="K214" s="499" t="str">
        <f>IF(I214="","",IF(VLOOKUP(I214,'G-7 Rivers Data'!$AG$4:$AI$9,3,FALSE)=0,"Spatial Data Missing ⚠",VLOOKUP(I214,'G-7 Rivers Data'!$AG$4:$AI$9,3,FALSE)))</f>
        <v/>
      </c>
      <c r="L214" s="498" t="str">
        <f>IFERROR(INDEX('G-7 Rivers Data'!$O$3:$O$7,MATCH(G214,'G-7 Rivers Data'!$N$3:$N$7,0)),"")</f>
        <v/>
      </c>
      <c r="M214" s="82"/>
      <c r="N214" s="195"/>
      <c r="O214" s="507" t="str">
        <f t="shared" si="19"/>
        <v/>
      </c>
      <c r="P214" s="521" t="str">
        <f t="shared" si="20"/>
        <v/>
      </c>
      <c r="Q214" s="564" t="str">
        <f>IFERROR(IF(P214="Check Data ⚠","Check Data ⚠",VLOOKUP(P214,'G-4 Temporal multipliers'!$A$4:$C$37,3,FALSE)),"")</f>
        <v/>
      </c>
      <c r="R214" s="498" t="str">
        <f>IF(C214="","",VLOOKUP(C214,'G-7 Rivers Data'!$B$4:$G$8,4,FALSE))</f>
        <v/>
      </c>
      <c r="S214" s="507" t="str">
        <f t="shared" si="21"/>
        <v/>
      </c>
      <c r="T214" s="540" t="str">
        <f t="shared" si="22"/>
        <v/>
      </c>
      <c r="U214" s="499" t="str">
        <f t="shared" si="23"/>
        <v/>
      </c>
      <c r="V214" s="71"/>
      <c r="W214" s="499" t="str">
        <f>IF(V214="","",IF(VLOOKUP(V214,'G-7 Rivers Data'!$AA$4:$AB$7,2,FALSE)=0,"Spatial Data Missing ⚠",VLOOKUP(V214,'G-7 Rivers Data'!$AA$4:$AB$7,2,FALSE)))</f>
        <v/>
      </c>
      <c r="X214" s="155"/>
      <c r="Y214" s="499" t="str">
        <f>IF(X214="","",IF(VLOOKUP(X214,'G-7 Rivers Data'!$AD$4:$AE$8,2,FALSE)=0,"Enrcoachment Data Missing ⚠",VLOOKUP(X214,'G-7 Rivers Data'!$AD$4:$AE$8,2,FALSE)))</f>
        <v/>
      </c>
      <c r="Z214" s="565" t="str">
        <f t="shared" si="24"/>
        <v/>
      </c>
      <c r="AA214" s="149"/>
      <c r="AB214" s="150"/>
      <c r="AH214" s="31" t="str">
        <f>IFERROR(INDEX('G-7 Rivers Data'!$AZ$3:$AZ$7,MATCH(C214,'G-7 Rivers Data'!$AY$3:$AY$7,0)),"")</f>
        <v/>
      </c>
    </row>
    <row r="215" spans="2:34" ht="13.8" x14ac:dyDescent="0.25">
      <c r="B215" s="141">
        <v>204</v>
      </c>
      <c r="C215" s="171"/>
      <c r="D215" s="172"/>
      <c r="E215" s="498" t="str">
        <f>IF(C215="","",VLOOKUP(C215,'G-7 Rivers Data'!$B$2:$G$8,2,FALSE))</f>
        <v/>
      </c>
      <c r="F215" s="499" t="str">
        <f>IFERROR(VLOOKUP(E215,'G-7 Rivers Data'!$C$4:$D$8,2,FALSE),"")</f>
        <v/>
      </c>
      <c r="G215" s="145"/>
      <c r="H215" s="499" t="str">
        <f>IFERROR(INDEX('G-7 Rivers Data'!$H$4:$L$8,MATCH(C215,'G-7 Rivers Data'!$B$4:$B$8,0),MATCH(G215,'G-7 Rivers Data'!$H$3:$L$3,0)),"")</f>
        <v/>
      </c>
      <c r="I215" s="154"/>
      <c r="J215" s="507" t="str">
        <f>IF(I215="","",IF(VLOOKUP(I215,'G-7 Rivers Data'!$AG$4:$AI$9,2,FALSE)=0,"Spatial Data Missing ⚠",VLOOKUP(I215,'G-7 Rivers Data'!$AG$4:$AI$9,2,FALSE)))</f>
        <v/>
      </c>
      <c r="K215" s="499" t="str">
        <f>IF(I215="","",IF(VLOOKUP(I215,'G-7 Rivers Data'!$AG$4:$AI$9,3,FALSE)=0,"Spatial Data Missing ⚠",VLOOKUP(I215,'G-7 Rivers Data'!$AG$4:$AI$9,3,FALSE)))</f>
        <v/>
      </c>
      <c r="L215" s="498" t="str">
        <f>IFERROR(INDEX('G-7 Rivers Data'!$O$3:$O$7,MATCH(G215,'G-7 Rivers Data'!$N$3:$N$7,0)),"")</f>
        <v/>
      </c>
      <c r="M215" s="82"/>
      <c r="N215" s="195"/>
      <c r="O215" s="507" t="str">
        <f t="shared" si="19"/>
        <v/>
      </c>
      <c r="P215" s="521" t="str">
        <f t="shared" si="20"/>
        <v/>
      </c>
      <c r="Q215" s="564" t="str">
        <f>IFERROR(IF(P215="Check Data ⚠","Check Data ⚠",VLOOKUP(P215,'G-4 Temporal multipliers'!$A$4:$C$37,3,FALSE)),"")</f>
        <v/>
      </c>
      <c r="R215" s="498" t="str">
        <f>IF(C215="","",VLOOKUP(C215,'G-7 Rivers Data'!$B$4:$G$8,4,FALSE))</f>
        <v/>
      </c>
      <c r="S215" s="507" t="str">
        <f t="shared" si="21"/>
        <v/>
      </c>
      <c r="T215" s="540" t="str">
        <f t="shared" si="22"/>
        <v/>
      </c>
      <c r="U215" s="499" t="str">
        <f t="shared" si="23"/>
        <v/>
      </c>
      <c r="V215" s="71"/>
      <c r="W215" s="499" t="str">
        <f>IF(V215="","",IF(VLOOKUP(V215,'G-7 Rivers Data'!$AA$4:$AB$7,2,FALSE)=0,"Spatial Data Missing ⚠",VLOOKUP(V215,'G-7 Rivers Data'!$AA$4:$AB$7,2,FALSE)))</f>
        <v/>
      </c>
      <c r="X215" s="155"/>
      <c r="Y215" s="499" t="str">
        <f>IF(X215="","",IF(VLOOKUP(X215,'G-7 Rivers Data'!$AD$4:$AE$8,2,FALSE)=0,"Enrcoachment Data Missing ⚠",VLOOKUP(X215,'G-7 Rivers Data'!$AD$4:$AE$8,2,FALSE)))</f>
        <v/>
      </c>
      <c r="Z215" s="565" t="str">
        <f t="shared" si="24"/>
        <v/>
      </c>
      <c r="AA215" s="149"/>
      <c r="AB215" s="150"/>
      <c r="AH215" s="31" t="str">
        <f>IFERROR(INDEX('G-7 Rivers Data'!$AZ$3:$AZ$7,MATCH(C215,'G-7 Rivers Data'!$AY$3:$AY$7,0)),"")</f>
        <v/>
      </c>
    </row>
    <row r="216" spans="2:34" ht="13.8" x14ac:dyDescent="0.25">
      <c r="B216" s="141">
        <v>205</v>
      </c>
      <c r="C216" s="171"/>
      <c r="D216" s="172"/>
      <c r="E216" s="498" t="str">
        <f>IF(C216="","",VLOOKUP(C216,'G-7 Rivers Data'!$B$2:$G$8,2,FALSE))</f>
        <v/>
      </c>
      <c r="F216" s="499" t="str">
        <f>IFERROR(VLOOKUP(E216,'G-7 Rivers Data'!$C$4:$D$8,2,FALSE),"")</f>
        <v/>
      </c>
      <c r="G216" s="145"/>
      <c r="H216" s="499" t="str">
        <f>IFERROR(INDEX('G-7 Rivers Data'!$H$4:$L$8,MATCH(C216,'G-7 Rivers Data'!$B$4:$B$8,0),MATCH(G216,'G-7 Rivers Data'!$H$3:$L$3,0)),"")</f>
        <v/>
      </c>
      <c r="I216" s="154"/>
      <c r="J216" s="507" t="str">
        <f>IF(I216="","",IF(VLOOKUP(I216,'G-7 Rivers Data'!$AG$4:$AI$9,2,FALSE)=0,"Spatial Data Missing ⚠",VLOOKUP(I216,'G-7 Rivers Data'!$AG$4:$AI$9,2,FALSE)))</f>
        <v/>
      </c>
      <c r="K216" s="499" t="str">
        <f>IF(I216="","",IF(VLOOKUP(I216,'G-7 Rivers Data'!$AG$4:$AI$9,3,FALSE)=0,"Spatial Data Missing ⚠",VLOOKUP(I216,'G-7 Rivers Data'!$AG$4:$AI$9,3,FALSE)))</f>
        <v/>
      </c>
      <c r="L216" s="498" t="str">
        <f>IFERROR(INDEX('G-7 Rivers Data'!$O$3:$O$7,MATCH(G216,'G-7 Rivers Data'!$N$3:$N$7,0)),"")</f>
        <v/>
      </c>
      <c r="M216" s="82"/>
      <c r="N216" s="195"/>
      <c r="O216" s="507" t="str">
        <f t="shared" si="19"/>
        <v/>
      </c>
      <c r="P216" s="521" t="str">
        <f t="shared" si="20"/>
        <v/>
      </c>
      <c r="Q216" s="564" t="str">
        <f>IFERROR(IF(P216="Check Data ⚠","Check Data ⚠",VLOOKUP(P216,'G-4 Temporal multipliers'!$A$4:$C$37,3,FALSE)),"")</f>
        <v/>
      </c>
      <c r="R216" s="498" t="str">
        <f>IF(C216="","",VLOOKUP(C216,'G-7 Rivers Data'!$B$4:$G$8,4,FALSE))</f>
        <v/>
      </c>
      <c r="S216" s="507" t="str">
        <f t="shared" si="21"/>
        <v/>
      </c>
      <c r="T216" s="540" t="str">
        <f t="shared" si="22"/>
        <v/>
      </c>
      <c r="U216" s="499" t="str">
        <f t="shared" si="23"/>
        <v/>
      </c>
      <c r="V216" s="71"/>
      <c r="W216" s="499" t="str">
        <f>IF(V216="","",IF(VLOOKUP(V216,'G-7 Rivers Data'!$AA$4:$AB$7,2,FALSE)=0,"Spatial Data Missing ⚠",VLOOKUP(V216,'G-7 Rivers Data'!$AA$4:$AB$7,2,FALSE)))</f>
        <v/>
      </c>
      <c r="X216" s="155"/>
      <c r="Y216" s="499" t="str">
        <f>IF(X216="","",IF(VLOOKUP(X216,'G-7 Rivers Data'!$AD$4:$AE$8,2,FALSE)=0,"Enrcoachment Data Missing ⚠",VLOOKUP(X216,'G-7 Rivers Data'!$AD$4:$AE$8,2,FALSE)))</f>
        <v/>
      </c>
      <c r="Z216" s="565" t="str">
        <f t="shared" si="24"/>
        <v/>
      </c>
      <c r="AA216" s="149"/>
      <c r="AB216" s="150"/>
      <c r="AH216" s="31" t="str">
        <f>IFERROR(INDEX('G-7 Rivers Data'!$AZ$3:$AZ$7,MATCH(C216,'G-7 Rivers Data'!$AY$3:$AY$7,0)),"")</f>
        <v/>
      </c>
    </row>
    <row r="217" spans="2:34" ht="13.8" x14ac:dyDescent="0.25">
      <c r="B217" s="141">
        <v>206</v>
      </c>
      <c r="C217" s="171"/>
      <c r="D217" s="172"/>
      <c r="E217" s="498" t="str">
        <f>IF(C217="","",VLOOKUP(C217,'G-7 Rivers Data'!$B$2:$G$8,2,FALSE))</f>
        <v/>
      </c>
      <c r="F217" s="499" t="str">
        <f>IFERROR(VLOOKUP(E217,'G-7 Rivers Data'!$C$4:$D$8,2,FALSE),"")</f>
        <v/>
      </c>
      <c r="G217" s="145"/>
      <c r="H217" s="499" t="str">
        <f>IFERROR(INDEX('G-7 Rivers Data'!$H$4:$L$8,MATCH(C217,'G-7 Rivers Data'!$B$4:$B$8,0),MATCH(G217,'G-7 Rivers Data'!$H$3:$L$3,0)),"")</f>
        <v/>
      </c>
      <c r="I217" s="154"/>
      <c r="J217" s="507" t="str">
        <f>IF(I217="","",IF(VLOOKUP(I217,'G-7 Rivers Data'!$AG$4:$AI$9,2,FALSE)=0,"Spatial Data Missing ⚠",VLOOKUP(I217,'G-7 Rivers Data'!$AG$4:$AI$9,2,FALSE)))</f>
        <v/>
      </c>
      <c r="K217" s="499" t="str">
        <f>IF(I217="","",IF(VLOOKUP(I217,'G-7 Rivers Data'!$AG$4:$AI$9,3,FALSE)=0,"Spatial Data Missing ⚠",VLOOKUP(I217,'G-7 Rivers Data'!$AG$4:$AI$9,3,FALSE)))</f>
        <v/>
      </c>
      <c r="L217" s="498" t="str">
        <f>IFERROR(INDEX('G-7 Rivers Data'!$O$3:$O$7,MATCH(G217,'G-7 Rivers Data'!$N$3:$N$7,0)),"")</f>
        <v/>
      </c>
      <c r="M217" s="82"/>
      <c r="N217" s="195"/>
      <c r="O217" s="507" t="str">
        <f t="shared" si="19"/>
        <v/>
      </c>
      <c r="P217" s="521" t="str">
        <f t="shared" si="20"/>
        <v/>
      </c>
      <c r="Q217" s="564" t="str">
        <f>IFERROR(IF(P217="Check Data ⚠","Check Data ⚠",VLOOKUP(P217,'G-4 Temporal multipliers'!$A$4:$C$37,3,FALSE)),"")</f>
        <v/>
      </c>
      <c r="R217" s="498" t="str">
        <f>IF(C217="","",VLOOKUP(C217,'G-7 Rivers Data'!$B$4:$G$8,4,FALSE))</f>
        <v/>
      </c>
      <c r="S217" s="507" t="str">
        <f t="shared" si="21"/>
        <v/>
      </c>
      <c r="T217" s="540" t="str">
        <f t="shared" si="22"/>
        <v/>
      </c>
      <c r="U217" s="499" t="str">
        <f t="shared" si="23"/>
        <v/>
      </c>
      <c r="V217" s="71"/>
      <c r="W217" s="499" t="str">
        <f>IF(V217="","",IF(VLOOKUP(V217,'G-7 Rivers Data'!$AA$4:$AB$7,2,FALSE)=0,"Spatial Data Missing ⚠",VLOOKUP(V217,'G-7 Rivers Data'!$AA$4:$AB$7,2,FALSE)))</f>
        <v/>
      </c>
      <c r="X217" s="155"/>
      <c r="Y217" s="499" t="str">
        <f>IF(X217="","",IF(VLOOKUP(X217,'G-7 Rivers Data'!$AD$4:$AE$8,2,FALSE)=0,"Enrcoachment Data Missing ⚠",VLOOKUP(X217,'G-7 Rivers Data'!$AD$4:$AE$8,2,FALSE)))</f>
        <v/>
      </c>
      <c r="Z217" s="565" t="str">
        <f t="shared" si="24"/>
        <v/>
      </c>
      <c r="AA217" s="149"/>
      <c r="AB217" s="150"/>
      <c r="AH217" s="31" t="str">
        <f>IFERROR(INDEX('G-7 Rivers Data'!$AZ$3:$AZ$7,MATCH(C217,'G-7 Rivers Data'!$AY$3:$AY$7,0)),"")</f>
        <v/>
      </c>
    </row>
    <row r="218" spans="2:34" ht="13.8" x14ac:dyDescent="0.25">
      <c r="B218" s="141">
        <v>207</v>
      </c>
      <c r="C218" s="171"/>
      <c r="D218" s="172"/>
      <c r="E218" s="498" t="str">
        <f>IF(C218="","",VLOOKUP(C218,'G-7 Rivers Data'!$B$2:$G$8,2,FALSE))</f>
        <v/>
      </c>
      <c r="F218" s="499" t="str">
        <f>IFERROR(VLOOKUP(E218,'G-7 Rivers Data'!$C$4:$D$8,2,FALSE),"")</f>
        <v/>
      </c>
      <c r="G218" s="145"/>
      <c r="H218" s="499" t="str">
        <f>IFERROR(INDEX('G-7 Rivers Data'!$H$4:$L$8,MATCH(C218,'G-7 Rivers Data'!$B$4:$B$8,0),MATCH(G218,'G-7 Rivers Data'!$H$3:$L$3,0)),"")</f>
        <v/>
      </c>
      <c r="I218" s="154"/>
      <c r="J218" s="507" t="str">
        <f>IF(I218="","",IF(VLOOKUP(I218,'G-7 Rivers Data'!$AG$4:$AI$9,2,FALSE)=0,"Spatial Data Missing ⚠",VLOOKUP(I218,'G-7 Rivers Data'!$AG$4:$AI$9,2,FALSE)))</f>
        <v/>
      </c>
      <c r="K218" s="499" t="str">
        <f>IF(I218="","",IF(VLOOKUP(I218,'G-7 Rivers Data'!$AG$4:$AI$9,3,FALSE)=0,"Spatial Data Missing ⚠",VLOOKUP(I218,'G-7 Rivers Data'!$AG$4:$AI$9,3,FALSE)))</f>
        <v/>
      </c>
      <c r="L218" s="498" t="str">
        <f>IFERROR(INDEX('G-7 Rivers Data'!$O$3:$O$7,MATCH(G218,'G-7 Rivers Data'!$N$3:$N$7,0)),"")</f>
        <v/>
      </c>
      <c r="M218" s="82"/>
      <c r="N218" s="195"/>
      <c r="O218" s="507" t="str">
        <f t="shared" si="19"/>
        <v/>
      </c>
      <c r="P218" s="521" t="str">
        <f t="shared" si="20"/>
        <v/>
      </c>
      <c r="Q218" s="564" t="str">
        <f>IFERROR(IF(P218="Check Data ⚠","Check Data ⚠",VLOOKUP(P218,'G-4 Temporal multipliers'!$A$4:$C$37,3,FALSE)),"")</f>
        <v/>
      </c>
      <c r="R218" s="498" t="str">
        <f>IF(C218="","",VLOOKUP(C218,'G-7 Rivers Data'!$B$4:$G$8,4,FALSE))</f>
        <v/>
      </c>
      <c r="S218" s="507" t="str">
        <f t="shared" si="21"/>
        <v/>
      </c>
      <c r="T218" s="540" t="str">
        <f t="shared" si="22"/>
        <v/>
      </c>
      <c r="U218" s="499" t="str">
        <f t="shared" si="23"/>
        <v/>
      </c>
      <c r="V218" s="71"/>
      <c r="W218" s="499" t="str">
        <f>IF(V218="","",IF(VLOOKUP(V218,'G-7 Rivers Data'!$AA$4:$AB$7,2,FALSE)=0,"Spatial Data Missing ⚠",VLOOKUP(V218,'G-7 Rivers Data'!$AA$4:$AB$7,2,FALSE)))</f>
        <v/>
      </c>
      <c r="X218" s="155"/>
      <c r="Y218" s="499" t="str">
        <f>IF(X218="","",IF(VLOOKUP(X218,'G-7 Rivers Data'!$AD$4:$AE$8,2,FALSE)=0,"Enrcoachment Data Missing ⚠",VLOOKUP(X218,'G-7 Rivers Data'!$AD$4:$AE$8,2,FALSE)))</f>
        <v/>
      </c>
      <c r="Z218" s="565" t="str">
        <f t="shared" si="24"/>
        <v/>
      </c>
      <c r="AA218" s="149"/>
      <c r="AB218" s="150"/>
      <c r="AH218" s="31" t="str">
        <f>IFERROR(INDEX('G-7 Rivers Data'!$AZ$3:$AZ$7,MATCH(C218,'G-7 Rivers Data'!$AY$3:$AY$7,0)),"")</f>
        <v/>
      </c>
    </row>
    <row r="219" spans="2:34" ht="13.8" x14ac:dyDescent="0.25">
      <c r="B219" s="141">
        <v>208</v>
      </c>
      <c r="C219" s="171"/>
      <c r="D219" s="172"/>
      <c r="E219" s="498" t="str">
        <f>IF(C219="","",VLOOKUP(C219,'G-7 Rivers Data'!$B$2:$G$8,2,FALSE))</f>
        <v/>
      </c>
      <c r="F219" s="499" t="str">
        <f>IFERROR(VLOOKUP(E219,'G-7 Rivers Data'!$C$4:$D$8,2,FALSE),"")</f>
        <v/>
      </c>
      <c r="G219" s="145"/>
      <c r="H219" s="499" t="str">
        <f>IFERROR(INDEX('G-7 Rivers Data'!$H$4:$L$8,MATCH(C219,'G-7 Rivers Data'!$B$4:$B$8,0),MATCH(G219,'G-7 Rivers Data'!$H$3:$L$3,0)),"")</f>
        <v/>
      </c>
      <c r="I219" s="154"/>
      <c r="J219" s="507" t="str">
        <f>IF(I219="","",IF(VLOOKUP(I219,'G-7 Rivers Data'!$AG$4:$AI$9,2,FALSE)=0,"Spatial Data Missing ⚠",VLOOKUP(I219,'G-7 Rivers Data'!$AG$4:$AI$9,2,FALSE)))</f>
        <v/>
      </c>
      <c r="K219" s="499" t="str">
        <f>IF(I219="","",IF(VLOOKUP(I219,'G-7 Rivers Data'!$AG$4:$AI$9,3,FALSE)=0,"Spatial Data Missing ⚠",VLOOKUP(I219,'G-7 Rivers Data'!$AG$4:$AI$9,3,FALSE)))</f>
        <v/>
      </c>
      <c r="L219" s="498" t="str">
        <f>IFERROR(INDEX('G-7 Rivers Data'!$O$3:$O$7,MATCH(G219,'G-7 Rivers Data'!$N$3:$N$7,0)),"")</f>
        <v/>
      </c>
      <c r="M219" s="82"/>
      <c r="N219" s="195"/>
      <c r="O219" s="507" t="str">
        <f t="shared" si="19"/>
        <v/>
      </c>
      <c r="P219" s="521" t="str">
        <f t="shared" si="20"/>
        <v/>
      </c>
      <c r="Q219" s="564" t="str">
        <f>IFERROR(IF(P219="Check Data ⚠","Check Data ⚠",VLOOKUP(P219,'G-4 Temporal multipliers'!$A$4:$C$37,3,FALSE)),"")</f>
        <v/>
      </c>
      <c r="R219" s="498" t="str">
        <f>IF(C219="","",VLOOKUP(C219,'G-7 Rivers Data'!$B$4:$G$8,4,FALSE))</f>
        <v/>
      </c>
      <c r="S219" s="507" t="str">
        <f t="shared" si="21"/>
        <v/>
      </c>
      <c r="T219" s="540" t="str">
        <f t="shared" si="22"/>
        <v/>
      </c>
      <c r="U219" s="499" t="str">
        <f t="shared" si="23"/>
        <v/>
      </c>
      <c r="V219" s="71"/>
      <c r="W219" s="499" t="str">
        <f>IF(V219="","",IF(VLOOKUP(V219,'G-7 Rivers Data'!$AA$4:$AB$7,2,FALSE)=0,"Spatial Data Missing ⚠",VLOOKUP(V219,'G-7 Rivers Data'!$AA$4:$AB$7,2,FALSE)))</f>
        <v/>
      </c>
      <c r="X219" s="155"/>
      <c r="Y219" s="499" t="str">
        <f>IF(X219="","",IF(VLOOKUP(X219,'G-7 Rivers Data'!$AD$4:$AE$8,2,FALSE)=0,"Enrcoachment Data Missing ⚠",VLOOKUP(X219,'G-7 Rivers Data'!$AD$4:$AE$8,2,FALSE)))</f>
        <v/>
      </c>
      <c r="Z219" s="565" t="str">
        <f t="shared" si="24"/>
        <v/>
      </c>
      <c r="AA219" s="149"/>
      <c r="AB219" s="150"/>
      <c r="AH219" s="31" t="str">
        <f>IFERROR(INDEX('G-7 Rivers Data'!$AZ$3:$AZ$7,MATCH(C219,'G-7 Rivers Data'!$AY$3:$AY$7,0)),"")</f>
        <v/>
      </c>
    </row>
    <row r="220" spans="2:34" ht="13.8" x14ac:dyDescent="0.25">
      <c r="B220" s="141">
        <v>209</v>
      </c>
      <c r="C220" s="171"/>
      <c r="D220" s="172"/>
      <c r="E220" s="498" t="str">
        <f>IF(C220="","",VLOOKUP(C220,'G-7 Rivers Data'!$B$2:$G$8,2,FALSE))</f>
        <v/>
      </c>
      <c r="F220" s="499" t="str">
        <f>IFERROR(VLOOKUP(E220,'G-7 Rivers Data'!$C$4:$D$8,2,FALSE),"")</f>
        <v/>
      </c>
      <c r="G220" s="145"/>
      <c r="H220" s="499" t="str">
        <f>IFERROR(INDEX('G-7 Rivers Data'!$H$4:$L$8,MATCH(C220,'G-7 Rivers Data'!$B$4:$B$8,0),MATCH(G220,'G-7 Rivers Data'!$H$3:$L$3,0)),"")</f>
        <v/>
      </c>
      <c r="I220" s="154"/>
      <c r="J220" s="507" t="str">
        <f>IF(I220="","",IF(VLOOKUP(I220,'G-7 Rivers Data'!$AG$4:$AI$9,2,FALSE)=0,"Spatial Data Missing ⚠",VLOOKUP(I220,'G-7 Rivers Data'!$AG$4:$AI$9,2,FALSE)))</f>
        <v/>
      </c>
      <c r="K220" s="499" t="str">
        <f>IF(I220="","",IF(VLOOKUP(I220,'G-7 Rivers Data'!$AG$4:$AI$9,3,FALSE)=0,"Spatial Data Missing ⚠",VLOOKUP(I220,'G-7 Rivers Data'!$AG$4:$AI$9,3,FALSE)))</f>
        <v/>
      </c>
      <c r="L220" s="498" t="str">
        <f>IFERROR(INDEX('G-7 Rivers Data'!$O$3:$O$7,MATCH(G220,'G-7 Rivers Data'!$N$3:$N$7,0)),"")</f>
        <v/>
      </c>
      <c r="M220" s="82"/>
      <c r="N220" s="195"/>
      <c r="O220" s="507" t="str">
        <f t="shared" si="19"/>
        <v/>
      </c>
      <c r="P220" s="521" t="str">
        <f t="shared" si="20"/>
        <v/>
      </c>
      <c r="Q220" s="564" t="str">
        <f>IFERROR(IF(P220="Check Data ⚠","Check Data ⚠",VLOOKUP(P220,'G-4 Temporal multipliers'!$A$4:$C$37,3,FALSE)),"")</f>
        <v/>
      </c>
      <c r="R220" s="498" t="str">
        <f>IF(C220="","",VLOOKUP(C220,'G-7 Rivers Data'!$B$4:$G$8,4,FALSE))</f>
        <v/>
      </c>
      <c r="S220" s="507" t="str">
        <f t="shared" si="21"/>
        <v/>
      </c>
      <c r="T220" s="540" t="str">
        <f t="shared" si="22"/>
        <v/>
      </c>
      <c r="U220" s="499" t="str">
        <f t="shared" si="23"/>
        <v/>
      </c>
      <c r="V220" s="71"/>
      <c r="W220" s="499" t="str">
        <f>IF(V220="","",IF(VLOOKUP(V220,'G-7 Rivers Data'!$AA$4:$AB$7,2,FALSE)=0,"Spatial Data Missing ⚠",VLOOKUP(V220,'G-7 Rivers Data'!$AA$4:$AB$7,2,FALSE)))</f>
        <v/>
      </c>
      <c r="X220" s="155"/>
      <c r="Y220" s="499" t="str">
        <f>IF(X220="","",IF(VLOOKUP(X220,'G-7 Rivers Data'!$AD$4:$AE$8,2,FALSE)=0,"Enrcoachment Data Missing ⚠",VLOOKUP(X220,'G-7 Rivers Data'!$AD$4:$AE$8,2,FALSE)))</f>
        <v/>
      </c>
      <c r="Z220" s="565" t="str">
        <f t="shared" si="24"/>
        <v/>
      </c>
      <c r="AA220" s="149"/>
      <c r="AB220" s="150"/>
      <c r="AH220" s="31" t="str">
        <f>IFERROR(INDEX('G-7 Rivers Data'!$AZ$3:$AZ$7,MATCH(C220,'G-7 Rivers Data'!$AY$3:$AY$7,0)),"")</f>
        <v/>
      </c>
    </row>
    <row r="221" spans="2:34" ht="13.8" x14ac:dyDescent="0.25">
      <c r="B221" s="141">
        <v>210</v>
      </c>
      <c r="C221" s="171"/>
      <c r="D221" s="172"/>
      <c r="E221" s="498" t="str">
        <f>IF(C221="","",VLOOKUP(C221,'G-7 Rivers Data'!$B$2:$G$8,2,FALSE))</f>
        <v/>
      </c>
      <c r="F221" s="499" t="str">
        <f>IFERROR(VLOOKUP(E221,'G-7 Rivers Data'!$C$4:$D$8,2,FALSE),"")</f>
        <v/>
      </c>
      <c r="G221" s="145"/>
      <c r="H221" s="499" t="str">
        <f>IFERROR(INDEX('G-7 Rivers Data'!$H$4:$L$8,MATCH(C221,'G-7 Rivers Data'!$B$4:$B$8,0),MATCH(G221,'G-7 Rivers Data'!$H$3:$L$3,0)),"")</f>
        <v/>
      </c>
      <c r="I221" s="154"/>
      <c r="J221" s="507" t="str">
        <f>IF(I221="","",IF(VLOOKUP(I221,'G-7 Rivers Data'!$AG$4:$AI$9,2,FALSE)=0,"Spatial Data Missing ⚠",VLOOKUP(I221,'G-7 Rivers Data'!$AG$4:$AI$9,2,FALSE)))</f>
        <v/>
      </c>
      <c r="K221" s="499" t="str">
        <f>IF(I221="","",IF(VLOOKUP(I221,'G-7 Rivers Data'!$AG$4:$AI$9,3,FALSE)=0,"Spatial Data Missing ⚠",VLOOKUP(I221,'G-7 Rivers Data'!$AG$4:$AI$9,3,FALSE)))</f>
        <v/>
      </c>
      <c r="L221" s="498" t="str">
        <f>IFERROR(INDEX('G-7 Rivers Data'!$O$3:$O$7,MATCH(G221,'G-7 Rivers Data'!$N$3:$N$7,0)),"")</f>
        <v/>
      </c>
      <c r="M221" s="82"/>
      <c r="N221" s="195"/>
      <c r="O221" s="507" t="str">
        <f t="shared" si="19"/>
        <v/>
      </c>
      <c r="P221" s="521" t="str">
        <f t="shared" si="20"/>
        <v/>
      </c>
      <c r="Q221" s="564" t="str">
        <f>IFERROR(IF(P221="Check Data ⚠","Check Data ⚠",VLOOKUP(P221,'G-4 Temporal multipliers'!$A$4:$C$37,3,FALSE)),"")</f>
        <v/>
      </c>
      <c r="R221" s="498" t="str">
        <f>IF(C221="","",VLOOKUP(C221,'G-7 Rivers Data'!$B$4:$G$8,4,FALSE))</f>
        <v/>
      </c>
      <c r="S221" s="507" t="str">
        <f t="shared" si="21"/>
        <v/>
      </c>
      <c r="T221" s="540" t="str">
        <f t="shared" si="22"/>
        <v/>
      </c>
      <c r="U221" s="499" t="str">
        <f t="shared" si="23"/>
        <v/>
      </c>
      <c r="V221" s="71"/>
      <c r="W221" s="499" t="str">
        <f>IF(V221="","",IF(VLOOKUP(V221,'G-7 Rivers Data'!$AA$4:$AB$7,2,FALSE)=0,"Spatial Data Missing ⚠",VLOOKUP(V221,'G-7 Rivers Data'!$AA$4:$AB$7,2,FALSE)))</f>
        <v/>
      </c>
      <c r="X221" s="155"/>
      <c r="Y221" s="499" t="str">
        <f>IF(X221="","",IF(VLOOKUP(X221,'G-7 Rivers Data'!$AD$4:$AE$8,2,FALSE)=0,"Enrcoachment Data Missing ⚠",VLOOKUP(X221,'G-7 Rivers Data'!$AD$4:$AE$8,2,FALSE)))</f>
        <v/>
      </c>
      <c r="Z221" s="565" t="str">
        <f t="shared" si="24"/>
        <v/>
      </c>
      <c r="AA221" s="149"/>
      <c r="AB221" s="150"/>
      <c r="AH221" s="31" t="str">
        <f>IFERROR(INDEX('G-7 Rivers Data'!$AZ$3:$AZ$7,MATCH(C221,'G-7 Rivers Data'!$AY$3:$AY$7,0)),"")</f>
        <v/>
      </c>
    </row>
    <row r="222" spans="2:34" ht="13.8" x14ac:dyDescent="0.25">
      <c r="B222" s="141">
        <v>211</v>
      </c>
      <c r="C222" s="171"/>
      <c r="D222" s="172"/>
      <c r="E222" s="498" t="str">
        <f>IF(C222="","",VLOOKUP(C222,'G-7 Rivers Data'!$B$2:$G$8,2,FALSE))</f>
        <v/>
      </c>
      <c r="F222" s="499" t="str">
        <f>IFERROR(VLOOKUP(E222,'G-7 Rivers Data'!$C$4:$D$8,2,FALSE),"")</f>
        <v/>
      </c>
      <c r="G222" s="145"/>
      <c r="H222" s="499" t="str">
        <f>IFERROR(INDEX('G-7 Rivers Data'!$H$4:$L$8,MATCH(C222,'G-7 Rivers Data'!$B$4:$B$8,0),MATCH(G222,'G-7 Rivers Data'!$H$3:$L$3,0)),"")</f>
        <v/>
      </c>
      <c r="I222" s="154"/>
      <c r="J222" s="507" t="str">
        <f>IF(I222="","",IF(VLOOKUP(I222,'G-7 Rivers Data'!$AG$4:$AI$9,2,FALSE)=0,"Spatial Data Missing ⚠",VLOOKUP(I222,'G-7 Rivers Data'!$AG$4:$AI$9,2,FALSE)))</f>
        <v/>
      </c>
      <c r="K222" s="499" t="str">
        <f>IF(I222="","",IF(VLOOKUP(I222,'G-7 Rivers Data'!$AG$4:$AI$9,3,FALSE)=0,"Spatial Data Missing ⚠",VLOOKUP(I222,'G-7 Rivers Data'!$AG$4:$AI$9,3,FALSE)))</f>
        <v/>
      </c>
      <c r="L222" s="498" t="str">
        <f>IFERROR(INDEX('G-7 Rivers Data'!$O$3:$O$7,MATCH(G222,'G-7 Rivers Data'!$N$3:$N$7,0)),"")</f>
        <v/>
      </c>
      <c r="M222" s="82"/>
      <c r="N222" s="195"/>
      <c r="O222" s="507" t="str">
        <f t="shared" si="19"/>
        <v/>
      </c>
      <c r="P222" s="521" t="str">
        <f t="shared" si="20"/>
        <v/>
      </c>
      <c r="Q222" s="564" t="str">
        <f>IFERROR(IF(P222="Check Data ⚠","Check Data ⚠",VLOOKUP(P222,'G-4 Temporal multipliers'!$A$4:$C$37,3,FALSE)),"")</f>
        <v/>
      </c>
      <c r="R222" s="498" t="str">
        <f>IF(C222="","",VLOOKUP(C222,'G-7 Rivers Data'!$B$4:$G$8,4,FALSE))</f>
        <v/>
      </c>
      <c r="S222" s="507" t="str">
        <f t="shared" si="21"/>
        <v/>
      </c>
      <c r="T222" s="540" t="str">
        <f t="shared" si="22"/>
        <v/>
      </c>
      <c r="U222" s="499" t="str">
        <f t="shared" si="23"/>
        <v/>
      </c>
      <c r="V222" s="71"/>
      <c r="W222" s="499" t="str">
        <f>IF(V222="","",IF(VLOOKUP(V222,'G-7 Rivers Data'!$AA$4:$AB$7,2,FALSE)=0,"Spatial Data Missing ⚠",VLOOKUP(V222,'G-7 Rivers Data'!$AA$4:$AB$7,2,FALSE)))</f>
        <v/>
      </c>
      <c r="X222" s="155"/>
      <c r="Y222" s="499" t="str">
        <f>IF(X222="","",IF(VLOOKUP(X222,'G-7 Rivers Data'!$AD$4:$AE$8,2,FALSE)=0,"Enrcoachment Data Missing ⚠",VLOOKUP(X222,'G-7 Rivers Data'!$AD$4:$AE$8,2,FALSE)))</f>
        <v/>
      </c>
      <c r="Z222" s="565" t="str">
        <f t="shared" si="24"/>
        <v/>
      </c>
      <c r="AA222" s="149"/>
      <c r="AB222" s="150"/>
      <c r="AH222" s="31" t="str">
        <f>IFERROR(INDEX('G-7 Rivers Data'!$AZ$3:$AZ$7,MATCH(C222,'G-7 Rivers Data'!$AY$3:$AY$7,0)),"")</f>
        <v/>
      </c>
    </row>
    <row r="223" spans="2:34" ht="13.8" x14ac:dyDescent="0.25">
      <c r="B223" s="141">
        <v>212</v>
      </c>
      <c r="C223" s="171"/>
      <c r="D223" s="172"/>
      <c r="E223" s="498" t="str">
        <f>IF(C223="","",VLOOKUP(C223,'G-7 Rivers Data'!$B$2:$G$8,2,FALSE))</f>
        <v/>
      </c>
      <c r="F223" s="499" t="str">
        <f>IFERROR(VLOOKUP(E223,'G-7 Rivers Data'!$C$4:$D$8,2,FALSE),"")</f>
        <v/>
      </c>
      <c r="G223" s="145"/>
      <c r="H223" s="499" t="str">
        <f>IFERROR(INDEX('G-7 Rivers Data'!$H$4:$L$8,MATCH(C223,'G-7 Rivers Data'!$B$4:$B$8,0),MATCH(G223,'G-7 Rivers Data'!$H$3:$L$3,0)),"")</f>
        <v/>
      </c>
      <c r="I223" s="154"/>
      <c r="J223" s="507" t="str">
        <f>IF(I223="","",IF(VLOOKUP(I223,'G-7 Rivers Data'!$AG$4:$AI$9,2,FALSE)=0,"Spatial Data Missing ⚠",VLOOKUP(I223,'G-7 Rivers Data'!$AG$4:$AI$9,2,FALSE)))</f>
        <v/>
      </c>
      <c r="K223" s="499" t="str">
        <f>IF(I223="","",IF(VLOOKUP(I223,'G-7 Rivers Data'!$AG$4:$AI$9,3,FALSE)=0,"Spatial Data Missing ⚠",VLOOKUP(I223,'G-7 Rivers Data'!$AG$4:$AI$9,3,FALSE)))</f>
        <v/>
      </c>
      <c r="L223" s="498" t="str">
        <f>IFERROR(INDEX('G-7 Rivers Data'!$O$3:$O$7,MATCH(G223,'G-7 Rivers Data'!$N$3:$N$7,0)),"")</f>
        <v/>
      </c>
      <c r="M223" s="82"/>
      <c r="N223" s="195"/>
      <c r="O223" s="507" t="str">
        <f t="shared" si="19"/>
        <v/>
      </c>
      <c r="P223" s="521" t="str">
        <f t="shared" si="20"/>
        <v/>
      </c>
      <c r="Q223" s="564" t="str">
        <f>IFERROR(IF(P223="Check Data ⚠","Check Data ⚠",VLOOKUP(P223,'G-4 Temporal multipliers'!$A$4:$C$37,3,FALSE)),"")</f>
        <v/>
      </c>
      <c r="R223" s="498" t="str">
        <f>IF(C223="","",VLOOKUP(C223,'G-7 Rivers Data'!$B$4:$G$8,4,FALSE))</f>
        <v/>
      </c>
      <c r="S223" s="507" t="str">
        <f t="shared" si="21"/>
        <v/>
      </c>
      <c r="T223" s="540" t="str">
        <f t="shared" si="22"/>
        <v/>
      </c>
      <c r="U223" s="499" t="str">
        <f t="shared" si="23"/>
        <v/>
      </c>
      <c r="V223" s="71"/>
      <c r="W223" s="499" t="str">
        <f>IF(V223="","",IF(VLOOKUP(V223,'G-7 Rivers Data'!$AA$4:$AB$7,2,FALSE)=0,"Spatial Data Missing ⚠",VLOOKUP(V223,'G-7 Rivers Data'!$AA$4:$AB$7,2,FALSE)))</f>
        <v/>
      </c>
      <c r="X223" s="155"/>
      <c r="Y223" s="499" t="str">
        <f>IF(X223="","",IF(VLOOKUP(X223,'G-7 Rivers Data'!$AD$4:$AE$8,2,FALSE)=0,"Enrcoachment Data Missing ⚠",VLOOKUP(X223,'G-7 Rivers Data'!$AD$4:$AE$8,2,FALSE)))</f>
        <v/>
      </c>
      <c r="Z223" s="565" t="str">
        <f t="shared" si="24"/>
        <v/>
      </c>
      <c r="AA223" s="149"/>
      <c r="AB223" s="150"/>
      <c r="AH223" s="31" t="str">
        <f>IFERROR(INDEX('G-7 Rivers Data'!$AZ$3:$AZ$7,MATCH(C223,'G-7 Rivers Data'!$AY$3:$AY$7,0)),"")</f>
        <v/>
      </c>
    </row>
    <row r="224" spans="2:34" ht="13.8" x14ac:dyDescent="0.25">
      <c r="B224" s="141">
        <v>213</v>
      </c>
      <c r="C224" s="171"/>
      <c r="D224" s="172"/>
      <c r="E224" s="498" t="str">
        <f>IF(C224="","",VLOOKUP(C224,'G-7 Rivers Data'!$B$2:$G$8,2,FALSE))</f>
        <v/>
      </c>
      <c r="F224" s="499" t="str">
        <f>IFERROR(VLOOKUP(E224,'G-7 Rivers Data'!$C$4:$D$8,2,FALSE),"")</f>
        <v/>
      </c>
      <c r="G224" s="145"/>
      <c r="H224" s="499" t="str">
        <f>IFERROR(INDEX('G-7 Rivers Data'!$H$4:$L$8,MATCH(C224,'G-7 Rivers Data'!$B$4:$B$8,0),MATCH(G224,'G-7 Rivers Data'!$H$3:$L$3,0)),"")</f>
        <v/>
      </c>
      <c r="I224" s="154"/>
      <c r="J224" s="507" t="str">
        <f>IF(I224="","",IF(VLOOKUP(I224,'G-7 Rivers Data'!$AG$4:$AI$9,2,FALSE)=0,"Spatial Data Missing ⚠",VLOOKUP(I224,'G-7 Rivers Data'!$AG$4:$AI$9,2,FALSE)))</f>
        <v/>
      </c>
      <c r="K224" s="499" t="str">
        <f>IF(I224="","",IF(VLOOKUP(I224,'G-7 Rivers Data'!$AG$4:$AI$9,3,FALSE)=0,"Spatial Data Missing ⚠",VLOOKUP(I224,'G-7 Rivers Data'!$AG$4:$AI$9,3,FALSE)))</f>
        <v/>
      </c>
      <c r="L224" s="498" t="str">
        <f>IFERROR(INDEX('G-7 Rivers Data'!$O$3:$O$7,MATCH(G224,'G-7 Rivers Data'!$N$3:$N$7,0)),"")</f>
        <v/>
      </c>
      <c r="M224" s="82"/>
      <c r="N224" s="195"/>
      <c r="O224" s="507" t="str">
        <f t="shared" si="19"/>
        <v/>
      </c>
      <c r="P224" s="521" t="str">
        <f t="shared" si="20"/>
        <v/>
      </c>
      <c r="Q224" s="564" t="str">
        <f>IFERROR(IF(P224="Check Data ⚠","Check Data ⚠",VLOOKUP(P224,'G-4 Temporal multipliers'!$A$4:$C$37,3,FALSE)),"")</f>
        <v/>
      </c>
      <c r="R224" s="498" t="str">
        <f>IF(C224="","",VLOOKUP(C224,'G-7 Rivers Data'!$B$4:$G$8,4,FALSE))</f>
        <v/>
      </c>
      <c r="S224" s="507" t="str">
        <f t="shared" si="21"/>
        <v/>
      </c>
      <c r="T224" s="540" t="str">
        <f t="shared" si="22"/>
        <v/>
      </c>
      <c r="U224" s="499" t="str">
        <f t="shared" si="23"/>
        <v/>
      </c>
      <c r="V224" s="71"/>
      <c r="W224" s="499" t="str">
        <f>IF(V224="","",IF(VLOOKUP(V224,'G-7 Rivers Data'!$AA$4:$AB$7,2,FALSE)=0,"Spatial Data Missing ⚠",VLOOKUP(V224,'G-7 Rivers Data'!$AA$4:$AB$7,2,FALSE)))</f>
        <v/>
      </c>
      <c r="X224" s="155"/>
      <c r="Y224" s="499" t="str">
        <f>IF(X224="","",IF(VLOOKUP(X224,'G-7 Rivers Data'!$AD$4:$AE$8,2,FALSE)=0,"Enrcoachment Data Missing ⚠",VLOOKUP(X224,'G-7 Rivers Data'!$AD$4:$AE$8,2,FALSE)))</f>
        <v/>
      </c>
      <c r="Z224" s="565" t="str">
        <f t="shared" si="24"/>
        <v/>
      </c>
      <c r="AA224" s="149"/>
      <c r="AB224" s="150"/>
      <c r="AH224" s="31" t="str">
        <f>IFERROR(INDEX('G-7 Rivers Data'!$AZ$3:$AZ$7,MATCH(C224,'G-7 Rivers Data'!$AY$3:$AY$7,0)),"")</f>
        <v/>
      </c>
    </row>
    <row r="225" spans="2:34" ht="13.8" x14ac:dyDescent="0.25">
      <c r="B225" s="141">
        <v>214</v>
      </c>
      <c r="C225" s="171"/>
      <c r="D225" s="172"/>
      <c r="E225" s="498" t="str">
        <f>IF(C225="","",VLOOKUP(C225,'G-7 Rivers Data'!$B$2:$G$8,2,FALSE))</f>
        <v/>
      </c>
      <c r="F225" s="499" t="str">
        <f>IFERROR(VLOOKUP(E225,'G-7 Rivers Data'!$C$4:$D$8,2,FALSE),"")</f>
        <v/>
      </c>
      <c r="G225" s="145"/>
      <c r="H225" s="499" t="str">
        <f>IFERROR(INDEX('G-7 Rivers Data'!$H$4:$L$8,MATCH(C225,'G-7 Rivers Data'!$B$4:$B$8,0),MATCH(G225,'G-7 Rivers Data'!$H$3:$L$3,0)),"")</f>
        <v/>
      </c>
      <c r="I225" s="154"/>
      <c r="J225" s="507" t="str">
        <f>IF(I225="","",IF(VLOOKUP(I225,'G-7 Rivers Data'!$AG$4:$AI$9,2,FALSE)=0,"Spatial Data Missing ⚠",VLOOKUP(I225,'G-7 Rivers Data'!$AG$4:$AI$9,2,FALSE)))</f>
        <v/>
      </c>
      <c r="K225" s="499" t="str">
        <f>IF(I225="","",IF(VLOOKUP(I225,'G-7 Rivers Data'!$AG$4:$AI$9,3,FALSE)=0,"Spatial Data Missing ⚠",VLOOKUP(I225,'G-7 Rivers Data'!$AG$4:$AI$9,3,FALSE)))</f>
        <v/>
      </c>
      <c r="L225" s="498" t="str">
        <f>IFERROR(INDEX('G-7 Rivers Data'!$O$3:$O$7,MATCH(G225,'G-7 Rivers Data'!$N$3:$N$7,0)),"")</f>
        <v/>
      </c>
      <c r="M225" s="82"/>
      <c r="N225" s="195"/>
      <c r="O225" s="507" t="str">
        <f t="shared" si="19"/>
        <v/>
      </c>
      <c r="P225" s="521" t="str">
        <f t="shared" si="20"/>
        <v/>
      </c>
      <c r="Q225" s="564" t="str">
        <f>IFERROR(IF(P225="Check Data ⚠","Check Data ⚠",VLOOKUP(P225,'G-4 Temporal multipliers'!$A$4:$C$37,3,FALSE)),"")</f>
        <v/>
      </c>
      <c r="R225" s="498" t="str">
        <f>IF(C225="","",VLOOKUP(C225,'G-7 Rivers Data'!$B$4:$G$8,4,FALSE))</f>
        <v/>
      </c>
      <c r="S225" s="507" t="str">
        <f t="shared" si="21"/>
        <v/>
      </c>
      <c r="T225" s="540" t="str">
        <f t="shared" si="22"/>
        <v/>
      </c>
      <c r="U225" s="499" t="str">
        <f t="shared" si="23"/>
        <v/>
      </c>
      <c r="V225" s="71"/>
      <c r="W225" s="499" t="str">
        <f>IF(V225="","",IF(VLOOKUP(V225,'G-7 Rivers Data'!$AA$4:$AB$7,2,FALSE)=0,"Spatial Data Missing ⚠",VLOOKUP(V225,'G-7 Rivers Data'!$AA$4:$AB$7,2,FALSE)))</f>
        <v/>
      </c>
      <c r="X225" s="155"/>
      <c r="Y225" s="499" t="str">
        <f>IF(X225="","",IF(VLOOKUP(X225,'G-7 Rivers Data'!$AD$4:$AE$8,2,FALSE)=0,"Enrcoachment Data Missing ⚠",VLOOKUP(X225,'G-7 Rivers Data'!$AD$4:$AE$8,2,FALSE)))</f>
        <v/>
      </c>
      <c r="Z225" s="565" t="str">
        <f t="shared" si="24"/>
        <v/>
      </c>
      <c r="AA225" s="149"/>
      <c r="AB225" s="150"/>
      <c r="AH225" s="31" t="str">
        <f>IFERROR(INDEX('G-7 Rivers Data'!$AZ$3:$AZ$7,MATCH(C225,'G-7 Rivers Data'!$AY$3:$AY$7,0)),"")</f>
        <v/>
      </c>
    </row>
    <row r="226" spans="2:34" ht="13.8" x14ac:dyDescent="0.25">
      <c r="B226" s="141">
        <v>215</v>
      </c>
      <c r="C226" s="171"/>
      <c r="D226" s="172"/>
      <c r="E226" s="498" t="str">
        <f>IF(C226="","",VLOOKUP(C226,'G-7 Rivers Data'!$B$2:$G$8,2,FALSE))</f>
        <v/>
      </c>
      <c r="F226" s="499" t="str">
        <f>IFERROR(VLOOKUP(E226,'G-7 Rivers Data'!$C$4:$D$8,2,FALSE),"")</f>
        <v/>
      </c>
      <c r="G226" s="145"/>
      <c r="H226" s="499" t="str">
        <f>IFERROR(INDEX('G-7 Rivers Data'!$H$4:$L$8,MATCH(C226,'G-7 Rivers Data'!$B$4:$B$8,0),MATCH(G226,'G-7 Rivers Data'!$H$3:$L$3,0)),"")</f>
        <v/>
      </c>
      <c r="I226" s="154"/>
      <c r="J226" s="507" t="str">
        <f>IF(I226="","",IF(VLOOKUP(I226,'G-7 Rivers Data'!$AG$4:$AI$9,2,FALSE)=0,"Spatial Data Missing ⚠",VLOOKUP(I226,'G-7 Rivers Data'!$AG$4:$AI$9,2,FALSE)))</f>
        <v/>
      </c>
      <c r="K226" s="499" t="str">
        <f>IF(I226="","",IF(VLOOKUP(I226,'G-7 Rivers Data'!$AG$4:$AI$9,3,FALSE)=0,"Spatial Data Missing ⚠",VLOOKUP(I226,'G-7 Rivers Data'!$AG$4:$AI$9,3,FALSE)))</f>
        <v/>
      </c>
      <c r="L226" s="498" t="str">
        <f>IFERROR(INDEX('G-7 Rivers Data'!$O$3:$O$7,MATCH(G226,'G-7 Rivers Data'!$N$3:$N$7,0)),"")</f>
        <v/>
      </c>
      <c r="M226" s="82"/>
      <c r="N226" s="195"/>
      <c r="O226" s="507" t="str">
        <f t="shared" si="19"/>
        <v/>
      </c>
      <c r="P226" s="521" t="str">
        <f t="shared" si="20"/>
        <v/>
      </c>
      <c r="Q226" s="564" t="str">
        <f>IFERROR(IF(P226="Check Data ⚠","Check Data ⚠",VLOOKUP(P226,'G-4 Temporal multipliers'!$A$4:$C$37,3,FALSE)),"")</f>
        <v/>
      </c>
      <c r="R226" s="498" t="str">
        <f>IF(C226="","",VLOOKUP(C226,'G-7 Rivers Data'!$B$4:$G$8,4,FALSE))</f>
        <v/>
      </c>
      <c r="S226" s="507" t="str">
        <f t="shared" si="21"/>
        <v/>
      </c>
      <c r="T226" s="540" t="str">
        <f t="shared" si="22"/>
        <v/>
      </c>
      <c r="U226" s="499" t="str">
        <f t="shared" si="23"/>
        <v/>
      </c>
      <c r="V226" s="71"/>
      <c r="W226" s="499" t="str">
        <f>IF(V226="","",IF(VLOOKUP(V226,'G-7 Rivers Data'!$AA$4:$AB$7,2,FALSE)=0,"Spatial Data Missing ⚠",VLOOKUP(V226,'G-7 Rivers Data'!$AA$4:$AB$7,2,FALSE)))</f>
        <v/>
      </c>
      <c r="X226" s="155"/>
      <c r="Y226" s="499" t="str">
        <f>IF(X226="","",IF(VLOOKUP(X226,'G-7 Rivers Data'!$AD$4:$AE$8,2,FALSE)=0,"Enrcoachment Data Missing ⚠",VLOOKUP(X226,'G-7 Rivers Data'!$AD$4:$AE$8,2,FALSE)))</f>
        <v/>
      </c>
      <c r="Z226" s="565" t="str">
        <f t="shared" si="24"/>
        <v/>
      </c>
      <c r="AA226" s="149"/>
      <c r="AB226" s="150"/>
      <c r="AH226" s="31" t="str">
        <f>IFERROR(INDEX('G-7 Rivers Data'!$AZ$3:$AZ$7,MATCH(C226,'G-7 Rivers Data'!$AY$3:$AY$7,0)),"")</f>
        <v/>
      </c>
    </row>
    <row r="227" spans="2:34" ht="13.8" x14ac:dyDescent="0.25">
      <c r="B227" s="141">
        <v>216</v>
      </c>
      <c r="C227" s="171"/>
      <c r="D227" s="172"/>
      <c r="E227" s="498" t="str">
        <f>IF(C227="","",VLOOKUP(C227,'G-7 Rivers Data'!$B$2:$G$8,2,FALSE))</f>
        <v/>
      </c>
      <c r="F227" s="499" t="str">
        <f>IFERROR(VLOOKUP(E227,'G-7 Rivers Data'!$C$4:$D$8,2,FALSE),"")</f>
        <v/>
      </c>
      <c r="G227" s="145"/>
      <c r="H227" s="499" t="str">
        <f>IFERROR(INDEX('G-7 Rivers Data'!$H$4:$L$8,MATCH(C227,'G-7 Rivers Data'!$B$4:$B$8,0),MATCH(G227,'G-7 Rivers Data'!$H$3:$L$3,0)),"")</f>
        <v/>
      </c>
      <c r="I227" s="154"/>
      <c r="J227" s="507" t="str">
        <f>IF(I227="","",IF(VLOOKUP(I227,'G-7 Rivers Data'!$AG$4:$AI$9,2,FALSE)=0,"Spatial Data Missing ⚠",VLOOKUP(I227,'G-7 Rivers Data'!$AG$4:$AI$9,2,FALSE)))</f>
        <v/>
      </c>
      <c r="K227" s="499" t="str">
        <f>IF(I227="","",IF(VLOOKUP(I227,'G-7 Rivers Data'!$AG$4:$AI$9,3,FALSE)=0,"Spatial Data Missing ⚠",VLOOKUP(I227,'G-7 Rivers Data'!$AG$4:$AI$9,3,FALSE)))</f>
        <v/>
      </c>
      <c r="L227" s="498" t="str">
        <f>IFERROR(INDEX('G-7 Rivers Data'!$O$3:$O$7,MATCH(G227,'G-7 Rivers Data'!$N$3:$N$7,0)),"")</f>
        <v/>
      </c>
      <c r="M227" s="82"/>
      <c r="N227" s="195"/>
      <c r="O227" s="507" t="str">
        <f t="shared" si="19"/>
        <v/>
      </c>
      <c r="P227" s="521" t="str">
        <f t="shared" si="20"/>
        <v/>
      </c>
      <c r="Q227" s="564" t="str">
        <f>IFERROR(IF(P227="Check Data ⚠","Check Data ⚠",VLOOKUP(P227,'G-4 Temporal multipliers'!$A$4:$C$37,3,FALSE)),"")</f>
        <v/>
      </c>
      <c r="R227" s="498" t="str">
        <f>IF(C227="","",VLOOKUP(C227,'G-7 Rivers Data'!$B$4:$G$8,4,FALSE))</f>
        <v/>
      </c>
      <c r="S227" s="507" t="str">
        <f t="shared" si="21"/>
        <v/>
      </c>
      <c r="T227" s="540" t="str">
        <f t="shared" si="22"/>
        <v/>
      </c>
      <c r="U227" s="499" t="str">
        <f t="shared" si="23"/>
        <v/>
      </c>
      <c r="V227" s="71"/>
      <c r="W227" s="499" t="str">
        <f>IF(V227="","",IF(VLOOKUP(V227,'G-7 Rivers Data'!$AA$4:$AB$7,2,FALSE)=0,"Spatial Data Missing ⚠",VLOOKUP(V227,'G-7 Rivers Data'!$AA$4:$AB$7,2,FALSE)))</f>
        <v/>
      </c>
      <c r="X227" s="155"/>
      <c r="Y227" s="499" t="str">
        <f>IF(X227="","",IF(VLOOKUP(X227,'G-7 Rivers Data'!$AD$4:$AE$8,2,FALSE)=0,"Enrcoachment Data Missing ⚠",VLOOKUP(X227,'G-7 Rivers Data'!$AD$4:$AE$8,2,FALSE)))</f>
        <v/>
      </c>
      <c r="Z227" s="565" t="str">
        <f t="shared" si="24"/>
        <v/>
      </c>
      <c r="AA227" s="149"/>
      <c r="AB227" s="150"/>
      <c r="AH227" s="31" t="str">
        <f>IFERROR(INDEX('G-7 Rivers Data'!$AZ$3:$AZ$7,MATCH(C227,'G-7 Rivers Data'!$AY$3:$AY$7,0)),"")</f>
        <v/>
      </c>
    </row>
    <row r="228" spans="2:34" ht="13.8" x14ac:dyDescent="0.25">
      <c r="B228" s="141">
        <v>217</v>
      </c>
      <c r="C228" s="171"/>
      <c r="D228" s="172"/>
      <c r="E228" s="498" t="str">
        <f>IF(C228="","",VLOOKUP(C228,'G-7 Rivers Data'!$B$2:$G$8,2,FALSE))</f>
        <v/>
      </c>
      <c r="F228" s="499" t="str">
        <f>IFERROR(VLOOKUP(E228,'G-7 Rivers Data'!$C$4:$D$8,2,FALSE),"")</f>
        <v/>
      </c>
      <c r="G228" s="145"/>
      <c r="H228" s="499" t="str">
        <f>IFERROR(INDEX('G-7 Rivers Data'!$H$4:$L$8,MATCH(C228,'G-7 Rivers Data'!$B$4:$B$8,0),MATCH(G228,'G-7 Rivers Data'!$H$3:$L$3,0)),"")</f>
        <v/>
      </c>
      <c r="I228" s="154"/>
      <c r="J228" s="507" t="str">
        <f>IF(I228="","",IF(VLOOKUP(I228,'G-7 Rivers Data'!$AG$4:$AI$9,2,FALSE)=0,"Spatial Data Missing ⚠",VLOOKUP(I228,'G-7 Rivers Data'!$AG$4:$AI$9,2,FALSE)))</f>
        <v/>
      </c>
      <c r="K228" s="499" t="str">
        <f>IF(I228="","",IF(VLOOKUP(I228,'G-7 Rivers Data'!$AG$4:$AI$9,3,FALSE)=0,"Spatial Data Missing ⚠",VLOOKUP(I228,'G-7 Rivers Data'!$AG$4:$AI$9,3,FALSE)))</f>
        <v/>
      </c>
      <c r="L228" s="498" t="str">
        <f>IFERROR(INDEX('G-7 Rivers Data'!$O$3:$O$7,MATCH(G228,'G-7 Rivers Data'!$N$3:$N$7,0)),"")</f>
        <v/>
      </c>
      <c r="M228" s="82"/>
      <c r="N228" s="195"/>
      <c r="O228" s="507" t="str">
        <f t="shared" si="19"/>
        <v/>
      </c>
      <c r="P228" s="521" t="str">
        <f t="shared" si="20"/>
        <v/>
      </c>
      <c r="Q228" s="564" t="str">
        <f>IFERROR(IF(P228="Check Data ⚠","Check Data ⚠",VLOOKUP(P228,'G-4 Temporal multipliers'!$A$4:$C$37,3,FALSE)),"")</f>
        <v/>
      </c>
      <c r="R228" s="498" t="str">
        <f>IF(C228="","",VLOOKUP(C228,'G-7 Rivers Data'!$B$4:$G$8,4,FALSE))</f>
        <v/>
      </c>
      <c r="S228" s="507" t="str">
        <f t="shared" si="21"/>
        <v/>
      </c>
      <c r="T228" s="540" t="str">
        <f t="shared" si="22"/>
        <v/>
      </c>
      <c r="U228" s="499" t="str">
        <f t="shared" si="23"/>
        <v/>
      </c>
      <c r="V228" s="71"/>
      <c r="W228" s="499" t="str">
        <f>IF(V228="","",IF(VLOOKUP(V228,'G-7 Rivers Data'!$AA$4:$AB$7,2,FALSE)=0,"Spatial Data Missing ⚠",VLOOKUP(V228,'G-7 Rivers Data'!$AA$4:$AB$7,2,FALSE)))</f>
        <v/>
      </c>
      <c r="X228" s="155"/>
      <c r="Y228" s="499" t="str">
        <f>IF(X228="","",IF(VLOOKUP(X228,'G-7 Rivers Data'!$AD$4:$AE$8,2,FALSE)=0,"Enrcoachment Data Missing ⚠",VLOOKUP(X228,'G-7 Rivers Data'!$AD$4:$AE$8,2,FALSE)))</f>
        <v/>
      </c>
      <c r="Z228" s="565" t="str">
        <f t="shared" si="24"/>
        <v/>
      </c>
      <c r="AA228" s="149"/>
      <c r="AB228" s="150"/>
      <c r="AH228" s="31" t="str">
        <f>IFERROR(INDEX('G-7 Rivers Data'!$AZ$3:$AZ$7,MATCH(C228,'G-7 Rivers Data'!$AY$3:$AY$7,0)),"")</f>
        <v/>
      </c>
    </row>
    <row r="229" spans="2:34" ht="13.8" x14ac:dyDescent="0.25">
      <c r="B229" s="141">
        <v>218</v>
      </c>
      <c r="C229" s="171"/>
      <c r="D229" s="172"/>
      <c r="E229" s="498" t="str">
        <f>IF(C229="","",VLOOKUP(C229,'G-7 Rivers Data'!$B$2:$G$8,2,FALSE))</f>
        <v/>
      </c>
      <c r="F229" s="499" t="str">
        <f>IFERROR(VLOOKUP(E229,'G-7 Rivers Data'!$C$4:$D$8,2,FALSE),"")</f>
        <v/>
      </c>
      <c r="G229" s="145"/>
      <c r="H229" s="499" t="str">
        <f>IFERROR(INDEX('G-7 Rivers Data'!$H$4:$L$8,MATCH(C229,'G-7 Rivers Data'!$B$4:$B$8,0),MATCH(G229,'G-7 Rivers Data'!$H$3:$L$3,0)),"")</f>
        <v/>
      </c>
      <c r="I229" s="154"/>
      <c r="J229" s="507" t="str">
        <f>IF(I229="","",IF(VLOOKUP(I229,'G-7 Rivers Data'!$AG$4:$AI$9,2,FALSE)=0,"Spatial Data Missing ⚠",VLOOKUP(I229,'G-7 Rivers Data'!$AG$4:$AI$9,2,FALSE)))</f>
        <v/>
      </c>
      <c r="K229" s="499" t="str">
        <f>IF(I229="","",IF(VLOOKUP(I229,'G-7 Rivers Data'!$AG$4:$AI$9,3,FALSE)=0,"Spatial Data Missing ⚠",VLOOKUP(I229,'G-7 Rivers Data'!$AG$4:$AI$9,3,FALSE)))</f>
        <v/>
      </c>
      <c r="L229" s="498" t="str">
        <f>IFERROR(INDEX('G-7 Rivers Data'!$O$3:$O$7,MATCH(G229,'G-7 Rivers Data'!$N$3:$N$7,0)),"")</f>
        <v/>
      </c>
      <c r="M229" s="82"/>
      <c r="N229" s="195"/>
      <c r="O229" s="507" t="str">
        <f t="shared" si="19"/>
        <v/>
      </c>
      <c r="P229" s="521" t="str">
        <f t="shared" si="20"/>
        <v/>
      </c>
      <c r="Q229" s="564" t="str">
        <f>IFERROR(IF(P229="Check Data ⚠","Check Data ⚠",VLOOKUP(P229,'G-4 Temporal multipliers'!$A$4:$C$37,3,FALSE)),"")</f>
        <v/>
      </c>
      <c r="R229" s="498" t="str">
        <f>IF(C229="","",VLOOKUP(C229,'G-7 Rivers Data'!$B$4:$G$8,4,FALSE))</f>
        <v/>
      </c>
      <c r="S229" s="507" t="str">
        <f t="shared" si="21"/>
        <v/>
      </c>
      <c r="T229" s="540" t="str">
        <f t="shared" si="22"/>
        <v/>
      </c>
      <c r="U229" s="499" t="str">
        <f t="shared" si="23"/>
        <v/>
      </c>
      <c r="V229" s="71"/>
      <c r="W229" s="499" t="str">
        <f>IF(V229="","",IF(VLOOKUP(V229,'G-7 Rivers Data'!$AA$4:$AB$7,2,FALSE)=0,"Spatial Data Missing ⚠",VLOOKUP(V229,'G-7 Rivers Data'!$AA$4:$AB$7,2,FALSE)))</f>
        <v/>
      </c>
      <c r="X229" s="155"/>
      <c r="Y229" s="499" t="str">
        <f>IF(X229="","",IF(VLOOKUP(X229,'G-7 Rivers Data'!$AD$4:$AE$8,2,FALSE)=0,"Enrcoachment Data Missing ⚠",VLOOKUP(X229,'G-7 Rivers Data'!$AD$4:$AE$8,2,FALSE)))</f>
        <v/>
      </c>
      <c r="Z229" s="565" t="str">
        <f t="shared" si="24"/>
        <v/>
      </c>
      <c r="AA229" s="149"/>
      <c r="AB229" s="150"/>
      <c r="AH229" s="31" t="str">
        <f>IFERROR(INDEX('G-7 Rivers Data'!$AZ$3:$AZ$7,MATCH(C229,'G-7 Rivers Data'!$AY$3:$AY$7,0)),"")</f>
        <v/>
      </c>
    </row>
    <row r="230" spans="2:34" ht="13.8" x14ac:dyDescent="0.25">
      <c r="B230" s="141">
        <v>219</v>
      </c>
      <c r="C230" s="171"/>
      <c r="D230" s="172"/>
      <c r="E230" s="498" t="str">
        <f>IF(C230="","",VLOOKUP(C230,'G-7 Rivers Data'!$B$2:$G$8,2,FALSE))</f>
        <v/>
      </c>
      <c r="F230" s="499" t="str">
        <f>IFERROR(VLOOKUP(E230,'G-7 Rivers Data'!$C$4:$D$8,2,FALSE),"")</f>
        <v/>
      </c>
      <c r="G230" s="145"/>
      <c r="H230" s="499" t="str">
        <f>IFERROR(INDEX('G-7 Rivers Data'!$H$4:$L$8,MATCH(C230,'G-7 Rivers Data'!$B$4:$B$8,0),MATCH(G230,'G-7 Rivers Data'!$H$3:$L$3,0)),"")</f>
        <v/>
      </c>
      <c r="I230" s="154"/>
      <c r="J230" s="507" t="str">
        <f>IF(I230="","",IF(VLOOKUP(I230,'G-7 Rivers Data'!$AG$4:$AI$9,2,FALSE)=0,"Spatial Data Missing ⚠",VLOOKUP(I230,'G-7 Rivers Data'!$AG$4:$AI$9,2,FALSE)))</f>
        <v/>
      </c>
      <c r="K230" s="499" t="str">
        <f>IF(I230="","",IF(VLOOKUP(I230,'G-7 Rivers Data'!$AG$4:$AI$9,3,FALSE)=0,"Spatial Data Missing ⚠",VLOOKUP(I230,'G-7 Rivers Data'!$AG$4:$AI$9,3,FALSE)))</f>
        <v/>
      </c>
      <c r="L230" s="498" t="str">
        <f>IFERROR(INDEX('G-7 Rivers Data'!$O$3:$O$7,MATCH(G230,'G-7 Rivers Data'!$N$3:$N$7,0)),"")</f>
        <v/>
      </c>
      <c r="M230" s="82"/>
      <c r="N230" s="195"/>
      <c r="O230" s="507" t="str">
        <f t="shared" si="19"/>
        <v/>
      </c>
      <c r="P230" s="521" t="str">
        <f t="shared" si="20"/>
        <v/>
      </c>
      <c r="Q230" s="564" t="str">
        <f>IFERROR(IF(P230="Check Data ⚠","Check Data ⚠",VLOOKUP(P230,'G-4 Temporal multipliers'!$A$4:$C$37,3,FALSE)),"")</f>
        <v/>
      </c>
      <c r="R230" s="498" t="str">
        <f>IF(C230="","",VLOOKUP(C230,'G-7 Rivers Data'!$B$4:$G$8,4,FALSE))</f>
        <v/>
      </c>
      <c r="S230" s="507" t="str">
        <f t="shared" si="21"/>
        <v/>
      </c>
      <c r="T230" s="540" t="str">
        <f t="shared" si="22"/>
        <v/>
      </c>
      <c r="U230" s="499" t="str">
        <f t="shared" si="23"/>
        <v/>
      </c>
      <c r="V230" s="71"/>
      <c r="W230" s="499" t="str">
        <f>IF(V230="","",IF(VLOOKUP(V230,'G-7 Rivers Data'!$AA$4:$AB$7,2,FALSE)=0,"Spatial Data Missing ⚠",VLOOKUP(V230,'G-7 Rivers Data'!$AA$4:$AB$7,2,FALSE)))</f>
        <v/>
      </c>
      <c r="X230" s="155"/>
      <c r="Y230" s="499" t="str">
        <f>IF(X230="","",IF(VLOOKUP(X230,'G-7 Rivers Data'!$AD$4:$AE$8,2,FALSE)=0,"Enrcoachment Data Missing ⚠",VLOOKUP(X230,'G-7 Rivers Data'!$AD$4:$AE$8,2,FALSE)))</f>
        <v/>
      </c>
      <c r="Z230" s="565" t="str">
        <f t="shared" si="24"/>
        <v/>
      </c>
      <c r="AA230" s="149"/>
      <c r="AB230" s="150"/>
      <c r="AH230" s="31" t="str">
        <f>IFERROR(INDEX('G-7 Rivers Data'!$AZ$3:$AZ$7,MATCH(C230,'G-7 Rivers Data'!$AY$3:$AY$7,0)),"")</f>
        <v/>
      </c>
    </row>
    <row r="231" spans="2:34" ht="13.8" x14ac:dyDescent="0.25">
      <c r="B231" s="141">
        <v>220</v>
      </c>
      <c r="C231" s="171"/>
      <c r="D231" s="172"/>
      <c r="E231" s="498" t="str">
        <f>IF(C231="","",VLOOKUP(C231,'G-7 Rivers Data'!$B$2:$G$8,2,FALSE))</f>
        <v/>
      </c>
      <c r="F231" s="499" t="str">
        <f>IFERROR(VLOOKUP(E231,'G-7 Rivers Data'!$C$4:$D$8,2,FALSE),"")</f>
        <v/>
      </c>
      <c r="G231" s="145"/>
      <c r="H231" s="499" t="str">
        <f>IFERROR(INDEX('G-7 Rivers Data'!$H$4:$L$8,MATCH(C231,'G-7 Rivers Data'!$B$4:$B$8,0),MATCH(G231,'G-7 Rivers Data'!$H$3:$L$3,0)),"")</f>
        <v/>
      </c>
      <c r="I231" s="154"/>
      <c r="J231" s="507" t="str">
        <f>IF(I231="","",IF(VLOOKUP(I231,'G-7 Rivers Data'!$AG$4:$AI$9,2,FALSE)=0,"Spatial Data Missing ⚠",VLOOKUP(I231,'G-7 Rivers Data'!$AG$4:$AI$9,2,FALSE)))</f>
        <v/>
      </c>
      <c r="K231" s="499" t="str">
        <f>IF(I231="","",IF(VLOOKUP(I231,'G-7 Rivers Data'!$AG$4:$AI$9,3,FALSE)=0,"Spatial Data Missing ⚠",VLOOKUP(I231,'G-7 Rivers Data'!$AG$4:$AI$9,3,FALSE)))</f>
        <v/>
      </c>
      <c r="L231" s="498" t="str">
        <f>IFERROR(INDEX('G-7 Rivers Data'!$O$3:$O$7,MATCH(G231,'G-7 Rivers Data'!$N$3:$N$7,0)),"")</f>
        <v/>
      </c>
      <c r="M231" s="82"/>
      <c r="N231" s="195"/>
      <c r="O231" s="507" t="str">
        <f t="shared" si="19"/>
        <v/>
      </c>
      <c r="P231" s="521" t="str">
        <f t="shared" si="20"/>
        <v/>
      </c>
      <c r="Q231" s="564" t="str">
        <f>IFERROR(IF(P231="Check Data ⚠","Check Data ⚠",VLOOKUP(P231,'G-4 Temporal multipliers'!$A$4:$C$37,3,FALSE)),"")</f>
        <v/>
      </c>
      <c r="R231" s="498" t="str">
        <f>IF(C231="","",VLOOKUP(C231,'G-7 Rivers Data'!$B$4:$G$8,4,FALSE))</f>
        <v/>
      </c>
      <c r="S231" s="507" t="str">
        <f t="shared" si="21"/>
        <v/>
      </c>
      <c r="T231" s="540" t="str">
        <f t="shared" si="22"/>
        <v/>
      </c>
      <c r="U231" s="499" t="str">
        <f t="shared" si="23"/>
        <v/>
      </c>
      <c r="V231" s="71"/>
      <c r="W231" s="499" t="str">
        <f>IF(V231="","",IF(VLOOKUP(V231,'G-7 Rivers Data'!$AA$4:$AB$7,2,FALSE)=0,"Spatial Data Missing ⚠",VLOOKUP(V231,'G-7 Rivers Data'!$AA$4:$AB$7,2,FALSE)))</f>
        <v/>
      </c>
      <c r="X231" s="155"/>
      <c r="Y231" s="499" t="str">
        <f>IF(X231="","",IF(VLOOKUP(X231,'G-7 Rivers Data'!$AD$4:$AE$8,2,FALSE)=0,"Enrcoachment Data Missing ⚠",VLOOKUP(X231,'G-7 Rivers Data'!$AD$4:$AE$8,2,FALSE)))</f>
        <v/>
      </c>
      <c r="Z231" s="565" t="str">
        <f t="shared" si="24"/>
        <v/>
      </c>
      <c r="AA231" s="149"/>
      <c r="AB231" s="150"/>
      <c r="AH231" s="31" t="str">
        <f>IFERROR(INDEX('G-7 Rivers Data'!$AZ$3:$AZ$7,MATCH(C231,'G-7 Rivers Data'!$AY$3:$AY$7,0)),"")</f>
        <v/>
      </c>
    </row>
    <row r="232" spans="2:34" ht="13.8" x14ac:dyDescent="0.25">
      <c r="B232" s="141">
        <v>221</v>
      </c>
      <c r="C232" s="171"/>
      <c r="D232" s="172"/>
      <c r="E232" s="498" t="str">
        <f>IF(C232="","",VLOOKUP(C232,'G-7 Rivers Data'!$B$2:$G$8,2,FALSE))</f>
        <v/>
      </c>
      <c r="F232" s="499" t="str">
        <f>IFERROR(VLOOKUP(E232,'G-7 Rivers Data'!$C$4:$D$8,2,FALSE),"")</f>
        <v/>
      </c>
      <c r="G232" s="145"/>
      <c r="H232" s="499" t="str">
        <f>IFERROR(INDEX('G-7 Rivers Data'!$H$4:$L$8,MATCH(C232,'G-7 Rivers Data'!$B$4:$B$8,0),MATCH(G232,'G-7 Rivers Data'!$H$3:$L$3,0)),"")</f>
        <v/>
      </c>
      <c r="I232" s="154"/>
      <c r="J232" s="507" t="str">
        <f>IF(I232="","",IF(VLOOKUP(I232,'G-7 Rivers Data'!$AG$4:$AI$9,2,FALSE)=0,"Spatial Data Missing ⚠",VLOOKUP(I232,'G-7 Rivers Data'!$AG$4:$AI$9,2,FALSE)))</f>
        <v/>
      </c>
      <c r="K232" s="499" t="str">
        <f>IF(I232="","",IF(VLOOKUP(I232,'G-7 Rivers Data'!$AG$4:$AI$9,3,FALSE)=0,"Spatial Data Missing ⚠",VLOOKUP(I232,'G-7 Rivers Data'!$AG$4:$AI$9,3,FALSE)))</f>
        <v/>
      </c>
      <c r="L232" s="498" t="str">
        <f>IFERROR(INDEX('G-7 Rivers Data'!$O$3:$O$7,MATCH(G232,'G-7 Rivers Data'!$N$3:$N$7,0)),"")</f>
        <v/>
      </c>
      <c r="M232" s="82"/>
      <c r="N232" s="195"/>
      <c r="O232" s="507" t="str">
        <f t="shared" si="19"/>
        <v/>
      </c>
      <c r="P232" s="521" t="str">
        <f t="shared" si="20"/>
        <v/>
      </c>
      <c r="Q232" s="564" t="str">
        <f>IFERROR(IF(P232="Check Data ⚠","Check Data ⚠",VLOOKUP(P232,'G-4 Temporal multipliers'!$A$4:$C$37,3,FALSE)),"")</f>
        <v/>
      </c>
      <c r="R232" s="498" t="str">
        <f>IF(C232="","",VLOOKUP(C232,'G-7 Rivers Data'!$B$4:$G$8,4,FALSE))</f>
        <v/>
      </c>
      <c r="S232" s="507" t="str">
        <f t="shared" si="21"/>
        <v/>
      </c>
      <c r="T232" s="540" t="str">
        <f t="shared" si="22"/>
        <v/>
      </c>
      <c r="U232" s="499" t="str">
        <f t="shared" si="23"/>
        <v/>
      </c>
      <c r="V232" s="71"/>
      <c r="W232" s="499" t="str">
        <f>IF(V232="","",IF(VLOOKUP(V232,'G-7 Rivers Data'!$AA$4:$AB$7,2,FALSE)=0,"Spatial Data Missing ⚠",VLOOKUP(V232,'G-7 Rivers Data'!$AA$4:$AB$7,2,FALSE)))</f>
        <v/>
      </c>
      <c r="X232" s="155"/>
      <c r="Y232" s="499" t="str">
        <f>IF(X232="","",IF(VLOOKUP(X232,'G-7 Rivers Data'!$AD$4:$AE$8,2,FALSE)=0,"Enrcoachment Data Missing ⚠",VLOOKUP(X232,'G-7 Rivers Data'!$AD$4:$AE$8,2,FALSE)))</f>
        <v/>
      </c>
      <c r="Z232" s="565" t="str">
        <f t="shared" si="24"/>
        <v/>
      </c>
      <c r="AA232" s="149"/>
      <c r="AB232" s="150"/>
      <c r="AH232" s="31" t="str">
        <f>IFERROR(INDEX('G-7 Rivers Data'!$AZ$3:$AZ$7,MATCH(C232,'G-7 Rivers Data'!$AY$3:$AY$7,0)),"")</f>
        <v/>
      </c>
    </row>
    <row r="233" spans="2:34" ht="13.8" x14ac:dyDescent="0.25">
      <c r="B233" s="141">
        <v>222</v>
      </c>
      <c r="C233" s="171"/>
      <c r="D233" s="172"/>
      <c r="E233" s="498" t="str">
        <f>IF(C233="","",VLOOKUP(C233,'G-7 Rivers Data'!$B$2:$G$8,2,FALSE))</f>
        <v/>
      </c>
      <c r="F233" s="499" t="str">
        <f>IFERROR(VLOOKUP(E233,'G-7 Rivers Data'!$C$4:$D$8,2,FALSE),"")</f>
        <v/>
      </c>
      <c r="G233" s="145"/>
      <c r="H233" s="499" t="str">
        <f>IFERROR(INDEX('G-7 Rivers Data'!$H$4:$L$8,MATCH(C233,'G-7 Rivers Data'!$B$4:$B$8,0),MATCH(G233,'G-7 Rivers Data'!$H$3:$L$3,0)),"")</f>
        <v/>
      </c>
      <c r="I233" s="154"/>
      <c r="J233" s="507" t="str">
        <f>IF(I233="","",IF(VLOOKUP(I233,'G-7 Rivers Data'!$AG$4:$AI$9,2,FALSE)=0,"Spatial Data Missing ⚠",VLOOKUP(I233,'G-7 Rivers Data'!$AG$4:$AI$9,2,FALSE)))</f>
        <v/>
      </c>
      <c r="K233" s="499" t="str">
        <f>IF(I233="","",IF(VLOOKUP(I233,'G-7 Rivers Data'!$AG$4:$AI$9,3,FALSE)=0,"Spatial Data Missing ⚠",VLOOKUP(I233,'G-7 Rivers Data'!$AG$4:$AI$9,3,FALSE)))</f>
        <v/>
      </c>
      <c r="L233" s="498" t="str">
        <f>IFERROR(INDEX('G-7 Rivers Data'!$O$3:$O$7,MATCH(G233,'G-7 Rivers Data'!$N$3:$N$7,0)),"")</f>
        <v/>
      </c>
      <c r="M233" s="82"/>
      <c r="N233" s="195"/>
      <c r="O233" s="507" t="str">
        <f t="shared" si="19"/>
        <v/>
      </c>
      <c r="P233" s="521" t="str">
        <f t="shared" si="20"/>
        <v/>
      </c>
      <c r="Q233" s="564" t="str">
        <f>IFERROR(IF(P233="Check Data ⚠","Check Data ⚠",VLOOKUP(P233,'G-4 Temporal multipliers'!$A$4:$C$37,3,FALSE)),"")</f>
        <v/>
      </c>
      <c r="R233" s="498" t="str">
        <f>IF(C233="","",VLOOKUP(C233,'G-7 Rivers Data'!$B$4:$G$8,4,FALSE))</f>
        <v/>
      </c>
      <c r="S233" s="507" t="str">
        <f t="shared" si="21"/>
        <v/>
      </c>
      <c r="T233" s="540" t="str">
        <f t="shared" si="22"/>
        <v/>
      </c>
      <c r="U233" s="499" t="str">
        <f t="shared" si="23"/>
        <v/>
      </c>
      <c r="V233" s="71"/>
      <c r="W233" s="499" t="str">
        <f>IF(V233="","",IF(VLOOKUP(V233,'G-7 Rivers Data'!$AA$4:$AB$7,2,FALSE)=0,"Spatial Data Missing ⚠",VLOOKUP(V233,'G-7 Rivers Data'!$AA$4:$AB$7,2,FALSE)))</f>
        <v/>
      </c>
      <c r="X233" s="155"/>
      <c r="Y233" s="499" t="str">
        <f>IF(X233="","",IF(VLOOKUP(X233,'G-7 Rivers Data'!$AD$4:$AE$8,2,FALSE)=0,"Enrcoachment Data Missing ⚠",VLOOKUP(X233,'G-7 Rivers Data'!$AD$4:$AE$8,2,FALSE)))</f>
        <v/>
      </c>
      <c r="Z233" s="565" t="str">
        <f t="shared" si="24"/>
        <v/>
      </c>
      <c r="AA233" s="149"/>
      <c r="AB233" s="150"/>
      <c r="AH233" s="31" t="str">
        <f>IFERROR(INDEX('G-7 Rivers Data'!$AZ$3:$AZ$7,MATCH(C233,'G-7 Rivers Data'!$AY$3:$AY$7,0)),"")</f>
        <v/>
      </c>
    </row>
    <row r="234" spans="2:34" ht="13.8" x14ac:dyDescent="0.25">
      <c r="B234" s="141">
        <v>223</v>
      </c>
      <c r="C234" s="171"/>
      <c r="D234" s="172"/>
      <c r="E234" s="498" t="str">
        <f>IF(C234="","",VLOOKUP(C234,'G-7 Rivers Data'!$B$2:$G$8,2,FALSE))</f>
        <v/>
      </c>
      <c r="F234" s="499" t="str">
        <f>IFERROR(VLOOKUP(E234,'G-7 Rivers Data'!$C$4:$D$8,2,FALSE),"")</f>
        <v/>
      </c>
      <c r="G234" s="145"/>
      <c r="H234" s="499" t="str">
        <f>IFERROR(INDEX('G-7 Rivers Data'!$H$4:$L$8,MATCH(C234,'G-7 Rivers Data'!$B$4:$B$8,0),MATCH(G234,'G-7 Rivers Data'!$H$3:$L$3,0)),"")</f>
        <v/>
      </c>
      <c r="I234" s="154"/>
      <c r="J234" s="507" t="str">
        <f>IF(I234="","",IF(VLOOKUP(I234,'G-7 Rivers Data'!$AG$4:$AI$9,2,FALSE)=0,"Spatial Data Missing ⚠",VLOOKUP(I234,'G-7 Rivers Data'!$AG$4:$AI$9,2,FALSE)))</f>
        <v/>
      </c>
      <c r="K234" s="499" t="str">
        <f>IF(I234="","",IF(VLOOKUP(I234,'G-7 Rivers Data'!$AG$4:$AI$9,3,FALSE)=0,"Spatial Data Missing ⚠",VLOOKUP(I234,'G-7 Rivers Data'!$AG$4:$AI$9,3,FALSE)))</f>
        <v/>
      </c>
      <c r="L234" s="498" t="str">
        <f>IFERROR(INDEX('G-7 Rivers Data'!$O$3:$O$7,MATCH(G234,'G-7 Rivers Data'!$N$3:$N$7,0)),"")</f>
        <v/>
      </c>
      <c r="M234" s="82"/>
      <c r="N234" s="195"/>
      <c r="O234" s="507" t="str">
        <f t="shared" si="19"/>
        <v/>
      </c>
      <c r="P234" s="521" t="str">
        <f t="shared" si="20"/>
        <v/>
      </c>
      <c r="Q234" s="564" t="str">
        <f>IFERROR(IF(P234="Check Data ⚠","Check Data ⚠",VLOOKUP(P234,'G-4 Temporal multipliers'!$A$4:$C$37,3,FALSE)),"")</f>
        <v/>
      </c>
      <c r="R234" s="498" t="str">
        <f>IF(C234="","",VLOOKUP(C234,'G-7 Rivers Data'!$B$4:$G$8,4,FALSE))</f>
        <v/>
      </c>
      <c r="S234" s="507" t="str">
        <f t="shared" si="21"/>
        <v/>
      </c>
      <c r="T234" s="540" t="str">
        <f t="shared" si="22"/>
        <v/>
      </c>
      <c r="U234" s="499" t="str">
        <f t="shared" si="23"/>
        <v/>
      </c>
      <c r="V234" s="71"/>
      <c r="W234" s="499" t="str">
        <f>IF(V234="","",IF(VLOOKUP(V234,'G-7 Rivers Data'!$AA$4:$AB$7,2,FALSE)=0,"Spatial Data Missing ⚠",VLOOKUP(V234,'G-7 Rivers Data'!$AA$4:$AB$7,2,FALSE)))</f>
        <v/>
      </c>
      <c r="X234" s="155"/>
      <c r="Y234" s="499" t="str">
        <f>IF(X234="","",IF(VLOOKUP(X234,'G-7 Rivers Data'!$AD$4:$AE$8,2,FALSE)=0,"Enrcoachment Data Missing ⚠",VLOOKUP(X234,'G-7 Rivers Data'!$AD$4:$AE$8,2,FALSE)))</f>
        <v/>
      </c>
      <c r="Z234" s="565" t="str">
        <f t="shared" si="24"/>
        <v/>
      </c>
      <c r="AA234" s="149"/>
      <c r="AB234" s="150"/>
      <c r="AH234" s="31" t="str">
        <f>IFERROR(INDEX('G-7 Rivers Data'!$AZ$3:$AZ$7,MATCH(C234,'G-7 Rivers Data'!$AY$3:$AY$7,0)),"")</f>
        <v/>
      </c>
    </row>
    <row r="235" spans="2:34" ht="13.8" x14ac:dyDescent="0.25">
      <c r="B235" s="141">
        <v>224</v>
      </c>
      <c r="C235" s="171"/>
      <c r="D235" s="172"/>
      <c r="E235" s="498" t="str">
        <f>IF(C235="","",VLOOKUP(C235,'G-7 Rivers Data'!$B$2:$G$8,2,FALSE))</f>
        <v/>
      </c>
      <c r="F235" s="499" t="str">
        <f>IFERROR(VLOOKUP(E235,'G-7 Rivers Data'!$C$4:$D$8,2,FALSE),"")</f>
        <v/>
      </c>
      <c r="G235" s="145"/>
      <c r="H235" s="499" t="str">
        <f>IFERROR(INDEX('G-7 Rivers Data'!$H$4:$L$8,MATCH(C235,'G-7 Rivers Data'!$B$4:$B$8,0),MATCH(G235,'G-7 Rivers Data'!$H$3:$L$3,0)),"")</f>
        <v/>
      </c>
      <c r="I235" s="154"/>
      <c r="J235" s="507" t="str">
        <f>IF(I235="","",IF(VLOOKUP(I235,'G-7 Rivers Data'!$AG$4:$AI$9,2,FALSE)=0,"Spatial Data Missing ⚠",VLOOKUP(I235,'G-7 Rivers Data'!$AG$4:$AI$9,2,FALSE)))</f>
        <v/>
      </c>
      <c r="K235" s="499" t="str">
        <f>IF(I235="","",IF(VLOOKUP(I235,'G-7 Rivers Data'!$AG$4:$AI$9,3,FALSE)=0,"Spatial Data Missing ⚠",VLOOKUP(I235,'G-7 Rivers Data'!$AG$4:$AI$9,3,FALSE)))</f>
        <v/>
      </c>
      <c r="L235" s="498" t="str">
        <f>IFERROR(INDEX('G-7 Rivers Data'!$O$3:$O$7,MATCH(G235,'G-7 Rivers Data'!$N$3:$N$7,0)),"")</f>
        <v/>
      </c>
      <c r="M235" s="82"/>
      <c r="N235" s="195"/>
      <c r="O235" s="507" t="str">
        <f t="shared" si="19"/>
        <v/>
      </c>
      <c r="P235" s="521" t="str">
        <f t="shared" si="20"/>
        <v/>
      </c>
      <c r="Q235" s="564" t="str">
        <f>IFERROR(IF(P235="Check Data ⚠","Check Data ⚠",VLOOKUP(P235,'G-4 Temporal multipliers'!$A$4:$C$37,3,FALSE)),"")</f>
        <v/>
      </c>
      <c r="R235" s="498" t="str">
        <f>IF(C235="","",VLOOKUP(C235,'G-7 Rivers Data'!$B$4:$G$8,4,FALSE))</f>
        <v/>
      </c>
      <c r="S235" s="507" t="str">
        <f t="shared" si="21"/>
        <v/>
      </c>
      <c r="T235" s="540" t="str">
        <f t="shared" si="22"/>
        <v/>
      </c>
      <c r="U235" s="499" t="str">
        <f t="shared" si="23"/>
        <v/>
      </c>
      <c r="V235" s="71"/>
      <c r="W235" s="499" t="str">
        <f>IF(V235="","",IF(VLOOKUP(V235,'G-7 Rivers Data'!$AA$4:$AB$7,2,FALSE)=0,"Spatial Data Missing ⚠",VLOOKUP(V235,'G-7 Rivers Data'!$AA$4:$AB$7,2,FALSE)))</f>
        <v/>
      </c>
      <c r="X235" s="155"/>
      <c r="Y235" s="499" t="str">
        <f>IF(X235="","",IF(VLOOKUP(X235,'G-7 Rivers Data'!$AD$4:$AE$8,2,FALSE)=0,"Enrcoachment Data Missing ⚠",VLOOKUP(X235,'G-7 Rivers Data'!$AD$4:$AE$8,2,FALSE)))</f>
        <v/>
      </c>
      <c r="Z235" s="565" t="str">
        <f t="shared" si="24"/>
        <v/>
      </c>
      <c r="AA235" s="149"/>
      <c r="AB235" s="150"/>
      <c r="AH235" s="31" t="str">
        <f>IFERROR(INDEX('G-7 Rivers Data'!$AZ$3:$AZ$7,MATCH(C235,'G-7 Rivers Data'!$AY$3:$AY$7,0)),"")</f>
        <v/>
      </c>
    </row>
    <row r="236" spans="2:34" ht="13.8" x14ac:dyDescent="0.25">
      <c r="B236" s="141">
        <v>225</v>
      </c>
      <c r="C236" s="171"/>
      <c r="D236" s="172"/>
      <c r="E236" s="498" t="str">
        <f>IF(C236="","",VLOOKUP(C236,'G-7 Rivers Data'!$B$2:$G$8,2,FALSE))</f>
        <v/>
      </c>
      <c r="F236" s="499" t="str">
        <f>IFERROR(VLOOKUP(E236,'G-7 Rivers Data'!$C$4:$D$8,2,FALSE),"")</f>
        <v/>
      </c>
      <c r="G236" s="145"/>
      <c r="H236" s="499" t="str">
        <f>IFERROR(INDEX('G-7 Rivers Data'!$H$4:$L$8,MATCH(C236,'G-7 Rivers Data'!$B$4:$B$8,0),MATCH(G236,'G-7 Rivers Data'!$H$3:$L$3,0)),"")</f>
        <v/>
      </c>
      <c r="I236" s="154"/>
      <c r="J236" s="507" t="str">
        <f>IF(I236="","",IF(VLOOKUP(I236,'G-7 Rivers Data'!$AG$4:$AI$9,2,FALSE)=0,"Spatial Data Missing ⚠",VLOOKUP(I236,'G-7 Rivers Data'!$AG$4:$AI$9,2,FALSE)))</f>
        <v/>
      </c>
      <c r="K236" s="499" t="str">
        <f>IF(I236="","",IF(VLOOKUP(I236,'G-7 Rivers Data'!$AG$4:$AI$9,3,FALSE)=0,"Spatial Data Missing ⚠",VLOOKUP(I236,'G-7 Rivers Data'!$AG$4:$AI$9,3,FALSE)))</f>
        <v/>
      </c>
      <c r="L236" s="498" t="str">
        <f>IFERROR(INDEX('G-7 Rivers Data'!$O$3:$O$7,MATCH(G236,'G-7 Rivers Data'!$N$3:$N$7,0)),"")</f>
        <v/>
      </c>
      <c r="M236" s="82"/>
      <c r="N236" s="195"/>
      <c r="O236" s="507" t="str">
        <f t="shared" si="19"/>
        <v/>
      </c>
      <c r="P236" s="521" t="str">
        <f t="shared" si="20"/>
        <v/>
      </c>
      <c r="Q236" s="564" t="str">
        <f>IFERROR(IF(P236="Check Data ⚠","Check Data ⚠",VLOOKUP(P236,'G-4 Temporal multipliers'!$A$4:$C$37,3,FALSE)),"")</f>
        <v/>
      </c>
      <c r="R236" s="498" t="str">
        <f>IF(C236="","",VLOOKUP(C236,'G-7 Rivers Data'!$B$4:$G$8,4,FALSE))</f>
        <v/>
      </c>
      <c r="S236" s="507" t="str">
        <f t="shared" si="21"/>
        <v/>
      </c>
      <c r="T236" s="540" t="str">
        <f t="shared" si="22"/>
        <v/>
      </c>
      <c r="U236" s="499" t="str">
        <f t="shared" si="23"/>
        <v/>
      </c>
      <c r="V236" s="71"/>
      <c r="W236" s="499" t="str">
        <f>IF(V236="","",IF(VLOOKUP(V236,'G-7 Rivers Data'!$AA$4:$AB$7,2,FALSE)=0,"Spatial Data Missing ⚠",VLOOKUP(V236,'G-7 Rivers Data'!$AA$4:$AB$7,2,FALSE)))</f>
        <v/>
      </c>
      <c r="X236" s="155"/>
      <c r="Y236" s="499" t="str">
        <f>IF(X236="","",IF(VLOOKUP(X236,'G-7 Rivers Data'!$AD$4:$AE$8,2,FALSE)=0,"Enrcoachment Data Missing ⚠",VLOOKUP(X236,'G-7 Rivers Data'!$AD$4:$AE$8,2,FALSE)))</f>
        <v/>
      </c>
      <c r="Z236" s="565" t="str">
        <f t="shared" si="24"/>
        <v/>
      </c>
      <c r="AA236" s="149"/>
      <c r="AB236" s="150"/>
      <c r="AH236" s="31" t="str">
        <f>IFERROR(INDEX('G-7 Rivers Data'!$AZ$3:$AZ$7,MATCH(C236,'G-7 Rivers Data'!$AY$3:$AY$7,0)),"")</f>
        <v/>
      </c>
    </row>
    <row r="237" spans="2:34" ht="13.8" x14ac:dyDescent="0.25">
      <c r="B237" s="141">
        <v>226</v>
      </c>
      <c r="C237" s="171"/>
      <c r="D237" s="172"/>
      <c r="E237" s="498" t="str">
        <f>IF(C237="","",VLOOKUP(C237,'G-7 Rivers Data'!$B$2:$G$8,2,FALSE))</f>
        <v/>
      </c>
      <c r="F237" s="499" t="str">
        <f>IFERROR(VLOOKUP(E237,'G-7 Rivers Data'!$C$4:$D$8,2,FALSE),"")</f>
        <v/>
      </c>
      <c r="G237" s="145"/>
      <c r="H237" s="499" t="str">
        <f>IFERROR(INDEX('G-7 Rivers Data'!$H$4:$L$8,MATCH(C237,'G-7 Rivers Data'!$B$4:$B$8,0),MATCH(G237,'G-7 Rivers Data'!$H$3:$L$3,0)),"")</f>
        <v/>
      </c>
      <c r="I237" s="154"/>
      <c r="J237" s="507" t="str">
        <f>IF(I237="","",IF(VLOOKUP(I237,'G-7 Rivers Data'!$AG$4:$AI$9,2,FALSE)=0,"Spatial Data Missing ⚠",VLOOKUP(I237,'G-7 Rivers Data'!$AG$4:$AI$9,2,FALSE)))</f>
        <v/>
      </c>
      <c r="K237" s="499" t="str">
        <f>IF(I237="","",IF(VLOOKUP(I237,'G-7 Rivers Data'!$AG$4:$AI$9,3,FALSE)=0,"Spatial Data Missing ⚠",VLOOKUP(I237,'G-7 Rivers Data'!$AG$4:$AI$9,3,FALSE)))</f>
        <v/>
      </c>
      <c r="L237" s="498" t="str">
        <f>IFERROR(INDEX('G-7 Rivers Data'!$O$3:$O$7,MATCH(G237,'G-7 Rivers Data'!$N$3:$N$7,0)),"")</f>
        <v/>
      </c>
      <c r="M237" s="82"/>
      <c r="N237" s="195"/>
      <c r="O237" s="507" t="str">
        <f t="shared" si="19"/>
        <v/>
      </c>
      <c r="P237" s="521" t="str">
        <f t="shared" si="20"/>
        <v/>
      </c>
      <c r="Q237" s="564" t="str">
        <f>IFERROR(IF(P237="Check Data ⚠","Check Data ⚠",VLOOKUP(P237,'G-4 Temporal multipliers'!$A$4:$C$37,3,FALSE)),"")</f>
        <v/>
      </c>
      <c r="R237" s="498" t="str">
        <f>IF(C237="","",VLOOKUP(C237,'G-7 Rivers Data'!$B$4:$G$8,4,FALSE))</f>
        <v/>
      </c>
      <c r="S237" s="507" t="str">
        <f t="shared" si="21"/>
        <v/>
      </c>
      <c r="T237" s="540" t="str">
        <f t="shared" si="22"/>
        <v/>
      </c>
      <c r="U237" s="499" t="str">
        <f t="shared" si="23"/>
        <v/>
      </c>
      <c r="V237" s="71"/>
      <c r="W237" s="499" t="str">
        <f>IF(V237="","",IF(VLOOKUP(V237,'G-7 Rivers Data'!$AA$4:$AB$7,2,FALSE)=0,"Spatial Data Missing ⚠",VLOOKUP(V237,'G-7 Rivers Data'!$AA$4:$AB$7,2,FALSE)))</f>
        <v/>
      </c>
      <c r="X237" s="155"/>
      <c r="Y237" s="499" t="str">
        <f>IF(X237="","",IF(VLOOKUP(X237,'G-7 Rivers Data'!$AD$4:$AE$8,2,FALSE)=0,"Enrcoachment Data Missing ⚠",VLOOKUP(X237,'G-7 Rivers Data'!$AD$4:$AE$8,2,FALSE)))</f>
        <v/>
      </c>
      <c r="Z237" s="565" t="str">
        <f t="shared" si="24"/>
        <v/>
      </c>
      <c r="AA237" s="149"/>
      <c r="AB237" s="150"/>
      <c r="AH237" s="31" t="str">
        <f>IFERROR(INDEX('G-7 Rivers Data'!$AZ$3:$AZ$7,MATCH(C237,'G-7 Rivers Data'!$AY$3:$AY$7,0)),"")</f>
        <v/>
      </c>
    </row>
    <row r="238" spans="2:34" ht="13.8" x14ac:dyDescent="0.25">
      <c r="B238" s="141">
        <v>227</v>
      </c>
      <c r="C238" s="171"/>
      <c r="D238" s="172"/>
      <c r="E238" s="498" t="str">
        <f>IF(C238="","",VLOOKUP(C238,'G-7 Rivers Data'!$B$2:$G$8,2,FALSE))</f>
        <v/>
      </c>
      <c r="F238" s="499" t="str">
        <f>IFERROR(VLOOKUP(E238,'G-7 Rivers Data'!$C$4:$D$8,2,FALSE),"")</f>
        <v/>
      </c>
      <c r="G238" s="145"/>
      <c r="H238" s="499" t="str">
        <f>IFERROR(INDEX('G-7 Rivers Data'!$H$4:$L$8,MATCH(C238,'G-7 Rivers Data'!$B$4:$B$8,0),MATCH(G238,'G-7 Rivers Data'!$H$3:$L$3,0)),"")</f>
        <v/>
      </c>
      <c r="I238" s="154"/>
      <c r="J238" s="507" t="str">
        <f>IF(I238="","",IF(VLOOKUP(I238,'G-7 Rivers Data'!$AG$4:$AI$9,2,FALSE)=0,"Spatial Data Missing ⚠",VLOOKUP(I238,'G-7 Rivers Data'!$AG$4:$AI$9,2,FALSE)))</f>
        <v/>
      </c>
      <c r="K238" s="499" t="str">
        <f>IF(I238="","",IF(VLOOKUP(I238,'G-7 Rivers Data'!$AG$4:$AI$9,3,FALSE)=0,"Spatial Data Missing ⚠",VLOOKUP(I238,'G-7 Rivers Data'!$AG$4:$AI$9,3,FALSE)))</f>
        <v/>
      </c>
      <c r="L238" s="498" t="str">
        <f>IFERROR(INDEX('G-7 Rivers Data'!$O$3:$O$7,MATCH(G238,'G-7 Rivers Data'!$N$3:$N$7,0)),"")</f>
        <v/>
      </c>
      <c r="M238" s="82"/>
      <c r="N238" s="195"/>
      <c r="O238" s="507" t="str">
        <f t="shared" si="19"/>
        <v/>
      </c>
      <c r="P238" s="521" t="str">
        <f t="shared" si="20"/>
        <v/>
      </c>
      <c r="Q238" s="564" t="str">
        <f>IFERROR(IF(P238="Check Data ⚠","Check Data ⚠",VLOOKUP(P238,'G-4 Temporal multipliers'!$A$4:$C$37,3,FALSE)),"")</f>
        <v/>
      </c>
      <c r="R238" s="498" t="str">
        <f>IF(C238="","",VLOOKUP(C238,'G-7 Rivers Data'!$B$4:$G$8,4,FALSE))</f>
        <v/>
      </c>
      <c r="S238" s="507" t="str">
        <f t="shared" si="21"/>
        <v/>
      </c>
      <c r="T238" s="540" t="str">
        <f t="shared" si="22"/>
        <v/>
      </c>
      <c r="U238" s="499" t="str">
        <f t="shared" si="23"/>
        <v/>
      </c>
      <c r="V238" s="71"/>
      <c r="W238" s="499" t="str">
        <f>IF(V238="","",IF(VLOOKUP(V238,'G-7 Rivers Data'!$AA$4:$AB$7,2,FALSE)=0,"Spatial Data Missing ⚠",VLOOKUP(V238,'G-7 Rivers Data'!$AA$4:$AB$7,2,FALSE)))</f>
        <v/>
      </c>
      <c r="X238" s="155"/>
      <c r="Y238" s="499" t="str">
        <f>IF(X238="","",IF(VLOOKUP(X238,'G-7 Rivers Data'!$AD$4:$AE$8,2,FALSE)=0,"Enrcoachment Data Missing ⚠",VLOOKUP(X238,'G-7 Rivers Data'!$AD$4:$AE$8,2,FALSE)))</f>
        <v/>
      </c>
      <c r="Z238" s="565" t="str">
        <f t="shared" si="24"/>
        <v/>
      </c>
      <c r="AA238" s="149"/>
      <c r="AB238" s="150"/>
      <c r="AH238" s="31" t="str">
        <f>IFERROR(INDEX('G-7 Rivers Data'!$AZ$3:$AZ$7,MATCH(C238,'G-7 Rivers Data'!$AY$3:$AY$7,0)),"")</f>
        <v/>
      </c>
    </row>
    <row r="239" spans="2:34" ht="13.8" x14ac:dyDescent="0.25">
      <c r="B239" s="141">
        <v>228</v>
      </c>
      <c r="C239" s="171"/>
      <c r="D239" s="172"/>
      <c r="E239" s="498" t="str">
        <f>IF(C239="","",VLOOKUP(C239,'G-7 Rivers Data'!$B$2:$G$8,2,FALSE))</f>
        <v/>
      </c>
      <c r="F239" s="499" t="str">
        <f>IFERROR(VLOOKUP(E239,'G-7 Rivers Data'!$C$4:$D$8,2,FALSE),"")</f>
        <v/>
      </c>
      <c r="G239" s="145"/>
      <c r="H239" s="499" t="str">
        <f>IFERROR(INDEX('G-7 Rivers Data'!$H$4:$L$8,MATCH(C239,'G-7 Rivers Data'!$B$4:$B$8,0),MATCH(G239,'G-7 Rivers Data'!$H$3:$L$3,0)),"")</f>
        <v/>
      </c>
      <c r="I239" s="154"/>
      <c r="J239" s="507" t="str">
        <f>IF(I239="","",IF(VLOOKUP(I239,'G-7 Rivers Data'!$AG$4:$AI$9,2,FALSE)=0,"Spatial Data Missing ⚠",VLOOKUP(I239,'G-7 Rivers Data'!$AG$4:$AI$9,2,FALSE)))</f>
        <v/>
      </c>
      <c r="K239" s="499" t="str">
        <f>IF(I239="","",IF(VLOOKUP(I239,'G-7 Rivers Data'!$AG$4:$AI$9,3,FALSE)=0,"Spatial Data Missing ⚠",VLOOKUP(I239,'G-7 Rivers Data'!$AG$4:$AI$9,3,FALSE)))</f>
        <v/>
      </c>
      <c r="L239" s="498" t="str">
        <f>IFERROR(INDEX('G-7 Rivers Data'!$O$3:$O$7,MATCH(G239,'G-7 Rivers Data'!$N$3:$N$7,0)),"")</f>
        <v/>
      </c>
      <c r="M239" s="82"/>
      <c r="N239" s="195"/>
      <c r="O239" s="507" t="str">
        <f t="shared" si="19"/>
        <v/>
      </c>
      <c r="P239" s="521" t="str">
        <f t="shared" si="20"/>
        <v/>
      </c>
      <c r="Q239" s="564" t="str">
        <f>IFERROR(IF(P239="Check Data ⚠","Check Data ⚠",VLOOKUP(P239,'G-4 Temporal multipliers'!$A$4:$C$37,3,FALSE)),"")</f>
        <v/>
      </c>
      <c r="R239" s="498" t="str">
        <f>IF(C239="","",VLOOKUP(C239,'G-7 Rivers Data'!$B$4:$G$8,4,FALSE))</f>
        <v/>
      </c>
      <c r="S239" s="507" t="str">
        <f t="shared" si="21"/>
        <v/>
      </c>
      <c r="T239" s="540" t="str">
        <f t="shared" si="22"/>
        <v/>
      </c>
      <c r="U239" s="499" t="str">
        <f t="shared" si="23"/>
        <v/>
      </c>
      <c r="V239" s="71"/>
      <c r="W239" s="499" t="str">
        <f>IF(V239="","",IF(VLOOKUP(V239,'G-7 Rivers Data'!$AA$4:$AB$7,2,FALSE)=0,"Spatial Data Missing ⚠",VLOOKUP(V239,'G-7 Rivers Data'!$AA$4:$AB$7,2,FALSE)))</f>
        <v/>
      </c>
      <c r="X239" s="155"/>
      <c r="Y239" s="499" t="str">
        <f>IF(X239="","",IF(VLOOKUP(X239,'G-7 Rivers Data'!$AD$4:$AE$8,2,FALSE)=0,"Enrcoachment Data Missing ⚠",VLOOKUP(X239,'G-7 Rivers Data'!$AD$4:$AE$8,2,FALSE)))</f>
        <v/>
      </c>
      <c r="Z239" s="565" t="str">
        <f t="shared" si="24"/>
        <v/>
      </c>
      <c r="AA239" s="149"/>
      <c r="AB239" s="150"/>
      <c r="AH239" s="31" t="str">
        <f>IFERROR(INDEX('G-7 Rivers Data'!$AZ$3:$AZ$7,MATCH(C239,'G-7 Rivers Data'!$AY$3:$AY$7,0)),"")</f>
        <v/>
      </c>
    </row>
    <row r="240" spans="2:34" ht="13.8" x14ac:dyDescent="0.25">
      <c r="B240" s="141">
        <v>229</v>
      </c>
      <c r="C240" s="171"/>
      <c r="D240" s="172"/>
      <c r="E240" s="498" t="str">
        <f>IF(C240="","",VLOOKUP(C240,'G-7 Rivers Data'!$B$2:$G$8,2,FALSE))</f>
        <v/>
      </c>
      <c r="F240" s="499" t="str">
        <f>IFERROR(VLOOKUP(E240,'G-7 Rivers Data'!$C$4:$D$8,2,FALSE),"")</f>
        <v/>
      </c>
      <c r="G240" s="145"/>
      <c r="H240" s="499" t="str">
        <f>IFERROR(INDEX('G-7 Rivers Data'!$H$4:$L$8,MATCH(C240,'G-7 Rivers Data'!$B$4:$B$8,0),MATCH(G240,'G-7 Rivers Data'!$H$3:$L$3,0)),"")</f>
        <v/>
      </c>
      <c r="I240" s="154"/>
      <c r="J240" s="507" t="str">
        <f>IF(I240="","",IF(VLOOKUP(I240,'G-7 Rivers Data'!$AG$4:$AI$9,2,FALSE)=0,"Spatial Data Missing ⚠",VLOOKUP(I240,'G-7 Rivers Data'!$AG$4:$AI$9,2,FALSE)))</f>
        <v/>
      </c>
      <c r="K240" s="499" t="str">
        <f>IF(I240="","",IF(VLOOKUP(I240,'G-7 Rivers Data'!$AG$4:$AI$9,3,FALSE)=0,"Spatial Data Missing ⚠",VLOOKUP(I240,'G-7 Rivers Data'!$AG$4:$AI$9,3,FALSE)))</f>
        <v/>
      </c>
      <c r="L240" s="498" t="str">
        <f>IFERROR(INDEX('G-7 Rivers Data'!$O$3:$O$7,MATCH(G240,'G-7 Rivers Data'!$N$3:$N$7,0)),"")</f>
        <v/>
      </c>
      <c r="M240" s="82"/>
      <c r="N240" s="195"/>
      <c r="O240" s="507" t="str">
        <f t="shared" si="19"/>
        <v/>
      </c>
      <c r="P240" s="521" t="str">
        <f t="shared" si="20"/>
        <v/>
      </c>
      <c r="Q240" s="564" t="str">
        <f>IFERROR(IF(P240="Check Data ⚠","Check Data ⚠",VLOOKUP(P240,'G-4 Temporal multipliers'!$A$4:$C$37,3,FALSE)),"")</f>
        <v/>
      </c>
      <c r="R240" s="498" t="str">
        <f>IF(C240="","",VLOOKUP(C240,'G-7 Rivers Data'!$B$4:$G$8,4,FALSE))</f>
        <v/>
      </c>
      <c r="S240" s="507" t="str">
        <f t="shared" si="21"/>
        <v/>
      </c>
      <c r="T240" s="540" t="str">
        <f t="shared" si="22"/>
        <v/>
      </c>
      <c r="U240" s="499" t="str">
        <f t="shared" si="23"/>
        <v/>
      </c>
      <c r="V240" s="71"/>
      <c r="W240" s="499" t="str">
        <f>IF(V240="","",IF(VLOOKUP(V240,'G-7 Rivers Data'!$AA$4:$AB$7,2,FALSE)=0,"Spatial Data Missing ⚠",VLOOKUP(V240,'G-7 Rivers Data'!$AA$4:$AB$7,2,FALSE)))</f>
        <v/>
      </c>
      <c r="X240" s="155"/>
      <c r="Y240" s="499" t="str">
        <f>IF(X240="","",IF(VLOOKUP(X240,'G-7 Rivers Data'!$AD$4:$AE$8,2,FALSE)=0,"Enrcoachment Data Missing ⚠",VLOOKUP(X240,'G-7 Rivers Data'!$AD$4:$AE$8,2,FALSE)))</f>
        <v/>
      </c>
      <c r="Z240" s="565" t="str">
        <f t="shared" si="24"/>
        <v/>
      </c>
      <c r="AA240" s="149"/>
      <c r="AB240" s="150"/>
      <c r="AH240" s="31" t="str">
        <f>IFERROR(INDEX('G-7 Rivers Data'!$AZ$3:$AZ$7,MATCH(C240,'G-7 Rivers Data'!$AY$3:$AY$7,0)),"")</f>
        <v/>
      </c>
    </row>
    <row r="241" spans="2:34" ht="13.8" x14ac:dyDescent="0.25">
      <c r="B241" s="141">
        <v>230</v>
      </c>
      <c r="C241" s="171"/>
      <c r="D241" s="172"/>
      <c r="E241" s="498" t="str">
        <f>IF(C241="","",VLOOKUP(C241,'G-7 Rivers Data'!$B$2:$G$8,2,FALSE))</f>
        <v/>
      </c>
      <c r="F241" s="499" t="str">
        <f>IFERROR(VLOOKUP(E241,'G-7 Rivers Data'!$C$4:$D$8,2,FALSE),"")</f>
        <v/>
      </c>
      <c r="G241" s="145"/>
      <c r="H241" s="499" t="str">
        <f>IFERROR(INDEX('G-7 Rivers Data'!$H$4:$L$8,MATCH(C241,'G-7 Rivers Data'!$B$4:$B$8,0),MATCH(G241,'G-7 Rivers Data'!$H$3:$L$3,0)),"")</f>
        <v/>
      </c>
      <c r="I241" s="154"/>
      <c r="J241" s="507" t="str">
        <f>IF(I241="","",IF(VLOOKUP(I241,'G-7 Rivers Data'!$AG$4:$AI$9,2,FALSE)=0,"Spatial Data Missing ⚠",VLOOKUP(I241,'G-7 Rivers Data'!$AG$4:$AI$9,2,FALSE)))</f>
        <v/>
      </c>
      <c r="K241" s="499" t="str">
        <f>IF(I241="","",IF(VLOOKUP(I241,'G-7 Rivers Data'!$AG$4:$AI$9,3,FALSE)=0,"Spatial Data Missing ⚠",VLOOKUP(I241,'G-7 Rivers Data'!$AG$4:$AI$9,3,FALSE)))</f>
        <v/>
      </c>
      <c r="L241" s="498" t="str">
        <f>IFERROR(INDEX('G-7 Rivers Data'!$O$3:$O$7,MATCH(G241,'G-7 Rivers Data'!$N$3:$N$7,0)),"")</f>
        <v/>
      </c>
      <c r="M241" s="82"/>
      <c r="N241" s="195"/>
      <c r="O241" s="507" t="str">
        <f t="shared" si="19"/>
        <v/>
      </c>
      <c r="P241" s="521" t="str">
        <f t="shared" si="20"/>
        <v/>
      </c>
      <c r="Q241" s="564" t="str">
        <f>IFERROR(IF(P241="Check Data ⚠","Check Data ⚠",VLOOKUP(P241,'G-4 Temporal multipliers'!$A$4:$C$37,3,FALSE)),"")</f>
        <v/>
      </c>
      <c r="R241" s="498" t="str">
        <f>IF(C241="","",VLOOKUP(C241,'G-7 Rivers Data'!$B$4:$G$8,4,FALSE))</f>
        <v/>
      </c>
      <c r="S241" s="507" t="str">
        <f t="shared" si="21"/>
        <v/>
      </c>
      <c r="T241" s="540" t="str">
        <f t="shared" si="22"/>
        <v/>
      </c>
      <c r="U241" s="499" t="str">
        <f t="shared" si="23"/>
        <v/>
      </c>
      <c r="V241" s="71"/>
      <c r="W241" s="499" t="str">
        <f>IF(V241="","",IF(VLOOKUP(V241,'G-7 Rivers Data'!$AA$4:$AB$7,2,FALSE)=0,"Spatial Data Missing ⚠",VLOOKUP(V241,'G-7 Rivers Data'!$AA$4:$AB$7,2,FALSE)))</f>
        <v/>
      </c>
      <c r="X241" s="155"/>
      <c r="Y241" s="499" t="str">
        <f>IF(X241="","",IF(VLOOKUP(X241,'G-7 Rivers Data'!$AD$4:$AE$8,2,FALSE)=0,"Enrcoachment Data Missing ⚠",VLOOKUP(X241,'G-7 Rivers Data'!$AD$4:$AE$8,2,FALSE)))</f>
        <v/>
      </c>
      <c r="Z241" s="565" t="str">
        <f t="shared" si="24"/>
        <v/>
      </c>
      <c r="AA241" s="149"/>
      <c r="AB241" s="150"/>
      <c r="AH241" s="31" t="str">
        <f>IFERROR(INDEX('G-7 Rivers Data'!$AZ$3:$AZ$7,MATCH(C241,'G-7 Rivers Data'!$AY$3:$AY$7,0)),"")</f>
        <v/>
      </c>
    </row>
    <row r="242" spans="2:34" ht="13.8" x14ac:dyDescent="0.25">
      <c r="B242" s="141">
        <v>231</v>
      </c>
      <c r="C242" s="171"/>
      <c r="D242" s="172"/>
      <c r="E242" s="498" t="str">
        <f>IF(C242="","",VLOOKUP(C242,'G-7 Rivers Data'!$B$2:$G$8,2,FALSE))</f>
        <v/>
      </c>
      <c r="F242" s="499" t="str">
        <f>IFERROR(VLOOKUP(E242,'G-7 Rivers Data'!$C$4:$D$8,2,FALSE),"")</f>
        <v/>
      </c>
      <c r="G242" s="145"/>
      <c r="H242" s="499" t="str">
        <f>IFERROR(INDEX('G-7 Rivers Data'!$H$4:$L$8,MATCH(C242,'G-7 Rivers Data'!$B$4:$B$8,0),MATCH(G242,'G-7 Rivers Data'!$H$3:$L$3,0)),"")</f>
        <v/>
      </c>
      <c r="I242" s="154"/>
      <c r="J242" s="507" t="str">
        <f>IF(I242="","",IF(VLOOKUP(I242,'G-7 Rivers Data'!$AG$4:$AI$9,2,FALSE)=0,"Spatial Data Missing ⚠",VLOOKUP(I242,'G-7 Rivers Data'!$AG$4:$AI$9,2,FALSE)))</f>
        <v/>
      </c>
      <c r="K242" s="499" t="str">
        <f>IF(I242="","",IF(VLOOKUP(I242,'G-7 Rivers Data'!$AG$4:$AI$9,3,FALSE)=0,"Spatial Data Missing ⚠",VLOOKUP(I242,'G-7 Rivers Data'!$AG$4:$AI$9,3,FALSE)))</f>
        <v/>
      </c>
      <c r="L242" s="498" t="str">
        <f>IFERROR(INDEX('G-7 Rivers Data'!$O$3:$O$7,MATCH(G242,'G-7 Rivers Data'!$N$3:$N$7,0)),"")</f>
        <v/>
      </c>
      <c r="M242" s="82"/>
      <c r="N242" s="195"/>
      <c r="O242" s="507" t="str">
        <f t="shared" si="19"/>
        <v/>
      </c>
      <c r="P242" s="521" t="str">
        <f t="shared" si="20"/>
        <v/>
      </c>
      <c r="Q242" s="564" t="str">
        <f>IFERROR(IF(P242="Check Data ⚠","Check Data ⚠",VLOOKUP(P242,'G-4 Temporal multipliers'!$A$4:$C$37,3,FALSE)),"")</f>
        <v/>
      </c>
      <c r="R242" s="498" t="str">
        <f>IF(C242="","",VLOOKUP(C242,'G-7 Rivers Data'!$B$4:$G$8,4,FALSE))</f>
        <v/>
      </c>
      <c r="S242" s="507" t="str">
        <f t="shared" si="21"/>
        <v/>
      </c>
      <c r="T242" s="540" t="str">
        <f t="shared" si="22"/>
        <v/>
      </c>
      <c r="U242" s="499" t="str">
        <f t="shared" si="23"/>
        <v/>
      </c>
      <c r="V242" s="71"/>
      <c r="W242" s="499" t="str">
        <f>IF(V242="","",IF(VLOOKUP(V242,'G-7 Rivers Data'!$AA$4:$AB$7,2,FALSE)=0,"Spatial Data Missing ⚠",VLOOKUP(V242,'G-7 Rivers Data'!$AA$4:$AB$7,2,FALSE)))</f>
        <v/>
      </c>
      <c r="X242" s="155"/>
      <c r="Y242" s="499" t="str">
        <f>IF(X242="","",IF(VLOOKUP(X242,'G-7 Rivers Data'!$AD$4:$AE$8,2,FALSE)=0,"Enrcoachment Data Missing ⚠",VLOOKUP(X242,'G-7 Rivers Data'!$AD$4:$AE$8,2,FALSE)))</f>
        <v/>
      </c>
      <c r="Z242" s="565" t="str">
        <f t="shared" si="24"/>
        <v/>
      </c>
      <c r="AA242" s="149"/>
      <c r="AB242" s="150"/>
      <c r="AH242" s="31" t="str">
        <f>IFERROR(INDEX('G-7 Rivers Data'!$AZ$3:$AZ$7,MATCH(C242,'G-7 Rivers Data'!$AY$3:$AY$7,0)),"")</f>
        <v/>
      </c>
    </row>
    <row r="243" spans="2:34" ht="13.8" x14ac:dyDescent="0.25">
      <c r="B243" s="141">
        <v>232</v>
      </c>
      <c r="C243" s="171"/>
      <c r="D243" s="172"/>
      <c r="E243" s="498" t="str">
        <f>IF(C243="","",VLOOKUP(C243,'G-7 Rivers Data'!$B$2:$G$8,2,FALSE))</f>
        <v/>
      </c>
      <c r="F243" s="499" t="str">
        <f>IFERROR(VLOOKUP(E243,'G-7 Rivers Data'!$C$4:$D$8,2,FALSE),"")</f>
        <v/>
      </c>
      <c r="G243" s="145"/>
      <c r="H243" s="499" t="str">
        <f>IFERROR(INDEX('G-7 Rivers Data'!$H$4:$L$8,MATCH(C243,'G-7 Rivers Data'!$B$4:$B$8,0),MATCH(G243,'G-7 Rivers Data'!$H$3:$L$3,0)),"")</f>
        <v/>
      </c>
      <c r="I243" s="154"/>
      <c r="J243" s="507" t="str">
        <f>IF(I243="","",IF(VLOOKUP(I243,'G-7 Rivers Data'!$AG$4:$AI$9,2,FALSE)=0,"Spatial Data Missing ⚠",VLOOKUP(I243,'G-7 Rivers Data'!$AG$4:$AI$9,2,FALSE)))</f>
        <v/>
      </c>
      <c r="K243" s="499" t="str">
        <f>IF(I243="","",IF(VLOOKUP(I243,'G-7 Rivers Data'!$AG$4:$AI$9,3,FALSE)=0,"Spatial Data Missing ⚠",VLOOKUP(I243,'G-7 Rivers Data'!$AG$4:$AI$9,3,FALSE)))</f>
        <v/>
      </c>
      <c r="L243" s="498" t="str">
        <f>IFERROR(INDEX('G-7 Rivers Data'!$O$3:$O$7,MATCH(G243,'G-7 Rivers Data'!$N$3:$N$7,0)),"")</f>
        <v/>
      </c>
      <c r="M243" s="82"/>
      <c r="N243" s="195"/>
      <c r="O243" s="507" t="str">
        <f t="shared" si="19"/>
        <v/>
      </c>
      <c r="P243" s="521" t="str">
        <f t="shared" si="20"/>
        <v/>
      </c>
      <c r="Q243" s="564" t="str">
        <f>IFERROR(IF(P243="Check Data ⚠","Check Data ⚠",VLOOKUP(P243,'G-4 Temporal multipliers'!$A$4:$C$37,3,FALSE)),"")</f>
        <v/>
      </c>
      <c r="R243" s="498" t="str">
        <f>IF(C243="","",VLOOKUP(C243,'G-7 Rivers Data'!$B$4:$G$8,4,FALSE))</f>
        <v/>
      </c>
      <c r="S243" s="507" t="str">
        <f t="shared" si="21"/>
        <v/>
      </c>
      <c r="T243" s="540" t="str">
        <f t="shared" si="22"/>
        <v/>
      </c>
      <c r="U243" s="499" t="str">
        <f t="shared" si="23"/>
        <v/>
      </c>
      <c r="V243" s="71"/>
      <c r="W243" s="499" t="str">
        <f>IF(V243="","",IF(VLOOKUP(V243,'G-7 Rivers Data'!$AA$4:$AB$7,2,FALSE)=0,"Spatial Data Missing ⚠",VLOOKUP(V243,'G-7 Rivers Data'!$AA$4:$AB$7,2,FALSE)))</f>
        <v/>
      </c>
      <c r="X243" s="155"/>
      <c r="Y243" s="499" t="str">
        <f>IF(X243="","",IF(VLOOKUP(X243,'G-7 Rivers Data'!$AD$4:$AE$8,2,FALSE)=0,"Enrcoachment Data Missing ⚠",VLOOKUP(X243,'G-7 Rivers Data'!$AD$4:$AE$8,2,FALSE)))</f>
        <v/>
      </c>
      <c r="Z243" s="565" t="str">
        <f t="shared" si="24"/>
        <v/>
      </c>
      <c r="AA243" s="149"/>
      <c r="AB243" s="150"/>
      <c r="AH243" s="31" t="str">
        <f>IFERROR(INDEX('G-7 Rivers Data'!$AZ$3:$AZ$7,MATCH(C243,'G-7 Rivers Data'!$AY$3:$AY$7,0)),"")</f>
        <v/>
      </c>
    </row>
    <row r="244" spans="2:34" ht="13.8" x14ac:dyDescent="0.25">
      <c r="B244" s="141">
        <v>233</v>
      </c>
      <c r="C244" s="171"/>
      <c r="D244" s="172"/>
      <c r="E244" s="498" t="str">
        <f>IF(C244="","",VLOOKUP(C244,'G-7 Rivers Data'!$B$2:$G$8,2,FALSE))</f>
        <v/>
      </c>
      <c r="F244" s="499" t="str">
        <f>IFERROR(VLOOKUP(E244,'G-7 Rivers Data'!$C$4:$D$8,2,FALSE),"")</f>
        <v/>
      </c>
      <c r="G244" s="145"/>
      <c r="H244" s="499" t="str">
        <f>IFERROR(INDEX('G-7 Rivers Data'!$H$4:$L$8,MATCH(C244,'G-7 Rivers Data'!$B$4:$B$8,0),MATCH(G244,'G-7 Rivers Data'!$H$3:$L$3,0)),"")</f>
        <v/>
      </c>
      <c r="I244" s="154"/>
      <c r="J244" s="507" t="str">
        <f>IF(I244="","",IF(VLOOKUP(I244,'G-7 Rivers Data'!$AG$4:$AI$9,2,FALSE)=0,"Spatial Data Missing ⚠",VLOOKUP(I244,'G-7 Rivers Data'!$AG$4:$AI$9,2,FALSE)))</f>
        <v/>
      </c>
      <c r="K244" s="499" t="str">
        <f>IF(I244="","",IF(VLOOKUP(I244,'G-7 Rivers Data'!$AG$4:$AI$9,3,FALSE)=0,"Spatial Data Missing ⚠",VLOOKUP(I244,'G-7 Rivers Data'!$AG$4:$AI$9,3,FALSE)))</f>
        <v/>
      </c>
      <c r="L244" s="498" t="str">
        <f>IFERROR(INDEX('G-7 Rivers Data'!$O$3:$O$7,MATCH(G244,'G-7 Rivers Data'!$N$3:$N$7,0)),"")</f>
        <v/>
      </c>
      <c r="M244" s="82"/>
      <c r="N244" s="195"/>
      <c r="O244" s="507" t="str">
        <f t="shared" si="19"/>
        <v/>
      </c>
      <c r="P244" s="521" t="str">
        <f t="shared" si="20"/>
        <v/>
      </c>
      <c r="Q244" s="564" t="str">
        <f>IFERROR(IF(P244="Check Data ⚠","Check Data ⚠",VLOOKUP(P244,'G-4 Temporal multipliers'!$A$4:$C$37,3,FALSE)),"")</f>
        <v/>
      </c>
      <c r="R244" s="498" t="str">
        <f>IF(C244="","",VLOOKUP(C244,'G-7 Rivers Data'!$B$4:$G$8,4,FALSE))</f>
        <v/>
      </c>
      <c r="S244" s="507" t="str">
        <f t="shared" si="21"/>
        <v/>
      </c>
      <c r="T244" s="540" t="str">
        <f t="shared" si="22"/>
        <v/>
      </c>
      <c r="U244" s="499" t="str">
        <f t="shared" si="23"/>
        <v/>
      </c>
      <c r="V244" s="71"/>
      <c r="W244" s="499" t="str">
        <f>IF(V244="","",IF(VLOOKUP(V244,'G-7 Rivers Data'!$AA$4:$AB$7,2,FALSE)=0,"Spatial Data Missing ⚠",VLOOKUP(V244,'G-7 Rivers Data'!$AA$4:$AB$7,2,FALSE)))</f>
        <v/>
      </c>
      <c r="X244" s="155"/>
      <c r="Y244" s="499" t="str">
        <f>IF(X244="","",IF(VLOOKUP(X244,'G-7 Rivers Data'!$AD$4:$AE$8,2,FALSE)=0,"Enrcoachment Data Missing ⚠",VLOOKUP(X244,'G-7 Rivers Data'!$AD$4:$AE$8,2,FALSE)))</f>
        <v/>
      </c>
      <c r="Z244" s="565" t="str">
        <f t="shared" si="24"/>
        <v/>
      </c>
      <c r="AA244" s="149"/>
      <c r="AB244" s="150"/>
      <c r="AH244" s="31" t="str">
        <f>IFERROR(INDEX('G-7 Rivers Data'!$AZ$3:$AZ$7,MATCH(C244,'G-7 Rivers Data'!$AY$3:$AY$7,0)),"")</f>
        <v/>
      </c>
    </row>
    <row r="245" spans="2:34" ht="13.8" x14ac:dyDescent="0.25">
      <c r="B245" s="141">
        <v>234</v>
      </c>
      <c r="C245" s="171"/>
      <c r="D245" s="172"/>
      <c r="E245" s="498" t="str">
        <f>IF(C245="","",VLOOKUP(C245,'G-7 Rivers Data'!$B$2:$G$8,2,FALSE))</f>
        <v/>
      </c>
      <c r="F245" s="499" t="str">
        <f>IFERROR(VLOOKUP(E245,'G-7 Rivers Data'!$C$4:$D$8,2,FALSE),"")</f>
        <v/>
      </c>
      <c r="G245" s="145"/>
      <c r="H245" s="499" t="str">
        <f>IFERROR(INDEX('G-7 Rivers Data'!$H$4:$L$8,MATCH(C245,'G-7 Rivers Data'!$B$4:$B$8,0),MATCH(G245,'G-7 Rivers Data'!$H$3:$L$3,0)),"")</f>
        <v/>
      </c>
      <c r="I245" s="154"/>
      <c r="J245" s="507" t="str">
        <f>IF(I245="","",IF(VLOOKUP(I245,'G-7 Rivers Data'!$AG$4:$AI$9,2,FALSE)=0,"Spatial Data Missing ⚠",VLOOKUP(I245,'G-7 Rivers Data'!$AG$4:$AI$9,2,FALSE)))</f>
        <v/>
      </c>
      <c r="K245" s="499" t="str">
        <f>IF(I245="","",IF(VLOOKUP(I245,'G-7 Rivers Data'!$AG$4:$AI$9,3,FALSE)=0,"Spatial Data Missing ⚠",VLOOKUP(I245,'G-7 Rivers Data'!$AG$4:$AI$9,3,FALSE)))</f>
        <v/>
      </c>
      <c r="L245" s="498" t="str">
        <f>IFERROR(INDEX('G-7 Rivers Data'!$O$3:$O$7,MATCH(G245,'G-7 Rivers Data'!$N$3:$N$7,0)),"")</f>
        <v/>
      </c>
      <c r="M245" s="82"/>
      <c r="N245" s="195"/>
      <c r="O245" s="507" t="str">
        <f t="shared" si="19"/>
        <v/>
      </c>
      <c r="P245" s="521" t="str">
        <f t="shared" si="20"/>
        <v/>
      </c>
      <c r="Q245" s="564" t="str">
        <f>IFERROR(IF(P245="Check Data ⚠","Check Data ⚠",VLOOKUP(P245,'G-4 Temporal multipliers'!$A$4:$C$37,3,FALSE)),"")</f>
        <v/>
      </c>
      <c r="R245" s="498" t="str">
        <f>IF(C245="","",VLOOKUP(C245,'G-7 Rivers Data'!$B$4:$G$8,4,FALSE))</f>
        <v/>
      </c>
      <c r="S245" s="507" t="str">
        <f t="shared" si="21"/>
        <v/>
      </c>
      <c r="T245" s="540" t="str">
        <f t="shared" si="22"/>
        <v/>
      </c>
      <c r="U245" s="499" t="str">
        <f t="shared" si="23"/>
        <v/>
      </c>
      <c r="V245" s="71"/>
      <c r="W245" s="499" t="str">
        <f>IF(V245="","",IF(VLOOKUP(V245,'G-7 Rivers Data'!$AA$4:$AB$7,2,FALSE)=0,"Spatial Data Missing ⚠",VLOOKUP(V245,'G-7 Rivers Data'!$AA$4:$AB$7,2,FALSE)))</f>
        <v/>
      </c>
      <c r="X245" s="155"/>
      <c r="Y245" s="499" t="str">
        <f>IF(X245="","",IF(VLOOKUP(X245,'G-7 Rivers Data'!$AD$4:$AE$8,2,FALSE)=0,"Enrcoachment Data Missing ⚠",VLOOKUP(X245,'G-7 Rivers Data'!$AD$4:$AE$8,2,FALSE)))</f>
        <v/>
      </c>
      <c r="Z245" s="565" t="str">
        <f t="shared" si="24"/>
        <v/>
      </c>
      <c r="AA245" s="149"/>
      <c r="AB245" s="150"/>
      <c r="AH245" s="31" t="str">
        <f>IFERROR(INDEX('G-7 Rivers Data'!$AZ$3:$AZ$7,MATCH(C245,'G-7 Rivers Data'!$AY$3:$AY$7,0)),"")</f>
        <v/>
      </c>
    </row>
    <row r="246" spans="2:34" ht="13.8" x14ac:dyDescent="0.25">
      <c r="B246" s="141">
        <v>235</v>
      </c>
      <c r="C246" s="171"/>
      <c r="D246" s="172"/>
      <c r="E246" s="498" t="str">
        <f>IF(C246="","",VLOOKUP(C246,'G-7 Rivers Data'!$B$2:$G$8,2,FALSE))</f>
        <v/>
      </c>
      <c r="F246" s="499" t="str">
        <f>IFERROR(VLOOKUP(E246,'G-7 Rivers Data'!$C$4:$D$8,2,FALSE),"")</f>
        <v/>
      </c>
      <c r="G246" s="145"/>
      <c r="H246" s="499" t="str">
        <f>IFERROR(INDEX('G-7 Rivers Data'!$H$4:$L$8,MATCH(C246,'G-7 Rivers Data'!$B$4:$B$8,0),MATCH(G246,'G-7 Rivers Data'!$H$3:$L$3,0)),"")</f>
        <v/>
      </c>
      <c r="I246" s="154"/>
      <c r="J246" s="507" t="str">
        <f>IF(I246="","",IF(VLOOKUP(I246,'G-7 Rivers Data'!$AG$4:$AI$9,2,FALSE)=0,"Spatial Data Missing ⚠",VLOOKUP(I246,'G-7 Rivers Data'!$AG$4:$AI$9,2,FALSE)))</f>
        <v/>
      </c>
      <c r="K246" s="499" t="str">
        <f>IF(I246="","",IF(VLOOKUP(I246,'G-7 Rivers Data'!$AG$4:$AI$9,3,FALSE)=0,"Spatial Data Missing ⚠",VLOOKUP(I246,'G-7 Rivers Data'!$AG$4:$AI$9,3,FALSE)))</f>
        <v/>
      </c>
      <c r="L246" s="498" t="str">
        <f>IFERROR(INDEX('G-7 Rivers Data'!$O$3:$O$7,MATCH(G246,'G-7 Rivers Data'!$N$3:$N$7,0)),"")</f>
        <v/>
      </c>
      <c r="M246" s="82"/>
      <c r="N246" s="195"/>
      <c r="O246" s="507" t="str">
        <f t="shared" si="19"/>
        <v/>
      </c>
      <c r="P246" s="521" t="str">
        <f t="shared" si="20"/>
        <v/>
      </c>
      <c r="Q246" s="564" t="str">
        <f>IFERROR(IF(P246="Check Data ⚠","Check Data ⚠",VLOOKUP(P246,'G-4 Temporal multipliers'!$A$4:$C$37,3,FALSE)),"")</f>
        <v/>
      </c>
      <c r="R246" s="498" t="str">
        <f>IF(C246="","",VLOOKUP(C246,'G-7 Rivers Data'!$B$4:$G$8,4,FALSE))</f>
        <v/>
      </c>
      <c r="S246" s="507" t="str">
        <f t="shared" si="21"/>
        <v/>
      </c>
      <c r="T246" s="540" t="str">
        <f t="shared" si="22"/>
        <v/>
      </c>
      <c r="U246" s="499" t="str">
        <f t="shared" si="23"/>
        <v/>
      </c>
      <c r="V246" s="71"/>
      <c r="W246" s="499" t="str">
        <f>IF(V246="","",IF(VLOOKUP(V246,'G-7 Rivers Data'!$AA$4:$AB$7,2,FALSE)=0,"Spatial Data Missing ⚠",VLOOKUP(V246,'G-7 Rivers Data'!$AA$4:$AB$7,2,FALSE)))</f>
        <v/>
      </c>
      <c r="X246" s="155"/>
      <c r="Y246" s="499" t="str">
        <f>IF(X246="","",IF(VLOOKUP(X246,'G-7 Rivers Data'!$AD$4:$AE$8,2,FALSE)=0,"Enrcoachment Data Missing ⚠",VLOOKUP(X246,'G-7 Rivers Data'!$AD$4:$AE$8,2,FALSE)))</f>
        <v/>
      </c>
      <c r="Z246" s="565" t="str">
        <f t="shared" si="24"/>
        <v/>
      </c>
      <c r="AA246" s="149"/>
      <c r="AB246" s="150"/>
      <c r="AH246" s="31" t="str">
        <f>IFERROR(INDEX('G-7 Rivers Data'!$AZ$3:$AZ$7,MATCH(C246,'G-7 Rivers Data'!$AY$3:$AY$7,0)),"")</f>
        <v/>
      </c>
    </row>
    <row r="247" spans="2:34" ht="13.8" x14ac:dyDescent="0.25">
      <c r="B247" s="141">
        <v>236</v>
      </c>
      <c r="C247" s="171"/>
      <c r="D247" s="172"/>
      <c r="E247" s="498" t="str">
        <f>IF(C247="","",VLOOKUP(C247,'G-7 Rivers Data'!$B$2:$G$8,2,FALSE))</f>
        <v/>
      </c>
      <c r="F247" s="499" t="str">
        <f>IFERROR(VLOOKUP(E247,'G-7 Rivers Data'!$C$4:$D$8,2,FALSE),"")</f>
        <v/>
      </c>
      <c r="G247" s="145"/>
      <c r="H247" s="499" t="str">
        <f>IFERROR(INDEX('G-7 Rivers Data'!$H$4:$L$8,MATCH(C247,'G-7 Rivers Data'!$B$4:$B$8,0),MATCH(G247,'G-7 Rivers Data'!$H$3:$L$3,0)),"")</f>
        <v/>
      </c>
      <c r="I247" s="154"/>
      <c r="J247" s="507" t="str">
        <f>IF(I247="","",IF(VLOOKUP(I247,'G-7 Rivers Data'!$AG$4:$AI$9,2,FALSE)=0,"Spatial Data Missing ⚠",VLOOKUP(I247,'G-7 Rivers Data'!$AG$4:$AI$9,2,FALSE)))</f>
        <v/>
      </c>
      <c r="K247" s="499" t="str">
        <f>IF(I247="","",IF(VLOOKUP(I247,'G-7 Rivers Data'!$AG$4:$AI$9,3,FALSE)=0,"Spatial Data Missing ⚠",VLOOKUP(I247,'G-7 Rivers Data'!$AG$4:$AI$9,3,FALSE)))</f>
        <v/>
      </c>
      <c r="L247" s="498" t="str">
        <f>IFERROR(INDEX('G-7 Rivers Data'!$O$3:$O$7,MATCH(G247,'G-7 Rivers Data'!$N$3:$N$7,0)),"")</f>
        <v/>
      </c>
      <c r="M247" s="82"/>
      <c r="N247" s="195"/>
      <c r="O247" s="507" t="str">
        <f t="shared" si="19"/>
        <v/>
      </c>
      <c r="P247" s="521" t="str">
        <f t="shared" si="20"/>
        <v/>
      </c>
      <c r="Q247" s="564" t="str">
        <f>IFERROR(IF(P247="Check Data ⚠","Check Data ⚠",VLOOKUP(P247,'G-4 Temporal multipliers'!$A$4:$C$37,3,FALSE)),"")</f>
        <v/>
      </c>
      <c r="R247" s="498" t="str">
        <f>IF(C247="","",VLOOKUP(C247,'G-7 Rivers Data'!$B$4:$G$8,4,FALSE))</f>
        <v/>
      </c>
      <c r="S247" s="507" t="str">
        <f t="shared" si="21"/>
        <v/>
      </c>
      <c r="T247" s="540" t="str">
        <f t="shared" si="22"/>
        <v/>
      </c>
      <c r="U247" s="499" t="str">
        <f t="shared" si="23"/>
        <v/>
      </c>
      <c r="V247" s="71"/>
      <c r="W247" s="499" t="str">
        <f>IF(V247="","",IF(VLOOKUP(V247,'G-7 Rivers Data'!$AA$4:$AB$7,2,FALSE)=0,"Spatial Data Missing ⚠",VLOOKUP(V247,'G-7 Rivers Data'!$AA$4:$AB$7,2,FALSE)))</f>
        <v/>
      </c>
      <c r="X247" s="155"/>
      <c r="Y247" s="499" t="str">
        <f>IF(X247="","",IF(VLOOKUP(X247,'G-7 Rivers Data'!$AD$4:$AE$8,2,FALSE)=0,"Enrcoachment Data Missing ⚠",VLOOKUP(X247,'G-7 Rivers Data'!$AD$4:$AE$8,2,FALSE)))</f>
        <v/>
      </c>
      <c r="Z247" s="565" t="str">
        <f t="shared" si="24"/>
        <v/>
      </c>
      <c r="AA247" s="149"/>
      <c r="AB247" s="150"/>
      <c r="AH247" s="31" t="str">
        <f>IFERROR(INDEX('G-7 Rivers Data'!$AZ$3:$AZ$7,MATCH(C247,'G-7 Rivers Data'!$AY$3:$AY$7,0)),"")</f>
        <v/>
      </c>
    </row>
    <row r="248" spans="2:34" ht="13.8" x14ac:dyDescent="0.25">
      <c r="B248" s="141">
        <v>237</v>
      </c>
      <c r="C248" s="171"/>
      <c r="D248" s="172"/>
      <c r="E248" s="498" t="str">
        <f>IF(C248="","",VLOOKUP(C248,'G-7 Rivers Data'!$B$2:$G$8,2,FALSE))</f>
        <v/>
      </c>
      <c r="F248" s="499" t="str">
        <f>IFERROR(VLOOKUP(E248,'G-7 Rivers Data'!$C$4:$D$8,2,FALSE),"")</f>
        <v/>
      </c>
      <c r="G248" s="145"/>
      <c r="H248" s="499" t="str">
        <f>IFERROR(INDEX('G-7 Rivers Data'!$H$4:$L$8,MATCH(C248,'G-7 Rivers Data'!$B$4:$B$8,0),MATCH(G248,'G-7 Rivers Data'!$H$3:$L$3,0)),"")</f>
        <v/>
      </c>
      <c r="I248" s="154"/>
      <c r="J248" s="507" t="str">
        <f>IF(I248="","",IF(VLOOKUP(I248,'G-7 Rivers Data'!$AG$4:$AI$9,2,FALSE)=0,"Spatial Data Missing ⚠",VLOOKUP(I248,'G-7 Rivers Data'!$AG$4:$AI$9,2,FALSE)))</f>
        <v/>
      </c>
      <c r="K248" s="499" t="str">
        <f>IF(I248="","",IF(VLOOKUP(I248,'G-7 Rivers Data'!$AG$4:$AI$9,3,FALSE)=0,"Spatial Data Missing ⚠",VLOOKUP(I248,'G-7 Rivers Data'!$AG$4:$AI$9,3,FALSE)))</f>
        <v/>
      </c>
      <c r="L248" s="498" t="str">
        <f>IFERROR(INDEX('G-7 Rivers Data'!$O$3:$O$7,MATCH(G248,'G-7 Rivers Data'!$N$3:$N$7,0)),"")</f>
        <v/>
      </c>
      <c r="M248" s="82"/>
      <c r="N248" s="195"/>
      <c r="O248" s="507" t="str">
        <f t="shared" si="19"/>
        <v/>
      </c>
      <c r="P248" s="521" t="str">
        <f t="shared" si="20"/>
        <v/>
      </c>
      <c r="Q248" s="564" t="str">
        <f>IFERROR(IF(P248="Check Data ⚠","Check Data ⚠",VLOOKUP(P248,'G-4 Temporal multipliers'!$A$4:$C$37,3,FALSE)),"")</f>
        <v/>
      </c>
      <c r="R248" s="498" t="str">
        <f>IF(C248="","",VLOOKUP(C248,'G-7 Rivers Data'!$B$4:$G$8,4,FALSE))</f>
        <v/>
      </c>
      <c r="S248" s="507" t="str">
        <f t="shared" si="21"/>
        <v/>
      </c>
      <c r="T248" s="540" t="str">
        <f t="shared" si="22"/>
        <v/>
      </c>
      <c r="U248" s="499" t="str">
        <f t="shared" si="23"/>
        <v/>
      </c>
      <c r="V248" s="71"/>
      <c r="W248" s="499" t="str">
        <f>IF(V248="","",IF(VLOOKUP(V248,'G-7 Rivers Data'!$AA$4:$AB$7,2,FALSE)=0,"Spatial Data Missing ⚠",VLOOKUP(V248,'G-7 Rivers Data'!$AA$4:$AB$7,2,FALSE)))</f>
        <v/>
      </c>
      <c r="X248" s="155"/>
      <c r="Y248" s="499" t="str">
        <f>IF(X248="","",IF(VLOOKUP(X248,'G-7 Rivers Data'!$AD$4:$AE$8,2,FALSE)=0,"Enrcoachment Data Missing ⚠",VLOOKUP(X248,'G-7 Rivers Data'!$AD$4:$AE$8,2,FALSE)))</f>
        <v/>
      </c>
      <c r="Z248" s="565" t="str">
        <f t="shared" si="24"/>
        <v/>
      </c>
      <c r="AA248" s="149"/>
      <c r="AB248" s="150"/>
      <c r="AH248" s="31" t="str">
        <f>IFERROR(INDEX('G-7 Rivers Data'!$AZ$3:$AZ$7,MATCH(C248,'G-7 Rivers Data'!$AY$3:$AY$7,0)),"")</f>
        <v/>
      </c>
    </row>
    <row r="249" spans="2:34" ht="13.8" x14ac:dyDescent="0.25">
      <c r="B249" s="141">
        <v>238</v>
      </c>
      <c r="C249" s="171"/>
      <c r="D249" s="172"/>
      <c r="E249" s="498" t="str">
        <f>IF(C249="","",VLOOKUP(C249,'G-7 Rivers Data'!$B$2:$G$8,2,FALSE))</f>
        <v/>
      </c>
      <c r="F249" s="499" t="str">
        <f>IFERROR(VLOOKUP(E249,'G-7 Rivers Data'!$C$4:$D$8,2,FALSE),"")</f>
        <v/>
      </c>
      <c r="G249" s="145"/>
      <c r="H249" s="499" t="str">
        <f>IFERROR(INDEX('G-7 Rivers Data'!$H$4:$L$8,MATCH(C249,'G-7 Rivers Data'!$B$4:$B$8,0),MATCH(G249,'G-7 Rivers Data'!$H$3:$L$3,0)),"")</f>
        <v/>
      </c>
      <c r="I249" s="154"/>
      <c r="J249" s="507" t="str">
        <f>IF(I249="","",IF(VLOOKUP(I249,'G-7 Rivers Data'!$AG$4:$AI$9,2,FALSE)=0,"Spatial Data Missing ⚠",VLOOKUP(I249,'G-7 Rivers Data'!$AG$4:$AI$9,2,FALSE)))</f>
        <v/>
      </c>
      <c r="K249" s="499" t="str">
        <f>IF(I249="","",IF(VLOOKUP(I249,'G-7 Rivers Data'!$AG$4:$AI$9,3,FALSE)=0,"Spatial Data Missing ⚠",VLOOKUP(I249,'G-7 Rivers Data'!$AG$4:$AI$9,3,FALSE)))</f>
        <v/>
      </c>
      <c r="L249" s="498" t="str">
        <f>IFERROR(INDEX('G-7 Rivers Data'!$O$3:$O$7,MATCH(G249,'G-7 Rivers Data'!$N$3:$N$7,0)),"")</f>
        <v/>
      </c>
      <c r="M249" s="82"/>
      <c r="N249" s="195"/>
      <c r="O249" s="507" t="str">
        <f t="shared" si="19"/>
        <v/>
      </c>
      <c r="P249" s="521" t="str">
        <f t="shared" si="20"/>
        <v/>
      </c>
      <c r="Q249" s="564" t="str">
        <f>IFERROR(IF(P249="Check Data ⚠","Check Data ⚠",VLOOKUP(P249,'G-4 Temporal multipliers'!$A$4:$C$37,3,FALSE)),"")</f>
        <v/>
      </c>
      <c r="R249" s="498" t="str">
        <f>IF(C249="","",VLOOKUP(C249,'G-7 Rivers Data'!$B$4:$G$8,4,FALSE))</f>
        <v/>
      </c>
      <c r="S249" s="507" t="str">
        <f t="shared" si="21"/>
        <v/>
      </c>
      <c r="T249" s="540" t="str">
        <f t="shared" si="22"/>
        <v/>
      </c>
      <c r="U249" s="499" t="str">
        <f t="shared" si="23"/>
        <v/>
      </c>
      <c r="V249" s="71"/>
      <c r="W249" s="499" t="str">
        <f>IF(V249="","",IF(VLOOKUP(V249,'G-7 Rivers Data'!$AA$4:$AB$7,2,FALSE)=0,"Spatial Data Missing ⚠",VLOOKUP(V249,'G-7 Rivers Data'!$AA$4:$AB$7,2,FALSE)))</f>
        <v/>
      </c>
      <c r="X249" s="155"/>
      <c r="Y249" s="499" t="str">
        <f>IF(X249="","",IF(VLOOKUP(X249,'G-7 Rivers Data'!$AD$4:$AE$8,2,FALSE)=0,"Enrcoachment Data Missing ⚠",VLOOKUP(X249,'G-7 Rivers Data'!$AD$4:$AE$8,2,FALSE)))</f>
        <v/>
      </c>
      <c r="Z249" s="565" t="str">
        <f t="shared" si="24"/>
        <v/>
      </c>
      <c r="AA249" s="149"/>
      <c r="AB249" s="150"/>
      <c r="AH249" s="31" t="str">
        <f>IFERROR(INDEX('G-7 Rivers Data'!$AZ$3:$AZ$7,MATCH(C249,'G-7 Rivers Data'!$AY$3:$AY$7,0)),"")</f>
        <v/>
      </c>
    </row>
    <row r="250" spans="2:34" ht="13.8" x14ac:dyDescent="0.25">
      <c r="B250" s="141">
        <v>239</v>
      </c>
      <c r="C250" s="171"/>
      <c r="D250" s="172"/>
      <c r="E250" s="498" t="str">
        <f>IF(C250="","",VLOOKUP(C250,'G-7 Rivers Data'!$B$2:$G$8,2,FALSE))</f>
        <v/>
      </c>
      <c r="F250" s="499" t="str">
        <f>IFERROR(VLOOKUP(E250,'G-7 Rivers Data'!$C$4:$D$8,2,FALSE),"")</f>
        <v/>
      </c>
      <c r="G250" s="145"/>
      <c r="H250" s="499" t="str">
        <f>IFERROR(INDEX('G-7 Rivers Data'!$H$4:$L$8,MATCH(C250,'G-7 Rivers Data'!$B$4:$B$8,0),MATCH(G250,'G-7 Rivers Data'!$H$3:$L$3,0)),"")</f>
        <v/>
      </c>
      <c r="I250" s="154"/>
      <c r="J250" s="507" t="str">
        <f>IF(I250="","",IF(VLOOKUP(I250,'G-7 Rivers Data'!$AG$4:$AI$9,2,FALSE)=0,"Spatial Data Missing ⚠",VLOOKUP(I250,'G-7 Rivers Data'!$AG$4:$AI$9,2,FALSE)))</f>
        <v/>
      </c>
      <c r="K250" s="499" t="str">
        <f>IF(I250="","",IF(VLOOKUP(I250,'G-7 Rivers Data'!$AG$4:$AI$9,3,FALSE)=0,"Spatial Data Missing ⚠",VLOOKUP(I250,'G-7 Rivers Data'!$AG$4:$AI$9,3,FALSE)))</f>
        <v/>
      </c>
      <c r="L250" s="498" t="str">
        <f>IFERROR(INDEX('G-7 Rivers Data'!$O$3:$O$7,MATCH(G250,'G-7 Rivers Data'!$N$3:$N$7,0)),"")</f>
        <v/>
      </c>
      <c r="M250" s="82"/>
      <c r="N250" s="195"/>
      <c r="O250" s="507" t="str">
        <f t="shared" si="19"/>
        <v/>
      </c>
      <c r="P250" s="521" t="str">
        <f t="shared" si="20"/>
        <v/>
      </c>
      <c r="Q250" s="564" t="str">
        <f>IFERROR(IF(P250="Check Data ⚠","Check Data ⚠",VLOOKUP(P250,'G-4 Temporal multipliers'!$A$4:$C$37,3,FALSE)),"")</f>
        <v/>
      </c>
      <c r="R250" s="498" t="str">
        <f>IF(C250="","",VLOOKUP(C250,'G-7 Rivers Data'!$B$4:$G$8,4,FALSE))</f>
        <v/>
      </c>
      <c r="S250" s="507" t="str">
        <f t="shared" si="21"/>
        <v/>
      </c>
      <c r="T250" s="540" t="str">
        <f t="shared" si="22"/>
        <v/>
      </c>
      <c r="U250" s="499" t="str">
        <f t="shared" si="23"/>
        <v/>
      </c>
      <c r="V250" s="71"/>
      <c r="W250" s="499" t="str">
        <f>IF(V250="","",IF(VLOOKUP(V250,'G-7 Rivers Data'!$AA$4:$AB$7,2,FALSE)=0,"Spatial Data Missing ⚠",VLOOKUP(V250,'G-7 Rivers Data'!$AA$4:$AB$7,2,FALSE)))</f>
        <v/>
      </c>
      <c r="X250" s="155"/>
      <c r="Y250" s="499" t="str">
        <f>IF(X250="","",IF(VLOOKUP(X250,'G-7 Rivers Data'!$AD$4:$AE$8,2,FALSE)=0,"Enrcoachment Data Missing ⚠",VLOOKUP(X250,'G-7 Rivers Data'!$AD$4:$AE$8,2,FALSE)))</f>
        <v/>
      </c>
      <c r="Z250" s="565" t="str">
        <f t="shared" si="24"/>
        <v/>
      </c>
      <c r="AA250" s="149"/>
      <c r="AB250" s="150"/>
      <c r="AH250" s="31" t="str">
        <f>IFERROR(INDEX('G-7 Rivers Data'!$AZ$3:$AZ$7,MATCH(C250,'G-7 Rivers Data'!$AY$3:$AY$7,0)),"")</f>
        <v/>
      </c>
    </row>
    <row r="251" spans="2:34" ht="13.8" x14ac:dyDescent="0.25">
      <c r="B251" s="141">
        <v>240</v>
      </c>
      <c r="C251" s="171"/>
      <c r="D251" s="172"/>
      <c r="E251" s="498" t="str">
        <f>IF(C251="","",VLOOKUP(C251,'G-7 Rivers Data'!$B$2:$G$8,2,FALSE))</f>
        <v/>
      </c>
      <c r="F251" s="499" t="str">
        <f>IFERROR(VLOOKUP(E251,'G-7 Rivers Data'!$C$4:$D$8,2,FALSE),"")</f>
        <v/>
      </c>
      <c r="G251" s="145"/>
      <c r="H251" s="499" t="str">
        <f>IFERROR(INDEX('G-7 Rivers Data'!$H$4:$L$8,MATCH(C251,'G-7 Rivers Data'!$B$4:$B$8,0),MATCH(G251,'G-7 Rivers Data'!$H$3:$L$3,0)),"")</f>
        <v/>
      </c>
      <c r="I251" s="154"/>
      <c r="J251" s="507" t="str">
        <f>IF(I251="","",IF(VLOOKUP(I251,'G-7 Rivers Data'!$AG$4:$AI$9,2,FALSE)=0,"Spatial Data Missing ⚠",VLOOKUP(I251,'G-7 Rivers Data'!$AG$4:$AI$9,2,FALSE)))</f>
        <v/>
      </c>
      <c r="K251" s="499" t="str">
        <f>IF(I251="","",IF(VLOOKUP(I251,'G-7 Rivers Data'!$AG$4:$AI$9,3,FALSE)=0,"Spatial Data Missing ⚠",VLOOKUP(I251,'G-7 Rivers Data'!$AG$4:$AI$9,3,FALSE)))</f>
        <v/>
      </c>
      <c r="L251" s="498" t="str">
        <f>IFERROR(INDEX('G-7 Rivers Data'!$O$3:$O$7,MATCH(G251,'G-7 Rivers Data'!$N$3:$N$7,0)),"")</f>
        <v/>
      </c>
      <c r="M251" s="82"/>
      <c r="N251" s="195"/>
      <c r="O251" s="507" t="str">
        <f t="shared" si="19"/>
        <v/>
      </c>
      <c r="P251" s="521" t="str">
        <f t="shared" si="20"/>
        <v/>
      </c>
      <c r="Q251" s="564" t="str">
        <f>IFERROR(IF(P251="Check Data ⚠","Check Data ⚠",VLOOKUP(P251,'G-4 Temporal multipliers'!$A$4:$C$37,3,FALSE)),"")</f>
        <v/>
      </c>
      <c r="R251" s="498" t="str">
        <f>IF(C251="","",VLOOKUP(C251,'G-7 Rivers Data'!$B$4:$G$8,4,FALSE))</f>
        <v/>
      </c>
      <c r="S251" s="507" t="str">
        <f t="shared" si="21"/>
        <v/>
      </c>
      <c r="T251" s="540" t="str">
        <f t="shared" si="22"/>
        <v/>
      </c>
      <c r="U251" s="499" t="str">
        <f t="shared" si="23"/>
        <v/>
      </c>
      <c r="V251" s="71"/>
      <c r="W251" s="499" t="str">
        <f>IF(V251="","",IF(VLOOKUP(V251,'G-7 Rivers Data'!$AA$4:$AB$7,2,FALSE)=0,"Spatial Data Missing ⚠",VLOOKUP(V251,'G-7 Rivers Data'!$AA$4:$AB$7,2,FALSE)))</f>
        <v/>
      </c>
      <c r="X251" s="155"/>
      <c r="Y251" s="499" t="str">
        <f>IF(X251="","",IF(VLOOKUP(X251,'G-7 Rivers Data'!$AD$4:$AE$8,2,FALSE)=0,"Enrcoachment Data Missing ⚠",VLOOKUP(X251,'G-7 Rivers Data'!$AD$4:$AE$8,2,FALSE)))</f>
        <v/>
      </c>
      <c r="Z251" s="565" t="str">
        <f t="shared" si="24"/>
        <v/>
      </c>
      <c r="AA251" s="149"/>
      <c r="AB251" s="150"/>
      <c r="AH251" s="31" t="str">
        <f>IFERROR(INDEX('G-7 Rivers Data'!$AZ$3:$AZ$7,MATCH(C251,'G-7 Rivers Data'!$AY$3:$AY$7,0)),"")</f>
        <v/>
      </c>
    </row>
    <row r="252" spans="2:34" ht="13.8" x14ac:dyDescent="0.25">
      <c r="B252" s="141">
        <v>241</v>
      </c>
      <c r="C252" s="171"/>
      <c r="D252" s="172"/>
      <c r="E252" s="498" t="str">
        <f>IF(C252="","",VLOOKUP(C252,'G-7 Rivers Data'!$B$2:$G$8,2,FALSE))</f>
        <v/>
      </c>
      <c r="F252" s="499" t="str">
        <f>IFERROR(VLOOKUP(E252,'G-7 Rivers Data'!$C$4:$D$8,2,FALSE),"")</f>
        <v/>
      </c>
      <c r="G252" s="145"/>
      <c r="H252" s="499" t="str">
        <f>IFERROR(INDEX('G-7 Rivers Data'!$H$4:$L$8,MATCH(C252,'G-7 Rivers Data'!$B$4:$B$8,0),MATCH(G252,'G-7 Rivers Data'!$H$3:$L$3,0)),"")</f>
        <v/>
      </c>
      <c r="I252" s="154"/>
      <c r="J252" s="507" t="str">
        <f>IF(I252="","",IF(VLOOKUP(I252,'G-7 Rivers Data'!$AG$4:$AI$9,2,FALSE)=0,"Spatial Data Missing ⚠",VLOOKUP(I252,'G-7 Rivers Data'!$AG$4:$AI$9,2,FALSE)))</f>
        <v/>
      </c>
      <c r="K252" s="499" t="str">
        <f>IF(I252="","",IF(VLOOKUP(I252,'G-7 Rivers Data'!$AG$4:$AI$9,3,FALSE)=0,"Spatial Data Missing ⚠",VLOOKUP(I252,'G-7 Rivers Data'!$AG$4:$AI$9,3,FALSE)))</f>
        <v/>
      </c>
      <c r="L252" s="498" t="str">
        <f>IFERROR(INDEX('G-7 Rivers Data'!$O$3:$O$7,MATCH(G252,'G-7 Rivers Data'!$N$3:$N$7,0)),"")</f>
        <v/>
      </c>
      <c r="M252" s="82"/>
      <c r="N252" s="195"/>
      <c r="O252" s="507" t="str">
        <f t="shared" si="19"/>
        <v/>
      </c>
      <c r="P252" s="521" t="str">
        <f t="shared" si="20"/>
        <v/>
      </c>
      <c r="Q252" s="564" t="str">
        <f>IFERROR(IF(P252="Check Data ⚠","Check Data ⚠",VLOOKUP(P252,'G-4 Temporal multipliers'!$A$4:$C$37,3,FALSE)),"")</f>
        <v/>
      </c>
      <c r="R252" s="498" t="str">
        <f>IF(C252="","",VLOOKUP(C252,'G-7 Rivers Data'!$B$4:$G$8,4,FALSE))</f>
        <v/>
      </c>
      <c r="S252" s="507" t="str">
        <f t="shared" si="21"/>
        <v/>
      </c>
      <c r="T252" s="540" t="str">
        <f t="shared" si="22"/>
        <v/>
      </c>
      <c r="U252" s="499" t="str">
        <f t="shared" si="23"/>
        <v/>
      </c>
      <c r="V252" s="71"/>
      <c r="W252" s="499" t="str">
        <f>IF(V252="","",IF(VLOOKUP(V252,'G-7 Rivers Data'!$AA$4:$AB$7,2,FALSE)=0,"Spatial Data Missing ⚠",VLOOKUP(V252,'G-7 Rivers Data'!$AA$4:$AB$7,2,FALSE)))</f>
        <v/>
      </c>
      <c r="X252" s="155"/>
      <c r="Y252" s="499" t="str">
        <f>IF(X252="","",IF(VLOOKUP(X252,'G-7 Rivers Data'!$AD$4:$AE$8,2,FALSE)=0,"Enrcoachment Data Missing ⚠",VLOOKUP(X252,'G-7 Rivers Data'!$AD$4:$AE$8,2,FALSE)))</f>
        <v/>
      </c>
      <c r="Z252" s="565" t="str">
        <f t="shared" si="24"/>
        <v/>
      </c>
      <c r="AA252" s="149"/>
      <c r="AB252" s="150"/>
      <c r="AH252" s="31" t="str">
        <f>IFERROR(INDEX('G-7 Rivers Data'!$AZ$3:$AZ$7,MATCH(C252,'G-7 Rivers Data'!$AY$3:$AY$7,0)),"")</f>
        <v/>
      </c>
    </row>
    <row r="253" spans="2:34" ht="13.8" x14ac:dyDescent="0.25">
      <c r="B253" s="141">
        <v>242</v>
      </c>
      <c r="C253" s="171"/>
      <c r="D253" s="172"/>
      <c r="E253" s="498" t="str">
        <f>IF(C253="","",VLOOKUP(C253,'G-7 Rivers Data'!$B$2:$G$8,2,FALSE))</f>
        <v/>
      </c>
      <c r="F253" s="499" t="str">
        <f>IFERROR(VLOOKUP(E253,'G-7 Rivers Data'!$C$4:$D$8,2,FALSE),"")</f>
        <v/>
      </c>
      <c r="G253" s="145"/>
      <c r="H253" s="499" t="str">
        <f>IFERROR(INDEX('G-7 Rivers Data'!$H$4:$L$8,MATCH(C253,'G-7 Rivers Data'!$B$4:$B$8,0),MATCH(G253,'G-7 Rivers Data'!$H$3:$L$3,0)),"")</f>
        <v/>
      </c>
      <c r="I253" s="154"/>
      <c r="J253" s="507" t="str">
        <f>IF(I253="","",IF(VLOOKUP(I253,'G-7 Rivers Data'!$AG$4:$AI$9,2,FALSE)=0,"Spatial Data Missing ⚠",VLOOKUP(I253,'G-7 Rivers Data'!$AG$4:$AI$9,2,FALSE)))</f>
        <v/>
      </c>
      <c r="K253" s="499" t="str">
        <f>IF(I253="","",IF(VLOOKUP(I253,'G-7 Rivers Data'!$AG$4:$AI$9,3,FALSE)=0,"Spatial Data Missing ⚠",VLOOKUP(I253,'G-7 Rivers Data'!$AG$4:$AI$9,3,FALSE)))</f>
        <v/>
      </c>
      <c r="L253" s="498" t="str">
        <f>IFERROR(INDEX('G-7 Rivers Data'!$O$3:$O$7,MATCH(G253,'G-7 Rivers Data'!$N$3:$N$7,0)),"")</f>
        <v/>
      </c>
      <c r="M253" s="82"/>
      <c r="N253" s="195"/>
      <c r="O253" s="507" t="str">
        <f t="shared" si="19"/>
        <v/>
      </c>
      <c r="P253" s="521" t="str">
        <f t="shared" si="20"/>
        <v/>
      </c>
      <c r="Q253" s="564" t="str">
        <f>IFERROR(IF(P253="Check Data ⚠","Check Data ⚠",VLOOKUP(P253,'G-4 Temporal multipliers'!$A$4:$C$37,3,FALSE)),"")</f>
        <v/>
      </c>
      <c r="R253" s="498" t="str">
        <f>IF(C253="","",VLOOKUP(C253,'G-7 Rivers Data'!$B$4:$G$8,4,FALSE))</f>
        <v/>
      </c>
      <c r="S253" s="507" t="str">
        <f t="shared" si="21"/>
        <v/>
      </c>
      <c r="T253" s="540" t="str">
        <f t="shared" si="22"/>
        <v/>
      </c>
      <c r="U253" s="499" t="str">
        <f t="shared" si="23"/>
        <v/>
      </c>
      <c r="V253" s="71"/>
      <c r="W253" s="499" t="str">
        <f>IF(V253="","",IF(VLOOKUP(V253,'G-7 Rivers Data'!$AA$4:$AB$7,2,FALSE)=0,"Spatial Data Missing ⚠",VLOOKUP(V253,'G-7 Rivers Data'!$AA$4:$AB$7,2,FALSE)))</f>
        <v/>
      </c>
      <c r="X253" s="155"/>
      <c r="Y253" s="499" t="str">
        <f>IF(X253="","",IF(VLOOKUP(X253,'G-7 Rivers Data'!$AD$4:$AE$8,2,FALSE)=0,"Enrcoachment Data Missing ⚠",VLOOKUP(X253,'G-7 Rivers Data'!$AD$4:$AE$8,2,FALSE)))</f>
        <v/>
      </c>
      <c r="Z253" s="565" t="str">
        <f t="shared" si="24"/>
        <v/>
      </c>
      <c r="AA253" s="149"/>
      <c r="AB253" s="150"/>
      <c r="AH253" s="31" t="str">
        <f>IFERROR(INDEX('G-7 Rivers Data'!$AZ$3:$AZ$7,MATCH(C253,'G-7 Rivers Data'!$AY$3:$AY$7,0)),"")</f>
        <v/>
      </c>
    </row>
    <row r="254" spans="2:34" ht="13.8" x14ac:dyDescent="0.25">
      <c r="B254" s="141">
        <v>243</v>
      </c>
      <c r="C254" s="171"/>
      <c r="D254" s="172"/>
      <c r="E254" s="498" t="str">
        <f>IF(C254="","",VLOOKUP(C254,'G-7 Rivers Data'!$B$2:$G$8,2,FALSE))</f>
        <v/>
      </c>
      <c r="F254" s="499" t="str">
        <f>IFERROR(VLOOKUP(E254,'G-7 Rivers Data'!$C$4:$D$8,2,FALSE),"")</f>
        <v/>
      </c>
      <c r="G254" s="145"/>
      <c r="H254" s="499" t="str">
        <f>IFERROR(INDEX('G-7 Rivers Data'!$H$4:$L$8,MATCH(C254,'G-7 Rivers Data'!$B$4:$B$8,0),MATCH(G254,'G-7 Rivers Data'!$H$3:$L$3,0)),"")</f>
        <v/>
      </c>
      <c r="I254" s="154"/>
      <c r="J254" s="507" t="str">
        <f>IF(I254="","",IF(VLOOKUP(I254,'G-7 Rivers Data'!$AG$4:$AI$9,2,FALSE)=0,"Spatial Data Missing ⚠",VLOOKUP(I254,'G-7 Rivers Data'!$AG$4:$AI$9,2,FALSE)))</f>
        <v/>
      </c>
      <c r="K254" s="499" t="str">
        <f>IF(I254="","",IF(VLOOKUP(I254,'G-7 Rivers Data'!$AG$4:$AI$9,3,FALSE)=0,"Spatial Data Missing ⚠",VLOOKUP(I254,'G-7 Rivers Data'!$AG$4:$AI$9,3,FALSE)))</f>
        <v/>
      </c>
      <c r="L254" s="498" t="str">
        <f>IFERROR(INDEX('G-7 Rivers Data'!$O$3:$O$7,MATCH(G254,'G-7 Rivers Data'!$N$3:$N$7,0)),"")</f>
        <v/>
      </c>
      <c r="M254" s="82"/>
      <c r="N254" s="195"/>
      <c r="O254" s="507" t="str">
        <f t="shared" si="19"/>
        <v/>
      </c>
      <c r="P254" s="521" t="str">
        <f t="shared" si="20"/>
        <v/>
      </c>
      <c r="Q254" s="564" t="str">
        <f>IFERROR(IF(P254="Check Data ⚠","Check Data ⚠",VLOOKUP(P254,'G-4 Temporal multipliers'!$A$4:$C$37,3,FALSE)),"")</f>
        <v/>
      </c>
      <c r="R254" s="498" t="str">
        <f>IF(C254="","",VLOOKUP(C254,'G-7 Rivers Data'!$B$4:$G$8,4,FALSE))</f>
        <v/>
      </c>
      <c r="S254" s="507" t="str">
        <f t="shared" si="21"/>
        <v/>
      </c>
      <c r="T254" s="540" t="str">
        <f t="shared" si="22"/>
        <v/>
      </c>
      <c r="U254" s="499" t="str">
        <f t="shared" si="23"/>
        <v/>
      </c>
      <c r="V254" s="71"/>
      <c r="W254" s="499" t="str">
        <f>IF(V254="","",IF(VLOOKUP(V254,'G-7 Rivers Data'!$AA$4:$AB$7,2,FALSE)=0,"Spatial Data Missing ⚠",VLOOKUP(V254,'G-7 Rivers Data'!$AA$4:$AB$7,2,FALSE)))</f>
        <v/>
      </c>
      <c r="X254" s="155"/>
      <c r="Y254" s="499" t="str">
        <f>IF(X254="","",IF(VLOOKUP(X254,'G-7 Rivers Data'!$AD$4:$AE$8,2,FALSE)=0,"Enrcoachment Data Missing ⚠",VLOOKUP(X254,'G-7 Rivers Data'!$AD$4:$AE$8,2,FALSE)))</f>
        <v/>
      </c>
      <c r="Z254" s="565" t="str">
        <f t="shared" si="24"/>
        <v/>
      </c>
      <c r="AA254" s="149"/>
      <c r="AB254" s="150"/>
      <c r="AH254" s="31" t="str">
        <f>IFERROR(INDEX('G-7 Rivers Data'!$AZ$3:$AZ$7,MATCH(C254,'G-7 Rivers Data'!$AY$3:$AY$7,0)),"")</f>
        <v/>
      </c>
    </row>
    <row r="255" spans="2:34" ht="13.8" x14ac:dyDescent="0.25">
      <c r="B255" s="141">
        <v>244</v>
      </c>
      <c r="C255" s="171"/>
      <c r="D255" s="172"/>
      <c r="E255" s="498" t="str">
        <f>IF(C255="","",VLOOKUP(C255,'G-7 Rivers Data'!$B$2:$G$8,2,FALSE))</f>
        <v/>
      </c>
      <c r="F255" s="499" t="str">
        <f>IFERROR(VLOOKUP(E255,'G-7 Rivers Data'!$C$4:$D$8,2,FALSE),"")</f>
        <v/>
      </c>
      <c r="G255" s="145"/>
      <c r="H255" s="499" t="str">
        <f>IFERROR(INDEX('G-7 Rivers Data'!$H$4:$L$8,MATCH(C255,'G-7 Rivers Data'!$B$4:$B$8,0),MATCH(G255,'G-7 Rivers Data'!$H$3:$L$3,0)),"")</f>
        <v/>
      </c>
      <c r="I255" s="154"/>
      <c r="J255" s="507" t="str">
        <f>IF(I255="","",IF(VLOOKUP(I255,'G-7 Rivers Data'!$AG$4:$AI$9,2,FALSE)=0,"Spatial Data Missing ⚠",VLOOKUP(I255,'G-7 Rivers Data'!$AG$4:$AI$9,2,FALSE)))</f>
        <v/>
      </c>
      <c r="K255" s="499" t="str">
        <f>IF(I255="","",IF(VLOOKUP(I255,'G-7 Rivers Data'!$AG$4:$AI$9,3,FALSE)=0,"Spatial Data Missing ⚠",VLOOKUP(I255,'G-7 Rivers Data'!$AG$4:$AI$9,3,FALSE)))</f>
        <v/>
      </c>
      <c r="L255" s="498" t="str">
        <f>IFERROR(INDEX('G-7 Rivers Data'!$O$3:$O$7,MATCH(G255,'G-7 Rivers Data'!$N$3:$N$7,0)),"")</f>
        <v/>
      </c>
      <c r="M255" s="82"/>
      <c r="N255" s="195"/>
      <c r="O255" s="507" t="str">
        <f t="shared" si="19"/>
        <v/>
      </c>
      <c r="P255" s="521" t="str">
        <f t="shared" si="20"/>
        <v/>
      </c>
      <c r="Q255" s="564" t="str">
        <f>IFERROR(IF(P255="Check Data ⚠","Check Data ⚠",VLOOKUP(P255,'G-4 Temporal multipliers'!$A$4:$C$37,3,FALSE)),"")</f>
        <v/>
      </c>
      <c r="R255" s="498" t="str">
        <f>IF(C255="","",VLOOKUP(C255,'G-7 Rivers Data'!$B$4:$G$8,4,FALSE))</f>
        <v/>
      </c>
      <c r="S255" s="507" t="str">
        <f t="shared" si="21"/>
        <v/>
      </c>
      <c r="T255" s="540" t="str">
        <f t="shared" si="22"/>
        <v/>
      </c>
      <c r="U255" s="499" t="str">
        <f t="shared" si="23"/>
        <v/>
      </c>
      <c r="V255" s="71"/>
      <c r="W255" s="499" t="str">
        <f>IF(V255="","",IF(VLOOKUP(V255,'G-7 Rivers Data'!$AA$4:$AB$7,2,FALSE)=0,"Spatial Data Missing ⚠",VLOOKUP(V255,'G-7 Rivers Data'!$AA$4:$AB$7,2,FALSE)))</f>
        <v/>
      </c>
      <c r="X255" s="155"/>
      <c r="Y255" s="499" t="str">
        <f>IF(X255="","",IF(VLOOKUP(X255,'G-7 Rivers Data'!$AD$4:$AE$8,2,FALSE)=0,"Enrcoachment Data Missing ⚠",VLOOKUP(X255,'G-7 Rivers Data'!$AD$4:$AE$8,2,FALSE)))</f>
        <v/>
      </c>
      <c r="Z255" s="565" t="str">
        <f t="shared" si="24"/>
        <v/>
      </c>
      <c r="AA255" s="149"/>
      <c r="AB255" s="150"/>
      <c r="AH255" s="31" t="str">
        <f>IFERROR(INDEX('G-7 Rivers Data'!$AZ$3:$AZ$7,MATCH(C255,'G-7 Rivers Data'!$AY$3:$AY$7,0)),"")</f>
        <v/>
      </c>
    </row>
    <row r="256" spans="2:34" ht="13.8" x14ac:dyDescent="0.25">
      <c r="B256" s="141">
        <v>245</v>
      </c>
      <c r="C256" s="171"/>
      <c r="D256" s="172"/>
      <c r="E256" s="498" t="str">
        <f>IF(C256="","",VLOOKUP(C256,'G-7 Rivers Data'!$B$2:$G$8,2,FALSE))</f>
        <v/>
      </c>
      <c r="F256" s="499" t="str">
        <f>IFERROR(VLOOKUP(E256,'G-7 Rivers Data'!$C$4:$D$8,2,FALSE),"")</f>
        <v/>
      </c>
      <c r="G256" s="145"/>
      <c r="H256" s="499" t="str">
        <f>IFERROR(INDEX('G-7 Rivers Data'!$H$4:$L$8,MATCH(C256,'G-7 Rivers Data'!$B$4:$B$8,0),MATCH(G256,'G-7 Rivers Data'!$H$3:$L$3,0)),"")</f>
        <v/>
      </c>
      <c r="I256" s="154"/>
      <c r="J256" s="507" t="str">
        <f>IF(I256="","",IF(VLOOKUP(I256,'G-7 Rivers Data'!$AG$4:$AI$9,2,FALSE)=0,"Spatial Data Missing ⚠",VLOOKUP(I256,'G-7 Rivers Data'!$AG$4:$AI$9,2,FALSE)))</f>
        <v/>
      </c>
      <c r="K256" s="499" t="str">
        <f>IF(I256="","",IF(VLOOKUP(I256,'G-7 Rivers Data'!$AG$4:$AI$9,3,FALSE)=0,"Spatial Data Missing ⚠",VLOOKUP(I256,'G-7 Rivers Data'!$AG$4:$AI$9,3,FALSE)))</f>
        <v/>
      </c>
      <c r="L256" s="498" t="str">
        <f>IFERROR(INDEX('G-7 Rivers Data'!$O$3:$O$7,MATCH(G256,'G-7 Rivers Data'!$N$3:$N$7,0)),"")</f>
        <v/>
      </c>
      <c r="M256" s="82"/>
      <c r="N256" s="195"/>
      <c r="O256" s="507" t="str">
        <f t="shared" si="19"/>
        <v/>
      </c>
      <c r="P256" s="521" t="str">
        <f t="shared" si="20"/>
        <v/>
      </c>
      <c r="Q256" s="564" t="str">
        <f>IFERROR(IF(P256="Check Data ⚠","Check Data ⚠",VLOOKUP(P256,'G-4 Temporal multipliers'!$A$4:$C$37,3,FALSE)),"")</f>
        <v/>
      </c>
      <c r="R256" s="498" t="str">
        <f>IF(C256="","",VLOOKUP(C256,'G-7 Rivers Data'!$B$4:$G$8,4,FALSE))</f>
        <v/>
      </c>
      <c r="S256" s="507" t="str">
        <f t="shared" si="21"/>
        <v/>
      </c>
      <c r="T256" s="540" t="str">
        <f t="shared" si="22"/>
        <v/>
      </c>
      <c r="U256" s="499" t="str">
        <f t="shared" si="23"/>
        <v/>
      </c>
      <c r="V256" s="71"/>
      <c r="W256" s="499" t="str">
        <f>IF(V256="","",IF(VLOOKUP(V256,'G-7 Rivers Data'!$AA$4:$AB$7,2,FALSE)=0,"Spatial Data Missing ⚠",VLOOKUP(V256,'G-7 Rivers Data'!$AA$4:$AB$7,2,FALSE)))</f>
        <v/>
      </c>
      <c r="X256" s="155"/>
      <c r="Y256" s="499" t="str">
        <f>IF(X256="","",IF(VLOOKUP(X256,'G-7 Rivers Data'!$AD$4:$AE$8,2,FALSE)=0,"Enrcoachment Data Missing ⚠",VLOOKUP(X256,'G-7 Rivers Data'!$AD$4:$AE$8,2,FALSE)))</f>
        <v/>
      </c>
      <c r="Z256" s="565" t="str">
        <f t="shared" si="24"/>
        <v/>
      </c>
      <c r="AA256" s="149"/>
      <c r="AB256" s="150"/>
      <c r="AH256" s="31" t="str">
        <f>IFERROR(INDEX('G-7 Rivers Data'!$AZ$3:$AZ$7,MATCH(C256,'G-7 Rivers Data'!$AY$3:$AY$7,0)),"")</f>
        <v/>
      </c>
    </row>
    <row r="257" spans="2:34" ht="13.8" x14ac:dyDescent="0.25">
      <c r="B257" s="141">
        <v>246</v>
      </c>
      <c r="C257" s="171"/>
      <c r="D257" s="172"/>
      <c r="E257" s="498" t="str">
        <f>IF(C257="","",VLOOKUP(C257,'G-7 Rivers Data'!$B$2:$G$8,2,FALSE))</f>
        <v/>
      </c>
      <c r="F257" s="499" t="str">
        <f>IFERROR(VLOOKUP(E257,'G-7 Rivers Data'!$C$4:$D$8,2,FALSE),"")</f>
        <v/>
      </c>
      <c r="G257" s="145"/>
      <c r="H257" s="499" t="str">
        <f>IFERROR(INDEX('G-7 Rivers Data'!$H$4:$L$8,MATCH(C257,'G-7 Rivers Data'!$B$4:$B$8,0),MATCH(G257,'G-7 Rivers Data'!$H$3:$L$3,0)),"")</f>
        <v/>
      </c>
      <c r="I257" s="154"/>
      <c r="J257" s="507" t="str">
        <f>IF(I257="","",IF(VLOOKUP(I257,'G-7 Rivers Data'!$AG$4:$AI$9,2,FALSE)=0,"Spatial Data Missing ⚠",VLOOKUP(I257,'G-7 Rivers Data'!$AG$4:$AI$9,2,FALSE)))</f>
        <v/>
      </c>
      <c r="K257" s="499" t="str">
        <f>IF(I257="","",IF(VLOOKUP(I257,'G-7 Rivers Data'!$AG$4:$AI$9,3,FALSE)=0,"Spatial Data Missing ⚠",VLOOKUP(I257,'G-7 Rivers Data'!$AG$4:$AI$9,3,FALSE)))</f>
        <v/>
      </c>
      <c r="L257" s="498" t="str">
        <f>IFERROR(INDEX('G-7 Rivers Data'!$O$3:$O$7,MATCH(G257,'G-7 Rivers Data'!$N$3:$N$7,0)),"")</f>
        <v/>
      </c>
      <c r="M257" s="82"/>
      <c r="N257" s="195"/>
      <c r="O257" s="507" t="str">
        <f t="shared" si="19"/>
        <v/>
      </c>
      <c r="P257" s="521" t="str">
        <f t="shared" si="20"/>
        <v/>
      </c>
      <c r="Q257" s="564" t="str">
        <f>IFERROR(IF(P257="Check Data ⚠","Check Data ⚠",VLOOKUP(P257,'G-4 Temporal multipliers'!$A$4:$C$37,3,FALSE)),"")</f>
        <v/>
      </c>
      <c r="R257" s="498" t="str">
        <f>IF(C257="","",VLOOKUP(C257,'G-7 Rivers Data'!$B$4:$G$8,4,FALSE))</f>
        <v/>
      </c>
      <c r="S257" s="507" t="str">
        <f t="shared" si="21"/>
        <v/>
      </c>
      <c r="T257" s="540" t="str">
        <f t="shared" si="22"/>
        <v/>
      </c>
      <c r="U257" s="499" t="str">
        <f t="shared" si="23"/>
        <v/>
      </c>
      <c r="V257" s="71"/>
      <c r="W257" s="499" t="str">
        <f>IF(V257="","",IF(VLOOKUP(V257,'G-7 Rivers Data'!$AA$4:$AB$7,2,FALSE)=0,"Spatial Data Missing ⚠",VLOOKUP(V257,'G-7 Rivers Data'!$AA$4:$AB$7,2,FALSE)))</f>
        <v/>
      </c>
      <c r="X257" s="155"/>
      <c r="Y257" s="499" t="str">
        <f>IF(X257="","",IF(VLOOKUP(X257,'G-7 Rivers Data'!$AD$4:$AE$8,2,FALSE)=0,"Enrcoachment Data Missing ⚠",VLOOKUP(X257,'G-7 Rivers Data'!$AD$4:$AE$8,2,FALSE)))</f>
        <v/>
      </c>
      <c r="Z257" s="565" t="str">
        <f t="shared" si="24"/>
        <v/>
      </c>
      <c r="AA257" s="149"/>
      <c r="AB257" s="150"/>
      <c r="AH257" s="31" t="str">
        <f>IFERROR(INDEX('G-7 Rivers Data'!$AZ$3:$AZ$7,MATCH(C257,'G-7 Rivers Data'!$AY$3:$AY$7,0)),"")</f>
        <v/>
      </c>
    </row>
    <row r="258" spans="2:34" ht="13.8" x14ac:dyDescent="0.25">
      <c r="B258" s="141">
        <v>247</v>
      </c>
      <c r="C258" s="171"/>
      <c r="D258" s="172"/>
      <c r="E258" s="498" t="str">
        <f>IF(C258="","",VLOOKUP(C258,'G-7 Rivers Data'!$B$2:$G$8,2,FALSE))</f>
        <v/>
      </c>
      <c r="F258" s="499" t="str">
        <f>IFERROR(VLOOKUP(E258,'G-7 Rivers Data'!$C$4:$D$8,2,FALSE),"")</f>
        <v/>
      </c>
      <c r="G258" s="145"/>
      <c r="H258" s="499" t="str">
        <f>IFERROR(INDEX('G-7 Rivers Data'!$H$4:$L$8,MATCH(C258,'G-7 Rivers Data'!$B$4:$B$8,0),MATCH(G258,'G-7 Rivers Data'!$H$3:$L$3,0)),"")</f>
        <v/>
      </c>
      <c r="I258" s="154"/>
      <c r="J258" s="507" t="str">
        <f>IF(I258="","",IF(VLOOKUP(I258,'G-7 Rivers Data'!$AG$4:$AI$9,2,FALSE)=0,"Spatial Data Missing ⚠",VLOOKUP(I258,'G-7 Rivers Data'!$AG$4:$AI$9,2,FALSE)))</f>
        <v/>
      </c>
      <c r="K258" s="499" t="str">
        <f>IF(I258="","",IF(VLOOKUP(I258,'G-7 Rivers Data'!$AG$4:$AI$9,3,FALSE)=0,"Spatial Data Missing ⚠",VLOOKUP(I258,'G-7 Rivers Data'!$AG$4:$AI$9,3,FALSE)))</f>
        <v/>
      </c>
      <c r="L258" s="498" t="str">
        <f>IFERROR(INDEX('G-7 Rivers Data'!$O$3:$O$7,MATCH(G258,'G-7 Rivers Data'!$N$3:$N$7,0)),"")</f>
        <v/>
      </c>
      <c r="M258" s="82"/>
      <c r="N258" s="195"/>
      <c r="O258" s="507" t="str">
        <f t="shared" si="19"/>
        <v/>
      </c>
      <c r="P258" s="521" t="str">
        <f t="shared" si="20"/>
        <v/>
      </c>
      <c r="Q258" s="564" t="str">
        <f>IFERROR(IF(P258="Check Data ⚠","Check Data ⚠",VLOOKUP(P258,'G-4 Temporal multipliers'!$A$4:$C$37,3,FALSE)),"")</f>
        <v/>
      </c>
      <c r="R258" s="498" t="str">
        <f>IF(C258="","",VLOOKUP(C258,'G-7 Rivers Data'!$B$4:$G$8,4,FALSE))</f>
        <v/>
      </c>
      <c r="S258" s="507" t="str">
        <f t="shared" si="21"/>
        <v/>
      </c>
      <c r="T258" s="540" t="str">
        <f t="shared" si="22"/>
        <v/>
      </c>
      <c r="U258" s="499" t="str">
        <f t="shared" si="23"/>
        <v/>
      </c>
      <c r="V258" s="71"/>
      <c r="W258" s="499" t="str">
        <f>IF(V258="","",IF(VLOOKUP(V258,'G-7 Rivers Data'!$AA$4:$AB$7,2,FALSE)=0,"Spatial Data Missing ⚠",VLOOKUP(V258,'G-7 Rivers Data'!$AA$4:$AB$7,2,FALSE)))</f>
        <v/>
      </c>
      <c r="X258" s="155"/>
      <c r="Y258" s="499" t="str">
        <f>IF(X258="","",IF(VLOOKUP(X258,'G-7 Rivers Data'!$AD$4:$AE$8,2,FALSE)=0,"Enrcoachment Data Missing ⚠",VLOOKUP(X258,'G-7 Rivers Data'!$AD$4:$AE$8,2,FALSE)))</f>
        <v/>
      </c>
      <c r="Z258" s="565" t="str">
        <f t="shared" si="24"/>
        <v/>
      </c>
      <c r="AA258" s="149"/>
      <c r="AB258" s="150"/>
      <c r="AH258" s="31" t="str">
        <f>IFERROR(INDEX('G-7 Rivers Data'!$AZ$3:$AZ$7,MATCH(C258,'G-7 Rivers Data'!$AY$3:$AY$7,0)),"")</f>
        <v/>
      </c>
    </row>
    <row r="259" spans="2:34" ht="14.4" thickBot="1" x14ac:dyDescent="0.3">
      <c r="B259" s="158">
        <v>248</v>
      </c>
      <c r="C259" s="159"/>
      <c r="D259" s="160"/>
      <c r="E259" s="500" t="str">
        <f>IF(C259="","",VLOOKUP(C259,'G-7 Rivers Data'!$B$2:$G$8,2,FALSE))</f>
        <v/>
      </c>
      <c r="F259" s="501" t="str">
        <f>IFERROR(VLOOKUP(E259,'G-7 Rivers Data'!$C$4:$D$8,2,FALSE),"")</f>
        <v/>
      </c>
      <c r="G259" s="161"/>
      <c r="H259" s="501" t="str">
        <f>IFERROR(INDEX('G-7 Rivers Data'!$H$4:$L$8,MATCH(C259,'G-7 Rivers Data'!$B$4:$B$8,0),MATCH(G259,'G-7 Rivers Data'!$H$3:$L$3,0)),"")</f>
        <v/>
      </c>
      <c r="I259" s="161"/>
      <c r="J259" s="507" t="str">
        <f>IF(I259="","",IF(VLOOKUP(I259,'G-7 Rivers Data'!$AG$4:$AI$9,2,FALSE)=0,"Spatial Data Missing ⚠",VLOOKUP(I259,'G-7 Rivers Data'!$AG$4:$AI$9,2,FALSE)))</f>
        <v/>
      </c>
      <c r="K259" s="499" t="str">
        <f>IF(I259="","",IF(VLOOKUP(I259,'G-7 Rivers Data'!$AG$4:$AI$9,3,FALSE)=0,"Spatial Data Missing ⚠",VLOOKUP(I259,'G-7 Rivers Data'!$AG$4:$AI$9,3,FALSE)))</f>
        <v/>
      </c>
      <c r="L259" s="500" t="str">
        <f>IFERROR(INDEX('G-7 Rivers Data'!$O$3:$O$7,MATCH(G259,'G-7 Rivers Data'!$N$3:$N$7,0)),"")</f>
        <v/>
      </c>
      <c r="M259" s="82"/>
      <c r="N259" s="206"/>
      <c r="O259" s="507" t="str">
        <f t="shared" si="19"/>
        <v/>
      </c>
      <c r="P259" s="521" t="str">
        <f t="shared" si="20"/>
        <v/>
      </c>
      <c r="Q259" s="564" t="str">
        <f>IFERROR(IF(P259="Check Data ⚠","Check Data ⚠",VLOOKUP(P259,'G-4 Temporal multipliers'!$A$4:$C$37,3,FALSE)),"")</f>
        <v/>
      </c>
      <c r="R259" s="500" t="str">
        <f>IF(C259="","",VLOOKUP(C259,'G-7 Rivers Data'!$B$4:$G$8,4,FALSE))</f>
        <v/>
      </c>
      <c r="S259" s="507" t="str">
        <f t="shared" si="21"/>
        <v/>
      </c>
      <c r="T259" s="540" t="str">
        <f t="shared" si="22"/>
        <v/>
      </c>
      <c r="U259" s="501" t="str">
        <f t="shared" si="23"/>
        <v/>
      </c>
      <c r="V259" s="452"/>
      <c r="W259" s="499" t="str">
        <f>IF(V259="","",IF(VLOOKUP(V259,'G-7 Rivers Data'!$AA$4:$AB$7,2,FALSE)=0,"Spatial Data Missing ⚠",VLOOKUP(V259,'G-7 Rivers Data'!$AA$4:$AB$7,2,FALSE)))</f>
        <v/>
      </c>
      <c r="X259" s="273"/>
      <c r="Y259" s="499" t="str">
        <f>IF(X259="","",IF(VLOOKUP(X259,'G-7 Rivers Data'!$AD$4:$AE$8,2,FALSE)=0,"Enrcoachment Data Missing ⚠",VLOOKUP(X259,'G-7 Rivers Data'!$AD$4:$AE$8,2,FALSE)))</f>
        <v/>
      </c>
      <c r="Z259" s="487" t="str">
        <f t="shared" si="24"/>
        <v/>
      </c>
      <c r="AA259" s="163"/>
      <c r="AB259" s="164"/>
      <c r="AH259" s="31" t="str">
        <f>IFERROR(INDEX('G-7 Rivers Data'!$AZ$3:$AZ$7,MATCH(C259,'G-7 Rivers Data'!$AY$3:$AY$7,0)),"")</f>
        <v/>
      </c>
    </row>
    <row r="260" spans="2:34" ht="14.4" thickBot="1" x14ac:dyDescent="0.3">
      <c r="B260" s="46"/>
      <c r="C260" s="277"/>
      <c r="D260" s="503">
        <f>SUM(D12:D259)</f>
        <v>0</v>
      </c>
      <c r="E260" s="46"/>
      <c r="F260" s="46"/>
      <c r="G260" s="46"/>
      <c r="H260" s="46"/>
      <c r="I260" s="46"/>
      <c r="J260" s="46"/>
      <c r="K260" s="46"/>
      <c r="L260" s="46"/>
      <c r="M260" s="46"/>
      <c r="N260" s="46"/>
      <c r="O260" s="46"/>
      <c r="P260" s="46"/>
      <c r="Q260" s="46"/>
      <c r="R260" s="46"/>
      <c r="S260" s="46"/>
      <c r="T260" s="46"/>
      <c r="U260" s="46"/>
      <c r="V260" s="46"/>
      <c r="W260" s="46"/>
      <c r="X260" s="1014"/>
      <c r="Y260" s="1014"/>
      <c r="Z260" s="503">
        <f>SUM(Z12:Z259)</f>
        <v>0</v>
      </c>
      <c r="AA260" s="46"/>
      <c r="AB260" s="46"/>
    </row>
    <row r="261" spans="2:34" ht="28.95" customHeight="1" x14ac:dyDescent="0.25"/>
    <row r="262" spans="2:34" ht="27" customHeight="1" x14ac:dyDescent="0.25"/>
    <row r="263" spans="2:34" ht="13.8" hidden="1" x14ac:dyDescent="0.25"/>
    <row r="264" spans="2:34" ht="13.8" hidden="1" x14ac:dyDescent="0.25"/>
    <row r="265" spans="2:34" ht="13.8" hidden="1" x14ac:dyDescent="0.25"/>
    <row r="266" spans="2:34" ht="13.8" hidden="1" x14ac:dyDescent="0.25"/>
    <row r="267" spans="2:34" ht="13.8" hidden="1" x14ac:dyDescent="0.25"/>
    <row r="268" spans="2:34" ht="13.8" hidden="1" x14ac:dyDescent="0.25"/>
  </sheetData>
  <sheetProtection algorithmName="SHA-512" hashValue="+0DBNEqGa6XXkapVX4Y2q9AxC2rf7Loa9ccyKmH57wpCtRUJ8ghu8CXvvXnoEMa0Hs8oR7O8FNfE46U5xfVDAg==" saltValue="fT9mJsNh/+VQ7t9X5nVaV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X260:Y260"/>
    <mergeCell ref="B2:E2"/>
    <mergeCell ref="B3:E4"/>
    <mergeCell ref="AA10:AB10"/>
    <mergeCell ref="L10:Q10"/>
    <mergeCell ref="V10:W10"/>
    <mergeCell ref="X10:Y10"/>
    <mergeCell ref="Z10:Z11"/>
    <mergeCell ref="R10:U10"/>
    <mergeCell ref="I10:K10"/>
    <mergeCell ref="C10:D10"/>
    <mergeCell ref="E10:F10"/>
    <mergeCell ref="G10:H10"/>
    <mergeCell ref="L3:Q5"/>
  </mergeCells>
  <conditionalFormatting sqref="Z12:Z259">
    <cfRule type="containsText" dxfId="52" priority="14" operator="containsText" text="Existing Value Not Required">
      <formula>NOT(ISERROR(SEARCH("Existing Value Not Required",Z12)))</formula>
    </cfRule>
    <cfRule type="containsText" dxfId="51" priority="15" operator="containsText" text="Existing Value Required">
      <formula>NOT(ISERROR(SEARCH("Existing Value Required",Z12)))</formula>
    </cfRule>
  </conditionalFormatting>
  <conditionalFormatting sqref="J12:K259">
    <cfRule type="containsText" dxfId="50" priority="13" operator="containsText" text="Spatial">
      <formula>NOT(ISERROR(SEARCH("Spatial",J12)))</formula>
    </cfRule>
  </conditionalFormatting>
  <conditionalFormatting sqref="O12:Q259">
    <cfRule type="cellIs" dxfId="49" priority="1" operator="equal">
      <formula>"30+ ⚠"</formula>
    </cfRule>
    <cfRule type="containsText" dxfId="48" priority="11" operator="containsText" text="Check">
      <formula>NOT(ISERROR(SEARCH("Check",O12)))</formula>
    </cfRule>
    <cfRule type="containsText" dxfId="47" priority="12" operator="containsText" text="Error">
      <formula>NOT(ISERROR(SEARCH("Error",O12)))</formula>
    </cfRule>
  </conditionalFormatting>
  <conditionalFormatting sqref="S12:Z259">
    <cfRule type="containsText" dxfId="46" priority="7" operator="containsText" text="Error">
      <formula>NOT(ISERROR(SEARCH("Error",S12)))</formula>
    </cfRule>
    <cfRule type="containsText" dxfId="45" priority="8" operator="containsText" text="Check">
      <formula>NOT(ISERROR(SEARCH("Check",S12)))</formula>
    </cfRule>
  </conditionalFormatting>
  <conditionalFormatting sqref="S12:S259">
    <cfRule type="beginsWith" dxfId="44" priority="6" operator="beginsWith" text="No - Low Difficulty">
      <formula>LEFT(S12,LEN("No - Low Difficulty"))="No - Low Difficulty"</formula>
    </cfRule>
  </conditionalFormatting>
  <conditionalFormatting sqref="W12:W259">
    <cfRule type="containsText" dxfId="43" priority="5" operator="containsText" text="Spatial">
      <formula>NOT(ISERROR(SEARCH("Spatial",W12)))</formula>
    </cfRule>
  </conditionalFormatting>
  <conditionalFormatting sqref="Y12:Y259">
    <cfRule type="containsText" dxfId="42" priority="4" operator="containsText" text="Missing">
      <formula>NOT(ISERROR(SEARCH("Missing",Y12)))</formula>
    </cfRule>
  </conditionalFormatting>
  <conditionalFormatting sqref="H12:H259">
    <cfRule type="beginsWith" dxfId="41" priority="3" operator="beginsWith" text="Not Possible">
      <formula>LEFT(H12,LEN("Not Possible"))="Not Possible"</formula>
    </cfRule>
  </conditionalFormatting>
  <conditionalFormatting sqref="L6:P7 L3">
    <cfRule type="containsText" dxfId="40" priority="2" operator="containsText" text="Note">
      <formula>NOT(ISERROR(SEARCH("Note",L3)))</formula>
    </cfRule>
  </conditionalFormatting>
  <dataValidations count="1">
    <dataValidation type="list" allowBlank="1" showInputMessage="1" showErrorMessage="1" sqref="G12:G259" xr:uid="{00000000-0002-0000-19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'G-7 Rivers Data'!$AG$4:$AG$9</xm:f>
          </x14:formula1>
          <xm:sqref>I12:I259</xm:sqref>
        </x14:dataValidation>
        <x14:dataValidation type="list" allowBlank="1" showInputMessage="1" showErrorMessage="1" xr:uid="{00000000-0002-0000-1900-000003000000}">
          <x14:formula1>
            <xm:f>'G-7 Rivers Data'!$AD$4:$AD$7</xm:f>
          </x14:formula1>
          <xm:sqref>X12:X259</xm:sqref>
        </x14:dataValidation>
        <x14:dataValidation type="list" allowBlank="1" showInputMessage="1" showErrorMessage="1" xr:uid="{00000000-0002-0000-1900-000004000000}">
          <x14:formula1>
            <xm:f>'G-7 Rivers Data'!$B$4:$B$8</xm:f>
          </x14:formula1>
          <xm:sqref>C12:C259</xm:sqref>
        </x14:dataValidation>
        <x14:dataValidation type="list" allowBlank="1" showInputMessage="1" showErrorMessage="1" xr:uid="{00000000-0002-0000-1900-000006000000}">
          <x14:formula1>
            <xm:f>'G-4 Temporal multipliers'!$A$41:$A$72</xm:f>
          </x14:formula1>
          <xm:sqref>M12:N259</xm:sqref>
        </x14:dataValidation>
        <x14:dataValidation type="list" allowBlank="1" showInputMessage="1" showErrorMessage="1" xr:uid="{1A659836-616D-4FB4-92A9-95519AA112E8}">
          <x14:formula1>
            <xm:f>'G-7 Rivers Data'!$AA$4:$AA$7</xm:f>
          </x14:formula1>
          <xm:sqref>V12:V259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4.109375" style="31" customWidth="1"/>
    <col min="3" max="3" width="41.33203125" style="31" customWidth="1"/>
    <col min="4" max="4" width="9" style="31" hidden="1" customWidth="1"/>
    <col min="5" max="5" width="18.88671875" style="31" hidden="1" customWidth="1"/>
    <col min="6" max="6" width="18.33203125" style="31" hidden="1" customWidth="1"/>
    <col min="7" max="7" width="18.109375" style="31" hidden="1" customWidth="1"/>
    <col min="8" max="8" width="19.33203125" style="31" hidden="1" customWidth="1"/>
    <col min="9" max="9" width="25.88671875" style="31" hidden="1" customWidth="1"/>
    <col min="10" max="13" width="19.33203125" style="31" hidden="1" customWidth="1"/>
    <col min="14" max="14" width="45.6640625" style="31" customWidth="1"/>
    <col min="15" max="16" width="34.33203125" style="31" customWidth="1"/>
    <col min="17" max="17" width="10" style="31" customWidth="1"/>
    <col min="18" max="18" width="19.44140625" style="31" customWidth="1"/>
    <col min="19" max="19" width="13.109375" style="31" hidden="1" customWidth="1"/>
    <col min="20" max="20" width="12.5546875" style="31" bestFit="1" customWidth="1"/>
    <col min="21" max="21" width="12.5546875" style="31" hidden="1" customWidth="1"/>
    <col min="22" max="22" width="33.6640625" style="31" customWidth="1"/>
    <col min="23" max="23" width="15.44140625" style="31" hidden="1" customWidth="1"/>
    <col min="24" max="24" width="12.33203125" style="31" hidden="1" customWidth="1"/>
    <col min="25" max="25" width="18.44140625" style="31" hidden="1" customWidth="1"/>
    <col min="26" max="26" width="21" style="31" hidden="1" customWidth="1"/>
    <col min="27" max="27" width="24.44140625" style="31" hidden="1" customWidth="1"/>
    <col min="28" max="28" width="34.44140625" style="31" customWidth="1"/>
    <col min="29" max="29" width="18.44140625" style="31" customWidth="1"/>
    <col min="30" max="30" width="15.33203125" style="31" hidden="1" customWidth="1"/>
    <col min="31" max="31" width="16.5546875" style="31" hidden="1" customWidth="1"/>
    <col min="32" max="32" width="28.33203125" style="31" hidden="1" customWidth="1"/>
    <col min="33" max="33" width="16.33203125" style="31" customWidth="1"/>
    <col min="34" max="34" width="15.33203125" style="31" hidden="1" customWidth="1"/>
    <col min="35" max="35" width="17.5546875" style="31" customWidth="1"/>
    <col min="36" max="36" width="15.33203125" style="31" hidden="1" customWidth="1"/>
    <col min="37" max="37" width="19.5546875" style="31" customWidth="1"/>
    <col min="38" max="38" width="12.6640625" style="31" hidden="1" customWidth="1"/>
    <col min="39" max="39" width="12.6640625" style="31" customWidth="1"/>
    <col min="40" max="41" width="34.88671875" style="31" customWidth="1"/>
    <col min="42" max="47" width="8.88671875" style="31" customWidth="1"/>
    <col min="48" max="48" width="10.88671875" style="31" hidden="1" customWidth="1"/>
    <col min="49" max="56" width="0" style="31" hidden="1" customWidth="1"/>
    <col min="57" max="16384" width="8.88671875" style="31" hidden="1"/>
  </cols>
  <sheetData>
    <row r="1" spans="2:48" ht="20.399999999999999" customHeight="1" thickBot="1" x14ac:dyDescent="0.3"/>
    <row r="2" spans="2:48" ht="27" customHeight="1" thickBot="1" x14ac:dyDescent="0.3">
      <c r="B2" s="987" t="str">
        <f>IF([2]Start!F12="","",[2]Start!F12)</f>
        <v/>
      </c>
      <c r="C2" s="988"/>
      <c r="D2" s="988"/>
      <c r="E2" s="989"/>
      <c r="R2" s="132"/>
      <c r="Y2" s="919" t="str">
        <f>IF(OR(COUNTIF($Y$12:Y259,"*30+*")&gt;0,COUNTIF($AC$12:AC259,"*30+*")&gt;0),"Note; Habitat selected has a time to target condition greater than 30 years. Non standard agreement may be required. ⚠","")</f>
        <v/>
      </c>
      <c r="Z2" s="919"/>
      <c r="AA2" s="919"/>
      <c r="AB2" s="919"/>
      <c r="AC2" s="919"/>
      <c r="AD2" s="919"/>
    </row>
    <row r="3" spans="2:48" ht="18" customHeight="1" thickBot="1" x14ac:dyDescent="0.3">
      <c r="B3" s="1020" t="str">
        <f ca="1">MID(CELL("filename",A1),FIND("]",CELL("filename",A1))+1,256)</f>
        <v>C-3 Site River Enhancement</v>
      </c>
      <c r="C3" s="1021"/>
      <c r="D3" s="1021"/>
      <c r="E3" s="1022"/>
      <c r="Y3" s="919"/>
      <c r="Z3" s="919"/>
      <c r="AA3" s="919"/>
      <c r="AB3" s="919"/>
      <c r="AC3" s="919"/>
      <c r="AD3" s="919"/>
    </row>
    <row r="4" spans="2:48" ht="21" customHeight="1" thickBot="1" x14ac:dyDescent="0.3">
      <c r="B4" s="1020"/>
      <c r="C4" s="1021"/>
      <c r="D4" s="1021"/>
      <c r="E4" s="1022"/>
      <c r="Y4" s="919"/>
      <c r="Z4" s="919"/>
      <c r="AA4" s="919"/>
      <c r="AB4" s="919"/>
      <c r="AC4" s="919"/>
      <c r="AD4" s="919"/>
    </row>
    <row r="5" spans="2:48" ht="15.6" customHeight="1" x14ac:dyDescent="0.3">
      <c r="AH5" s="193"/>
      <c r="AI5" s="193"/>
      <c r="AJ5" s="193"/>
      <c r="AK5" s="193"/>
      <c r="AL5" s="193"/>
    </row>
    <row r="6" spans="2:48" ht="16.2" customHeight="1" x14ac:dyDescent="0.25">
      <c r="F6" s="131"/>
    </row>
    <row r="7" spans="2:48" ht="13.8" x14ac:dyDescent="0.25"/>
    <row r="8" spans="2:48" ht="14.4" thickBot="1" x14ac:dyDescent="0.3"/>
    <row r="9" spans="2:48" ht="14.4" thickBot="1" x14ac:dyDescent="0.3">
      <c r="C9" s="131"/>
      <c r="D9" s="131"/>
      <c r="E9" s="131"/>
      <c r="F9" s="131"/>
      <c r="G9" s="131"/>
      <c r="H9" s="131"/>
      <c r="I9" s="131"/>
      <c r="J9" s="131"/>
      <c r="K9" s="131"/>
      <c r="L9" s="131"/>
      <c r="M9" s="131"/>
      <c r="N9" s="951" t="s">
        <v>225</v>
      </c>
      <c r="O9" s="952"/>
      <c r="P9" s="952"/>
      <c r="Q9" s="952"/>
      <c r="R9" s="952"/>
      <c r="S9" s="952"/>
      <c r="T9" s="952"/>
      <c r="U9" s="952"/>
      <c r="V9" s="952"/>
      <c r="W9" s="952"/>
      <c r="X9" s="952"/>
      <c r="Y9" s="952"/>
      <c r="Z9" s="952"/>
      <c r="AA9" s="952"/>
      <c r="AB9" s="952"/>
      <c r="AC9" s="952"/>
      <c r="AD9" s="952"/>
      <c r="AE9" s="952"/>
      <c r="AF9" s="952"/>
      <c r="AG9" s="952"/>
      <c r="AH9" s="952"/>
      <c r="AI9" s="952"/>
      <c r="AJ9" s="952"/>
      <c r="AK9" s="952"/>
      <c r="AL9" s="953"/>
      <c r="AM9" s="450"/>
    </row>
    <row r="10" spans="2:48" s="42" customFormat="1" ht="27" customHeight="1" thickBot="1" x14ac:dyDescent="0.3">
      <c r="C10" s="939" t="s">
        <v>247</v>
      </c>
      <c r="D10" s="939"/>
      <c r="E10" s="939"/>
      <c r="F10" s="939"/>
      <c r="G10" s="939"/>
      <c r="H10" s="939"/>
      <c r="I10" s="939"/>
      <c r="J10" s="939"/>
      <c r="K10" s="939"/>
      <c r="L10" s="939"/>
      <c r="M10" s="939"/>
      <c r="N10" s="967" t="s">
        <v>331</v>
      </c>
      <c r="O10" s="993" t="s">
        <v>249</v>
      </c>
      <c r="P10" s="993"/>
      <c r="Q10" s="940" t="s">
        <v>294</v>
      </c>
      <c r="R10" s="940" t="s">
        <v>272</v>
      </c>
      <c r="S10" s="940"/>
      <c r="T10" s="940" t="s">
        <v>273</v>
      </c>
      <c r="U10" s="940"/>
      <c r="V10" s="967" t="s">
        <v>191</v>
      </c>
      <c r="W10" s="968"/>
      <c r="X10" s="969"/>
      <c r="Y10" s="967" t="s">
        <v>228</v>
      </c>
      <c r="Z10" s="968"/>
      <c r="AA10" s="968"/>
      <c r="AB10" s="968"/>
      <c r="AC10" s="968"/>
      <c r="AD10" s="969"/>
      <c r="AE10" s="967" t="s">
        <v>229</v>
      </c>
      <c r="AF10" s="968"/>
      <c r="AG10" s="968"/>
      <c r="AH10" s="969"/>
      <c r="AI10" s="940" t="s">
        <v>319</v>
      </c>
      <c r="AJ10" s="940"/>
      <c r="AK10" s="967" t="s">
        <v>320</v>
      </c>
      <c r="AL10" s="969"/>
      <c r="AM10" s="940" t="s">
        <v>329</v>
      </c>
      <c r="AN10" s="880" t="s">
        <v>196</v>
      </c>
      <c r="AO10" s="878"/>
    </row>
    <row r="11" spans="2:48" ht="62.25" customHeight="1" x14ac:dyDescent="0.25">
      <c r="B11" s="135" t="s">
        <v>254</v>
      </c>
      <c r="C11" s="201" t="s">
        <v>255</v>
      </c>
      <c r="D11" s="201" t="s">
        <v>294</v>
      </c>
      <c r="E11" s="201" t="s">
        <v>257</v>
      </c>
      <c r="F11" s="201" t="s">
        <v>258</v>
      </c>
      <c r="G11" s="201" t="s">
        <v>259</v>
      </c>
      <c r="H11" s="201" t="s">
        <v>260</v>
      </c>
      <c r="I11" s="201" t="s">
        <v>261</v>
      </c>
      <c r="J11" s="201" t="s">
        <v>191</v>
      </c>
      <c r="K11" s="201" t="s">
        <v>332</v>
      </c>
      <c r="L11" s="201" t="s">
        <v>309</v>
      </c>
      <c r="M11" s="202" t="s">
        <v>333</v>
      </c>
      <c r="N11" s="1023"/>
      <c r="O11" s="141" t="s">
        <v>310</v>
      </c>
      <c r="P11" s="359" t="s">
        <v>311</v>
      </c>
      <c r="Q11" s="985"/>
      <c r="R11" s="141" t="s">
        <v>189</v>
      </c>
      <c r="S11" s="359" t="s">
        <v>206</v>
      </c>
      <c r="T11" s="141" t="s">
        <v>190</v>
      </c>
      <c r="U11" s="359" t="s">
        <v>206</v>
      </c>
      <c r="V11" s="141" t="s">
        <v>191</v>
      </c>
      <c r="W11" s="103" t="s">
        <v>191</v>
      </c>
      <c r="X11" s="359" t="s">
        <v>231</v>
      </c>
      <c r="Y11" s="141" t="s">
        <v>304</v>
      </c>
      <c r="Z11" s="103" t="s">
        <v>268</v>
      </c>
      <c r="AA11" s="103" t="s">
        <v>269</v>
      </c>
      <c r="AB11" s="103" t="s">
        <v>235</v>
      </c>
      <c r="AC11" s="103" t="s">
        <v>236</v>
      </c>
      <c r="AD11" s="359" t="s">
        <v>312</v>
      </c>
      <c r="AE11" s="141" t="s">
        <v>313</v>
      </c>
      <c r="AF11" s="103" t="s">
        <v>305</v>
      </c>
      <c r="AG11" s="103" t="s">
        <v>271</v>
      </c>
      <c r="AH11" s="359" t="s">
        <v>241</v>
      </c>
      <c r="AI11" s="141" t="s">
        <v>322</v>
      </c>
      <c r="AJ11" s="359" t="s">
        <v>323</v>
      </c>
      <c r="AK11" s="141" t="s">
        <v>322</v>
      </c>
      <c r="AL11" s="359" t="s">
        <v>323</v>
      </c>
      <c r="AM11" s="985"/>
      <c r="AN11" s="141" t="s">
        <v>215</v>
      </c>
      <c r="AO11" s="359" t="s">
        <v>216</v>
      </c>
      <c r="AV11" s="261" t="s">
        <v>200</v>
      </c>
    </row>
    <row r="12" spans="2:48" ht="13.8" x14ac:dyDescent="0.25">
      <c r="B12" s="531" t="str">
        <f>'C-1 Site River Baseline'!AN10</f>
        <v/>
      </c>
      <c r="C12" s="507" t="str">
        <f>IF(B12="","",VLOOKUP($B12,'C-1 Site River Baseline'!$C$9:$R$257,2,FALSE))</f>
        <v/>
      </c>
      <c r="D12" s="507" t="str">
        <f>IF(C12="","",VLOOKUP($B12,'C-1 Site River Baseline'!$C$9:$R$257,3,FALSE))</f>
        <v/>
      </c>
      <c r="E12" s="507" t="str">
        <f>IF(D12="","",VLOOKUP($B12,'C-1 Site River Baseline'!$C$9:$R$257,4,FALSE))</f>
        <v/>
      </c>
      <c r="F12" s="507" t="str">
        <f>IF(E12="","",VLOOKUP($B12,'C-1 Site River Baseline'!$C$9:$R$257,5,FALSE))</f>
        <v/>
      </c>
      <c r="G12" s="507" t="str">
        <f>IF(F12="","",VLOOKUP($B12,'C-1 Site River Baseline'!$C$9:$R$257,6,FALSE))</f>
        <v/>
      </c>
      <c r="H12" s="507" t="str">
        <f>IF(G12="","",VLOOKUP($B12,'C-1 Site River Baseline'!$C$9:$R$257,7,FALSE))</f>
        <v/>
      </c>
      <c r="I12" s="507" t="str">
        <f>IF(H12="","",VLOOKUP($B12,'C-1 Site River Baseline'!$C$9:$R$257,8,FALSE))</f>
        <v/>
      </c>
      <c r="J12" s="507" t="str">
        <f>IF(I12="","",VLOOKUP($B12,'C-1 Site River Baseline'!$C$9:$R$257,9,FALSE))</f>
        <v/>
      </c>
      <c r="K12" s="507" t="str">
        <f>IF(J12="","",VLOOKUP($B12,'C-1 Site River Baseline'!$C$9:$R$257,10,FALSE))</f>
        <v/>
      </c>
      <c r="L12" s="507" t="str">
        <f>IF(B12="","",VLOOKUP($B12,'C-1 Site River Baseline'!$C$9:$R$257,15,FALSE))</f>
        <v/>
      </c>
      <c r="M12" s="499" t="str">
        <f>IF(L12="","",VLOOKUP($B12,'C-1 Site River Baseline'!$C$9:$R$257,16,FALSE))</f>
        <v/>
      </c>
      <c r="N12" s="426"/>
      <c r="O12" s="498" t="str">
        <f>IF(B12="","",IF(S12&lt;F12,"Error Trading Down ▲",E12&amp;" - "&amp;R12))</f>
        <v/>
      </c>
      <c r="P12" s="499" t="str">
        <f>IF(C12="","",IF(AND(LEFT(C12,55)&lt;&gt;LEFT(N12,55),O12="High - High"),"Error - Not like for like ▲",IF(AND(F12=S12,H12&gt;U12),"Error - Can not reduce condition ▲",IF(AND(F12=S12,H12=U12,AJ12='C-1 Site River Baseline'!N10,'C-1 Site River Baseline'!P10=AL12),"Error - No enhancement ▲",IF(AND(C12&lt;&gt;N12,F12&lt;S12),"Lower Distinctiveness Habitat"&amp;" - "&amp;T12,G12&amp;" - "&amp;T12)))))</f>
        <v/>
      </c>
      <c r="Q12" s="567" t="str">
        <f>IF(N12="","",VLOOKUP(B12,'C-1 Site River Baseline'!$C$10:$AA$257,19,FALSE))</f>
        <v/>
      </c>
      <c r="R12" s="498" t="str">
        <f>IF(N12="","",VLOOKUP(N12,'G-7 Rivers Data'!$B$2:$G$8,2,FALSE))</f>
        <v/>
      </c>
      <c r="S12" s="499" t="str">
        <f>IFERROR(VLOOKUP(R12,'G-7 Rivers Data'!$C$4:$D$8,2,FALSE),"")</f>
        <v/>
      </c>
      <c r="T12" s="145"/>
      <c r="U12" s="499" t="str">
        <f>IFERROR(INDEX('G-7 Rivers Data'!$H$4:$L$8,MATCH(N12,'G-7 Rivers Data'!$B$4:$B$8,0),MATCH(T12,'G-7 Rivers Data'!$H$3:$L$3,0)),"")</f>
        <v/>
      </c>
      <c r="V12" s="145"/>
      <c r="W12" s="507" t="str">
        <f>IF(V12="","",IF(VLOOKUP(V12,'G-7 Rivers Data'!$AG$4:$AI$9,2,FALSE)=0,"Spatial Data Missing ⚠",VLOOKUP(V12,'G-7 Rivers Data'!$AG$4:$AI$9,2,FALSE)))</f>
        <v/>
      </c>
      <c r="X12" s="499" t="str">
        <f>IF(V12="","",IF(VLOOKUP(V12,'G-7 Rivers Data'!$AG$4:$AI$9,3,FALSE)=0,"Spatial Data Missing ⚠",VLOOKUP(V12,'G-7 Rivers Data'!$AG$4:$AI$9,3,FALSE)))</f>
        <v/>
      </c>
      <c r="Y12" s="498" t="str">
        <f>IFERROR(IF(OR(LEFT(P12,5)="Error ▲",LEFT(O12,5)="Error ▲"),"Check Data ⚠",IF(F12&lt;S12,'G-7 Rivers Data'!$R$3,INDEX('G-7 Rivers Data'!$U$5:$Y$9,MATCH(G12,'G-7 Rivers Data'!$T$5:$T$9,0),MATCH(T12,'G-7 Rivers Data'!$U$4:$Y$4,0)))),"")</f>
        <v/>
      </c>
      <c r="Z12" s="195"/>
      <c r="AA12" s="195"/>
      <c r="AB12" s="507"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1" t="str">
        <f>IF(LEFT(AB12,5)="Error ▲","Check Data ⚠",IF(AB12="Check Data ⚠","Check Data ⚠",IF(Y12="","",IF(Z12="30+",0,IF(AA12="30+","30+ ⚠",IF(Y12+AA12&gt;30,"30+ ⚠",IF(Y12+AA12-Z12&gt;0,Y12+AA12-Z12,IF(Y12-Z12&lt;0,0,Y12+AA12-Z12))))))))</f>
        <v/>
      </c>
      <c r="AD12" s="564" t="str">
        <f>IFERROR(IF(AC12="Check Data ⚠","Check Data ⚠",VLOOKUP(AC12,'G-4 Temporal multipliers'!$A$4:$C$37,3,FALSE)),"")</f>
        <v/>
      </c>
      <c r="AE12" s="498" t="str">
        <f>IF(N12="","",VLOOKUP(N12,'G-7 Rivers Data'!$B$4:$G$8,5,FALSE))</f>
        <v/>
      </c>
      <c r="AF12" s="507" t="str">
        <f>IF(N12="","",IF(AC12="Check Data ⚠","Check Data ⚠",IF(T12="","",IF($AB12="Check details - Is there evidence that habitat has reached target condition? ⚠","Low Difficulty - only applicable if all habitat created before losses ⚠","Standard difficulty applied"))))</f>
        <v/>
      </c>
      <c r="AG12" s="540" t="str">
        <f>(IF(AND(AF12="Standard difficulty applied",Y12&gt;Z12),AE12,IF(AND(AF12="Low Difficulty - only applicable if all habitat created before losses ⚠",Z12&gt;=Y12),"Low",AE12)))</f>
        <v/>
      </c>
      <c r="AH12" s="499" t="str">
        <f t="shared" ref="AH12:AH75" si="0">IF(N12="","",VLOOKUP(AE12,Difficulty,2,FALSE))</f>
        <v/>
      </c>
      <c r="AI12" s="154"/>
      <c r="AJ12" s="499" t="str">
        <f>IF(AI12="","",IF(VLOOKUP(AI12,'G-7 Rivers Data'!$AA$4:$AB$7,2,FALSE)=0,"Spatial Data Missing ⚠",VLOOKUP(AI12,'G-7 Rivers Data'!$AA$4:$AB$7,2,FALSE)))</f>
        <v/>
      </c>
      <c r="AK12" s="155"/>
      <c r="AL12" s="499" t="str">
        <f>IF(AK12="","",IF(VLOOKUP(AK12,'G-7 Rivers Data'!$AD$4:$AE$8,2,FALSE)=0,"Spatial Data Missing ⚠",VLOOKUP(AK12,'G-7 Rivers Data'!$AD$4:$AE$8,2,FALSE)))</f>
        <v/>
      </c>
      <c r="AM12" s="545" t="str">
        <f>IFERROR(IF(C12="","",IF(Q12&gt;D12,((((Q12*S12*U12)-(D12*F12*H12))*(AH12*AD12))+(D12*F12*H12))*(AL12*X12*AJ12),((((Q12*S12*U12)-(Q12*F12*H12))*(AH12*AD12))+(Q12*F12*H12))*(AL12*X12*AJ12))),"")</f>
        <v/>
      </c>
      <c r="AN12" s="149"/>
      <c r="AO12" s="150"/>
      <c r="AV12" s="31" t="str">
        <f>IFERROR(INDEX('G-7 Rivers Data'!$AZ$3:$AZ$7,MATCH(N12,'G-7 Rivers Data'!$AY$3:$AY$7,0)),"")</f>
        <v/>
      </c>
    </row>
    <row r="13" spans="2:48" ht="13.8" x14ac:dyDescent="0.25">
      <c r="B13" s="531" t="str">
        <f>'C-1 Site River Baseline'!AN11</f>
        <v/>
      </c>
      <c r="C13" s="520" t="str">
        <f>IF(B13="","",VLOOKUP($B13,'C-1 Site River Baseline'!$C$9:$R$257,2,FALSE))</f>
        <v/>
      </c>
      <c r="D13" s="520" t="str">
        <f>IF(C13="","",VLOOKUP($B13,'C-1 Site River Baseline'!$C$9:$R$257,3,FALSE))</f>
        <v/>
      </c>
      <c r="E13" s="520" t="str">
        <f>IF(D13="","",VLOOKUP($B13,'C-1 Site River Baseline'!$C$9:$R$257,4,FALSE))</f>
        <v/>
      </c>
      <c r="F13" s="520" t="str">
        <f>IF(E13="","",VLOOKUP($B13,'C-1 Site River Baseline'!$C$9:$R$257,5,FALSE))</f>
        <v/>
      </c>
      <c r="G13" s="520" t="str">
        <f>IF(F13="","",VLOOKUP($B13,'C-1 Site River Baseline'!$C$9:$R$257,6,FALSE))</f>
        <v/>
      </c>
      <c r="H13" s="520" t="str">
        <f>IF(G13="","",VLOOKUP($B13,'C-1 Site River Baseline'!$C$9:$R$257,7,FALSE))</f>
        <v/>
      </c>
      <c r="I13" s="520" t="str">
        <f>IF(H13="","",VLOOKUP($B13,'C-1 Site River Baseline'!$C$9:$R$257,8,FALSE))</f>
        <v/>
      </c>
      <c r="J13" s="520" t="str">
        <f>IF(I13="","",VLOOKUP($B13,'C-1 Site River Baseline'!$C$9:$R$257,9,FALSE))</f>
        <v/>
      </c>
      <c r="K13" s="520" t="str">
        <f>IF(J13="","",VLOOKUP($B13,'C-1 Site River Baseline'!$C$9:$R$257,10,FALSE))</f>
        <v/>
      </c>
      <c r="L13" s="520" t="str">
        <f>IF(B13="","",VLOOKUP($B13,'C-1 Site River Baseline'!$C$9:$R$257,15,FALSE))</f>
        <v/>
      </c>
      <c r="M13" s="524" t="str">
        <f>IF(L13="","",VLOOKUP($B13,'C-1 Site River Baseline'!$C$9:$R$257,16,FALSE))</f>
        <v/>
      </c>
      <c r="N13" s="426"/>
      <c r="O13" s="498" t="str">
        <f t="shared" ref="O13:O76" si="1">IF(B13="","",IF(S13&lt;F13,"Error Trading Down ▲",E13&amp;" - "&amp;R13))</f>
        <v/>
      </c>
      <c r="P13" s="499" t="str">
        <f>IF(C13="","",IF(AND(LEFT(C13,55)&lt;&gt;LEFT(N13,55),O13="High - High"),"Error - Not like for like ▲",IF(AND(F13=S13,H13&gt;U13),"Error - Can not reduce condition ▲",IF(AND(F13=S13,H13=U13,AJ13='C-1 Site River Baseline'!N11,'C-1 Site River Baseline'!P11=AL13),"Error - No enhancement ▲",IF(AND(C13&lt;&gt;N13,F13&lt;S13),"Lower Distinctiveness Habitat"&amp;" - "&amp;T13,G13&amp;" - "&amp;T13)))))</f>
        <v/>
      </c>
      <c r="Q13" s="567" t="str">
        <f>IF(N13="","",VLOOKUP(B13,'C-1 Site River Baseline'!$C$10:$AA$257,19,FALSE))</f>
        <v/>
      </c>
      <c r="R13" s="498" t="str">
        <f>IF(N13="","",VLOOKUP(N13,'G-7 Rivers Data'!$B$2:$G$8,2,FALSE))</f>
        <v/>
      </c>
      <c r="S13" s="499" t="str">
        <f>IFERROR(VLOOKUP(R13,'G-7 Rivers Data'!$C$4:$D$8,2,FALSE),"")</f>
        <v/>
      </c>
      <c r="T13" s="145"/>
      <c r="U13" s="499" t="str">
        <f>IFERROR(INDEX('G-7 Rivers Data'!$H$4:$L$8,MATCH(N13,'G-7 Rivers Data'!$B$4:$B$8,0),MATCH(T13,'G-7 Rivers Data'!$H$3:$L$3,0)),"")</f>
        <v/>
      </c>
      <c r="V13" s="154"/>
      <c r="W13" s="507" t="str">
        <f>IF(V13="","",IF(VLOOKUP(V13,'G-7 Rivers Data'!$AG$4:$AI$9,2,FALSE)=0,"Spatial Data Missing ⚠",VLOOKUP(V13,'G-7 Rivers Data'!$AG$4:$AI$9,2,FALSE)))</f>
        <v/>
      </c>
      <c r="X13" s="499" t="str">
        <f>IF(V13="","",IF(VLOOKUP(V13,'G-7 Rivers Data'!$AG$4:$AI$9,3,FALSE)=0,"Spatial Data Missing ⚠",VLOOKUP(V13,'G-7 Rivers Data'!$AG$4:$AI$9,3,FALSE)))</f>
        <v/>
      </c>
      <c r="Y13" s="498" t="str">
        <f>IFERROR(IF(OR(LEFT(P13,5)="Error ▲",LEFT(O13,5)="Error ▲"),"Check Data ⚠",IF(F13&lt;S13,'G-7 Rivers Data'!$R$3,INDEX('G-7 Rivers Data'!$U$5:$Y$9,MATCH(G13,'G-7 Rivers Data'!$T$5:$T$9,0),MATCH(T13,'G-7 Rivers Data'!$U$4:$Y$4,0)))),"")</f>
        <v/>
      </c>
      <c r="Z13" s="195"/>
      <c r="AA13" s="195"/>
      <c r="AB13" s="507" t="str">
        <f t="shared" ref="AB13:AB76" si="2">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521" t="str">
        <f t="shared" ref="AC13:AC76" si="3">IF(LEFT(AB13,5)="Error ▲","Check Data ⚠",IF(AB13="Check Data ⚠","Check Data ⚠",IF(Y13="","",IF(Z13="30+",0,IF(AA13="30+","30+ ⚠",IF(Y13+AA13&gt;30,"30+ ⚠",IF(Y13+AA13-Z13&gt;0,Y13+AA13-Z13,IF(Y13-Z13&lt;0,0,Y13+AA13-Z13))))))))</f>
        <v/>
      </c>
      <c r="AD13" s="564" t="str">
        <f>IFERROR(IF(AC13="Check Data ⚠","Check Data ⚠",VLOOKUP(AC13,'G-4 Temporal multipliers'!$A$4:$C$37,3,FALSE)),"")</f>
        <v/>
      </c>
      <c r="AE13" s="498" t="str">
        <f>IF(N13="","",VLOOKUP(N13,'G-7 Rivers Data'!$B$4:$G$8,5,FALSE))</f>
        <v/>
      </c>
      <c r="AF13" s="507" t="str">
        <f t="shared" ref="AF13:AF76" si="4">IF(N13="","",IF(AC13="Check Data ⚠","Check Data ⚠",IF(T13="","",IF($AB13="Check details - Is there evidence that habitat has reached target condition? ⚠","Low Difficulty - only applicable if all habitat created before losses ⚠","Standard difficulty applied"))))</f>
        <v/>
      </c>
      <c r="AG13" s="540" t="str">
        <f t="shared" ref="AG13:AG76" si="5">(IF(AND(AF13="Standard difficulty applied",Y13&gt;Z13),AE13,IF(AND(AF13="Low Difficulty - only applicable if all habitat created before losses ⚠",Z13&gt;=Y13),"Low",AE13)))</f>
        <v/>
      </c>
      <c r="AH13" s="499" t="str">
        <f t="shared" si="0"/>
        <v/>
      </c>
      <c r="AI13" s="145"/>
      <c r="AJ13" s="499" t="str">
        <f>IF(AI13="","",IF(VLOOKUP(AI13,'G-7 Rivers Data'!$AA$4:$AB$7,2,FALSE)=0,"Spatial Data Missing ⚠",VLOOKUP(AI13,'G-7 Rivers Data'!$AA$4:$AB$7,2,FALSE)))</f>
        <v/>
      </c>
      <c r="AK13" s="155"/>
      <c r="AL13" s="499" t="str">
        <f>IF(AK13="","",IF(VLOOKUP(AK13,'G-7 Rivers Data'!$AD$4:$AE$8,2,FALSE)=0,"Spatial Data Missing ⚠",VLOOKUP(AK13,'G-7 Rivers Data'!$AD$4:$AE$8,2,FALSE)))</f>
        <v/>
      </c>
      <c r="AM13" s="545" t="str">
        <f>IFERROR(IF(C13="","",IF(Q13&gt;D13,((((Q13*S13*U13)-(D13*F13*H13))*(AH13*AD13))+(D13*F13*H13))*(AL13*X13*AJ13),((((Q13*S13*U13)-(Q13*F13*H13))*(AH13*AD13))+(Q13*F13*H13))*(AL13*X13*AJ13))),"")</f>
        <v/>
      </c>
      <c r="AN13" s="149"/>
      <c r="AO13" s="150"/>
      <c r="AV13" s="31" t="str">
        <f>IFERROR(INDEX('G-7 Rivers Data'!$AZ$3:$AZ$7,MATCH(N13,'G-7 Rivers Data'!$AY$3:$AY$7,0)),"")</f>
        <v/>
      </c>
    </row>
    <row r="14" spans="2:48" ht="13.8" x14ac:dyDescent="0.25">
      <c r="B14" s="531" t="str">
        <f>'C-1 Site River Baseline'!AN12</f>
        <v/>
      </c>
      <c r="C14" s="520" t="str">
        <f>IF(B14="","",VLOOKUP($B14,'C-1 Site River Baseline'!$C$9:$R$257,2,FALSE))</f>
        <v/>
      </c>
      <c r="D14" s="520" t="str">
        <f>IF(C14="","",VLOOKUP($B14,'C-1 Site River Baseline'!$C$9:$R$257,3,FALSE))</f>
        <v/>
      </c>
      <c r="E14" s="520" t="str">
        <f>IF(D14="","",VLOOKUP($B14,'C-1 Site River Baseline'!$C$9:$R$257,4,FALSE))</f>
        <v/>
      </c>
      <c r="F14" s="520" t="str">
        <f>IF(E14="","",VLOOKUP($B14,'C-1 Site River Baseline'!$C$9:$R$257,5,FALSE))</f>
        <v/>
      </c>
      <c r="G14" s="520" t="str">
        <f>IF(F14="","",VLOOKUP($B14,'C-1 Site River Baseline'!$C$9:$R$257,6,FALSE))</f>
        <v/>
      </c>
      <c r="H14" s="520" t="str">
        <f>IF(G14="","",VLOOKUP($B14,'C-1 Site River Baseline'!$C$9:$R$257,7,FALSE))</f>
        <v/>
      </c>
      <c r="I14" s="520" t="str">
        <f>IF(H14="","",VLOOKUP($B14,'C-1 Site River Baseline'!$C$9:$R$257,8,FALSE))</f>
        <v/>
      </c>
      <c r="J14" s="520" t="str">
        <f>IF(I14="","",VLOOKUP($B14,'C-1 Site River Baseline'!$C$9:$R$257,9,FALSE))</f>
        <v/>
      </c>
      <c r="K14" s="520" t="str">
        <f>IF(J14="","",VLOOKUP($B14,'C-1 Site River Baseline'!$C$9:$R$257,10,FALSE))</f>
        <v/>
      </c>
      <c r="L14" s="520" t="str">
        <f>IF(B14="","",VLOOKUP($B14,'C-1 Site River Baseline'!$C$9:$R$257,15,FALSE))</f>
        <v/>
      </c>
      <c r="M14" s="524" t="str">
        <f>IF(L14="","",VLOOKUP($B14,'C-1 Site River Baseline'!$C$9:$R$257,16,FALSE))</f>
        <v/>
      </c>
      <c r="N14" s="426" t="str">
        <f t="shared" ref="N14:N76" si="6">C14</f>
        <v/>
      </c>
      <c r="O14" s="498" t="str">
        <f t="shared" si="1"/>
        <v/>
      </c>
      <c r="P14" s="499" t="str">
        <f>IF(C14="","",IF(AND(LEFT(C14,55)&lt;&gt;LEFT(N14,55),O14="High - High"),"Error - Not like for like ▲",IF(AND(F14=S14,H14&gt;U14),"Error - Can not reduce condition ▲",IF(AND(F14=S14,H14=U14,AJ14='C-1 Site River Baseline'!N12,'C-1 Site River Baseline'!P12=AL14),"Error - No enhancement ▲",IF(AND(C14&lt;&gt;N14,F14&lt;S14),"Lower Distinctiveness Habitat"&amp;" - "&amp;T14,G14&amp;" - "&amp;T14)))))</f>
        <v/>
      </c>
      <c r="Q14" s="567" t="str">
        <f>IF(N14="","",VLOOKUP(B14,'C-1 Site River Baseline'!$C$10:$AA$257,19,FALSE))</f>
        <v/>
      </c>
      <c r="R14" s="498" t="str">
        <f>IF(N14="","",VLOOKUP(N14,'G-7 Rivers Data'!$B$2:$G$8,2,FALSE))</f>
        <v/>
      </c>
      <c r="S14" s="499" t="str">
        <f>IFERROR(VLOOKUP(R14,'G-7 Rivers Data'!$C$4:$D$8,2,FALSE),"")</f>
        <v/>
      </c>
      <c r="T14" s="145"/>
      <c r="U14" s="499" t="str">
        <f>IFERROR(INDEX('G-7 Rivers Data'!$H$4:$L$8,MATCH(N14,'G-7 Rivers Data'!$B$4:$B$8,0),MATCH(T14,'G-7 Rivers Data'!$H$3:$L$3,0)),"")</f>
        <v/>
      </c>
      <c r="V14" s="154"/>
      <c r="W14" s="507" t="str">
        <f>IF(V14="","",IF(VLOOKUP(V14,'G-7 Rivers Data'!$AG$4:$AI$9,2,FALSE)=0,"Spatial Data Missing ⚠",VLOOKUP(V14,'G-7 Rivers Data'!$AG$4:$AI$9,2,FALSE)))</f>
        <v/>
      </c>
      <c r="X14" s="499" t="str">
        <f>IF(V14="","",IF(VLOOKUP(V14,'G-7 Rivers Data'!$AG$4:$AI$9,3,FALSE)=0,"Spatial Data Missing ⚠",VLOOKUP(V14,'G-7 Rivers Data'!$AG$4:$AI$9,3,FALSE)))</f>
        <v/>
      </c>
      <c r="Y14" s="498" t="str">
        <f>IFERROR(IF(OR(LEFT(P14,5)="Error ▲",LEFT(O14,5)="Error ▲"),"Check Data ⚠",IF(F14&lt;S14,'G-7 Rivers Data'!$R$3,INDEX('G-7 Rivers Data'!$U$5:$Y$9,MATCH(G14,'G-7 Rivers Data'!$T$5:$T$9,0),MATCH(T14,'G-7 Rivers Data'!$U$4:$Y$4,0)))),"")</f>
        <v/>
      </c>
      <c r="Z14" s="195"/>
      <c r="AA14" s="195"/>
      <c r="AB14" s="507" t="str">
        <f t="shared" si="2"/>
        <v/>
      </c>
      <c r="AC14" s="521" t="str">
        <f t="shared" si="3"/>
        <v/>
      </c>
      <c r="AD14" s="564" t="str">
        <f>IFERROR(IF(AC14="Check Data ⚠","Check Data ⚠",VLOOKUP(AC14,'G-4 Temporal multipliers'!$A$4:$C$37,3,FALSE)),"")</f>
        <v/>
      </c>
      <c r="AE14" s="498" t="str">
        <f>IF(N14="","",VLOOKUP(N14,'G-7 Rivers Data'!$B$4:$G$8,5,FALSE))</f>
        <v/>
      </c>
      <c r="AF14" s="507" t="str">
        <f t="shared" si="4"/>
        <v/>
      </c>
      <c r="AG14" s="540" t="str">
        <f t="shared" si="5"/>
        <v/>
      </c>
      <c r="AH14" s="499" t="str">
        <f t="shared" si="0"/>
        <v/>
      </c>
      <c r="AI14" s="145"/>
      <c r="AJ14" s="499" t="str">
        <f>IF(AI14="","",IF(VLOOKUP(AI14,'G-7 Rivers Data'!$AA$4:$AB$7,2,FALSE)=0,"Spatial Data Missing ⚠",VLOOKUP(AI14,'G-7 Rivers Data'!$AA$4:$AB$7,2,FALSE)))</f>
        <v/>
      </c>
      <c r="AK14" s="155"/>
      <c r="AL14" s="499" t="str">
        <f>IF(AK14="","",IF(VLOOKUP(AK14,'G-7 Rivers Data'!$AD$4:$AE$8,2,FALSE)=0,"Spatial Data Missing ⚠",VLOOKUP(AK14,'G-7 Rivers Data'!$AD$4:$AE$8,2,FALSE)))</f>
        <v/>
      </c>
      <c r="AM14" s="545" t="str">
        <f t="shared" ref="AM14:AM77" si="7">IFERROR(IF(C14="","",IF(Q14&gt;D14,((((Q14*S14*U14)-(D14*F14*H14))*(AH14*AD14))+(D14*F14*H14))*(AL14*X14*AJ14),((((Q14*S14*U14)-(Q14*F14*H14))*(AH14*AD14))+(Q14*F14*H14))*(AL14*X14*AJ14))),"")</f>
        <v/>
      </c>
      <c r="AN14" s="149"/>
      <c r="AO14" s="150"/>
      <c r="AV14" s="31" t="str">
        <f>IFERROR(INDEX('G-7 Rivers Data'!$AZ$3:$AZ$7,MATCH(N14,'G-7 Rivers Data'!$AY$3:$AY$7,0)),"")</f>
        <v/>
      </c>
    </row>
    <row r="15" spans="2:48" ht="13.8" x14ac:dyDescent="0.25">
      <c r="B15" s="531" t="str">
        <f>'C-1 Site River Baseline'!AN13</f>
        <v/>
      </c>
      <c r="C15" s="520" t="str">
        <f>IF(B15="","",VLOOKUP($B15,'C-1 Site River Baseline'!$C$9:$R$257,2,FALSE))</f>
        <v/>
      </c>
      <c r="D15" s="520" t="str">
        <f>IF(C15="","",VLOOKUP($B15,'C-1 Site River Baseline'!$C$9:$R$257,3,FALSE))</f>
        <v/>
      </c>
      <c r="E15" s="520" t="str">
        <f>IF(D15="","",VLOOKUP($B15,'C-1 Site River Baseline'!$C$9:$R$257,4,FALSE))</f>
        <v/>
      </c>
      <c r="F15" s="520" t="str">
        <f>IF(E15="","",VLOOKUP($B15,'C-1 Site River Baseline'!$C$9:$R$257,5,FALSE))</f>
        <v/>
      </c>
      <c r="G15" s="520" t="str">
        <f>IF(F15="","",VLOOKUP($B15,'C-1 Site River Baseline'!$C$9:$R$257,6,FALSE))</f>
        <v/>
      </c>
      <c r="H15" s="520" t="str">
        <f>IF(G15="","",VLOOKUP($B15,'C-1 Site River Baseline'!$C$9:$R$257,7,FALSE))</f>
        <v/>
      </c>
      <c r="I15" s="520" t="str">
        <f>IF(H15="","",VLOOKUP($B15,'C-1 Site River Baseline'!$C$9:$R$257,8,FALSE))</f>
        <v/>
      </c>
      <c r="J15" s="520" t="str">
        <f>IF(I15="","",VLOOKUP($B15,'C-1 Site River Baseline'!$C$9:$R$257,9,FALSE))</f>
        <v/>
      </c>
      <c r="K15" s="520" t="str">
        <f>IF(J15="","",VLOOKUP($B15,'C-1 Site River Baseline'!$C$9:$R$257,10,FALSE))</f>
        <v/>
      </c>
      <c r="L15" s="520" t="str">
        <f>IF(B15="","",VLOOKUP($B15,'C-1 Site River Baseline'!$C$9:$R$257,15,FALSE))</f>
        <v/>
      </c>
      <c r="M15" s="524" t="str">
        <f>IF(L15="","",VLOOKUP($B15,'C-1 Site River Baseline'!$C$9:$R$257,16,FALSE))</f>
        <v/>
      </c>
      <c r="N15" s="426" t="str">
        <f t="shared" si="6"/>
        <v/>
      </c>
      <c r="O15" s="498" t="str">
        <f t="shared" si="1"/>
        <v/>
      </c>
      <c r="P15" s="499" t="str">
        <f>IF(C15="","",IF(AND(LEFT(C15,55)&lt;&gt;LEFT(N15,55),O15="High - High"),"Error - Not like for like ▲",IF(AND(F15=S15,H15&gt;U15),"Error - Can not reduce condition ▲",IF(AND(F15=S15,H15=U15,AJ15='C-1 Site River Baseline'!N13,'C-1 Site River Baseline'!P13=AL15),"Error - No enhancement ▲",IF(AND(C15&lt;&gt;N15,F15&lt;S15),"Lower Distinctiveness Habitat"&amp;" - "&amp;T15,G15&amp;" - "&amp;T15)))))</f>
        <v/>
      </c>
      <c r="Q15" s="567" t="str">
        <f>IF(N15="","",VLOOKUP(B15,'C-1 Site River Baseline'!$C$10:$AA$257,19,FALSE))</f>
        <v/>
      </c>
      <c r="R15" s="498" t="str">
        <f>IF(N15="","",VLOOKUP(N15,'G-7 Rivers Data'!$B$2:$G$8,2,FALSE))</f>
        <v/>
      </c>
      <c r="S15" s="499" t="str">
        <f>IFERROR(VLOOKUP(R15,'G-7 Rivers Data'!$C$4:$D$8,2,FALSE),"")</f>
        <v/>
      </c>
      <c r="T15" s="145"/>
      <c r="U15" s="499" t="str">
        <f>IFERROR(INDEX('G-7 Rivers Data'!$H$4:$L$8,MATCH(N15,'G-7 Rivers Data'!$B$4:$B$8,0),MATCH(T15,'G-7 Rivers Data'!$H$3:$L$3,0)),"")</f>
        <v/>
      </c>
      <c r="V15" s="154"/>
      <c r="W15" s="507" t="str">
        <f>IF(V15="","",IF(VLOOKUP(V15,'G-7 Rivers Data'!$AG$4:$AI$9,2,FALSE)=0,"Spatial Data Missing ⚠",VLOOKUP(V15,'G-7 Rivers Data'!$AG$4:$AI$9,2,FALSE)))</f>
        <v/>
      </c>
      <c r="X15" s="499" t="str">
        <f>IF(V15="","",IF(VLOOKUP(V15,'G-7 Rivers Data'!$AG$4:$AI$9,3,FALSE)=0,"Spatial Data Missing ⚠",VLOOKUP(V15,'G-7 Rivers Data'!$AG$4:$AI$9,3,FALSE)))</f>
        <v/>
      </c>
      <c r="Y15" s="498" t="str">
        <f>IFERROR(IF(OR(LEFT(P15,5)="Error ▲",LEFT(O15,5)="Error ▲"),"Check Data ⚠",IF(F15&lt;S15,'G-7 Rivers Data'!$R$3,INDEX('G-7 Rivers Data'!$U$5:$Y$9,MATCH(G15,'G-7 Rivers Data'!$T$5:$T$9,0),MATCH(T15,'G-7 Rivers Data'!$U$4:$Y$4,0)))),"")</f>
        <v/>
      </c>
      <c r="Z15" s="195"/>
      <c r="AA15" s="195"/>
      <c r="AB15" s="507" t="str">
        <f t="shared" si="2"/>
        <v/>
      </c>
      <c r="AC15" s="521" t="str">
        <f t="shared" si="3"/>
        <v/>
      </c>
      <c r="AD15" s="564" t="str">
        <f>IFERROR(IF(AC15="Check Data ⚠","Check Data ⚠",VLOOKUP(AC15,'G-4 Temporal multipliers'!$A$4:$C$37,3,FALSE)),"")</f>
        <v/>
      </c>
      <c r="AE15" s="498" t="str">
        <f>IF(N15="","",VLOOKUP(N15,'G-7 Rivers Data'!$B$4:$G$8,5,FALSE))</f>
        <v/>
      </c>
      <c r="AF15" s="507" t="str">
        <f t="shared" si="4"/>
        <v/>
      </c>
      <c r="AG15" s="540" t="str">
        <f t="shared" si="5"/>
        <v/>
      </c>
      <c r="AH15" s="499" t="str">
        <f t="shared" si="0"/>
        <v/>
      </c>
      <c r="AI15" s="145"/>
      <c r="AJ15" s="499" t="str">
        <f>IF(AI15="","",IF(VLOOKUP(AI15,'G-7 Rivers Data'!$AA$4:$AB$7,2,FALSE)=0,"Spatial Data Missing ⚠",VLOOKUP(AI15,'G-7 Rivers Data'!$AA$4:$AB$7,2,FALSE)))</f>
        <v/>
      </c>
      <c r="AK15" s="155"/>
      <c r="AL15" s="499" t="str">
        <f>IF(AK15="","",IF(VLOOKUP(AK15,'G-7 Rivers Data'!$AD$4:$AE$8,2,FALSE)=0,"Spatial Data Missing ⚠",VLOOKUP(AK15,'G-7 Rivers Data'!$AD$4:$AE$8,2,FALSE)))</f>
        <v/>
      </c>
      <c r="AM15" s="545" t="str">
        <f t="shared" si="7"/>
        <v/>
      </c>
      <c r="AN15" s="149"/>
      <c r="AO15" s="150"/>
      <c r="AV15" s="31" t="str">
        <f>IFERROR(INDEX('G-7 Rivers Data'!$AZ$3:$AZ$7,MATCH(N15,'G-7 Rivers Data'!$AY$3:$AY$7,0)),"")</f>
        <v/>
      </c>
    </row>
    <row r="16" spans="2:48" ht="13.8" x14ac:dyDescent="0.25">
      <c r="B16" s="531" t="str">
        <f>'C-1 Site River Baseline'!AN14</f>
        <v/>
      </c>
      <c r="C16" s="520" t="str">
        <f>IF(B16="","",VLOOKUP($B16,'C-1 Site River Baseline'!$C$9:$R$257,2,FALSE))</f>
        <v/>
      </c>
      <c r="D16" s="520" t="str">
        <f>IF(C16="","",VLOOKUP($B16,'C-1 Site River Baseline'!$C$9:$R$257,3,FALSE))</f>
        <v/>
      </c>
      <c r="E16" s="520" t="str">
        <f>IF(D16="","",VLOOKUP($B16,'C-1 Site River Baseline'!$C$9:$R$257,4,FALSE))</f>
        <v/>
      </c>
      <c r="F16" s="520" t="str">
        <f>IF(E16="","",VLOOKUP($B16,'C-1 Site River Baseline'!$C$9:$R$257,5,FALSE))</f>
        <v/>
      </c>
      <c r="G16" s="520" t="str">
        <f>IF(F16="","",VLOOKUP($B16,'C-1 Site River Baseline'!$C$9:$R$257,6,FALSE))</f>
        <v/>
      </c>
      <c r="H16" s="520" t="str">
        <f>IF(G16="","",VLOOKUP($B16,'C-1 Site River Baseline'!$C$9:$R$257,7,FALSE))</f>
        <v/>
      </c>
      <c r="I16" s="520" t="str">
        <f>IF(H16="","",VLOOKUP($B16,'C-1 Site River Baseline'!$C$9:$R$257,8,FALSE))</f>
        <v/>
      </c>
      <c r="J16" s="520" t="str">
        <f>IF(I16="","",VLOOKUP($B16,'C-1 Site River Baseline'!$C$9:$R$257,9,FALSE))</f>
        <v/>
      </c>
      <c r="K16" s="520" t="str">
        <f>IF(J16="","",VLOOKUP($B16,'C-1 Site River Baseline'!$C$9:$R$257,10,FALSE))</f>
        <v/>
      </c>
      <c r="L16" s="520" t="str">
        <f>IF(B16="","",VLOOKUP($B16,'C-1 Site River Baseline'!$C$9:$R$257,15,FALSE))</f>
        <v/>
      </c>
      <c r="M16" s="524" t="str">
        <f>IF(L16="","",VLOOKUP($B16,'C-1 Site River Baseline'!$C$9:$R$257,16,FALSE))</f>
        <v/>
      </c>
      <c r="N16" s="426" t="str">
        <f t="shared" si="6"/>
        <v/>
      </c>
      <c r="O16" s="498" t="str">
        <f t="shared" si="1"/>
        <v/>
      </c>
      <c r="P16" s="499" t="str">
        <f>IF(C16="","",IF(AND(LEFT(C16,55)&lt;&gt;LEFT(N16,55),O16="High - High"),"Error - Not like for like ▲",IF(AND(F16=S16,H16&gt;U16),"Error - Can not reduce condition ▲",IF(AND(F16=S16,H16=U16,AJ16='C-1 Site River Baseline'!N14,'C-1 Site River Baseline'!P14=AL16),"Error - No enhancement ▲",IF(AND(C16&lt;&gt;N16,F16&lt;S16),"Lower Distinctiveness Habitat"&amp;" - "&amp;T16,G16&amp;" - "&amp;T16)))))</f>
        <v/>
      </c>
      <c r="Q16" s="567" t="str">
        <f>IF(N16="","",VLOOKUP(B16,'C-1 Site River Baseline'!$C$10:$AA$257,19,FALSE))</f>
        <v/>
      </c>
      <c r="R16" s="498" t="str">
        <f>IF(N16="","",VLOOKUP(N16,'G-7 Rivers Data'!$B$2:$G$8,2,FALSE))</f>
        <v/>
      </c>
      <c r="S16" s="499" t="str">
        <f>IFERROR(VLOOKUP(R16,'G-7 Rivers Data'!$C$4:$D$8,2,FALSE),"")</f>
        <v/>
      </c>
      <c r="T16" s="145"/>
      <c r="U16" s="499" t="str">
        <f>IFERROR(INDEX('G-7 Rivers Data'!$H$4:$L$8,MATCH(N16,'G-7 Rivers Data'!$B$4:$B$8,0),MATCH(T16,'G-7 Rivers Data'!$H$3:$L$3,0)),"")</f>
        <v/>
      </c>
      <c r="V16" s="154"/>
      <c r="W16" s="507" t="str">
        <f>IF(V16="","",IF(VLOOKUP(V16,'G-7 Rivers Data'!$AG$4:$AI$9,2,FALSE)=0,"Spatial Data Missing ⚠",VLOOKUP(V16,'G-7 Rivers Data'!$AG$4:$AI$9,2,FALSE)))</f>
        <v/>
      </c>
      <c r="X16" s="499" t="str">
        <f>IF(V16="","",IF(VLOOKUP(V16,'G-7 Rivers Data'!$AG$4:$AI$9,3,FALSE)=0,"Spatial Data Missing ⚠",VLOOKUP(V16,'G-7 Rivers Data'!$AG$4:$AI$9,3,FALSE)))</f>
        <v/>
      </c>
      <c r="Y16" s="498" t="str">
        <f>IFERROR(IF(OR(LEFT(P16,5)="Error ▲",LEFT(O16,5)="Error ▲"),"Check Data ⚠",IF(F16&lt;S16,'G-7 Rivers Data'!$R$3,INDEX('G-7 Rivers Data'!$U$5:$Y$9,MATCH(G16,'G-7 Rivers Data'!$T$5:$T$9,0),MATCH(T16,'G-7 Rivers Data'!$U$4:$Y$4,0)))),"")</f>
        <v/>
      </c>
      <c r="Z16" s="195"/>
      <c r="AA16" s="195"/>
      <c r="AB16" s="507" t="str">
        <f t="shared" si="2"/>
        <v/>
      </c>
      <c r="AC16" s="521" t="str">
        <f t="shared" si="3"/>
        <v/>
      </c>
      <c r="AD16" s="564" t="str">
        <f>IFERROR(IF(AC16="Check Data ⚠","Check Data ⚠",VLOOKUP(AC16,'G-4 Temporal multipliers'!$A$4:$C$37,3,FALSE)),"")</f>
        <v/>
      </c>
      <c r="AE16" s="498" t="str">
        <f>IF(N16="","",VLOOKUP(N16,'G-7 Rivers Data'!$B$4:$G$8,5,FALSE))</f>
        <v/>
      </c>
      <c r="AF16" s="507" t="str">
        <f t="shared" si="4"/>
        <v/>
      </c>
      <c r="AG16" s="540" t="str">
        <f t="shared" si="5"/>
        <v/>
      </c>
      <c r="AH16" s="499" t="str">
        <f t="shared" si="0"/>
        <v/>
      </c>
      <c r="AI16" s="145"/>
      <c r="AJ16" s="499" t="str">
        <f>IF(AI16="","",IF(VLOOKUP(AI16,'G-7 Rivers Data'!$AA$4:$AB$7,2,FALSE)=0,"Spatial Data Missing ⚠",VLOOKUP(AI16,'G-7 Rivers Data'!$AA$4:$AB$7,2,FALSE)))</f>
        <v/>
      </c>
      <c r="AK16" s="155"/>
      <c r="AL16" s="499" t="str">
        <f>IF(AK16="","",IF(VLOOKUP(AK16,'G-7 Rivers Data'!$AD$4:$AE$8,2,FALSE)=0,"Spatial Data Missing ⚠",VLOOKUP(AK16,'G-7 Rivers Data'!$AD$4:$AE$8,2,FALSE)))</f>
        <v/>
      </c>
      <c r="AM16" s="545" t="str">
        <f t="shared" si="7"/>
        <v/>
      </c>
      <c r="AN16" s="149"/>
      <c r="AO16" s="150"/>
      <c r="AV16" s="31" t="str">
        <f>IFERROR(INDEX('G-7 Rivers Data'!$AZ$3:$AZ$7,MATCH(N16,'G-7 Rivers Data'!$AY$3:$AY$7,0)),"")</f>
        <v/>
      </c>
    </row>
    <row r="17" spans="2:48" ht="13.8" x14ac:dyDescent="0.25">
      <c r="B17" s="531" t="str">
        <f>'C-1 Site River Baseline'!AN15</f>
        <v/>
      </c>
      <c r="C17" s="520" t="str">
        <f>IF(B17="","",VLOOKUP($B17,'C-1 Site River Baseline'!$C$9:$R$257,2,FALSE))</f>
        <v/>
      </c>
      <c r="D17" s="520" t="str">
        <f>IF(C17="","",VLOOKUP($B17,'C-1 Site River Baseline'!$C$9:$R$257,3,FALSE))</f>
        <v/>
      </c>
      <c r="E17" s="520" t="str">
        <f>IF(D17="","",VLOOKUP($B17,'C-1 Site River Baseline'!$C$9:$R$257,4,FALSE))</f>
        <v/>
      </c>
      <c r="F17" s="520" t="str">
        <f>IF(E17="","",VLOOKUP($B17,'C-1 Site River Baseline'!$C$9:$R$257,5,FALSE))</f>
        <v/>
      </c>
      <c r="G17" s="520" t="str">
        <f>IF(F17="","",VLOOKUP($B17,'C-1 Site River Baseline'!$C$9:$R$257,6,FALSE))</f>
        <v/>
      </c>
      <c r="H17" s="520" t="str">
        <f>IF(G17="","",VLOOKUP($B17,'C-1 Site River Baseline'!$C$9:$R$257,7,FALSE))</f>
        <v/>
      </c>
      <c r="I17" s="520" t="str">
        <f>IF(H17="","",VLOOKUP($B17,'C-1 Site River Baseline'!$C$9:$R$257,8,FALSE))</f>
        <v/>
      </c>
      <c r="J17" s="520" t="str">
        <f>IF(I17="","",VLOOKUP($B17,'C-1 Site River Baseline'!$C$9:$R$257,9,FALSE))</f>
        <v/>
      </c>
      <c r="K17" s="520" t="str">
        <f>IF(J17="","",VLOOKUP($B17,'C-1 Site River Baseline'!$C$9:$R$257,10,FALSE))</f>
        <v/>
      </c>
      <c r="L17" s="520" t="str">
        <f>IF(B17="","",VLOOKUP($B17,'C-1 Site River Baseline'!$C$9:$R$257,15,FALSE))</f>
        <v/>
      </c>
      <c r="M17" s="524" t="str">
        <f>IF(L17="","",VLOOKUP($B17,'C-1 Site River Baseline'!$C$9:$R$257,16,FALSE))</f>
        <v/>
      </c>
      <c r="N17" s="426" t="str">
        <f t="shared" si="6"/>
        <v/>
      </c>
      <c r="O17" s="498" t="str">
        <f t="shared" si="1"/>
        <v/>
      </c>
      <c r="P17" s="499" t="str">
        <f>IF(C17="","",IF(AND(LEFT(C17,55)&lt;&gt;LEFT(N17,55),O17="High - High"),"Error - Not like for like ▲",IF(AND(F17=S17,H17&gt;U17),"Error - Can not reduce condition ▲",IF(AND(F17=S17,H17=U17,AJ17='C-1 Site River Baseline'!N15,'C-1 Site River Baseline'!P15=AL17),"Error - No enhancement ▲",IF(AND(C17&lt;&gt;N17,F17&lt;S17),"Lower Distinctiveness Habitat"&amp;" - "&amp;T17,G17&amp;" - "&amp;T17)))))</f>
        <v/>
      </c>
      <c r="Q17" s="567" t="str">
        <f>IF(N17="","",VLOOKUP(B17,'C-1 Site River Baseline'!$C$10:$AA$257,19,FALSE))</f>
        <v/>
      </c>
      <c r="R17" s="498" t="str">
        <f>IF(N17="","",VLOOKUP(N17,'G-7 Rivers Data'!$B$2:$G$8,2,FALSE))</f>
        <v/>
      </c>
      <c r="S17" s="499" t="str">
        <f>IFERROR(VLOOKUP(R17,'G-7 Rivers Data'!$C$4:$D$8,2,FALSE),"")</f>
        <v/>
      </c>
      <c r="T17" s="145"/>
      <c r="U17" s="499" t="str">
        <f>IFERROR(INDEX('G-7 Rivers Data'!$H$4:$L$8,MATCH(N17,'G-7 Rivers Data'!$B$4:$B$8,0),MATCH(T17,'G-7 Rivers Data'!$H$3:$L$3,0)),"")</f>
        <v/>
      </c>
      <c r="V17" s="154"/>
      <c r="W17" s="507" t="str">
        <f>IF(V17="","",IF(VLOOKUP(V17,'G-7 Rivers Data'!$AG$4:$AI$9,2,FALSE)=0,"Spatial Data Missing ⚠",VLOOKUP(V17,'G-7 Rivers Data'!$AG$4:$AI$9,2,FALSE)))</f>
        <v/>
      </c>
      <c r="X17" s="499" t="str">
        <f>IF(V17="","",IF(VLOOKUP(V17,'G-7 Rivers Data'!$AG$4:$AI$9,3,FALSE)=0,"Spatial Data Missing ⚠",VLOOKUP(V17,'G-7 Rivers Data'!$AG$4:$AI$9,3,FALSE)))</f>
        <v/>
      </c>
      <c r="Y17" s="498" t="str">
        <f>IFERROR(IF(OR(LEFT(P17,5)="Error ▲",LEFT(O17,5)="Error ▲"),"Check Data ⚠",IF(F17&lt;S17,'G-7 Rivers Data'!$R$3,INDEX('G-7 Rivers Data'!$U$5:$Y$9,MATCH(G17,'G-7 Rivers Data'!$T$5:$T$9,0),MATCH(T17,'G-7 Rivers Data'!$U$4:$Y$4,0)))),"")</f>
        <v/>
      </c>
      <c r="Z17" s="195"/>
      <c r="AA17" s="195"/>
      <c r="AB17" s="507" t="str">
        <f t="shared" si="2"/>
        <v/>
      </c>
      <c r="AC17" s="521" t="str">
        <f t="shared" si="3"/>
        <v/>
      </c>
      <c r="AD17" s="564" t="str">
        <f>IFERROR(IF(AC17="Check Data ⚠","Check Data ⚠",VLOOKUP(AC17,'G-4 Temporal multipliers'!$A$4:$C$37,3,FALSE)),"")</f>
        <v/>
      </c>
      <c r="AE17" s="498" t="str">
        <f>IF(N17="","",VLOOKUP(N17,'G-7 Rivers Data'!$B$4:$G$8,5,FALSE))</f>
        <v/>
      </c>
      <c r="AF17" s="507" t="str">
        <f t="shared" si="4"/>
        <v/>
      </c>
      <c r="AG17" s="540" t="str">
        <f t="shared" si="5"/>
        <v/>
      </c>
      <c r="AH17" s="499" t="str">
        <f t="shared" si="0"/>
        <v/>
      </c>
      <c r="AI17" s="145"/>
      <c r="AJ17" s="499" t="str">
        <f>IF(AI17="","",IF(VLOOKUP(AI17,'G-7 Rivers Data'!$AA$4:$AB$7,2,FALSE)=0,"Spatial Data Missing ⚠",VLOOKUP(AI17,'G-7 Rivers Data'!$AA$4:$AB$7,2,FALSE)))</f>
        <v/>
      </c>
      <c r="AK17" s="155"/>
      <c r="AL17" s="499" t="str">
        <f>IF(AK17="","",IF(VLOOKUP(AK17,'G-7 Rivers Data'!$AD$4:$AE$8,2,FALSE)=0,"Spatial Data Missing ⚠",VLOOKUP(AK17,'G-7 Rivers Data'!$AD$4:$AE$8,2,FALSE)))</f>
        <v/>
      </c>
      <c r="AM17" s="545" t="str">
        <f t="shared" si="7"/>
        <v/>
      </c>
      <c r="AN17" s="149"/>
      <c r="AO17" s="150"/>
      <c r="AV17" s="31" t="str">
        <f>IFERROR(INDEX('G-7 Rivers Data'!$AZ$3:$AZ$7,MATCH(N17,'G-7 Rivers Data'!$AY$3:$AY$7,0)),"")</f>
        <v/>
      </c>
    </row>
    <row r="18" spans="2:48" ht="13.8" x14ac:dyDescent="0.25">
      <c r="B18" s="531" t="str">
        <f>'C-1 Site River Baseline'!AN16</f>
        <v/>
      </c>
      <c r="C18" s="520" t="str">
        <f>IF(B18="","",VLOOKUP($B18,'C-1 Site River Baseline'!$C$9:$R$257,2,FALSE))</f>
        <v/>
      </c>
      <c r="D18" s="520" t="str">
        <f>IF(C18="","",VLOOKUP($B18,'C-1 Site River Baseline'!$C$9:$R$257,3,FALSE))</f>
        <v/>
      </c>
      <c r="E18" s="520" t="str">
        <f>IF(D18="","",VLOOKUP($B18,'C-1 Site River Baseline'!$C$9:$R$257,4,FALSE))</f>
        <v/>
      </c>
      <c r="F18" s="520" t="str">
        <f>IF(E18="","",VLOOKUP($B18,'C-1 Site River Baseline'!$C$9:$R$257,5,FALSE))</f>
        <v/>
      </c>
      <c r="G18" s="520" t="str">
        <f>IF(F18="","",VLOOKUP($B18,'C-1 Site River Baseline'!$C$9:$R$257,6,FALSE))</f>
        <v/>
      </c>
      <c r="H18" s="520" t="str">
        <f>IF(G18="","",VLOOKUP($B18,'C-1 Site River Baseline'!$C$9:$R$257,7,FALSE))</f>
        <v/>
      </c>
      <c r="I18" s="520" t="str">
        <f>IF(H18="","",VLOOKUP($B18,'C-1 Site River Baseline'!$C$9:$R$257,8,FALSE))</f>
        <v/>
      </c>
      <c r="J18" s="520" t="str">
        <f>IF(I18="","",VLOOKUP($B18,'C-1 Site River Baseline'!$C$9:$R$257,9,FALSE))</f>
        <v/>
      </c>
      <c r="K18" s="520" t="str">
        <f>IF(J18="","",VLOOKUP($B18,'C-1 Site River Baseline'!$C$9:$R$257,10,FALSE))</f>
        <v/>
      </c>
      <c r="L18" s="520" t="str">
        <f>IF(B18="","",VLOOKUP($B18,'C-1 Site River Baseline'!$C$9:$R$257,15,FALSE))</f>
        <v/>
      </c>
      <c r="M18" s="524" t="str">
        <f>IF(L18="","",VLOOKUP($B18,'C-1 Site River Baseline'!$C$9:$R$257,16,FALSE))</f>
        <v/>
      </c>
      <c r="N18" s="426" t="str">
        <f t="shared" si="6"/>
        <v/>
      </c>
      <c r="O18" s="498" t="str">
        <f t="shared" si="1"/>
        <v/>
      </c>
      <c r="P18" s="499" t="str">
        <f>IF(C18="","",IF(AND(LEFT(C18,55)&lt;&gt;LEFT(N18,55),O18="High - High"),"Error - Not like for like ▲",IF(AND(F18=S18,H18&gt;U18),"Error - Can not reduce condition ▲",IF(AND(F18=S18,H18=U18,AJ18='C-1 Site River Baseline'!N16,'C-1 Site River Baseline'!P16=AL18),"Error - No enhancement ▲",IF(AND(C18&lt;&gt;N18,F18&lt;S18),"Lower Distinctiveness Habitat"&amp;" - "&amp;T18,G18&amp;" - "&amp;T18)))))</f>
        <v/>
      </c>
      <c r="Q18" s="567" t="str">
        <f>IF(N18="","",VLOOKUP(B18,'C-1 Site River Baseline'!$C$10:$AA$257,19,FALSE))</f>
        <v/>
      </c>
      <c r="R18" s="498" t="str">
        <f>IF(N18="","",VLOOKUP(N18,'G-7 Rivers Data'!$B$2:$G$8,2,FALSE))</f>
        <v/>
      </c>
      <c r="S18" s="499" t="str">
        <f>IFERROR(VLOOKUP(R18,'G-7 Rivers Data'!$C$4:$D$8,2,FALSE),"")</f>
        <v/>
      </c>
      <c r="T18" s="145"/>
      <c r="U18" s="499" t="str">
        <f>IFERROR(INDEX('G-7 Rivers Data'!$H$4:$L$8,MATCH(N18,'G-7 Rivers Data'!$B$4:$B$8,0),MATCH(T18,'G-7 Rivers Data'!$H$3:$L$3,0)),"")</f>
        <v/>
      </c>
      <c r="V18" s="154"/>
      <c r="W18" s="507" t="str">
        <f>IF(V18="","",IF(VLOOKUP(V18,'G-7 Rivers Data'!$AG$4:$AI$9,2,FALSE)=0,"Spatial Data Missing ⚠",VLOOKUP(V18,'G-7 Rivers Data'!$AG$4:$AI$9,2,FALSE)))</f>
        <v/>
      </c>
      <c r="X18" s="499" t="str">
        <f>IF(V18="","",IF(VLOOKUP(V18,'G-7 Rivers Data'!$AG$4:$AI$9,3,FALSE)=0,"Spatial Data Missing ⚠",VLOOKUP(V18,'G-7 Rivers Data'!$AG$4:$AI$9,3,FALSE)))</f>
        <v/>
      </c>
      <c r="Y18" s="498" t="str">
        <f>IFERROR(IF(OR(LEFT(P18,5)="Error ▲",LEFT(O18,5)="Error ▲"),"Check Data ⚠",IF(F18&lt;S18,'G-7 Rivers Data'!$R$3,INDEX('G-7 Rivers Data'!$U$5:$Y$9,MATCH(G18,'G-7 Rivers Data'!$T$5:$T$9,0),MATCH(T18,'G-7 Rivers Data'!$U$4:$Y$4,0)))),"")</f>
        <v/>
      </c>
      <c r="Z18" s="195"/>
      <c r="AA18" s="195"/>
      <c r="AB18" s="507" t="str">
        <f t="shared" si="2"/>
        <v/>
      </c>
      <c r="AC18" s="521" t="str">
        <f t="shared" si="3"/>
        <v/>
      </c>
      <c r="AD18" s="564" t="str">
        <f>IFERROR(IF(AC18="Check Data ⚠","Check Data ⚠",VLOOKUP(AC18,'G-4 Temporal multipliers'!$A$4:$C$37,3,FALSE)),"")</f>
        <v/>
      </c>
      <c r="AE18" s="498" t="str">
        <f>IF(N18="","",VLOOKUP(N18,'G-7 Rivers Data'!$B$4:$G$8,5,FALSE))</f>
        <v/>
      </c>
      <c r="AF18" s="507" t="str">
        <f t="shared" si="4"/>
        <v/>
      </c>
      <c r="AG18" s="540" t="str">
        <f t="shared" si="5"/>
        <v/>
      </c>
      <c r="AH18" s="499" t="str">
        <f t="shared" si="0"/>
        <v/>
      </c>
      <c r="AI18" s="145"/>
      <c r="AJ18" s="499" t="str">
        <f>IF(AI18="","",IF(VLOOKUP(AI18,'G-7 Rivers Data'!$AA$4:$AB$7,2,FALSE)=0,"Spatial Data Missing ⚠",VLOOKUP(AI18,'G-7 Rivers Data'!$AA$4:$AB$7,2,FALSE)))</f>
        <v/>
      </c>
      <c r="AK18" s="155"/>
      <c r="AL18" s="499" t="str">
        <f>IF(AK18="","",IF(VLOOKUP(AK18,'G-7 Rivers Data'!$AD$4:$AE$8,2,FALSE)=0,"Spatial Data Missing ⚠",VLOOKUP(AK18,'G-7 Rivers Data'!$AD$4:$AE$8,2,FALSE)))</f>
        <v/>
      </c>
      <c r="AM18" s="545" t="str">
        <f t="shared" si="7"/>
        <v/>
      </c>
      <c r="AN18" s="149"/>
      <c r="AO18" s="150"/>
      <c r="AV18" s="31" t="str">
        <f>IFERROR(INDEX('G-7 Rivers Data'!$AZ$3:$AZ$7,MATCH(N18,'G-7 Rivers Data'!$AY$3:$AY$7,0)),"")</f>
        <v/>
      </c>
    </row>
    <row r="19" spans="2:48" ht="13.8" x14ac:dyDescent="0.25">
      <c r="B19" s="531" t="str">
        <f>'C-1 Site River Baseline'!AN17</f>
        <v/>
      </c>
      <c r="C19" s="520" t="str">
        <f>IF(B19="","",VLOOKUP($B19,'C-1 Site River Baseline'!$C$9:$R$257,2,FALSE))</f>
        <v/>
      </c>
      <c r="D19" s="520" t="str">
        <f>IF(C19="","",VLOOKUP($B19,'C-1 Site River Baseline'!$C$9:$R$257,3,FALSE))</f>
        <v/>
      </c>
      <c r="E19" s="520" t="str">
        <f>IF(D19="","",VLOOKUP($B19,'C-1 Site River Baseline'!$C$9:$R$257,4,FALSE))</f>
        <v/>
      </c>
      <c r="F19" s="520" t="str">
        <f>IF(E19="","",VLOOKUP($B19,'C-1 Site River Baseline'!$C$9:$R$257,5,FALSE))</f>
        <v/>
      </c>
      <c r="G19" s="520" t="str">
        <f>IF(F19="","",VLOOKUP($B19,'C-1 Site River Baseline'!$C$9:$R$257,6,FALSE))</f>
        <v/>
      </c>
      <c r="H19" s="520" t="str">
        <f>IF(G19="","",VLOOKUP($B19,'C-1 Site River Baseline'!$C$9:$R$257,7,FALSE))</f>
        <v/>
      </c>
      <c r="I19" s="520" t="str">
        <f>IF(H19="","",VLOOKUP($B19,'C-1 Site River Baseline'!$C$9:$R$257,8,FALSE))</f>
        <v/>
      </c>
      <c r="J19" s="520" t="str">
        <f>IF(I19="","",VLOOKUP($B19,'C-1 Site River Baseline'!$C$9:$R$257,9,FALSE))</f>
        <v/>
      </c>
      <c r="K19" s="520" t="str">
        <f>IF(J19="","",VLOOKUP($B19,'C-1 Site River Baseline'!$C$9:$R$257,10,FALSE))</f>
        <v/>
      </c>
      <c r="L19" s="520" t="str">
        <f>IF(B19="","",VLOOKUP($B19,'C-1 Site River Baseline'!$C$9:$R$257,15,FALSE))</f>
        <v/>
      </c>
      <c r="M19" s="524" t="str">
        <f>IF(L19="","",VLOOKUP($B19,'C-1 Site River Baseline'!$C$9:$R$257,16,FALSE))</f>
        <v/>
      </c>
      <c r="N19" s="426" t="str">
        <f t="shared" si="6"/>
        <v/>
      </c>
      <c r="O19" s="498" t="str">
        <f t="shared" si="1"/>
        <v/>
      </c>
      <c r="P19" s="499" t="str">
        <f>IF(C19="","",IF(AND(LEFT(C19,55)&lt;&gt;LEFT(N19,55),O19="High - High"),"Error - Not like for like ▲",IF(AND(F19=S19,H19&gt;U19),"Error - Can not reduce condition ▲",IF(AND(F19=S19,H19=U19,AJ19='C-1 Site River Baseline'!N17,'C-1 Site River Baseline'!P17=AL19),"Error - No enhancement ▲",IF(AND(C19&lt;&gt;N19,F19&lt;S19),"Lower Distinctiveness Habitat"&amp;" - "&amp;T19,G19&amp;" - "&amp;T19)))))</f>
        <v/>
      </c>
      <c r="Q19" s="567" t="str">
        <f>IF(N19="","",VLOOKUP(B19,'C-1 Site River Baseline'!$C$10:$AA$257,19,FALSE))</f>
        <v/>
      </c>
      <c r="R19" s="498" t="str">
        <f>IF(N19="","",VLOOKUP(N19,'G-7 Rivers Data'!$B$2:$G$8,2,FALSE))</f>
        <v/>
      </c>
      <c r="S19" s="499" t="str">
        <f>IFERROR(VLOOKUP(R19,'G-7 Rivers Data'!$C$4:$D$8,2,FALSE),"")</f>
        <v/>
      </c>
      <c r="T19" s="145"/>
      <c r="U19" s="499" t="str">
        <f>IFERROR(INDEX('G-7 Rivers Data'!$H$4:$L$8,MATCH(N19,'G-7 Rivers Data'!$B$4:$B$8,0),MATCH(T19,'G-7 Rivers Data'!$H$3:$L$3,0)),"")</f>
        <v/>
      </c>
      <c r="V19" s="154"/>
      <c r="W19" s="507" t="str">
        <f>IF(V19="","",IF(VLOOKUP(V19,'G-7 Rivers Data'!$AG$4:$AI$9,2,FALSE)=0,"Spatial Data Missing ⚠",VLOOKUP(V19,'G-7 Rivers Data'!$AG$4:$AI$9,2,FALSE)))</f>
        <v/>
      </c>
      <c r="X19" s="499" t="str">
        <f>IF(V19="","",IF(VLOOKUP(V19,'G-7 Rivers Data'!$AG$4:$AI$9,3,FALSE)=0,"Spatial Data Missing ⚠",VLOOKUP(V19,'G-7 Rivers Data'!$AG$4:$AI$9,3,FALSE)))</f>
        <v/>
      </c>
      <c r="Y19" s="498" t="str">
        <f>IFERROR(IF(OR(LEFT(P19,5)="Error ▲",LEFT(O19,5)="Error ▲"),"Check Data ⚠",IF(F19&lt;S19,'G-7 Rivers Data'!$R$3,INDEX('G-7 Rivers Data'!$U$5:$Y$9,MATCH(G19,'G-7 Rivers Data'!$T$5:$T$9,0),MATCH(T19,'G-7 Rivers Data'!$U$4:$Y$4,0)))),"")</f>
        <v/>
      </c>
      <c r="Z19" s="195"/>
      <c r="AA19" s="195"/>
      <c r="AB19" s="507" t="str">
        <f t="shared" si="2"/>
        <v/>
      </c>
      <c r="AC19" s="521" t="str">
        <f t="shared" si="3"/>
        <v/>
      </c>
      <c r="AD19" s="564" t="str">
        <f>IFERROR(IF(AC19="Check Data ⚠","Check Data ⚠",VLOOKUP(AC19,'G-4 Temporal multipliers'!$A$4:$C$37,3,FALSE)),"")</f>
        <v/>
      </c>
      <c r="AE19" s="498" t="str">
        <f>IF(N19="","",VLOOKUP(N19,'G-7 Rivers Data'!$B$4:$G$8,5,FALSE))</f>
        <v/>
      </c>
      <c r="AF19" s="507" t="str">
        <f t="shared" si="4"/>
        <v/>
      </c>
      <c r="AG19" s="540" t="str">
        <f t="shared" si="5"/>
        <v/>
      </c>
      <c r="AH19" s="499" t="str">
        <f t="shared" si="0"/>
        <v/>
      </c>
      <c r="AI19" s="145"/>
      <c r="AJ19" s="499" t="str">
        <f>IF(AI19="","",IF(VLOOKUP(AI19,'G-7 Rivers Data'!$AA$4:$AB$7,2,FALSE)=0,"Spatial Data Missing ⚠",VLOOKUP(AI19,'G-7 Rivers Data'!$AA$4:$AB$7,2,FALSE)))</f>
        <v/>
      </c>
      <c r="AK19" s="155"/>
      <c r="AL19" s="499" t="str">
        <f>IF(AK19="","",IF(VLOOKUP(AK19,'G-7 Rivers Data'!$AD$4:$AE$8,2,FALSE)=0,"Spatial Data Missing ⚠",VLOOKUP(AK19,'G-7 Rivers Data'!$AD$4:$AE$8,2,FALSE)))</f>
        <v/>
      </c>
      <c r="AM19" s="545" t="str">
        <f t="shared" si="7"/>
        <v/>
      </c>
      <c r="AN19" s="149"/>
      <c r="AO19" s="150"/>
      <c r="AV19" s="31" t="str">
        <f>IFERROR(INDEX('G-7 Rivers Data'!$AZ$3:$AZ$7,MATCH(N19,'G-7 Rivers Data'!$AY$3:$AY$7,0)),"")</f>
        <v/>
      </c>
    </row>
    <row r="20" spans="2:48" ht="13.8" x14ac:dyDescent="0.25">
      <c r="B20" s="531" t="str">
        <f>'C-1 Site River Baseline'!AN18</f>
        <v/>
      </c>
      <c r="C20" s="520" t="str">
        <f>IF(B20="","",VLOOKUP($B20,'C-1 Site River Baseline'!$C$9:$R$257,2,FALSE))</f>
        <v/>
      </c>
      <c r="D20" s="520" t="str">
        <f>IF(C20="","",VLOOKUP($B20,'C-1 Site River Baseline'!$C$9:$R$257,3,FALSE))</f>
        <v/>
      </c>
      <c r="E20" s="520" t="str">
        <f>IF(D20="","",VLOOKUP($B20,'C-1 Site River Baseline'!$C$9:$R$257,4,FALSE))</f>
        <v/>
      </c>
      <c r="F20" s="520" t="str">
        <f>IF(E20="","",VLOOKUP($B20,'C-1 Site River Baseline'!$C$9:$R$257,5,FALSE))</f>
        <v/>
      </c>
      <c r="G20" s="520" t="str">
        <f>IF(F20="","",VLOOKUP($B20,'C-1 Site River Baseline'!$C$9:$R$257,6,FALSE))</f>
        <v/>
      </c>
      <c r="H20" s="520" t="str">
        <f>IF(G20="","",VLOOKUP($B20,'C-1 Site River Baseline'!$C$9:$R$257,7,FALSE))</f>
        <v/>
      </c>
      <c r="I20" s="520" t="str">
        <f>IF(H20="","",VLOOKUP($B20,'C-1 Site River Baseline'!$C$9:$R$257,8,FALSE))</f>
        <v/>
      </c>
      <c r="J20" s="520" t="str">
        <f>IF(I20="","",VLOOKUP($B20,'C-1 Site River Baseline'!$C$9:$R$257,9,FALSE))</f>
        <v/>
      </c>
      <c r="K20" s="520" t="str">
        <f>IF(J20="","",VLOOKUP($B20,'C-1 Site River Baseline'!$C$9:$R$257,10,FALSE))</f>
        <v/>
      </c>
      <c r="L20" s="520" t="str">
        <f>IF(B20="","",VLOOKUP($B20,'C-1 Site River Baseline'!$C$9:$R$257,15,FALSE))</f>
        <v/>
      </c>
      <c r="M20" s="524" t="str">
        <f>IF(L20="","",VLOOKUP($B20,'C-1 Site River Baseline'!$C$9:$R$257,16,FALSE))</f>
        <v/>
      </c>
      <c r="N20" s="426" t="str">
        <f t="shared" si="6"/>
        <v/>
      </c>
      <c r="O20" s="498" t="str">
        <f t="shared" si="1"/>
        <v/>
      </c>
      <c r="P20" s="499" t="str">
        <f>IF(C20="","",IF(AND(LEFT(C20,55)&lt;&gt;LEFT(N20,55),O20="High - High"),"Error - Not like for like ▲",IF(AND(F20=S20,H20&gt;U20),"Error - Can not reduce condition ▲",IF(AND(F20=S20,H20=U20,AJ20='C-1 Site River Baseline'!N18,'C-1 Site River Baseline'!P18=AL20),"Error - No enhancement ▲",IF(AND(C20&lt;&gt;N20,F20&lt;S20),"Lower Distinctiveness Habitat"&amp;" - "&amp;T20,G20&amp;" - "&amp;T20)))))</f>
        <v/>
      </c>
      <c r="Q20" s="567" t="str">
        <f>IF(N20="","",VLOOKUP(B20,'C-1 Site River Baseline'!$C$10:$AA$257,19,FALSE))</f>
        <v/>
      </c>
      <c r="R20" s="498" t="str">
        <f>IF(N20="","",VLOOKUP(N20,'G-7 Rivers Data'!$B$2:$G$8,2,FALSE))</f>
        <v/>
      </c>
      <c r="S20" s="499" t="str">
        <f>IFERROR(VLOOKUP(R20,'G-7 Rivers Data'!$C$4:$D$8,2,FALSE),"")</f>
        <v/>
      </c>
      <c r="T20" s="145"/>
      <c r="U20" s="499" t="str">
        <f>IFERROR(INDEX('G-7 Rivers Data'!$H$4:$L$8,MATCH(N20,'G-7 Rivers Data'!$B$4:$B$8,0),MATCH(T20,'G-7 Rivers Data'!$H$3:$L$3,0)),"")</f>
        <v/>
      </c>
      <c r="V20" s="154"/>
      <c r="W20" s="507" t="str">
        <f>IF(V20="","",IF(VLOOKUP(V20,'G-7 Rivers Data'!$AG$4:$AI$9,2,FALSE)=0,"Spatial Data Missing ⚠",VLOOKUP(V20,'G-7 Rivers Data'!$AG$4:$AI$9,2,FALSE)))</f>
        <v/>
      </c>
      <c r="X20" s="499" t="str">
        <f>IF(V20="","",IF(VLOOKUP(V20,'G-7 Rivers Data'!$AG$4:$AI$9,3,FALSE)=0,"Spatial Data Missing ⚠",VLOOKUP(V20,'G-7 Rivers Data'!$AG$4:$AI$9,3,FALSE)))</f>
        <v/>
      </c>
      <c r="Y20" s="498" t="str">
        <f>IFERROR(IF(OR(LEFT(P20,5)="Error ▲",LEFT(O20,5)="Error ▲"),"Check Data ⚠",IF(F20&lt;S20,'G-7 Rivers Data'!$R$3,INDEX('G-7 Rivers Data'!$U$5:$Y$9,MATCH(G20,'G-7 Rivers Data'!$T$5:$T$9,0),MATCH(T20,'G-7 Rivers Data'!$U$4:$Y$4,0)))),"")</f>
        <v/>
      </c>
      <c r="Z20" s="195"/>
      <c r="AA20" s="195"/>
      <c r="AB20" s="507" t="str">
        <f t="shared" si="2"/>
        <v/>
      </c>
      <c r="AC20" s="521" t="str">
        <f t="shared" si="3"/>
        <v/>
      </c>
      <c r="AD20" s="564" t="str">
        <f>IFERROR(IF(AC20="Check Data ⚠","Check Data ⚠",VLOOKUP(AC20,'G-4 Temporal multipliers'!$A$4:$C$37,3,FALSE)),"")</f>
        <v/>
      </c>
      <c r="AE20" s="498" t="str">
        <f>IF(N20="","",VLOOKUP(N20,'G-7 Rivers Data'!$B$4:$G$8,5,FALSE))</f>
        <v/>
      </c>
      <c r="AF20" s="507" t="str">
        <f t="shared" si="4"/>
        <v/>
      </c>
      <c r="AG20" s="540" t="str">
        <f t="shared" si="5"/>
        <v/>
      </c>
      <c r="AH20" s="499" t="str">
        <f t="shared" si="0"/>
        <v/>
      </c>
      <c r="AI20" s="145"/>
      <c r="AJ20" s="499" t="str">
        <f>IF(AI20="","",IF(VLOOKUP(AI20,'G-7 Rivers Data'!$AA$4:$AB$7,2,FALSE)=0,"Spatial Data Missing ⚠",VLOOKUP(AI20,'G-7 Rivers Data'!$AA$4:$AB$7,2,FALSE)))</f>
        <v/>
      </c>
      <c r="AK20" s="155"/>
      <c r="AL20" s="499" t="str">
        <f>IF(AK20="","",IF(VLOOKUP(AK20,'G-7 Rivers Data'!$AD$4:$AE$8,2,FALSE)=0,"Spatial Data Missing ⚠",VLOOKUP(AK20,'G-7 Rivers Data'!$AD$4:$AE$8,2,FALSE)))</f>
        <v/>
      </c>
      <c r="AM20" s="545" t="str">
        <f t="shared" si="7"/>
        <v/>
      </c>
      <c r="AN20" s="149"/>
      <c r="AO20" s="150"/>
      <c r="AV20" s="31" t="str">
        <f>IFERROR(INDEX('G-7 Rivers Data'!$AZ$3:$AZ$7,MATCH(N20,'G-7 Rivers Data'!$AY$3:$AY$7,0)),"")</f>
        <v/>
      </c>
    </row>
    <row r="21" spans="2:48" ht="13.8" x14ac:dyDescent="0.25">
      <c r="B21" s="531" t="str">
        <f>'C-1 Site River Baseline'!AN19</f>
        <v/>
      </c>
      <c r="C21" s="520" t="str">
        <f>IF(B21="","",VLOOKUP($B21,'C-1 Site River Baseline'!$C$9:$R$257,2,FALSE))</f>
        <v/>
      </c>
      <c r="D21" s="520" t="str">
        <f>IF(C21="","",VLOOKUP($B21,'C-1 Site River Baseline'!$C$9:$R$257,3,FALSE))</f>
        <v/>
      </c>
      <c r="E21" s="520" t="str">
        <f>IF(D21="","",VLOOKUP($B21,'C-1 Site River Baseline'!$C$9:$R$257,4,FALSE))</f>
        <v/>
      </c>
      <c r="F21" s="520" t="str">
        <f>IF(E21="","",VLOOKUP($B21,'C-1 Site River Baseline'!$C$9:$R$257,5,FALSE))</f>
        <v/>
      </c>
      <c r="G21" s="520" t="str">
        <f>IF(F21="","",VLOOKUP($B21,'C-1 Site River Baseline'!$C$9:$R$257,6,FALSE))</f>
        <v/>
      </c>
      <c r="H21" s="520" t="str">
        <f>IF(G21="","",VLOOKUP($B21,'C-1 Site River Baseline'!$C$9:$R$257,7,FALSE))</f>
        <v/>
      </c>
      <c r="I21" s="520" t="str">
        <f>IF(H21="","",VLOOKUP($B21,'C-1 Site River Baseline'!$C$9:$R$257,8,FALSE))</f>
        <v/>
      </c>
      <c r="J21" s="520" t="str">
        <f>IF(I21="","",VLOOKUP($B21,'C-1 Site River Baseline'!$C$9:$R$257,9,FALSE))</f>
        <v/>
      </c>
      <c r="K21" s="520" t="str">
        <f>IF(J21="","",VLOOKUP($B21,'C-1 Site River Baseline'!$C$9:$R$257,10,FALSE))</f>
        <v/>
      </c>
      <c r="L21" s="520" t="str">
        <f>IF(B21="","",VLOOKUP($B21,'C-1 Site River Baseline'!$C$9:$R$257,15,FALSE))</f>
        <v/>
      </c>
      <c r="M21" s="524" t="str">
        <f>IF(L21="","",VLOOKUP($B21,'C-1 Site River Baseline'!$C$9:$R$257,16,FALSE))</f>
        <v/>
      </c>
      <c r="N21" s="426" t="str">
        <f t="shared" si="6"/>
        <v/>
      </c>
      <c r="O21" s="498" t="str">
        <f t="shared" si="1"/>
        <v/>
      </c>
      <c r="P21" s="499" t="str">
        <f>IF(C21="","",IF(AND(LEFT(C21,55)&lt;&gt;LEFT(N21,55),O21="High - High"),"Error - Not like for like ▲",IF(AND(F21=S21,H21&gt;U21),"Error - Can not reduce condition ▲",IF(AND(F21=S21,H21=U21,AJ21='C-1 Site River Baseline'!N19,'C-1 Site River Baseline'!P19=AL21),"Error - No enhancement ▲",IF(AND(C21&lt;&gt;N21,F21&lt;S21),"Lower Distinctiveness Habitat"&amp;" - "&amp;T21,G21&amp;" - "&amp;T21)))))</f>
        <v/>
      </c>
      <c r="Q21" s="567" t="str">
        <f>IF(N21="","",VLOOKUP(B21,'C-1 Site River Baseline'!$C$10:$AA$257,19,FALSE))</f>
        <v/>
      </c>
      <c r="R21" s="498" t="str">
        <f>IF(N21="","",VLOOKUP(N21,'G-7 Rivers Data'!$B$2:$G$8,2,FALSE))</f>
        <v/>
      </c>
      <c r="S21" s="499" t="str">
        <f>IFERROR(VLOOKUP(R21,'G-7 Rivers Data'!$C$4:$D$8,2,FALSE),"")</f>
        <v/>
      </c>
      <c r="T21" s="145"/>
      <c r="U21" s="499" t="str">
        <f>IFERROR(INDEX('G-7 Rivers Data'!$H$4:$L$8,MATCH(N21,'G-7 Rivers Data'!$B$4:$B$8,0),MATCH(T21,'G-7 Rivers Data'!$H$3:$L$3,0)),"")</f>
        <v/>
      </c>
      <c r="V21" s="154"/>
      <c r="W21" s="507" t="str">
        <f>IF(V21="","",IF(VLOOKUP(V21,'G-7 Rivers Data'!$AG$4:$AI$9,2,FALSE)=0,"Spatial Data Missing ⚠",VLOOKUP(V21,'G-7 Rivers Data'!$AG$4:$AI$9,2,FALSE)))</f>
        <v/>
      </c>
      <c r="X21" s="499" t="str">
        <f>IF(V21="","",IF(VLOOKUP(V21,'G-7 Rivers Data'!$AG$4:$AI$9,3,FALSE)=0,"Spatial Data Missing ⚠",VLOOKUP(V21,'G-7 Rivers Data'!$AG$4:$AI$9,3,FALSE)))</f>
        <v/>
      </c>
      <c r="Y21" s="498" t="str">
        <f>IFERROR(IF(OR(LEFT(P21,5)="Error ▲",LEFT(O21,5)="Error ▲"),"Check Data ⚠",IF(F21&lt;S21,'G-7 Rivers Data'!$R$3,INDEX('G-7 Rivers Data'!$U$5:$Y$9,MATCH(G21,'G-7 Rivers Data'!$T$5:$T$9,0),MATCH(T21,'G-7 Rivers Data'!$U$4:$Y$4,0)))),"")</f>
        <v/>
      </c>
      <c r="Z21" s="195"/>
      <c r="AA21" s="195"/>
      <c r="AB21" s="507" t="str">
        <f t="shared" si="2"/>
        <v/>
      </c>
      <c r="AC21" s="521" t="str">
        <f t="shared" si="3"/>
        <v/>
      </c>
      <c r="AD21" s="564" t="str">
        <f>IFERROR(IF(AC21="Check Data ⚠","Check Data ⚠",VLOOKUP(AC21,'G-4 Temporal multipliers'!$A$4:$C$37,3,FALSE)),"")</f>
        <v/>
      </c>
      <c r="AE21" s="498" t="str">
        <f>IF(N21="","",VLOOKUP(N21,'G-7 Rivers Data'!$B$4:$G$8,5,FALSE))</f>
        <v/>
      </c>
      <c r="AF21" s="507" t="str">
        <f t="shared" si="4"/>
        <v/>
      </c>
      <c r="AG21" s="540" t="str">
        <f t="shared" si="5"/>
        <v/>
      </c>
      <c r="AH21" s="499" t="str">
        <f t="shared" si="0"/>
        <v/>
      </c>
      <c r="AI21" s="145"/>
      <c r="AJ21" s="499" t="str">
        <f>IF(AI21="","",IF(VLOOKUP(AI21,'G-7 Rivers Data'!$AA$4:$AB$7,2,FALSE)=0,"Spatial Data Missing ⚠",VLOOKUP(AI21,'G-7 Rivers Data'!$AA$4:$AB$7,2,FALSE)))</f>
        <v/>
      </c>
      <c r="AK21" s="155"/>
      <c r="AL21" s="499" t="str">
        <f>IF(AK21="","",IF(VLOOKUP(AK21,'G-7 Rivers Data'!$AD$4:$AE$8,2,FALSE)=0,"Spatial Data Missing ⚠",VLOOKUP(AK21,'G-7 Rivers Data'!$AD$4:$AE$8,2,FALSE)))</f>
        <v/>
      </c>
      <c r="AM21" s="545" t="str">
        <f t="shared" si="7"/>
        <v/>
      </c>
      <c r="AN21" s="149"/>
      <c r="AO21" s="150"/>
      <c r="AV21" s="31" t="str">
        <f>IFERROR(INDEX('G-7 Rivers Data'!$AZ$3:$AZ$7,MATCH(N21,'G-7 Rivers Data'!$AY$3:$AY$7,0)),"")</f>
        <v/>
      </c>
    </row>
    <row r="22" spans="2:48" ht="13.8" x14ac:dyDescent="0.25">
      <c r="B22" s="531" t="str">
        <f>'C-1 Site River Baseline'!AN20</f>
        <v/>
      </c>
      <c r="C22" s="520" t="str">
        <f>IF(B22="","",VLOOKUP($B22,'C-1 Site River Baseline'!$C$9:$R$257,2,FALSE))</f>
        <v/>
      </c>
      <c r="D22" s="520" t="str">
        <f>IF(C22="","",VLOOKUP($B22,'C-1 Site River Baseline'!$C$9:$R$257,3,FALSE))</f>
        <v/>
      </c>
      <c r="E22" s="520" t="str">
        <f>IF(D22="","",VLOOKUP($B22,'C-1 Site River Baseline'!$C$9:$R$257,4,FALSE))</f>
        <v/>
      </c>
      <c r="F22" s="520" t="str">
        <f>IF(E22="","",VLOOKUP($B22,'C-1 Site River Baseline'!$C$9:$R$257,5,FALSE))</f>
        <v/>
      </c>
      <c r="G22" s="520" t="str">
        <f>IF(F22="","",VLOOKUP($B22,'C-1 Site River Baseline'!$C$9:$R$257,6,FALSE))</f>
        <v/>
      </c>
      <c r="H22" s="520" t="str">
        <f>IF(G22="","",VLOOKUP($B22,'C-1 Site River Baseline'!$C$9:$R$257,7,FALSE))</f>
        <v/>
      </c>
      <c r="I22" s="520" t="str">
        <f>IF(H22="","",VLOOKUP($B22,'C-1 Site River Baseline'!$C$9:$R$257,8,FALSE))</f>
        <v/>
      </c>
      <c r="J22" s="520" t="str">
        <f>IF(I22="","",VLOOKUP($B22,'C-1 Site River Baseline'!$C$9:$R$257,9,FALSE))</f>
        <v/>
      </c>
      <c r="K22" s="520" t="str">
        <f>IF(J22="","",VLOOKUP($B22,'C-1 Site River Baseline'!$C$9:$R$257,10,FALSE))</f>
        <v/>
      </c>
      <c r="L22" s="520" t="str">
        <f>IF(B22="","",VLOOKUP($B22,'C-1 Site River Baseline'!$C$9:$R$257,15,FALSE))</f>
        <v/>
      </c>
      <c r="M22" s="524" t="str">
        <f>IF(L22="","",VLOOKUP($B22,'C-1 Site River Baseline'!$C$9:$R$257,16,FALSE))</f>
        <v/>
      </c>
      <c r="N22" s="426" t="str">
        <f t="shared" si="6"/>
        <v/>
      </c>
      <c r="O22" s="498" t="str">
        <f t="shared" si="1"/>
        <v/>
      </c>
      <c r="P22" s="499" t="str">
        <f>IF(C22="","",IF(AND(LEFT(C22,55)&lt;&gt;LEFT(N22,55),O22="High - High"),"Error - Not like for like ▲",IF(AND(F22=S22,H22&gt;U22),"Error - Can not reduce condition ▲",IF(AND(F22=S22,H22=U22,AJ22='C-1 Site River Baseline'!N20,'C-1 Site River Baseline'!P20=AL22),"Error - No enhancement ▲",IF(AND(C22&lt;&gt;N22,F22&lt;S22),"Lower Distinctiveness Habitat"&amp;" - "&amp;T22,G22&amp;" - "&amp;T22)))))</f>
        <v/>
      </c>
      <c r="Q22" s="567" t="str">
        <f>IF(N22="","",VLOOKUP(B22,'C-1 Site River Baseline'!$C$10:$AA$257,19,FALSE))</f>
        <v/>
      </c>
      <c r="R22" s="498" t="str">
        <f>IF(N22="","",VLOOKUP(N22,'G-7 Rivers Data'!$B$2:$G$8,2,FALSE))</f>
        <v/>
      </c>
      <c r="S22" s="499" t="str">
        <f>IFERROR(VLOOKUP(R22,'G-7 Rivers Data'!$C$4:$D$8,2,FALSE),"")</f>
        <v/>
      </c>
      <c r="T22" s="145"/>
      <c r="U22" s="499" t="str">
        <f>IFERROR(INDEX('G-7 Rivers Data'!$H$4:$L$8,MATCH(N22,'G-7 Rivers Data'!$B$4:$B$8,0),MATCH(T22,'G-7 Rivers Data'!$H$3:$L$3,0)),"")</f>
        <v/>
      </c>
      <c r="V22" s="154"/>
      <c r="W22" s="507" t="str">
        <f>IF(V22="","",IF(VLOOKUP(V22,'G-7 Rivers Data'!$AG$4:$AI$9,2,FALSE)=0,"Spatial Data Missing ⚠",VLOOKUP(V22,'G-7 Rivers Data'!$AG$4:$AI$9,2,FALSE)))</f>
        <v/>
      </c>
      <c r="X22" s="499" t="str">
        <f>IF(V22="","",IF(VLOOKUP(V22,'G-7 Rivers Data'!$AG$4:$AI$9,3,FALSE)=0,"Spatial Data Missing ⚠",VLOOKUP(V22,'G-7 Rivers Data'!$AG$4:$AI$9,3,FALSE)))</f>
        <v/>
      </c>
      <c r="Y22" s="498" t="str">
        <f>IFERROR(IF(OR(LEFT(P22,5)="Error ▲",LEFT(O22,5)="Error ▲"),"Check Data ⚠",IF(F22&lt;S22,'G-7 Rivers Data'!$R$3,INDEX('G-7 Rivers Data'!$U$5:$Y$9,MATCH(G22,'G-7 Rivers Data'!$T$5:$T$9,0),MATCH(T22,'G-7 Rivers Data'!$U$4:$Y$4,0)))),"")</f>
        <v/>
      </c>
      <c r="Z22" s="195"/>
      <c r="AA22" s="195"/>
      <c r="AB22" s="507" t="str">
        <f t="shared" si="2"/>
        <v/>
      </c>
      <c r="AC22" s="521" t="str">
        <f t="shared" si="3"/>
        <v/>
      </c>
      <c r="AD22" s="564" t="str">
        <f>IFERROR(IF(AC22="Check Data ⚠","Check Data ⚠",VLOOKUP(AC22,'G-4 Temporal multipliers'!$A$4:$C$37,3,FALSE)),"")</f>
        <v/>
      </c>
      <c r="AE22" s="498" t="str">
        <f>IF(N22="","",VLOOKUP(N22,'G-7 Rivers Data'!$B$4:$G$8,5,FALSE))</f>
        <v/>
      </c>
      <c r="AF22" s="507" t="str">
        <f t="shared" si="4"/>
        <v/>
      </c>
      <c r="AG22" s="540" t="str">
        <f t="shared" si="5"/>
        <v/>
      </c>
      <c r="AH22" s="499" t="str">
        <f t="shared" si="0"/>
        <v/>
      </c>
      <c r="AI22" s="145"/>
      <c r="AJ22" s="499" t="str">
        <f>IF(AI22="","",IF(VLOOKUP(AI22,'G-7 Rivers Data'!$AA$4:$AB$7,2,FALSE)=0,"Spatial Data Missing ⚠",VLOOKUP(AI22,'G-7 Rivers Data'!$AA$4:$AB$7,2,FALSE)))</f>
        <v/>
      </c>
      <c r="AK22" s="155"/>
      <c r="AL22" s="499" t="str">
        <f>IF(AK22="","",IF(VLOOKUP(AK22,'G-7 Rivers Data'!$AD$4:$AE$8,2,FALSE)=0,"Spatial Data Missing ⚠",VLOOKUP(AK22,'G-7 Rivers Data'!$AD$4:$AE$8,2,FALSE)))</f>
        <v/>
      </c>
      <c r="AM22" s="545" t="str">
        <f t="shared" si="7"/>
        <v/>
      </c>
      <c r="AN22" s="149"/>
      <c r="AO22" s="150"/>
      <c r="AV22" s="31" t="str">
        <f>IFERROR(INDEX('G-7 Rivers Data'!$AZ$3:$AZ$7,MATCH(N22,'G-7 Rivers Data'!$AY$3:$AY$7,0)),"")</f>
        <v/>
      </c>
    </row>
    <row r="23" spans="2:48" ht="13.8" x14ac:dyDescent="0.25">
      <c r="B23" s="531" t="str">
        <f>'C-1 Site River Baseline'!AN21</f>
        <v/>
      </c>
      <c r="C23" s="520" t="str">
        <f>IF(B23="","",VLOOKUP($B23,'C-1 Site River Baseline'!$C$9:$R$257,2,FALSE))</f>
        <v/>
      </c>
      <c r="D23" s="520" t="str">
        <f>IF(C23="","",VLOOKUP($B23,'C-1 Site River Baseline'!$C$9:$R$257,3,FALSE))</f>
        <v/>
      </c>
      <c r="E23" s="520" t="str">
        <f>IF(D23="","",VLOOKUP($B23,'C-1 Site River Baseline'!$C$9:$R$257,4,FALSE))</f>
        <v/>
      </c>
      <c r="F23" s="520" t="str">
        <f>IF(E23="","",VLOOKUP($B23,'C-1 Site River Baseline'!$C$9:$R$257,5,FALSE))</f>
        <v/>
      </c>
      <c r="G23" s="520" t="str">
        <f>IF(F23="","",VLOOKUP($B23,'C-1 Site River Baseline'!$C$9:$R$257,6,FALSE))</f>
        <v/>
      </c>
      <c r="H23" s="520" t="str">
        <f>IF(G23="","",VLOOKUP($B23,'C-1 Site River Baseline'!$C$9:$R$257,7,FALSE))</f>
        <v/>
      </c>
      <c r="I23" s="520" t="str">
        <f>IF(H23="","",VLOOKUP($B23,'C-1 Site River Baseline'!$C$9:$R$257,8,FALSE))</f>
        <v/>
      </c>
      <c r="J23" s="520" t="str">
        <f>IF(I23="","",VLOOKUP($B23,'C-1 Site River Baseline'!$C$9:$R$257,9,FALSE))</f>
        <v/>
      </c>
      <c r="K23" s="520" t="str">
        <f>IF(J23="","",VLOOKUP($B23,'C-1 Site River Baseline'!$C$9:$R$257,10,FALSE))</f>
        <v/>
      </c>
      <c r="L23" s="520" t="str">
        <f>IF(B23="","",VLOOKUP($B23,'C-1 Site River Baseline'!$C$9:$R$257,15,FALSE))</f>
        <v/>
      </c>
      <c r="M23" s="524" t="str">
        <f>IF(L23="","",VLOOKUP($B23,'C-1 Site River Baseline'!$C$9:$R$257,16,FALSE))</f>
        <v/>
      </c>
      <c r="N23" s="426" t="str">
        <f t="shared" si="6"/>
        <v/>
      </c>
      <c r="O23" s="498" t="str">
        <f t="shared" si="1"/>
        <v/>
      </c>
      <c r="P23" s="499" t="str">
        <f>IF(C23="","",IF(AND(LEFT(C23,55)&lt;&gt;LEFT(N23,55),O23="High - High"),"Error - Not like for like ▲",IF(AND(F23=S23,H23&gt;U23),"Error - Can not reduce condition ▲",IF(AND(F23=S23,H23=U23,AJ23='C-1 Site River Baseline'!N21,'C-1 Site River Baseline'!P21=AL23),"Error - No enhancement ▲",IF(AND(C23&lt;&gt;N23,F23&lt;S23),"Lower Distinctiveness Habitat"&amp;" - "&amp;T23,G23&amp;" - "&amp;T23)))))</f>
        <v/>
      </c>
      <c r="Q23" s="567" t="str">
        <f>IF(N23="","",VLOOKUP(B23,'C-1 Site River Baseline'!$C$10:$AA$257,19,FALSE))</f>
        <v/>
      </c>
      <c r="R23" s="498" t="str">
        <f>IF(N23="","",VLOOKUP(N23,'G-7 Rivers Data'!$B$2:$G$8,2,FALSE))</f>
        <v/>
      </c>
      <c r="S23" s="499" t="str">
        <f>IFERROR(VLOOKUP(R23,'G-7 Rivers Data'!$C$4:$D$8,2,FALSE),"")</f>
        <v/>
      </c>
      <c r="T23" s="145"/>
      <c r="U23" s="499" t="str">
        <f>IFERROR(INDEX('G-7 Rivers Data'!$H$4:$L$8,MATCH(N23,'G-7 Rivers Data'!$B$4:$B$8,0),MATCH(T23,'G-7 Rivers Data'!$H$3:$L$3,0)),"")</f>
        <v/>
      </c>
      <c r="V23" s="154"/>
      <c r="W23" s="507" t="str">
        <f>IF(V23="","",IF(VLOOKUP(V23,'G-7 Rivers Data'!$AG$4:$AI$9,2,FALSE)=0,"Spatial Data Missing ⚠",VLOOKUP(V23,'G-7 Rivers Data'!$AG$4:$AI$9,2,FALSE)))</f>
        <v/>
      </c>
      <c r="X23" s="499" t="str">
        <f>IF(V23="","",IF(VLOOKUP(V23,'G-7 Rivers Data'!$AG$4:$AI$9,3,FALSE)=0,"Spatial Data Missing ⚠",VLOOKUP(V23,'G-7 Rivers Data'!$AG$4:$AI$9,3,FALSE)))</f>
        <v/>
      </c>
      <c r="Y23" s="498" t="str">
        <f>IFERROR(IF(OR(LEFT(P23,5)="Error ▲",LEFT(O23,5)="Error ▲"),"Check Data ⚠",IF(F23&lt;S23,'G-7 Rivers Data'!$R$3,INDEX('G-7 Rivers Data'!$U$5:$Y$9,MATCH(G23,'G-7 Rivers Data'!$T$5:$T$9,0),MATCH(T23,'G-7 Rivers Data'!$U$4:$Y$4,0)))),"")</f>
        <v/>
      </c>
      <c r="Z23" s="195"/>
      <c r="AA23" s="195"/>
      <c r="AB23" s="507" t="str">
        <f t="shared" si="2"/>
        <v/>
      </c>
      <c r="AC23" s="521" t="str">
        <f t="shared" si="3"/>
        <v/>
      </c>
      <c r="AD23" s="564" t="str">
        <f>IFERROR(IF(AC23="Check Data ⚠","Check Data ⚠",VLOOKUP(AC23,'G-4 Temporal multipliers'!$A$4:$C$37,3,FALSE)),"")</f>
        <v/>
      </c>
      <c r="AE23" s="498" t="str">
        <f>IF(N23="","",VLOOKUP(N23,'G-7 Rivers Data'!$B$4:$G$8,5,FALSE))</f>
        <v/>
      </c>
      <c r="AF23" s="507" t="str">
        <f t="shared" si="4"/>
        <v/>
      </c>
      <c r="AG23" s="540" t="str">
        <f t="shared" si="5"/>
        <v/>
      </c>
      <c r="AH23" s="499" t="str">
        <f t="shared" si="0"/>
        <v/>
      </c>
      <c r="AI23" s="145"/>
      <c r="AJ23" s="499" t="str">
        <f>IF(AI23="","",IF(VLOOKUP(AI23,'G-7 Rivers Data'!$AA$4:$AB$7,2,FALSE)=0,"Spatial Data Missing ⚠",VLOOKUP(AI23,'G-7 Rivers Data'!$AA$4:$AB$7,2,FALSE)))</f>
        <v/>
      </c>
      <c r="AK23" s="155"/>
      <c r="AL23" s="499" t="str">
        <f>IF(AK23="","",IF(VLOOKUP(AK23,'G-7 Rivers Data'!$AD$4:$AE$8,2,FALSE)=0,"Spatial Data Missing ⚠",VLOOKUP(AK23,'G-7 Rivers Data'!$AD$4:$AE$8,2,FALSE)))</f>
        <v/>
      </c>
      <c r="AM23" s="545" t="str">
        <f t="shared" si="7"/>
        <v/>
      </c>
      <c r="AN23" s="149"/>
      <c r="AO23" s="150"/>
      <c r="AV23" s="31" t="str">
        <f>IFERROR(INDEX('G-7 Rivers Data'!$AZ$3:$AZ$7,MATCH(N23,'G-7 Rivers Data'!$AY$3:$AY$7,0)),"")</f>
        <v/>
      </c>
    </row>
    <row r="24" spans="2:48" ht="13.8" x14ac:dyDescent="0.25">
      <c r="B24" s="531" t="str">
        <f>'C-1 Site River Baseline'!AN22</f>
        <v/>
      </c>
      <c r="C24" s="520" t="str">
        <f>IF(B24="","",VLOOKUP($B24,'C-1 Site River Baseline'!$C$9:$R$257,2,FALSE))</f>
        <v/>
      </c>
      <c r="D24" s="520" t="str">
        <f>IF(C24="","",VLOOKUP($B24,'C-1 Site River Baseline'!$C$9:$R$257,3,FALSE))</f>
        <v/>
      </c>
      <c r="E24" s="520" t="str">
        <f>IF(D24="","",VLOOKUP($B24,'C-1 Site River Baseline'!$C$9:$R$257,4,FALSE))</f>
        <v/>
      </c>
      <c r="F24" s="520" t="str">
        <f>IF(E24="","",VLOOKUP($B24,'C-1 Site River Baseline'!$C$9:$R$257,5,FALSE))</f>
        <v/>
      </c>
      <c r="G24" s="520" t="str">
        <f>IF(F24="","",VLOOKUP($B24,'C-1 Site River Baseline'!$C$9:$R$257,6,FALSE))</f>
        <v/>
      </c>
      <c r="H24" s="520" t="str">
        <f>IF(G24="","",VLOOKUP($B24,'C-1 Site River Baseline'!$C$9:$R$257,7,FALSE))</f>
        <v/>
      </c>
      <c r="I24" s="520" t="str">
        <f>IF(H24="","",VLOOKUP($B24,'C-1 Site River Baseline'!$C$9:$R$257,8,FALSE))</f>
        <v/>
      </c>
      <c r="J24" s="520" t="str">
        <f>IF(I24="","",VLOOKUP($B24,'C-1 Site River Baseline'!$C$9:$R$257,9,FALSE))</f>
        <v/>
      </c>
      <c r="K24" s="520" t="str">
        <f>IF(J24="","",VLOOKUP($B24,'C-1 Site River Baseline'!$C$9:$R$257,10,FALSE))</f>
        <v/>
      </c>
      <c r="L24" s="520" t="str">
        <f>IF(B24="","",VLOOKUP($B24,'C-1 Site River Baseline'!$C$9:$R$257,15,FALSE))</f>
        <v/>
      </c>
      <c r="M24" s="524" t="str">
        <f>IF(L24="","",VLOOKUP($B24,'C-1 Site River Baseline'!$C$9:$R$257,16,FALSE))</f>
        <v/>
      </c>
      <c r="N24" s="426" t="str">
        <f t="shared" si="6"/>
        <v/>
      </c>
      <c r="O24" s="498" t="str">
        <f t="shared" si="1"/>
        <v/>
      </c>
      <c r="P24" s="499" t="str">
        <f>IF(C24="","",IF(AND(LEFT(C24,55)&lt;&gt;LEFT(N24,55),O24="High - High"),"Error - Not like for like ▲",IF(AND(F24=S24,H24&gt;U24),"Error - Can not reduce condition ▲",IF(AND(F24=S24,H24=U24,AJ24='C-1 Site River Baseline'!N22,'C-1 Site River Baseline'!P22=AL24),"Error - No enhancement ▲",IF(AND(C24&lt;&gt;N24,F24&lt;S24),"Lower Distinctiveness Habitat"&amp;" - "&amp;T24,G24&amp;" - "&amp;T24)))))</f>
        <v/>
      </c>
      <c r="Q24" s="567" t="str">
        <f>IF(N24="","",VLOOKUP(B24,'C-1 Site River Baseline'!$C$10:$AA$257,19,FALSE))</f>
        <v/>
      </c>
      <c r="R24" s="498" t="str">
        <f>IF(N24="","",VLOOKUP(N24,'G-7 Rivers Data'!$B$2:$G$8,2,FALSE))</f>
        <v/>
      </c>
      <c r="S24" s="499" t="str">
        <f>IFERROR(VLOOKUP(R24,'G-7 Rivers Data'!$C$4:$D$8,2,FALSE),"")</f>
        <v/>
      </c>
      <c r="T24" s="145"/>
      <c r="U24" s="499" t="str">
        <f>IFERROR(INDEX('G-7 Rivers Data'!$H$4:$L$8,MATCH(N24,'G-7 Rivers Data'!$B$4:$B$8,0),MATCH(T24,'G-7 Rivers Data'!$H$3:$L$3,0)),"")</f>
        <v/>
      </c>
      <c r="V24" s="154"/>
      <c r="W24" s="507" t="str">
        <f>IF(V24="","",IF(VLOOKUP(V24,'G-7 Rivers Data'!$AG$4:$AI$9,2,FALSE)=0,"Spatial Data Missing ⚠",VLOOKUP(V24,'G-7 Rivers Data'!$AG$4:$AI$9,2,FALSE)))</f>
        <v/>
      </c>
      <c r="X24" s="499" t="str">
        <f>IF(V24="","",IF(VLOOKUP(V24,'G-7 Rivers Data'!$AG$4:$AI$9,3,FALSE)=0,"Spatial Data Missing ⚠",VLOOKUP(V24,'G-7 Rivers Data'!$AG$4:$AI$9,3,FALSE)))</f>
        <v/>
      </c>
      <c r="Y24" s="498" t="str">
        <f>IFERROR(IF(OR(LEFT(P24,5)="Error ▲",LEFT(O24,5)="Error ▲"),"Check Data ⚠",IF(F24&lt;S24,'G-7 Rivers Data'!$R$3,INDEX('G-7 Rivers Data'!$U$5:$Y$9,MATCH(G24,'G-7 Rivers Data'!$T$5:$T$9,0),MATCH(T24,'G-7 Rivers Data'!$U$4:$Y$4,0)))),"")</f>
        <v/>
      </c>
      <c r="Z24" s="195"/>
      <c r="AA24" s="195"/>
      <c r="AB24" s="507" t="str">
        <f t="shared" si="2"/>
        <v/>
      </c>
      <c r="AC24" s="521" t="str">
        <f t="shared" si="3"/>
        <v/>
      </c>
      <c r="AD24" s="564" t="str">
        <f>IFERROR(IF(AC24="Check Data ⚠","Check Data ⚠",VLOOKUP(AC24,'G-4 Temporal multipliers'!$A$4:$C$37,3,FALSE)),"")</f>
        <v/>
      </c>
      <c r="AE24" s="498" t="str">
        <f>IF(N24="","",VLOOKUP(N24,'G-7 Rivers Data'!$B$4:$G$8,5,FALSE))</f>
        <v/>
      </c>
      <c r="AF24" s="507" t="str">
        <f t="shared" si="4"/>
        <v/>
      </c>
      <c r="AG24" s="540" t="str">
        <f t="shared" si="5"/>
        <v/>
      </c>
      <c r="AH24" s="499" t="str">
        <f t="shared" si="0"/>
        <v/>
      </c>
      <c r="AI24" s="145"/>
      <c r="AJ24" s="499" t="str">
        <f>IF(AI24="","",IF(VLOOKUP(AI24,'G-7 Rivers Data'!$AA$4:$AB$7,2,FALSE)=0,"Spatial Data Missing ⚠",VLOOKUP(AI24,'G-7 Rivers Data'!$AA$4:$AB$7,2,FALSE)))</f>
        <v/>
      </c>
      <c r="AK24" s="155"/>
      <c r="AL24" s="499" t="str">
        <f>IF(AK24="","",IF(VLOOKUP(AK24,'G-7 Rivers Data'!$AD$4:$AE$8,2,FALSE)=0,"Spatial Data Missing ⚠",VLOOKUP(AK24,'G-7 Rivers Data'!$AD$4:$AE$8,2,FALSE)))</f>
        <v/>
      </c>
      <c r="AM24" s="545" t="str">
        <f t="shared" si="7"/>
        <v/>
      </c>
      <c r="AN24" s="149"/>
      <c r="AO24" s="150"/>
      <c r="AV24" s="31" t="str">
        <f>IFERROR(INDEX('G-7 Rivers Data'!$AZ$3:$AZ$7,MATCH(N24,'G-7 Rivers Data'!$AY$3:$AY$7,0)),"")</f>
        <v/>
      </c>
    </row>
    <row r="25" spans="2:48" ht="13.8" x14ac:dyDescent="0.25">
      <c r="B25" s="531" t="str">
        <f>'C-1 Site River Baseline'!AN23</f>
        <v/>
      </c>
      <c r="C25" s="520" t="str">
        <f>IF(B25="","",VLOOKUP($B25,'C-1 Site River Baseline'!$C$9:$R$257,2,FALSE))</f>
        <v/>
      </c>
      <c r="D25" s="520" t="str">
        <f>IF(C25="","",VLOOKUP($B25,'C-1 Site River Baseline'!$C$9:$R$257,3,FALSE))</f>
        <v/>
      </c>
      <c r="E25" s="520" t="str">
        <f>IF(D25="","",VLOOKUP($B25,'C-1 Site River Baseline'!$C$9:$R$257,4,FALSE))</f>
        <v/>
      </c>
      <c r="F25" s="520" t="str">
        <f>IF(E25="","",VLOOKUP($B25,'C-1 Site River Baseline'!$C$9:$R$257,5,FALSE))</f>
        <v/>
      </c>
      <c r="G25" s="520" t="str">
        <f>IF(F25="","",VLOOKUP($B25,'C-1 Site River Baseline'!$C$9:$R$257,6,FALSE))</f>
        <v/>
      </c>
      <c r="H25" s="520" t="str">
        <f>IF(G25="","",VLOOKUP($B25,'C-1 Site River Baseline'!$C$9:$R$257,7,FALSE))</f>
        <v/>
      </c>
      <c r="I25" s="520" t="str">
        <f>IF(H25="","",VLOOKUP($B25,'C-1 Site River Baseline'!$C$9:$R$257,8,FALSE))</f>
        <v/>
      </c>
      <c r="J25" s="520" t="str">
        <f>IF(I25="","",VLOOKUP($B25,'C-1 Site River Baseline'!$C$9:$R$257,9,FALSE))</f>
        <v/>
      </c>
      <c r="K25" s="520" t="str">
        <f>IF(J25="","",VLOOKUP($B25,'C-1 Site River Baseline'!$C$9:$R$257,10,FALSE))</f>
        <v/>
      </c>
      <c r="L25" s="520" t="str">
        <f>IF(B25="","",VLOOKUP($B25,'C-1 Site River Baseline'!$C$9:$R$257,15,FALSE))</f>
        <v/>
      </c>
      <c r="M25" s="524" t="str">
        <f>IF(L25="","",VLOOKUP($B25,'C-1 Site River Baseline'!$C$9:$R$257,16,FALSE))</f>
        <v/>
      </c>
      <c r="N25" s="426" t="str">
        <f t="shared" si="6"/>
        <v/>
      </c>
      <c r="O25" s="498" t="str">
        <f t="shared" si="1"/>
        <v/>
      </c>
      <c r="P25" s="499" t="str">
        <f>IF(C25="","",IF(AND(LEFT(C25,55)&lt;&gt;LEFT(N25,55),O25="High - High"),"Error - Not like for like ▲",IF(AND(F25=S25,H25&gt;U25),"Error - Can not reduce condition ▲",IF(AND(F25=S25,H25=U25,AJ25='C-1 Site River Baseline'!N23,'C-1 Site River Baseline'!P23=AL25),"Error - No enhancement ▲",IF(AND(C25&lt;&gt;N25,F25&lt;S25),"Lower Distinctiveness Habitat"&amp;" - "&amp;T25,G25&amp;" - "&amp;T25)))))</f>
        <v/>
      </c>
      <c r="Q25" s="567" t="str">
        <f>IF(N25="","",VLOOKUP(B25,'C-1 Site River Baseline'!$C$10:$AA$257,19,FALSE))</f>
        <v/>
      </c>
      <c r="R25" s="498" t="str">
        <f>IF(N25="","",VLOOKUP(N25,'G-7 Rivers Data'!$B$2:$G$8,2,FALSE))</f>
        <v/>
      </c>
      <c r="S25" s="499" t="str">
        <f>IFERROR(VLOOKUP(R25,'G-7 Rivers Data'!$C$4:$D$8,2,FALSE),"")</f>
        <v/>
      </c>
      <c r="T25" s="145"/>
      <c r="U25" s="499" t="str">
        <f>IFERROR(INDEX('G-7 Rivers Data'!$H$4:$L$8,MATCH(N25,'G-7 Rivers Data'!$B$4:$B$8,0),MATCH(T25,'G-7 Rivers Data'!$H$3:$L$3,0)),"")</f>
        <v/>
      </c>
      <c r="V25" s="154"/>
      <c r="W25" s="507" t="str">
        <f>IF(V25="","",IF(VLOOKUP(V25,'G-7 Rivers Data'!$AG$4:$AI$9,2,FALSE)=0,"Spatial Data Missing ⚠",VLOOKUP(V25,'G-7 Rivers Data'!$AG$4:$AI$9,2,FALSE)))</f>
        <v/>
      </c>
      <c r="X25" s="499" t="str">
        <f>IF(V25="","",IF(VLOOKUP(V25,'G-7 Rivers Data'!$AG$4:$AI$9,3,FALSE)=0,"Spatial Data Missing ⚠",VLOOKUP(V25,'G-7 Rivers Data'!$AG$4:$AI$9,3,FALSE)))</f>
        <v/>
      </c>
      <c r="Y25" s="498" t="str">
        <f>IFERROR(IF(OR(LEFT(P25,5)="Error ▲",LEFT(O25,5)="Error ▲"),"Check Data ⚠",IF(F25&lt;S25,'G-7 Rivers Data'!$R$3,INDEX('G-7 Rivers Data'!$U$5:$Y$9,MATCH(G25,'G-7 Rivers Data'!$T$5:$T$9,0),MATCH(T25,'G-7 Rivers Data'!$U$4:$Y$4,0)))),"")</f>
        <v/>
      </c>
      <c r="Z25" s="195"/>
      <c r="AA25" s="195"/>
      <c r="AB25" s="507" t="str">
        <f t="shared" si="2"/>
        <v/>
      </c>
      <c r="AC25" s="521" t="str">
        <f t="shared" si="3"/>
        <v/>
      </c>
      <c r="AD25" s="564" t="str">
        <f>IFERROR(IF(AC25="Check Data ⚠","Check Data ⚠",VLOOKUP(AC25,'G-4 Temporal multipliers'!$A$4:$C$37,3,FALSE)),"")</f>
        <v/>
      </c>
      <c r="AE25" s="498" t="str">
        <f>IF(N25="","",VLOOKUP(N25,'G-7 Rivers Data'!$B$4:$G$8,5,FALSE))</f>
        <v/>
      </c>
      <c r="AF25" s="507" t="str">
        <f t="shared" si="4"/>
        <v/>
      </c>
      <c r="AG25" s="540" t="str">
        <f t="shared" si="5"/>
        <v/>
      </c>
      <c r="AH25" s="499" t="str">
        <f t="shared" si="0"/>
        <v/>
      </c>
      <c r="AI25" s="145"/>
      <c r="AJ25" s="499" t="str">
        <f>IF(AI25="","",IF(VLOOKUP(AI25,'G-7 Rivers Data'!$AA$4:$AB$7,2,FALSE)=0,"Spatial Data Missing ⚠",VLOOKUP(AI25,'G-7 Rivers Data'!$AA$4:$AB$7,2,FALSE)))</f>
        <v/>
      </c>
      <c r="AK25" s="155"/>
      <c r="AL25" s="499" t="str">
        <f>IF(AK25="","",IF(VLOOKUP(AK25,'G-7 Rivers Data'!$AD$4:$AE$8,2,FALSE)=0,"Spatial Data Missing ⚠",VLOOKUP(AK25,'G-7 Rivers Data'!$AD$4:$AE$8,2,FALSE)))</f>
        <v/>
      </c>
      <c r="AM25" s="545" t="str">
        <f t="shared" si="7"/>
        <v/>
      </c>
      <c r="AN25" s="149"/>
      <c r="AO25" s="150"/>
      <c r="AV25" s="31" t="str">
        <f>IFERROR(INDEX('G-7 Rivers Data'!$AZ$3:$AZ$7,MATCH(N25,'G-7 Rivers Data'!$AY$3:$AY$7,0)),"")</f>
        <v/>
      </c>
    </row>
    <row r="26" spans="2:48" ht="13.8" x14ac:dyDescent="0.25">
      <c r="B26" s="531" t="str">
        <f>'C-1 Site River Baseline'!AN24</f>
        <v/>
      </c>
      <c r="C26" s="520" t="str">
        <f>IF(B26="","",VLOOKUP($B26,'C-1 Site River Baseline'!$C$9:$R$257,2,FALSE))</f>
        <v/>
      </c>
      <c r="D26" s="520" t="str">
        <f>IF(C26="","",VLOOKUP($B26,'C-1 Site River Baseline'!$C$9:$R$257,3,FALSE))</f>
        <v/>
      </c>
      <c r="E26" s="520" t="str">
        <f>IF(D26="","",VLOOKUP($B26,'C-1 Site River Baseline'!$C$9:$R$257,4,FALSE))</f>
        <v/>
      </c>
      <c r="F26" s="520" t="str">
        <f>IF(E26="","",VLOOKUP($B26,'C-1 Site River Baseline'!$C$9:$R$257,5,FALSE))</f>
        <v/>
      </c>
      <c r="G26" s="520" t="str">
        <f>IF(F26="","",VLOOKUP($B26,'C-1 Site River Baseline'!$C$9:$R$257,6,FALSE))</f>
        <v/>
      </c>
      <c r="H26" s="520" t="str">
        <f>IF(G26="","",VLOOKUP($B26,'C-1 Site River Baseline'!$C$9:$R$257,7,FALSE))</f>
        <v/>
      </c>
      <c r="I26" s="520" t="str">
        <f>IF(H26="","",VLOOKUP($B26,'C-1 Site River Baseline'!$C$9:$R$257,8,FALSE))</f>
        <v/>
      </c>
      <c r="J26" s="520" t="str">
        <f>IF(I26="","",VLOOKUP($B26,'C-1 Site River Baseline'!$C$9:$R$257,9,FALSE))</f>
        <v/>
      </c>
      <c r="K26" s="520" t="str">
        <f>IF(J26="","",VLOOKUP($B26,'C-1 Site River Baseline'!$C$9:$R$257,10,FALSE))</f>
        <v/>
      </c>
      <c r="L26" s="520" t="str">
        <f>IF(B26="","",VLOOKUP($B26,'C-1 Site River Baseline'!$C$9:$R$257,15,FALSE))</f>
        <v/>
      </c>
      <c r="M26" s="524" t="str">
        <f>IF(L26="","",VLOOKUP($B26,'C-1 Site River Baseline'!$C$9:$R$257,16,FALSE))</f>
        <v/>
      </c>
      <c r="N26" s="426" t="str">
        <f t="shared" si="6"/>
        <v/>
      </c>
      <c r="O26" s="498" t="str">
        <f t="shared" si="1"/>
        <v/>
      </c>
      <c r="P26" s="499" t="str">
        <f>IF(C26="","",IF(AND(LEFT(C26,55)&lt;&gt;LEFT(N26,55),O26="High - High"),"Error - Not like for like ▲",IF(AND(F26=S26,H26&gt;U26),"Error - Can not reduce condition ▲",IF(AND(F26=S26,H26=U26,AJ26='C-1 Site River Baseline'!N24,'C-1 Site River Baseline'!P24=AL26),"Error - No enhancement ▲",IF(AND(C26&lt;&gt;N26,F26&lt;S26),"Lower Distinctiveness Habitat"&amp;" - "&amp;T26,G26&amp;" - "&amp;T26)))))</f>
        <v/>
      </c>
      <c r="Q26" s="567" t="str">
        <f>IF(N26="","",VLOOKUP(B26,'C-1 Site River Baseline'!$C$10:$AA$257,19,FALSE))</f>
        <v/>
      </c>
      <c r="R26" s="498" t="str">
        <f>IF(N26="","",VLOOKUP(N26,'G-7 Rivers Data'!$B$2:$G$8,2,FALSE))</f>
        <v/>
      </c>
      <c r="S26" s="499" t="str">
        <f>IFERROR(VLOOKUP(R26,'G-7 Rivers Data'!$C$4:$D$8,2,FALSE),"")</f>
        <v/>
      </c>
      <c r="T26" s="145"/>
      <c r="U26" s="499" t="str">
        <f>IFERROR(INDEX('G-7 Rivers Data'!$H$4:$L$8,MATCH(N26,'G-7 Rivers Data'!$B$4:$B$8,0),MATCH(T26,'G-7 Rivers Data'!$H$3:$L$3,0)),"")</f>
        <v/>
      </c>
      <c r="V26" s="154"/>
      <c r="W26" s="507" t="str">
        <f>IF(V26="","",IF(VLOOKUP(V26,'G-7 Rivers Data'!$AG$4:$AI$9,2,FALSE)=0,"Spatial Data Missing ⚠",VLOOKUP(V26,'G-7 Rivers Data'!$AG$4:$AI$9,2,FALSE)))</f>
        <v/>
      </c>
      <c r="X26" s="499" t="str">
        <f>IF(V26="","",IF(VLOOKUP(V26,'G-7 Rivers Data'!$AG$4:$AI$9,3,FALSE)=0,"Spatial Data Missing ⚠",VLOOKUP(V26,'G-7 Rivers Data'!$AG$4:$AI$9,3,FALSE)))</f>
        <v/>
      </c>
      <c r="Y26" s="498" t="str">
        <f>IFERROR(IF(OR(LEFT(P26,5)="Error ▲",LEFT(O26,5)="Error ▲"),"Check Data ⚠",IF(F26&lt;S26,'G-7 Rivers Data'!$R$3,INDEX('G-7 Rivers Data'!$U$5:$Y$9,MATCH(G26,'G-7 Rivers Data'!$T$5:$T$9,0),MATCH(T26,'G-7 Rivers Data'!$U$4:$Y$4,0)))),"")</f>
        <v/>
      </c>
      <c r="Z26" s="195"/>
      <c r="AA26" s="195"/>
      <c r="AB26" s="507" t="str">
        <f t="shared" si="2"/>
        <v/>
      </c>
      <c r="AC26" s="521" t="str">
        <f t="shared" si="3"/>
        <v/>
      </c>
      <c r="AD26" s="564" t="str">
        <f>IFERROR(IF(AC26="Check Data ⚠","Check Data ⚠",VLOOKUP(AC26,'G-4 Temporal multipliers'!$A$4:$C$37,3,FALSE)),"")</f>
        <v/>
      </c>
      <c r="AE26" s="498" t="str">
        <f>IF(N26="","",VLOOKUP(N26,'G-7 Rivers Data'!$B$4:$G$8,5,FALSE))</f>
        <v/>
      </c>
      <c r="AF26" s="507" t="str">
        <f t="shared" si="4"/>
        <v/>
      </c>
      <c r="AG26" s="540" t="str">
        <f t="shared" si="5"/>
        <v/>
      </c>
      <c r="AH26" s="499" t="str">
        <f t="shared" si="0"/>
        <v/>
      </c>
      <c r="AI26" s="145"/>
      <c r="AJ26" s="499" t="str">
        <f>IF(AI26="","",IF(VLOOKUP(AI26,'G-7 Rivers Data'!$AA$4:$AB$7,2,FALSE)=0,"Spatial Data Missing ⚠",VLOOKUP(AI26,'G-7 Rivers Data'!$AA$4:$AB$7,2,FALSE)))</f>
        <v/>
      </c>
      <c r="AK26" s="155"/>
      <c r="AL26" s="499" t="str">
        <f>IF(AK26="","",IF(VLOOKUP(AK26,'G-7 Rivers Data'!$AD$4:$AE$8,2,FALSE)=0,"Spatial Data Missing ⚠",VLOOKUP(AK26,'G-7 Rivers Data'!$AD$4:$AE$8,2,FALSE)))</f>
        <v/>
      </c>
      <c r="AM26" s="545" t="str">
        <f t="shared" si="7"/>
        <v/>
      </c>
      <c r="AN26" s="149"/>
      <c r="AO26" s="150"/>
      <c r="AV26" s="31" t="str">
        <f>IFERROR(INDEX('G-7 Rivers Data'!$AZ$3:$AZ$7,MATCH(N26,'G-7 Rivers Data'!$AY$3:$AY$7,0)),"")</f>
        <v/>
      </c>
    </row>
    <row r="27" spans="2:48" ht="13.8" x14ac:dyDescent="0.25">
      <c r="B27" s="531" t="str">
        <f>'C-1 Site River Baseline'!AN25</f>
        <v/>
      </c>
      <c r="C27" s="520" t="str">
        <f>IF(B27="","",VLOOKUP($B27,'C-1 Site River Baseline'!$C$9:$R$257,2,FALSE))</f>
        <v/>
      </c>
      <c r="D27" s="520" t="str">
        <f>IF(C27="","",VLOOKUP($B27,'C-1 Site River Baseline'!$C$9:$R$257,3,FALSE))</f>
        <v/>
      </c>
      <c r="E27" s="520" t="str">
        <f>IF(D27="","",VLOOKUP($B27,'C-1 Site River Baseline'!$C$9:$R$257,4,FALSE))</f>
        <v/>
      </c>
      <c r="F27" s="520" t="str">
        <f>IF(E27="","",VLOOKUP($B27,'C-1 Site River Baseline'!$C$9:$R$257,5,FALSE))</f>
        <v/>
      </c>
      <c r="G27" s="520" t="str">
        <f>IF(F27="","",VLOOKUP($B27,'C-1 Site River Baseline'!$C$9:$R$257,6,FALSE))</f>
        <v/>
      </c>
      <c r="H27" s="520" t="str">
        <f>IF(G27="","",VLOOKUP($B27,'C-1 Site River Baseline'!$C$9:$R$257,7,FALSE))</f>
        <v/>
      </c>
      <c r="I27" s="520" t="str">
        <f>IF(H27="","",VLOOKUP($B27,'C-1 Site River Baseline'!$C$9:$R$257,8,FALSE))</f>
        <v/>
      </c>
      <c r="J27" s="520" t="str">
        <f>IF(I27="","",VLOOKUP($B27,'C-1 Site River Baseline'!$C$9:$R$257,9,FALSE))</f>
        <v/>
      </c>
      <c r="K27" s="520" t="str">
        <f>IF(J27="","",VLOOKUP($B27,'C-1 Site River Baseline'!$C$9:$R$257,10,FALSE))</f>
        <v/>
      </c>
      <c r="L27" s="520" t="str">
        <f>IF(B27="","",VLOOKUP($B27,'C-1 Site River Baseline'!$C$9:$R$257,15,FALSE))</f>
        <v/>
      </c>
      <c r="M27" s="524" t="str">
        <f>IF(L27="","",VLOOKUP($B27,'C-1 Site River Baseline'!$C$9:$R$257,16,FALSE))</f>
        <v/>
      </c>
      <c r="N27" s="426" t="str">
        <f t="shared" si="6"/>
        <v/>
      </c>
      <c r="O27" s="498" t="str">
        <f t="shared" si="1"/>
        <v/>
      </c>
      <c r="P27" s="499" t="str">
        <f>IF(C27="","",IF(AND(LEFT(C27,55)&lt;&gt;LEFT(N27,55),O27="High - High"),"Error - Not like for like ▲",IF(AND(F27=S27,H27&gt;U27),"Error - Can not reduce condition ▲",IF(AND(F27=S27,H27=U27,AJ27='C-1 Site River Baseline'!N25,'C-1 Site River Baseline'!P25=AL27),"Error - No enhancement ▲",IF(AND(C27&lt;&gt;N27,F27&lt;S27),"Lower Distinctiveness Habitat"&amp;" - "&amp;T27,G27&amp;" - "&amp;T27)))))</f>
        <v/>
      </c>
      <c r="Q27" s="567" t="str">
        <f>IF(N27="","",VLOOKUP(B27,'C-1 Site River Baseline'!$C$10:$AA$257,19,FALSE))</f>
        <v/>
      </c>
      <c r="R27" s="498" t="str">
        <f>IF(N27="","",VLOOKUP(N27,'G-7 Rivers Data'!$B$2:$G$8,2,FALSE))</f>
        <v/>
      </c>
      <c r="S27" s="499" t="str">
        <f>IFERROR(VLOOKUP(R27,'G-7 Rivers Data'!$C$4:$D$8,2,FALSE),"")</f>
        <v/>
      </c>
      <c r="T27" s="145"/>
      <c r="U27" s="499" t="str">
        <f>IFERROR(INDEX('G-7 Rivers Data'!$H$4:$L$8,MATCH(N27,'G-7 Rivers Data'!$B$4:$B$8,0),MATCH(T27,'G-7 Rivers Data'!$H$3:$L$3,0)),"")</f>
        <v/>
      </c>
      <c r="V27" s="154"/>
      <c r="W27" s="507" t="str">
        <f>IF(V27="","",IF(VLOOKUP(V27,'G-7 Rivers Data'!$AG$4:$AI$9,2,FALSE)=0,"Spatial Data Missing ⚠",VLOOKUP(V27,'G-7 Rivers Data'!$AG$4:$AI$9,2,FALSE)))</f>
        <v/>
      </c>
      <c r="X27" s="499" t="str">
        <f>IF(V27="","",IF(VLOOKUP(V27,'G-7 Rivers Data'!$AG$4:$AI$9,3,FALSE)=0,"Spatial Data Missing ⚠",VLOOKUP(V27,'G-7 Rivers Data'!$AG$4:$AI$9,3,FALSE)))</f>
        <v/>
      </c>
      <c r="Y27" s="498" t="str">
        <f>IFERROR(IF(OR(LEFT(P27,5)="Error ▲",LEFT(O27,5)="Error ▲"),"Check Data ⚠",IF(F27&lt;S27,'G-7 Rivers Data'!$R$3,INDEX('G-7 Rivers Data'!$U$5:$Y$9,MATCH(G27,'G-7 Rivers Data'!$T$5:$T$9,0),MATCH(T27,'G-7 Rivers Data'!$U$4:$Y$4,0)))),"")</f>
        <v/>
      </c>
      <c r="Z27" s="195"/>
      <c r="AA27" s="195"/>
      <c r="AB27" s="507" t="str">
        <f t="shared" si="2"/>
        <v/>
      </c>
      <c r="AC27" s="521" t="str">
        <f t="shared" si="3"/>
        <v/>
      </c>
      <c r="AD27" s="564" t="str">
        <f>IFERROR(IF(AC27="Check Data ⚠","Check Data ⚠",VLOOKUP(AC27,'G-4 Temporal multipliers'!$A$4:$C$37,3,FALSE)),"")</f>
        <v/>
      </c>
      <c r="AE27" s="498" t="str">
        <f>IF(N27="","",VLOOKUP(N27,'G-7 Rivers Data'!$B$4:$G$8,5,FALSE))</f>
        <v/>
      </c>
      <c r="AF27" s="507" t="str">
        <f t="shared" si="4"/>
        <v/>
      </c>
      <c r="AG27" s="540" t="str">
        <f t="shared" si="5"/>
        <v/>
      </c>
      <c r="AH27" s="499" t="str">
        <f t="shared" si="0"/>
        <v/>
      </c>
      <c r="AI27" s="145"/>
      <c r="AJ27" s="499" t="str">
        <f>IF(AI27="","",IF(VLOOKUP(AI27,'G-7 Rivers Data'!$AA$4:$AB$7,2,FALSE)=0,"Spatial Data Missing ⚠",VLOOKUP(AI27,'G-7 Rivers Data'!$AA$4:$AB$7,2,FALSE)))</f>
        <v/>
      </c>
      <c r="AK27" s="155"/>
      <c r="AL27" s="499" t="str">
        <f>IF(AK27="","",IF(VLOOKUP(AK27,'G-7 Rivers Data'!$AD$4:$AE$8,2,FALSE)=0,"Spatial Data Missing ⚠",VLOOKUP(AK27,'G-7 Rivers Data'!$AD$4:$AE$8,2,FALSE)))</f>
        <v/>
      </c>
      <c r="AM27" s="545" t="str">
        <f t="shared" si="7"/>
        <v/>
      </c>
      <c r="AN27" s="149"/>
      <c r="AO27" s="150"/>
      <c r="AV27" s="31" t="str">
        <f>IFERROR(INDEX('G-7 Rivers Data'!$AZ$3:$AZ$7,MATCH(N27,'G-7 Rivers Data'!$AY$3:$AY$7,0)),"")</f>
        <v/>
      </c>
    </row>
    <row r="28" spans="2:48" ht="13.8" x14ac:dyDescent="0.25">
      <c r="B28" s="531" t="str">
        <f>'C-1 Site River Baseline'!AN26</f>
        <v/>
      </c>
      <c r="C28" s="520" t="str">
        <f>IF(B28="","",VLOOKUP($B28,'C-1 Site River Baseline'!$C$9:$R$257,2,FALSE))</f>
        <v/>
      </c>
      <c r="D28" s="520" t="str">
        <f>IF(C28="","",VLOOKUP($B28,'C-1 Site River Baseline'!$C$9:$R$257,3,FALSE))</f>
        <v/>
      </c>
      <c r="E28" s="520" t="str">
        <f>IF(D28="","",VLOOKUP($B28,'C-1 Site River Baseline'!$C$9:$R$257,4,FALSE))</f>
        <v/>
      </c>
      <c r="F28" s="520" t="str">
        <f>IF(E28="","",VLOOKUP($B28,'C-1 Site River Baseline'!$C$9:$R$257,5,FALSE))</f>
        <v/>
      </c>
      <c r="G28" s="520" t="str">
        <f>IF(F28="","",VLOOKUP($B28,'C-1 Site River Baseline'!$C$9:$R$257,6,FALSE))</f>
        <v/>
      </c>
      <c r="H28" s="520" t="str">
        <f>IF(G28="","",VLOOKUP($B28,'C-1 Site River Baseline'!$C$9:$R$257,7,FALSE))</f>
        <v/>
      </c>
      <c r="I28" s="520" t="str">
        <f>IF(H28="","",VLOOKUP($B28,'C-1 Site River Baseline'!$C$9:$R$257,8,FALSE))</f>
        <v/>
      </c>
      <c r="J28" s="520" t="str">
        <f>IF(I28="","",VLOOKUP($B28,'C-1 Site River Baseline'!$C$9:$R$257,9,FALSE))</f>
        <v/>
      </c>
      <c r="K28" s="520" t="str">
        <f>IF(J28="","",VLOOKUP($B28,'C-1 Site River Baseline'!$C$9:$R$257,10,FALSE))</f>
        <v/>
      </c>
      <c r="L28" s="520" t="str">
        <f>IF(B28="","",VLOOKUP($B28,'C-1 Site River Baseline'!$C$9:$R$257,15,FALSE))</f>
        <v/>
      </c>
      <c r="M28" s="524" t="str">
        <f>IF(L28="","",VLOOKUP($B28,'C-1 Site River Baseline'!$C$9:$R$257,16,FALSE))</f>
        <v/>
      </c>
      <c r="N28" s="426" t="str">
        <f t="shared" si="6"/>
        <v/>
      </c>
      <c r="O28" s="498" t="str">
        <f t="shared" si="1"/>
        <v/>
      </c>
      <c r="P28" s="499" t="str">
        <f>IF(C28="","",IF(AND(LEFT(C28,55)&lt;&gt;LEFT(N28,55),O28="High - High"),"Error - Not like for like ▲",IF(AND(F28=S28,H28&gt;U28),"Error - Can not reduce condition ▲",IF(AND(F28=S28,H28=U28,AJ28='C-1 Site River Baseline'!N26,'C-1 Site River Baseline'!P26=AL28),"Error - No enhancement ▲",IF(AND(C28&lt;&gt;N28,F28&lt;S28),"Lower Distinctiveness Habitat"&amp;" - "&amp;T28,G28&amp;" - "&amp;T28)))))</f>
        <v/>
      </c>
      <c r="Q28" s="567" t="str">
        <f>IF(N28="","",VLOOKUP(B28,'C-1 Site River Baseline'!$C$10:$AA$257,19,FALSE))</f>
        <v/>
      </c>
      <c r="R28" s="498" t="str">
        <f>IF(N28="","",VLOOKUP(N28,'G-7 Rivers Data'!$B$2:$G$8,2,FALSE))</f>
        <v/>
      </c>
      <c r="S28" s="499" t="str">
        <f>IFERROR(VLOOKUP(R28,'G-7 Rivers Data'!$C$4:$D$8,2,FALSE),"")</f>
        <v/>
      </c>
      <c r="T28" s="145"/>
      <c r="U28" s="499" t="str">
        <f>IFERROR(INDEX('G-7 Rivers Data'!$H$4:$L$8,MATCH(N28,'G-7 Rivers Data'!$B$4:$B$8,0),MATCH(T28,'G-7 Rivers Data'!$H$3:$L$3,0)),"")</f>
        <v/>
      </c>
      <c r="V28" s="154"/>
      <c r="W28" s="507" t="str">
        <f>IF(V28="","",IF(VLOOKUP(V28,'G-7 Rivers Data'!$AG$4:$AI$9,2,FALSE)=0,"Spatial Data Missing ⚠",VLOOKUP(V28,'G-7 Rivers Data'!$AG$4:$AI$9,2,FALSE)))</f>
        <v/>
      </c>
      <c r="X28" s="499" t="str">
        <f>IF(V28="","",IF(VLOOKUP(V28,'G-7 Rivers Data'!$AG$4:$AI$9,3,FALSE)=0,"Spatial Data Missing ⚠",VLOOKUP(V28,'G-7 Rivers Data'!$AG$4:$AI$9,3,FALSE)))</f>
        <v/>
      </c>
      <c r="Y28" s="498" t="str">
        <f>IFERROR(IF(OR(LEFT(P28,5)="Error ▲",LEFT(O28,5)="Error ▲"),"Check Data ⚠",IF(F28&lt;S28,'G-7 Rivers Data'!$R$3,INDEX('G-7 Rivers Data'!$U$5:$Y$9,MATCH(G28,'G-7 Rivers Data'!$T$5:$T$9,0),MATCH(T28,'G-7 Rivers Data'!$U$4:$Y$4,0)))),"")</f>
        <v/>
      </c>
      <c r="Z28" s="195"/>
      <c r="AA28" s="195"/>
      <c r="AB28" s="507" t="str">
        <f t="shared" si="2"/>
        <v/>
      </c>
      <c r="AC28" s="521" t="str">
        <f t="shared" si="3"/>
        <v/>
      </c>
      <c r="AD28" s="564" t="str">
        <f>IFERROR(IF(AC28="Check Data ⚠","Check Data ⚠",VLOOKUP(AC28,'G-4 Temporal multipliers'!$A$4:$C$37,3,FALSE)),"")</f>
        <v/>
      </c>
      <c r="AE28" s="498" t="str">
        <f>IF(N28="","",VLOOKUP(N28,'G-7 Rivers Data'!$B$4:$G$8,5,FALSE))</f>
        <v/>
      </c>
      <c r="AF28" s="507" t="str">
        <f t="shared" si="4"/>
        <v/>
      </c>
      <c r="AG28" s="540" t="str">
        <f t="shared" si="5"/>
        <v/>
      </c>
      <c r="AH28" s="499" t="str">
        <f t="shared" si="0"/>
        <v/>
      </c>
      <c r="AI28" s="145"/>
      <c r="AJ28" s="499" t="str">
        <f>IF(AI28="","",IF(VLOOKUP(AI28,'G-7 Rivers Data'!$AA$4:$AB$7,2,FALSE)=0,"Spatial Data Missing ⚠",VLOOKUP(AI28,'G-7 Rivers Data'!$AA$4:$AB$7,2,FALSE)))</f>
        <v/>
      </c>
      <c r="AK28" s="155"/>
      <c r="AL28" s="499" t="str">
        <f>IF(AK28="","",IF(VLOOKUP(AK28,'G-7 Rivers Data'!$AD$4:$AE$8,2,FALSE)=0,"Spatial Data Missing ⚠",VLOOKUP(AK28,'G-7 Rivers Data'!$AD$4:$AE$8,2,FALSE)))</f>
        <v/>
      </c>
      <c r="AM28" s="545" t="str">
        <f t="shared" si="7"/>
        <v/>
      </c>
      <c r="AN28" s="149"/>
      <c r="AO28" s="150"/>
      <c r="AV28" s="31" t="str">
        <f>IFERROR(INDEX('G-7 Rivers Data'!$AZ$3:$AZ$7,MATCH(N28,'G-7 Rivers Data'!$AY$3:$AY$7,0)),"")</f>
        <v/>
      </c>
    </row>
    <row r="29" spans="2:48" ht="13.8" x14ac:dyDescent="0.25">
      <c r="B29" s="531" t="str">
        <f>'C-1 Site River Baseline'!AN27</f>
        <v/>
      </c>
      <c r="C29" s="520" t="str">
        <f>IF(B29="","",VLOOKUP($B29,'C-1 Site River Baseline'!$C$9:$R$257,2,FALSE))</f>
        <v/>
      </c>
      <c r="D29" s="520" t="str">
        <f>IF(C29="","",VLOOKUP($B29,'C-1 Site River Baseline'!$C$9:$R$257,3,FALSE))</f>
        <v/>
      </c>
      <c r="E29" s="520" t="str">
        <f>IF(D29="","",VLOOKUP($B29,'C-1 Site River Baseline'!$C$9:$R$257,4,FALSE))</f>
        <v/>
      </c>
      <c r="F29" s="520" t="str">
        <f>IF(E29="","",VLOOKUP($B29,'C-1 Site River Baseline'!$C$9:$R$257,5,FALSE))</f>
        <v/>
      </c>
      <c r="G29" s="520" t="str">
        <f>IF(F29="","",VLOOKUP($B29,'C-1 Site River Baseline'!$C$9:$R$257,6,FALSE))</f>
        <v/>
      </c>
      <c r="H29" s="520" t="str">
        <f>IF(G29="","",VLOOKUP($B29,'C-1 Site River Baseline'!$C$9:$R$257,7,FALSE))</f>
        <v/>
      </c>
      <c r="I29" s="520" t="str">
        <f>IF(H29="","",VLOOKUP($B29,'C-1 Site River Baseline'!$C$9:$R$257,8,FALSE))</f>
        <v/>
      </c>
      <c r="J29" s="520" t="str">
        <f>IF(I29="","",VLOOKUP($B29,'C-1 Site River Baseline'!$C$9:$R$257,9,FALSE))</f>
        <v/>
      </c>
      <c r="K29" s="520" t="str">
        <f>IF(J29="","",VLOOKUP($B29,'C-1 Site River Baseline'!$C$9:$R$257,10,FALSE))</f>
        <v/>
      </c>
      <c r="L29" s="520" t="str">
        <f>IF(B29="","",VLOOKUP($B29,'C-1 Site River Baseline'!$C$9:$R$257,15,FALSE))</f>
        <v/>
      </c>
      <c r="M29" s="524" t="str">
        <f>IF(L29="","",VLOOKUP($B29,'C-1 Site River Baseline'!$C$9:$R$257,16,FALSE))</f>
        <v/>
      </c>
      <c r="N29" s="426" t="str">
        <f t="shared" si="6"/>
        <v/>
      </c>
      <c r="O29" s="498" t="str">
        <f t="shared" si="1"/>
        <v/>
      </c>
      <c r="P29" s="499" t="str">
        <f>IF(C29="","",IF(AND(LEFT(C29,55)&lt;&gt;LEFT(N29,55),O29="High - High"),"Error - Not like for like ▲",IF(AND(F29=S29,H29&gt;U29),"Error - Can not reduce condition ▲",IF(AND(F29=S29,H29=U29,AJ29='C-1 Site River Baseline'!N27,'C-1 Site River Baseline'!P27=AL29),"Error - No enhancement ▲",IF(AND(C29&lt;&gt;N29,F29&lt;S29),"Lower Distinctiveness Habitat"&amp;" - "&amp;T29,G29&amp;" - "&amp;T29)))))</f>
        <v/>
      </c>
      <c r="Q29" s="567" t="str">
        <f>IF(N29="","",VLOOKUP(B29,'C-1 Site River Baseline'!$C$10:$AA$257,19,FALSE))</f>
        <v/>
      </c>
      <c r="R29" s="498" t="str">
        <f>IF(N29="","",VLOOKUP(N29,'G-7 Rivers Data'!$B$2:$G$8,2,FALSE))</f>
        <v/>
      </c>
      <c r="S29" s="499" t="str">
        <f>IFERROR(VLOOKUP(R29,'G-7 Rivers Data'!$C$4:$D$8,2,FALSE),"")</f>
        <v/>
      </c>
      <c r="T29" s="145"/>
      <c r="U29" s="499" t="str">
        <f>IFERROR(INDEX('G-7 Rivers Data'!$H$4:$L$8,MATCH(N29,'G-7 Rivers Data'!$B$4:$B$8,0),MATCH(T29,'G-7 Rivers Data'!$H$3:$L$3,0)),"")</f>
        <v/>
      </c>
      <c r="V29" s="154"/>
      <c r="W29" s="507" t="str">
        <f>IF(V29="","",IF(VLOOKUP(V29,'G-7 Rivers Data'!$AG$4:$AI$9,2,FALSE)=0,"Spatial Data Missing ⚠",VLOOKUP(V29,'G-7 Rivers Data'!$AG$4:$AI$9,2,FALSE)))</f>
        <v/>
      </c>
      <c r="X29" s="499" t="str">
        <f>IF(V29="","",IF(VLOOKUP(V29,'G-7 Rivers Data'!$AG$4:$AI$9,3,FALSE)=0,"Spatial Data Missing ⚠",VLOOKUP(V29,'G-7 Rivers Data'!$AG$4:$AI$9,3,FALSE)))</f>
        <v/>
      </c>
      <c r="Y29" s="498" t="str">
        <f>IFERROR(IF(OR(LEFT(P29,5)="Error ▲",LEFT(O29,5)="Error ▲"),"Check Data ⚠",IF(F29&lt;S29,'G-7 Rivers Data'!$R$3,INDEX('G-7 Rivers Data'!$U$5:$Y$9,MATCH(G29,'G-7 Rivers Data'!$T$5:$T$9,0),MATCH(T29,'G-7 Rivers Data'!$U$4:$Y$4,0)))),"")</f>
        <v/>
      </c>
      <c r="Z29" s="195"/>
      <c r="AA29" s="195"/>
      <c r="AB29" s="507" t="str">
        <f t="shared" si="2"/>
        <v/>
      </c>
      <c r="AC29" s="521" t="str">
        <f t="shared" si="3"/>
        <v/>
      </c>
      <c r="AD29" s="564" t="str">
        <f>IFERROR(IF(AC29="Check Data ⚠","Check Data ⚠",VLOOKUP(AC29,'G-4 Temporal multipliers'!$A$4:$C$37,3,FALSE)),"")</f>
        <v/>
      </c>
      <c r="AE29" s="498" t="str">
        <f>IF(N29="","",VLOOKUP(N29,'G-7 Rivers Data'!$B$4:$G$8,5,FALSE))</f>
        <v/>
      </c>
      <c r="AF29" s="507" t="str">
        <f t="shared" si="4"/>
        <v/>
      </c>
      <c r="AG29" s="540" t="str">
        <f t="shared" si="5"/>
        <v/>
      </c>
      <c r="AH29" s="499" t="str">
        <f t="shared" si="0"/>
        <v/>
      </c>
      <c r="AI29" s="145"/>
      <c r="AJ29" s="499" t="str">
        <f>IF(AI29="","",IF(VLOOKUP(AI29,'G-7 Rivers Data'!$AA$4:$AB$7,2,FALSE)=0,"Spatial Data Missing ⚠",VLOOKUP(AI29,'G-7 Rivers Data'!$AA$4:$AB$7,2,FALSE)))</f>
        <v/>
      </c>
      <c r="AK29" s="155"/>
      <c r="AL29" s="499" t="str">
        <f>IF(AK29="","",IF(VLOOKUP(AK29,'G-7 Rivers Data'!$AD$4:$AE$8,2,FALSE)=0,"Spatial Data Missing ⚠",VLOOKUP(AK29,'G-7 Rivers Data'!$AD$4:$AE$8,2,FALSE)))</f>
        <v/>
      </c>
      <c r="AM29" s="545" t="str">
        <f t="shared" si="7"/>
        <v/>
      </c>
      <c r="AN29" s="149"/>
      <c r="AO29" s="150"/>
      <c r="AV29" s="31" t="str">
        <f>IFERROR(INDEX('G-7 Rivers Data'!$AZ$3:$AZ$7,MATCH(N29,'G-7 Rivers Data'!$AY$3:$AY$7,0)),"")</f>
        <v/>
      </c>
    </row>
    <row r="30" spans="2:48" ht="13.8" x14ac:dyDescent="0.25">
      <c r="B30" s="531" t="str">
        <f>'C-1 Site River Baseline'!AN28</f>
        <v/>
      </c>
      <c r="C30" s="520" t="str">
        <f>IF(B30="","",VLOOKUP($B30,'C-1 Site River Baseline'!$C$9:$R$257,2,FALSE))</f>
        <v/>
      </c>
      <c r="D30" s="520" t="str">
        <f>IF(C30="","",VLOOKUP($B30,'C-1 Site River Baseline'!$C$9:$R$257,3,FALSE))</f>
        <v/>
      </c>
      <c r="E30" s="520" t="str">
        <f>IF(D30="","",VLOOKUP($B30,'C-1 Site River Baseline'!$C$9:$R$257,4,FALSE))</f>
        <v/>
      </c>
      <c r="F30" s="520" t="str">
        <f>IF(E30="","",VLOOKUP($B30,'C-1 Site River Baseline'!$C$9:$R$257,5,FALSE))</f>
        <v/>
      </c>
      <c r="G30" s="520" t="str">
        <f>IF(F30="","",VLOOKUP($B30,'C-1 Site River Baseline'!$C$9:$R$257,6,FALSE))</f>
        <v/>
      </c>
      <c r="H30" s="520" t="str">
        <f>IF(G30="","",VLOOKUP($B30,'C-1 Site River Baseline'!$C$9:$R$257,7,FALSE))</f>
        <v/>
      </c>
      <c r="I30" s="520" t="str">
        <f>IF(H30="","",VLOOKUP($B30,'C-1 Site River Baseline'!$C$9:$R$257,8,FALSE))</f>
        <v/>
      </c>
      <c r="J30" s="520" t="str">
        <f>IF(I30="","",VLOOKUP($B30,'C-1 Site River Baseline'!$C$9:$R$257,9,FALSE))</f>
        <v/>
      </c>
      <c r="K30" s="520" t="str">
        <f>IF(J30="","",VLOOKUP($B30,'C-1 Site River Baseline'!$C$9:$R$257,10,FALSE))</f>
        <v/>
      </c>
      <c r="L30" s="520" t="str">
        <f>IF(B30="","",VLOOKUP($B30,'C-1 Site River Baseline'!$C$9:$R$257,15,FALSE))</f>
        <v/>
      </c>
      <c r="M30" s="524" t="str">
        <f>IF(L30="","",VLOOKUP($B30,'C-1 Site River Baseline'!$C$9:$R$257,16,FALSE))</f>
        <v/>
      </c>
      <c r="N30" s="426" t="str">
        <f t="shared" si="6"/>
        <v/>
      </c>
      <c r="O30" s="498" t="str">
        <f t="shared" si="1"/>
        <v/>
      </c>
      <c r="P30" s="499" t="str">
        <f>IF(C30="","",IF(AND(LEFT(C30,55)&lt;&gt;LEFT(N30,55),O30="High - High"),"Error - Not like for like ▲",IF(AND(F30=S30,H30&gt;U30),"Error - Can not reduce condition ▲",IF(AND(F30=S30,H30=U30,AJ30='C-1 Site River Baseline'!N28,'C-1 Site River Baseline'!P28=AL30),"Error - No enhancement ▲",IF(AND(C30&lt;&gt;N30,F30&lt;S30),"Lower Distinctiveness Habitat"&amp;" - "&amp;T30,G30&amp;" - "&amp;T30)))))</f>
        <v/>
      </c>
      <c r="Q30" s="567" t="str">
        <f>IF(N30="","",VLOOKUP(B30,'C-1 Site River Baseline'!$C$10:$AA$257,19,FALSE))</f>
        <v/>
      </c>
      <c r="R30" s="498" t="str">
        <f>IF(N30="","",VLOOKUP(N30,'G-7 Rivers Data'!$B$2:$G$8,2,FALSE))</f>
        <v/>
      </c>
      <c r="S30" s="499" t="str">
        <f>IFERROR(VLOOKUP(R30,'G-7 Rivers Data'!$C$4:$D$8,2,FALSE),"")</f>
        <v/>
      </c>
      <c r="T30" s="145"/>
      <c r="U30" s="499" t="str">
        <f>IFERROR(INDEX('G-7 Rivers Data'!$H$4:$L$8,MATCH(N30,'G-7 Rivers Data'!$B$4:$B$8,0),MATCH(T30,'G-7 Rivers Data'!$H$3:$L$3,0)),"")</f>
        <v/>
      </c>
      <c r="V30" s="154"/>
      <c r="W30" s="507" t="str">
        <f>IF(V30="","",IF(VLOOKUP(V30,'G-7 Rivers Data'!$AG$4:$AI$9,2,FALSE)=0,"Spatial Data Missing ⚠",VLOOKUP(V30,'G-7 Rivers Data'!$AG$4:$AI$9,2,FALSE)))</f>
        <v/>
      </c>
      <c r="X30" s="499" t="str">
        <f>IF(V30="","",IF(VLOOKUP(V30,'G-7 Rivers Data'!$AG$4:$AI$9,3,FALSE)=0,"Spatial Data Missing ⚠",VLOOKUP(V30,'G-7 Rivers Data'!$AG$4:$AI$9,3,FALSE)))</f>
        <v/>
      </c>
      <c r="Y30" s="498" t="str">
        <f>IFERROR(IF(OR(LEFT(P30,5)="Error ▲",LEFT(O30,5)="Error ▲"),"Check Data ⚠",IF(F30&lt;S30,'G-7 Rivers Data'!$R$3,INDEX('G-7 Rivers Data'!$U$5:$Y$9,MATCH(G30,'G-7 Rivers Data'!$T$5:$T$9,0),MATCH(T30,'G-7 Rivers Data'!$U$4:$Y$4,0)))),"")</f>
        <v/>
      </c>
      <c r="Z30" s="195"/>
      <c r="AA30" s="195"/>
      <c r="AB30" s="507" t="str">
        <f t="shared" si="2"/>
        <v/>
      </c>
      <c r="AC30" s="521" t="str">
        <f t="shared" si="3"/>
        <v/>
      </c>
      <c r="AD30" s="564" t="str">
        <f>IFERROR(IF(AC30="Check Data ⚠","Check Data ⚠",VLOOKUP(AC30,'G-4 Temporal multipliers'!$A$4:$C$37,3,FALSE)),"")</f>
        <v/>
      </c>
      <c r="AE30" s="498" t="str">
        <f>IF(N30="","",VLOOKUP(N30,'G-7 Rivers Data'!$B$4:$G$8,5,FALSE))</f>
        <v/>
      </c>
      <c r="AF30" s="507" t="str">
        <f t="shared" si="4"/>
        <v/>
      </c>
      <c r="AG30" s="540" t="str">
        <f t="shared" si="5"/>
        <v/>
      </c>
      <c r="AH30" s="499" t="str">
        <f t="shared" si="0"/>
        <v/>
      </c>
      <c r="AI30" s="145"/>
      <c r="AJ30" s="499" t="str">
        <f>IF(AI30="","",IF(VLOOKUP(AI30,'G-7 Rivers Data'!$AA$4:$AB$7,2,FALSE)=0,"Spatial Data Missing ⚠",VLOOKUP(AI30,'G-7 Rivers Data'!$AA$4:$AB$7,2,FALSE)))</f>
        <v/>
      </c>
      <c r="AK30" s="155"/>
      <c r="AL30" s="499" t="str">
        <f>IF(AK30="","",IF(VLOOKUP(AK30,'G-7 Rivers Data'!$AD$4:$AE$8,2,FALSE)=0,"Spatial Data Missing ⚠",VLOOKUP(AK30,'G-7 Rivers Data'!$AD$4:$AE$8,2,FALSE)))</f>
        <v/>
      </c>
      <c r="AM30" s="545" t="str">
        <f t="shared" si="7"/>
        <v/>
      </c>
      <c r="AN30" s="149"/>
      <c r="AO30" s="150"/>
      <c r="AV30" s="31" t="str">
        <f>IFERROR(INDEX('G-7 Rivers Data'!$AZ$3:$AZ$7,MATCH(N30,'G-7 Rivers Data'!$AY$3:$AY$7,0)),"")</f>
        <v/>
      </c>
    </row>
    <row r="31" spans="2:48" ht="13.8" x14ac:dyDescent="0.25">
      <c r="B31" s="531" t="str">
        <f>'C-1 Site River Baseline'!AN29</f>
        <v/>
      </c>
      <c r="C31" s="520" t="str">
        <f>IF(B31="","",VLOOKUP($B31,'C-1 Site River Baseline'!$C$9:$R$257,2,FALSE))</f>
        <v/>
      </c>
      <c r="D31" s="520" t="str">
        <f>IF(C31="","",VLOOKUP($B31,'C-1 Site River Baseline'!$C$9:$R$257,3,FALSE))</f>
        <v/>
      </c>
      <c r="E31" s="520" t="str">
        <f>IF(D31="","",VLOOKUP($B31,'C-1 Site River Baseline'!$C$9:$R$257,4,FALSE))</f>
        <v/>
      </c>
      <c r="F31" s="520" t="str">
        <f>IF(E31="","",VLOOKUP($B31,'C-1 Site River Baseline'!$C$9:$R$257,5,FALSE))</f>
        <v/>
      </c>
      <c r="G31" s="520" t="str">
        <f>IF(F31="","",VLOOKUP($B31,'C-1 Site River Baseline'!$C$9:$R$257,6,FALSE))</f>
        <v/>
      </c>
      <c r="H31" s="520" t="str">
        <f>IF(G31="","",VLOOKUP($B31,'C-1 Site River Baseline'!$C$9:$R$257,7,FALSE))</f>
        <v/>
      </c>
      <c r="I31" s="520" t="str">
        <f>IF(H31="","",VLOOKUP($B31,'C-1 Site River Baseline'!$C$9:$R$257,8,FALSE))</f>
        <v/>
      </c>
      <c r="J31" s="520" t="str">
        <f>IF(I31="","",VLOOKUP($B31,'C-1 Site River Baseline'!$C$9:$R$257,9,FALSE))</f>
        <v/>
      </c>
      <c r="K31" s="520" t="str">
        <f>IF(J31="","",VLOOKUP($B31,'C-1 Site River Baseline'!$C$9:$R$257,10,FALSE))</f>
        <v/>
      </c>
      <c r="L31" s="520" t="str">
        <f>IF(B31="","",VLOOKUP($B31,'C-1 Site River Baseline'!$C$9:$R$257,15,FALSE))</f>
        <v/>
      </c>
      <c r="M31" s="524" t="str">
        <f>IF(L31="","",VLOOKUP($B31,'C-1 Site River Baseline'!$C$9:$R$257,16,FALSE))</f>
        <v/>
      </c>
      <c r="N31" s="426" t="str">
        <f t="shared" si="6"/>
        <v/>
      </c>
      <c r="O31" s="498" t="str">
        <f t="shared" si="1"/>
        <v/>
      </c>
      <c r="P31" s="499" t="str">
        <f>IF(C31="","",IF(AND(LEFT(C31,55)&lt;&gt;LEFT(N31,55),O31="High - High"),"Error - Not like for like ▲",IF(AND(F31=S31,H31&gt;U31),"Error - Can not reduce condition ▲",IF(AND(F31=S31,H31=U31,AJ31='C-1 Site River Baseline'!N29,'C-1 Site River Baseline'!P29=AL31),"Error - No enhancement ▲",IF(AND(C31&lt;&gt;N31,F31&lt;S31),"Lower Distinctiveness Habitat"&amp;" - "&amp;T31,G31&amp;" - "&amp;T31)))))</f>
        <v/>
      </c>
      <c r="Q31" s="567" t="str">
        <f>IF(N31="","",VLOOKUP(B31,'C-1 Site River Baseline'!$C$10:$AA$257,19,FALSE))</f>
        <v/>
      </c>
      <c r="R31" s="498" t="str">
        <f>IF(N31="","",VLOOKUP(N31,'G-7 Rivers Data'!$B$2:$G$8,2,FALSE))</f>
        <v/>
      </c>
      <c r="S31" s="499" t="str">
        <f>IFERROR(VLOOKUP(R31,'G-7 Rivers Data'!$C$4:$D$8,2,FALSE),"")</f>
        <v/>
      </c>
      <c r="T31" s="145"/>
      <c r="U31" s="499" t="str">
        <f>IFERROR(INDEX('G-7 Rivers Data'!$H$4:$L$8,MATCH(N31,'G-7 Rivers Data'!$B$4:$B$8,0),MATCH(T31,'G-7 Rivers Data'!$H$3:$L$3,0)),"")</f>
        <v/>
      </c>
      <c r="V31" s="154"/>
      <c r="W31" s="507" t="str">
        <f>IF(V31="","",IF(VLOOKUP(V31,'G-7 Rivers Data'!$AG$4:$AI$9,2,FALSE)=0,"Spatial Data Missing ⚠",VLOOKUP(V31,'G-7 Rivers Data'!$AG$4:$AI$9,2,FALSE)))</f>
        <v/>
      </c>
      <c r="X31" s="499" t="str">
        <f>IF(V31="","",IF(VLOOKUP(V31,'G-7 Rivers Data'!$AG$4:$AI$9,3,FALSE)=0,"Spatial Data Missing ⚠",VLOOKUP(V31,'G-7 Rivers Data'!$AG$4:$AI$9,3,FALSE)))</f>
        <v/>
      </c>
      <c r="Y31" s="498" t="str">
        <f>IFERROR(IF(OR(LEFT(P31,5)="Error ▲",LEFT(O31,5)="Error ▲"),"Check Data ⚠",IF(F31&lt;S31,'G-7 Rivers Data'!$R$3,INDEX('G-7 Rivers Data'!$U$5:$Y$9,MATCH(G31,'G-7 Rivers Data'!$T$5:$T$9,0),MATCH(T31,'G-7 Rivers Data'!$U$4:$Y$4,0)))),"")</f>
        <v/>
      </c>
      <c r="Z31" s="195"/>
      <c r="AA31" s="195"/>
      <c r="AB31" s="507" t="str">
        <f t="shared" si="2"/>
        <v/>
      </c>
      <c r="AC31" s="521" t="str">
        <f t="shared" si="3"/>
        <v/>
      </c>
      <c r="AD31" s="564" t="str">
        <f>IFERROR(IF(AC31="Check Data ⚠","Check Data ⚠",VLOOKUP(AC31,'G-4 Temporal multipliers'!$A$4:$C$37,3,FALSE)),"")</f>
        <v/>
      </c>
      <c r="AE31" s="498" t="str">
        <f>IF(N31="","",VLOOKUP(N31,'G-7 Rivers Data'!$B$4:$G$8,5,FALSE))</f>
        <v/>
      </c>
      <c r="AF31" s="507" t="str">
        <f t="shared" si="4"/>
        <v/>
      </c>
      <c r="AG31" s="540" t="str">
        <f t="shared" si="5"/>
        <v/>
      </c>
      <c r="AH31" s="499" t="str">
        <f t="shared" si="0"/>
        <v/>
      </c>
      <c r="AI31" s="145"/>
      <c r="AJ31" s="499" t="str">
        <f>IF(AI31="","",IF(VLOOKUP(AI31,'G-7 Rivers Data'!$AA$4:$AB$7,2,FALSE)=0,"Spatial Data Missing ⚠",VLOOKUP(AI31,'G-7 Rivers Data'!$AA$4:$AB$7,2,FALSE)))</f>
        <v/>
      </c>
      <c r="AK31" s="155"/>
      <c r="AL31" s="499" t="str">
        <f>IF(AK31="","",IF(VLOOKUP(AK31,'G-7 Rivers Data'!$AD$4:$AE$8,2,FALSE)=0,"Spatial Data Missing ⚠",VLOOKUP(AK31,'G-7 Rivers Data'!$AD$4:$AE$8,2,FALSE)))</f>
        <v/>
      </c>
      <c r="AM31" s="545" t="str">
        <f t="shared" si="7"/>
        <v/>
      </c>
      <c r="AN31" s="149"/>
      <c r="AO31" s="150"/>
      <c r="AV31" s="31" t="str">
        <f>IFERROR(INDEX('G-7 Rivers Data'!$AZ$3:$AZ$7,MATCH(N31,'G-7 Rivers Data'!$AY$3:$AY$7,0)),"")</f>
        <v/>
      </c>
    </row>
    <row r="32" spans="2:48" ht="13.8" x14ac:dyDescent="0.25">
      <c r="B32" s="531" t="str">
        <f>'C-1 Site River Baseline'!AN30</f>
        <v/>
      </c>
      <c r="C32" s="520" t="str">
        <f>IF(B32="","",VLOOKUP($B32,'C-1 Site River Baseline'!$C$9:$R$257,2,FALSE))</f>
        <v/>
      </c>
      <c r="D32" s="520" t="str">
        <f>IF(C32="","",VLOOKUP($B32,'C-1 Site River Baseline'!$C$9:$R$257,3,FALSE))</f>
        <v/>
      </c>
      <c r="E32" s="520" t="str">
        <f>IF(D32="","",VLOOKUP($B32,'C-1 Site River Baseline'!$C$9:$R$257,4,FALSE))</f>
        <v/>
      </c>
      <c r="F32" s="520" t="str">
        <f>IF(E32="","",VLOOKUP($B32,'C-1 Site River Baseline'!$C$9:$R$257,5,FALSE))</f>
        <v/>
      </c>
      <c r="G32" s="520" t="str">
        <f>IF(F32="","",VLOOKUP($B32,'C-1 Site River Baseline'!$C$9:$R$257,6,FALSE))</f>
        <v/>
      </c>
      <c r="H32" s="520" t="str">
        <f>IF(G32="","",VLOOKUP($B32,'C-1 Site River Baseline'!$C$9:$R$257,7,FALSE))</f>
        <v/>
      </c>
      <c r="I32" s="520" t="str">
        <f>IF(H32="","",VLOOKUP($B32,'C-1 Site River Baseline'!$C$9:$R$257,8,FALSE))</f>
        <v/>
      </c>
      <c r="J32" s="520" t="str">
        <f>IF(I32="","",VLOOKUP($B32,'C-1 Site River Baseline'!$C$9:$R$257,9,FALSE))</f>
        <v/>
      </c>
      <c r="K32" s="520" t="str">
        <f>IF(J32="","",VLOOKUP($B32,'C-1 Site River Baseline'!$C$9:$R$257,10,FALSE))</f>
        <v/>
      </c>
      <c r="L32" s="520" t="str">
        <f>IF(B32="","",VLOOKUP($B32,'C-1 Site River Baseline'!$C$9:$R$257,15,FALSE))</f>
        <v/>
      </c>
      <c r="M32" s="524" t="str">
        <f>IF(L32="","",VLOOKUP($B32,'C-1 Site River Baseline'!$C$9:$R$257,16,FALSE))</f>
        <v/>
      </c>
      <c r="N32" s="426" t="str">
        <f t="shared" si="6"/>
        <v/>
      </c>
      <c r="O32" s="498" t="str">
        <f t="shared" si="1"/>
        <v/>
      </c>
      <c r="P32" s="499" t="str">
        <f>IF(C32="","",IF(AND(LEFT(C32,55)&lt;&gt;LEFT(N32,55),O32="High - High"),"Error - Not like for like ▲",IF(AND(F32=S32,H32&gt;U32),"Error - Can not reduce condition ▲",IF(AND(F32=S32,H32=U32,AJ32='C-1 Site River Baseline'!N30,'C-1 Site River Baseline'!P30=AL32),"Error - No enhancement ▲",IF(AND(C32&lt;&gt;N32,F32&lt;S32),"Lower Distinctiveness Habitat"&amp;" - "&amp;T32,G32&amp;" - "&amp;T32)))))</f>
        <v/>
      </c>
      <c r="Q32" s="567" t="str">
        <f>IF(N32="","",VLOOKUP(B32,'C-1 Site River Baseline'!$C$10:$AA$257,19,FALSE))</f>
        <v/>
      </c>
      <c r="R32" s="498" t="str">
        <f>IF(N32="","",VLOOKUP(N32,'G-7 Rivers Data'!$B$2:$G$8,2,FALSE))</f>
        <v/>
      </c>
      <c r="S32" s="499" t="str">
        <f>IFERROR(VLOOKUP(R32,'G-7 Rivers Data'!$C$4:$D$8,2,FALSE),"")</f>
        <v/>
      </c>
      <c r="T32" s="145"/>
      <c r="U32" s="499" t="str">
        <f>IFERROR(INDEX('G-7 Rivers Data'!$H$4:$L$8,MATCH(N32,'G-7 Rivers Data'!$B$4:$B$8,0),MATCH(T32,'G-7 Rivers Data'!$H$3:$L$3,0)),"")</f>
        <v/>
      </c>
      <c r="V32" s="154"/>
      <c r="W32" s="507" t="str">
        <f>IF(V32="","",IF(VLOOKUP(V32,'G-7 Rivers Data'!$AG$4:$AI$9,2,FALSE)=0,"Spatial Data Missing ⚠",VLOOKUP(V32,'G-7 Rivers Data'!$AG$4:$AI$9,2,FALSE)))</f>
        <v/>
      </c>
      <c r="X32" s="499" t="str">
        <f>IF(V32="","",IF(VLOOKUP(V32,'G-7 Rivers Data'!$AG$4:$AI$9,3,FALSE)=0,"Spatial Data Missing ⚠",VLOOKUP(V32,'G-7 Rivers Data'!$AG$4:$AI$9,3,FALSE)))</f>
        <v/>
      </c>
      <c r="Y32" s="498" t="str">
        <f>IFERROR(IF(OR(LEFT(P32,5)="Error ▲",LEFT(O32,5)="Error ▲"),"Check Data ⚠",IF(F32&lt;S32,'G-7 Rivers Data'!$R$3,INDEX('G-7 Rivers Data'!$U$5:$Y$9,MATCH(G32,'G-7 Rivers Data'!$T$5:$T$9,0),MATCH(T32,'G-7 Rivers Data'!$U$4:$Y$4,0)))),"")</f>
        <v/>
      </c>
      <c r="Z32" s="195"/>
      <c r="AA32" s="195"/>
      <c r="AB32" s="507" t="str">
        <f t="shared" si="2"/>
        <v/>
      </c>
      <c r="AC32" s="521" t="str">
        <f t="shared" si="3"/>
        <v/>
      </c>
      <c r="AD32" s="564" t="str">
        <f>IFERROR(IF(AC32="Check Data ⚠","Check Data ⚠",VLOOKUP(AC32,'G-4 Temporal multipliers'!$A$4:$C$37,3,FALSE)),"")</f>
        <v/>
      </c>
      <c r="AE32" s="498" t="str">
        <f>IF(N32="","",VLOOKUP(N32,'G-7 Rivers Data'!$B$4:$G$8,5,FALSE))</f>
        <v/>
      </c>
      <c r="AF32" s="507" t="str">
        <f t="shared" si="4"/>
        <v/>
      </c>
      <c r="AG32" s="540" t="str">
        <f t="shared" si="5"/>
        <v/>
      </c>
      <c r="AH32" s="499" t="str">
        <f t="shared" si="0"/>
        <v/>
      </c>
      <c r="AI32" s="145"/>
      <c r="AJ32" s="499" t="str">
        <f>IF(AI32="","",IF(VLOOKUP(AI32,'G-7 Rivers Data'!$AA$4:$AB$7,2,FALSE)=0,"Spatial Data Missing ⚠",VLOOKUP(AI32,'G-7 Rivers Data'!$AA$4:$AB$7,2,FALSE)))</f>
        <v/>
      </c>
      <c r="AK32" s="155"/>
      <c r="AL32" s="499" t="str">
        <f>IF(AK32="","",IF(VLOOKUP(AK32,'G-7 Rivers Data'!$AD$4:$AE$8,2,FALSE)=0,"Spatial Data Missing ⚠",VLOOKUP(AK32,'G-7 Rivers Data'!$AD$4:$AE$8,2,FALSE)))</f>
        <v/>
      </c>
      <c r="AM32" s="545" t="str">
        <f t="shared" si="7"/>
        <v/>
      </c>
      <c r="AN32" s="149"/>
      <c r="AO32" s="150"/>
      <c r="AV32" s="31" t="str">
        <f>IFERROR(INDEX('G-7 Rivers Data'!$AZ$3:$AZ$7,MATCH(N32,'G-7 Rivers Data'!$AY$3:$AY$7,0)),"")</f>
        <v/>
      </c>
    </row>
    <row r="33" spans="2:48" ht="13.8" x14ac:dyDescent="0.25">
      <c r="B33" s="531" t="str">
        <f>'C-1 Site River Baseline'!AN31</f>
        <v/>
      </c>
      <c r="C33" s="520" t="str">
        <f>IF(B33="","",VLOOKUP($B33,'C-1 Site River Baseline'!$C$9:$R$257,2,FALSE))</f>
        <v/>
      </c>
      <c r="D33" s="520" t="str">
        <f>IF(C33="","",VLOOKUP($B33,'C-1 Site River Baseline'!$C$9:$R$257,3,FALSE))</f>
        <v/>
      </c>
      <c r="E33" s="520" t="str">
        <f>IF(D33="","",VLOOKUP($B33,'C-1 Site River Baseline'!$C$9:$R$257,4,FALSE))</f>
        <v/>
      </c>
      <c r="F33" s="520" t="str">
        <f>IF(E33="","",VLOOKUP($B33,'C-1 Site River Baseline'!$C$9:$R$257,5,FALSE))</f>
        <v/>
      </c>
      <c r="G33" s="520" t="str">
        <f>IF(F33="","",VLOOKUP($B33,'C-1 Site River Baseline'!$C$9:$R$257,6,FALSE))</f>
        <v/>
      </c>
      <c r="H33" s="520" t="str">
        <f>IF(G33="","",VLOOKUP($B33,'C-1 Site River Baseline'!$C$9:$R$257,7,FALSE))</f>
        <v/>
      </c>
      <c r="I33" s="520" t="str">
        <f>IF(H33="","",VLOOKUP($B33,'C-1 Site River Baseline'!$C$9:$R$257,8,FALSE))</f>
        <v/>
      </c>
      <c r="J33" s="520" t="str">
        <f>IF(I33="","",VLOOKUP($B33,'C-1 Site River Baseline'!$C$9:$R$257,9,FALSE))</f>
        <v/>
      </c>
      <c r="K33" s="520" t="str">
        <f>IF(J33="","",VLOOKUP($B33,'C-1 Site River Baseline'!$C$9:$R$257,10,FALSE))</f>
        <v/>
      </c>
      <c r="L33" s="520" t="str">
        <f>IF(B33="","",VLOOKUP($B33,'C-1 Site River Baseline'!$C$9:$R$257,15,FALSE))</f>
        <v/>
      </c>
      <c r="M33" s="524" t="str">
        <f>IF(L33="","",VLOOKUP($B33,'C-1 Site River Baseline'!$C$9:$R$257,16,FALSE))</f>
        <v/>
      </c>
      <c r="N33" s="426" t="str">
        <f t="shared" si="6"/>
        <v/>
      </c>
      <c r="O33" s="498" t="str">
        <f t="shared" si="1"/>
        <v/>
      </c>
      <c r="P33" s="499" t="str">
        <f>IF(C33="","",IF(AND(LEFT(C33,55)&lt;&gt;LEFT(N33,55),O33="High - High"),"Error - Not like for like ▲",IF(AND(F33=S33,H33&gt;U33),"Error - Can not reduce condition ▲",IF(AND(F33=S33,H33=U33,AJ33='C-1 Site River Baseline'!N31,'C-1 Site River Baseline'!P31=AL33),"Error - No enhancement ▲",IF(AND(C33&lt;&gt;N33,F33&lt;S33),"Lower Distinctiveness Habitat"&amp;" - "&amp;T33,G33&amp;" - "&amp;T33)))))</f>
        <v/>
      </c>
      <c r="Q33" s="567" t="str">
        <f>IF(N33="","",VLOOKUP(B33,'C-1 Site River Baseline'!$C$10:$AA$257,19,FALSE))</f>
        <v/>
      </c>
      <c r="R33" s="498" t="str">
        <f>IF(N33="","",VLOOKUP(N33,'G-7 Rivers Data'!$B$2:$G$8,2,FALSE))</f>
        <v/>
      </c>
      <c r="S33" s="499" t="str">
        <f>IFERROR(VLOOKUP(R33,'G-7 Rivers Data'!$C$4:$D$8,2,FALSE),"")</f>
        <v/>
      </c>
      <c r="T33" s="145"/>
      <c r="U33" s="499" t="str">
        <f>IFERROR(INDEX('G-7 Rivers Data'!$H$4:$L$8,MATCH(N33,'G-7 Rivers Data'!$B$4:$B$8,0),MATCH(T33,'G-7 Rivers Data'!$H$3:$L$3,0)),"")</f>
        <v/>
      </c>
      <c r="V33" s="154"/>
      <c r="W33" s="507" t="str">
        <f>IF(V33="","",IF(VLOOKUP(V33,'G-7 Rivers Data'!$AG$4:$AI$9,2,FALSE)=0,"Spatial Data Missing ⚠",VLOOKUP(V33,'G-7 Rivers Data'!$AG$4:$AI$9,2,FALSE)))</f>
        <v/>
      </c>
      <c r="X33" s="499" t="str">
        <f>IF(V33="","",IF(VLOOKUP(V33,'G-7 Rivers Data'!$AG$4:$AI$9,3,FALSE)=0,"Spatial Data Missing ⚠",VLOOKUP(V33,'G-7 Rivers Data'!$AG$4:$AI$9,3,FALSE)))</f>
        <v/>
      </c>
      <c r="Y33" s="498" t="str">
        <f>IFERROR(IF(OR(LEFT(P33,5)="Error ▲",LEFT(O33,5)="Error ▲"),"Check Data ⚠",IF(F33&lt;S33,'G-7 Rivers Data'!$R$3,INDEX('G-7 Rivers Data'!$U$5:$Y$9,MATCH(G33,'G-7 Rivers Data'!$T$5:$T$9,0),MATCH(T33,'G-7 Rivers Data'!$U$4:$Y$4,0)))),"")</f>
        <v/>
      </c>
      <c r="Z33" s="195"/>
      <c r="AA33" s="195"/>
      <c r="AB33" s="507" t="str">
        <f t="shared" si="2"/>
        <v/>
      </c>
      <c r="AC33" s="521" t="str">
        <f t="shared" si="3"/>
        <v/>
      </c>
      <c r="AD33" s="564" t="str">
        <f>IFERROR(IF(AC33="Check Data ⚠","Check Data ⚠",VLOOKUP(AC33,'G-4 Temporal multipliers'!$A$4:$C$37,3,FALSE)),"")</f>
        <v/>
      </c>
      <c r="AE33" s="498" t="str">
        <f>IF(N33="","",VLOOKUP(N33,'G-7 Rivers Data'!$B$4:$G$8,5,FALSE))</f>
        <v/>
      </c>
      <c r="AF33" s="507" t="str">
        <f t="shared" si="4"/>
        <v/>
      </c>
      <c r="AG33" s="540" t="str">
        <f t="shared" si="5"/>
        <v/>
      </c>
      <c r="AH33" s="499" t="str">
        <f t="shared" si="0"/>
        <v/>
      </c>
      <c r="AI33" s="145"/>
      <c r="AJ33" s="499" t="str">
        <f>IF(AI33="","",IF(VLOOKUP(AI33,'G-7 Rivers Data'!$AA$4:$AB$7,2,FALSE)=0,"Spatial Data Missing ⚠",VLOOKUP(AI33,'G-7 Rivers Data'!$AA$4:$AB$7,2,FALSE)))</f>
        <v/>
      </c>
      <c r="AK33" s="155"/>
      <c r="AL33" s="499" t="str">
        <f>IF(AK33="","",IF(VLOOKUP(AK33,'G-7 Rivers Data'!$AD$4:$AE$8,2,FALSE)=0,"Spatial Data Missing ⚠",VLOOKUP(AK33,'G-7 Rivers Data'!$AD$4:$AE$8,2,FALSE)))</f>
        <v/>
      </c>
      <c r="AM33" s="545" t="str">
        <f t="shared" si="7"/>
        <v/>
      </c>
      <c r="AN33" s="149"/>
      <c r="AO33" s="150"/>
      <c r="AV33" s="31" t="str">
        <f>IFERROR(INDEX('G-7 Rivers Data'!$AZ$3:$AZ$7,MATCH(N33,'G-7 Rivers Data'!$AY$3:$AY$7,0)),"")</f>
        <v/>
      </c>
    </row>
    <row r="34" spans="2:48" ht="13.8" x14ac:dyDescent="0.25">
      <c r="B34" s="531" t="str">
        <f>'C-1 Site River Baseline'!AN32</f>
        <v/>
      </c>
      <c r="C34" s="520" t="str">
        <f>IF(B34="","",VLOOKUP($B34,'C-1 Site River Baseline'!$C$9:$R$257,2,FALSE))</f>
        <v/>
      </c>
      <c r="D34" s="520" t="str">
        <f>IF(C34="","",VLOOKUP($B34,'C-1 Site River Baseline'!$C$9:$R$257,3,FALSE))</f>
        <v/>
      </c>
      <c r="E34" s="520" t="str">
        <f>IF(D34="","",VLOOKUP($B34,'C-1 Site River Baseline'!$C$9:$R$257,4,FALSE))</f>
        <v/>
      </c>
      <c r="F34" s="520" t="str">
        <f>IF(E34="","",VLOOKUP($B34,'C-1 Site River Baseline'!$C$9:$R$257,5,FALSE))</f>
        <v/>
      </c>
      <c r="G34" s="520" t="str">
        <f>IF(F34="","",VLOOKUP($B34,'C-1 Site River Baseline'!$C$9:$R$257,6,FALSE))</f>
        <v/>
      </c>
      <c r="H34" s="520" t="str">
        <f>IF(G34="","",VLOOKUP($B34,'C-1 Site River Baseline'!$C$9:$R$257,7,FALSE))</f>
        <v/>
      </c>
      <c r="I34" s="520" t="str">
        <f>IF(H34="","",VLOOKUP($B34,'C-1 Site River Baseline'!$C$9:$R$257,8,FALSE))</f>
        <v/>
      </c>
      <c r="J34" s="520" t="str">
        <f>IF(I34="","",VLOOKUP($B34,'C-1 Site River Baseline'!$C$9:$R$257,9,FALSE))</f>
        <v/>
      </c>
      <c r="K34" s="520" t="str">
        <f>IF(J34="","",VLOOKUP($B34,'C-1 Site River Baseline'!$C$9:$R$257,10,FALSE))</f>
        <v/>
      </c>
      <c r="L34" s="520" t="str">
        <f>IF(B34="","",VLOOKUP($B34,'C-1 Site River Baseline'!$C$9:$R$257,15,FALSE))</f>
        <v/>
      </c>
      <c r="M34" s="524" t="str">
        <f>IF(L34="","",VLOOKUP($B34,'C-1 Site River Baseline'!$C$9:$R$257,16,FALSE))</f>
        <v/>
      </c>
      <c r="N34" s="426" t="str">
        <f t="shared" si="6"/>
        <v/>
      </c>
      <c r="O34" s="498" t="str">
        <f t="shared" si="1"/>
        <v/>
      </c>
      <c r="P34" s="499" t="str">
        <f>IF(C34="","",IF(AND(LEFT(C34,55)&lt;&gt;LEFT(N34,55),O34="High - High"),"Error - Not like for like ▲",IF(AND(F34=S34,H34&gt;U34),"Error - Can not reduce condition ▲",IF(AND(F34=S34,H34=U34,AJ34='C-1 Site River Baseline'!N32,'C-1 Site River Baseline'!P32=AL34),"Error - No enhancement ▲",IF(AND(C34&lt;&gt;N34,F34&lt;S34),"Lower Distinctiveness Habitat"&amp;" - "&amp;T34,G34&amp;" - "&amp;T34)))))</f>
        <v/>
      </c>
      <c r="Q34" s="567" t="str">
        <f>IF(N34="","",VLOOKUP(B34,'C-1 Site River Baseline'!$C$10:$AA$257,19,FALSE))</f>
        <v/>
      </c>
      <c r="R34" s="498" t="str">
        <f>IF(N34="","",VLOOKUP(N34,'G-7 Rivers Data'!$B$2:$G$8,2,FALSE))</f>
        <v/>
      </c>
      <c r="S34" s="499" t="str">
        <f>IFERROR(VLOOKUP(R34,'G-7 Rivers Data'!$C$4:$D$8,2,FALSE),"")</f>
        <v/>
      </c>
      <c r="T34" s="145"/>
      <c r="U34" s="499" t="str">
        <f>IFERROR(INDEX('G-7 Rivers Data'!$H$4:$L$8,MATCH(N34,'G-7 Rivers Data'!$B$4:$B$8,0),MATCH(T34,'G-7 Rivers Data'!$H$3:$L$3,0)),"")</f>
        <v/>
      </c>
      <c r="V34" s="154"/>
      <c r="W34" s="507" t="str">
        <f>IF(V34="","",IF(VLOOKUP(V34,'G-7 Rivers Data'!$AG$4:$AI$9,2,FALSE)=0,"Spatial Data Missing ⚠",VLOOKUP(V34,'G-7 Rivers Data'!$AG$4:$AI$9,2,FALSE)))</f>
        <v/>
      </c>
      <c r="X34" s="499" t="str">
        <f>IF(V34="","",IF(VLOOKUP(V34,'G-7 Rivers Data'!$AG$4:$AI$9,3,FALSE)=0,"Spatial Data Missing ⚠",VLOOKUP(V34,'G-7 Rivers Data'!$AG$4:$AI$9,3,FALSE)))</f>
        <v/>
      </c>
      <c r="Y34" s="498" t="str">
        <f>IFERROR(IF(OR(LEFT(P34,5)="Error ▲",LEFT(O34,5)="Error ▲"),"Check Data ⚠",IF(F34&lt;S34,'G-7 Rivers Data'!$R$3,INDEX('G-7 Rivers Data'!$U$5:$Y$9,MATCH(G34,'G-7 Rivers Data'!$T$5:$T$9,0),MATCH(T34,'G-7 Rivers Data'!$U$4:$Y$4,0)))),"")</f>
        <v/>
      </c>
      <c r="Z34" s="195"/>
      <c r="AA34" s="195"/>
      <c r="AB34" s="507" t="str">
        <f t="shared" si="2"/>
        <v/>
      </c>
      <c r="AC34" s="521" t="str">
        <f t="shared" si="3"/>
        <v/>
      </c>
      <c r="AD34" s="564" t="str">
        <f>IFERROR(IF(AC34="Check Data ⚠","Check Data ⚠",VLOOKUP(AC34,'G-4 Temporal multipliers'!$A$4:$C$37,3,FALSE)),"")</f>
        <v/>
      </c>
      <c r="AE34" s="498" t="str">
        <f>IF(N34="","",VLOOKUP(N34,'G-7 Rivers Data'!$B$4:$G$8,5,FALSE))</f>
        <v/>
      </c>
      <c r="AF34" s="507" t="str">
        <f t="shared" si="4"/>
        <v/>
      </c>
      <c r="AG34" s="540" t="str">
        <f t="shared" si="5"/>
        <v/>
      </c>
      <c r="AH34" s="499" t="str">
        <f t="shared" si="0"/>
        <v/>
      </c>
      <c r="AI34" s="145"/>
      <c r="AJ34" s="499" t="str">
        <f>IF(AI34="","",IF(VLOOKUP(AI34,'G-7 Rivers Data'!$AA$4:$AB$7,2,FALSE)=0,"Spatial Data Missing ⚠",VLOOKUP(AI34,'G-7 Rivers Data'!$AA$4:$AB$7,2,FALSE)))</f>
        <v/>
      </c>
      <c r="AK34" s="155"/>
      <c r="AL34" s="499" t="str">
        <f>IF(AK34="","",IF(VLOOKUP(AK34,'G-7 Rivers Data'!$AD$4:$AE$8,2,FALSE)=0,"Spatial Data Missing ⚠",VLOOKUP(AK34,'G-7 Rivers Data'!$AD$4:$AE$8,2,FALSE)))</f>
        <v/>
      </c>
      <c r="AM34" s="545" t="str">
        <f t="shared" si="7"/>
        <v/>
      </c>
      <c r="AN34" s="149"/>
      <c r="AO34" s="150"/>
      <c r="AV34" s="31" t="str">
        <f>IFERROR(INDEX('G-7 Rivers Data'!$AZ$3:$AZ$7,MATCH(N34,'G-7 Rivers Data'!$AY$3:$AY$7,0)),"")</f>
        <v/>
      </c>
    </row>
    <row r="35" spans="2:48" ht="13.8" x14ac:dyDescent="0.25">
      <c r="B35" s="531" t="str">
        <f>'C-1 Site River Baseline'!AN33</f>
        <v/>
      </c>
      <c r="C35" s="520" t="str">
        <f>IF(B35="","",VLOOKUP($B35,'C-1 Site River Baseline'!$C$9:$R$257,2,FALSE))</f>
        <v/>
      </c>
      <c r="D35" s="520" t="str">
        <f>IF(C35="","",VLOOKUP($B35,'C-1 Site River Baseline'!$C$9:$R$257,3,FALSE))</f>
        <v/>
      </c>
      <c r="E35" s="520" t="str">
        <f>IF(D35="","",VLOOKUP($B35,'C-1 Site River Baseline'!$C$9:$R$257,4,FALSE))</f>
        <v/>
      </c>
      <c r="F35" s="520" t="str">
        <f>IF(E35="","",VLOOKUP($B35,'C-1 Site River Baseline'!$C$9:$R$257,5,FALSE))</f>
        <v/>
      </c>
      <c r="G35" s="520" t="str">
        <f>IF(F35="","",VLOOKUP($B35,'C-1 Site River Baseline'!$C$9:$R$257,6,FALSE))</f>
        <v/>
      </c>
      <c r="H35" s="520" t="str">
        <f>IF(G35="","",VLOOKUP($B35,'C-1 Site River Baseline'!$C$9:$R$257,7,FALSE))</f>
        <v/>
      </c>
      <c r="I35" s="520" t="str">
        <f>IF(H35="","",VLOOKUP($B35,'C-1 Site River Baseline'!$C$9:$R$257,8,FALSE))</f>
        <v/>
      </c>
      <c r="J35" s="520" t="str">
        <f>IF(I35="","",VLOOKUP($B35,'C-1 Site River Baseline'!$C$9:$R$257,9,FALSE))</f>
        <v/>
      </c>
      <c r="K35" s="520" t="str">
        <f>IF(J35="","",VLOOKUP($B35,'C-1 Site River Baseline'!$C$9:$R$257,10,FALSE))</f>
        <v/>
      </c>
      <c r="L35" s="520" t="str">
        <f>IF(B35="","",VLOOKUP($B35,'C-1 Site River Baseline'!$C$9:$R$257,15,FALSE))</f>
        <v/>
      </c>
      <c r="M35" s="524" t="str">
        <f>IF(L35="","",VLOOKUP($B35,'C-1 Site River Baseline'!$C$9:$R$257,16,FALSE))</f>
        <v/>
      </c>
      <c r="N35" s="426" t="str">
        <f t="shared" si="6"/>
        <v/>
      </c>
      <c r="O35" s="498" t="str">
        <f t="shared" si="1"/>
        <v/>
      </c>
      <c r="P35" s="499" t="str">
        <f>IF(C35="","",IF(AND(LEFT(C35,55)&lt;&gt;LEFT(N35,55),O35="High - High"),"Error - Not like for like ▲",IF(AND(F35=S35,H35&gt;U35),"Error - Can not reduce condition ▲",IF(AND(F35=S35,H35=U35,AJ35='C-1 Site River Baseline'!N33,'C-1 Site River Baseline'!P33=AL35),"Error - No enhancement ▲",IF(AND(C35&lt;&gt;N35,F35&lt;S35),"Lower Distinctiveness Habitat"&amp;" - "&amp;T35,G35&amp;" - "&amp;T35)))))</f>
        <v/>
      </c>
      <c r="Q35" s="567" t="str">
        <f>IF(N35="","",VLOOKUP(B35,'C-1 Site River Baseline'!$C$10:$AA$257,19,FALSE))</f>
        <v/>
      </c>
      <c r="R35" s="498" t="str">
        <f>IF(N35="","",VLOOKUP(N35,'G-7 Rivers Data'!$B$2:$G$8,2,FALSE))</f>
        <v/>
      </c>
      <c r="S35" s="499" t="str">
        <f>IFERROR(VLOOKUP(R35,'G-7 Rivers Data'!$C$4:$D$8,2,FALSE),"")</f>
        <v/>
      </c>
      <c r="T35" s="145"/>
      <c r="U35" s="499" t="str">
        <f>IFERROR(INDEX('G-7 Rivers Data'!$H$4:$L$8,MATCH(N35,'G-7 Rivers Data'!$B$4:$B$8,0),MATCH(T35,'G-7 Rivers Data'!$H$3:$L$3,0)),"")</f>
        <v/>
      </c>
      <c r="V35" s="154"/>
      <c r="W35" s="507" t="str">
        <f>IF(V35="","",IF(VLOOKUP(V35,'G-7 Rivers Data'!$AG$4:$AI$9,2,FALSE)=0,"Spatial Data Missing ⚠",VLOOKUP(V35,'G-7 Rivers Data'!$AG$4:$AI$9,2,FALSE)))</f>
        <v/>
      </c>
      <c r="X35" s="499" t="str">
        <f>IF(V35="","",IF(VLOOKUP(V35,'G-7 Rivers Data'!$AG$4:$AI$9,3,FALSE)=0,"Spatial Data Missing ⚠",VLOOKUP(V35,'G-7 Rivers Data'!$AG$4:$AI$9,3,FALSE)))</f>
        <v/>
      </c>
      <c r="Y35" s="498" t="str">
        <f>IFERROR(IF(OR(LEFT(P35,5)="Error ▲",LEFT(O35,5)="Error ▲"),"Check Data ⚠",IF(F35&lt;S35,'G-7 Rivers Data'!$R$3,INDEX('G-7 Rivers Data'!$U$5:$Y$9,MATCH(G35,'G-7 Rivers Data'!$T$5:$T$9,0),MATCH(T35,'G-7 Rivers Data'!$U$4:$Y$4,0)))),"")</f>
        <v/>
      </c>
      <c r="Z35" s="195"/>
      <c r="AA35" s="195"/>
      <c r="AB35" s="507" t="str">
        <f t="shared" si="2"/>
        <v/>
      </c>
      <c r="AC35" s="521" t="str">
        <f t="shared" si="3"/>
        <v/>
      </c>
      <c r="AD35" s="564" t="str">
        <f>IFERROR(IF(AC35="Check Data ⚠","Check Data ⚠",VLOOKUP(AC35,'G-4 Temporal multipliers'!$A$4:$C$37,3,FALSE)),"")</f>
        <v/>
      </c>
      <c r="AE35" s="498" t="str">
        <f>IF(N35="","",VLOOKUP(N35,'G-7 Rivers Data'!$B$4:$G$8,5,FALSE))</f>
        <v/>
      </c>
      <c r="AF35" s="507" t="str">
        <f t="shared" si="4"/>
        <v/>
      </c>
      <c r="AG35" s="540" t="str">
        <f t="shared" si="5"/>
        <v/>
      </c>
      <c r="AH35" s="499" t="str">
        <f t="shared" si="0"/>
        <v/>
      </c>
      <c r="AI35" s="145"/>
      <c r="AJ35" s="499" t="str">
        <f>IF(AI35="","",IF(VLOOKUP(AI35,'G-7 Rivers Data'!$AA$4:$AB$7,2,FALSE)=0,"Spatial Data Missing ⚠",VLOOKUP(AI35,'G-7 Rivers Data'!$AA$4:$AB$7,2,FALSE)))</f>
        <v/>
      </c>
      <c r="AK35" s="155"/>
      <c r="AL35" s="499" t="str">
        <f>IF(AK35="","",IF(VLOOKUP(AK35,'G-7 Rivers Data'!$AD$4:$AE$8,2,FALSE)=0,"Spatial Data Missing ⚠",VLOOKUP(AK35,'G-7 Rivers Data'!$AD$4:$AE$8,2,FALSE)))</f>
        <v/>
      </c>
      <c r="AM35" s="545" t="str">
        <f t="shared" si="7"/>
        <v/>
      </c>
      <c r="AN35" s="149"/>
      <c r="AO35" s="150"/>
      <c r="AV35" s="31" t="str">
        <f>IFERROR(INDEX('G-7 Rivers Data'!$AZ$3:$AZ$7,MATCH(N35,'G-7 Rivers Data'!$AY$3:$AY$7,0)),"")</f>
        <v/>
      </c>
    </row>
    <row r="36" spans="2:48" ht="13.8" x14ac:dyDescent="0.25">
      <c r="B36" s="531" t="str">
        <f>'C-1 Site River Baseline'!AN34</f>
        <v/>
      </c>
      <c r="C36" s="520" t="str">
        <f>IF(B36="","",VLOOKUP($B36,'C-1 Site River Baseline'!$C$9:$R$257,2,FALSE))</f>
        <v/>
      </c>
      <c r="D36" s="520" t="str">
        <f>IF(C36="","",VLOOKUP($B36,'C-1 Site River Baseline'!$C$9:$R$257,3,FALSE))</f>
        <v/>
      </c>
      <c r="E36" s="520" t="str">
        <f>IF(D36="","",VLOOKUP($B36,'C-1 Site River Baseline'!$C$9:$R$257,4,FALSE))</f>
        <v/>
      </c>
      <c r="F36" s="520" t="str">
        <f>IF(E36="","",VLOOKUP($B36,'C-1 Site River Baseline'!$C$9:$R$257,5,FALSE))</f>
        <v/>
      </c>
      <c r="G36" s="520" t="str">
        <f>IF(F36="","",VLOOKUP($B36,'C-1 Site River Baseline'!$C$9:$R$257,6,FALSE))</f>
        <v/>
      </c>
      <c r="H36" s="520" t="str">
        <f>IF(G36="","",VLOOKUP($B36,'C-1 Site River Baseline'!$C$9:$R$257,7,FALSE))</f>
        <v/>
      </c>
      <c r="I36" s="520" t="str">
        <f>IF(H36="","",VLOOKUP($B36,'C-1 Site River Baseline'!$C$9:$R$257,8,FALSE))</f>
        <v/>
      </c>
      <c r="J36" s="520" t="str">
        <f>IF(I36="","",VLOOKUP($B36,'C-1 Site River Baseline'!$C$9:$R$257,9,FALSE))</f>
        <v/>
      </c>
      <c r="K36" s="520" t="str">
        <f>IF(J36="","",VLOOKUP($B36,'C-1 Site River Baseline'!$C$9:$R$257,10,FALSE))</f>
        <v/>
      </c>
      <c r="L36" s="520" t="str">
        <f>IF(B36="","",VLOOKUP($B36,'C-1 Site River Baseline'!$C$9:$R$257,15,FALSE))</f>
        <v/>
      </c>
      <c r="M36" s="524" t="str">
        <f>IF(L36="","",VLOOKUP($B36,'C-1 Site River Baseline'!$C$9:$R$257,16,FALSE))</f>
        <v/>
      </c>
      <c r="N36" s="426" t="str">
        <f t="shared" si="6"/>
        <v/>
      </c>
      <c r="O36" s="498" t="str">
        <f t="shared" si="1"/>
        <v/>
      </c>
      <c r="P36" s="499" t="str">
        <f>IF(C36="","",IF(AND(LEFT(C36,55)&lt;&gt;LEFT(N36,55),O36="High - High"),"Error - Not like for like ▲",IF(AND(F36=S36,H36&gt;U36),"Error - Can not reduce condition ▲",IF(AND(F36=S36,H36=U36,AJ36='C-1 Site River Baseline'!N34,'C-1 Site River Baseline'!P34=AL36),"Error - No enhancement ▲",IF(AND(C36&lt;&gt;N36,F36&lt;S36),"Lower Distinctiveness Habitat"&amp;" - "&amp;T36,G36&amp;" - "&amp;T36)))))</f>
        <v/>
      </c>
      <c r="Q36" s="567" t="str">
        <f>IF(N36="","",VLOOKUP(B36,'C-1 Site River Baseline'!$C$10:$AA$257,19,FALSE))</f>
        <v/>
      </c>
      <c r="R36" s="498" t="str">
        <f>IF(N36="","",VLOOKUP(N36,'G-7 Rivers Data'!$B$2:$G$8,2,FALSE))</f>
        <v/>
      </c>
      <c r="S36" s="499" t="str">
        <f>IFERROR(VLOOKUP(R36,'G-7 Rivers Data'!$C$4:$D$8,2,FALSE),"")</f>
        <v/>
      </c>
      <c r="T36" s="145"/>
      <c r="U36" s="499" t="str">
        <f>IFERROR(INDEX('G-7 Rivers Data'!$H$4:$L$8,MATCH(N36,'G-7 Rivers Data'!$B$4:$B$8,0),MATCH(T36,'G-7 Rivers Data'!$H$3:$L$3,0)),"")</f>
        <v/>
      </c>
      <c r="V36" s="154"/>
      <c r="W36" s="507" t="str">
        <f>IF(V36="","",IF(VLOOKUP(V36,'G-7 Rivers Data'!$AG$4:$AI$9,2,FALSE)=0,"Spatial Data Missing ⚠",VLOOKUP(V36,'G-7 Rivers Data'!$AG$4:$AI$9,2,FALSE)))</f>
        <v/>
      </c>
      <c r="X36" s="499" t="str">
        <f>IF(V36="","",IF(VLOOKUP(V36,'G-7 Rivers Data'!$AG$4:$AI$9,3,FALSE)=0,"Spatial Data Missing ⚠",VLOOKUP(V36,'G-7 Rivers Data'!$AG$4:$AI$9,3,FALSE)))</f>
        <v/>
      </c>
      <c r="Y36" s="498" t="str">
        <f>IFERROR(IF(OR(LEFT(P36,5)="Error ▲",LEFT(O36,5)="Error ▲"),"Check Data ⚠",IF(F36&lt;S36,'G-7 Rivers Data'!$R$3,INDEX('G-7 Rivers Data'!$U$5:$Y$9,MATCH(G36,'G-7 Rivers Data'!$T$5:$T$9,0),MATCH(T36,'G-7 Rivers Data'!$U$4:$Y$4,0)))),"")</f>
        <v/>
      </c>
      <c r="Z36" s="195"/>
      <c r="AA36" s="195"/>
      <c r="AB36" s="507" t="str">
        <f t="shared" si="2"/>
        <v/>
      </c>
      <c r="AC36" s="521" t="str">
        <f t="shared" si="3"/>
        <v/>
      </c>
      <c r="AD36" s="564" t="str">
        <f>IFERROR(IF(AC36="Check Data ⚠","Check Data ⚠",VLOOKUP(AC36,'G-4 Temporal multipliers'!$A$4:$C$37,3,FALSE)),"")</f>
        <v/>
      </c>
      <c r="AE36" s="498" t="str">
        <f>IF(N36="","",VLOOKUP(N36,'G-7 Rivers Data'!$B$4:$G$8,5,FALSE))</f>
        <v/>
      </c>
      <c r="AF36" s="507" t="str">
        <f t="shared" si="4"/>
        <v/>
      </c>
      <c r="AG36" s="540" t="str">
        <f t="shared" si="5"/>
        <v/>
      </c>
      <c r="AH36" s="499" t="str">
        <f t="shared" si="0"/>
        <v/>
      </c>
      <c r="AI36" s="145"/>
      <c r="AJ36" s="499" t="str">
        <f>IF(AI36="","",IF(VLOOKUP(AI36,'G-7 Rivers Data'!$AA$4:$AB$7,2,FALSE)=0,"Spatial Data Missing ⚠",VLOOKUP(AI36,'G-7 Rivers Data'!$AA$4:$AB$7,2,FALSE)))</f>
        <v/>
      </c>
      <c r="AK36" s="155"/>
      <c r="AL36" s="499" t="str">
        <f>IF(AK36="","",IF(VLOOKUP(AK36,'G-7 Rivers Data'!$AD$4:$AE$8,2,FALSE)=0,"Spatial Data Missing ⚠",VLOOKUP(AK36,'G-7 Rivers Data'!$AD$4:$AE$8,2,FALSE)))</f>
        <v/>
      </c>
      <c r="AM36" s="545" t="str">
        <f t="shared" si="7"/>
        <v/>
      </c>
      <c r="AN36" s="149"/>
      <c r="AO36" s="150"/>
      <c r="AV36" s="31" t="str">
        <f>IFERROR(INDEX('G-7 Rivers Data'!$AZ$3:$AZ$7,MATCH(N36,'G-7 Rivers Data'!$AY$3:$AY$7,0)),"")</f>
        <v/>
      </c>
    </row>
    <row r="37" spans="2:48" ht="13.8" x14ac:dyDescent="0.25">
      <c r="B37" s="531" t="str">
        <f>'C-1 Site River Baseline'!AN35</f>
        <v/>
      </c>
      <c r="C37" s="520" t="str">
        <f>IF(B37="","",VLOOKUP($B37,'C-1 Site River Baseline'!$C$9:$R$257,2,FALSE))</f>
        <v/>
      </c>
      <c r="D37" s="520" t="str">
        <f>IF(C37="","",VLOOKUP($B37,'C-1 Site River Baseline'!$C$9:$R$257,3,FALSE))</f>
        <v/>
      </c>
      <c r="E37" s="520" t="str">
        <f>IF(D37="","",VLOOKUP($B37,'C-1 Site River Baseline'!$C$9:$R$257,4,FALSE))</f>
        <v/>
      </c>
      <c r="F37" s="520" t="str">
        <f>IF(E37="","",VLOOKUP($B37,'C-1 Site River Baseline'!$C$9:$R$257,5,FALSE))</f>
        <v/>
      </c>
      <c r="G37" s="520" t="str">
        <f>IF(F37="","",VLOOKUP($B37,'C-1 Site River Baseline'!$C$9:$R$257,6,FALSE))</f>
        <v/>
      </c>
      <c r="H37" s="520" t="str">
        <f>IF(G37="","",VLOOKUP($B37,'C-1 Site River Baseline'!$C$9:$R$257,7,FALSE))</f>
        <v/>
      </c>
      <c r="I37" s="520" t="str">
        <f>IF(H37="","",VLOOKUP($B37,'C-1 Site River Baseline'!$C$9:$R$257,8,FALSE))</f>
        <v/>
      </c>
      <c r="J37" s="520" t="str">
        <f>IF(I37="","",VLOOKUP($B37,'C-1 Site River Baseline'!$C$9:$R$257,9,FALSE))</f>
        <v/>
      </c>
      <c r="K37" s="520" t="str">
        <f>IF(J37="","",VLOOKUP($B37,'C-1 Site River Baseline'!$C$9:$R$257,10,FALSE))</f>
        <v/>
      </c>
      <c r="L37" s="520" t="str">
        <f>IF(B37="","",VLOOKUP($B37,'C-1 Site River Baseline'!$C$9:$R$257,15,FALSE))</f>
        <v/>
      </c>
      <c r="M37" s="524" t="str">
        <f>IF(L37="","",VLOOKUP($B37,'C-1 Site River Baseline'!$C$9:$R$257,16,FALSE))</f>
        <v/>
      </c>
      <c r="N37" s="426" t="str">
        <f t="shared" si="6"/>
        <v/>
      </c>
      <c r="O37" s="498" t="str">
        <f t="shared" si="1"/>
        <v/>
      </c>
      <c r="P37" s="499" t="str">
        <f>IF(C37="","",IF(AND(LEFT(C37,55)&lt;&gt;LEFT(N37,55),O37="High - High"),"Error - Not like for like ▲",IF(AND(F37=S37,H37&gt;U37),"Error - Can not reduce condition ▲",IF(AND(F37=S37,H37=U37,AJ37='C-1 Site River Baseline'!N35,'C-1 Site River Baseline'!P35=AL37),"Error - No enhancement ▲",IF(AND(C37&lt;&gt;N37,F37&lt;S37),"Lower Distinctiveness Habitat"&amp;" - "&amp;T37,G37&amp;" - "&amp;T37)))))</f>
        <v/>
      </c>
      <c r="Q37" s="567" t="str">
        <f>IF(N37="","",VLOOKUP(B37,'C-1 Site River Baseline'!$C$10:$AA$257,19,FALSE))</f>
        <v/>
      </c>
      <c r="R37" s="498" t="str">
        <f>IF(N37="","",VLOOKUP(N37,'G-7 Rivers Data'!$B$2:$G$8,2,FALSE))</f>
        <v/>
      </c>
      <c r="S37" s="499" t="str">
        <f>IFERROR(VLOOKUP(R37,'G-7 Rivers Data'!$C$4:$D$8,2,FALSE),"")</f>
        <v/>
      </c>
      <c r="T37" s="145"/>
      <c r="U37" s="499" t="str">
        <f>IFERROR(INDEX('G-7 Rivers Data'!$H$4:$L$8,MATCH(N37,'G-7 Rivers Data'!$B$4:$B$8,0),MATCH(T37,'G-7 Rivers Data'!$H$3:$L$3,0)),"")</f>
        <v/>
      </c>
      <c r="V37" s="154"/>
      <c r="W37" s="507" t="str">
        <f>IF(V37="","",IF(VLOOKUP(V37,'G-7 Rivers Data'!$AG$4:$AI$9,2,FALSE)=0,"Spatial Data Missing ⚠",VLOOKUP(V37,'G-7 Rivers Data'!$AG$4:$AI$9,2,FALSE)))</f>
        <v/>
      </c>
      <c r="X37" s="499" t="str">
        <f>IF(V37="","",IF(VLOOKUP(V37,'G-7 Rivers Data'!$AG$4:$AI$9,3,FALSE)=0,"Spatial Data Missing ⚠",VLOOKUP(V37,'G-7 Rivers Data'!$AG$4:$AI$9,3,FALSE)))</f>
        <v/>
      </c>
      <c r="Y37" s="498" t="str">
        <f>IFERROR(IF(OR(LEFT(P37,5)="Error ▲",LEFT(O37,5)="Error ▲"),"Check Data ⚠",IF(F37&lt;S37,'G-7 Rivers Data'!$R$3,INDEX('G-7 Rivers Data'!$U$5:$Y$9,MATCH(G37,'G-7 Rivers Data'!$T$5:$T$9,0),MATCH(T37,'G-7 Rivers Data'!$U$4:$Y$4,0)))),"")</f>
        <v/>
      </c>
      <c r="Z37" s="195"/>
      <c r="AA37" s="195"/>
      <c r="AB37" s="507" t="str">
        <f t="shared" si="2"/>
        <v/>
      </c>
      <c r="AC37" s="521" t="str">
        <f t="shared" si="3"/>
        <v/>
      </c>
      <c r="AD37" s="564" t="str">
        <f>IFERROR(IF(AC37="Check Data ⚠","Check Data ⚠",VLOOKUP(AC37,'G-4 Temporal multipliers'!$A$4:$C$37,3,FALSE)),"")</f>
        <v/>
      </c>
      <c r="AE37" s="498" t="str">
        <f>IF(N37="","",VLOOKUP(N37,'G-7 Rivers Data'!$B$4:$G$8,5,FALSE))</f>
        <v/>
      </c>
      <c r="AF37" s="507" t="str">
        <f t="shared" si="4"/>
        <v/>
      </c>
      <c r="AG37" s="540" t="str">
        <f t="shared" si="5"/>
        <v/>
      </c>
      <c r="AH37" s="499" t="str">
        <f t="shared" si="0"/>
        <v/>
      </c>
      <c r="AI37" s="145"/>
      <c r="AJ37" s="499" t="str">
        <f>IF(AI37="","",IF(VLOOKUP(AI37,'G-7 Rivers Data'!$AA$4:$AB$7,2,FALSE)=0,"Spatial Data Missing ⚠",VLOOKUP(AI37,'G-7 Rivers Data'!$AA$4:$AB$7,2,FALSE)))</f>
        <v/>
      </c>
      <c r="AK37" s="155"/>
      <c r="AL37" s="499" t="str">
        <f>IF(AK37="","",IF(VLOOKUP(AK37,'G-7 Rivers Data'!$AD$4:$AE$8,2,FALSE)=0,"Spatial Data Missing ⚠",VLOOKUP(AK37,'G-7 Rivers Data'!$AD$4:$AE$8,2,FALSE)))</f>
        <v/>
      </c>
      <c r="AM37" s="545" t="str">
        <f t="shared" si="7"/>
        <v/>
      </c>
      <c r="AN37" s="149"/>
      <c r="AO37" s="150"/>
      <c r="AV37" s="31" t="str">
        <f>IFERROR(INDEX('G-7 Rivers Data'!$AZ$3:$AZ$7,MATCH(N37,'G-7 Rivers Data'!$AY$3:$AY$7,0)),"")</f>
        <v/>
      </c>
    </row>
    <row r="38" spans="2:48" ht="13.8" x14ac:dyDescent="0.25">
      <c r="B38" s="531" t="str">
        <f>'C-1 Site River Baseline'!AN36</f>
        <v/>
      </c>
      <c r="C38" s="520" t="str">
        <f>IF(B38="","",VLOOKUP($B38,'C-1 Site River Baseline'!$C$9:$R$257,2,FALSE))</f>
        <v/>
      </c>
      <c r="D38" s="520" t="str">
        <f>IF(C38="","",VLOOKUP($B38,'C-1 Site River Baseline'!$C$9:$R$257,3,FALSE))</f>
        <v/>
      </c>
      <c r="E38" s="520" t="str">
        <f>IF(D38="","",VLOOKUP($B38,'C-1 Site River Baseline'!$C$9:$R$257,4,FALSE))</f>
        <v/>
      </c>
      <c r="F38" s="520" t="str">
        <f>IF(E38="","",VLOOKUP($B38,'C-1 Site River Baseline'!$C$9:$R$257,5,FALSE))</f>
        <v/>
      </c>
      <c r="G38" s="520" t="str">
        <f>IF(F38="","",VLOOKUP($B38,'C-1 Site River Baseline'!$C$9:$R$257,6,FALSE))</f>
        <v/>
      </c>
      <c r="H38" s="520" t="str">
        <f>IF(G38="","",VLOOKUP($B38,'C-1 Site River Baseline'!$C$9:$R$257,7,FALSE))</f>
        <v/>
      </c>
      <c r="I38" s="520" t="str">
        <f>IF(H38="","",VLOOKUP($B38,'C-1 Site River Baseline'!$C$9:$R$257,8,FALSE))</f>
        <v/>
      </c>
      <c r="J38" s="520" t="str">
        <f>IF(I38="","",VLOOKUP($B38,'C-1 Site River Baseline'!$C$9:$R$257,9,FALSE))</f>
        <v/>
      </c>
      <c r="K38" s="520" t="str">
        <f>IF(J38="","",VLOOKUP($B38,'C-1 Site River Baseline'!$C$9:$R$257,10,FALSE))</f>
        <v/>
      </c>
      <c r="L38" s="520" t="str">
        <f>IF(B38="","",VLOOKUP($B38,'C-1 Site River Baseline'!$C$9:$R$257,15,FALSE))</f>
        <v/>
      </c>
      <c r="M38" s="524" t="str">
        <f>IF(L38="","",VLOOKUP($B38,'C-1 Site River Baseline'!$C$9:$R$257,16,FALSE))</f>
        <v/>
      </c>
      <c r="N38" s="426" t="str">
        <f t="shared" si="6"/>
        <v/>
      </c>
      <c r="O38" s="498" t="str">
        <f t="shared" si="1"/>
        <v/>
      </c>
      <c r="P38" s="499" t="str">
        <f>IF(C38="","",IF(AND(LEFT(C38,55)&lt;&gt;LEFT(N38,55),O38="High - High"),"Error - Not like for like ▲",IF(AND(F38=S38,H38&gt;U38),"Error - Can not reduce condition ▲",IF(AND(F38=S38,H38=U38,AJ38='C-1 Site River Baseline'!N36,'C-1 Site River Baseline'!P36=AL38),"Error - No enhancement ▲",IF(AND(C38&lt;&gt;N38,F38&lt;S38),"Lower Distinctiveness Habitat"&amp;" - "&amp;T38,G38&amp;" - "&amp;T38)))))</f>
        <v/>
      </c>
      <c r="Q38" s="567" t="str">
        <f>IF(N38="","",VLOOKUP(B38,'C-1 Site River Baseline'!$C$10:$AA$257,19,FALSE))</f>
        <v/>
      </c>
      <c r="R38" s="498" t="str">
        <f>IF(N38="","",VLOOKUP(N38,'G-7 Rivers Data'!$B$2:$G$8,2,FALSE))</f>
        <v/>
      </c>
      <c r="S38" s="499" t="str">
        <f>IFERROR(VLOOKUP(R38,'G-7 Rivers Data'!$C$4:$D$8,2,FALSE),"")</f>
        <v/>
      </c>
      <c r="T38" s="145"/>
      <c r="U38" s="499" t="str">
        <f>IFERROR(INDEX('G-7 Rivers Data'!$H$4:$L$8,MATCH(N38,'G-7 Rivers Data'!$B$4:$B$8,0),MATCH(T38,'G-7 Rivers Data'!$H$3:$L$3,0)),"")</f>
        <v/>
      </c>
      <c r="V38" s="154"/>
      <c r="W38" s="507" t="str">
        <f>IF(V38="","",IF(VLOOKUP(V38,'G-7 Rivers Data'!$AG$4:$AI$9,2,FALSE)=0,"Spatial Data Missing ⚠",VLOOKUP(V38,'G-7 Rivers Data'!$AG$4:$AI$9,2,FALSE)))</f>
        <v/>
      </c>
      <c r="X38" s="499" t="str">
        <f>IF(V38="","",IF(VLOOKUP(V38,'G-7 Rivers Data'!$AG$4:$AI$9,3,FALSE)=0,"Spatial Data Missing ⚠",VLOOKUP(V38,'G-7 Rivers Data'!$AG$4:$AI$9,3,FALSE)))</f>
        <v/>
      </c>
      <c r="Y38" s="498" t="str">
        <f>IFERROR(IF(OR(LEFT(P38,5)="Error ▲",LEFT(O38,5)="Error ▲"),"Check Data ⚠",IF(F38&lt;S38,'G-7 Rivers Data'!$R$3,INDEX('G-7 Rivers Data'!$U$5:$Y$9,MATCH(G38,'G-7 Rivers Data'!$T$5:$T$9,0),MATCH(T38,'G-7 Rivers Data'!$U$4:$Y$4,0)))),"")</f>
        <v/>
      </c>
      <c r="Z38" s="195"/>
      <c r="AA38" s="195"/>
      <c r="AB38" s="507" t="str">
        <f t="shared" si="2"/>
        <v/>
      </c>
      <c r="AC38" s="521" t="str">
        <f t="shared" si="3"/>
        <v/>
      </c>
      <c r="AD38" s="564" t="str">
        <f>IFERROR(IF(AC38="Check Data ⚠","Check Data ⚠",VLOOKUP(AC38,'G-4 Temporal multipliers'!$A$4:$C$37,3,FALSE)),"")</f>
        <v/>
      </c>
      <c r="AE38" s="498" t="str">
        <f>IF(N38="","",VLOOKUP(N38,'G-7 Rivers Data'!$B$4:$G$8,5,FALSE))</f>
        <v/>
      </c>
      <c r="AF38" s="507" t="str">
        <f t="shared" si="4"/>
        <v/>
      </c>
      <c r="AG38" s="540" t="str">
        <f t="shared" si="5"/>
        <v/>
      </c>
      <c r="AH38" s="499" t="str">
        <f t="shared" si="0"/>
        <v/>
      </c>
      <c r="AI38" s="145"/>
      <c r="AJ38" s="499" t="str">
        <f>IF(AI38="","",IF(VLOOKUP(AI38,'G-7 Rivers Data'!$AA$4:$AB$7,2,FALSE)=0,"Spatial Data Missing ⚠",VLOOKUP(AI38,'G-7 Rivers Data'!$AA$4:$AB$7,2,FALSE)))</f>
        <v/>
      </c>
      <c r="AK38" s="155"/>
      <c r="AL38" s="499" t="str">
        <f>IF(AK38="","",IF(VLOOKUP(AK38,'G-7 Rivers Data'!$AD$4:$AE$8,2,FALSE)=0,"Spatial Data Missing ⚠",VLOOKUP(AK38,'G-7 Rivers Data'!$AD$4:$AE$8,2,FALSE)))</f>
        <v/>
      </c>
      <c r="AM38" s="545" t="str">
        <f t="shared" si="7"/>
        <v/>
      </c>
      <c r="AN38" s="149"/>
      <c r="AO38" s="150"/>
      <c r="AV38" s="31" t="str">
        <f>IFERROR(INDEX('G-7 Rivers Data'!$AZ$3:$AZ$7,MATCH(N38,'G-7 Rivers Data'!$AY$3:$AY$7,0)),"")</f>
        <v/>
      </c>
    </row>
    <row r="39" spans="2:48" ht="13.8" x14ac:dyDescent="0.25">
      <c r="B39" s="531" t="str">
        <f>'C-1 Site River Baseline'!AN37</f>
        <v/>
      </c>
      <c r="C39" s="520" t="str">
        <f>IF(B39="","",VLOOKUP($B39,'C-1 Site River Baseline'!$C$9:$R$257,2,FALSE))</f>
        <v/>
      </c>
      <c r="D39" s="520" t="str">
        <f>IF(C39="","",VLOOKUP($B39,'C-1 Site River Baseline'!$C$9:$R$257,3,FALSE))</f>
        <v/>
      </c>
      <c r="E39" s="520" t="str">
        <f>IF(D39="","",VLOOKUP($B39,'C-1 Site River Baseline'!$C$9:$R$257,4,FALSE))</f>
        <v/>
      </c>
      <c r="F39" s="520" t="str">
        <f>IF(E39="","",VLOOKUP($B39,'C-1 Site River Baseline'!$C$9:$R$257,5,FALSE))</f>
        <v/>
      </c>
      <c r="G39" s="520" t="str">
        <f>IF(F39="","",VLOOKUP($B39,'C-1 Site River Baseline'!$C$9:$R$257,6,FALSE))</f>
        <v/>
      </c>
      <c r="H39" s="520" t="str">
        <f>IF(G39="","",VLOOKUP($B39,'C-1 Site River Baseline'!$C$9:$R$257,7,FALSE))</f>
        <v/>
      </c>
      <c r="I39" s="520" t="str">
        <f>IF(H39="","",VLOOKUP($B39,'C-1 Site River Baseline'!$C$9:$R$257,8,FALSE))</f>
        <v/>
      </c>
      <c r="J39" s="520" t="str">
        <f>IF(I39="","",VLOOKUP($B39,'C-1 Site River Baseline'!$C$9:$R$257,9,FALSE))</f>
        <v/>
      </c>
      <c r="K39" s="520" t="str">
        <f>IF(J39="","",VLOOKUP($B39,'C-1 Site River Baseline'!$C$9:$R$257,10,FALSE))</f>
        <v/>
      </c>
      <c r="L39" s="520" t="str">
        <f>IF(B39="","",VLOOKUP($B39,'C-1 Site River Baseline'!$C$9:$R$257,15,FALSE))</f>
        <v/>
      </c>
      <c r="M39" s="524" t="str">
        <f>IF(L39="","",VLOOKUP($B39,'C-1 Site River Baseline'!$C$9:$R$257,16,FALSE))</f>
        <v/>
      </c>
      <c r="N39" s="426" t="str">
        <f t="shared" si="6"/>
        <v/>
      </c>
      <c r="O39" s="498" t="str">
        <f t="shared" si="1"/>
        <v/>
      </c>
      <c r="P39" s="499" t="str">
        <f>IF(C39="","",IF(AND(LEFT(C39,55)&lt;&gt;LEFT(N39,55),O39="High - High"),"Error - Not like for like ▲",IF(AND(F39=S39,H39&gt;U39),"Error - Can not reduce condition ▲",IF(AND(F39=S39,H39=U39,AJ39='C-1 Site River Baseline'!N37,'C-1 Site River Baseline'!P37=AL39),"Error - No enhancement ▲",IF(AND(C39&lt;&gt;N39,F39&lt;S39),"Lower Distinctiveness Habitat"&amp;" - "&amp;T39,G39&amp;" - "&amp;T39)))))</f>
        <v/>
      </c>
      <c r="Q39" s="567" t="str">
        <f>IF(N39="","",VLOOKUP(B39,'C-1 Site River Baseline'!$C$10:$AA$257,19,FALSE))</f>
        <v/>
      </c>
      <c r="R39" s="498" t="str">
        <f>IF(N39="","",VLOOKUP(N39,'G-7 Rivers Data'!$B$2:$G$8,2,FALSE))</f>
        <v/>
      </c>
      <c r="S39" s="499" t="str">
        <f>IFERROR(VLOOKUP(R39,'G-7 Rivers Data'!$C$4:$D$8,2,FALSE),"")</f>
        <v/>
      </c>
      <c r="T39" s="145"/>
      <c r="U39" s="499" t="str">
        <f>IFERROR(INDEX('G-7 Rivers Data'!$H$4:$L$8,MATCH(N39,'G-7 Rivers Data'!$B$4:$B$8,0),MATCH(T39,'G-7 Rivers Data'!$H$3:$L$3,0)),"")</f>
        <v/>
      </c>
      <c r="V39" s="154"/>
      <c r="W39" s="507" t="str">
        <f>IF(V39="","",IF(VLOOKUP(V39,'G-7 Rivers Data'!$AG$4:$AI$9,2,FALSE)=0,"Spatial Data Missing ⚠",VLOOKUP(V39,'G-7 Rivers Data'!$AG$4:$AI$9,2,FALSE)))</f>
        <v/>
      </c>
      <c r="X39" s="499" t="str">
        <f>IF(V39="","",IF(VLOOKUP(V39,'G-7 Rivers Data'!$AG$4:$AI$9,3,FALSE)=0,"Spatial Data Missing ⚠",VLOOKUP(V39,'G-7 Rivers Data'!$AG$4:$AI$9,3,FALSE)))</f>
        <v/>
      </c>
      <c r="Y39" s="498" t="str">
        <f>IFERROR(IF(OR(LEFT(P39,5)="Error ▲",LEFT(O39,5)="Error ▲"),"Check Data ⚠",IF(F39&lt;S39,'G-7 Rivers Data'!$R$3,INDEX('G-7 Rivers Data'!$U$5:$Y$9,MATCH(G39,'G-7 Rivers Data'!$T$5:$T$9,0),MATCH(T39,'G-7 Rivers Data'!$U$4:$Y$4,0)))),"")</f>
        <v/>
      </c>
      <c r="Z39" s="195"/>
      <c r="AA39" s="195"/>
      <c r="AB39" s="507" t="str">
        <f t="shared" si="2"/>
        <v/>
      </c>
      <c r="AC39" s="521" t="str">
        <f t="shared" si="3"/>
        <v/>
      </c>
      <c r="AD39" s="564" t="str">
        <f>IFERROR(IF(AC39="Check Data ⚠","Check Data ⚠",VLOOKUP(AC39,'G-4 Temporal multipliers'!$A$4:$C$37,3,FALSE)),"")</f>
        <v/>
      </c>
      <c r="AE39" s="498" t="str">
        <f>IF(N39="","",VLOOKUP(N39,'G-7 Rivers Data'!$B$4:$G$8,5,FALSE))</f>
        <v/>
      </c>
      <c r="AF39" s="507" t="str">
        <f t="shared" si="4"/>
        <v/>
      </c>
      <c r="AG39" s="540" t="str">
        <f t="shared" si="5"/>
        <v/>
      </c>
      <c r="AH39" s="499" t="str">
        <f t="shared" si="0"/>
        <v/>
      </c>
      <c r="AI39" s="145"/>
      <c r="AJ39" s="499" t="str">
        <f>IF(AI39="","",IF(VLOOKUP(AI39,'G-7 Rivers Data'!$AA$4:$AB$7,2,FALSE)=0,"Spatial Data Missing ⚠",VLOOKUP(AI39,'G-7 Rivers Data'!$AA$4:$AB$7,2,FALSE)))</f>
        <v/>
      </c>
      <c r="AK39" s="155"/>
      <c r="AL39" s="499" t="str">
        <f>IF(AK39="","",IF(VLOOKUP(AK39,'G-7 Rivers Data'!$AD$4:$AE$8,2,FALSE)=0,"Spatial Data Missing ⚠",VLOOKUP(AK39,'G-7 Rivers Data'!$AD$4:$AE$8,2,FALSE)))</f>
        <v/>
      </c>
      <c r="AM39" s="545" t="str">
        <f t="shared" si="7"/>
        <v/>
      </c>
      <c r="AN39" s="149"/>
      <c r="AO39" s="150"/>
      <c r="AV39" s="31" t="str">
        <f>IFERROR(INDEX('G-7 Rivers Data'!$AZ$3:$AZ$7,MATCH(N39,'G-7 Rivers Data'!$AY$3:$AY$7,0)),"")</f>
        <v/>
      </c>
    </row>
    <row r="40" spans="2:48" ht="13.8" x14ac:dyDescent="0.25">
      <c r="B40" s="531" t="str">
        <f>'C-1 Site River Baseline'!AN38</f>
        <v/>
      </c>
      <c r="C40" s="520" t="str">
        <f>IF(B40="","",VLOOKUP($B40,'C-1 Site River Baseline'!$C$9:$R$257,2,FALSE))</f>
        <v/>
      </c>
      <c r="D40" s="520" t="str">
        <f>IF(C40="","",VLOOKUP($B40,'C-1 Site River Baseline'!$C$9:$R$257,3,FALSE))</f>
        <v/>
      </c>
      <c r="E40" s="520" t="str">
        <f>IF(D40="","",VLOOKUP($B40,'C-1 Site River Baseline'!$C$9:$R$257,4,FALSE))</f>
        <v/>
      </c>
      <c r="F40" s="520" t="str">
        <f>IF(E40="","",VLOOKUP($B40,'C-1 Site River Baseline'!$C$9:$R$257,5,FALSE))</f>
        <v/>
      </c>
      <c r="G40" s="520" t="str">
        <f>IF(F40="","",VLOOKUP($B40,'C-1 Site River Baseline'!$C$9:$R$257,6,FALSE))</f>
        <v/>
      </c>
      <c r="H40" s="520" t="str">
        <f>IF(G40="","",VLOOKUP($B40,'C-1 Site River Baseline'!$C$9:$R$257,7,FALSE))</f>
        <v/>
      </c>
      <c r="I40" s="520" t="str">
        <f>IF(H40="","",VLOOKUP($B40,'C-1 Site River Baseline'!$C$9:$R$257,8,FALSE))</f>
        <v/>
      </c>
      <c r="J40" s="520" t="str">
        <f>IF(I40="","",VLOOKUP($B40,'C-1 Site River Baseline'!$C$9:$R$257,9,FALSE))</f>
        <v/>
      </c>
      <c r="K40" s="520" t="str">
        <f>IF(J40="","",VLOOKUP($B40,'C-1 Site River Baseline'!$C$9:$R$257,10,FALSE))</f>
        <v/>
      </c>
      <c r="L40" s="520" t="str">
        <f>IF(B40="","",VLOOKUP($B40,'C-1 Site River Baseline'!$C$9:$R$257,15,FALSE))</f>
        <v/>
      </c>
      <c r="M40" s="524" t="str">
        <f>IF(L40="","",VLOOKUP($B40,'C-1 Site River Baseline'!$C$9:$R$257,16,FALSE))</f>
        <v/>
      </c>
      <c r="N40" s="418"/>
      <c r="O40" s="498" t="str">
        <f t="shared" si="1"/>
        <v/>
      </c>
      <c r="P40" s="499" t="str">
        <f>IF(C40="","",IF(AND(LEFT(C40,55)&lt;&gt;LEFT(N40,55),O40="High - High"),"Error - Not like for like ▲",IF(AND(F40=S40,H40&gt;U40),"Error - Can not reduce condition ▲",IF(AND(F40=S40,H40=U40,AJ40='C-1 Site River Baseline'!N38,'C-1 Site River Baseline'!P38=AL40),"Error - No enhancement ▲",IF(AND(C40&lt;&gt;N40,F40&lt;S40),"Lower Distinctiveness Habitat"&amp;" - "&amp;T40,G40&amp;" - "&amp;T40)))))</f>
        <v/>
      </c>
      <c r="Q40" s="567" t="str">
        <f>IF(N40="","",VLOOKUP(B40,'C-1 Site River Baseline'!$C$10:$AA$257,19,FALSE))</f>
        <v/>
      </c>
      <c r="R40" s="498" t="str">
        <f>IF(N40="","",VLOOKUP(N40,'G-7 Rivers Data'!$B$2:$G$8,2,FALSE))</f>
        <v/>
      </c>
      <c r="S40" s="499" t="str">
        <f>IFERROR(VLOOKUP(R40,'G-7 Rivers Data'!$C$4:$D$8,2,FALSE),"")</f>
        <v/>
      </c>
      <c r="T40" s="145"/>
      <c r="U40" s="499" t="str">
        <f>IFERROR(INDEX('G-7 Rivers Data'!$H$4:$L$8,MATCH(N40,'G-7 Rivers Data'!$B$4:$B$8,0),MATCH(T40,'G-7 Rivers Data'!$H$3:$L$3,0)),"")</f>
        <v/>
      </c>
      <c r="V40" s="154"/>
      <c r="W40" s="507" t="str">
        <f>IF(V40="","",IF(VLOOKUP(V40,'G-7 Rivers Data'!$AG$4:$AI$9,2,FALSE)=0,"Spatial Data Missing ⚠",VLOOKUP(V40,'G-7 Rivers Data'!$AG$4:$AI$9,2,FALSE)))</f>
        <v/>
      </c>
      <c r="X40" s="499" t="str">
        <f>IF(V40="","",IF(VLOOKUP(V40,'G-7 Rivers Data'!$AG$4:$AI$9,3,FALSE)=0,"Spatial Data Missing ⚠",VLOOKUP(V40,'G-7 Rivers Data'!$AG$4:$AI$9,3,FALSE)))</f>
        <v/>
      </c>
      <c r="Y40" s="498" t="str">
        <f>IFERROR(IF(OR(LEFT(P40,5)="Error ▲",LEFT(O40,5)="Error ▲"),"Check Data ⚠",IF(F40&lt;S40,'G-7 Rivers Data'!$R$3,INDEX('G-7 Rivers Data'!$U$5:$Y$9,MATCH(G40,'G-7 Rivers Data'!$T$5:$T$9,0),MATCH(T40,'G-7 Rivers Data'!$U$4:$Y$4,0)))),"")</f>
        <v/>
      </c>
      <c r="Z40" s="195"/>
      <c r="AA40" s="195"/>
      <c r="AB40" s="507" t="str">
        <f t="shared" si="2"/>
        <v/>
      </c>
      <c r="AC40" s="521" t="str">
        <f t="shared" si="3"/>
        <v/>
      </c>
      <c r="AD40" s="564" t="str">
        <f>IFERROR(IF(AC40="Check Data ⚠","Check Data ⚠",VLOOKUP(AC40,'G-4 Temporal multipliers'!$A$4:$C$37,3,FALSE)),"")</f>
        <v/>
      </c>
      <c r="AE40" s="498" t="str">
        <f>IF(N40="","",VLOOKUP(N40,'G-7 Rivers Data'!$B$4:$G$8,5,FALSE))</f>
        <v/>
      </c>
      <c r="AF40" s="507" t="str">
        <f t="shared" si="4"/>
        <v/>
      </c>
      <c r="AG40" s="540" t="str">
        <f t="shared" si="5"/>
        <v/>
      </c>
      <c r="AH40" s="499" t="str">
        <f t="shared" si="0"/>
        <v/>
      </c>
      <c r="AI40" s="145"/>
      <c r="AJ40" s="499" t="str">
        <f>IF(AI40="","",IF(VLOOKUP(AI40,'G-7 Rivers Data'!$AA$4:$AB$7,2,FALSE)=0,"Spatial Data Missing ⚠",VLOOKUP(AI40,'G-7 Rivers Data'!$AA$4:$AB$7,2,FALSE)))</f>
        <v/>
      </c>
      <c r="AK40" s="155"/>
      <c r="AL40" s="499" t="str">
        <f>IF(AK40="","",IF(VLOOKUP(AK40,'G-7 Rivers Data'!$AD$4:$AE$8,2,FALSE)=0,"Spatial Data Missing ⚠",VLOOKUP(AK40,'G-7 Rivers Data'!$AD$4:$AE$8,2,FALSE)))</f>
        <v/>
      </c>
      <c r="AM40" s="545" t="str">
        <f t="shared" si="7"/>
        <v/>
      </c>
      <c r="AN40" s="149"/>
      <c r="AO40" s="150"/>
      <c r="AV40" s="31" t="str">
        <f>IFERROR(INDEX('G-7 Rivers Data'!$AZ$3:$AZ$7,MATCH(N40,'G-7 Rivers Data'!$AY$3:$AY$7,0)),"")</f>
        <v/>
      </c>
    </row>
    <row r="41" spans="2:48" ht="13.8" x14ac:dyDescent="0.25">
      <c r="B41" s="531" t="str">
        <f>'C-1 Site River Baseline'!AN39</f>
        <v/>
      </c>
      <c r="C41" s="520" t="str">
        <f>IF(B41="","",VLOOKUP($B41,'C-1 Site River Baseline'!$C$9:$R$257,2,FALSE))</f>
        <v/>
      </c>
      <c r="D41" s="520" t="str">
        <f>IF(C41="","",VLOOKUP($B41,'C-1 Site River Baseline'!$C$9:$R$257,3,FALSE))</f>
        <v/>
      </c>
      <c r="E41" s="520" t="str">
        <f>IF(D41="","",VLOOKUP($B41,'C-1 Site River Baseline'!$C$9:$R$257,4,FALSE))</f>
        <v/>
      </c>
      <c r="F41" s="520" t="str">
        <f>IF(E41="","",VLOOKUP($B41,'C-1 Site River Baseline'!$C$9:$R$257,5,FALSE))</f>
        <v/>
      </c>
      <c r="G41" s="520" t="str">
        <f>IF(F41="","",VLOOKUP($B41,'C-1 Site River Baseline'!$C$9:$R$257,6,FALSE))</f>
        <v/>
      </c>
      <c r="H41" s="520" t="str">
        <f>IF(G41="","",VLOOKUP($B41,'C-1 Site River Baseline'!$C$9:$R$257,7,FALSE))</f>
        <v/>
      </c>
      <c r="I41" s="520" t="str">
        <f>IF(H41="","",VLOOKUP($B41,'C-1 Site River Baseline'!$C$9:$R$257,8,FALSE))</f>
        <v/>
      </c>
      <c r="J41" s="520" t="str">
        <f>IF(I41="","",VLOOKUP($B41,'C-1 Site River Baseline'!$C$9:$R$257,9,FALSE))</f>
        <v/>
      </c>
      <c r="K41" s="520" t="str">
        <f>IF(J41="","",VLOOKUP($B41,'C-1 Site River Baseline'!$C$9:$R$257,10,FALSE))</f>
        <v/>
      </c>
      <c r="L41" s="520" t="str">
        <f>IF(B41="","",VLOOKUP($B41,'C-1 Site River Baseline'!$C$9:$R$257,15,FALSE))</f>
        <v/>
      </c>
      <c r="M41" s="524" t="str">
        <f>IF(L41="","",VLOOKUP($B41,'C-1 Site River Baseline'!$C$9:$R$257,16,FALSE))</f>
        <v/>
      </c>
      <c r="N41" s="418" t="str">
        <f t="shared" si="6"/>
        <v/>
      </c>
      <c r="O41" s="498" t="str">
        <f t="shared" si="1"/>
        <v/>
      </c>
      <c r="P41" s="499" t="str">
        <f>IF(C41="","",IF(AND(LEFT(C41,55)&lt;&gt;LEFT(N41,55),O41="High - High"),"Error - Not like for like ▲",IF(AND(F41=S41,H41&gt;U41),"Error - Can not reduce condition ▲",IF(AND(F41=S41,H41=U41,AJ41='C-1 Site River Baseline'!N39,'C-1 Site River Baseline'!P39=AL41),"Error - No enhancement ▲",IF(AND(C41&lt;&gt;N41,F41&lt;S41),"Lower Distinctiveness Habitat"&amp;" - "&amp;T41,G41&amp;" - "&amp;T41)))))</f>
        <v/>
      </c>
      <c r="Q41" s="567" t="str">
        <f>IF(N41="","",VLOOKUP(B41,'C-1 Site River Baseline'!$C$10:$AA$257,19,FALSE))</f>
        <v/>
      </c>
      <c r="R41" s="498" t="str">
        <f>IF(N41="","",VLOOKUP(N41,'G-7 Rivers Data'!$B$2:$G$8,2,FALSE))</f>
        <v/>
      </c>
      <c r="S41" s="499" t="str">
        <f>IFERROR(VLOOKUP(R41,'G-7 Rivers Data'!$C$4:$D$8,2,FALSE),"")</f>
        <v/>
      </c>
      <c r="T41" s="145"/>
      <c r="U41" s="499" t="str">
        <f>IFERROR(INDEX('G-7 Rivers Data'!$H$4:$L$8,MATCH(N41,'G-7 Rivers Data'!$B$4:$B$8,0),MATCH(T41,'G-7 Rivers Data'!$H$3:$L$3,0)),"")</f>
        <v/>
      </c>
      <c r="V41" s="154"/>
      <c r="W41" s="507" t="str">
        <f>IF(V41="","",IF(VLOOKUP(V41,'G-7 Rivers Data'!$AG$4:$AI$9,2,FALSE)=0,"Spatial Data Missing ⚠",VLOOKUP(V41,'G-7 Rivers Data'!$AG$4:$AI$9,2,FALSE)))</f>
        <v/>
      </c>
      <c r="X41" s="499" t="str">
        <f>IF(V41="","",IF(VLOOKUP(V41,'G-7 Rivers Data'!$AG$4:$AI$9,3,FALSE)=0,"Spatial Data Missing ⚠",VLOOKUP(V41,'G-7 Rivers Data'!$AG$4:$AI$9,3,FALSE)))</f>
        <v/>
      </c>
      <c r="Y41" s="498" t="str">
        <f>IFERROR(IF(OR(LEFT(P41,5)="Error ▲",LEFT(O41,5)="Error ▲"),"Check Data ⚠",IF(F41&lt;S41,'G-7 Rivers Data'!$R$3,INDEX('G-7 Rivers Data'!$U$5:$Y$9,MATCH(G41,'G-7 Rivers Data'!$T$5:$T$9,0),MATCH(T41,'G-7 Rivers Data'!$U$4:$Y$4,0)))),"")</f>
        <v/>
      </c>
      <c r="Z41" s="195"/>
      <c r="AA41" s="195"/>
      <c r="AB41" s="507" t="str">
        <f t="shared" si="2"/>
        <v/>
      </c>
      <c r="AC41" s="521" t="str">
        <f t="shared" si="3"/>
        <v/>
      </c>
      <c r="AD41" s="564" t="str">
        <f>IFERROR(IF(AC41="Check Data ⚠","Check Data ⚠",VLOOKUP(AC41,'G-4 Temporal multipliers'!$A$4:$C$37,3,FALSE)),"")</f>
        <v/>
      </c>
      <c r="AE41" s="498" t="str">
        <f>IF(N41="","",VLOOKUP(N41,'G-7 Rivers Data'!$B$4:$G$8,5,FALSE))</f>
        <v/>
      </c>
      <c r="AF41" s="507" t="str">
        <f t="shared" si="4"/>
        <v/>
      </c>
      <c r="AG41" s="540" t="str">
        <f t="shared" si="5"/>
        <v/>
      </c>
      <c r="AH41" s="499" t="str">
        <f t="shared" si="0"/>
        <v/>
      </c>
      <c r="AI41" s="145"/>
      <c r="AJ41" s="499" t="str">
        <f>IF(AI41="","",IF(VLOOKUP(AI41,'G-7 Rivers Data'!$AA$4:$AB$7,2,FALSE)=0,"Spatial Data Missing ⚠",VLOOKUP(AI41,'G-7 Rivers Data'!$AA$4:$AB$7,2,FALSE)))</f>
        <v/>
      </c>
      <c r="AK41" s="155"/>
      <c r="AL41" s="499" t="str">
        <f>IF(AK41="","",IF(VLOOKUP(AK41,'G-7 Rivers Data'!$AD$4:$AE$8,2,FALSE)=0,"Spatial Data Missing ⚠",VLOOKUP(AK41,'G-7 Rivers Data'!$AD$4:$AE$8,2,FALSE)))</f>
        <v/>
      </c>
      <c r="AM41" s="545" t="str">
        <f t="shared" si="7"/>
        <v/>
      </c>
      <c r="AN41" s="149"/>
      <c r="AO41" s="150"/>
      <c r="AV41" s="31" t="str">
        <f>IFERROR(INDEX('G-7 Rivers Data'!$AZ$3:$AZ$7,MATCH(N41,'G-7 Rivers Data'!$AY$3:$AY$7,0)),"")</f>
        <v/>
      </c>
    </row>
    <row r="42" spans="2:48" ht="13.8" x14ac:dyDescent="0.25">
      <c r="B42" s="531" t="str">
        <f>'C-1 Site River Baseline'!AN40</f>
        <v/>
      </c>
      <c r="C42" s="520" t="str">
        <f>IF(B42="","",VLOOKUP($B42,'C-1 Site River Baseline'!$C$9:$R$257,2,FALSE))</f>
        <v/>
      </c>
      <c r="D42" s="520" t="str">
        <f>IF(C42="","",VLOOKUP($B42,'C-1 Site River Baseline'!$C$9:$R$257,3,FALSE))</f>
        <v/>
      </c>
      <c r="E42" s="520" t="str">
        <f>IF(D42="","",VLOOKUP($B42,'C-1 Site River Baseline'!$C$9:$R$257,4,FALSE))</f>
        <v/>
      </c>
      <c r="F42" s="520" t="str">
        <f>IF(E42="","",VLOOKUP($B42,'C-1 Site River Baseline'!$C$9:$R$257,5,FALSE))</f>
        <v/>
      </c>
      <c r="G42" s="520" t="str">
        <f>IF(F42="","",VLOOKUP($B42,'C-1 Site River Baseline'!$C$9:$R$257,6,FALSE))</f>
        <v/>
      </c>
      <c r="H42" s="520" t="str">
        <f>IF(G42="","",VLOOKUP($B42,'C-1 Site River Baseline'!$C$9:$R$257,7,FALSE))</f>
        <v/>
      </c>
      <c r="I42" s="520" t="str">
        <f>IF(H42="","",VLOOKUP($B42,'C-1 Site River Baseline'!$C$9:$R$257,8,FALSE))</f>
        <v/>
      </c>
      <c r="J42" s="520" t="str">
        <f>IF(I42="","",VLOOKUP($B42,'C-1 Site River Baseline'!$C$9:$R$257,9,FALSE))</f>
        <v/>
      </c>
      <c r="K42" s="520" t="str">
        <f>IF(J42="","",VLOOKUP($B42,'C-1 Site River Baseline'!$C$9:$R$257,10,FALSE))</f>
        <v/>
      </c>
      <c r="L42" s="520" t="str">
        <f>IF(B42="","",VLOOKUP($B42,'C-1 Site River Baseline'!$C$9:$R$257,15,FALSE))</f>
        <v/>
      </c>
      <c r="M42" s="524" t="str">
        <f>IF(L42="","",VLOOKUP($B42,'C-1 Site River Baseline'!$C$9:$R$257,16,FALSE))</f>
        <v/>
      </c>
      <c r="N42" s="418" t="str">
        <f t="shared" si="6"/>
        <v/>
      </c>
      <c r="O42" s="498" t="str">
        <f t="shared" si="1"/>
        <v/>
      </c>
      <c r="P42" s="499" t="str">
        <f>IF(C42="","",IF(AND(LEFT(C42,55)&lt;&gt;LEFT(N42,55),O42="High - High"),"Error - Not like for like ▲",IF(AND(F42=S42,H42&gt;U42),"Error - Can not reduce condition ▲",IF(AND(F42=S42,H42=U42,AJ42='C-1 Site River Baseline'!N40,'C-1 Site River Baseline'!P40=AL42),"Error - No enhancement ▲",IF(AND(C42&lt;&gt;N42,F42&lt;S42),"Lower Distinctiveness Habitat"&amp;" - "&amp;T42,G42&amp;" - "&amp;T42)))))</f>
        <v/>
      </c>
      <c r="Q42" s="567" t="str">
        <f>IF(N42="","",VLOOKUP(B42,'C-1 Site River Baseline'!$C$10:$AA$257,19,FALSE))</f>
        <v/>
      </c>
      <c r="R42" s="498" t="str">
        <f>IF(N42="","",VLOOKUP(N42,'G-7 Rivers Data'!$B$2:$G$8,2,FALSE))</f>
        <v/>
      </c>
      <c r="S42" s="499" t="str">
        <f>IFERROR(VLOOKUP(R42,'G-7 Rivers Data'!$C$4:$D$8,2,FALSE),"")</f>
        <v/>
      </c>
      <c r="T42" s="145"/>
      <c r="U42" s="499" t="str">
        <f>IFERROR(INDEX('G-7 Rivers Data'!$H$4:$L$8,MATCH(N42,'G-7 Rivers Data'!$B$4:$B$8,0),MATCH(T42,'G-7 Rivers Data'!$H$3:$L$3,0)),"")</f>
        <v/>
      </c>
      <c r="V42" s="154"/>
      <c r="W42" s="507" t="str">
        <f>IF(V42="","",IF(VLOOKUP(V42,'G-7 Rivers Data'!$AG$4:$AI$9,2,FALSE)=0,"Spatial Data Missing ⚠",VLOOKUP(V42,'G-7 Rivers Data'!$AG$4:$AI$9,2,FALSE)))</f>
        <v/>
      </c>
      <c r="X42" s="499" t="str">
        <f>IF(V42="","",IF(VLOOKUP(V42,'G-7 Rivers Data'!$AG$4:$AI$9,3,FALSE)=0,"Spatial Data Missing ⚠",VLOOKUP(V42,'G-7 Rivers Data'!$AG$4:$AI$9,3,FALSE)))</f>
        <v/>
      </c>
      <c r="Y42" s="498" t="str">
        <f>IFERROR(IF(OR(LEFT(P42,5)="Error ▲",LEFT(O42,5)="Error ▲"),"Check Data ⚠",IF(F42&lt;S42,'G-7 Rivers Data'!$R$3,INDEX('G-7 Rivers Data'!$U$5:$Y$9,MATCH(G42,'G-7 Rivers Data'!$T$5:$T$9,0),MATCH(T42,'G-7 Rivers Data'!$U$4:$Y$4,0)))),"")</f>
        <v/>
      </c>
      <c r="Z42" s="195"/>
      <c r="AA42" s="195"/>
      <c r="AB42" s="507" t="str">
        <f t="shared" si="2"/>
        <v/>
      </c>
      <c r="AC42" s="521" t="str">
        <f t="shared" si="3"/>
        <v/>
      </c>
      <c r="AD42" s="564" t="str">
        <f>IFERROR(IF(AC42="Check Data ⚠","Check Data ⚠",VLOOKUP(AC42,'G-4 Temporal multipliers'!$A$4:$C$37,3,FALSE)),"")</f>
        <v/>
      </c>
      <c r="AE42" s="498" t="str">
        <f>IF(N42="","",VLOOKUP(N42,'G-7 Rivers Data'!$B$4:$G$8,5,FALSE))</f>
        <v/>
      </c>
      <c r="AF42" s="507" t="str">
        <f t="shared" si="4"/>
        <v/>
      </c>
      <c r="AG42" s="540" t="str">
        <f t="shared" si="5"/>
        <v/>
      </c>
      <c r="AH42" s="499" t="str">
        <f t="shared" si="0"/>
        <v/>
      </c>
      <c r="AI42" s="145"/>
      <c r="AJ42" s="499" t="str">
        <f>IF(AI42="","",IF(VLOOKUP(AI42,'G-7 Rivers Data'!$AA$4:$AB$7,2,FALSE)=0,"Spatial Data Missing ⚠",VLOOKUP(AI42,'G-7 Rivers Data'!$AA$4:$AB$7,2,FALSE)))</f>
        <v/>
      </c>
      <c r="AK42" s="155"/>
      <c r="AL42" s="499" t="str">
        <f>IF(AK42="","",IF(VLOOKUP(AK42,'G-7 Rivers Data'!$AD$4:$AE$8,2,FALSE)=0,"Spatial Data Missing ⚠",VLOOKUP(AK42,'G-7 Rivers Data'!$AD$4:$AE$8,2,FALSE)))</f>
        <v/>
      </c>
      <c r="AM42" s="545" t="str">
        <f t="shared" si="7"/>
        <v/>
      </c>
      <c r="AN42" s="149"/>
      <c r="AO42" s="150"/>
      <c r="AV42" s="31" t="str">
        <f>IFERROR(INDEX('G-7 Rivers Data'!$AZ$3:$AZ$7,MATCH(N42,'G-7 Rivers Data'!$AY$3:$AY$7,0)),"")</f>
        <v/>
      </c>
    </row>
    <row r="43" spans="2:48" ht="13.8" x14ac:dyDescent="0.25">
      <c r="B43" s="531" t="str">
        <f>'C-1 Site River Baseline'!AN41</f>
        <v/>
      </c>
      <c r="C43" s="520" t="str">
        <f>IF(B43="","",VLOOKUP($B43,'C-1 Site River Baseline'!$C$9:$R$257,2,FALSE))</f>
        <v/>
      </c>
      <c r="D43" s="520" t="str">
        <f>IF(C43="","",VLOOKUP($B43,'C-1 Site River Baseline'!$C$9:$R$257,3,FALSE))</f>
        <v/>
      </c>
      <c r="E43" s="520" t="str">
        <f>IF(D43="","",VLOOKUP($B43,'C-1 Site River Baseline'!$C$9:$R$257,4,FALSE))</f>
        <v/>
      </c>
      <c r="F43" s="520" t="str">
        <f>IF(E43="","",VLOOKUP($B43,'C-1 Site River Baseline'!$C$9:$R$257,5,FALSE))</f>
        <v/>
      </c>
      <c r="G43" s="520" t="str">
        <f>IF(F43="","",VLOOKUP($B43,'C-1 Site River Baseline'!$C$9:$R$257,6,FALSE))</f>
        <v/>
      </c>
      <c r="H43" s="520" t="str">
        <f>IF(G43="","",VLOOKUP($B43,'C-1 Site River Baseline'!$C$9:$R$257,7,FALSE))</f>
        <v/>
      </c>
      <c r="I43" s="520" t="str">
        <f>IF(H43="","",VLOOKUP($B43,'C-1 Site River Baseline'!$C$9:$R$257,8,FALSE))</f>
        <v/>
      </c>
      <c r="J43" s="520" t="str">
        <f>IF(I43="","",VLOOKUP($B43,'C-1 Site River Baseline'!$C$9:$R$257,9,FALSE))</f>
        <v/>
      </c>
      <c r="K43" s="520" t="str">
        <f>IF(J43="","",VLOOKUP($B43,'C-1 Site River Baseline'!$C$9:$R$257,10,FALSE))</f>
        <v/>
      </c>
      <c r="L43" s="520" t="str">
        <f>IF(B43="","",VLOOKUP($B43,'C-1 Site River Baseline'!$C$9:$R$257,15,FALSE))</f>
        <v/>
      </c>
      <c r="M43" s="524" t="str">
        <f>IF(L43="","",VLOOKUP($B43,'C-1 Site River Baseline'!$C$9:$R$257,16,FALSE))</f>
        <v/>
      </c>
      <c r="N43" s="418" t="str">
        <f t="shared" si="6"/>
        <v/>
      </c>
      <c r="O43" s="498" t="str">
        <f t="shared" si="1"/>
        <v/>
      </c>
      <c r="P43" s="499" t="str">
        <f>IF(C43="","",IF(AND(LEFT(C43,55)&lt;&gt;LEFT(N43,55),O43="High - High"),"Error - Not like for like ▲",IF(AND(F43=S43,H43&gt;U43),"Error - Can not reduce condition ▲",IF(AND(F43=S43,H43=U43,AJ43='C-1 Site River Baseline'!N41,'C-1 Site River Baseline'!P41=AL43),"Error - No enhancement ▲",IF(AND(C43&lt;&gt;N43,F43&lt;S43),"Lower Distinctiveness Habitat"&amp;" - "&amp;T43,G43&amp;" - "&amp;T43)))))</f>
        <v/>
      </c>
      <c r="Q43" s="567" t="str">
        <f>IF(N43="","",VLOOKUP(B43,'C-1 Site River Baseline'!$C$10:$AA$257,19,FALSE))</f>
        <v/>
      </c>
      <c r="R43" s="498" t="str">
        <f>IF(N43="","",VLOOKUP(N43,'G-7 Rivers Data'!$B$2:$G$8,2,FALSE))</f>
        <v/>
      </c>
      <c r="S43" s="499" t="str">
        <f>IFERROR(VLOOKUP(R43,'G-7 Rivers Data'!$C$4:$D$8,2,FALSE),"")</f>
        <v/>
      </c>
      <c r="T43" s="145"/>
      <c r="U43" s="499" t="str">
        <f>IFERROR(INDEX('G-7 Rivers Data'!$H$4:$L$8,MATCH(N43,'G-7 Rivers Data'!$B$4:$B$8,0),MATCH(T43,'G-7 Rivers Data'!$H$3:$L$3,0)),"")</f>
        <v/>
      </c>
      <c r="V43" s="154"/>
      <c r="W43" s="507" t="str">
        <f>IF(V43="","",IF(VLOOKUP(V43,'G-7 Rivers Data'!$AG$4:$AI$9,2,FALSE)=0,"Spatial Data Missing ⚠",VLOOKUP(V43,'G-7 Rivers Data'!$AG$4:$AI$9,2,FALSE)))</f>
        <v/>
      </c>
      <c r="X43" s="499" t="str">
        <f>IF(V43="","",IF(VLOOKUP(V43,'G-7 Rivers Data'!$AG$4:$AI$9,3,FALSE)=0,"Spatial Data Missing ⚠",VLOOKUP(V43,'G-7 Rivers Data'!$AG$4:$AI$9,3,FALSE)))</f>
        <v/>
      </c>
      <c r="Y43" s="498" t="str">
        <f>IFERROR(IF(OR(LEFT(P43,5)="Error ▲",LEFT(O43,5)="Error ▲"),"Check Data ⚠",IF(F43&lt;S43,'G-7 Rivers Data'!$R$3,INDEX('G-7 Rivers Data'!$U$5:$Y$9,MATCH(G43,'G-7 Rivers Data'!$T$5:$T$9,0),MATCH(T43,'G-7 Rivers Data'!$U$4:$Y$4,0)))),"")</f>
        <v/>
      </c>
      <c r="Z43" s="195"/>
      <c r="AA43" s="195"/>
      <c r="AB43" s="507" t="str">
        <f t="shared" si="2"/>
        <v/>
      </c>
      <c r="AC43" s="521" t="str">
        <f t="shared" si="3"/>
        <v/>
      </c>
      <c r="AD43" s="564" t="str">
        <f>IFERROR(IF(AC43="Check Data ⚠","Check Data ⚠",VLOOKUP(AC43,'G-4 Temporal multipliers'!$A$4:$C$37,3,FALSE)),"")</f>
        <v/>
      </c>
      <c r="AE43" s="498" t="str">
        <f>IF(N43="","",VLOOKUP(N43,'G-7 Rivers Data'!$B$4:$G$8,5,FALSE))</f>
        <v/>
      </c>
      <c r="AF43" s="507" t="str">
        <f t="shared" si="4"/>
        <v/>
      </c>
      <c r="AG43" s="540" t="str">
        <f t="shared" si="5"/>
        <v/>
      </c>
      <c r="AH43" s="499" t="str">
        <f t="shared" si="0"/>
        <v/>
      </c>
      <c r="AI43" s="145"/>
      <c r="AJ43" s="499" t="str">
        <f>IF(AI43="","",IF(VLOOKUP(AI43,'G-7 Rivers Data'!$AA$4:$AB$7,2,FALSE)=0,"Spatial Data Missing ⚠",VLOOKUP(AI43,'G-7 Rivers Data'!$AA$4:$AB$7,2,FALSE)))</f>
        <v/>
      </c>
      <c r="AK43" s="155"/>
      <c r="AL43" s="499" t="str">
        <f>IF(AK43="","",IF(VLOOKUP(AK43,'G-7 Rivers Data'!$AD$4:$AE$8,2,FALSE)=0,"Spatial Data Missing ⚠",VLOOKUP(AK43,'G-7 Rivers Data'!$AD$4:$AE$8,2,FALSE)))</f>
        <v/>
      </c>
      <c r="AM43" s="545" t="str">
        <f t="shared" si="7"/>
        <v/>
      </c>
      <c r="AN43" s="149"/>
      <c r="AO43" s="150"/>
      <c r="AV43" s="31" t="str">
        <f>IFERROR(INDEX('G-7 Rivers Data'!$AZ$3:$AZ$7,MATCH(N43,'G-7 Rivers Data'!$AY$3:$AY$7,0)),"")</f>
        <v/>
      </c>
    </row>
    <row r="44" spans="2:48" ht="13.8" x14ac:dyDescent="0.25">
      <c r="B44" s="531" t="str">
        <f>'C-1 Site River Baseline'!AN42</f>
        <v/>
      </c>
      <c r="C44" s="520" t="str">
        <f>IF(B44="","",VLOOKUP($B44,'C-1 Site River Baseline'!$C$9:$R$257,2,FALSE))</f>
        <v/>
      </c>
      <c r="D44" s="520" t="str">
        <f>IF(C44="","",VLOOKUP($B44,'C-1 Site River Baseline'!$C$9:$R$257,3,FALSE))</f>
        <v/>
      </c>
      <c r="E44" s="520" t="str">
        <f>IF(D44="","",VLOOKUP($B44,'C-1 Site River Baseline'!$C$9:$R$257,4,FALSE))</f>
        <v/>
      </c>
      <c r="F44" s="520" t="str">
        <f>IF(E44="","",VLOOKUP($B44,'C-1 Site River Baseline'!$C$9:$R$257,5,FALSE))</f>
        <v/>
      </c>
      <c r="G44" s="520" t="str">
        <f>IF(F44="","",VLOOKUP($B44,'C-1 Site River Baseline'!$C$9:$R$257,6,FALSE))</f>
        <v/>
      </c>
      <c r="H44" s="520" t="str">
        <f>IF(G44="","",VLOOKUP($B44,'C-1 Site River Baseline'!$C$9:$R$257,7,FALSE))</f>
        <v/>
      </c>
      <c r="I44" s="520" t="str">
        <f>IF(H44="","",VLOOKUP($B44,'C-1 Site River Baseline'!$C$9:$R$257,8,FALSE))</f>
        <v/>
      </c>
      <c r="J44" s="520" t="str">
        <f>IF(I44="","",VLOOKUP($B44,'C-1 Site River Baseline'!$C$9:$R$257,9,FALSE))</f>
        <v/>
      </c>
      <c r="K44" s="520" t="str">
        <f>IF(J44="","",VLOOKUP($B44,'C-1 Site River Baseline'!$C$9:$R$257,10,FALSE))</f>
        <v/>
      </c>
      <c r="L44" s="520" t="str">
        <f>IF(B44="","",VLOOKUP($B44,'C-1 Site River Baseline'!$C$9:$R$257,15,FALSE))</f>
        <v/>
      </c>
      <c r="M44" s="524" t="str">
        <f>IF(L44="","",VLOOKUP($B44,'C-1 Site River Baseline'!$C$9:$R$257,16,FALSE))</f>
        <v/>
      </c>
      <c r="N44" s="418" t="str">
        <f t="shared" si="6"/>
        <v/>
      </c>
      <c r="O44" s="498" t="str">
        <f t="shared" si="1"/>
        <v/>
      </c>
      <c r="P44" s="499" t="str">
        <f>IF(C44="","",IF(AND(LEFT(C44,55)&lt;&gt;LEFT(N44,55),O44="High - High"),"Error - Not like for like ▲",IF(AND(F44=S44,H44&gt;U44),"Error - Can not reduce condition ▲",IF(AND(F44=S44,H44=U44,AJ44='C-1 Site River Baseline'!N42,'C-1 Site River Baseline'!P42=AL44),"Error - No enhancement ▲",IF(AND(C44&lt;&gt;N44,F44&lt;S44),"Lower Distinctiveness Habitat"&amp;" - "&amp;T44,G44&amp;" - "&amp;T44)))))</f>
        <v/>
      </c>
      <c r="Q44" s="567" t="str">
        <f>IF(N44="","",VLOOKUP(B44,'C-1 Site River Baseline'!$C$10:$AA$257,19,FALSE))</f>
        <v/>
      </c>
      <c r="R44" s="498" t="str">
        <f>IF(N44="","",VLOOKUP(N44,'G-7 Rivers Data'!$B$2:$G$8,2,FALSE))</f>
        <v/>
      </c>
      <c r="S44" s="499" t="str">
        <f>IFERROR(VLOOKUP(R44,'G-7 Rivers Data'!$C$4:$D$8,2,FALSE),"")</f>
        <v/>
      </c>
      <c r="T44" s="145"/>
      <c r="U44" s="499" t="str">
        <f>IFERROR(INDEX('G-7 Rivers Data'!$H$4:$L$8,MATCH(N44,'G-7 Rivers Data'!$B$4:$B$8,0),MATCH(T44,'G-7 Rivers Data'!$H$3:$L$3,0)),"")</f>
        <v/>
      </c>
      <c r="V44" s="154"/>
      <c r="W44" s="507" t="str">
        <f>IF(V44="","",IF(VLOOKUP(V44,'G-7 Rivers Data'!$AG$4:$AI$9,2,FALSE)=0,"Spatial Data Missing ⚠",VLOOKUP(V44,'G-7 Rivers Data'!$AG$4:$AI$9,2,FALSE)))</f>
        <v/>
      </c>
      <c r="X44" s="499" t="str">
        <f>IF(V44="","",IF(VLOOKUP(V44,'G-7 Rivers Data'!$AG$4:$AI$9,3,FALSE)=0,"Spatial Data Missing ⚠",VLOOKUP(V44,'G-7 Rivers Data'!$AG$4:$AI$9,3,FALSE)))</f>
        <v/>
      </c>
      <c r="Y44" s="498" t="str">
        <f>IFERROR(IF(OR(LEFT(P44,5)="Error ▲",LEFT(O44,5)="Error ▲"),"Check Data ⚠",IF(F44&lt;S44,'G-7 Rivers Data'!$R$3,INDEX('G-7 Rivers Data'!$U$5:$Y$9,MATCH(G44,'G-7 Rivers Data'!$T$5:$T$9,0),MATCH(T44,'G-7 Rivers Data'!$U$4:$Y$4,0)))),"")</f>
        <v/>
      </c>
      <c r="Z44" s="195"/>
      <c r="AA44" s="195"/>
      <c r="AB44" s="507" t="str">
        <f t="shared" si="2"/>
        <v/>
      </c>
      <c r="AC44" s="521" t="str">
        <f t="shared" si="3"/>
        <v/>
      </c>
      <c r="AD44" s="564" t="str">
        <f>IFERROR(IF(AC44="Check Data ⚠","Check Data ⚠",VLOOKUP(AC44,'G-4 Temporal multipliers'!$A$4:$C$37,3,FALSE)),"")</f>
        <v/>
      </c>
      <c r="AE44" s="498" t="str">
        <f>IF(N44="","",VLOOKUP(N44,'G-7 Rivers Data'!$B$4:$G$8,5,FALSE))</f>
        <v/>
      </c>
      <c r="AF44" s="507" t="str">
        <f t="shared" si="4"/>
        <v/>
      </c>
      <c r="AG44" s="540" t="str">
        <f t="shared" si="5"/>
        <v/>
      </c>
      <c r="AH44" s="499" t="str">
        <f t="shared" si="0"/>
        <v/>
      </c>
      <c r="AI44" s="145"/>
      <c r="AJ44" s="499" t="str">
        <f>IF(AI44="","",IF(VLOOKUP(AI44,'G-7 Rivers Data'!$AA$4:$AB$7,2,FALSE)=0,"Spatial Data Missing ⚠",VLOOKUP(AI44,'G-7 Rivers Data'!$AA$4:$AB$7,2,FALSE)))</f>
        <v/>
      </c>
      <c r="AK44" s="155"/>
      <c r="AL44" s="499" t="str">
        <f>IF(AK44="","",IF(VLOOKUP(AK44,'G-7 Rivers Data'!$AD$4:$AE$8,2,FALSE)=0,"Spatial Data Missing ⚠",VLOOKUP(AK44,'G-7 Rivers Data'!$AD$4:$AE$8,2,FALSE)))</f>
        <v/>
      </c>
      <c r="AM44" s="545" t="str">
        <f t="shared" si="7"/>
        <v/>
      </c>
      <c r="AN44" s="149"/>
      <c r="AO44" s="150"/>
      <c r="AV44" s="31" t="str">
        <f>IFERROR(INDEX('G-7 Rivers Data'!$AZ$3:$AZ$7,MATCH(N44,'G-7 Rivers Data'!$AY$3:$AY$7,0)),"")</f>
        <v/>
      </c>
    </row>
    <row r="45" spans="2:48" ht="13.8" x14ac:dyDescent="0.25">
      <c r="B45" s="531" t="str">
        <f>'C-1 Site River Baseline'!AN43</f>
        <v/>
      </c>
      <c r="C45" s="520" t="str">
        <f>IF(B45="","",VLOOKUP($B45,'C-1 Site River Baseline'!$C$9:$R$257,2,FALSE))</f>
        <v/>
      </c>
      <c r="D45" s="520" t="str">
        <f>IF(C45="","",VLOOKUP($B45,'C-1 Site River Baseline'!$C$9:$R$257,3,FALSE))</f>
        <v/>
      </c>
      <c r="E45" s="520" t="str">
        <f>IF(D45="","",VLOOKUP($B45,'C-1 Site River Baseline'!$C$9:$R$257,4,FALSE))</f>
        <v/>
      </c>
      <c r="F45" s="520" t="str">
        <f>IF(E45="","",VLOOKUP($B45,'C-1 Site River Baseline'!$C$9:$R$257,5,FALSE))</f>
        <v/>
      </c>
      <c r="G45" s="520" t="str">
        <f>IF(F45="","",VLOOKUP($B45,'C-1 Site River Baseline'!$C$9:$R$257,6,FALSE))</f>
        <v/>
      </c>
      <c r="H45" s="520" t="str">
        <f>IF(G45="","",VLOOKUP($B45,'C-1 Site River Baseline'!$C$9:$R$257,7,FALSE))</f>
        <v/>
      </c>
      <c r="I45" s="520" t="str">
        <f>IF(H45="","",VLOOKUP($B45,'C-1 Site River Baseline'!$C$9:$R$257,8,FALSE))</f>
        <v/>
      </c>
      <c r="J45" s="520" t="str">
        <f>IF(I45="","",VLOOKUP($B45,'C-1 Site River Baseline'!$C$9:$R$257,9,FALSE))</f>
        <v/>
      </c>
      <c r="K45" s="520" t="str">
        <f>IF(J45="","",VLOOKUP($B45,'C-1 Site River Baseline'!$C$9:$R$257,10,FALSE))</f>
        <v/>
      </c>
      <c r="L45" s="520" t="str">
        <f>IF(B45="","",VLOOKUP($B45,'C-1 Site River Baseline'!$C$9:$R$257,15,FALSE))</f>
        <v/>
      </c>
      <c r="M45" s="524" t="str">
        <f>IF(L45="","",VLOOKUP($B45,'C-1 Site River Baseline'!$C$9:$R$257,16,FALSE))</f>
        <v/>
      </c>
      <c r="N45" s="418" t="str">
        <f t="shared" si="6"/>
        <v/>
      </c>
      <c r="O45" s="498" t="str">
        <f t="shared" si="1"/>
        <v/>
      </c>
      <c r="P45" s="499" t="str">
        <f>IF(C45="","",IF(AND(LEFT(C45,55)&lt;&gt;LEFT(N45,55),O45="High - High"),"Error - Not like for like ▲",IF(AND(F45=S45,H45&gt;U45),"Error - Can not reduce condition ▲",IF(AND(F45=S45,H45=U45,AJ45='C-1 Site River Baseline'!N43,'C-1 Site River Baseline'!P43=AL45),"Error - No enhancement ▲",IF(AND(C45&lt;&gt;N45,F45&lt;S45),"Lower Distinctiveness Habitat"&amp;" - "&amp;T45,G45&amp;" - "&amp;T45)))))</f>
        <v/>
      </c>
      <c r="Q45" s="567" t="str">
        <f>IF(N45="","",VLOOKUP(B45,'C-1 Site River Baseline'!$C$10:$AA$257,19,FALSE))</f>
        <v/>
      </c>
      <c r="R45" s="498" t="str">
        <f>IF(N45="","",VLOOKUP(N45,'G-7 Rivers Data'!$B$2:$G$8,2,FALSE))</f>
        <v/>
      </c>
      <c r="S45" s="499" t="str">
        <f>IFERROR(VLOOKUP(R45,'G-7 Rivers Data'!$C$4:$D$8,2,FALSE),"")</f>
        <v/>
      </c>
      <c r="T45" s="145"/>
      <c r="U45" s="499" t="str">
        <f>IFERROR(INDEX('G-7 Rivers Data'!$H$4:$L$8,MATCH(N45,'G-7 Rivers Data'!$B$4:$B$8,0),MATCH(T45,'G-7 Rivers Data'!$H$3:$L$3,0)),"")</f>
        <v/>
      </c>
      <c r="V45" s="154"/>
      <c r="W45" s="507" t="str">
        <f>IF(V45="","",IF(VLOOKUP(V45,'G-7 Rivers Data'!$AG$4:$AI$9,2,FALSE)=0,"Spatial Data Missing ⚠",VLOOKUP(V45,'G-7 Rivers Data'!$AG$4:$AI$9,2,FALSE)))</f>
        <v/>
      </c>
      <c r="X45" s="499" t="str">
        <f>IF(V45="","",IF(VLOOKUP(V45,'G-7 Rivers Data'!$AG$4:$AI$9,3,FALSE)=0,"Spatial Data Missing ⚠",VLOOKUP(V45,'G-7 Rivers Data'!$AG$4:$AI$9,3,FALSE)))</f>
        <v/>
      </c>
      <c r="Y45" s="498" t="str">
        <f>IFERROR(IF(OR(LEFT(P45,5)="Error ▲",LEFT(O45,5)="Error ▲"),"Check Data ⚠",IF(F45&lt;S45,'G-7 Rivers Data'!$R$3,INDEX('G-7 Rivers Data'!$U$5:$Y$9,MATCH(G45,'G-7 Rivers Data'!$T$5:$T$9,0),MATCH(T45,'G-7 Rivers Data'!$U$4:$Y$4,0)))),"")</f>
        <v/>
      </c>
      <c r="Z45" s="195"/>
      <c r="AA45" s="195"/>
      <c r="AB45" s="507" t="str">
        <f t="shared" si="2"/>
        <v/>
      </c>
      <c r="AC45" s="521" t="str">
        <f t="shared" si="3"/>
        <v/>
      </c>
      <c r="AD45" s="564" t="str">
        <f>IFERROR(IF(AC45="Check Data ⚠","Check Data ⚠",VLOOKUP(AC45,'G-4 Temporal multipliers'!$A$4:$C$37,3,FALSE)),"")</f>
        <v/>
      </c>
      <c r="AE45" s="498" t="str">
        <f>IF(N45="","",VLOOKUP(N45,'G-7 Rivers Data'!$B$4:$G$8,5,FALSE))</f>
        <v/>
      </c>
      <c r="AF45" s="507" t="str">
        <f t="shared" si="4"/>
        <v/>
      </c>
      <c r="AG45" s="540" t="str">
        <f t="shared" si="5"/>
        <v/>
      </c>
      <c r="AH45" s="499" t="str">
        <f t="shared" si="0"/>
        <v/>
      </c>
      <c r="AI45" s="145"/>
      <c r="AJ45" s="499" t="str">
        <f>IF(AI45="","",IF(VLOOKUP(AI45,'G-7 Rivers Data'!$AA$4:$AB$7,2,FALSE)=0,"Spatial Data Missing ⚠",VLOOKUP(AI45,'G-7 Rivers Data'!$AA$4:$AB$7,2,FALSE)))</f>
        <v/>
      </c>
      <c r="AK45" s="155"/>
      <c r="AL45" s="499" t="str">
        <f>IF(AK45="","",IF(VLOOKUP(AK45,'G-7 Rivers Data'!$AD$4:$AE$8,2,FALSE)=0,"Spatial Data Missing ⚠",VLOOKUP(AK45,'G-7 Rivers Data'!$AD$4:$AE$8,2,FALSE)))</f>
        <v/>
      </c>
      <c r="AM45" s="545" t="str">
        <f t="shared" si="7"/>
        <v/>
      </c>
      <c r="AN45" s="149"/>
      <c r="AO45" s="150"/>
      <c r="AV45" s="31" t="str">
        <f>IFERROR(INDEX('G-7 Rivers Data'!$AZ$3:$AZ$7,MATCH(N45,'G-7 Rivers Data'!$AY$3:$AY$7,0)),"")</f>
        <v/>
      </c>
    </row>
    <row r="46" spans="2:48" ht="13.8" x14ac:dyDescent="0.25">
      <c r="B46" s="531" t="str">
        <f>'C-1 Site River Baseline'!AN44</f>
        <v/>
      </c>
      <c r="C46" s="520" t="str">
        <f>IF(B46="","",VLOOKUP($B46,'C-1 Site River Baseline'!$C$9:$R$257,2,FALSE))</f>
        <v/>
      </c>
      <c r="D46" s="520" t="str">
        <f>IF(C46="","",VLOOKUP($B46,'C-1 Site River Baseline'!$C$9:$R$257,3,FALSE))</f>
        <v/>
      </c>
      <c r="E46" s="520" t="str">
        <f>IF(D46="","",VLOOKUP($B46,'C-1 Site River Baseline'!$C$9:$R$257,4,FALSE))</f>
        <v/>
      </c>
      <c r="F46" s="520" t="str">
        <f>IF(E46="","",VLOOKUP($B46,'C-1 Site River Baseline'!$C$9:$R$257,5,FALSE))</f>
        <v/>
      </c>
      <c r="G46" s="520" t="str">
        <f>IF(F46="","",VLOOKUP($B46,'C-1 Site River Baseline'!$C$9:$R$257,6,FALSE))</f>
        <v/>
      </c>
      <c r="H46" s="520" t="str">
        <f>IF(G46="","",VLOOKUP($B46,'C-1 Site River Baseline'!$C$9:$R$257,7,FALSE))</f>
        <v/>
      </c>
      <c r="I46" s="520" t="str">
        <f>IF(H46="","",VLOOKUP($B46,'C-1 Site River Baseline'!$C$9:$R$257,8,FALSE))</f>
        <v/>
      </c>
      <c r="J46" s="520" t="str">
        <f>IF(I46="","",VLOOKUP($B46,'C-1 Site River Baseline'!$C$9:$R$257,9,FALSE))</f>
        <v/>
      </c>
      <c r="K46" s="520" t="str">
        <f>IF(J46="","",VLOOKUP($B46,'C-1 Site River Baseline'!$C$9:$R$257,10,FALSE))</f>
        <v/>
      </c>
      <c r="L46" s="520" t="str">
        <f>IF(B46="","",VLOOKUP($B46,'C-1 Site River Baseline'!$C$9:$R$257,15,FALSE))</f>
        <v/>
      </c>
      <c r="M46" s="524" t="str">
        <f>IF(L46="","",VLOOKUP($B46,'C-1 Site River Baseline'!$C$9:$R$257,16,FALSE))</f>
        <v/>
      </c>
      <c r="N46" s="418" t="str">
        <f t="shared" si="6"/>
        <v/>
      </c>
      <c r="O46" s="498" t="str">
        <f t="shared" si="1"/>
        <v/>
      </c>
      <c r="P46" s="499" t="str">
        <f>IF(C46="","",IF(AND(LEFT(C46,55)&lt;&gt;LEFT(N46,55),O46="High - High"),"Error - Not like for like ▲",IF(AND(F46=S46,H46&gt;U46),"Error - Can not reduce condition ▲",IF(AND(F46=S46,H46=U46,AJ46='C-1 Site River Baseline'!N44,'C-1 Site River Baseline'!P44=AL46),"Error - No enhancement ▲",IF(AND(C46&lt;&gt;N46,F46&lt;S46),"Lower Distinctiveness Habitat"&amp;" - "&amp;T46,G46&amp;" - "&amp;T46)))))</f>
        <v/>
      </c>
      <c r="Q46" s="567" t="str">
        <f>IF(N46="","",VLOOKUP(B46,'C-1 Site River Baseline'!$C$10:$AA$257,19,FALSE))</f>
        <v/>
      </c>
      <c r="R46" s="498" t="str">
        <f>IF(N46="","",VLOOKUP(N46,'G-7 Rivers Data'!$B$2:$G$8,2,FALSE))</f>
        <v/>
      </c>
      <c r="S46" s="499" t="str">
        <f>IFERROR(VLOOKUP(R46,'G-7 Rivers Data'!$C$4:$D$8,2,FALSE),"")</f>
        <v/>
      </c>
      <c r="T46" s="145"/>
      <c r="U46" s="499" t="str">
        <f>IFERROR(INDEX('G-7 Rivers Data'!$H$4:$L$8,MATCH(N46,'G-7 Rivers Data'!$B$4:$B$8,0),MATCH(T46,'G-7 Rivers Data'!$H$3:$L$3,0)),"")</f>
        <v/>
      </c>
      <c r="V46" s="154"/>
      <c r="W46" s="507" t="str">
        <f>IF(V46="","",IF(VLOOKUP(V46,'G-7 Rivers Data'!$AG$4:$AI$9,2,FALSE)=0,"Spatial Data Missing ⚠",VLOOKUP(V46,'G-7 Rivers Data'!$AG$4:$AI$9,2,FALSE)))</f>
        <v/>
      </c>
      <c r="X46" s="499" t="str">
        <f>IF(V46="","",IF(VLOOKUP(V46,'G-7 Rivers Data'!$AG$4:$AI$9,3,FALSE)=0,"Spatial Data Missing ⚠",VLOOKUP(V46,'G-7 Rivers Data'!$AG$4:$AI$9,3,FALSE)))</f>
        <v/>
      </c>
      <c r="Y46" s="498" t="str">
        <f>IFERROR(IF(OR(LEFT(P46,5)="Error ▲",LEFT(O46,5)="Error ▲"),"Check Data ⚠",IF(F46&lt;S46,'G-7 Rivers Data'!$R$3,INDEX('G-7 Rivers Data'!$U$5:$Y$9,MATCH(G46,'G-7 Rivers Data'!$T$5:$T$9,0),MATCH(T46,'G-7 Rivers Data'!$U$4:$Y$4,0)))),"")</f>
        <v/>
      </c>
      <c r="Z46" s="195"/>
      <c r="AA46" s="195"/>
      <c r="AB46" s="507" t="str">
        <f t="shared" si="2"/>
        <v/>
      </c>
      <c r="AC46" s="521" t="str">
        <f t="shared" si="3"/>
        <v/>
      </c>
      <c r="AD46" s="564" t="str">
        <f>IFERROR(IF(AC46="Check Data ⚠","Check Data ⚠",VLOOKUP(AC46,'G-4 Temporal multipliers'!$A$4:$C$37,3,FALSE)),"")</f>
        <v/>
      </c>
      <c r="AE46" s="498" t="str">
        <f>IF(N46="","",VLOOKUP(N46,'G-7 Rivers Data'!$B$4:$G$8,5,FALSE))</f>
        <v/>
      </c>
      <c r="AF46" s="507" t="str">
        <f t="shared" si="4"/>
        <v/>
      </c>
      <c r="AG46" s="540" t="str">
        <f t="shared" si="5"/>
        <v/>
      </c>
      <c r="AH46" s="499" t="str">
        <f t="shared" si="0"/>
        <v/>
      </c>
      <c r="AI46" s="145"/>
      <c r="AJ46" s="499" t="str">
        <f>IF(AI46="","",IF(VLOOKUP(AI46,'G-7 Rivers Data'!$AA$4:$AB$7,2,FALSE)=0,"Spatial Data Missing ⚠",VLOOKUP(AI46,'G-7 Rivers Data'!$AA$4:$AB$7,2,FALSE)))</f>
        <v/>
      </c>
      <c r="AK46" s="155"/>
      <c r="AL46" s="499" t="str">
        <f>IF(AK46="","",IF(VLOOKUP(AK46,'G-7 Rivers Data'!$AD$4:$AE$8,2,FALSE)=0,"Spatial Data Missing ⚠",VLOOKUP(AK46,'G-7 Rivers Data'!$AD$4:$AE$8,2,FALSE)))</f>
        <v/>
      </c>
      <c r="AM46" s="545" t="str">
        <f t="shared" si="7"/>
        <v/>
      </c>
      <c r="AN46" s="149"/>
      <c r="AO46" s="150"/>
      <c r="AV46" s="31" t="str">
        <f>IFERROR(INDEX('G-7 Rivers Data'!$AZ$3:$AZ$7,MATCH(N46,'G-7 Rivers Data'!$AY$3:$AY$7,0)),"")</f>
        <v/>
      </c>
    </row>
    <row r="47" spans="2:48" ht="13.8" x14ac:dyDescent="0.25">
      <c r="B47" s="531" t="str">
        <f>'C-1 Site River Baseline'!AN45</f>
        <v/>
      </c>
      <c r="C47" s="520" t="str">
        <f>IF(B47="","",VLOOKUP($B47,'C-1 Site River Baseline'!$C$9:$R$257,2,FALSE))</f>
        <v/>
      </c>
      <c r="D47" s="520" t="str">
        <f>IF(C47="","",VLOOKUP($B47,'C-1 Site River Baseline'!$C$9:$R$257,3,FALSE))</f>
        <v/>
      </c>
      <c r="E47" s="520" t="str">
        <f>IF(D47="","",VLOOKUP($B47,'C-1 Site River Baseline'!$C$9:$R$257,4,FALSE))</f>
        <v/>
      </c>
      <c r="F47" s="520" t="str">
        <f>IF(E47="","",VLOOKUP($B47,'C-1 Site River Baseline'!$C$9:$R$257,5,FALSE))</f>
        <v/>
      </c>
      <c r="G47" s="520" t="str">
        <f>IF(F47="","",VLOOKUP($B47,'C-1 Site River Baseline'!$C$9:$R$257,6,FALSE))</f>
        <v/>
      </c>
      <c r="H47" s="520" t="str">
        <f>IF(G47="","",VLOOKUP($B47,'C-1 Site River Baseline'!$C$9:$R$257,7,FALSE))</f>
        <v/>
      </c>
      <c r="I47" s="520" t="str">
        <f>IF(H47="","",VLOOKUP($B47,'C-1 Site River Baseline'!$C$9:$R$257,8,FALSE))</f>
        <v/>
      </c>
      <c r="J47" s="520" t="str">
        <f>IF(I47="","",VLOOKUP($B47,'C-1 Site River Baseline'!$C$9:$R$257,9,FALSE))</f>
        <v/>
      </c>
      <c r="K47" s="520" t="str">
        <f>IF(J47="","",VLOOKUP($B47,'C-1 Site River Baseline'!$C$9:$R$257,10,FALSE))</f>
        <v/>
      </c>
      <c r="L47" s="520" t="str">
        <f>IF(B47="","",VLOOKUP($B47,'C-1 Site River Baseline'!$C$9:$R$257,15,FALSE))</f>
        <v/>
      </c>
      <c r="M47" s="524" t="str">
        <f>IF(L47="","",VLOOKUP($B47,'C-1 Site River Baseline'!$C$9:$R$257,16,FALSE))</f>
        <v/>
      </c>
      <c r="N47" s="418" t="str">
        <f t="shared" si="6"/>
        <v/>
      </c>
      <c r="O47" s="498" t="str">
        <f t="shared" si="1"/>
        <v/>
      </c>
      <c r="P47" s="499" t="str">
        <f>IF(C47="","",IF(AND(LEFT(C47,55)&lt;&gt;LEFT(N47,55),O47="High - High"),"Error - Not like for like ▲",IF(AND(F47=S47,H47&gt;U47),"Error - Can not reduce condition ▲",IF(AND(F47=S47,H47=U47,AJ47='C-1 Site River Baseline'!N45,'C-1 Site River Baseline'!P45=AL47),"Error - No enhancement ▲",IF(AND(C47&lt;&gt;N47,F47&lt;S47),"Lower Distinctiveness Habitat"&amp;" - "&amp;T47,G47&amp;" - "&amp;T47)))))</f>
        <v/>
      </c>
      <c r="Q47" s="567" t="str">
        <f>IF(N47="","",VLOOKUP(B47,'C-1 Site River Baseline'!$C$10:$AA$257,19,FALSE))</f>
        <v/>
      </c>
      <c r="R47" s="498" t="str">
        <f>IF(N47="","",VLOOKUP(N47,'G-7 Rivers Data'!$B$2:$G$8,2,FALSE))</f>
        <v/>
      </c>
      <c r="S47" s="499" t="str">
        <f>IFERROR(VLOOKUP(R47,'G-7 Rivers Data'!$C$4:$D$8,2,FALSE),"")</f>
        <v/>
      </c>
      <c r="T47" s="145"/>
      <c r="U47" s="499" t="str">
        <f>IFERROR(INDEX('G-7 Rivers Data'!$H$4:$L$8,MATCH(N47,'G-7 Rivers Data'!$B$4:$B$8,0),MATCH(T47,'G-7 Rivers Data'!$H$3:$L$3,0)),"")</f>
        <v/>
      </c>
      <c r="V47" s="154"/>
      <c r="W47" s="507" t="str">
        <f>IF(V47="","",IF(VLOOKUP(V47,'G-7 Rivers Data'!$AG$4:$AI$9,2,FALSE)=0,"Spatial Data Missing ⚠",VLOOKUP(V47,'G-7 Rivers Data'!$AG$4:$AI$9,2,FALSE)))</f>
        <v/>
      </c>
      <c r="X47" s="499" t="str">
        <f>IF(V47="","",IF(VLOOKUP(V47,'G-7 Rivers Data'!$AG$4:$AI$9,3,FALSE)=0,"Spatial Data Missing ⚠",VLOOKUP(V47,'G-7 Rivers Data'!$AG$4:$AI$9,3,FALSE)))</f>
        <v/>
      </c>
      <c r="Y47" s="498" t="str">
        <f>IFERROR(IF(OR(LEFT(P47,5)="Error ▲",LEFT(O47,5)="Error ▲"),"Check Data ⚠",IF(F47&lt;S47,'G-7 Rivers Data'!$R$3,INDEX('G-7 Rivers Data'!$U$5:$Y$9,MATCH(G47,'G-7 Rivers Data'!$T$5:$T$9,0),MATCH(T47,'G-7 Rivers Data'!$U$4:$Y$4,0)))),"")</f>
        <v/>
      </c>
      <c r="Z47" s="195"/>
      <c r="AA47" s="195"/>
      <c r="AB47" s="507" t="str">
        <f t="shared" si="2"/>
        <v/>
      </c>
      <c r="AC47" s="521" t="str">
        <f t="shared" si="3"/>
        <v/>
      </c>
      <c r="AD47" s="564" t="str">
        <f>IFERROR(IF(AC47="Check Data ⚠","Check Data ⚠",VLOOKUP(AC47,'G-4 Temporal multipliers'!$A$4:$C$37,3,FALSE)),"")</f>
        <v/>
      </c>
      <c r="AE47" s="498" t="str">
        <f>IF(N47="","",VLOOKUP(N47,'G-7 Rivers Data'!$B$4:$G$8,5,FALSE))</f>
        <v/>
      </c>
      <c r="AF47" s="507" t="str">
        <f t="shared" si="4"/>
        <v/>
      </c>
      <c r="AG47" s="540" t="str">
        <f t="shared" si="5"/>
        <v/>
      </c>
      <c r="AH47" s="499" t="str">
        <f t="shared" si="0"/>
        <v/>
      </c>
      <c r="AI47" s="145"/>
      <c r="AJ47" s="499" t="str">
        <f>IF(AI47="","",IF(VLOOKUP(AI47,'G-7 Rivers Data'!$AA$4:$AB$7,2,FALSE)=0,"Spatial Data Missing ⚠",VLOOKUP(AI47,'G-7 Rivers Data'!$AA$4:$AB$7,2,FALSE)))</f>
        <v/>
      </c>
      <c r="AK47" s="155"/>
      <c r="AL47" s="499" t="str">
        <f>IF(AK47="","",IF(VLOOKUP(AK47,'G-7 Rivers Data'!$AD$4:$AE$8,2,FALSE)=0,"Spatial Data Missing ⚠",VLOOKUP(AK47,'G-7 Rivers Data'!$AD$4:$AE$8,2,FALSE)))</f>
        <v/>
      </c>
      <c r="AM47" s="545" t="str">
        <f t="shared" si="7"/>
        <v/>
      </c>
      <c r="AN47" s="149"/>
      <c r="AO47" s="150"/>
      <c r="AV47" s="31" t="str">
        <f>IFERROR(INDEX('G-7 Rivers Data'!$AZ$3:$AZ$7,MATCH(N47,'G-7 Rivers Data'!$AY$3:$AY$7,0)),"")</f>
        <v/>
      </c>
    </row>
    <row r="48" spans="2:48" ht="13.8" x14ac:dyDescent="0.25">
      <c r="B48" s="531" t="str">
        <f>'C-1 Site River Baseline'!AN46</f>
        <v/>
      </c>
      <c r="C48" s="520" t="str">
        <f>IF(B48="","",VLOOKUP($B48,'C-1 Site River Baseline'!$C$9:$R$257,2,FALSE))</f>
        <v/>
      </c>
      <c r="D48" s="520" t="str">
        <f>IF(C48="","",VLOOKUP($B48,'C-1 Site River Baseline'!$C$9:$R$257,3,FALSE))</f>
        <v/>
      </c>
      <c r="E48" s="520" t="str">
        <f>IF(D48="","",VLOOKUP($B48,'C-1 Site River Baseline'!$C$9:$R$257,4,FALSE))</f>
        <v/>
      </c>
      <c r="F48" s="520" t="str">
        <f>IF(E48="","",VLOOKUP($B48,'C-1 Site River Baseline'!$C$9:$R$257,5,FALSE))</f>
        <v/>
      </c>
      <c r="G48" s="520" t="str">
        <f>IF(F48="","",VLOOKUP($B48,'C-1 Site River Baseline'!$C$9:$R$257,6,FALSE))</f>
        <v/>
      </c>
      <c r="H48" s="520" t="str">
        <f>IF(G48="","",VLOOKUP($B48,'C-1 Site River Baseline'!$C$9:$R$257,7,FALSE))</f>
        <v/>
      </c>
      <c r="I48" s="520" t="str">
        <f>IF(H48="","",VLOOKUP($B48,'C-1 Site River Baseline'!$C$9:$R$257,8,FALSE))</f>
        <v/>
      </c>
      <c r="J48" s="520" t="str">
        <f>IF(I48="","",VLOOKUP($B48,'C-1 Site River Baseline'!$C$9:$R$257,9,FALSE))</f>
        <v/>
      </c>
      <c r="K48" s="520" t="str">
        <f>IF(J48="","",VLOOKUP($B48,'C-1 Site River Baseline'!$C$9:$R$257,10,FALSE))</f>
        <v/>
      </c>
      <c r="L48" s="520" t="str">
        <f>IF(B48="","",VLOOKUP($B48,'C-1 Site River Baseline'!$C$9:$R$257,15,FALSE))</f>
        <v/>
      </c>
      <c r="M48" s="524" t="str">
        <f>IF(L48="","",VLOOKUP($B48,'C-1 Site River Baseline'!$C$9:$R$257,16,FALSE))</f>
        <v/>
      </c>
      <c r="N48" s="418" t="str">
        <f t="shared" si="6"/>
        <v/>
      </c>
      <c r="O48" s="498" t="str">
        <f t="shared" si="1"/>
        <v/>
      </c>
      <c r="P48" s="499" t="str">
        <f>IF(C48="","",IF(AND(LEFT(C48,55)&lt;&gt;LEFT(N48,55),O48="High - High"),"Error - Not like for like ▲",IF(AND(F48=S48,H48&gt;U48),"Error - Can not reduce condition ▲",IF(AND(F48=S48,H48=U48,AJ48='C-1 Site River Baseline'!N46,'C-1 Site River Baseline'!P46=AL48),"Error - No enhancement ▲",IF(AND(C48&lt;&gt;N48,F48&lt;S48),"Lower Distinctiveness Habitat"&amp;" - "&amp;T48,G48&amp;" - "&amp;T48)))))</f>
        <v/>
      </c>
      <c r="Q48" s="567" t="str">
        <f>IF(N48="","",VLOOKUP(B48,'C-1 Site River Baseline'!$C$10:$AA$257,19,FALSE))</f>
        <v/>
      </c>
      <c r="R48" s="498" t="str">
        <f>IF(N48="","",VLOOKUP(N48,'G-7 Rivers Data'!$B$2:$G$8,2,FALSE))</f>
        <v/>
      </c>
      <c r="S48" s="499" t="str">
        <f>IFERROR(VLOOKUP(R48,'G-7 Rivers Data'!$C$4:$D$8,2,FALSE),"")</f>
        <v/>
      </c>
      <c r="T48" s="145"/>
      <c r="U48" s="499" t="str">
        <f>IFERROR(INDEX('G-7 Rivers Data'!$H$4:$L$8,MATCH(N48,'G-7 Rivers Data'!$B$4:$B$8,0),MATCH(T48,'G-7 Rivers Data'!$H$3:$L$3,0)),"")</f>
        <v/>
      </c>
      <c r="V48" s="154"/>
      <c r="W48" s="507" t="str">
        <f>IF(V48="","",IF(VLOOKUP(V48,'G-7 Rivers Data'!$AG$4:$AI$9,2,FALSE)=0,"Spatial Data Missing ⚠",VLOOKUP(V48,'G-7 Rivers Data'!$AG$4:$AI$9,2,FALSE)))</f>
        <v/>
      </c>
      <c r="X48" s="499" t="str">
        <f>IF(V48="","",IF(VLOOKUP(V48,'G-7 Rivers Data'!$AG$4:$AI$9,3,FALSE)=0,"Spatial Data Missing ⚠",VLOOKUP(V48,'G-7 Rivers Data'!$AG$4:$AI$9,3,FALSE)))</f>
        <v/>
      </c>
      <c r="Y48" s="498" t="str">
        <f>IFERROR(IF(OR(LEFT(P48,5)="Error ▲",LEFT(O48,5)="Error ▲"),"Check Data ⚠",IF(F48&lt;S48,'G-7 Rivers Data'!$R$3,INDEX('G-7 Rivers Data'!$U$5:$Y$9,MATCH(G48,'G-7 Rivers Data'!$T$5:$T$9,0),MATCH(T48,'G-7 Rivers Data'!$U$4:$Y$4,0)))),"")</f>
        <v/>
      </c>
      <c r="Z48" s="195"/>
      <c r="AA48" s="195"/>
      <c r="AB48" s="507" t="str">
        <f t="shared" si="2"/>
        <v/>
      </c>
      <c r="AC48" s="521" t="str">
        <f t="shared" si="3"/>
        <v/>
      </c>
      <c r="AD48" s="564" t="str">
        <f>IFERROR(IF(AC48="Check Data ⚠","Check Data ⚠",VLOOKUP(AC48,'G-4 Temporal multipliers'!$A$4:$C$37,3,FALSE)),"")</f>
        <v/>
      </c>
      <c r="AE48" s="498" t="str">
        <f>IF(N48="","",VLOOKUP(N48,'G-7 Rivers Data'!$B$4:$G$8,5,FALSE))</f>
        <v/>
      </c>
      <c r="AF48" s="507" t="str">
        <f t="shared" si="4"/>
        <v/>
      </c>
      <c r="AG48" s="540" t="str">
        <f t="shared" si="5"/>
        <v/>
      </c>
      <c r="AH48" s="499" t="str">
        <f t="shared" si="0"/>
        <v/>
      </c>
      <c r="AI48" s="145"/>
      <c r="AJ48" s="499" t="str">
        <f>IF(AI48="","",IF(VLOOKUP(AI48,'G-7 Rivers Data'!$AA$4:$AB$7,2,FALSE)=0,"Spatial Data Missing ⚠",VLOOKUP(AI48,'G-7 Rivers Data'!$AA$4:$AB$7,2,FALSE)))</f>
        <v/>
      </c>
      <c r="AK48" s="155"/>
      <c r="AL48" s="499" t="str">
        <f>IF(AK48="","",IF(VLOOKUP(AK48,'G-7 Rivers Data'!$AD$4:$AE$8,2,FALSE)=0,"Spatial Data Missing ⚠",VLOOKUP(AK48,'G-7 Rivers Data'!$AD$4:$AE$8,2,FALSE)))</f>
        <v/>
      </c>
      <c r="AM48" s="545" t="str">
        <f t="shared" si="7"/>
        <v/>
      </c>
      <c r="AN48" s="149"/>
      <c r="AO48" s="150"/>
      <c r="AV48" s="31" t="str">
        <f>IFERROR(INDEX('G-7 Rivers Data'!$AZ$3:$AZ$7,MATCH(N48,'G-7 Rivers Data'!$AY$3:$AY$7,0)),"")</f>
        <v/>
      </c>
    </row>
    <row r="49" spans="2:48" ht="13.8" x14ac:dyDescent="0.25">
      <c r="B49" s="531" t="str">
        <f>'C-1 Site River Baseline'!AN47</f>
        <v/>
      </c>
      <c r="C49" s="520" t="str">
        <f>IF(B49="","",VLOOKUP($B49,'C-1 Site River Baseline'!$C$9:$R$257,2,FALSE))</f>
        <v/>
      </c>
      <c r="D49" s="520" t="str">
        <f>IF(C49="","",VLOOKUP($B49,'C-1 Site River Baseline'!$C$9:$R$257,3,FALSE))</f>
        <v/>
      </c>
      <c r="E49" s="520" t="str">
        <f>IF(D49="","",VLOOKUP($B49,'C-1 Site River Baseline'!$C$9:$R$257,4,FALSE))</f>
        <v/>
      </c>
      <c r="F49" s="520" t="str">
        <f>IF(E49="","",VLOOKUP($B49,'C-1 Site River Baseline'!$C$9:$R$257,5,FALSE))</f>
        <v/>
      </c>
      <c r="G49" s="520" t="str">
        <f>IF(F49="","",VLOOKUP($B49,'C-1 Site River Baseline'!$C$9:$R$257,6,FALSE))</f>
        <v/>
      </c>
      <c r="H49" s="520" t="str">
        <f>IF(G49="","",VLOOKUP($B49,'C-1 Site River Baseline'!$C$9:$R$257,7,FALSE))</f>
        <v/>
      </c>
      <c r="I49" s="520" t="str">
        <f>IF(H49="","",VLOOKUP($B49,'C-1 Site River Baseline'!$C$9:$R$257,8,FALSE))</f>
        <v/>
      </c>
      <c r="J49" s="520" t="str">
        <f>IF(I49="","",VLOOKUP($B49,'C-1 Site River Baseline'!$C$9:$R$257,9,FALSE))</f>
        <v/>
      </c>
      <c r="K49" s="520" t="str">
        <f>IF(J49="","",VLOOKUP($B49,'C-1 Site River Baseline'!$C$9:$R$257,10,FALSE))</f>
        <v/>
      </c>
      <c r="L49" s="520" t="str">
        <f>IF(B49="","",VLOOKUP($B49,'C-1 Site River Baseline'!$C$9:$R$257,15,FALSE))</f>
        <v/>
      </c>
      <c r="M49" s="524" t="str">
        <f>IF(L49="","",VLOOKUP($B49,'C-1 Site River Baseline'!$C$9:$R$257,16,FALSE))</f>
        <v/>
      </c>
      <c r="N49" s="418" t="str">
        <f t="shared" si="6"/>
        <v/>
      </c>
      <c r="O49" s="498" t="str">
        <f t="shared" si="1"/>
        <v/>
      </c>
      <c r="P49" s="499" t="str">
        <f>IF(C49="","",IF(AND(LEFT(C49,55)&lt;&gt;LEFT(N49,55),O49="High - High"),"Error - Not like for like ▲",IF(AND(F49=S49,H49&gt;U49),"Error - Can not reduce condition ▲",IF(AND(F49=S49,H49=U49,AJ49='C-1 Site River Baseline'!N47,'C-1 Site River Baseline'!P47=AL49),"Error - No enhancement ▲",IF(AND(C49&lt;&gt;N49,F49&lt;S49),"Lower Distinctiveness Habitat"&amp;" - "&amp;T49,G49&amp;" - "&amp;T49)))))</f>
        <v/>
      </c>
      <c r="Q49" s="567" t="str">
        <f>IF(N49="","",VLOOKUP(B49,'C-1 Site River Baseline'!$C$10:$AA$257,19,FALSE))</f>
        <v/>
      </c>
      <c r="R49" s="498" t="str">
        <f>IF(N49="","",VLOOKUP(N49,'G-7 Rivers Data'!$B$2:$G$8,2,FALSE))</f>
        <v/>
      </c>
      <c r="S49" s="499" t="str">
        <f>IFERROR(VLOOKUP(R49,'G-7 Rivers Data'!$C$4:$D$8,2,FALSE),"")</f>
        <v/>
      </c>
      <c r="T49" s="145"/>
      <c r="U49" s="499" t="str">
        <f>IFERROR(INDEX('G-7 Rivers Data'!$H$4:$L$8,MATCH(N49,'G-7 Rivers Data'!$B$4:$B$8,0),MATCH(T49,'G-7 Rivers Data'!$H$3:$L$3,0)),"")</f>
        <v/>
      </c>
      <c r="V49" s="154"/>
      <c r="W49" s="507" t="str">
        <f>IF(V49="","",IF(VLOOKUP(V49,'G-7 Rivers Data'!$AG$4:$AI$9,2,FALSE)=0,"Spatial Data Missing ⚠",VLOOKUP(V49,'G-7 Rivers Data'!$AG$4:$AI$9,2,FALSE)))</f>
        <v/>
      </c>
      <c r="X49" s="499" t="str">
        <f>IF(V49="","",IF(VLOOKUP(V49,'G-7 Rivers Data'!$AG$4:$AI$9,3,FALSE)=0,"Spatial Data Missing ⚠",VLOOKUP(V49,'G-7 Rivers Data'!$AG$4:$AI$9,3,FALSE)))</f>
        <v/>
      </c>
      <c r="Y49" s="498" t="str">
        <f>IFERROR(IF(OR(LEFT(P49,5)="Error ▲",LEFT(O49,5)="Error ▲"),"Check Data ⚠",IF(F49&lt;S49,'G-7 Rivers Data'!$R$3,INDEX('G-7 Rivers Data'!$U$5:$Y$9,MATCH(G49,'G-7 Rivers Data'!$T$5:$T$9,0),MATCH(T49,'G-7 Rivers Data'!$U$4:$Y$4,0)))),"")</f>
        <v/>
      </c>
      <c r="Z49" s="195"/>
      <c r="AA49" s="195"/>
      <c r="AB49" s="507" t="str">
        <f t="shared" si="2"/>
        <v/>
      </c>
      <c r="AC49" s="521" t="str">
        <f t="shared" si="3"/>
        <v/>
      </c>
      <c r="AD49" s="564" t="str">
        <f>IFERROR(IF(AC49="Check Data ⚠","Check Data ⚠",VLOOKUP(AC49,'G-4 Temporal multipliers'!$A$4:$C$37,3,FALSE)),"")</f>
        <v/>
      </c>
      <c r="AE49" s="498" t="str">
        <f>IF(N49="","",VLOOKUP(N49,'G-7 Rivers Data'!$B$4:$G$8,5,FALSE))</f>
        <v/>
      </c>
      <c r="AF49" s="507" t="str">
        <f t="shared" si="4"/>
        <v/>
      </c>
      <c r="AG49" s="540" t="str">
        <f t="shared" si="5"/>
        <v/>
      </c>
      <c r="AH49" s="499" t="str">
        <f t="shared" si="0"/>
        <v/>
      </c>
      <c r="AI49" s="145"/>
      <c r="AJ49" s="499" t="str">
        <f>IF(AI49="","",IF(VLOOKUP(AI49,'G-7 Rivers Data'!$AA$4:$AB$7,2,FALSE)=0,"Spatial Data Missing ⚠",VLOOKUP(AI49,'G-7 Rivers Data'!$AA$4:$AB$7,2,FALSE)))</f>
        <v/>
      </c>
      <c r="AK49" s="155"/>
      <c r="AL49" s="499" t="str">
        <f>IF(AK49="","",IF(VLOOKUP(AK49,'G-7 Rivers Data'!$AD$4:$AE$8,2,FALSE)=0,"Spatial Data Missing ⚠",VLOOKUP(AK49,'G-7 Rivers Data'!$AD$4:$AE$8,2,FALSE)))</f>
        <v/>
      </c>
      <c r="AM49" s="545" t="str">
        <f t="shared" si="7"/>
        <v/>
      </c>
      <c r="AN49" s="149"/>
      <c r="AO49" s="150"/>
      <c r="AV49" s="31" t="str">
        <f>IFERROR(INDEX('G-7 Rivers Data'!$AZ$3:$AZ$7,MATCH(N49,'G-7 Rivers Data'!$AY$3:$AY$7,0)),"")</f>
        <v/>
      </c>
    </row>
    <row r="50" spans="2:48" ht="13.8" x14ac:dyDescent="0.25">
      <c r="B50" s="531" t="str">
        <f>'C-1 Site River Baseline'!AN48</f>
        <v/>
      </c>
      <c r="C50" s="520" t="str">
        <f>IF(B50="","",VLOOKUP($B50,'C-1 Site River Baseline'!$C$9:$R$257,2,FALSE))</f>
        <v/>
      </c>
      <c r="D50" s="520" t="str">
        <f>IF(C50="","",VLOOKUP($B50,'C-1 Site River Baseline'!$C$9:$R$257,3,FALSE))</f>
        <v/>
      </c>
      <c r="E50" s="520" t="str">
        <f>IF(D50="","",VLOOKUP($B50,'C-1 Site River Baseline'!$C$9:$R$257,4,FALSE))</f>
        <v/>
      </c>
      <c r="F50" s="520" t="str">
        <f>IF(E50="","",VLOOKUP($B50,'C-1 Site River Baseline'!$C$9:$R$257,5,FALSE))</f>
        <v/>
      </c>
      <c r="G50" s="520" t="str">
        <f>IF(F50="","",VLOOKUP($B50,'C-1 Site River Baseline'!$C$9:$R$257,6,FALSE))</f>
        <v/>
      </c>
      <c r="H50" s="520" t="str">
        <f>IF(G50="","",VLOOKUP($B50,'C-1 Site River Baseline'!$C$9:$R$257,7,FALSE))</f>
        <v/>
      </c>
      <c r="I50" s="520" t="str">
        <f>IF(H50="","",VLOOKUP($B50,'C-1 Site River Baseline'!$C$9:$R$257,8,FALSE))</f>
        <v/>
      </c>
      <c r="J50" s="520" t="str">
        <f>IF(I50="","",VLOOKUP($B50,'C-1 Site River Baseline'!$C$9:$R$257,9,FALSE))</f>
        <v/>
      </c>
      <c r="K50" s="520" t="str">
        <f>IF(J50="","",VLOOKUP($B50,'C-1 Site River Baseline'!$C$9:$R$257,10,FALSE))</f>
        <v/>
      </c>
      <c r="L50" s="520" t="str">
        <f>IF(B50="","",VLOOKUP($B50,'C-1 Site River Baseline'!$C$9:$R$257,15,FALSE))</f>
        <v/>
      </c>
      <c r="M50" s="524" t="str">
        <f>IF(L50="","",VLOOKUP($B50,'C-1 Site River Baseline'!$C$9:$R$257,16,FALSE))</f>
        <v/>
      </c>
      <c r="N50" s="418" t="str">
        <f t="shared" si="6"/>
        <v/>
      </c>
      <c r="O50" s="498" t="str">
        <f t="shared" si="1"/>
        <v/>
      </c>
      <c r="P50" s="499" t="str">
        <f>IF(C50="","",IF(AND(LEFT(C50,55)&lt;&gt;LEFT(N50,55),O50="High - High"),"Error - Not like for like ▲",IF(AND(F50=S50,H50&gt;U50),"Error - Can not reduce condition ▲",IF(AND(F50=S50,H50=U50,AJ50='C-1 Site River Baseline'!N48,'C-1 Site River Baseline'!P48=AL50),"Error - No enhancement ▲",IF(AND(C50&lt;&gt;N50,F50&lt;S50),"Lower Distinctiveness Habitat"&amp;" - "&amp;T50,G50&amp;" - "&amp;T50)))))</f>
        <v/>
      </c>
      <c r="Q50" s="567" t="str">
        <f>IF(N50="","",VLOOKUP(B50,'C-1 Site River Baseline'!$C$10:$AA$257,19,FALSE))</f>
        <v/>
      </c>
      <c r="R50" s="498" t="str">
        <f>IF(N50="","",VLOOKUP(N50,'G-7 Rivers Data'!$B$2:$G$8,2,FALSE))</f>
        <v/>
      </c>
      <c r="S50" s="499" t="str">
        <f>IFERROR(VLOOKUP(R50,'G-7 Rivers Data'!$C$4:$D$8,2,FALSE),"")</f>
        <v/>
      </c>
      <c r="T50" s="145"/>
      <c r="U50" s="499" t="str">
        <f>IFERROR(INDEX('G-7 Rivers Data'!$H$4:$L$8,MATCH(N50,'G-7 Rivers Data'!$B$4:$B$8,0),MATCH(T50,'G-7 Rivers Data'!$H$3:$L$3,0)),"")</f>
        <v/>
      </c>
      <c r="V50" s="154"/>
      <c r="W50" s="507" t="str">
        <f>IF(V50="","",IF(VLOOKUP(V50,'G-7 Rivers Data'!$AG$4:$AI$9,2,FALSE)=0,"Spatial Data Missing ⚠",VLOOKUP(V50,'G-7 Rivers Data'!$AG$4:$AI$9,2,FALSE)))</f>
        <v/>
      </c>
      <c r="X50" s="499" t="str">
        <f>IF(V50="","",IF(VLOOKUP(V50,'G-7 Rivers Data'!$AG$4:$AI$9,3,FALSE)=0,"Spatial Data Missing ⚠",VLOOKUP(V50,'G-7 Rivers Data'!$AG$4:$AI$9,3,FALSE)))</f>
        <v/>
      </c>
      <c r="Y50" s="498" t="str">
        <f>IFERROR(IF(OR(LEFT(P50,5)="Error ▲",LEFT(O50,5)="Error ▲"),"Check Data ⚠",IF(F50&lt;S50,'G-7 Rivers Data'!$R$3,INDEX('G-7 Rivers Data'!$U$5:$Y$9,MATCH(G50,'G-7 Rivers Data'!$T$5:$T$9,0),MATCH(T50,'G-7 Rivers Data'!$U$4:$Y$4,0)))),"")</f>
        <v/>
      </c>
      <c r="Z50" s="195"/>
      <c r="AA50" s="195"/>
      <c r="AB50" s="507" t="str">
        <f t="shared" si="2"/>
        <v/>
      </c>
      <c r="AC50" s="521" t="str">
        <f t="shared" si="3"/>
        <v/>
      </c>
      <c r="AD50" s="564" t="str">
        <f>IFERROR(IF(AC50="Check Data ⚠","Check Data ⚠",VLOOKUP(AC50,'G-4 Temporal multipliers'!$A$4:$C$37,3,FALSE)),"")</f>
        <v/>
      </c>
      <c r="AE50" s="498" t="str">
        <f>IF(N50="","",VLOOKUP(N50,'G-7 Rivers Data'!$B$4:$G$8,5,FALSE))</f>
        <v/>
      </c>
      <c r="AF50" s="507" t="str">
        <f t="shared" si="4"/>
        <v/>
      </c>
      <c r="AG50" s="540" t="str">
        <f t="shared" si="5"/>
        <v/>
      </c>
      <c r="AH50" s="499" t="str">
        <f t="shared" si="0"/>
        <v/>
      </c>
      <c r="AI50" s="145"/>
      <c r="AJ50" s="499" t="str">
        <f>IF(AI50="","",IF(VLOOKUP(AI50,'G-7 Rivers Data'!$AA$4:$AB$7,2,FALSE)=0,"Spatial Data Missing ⚠",VLOOKUP(AI50,'G-7 Rivers Data'!$AA$4:$AB$7,2,FALSE)))</f>
        <v/>
      </c>
      <c r="AK50" s="155"/>
      <c r="AL50" s="499" t="str">
        <f>IF(AK50="","",IF(VLOOKUP(AK50,'G-7 Rivers Data'!$AD$4:$AE$8,2,FALSE)=0,"Spatial Data Missing ⚠",VLOOKUP(AK50,'G-7 Rivers Data'!$AD$4:$AE$8,2,FALSE)))</f>
        <v/>
      </c>
      <c r="AM50" s="545" t="str">
        <f t="shared" si="7"/>
        <v/>
      </c>
      <c r="AN50" s="149"/>
      <c r="AO50" s="150"/>
      <c r="AV50" s="31" t="str">
        <f>IFERROR(INDEX('G-7 Rivers Data'!$AZ$3:$AZ$7,MATCH(N50,'G-7 Rivers Data'!$AY$3:$AY$7,0)),"")</f>
        <v/>
      </c>
    </row>
    <row r="51" spans="2:48" ht="13.8" x14ac:dyDescent="0.25">
      <c r="B51" s="531" t="str">
        <f>'C-1 Site River Baseline'!AN49</f>
        <v/>
      </c>
      <c r="C51" s="520" t="str">
        <f>IF(B51="","",VLOOKUP($B51,'C-1 Site River Baseline'!$C$9:$R$257,2,FALSE))</f>
        <v/>
      </c>
      <c r="D51" s="520" t="str">
        <f>IF(C51="","",VLOOKUP($B51,'C-1 Site River Baseline'!$C$9:$R$257,3,FALSE))</f>
        <v/>
      </c>
      <c r="E51" s="520" t="str">
        <f>IF(D51="","",VLOOKUP($B51,'C-1 Site River Baseline'!$C$9:$R$257,4,FALSE))</f>
        <v/>
      </c>
      <c r="F51" s="520" t="str">
        <f>IF(E51="","",VLOOKUP($B51,'C-1 Site River Baseline'!$C$9:$R$257,5,FALSE))</f>
        <v/>
      </c>
      <c r="G51" s="520" t="str">
        <f>IF(F51="","",VLOOKUP($B51,'C-1 Site River Baseline'!$C$9:$R$257,6,FALSE))</f>
        <v/>
      </c>
      <c r="H51" s="520" t="str">
        <f>IF(G51="","",VLOOKUP($B51,'C-1 Site River Baseline'!$C$9:$R$257,7,FALSE))</f>
        <v/>
      </c>
      <c r="I51" s="520" t="str">
        <f>IF(H51="","",VLOOKUP($B51,'C-1 Site River Baseline'!$C$9:$R$257,8,FALSE))</f>
        <v/>
      </c>
      <c r="J51" s="520" t="str">
        <f>IF(I51="","",VLOOKUP($B51,'C-1 Site River Baseline'!$C$9:$R$257,9,FALSE))</f>
        <v/>
      </c>
      <c r="K51" s="520" t="str">
        <f>IF(J51="","",VLOOKUP($B51,'C-1 Site River Baseline'!$C$9:$R$257,10,FALSE))</f>
        <v/>
      </c>
      <c r="L51" s="520" t="str">
        <f>IF(B51="","",VLOOKUP($B51,'C-1 Site River Baseline'!$C$9:$R$257,15,FALSE))</f>
        <v/>
      </c>
      <c r="M51" s="524" t="str">
        <f>IF(L51="","",VLOOKUP($B51,'C-1 Site River Baseline'!$C$9:$R$257,16,FALSE))</f>
        <v/>
      </c>
      <c r="N51" s="418"/>
      <c r="O51" s="498" t="str">
        <f t="shared" si="1"/>
        <v/>
      </c>
      <c r="P51" s="499" t="str">
        <f>IF(C51="","",IF(AND(LEFT(C51,55)&lt;&gt;LEFT(N51,55),O51="High - High"),"Error - Not like for like ▲",IF(AND(F51=S51,H51&gt;U51),"Error - Can not reduce condition ▲",IF(AND(F51=S51,H51=U51,AJ51='C-1 Site River Baseline'!N49,'C-1 Site River Baseline'!P49=AL51),"Error - No enhancement ▲",IF(AND(C51&lt;&gt;N51,F51&lt;S51),"Lower Distinctiveness Habitat"&amp;" - "&amp;T51,G51&amp;" - "&amp;T51)))))</f>
        <v/>
      </c>
      <c r="Q51" s="567" t="str">
        <f>IF(N51="","",VLOOKUP(B51,'C-1 Site River Baseline'!$C$10:$AA$257,19,FALSE))</f>
        <v/>
      </c>
      <c r="R51" s="498" t="str">
        <f>IF(N51="","",VLOOKUP(N51,'G-7 Rivers Data'!$B$2:$G$8,2,FALSE))</f>
        <v/>
      </c>
      <c r="S51" s="499" t="str">
        <f>IFERROR(VLOOKUP(R51,'G-7 Rivers Data'!$C$4:$D$8,2,FALSE),"")</f>
        <v/>
      </c>
      <c r="T51" s="145"/>
      <c r="U51" s="499" t="str">
        <f>IFERROR(INDEX('G-7 Rivers Data'!$H$4:$L$8,MATCH(N51,'G-7 Rivers Data'!$B$4:$B$8,0),MATCH(T51,'G-7 Rivers Data'!$H$3:$L$3,0)),"")</f>
        <v/>
      </c>
      <c r="V51" s="154"/>
      <c r="W51" s="507" t="str">
        <f>IF(V51="","",IF(VLOOKUP(V51,'G-7 Rivers Data'!$AG$4:$AI$9,2,FALSE)=0,"Spatial Data Missing ⚠",VLOOKUP(V51,'G-7 Rivers Data'!$AG$4:$AI$9,2,FALSE)))</f>
        <v/>
      </c>
      <c r="X51" s="499" t="str">
        <f>IF(V51="","",IF(VLOOKUP(V51,'G-7 Rivers Data'!$AG$4:$AI$9,3,FALSE)=0,"Spatial Data Missing ⚠",VLOOKUP(V51,'G-7 Rivers Data'!$AG$4:$AI$9,3,FALSE)))</f>
        <v/>
      </c>
      <c r="Y51" s="498" t="str">
        <f>IFERROR(IF(OR(LEFT(P51,5)="Error ▲",LEFT(O51,5)="Error ▲"),"Check Data ⚠",IF(F51&lt;S51,'G-7 Rivers Data'!$R$3,INDEX('G-7 Rivers Data'!$U$5:$Y$9,MATCH(G51,'G-7 Rivers Data'!$T$5:$T$9,0),MATCH(T51,'G-7 Rivers Data'!$U$4:$Y$4,0)))),"")</f>
        <v/>
      </c>
      <c r="Z51" s="195"/>
      <c r="AA51" s="195"/>
      <c r="AB51" s="507" t="str">
        <f t="shared" si="2"/>
        <v/>
      </c>
      <c r="AC51" s="521" t="str">
        <f t="shared" si="3"/>
        <v/>
      </c>
      <c r="AD51" s="564" t="str">
        <f>IFERROR(IF(AC51="Check Data ⚠","Check Data ⚠",VLOOKUP(AC51,'G-4 Temporal multipliers'!$A$4:$C$37,3,FALSE)),"")</f>
        <v/>
      </c>
      <c r="AE51" s="498" t="str">
        <f>IF(N51="","",VLOOKUP(N51,'G-7 Rivers Data'!$B$4:$G$8,5,FALSE))</f>
        <v/>
      </c>
      <c r="AF51" s="507" t="str">
        <f t="shared" si="4"/>
        <v/>
      </c>
      <c r="AG51" s="540" t="str">
        <f t="shared" si="5"/>
        <v/>
      </c>
      <c r="AH51" s="499" t="str">
        <f t="shared" si="0"/>
        <v/>
      </c>
      <c r="AI51" s="145"/>
      <c r="AJ51" s="499" t="str">
        <f>IF(AI51="","",IF(VLOOKUP(AI51,'G-7 Rivers Data'!$AA$4:$AB$7,2,FALSE)=0,"Spatial Data Missing ⚠",VLOOKUP(AI51,'G-7 Rivers Data'!$AA$4:$AB$7,2,FALSE)))</f>
        <v/>
      </c>
      <c r="AK51" s="155"/>
      <c r="AL51" s="499" t="str">
        <f>IF(AK51="","",IF(VLOOKUP(AK51,'G-7 Rivers Data'!$AD$4:$AE$8,2,FALSE)=0,"Spatial Data Missing ⚠",VLOOKUP(AK51,'G-7 Rivers Data'!$AD$4:$AE$8,2,FALSE)))</f>
        <v/>
      </c>
      <c r="AM51" s="545" t="str">
        <f t="shared" si="7"/>
        <v/>
      </c>
      <c r="AN51" s="149"/>
      <c r="AO51" s="150"/>
      <c r="AV51" s="31" t="str">
        <f>IFERROR(INDEX('G-7 Rivers Data'!$AZ$3:$AZ$7,MATCH(N51,'G-7 Rivers Data'!$AY$3:$AY$7,0)),"")</f>
        <v/>
      </c>
    </row>
    <row r="52" spans="2:48" ht="13.8" x14ac:dyDescent="0.25">
      <c r="B52" s="531" t="str">
        <f>'C-1 Site River Baseline'!AN50</f>
        <v/>
      </c>
      <c r="C52" s="520" t="str">
        <f>IF(B52="","",VLOOKUP($B52,'C-1 Site River Baseline'!$C$9:$R$257,2,FALSE))</f>
        <v/>
      </c>
      <c r="D52" s="520" t="str">
        <f>IF(C52="","",VLOOKUP($B52,'C-1 Site River Baseline'!$C$9:$R$257,3,FALSE))</f>
        <v/>
      </c>
      <c r="E52" s="520" t="str">
        <f>IF(D52="","",VLOOKUP($B52,'C-1 Site River Baseline'!$C$9:$R$257,4,FALSE))</f>
        <v/>
      </c>
      <c r="F52" s="520" t="str">
        <f>IF(E52="","",VLOOKUP($B52,'C-1 Site River Baseline'!$C$9:$R$257,5,FALSE))</f>
        <v/>
      </c>
      <c r="G52" s="520" t="str">
        <f>IF(F52="","",VLOOKUP($B52,'C-1 Site River Baseline'!$C$9:$R$257,6,FALSE))</f>
        <v/>
      </c>
      <c r="H52" s="520" t="str">
        <f>IF(G52="","",VLOOKUP($B52,'C-1 Site River Baseline'!$C$9:$R$257,7,FALSE))</f>
        <v/>
      </c>
      <c r="I52" s="520" t="str">
        <f>IF(H52="","",VLOOKUP($B52,'C-1 Site River Baseline'!$C$9:$R$257,8,FALSE))</f>
        <v/>
      </c>
      <c r="J52" s="520" t="str">
        <f>IF(I52="","",VLOOKUP($B52,'C-1 Site River Baseline'!$C$9:$R$257,9,FALSE))</f>
        <v/>
      </c>
      <c r="K52" s="520" t="str">
        <f>IF(J52="","",VLOOKUP($B52,'C-1 Site River Baseline'!$C$9:$R$257,10,FALSE))</f>
        <v/>
      </c>
      <c r="L52" s="520" t="str">
        <f>IF(B52="","",VLOOKUP($B52,'C-1 Site River Baseline'!$C$9:$R$257,15,FALSE))</f>
        <v/>
      </c>
      <c r="M52" s="524" t="str">
        <f>IF(L52="","",VLOOKUP($B52,'C-1 Site River Baseline'!$C$9:$R$257,16,FALSE))</f>
        <v/>
      </c>
      <c r="N52" s="418" t="str">
        <f t="shared" si="6"/>
        <v/>
      </c>
      <c r="O52" s="498" t="str">
        <f t="shared" si="1"/>
        <v/>
      </c>
      <c r="P52" s="499" t="str">
        <f>IF(C52="","",IF(AND(LEFT(C52,55)&lt;&gt;LEFT(N52,55),O52="High - High"),"Error - Not like for like ▲",IF(AND(F52=S52,H52&gt;U52),"Error - Can not reduce condition ▲",IF(AND(F52=S52,H52=U52,AJ52='C-1 Site River Baseline'!N50,'C-1 Site River Baseline'!P50=AL52),"Error - No enhancement ▲",IF(AND(C52&lt;&gt;N52,F52&lt;S52),"Lower Distinctiveness Habitat"&amp;" - "&amp;T52,G52&amp;" - "&amp;T52)))))</f>
        <v/>
      </c>
      <c r="Q52" s="567" t="str">
        <f>IF(N52="","",VLOOKUP(B52,'C-1 Site River Baseline'!$C$10:$AA$257,19,FALSE))</f>
        <v/>
      </c>
      <c r="R52" s="498" t="str">
        <f>IF(N52="","",VLOOKUP(N52,'G-7 Rivers Data'!$B$2:$G$8,2,FALSE))</f>
        <v/>
      </c>
      <c r="S52" s="499" t="str">
        <f>IFERROR(VLOOKUP(R52,'G-7 Rivers Data'!$C$4:$D$8,2,FALSE),"")</f>
        <v/>
      </c>
      <c r="T52" s="145"/>
      <c r="U52" s="499" t="str">
        <f>IFERROR(INDEX('G-7 Rivers Data'!$H$4:$L$8,MATCH(N52,'G-7 Rivers Data'!$B$4:$B$8,0),MATCH(T52,'G-7 Rivers Data'!$H$3:$L$3,0)),"")</f>
        <v/>
      </c>
      <c r="V52" s="154"/>
      <c r="W52" s="507" t="str">
        <f>IF(V52="","",IF(VLOOKUP(V52,'G-7 Rivers Data'!$AG$4:$AI$9,2,FALSE)=0,"Spatial Data Missing ⚠",VLOOKUP(V52,'G-7 Rivers Data'!$AG$4:$AI$9,2,FALSE)))</f>
        <v/>
      </c>
      <c r="X52" s="499" t="str">
        <f>IF(V52="","",IF(VLOOKUP(V52,'G-7 Rivers Data'!$AG$4:$AI$9,3,FALSE)=0,"Spatial Data Missing ⚠",VLOOKUP(V52,'G-7 Rivers Data'!$AG$4:$AI$9,3,FALSE)))</f>
        <v/>
      </c>
      <c r="Y52" s="498" t="str">
        <f>IFERROR(IF(OR(LEFT(P52,5)="Error ▲",LEFT(O52,5)="Error ▲"),"Check Data ⚠",IF(F52&lt;S52,'G-7 Rivers Data'!$R$3,INDEX('G-7 Rivers Data'!$U$5:$Y$9,MATCH(G52,'G-7 Rivers Data'!$T$5:$T$9,0),MATCH(T52,'G-7 Rivers Data'!$U$4:$Y$4,0)))),"")</f>
        <v/>
      </c>
      <c r="Z52" s="195"/>
      <c r="AA52" s="195"/>
      <c r="AB52" s="507" t="str">
        <f t="shared" si="2"/>
        <v/>
      </c>
      <c r="AC52" s="521" t="str">
        <f t="shared" si="3"/>
        <v/>
      </c>
      <c r="AD52" s="564" t="str">
        <f>IFERROR(IF(AC52="Check Data ⚠","Check Data ⚠",VLOOKUP(AC52,'G-4 Temporal multipliers'!$A$4:$C$37,3,FALSE)),"")</f>
        <v/>
      </c>
      <c r="AE52" s="498" t="str">
        <f>IF(N52="","",VLOOKUP(N52,'G-7 Rivers Data'!$B$4:$G$8,5,FALSE))</f>
        <v/>
      </c>
      <c r="AF52" s="507" t="str">
        <f t="shared" si="4"/>
        <v/>
      </c>
      <c r="AG52" s="540" t="str">
        <f t="shared" si="5"/>
        <v/>
      </c>
      <c r="AH52" s="499" t="str">
        <f t="shared" si="0"/>
        <v/>
      </c>
      <c r="AI52" s="145"/>
      <c r="AJ52" s="499" t="str">
        <f>IF(AI52="","",IF(VLOOKUP(AI52,'G-7 Rivers Data'!$AA$4:$AB$7,2,FALSE)=0,"Spatial Data Missing ⚠",VLOOKUP(AI52,'G-7 Rivers Data'!$AA$4:$AB$7,2,FALSE)))</f>
        <v/>
      </c>
      <c r="AK52" s="155"/>
      <c r="AL52" s="499" t="str">
        <f>IF(AK52="","",IF(VLOOKUP(AK52,'G-7 Rivers Data'!$AD$4:$AE$8,2,FALSE)=0,"Spatial Data Missing ⚠",VLOOKUP(AK52,'G-7 Rivers Data'!$AD$4:$AE$8,2,FALSE)))</f>
        <v/>
      </c>
      <c r="AM52" s="545" t="str">
        <f t="shared" si="7"/>
        <v/>
      </c>
      <c r="AN52" s="149"/>
      <c r="AO52" s="150"/>
      <c r="AV52" s="31" t="str">
        <f>IFERROR(INDEX('G-7 Rivers Data'!$AZ$3:$AZ$7,MATCH(N52,'G-7 Rivers Data'!$AY$3:$AY$7,0)),"")</f>
        <v/>
      </c>
    </row>
    <row r="53" spans="2:48" ht="13.8" x14ac:dyDescent="0.25">
      <c r="B53" s="531" t="str">
        <f>'C-1 Site River Baseline'!AN51</f>
        <v/>
      </c>
      <c r="C53" s="520" t="str">
        <f>IF(B53="","",VLOOKUP($B53,'C-1 Site River Baseline'!$C$9:$R$257,2,FALSE))</f>
        <v/>
      </c>
      <c r="D53" s="520" t="str">
        <f>IF(C53="","",VLOOKUP($B53,'C-1 Site River Baseline'!$C$9:$R$257,3,FALSE))</f>
        <v/>
      </c>
      <c r="E53" s="520" t="str">
        <f>IF(D53="","",VLOOKUP($B53,'C-1 Site River Baseline'!$C$9:$R$257,4,FALSE))</f>
        <v/>
      </c>
      <c r="F53" s="520" t="str">
        <f>IF(E53="","",VLOOKUP($B53,'C-1 Site River Baseline'!$C$9:$R$257,5,FALSE))</f>
        <v/>
      </c>
      <c r="G53" s="520" t="str">
        <f>IF(F53="","",VLOOKUP($B53,'C-1 Site River Baseline'!$C$9:$R$257,6,FALSE))</f>
        <v/>
      </c>
      <c r="H53" s="520" t="str">
        <f>IF(G53="","",VLOOKUP($B53,'C-1 Site River Baseline'!$C$9:$R$257,7,FALSE))</f>
        <v/>
      </c>
      <c r="I53" s="520" t="str">
        <f>IF(H53="","",VLOOKUP($B53,'C-1 Site River Baseline'!$C$9:$R$257,8,FALSE))</f>
        <v/>
      </c>
      <c r="J53" s="520" t="str">
        <f>IF(I53="","",VLOOKUP($B53,'C-1 Site River Baseline'!$C$9:$R$257,9,FALSE))</f>
        <v/>
      </c>
      <c r="K53" s="520" t="str">
        <f>IF(J53="","",VLOOKUP($B53,'C-1 Site River Baseline'!$C$9:$R$257,10,FALSE))</f>
        <v/>
      </c>
      <c r="L53" s="520" t="str">
        <f>IF(B53="","",VLOOKUP($B53,'C-1 Site River Baseline'!$C$9:$R$257,15,FALSE))</f>
        <v/>
      </c>
      <c r="M53" s="524" t="str">
        <f>IF(L53="","",VLOOKUP($B53,'C-1 Site River Baseline'!$C$9:$R$257,16,FALSE))</f>
        <v/>
      </c>
      <c r="N53" s="418" t="str">
        <f t="shared" si="6"/>
        <v/>
      </c>
      <c r="O53" s="498" t="str">
        <f t="shared" si="1"/>
        <v/>
      </c>
      <c r="P53" s="499" t="str">
        <f>IF(C53="","",IF(AND(LEFT(C53,55)&lt;&gt;LEFT(N53,55),O53="High - High"),"Error - Not like for like ▲",IF(AND(F53=S53,H53&gt;U53),"Error - Can not reduce condition ▲",IF(AND(F53=S53,H53=U53,AJ53='C-1 Site River Baseline'!N51,'C-1 Site River Baseline'!P51=AL53),"Error - No enhancement ▲",IF(AND(C53&lt;&gt;N53,F53&lt;S53),"Lower Distinctiveness Habitat"&amp;" - "&amp;T53,G53&amp;" - "&amp;T53)))))</f>
        <v/>
      </c>
      <c r="Q53" s="567" t="str">
        <f>IF(N53="","",VLOOKUP(B53,'C-1 Site River Baseline'!$C$10:$AA$257,19,FALSE))</f>
        <v/>
      </c>
      <c r="R53" s="498" t="str">
        <f>IF(N53="","",VLOOKUP(N53,'G-7 Rivers Data'!$B$2:$G$8,2,FALSE))</f>
        <v/>
      </c>
      <c r="S53" s="499" t="str">
        <f>IFERROR(VLOOKUP(R53,'G-7 Rivers Data'!$C$4:$D$8,2,FALSE),"")</f>
        <v/>
      </c>
      <c r="T53" s="145"/>
      <c r="U53" s="499" t="str">
        <f>IFERROR(INDEX('G-7 Rivers Data'!$H$4:$L$8,MATCH(N53,'G-7 Rivers Data'!$B$4:$B$8,0),MATCH(T53,'G-7 Rivers Data'!$H$3:$L$3,0)),"")</f>
        <v/>
      </c>
      <c r="V53" s="154"/>
      <c r="W53" s="507" t="str">
        <f>IF(V53="","",IF(VLOOKUP(V53,'G-7 Rivers Data'!$AG$4:$AI$9,2,FALSE)=0,"Spatial Data Missing ⚠",VLOOKUP(V53,'G-7 Rivers Data'!$AG$4:$AI$9,2,FALSE)))</f>
        <v/>
      </c>
      <c r="X53" s="499" t="str">
        <f>IF(V53="","",IF(VLOOKUP(V53,'G-7 Rivers Data'!$AG$4:$AI$9,3,FALSE)=0,"Spatial Data Missing ⚠",VLOOKUP(V53,'G-7 Rivers Data'!$AG$4:$AI$9,3,FALSE)))</f>
        <v/>
      </c>
      <c r="Y53" s="498" t="str">
        <f>IFERROR(IF(OR(LEFT(P53,5)="Error ▲",LEFT(O53,5)="Error ▲"),"Check Data ⚠",IF(F53&lt;S53,'G-7 Rivers Data'!$R$3,INDEX('G-7 Rivers Data'!$U$5:$Y$9,MATCH(G53,'G-7 Rivers Data'!$T$5:$T$9,0),MATCH(T53,'G-7 Rivers Data'!$U$4:$Y$4,0)))),"")</f>
        <v/>
      </c>
      <c r="Z53" s="195"/>
      <c r="AA53" s="195"/>
      <c r="AB53" s="507" t="str">
        <f t="shared" si="2"/>
        <v/>
      </c>
      <c r="AC53" s="521" t="str">
        <f t="shared" si="3"/>
        <v/>
      </c>
      <c r="AD53" s="564" t="str">
        <f>IFERROR(IF(AC53="Check Data ⚠","Check Data ⚠",VLOOKUP(AC53,'G-4 Temporal multipliers'!$A$4:$C$37,3,FALSE)),"")</f>
        <v/>
      </c>
      <c r="AE53" s="498" t="str">
        <f>IF(N53="","",VLOOKUP(N53,'G-7 Rivers Data'!$B$4:$G$8,5,FALSE))</f>
        <v/>
      </c>
      <c r="AF53" s="507" t="str">
        <f t="shared" si="4"/>
        <v/>
      </c>
      <c r="AG53" s="540" t="str">
        <f t="shared" si="5"/>
        <v/>
      </c>
      <c r="AH53" s="499" t="str">
        <f t="shared" si="0"/>
        <v/>
      </c>
      <c r="AI53" s="145"/>
      <c r="AJ53" s="499" t="str">
        <f>IF(AI53="","",IF(VLOOKUP(AI53,'G-7 Rivers Data'!$AA$4:$AB$7,2,FALSE)=0,"Spatial Data Missing ⚠",VLOOKUP(AI53,'G-7 Rivers Data'!$AA$4:$AB$7,2,FALSE)))</f>
        <v/>
      </c>
      <c r="AK53" s="155"/>
      <c r="AL53" s="499" t="str">
        <f>IF(AK53="","",IF(VLOOKUP(AK53,'G-7 Rivers Data'!$AD$4:$AE$8,2,FALSE)=0,"Spatial Data Missing ⚠",VLOOKUP(AK53,'G-7 Rivers Data'!$AD$4:$AE$8,2,FALSE)))</f>
        <v/>
      </c>
      <c r="AM53" s="545" t="str">
        <f t="shared" si="7"/>
        <v/>
      </c>
      <c r="AN53" s="149"/>
      <c r="AO53" s="150"/>
      <c r="AV53" s="31" t="str">
        <f>IFERROR(INDEX('G-7 Rivers Data'!$AZ$3:$AZ$7,MATCH(N53,'G-7 Rivers Data'!$AY$3:$AY$7,0)),"")</f>
        <v/>
      </c>
    </row>
    <row r="54" spans="2:48" ht="13.8" x14ac:dyDescent="0.25">
      <c r="B54" s="531" t="str">
        <f>'C-1 Site River Baseline'!AN52</f>
        <v/>
      </c>
      <c r="C54" s="520" t="str">
        <f>IF(B54="","",VLOOKUP($B54,'C-1 Site River Baseline'!$C$9:$R$257,2,FALSE))</f>
        <v/>
      </c>
      <c r="D54" s="520" t="str">
        <f>IF(C54="","",VLOOKUP($B54,'C-1 Site River Baseline'!$C$9:$R$257,3,FALSE))</f>
        <v/>
      </c>
      <c r="E54" s="520" t="str">
        <f>IF(D54="","",VLOOKUP($B54,'C-1 Site River Baseline'!$C$9:$R$257,4,FALSE))</f>
        <v/>
      </c>
      <c r="F54" s="520" t="str">
        <f>IF(E54="","",VLOOKUP($B54,'C-1 Site River Baseline'!$C$9:$R$257,5,FALSE))</f>
        <v/>
      </c>
      <c r="G54" s="520" t="str">
        <f>IF(F54="","",VLOOKUP($B54,'C-1 Site River Baseline'!$C$9:$R$257,6,FALSE))</f>
        <v/>
      </c>
      <c r="H54" s="520" t="str">
        <f>IF(G54="","",VLOOKUP($B54,'C-1 Site River Baseline'!$C$9:$R$257,7,FALSE))</f>
        <v/>
      </c>
      <c r="I54" s="520" t="str">
        <f>IF(H54="","",VLOOKUP($B54,'C-1 Site River Baseline'!$C$9:$R$257,8,FALSE))</f>
        <v/>
      </c>
      <c r="J54" s="520" t="str">
        <f>IF(I54="","",VLOOKUP($B54,'C-1 Site River Baseline'!$C$9:$R$257,9,FALSE))</f>
        <v/>
      </c>
      <c r="K54" s="520" t="str">
        <f>IF(J54="","",VLOOKUP($B54,'C-1 Site River Baseline'!$C$9:$R$257,10,FALSE))</f>
        <v/>
      </c>
      <c r="L54" s="520" t="str">
        <f>IF(B54="","",VLOOKUP($B54,'C-1 Site River Baseline'!$C$9:$R$257,15,FALSE))</f>
        <v/>
      </c>
      <c r="M54" s="524" t="str">
        <f>IF(L54="","",VLOOKUP($B54,'C-1 Site River Baseline'!$C$9:$R$257,16,FALSE))</f>
        <v/>
      </c>
      <c r="N54" s="418" t="str">
        <f t="shared" si="6"/>
        <v/>
      </c>
      <c r="O54" s="498" t="str">
        <f t="shared" si="1"/>
        <v/>
      </c>
      <c r="P54" s="499" t="str">
        <f>IF(C54="","",IF(AND(LEFT(C54,55)&lt;&gt;LEFT(N54,55),O54="High - High"),"Error - Not like for like ▲",IF(AND(F54=S54,H54&gt;U54),"Error - Can not reduce condition ▲",IF(AND(F54=S54,H54=U54,AJ54='C-1 Site River Baseline'!N52,'C-1 Site River Baseline'!P52=AL54),"Error - No enhancement ▲",IF(AND(C54&lt;&gt;N54,F54&lt;S54),"Lower Distinctiveness Habitat"&amp;" - "&amp;T54,G54&amp;" - "&amp;T54)))))</f>
        <v/>
      </c>
      <c r="Q54" s="567" t="str">
        <f>IF(N54="","",VLOOKUP(B54,'C-1 Site River Baseline'!$C$10:$AA$257,19,FALSE))</f>
        <v/>
      </c>
      <c r="R54" s="498" t="str">
        <f>IF(N54="","",VLOOKUP(N54,'G-7 Rivers Data'!$B$2:$G$8,2,FALSE))</f>
        <v/>
      </c>
      <c r="S54" s="499" t="str">
        <f>IFERROR(VLOOKUP(R54,'G-7 Rivers Data'!$C$4:$D$8,2,FALSE),"")</f>
        <v/>
      </c>
      <c r="T54" s="145"/>
      <c r="U54" s="499" t="str">
        <f>IFERROR(INDEX('G-7 Rivers Data'!$H$4:$L$8,MATCH(N54,'G-7 Rivers Data'!$B$4:$B$8,0),MATCH(T54,'G-7 Rivers Data'!$H$3:$L$3,0)),"")</f>
        <v/>
      </c>
      <c r="V54" s="154"/>
      <c r="W54" s="507" t="str">
        <f>IF(V54="","",IF(VLOOKUP(V54,'G-7 Rivers Data'!$AG$4:$AI$9,2,FALSE)=0,"Spatial Data Missing ⚠",VLOOKUP(V54,'G-7 Rivers Data'!$AG$4:$AI$9,2,FALSE)))</f>
        <v/>
      </c>
      <c r="X54" s="499" t="str">
        <f>IF(V54="","",IF(VLOOKUP(V54,'G-7 Rivers Data'!$AG$4:$AI$9,3,FALSE)=0,"Spatial Data Missing ⚠",VLOOKUP(V54,'G-7 Rivers Data'!$AG$4:$AI$9,3,FALSE)))</f>
        <v/>
      </c>
      <c r="Y54" s="498" t="str">
        <f>IFERROR(IF(OR(LEFT(P54,5)="Error ▲",LEFT(O54,5)="Error ▲"),"Check Data ⚠",IF(F54&lt;S54,'G-7 Rivers Data'!$R$3,INDEX('G-7 Rivers Data'!$U$5:$Y$9,MATCH(G54,'G-7 Rivers Data'!$T$5:$T$9,0),MATCH(T54,'G-7 Rivers Data'!$U$4:$Y$4,0)))),"")</f>
        <v/>
      </c>
      <c r="Z54" s="195"/>
      <c r="AA54" s="195"/>
      <c r="AB54" s="507" t="str">
        <f t="shared" si="2"/>
        <v/>
      </c>
      <c r="AC54" s="521" t="str">
        <f t="shared" si="3"/>
        <v/>
      </c>
      <c r="AD54" s="564" t="str">
        <f>IFERROR(IF(AC54="Check Data ⚠","Check Data ⚠",VLOOKUP(AC54,'G-4 Temporal multipliers'!$A$4:$C$37,3,FALSE)),"")</f>
        <v/>
      </c>
      <c r="AE54" s="498" t="str">
        <f>IF(N54="","",VLOOKUP(N54,'G-7 Rivers Data'!$B$4:$G$8,5,FALSE))</f>
        <v/>
      </c>
      <c r="AF54" s="507" t="str">
        <f t="shared" si="4"/>
        <v/>
      </c>
      <c r="AG54" s="540" t="str">
        <f t="shared" si="5"/>
        <v/>
      </c>
      <c r="AH54" s="499" t="str">
        <f t="shared" si="0"/>
        <v/>
      </c>
      <c r="AI54" s="145"/>
      <c r="AJ54" s="499" t="str">
        <f>IF(AI54="","",IF(VLOOKUP(AI54,'G-7 Rivers Data'!$AA$4:$AB$7,2,FALSE)=0,"Spatial Data Missing ⚠",VLOOKUP(AI54,'G-7 Rivers Data'!$AA$4:$AB$7,2,FALSE)))</f>
        <v/>
      </c>
      <c r="AK54" s="155"/>
      <c r="AL54" s="499" t="str">
        <f>IF(AK54="","",IF(VLOOKUP(AK54,'G-7 Rivers Data'!$AD$4:$AE$8,2,FALSE)=0,"Spatial Data Missing ⚠",VLOOKUP(AK54,'G-7 Rivers Data'!$AD$4:$AE$8,2,FALSE)))</f>
        <v/>
      </c>
      <c r="AM54" s="545" t="str">
        <f t="shared" si="7"/>
        <v/>
      </c>
      <c r="AN54" s="149"/>
      <c r="AO54" s="150"/>
      <c r="AV54" s="31" t="str">
        <f>IFERROR(INDEX('G-7 Rivers Data'!$AZ$3:$AZ$7,MATCH(N54,'G-7 Rivers Data'!$AY$3:$AY$7,0)),"")</f>
        <v/>
      </c>
    </row>
    <row r="55" spans="2:48" ht="13.8" x14ac:dyDescent="0.25">
      <c r="B55" s="531" t="str">
        <f>'C-1 Site River Baseline'!AN53</f>
        <v/>
      </c>
      <c r="C55" s="520" t="str">
        <f>IF(B55="","",VLOOKUP($B55,'C-1 Site River Baseline'!$C$9:$R$257,2,FALSE))</f>
        <v/>
      </c>
      <c r="D55" s="520" t="str">
        <f>IF(C55="","",VLOOKUP($B55,'C-1 Site River Baseline'!$C$9:$R$257,3,FALSE))</f>
        <v/>
      </c>
      <c r="E55" s="520" t="str">
        <f>IF(D55="","",VLOOKUP($B55,'C-1 Site River Baseline'!$C$9:$R$257,4,FALSE))</f>
        <v/>
      </c>
      <c r="F55" s="520" t="str">
        <f>IF(E55="","",VLOOKUP($B55,'C-1 Site River Baseline'!$C$9:$R$257,5,FALSE))</f>
        <v/>
      </c>
      <c r="G55" s="520" t="str">
        <f>IF(F55="","",VLOOKUP($B55,'C-1 Site River Baseline'!$C$9:$R$257,6,FALSE))</f>
        <v/>
      </c>
      <c r="H55" s="520" t="str">
        <f>IF(G55="","",VLOOKUP($B55,'C-1 Site River Baseline'!$C$9:$R$257,7,FALSE))</f>
        <v/>
      </c>
      <c r="I55" s="520" t="str">
        <f>IF(H55="","",VLOOKUP($B55,'C-1 Site River Baseline'!$C$9:$R$257,8,FALSE))</f>
        <v/>
      </c>
      <c r="J55" s="520" t="str">
        <f>IF(I55="","",VLOOKUP($B55,'C-1 Site River Baseline'!$C$9:$R$257,9,FALSE))</f>
        <v/>
      </c>
      <c r="K55" s="520" t="str">
        <f>IF(J55="","",VLOOKUP($B55,'C-1 Site River Baseline'!$C$9:$R$257,10,FALSE))</f>
        <v/>
      </c>
      <c r="L55" s="520" t="str">
        <f>IF(B55="","",VLOOKUP($B55,'C-1 Site River Baseline'!$C$9:$R$257,15,FALSE))</f>
        <v/>
      </c>
      <c r="M55" s="524" t="str">
        <f>IF(L55="","",VLOOKUP($B55,'C-1 Site River Baseline'!$C$9:$R$257,16,FALSE))</f>
        <v/>
      </c>
      <c r="N55" s="418" t="str">
        <f t="shared" si="6"/>
        <v/>
      </c>
      <c r="O55" s="498" t="str">
        <f t="shared" si="1"/>
        <v/>
      </c>
      <c r="P55" s="499" t="str">
        <f>IF(C55="","",IF(AND(LEFT(C55,55)&lt;&gt;LEFT(N55,55),O55="High - High"),"Error - Not like for like ▲",IF(AND(F55=S55,H55&gt;U55),"Error - Can not reduce condition ▲",IF(AND(F55=S55,H55=U55,AJ55='C-1 Site River Baseline'!N53,'C-1 Site River Baseline'!P53=AL55),"Error - No enhancement ▲",IF(AND(C55&lt;&gt;N55,F55&lt;S55),"Lower Distinctiveness Habitat"&amp;" - "&amp;T55,G55&amp;" - "&amp;T55)))))</f>
        <v/>
      </c>
      <c r="Q55" s="567" t="str">
        <f>IF(N55="","",VLOOKUP(B55,'C-1 Site River Baseline'!$C$10:$AA$257,19,FALSE))</f>
        <v/>
      </c>
      <c r="R55" s="498" t="str">
        <f>IF(N55="","",VLOOKUP(N55,'G-7 Rivers Data'!$B$2:$G$8,2,FALSE))</f>
        <v/>
      </c>
      <c r="S55" s="499" t="str">
        <f>IFERROR(VLOOKUP(R55,'G-7 Rivers Data'!$C$4:$D$8,2,FALSE),"")</f>
        <v/>
      </c>
      <c r="T55" s="145"/>
      <c r="U55" s="499" t="str">
        <f>IFERROR(INDEX('G-7 Rivers Data'!$H$4:$L$8,MATCH(N55,'G-7 Rivers Data'!$B$4:$B$8,0),MATCH(T55,'G-7 Rivers Data'!$H$3:$L$3,0)),"")</f>
        <v/>
      </c>
      <c r="V55" s="154"/>
      <c r="W55" s="507" t="str">
        <f>IF(V55="","",IF(VLOOKUP(V55,'G-7 Rivers Data'!$AG$4:$AI$9,2,FALSE)=0,"Spatial Data Missing ⚠",VLOOKUP(V55,'G-7 Rivers Data'!$AG$4:$AI$9,2,FALSE)))</f>
        <v/>
      </c>
      <c r="X55" s="499" t="str">
        <f>IF(V55="","",IF(VLOOKUP(V55,'G-7 Rivers Data'!$AG$4:$AI$9,3,FALSE)=0,"Spatial Data Missing ⚠",VLOOKUP(V55,'G-7 Rivers Data'!$AG$4:$AI$9,3,FALSE)))</f>
        <v/>
      </c>
      <c r="Y55" s="498" t="str">
        <f>IFERROR(IF(OR(LEFT(P55,5)="Error ▲",LEFT(O55,5)="Error ▲"),"Check Data ⚠",IF(F55&lt;S55,'G-7 Rivers Data'!$R$3,INDEX('G-7 Rivers Data'!$U$5:$Y$9,MATCH(G55,'G-7 Rivers Data'!$T$5:$T$9,0),MATCH(T55,'G-7 Rivers Data'!$U$4:$Y$4,0)))),"")</f>
        <v/>
      </c>
      <c r="Z55" s="195"/>
      <c r="AA55" s="195"/>
      <c r="AB55" s="507" t="str">
        <f t="shared" si="2"/>
        <v/>
      </c>
      <c r="AC55" s="521" t="str">
        <f t="shared" si="3"/>
        <v/>
      </c>
      <c r="AD55" s="564" t="str">
        <f>IFERROR(IF(AC55="Check Data ⚠","Check Data ⚠",VLOOKUP(AC55,'G-4 Temporal multipliers'!$A$4:$C$37,3,FALSE)),"")</f>
        <v/>
      </c>
      <c r="AE55" s="498" t="str">
        <f>IF(N55="","",VLOOKUP(N55,'G-7 Rivers Data'!$B$4:$G$8,5,FALSE))</f>
        <v/>
      </c>
      <c r="AF55" s="507" t="str">
        <f t="shared" si="4"/>
        <v/>
      </c>
      <c r="AG55" s="540" t="str">
        <f t="shared" si="5"/>
        <v/>
      </c>
      <c r="AH55" s="499" t="str">
        <f t="shared" si="0"/>
        <v/>
      </c>
      <c r="AI55" s="145"/>
      <c r="AJ55" s="499" t="str">
        <f>IF(AI55="","",IF(VLOOKUP(AI55,'G-7 Rivers Data'!$AA$4:$AB$7,2,FALSE)=0,"Spatial Data Missing ⚠",VLOOKUP(AI55,'G-7 Rivers Data'!$AA$4:$AB$7,2,FALSE)))</f>
        <v/>
      </c>
      <c r="AK55" s="155"/>
      <c r="AL55" s="499" t="str">
        <f>IF(AK55="","",IF(VLOOKUP(AK55,'G-7 Rivers Data'!$AD$4:$AE$8,2,FALSE)=0,"Spatial Data Missing ⚠",VLOOKUP(AK55,'G-7 Rivers Data'!$AD$4:$AE$8,2,FALSE)))</f>
        <v/>
      </c>
      <c r="AM55" s="545" t="str">
        <f t="shared" si="7"/>
        <v/>
      </c>
      <c r="AN55" s="149"/>
      <c r="AO55" s="150"/>
      <c r="AV55" s="31" t="str">
        <f>IFERROR(INDEX('G-7 Rivers Data'!$AZ$3:$AZ$7,MATCH(N55,'G-7 Rivers Data'!$AY$3:$AY$7,0)),"")</f>
        <v/>
      </c>
    </row>
    <row r="56" spans="2:48" ht="13.8" x14ac:dyDescent="0.25">
      <c r="B56" s="531" t="str">
        <f>'C-1 Site River Baseline'!AN54</f>
        <v/>
      </c>
      <c r="C56" s="520" t="str">
        <f>IF(B56="","",VLOOKUP($B56,'C-1 Site River Baseline'!$C$9:$R$257,2,FALSE))</f>
        <v/>
      </c>
      <c r="D56" s="520" t="str">
        <f>IF(C56="","",VLOOKUP($B56,'C-1 Site River Baseline'!$C$9:$R$257,3,FALSE))</f>
        <v/>
      </c>
      <c r="E56" s="520" t="str">
        <f>IF(D56="","",VLOOKUP($B56,'C-1 Site River Baseline'!$C$9:$R$257,4,FALSE))</f>
        <v/>
      </c>
      <c r="F56" s="520" t="str">
        <f>IF(E56="","",VLOOKUP($B56,'C-1 Site River Baseline'!$C$9:$R$257,5,FALSE))</f>
        <v/>
      </c>
      <c r="G56" s="520" t="str">
        <f>IF(F56="","",VLOOKUP($B56,'C-1 Site River Baseline'!$C$9:$R$257,6,FALSE))</f>
        <v/>
      </c>
      <c r="H56" s="520" t="str">
        <f>IF(G56="","",VLOOKUP($B56,'C-1 Site River Baseline'!$C$9:$R$257,7,FALSE))</f>
        <v/>
      </c>
      <c r="I56" s="520" t="str">
        <f>IF(H56="","",VLOOKUP($B56,'C-1 Site River Baseline'!$C$9:$R$257,8,FALSE))</f>
        <v/>
      </c>
      <c r="J56" s="520" t="str">
        <f>IF(I56="","",VLOOKUP($B56,'C-1 Site River Baseline'!$C$9:$R$257,9,FALSE))</f>
        <v/>
      </c>
      <c r="K56" s="520" t="str">
        <f>IF(J56="","",VLOOKUP($B56,'C-1 Site River Baseline'!$C$9:$R$257,10,FALSE))</f>
        <v/>
      </c>
      <c r="L56" s="520" t="str">
        <f>IF(B56="","",VLOOKUP($B56,'C-1 Site River Baseline'!$C$9:$R$257,15,FALSE))</f>
        <v/>
      </c>
      <c r="M56" s="524" t="str">
        <f>IF(L56="","",VLOOKUP($B56,'C-1 Site River Baseline'!$C$9:$R$257,16,FALSE))</f>
        <v/>
      </c>
      <c r="N56" s="418" t="str">
        <f t="shared" si="6"/>
        <v/>
      </c>
      <c r="O56" s="498" t="str">
        <f t="shared" si="1"/>
        <v/>
      </c>
      <c r="P56" s="499" t="str">
        <f>IF(C56="","",IF(AND(LEFT(C56,55)&lt;&gt;LEFT(N56,55),O56="High - High"),"Error - Not like for like ▲",IF(AND(F56=S56,H56&gt;U56),"Error - Can not reduce condition ▲",IF(AND(F56=S56,H56=U56,AJ56='C-1 Site River Baseline'!N54,'C-1 Site River Baseline'!P54=AL56),"Error - No enhancement ▲",IF(AND(C56&lt;&gt;N56,F56&lt;S56),"Lower Distinctiveness Habitat"&amp;" - "&amp;T56,G56&amp;" - "&amp;T56)))))</f>
        <v/>
      </c>
      <c r="Q56" s="567" t="str">
        <f>IF(N56="","",VLOOKUP(B56,'C-1 Site River Baseline'!$C$10:$AA$257,19,FALSE))</f>
        <v/>
      </c>
      <c r="R56" s="498" t="str">
        <f>IF(N56="","",VLOOKUP(N56,'G-7 Rivers Data'!$B$2:$G$8,2,FALSE))</f>
        <v/>
      </c>
      <c r="S56" s="499" t="str">
        <f>IFERROR(VLOOKUP(R56,'G-7 Rivers Data'!$C$4:$D$8,2,FALSE),"")</f>
        <v/>
      </c>
      <c r="T56" s="145"/>
      <c r="U56" s="499" t="str">
        <f>IFERROR(INDEX('G-7 Rivers Data'!$H$4:$L$8,MATCH(N56,'G-7 Rivers Data'!$B$4:$B$8,0),MATCH(T56,'G-7 Rivers Data'!$H$3:$L$3,0)),"")</f>
        <v/>
      </c>
      <c r="V56" s="154"/>
      <c r="W56" s="507" t="str">
        <f>IF(V56="","",IF(VLOOKUP(V56,'G-7 Rivers Data'!$AG$4:$AI$9,2,FALSE)=0,"Spatial Data Missing ⚠",VLOOKUP(V56,'G-7 Rivers Data'!$AG$4:$AI$9,2,FALSE)))</f>
        <v/>
      </c>
      <c r="X56" s="499" t="str">
        <f>IF(V56="","",IF(VLOOKUP(V56,'G-7 Rivers Data'!$AG$4:$AI$9,3,FALSE)=0,"Spatial Data Missing ⚠",VLOOKUP(V56,'G-7 Rivers Data'!$AG$4:$AI$9,3,FALSE)))</f>
        <v/>
      </c>
      <c r="Y56" s="498" t="str">
        <f>IFERROR(IF(OR(LEFT(P56,5)="Error ▲",LEFT(O56,5)="Error ▲"),"Check Data ⚠",IF(F56&lt;S56,'G-7 Rivers Data'!$R$3,INDEX('G-7 Rivers Data'!$U$5:$Y$9,MATCH(G56,'G-7 Rivers Data'!$T$5:$T$9,0),MATCH(T56,'G-7 Rivers Data'!$U$4:$Y$4,0)))),"")</f>
        <v/>
      </c>
      <c r="Z56" s="195"/>
      <c r="AA56" s="195"/>
      <c r="AB56" s="507" t="str">
        <f t="shared" si="2"/>
        <v/>
      </c>
      <c r="AC56" s="521" t="str">
        <f t="shared" si="3"/>
        <v/>
      </c>
      <c r="AD56" s="564" t="str">
        <f>IFERROR(IF(AC56="Check Data ⚠","Check Data ⚠",VLOOKUP(AC56,'G-4 Temporal multipliers'!$A$4:$C$37,3,FALSE)),"")</f>
        <v/>
      </c>
      <c r="AE56" s="498" t="str">
        <f>IF(N56="","",VLOOKUP(N56,'G-7 Rivers Data'!$B$4:$G$8,5,FALSE))</f>
        <v/>
      </c>
      <c r="AF56" s="507" t="str">
        <f t="shared" si="4"/>
        <v/>
      </c>
      <c r="AG56" s="540" t="str">
        <f t="shared" si="5"/>
        <v/>
      </c>
      <c r="AH56" s="499" t="str">
        <f t="shared" si="0"/>
        <v/>
      </c>
      <c r="AI56" s="145"/>
      <c r="AJ56" s="499" t="str">
        <f>IF(AI56="","",IF(VLOOKUP(AI56,'G-7 Rivers Data'!$AA$4:$AB$7,2,FALSE)=0,"Spatial Data Missing ⚠",VLOOKUP(AI56,'G-7 Rivers Data'!$AA$4:$AB$7,2,FALSE)))</f>
        <v/>
      </c>
      <c r="AK56" s="155"/>
      <c r="AL56" s="499" t="str">
        <f>IF(AK56="","",IF(VLOOKUP(AK56,'G-7 Rivers Data'!$AD$4:$AE$8,2,FALSE)=0,"Spatial Data Missing ⚠",VLOOKUP(AK56,'G-7 Rivers Data'!$AD$4:$AE$8,2,FALSE)))</f>
        <v/>
      </c>
      <c r="AM56" s="545" t="str">
        <f t="shared" si="7"/>
        <v/>
      </c>
      <c r="AN56" s="149"/>
      <c r="AO56" s="150"/>
      <c r="AV56" s="31" t="str">
        <f>IFERROR(INDEX('G-7 Rivers Data'!$AZ$3:$AZ$7,MATCH(N56,'G-7 Rivers Data'!$AY$3:$AY$7,0)),"")</f>
        <v/>
      </c>
    </row>
    <row r="57" spans="2:48" ht="13.8" x14ac:dyDescent="0.25">
      <c r="B57" s="531" t="str">
        <f>'C-1 Site River Baseline'!AN55</f>
        <v/>
      </c>
      <c r="C57" s="520" t="str">
        <f>IF(B57="","",VLOOKUP($B57,'C-1 Site River Baseline'!$C$9:$R$257,2,FALSE))</f>
        <v/>
      </c>
      <c r="D57" s="520" t="str">
        <f>IF(C57="","",VLOOKUP($B57,'C-1 Site River Baseline'!$C$9:$R$257,3,FALSE))</f>
        <v/>
      </c>
      <c r="E57" s="520" t="str">
        <f>IF(D57="","",VLOOKUP($B57,'C-1 Site River Baseline'!$C$9:$R$257,4,FALSE))</f>
        <v/>
      </c>
      <c r="F57" s="520" t="str">
        <f>IF(E57="","",VLOOKUP($B57,'C-1 Site River Baseline'!$C$9:$R$257,5,FALSE))</f>
        <v/>
      </c>
      <c r="G57" s="520" t="str">
        <f>IF(F57="","",VLOOKUP($B57,'C-1 Site River Baseline'!$C$9:$R$257,6,FALSE))</f>
        <v/>
      </c>
      <c r="H57" s="520" t="str">
        <f>IF(G57="","",VLOOKUP($B57,'C-1 Site River Baseline'!$C$9:$R$257,7,FALSE))</f>
        <v/>
      </c>
      <c r="I57" s="520" t="str">
        <f>IF(H57="","",VLOOKUP($B57,'C-1 Site River Baseline'!$C$9:$R$257,8,FALSE))</f>
        <v/>
      </c>
      <c r="J57" s="520" t="str">
        <f>IF(I57="","",VLOOKUP($B57,'C-1 Site River Baseline'!$C$9:$R$257,9,FALSE))</f>
        <v/>
      </c>
      <c r="K57" s="520" t="str">
        <f>IF(J57="","",VLOOKUP($B57,'C-1 Site River Baseline'!$C$9:$R$257,10,FALSE))</f>
        <v/>
      </c>
      <c r="L57" s="520" t="str">
        <f>IF(B57="","",VLOOKUP($B57,'C-1 Site River Baseline'!$C$9:$R$257,15,FALSE))</f>
        <v/>
      </c>
      <c r="M57" s="524" t="str">
        <f>IF(L57="","",VLOOKUP($B57,'C-1 Site River Baseline'!$C$9:$R$257,16,FALSE))</f>
        <v/>
      </c>
      <c r="N57" s="418" t="str">
        <f t="shared" si="6"/>
        <v/>
      </c>
      <c r="O57" s="498" t="str">
        <f t="shared" si="1"/>
        <v/>
      </c>
      <c r="P57" s="499" t="str">
        <f>IF(C57="","",IF(AND(LEFT(C57,55)&lt;&gt;LEFT(N57,55),O57="High - High"),"Error - Not like for like ▲",IF(AND(F57=S57,H57&gt;U57),"Error - Can not reduce condition ▲",IF(AND(F57=S57,H57=U57,AJ57='C-1 Site River Baseline'!N55,'C-1 Site River Baseline'!P55=AL57),"Error - No enhancement ▲",IF(AND(C57&lt;&gt;N57,F57&lt;S57),"Lower Distinctiveness Habitat"&amp;" - "&amp;T57,G57&amp;" - "&amp;T57)))))</f>
        <v/>
      </c>
      <c r="Q57" s="567" t="str">
        <f>IF(N57="","",VLOOKUP(B57,'C-1 Site River Baseline'!$C$10:$AA$257,19,FALSE))</f>
        <v/>
      </c>
      <c r="R57" s="498" t="str">
        <f>IF(N57="","",VLOOKUP(N57,'G-7 Rivers Data'!$B$2:$G$8,2,FALSE))</f>
        <v/>
      </c>
      <c r="S57" s="499" t="str">
        <f>IFERROR(VLOOKUP(R57,'G-7 Rivers Data'!$C$4:$D$8,2,FALSE),"")</f>
        <v/>
      </c>
      <c r="T57" s="145"/>
      <c r="U57" s="499" t="str">
        <f>IFERROR(INDEX('G-7 Rivers Data'!$H$4:$L$8,MATCH(N57,'G-7 Rivers Data'!$B$4:$B$8,0),MATCH(T57,'G-7 Rivers Data'!$H$3:$L$3,0)),"")</f>
        <v/>
      </c>
      <c r="V57" s="154"/>
      <c r="W57" s="507" t="str">
        <f>IF(V57="","",IF(VLOOKUP(V57,'G-7 Rivers Data'!$AG$4:$AI$9,2,FALSE)=0,"Spatial Data Missing ⚠",VLOOKUP(V57,'G-7 Rivers Data'!$AG$4:$AI$9,2,FALSE)))</f>
        <v/>
      </c>
      <c r="X57" s="499" t="str">
        <f>IF(V57="","",IF(VLOOKUP(V57,'G-7 Rivers Data'!$AG$4:$AI$9,3,FALSE)=0,"Spatial Data Missing ⚠",VLOOKUP(V57,'G-7 Rivers Data'!$AG$4:$AI$9,3,FALSE)))</f>
        <v/>
      </c>
      <c r="Y57" s="498" t="str">
        <f>IFERROR(IF(OR(LEFT(P57,5)="Error ▲",LEFT(O57,5)="Error ▲"),"Check Data ⚠",IF(F57&lt;S57,'G-7 Rivers Data'!$R$3,INDEX('G-7 Rivers Data'!$U$5:$Y$9,MATCH(G57,'G-7 Rivers Data'!$T$5:$T$9,0),MATCH(T57,'G-7 Rivers Data'!$U$4:$Y$4,0)))),"")</f>
        <v/>
      </c>
      <c r="Z57" s="195"/>
      <c r="AA57" s="195"/>
      <c r="AB57" s="507" t="str">
        <f t="shared" si="2"/>
        <v/>
      </c>
      <c r="AC57" s="521" t="str">
        <f t="shared" si="3"/>
        <v/>
      </c>
      <c r="AD57" s="564" t="str">
        <f>IFERROR(IF(AC57="Check Data ⚠","Check Data ⚠",VLOOKUP(AC57,'G-4 Temporal multipliers'!$A$4:$C$37,3,FALSE)),"")</f>
        <v/>
      </c>
      <c r="AE57" s="498" t="str">
        <f>IF(N57="","",VLOOKUP(N57,'G-7 Rivers Data'!$B$4:$G$8,5,FALSE))</f>
        <v/>
      </c>
      <c r="AF57" s="507" t="str">
        <f t="shared" si="4"/>
        <v/>
      </c>
      <c r="AG57" s="540" t="str">
        <f t="shared" si="5"/>
        <v/>
      </c>
      <c r="AH57" s="499" t="str">
        <f t="shared" si="0"/>
        <v/>
      </c>
      <c r="AI57" s="145"/>
      <c r="AJ57" s="499" t="str">
        <f>IF(AI57="","",IF(VLOOKUP(AI57,'G-7 Rivers Data'!$AA$4:$AB$7,2,FALSE)=0,"Spatial Data Missing ⚠",VLOOKUP(AI57,'G-7 Rivers Data'!$AA$4:$AB$7,2,FALSE)))</f>
        <v/>
      </c>
      <c r="AK57" s="155"/>
      <c r="AL57" s="499" t="str">
        <f>IF(AK57="","",IF(VLOOKUP(AK57,'G-7 Rivers Data'!$AD$4:$AE$8,2,FALSE)=0,"Spatial Data Missing ⚠",VLOOKUP(AK57,'G-7 Rivers Data'!$AD$4:$AE$8,2,FALSE)))</f>
        <v/>
      </c>
      <c r="AM57" s="545" t="str">
        <f t="shared" si="7"/>
        <v/>
      </c>
      <c r="AN57" s="149"/>
      <c r="AO57" s="150"/>
      <c r="AV57" s="31" t="str">
        <f>IFERROR(INDEX('G-7 Rivers Data'!$AZ$3:$AZ$7,MATCH(N57,'G-7 Rivers Data'!$AY$3:$AY$7,0)),"")</f>
        <v/>
      </c>
    </row>
    <row r="58" spans="2:48" ht="13.8" x14ac:dyDescent="0.25">
      <c r="B58" s="531" t="str">
        <f>'C-1 Site River Baseline'!AN56</f>
        <v/>
      </c>
      <c r="C58" s="520" t="str">
        <f>IF(B58="","",VLOOKUP($B58,'C-1 Site River Baseline'!$C$9:$R$257,2,FALSE))</f>
        <v/>
      </c>
      <c r="D58" s="520" t="str">
        <f>IF(C58="","",VLOOKUP($B58,'C-1 Site River Baseline'!$C$9:$R$257,3,FALSE))</f>
        <v/>
      </c>
      <c r="E58" s="520" t="str">
        <f>IF(D58="","",VLOOKUP($B58,'C-1 Site River Baseline'!$C$9:$R$257,4,FALSE))</f>
        <v/>
      </c>
      <c r="F58" s="520" t="str">
        <f>IF(E58="","",VLOOKUP($B58,'C-1 Site River Baseline'!$C$9:$R$257,5,FALSE))</f>
        <v/>
      </c>
      <c r="G58" s="520" t="str">
        <f>IF(F58="","",VLOOKUP($B58,'C-1 Site River Baseline'!$C$9:$R$257,6,FALSE))</f>
        <v/>
      </c>
      <c r="H58" s="520" t="str">
        <f>IF(G58="","",VLOOKUP($B58,'C-1 Site River Baseline'!$C$9:$R$257,7,FALSE))</f>
        <v/>
      </c>
      <c r="I58" s="520" t="str">
        <f>IF(H58="","",VLOOKUP($B58,'C-1 Site River Baseline'!$C$9:$R$257,8,FALSE))</f>
        <v/>
      </c>
      <c r="J58" s="520" t="str">
        <f>IF(I58="","",VLOOKUP($B58,'C-1 Site River Baseline'!$C$9:$R$257,9,FALSE))</f>
        <v/>
      </c>
      <c r="K58" s="520" t="str">
        <f>IF(J58="","",VLOOKUP($B58,'C-1 Site River Baseline'!$C$9:$R$257,10,FALSE))</f>
        <v/>
      </c>
      <c r="L58" s="520" t="str">
        <f>IF(B58="","",VLOOKUP($B58,'C-1 Site River Baseline'!$C$9:$R$257,15,FALSE))</f>
        <v/>
      </c>
      <c r="M58" s="524" t="str">
        <f>IF(L58="","",VLOOKUP($B58,'C-1 Site River Baseline'!$C$9:$R$257,16,FALSE))</f>
        <v/>
      </c>
      <c r="N58" s="418" t="str">
        <f t="shared" si="6"/>
        <v/>
      </c>
      <c r="O58" s="498" t="str">
        <f t="shared" si="1"/>
        <v/>
      </c>
      <c r="P58" s="499" t="str">
        <f>IF(C58="","",IF(AND(LEFT(C58,55)&lt;&gt;LEFT(N58,55),O58="High - High"),"Error - Not like for like ▲",IF(AND(F58=S58,H58&gt;U58),"Error - Can not reduce condition ▲",IF(AND(F58=S58,H58=U58,AJ58='C-1 Site River Baseline'!N56,'C-1 Site River Baseline'!P56=AL58),"Error - No enhancement ▲",IF(AND(C58&lt;&gt;N58,F58&lt;S58),"Lower Distinctiveness Habitat"&amp;" - "&amp;T58,G58&amp;" - "&amp;T58)))))</f>
        <v/>
      </c>
      <c r="Q58" s="567" t="str">
        <f>IF(N58="","",VLOOKUP(B58,'C-1 Site River Baseline'!$C$10:$AA$257,19,FALSE))</f>
        <v/>
      </c>
      <c r="R58" s="498" t="str">
        <f>IF(N58="","",VLOOKUP(N58,'G-7 Rivers Data'!$B$2:$G$8,2,FALSE))</f>
        <v/>
      </c>
      <c r="S58" s="499" t="str">
        <f>IFERROR(VLOOKUP(R58,'G-7 Rivers Data'!$C$4:$D$8,2,FALSE),"")</f>
        <v/>
      </c>
      <c r="T58" s="145"/>
      <c r="U58" s="499" t="str">
        <f>IFERROR(INDEX('G-7 Rivers Data'!$H$4:$L$8,MATCH(N58,'G-7 Rivers Data'!$B$4:$B$8,0),MATCH(T58,'G-7 Rivers Data'!$H$3:$L$3,0)),"")</f>
        <v/>
      </c>
      <c r="V58" s="154"/>
      <c r="W58" s="507" t="str">
        <f>IF(V58="","",IF(VLOOKUP(V58,'G-7 Rivers Data'!$AG$4:$AI$9,2,FALSE)=0,"Spatial Data Missing ⚠",VLOOKUP(V58,'G-7 Rivers Data'!$AG$4:$AI$9,2,FALSE)))</f>
        <v/>
      </c>
      <c r="X58" s="499" t="str">
        <f>IF(V58="","",IF(VLOOKUP(V58,'G-7 Rivers Data'!$AG$4:$AI$9,3,FALSE)=0,"Spatial Data Missing ⚠",VLOOKUP(V58,'G-7 Rivers Data'!$AG$4:$AI$9,3,FALSE)))</f>
        <v/>
      </c>
      <c r="Y58" s="498" t="str">
        <f>IFERROR(IF(OR(LEFT(P58,5)="Error ▲",LEFT(O58,5)="Error ▲"),"Check Data ⚠",IF(F58&lt;S58,'G-7 Rivers Data'!$R$3,INDEX('G-7 Rivers Data'!$U$5:$Y$9,MATCH(G58,'G-7 Rivers Data'!$T$5:$T$9,0),MATCH(T58,'G-7 Rivers Data'!$U$4:$Y$4,0)))),"")</f>
        <v/>
      </c>
      <c r="Z58" s="195"/>
      <c r="AA58" s="195"/>
      <c r="AB58" s="507" t="str">
        <f t="shared" si="2"/>
        <v/>
      </c>
      <c r="AC58" s="521" t="str">
        <f t="shared" si="3"/>
        <v/>
      </c>
      <c r="AD58" s="564" t="str">
        <f>IFERROR(IF(AC58="Check Data ⚠","Check Data ⚠",VLOOKUP(AC58,'G-4 Temporal multipliers'!$A$4:$C$37,3,FALSE)),"")</f>
        <v/>
      </c>
      <c r="AE58" s="498" t="str">
        <f>IF(N58="","",VLOOKUP(N58,'G-7 Rivers Data'!$B$4:$G$8,5,FALSE))</f>
        <v/>
      </c>
      <c r="AF58" s="507" t="str">
        <f t="shared" si="4"/>
        <v/>
      </c>
      <c r="AG58" s="540" t="str">
        <f t="shared" si="5"/>
        <v/>
      </c>
      <c r="AH58" s="499" t="str">
        <f t="shared" si="0"/>
        <v/>
      </c>
      <c r="AI58" s="145"/>
      <c r="AJ58" s="499" t="str">
        <f>IF(AI58="","",IF(VLOOKUP(AI58,'G-7 Rivers Data'!$AA$4:$AB$7,2,FALSE)=0,"Spatial Data Missing ⚠",VLOOKUP(AI58,'G-7 Rivers Data'!$AA$4:$AB$7,2,FALSE)))</f>
        <v/>
      </c>
      <c r="AK58" s="155"/>
      <c r="AL58" s="499" t="str">
        <f>IF(AK58="","",IF(VLOOKUP(AK58,'G-7 Rivers Data'!$AD$4:$AE$8,2,FALSE)=0,"Spatial Data Missing ⚠",VLOOKUP(AK58,'G-7 Rivers Data'!$AD$4:$AE$8,2,FALSE)))</f>
        <v/>
      </c>
      <c r="AM58" s="545" t="str">
        <f t="shared" si="7"/>
        <v/>
      </c>
      <c r="AN58" s="149"/>
      <c r="AO58" s="150"/>
      <c r="AV58" s="31" t="str">
        <f>IFERROR(INDEX('G-7 Rivers Data'!$AZ$3:$AZ$7,MATCH(N58,'G-7 Rivers Data'!$AY$3:$AY$7,0)),"")</f>
        <v/>
      </c>
    </row>
    <row r="59" spans="2:48" ht="13.8" x14ac:dyDescent="0.25">
      <c r="B59" s="531" t="str">
        <f>'C-1 Site River Baseline'!AN57</f>
        <v/>
      </c>
      <c r="C59" s="520" t="str">
        <f>IF(B59="","",VLOOKUP($B59,'C-1 Site River Baseline'!$C$9:$R$257,2,FALSE))</f>
        <v/>
      </c>
      <c r="D59" s="520" t="str">
        <f>IF(C59="","",VLOOKUP($B59,'C-1 Site River Baseline'!$C$9:$R$257,3,FALSE))</f>
        <v/>
      </c>
      <c r="E59" s="520" t="str">
        <f>IF(D59="","",VLOOKUP($B59,'C-1 Site River Baseline'!$C$9:$R$257,4,FALSE))</f>
        <v/>
      </c>
      <c r="F59" s="520" t="str">
        <f>IF(E59="","",VLOOKUP($B59,'C-1 Site River Baseline'!$C$9:$R$257,5,FALSE))</f>
        <v/>
      </c>
      <c r="G59" s="520" t="str">
        <f>IF(F59="","",VLOOKUP($B59,'C-1 Site River Baseline'!$C$9:$R$257,6,FALSE))</f>
        <v/>
      </c>
      <c r="H59" s="520" t="str">
        <f>IF(G59="","",VLOOKUP($B59,'C-1 Site River Baseline'!$C$9:$R$257,7,FALSE))</f>
        <v/>
      </c>
      <c r="I59" s="520" t="str">
        <f>IF(H59="","",VLOOKUP($B59,'C-1 Site River Baseline'!$C$9:$R$257,8,FALSE))</f>
        <v/>
      </c>
      <c r="J59" s="520" t="str">
        <f>IF(I59="","",VLOOKUP($B59,'C-1 Site River Baseline'!$C$9:$R$257,9,FALSE))</f>
        <v/>
      </c>
      <c r="K59" s="520" t="str">
        <f>IF(J59="","",VLOOKUP($B59,'C-1 Site River Baseline'!$C$9:$R$257,10,FALSE))</f>
        <v/>
      </c>
      <c r="L59" s="520" t="str">
        <f>IF(B59="","",VLOOKUP($B59,'C-1 Site River Baseline'!$C$9:$R$257,15,FALSE))</f>
        <v/>
      </c>
      <c r="M59" s="524" t="str">
        <f>IF(L59="","",VLOOKUP($B59,'C-1 Site River Baseline'!$C$9:$R$257,16,FALSE))</f>
        <v/>
      </c>
      <c r="N59" s="418" t="str">
        <f t="shared" si="6"/>
        <v/>
      </c>
      <c r="O59" s="498" t="str">
        <f t="shared" si="1"/>
        <v/>
      </c>
      <c r="P59" s="499" t="str">
        <f>IF(C59="","",IF(AND(LEFT(C59,55)&lt;&gt;LEFT(N59,55),O59="High - High"),"Error - Not like for like ▲",IF(AND(F59=S59,H59&gt;U59),"Error - Can not reduce condition ▲",IF(AND(F59=S59,H59=U59,AJ59='C-1 Site River Baseline'!N57,'C-1 Site River Baseline'!P57=AL59),"Error - No enhancement ▲",IF(AND(C59&lt;&gt;N59,F59&lt;S59),"Lower Distinctiveness Habitat"&amp;" - "&amp;T59,G59&amp;" - "&amp;T59)))))</f>
        <v/>
      </c>
      <c r="Q59" s="567" t="str">
        <f>IF(N59="","",VLOOKUP(B59,'C-1 Site River Baseline'!$C$10:$AA$257,19,FALSE))</f>
        <v/>
      </c>
      <c r="R59" s="498" t="str">
        <f>IF(N59="","",VLOOKUP(N59,'G-7 Rivers Data'!$B$2:$G$8,2,FALSE))</f>
        <v/>
      </c>
      <c r="S59" s="499" t="str">
        <f>IFERROR(VLOOKUP(R59,'G-7 Rivers Data'!$C$4:$D$8,2,FALSE),"")</f>
        <v/>
      </c>
      <c r="T59" s="145"/>
      <c r="U59" s="499" t="str">
        <f>IFERROR(INDEX('G-7 Rivers Data'!$H$4:$L$8,MATCH(N59,'G-7 Rivers Data'!$B$4:$B$8,0),MATCH(T59,'G-7 Rivers Data'!$H$3:$L$3,0)),"")</f>
        <v/>
      </c>
      <c r="V59" s="154"/>
      <c r="W59" s="507" t="str">
        <f>IF(V59="","",IF(VLOOKUP(V59,'G-7 Rivers Data'!$AG$4:$AI$9,2,FALSE)=0,"Spatial Data Missing ⚠",VLOOKUP(V59,'G-7 Rivers Data'!$AG$4:$AI$9,2,FALSE)))</f>
        <v/>
      </c>
      <c r="X59" s="499" t="str">
        <f>IF(V59="","",IF(VLOOKUP(V59,'G-7 Rivers Data'!$AG$4:$AI$9,3,FALSE)=0,"Spatial Data Missing ⚠",VLOOKUP(V59,'G-7 Rivers Data'!$AG$4:$AI$9,3,FALSE)))</f>
        <v/>
      </c>
      <c r="Y59" s="498" t="str">
        <f>IFERROR(IF(OR(LEFT(P59,5)="Error ▲",LEFT(O59,5)="Error ▲"),"Check Data ⚠",IF(F59&lt;S59,'G-7 Rivers Data'!$R$3,INDEX('G-7 Rivers Data'!$U$5:$Y$9,MATCH(G59,'G-7 Rivers Data'!$T$5:$T$9,0),MATCH(T59,'G-7 Rivers Data'!$U$4:$Y$4,0)))),"")</f>
        <v/>
      </c>
      <c r="Z59" s="195"/>
      <c r="AA59" s="195"/>
      <c r="AB59" s="507" t="str">
        <f t="shared" si="2"/>
        <v/>
      </c>
      <c r="AC59" s="521" t="str">
        <f t="shared" si="3"/>
        <v/>
      </c>
      <c r="AD59" s="564" t="str">
        <f>IFERROR(IF(AC59="Check Data ⚠","Check Data ⚠",VLOOKUP(AC59,'G-4 Temporal multipliers'!$A$4:$C$37,3,FALSE)),"")</f>
        <v/>
      </c>
      <c r="AE59" s="498" t="str">
        <f>IF(N59="","",VLOOKUP(N59,'G-7 Rivers Data'!$B$4:$G$8,5,FALSE))</f>
        <v/>
      </c>
      <c r="AF59" s="507" t="str">
        <f t="shared" si="4"/>
        <v/>
      </c>
      <c r="AG59" s="540" t="str">
        <f t="shared" si="5"/>
        <v/>
      </c>
      <c r="AH59" s="499" t="str">
        <f t="shared" si="0"/>
        <v/>
      </c>
      <c r="AI59" s="145"/>
      <c r="AJ59" s="499" t="str">
        <f>IF(AI59="","",IF(VLOOKUP(AI59,'G-7 Rivers Data'!$AA$4:$AB$7,2,FALSE)=0,"Spatial Data Missing ⚠",VLOOKUP(AI59,'G-7 Rivers Data'!$AA$4:$AB$7,2,FALSE)))</f>
        <v/>
      </c>
      <c r="AK59" s="155"/>
      <c r="AL59" s="499" t="str">
        <f>IF(AK59="","",IF(VLOOKUP(AK59,'G-7 Rivers Data'!$AD$4:$AE$8,2,FALSE)=0,"Spatial Data Missing ⚠",VLOOKUP(AK59,'G-7 Rivers Data'!$AD$4:$AE$8,2,FALSE)))</f>
        <v/>
      </c>
      <c r="AM59" s="545" t="str">
        <f t="shared" si="7"/>
        <v/>
      </c>
      <c r="AN59" s="149"/>
      <c r="AO59" s="150"/>
      <c r="AV59" s="31" t="str">
        <f>IFERROR(INDEX('G-7 Rivers Data'!$AZ$3:$AZ$7,MATCH(N59,'G-7 Rivers Data'!$AY$3:$AY$7,0)),"")</f>
        <v/>
      </c>
    </row>
    <row r="60" spans="2:48" ht="13.8" x14ac:dyDescent="0.25">
      <c r="B60" s="531" t="str">
        <f>'C-1 Site River Baseline'!AN58</f>
        <v/>
      </c>
      <c r="C60" s="520" t="str">
        <f>IF(B60="","",VLOOKUP($B60,'C-1 Site River Baseline'!$C$9:$R$257,2,FALSE))</f>
        <v/>
      </c>
      <c r="D60" s="520" t="str">
        <f>IF(C60="","",VLOOKUP($B60,'C-1 Site River Baseline'!$C$9:$R$257,3,FALSE))</f>
        <v/>
      </c>
      <c r="E60" s="520" t="str">
        <f>IF(D60="","",VLOOKUP($B60,'C-1 Site River Baseline'!$C$9:$R$257,4,FALSE))</f>
        <v/>
      </c>
      <c r="F60" s="520" t="str">
        <f>IF(E60="","",VLOOKUP($B60,'C-1 Site River Baseline'!$C$9:$R$257,5,FALSE))</f>
        <v/>
      </c>
      <c r="G60" s="520" t="str">
        <f>IF(F60="","",VLOOKUP($B60,'C-1 Site River Baseline'!$C$9:$R$257,6,FALSE))</f>
        <v/>
      </c>
      <c r="H60" s="520" t="str">
        <f>IF(G60="","",VLOOKUP($B60,'C-1 Site River Baseline'!$C$9:$R$257,7,FALSE))</f>
        <v/>
      </c>
      <c r="I60" s="520" t="str">
        <f>IF(H60="","",VLOOKUP($B60,'C-1 Site River Baseline'!$C$9:$R$257,8,FALSE))</f>
        <v/>
      </c>
      <c r="J60" s="520" t="str">
        <f>IF(I60="","",VLOOKUP($B60,'C-1 Site River Baseline'!$C$9:$R$257,9,FALSE))</f>
        <v/>
      </c>
      <c r="K60" s="520" t="str">
        <f>IF(J60="","",VLOOKUP($B60,'C-1 Site River Baseline'!$C$9:$R$257,10,FALSE))</f>
        <v/>
      </c>
      <c r="L60" s="520" t="str">
        <f>IF(B60="","",VLOOKUP($B60,'C-1 Site River Baseline'!$C$9:$R$257,15,FALSE))</f>
        <v/>
      </c>
      <c r="M60" s="524" t="str">
        <f>IF(L60="","",VLOOKUP($B60,'C-1 Site River Baseline'!$C$9:$R$257,16,FALSE))</f>
        <v/>
      </c>
      <c r="N60" s="418" t="str">
        <f t="shared" si="6"/>
        <v/>
      </c>
      <c r="O60" s="498" t="str">
        <f t="shared" si="1"/>
        <v/>
      </c>
      <c r="P60" s="499" t="str">
        <f>IF(C60="","",IF(AND(LEFT(C60,55)&lt;&gt;LEFT(N60,55),O60="High - High"),"Error - Not like for like ▲",IF(AND(F60=S60,H60&gt;U60),"Error - Can not reduce condition ▲",IF(AND(F60=S60,H60=U60,AJ60='C-1 Site River Baseline'!N58,'C-1 Site River Baseline'!P58=AL60),"Error - No enhancement ▲",IF(AND(C60&lt;&gt;N60,F60&lt;S60),"Lower Distinctiveness Habitat"&amp;" - "&amp;T60,G60&amp;" - "&amp;T60)))))</f>
        <v/>
      </c>
      <c r="Q60" s="567" t="str">
        <f>IF(N60="","",VLOOKUP(B60,'C-1 Site River Baseline'!$C$10:$AA$257,19,FALSE))</f>
        <v/>
      </c>
      <c r="R60" s="498" t="str">
        <f>IF(N60="","",VLOOKUP(N60,'G-7 Rivers Data'!$B$2:$G$8,2,FALSE))</f>
        <v/>
      </c>
      <c r="S60" s="499" t="str">
        <f>IFERROR(VLOOKUP(R60,'G-7 Rivers Data'!$C$4:$D$8,2,FALSE),"")</f>
        <v/>
      </c>
      <c r="T60" s="145"/>
      <c r="U60" s="499" t="str">
        <f>IFERROR(INDEX('G-7 Rivers Data'!$H$4:$L$8,MATCH(N60,'G-7 Rivers Data'!$B$4:$B$8,0),MATCH(T60,'G-7 Rivers Data'!$H$3:$L$3,0)),"")</f>
        <v/>
      </c>
      <c r="V60" s="154"/>
      <c r="W60" s="507" t="str">
        <f>IF(V60="","",IF(VLOOKUP(V60,'G-7 Rivers Data'!$AG$4:$AI$9,2,FALSE)=0,"Spatial Data Missing ⚠",VLOOKUP(V60,'G-7 Rivers Data'!$AG$4:$AI$9,2,FALSE)))</f>
        <v/>
      </c>
      <c r="X60" s="499" t="str">
        <f>IF(V60="","",IF(VLOOKUP(V60,'G-7 Rivers Data'!$AG$4:$AI$9,3,FALSE)=0,"Spatial Data Missing ⚠",VLOOKUP(V60,'G-7 Rivers Data'!$AG$4:$AI$9,3,FALSE)))</f>
        <v/>
      </c>
      <c r="Y60" s="498" t="str">
        <f>IFERROR(IF(OR(LEFT(P60,5)="Error ▲",LEFT(O60,5)="Error ▲"),"Check Data ⚠",IF(F60&lt;S60,'G-7 Rivers Data'!$R$3,INDEX('G-7 Rivers Data'!$U$5:$Y$9,MATCH(G60,'G-7 Rivers Data'!$T$5:$T$9,0),MATCH(T60,'G-7 Rivers Data'!$U$4:$Y$4,0)))),"")</f>
        <v/>
      </c>
      <c r="Z60" s="195"/>
      <c r="AA60" s="195"/>
      <c r="AB60" s="507" t="str">
        <f t="shared" si="2"/>
        <v/>
      </c>
      <c r="AC60" s="521" t="str">
        <f t="shared" si="3"/>
        <v/>
      </c>
      <c r="AD60" s="564" t="str">
        <f>IFERROR(IF(AC60="Check Data ⚠","Check Data ⚠",VLOOKUP(AC60,'G-4 Temporal multipliers'!$A$4:$C$37,3,FALSE)),"")</f>
        <v/>
      </c>
      <c r="AE60" s="498" t="str">
        <f>IF(N60="","",VLOOKUP(N60,'G-7 Rivers Data'!$B$4:$G$8,5,FALSE))</f>
        <v/>
      </c>
      <c r="AF60" s="507" t="str">
        <f t="shared" si="4"/>
        <v/>
      </c>
      <c r="AG60" s="540" t="str">
        <f t="shared" si="5"/>
        <v/>
      </c>
      <c r="AH60" s="499" t="str">
        <f t="shared" si="0"/>
        <v/>
      </c>
      <c r="AI60" s="145"/>
      <c r="AJ60" s="499" t="str">
        <f>IF(AI60="","",IF(VLOOKUP(AI60,'G-7 Rivers Data'!$AA$4:$AB$7,2,FALSE)=0,"Spatial Data Missing ⚠",VLOOKUP(AI60,'G-7 Rivers Data'!$AA$4:$AB$7,2,FALSE)))</f>
        <v/>
      </c>
      <c r="AK60" s="155"/>
      <c r="AL60" s="499" t="str">
        <f>IF(AK60="","",IF(VLOOKUP(AK60,'G-7 Rivers Data'!$AD$4:$AE$8,2,FALSE)=0,"Spatial Data Missing ⚠",VLOOKUP(AK60,'G-7 Rivers Data'!$AD$4:$AE$8,2,FALSE)))</f>
        <v/>
      </c>
      <c r="AM60" s="545" t="str">
        <f t="shared" si="7"/>
        <v/>
      </c>
      <c r="AN60" s="149"/>
      <c r="AO60" s="150"/>
      <c r="AV60" s="31" t="str">
        <f>IFERROR(INDEX('G-7 Rivers Data'!$AZ$3:$AZ$7,MATCH(N60,'G-7 Rivers Data'!$AY$3:$AY$7,0)),"")</f>
        <v/>
      </c>
    </row>
    <row r="61" spans="2:48" ht="13.8" x14ac:dyDescent="0.25">
      <c r="B61" s="531" t="str">
        <f>'C-1 Site River Baseline'!AN59</f>
        <v/>
      </c>
      <c r="C61" s="520" t="str">
        <f>IF(B61="","",VLOOKUP($B61,'C-1 Site River Baseline'!$C$9:$R$257,2,FALSE))</f>
        <v/>
      </c>
      <c r="D61" s="520" t="str">
        <f>IF(C61="","",VLOOKUP($B61,'C-1 Site River Baseline'!$C$9:$R$257,3,FALSE))</f>
        <v/>
      </c>
      <c r="E61" s="520" t="str">
        <f>IF(D61="","",VLOOKUP($B61,'C-1 Site River Baseline'!$C$9:$R$257,4,FALSE))</f>
        <v/>
      </c>
      <c r="F61" s="520" t="str">
        <f>IF(E61="","",VLOOKUP($B61,'C-1 Site River Baseline'!$C$9:$R$257,5,FALSE))</f>
        <v/>
      </c>
      <c r="G61" s="520" t="str">
        <f>IF(F61="","",VLOOKUP($B61,'C-1 Site River Baseline'!$C$9:$R$257,6,FALSE))</f>
        <v/>
      </c>
      <c r="H61" s="520" t="str">
        <f>IF(G61="","",VLOOKUP($B61,'C-1 Site River Baseline'!$C$9:$R$257,7,FALSE))</f>
        <v/>
      </c>
      <c r="I61" s="520" t="str">
        <f>IF(H61="","",VLOOKUP($B61,'C-1 Site River Baseline'!$C$9:$R$257,8,FALSE))</f>
        <v/>
      </c>
      <c r="J61" s="520" t="str">
        <f>IF(I61="","",VLOOKUP($B61,'C-1 Site River Baseline'!$C$9:$R$257,9,FALSE))</f>
        <v/>
      </c>
      <c r="K61" s="520" t="str">
        <f>IF(J61="","",VLOOKUP($B61,'C-1 Site River Baseline'!$C$9:$R$257,10,FALSE))</f>
        <v/>
      </c>
      <c r="L61" s="520" t="str">
        <f>IF(B61="","",VLOOKUP($B61,'C-1 Site River Baseline'!$C$9:$R$257,15,FALSE))</f>
        <v/>
      </c>
      <c r="M61" s="524" t="str">
        <f>IF(L61="","",VLOOKUP($B61,'C-1 Site River Baseline'!$C$9:$R$257,16,FALSE))</f>
        <v/>
      </c>
      <c r="N61" s="418" t="str">
        <f t="shared" si="6"/>
        <v/>
      </c>
      <c r="O61" s="498" t="str">
        <f t="shared" si="1"/>
        <v/>
      </c>
      <c r="P61" s="499" t="str">
        <f>IF(C61="","",IF(AND(LEFT(C61,55)&lt;&gt;LEFT(N61,55),O61="High - High"),"Error - Not like for like ▲",IF(AND(F61=S61,H61&gt;U61),"Error - Can not reduce condition ▲",IF(AND(F61=S61,H61=U61,AJ61='C-1 Site River Baseline'!N59,'C-1 Site River Baseline'!P59=AL61),"Error - No enhancement ▲",IF(AND(C61&lt;&gt;N61,F61&lt;S61),"Lower Distinctiveness Habitat"&amp;" - "&amp;T61,G61&amp;" - "&amp;T61)))))</f>
        <v/>
      </c>
      <c r="Q61" s="567" t="str">
        <f>IF(N61="","",VLOOKUP(B61,'C-1 Site River Baseline'!$C$10:$AA$257,19,FALSE))</f>
        <v/>
      </c>
      <c r="R61" s="498" t="str">
        <f>IF(N61="","",VLOOKUP(N61,'G-7 Rivers Data'!$B$2:$G$8,2,FALSE))</f>
        <v/>
      </c>
      <c r="S61" s="499" t="str">
        <f>IFERROR(VLOOKUP(R61,'G-7 Rivers Data'!$C$4:$D$8,2,FALSE),"")</f>
        <v/>
      </c>
      <c r="T61" s="145"/>
      <c r="U61" s="499" t="str">
        <f>IFERROR(INDEX('G-7 Rivers Data'!$H$4:$L$8,MATCH(N61,'G-7 Rivers Data'!$B$4:$B$8,0),MATCH(T61,'G-7 Rivers Data'!$H$3:$L$3,0)),"")</f>
        <v/>
      </c>
      <c r="V61" s="154"/>
      <c r="W61" s="507" t="str">
        <f>IF(V61="","",IF(VLOOKUP(V61,'G-7 Rivers Data'!$AG$4:$AI$9,2,FALSE)=0,"Spatial Data Missing ⚠",VLOOKUP(V61,'G-7 Rivers Data'!$AG$4:$AI$9,2,FALSE)))</f>
        <v/>
      </c>
      <c r="X61" s="499" t="str">
        <f>IF(V61="","",IF(VLOOKUP(V61,'G-7 Rivers Data'!$AG$4:$AI$9,3,FALSE)=0,"Spatial Data Missing ⚠",VLOOKUP(V61,'G-7 Rivers Data'!$AG$4:$AI$9,3,FALSE)))</f>
        <v/>
      </c>
      <c r="Y61" s="498" t="str">
        <f>IFERROR(IF(OR(LEFT(P61,5)="Error ▲",LEFT(O61,5)="Error ▲"),"Check Data ⚠",IF(F61&lt;S61,'G-7 Rivers Data'!$R$3,INDEX('G-7 Rivers Data'!$U$5:$Y$9,MATCH(G61,'G-7 Rivers Data'!$T$5:$T$9,0),MATCH(T61,'G-7 Rivers Data'!$U$4:$Y$4,0)))),"")</f>
        <v/>
      </c>
      <c r="Z61" s="195"/>
      <c r="AA61" s="195"/>
      <c r="AB61" s="507" t="str">
        <f t="shared" si="2"/>
        <v/>
      </c>
      <c r="AC61" s="521" t="str">
        <f t="shared" si="3"/>
        <v/>
      </c>
      <c r="AD61" s="564" t="str">
        <f>IFERROR(IF(AC61="Check Data ⚠","Check Data ⚠",VLOOKUP(AC61,'G-4 Temporal multipliers'!$A$4:$C$37,3,FALSE)),"")</f>
        <v/>
      </c>
      <c r="AE61" s="498" t="str">
        <f>IF(N61="","",VLOOKUP(N61,'G-7 Rivers Data'!$B$4:$G$8,5,FALSE))</f>
        <v/>
      </c>
      <c r="AF61" s="507" t="str">
        <f t="shared" si="4"/>
        <v/>
      </c>
      <c r="AG61" s="540" t="str">
        <f t="shared" si="5"/>
        <v/>
      </c>
      <c r="AH61" s="499" t="str">
        <f t="shared" si="0"/>
        <v/>
      </c>
      <c r="AI61" s="145"/>
      <c r="AJ61" s="499" t="str">
        <f>IF(AI61="","",IF(VLOOKUP(AI61,'G-7 Rivers Data'!$AA$4:$AB$7,2,FALSE)=0,"Spatial Data Missing ⚠",VLOOKUP(AI61,'G-7 Rivers Data'!$AA$4:$AB$7,2,FALSE)))</f>
        <v/>
      </c>
      <c r="AK61" s="155"/>
      <c r="AL61" s="499" t="str">
        <f>IF(AK61="","",IF(VLOOKUP(AK61,'G-7 Rivers Data'!$AD$4:$AE$8,2,FALSE)=0,"Spatial Data Missing ⚠",VLOOKUP(AK61,'G-7 Rivers Data'!$AD$4:$AE$8,2,FALSE)))</f>
        <v/>
      </c>
      <c r="AM61" s="545" t="str">
        <f t="shared" si="7"/>
        <v/>
      </c>
      <c r="AN61" s="149"/>
      <c r="AO61" s="150"/>
      <c r="AV61" s="31" t="str">
        <f>IFERROR(INDEX('G-7 Rivers Data'!$AZ$3:$AZ$7,MATCH(N61,'G-7 Rivers Data'!$AY$3:$AY$7,0)),"")</f>
        <v/>
      </c>
    </row>
    <row r="62" spans="2:48" ht="13.8" x14ac:dyDescent="0.25">
      <c r="B62" s="531" t="str">
        <f>'C-1 Site River Baseline'!AN60</f>
        <v/>
      </c>
      <c r="C62" s="520" t="str">
        <f>IF(B62="","",VLOOKUP($B62,'C-1 Site River Baseline'!$C$9:$R$257,2,FALSE))</f>
        <v/>
      </c>
      <c r="D62" s="520" t="str">
        <f>IF(C62="","",VLOOKUP($B62,'C-1 Site River Baseline'!$C$9:$R$257,3,FALSE))</f>
        <v/>
      </c>
      <c r="E62" s="520" t="str">
        <f>IF(D62="","",VLOOKUP($B62,'C-1 Site River Baseline'!$C$9:$R$257,4,FALSE))</f>
        <v/>
      </c>
      <c r="F62" s="520" t="str">
        <f>IF(E62="","",VLOOKUP($B62,'C-1 Site River Baseline'!$C$9:$R$257,5,FALSE))</f>
        <v/>
      </c>
      <c r="G62" s="520" t="str">
        <f>IF(F62="","",VLOOKUP($B62,'C-1 Site River Baseline'!$C$9:$R$257,6,FALSE))</f>
        <v/>
      </c>
      <c r="H62" s="520" t="str">
        <f>IF(G62="","",VLOOKUP($B62,'C-1 Site River Baseline'!$C$9:$R$257,7,FALSE))</f>
        <v/>
      </c>
      <c r="I62" s="520" t="str">
        <f>IF(H62="","",VLOOKUP($B62,'C-1 Site River Baseline'!$C$9:$R$257,8,FALSE))</f>
        <v/>
      </c>
      <c r="J62" s="520" t="str">
        <f>IF(I62="","",VLOOKUP($B62,'C-1 Site River Baseline'!$C$9:$R$257,9,FALSE))</f>
        <v/>
      </c>
      <c r="K62" s="520" t="str">
        <f>IF(J62="","",VLOOKUP($B62,'C-1 Site River Baseline'!$C$9:$R$257,10,FALSE))</f>
        <v/>
      </c>
      <c r="L62" s="520" t="str">
        <f>IF(B62="","",VLOOKUP($B62,'C-1 Site River Baseline'!$C$9:$R$257,15,FALSE))</f>
        <v/>
      </c>
      <c r="M62" s="524" t="str">
        <f>IF(L62="","",VLOOKUP($B62,'C-1 Site River Baseline'!$C$9:$R$257,16,FALSE))</f>
        <v/>
      </c>
      <c r="N62" s="418" t="str">
        <f t="shared" si="6"/>
        <v/>
      </c>
      <c r="O62" s="498" t="str">
        <f t="shared" si="1"/>
        <v/>
      </c>
      <c r="P62" s="499" t="str">
        <f>IF(C62="","",IF(AND(LEFT(C62,55)&lt;&gt;LEFT(N62,55),O62="High - High"),"Error - Not like for like ▲",IF(AND(F62=S62,H62&gt;U62),"Error - Can not reduce condition ▲",IF(AND(F62=S62,H62=U62,AJ62='C-1 Site River Baseline'!N60,'C-1 Site River Baseline'!P60=AL62),"Error - No enhancement ▲",IF(AND(C62&lt;&gt;N62,F62&lt;S62),"Lower Distinctiveness Habitat"&amp;" - "&amp;T62,G62&amp;" - "&amp;T62)))))</f>
        <v/>
      </c>
      <c r="Q62" s="567" t="str">
        <f>IF(N62="","",VLOOKUP(B62,'C-1 Site River Baseline'!$C$10:$AA$257,19,FALSE))</f>
        <v/>
      </c>
      <c r="R62" s="498" t="str">
        <f>IF(N62="","",VLOOKUP(N62,'G-7 Rivers Data'!$B$2:$G$8,2,FALSE))</f>
        <v/>
      </c>
      <c r="S62" s="499" t="str">
        <f>IFERROR(VLOOKUP(R62,'G-7 Rivers Data'!$C$4:$D$8,2,FALSE),"")</f>
        <v/>
      </c>
      <c r="T62" s="145"/>
      <c r="U62" s="499" t="str">
        <f>IFERROR(INDEX('G-7 Rivers Data'!$H$4:$L$8,MATCH(N62,'G-7 Rivers Data'!$B$4:$B$8,0),MATCH(T62,'G-7 Rivers Data'!$H$3:$L$3,0)),"")</f>
        <v/>
      </c>
      <c r="V62" s="154"/>
      <c r="W62" s="507" t="str">
        <f>IF(V62="","",IF(VLOOKUP(V62,'G-7 Rivers Data'!$AG$4:$AI$9,2,FALSE)=0,"Spatial Data Missing ⚠",VLOOKUP(V62,'G-7 Rivers Data'!$AG$4:$AI$9,2,FALSE)))</f>
        <v/>
      </c>
      <c r="X62" s="499" t="str">
        <f>IF(V62="","",IF(VLOOKUP(V62,'G-7 Rivers Data'!$AG$4:$AI$9,3,FALSE)=0,"Spatial Data Missing ⚠",VLOOKUP(V62,'G-7 Rivers Data'!$AG$4:$AI$9,3,FALSE)))</f>
        <v/>
      </c>
      <c r="Y62" s="498" t="str">
        <f>IFERROR(IF(OR(LEFT(P62,5)="Error ▲",LEFT(O62,5)="Error ▲"),"Check Data ⚠",IF(F62&lt;S62,'G-7 Rivers Data'!$R$3,INDEX('G-7 Rivers Data'!$U$5:$Y$9,MATCH(G62,'G-7 Rivers Data'!$T$5:$T$9,0),MATCH(T62,'G-7 Rivers Data'!$U$4:$Y$4,0)))),"")</f>
        <v/>
      </c>
      <c r="Z62" s="195"/>
      <c r="AA62" s="195"/>
      <c r="AB62" s="507" t="str">
        <f t="shared" si="2"/>
        <v/>
      </c>
      <c r="AC62" s="521" t="str">
        <f t="shared" si="3"/>
        <v/>
      </c>
      <c r="AD62" s="564" t="str">
        <f>IFERROR(IF(AC62="Check Data ⚠","Check Data ⚠",VLOOKUP(AC62,'G-4 Temporal multipliers'!$A$4:$C$37,3,FALSE)),"")</f>
        <v/>
      </c>
      <c r="AE62" s="498" t="str">
        <f>IF(N62="","",VLOOKUP(N62,'G-7 Rivers Data'!$B$4:$G$8,5,FALSE))</f>
        <v/>
      </c>
      <c r="AF62" s="507" t="str">
        <f t="shared" si="4"/>
        <v/>
      </c>
      <c r="AG62" s="540" t="str">
        <f t="shared" si="5"/>
        <v/>
      </c>
      <c r="AH62" s="499" t="str">
        <f t="shared" si="0"/>
        <v/>
      </c>
      <c r="AI62" s="145"/>
      <c r="AJ62" s="499" t="str">
        <f>IF(AI62="","",IF(VLOOKUP(AI62,'G-7 Rivers Data'!$AA$4:$AB$7,2,FALSE)=0,"Spatial Data Missing ⚠",VLOOKUP(AI62,'G-7 Rivers Data'!$AA$4:$AB$7,2,FALSE)))</f>
        <v/>
      </c>
      <c r="AK62" s="155"/>
      <c r="AL62" s="499" t="str">
        <f>IF(AK62="","",IF(VLOOKUP(AK62,'G-7 Rivers Data'!$AD$4:$AE$8,2,FALSE)=0,"Spatial Data Missing ⚠",VLOOKUP(AK62,'G-7 Rivers Data'!$AD$4:$AE$8,2,FALSE)))</f>
        <v/>
      </c>
      <c r="AM62" s="545" t="str">
        <f t="shared" si="7"/>
        <v/>
      </c>
      <c r="AN62" s="149"/>
      <c r="AO62" s="150"/>
      <c r="AV62" s="31" t="str">
        <f>IFERROR(INDEX('G-7 Rivers Data'!$AZ$3:$AZ$7,MATCH(N62,'G-7 Rivers Data'!$AY$3:$AY$7,0)),"")</f>
        <v/>
      </c>
    </row>
    <row r="63" spans="2:48" ht="13.8" x14ac:dyDescent="0.25">
      <c r="B63" s="531" t="str">
        <f>'C-1 Site River Baseline'!AN61</f>
        <v/>
      </c>
      <c r="C63" s="520" t="str">
        <f>IF(B63="","",VLOOKUP($B63,'C-1 Site River Baseline'!$C$9:$R$257,2,FALSE))</f>
        <v/>
      </c>
      <c r="D63" s="520" t="str">
        <f>IF(C63="","",VLOOKUP($B63,'C-1 Site River Baseline'!$C$9:$R$257,3,FALSE))</f>
        <v/>
      </c>
      <c r="E63" s="520" t="str">
        <f>IF(D63="","",VLOOKUP($B63,'C-1 Site River Baseline'!$C$9:$R$257,4,FALSE))</f>
        <v/>
      </c>
      <c r="F63" s="520" t="str">
        <f>IF(E63="","",VLOOKUP($B63,'C-1 Site River Baseline'!$C$9:$R$257,5,FALSE))</f>
        <v/>
      </c>
      <c r="G63" s="520" t="str">
        <f>IF(F63="","",VLOOKUP($B63,'C-1 Site River Baseline'!$C$9:$R$257,6,FALSE))</f>
        <v/>
      </c>
      <c r="H63" s="520" t="str">
        <f>IF(G63="","",VLOOKUP($B63,'C-1 Site River Baseline'!$C$9:$R$257,7,FALSE))</f>
        <v/>
      </c>
      <c r="I63" s="520" t="str">
        <f>IF(H63="","",VLOOKUP($B63,'C-1 Site River Baseline'!$C$9:$R$257,8,FALSE))</f>
        <v/>
      </c>
      <c r="J63" s="520" t="str">
        <f>IF(I63="","",VLOOKUP($B63,'C-1 Site River Baseline'!$C$9:$R$257,9,FALSE))</f>
        <v/>
      </c>
      <c r="K63" s="520" t="str">
        <f>IF(J63="","",VLOOKUP($B63,'C-1 Site River Baseline'!$C$9:$R$257,10,FALSE))</f>
        <v/>
      </c>
      <c r="L63" s="520" t="str">
        <f>IF(B63="","",VLOOKUP($B63,'C-1 Site River Baseline'!$C$9:$R$257,15,FALSE))</f>
        <v/>
      </c>
      <c r="M63" s="524" t="str">
        <f>IF(L63="","",VLOOKUP($B63,'C-1 Site River Baseline'!$C$9:$R$257,16,FALSE))</f>
        <v/>
      </c>
      <c r="N63" s="418" t="str">
        <f t="shared" si="6"/>
        <v/>
      </c>
      <c r="O63" s="498" t="str">
        <f t="shared" si="1"/>
        <v/>
      </c>
      <c r="P63" s="499" t="str">
        <f>IF(C63="","",IF(AND(LEFT(C63,55)&lt;&gt;LEFT(N63,55),O63="High - High"),"Error - Not like for like ▲",IF(AND(F63=S63,H63&gt;U63),"Error - Can not reduce condition ▲",IF(AND(F63=S63,H63=U63,AJ63='C-1 Site River Baseline'!N61,'C-1 Site River Baseline'!P61=AL63),"Error - No enhancement ▲",IF(AND(C63&lt;&gt;N63,F63&lt;S63),"Lower Distinctiveness Habitat"&amp;" - "&amp;T63,G63&amp;" - "&amp;T63)))))</f>
        <v/>
      </c>
      <c r="Q63" s="567" t="str">
        <f>IF(N63="","",VLOOKUP(B63,'C-1 Site River Baseline'!$C$10:$AA$257,19,FALSE))</f>
        <v/>
      </c>
      <c r="R63" s="498" t="str">
        <f>IF(N63="","",VLOOKUP(N63,'G-7 Rivers Data'!$B$2:$G$8,2,FALSE))</f>
        <v/>
      </c>
      <c r="S63" s="499" t="str">
        <f>IFERROR(VLOOKUP(R63,'G-7 Rivers Data'!$C$4:$D$8,2,FALSE),"")</f>
        <v/>
      </c>
      <c r="T63" s="145"/>
      <c r="U63" s="499" t="str">
        <f>IFERROR(INDEX('G-7 Rivers Data'!$H$4:$L$8,MATCH(N63,'G-7 Rivers Data'!$B$4:$B$8,0),MATCH(T63,'G-7 Rivers Data'!$H$3:$L$3,0)),"")</f>
        <v/>
      </c>
      <c r="V63" s="154"/>
      <c r="W63" s="507" t="str">
        <f>IF(V63="","",IF(VLOOKUP(V63,'G-7 Rivers Data'!$AG$4:$AI$9,2,FALSE)=0,"Spatial Data Missing ⚠",VLOOKUP(V63,'G-7 Rivers Data'!$AG$4:$AI$9,2,FALSE)))</f>
        <v/>
      </c>
      <c r="X63" s="499" t="str">
        <f>IF(V63="","",IF(VLOOKUP(V63,'G-7 Rivers Data'!$AG$4:$AI$9,3,FALSE)=0,"Spatial Data Missing ⚠",VLOOKUP(V63,'G-7 Rivers Data'!$AG$4:$AI$9,3,FALSE)))</f>
        <v/>
      </c>
      <c r="Y63" s="498" t="str">
        <f>IFERROR(IF(OR(LEFT(P63,5)="Error ▲",LEFT(O63,5)="Error ▲"),"Check Data ⚠",IF(F63&lt;S63,'G-7 Rivers Data'!$R$3,INDEX('G-7 Rivers Data'!$U$5:$Y$9,MATCH(G63,'G-7 Rivers Data'!$T$5:$T$9,0),MATCH(T63,'G-7 Rivers Data'!$U$4:$Y$4,0)))),"")</f>
        <v/>
      </c>
      <c r="Z63" s="195"/>
      <c r="AA63" s="195"/>
      <c r="AB63" s="507" t="str">
        <f t="shared" si="2"/>
        <v/>
      </c>
      <c r="AC63" s="521" t="str">
        <f t="shared" si="3"/>
        <v/>
      </c>
      <c r="AD63" s="564" t="str">
        <f>IFERROR(IF(AC63="Check Data ⚠","Check Data ⚠",VLOOKUP(AC63,'G-4 Temporal multipliers'!$A$4:$C$37,3,FALSE)),"")</f>
        <v/>
      </c>
      <c r="AE63" s="498" t="str">
        <f>IF(N63="","",VLOOKUP(N63,'G-7 Rivers Data'!$B$4:$G$8,5,FALSE))</f>
        <v/>
      </c>
      <c r="AF63" s="507" t="str">
        <f t="shared" si="4"/>
        <v/>
      </c>
      <c r="AG63" s="540" t="str">
        <f t="shared" si="5"/>
        <v/>
      </c>
      <c r="AH63" s="499" t="str">
        <f t="shared" si="0"/>
        <v/>
      </c>
      <c r="AI63" s="145"/>
      <c r="AJ63" s="499" t="str">
        <f>IF(AI63="","",IF(VLOOKUP(AI63,'G-7 Rivers Data'!$AA$4:$AB$7,2,FALSE)=0,"Spatial Data Missing ⚠",VLOOKUP(AI63,'G-7 Rivers Data'!$AA$4:$AB$7,2,FALSE)))</f>
        <v/>
      </c>
      <c r="AK63" s="155"/>
      <c r="AL63" s="499" t="str">
        <f>IF(AK63="","",IF(VLOOKUP(AK63,'G-7 Rivers Data'!$AD$4:$AE$8,2,FALSE)=0,"Spatial Data Missing ⚠",VLOOKUP(AK63,'G-7 Rivers Data'!$AD$4:$AE$8,2,FALSE)))</f>
        <v/>
      </c>
      <c r="AM63" s="545" t="str">
        <f t="shared" si="7"/>
        <v/>
      </c>
      <c r="AN63" s="149"/>
      <c r="AO63" s="150"/>
      <c r="AV63" s="31" t="str">
        <f>IFERROR(INDEX('G-7 Rivers Data'!$AZ$3:$AZ$7,MATCH(N63,'G-7 Rivers Data'!$AY$3:$AY$7,0)),"")</f>
        <v/>
      </c>
    </row>
    <row r="64" spans="2:48" ht="13.8" x14ac:dyDescent="0.25">
      <c r="B64" s="531" t="str">
        <f>'C-1 Site River Baseline'!AN62</f>
        <v/>
      </c>
      <c r="C64" s="520" t="str">
        <f>IF(B64="","",VLOOKUP($B64,'C-1 Site River Baseline'!$C$9:$R$257,2,FALSE))</f>
        <v/>
      </c>
      <c r="D64" s="520" t="str">
        <f>IF(C64="","",VLOOKUP($B64,'C-1 Site River Baseline'!$C$9:$R$257,3,FALSE))</f>
        <v/>
      </c>
      <c r="E64" s="520" t="str">
        <f>IF(D64="","",VLOOKUP($B64,'C-1 Site River Baseline'!$C$9:$R$257,4,FALSE))</f>
        <v/>
      </c>
      <c r="F64" s="520" t="str">
        <f>IF(E64="","",VLOOKUP($B64,'C-1 Site River Baseline'!$C$9:$R$257,5,FALSE))</f>
        <v/>
      </c>
      <c r="G64" s="520" t="str">
        <f>IF(F64="","",VLOOKUP($B64,'C-1 Site River Baseline'!$C$9:$R$257,6,FALSE))</f>
        <v/>
      </c>
      <c r="H64" s="520" t="str">
        <f>IF(G64="","",VLOOKUP($B64,'C-1 Site River Baseline'!$C$9:$R$257,7,FALSE))</f>
        <v/>
      </c>
      <c r="I64" s="520" t="str">
        <f>IF(H64="","",VLOOKUP($B64,'C-1 Site River Baseline'!$C$9:$R$257,8,FALSE))</f>
        <v/>
      </c>
      <c r="J64" s="520" t="str">
        <f>IF(I64="","",VLOOKUP($B64,'C-1 Site River Baseline'!$C$9:$R$257,9,FALSE))</f>
        <v/>
      </c>
      <c r="K64" s="520" t="str">
        <f>IF(J64="","",VLOOKUP($B64,'C-1 Site River Baseline'!$C$9:$R$257,10,FALSE))</f>
        <v/>
      </c>
      <c r="L64" s="520" t="str">
        <f>IF(B64="","",VLOOKUP($B64,'C-1 Site River Baseline'!$C$9:$R$257,15,FALSE))</f>
        <v/>
      </c>
      <c r="M64" s="524" t="str">
        <f>IF(L64="","",VLOOKUP($B64,'C-1 Site River Baseline'!$C$9:$R$257,16,FALSE))</f>
        <v/>
      </c>
      <c r="N64" s="418" t="str">
        <f t="shared" si="6"/>
        <v/>
      </c>
      <c r="O64" s="498" t="str">
        <f t="shared" si="1"/>
        <v/>
      </c>
      <c r="P64" s="499" t="str">
        <f>IF(C64="","",IF(AND(LEFT(C64,55)&lt;&gt;LEFT(N64,55),O64="High - High"),"Error - Not like for like ▲",IF(AND(F64=S64,H64&gt;U64),"Error - Can not reduce condition ▲",IF(AND(F64=S64,H64=U64,AJ64='C-1 Site River Baseline'!N62,'C-1 Site River Baseline'!P62=AL64),"Error - No enhancement ▲",IF(AND(C64&lt;&gt;N64,F64&lt;S64),"Lower Distinctiveness Habitat"&amp;" - "&amp;T64,G64&amp;" - "&amp;T64)))))</f>
        <v/>
      </c>
      <c r="Q64" s="567" t="str">
        <f>IF(N64="","",VLOOKUP(B64,'C-1 Site River Baseline'!$C$10:$AA$257,19,FALSE))</f>
        <v/>
      </c>
      <c r="R64" s="498" t="str">
        <f>IF(N64="","",VLOOKUP(N64,'G-7 Rivers Data'!$B$2:$G$8,2,FALSE))</f>
        <v/>
      </c>
      <c r="S64" s="499" t="str">
        <f>IFERROR(VLOOKUP(R64,'G-7 Rivers Data'!$C$4:$D$8,2,FALSE),"")</f>
        <v/>
      </c>
      <c r="T64" s="145"/>
      <c r="U64" s="499" t="str">
        <f>IFERROR(INDEX('G-7 Rivers Data'!$H$4:$L$8,MATCH(N64,'G-7 Rivers Data'!$B$4:$B$8,0),MATCH(T64,'G-7 Rivers Data'!$H$3:$L$3,0)),"")</f>
        <v/>
      </c>
      <c r="V64" s="154"/>
      <c r="W64" s="507" t="str">
        <f>IF(V64="","",IF(VLOOKUP(V64,'G-7 Rivers Data'!$AG$4:$AI$9,2,FALSE)=0,"Spatial Data Missing ⚠",VLOOKUP(V64,'G-7 Rivers Data'!$AG$4:$AI$9,2,FALSE)))</f>
        <v/>
      </c>
      <c r="X64" s="499" t="str">
        <f>IF(V64="","",IF(VLOOKUP(V64,'G-7 Rivers Data'!$AG$4:$AI$9,3,FALSE)=0,"Spatial Data Missing ⚠",VLOOKUP(V64,'G-7 Rivers Data'!$AG$4:$AI$9,3,FALSE)))</f>
        <v/>
      </c>
      <c r="Y64" s="498" t="str">
        <f>IFERROR(IF(OR(LEFT(P64,5)="Error ▲",LEFT(O64,5)="Error ▲"),"Check Data ⚠",IF(F64&lt;S64,'G-7 Rivers Data'!$R$3,INDEX('G-7 Rivers Data'!$U$5:$Y$9,MATCH(G64,'G-7 Rivers Data'!$T$5:$T$9,0),MATCH(T64,'G-7 Rivers Data'!$U$4:$Y$4,0)))),"")</f>
        <v/>
      </c>
      <c r="Z64" s="195"/>
      <c r="AA64" s="195"/>
      <c r="AB64" s="507" t="str">
        <f t="shared" si="2"/>
        <v/>
      </c>
      <c r="AC64" s="521" t="str">
        <f t="shared" si="3"/>
        <v/>
      </c>
      <c r="AD64" s="564" t="str">
        <f>IFERROR(IF(AC64="Check Data ⚠","Check Data ⚠",VLOOKUP(AC64,'G-4 Temporal multipliers'!$A$4:$C$37,3,FALSE)),"")</f>
        <v/>
      </c>
      <c r="AE64" s="498" t="str">
        <f>IF(N64="","",VLOOKUP(N64,'G-7 Rivers Data'!$B$4:$G$8,5,FALSE))</f>
        <v/>
      </c>
      <c r="AF64" s="507" t="str">
        <f t="shared" si="4"/>
        <v/>
      </c>
      <c r="AG64" s="540" t="str">
        <f t="shared" si="5"/>
        <v/>
      </c>
      <c r="AH64" s="499" t="str">
        <f t="shared" si="0"/>
        <v/>
      </c>
      <c r="AI64" s="145"/>
      <c r="AJ64" s="499" t="str">
        <f>IF(AI64="","",IF(VLOOKUP(AI64,'G-7 Rivers Data'!$AA$4:$AB$7,2,FALSE)=0,"Spatial Data Missing ⚠",VLOOKUP(AI64,'G-7 Rivers Data'!$AA$4:$AB$7,2,FALSE)))</f>
        <v/>
      </c>
      <c r="AK64" s="155"/>
      <c r="AL64" s="499" t="str">
        <f>IF(AK64="","",IF(VLOOKUP(AK64,'G-7 Rivers Data'!$AD$4:$AE$8,2,FALSE)=0,"Spatial Data Missing ⚠",VLOOKUP(AK64,'G-7 Rivers Data'!$AD$4:$AE$8,2,FALSE)))</f>
        <v/>
      </c>
      <c r="AM64" s="545" t="str">
        <f t="shared" si="7"/>
        <v/>
      </c>
      <c r="AN64" s="149"/>
      <c r="AO64" s="150"/>
      <c r="AV64" s="31" t="str">
        <f>IFERROR(INDEX('G-7 Rivers Data'!$AZ$3:$AZ$7,MATCH(N64,'G-7 Rivers Data'!$AY$3:$AY$7,0)),"")</f>
        <v/>
      </c>
    </row>
    <row r="65" spans="2:48" ht="13.8" x14ac:dyDescent="0.25">
      <c r="B65" s="531" t="str">
        <f>'C-1 Site River Baseline'!AN63</f>
        <v/>
      </c>
      <c r="C65" s="520" t="str">
        <f>IF(B65="","",VLOOKUP($B65,'C-1 Site River Baseline'!$C$9:$R$257,2,FALSE))</f>
        <v/>
      </c>
      <c r="D65" s="520" t="str">
        <f>IF(C65="","",VLOOKUP($B65,'C-1 Site River Baseline'!$C$9:$R$257,3,FALSE))</f>
        <v/>
      </c>
      <c r="E65" s="520" t="str">
        <f>IF(D65="","",VLOOKUP($B65,'C-1 Site River Baseline'!$C$9:$R$257,4,FALSE))</f>
        <v/>
      </c>
      <c r="F65" s="520" t="str">
        <f>IF(E65="","",VLOOKUP($B65,'C-1 Site River Baseline'!$C$9:$R$257,5,FALSE))</f>
        <v/>
      </c>
      <c r="G65" s="520" t="str">
        <f>IF(F65="","",VLOOKUP($B65,'C-1 Site River Baseline'!$C$9:$R$257,6,FALSE))</f>
        <v/>
      </c>
      <c r="H65" s="520" t="str">
        <f>IF(G65="","",VLOOKUP($B65,'C-1 Site River Baseline'!$C$9:$R$257,7,FALSE))</f>
        <v/>
      </c>
      <c r="I65" s="520" t="str">
        <f>IF(H65="","",VLOOKUP($B65,'C-1 Site River Baseline'!$C$9:$R$257,8,FALSE))</f>
        <v/>
      </c>
      <c r="J65" s="520" t="str">
        <f>IF(I65="","",VLOOKUP($B65,'C-1 Site River Baseline'!$C$9:$R$257,9,FALSE))</f>
        <v/>
      </c>
      <c r="K65" s="520" t="str">
        <f>IF(J65="","",VLOOKUP($B65,'C-1 Site River Baseline'!$C$9:$R$257,10,FALSE))</f>
        <v/>
      </c>
      <c r="L65" s="520" t="str">
        <f>IF(B65="","",VLOOKUP($B65,'C-1 Site River Baseline'!$C$9:$R$257,15,FALSE))</f>
        <v/>
      </c>
      <c r="M65" s="524" t="str">
        <f>IF(L65="","",VLOOKUP($B65,'C-1 Site River Baseline'!$C$9:$R$257,16,FALSE))</f>
        <v/>
      </c>
      <c r="N65" s="418" t="str">
        <f t="shared" si="6"/>
        <v/>
      </c>
      <c r="O65" s="498" t="str">
        <f t="shared" si="1"/>
        <v/>
      </c>
      <c r="P65" s="499" t="str">
        <f>IF(C65="","",IF(AND(LEFT(C65,55)&lt;&gt;LEFT(N65,55),O65="High - High"),"Error - Not like for like ▲",IF(AND(F65=S65,H65&gt;U65),"Error - Can not reduce condition ▲",IF(AND(F65=S65,H65=U65,AJ65='C-1 Site River Baseline'!N63,'C-1 Site River Baseline'!P63=AL65),"Error - No enhancement ▲",IF(AND(C65&lt;&gt;N65,F65&lt;S65),"Lower Distinctiveness Habitat"&amp;" - "&amp;T65,G65&amp;" - "&amp;T65)))))</f>
        <v/>
      </c>
      <c r="Q65" s="567" t="str">
        <f>IF(N65="","",VLOOKUP(B65,'C-1 Site River Baseline'!$C$10:$AA$257,19,FALSE))</f>
        <v/>
      </c>
      <c r="R65" s="498" t="str">
        <f>IF(N65="","",VLOOKUP(N65,'G-7 Rivers Data'!$B$2:$G$8,2,FALSE))</f>
        <v/>
      </c>
      <c r="S65" s="499" t="str">
        <f>IFERROR(VLOOKUP(R65,'G-7 Rivers Data'!$C$4:$D$8,2,FALSE),"")</f>
        <v/>
      </c>
      <c r="T65" s="145"/>
      <c r="U65" s="499" t="str">
        <f>IFERROR(INDEX('G-7 Rivers Data'!$H$4:$L$8,MATCH(N65,'G-7 Rivers Data'!$B$4:$B$8,0),MATCH(T65,'G-7 Rivers Data'!$H$3:$L$3,0)),"")</f>
        <v/>
      </c>
      <c r="V65" s="154"/>
      <c r="W65" s="507" t="str">
        <f>IF(V65="","",IF(VLOOKUP(V65,'G-7 Rivers Data'!$AG$4:$AI$9,2,FALSE)=0,"Spatial Data Missing ⚠",VLOOKUP(V65,'G-7 Rivers Data'!$AG$4:$AI$9,2,FALSE)))</f>
        <v/>
      </c>
      <c r="X65" s="499" t="str">
        <f>IF(V65="","",IF(VLOOKUP(V65,'G-7 Rivers Data'!$AG$4:$AI$9,3,FALSE)=0,"Spatial Data Missing ⚠",VLOOKUP(V65,'G-7 Rivers Data'!$AG$4:$AI$9,3,FALSE)))</f>
        <v/>
      </c>
      <c r="Y65" s="498" t="str">
        <f>IFERROR(IF(OR(LEFT(P65,5)="Error ▲",LEFT(O65,5)="Error ▲"),"Check Data ⚠",IF(F65&lt;S65,'G-7 Rivers Data'!$R$3,INDEX('G-7 Rivers Data'!$U$5:$Y$9,MATCH(G65,'G-7 Rivers Data'!$T$5:$T$9,0),MATCH(T65,'G-7 Rivers Data'!$U$4:$Y$4,0)))),"")</f>
        <v/>
      </c>
      <c r="Z65" s="195"/>
      <c r="AA65" s="195"/>
      <c r="AB65" s="507" t="str">
        <f t="shared" si="2"/>
        <v/>
      </c>
      <c r="AC65" s="521" t="str">
        <f t="shared" si="3"/>
        <v/>
      </c>
      <c r="AD65" s="564" t="str">
        <f>IFERROR(IF(AC65="Check Data ⚠","Check Data ⚠",VLOOKUP(AC65,'G-4 Temporal multipliers'!$A$4:$C$37,3,FALSE)),"")</f>
        <v/>
      </c>
      <c r="AE65" s="498" t="str">
        <f>IF(N65="","",VLOOKUP(N65,'G-7 Rivers Data'!$B$4:$G$8,5,FALSE))</f>
        <v/>
      </c>
      <c r="AF65" s="507" t="str">
        <f t="shared" si="4"/>
        <v/>
      </c>
      <c r="AG65" s="540" t="str">
        <f t="shared" si="5"/>
        <v/>
      </c>
      <c r="AH65" s="499" t="str">
        <f t="shared" si="0"/>
        <v/>
      </c>
      <c r="AI65" s="145"/>
      <c r="AJ65" s="499" t="str">
        <f>IF(AI65="","",IF(VLOOKUP(AI65,'G-7 Rivers Data'!$AA$4:$AB$7,2,FALSE)=0,"Spatial Data Missing ⚠",VLOOKUP(AI65,'G-7 Rivers Data'!$AA$4:$AB$7,2,FALSE)))</f>
        <v/>
      </c>
      <c r="AK65" s="155"/>
      <c r="AL65" s="499" t="str">
        <f>IF(AK65="","",IF(VLOOKUP(AK65,'G-7 Rivers Data'!$AD$4:$AE$8,2,FALSE)=0,"Spatial Data Missing ⚠",VLOOKUP(AK65,'G-7 Rivers Data'!$AD$4:$AE$8,2,FALSE)))</f>
        <v/>
      </c>
      <c r="AM65" s="545" t="str">
        <f t="shared" si="7"/>
        <v/>
      </c>
      <c r="AN65" s="149"/>
      <c r="AO65" s="150"/>
      <c r="AV65" s="31" t="str">
        <f>IFERROR(INDEX('G-7 Rivers Data'!$AZ$3:$AZ$7,MATCH(N65,'G-7 Rivers Data'!$AY$3:$AY$7,0)),"")</f>
        <v/>
      </c>
    </row>
    <row r="66" spans="2:48" ht="13.8" x14ac:dyDescent="0.25">
      <c r="B66" s="531" t="str">
        <f>'C-1 Site River Baseline'!AN64</f>
        <v/>
      </c>
      <c r="C66" s="520" t="str">
        <f>IF(B66="","",VLOOKUP($B66,'C-1 Site River Baseline'!$C$9:$R$257,2,FALSE))</f>
        <v/>
      </c>
      <c r="D66" s="520" t="str">
        <f>IF(C66="","",VLOOKUP($B66,'C-1 Site River Baseline'!$C$9:$R$257,3,FALSE))</f>
        <v/>
      </c>
      <c r="E66" s="520" t="str">
        <f>IF(D66="","",VLOOKUP($B66,'C-1 Site River Baseline'!$C$9:$R$257,4,FALSE))</f>
        <v/>
      </c>
      <c r="F66" s="520" t="str">
        <f>IF(E66="","",VLOOKUP($B66,'C-1 Site River Baseline'!$C$9:$R$257,5,FALSE))</f>
        <v/>
      </c>
      <c r="G66" s="520" t="str">
        <f>IF(F66="","",VLOOKUP($B66,'C-1 Site River Baseline'!$C$9:$R$257,6,FALSE))</f>
        <v/>
      </c>
      <c r="H66" s="520" t="str">
        <f>IF(G66="","",VLOOKUP($B66,'C-1 Site River Baseline'!$C$9:$R$257,7,FALSE))</f>
        <v/>
      </c>
      <c r="I66" s="520" t="str">
        <f>IF(H66="","",VLOOKUP($B66,'C-1 Site River Baseline'!$C$9:$R$257,8,FALSE))</f>
        <v/>
      </c>
      <c r="J66" s="520" t="str">
        <f>IF(I66="","",VLOOKUP($B66,'C-1 Site River Baseline'!$C$9:$R$257,9,FALSE))</f>
        <v/>
      </c>
      <c r="K66" s="520" t="str">
        <f>IF(J66="","",VLOOKUP($B66,'C-1 Site River Baseline'!$C$9:$R$257,10,FALSE))</f>
        <v/>
      </c>
      <c r="L66" s="520" t="str">
        <f>IF(B66="","",VLOOKUP($B66,'C-1 Site River Baseline'!$C$9:$R$257,15,FALSE))</f>
        <v/>
      </c>
      <c r="M66" s="524" t="str">
        <f>IF(L66="","",VLOOKUP($B66,'C-1 Site River Baseline'!$C$9:$R$257,16,FALSE))</f>
        <v/>
      </c>
      <c r="N66" s="418" t="str">
        <f t="shared" si="6"/>
        <v/>
      </c>
      <c r="O66" s="498" t="str">
        <f t="shared" si="1"/>
        <v/>
      </c>
      <c r="P66" s="499" t="str">
        <f>IF(C66="","",IF(AND(LEFT(C66,55)&lt;&gt;LEFT(N66,55),O66="High - High"),"Error - Not like for like ▲",IF(AND(F66=S66,H66&gt;U66),"Error - Can not reduce condition ▲",IF(AND(F66=S66,H66=U66,AJ66='C-1 Site River Baseline'!N64,'C-1 Site River Baseline'!P64=AL66),"Error - No enhancement ▲",IF(AND(C66&lt;&gt;N66,F66&lt;S66),"Lower Distinctiveness Habitat"&amp;" - "&amp;T66,G66&amp;" - "&amp;T66)))))</f>
        <v/>
      </c>
      <c r="Q66" s="567" t="str">
        <f>IF(N66="","",VLOOKUP(B66,'C-1 Site River Baseline'!$C$10:$AA$257,19,FALSE))</f>
        <v/>
      </c>
      <c r="R66" s="498" t="str">
        <f>IF(N66="","",VLOOKUP(N66,'G-7 Rivers Data'!$B$2:$G$8,2,FALSE))</f>
        <v/>
      </c>
      <c r="S66" s="499" t="str">
        <f>IFERROR(VLOOKUP(R66,'G-7 Rivers Data'!$C$4:$D$8,2,FALSE),"")</f>
        <v/>
      </c>
      <c r="T66" s="145"/>
      <c r="U66" s="499" t="str">
        <f>IFERROR(INDEX('G-7 Rivers Data'!$H$4:$L$8,MATCH(N66,'G-7 Rivers Data'!$B$4:$B$8,0),MATCH(T66,'G-7 Rivers Data'!$H$3:$L$3,0)),"")</f>
        <v/>
      </c>
      <c r="V66" s="154"/>
      <c r="W66" s="507" t="str">
        <f>IF(V66="","",IF(VLOOKUP(V66,'G-7 Rivers Data'!$AG$4:$AI$9,2,FALSE)=0,"Spatial Data Missing ⚠",VLOOKUP(V66,'G-7 Rivers Data'!$AG$4:$AI$9,2,FALSE)))</f>
        <v/>
      </c>
      <c r="X66" s="499" t="str">
        <f>IF(V66="","",IF(VLOOKUP(V66,'G-7 Rivers Data'!$AG$4:$AI$9,3,FALSE)=0,"Spatial Data Missing ⚠",VLOOKUP(V66,'G-7 Rivers Data'!$AG$4:$AI$9,3,FALSE)))</f>
        <v/>
      </c>
      <c r="Y66" s="498" t="str">
        <f>IFERROR(IF(OR(LEFT(P66,5)="Error ▲",LEFT(O66,5)="Error ▲"),"Check Data ⚠",IF(F66&lt;S66,'G-7 Rivers Data'!$R$3,INDEX('G-7 Rivers Data'!$U$5:$Y$9,MATCH(G66,'G-7 Rivers Data'!$T$5:$T$9,0),MATCH(T66,'G-7 Rivers Data'!$U$4:$Y$4,0)))),"")</f>
        <v/>
      </c>
      <c r="Z66" s="195"/>
      <c r="AA66" s="195"/>
      <c r="AB66" s="507" t="str">
        <f t="shared" si="2"/>
        <v/>
      </c>
      <c r="AC66" s="521" t="str">
        <f t="shared" si="3"/>
        <v/>
      </c>
      <c r="AD66" s="564" t="str">
        <f>IFERROR(IF(AC66="Check Data ⚠","Check Data ⚠",VLOOKUP(AC66,'G-4 Temporal multipliers'!$A$4:$C$37,3,FALSE)),"")</f>
        <v/>
      </c>
      <c r="AE66" s="498" t="str">
        <f>IF(N66="","",VLOOKUP(N66,'G-7 Rivers Data'!$B$4:$G$8,5,FALSE))</f>
        <v/>
      </c>
      <c r="AF66" s="507" t="str">
        <f t="shared" si="4"/>
        <v/>
      </c>
      <c r="AG66" s="540" t="str">
        <f t="shared" si="5"/>
        <v/>
      </c>
      <c r="AH66" s="499" t="str">
        <f t="shared" si="0"/>
        <v/>
      </c>
      <c r="AI66" s="145"/>
      <c r="AJ66" s="499" t="str">
        <f>IF(AI66="","",IF(VLOOKUP(AI66,'G-7 Rivers Data'!$AA$4:$AB$7,2,FALSE)=0,"Spatial Data Missing ⚠",VLOOKUP(AI66,'G-7 Rivers Data'!$AA$4:$AB$7,2,FALSE)))</f>
        <v/>
      </c>
      <c r="AK66" s="155"/>
      <c r="AL66" s="499" t="str">
        <f>IF(AK66="","",IF(VLOOKUP(AK66,'G-7 Rivers Data'!$AD$4:$AE$8,2,FALSE)=0,"Spatial Data Missing ⚠",VLOOKUP(AK66,'G-7 Rivers Data'!$AD$4:$AE$8,2,FALSE)))</f>
        <v/>
      </c>
      <c r="AM66" s="545" t="str">
        <f t="shared" si="7"/>
        <v/>
      </c>
      <c r="AN66" s="149"/>
      <c r="AO66" s="150"/>
      <c r="AV66" s="31" t="str">
        <f>IFERROR(INDEX('G-7 Rivers Data'!$AZ$3:$AZ$7,MATCH(N66,'G-7 Rivers Data'!$AY$3:$AY$7,0)),"")</f>
        <v/>
      </c>
    </row>
    <row r="67" spans="2:48" ht="13.8" x14ac:dyDescent="0.25">
      <c r="B67" s="531" t="str">
        <f>'C-1 Site River Baseline'!AN65</f>
        <v/>
      </c>
      <c r="C67" s="520" t="str">
        <f>IF(B67="","",VLOOKUP($B67,'C-1 Site River Baseline'!$C$9:$R$257,2,FALSE))</f>
        <v/>
      </c>
      <c r="D67" s="520" t="str">
        <f>IF(C67="","",VLOOKUP($B67,'C-1 Site River Baseline'!$C$9:$R$257,3,FALSE))</f>
        <v/>
      </c>
      <c r="E67" s="520" t="str">
        <f>IF(D67="","",VLOOKUP($B67,'C-1 Site River Baseline'!$C$9:$R$257,4,FALSE))</f>
        <v/>
      </c>
      <c r="F67" s="520" t="str">
        <f>IF(E67="","",VLOOKUP($B67,'C-1 Site River Baseline'!$C$9:$R$257,5,FALSE))</f>
        <v/>
      </c>
      <c r="G67" s="520" t="str">
        <f>IF(F67="","",VLOOKUP($B67,'C-1 Site River Baseline'!$C$9:$R$257,6,FALSE))</f>
        <v/>
      </c>
      <c r="H67" s="520" t="str">
        <f>IF(G67="","",VLOOKUP($B67,'C-1 Site River Baseline'!$C$9:$R$257,7,FALSE))</f>
        <v/>
      </c>
      <c r="I67" s="520" t="str">
        <f>IF(H67="","",VLOOKUP($B67,'C-1 Site River Baseline'!$C$9:$R$257,8,FALSE))</f>
        <v/>
      </c>
      <c r="J67" s="520" t="str">
        <f>IF(I67="","",VLOOKUP($B67,'C-1 Site River Baseline'!$C$9:$R$257,9,FALSE))</f>
        <v/>
      </c>
      <c r="K67" s="520" t="str">
        <f>IF(J67="","",VLOOKUP($B67,'C-1 Site River Baseline'!$C$9:$R$257,10,FALSE))</f>
        <v/>
      </c>
      <c r="L67" s="520" t="str">
        <f>IF(B67="","",VLOOKUP($B67,'C-1 Site River Baseline'!$C$9:$R$257,15,FALSE))</f>
        <v/>
      </c>
      <c r="M67" s="524" t="str">
        <f>IF(L67="","",VLOOKUP($B67,'C-1 Site River Baseline'!$C$9:$R$257,16,FALSE))</f>
        <v/>
      </c>
      <c r="N67" s="418" t="str">
        <f t="shared" si="6"/>
        <v/>
      </c>
      <c r="O67" s="498" t="str">
        <f t="shared" si="1"/>
        <v/>
      </c>
      <c r="P67" s="499" t="str">
        <f>IF(C67="","",IF(AND(LEFT(C67,55)&lt;&gt;LEFT(N67,55),O67="High - High"),"Error - Not like for like ▲",IF(AND(F67=S67,H67&gt;U67),"Error - Can not reduce condition ▲",IF(AND(F67=S67,H67=U67,AJ67='C-1 Site River Baseline'!N65,'C-1 Site River Baseline'!P65=AL67),"Error - No enhancement ▲",IF(AND(C67&lt;&gt;N67,F67&lt;S67),"Lower Distinctiveness Habitat"&amp;" - "&amp;T67,G67&amp;" - "&amp;T67)))))</f>
        <v/>
      </c>
      <c r="Q67" s="567" t="str">
        <f>IF(N67="","",VLOOKUP(B67,'C-1 Site River Baseline'!$C$10:$AA$257,19,FALSE))</f>
        <v/>
      </c>
      <c r="R67" s="498" t="str">
        <f>IF(N67="","",VLOOKUP(N67,'G-7 Rivers Data'!$B$2:$G$8,2,FALSE))</f>
        <v/>
      </c>
      <c r="S67" s="499" t="str">
        <f>IFERROR(VLOOKUP(R67,'G-7 Rivers Data'!$C$4:$D$8,2,FALSE),"")</f>
        <v/>
      </c>
      <c r="T67" s="145"/>
      <c r="U67" s="499" t="str">
        <f>IFERROR(INDEX('G-7 Rivers Data'!$H$4:$L$8,MATCH(N67,'G-7 Rivers Data'!$B$4:$B$8,0),MATCH(T67,'G-7 Rivers Data'!$H$3:$L$3,0)),"")</f>
        <v/>
      </c>
      <c r="V67" s="154"/>
      <c r="W67" s="507" t="str">
        <f>IF(V67="","",IF(VLOOKUP(V67,'G-7 Rivers Data'!$AG$4:$AI$9,2,FALSE)=0,"Spatial Data Missing ⚠",VLOOKUP(V67,'G-7 Rivers Data'!$AG$4:$AI$9,2,FALSE)))</f>
        <v/>
      </c>
      <c r="X67" s="499" t="str">
        <f>IF(V67="","",IF(VLOOKUP(V67,'G-7 Rivers Data'!$AG$4:$AI$9,3,FALSE)=0,"Spatial Data Missing ⚠",VLOOKUP(V67,'G-7 Rivers Data'!$AG$4:$AI$9,3,FALSE)))</f>
        <v/>
      </c>
      <c r="Y67" s="498" t="str">
        <f>IFERROR(IF(OR(LEFT(P67,5)="Error ▲",LEFT(O67,5)="Error ▲"),"Check Data ⚠",IF(F67&lt;S67,'G-7 Rivers Data'!$R$3,INDEX('G-7 Rivers Data'!$U$5:$Y$9,MATCH(G67,'G-7 Rivers Data'!$T$5:$T$9,0),MATCH(T67,'G-7 Rivers Data'!$U$4:$Y$4,0)))),"")</f>
        <v/>
      </c>
      <c r="Z67" s="195"/>
      <c r="AA67" s="195"/>
      <c r="AB67" s="507" t="str">
        <f t="shared" si="2"/>
        <v/>
      </c>
      <c r="AC67" s="521" t="str">
        <f t="shared" si="3"/>
        <v/>
      </c>
      <c r="AD67" s="564" t="str">
        <f>IFERROR(IF(AC67="Check Data ⚠","Check Data ⚠",VLOOKUP(AC67,'G-4 Temporal multipliers'!$A$4:$C$37,3,FALSE)),"")</f>
        <v/>
      </c>
      <c r="AE67" s="498" t="str">
        <f>IF(N67="","",VLOOKUP(N67,'G-7 Rivers Data'!$B$4:$G$8,5,FALSE))</f>
        <v/>
      </c>
      <c r="AF67" s="507" t="str">
        <f t="shared" si="4"/>
        <v/>
      </c>
      <c r="AG67" s="540" t="str">
        <f t="shared" si="5"/>
        <v/>
      </c>
      <c r="AH67" s="499" t="str">
        <f t="shared" si="0"/>
        <v/>
      </c>
      <c r="AI67" s="145"/>
      <c r="AJ67" s="499" t="str">
        <f>IF(AI67="","",IF(VLOOKUP(AI67,'G-7 Rivers Data'!$AA$4:$AB$7,2,FALSE)=0,"Spatial Data Missing ⚠",VLOOKUP(AI67,'G-7 Rivers Data'!$AA$4:$AB$7,2,FALSE)))</f>
        <v/>
      </c>
      <c r="AK67" s="155"/>
      <c r="AL67" s="499" t="str">
        <f>IF(AK67="","",IF(VLOOKUP(AK67,'G-7 Rivers Data'!$AD$4:$AE$8,2,FALSE)=0,"Spatial Data Missing ⚠",VLOOKUP(AK67,'G-7 Rivers Data'!$AD$4:$AE$8,2,FALSE)))</f>
        <v/>
      </c>
      <c r="AM67" s="545" t="str">
        <f t="shared" si="7"/>
        <v/>
      </c>
      <c r="AN67" s="149"/>
      <c r="AO67" s="150"/>
      <c r="AV67" s="31" t="str">
        <f>IFERROR(INDEX('G-7 Rivers Data'!$AZ$3:$AZ$7,MATCH(N67,'G-7 Rivers Data'!$AY$3:$AY$7,0)),"")</f>
        <v/>
      </c>
    </row>
    <row r="68" spans="2:48" ht="13.8" x14ac:dyDescent="0.25">
      <c r="B68" s="531" t="str">
        <f>'C-1 Site River Baseline'!AN66</f>
        <v/>
      </c>
      <c r="C68" s="520" t="str">
        <f>IF(B68="","",VLOOKUP($B68,'C-1 Site River Baseline'!$C$9:$R$257,2,FALSE))</f>
        <v/>
      </c>
      <c r="D68" s="520" t="str">
        <f>IF(C68="","",VLOOKUP($B68,'C-1 Site River Baseline'!$C$9:$R$257,3,FALSE))</f>
        <v/>
      </c>
      <c r="E68" s="520" t="str">
        <f>IF(D68="","",VLOOKUP($B68,'C-1 Site River Baseline'!$C$9:$R$257,4,FALSE))</f>
        <v/>
      </c>
      <c r="F68" s="520" t="str">
        <f>IF(E68="","",VLOOKUP($B68,'C-1 Site River Baseline'!$C$9:$R$257,5,FALSE))</f>
        <v/>
      </c>
      <c r="G68" s="520" t="str">
        <f>IF(F68="","",VLOOKUP($B68,'C-1 Site River Baseline'!$C$9:$R$257,6,FALSE))</f>
        <v/>
      </c>
      <c r="H68" s="520" t="str">
        <f>IF(G68="","",VLOOKUP($B68,'C-1 Site River Baseline'!$C$9:$R$257,7,FALSE))</f>
        <v/>
      </c>
      <c r="I68" s="520" t="str">
        <f>IF(H68="","",VLOOKUP($B68,'C-1 Site River Baseline'!$C$9:$R$257,8,FALSE))</f>
        <v/>
      </c>
      <c r="J68" s="520" t="str">
        <f>IF(I68="","",VLOOKUP($B68,'C-1 Site River Baseline'!$C$9:$R$257,9,FALSE))</f>
        <v/>
      </c>
      <c r="K68" s="520" t="str">
        <f>IF(J68="","",VLOOKUP($B68,'C-1 Site River Baseline'!$C$9:$R$257,10,FALSE))</f>
        <v/>
      </c>
      <c r="L68" s="520" t="str">
        <f>IF(B68="","",VLOOKUP($B68,'C-1 Site River Baseline'!$C$9:$R$257,15,FALSE))</f>
        <v/>
      </c>
      <c r="M68" s="524" t="str">
        <f>IF(L68="","",VLOOKUP($B68,'C-1 Site River Baseline'!$C$9:$R$257,16,FALSE))</f>
        <v/>
      </c>
      <c r="N68" s="418" t="str">
        <f t="shared" si="6"/>
        <v/>
      </c>
      <c r="O68" s="498" t="str">
        <f t="shared" si="1"/>
        <v/>
      </c>
      <c r="P68" s="499" t="str">
        <f>IF(C68="","",IF(AND(LEFT(C68,55)&lt;&gt;LEFT(N68,55),O68="High - High"),"Error - Not like for like ▲",IF(AND(F68=S68,H68&gt;U68),"Error - Can not reduce condition ▲",IF(AND(F68=S68,H68=U68,AJ68='C-1 Site River Baseline'!N66,'C-1 Site River Baseline'!P66=AL68),"Error - No enhancement ▲",IF(AND(C68&lt;&gt;N68,F68&lt;S68),"Lower Distinctiveness Habitat"&amp;" - "&amp;T68,G68&amp;" - "&amp;T68)))))</f>
        <v/>
      </c>
      <c r="Q68" s="567" t="str">
        <f>IF(N68="","",VLOOKUP(B68,'C-1 Site River Baseline'!$C$10:$AA$257,19,FALSE))</f>
        <v/>
      </c>
      <c r="R68" s="498" t="str">
        <f>IF(N68="","",VLOOKUP(N68,'G-7 Rivers Data'!$B$2:$G$8,2,FALSE))</f>
        <v/>
      </c>
      <c r="S68" s="499" t="str">
        <f>IFERROR(VLOOKUP(R68,'G-7 Rivers Data'!$C$4:$D$8,2,FALSE),"")</f>
        <v/>
      </c>
      <c r="T68" s="145"/>
      <c r="U68" s="499" t="str">
        <f>IFERROR(INDEX('G-7 Rivers Data'!$H$4:$L$8,MATCH(N68,'G-7 Rivers Data'!$B$4:$B$8,0),MATCH(T68,'G-7 Rivers Data'!$H$3:$L$3,0)),"")</f>
        <v/>
      </c>
      <c r="V68" s="154"/>
      <c r="W68" s="507" t="str">
        <f>IF(V68="","",IF(VLOOKUP(V68,'G-7 Rivers Data'!$AG$4:$AI$9,2,FALSE)=0,"Spatial Data Missing ⚠",VLOOKUP(V68,'G-7 Rivers Data'!$AG$4:$AI$9,2,FALSE)))</f>
        <v/>
      </c>
      <c r="X68" s="499" t="str">
        <f>IF(V68="","",IF(VLOOKUP(V68,'G-7 Rivers Data'!$AG$4:$AI$9,3,FALSE)=0,"Spatial Data Missing ⚠",VLOOKUP(V68,'G-7 Rivers Data'!$AG$4:$AI$9,3,FALSE)))</f>
        <v/>
      </c>
      <c r="Y68" s="498" t="str">
        <f>IFERROR(IF(OR(LEFT(P68,5)="Error ▲",LEFT(O68,5)="Error ▲"),"Check Data ⚠",IF(F68&lt;S68,'G-7 Rivers Data'!$R$3,INDEX('G-7 Rivers Data'!$U$5:$Y$9,MATCH(G68,'G-7 Rivers Data'!$T$5:$T$9,0),MATCH(T68,'G-7 Rivers Data'!$U$4:$Y$4,0)))),"")</f>
        <v/>
      </c>
      <c r="Z68" s="195"/>
      <c r="AA68" s="195"/>
      <c r="AB68" s="507" t="str">
        <f t="shared" si="2"/>
        <v/>
      </c>
      <c r="AC68" s="521" t="str">
        <f t="shared" si="3"/>
        <v/>
      </c>
      <c r="AD68" s="564" t="str">
        <f>IFERROR(IF(AC68="Check Data ⚠","Check Data ⚠",VLOOKUP(AC68,'G-4 Temporal multipliers'!$A$4:$C$37,3,FALSE)),"")</f>
        <v/>
      </c>
      <c r="AE68" s="498" t="str">
        <f>IF(N68="","",VLOOKUP(N68,'G-7 Rivers Data'!$B$4:$G$8,5,FALSE))</f>
        <v/>
      </c>
      <c r="AF68" s="507" t="str">
        <f t="shared" si="4"/>
        <v/>
      </c>
      <c r="AG68" s="540" t="str">
        <f t="shared" si="5"/>
        <v/>
      </c>
      <c r="AH68" s="499" t="str">
        <f t="shared" si="0"/>
        <v/>
      </c>
      <c r="AI68" s="145"/>
      <c r="AJ68" s="499" t="str">
        <f>IF(AI68="","",IF(VLOOKUP(AI68,'G-7 Rivers Data'!$AA$4:$AB$7,2,FALSE)=0,"Spatial Data Missing ⚠",VLOOKUP(AI68,'G-7 Rivers Data'!$AA$4:$AB$7,2,FALSE)))</f>
        <v/>
      </c>
      <c r="AK68" s="155"/>
      <c r="AL68" s="499" t="str">
        <f>IF(AK68="","",IF(VLOOKUP(AK68,'G-7 Rivers Data'!$AD$4:$AE$8,2,FALSE)=0,"Spatial Data Missing ⚠",VLOOKUP(AK68,'G-7 Rivers Data'!$AD$4:$AE$8,2,FALSE)))</f>
        <v/>
      </c>
      <c r="AM68" s="545" t="str">
        <f t="shared" si="7"/>
        <v/>
      </c>
      <c r="AN68" s="149"/>
      <c r="AO68" s="150"/>
      <c r="AV68" s="31" t="str">
        <f>IFERROR(INDEX('G-7 Rivers Data'!$AZ$3:$AZ$7,MATCH(N68,'G-7 Rivers Data'!$AY$3:$AY$7,0)),"")</f>
        <v/>
      </c>
    </row>
    <row r="69" spans="2:48" ht="13.8" x14ac:dyDescent="0.25">
      <c r="B69" s="531" t="str">
        <f>'C-1 Site River Baseline'!AN67</f>
        <v/>
      </c>
      <c r="C69" s="520" t="str">
        <f>IF(B69="","",VLOOKUP($B69,'C-1 Site River Baseline'!$C$9:$R$257,2,FALSE))</f>
        <v/>
      </c>
      <c r="D69" s="520" t="str">
        <f>IF(C69="","",VLOOKUP($B69,'C-1 Site River Baseline'!$C$9:$R$257,3,FALSE))</f>
        <v/>
      </c>
      <c r="E69" s="520" t="str">
        <f>IF(D69="","",VLOOKUP($B69,'C-1 Site River Baseline'!$C$9:$R$257,4,FALSE))</f>
        <v/>
      </c>
      <c r="F69" s="520" t="str">
        <f>IF(E69="","",VLOOKUP($B69,'C-1 Site River Baseline'!$C$9:$R$257,5,FALSE))</f>
        <v/>
      </c>
      <c r="G69" s="520" t="str">
        <f>IF(F69="","",VLOOKUP($B69,'C-1 Site River Baseline'!$C$9:$R$257,6,FALSE))</f>
        <v/>
      </c>
      <c r="H69" s="520" t="str">
        <f>IF(G69="","",VLOOKUP($B69,'C-1 Site River Baseline'!$C$9:$R$257,7,FALSE))</f>
        <v/>
      </c>
      <c r="I69" s="520" t="str">
        <f>IF(H69="","",VLOOKUP($B69,'C-1 Site River Baseline'!$C$9:$R$257,8,FALSE))</f>
        <v/>
      </c>
      <c r="J69" s="520" t="str">
        <f>IF(I69="","",VLOOKUP($B69,'C-1 Site River Baseline'!$C$9:$R$257,9,FALSE))</f>
        <v/>
      </c>
      <c r="K69" s="520" t="str">
        <f>IF(J69="","",VLOOKUP($B69,'C-1 Site River Baseline'!$C$9:$R$257,10,FALSE))</f>
        <v/>
      </c>
      <c r="L69" s="520" t="str">
        <f>IF(B69="","",VLOOKUP($B69,'C-1 Site River Baseline'!$C$9:$R$257,15,FALSE))</f>
        <v/>
      </c>
      <c r="M69" s="524" t="str">
        <f>IF(L69="","",VLOOKUP($B69,'C-1 Site River Baseline'!$C$9:$R$257,16,FALSE))</f>
        <v/>
      </c>
      <c r="N69" s="418" t="str">
        <f t="shared" si="6"/>
        <v/>
      </c>
      <c r="O69" s="498" t="str">
        <f t="shared" si="1"/>
        <v/>
      </c>
      <c r="P69" s="499" t="str">
        <f>IF(C69="","",IF(AND(LEFT(C69,55)&lt;&gt;LEFT(N69,55),O69="High - High"),"Error - Not like for like ▲",IF(AND(F69=S69,H69&gt;U69),"Error - Can not reduce condition ▲",IF(AND(F69=S69,H69=U69,AJ69='C-1 Site River Baseline'!N67,'C-1 Site River Baseline'!P67=AL69),"Error - No enhancement ▲",IF(AND(C69&lt;&gt;N69,F69&lt;S69),"Lower Distinctiveness Habitat"&amp;" - "&amp;T69,G69&amp;" - "&amp;T69)))))</f>
        <v/>
      </c>
      <c r="Q69" s="567" t="str">
        <f>IF(N69="","",VLOOKUP(B69,'C-1 Site River Baseline'!$C$10:$AA$257,19,FALSE))</f>
        <v/>
      </c>
      <c r="R69" s="498" t="str">
        <f>IF(N69="","",VLOOKUP(N69,'G-7 Rivers Data'!$B$2:$G$8,2,FALSE))</f>
        <v/>
      </c>
      <c r="S69" s="499" t="str">
        <f>IFERROR(VLOOKUP(R69,'G-7 Rivers Data'!$C$4:$D$8,2,FALSE),"")</f>
        <v/>
      </c>
      <c r="T69" s="145"/>
      <c r="U69" s="499" t="str">
        <f>IFERROR(INDEX('G-7 Rivers Data'!$H$4:$L$8,MATCH(N69,'G-7 Rivers Data'!$B$4:$B$8,0),MATCH(T69,'G-7 Rivers Data'!$H$3:$L$3,0)),"")</f>
        <v/>
      </c>
      <c r="V69" s="154"/>
      <c r="W69" s="507" t="str">
        <f>IF(V69="","",IF(VLOOKUP(V69,'G-7 Rivers Data'!$AG$4:$AI$9,2,FALSE)=0,"Spatial Data Missing ⚠",VLOOKUP(V69,'G-7 Rivers Data'!$AG$4:$AI$9,2,FALSE)))</f>
        <v/>
      </c>
      <c r="X69" s="499" t="str">
        <f>IF(V69="","",IF(VLOOKUP(V69,'G-7 Rivers Data'!$AG$4:$AI$9,3,FALSE)=0,"Spatial Data Missing ⚠",VLOOKUP(V69,'G-7 Rivers Data'!$AG$4:$AI$9,3,FALSE)))</f>
        <v/>
      </c>
      <c r="Y69" s="498" t="str">
        <f>IFERROR(IF(OR(LEFT(P69,5)="Error ▲",LEFT(O69,5)="Error ▲"),"Check Data ⚠",IF(F69&lt;S69,'G-7 Rivers Data'!$R$3,INDEX('G-7 Rivers Data'!$U$5:$Y$9,MATCH(G69,'G-7 Rivers Data'!$T$5:$T$9,0),MATCH(T69,'G-7 Rivers Data'!$U$4:$Y$4,0)))),"")</f>
        <v/>
      </c>
      <c r="Z69" s="195"/>
      <c r="AA69" s="195"/>
      <c r="AB69" s="507" t="str">
        <f t="shared" si="2"/>
        <v/>
      </c>
      <c r="AC69" s="521" t="str">
        <f t="shared" si="3"/>
        <v/>
      </c>
      <c r="AD69" s="564" t="str">
        <f>IFERROR(IF(AC69="Check Data ⚠","Check Data ⚠",VLOOKUP(AC69,'G-4 Temporal multipliers'!$A$4:$C$37,3,FALSE)),"")</f>
        <v/>
      </c>
      <c r="AE69" s="498" t="str">
        <f>IF(N69="","",VLOOKUP(N69,'G-7 Rivers Data'!$B$4:$G$8,5,FALSE))</f>
        <v/>
      </c>
      <c r="AF69" s="507" t="str">
        <f t="shared" si="4"/>
        <v/>
      </c>
      <c r="AG69" s="540" t="str">
        <f t="shared" si="5"/>
        <v/>
      </c>
      <c r="AH69" s="499" t="str">
        <f t="shared" si="0"/>
        <v/>
      </c>
      <c r="AI69" s="145"/>
      <c r="AJ69" s="499" t="str">
        <f>IF(AI69="","",IF(VLOOKUP(AI69,'G-7 Rivers Data'!$AA$4:$AB$7,2,FALSE)=0,"Spatial Data Missing ⚠",VLOOKUP(AI69,'G-7 Rivers Data'!$AA$4:$AB$7,2,FALSE)))</f>
        <v/>
      </c>
      <c r="AK69" s="155"/>
      <c r="AL69" s="499" t="str">
        <f>IF(AK69="","",IF(VLOOKUP(AK69,'G-7 Rivers Data'!$AD$4:$AE$8,2,FALSE)=0,"Spatial Data Missing ⚠",VLOOKUP(AK69,'G-7 Rivers Data'!$AD$4:$AE$8,2,FALSE)))</f>
        <v/>
      </c>
      <c r="AM69" s="545" t="str">
        <f t="shared" si="7"/>
        <v/>
      </c>
      <c r="AN69" s="149"/>
      <c r="AO69" s="150"/>
      <c r="AV69" s="31" t="str">
        <f>IFERROR(INDEX('G-7 Rivers Data'!$AZ$3:$AZ$7,MATCH(N69,'G-7 Rivers Data'!$AY$3:$AY$7,0)),"")</f>
        <v/>
      </c>
    </row>
    <row r="70" spans="2:48" ht="13.8" x14ac:dyDescent="0.25">
      <c r="B70" s="531" t="str">
        <f>'C-1 Site River Baseline'!AN68</f>
        <v/>
      </c>
      <c r="C70" s="520" t="str">
        <f>IF(B70="","",VLOOKUP($B70,'C-1 Site River Baseline'!$C$9:$R$257,2,FALSE))</f>
        <v/>
      </c>
      <c r="D70" s="520" t="str">
        <f>IF(C70="","",VLOOKUP($B70,'C-1 Site River Baseline'!$C$9:$R$257,3,FALSE))</f>
        <v/>
      </c>
      <c r="E70" s="520" t="str">
        <f>IF(D70="","",VLOOKUP($B70,'C-1 Site River Baseline'!$C$9:$R$257,4,FALSE))</f>
        <v/>
      </c>
      <c r="F70" s="520" t="str">
        <f>IF(E70="","",VLOOKUP($B70,'C-1 Site River Baseline'!$C$9:$R$257,5,FALSE))</f>
        <v/>
      </c>
      <c r="G70" s="520" t="str">
        <f>IF(F70="","",VLOOKUP($B70,'C-1 Site River Baseline'!$C$9:$R$257,6,FALSE))</f>
        <v/>
      </c>
      <c r="H70" s="520" t="str">
        <f>IF(G70="","",VLOOKUP($B70,'C-1 Site River Baseline'!$C$9:$R$257,7,FALSE))</f>
        <v/>
      </c>
      <c r="I70" s="520" t="str">
        <f>IF(H70="","",VLOOKUP($B70,'C-1 Site River Baseline'!$C$9:$R$257,8,FALSE))</f>
        <v/>
      </c>
      <c r="J70" s="520" t="str">
        <f>IF(I70="","",VLOOKUP($B70,'C-1 Site River Baseline'!$C$9:$R$257,9,FALSE))</f>
        <v/>
      </c>
      <c r="K70" s="520" t="str">
        <f>IF(J70="","",VLOOKUP($B70,'C-1 Site River Baseline'!$C$9:$R$257,10,FALSE))</f>
        <v/>
      </c>
      <c r="L70" s="520" t="str">
        <f>IF(B70="","",VLOOKUP($B70,'C-1 Site River Baseline'!$C$9:$R$257,15,FALSE))</f>
        <v/>
      </c>
      <c r="M70" s="524" t="str">
        <f>IF(L70="","",VLOOKUP($B70,'C-1 Site River Baseline'!$C$9:$R$257,16,FALSE))</f>
        <v/>
      </c>
      <c r="N70" s="418" t="str">
        <f t="shared" si="6"/>
        <v/>
      </c>
      <c r="O70" s="498" t="str">
        <f t="shared" si="1"/>
        <v/>
      </c>
      <c r="P70" s="499" t="str">
        <f>IF(C70="","",IF(AND(LEFT(C70,55)&lt;&gt;LEFT(N70,55),O70="High - High"),"Error - Not like for like ▲",IF(AND(F70=S70,H70&gt;U70),"Error - Can not reduce condition ▲",IF(AND(F70=S70,H70=U70,AJ70='C-1 Site River Baseline'!N68,'C-1 Site River Baseline'!P68=AL70),"Error - No enhancement ▲",IF(AND(C70&lt;&gt;N70,F70&lt;S70),"Lower Distinctiveness Habitat"&amp;" - "&amp;T70,G70&amp;" - "&amp;T70)))))</f>
        <v/>
      </c>
      <c r="Q70" s="567" t="str">
        <f>IF(N70="","",VLOOKUP(B70,'C-1 Site River Baseline'!$C$10:$AA$257,19,FALSE))</f>
        <v/>
      </c>
      <c r="R70" s="498" t="str">
        <f>IF(N70="","",VLOOKUP(N70,'G-7 Rivers Data'!$B$2:$G$8,2,FALSE))</f>
        <v/>
      </c>
      <c r="S70" s="499" t="str">
        <f>IFERROR(VLOOKUP(R70,'G-7 Rivers Data'!$C$4:$D$8,2,FALSE),"")</f>
        <v/>
      </c>
      <c r="T70" s="145"/>
      <c r="U70" s="499" t="str">
        <f>IFERROR(INDEX('G-7 Rivers Data'!$H$4:$L$8,MATCH(N70,'G-7 Rivers Data'!$B$4:$B$8,0),MATCH(T70,'G-7 Rivers Data'!$H$3:$L$3,0)),"")</f>
        <v/>
      </c>
      <c r="V70" s="154"/>
      <c r="W70" s="507" t="str">
        <f>IF(V70="","",IF(VLOOKUP(V70,'G-7 Rivers Data'!$AG$4:$AI$9,2,FALSE)=0,"Spatial Data Missing ⚠",VLOOKUP(V70,'G-7 Rivers Data'!$AG$4:$AI$9,2,FALSE)))</f>
        <v/>
      </c>
      <c r="X70" s="499" t="str">
        <f>IF(V70="","",IF(VLOOKUP(V70,'G-7 Rivers Data'!$AG$4:$AI$9,3,FALSE)=0,"Spatial Data Missing ⚠",VLOOKUP(V70,'G-7 Rivers Data'!$AG$4:$AI$9,3,FALSE)))</f>
        <v/>
      </c>
      <c r="Y70" s="498" t="str">
        <f>IFERROR(IF(OR(LEFT(P70,5)="Error ▲",LEFT(O70,5)="Error ▲"),"Check Data ⚠",IF(F70&lt;S70,'G-7 Rivers Data'!$R$3,INDEX('G-7 Rivers Data'!$U$5:$Y$9,MATCH(G70,'G-7 Rivers Data'!$T$5:$T$9,0),MATCH(T70,'G-7 Rivers Data'!$U$4:$Y$4,0)))),"")</f>
        <v/>
      </c>
      <c r="Z70" s="195"/>
      <c r="AA70" s="195"/>
      <c r="AB70" s="507" t="str">
        <f t="shared" si="2"/>
        <v/>
      </c>
      <c r="AC70" s="521" t="str">
        <f t="shared" si="3"/>
        <v/>
      </c>
      <c r="AD70" s="564" t="str">
        <f>IFERROR(IF(AC70="Check Data ⚠","Check Data ⚠",VLOOKUP(AC70,'G-4 Temporal multipliers'!$A$4:$C$37,3,FALSE)),"")</f>
        <v/>
      </c>
      <c r="AE70" s="498" t="str">
        <f>IF(N70="","",VLOOKUP(N70,'G-7 Rivers Data'!$B$4:$G$8,5,FALSE))</f>
        <v/>
      </c>
      <c r="AF70" s="507" t="str">
        <f t="shared" si="4"/>
        <v/>
      </c>
      <c r="AG70" s="540" t="str">
        <f t="shared" si="5"/>
        <v/>
      </c>
      <c r="AH70" s="499" t="str">
        <f t="shared" si="0"/>
        <v/>
      </c>
      <c r="AI70" s="145"/>
      <c r="AJ70" s="499" t="str">
        <f>IF(AI70="","",IF(VLOOKUP(AI70,'G-7 Rivers Data'!$AA$4:$AB$7,2,FALSE)=0,"Spatial Data Missing ⚠",VLOOKUP(AI70,'G-7 Rivers Data'!$AA$4:$AB$7,2,FALSE)))</f>
        <v/>
      </c>
      <c r="AK70" s="155"/>
      <c r="AL70" s="499" t="str">
        <f>IF(AK70="","",IF(VLOOKUP(AK70,'G-7 Rivers Data'!$AD$4:$AE$8,2,FALSE)=0,"Spatial Data Missing ⚠",VLOOKUP(AK70,'G-7 Rivers Data'!$AD$4:$AE$8,2,FALSE)))</f>
        <v/>
      </c>
      <c r="AM70" s="545" t="str">
        <f t="shared" si="7"/>
        <v/>
      </c>
      <c r="AN70" s="149"/>
      <c r="AO70" s="150"/>
      <c r="AV70" s="31" t="str">
        <f>IFERROR(INDEX('G-7 Rivers Data'!$AZ$3:$AZ$7,MATCH(N70,'G-7 Rivers Data'!$AY$3:$AY$7,0)),"")</f>
        <v/>
      </c>
    </row>
    <row r="71" spans="2:48" ht="13.8" x14ac:dyDescent="0.25">
      <c r="B71" s="531" t="str">
        <f>'C-1 Site River Baseline'!AN69</f>
        <v/>
      </c>
      <c r="C71" s="520" t="str">
        <f>IF(B71="","",VLOOKUP($B71,'C-1 Site River Baseline'!$C$9:$R$257,2,FALSE))</f>
        <v/>
      </c>
      <c r="D71" s="520" t="str">
        <f>IF(C71="","",VLOOKUP($B71,'C-1 Site River Baseline'!$C$9:$R$257,3,FALSE))</f>
        <v/>
      </c>
      <c r="E71" s="520" t="str">
        <f>IF(D71="","",VLOOKUP($B71,'C-1 Site River Baseline'!$C$9:$R$257,4,FALSE))</f>
        <v/>
      </c>
      <c r="F71" s="520" t="str">
        <f>IF(E71="","",VLOOKUP($B71,'C-1 Site River Baseline'!$C$9:$R$257,5,FALSE))</f>
        <v/>
      </c>
      <c r="G71" s="520" t="str">
        <f>IF(F71="","",VLOOKUP($B71,'C-1 Site River Baseline'!$C$9:$R$257,6,FALSE))</f>
        <v/>
      </c>
      <c r="H71" s="520" t="str">
        <f>IF(G71="","",VLOOKUP($B71,'C-1 Site River Baseline'!$C$9:$R$257,7,FALSE))</f>
        <v/>
      </c>
      <c r="I71" s="520" t="str">
        <f>IF(H71="","",VLOOKUP($B71,'C-1 Site River Baseline'!$C$9:$R$257,8,FALSE))</f>
        <v/>
      </c>
      <c r="J71" s="520" t="str">
        <f>IF(I71="","",VLOOKUP($B71,'C-1 Site River Baseline'!$C$9:$R$257,9,FALSE))</f>
        <v/>
      </c>
      <c r="K71" s="520" t="str">
        <f>IF(J71="","",VLOOKUP($B71,'C-1 Site River Baseline'!$C$9:$R$257,10,FALSE))</f>
        <v/>
      </c>
      <c r="L71" s="520" t="str">
        <f>IF(B71="","",VLOOKUP($B71,'C-1 Site River Baseline'!$C$9:$R$257,15,FALSE))</f>
        <v/>
      </c>
      <c r="M71" s="524" t="str">
        <f>IF(L71="","",VLOOKUP($B71,'C-1 Site River Baseline'!$C$9:$R$257,16,FALSE))</f>
        <v/>
      </c>
      <c r="N71" s="418" t="str">
        <f t="shared" si="6"/>
        <v/>
      </c>
      <c r="O71" s="498" t="str">
        <f t="shared" si="1"/>
        <v/>
      </c>
      <c r="P71" s="499" t="str">
        <f>IF(C71="","",IF(AND(LEFT(C71,55)&lt;&gt;LEFT(N71,55),O71="High - High"),"Error - Not like for like ▲",IF(AND(F71=S71,H71&gt;U71),"Error - Can not reduce condition ▲",IF(AND(F71=S71,H71=U71,AJ71='C-1 Site River Baseline'!N69,'C-1 Site River Baseline'!P69=AL71),"Error - No enhancement ▲",IF(AND(C71&lt;&gt;N71,F71&lt;S71),"Lower Distinctiveness Habitat"&amp;" - "&amp;T71,G71&amp;" - "&amp;T71)))))</f>
        <v/>
      </c>
      <c r="Q71" s="567" t="str">
        <f>IF(N71="","",VLOOKUP(B71,'C-1 Site River Baseline'!$C$10:$AA$257,19,FALSE))</f>
        <v/>
      </c>
      <c r="R71" s="498" t="str">
        <f>IF(N71="","",VLOOKUP(N71,'G-7 Rivers Data'!$B$2:$G$8,2,FALSE))</f>
        <v/>
      </c>
      <c r="S71" s="499" t="str">
        <f>IFERROR(VLOOKUP(R71,'G-7 Rivers Data'!$C$4:$D$8,2,FALSE),"")</f>
        <v/>
      </c>
      <c r="T71" s="145"/>
      <c r="U71" s="499" t="str">
        <f>IFERROR(INDEX('G-7 Rivers Data'!$H$4:$L$8,MATCH(N71,'G-7 Rivers Data'!$B$4:$B$8,0),MATCH(T71,'G-7 Rivers Data'!$H$3:$L$3,0)),"")</f>
        <v/>
      </c>
      <c r="V71" s="154"/>
      <c r="W71" s="507" t="str">
        <f>IF(V71="","",IF(VLOOKUP(V71,'G-7 Rivers Data'!$AG$4:$AI$9,2,FALSE)=0,"Spatial Data Missing ⚠",VLOOKUP(V71,'G-7 Rivers Data'!$AG$4:$AI$9,2,FALSE)))</f>
        <v/>
      </c>
      <c r="X71" s="499" t="str">
        <f>IF(V71="","",IF(VLOOKUP(V71,'G-7 Rivers Data'!$AG$4:$AI$9,3,FALSE)=0,"Spatial Data Missing ⚠",VLOOKUP(V71,'G-7 Rivers Data'!$AG$4:$AI$9,3,FALSE)))</f>
        <v/>
      </c>
      <c r="Y71" s="498" t="str">
        <f>IFERROR(IF(OR(LEFT(P71,5)="Error ▲",LEFT(O71,5)="Error ▲"),"Check Data ⚠",IF(F71&lt;S71,'G-7 Rivers Data'!$R$3,INDEX('G-7 Rivers Data'!$U$5:$Y$9,MATCH(G71,'G-7 Rivers Data'!$T$5:$T$9,0),MATCH(T71,'G-7 Rivers Data'!$U$4:$Y$4,0)))),"")</f>
        <v/>
      </c>
      <c r="Z71" s="195"/>
      <c r="AA71" s="195"/>
      <c r="AB71" s="507" t="str">
        <f t="shared" si="2"/>
        <v/>
      </c>
      <c r="AC71" s="521" t="str">
        <f t="shared" si="3"/>
        <v/>
      </c>
      <c r="AD71" s="564" t="str">
        <f>IFERROR(IF(AC71="Check Data ⚠","Check Data ⚠",VLOOKUP(AC71,'G-4 Temporal multipliers'!$A$4:$C$37,3,FALSE)),"")</f>
        <v/>
      </c>
      <c r="AE71" s="498" t="str">
        <f>IF(N71="","",VLOOKUP(N71,'G-7 Rivers Data'!$B$4:$G$8,5,FALSE))</f>
        <v/>
      </c>
      <c r="AF71" s="507" t="str">
        <f t="shared" si="4"/>
        <v/>
      </c>
      <c r="AG71" s="540" t="str">
        <f t="shared" si="5"/>
        <v/>
      </c>
      <c r="AH71" s="499" t="str">
        <f t="shared" si="0"/>
        <v/>
      </c>
      <c r="AI71" s="145"/>
      <c r="AJ71" s="499" t="str">
        <f>IF(AI71="","",IF(VLOOKUP(AI71,'G-7 Rivers Data'!$AA$4:$AB$7,2,FALSE)=0,"Spatial Data Missing ⚠",VLOOKUP(AI71,'G-7 Rivers Data'!$AA$4:$AB$7,2,FALSE)))</f>
        <v/>
      </c>
      <c r="AK71" s="155"/>
      <c r="AL71" s="499" t="str">
        <f>IF(AK71="","",IF(VLOOKUP(AK71,'G-7 Rivers Data'!$AD$4:$AE$8,2,FALSE)=0,"Spatial Data Missing ⚠",VLOOKUP(AK71,'G-7 Rivers Data'!$AD$4:$AE$8,2,FALSE)))</f>
        <v/>
      </c>
      <c r="AM71" s="545" t="str">
        <f t="shared" si="7"/>
        <v/>
      </c>
      <c r="AN71" s="149"/>
      <c r="AO71" s="150"/>
      <c r="AV71" s="31" t="str">
        <f>IFERROR(INDEX('G-7 Rivers Data'!$AZ$3:$AZ$7,MATCH(N71,'G-7 Rivers Data'!$AY$3:$AY$7,0)),"")</f>
        <v/>
      </c>
    </row>
    <row r="72" spans="2:48" ht="13.8" x14ac:dyDescent="0.25">
      <c r="B72" s="531" t="str">
        <f>'C-1 Site River Baseline'!AN70</f>
        <v/>
      </c>
      <c r="C72" s="520" t="str">
        <f>IF(B72="","",VLOOKUP($B72,'C-1 Site River Baseline'!$C$9:$R$257,2,FALSE))</f>
        <v/>
      </c>
      <c r="D72" s="520" t="str">
        <f>IF(C72="","",VLOOKUP($B72,'C-1 Site River Baseline'!$C$9:$R$257,3,FALSE))</f>
        <v/>
      </c>
      <c r="E72" s="520" t="str">
        <f>IF(D72="","",VLOOKUP($B72,'C-1 Site River Baseline'!$C$9:$R$257,4,FALSE))</f>
        <v/>
      </c>
      <c r="F72" s="520" t="str">
        <f>IF(E72="","",VLOOKUP($B72,'C-1 Site River Baseline'!$C$9:$R$257,5,FALSE))</f>
        <v/>
      </c>
      <c r="G72" s="520" t="str">
        <f>IF(F72="","",VLOOKUP($B72,'C-1 Site River Baseline'!$C$9:$R$257,6,FALSE))</f>
        <v/>
      </c>
      <c r="H72" s="520" t="str">
        <f>IF(G72="","",VLOOKUP($B72,'C-1 Site River Baseline'!$C$9:$R$257,7,FALSE))</f>
        <v/>
      </c>
      <c r="I72" s="520" t="str">
        <f>IF(H72="","",VLOOKUP($B72,'C-1 Site River Baseline'!$C$9:$R$257,8,FALSE))</f>
        <v/>
      </c>
      <c r="J72" s="520" t="str">
        <f>IF(I72="","",VLOOKUP($B72,'C-1 Site River Baseline'!$C$9:$R$257,9,FALSE))</f>
        <v/>
      </c>
      <c r="K72" s="520" t="str">
        <f>IF(J72="","",VLOOKUP($B72,'C-1 Site River Baseline'!$C$9:$R$257,10,FALSE))</f>
        <v/>
      </c>
      <c r="L72" s="520" t="str">
        <f>IF(B72="","",VLOOKUP($B72,'C-1 Site River Baseline'!$C$9:$R$257,15,FALSE))</f>
        <v/>
      </c>
      <c r="M72" s="524" t="str">
        <f>IF(L72="","",VLOOKUP($B72,'C-1 Site River Baseline'!$C$9:$R$257,16,FALSE))</f>
        <v/>
      </c>
      <c r="N72" s="418" t="str">
        <f t="shared" si="6"/>
        <v/>
      </c>
      <c r="O72" s="498" t="str">
        <f t="shared" si="1"/>
        <v/>
      </c>
      <c r="P72" s="499" t="str">
        <f>IF(C72="","",IF(AND(LEFT(C72,55)&lt;&gt;LEFT(N72,55),O72="High - High"),"Error - Not like for like ▲",IF(AND(F72=S72,H72&gt;U72),"Error - Can not reduce condition ▲",IF(AND(F72=S72,H72=U72,AJ72='C-1 Site River Baseline'!N70,'C-1 Site River Baseline'!P70=AL72),"Error - No enhancement ▲",IF(AND(C72&lt;&gt;N72,F72&lt;S72),"Lower Distinctiveness Habitat"&amp;" - "&amp;T72,G72&amp;" - "&amp;T72)))))</f>
        <v/>
      </c>
      <c r="Q72" s="567" t="str">
        <f>IF(N72="","",VLOOKUP(B72,'C-1 Site River Baseline'!$C$10:$AA$257,19,FALSE))</f>
        <v/>
      </c>
      <c r="R72" s="498" t="str">
        <f>IF(N72="","",VLOOKUP(N72,'G-7 Rivers Data'!$B$2:$G$8,2,FALSE))</f>
        <v/>
      </c>
      <c r="S72" s="499" t="str">
        <f>IFERROR(VLOOKUP(R72,'G-7 Rivers Data'!$C$4:$D$8,2,FALSE),"")</f>
        <v/>
      </c>
      <c r="T72" s="145"/>
      <c r="U72" s="499" t="str">
        <f>IFERROR(INDEX('G-7 Rivers Data'!$H$4:$L$8,MATCH(N72,'G-7 Rivers Data'!$B$4:$B$8,0),MATCH(T72,'G-7 Rivers Data'!$H$3:$L$3,0)),"")</f>
        <v/>
      </c>
      <c r="V72" s="154"/>
      <c r="W72" s="507" t="str">
        <f>IF(V72="","",IF(VLOOKUP(V72,'G-7 Rivers Data'!$AG$4:$AI$9,2,FALSE)=0,"Spatial Data Missing ⚠",VLOOKUP(V72,'G-7 Rivers Data'!$AG$4:$AI$9,2,FALSE)))</f>
        <v/>
      </c>
      <c r="X72" s="499" t="str">
        <f>IF(V72="","",IF(VLOOKUP(V72,'G-7 Rivers Data'!$AG$4:$AI$9,3,FALSE)=0,"Spatial Data Missing ⚠",VLOOKUP(V72,'G-7 Rivers Data'!$AG$4:$AI$9,3,FALSE)))</f>
        <v/>
      </c>
      <c r="Y72" s="498" t="str">
        <f>IFERROR(IF(OR(LEFT(P72,5)="Error ▲",LEFT(O72,5)="Error ▲"),"Check Data ⚠",IF(F72&lt;S72,'G-7 Rivers Data'!$R$3,INDEX('G-7 Rivers Data'!$U$5:$Y$9,MATCH(G72,'G-7 Rivers Data'!$T$5:$T$9,0),MATCH(T72,'G-7 Rivers Data'!$U$4:$Y$4,0)))),"")</f>
        <v/>
      </c>
      <c r="Z72" s="195"/>
      <c r="AA72" s="195"/>
      <c r="AB72" s="507" t="str">
        <f t="shared" si="2"/>
        <v/>
      </c>
      <c r="AC72" s="521" t="str">
        <f t="shared" si="3"/>
        <v/>
      </c>
      <c r="AD72" s="564" t="str">
        <f>IFERROR(IF(AC72="Check Data ⚠","Check Data ⚠",VLOOKUP(AC72,'G-4 Temporal multipliers'!$A$4:$C$37,3,FALSE)),"")</f>
        <v/>
      </c>
      <c r="AE72" s="498" t="str">
        <f>IF(N72="","",VLOOKUP(N72,'G-7 Rivers Data'!$B$4:$G$8,5,FALSE))</f>
        <v/>
      </c>
      <c r="AF72" s="507" t="str">
        <f t="shared" si="4"/>
        <v/>
      </c>
      <c r="AG72" s="540" t="str">
        <f t="shared" si="5"/>
        <v/>
      </c>
      <c r="AH72" s="499" t="str">
        <f t="shared" si="0"/>
        <v/>
      </c>
      <c r="AI72" s="145"/>
      <c r="AJ72" s="499" t="str">
        <f>IF(AI72="","",IF(VLOOKUP(AI72,'G-7 Rivers Data'!$AA$4:$AB$7,2,FALSE)=0,"Spatial Data Missing ⚠",VLOOKUP(AI72,'G-7 Rivers Data'!$AA$4:$AB$7,2,FALSE)))</f>
        <v/>
      </c>
      <c r="AK72" s="155"/>
      <c r="AL72" s="499" t="str">
        <f>IF(AK72="","",IF(VLOOKUP(AK72,'G-7 Rivers Data'!$AD$4:$AE$8,2,FALSE)=0,"Spatial Data Missing ⚠",VLOOKUP(AK72,'G-7 Rivers Data'!$AD$4:$AE$8,2,FALSE)))</f>
        <v/>
      </c>
      <c r="AM72" s="545" t="str">
        <f t="shared" si="7"/>
        <v/>
      </c>
      <c r="AN72" s="149"/>
      <c r="AO72" s="150"/>
      <c r="AV72" s="31" t="str">
        <f>IFERROR(INDEX('G-7 Rivers Data'!$AZ$3:$AZ$7,MATCH(N72,'G-7 Rivers Data'!$AY$3:$AY$7,0)),"")</f>
        <v/>
      </c>
    </row>
    <row r="73" spans="2:48" ht="13.8" x14ac:dyDescent="0.25">
      <c r="B73" s="531" t="str">
        <f>'C-1 Site River Baseline'!AN71</f>
        <v/>
      </c>
      <c r="C73" s="520" t="str">
        <f>IF(B73="","",VLOOKUP($B73,'C-1 Site River Baseline'!$C$9:$R$257,2,FALSE))</f>
        <v/>
      </c>
      <c r="D73" s="520" t="str">
        <f>IF(C73="","",VLOOKUP($B73,'C-1 Site River Baseline'!$C$9:$R$257,3,FALSE))</f>
        <v/>
      </c>
      <c r="E73" s="520" t="str">
        <f>IF(D73="","",VLOOKUP($B73,'C-1 Site River Baseline'!$C$9:$R$257,4,FALSE))</f>
        <v/>
      </c>
      <c r="F73" s="520" t="str">
        <f>IF(E73="","",VLOOKUP($B73,'C-1 Site River Baseline'!$C$9:$R$257,5,FALSE))</f>
        <v/>
      </c>
      <c r="G73" s="520" t="str">
        <f>IF(F73="","",VLOOKUP($B73,'C-1 Site River Baseline'!$C$9:$R$257,6,FALSE))</f>
        <v/>
      </c>
      <c r="H73" s="520" t="str">
        <f>IF(G73="","",VLOOKUP($B73,'C-1 Site River Baseline'!$C$9:$R$257,7,FALSE))</f>
        <v/>
      </c>
      <c r="I73" s="520" t="str">
        <f>IF(H73="","",VLOOKUP($B73,'C-1 Site River Baseline'!$C$9:$R$257,8,FALSE))</f>
        <v/>
      </c>
      <c r="J73" s="520" t="str">
        <f>IF(I73="","",VLOOKUP($B73,'C-1 Site River Baseline'!$C$9:$R$257,9,FALSE))</f>
        <v/>
      </c>
      <c r="K73" s="520" t="str">
        <f>IF(J73="","",VLOOKUP($B73,'C-1 Site River Baseline'!$C$9:$R$257,10,FALSE))</f>
        <v/>
      </c>
      <c r="L73" s="520" t="str">
        <f>IF(B73="","",VLOOKUP($B73,'C-1 Site River Baseline'!$C$9:$R$257,15,FALSE))</f>
        <v/>
      </c>
      <c r="M73" s="524" t="str">
        <f>IF(L73="","",VLOOKUP($B73,'C-1 Site River Baseline'!$C$9:$R$257,16,FALSE))</f>
        <v/>
      </c>
      <c r="N73" s="418" t="str">
        <f t="shared" si="6"/>
        <v/>
      </c>
      <c r="O73" s="498" t="str">
        <f t="shared" si="1"/>
        <v/>
      </c>
      <c r="P73" s="499" t="str">
        <f>IF(C73="","",IF(AND(LEFT(C73,55)&lt;&gt;LEFT(N73,55),O73="High - High"),"Error - Not like for like ▲",IF(AND(F73=S73,H73&gt;U73),"Error - Can not reduce condition ▲",IF(AND(F73=S73,H73=U73,AJ73='C-1 Site River Baseline'!N71,'C-1 Site River Baseline'!P71=AL73),"Error - No enhancement ▲",IF(AND(C73&lt;&gt;N73,F73&lt;S73),"Lower Distinctiveness Habitat"&amp;" - "&amp;T73,G73&amp;" - "&amp;T73)))))</f>
        <v/>
      </c>
      <c r="Q73" s="567" t="str">
        <f>IF(N73="","",VLOOKUP(B73,'C-1 Site River Baseline'!$C$10:$AA$257,19,FALSE))</f>
        <v/>
      </c>
      <c r="R73" s="498" t="str">
        <f>IF(N73="","",VLOOKUP(N73,'G-7 Rivers Data'!$B$2:$G$8,2,FALSE))</f>
        <v/>
      </c>
      <c r="S73" s="499" t="str">
        <f>IFERROR(VLOOKUP(R73,'G-7 Rivers Data'!$C$4:$D$8,2,FALSE),"")</f>
        <v/>
      </c>
      <c r="T73" s="145"/>
      <c r="U73" s="499" t="str">
        <f>IFERROR(INDEX('G-7 Rivers Data'!$H$4:$L$8,MATCH(N73,'G-7 Rivers Data'!$B$4:$B$8,0),MATCH(T73,'G-7 Rivers Data'!$H$3:$L$3,0)),"")</f>
        <v/>
      </c>
      <c r="V73" s="154"/>
      <c r="W73" s="507" t="str">
        <f>IF(V73="","",IF(VLOOKUP(V73,'G-7 Rivers Data'!$AG$4:$AI$9,2,FALSE)=0,"Spatial Data Missing ⚠",VLOOKUP(V73,'G-7 Rivers Data'!$AG$4:$AI$9,2,FALSE)))</f>
        <v/>
      </c>
      <c r="X73" s="499" t="str">
        <f>IF(V73="","",IF(VLOOKUP(V73,'G-7 Rivers Data'!$AG$4:$AI$9,3,FALSE)=0,"Spatial Data Missing ⚠",VLOOKUP(V73,'G-7 Rivers Data'!$AG$4:$AI$9,3,FALSE)))</f>
        <v/>
      </c>
      <c r="Y73" s="498" t="str">
        <f>IFERROR(IF(OR(LEFT(P73,5)="Error ▲",LEFT(O73,5)="Error ▲"),"Check Data ⚠",IF(F73&lt;S73,'G-7 Rivers Data'!$R$3,INDEX('G-7 Rivers Data'!$U$5:$Y$9,MATCH(G73,'G-7 Rivers Data'!$T$5:$T$9,0),MATCH(T73,'G-7 Rivers Data'!$U$4:$Y$4,0)))),"")</f>
        <v/>
      </c>
      <c r="Z73" s="195"/>
      <c r="AA73" s="195"/>
      <c r="AB73" s="507" t="str">
        <f t="shared" si="2"/>
        <v/>
      </c>
      <c r="AC73" s="521" t="str">
        <f t="shared" si="3"/>
        <v/>
      </c>
      <c r="AD73" s="564" t="str">
        <f>IFERROR(IF(AC73="Check Data ⚠","Check Data ⚠",VLOOKUP(AC73,'G-4 Temporal multipliers'!$A$4:$C$37,3,FALSE)),"")</f>
        <v/>
      </c>
      <c r="AE73" s="498" t="str">
        <f>IF(N73="","",VLOOKUP(N73,'G-7 Rivers Data'!$B$4:$G$8,5,FALSE))</f>
        <v/>
      </c>
      <c r="AF73" s="507" t="str">
        <f t="shared" si="4"/>
        <v/>
      </c>
      <c r="AG73" s="540" t="str">
        <f t="shared" si="5"/>
        <v/>
      </c>
      <c r="AH73" s="499" t="str">
        <f t="shared" si="0"/>
        <v/>
      </c>
      <c r="AI73" s="145"/>
      <c r="AJ73" s="499" t="str">
        <f>IF(AI73="","",IF(VLOOKUP(AI73,'G-7 Rivers Data'!$AA$4:$AB$7,2,FALSE)=0,"Spatial Data Missing ⚠",VLOOKUP(AI73,'G-7 Rivers Data'!$AA$4:$AB$7,2,FALSE)))</f>
        <v/>
      </c>
      <c r="AK73" s="155"/>
      <c r="AL73" s="499" t="str">
        <f>IF(AK73="","",IF(VLOOKUP(AK73,'G-7 Rivers Data'!$AD$4:$AE$8,2,FALSE)=0,"Spatial Data Missing ⚠",VLOOKUP(AK73,'G-7 Rivers Data'!$AD$4:$AE$8,2,FALSE)))</f>
        <v/>
      </c>
      <c r="AM73" s="545" t="str">
        <f t="shared" si="7"/>
        <v/>
      </c>
      <c r="AN73" s="149"/>
      <c r="AO73" s="150"/>
      <c r="AV73" s="31" t="str">
        <f>IFERROR(INDEX('G-7 Rivers Data'!$AZ$3:$AZ$7,MATCH(N73,'G-7 Rivers Data'!$AY$3:$AY$7,0)),"")</f>
        <v/>
      </c>
    </row>
    <row r="74" spans="2:48" ht="13.8" x14ac:dyDescent="0.25">
      <c r="B74" s="531" t="str">
        <f>'C-1 Site River Baseline'!AN72</f>
        <v/>
      </c>
      <c r="C74" s="520" t="str">
        <f>IF(B74="","",VLOOKUP($B74,'C-1 Site River Baseline'!$C$9:$R$257,2,FALSE))</f>
        <v/>
      </c>
      <c r="D74" s="520" t="str">
        <f>IF(C74="","",VLOOKUP($B74,'C-1 Site River Baseline'!$C$9:$R$257,3,FALSE))</f>
        <v/>
      </c>
      <c r="E74" s="520" t="str">
        <f>IF(D74="","",VLOOKUP($B74,'C-1 Site River Baseline'!$C$9:$R$257,4,FALSE))</f>
        <v/>
      </c>
      <c r="F74" s="520" t="str">
        <f>IF(E74="","",VLOOKUP($B74,'C-1 Site River Baseline'!$C$9:$R$257,5,FALSE))</f>
        <v/>
      </c>
      <c r="G74" s="520" t="str">
        <f>IF(F74="","",VLOOKUP($B74,'C-1 Site River Baseline'!$C$9:$R$257,6,FALSE))</f>
        <v/>
      </c>
      <c r="H74" s="520" t="str">
        <f>IF(G74="","",VLOOKUP($B74,'C-1 Site River Baseline'!$C$9:$R$257,7,FALSE))</f>
        <v/>
      </c>
      <c r="I74" s="520" t="str">
        <f>IF(H74="","",VLOOKUP($B74,'C-1 Site River Baseline'!$C$9:$R$257,8,FALSE))</f>
        <v/>
      </c>
      <c r="J74" s="520" t="str">
        <f>IF(I74="","",VLOOKUP($B74,'C-1 Site River Baseline'!$C$9:$R$257,9,FALSE))</f>
        <v/>
      </c>
      <c r="K74" s="520" t="str">
        <f>IF(J74="","",VLOOKUP($B74,'C-1 Site River Baseline'!$C$9:$R$257,10,FALSE))</f>
        <v/>
      </c>
      <c r="L74" s="520" t="str">
        <f>IF(B74="","",VLOOKUP($B74,'C-1 Site River Baseline'!$C$9:$R$257,15,FALSE))</f>
        <v/>
      </c>
      <c r="M74" s="524" t="str">
        <f>IF(L74="","",VLOOKUP($B74,'C-1 Site River Baseline'!$C$9:$R$257,16,FALSE))</f>
        <v/>
      </c>
      <c r="N74" s="418" t="str">
        <f t="shared" si="6"/>
        <v/>
      </c>
      <c r="O74" s="498" t="str">
        <f t="shared" si="1"/>
        <v/>
      </c>
      <c r="P74" s="499" t="str">
        <f>IF(C74="","",IF(AND(LEFT(C74,55)&lt;&gt;LEFT(N74,55),O74="High - High"),"Error - Not like for like ▲",IF(AND(F74=S74,H74&gt;U74),"Error - Can not reduce condition ▲",IF(AND(F74=S74,H74=U74,AJ74='C-1 Site River Baseline'!N72,'C-1 Site River Baseline'!P72=AL74),"Error - No enhancement ▲",IF(AND(C74&lt;&gt;N74,F74&lt;S74),"Lower Distinctiveness Habitat"&amp;" - "&amp;T74,G74&amp;" - "&amp;T74)))))</f>
        <v/>
      </c>
      <c r="Q74" s="567" t="str">
        <f>IF(N74="","",VLOOKUP(B74,'C-1 Site River Baseline'!$C$10:$AA$257,19,FALSE))</f>
        <v/>
      </c>
      <c r="R74" s="498" t="str">
        <f>IF(N74="","",VLOOKUP(N74,'G-7 Rivers Data'!$B$2:$G$8,2,FALSE))</f>
        <v/>
      </c>
      <c r="S74" s="499" t="str">
        <f>IFERROR(VLOOKUP(R74,'G-7 Rivers Data'!$C$4:$D$8,2,FALSE),"")</f>
        <v/>
      </c>
      <c r="T74" s="145"/>
      <c r="U74" s="499" t="str">
        <f>IFERROR(INDEX('G-7 Rivers Data'!$H$4:$L$8,MATCH(N74,'G-7 Rivers Data'!$B$4:$B$8,0),MATCH(T74,'G-7 Rivers Data'!$H$3:$L$3,0)),"")</f>
        <v/>
      </c>
      <c r="V74" s="154"/>
      <c r="W74" s="507" t="str">
        <f>IF(V74="","",IF(VLOOKUP(V74,'G-7 Rivers Data'!$AG$4:$AI$9,2,FALSE)=0,"Spatial Data Missing ⚠",VLOOKUP(V74,'G-7 Rivers Data'!$AG$4:$AI$9,2,FALSE)))</f>
        <v/>
      </c>
      <c r="X74" s="499" t="str">
        <f>IF(V74="","",IF(VLOOKUP(V74,'G-7 Rivers Data'!$AG$4:$AI$9,3,FALSE)=0,"Spatial Data Missing ⚠",VLOOKUP(V74,'G-7 Rivers Data'!$AG$4:$AI$9,3,FALSE)))</f>
        <v/>
      </c>
      <c r="Y74" s="498" t="str">
        <f>IFERROR(IF(OR(LEFT(P74,5)="Error ▲",LEFT(O74,5)="Error ▲"),"Check Data ⚠",IF(F74&lt;S74,'G-7 Rivers Data'!$R$3,INDEX('G-7 Rivers Data'!$U$5:$Y$9,MATCH(G74,'G-7 Rivers Data'!$T$5:$T$9,0),MATCH(T74,'G-7 Rivers Data'!$U$4:$Y$4,0)))),"")</f>
        <v/>
      </c>
      <c r="Z74" s="195"/>
      <c r="AA74" s="195"/>
      <c r="AB74" s="507" t="str">
        <f t="shared" si="2"/>
        <v/>
      </c>
      <c r="AC74" s="521" t="str">
        <f t="shared" si="3"/>
        <v/>
      </c>
      <c r="AD74" s="564" t="str">
        <f>IFERROR(IF(AC74="Check Data ⚠","Check Data ⚠",VLOOKUP(AC74,'G-4 Temporal multipliers'!$A$4:$C$37,3,FALSE)),"")</f>
        <v/>
      </c>
      <c r="AE74" s="498" t="str">
        <f>IF(N74="","",VLOOKUP(N74,'G-7 Rivers Data'!$B$4:$G$8,5,FALSE))</f>
        <v/>
      </c>
      <c r="AF74" s="507" t="str">
        <f t="shared" si="4"/>
        <v/>
      </c>
      <c r="AG74" s="540" t="str">
        <f t="shared" si="5"/>
        <v/>
      </c>
      <c r="AH74" s="499" t="str">
        <f t="shared" si="0"/>
        <v/>
      </c>
      <c r="AI74" s="145"/>
      <c r="AJ74" s="499" t="str">
        <f>IF(AI74="","",IF(VLOOKUP(AI74,'G-7 Rivers Data'!$AA$4:$AB$7,2,FALSE)=0,"Spatial Data Missing ⚠",VLOOKUP(AI74,'G-7 Rivers Data'!$AA$4:$AB$7,2,FALSE)))</f>
        <v/>
      </c>
      <c r="AK74" s="155"/>
      <c r="AL74" s="499" t="str">
        <f>IF(AK74="","",IF(VLOOKUP(AK74,'G-7 Rivers Data'!$AD$4:$AE$8,2,FALSE)=0,"Spatial Data Missing ⚠",VLOOKUP(AK74,'G-7 Rivers Data'!$AD$4:$AE$8,2,FALSE)))</f>
        <v/>
      </c>
      <c r="AM74" s="545" t="str">
        <f t="shared" si="7"/>
        <v/>
      </c>
      <c r="AN74" s="149"/>
      <c r="AO74" s="150"/>
      <c r="AV74" s="31" t="str">
        <f>IFERROR(INDEX('G-7 Rivers Data'!$AZ$3:$AZ$7,MATCH(N74,'G-7 Rivers Data'!$AY$3:$AY$7,0)),"")</f>
        <v/>
      </c>
    </row>
    <row r="75" spans="2:48" ht="13.8" x14ac:dyDescent="0.25">
      <c r="B75" s="531" t="str">
        <f>'C-1 Site River Baseline'!AN73</f>
        <v/>
      </c>
      <c r="C75" s="520" t="str">
        <f>IF(B75="","",VLOOKUP($B75,'C-1 Site River Baseline'!$C$9:$R$257,2,FALSE))</f>
        <v/>
      </c>
      <c r="D75" s="520" t="str">
        <f>IF(C75="","",VLOOKUP($B75,'C-1 Site River Baseline'!$C$9:$R$257,3,FALSE))</f>
        <v/>
      </c>
      <c r="E75" s="520" t="str">
        <f>IF(D75="","",VLOOKUP($B75,'C-1 Site River Baseline'!$C$9:$R$257,4,FALSE))</f>
        <v/>
      </c>
      <c r="F75" s="520" t="str">
        <f>IF(E75="","",VLOOKUP($B75,'C-1 Site River Baseline'!$C$9:$R$257,5,FALSE))</f>
        <v/>
      </c>
      <c r="G75" s="520" t="str">
        <f>IF(F75="","",VLOOKUP($B75,'C-1 Site River Baseline'!$C$9:$R$257,6,FALSE))</f>
        <v/>
      </c>
      <c r="H75" s="520" t="str">
        <f>IF(G75="","",VLOOKUP($B75,'C-1 Site River Baseline'!$C$9:$R$257,7,FALSE))</f>
        <v/>
      </c>
      <c r="I75" s="520" t="str">
        <f>IF(H75="","",VLOOKUP($B75,'C-1 Site River Baseline'!$C$9:$R$257,8,FALSE))</f>
        <v/>
      </c>
      <c r="J75" s="520" t="str">
        <f>IF(I75="","",VLOOKUP($B75,'C-1 Site River Baseline'!$C$9:$R$257,9,FALSE))</f>
        <v/>
      </c>
      <c r="K75" s="520" t="str">
        <f>IF(J75="","",VLOOKUP($B75,'C-1 Site River Baseline'!$C$9:$R$257,10,FALSE))</f>
        <v/>
      </c>
      <c r="L75" s="520" t="str">
        <f>IF(B75="","",VLOOKUP($B75,'C-1 Site River Baseline'!$C$9:$R$257,15,FALSE))</f>
        <v/>
      </c>
      <c r="M75" s="524" t="str">
        <f>IF(L75="","",VLOOKUP($B75,'C-1 Site River Baseline'!$C$9:$R$257,16,FALSE))</f>
        <v/>
      </c>
      <c r="N75" s="418" t="str">
        <f t="shared" si="6"/>
        <v/>
      </c>
      <c r="O75" s="498" t="str">
        <f t="shared" si="1"/>
        <v/>
      </c>
      <c r="P75" s="499" t="str">
        <f>IF(C75="","",IF(AND(LEFT(C75,55)&lt;&gt;LEFT(N75,55),O75="High - High"),"Error - Not like for like ▲",IF(AND(F75=S75,H75&gt;U75),"Error - Can not reduce condition ▲",IF(AND(F75=S75,H75=U75,AJ75='C-1 Site River Baseline'!N73,'C-1 Site River Baseline'!P73=AL75),"Error - No enhancement ▲",IF(AND(C75&lt;&gt;N75,F75&lt;S75),"Lower Distinctiveness Habitat"&amp;" - "&amp;T75,G75&amp;" - "&amp;T75)))))</f>
        <v/>
      </c>
      <c r="Q75" s="567" t="str">
        <f>IF(N75="","",VLOOKUP(B75,'C-1 Site River Baseline'!$C$10:$AA$257,19,FALSE))</f>
        <v/>
      </c>
      <c r="R75" s="498" t="str">
        <f>IF(N75="","",VLOOKUP(N75,'G-7 Rivers Data'!$B$2:$G$8,2,FALSE))</f>
        <v/>
      </c>
      <c r="S75" s="499" t="str">
        <f>IFERROR(VLOOKUP(R75,'G-7 Rivers Data'!$C$4:$D$8,2,FALSE),"")</f>
        <v/>
      </c>
      <c r="T75" s="145"/>
      <c r="U75" s="499" t="str">
        <f>IFERROR(INDEX('G-7 Rivers Data'!$H$4:$L$8,MATCH(N75,'G-7 Rivers Data'!$B$4:$B$8,0),MATCH(T75,'G-7 Rivers Data'!$H$3:$L$3,0)),"")</f>
        <v/>
      </c>
      <c r="V75" s="154"/>
      <c r="W75" s="507" t="str">
        <f>IF(V75="","",IF(VLOOKUP(V75,'G-7 Rivers Data'!$AG$4:$AI$9,2,FALSE)=0,"Spatial Data Missing ⚠",VLOOKUP(V75,'G-7 Rivers Data'!$AG$4:$AI$9,2,FALSE)))</f>
        <v/>
      </c>
      <c r="X75" s="499" t="str">
        <f>IF(V75="","",IF(VLOOKUP(V75,'G-7 Rivers Data'!$AG$4:$AI$9,3,FALSE)=0,"Spatial Data Missing ⚠",VLOOKUP(V75,'G-7 Rivers Data'!$AG$4:$AI$9,3,FALSE)))</f>
        <v/>
      </c>
      <c r="Y75" s="498" t="str">
        <f>IFERROR(IF(OR(LEFT(P75,5)="Error ▲",LEFT(O75,5)="Error ▲"),"Check Data ⚠",IF(F75&lt;S75,'G-7 Rivers Data'!$R$3,INDEX('G-7 Rivers Data'!$U$5:$Y$9,MATCH(G75,'G-7 Rivers Data'!$T$5:$T$9,0),MATCH(T75,'G-7 Rivers Data'!$U$4:$Y$4,0)))),"")</f>
        <v/>
      </c>
      <c r="Z75" s="195"/>
      <c r="AA75" s="195"/>
      <c r="AB75" s="507" t="str">
        <f t="shared" si="2"/>
        <v/>
      </c>
      <c r="AC75" s="521" t="str">
        <f t="shared" si="3"/>
        <v/>
      </c>
      <c r="AD75" s="564" t="str">
        <f>IFERROR(IF(AC75="Check Data ⚠","Check Data ⚠",VLOOKUP(AC75,'G-4 Temporal multipliers'!$A$4:$C$37,3,FALSE)),"")</f>
        <v/>
      </c>
      <c r="AE75" s="498" t="str">
        <f>IF(N75="","",VLOOKUP(N75,'G-7 Rivers Data'!$B$4:$G$8,5,FALSE))</f>
        <v/>
      </c>
      <c r="AF75" s="507" t="str">
        <f t="shared" si="4"/>
        <v/>
      </c>
      <c r="AG75" s="540" t="str">
        <f t="shared" si="5"/>
        <v/>
      </c>
      <c r="AH75" s="499" t="str">
        <f t="shared" si="0"/>
        <v/>
      </c>
      <c r="AI75" s="145"/>
      <c r="AJ75" s="499" t="str">
        <f>IF(AI75="","",IF(VLOOKUP(AI75,'G-7 Rivers Data'!$AA$4:$AB$7,2,FALSE)=0,"Spatial Data Missing ⚠",VLOOKUP(AI75,'G-7 Rivers Data'!$AA$4:$AB$7,2,FALSE)))</f>
        <v/>
      </c>
      <c r="AK75" s="155"/>
      <c r="AL75" s="499" t="str">
        <f>IF(AK75="","",IF(VLOOKUP(AK75,'G-7 Rivers Data'!$AD$4:$AE$8,2,FALSE)=0,"Spatial Data Missing ⚠",VLOOKUP(AK75,'G-7 Rivers Data'!$AD$4:$AE$8,2,FALSE)))</f>
        <v/>
      </c>
      <c r="AM75" s="545" t="str">
        <f t="shared" si="7"/>
        <v/>
      </c>
      <c r="AN75" s="149"/>
      <c r="AO75" s="150"/>
      <c r="AV75" s="31" t="str">
        <f>IFERROR(INDEX('G-7 Rivers Data'!$AZ$3:$AZ$7,MATCH(N75,'G-7 Rivers Data'!$AY$3:$AY$7,0)),"")</f>
        <v/>
      </c>
    </row>
    <row r="76" spans="2:48" ht="13.8" x14ac:dyDescent="0.25">
      <c r="B76" s="531" t="str">
        <f>'C-1 Site River Baseline'!AN74</f>
        <v/>
      </c>
      <c r="C76" s="520" t="str">
        <f>IF(B76="","",VLOOKUP($B76,'C-1 Site River Baseline'!$C$9:$R$257,2,FALSE))</f>
        <v/>
      </c>
      <c r="D76" s="520" t="str">
        <f>IF(C76="","",VLOOKUP($B76,'C-1 Site River Baseline'!$C$9:$R$257,3,FALSE))</f>
        <v/>
      </c>
      <c r="E76" s="520" t="str">
        <f>IF(D76="","",VLOOKUP($B76,'C-1 Site River Baseline'!$C$9:$R$257,4,FALSE))</f>
        <v/>
      </c>
      <c r="F76" s="520" t="str">
        <f>IF(E76="","",VLOOKUP($B76,'C-1 Site River Baseline'!$C$9:$R$257,5,FALSE))</f>
        <v/>
      </c>
      <c r="G76" s="520" t="str">
        <f>IF(F76="","",VLOOKUP($B76,'C-1 Site River Baseline'!$C$9:$R$257,6,FALSE))</f>
        <v/>
      </c>
      <c r="H76" s="520" t="str">
        <f>IF(G76="","",VLOOKUP($B76,'C-1 Site River Baseline'!$C$9:$R$257,7,FALSE))</f>
        <v/>
      </c>
      <c r="I76" s="520" t="str">
        <f>IF(H76="","",VLOOKUP($B76,'C-1 Site River Baseline'!$C$9:$R$257,8,FALSE))</f>
        <v/>
      </c>
      <c r="J76" s="520" t="str">
        <f>IF(I76="","",VLOOKUP($B76,'C-1 Site River Baseline'!$C$9:$R$257,9,FALSE))</f>
        <v/>
      </c>
      <c r="K76" s="520" t="str">
        <f>IF(J76="","",VLOOKUP($B76,'C-1 Site River Baseline'!$C$9:$R$257,10,FALSE))</f>
        <v/>
      </c>
      <c r="L76" s="520" t="str">
        <f>IF(B76="","",VLOOKUP($B76,'C-1 Site River Baseline'!$C$9:$R$257,15,FALSE))</f>
        <v/>
      </c>
      <c r="M76" s="524" t="str">
        <f>IF(L76="","",VLOOKUP($B76,'C-1 Site River Baseline'!$C$9:$R$257,16,FALSE))</f>
        <v/>
      </c>
      <c r="N76" s="418" t="str">
        <f t="shared" si="6"/>
        <v/>
      </c>
      <c r="O76" s="498" t="str">
        <f t="shared" si="1"/>
        <v/>
      </c>
      <c r="P76" s="499" t="str">
        <f>IF(C76="","",IF(AND(LEFT(C76,55)&lt;&gt;LEFT(N76,55),O76="High - High"),"Error - Not like for like ▲",IF(AND(F76=S76,H76&gt;U76),"Error - Can not reduce condition ▲",IF(AND(F76=S76,H76=U76,AJ76='C-1 Site River Baseline'!N74,'C-1 Site River Baseline'!P74=AL76),"Error - No enhancement ▲",IF(AND(C76&lt;&gt;N76,F76&lt;S76),"Lower Distinctiveness Habitat"&amp;" - "&amp;T76,G76&amp;" - "&amp;T76)))))</f>
        <v/>
      </c>
      <c r="Q76" s="567" t="str">
        <f>IF(N76="","",VLOOKUP(B76,'C-1 Site River Baseline'!$C$10:$AA$257,19,FALSE))</f>
        <v/>
      </c>
      <c r="R76" s="498" t="str">
        <f>IF(N76="","",VLOOKUP(N76,'G-7 Rivers Data'!$B$2:$G$8,2,FALSE))</f>
        <v/>
      </c>
      <c r="S76" s="499" t="str">
        <f>IFERROR(VLOOKUP(R76,'G-7 Rivers Data'!$C$4:$D$8,2,FALSE),"")</f>
        <v/>
      </c>
      <c r="T76" s="145"/>
      <c r="U76" s="499" t="str">
        <f>IFERROR(INDEX('G-7 Rivers Data'!$H$4:$L$8,MATCH(N76,'G-7 Rivers Data'!$B$4:$B$8,0),MATCH(T76,'G-7 Rivers Data'!$H$3:$L$3,0)),"")</f>
        <v/>
      </c>
      <c r="V76" s="154"/>
      <c r="W76" s="507" t="str">
        <f>IF(V76="","",IF(VLOOKUP(V76,'G-7 Rivers Data'!$AG$4:$AI$9,2,FALSE)=0,"Spatial Data Missing ⚠",VLOOKUP(V76,'G-7 Rivers Data'!$AG$4:$AI$9,2,FALSE)))</f>
        <v/>
      </c>
      <c r="X76" s="499" t="str">
        <f>IF(V76="","",IF(VLOOKUP(V76,'G-7 Rivers Data'!$AG$4:$AI$9,3,FALSE)=0,"Spatial Data Missing ⚠",VLOOKUP(V76,'G-7 Rivers Data'!$AG$4:$AI$9,3,FALSE)))</f>
        <v/>
      </c>
      <c r="Y76" s="498" t="str">
        <f>IFERROR(IF(OR(LEFT(P76,5)="Error ▲",LEFT(O76,5)="Error ▲"),"Check Data ⚠",IF(F76&lt;S76,'G-7 Rivers Data'!$R$3,INDEX('G-7 Rivers Data'!$U$5:$Y$9,MATCH(G76,'G-7 Rivers Data'!$T$5:$T$9,0),MATCH(T76,'G-7 Rivers Data'!$U$4:$Y$4,0)))),"")</f>
        <v/>
      </c>
      <c r="Z76" s="195"/>
      <c r="AA76" s="195"/>
      <c r="AB76" s="507" t="str">
        <f t="shared" si="2"/>
        <v/>
      </c>
      <c r="AC76" s="521" t="str">
        <f t="shared" si="3"/>
        <v/>
      </c>
      <c r="AD76" s="564" t="str">
        <f>IFERROR(IF(AC76="Check Data ⚠","Check Data ⚠",VLOOKUP(AC76,'G-4 Temporal multipliers'!$A$4:$C$37,3,FALSE)),"")</f>
        <v/>
      </c>
      <c r="AE76" s="498" t="str">
        <f>IF(N76="","",VLOOKUP(N76,'G-7 Rivers Data'!$B$4:$G$8,5,FALSE))</f>
        <v/>
      </c>
      <c r="AF76" s="507" t="str">
        <f t="shared" si="4"/>
        <v/>
      </c>
      <c r="AG76" s="540" t="str">
        <f t="shared" si="5"/>
        <v/>
      </c>
      <c r="AH76" s="499" t="str">
        <f t="shared" ref="AH76:AH139" si="8">IF(N76="","",VLOOKUP(AE76,Difficulty,2,FALSE))</f>
        <v/>
      </c>
      <c r="AI76" s="145"/>
      <c r="AJ76" s="499" t="str">
        <f>IF(AI76="","",IF(VLOOKUP(AI76,'G-7 Rivers Data'!$AA$4:$AB$7,2,FALSE)=0,"Spatial Data Missing ⚠",VLOOKUP(AI76,'G-7 Rivers Data'!$AA$4:$AB$7,2,FALSE)))</f>
        <v/>
      </c>
      <c r="AK76" s="155"/>
      <c r="AL76" s="499" t="str">
        <f>IF(AK76="","",IF(VLOOKUP(AK76,'G-7 Rivers Data'!$AD$4:$AE$8,2,FALSE)=0,"Spatial Data Missing ⚠",VLOOKUP(AK76,'G-7 Rivers Data'!$AD$4:$AE$8,2,FALSE)))</f>
        <v/>
      </c>
      <c r="AM76" s="545" t="str">
        <f t="shared" si="7"/>
        <v/>
      </c>
      <c r="AN76" s="149"/>
      <c r="AO76" s="150"/>
      <c r="AV76" s="31" t="str">
        <f>IFERROR(INDEX('G-7 Rivers Data'!$AZ$3:$AZ$7,MATCH(N76,'G-7 Rivers Data'!$AY$3:$AY$7,0)),"")</f>
        <v/>
      </c>
    </row>
    <row r="77" spans="2:48" ht="13.8" x14ac:dyDescent="0.25">
      <c r="B77" s="531" t="str">
        <f>'C-1 Site River Baseline'!AN75</f>
        <v/>
      </c>
      <c r="C77" s="520" t="str">
        <f>IF(B77="","",VLOOKUP($B77,'C-1 Site River Baseline'!$C$9:$R$257,2,FALSE))</f>
        <v/>
      </c>
      <c r="D77" s="520" t="str">
        <f>IF(C77="","",VLOOKUP($B77,'C-1 Site River Baseline'!$C$9:$R$257,3,FALSE))</f>
        <v/>
      </c>
      <c r="E77" s="520" t="str">
        <f>IF(D77="","",VLOOKUP($B77,'C-1 Site River Baseline'!$C$9:$R$257,4,FALSE))</f>
        <v/>
      </c>
      <c r="F77" s="520" t="str">
        <f>IF(E77="","",VLOOKUP($B77,'C-1 Site River Baseline'!$C$9:$R$257,5,FALSE))</f>
        <v/>
      </c>
      <c r="G77" s="520" t="str">
        <f>IF(F77="","",VLOOKUP($B77,'C-1 Site River Baseline'!$C$9:$R$257,6,FALSE))</f>
        <v/>
      </c>
      <c r="H77" s="520" t="str">
        <f>IF(G77="","",VLOOKUP($B77,'C-1 Site River Baseline'!$C$9:$R$257,7,FALSE))</f>
        <v/>
      </c>
      <c r="I77" s="520" t="str">
        <f>IF(H77="","",VLOOKUP($B77,'C-1 Site River Baseline'!$C$9:$R$257,8,FALSE))</f>
        <v/>
      </c>
      <c r="J77" s="520" t="str">
        <f>IF(I77="","",VLOOKUP($B77,'C-1 Site River Baseline'!$C$9:$R$257,9,FALSE))</f>
        <v/>
      </c>
      <c r="K77" s="520" t="str">
        <f>IF(J77="","",VLOOKUP($B77,'C-1 Site River Baseline'!$C$9:$R$257,10,FALSE))</f>
        <v/>
      </c>
      <c r="L77" s="520" t="str">
        <f>IF(B77="","",VLOOKUP($B77,'C-1 Site River Baseline'!$C$9:$R$257,15,FALSE))</f>
        <v/>
      </c>
      <c r="M77" s="524" t="str">
        <f>IF(L77="","",VLOOKUP($B77,'C-1 Site River Baseline'!$C$9:$R$257,16,FALSE))</f>
        <v/>
      </c>
      <c r="N77" s="418" t="str">
        <f t="shared" ref="N77:N140" si="9">C77</f>
        <v/>
      </c>
      <c r="O77" s="498" t="str">
        <f t="shared" ref="O77:O140" si="10">IF(B77="","",IF(S77&lt;F77,"Error Trading Down ▲",E77&amp;" - "&amp;R77))</f>
        <v/>
      </c>
      <c r="P77" s="499" t="str">
        <f>IF(C77="","",IF(AND(LEFT(C77,55)&lt;&gt;LEFT(N77,55),O77="High - High"),"Error - Not like for like ▲",IF(AND(F77=S77,H77&gt;U77),"Error - Can not reduce condition ▲",IF(AND(F77=S77,H77=U77,AJ77='C-1 Site River Baseline'!N75,'C-1 Site River Baseline'!P75=AL77),"Error - No enhancement ▲",IF(AND(C77&lt;&gt;N77,F77&lt;S77),"Lower Distinctiveness Habitat"&amp;" - "&amp;T77,G77&amp;" - "&amp;T77)))))</f>
        <v/>
      </c>
      <c r="Q77" s="567" t="str">
        <f>IF(N77="","",VLOOKUP(B77,'C-1 Site River Baseline'!$C$10:$AA$257,19,FALSE))</f>
        <v/>
      </c>
      <c r="R77" s="498" t="str">
        <f>IF(N77="","",VLOOKUP(N77,'G-7 Rivers Data'!$B$2:$G$8,2,FALSE))</f>
        <v/>
      </c>
      <c r="S77" s="499" t="str">
        <f>IFERROR(VLOOKUP(R77,'G-7 Rivers Data'!$C$4:$D$8,2,FALSE),"")</f>
        <v/>
      </c>
      <c r="T77" s="145"/>
      <c r="U77" s="499" t="str">
        <f>IFERROR(INDEX('G-7 Rivers Data'!$H$4:$L$8,MATCH(N77,'G-7 Rivers Data'!$B$4:$B$8,0),MATCH(T77,'G-7 Rivers Data'!$H$3:$L$3,0)),"")</f>
        <v/>
      </c>
      <c r="V77" s="154"/>
      <c r="W77" s="507" t="str">
        <f>IF(V77="","",IF(VLOOKUP(V77,'G-7 Rivers Data'!$AG$4:$AI$9,2,FALSE)=0,"Spatial Data Missing ⚠",VLOOKUP(V77,'G-7 Rivers Data'!$AG$4:$AI$9,2,FALSE)))</f>
        <v/>
      </c>
      <c r="X77" s="499" t="str">
        <f>IF(V77="","",IF(VLOOKUP(V77,'G-7 Rivers Data'!$AG$4:$AI$9,3,FALSE)=0,"Spatial Data Missing ⚠",VLOOKUP(V77,'G-7 Rivers Data'!$AG$4:$AI$9,3,FALSE)))</f>
        <v/>
      </c>
      <c r="Y77" s="498" t="str">
        <f>IFERROR(IF(OR(LEFT(P77,5)="Error ▲",LEFT(O77,5)="Error ▲"),"Check Data ⚠",IF(F77&lt;S77,'G-7 Rivers Data'!$R$3,INDEX('G-7 Rivers Data'!$U$5:$Y$9,MATCH(G77,'G-7 Rivers Data'!$T$5:$T$9,0),MATCH(T77,'G-7 Rivers Data'!$U$4:$Y$4,0)))),"")</f>
        <v/>
      </c>
      <c r="Z77" s="195"/>
      <c r="AA77" s="195"/>
      <c r="AB77" s="507"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521" t="str">
        <f t="shared" ref="AC77:AC140" si="12">IF(LEFT(AB77,5)="Error ▲","Check Data ⚠",IF(AB77="Check Data ⚠","Check Data ⚠",IF(Y77="","",IF(Z77="30+",0,IF(AA77="30+","30+ ⚠",IF(Y77+AA77&gt;30,"30+ ⚠",IF(Y77+AA77-Z77&gt;0,Y77+AA77-Z77,IF(Y77-Z77&lt;0,0,Y77+AA77-Z77))))))))</f>
        <v/>
      </c>
      <c r="AD77" s="564" t="str">
        <f>IFERROR(IF(AC77="Check Data ⚠","Check Data ⚠",VLOOKUP(AC77,'G-4 Temporal multipliers'!$A$4:$C$37,3,FALSE)),"")</f>
        <v/>
      </c>
      <c r="AE77" s="498" t="str">
        <f>IF(N77="","",VLOOKUP(N77,'G-7 Rivers Data'!$B$4:$G$8,5,FALSE))</f>
        <v/>
      </c>
      <c r="AF77" s="507" t="str">
        <f t="shared" ref="AF77:AF140" si="13">IF(N77="","",IF(AC77="Check Data ⚠","Check Data ⚠",IF(T77="","",IF($AB77="Check details - Is there evidence that habitat has reached target condition? ⚠","Low Difficulty - only applicable if all habitat created before losses ⚠","Standard difficulty applied"))))</f>
        <v/>
      </c>
      <c r="AG77" s="540" t="str">
        <f t="shared" ref="AG77:AG140" si="14">(IF(AND(AF77="Standard difficulty applied",Y77&gt;Z77),AE77,IF(AND(AF77="Low Difficulty - only applicable if all habitat created before losses ⚠",Z77&gt;=Y77),"Low",AE77)))</f>
        <v/>
      </c>
      <c r="AH77" s="499" t="str">
        <f t="shared" si="8"/>
        <v/>
      </c>
      <c r="AI77" s="145"/>
      <c r="AJ77" s="499" t="str">
        <f>IF(AI77="","",IF(VLOOKUP(AI77,'G-7 Rivers Data'!$AA$4:$AB$7,2,FALSE)=0,"Spatial Data Missing ⚠",VLOOKUP(AI77,'G-7 Rivers Data'!$AA$4:$AB$7,2,FALSE)))</f>
        <v/>
      </c>
      <c r="AK77" s="155"/>
      <c r="AL77" s="499" t="str">
        <f>IF(AK77="","",IF(VLOOKUP(AK77,'G-7 Rivers Data'!$AD$4:$AE$8,2,FALSE)=0,"Spatial Data Missing ⚠",VLOOKUP(AK77,'G-7 Rivers Data'!$AD$4:$AE$8,2,FALSE)))</f>
        <v/>
      </c>
      <c r="AM77" s="545" t="str">
        <f t="shared" si="7"/>
        <v/>
      </c>
      <c r="AN77" s="149"/>
      <c r="AO77" s="150"/>
      <c r="AV77" s="31" t="str">
        <f>IFERROR(INDEX('G-7 Rivers Data'!$AZ$3:$AZ$7,MATCH(N77,'G-7 Rivers Data'!$AY$3:$AY$7,0)),"")</f>
        <v/>
      </c>
    </row>
    <row r="78" spans="2:48" ht="13.8" x14ac:dyDescent="0.25">
      <c r="B78" s="531" t="str">
        <f>'C-1 Site River Baseline'!AN76</f>
        <v/>
      </c>
      <c r="C78" s="520" t="str">
        <f>IF(B78="","",VLOOKUP($B78,'C-1 Site River Baseline'!$C$9:$R$257,2,FALSE))</f>
        <v/>
      </c>
      <c r="D78" s="520" t="str">
        <f>IF(C78="","",VLOOKUP($B78,'C-1 Site River Baseline'!$C$9:$R$257,3,FALSE))</f>
        <v/>
      </c>
      <c r="E78" s="520" t="str">
        <f>IF(D78="","",VLOOKUP($B78,'C-1 Site River Baseline'!$C$9:$R$257,4,FALSE))</f>
        <v/>
      </c>
      <c r="F78" s="520" t="str">
        <f>IF(E78="","",VLOOKUP($B78,'C-1 Site River Baseline'!$C$9:$R$257,5,FALSE))</f>
        <v/>
      </c>
      <c r="G78" s="520" t="str">
        <f>IF(F78="","",VLOOKUP($B78,'C-1 Site River Baseline'!$C$9:$R$257,6,FALSE))</f>
        <v/>
      </c>
      <c r="H78" s="520" t="str">
        <f>IF(G78="","",VLOOKUP($B78,'C-1 Site River Baseline'!$C$9:$R$257,7,FALSE))</f>
        <v/>
      </c>
      <c r="I78" s="520" t="str">
        <f>IF(H78="","",VLOOKUP($B78,'C-1 Site River Baseline'!$C$9:$R$257,8,FALSE))</f>
        <v/>
      </c>
      <c r="J78" s="520" t="str">
        <f>IF(I78="","",VLOOKUP($B78,'C-1 Site River Baseline'!$C$9:$R$257,9,FALSE))</f>
        <v/>
      </c>
      <c r="K78" s="520" t="str">
        <f>IF(J78="","",VLOOKUP($B78,'C-1 Site River Baseline'!$C$9:$R$257,10,FALSE))</f>
        <v/>
      </c>
      <c r="L78" s="520" t="str">
        <f>IF(B78="","",VLOOKUP($B78,'C-1 Site River Baseline'!$C$9:$R$257,15,FALSE))</f>
        <v/>
      </c>
      <c r="M78" s="524" t="str">
        <f>IF(L78="","",VLOOKUP($B78,'C-1 Site River Baseline'!$C$9:$R$257,16,FALSE))</f>
        <v/>
      </c>
      <c r="N78" s="418" t="str">
        <f t="shared" si="9"/>
        <v/>
      </c>
      <c r="O78" s="498" t="str">
        <f t="shared" si="10"/>
        <v/>
      </c>
      <c r="P78" s="499" t="str">
        <f>IF(C78="","",IF(AND(LEFT(C78,55)&lt;&gt;LEFT(N78,55),O78="High - High"),"Error - Not like for like ▲",IF(AND(F78=S78,H78&gt;U78),"Error - Can not reduce condition ▲",IF(AND(F78=S78,H78=U78,AJ78='C-1 Site River Baseline'!N76,'C-1 Site River Baseline'!P76=AL78),"Error - No enhancement ▲",IF(AND(C78&lt;&gt;N78,F78&lt;S78),"Lower Distinctiveness Habitat"&amp;" - "&amp;T78,G78&amp;" - "&amp;T78)))))</f>
        <v/>
      </c>
      <c r="Q78" s="567" t="str">
        <f>IF(N78="","",VLOOKUP(B78,'C-1 Site River Baseline'!$C$10:$AA$257,19,FALSE))</f>
        <v/>
      </c>
      <c r="R78" s="498" t="str">
        <f>IF(N78="","",VLOOKUP(N78,'G-7 Rivers Data'!$B$2:$G$8,2,FALSE))</f>
        <v/>
      </c>
      <c r="S78" s="499" t="str">
        <f>IFERROR(VLOOKUP(R78,'G-7 Rivers Data'!$C$4:$D$8,2,FALSE),"")</f>
        <v/>
      </c>
      <c r="T78" s="145"/>
      <c r="U78" s="499" t="str">
        <f>IFERROR(INDEX('G-7 Rivers Data'!$H$4:$L$8,MATCH(N78,'G-7 Rivers Data'!$B$4:$B$8,0),MATCH(T78,'G-7 Rivers Data'!$H$3:$L$3,0)),"")</f>
        <v/>
      </c>
      <c r="V78" s="154"/>
      <c r="W78" s="507" t="str">
        <f>IF(V78="","",IF(VLOOKUP(V78,'G-7 Rivers Data'!$AG$4:$AI$9,2,FALSE)=0,"Spatial Data Missing ⚠",VLOOKUP(V78,'G-7 Rivers Data'!$AG$4:$AI$9,2,FALSE)))</f>
        <v/>
      </c>
      <c r="X78" s="499" t="str">
        <f>IF(V78="","",IF(VLOOKUP(V78,'G-7 Rivers Data'!$AG$4:$AI$9,3,FALSE)=0,"Spatial Data Missing ⚠",VLOOKUP(V78,'G-7 Rivers Data'!$AG$4:$AI$9,3,FALSE)))</f>
        <v/>
      </c>
      <c r="Y78" s="498" t="str">
        <f>IFERROR(IF(OR(LEFT(P78,5)="Error ▲",LEFT(O78,5)="Error ▲"),"Check Data ⚠",IF(F78&lt;S78,'G-7 Rivers Data'!$R$3,INDEX('G-7 Rivers Data'!$U$5:$Y$9,MATCH(G78,'G-7 Rivers Data'!$T$5:$T$9,0),MATCH(T78,'G-7 Rivers Data'!$U$4:$Y$4,0)))),"")</f>
        <v/>
      </c>
      <c r="Z78" s="195"/>
      <c r="AA78" s="195"/>
      <c r="AB78" s="507" t="str">
        <f t="shared" si="11"/>
        <v/>
      </c>
      <c r="AC78" s="521" t="str">
        <f t="shared" si="12"/>
        <v/>
      </c>
      <c r="AD78" s="564" t="str">
        <f>IFERROR(IF(AC78="Check Data ⚠","Check Data ⚠",VLOOKUP(AC78,'G-4 Temporal multipliers'!$A$4:$C$37,3,FALSE)),"")</f>
        <v/>
      </c>
      <c r="AE78" s="498" t="str">
        <f>IF(N78="","",VLOOKUP(N78,'G-7 Rivers Data'!$B$4:$G$8,5,FALSE))</f>
        <v/>
      </c>
      <c r="AF78" s="507" t="str">
        <f t="shared" si="13"/>
        <v/>
      </c>
      <c r="AG78" s="540" t="str">
        <f t="shared" si="14"/>
        <v/>
      </c>
      <c r="AH78" s="499" t="str">
        <f t="shared" si="8"/>
        <v/>
      </c>
      <c r="AI78" s="145"/>
      <c r="AJ78" s="499" t="str">
        <f>IF(AI78="","",IF(VLOOKUP(AI78,'G-7 Rivers Data'!$AA$4:$AB$7,2,FALSE)=0,"Spatial Data Missing ⚠",VLOOKUP(AI78,'G-7 Rivers Data'!$AA$4:$AB$7,2,FALSE)))</f>
        <v/>
      </c>
      <c r="AK78" s="155"/>
      <c r="AL78" s="499" t="str">
        <f>IF(AK78="","",IF(VLOOKUP(AK78,'G-7 Rivers Data'!$AD$4:$AE$8,2,FALSE)=0,"Spatial Data Missing ⚠",VLOOKUP(AK78,'G-7 Rivers Data'!$AD$4:$AE$8,2,FALSE)))</f>
        <v/>
      </c>
      <c r="AM78" s="545" t="str">
        <f t="shared" ref="AM78:AM141" si="15">IFERROR(IF(C78="","",IF(Q78&gt;D78,((((Q78*S78*U78)-(D78*F78*H78))*(AH78*AD78))+(D78*F78*H78))*(AL78*X78*AJ78),((((Q78*S78*U78)-(Q78*F78*H78))*(AH78*AD78))+(Q78*F78*H78))*(AL78*X78*AJ78))),"")</f>
        <v/>
      </c>
      <c r="AN78" s="149"/>
      <c r="AO78" s="150"/>
      <c r="AV78" s="31" t="str">
        <f>IFERROR(INDEX('G-7 Rivers Data'!$AZ$3:$AZ$7,MATCH(N78,'G-7 Rivers Data'!$AY$3:$AY$7,0)),"")</f>
        <v/>
      </c>
    </row>
    <row r="79" spans="2:48" ht="13.8" x14ac:dyDescent="0.25">
      <c r="B79" s="531" t="str">
        <f>'C-1 Site River Baseline'!AN77</f>
        <v/>
      </c>
      <c r="C79" s="520" t="str">
        <f>IF(B79="","",VLOOKUP($B79,'C-1 Site River Baseline'!$C$9:$R$257,2,FALSE))</f>
        <v/>
      </c>
      <c r="D79" s="520" t="str">
        <f>IF(C79="","",VLOOKUP($B79,'C-1 Site River Baseline'!$C$9:$R$257,3,FALSE))</f>
        <v/>
      </c>
      <c r="E79" s="520" t="str">
        <f>IF(D79="","",VLOOKUP($B79,'C-1 Site River Baseline'!$C$9:$R$257,4,FALSE))</f>
        <v/>
      </c>
      <c r="F79" s="520" t="str">
        <f>IF(E79="","",VLOOKUP($B79,'C-1 Site River Baseline'!$C$9:$R$257,5,FALSE))</f>
        <v/>
      </c>
      <c r="G79" s="520" t="str">
        <f>IF(F79="","",VLOOKUP($B79,'C-1 Site River Baseline'!$C$9:$R$257,6,FALSE))</f>
        <v/>
      </c>
      <c r="H79" s="520" t="str">
        <f>IF(G79="","",VLOOKUP($B79,'C-1 Site River Baseline'!$C$9:$R$257,7,FALSE))</f>
        <v/>
      </c>
      <c r="I79" s="520" t="str">
        <f>IF(H79="","",VLOOKUP($B79,'C-1 Site River Baseline'!$C$9:$R$257,8,FALSE))</f>
        <v/>
      </c>
      <c r="J79" s="520" t="str">
        <f>IF(I79="","",VLOOKUP($B79,'C-1 Site River Baseline'!$C$9:$R$257,9,FALSE))</f>
        <v/>
      </c>
      <c r="K79" s="520" t="str">
        <f>IF(J79="","",VLOOKUP($B79,'C-1 Site River Baseline'!$C$9:$R$257,10,FALSE))</f>
        <v/>
      </c>
      <c r="L79" s="520" t="str">
        <f>IF(B79="","",VLOOKUP($B79,'C-1 Site River Baseline'!$C$9:$R$257,15,FALSE))</f>
        <v/>
      </c>
      <c r="M79" s="524" t="str">
        <f>IF(L79="","",VLOOKUP($B79,'C-1 Site River Baseline'!$C$9:$R$257,16,FALSE))</f>
        <v/>
      </c>
      <c r="N79" s="418" t="str">
        <f t="shared" si="9"/>
        <v/>
      </c>
      <c r="O79" s="498" t="str">
        <f t="shared" si="10"/>
        <v/>
      </c>
      <c r="P79" s="499" t="str">
        <f>IF(C79="","",IF(AND(LEFT(C79,55)&lt;&gt;LEFT(N79,55),O79="High - High"),"Error - Not like for like ▲",IF(AND(F79=S79,H79&gt;U79),"Error - Can not reduce condition ▲",IF(AND(F79=S79,H79=U79,AJ79='C-1 Site River Baseline'!N77,'C-1 Site River Baseline'!P77=AL79),"Error - No enhancement ▲",IF(AND(C79&lt;&gt;N79,F79&lt;S79),"Lower Distinctiveness Habitat"&amp;" - "&amp;T79,G79&amp;" - "&amp;T79)))))</f>
        <v/>
      </c>
      <c r="Q79" s="567" t="str">
        <f>IF(N79="","",VLOOKUP(B79,'C-1 Site River Baseline'!$C$10:$AA$257,19,FALSE))</f>
        <v/>
      </c>
      <c r="R79" s="498" t="str">
        <f>IF(N79="","",VLOOKUP(N79,'G-7 Rivers Data'!$B$2:$G$8,2,FALSE))</f>
        <v/>
      </c>
      <c r="S79" s="499" t="str">
        <f>IFERROR(VLOOKUP(R79,'G-7 Rivers Data'!$C$4:$D$8,2,FALSE),"")</f>
        <v/>
      </c>
      <c r="T79" s="145"/>
      <c r="U79" s="499" t="str">
        <f>IFERROR(INDEX('G-7 Rivers Data'!$H$4:$L$8,MATCH(N79,'G-7 Rivers Data'!$B$4:$B$8,0),MATCH(T79,'G-7 Rivers Data'!$H$3:$L$3,0)),"")</f>
        <v/>
      </c>
      <c r="V79" s="154"/>
      <c r="W79" s="507" t="str">
        <f>IF(V79="","",IF(VLOOKUP(V79,'G-7 Rivers Data'!$AG$4:$AI$9,2,FALSE)=0,"Spatial Data Missing ⚠",VLOOKUP(V79,'G-7 Rivers Data'!$AG$4:$AI$9,2,FALSE)))</f>
        <v/>
      </c>
      <c r="X79" s="499" t="str">
        <f>IF(V79="","",IF(VLOOKUP(V79,'G-7 Rivers Data'!$AG$4:$AI$9,3,FALSE)=0,"Spatial Data Missing ⚠",VLOOKUP(V79,'G-7 Rivers Data'!$AG$4:$AI$9,3,FALSE)))</f>
        <v/>
      </c>
      <c r="Y79" s="498" t="str">
        <f>IFERROR(IF(OR(LEFT(P79,5)="Error ▲",LEFT(O79,5)="Error ▲"),"Check Data ⚠",IF(F79&lt;S79,'G-7 Rivers Data'!$R$3,INDEX('G-7 Rivers Data'!$U$5:$Y$9,MATCH(G79,'G-7 Rivers Data'!$T$5:$T$9,0),MATCH(T79,'G-7 Rivers Data'!$U$4:$Y$4,0)))),"")</f>
        <v/>
      </c>
      <c r="Z79" s="195"/>
      <c r="AA79" s="195"/>
      <c r="AB79" s="507" t="str">
        <f t="shared" si="11"/>
        <v/>
      </c>
      <c r="AC79" s="521" t="str">
        <f t="shared" si="12"/>
        <v/>
      </c>
      <c r="AD79" s="564" t="str">
        <f>IFERROR(IF(AC79="Check Data ⚠","Check Data ⚠",VLOOKUP(AC79,'G-4 Temporal multipliers'!$A$4:$C$37,3,FALSE)),"")</f>
        <v/>
      </c>
      <c r="AE79" s="498" t="str">
        <f>IF(N79="","",VLOOKUP(N79,'G-7 Rivers Data'!$B$4:$G$8,5,FALSE))</f>
        <v/>
      </c>
      <c r="AF79" s="507" t="str">
        <f t="shared" si="13"/>
        <v/>
      </c>
      <c r="AG79" s="540" t="str">
        <f t="shared" si="14"/>
        <v/>
      </c>
      <c r="AH79" s="499" t="str">
        <f t="shared" si="8"/>
        <v/>
      </c>
      <c r="AI79" s="145"/>
      <c r="AJ79" s="499" t="str">
        <f>IF(AI79="","",IF(VLOOKUP(AI79,'G-7 Rivers Data'!$AA$4:$AB$7,2,FALSE)=0,"Spatial Data Missing ⚠",VLOOKUP(AI79,'G-7 Rivers Data'!$AA$4:$AB$7,2,FALSE)))</f>
        <v/>
      </c>
      <c r="AK79" s="155"/>
      <c r="AL79" s="499" t="str">
        <f>IF(AK79="","",IF(VLOOKUP(AK79,'G-7 Rivers Data'!$AD$4:$AE$8,2,FALSE)=0,"Spatial Data Missing ⚠",VLOOKUP(AK79,'G-7 Rivers Data'!$AD$4:$AE$8,2,FALSE)))</f>
        <v/>
      </c>
      <c r="AM79" s="545" t="str">
        <f t="shared" si="15"/>
        <v/>
      </c>
      <c r="AN79" s="149"/>
      <c r="AO79" s="150"/>
      <c r="AV79" s="31" t="str">
        <f>IFERROR(INDEX('G-7 Rivers Data'!$AZ$3:$AZ$7,MATCH(N79,'G-7 Rivers Data'!$AY$3:$AY$7,0)),"")</f>
        <v/>
      </c>
    </row>
    <row r="80" spans="2:48" ht="13.8" x14ac:dyDescent="0.25">
      <c r="B80" s="531" t="str">
        <f>'C-1 Site River Baseline'!AN78</f>
        <v/>
      </c>
      <c r="C80" s="520" t="str">
        <f>IF(B80="","",VLOOKUP($B80,'C-1 Site River Baseline'!$C$9:$R$257,2,FALSE))</f>
        <v/>
      </c>
      <c r="D80" s="520" t="str">
        <f>IF(C80="","",VLOOKUP($B80,'C-1 Site River Baseline'!$C$9:$R$257,3,FALSE))</f>
        <v/>
      </c>
      <c r="E80" s="520" t="str">
        <f>IF(D80="","",VLOOKUP($B80,'C-1 Site River Baseline'!$C$9:$R$257,4,FALSE))</f>
        <v/>
      </c>
      <c r="F80" s="520" t="str">
        <f>IF(E80="","",VLOOKUP($B80,'C-1 Site River Baseline'!$C$9:$R$257,5,FALSE))</f>
        <v/>
      </c>
      <c r="G80" s="520" t="str">
        <f>IF(F80="","",VLOOKUP($B80,'C-1 Site River Baseline'!$C$9:$R$257,6,FALSE))</f>
        <v/>
      </c>
      <c r="H80" s="520" t="str">
        <f>IF(G80="","",VLOOKUP($B80,'C-1 Site River Baseline'!$C$9:$R$257,7,FALSE))</f>
        <v/>
      </c>
      <c r="I80" s="520" t="str">
        <f>IF(H80="","",VLOOKUP($B80,'C-1 Site River Baseline'!$C$9:$R$257,8,FALSE))</f>
        <v/>
      </c>
      <c r="J80" s="520" t="str">
        <f>IF(I80="","",VLOOKUP($B80,'C-1 Site River Baseline'!$C$9:$R$257,9,FALSE))</f>
        <v/>
      </c>
      <c r="K80" s="520" t="str">
        <f>IF(J80="","",VLOOKUP($B80,'C-1 Site River Baseline'!$C$9:$R$257,10,FALSE))</f>
        <v/>
      </c>
      <c r="L80" s="520" t="str">
        <f>IF(B80="","",VLOOKUP($B80,'C-1 Site River Baseline'!$C$9:$R$257,15,FALSE))</f>
        <v/>
      </c>
      <c r="M80" s="524" t="str">
        <f>IF(L80="","",VLOOKUP($B80,'C-1 Site River Baseline'!$C$9:$R$257,16,FALSE))</f>
        <v/>
      </c>
      <c r="N80" s="418" t="str">
        <f t="shared" si="9"/>
        <v/>
      </c>
      <c r="O80" s="498" t="str">
        <f t="shared" si="10"/>
        <v/>
      </c>
      <c r="P80" s="499" t="str">
        <f>IF(C80="","",IF(AND(LEFT(C80,55)&lt;&gt;LEFT(N80,55),O80="High - High"),"Error - Not like for like ▲",IF(AND(F80=S80,H80&gt;U80),"Error - Can not reduce condition ▲",IF(AND(F80=S80,H80=U80,AJ80='C-1 Site River Baseline'!N78,'C-1 Site River Baseline'!P78=AL80),"Error - No enhancement ▲",IF(AND(C80&lt;&gt;N80,F80&lt;S80),"Lower Distinctiveness Habitat"&amp;" - "&amp;T80,G80&amp;" - "&amp;T80)))))</f>
        <v/>
      </c>
      <c r="Q80" s="567" t="str">
        <f>IF(N80="","",VLOOKUP(B80,'C-1 Site River Baseline'!$C$10:$AA$257,19,FALSE))</f>
        <v/>
      </c>
      <c r="R80" s="498" t="str">
        <f>IF(N80="","",VLOOKUP(N80,'G-7 Rivers Data'!$B$2:$G$8,2,FALSE))</f>
        <v/>
      </c>
      <c r="S80" s="499" t="str">
        <f>IFERROR(VLOOKUP(R80,'G-7 Rivers Data'!$C$4:$D$8,2,FALSE),"")</f>
        <v/>
      </c>
      <c r="T80" s="145"/>
      <c r="U80" s="499" t="str">
        <f>IFERROR(INDEX('G-7 Rivers Data'!$H$4:$L$8,MATCH(N80,'G-7 Rivers Data'!$B$4:$B$8,0),MATCH(T80,'G-7 Rivers Data'!$H$3:$L$3,0)),"")</f>
        <v/>
      </c>
      <c r="V80" s="154"/>
      <c r="W80" s="507" t="str">
        <f>IF(V80="","",IF(VLOOKUP(V80,'G-7 Rivers Data'!$AG$4:$AI$9,2,FALSE)=0,"Spatial Data Missing ⚠",VLOOKUP(V80,'G-7 Rivers Data'!$AG$4:$AI$9,2,FALSE)))</f>
        <v/>
      </c>
      <c r="X80" s="499" t="str">
        <f>IF(V80="","",IF(VLOOKUP(V80,'G-7 Rivers Data'!$AG$4:$AI$9,3,FALSE)=0,"Spatial Data Missing ⚠",VLOOKUP(V80,'G-7 Rivers Data'!$AG$4:$AI$9,3,FALSE)))</f>
        <v/>
      </c>
      <c r="Y80" s="498" t="str">
        <f>IFERROR(IF(OR(LEFT(P80,5)="Error ▲",LEFT(O80,5)="Error ▲"),"Check Data ⚠",IF(F80&lt;S80,'G-7 Rivers Data'!$R$3,INDEX('G-7 Rivers Data'!$U$5:$Y$9,MATCH(G80,'G-7 Rivers Data'!$T$5:$T$9,0),MATCH(T80,'G-7 Rivers Data'!$U$4:$Y$4,0)))),"")</f>
        <v/>
      </c>
      <c r="Z80" s="195"/>
      <c r="AA80" s="195"/>
      <c r="AB80" s="507" t="str">
        <f t="shared" si="11"/>
        <v/>
      </c>
      <c r="AC80" s="521" t="str">
        <f t="shared" si="12"/>
        <v/>
      </c>
      <c r="AD80" s="564" t="str">
        <f>IFERROR(IF(AC80="Check Data ⚠","Check Data ⚠",VLOOKUP(AC80,'G-4 Temporal multipliers'!$A$4:$C$37,3,FALSE)),"")</f>
        <v/>
      </c>
      <c r="AE80" s="498" t="str">
        <f>IF(N80="","",VLOOKUP(N80,'G-7 Rivers Data'!$B$4:$G$8,5,FALSE))</f>
        <v/>
      </c>
      <c r="AF80" s="507" t="str">
        <f t="shared" si="13"/>
        <v/>
      </c>
      <c r="AG80" s="540" t="str">
        <f t="shared" si="14"/>
        <v/>
      </c>
      <c r="AH80" s="499" t="str">
        <f t="shared" si="8"/>
        <v/>
      </c>
      <c r="AI80" s="145"/>
      <c r="AJ80" s="499" t="str">
        <f>IF(AI80="","",IF(VLOOKUP(AI80,'G-7 Rivers Data'!$AA$4:$AB$7,2,FALSE)=0,"Spatial Data Missing ⚠",VLOOKUP(AI80,'G-7 Rivers Data'!$AA$4:$AB$7,2,FALSE)))</f>
        <v/>
      </c>
      <c r="AK80" s="155"/>
      <c r="AL80" s="499" t="str">
        <f>IF(AK80="","",IF(VLOOKUP(AK80,'G-7 Rivers Data'!$AD$4:$AE$8,2,FALSE)=0,"Spatial Data Missing ⚠",VLOOKUP(AK80,'G-7 Rivers Data'!$AD$4:$AE$8,2,FALSE)))</f>
        <v/>
      </c>
      <c r="AM80" s="545" t="str">
        <f t="shared" si="15"/>
        <v/>
      </c>
      <c r="AN80" s="149"/>
      <c r="AO80" s="150"/>
      <c r="AV80" s="31" t="str">
        <f>IFERROR(INDEX('G-7 Rivers Data'!$AZ$3:$AZ$7,MATCH(N80,'G-7 Rivers Data'!$AY$3:$AY$7,0)),"")</f>
        <v/>
      </c>
    </row>
    <row r="81" spans="2:48" ht="13.8" x14ac:dyDescent="0.25">
      <c r="B81" s="531" t="str">
        <f>'C-1 Site River Baseline'!AN79</f>
        <v/>
      </c>
      <c r="C81" s="520" t="str">
        <f>IF(B81="","",VLOOKUP($B81,'C-1 Site River Baseline'!$C$9:$R$257,2,FALSE))</f>
        <v/>
      </c>
      <c r="D81" s="520" t="str">
        <f>IF(C81="","",VLOOKUP($B81,'C-1 Site River Baseline'!$C$9:$R$257,3,FALSE))</f>
        <v/>
      </c>
      <c r="E81" s="520" t="str">
        <f>IF(D81="","",VLOOKUP($B81,'C-1 Site River Baseline'!$C$9:$R$257,4,FALSE))</f>
        <v/>
      </c>
      <c r="F81" s="520" t="str">
        <f>IF(E81="","",VLOOKUP($B81,'C-1 Site River Baseline'!$C$9:$R$257,5,FALSE))</f>
        <v/>
      </c>
      <c r="G81" s="520" t="str">
        <f>IF(F81="","",VLOOKUP($B81,'C-1 Site River Baseline'!$C$9:$R$257,6,FALSE))</f>
        <v/>
      </c>
      <c r="H81" s="520" t="str">
        <f>IF(G81="","",VLOOKUP($B81,'C-1 Site River Baseline'!$C$9:$R$257,7,FALSE))</f>
        <v/>
      </c>
      <c r="I81" s="520" t="str">
        <f>IF(H81="","",VLOOKUP($B81,'C-1 Site River Baseline'!$C$9:$R$257,8,FALSE))</f>
        <v/>
      </c>
      <c r="J81" s="520" t="str">
        <f>IF(I81="","",VLOOKUP($B81,'C-1 Site River Baseline'!$C$9:$R$257,9,FALSE))</f>
        <v/>
      </c>
      <c r="K81" s="520" t="str">
        <f>IF(J81="","",VLOOKUP($B81,'C-1 Site River Baseline'!$C$9:$R$257,10,FALSE))</f>
        <v/>
      </c>
      <c r="L81" s="520" t="str">
        <f>IF(B81="","",VLOOKUP($B81,'C-1 Site River Baseline'!$C$9:$R$257,15,FALSE))</f>
        <v/>
      </c>
      <c r="M81" s="524" t="str">
        <f>IF(L81="","",VLOOKUP($B81,'C-1 Site River Baseline'!$C$9:$R$257,16,FALSE))</f>
        <v/>
      </c>
      <c r="N81" s="418" t="str">
        <f t="shared" si="9"/>
        <v/>
      </c>
      <c r="O81" s="498" t="str">
        <f t="shared" si="10"/>
        <v/>
      </c>
      <c r="P81" s="499" t="str">
        <f>IF(C81="","",IF(AND(LEFT(C81,55)&lt;&gt;LEFT(N81,55),O81="High - High"),"Error - Not like for like ▲",IF(AND(F81=S81,H81&gt;U81),"Error - Can not reduce condition ▲",IF(AND(F81=S81,H81=U81,AJ81='C-1 Site River Baseline'!N79,'C-1 Site River Baseline'!P79=AL81),"Error - No enhancement ▲",IF(AND(C81&lt;&gt;N81,F81&lt;S81),"Lower Distinctiveness Habitat"&amp;" - "&amp;T81,G81&amp;" - "&amp;T81)))))</f>
        <v/>
      </c>
      <c r="Q81" s="567" t="str">
        <f>IF(N81="","",VLOOKUP(B81,'C-1 Site River Baseline'!$C$10:$AA$257,19,FALSE))</f>
        <v/>
      </c>
      <c r="R81" s="498" t="str">
        <f>IF(N81="","",VLOOKUP(N81,'G-7 Rivers Data'!$B$2:$G$8,2,FALSE))</f>
        <v/>
      </c>
      <c r="S81" s="499" t="str">
        <f>IFERROR(VLOOKUP(R81,'G-7 Rivers Data'!$C$4:$D$8,2,FALSE),"")</f>
        <v/>
      </c>
      <c r="T81" s="145"/>
      <c r="U81" s="499" t="str">
        <f>IFERROR(INDEX('G-7 Rivers Data'!$H$4:$L$8,MATCH(N81,'G-7 Rivers Data'!$B$4:$B$8,0),MATCH(T81,'G-7 Rivers Data'!$H$3:$L$3,0)),"")</f>
        <v/>
      </c>
      <c r="V81" s="154"/>
      <c r="W81" s="507" t="str">
        <f>IF(V81="","",IF(VLOOKUP(V81,'G-7 Rivers Data'!$AG$4:$AI$9,2,FALSE)=0,"Spatial Data Missing ⚠",VLOOKUP(V81,'G-7 Rivers Data'!$AG$4:$AI$9,2,FALSE)))</f>
        <v/>
      </c>
      <c r="X81" s="499" t="str">
        <f>IF(V81="","",IF(VLOOKUP(V81,'G-7 Rivers Data'!$AG$4:$AI$9,3,FALSE)=0,"Spatial Data Missing ⚠",VLOOKUP(V81,'G-7 Rivers Data'!$AG$4:$AI$9,3,FALSE)))</f>
        <v/>
      </c>
      <c r="Y81" s="498" t="str">
        <f>IFERROR(IF(OR(LEFT(P81,5)="Error ▲",LEFT(O81,5)="Error ▲"),"Check Data ⚠",IF(F81&lt;S81,'G-7 Rivers Data'!$R$3,INDEX('G-7 Rivers Data'!$U$5:$Y$9,MATCH(G81,'G-7 Rivers Data'!$T$5:$T$9,0),MATCH(T81,'G-7 Rivers Data'!$U$4:$Y$4,0)))),"")</f>
        <v/>
      </c>
      <c r="Z81" s="195"/>
      <c r="AA81" s="195"/>
      <c r="AB81" s="507" t="str">
        <f t="shared" si="11"/>
        <v/>
      </c>
      <c r="AC81" s="521" t="str">
        <f t="shared" si="12"/>
        <v/>
      </c>
      <c r="AD81" s="564" t="str">
        <f>IFERROR(IF(AC81="Check Data ⚠","Check Data ⚠",VLOOKUP(AC81,'G-4 Temporal multipliers'!$A$4:$C$37,3,FALSE)),"")</f>
        <v/>
      </c>
      <c r="AE81" s="498" t="str">
        <f>IF(N81="","",VLOOKUP(N81,'G-7 Rivers Data'!$B$4:$G$8,5,FALSE))</f>
        <v/>
      </c>
      <c r="AF81" s="507" t="str">
        <f t="shared" si="13"/>
        <v/>
      </c>
      <c r="AG81" s="540" t="str">
        <f t="shared" si="14"/>
        <v/>
      </c>
      <c r="AH81" s="499" t="str">
        <f t="shared" si="8"/>
        <v/>
      </c>
      <c r="AI81" s="145"/>
      <c r="AJ81" s="499" t="str">
        <f>IF(AI81="","",IF(VLOOKUP(AI81,'G-7 Rivers Data'!$AA$4:$AB$7,2,FALSE)=0,"Spatial Data Missing ⚠",VLOOKUP(AI81,'G-7 Rivers Data'!$AA$4:$AB$7,2,FALSE)))</f>
        <v/>
      </c>
      <c r="AK81" s="155"/>
      <c r="AL81" s="499" t="str">
        <f>IF(AK81="","",IF(VLOOKUP(AK81,'G-7 Rivers Data'!$AD$4:$AE$8,2,FALSE)=0,"Spatial Data Missing ⚠",VLOOKUP(AK81,'G-7 Rivers Data'!$AD$4:$AE$8,2,FALSE)))</f>
        <v/>
      </c>
      <c r="AM81" s="545" t="str">
        <f t="shared" si="15"/>
        <v/>
      </c>
      <c r="AN81" s="149"/>
      <c r="AO81" s="150"/>
      <c r="AV81" s="31" t="str">
        <f>IFERROR(INDEX('G-7 Rivers Data'!$AZ$3:$AZ$7,MATCH(N81,'G-7 Rivers Data'!$AY$3:$AY$7,0)),"")</f>
        <v/>
      </c>
    </row>
    <row r="82" spans="2:48" ht="13.8" x14ac:dyDescent="0.25">
      <c r="B82" s="531" t="str">
        <f>'C-1 Site River Baseline'!AN80</f>
        <v/>
      </c>
      <c r="C82" s="520" t="str">
        <f>IF(B82="","",VLOOKUP($B82,'C-1 Site River Baseline'!$C$9:$R$257,2,FALSE))</f>
        <v/>
      </c>
      <c r="D82" s="520" t="str">
        <f>IF(C82="","",VLOOKUP($B82,'C-1 Site River Baseline'!$C$9:$R$257,3,FALSE))</f>
        <v/>
      </c>
      <c r="E82" s="520" t="str">
        <f>IF(D82="","",VLOOKUP($B82,'C-1 Site River Baseline'!$C$9:$R$257,4,FALSE))</f>
        <v/>
      </c>
      <c r="F82" s="520" t="str">
        <f>IF(E82="","",VLOOKUP($B82,'C-1 Site River Baseline'!$C$9:$R$257,5,FALSE))</f>
        <v/>
      </c>
      <c r="G82" s="520" t="str">
        <f>IF(F82="","",VLOOKUP($B82,'C-1 Site River Baseline'!$C$9:$R$257,6,FALSE))</f>
        <v/>
      </c>
      <c r="H82" s="520" t="str">
        <f>IF(G82="","",VLOOKUP($B82,'C-1 Site River Baseline'!$C$9:$R$257,7,FALSE))</f>
        <v/>
      </c>
      <c r="I82" s="520" t="str">
        <f>IF(H82="","",VLOOKUP($B82,'C-1 Site River Baseline'!$C$9:$R$257,8,FALSE))</f>
        <v/>
      </c>
      <c r="J82" s="520" t="str">
        <f>IF(I82="","",VLOOKUP($B82,'C-1 Site River Baseline'!$C$9:$R$257,9,FALSE))</f>
        <v/>
      </c>
      <c r="K82" s="520" t="str">
        <f>IF(J82="","",VLOOKUP($B82,'C-1 Site River Baseline'!$C$9:$R$257,10,FALSE))</f>
        <v/>
      </c>
      <c r="L82" s="520" t="str">
        <f>IF(B82="","",VLOOKUP($B82,'C-1 Site River Baseline'!$C$9:$R$257,15,FALSE))</f>
        <v/>
      </c>
      <c r="M82" s="524" t="str">
        <f>IF(L82="","",VLOOKUP($B82,'C-1 Site River Baseline'!$C$9:$R$257,16,FALSE))</f>
        <v/>
      </c>
      <c r="N82" s="418" t="str">
        <f t="shared" si="9"/>
        <v/>
      </c>
      <c r="O82" s="498" t="str">
        <f t="shared" si="10"/>
        <v/>
      </c>
      <c r="P82" s="499" t="str">
        <f>IF(C82="","",IF(AND(LEFT(C82,55)&lt;&gt;LEFT(N82,55),O82="High - High"),"Error - Not like for like ▲",IF(AND(F82=S82,H82&gt;U82),"Error - Can not reduce condition ▲",IF(AND(F82=S82,H82=U82,AJ82='C-1 Site River Baseline'!N80,'C-1 Site River Baseline'!P80=AL82),"Error - No enhancement ▲",IF(AND(C82&lt;&gt;N82,F82&lt;S82),"Lower Distinctiveness Habitat"&amp;" - "&amp;T82,G82&amp;" - "&amp;T82)))))</f>
        <v/>
      </c>
      <c r="Q82" s="567" t="str">
        <f>IF(N82="","",VLOOKUP(B82,'C-1 Site River Baseline'!$C$10:$AA$257,19,FALSE))</f>
        <v/>
      </c>
      <c r="R82" s="498" t="str">
        <f>IF(N82="","",VLOOKUP(N82,'G-7 Rivers Data'!$B$2:$G$8,2,FALSE))</f>
        <v/>
      </c>
      <c r="S82" s="499" t="str">
        <f>IFERROR(VLOOKUP(R82,'G-7 Rivers Data'!$C$4:$D$8,2,FALSE),"")</f>
        <v/>
      </c>
      <c r="T82" s="145"/>
      <c r="U82" s="499" t="str">
        <f>IFERROR(INDEX('G-7 Rivers Data'!$H$4:$L$8,MATCH(N82,'G-7 Rivers Data'!$B$4:$B$8,0),MATCH(T82,'G-7 Rivers Data'!$H$3:$L$3,0)),"")</f>
        <v/>
      </c>
      <c r="V82" s="154"/>
      <c r="W82" s="507" t="str">
        <f>IF(V82="","",IF(VLOOKUP(V82,'G-7 Rivers Data'!$AG$4:$AI$9,2,FALSE)=0,"Spatial Data Missing ⚠",VLOOKUP(V82,'G-7 Rivers Data'!$AG$4:$AI$9,2,FALSE)))</f>
        <v/>
      </c>
      <c r="X82" s="499" t="str">
        <f>IF(V82="","",IF(VLOOKUP(V82,'G-7 Rivers Data'!$AG$4:$AI$9,3,FALSE)=0,"Spatial Data Missing ⚠",VLOOKUP(V82,'G-7 Rivers Data'!$AG$4:$AI$9,3,FALSE)))</f>
        <v/>
      </c>
      <c r="Y82" s="498" t="str">
        <f>IFERROR(IF(OR(LEFT(P82,5)="Error ▲",LEFT(O82,5)="Error ▲"),"Check Data ⚠",IF(F82&lt;S82,'G-7 Rivers Data'!$R$3,INDEX('G-7 Rivers Data'!$U$5:$Y$9,MATCH(G82,'G-7 Rivers Data'!$T$5:$T$9,0),MATCH(T82,'G-7 Rivers Data'!$U$4:$Y$4,0)))),"")</f>
        <v/>
      </c>
      <c r="Z82" s="195"/>
      <c r="AA82" s="195"/>
      <c r="AB82" s="507" t="str">
        <f t="shared" si="11"/>
        <v/>
      </c>
      <c r="AC82" s="521" t="str">
        <f t="shared" si="12"/>
        <v/>
      </c>
      <c r="AD82" s="564" t="str">
        <f>IFERROR(IF(AC82="Check Data ⚠","Check Data ⚠",VLOOKUP(AC82,'G-4 Temporal multipliers'!$A$4:$C$37,3,FALSE)),"")</f>
        <v/>
      </c>
      <c r="AE82" s="498" t="str">
        <f>IF(N82="","",VLOOKUP(N82,'G-7 Rivers Data'!$B$4:$G$8,5,FALSE))</f>
        <v/>
      </c>
      <c r="AF82" s="507" t="str">
        <f t="shared" si="13"/>
        <v/>
      </c>
      <c r="AG82" s="540" t="str">
        <f t="shared" si="14"/>
        <v/>
      </c>
      <c r="AH82" s="499" t="str">
        <f t="shared" si="8"/>
        <v/>
      </c>
      <c r="AI82" s="145"/>
      <c r="AJ82" s="499" t="str">
        <f>IF(AI82="","",IF(VLOOKUP(AI82,'G-7 Rivers Data'!$AA$4:$AB$7,2,FALSE)=0,"Spatial Data Missing ⚠",VLOOKUP(AI82,'G-7 Rivers Data'!$AA$4:$AB$7,2,FALSE)))</f>
        <v/>
      </c>
      <c r="AK82" s="155"/>
      <c r="AL82" s="499" t="str">
        <f>IF(AK82="","",IF(VLOOKUP(AK82,'G-7 Rivers Data'!$AD$4:$AE$8,2,FALSE)=0,"Spatial Data Missing ⚠",VLOOKUP(AK82,'G-7 Rivers Data'!$AD$4:$AE$8,2,FALSE)))</f>
        <v/>
      </c>
      <c r="AM82" s="545" t="str">
        <f t="shared" si="15"/>
        <v/>
      </c>
      <c r="AN82" s="149"/>
      <c r="AO82" s="150"/>
      <c r="AV82" s="31" t="str">
        <f>IFERROR(INDEX('G-7 Rivers Data'!$AZ$3:$AZ$7,MATCH(N82,'G-7 Rivers Data'!$AY$3:$AY$7,0)),"")</f>
        <v/>
      </c>
    </row>
    <row r="83" spans="2:48" ht="13.8" x14ac:dyDescent="0.25">
      <c r="B83" s="531" t="str">
        <f>'C-1 Site River Baseline'!AN81</f>
        <v/>
      </c>
      <c r="C83" s="520" t="str">
        <f>IF(B83="","",VLOOKUP($B83,'C-1 Site River Baseline'!$C$9:$R$257,2,FALSE))</f>
        <v/>
      </c>
      <c r="D83" s="520" t="str">
        <f>IF(C83="","",VLOOKUP($B83,'C-1 Site River Baseline'!$C$9:$R$257,3,FALSE))</f>
        <v/>
      </c>
      <c r="E83" s="520" t="str">
        <f>IF(D83="","",VLOOKUP($B83,'C-1 Site River Baseline'!$C$9:$R$257,4,FALSE))</f>
        <v/>
      </c>
      <c r="F83" s="520" t="str">
        <f>IF(E83="","",VLOOKUP($B83,'C-1 Site River Baseline'!$C$9:$R$257,5,FALSE))</f>
        <v/>
      </c>
      <c r="G83" s="520" t="str">
        <f>IF(F83="","",VLOOKUP($B83,'C-1 Site River Baseline'!$C$9:$R$257,6,FALSE))</f>
        <v/>
      </c>
      <c r="H83" s="520" t="str">
        <f>IF(G83="","",VLOOKUP($B83,'C-1 Site River Baseline'!$C$9:$R$257,7,FALSE))</f>
        <v/>
      </c>
      <c r="I83" s="520" t="str">
        <f>IF(H83="","",VLOOKUP($B83,'C-1 Site River Baseline'!$C$9:$R$257,8,FALSE))</f>
        <v/>
      </c>
      <c r="J83" s="520" t="str">
        <f>IF(I83="","",VLOOKUP($B83,'C-1 Site River Baseline'!$C$9:$R$257,9,FALSE))</f>
        <v/>
      </c>
      <c r="K83" s="520" t="str">
        <f>IF(J83="","",VLOOKUP($B83,'C-1 Site River Baseline'!$C$9:$R$257,10,FALSE))</f>
        <v/>
      </c>
      <c r="L83" s="520" t="str">
        <f>IF(B83="","",VLOOKUP($B83,'C-1 Site River Baseline'!$C$9:$R$257,15,FALSE))</f>
        <v/>
      </c>
      <c r="M83" s="524" t="str">
        <f>IF(L83="","",VLOOKUP($B83,'C-1 Site River Baseline'!$C$9:$R$257,16,FALSE))</f>
        <v/>
      </c>
      <c r="N83" s="418" t="str">
        <f t="shared" si="9"/>
        <v/>
      </c>
      <c r="O83" s="498" t="str">
        <f t="shared" si="10"/>
        <v/>
      </c>
      <c r="P83" s="499" t="str">
        <f>IF(C83="","",IF(AND(LEFT(C83,55)&lt;&gt;LEFT(N83,55),O83="High - High"),"Error - Not like for like ▲",IF(AND(F83=S83,H83&gt;U83),"Error - Can not reduce condition ▲",IF(AND(F83=S83,H83=U83,AJ83='C-1 Site River Baseline'!N81,'C-1 Site River Baseline'!P81=AL83),"Error - No enhancement ▲",IF(AND(C83&lt;&gt;N83,F83&lt;S83),"Lower Distinctiveness Habitat"&amp;" - "&amp;T83,G83&amp;" - "&amp;T83)))))</f>
        <v/>
      </c>
      <c r="Q83" s="567" t="str">
        <f>IF(N83="","",VLOOKUP(B83,'C-1 Site River Baseline'!$C$10:$AA$257,19,FALSE))</f>
        <v/>
      </c>
      <c r="R83" s="498" t="str">
        <f>IF(N83="","",VLOOKUP(N83,'G-7 Rivers Data'!$B$2:$G$8,2,FALSE))</f>
        <v/>
      </c>
      <c r="S83" s="499" t="str">
        <f>IFERROR(VLOOKUP(R83,'G-7 Rivers Data'!$C$4:$D$8,2,FALSE),"")</f>
        <v/>
      </c>
      <c r="T83" s="145"/>
      <c r="U83" s="499" t="str">
        <f>IFERROR(INDEX('G-7 Rivers Data'!$H$4:$L$8,MATCH(N83,'G-7 Rivers Data'!$B$4:$B$8,0),MATCH(T83,'G-7 Rivers Data'!$H$3:$L$3,0)),"")</f>
        <v/>
      </c>
      <c r="V83" s="154"/>
      <c r="W83" s="507" t="str">
        <f>IF(V83="","",IF(VLOOKUP(V83,'G-7 Rivers Data'!$AG$4:$AI$9,2,FALSE)=0,"Spatial Data Missing ⚠",VLOOKUP(V83,'G-7 Rivers Data'!$AG$4:$AI$9,2,FALSE)))</f>
        <v/>
      </c>
      <c r="X83" s="499" t="str">
        <f>IF(V83="","",IF(VLOOKUP(V83,'G-7 Rivers Data'!$AG$4:$AI$9,3,FALSE)=0,"Spatial Data Missing ⚠",VLOOKUP(V83,'G-7 Rivers Data'!$AG$4:$AI$9,3,FALSE)))</f>
        <v/>
      </c>
      <c r="Y83" s="498" t="str">
        <f>IFERROR(IF(OR(LEFT(P83,5)="Error ▲",LEFT(O83,5)="Error ▲"),"Check Data ⚠",IF(F83&lt;S83,'G-7 Rivers Data'!$R$3,INDEX('G-7 Rivers Data'!$U$5:$Y$9,MATCH(G83,'G-7 Rivers Data'!$T$5:$T$9,0),MATCH(T83,'G-7 Rivers Data'!$U$4:$Y$4,0)))),"")</f>
        <v/>
      </c>
      <c r="Z83" s="195"/>
      <c r="AA83" s="195"/>
      <c r="AB83" s="507" t="str">
        <f t="shared" si="11"/>
        <v/>
      </c>
      <c r="AC83" s="521" t="str">
        <f t="shared" si="12"/>
        <v/>
      </c>
      <c r="AD83" s="564" t="str">
        <f>IFERROR(IF(AC83="Check Data ⚠","Check Data ⚠",VLOOKUP(AC83,'G-4 Temporal multipliers'!$A$4:$C$37,3,FALSE)),"")</f>
        <v/>
      </c>
      <c r="AE83" s="498" t="str">
        <f>IF(N83="","",VLOOKUP(N83,'G-7 Rivers Data'!$B$4:$G$8,5,FALSE))</f>
        <v/>
      </c>
      <c r="AF83" s="507" t="str">
        <f t="shared" si="13"/>
        <v/>
      </c>
      <c r="AG83" s="540" t="str">
        <f t="shared" si="14"/>
        <v/>
      </c>
      <c r="AH83" s="499" t="str">
        <f t="shared" si="8"/>
        <v/>
      </c>
      <c r="AI83" s="145"/>
      <c r="AJ83" s="499" t="str">
        <f>IF(AI83="","",IF(VLOOKUP(AI83,'G-7 Rivers Data'!$AA$4:$AB$7,2,FALSE)=0,"Spatial Data Missing ⚠",VLOOKUP(AI83,'G-7 Rivers Data'!$AA$4:$AB$7,2,FALSE)))</f>
        <v/>
      </c>
      <c r="AK83" s="155"/>
      <c r="AL83" s="499" t="str">
        <f>IF(AK83="","",IF(VLOOKUP(AK83,'G-7 Rivers Data'!$AD$4:$AE$8,2,FALSE)=0,"Spatial Data Missing ⚠",VLOOKUP(AK83,'G-7 Rivers Data'!$AD$4:$AE$8,2,FALSE)))</f>
        <v/>
      </c>
      <c r="AM83" s="545" t="str">
        <f t="shared" si="15"/>
        <v/>
      </c>
      <c r="AN83" s="149"/>
      <c r="AO83" s="150"/>
      <c r="AV83" s="31" t="str">
        <f>IFERROR(INDEX('G-7 Rivers Data'!$AZ$3:$AZ$7,MATCH(N83,'G-7 Rivers Data'!$AY$3:$AY$7,0)),"")</f>
        <v/>
      </c>
    </row>
    <row r="84" spans="2:48" ht="13.8" x14ac:dyDescent="0.25">
      <c r="B84" s="531" t="str">
        <f>'C-1 Site River Baseline'!AN82</f>
        <v/>
      </c>
      <c r="C84" s="520" t="str">
        <f>IF(B84="","",VLOOKUP($B84,'C-1 Site River Baseline'!$C$9:$R$257,2,FALSE))</f>
        <v/>
      </c>
      <c r="D84" s="520" t="str">
        <f>IF(C84="","",VLOOKUP($B84,'C-1 Site River Baseline'!$C$9:$R$257,3,FALSE))</f>
        <v/>
      </c>
      <c r="E84" s="520" t="str">
        <f>IF(D84="","",VLOOKUP($B84,'C-1 Site River Baseline'!$C$9:$R$257,4,FALSE))</f>
        <v/>
      </c>
      <c r="F84" s="520" t="str">
        <f>IF(E84="","",VLOOKUP($B84,'C-1 Site River Baseline'!$C$9:$R$257,5,FALSE))</f>
        <v/>
      </c>
      <c r="G84" s="520" t="str">
        <f>IF(F84="","",VLOOKUP($B84,'C-1 Site River Baseline'!$C$9:$R$257,6,FALSE))</f>
        <v/>
      </c>
      <c r="H84" s="520" t="str">
        <f>IF(G84="","",VLOOKUP($B84,'C-1 Site River Baseline'!$C$9:$R$257,7,FALSE))</f>
        <v/>
      </c>
      <c r="I84" s="520" t="str">
        <f>IF(H84="","",VLOOKUP($B84,'C-1 Site River Baseline'!$C$9:$R$257,8,FALSE))</f>
        <v/>
      </c>
      <c r="J84" s="520" t="str">
        <f>IF(I84="","",VLOOKUP($B84,'C-1 Site River Baseline'!$C$9:$R$257,9,FALSE))</f>
        <v/>
      </c>
      <c r="K84" s="520" t="str">
        <f>IF(J84="","",VLOOKUP($B84,'C-1 Site River Baseline'!$C$9:$R$257,10,FALSE))</f>
        <v/>
      </c>
      <c r="L84" s="520" t="str">
        <f>IF(B84="","",VLOOKUP($B84,'C-1 Site River Baseline'!$C$9:$R$257,15,FALSE))</f>
        <v/>
      </c>
      <c r="M84" s="524" t="str">
        <f>IF(L84="","",VLOOKUP($B84,'C-1 Site River Baseline'!$C$9:$R$257,16,FALSE))</f>
        <v/>
      </c>
      <c r="N84" s="418" t="str">
        <f t="shared" si="9"/>
        <v/>
      </c>
      <c r="O84" s="498" t="str">
        <f t="shared" si="10"/>
        <v/>
      </c>
      <c r="P84" s="499" t="str">
        <f>IF(C84="","",IF(AND(LEFT(C84,55)&lt;&gt;LEFT(N84,55),O84="High - High"),"Error - Not like for like ▲",IF(AND(F84=S84,H84&gt;U84),"Error - Can not reduce condition ▲",IF(AND(F84=S84,H84=U84,AJ84='C-1 Site River Baseline'!N82,'C-1 Site River Baseline'!P82=AL84),"Error - No enhancement ▲",IF(AND(C84&lt;&gt;N84,F84&lt;S84),"Lower Distinctiveness Habitat"&amp;" - "&amp;T84,G84&amp;" - "&amp;T84)))))</f>
        <v/>
      </c>
      <c r="Q84" s="567" t="str">
        <f>IF(N84="","",VLOOKUP(B84,'C-1 Site River Baseline'!$C$10:$AA$257,19,FALSE))</f>
        <v/>
      </c>
      <c r="R84" s="498" t="str">
        <f>IF(N84="","",VLOOKUP(N84,'G-7 Rivers Data'!$B$2:$G$8,2,FALSE))</f>
        <v/>
      </c>
      <c r="S84" s="499" t="str">
        <f>IFERROR(VLOOKUP(R84,'G-7 Rivers Data'!$C$4:$D$8,2,FALSE),"")</f>
        <v/>
      </c>
      <c r="T84" s="145"/>
      <c r="U84" s="499" t="str">
        <f>IFERROR(INDEX('G-7 Rivers Data'!$H$4:$L$8,MATCH(N84,'G-7 Rivers Data'!$B$4:$B$8,0),MATCH(T84,'G-7 Rivers Data'!$H$3:$L$3,0)),"")</f>
        <v/>
      </c>
      <c r="V84" s="154"/>
      <c r="W84" s="507" t="str">
        <f>IF(V84="","",IF(VLOOKUP(V84,'G-7 Rivers Data'!$AG$4:$AI$9,2,FALSE)=0,"Spatial Data Missing ⚠",VLOOKUP(V84,'G-7 Rivers Data'!$AG$4:$AI$9,2,FALSE)))</f>
        <v/>
      </c>
      <c r="X84" s="499" t="str">
        <f>IF(V84="","",IF(VLOOKUP(V84,'G-7 Rivers Data'!$AG$4:$AI$9,3,FALSE)=0,"Spatial Data Missing ⚠",VLOOKUP(V84,'G-7 Rivers Data'!$AG$4:$AI$9,3,FALSE)))</f>
        <v/>
      </c>
      <c r="Y84" s="498" t="str">
        <f>IFERROR(IF(OR(LEFT(P84,5)="Error ▲",LEFT(O84,5)="Error ▲"),"Check Data ⚠",IF(F84&lt;S84,'G-7 Rivers Data'!$R$3,INDEX('G-7 Rivers Data'!$U$5:$Y$9,MATCH(G84,'G-7 Rivers Data'!$T$5:$T$9,0),MATCH(T84,'G-7 Rivers Data'!$U$4:$Y$4,0)))),"")</f>
        <v/>
      </c>
      <c r="Z84" s="195"/>
      <c r="AA84" s="195"/>
      <c r="AB84" s="507" t="str">
        <f t="shared" si="11"/>
        <v/>
      </c>
      <c r="AC84" s="521" t="str">
        <f t="shared" si="12"/>
        <v/>
      </c>
      <c r="AD84" s="564" t="str">
        <f>IFERROR(IF(AC84="Check Data ⚠","Check Data ⚠",VLOOKUP(AC84,'G-4 Temporal multipliers'!$A$4:$C$37,3,FALSE)),"")</f>
        <v/>
      </c>
      <c r="AE84" s="498" t="str">
        <f>IF(N84="","",VLOOKUP(N84,'G-7 Rivers Data'!$B$4:$G$8,5,FALSE))</f>
        <v/>
      </c>
      <c r="AF84" s="507" t="str">
        <f t="shared" si="13"/>
        <v/>
      </c>
      <c r="AG84" s="540" t="str">
        <f t="shared" si="14"/>
        <v/>
      </c>
      <c r="AH84" s="499" t="str">
        <f t="shared" si="8"/>
        <v/>
      </c>
      <c r="AI84" s="145"/>
      <c r="AJ84" s="499" t="str">
        <f>IF(AI84="","",IF(VLOOKUP(AI84,'G-7 Rivers Data'!$AA$4:$AB$7,2,FALSE)=0,"Spatial Data Missing ⚠",VLOOKUP(AI84,'G-7 Rivers Data'!$AA$4:$AB$7,2,FALSE)))</f>
        <v/>
      </c>
      <c r="AK84" s="155"/>
      <c r="AL84" s="499" t="str">
        <f>IF(AK84="","",IF(VLOOKUP(AK84,'G-7 Rivers Data'!$AD$4:$AE$8,2,FALSE)=0,"Spatial Data Missing ⚠",VLOOKUP(AK84,'G-7 Rivers Data'!$AD$4:$AE$8,2,FALSE)))</f>
        <v/>
      </c>
      <c r="AM84" s="545" t="str">
        <f t="shared" si="15"/>
        <v/>
      </c>
      <c r="AN84" s="149"/>
      <c r="AO84" s="150"/>
      <c r="AV84" s="31" t="str">
        <f>IFERROR(INDEX('G-7 Rivers Data'!$AZ$3:$AZ$7,MATCH(N84,'G-7 Rivers Data'!$AY$3:$AY$7,0)),"")</f>
        <v/>
      </c>
    </row>
    <row r="85" spans="2:48" ht="13.8" x14ac:dyDescent="0.25">
      <c r="B85" s="531" t="str">
        <f>'C-1 Site River Baseline'!AN83</f>
        <v/>
      </c>
      <c r="C85" s="520" t="str">
        <f>IF(B85="","",VLOOKUP($B85,'C-1 Site River Baseline'!$C$9:$R$257,2,FALSE))</f>
        <v/>
      </c>
      <c r="D85" s="520" t="str">
        <f>IF(C85="","",VLOOKUP($B85,'C-1 Site River Baseline'!$C$9:$R$257,3,FALSE))</f>
        <v/>
      </c>
      <c r="E85" s="520" t="str">
        <f>IF(D85="","",VLOOKUP($B85,'C-1 Site River Baseline'!$C$9:$R$257,4,FALSE))</f>
        <v/>
      </c>
      <c r="F85" s="520" t="str">
        <f>IF(E85="","",VLOOKUP($B85,'C-1 Site River Baseline'!$C$9:$R$257,5,FALSE))</f>
        <v/>
      </c>
      <c r="G85" s="520" t="str">
        <f>IF(F85="","",VLOOKUP($B85,'C-1 Site River Baseline'!$C$9:$R$257,6,FALSE))</f>
        <v/>
      </c>
      <c r="H85" s="520" t="str">
        <f>IF(G85="","",VLOOKUP($B85,'C-1 Site River Baseline'!$C$9:$R$257,7,FALSE))</f>
        <v/>
      </c>
      <c r="I85" s="520" t="str">
        <f>IF(H85="","",VLOOKUP($B85,'C-1 Site River Baseline'!$C$9:$R$257,8,FALSE))</f>
        <v/>
      </c>
      <c r="J85" s="520" t="str">
        <f>IF(I85="","",VLOOKUP($B85,'C-1 Site River Baseline'!$C$9:$R$257,9,FALSE))</f>
        <v/>
      </c>
      <c r="K85" s="520" t="str">
        <f>IF(J85="","",VLOOKUP($B85,'C-1 Site River Baseline'!$C$9:$R$257,10,FALSE))</f>
        <v/>
      </c>
      <c r="L85" s="520" t="str">
        <f>IF(B85="","",VLOOKUP($B85,'C-1 Site River Baseline'!$C$9:$R$257,15,FALSE))</f>
        <v/>
      </c>
      <c r="M85" s="524" t="str">
        <f>IF(L85="","",VLOOKUP($B85,'C-1 Site River Baseline'!$C$9:$R$257,16,FALSE))</f>
        <v/>
      </c>
      <c r="N85" s="418" t="str">
        <f t="shared" si="9"/>
        <v/>
      </c>
      <c r="O85" s="498" t="str">
        <f t="shared" si="10"/>
        <v/>
      </c>
      <c r="P85" s="499" t="str">
        <f>IF(C85="","",IF(AND(LEFT(C85,55)&lt;&gt;LEFT(N85,55),O85="High - High"),"Error - Not like for like ▲",IF(AND(F85=S85,H85&gt;U85),"Error - Can not reduce condition ▲",IF(AND(F85=S85,H85=U85,AJ85='C-1 Site River Baseline'!N83,'C-1 Site River Baseline'!P83=AL85),"Error - No enhancement ▲",IF(AND(C85&lt;&gt;N85,F85&lt;S85),"Lower Distinctiveness Habitat"&amp;" - "&amp;T85,G85&amp;" - "&amp;T85)))))</f>
        <v/>
      </c>
      <c r="Q85" s="567" t="str">
        <f>IF(N85="","",VLOOKUP(B85,'C-1 Site River Baseline'!$C$10:$AA$257,19,FALSE))</f>
        <v/>
      </c>
      <c r="R85" s="498" t="str">
        <f>IF(N85="","",VLOOKUP(N85,'G-7 Rivers Data'!$B$2:$G$8,2,FALSE))</f>
        <v/>
      </c>
      <c r="S85" s="499" t="str">
        <f>IFERROR(VLOOKUP(R85,'G-7 Rivers Data'!$C$4:$D$8,2,FALSE),"")</f>
        <v/>
      </c>
      <c r="T85" s="145"/>
      <c r="U85" s="499" t="str">
        <f>IFERROR(INDEX('G-7 Rivers Data'!$H$4:$L$8,MATCH(N85,'G-7 Rivers Data'!$B$4:$B$8,0),MATCH(T85,'G-7 Rivers Data'!$H$3:$L$3,0)),"")</f>
        <v/>
      </c>
      <c r="V85" s="154"/>
      <c r="W85" s="507" t="str">
        <f>IF(V85="","",IF(VLOOKUP(V85,'G-7 Rivers Data'!$AG$4:$AI$9,2,FALSE)=0,"Spatial Data Missing ⚠",VLOOKUP(V85,'G-7 Rivers Data'!$AG$4:$AI$9,2,FALSE)))</f>
        <v/>
      </c>
      <c r="X85" s="499" t="str">
        <f>IF(V85="","",IF(VLOOKUP(V85,'G-7 Rivers Data'!$AG$4:$AI$9,3,FALSE)=0,"Spatial Data Missing ⚠",VLOOKUP(V85,'G-7 Rivers Data'!$AG$4:$AI$9,3,FALSE)))</f>
        <v/>
      </c>
      <c r="Y85" s="498" t="str">
        <f>IFERROR(IF(OR(LEFT(P85,5)="Error ▲",LEFT(O85,5)="Error ▲"),"Check Data ⚠",IF(F85&lt;S85,'G-7 Rivers Data'!$R$3,INDEX('G-7 Rivers Data'!$U$5:$Y$9,MATCH(G85,'G-7 Rivers Data'!$T$5:$T$9,0),MATCH(T85,'G-7 Rivers Data'!$U$4:$Y$4,0)))),"")</f>
        <v/>
      </c>
      <c r="Z85" s="195"/>
      <c r="AA85" s="195"/>
      <c r="AB85" s="507" t="str">
        <f t="shared" si="11"/>
        <v/>
      </c>
      <c r="AC85" s="521" t="str">
        <f t="shared" si="12"/>
        <v/>
      </c>
      <c r="AD85" s="564" t="str">
        <f>IFERROR(IF(AC85="Check Data ⚠","Check Data ⚠",VLOOKUP(AC85,'G-4 Temporal multipliers'!$A$4:$C$37,3,FALSE)),"")</f>
        <v/>
      </c>
      <c r="AE85" s="498" t="str">
        <f>IF(N85="","",VLOOKUP(N85,'G-7 Rivers Data'!$B$4:$G$8,5,FALSE))</f>
        <v/>
      </c>
      <c r="AF85" s="507" t="str">
        <f t="shared" si="13"/>
        <v/>
      </c>
      <c r="AG85" s="540" t="str">
        <f t="shared" si="14"/>
        <v/>
      </c>
      <c r="AH85" s="499" t="str">
        <f t="shared" si="8"/>
        <v/>
      </c>
      <c r="AI85" s="145"/>
      <c r="AJ85" s="499" t="str">
        <f>IF(AI85="","",IF(VLOOKUP(AI85,'G-7 Rivers Data'!$AA$4:$AB$7,2,FALSE)=0,"Spatial Data Missing ⚠",VLOOKUP(AI85,'G-7 Rivers Data'!$AA$4:$AB$7,2,FALSE)))</f>
        <v/>
      </c>
      <c r="AK85" s="155"/>
      <c r="AL85" s="499" t="str">
        <f>IF(AK85="","",IF(VLOOKUP(AK85,'G-7 Rivers Data'!$AD$4:$AE$8,2,FALSE)=0,"Spatial Data Missing ⚠",VLOOKUP(AK85,'G-7 Rivers Data'!$AD$4:$AE$8,2,FALSE)))</f>
        <v/>
      </c>
      <c r="AM85" s="545" t="str">
        <f t="shared" si="15"/>
        <v/>
      </c>
      <c r="AN85" s="149"/>
      <c r="AO85" s="150"/>
      <c r="AV85" s="31" t="str">
        <f>IFERROR(INDEX('G-7 Rivers Data'!$AZ$3:$AZ$7,MATCH(N85,'G-7 Rivers Data'!$AY$3:$AY$7,0)),"")</f>
        <v/>
      </c>
    </row>
    <row r="86" spans="2:48" ht="13.8" x14ac:dyDescent="0.25">
      <c r="B86" s="531" t="str">
        <f>'C-1 Site River Baseline'!AN84</f>
        <v/>
      </c>
      <c r="C86" s="520" t="str">
        <f>IF(B86="","",VLOOKUP($B86,'C-1 Site River Baseline'!$C$9:$R$257,2,FALSE))</f>
        <v/>
      </c>
      <c r="D86" s="520" t="str">
        <f>IF(C86="","",VLOOKUP($B86,'C-1 Site River Baseline'!$C$9:$R$257,3,FALSE))</f>
        <v/>
      </c>
      <c r="E86" s="520" t="str">
        <f>IF(D86="","",VLOOKUP($B86,'C-1 Site River Baseline'!$C$9:$R$257,4,FALSE))</f>
        <v/>
      </c>
      <c r="F86" s="520" t="str">
        <f>IF(E86="","",VLOOKUP($B86,'C-1 Site River Baseline'!$C$9:$R$257,5,FALSE))</f>
        <v/>
      </c>
      <c r="G86" s="520" t="str">
        <f>IF(F86="","",VLOOKUP($B86,'C-1 Site River Baseline'!$C$9:$R$257,6,FALSE))</f>
        <v/>
      </c>
      <c r="H86" s="520" t="str">
        <f>IF(G86="","",VLOOKUP($B86,'C-1 Site River Baseline'!$C$9:$R$257,7,FALSE))</f>
        <v/>
      </c>
      <c r="I86" s="520" t="str">
        <f>IF(H86="","",VLOOKUP($B86,'C-1 Site River Baseline'!$C$9:$R$257,8,FALSE))</f>
        <v/>
      </c>
      <c r="J86" s="520" t="str">
        <f>IF(I86="","",VLOOKUP($B86,'C-1 Site River Baseline'!$C$9:$R$257,9,FALSE))</f>
        <v/>
      </c>
      <c r="K86" s="520" t="str">
        <f>IF(J86="","",VLOOKUP($B86,'C-1 Site River Baseline'!$C$9:$R$257,10,FALSE))</f>
        <v/>
      </c>
      <c r="L86" s="520" t="str">
        <f>IF(B86="","",VLOOKUP($B86,'C-1 Site River Baseline'!$C$9:$R$257,15,FALSE))</f>
        <v/>
      </c>
      <c r="M86" s="524" t="str">
        <f>IF(L86="","",VLOOKUP($B86,'C-1 Site River Baseline'!$C$9:$R$257,16,FALSE))</f>
        <v/>
      </c>
      <c r="N86" s="418" t="str">
        <f t="shared" si="9"/>
        <v/>
      </c>
      <c r="O86" s="498" t="str">
        <f t="shared" si="10"/>
        <v/>
      </c>
      <c r="P86" s="499" t="str">
        <f>IF(C86="","",IF(AND(LEFT(C86,55)&lt;&gt;LEFT(N86,55),O86="High - High"),"Error - Not like for like ▲",IF(AND(F86=S86,H86&gt;U86),"Error - Can not reduce condition ▲",IF(AND(F86=S86,H86=U86,AJ86='C-1 Site River Baseline'!N84,'C-1 Site River Baseline'!P84=AL86),"Error - No enhancement ▲",IF(AND(C86&lt;&gt;N86,F86&lt;S86),"Lower Distinctiveness Habitat"&amp;" - "&amp;T86,G86&amp;" - "&amp;T86)))))</f>
        <v/>
      </c>
      <c r="Q86" s="567" t="str">
        <f>IF(N86="","",VLOOKUP(B86,'C-1 Site River Baseline'!$C$10:$AA$257,19,FALSE))</f>
        <v/>
      </c>
      <c r="R86" s="498" t="str">
        <f>IF(N86="","",VLOOKUP(N86,'G-7 Rivers Data'!$B$2:$G$8,2,FALSE))</f>
        <v/>
      </c>
      <c r="S86" s="499" t="str">
        <f>IFERROR(VLOOKUP(R86,'G-7 Rivers Data'!$C$4:$D$8,2,FALSE),"")</f>
        <v/>
      </c>
      <c r="T86" s="145"/>
      <c r="U86" s="499" t="str">
        <f>IFERROR(INDEX('G-7 Rivers Data'!$H$4:$L$8,MATCH(N86,'G-7 Rivers Data'!$B$4:$B$8,0),MATCH(T86,'G-7 Rivers Data'!$H$3:$L$3,0)),"")</f>
        <v/>
      </c>
      <c r="V86" s="154"/>
      <c r="W86" s="507" t="str">
        <f>IF(V86="","",IF(VLOOKUP(V86,'G-7 Rivers Data'!$AG$4:$AI$9,2,FALSE)=0,"Spatial Data Missing ⚠",VLOOKUP(V86,'G-7 Rivers Data'!$AG$4:$AI$9,2,FALSE)))</f>
        <v/>
      </c>
      <c r="X86" s="499" t="str">
        <f>IF(V86="","",IF(VLOOKUP(V86,'G-7 Rivers Data'!$AG$4:$AI$9,3,FALSE)=0,"Spatial Data Missing ⚠",VLOOKUP(V86,'G-7 Rivers Data'!$AG$4:$AI$9,3,FALSE)))</f>
        <v/>
      </c>
      <c r="Y86" s="498" t="str">
        <f>IFERROR(IF(OR(LEFT(P86,5)="Error ▲",LEFT(O86,5)="Error ▲"),"Check Data ⚠",IF(F86&lt;S86,'G-7 Rivers Data'!$R$3,INDEX('G-7 Rivers Data'!$U$5:$Y$9,MATCH(G86,'G-7 Rivers Data'!$T$5:$T$9,0),MATCH(T86,'G-7 Rivers Data'!$U$4:$Y$4,0)))),"")</f>
        <v/>
      </c>
      <c r="Z86" s="195"/>
      <c r="AA86" s="195"/>
      <c r="AB86" s="507" t="str">
        <f t="shared" si="11"/>
        <v/>
      </c>
      <c r="AC86" s="521" t="str">
        <f t="shared" si="12"/>
        <v/>
      </c>
      <c r="AD86" s="564" t="str">
        <f>IFERROR(IF(AC86="Check Data ⚠","Check Data ⚠",VLOOKUP(AC86,'G-4 Temporal multipliers'!$A$4:$C$37,3,FALSE)),"")</f>
        <v/>
      </c>
      <c r="AE86" s="498" t="str">
        <f>IF(N86="","",VLOOKUP(N86,'G-7 Rivers Data'!$B$4:$G$8,5,FALSE))</f>
        <v/>
      </c>
      <c r="AF86" s="507" t="str">
        <f t="shared" si="13"/>
        <v/>
      </c>
      <c r="AG86" s="540" t="str">
        <f t="shared" si="14"/>
        <v/>
      </c>
      <c r="AH86" s="499" t="str">
        <f t="shared" si="8"/>
        <v/>
      </c>
      <c r="AI86" s="145"/>
      <c r="AJ86" s="499" t="str">
        <f>IF(AI86="","",IF(VLOOKUP(AI86,'G-7 Rivers Data'!$AA$4:$AB$7,2,FALSE)=0,"Spatial Data Missing ⚠",VLOOKUP(AI86,'G-7 Rivers Data'!$AA$4:$AB$7,2,FALSE)))</f>
        <v/>
      </c>
      <c r="AK86" s="155"/>
      <c r="AL86" s="499" t="str">
        <f>IF(AK86="","",IF(VLOOKUP(AK86,'G-7 Rivers Data'!$AD$4:$AE$8,2,FALSE)=0,"Spatial Data Missing ⚠",VLOOKUP(AK86,'G-7 Rivers Data'!$AD$4:$AE$8,2,FALSE)))</f>
        <v/>
      </c>
      <c r="AM86" s="545" t="str">
        <f t="shared" si="15"/>
        <v/>
      </c>
      <c r="AN86" s="149"/>
      <c r="AO86" s="150"/>
      <c r="AV86" s="31" t="str">
        <f>IFERROR(INDEX('G-7 Rivers Data'!$AZ$3:$AZ$7,MATCH(N86,'G-7 Rivers Data'!$AY$3:$AY$7,0)),"")</f>
        <v/>
      </c>
    </row>
    <row r="87" spans="2:48" ht="13.8" x14ac:dyDescent="0.25">
      <c r="B87" s="531" t="str">
        <f>'C-1 Site River Baseline'!AN85</f>
        <v/>
      </c>
      <c r="C87" s="520" t="str">
        <f>IF(B87="","",VLOOKUP($B87,'C-1 Site River Baseline'!$C$9:$R$257,2,FALSE))</f>
        <v/>
      </c>
      <c r="D87" s="520" t="str">
        <f>IF(C87="","",VLOOKUP($B87,'C-1 Site River Baseline'!$C$9:$R$257,3,FALSE))</f>
        <v/>
      </c>
      <c r="E87" s="520" t="str">
        <f>IF(D87="","",VLOOKUP($B87,'C-1 Site River Baseline'!$C$9:$R$257,4,FALSE))</f>
        <v/>
      </c>
      <c r="F87" s="520" t="str">
        <f>IF(E87="","",VLOOKUP($B87,'C-1 Site River Baseline'!$C$9:$R$257,5,FALSE))</f>
        <v/>
      </c>
      <c r="G87" s="520" t="str">
        <f>IF(F87="","",VLOOKUP($B87,'C-1 Site River Baseline'!$C$9:$R$257,6,FALSE))</f>
        <v/>
      </c>
      <c r="H87" s="520" t="str">
        <f>IF(G87="","",VLOOKUP($B87,'C-1 Site River Baseline'!$C$9:$R$257,7,FALSE))</f>
        <v/>
      </c>
      <c r="I87" s="520" t="str">
        <f>IF(H87="","",VLOOKUP($B87,'C-1 Site River Baseline'!$C$9:$R$257,8,FALSE))</f>
        <v/>
      </c>
      <c r="J87" s="520" t="str">
        <f>IF(I87="","",VLOOKUP($B87,'C-1 Site River Baseline'!$C$9:$R$257,9,FALSE))</f>
        <v/>
      </c>
      <c r="K87" s="520" t="str">
        <f>IF(J87="","",VLOOKUP($B87,'C-1 Site River Baseline'!$C$9:$R$257,10,FALSE))</f>
        <v/>
      </c>
      <c r="L87" s="520" t="str">
        <f>IF(B87="","",VLOOKUP($B87,'C-1 Site River Baseline'!$C$9:$R$257,15,FALSE))</f>
        <v/>
      </c>
      <c r="M87" s="524" t="str">
        <f>IF(L87="","",VLOOKUP($B87,'C-1 Site River Baseline'!$C$9:$R$257,16,FALSE))</f>
        <v/>
      </c>
      <c r="N87" s="418" t="str">
        <f t="shared" si="9"/>
        <v/>
      </c>
      <c r="O87" s="498" t="str">
        <f t="shared" si="10"/>
        <v/>
      </c>
      <c r="P87" s="499" t="str">
        <f>IF(C87="","",IF(AND(LEFT(C87,55)&lt;&gt;LEFT(N87,55),O87="High - High"),"Error - Not like for like ▲",IF(AND(F87=S87,H87&gt;U87),"Error - Can not reduce condition ▲",IF(AND(F87=S87,H87=U87,AJ87='C-1 Site River Baseline'!N85,'C-1 Site River Baseline'!P85=AL87),"Error - No enhancement ▲",IF(AND(C87&lt;&gt;N87,F87&lt;S87),"Lower Distinctiveness Habitat"&amp;" - "&amp;T87,G87&amp;" - "&amp;T87)))))</f>
        <v/>
      </c>
      <c r="Q87" s="567" t="str">
        <f>IF(N87="","",VLOOKUP(B87,'C-1 Site River Baseline'!$C$10:$AA$257,19,FALSE))</f>
        <v/>
      </c>
      <c r="R87" s="498" t="str">
        <f>IF(N87="","",VLOOKUP(N87,'G-7 Rivers Data'!$B$2:$G$8,2,FALSE))</f>
        <v/>
      </c>
      <c r="S87" s="499" t="str">
        <f>IFERROR(VLOOKUP(R87,'G-7 Rivers Data'!$C$4:$D$8,2,FALSE),"")</f>
        <v/>
      </c>
      <c r="T87" s="145"/>
      <c r="U87" s="499" t="str">
        <f>IFERROR(INDEX('G-7 Rivers Data'!$H$4:$L$8,MATCH(N87,'G-7 Rivers Data'!$B$4:$B$8,0),MATCH(T87,'G-7 Rivers Data'!$H$3:$L$3,0)),"")</f>
        <v/>
      </c>
      <c r="V87" s="154"/>
      <c r="W87" s="507" t="str">
        <f>IF(V87="","",IF(VLOOKUP(V87,'G-7 Rivers Data'!$AG$4:$AI$9,2,FALSE)=0,"Spatial Data Missing ⚠",VLOOKUP(V87,'G-7 Rivers Data'!$AG$4:$AI$9,2,FALSE)))</f>
        <v/>
      </c>
      <c r="X87" s="499" t="str">
        <f>IF(V87="","",IF(VLOOKUP(V87,'G-7 Rivers Data'!$AG$4:$AI$9,3,FALSE)=0,"Spatial Data Missing ⚠",VLOOKUP(V87,'G-7 Rivers Data'!$AG$4:$AI$9,3,FALSE)))</f>
        <v/>
      </c>
      <c r="Y87" s="498" t="str">
        <f>IFERROR(IF(OR(LEFT(P87,5)="Error ▲",LEFT(O87,5)="Error ▲"),"Check Data ⚠",IF(F87&lt;S87,'G-7 Rivers Data'!$R$3,INDEX('G-7 Rivers Data'!$U$5:$Y$9,MATCH(G87,'G-7 Rivers Data'!$T$5:$T$9,0),MATCH(T87,'G-7 Rivers Data'!$U$4:$Y$4,0)))),"")</f>
        <v/>
      </c>
      <c r="Z87" s="195"/>
      <c r="AA87" s="195"/>
      <c r="AB87" s="507" t="str">
        <f t="shared" si="11"/>
        <v/>
      </c>
      <c r="AC87" s="521" t="str">
        <f t="shared" si="12"/>
        <v/>
      </c>
      <c r="AD87" s="564" t="str">
        <f>IFERROR(IF(AC87="Check Data ⚠","Check Data ⚠",VLOOKUP(AC87,'G-4 Temporal multipliers'!$A$4:$C$37,3,FALSE)),"")</f>
        <v/>
      </c>
      <c r="AE87" s="498" t="str">
        <f>IF(N87="","",VLOOKUP(N87,'G-7 Rivers Data'!$B$4:$G$8,5,FALSE))</f>
        <v/>
      </c>
      <c r="AF87" s="507" t="str">
        <f t="shared" si="13"/>
        <v/>
      </c>
      <c r="AG87" s="540" t="str">
        <f t="shared" si="14"/>
        <v/>
      </c>
      <c r="AH87" s="499" t="str">
        <f t="shared" si="8"/>
        <v/>
      </c>
      <c r="AI87" s="145"/>
      <c r="AJ87" s="499" t="str">
        <f>IF(AI87="","",IF(VLOOKUP(AI87,'G-7 Rivers Data'!$AA$4:$AB$7,2,FALSE)=0,"Spatial Data Missing ⚠",VLOOKUP(AI87,'G-7 Rivers Data'!$AA$4:$AB$7,2,FALSE)))</f>
        <v/>
      </c>
      <c r="AK87" s="155"/>
      <c r="AL87" s="499" t="str">
        <f>IF(AK87="","",IF(VLOOKUP(AK87,'G-7 Rivers Data'!$AD$4:$AE$8,2,FALSE)=0,"Spatial Data Missing ⚠",VLOOKUP(AK87,'G-7 Rivers Data'!$AD$4:$AE$8,2,FALSE)))</f>
        <v/>
      </c>
      <c r="AM87" s="545" t="str">
        <f t="shared" si="15"/>
        <v/>
      </c>
      <c r="AN87" s="149"/>
      <c r="AO87" s="150"/>
      <c r="AV87" s="31" t="str">
        <f>IFERROR(INDEX('G-7 Rivers Data'!$AZ$3:$AZ$7,MATCH(N87,'G-7 Rivers Data'!$AY$3:$AY$7,0)),"")</f>
        <v/>
      </c>
    </row>
    <row r="88" spans="2:48" ht="13.8" x14ac:dyDescent="0.25">
      <c r="B88" s="531" t="str">
        <f>'C-1 Site River Baseline'!AN86</f>
        <v/>
      </c>
      <c r="C88" s="520" t="str">
        <f>IF(B88="","",VLOOKUP($B88,'C-1 Site River Baseline'!$C$9:$R$257,2,FALSE))</f>
        <v/>
      </c>
      <c r="D88" s="520" t="str">
        <f>IF(C88="","",VLOOKUP($B88,'C-1 Site River Baseline'!$C$9:$R$257,3,FALSE))</f>
        <v/>
      </c>
      <c r="E88" s="520" t="str">
        <f>IF(D88="","",VLOOKUP($B88,'C-1 Site River Baseline'!$C$9:$R$257,4,FALSE))</f>
        <v/>
      </c>
      <c r="F88" s="520" t="str">
        <f>IF(E88="","",VLOOKUP($B88,'C-1 Site River Baseline'!$C$9:$R$257,5,FALSE))</f>
        <v/>
      </c>
      <c r="G88" s="520" t="str">
        <f>IF(F88="","",VLOOKUP($B88,'C-1 Site River Baseline'!$C$9:$R$257,6,FALSE))</f>
        <v/>
      </c>
      <c r="H88" s="520" t="str">
        <f>IF(G88="","",VLOOKUP($B88,'C-1 Site River Baseline'!$C$9:$R$257,7,FALSE))</f>
        <v/>
      </c>
      <c r="I88" s="520" t="str">
        <f>IF(H88="","",VLOOKUP($B88,'C-1 Site River Baseline'!$C$9:$R$257,8,FALSE))</f>
        <v/>
      </c>
      <c r="J88" s="520" t="str">
        <f>IF(I88="","",VLOOKUP($B88,'C-1 Site River Baseline'!$C$9:$R$257,9,FALSE))</f>
        <v/>
      </c>
      <c r="K88" s="520" t="str">
        <f>IF(J88="","",VLOOKUP($B88,'C-1 Site River Baseline'!$C$9:$R$257,10,FALSE))</f>
        <v/>
      </c>
      <c r="L88" s="520" t="str">
        <f>IF(B88="","",VLOOKUP($B88,'C-1 Site River Baseline'!$C$9:$R$257,15,FALSE))</f>
        <v/>
      </c>
      <c r="M88" s="524" t="str">
        <f>IF(L88="","",VLOOKUP($B88,'C-1 Site River Baseline'!$C$9:$R$257,16,FALSE))</f>
        <v/>
      </c>
      <c r="N88" s="418" t="str">
        <f t="shared" si="9"/>
        <v/>
      </c>
      <c r="O88" s="498" t="str">
        <f t="shared" si="10"/>
        <v/>
      </c>
      <c r="P88" s="499" t="str">
        <f>IF(C88="","",IF(AND(LEFT(C88,55)&lt;&gt;LEFT(N88,55),O88="High - High"),"Error - Not like for like ▲",IF(AND(F88=S88,H88&gt;U88),"Error - Can not reduce condition ▲",IF(AND(F88=S88,H88=U88,AJ88='C-1 Site River Baseline'!N86,'C-1 Site River Baseline'!P86=AL88),"Error - No enhancement ▲",IF(AND(C88&lt;&gt;N88,F88&lt;S88),"Lower Distinctiveness Habitat"&amp;" - "&amp;T88,G88&amp;" - "&amp;T88)))))</f>
        <v/>
      </c>
      <c r="Q88" s="567" t="str">
        <f>IF(N88="","",VLOOKUP(B88,'C-1 Site River Baseline'!$C$10:$AA$257,19,FALSE))</f>
        <v/>
      </c>
      <c r="R88" s="498" t="str">
        <f>IF(N88="","",VLOOKUP(N88,'G-7 Rivers Data'!$B$2:$G$8,2,FALSE))</f>
        <v/>
      </c>
      <c r="S88" s="499" t="str">
        <f>IFERROR(VLOOKUP(R88,'G-7 Rivers Data'!$C$4:$D$8,2,FALSE),"")</f>
        <v/>
      </c>
      <c r="T88" s="145"/>
      <c r="U88" s="499" t="str">
        <f>IFERROR(INDEX('G-7 Rivers Data'!$H$4:$L$8,MATCH(N88,'G-7 Rivers Data'!$B$4:$B$8,0),MATCH(T88,'G-7 Rivers Data'!$H$3:$L$3,0)),"")</f>
        <v/>
      </c>
      <c r="V88" s="154"/>
      <c r="W88" s="507" t="str">
        <f>IF(V88="","",IF(VLOOKUP(V88,'G-7 Rivers Data'!$AG$4:$AI$9,2,FALSE)=0,"Spatial Data Missing ⚠",VLOOKUP(V88,'G-7 Rivers Data'!$AG$4:$AI$9,2,FALSE)))</f>
        <v/>
      </c>
      <c r="X88" s="499" t="str">
        <f>IF(V88="","",IF(VLOOKUP(V88,'G-7 Rivers Data'!$AG$4:$AI$9,3,FALSE)=0,"Spatial Data Missing ⚠",VLOOKUP(V88,'G-7 Rivers Data'!$AG$4:$AI$9,3,FALSE)))</f>
        <v/>
      </c>
      <c r="Y88" s="498" t="str">
        <f>IFERROR(IF(OR(LEFT(P88,5)="Error ▲",LEFT(O88,5)="Error ▲"),"Check Data ⚠",IF(F88&lt;S88,'G-7 Rivers Data'!$R$3,INDEX('G-7 Rivers Data'!$U$5:$Y$9,MATCH(G88,'G-7 Rivers Data'!$T$5:$T$9,0),MATCH(T88,'G-7 Rivers Data'!$U$4:$Y$4,0)))),"")</f>
        <v/>
      </c>
      <c r="Z88" s="195"/>
      <c r="AA88" s="195"/>
      <c r="AB88" s="507" t="str">
        <f t="shared" si="11"/>
        <v/>
      </c>
      <c r="AC88" s="521" t="str">
        <f t="shared" si="12"/>
        <v/>
      </c>
      <c r="AD88" s="564" t="str">
        <f>IFERROR(IF(AC88="Check Data ⚠","Check Data ⚠",VLOOKUP(AC88,'G-4 Temporal multipliers'!$A$4:$C$37,3,FALSE)),"")</f>
        <v/>
      </c>
      <c r="AE88" s="498" t="str">
        <f>IF(N88="","",VLOOKUP(N88,'G-7 Rivers Data'!$B$4:$G$8,5,FALSE))</f>
        <v/>
      </c>
      <c r="AF88" s="507" t="str">
        <f t="shared" si="13"/>
        <v/>
      </c>
      <c r="AG88" s="540" t="str">
        <f t="shared" si="14"/>
        <v/>
      </c>
      <c r="AH88" s="499" t="str">
        <f t="shared" si="8"/>
        <v/>
      </c>
      <c r="AI88" s="145"/>
      <c r="AJ88" s="499" t="str">
        <f>IF(AI88="","",IF(VLOOKUP(AI88,'G-7 Rivers Data'!$AA$4:$AB$7,2,FALSE)=0,"Spatial Data Missing ⚠",VLOOKUP(AI88,'G-7 Rivers Data'!$AA$4:$AB$7,2,FALSE)))</f>
        <v/>
      </c>
      <c r="AK88" s="155"/>
      <c r="AL88" s="499" t="str">
        <f>IF(AK88="","",IF(VLOOKUP(AK88,'G-7 Rivers Data'!$AD$4:$AE$8,2,FALSE)=0,"Spatial Data Missing ⚠",VLOOKUP(AK88,'G-7 Rivers Data'!$AD$4:$AE$8,2,FALSE)))</f>
        <v/>
      </c>
      <c r="AM88" s="545" t="str">
        <f t="shared" si="15"/>
        <v/>
      </c>
      <c r="AN88" s="149"/>
      <c r="AO88" s="150"/>
      <c r="AV88" s="31" t="str">
        <f>IFERROR(INDEX('G-7 Rivers Data'!$AZ$3:$AZ$7,MATCH(N88,'G-7 Rivers Data'!$AY$3:$AY$7,0)),"")</f>
        <v/>
      </c>
    </row>
    <row r="89" spans="2:48" ht="13.8" x14ac:dyDescent="0.25">
      <c r="B89" s="531" t="str">
        <f>'C-1 Site River Baseline'!AN87</f>
        <v/>
      </c>
      <c r="C89" s="520" t="str">
        <f>IF(B89="","",VLOOKUP($B89,'C-1 Site River Baseline'!$C$9:$R$257,2,FALSE))</f>
        <v/>
      </c>
      <c r="D89" s="520" t="str">
        <f>IF(C89="","",VLOOKUP($B89,'C-1 Site River Baseline'!$C$9:$R$257,3,FALSE))</f>
        <v/>
      </c>
      <c r="E89" s="520" t="str">
        <f>IF(D89="","",VLOOKUP($B89,'C-1 Site River Baseline'!$C$9:$R$257,4,FALSE))</f>
        <v/>
      </c>
      <c r="F89" s="520" t="str">
        <f>IF(E89="","",VLOOKUP($B89,'C-1 Site River Baseline'!$C$9:$R$257,5,FALSE))</f>
        <v/>
      </c>
      <c r="G89" s="520" t="str">
        <f>IF(F89="","",VLOOKUP($B89,'C-1 Site River Baseline'!$C$9:$R$257,6,FALSE))</f>
        <v/>
      </c>
      <c r="H89" s="520" t="str">
        <f>IF(G89="","",VLOOKUP($B89,'C-1 Site River Baseline'!$C$9:$R$257,7,FALSE))</f>
        <v/>
      </c>
      <c r="I89" s="520" t="str">
        <f>IF(H89="","",VLOOKUP($B89,'C-1 Site River Baseline'!$C$9:$R$257,8,FALSE))</f>
        <v/>
      </c>
      <c r="J89" s="520" t="str">
        <f>IF(I89="","",VLOOKUP($B89,'C-1 Site River Baseline'!$C$9:$R$257,9,FALSE))</f>
        <v/>
      </c>
      <c r="K89" s="520" t="str">
        <f>IF(J89="","",VLOOKUP($B89,'C-1 Site River Baseline'!$C$9:$R$257,10,FALSE))</f>
        <v/>
      </c>
      <c r="L89" s="520" t="str">
        <f>IF(B89="","",VLOOKUP($B89,'C-1 Site River Baseline'!$C$9:$R$257,15,FALSE))</f>
        <v/>
      </c>
      <c r="M89" s="524" t="str">
        <f>IF(L89="","",VLOOKUP($B89,'C-1 Site River Baseline'!$C$9:$R$257,16,FALSE))</f>
        <v/>
      </c>
      <c r="N89" s="418" t="str">
        <f t="shared" si="9"/>
        <v/>
      </c>
      <c r="O89" s="498" t="str">
        <f t="shared" si="10"/>
        <v/>
      </c>
      <c r="P89" s="499" t="str">
        <f>IF(C89="","",IF(AND(LEFT(C89,55)&lt;&gt;LEFT(N89,55),O89="High - High"),"Error - Not like for like ▲",IF(AND(F89=S89,H89&gt;U89),"Error - Can not reduce condition ▲",IF(AND(F89=S89,H89=U89,AJ89='C-1 Site River Baseline'!N87,'C-1 Site River Baseline'!P87=AL89),"Error - No enhancement ▲",IF(AND(C89&lt;&gt;N89,F89&lt;S89),"Lower Distinctiveness Habitat"&amp;" - "&amp;T89,G89&amp;" - "&amp;T89)))))</f>
        <v/>
      </c>
      <c r="Q89" s="567" t="str">
        <f>IF(N89="","",VLOOKUP(B89,'C-1 Site River Baseline'!$C$10:$AA$257,19,FALSE))</f>
        <v/>
      </c>
      <c r="R89" s="498" t="str">
        <f>IF(N89="","",VLOOKUP(N89,'G-7 Rivers Data'!$B$2:$G$8,2,FALSE))</f>
        <v/>
      </c>
      <c r="S89" s="499" t="str">
        <f>IFERROR(VLOOKUP(R89,'G-7 Rivers Data'!$C$4:$D$8,2,FALSE),"")</f>
        <v/>
      </c>
      <c r="T89" s="145"/>
      <c r="U89" s="499" t="str">
        <f>IFERROR(INDEX('G-7 Rivers Data'!$H$4:$L$8,MATCH(N89,'G-7 Rivers Data'!$B$4:$B$8,0),MATCH(T89,'G-7 Rivers Data'!$H$3:$L$3,0)),"")</f>
        <v/>
      </c>
      <c r="V89" s="154"/>
      <c r="W89" s="507" t="str">
        <f>IF(V89="","",IF(VLOOKUP(V89,'G-7 Rivers Data'!$AG$4:$AI$9,2,FALSE)=0,"Spatial Data Missing ⚠",VLOOKUP(V89,'G-7 Rivers Data'!$AG$4:$AI$9,2,FALSE)))</f>
        <v/>
      </c>
      <c r="X89" s="499" t="str">
        <f>IF(V89="","",IF(VLOOKUP(V89,'G-7 Rivers Data'!$AG$4:$AI$9,3,FALSE)=0,"Spatial Data Missing ⚠",VLOOKUP(V89,'G-7 Rivers Data'!$AG$4:$AI$9,3,FALSE)))</f>
        <v/>
      </c>
      <c r="Y89" s="498" t="str">
        <f>IFERROR(IF(OR(LEFT(P89,5)="Error ▲",LEFT(O89,5)="Error ▲"),"Check Data ⚠",IF(F89&lt;S89,'G-7 Rivers Data'!$R$3,INDEX('G-7 Rivers Data'!$U$5:$Y$9,MATCH(G89,'G-7 Rivers Data'!$T$5:$T$9,0),MATCH(T89,'G-7 Rivers Data'!$U$4:$Y$4,0)))),"")</f>
        <v/>
      </c>
      <c r="Z89" s="195"/>
      <c r="AA89" s="195"/>
      <c r="AB89" s="507" t="str">
        <f t="shared" si="11"/>
        <v/>
      </c>
      <c r="AC89" s="521" t="str">
        <f t="shared" si="12"/>
        <v/>
      </c>
      <c r="AD89" s="564" t="str">
        <f>IFERROR(IF(AC89="Check Data ⚠","Check Data ⚠",VLOOKUP(AC89,'G-4 Temporal multipliers'!$A$4:$C$37,3,FALSE)),"")</f>
        <v/>
      </c>
      <c r="AE89" s="498" t="str">
        <f>IF(N89="","",VLOOKUP(N89,'G-7 Rivers Data'!$B$4:$G$8,5,FALSE))</f>
        <v/>
      </c>
      <c r="AF89" s="507" t="str">
        <f t="shared" si="13"/>
        <v/>
      </c>
      <c r="AG89" s="540" t="str">
        <f t="shared" si="14"/>
        <v/>
      </c>
      <c r="AH89" s="499" t="str">
        <f t="shared" si="8"/>
        <v/>
      </c>
      <c r="AI89" s="145"/>
      <c r="AJ89" s="499" t="str">
        <f>IF(AI89="","",IF(VLOOKUP(AI89,'G-7 Rivers Data'!$AA$4:$AB$7,2,FALSE)=0,"Spatial Data Missing ⚠",VLOOKUP(AI89,'G-7 Rivers Data'!$AA$4:$AB$7,2,FALSE)))</f>
        <v/>
      </c>
      <c r="AK89" s="155"/>
      <c r="AL89" s="499" t="str">
        <f>IF(AK89="","",IF(VLOOKUP(AK89,'G-7 Rivers Data'!$AD$4:$AE$8,2,FALSE)=0,"Spatial Data Missing ⚠",VLOOKUP(AK89,'G-7 Rivers Data'!$AD$4:$AE$8,2,FALSE)))</f>
        <v/>
      </c>
      <c r="AM89" s="545" t="str">
        <f t="shared" si="15"/>
        <v/>
      </c>
      <c r="AN89" s="149"/>
      <c r="AO89" s="150"/>
      <c r="AV89" s="31" t="str">
        <f>IFERROR(INDEX('G-7 Rivers Data'!$AZ$3:$AZ$7,MATCH(N89,'G-7 Rivers Data'!$AY$3:$AY$7,0)),"")</f>
        <v/>
      </c>
    </row>
    <row r="90" spans="2:48" ht="13.8" x14ac:dyDescent="0.25">
      <c r="B90" s="531" t="str">
        <f>'C-1 Site River Baseline'!AN88</f>
        <v/>
      </c>
      <c r="C90" s="520" t="str">
        <f>IF(B90="","",VLOOKUP($B90,'C-1 Site River Baseline'!$C$9:$R$257,2,FALSE))</f>
        <v/>
      </c>
      <c r="D90" s="520" t="str">
        <f>IF(C90="","",VLOOKUP($B90,'C-1 Site River Baseline'!$C$9:$R$257,3,FALSE))</f>
        <v/>
      </c>
      <c r="E90" s="520" t="str">
        <f>IF(D90="","",VLOOKUP($B90,'C-1 Site River Baseline'!$C$9:$R$257,4,FALSE))</f>
        <v/>
      </c>
      <c r="F90" s="520" t="str">
        <f>IF(E90="","",VLOOKUP($B90,'C-1 Site River Baseline'!$C$9:$R$257,5,FALSE))</f>
        <v/>
      </c>
      <c r="G90" s="520" t="str">
        <f>IF(F90="","",VLOOKUP($B90,'C-1 Site River Baseline'!$C$9:$R$257,6,FALSE))</f>
        <v/>
      </c>
      <c r="H90" s="520" t="str">
        <f>IF(G90="","",VLOOKUP($B90,'C-1 Site River Baseline'!$C$9:$R$257,7,FALSE))</f>
        <v/>
      </c>
      <c r="I90" s="520" t="str">
        <f>IF(H90="","",VLOOKUP($B90,'C-1 Site River Baseline'!$C$9:$R$257,8,FALSE))</f>
        <v/>
      </c>
      <c r="J90" s="520" t="str">
        <f>IF(I90="","",VLOOKUP($B90,'C-1 Site River Baseline'!$C$9:$R$257,9,FALSE))</f>
        <v/>
      </c>
      <c r="K90" s="520" t="str">
        <f>IF(J90="","",VLOOKUP($B90,'C-1 Site River Baseline'!$C$9:$R$257,10,FALSE))</f>
        <v/>
      </c>
      <c r="L90" s="520" t="str">
        <f>IF(B90="","",VLOOKUP($B90,'C-1 Site River Baseline'!$C$9:$R$257,15,FALSE))</f>
        <v/>
      </c>
      <c r="M90" s="524" t="str">
        <f>IF(L90="","",VLOOKUP($B90,'C-1 Site River Baseline'!$C$9:$R$257,16,FALSE))</f>
        <v/>
      </c>
      <c r="N90" s="418" t="str">
        <f t="shared" si="9"/>
        <v/>
      </c>
      <c r="O90" s="498" t="str">
        <f t="shared" si="10"/>
        <v/>
      </c>
      <c r="P90" s="499" t="str">
        <f>IF(C90="","",IF(AND(LEFT(C90,55)&lt;&gt;LEFT(N90,55),O90="High - High"),"Error - Not like for like ▲",IF(AND(F90=S90,H90&gt;U90),"Error - Can not reduce condition ▲",IF(AND(F90=S90,H90=U90,AJ90='C-1 Site River Baseline'!N88,'C-1 Site River Baseline'!P88=AL90),"Error - No enhancement ▲",IF(AND(C90&lt;&gt;N90,F90&lt;S90),"Lower Distinctiveness Habitat"&amp;" - "&amp;T90,G90&amp;" - "&amp;T90)))))</f>
        <v/>
      </c>
      <c r="Q90" s="567" t="str">
        <f>IF(N90="","",VLOOKUP(B90,'C-1 Site River Baseline'!$C$10:$AA$257,19,FALSE))</f>
        <v/>
      </c>
      <c r="R90" s="498" t="str">
        <f>IF(N90="","",VLOOKUP(N90,'G-7 Rivers Data'!$B$2:$G$8,2,FALSE))</f>
        <v/>
      </c>
      <c r="S90" s="499" t="str">
        <f>IFERROR(VLOOKUP(R90,'G-7 Rivers Data'!$C$4:$D$8,2,FALSE),"")</f>
        <v/>
      </c>
      <c r="T90" s="145"/>
      <c r="U90" s="499" t="str">
        <f>IFERROR(INDEX('G-7 Rivers Data'!$H$4:$L$8,MATCH(N90,'G-7 Rivers Data'!$B$4:$B$8,0),MATCH(T90,'G-7 Rivers Data'!$H$3:$L$3,0)),"")</f>
        <v/>
      </c>
      <c r="V90" s="154"/>
      <c r="W90" s="507" t="str">
        <f>IF(V90="","",IF(VLOOKUP(V90,'G-7 Rivers Data'!$AG$4:$AI$9,2,FALSE)=0,"Spatial Data Missing ⚠",VLOOKUP(V90,'G-7 Rivers Data'!$AG$4:$AI$9,2,FALSE)))</f>
        <v/>
      </c>
      <c r="X90" s="499" t="str">
        <f>IF(V90="","",IF(VLOOKUP(V90,'G-7 Rivers Data'!$AG$4:$AI$9,3,FALSE)=0,"Spatial Data Missing ⚠",VLOOKUP(V90,'G-7 Rivers Data'!$AG$4:$AI$9,3,FALSE)))</f>
        <v/>
      </c>
      <c r="Y90" s="498" t="str">
        <f>IFERROR(IF(OR(LEFT(P90,5)="Error ▲",LEFT(O90,5)="Error ▲"),"Check Data ⚠",IF(F90&lt;S90,'G-7 Rivers Data'!$R$3,INDEX('G-7 Rivers Data'!$U$5:$Y$9,MATCH(G90,'G-7 Rivers Data'!$T$5:$T$9,0),MATCH(T90,'G-7 Rivers Data'!$U$4:$Y$4,0)))),"")</f>
        <v/>
      </c>
      <c r="Z90" s="195"/>
      <c r="AA90" s="195"/>
      <c r="AB90" s="507" t="str">
        <f t="shared" si="11"/>
        <v/>
      </c>
      <c r="AC90" s="521" t="str">
        <f t="shared" si="12"/>
        <v/>
      </c>
      <c r="AD90" s="564" t="str">
        <f>IFERROR(IF(AC90="Check Data ⚠","Check Data ⚠",VLOOKUP(AC90,'G-4 Temporal multipliers'!$A$4:$C$37,3,FALSE)),"")</f>
        <v/>
      </c>
      <c r="AE90" s="498" t="str">
        <f>IF(N90="","",VLOOKUP(N90,'G-7 Rivers Data'!$B$4:$G$8,5,FALSE))</f>
        <v/>
      </c>
      <c r="AF90" s="507" t="str">
        <f t="shared" si="13"/>
        <v/>
      </c>
      <c r="AG90" s="540" t="str">
        <f t="shared" si="14"/>
        <v/>
      </c>
      <c r="AH90" s="499" t="str">
        <f t="shared" si="8"/>
        <v/>
      </c>
      <c r="AI90" s="145"/>
      <c r="AJ90" s="499" t="str">
        <f>IF(AI90="","",IF(VLOOKUP(AI90,'G-7 Rivers Data'!$AA$4:$AB$7,2,FALSE)=0,"Spatial Data Missing ⚠",VLOOKUP(AI90,'G-7 Rivers Data'!$AA$4:$AB$7,2,FALSE)))</f>
        <v/>
      </c>
      <c r="AK90" s="155"/>
      <c r="AL90" s="499" t="str">
        <f>IF(AK90="","",IF(VLOOKUP(AK90,'G-7 Rivers Data'!$AD$4:$AE$8,2,FALSE)=0,"Spatial Data Missing ⚠",VLOOKUP(AK90,'G-7 Rivers Data'!$AD$4:$AE$8,2,FALSE)))</f>
        <v/>
      </c>
      <c r="AM90" s="545" t="str">
        <f t="shared" si="15"/>
        <v/>
      </c>
      <c r="AN90" s="149"/>
      <c r="AO90" s="150"/>
      <c r="AV90" s="31" t="str">
        <f>IFERROR(INDEX('G-7 Rivers Data'!$AZ$3:$AZ$7,MATCH(N90,'G-7 Rivers Data'!$AY$3:$AY$7,0)),"")</f>
        <v/>
      </c>
    </row>
    <row r="91" spans="2:48" ht="13.8" x14ac:dyDescent="0.25">
      <c r="B91" s="531" t="str">
        <f>'C-1 Site River Baseline'!AN89</f>
        <v/>
      </c>
      <c r="C91" s="520" t="str">
        <f>IF(B91="","",VLOOKUP($B91,'C-1 Site River Baseline'!$C$9:$R$257,2,FALSE))</f>
        <v/>
      </c>
      <c r="D91" s="520" t="str">
        <f>IF(C91="","",VLOOKUP($B91,'C-1 Site River Baseline'!$C$9:$R$257,3,FALSE))</f>
        <v/>
      </c>
      <c r="E91" s="520" t="str">
        <f>IF(D91="","",VLOOKUP($B91,'C-1 Site River Baseline'!$C$9:$R$257,4,FALSE))</f>
        <v/>
      </c>
      <c r="F91" s="520" t="str">
        <f>IF(E91="","",VLOOKUP($B91,'C-1 Site River Baseline'!$C$9:$R$257,5,FALSE))</f>
        <v/>
      </c>
      <c r="G91" s="520" t="str">
        <f>IF(F91="","",VLOOKUP($B91,'C-1 Site River Baseline'!$C$9:$R$257,6,FALSE))</f>
        <v/>
      </c>
      <c r="H91" s="520" t="str">
        <f>IF(G91="","",VLOOKUP($B91,'C-1 Site River Baseline'!$C$9:$R$257,7,FALSE))</f>
        <v/>
      </c>
      <c r="I91" s="520" t="str">
        <f>IF(H91="","",VLOOKUP($B91,'C-1 Site River Baseline'!$C$9:$R$257,8,FALSE))</f>
        <v/>
      </c>
      <c r="J91" s="520" t="str">
        <f>IF(I91="","",VLOOKUP($B91,'C-1 Site River Baseline'!$C$9:$R$257,9,FALSE))</f>
        <v/>
      </c>
      <c r="K91" s="520" t="str">
        <f>IF(J91="","",VLOOKUP($B91,'C-1 Site River Baseline'!$C$9:$R$257,10,FALSE))</f>
        <v/>
      </c>
      <c r="L91" s="520" t="str">
        <f>IF(B91="","",VLOOKUP($B91,'C-1 Site River Baseline'!$C$9:$R$257,15,FALSE))</f>
        <v/>
      </c>
      <c r="M91" s="524" t="str">
        <f>IF(L91="","",VLOOKUP($B91,'C-1 Site River Baseline'!$C$9:$R$257,16,FALSE))</f>
        <v/>
      </c>
      <c r="N91" s="418" t="str">
        <f t="shared" si="9"/>
        <v/>
      </c>
      <c r="O91" s="498" t="str">
        <f t="shared" si="10"/>
        <v/>
      </c>
      <c r="P91" s="499" t="str">
        <f>IF(C91="","",IF(AND(LEFT(C91,55)&lt;&gt;LEFT(N91,55),O91="High - High"),"Error - Not like for like ▲",IF(AND(F91=S91,H91&gt;U91),"Error - Can not reduce condition ▲",IF(AND(F91=S91,H91=U91,AJ91='C-1 Site River Baseline'!N89,'C-1 Site River Baseline'!P89=AL91),"Error - No enhancement ▲",IF(AND(C91&lt;&gt;N91,F91&lt;S91),"Lower Distinctiveness Habitat"&amp;" - "&amp;T91,G91&amp;" - "&amp;T91)))))</f>
        <v/>
      </c>
      <c r="Q91" s="567" t="str">
        <f>IF(N91="","",VLOOKUP(B91,'C-1 Site River Baseline'!$C$10:$AA$257,19,FALSE))</f>
        <v/>
      </c>
      <c r="R91" s="498" t="str">
        <f>IF(N91="","",VLOOKUP(N91,'G-7 Rivers Data'!$B$2:$G$8,2,FALSE))</f>
        <v/>
      </c>
      <c r="S91" s="499" t="str">
        <f>IFERROR(VLOOKUP(R91,'G-7 Rivers Data'!$C$4:$D$8,2,FALSE),"")</f>
        <v/>
      </c>
      <c r="T91" s="145"/>
      <c r="U91" s="499" t="str">
        <f>IFERROR(INDEX('G-7 Rivers Data'!$H$4:$L$8,MATCH(N91,'G-7 Rivers Data'!$B$4:$B$8,0),MATCH(T91,'G-7 Rivers Data'!$H$3:$L$3,0)),"")</f>
        <v/>
      </c>
      <c r="V91" s="154"/>
      <c r="W91" s="507" t="str">
        <f>IF(V91="","",IF(VLOOKUP(V91,'G-7 Rivers Data'!$AG$4:$AI$9,2,FALSE)=0,"Spatial Data Missing ⚠",VLOOKUP(V91,'G-7 Rivers Data'!$AG$4:$AI$9,2,FALSE)))</f>
        <v/>
      </c>
      <c r="X91" s="499" t="str">
        <f>IF(V91="","",IF(VLOOKUP(V91,'G-7 Rivers Data'!$AG$4:$AI$9,3,FALSE)=0,"Spatial Data Missing ⚠",VLOOKUP(V91,'G-7 Rivers Data'!$AG$4:$AI$9,3,FALSE)))</f>
        <v/>
      </c>
      <c r="Y91" s="498" t="str">
        <f>IFERROR(IF(OR(LEFT(P91,5)="Error ▲",LEFT(O91,5)="Error ▲"),"Check Data ⚠",IF(F91&lt;S91,'G-7 Rivers Data'!$R$3,INDEX('G-7 Rivers Data'!$U$5:$Y$9,MATCH(G91,'G-7 Rivers Data'!$T$5:$T$9,0),MATCH(T91,'G-7 Rivers Data'!$U$4:$Y$4,0)))),"")</f>
        <v/>
      </c>
      <c r="Z91" s="195"/>
      <c r="AA91" s="195"/>
      <c r="AB91" s="507" t="str">
        <f t="shared" si="11"/>
        <v/>
      </c>
      <c r="AC91" s="521" t="str">
        <f t="shared" si="12"/>
        <v/>
      </c>
      <c r="AD91" s="564" t="str">
        <f>IFERROR(IF(AC91="Check Data ⚠","Check Data ⚠",VLOOKUP(AC91,'G-4 Temporal multipliers'!$A$4:$C$37,3,FALSE)),"")</f>
        <v/>
      </c>
      <c r="AE91" s="498" t="str">
        <f>IF(N91="","",VLOOKUP(N91,'G-7 Rivers Data'!$B$4:$G$8,5,FALSE))</f>
        <v/>
      </c>
      <c r="AF91" s="507" t="str">
        <f t="shared" si="13"/>
        <v/>
      </c>
      <c r="AG91" s="540" t="str">
        <f t="shared" si="14"/>
        <v/>
      </c>
      <c r="AH91" s="499" t="str">
        <f t="shared" si="8"/>
        <v/>
      </c>
      <c r="AI91" s="145"/>
      <c r="AJ91" s="499" t="str">
        <f>IF(AI91="","",IF(VLOOKUP(AI91,'G-7 Rivers Data'!$AA$4:$AB$7,2,FALSE)=0,"Spatial Data Missing ⚠",VLOOKUP(AI91,'G-7 Rivers Data'!$AA$4:$AB$7,2,FALSE)))</f>
        <v/>
      </c>
      <c r="AK91" s="155"/>
      <c r="AL91" s="499" t="str">
        <f>IF(AK91="","",IF(VLOOKUP(AK91,'G-7 Rivers Data'!$AD$4:$AE$8,2,FALSE)=0,"Spatial Data Missing ⚠",VLOOKUP(AK91,'G-7 Rivers Data'!$AD$4:$AE$8,2,FALSE)))</f>
        <v/>
      </c>
      <c r="AM91" s="545" t="str">
        <f t="shared" si="15"/>
        <v/>
      </c>
      <c r="AN91" s="149"/>
      <c r="AO91" s="150"/>
      <c r="AV91" s="31" t="str">
        <f>IFERROR(INDEX('G-7 Rivers Data'!$AZ$3:$AZ$7,MATCH(N91,'G-7 Rivers Data'!$AY$3:$AY$7,0)),"")</f>
        <v/>
      </c>
    </row>
    <row r="92" spans="2:48" ht="13.8" x14ac:dyDescent="0.25">
      <c r="B92" s="531" t="str">
        <f>'C-1 Site River Baseline'!AN90</f>
        <v/>
      </c>
      <c r="C92" s="520" t="str">
        <f>IF(B92="","",VLOOKUP($B92,'C-1 Site River Baseline'!$C$9:$R$257,2,FALSE))</f>
        <v/>
      </c>
      <c r="D92" s="520" t="str">
        <f>IF(C92="","",VLOOKUP($B92,'C-1 Site River Baseline'!$C$9:$R$257,3,FALSE))</f>
        <v/>
      </c>
      <c r="E92" s="520" t="str">
        <f>IF(D92="","",VLOOKUP($B92,'C-1 Site River Baseline'!$C$9:$R$257,4,FALSE))</f>
        <v/>
      </c>
      <c r="F92" s="520" t="str">
        <f>IF(E92="","",VLOOKUP($B92,'C-1 Site River Baseline'!$C$9:$R$257,5,FALSE))</f>
        <v/>
      </c>
      <c r="G92" s="520" t="str">
        <f>IF(F92="","",VLOOKUP($B92,'C-1 Site River Baseline'!$C$9:$R$257,6,FALSE))</f>
        <v/>
      </c>
      <c r="H92" s="520" t="str">
        <f>IF(G92="","",VLOOKUP($B92,'C-1 Site River Baseline'!$C$9:$R$257,7,FALSE))</f>
        <v/>
      </c>
      <c r="I92" s="520" t="str">
        <f>IF(H92="","",VLOOKUP($B92,'C-1 Site River Baseline'!$C$9:$R$257,8,FALSE))</f>
        <v/>
      </c>
      <c r="J92" s="520" t="str">
        <f>IF(I92="","",VLOOKUP($B92,'C-1 Site River Baseline'!$C$9:$R$257,9,FALSE))</f>
        <v/>
      </c>
      <c r="K92" s="520" t="str">
        <f>IF(J92="","",VLOOKUP($B92,'C-1 Site River Baseline'!$C$9:$R$257,10,FALSE))</f>
        <v/>
      </c>
      <c r="L92" s="520" t="str">
        <f>IF(B92="","",VLOOKUP($B92,'C-1 Site River Baseline'!$C$9:$R$257,15,FALSE))</f>
        <v/>
      </c>
      <c r="M92" s="524" t="str">
        <f>IF(L92="","",VLOOKUP($B92,'C-1 Site River Baseline'!$C$9:$R$257,16,FALSE))</f>
        <v/>
      </c>
      <c r="N92" s="418" t="str">
        <f t="shared" si="9"/>
        <v/>
      </c>
      <c r="O92" s="498" t="str">
        <f t="shared" si="10"/>
        <v/>
      </c>
      <c r="P92" s="499" t="str">
        <f>IF(C92="","",IF(AND(LEFT(C92,55)&lt;&gt;LEFT(N92,55),O92="High - High"),"Error - Not like for like ▲",IF(AND(F92=S92,H92&gt;U92),"Error - Can not reduce condition ▲",IF(AND(F92=S92,H92=U92,AJ92='C-1 Site River Baseline'!N90,'C-1 Site River Baseline'!P90=AL92),"Error - No enhancement ▲",IF(AND(C92&lt;&gt;N92,F92&lt;S92),"Lower Distinctiveness Habitat"&amp;" - "&amp;T92,G92&amp;" - "&amp;T92)))))</f>
        <v/>
      </c>
      <c r="Q92" s="567" t="str">
        <f>IF(N92="","",VLOOKUP(B92,'C-1 Site River Baseline'!$C$10:$AA$257,19,FALSE))</f>
        <v/>
      </c>
      <c r="R92" s="498" t="str">
        <f>IF(N92="","",VLOOKUP(N92,'G-7 Rivers Data'!$B$2:$G$8,2,FALSE))</f>
        <v/>
      </c>
      <c r="S92" s="499" t="str">
        <f>IFERROR(VLOOKUP(R92,'G-7 Rivers Data'!$C$4:$D$8,2,FALSE),"")</f>
        <v/>
      </c>
      <c r="T92" s="145"/>
      <c r="U92" s="499" t="str">
        <f>IFERROR(INDEX('G-7 Rivers Data'!$H$4:$L$8,MATCH(N92,'G-7 Rivers Data'!$B$4:$B$8,0),MATCH(T92,'G-7 Rivers Data'!$H$3:$L$3,0)),"")</f>
        <v/>
      </c>
      <c r="V92" s="154"/>
      <c r="W92" s="507" t="str">
        <f>IF(V92="","",IF(VLOOKUP(V92,'G-7 Rivers Data'!$AG$4:$AI$9,2,FALSE)=0,"Spatial Data Missing ⚠",VLOOKUP(V92,'G-7 Rivers Data'!$AG$4:$AI$9,2,FALSE)))</f>
        <v/>
      </c>
      <c r="X92" s="499" t="str">
        <f>IF(V92="","",IF(VLOOKUP(V92,'G-7 Rivers Data'!$AG$4:$AI$9,3,FALSE)=0,"Spatial Data Missing ⚠",VLOOKUP(V92,'G-7 Rivers Data'!$AG$4:$AI$9,3,FALSE)))</f>
        <v/>
      </c>
      <c r="Y92" s="498" t="str">
        <f>IFERROR(IF(OR(LEFT(P92,5)="Error ▲",LEFT(O92,5)="Error ▲"),"Check Data ⚠",IF(F92&lt;S92,'G-7 Rivers Data'!$R$3,INDEX('G-7 Rivers Data'!$U$5:$Y$9,MATCH(G92,'G-7 Rivers Data'!$T$5:$T$9,0),MATCH(T92,'G-7 Rivers Data'!$U$4:$Y$4,0)))),"")</f>
        <v/>
      </c>
      <c r="Z92" s="195"/>
      <c r="AA92" s="195"/>
      <c r="AB92" s="507" t="str">
        <f t="shared" si="11"/>
        <v/>
      </c>
      <c r="AC92" s="521" t="str">
        <f t="shared" si="12"/>
        <v/>
      </c>
      <c r="AD92" s="564" t="str">
        <f>IFERROR(IF(AC92="Check Data ⚠","Check Data ⚠",VLOOKUP(AC92,'G-4 Temporal multipliers'!$A$4:$C$37,3,FALSE)),"")</f>
        <v/>
      </c>
      <c r="AE92" s="498" t="str">
        <f>IF(N92="","",VLOOKUP(N92,'G-7 Rivers Data'!$B$4:$G$8,5,FALSE))</f>
        <v/>
      </c>
      <c r="AF92" s="507" t="str">
        <f t="shared" si="13"/>
        <v/>
      </c>
      <c r="AG92" s="540" t="str">
        <f t="shared" si="14"/>
        <v/>
      </c>
      <c r="AH92" s="499" t="str">
        <f t="shared" si="8"/>
        <v/>
      </c>
      <c r="AI92" s="145"/>
      <c r="AJ92" s="499" t="str">
        <f>IF(AI92="","",IF(VLOOKUP(AI92,'G-7 Rivers Data'!$AA$4:$AB$7,2,FALSE)=0,"Spatial Data Missing ⚠",VLOOKUP(AI92,'G-7 Rivers Data'!$AA$4:$AB$7,2,FALSE)))</f>
        <v/>
      </c>
      <c r="AK92" s="155"/>
      <c r="AL92" s="499" t="str">
        <f>IF(AK92="","",IF(VLOOKUP(AK92,'G-7 Rivers Data'!$AD$4:$AE$8,2,FALSE)=0,"Spatial Data Missing ⚠",VLOOKUP(AK92,'G-7 Rivers Data'!$AD$4:$AE$8,2,FALSE)))</f>
        <v/>
      </c>
      <c r="AM92" s="545" t="str">
        <f t="shared" si="15"/>
        <v/>
      </c>
      <c r="AN92" s="149"/>
      <c r="AO92" s="150"/>
      <c r="AV92" s="31" t="str">
        <f>IFERROR(INDEX('G-7 Rivers Data'!$AZ$3:$AZ$7,MATCH(N92,'G-7 Rivers Data'!$AY$3:$AY$7,0)),"")</f>
        <v/>
      </c>
    </row>
    <row r="93" spans="2:48" ht="13.8" x14ac:dyDescent="0.25">
      <c r="B93" s="531" t="str">
        <f>'C-1 Site River Baseline'!AN91</f>
        <v/>
      </c>
      <c r="C93" s="520" t="str">
        <f>IF(B93="","",VLOOKUP($B93,'C-1 Site River Baseline'!$C$9:$R$257,2,FALSE))</f>
        <v/>
      </c>
      <c r="D93" s="520" t="str">
        <f>IF(C93="","",VLOOKUP($B93,'C-1 Site River Baseline'!$C$9:$R$257,3,FALSE))</f>
        <v/>
      </c>
      <c r="E93" s="520" t="str">
        <f>IF(D93="","",VLOOKUP($B93,'C-1 Site River Baseline'!$C$9:$R$257,4,FALSE))</f>
        <v/>
      </c>
      <c r="F93" s="520" t="str">
        <f>IF(E93="","",VLOOKUP($B93,'C-1 Site River Baseline'!$C$9:$R$257,5,FALSE))</f>
        <v/>
      </c>
      <c r="G93" s="520" t="str">
        <f>IF(F93="","",VLOOKUP($B93,'C-1 Site River Baseline'!$C$9:$R$257,6,FALSE))</f>
        <v/>
      </c>
      <c r="H93" s="520" t="str">
        <f>IF(G93="","",VLOOKUP($B93,'C-1 Site River Baseline'!$C$9:$R$257,7,FALSE))</f>
        <v/>
      </c>
      <c r="I93" s="520" t="str">
        <f>IF(H93="","",VLOOKUP($B93,'C-1 Site River Baseline'!$C$9:$R$257,8,FALSE))</f>
        <v/>
      </c>
      <c r="J93" s="520" t="str">
        <f>IF(I93="","",VLOOKUP($B93,'C-1 Site River Baseline'!$C$9:$R$257,9,FALSE))</f>
        <v/>
      </c>
      <c r="K93" s="520" t="str">
        <f>IF(J93="","",VLOOKUP($B93,'C-1 Site River Baseline'!$C$9:$R$257,10,FALSE))</f>
        <v/>
      </c>
      <c r="L93" s="520" t="str">
        <f>IF(B93="","",VLOOKUP($B93,'C-1 Site River Baseline'!$C$9:$R$257,15,FALSE))</f>
        <v/>
      </c>
      <c r="M93" s="524" t="str">
        <f>IF(L93="","",VLOOKUP($B93,'C-1 Site River Baseline'!$C$9:$R$257,16,FALSE))</f>
        <v/>
      </c>
      <c r="N93" s="418" t="str">
        <f t="shared" si="9"/>
        <v/>
      </c>
      <c r="O93" s="498" t="str">
        <f t="shared" si="10"/>
        <v/>
      </c>
      <c r="P93" s="499" t="str">
        <f>IF(C93="","",IF(AND(LEFT(C93,55)&lt;&gt;LEFT(N93,55),O93="High - High"),"Error - Not like for like ▲",IF(AND(F93=S93,H93&gt;U93),"Error - Can not reduce condition ▲",IF(AND(F93=S93,H93=U93,AJ93='C-1 Site River Baseline'!N91,'C-1 Site River Baseline'!P91=AL93),"Error - No enhancement ▲",IF(AND(C93&lt;&gt;N93,F93&lt;S93),"Lower Distinctiveness Habitat"&amp;" - "&amp;T93,G93&amp;" - "&amp;T93)))))</f>
        <v/>
      </c>
      <c r="Q93" s="567" t="str">
        <f>IF(N93="","",VLOOKUP(B93,'C-1 Site River Baseline'!$C$10:$AA$257,19,FALSE))</f>
        <v/>
      </c>
      <c r="R93" s="498" t="str">
        <f>IF(N93="","",VLOOKUP(N93,'G-7 Rivers Data'!$B$2:$G$8,2,FALSE))</f>
        <v/>
      </c>
      <c r="S93" s="499" t="str">
        <f>IFERROR(VLOOKUP(R93,'G-7 Rivers Data'!$C$4:$D$8,2,FALSE),"")</f>
        <v/>
      </c>
      <c r="T93" s="145"/>
      <c r="U93" s="499" t="str">
        <f>IFERROR(INDEX('G-7 Rivers Data'!$H$4:$L$8,MATCH(N93,'G-7 Rivers Data'!$B$4:$B$8,0),MATCH(T93,'G-7 Rivers Data'!$H$3:$L$3,0)),"")</f>
        <v/>
      </c>
      <c r="V93" s="154"/>
      <c r="W93" s="507" t="str">
        <f>IF(V93="","",IF(VLOOKUP(V93,'G-7 Rivers Data'!$AG$4:$AI$9,2,FALSE)=0,"Spatial Data Missing ⚠",VLOOKUP(V93,'G-7 Rivers Data'!$AG$4:$AI$9,2,FALSE)))</f>
        <v/>
      </c>
      <c r="X93" s="499" t="str">
        <f>IF(V93="","",IF(VLOOKUP(V93,'G-7 Rivers Data'!$AG$4:$AI$9,3,FALSE)=0,"Spatial Data Missing ⚠",VLOOKUP(V93,'G-7 Rivers Data'!$AG$4:$AI$9,3,FALSE)))</f>
        <v/>
      </c>
      <c r="Y93" s="498" t="str">
        <f>IFERROR(IF(OR(LEFT(P93,5)="Error ▲",LEFT(O93,5)="Error ▲"),"Check Data ⚠",IF(F93&lt;S93,'G-7 Rivers Data'!$R$3,INDEX('G-7 Rivers Data'!$U$5:$Y$9,MATCH(G93,'G-7 Rivers Data'!$T$5:$T$9,0),MATCH(T93,'G-7 Rivers Data'!$U$4:$Y$4,0)))),"")</f>
        <v/>
      </c>
      <c r="Z93" s="195"/>
      <c r="AA93" s="195"/>
      <c r="AB93" s="507" t="str">
        <f t="shared" si="11"/>
        <v/>
      </c>
      <c r="AC93" s="521" t="str">
        <f t="shared" si="12"/>
        <v/>
      </c>
      <c r="AD93" s="564" t="str">
        <f>IFERROR(IF(AC93="Check Data ⚠","Check Data ⚠",VLOOKUP(AC93,'G-4 Temporal multipliers'!$A$4:$C$37,3,FALSE)),"")</f>
        <v/>
      </c>
      <c r="AE93" s="498" t="str">
        <f>IF(N93="","",VLOOKUP(N93,'G-7 Rivers Data'!$B$4:$G$8,5,FALSE))</f>
        <v/>
      </c>
      <c r="AF93" s="507" t="str">
        <f t="shared" si="13"/>
        <v/>
      </c>
      <c r="AG93" s="540" t="str">
        <f t="shared" si="14"/>
        <v/>
      </c>
      <c r="AH93" s="499" t="str">
        <f t="shared" si="8"/>
        <v/>
      </c>
      <c r="AI93" s="145"/>
      <c r="AJ93" s="499" t="str">
        <f>IF(AI93="","",IF(VLOOKUP(AI93,'G-7 Rivers Data'!$AA$4:$AB$7,2,FALSE)=0,"Spatial Data Missing ⚠",VLOOKUP(AI93,'G-7 Rivers Data'!$AA$4:$AB$7,2,FALSE)))</f>
        <v/>
      </c>
      <c r="AK93" s="155"/>
      <c r="AL93" s="499" t="str">
        <f>IF(AK93="","",IF(VLOOKUP(AK93,'G-7 Rivers Data'!$AD$4:$AE$8,2,FALSE)=0,"Spatial Data Missing ⚠",VLOOKUP(AK93,'G-7 Rivers Data'!$AD$4:$AE$8,2,FALSE)))</f>
        <v/>
      </c>
      <c r="AM93" s="545" t="str">
        <f t="shared" si="15"/>
        <v/>
      </c>
      <c r="AN93" s="149"/>
      <c r="AO93" s="150"/>
      <c r="AV93" s="31" t="str">
        <f>IFERROR(INDEX('G-7 Rivers Data'!$AZ$3:$AZ$7,MATCH(N93,'G-7 Rivers Data'!$AY$3:$AY$7,0)),"")</f>
        <v/>
      </c>
    </row>
    <row r="94" spans="2:48" ht="13.8" x14ac:dyDescent="0.25">
      <c r="B94" s="531" t="str">
        <f>'C-1 Site River Baseline'!AN92</f>
        <v/>
      </c>
      <c r="C94" s="520" t="str">
        <f>IF(B94="","",VLOOKUP($B94,'C-1 Site River Baseline'!$C$9:$R$257,2,FALSE))</f>
        <v/>
      </c>
      <c r="D94" s="520" t="str">
        <f>IF(C94="","",VLOOKUP($B94,'C-1 Site River Baseline'!$C$9:$R$257,3,FALSE))</f>
        <v/>
      </c>
      <c r="E94" s="520" t="str">
        <f>IF(D94="","",VLOOKUP($B94,'C-1 Site River Baseline'!$C$9:$R$257,4,FALSE))</f>
        <v/>
      </c>
      <c r="F94" s="520" t="str">
        <f>IF(E94="","",VLOOKUP($B94,'C-1 Site River Baseline'!$C$9:$R$257,5,FALSE))</f>
        <v/>
      </c>
      <c r="G94" s="520" t="str">
        <f>IF(F94="","",VLOOKUP($B94,'C-1 Site River Baseline'!$C$9:$R$257,6,FALSE))</f>
        <v/>
      </c>
      <c r="H94" s="520" t="str">
        <f>IF(G94="","",VLOOKUP($B94,'C-1 Site River Baseline'!$C$9:$R$257,7,FALSE))</f>
        <v/>
      </c>
      <c r="I94" s="520" t="str">
        <f>IF(H94="","",VLOOKUP($B94,'C-1 Site River Baseline'!$C$9:$R$257,8,FALSE))</f>
        <v/>
      </c>
      <c r="J94" s="520" t="str">
        <f>IF(I94="","",VLOOKUP($B94,'C-1 Site River Baseline'!$C$9:$R$257,9,FALSE))</f>
        <v/>
      </c>
      <c r="K94" s="520" t="str">
        <f>IF(J94="","",VLOOKUP($B94,'C-1 Site River Baseline'!$C$9:$R$257,10,FALSE))</f>
        <v/>
      </c>
      <c r="L94" s="520" t="str">
        <f>IF(B94="","",VLOOKUP($B94,'C-1 Site River Baseline'!$C$9:$R$257,15,FALSE))</f>
        <v/>
      </c>
      <c r="M94" s="524" t="str">
        <f>IF(L94="","",VLOOKUP($B94,'C-1 Site River Baseline'!$C$9:$R$257,16,FALSE))</f>
        <v/>
      </c>
      <c r="N94" s="418" t="str">
        <f t="shared" si="9"/>
        <v/>
      </c>
      <c r="O94" s="498" t="str">
        <f t="shared" si="10"/>
        <v/>
      </c>
      <c r="P94" s="499" t="str">
        <f>IF(C94="","",IF(AND(LEFT(C94,55)&lt;&gt;LEFT(N94,55),O94="High - High"),"Error - Not like for like ▲",IF(AND(F94=S94,H94&gt;U94),"Error - Can not reduce condition ▲",IF(AND(F94=S94,H94=U94,AJ94='C-1 Site River Baseline'!N92,'C-1 Site River Baseline'!P92=AL94),"Error - No enhancement ▲",IF(AND(C94&lt;&gt;N94,F94&lt;S94),"Lower Distinctiveness Habitat"&amp;" - "&amp;T94,G94&amp;" - "&amp;T94)))))</f>
        <v/>
      </c>
      <c r="Q94" s="567" t="str">
        <f>IF(N94="","",VLOOKUP(B94,'C-1 Site River Baseline'!$C$10:$AA$257,19,FALSE))</f>
        <v/>
      </c>
      <c r="R94" s="498" t="str">
        <f>IF(N94="","",VLOOKUP(N94,'G-7 Rivers Data'!$B$2:$G$8,2,FALSE))</f>
        <v/>
      </c>
      <c r="S94" s="499" t="str">
        <f>IFERROR(VLOOKUP(R94,'G-7 Rivers Data'!$C$4:$D$8,2,FALSE),"")</f>
        <v/>
      </c>
      <c r="T94" s="145"/>
      <c r="U94" s="499" t="str">
        <f>IFERROR(INDEX('G-7 Rivers Data'!$H$4:$L$8,MATCH(N94,'G-7 Rivers Data'!$B$4:$B$8,0),MATCH(T94,'G-7 Rivers Data'!$H$3:$L$3,0)),"")</f>
        <v/>
      </c>
      <c r="V94" s="154"/>
      <c r="W94" s="507" t="str">
        <f>IF(V94="","",IF(VLOOKUP(V94,'G-7 Rivers Data'!$AG$4:$AI$9,2,FALSE)=0,"Spatial Data Missing ⚠",VLOOKUP(V94,'G-7 Rivers Data'!$AG$4:$AI$9,2,FALSE)))</f>
        <v/>
      </c>
      <c r="X94" s="499" t="str">
        <f>IF(V94="","",IF(VLOOKUP(V94,'G-7 Rivers Data'!$AG$4:$AI$9,3,FALSE)=0,"Spatial Data Missing ⚠",VLOOKUP(V94,'G-7 Rivers Data'!$AG$4:$AI$9,3,FALSE)))</f>
        <v/>
      </c>
      <c r="Y94" s="498" t="str">
        <f>IFERROR(IF(OR(LEFT(P94,5)="Error ▲",LEFT(O94,5)="Error ▲"),"Check Data ⚠",IF(F94&lt;S94,'G-7 Rivers Data'!$R$3,INDEX('G-7 Rivers Data'!$U$5:$Y$9,MATCH(G94,'G-7 Rivers Data'!$T$5:$T$9,0),MATCH(T94,'G-7 Rivers Data'!$U$4:$Y$4,0)))),"")</f>
        <v/>
      </c>
      <c r="Z94" s="195"/>
      <c r="AA94" s="195"/>
      <c r="AB94" s="507" t="str">
        <f t="shared" si="11"/>
        <v/>
      </c>
      <c r="AC94" s="521" t="str">
        <f t="shared" si="12"/>
        <v/>
      </c>
      <c r="AD94" s="564" t="str">
        <f>IFERROR(IF(AC94="Check Data ⚠","Check Data ⚠",VLOOKUP(AC94,'G-4 Temporal multipliers'!$A$4:$C$37,3,FALSE)),"")</f>
        <v/>
      </c>
      <c r="AE94" s="498" t="str">
        <f>IF(N94="","",VLOOKUP(N94,'G-7 Rivers Data'!$B$4:$G$8,5,FALSE))</f>
        <v/>
      </c>
      <c r="AF94" s="507" t="str">
        <f t="shared" si="13"/>
        <v/>
      </c>
      <c r="AG94" s="540" t="str">
        <f t="shared" si="14"/>
        <v/>
      </c>
      <c r="AH94" s="499" t="str">
        <f t="shared" si="8"/>
        <v/>
      </c>
      <c r="AI94" s="145"/>
      <c r="AJ94" s="499" t="str">
        <f>IF(AI94="","",IF(VLOOKUP(AI94,'G-7 Rivers Data'!$AA$4:$AB$7,2,FALSE)=0,"Spatial Data Missing ⚠",VLOOKUP(AI94,'G-7 Rivers Data'!$AA$4:$AB$7,2,FALSE)))</f>
        <v/>
      </c>
      <c r="AK94" s="155"/>
      <c r="AL94" s="499" t="str">
        <f>IF(AK94="","",IF(VLOOKUP(AK94,'G-7 Rivers Data'!$AD$4:$AE$8,2,FALSE)=0,"Spatial Data Missing ⚠",VLOOKUP(AK94,'G-7 Rivers Data'!$AD$4:$AE$8,2,FALSE)))</f>
        <v/>
      </c>
      <c r="AM94" s="545" t="str">
        <f t="shared" si="15"/>
        <v/>
      </c>
      <c r="AN94" s="149"/>
      <c r="AO94" s="150"/>
      <c r="AV94" s="31" t="str">
        <f>IFERROR(INDEX('G-7 Rivers Data'!$AZ$3:$AZ$7,MATCH(N94,'G-7 Rivers Data'!$AY$3:$AY$7,0)),"")</f>
        <v/>
      </c>
    </row>
    <row r="95" spans="2:48" ht="13.8" x14ac:dyDescent="0.25">
      <c r="B95" s="531" t="str">
        <f>'C-1 Site River Baseline'!AN93</f>
        <v/>
      </c>
      <c r="C95" s="520" t="str">
        <f>IF(B95="","",VLOOKUP($B95,'C-1 Site River Baseline'!$C$9:$R$257,2,FALSE))</f>
        <v/>
      </c>
      <c r="D95" s="520" t="str">
        <f>IF(C95="","",VLOOKUP($B95,'C-1 Site River Baseline'!$C$9:$R$257,3,FALSE))</f>
        <v/>
      </c>
      <c r="E95" s="520" t="str">
        <f>IF(D95="","",VLOOKUP($B95,'C-1 Site River Baseline'!$C$9:$R$257,4,FALSE))</f>
        <v/>
      </c>
      <c r="F95" s="520" t="str">
        <f>IF(E95="","",VLOOKUP($B95,'C-1 Site River Baseline'!$C$9:$R$257,5,FALSE))</f>
        <v/>
      </c>
      <c r="G95" s="520" t="str">
        <f>IF(F95="","",VLOOKUP($B95,'C-1 Site River Baseline'!$C$9:$R$257,6,FALSE))</f>
        <v/>
      </c>
      <c r="H95" s="520" t="str">
        <f>IF(G95="","",VLOOKUP($B95,'C-1 Site River Baseline'!$C$9:$R$257,7,FALSE))</f>
        <v/>
      </c>
      <c r="I95" s="520" t="str">
        <f>IF(H95="","",VLOOKUP($B95,'C-1 Site River Baseline'!$C$9:$R$257,8,FALSE))</f>
        <v/>
      </c>
      <c r="J95" s="520" t="str">
        <f>IF(I95="","",VLOOKUP($B95,'C-1 Site River Baseline'!$C$9:$R$257,9,FALSE))</f>
        <v/>
      </c>
      <c r="K95" s="520" t="str">
        <f>IF(J95="","",VLOOKUP($B95,'C-1 Site River Baseline'!$C$9:$R$257,10,FALSE))</f>
        <v/>
      </c>
      <c r="L95" s="520" t="str">
        <f>IF(B95="","",VLOOKUP($B95,'C-1 Site River Baseline'!$C$9:$R$257,15,FALSE))</f>
        <v/>
      </c>
      <c r="M95" s="524" t="str">
        <f>IF(L95="","",VLOOKUP($B95,'C-1 Site River Baseline'!$C$9:$R$257,16,FALSE))</f>
        <v/>
      </c>
      <c r="N95" s="418" t="str">
        <f t="shared" si="9"/>
        <v/>
      </c>
      <c r="O95" s="498" t="str">
        <f t="shared" si="10"/>
        <v/>
      </c>
      <c r="P95" s="499" t="str">
        <f>IF(C95="","",IF(AND(LEFT(C95,55)&lt;&gt;LEFT(N95,55),O95="High - High"),"Error - Not like for like ▲",IF(AND(F95=S95,H95&gt;U95),"Error - Can not reduce condition ▲",IF(AND(F95=S95,H95=U95,AJ95='C-1 Site River Baseline'!N93,'C-1 Site River Baseline'!P93=AL95),"Error - No enhancement ▲",IF(AND(C95&lt;&gt;N95,F95&lt;S95),"Lower Distinctiveness Habitat"&amp;" - "&amp;T95,G95&amp;" - "&amp;T95)))))</f>
        <v/>
      </c>
      <c r="Q95" s="567" t="str">
        <f>IF(N95="","",VLOOKUP(B95,'C-1 Site River Baseline'!$C$10:$AA$257,19,FALSE))</f>
        <v/>
      </c>
      <c r="R95" s="498" t="str">
        <f>IF(N95="","",VLOOKUP(N95,'G-7 Rivers Data'!$B$2:$G$8,2,FALSE))</f>
        <v/>
      </c>
      <c r="S95" s="499" t="str">
        <f>IFERROR(VLOOKUP(R95,'G-7 Rivers Data'!$C$4:$D$8,2,FALSE),"")</f>
        <v/>
      </c>
      <c r="T95" s="145"/>
      <c r="U95" s="499" t="str">
        <f>IFERROR(INDEX('G-7 Rivers Data'!$H$4:$L$8,MATCH(N95,'G-7 Rivers Data'!$B$4:$B$8,0),MATCH(T95,'G-7 Rivers Data'!$H$3:$L$3,0)),"")</f>
        <v/>
      </c>
      <c r="V95" s="154"/>
      <c r="W95" s="507" t="str">
        <f>IF(V95="","",IF(VLOOKUP(V95,'G-7 Rivers Data'!$AG$4:$AI$9,2,FALSE)=0,"Spatial Data Missing ⚠",VLOOKUP(V95,'G-7 Rivers Data'!$AG$4:$AI$9,2,FALSE)))</f>
        <v/>
      </c>
      <c r="X95" s="499" t="str">
        <f>IF(V95="","",IF(VLOOKUP(V95,'G-7 Rivers Data'!$AG$4:$AI$9,3,FALSE)=0,"Spatial Data Missing ⚠",VLOOKUP(V95,'G-7 Rivers Data'!$AG$4:$AI$9,3,FALSE)))</f>
        <v/>
      </c>
      <c r="Y95" s="498" t="str">
        <f>IFERROR(IF(OR(LEFT(P95,5)="Error ▲",LEFT(O95,5)="Error ▲"),"Check Data ⚠",IF(F95&lt;S95,'G-7 Rivers Data'!$R$3,INDEX('G-7 Rivers Data'!$U$5:$Y$9,MATCH(G95,'G-7 Rivers Data'!$T$5:$T$9,0),MATCH(T95,'G-7 Rivers Data'!$U$4:$Y$4,0)))),"")</f>
        <v/>
      </c>
      <c r="Z95" s="195"/>
      <c r="AA95" s="195"/>
      <c r="AB95" s="507" t="str">
        <f t="shared" si="11"/>
        <v/>
      </c>
      <c r="AC95" s="521" t="str">
        <f t="shared" si="12"/>
        <v/>
      </c>
      <c r="AD95" s="564" t="str">
        <f>IFERROR(IF(AC95="Check Data ⚠","Check Data ⚠",VLOOKUP(AC95,'G-4 Temporal multipliers'!$A$4:$C$37,3,FALSE)),"")</f>
        <v/>
      </c>
      <c r="AE95" s="498" t="str">
        <f>IF(N95="","",VLOOKUP(N95,'G-7 Rivers Data'!$B$4:$G$8,5,FALSE))</f>
        <v/>
      </c>
      <c r="AF95" s="507" t="str">
        <f t="shared" si="13"/>
        <v/>
      </c>
      <c r="AG95" s="540" t="str">
        <f t="shared" si="14"/>
        <v/>
      </c>
      <c r="AH95" s="499" t="str">
        <f t="shared" si="8"/>
        <v/>
      </c>
      <c r="AI95" s="145"/>
      <c r="AJ95" s="499" t="str">
        <f>IF(AI95="","",IF(VLOOKUP(AI95,'G-7 Rivers Data'!$AA$4:$AB$7,2,FALSE)=0,"Spatial Data Missing ⚠",VLOOKUP(AI95,'G-7 Rivers Data'!$AA$4:$AB$7,2,FALSE)))</f>
        <v/>
      </c>
      <c r="AK95" s="155"/>
      <c r="AL95" s="499" t="str">
        <f>IF(AK95="","",IF(VLOOKUP(AK95,'G-7 Rivers Data'!$AD$4:$AE$8,2,FALSE)=0,"Spatial Data Missing ⚠",VLOOKUP(AK95,'G-7 Rivers Data'!$AD$4:$AE$8,2,FALSE)))</f>
        <v/>
      </c>
      <c r="AM95" s="545" t="str">
        <f t="shared" si="15"/>
        <v/>
      </c>
      <c r="AN95" s="149"/>
      <c r="AO95" s="150"/>
      <c r="AV95" s="31" t="str">
        <f>IFERROR(INDEX('G-7 Rivers Data'!$AZ$3:$AZ$7,MATCH(N95,'G-7 Rivers Data'!$AY$3:$AY$7,0)),"")</f>
        <v/>
      </c>
    </row>
    <row r="96" spans="2:48" ht="13.8" x14ac:dyDescent="0.25">
      <c r="B96" s="531" t="str">
        <f>'C-1 Site River Baseline'!AN94</f>
        <v/>
      </c>
      <c r="C96" s="520" t="str">
        <f>IF(B96="","",VLOOKUP($B96,'C-1 Site River Baseline'!$C$9:$R$257,2,FALSE))</f>
        <v/>
      </c>
      <c r="D96" s="520" t="str">
        <f>IF(C96="","",VLOOKUP($B96,'C-1 Site River Baseline'!$C$9:$R$257,3,FALSE))</f>
        <v/>
      </c>
      <c r="E96" s="520" t="str">
        <f>IF(D96="","",VLOOKUP($B96,'C-1 Site River Baseline'!$C$9:$R$257,4,FALSE))</f>
        <v/>
      </c>
      <c r="F96" s="520" t="str">
        <f>IF(E96="","",VLOOKUP($B96,'C-1 Site River Baseline'!$C$9:$R$257,5,FALSE))</f>
        <v/>
      </c>
      <c r="G96" s="520" t="str">
        <f>IF(F96="","",VLOOKUP($B96,'C-1 Site River Baseline'!$C$9:$R$257,6,FALSE))</f>
        <v/>
      </c>
      <c r="H96" s="520" t="str">
        <f>IF(G96="","",VLOOKUP($B96,'C-1 Site River Baseline'!$C$9:$R$257,7,FALSE))</f>
        <v/>
      </c>
      <c r="I96" s="520" t="str">
        <f>IF(H96="","",VLOOKUP($B96,'C-1 Site River Baseline'!$C$9:$R$257,8,FALSE))</f>
        <v/>
      </c>
      <c r="J96" s="520" t="str">
        <f>IF(I96="","",VLOOKUP($B96,'C-1 Site River Baseline'!$C$9:$R$257,9,FALSE))</f>
        <v/>
      </c>
      <c r="K96" s="520" t="str">
        <f>IF(J96="","",VLOOKUP($B96,'C-1 Site River Baseline'!$C$9:$R$257,10,FALSE))</f>
        <v/>
      </c>
      <c r="L96" s="520" t="str">
        <f>IF(B96="","",VLOOKUP($B96,'C-1 Site River Baseline'!$C$9:$R$257,15,FALSE))</f>
        <v/>
      </c>
      <c r="M96" s="524" t="str">
        <f>IF(L96="","",VLOOKUP($B96,'C-1 Site River Baseline'!$C$9:$R$257,16,FALSE))</f>
        <v/>
      </c>
      <c r="N96" s="418" t="str">
        <f t="shared" si="9"/>
        <v/>
      </c>
      <c r="O96" s="498" t="str">
        <f t="shared" si="10"/>
        <v/>
      </c>
      <c r="P96" s="499" t="str">
        <f>IF(C96="","",IF(AND(LEFT(C96,55)&lt;&gt;LEFT(N96,55),O96="High - High"),"Error - Not like for like ▲",IF(AND(F96=S96,H96&gt;U96),"Error - Can not reduce condition ▲",IF(AND(F96=S96,H96=U96,AJ96='C-1 Site River Baseline'!N94,'C-1 Site River Baseline'!P94=AL96),"Error - No enhancement ▲",IF(AND(C96&lt;&gt;N96,F96&lt;S96),"Lower Distinctiveness Habitat"&amp;" - "&amp;T96,G96&amp;" - "&amp;T96)))))</f>
        <v/>
      </c>
      <c r="Q96" s="567" t="str">
        <f>IF(N96="","",VLOOKUP(B96,'C-1 Site River Baseline'!$C$10:$AA$257,19,FALSE))</f>
        <v/>
      </c>
      <c r="R96" s="498" t="str">
        <f>IF(N96="","",VLOOKUP(N96,'G-7 Rivers Data'!$B$2:$G$8,2,FALSE))</f>
        <v/>
      </c>
      <c r="S96" s="499" t="str">
        <f>IFERROR(VLOOKUP(R96,'G-7 Rivers Data'!$C$4:$D$8,2,FALSE),"")</f>
        <v/>
      </c>
      <c r="T96" s="145"/>
      <c r="U96" s="499" t="str">
        <f>IFERROR(INDEX('G-7 Rivers Data'!$H$4:$L$8,MATCH(N96,'G-7 Rivers Data'!$B$4:$B$8,0),MATCH(T96,'G-7 Rivers Data'!$H$3:$L$3,0)),"")</f>
        <v/>
      </c>
      <c r="V96" s="154"/>
      <c r="W96" s="507" t="str">
        <f>IF(V96="","",IF(VLOOKUP(V96,'G-7 Rivers Data'!$AG$4:$AI$9,2,FALSE)=0,"Spatial Data Missing ⚠",VLOOKUP(V96,'G-7 Rivers Data'!$AG$4:$AI$9,2,FALSE)))</f>
        <v/>
      </c>
      <c r="X96" s="499" t="str">
        <f>IF(V96="","",IF(VLOOKUP(V96,'G-7 Rivers Data'!$AG$4:$AI$9,3,FALSE)=0,"Spatial Data Missing ⚠",VLOOKUP(V96,'G-7 Rivers Data'!$AG$4:$AI$9,3,FALSE)))</f>
        <v/>
      </c>
      <c r="Y96" s="498" t="str">
        <f>IFERROR(IF(OR(LEFT(P96,5)="Error ▲",LEFT(O96,5)="Error ▲"),"Check Data ⚠",IF(F96&lt;S96,'G-7 Rivers Data'!$R$3,INDEX('G-7 Rivers Data'!$U$5:$Y$9,MATCH(G96,'G-7 Rivers Data'!$T$5:$T$9,0),MATCH(T96,'G-7 Rivers Data'!$U$4:$Y$4,0)))),"")</f>
        <v/>
      </c>
      <c r="Z96" s="195"/>
      <c r="AA96" s="195"/>
      <c r="AB96" s="507" t="str">
        <f t="shared" si="11"/>
        <v/>
      </c>
      <c r="AC96" s="521" t="str">
        <f t="shared" si="12"/>
        <v/>
      </c>
      <c r="AD96" s="564" t="str">
        <f>IFERROR(IF(AC96="Check Data ⚠","Check Data ⚠",VLOOKUP(AC96,'G-4 Temporal multipliers'!$A$4:$C$37,3,FALSE)),"")</f>
        <v/>
      </c>
      <c r="AE96" s="498" t="str">
        <f>IF(N96="","",VLOOKUP(N96,'G-7 Rivers Data'!$B$4:$G$8,5,FALSE))</f>
        <v/>
      </c>
      <c r="AF96" s="507" t="str">
        <f t="shared" si="13"/>
        <v/>
      </c>
      <c r="AG96" s="540" t="str">
        <f t="shared" si="14"/>
        <v/>
      </c>
      <c r="AH96" s="499" t="str">
        <f t="shared" si="8"/>
        <v/>
      </c>
      <c r="AI96" s="145"/>
      <c r="AJ96" s="499" t="str">
        <f>IF(AI96="","",IF(VLOOKUP(AI96,'G-7 Rivers Data'!$AA$4:$AB$7,2,FALSE)=0,"Spatial Data Missing ⚠",VLOOKUP(AI96,'G-7 Rivers Data'!$AA$4:$AB$7,2,FALSE)))</f>
        <v/>
      </c>
      <c r="AK96" s="155"/>
      <c r="AL96" s="499" t="str">
        <f>IF(AK96="","",IF(VLOOKUP(AK96,'G-7 Rivers Data'!$AD$4:$AE$8,2,FALSE)=0,"Spatial Data Missing ⚠",VLOOKUP(AK96,'G-7 Rivers Data'!$AD$4:$AE$8,2,FALSE)))</f>
        <v/>
      </c>
      <c r="AM96" s="545" t="str">
        <f t="shared" si="15"/>
        <v/>
      </c>
      <c r="AN96" s="149"/>
      <c r="AO96" s="150"/>
      <c r="AV96" s="31" t="str">
        <f>IFERROR(INDEX('G-7 Rivers Data'!$AZ$3:$AZ$7,MATCH(N96,'G-7 Rivers Data'!$AY$3:$AY$7,0)),"")</f>
        <v/>
      </c>
    </row>
    <row r="97" spans="2:48" ht="13.8" x14ac:dyDescent="0.25">
      <c r="B97" s="531" t="str">
        <f>'C-1 Site River Baseline'!AN95</f>
        <v/>
      </c>
      <c r="C97" s="520" t="str">
        <f>IF(B97="","",VLOOKUP($B97,'C-1 Site River Baseline'!$C$9:$R$257,2,FALSE))</f>
        <v/>
      </c>
      <c r="D97" s="520" t="str">
        <f>IF(C97="","",VLOOKUP($B97,'C-1 Site River Baseline'!$C$9:$R$257,3,FALSE))</f>
        <v/>
      </c>
      <c r="E97" s="520" t="str">
        <f>IF(D97="","",VLOOKUP($B97,'C-1 Site River Baseline'!$C$9:$R$257,4,FALSE))</f>
        <v/>
      </c>
      <c r="F97" s="520" t="str">
        <f>IF(E97="","",VLOOKUP($B97,'C-1 Site River Baseline'!$C$9:$R$257,5,FALSE))</f>
        <v/>
      </c>
      <c r="G97" s="520" t="str">
        <f>IF(F97="","",VLOOKUP($B97,'C-1 Site River Baseline'!$C$9:$R$257,6,FALSE))</f>
        <v/>
      </c>
      <c r="H97" s="520" t="str">
        <f>IF(G97="","",VLOOKUP($B97,'C-1 Site River Baseline'!$C$9:$R$257,7,FALSE))</f>
        <v/>
      </c>
      <c r="I97" s="520" t="str">
        <f>IF(H97="","",VLOOKUP($B97,'C-1 Site River Baseline'!$C$9:$R$257,8,FALSE))</f>
        <v/>
      </c>
      <c r="J97" s="520" t="str">
        <f>IF(I97="","",VLOOKUP($B97,'C-1 Site River Baseline'!$C$9:$R$257,9,FALSE))</f>
        <v/>
      </c>
      <c r="K97" s="520" t="str">
        <f>IF(J97="","",VLOOKUP($B97,'C-1 Site River Baseline'!$C$9:$R$257,10,FALSE))</f>
        <v/>
      </c>
      <c r="L97" s="520" t="str">
        <f>IF(B97="","",VLOOKUP($B97,'C-1 Site River Baseline'!$C$9:$R$257,15,FALSE))</f>
        <v/>
      </c>
      <c r="M97" s="524" t="str">
        <f>IF(L97="","",VLOOKUP($B97,'C-1 Site River Baseline'!$C$9:$R$257,16,FALSE))</f>
        <v/>
      </c>
      <c r="N97" s="418" t="str">
        <f t="shared" si="9"/>
        <v/>
      </c>
      <c r="O97" s="498" t="str">
        <f t="shared" si="10"/>
        <v/>
      </c>
      <c r="P97" s="499" t="str">
        <f>IF(C97="","",IF(AND(LEFT(C97,55)&lt;&gt;LEFT(N97,55),O97="High - High"),"Error - Not like for like ▲",IF(AND(F97=S97,H97&gt;U97),"Error - Can not reduce condition ▲",IF(AND(F97=S97,H97=U97,AJ97='C-1 Site River Baseline'!N95,'C-1 Site River Baseline'!P95=AL97),"Error - No enhancement ▲",IF(AND(C97&lt;&gt;N97,F97&lt;S97),"Lower Distinctiveness Habitat"&amp;" - "&amp;T97,G97&amp;" - "&amp;T97)))))</f>
        <v/>
      </c>
      <c r="Q97" s="567" t="str">
        <f>IF(N97="","",VLOOKUP(B97,'C-1 Site River Baseline'!$C$10:$AA$257,19,FALSE))</f>
        <v/>
      </c>
      <c r="R97" s="498" t="str">
        <f>IF(N97="","",VLOOKUP(N97,'G-7 Rivers Data'!$B$2:$G$8,2,FALSE))</f>
        <v/>
      </c>
      <c r="S97" s="499" t="str">
        <f>IFERROR(VLOOKUP(R97,'G-7 Rivers Data'!$C$4:$D$8,2,FALSE),"")</f>
        <v/>
      </c>
      <c r="T97" s="145"/>
      <c r="U97" s="499" t="str">
        <f>IFERROR(INDEX('G-7 Rivers Data'!$H$4:$L$8,MATCH(N97,'G-7 Rivers Data'!$B$4:$B$8,0),MATCH(T97,'G-7 Rivers Data'!$H$3:$L$3,0)),"")</f>
        <v/>
      </c>
      <c r="V97" s="154"/>
      <c r="W97" s="507" t="str">
        <f>IF(V97="","",IF(VLOOKUP(V97,'G-7 Rivers Data'!$AG$4:$AI$9,2,FALSE)=0,"Spatial Data Missing ⚠",VLOOKUP(V97,'G-7 Rivers Data'!$AG$4:$AI$9,2,FALSE)))</f>
        <v/>
      </c>
      <c r="X97" s="499" t="str">
        <f>IF(V97="","",IF(VLOOKUP(V97,'G-7 Rivers Data'!$AG$4:$AI$9,3,FALSE)=0,"Spatial Data Missing ⚠",VLOOKUP(V97,'G-7 Rivers Data'!$AG$4:$AI$9,3,FALSE)))</f>
        <v/>
      </c>
      <c r="Y97" s="498" t="str">
        <f>IFERROR(IF(OR(LEFT(P97,5)="Error ▲",LEFT(O97,5)="Error ▲"),"Check Data ⚠",IF(F97&lt;S97,'G-7 Rivers Data'!$R$3,INDEX('G-7 Rivers Data'!$U$5:$Y$9,MATCH(G97,'G-7 Rivers Data'!$T$5:$T$9,0),MATCH(T97,'G-7 Rivers Data'!$U$4:$Y$4,0)))),"")</f>
        <v/>
      </c>
      <c r="Z97" s="195"/>
      <c r="AA97" s="195"/>
      <c r="AB97" s="507" t="str">
        <f t="shared" si="11"/>
        <v/>
      </c>
      <c r="AC97" s="521" t="str">
        <f t="shared" si="12"/>
        <v/>
      </c>
      <c r="AD97" s="564" t="str">
        <f>IFERROR(IF(AC97="Check Data ⚠","Check Data ⚠",VLOOKUP(AC97,'G-4 Temporal multipliers'!$A$4:$C$37,3,FALSE)),"")</f>
        <v/>
      </c>
      <c r="AE97" s="498" t="str">
        <f>IF(N97="","",VLOOKUP(N97,'G-7 Rivers Data'!$B$4:$G$8,5,FALSE))</f>
        <v/>
      </c>
      <c r="AF97" s="507" t="str">
        <f t="shared" si="13"/>
        <v/>
      </c>
      <c r="AG97" s="540" t="str">
        <f t="shared" si="14"/>
        <v/>
      </c>
      <c r="AH97" s="499" t="str">
        <f t="shared" si="8"/>
        <v/>
      </c>
      <c r="AI97" s="145"/>
      <c r="AJ97" s="499" t="str">
        <f>IF(AI97="","",IF(VLOOKUP(AI97,'G-7 Rivers Data'!$AA$4:$AB$7,2,FALSE)=0,"Spatial Data Missing ⚠",VLOOKUP(AI97,'G-7 Rivers Data'!$AA$4:$AB$7,2,FALSE)))</f>
        <v/>
      </c>
      <c r="AK97" s="155"/>
      <c r="AL97" s="499" t="str">
        <f>IF(AK97="","",IF(VLOOKUP(AK97,'G-7 Rivers Data'!$AD$4:$AE$8,2,FALSE)=0,"Spatial Data Missing ⚠",VLOOKUP(AK97,'G-7 Rivers Data'!$AD$4:$AE$8,2,FALSE)))</f>
        <v/>
      </c>
      <c r="AM97" s="545" t="str">
        <f t="shared" si="15"/>
        <v/>
      </c>
      <c r="AN97" s="149"/>
      <c r="AO97" s="150"/>
      <c r="AV97" s="31" t="str">
        <f>IFERROR(INDEX('G-7 Rivers Data'!$AZ$3:$AZ$7,MATCH(N97,'G-7 Rivers Data'!$AY$3:$AY$7,0)),"")</f>
        <v/>
      </c>
    </row>
    <row r="98" spans="2:48" ht="13.8" x14ac:dyDescent="0.25">
      <c r="B98" s="531" t="str">
        <f>'C-1 Site River Baseline'!AN96</f>
        <v/>
      </c>
      <c r="C98" s="520" t="str">
        <f>IF(B98="","",VLOOKUP($B98,'C-1 Site River Baseline'!$C$9:$R$257,2,FALSE))</f>
        <v/>
      </c>
      <c r="D98" s="520" t="str">
        <f>IF(C98="","",VLOOKUP($B98,'C-1 Site River Baseline'!$C$9:$R$257,3,FALSE))</f>
        <v/>
      </c>
      <c r="E98" s="520" t="str">
        <f>IF(D98="","",VLOOKUP($B98,'C-1 Site River Baseline'!$C$9:$R$257,4,FALSE))</f>
        <v/>
      </c>
      <c r="F98" s="520" t="str">
        <f>IF(E98="","",VLOOKUP($B98,'C-1 Site River Baseline'!$C$9:$R$257,5,FALSE))</f>
        <v/>
      </c>
      <c r="G98" s="520" t="str">
        <f>IF(F98="","",VLOOKUP($B98,'C-1 Site River Baseline'!$C$9:$R$257,6,FALSE))</f>
        <v/>
      </c>
      <c r="H98" s="520" t="str">
        <f>IF(G98="","",VLOOKUP($B98,'C-1 Site River Baseline'!$C$9:$R$257,7,FALSE))</f>
        <v/>
      </c>
      <c r="I98" s="520" t="str">
        <f>IF(H98="","",VLOOKUP($B98,'C-1 Site River Baseline'!$C$9:$R$257,8,FALSE))</f>
        <v/>
      </c>
      <c r="J98" s="520" t="str">
        <f>IF(I98="","",VLOOKUP($B98,'C-1 Site River Baseline'!$C$9:$R$257,9,FALSE))</f>
        <v/>
      </c>
      <c r="K98" s="520" t="str">
        <f>IF(J98="","",VLOOKUP($B98,'C-1 Site River Baseline'!$C$9:$R$257,10,FALSE))</f>
        <v/>
      </c>
      <c r="L98" s="520" t="str">
        <f>IF(B98="","",VLOOKUP($B98,'C-1 Site River Baseline'!$C$9:$R$257,15,FALSE))</f>
        <v/>
      </c>
      <c r="M98" s="524" t="str">
        <f>IF(L98="","",VLOOKUP($B98,'C-1 Site River Baseline'!$C$9:$R$257,16,FALSE))</f>
        <v/>
      </c>
      <c r="N98" s="418" t="str">
        <f t="shared" si="9"/>
        <v/>
      </c>
      <c r="O98" s="498" t="str">
        <f t="shared" si="10"/>
        <v/>
      </c>
      <c r="P98" s="499" t="str">
        <f>IF(C98="","",IF(AND(LEFT(C98,55)&lt;&gt;LEFT(N98,55),O98="High - High"),"Error - Not like for like ▲",IF(AND(F98=S98,H98&gt;U98),"Error - Can not reduce condition ▲",IF(AND(F98=S98,H98=U98,AJ98='C-1 Site River Baseline'!N96,'C-1 Site River Baseline'!P96=AL98),"Error - No enhancement ▲",IF(AND(C98&lt;&gt;N98,F98&lt;S98),"Lower Distinctiveness Habitat"&amp;" - "&amp;T98,G98&amp;" - "&amp;T98)))))</f>
        <v/>
      </c>
      <c r="Q98" s="567" t="str">
        <f>IF(N98="","",VLOOKUP(B98,'C-1 Site River Baseline'!$C$10:$AA$257,19,FALSE))</f>
        <v/>
      </c>
      <c r="R98" s="498" t="str">
        <f>IF(N98="","",VLOOKUP(N98,'G-7 Rivers Data'!$B$2:$G$8,2,FALSE))</f>
        <v/>
      </c>
      <c r="S98" s="499" t="str">
        <f>IFERROR(VLOOKUP(R98,'G-7 Rivers Data'!$C$4:$D$8,2,FALSE),"")</f>
        <v/>
      </c>
      <c r="T98" s="145"/>
      <c r="U98" s="499" t="str">
        <f>IFERROR(INDEX('G-7 Rivers Data'!$H$4:$L$8,MATCH(N98,'G-7 Rivers Data'!$B$4:$B$8,0),MATCH(T98,'G-7 Rivers Data'!$H$3:$L$3,0)),"")</f>
        <v/>
      </c>
      <c r="V98" s="154"/>
      <c r="W98" s="507" t="str">
        <f>IF(V98="","",IF(VLOOKUP(V98,'G-7 Rivers Data'!$AG$4:$AI$9,2,FALSE)=0,"Spatial Data Missing ⚠",VLOOKUP(V98,'G-7 Rivers Data'!$AG$4:$AI$9,2,FALSE)))</f>
        <v/>
      </c>
      <c r="X98" s="499" t="str">
        <f>IF(V98="","",IF(VLOOKUP(V98,'G-7 Rivers Data'!$AG$4:$AI$9,3,FALSE)=0,"Spatial Data Missing ⚠",VLOOKUP(V98,'G-7 Rivers Data'!$AG$4:$AI$9,3,FALSE)))</f>
        <v/>
      </c>
      <c r="Y98" s="498" t="str">
        <f>IFERROR(IF(OR(LEFT(P98,5)="Error ▲",LEFT(O98,5)="Error ▲"),"Check Data ⚠",IF(F98&lt;S98,'G-7 Rivers Data'!$R$3,INDEX('G-7 Rivers Data'!$U$5:$Y$9,MATCH(G98,'G-7 Rivers Data'!$T$5:$T$9,0),MATCH(T98,'G-7 Rivers Data'!$U$4:$Y$4,0)))),"")</f>
        <v/>
      </c>
      <c r="Z98" s="195"/>
      <c r="AA98" s="195"/>
      <c r="AB98" s="507" t="str">
        <f t="shared" si="11"/>
        <v/>
      </c>
      <c r="AC98" s="521" t="str">
        <f t="shared" si="12"/>
        <v/>
      </c>
      <c r="AD98" s="564" t="str">
        <f>IFERROR(IF(AC98="Check Data ⚠","Check Data ⚠",VLOOKUP(AC98,'G-4 Temporal multipliers'!$A$4:$C$37,3,FALSE)),"")</f>
        <v/>
      </c>
      <c r="AE98" s="498" t="str">
        <f>IF(N98="","",VLOOKUP(N98,'G-7 Rivers Data'!$B$4:$G$8,5,FALSE))</f>
        <v/>
      </c>
      <c r="AF98" s="507" t="str">
        <f t="shared" si="13"/>
        <v/>
      </c>
      <c r="AG98" s="540" t="str">
        <f t="shared" si="14"/>
        <v/>
      </c>
      <c r="AH98" s="499" t="str">
        <f t="shared" si="8"/>
        <v/>
      </c>
      <c r="AI98" s="145"/>
      <c r="AJ98" s="499" t="str">
        <f>IF(AI98="","",IF(VLOOKUP(AI98,'G-7 Rivers Data'!$AA$4:$AB$7,2,FALSE)=0,"Spatial Data Missing ⚠",VLOOKUP(AI98,'G-7 Rivers Data'!$AA$4:$AB$7,2,FALSE)))</f>
        <v/>
      </c>
      <c r="AK98" s="155"/>
      <c r="AL98" s="499" t="str">
        <f>IF(AK98="","",IF(VLOOKUP(AK98,'G-7 Rivers Data'!$AD$4:$AE$8,2,FALSE)=0,"Spatial Data Missing ⚠",VLOOKUP(AK98,'G-7 Rivers Data'!$AD$4:$AE$8,2,FALSE)))</f>
        <v/>
      </c>
      <c r="AM98" s="545" t="str">
        <f t="shared" si="15"/>
        <v/>
      </c>
      <c r="AN98" s="149"/>
      <c r="AO98" s="150"/>
      <c r="AV98" s="31" t="str">
        <f>IFERROR(INDEX('G-7 Rivers Data'!$AZ$3:$AZ$7,MATCH(N98,'G-7 Rivers Data'!$AY$3:$AY$7,0)),"")</f>
        <v/>
      </c>
    </row>
    <row r="99" spans="2:48" ht="13.8" x14ac:dyDescent="0.25">
      <c r="B99" s="531" t="str">
        <f>'C-1 Site River Baseline'!AN97</f>
        <v/>
      </c>
      <c r="C99" s="520" t="str">
        <f>IF(B99="","",VLOOKUP($B99,'C-1 Site River Baseline'!$C$9:$R$257,2,FALSE))</f>
        <v/>
      </c>
      <c r="D99" s="520" t="str">
        <f>IF(C99="","",VLOOKUP($B99,'C-1 Site River Baseline'!$C$9:$R$257,3,FALSE))</f>
        <v/>
      </c>
      <c r="E99" s="520" t="str">
        <f>IF(D99="","",VLOOKUP($B99,'C-1 Site River Baseline'!$C$9:$R$257,4,FALSE))</f>
        <v/>
      </c>
      <c r="F99" s="520" t="str">
        <f>IF(E99="","",VLOOKUP($B99,'C-1 Site River Baseline'!$C$9:$R$257,5,FALSE))</f>
        <v/>
      </c>
      <c r="G99" s="520" t="str">
        <f>IF(F99="","",VLOOKUP($B99,'C-1 Site River Baseline'!$C$9:$R$257,6,FALSE))</f>
        <v/>
      </c>
      <c r="H99" s="520" t="str">
        <f>IF(G99="","",VLOOKUP($B99,'C-1 Site River Baseline'!$C$9:$R$257,7,FALSE))</f>
        <v/>
      </c>
      <c r="I99" s="520" t="str">
        <f>IF(H99="","",VLOOKUP($B99,'C-1 Site River Baseline'!$C$9:$R$257,8,FALSE))</f>
        <v/>
      </c>
      <c r="J99" s="520" t="str">
        <f>IF(I99="","",VLOOKUP($B99,'C-1 Site River Baseline'!$C$9:$R$257,9,FALSE))</f>
        <v/>
      </c>
      <c r="K99" s="520" t="str">
        <f>IF(J99="","",VLOOKUP($B99,'C-1 Site River Baseline'!$C$9:$R$257,10,FALSE))</f>
        <v/>
      </c>
      <c r="L99" s="520" t="str">
        <f>IF(B99="","",VLOOKUP($B99,'C-1 Site River Baseline'!$C$9:$R$257,15,FALSE))</f>
        <v/>
      </c>
      <c r="M99" s="524" t="str">
        <f>IF(L99="","",VLOOKUP($B99,'C-1 Site River Baseline'!$C$9:$R$257,16,FALSE))</f>
        <v/>
      </c>
      <c r="N99" s="418" t="str">
        <f t="shared" si="9"/>
        <v/>
      </c>
      <c r="O99" s="498" t="str">
        <f t="shared" si="10"/>
        <v/>
      </c>
      <c r="P99" s="499" t="str">
        <f>IF(C99="","",IF(AND(LEFT(C99,55)&lt;&gt;LEFT(N99,55),O99="High - High"),"Error - Not like for like ▲",IF(AND(F99=S99,H99&gt;U99),"Error - Can not reduce condition ▲",IF(AND(F99=S99,H99=U99,AJ99='C-1 Site River Baseline'!N97,'C-1 Site River Baseline'!P97=AL99),"Error - No enhancement ▲",IF(AND(C99&lt;&gt;N99,F99&lt;S99),"Lower Distinctiveness Habitat"&amp;" - "&amp;T99,G99&amp;" - "&amp;T99)))))</f>
        <v/>
      </c>
      <c r="Q99" s="567" t="str">
        <f>IF(N99="","",VLOOKUP(B99,'C-1 Site River Baseline'!$C$10:$AA$257,19,FALSE))</f>
        <v/>
      </c>
      <c r="R99" s="498" t="str">
        <f>IF(N99="","",VLOOKUP(N99,'G-7 Rivers Data'!$B$2:$G$8,2,FALSE))</f>
        <v/>
      </c>
      <c r="S99" s="499" t="str">
        <f>IFERROR(VLOOKUP(R99,'G-7 Rivers Data'!$C$4:$D$8,2,FALSE),"")</f>
        <v/>
      </c>
      <c r="T99" s="145"/>
      <c r="U99" s="499" t="str">
        <f>IFERROR(INDEX('G-7 Rivers Data'!$H$4:$L$8,MATCH(N99,'G-7 Rivers Data'!$B$4:$B$8,0),MATCH(T99,'G-7 Rivers Data'!$H$3:$L$3,0)),"")</f>
        <v/>
      </c>
      <c r="V99" s="154"/>
      <c r="W99" s="507" t="str">
        <f>IF(V99="","",IF(VLOOKUP(V99,'G-7 Rivers Data'!$AG$4:$AI$9,2,FALSE)=0,"Spatial Data Missing ⚠",VLOOKUP(V99,'G-7 Rivers Data'!$AG$4:$AI$9,2,FALSE)))</f>
        <v/>
      </c>
      <c r="X99" s="499" t="str">
        <f>IF(V99="","",IF(VLOOKUP(V99,'G-7 Rivers Data'!$AG$4:$AI$9,3,FALSE)=0,"Spatial Data Missing ⚠",VLOOKUP(V99,'G-7 Rivers Data'!$AG$4:$AI$9,3,FALSE)))</f>
        <v/>
      </c>
      <c r="Y99" s="498" t="str">
        <f>IFERROR(IF(OR(LEFT(P99,5)="Error ▲",LEFT(O99,5)="Error ▲"),"Check Data ⚠",IF(F99&lt;S99,'G-7 Rivers Data'!$R$3,INDEX('G-7 Rivers Data'!$U$5:$Y$9,MATCH(G99,'G-7 Rivers Data'!$T$5:$T$9,0),MATCH(T99,'G-7 Rivers Data'!$U$4:$Y$4,0)))),"")</f>
        <v/>
      </c>
      <c r="Z99" s="195"/>
      <c r="AA99" s="195"/>
      <c r="AB99" s="507" t="str">
        <f t="shared" si="11"/>
        <v/>
      </c>
      <c r="AC99" s="521" t="str">
        <f t="shared" si="12"/>
        <v/>
      </c>
      <c r="AD99" s="564" t="str">
        <f>IFERROR(IF(AC99="Check Data ⚠","Check Data ⚠",VLOOKUP(AC99,'G-4 Temporal multipliers'!$A$4:$C$37,3,FALSE)),"")</f>
        <v/>
      </c>
      <c r="AE99" s="498" t="str">
        <f>IF(N99="","",VLOOKUP(N99,'G-7 Rivers Data'!$B$4:$G$8,5,FALSE))</f>
        <v/>
      </c>
      <c r="AF99" s="507" t="str">
        <f t="shared" si="13"/>
        <v/>
      </c>
      <c r="AG99" s="540" t="str">
        <f t="shared" si="14"/>
        <v/>
      </c>
      <c r="AH99" s="499" t="str">
        <f t="shared" si="8"/>
        <v/>
      </c>
      <c r="AI99" s="145"/>
      <c r="AJ99" s="499" t="str">
        <f>IF(AI99="","",IF(VLOOKUP(AI99,'G-7 Rivers Data'!$AA$4:$AB$7,2,FALSE)=0,"Spatial Data Missing ⚠",VLOOKUP(AI99,'G-7 Rivers Data'!$AA$4:$AB$7,2,FALSE)))</f>
        <v/>
      </c>
      <c r="AK99" s="155"/>
      <c r="AL99" s="499" t="str">
        <f>IF(AK99="","",IF(VLOOKUP(AK99,'G-7 Rivers Data'!$AD$4:$AE$8,2,FALSE)=0,"Spatial Data Missing ⚠",VLOOKUP(AK99,'G-7 Rivers Data'!$AD$4:$AE$8,2,FALSE)))</f>
        <v/>
      </c>
      <c r="AM99" s="545" t="str">
        <f t="shared" si="15"/>
        <v/>
      </c>
      <c r="AN99" s="149"/>
      <c r="AO99" s="150"/>
      <c r="AV99" s="31" t="str">
        <f>IFERROR(INDEX('G-7 Rivers Data'!$AZ$3:$AZ$7,MATCH(N99,'G-7 Rivers Data'!$AY$3:$AY$7,0)),"")</f>
        <v/>
      </c>
    </row>
    <row r="100" spans="2:48" ht="13.8" x14ac:dyDescent="0.25">
      <c r="B100" s="531" t="str">
        <f>'C-1 Site River Baseline'!AN98</f>
        <v/>
      </c>
      <c r="C100" s="520" t="str">
        <f>IF(B100="","",VLOOKUP($B100,'C-1 Site River Baseline'!$C$9:$R$257,2,FALSE))</f>
        <v/>
      </c>
      <c r="D100" s="520" t="str">
        <f>IF(C100="","",VLOOKUP($B100,'C-1 Site River Baseline'!$C$9:$R$257,3,FALSE))</f>
        <v/>
      </c>
      <c r="E100" s="520" t="str">
        <f>IF(D100="","",VLOOKUP($B100,'C-1 Site River Baseline'!$C$9:$R$257,4,FALSE))</f>
        <v/>
      </c>
      <c r="F100" s="520" t="str">
        <f>IF(E100="","",VLOOKUP($B100,'C-1 Site River Baseline'!$C$9:$R$257,5,FALSE))</f>
        <v/>
      </c>
      <c r="G100" s="520" t="str">
        <f>IF(F100="","",VLOOKUP($B100,'C-1 Site River Baseline'!$C$9:$R$257,6,FALSE))</f>
        <v/>
      </c>
      <c r="H100" s="520" t="str">
        <f>IF(G100="","",VLOOKUP($B100,'C-1 Site River Baseline'!$C$9:$R$257,7,FALSE))</f>
        <v/>
      </c>
      <c r="I100" s="520" t="str">
        <f>IF(H100="","",VLOOKUP($B100,'C-1 Site River Baseline'!$C$9:$R$257,8,FALSE))</f>
        <v/>
      </c>
      <c r="J100" s="520" t="str">
        <f>IF(I100="","",VLOOKUP($B100,'C-1 Site River Baseline'!$C$9:$R$257,9,FALSE))</f>
        <v/>
      </c>
      <c r="K100" s="520" t="str">
        <f>IF(J100="","",VLOOKUP($B100,'C-1 Site River Baseline'!$C$9:$R$257,10,FALSE))</f>
        <v/>
      </c>
      <c r="L100" s="520" t="str">
        <f>IF(B100="","",VLOOKUP($B100,'C-1 Site River Baseline'!$C$9:$R$257,15,FALSE))</f>
        <v/>
      </c>
      <c r="M100" s="524" t="str">
        <f>IF(L100="","",VLOOKUP($B100,'C-1 Site River Baseline'!$C$9:$R$257,16,FALSE))</f>
        <v/>
      </c>
      <c r="N100" s="418" t="str">
        <f t="shared" si="9"/>
        <v/>
      </c>
      <c r="O100" s="498" t="str">
        <f t="shared" si="10"/>
        <v/>
      </c>
      <c r="P100" s="499" t="str">
        <f>IF(C100="","",IF(AND(LEFT(C100,55)&lt;&gt;LEFT(N100,55),O100="High - High"),"Error - Not like for like ▲",IF(AND(F100=S100,H100&gt;U100),"Error - Can not reduce condition ▲",IF(AND(F100=S100,H100=U100,AJ100='C-1 Site River Baseline'!N98,'C-1 Site River Baseline'!P98=AL100),"Error - No enhancement ▲",IF(AND(C100&lt;&gt;N100,F100&lt;S100),"Lower Distinctiveness Habitat"&amp;" - "&amp;T100,G100&amp;" - "&amp;T100)))))</f>
        <v/>
      </c>
      <c r="Q100" s="567" t="str">
        <f>IF(N100="","",VLOOKUP(B100,'C-1 Site River Baseline'!$C$10:$AA$257,19,FALSE))</f>
        <v/>
      </c>
      <c r="R100" s="498" t="str">
        <f>IF(N100="","",VLOOKUP(N100,'G-7 Rivers Data'!$B$2:$G$8,2,FALSE))</f>
        <v/>
      </c>
      <c r="S100" s="499" t="str">
        <f>IFERROR(VLOOKUP(R100,'G-7 Rivers Data'!$C$4:$D$8,2,FALSE),"")</f>
        <v/>
      </c>
      <c r="T100" s="145"/>
      <c r="U100" s="499" t="str">
        <f>IFERROR(INDEX('G-7 Rivers Data'!$H$4:$L$8,MATCH(N100,'G-7 Rivers Data'!$B$4:$B$8,0),MATCH(T100,'G-7 Rivers Data'!$H$3:$L$3,0)),"")</f>
        <v/>
      </c>
      <c r="V100" s="154"/>
      <c r="W100" s="507" t="str">
        <f>IF(V100="","",IF(VLOOKUP(V100,'G-7 Rivers Data'!$AG$4:$AI$9,2,FALSE)=0,"Spatial Data Missing ⚠",VLOOKUP(V100,'G-7 Rivers Data'!$AG$4:$AI$9,2,FALSE)))</f>
        <v/>
      </c>
      <c r="X100" s="499" t="str">
        <f>IF(V100="","",IF(VLOOKUP(V100,'G-7 Rivers Data'!$AG$4:$AI$9,3,FALSE)=0,"Spatial Data Missing ⚠",VLOOKUP(V100,'G-7 Rivers Data'!$AG$4:$AI$9,3,FALSE)))</f>
        <v/>
      </c>
      <c r="Y100" s="498" t="str">
        <f>IFERROR(IF(OR(LEFT(P100,5)="Error ▲",LEFT(O100,5)="Error ▲"),"Check Data ⚠",IF(F100&lt;S100,'G-7 Rivers Data'!$R$3,INDEX('G-7 Rivers Data'!$U$5:$Y$9,MATCH(G100,'G-7 Rivers Data'!$T$5:$T$9,0),MATCH(T100,'G-7 Rivers Data'!$U$4:$Y$4,0)))),"")</f>
        <v/>
      </c>
      <c r="Z100" s="195"/>
      <c r="AA100" s="195"/>
      <c r="AB100" s="507" t="str">
        <f t="shared" si="11"/>
        <v/>
      </c>
      <c r="AC100" s="521" t="str">
        <f t="shared" si="12"/>
        <v/>
      </c>
      <c r="AD100" s="564" t="str">
        <f>IFERROR(IF(AC100="Check Data ⚠","Check Data ⚠",VLOOKUP(AC100,'G-4 Temporal multipliers'!$A$4:$C$37,3,FALSE)),"")</f>
        <v/>
      </c>
      <c r="AE100" s="498" t="str">
        <f>IF(N100="","",VLOOKUP(N100,'G-7 Rivers Data'!$B$4:$G$8,5,FALSE))</f>
        <v/>
      </c>
      <c r="AF100" s="507" t="str">
        <f t="shared" si="13"/>
        <v/>
      </c>
      <c r="AG100" s="540" t="str">
        <f t="shared" si="14"/>
        <v/>
      </c>
      <c r="AH100" s="499" t="str">
        <f t="shared" si="8"/>
        <v/>
      </c>
      <c r="AI100" s="145"/>
      <c r="AJ100" s="499" t="str">
        <f>IF(AI100="","",IF(VLOOKUP(AI100,'G-7 Rivers Data'!$AA$4:$AB$7,2,FALSE)=0,"Spatial Data Missing ⚠",VLOOKUP(AI100,'G-7 Rivers Data'!$AA$4:$AB$7,2,FALSE)))</f>
        <v/>
      </c>
      <c r="AK100" s="155"/>
      <c r="AL100" s="499" t="str">
        <f>IF(AK100="","",IF(VLOOKUP(AK100,'G-7 Rivers Data'!$AD$4:$AE$8,2,FALSE)=0,"Spatial Data Missing ⚠",VLOOKUP(AK100,'G-7 Rivers Data'!$AD$4:$AE$8,2,FALSE)))</f>
        <v/>
      </c>
      <c r="AM100" s="545" t="str">
        <f t="shared" si="15"/>
        <v/>
      </c>
      <c r="AN100" s="149"/>
      <c r="AO100" s="150"/>
      <c r="AV100" s="31" t="str">
        <f>IFERROR(INDEX('G-7 Rivers Data'!$AZ$3:$AZ$7,MATCH(N100,'G-7 Rivers Data'!$AY$3:$AY$7,0)),"")</f>
        <v/>
      </c>
    </row>
    <row r="101" spans="2:48" ht="13.8" x14ac:dyDescent="0.25">
      <c r="B101" s="531" t="str">
        <f>'C-1 Site River Baseline'!AN99</f>
        <v/>
      </c>
      <c r="C101" s="520" t="str">
        <f>IF(B101="","",VLOOKUP($B101,'C-1 Site River Baseline'!$C$9:$R$257,2,FALSE))</f>
        <v/>
      </c>
      <c r="D101" s="520" t="str">
        <f>IF(C101="","",VLOOKUP($B101,'C-1 Site River Baseline'!$C$9:$R$257,3,FALSE))</f>
        <v/>
      </c>
      <c r="E101" s="520" t="str">
        <f>IF(D101="","",VLOOKUP($B101,'C-1 Site River Baseline'!$C$9:$R$257,4,FALSE))</f>
        <v/>
      </c>
      <c r="F101" s="520" t="str">
        <f>IF(E101="","",VLOOKUP($B101,'C-1 Site River Baseline'!$C$9:$R$257,5,FALSE))</f>
        <v/>
      </c>
      <c r="G101" s="520" t="str">
        <f>IF(F101="","",VLOOKUP($B101,'C-1 Site River Baseline'!$C$9:$R$257,6,FALSE))</f>
        <v/>
      </c>
      <c r="H101" s="520" t="str">
        <f>IF(G101="","",VLOOKUP($B101,'C-1 Site River Baseline'!$C$9:$R$257,7,FALSE))</f>
        <v/>
      </c>
      <c r="I101" s="520" t="str">
        <f>IF(H101="","",VLOOKUP($B101,'C-1 Site River Baseline'!$C$9:$R$257,8,FALSE))</f>
        <v/>
      </c>
      <c r="J101" s="520" t="str">
        <f>IF(I101="","",VLOOKUP($B101,'C-1 Site River Baseline'!$C$9:$R$257,9,FALSE))</f>
        <v/>
      </c>
      <c r="K101" s="520" t="str">
        <f>IF(J101="","",VLOOKUP($B101,'C-1 Site River Baseline'!$C$9:$R$257,10,FALSE))</f>
        <v/>
      </c>
      <c r="L101" s="520" t="str">
        <f>IF(B101="","",VLOOKUP($B101,'C-1 Site River Baseline'!$C$9:$R$257,15,FALSE))</f>
        <v/>
      </c>
      <c r="M101" s="524" t="str">
        <f>IF(L101="","",VLOOKUP($B101,'C-1 Site River Baseline'!$C$9:$R$257,16,FALSE))</f>
        <v/>
      </c>
      <c r="N101" s="418" t="str">
        <f t="shared" si="9"/>
        <v/>
      </c>
      <c r="O101" s="498" t="str">
        <f t="shared" si="10"/>
        <v/>
      </c>
      <c r="P101" s="499" t="str">
        <f>IF(C101="","",IF(AND(LEFT(C101,55)&lt;&gt;LEFT(N101,55),O101="High - High"),"Error - Not like for like ▲",IF(AND(F101=S101,H101&gt;U101),"Error - Can not reduce condition ▲",IF(AND(F101=S101,H101=U101,AJ101='C-1 Site River Baseline'!N99,'C-1 Site River Baseline'!P99=AL101),"Error - No enhancement ▲",IF(AND(C101&lt;&gt;N101,F101&lt;S101),"Lower Distinctiveness Habitat"&amp;" - "&amp;T101,G101&amp;" - "&amp;T101)))))</f>
        <v/>
      </c>
      <c r="Q101" s="567" t="str">
        <f>IF(N101="","",VLOOKUP(B101,'C-1 Site River Baseline'!$C$10:$AA$257,19,FALSE))</f>
        <v/>
      </c>
      <c r="R101" s="498" t="str">
        <f>IF(N101="","",VLOOKUP(N101,'G-7 Rivers Data'!$B$2:$G$8,2,FALSE))</f>
        <v/>
      </c>
      <c r="S101" s="499" t="str">
        <f>IFERROR(VLOOKUP(R101,'G-7 Rivers Data'!$C$4:$D$8,2,FALSE),"")</f>
        <v/>
      </c>
      <c r="T101" s="145"/>
      <c r="U101" s="499" t="str">
        <f>IFERROR(INDEX('G-7 Rivers Data'!$H$4:$L$8,MATCH(N101,'G-7 Rivers Data'!$B$4:$B$8,0),MATCH(T101,'G-7 Rivers Data'!$H$3:$L$3,0)),"")</f>
        <v/>
      </c>
      <c r="V101" s="154"/>
      <c r="W101" s="507" t="str">
        <f>IF(V101="","",IF(VLOOKUP(V101,'G-7 Rivers Data'!$AG$4:$AI$9,2,FALSE)=0,"Spatial Data Missing ⚠",VLOOKUP(V101,'G-7 Rivers Data'!$AG$4:$AI$9,2,FALSE)))</f>
        <v/>
      </c>
      <c r="X101" s="499" t="str">
        <f>IF(V101="","",IF(VLOOKUP(V101,'G-7 Rivers Data'!$AG$4:$AI$9,3,FALSE)=0,"Spatial Data Missing ⚠",VLOOKUP(V101,'G-7 Rivers Data'!$AG$4:$AI$9,3,FALSE)))</f>
        <v/>
      </c>
      <c r="Y101" s="498" t="str">
        <f>IFERROR(IF(OR(LEFT(P101,5)="Error ▲",LEFT(O101,5)="Error ▲"),"Check Data ⚠",IF(F101&lt;S101,'G-7 Rivers Data'!$R$3,INDEX('G-7 Rivers Data'!$U$5:$Y$9,MATCH(G101,'G-7 Rivers Data'!$T$5:$T$9,0),MATCH(T101,'G-7 Rivers Data'!$U$4:$Y$4,0)))),"")</f>
        <v/>
      </c>
      <c r="Z101" s="195"/>
      <c r="AA101" s="195"/>
      <c r="AB101" s="507" t="str">
        <f t="shared" si="11"/>
        <v/>
      </c>
      <c r="AC101" s="521" t="str">
        <f t="shared" si="12"/>
        <v/>
      </c>
      <c r="AD101" s="564" t="str">
        <f>IFERROR(IF(AC101="Check Data ⚠","Check Data ⚠",VLOOKUP(AC101,'G-4 Temporal multipliers'!$A$4:$C$37,3,FALSE)),"")</f>
        <v/>
      </c>
      <c r="AE101" s="498" t="str">
        <f>IF(N101="","",VLOOKUP(N101,'G-7 Rivers Data'!$B$4:$G$8,5,FALSE))</f>
        <v/>
      </c>
      <c r="AF101" s="507" t="str">
        <f t="shared" si="13"/>
        <v/>
      </c>
      <c r="AG101" s="540" t="str">
        <f t="shared" si="14"/>
        <v/>
      </c>
      <c r="AH101" s="499" t="str">
        <f t="shared" si="8"/>
        <v/>
      </c>
      <c r="AI101" s="145"/>
      <c r="AJ101" s="499" t="str">
        <f>IF(AI101="","",IF(VLOOKUP(AI101,'G-7 Rivers Data'!$AA$4:$AB$7,2,FALSE)=0,"Spatial Data Missing ⚠",VLOOKUP(AI101,'G-7 Rivers Data'!$AA$4:$AB$7,2,FALSE)))</f>
        <v/>
      </c>
      <c r="AK101" s="155"/>
      <c r="AL101" s="499" t="str">
        <f>IF(AK101="","",IF(VLOOKUP(AK101,'G-7 Rivers Data'!$AD$4:$AE$8,2,FALSE)=0,"Spatial Data Missing ⚠",VLOOKUP(AK101,'G-7 Rivers Data'!$AD$4:$AE$8,2,FALSE)))</f>
        <v/>
      </c>
      <c r="AM101" s="545" t="str">
        <f t="shared" si="15"/>
        <v/>
      </c>
      <c r="AN101" s="149"/>
      <c r="AO101" s="150"/>
      <c r="AV101" s="31" t="str">
        <f>IFERROR(INDEX('G-7 Rivers Data'!$AZ$3:$AZ$7,MATCH(N101,'G-7 Rivers Data'!$AY$3:$AY$7,0)),"")</f>
        <v/>
      </c>
    </row>
    <row r="102" spans="2:48" ht="13.8" x14ac:dyDescent="0.25">
      <c r="B102" s="531" t="str">
        <f>'C-1 Site River Baseline'!AN100</f>
        <v/>
      </c>
      <c r="C102" s="520" t="str">
        <f>IF(B102="","",VLOOKUP($B102,'C-1 Site River Baseline'!$C$9:$R$257,2,FALSE))</f>
        <v/>
      </c>
      <c r="D102" s="520" t="str">
        <f>IF(C102="","",VLOOKUP($B102,'C-1 Site River Baseline'!$C$9:$R$257,3,FALSE))</f>
        <v/>
      </c>
      <c r="E102" s="520" t="str">
        <f>IF(D102="","",VLOOKUP($B102,'C-1 Site River Baseline'!$C$9:$R$257,4,FALSE))</f>
        <v/>
      </c>
      <c r="F102" s="520" t="str">
        <f>IF(E102="","",VLOOKUP($B102,'C-1 Site River Baseline'!$C$9:$R$257,5,FALSE))</f>
        <v/>
      </c>
      <c r="G102" s="520" t="str">
        <f>IF(F102="","",VLOOKUP($B102,'C-1 Site River Baseline'!$C$9:$R$257,6,FALSE))</f>
        <v/>
      </c>
      <c r="H102" s="520" t="str">
        <f>IF(G102="","",VLOOKUP($B102,'C-1 Site River Baseline'!$C$9:$R$257,7,FALSE))</f>
        <v/>
      </c>
      <c r="I102" s="520" t="str">
        <f>IF(H102="","",VLOOKUP($B102,'C-1 Site River Baseline'!$C$9:$R$257,8,FALSE))</f>
        <v/>
      </c>
      <c r="J102" s="520" t="str">
        <f>IF(I102="","",VLOOKUP($B102,'C-1 Site River Baseline'!$C$9:$R$257,9,FALSE))</f>
        <v/>
      </c>
      <c r="K102" s="520" t="str">
        <f>IF(J102="","",VLOOKUP($B102,'C-1 Site River Baseline'!$C$9:$R$257,10,FALSE))</f>
        <v/>
      </c>
      <c r="L102" s="520" t="str">
        <f>IF(B102="","",VLOOKUP($B102,'C-1 Site River Baseline'!$C$9:$R$257,15,FALSE))</f>
        <v/>
      </c>
      <c r="M102" s="524" t="str">
        <f>IF(L102="","",VLOOKUP($B102,'C-1 Site River Baseline'!$C$9:$R$257,16,FALSE))</f>
        <v/>
      </c>
      <c r="N102" s="418" t="str">
        <f t="shared" si="9"/>
        <v/>
      </c>
      <c r="O102" s="498" t="str">
        <f t="shared" si="10"/>
        <v/>
      </c>
      <c r="P102" s="499" t="str">
        <f>IF(C102="","",IF(AND(LEFT(C102,55)&lt;&gt;LEFT(N102,55),O102="High - High"),"Error - Not like for like ▲",IF(AND(F102=S102,H102&gt;U102),"Error - Can not reduce condition ▲",IF(AND(F102=S102,H102=U102,AJ102='C-1 Site River Baseline'!N100,'C-1 Site River Baseline'!P100=AL102),"Error - No enhancement ▲",IF(AND(C102&lt;&gt;N102,F102&lt;S102),"Lower Distinctiveness Habitat"&amp;" - "&amp;T102,G102&amp;" - "&amp;T102)))))</f>
        <v/>
      </c>
      <c r="Q102" s="567" t="str">
        <f>IF(N102="","",VLOOKUP(B102,'C-1 Site River Baseline'!$C$10:$AA$257,19,FALSE))</f>
        <v/>
      </c>
      <c r="R102" s="498" t="str">
        <f>IF(N102="","",VLOOKUP(N102,'G-7 Rivers Data'!$B$2:$G$8,2,FALSE))</f>
        <v/>
      </c>
      <c r="S102" s="499" t="str">
        <f>IFERROR(VLOOKUP(R102,'G-7 Rivers Data'!$C$4:$D$8,2,FALSE),"")</f>
        <v/>
      </c>
      <c r="T102" s="145"/>
      <c r="U102" s="499" t="str">
        <f>IFERROR(INDEX('G-7 Rivers Data'!$H$4:$L$8,MATCH(N102,'G-7 Rivers Data'!$B$4:$B$8,0),MATCH(T102,'G-7 Rivers Data'!$H$3:$L$3,0)),"")</f>
        <v/>
      </c>
      <c r="V102" s="154"/>
      <c r="W102" s="507" t="str">
        <f>IF(V102="","",IF(VLOOKUP(V102,'G-7 Rivers Data'!$AG$4:$AI$9,2,FALSE)=0,"Spatial Data Missing ⚠",VLOOKUP(V102,'G-7 Rivers Data'!$AG$4:$AI$9,2,FALSE)))</f>
        <v/>
      </c>
      <c r="X102" s="499" t="str">
        <f>IF(V102="","",IF(VLOOKUP(V102,'G-7 Rivers Data'!$AG$4:$AI$9,3,FALSE)=0,"Spatial Data Missing ⚠",VLOOKUP(V102,'G-7 Rivers Data'!$AG$4:$AI$9,3,FALSE)))</f>
        <v/>
      </c>
      <c r="Y102" s="498" t="str">
        <f>IFERROR(IF(OR(LEFT(P102,5)="Error ▲",LEFT(O102,5)="Error ▲"),"Check Data ⚠",IF(F102&lt;S102,'G-7 Rivers Data'!$R$3,INDEX('G-7 Rivers Data'!$U$5:$Y$9,MATCH(G102,'G-7 Rivers Data'!$T$5:$T$9,0),MATCH(T102,'G-7 Rivers Data'!$U$4:$Y$4,0)))),"")</f>
        <v/>
      </c>
      <c r="Z102" s="195"/>
      <c r="AA102" s="195"/>
      <c r="AB102" s="507" t="str">
        <f t="shared" si="11"/>
        <v/>
      </c>
      <c r="AC102" s="521" t="str">
        <f t="shared" si="12"/>
        <v/>
      </c>
      <c r="AD102" s="564" t="str">
        <f>IFERROR(IF(AC102="Check Data ⚠","Check Data ⚠",VLOOKUP(AC102,'G-4 Temporal multipliers'!$A$4:$C$37,3,FALSE)),"")</f>
        <v/>
      </c>
      <c r="AE102" s="498" t="str">
        <f>IF(N102="","",VLOOKUP(N102,'G-7 Rivers Data'!$B$4:$G$8,5,FALSE))</f>
        <v/>
      </c>
      <c r="AF102" s="507" t="str">
        <f t="shared" si="13"/>
        <v/>
      </c>
      <c r="AG102" s="540" t="str">
        <f t="shared" si="14"/>
        <v/>
      </c>
      <c r="AH102" s="499" t="str">
        <f t="shared" si="8"/>
        <v/>
      </c>
      <c r="AI102" s="145"/>
      <c r="AJ102" s="499" t="str">
        <f>IF(AI102="","",IF(VLOOKUP(AI102,'G-7 Rivers Data'!$AA$4:$AB$7,2,FALSE)=0,"Spatial Data Missing ⚠",VLOOKUP(AI102,'G-7 Rivers Data'!$AA$4:$AB$7,2,FALSE)))</f>
        <v/>
      </c>
      <c r="AK102" s="155"/>
      <c r="AL102" s="499" t="str">
        <f>IF(AK102="","",IF(VLOOKUP(AK102,'G-7 Rivers Data'!$AD$4:$AE$8,2,FALSE)=0,"Spatial Data Missing ⚠",VLOOKUP(AK102,'G-7 Rivers Data'!$AD$4:$AE$8,2,FALSE)))</f>
        <v/>
      </c>
      <c r="AM102" s="545" t="str">
        <f t="shared" si="15"/>
        <v/>
      </c>
      <c r="AN102" s="149"/>
      <c r="AO102" s="150"/>
      <c r="AV102" s="31" t="str">
        <f>IFERROR(INDEX('G-7 Rivers Data'!$AZ$3:$AZ$7,MATCH(N102,'G-7 Rivers Data'!$AY$3:$AY$7,0)),"")</f>
        <v/>
      </c>
    </row>
    <row r="103" spans="2:48" ht="13.8" x14ac:dyDescent="0.25">
      <c r="B103" s="531" t="str">
        <f>'C-1 Site River Baseline'!AN101</f>
        <v/>
      </c>
      <c r="C103" s="520" t="str">
        <f>IF(B103="","",VLOOKUP($B103,'C-1 Site River Baseline'!$C$9:$R$257,2,FALSE))</f>
        <v/>
      </c>
      <c r="D103" s="520" t="str">
        <f>IF(C103="","",VLOOKUP($B103,'C-1 Site River Baseline'!$C$9:$R$257,3,FALSE))</f>
        <v/>
      </c>
      <c r="E103" s="520" t="str">
        <f>IF(D103="","",VLOOKUP($B103,'C-1 Site River Baseline'!$C$9:$R$257,4,FALSE))</f>
        <v/>
      </c>
      <c r="F103" s="520" t="str">
        <f>IF(E103="","",VLOOKUP($B103,'C-1 Site River Baseline'!$C$9:$R$257,5,FALSE))</f>
        <v/>
      </c>
      <c r="G103" s="520" t="str">
        <f>IF(F103="","",VLOOKUP($B103,'C-1 Site River Baseline'!$C$9:$R$257,6,FALSE))</f>
        <v/>
      </c>
      <c r="H103" s="520" t="str">
        <f>IF(G103="","",VLOOKUP($B103,'C-1 Site River Baseline'!$C$9:$R$257,7,FALSE))</f>
        <v/>
      </c>
      <c r="I103" s="520" t="str">
        <f>IF(H103="","",VLOOKUP($B103,'C-1 Site River Baseline'!$C$9:$R$257,8,FALSE))</f>
        <v/>
      </c>
      <c r="J103" s="520" t="str">
        <f>IF(I103="","",VLOOKUP($B103,'C-1 Site River Baseline'!$C$9:$R$257,9,FALSE))</f>
        <v/>
      </c>
      <c r="K103" s="520" t="str">
        <f>IF(J103="","",VLOOKUP($B103,'C-1 Site River Baseline'!$C$9:$R$257,10,FALSE))</f>
        <v/>
      </c>
      <c r="L103" s="520" t="str">
        <f>IF(B103="","",VLOOKUP($B103,'C-1 Site River Baseline'!$C$9:$R$257,15,FALSE))</f>
        <v/>
      </c>
      <c r="M103" s="524" t="str">
        <f>IF(L103="","",VLOOKUP($B103,'C-1 Site River Baseline'!$C$9:$R$257,16,FALSE))</f>
        <v/>
      </c>
      <c r="N103" s="418" t="str">
        <f t="shared" si="9"/>
        <v/>
      </c>
      <c r="O103" s="498" t="str">
        <f t="shared" si="10"/>
        <v/>
      </c>
      <c r="P103" s="499" t="str">
        <f>IF(C103="","",IF(AND(LEFT(C103,55)&lt;&gt;LEFT(N103,55),O103="High - High"),"Error - Not like for like ▲",IF(AND(F103=S103,H103&gt;U103),"Error - Can not reduce condition ▲",IF(AND(F103=S103,H103=U103,AJ103='C-1 Site River Baseline'!N101,'C-1 Site River Baseline'!P101=AL103),"Error - No enhancement ▲",IF(AND(C103&lt;&gt;N103,F103&lt;S103),"Lower Distinctiveness Habitat"&amp;" - "&amp;T103,G103&amp;" - "&amp;T103)))))</f>
        <v/>
      </c>
      <c r="Q103" s="567" t="str">
        <f>IF(N103="","",VLOOKUP(B103,'C-1 Site River Baseline'!$C$10:$AA$257,19,FALSE))</f>
        <v/>
      </c>
      <c r="R103" s="498" t="str">
        <f>IF(N103="","",VLOOKUP(N103,'G-7 Rivers Data'!$B$2:$G$8,2,FALSE))</f>
        <v/>
      </c>
      <c r="S103" s="499" t="str">
        <f>IFERROR(VLOOKUP(R103,'G-7 Rivers Data'!$C$4:$D$8,2,FALSE),"")</f>
        <v/>
      </c>
      <c r="T103" s="145"/>
      <c r="U103" s="499" t="str">
        <f>IFERROR(INDEX('G-7 Rivers Data'!$H$4:$L$8,MATCH(N103,'G-7 Rivers Data'!$B$4:$B$8,0),MATCH(T103,'G-7 Rivers Data'!$H$3:$L$3,0)),"")</f>
        <v/>
      </c>
      <c r="V103" s="154"/>
      <c r="W103" s="507" t="str">
        <f>IF(V103="","",IF(VLOOKUP(V103,'G-7 Rivers Data'!$AG$4:$AI$9,2,FALSE)=0,"Spatial Data Missing ⚠",VLOOKUP(V103,'G-7 Rivers Data'!$AG$4:$AI$9,2,FALSE)))</f>
        <v/>
      </c>
      <c r="X103" s="499" t="str">
        <f>IF(V103="","",IF(VLOOKUP(V103,'G-7 Rivers Data'!$AG$4:$AI$9,3,FALSE)=0,"Spatial Data Missing ⚠",VLOOKUP(V103,'G-7 Rivers Data'!$AG$4:$AI$9,3,FALSE)))</f>
        <v/>
      </c>
      <c r="Y103" s="498" t="str">
        <f>IFERROR(IF(OR(LEFT(P103,5)="Error ▲",LEFT(O103,5)="Error ▲"),"Check Data ⚠",IF(F103&lt;S103,'G-7 Rivers Data'!$R$3,INDEX('G-7 Rivers Data'!$U$5:$Y$9,MATCH(G103,'G-7 Rivers Data'!$T$5:$T$9,0),MATCH(T103,'G-7 Rivers Data'!$U$4:$Y$4,0)))),"")</f>
        <v/>
      </c>
      <c r="Z103" s="195"/>
      <c r="AA103" s="195"/>
      <c r="AB103" s="507" t="str">
        <f t="shared" si="11"/>
        <v/>
      </c>
      <c r="AC103" s="521" t="str">
        <f t="shared" si="12"/>
        <v/>
      </c>
      <c r="AD103" s="564" t="str">
        <f>IFERROR(IF(AC103="Check Data ⚠","Check Data ⚠",VLOOKUP(AC103,'G-4 Temporal multipliers'!$A$4:$C$37,3,FALSE)),"")</f>
        <v/>
      </c>
      <c r="AE103" s="498" t="str">
        <f>IF(N103="","",VLOOKUP(N103,'G-7 Rivers Data'!$B$4:$G$8,5,FALSE))</f>
        <v/>
      </c>
      <c r="AF103" s="507" t="str">
        <f t="shared" si="13"/>
        <v/>
      </c>
      <c r="AG103" s="540" t="str">
        <f t="shared" si="14"/>
        <v/>
      </c>
      <c r="AH103" s="499" t="str">
        <f t="shared" si="8"/>
        <v/>
      </c>
      <c r="AI103" s="145"/>
      <c r="AJ103" s="499" t="str">
        <f>IF(AI103="","",IF(VLOOKUP(AI103,'G-7 Rivers Data'!$AA$4:$AB$7,2,FALSE)=0,"Spatial Data Missing ⚠",VLOOKUP(AI103,'G-7 Rivers Data'!$AA$4:$AB$7,2,FALSE)))</f>
        <v/>
      </c>
      <c r="AK103" s="155"/>
      <c r="AL103" s="499" t="str">
        <f>IF(AK103="","",IF(VLOOKUP(AK103,'G-7 Rivers Data'!$AD$4:$AE$8,2,FALSE)=0,"Spatial Data Missing ⚠",VLOOKUP(AK103,'G-7 Rivers Data'!$AD$4:$AE$8,2,FALSE)))</f>
        <v/>
      </c>
      <c r="AM103" s="545" t="str">
        <f t="shared" si="15"/>
        <v/>
      </c>
      <c r="AN103" s="149"/>
      <c r="AO103" s="150"/>
      <c r="AV103" s="31" t="str">
        <f>IFERROR(INDEX('G-7 Rivers Data'!$AZ$3:$AZ$7,MATCH(N103,'G-7 Rivers Data'!$AY$3:$AY$7,0)),"")</f>
        <v/>
      </c>
    </row>
    <row r="104" spans="2:48" ht="13.8" x14ac:dyDescent="0.25">
      <c r="B104" s="531" t="str">
        <f>'C-1 Site River Baseline'!AN102</f>
        <v/>
      </c>
      <c r="C104" s="520" t="str">
        <f>IF(B104="","",VLOOKUP($B104,'C-1 Site River Baseline'!$C$9:$R$257,2,FALSE))</f>
        <v/>
      </c>
      <c r="D104" s="520" t="str">
        <f>IF(C104="","",VLOOKUP($B104,'C-1 Site River Baseline'!$C$9:$R$257,3,FALSE))</f>
        <v/>
      </c>
      <c r="E104" s="520" t="str">
        <f>IF(D104="","",VLOOKUP($B104,'C-1 Site River Baseline'!$C$9:$R$257,4,FALSE))</f>
        <v/>
      </c>
      <c r="F104" s="520" t="str">
        <f>IF(E104="","",VLOOKUP($B104,'C-1 Site River Baseline'!$C$9:$R$257,5,FALSE))</f>
        <v/>
      </c>
      <c r="G104" s="520" t="str">
        <f>IF(F104="","",VLOOKUP($B104,'C-1 Site River Baseline'!$C$9:$R$257,6,FALSE))</f>
        <v/>
      </c>
      <c r="H104" s="520" t="str">
        <f>IF(G104="","",VLOOKUP($B104,'C-1 Site River Baseline'!$C$9:$R$257,7,FALSE))</f>
        <v/>
      </c>
      <c r="I104" s="520" t="str">
        <f>IF(H104="","",VLOOKUP($B104,'C-1 Site River Baseline'!$C$9:$R$257,8,FALSE))</f>
        <v/>
      </c>
      <c r="J104" s="520" t="str">
        <f>IF(I104="","",VLOOKUP($B104,'C-1 Site River Baseline'!$C$9:$R$257,9,FALSE))</f>
        <v/>
      </c>
      <c r="K104" s="520" t="str">
        <f>IF(J104="","",VLOOKUP($B104,'C-1 Site River Baseline'!$C$9:$R$257,10,FALSE))</f>
        <v/>
      </c>
      <c r="L104" s="520" t="str">
        <f>IF(B104="","",VLOOKUP($B104,'C-1 Site River Baseline'!$C$9:$R$257,15,FALSE))</f>
        <v/>
      </c>
      <c r="M104" s="524" t="str">
        <f>IF(L104="","",VLOOKUP($B104,'C-1 Site River Baseline'!$C$9:$R$257,16,FALSE))</f>
        <v/>
      </c>
      <c r="N104" s="418" t="str">
        <f t="shared" si="9"/>
        <v/>
      </c>
      <c r="O104" s="498" t="str">
        <f t="shared" si="10"/>
        <v/>
      </c>
      <c r="P104" s="499" t="str">
        <f>IF(C104="","",IF(AND(LEFT(C104,55)&lt;&gt;LEFT(N104,55),O104="High - High"),"Error - Not like for like ▲",IF(AND(F104=S104,H104&gt;U104),"Error - Can not reduce condition ▲",IF(AND(F104=S104,H104=U104,AJ104='C-1 Site River Baseline'!N102,'C-1 Site River Baseline'!P102=AL104),"Error - No enhancement ▲",IF(AND(C104&lt;&gt;N104,F104&lt;S104),"Lower Distinctiveness Habitat"&amp;" - "&amp;T104,G104&amp;" - "&amp;T104)))))</f>
        <v/>
      </c>
      <c r="Q104" s="567" t="str">
        <f>IF(N104="","",VLOOKUP(B104,'C-1 Site River Baseline'!$C$10:$AA$257,19,FALSE))</f>
        <v/>
      </c>
      <c r="R104" s="498" t="str">
        <f>IF(N104="","",VLOOKUP(N104,'G-7 Rivers Data'!$B$2:$G$8,2,FALSE))</f>
        <v/>
      </c>
      <c r="S104" s="499" t="str">
        <f>IFERROR(VLOOKUP(R104,'G-7 Rivers Data'!$C$4:$D$8,2,FALSE),"")</f>
        <v/>
      </c>
      <c r="T104" s="145"/>
      <c r="U104" s="499" t="str">
        <f>IFERROR(INDEX('G-7 Rivers Data'!$H$4:$L$8,MATCH(N104,'G-7 Rivers Data'!$B$4:$B$8,0),MATCH(T104,'G-7 Rivers Data'!$H$3:$L$3,0)),"")</f>
        <v/>
      </c>
      <c r="V104" s="154"/>
      <c r="W104" s="507" t="str">
        <f>IF(V104="","",IF(VLOOKUP(V104,'G-7 Rivers Data'!$AG$4:$AI$9,2,FALSE)=0,"Spatial Data Missing ⚠",VLOOKUP(V104,'G-7 Rivers Data'!$AG$4:$AI$9,2,FALSE)))</f>
        <v/>
      </c>
      <c r="X104" s="499" t="str">
        <f>IF(V104="","",IF(VLOOKUP(V104,'G-7 Rivers Data'!$AG$4:$AI$9,3,FALSE)=0,"Spatial Data Missing ⚠",VLOOKUP(V104,'G-7 Rivers Data'!$AG$4:$AI$9,3,FALSE)))</f>
        <v/>
      </c>
      <c r="Y104" s="498" t="str">
        <f>IFERROR(IF(OR(LEFT(P104,5)="Error ▲",LEFT(O104,5)="Error ▲"),"Check Data ⚠",IF(F104&lt;S104,'G-7 Rivers Data'!$R$3,INDEX('G-7 Rivers Data'!$U$5:$Y$9,MATCH(G104,'G-7 Rivers Data'!$T$5:$T$9,0),MATCH(T104,'G-7 Rivers Data'!$U$4:$Y$4,0)))),"")</f>
        <v/>
      </c>
      <c r="Z104" s="195"/>
      <c r="AA104" s="195"/>
      <c r="AB104" s="507" t="str">
        <f t="shared" si="11"/>
        <v/>
      </c>
      <c r="AC104" s="521" t="str">
        <f t="shared" si="12"/>
        <v/>
      </c>
      <c r="AD104" s="564" t="str">
        <f>IFERROR(IF(AC104="Check Data ⚠","Check Data ⚠",VLOOKUP(AC104,'G-4 Temporal multipliers'!$A$4:$C$37,3,FALSE)),"")</f>
        <v/>
      </c>
      <c r="AE104" s="498" t="str">
        <f>IF(N104="","",VLOOKUP(N104,'G-7 Rivers Data'!$B$4:$G$8,5,FALSE))</f>
        <v/>
      </c>
      <c r="AF104" s="507" t="str">
        <f t="shared" si="13"/>
        <v/>
      </c>
      <c r="AG104" s="540" t="str">
        <f t="shared" si="14"/>
        <v/>
      </c>
      <c r="AH104" s="499" t="str">
        <f t="shared" si="8"/>
        <v/>
      </c>
      <c r="AI104" s="145"/>
      <c r="AJ104" s="499" t="str">
        <f>IF(AI104="","",IF(VLOOKUP(AI104,'G-7 Rivers Data'!$AA$4:$AB$7,2,FALSE)=0,"Spatial Data Missing ⚠",VLOOKUP(AI104,'G-7 Rivers Data'!$AA$4:$AB$7,2,FALSE)))</f>
        <v/>
      </c>
      <c r="AK104" s="155"/>
      <c r="AL104" s="499" t="str">
        <f>IF(AK104="","",IF(VLOOKUP(AK104,'G-7 Rivers Data'!$AD$4:$AE$8,2,FALSE)=0,"Spatial Data Missing ⚠",VLOOKUP(AK104,'G-7 Rivers Data'!$AD$4:$AE$8,2,FALSE)))</f>
        <v/>
      </c>
      <c r="AM104" s="545" t="str">
        <f t="shared" si="15"/>
        <v/>
      </c>
      <c r="AN104" s="149"/>
      <c r="AO104" s="150"/>
      <c r="AV104" s="31" t="str">
        <f>IFERROR(INDEX('G-7 Rivers Data'!$AZ$3:$AZ$7,MATCH(N104,'G-7 Rivers Data'!$AY$3:$AY$7,0)),"")</f>
        <v/>
      </c>
    </row>
    <row r="105" spans="2:48" ht="13.8" x14ac:dyDescent="0.25">
      <c r="B105" s="531" t="str">
        <f>'C-1 Site River Baseline'!AN103</f>
        <v/>
      </c>
      <c r="C105" s="520" t="str">
        <f>IF(B105="","",VLOOKUP($B105,'C-1 Site River Baseline'!$C$9:$R$257,2,FALSE))</f>
        <v/>
      </c>
      <c r="D105" s="520" t="str">
        <f>IF(C105="","",VLOOKUP($B105,'C-1 Site River Baseline'!$C$9:$R$257,3,FALSE))</f>
        <v/>
      </c>
      <c r="E105" s="520" t="str">
        <f>IF(D105="","",VLOOKUP($B105,'C-1 Site River Baseline'!$C$9:$R$257,4,FALSE))</f>
        <v/>
      </c>
      <c r="F105" s="520" t="str">
        <f>IF(E105="","",VLOOKUP($B105,'C-1 Site River Baseline'!$C$9:$R$257,5,FALSE))</f>
        <v/>
      </c>
      <c r="G105" s="520" t="str">
        <f>IF(F105="","",VLOOKUP($B105,'C-1 Site River Baseline'!$C$9:$R$257,6,FALSE))</f>
        <v/>
      </c>
      <c r="H105" s="520" t="str">
        <f>IF(G105="","",VLOOKUP($B105,'C-1 Site River Baseline'!$C$9:$R$257,7,FALSE))</f>
        <v/>
      </c>
      <c r="I105" s="520" t="str">
        <f>IF(H105="","",VLOOKUP($B105,'C-1 Site River Baseline'!$C$9:$R$257,8,FALSE))</f>
        <v/>
      </c>
      <c r="J105" s="520" t="str">
        <f>IF(I105="","",VLOOKUP($B105,'C-1 Site River Baseline'!$C$9:$R$257,9,FALSE))</f>
        <v/>
      </c>
      <c r="K105" s="520" t="str">
        <f>IF(J105="","",VLOOKUP($B105,'C-1 Site River Baseline'!$C$9:$R$257,10,FALSE))</f>
        <v/>
      </c>
      <c r="L105" s="520" t="str">
        <f>IF(B105="","",VLOOKUP($B105,'C-1 Site River Baseline'!$C$9:$R$257,15,FALSE))</f>
        <v/>
      </c>
      <c r="M105" s="524" t="str">
        <f>IF(L105="","",VLOOKUP($B105,'C-1 Site River Baseline'!$C$9:$R$257,16,FALSE))</f>
        <v/>
      </c>
      <c r="N105" s="418" t="str">
        <f t="shared" si="9"/>
        <v/>
      </c>
      <c r="O105" s="498" t="str">
        <f t="shared" si="10"/>
        <v/>
      </c>
      <c r="P105" s="499" t="str">
        <f>IF(C105="","",IF(AND(LEFT(C105,55)&lt;&gt;LEFT(N105,55),O105="High - High"),"Error - Not like for like ▲",IF(AND(F105=S105,H105&gt;U105),"Error - Can not reduce condition ▲",IF(AND(F105=S105,H105=U105,AJ105='C-1 Site River Baseline'!N103,'C-1 Site River Baseline'!P103=AL105),"Error - No enhancement ▲",IF(AND(C105&lt;&gt;N105,F105&lt;S105),"Lower Distinctiveness Habitat"&amp;" - "&amp;T105,G105&amp;" - "&amp;T105)))))</f>
        <v/>
      </c>
      <c r="Q105" s="567" t="str">
        <f>IF(N105="","",VLOOKUP(B105,'C-1 Site River Baseline'!$C$10:$AA$257,19,FALSE))</f>
        <v/>
      </c>
      <c r="R105" s="498" t="str">
        <f>IF(N105="","",VLOOKUP(N105,'G-7 Rivers Data'!$B$2:$G$8,2,FALSE))</f>
        <v/>
      </c>
      <c r="S105" s="499" t="str">
        <f>IFERROR(VLOOKUP(R105,'G-7 Rivers Data'!$C$4:$D$8,2,FALSE),"")</f>
        <v/>
      </c>
      <c r="T105" s="145"/>
      <c r="U105" s="499" t="str">
        <f>IFERROR(INDEX('G-7 Rivers Data'!$H$4:$L$8,MATCH(N105,'G-7 Rivers Data'!$B$4:$B$8,0),MATCH(T105,'G-7 Rivers Data'!$H$3:$L$3,0)),"")</f>
        <v/>
      </c>
      <c r="V105" s="154"/>
      <c r="W105" s="507" t="str">
        <f>IF(V105="","",IF(VLOOKUP(V105,'G-7 Rivers Data'!$AG$4:$AI$9,2,FALSE)=0,"Spatial Data Missing ⚠",VLOOKUP(V105,'G-7 Rivers Data'!$AG$4:$AI$9,2,FALSE)))</f>
        <v/>
      </c>
      <c r="X105" s="499" t="str">
        <f>IF(V105="","",IF(VLOOKUP(V105,'G-7 Rivers Data'!$AG$4:$AI$9,3,FALSE)=0,"Spatial Data Missing ⚠",VLOOKUP(V105,'G-7 Rivers Data'!$AG$4:$AI$9,3,FALSE)))</f>
        <v/>
      </c>
      <c r="Y105" s="498" t="str">
        <f>IFERROR(IF(OR(LEFT(P105,5)="Error ▲",LEFT(O105,5)="Error ▲"),"Check Data ⚠",IF(F105&lt;S105,'G-7 Rivers Data'!$R$3,INDEX('G-7 Rivers Data'!$U$5:$Y$9,MATCH(G105,'G-7 Rivers Data'!$T$5:$T$9,0),MATCH(T105,'G-7 Rivers Data'!$U$4:$Y$4,0)))),"")</f>
        <v/>
      </c>
      <c r="Z105" s="195"/>
      <c r="AA105" s="195"/>
      <c r="AB105" s="507" t="str">
        <f t="shared" si="11"/>
        <v/>
      </c>
      <c r="AC105" s="521" t="str">
        <f t="shared" si="12"/>
        <v/>
      </c>
      <c r="AD105" s="564" t="str">
        <f>IFERROR(IF(AC105="Check Data ⚠","Check Data ⚠",VLOOKUP(AC105,'G-4 Temporal multipliers'!$A$4:$C$37,3,FALSE)),"")</f>
        <v/>
      </c>
      <c r="AE105" s="498" t="str">
        <f>IF(N105="","",VLOOKUP(N105,'G-7 Rivers Data'!$B$4:$G$8,5,FALSE))</f>
        <v/>
      </c>
      <c r="AF105" s="507" t="str">
        <f t="shared" si="13"/>
        <v/>
      </c>
      <c r="AG105" s="540" t="str">
        <f t="shared" si="14"/>
        <v/>
      </c>
      <c r="AH105" s="499" t="str">
        <f t="shared" si="8"/>
        <v/>
      </c>
      <c r="AI105" s="145"/>
      <c r="AJ105" s="499" t="str">
        <f>IF(AI105="","",IF(VLOOKUP(AI105,'G-7 Rivers Data'!$AA$4:$AB$7,2,FALSE)=0,"Spatial Data Missing ⚠",VLOOKUP(AI105,'G-7 Rivers Data'!$AA$4:$AB$7,2,FALSE)))</f>
        <v/>
      </c>
      <c r="AK105" s="155"/>
      <c r="AL105" s="499" t="str">
        <f>IF(AK105="","",IF(VLOOKUP(AK105,'G-7 Rivers Data'!$AD$4:$AE$8,2,FALSE)=0,"Spatial Data Missing ⚠",VLOOKUP(AK105,'G-7 Rivers Data'!$AD$4:$AE$8,2,FALSE)))</f>
        <v/>
      </c>
      <c r="AM105" s="545" t="str">
        <f t="shared" si="15"/>
        <v/>
      </c>
      <c r="AN105" s="149"/>
      <c r="AO105" s="150"/>
      <c r="AV105" s="31" t="str">
        <f>IFERROR(INDEX('G-7 Rivers Data'!$AZ$3:$AZ$7,MATCH(N105,'G-7 Rivers Data'!$AY$3:$AY$7,0)),"")</f>
        <v/>
      </c>
    </row>
    <row r="106" spans="2:48" ht="13.8" x14ac:dyDescent="0.25">
      <c r="B106" s="531" t="str">
        <f>'C-1 Site River Baseline'!AN104</f>
        <v/>
      </c>
      <c r="C106" s="520" t="str">
        <f>IF(B106="","",VLOOKUP($B106,'C-1 Site River Baseline'!$C$9:$R$257,2,FALSE))</f>
        <v/>
      </c>
      <c r="D106" s="520" t="str">
        <f>IF(C106="","",VLOOKUP($B106,'C-1 Site River Baseline'!$C$9:$R$257,3,FALSE))</f>
        <v/>
      </c>
      <c r="E106" s="520" t="str">
        <f>IF(D106="","",VLOOKUP($B106,'C-1 Site River Baseline'!$C$9:$R$257,4,FALSE))</f>
        <v/>
      </c>
      <c r="F106" s="520" t="str">
        <f>IF(E106="","",VLOOKUP($B106,'C-1 Site River Baseline'!$C$9:$R$257,5,FALSE))</f>
        <v/>
      </c>
      <c r="G106" s="520" t="str">
        <f>IF(F106="","",VLOOKUP($B106,'C-1 Site River Baseline'!$C$9:$R$257,6,FALSE))</f>
        <v/>
      </c>
      <c r="H106" s="520" t="str">
        <f>IF(G106="","",VLOOKUP($B106,'C-1 Site River Baseline'!$C$9:$R$257,7,FALSE))</f>
        <v/>
      </c>
      <c r="I106" s="520" t="str">
        <f>IF(H106="","",VLOOKUP($B106,'C-1 Site River Baseline'!$C$9:$R$257,8,FALSE))</f>
        <v/>
      </c>
      <c r="J106" s="520" t="str">
        <f>IF(I106="","",VLOOKUP($B106,'C-1 Site River Baseline'!$C$9:$R$257,9,FALSE))</f>
        <v/>
      </c>
      <c r="K106" s="520" t="str">
        <f>IF(J106="","",VLOOKUP($B106,'C-1 Site River Baseline'!$C$9:$R$257,10,FALSE))</f>
        <v/>
      </c>
      <c r="L106" s="520" t="str">
        <f>IF(B106="","",VLOOKUP($B106,'C-1 Site River Baseline'!$C$9:$R$257,15,FALSE))</f>
        <v/>
      </c>
      <c r="M106" s="524" t="str">
        <f>IF(L106="","",VLOOKUP($B106,'C-1 Site River Baseline'!$C$9:$R$257,16,FALSE))</f>
        <v/>
      </c>
      <c r="N106" s="418" t="str">
        <f t="shared" si="9"/>
        <v/>
      </c>
      <c r="O106" s="498" t="str">
        <f t="shared" si="10"/>
        <v/>
      </c>
      <c r="P106" s="499" t="str">
        <f>IF(C106="","",IF(AND(LEFT(C106,55)&lt;&gt;LEFT(N106,55),O106="High - High"),"Error - Not like for like ▲",IF(AND(F106=S106,H106&gt;U106),"Error - Can not reduce condition ▲",IF(AND(F106=S106,H106=U106,AJ106='C-1 Site River Baseline'!N104,'C-1 Site River Baseline'!P104=AL106),"Error - No enhancement ▲",IF(AND(C106&lt;&gt;N106,F106&lt;S106),"Lower Distinctiveness Habitat"&amp;" - "&amp;T106,G106&amp;" - "&amp;T106)))))</f>
        <v/>
      </c>
      <c r="Q106" s="567" t="str">
        <f>IF(N106="","",VLOOKUP(B106,'C-1 Site River Baseline'!$C$10:$AA$257,19,FALSE))</f>
        <v/>
      </c>
      <c r="R106" s="498" t="str">
        <f>IF(N106="","",VLOOKUP(N106,'G-7 Rivers Data'!$B$2:$G$8,2,FALSE))</f>
        <v/>
      </c>
      <c r="S106" s="499" t="str">
        <f>IFERROR(VLOOKUP(R106,'G-7 Rivers Data'!$C$4:$D$8,2,FALSE),"")</f>
        <v/>
      </c>
      <c r="T106" s="145"/>
      <c r="U106" s="499" t="str">
        <f>IFERROR(INDEX('G-7 Rivers Data'!$H$4:$L$8,MATCH(N106,'G-7 Rivers Data'!$B$4:$B$8,0),MATCH(T106,'G-7 Rivers Data'!$H$3:$L$3,0)),"")</f>
        <v/>
      </c>
      <c r="V106" s="154"/>
      <c r="W106" s="507" t="str">
        <f>IF(V106="","",IF(VLOOKUP(V106,'G-7 Rivers Data'!$AG$4:$AI$9,2,FALSE)=0,"Spatial Data Missing ⚠",VLOOKUP(V106,'G-7 Rivers Data'!$AG$4:$AI$9,2,FALSE)))</f>
        <v/>
      </c>
      <c r="X106" s="499" t="str">
        <f>IF(V106="","",IF(VLOOKUP(V106,'G-7 Rivers Data'!$AG$4:$AI$9,3,FALSE)=0,"Spatial Data Missing ⚠",VLOOKUP(V106,'G-7 Rivers Data'!$AG$4:$AI$9,3,FALSE)))</f>
        <v/>
      </c>
      <c r="Y106" s="498" t="str">
        <f>IFERROR(IF(OR(LEFT(P106,5)="Error ▲",LEFT(O106,5)="Error ▲"),"Check Data ⚠",IF(F106&lt;S106,'G-7 Rivers Data'!$R$3,INDEX('G-7 Rivers Data'!$U$5:$Y$9,MATCH(G106,'G-7 Rivers Data'!$T$5:$T$9,0),MATCH(T106,'G-7 Rivers Data'!$U$4:$Y$4,0)))),"")</f>
        <v/>
      </c>
      <c r="Z106" s="195"/>
      <c r="AA106" s="195"/>
      <c r="AB106" s="507" t="str">
        <f t="shared" si="11"/>
        <v/>
      </c>
      <c r="AC106" s="521" t="str">
        <f t="shared" si="12"/>
        <v/>
      </c>
      <c r="AD106" s="564" t="str">
        <f>IFERROR(IF(AC106="Check Data ⚠","Check Data ⚠",VLOOKUP(AC106,'G-4 Temporal multipliers'!$A$4:$C$37,3,FALSE)),"")</f>
        <v/>
      </c>
      <c r="AE106" s="498" t="str">
        <f>IF(N106="","",VLOOKUP(N106,'G-7 Rivers Data'!$B$4:$G$8,5,FALSE))</f>
        <v/>
      </c>
      <c r="AF106" s="507" t="str">
        <f t="shared" si="13"/>
        <v/>
      </c>
      <c r="AG106" s="540" t="str">
        <f t="shared" si="14"/>
        <v/>
      </c>
      <c r="AH106" s="499" t="str">
        <f t="shared" si="8"/>
        <v/>
      </c>
      <c r="AI106" s="145"/>
      <c r="AJ106" s="499" t="str">
        <f>IF(AI106="","",IF(VLOOKUP(AI106,'G-7 Rivers Data'!$AA$4:$AB$7,2,FALSE)=0,"Spatial Data Missing ⚠",VLOOKUP(AI106,'G-7 Rivers Data'!$AA$4:$AB$7,2,FALSE)))</f>
        <v/>
      </c>
      <c r="AK106" s="155"/>
      <c r="AL106" s="499" t="str">
        <f>IF(AK106="","",IF(VLOOKUP(AK106,'G-7 Rivers Data'!$AD$4:$AE$8,2,FALSE)=0,"Spatial Data Missing ⚠",VLOOKUP(AK106,'G-7 Rivers Data'!$AD$4:$AE$8,2,FALSE)))</f>
        <v/>
      </c>
      <c r="AM106" s="545" t="str">
        <f t="shared" si="15"/>
        <v/>
      </c>
      <c r="AN106" s="149"/>
      <c r="AO106" s="150"/>
      <c r="AV106" s="31" t="str">
        <f>IFERROR(INDEX('G-7 Rivers Data'!$AZ$3:$AZ$7,MATCH(N106,'G-7 Rivers Data'!$AY$3:$AY$7,0)),"")</f>
        <v/>
      </c>
    </row>
    <row r="107" spans="2:48" ht="13.8" x14ac:dyDescent="0.25">
      <c r="B107" s="531" t="str">
        <f>'C-1 Site River Baseline'!AN105</f>
        <v/>
      </c>
      <c r="C107" s="520" t="str">
        <f>IF(B107="","",VLOOKUP($B107,'C-1 Site River Baseline'!$C$9:$R$257,2,FALSE))</f>
        <v/>
      </c>
      <c r="D107" s="520" t="str">
        <f>IF(C107="","",VLOOKUP($B107,'C-1 Site River Baseline'!$C$9:$R$257,3,FALSE))</f>
        <v/>
      </c>
      <c r="E107" s="520" t="str">
        <f>IF(D107="","",VLOOKUP($B107,'C-1 Site River Baseline'!$C$9:$R$257,4,FALSE))</f>
        <v/>
      </c>
      <c r="F107" s="520" t="str">
        <f>IF(E107="","",VLOOKUP($B107,'C-1 Site River Baseline'!$C$9:$R$257,5,FALSE))</f>
        <v/>
      </c>
      <c r="G107" s="520" t="str">
        <f>IF(F107="","",VLOOKUP($B107,'C-1 Site River Baseline'!$C$9:$R$257,6,FALSE))</f>
        <v/>
      </c>
      <c r="H107" s="520" t="str">
        <f>IF(G107="","",VLOOKUP($B107,'C-1 Site River Baseline'!$C$9:$R$257,7,FALSE))</f>
        <v/>
      </c>
      <c r="I107" s="520" t="str">
        <f>IF(H107="","",VLOOKUP($B107,'C-1 Site River Baseline'!$C$9:$R$257,8,FALSE))</f>
        <v/>
      </c>
      <c r="J107" s="520" t="str">
        <f>IF(I107="","",VLOOKUP($B107,'C-1 Site River Baseline'!$C$9:$R$257,9,FALSE))</f>
        <v/>
      </c>
      <c r="K107" s="520" t="str">
        <f>IF(J107="","",VLOOKUP($B107,'C-1 Site River Baseline'!$C$9:$R$257,10,FALSE))</f>
        <v/>
      </c>
      <c r="L107" s="520" t="str">
        <f>IF(B107="","",VLOOKUP($B107,'C-1 Site River Baseline'!$C$9:$R$257,15,FALSE))</f>
        <v/>
      </c>
      <c r="M107" s="524" t="str">
        <f>IF(L107="","",VLOOKUP($B107,'C-1 Site River Baseline'!$C$9:$R$257,16,FALSE))</f>
        <v/>
      </c>
      <c r="N107" s="418" t="str">
        <f t="shared" si="9"/>
        <v/>
      </c>
      <c r="O107" s="498" t="str">
        <f t="shared" si="10"/>
        <v/>
      </c>
      <c r="P107" s="499" t="str">
        <f>IF(C107="","",IF(AND(LEFT(C107,55)&lt;&gt;LEFT(N107,55),O107="High - High"),"Error - Not like for like ▲",IF(AND(F107=S107,H107&gt;U107),"Error - Can not reduce condition ▲",IF(AND(F107=S107,H107=U107,AJ107='C-1 Site River Baseline'!N105,'C-1 Site River Baseline'!P105=AL107),"Error - No enhancement ▲",IF(AND(C107&lt;&gt;N107,F107&lt;S107),"Lower Distinctiveness Habitat"&amp;" - "&amp;T107,G107&amp;" - "&amp;T107)))))</f>
        <v/>
      </c>
      <c r="Q107" s="567" t="str">
        <f>IF(N107="","",VLOOKUP(B107,'C-1 Site River Baseline'!$C$10:$AA$257,19,FALSE))</f>
        <v/>
      </c>
      <c r="R107" s="498" t="str">
        <f>IF(N107="","",VLOOKUP(N107,'G-7 Rivers Data'!$B$2:$G$8,2,FALSE))</f>
        <v/>
      </c>
      <c r="S107" s="499" t="str">
        <f>IFERROR(VLOOKUP(R107,'G-7 Rivers Data'!$C$4:$D$8,2,FALSE),"")</f>
        <v/>
      </c>
      <c r="T107" s="145"/>
      <c r="U107" s="499" t="str">
        <f>IFERROR(INDEX('G-7 Rivers Data'!$H$4:$L$8,MATCH(N107,'G-7 Rivers Data'!$B$4:$B$8,0),MATCH(T107,'G-7 Rivers Data'!$H$3:$L$3,0)),"")</f>
        <v/>
      </c>
      <c r="V107" s="154"/>
      <c r="W107" s="507" t="str">
        <f>IF(V107="","",IF(VLOOKUP(V107,'G-7 Rivers Data'!$AG$4:$AI$9,2,FALSE)=0,"Spatial Data Missing ⚠",VLOOKUP(V107,'G-7 Rivers Data'!$AG$4:$AI$9,2,FALSE)))</f>
        <v/>
      </c>
      <c r="X107" s="499" t="str">
        <f>IF(V107="","",IF(VLOOKUP(V107,'G-7 Rivers Data'!$AG$4:$AI$9,3,FALSE)=0,"Spatial Data Missing ⚠",VLOOKUP(V107,'G-7 Rivers Data'!$AG$4:$AI$9,3,FALSE)))</f>
        <v/>
      </c>
      <c r="Y107" s="498" t="str">
        <f>IFERROR(IF(OR(LEFT(P107,5)="Error ▲",LEFT(O107,5)="Error ▲"),"Check Data ⚠",IF(F107&lt;S107,'G-7 Rivers Data'!$R$3,INDEX('G-7 Rivers Data'!$U$5:$Y$9,MATCH(G107,'G-7 Rivers Data'!$T$5:$T$9,0),MATCH(T107,'G-7 Rivers Data'!$U$4:$Y$4,0)))),"")</f>
        <v/>
      </c>
      <c r="Z107" s="195"/>
      <c r="AA107" s="195"/>
      <c r="AB107" s="507" t="str">
        <f t="shared" si="11"/>
        <v/>
      </c>
      <c r="AC107" s="521" t="str">
        <f t="shared" si="12"/>
        <v/>
      </c>
      <c r="AD107" s="564" t="str">
        <f>IFERROR(IF(AC107="Check Data ⚠","Check Data ⚠",VLOOKUP(AC107,'G-4 Temporal multipliers'!$A$4:$C$37,3,FALSE)),"")</f>
        <v/>
      </c>
      <c r="AE107" s="498" t="str">
        <f>IF(N107="","",VLOOKUP(N107,'G-7 Rivers Data'!$B$4:$G$8,5,FALSE))</f>
        <v/>
      </c>
      <c r="AF107" s="507" t="str">
        <f t="shared" si="13"/>
        <v/>
      </c>
      <c r="AG107" s="540" t="str">
        <f t="shared" si="14"/>
        <v/>
      </c>
      <c r="AH107" s="499" t="str">
        <f t="shared" si="8"/>
        <v/>
      </c>
      <c r="AI107" s="145"/>
      <c r="AJ107" s="499" t="str">
        <f>IF(AI107="","",IF(VLOOKUP(AI107,'G-7 Rivers Data'!$AA$4:$AB$7,2,FALSE)=0,"Spatial Data Missing ⚠",VLOOKUP(AI107,'G-7 Rivers Data'!$AA$4:$AB$7,2,FALSE)))</f>
        <v/>
      </c>
      <c r="AK107" s="155"/>
      <c r="AL107" s="499" t="str">
        <f>IF(AK107="","",IF(VLOOKUP(AK107,'G-7 Rivers Data'!$AD$4:$AE$8,2,FALSE)=0,"Spatial Data Missing ⚠",VLOOKUP(AK107,'G-7 Rivers Data'!$AD$4:$AE$8,2,FALSE)))</f>
        <v/>
      </c>
      <c r="AM107" s="545" t="str">
        <f t="shared" si="15"/>
        <v/>
      </c>
      <c r="AN107" s="149"/>
      <c r="AO107" s="150"/>
      <c r="AV107" s="31" t="str">
        <f>IFERROR(INDEX('G-7 Rivers Data'!$AZ$3:$AZ$7,MATCH(N107,'G-7 Rivers Data'!$AY$3:$AY$7,0)),"")</f>
        <v/>
      </c>
    </row>
    <row r="108" spans="2:48" ht="13.8" x14ac:dyDescent="0.25">
      <c r="B108" s="531" t="str">
        <f>'C-1 Site River Baseline'!AN106</f>
        <v/>
      </c>
      <c r="C108" s="520" t="str">
        <f>IF(B108="","",VLOOKUP($B108,'C-1 Site River Baseline'!$C$9:$R$257,2,FALSE))</f>
        <v/>
      </c>
      <c r="D108" s="520" t="str">
        <f>IF(C108="","",VLOOKUP($B108,'C-1 Site River Baseline'!$C$9:$R$257,3,FALSE))</f>
        <v/>
      </c>
      <c r="E108" s="520" t="str">
        <f>IF(D108="","",VLOOKUP($B108,'C-1 Site River Baseline'!$C$9:$R$257,4,FALSE))</f>
        <v/>
      </c>
      <c r="F108" s="520" t="str">
        <f>IF(E108="","",VLOOKUP($B108,'C-1 Site River Baseline'!$C$9:$R$257,5,FALSE))</f>
        <v/>
      </c>
      <c r="G108" s="520" t="str">
        <f>IF(F108="","",VLOOKUP($B108,'C-1 Site River Baseline'!$C$9:$R$257,6,FALSE))</f>
        <v/>
      </c>
      <c r="H108" s="520" t="str">
        <f>IF(G108="","",VLOOKUP($B108,'C-1 Site River Baseline'!$C$9:$R$257,7,FALSE))</f>
        <v/>
      </c>
      <c r="I108" s="520" t="str">
        <f>IF(H108="","",VLOOKUP($B108,'C-1 Site River Baseline'!$C$9:$R$257,8,FALSE))</f>
        <v/>
      </c>
      <c r="J108" s="520" t="str">
        <f>IF(I108="","",VLOOKUP($B108,'C-1 Site River Baseline'!$C$9:$R$257,9,FALSE))</f>
        <v/>
      </c>
      <c r="K108" s="520" t="str">
        <f>IF(J108="","",VLOOKUP($B108,'C-1 Site River Baseline'!$C$9:$R$257,10,FALSE))</f>
        <v/>
      </c>
      <c r="L108" s="520" t="str">
        <f>IF(B108="","",VLOOKUP($B108,'C-1 Site River Baseline'!$C$9:$R$257,15,FALSE))</f>
        <v/>
      </c>
      <c r="M108" s="524" t="str">
        <f>IF(L108="","",VLOOKUP($B108,'C-1 Site River Baseline'!$C$9:$R$257,16,FALSE))</f>
        <v/>
      </c>
      <c r="N108" s="418" t="str">
        <f t="shared" si="9"/>
        <v/>
      </c>
      <c r="O108" s="498" t="str">
        <f t="shared" si="10"/>
        <v/>
      </c>
      <c r="P108" s="499" t="str">
        <f>IF(C108="","",IF(AND(LEFT(C108,55)&lt;&gt;LEFT(N108,55),O108="High - High"),"Error - Not like for like ▲",IF(AND(F108=S108,H108&gt;U108),"Error - Can not reduce condition ▲",IF(AND(F108=S108,H108=U108,AJ108='C-1 Site River Baseline'!N106,'C-1 Site River Baseline'!P106=AL108),"Error - No enhancement ▲",IF(AND(C108&lt;&gt;N108,F108&lt;S108),"Lower Distinctiveness Habitat"&amp;" - "&amp;T108,G108&amp;" - "&amp;T108)))))</f>
        <v/>
      </c>
      <c r="Q108" s="567" t="str">
        <f>IF(N108="","",VLOOKUP(B108,'C-1 Site River Baseline'!$C$10:$AA$257,19,FALSE))</f>
        <v/>
      </c>
      <c r="R108" s="498" t="str">
        <f>IF(N108="","",VLOOKUP(N108,'G-7 Rivers Data'!$B$2:$G$8,2,FALSE))</f>
        <v/>
      </c>
      <c r="S108" s="499" t="str">
        <f>IFERROR(VLOOKUP(R108,'G-7 Rivers Data'!$C$4:$D$8,2,FALSE),"")</f>
        <v/>
      </c>
      <c r="T108" s="145"/>
      <c r="U108" s="499" t="str">
        <f>IFERROR(INDEX('G-7 Rivers Data'!$H$4:$L$8,MATCH(N108,'G-7 Rivers Data'!$B$4:$B$8,0),MATCH(T108,'G-7 Rivers Data'!$H$3:$L$3,0)),"")</f>
        <v/>
      </c>
      <c r="V108" s="154"/>
      <c r="W108" s="507" t="str">
        <f>IF(V108="","",IF(VLOOKUP(V108,'G-7 Rivers Data'!$AG$4:$AI$9,2,FALSE)=0,"Spatial Data Missing ⚠",VLOOKUP(V108,'G-7 Rivers Data'!$AG$4:$AI$9,2,FALSE)))</f>
        <v/>
      </c>
      <c r="X108" s="499" t="str">
        <f>IF(V108="","",IF(VLOOKUP(V108,'G-7 Rivers Data'!$AG$4:$AI$9,3,FALSE)=0,"Spatial Data Missing ⚠",VLOOKUP(V108,'G-7 Rivers Data'!$AG$4:$AI$9,3,FALSE)))</f>
        <v/>
      </c>
      <c r="Y108" s="498" t="str">
        <f>IFERROR(IF(OR(LEFT(P108,5)="Error ▲",LEFT(O108,5)="Error ▲"),"Check Data ⚠",IF(F108&lt;S108,'G-7 Rivers Data'!$R$3,INDEX('G-7 Rivers Data'!$U$5:$Y$9,MATCH(G108,'G-7 Rivers Data'!$T$5:$T$9,0),MATCH(T108,'G-7 Rivers Data'!$U$4:$Y$4,0)))),"")</f>
        <v/>
      </c>
      <c r="Z108" s="195"/>
      <c r="AA108" s="195"/>
      <c r="AB108" s="507" t="str">
        <f t="shared" si="11"/>
        <v/>
      </c>
      <c r="AC108" s="521" t="str">
        <f t="shared" si="12"/>
        <v/>
      </c>
      <c r="AD108" s="564" t="str">
        <f>IFERROR(IF(AC108="Check Data ⚠","Check Data ⚠",VLOOKUP(AC108,'G-4 Temporal multipliers'!$A$4:$C$37,3,FALSE)),"")</f>
        <v/>
      </c>
      <c r="AE108" s="498" t="str">
        <f>IF(N108="","",VLOOKUP(N108,'G-7 Rivers Data'!$B$4:$G$8,5,FALSE))</f>
        <v/>
      </c>
      <c r="AF108" s="507" t="str">
        <f t="shared" si="13"/>
        <v/>
      </c>
      <c r="AG108" s="540" t="str">
        <f t="shared" si="14"/>
        <v/>
      </c>
      <c r="AH108" s="499" t="str">
        <f t="shared" si="8"/>
        <v/>
      </c>
      <c r="AI108" s="145"/>
      <c r="AJ108" s="499" t="str">
        <f>IF(AI108="","",IF(VLOOKUP(AI108,'G-7 Rivers Data'!$AA$4:$AB$7,2,FALSE)=0,"Spatial Data Missing ⚠",VLOOKUP(AI108,'G-7 Rivers Data'!$AA$4:$AB$7,2,FALSE)))</f>
        <v/>
      </c>
      <c r="AK108" s="155"/>
      <c r="AL108" s="499" t="str">
        <f>IF(AK108="","",IF(VLOOKUP(AK108,'G-7 Rivers Data'!$AD$4:$AE$8,2,FALSE)=0,"Spatial Data Missing ⚠",VLOOKUP(AK108,'G-7 Rivers Data'!$AD$4:$AE$8,2,FALSE)))</f>
        <v/>
      </c>
      <c r="AM108" s="545" t="str">
        <f t="shared" si="15"/>
        <v/>
      </c>
      <c r="AN108" s="149"/>
      <c r="AO108" s="150"/>
      <c r="AV108" s="31" t="str">
        <f>IFERROR(INDEX('G-7 Rivers Data'!$AZ$3:$AZ$7,MATCH(N108,'G-7 Rivers Data'!$AY$3:$AY$7,0)),"")</f>
        <v/>
      </c>
    </row>
    <row r="109" spans="2:48" ht="13.8" x14ac:dyDescent="0.25">
      <c r="B109" s="531" t="str">
        <f>'C-1 Site River Baseline'!AN107</f>
        <v/>
      </c>
      <c r="C109" s="520" t="str">
        <f>IF(B109="","",VLOOKUP($B109,'C-1 Site River Baseline'!$C$9:$R$257,2,FALSE))</f>
        <v/>
      </c>
      <c r="D109" s="520" t="str">
        <f>IF(C109="","",VLOOKUP($B109,'C-1 Site River Baseline'!$C$9:$R$257,3,FALSE))</f>
        <v/>
      </c>
      <c r="E109" s="520" t="str">
        <f>IF(D109="","",VLOOKUP($B109,'C-1 Site River Baseline'!$C$9:$R$257,4,FALSE))</f>
        <v/>
      </c>
      <c r="F109" s="520" t="str">
        <f>IF(E109="","",VLOOKUP($B109,'C-1 Site River Baseline'!$C$9:$R$257,5,FALSE))</f>
        <v/>
      </c>
      <c r="G109" s="520" t="str">
        <f>IF(F109="","",VLOOKUP($B109,'C-1 Site River Baseline'!$C$9:$R$257,6,FALSE))</f>
        <v/>
      </c>
      <c r="H109" s="520" t="str">
        <f>IF(G109="","",VLOOKUP($B109,'C-1 Site River Baseline'!$C$9:$R$257,7,FALSE))</f>
        <v/>
      </c>
      <c r="I109" s="520" t="str">
        <f>IF(H109="","",VLOOKUP($B109,'C-1 Site River Baseline'!$C$9:$R$257,8,FALSE))</f>
        <v/>
      </c>
      <c r="J109" s="520" t="str">
        <f>IF(I109="","",VLOOKUP($B109,'C-1 Site River Baseline'!$C$9:$R$257,9,FALSE))</f>
        <v/>
      </c>
      <c r="K109" s="520" t="str">
        <f>IF(J109="","",VLOOKUP($B109,'C-1 Site River Baseline'!$C$9:$R$257,10,FALSE))</f>
        <v/>
      </c>
      <c r="L109" s="520" t="str">
        <f>IF(B109="","",VLOOKUP($B109,'C-1 Site River Baseline'!$C$9:$R$257,15,FALSE))</f>
        <v/>
      </c>
      <c r="M109" s="524" t="str">
        <f>IF(L109="","",VLOOKUP($B109,'C-1 Site River Baseline'!$C$9:$R$257,16,FALSE))</f>
        <v/>
      </c>
      <c r="N109" s="418" t="str">
        <f t="shared" si="9"/>
        <v/>
      </c>
      <c r="O109" s="498" t="str">
        <f t="shared" si="10"/>
        <v/>
      </c>
      <c r="P109" s="499" t="str">
        <f>IF(C109="","",IF(AND(LEFT(C109,55)&lt;&gt;LEFT(N109,55),O109="High - High"),"Error - Not like for like ▲",IF(AND(F109=S109,H109&gt;U109),"Error - Can not reduce condition ▲",IF(AND(F109=S109,H109=U109,AJ109='C-1 Site River Baseline'!N107,'C-1 Site River Baseline'!P107=AL109),"Error - No enhancement ▲",IF(AND(C109&lt;&gt;N109,F109&lt;S109),"Lower Distinctiveness Habitat"&amp;" - "&amp;T109,G109&amp;" - "&amp;T109)))))</f>
        <v/>
      </c>
      <c r="Q109" s="567" t="str">
        <f>IF(N109="","",VLOOKUP(B109,'C-1 Site River Baseline'!$C$10:$AA$257,19,FALSE))</f>
        <v/>
      </c>
      <c r="R109" s="498" t="str">
        <f>IF(N109="","",VLOOKUP(N109,'G-7 Rivers Data'!$B$2:$G$8,2,FALSE))</f>
        <v/>
      </c>
      <c r="S109" s="499" t="str">
        <f>IFERROR(VLOOKUP(R109,'G-7 Rivers Data'!$C$4:$D$8,2,FALSE),"")</f>
        <v/>
      </c>
      <c r="T109" s="145"/>
      <c r="U109" s="499" t="str">
        <f>IFERROR(INDEX('G-7 Rivers Data'!$H$4:$L$8,MATCH(N109,'G-7 Rivers Data'!$B$4:$B$8,0),MATCH(T109,'G-7 Rivers Data'!$H$3:$L$3,0)),"")</f>
        <v/>
      </c>
      <c r="V109" s="154"/>
      <c r="W109" s="507" t="str">
        <f>IF(V109="","",IF(VLOOKUP(V109,'G-7 Rivers Data'!$AG$4:$AI$9,2,FALSE)=0,"Spatial Data Missing ⚠",VLOOKUP(V109,'G-7 Rivers Data'!$AG$4:$AI$9,2,FALSE)))</f>
        <v/>
      </c>
      <c r="X109" s="499" t="str">
        <f>IF(V109="","",IF(VLOOKUP(V109,'G-7 Rivers Data'!$AG$4:$AI$9,3,FALSE)=0,"Spatial Data Missing ⚠",VLOOKUP(V109,'G-7 Rivers Data'!$AG$4:$AI$9,3,FALSE)))</f>
        <v/>
      </c>
      <c r="Y109" s="498" t="str">
        <f>IFERROR(IF(OR(LEFT(P109,5)="Error ▲",LEFT(O109,5)="Error ▲"),"Check Data ⚠",IF(F109&lt;S109,'G-7 Rivers Data'!$R$3,INDEX('G-7 Rivers Data'!$U$5:$Y$9,MATCH(G109,'G-7 Rivers Data'!$T$5:$T$9,0),MATCH(T109,'G-7 Rivers Data'!$U$4:$Y$4,0)))),"")</f>
        <v/>
      </c>
      <c r="Z109" s="195"/>
      <c r="AA109" s="195"/>
      <c r="AB109" s="507" t="str">
        <f t="shared" si="11"/>
        <v/>
      </c>
      <c r="AC109" s="521" t="str">
        <f t="shared" si="12"/>
        <v/>
      </c>
      <c r="AD109" s="564" t="str">
        <f>IFERROR(IF(AC109="Check Data ⚠","Check Data ⚠",VLOOKUP(AC109,'G-4 Temporal multipliers'!$A$4:$C$37,3,FALSE)),"")</f>
        <v/>
      </c>
      <c r="AE109" s="498" t="str">
        <f>IF(N109="","",VLOOKUP(N109,'G-7 Rivers Data'!$B$4:$G$8,5,FALSE))</f>
        <v/>
      </c>
      <c r="AF109" s="507" t="str">
        <f t="shared" si="13"/>
        <v/>
      </c>
      <c r="AG109" s="540" t="str">
        <f t="shared" si="14"/>
        <v/>
      </c>
      <c r="AH109" s="499" t="str">
        <f t="shared" si="8"/>
        <v/>
      </c>
      <c r="AI109" s="145"/>
      <c r="AJ109" s="499" t="str">
        <f>IF(AI109="","",IF(VLOOKUP(AI109,'G-7 Rivers Data'!$AA$4:$AB$7,2,FALSE)=0,"Spatial Data Missing ⚠",VLOOKUP(AI109,'G-7 Rivers Data'!$AA$4:$AB$7,2,FALSE)))</f>
        <v/>
      </c>
      <c r="AK109" s="155"/>
      <c r="AL109" s="499" t="str">
        <f>IF(AK109="","",IF(VLOOKUP(AK109,'G-7 Rivers Data'!$AD$4:$AE$8,2,FALSE)=0,"Spatial Data Missing ⚠",VLOOKUP(AK109,'G-7 Rivers Data'!$AD$4:$AE$8,2,FALSE)))</f>
        <v/>
      </c>
      <c r="AM109" s="545" t="str">
        <f t="shared" si="15"/>
        <v/>
      </c>
      <c r="AN109" s="149"/>
      <c r="AO109" s="150"/>
      <c r="AV109" s="31" t="str">
        <f>IFERROR(INDEX('G-7 Rivers Data'!$AZ$3:$AZ$7,MATCH(N109,'G-7 Rivers Data'!$AY$3:$AY$7,0)),"")</f>
        <v/>
      </c>
    </row>
    <row r="110" spans="2:48" ht="13.8" x14ac:dyDescent="0.25">
      <c r="B110" s="531" t="str">
        <f>'C-1 Site River Baseline'!AN108</f>
        <v/>
      </c>
      <c r="C110" s="520" t="str">
        <f>IF(B110="","",VLOOKUP($B110,'C-1 Site River Baseline'!$C$9:$R$257,2,FALSE))</f>
        <v/>
      </c>
      <c r="D110" s="520" t="str">
        <f>IF(C110="","",VLOOKUP($B110,'C-1 Site River Baseline'!$C$9:$R$257,3,FALSE))</f>
        <v/>
      </c>
      <c r="E110" s="520" t="str">
        <f>IF(D110="","",VLOOKUP($B110,'C-1 Site River Baseline'!$C$9:$R$257,4,FALSE))</f>
        <v/>
      </c>
      <c r="F110" s="520" t="str">
        <f>IF(E110="","",VLOOKUP($B110,'C-1 Site River Baseline'!$C$9:$R$257,5,FALSE))</f>
        <v/>
      </c>
      <c r="G110" s="520" t="str">
        <f>IF(F110="","",VLOOKUP($B110,'C-1 Site River Baseline'!$C$9:$R$257,6,FALSE))</f>
        <v/>
      </c>
      <c r="H110" s="520" t="str">
        <f>IF(G110="","",VLOOKUP($B110,'C-1 Site River Baseline'!$C$9:$R$257,7,FALSE))</f>
        <v/>
      </c>
      <c r="I110" s="520" t="str">
        <f>IF(H110="","",VLOOKUP($B110,'C-1 Site River Baseline'!$C$9:$R$257,8,FALSE))</f>
        <v/>
      </c>
      <c r="J110" s="520" t="str">
        <f>IF(I110="","",VLOOKUP($B110,'C-1 Site River Baseline'!$C$9:$R$257,9,FALSE))</f>
        <v/>
      </c>
      <c r="K110" s="520" t="str">
        <f>IF(J110="","",VLOOKUP($B110,'C-1 Site River Baseline'!$C$9:$R$257,10,FALSE))</f>
        <v/>
      </c>
      <c r="L110" s="520" t="str">
        <f>IF(B110="","",VLOOKUP($B110,'C-1 Site River Baseline'!$C$9:$R$257,15,FALSE))</f>
        <v/>
      </c>
      <c r="M110" s="524" t="str">
        <f>IF(L110="","",VLOOKUP($B110,'C-1 Site River Baseline'!$C$9:$R$257,16,FALSE))</f>
        <v/>
      </c>
      <c r="N110" s="418" t="str">
        <f t="shared" si="9"/>
        <v/>
      </c>
      <c r="O110" s="498" t="str">
        <f t="shared" si="10"/>
        <v/>
      </c>
      <c r="P110" s="499" t="str">
        <f>IF(C110="","",IF(AND(LEFT(C110,55)&lt;&gt;LEFT(N110,55),O110="High - High"),"Error - Not like for like ▲",IF(AND(F110=S110,H110&gt;U110),"Error - Can not reduce condition ▲",IF(AND(F110=S110,H110=U110,AJ110='C-1 Site River Baseline'!N108,'C-1 Site River Baseline'!P108=AL110),"Error - No enhancement ▲",IF(AND(C110&lt;&gt;N110,F110&lt;S110),"Lower Distinctiveness Habitat"&amp;" - "&amp;T110,G110&amp;" - "&amp;T110)))))</f>
        <v/>
      </c>
      <c r="Q110" s="567" t="str">
        <f>IF(N110="","",VLOOKUP(B110,'C-1 Site River Baseline'!$C$10:$AA$257,19,FALSE))</f>
        <v/>
      </c>
      <c r="R110" s="498" t="str">
        <f>IF(N110="","",VLOOKUP(N110,'G-7 Rivers Data'!$B$2:$G$8,2,FALSE))</f>
        <v/>
      </c>
      <c r="S110" s="499" t="str">
        <f>IFERROR(VLOOKUP(R110,'G-7 Rivers Data'!$C$4:$D$8,2,FALSE),"")</f>
        <v/>
      </c>
      <c r="T110" s="145"/>
      <c r="U110" s="499" t="str">
        <f>IFERROR(INDEX('G-7 Rivers Data'!$H$4:$L$8,MATCH(N110,'G-7 Rivers Data'!$B$4:$B$8,0),MATCH(T110,'G-7 Rivers Data'!$H$3:$L$3,0)),"")</f>
        <v/>
      </c>
      <c r="V110" s="154"/>
      <c r="W110" s="507" t="str">
        <f>IF(V110="","",IF(VLOOKUP(V110,'G-7 Rivers Data'!$AG$4:$AI$9,2,FALSE)=0,"Spatial Data Missing ⚠",VLOOKUP(V110,'G-7 Rivers Data'!$AG$4:$AI$9,2,FALSE)))</f>
        <v/>
      </c>
      <c r="X110" s="499" t="str">
        <f>IF(V110="","",IF(VLOOKUP(V110,'G-7 Rivers Data'!$AG$4:$AI$9,3,FALSE)=0,"Spatial Data Missing ⚠",VLOOKUP(V110,'G-7 Rivers Data'!$AG$4:$AI$9,3,FALSE)))</f>
        <v/>
      </c>
      <c r="Y110" s="498" t="str">
        <f>IFERROR(IF(OR(LEFT(P110,5)="Error ▲",LEFT(O110,5)="Error ▲"),"Check Data ⚠",IF(F110&lt;S110,'G-7 Rivers Data'!$R$3,INDEX('G-7 Rivers Data'!$U$5:$Y$9,MATCH(G110,'G-7 Rivers Data'!$T$5:$T$9,0),MATCH(T110,'G-7 Rivers Data'!$U$4:$Y$4,0)))),"")</f>
        <v/>
      </c>
      <c r="Z110" s="195"/>
      <c r="AA110" s="195"/>
      <c r="AB110" s="507" t="str">
        <f t="shared" si="11"/>
        <v/>
      </c>
      <c r="AC110" s="521" t="str">
        <f t="shared" si="12"/>
        <v/>
      </c>
      <c r="AD110" s="564" t="str">
        <f>IFERROR(IF(AC110="Check Data ⚠","Check Data ⚠",VLOOKUP(AC110,'G-4 Temporal multipliers'!$A$4:$C$37,3,FALSE)),"")</f>
        <v/>
      </c>
      <c r="AE110" s="498" t="str">
        <f>IF(N110="","",VLOOKUP(N110,'G-7 Rivers Data'!$B$4:$G$8,5,FALSE))</f>
        <v/>
      </c>
      <c r="AF110" s="507" t="str">
        <f t="shared" si="13"/>
        <v/>
      </c>
      <c r="AG110" s="540" t="str">
        <f t="shared" si="14"/>
        <v/>
      </c>
      <c r="AH110" s="499" t="str">
        <f t="shared" si="8"/>
        <v/>
      </c>
      <c r="AI110" s="145"/>
      <c r="AJ110" s="499" t="str">
        <f>IF(AI110="","",IF(VLOOKUP(AI110,'G-7 Rivers Data'!$AA$4:$AB$7,2,FALSE)=0,"Spatial Data Missing ⚠",VLOOKUP(AI110,'G-7 Rivers Data'!$AA$4:$AB$7,2,FALSE)))</f>
        <v/>
      </c>
      <c r="AK110" s="155"/>
      <c r="AL110" s="499" t="str">
        <f>IF(AK110="","",IF(VLOOKUP(AK110,'G-7 Rivers Data'!$AD$4:$AE$8,2,FALSE)=0,"Spatial Data Missing ⚠",VLOOKUP(AK110,'G-7 Rivers Data'!$AD$4:$AE$8,2,FALSE)))</f>
        <v/>
      </c>
      <c r="AM110" s="545" t="str">
        <f t="shared" si="15"/>
        <v/>
      </c>
      <c r="AN110" s="149"/>
      <c r="AO110" s="150"/>
      <c r="AV110" s="31" t="str">
        <f>IFERROR(INDEX('G-7 Rivers Data'!$AZ$3:$AZ$7,MATCH(N110,'G-7 Rivers Data'!$AY$3:$AY$7,0)),"")</f>
        <v/>
      </c>
    </row>
    <row r="111" spans="2:48" ht="13.8" x14ac:dyDescent="0.25">
      <c r="B111" s="531" t="str">
        <f>'C-1 Site River Baseline'!AN109</f>
        <v/>
      </c>
      <c r="C111" s="520" t="str">
        <f>IF(B111="","",VLOOKUP($B111,'C-1 Site River Baseline'!$C$9:$R$257,2,FALSE))</f>
        <v/>
      </c>
      <c r="D111" s="520" t="str">
        <f>IF(C111="","",VLOOKUP($B111,'C-1 Site River Baseline'!$C$9:$R$257,3,FALSE))</f>
        <v/>
      </c>
      <c r="E111" s="520" t="str">
        <f>IF(D111="","",VLOOKUP($B111,'C-1 Site River Baseline'!$C$9:$R$257,4,FALSE))</f>
        <v/>
      </c>
      <c r="F111" s="520" t="str">
        <f>IF(E111="","",VLOOKUP($B111,'C-1 Site River Baseline'!$C$9:$R$257,5,FALSE))</f>
        <v/>
      </c>
      <c r="G111" s="520" t="str">
        <f>IF(F111="","",VLOOKUP($B111,'C-1 Site River Baseline'!$C$9:$R$257,6,FALSE))</f>
        <v/>
      </c>
      <c r="H111" s="520" t="str">
        <f>IF(G111="","",VLOOKUP($B111,'C-1 Site River Baseline'!$C$9:$R$257,7,FALSE))</f>
        <v/>
      </c>
      <c r="I111" s="520" t="str">
        <f>IF(H111="","",VLOOKUP($B111,'C-1 Site River Baseline'!$C$9:$R$257,8,FALSE))</f>
        <v/>
      </c>
      <c r="J111" s="520" t="str">
        <f>IF(I111="","",VLOOKUP($B111,'C-1 Site River Baseline'!$C$9:$R$257,9,FALSE))</f>
        <v/>
      </c>
      <c r="K111" s="520" t="str">
        <f>IF(J111="","",VLOOKUP($B111,'C-1 Site River Baseline'!$C$9:$R$257,10,FALSE))</f>
        <v/>
      </c>
      <c r="L111" s="520" t="str">
        <f>IF(B111="","",VLOOKUP($B111,'C-1 Site River Baseline'!$C$9:$R$257,15,FALSE))</f>
        <v/>
      </c>
      <c r="M111" s="524" t="str">
        <f>IF(L111="","",VLOOKUP($B111,'C-1 Site River Baseline'!$C$9:$R$257,16,FALSE))</f>
        <v/>
      </c>
      <c r="N111" s="418" t="str">
        <f t="shared" si="9"/>
        <v/>
      </c>
      <c r="O111" s="498" t="str">
        <f t="shared" si="10"/>
        <v/>
      </c>
      <c r="P111" s="499" t="str">
        <f>IF(C111="","",IF(AND(LEFT(C111,55)&lt;&gt;LEFT(N111,55),O111="High - High"),"Error - Not like for like ▲",IF(AND(F111=S111,H111&gt;U111),"Error - Can not reduce condition ▲",IF(AND(F111=S111,H111=U111,AJ111='C-1 Site River Baseline'!N109,'C-1 Site River Baseline'!P109=AL111),"Error - No enhancement ▲",IF(AND(C111&lt;&gt;N111,F111&lt;S111),"Lower Distinctiveness Habitat"&amp;" - "&amp;T111,G111&amp;" - "&amp;T111)))))</f>
        <v/>
      </c>
      <c r="Q111" s="567" t="str">
        <f>IF(N111="","",VLOOKUP(B111,'C-1 Site River Baseline'!$C$10:$AA$257,19,FALSE))</f>
        <v/>
      </c>
      <c r="R111" s="498" t="str">
        <f>IF(N111="","",VLOOKUP(N111,'G-7 Rivers Data'!$B$2:$G$8,2,FALSE))</f>
        <v/>
      </c>
      <c r="S111" s="499" t="str">
        <f>IFERROR(VLOOKUP(R111,'G-7 Rivers Data'!$C$4:$D$8,2,FALSE),"")</f>
        <v/>
      </c>
      <c r="T111" s="145"/>
      <c r="U111" s="499" t="str">
        <f>IFERROR(INDEX('G-7 Rivers Data'!$H$4:$L$8,MATCH(N111,'G-7 Rivers Data'!$B$4:$B$8,0),MATCH(T111,'G-7 Rivers Data'!$H$3:$L$3,0)),"")</f>
        <v/>
      </c>
      <c r="V111" s="154"/>
      <c r="W111" s="507" t="str">
        <f>IF(V111="","",IF(VLOOKUP(V111,'G-7 Rivers Data'!$AG$4:$AI$9,2,FALSE)=0,"Spatial Data Missing ⚠",VLOOKUP(V111,'G-7 Rivers Data'!$AG$4:$AI$9,2,FALSE)))</f>
        <v/>
      </c>
      <c r="X111" s="499" t="str">
        <f>IF(V111="","",IF(VLOOKUP(V111,'G-7 Rivers Data'!$AG$4:$AI$9,3,FALSE)=0,"Spatial Data Missing ⚠",VLOOKUP(V111,'G-7 Rivers Data'!$AG$4:$AI$9,3,FALSE)))</f>
        <v/>
      </c>
      <c r="Y111" s="498" t="str">
        <f>IFERROR(IF(OR(LEFT(P111,5)="Error ▲",LEFT(O111,5)="Error ▲"),"Check Data ⚠",IF(F111&lt;S111,'G-7 Rivers Data'!$R$3,INDEX('G-7 Rivers Data'!$U$5:$Y$9,MATCH(G111,'G-7 Rivers Data'!$T$5:$T$9,0),MATCH(T111,'G-7 Rivers Data'!$U$4:$Y$4,0)))),"")</f>
        <v/>
      </c>
      <c r="Z111" s="195"/>
      <c r="AA111" s="195"/>
      <c r="AB111" s="507" t="str">
        <f t="shared" si="11"/>
        <v/>
      </c>
      <c r="AC111" s="521" t="str">
        <f t="shared" si="12"/>
        <v/>
      </c>
      <c r="AD111" s="564" t="str">
        <f>IFERROR(IF(AC111="Check Data ⚠","Check Data ⚠",VLOOKUP(AC111,'G-4 Temporal multipliers'!$A$4:$C$37,3,FALSE)),"")</f>
        <v/>
      </c>
      <c r="AE111" s="498" t="str">
        <f>IF(N111="","",VLOOKUP(N111,'G-7 Rivers Data'!$B$4:$G$8,5,FALSE))</f>
        <v/>
      </c>
      <c r="AF111" s="507" t="str">
        <f t="shared" si="13"/>
        <v/>
      </c>
      <c r="AG111" s="540" t="str">
        <f t="shared" si="14"/>
        <v/>
      </c>
      <c r="AH111" s="499" t="str">
        <f t="shared" si="8"/>
        <v/>
      </c>
      <c r="AI111" s="145"/>
      <c r="AJ111" s="499" t="str">
        <f>IF(AI111="","",IF(VLOOKUP(AI111,'G-7 Rivers Data'!$AA$4:$AB$7,2,FALSE)=0,"Spatial Data Missing ⚠",VLOOKUP(AI111,'G-7 Rivers Data'!$AA$4:$AB$7,2,FALSE)))</f>
        <v/>
      </c>
      <c r="AK111" s="155"/>
      <c r="AL111" s="499" t="str">
        <f>IF(AK111="","",IF(VLOOKUP(AK111,'G-7 Rivers Data'!$AD$4:$AE$8,2,FALSE)=0,"Spatial Data Missing ⚠",VLOOKUP(AK111,'G-7 Rivers Data'!$AD$4:$AE$8,2,FALSE)))</f>
        <v/>
      </c>
      <c r="AM111" s="545" t="str">
        <f t="shared" si="15"/>
        <v/>
      </c>
      <c r="AN111" s="149"/>
      <c r="AO111" s="150"/>
      <c r="AV111" s="31" t="str">
        <f>IFERROR(INDEX('G-7 Rivers Data'!$AZ$3:$AZ$7,MATCH(N111,'G-7 Rivers Data'!$AY$3:$AY$7,0)),"")</f>
        <v/>
      </c>
    </row>
    <row r="112" spans="2:48" ht="13.8" x14ac:dyDescent="0.25">
      <c r="B112" s="531" t="str">
        <f>'C-1 Site River Baseline'!AN110</f>
        <v/>
      </c>
      <c r="C112" s="520" t="str">
        <f>IF(B112="","",VLOOKUP($B112,'C-1 Site River Baseline'!$C$9:$R$257,2,FALSE))</f>
        <v/>
      </c>
      <c r="D112" s="520" t="str">
        <f>IF(C112="","",VLOOKUP($B112,'C-1 Site River Baseline'!$C$9:$R$257,3,FALSE))</f>
        <v/>
      </c>
      <c r="E112" s="520" t="str">
        <f>IF(D112="","",VLOOKUP($B112,'C-1 Site River Baseline'!$C$9:$R$257,4,FALSE))</f>
        <v/>
      </c>
      <c r="F112" s="520" t="str">
        <f>IF(E112="","",VLOOKUP($B112,'C-1 Site River Baseline'!$C$9:$R$257,5,FALSE))</f>
        <v/>
      </c>
      <c r="G112" s="520" t="str">
        <f>IF(F112="","",VLOOKUP($B112,'C-1 Site River Baseline'!$C$9:$R$257,6,FALSE))</f>
        <v/>
      </c>
      <c r="H112" s="520" t="str">
        <f>IF(G112="","",VLOOKUP($B112,'C-1 Site River Baseline'!$C$9:$R$257,7,FALSE))</f>
        <v/>
      </c>
      <c r="I112" s="520" t="str">
        <f>IF(H112="","",VLOOKUP($B112,'C-1 Site River Baseline'!$C$9:$R$257,8,FALSE))</f>
        <v/>
      </c>
      <c r="J112" s="520" t="str">
        <f>IF(I112="","",VLOOKUP($B112,'C-1 Site River Baseline'!$C$9:$R$257,9,FALSE))</f>
        <v/>
      </c>
      <c r="K112" s="520" t="str">
        <f>IF(J112="","",VLOOKUP($B112,'C-1 Site River Baseline'!$C$9:$R$257,10,FALSE))</f>
        <v/>
      </c>
      <c r="L112" s="520" t="str">
        <f>IF(B112="","",VLOOKUP($B112,'C-1 Site River Baseline'!$C$9:$R$257,15,FALSE))</f>
        <v/>
      </c>
      <c r="M112" s="524" t="str">
        <f>IF(L112="","",VLOOKUP($B112,'C-1 Site River Baseline'!$C$9:$R$257,16,FALSE))</f>
        <v/>
      </c>
      <c r="N112" s="418" t="str">
        <f t="shared" si="9"/>
        <v/>
      </c>
      <c r="O112" s="498" t="str">
        <f t="shared" si="10"/>
        <v/>
      </c>
      <c r="P112" s="499" t="str">
        <f>IF(C112="","",IF(AND(LEFT(C112,55)&lt;&gt;LEFT(N112,55),O112="High - High"),"Error - Not like for like ▲",IF(AND(F112=S112,H112&gt;U112),"Error - Can not reduce condition ▲",IF(AND(F112=S112,H112=U112,AJ112='C-1 Site River Baseline'!N110,'C-1 Site River Baseline'!P110=AL112),"Error - No enhancement ▲",IF(AND(C112&lt;&gt;N112,F112&lt;S112),"Lower Distinctiveness Habitat"&amp;" - "&amp;T112,G112&amp;" - "&amp;T112)))))</f>
        <v/>
      </c>
      <c r="Q112" s="567" t="str">
        <f>IF(N112="","",VLOOKUP(B112,'C-1 Site River Baseline'!$C$10:$AA$257,19,FALSE))</f>
        <v/>
      </c>
      <c r="R112" s="498" t="str">
        <f>IF(N112="","",VLOOKUP(N112,'G-7 Rivers Data'!$B$2:$G$8,2,FALSE))</f>
        <v/>
      </c>
      <c r="S112" s="499" t="str">
        <f>IFERROR(VLOOKUP(R112,'G-7 Rivers Data'!$C$4:$D$8,2,FALSE),"")</f>
        <v/>
      </c>
      <c r="T112" s="145"/>
      <c r="U112" s="499" t="str">
        <f>IFERROR(INDEX('G-7 Rivers Data'!$H$4:$L$8,MATCH(N112,'G-7 Rivers Data'!$B$4:$B$8,0),MATCH(T112,'G-7 Rivers Data'!$H$3:$L$3,0)),"")</f>
        <v/>
      </c>
      <c r="V112" s="154"/>
      <c r="W112" s="507" t="str">
        <f>IF(V112="","",IF(VLOOKUP(V112,'G-7 Rivers Data'!$AG$4:$AI$9,2,FALSE)=0,"Spatial Data Missing ⚠",VLOOKUP(V112,'G-7 Rivers Data'!$AG$4:$AI$9,2,FALSE)))</f>
        <v/>
      </c>
      <c r="X112" s="499" t="str">
        <f>IF(V112="","",IF(VLOOKUP(V112,'G-7 Rivers Data'!$AG$4:$AI$9,3,FALSE)=0,"Spatial Data Missing ⚠",VLOOKUP(V112,'G-7 Rivers Data'!$AG$4:$AI$9,3,FALSE)))</f>
        <v/>
      </c>
      <c r="Y112" s="498" t="str">
        <f>IFERROR(IF(OR(LEFT(P112,5)="Error ▲",LEFT(O112,5)="Error ▲"),"Check Data ⚠",IF(F112&lt;S112,'G-7 Rivers Data'!$R$3,INDEX('G-7 Rivers Data'!$U$5:$Y$9,MATCH(G112,'G-7 Rivers Data'!$T$5:$T$9,0),MATCH(T112,'G-7 Rivers Data'!$U$4:$Y$4,0)))),"")</f>
        <v/>
      </c>
      <c r="Z112" s="195"/>
      <c r="AA112" s="195"/>
      <c r="AB112" s="507" t="str">
        <f t="shared" si="11"/>
        <v/>
      </c>
      <c r="AC112" s="521" t="str">
        <f t="shared" si="12"/>
        <v/>
      </c>
      <c r="AD112" s="564" t="str">
        <f>IFERROR(IF(AC112="Check Data ⚠","Check Data ⚠",VLOOKUP(AC112,'G-4 Temporal multipliers'!$A$4:$C$37,3,FALSE)),"")</f>
        <v/>
      </c>
      <c r="AE112" s="498" t="str">
        <f>IF(N112="","",VLOOKUP(N112,'G-7 Rivers Data'!$B$4:$G$8,5,FALSE))</f>
        <v/>
      </c>
      <c r="AF112" s="507" t="str">
        <f t="shared" si="13"/>
        <v/>
      </c>
      <c r="AG112" s="540" t="str">
        <f t="shared" si="14"/>
        <v/>
      </c>
      <c r="AH112" s="499" t="str">
        <f t="shared" si="8"/>
        <v/>
      </c>
      <c r="AI112" s="145"/>
      <c r="AJ112" s="499" t="str">
        <f>IF(AI112="","",IF(VLOOKUP(AI112,'G-7 Rivers Data'!$AA$4:$AB$7,2,FALSE)=0,"Spatial Data Missing ⚠",VLOOKUP(AI112,'G-7 Rivers Data'!$AA$4:$AB$7,2,FALSE)))</f>
        <v/>
      </c>
      <c r="AK112" s="155"/>
      <c r="AL112" s="499" t="str">
        <f>IF(AK112="","",IF(VLOOKUP(AK112,'G-7 Rivers Data'!$AD$4:$AE$8,2,FALSE)=0,"Spatial Data Missing ⚠",VLOOKUP(AK112,'G-7 Rivers Data'!$AD$4:$AE$8,2,FALSE)))</f>
        <v/>
      </c>
      <c r="AM112" s="545" t="str">
        <f t="shared" si="15"/>
        <v/>
      </c>
      <c r="AN112" s="149"/>
      <c r="AO112" s="150"/>
      <c r="AV112" s="31" t="str">
        <f>IFERROR(INDEX('G-7 Rivers Data'!$AZ$3:$AZ$7,MATCH(N112,'G-7 Rivers Data'!$AY$3:$AY$7,0)),"")</f>
        <v/>
      </c>
    </row>
    <row r="113" spans="2:48" ht="13.8" x14ac:dyDescent="0.25">
      <c r="B113" s="531" t="str">
        <f>'C-1 Site River Baseline'!AN111</f>
        <v/>
      </c>
      <c r="C113" s="520" t="str">
        <f>IF(B113="","",VLOOKUP($B113,'C-1 Site River Baseline'!$C$9:$R$257,2,FALSE))</f>
        <v/>
      </c>
      <c r="D113" s="520" t="str">
        <f>IF(C113="","",VLOOKUP($B113,'C-1 Site River Baseline'!$C$9:$R$257,3,FALSE))</f>
        <v/>
      </c>
      <c r="E113" s="520" t="str">
        <f>IF(D113="","",VLOOKUP($B113,'C-1 Site River Baseline'!$C$9:$R$257,4,FALSE))</f>
        <v/>
      </c>
      <c r="F113" s="520" t="str">
        <f>IF(E113="","",VLOOKUP($B113,'C-1 Site River Baseline'!$C$9:$R$257,5,FALSE))</f>
        <v/>
      </c>
      <c r="G113" s="520" t="str">
        <f>IF(F113="","",VLOOKUP($B113,'C-1 Site River Baseline'!$C$9:$R$257,6,FALSE))</f>
        <v/>
      </c>
      <c r="H113" s="520" t="str">
        <f>IF(G113="","",VLOOKUP($B113,'C-1 Site River Baseline'!$C$9:$R$257,7,FALSE))</f>
        <v/>
      </c>
      <c r="I113" s="520" t="str">
        <f>IF(H113="","",VLOOKUP($B113,'C-1 Site River Baseline'!$C$9:$R$257,8,FALSE))</f>
        <v/>
      </c>
      <c r="J113" s="520" t="str">
        <f>IF(I113="","",VLOOKUP($B113,'C-1 Site River Baseline'!$C$9:$R$257,9,FALSE))</f>
        <v/>
      </c>
      <c r="K113" s="520" t="str">
        <f>IF(J113="","",VLOOKUP($B113,'C-1 Site River Baseline'!$C$9:$R$257,10,FALSE))</f>
        <v/>
      </c>
      <c r="L113" s="520" t="str">
        <f>IF(B113="","",VLOOKUP($B113,'C-1 Site River Baseline'!$C$9:$R$257,15,FALSE))</f>
        <v/>
      </c>
      <c r="M113" s="524" t="str">
        <f>IF(L113="","",VLOOKUP($B113,'C-1 Site River Baseline'!$C$9:$R$257,16,FALSE))</f>
        <v/>
      </c>
      <c r="N113" s="418" t="str">
        <f t="shared" si="9"/>
        <v/>
      </c>
      <c r="O113" s="498" t="str">
        <f t="shared" si="10"/>
        <v/>
      </c>
      <c r="P113" s="499" t="str">
        <f>IF(C113="","",IF(AND(LEFT(C113,55)&lt;&gt;LEFT(N113,55),O113="High - High"),"Error - Not like for like ▲",IF(AND(F113=S113,H113&gt;U113),"Error - Can not reduce condition ▲",IF(AND(F113=S113,H113=U113,AJ113='C-1 Site River Baseline'!N111,'C-1 Site River Baseline'!P111=AL113),"Error - No enhancement ▲",IF(AND(C113&lt;&gt;N113,F113&lt;S113),"Lower Distinctiveness Habitat"&amp;" - "&amp;T113,G113&amp;" - "&amp;T113)))))</f>
        <v/>
      </c>
      <c r="Q113" s="567" t="str">
        <f>IF(N113="","",VLOOKUP(B113,'C-1 Site River Baseline'!$C$10:$AA$257,19,FALSE))</f>
        <v/>
      </c>
      <c r="R113" s="498" t="str">
        <f>IF(N113="","",VLOOKUP(N113,'G-7 Rivers Data'!$B$2:$G$8,2,FALSE))</f>
        <v/>
      </c>
      <c r="S113" s="499" t="str">
        <f>IFERROR(VLOOKUP(R113,'G-7 Rivers Data'!$C$4:$D$8,2,FALSE),"")</f>
        <v/>
      </c>
      <c r="T113" s="145"/>
      <c r="U113" s="499" t="str">
        <f>IFERROR(INDEX('G-7 Rivers Data'!$H$4:$L$8,MATCH(N113,'G-7 Rivers Data'!$B$4:$B$8,0),MATCH(T113,'G-7 Rivers Data'!$H$3:$L$3,0)),"")</f>
        <v/>
      </c>
      <c r="V113" s="154"/>
      <c r="W113" s="507" t="str">
        <f>IF(V113="","",IF(VLOOKUP(V113,'G-7 Rivers Data'!$AG$4:$AI$9,2,FALSE)=0,"Spatial Data Missing ⚠",VLOOKUP(V113,'G-7 Rivers Data'!$AG$4:$AI$9,2,FALSE)))</f>
        <v/>
      </c>
      <c r="X113" s="499" t="str">
        <f>IF(V113="","",IF(VLOOKUP(V113,'G-7 Rivers Data'!$AG$4:$AI$9,3,FALSE)=0,"Spatial Data Missing ⚠",VLOOKUP(V113,'G-7 Rivers Data'!$AG$4:$AI$9,3,FALSE)))</f>
        <v/>
      </c>
      <c r="Y113" s="498" t="str">
        <f>IFERROR(IF(OR(LEFT(P113,5)="Error ▲",LEFT(O113,5)="Error ▲"),"Check Data ⚠",IF(F113&lt;S113,'G-7 Rivers Data'!$R$3,INDEX('G-7 Rivers Data'!$U$5:$Y$9,MATCH(G113,'G-7 Rivers Data'!$T$5:$T$9,0),MATCH(T113,'G-7 Rivers Data'!$U$4:$Y$4,0)))),"")</f>
        <v/>
      </c>
      <c r="Z113" s="195"/>
      <c r="AA113" s="195"/>
      <c r="AB113" s="507" t="str">
        <f t="shared" si="11"/>
        <v/>
      </c>
      <c r="AC113" s="521" t="str">
        <f t="shared" si="12"/>
        <v/>
      </c>
      <c r="AD113" s="564" t="str">
        <f>IFERROR(IF(AC113="Check Data ⚠","Check Data ⚠",VLOOKUP(AC113,'G-4 Temporal multipliers'!$A$4:$C$37,3,FALSE)),"")</f>
        <v/>
      </c>
      <c r="AE113" s="498" t="str">
        <f>IF(N113="","",VLOOKUP(N113,'G-7 Rivers Data'!$B$4:$G$8,5,FALSE))</f>
        <v/>
      </c>
      <c r="AF113" s="507" t="str">
        <f t="shared" si="13"/>
        <v/>
      </c>
      <c r="AG113" s="540" t="str">
        <f t="shared" si="14"/>
        <v/>
      </c>
      <c r="AH113" s="499" t="str">
        <f t="shared" si="8"/>
        <v/>
      </c>
      <c r="AI113" s="145"/>
      <c r="AJ113" s="499" t="str">
        <f>IF(AI113="","",IF(VLOOKUP(AI113,'G-7 Rivers Data'!$AA$4:$AB$7,2,FALSE)=0,"Spatial Data Missing ⚠",VLOOKUP(AI113,'G-7 Rivers Data'!$AA$4:$AB$7,2,FALSE)))</f>
        <v/>
      </c>
      <c r="AK113" s="155"/>
      <c r="AL113" s="499" t="str">
        <f>IF(AK113="","",IF(VLOOKUP(AK113,'G-7 Rivers Data'!$AD$4:$AE$8,2,FALSE)=0,"Spatial Data Missing ⚠",VLOOKUP(AK113,'G-7 Rivers Data'!$AD$4:$AE$8,2,FALSE)))</f>
        <v/>
      </c>
      <c r="AM113" s="545" t="str">
        <f t="shared" si="15"/>
        <v/>
      </c>
      <c r="AN113" s="149"/>
      <c r="AO113" s="150"/>
      <c r="AV113" s="31" t="str">
        <f>IFERROR(INDEX('G-7 Rivers Data'!$AZ$3:$AZ$7,MATCH(N113,'G-7 Rivers Data'!$AY$3:$AY$7,0)),"")</f>
        <v/>
      </c>
    </row>
    <row r="114" spans="2:48" ht="13.8" x14ac:dyDescent="0.25">
      <c r="B114" s="531" t="str">
        <f>'C-1 Site River Baseline'!AN112</f>
        <v/>
      </c>
      <c r="C114" s="520" t="str">
        <f>IF(B114="","",VLOOKUP($B114,'C-1 Site River Baseline'!$C$9:$R$257,2,FALSE))</f>
        <v/>
      </c>
      <c r="D114" s="520" t="str">
        <f>IF(C114="","",VLOOKUP($B114,'C-1 Site River Baseline'!$C$9:$R$257,3,FALSE))</f>
        <v/>
      </c>
      <c r="E114" s="520" t="str">
        <f>IF(D114="","",VLOOKUP($B114,'C-1 Site River Baseline'!$C$9:$R$257,4,FALSE))</f>
        <v/>
      </c>
      <c r="F114" s="520" t="str">
        <f>IF(E114="","",VLOOKUP($B114,'C-1 Site River Baseline'!$C$9:$R$257,5,FALSE))</f>
        <v/>
      </c>
      <c r="G114" s="520" t="str">
        <f>IF(F114="","",VLOOKUP($B114,'C-1 Site River Baseline'!$C$9:$R$257,6,FALSE))</f>
        <v/>
      </c>
      <c r="H114" s="520" t="str">
        <f>IF(G114="","",VLOOKUP($B114,'C-1 Site River Baseline'!$C$9:$R$257,7,FALSE))</f>
        <v/>
      </c>
      <c r="I114" s="520" t="str">
        <f>IF(H114="","",VLOOKUP($B114,'C-1 Site River Baseline'!$C$9:$R$257,8,FALSE))</f>
        <v/>
      </c>
      <c r="J114" s="520" t="str">
        <f>IF(I114="","",VLOOKUP($B114,'C-1 Site River Baseline'!$C$9:$R$257,9,FALSE))</f>
        <v/>
      </c>
      <c r="K114" s="520" t="str">
        <f>IF(J114="","",VLOOKUP($B114,'C-1 Site River Baseline'!$C$9:$R$257,10,FALSE))</f>
        <v/>
      </c>
      <c r="L114" s="520" t="str">
        <f>IF(B114="","",VLOOKUP($B114,'C-1 Site River Baseline'!$C$9:$R$257,15,FALSE))</f>
        <v/>
      </c>
      <c r="M114" s="524" t="str">
        <f>IF(L114="","",VLOOKUP($B114,'C-1 Site River Baseline'!$C$9:$R$257,16,FALSE))</f>
        <v/>
      </c>
      <c r="N114" s="418" t="str">
        <f t="shared" si="9"/>
        <v/>
      </c>
      <c r="O114" s="498" t="str">
        <f t="shared" si="10"/>
        <v/>
      </c>
      <c r="P114" s="499" t="str">
        <f>IF(C114="","",IF(AND(LEFT(C114,55)&lt;&gt;LEFT(N114,55),O114="High - High"),"Error - Not like for like ▲",IF(AND(F114=S114,H114&gt;U114),"Error - Can not reduce condition ▲",IF(AND(F114=S114,H114=U114,AJ114='C-1 Site River Baseline'!N112,'C-1 Site River Baseline'!P112=AL114),"Error - No enhancement ▲",IF(AND(C114&lt;&gt;N114,F114&lt;S114),"Lower Distinctiveness Habitat"&amp;" - "&amp;T114,G114&amp;" - "&amp;T114)))))</f>
        <v/>
      </c>
      <c r="Q114" s="567" t="str">
        <f>IF(N114="","",VLOOKUP(B114,'C-1 Site River Baseline'!$C$10:$AA$257,19,FALSE))</f>
        <v/>
      </c>
      <c r="R114" s="498" t="str">
        <f>IF(N114="","",VLOOKUP(N114,'G-7 Rivers Data'!$B$2:$G$8,2,FALSE))</f>
        <v/>
      </c>
      <c r="S114" s="499" t="str">
        <f>IFERROR(VLOOKUP(R114,'G-7 Rivers Data'!$C$4:$D$8,2,FALSE),"")</f>
        <v/>
      </c>
      <c r="T114" s="145"/>
      <c r="U114" s="499" t="str">
        <f>IFERROR(INDEX('G-7 Rivers Data'!$H$4:$L$8,MATCH(N114,'G-7 Rivers Data'!$B$4:$B$8,0),MATCH(T114,'G-7 Rivers Data'!$H$3:$L$3,0)),"")</f>
        <v/>
      </c>
      <c r="V114" s="154"/>
      <c r="W114" s="507" t="str">
        <f>IF(V114="","",IF(VLOOKUP(V114,'G-7 Rivers Data'!$AG$4:$AI$9,2,FALSE)=0,"Spatial Data Missing ⚠",VLOOKUP(V114,'G-7 Rivers Data'!$AG$4:$AI$9,2,FALSE)))</f>
        <v/>
      </c>
      <c r="X114" s="499" t="str">
        <f>IF(V114="","",IF(VLOOKUP(V114,'G-7 Rivers Data'!$AG$4:$AI$9,3,FALSE)=0,"Spatial Data Missing ⚠",VLOOKUP(V114,'G-7 Rivers Data'!$AG$4:$AI$9,3,FALSE)))</f>
        <v/>
      </c>
      <c r="Y114" s="498" t="str">
        <f>IFERROR(IF(OR(LEFT(P114,5)="Error ▲",LEFT(O114,5)="Error ▲"),"Check Data ⚠",IF(F114&lt;S114,'G-7 Rivers Data'!$R$3,INDEX('G-7 Rivers Data'!$U$5:$Y$9,MATCH(G114,'G-7 Rivers Data'!$T$5:$T$9,0),MATCH(T114,'G-7 Rivers Data'!$U$4:$Y$4,0)))),"")</f>
        <v/>
      </c>
      <c r="Z114" s="195"/>
      <c r="AA114" s="195"/>
      <c r="AB114" s="507" t="str">
        <f t="shared" si="11"/>
        <v/>
      </c>
      <c r="AC114" s="521" t="str">
        <f t="shared" si="12"/>
        <v/>
      </c>
      <c r="AD114" s="564" t="str">
        <f>IFERROR(IF(AC114="Check Data ⚠","Check Data ⚠",VLOOKUP(AC114,'G-4 Temporal multipliers'!$A$4:$C$37,3,FALSE)),"")</f>
        <v/>
      </c>
      <c r="AE114" s="498" t="str">
        <f>IF(N114="","",VLOOKUP(N114,'G-7 Rivers Data'!$B$4:$G$8,5,FALSE))</f>
        <v/>
      </c>
      <c r="AF114" s="507" t="str">
        <f t="shared" si="13"/>
        <v/>
      </c>
      <c r="AG114" s="540" t="str">
        <f t="shared" si="14"/>
        <v/>
      </c>
      <c r="AH114" s="499" t="str">
        <f t="shared" si="8"/>
        <v/>
      </c>
      <c r="AI114" s="145"/>
      <c r="AJ114" s="499" t="str">
        <f>IF(AI114="","",IF(VLOOKUP(AI114,'G-7 Rivers Data'!$AA$4:$AB$7,2,FALSE)=0,"Spatial Data Missing ⚠",VLOOKUP(AI114,'G-7 Rivers Data'!$AA$4:$AB$7,2,FALSE)))</f>
        <v/>
      </c>
      <c r="AK114" s="155"/>
      <c r="AL114" s="499" t="str">
        <f>IF(AK114="","",IF(VLOOKUP(AK114,'G-7 Rivers Data'!$AD$4:$AE$8,2,FALSE)=0,"Spatial Data Missing ⚠",VLOOKUP(AK114,'G-7 Rivers Data'!$AD$4:$AE$8,2,FALSE)))</f>
        <v/>
      </c>
      <c r="AM114" s="545" t="str">
        <f t="shared" si="15"/>
        <v/>
      </c>
      <c r="AN114" s="149"/>
      <c r="AO114" s="150"/>
      <c r="AV114" s="31" t="str">
        <f>IFERROR(INDEX('G-7 Rivers Data'!$AZ$3:$AZ$7,MATCH(N114,'G-7 Rivers Data'!$AY$3:$AY$7,0)),"")</f>
        <v/>
      </c>
    </row>
    <row r="115" spans="2:48" ht="13.8" x14ac:dyDescent="0.25">
      <c r="B115" s="531" t="str">
        <f>'C-1 Site River Baseline'!AN113</f>
        <v/>
      </c>
      <c r="C115" s="520" t="str">
        <f>IF(B115="","",VLOOKUP($B115,'C-1 Site River Baseline'!$C$9:$R$257,2,FALSE))</f>
        <v/>
      </c>
      <c r="D115" s="520" t="str">
        <f>IF(C115="","",VLOOKUP($B115,'C-1 Site River Baseline'!$C$9:$R$257,3,FALSE))</f>
        <v/>
      </c>
      <c r="E115" s="520" t="str">
        <f>IF(D115="","",VLOOKUP($B115,'C-1 Site River Baseline'!$C$9:$R$257,4,FALSE))</f>
        <v/>
      </c>
      <c r="F115" s="520" t="str">
        <f>IF(E115="","",VLOOKUP($B115,'C-1 Site River Baseline'!$C$9:$R$257,5,FALSE))</f>
        <v/>
      </c>
      <c r="G115" s="520" t="str">
        <f>IF(F115="","",VLOOKUP($B115,'C-1 Site River Baseline'!$C$9:$R$257,6,FALSE))</f>
        <v/>
      </c>
      <c r="H115" s="520" t="str">
        <f>IF(G115="","",VLOOKUP($B115,'C-1 Site River Baseline'!$C$9:$R$257,7,FALSE))</f>
        <v/>
      </c>
      <c r="I115" s="520" t="str">
        <f>IF(H115="","",VLOOKUP($B115,'C-1 Site River Baseline'!$C$9:$R$257,8,FALSE))</f>
        <v/>
      </c>
      <c r="J115" s="520" t="str">
        <f>IF(I115="","",VLOOKUP($B115,'C-1 Site River Baseline'!$C$9:$R$257,9,FALSE))</f>
        <v/>
      </c>
      <c r="K115" s="520" t="str">
        <f>IF(J115="","",VLOOKUP($B115,'C-1 Site River Baseline'!$C$9:$R$257,10,FALSE))</f>
        <v/>
      </c>
      <c r="L115" s="520" t="str">
        <f>IF(B115="","",VLOOKUP($B115,'C-1 Site River Baseline'!$C$9:$R$257,15,FALSE))</f>
        <v/>
      </c>
      <c r="M115" s="524" t="str">
        <f>IF(L115="","",VLOOKUP($B115,'C-1 Site River Baseline'!$C$9:$R$257,16,FALSE))</f>
        <v/>
      </c>
      <c r="N115" s="418" t="str">
        <f t="shared" si="9"/>
        <v/>
      </c>
      <c r="O115" s="498" t="str">
        <f t="shared" si="10"/>
        <v/>
      </c>
      <c r="P115" s="499" t="str">
        <f>IF(C115="","",IF(AND(LEFT(C115,55)&lt;&gt;LEFT(N115,55),O115="High - High"),"Error - Not like for like ▲",IF(AND(F115=S115,H115&gt;U115),"Error - Can not reduce condition ▲",IF(AND(F115=S115,H115=U115,AJ115='C-1 Site River Baseline'!N113,'C-1 Site River Baseline'!P113=AL115),"Error - No enhancement ▲",IF(AND(C115&lt;&gt;N115,F115&lt;S115),"Lower Distinctiveness Habitat"&amp;" - "&amp;T115,G115&amp;" - "&amp;T115)))))</f>
        <v/>
      </c>
      <c r="Q115" s="567" t="str">
        <f>IF(N115="","",VLOOKUP(B115,'C-1 Site River Baseline'!$C$10:$AA$257,19,FALSE))</f>
        <v/>
      </c>
      <c r="R115" s="498" t="str">
        <f>IF(N115="","",VLOOKUP(N115,'G-7 Rivers Data'!$B$2:$G$8,2,FALSE))</f>
        <v/>
      </c>
      <c r="S115" s="499" t="str">
        <f>IFERROR(VLOOKUP(R115,'G-7 Rivers Data'!$C$4:$D$8,2,FALSE),"")</f>
        <v/>
      </c>
      <c r="T115" s="145"/>
      <c r="U115" s="499" t="str">
        <f>IFERROR(INDEX('G-7 Rivers Data'!$H$4:$L$8,MATCH(N115,'G-7 Rivers Data'!$B$4:$B$8,0),MATCH(T115,'G-7 Rivers Data'!$H$3:$L$3,0)),"")</f>
        <v/>
      </c>
      <c r="V115" s="154"/>
      <c r="W115" s="507" t="str">
        <f>IF(V115="","",IF(VLOOKUP(V115,'G-7 Rivers Data'!$AG$4:$AI$9,2,FALSE)=0,"Spatial Data Missing ⚠",VLOOKUP(V115,'G-7 Rivers Data'!$AG$4:$AI$9,2,FALSE)))</f>
        <v/>
      </c>
      <c r="X115" s="499" t="str">
        <f>IF(V115="","",IF(VLOOKUP(V115,'G-7 Rivers Data'!$AG$4:$AI$9,3,FALSE)=0,"Spatial Data Missing ⚠",VLOOKUP(V115,'G-7 Rivers Data'!$AG$4:$AI$9,3,FALSE)))</f>
        <v/>
      </c>
      <c r="Y115" s="498" t="str">
        <f>IFERROR(IF(OR(LEFT(P115,5)="Error ▲",LEFT(O115,5)="Error ▲"),"Check Data ⚠",IF(F115&lt;S115,'G-7 Rivers Data'!$R$3,INDEX('G-7 Rivers Data'!$U$5:$Y$9,MATCH(G115,'G-7 Rivers Data'!$T$5:$T$9,0),MATCH(T115,'G-7 Rivers Data'!$U$4:$Y$4,0)))),"")</f>
        <v/>
      </c>
      <c r="Z115" s="195"/>
      <c r="AA115" s="195"/>
      <c r="AB115" s="507" t="str">
        <f t="shared" si="11"/>
        <v/>
      </c>
      <c r="AC115" s="521" t="str">
        <f t="shared" si="12"/>
        <v/>
      </c>
      <c r="AD115" s="564" t="str">
        <f>IFERROR(IF(AC115="Check Data ⚠","Check Data ⚠",VLOOKUP(AC115,'G-4 Temporal multipliers'!$A$4:$C$37,3,FALSE)),"")</f>
        <v/>
      </c>
      <c r="AE115" s="498" t="str">
        <f>IF(N115="","",VLOOKUP(N115,'G-7 Rivers Data'!$B$4:$G$8,5,FALSE))</f>
        <v/>
      </c>
      <c r="AF115" s="507" t="str">
        <f t="shared" si="13"/>
        <v/>
      </c>
      <c r="AG115" s="540" t="str">
        <f t="shared" si="14"/>
        <v/>
      </c>
      <c r="AH115" s="499" t="str">
        <f t="shared" si="8"/>
        <v/>
      </c>
      <c r="AI115" s="145"/>
      <c r="AJ115" s="499" t="str">
        <f>IF(AI115="","",IF(VLOOKUP(AI115,'G-7 Rivers Data'!$AA$4:$AB$7,2,FALSE)=0,"Spatial Data Missing ⚠",VLOOKUP(AI115,'G-7 Rivers Data'!$AA$4:$AB$7,2,FALSE)))</f>
        <v/>
      </c>
      <c r="AK115" s="155"/>
      <c r="AL115" s="499" t="str">
        <f>IF(AK115="","",IF(VLOOKUP(AK115,'G-7 Rivers Data'!$AD$4:$AE$8,2,FALSE)=0,"Spatial Data Missing ⚠",VLOOKUP(AK115,'G-7 Rivers Data'!$AD$4:$AE$8,2,FALSE)))</f>
        <v/>
      </c>
      <c r="AM115" s="545" t="str">
        <f t="shared" si="15"/>
        <v/>
      </c>
      <c r="AN115" s="149"/>
      <c r="AO115" s="150"/>
      <c r="AV115" s="31" t="str">
        <f>IFERROR(INDEX('G-7 Rivers Data'!$AZ$3:$AZ$7,MATCH(N115,'G-7 Rivers Data'!$AY$3:$AY$7,0)),"")</f>
        <v/>
      </c>
    </row>
    <row r="116" spans="2:48" ht="13.8" x14ac:dyDescent="0.25">
      <c r="B116" s="531" t="str">
        <f>'C-1 Site River Baseline'!AN114</f>
        <v/>
      </c>
      <c r="C116" s="520" t="str">
        <f>IF(B116="","",VLOOKUP($B116,'C-1 Site River Baseline'!$C$9:$R$257,2,FALSE))</f>
        <v/>
      </c>
      <c r="D116" s="520" t="str">
        <f>IF(C116="","",VLOOKUP($B116,'C-1 Site River Baseline'!$C$9:$R$257,3,FALSE))</f>
        <v/>
      </c>
      <c r="E116" s="520" t="str">
        <f>IF(D116="","",VLOOKUP($B116,'C-1 Site River Baseline'!$C$9:$R$257,4,FALSE))</f>
        <v/>
      </c>
      <c r="F116" s="520" t="str">
        <f>IF(E116="","",VLOOKUP($B116,'C-1 Site River Baseline'!$C$9:$R$257,5,FALSE))</f>
        <v/>
      </c>
      <c r="G116" s="520" t="str">
        <f>IF(F116="","",VLOOKUP($B116,'C-1 Site River Baseline'!$C$9:$R$257,6,FALSE))</f>
        <v/>
      </c>
      <c r="H116" s="520" t="str">
        <f>IF(G116="","",VLOOKUP($B116,'C-1 Site River Baseline'!$C$9:$R$257,7,FALSE))</f>
        <v/>
      </c>
      <c r="I116" s="520" t="str">
        <f>IF(H116="","",VLOOKUP($B116,'C-1 Site River Baseline'!$C$9:$R$257,8,FALSE))</f>
        <v/>
      </c>
      <c r="J116" s="520" t="str">
        <f>IF(I116="","",VLOOKUP($B116,'C-1 Site River Baseline'!$C$9:$R$257,9,FALSE))</f>
        <v/>
      </c>
      <c r="K116" s="520" t="str">
        <f>IF(J116="","",VLOOKUP($B116,'C-1 Site River Baseline'!$C$9:$R$257,10,FALSE))</f>
        <v/>
      </c>
      <c r="L116" s="520" t="str">
        <f>IF(B116="","",VLOOKUP($B116,'C-1 Site River Baseline'!$C$9:$R$257,15,FALSE))</f>
        <v/>
      </c>
      <c r="M116" s="524" t="str">
        <f>IF(L116="","",VLOOKUP($B116,'C-1 Site River Baseline'!$C$9:$R$257,16,FALSE))</f>
        <v/>
      </c>
      <c r="N116" s="418" t="str">
        <f t="shared" si="9"/>
        <v/>
      </c>
      <c r="O116" s="498" t="str">
        <f t="shared" si="10"/>
        <v/>
      </c>
      <c r="P116" s="499" t="str">
        <f>IF(C116="","",IF(AND(LEFT(C116,55)&lt;&gt;LEFT(N116,55),O116="High - High"),"Error - Not like for like ▲",IF(AND(F116=S116,H116&gt;U116),"Error - Can not reduce condition ▲",IF(AND(F116=S116,H116=U116,AJ116='C-1 Site River Baseline'!N114,'C-1 Site River Baseline'!P114=AL116),"Error - No enhancement ▲",IF(AND(C116&lt;&gt;N116,F116&lt;S116),"Lower Distinctiveness Habitat"&amp;" - "&amp;T116,G116&amp;" - "&amp;T116)))))</f>
        <v/>
      </c>
      <c r="Q116" s="567" t="str">
        <f>IF(N116="","",VLOOKUP(B116,'C-1 Site River Baseline'!$C$10:$AA$257,19,FALSE))</f>
        <v/>
      </c>
      <c r="R116" s="498" t="str">
        <f>IF(N116="","",VLOOKUP(N116,'G-7 Rivers Data'!$B$2:$G$8,2,FALSE))</f>
        <v/>
      </c>
      <c r="S116" s="499" t="str">
        <f>IFERROR(VLOOKUP(R116,'G-7 Rivers Data'!$C$4:$D$8,2,FALSE),"")</f>
        <v/>
      </c>
      <c r="T116" s="145"/>
      <c r="U116" s="499" t="str">
        <f>IFERROR(INDEX('G-7 Rivers Data'!$H$4:$L$8,MATCH(N116,'G-7 Rivers Data'!$B$4:$B$8,0),MATCH(T116,'G-7 Rivers Data'!$H$3:$L$3,0)),"")</f>
        <v/>
      </c>
      <c r="V116" s="154"/>
      <c r="W116" s="507" t="str">
        <f>IF(V116="","",IF(VLOOKUP(V116,'G-7 Rivers Data'!$AG$4:$AI$9,2,FALSE)=0,"Spatial Data Missing ⚠",VLOOKUP(V116,'G-7 Rivers Data'!$AG$4:$AI$9,2,FALSE)))</f>
        <v/>
      </c>
      <c r="X116" s="499" t="str">
        <f>IF(V116="","",IF(VLOOKUP(V116,'G-7 Rivers Data'!$AG$4:$AI$9,3,FALSE)=0,"Spatial Data Missing ⚠",VLOOKUP(V116,'G-7 Rivers Data'!$AG$4:$AI$9,3,FALSE)))</f>
        <v/>
      </c>
      <c r="Y116" s="498" t="str">
        <f>IFERROR(IF(OR(LEFT(P116,5)="Error ▲",LEFT(O116,5)="Error ▲"),"Check Data ⚠",IF(F116&lt;S116,'G-7 Rivers Data'!$R$3,INDEX('G-7 Rivers Data'!$U$5:$Y$9,MATCH(G116,'G-7 Rivers Data'!$T$5:$T$9,0),MATCH(T116,'G-7 Rivers Data'!$U$4:$Y$4,0)))),"")</f>
        <v/>
      </c>
      <c r="Z116" s="195"/>
      <c r="AA116" s="195"/>
      <c r="AB116" s="507" t="str">
        <f t="shared" si="11"/>
        <v/>
      </c>
      <c r="AC116" s="521" t="str">
        <f t="shared" si="12"/>
        <v/>
      </c>
      <c r="AD116" s="564" t="str">
        <f>IFERROR(IF(AC116="Check Data ⚠","Check Data ⚠",VLOOKUP(AC116,'G-4 Temporal multipliers'!$A$4:$C$37,3,FALSE)),"")</f>
        <v/>
      </c>
      <c r="AE116" s="498" t="str">
        <f>IF(N116="","",VLOOKUP(N116,'G-7 Rivers Data'!$B$4:$G$8,5,FALSE))</f>
        <v/>
      </c>
      <c r="AF116" s="507" t="str">
        <f t="shared" si="13"/>
        <v/>
      </c>
      <c r="AG116" s="540" t="str">
        <f t="shared" si="14"/>
        <v/>
      </c>
      <c r="AH116" s="499" t="str">
        <f t="shared" si="8"/>
        <v/>
      </c>
      <c r="AI116" s="145"/>
      <c r="AJ116" s="499" t="str">
        <f>IF(AI116="","",IF(VLOOKUP(AI116,'G-7 Rivers Data'!$AA$4:$AB$7,2,FALSE)=0,"Spatial Data Missing ⚠",VLOOKUP(AI116,'G-7 Rivers Data'!$AA$4:$AB$7,2,FALSE)))</f>
        <v/>
      </c>
      <c r="AK116" s="155"/>
      <c r="AL116" s="499" t="str">
        <f>IF(AK116="","",IF(VLOOKUP(AK116,'G-7 Rivers Data'!$AD$4:$AE$8,2,FALSE)=0,"Spatial Data Missing ⚠",VLOOKUP(AK116,'G-7 Rivers Data'!$AD$4:$AE$8,2,FALSE)))</f>
        <v/>
      </c>
      <c r="AM116" s="545" t="str">
        <f t="shared" si="15"/>
        <v/>
      </c>
      <c r="AN116" s="149"/>
      <c r="AO116" s="150"/>
      <c r="AV116" s="31" t="str">
        <f>IFERROR(INDEX('G-7 Rivers Data'!$AZ$3:$AZ$7,MATCH(N116,'G-7 Rivers Data'!$AY$3:$AY$7,0)),"")</f>
        <v/>
      </c>
    </row>
    <row r="117" spans="2:48" ht="13.8" x14ac:dyDescent="0.25">
      <c r="B117" s="531" t="str">
        <f>'C-1 Site River Baseline'!AN115</f>
        <v/>
      </c>
      <c r="C117" s="520" t="str">
        <f>IF(B117="","",VLOOKUP($B117,'C-1 Site River Baseline'!$C$9:$R$257,2,FALSE))</f>
        <v/>
      </c>
      <c r="D117" s="520" t="str">
        <f>IF(C117="","",VLOOKUP($B117,'C-1 Site River Baseline'!$C$9:$R$257,3,FALSE))</f>
        <v/>
      </c>
      <c r="E117" s="520" t="str">
        <f>IF(D117="","",VLOOKUP($B117,'C-1 Site River Baseline'!$C$9:$R$257,4,FALSE))</f>
        <v/>
      </c>
      <c r="F117" s="520" t="str">
        <f>IF(E117="","",VLOOKUP($B117,'C-1 Site River Baseline'!$C$9:$R$257,5,FALSE))</f>
        <v/>
      </c>
      <c r="G117" s="520" t="str">
        <f>IF(F117="","",VLOOKUP($B117,'C-1 Site River Baseline'!$C$9:$R$257,6,FALSE))</f>
        <v/>
      </c>
      <c r="H117" s="520" t="str">
        <f>IF(G117="","",VLOOKUP($B117,'C-1 Site River Baseline'!$C$9:$R$257,7,FALSE))</f>
        <v/>
      </c>
      <c r="I117" s="520" t="str">
        <f>IF(H117="","",VLOOKUP($B117,'C-1 Site River Baseline'!$C$9:$R$257,8,FALSE))</f>
        <v/>
      </c>
      <c r="J117" s="520" t="str">
        <f>IF(I117="","",VLOOKUP($B117,'C-1 Site River Baseline'!$C$9:$R$257,9,FALSE))</f>
        <v/>
      </c>
      <c r="K117" s="520" t="str">
        <f>IF(J117="","",VLOOKUP($B117,'C-1 Site River Baseline'!$C$9:$R$257,10,FALSE))</f>
        <v/>
      </c>
      <c r="L117" s="520" t="str">
        <f>IF(B117="","",VLOOKUP($B117,'C-1 Site River Baseline'!$C$9:$R$257,15,FALSE))</f>
        <v/>
      </c>
      <c r="M117" s="524" t="str">
        <f>IF(L117="","",VLOOKUP($B117,'C-1 Site River Baseline'!$C$9:$R$257,16,FALSE))</f>
        <v/>
      </c>
      <c r="N117" s="418" t="str">
        <f t="shared" si="9"/>
        <v/>
      </c>
      <c r="O117" s="498" t="str">
        <f t="shared" si="10"/>
        <v/>
      </c>
      <c r="P117" s="499" t="str">
        <f>IF(C117="","",IF(AND(LEFT(C117,55)&lt;&gt;LEFT(N117,55),O117="High - High"),"Error - Not like for like ▲",IF(AND(F117=S117,H117&gt;U117),"Error - Can not reduce condition ▲",IF(AND(F117=S117,H117=U117,AJ117='C-1 Site River Baseline'!N115,'C-1 Site River Baseline'!P115=AL117),"Error - No enhancement ▲",IF(AND(C117&lt;&gt;N117,F117&lt;S117),"Lower Distinctiveness Habitat"&amp;" - "&amp;T117,G117&amp;" - "&amp;T117)))))</f>
        <v/>
      </c>
      <c r="Q117" s="567" t="str">
        <f>IF(N117="","",VLOOKUP(B117,'C-1 Site River Baseline'!$C$10:$AA$257,19,FALSE))</f>
        <v/>
      </c>
      <c r="R117" s="498" t="str">
        <f>IF(N117="","",VLOOKUP(N117,'G-7 Rivers Data'!$B$2:$G$8,2,FALSE))</f>
        <v/>
      </c>
      <c r="S117" s="499" t="str">
        <f>IFERROR(VLOOKUP(R117,'G-7 Rivers Data'!$C$4:$D$8,2,FALSE),"")</f>
        <v/>
      </c>
      <c r="T117" s="145"/>
      <c r="U117" s="499" t="str">
        <f>IFERROR(INDEX('G-7 Rivers Data'!$H$4:$L$8,MATCH(N117,'G-7 Rivers Data'!$B$4:$B$8,0),MATCH(T117,'G-7 Rivers Data'!$H$3:$L$3,0)),"")</f>
        <v/>
      </c>
      <c r="V117" s="154"/>
      <c r="W117" s="507" t="str">
        <f>IF(V117="","",IF(VLOOKUP(V117,'G-7 Rivers Data'!$AG$4:$AI$9,2,FALSE)=0,"Spatial Data Missing ⚠",VLOOKUP(V117,'G-7 Rivers Data'!$AG$4:$AI$9,2,FALSE)))</f>
        <v/>
      </c>
      <c r="X117" s="499" t="str">
        <f>IF(V117="","",IF(VLOOKUP(V117,'G-7 Rivers Data'!$AG$4:$AI$9,3,FALSE)=0,"Spatial Data Missing ⚠",VLOOKUP(V117,'G-7 Rivers Data'!$AG$4:$AI$9,3,FALSE)))</f>
        <v/>
      </c>
      <c r="Y117" s="498" t="str">
        <f>IFERROR(IF(OR(LEFT(P117,5)="Error ▲",LEFT(O117,5)="Error ▲"),"Check Data ⚠",IF(F117&lt;S117,'G-7 Rivers Data'!$R$3,INDEX('G-7 Rivers Data'!$U$5:$Y$9,MATCH(G117,'G-7 Rivers Data'!$T$5:$T$9,0),MATCH(T117,'G-7 Rivers Data'!$U$4:$Y$4,0)))),"")</f>
        <v/>
      </c>
      <c r="Z117" s="195"/>
      <c r="AA117" s="195"/>
      <c r="AB117" s="507" t="str">
        <f t="shared" si="11"/>
        <v/>
      </c>
      <c r="AC117" s="521" t="str">
        <f t="shared" si="12"/>
        <v/>
      </c>
      <c r="AD117" s="564" t="str">
        <f>IFERROR(IF(AC117="Check Data ⚠","Check Data ⚠",VLOOKUP(AC117,'G-4 Temporal multipliers'!$A$4:$C$37,3,FALSE)),"")</f>
        <v/>
      </c>
      <c r="AE117" s="498" t="str">
        <f>IF(N117="","",VLOOKUP(N117,'G-7 Rivers Data'!$B$4:$G$8,5,FALSE))</f>
        <v/>
      </c>
      <c r="AF117" s="507" t="str">
        <f t="shared" si="13"/>
        <v/>
      </c>
      <c r="AG117" s="540" t="str">
        <f t="shared" si="14"/>
        <v/>
      </c>
      <c r="AH117" s="499" t="str">
        <f t="shared" si="8"/>
        <v/>
      </c>
      <c r="AI117" s="145"/>
      <c r="AJ117" s="499" t="str">
        <f>IF(AI117="","",IF(VLOOKUP(AI117,'G-7 Rivers Data'!$AA$4:$AB$7,2,FALSE)=0,"Spatial Data Missing ⚠",VLOOKUP(AI117,'G-7 Rivers Data'!$AA$4:$AB$7,2,FALSE)))</f>
        <v/>
      </c>
      <c r="AK117" s="155"/>
      <c r="AL117" s="499" t="str">
        <f>IF(AK117="","",IF(VLOOKUP(AK117,'G-7 Rivers Data'!$AD$4:$AE$8,2,FALSE)=0,"Spatial Data Missing ⚠",VLOOKUP(AK117,'G-7 Rivers Data'!$AD$4:$AE$8,2,FALSE)))</f>
        <v/>
      </c>
      <c r="AM117" s="545" t="str">
        <f t="shared" si="15"/>
        <v/>
      </c>
      <c r="AN117" s="149"/>
      <c r="AO117" s="150"/>
      <c r="AV117" s="31" t="str">
        <f>IFERROR(INDEX('G-7 Rivers Data'!$AZ$3:$AZ$7,MATCH(N117,'G-7 Rivers Data'!$AY$3:$AY$7,0)),"")</f>
        <v/>
      </c>
    </row>
    <row r="118" spans="2:48" ht="13.8" x14ac:dyDescent="0.25">
      <c r="B118" s="531" t="str">
        <f>'C-1 Site River Baseline'!AN116</f>
        <v/>
      </c>
      <c r="C118" s="520" t="str">
        <f>IF(B118="","",VLOOKUP($B118,'C-1 Site River Baseline'!$C$9:$R$257,2,FALSE))</f>
        <v/>
      </c>
      <c r="D118" s="520" t="str">
        <f>IF(C118="","",VLOOKUP($B118,'C-1 Site River Baseline'!$C$9:$R$257,3,FALSE))</f>
        <v/>
      </c>
      <c r="E118" s="520" t="str">
        <f>IF(D118="","",VLOOKUP($B118,'C-1 Site River Baseline'!$C$9:$R$257,4,FALSE))</f>
        <v/>
      </c>
      <c r="F118" s="520" t="str">
        <f>IF(E118="","",VLOOKUP($B118,'C-1 Site River Baseline'!$C$9:$R$257,5,FALSE))</f>
        <v/>
      </c>
      <c r="G118" s="520" t="str">
        <f>IF(F118="","",VLOOKUP($B118,'C-1 Site River Baseline'!$C$9:$R$257,6,FALSE))</f>
        <v/>
      </c>
      <c r="H118" s="520" t="str">
        <f>IF(G118="","",VLOOKUP($B118,'C-1 Site River Baseline'!$C$9:$R$257,7,FALSE))</f>
        <v/>
      </c>
      <c r="I118" s="520" t="str">
        <f>IF(H118="","",VLOOKUP($B118,'C-1 Site River Baseline'!$C$9:$R$257,8,FALSE))</f>
        <v/>
      </c>
      <c r="J118" s="520" t="str">
        <f>IF(I118="","",VLOOKUP($B118,'C-1 Site River Baseline'!$C$9:$R$257,9,FALSE))</f>
        <v/>
      </c>
      <c r="K118" s="520" t="str">
        <f>IF(J118="","",VLOOKUP($B118,'C-1 Site River Baseline'!$C$9:$R$257,10,FALSE))</f>
        <v/>
      </c>
      <c r="L118" s="520" t="str">
        <f>IF(B118="","",VLOOKUP($B118,'C-1 Site River Baseline'!$C$9:$R$257,15,FALSE))</f>
        <v/>
      </c>
      <c r="M118" s="524" t="str">
        <f>IF(L118="","",VLOOKUP($B118,'C-1 Site River Baseline'!$C$9:$R$257,16,FALSE))</f>
        <v/>
      </c>
      <c r="N118" s="418" t="str">
        <f t="shared" si="9"/>
        <v/>
      </c>
      <c r="O118" s="498" t="str">
        <f t="shared" si="10"/>
        <v/>
      </c>
      <c r="P118" s="499" t="str">
        <f>IF(C118="","",IF(AND(LEFT(C118,55)&lt;&gt;LEFT(N118,55),O118="High - High"),"Error - Not like for like ▲",IF(AND(F118=S118,H118&gt;U118),"Error - Can not reduce condition ▲",IF(AND(F118=S118,H118=U118,AJ118='C-1 Site River Baseline'!N116,'C-1 Site River Baseline'!P116=AL118),"Error - No enhancement ▲",IF(AND(C118&lt;&gt;N118,F118&lt;S118),"Lower Distinctiveness Habitat"&amp;" - "&amp;T118,G118&amp;" - "&amp;T118)))))</f>
        <v/>
      </c>
      <c r="Q118" s="567" t="str">
        <f>IF(N118="","",VLOOKUP(B118,'C-1 Site River Baseline'!$C$10:$AA$257,19,FALSE))</f>
        <v/>
      </c>
      <c r="R118" s="498" t="str">
        <f>IF(N118="","",VLOOKUP(N118,'G-7 Rivers Data'!$B$2:$G$8,2,FALSE))</f>
        <v/>
      </c>
      <c r="S118" s="499" t="str">
        <f>IFERROR(VLOOKUP(R118,'G-7 Rivers Data'!$C$4:$D$8,2,FALSE),"")</f>
        <v/>
      </c>
      <c r="T118" s="145"/>
      <c r="U118" s="499" t="str">
        <f>IFERROR(INDEX('G-7 Rivers Data'!$H$4:$L$8,MATCH(N118,'G-7 Rivers Data'!$B$4:$B$8,0),MATCH(T118,'G-7 Rivers Data'!$H$3:$L$3,0)),"")</f>
        <v/>
      </c>
      <c r="V118" s="154"/>
      <c r="W118" s="507" t="str">
        <f>IF(V118="","",IF(VLOOKUP(V118,'G-7 Rivers Data'!$AG$4:$AI$9,2,FALSE)=0,"Spatial Data Missing ⚠",VLOOKUP(V118,'G-7 Rivers Data'!$AG$4:$AI$9,2,FALSE)))</f>
        <v/>
      </c>
      <c r="X118" s="499" t="str">
        <f>IF(V118="","",IF(VLOOKUP(V118,'G-7 Rivers Data'!$AG$4:$AI$9,3,FALSE)=0,"Spatial Data Missing ⚠",VLOOKUP(V118,'G-7 Rivers Data'!$AG$4:$AI$9,3,FALSE)))</f>
        <v/>
      </c>
      <c r="Y118" s="498" t="str">
        <f>IFERROR(IF(OR(LEFT(P118,5)="Error ▲",LEFT(O118,5)="Error ▲"),"Check Data ⚠",IF(F118&lt;S118,'G-7 Rivers Data'!$R$3,INDEX('G-7 Rivers Data'!$U$5:$Y$9,MATCH(G118,'G-7 Rivers Data'!$T$5:$T$9,0),MATCH(T118,'G-7 Rivers Data'!$U$4:$Y$4,0)))),"")</f>
        <v/>
      </c>
      <c r="Z118" s="195"/>
      <c r="AA118" s="195"/>
      <c r="AB118" s="507" t="str">
        <f t="shared" si="11"/>
        <v/>
      </c>
      <c r="AC118" s="521" t="str">
        <f t="shared" si="12"/>
        <v/>
      </c>
      <c r="AD118" s="564" t="str">
        <f>IFERROR(IF(AC118="Check Data ⚠","Check Data ⚠",VLOOKUP(AC118,'G-4 Temporal multipliers'!$A$4:$C$37,3,FALSE)),"")</f>
        <v/>
      </c>
      <c r="AE118" s="498" t="str">
        <f>IF(N118="","",VLOOKUP(N118,'G-7 Rivers Data'!$B$4:$G$8,5,FALSE))</f>
        <v/>
      </c>
      <c r="AF118" s="507" t="str">
        <f t="shared" si="13"/>
        <v/>
      </c>
      <c r="AG118" s="540" t="str">
        <f t="shared" si="14"/>
        <v/>
      </c>
      <c r="AH118" s="499" t="str">
        <f t="shared" si="8"/>
        <v/>
      </c>
      <c r="AI118" s="145"/>
      <c r="AJ118" s="499" t="str">
        <f>IF(AI118="","",IF(VLOOKUP(AI118,'G-7 Rivers Data'!$AA$4:$AB$7,2,FALSE)=0,"Spatial Data Missing ⚠",VLOOKUP(AI118,'G-7 Rivers Data'!$AA$4:$AB$7,2,FALSE)))</f>
        <v/>
      </c>
      <c r="AK118" s="155"/>
      <c r="AL118" s="499" t="str">
        <f>IF(AK118="","",IF(VLOOKUP(AK118,'G-7 Rivers Data'!$AD$4:$AE$8,2,FALSE)=0,"Spatial Data Missing ⚠",VLOOKUP(AK118,'G-7 Rivers Data'!$AD$4:$AE$8,2,FALSE)))</f>
        <v/>
      </c>
      <c r="AM118" s="545" t="str">
        <f t="shared" si="15"/>
        <v/>
      </c>
      <c r="AN118" s="149"/>
      <c r="AO118" s="150"/>
      <c r="AV118" s="31" t="str">
        <f>IFERROR(INDEX('G-7 Rivers Data'!$AZ$3:$AZ$7,MATCH(N118,'G-7 Rivers Data'!$AY$3:$AY$7,0)),"")</f>
        <v/>
      </c>
    </row>
    <row r="119" spans="2:48" ht="13.8" x14ac:dyDescent="0.25">
      <c r="B119" s="531" t="str">
        <f>'C-1 Site River Baseline'!AN117</f>
        <v/>
      </c>
      <c r="C119" s="520" t="str">
        <f>IF(B119="","",VLOOKUP($B119,'C-1 Site River Baseline'!$C$9:$R$257,2,FALSE))</f>
        <v/>
      </c>
      <c r="D119" s="520" t="str">
        <f>IF(C119="","",VLOOKUP($B119,'C-1 Site River Baseline'!$C$9:$R$257,3,FALSE))</f>
        <v/>
      </c>
      <c r="E119" s="520" t="str">
        <f>IF(D119="","",VLOOKUP($B119,'C-1 Site River Baseline'!$C$9:$R$257,4,FALSE))</f>
        <v/>
      </c>
      <c r="F119" s="520" t="str">
        <f>IF(E119="","",VLOOKUP($B119,'C-1 Site River Baseline'!$C$9:$R$257,5,FALSE))</f>
        <v/>
      </c>
      <c r="G119" s="520" t="str">
        <f>IF(F119="","",VLOOKUP($B119,'C-1 Site River Baseline'!$C$9:$R$257,6,FALSE))</f>
        <v/>
      </c>
      <c r="H119" s="520" t="str">
        <f>IF(G119="","",VLOOKUP($B119,'C-1 Site River Baseline'!$C$9:$R$257,7,FALSE))</f>
        <v/>
      </c>
      <c r="I119" s="520" t="str">
        <f>IF(H119="","",VLOOKUP($B119,'C-1 Site River Baseline'!$C$9:$R$257,8,FALSE))</f>
        <v/>
      </c>
      <c r="J119" s="520" t="str">
        <f>IF(I119="","",VLOOKUP($B119,'C-1 Site River Baseline'!$C$9:$R$257,9,FALSE))</f>
        <v/>
      </c>
      <c r="K119" s="520" t="str">
        <f>IF(J119="","",VLOOKUP($B119,'C-1 Site River Baseline'!$C$9:$R$257,10,FALSE))</f>
        <v/>
      </c>
      <c r="L119" s="520" t="str">
        <f>IF(B119="","",VLOOKUP($B119,'C-1 Site River Baseline'!$C$9:$R$257,15,FALSE))</f>
        <v/>
      </c>
      <c r="M119" s="524" t="str">
        <f>IF(L119="","",VLOOKUP($B119,'C-1 Site River Baseline'!$C$9:$R$257,16,FALSE))</f>
        <v/>
      </c>
      <c r="N119" s="418" t="str">
        <f t="shared" si="9"/>
        <v/>
      </c>
      <c r="O119" s="498" t="str">
        <f t="shared" si="10"/>
        <v/>
      </c>
      <c r="P119" s="499" t="str">
        <f>IF(C119="","",IF(AND(LEFT(C119,55)&lt;&gt;LEFT(N119,55),O119="High - High"),"Error - Not like for like ▲",IF(AND(F119=S119,H119&gt;U119),"Error - Can not reduce condition ▲",IF(AND(F119=S119,H119=U119,AJ119='C-1 Site River Baseline'!N117,'C-1 Site River Baseline'!P117=AL119),"Error - No enhancement ▲",IF(AND(C119&lt;&gt;N119,F119&lt;S119),"Lower Distinctiveness Habitat"&amp;" - "&amp;T119,G119&amp;" - "&amp;T119)))))</f>
        <v/>
      </c>
      <c r="Q119" s="567" t="str">
        <f>IF(N119="","",VLOOKUP(B119,'C-1 Site River Baseline'!$C$10:$AA$257,19,FALSE))</f>
        <v/>
      </c>
      <c r="R119" s="498" t="str">
        <f>IF(N119="","",VLOOKUP(N119,'G-7 Rivers Data'!$B$2:$G$8,2,FALSE))</f>
        <v/>
      </c>
      <c r="S119" s="499" t="str">
        <f>IFERROR(VLOOKUP(R119,'G-7 Rivers Data'!$C$4:$D$8,2,FALSE),"")</f>
        <v/>
      </c>
      <c r="T119" s="145"/>
      <c r="U119" s="499" t="str">
        <f>IFERROR(INDEX('G-7 Rivers Data'!$H$4:$L$8,MATCH(N119,'G-7 Rivers Data'!$B$4:$B$8,0),MATCH(T119,'G-7 Rivers Data'!$H$3:$L$3,0)),"")</f>
        <v/>
      </c>
      <c r="V119" s="154"/>
      <c r="W119" s="507" t="str">
        <f>IF(V119="","",IF(VLOOKUP(V119,'G-7 Rivers Data'!$AG$4:$AI$9,2,FALSE)=0,"Spatial Data Missing ⚠",VLOOKUP(V119,'G-7 Rivers Data'!$AG$4:$AI$9,2,FALSE)))</f>
        <v/>
      </c>
      <c r="X119" s="499" t="str">
        <f>IF(V119="","",IF(VLOOKUP(V119,'G-7 Rivers Data'!$AG$4:$AI$9,3,FALSE)=0,"Spatial Data Missing ⚠",VLOOKUP(V119,'G-7 Rivers Data'!$AG$4:$AI$9,3,FALSE)))</f>
        <v/>
      </c>
      <c r="Y119" s="498" t="str">
        <f>IFERROR(IF(OR(LEFT(P119,5)="Error ▲",LEFT(O119,5)="Error ▲"),"Check Data ⚠",IF(F119&lt;S119,'G-7 Rivers Data'!$R$3,INDEX('G-7 Rivers Data'!$U$5:$Y$9,MATCH(G119,'G-7 Rivers Data'!$T$5:$T$9,0),MATCH(T119,'G-7 Rivers Data'!$U$4:$Y$4,0)))),"")</f>
        <v/>
      </c>
      <c r="Z119" s="195"/>
      <c r="AA119" s="195"/>
      <c r="AB119" s="507" t="str">
        <f t="shared" si="11"/>
        <v/>
      </c>
      <c r="AC119" s="521" t="str">
        <f t="shared" si="12"/>
        <v/>
      </c>
      <c r="AD119" s="564" t="str">
        <f>IFERROR(IF(AC119="Check Data ⚠","Check Data ⚠",VLOOKUP(AC119,'G-4 Temporal multipliers'!$A$4:$C$37,3,FALSE)),"")</f>
        <v/>
      </c>
      <c r="AE119" s="498" t="str">
        <f>IF(N119="","",VLOOKUP(N119,'G-7 Rivers Data'!$B$4:$G$8,5,FALSE))</f>
        <v/>
      </c>
      <c r="AF119" s="507" t="str">
        <f t="shared" si="13"/>
        <v/>
      </c>
      <c r="AG119" s="540" t="str">
        <f t="shared" si="14"/>
        <v/>
      </c>
      <c r="AH119" s="499" t="str">
        <f t="shared" si="8"/>
        <v/>
      </c>
      <c r="AI119" s="145"/>
      <c r="AJ119" s="499" t="str">
        <f>IF(AI119="","",IF(VLOOKUP(AI119,'G-7 Rivers Data'!$AA$4:$AB$7,2,FALSE)=0,"Spatial Data Missing ⚠",VLOOKUP(AI119,'G-7 Rivers Data'!$AA$4:$AB$7,2,FALSE)))</f>
        <v/>
      </c>
      <c r="AK119" s="155"/>
      <c r="AL119" s="499" t="str">
        <f>IF(AK119="","",IF(VLOOKUP(AK119,'G-7 Rivers Data'!$AD$4:$AE$8,2,FALSE)=0,"Spatial Data Missing ⚠",VLOOKUP(AK119,'G-7 Rivers Data'!$AD$4:$AE$8,2,FALSE)))</f>
        <v/>
      </c>
      <c r="AM119" s="545" t="str">
        <f t="shared" si="15"/>
        <v/>
      </c>
      <c r="AN119" s="149"/>
      <c r="AO119" s="150"/>
      <c r="AV119" s="31" t="str">
        <f>IFERROR(INDEX('G-7 Rivers Data'!$AZ$3:$AZ$7,MATCH(N119,'G-7 Rivers Data'!$AY$3:$AY$7,0)),"")</f>
        <v/>
      </c>
    </row>
    <row r="120" spans="2:48" ht="13.8" x14ac:dyDescent="0.25">
      <c r="B120" s="531" t="str">
        <f>'C-1 Site River Baseline'!AN118</f>
        <v/>
      </c>
      <c r="C120" s="520" t="str">
        <f>IF(B120="","",VLOOKUP($B120,'C-1 Site River Baseline'!$C$9:$R$257,2,FALSE))</f>
        <v/>
      </c>
      <c r="D120" s="520" t="str">
        <f>IF(C120="","",VLOOKUP($B120,'C-1 Site River Baseline'!$C$9:$R$257,3,FALSE))</f>
        <v/>
      </c>
      <c r="E120" s="520" t="str">
        <f>IF(D120="","",VLOOKUP($B120,'C-1 Site River Baseline'!$C$9:$R$257,4,FALSE))</f>
        <v/>
      </c>
      <c r="F120" s="520" t="str">
        <f>IF(E120="","",VLOOKUP($B120,'C-1 Site River Baseline'!$C$9:$R$257,5,FALSE))</f>
        <v/>
      </c>
      <c r="G120" s="520" t="str">
        <f>IF(F120="","",VLOOKUP($B120,'C-1 Site River Baseline'!$C$9:$R$257,6,FALSE))</f>
        <v/>
      </c>
      <c r="H120" s="520" t="str">
        <f>IF(G120="","",VLOOKUP($B120,'C-1 Site River Baseline'!$C$9:$R$257,7,FALSE))</f>
        <v/>
      </c>
      <c r="I120" s="520" t="str">
        <f>IF(H120="","",VLOOKUP($B120,'C-1 Site River Baseline'!$C$9:$R$257,8,FALSE))</f>
        <v/>
      </c>
      <c r="J120" s="520" t="str">
        <f>IF(I120="","",VLOOKUP($B120,'C-1 Site River Baseline'!$C$9:$R$257,9,FALSE))</f>
        <v/>
      </c>
      <c r="K120" s="520" t="str">
        <f>IF(J120="","",VLOOKUP($B120,'C-1 Site River Baseline'!$C$9:$R$257,10,FALSE))</f>
        <v/>
      </c>
      <c r="L120" s="520" t="str">
        <f>IF(B120="","",VLOOKUP($B120,'C-1 Site River Baseline'!$C$9:$R$257,15,FALSE))</f>
        <v/>
      </c>
      <c r="M120" s="524" t="str">
        <f>IF(L120="","",VLOOKUP($B120,'C-1 Site River Baseline'!$C$9:$R$257,16,FALSE))</f>
        <v/>
      </c>
      <c r="N120" s="418" t="str">
        <f t="shared" si="9"/>
        <v/>
      </c>
      <c r="O120" s="498" t="str">
        <f t="shared" si="10"/>
        <v/>
      </c>
      <c r="P120" s="499" t="str">
        <f>IF(C120="","",IF(AND(LEFT(C120,55)&lt;&gt;LEFT(N120,55),O120="High - High"),"Error - Not like for like ▲",IF(AND(F120=S120,H120&gt;U120),"Error - Can not reduce condition ▲",IF(AND(F120=S120,H120=U120,AJ120='C-1 Site River Baseline'!N118,'C-1 Site River Baseline'!P118=AL120),"Error - No enhancement ▲",IF(AND(C120&lt;&gt;N120,F120&lt;S120),"Lower Distinctiveness Habitat"&amp;" - "&amp;T120,G120&amp;" - "&amp;T120)))))</f>
        <v/>
      </c>
      <c r="Q120" s="567" t="str">
        <f>IF(N120="","",VLOOKUP(B120,'C-1 Site River Baseline'!$C$10:$AA$257,19,FALSE))</f>
        <v/>
      </c>
      <c r="R120" s="498" t="str">
        <f>IF(N120="","",VLOOKUP(N120,'G-7 Rivers Data'!$B$2:$G$8,2,FALSE))</f>
        <v/>
      </c>
      <c r="S120" s="499" t="str">
        <f>IFERROR(VLOOKUP(R120,'G-7 Rivers Data'!$C$4:$D$8,2,FALSE),"")</f>
        <v/>
      </c>
      <c r="T120" s="145"/>
      <c r="U120" s="499" t="str">
        <f>IFERROR(INDEX('G-7 Rivers Data'!$H$4:$L$8,MATCH(N120,'G-7 Rivers Data'!$B$4:$B$8,0),MATCH(T120,'G-7 Rivers Data'!$H$3:$L$3,0)),"")</f>
        <v/>
      </c>
      <c r="V120" s="154"/>
      <c r="W120" s="507" t="str">
        <f>IF(V120="","",IF(VLOOKUP(V120,'G-7 Rivers Data'!$AG$4:$AI$9,2,FALSE)=0,"Spatial Data Missing ⚠",VLOOKUP(V120,'G-7 Rivers Data'!$AG$4:$AI$9,2,FALSE)))</f>
        <v/>
      </c>
      <c r="X120" s="499" t="str">
        <f>IF(V120="","",IF(VLOOKUP(V120,'G-7 Rivers Data'!$AG$4:$AI$9,3,FALSE)=0,"Spatial Data Missing ⚠",VLOOKUP(V120,'G-7 Rivers Data'!$AG$4:$AI$9,3,FALSE)))</f>
        <v/>
      </c>
      <c r="Y120" s="498" t="str">
        <f>IFERROR(IF(OR(LEFT(P120,5)="Error ▲",LEFT(O120,5)="Error ▲"),"Check Data ⚠",IF(F120&lt;S120,'G-7 Rivers Data'!$R$3,INDEX('G-7 Rivers Data'!$U$5:$Y$9,MATCH(G120,'G-7 Rivers Data'!$T$5:$T$9,0),MATCH(T120,'G-7 Rivers Data'!$U$4:$Y$4,0)))),"")</f>
        <v/>
      </c>
      <c r="Z120" s="195"/>
      <c r="AA120" s="195"/>
      <c r="AB120" s="507" t="str">
        <f t="shared" si="11"/>
        <v/>
      </c>
      <c r="AC120" s="521" t="str">
        <f t="shared" si="12"/>
        <v/>
      </c>
      <c r="AD120" s="564" t="str">
        <f>IFERROR(IF(AC120="Check Data ⚠","Check Data ⚠",VLOOKUP(AC120,'G-4 Temporal multipliers'!$A$4:$C$37,3,FALSE)),"")</f>
        <v/>
      </c>
      <c r="AE120" s="498" t="str">
        <f>IF(N120="","",VLOOKUP(N120,'G-7 Rivers Data'!$B$4:$G$8,5,FALSE))</f>
        <v/>
      </c>
      <c r="AF120" s="507" t="str">
        <f t="shared" si="13"/>
        <v/>
      </c>
      <c r="AG120" s="540" t="str">
        <f t="shared" si="14"/>
        <v/>
      </c>
      <c r="AH120" s="499" t="str">
        <f t="shared" si="8"/>
        <v/>
      </c>
      <c r="AI120" s="145"/>
      <c r="AJ120" s="499" t="str">
        <f>IF(AI120="","",IF(VLOOKUP(AI120,'G-7 Rivers Data'!$AA$4:$AB$7,2,FALSE)=0,"Spatial Data Missing ⚠",VLOOKUP(AI120,'G-7 Rivers Data'!$AA$4:$AB$7,2,FALSE)))</f>
        <v/>
      </c>
      <c r="AK120" s="155"/>
      <c r="AL120" s="499" t="str">
        <f>IF(AK120="","",IF(VLOOKUP(AK120,'G-7 Rivers Data'!$AD$4:$AE$8,2,FALSE)=0,"Spatial Data Missing ⚠",VLOOKUP(AK120,'G-7 Rivers Data'!$AD$4:$AE$8,2,FALSE)))</f>
        <v/>
      </c>
      <c r="AM120" s="545" t="str">
        <f t="shared" si="15"/>
        <v/>
      </c>
      <c r="AN120" s="149"/>
      <c r="AO120" s="150"/>
      <c r="AV120" s="31" t="str">
        <f>IFERROR(INDEX('G-7 Rivers Data'!$AZ$3:$AZ$7,MATCH(N120,'G-7 Rivers Data'!$AY$3:$AY$7,0)),"")</f>
        <v/>
      </c>
    </row>
    <row r="121" spans="2:48" ht="13.8" x14ac:dyDescent="0.25">
      <c r="B121" s="531" t="str">
        <f>'C-1 Site River Baseline'!AN119</f>
        <v/>
      </c>
      <c r="C121" s="520" t="str">
        <f>IF(B121="","",VLOOKUP($B121,'C-1 Site River Baseline'!$C$9:$R$257,2,FALSE))</f>
        <v/>
      </c>
      <c r="D121" s="520" t="str">
        <f>IF(C121="","",VLOOKUP($B121,'C-1 Site River Baseline'!$C$9:$R$257,3,FALSE))</f>
        <v/>
      </c>
      <c r="E121" s="520" t="str">
        <f>IF(D121="","",VLOOKUP($B121,'C-1 Site River Baseline'!$C$9:$R$257,4,FALSE))</f>
        <v/>
      </c>
      <c r="F121" s="520" t="str">
        <f>IF(E121="","",VLOOKUP($B121,'C-1 Site River Baseline'!$C$9:$R$257,5,FALSE))</f>
        <v/>
      </c>
      <c r="G121" s="520" t="str">
        <f>IF(F121="","",VLOOKUP($B121,'C-1 Site River Baseline'!$C$9:$R$257,6,FALSE))</f>
        <v/>
      </c>
      <c r="H121" s="520" t="str">
        <f>IF(G121="","",VLOOKUP($B121,'C-1 Site River Baseline'!$C$9:$R$257,7,FALSE))</f>
        <v/>
      </c>
      <c r="I121" s="520" t="str">
        <f>IF(H121="","",VLOOKUP($B121,'C-1 Site River Baseline'!$C$9:$R$257,8,FALSE))</f>
        <v/>
      </c>
      <c r="J121" s="520" t="str">
        <f>IF(I121="","",VLOOKUP($B121,'C-1 Site River Baseline'!$C$9:$R$257,9,FALSE))</f>
        <v/>
      </c>
      <c r="K121" s="520" t="str">
        <f>IF(J121="","",VLOOKUP($B121,'C-1 Site River Baseline'!$C$9:$R$257,10,FALSE))</f>
        <v/>
      </c>
      <c r="L121" s="520" t="str">
        <f>IF(B121="","",VLOOKUP($B121,'C-1 Site River Baseline'!$C$9:$R$257,15,FALSE))</f>
        <v/>
      </c>
      <c r="M121" s="524" t="str">
        <f>IF(L121="","",VLOOKUP($B121,'C-1 Site River Baseline'!$C$9:$R$257,16,FALSE))</f>
        <v/>
      </c>
      <c r="N121" s="418" t="str">
        <f t="shared" si="9"/>
        <v/>
      </c>
      <c r="O121" s="498" t="str">
        <f t="shared" si="10"/>
        <v/>
      </c>
      <c r="P121" s="499" t="str">
        <f>IF(C121="","",IF(AND(LEFT(C121,55)&lt;&gt;LEFT(N121,55),O121="High - High"),"Error - Not like for like ▲",IF(AND(F121=S121,H121&gt;U121),"Error - Can not reduce condition ▲",IF(AND(F121=S121,H121=U121,AJ121='C-1 Site River Baseline'!N119,'C-1 Site River Baseline'!P119=AL121),"Error - No enhancement ▲",IF(AND(C121&lt;&gt;N121,F121&lt;S121),"Lower Distinctiveness Habitat"&amp;" - "&amp;T121,G121&amp;" - "&amp;T121)))))</f>
        <v/>
      </c>
      <c r="Q121" s="567" t="str">
        <f>IF(N121="","",VLOOKUP(B121,'C-1 Site River Baseline'!$C$10:$AA$257,19,FALSE))</f>
        <v/>
      </c>
      <c r="R121" s="498" t="str">
        <f>IF(N121="","",VLOOKUP(N121,'G-7 Rivers Data'!$B$2:$G$8,2,FALSE))</f>
        <v/>
      </c>
      <c r="S121" s="499" t="str">
        <f>IFERROR(VLOOKUP(R121,'G-7 Rivers Data'!$C$4:$D$8,2,FALSE),"")</f>
        <v/>
      </c>
      <c r="T121" s="145"/>
      <c r="U121" s="499" t="str">
        <f>IFERROR(INDEX('G-7 Rivers Data'!$H$4:$L$8,MATCH(N121,'G-7 Rivers Data'!$B$4:$B$8,0),MATCH(T121,'G-7 Rivers Data'!$H$3:$L$3,0)),"")</f>
        <v/>
      </c>
      <c r="V121" s="154"/>
      <c r="W121" s="507" t="str">
        <f>IF(V121="","",IF(VLOOKUP(V121,'G-7 Rivers Data'!$AG$4:$AI$9,2,FALSE)=0,"Spatial Data Missing ⚠",VLOOKUP(V121,'G-7 Rivers Data'!$AG$4:$AI$9,2,FALSE)))</f>
        <v/>
      </c>
      <c r="X121" s="499" t="str">
        <f>IF(V121="","",IF(VLOOKUP(V121,'G-7 Rivers Data'!$AG$4:$AI$9,3,FALSE)=0,"Spatial Data Missing ⚠",VLOOKUP(V121,'G-7 Rivers Data'!$AG$4:$AI$9,3,FALSE)))</f>
        <v/>
      </c>
      <c r="Y121" s="498" t="str">
        <f>IFERROR(IF(OR(LEFT(P121,5)="Error ▲",LEFT(O121,5)="Error ▲"),"Check Data ⚠",IF(F121&lt;S121,'G-7 Rivers Data'!$R$3,INDEX('G-7 Rivers Data'!$U$5:$Y$9,MATCH(G121,'G-7 Rivers Data'!$T$5:$T$9,0),MATCH(T121,'G-7 Rivers Data'!$U$4:$Y$4,0)))),"")</f>
        <v/>
      </c>
      <c r="Z121" s="195"/>
      <c r="AA121" s="195"/>
      <c r="AB121" s="507" t="str">
        <f t="shared" si="11"/>
        <v/>
      </c>
      <c r="AC121" s="521" t="str">
        <f t="shared" si="12"/>
        <v/>
      </c>
      <c r="AD121" s="564" t="str">
        <f>IFERROR(IF(AC121="Check Data ⚠","Check Data ⚠",VLOOKUP(AC121,'G-4 Temporal multipliers'!$A$4:$C$37,3,FALSE)),"")</f>
        <v/>
      </c>
      <c r="AE121" s="498" t="str">
        <f>IF(N121="","",VLOOKUP(N121,'G-7 Rivers Data'!$B$4:$G$8,5,FALSE))</f>
        <v/>
      </c>
      <c r="AF121" s="507" t="str">
        <f t="shared" si="13"/>
        <v/>
      </c>
      <c r="AG121" s="540" t="str">
        <f t="shared" si="14"/>
        <v/>
      </c>
      <c r="AH121" s="499" t="str">
        <f t="shared" si="8"/>
        <v/>
      </c>
      <c r="AI121" s="145"/>
      <c r="AJ121" s="499" t="str">
        <f>IF(AI121="","",IF(VLOOKUP(AI121,'G-7 Rivers Data'!$AA$4:$AB$7,2,FALSE)=0,"Spatial Data Missing ⚠",VLOOKUP(AI121,'G-7 Rivers Data'!$AA$4:$AB$7,2,FALSE)))</f>
        <v/>
      </c>
      <c r="AK121" s="155"/>
      <c r="AL121" s="499" t="str">
        <f>IF(AK121="","",IF(VLOOKUP(AK121,'G-7 Rivers Data'!$AD$4:$AE$8,2,FALSE)=0,"Spatial Data Missing ⚠",VLOOKUP(AK121,'G-7 Rivers Data'!$AD$4:$AE$8,2,FALSE)))</f>
        <v/>
      </c>
      <c r="AM121" s="545" t="str">
        <f t="shared" si="15"/>
        <v/>
      </c>
      <c r="AN121" s="149"/>
      <c r="AO121" s="150"/>
      <c r="AV121" s="31" t="str">
        <f>IFERROR(INDEX('G-7 Rivers Data'!$AZ$3:$AZ$7,MATCH(N121,'G-7 Rivers Data'!$AY$3:$AY$7,0)),"")</f>
        <v/>
      </c>
    </row>
    <row r="122" spans="2:48" ht="13.8" x14ac:dyDescent="0.25">
      <c r="B122" s="531" t="str">
        <f>'C-1 Site River Baseline'!AN120</f>
        <v/>
      </c>
      <c r="C122" s="520" t="str">
        <f>IF(B122="","",VLOOKUP($B122,'C-1 Site River Baseline'!$C$9:$R$257,2,FALSE))</f>
        <v/>
      </c>
      <c r="D122" s="520" t="str">
        <f>IF(C122="","",VLOOKUP($B122,'C-1 Site River Baseline'!$C$9:$R$257,3,FALSE))</f>
        <v/>
      </c>
      <c r="E122" s="520" t="str">
        <f>IF(D122="","",VLOOKUP($B122,'C-1 Site River Baseline'!$C$9:$R$257,4,FALSE))</f>
        <v/>
      </c>
      <c r="F122" s="520" t="str">
        <f>IF(E122="","",VLOOKUP($B122,'C-1 Site River Baseline'!$C$9:$R$257,5,FALSE))</f>
        <v/>
      </c>
      <c r="G122" s="520" t="str">
        <f>IF(F122="","",VLOOKUP($B122,'C-1 Site River Baseline'!$C$9:$R$257,6,FALSE))</f>
        <v/>
      </c>
      <c r="H122" s="520" t="str">
        <f>IF(G122="","",VLOOKUP($B122,'C-1 Site River Baseline'!$C$9:$R$257,7,FALSE))</f>
        <v/>
      </c>
      <c r="I122" s="520" t="str">
        <f>IF(H122="","",VLOOKUP($B122,'C-1 Site River Baseline'!$C$9:$R$257,8,FALSE))</f>
        <v/>
      </c>
      <c r="J122" s="520" t="str">
        <f>IF(I122="","",VLOOKUP($B122,'C-1 Site River Baseline'!$C$9:$R$257,9,FALSE))</f>
        <v/>
      </c>
      <c r="K122" s="520" t="str">
        <f>IF(J122="","",VLOOKUP($B122,'C-1 Site River Baseline'!$C$9:$R$257,10,FALSE))</f>
        <v/>
      </c>
      <c r="L122" s="520" t="str">
        <f>IF(B122="","",VLOOKUP($B122,'C-1 Site River Baseline'!$C$9:$R$257,15,FALSE))</f>
        <v/>
      </c>
      <c r="M122" s="524" t="str">
        <f>IF(L122="","",VLOOKUP($B122,'C-1 Site River Baseline'!$C$9:$R$257,16,FALSE))</f>
        <v/>
      </c>
      <c r="N122" s="418" t="str">
        <f t="shared" si="9"/>
        <v/>
      </c>
      <c r="O122" s="498" t="str">
        <f t="shared" si="10"/>
        <v/>
      </c>
      <c r="P122" s="499" t="str">
        <f>IF(C122="","",IF(AND(LEFT(C122,55)&lt;&gt;LEFT(N122,55),O122="High - High"),"Error - Not like for like ▲",IF(AND(F122=S122,H122&gt;U122),"Error - Can not reduce condition ▲",IF(AND(F122=S122,H122=U122,AJ122='C-1 Site River Baseline'!N120,'C-1 Site River Baseline'!P120=AL122),"Error - No enhancement ▲",IF(AND(C122&lt;&gt;N122,F122&lt;S122),"Lower Distinctiveness Habitat"&amp;" - "&amp;T122,G122&amp;" - "&amp;T122)))))</f>
        <v/>
      </c>
      <c r="Q122" s="567" t="str">
        <f>IF(N122="","",VLOOKUP(B122,'C-1 Site River Baseline'!$C$10:$AA$257,19,FALSE))</f>
        <v/>
      </c>
      <c r="R122" s="498" t="str">
        <f>IF(N122="","",VLOOKUP(N122,'G-7 Rivers Data'!$B$2:$G$8,2,FALSE))</f>
        <v/>
      </c>
      <c r="S122" s="499" t="str">
        <f>IFERROR(VLOOKUP(R122,'G-7 Rivers Data'!$C$4:$D$8,2,FALSE),"")</f>
        <v/>
      </c>
      <c r="T122" s="145"/>
      <c r="U122" s="499" t="str">
        <f>IFERROR(INDEX('G-7 Rivers Data'!$H$4:$L$8,MATCH(N122,'G-7 Rivers Data'!$B$4:$B$8,0),MATCH(T122,'G-7 Rivers Data'!$H$3:$L$3,0)),"")</f>
        <v/>
      </c>
      <c r="V122" s="154"/>
      <c r="W122" s="507" t="str">
        <f>IF(V122="","",IF(VLOOKUP(V122,'G-7 Rivers Data'!$AG$4:$AI$9,2,FALSE)=0,"Spatial Data Missing ⚠",VLOOKUP(V122,'G-7 Rivers Data'!$AG$4:$AI$9,2,FALSE)))</f>
        <v/>
      </c>
      <c r="X122" s="499" t="str">
        <f>IF(V122="","",IF(VLOOKUP(V122,'G-7 Rivers Data'!$AG$4:$AI$9,3,FALSE)=0,"Spatial Data Missing ⚠",VLOOKUP(V122,'G-7 Rivers Data'!$AG$4:$AI$9,3,FALSE)))</f>
        <v/>
      </c>
      <c r="Y122" s="498" t="str">
        <f>IFERROR(IF(OR(LEFT(P122,5)="Error ▲",LEFT(O122,5)="Error ▲"),"Check Data ⚠",IF(F122&lt;S122,'G-7 Rivers Data'!$R$3,INDEX('G-7 Rivers Data'!$U$5:$Y$9,MATCH(G122,'G-7 Rivers Data'!$T$5:$T$9,0),MATCH(T122,'G-7 Rivers Data'!$U$4:$Y$4,0)))),"")</f>
        <v/>
      </c>
      <c r="Z122" s="195"/>
      <c r="AA122" s="195"/>
      <c r="AB122" s="507" t="str">
        <f t="shared" si="11"/>
        <v/>
      </c>
      <c r="AC122" s="521" t="str">
        <f t="shared" si="12"/>
        <v/>
      </c>
      <c r="AD122" s="564" t="str">
        <f>IFERROR(IF(AC122="Check Data ⚠","Check Data ⚠",VLOOKUP(AC122,'G-4 Temporal multipliers'!$A$4:$C$37,3,FALSE)),"")</f>
        <v/>
      </c>
      <c r="AE122" s="498" t="str">
        <f>IF(N122="","",VLOOKUP(N122,'G-7 Rivers Data'!$B$4:$G$8,5,FALSE))</f>
        <v/>
      </c>
      <c r="AF122" s="507" t="str">
        <f t="shared" si="13"/>
        <v/>
      </c>
      <c r="AG122" s="540" t="str">
        <f t="shared" si="14"/>
        <v/>
      </c>
      <c r="AH122" s="499" t="str">
        <f t="shared" si="8"/>
        <v/>
      </c>
      <c r="AI122" s="145"/>
      <c r="AJ122" s="499" t="str">
        <f>IF(AI122="","",IF(VLOOKUP(AI122,'G-7 Rivers Data'!$AA$4:$AB$7,2,FALSE)=0,"Spatial Data Missing ⚠",VLOOKUP(AI122,'G-7 Rivers Data'!$AA$4:$AB$7,2,FALSE)))</f>
        <v/>
      </c>
      <c r="AK122" s="155"/>
      <c r="AL122" s="499" t="str">
        <f>IF(AK122="","",IF(VLOOKUP(AK122,'G-7 Rivers Data'!$AD$4:$AE$8,2,FALSE)=0,"Spatial Data Missing ⚠",VLOOKUP(AK122,'G-7 Rivers Data'!$AD$4:$AE$8,2,FALSE)))</f>
        <v/>
      </c>
      <c r="AM122" s="545" t="str">
        <f t="shared" si="15"/>
        <v/>
      </c>
      <c r="AN122" s="149"/>
      <c r="AO122" s="150"/>
      <c r="AV122" s="31" t="str">
        <f>IFERROR(INDEX('G-7 Rivers Data'!$AZ$3:$AZ$7,MATCH(N122,'G-7 Rivers Data'!$AY$3:$AY$7,0)),"")</f>
        <v/>
      </c>
    </row>
    <row r="123" spans="2:48" ht="13.8" x14ac:dyDescent="0.25">
      <c r="B123" s="531" t="str">
        <f>'C-1 Site River Baseline'!AN121</f>
        <v/>
      </c>
      <c r="C123" s="520" t="str">
        <f>IF(B123="","",VLOOKUP($B123,'C-1 Site River Baseline'!$C$9:$R$257,2,FALSE))</f>
        <v/>
      </c>
      <c r="D123" s="520" t="str">
        <f>IF(C123="","",VLOOKUP($B123,'C-1 Site River Baseline'!$C$9:$R$257,3,FALSE))</f>
        <v/>
      </c>
      <c r="E123" s="520" t="str">
        <f>IF(D123="","",VLOOKUP($B123,'C-1 Site River Baseline'!$C$9:$R$257,4,FALSE))</f>
        <v/>
      </c>
      <c r="F123" s="520" t="str">
        <f>IF(E123="","",VLOOKUP($B123,'C-1 Site River Baseline'!$C$9:$R$257,5,FALSE))</f>
        <v/>
      </c>
      <c r="G123" s="520" t="str">
        <f>IF(F123="","",VLOOKUP($B123,'C-1 Site River Baseline'!$C$9:$R$257,6,FALSE))</f>
        <v/>
      </c>
      <c r="H123" s="520" t="str">
        <f>IF(G123="","",VLOOKUP($B123,'C-1 Site River Baseline'!$C$9:$R$257,7,FALSE))</f>
        <v/>
      </c>
      <c r="I123" s="520" t="str">
        <f>IF(H123="","",VLOOKUP($B123,'C-1 Site River Baseline'!$C$9:$R$257,8,FALSE))</f>
        <v/>
      </c>
      <c r="J123" s="520" t="str">
        <f>IF(I123="","",VLOOKUP($B123,'C-1 Site River Baseline'!$C$9:$R$257,9,FALSE))</f>
        <v/>
      </c>
      <c r="K123" s="520" t="str">
        <f>IF(J123="","",VLOOKUP($B123,'C-1 Site River Baseline'!$C$9:$R$257,10,FALSE))</f>
        <v/>
      </c>
      <c r="L123" s="520" t="str">
        <f>IF(B123="","",VLOOKUP($B123,'C-1 Site River Baseline'!$C$9:$R$257,15,FALSE))</f>
        <v/>
      </c>
      <c r="M123" s="524" t="str">
        <f>IF(L123="","",VLOOKUP($B123,'C-1 Site River Baseline'!$C$9:$R$257,16,FALSE))</f>
        <v/>
      </c>
      <c r="N123" s="418" t="str">
        <f t="shared" si="9"/>
        <v/>
      </c>
      <c r="O123" s="498" t="str">
        <f t="shared" si="10"/>
        <v/>
      </c>
      <c r="P123" s="499" t="str">
        <f>IF(C123="","",IF(AND(LEFT(C123,55)&lt;&gt;LEFT(N123,55),O123="High - High"),"Error - Not like for like ▲",IF(AND(F123=S123,H123&gt;U123),"Error - Can not reduce condition ▲",IF(AND(F123=S123,H123=U123,AJ123='C-1 Site River Baseline'!N121,'C-1 Site River Baseline'!P121=AL123),"Error - No enhancement ▲",IF(AND(C123&lt;&gt;N123,F123&lt;S123),"Lower Distinctiveness Habitat"&amp;" - "&amp;T123,G123&amp;" - "&amp;T123)))))</f>
        <v/>
      </c>
      <c r="Q123" s="567" t="str">
        <f>IF(N123="","",VLOOKUP(B123,'C-1 Site River Baseline'!$C$10:$AA$257,19,FALSE))</f>
        <v/>
      </c>
      <c r="R123" s="498" t="str">
        <f>IF(N123="","",VLOOKUP(N123,'G-7 Rivers Data'!$B$2:$G$8,2,FALSE))</f>
        <v/>
      </c>
      <c r="S123" s="499" t="str">
        <f>IFERROR(VLOOKUP(R123,'G-7 Rivers Data'!$C$4:$D$8,2,FALSE),"")</f>
        <v/>
      </c>
      <c r="T123" s="145"/>
      <c r="U123" s="499" t="str">
        <f>IFERROR(INDEX('G-7 Rivers Data'!$H$4:$L$8,MATCH(N123,'G-7 Rivers Data'!$B$4:$B$8,0),MATCH(T123,'G-7 Rivers Data'!$H$3:$L$3,0)),"")</f>
        <v/>
      </c>
      <c r="V123" s="154"/>
      <c r="W123" s="507" t="str">
        <f>IF(V123="","",IF(VLOOKUP(V123,'G-7 Rivers Data'!$AG$4:$AI$9,2,FALSE)=0,"Spatial Data Missing ⚠",VLOOKUP(V123,'G-7 Rivers Data'!$AG$4:$AI$9,2,FALSE)))</f>
        <v/>
      </c>
      <c r="X123" s="499" t="str">
        <f>IF(V123="","",IF(VLOOKUP(V123,'G-7 Rivers Data'!$AG$4:$AI$9,3,FALSE)=0,"Spatial Data Missing ⚠",VLOOKUP(V123,'G-7 Rivers Data'!$AG$4:$AI$9,3,FALSE)))</f>
        <v/>
      </c>
      <c r="Y123" s="498" t="str">
        <f>IFERROR(IF(OR(LEFT(P123,5)="Error ▲",LEFT(O123,5)="Error ▲"),"Check Data ⚠",IF(F123&lt;S123,'G-7 Rivers Data'!$R$3,INDEX('G-7 Rivers Data'!$U$5:$Y$9,MATCH(G123,'G-7 Rivers Data'!$T$5:$T$9,0),MATCH(T123,'G-7 Rivers Data'!$U$4:$Y$4,0)))),"")</f>
        <v/>
      </c>
      <c r="Z123" s="195"/>
      <c r="AA123" s="195"/>
      <c r="AB123" s="507" t="str">
        <f t="shared" si="11"/>
        <v/>
      </c>
      <c r="AC123" s="521" t="str">
        <f t="shared" si="12"/>
        <v/>
      </c>
      <c r="AD123" s="564" t="str">
        <f>IFERROR(IF(AC123="Check Data ⚠","Check Data ⚠",VLOOKUP(AC123,'G-4 Temporal multipliers'!$A$4:$C$37,3,FALSE)),"")</f>
        <v/>
      </c>
      <c r="AE123" s="498" t="str">
        <f>IF(N123="","",VLOOKUP(N123,'G-7 Rivers Data'!$B$4:$G$8,5,FALSE))</f>
        <v/>
      </c>
      <c r="AF123" s="507" t="str">
        <f t="shared" si="13"/>
        <v/>
      </c>
      <c r="AG123" s="540" t="str">
        <f t="shared" si="14"/>
        <v/>
      </c>
      <c r="AH123" s="499" t="str">
        <f t="shared" si="8"/>
        <v/>
      </c>
      <c r="AI123" s="145"/>
      <c r="AJ123" s="499" t="str">
        <f>IF(AI123="","",IF(VLOOKUP(AI123,'G-7 Rivers Data'!$AA$4:$AB$7,2,FALSE)=0,"Spatial Data Missing ⚠",VLOOKUP(AI123,'G-7 Rivers Data'!$AA$4:$AB$7,2,FALSE)))</f>
        <v/>
      </c>
      <c r="AK123" s="155"/>
      <c r="AL123" s="499" t="str">
        <f>IF(AK123="","",IF(VLOOKUP(AK123,'G-7 Rivers Data'!$AD$4:$AE$8,2,FALSE)=0,"Spatial Data Missing ⚠",VLOOKUP(AK123,'G-7 Rivers Data'!$AD$4:$AE$8,2,FALSE)))</f>
        <v/>
      </c>
      <c r="AM123" s="545" t="str">
        <f t="shared" si="15"/>
        <v/>
      </c>
      <c r="AN123" s="149"/>
      <c r="AO123" s="150"/>
      <c r="AV123" s="31" t="str">
        <f>IFERROR(INDEX('G-7 Rivers Data'!$AZ$3:$AZ$7,MATCH(N123,'G-7 Rivers Data'!$AY$3:$AY$7,0)),"")</f>
        <v/>
      </c>
    </row>
    <row r="124" spans="2:48" ht="13.8" x14ac:dyDescent="0.25">
      <c r="B124" s="531" t="str">
        <f>'C-1 Site River Baseline'!AN122</f>
        <v/>
      </c>
      <c r="C124" s="520" t="str">
        <f>IF(B124="","",VLOOKUP($B124,'C-1 Site River Baseline'!$C$9:$R$257,2,FALSE))</f>
        <v/>
      </c>
      <c r="D124" s="520" t="str">
        <f>IF(C124="","",VLOOKUP($B124,'C-1 Site River Baseline'!$C$9:$R$257,3,FALSE))</f>
        <v/>
      </c>
      <c r="E124" s="520" t="str">
        <f>IF(D124="","",VLOOKUP($B124,'C-1 Site River Baseline'!$C$9:$R$257,4,FALSE))</f>
        <v/>
      </c>
      <c r="F124" s="520" t="str">
        <f>IF(E124="","",VLOOKUP($B124,'C-1 Site River Baseline'!$C$9:$R$257,5,FALSE))</f>
        <v/>
      </c>
      <c r="G124" s="520" t="str">
        <f>IF(F124="","",VLOOKUP($B124,'C-1 Site River Baseline'!$C$9:$R$257,6,FALSE))</f>
        <v/>
      </c>
      <c r="H124" s="520" t="str">
        <f>IF(G124="","",VLOOKUP($B124,'C-1 Site River Baseline'!$C$9:$R$257,7,FALSE))</f>
        <v/>
      </c>
      <c r="I124" s="520" t="str">
        <f>IF(H124="","",VLOOKUP($B124,'C-1 Site River Baseline'!$C$9:$R$257,8,FALSE))</f>
        <v/>
      </c>
      <c r="J124" s="520" t="str">
        <f>IF(I124="","",VLOOKUP($B124,'C-1 Site River Baseline'!$C$9:$R$257,9,FALSE))</f>
        <v/>
      </c>
      <c r="K124" s="520" t="str">
        <f>IF(J124="","",VLOOKUP($B124,'C-1 Site River Baseline'!$C$9:$R$257,10,FALSE))</f>
        <v/>
      </c>
      <c r="L124" s="520" t="str">
        <f>IF(B124="","",VLOOKUP($B124,'C-1 Site River Baseline'!$C$9:$R$257,15,FALSE))</f>
        <v/>
      </c>
      <c r="M124" s="524" t="str">
        <f>IF(L124="","",VLOOKUP($B124,'C-1 Site River Baseline'!$C$9:$R$257,16,FALSE))</f>
        <v/>
      </c>
      <c r="N124" s="418" t="str">
        <f t="shared" si="9"/>
        <v/>
      </c>
      <c r="O124" s="498" t="str">
        <f t="shared" si="10"/>
        <v/>
      </c>
      <c r="P124" s="499" t="str">
        <f>IF(C124="","",IF(AND(LEFT(C124,55)&lt;&gt;LEFT(N124,55),O124="High - High"),"Error - Not like for like ▲",IF(AND(F124=S124,H124&gt;U124),"Error - Can not reduce condition ▲",IF(AND(F124=S124,H124=U124,AJ124='C-1 Site River Baseline'!N122,'C-1 Site River Baseline'!P122=AL124),"Error - No enhancement ▲",IF(AND(C124&lt;&gt;N124,F124&lt;S124),"Lower Distinctiveness Habitat"&amp;" - "&amp;T124,G124&amp;" - "&amp;T124)))))</f>
        <v/>
      </c>
      <c r="Q124" s="567" t="str">
        <f>IF(N124="","",VLOOKUP(B124,'C-1 Site River Baseline'!$C$10:$AA$257,19,FALSE))</f>
        <v/>
      </c>
      <c r="R124" s="498" t="str">
        <f>IF(N124="","",VLOOKUP(N124,'G-7 Rivers Data'!$B$2:$G$8,2,FALSE))</f>
        <v/>
      </c>
      <c r="S124" s="499" t="str">
        <f>IFERROR(VLOOKUP(R124,'G-7 Rivers Data'!$C$4:$D$8,2,FALSE),"")</f>
        <v/>
      </c>
      <c r="T124" s="145"/>
      <c r="U124" s="499" t="str">
        <f>IFERROR(INDEX('G-7 Rivers Data'!$H$4:$L$8,MATCH(N124,'G-7 Rivers Data'!$B$4:$B$8,0),MATCH(T124,'G-7 Rivers Data'!$H$3:$L$3,0)),"")</f>
        <v/>
      </c>
      <c r="V124" s="154"/>
      <c r="W124" s="507" t="str">
        <f>IF(V124="","",IF(VLOOKUP(V124,'G-7 Rivers Data'!$AG$4:$AI$9,2,FALSE)=0,"Spatial Data Missing ⚠",VLOOKUP(V124,'G-7 Rivers Data'!$AG$4:$AI$9,2,FALSE)))</f>
        <v/>
      </c>
      <c r="X124" s="499" t="str">
        <f>IF(V124="","",IF(VLOOKUP(V124,'G-7 Rivers Data'!$AG$4:$AI$9,3,FALSE)=0,"Spatial Data Missing ⚠",VLOOKUP(V124,'G-7 Rivers Data'!$AG$4:$AI$9,3,FALSE)))</f>
        <v/>
      </c>
      <c r="Y124" s="498" t="str">
        <f>IFERROR(IF(OR(LEFT(P124,5)="Error ▲",LEFT(O124,5)="Error ▲"),"Check Data ⚠",IF(F124&lt;S124,'G-7 Rivers Data'!$R$3,INDEX('G-7 Rivers Data'!$U$5:$Y$9,MATCH(G124,'G-7 Rivers Data'!$T$5:$T$9,0),MATCH(T124,'G-7 Rivers Data'!$U$4:$Y$4,0)))),"")</f>
        <v/>
      </c>
      <c r="Z124" s="195"/>
      <c r="AA124" s="195"/>
      <c r="AB124" s="507" t="str">
        <f t="shared" si="11"/>
        <v/>
      </c>
      <c r="AC124" s="521" t="str">
        <f t="shared" si="12"/>
        <v/>
      </c>
      <c r="AD124" s="564" t="str">
        <f>IFERROR(IF(AC124="Check Data ⚠","Check Data ⚠",VLOOKUP(AC124,'G-4 Temporal multipliers'!$A$4:$C$37,3,FALSE)),"")</f>
        <v/>
      </c>
      <c r="AE124" s="498" t="str">
        <f>IF(N124="","",VLOOKUP(N124,'G-7 Rivers Data'!$B$4:$G$8,5,FALSE))</f>
        <v/>
      </c>
      <c r="AF124" s="507" t="str">
        <f t="shared" si="13"/>
        <v/>
      </c>
      <c r="AG124" s="540" t="str">
        <f t="shared" si="14"/>
        <v/>
      </c>
      <c r="AH124" s="499" t="str">
        <f t="shared" si="8"/>
        <v/>
      </c>
      <c r="AI124" s="145"/>
      <c r="AJ124" s="499" t="str">
        <f>IF(AI124="","",IF(VLOOKUP(AI124,'G-7 Rivers Data'!$AA$4:$AB$7,2,FALSE)=0,"Spatial Data Missing ⚠",VLOOKUP(AI124,'G-7 Rivers Data'!$AA$4:$AB$7,2,FALSE)))</f>
        <v/>
      </c>
      <c r="AK124" s="155"/>
      <c r="AL124" s="499" t="str">
        <f>IF(AK124="","",IF(VLOOKUP(AK124,'G-7 Rivers Data'!$AD$4:$AE$8,2,FALSE)=0,"Spatial Data Missing ⚠",VLOOKUP(AK124,'G-7 Rivers Data'!$AD$4:$AE$8,2,FALSE)))</f>
        <v/>
      </c>
      <c r="AM124" s="545" t="str">
        <f t="shared" si="15"/>
        <v/>
      </c>
      <c r="AN124" s="149"/>
      <c r="AO124" s="150"/>
      <c r="AV124" s="31" t="str">
        <f>IFERROR(INDEX('G-7 Rivers Data'!$AZ$3:$AZ$7,MATCH(N124,'G-7 Rivers Data'!$AY$3:$AY$7,0)),"")</f>
        <v/>
      </c>
    </row>
    <row r="125" spans="2:48" ht="13.8" x14ac:dyDescent="0.25">
      <c r="B125" s="531" t="str">
        <f>'C-1 Site River Baseline'!AN123</f>
        <v/>
      </c>
      <c r="C125" s="520" t="str">
        <f>IF(B125="","",VLOOKUP($B125,'C-1 Site River Baseline'!$C$9:$R$257,2,FALSE))</f>
        <v/>
      </c>
      <c r="D125" s="520" t="str">
        <f>IF(C125="","",VLOOKUP($B125,'C-1 Site River Baseline'!$C$9:$R$257,3,FALSE))</f>
        <v/>
      </c>
      <c r="E125" s="520" t="str">
        <f>IF(D125="","",VLOOKUP($B125,'C-1 Site River Baseline'!$C$9:$R$257,4,FALSE))</f>
        <v/>
      </c>
      <c r="F125" s="520" t="str">
        <f>IF(E125="","",VLOOKUP($B125,'C-1 Site River Baseline'!$C$9:$R$257,5,FALSE))</f>
        <v/>
      </c>
      <c r="G125" s="520" t="str">
        <f>IF(F125="","",VLOOKUP($B125,'C-1 Site River Baseline'!$C$9:$R$257,6,FALSE))</f>
        <v/>
      </c>
      <c r="H125" s="520" t="str">
        <f>IF(G125="","",VLOOKUP($B125,'C-1 Site River Baseline'!$C$9:$R$257,7,FALSE))</f>
        <v/>
      </c>
      <c r="I125" s="520" t="str">
        <f>IF(H125="","",VLOOKUP($B125,'C-1 Site River Baseline'!$C$9:$R$257,8,FALSE))</f>
        <v/>
      </c>
      <c r="J125" s="520" t="str">
        <f>IF(I125="","",VLOOKUP($B125,'C-1 Site River Baseline'!$C$9:$R$257,9,FALSE))</f>
        <v/>
      </c>
      <c r="K125" s="520" t="str">
        <f>IF(J125="","",VLOOKUP($B125,'C-1 Site River Baseline'!$C$9:$R$257,10,FALSE))</f>
        <v/>
      </c>
      <c r="L125" s="520" t="str">
        <f>IF(B125="","",VLOOKUP($B125,'C-1 Site River Baseline'!$C$9:$R$257,15,FALSE))</f>
        <v/>
      </c>
      <c r="M125" s="524" t="str">
        <f>IF(L125="","",VLOOKUP($B125,'C-1 Site River Baseline'!$C$9:$R$257,16,FALSE))</f>
        <v/>
      </c>
      <c r="N125" s="418" t="str">
        <f t="shared" si="9"/>
        <v/>
      </c>
      <c r="O125" s="498" t="str">
        <f t="shared" si="10"/>
        <v/>
      </c>
      <c r="P125" s="499" t="str">
        <f>IF(C125="","",IF(AND(LEFT(C125,55)&lt;&gt;LEFT(N125,55),O125="High - High"),"Error - Not like for like ▲",IF(AND(F125=S125,H125&gt;U125),"Error - Can not reduce condition ▲",IF(AND(F125=S125,H125=U125,AJ125='C-1 Site River Baseline'!N123,'C-1 Site River Baseline'!P123=AL125),"Error - No enhancement ▲",IF(AND(C125&lt;&gt;N125,F125&lt;S125),"Lower Distinctiveness Habitat"&amp;" - "&amp;T125,G125&amp;" - "&amp;T125)))))</f>
        <v/>
      </c>
      <c r="Q125" s="567" t="str">
        <f>IF(N125="","",VLOOKUP(B125,'C-1 Site River Baseline'!$C$10:$AA$257,19,FALSE))</f>
        <v/>
      </c>
      <c r="R125" s="498" t="str">
        <f>IF(N125="","",VLOOKUP(N125,'G-7 Rivers Data'!$B$2:$G$8,2,FALSE))</f>
        <v/>
      </c>
      <c r="S125" s="499" t="str">
        <f>IFERROR(VLOOKUP(R125,'G-7 Rivers Data'!$C$4:$D$8,2,FALSE),"")</f>
        <v/>
      </c>
      <c r="T125" s="145"/>
      <c r="U125" s="499" t="str">
        <f>IFERROR(INDEX('G-7 Rivers Data'!$H$4:$L$8,MATCH(N125,'G-7 Rivers Data'!$B$4:$B$8,0),MATCH(T125,'G-7 Rivers Data'!$H$3:$L$3,0)),"")</f>
        <v/>
      </c>
      <c r="V125" s="154"/>
      <c r="W125" s="507" t="str">
        <f>IF(V125="","",IF(VLOOKUP(V125,'G-7 Rivers Data'!$AG$4:$AI$9,2,FALSE)=0,"Spatial Data Missing ⚠",VLOOKUP(V125,'G-7 Rivers Data'!$AG$4:$AI$9,2,FALSE)))</f>
        <v/>
      </c>
      <c r="X125" s="499" t="str">
        <f>IF(V125="","",IF(VLOOKUP(V125,'G-7 Rivers Data'!$AG$4:$AI$9,3,FALSE)=0,"Spatial Data Missing ⚠",VLOOKUP(V125,'G-7 Rivers Data'!$AG$4:$AI$9,3,FALSE)))</f>
        <v/>
      </c>
      <c r="Y125" s="498" t="str">
        <f>IFERROR(IF(OR(LEFT(P125,5)="Error ▲",LEFT(O125,5)="Error ▲"),"Check Data ⚠",IF(F125&lt;S125,'G-7 Rivers Data'!$R$3,INDEX('G-7 Rivers Data'!$U$5:$Y$9,MATCH(G125,'G-7 Rivers Data'!$T$5:$T$9,0),MATCH(T125,'G-7 Rivers Data'!$U$4:$Y$4,0)))),"")</f>
        <v/>
      </c>
      <c r="Z125" s="195"/>
      <c r="AA125" s="195"/>
      <c r="AB125" s="507" t="str">
        <f t="shared" si="11"/>
        <v/>
      </c>
      <c r="AC125" s="521" t="str">
        <f t="shared" si="12"/>
        <v/>
      </c>
      <c r="AD125" s="564" t="str">
        <f>IFERROR(IF(AC125="Check Data ⚠","Check Data ⚠",VLOOKUP(AC125,'G-4 Temporal multipliers'!$A$4:$C$37,3,FALSE)),"")</f>
        <v/>
      </c>
      <c r="AE125" s="498" t="str">
        <f>IF(N125="","",VLOOKUP(N125,'G-7 Rivers Data'!$B$4:$G$8,5,FALSE))</f>
        <v/>
      </c>
      <c r="AF125" s="507" t="str">
        <f t="shared" si="13"/>
        <v/>
      </c>
      <c r="AG125" s="540" t="str">
        <f t="shared" si="14"/>
        <v/>
      </c>
      <c r="AH125" s="499" t="str">
        <f t="shared" si="8"/>
        <v/>
      </c>
      <c r="AI125" s="145"/>
      <c r="AJ125" s="499" t="str">
        <f>IF(AI125="","",IF(VLOOKUP(AI125,'G-7 Rivers Data'!$AA$4:$AB$7,2,FALSE)=0,"Spatial Data Missing ⚠",VLOOKUP(AI125,'G-7 Rivers Data'!$AA$4:$AB$7,2,FALSE)))</f>
        <v/>
      </c>
      <c r="AK125" s="155"/>
      <c r="AL125" s="499" t="str">
        <f>IF(AK125="","",IF(VLOOKUP(AK125,'G-7 Rivers Data'!$AD$4:$AE$8,2,FALSE)=0,"Spatial Data Missing ⚠",VLOOKUP(AK125,'G-7 Rivers Data'!$AD$4:$AE$8,2,FALSE)))</f>
        <v/>
      </c>
      <c r="AM125" s="545" t="str">
        <f t="shared" si="15"/>
        <v/>
      </c>
      <c r="AN125" s="149"/>
      <c r="AO125" s="150"/>
      <c r="AV125" s="31" t="str">
        <f>IFERROR(INDEX('G-7 Rivers Data'!$AZ$3:$AZ$7,MATCH(N125,'G-7 Rivers Data'!$AY$3:$AY$7,0)),"")</f>
        <v/>
      </c>
    </row>
    <row r="126" spans="2:48" ht="13.8" x14ac:dyDescent="0.25">
      <c r="B126" s="531" t="str">
        <f>'C-1 Site River Baseline'!AN124</f>
        <v/>
      </c>
      <c r="C126" s="520" t="str">
        <f>IF(B126="","",VLOOKUP($B126,'C-1 Site River Baseline'!$C$9:$R$257,2,FALSE))</f>
        <v/>
      </c>
      <c r="D126" s="520" t="str">
        <f>IF(C126="","",VLOOKUP($B126,'C-1 Site River Baseline'!$C$9:$R$257,3,FALSE))</f>
        <v/>
      </c>
      <c r="E126" s="520" t="str">
        <f>IF(D126="","",VLOOKUP($B126,'C-1 Site River Baseline'!$C$9:$R$257,4,FALSE))</f>
        <v/>
      </c>
      <c r="F126" s="520" t="str">
        <f>IF(E126="","",VLOOKUP($B126,'C-1 Site River Baseline'!$C$9:$R$257,5,FALSE))</f>
        <v/>
      </c>
      <c r="G126" s="520" t="str">
        <f>IF(F126="","",VLOOKUP($B126,'C-1 Site River Baseline'!$C$9:$R$257,6,FALSE))</f>
        <v/>
      </c>
      <c r="H126" s="520" t="str">
        <f>IF(G126="","",VLOOKUP($B126,'C-1 Site River Baseline'!$C$9:$R$257,7,FALSE))</f>
        <v/>
      </c>
      <c r="I126" s="520" t="str">
        <f>IF(H126="","",VLOOKUP($B126,'C-1 Site River Baseline'!$C$9:$R$257,8,FALSE))</f>
        <v/>
      </c>
      <c r="J126" s="520" t="str">
        <f>IF(I126="","",VLOOKUP($B126,'C-1 Site River Baseline'!$C$9:$R$257,9,FALSE))</f>
        <v/>
      </c>
      <c r="K126" s="520" t="str">
        <f>IF(J126="","",VLOOKUP($B126,'C-1 Site River Baseline'!$C$9:$R$257,10,FALSE))</f>
        <v/>
      </c>
      <c r="L126" s="520" t="str">
        <f>IF(B126="","",VLOOKUP($B126,'C-1 Site River Baseline'!$C$9:$R$257,15,FALSE))</f>
        <v/>
      </c>
      <c r="M126" s="524" t="str">
        <f>IF(L126="","",VLOOKUP($B126,'C-1 Site River Baseline'!$C$9:$R$257,16,FALSE))</f>
        <v/>
      </c>
      <c r="N126" s="418" t="str">
        <f t="shared" si="9"/>
        <v/>
      </c>
      <c r="O126" s="498" t="str">
        <f t="shared" si="10"/>
        <v/>
      </c>
      <c r="P126" s="499" t="str">
        <f>IF(C126="","",IF(AND(LEFT(C126,55)&lt;&gt;LEFT(N126,55),O126="High - High"),"Error - Not like for like ▲",IF(AND(F126=S126,H126&gt;U126),"Error - Can not reduce condition ▲",IF(AND(F126=S126,H126=U126,AJ126='C-1 Site River Baseline'!N124,'C-1 Site River Baseline'!P124=AL126),"Error - No enhancement ▲",IF(AND(C126&lt;&gt;N126,F126&lt;S126),"Lower Distinctiveness Habitat"&amp;" - "&amp;T126,G126&amp;" - "&amp;T126)))))</f>
        <v/>
      </c>
      <c r="Q126" s="567" t="str">
        <f>IF(N126="","",VLOOKUP(B126,'C-1 Site River Baseline'!$C$10:$AA$257,19,FALSE))</f>
        <v/>
      </c>
      <c r="R126" s="498" t="str">
        <f>IF(N126="","",VLOOKUP(N126,'G-7 Rivers Data'!$B$2:$G$8,2,FALSE))</f>
        <v/>
      </c>
      <c r="S126" s="499" t="str">
        <f>IFERROR(VLOOKUP(R126,'G-7 Rivers Data'!$C$4:$D$8,2,FALSE),"")</f>
        <v/>
      </c>
      <c r="T126" s="145"/>
      <c r="U126" s="499" t="str">
        <f>IFERROR(INDEX('G-7 Rivers Data'!$H$4:$L$8,MATCH(N126,'G-7 Rivers Data'!$B$4:$B$8,0),MATCH(T126,'G-7 Rivers Data'!$H$3:$L$3,0)),"")</f>
        <v/>
      </c>
      <c r="V126" s="154"/>
      <c r="W126" s="507" t="str">
        <f>IF(V126="","",IF(VLOOKUP(V126,'G-7 Rivers Data'!$AG$4:$AI$9,2,FALSE)=0,"Spatial Data Missing ⚠",VLOOKUP(V126,'G-7 Rivers Data'!$AG$4:$AI$9,2,FALSE)))</f>
        <v/>
      </c>
      <c r="X126" s="499" t="str">
        <f>IF(V126="","",IF(VLOOKUP(V126,'G-7 Rivers Data'!$AG$4:$AI$9,3,FALSE)=0,"Spatial Data Missing ⚠",VLOOKUP(V126,'G-7 Rivers Data'!$AG$4:$AI$9,3,FALSE)))</f>
        <v/>
      </c>
      <c r="Y126" s="498" t="str">
        <f>IFERROR(IF(OR(LEFT(P126,5)="Error ▲",LEFT(O126,5)="Error ▲"),"Check Data ⚠",IF(F126&lt;S126,'G-7 Rivers Data'!$R$3,INDEX('G-7 Rivers Data'!$U$5:$Y$9,MATCH(G126,'G-7 Rivers Data'!$T$5:$T$9,0),MATCH(T126,'G-7 Rivers Data'!$U$4:$Y$4,0)))),"")</f>
        <v/>
      </c>
      <c r="Z126" s="195"/>
      <c r="AA126" s="195"/>
      <c r="AB126" s="507" t="str">
        <f t="shared" si="11"/>
        <v/>
      </c>
      <c r="AC126" s="521" t="str">
        <f t="shared" si="12"/>
        <v/>
      </c>
      <c r="AD126" s="564" t="str">
        <f>IFERROR(IF(AC126="Check Data ⚠","Check Data ⚠",VLOOKUP(AC126,'G-4 Temporal multipliers'!$A$4:$C$37,3,FALSE)),"")</f>
        <v/>
      </c>
      <c r="AE126" s="498" t="str">
        <f>IF(N126="","",VLOOKUP(N126,'G-7 Rivers Data'!$B$4:$G$8,5,FALSE))</f>
        <v/>
      </c>
      <c r="AF126" s="507" t="str">
        <f t="shared" si="13"/>
        <v/>
      </c>
      <c r="AG126" s="540" t="str">
        <f t="shared" si="14"/>
        <v/>
      </c>
      <c r="AH126" s="499" t="str">
        <f t="shared" si="8"/>
        <v/>
      </c>
      <c r="AI126" s="145"/>
      <c r="AJ126" s="499" t="str">
        <f>IF(AI126="","",IF(VLOOKUP(AI126,'G-7 Rivers Data'!$AA$4:$AB$7,2,FALSE)=0,"Spatial Data Missing ⚠",VLOOKUP(AI126,'G-7 Rivers Data'!$AA$4:$AB$7,2,FALSE)))</f>
        <v/>
      </c>
      <c r="AK126" s="155"/>
      <c r="AL126" s="499" t="str">
        <f>IF(AK126="","",IF(VLOOKUP(AK126,'G-7 Rivers Data'!$AD$4:$AE$8,2,FALSE)=0,"Spatial Data Missing ⚠",VLOOKUP(AK126,'G-7 Rivers Data'!$AD$4:$AE$8,2,FALSE)))</f>
        <v/>
      </c>
      <c r="AM126" s="545" t="str">
        <f t="shared" si="15"/>
        <v/>
      </c>
      <c r="AN126" s="149"/>
      <c r="AO126" s="150"/>
      <c r="AV126" s="31" t="str">
        <f>IFERROR(INDEX('G-7 Rivers Data'!$AZ$3:$AZ$7,MATCH(N126,'G-7 Rivers Data'!$AY$3:$AY$7,0)),"")</f>
        <v/>
      </c>
    </row>
    <row r="127" spans="2:48" ht="13.8" x14ac:dyDescent="0.25">
      <c r="B127" s="531" t="str">
        <f>'C-1 Site River Baseline'!AN125</f>
        <v/>
      </c>
      <c r="C127" s="520" t="str">
        <f>IF(B127="","",VLOOKUP($B127,'C-1 Site River Baseline'!$C$9:$R$257,2,FALSE))</f>
        <v/>
      </c>
      <c r="D127" s="520" t="str">
        <f>IF(C127="","",VLOOKUP($B127,'C-1 Site River Baseline'!$C$9:$R$257,3,FALSE))</f>
        <v/>
      </c>
      <c r="E127" s="520" t="str">
        <f>IF(D127="","",VLOOKUP($B127,'C-1 Site River Baseline'!$C$9:$R$257,4,FALSE))</f>
        <v/>
      </c>
      <c r="F127" s="520" t="str">
        <f>IF(E127="","",VLOOKUP($B127,'C-1 Site River Baseline'!$C$9:$R$257,5,FALSE))</f>
        <v/>
      </c>
      <c r="G127" s="520" t="str">
        <f>IF(F127="","",VLOOKUP($B127,'C-1 Site River Baseline'!$C$9:$R$257,6,FALSE))</f>
        <v/>
      </c>
      <c r="H127" s="520" t="str">
        <f>IF(G127="","",VLOOKUP($B127,'C-1 Site River Baseline'!$C$9:$R$257,7,FALSE))</f>
        <v/>
      </c>
      <c r="I127" s="520" t="str">
        <f>IF(H127="","",VLOOKUP($B127,'C-1 Site River Baseline'!$C$9:$R$257,8,FALSE))</f>
        <v/>
      </c>
      <c r="J127" s="520" t="str">
        <f>IF(I127="","",VLOOKUP($B127,'C-1 Site River Baseline'!$C$9:$R$257,9,FALSE))</f>
        <v/>
      </c>
      <c r="K127" s="520" t="str">
        <f>IF(J127="","",VLOOKUP($B127,'C-1 Site River Baseline'!$C$9:$R$257,10,FALSE))</f>
        <v/>
      </c>
      <c r="L127" s="520" t="str">
        <f>IF(B127="","",VLOOKUP($B127,'C-1 Site River Baseline'!$C$9:$R$257,15,FALSE))</f>
        <v/>
      </c>
      <c r="M127" s="524" t="str">
        <f>IF(L127="","",VLOOKUP($B127,'C-1 Site River Baseline'!$C$9:$R$257,16,FALSE))</f>
        <v/>
      </c>
      <c r="N127" s="418" t="str">
        <f t="shared" si="9"/>
        <v/>
      </c>
      <c r="O127" s="498" t="str">
        <f t="shared" si="10"/>
        <v/>
      </c>
      <c r="P127" s="499" t="str">
        <f>IF(C127="","",IF(AND(LEFT(C127,55)&lt;&gt;LEFT(N127,55),O127="High - High"),"Error - Not like for like ▲",IF(AND(F127=S127,H127&gt;U127),"Error - Can not reduce condition ▲",IF(AND(F127=S127,H127=U127,AJ127='C-1 Site River Baseline'!N125,'C-1 Site River Baseline'!P125=AL127),"Error - No enhancement ▲",IF(AND(C127&lt;&gt;N127,F127&lt;S127),"Lower Distinctiveness Habitat"&amp;" - "&amp;T127,G127&amp;" - "&amp;T127)))))</f>
        <v/>
      </c>
      <c r="Q127" s="567" t="str">
        <f>IF(N127="","",VLOOKUP(B127,'C-1 Site River Baseline'!$C$10:$AA$257,19,FALSE))</f>
        <v/>
      </c>
      <c r="R127" s="498" t="str">
        <f>IF(N127="","",VLOOKUP(N127,'G-7 Rivers Data'!$B$2:$G$8,2,FALSE))</f>
        <v/>
      </c>
      <c r="S127" s="499" t="str">
        <f>IFERROR(VLOOKUP(R127,'G-7 Rivers Data'!$C$4:$D$8,2,FALSE),"")</f>
        <v/>
      </c>
      <c r="T127" s="145"/>
      <c r="U127" s="499" t="str">
        <f>IFERROR(INDEX('G-7 Rivers Data'!$H$4:$L$8,MATCH(N127,'G-7 Rivers Data'!$B$4:$B$8,0),MATCH(T127,'G-7 Rivers Data'!$H$3:$L$3,0)),"")</f>
        <v/>
      </c>
      <c r="V127" s="154"/>
      <c r="W127" s="507" t="str">
        <f>IF(V127="","",IF(VLOOKUP(V127,'G-7 Rivers Data'!$AG$4:$AI$9,2,FALSE)=0,"Spatial Data Missing ⚠",VLOOKUP(V127,'G-7 Rivers Data'!$AG$4:$AI$9,2,FALSE)))</f>
        <v/>
      </c>
      <c r="X127" s="499" t="str">
        <f>IF(V127="","",IF(VLOOKUP(V127,'G-7 Rivers Data'!$AG$4:$AI$9,3,FALSE)=0,"Spatial Data Missing ⚠",VLOOKUP(V127,'G-7 Rivers Data'!$AG$4:$AI$9,3,FALSE)))</f>
        <v/>
      </c>
      <c r="Y127" s="498" t="str">
        <f>IFERROR(IF(OR(LEFT(P127,5)="Error ▲",LEFT(O127,5)="Error ▲"),"Check Data ⚠",IF(F127&lt;S127,'G-7 Rivers Data'!$R$3,INDEX('G-7 Rivers Data'!$U$5:$Y$9,MATCH(G127,'G-7 Rivers Data'!$T$5:$T$9,0),MATCH(T127,'G-7 Rivers Data'!$U$4:$Y$4,0)))),"")</f>
        <v/>
      </c>
      <c r="Z127" s="195"/>
      <c r="AA127" s="195"/>
      <c r="AB127" s="507" t="str">
        <f t="shared" si="11"/>
        <v/>
      </c>
      <c r="AC127" s="521" t="str">
        <f t="shared" si="12"/>
        <v/>
      </c>
      <c r="AD127" s="564" t="str">
        <f>IFERROR(IF(AC127="Check Data ⚠","Check Data ⚠",VLOOKUP(AC127,'G-4 Temporal multipliers'!$A$4:$C$37,3,FALSE)),"")</f>
        <v/>
      </c>
      <c r="AE127" s="498" t="str">
        <f>IF(N127="","",VLOOKUP(N127,'G-7 Rivers Data'!$B$4:$G$8,5,FALSE))</f>
        <v/>
      </c>
      <c r="AF127" s="507" t="str">
        <f t="shared" si="13"/>
        <v/>
      </c>
      <c r="AG127" s="540" t="str">
        <f t="shared" si="14"/>
        <v/>
      </c>
      <c r="AH127" s="499" t="str">
        <f t="shared" si="8"/>
        <v/>
      </c>
      <c r="AI127" s="145"/>
      <c r="AJ127" s="499" t="str">
        <f>IF(AI127="","",IF(VLOOKUP(AI127,'G-7 Rivers Data'!$AA$4:$AB$7,2,FALSE)=0,"Spatial Data Missing ⚠",VLOOKUP(AI127,'G-7 Rivers Data'!$AA$4:$AB$7,2,FALSE)))</f>
        <v/>
      </c>
      <c r="AK127" s="155"/>
      <c r="AL127" s="499" t="str">
        <f>IF(AK127="","",IF(VLOOKUP(AK127,'G-7 Rivers Data'!$AD$4:$AE$8,2,FALSE)=0,"Spatial Data Missing ⚠",VLOOKUP(AK127,'G-7 Rivers Data'!$AD$4:$AE$8,2,FALSE)))</f>
        <v/>
      </c>
      <c r="AM127" s="545" t="str">
        <f t="shared" si="15"/>
        <v/>
      </c>
      <c r="AN127" s="149"/>
      <c r="AO127" s="150"/>
      <c r="AV127" s="31" t="str">
        <f>IFERROR(INDEX('G-7 Rivers Data'!$AZ$3:$AZ$7,MATCH(N127,'G-7 Rivers Data'!$AY$3:$AY$7,0)),"")</f>
        <v/>
      </c>
    </row>
    <row r="128" spans="2:48" ht="13.8" x14ac:dyDescent="0.25">
      <c r="B128" s="531" t="str">
        <f>'C-1 Site River Baseline'!AN126</f>
        <v/>
      </c>
      <c r="C128" s="520" t="str">
        <f>IF(B128="","",VLOOKUP($B128,'C-1 Site River Baseline'!$C$9:$R$257,2,FALSE))</f>
        <v/>
      </c>
      <c r="D128" s="520" t="str">
        <f>IF(C128="","",VLOOKUP($B128,'C-1 Site River Baseline'!$C$9:$R$257,3,FALSE))</f>
        <v/>
      </c>
      <c r="E128" s="520" t="str">
        <f>IF(D128="","",VLOOKUP($B128,'C-1 Site River Baseline'!$C$9:$R$257,4,FALSE))</f>
        <v/>
      </c>
      <c r="F128" s="520" t="str">
        <f>IF(E128="","",VLOOKUP($B128,'C-1 Site River Baseline'!$C$9:$R$257,5,FALSE))</f>
        <v/>
      </c>
      <c r="G128" s="520" t="str">
        <f>IF(F128="","",VLOOKUP($B128,'C-1 Site River Baseline'!$C$9:$R$257,6,FALSE))</f>
        <v/>
      </c>
      <c r="H128" s="520" t="str">
        <f>IF(G128="","",VLOOKUP($B128,'C-1 Site River Baseline'!$C$9:$R$257,7,FALSE))</f>
        <v/>
      </c>
      <c r="I128" s="520" t="str">
        <f>IF(H128="","",VLOOKUP($B128,'C-1 Site River Baseline'!$C$9:$R$257,8,FALSE))</f>
        <v/>
      </c>
      <c r="J128" s="520" t="str">
        <f>IF(I128="","",VLOOKUP($B128,'C-1 Site River Baseline'!$C$9:$R$257,9,FALSE))</f>
        <v/>
      </c>
      <c r="K128" s="520" t="str">
        <f>IF(J128="","",VLOOKUP($B128,'C-1 Site River Baseline'!$C$9:$R$257,10,FALSE))</f>
        <v/>
      </c>
      <c r="L128" s="520" t="str">
        <f>IF(B128="","",VLOOKUP($B128,'C-1 Site River Baseline'!$C$9:$R$257,15,FALSE))</f>
        <v/>
      </c>
      <c r="M128" s="524" t="str">
        <f>IF(L128="","",VLOOKUP($B128,'C-1 Site River Baseline'!$C$9:$R$257,16,FALSE))</f>
        <v/>
      </c>
      <c r="N128" s="418" t="str">
        <f t="shared" si="9"/>
        <v/>
      </c>
      <c r="O128" s="498" t="str">
        <f t="shared" si="10"/>
        <v/>
      </c>
      <c r="P128" s="499" t="str">
        <f>IF(C128="","",IF(AND(LEFT(C128,55)&lt;&gt;LEFT(N128,55),O128="High - High"),"Error - Not like for like ▲",IF(AND(F128=S128,H128&gt;U128),"Error - Can not reduce condition ▲",IF(AND(F128=S128,H128=U128,AJ128='C-1 Site River Baseline'!N126,'C-1 Site River Baseline'!P126=AL128),"Error - No enhancement ▲",IF(AND(C128&lt;&gt;N128,F128&lt;S128),"Lower Distinctiveness Habitat"&amp;" - "&amp;T128,G128&amp;" - "&amp;T128)))))</f>
        <v/>
      </c>
      <c r="Q128" s="567" t="str">
        <f>IF(N128="","",VLOOKUP(B128,'C-1 Site River Baseline'!$C$10:$AA$257,19,FALSE))</f>
        <v/>
      </c>
      <c r="R128" s="498" t="str">
        <f>IF(N128="","",VLOOKUP(N128,'G-7 Rivers Data'!$B$2:$G$8,2,FALSE))</f>
        <v/>
      </c>
      <c r="S128" s="499" t="str">
        <f>IFERROR(VLOOKUP(R128,'G-7 Rivers Data'!$C$4:$D$8,2,FALSE),"")</f>
        <v/>
      </c>
      <c r="T128" s="145"/>
      <c r="U128" s="499" t="str">
        <f>IFERROR(INDEX('G-7 Rivers Data'!$H$4:$L$8,MATCH(N128,'G-7 Rivers Data'!$B$4:$B$8,0),MATCH(T128,'G-7 Rivers Data'!$H$3:$L$3,0)),"")</f>
        <v/>
      </c>
      <c r="V128" s="154"/>
      <c r="W128" s="507" t="str">
        <f>IF(V128="","",IF(VLOOKUP(V128,'G-7 Rivers Data'!$AG$4:$AI$9,2,FALSE)=0,"Spatial Data Missing ⚠",VLOOKUP(V128,'G-7 Rivers Data'!$AG$4:$AI$9,2,FALSE)))</f>
        <v/>
      </c>
      <c r="X128" s="499" t="str">
        <f>IF(V128="","",IF(VLOOKUP(V128,'G-7 Rivers Data'!$AG$4:$AI$9,3,FALSE)=0,"Spatial Data Missing ⚠",VLOOKUP(V128,'G-7 Rivers Data'!$AG$4:$AI$9,3,FALSE)))</f>
        <v/>
      </c>
      <c r="Y128" s="498" t="str">
        <f>IFERROR(IF(OR(LEFT(P128,5)="Error ▲",LEFT(O128,5)="Error ▲"),"Check Data ⚠",IF(F128&lt;S128,'G-7 Rivers Data'!$R$3,INDEX('G-7 Rivers Data'!$U$5:$Y$9,MATCH(G128,'G-7 Rivers Data'!$T$5:$T$9,0),MATCH(T128,'G-7 Rivers Data'!$U$4:$Y$4,0)))),"")</f>
        <v/>
      </c>
      <c r="Z128" s="195"/>
      <c r="AA128" s="195"/>
      <c r="AB128" s="507" t="str">
        <f t="shared" si="11"/>
        <v/>
      </c>
      <c r="AC128" s="521" t="str">
        <f t="shared" si="12"/>
        <v/>
      </c>
      <c r="AD128" s="564" t="str">
        <f>IFERROR(IF(AC128="Check Data ⚠","Check Data ⚠",VLOOKUP(AC128,'G-4 Temporal multipliers'!$A$4:$C$37,3,FALSE)),"")</f>
        <v/>
      </c>
      <c r="AE128" s="498" t="str">
        <f>IF(N128="","",VLOOKUP(N128,'G-7 Rivers Data'!$B$4:$G$8,5,FALSE))</f>
        <v/>
      </c>
      <c r="AF128" s="507" t="str">
        <f t="shared" si="13"/>
        <v/>
      </c>
      <c r="AG128" s="540" t="str">
        <f t="shared" si="14"/>
        <v/>
      </c>
      <c r="AH128" s="499" t="str">
        <f t="shared" si="8"/>
        <v/>
      </c>
      <c r="AI128" s="145"/>
      <c r="AJ128" s="499" t="str">
        <f>IF(AI128="","",IF(VLOOKUP(AI128,'G-7 Rivers Data'!$AA$4:$AB$7,2,FALSE)=0,"Spatial Data Missing ⚠",VLOOKUP(AI128,'G-7 Rivers Data'!$AA$4:$AB$7,2,FALSE)))</f>
        <v/>
      </c>
      <c r="AK128" s="155"/>
      <c r="AL128" s="499" t="str">
        <f>IF(AK128="","",IF(VLOOKUP(AK128,'G-7 Rivers Data'!$AD$4:$AE$8,2,FALSE)=0,"Spatial Data Missing ⚠",VLOOKUP(AK128,'G-7 Rivers Data'!$AD$4:$AE$8,2,FALSE)))</f>
        <v/>
      </c>
      <c r="AM128" s="545" t="str">
        <f t="shared" si="15"/>
        <v/>
      </c>
      <c r="AN128" s="149"/>
      <c r="AO128" s="150"/>
      <c r="AV128" s="31" t="str">
        <f>IFERROR(INDEX('G-7 Rivers Data'!$AZ$3:$AZ$7,MATCH(N128,'G-7 Rivers Data'!$AY$3:$AY$7,0)),"")</f>
        <v/>
      </c>
    </row>
    <row r="129" spans="2:48" ht="13.8" x14ac:dyDescent="0.25">
      <c r="B129" s="531" t="str">
        <f>'C-1 Site River Baseline'!AN127</f>
        <v/>
      </c>
      <c r="C129" s="520" t="str">
        <f>IF(B129="","",VLOOKUP($B129,'C-1 Site River Baseline'!$C$9:$R$257,2,FALSE))</f>
        <v/>
      </c>
      <c r="D129" s="520" t="str">
        <f>IF(C129="","",VLOOKUP($B129,'C-1 Site River Baseline'!$C$9:$R$257,3,FALSE))</f>
        <v/>
      </c>
      <c r="E129" s="520" t="str">
        <f>IF(D129="","",VLOOKUP($B129,'C-1 Site River Baseline'!$C$9:$R$257,4,FALSE))</f>
        <v/>
      </c>
      <c r="F129" s="520" t="str">
        <f>IF(E129="","",VLOOKUP($B129,'C-1 Site River Baseline'!$C$9:$R$257,5,FALSE))</f>
        <v/>
      </c>
      <c r="G129" s="520" t="str">
        <f>IF(F129="","",VLOOKUP($B129,'C-1 Site River Baseline'!$C$9:$R$257,6,FALSE))</f>
        <v/>
      </c>
      <c r="H129" s="520" t="str">
        <f>IF(G129="","",VLOOKUP($B129,'C-1 Site River Baseline'!$C$9:$R$257,7,FALSE))</f>
        <v/>
      </c>
      <c r="I129" s="520" t="str">
        <f>IF(H129="","",VLOOKUP($B129,'C-1 Site River Baseline'!$C$9:$R$257,8,FALSE))</f>
        <v/>
      </c>
      <c r="J129" s="520" t="str">
        <f>IF(I129="","",VLOOKUP($B129,'C-1 Site River Baseline'!$C$9:$R$257,9,FALSE))</f>
        <v/>
      </c>
      <c r="K129" s="520" t="str">
        <f>IF(J129="","",VLOOKUP($B129,'C-1 Site River Baseline'!$C$9:$R$257,10,FALSE))</f>
        <v/>
      </c>
      <c r="L129" s="520" t="str">
        <f>IF(B129="","",VLOOKUP($B129,'C-1 Site River Baseline'!$C$9:$R$257,15,FALSE))</f>
        <v/>
      </c>
      <c r="M129" s="524" t="str">
        <f>IF(L129="","",VLOOKUP($B129,'C-1 Site River Baseline'!$C$9:$R$257,16,FALSE))</f>
        <v/>
      </c>
      <c r="N129" s="418" t="str">
        <f t="shared" si="9"/>
        <v/>
      </c>
      <c r="O129" s="498" t="str">
        <f t="shared" si="10"/>
        <v/>
      </c>
      <c r="P129" s="499" t="str">
        <f>IF(C129="","",IF(AND(LEFT(C129,55)&lt;&gt;LEFT(N129,55),O129="High - High"),"Error - Not like for like ▲",IF(AND(F129=S129,H129&gt;U129),"Error - Can not reduce condition ▲",IF(AND(F129=S129,H129=U129,AJ129='C-1 Site River Baseline'!N127,'C-1 Site River Baseline'!P127=AL129),"Error - No enhancement ▲",IF(AND(C129&lt;&gt;N129,F129&lt;S129),"Lower Distinctiveness Habitat"&amp;" - "&amp;T129,G129&amp;" - "&amp;T129)))))</f>
        <v/>
      </c>
      <c r="Q129" s="567" t="str">
        <f>IF(N129="","",VLOOKUP(B129,'C-1 Site River Baseline'!$C$10:$AA$257,19,FALSE))</f>
        <v/>
      </c>
      <c r="R129" s="498" t="str">
        <f>IF(N129="","",VLOOKUP(N129,'G-7 Rivers Data'!$B$2:$G$8,2,FALSE))</f>
        <v/>
      </c>
      <c r="S129" s="499" t="str">
        <f>IFERROR(VLOOKUP(R129,'G-7 Rivers Data'!$C$4:$D$8,2,FALSE),"")</f>
        <v/>
      </c>
      <c r="T129" s="145"/>
      <c r="U129" s="499" t="str">
        <f>IFERROR(INDEX('G-7 Rivers Data'!$H$4:$L$8,MATCH(N129,'G-7 Rivers Data'!$B$4:$B$8,0),MATCH(T129,'G-7 Rivers Data'!$H$3:$L$3,0)),"")</f>
        <v/>
      </c>
      <c r="V129" s="154"/>
      <c r="W129" s="507" t="str">
        <f>IF(V129="","",IF(VLOOKUP(V129,'G-7 Rivers Data'!$AG$4:$AI$9,2,FALSE)=0,"Spatial Data Missing ⚠",VLOOKUP(V129,'G-7 Rivers Data'!$AG$4:$AI$9,2,FALSE)))</f>
        <v/>
      </c>
      <c r="X129" s="499" t="str">
        <f>IF(V129="","",IF(VLOOKUP(V129,'G-7 Rivers Data'!$AG$4:$AI$9,3,FALSE)=0,"Spatial Data Missing ⚠",VLOOKUP(V129,'G-7 Rivers Data'!$AG$4:$AI$9,3,FALSE)))</f>
        <v/>
      </c>
      <c r="Y129" s="498" t="str">
        <f>IFERROR(IF(OR(LEFT(P129,5)="Error ▲",LEFT(O129,5)="Error ▲"),"Check Data ⚠",IF(F129&lt;S129,'G-7 Rivers Data'!$R$3,INDEX('G-7 Rivers Data'!$U$5:$Y$9,MATCH(G129,'G-7 Rivers Data'!$T$5:$T$9,0),MATCH(T129,'G-7 Rivers Data'!$U$4:$Y$4,0)))),"")</f>
        <v/>
      </c>
      <c r="Z129" s="195"/>
      <c r="AA129" s="195"/>
      <c r="AB129" s="507" t="str">
        <f t="shared" si="11"/>
        <v/>
      </c>
      <c r="AC129" s="521" t="str">
        <f t="shared" si="12"/>
        <v/>
      </c>
      <c r="AD129" s="564" t="str">
        <f>IFERROR(IF(AC129="Check Data ⚠","Check Data ⚠",VLOOKUP(AC129,'G-4 Temporal multipliers'!$A$4:$C$37,3,FALSE)),"")</f>
        <v/>
      </c>
      <c r="AE129" s="498" t="str">
        <f>IF(N129="","",VLOOKUP(N129,'G-7 Rivers Data'!$B$4:$G$8,5,FALSE))</f>
        <v/>
      </c>
      <c r="AF129" s="507" t="str">
        <f t="shared" si="13"/>
        <v/>
      </c>
      <c r="AG129" s="540" t="str">
        <f t="shared" si="14"/>
        <v/>
      </c>
      <c r="AH129" s="499" t="str">
        <f t="shared" si="8"/>
        <v/>
      </c>
      <c r="AI129" s="145"/>
      <c r="AJ129" s="499" t="str">
        <f>IF(AI129="","",IF(VLOOKUP(AI129,'G-7 Rivers Data'!$AA$4:$AB$7,2,FALSE)=0,"Spatial Data Missing ⚠",VLOOKUP(AI129,'G-7 Rivers Data'!$AA$4:$AB$7,2,FALSE)))</f>
        <v/>
      </c>
      <c r="AK129" s="155"/>
      <c r="AL129" s="499" t="str">
        <f>IF(AK129="","",IF(VLOOKUP(AK129,'G-7 Rivers Data'!$AD$4:$AE$8,2,FALSE)=0,"Spatial Data Missing ⚠",VLOOKUP(AK129,'G-7 Rivers Data'!$AD$4:$AE$8,2,FALSE)))</f>
        <v/>
      </c>
      <c r="AM129" s="545" t="str">
        <f t="shared" si="15"/>
        <v/>
      </c>
      <c r="AN129" s="149"/>
      <c r="AO129" s="150"/>
      <c r="AV129" s="31" t="str">
        <f>IFERROR(INDEX('G-7 Rivers Data'!$AZ$3:$AZ$7,MATCH(N129,'G-7 Rivers Data'!$AY$3:$AY$7,0)),"")</f>
        <v/>
      </c>
    </row>
    <row r="130" spans="2:48" ht="13.8" x14ac:dyDescent="0.25">
      <c r="B130" s="531" t="str">
        <f>'C-1 Site River Baseline'!AN128</f>
        <v/>
      </c>
      <c r="C130" s="520" t="str">
        <f>IF(B130="","",VLOOKUP($B130,'C-1 Site River Baseline'!$C$9:$R$257,2,FALSE))</f>
        <v/>
      </c>
      <c r="D130" s="520" t="str">
        <f>IF(C130="","",VLOOKUP($B130,'C-1 Site River Baseline'!$C$9:$R$257,3,FALSE))</f>
        <v/>
      </c>
      <c r="E130" s="520" t="str">
        <f>IF(D130="","",VLOOKUP($B130,'C-1 Site River Baseline'!$C$9:$R$257,4,FALSE))</f>
        <v/>
      </c>
      <c r="F130" s="520" t="str">
        <f>IF(E130="","",VLOOKUP($B130,'C-1 Site River Baseline'!$C$9:$R$257,5,FALSE))</f>
        <v/>
      </c>
      <c r="G130" s="520" t="str">
        <f>IF(F130="","",VLOOKUP($B130,'C-1 Site River Baseline'!$C$9:$R$257,6,FALSE))</f>
        <v/>
      </c>
      <c r="H130" s="520" t="str">
        <f>IF(G130="","",VLOOKUP($B130,'C-1 Site River Baseline'!$C$9:$R$257,7,FALSE))</f>
        <v/>
      </c>
      <c r="I130" s="520" t="str">
        <f>IF(H130="","",VLOOKUP($B130,'C-1 Site River Baseline'!$C$9:$R$257,8,FALSE))</f>
        <v/>
      </c>
      <c r="J130" s="520" t="str">
        <f>IF(I130="","",VLOOKUP($B130,'C-1 Site River Baseline'!$C$9:$R$257,9,FALSE))</f>
        <v/>
      </c>
      <c r="K130" s="520" t="str">
        <f>IF(J130="","",VLOOKUP($B130,'C-1 Site River Baseline'!$C$9:$R$257,10,FALSE))</f>
        <v/>
      </c>
      <c r="L130" s="520" t="str">
        <f>IF(B130="","",VLOOKUP($B130,'C-1 Site River Baseline'!$C$9:$R$257,15,FALSE))</f>
        <v/>
      </c>
      <c r="M130" s="524" t="str">
        <f>IF(L130="","",VLOOKUP($B130,'C-1 Site River Baseline'!$C$9:$R$257,16,FALSE))</f>
        <v/>
      </c>
      <c r="N130" s="418" t="str">
        <f t="shared" si="9"/>
        <v/>
      </c>
      <c r="O130" s="498" t="str">
        <f t="shared" si="10"/>
        <v/>
      </c>
      <c r="P130" s="499" t="str">
        <f>IF(C130="","",IF(AND(LEFT(C130,55)&lt;&gt;LEFT(N130,55),O130="High - High"),"Error - Not like for like ▲",IF(AND(F130=S130,H130&gt;U130),"Error - Can not reduce condition ▲",IF(AND(F130=S130,H130=U130,AJ130='C-1 Site River Baseline'!N128,'C-1 Site River Baseline'!P128=AL130),"Error - No enhancement ▲",IF(AND(C130&lt;&gt;N130,F130&lt;S130),"Lower Distinctiveness Habitat"&amp;" - "&amp;T130,G130&amp;" - "&amp;T130)))))</f>
        <v/>
      </c>
      <c r="Q130" s="567" t="str">
        <f>IF(N130="","",VLOOKUP(B130,'C-1 Site River Baseline'!$C$10:$AA$257,19,FALSE))</f>
        <v/>
      </c>
      <c r="R130" s="498" t="str">
        <f>IF(N130="","",VLOOKUP(N130,'G-7 Rivers Data'!$B$2:$G$8,2,FALSE))</f>
        <v/>
      </c>
      <c r="S130" s="499" t="str">
        <f>IFERROR(VLOOKUP(R130,'G-7 Rivers Data'!$C$4:$D$8,2,FALSE),"")</f>
        <v/>
      </c>
      <c r="T130" s="145"/>
      <c r="U130" s="499" t="str">
        <f>IFERROR(INDEX('G-7 Rivers Data'!$H$4:$L$8,MATCH(N130,'G-7 Rivers Data'!$B$4:$B$8,0),MATCH(T130,'G-7 Rivers Data'!$H$3:$L$3,0)),"")</f>
        <v/>
      </c>
      <c r="V130" s="154"/>
      <c r="W130" s="507" t="str">
        <f>IF(V130="","",IF(VLOOKUP(V130,'G-7 Rivers Data'!$AG$4:$AI$9,2,FALSE)=0,"Spatial Data Missing ⚠",VLOOKUP(V130,'G-7 Rivers Data'!$AG$4:$AI$9,2,FALSE)))</f>
        <v/>
      </c>
      <c r="X130" s="499" t="str">
        <f>IF(V130="","",IF(VLOOKUP(V130,'G-7 Rivers Data'!$AG$4:$AI$9,3,FALSE)=0,"Spatial Data Missing ⚠",VLOOKUP(V130,'G-7 Rivers Data'!$AG$4:$AI$9,3,FALSE)))</f>
        <v/>
      </c>
      <c r="Y130" s="498" t="str">
        <f>IFERROR(IF(OR(LEFT(P130,5)="Error ▲",LEFT(O130,5)="Error ▲"),"Check Data ⚠",IF(F130&lt;S130,'G-7 Rivers Data'!$R$3,INDEX('G-7 Rivers Data'!$U$5:$Y$9,MATCH(G130,'G-7 Rivers Data'!$T$5:$T$9,0),MATCH(T130,'G-7 Rivers Data'!$U$4:$Y$4,0)))),"")</f>
        <v/>
      </c>
      <c r="Z130" s="195"/>
      <c r="AA130" s="195"/>
      <c r="AB130" s="507" t="str">
        <f t="shared" si="11"/>
        <v/>
      </c>
      <c r="AC130" s="521" t="str">
        <f t="shared" si="12"/>
        <v/>
      </c>
      <c r="AD130" s="564" t="str">
        <f>IFERROR(IF(AC130="Check Data ⚠","Check Data ⚠",VLOOKUP(AC130,'G-4 Temporal multipliers'!$A$4:$C$37,3,FALSE)),"")</f>
        <v/>
      </c>
      <c r="AE130" s="498" t="str">
        <f>IF(N130="","",VLOOKUP(N130,'G-7 Rivers Data'!$B$4:$G$8,5,FALSE))</f>
        <v/>
      </c>
      <c r="AF130" s="507" t="str">
        <f t="shared" si="13"/>
        <v/>
      </c>
      <c r="AG130" s="540" t="str">
        <f t="shared" si="14"/>
        <v/>
      </c>
      <c r="AH130" s="499" t="str">
        <f t="shared" si="8"/>
        <v/>
      </c>
      <c r="AI130" s="145"/>
      <c r="AJ130" s="499" t="str">
        <f>IF(AI130="","",IF(VLOOKUP(AI130,'G-7 Rivers Data'!$AA$4:$AB$7,2,FALSE)=0,"Spatial Data Missing ⚠",VLOOKUP(AI130,'G-7 Rivers Data'!$AA$4:$AB$7,2,FALSE)))</f>
        <v/>
      </c>
      <c r="AK130" s="155"/>
      <c r="AL130" s="499" t="str">
        <f>IF(AK130="","",IF(VLOOKUP(AK130,'G-7 Rivers Data'!$AD$4:$AE$8,2,FALSE)=0,"Spatial Data Missing ⚠",VLOOKUP(AK130,'G-7 Rivers Data'!$AD$4:$AE$8,2,FALSE)))</f>
        <v/>
      </c>
      <c r="AM130" s="545" t="str">
        <f t="shared" si="15"/>
        <v/>
      </c>
      <c r="AN130" s="149"/>
      <c r="AO130" s="150"/>
      <c r="AV130" s="31" t="str">
        <f>IFERROR(INDEX('G-7 Rivers Data'!$AZ$3:$AZ$7,MATCH(N130,'G-7 Rivers Data'!$AY$3:$AY$7,0)),"")</f>
        <v/>
      </c>
    </row>
    <row r="131" spans="2:48" ht="13.8" x14ac:dyDescent="0.25">
      <c r="B131" s="531" t="str">
        <f>'C-1 Site River Baseline'!AN129</f>
        <v/>
      </c>
      <c r="C131" s="520" t="str">
        <f>IF(B131="","",VLOOKUP($B131,'C-1 Site River Baseline'!$C$9:$R$257,2,FALSE))</f>
        <v/>
      </c>
      <c r="D131" s="520" t="str">
        <f>IF(C131="","",VLOOKUP($B131,'C-1 Site River Baseline'!$C$9:$R$257,3,FALSE))</f>
        <v/>
      </c>
      <c r="E131" s="520" t="str">
        <f>IF(D131="","",VLOOKUP($B131,'C-1 Site River Baseline'!$C$9:$R$257,4,FALSE))</f>
        <v/>
      </c>
      <c r="F131" s="520" t="str">
        <f>IF(E131="","",VLOOKUP($B131,'C-1 Site River Baseline'!$C$9:$R$257,5,FALSE))</f>
        <v/>
      </c>
      <c r="G131" s="520" t="str">
        <f>IF(F131="","",VLOOKUP($B131,'C-1 Site River Baseline'!$C$9:$R$257,6,FALSE))</f>
        <v/>
      </c>
      <c r="H131" s="520" t="str">
        <f>IF(G131="","",VLOOKUP($B131,'C-1 Site River Baseline'!$C$9:$R$257,7,FALSE))</f>
        <v/>
      </c>
      <c r="I131" s="520" t="str">
        <f>IF(H131="","",VLOOKUP($B131,'C-1 Site River Baseline'!$C$9:$R$257,8,FALSE))</f>
        <v/>
      </c>
      <c r="J131" s="520" t="str">
        <f>IF(I131="","",VLOOKUP($B131,'C-1 Site River Baseline'!$C$9:$R$257,9,FALSE))</f>
        <v/>
      </c>
      <c r="K131" s="520" t="str">
        <f>IF(J131="","",VLOOKUP($B131,'C-1 Site River Baseline'!$C$9:$R$257,10,FALSE))</f>
        <v/>
      </c>
      <c r="L131" s="520" t="str">
        <f>IF(B131="","",VLOOKUP($B131,'C-1 Site River Baseline'!$C$9:$R$257,15,FALSE))</f>
        <v/>
      </c>
      <c r="M131" s="524" t="str">
        <f>IF(L131="","",VLOOKUP($B131,'C-1 Site River Baseline'!$C$9:$R$257,16,FALSE))</f>
        <v/>
      </c>
      <c r="N131" s="418" t="str">
        <f t="shared" si="9"/>
        <v/>
      </c>
      <c r="O131" s="498" t="str">
        <f t="shared" si="10"/>
        <v/>
      </c>
      <c r="P131" s="499" t="str">
        <f>IF(C131="","",IF(AND(LEFT(C131,55)&lt;&gt;LEFT(N131,55),O131="High - High"),"Error - Not like for like ▲",IF(AND(F131=S131,H131&gt;U131),"Error - Can not reduce condition ▲",IF(AND(F131=S131,H131=U131,AJ131='C-1 Site River Baseline'!N129,'C-1 Site River Baseline'!P129=AL131),"Error - No enhancement ▲",IF(AND(C131&lt;&gt;N131,F131&lt;S131),"Lower Distinctiveness Habitat"&amp;" - "&amp;T131,G131&amp;" - "&amp;T131)))))</f>
        <v/>
      </c>
      <c r="Q131" s="567" t="str">
        <f>IF(N131="","",VLOOKUP(B131,'C-1 Site River Baseline'!$C$10:$AA$257,19,FALSE))</f>
        <v/>
      </c>
      <c r="R131" s="498" t="str">
        <f>IF(N131="","",VLOOKUP(N131,'G-7 Rivers Data'!$B$2:$G$8,2,FALSE))</f>
        <v/>
      </c>
      <c r="S131" s="499" t="str">
        <f>IFERROR(VLOOKUP(R131,'G-7 Rivers Data'!$C$4:$D$8,2,FALSE),"")</f>
        <v/>
      </c>
      <c r="T131" s="145"/>
      <c r="U131" s="499" t="str">
        <f>IFERROR(INDEX('G-7 Rivers Data'!$H$4:$L$8,MATCH(N131,'G-7 Rivers Data'!$B$4:$B$8,0),MATCH(T131,'G-7 Rivers Data'!$H$3:$L$3,0)),"")</f>
        <v/>
      </c>
      <c r="V131" s="154"/>
      <c r="W131" s="507" t="str">
        <f>IF(V131="","",IF(VLOOKUP(V131,'G-7 Rivers Data'!$AG$4:$AI$9,2,FALSE)=0,"Spatial Data Missing ⚠",VLOOKUP(V131,'G-7 Rivers Data'!$AG$4:$AI$9,2,FALSE)))</f>
        <v/>
      </c>
      <c r="X131" s="499" t="str">
        <f>IF(V131="","",IF(VLOOKUP(V131,'G-7 Rivers Data'!$AG$4:$AI$9,3,FALSE)=0,"Spatial Data Missing ⚠",VLOOKUP(V131,'G-7 Rivers Data'!$AG$4:$AI$9,3,FALSE)))</f>
        <v/>
      </c>
      <c r="Y131" s="498" t="str">
        <f>IFERROR(IF(OR(LEFT(P131,5)="Error ▲",LEFT(O131,5)="Error ▲"),"Check Data ⚠",IF(F131&lt;S131,'G-7 Rivers Data'!$R$3,INDEX('G-7 Rivers Data'!$U$5:$Y$9,MATCH(G131,'G-7 Rivers Data'!$T$5:$T$9,0),MATCH(T131,'G-7 Rivers Data'!$U$4:$Y$4,0)))),"")</f>
        <v/>
      </c>
      <c r="Z131" s="195"/>
      <c r="AA131" s="195"/>
      <c r="AB131" s="507" t="str">
        <f t="shared" si="11"/>
        <v/>
      </c>
      <c r="AC131" s="521" t="str">
        <f t="shared" si="12"/>
        <v/>
      </c>
      <c r="AD131" s="564" t="str">
        <f>IFERROR(IF(AC131="Check Data ⚠","Check Data ⚠",VLOOKUP(AC131,'G-4 Temporal multipliers'!$A$4:$C$37,3,FALSE)),"")</f>
        <v/>
      </c>
      <c r="AE131" s="498" t="str">
        <f>IF(N131="","",VLOOKUP(N131,'G-7 Rivers Data'!$B$4:$G$8,5,FALSE))</f>
        <v/>
      </c>
      <c r="AF131" s="507" t="str">
        <f t="shared" si="13"/>
        <v/>
      </c>
      <c r="AG131" s="540" t="str">
        <f t="shared" si="14"/>
        <v/>
      </c>
      <c r="AH131" s="499" t="str">
        <f t="shared" si="8"/>
        <v/>
      </c>
      <c r="AI131" s="145"/>
      <c r="AJ131" s="499" t="str">
        <f>IF(AI131="","",IF(VLOOKUP(AI131,'G-7 Rivers Data'!$AA$4:$AB$7,2,FALSE)=0,"Spatial Data Missing ⚠",VLOOKUP(AI131,'G-7 Rivers Data'!$AA$4:$AB$7,2,FALSE)))</f>
        <v/>
      </c>
      <c r="AK131" s="155"/>
      <c r="AL131" s="499" t="str">
        <f>IF(AK131="","",IF(VLOOKUP(AK131,'G-7 Rivers Data'!$AD$4:$AE$8,2,FALSE)=0,"Spatial Data Missing ⚠",VLOOKUP(AK131,'G-7 Rivers Data'!$AD$4:$AE$8,2,FALSE)))</f>
        <v/>
      </c>
      <c r="AM131" s="545" t="str">
        <f t="shared" si="15"/>
        <v/>
      </c>
      <c r="AN131" s="149"/>
      <c r="AO131" s="150"/>
      <c r="AV131" s="31" t="str">
        <f>IFERROR(INDEX('G-7 Rivers Data'!$AZ$3:$AZ$7,MATCH(N131,'G-7 Rivers Data'!$AY$3:$AY$7,0)),"")</f>
        <v/>
      </c>
    </row>
    <row r="132" spans="2:48" ht="13.8" x14ac:dyDescent="0.25">
      <c r="B132" s="531" t="str">
        <f>'C-1 Site River Baseline'!AN130</f>
        <v/>
      </c>
      <c r="C132" s="520" t="str">
        <f>IF(B132="","",VLOOKUP($B132,'C-1 Site River Baseline'!$C$9:$R$257,2,FALSE))</f>
        <v/>
      </c>
      <c r="D132" s="520" t="str">
        <f>IF(C132="","",VLOOKUP($B132,'C-1 Site River Baseline'!$C$9:$R$257,3,FALSE))</f>
        <v/>
      </c>
      <c r="E132" s="520" t="str">
        <f>IF(D132="","",VLOOKUP($B132,'C-1 Site River Baseline'!$C$9:$R$257,4,FALSE))</f>
        <v/>
      </c>
      <c r="F132" s="520" t="str">
        <f>IF(E132="","",VLOOKUP($B132,'C-1 Site River Baseline'!$C$9:$R$257,5,FALSE))</f>
        <v/>
      </c>
      <c r="G132" s="520" t="str">
        <f>IF(F132="","",VLOOKUP($B132,'C-1 Site River Baseline'!$C$9:$R$257,6,FALSE))</f>
        <v/>
      </c>
      <c r="H132" s="520" t="str">
        <f>IF(G132="","",VLOOKUP($B132,'C-1 Site River Baseline'!$C$9:$R$257,7,FALSE))</f>
        <v/>
      </c>
      <c r="I132" s="520" t="str">
        <f>IF(H132="","",VLOOKUP($B132,'C-1 Site River Baseline'!$C$9:$R$257,8,FALSE))</f>
        <v/>
      </c>
      <c r="J132" s="520" t="str">
        <f>IF(I132="","",VLOOKUP($B132,'C-1 Site River Baseline'!$C$9:$R$257,9,FALSE))</f>
        <v/>
      </c>
      <c r="K132" s="520" t="str">
        <f>IF(J132="","",VLOOKUP($B132,'C-1 Site River Baseline'!$C$9:$R$257,10,FALSE))</f>
        <v/>
      </c>
      <c r="L132" s="520" t="str">
        <f>IF(B132="","",VLOOKUP($B132,'C-1 Site River Baseline'!$C$9:$R$257,15,FALSE))</f>
        <v/>
      </c>
      <c r="M132" s="524" t="str">
        <f>IF(L132="","",VLOOKUP($B132,'C-1 Site River Baseline'!$C$9:$R$257,16,FALSE))</f>
        <v/>
      </c>
      <c r="N132" s="418" t="str">
        <f t="shared" si="9"/>
        <v/>
      </c>
      <c r="O132" s="498" t="str">
        <f t="shared" si="10"/>
        <v/>
      </c>
      <c r="P132" s="499" t="str">
        <f>IF(C132="","",IF(AND(LEFT(C132,55)&lt;&gt;LEFT(N132,55),O132="High - High"),"Error - Not like for like ▲",IF(AND(F132=S132,H132&gt;U132),"Error - Can not reduce condition ▲",IF(AND(F132=S132,H132=U132,AJ132='C-1 Site River Baseline'!N130,'C-1 Site River Baseline'!P130=AL132),"Error - No enhancement ▲",IF(AND(C132&lt;&gt;N132,F132&lt;S132),"Lower Distinctiveness Habitat"&amp;" - "&amp;T132,G132&amp;" - "&amp;T132)))))</f>
        <v/>
      </c>
      <c r="Q132" s="567" t="str">
        <f>IF(N132="","",VLOOKUP(B132,'C-1 Site River Baseline'!$C$10:$AA$257,19,FALSE))</f>
        <v/>
      </c>
      <c r="R132" s="498" t="str">
        <f>IF(N132="","",VLOOKUP(N132,'G-7 Rivers Data'!$B$2:$G$8,2,FALSE))</f>
        <v/>
      </c>
      <c r="S132" s="499" t="str">
        <f>IFERROR(VLOOKUP(R132,'G-7 Rivers Data'!$C$4:$D$8,2,FALSE),"")</f>
        <v/>
      </c>
      <c r="T132" s="145"/>
      <c r="U132" s="499" t="str">
        <f>IFERROR(INDEX('G-7 Rivers Data'!$H$4:$L$8,MATCH(N132,'G-7 Rivers Data'!$B$4:$B$8,0),MATCH(T132,'G-7 Rivers Data'!$H$3:$L$3,0)),"")</f>
        <v/>
      </c>
      <c r="V132" s="154"/>
      <c r="W132" s="507" t="str">
        <f>IF(V132="","",IF(VLOOKUP(V132,'G-7 Rivers Data'!$AG$4:$AI$9,2,FALSE)=0,"Spatial Data Missing ⚠",VLOOKUP(V132,'G-7 Rivers Data'!$AG$4:$AI$9,2,FALSE)))</f>
        <v/>
      </c>
      <c r="X132" s="499" t="str">
        <f>IF(V132="","",IF(VLOOKUP(V132,'G-7 Rivers Data'!$AG$4:$AI$9,3,FALSE)=0,"Spatial Data Missing ⚠",VLOOKUP(V132,'G-7 Rivers Data'!$AG$4:$AI$9,3,FALSE)))</f>
        <v/>
      </c>
      <c r="Y132" s="498" t="str">
        <f>IFERROR(IF(OR(LEFT(P132,5)="Error ▲",LEFT(O132,5)="Error ▲"),"Check Data ⚠",IF(F132&lt;S132,'G-7 Rivers Data'!$R$3,INDEX('G-7 Rivers Data'!$U$5:$Y$9,MATCH(G132,'G-7 Rivers Data'!$T$5:$T$9,0),MATCH(T132,'G-7 Rivers Data'!$U$4:$Y$4,0)))),"")</f>
        <v/>
      </c>
      <c r="Z132" s="195"/>
      <c r="AA132" s="195"/>
      <c r="AB132" s="507" t="str">
        <f t="shared" si="11"/>
        <v/>
      </c>
      <c r="AC132" s="521" t="str">
        <f t="shared" si="12"/>
        <v/>
      </c>
      <c r="AD132" s="564" t="str">
        <f>IFERROR(IF(AC132="Check Data ⚠","Check Data ⚠",VLOOKUP(AC132,'G-4 Temporal multipliers'!$A$4:$C$37,3,FALSE)),"")</f>
        <v/>
      </c>
      <c r="AE132" s="498" t="str">
        <f>IF(N132="","",VLOOKUP(N132,'G-7 Rivers Data'!$B$4:$G$8,5,FALSE))</f>
        <v/>
      </c>
      <c r="AF132" s="507" t="str">
        <f t="shared" si="13"/>
        <v/>
      </c>
      <c r="AG132" s="540" t="str">
        <f t="shared" si="14"/>
        <v/>
      </c>
      <c r="AH132" s="499" t="str">
        <f t="shared" si="8"/>
        <v/>
      </c>
      <c r="AI132" s="145"/>
      <c r="AJ132" s="499" t="str">
        <f>IF(AI132="","",IF(VLOOKUP(AI132,'G-7 Rivers Data'!$AA$4:$AB$7,2,FALSE)=0,"Spatial Data Missing ⚠",VLOOKUP(AI132,'G-7 Rivers Data'!$AA$4:$AB$7,2,FALSE)))</f>
        <v/>
      </c>
      <c r="AK132" s="155"/>
      <c r="AL132" s="499" t="str">
        <f>IF(AK132="","",IF(VLOOKUP(AK132,'G-7 Rivers Data'!$AD$4:$AE$8,2,FALSE)=0,"Spatial Data Missing ⚠",VLOOKUP(AK132,'G-7 Rivers Data'!$AD$4:$AE$8,2,FALSE)))</f>
        <v/>
      </c>
      <c r="AM132" s="545" t="str">
        <f t="shared" si="15"/>
        <v/>
      </c>
      <c r="AN132" s="149"/>
      <c r="AO132" s="150"/>
      <c r="AV132" s="31" t="str">
        <f>IFERROR(INDEX('G-7 Rivers Data'!$AZ$3:$AZ$7,MATCH(N132,'G-7 Rivers Data'!$AY$3:$AY$7,0)),"")</f>
        <v/>
      </c>
    </row>
    <row r="133" spans="2:48" ht="13.8" x14ac:dyDescent="0.25">
      <c r="B133" s="531" t="str">
        <f>'C-1 Site River Baseline'!AN131</f>
        <v/>
      </c>
      <c r="C133" s="520" t="str">
        <f>IF(B133="","",VLOOKUP($B133,'C-1 Site River Baseline'!$C$9:$R$257,2,FALSE))</f>
        <v/>
      </c>
      <c r="D133" s="520" t="str">
        <f>IF(C133="","",VLOOKUP($B133,'C-1 Site River Baseline'!$C$9:$R$257,3,FALSE))</f>
        <v/>
      </c>
      <c r="E133" s="520" t="str">
        <f>IF(D133="","",VLOOKUP($B133,'C-1 Site River Baseline'!$C$9:$R$257,4,FALSE))</f>
        <v/>
      </c>
      <c r="F133" s="520" t="str">
        <f>IF(E133="","",VLOOKUP($B133,'C-1 Site River Baseline'!$C$9:$R$257,5,FALSE))</f>
        <v/>
      </c>
      <c r="G133" s="520" t="str">
        <f>IF(F133="","",VLOOKUP($B133,'C-1 Site River Baseline'!$C$9:$R$257,6,FALSE))</f>
        <v/>
      </c>
      <c r="H133" s="520" t="str">
        <f>IF(G133="","",VLOOKUP($B133,'C-1 Site River Baseline'!$C$9:$R$257,7,FALSE))</f>
        <v/>
      </c>
      <c r="I133" s="520" t="str">
        <f>IF(H133="","",VLOOKUP($B133,'C-1 Site River Baseline'!$C$9:$R$257,8,FALSE))</f>
        <v/>
      </c>
      <c r="J133" s="520" t="str">
        <f>IF(I133="","",VLOOKUP($B133,'C-1 Site River Baseline'!$C$9:$R$257,9,FALSE))</f>
        <v/>
      </c>
      <c r="K133" s="520" t="str">
        <f>IF(J133="","",VLOOKUP($B133,'C-1 Site River Baseline'!$C$9:$R$257,10,FALSE))</f>
        <v/>
      </c>
      <c r="L133" s="520" t="str">
        <f>IF(B133="","",VLOOKUP($B133,'C-1 Site River Baseline'!$C$9:$R$257,15,FALSE))</f>
        <v/>
      </c>
      <c r="M133" s="524" t="str">
        <f>IF(L133="","",VLOOKUP($B133,'C-1 Site River Baseline'!$C$9:$R$257,16,FALSE))</f>
        <v/>
      </c>
      <c r="N133" s="418" t="str">
        <f t="shared" si="9"/>
        <v/>
      </c>
      <c r="O133" s="498" t="str">
        <f t="shared" si="10"/>
        <v/>
      </c>
      <c r="P133" s="499" t="str">
        <f>IF(C133="","",IF(AND(LEFT(C133,55)&lt;&gt;LEFT(N133,55),O133="High - High"),"Error - Not like for like ▲",IF(AND(F133=S133,H133&gt;U133),"Error - Can not reduce condition ▲",IF(AND(F133=S133,H133=U133,AJ133='C-1 Site River Baseline'!N131,'C-1 Site River Baseline'!P131=AL133),"Error - No enhancement ▲",IF(AND(C133&lt;&gt;N133,F133&lt;S133),"Lower Distinctiveness Habitat"&amp;" - "&amp;T133,G133&amp;" - "&amp;T133)))))</f>
        <v/>
      </c>
      <c r="Q133" s="567" t="str">
        <f>IF(N133="","",VLOOKUP(B133,'C-1 Site River Baseline'!$C$10:$AA$257,19,FALSE))</f>
        <v/>
      </c>
      <c r="R133" s="498" t="str">
        <f>IF(N133="","",VLOOKUP(N133,'G-7 Rivers Data'!$B$2:$G$8,2,FALSE))</f>
        <v/>
      </c>
      <c r="S133" s="499" t="str">
        <f>IFERROR(VLOOKUP(R133,'G-7 Rivers Data'!$C$4:$D$8,2,FALSE),"")</f>
        <v/>
      </c>
      <c r="T133" s="145"/>
      <c r="U133" s="499" t="str">
        <f>IFERROR(INDEX('G-7 Rivers Data'!$H$4:$L$8,MATCH(N133,'G-7 Rivers Data'!$B$4:$B$8,0),MATCH(T133,'G-7 Rivers Data'!$H$3:$L$3,0)),"")</f>
        <v/>
      </c>
      <c r="V133" s="154"/>
      <c r="W133" s="507" t="str">
        <f>IF(V133="","",IF(VLOOKUP(V133,'G-7 Rivers Data'!$AG$4:$AI$9,2,FALSE)=0,"Spatial Data Missing ⚠",VLOOKUP(V133,'G-7 Rivers Data'!$AG$4:$AI$9,2,FALSE)))</f>
        <v/>
      </c>
      <c r="X133" s="499" t="str">
        <f>IF(V133="","",IF(VLOOKUP(V133,'G-7 Rivers Data'!$AG$4:$AI$9,3,FALSE)=0,"Spatial Data Missing ⚠",VLOOKUP(V133,'G-7 Rivers Data'!$AG$4:$AI$9,3,FALSE)))</f>
        <v/>
      </c>
      <c r="Y133" s="498" t="str">
        <f>IFERROR(IF(OR(LEFT(P133,5)="Error ▲",LEFT(O133,5)="Error ▲"),"Check Data ⚠",IF(F133&lt;S133,'G-7 Rivers Data'!$R$3,INDEX('G-7 Rivers Data'!$U$5:$Y$9,MATCH(G133,'G-7 Rivers Data'!$T$5:$T$9,0),MATCH(T133,'G-7 Rivers Data'!$U$4:$Y$4,0)))),"")</f>
        <v/>
      </c>
      <c r="Z133" s="195"/>
      <c r="AA133" s="195"/>
      <c r="AB133" s="507" t="str">
        <f t="shared" si="11"/>
        <v/>
      </c>
      <c r="AC133" s="521" t="str">
        <f t="shared" si="12"/>
        <v/>
      </c>
      <c r="AD133" s="564" t="str">
        <f>IFERROR(IF(AC133="Check Data ⚠","Check Data ⚠",VLOOKUP(AC133,'G-4 Temporal multipliers'!$A$4:$C$37,3,FALSE)),"")</f>
        <v/>
      </c>
      <c r="AE133" s="498" t="str">
        <f>IF(N133="","",VLOOKUP(N133,'G-7 Rivers Data'!$B$4:$G$8,5,FALSE))</f>
        <v/>
      </c>
      <c r="AF133" s="507" t="str">
        <f t="shared" si="13"/>
        <v/>
      </c>
      <c r="AG133" s="540" t="str">
        <f t="shared" si="14"/>
        <v/>
      </c>
      <c r="AH133" s="499" t="str">
        <f t="shared" si="8"/>
        <v/>
      </c>
      <c r="AI133" s="145"/>
      <c r="AJ133" s="499" t="str">
        <f>IF(AI133="","",IF(VLOOKUP(AI133,'G-7 Rivers Data'!$AA$4:$AB$7,2,FALSE)=0,"Spatial Data Missing ⚠",VLOOKUP(AI133,'G-7 Rivers Data'!$AA$4:$AB$7,2,FALSE)))</f>
        <v/>
      </c>
      <c r="AK133" s="155"/>
      <c r="AL133" s="499" t="str">
        <f>IF(AK133="","",IF(VLOOKUP(AK133,'G-7 Rivers Data'!$AD$4:$AE$8,2,FALSE)=0,"Spatial Data Missing ⚠",VLOOKUP(AK133,'G-7 Rivers Data'!$AD$4:$AE$8,2,FALSE)))</f>
        <v/>
      </c>
      <c r="AM133" s="545" t="str">
        <f t="shared" si="15"/>
        <v/>
      </c>
      <c r="AN133" s="149"/>
      <c r="AO133" s="150"/>
      <c r="AV133" s="31" t="str">
        <f>IFERROR(INDEX('G-7 Rivers Data'!$AZ$3:$AZ$7,MATCH(N133,'G-7 Rivers Data'!$AY$3:$AY$7,0)),"")</f>
        <v/>
      </c>
    </row>
    <row r="134" spans="2:48" ht="13.8" x14ac:dyDescent="0.25">
      <c r="B134" s="531" t="str">
        <f>'C-1 Site River Baseline'!AN132</f>
        <v/>
      </c>
      <c r="C134" s="520" t="str">
        <f>IF(B134="","",VLOOKUP($B134,'C-1 Site River Baseline'!$C$9:$R$257,2,FALSE))</f>
        <v/>
      </c>
      <c r="D134" s="520" t="str">
        <f>IF(C134="","",VLOOKUP($B134,'C-1 Site River Baseline'!$C$9:$R$257,3,FALSE))</f>
        <v/>
      </c>
      <c r="E134" s="520" t="str">
        <f>IF(D134="","",VLOOKUP($B134,'C-1 Site River Baseline'!$C$9:$R$257,4,FALSE))</f>
        <v/>
      </c>
      <c r="F134" s="520" t="str">
        <f>IF(E134="","",VLOOKUP($B134,'C-1 Site River Baseline'!$C$9:$R$257,5,FALSE))</f>
        <v/>
      </c>
      <c r="G134" s="520" t="str">
        <f>IF(F134="","",VLOOKUP($B134,'C-1 Site River Baseline'!$C$9:$R$257,6,FALSE))</f>
        <v/>
      </c>
      <c r="H134" s="520" t="str">
        <f>IF(G134="","",VLOOKUP($B134,'C-1 Site River Baseline'!$C$9:$R$257,7,FALSE))</f>
        <v/>
      </c>
      <c r="I134" s="520" t="str">
        <f>IF(H134="","",VLOOKUP($B134,'C-1 Site River Baseline'!$C$9:$R$257,8,FALSE))</f>
        <v/>
      </c>
      <c r="J134" s="520" t="str">
        <f>IF(I134="","",VLOOKUP($B134,'C-1 Site River Baseline'!$C$9:$R$257,9,FALSE))</f>
        <v/>
      </c>
      <c r="K134" s="520" t="str">
        <f>IF(J134="","",VLOOKUP($B134,'C-1 Site River Baseline'!$C$9:$R$257,10,FALSE))</f>
        <v/>
      </c>
      <c r="L134" s="520" t="str">
        <f>IF(B134="","",VLOOKUP($B134,'C-1 Site River Baseline'!$C$9:$R$257,15,FALSE))</f>
        <v/>
      </c>
      <c r="M134" s="524" t="str">
        <f>IF(L134="","",VLOOKUP($B134,'C-1 Site River Baseline'!$C$9:$R$257,16,FALSE))</f>
        <v/>
      </c>
      <c r="N134" s="418" t="str">
        <f t="shared" si="9"/>
        <v/>
      </c>
      <c r="O134" s="498" t="str">
        <f t="shared" si="10"/>
        <v/>
      </c>
      <c r="P134" s="499" t="str">
        <f>IF(C134="","",IF(AND(LEFT(C134,55)&lt;&gt;LEFT(N134,55),O134="High - High"),"Error - Not like for like ▲",IF(AND(F134=S134,H134&gt;U134),"Error - Can not reduce condition ▲",IF(AND(F134=S134,H134=U134,AJ134='C-1 Site River Baseline'!N132,'C-1 Site River Baseline'!P132=AL134),"Error - No enhancement ▲",IF(AND(C134&lt;&gt;N134,F134&lt;S134),"Lower Distinctiveness Habitat"&amp;" - "&amp;T134,G134&amp;" - "&amp;T134)))))</f>
        <v/>
      </c>
      <c r="Q134" s="567" t="str">
        <f>IF(N134="","",VLOOKUP(B134,'C-1 Site River Baseline'!$C$10:$AA$257,19,FALSE))</f>
        <v/>
      </c>
      <c r="R134" s="498" t="str">
        <f>IF(N134="","",VLOOKUP(N134,'G-7 Rivers Data'!$B$2:$G$8,2,FALSE))</f>
        <v/>
      </c>
      <c r="S134" s="499" t="str">
        <f>IFERROR(VLOOKUP(R134,'G-7 Rivers Data'!$C$4:$D$8,2,FALSE),"")</f>
        <v/>
      </c>
      <c r="T134" s="145"/>
      <c r="U134" s="499" t="str">
        <f>IFERROR(INDEX('G-7 Rivers Data'!$H$4:$L$8,MATCH(N134,'G-7 Rivers Data'!$B$4:$B$8,0),MATCH(T134,'G-7 Rivers Data'!$H$3:$L$3,0)),"")</f>
        <v/>
      </c>
      <c r="V134" s="154"/>
      <c r="W134" s="507" t="str">
        <f>IF(V134="","",IF(VLOOKUP(V134,'G-7 Rivers Data'!$AG$4:$AI$9,2,FALSE)=0,"Spatial Data Missing ⚠",VLOOKUP(V134,'G-7 Rivers Data'!$AG$4:$AI$9,2,FALSE)))</f>
        <v/>
      </c>
      <c r="X134" s="499" t="str">
        <f>IF(V134="","",IF(VLOOKUP(V134,'G-7 Rivers Data'!$AG$4:$AI$9,3,FALSE)=0,"Spatial Data Missing ⚠",VLOOKUP(V134,'G-7 Rivers Data'!$AG$4:$AI$9,3,FALSE)))</f>
        <v/>
      </c>
      <c r="Y134" s="498" t="str">
        <f>IFERROR(IF(OR(LEFT(P134,5)="Error ▲",LEFT(O134,5)="Error ▲"),"Check Data ⚠",IF(F134&lt;S134,'G-7 Rivers Data'!$R$3,INDEX('G-7 Rivers Data'!$U$5:$Y$9,MATCH(G134,'G-7 Rivers Data'!$T$5:$T$9,0),MATCH(T134,'G-7 Rivers Data'!$U$4:$Y$4,0)))),"")</f>
        <v/>
      </c>
      <c r="Z134" s="195"/>
      <c r="AA134" s="195"/>
      <c r="AB134" s="507" t="str">
        <f t="shared" si="11"/>
        <v/>
      </c>
      <c r="AC134" s="521" t="str">
        <f t="shared" si="12"/>
        <v/>
      </c>
      <c r="AD134" s="564" t="str">
        <f>IFERROR(IF(AC134="Check Data ⚠","Check Data ⚠",VLOOKUP(AC134,'G-4 Temporal multipliers'!$A$4:$C$37,3,FALSE)),"")</f>
        <v/>
      </c>
      <c r="AE134" s="498" t="str">
        <f>IF(N134="","",VLOOKUP(N134,'G-7 Rivers Data'!$B$4:$G$8,5,FALSE))</f>
        <v/>
      </c>
      <c r="AF134" s="507" t="str">
        <f t="shared" si="13"/>
        <v/>
      </c>
      <c r="AG134" s="540" t="str">
        <f t="shared" si="14"/>
        <v/>
      </c>
      <c r="AH134" s="499" t="str">
        <f t="shared" si="8"/>
        <v/>
      </c>
      <c r="AI134" s="145"/>
      <c r="AJ134" s="499" t="str">
        <f>IF(AI134="","",IF(VLOOKUP(AI134,'G-7 Rivers Data'!$AA$4:$AB$7,2,FALSE)=0,"Spatial Data Missing ⚠",VLOOKUP(AI134,'G-7 Rivers Data'!$AA$4:$AB$7,2,FALSE)))</f>
        <v/>
      </c>
      <c r="AK134" s="155"/>
      <c r="AL134" s="499" t="str">
        <f>IF(AK134="","",IF(VLOOKUP(AK134,'G-7 Rivers Data'!$AD$4:$AE$8,2,FALSE)=0,"Spatial Data Missing ⚠",VLOOKUP(AK134,'G-7 Rivers Data'!$AD$4:$AE$8,2,FALSE)))</f>
        <v/>
      </c>
      <c r="AM134" s="545" t="str">
        <f t="shared" si="15"/>
        <v/>
      </c>
      <c r="AN134" s="149"/>
      <c r="AO134" s="150"/>
      <c r="AV134" s="31" t="str">
        <f>IFERROR(INDEX('G-7 Rivers Data'!$AZ$3:$AZ$7,MATCH(N134,'G-7 Rivers Data'!$AY$3:$AY$7,0)),"")</f>
        <v/>
      </c>
    </row>
    <row r="135" spans="2:48" ht="13.8" x14ac:dyDescent="0.25">
      <c r="B135" s="531" t="str">
        <f>'C-1 Site River Baseline'!AN133</f>
        <v/>
      </c>
      <c r="C135" s="520" t="str">
        <f>IF(B135="","",VLOOKUP($B135,'C-1 Site River Baseline'!$C$9:$R$257,2,FALSE))</f>
        <v/>
      </c>
      <c r="D135" s="520" t="str">
        <f>IF(C135="","",VLOOKUP($B135,'C-1 Site River Baseline'!$C$9:$R$257,3,FALSE))</f>
        <v/>
      </c>
      <c r="E135" s="520" t="str">
        <f>IF(D135="","",VLOOKUP($B135,'C-1 Site River Baseline'!$C$9:$R$257,4,FALSE))</f>
        <v/>
      </c>
      <c r="F135" s="520" t="str">
        <f>IF(E135="","",VLOOKUP($B135,'C-1 Site River Baseline'!$C$9:$R$257,5,FALSE))</f>
        <v/>
      </c>
      <c r="G135" s="520" t="str">
        <f>IF(F135="","",VLOOKUP($B135,'C-1 Site River Baseline'!$C$9:$R$257,6,FALSE))</f>
        <v/>
      </c>
      <c r="H135" s="520" t="str">
        <f>IF(G135="","",VLOOKUP($B135,'C-1 Site River Baseline'!$C$9:$R$257,7,FALSE))</f>
        <v/>
      </c>
      <c r="I135" s="520" t="str">
        <f>IF(H135="","",VLOOKUP($B135,'C-1 Site River Baseline'!$C$9:$R$257,8,FALSE))</f>
        <v/>
      </c>
      <c r="J135" s="520" t="str">
        <f>IF(I135="","",VLOOKUP($B135,'C-1 Site River Baseline'!$C$9:$R$257,9,FALSE))</f>
        <v/>
      </c>
      <c r="K135" s="520" t="str">
        <f>IF(J135="","",VLOOKUP($B135,'C-1 Site River Baseline'!$C$9:$R$257,10,FALSE))</f>
        <v/>
      </c>
      <c r="L135" s="520" t="str">
        <f>IF(B135="","",VLOOKUP($B135,'C-1 Site River Baseline'!$C$9:$R$257,15,FALSE))</f>
        <v/>
      </c>
      <c r="M135" s="524" t="str">
        <f>IF(L135="","",VLOOKUP($B135,'C-1 Site River Baseline'!$C$9:$R$257,16,FALSE))</f>
        <v/>
      </c>
      <c r="N135" s="418" t="str">
        <f t="shared" si="9"/>
        <v/>
      </c>
      <c r="O135" s="498" t="str">
        <f t="shared" si="10"/>
        <v/>
      </c>
      <c r="P135" s="499" t="str">
        <f>IF(C135="","",IF(AND(LEFT(C135,55)&lt;&gt;LEFT(N135,55),O135="High - High"),"Error - Not like for like ▲",IF(AND(F135=S135,H135&gt;U135),"Error - Can not reduce condition ▲",IF(AND(F135=S135,H135=U135,AJ135='C-1 Site River Baseline'!N133,'C-1 Site River Baseline'!P133=AL135),"Error - No enhancement ▲",IF(AND(C135&lt;&gt;N135,F135&lt;S135),"Lower Distinctiveness Habitat"&amp;" - "&amp;T135,G135&amp;" - "&amp;T135)))))</f>
        <v/>
      </c>
      <c r="Q135" s="567" t="str">
        <f>IF(N135="","",VLOOKUP(B135,'C-1 Site River Baseline'!$C$10:$AA$257,19,FALSE))</f>
        <v/>
      </c>
      <c r="R135" s="498" t="str">
        <f>IF(N135="","",VLOOKUP(N135,'G-7 Rivers Data'!$B$2:$G$8,2,FALSE))</f>
        <v/>
      </c>
      <c r="S135" s="499" t="str">
        <f>IFERROR(VLOOKUP(R135,'G-7 Rivers Data'!$C$4:$D$8,2,FALSE),"")</f>
        <v/>
      </c>
      <c r="T135" s="145"/>
      <c r="U135" s="499" t="str">
        <f>IFERROR(INDEX('G-7 Rivers Data'!$H$4:$L$8,MATCH(N135,'G-7 Rivers Data'!$B$4:$B$8,0),MATCH(T135,'G-7 Rivers Data'!$H$3:$L$3,0)),"")</f>
        <v/>
      </c>
      <c r="V135" s="154"/>
      <c r="W135" s="507" t="str">
        <f>IF(V135="","",IF(VLOOKUP(V135,'G-7 Rivers Data'!$AG$4:$AI$9,2,FALSE)=0,"Spatial Data Missing ⚠",VLOOKUP(V135,'G-7 Rivers Data'!$AG$4:$AI$9,2,FALSE)))</f>
        <v/>
      </c>
      <c r="X135" s="499" t="str">
        <f>IF(V135="","",IF(VLOOKUP(V135,'G-7 Rivers Data'!$AG$4:$AI$9,3,FALSE)=0,"Spatial Data Missing ⚠",VLOOKUP(V135,'G-7 Rivers Data'!$AG$4:$AI$9,3,FALSE)))</f>
        <v/>
      </c>
      <c r="Y135" s="498" t="str">
        <f>IFERROR(IF(OR(LEFT(P135,5)="Error ▲",LEFT(O135,5)="Error ▲"),"Check Data ⚠",IF(F135&lt;S135,'G-7 Rivers Data'!$R$3,INDEX('G-7 Rivers Data'!$U$5:$Y$9,MATCH(G135,'G-7 Rivers Data'!$T$5:$T$9,0),MATCH(T135,'G-7 Rivers Data'!$U$4:$Y$4,0)))),"")</f>
        <v/>
      </c>
      <c r="Z135" s="195"/>
      <c r="AA135" s="195"/>
      <c r="AB135" s="507" t="str">
        <f t="shared" si="11"/>
        <v/>
      </c>
      <c r="AC135" s="521" t="str">
        <f t="shared" si="12"/>
        <v/>
      </c>
      <c r="AD135" s="564" t="str">
        <f>IFERROR(IF(AC135="Check Data ⚠","Check Data ⚠",VLOOKUP(AC135,'G-4 Temporal multipliers'!$A$4:$C$37,3,FALSE)),"")</f>
        <v/>
      </c>
      <c r="AE135" s="498" t="str">
        <f>IF(N135="","",VLOOKUP(N135,'G-7 Rivers Data'!$B$4:$G$8,5,FALSE))</f>
        <v/>
      </c>
      <c r="AF135" s="507" t="str">
        <f t="shared" si="13"/>
        <v/>
      </c>
      <c r="AG135" s="540" t="str">
        <f t="shared" si="14"/>
        <v/>
      </c>
      <c r="AH135" s="499" t="str">
        <f t="shared" si="8"/>
        <v/>
      </c>
      <c r="AI135" s="145"/>
      <c r="AJ135" s="499" t="str">
        <f>IF(AI135="","",IF(VLOOKUP(AI135,'G-7 Rivers Data'!$AA$4:$AB$7,2,FALSE)=0,"Spatial Data Missing ⚠",VLOOKUP(AI135,'G-7 Rivers Data'!$AA$4:$AB$7,2,FALSE)))</f>
        <v/>
      </c>
      <c r="AK135" s="155"/>
      <c r="AL135" s="499" t="str">
        <f>IF(AK135="","",IF(VLOOKUP(AK135,'G-7 Rivers Data'!$AD$4:$AE$8,2,FALSE)=0,"Spatial Data Missing ⚠",VLOOKUP(AK135,'G-7 Rivers Data'!$AD$4:$AE$8,2,FALSE)))</f>
        <v/>
      </c>
      <c r="AM135" s="545" t="str">
        <f t="shared" si="15"/>
        <v/>
      </c>
      <c r="AN135" s="149"/>
      <c r="AO135" s="150"/>
      <c r="AV135" s="31" t="str">
        <f>IFERROR(INDEX('G-7 Rivers Data'!$AZ$3:$AZ$7,MATCH(N135,'G-7 Rivers Data'!$AY$3:$AY$7,0)),"")</f>
        <v/>
      </c>
    </row>
    <row r="136" spans="2:48" ht="13.8" x14ac:dyDescent="0.25">
      <c r="B136" s="531" t="str">
        <f>'C-1 Site River Baseline'!AN134</f>
        <v/>
      </c>
      <c r="C136" s="520" t="str">
        <f>IF(B136="","",VLOOKUP($B136,'C-1 Site River Baseline'!$C$9:$R$257,2,FALSE))</f>
        <v/>
      </c>
      <c r="D136" s="520" t="str">
        <f>IF(C136="","",VLOOKUP($B136,'C-1 Site River Baseline'!$C$9:$R$257,3,FALSE))</f>
        <v/>
      </c>
      <c r="E136" s="520" t="str">
        <f>IF(D136="","",VLOOKUP($B136,'C-1 Site River Baseline'!$C$9:$R$257,4,FALSE))</f>
        <v/>
      </c>
      <c r="F136" s="520" t="str">
        <f>IF(E136="","",VLOOKUP($B136,'C-1 Site River Baseline'!$C$9:$R$257,5,FALSE))</f>
        <v/>
      </c>
      <c r="G136" s="520" t="str">
        <f>IF(F136="","",VLOOKUP($B136,'C-1 Site River Baseline'!$C$9:$R$257,6,FALSE))</f>
        <v/>
      </c>
      <c r="H136" s="520" t="str">
        <f>IF(G136="","",VLOOKUP($B136,'C-1 Site River Baseline'!$C$9:$R$257,7,FALSE))</f>
        <v/>
      </c>
      <c r="I136" s="520" t="str">
        <f>IF(H136="","",VLOOKUP($B136,'C-1 Site River Baseline'!$C$9:$R$257,8,FALSE))</f>
        <v/>
      </c>
      <c r="J136" s="520" t="str">
        <f>IF(I136="","",VLOOKUP($B136,'C-1 Site River Baseline'!$C$9:$R$257,9,FALSE))</f>
        <v/>
      </c>
      <c r="K136" s="520" t="str">
        <f>IF(J136="","",VLOOKUP($B136,'C-1 Site River Baseline'!$C$9:$R$257,10,FALSE))</f>
        <v/>
      </c>
      <c r="L136" s="520" t="str">
        <f>IF(B136="","",VLOOKUP($B136,'C-1 Site River Baseline'!$C$9:$R$257,15,FALSE))</f>
        <v/>
      </c>
      <c r="M136" s="524" t="str">
        <f>IF(L136="","",VLOOKUP($B136,'C-1 Site River Baseline'!$C$9:$R$257,16,FALSE))</f>
        <v/>
      </c>
      <c r="N136" s="418" t="str">
        <f t="shared" si="9"/>
        <v/>
      </c>
      <c r="O136" s="498" t="str">
        <f t="shared" si="10"/>
        <v/>
      </c>
      <c r="P136" s="499" t="str">
        <f>IF(C136="","",IF(AND(LEFT(C136,55)&lt;&gt;LEFT(N136,55),O136="High - High"),"Error - Not like for like ▲",IF(AND(F136=S136,H136&gt;U136),"Error - Can not reduce condition ▲",IF(AND(F136=S136,H136=U136,AJ136='C-1 Site River Baseline'!N134,'C-1 Site River Baseline'!P134=AL136),"Error - No enhancement ▲",IF(AND(C136&lt;&gt;N136,F136&lt;S136),"Lower Distinctiveness Habitat"&amp;" - "&amp;T136,G136&amp;" - "&amp;T136)))))</f>
        <v/>
      </c>
      <c r="Q136" s="567" t="str">
        <f>IF(N136="","",VLOOKUP(B136,'C-1 Site River Baseline'!$C$10:$AA$257,19,FALSE))</f>
        <v/>
      </c>
      <c r="R136" s="498" t="str">
        <f>IF(N136="","",VLOOKUP(N136,'G-7 Rivers Data'!$B$2:$G$8,2,FALSE))</f>
        <v/>
      </c>
      <c r="S136" s="499" t="str">
        <f>IFERROR(VLOOKUP(R136,'G-7 Rivers Data'!$C$4:$D$8,2,FALSE),"")</f>
        <v/>
      </c>
      <c r="T136" s="145"/>
      <c r="U136" s="499" t="str">
        <f>IFERROR(INDEX('G-7 Rivers Data'!$H$4:$L$8,MATCH(N136,'G-7 Rivers Data'!$B$4:$B$8,0),MATCH(T136,'G-7 Rivers Data'!$H$3:$L$3,0)),"")</f>
        <v/>
      </c>
      <c r="V136" s="154"/>
      <c r="W136" s="507" t="str">
        <f>IF(V136="","",IF(VLOOKUP(V136,'G-7 Rivers Data'!$AG$4:$AI$9,2,FALSE)=0,"Spatial Data Missing ⚠",VLOOKUP(V136,'G-7 Rivers Data'!$AG$4:$AI$9,2,FALSE)))</f>
        <v/>
      </c>
      <c r="X136" s="499" t="str">
        <f>IF(V136="","",IF(VLOOKUP(V136,'G-7 Rivers Data'!$AG$4:$AI$9,3,FALSE)=0,"Spatial Data Missing ⚠",VLOOKUP(V136,'G-7 Rivers Data'!$AG$4:$AI$9,3,FALSE)))</f>
        <v/>
      </c>
      <c r="Y136" s="498" t="str">
        <f>IFERROR(IF(OR(LEFT(P136,5)="Error ▲",LEFT(O136,5)="Error ▲"),"Check Data ⚠",IF(F136&lt;S136,'G-7 Rivers Data'!$R$3,INDEX('G-7 Rivers Data'!$U$5:$Y$9,MATCH(G136,'G-7 Rivers Data'!$T$5:$T$9,0),MATCH(T136,'G-7 Rivers Data'!$U$4:$Y$4,0)))),"")</f>
        <v/>
      </c>
      <c r="Z136" s="195"/>
      <c r="AA136" s="195"/>
      <c r="AB136" s="507" t="str">
        <f t="shared" si="11"/>
        <v/>
      </c>
      <c r="AC136" s="521" t="str">
        <f t="shared" si="12"/>
        <v/>
      </c>
      <c r="AD136" s="564" t="str">
        <f>IFERROR(IF(AC136="Check Data ⚠","Check Data ⚠",VLOOKUP(AC136,'G-4 Temporal multipliers'!$A$4:$C$37,3,FALSE)),"")</f>
        <v/>
      </c>
      <c r="AE136" s="498" t="str">
        <f>IF(N136="","",VLOOKUP(N136,'G-7 Rivers Data'!$B$4:$G$8,5,FALSE))</f>
        <v/>
      </c>
      <c r="AF136" s="507" t="str">
        <f t="shared" si="13"/>
        <v/>
      </c>
      <c r="AG136" s="540" t="str">
        <f t="shared" si="14"/>
        <v/>
      </c>
      <c r="AH136" s="499" t="str">
        <f t="shared" si="8"/>
        <v/>
      </c>
      <c r="AI136" s="145"/>
      <c r="AJ136" s="499" t="str">
        <f>IF(AI136="","",IF(VLOOKUP(AI136,'G-7 Rivers Data'!$AA$4:$AB$7,2,FALSE)=0,"Spatial Data Missing ⚠",VLOOKUP(AI136,'G-7 Rivers Data'!$AA$4:$AB$7,2,FALSE)))</f>
        <v/>
      </c>
      <c r="AK136" s="155"/>
      <c r="AL136" s="499" t="str">
        <f>IF(AK136="","",IF(VLOOKUP(AK136,'G-7 Rivers Data'!$AD$4:$AE$8,2,FALSE)=0,"Spatial Data Missing ⚠",VLOOKUP(AK136,'G-7 Rivers Data'!$AD$4:$AE$8,2,FALSE)))</f>
        <v/>
      </c>
      <c r="AM136" s="545" t="str">
        <f t="shared" si="15"/>
        <v/>
      </c>
      <c r="AN136" s="149"/>
      <c r="AO136" s="150"/>
      <c r="AV136" s="31" t="str">
        <f>IFERROR(INDEX('G-7 Rivers Data'!$AZ$3:$AZ$7,MATCH(N136,'G-7 Rivers Data'!$AY$3:$AY$7,0)),"")</f>
        <v/>
      </c>
    </row>
    <row r="137" spans="2:48" ht="13.8" x14ac:dyDescent="0.25">
      <c r="B137" s="531" t="str">
        <f>'C-1 Site River Baseline'!AN135</f>
        <v/>
      </c>
      <c r="C137" s="520" t="str">
        <f>IF(B137="","",VLOOKUP($B137,'C-1 Site River Baseline'!$C$9:$R$257,2,FALSE))</f>
        <v/>
      </c>
      <c r="D137" s="520" t="str">
        <f>IF(C137="","",VLOOKUP($B137,'C-1 Site River Baseline'!$C$9:$R$257,3,FALSE))</f>
        <v/>
      </c>
      <c r="E137" s="520" t="str">
        <f>IF(D137="","",VLOOKUP($B137,'C-1 Site River Baseline'!$C$9:$R$257,4,FALSE))</f>
        <v/>
      </c>
      <c r="F137" s="520" t="str">
        <f>IF(E137="","",VLOOKUP($B137,'C-1 Site River Baseline'!$C$9:$R$257,5,FALSE))</f>
        <v/>
      </c>
      <c r="G137" s="520" t="str">
        <f>IF(F137="","",VLOOKUP($B137,'C-1 Site River Baseline'!$C$9:$R$257,6,FALSE))</f>
        <v/>
      </c>
      <c r="H137" s="520" t="str">
        <f>IF(G137="","",VLOOKUP($B137,'C-1 Site River Baseline'!$C$9:$R$257,7,FALSE))</f>
        <v/>
      </c>
      <c r="I137" s="520" t="str">
        <f>IF(H137="","",VLOOKUP($B137,'C-1 Site River Baseline'!$C$9:$R$257,8,FALSE))</f>
        <v/>
      </c>
      <c r="J137" s="520" t="str">
        <f>IF(I137="","",VLOOKUP($B137,'C-1 Site River Baseline'!$C$9:$R$257,9,FALSE))</f>
        <v/>
      </c>
      <c r="K137" s="520" t="str">
        <f>IF(J137="","",VLOOKUP($B137,'C-1 Site River Baseline'!$C$9:$R$257,10,FALSE))</f>
        <v/>
      </c>
      <c r="L137" s="520" t="str">
        <f>IF(B137="","",VLOOKUP($B137,'C-1 Site River Baseline'!$C$9:$R$257,15,FALSE))</f>
        <v/>
      </c>
      <c r="M137" s="524" t="str">
        <f>IF(L137="","",VLOOKUP($B137,'C-1 Site River Baseline'!$C$9:$R$257,16,FALSE))</f>
        <v/>
      </c>
      <c r="N137" s="418" t="str">
        <f t="shared" si="9"/>
        <v/>
      </c>
      <c r="O137" s="498" t="str">
        <f t="shared" si="10"/>
        <v/>
      </c>
      <c r="P137" s="499" t="str">
        <f>IF(C137="","",IF(AND(LEFT(C137,55)&lt;&gt;LEFT(N137,55),O137="High - High"),"Error - Not like for like ▲",IF(AND(F137=S137,H137&gt;U137),"Error - Can not reduce condition ▲",IF(AND(F137=S137,H137=U137,AJ137='C-1 Site River Baseline'!N135,'C-1 Site River Baseline'!P135=AL137),"Error - No enhancement ▲",IF(AND(C137&lt;&gt;N137,F137&lt;S137),"Lower Distinctiveness Habitat"&amp;" - "&amp;T137,G137&amp;" - "&amp;T137)))))</f>
        <v/>
      </c>
      <c r="Q137" s="567" t="str">
        <f>IF(N137="","",VLOOKUP(B137,'C-1 Site River Baseline'!$C$10:$AA$257,19,FALSE))</f>
        <v/>
      </c>
      <c r="R137" s="498" t="str">
        <f>IF(N137="","",VLOOKUP(N137,'G-7 Rivers Data'!$B$2:$G$8,2,FALSE))</f>
        <v/>
      </c>
      <c r="S137" s="499" t="str">
        <f>IFERROR(VLOOKUP(R137,'G-7 Rivers Data'!$C$4:$D$8,2,FALSE),"")</f>
        <v/>
      </c>
      <c r="T137" s="145"/>
      <c r="U137" s="499" t="str">
        <f>IFERROR(INDEX('G-7 Rivers Data'!$H$4:$L$8,MATCH(N137,'G-7 Rivers Data'!$B$4:$B$8,0),MATCH(T137,'G-7 Rivers Data'!$H$3:$L$3,0)),"")</f>
        <v/>
      </c>
      <c r="V137" s="154"/>
      <c r="W137" s="507" t="str">
        <f>IF(V137="","",IF(VLOOKUP(V137,'G-7 Rivers Data'!$AG$4:$AI$9,2,FALSE)=0,"Spatial Data Missing ⚠",VLOOKUP(V137,'G-7 Rivers Data'!$AG$4:$AI$9,2,FALSE)))</f>
        <v/>
      </c>
      <c r="X137" s="499" t="str">
        <f>IF(V137="","",IF(VLOOKUP(V137,'G-7 Rivers Data'!$AG$4:$AI$9,3,FALSE)=0,"Spatial Data Missing ⚠",VLOOKUP(V137,'G-7 Rivers Data'!$AG$4:$AI$9,3,FALSE)))</f>
        <v/>
      </c>
      <c r="Y137" s="498" t="str">
        <f>IFERROR(IF(OR(LEFT(P137,5)="Error ▲",LEFT(O137,5)="Error ▲"),"Check Data ⚠",IF(F137&lt;S137,'G-7 Rivers Data'!$R$3,INDEX('G-7 Rivers Data'!$U$5:$Y$9,MATCH(G137,'G-7 Rivers Data'!$T$5:$T$9,0),MATCH(T137,'G-7 Rivers Data'!$U$4:$Y$4,0)))),"")</f>
        <v/>
      </c>
      <c r="Z137" s="195"/>
      <c r="AA137" s="195"/>
      <c r="AB137" s="507" t="str">
        <f t="shared" si="11"/>
        <v/>
      </c>
      <c r="AC137" s="521" t="str">
        <f t="shared" si="12"/>
        <v/>
      </c>
      <c r="AD137" s="564" t="str">
        <f>IFERROR(IF(AC137="Check Data ⚠","Check Data ⚠",VLOOKUP(AC137,'G-4 Temporal multipliers'!$A$4:$C$37,3,FALSE)),"")</f>
        <v/>
      </c>
      <c r="AE137" s="498" t="str">
        <f>IF(N137="","",VLOOKUP(N137,'G-7 Rivers Data'!$B$4:$G$8,5,FALSE))</f>
        <v/>
      </c>
      <c r="AF137" s="507" t="str">
        <f t="shared" si="13"/>
        <v/>
      </c>
      <c r="AG137" s="540" t="str">
        <f t="shared" si="14"/>
        <v/>
      </c>
      <c r="AH137" s="499" t="str">
        <f t="shared" si="8"/>
        <v/>
      </c>
      <c r="AI137" s="145"/>
      <c r="AJ137" s="499" t="str">
        <f>IF(AI137="","",IF(VLOOKUP(AI137,'G-7 Rivers Data'!$AA$4:$AB$7,2,FALSE)=0,"Spatial Data Missing ⚠",VLOOKUP(AI137,'G-7 Rivers Data'!$AA$4:$AB$7,2,FALSE)))</f>
        <v/>
      </c>
      <c r="AK137" s="155"/>
      <c r="AL137" s="499" t="str">
        <f>IF(AK137="","",IF(VLOOKUP(AK137,'G-7 Rivers Data'!$AD$4:$AE$8,2,FALSE)=0,"Spatial Data Missing ⚠",VLOOKUP(AK137,'G-7 Rivers Data'!$AD$4:$AE$8,2,FALSE)))</f>
        <v/>
      </c>
      <c r="AM137" s="545" t="str">
        <f t="shared" si="15"/>
        <v/>
      </c>
      <c r="AN137" s="149"/>
      <c r="AO137" s="150"/>
      <c r="AV137" s="31" t="str">
        <f>IFERROR(INDEX('G-7 Rivers Data'!$AZ$3:$AZ$7,MATCH(N137,'G-7 Rivers Data'!$AY$3:$AY$7,0)),"")</f>
        <v/>
      </c>
    </row>
    <row r="138" spans="2:48" ht="13.8" x14ac:dyDescent="0.25">
      <c r="B138" s="531" t="str">
        <f>'C-1 Site River Baseline'!AN136</f>
        <v/>
      </c>
      <c r="C138" s="520" t="str">
        <f>IF(B138="","",VLOOKUP($B138,'C-1 Site River Baseline'!$C$9:$R$257,2,FALSE))</f>
        <v/>
      </c>
      <c r="D138" s="520" t="str">
        <f>IF(C138="","",VLOOKUP($B138,'C-1 Site River Baseline'!$C$9:$R$257,3,FALSE))</f>
        <v/>
      </c>
      <c r="E138" s="520" t="str">
        <f>IF(D138="","",VLOOKUP($B138,'C-1 Site River Baseline'!$C$9:$R$257,4,FALSE))</f>
        <v/>
      </c>
      <c r="F138" s="520" t="str">
        <f>IF(E138="","",VLOOKUP($B138,'C-1 Site River Baseline'!$C$9:$R$257,5,FALSE))</f>
        <v/>
      </c>
      <c r="G138" s="520" t="str">
        <f>IF(F138="","",VLOOKUP($B138,'C-1 Site River Baseline'!$C$9:$R$257,6,FALSE))</f>
        <v/>
      </c>
      <c r="H138" s="520" t="str">
        <f>IF(G138="","",VLOOKUP($B138,'C-1 Site River Baseline'!$C$9:$R$257,7,FALSE))</f>
        <v/>
      </c>
      <c r="I138" s="520" t="str">
        <f>IF(H138="","",VLOOKUP($B138,'C-1 Site River Baseline'!$C$9:$R$257,8,FALSE))</f>
        <v/>
      </c>
      <c r="J138" s="520" t="str">
        <f>IF(I138="","",VLOOKUP($B138,'C-1 Site River Baseline'!$C$9:$R$257,9,FALSE))</f>
        <v/>
      </c>
      <c r="K138" s="520" t="str">
        <f>IF(J138="","",VLOOKUP($B138,'C-1 Site River Baseline'!$C$9:$R$257,10,FALSE))</f>
        <v/>
      </c>
      <c r="L138" s="520" t="str">
        <f>IF(B138="","",VLOOKUP($B138,'C-1 Site River Baseline'!$C$9:$R$257,15,FALSE))</f>
        <v/>
      </c>
      <c r="M138" s="524" t="str">
        <f>IF(L138="","",VLOOKUP($B138,'C-1 Site River Baseline'!$C$9:$R$257,16,FALSE))</f>
        <v/>
      </c>
      <c r="N138" s="418" t="str">
        <f t="shared" si="9"/>
        <v/>
      </c>
      <c r="O138" s="498" t="str">
        <f t="shared" si="10"/>
        <v/>
      </c>
      <c r="P138" s="499" t="str">
        <f>IF(C138="","",IF(AND(LEFT(C138,55)&lt;&gt;LEFT(N138,55),O138="High - High"),"Error - Not like for like ▲",IF(AND(F138=S138,H138&gt;U138),"Error - Can not reduce condition ▲",IF(AND(F138=S138,H138=U138,AJ138='C-1 Site River Baseline'!N136,'C-1 Site River Baseline'!P136=AL138),"Error - No enhancement ▲",IF(AND(C138&lt;&gt;N138,F138&lt;S138),"Lower Distinctiveness Habitat"&amp;" - "&amp;T138,G138&amp;" - "&amp;T138)))))</f>
        <v/>
      </c>
      <c r="Q138" s="567" t="str">
        <f>IF(N138="","",VLOOKUP(B138,'C-1 Site River Baseline'!$C$10:$AA$257,19,FALSE))</f>
        <v/>
      </c>
      <c r="R138" s="498" t="str">
        <f>IF(N138="","",VLOOKUP(N138,'G-7 Rivers Data'!$B$2:$G$8,2,FALSE))</f>
        <v/>
      </c>
      <c r="S138" s="499" t="str">
        <f>IFERROR(VLOOKUP(R138,'G-7 Rivers Data'!$C$4:$D$8,2,FALSE),"")</f>
        <v/>
      </c>
      <c r="T138" s="145"/>
      <c r="U138" s="499" t="str">
        <f>IFERROR(INDEX('G-7 Rivers Data'!$H$4:$L$8,MATCH(N138,'G-7 Rivers Data'!$B$4:$B$8,0),MATCH(T138,'G-7 Rivers Data'!$H$3:$L$3,0)),"")</f>
        <v/>
      </c>
      <c r="V138" s="154"/>
      <c r="W138" s="507" t="str">
        <f>IF(V138="","",IF(VLOOKUP(V138,'G-7 Rivers Data'!$AG$4:$AI$9,2,FALSE)=0,"Spatial Data Missing ⚠",VLOOKUP(V138,'G-7 Rivers Data'!$AG$4:$AI$9,2,FALSE)))</f>
        <v/>
      </c>
      <c r="X138" s="499" t="str">
        <f>IF(V138="","",IF(VLOOKUP(V138,'G-7 Rivers Data'!$AG$4:$AI$9,3,FALSE)=0,"Spatial Data Missing ⚠",VLOOKUP(V138,'G-7 Rivers Data'!$AG$4:$AI$9,3,FALSE)))</f>
        <v/>
      </c>
      <c r="Y138" s="498" t="str">
        <f>IFERROR(IF(OR(LEFT(P138,5)="Error ▲",LEFT(O138,5)="Error ▲"),"Check Data ⚠",IF(F138&lt;S138,'G-7 Rivers Data'!$R$3,INDEX('G-7 Rivers Data'!$U$5:$Y$9,MATCH(G138,'G-7 Rivers Data'!$T$5:$T$9,0),MATCH(T138,'G-7 Rivers Data'!$U$4:$Y$4,0)))),"")</f>
        <v/>
      </c>
      <c r="Z138" s="195"/>
      <c r="AA138" s="195"/>
      <c r="AB138" s="507" t="str">
        <f t="shared" si="11"/>
        <v/>
      </c>
      <c r="AC138" s="521" t="str">
        <f t="shared" si="12"/>
        <v/>
      </c>
      <c r="AD138" s="564" t="str">
        <f>IFERROR(IF(AC138="Check Data ⚠","Check Data ⚠",VLOOKUP(AC138,'G-4 Temporal multipliers'!$A$4:$C$37,3,FALSE)),"")</f>
        <v/>
      </c>
      <c r="AE138" s="498" t="str">
        <f>IF(N138="","",VLOOKUP(N138,'G-7 Rivers Data'!$B$4:$G$8,5,FALSE))</f>
        <v/>
      </c>
      <c r="AF138" s="507" t="str">
        <f t="shared" si="13"/>
        <v/>
      </c>
      <c r="AG138" s="540" t="str">
        <f t="shared" si="14"/>
        <v/>
      </c>
      <c r="AH138" s="499" t="str">
        <f t="shared" si="8"/>
        <v/>
      </c>
      <c r="AI138" s="145"/>
      <c r="AJ138" s="499" t="str">
        <f>IF(AI138="","",IF(VLOOKUP(AI138,'G-7 Rivers Data'!$AA$4:$AB$7,2,FALSE)=0,"Spatial Data Missing ⚠",VLOOKUP(AI138,'G-7 Rivers Data'!$AA$4:$AB$7,2,FALSE)))</f>
        <v/>
      </c>
      <c r="AK138" s="155"/>
      <c r="AL138" s="499" t="str">
        <f>IF(AK138="","",IF(VLOOKUP(AK138,'G-7 Rivers Data'!$AD$4:$AE$8,2,FALSE)=0,"Spatial Data Missing ⚠",VLOOKUP(AK138,'G-7 Rivers Data'!$AD$4:$AE$8,2,FALSE)))</f>
        <v/>
      </c>
      <c r="AM138" s="545" t="str">
        <f t="shared" si="15"/>
        <v/>
      </c>
      <c r="AN138" s="149"/>
      <c r="AO138" s="150"/>
      <c r="AV138" s="31" t="str">
        <f>IFERROR(INDEX('G-7 Rivers Data'!$AZ$3:$AZ$7,MATCH(N138,'G-7 Rivers Data'!$AY$3:$AY$7,0)),"")</f>
        <v/>
      </c>
    </row>
    <row r="139" spans="2:48" ht="13.8" x14ac:dyDescent="0.25">
      <c r="B139" s="531" t="str">
        <f>'C-1 Site River Baseline'!AN137</f>
        <v/>
      </c>
      <c r="C139" s="520" t="str">
        <f>IF(B139="","",VLOOKUP($B139,'C-1 Site River Baseline'!$C$9:$R$257,2,FALSE))</f>
        <v/>
      </c>
      <c r="D139" s="520" t="str">
        <f>IF(C139="","",VLOOKUP($B139,'C-1 Site River Baseline'!$C$9:$R$257,3,FALSE))</f>
        <v/>
      </c>
      <c r="E139" s="520" t="str">
        <f>IF(D139="","",VLOOKUP($B139,'C-1 Site River Baseline'!$C$9:$R$257,4,FALSE))</f>
        <v/>
      </c>
      <c r="F139" s="520" t="str">
        <f>IF(E139="","",VLOOKUP($B139,'C-1 Site River Baseline'!$C$9:$R$257,5,FALSE))</f>
        <v/>
      </c>
      <c r="G139" s="520" t="str">
        <f>IF(F139="","",VLOOKUP($B139,'C-1 Site River Baseline'!$C$9:$R$257,6,FALSE))</f>
        <v/>
      </c>
      <c r="H139" s="520" t="str">
        <f>IF(G139="","",VLOOKUP($B139,'C-1 Site River Baseline'!$C$9:$R$257,7,FALSE))</f>
        <v/>
      </c>
      <c r="I139" s="520" t="str">
        <f>IF(H139="","",VLOOKUP($B139,'C-1 Site River Baseline'!$C$9:$R$257,8,FALSE))</f>
        <v/>
      </c>
      <c r="J139" s="520" t="str">
        <f>IF(I139="","",VLOOKUP($B139,'C-1 Site River Baseline'!$C$9:$R$257,9,FALSE))</f>
        <v/>
      </c>
      <c r="K139" s="520" t="str">
        <f>IF(J139="","",VLOOKUP($B139,'C-1 Site River Baseline'!$C$9:$R$257,10,FALSE))</f>
        <v/>
      </c>
      <c r="L139" s="520" t="str">
        <f>IF(B139="","",VLOOKUP($B139,'C-1 Site River Baseline'!$C$9:$R$257,15,FALSE))</f>
        <v/>
      </c>
      <c r="M139" s="524" t="str">
        <f>IF(L139="","",VLOOKUP($B139,'C-1 Site River Baseline'!$C$9:$R$257,16,FALSE))</f>
        <v/>
      </c>
      <c r="N139" s="418" t="str">
        <f t="shared" si="9"/>
        <v/>
      </c>
      <c r="O139" s="498" t="str">
        <f t="shared" si="10"/>
        <v/>
      </c>
      <c r="P139" s="499" t="str">
        <f>IF(C139="","",IF(AND(LEFT(C139,55)&lt;&gt;LEFT(N139,55),O139="High - High"),"Error - Not like for like ▲",IF(AND(F139=S139,H139&gt;U139),"Error - Can not reduce condition ▲",IF(AND(F139=S139,H139=U139,AJ139='C-1 Site River Baseline'!N137,'C-1 Site River Baseline'!P137=AL139),"Error - No enhancement ▲",IF(AND(C139&lt;&gt;N139,F139&lt;S139),"Lower Distinctiveness Habitat"&amp;" - "&amp;T139,G139&amp;" - "&amp;T139)))))</f>
        <v/>
      </c>
      <c r="Q139" s="567" t="str">
        <f>IF(N139="","",VLOOKUP(B139,'C-1 Site River Baseline'!$C$10:$AA$257,19,FALSE))</f>
        <v/>
      </c>
      <c r="R139" s="498" t="str">
        <f>IF(N139="","",VLOOKUP(N139,'G-7 Rivers Data'!$B$2:$G$8,2,FALSE))</f>
        <v/>
      </c>
      <c r="S139" s="499" t="str">
        <f>IFERROR(VLOOKUP(R139,'G-7 Rivers Data'!$C$4:$D$8,2,FALSE),"")</f>
        <v/>
      </c>
      <c r="T139" s="145"/>
      <c r="U139" s="499" t="str">
        <f>IFERROR(INDEX('G-7 Rivers Data'!$H$4:$L$8,MATCH(N139,'G-7 Rivers Data'!$B$4:$B$8,0),MATCH(T139,'G-7 Rivers Data'!$H$3:$L$3,0)),"")</f>
        <v/>
      </c>
      <c r="V139" s="154"/>
      <c r="W139" s="507" t="str">
        <f>IF(V139="","",IF(VLOOKUP(V139,'G-7 Rivers Data'!$AG$4:$AI$9,2,FALSE)=0,"Spatial Data Missing ⚠",VLOOKUP(V139,'G-7 Rivers Data'!$AG$4:$AI$9,2,FALSE)))</f>
        <v/>
      </c>
      <c r="X139" s="499" t="str">
        <f>IF(V139="","",IF(VLOOKUP(V139,'G-7 Rivers Data'!$AG$4:$AI$9,3,FALSE)=0,"Spatial Data Missing ⚠",VLOOKUP(V139,'G-7 Rivers Data'!$AG$4:$AI$9,3,FALSE)))</f>
        <v/>
      </c>
      <c r="Y139" s="498" t="str">
        <f>IFERROR(IF(OR(LEFT(P139,5)="Error ▲",LEFT(O139,5)="Error ▲"),"Check Data ⚠",IF(F139&lt;S139,'G-7 Rivers Data'!$R$3,INDEX('G-7 Rivers Data'!$U$5:$Y$9,MATCH(G139,'G-7 Rivers Data'!$T$5:$T$9,0),MATCH(T139,'G-7 Rivers Data'!$U$4:$Y$4,0)))),"")</f>
        <v/>
      </c>
      <c r="Z139" s="195"/>
      <c r="AA139" s="195"/>
      <c r="AB139" s="507" t="str">
        <f t="shared" si="11"/>
        <v/>
      </c>
      <c r="AC139" s="521" t="str">
        <f t="shared" si="12"/>
        <v/>
      </c>
      <c r="AD139" s="564" t="str">
        <f>IFERROR(IF(AC139="Check Data ⚠","Check Data ⚠",VLOOKUP(AC139,'G-4 Temporal multipliers'!$A$4:$C$37,3,FALSE)),"")</f>
        <v/>
      </c>
      <c r="AE139" s="498" t="str">
        <f>IF(N139="","",VLOOKUP(N139,'G-7 Rivers Data'!$B$4:$G$8,5,FALSE))</f>
        <v/>
      </c>
      <c r="AF139" s="507" t="str">
        <f t="shared" si="13"/>
        <v/>
      </c>
      <c r="AG139" s="540" t="str">
        <f t="shared" si="14"/>
        <v/>
      </c>
      <c r="AH139" s="499" t="str">
        <f t="shared" si="8"/>
        <v/>
      </c>
      <c r="AI139" s="145"/>
      <c r="AJ139" s="499" t="str">
        <f>IF(AI139="","",IF(VLOOKUP(AI139,'G-7 Rivers Data'!$AA$4:$AB$7,2,FALSE)=0,"Spatial Data Missing ⚠",VLOOKUP(AI139,'G-7 Rivers Data'!$AA$4:$AB$7,2,FALSE)))</f>
        <v/>
      </c>
      <c r="AK139" s="155"/>
      <c r="AL139" s="499" t="str">
        <f>IF(AK139="","",IF(VLOOKUP(AK139,'G-7 Rivers Data'!$AD$4:$AE$8,2,FALSE)=0,"Spatial Data Missing ⚠",VLOOKUP(AK139,'G-7 Rivers Data'!$AD$4:$AE$8,2,FALSE)))</f>
        <v/>
      </c>
      <c r="AM139" s="545" t="str">
        <f t="shared" si="15"/>
        <v/>
      </c>
      <c r="AN139" s="149"/>
      <c r="AO139" s="150"/>
      <c r="AV139" s="31" t="str">
        <f>IFERROR(INDEX('G-7 Rivers Data'!$AZ$3:$AZ$7,MATCH(N139,'G-7 Rivers Data'!$AY$3:$AY$7,0)),"")</f>
        <v/>
      </c>
    </row>
    <row r="140" spans="2:48" ht="13.8" x14ac:dyDescent="0.25">
      <c r="B140" s="531" t="str">
        <f>'C-1 Site River Baseline'!AN138</f>
        <v/>
      </c>
      <c r="C140" s="520" t="str">
        <f>IF(B140="","",VLOOKUP($B140,'C-1 Site River Baseline'!$C$9:$R$257,2,FALSE))</f>
        <v/>
      </c>
      <c r="D140" s="520" t="str">
        <f>IF(C140="","",VLOOKUP($B140,'C-1 Site River Baseline'!$C$9:$R$257,3,FALSE))</f>
        <v/>
      </c>
      <c r="E140" s="520" t="str">
        <f>IF(D140="","",VLOOKUP($B140,'C-1 Site River Baseline'!$C$9:$R$257,4,FALSE))</f>
        <v/>
      </c>
      <c r="F140" s="520" t="str">
        <f>IF(E140="","",VLOOKUP($B140,'C-1 Site River Baseline'!$C$9:$R$257,5,FALSE))</f>
        <v/>
      </c>
      <c r="G140" s="520" t="str">
        <f>IF(F140="","",VLOOKUP($B140,'C-1 Site River Baseline'!$C$9:$R$257,6,FALSE))</f>
        <v/>
      </c>
      <c r="H140" s="520" t="str">
        <f>IF(G140="","",VLOOKUP($B140,'C-1 Site River Baseline'!$C$9:$R$257,7,FALSE))</f>
        <v/>
      </c>
      <c r="I140" s="520" t="str">
        <f>IF(H140="","",VLOOKUP($B140,'C-1 Site River Baseline'!$C$9:$R$257,8,FALSE))</f>
        <v/>
      </c>
      <c r="J140" s="520" t="str">
        <f>IF(I140="","",VLOOKUP($B140,'C-1 Site River Baseline'!$C$9:$R$257,9,FALSE))</f>
        <v/>
      </c>
      <c r="K140" s="520" t="str">
        <f>IF(J140="","",VLOOKUP($B140,'C-1 Site River Baseline'!$C$9:$R$257,10,FALSE))</f>
        <v/>
      </c>
      <c r="L140" s="520" t="str">
        <f>IF(B140="","",VLOOKUP($B140,'C-1 Site River Baseline'!$C$9:$R$257,15,FALSE))</f>
        <v/>
      </c>
      <c r="M140" s="524" t="str">
        <f>IF(L140="","",VLOOKUP($B140,'C-1 Site River Baseline'!$C$9:$R$257,16,FALSE))</f>
        <v/>
      </c>
      <c r="N140" s="418" t="str">
        <f t="shared" si="9"/>
        <v/>
      </c>
      <c r="O140" s="498" t="str">
        <f t="shared" si="10"/>
        <v/>
      </c>
      <c r="P140" s="499" t="str">
        <f>IF(C140="","",IF(AND(LEFT(C140,55)&lt;&gt;LEFT(N140,55),O140="High - High"),"Error - Not like for like ▲",IF(AND(F140=S140,H140&gt;U140),"Error - Can not reduce condition ▲",IF(AND(F140=S140,H140=U140,AJ140='C-1 Site River Baseline'!N138,'C-1 Site River Baseline'!P138=AL140),"Error - No enhancement ▲",IF(AND(C140&lt;&gt;N140,F140&lt;S140),"Lower Distinctiveness Habitat"&amp;" - "&amp;T140,G140&amp;" - "&amp;T140)))))</f>
        <v/>
      </c>
      <c r="Q140" s="567" t="str">
        <f>IF(N140="","",VLOOKUP(B140,'C-1 Site River Baseline'!$C$10:$AA$257,19,FALSE))</f>
        <v/>
      </c>
      <c r="R140" s="498" t="str">
        <f>IF(N140="","",VLOOKUP(N140,'G-7 Rivers Data'!$B$2:$G$8,2,FALSE))</f>
        <v/>
      </c>
      <c r="S140" s="499" t="str">
        <f>IFERROR(VLOOKUP(R140,'G-7 Rivers Data'!$C$4:$D$8,2,FALSE),"")</f>
        <v/>
      </c>
      <c r="T140" s="145"/>
      <c r="U140" s="499" t="str">
        <f>IFERROR(INDEX('G-7 Rivers Data'!$H$4:$L$8,MATCH(N140,'G-7 Rivers Data'!$B$4:$B$8,0),MATCH(T140,'G-7 Rivers Data'!$H$3:$L$3,0)),"")</f>
        <v/>
      </c>
      <c r="V140" s="154"/>
      <c r="W140" s="507" t="str">
        <f>IF(V140="","",IF(VLOOKUP(V140,'G-7 Rivers Data'!$AG$4:$AI$9,2,FALSE)=0,"Spatial Data Missing ⚠",VLOOKUP(V140,'G-7 Rivers Data'!$AG$4:$AI$9,2,FALSE)))</f>
        <v/>
      </c>
      <c r="X140" s="499" t="str">
        <f>IF(V140="","",IF(VLOOKUP(V140,'G-7 Rivers Data'!$AG$4:$AI$9,3,FALSE)=0,"Spatial Data Missing ⚠",VLOOKUP(V140,'G-7 Rivers Data'!$AG$4:$AI$9,3,FALSE)))</f>
        <v/>
      </c>
      <c r="Y140" s="498" t="str">
        <f>IFERROR(IF(OR(LEFT(P140,5)="Error ▲",LEFT(O140,5)="Error ▲"),"Check Data ⚠",IF(F140&lt;S140,'G-7 Rivers Data'!$R$3,INDEX('G-7 Rivers Data'!$U$5:$Y$9,MATCH(G140,'G-7 Rivers Data'!$T$5:$T$9,0),MATCH(T140,'G-7 Rivers Data'!$U$4:$Y$4,0)))),"")</f>
        <v/>
      </c>
      <c r="Z140" s="195"/>
      <c r="AA140" s="195"/>
      <c r="AB140" s="507" t="str">
        <f t="shared" si="11"/>
        <v/>
      </c>
      <c r="AC140" s="521" t="str">
        <f t="shared" si="12"/>
        <v/>
      </c>
      <c r="AD140" s="564" t="str">
        <f>IFERROR(IF(AC140="Check Data ⚠","Check Data ⚠",VLOOKUP(AC140,'G-4 Temporal multipliers'!$A$4:$C$37,3,FALSE)),"")</f>
        <v/>
      </c>
      <c r="AE140" s="498" t="str">
        <f>IF(N140="","",VLOOKUP(N140,'G-7 Rivers Data'!$B$4:$G$8,5,FALSE))</f>
        <v/>
      </c>
      <c r="AF140" s="507" t="str">
        <f t="shared" si="13"/>
        <v/>
      </c>
      <c r="AG140" s="540" t="str">
        <f t="shared" si="14"/>
        <v/>
      </c>
      <c r="AH140" s="499" t="str">
        <f t="shared" ref="AH140:AH203" si="16">IF(N140="","",VLOOKUP(AE140,Difficulty,2,FALSE))</f>
        <v/>
      </c>
      <c r="AI140" s="145"/>
      <c r="AJ140" s="499" t="str">
        <f>IF(AI140="","",IF(VLOOKUP(AI140,'G-7 Rivers Data'!$AA$4:$AB$7,2,FALSE)=0,"Spatial Data Missing ⚠",VLOOKUP(AI140,'G-7 Rivers Data'!$AA$4:$AB$7,2,FALSE)))</f>
        <v/>
      </c>
      <c r="AK140" s="155"/>
      <c r="AL140" s="499" t="str">
        <f>IF(AK140="","",IF(VLOOKUP(AK140,'G-7 Rivers Data'!$AD$4:$AE$8,2,FALSE)=0,"Spatial Data Missing ⚠",VLOOKUP(AK140,'G-7 Rivers Data'!$AD$4:$AE$8,2,FALSE)))</f>
        <v/>
      </c>
      <c r="AM140" s="545" t="str">
        <f t="shared" si="15"/>
        <v/>
      </c>
      <c r="AN140" s="149"/>
      <c r="AO140" s="150"/>
      <c r="AV140" s="31" t="str">
        <f>IFERROR(INDEX('G-7 Rivers Data'!$AZ$3:$AZ$7,MATCH(N140,'G-7 Rivers Data'!$AY$3:$AY$7,0)),"")</f>
        <v/>
      </c>
    </row>
    <row r="141" spans="2:48" ht="13.8" x14ac:dyDescent="0.25">
      <c r="B141" s="531" t="str">
        <f>'C-1 Site River Baseline'!AN139</f>
        <v/>
      </c>
      <c r="C141" s="520" t="str">
        <f>IF(B141="","",VLOOKUP($B141,'C-1 Site River Baseline'!$C$9:$R$257,2,FALSE))</f>
        <v/>
      </c>
      <c r="D141" s="520" t="str">
        <f>IF(C141="","",VLOOKUP($B141,'C-1 Site River Baseline'!$C$9:$R$257,3,FALSE))</f>
        <v/>
      </c>
      <c r="E141" s="520" t="str">
        <f>IF(D141="","",VLOOKUP($B141,'C-1 Site River Baseline'!$C$9:$R$257,4,FALSE))</f>
        <v/>
      </c>
      <c r="F141" s="520" t="str">
        <f>IF(E141="","",VLOOKUP($B141,'C-1 Site River Baseline'!$C$9:$R$257,5,FALSE))</f>
        <v/>
      </c>
      <c r="G141" s="520" t="str">
        <f>IF(F141="","",VLOOKUP($B141,'C-1 Site River Baseline'!$C$9:$R$257,6,FALSE))</f>
        <v/>
      </c>
      <c r="H141" s="520" t="str">
        <f>IF(G141="","",VLOOKUP($B141,'C-1 Site River Baseline'!$C$9:$R$257,7,FALSE))</f>
        <v/>
      </c>
      <c r="I141" s="520" t="str">
        <f>IF(H141="","",VLOOKUP($B141,'C-1 Site River Baseline'!$C$9:$R$257,8,FALSE))</f>
        <v/>
      </c>
      <c r="J141" s="520" t="str">
        <f>IF(I141="","",VLOOKUP($B141,'C-1 Site River Baseline'!$C$9:$R$257,9,FALSE))</f>
        <v/>
      </c>
      <c r="K141" s="520" t="str">
        <f>IF(J141="","",VLOOKUP($B141,'C-1 Site River Baseline'!$C$9:$R$257,10,FALSE))</f>
        <v/>
      </c>
      <c r="L141" s="520" t="str">
        <f>IF(B141="","",VLOOKUP($B141,'C-1 Site River Baseline'!$C$9:$R$257,15,FALSE))</f>
        <v/>
      </c>
      <c r="M141" s="524" t="str">
        <f>IF(L141="","",VLOOKUP($B141,'C-1 Site River Baseline'!$C$9:$R$257,16,FALSE))</f>
        <v/>
      </c>
      <c r="N141" s="418" t="str">
        <f t="shared" ref="N141:N204" si="17">C141</f>
        <v/>
      </c>
      <c r="O141" s="498" t="str">
        <f t="shared" ref="O141:O204" si="18">IF(B141="","",IF(S141&lt;F141,"Error Trading Down ▲",E141&amp;" - "&amp;R141))</f>
        <v/>
      </c>
      <c r="P141" s="499" t="str">
        <f>IF(C141="","",IF(AND(LEFT(C141,55)&lt;&gt;LEFT(N141,55),O141="High - High"),"Error - Not like for like ▲",IF(AND(F141=S141,H141&gt;U141),"Error - Can not reduce condition ▲",IF(AND(F141=S141,H141=U141,AJ141='C-1 Site River Baseline'!N139,'C-1 Site River Baseline'!P139=AL141),"Error - No enhancement ▲",IF(AND(C141&lt;&gt;N141,F141&lt;S141),"Lower Distinctiveness Habitat"&amp;" - "&amp;T141,G141&amp;" - "&amp;T141)))))</f>
        <v/>
      </c>
      <c r="Q141" s="567" t="str">
        <f>IF(N141="","",VLOOKUP(B141,'C-1 Site River Baseline'!$C$10:$AA$257,19,FALSE))</f>
        <v/>
      </c>
      <c r="R141" s="498" t="str">
        <f>IF(N141="","",VLOOKUP(N141,'G-7 Rivers Data'!$B$2:$G$8,2,FALSE))</f>
        <v/>
      </c>
      <c r="S141" s="499" t="str">
        <f>IFERROR(VLOOKUP(R141,'G-7 Rivers Data'!$C$4:$D$8,2,FALSE),"")</f>
        <v/>
      </c>
      <c r="T141" s="145"/>
      <c r="U141" s="499" t="str">
        <f>IFERROR(INDEX('G-7 Rivers Data'!$H$4:$L$8,MATCH(N141,'G-7 Rivers Data'!$B$4:$B$8,0),MATCH(T141,'G-7 Rivers Data'!$H$3:$L$3,0)),"")</f>
        <v/>
      </c>
      <c r="V141" s="154"/>
      <c r="W141" s="507" t="str">
        <f>IF(V141="","",IF(VLOOKUP(V141,'G-7 Rivers Data'!$AG$4:$AI$9,2,FALSE)=0,"Spatial Data Missing ⚠",VLOOKUP(V141,'G-7 Rivers Data'!$AG$4:$AI$9,2,FALSE)))</f>
        <v/>
      </c>
      <c r="X141" s="499" t="str">
        <f>IF(V141="","",IF(VLOOKUP(V141,'G-7 Rivers Data'!$AG$4:$AI$9,3,FALSE)=0,"Spatial Data Missing ⚠",VLOOKUP(V141,'G-7 Rivers Data'!$AG$4:$AI$9,3,FALSE)))</f>
        <v/>
      </c>
      <c r="Y141" s="498" t="str">
        <f>IFERROR(IF(OR(LEFT(P141,5)="Error ▲",LEFT(O141,5)="Error ▲"),"Check Data ⚠",IF(F141&lt;S141,'G-7 Rivers Data'!$R$3,INDEX('G-7 Rivers Data'!$U$5:$Y$9,MATCH(G141,'G-7 Rivers Data'!$T$5:$T$9,0),MATCH(T141,'G-7 Rivers Data'!$U$4:$Y$4,0)))),"")</f>
        <v/>
      </c>
      <c r="Z141" s="195"/>
      <c r="AA141" s="195"/>
      <c r="AB141" s="507"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521" t="str">
        <f t="shared" ref="AC141:AC204" si="20">IF(LEFT(AB141,5)="Error ▲","Check Data ⚠",IF(AB141="Check Data ⚠","Check Data ⚠",IF(Y141="","",IF(Z141="30+",0,IF(AA141="30+","30+ ⚠",IF(Y141+AA141&gt;30,"30+ ⚠",IF(Y141+AA141-Z141&gt;0,Y141+AA141-Z141,IF(Y141-Z141&lt;0,0,Y141+AA141-Z141))))))))</f>
        <v/>
      </c>
      <c r="AD141" s="564" t="str">
        <f>IFERROR(IF(AC141="Check Data ⚠","Check Data ⚠",VLOOKUP(AC141,'G-4 Temporal multipliers'!$A$4:$C$37,3,FALSE)),"")</f>
        <v/>
      </c>
      <c r="AE141" s="498" t="str">
        <f>IF(N141="","",VLOOKUP(N141,'G-7 Rivers Data'!$B$4:$G$8,5,FALSE))</f>
        <v/>
      </c>
      <c r="AF141" s="507" t="str">
        <f t="shared" ref="AF141:AF204" si="21">IF(N141="","",IF(AC141="Check Data ⚠","Check Data ⚠",IF(T141="","",IF($AB141="Check details - Is there evidence that habitat has reached target condition? ⚠","Low Difficulty - only applicable if all habitat created before losses ⚠","Standard difficulty applied"))))</f>
        <v/>
      </c>
      <c r="AG141" s="540" t="str">
        <f t="shared" ref="AG141:AG204" si="22">(IF(AND(AF141="Standard difficulty applied",Y141&gt;Z141),AE141,IF(AND(AF141="Low Difficulty - only applicable if all habitat created before losses ⚠",Z141&gt;=Y141),"Low",AE141)))</f>
        <v/>
      </c>
      <c r="AH141" s="499" t="str">
        <f t="shared" si="16"/>
        <v/>
      </c>
      <c r="AI141" s="145"/>
      <c r="AJ141" s="499" t="str">
        <f>IF(AI141="","",IF(VLOOKUP(AI141,'G-7 Rivers Data'!$AA$4:$AB$7,2,FALSE)=0,"Spatial Data Missing ⚠",VLOOKUP(AI141,'G-7 Rivers Data'!$AA$4:$AB$7,2,FALSE)))</f>
        <v/>
      </c>
      <c r="AK141" s="155"/>
      <c r="AL141" s="499" t="str">
        <f>IF(AK141="","",IF(VLOOKUP(AK141,'G-7 Rivers Data'!$AD$4:$AE$8,2,FALSE)=0,"Spatial Data Missing ⚠",VLOOKUP(AK141,'G-7 Rivers Data'!$AD$4:$AE$8,2,FALSE)))</f>
        <v/>
      </c>
      <c r="AM141" s="545" t="str">
        <f t="shared" si="15"/>
        <v/>
      </c>
      <c r="AN141" s="149"/>
      <c r="AO141" s="150"/>
      <c r="AV141" s="31" t="str">
        <f>IFERROR(INDEX('G-7 Rivers Data'!$AZ$3:$AZ$7,MATCH(N141,'G-7 Rivers Data'!$AY$3:$AY$7,0)),"")</f>
        <v/>
      </c>
    </row>
    <row r="142" spans="2:48" ht="13.8" x14ac:dyDescent="0.25">
      <c r="B142" s="531" t="str">
        <f>'C-1 Site River Baseline'!AN140</f>
        <v/>
      </c>
      <c r="C142" s="520" t="str">
        <f>IF(B142="","",VLOOKUP($B142,'C-1 Site River Baseline'!$C$9:$R$257,2,FALSE))</f>
        <v/>
      </c>
      <c r="D142" s="520" t="str">
        <f>IF(C142="","",VLOOKUP($B142,'C-1 Site River Baseline'!$C$9:$R$257,3,FALSE))</f>
        <v/>
      </c>
      <c r="E142" s="520" t="str">
        <f>IF(D142="","",VLOOKUP($B142,'C-1 Site River Baseline'!$C$9:$R$257,4,FALSE))</f>
        <v/>
      </c>
      <c r="F142" s="520" t="str">
        <f>IF(E142="","",VLOOKUP($B142,'C-1 Site River Baseline'!$C$9:$R$257,5,FALSE))</f>
        <v/>
      </c>
      <c r="G142" s="520" t="str">
        <f>IF(F142="","",VLOOKUP($B142,'C-1 Site River Baseline'!$C$9:$R$257,6,FALSE))</f>
        <v/>
      </c>
      <c r="H142" s="520" t="str">
        <f>IF(G142="","",VLOOKUP($B142,'C-1 Site River Baseline'!$C$9:$R$257,7,FALSE))</f>
        <v/>
      </c>
      <c r="I142" s="520" t="str">
        <f>IF(H142="","",VLOOKUP($B142,'C-1 Site River Baseline'!$C$9:$R$257,8,FALSE))</f>
        <v/>
      </c>
      <c r="J142" s="520" t="str">
        <f>IF(I142="","",VLOOKUP($B142,'C-1 Site River Baseline'!$C$9:$R$257,9,FALSE))</f>
        <v/>
      </c>
      <c r="K142" s="520" t="str">
        <f>IF(J142="","",VLOOKUP($B142,'C-1 Site River Baseline'!$C$9:$R$257,10,FALSE))</f>
        <v/>
      </c>
      <c r="L142" s="520" t="str">
        <f>IF(B142="","",VLOOKUP($B142,'C-1 Site River Baseline'!$C$9:$R$257,15,FALSE))</f>
        <v/>
      </c>
      <c r="M142" s="524" t="str">
        <f>IF(L142="","",VLOOKUP($B142,'C-1 Site River Baseline'!$C$9:$R$257,16,FALSE))</f>
        <v/>
      </c>
      <c r="N142" s="418" t="str">
        <f t="shared" si="17"/>
        <v/>
      </c>
      <c r="O142" s="498" t="str">
        <f t="shared" si="18"/>
        <v/>
      </c>
      <c r="P142" s="499" t="str">
        <f>IF(C142="","",IF(AND(LEFT(C142,55)&lt;&gt;LEFT(N142,55),O142="High - High"),"Error - Not like for like ▲",IF(AND(F142=S142,H142&gt;U142),"Error - Can not reduce condition ▲",IF(AND(F142=S142,H142=U142,AJ142='C-1 Site River Baseline'!N140,'C-1 Site River Baseline'!P140=AL142),"Error - No enhancement ▲",IF(AND(C142&lt;&gt;N142,F142&lt;S142),"Lower Distinctiveness Habitat"&amp;" - "&amp;T142,G142&amp;" - "&amp;T142)))))</f>
        <v/>
      </c>
      <c r="Q142" s="567" t="str">
        <f>IF(N142="","",VLOOKUP(B142,'C-1 Site River Baseline'!$C$10:$AA$257,19,FALSE))</f>
        <v/>
      </c>
      <c r="R142" s="498" t="str">
        <f>IF(N142="","",VLOOKUP(N142,'G-7 Rivers Data'!$B$2:$G$8,2,FALSE))</f>
        <v/>
      </c>
      <c r="S142" s="499" t="str">
        <f>IFERROR(VLOOKUP(R142,'G-7 Rivers Data'!$C$4:$D$8,2,FALSE),"")</f>
        <v/>
      </c>
      <c r="T142" s="145"/>
      <c r="U142" s="499" t="str">
        <f>IFERROR(INDEX('G-7 Rivers Data'!$H$4:$L$8,MATCH(N142,'G-7 Rivers Data'!$B$4:$B$8,0),MATCH(T142,'G-7 Rivers Data'!$H$3:$L$3,0)),"")</f>
        <v/>
      </c>
      <c r="V142" s="154"/>
      <c r="W142" s="507" t="str">
        <f>IF(V142="","",IF(VLOOKUP(V142,'G-7 Rivers Data'!$AG$4:$AI$9,2,FALSE)=0,"Spatial Data Missing ⚠",VLOOKUP(V142,'G-7 Rivers Data'!$AG$4:$AI$9,2,FALSE)))</f>
        <v/>
      </c>
      <c r="X142" s="499" t="str">
        <f>IF(V142="","",IF(VLOOKUP(V142,'G-7 Rivers Data'!$AG$4:$AI$9,3,FALSE)=0,"Spatial Data Missing ⚠",VLOOKUP(V142,'G-7 Rivers Data'!$AG$4:$AI$9,3,FALSE)))</f>
        <v/>
      </c>
      <c r="Y142" s="498" t="str">
        <f>IFERROR(IF(OR(LEFT(P142,5)="Error ▲",LEFT(O142,5)="Error ▲"),"Check Data ⚠",IF(F142&lt;S142,'G-7 Rivers Data'!$R$3,INDEX('G-7 Rivers Data'!$U$5:$Y$9,MATCH(G142,'G-7 Rivers Data'!$T$5:$T$9,0),MATCH(T142,'G-7 Rivers Data'!$U$4:$Y$4,0)))),"")</f>
        <v/>
      </c>
      <c r="Z142" s="195"/>
      <c r="AA142" s="195"/>
      <c r="AB142" s="507" t="str">
        <f t="shared" si="19"/>
        <v/>
      </c>
      <c r="AC142" s="521" t="str">
        <f t="shared" si="20"/>
        <v/>
      </c>
      <c r="AD142" s="564" t="str">
        <f>IFERROR(IF(AC142="Check Data ⚠","Check Data ⚠",VLOOKUP(AC142,'G-4 Temporal multipliers'!$A$4:$C$37,3,FALSE)),"")</f>
        <v/>
      </c>
      <c r="AE142" s="498" t="str">
        <f>IF(N142="","",VLOOKUP(N142,'G-7 Rivers Data'!$B$4:$G$8,5,FALSE))</f>
        <v/>
      </c>
      <c r="AF142" s="507" t="str">
        <f t="shared" si="21"/>
        <v/>
      </c>
      <c r="AG142" s="540" t="str">
        <f t="shared" si="22"/>
        <v/>
      </c>
      <c r="AH142" s="499" t="str">
        <f t="shared" si="16"/>
        <v/>
      </c>
      <c r="AI142" s="145"/>
      <c r="AJ142" s="499" t="str">
        <f>IF(AI142="","",IF(VLOOKUP(AI142,'G-7 Rivers Data'!$AA$4:$AB$7,2,FALSE)=0,"Spatial Data Missing ⚠",VLOOKUP(AI142,'G-7 Rivers Data'!$AA$4:$AB$7,2,FALSE)))</f>
        <v/>
      </c>
      <c r="AK142" s="155"/>
      <c r="AL142" s="499" t="str">
        <f>IF(AK142="","",IF(VLOOKUP(AK142,'G-7 Rivers Data'!$AD$4:$AE$8,2,FALSE)=0,"Spatial Data Missing ⚠",VLOOKUP(AK142,'G-7 Rivers Data'!$AD$4:$AE$8,2,FALSE)))</f>
        <v/>
      </c>
      <c r="AM142" s="545" t="str">
        <f t="shared" ref="AM142:AM205" si="23">IFERROR(IF(C142="","",IF(Q142&gt;D142,((((Q142*S142*U142)-(D142*F142*H142))*(AH142*AD142))+(D142*F142*H142))*(AL142*X142*AJ142),((((Q142*S142*U142)-(Q142*F142*H142))*(AH142*AD142))+(Q142*F142*H142))*(AL142*X142*AJ142))),"")</f>
        <v/>
      </c>
      <c r="AN142" s="149"/>
      <c r="AO142" s="150"/>
      <c r="AV142" s="31" t="str">
        <f>IFERROR(INDEX('G-7 Rivers Data'!$AZ$3:$AZ$7,MATCH(N142,'G-7 Rivers Data'!$AY$3:$AY$7,0)),"")</f>
        <v/>
      </c>
    </row>
    <row r="143" spans="2:48" ht="13.8" x14ac:dyDescent="0.25">
      <c r="B143" s="531" t="str">
        <f>'C-1 Site River Baseline'!AN141</f>
        <v/>
      </c>
      <c r="C143" s="520" t="str">
        <f>IF(B143="","",VLOOKUP($B143,'C-1 Site River Baseline'!$C$9:$R$257,2,FALSE))</f>
        <v/>
      </c>
      <c r="D143" s="520" t="str">
        <f>IF(C143="","",VLOOKUP($B143,'C-1 Site River Baseline'!$C$9:$R$257,3,FALSE))</f>
        <v/>
      </c>
      <c r="E143" s="520" t="str">
        <f>IF(D143="","",VLOOKUP($B143,'C-1 Site River Baseline'!$C$9:$R$257,4,FALSE))</f>
        <v/>
      </c>
      <c r="F143" s="520" t="str">
        <f>IF(E143="","",VLOOKUP($B143,'C-1 Site River Baseline'!$C$9:$R$257,5,FALSE))</f>
        <v/>
      </c>
      <c r="G143" s="520" t="str">
        <f>IF(F143="","",VLOOKUP($B143,'C-1 Site River Baseline'!$C$9:$R$257,6,FALSE))</f>
        <v/>
      </c>
      <c r="H143" s="520" t="str">
        <f>IF(G143="","",VLOOKUP($B143,'C-1 Site River Baseline'!$C$9:$R$257,7,FALSE))</f>
        <v/>
      </c>
      <c r="I143" s="520" t="str">
        <f>IF(H143="","",VLOOKUP($B143,'C-1 Site River Baseline'!$C$9:$R$257,8,FALSE))</f>
        <v/>
      </c>
      <c r="J143" s="520" t="str">
        <f>IF(I143="","",VLOOKUP($B143,'C-1 Site River Baseline'!$C$9:$R$257,9,FALSE))</f>
        <v/>
      </c>
      <c r="K143" s="520" t="str">
        <f>IF(J143="","",VLOOKUP($B143,'C-1 Site River Baseline'!$C$9:$R$257,10,FALSE))</f>
        <v/>
      </c>
      <c r="L143" s="520" t="str">
        <f>IF(B143="","",VLOOKUP($B143,'C-1 Site River Baseline'!$C$9:$R$257,15,FALSE))</f>
        <v/>
      </c>
      <c r="M143" s="524" t="str">
        <f>IF(L143="","",VLOOKUP($B143,'C-1 Site River Baseline'!$C$9:$R$257,16,FALSE))</f>
        <v/>
      </c>
      <c r="N143" s="418" t="str">
        <f t="shared" si="17"/>
        <v/>
      </c>
      <c r="O143" s="498" t="str">
        <f t="shared" si="18"/>
        <v/>
      </c>
      <c r="P143" s="499" t="str">
        <f>IF(C143="","",IF(AND(LEFT(C143,55)&lt;&gt;LEFT(N143,55),O143="High - High"),"Error - Not like for like ▲",IF(AND(F143=S143,H143&gt;U143),"Error - Can not reduce condition ▲",IF(AND(F143=S143,H143=U143,AJ143='C-1 Site River Baseline'!N141,'C-1 Site River Baseline'!P141=AL143),"Error - No enhancement ▲",IF(AND(C143&lt;&gt;N143,F143&lt;S143),"Lower Distinctiveness Habitat"&amp;" - "&amp;T143,G143&amp;" - "&amp;T143)))))</f>
        <v/>
      </c>
      <c r="Q143" s="567" t="str">
        <f>IF(N143="","",VLOOKUP(B143,'C-1 Site River Baseline'!$C$10:$AA$257,19,FALSE))</f>
        <v/>
      </c>
      <c r="R143" s="498" t="str">
        <f>IF(N143="","",VLOOKUP(N143,'G-7 Rivers Data'!$B$2:$G$8,2,FALSE))</f>
        <v/>
      </c>
      <c r="S143" s="499" t="str">
        <f>IFERROR(VLOOKUP(R143,'G-7 Rivers Data'!$C$4:$D$8,2,FALSE),"")</f>
        <v/>
      </c>
      <c r="T143" s="145"/>
      <c r="U143" s="499" t="str">
        <f>IFERROR(INDEX('G-7 Rivers Data'!$H$4:$L$8,MATCH(N143,'G-7 Rivers Data'!$B$4:$B$8,0),MATCH(T143,'G-7 Rivers Data'!$H$3:$L$3,0)),"")</f>
        <v/>
      </c>
      <c r="V143" s="154"/>
      <c r="W143" s="507" t="str">
        <f>IF(V143="","",IF(VLOOKUP(V143,'G-7 Rivers Data'!$AG$4:$AI$9,2,FALSE)=0,"Spatial Data Missing ⚠",VLOOKUP(V143,'G-7 Rivers Data'!$AG$4:$AI$9,2,FALSE)))</f>
        <v/>
      </c>
      <c r="X143" s="499" t="str">
        <f>IF(V143="","",IF(VLOOKUP(V143,'G-7 Rivers Data'!$AG$4:$AI$9,3,FALSE)=0,"Spatial Data Missing ⚠",VLOOKUP(V143,'G-7 Rivers Data'!$AG$4:$AI$9,3,FALSE)))</f>
        <v/>
      </c>
      <c r="Y143" s="498" t="str">
        <f>IFERROR(IF(OR(LEFT(P143,5)="Error ▲",LEFT(O143,5)="Error ▲"),"Check Data ⚠",IF(F143&lt;S143,'G-7 Rivers Data'!$R$3,INDEX('G-7 Rivers Data'!$U$5:$Y$9,MATCH(G143,'G-7 Rivers Data'!$T$5:$T$9,0),MATCH(T143,'G-7 Rivers Data'!$U$4:$Y$4,0)))),"")</f>
        <v/>
      </c>
      <c r="Z143" s="195"/>
      <c r="AA143" s="195"/>
      <c r="AB143" s="507" t="str">
        <f t="shared" si="19"/>
        <v/>
      </c>
      <c r="AC143" s="521" t="str">
        <f t="shared" si="20"/>
        <v/>
      </c>
      <c r="AD143" s="564" t="str">
        <f>IFERROR(IF(AC143="Check Data ⚠","Check Data ⚠",VLOOKUP(AC143,'G-4 Temporal multipliers'!$A$4:$C$37,3,FALSE)),"")</f>
        <v/>
      </c>
      <c r="AE143" s="498" t="str">
        <f>IF(N143="","",VLOOKUP(N143,'G-7 Rivers Data'!$B$4:$G$8,5,FALSE))</f>
        <v/>
      </c>
      <c r="AF143" s="507" t="str">
        <f t="shared" si="21"/>
        <v/>
      </c>
      <c r="AG143" s="540" t="str">
        <f t="shared" si="22"/>
        <v/>
      </c>
      <c r="AH143" s="499" t="str">
        <f t="shared" si="16"/>
        <v/>
      </c>
      <c r="AI143" s="145"/>
      <c r="AJ143" s="499" t="str">
        <f>IF(AI143="","",IF(VLOOKUP(AI143,'G-7 Rivers Data'!$AA$4:$AB$7,2,FALSE)=0,"Spatial Data Missing ⚠",VLOOKUP(AI143,'G-7 Rivers Data'!$AA$4:$AB$7,2,FALSE)))</f>
        <v/>
      </c>
      <c r="AK143" s="155"/>
      <c r="AL143" s="499" t="str">
        <f>IF(AK143="","",IF(VLOOKUP(AK143,'G-7 Rivers Data'!$AD$4:$AE$8,2,FALSE)=0,"Spatial Data Missing ⚠",VLOOKUP(AK143,'G-7 Rivers Data'!$AD$4:$AE$8,2,FALSE)))</f>
        <v/>
      </c>
      <c r="AM143" s="545" t="str">
        <f t="shared" si="23"/>
        <v/>
      </c>
      <c r="AN143" s="149"/>
      <c r="AO143" s="150"/>
      <c r="AV143" s="31" t="str">
        <f>IFERROR(INDEX('G-7 Rivers Data'!$AZ$3:$AZ$7,MATCH(N143,'G-7 Rivers Data'!$AY$3:$AY$7,0)),"")</f>
        <v/>
      </c>
    </row>
    <row r="144" spans="2:48" ht="13.8" x14ac:dyDescent="0.25">
      <c r="B144" s="531" t="str">
        <f>'C-1 Site River Baseline'!AN142</f>
        <v/>
      </c>
      <c r="C144" s="520" t="str">
        <f>IF(B144="","",VLOOKUP($B144,'C-1 Site River Baseline'!$C$9:$R$257,2,FALSE))</f>
        <v/>
      </c>
      <c r="D144" s="520" t="str">
        <f>IF(C144="","",VLOOKUP($B144,'C-1 Site River Baseline'!$C$9:$R$257,3,FALSE))</f>
        <v/>
      </c>
      <c r="E144" s="520" t="str">
        <f>IF(D144="","",VLOOKUP($B144,'C-1 Site River Baseline'!$C$9:$R$257,4,FALSE))</f>
        <v/>
      </c>
      <c r="F144" s="520" t="str">
        <f>IF(E144="","",VLOOKUP($B144,'C-1 Site River Baseline'!$C$9:$R$257,5,FALSE))</f>
        <v/>
      </c>
      <c r="G144" s="520" t="str">
        <f>IF(F144="","",VLOOKUP($B144,'C-1 Site River Baseline'!$C$9:$R$257,6,FALSE))</f>
        <v/>
      </c>
      <c r="H144" s="520" t="str">
        <f>IF(G144="","",VLOOKUP($B144,'C-1 Site River Baseline'!$C$9:$R$257,7,FALSE))</f>
        <v/>
      </c>
      <c r="I144" s="520" t="str">
        <f>IF(H144="","",VLOOKUP($B144,'C-1 Site River Baseline'!$C$9:$R$257,8,FALSE))</f>
        <v/>
      </c>
      <c r="J144" s="520" t="str">
        <f>IF(I144="","",VLOOKUP($B144,'C-1 Site River Baseline'!$C$9:$R$257,9,FALSE))</f>
        <v/>
      </c>
      <c r="K144" s="520" t="str">
        <f>IF(J144="","",VLOOKUP($B144,'C-1 Site River Baseline'!$C$9:$R$257,10,FALSE))</f>
        <v/>
      </c>
      <c r="L144" s="520" t="str">
        <f>IF(B144="","",VLOOKUP($B144,'C-1 Site River Baseline'!$C$9:$R$257,15,FALSE))</f>
        <v/>
      </c>
      <c r="M144" s="524" t="str">
        <f>IF(L144="","",VLOOKUP($B144,'C-1 Site River Baseline'!$C$9:$R$257,16,FALSE))</f>
        <v/>
      </c>
      <c r="N144" s="418" t="str">
        <f t="shared" si="17"/>
        <v/>
      </c>
      <c r="O144" s="498" t="str">
        <f t="shared" si="18"/>
        <v/>
      </c>
      <c r="P144" s="499" t="str">
        <f>IF(C144="","",IF(AND(LEFT(C144,55)&lt;&gt;LEFT(N144,55),O144="High - High"),"Error - Not like for like ▲",IF(AND(F144=S144,H144&gt;U144),"Error - Can not reduce condition ▲",IF(AND(F144=S144,H144=U144,AJ144='C-1 Site River Baseline'!N142,'C-1 Site River Baseline'!P142=AL144),"Error - No enhancement ▲",IF(AND(C144&lt;&gt;N144,F144&lt;S144),"Lower Distinctiveness Habitat"&amp;" - "&amp;T144,G144&amp;" - "&amp;T144)))))</f>
        <v/>
      </c>
      <c r="Q144" s="567" t="str">
        <f>IF(N144="","",VLOOKUP(B144,'C-1 Site River Baseline'!$C$10:$AA$257,19,FALSE))</f>
        <v/>
      </c>
      <c r="R144" s="498" t="str">
        <f>IF(N144="","",VLOOKUP(N144,'G-7 Rivers Data'!$B$2:$G$8,2,FALSE))</f>
        <v/>
      </c>
      <c r="S144" s="499" t="str">
        <f>IFERROR(VLOOKUP(R144,'G-7 Rivers Data'!$C$4:$D$8,2,FALSE),"")</f>
        <v/>
      </c>
      <c r="T144" s="145"/>
      <c r="U144" s="499" t="str">
        <f>IFERROR(INDEX('G-7 Rivers Data'!$H$4:$L$8,MATCH(N144,'G-7 Rivers Data'!$B$4:$B$8,0),MATCH(T144,'G-7 Rivers Data'!$H$3:$L$3,0)),"")</f>
        <v/>
      </c>
      <c r="V144" s="154"/>
      <c r="W144" s="507" t="str">
        <f>IF(V144="","",IF(VLOOKUP(V144,'G-7 Rivers Data'!$AG$4:$AI$9,2,FALSE)=0,"Spatial Data Missing ⚠",VLOOKUP(V144,'G-7 Rivers Data'!$AG$4:$AI$9,2,FALSE)))</f>
        <v/>
      </c>
      <c r="X144" s="499" t="str">
        <f>IF(V144="","",IF(VLOOKUP(V144,'G-7 Rivers Data'!$AG$4:$AI$9,3,FALSE)=0,"Spatial Data Missing ⚠",VLOOKUP(V144,'G-7 Rivers Data'!$AG$4:$AI$9,3,FALSE)))</f>
        <v/>
      </c>
      <c r="Y144" s="498" t="str">
        <f>IFERROR(IF(OR(LEFT(P144,5)="Error ▲",LEFT(O144,5)="Error ▲"),"Check Data ⚠",IF(F144&lt;S144,'G-7 Rivers Data'!$R$3,INDEX('G-7 Rivers Data'!$U$5:$Y$9,MATCH(G144,'G-7 Rivers Data'!$T$5:$T$9,0),MATCH(T144,'G-7 Rivers Data'!$U$4:$Y$4,0)))),"")</f>
        <v/>
      </c>
      <c r="Z144" s="195"/>
      <c r="AA144" s="195"/>
      <c r="AB144" s="507" t="str">
        <f t="shared" si="19"/>
        <v/>
      </c>
      <c r="AC144" s="521" t="str">
        <f t="shared" si="20"/>
        <v/>
      </c>
      <c r="AD144" s="564" t="str">
        <f>IFERROR(IF(AC144="Check Data ⚠","Check Data ⚠",VLOOKUP(AC144,'G-4 Temporal multipliers'!$A$4:$C$37,3,FALSE)),"")</f>
        <v/>
      </c>
      <c r="AE144" s="498" t="str">
        <f>IF(N144="","",VLOOKUP(N144,'G-7 Rivers Data'!$B$4:$G$8,5,FALSE))</f>
        <v/>
      </c>
      <c r="AF144" s="507" t="str">
        <f t="shared" si="21"/>
        <v/>
      </c>
      <c r="AG144" s="540" t="str">
        <f t="shared" si="22"/>
        <v/>
      </c>
      <c r="AH144" s="499" t="str">
        <f t="shared" si="16"/>
        <v/>
      </c>
      <c r="AI144" s="145"/>
      <c r="AJ144" s="499" t="str">
        <f>IF(AI144="","",IF(VLOOKUP(AI144,'G-7 Rivers Data'!$AA$4:$AB$7,2,FALSE)=0,"Spatial Data Missing ⚠",VLOOKUP(AI144,'G-7 Rivers Data'!$AA$4:$AB$7,2,FALSE)))</f>
        <v/>
      </c>
      <c r="AK144" s="155"/>
      <c r="AL144" s="499" t="str">
        <f>IF(AK144="","",IF(VLOOKUP(AK144,'G-7 Rivers Data'!$AD$4:$AE$8,2,FALSE)=0,"Spatial Data Missing ⚠",VLOOKUP(AK144,'G-7 Rivers Data'!$AD$4:$AE$8,2,FALSE)))</f>
        <v/>
      </c>
      <c r="AM144" s="545" t="str">
        <f t="shared" si="23"/>
        <v/>
      </c>
      <c r="AN144" s="149"/>
      <c r="AO144" s="150"/>
      <c r="AV144" s="31" t="str">
        <f>IFERROR(INDEX('G-7 Rivers Data'!$AZ$3:$AZ$7,MATCH(N144,'G-7 Rivers Data'!$AY$3:$AY$7,0)),"")</f>
        <v/>
      </c>
    </row>
    <row r="145" spans="2:48" ht="13.8" x14ac:dyDescent="0.25">
      <c r="B145" s="531" t="str">
        <f>'C-1 Site River Baseline'!AN143</f>
        <v/>
      </c>
      <c r="C145" s="520" t="str">
        <f>IF(B145="","",VLOOKUP($B145,'C-1 Site River Baseline'!$C$9:$R$257,2,FALSE))</f>
        <v/>
      </c>
      <c r="D145" s="520" t="str">
        <f>IF(C145="","",VLOOKUP($B145,'C-1 Site River Baseline'!$C$9:$R$257,3,FALSE))</f>
        <v/>
      </c>
      <c r="E145" s="520" t="str">
        <f>IF(D145="","",VLOOKUP($B145,'C-1 Site River Baseline'!$C$9:$R$257,4,FALSE))</f>
        <v/>
      </c>
      <c r="F145" s="520" t="str">
        <f>IF(E145="","",VLOOKUP($B145,'C-1 Site River Baseline'!$C$9:$R$257,5,FALSE))</f>
        <v/>
      </c>
      <c r="G145" s="520" t="str">
        <f>IF(F145="","",VLOOKUP($B145,'C-1 Site River Baseline'!$C$9:$R$257,6,FALSE))</f>
        <v/>
      </c>
      <c r="H145" s="520" t="str">
        <f>IF(G145="","",VLOOKUP($B145,'C-1 Site River Baseline'!$C$9:$R$257,7,FALSE))</f>
        <v/>
      </c>
      <c r="I145" s="520" t="str">
        <f>IF(H145="","",VLOOKUP($B145,'C-1 Site River Baseline'!$C$9:$R$257,8,FALSE))</f>
        <v/>
      </c>
      <c r="J145" s="520" t="str">
        <f>IF(I145="","",VLOOKUP($B145,'C-1 Site River Baseline'!$C$9:$R$257,9,FALSE))</f>
        <v/>
      </c>
      <c r="K145" s="520" t="str">
        <f>IF(J145="","",VLOOKUP($B145,'C-1 Site River Baseline'!$C$9:$R$257,10,FALSE))</f>
        <v/>
      </c>
      <c r="L145" s="520" t="str">
        <f>IF(B145="","",VLOOKUP($B145,'C-1 Site River Baseline'!$C$9:$R$257,15,FALSE))</f>
        <v/>
      </c>
      <c r="M145" s="524" t="str">
        <f>IF(L145="","",VLOOKUP($B145,'C-1 Site River Baseline'!$C$9:$R$257,16,FALSE))</f>
        <v/>
      </c>
      <c r="N145" s="418" t="str">
        <f t="shared" si="17"/>
        <v/>
      </c>
      <c r="O145" s="498" t="str">
        <f t="shared" si="18"/>
        <v/>
      </c>
      <c r="P145" s="499" t="str">
        <f>IF(C145="","",IF(AND(LEFT(C145,55)&lt;&gt;LEFT(N145,55),O145="High - High"),"Error - Not like for like ▲",IF(AND(F145=S145,H145&gt;U145),"Error - Can not reduce condition ▲",IF(AND(F145=S145,H145=U145,AJ145='C-1 Site River Baseline'!N143,'C-1 Site River Baseline'!P143=AL145),"Error - No enhancement ▲",IF(AND(C145&lt;&gt;N145,F145&lt;S145),"Lower Distinctiveness Habitat"&amp;" - "&amp;T145,G145&amp;" - "&amp;T145)))))</f>
        <v/>
      </c>
      <c r="Q145" s="567" t="str">
        <f>IF(N145="","",VLOOKUP(B145,'C-1 Site River Baseline'!$C$10:$AA$257,19,FALSE))</f>
        <v/>
      </c>
      <c r="R145" s="498" t="str">
        <f>IF(N145="","",VLOOKUP(N145,'G-7 Rivers Data'!$B$2:$G$8,2,FALSE))</f>
        <v/>
      </c>
      <c r="S145" s="499" t="str">
        <f>IFERROR(VLOOKUP(R145,'G-7 Rivers Data'!$C$4:$D$8,2,FALSE),"")</f>
        <v/>
      </c>
      <c r="T145" s="145"/>
      <c r="U145" s="499" t="str">
        <f>IFERROR(INDEX('G-7 Rivers Data'!$H$4:$L$8,MATCH(N145,'G-7 Rivers Data'!$B$4:$B$8,0),MATCH(T145,'G-7 Rivers Data'!$H$3:$L$3,0)),"")</f>
        <v/>
      </c>
      <c r="V145" s="154"/>
      <c r="W145" s="507" t="str">
        <f>IF(V145="","",IF(VLOOKUP(V145,'G-7 Rivers Data'!$AG$4:$AI$9,2,FALSE)=0,"Spatial Data Missing ⚠",VLOOKUP(V145,'G-7 Rivers Data'!$AG$4:$AI$9,2,FALSE)))</f>
        <v/>
      </c>
      <c r="X145" s="499" t="str">
        <f>IF(V145="","",IF(VLOOKUP(V145,'G-7 Rivers Data'!$AG$4:$AI$9,3,FALSE)=0,"Spatial Data Missing ⚠",VLOOKUP(V145,'G-7 Rivers Data'!$AG$4:$AI$9,3,FALSE)))</f>
        <v/>
      </c>
      <c r="Y145" s="498" t="str">
        <f>IFERROR(IF(OR(LEFT(P145,5)="Error ▲",LEFT(O145,5)="Error ▲"),"Check Data ⚠",IF(F145&lt;S145,'G-7 Rivers Data'!$R$3,INDEX('G-7 Rivers Data'!$U$5:$Y$9,MATCH(G145,'G-7 Rivers Data'!$T$5:$T$9,0),MATCH(T145,'G-7 Rivers Data'!$U$4:$Y$4,0)))),"")</f>
        <v/>
      </c>
      <c r="Z145" s="195"/>
      <c r="AA145" s="195"/>
      <c r="AB145" s="507" t="str">
        <f t="shared" si="19"/>
        <v/>
      </c>
      <c r="AC145" s="521" t="str">
        <f t="shared" si="20"/>
        <v/>
      </c>
      <c r="AD145" s="564" t="str">
        <f>IFERROR(IF(AC145="Check Data ⚠","Check Data ⚠",VLOOKUP(AC145,'G-4 Temporal multipliers'!$A$4:$C$37,3,FALSE)),"")</f>
        <v/>
      </c>
      <c r="AE145" s="498" t="str">
        <f>IF(N145="","",VLOOKUP(N145,'G-7 Rivers Data'!$B$4:$G$8,5,FALSE))</f>
        <v/>
      </c>
      <c r="AF145" s="507" t="str">
        <f t="shared" si="21"/>
        <v/>
      </c>
      <c r="AG145" s="540" t="str">
        <f t="shared" si="22"/>
        <v/>
      </c>
      <c r="AH145" s="499" t="str">
        <f t="shared" si="16"/>
        <v/>
      </c>
      <c r="AI145" s="145"/>
      <c r="AJ145" s="499" t="str">
        <f>IF(AI145="","",IF(VLOOKUP(AI145,'G-7 Rivers Data'!$AA$4:$AB$7,2,FALSE)=0,"Spatial Data Missing ⚠",VLOOKUP(AI145,'G-7 Rivers Data'!$AA$4:$AB$7,2,FALSE)))</f>
        <v/>
      </c>
      <c r="AK145" s="155"/>
      <c r="AL145" s="499" t="str">
        <f>IF(AK145="","",IF(VLOOKUP(AK145,'G-7 Rivers Data'!$AD$4:$AE$8,2,FALSE)=0,"Spatial Data Missing ⚠",VLOOKUP(AK145,'G-7 Rivers Data'!$AD$4:$AE$8,2,FALSE)))</f>
        <v/>
      </c>
      <c r="AM145" s="545" t="str">
        <f t="shared" si="23"/>
        <v/>
      </c>
      <c r="AN145" s="149"/>
      <c r="AO145" s="150"/>
      <c r="AV145" s="31" t="str">
        <f>IFERROR(INDEX('G-7 Rivers Data'!$AZ$3:$AZ$7,MATCH(N145,'G-7 Rivers Data'!$AY$3:$AY$7,0)),"")</f>
        <v/>
      </c>
    </row>
    <row r="146" spans="2:48" ht="13.8" x14ac:dyDescent="0.25">
      <c r="B146" s="531" t="str">
        <f>'C-1 Site River Baseline'!AN144</f>
        <v/>
      </c>
      <c r="C146" s="520" t="str">
        <f>IF(B146="","",VLOOKUP($B146,'C-1 Site River Baseline'!$C$9:$R$257,2,FALSE))</f>
        <v/>
      </c>
      <c r="D146" s="520" t="str">
        <f>IF(C146="","",VLOOKUP($B146,'C-1 Site River Baseline'!$C$9:$R$257,3,FALSE))</f>
        <v/>
      </c>
      <c r="E146" s="520" t="str">
        <f>IF(D146="","",VLOOKUP($B146,'C-1 Site River Baseline'!$C$9:$R$257,4,FALSE))</f>
        <v/>
      </c>
      <c r="F146" s="520" t="str">
        <f>IF(E146="","",VLOOKUP($B146,'C-1 Site River Baseline'!$C$9:$R$257,5,FALSE))</f>
        <v/>
      </c>
      <c r="G146" s="520" t="str">
        <f>IF(F146="","",VLOOKUP($B146,'C-1 Site River Baseline'!$C$9:$R$257,6,FALSE))</f>
        <v/>
      </c>
      <c r="H146" s="520" t="str">
        <f>IF(G146="","",VLOOKUP($B146,'C-1 Site River Baseline'!$C$9:$R$257,7,FALSE))</f>
        <v/>
      </c>
      <c r="I146" s="520" t="str">
        <f>IF(H146="","",VLOOKUP($B146,'C-1 Site River Baseline'!$C$9:$R$257,8,FALSE))</f>
        <v/>
      </c>
      <c r="J146" s="520" t="str">
        <f>IF(I146="","",VLOOKUP($B146,'C-1 Site River Baseline'!$C$9:$R$257,9,FALSE))</f>
        <v/>
      </c>
      <c r="K146" s="520" t="str">
        <f>IF(J146="","",VLOOKUP($B146,'C-1 Site River Baseline'!$C$9:$R$257,10,FALSE))</f>
        <v/>
      </c>
      <c r="L146" s="520" t="str">
        <f>IF(B146="","",VLOOKUP($B146,'C-1 Site River Baseline'!$C$9:$R$257,15,FALSE))</f>
        <v/>
      </c>
      <c r="M146" s="524" t="str">
        <f>IF(L146="","",VLOOKUP($B146,'C-1 Site River Baseline'!$C$9:$R$257,16,FALSE))</f>
        <v/>
      </c>
      <c r="N146" s="418" t="str">
        <f t="shared" si="17"/>
        <v/>
      </c>
      <c r="O146" s="498" t="str">
        <f t="shared" si="18"/>
        <v/>
      </c>
      <c r="P146" s="499" t="str">
        <f>IF(C146="","",IF(AND(LEFT(C146,55)&lt;&gt;LEFT(N146,55),O146="High - High"),"Error - Not like for like ▲",IF(AND(F146=S146,H146&gt;U146),"Error - Can not reduce condition ▲",IF(AND(F146=S146,H146=U146,AJ146='C-1 Site River Baseline'!N144,'C-1 Site River Baseline'!P144=AL146),"Error - No enhancement ▲",IF(AND(C146&lt;&gt;N146,F146&lt;S146),"Lower Distinctiveness Habitat"&amp;" - "&amp;T146,G146&amp;" - "&amp;T146)))))</f>
        <v/>
      </c>
      <c r="Q146" s="567" t="str">
        <f>IF(N146="","",VLOOKUP(B146,'C-1 Site River Baseline'!$C$10:$AA$257,19,FALSE))</f>
        <v/>
      </c>
      <c r="R146" s="498" t="str">
        <f>IF(N146="","",VLOOKUP(N146,'G-7 Rivers Data'!$B$2:$G$8,2,FALSE))</f>
        <v/>
      </c>
      <c r="S146" s="499" t="str">
        <f>IFERROR(VLOOKUP(R146,'G-7 Rivers Data'!$C$4:$D$8,2,FALSE),"")</f>
        <v/>
      </c>
      <c r="T146" s="145"/>
      <c r="U146" s="499" t="str">
        <f>IFERROR(INDEX('G-7 Rivers Data'!$H$4:$L$8,MATCH(N146,'G-7 Rivers Data'!$B$4:$B$8,0),MATCH(T146,'G-7 Rivers Data'!$H$3:$L$3,0)),"")</f>
        <v/>
      </c>
      <c r="V146" s="154"/>
      <c r="W146" s="507" t="str">
        <f>IF(V146="","",IF(VLOOKUP(V146,'G-7 Rivers Data'!$AG$4:$AI$9,2,FALSE)=0,"Spatial Data Missing ⚠",VLOOKUP(V146,'G-7 Rivers Data'!$AG$4:$AI$9,2,FALSE)))</f>
        <v/>
      </c>
      <c r="X146" s="499" t="str">
        <f>IF(V146="","",IF(VLOOKUP(V146,'G-7 Rivers Data'!$AG$4:$AI$9,3,FALSE)=0,"Spatial Data Missing ⚠",VLOOKUP(V146,'G-7 Rivers Data'!$AG$4:$AI$9,3,FALSE)))</f>
        <v/>
      </c>
      <c r="Y146" s="498" t="str">
        <f>IFERROR(IF(OR(LEFT(P146,5)="Error ▲",LEFT(O146,5)="Error ▲"),"Check Data ⚠",IF(F146&lt;S146,'G-7 Rivers Data'!$R$3,INDEX('G-7 Rivers Data'!$U$5:$Y$9,MATCH(G146,'G-7 Rivers Data'!$T$5:$T$9,0),MATCH(T146,'G-7 Rivers Data'!$U$4:$Y$4,0)))),"")</f>
        <v/>
      </c>
      <c r="Z146" s="195"/>
      <c r="AA146" s="195"/>
      <c r="AB146" s="507" t="str">
        <f t="shared" si="19"/>
        <v/>
      </c>
      <c r="AC146" s="521" t="str">
        <f t="shared" si="20"/>
        <v/>
      </c>
      <c r="AD146" s="564" t="str">
        <f>IFERROR(IF(AC146="Check Data ⚠","Check Data ⚠",VLOOKUP(AC146,'G-4 Temporal multipliers'!$A$4:$C$37,3,FALSE)),"")</f>
        <v/>
      </c>
      <c r="AE146" s="498" t="str">
        <f>IF(N146="","",VLOOKUP(N146,'G-7 Rivers Data'!$B$4:$G$8,5,FALSE))</f>
        <v/>
      </c>
      <c r="AF146" s="507" t="str">
        <f t="shared" si="21"/>
        <v/>
      </c>
      <c r="AG146" s="540" t="str">
        <f t="shared" si="22"/>
        <v/>
      </c>
      <c r="AH146" s="499" t="str">
        <f t="shared" si="16"/>
        <v/>
      </c>
      <c r="AI146" s="145"/>
      <c r="AJ146" s="499" t="str">
        <f>IF(AI146="","",IF(VLOOKUP(AI146,'G-7 Rivers Data'!$AA$4:$AB$7,2,FALSE)=0,"Spatial Data Missing ⚠",VLOOKUP(AI146,'G-7 Rivers Data'!$AA$4:$AB$7,2,FALSE)))</f>
        <v/>
      </c>
      <c r="AK146" s="155"/>
      <c r="AL146" s="499" t="str">
        <f>IF(AK146="","",IF(VLOOKUP(AK146,'G-7 Rivers Data'!$AD$4:$AE$8,2,FALSE)=0,"Spatial Data Missing ⚠",VLOOKUP(AK146,'G-7 Rivers Data'!$AD$4:$AE$8,2,FALSE)))</f>
        <v/>
      </c>
      <c r="AM146" s="545" t="str">
        <f t="shared" si="23"/>
        <v/>
      </c>
      <c r="AN146" s="149"/>
      <c r="AO146" s="150"/>
      <c r="AV146" s="31" t="str">
        <f>IFERROR(INDEX('G-7 Rivers Data'!$AZ$3:$AZ$7,MATCH(N146,'G-7 Rivers Data'!$AY$3:$AY$7,0)),"")</f>
        <v/>
      </c>
    </row>
    <row r="147" spans="2:48" ht="13.8" x14ac:dyDescent="0.25">
      <c r="B147" s="531" t="str">
        <f>'C-1 Site River Baseline'!AN145</f>
        <v/>
      </c>
      <c r="C147" s="520" t="str">
        <f>IF(B147="","",VLOOKUP($B147,'C-1 Site River Baseline'!$C$9:$R$257,2,FALSE))</f>
        <v/>
      </c>
      <c r="D147" s="520" t="str">
        <f>IF(C147="","",VLOOKUP($B147,'C-1 Site River Baseline'!$C$9:$R$257,3,FALSE))</f>
        <v/>
      </c>
      <c r="E147" s="520" t="str">
        <f>IF(D147="","",VLOOKUP($B147,'C-1 Site River Baseline'!$C$9:$R$257,4,FALSE))</f>
        <v/>
      </c>
      <c r="F147" s="520" t="str">
        <f>IF(E147="","",VLOOKUP($B147,'C-1 Site River Baseline'!$C$9:$R$257,5,FALSE))</f>
        <v/>
      </c>
      <c r="G147" s="520" t="str">
        <f>IF(F147="","",VLOOKUP($B147,'C-1 Site River Baseline'!$C$9:$R$257,6,FALSE))</f>
        <v/>
      </c>
      <c r="H147" s="520" t="str">
        <f>IF(G147="","",VLOOKUP($B147,'C-1 Site River Baseline'!$C$9:$R$257,7,FALSE))</f>
        <v/>
      </c>
      <c r="I147" s="520" t="str">
        <f>IF(H147="","",VLOOKUP($B147,'C-1 Site River Baseline'!$C$9:$R$257,8,FALSE))</f>
        <v/>
      </c>
      <c r="J147" s="520" t="str">
        <f>IF(I147="","",VLOOKUP($B147,'C-1 Site River Baseline'!$C$9:$R$257,9,FALSE))</f>
        <v/>
      </c>
      <c r="K147" s="520" t="str">
        <f>IF(J147="","",VLOOKUP($B147,'C-1 Site River Baseline'!$C$9:$R$257,10,FALSE))</f>
        <v/>
      </c>
      <c r="L147" s="520" t="str">
        <f>IF(B147="","",VLOOKUP($B147,'C-1 Site River Baseline'!$C$9:$R$257,15,FALSE))</f>
        <v/>
      </c>
      <c r="M147" s="524" t="str">
        <f>IF(L147="","",VLOOKUP($B147,'C-1 Site River Baseline'!$C$9:$R$257,16,FALSE))</f>
        <v/>
      </c>
      <c r="N147" s="418" t="str">
        <f t="shared" si="17"/>
        <v/>
      </c>
      <c r="O147" s="498" t="str">
        <f t="shared" si="18"/>
        <v/>
      </c>
      <c r="P147" s="499" t="str">
        <f>IF(C147="","",IF(AND(LEFT(C147,55)&lt;&gt;LEFT(N147,55),O147="High - High"),"Error - Not like for like ▲",IF(AND(F147=S147,H147&gt;U147),"Error - Can not reduce condition ▲",IF(AND(F147=S147,H147=U147,AJ147='C-1 Site River Baseline'!N145,'C-1 Site River Baseline'!P145=AL147),"Error - No enhancement ▲",IF(AND(C147&lt;&gt;N147,F147&lt;S147),"Lower Distinctiveness Habitat"&amp;" - "&amp;T147,G147&amp;" - "&amp;T147)))))</f>
        <v/>
      </c>
      <c r="Q147" s="567" t="str">
        <f>IF(N147="","",VLOOKUP(B147,'C-1 Site River Baseline'!$C$10:$AA$257,19,FALSE))</f>
        <v/>
      </c>
      <c r="R147" s="498" t="str">
        <f>IF(N147="","",VLOOKUP(N147,'G-7 Rivers Data'!$B$2:$G$8,2,FALSE))</f>
        <v/>
      </c>
      <c r="S147" s="499" t="str">
        <f>IFERROR(VLOOKUP(R147,'G-7 Rivers Data'!$C$4:$D$8,2,FALSE),"")</f>
        <v/>
      </c>
      <c r="T147" s="145"/>
      <c r="U147" s="499" t="str">
        <f>IFERROR(INDEX('G-7 Rivers Data'!$H$4:$L$8,MATCH(N147,'G-7 Rivers Data'!$B$4:$B$8,0),MATCH(T147,'G-7 Rivers Data'!$H$3:$L$3,0)),"")</f>
        <v/>
      </c>
      <c r="V147" s="154"/>
      <c r="W147" s="507" t="str">
        <f>IF(V147="","",IF(VLOOKUP(V147,'G-7 Rivers Data'!$AG$4:$AI$9,2,FALSE)=0,"Spatial Data Missing ⚠",VLOOKUP(V147,'G-7 Rivers Data'!$AG$4:$AI$9,2,FALSE)))</f>
        <v/>
      </c>
      <c r="X147" s="499" t="str">
        <f>IF(V147="","",IF(VLOOKUP(V147,'G-7 Rivers Data'!$AG$4:$AI$9,3,FALSE)=0,"Spatial Data Missing ⚠",VLOOKUP(V147,'G-7 Rivers Data'!$AG$4:$AI$9,3,FALSE)))</f>
        <v/>
      </c>
      <c r="Y147" s="498" t="str">
        <f>IFERROR(IF(OR(LEFT(P147,5)="Error ▲",LEFT(O147,5)="Error ▲"),"Check Data ⚠",IF(F147&lt;S147,'G-7 Rivers Data'!$R$3,INDEX('G-7 Rivers Data'!$U$5:$Y$9,MATCH(G147,'G-7 Rivers Data'!$T$5:$T$9,0),MATCH(T147,'G-7 Rivers Data'!$U$4:$Y$4,0)))),"")</f>
        <v/>
      </c>
      <c r="Z147" s="195"/>
      <c r="AA147" s="195"/>
      <c r="AB147" s="507" t="str">
        <f t="shared" si="19"/>
        <v/>
      </c>
      <c r="AC147" s="521" t="str">
        <f t="shared" si="20"/>
        <v/>
      </c>
      <c r="AD147" s="564" t="str">
        <f>IFERROR(IF(AC147="Check Data ⚠","Check Data ⚠",VLOOKUP(AC147,'G-4 Temporal multipliers'!$A$4:$C$37,3,FALSE)),"")</f>
        <v/>
      </c>
      <c r="AE147" s="498" t="str">
        <f>IF(N147="","",VLOOKUP(N147,'G-7 Rivers Data'!$B$4:$G$8,5,FALSE))</f>
        <v/>
      </c>
      <c r="AF147" s="507" t="str">
        <f t="shared" si="21"/>
        <v/>
      </c>
      <c r="AG147" s="540" t="str">
        <f t="shared" si="22"/>
        <v/>
      </c>
      <c r="AH147" s="499" t="str">
        <f t="shared" si="16"/>
        <v/>
      </c>
      <c r="AI147" s="145"/>
      <c r="AJ147" s="499" t="str">
        <f>IF(AI147="","",IF(VLOOKUP(AI147,'G-7 Rivers Data'!$AA$4:$AB$7,2,FALSE)=0,"Spatial Data Missing ⚠",VLOOKUP(AI147,'G-7 Rivers Data'!$AA$4:$AB$7,2,FALSE)))</f>
        <v/>
      </c>
      <c r="AK147" s="155"/>
      <c r="AL147" s="499" t="str">
        <f>IF(AK147="","",IF(VLOOKUP(AK147,'G-7 Rivers Data'!$AD$4:$AE$8,2,FALSE)=0,"Spatial Data Missing ⚠",VLOOKUP(AK147,'G-7 Rivers Data'!$AD$4:$AE$8,2,FALSE)))</f>
        <v/>
      </c>
      <c r="AM147" s="545" t="str">
        <f t="shared" si="23"/>
        <v/>
      </c>
      <c r="AN147" s="149"/>
      <c r="AO147" s="150"/>
      <c r="AV147" s="31" t="str">
        <f>IFERROR(INDEX('G-7 Rivers Data'!$AZ$3:$AZ$7,MATCH(N147,'G-7 Rivers Data'!$AY$3:$AY$7,0)),"")</f>
        <v/>
      </c>
    </row>
    <row r="148" spans="2:48" ht="13.8" x14ac:dyDescent="0.25">
      <c r="B148" s="531" t="str">
        <f>'C-1 Site River Baseline'!AN146</f>
        <v/>
      </c>
      <c r="C148" s="520" t="str">
        <f>IF(B148="","",VLOOKUP($B148,'C-1 Site River Baseline'!$C$9:$R$257,2,FALSE))</f>
        <v/>
      </c>
      <c r="D148" s="520" t="str">
        <f>IF(C148="","",VLOOKUP($B148,'C-1 Site River Baseline'!$C$9:$R$257,3,FALSE))</f>
        <v/>
      </c>
      <c r="E148" s="520" t="str">
        <f>IF(D148="","",VLOOKUP($B148,'C-1 Site River Baseline'!$C$9:$R$257,4,FALSE))</f>
        <v/>
      </c>
      <c r="F148" s="520" t="str">
        <f>IF(E148="","",VLOOKUP($B148,'C-1 Site River Baseline'!$C$9:$R$257,5,FALSE))</f>
        <v/>
      </c>
      <c r="G148" s="520" t="str">
        <f>IF(F148="","",VLOOKUP($B148,'C-1 Site River Baseline'!$C$9:$R$257,6,FALSE))</f>
        <v/>
      </c>
      <c r="H148" s="520" t="str">
        <f>IF(G148="","",VLOOKUP($B148,'C-1 Site River Baseline'!$C$9:$R$257,7,FALSE))</f>
        <v/>
      </c>
      <c r="I148" s="520" t="str">
        <f>IF(H148="","",VLOOKUP($B148,'C-1 Site River Baseline'!$C$9:$R$257,8,FALSE))</f>
        <v/>
      </c>
      <c r="J148" s="520" t="str">
        <f>IF(I148="","",VLOOKUP($B148,'C-1 Site River Baseline'!$C$9:$R$257,9,FALSE))</f>
        <v/>
      </c>
      <c r="K148" s="520" t="str">
        <f>IF(J148="","",VLOOKUP($B148,'C-1 Site River Baseline'!$C$9:$R$257,10,FALSE))</f>
        <v/>
      </c>
      <c r="L148" s="520" t="str">
        <f>IF(B148="","",VLOOKUP($B148,'C-1 Site River Baseline'!$C$9:$R$257,15,FALSE))</f>
        <v/>
      </c>
      <c r="M148" s="524" t="str">
        <f>IF(L148="","",VLOOKUP($B148,'C-1 Site River Baseline'!$C$9:$R$257,16,FALSE))</f>
        <v/>
      </c>
      <c r="N148" s="418" t="str">
        <f t="shared" si="17"/>
        <v/>
      </c>
      <c r="O148" s="498" t="str">
        <f t="shared" si="18"/>
        <v/>
      </c>
      <c r="P148" s="499" t="str">
        <f>IF(C148="","",IF(AND(LEFT(C148,55)&lt;&gt;LEFT(N148,55),O148="High - High"),"Error - Not like for like ▲",IF(AND(F148=S148,H148&gt;U148),"Error - Can not reduce condition ▲",IF(AND(F148=S148,H148=U148,AJ148='C-1 Site River Baseline'!N146,'C-1 Site River Baseline'!P146=AL148),"Error - No enhancement ▲",IF(AND(C148&lt;&gt;N148,F148&lt;S148),"Lower Distinctiveness Habitat"&amp;" - "&amp;T148,G148&amp;" - "&amp;T148)))))</f>
        <v/>
      </c>
      <c r="Q148" s="567" t="str">
        <f>IF(N148="","",VLOOKUP(B148,'C-1 Site River Baseline'!$C$10:$AA$257,19,FALSE))</f>
        <v/>
      </c>
      <c r="R148" s="498" t="str">
        <f>IF(N148="","",VLOOKUP(N148,'G-7 Rivers Data'!$B$2:$G$8,2,FALSE))</f>
        <v/>
      </c>
      <c r="S148" s="499" t="str">
        <f>IFERROR(VLOOKUP(R148,'G-7 Rivers Data'!$C$4:$D$8,2,FALSE),"")</f>
        <v/>
      </c>
      <c r="T148" s="145"/>
      <c r="U148" s="499" t="str">
        <f>IFERROR(INDEX('G-7 Rivers Data'!$H$4:$L$8,MATCH(N148,'G-7 Rivers Data'!$B$4:$B$8,0),MATCH(T148,'G-7 Rivers Data'!$H$3:$L$3,0)),"")</f>
        <v/>
      </c>
      <c r="V148" s="154"/>
      <c r="W148" s="507" t="str">
        <f>IF(V148="","",IF(VLOOKUP(V148,'G-7 Rivers Data'!$AG$4:$AI$9,2,FALSE)=0,"Spatial Data Missing ⚠",VLOOKUP(V148,'G-7 Rivers Data'!$AG$4:$AI$9,2,FALSE)))</f>
        <v/>
      </c>
      <c r="X148" s="499" t="str">
        <f>IF(V148="","",IF(VLOOKUP(V148,'G-7 Rivers Data'!$AG$4:$AI$9,3,FALSE)=0,"Spatial Data Missing ⚠",VLOOKUP(V148,'G-7 Rivers Data'!$AG$4:$AI$9,3,FALSE)))</f>
        <v/>
      </c>
      <c r="Y148" s="498" t="str">
        <f>IFERROR(IF(OR(LEFT(P148,5)="Error ▲",LEFT(O148,5)="Error ▲"),"Check Data ⚠",IF(F148&lt;S148,'G-7 Rivers Data'!$R$3,INDEX('G-7 Rivers Data'!$U$5:$Y$9,MATCH(G148,'G-7 Rivers Data'!$T$5:$T$9,0),MATCH(T148,'G-7 Rivers Data'!$U$4:$Y$4,0)))),"")</f>
        <v/>
      </c>
      <c r="Z148" s="195"/>
      <c r="AA148" s="195"/>
      <c r="AB148" s="507" t="str">
        <f t="shared" si="19"/>
        <v/>
      </c>
      <c r="AC148" s="521" t="str">
        <f t="shared" si="20"/>
        <v/>
      </c>
      <c r="AD148" s="564" t="str">
        <f>IFERROR(IF(AC148="Check Data ⚠","Check Data ⚠",VLOOKUP(AC148,'G-4 Temporal multipliers'!$A$4:$C$37,3,FALSE)),"")</f>
        <v/>
      </c>
      <c r="AE148" s="498" t="str">
        <f>IF(N148="","",VLOOKUP(N148,'G-7 Rivers Data'!$B$4:$G$8,5,FALSE))</f>
        <v/>
      </c>
      <c r="AF148" s="507" t="str">
        <f t="shared" si="21"/>
        <v/>
      </c>
      <c r="AG148" s="540" t="str">
        <f t="shared" si="22"/>
        <v/>
      </c>
      <c r="AH148" s="499" t="str">
        <f t="shared" si="16"/>
        <v/>
      </c>
      <c r="AI148" s="145"/>
      <c r="AJ148" s="499" t="str">
        <f>IF(AI148="","",IF(VLOOKUP(AI148,'G-7 Rivers Data'!$AA$4:$AB$7,2,FALSE)=0,"Spatial Data Missing ⚠",VLOOKUP(AI148,'G-7 Rivers Data'!$AA$4:$AB$7,2,FALSE)))</f>
        <v/>
      </c>
      <c r="AK148" s="155"/>
      <c r="AL148" s="499" t="str">
        <f>IF(AK148="","",IF(VLOOKUP(AK148,'G-7 Rivers Data'!$AD$4:$AE$8,2,FALSE)=0,"Spatial Data Missing ⚠",VLOOKUP(AK148,'G-7 Rivers Data'!$AD$4:$AE$8,2,FALSE)))</f>
        <v/>
      </c>
      <c r="AM148" s="545" t="str">
        <f t="shared" si="23"/>
        <v/>
      </c>
      <c r="AN148" s="149"/>
      <c r="AO148" s="150"/>
      <c r="AV148" s="31" t="str">
        <f>IFERROR(INDEX('G-7 Rivers Data'!$AZ$3:$AZ$7,MATCH(N148,'G-7 Rivers Data'!$AY$3:$AY$7,0)),"")</f>
        <v/>
      </c>
    </row>
    <row r="149" spans="2:48" ht="13.8" x14ac:dyDescent="0.25">
      <c r="B149" s="531" t="str">
        <f>'C-1 Site River Baseline'!AN147</f>
        <v/>
      </c>
      <c r="C149" s="520" t="str">
        <f>IF(B149="","",VLOOKUP($B149,'C-1 Site River Baseline'!$C$9:$R$257,2,FALSE))</f>
        <v/>
      </c>
      <c r="D149" s="520" t="str">
        <f>IF(C149="","",VLOOKUP($B149,'C-1 Site River Baseline'!$C$9:$R$257,3,FALSE))</f>
        <v/>
      </c>
      <c r="E149" s="520" t="str">
        <f>IF(D149="","",VLOOKUP($B149,'C-1 Site River Baseline'!$C$9:$R$257,4,FALSE))</f>
        <v/>
      </c>
      <c r="F149" s="520" t="str">
        <f>IF(E149="","",VLOOKUP($B149,'C-1 Site River Baseline'!$C$9:$R$257,5,FALSE))</f>
        <v/>
      </c>
      <c r="G149" s="520" t="str">
        <f>IF(F149="","",VLOOKUP($B149,'C-1 Site River Baseline'!$C$9:$R$257,6,FALSE))</f>
        <v/>
      </c>
      <c r="H149" s="520" t="str">
        <f>IF(G149="","",VLOOKUP($B149,'C-1 Site River Baseline'!$C$9:$R$257,7,FALSE))</f>
        <v/>
      </c>
      <c r="I149" s="520" t="str">
        <f>IF(H149="","",VLOOKUP($B149,'C-1 Site River Baseline'!$C$9:$R$257,8,FALSE))</f>
        <v/>
      </c>
      <c r="J149" s="520" t="str">
        <f>IF(I149="","",VLOOKUP($B149,'C-1 Site River Baseline'!$C$9:$R$257,9,FALSE))</f>
        <v/>
      </c>
      <c r="K149" s="520" t="str">
        <f>IF(J149="","",VLOOKUP($B149,'C-1 Site River Baseline'!$C$9:$R$257,10,FALSE))</f>
        <v/>
      </c>
      <c r="L149" s="520" t="str">
        <f>IF(B149="","",VLOOKUP($B149,'C-1 Site River Baseline'!$C$9:$R$257,15,FALSE))</f>
        <v/>
      </c>
      <c r="M149" s="524" t="str">
        <f>IF(L149="","",VLOOKUP($B149,'C-1 Site River Baseline'!$C$9:$R$257,16,FALSE))</f>
        <v/>
      </c>
      <c r="N149" s="418"/>
      <c r="O149" s="498" t="str">
        <f t="shared" si="18"/>
        <v/>
      </c>
      <c r="P149" s="499" t="str">
        <f>IF(C149="","",IF(AND(LEFT(C149,55)&lt;&gt;LEFT(N149,55),O149="High - High"),"Error - Not like for like ▲",IF(AND(F149=S149,H149&gt;U149),"Error - Can not reduce condition ▲",IF(AND(F149=S149,H149=U149,AJ149='C-1 Site River Baseline'!N147,'C-1 Site River Baseline'!P147=AL149),"Error - No enhancement ▲",IF(AND(C149&lt;&gt;N149,F149&lt;S149),"Lower Distinctiveness Habitat"&amp;" - "&amp;T149,G149&amp;" - "&amp;T149)))))</f>
        <v/>
      </c>
      <c r="Q149" s="567" t="str">
        <f>IF(N149="","",VLOOKUP(B149,'C-1 Site River Baseline'!$C$10:$AA$257,19,FALSE))</f>
        <v/>
      </c>
      <c r="R149" s="498" t="str">
        <f>IF(N149="","",VLOOKUP(N149,'G-7 Rivers Data'!$B$2:$G$8,2,FALSE))</f>
        <v/>
      </c>
      <c r="S149" s="499" t="str">
        <f>IFERROR(VLOOKUP(R149,'G-7 Rivers Data'!$C$4:$D$8,2,FALSE),"")</f>
        <v/>
      </c>
      <c r="T149" s="145"/>
      <c r="U149" s="499" t="str">
        <f>IFERROR(INDEX('G-7 Rivers Data'!$H$4:$L$8,MATCH(N149,'G-7 Rivers Data'!$B$4:$B$8,0),MATCH(T149,'G-7 Rivers Data'!$H$3:$L$3,0)),"")</f>
        <v/>
      </c>
      <c r="V149" s="154"/>
      <c r="W149" s="507" t="str">
        <f>IF(V149="","",IF(VLOOKUP(V149,'G-7 Rivers Data'!$AG$4:$AI$9,2,FALSE)=0,"Spatial Data Missing ⚠",VLOOKUP(V149,'G-7 Rivers Data'!$AG$4:$AI$9,2,FALSE)))</f>
        <v/>
      </c>
      <c r="X149" s="499" t="str">
        <f>IF(V149="","",IF(VLOOKUP(V149,'G-7 Rivers Data'!$AG$4:$AI$9,3,FALSE)=0,"Spatial Data Missing ⚠",VLOOKUP(V149,'G-7 Rivers Data'!$AG$4:$AI$9,3,FALSE)))</f>
        <v/>
      </c>
      <c r="Y149" s="498" t="str">
        <f>IFERROR(IF(OR(LEFT(P149,5)="Error ▲",LEFT(O149,5)="Error ▲"),"Check Data ⚠",IF(F149&lt;S149,'G-7 Rivers Data'!$R$3,INDEX('G-7 Rivers Data'!$U$5:$Y$9,MATCH(G149,'G-7 Rivers Data'!$T$5:$T$9,0),MATCH(T149,'G-7 Rivers Data'!$U$4:$Y$4,0)))),"")</f>
        <v/>
      </c>
      <c r="Z149" s="195"/>
      <c r="AA149" s="195"/>
      <c r="AB149" s="507" t="str">
        <f t="shared" si="19"/>
        <v/>
      </c>
      <c r="AC149" s="521" t="str">
        <f t="shared" si="20"/>
        <v/>
      </c>
      <c r="AD149" s="564" t="str">
        <f>IFERROR(IF(AC149="Check Data ⚠","Check Data ⚠",VLOOKUP(AC149,'G-4 Temporal multipliers'!$A$4:$C$37,3,FALSE)),"")</f>
        <v/>
      </c>
      <c r="AE149" s="498" t="str">
        <f>IF(N149="","",VLOOKUP(N149,'G-7 Rivers Data'!$B$4:$G$8,5,FALSE))</f>
        <v/>
      </c>
      <c r="AF149" s="507" t="str">
        <f t="shared" si="21"/>
        <v/>
      </c>
      <c r="AG149" s="540" t="str">
        <f t="shared" si="22"/>
        <v/>
      </c>
      <c r="AH149" s="499" t="str">
        <f t="shared" si="16"/>
        <v/>
      </c>
      <c r="AI149" s="145"/>
      <c r="AJ149" s="499" t="str">
        <f>IF(AI149="","",IF(VLOOKUP(AI149,'G-7 Rivers Data'!$AA$4:$AB$7,2,FALSE)=0,"Spatial Data Missing ⚠",VLOOKUP(AI149,'G-7 Rivers Data'!$AA$4:$AB$7,2,FALSE)))</f>
        <v/>
      </c>
      <c r="AK149" s="155"/>
      <c r="AL149" s="499" t="str">
        <f>IF(AK149="","",IF(VLOOKUP(AK149,'G-7 Rivers Data'!$AD$4:$AE$8,2,FALSE)=0,"Spatial Data Missing ⚠",VLOOKUP(AK149,'G-7 Rivers Data'!$AD$4:$AE$8,2,FALSE)))</f>
        <v/>
      </c>
      <c r="AM149" s="545" t="str">
        <f t="shared" si="23"/>
        <v/>
      </c>
      <c r="AN149" s="149"/>
      <c r="AO149" s="150"/>
      <c r="AV149" s="31" t="str">
        <f>IFERROR(INDEX('G-7 Rivers Data'!$AZ$3:$AZ$7,MATCH(N149,'G-7 Rivers Data'!$AY$3:$AY$7,0)),"")</f>
        <v/>
      </c>
    </row>
    <row r="150" spans="2:48" ht="13.8" x14ac:dyDescent="0.25">
      <c r="B150" s="531" t="str">
        <f>'C-1 Site River Baseline'!AN148</f>
        <v/>
      </c>
      <c r="C150" s="520" t="str">
        <f>IF(B150="","",VLOOKUP($B150,'C-1 Site River Baseline'!$C$9:$R$257,2,FALSE))</f>
        <v/>
      </c>
      <c r="D150" s="520" t="str">
        <f>IF(C150="","",VLOOKUP($B150,'C-1 Site River Baseline'!$C$9:$R$257,3,FALSE))</f>
        <v/>
      </c>
      <c r="E150" s="520" t="str">
        <f>IF(D150="","",VLOOKUP($B150,'C-1 Site River Baseline'!$C$9:$R$257,4,FALSE))</f>
        <v/>
      </c>
      <c r="F150" s="520" t="str">
        <f>IF(E150="","",VLOOKUP($B150,'C-1 Site River Baseline'!$C$9:$R$257,5,FALSE))</f>
        <v/>
      </c>
      <c r="G150" s="520" t="str">
        <f>IF(F150="","",VLOOKUP($B150,'C-1 Site River Baseline'!$C$9:$R$257,6,FALSE))</f>
        <v/>
      </c>
      <c r="H150" s="520" t="str">
        <f>IF(G150="","",VLOOKUP($B150,'C-1 Site River Baseline'!$C$9:$R$257,7,FALSE))</f>
        <v/>
      </c>
      <c r="I150" s="520" t="str">
        <f>IF(H150="","",VLOOKUP($B150,'C-1 Site River Baseline'!$C$9:$R$257,8,FALSE))</f>
        <v/>
      </c>
      <c r="J150" s="520" t="str">
        <f>IF(I150="","",VLOOKUP($B150,'C-1 Site River Baseline'!$C$9:$R$257,9,FALSE))</f>
        <v/>
      </c>
      <c r="K150" s="520" t="str">
        <f>IF(J150="","",VLOOKUP($B150,'C-1 Site River Baseline'!$C$9:$R$257,10,FALSE))</f>
        <v/>
      </c>
      <c r="L150" s="520" t="str">
        <f>IF(B150="","",VLOOKUP($B150,'C-1 Site River Baseline'!$C$9:$R$257,15,FALSE))</f>
        <v/>
      </c>
      <c r="M150" s="524" t="str">
        <f>IF(L150="","",VLOOKUP($B150,'C-1 Site River Baseline'!$C$9:$R$257,16,FALSE))</f>
        <v/>
      </c>
      <c r="N150" s="418" t="str">
        <f t="shared" si="17"/>
        <v/>
      </c>
      <c r="O150" s="498" t="str">
        <f t="shared" si="18"/>
        <v/>
      </c>
      <c r="P150" s="499" t="str">
        <f>IF(C150="","",IF(AND(LEFT(C150,55)&lt;&gt;LEFT(N150,55),O150="High - High"),"Error - Not like for like ▲",IF(AND(F150=S150,H150&gt;U150),"Error - Can not reduce condition ▲",IF(AND(F150=S150,H150=U150,AJ150='C-1 Site River Baseline'!N148,'C-1 Site River Baseline'!P148=AL150),"Error - No enhancement ▲",IF(AND(C150&lt;&gt;N150,F150&lt;S150),"Lower Distinctiveness Habitat"&amp;" - "&amp;T150,G150&amp;" - "&amp;T150)))))</f>
        <v/>
      </c>
      <c r="Q150" s="567" t="str">
        <f>IF(N150="","",VLOOKUP(B150,'C-1 Site River Baseline'!$C$10:$AA$257,19,FALSE))</f>
        <v/>
      </c>
      <c r="R150" s="498" t="str">
        <f>IF(N150="","",VLOOKUP(N150,'G-7 Rivers Data'!$B$2:$G$8,2,FALSE))</f>
        <v/>
      </c>
      <c r="S150" s="499" t="str">
        <f>IFERROR(VLOOKUP(R150,'G-7 Rivers Data'!$C$4:$D$8,2,FALSE),"")</f>
        <v/>
      </c>
      <c r="T150" s="145"/>
      <c r="U150" s="499" t="str">
        <f>IFERROR(INDEX('G-7 Rivers Data'!$H$4:$L$8,MATCH(N150,'G-7 Rivers Data'!$B$4:$B$8,0),MATCH(T150,'G-7 Rivers Data'!$H$3:$L$3,0)),"")</f>
        <v/>
      </c>
      <c r="V150" s="154"/>
      <c r="W150" s="507" t="str">
        <f>IF(V150="","",IF(VLOOKUP(V150,'G-7 Rivers Data'!$AG$4:$AI$9,2,FALSE)=0,"Spatial Data Missing ⚠",VLOOKUP(V150,'G-7 Rivers Data'!$AG$4:$AI$9,2,FALSE)))</f>
        <v/>
      </c>
      <c r="X150" s="499" t="str">
        <f>IF(V150="","",IF(VLOOKUP(V150,'G-7 Rivers Data'!$AG$4:$AI$9,3,FALSE)=0,"Spatial Data Missing ⚠",VLOOKUP(V150,'G-7 Rivers Data'!$AG$4:$AI$9,3,FALSE)))</f>
        <v/>
      </c>
      <c r="Y150" s="498" t="str">
        <f>IFERROR(IF(OR(LEFT(P150,5)="Error ▲",LEFT(O150,5)="Error ▲"),"Check Data ⚠",IF(F150&lt;S150,'G-7 Rivers Data'!$R$3,INDEX('G-7 Rivers Data'!$U$5:$Y$9,MATCH(G150,'G-7 Rivers Data'!$T$5:$T$9,0),MATCH(T150,'G-7 Rivers Data'!$U$4:$Y$4,0)))),"")</f>
        <v/>
      </c>
      <c r="Z150" s="195"/>
      <c r="AA150" s="195"/>
      <c r="AB150" s="507" t="str">
        <f t="shared" si="19"/>
        <v/>
      </c>
      <c r="AC150" s="521" t="str">
        <f t="shared" si="20"/>
        <v/>
      </c>
      <c r="AD150" s="564" t="str">
        <f>IFERROR(IF(AC150="Check Data ⚠","Check Data ⚠",VLOOKUP(AC150,'G-4 Temporal multipliers'!$A$4:$C$37,3,FALSE)),"")</f>
        <v/>
      </c>
      <c r="AE150" s="498" t="str">
        <f>IF(N150="","",VLOOKUP(N150,'G-7 Rivers Data'!$B$4:$G$8,5,FALSE))</f>
        <v/>
      </c>
      <c r="AF150" s="507" t="str">
        <f t="shared" si="21"/>
        <v/>
      </c>
      <c r="AG150" s="540" t="str">
        <f t="shared" si="22"/>
        <v/>
      </c>
      <c r="AH150" s="499" t="str">
        <f t="shared" si="16"/>
        <v/>
      </c>
      <c r="AI150" s="145"/>
      <c r="AJ150" s="499" t="str">
        <f>IF(AI150="","",IF(VLOOKUP(AI150,'G-7 Rivers Data'!$AA$4:$AB$7,2,FALSE)=0,"Spatial Data Missing ⚠",VLOOKUP(AI150,'G-7 Rivers Data'!$AA$4:$AB$7,2,FALSE)))</f>
        <v/>
      </c>
      <c r="AK150" s="155"/>
      <c r="AL150" s="499" t="str">
        <f>IF(AK150="","",IF(VLOOKUP(AK150,'G-7 Rivers Data'!$AD$4:$AE$8,2,FALSE)=0,"Spatial Data Missing ⚠",VLOOKUP(AK150,'G-7 Rivers Data'!$AD$4:$AE$8,2,FALSE)))</f>
        <v/>
      </c>
      <c r="AM150" s="545" t="str">
        <f t="shared" si="23"/>
        <v/>
      </c>
      <c r="AN150" s="149"/>
      <c r="AO150" s="150"/>
      <c r="AV150" s="31" t="str">
        <f>IFERROR(INDEX('G-7 Rivers Data'!$AZ$3:$AZ$7,MATCH(N150,'G-7 Rivers Data'!$AY$3:$AY$7,0)),"")</f>
        <v/>
      </c>
    </row>
    <row r="151" spans="2:48" ht="13.8" x14ac:dyDescent="0.25">
      <c r="B151" s="531" t="str">
        <f>'C-1 Site River Baseline'!AN149</f>
        <v/>
      </c>
      <c r="C151" s="520" t="str">
        <f>IF(B151="","",VLOOKUP($B151,'C-1 Site River Baseline'!$C$9:$R$257,2,FALSE))</f>
        <v/>
      </c>
      <c r="D151" s="520" t="str">
        <f>IF(C151="","",VLOOKUP($B151,'C-1 Site River Baseline'!$C$9:$R$257,3,FALSE))</f>
        <v/>
      </c>
      <c r="E151" s="520" t="str">
        <f>IF(D151="","",VLOOKUP($B151,'C-1 Site River Baseline'!$C$9:$R$257,4,FALSE))</f>
        <v/>
      </c>
      <c r="F151" s="520" t="str">
        <f>IF(E151="","",VLOOKUP($B151,'C-1 Site River Baseline'!$C$9:$R$257,5,FALSE))</f>
        <v/>
      </c>
      <c r="G151" s="520" t="str">
        <f>IF(F151="","",VLOOKUP($B151,'C-1 Site River Baseline'!$C$9:$R$257,6,FALSE))</f>
        <v/>
      </c>
      <c r="H151" s="520" t="str">
        <f>IF(G151="","",VLOOKUP($B151,'C-1 Site River Baseline'!$C$9:$R$257,7,FALSE))</f>
        <v/>
      </c>
      <c r="I151" s="520" t="str">
        <f>IF(H151="","",VLOOKUP($B151,'C-1 Site River Baseline'!$C$9:$R$257,8,FALSE))</f>
        <v/>
      </c>
      <c r="J151" s="520" t="str">
        <f>IF(I151="","",VLOOKUP($B151,'C-1 Site River Baseline'!$C$9:$R$257,9,FALSE))</f>
        <v/>
      </c>
      <c r="K151" s="520" t="str">
        <f>IF(J151="","",VLOOKUP($B151,'C-1 Site River Baseline'!$C$9:$R$257,10,FALSE))</f>
        <v/>
      </c>
      <c r="L151" s="520" t="str">
        <f>IF(B151="","",VLOOKUP($B151,'C-1 Site River Baseline'!$C$9:$R$257,15,FALSE))</f>
        <v/>
      </c>
      <c r="M151" s="524" t="str">
        <f>IF(L151="","",VLOOKUP($B151,'C-1 Site River Baseline'!$C$9:$R$257,16,FALSE))</f>
        <v/>
      </c>
      <c r="N151" s="418" t="str">
        <f t="shared" si="17"/>
        <v/>
      </c>
      <c r="O151" s="498" t="str">
        <f t="shared" si="18"/>
        <v/>
      </c>
      <c r="P151" s="499" t="str">
        <f>IF(C151="","",IF(AND(LEFT(C151,55)&lt;&gt;LEFT(N151,55),O151="High - High"),"Error - Not like for like ▲",IF(AND(F151=S151,H151&gt;U151),"Error - Can not reduce condition ▲",IF(AND(F151=S151,H151=U151,AJ151='C-1 Site River Baseline'!N149,'C-1 Site River Baseline'!P149=AL151),"Error - No enhancement ▲",IF(AND(C151&lt;&gt;N151,F151&lt;S151),"Lower Distinctiveness Habitat"&amp;" - "&amp;T151,G151&amp;" - "&amp;T151)))))</f>
        <v/>
      </c>
      <c r="Q151" s="567" t="str">
        <f>IF(N151="","",VLOOKUP(B151,'C-1 Site River Baseline'!$C$10:$AA$257,19,FALSE))</f>
        <v/>
      </c>
      <c r="R151" s="498" t="str">
        <f>IF(N151="","",VLOOKUP(N151,'G-7 Rivers Data'!$B$2:$G$8,2,FALSE))</f>
        <v/>
      </c>
      <c r="S151" s="499" t="str">
        <f>IFERROR(VLOOKUP(R151,'G-7 Rivers Data'!$C$4:$D$8,2,FALSE),"")</f>
        <v/>
      </c>
      <c r="T151" s="145"/>
      <c r="U151" s="499" t="str">
        <f>IFERROR(INDEX('G-7 Rivers Data'!$H$4:$L$8,MATCH(N151,'G-7 Rivers Data'!$B$4:$B$8,0),MATCH(T151,'G-7 Rivers Data'!$H$3:$L$3,0)),"")</f>
        <v/>
      </c>
      <c r="V151" s="154"/>
      <c r="W151" s="507" t="str">
        <f>IF(V151="","",IF(VLOOKUP(V151,'G-7 Rivers Data'!$AG$4:$AI$9,2,FALSE)=0,"Spatial Data Missing ⚠",VLOOKUP(V151,'G-7 Rivers Data'!$AG$4:$AI$9,2,FALSE)))</f>
        <v/>
      </c>
      <c r="X151" s="499" t="str">
        <f>IF(V151="","",IF(VLOOKUP(V151,'G-7 Rivers Data'!$AG$4:$AI$9,3,FALSE)=0,"Spatial Data Missing ⚠",VLOOKUP(V151,'G-7 Rivers Data'!$AG$4:$AI$9,3,FALSE)))</f>
        <v/>
      </c>
      <c r="Y151" s="498" t="str">
        <f>IFERROR(IF(OR(LEFT(P151,5)="Error ▲",LEFT(O151,5)="Error ▲"),"Check Data ⚠",IF(F151&lt;S151,'G-7 Rivers Data'!$R$3,INDEX('G-7 Rivers Data'!$U$5:$Y$9,MATCH(G151,'G-7 Rivers Data'!$T$5:$T$9,0),MATCH(T151,'G-7 Rivers Data'!$U$4:$Y$4,0)))),"")</f>
        <v/>
      </c>
      <c r="Z151" s="195"/>
      <c r="AA151" s="195"/>
      <c r="AB151" s="507" t="str">
        <f t="shared" si="19"/>
        <v/>
      </c>
      <c r="AC151" s="521" t="str">
        <f t="shared" si="20"/>
        <v/>
      </c>
      <c r="AD151" s="564" t="str">
        <f>IFERROR(IF(AC151="Check Data ⚠","Check Data ⚠",VLOOKUP(AC151,'G-4 Temporal multipliers'!$A$4:$C$37,3,FALSE)),"")</f>
        <v/>
      </c>
      <c r="AE151" s="498" t="str">
        <f>IF(N151="","",VLOOKUP(N151,'G-7 Rivers Data'!$B$4:$G$8,5,FALSE))</f>
        <v/>
      </c>
      <c r="AF151" s="507" t="str">
        <f t="shared" si="21"/>
        <v/>
      </c>
      <c r="AG151" s="540" t="str">
        <f t="shared" si="22"/>
        <v/>
      </c>
      <c r="AH151" s="499" t="str">
        <f t="shared" si="16"/>
        <v/>
      </c>
      <c r="AI151" s="145"/>
      <c r="AJ151" s="499" t="str">
        <f>IF(AI151="","",IF(VLOOKUP(AI151,'G-7 Rivers Data'!$AA$4:$AB$7,2,FALSE)=0,"Spatial Data Missing ⚠",VLOOKUP(AI151,'G-7 Rivers Data'!$AA$4:$AB$7,2,FALSE)))</f>
        <v/>
      </c>
      <c r="AK151" s="155"/>
      <c r="AL151" s="499" t="str">
        <f>IF(AK151="","",IF(VLOOKUP(AK151,'G-7 Rivers Data'!$AD$4:$AE$8,2,FALSE)=0,"Spatial Data Missing ⚠",VLOOKUP(AK151,'G-7 Rivers Data'!$AD$4:$AE$8,2,FALSE)))</f>
        <v/>
      </c>
      <c r="AM151" s="545" t="str">
        <f t="shared" si="23"/>
        <v/>
      </c>
      <c r="AN151" s="149"/>
      <c r="AO151" s="150"/>
      <c r="AV151" s="31" t="str">
        <f>IFERROR(INDEX('G-7 Rivers Data'!$AZ$3:$AZ$7,MATCH(N151,'G-7 Rivers Data'!$AY$3:$AY$7,0)),"")</f>
        <v/>
      </c>
    </row>
    <row r="152" spans="2:48" ht="13.8" x14ac:dyDescent="0.25">
      <c r="B152" s="531" t="str">
        <f>'C-1 Site River Baseline'!AN150</f>
        <v/>
      </c>
      <c r="C152" s="520" t="str">
        <f>IF(B152="","",VLOOKUP($B152,'C-1 Site River Baseline'!$C$9:$R$257,2,FALSE))</f>
        <v/>
      </c>
      <c r="D152" s="520" t="str">
        <f>IF(C152="","",VLOOKUP($B152,'C-1 Site River Baseline'!$C$9:$R$257,3,FALSE))</f>
        <v/>
      </c>
      <c r="E152" s="520" t="str">
        <f>IF(D152="","",VLOOKUP($B152,'C-1 Site River Baseline'!$C$9:$R$257,4,FALSE))</f>
        <v/>
      </c>
      <c r="F152" s="520" t="str">
        <f>IF(E152="","",VLOOKUP($B152,'C-1 Site River Baseline'!$C$9:$R$257,5,FALSE))</f>
        <v/>
      </c>
      <c r="G152" s="520" t="str">
        <f>IF(F152="","",VLOOKUP($B152,'C-1 Site River Baseline'!$C$9:$R$257,6,FALSE))</f>
        <v/>
      </c>
      <c r="H152" s="520" t="str">
        <f>IF(G152="","",VLOOKUP($B152,'C-1 Site River Baseline'!$C$9:$R$257,7,FALSE))</f>
        <v/>
      </c>
      <c r="I152" s="520" t="str">
        <f>IF(H152="","",VLOOKUP($B152,'C-1 Site River Baseline'!$C$9:$R$257,8,FALSE))</f>
        <v/>
      </c>
      <c r="J152" s="520" t="str">
        <f>IF(I152="","",VLOOKUP($B152,'C-1 Site River Baseline'!$C$9:$R$257,9,FALSE))</f>
        <v/>
      </c>
      <c r="K152" s="520" t="str">
        <f>IF(J152="","",VLOOKUP($B152,'C-1 Site River Baseline'!$C$9:$R$257,10,FALSE))</f>
        <v/>
      </c>
      <c r="L152" s="520" t="str">
        <f>IF(B152="","",VLOOKUP($B152,'C-1 Site River Baseline'!$C$9:$R$257,15,FALSE))</f>
        <v/>
      </c>
      <c r="M152" s="524" t="str">
        <f>IF(L152="","",VLOOKUP($B152,'C-1 Site River Baseline'!$C$9:$R$257,16,FALSE))</f>
        <v/>
      </c>
      <c r="N152" s="418" t="str">
        <f t="shared" si="17"/>
        <v/>
      </c>
      <c r="O152" s="498" t="str">
        <f t="shared" si="18"/>
        <v/>
      </c>
      <c r="P152" s="499" t="str">
        <f>IF(C152="","",IF(AND(LEFT(C152,55)&lt;&gt;LEFT(N152,55),O152="High - High"),"Error - Not like for like ▲",IF(AND(F152=S152,H152&gt;U152),"Error - Can not reduce condition ▲",IF(AND(F152=S152,H152=U152,AJ152='C-1 Site River Baseline'!N150,'C-1 Site River Baseline'!P150=AL152),"Error - No enhancement ▲",IF(AND(C152&lt;&gt;N152,F152&lt;S152),"Lower Distinctiveness Habitat"&amp;" - "&amp;T152,G152&amp;" - "&amp;T152)))))</f>
        <v/>
      </c>
      <c r="Q152" s="567" t="str">
        <f>IF(N152="","",VLOOKUP(B152,'C-1 Site River Baseline'!$C$10:$AA$257,19,FALSE))</f>
        <v/>
      </c>
      <c r="R152" s="498" t="str">
        <f>IF(N152="","",VLOOKUP(N152,'G-7 Rivers Data'!$B$2:$G$8,2,FALSE))</f>
        <v/>
      </c>
      <c r="S152" s="499" t="str">
        <f>IFERROR(VLOOKUP(R152,'G-7 Rivers Data'!$C$4:$D$8,2,FALSE),"")</f>
        <v/>
      </c>
      <c r="T152" s="145"/>
      <c r="U152" s="499" t="str">
        <f>IFERROR(INDEX('G-7 Rivers Data'!$H$4:$L$8,MATCH(N152,'G-7 Rivers Data'!$B$4:$B$8,0),MATCH(T152,'G-7 Rivers Data'!$H$3:$L$3,0)),"")</f>
        <v/>
      </c>
      <c r="V152" s="154"/>
      <c r="W152" s="507" t="str">
        <f>IF(V152="","",IF(VLOOKUP(V152,'G-7 Rivers Data'!$AG$4:$AI$9,2,FALSE)=0,"Spatial Data Missing ⚠",VLOOKUP(V152,'G-7 Rivers Data'!$AG$4:$AI$9,2,FALSE)))</f>
        <v/>
      </c>
      <c r="X152" s="499" t="str">
        <f>IF(V152="","",IF(VLOOKUP(V152,'G-7 Rivers Data'!$AG$4:$AI$9,3,FALSE)=0,"Spatial Data Missing ⚠",VLOOKUP(V152,'G-7 Rivers Data'!$AG$4:$AI$9,3,FALSE)))</f>
        <v/>
      </c>
      <c r="Y152" s="498" t="str">
        <f>IFERROR(IF(OR(LEFT(P152,5)="Error ▲",LEFT(O152,5)="Error ▲"),"Check Data ⚠",IF(F152&lt;S152,'G-7 Rivers Data'!$R$3,INDEX('G-7 Rivers Data'!$U$5:$Y$9,MATCH(G152,'G-7 Rivers Data'!$T$5:$T$9,0),MATCH(T152,'G-7 Rivers Data'!$U$4:$Y$4,0)))),"")</f>
        <v/>
      </c>
      <c r="Z152" s="195"/>
      <c r="AA152" s="195"/>
      <c r="AB152" s="507" t="str">
        <f t="shared" si="19"/>
        <v/>
      </c>
      <c r="AC152" s="521" t="str">
        <f t="shared" si="20"/>
        <v/>
      </c>
      <c r="AD152" s="564" t="str">
        <f>IFERROR(IF(AC152="Check Data ⚠","Check Data ⚠",VLOOKUP(AC152,'G-4 Temporal multipliers'!$A$4:$C$37,3,FALSE)),"")</f>
        <v/>
      </c>
      <c r="AE152" s="498" t="str">
        <f>IF(N152="","",VLOOKUP(N152,'G-7 Rivers Data'!$B$4:$G$8,5,FALSE))</f>
        <v/>
      </c>
      <c r="AF152" s="507" t="str">
        <f t="shared" si="21"/>
        <v/>
      </c>
      <c r="AG152" s="540" t="str">
        <f t="shared" si="22"/>
        <v/>
      </c>
      <c r="AH152" s="499" t="str">
        <f t="shared" si="16"/>
        <v/>
      </c>
      <c r="AI152" s="145"/>
      <c r="AJ152" s="499" t="str">
        <f>IF(AI152="","",IF(VLOOKUP(AI152,'G-7 Rivers Data'!$AA$4:$AB$7,2,FALSE)=0,"Spatial Data Missing ⚠",VLOOKUP(AI152,'G-7 Rivers Data'!$AA$4:$AB$7,2,FALSE)))</f>
        <v/>
      </c>
      <c r="AK152" s="155"/>
      <c r="AL152" s="499" t="str">
        <f>IF(AK152="","",IF(VLOOKUP(AK152,'G-7 Rivers Data'!$AD$4:$AE$8,2,FALSE)=0,"Spatial Data Missing ⚠",VLOOKUP(AK152,'G-7 Rivers Data'!$AD$4:$AE$8,2,FALSE)))</f>
        <v/>
      </c>
      <c r="AM152" s="545" t="str">
        <f t="shared" si="23"/>
        <v/>
      </c>
      <c r="AN152" s="149"/>
      <c r="AO152" s="150"/>
      <c r="AV152" s="31" t="str">
        <f>IFERROR(INDEX('G-7 Rivers Data'!$AZ$3:$AZ$7,MATCH(N152,'G-7 Rivers Data'!$AY$3:$AY$7,0)),"")</f>
        <v/>
      </c>
    </row>
    <row r="153" spans="2:48" ht="13.8" x14ac:dyDescent="0.25">
      <c r="B153" s="531" t="str">
        <f>'C-1 Site River Baseline'!AN151</f>
        <v/>
      </c>
      <c r="C153" s="520" t="str">
        <f>IF(B153="","",VLOOKUP($B153,'C-1 Site River Baseline'!$C$9:$R$257,2,FALSE))</f>
        <v/>
      </c>
      <c r="D153" s="520" t="str">
        <f>IF(C153="","",VLOOKUP($B153,'C-1 Site River Baseline'!$C$9:$R$257,3,FALSE))</f>
        <v/>
      </c>
      <c r="E153" s="520" t="str">
        <f>IF(D153="","",VLOOKUP($B153,'C-1 Site River Baseline'!$C$9:$R$257,4,FALSE))</f>
        <v/>
      </c>
      <c r="F153" s="520" t="str">
        <f>IF(E153="","",VLOOKUP($B153,'C-1 Site River Baseline'!$C$9:$R$257,5,FALSE))</f>
        <v/>
      </c>
      <c r="G153" s="520" t="str">
        <f>IF(F153="","",VLOOKUP($B153,'C-1 Site River Baseline'!$C$9:$R$257,6,FALSE))</f>
        <v/>
      </c>
      <c r="H153" s="520" t="str">
        <f>IF(G153="","",VLOOKUP($B153,'C-1 Site River Baseline'!$C$9:$R$257,7,FALSE))</f>
        <v/>
      </c>
      <c r="I153" s="520" t="str">
        <f>IF(H153="","",VLOOKUP($B153,'C-1 Site River Baseline'!$C$9:$R$257,8,FALSE))</f>
        <v/>
      </c>
      <c r="J153" s="520" t="str">
        <f>IF(I153="","",VLOOKUP($B153,'C-1 Site River Baseline'!$C$9:$R$257,9,FALSE))</f>
        <v/>
      </c>
      <c r="K153" s="520" t="str">
        <f>IF(J153="","",VLOOKUP($B153,'C-1 Site River Baseline'!$C$9:$R$257,10,FALSE))</f>
        <v/>
      </c>
      <c r="L153" s="520" t="str">
        <f>IF(B153="","",VLOOKUP($B153,'C-1 Site River Baseline'!$C$9:$R$257,15,FALSE))</f>
        <v/>
      </c>
      <c r="M153" s="524" t="str">
        <f>IF(L153="","",VLOOKUP($B153,'C-1 Site River Baseline'!$C$9:$R$257,16,FALSE))</f>
        <v/>
      </c>
      <c r="N153" s="418" t="str">
        <f t="shared" si="17"/>
        <v/>
      </c>
      <c r="O153" s="498" t="str">
        <f t="shared" si="18"/>
        <v/>
      </c>
      <c r="P153" s="499" t="str">
        <f>IF(C153="","",IF(AND(LEFT(C153,55)&lt;&gt;LEFT(N153,55),O153="High - High"),"Error - Not like for like ▲",IF(AND(F153=S153,H153&gt;U153),"Error - Can not reduce condition ▲",IF(AND(F153=S153,H153=U153,AJ153='C-1 Site River Baseline'!N151,'C-1 Site River Baseline'!P151=AL153),"Error - No enhancement ▲",IF(AND(C153&lt;&gt;N153,F153&lt;S153),"Lower Distinctiveness Habitat"&amp;" - "&amp;T153,G153&amp;" - "&amp;T153)))))</f>
        <v/>
      </c>
      <c r="Q153" s="567" t="str">
        <f>IF(N153="","",VLOOKUP(B153,'C-1 Site River Baseline'!$C$10:$AA$257,19,FALSE))</f>
        <v/>
      </c>
      <c r="R153" s="498" t="str">
        <f>IF(N153="","",VLOOKUP(N153,'G-7 Rivers Data'!$B$2:$G$8,2,FALSE))</f>
        <v/>
      </c>
      <c r="S153" s="499" t="str">
        <f>IFERROR(VLOOKUP(R153,'G-7 Rivers Data'!$C$4:$D$8,2,FALSE),"")</f>
        <v/>
      </c>
      <c r="T153" s="145"/>
      <c r="U153" s="499" t="str">
        <f>IFERROR(INDEX('G-7 Rivers Data'!$H$4:$L$8,MATCH(N153,'G-7 Rivers Data'!$B$4:$B$8,0),MATCH(T153,'G-7 Rivers Data'!$H$3:$L$3,0)),"")</f>
        <v/>
      </c>
      <c r="V153" s="154"/>
      <c r="W153" s="507" t="str">
        <f>IF(V153="","",IF(VLOOKUP(V153,'G-7 Rivers Data'!$AG$4:$AI$9,2,FALSE)=0,"Spatial Data Missing ⚠",VLOOKUP(V153,'G-7 Rivers Data'!$AG$4:$AI$9,2,FALSE)))</f>
        <v/>
      </c>
      <c r="X153" s="499" t="str">
        <f>IF(V153="","",IF(VLOOKUP(V153,'G-7 Rivers Data'!$AG$4:$AI$9,3,FALSE)=0,"Spatial Data Missing ⚠",VLOOKUP(V153,'G-7 Rivers Data'!$AG$4:$AI$9,3,FALSE)))</f>
        <v/>
      </c>
      <c r="Y153" s="498" t="str">
        <f>IFERROR(IF(OR(LEFT(P153,5)="Error ▲",LEFT(O153,5)="Error ▲"),"Check Data ⚠",IF(F153&lt;S153,'G-7 Rivers Data'!$R$3,INDEX('G-7 Rivers Data'!$U$5:$Y$9,MATCH(G153,'G-7 Rivers Data'!$T$5:$T$9,0),MATCH(T153,'G-7 Rivers Data'!$U$4:$Y$4,0)))),"")</f>
        <v/>
      </c>
      <c r="Z153" s="195"/>
      <c r="AA153" s="195"/>
      <c r="AB153" s="507" t="str">
        <f t="shared" si="19"/>
        <v/>
      </c>
      <c r="AC153" s="521" t="str">
        <f t="shared" si="20"/>
        <v/>
      </c>
      <c r="AD153" s="564" t="str">
        <f>IFERROR(IF(AC153="Check Data ⚠","Check Data ⚠",VLOOKUP(AC153,'G-4 Temporal multipliers'!$A$4:$C$37,3,FALSE)),"")</f>
        <v/>
      </c>
      <c r="AE153" s="498" t="str">
        <f>IF(N153="","",VLOOKUP(N153,'G-7 Rivers Data'!$B$4:$G$8,5,FALSE))</f>
        <v/>
      </c>
      <c r="AF153" s="507" t="str">
        <f t="shared" si="21"/>
        <v/>
      </c>
      <c r="AG153" s="540" t="str">
        <f t="shared" si="22"/>
        <v/>
      </c>
      <c r="AH153" s="499" t="str">
        <f t="shared" si="16"/>
        <v/>
      </c>
      <c r="AI153" s="145"/>
      <c r="AJ153" s="499" t="str">
        <f>IF(AI153="","",IF(VLOOKUP(AI153,'G-7 Rivers Data'!$AA$4:$AB$7,2,FALSE)=0,"Spatial Data Missing ⚠",VLOOKUP(AI153,'G-7 Rivers Data'!$AA$4:$AB$7,2,FALSE)))</f>
        <v/>
      </c>
      <c r="AK153" s="155"/>
      <c r="AL153" s="499" t="str">
        <f>IF(AK153="","",IF(VLOOKUP(AK153,'G-7 Rivers Data'!$AD$4:$AE$8,2,FALSE)=0,"Spatial Data Missing ⚠",VLOOKUP(AK153,'G-7 Rivers Data'!$AD$4:$AE$8,2,FALSE)))</f>
        <v/>
      </c>
      <c r="AM153" s="545" t="str">
        <f t="shared" si="23"/>
        <v/>
      </c>
      <c r="AN153" s="149"/>
      <c r="AO153" s="150"/>
      <c r="AV153" s="31" t="str">
        <f>IFERROR(INDEX('G-7 Rivers Data'!$AZ$3:$AZ$7,MATCH(N153,'G-7 Rivers Data'!$AY$3:$AY$7,0)),"")</f>
        <v/>
      </c>
    </row>
    <row r="154" spans="2:48" ht="13.8" x14ac:dyDescent="0.25">
      <c r="B154" s="531" t="str">
        <f>'C-1 Site River Baseline'!AN152</f>
        <v/>
      </c>
      <c r="C154" s="520" t="str">
        <f>IF(B154="","",VLOOKUP($B154,'C-1 Site River Baseline'!$C$9:$R$257,2,FALSE))</f>
        <v/>
      </c>
      <c r="D154" s="520" t="str">
        <f>IF(C154="","",VLOOKUP($B154,'C-1 Site River Baseline'!$C$9:$R$257,3,FALSE))</f>
        <v/>
      </c>
      <c r="E154" s="520" t="str">
        <f>IF(D154="","",VLOOKUP($B154,'C-1 Site River Baseline'!$C$9:$R$257,4,FALSE))</f>
        <v/>
      </c>
      <c r="F154" s="520" t="str">
        <f>IF(E154="","",VLOOKUP($B154,'C-1 Site River Baseline'!$C$9:$R$257,5,FALSE))</f>
        <v/>
      </c>
      <c r="G154" s="520" t="str">
        <f>IF(F154="","",VLOOKUP($B154,'C-1 Site River Baseline'!$C$9:$R$257,6,FALSE))</f>
        <v/>
      </c>
      <c r="H154" s="520" t="str">
        <f>IF(G154="","",VLOOKUP($B154,'C-1 Site River Baseline'!$C$9:$R$257,7,FALSE))</f>
        <v/>
      </c>
      <c r="I154" s="520" t="str">
        <f>IF(H154="","",VLOOKUP($B154,'C-1 Site River Baseline'!$C$9:$R$257,8,FALSE))</f>
        <v/>
      </c>
      <c r="J154" s="520" t="str">
        <f>IF(I154="","",VLOOKUP($B154,'C-1 Site River Baseline'!$C$9:$R$257,9,FALSE))</f>
        <v/>
      </c>
      <c r="K154" s="520" t="str">
        <f>IF(J154="","",VLOOKUP($B154,'C-1 Site River Baseline'!$C$9:$R$257,10,FALSE))</f>
        <v/>
      </c>
      <c r="L154" s="520" t="str">
        <f>IF(B154="","",VLOOKUP($B154,'C-1 Site River Baseline'!$C$9:$R$257,15,FALSE))</f>
        <v/>
      </c>
      <c r="M154" s="524" t="str">
        <f>IF(L154="","",VLOOKUP($B154,'C-1 Site River Baseline'!$C$9:$R$257,16,FALSE))</f>
        <v/>
      </c>
      <c r="N154" s="418" t="str">
        <f t="shared" si="17"/>
        <v/>
      </c>
      <c r="O154" s="498" t="str">
        <f t="shared" si="18"/>
        <v/>
      </c>
      <c r="P154" s="499" t="str">
        <f>IF(C154="","",IF(AND(LEFT(C154,55)&lt;&gt;LEFT(N154,55),O154="High - High"),"Error - Not like for like ▲",IF(AND(F154=S154,H154&gt;U154),"Error - Can not reduce condition ▲",IF(AND(F154=S154,H154=U154,AJ154='C-1 Site River Baseline'!N152,'C-1 Site River Baseline'!P152=AL154),"Error - No enhancement ▲",IF(AND(C154&lt;&gt;N154,F154&lt;S154),"Lower Distinctiveness Habitat"&amp;" - "&amp;T154,G154&amp;" - "&amp;T154)))))</f>
        <v/>
      </c>
      <c r="Q154" s="567" t="str">
        <f>IF(N154="","",VLOOKUP(B154,'C-1 Site River Baseline'!$C$10:$AA$257,19,FALSE))</f>
        <v/>
      </c>
      <c r="R154" s="498" t="str">
        <f>IF(N154="","",VLOOKUP(N154,'G-7 Rivers Data'!$B$2:$G$8,2,FALSE))</f>
        <v/>
      </c>
      <c r="S154" s="499" t="str">
        <f>IFERROR(VLOOKUP(R154,'G-7 Rivers Data'!$C$4:$D$8,2,FALSE),"")</f>
        <v/>
      </c>
      <c r="T154" s="145"/>
      <c r="U154" s="499" t="str">
        <f>IFERROR(INDEX('G-7 Rivers Data'!$H$4:$L$8,MATCH(N154,'G-7 Rivers Data'!$B$4:$B$8,0),MATCH(T154,'G-7 Rivers Data'!$H$3:$L$3,0)),"")</f>
        <v/>
      </c>
      <c r="V154" s="154"/>
      <c r="W154" s="507" t="str">
        <f>IF(V154="","",IF(VLOOKUP(V154,'G-7 Rivers Data'!$AG$4:$AI$9,2,FALSE)=0,"Spatial Data Missing ⚠",VLOOKUP(V154,'G-7 Rivers Data'!$AG$4:$AI$9,2,FALSE)))</f>
        <v/>
      </c>
      <c r="X154" s="499" t="str">
        <f>IF(V154="","",IF(VLOOKUP(V154,'G-7 Rivers Data'!$AG$4:$AI$9,3,FALSE)=0,"Spatial Data Missing ⚠",VLOOKUP(V154,'G-7 Rivers Data'!$AG$4:$AI$9,3,FALSE)))</f>
        <v/>
      </c>
      <c r="Y154" s="498" t="str">
        <f>IFERROR(IF(OR(LEFT(P154,5)="Error ▲",LEFT(O154,5)="Error ▲"),"Check Data ⚠",IF(F154&lt;S154,'G-7 Rivers Data'!$R$3,INDEX('G-7 Rivers Data'!$U$5:$Y$9,MATCH(G154,'G-7 Rivers Data'!$T$5:$T$9,0),MATCH(T154,'G-7 Rivers Data'!$U$4:$Y$4,0)))),"")</f>
        <v/>
      </c>
      <c r="Z154" s="195"/>
      <c r="AA154" s="195"/>
      <c r="AB154" s="507" t="str">
        <f t="shared" si="19"/>
        <v/>
      </c>
      <c r="AC154" s="521" t="str">
        <f t="shared" si="20"/>
        <v/>
      </c>
      <c r="AD154" s="564" t="str">
        <f>IFERROR(IF(AC154="Check Data ⚠","Check Data ⚠",VLOOKUP(AC154,'G-4 Temporal multipliers'!$A$4:$C$37,3,FALSE)),"")</f>
        <v/>
      </c>
      <c r="AE154" s="498" t="str">
        <f>IF(N154="","",VLOOKUP(N154,'G-7 Rivers Data'!$B$4:$G$8,5,FALSE))</f>
        <v/>
      </c>
      <c r="AF154" s="507" t="str">
        <f t="shared" si="21"/>
        <v/>
      </c>
      <c r="AG154" s="540" t="str">
        <f t="shared" si="22"/>
        <v/>
      </c>
      <c r="AH154" s="499" t="str">
        <f t="shared" si="16"/>
        <v/>
      </c>
      <c r="AI154" s="145"/>
      <c r="AJ154" s="499" t="str">
        <f>IF(AI154="","",IF(VLOOKUP(AI154,'G-7 Rivers Data'!$AA$4:$AB$7,2,FALSE)=0,"Spatial Data Missing ⚠",VLOOKUP(AI154,'G-7 Rivers Data'!$AA$4:$AB$7,2,FALSE)))</f>
        <v/>
      </c>
      <c r="AK154" s="155"/>
      <c r="AL154" s="499" t="str">
        <f>IF(AK154="","",IF(VLOOKUP(AK154,'G-7 Rivers Data'!$AD$4:$AE$8,2,FALSE)=0,"Spatial Data Missing ⚠",VLOOKUP(AK154,'G-7 Rivers Data'!$AD$4:$AE$8,2,FALSE)))</f>
        <v/>
      </c>
      <c r="AM154" s="545" t="str">
        <f t="shared" si="23"/>
        <v/>
      </c>
      <c r="AN154" s="149"/>
      <c r="AO154" s="150"/>
      <c r="AV154" s="31" t="str">
        <f>IFERROR(INDEX('G-7 Rivers Data'!$AZ$3:$AZ$7,MATCH(N154,'G-7 Rivers Data'!$AY$3:$AY$7,0)),"")</f>
        <v/>
      </c>
    </row>
    <row r="155" spans="2:48" ht="13.8" x14ac:dyDescent="0.25">
      <c r="B155" s="531" t="str">
        <f>'C-1 Site River Baseline'!AN153</f>
        <v/>
      </c>
      <c r="C155" s="520" t="str">
        <f>IF(B155="","",VLOOKUP($B155,'C-1 Site River Baseline'!$C$9:$R$257,2,FALSE))</f>
        <v/>
      </c>
      <c r="D155" s="520" t="str">
        <f>IF(C155="","",VLOOKUP($B155,'C-1 Site River Baseline'!$C$9:$R$257,3,FALSE))</f>
        <v/>
      </c>
      <c r="E155" s="520" t="str">
        <f>IF(D155="","",VLOOKUP($B155,'C-1 Site River Baseline'!$C$9:$R$257,4,FALSE))</f>
        <v/>
      </c>
      <c r="F155" s="520" t="str">
        <f>IF(E155="","",VLOOKUP($B155,'C-1 Site River Baseline'!$C$9:$R$257,5,FALSE))</f>
        <v/>
      </c>
      <c r="G155" s="520" t="str">
        <f>IF(F155="","",VLOOKUP($B155,'C-1 Site River Baseline'!$C$9:$R$257,6,FALSE))</f>
        <v/>
      </c>
      <c r="H155" s="520" t="str">
        <f>IF(G155="","",VLOOKUP($B155,'C-1 Site River Baseline'!$C$9:$R$257,7,FALSE))</f>
        <v/>
      </c>
      <c r="I155" s="520" t="str">
        <f>IF(H155="","",VLOOKUP($B155,'C-1 Site River Baseline'!$C$9:$R$257,8,FALSE))</f>
        <v/>
      </c>
      <c r="J155" s="520" t="str">
        <f>IF(I155="","",VLOOKUP($B155,'C-1 Site River Baseline'!$C$9:$R$257,9,FALSE))</f>
        <v/>
      </c>
      <c r="K155" s="520" t="str">
        <f>IF(J155="","",VLOOKUP($B155,'C-1 Site River Baseline'!$C$9:$R$257,10,FALSE))</f>
        <v/>
      </c>
      <c r="L155" s="520" t="str">
        <f>IF(B155="","",VLOOKUP($B155,'C-1 Site River Baseline'!$C$9:$R$257,15,FALSE))</f>
        <v/>
      </c>
      <c r="M155" s="524" t="str">
        <f>IF(L155="","",VLOOKUP($B155,'C-1 Site River Baseline'!$C$9:$R$257,16,FALSE))</f>
        <v/>
      </c>
      <c r="N155" s="418" t="str">
        <f t="shared" si="17"/>
        <v/>
      </c>
      <c r="O155" s="498" t="str">
        <f t="shared" si="18"/>
        <v/>
      </c>
      <c r="P155" s="499" t="str">
        <f>IF(C155="","",IF(AND(LEFT(C155,55)&lt;&gt;LEFT(N155,55),O155="High - High"),"Error - Not like for like ▲",IF(AND(F155=S155,H155&gt;U155),"Error - Can not reduce condition ▲",IF(AND(F155=S155,H155=U155,AJ155='C-1 Site River Baseline'!N153,'C-1 Site River Baseline'!P153=AL155),"Error - No enhancement ▲",IF(AND(C155&lt;&gt;N155,F155&lt;S155),"Lower Distinctiveness Habitat"&amp;" - "&amp;T155,G155&amp;" - "&amp;T155)))))</f>
        <v/>
      </c>
      <c r="Q155" s="567" t="str">
        <f>IF(N155="","",VLOOKUP(B155,'C-1 Site River Baseline'!$C$10:$AA$257,19,FALSE))</f>
        <v/>
      </c>
      <c r="R155" s="498" t="str">
        <f>IF(N155="","",VLOOKUP(N155,'G-7 Rivers Data'!$B$2:$G$8,2,FALSE))</f>
        <v/>
      </c>
      <c r="S155" s="499" t="str">
        <f>IFERROR(VLOOKUP(R155,'G-7 Rivers Data'!$C$4:$D$8,2,FALSE),"")</f>
        <v/>
      </c>
      <c r="T155" s="145"/>
      <c r="U155" s="499" t="str">
        <f>IFERROR(INDEX('G-7 Rivers Data'!$H$4:$L$8,MATCH(N155,'G-7 Rivers Data'!$B$4:$B$8,0),MATCH(T155,'G-7 Rivers Data'!$H$3:$L$3,0)),"")</f>
        <v/>
      </c>
      <c r="V155" s="154"/>
      <c r="W155" s="507" t="str">
        <f>IF(V155="","",IF(VLOOKUP(V155,'G-7 Rivers Data'!$AG$4:$AI$9,2,FALSE)=0,"Spatial Data Missing ⚠",VLOOKUP(V155,'G-7 Rivers Data'!$AG$4:$AI$9,2,FALSE)))</f>
        <v/>
      </c>
      <c r="X155" s="499" t="str">
        <f>IF(V155="","",IF(VLOOKUP(V155,'G-7 Rivers Data'!$AG$4:$AI$9,3,FALSE)=0,"Spatial Data Missing ⚠",VLOOKUP(V155,'G-7 Rivers Data'!$AG$4:$AI$9,3,FALSE)))</f>
        <v/>
      </c>
      <c r="Y155" s="498" t="str">
        <f>IFERROR(IF(OR(LEFT(P155,5)="Error ▲",LEFT(O155,5)="Error ▲"),"Check Data ⚠",IF(F155&lt;S155,'G-7 Rivers Data'!$R$3,INDEX('G-7 Rivers Data'!$U$5:$Y$9,MATCH(G155,'G-7 Rivers Data'!$T$5:$T$9,0),MATCH(T155,'G-7 Rivers Data'!$U$4:$Y$4,0)))),"")</f>
        <v/>
      </c>
      <c r="Z155" s="195"/>
      <c r="AA155" s="195"/>
      <c r="AB155" s="507" t="str">
        <f t="shared" si="19"/>
        <v/>
      </c>
      <c r="AC155" s="521" t="str">
        <f t="shared" si="20"/>
        <v/>
      </c>
      <c r="AD155" s="564" t="str">
        <f>IFERROR(IF(AC155="Check Data ⚠","Check Data ⚠",VLOOKUP(AC155,'G-4 Temporal multipliers'!$A$4:$C$37,3,FALSE)),"")</f>
        <v/>
      </c>
      <c r="AE155" s="498" t="str">
        <f>IF(N155="","",VLOOKUP(N155,'G-7 Rivers Data'!$B$4:$G$8,5,FALSE))</f>
        <v/>
      </c>
      <c r="AF155" s="507" t="str">
        <f t="shared" si="21"/>
        <v/>
      </c>
      <c r="AG155" s="540" t="str">
        <f t="shared" si="22"/>
        <v/>
      </c>
      <c r="AH155" s="499" t="str">
        <f t="shared" si="16"/>
        <v/>
      </c>
      <c r="AI155" s="145"/>
      <c r="AJ155" s="499" t="str">
        <f>IF(AI155="","",IF(VLOOKUP(AI155,'G-7 Rivers Data'!$AA$4:$AB$7,2,FALSE)=0,"Spatial Data Missing ⚠",VLOOKUP(AI155,'G-7 Rivers Data'!$AA$4:$AB$7,2,FALSE)))</f>
        <v/>
      </c>
      <c r="AK155" s="155"/>
      <c r="AL155" s="499" t="str">
        <f>IF(AK155="","",IF(VLOOKUP(AK155,'G-7 Rivers Data'!$AD$4:$AE$8,2,FALSE)=0,"Spatial Data Missing ⚠",VLOOKUP(AK155,'G-7 Rivers Data'!$AD$4:$AE$8,2,FALSE)))</f>
        <v/>
      </c>
      <c r="AM155" s="545" t="str">
        <f t="shared" si="23"/>
        <v/>
      </c>
      <c r="AN155" s="149"/>
      <c r="AO155" s="150"/>
      <c r="AV155" s="31" t="str">
        <f>IFERROR(INDEX('G-7 Rivers Data'!$AZ$3:$AZ$7,MATCH(N155,'G-7 Rivers Data'!$AY$3:$AY$7,0)),"")</f>
        <v/>
      </c>
    </row>
    <row r="156" spans="2:48" ht="13.8" x14ac:dyDescent="0.25">
      <c r="B156" s="531" t="str">
        <f>'C-1 Site River Baseline'!AN154</f>
        <v/>
      </c>
      <c r="C156" s="520" t="str">
        <f>IF(B156="","",VLOOKUP($B156,'C-1 Site River Baseline'!$C$9:$R$257,2,FALSE))</f>
        <v/>
      </c>
      <c r="D156" s="520" t="str">
        <f>IF(C156="","",VLOOKUP($B156,'C-1 Site River Baseline'!$C$9:$R$257,3,FALSE))</f>
        <v/>
      </c>
      <c r="E156" s="520" t="str">
        <f>IF(D156="","",VLOOKUP($B156,'C-1 Site River Baseline'!$C$9:$R$257,4,FALSE))</f>
        <v/>
      </c>
      <c r="F156" s="520" t="str">
        <f>IF(E156="","",VLOOKUP($B156,'C-1 Site River Baseline'!$C$9:$R$257,5,FALSE))</f>
        <v/>
      </c>
      <c r="G156" s="520" t="str">
        <f>IF(F156="","",VLOOKUP($B156,'C-1 Site River Baseline'!$C$9:$R$257,6,FALSE))</f>
        <v/>
      </c>
      <c r="H156" s="520" t="str">
        <f>IF(G156="","",VLOOKUP($B156,'C-1 Site River Baseline'!$C$9:$R$257,7,FALSE))</f>
        <v/>
      </c>
      <c r="I156" s="520" t="str">
        <f>IF(H156="","",VLOOKUP($B156,'C-1 Site River Baseline'!$C$9:$R$257,8,FALSE))</f>
        <v/>
      </c>
      <c r="J156" s="520" t="str">
        <f>IF(I156="","",VLOOKUP($B156,'C-1 Site River Baseline'!$C$9:$R$257,9,FALSE))</f>
        <v/>
      </c>
      <c r="K156" s="520" t="str">
        <f>IF(J156="","",VLOOKUP($B156,'C-1 Site River Baseline'!$C$9:$R$257,10,FALSE))</f>
        <v/>
      </c>
      <c r="L156" s="520" t="str">
        <f>IF(B156="","",VLOOKUP($B156,'C-1 Site River Baseline'!$C$9:$R$257,15,FALSE))</f>
        <v/>
      </c>
      <c r="M156" s="524" t="str">
        <f>IF(L156="","",VLOOKUP($B156,'C-1 Site River Baseline'!$C$9:$R$257,16,FALSE))</f>
        <v/>
      </c>
      <c r="N156" s="418" t="str">
        <f t="shared" si="17"/>
        <v/>
      </c>
      <c r="O156" s="498" t="str">
        <f t="shared" si="18"/>
        <v/>
      </c>
      <c r="P156" s="499" t="str">
        <f>IF(C156="","",IF(AND(LEFT(C156,55)&lt;&gt;LEFT(N156,55),O156="High - High"),"Error - Not like for like ▲",IF(AND(F156=S156,H156&gt;U156),"Error - Can not reduce condition ▲",IF(AND(F156=S156,H156=U156,AJ156='C-1 Site River Baseline'!N154,'C-1 Site River Baseline'!P154=AL156),"Error - No enhancement ▲",IF(AND(C156&lt;&gt;N156,F156&lt;S156),"Lower Distinctiveness Habitat"&amp;" - "&amp;T156,G156&amp;" - "&amp;T156)))))</f>
        <v/>
      </c>
      <c r="Q156" s="567" t="str">
        <f>IF(N156="","",VLOOKUP(B156,'C-1 Site River Baseline'!$C$10:$AA$257,19,FALSE))</f>
        <v/>
      </c>
      <c r="R156" s="498" t="str">
        <f>IF(N156="","",VLOOKUP(N156,'G-7 Rivers Data'!$B$2:$G$8,2,FALSE))</f>
        <v/>
      </c>
      <c r="S156" s="499" t="str">
        <f>IFERROR(VLOOKUP(R156,'G-7 Rivers Data'!$C$4:$D$8,2,FALSE),"")</f>
        <v/>
      </c>
      <c r="T156" s="145"/>
      <c r="U156" s="499" t="str">
        <f>IFERROR(INDEX('G-7 Rivers Data'!$H$4:$L$8,MATCH(N156,'G-7 Rivers Data'!$B$4:$B$8,0),MATCH(T156,'G-7 Rivers Data'!$H$3:$L$3,0)),"")</f>
        <v/>
      </c>
      <c r="V156" s="154"/>
      <c r="W156" s="507" t="str">
        <f>IF(V156="","",IF(VLOOKUP(V156,'G-7 Rivers Data'!$AG$4:$AI$9,2,FALSE)=0,"Spatial Data Missing ⚠",VLOOKUP(V156,'G-7 Rivers Data'!$AG$4:$AI$9,2,FALSE)))</f>
        <v/>
      </c>
      <c r="X156" s="499" t="str">
        <f>IF(V156="","",IF(VLOOKUP(V156,'G-7 Rivers Data'!$AG$4:$AI$9,3,FALSE)=0,"Spatial Data Missing ⚠",VLOOKUP(V156,'G-7 Rivers Data'!$AG$4:$AI$9,3,FALSE)))</f>
        <v/>
      </c>
      <c r="Y156" s="498" t="str">
        <f>IFERROR(IF(OR(LEFT(P156,5)="Error ▲",LEFT(O156,5)="Error ▲"),"Check Data ⚠",IF(F156&lt;S156,'G-7 Rivers Data'!$R$3,INDEX('G-7 Rivers Data'!$U$5:$Y$9,MATCH(G156,'G-7 Rivers Data'!$T$5:$T$9,0),MATCH(T156,'G-7 Rivers Data'!$U$4:$Y$4,0)))),"")</f>
        <v/>
      </c>
      <c r="Z156" s="195"/>
      <c r="AA156" s="195"/>
      <c r="AB156" s="507" t="str">
        <f t="shared" si="19"/>
        <v/>
      </c>
      <c r="AC156" s="521" t="str">
        <f t="shared" si="20"/>
        <v/>
      </c>
      <c r="AD156" s="564" t="str">
        <f>IFERROR(IF(AC156="Check Data ⚠","Check Data ⚠",VLOOKUP(AC156,'G-4 Temporal multipliers'!$A$4:$C$37,3,FALSE)),"")</f>
        <v/>
      </c>
      <c r="AE156" s="498" t="str">
        <f>IF(N156="","",VLOOKUP(N156,'G-7 Rivers Data'!$B$4:$G$8,5,FALSE))</f>
        <v/>
      </c>
      <c r="AF156" s="507" t="str">
        <f t="shared" si="21"/>
        <v/>
      </c>
      <c r="AG156" s="540" t="str">
        <f t="shared" si="22"/>
        <v/>
      </c>
      <c r="AH156" s="499" t="str">
        <f t="shared" si="16"/>
        <v/>
      </c>
      <c r="AI156" s="145"/>
      <c r="AJ156" s="499" t="str">
        <f>IF(AI156="","",IF(VLOOKUP(AI156,'G-7 Rivers Data'!$AA$4:$AB$7,2,FALSE)=0,"Spatial Data Missing ⚠",VLOOKUP(AI156,'G-7 Rivers Data'!$AA$4:$AB$7,2,FALSE)))</f>
        <v/>
      </c>
      <c r="AK156" s="155"/>
      <c r="AL156" s="499" t="str">
        <f>IF(AK156="","",IF(VLOOKUP(AK156,'G-7 Rivers Data'!$AD$4:$AE$8,2,FALSE)=0,"Spatial Data Missing ⚠",VLOOKUP(AK156,'G-7 Rivers Data'!$AD$4:$AE$8,2,FALSE)))</f>
        <v/>
      </c>
      <c r="AM156" s="545" t="str">
        <f t="shared" si="23"/>
        <v/>
      </c>
      <c r="AN156" s="149"/>
      <c r="AO156" s="150"/>
      <c r="AV156" s="31" t="str">
        <f>IFERROR(INDEX('G-7 Rivers Data'!$AZ$3:$AZ$7,MATCH(N156,'G-7 Rivers Data'!$AY$3:$AY$7,0)),"")</f>
        <v/>
      </c>
    </row>
    <row r="157" spans="2:48" ht="13.8" x14ac:dyDescent="0.25">
      <c r="B157" s="531" t="str">
        <f>'C-1 Site River Baseline'!AN155</f>
        <v/>
      </c>
      <c r="C157" s="520" t="str">
        <f>IF(B157="","",VLOOKUP($B157,'C-1 Site River Baseline'!$C$9:$R$257,2,FALSE))</f>
        <v/>
      </c>
      <c r="D157" s="520" t="str">
        <f>IF(C157="","",VLOOKUP($B157,'C-1 Site River Baseline'!$C$9:$R$257,3,FALSE))</f>
        <v/>
      </c>
      <c r="E157" s="520" t="str">
        <f>IF(D157="","",VLOOKUP($B157,'C-1 Site River Baseline'!$C$9:$R$257,4,FALSE))</f>
        <v/>
      </c>
      <c r="F157" s="520" t="str">
        <f>IF(E157="","",VLOOKUP($B157,'C-1 Site River Baseline'!$C$9:$R$257,5,FALSE))</f>
        <v/>
      </c>
      <c r="G157" s="520" t="str">
        <f>IF(F157="","",VLOOKUP($B157,'C-1 Site River Baseline'!$C$9:$R$257,6,FALSE))</f>
        <v/>
      </c>
      <c r="H157" s="520" t="str">
        <f>IF(G157="","",VLOOKUP($B157,'C-1 Site River Baseline'!$C$9:$R$257,7,FALSE))</f>
        <v/>
      </c>
      <c r="I157" s="520" t="str">
        <f>IF(H157="","",VLOOKUP($B157,'C-1 Site River Baseline'!$C$9:$R$257,8,FALSE))</f>
        <v/>
      </c>
      <c r="J157" s="520" t="str">
        <f>IF(I157="","",VLOOKUP($B157,'C-1 Site River Baseline'!$C$9:$R$257,9,FALSE))</f>
        <v/>
      </c>
      <c r="K157" s="520" t="str">
        <f>IF(J157="","",VLOOKUP($B157,'C-1 Site River Baseline'!$C$9:$R$257,10,FALSE))</f>
        <v/>
      </c>
      <c r="L157" s="520" t="str">
        <f>IF(B157="","",VLOOKUP($B157,'C-1 Site River Baseline'!$C$9:$R$257,15,FALSE))</f>
        <v/>
      </c>
      <c r="M157" s="524" t="str">
        <f>IF(L157="","",VLOOKUP($B157,'C-1 Site River Baseline'!$C$9:$R$257,16,FALSE))</f>
        <v/>
      </c>
      <c r="N157" s="418" t="str">
        <f t="shared" si="17"/>
        <v/>
      </c>
      <c r="O157" s="498" t="str">
        <f t="shared" si="18"/>
        <v/>
      </c>
      <c r="P157" s="499" t="str">
        <f>IF(C157="","",IF(AND(LEFT(C157,55)&lt;&gt;LEFT(N157,55),O157="High - High"),"Error - Not like for like ▲",IF(AND(F157=S157,H157&gt;U157),"Error - Can not reduce condition ▲",IF(AND(F157=S157,H157=U157,AJ157='C-1 Site River Baseline'!N155,'C-1 Site River Baseline'!P155=AL157),"Error - No enhancement ▲",IF(AND(C157&lt;&gt;N157,F157&lt;S157),"Lower Distinctiveness Habitat"&amp;" - "&amp;T157,G157&amp;" - "&amp;T157)))))</f>
        <v/>
      </c>
      <c r="Q157" s="567" t="str">
        <f>IF(N157="","",VLOOKUP(B157,'C-1 Site River Baseline'!$C$10:$AA$257,19,FALSE))</f>
        <v/>
      </c>
      <c r="R157" s="498" t="str">
        <f>IF(N157="","",VLOOKUP(N157,'G-7 Rivers Data'!$B$2:$G$8,2,FALSE))</f>
        <v/>
      </c>
      <c r="S157" s="499" t="str">
        <f>IFERROR(VLOOKUP(R157,'G-7 Rivers Data'!$C$4:$D$8,2,FALSE),"")</f>
        <v/>
      </c>
      <c r="T157" s="145"/>
      <c r="U157" s="499" t="str">
        <f>IFERROR(INDEX('G-7 Rivers Data'!$H$4:$L$8,MATCH(N157,'G-7 Rivers Data'!$B$4:$B$8,0),MATCH(T157,'G-7 Rivers Data'!$H$3:$L$3,0)),"")</f>
        <v/>
      </c>
      <c r="V157" s="154"/>
      <c r="W157" s="507" t="str">
        <f>IF(V157="","",IF(VLOOKUP(V157,'G-7 Rivers Data'!$AG$4:$AI$9,2,FALSE)=0,"Spatial Data Missing ⚠",VLOOKUP(V157,'G-7 Rivers Data'!$AG$4:$AI$9,2,FALSE)))</f>
        <v/>
      </c>
      <c r="X157" s="499" t="str">
        <f>IF(V157="","",IF(VLOOKUP(V157,'G-7 Rivers Data'!$AG$4:$AI$9,3,FALSE)=0,"Spatial Data Missing ⚠",VLOOKUP(V157,'G-7 Rivers Data'!$AG$4:$AI$9,3,FALSE)))</f>
        <v/>
      </c>
      <c r="Y157" s="498" t="str">
        <f>IFERROR(IF(OR(LEFT(P157,5)="Error ▲",LEFT(O157,5)="Error ▲"),"Check Data ⚠",IF(F157&lt;S157,'G-7 Rivers Data'!$R$3,INDEX('G-7 Rivers Data'!$U$5:$Y$9,MATCH(G157,'G-7 Rivers Data'!$T$5:$T$9,0),MATCH(T157,'G-7 Rivers Data'!$U$4:$Y$4,0)))),"")</f>
        <v/>
      </c>
      <c r="Z157" s="195"/>
      <c r="AA157" s="195"/>
      <c r="AB157" s="507" t="str">
        <f t="shared" si="19"/>
        <v/>
      </c>
      <c r="AC157" s="521" t="str">
        <f t="shared" si="20"/>
        <v/>
      </c>
      <c r="AD157" s="564" t="str">
        <f>IFERROR(IF(AC157="Check Data ⚠","Check Data ⚠",VLOOKUP(AC157,'G-4 Temporal multipliers'!$A$4:$C$37,3,FALSE)),"")</f>
        <v/>
      </c>
      <c r="AE157" s="498" t="str">
        <f>IF(N157="","",VLOOKUP(N157,'G-7 Rivers Data'!$B$4:$G$8,5,FALSE))</f>
        <v/>
      </c>
      <c r="AF157" s="507" t="str">
        <f t="shared" si="21"/>
        <v/>
      </c>
      <c r="AG157" s="540" t="str">
        <f t="shared" si="22"/>
        <v/>
      </c>
      <c r="AH157" s="499" t="str">
        <f t="shared" si="16"/>
        <v/>
      </c>
      <c r="AI157" s="145"/>
      <c r="AJ157" s="499" t="str">
        <f>IF(AI157="","",IF(VLOOKUP(AI157,'G-7 Rivers Data'!$AA$4:$AB$7,2,FALSE)=0,"Spatial Data Missing ⚠",VLOOKUP(AI157,'G-7 Rivers Data'!$AA$4:$AB$7,2,FALSE)))</f>
        <v/>
      </c>
      <c r="AK157" s="155"/>
      <c r="AL157" s="499" t="str">
        <f>IF(AK157="","",IF(VLOOKUP(AK157,'G-7 Rivers Data'!$AD$4:$AE$8,2,FALSE)=0,"Spatial Data Missing ⚠",VLOOKUP(AK157,'G-7 Rivers Data'!$AD$4:$AE$8,2,FALSE)))</f>
        <v/>
      </c>
      <c r="AM157" s="545" t="str">
        <f t="shared" si="23"/>
        <v/>
      </c>
      <c r="AN157" s="149"/>
      <c r="AO157" s="150"/>
      <c r="AV157" s="31" t="str">
        <f>IFERROR(INDEX('G-7 Rivers Data'!$AZ$3:$AZ$7,MATCH(N157,'G-7 Rivers Data'!$AY$3:$AY$7,0)),"")</f>
        <v/>
      </c>
    </row>
    <row r="158" spans="2:48" ht="13.8" x14ac:dyDescent="0.25">
      <c r="B158" s="531" t="str">
        <f>'C-1 Site River Baseline'!AN156</f>
        <v/>
      </c>
      <c r="C158" s="520" t="str">
        <f>IF(B158="","",VLOOKUP($B158,'C-1 Site River Baseline'!$C$9:$R$257,2,FALSE))</f>
        <v/>
      </c>
      <c r="D158" s="520" t="str">
        <f>IF(C158="","",VLOOKUP($B158,'C-1 Site River Baseline'!$C$9:$R$257,3,FALSE))</f>
        <v/>
      </c>
      <c r="E158" s="520" t="str">
        <f>IF(D158="","",VLOOKUP($B158,'C-1 Site River Baseline'!$C$9:$R$257,4,FALSE))</f>
        <v/>
      </c>
      <c r="F158" s="520" t="str">
        <f>IF(E158="","",VLOOKUP($B158,'C-1 Site River Baseline'!$C$9:$R$257,5,FALSE))</f>
        <v/>
      </c>
      <c r="G158" s="520" t="str">
        <f>IF(F158="","",VLOOKUP($B158,'C-1 Site River Baseline'!$C$9:$R$257,6,FALSE))</f>
        <v/>
      </c>
      <c r="H158" s="520" t="str">
        <f>IF(G158="","",VLOOKUP($B158,'C-1 Site River Baseline'!$C$9:$R$257,7,FALSE))</f>
        <v/>
      </c>
      <c r="I158" s="520" t="str">
        <f>IF(H158="","",VLOOKUP($B158,'C-1 Site River Baseline'!$C$9:$R$257,8,FALSE))</f>
        <v/>
      </c>
      <c r="J158" s="520" t="str">
        <f>IF(I158="","",VLOOKUP($B158,'C-1 Site River Baseline'!$C$9:$R$257,9,FALSE))</f>
        <v/>
      </c>
      <c r="K158" s="520" t="str">
        <f>IF(J158="","",VLOOKUP($B158,'C-1 Site River Baseline'!$C$9:$R$257,10,FALSE))</f>
        <v/>
      </c>
      <c r="L158" s="520" t="str">
        <f>IF(B158="","",VLOOKUP($B158,'C-1 Site River Baseline'!$C$9:$R$257,15,FALSE))</f>
        <v/>
      </c>
      <c r="M158" s="524" t="str">
        <f>IF(L158="","",VLOOKUP($B158,'C-1 Site River Baseline'!$C$9:$R$257,16,FALSE))</f>
        <v/>
      </c>
      <c r="N158" s="418" t="str">
        <f t="shared" si="17"/>
        <v/>
      </c>
      <c r="O158" s="498" t="str">
        <f t="shared" si="18"/>
        <v/>
      </c>
      <c r="P158" s="499" t="str">
        <f>IF(C158="","",IF(AND(LEFT(C158,55)&lt;&gt;LEFT(N158,55),O158="High - High"),"Error - Not like for like ▲",IF(AND(F158=S158,H158&gt;U158),"Error - Can not reduce condition ▲",IF(AND(F158=S158,H158=U158,AJ158='C-1 Site River Baseline'!N156,'C-1 Site River Baseline'!P156=AL158),"Error - No enhancement ▲",IF(AND(C158&lt;&gt;N158,F158&lt;S158),"Lower Distinctiveness Habitat"&amp;" - "&amp;T158,G158&amp;" - "&amp;T158)))))</f>
        <v/>
      </c>
      <c r="Q158" s="567" t="str">
        <f>IF(N158="","",VLOOKUP(B158,'C-1 Site River Baseline'!$C$10:$AA$257,19,FALSE))</f>
        <v/>
      </c>
      <c r="R158" s="498" t="str">
        <f>IF(N158="","",VLOOKUP(N158,'G-7 Rivers Data'!$B$2:$G$8,2,FALSE))</f>
        <v/>
      </c>
      <c r="S158" s="499" t="str">
        <f>IFERROR(VLOOKUP(R158,'G-7 Rivers Data'!$C$4:$D$8,2,FALSE),"")</f>
        <v/>
      </c>
      <c r="T158" s="145"/>
      <c r="U158" s="499" t="str">
        <f>IFERROR(INDEX('G-7 Rivers Data'!$H$4:$L$8,MATCH(N158,'G-7 Rivers Data'!$B$4:$B$8,0),MATCH(T158,'G-7 Rivers Data'!$H$3:$L$3,0)),"")</f>
        <v/>
      </c>
      <c r="V158" s="154"/>
      <c r="W158" s="507" t="str">
        <f>IF(V158="","",IF(VLOOKUP(V158,'G-7 Rivers Data'!$AG$4:$AI$9,2,FALSE)=0,"Spatial Data Missing ⚠",VLOOKUP(V158,'G-7 Rivers Data'!$AG$4:$AI$9,2,FALSE)))</f>
        <v/>
      </c>
      <c r="X158" s="499" t="str">
        <f>IF(V158="","",IF(VLOOKUP(V158,'G-7 Rivers Data'!$AG$4:$AI$9,3,FALSE)=0,"Spatial Data Missing ⚠",VLOOKUP(V158,'G-7 Rivers Data'!$AG$4:$AI$9,3,FALSE)))</f>
        <v/>
      </c>
      <c r="Y158" s="498" t="str">
        <f>IFERROR(IF(OR(LEFT(P158,5)="Error ▲",LEFT(O158,5)="Error ▲"),"Check Data ⚠",IF(F158&lt;S158,'G-7 Rivers Data'!$R$3,INDEX('G-7 Rivers Data'!$U$5:$Y$9,MATCH(G158,'G-7 Rivers Data'!$T$5:$T$9,0),MATCH(T158,'G-7 Rivers Data'!$U$4:$Y$4,0)))),"")</f>
        <v/>
      </c>
      <c r="Z158" s="195"/>
      <c r="AA158" s="195"/>
      <c r="AB158" s="507" t="str">
        <f t="shared" si="19"/>
        <v/>
      </c>
      <c r="AC158" s="521" t="str">
        <f t="shared" si="20"/>
        <v/>
      </c>
      <c r="AD158" s="564" t="str">
        <f>IFERROR(IF(AC158="Check Data ⚠","Check Data ⚠",VLOOKUP(AC158,'G-4 Temporal multipliers'!$A$4:$C$37,3,FALSE)),"")</f>
        <v/>
      </c>
      <c r="AE158" s="498" t="str">
        <f>IF(N158="","",VLOOKUP(N158,'G-7 Rivers Data'!$B$4:$G$8,5,FALSE))</f>
        <v/>
      </c>
      <c r="AF158" s="507" t="str">
        <f t="shared" si="21"/>
        <v/>
      </c>
      <c r="AG158" s="540" t="str">
        <f t="shared" si="22"/>
        <v/>
      </c>
      <c r="AH158" s="499" t="str">
        <f t="shared" si="16"/>
        <v/>
      </c>
      <c r="AI158" s="145"/>
      <c r="AJ158" s="499" t="str">
        <f>IF(AI158="","",IF(VLOOKUP(AI158,'G-7 Rivers Data'!$AA$4:$AB$7,2,FALSE)=0,"Spatial Data Missing ⚠",VLOOKUP(AI158,'G-7 Rivers Data'!$AA$4:$AB$7,2,FALSE)))</f>
        <v/>
      </c>
      <c r="AK158" s="155"/>
      <c r="AL158" s="499" t="str">
        <f>IF(AK158="","",IF(VLOOKUP(AK158,'G-7 Rivers Data'!$AD$4:$AE$8,2,FALSE)=0,"Spatial Data Missing ⚠",VLOOKUP(AK158,'G-7 Rivers Data'!$AD$4:$AE$8,2,FALSE)))</f>
        <v/>
      </c>
      <c r="AM158" s="545" t="str">
        <f t="shared" si="23"/>
        <v/>
      </c>
      <c r="AN158" s="149"/>
      <c r="AO158" s="150"/>
      <c r="AV158" s="31" t="str">
        <f>IFERROR(INDEX('G-7 Rivers Data'!$AZ$3:$AZ$7,MATCH(N158,'G-7 Rivers Data'!$AY$3:$AY$7,0)),"")</f>
        <v/>
      </c>
    </row>
    <row r="159" spans="2:48" ht="13.8" x14ac:dyDescent="0.25">
      <c r="B159" s="531" t="str">
        <f>'C-1 Site River Baseline'!AN157</f>
        <v/>
      </c>
      <c r="C159" s="520" t="str">
        <f>IF(B159="","",VLOOKUP($B159,'C-1 Site River Baseline'!$C$9:$R$257,2,FALSE))</f>
        <v/>
      </c>
      <c r="D159" s="520" t="str">
        <f>IF(C159="","",VLOOKUP($B159,'C-1 Site River Baseline'!$C$9:$R$257,3,FALSE))</f>
        <v/>
      </c>
      <c r="E159" s="520" t="str">
        <f>IF(D159="","",VLOOKUP($B159,'C-1 Site River Baseline'!$C$9:$R$257,4,FALSE))</f>
        <v/>
      </c>
      <c r="F159" s="520" t="str">
        <f>IF(E159="","",VLOOKUP($B159,'C-1 Site River Baseline'!$C$9:$R$257,5,FALSE))</f>
        <v/>
      </c>
      <c r="G159" s="520" t="str">
        <f>IF(F159="","",VLOOKUP($B159,'C-1 Site River Baseline'!$C$9:$R$257,6,FALSE))</f>
        <v/>
      </c>
      <c r="H159" s="520" t="str">
        <f>IF(G159="","",VLOOKUP($B159,'C-1 Site River Baseline'!$C$9:$R$257,7,FALSE))</f>
        <v/>
      </c>
      <c r="I159" s="520" t="str">
        <f>IF(H159="","",VLOOKUP($B159,'C-1 Site River Baseline'!$C$9:$R$257,8,FALSE))</f>
        <v/>
      </c>
      <c r="J159" s="520" t="str">
        <f>IF(I159="","",VLOOKUP($B159,'C-1 Site River Baseline'!$C$9:$R$257,9,FALSE))</f>
        <v/>
      </c>
      <c r="K159" s="520" t="str">
        <f>IF(J159="","",VLOOKUP($B159,'C-1 Site River Baseline'!$C$9:$R$257,10,FALSE))</f>
        <v/>
      </c>
      <c r="L159" s="520" t="str">
        <f>IF(B159="","",VLOOKUP($B159,'C-1 Site River Baseline'!$C$9:$R$257,15,FALSE))</f>
        <v/>
      </c>
      <c r="M159" s="524" t="str">
        <f>IF(L159="","",VLOOKUP($B159,'C-1 Site River Baseline'!$C$9:$R$257,16,FALSE))</f>
        <v/>
      </c>
      <c r="N159" s="418" t="str">
        <f t="shared" si="17"/>
        <v/>
      </c>
      <c r="O159" s="498" t="str">
        <f t="shared" si="18"/>
        <v/>
      </c>
      <c r="P159" s="499" t="str">
        <f>IF(C159="","",IF(AND(LEFT(C159,55)&lt;&gt;LEFT(N159,55),O159="High - High"),"Error - Not like for like ▲",IF(AND(F159=S159,H159&gt;U159),"Error - Can not reduce condition ▲",IF(AND(F159=S159,H159=U159,AJ159='C-1 Site River Baseline'!N157,'C-1 Site River Baseline'!P157=AL159),"Error - No enhancement ▲",IF(AND(C159&lt;&gt;N159,F159&lt;S159),"Lower Distinctiveness Habitat"&amp;" - "&amp;T159,G159&amp;" - "&amp;T159)))))</f>
        <v/>
      </c>
      <c r="Q159" s="567" t="str">
        <f>IF(N159="","",VLOOKUP(B159,'C-1 Site River Baseline'!$C$10:$AA$257,19,FALSE))</f>
        <v/>
      </c>
      <c r="R159" s="498" t="str">
        <f>IF(N159="","",VLOOKUP(N159,'G-7 Rivers Data'!$B$2:$G$8,2,FALSE))</f>
        <v/>
      </c>
      <c r="S159" s="499" t="str">
        <f>IFERROR(VLOOKUP(R159,'G-7 Rivers Data'!$C$4:$D$8,2,FALSE),"")</f>
        <v/>
      </c>
      <c r="T159" s="145"/>
      <c r="U159" s="499" t="str">
        <f>IFERROR(INDEX('G-7 Rivers Data'!$H$4:$L$8,MATCH(N159,'G-7 Rivers Data'!$B$4:$B$8,0),MATCH(T159,'G-7 Rivers Data'!$H$3:$L$3,0)),"")</f>
        <v/>
      </c>
      <c r="V159" s="154"/>
      <c r="W159" s="507" t="str">
        <f>IF(V159="","",IF(VLOOKUP(V159,'G-7 Rivers Data'!$AG$4:$AI$9,2,FALSE)=0,"Spatial Data Missing ⚠",VLOOKUP(V159,'G-7 Rivers Data'!$AG$4:$AI$9,2,FALSE)))</f>
        <v/>
      </c>
      <c r="X159" s="499" t="str">
        <f>IF(V159="","",IF(VLOOKUP(V159,'G-7 Rivers Data'!$AG$4:$AI$9,3,FALSE)=0,"Spatial Data Missing ⚠",VLOOKUP(V159,'G-7 Rivers Data'!$AG$4:$AI$9,3,FALSE)))</f>
        <v/>
      </c>
      <c r="Y159" s="498" t="str">
        <f>IFERROR(IF(OR(LEFT(P159,5)="Error ▲",LEFT(O159,5)="Error ▲"),"Check Data ⚠",IF(F159&lt;S159,'G-7 Rivers Data'!$R$3,INDEX('G-7 Rivers Data'!$U$5:$Y$9,MATCH(G159,'G-7 Rivers Data'!$T$5:$T$9,0),MATCH(T159,'G-7 Rivers Data'!$U$4:$Y$4,0)))),"")</f>
        <v/>
      </c>
      <c r="Z159" s="195"/>
      <c r="AA159" s="195"/>
      <c r="AB159" s="507" t="str">
        <f t="shared" si="19"/>
        <v/>
      </c>
      <c r="AC159" s="521" t="str">
        <f t="shared" si="20"/>
        <v/>
      </c>
      <c r="AD159" s="564" t="str">
        <f>IFERROR(IF(AC159="Check Data ⚠","Check Data ⚠",VLOOKUP(AC159,'G-4 Temporal multipliers'!$A$4:$C$37,3,FALSE)),"")</f>
        <v/>
      </c>
      <c r="AE159" s="498" t="str">
        <f>IF(N159="","",VLOOKUP(N159,'G-7 Rivers Data'!$B$4:$G$8,5,FALSE))</f>
        <v/>
      </c>
      <c r="AF159" s="507" t="str">
        <f t="shared" si="21"/>
        <v/>
      </c>
      <c r="AG159" s="540" t="str">
        <f t="shared" si="22"/>
        <v/>
      </c>
      <c r="AH159" s="499" t="str">
        <f t="shared" si="16"/>
        <v/>
      </c>
      <c r="AI159" s="145"/>
      <c r="AJ159" s="499" t="str">
        <f>IF(AI159="","",IF(VLOOKUP(AI159,'G-7 Rivers Data'!$AA$4:$AB$7,2,FALSE)=0,"Spatial Data Missing ⚠",VLOOKUP(AI159,'G-7 Rivers Data'!$AA$4:$AB$7,2,FALSE)))</f>
        <v/>
      </c>
      <c r="AK159" s="155"/>
      <c r="AL159" s="499" t="str">
        <f>IF(AK159="","",IF(VLOOKUP(AK159,'G-7 Rivers Data'!$AD$4:$AE$8,2,FALSE)=0,"Spatial Data Missing ⚠",VLOOKUP(AK159,'G-7 Rivers Data'!$AD$4:$AE$8,2,FALSE)))</f>
        <v/>
      </c>
      <c r="AM159" s="545" t="str">
        <f t="shared" si="23"/>
        <v/>
      </c>
      <c r="AN159" s="149"/>
      <c r="AO159" s="150"/>
      <c r="AV159" s="31" t="str">
        <f>IFERROR(INDEX('G-7 Rivers Data'!$AZ$3:$AZ$7,MATCH(N159,'G-7 Rivers Data'!$AY$3:$AY$7,0)),"")</f>
        <v/>
      </c>
    </row>
    <row r="160" spans="2:48" ht="13.8" x14ac:dyDescent="0.25">
      <c r="B160" s="531" t="str">
        <f>'C-1 Site River Baseline'!AN158</f>
        <v/>
      </c>
      <c r="C160" s="520" t="str">
        <f>IF(B160="","",VLOOKUP($B160,'C-1 Site River Baseline'!$C$9:$R$257,2,FALSE))</f>
        <v/>
      </c>
      <c r="D160" s="520" t="str">
        <f>IF(C160="","",VLOOKUP($B160,'C-1 Site River Baseline'!$C$9:$R$257,3,FALSE))</f>
        <v/>
      </c>
      <c r="E160" s="520" t="str">
        <f>IF(D160="","",VLOOKUP($B160,'C-1 Site River Baseline'!$C$9:$R$257,4,FALSE))</f>
        <v/>
      </c>
      <c r="F160" s="520" t="str">
        <f>IF(E160="","",VLOOKUP($B160,'C-1 Site River Baseline'!$C$9:$R$257,5,FALSE))</f>
        <v/>
      </c>
      <c r="G160" s="520" t="str">
        <f>IF(F160="","",VLOOKUP($B160,'C-1 Site River Baseline'!$C$9:$R$257,6,FALSE))</f>
        <v/>
      </c>
      <c r="H160" s="520" t="str">
        <f>IF(G160="","",VLOOKUP($B160,'C-1 Site River Baseline'!$C$9:$R$257,7,FALSE))</f>
        <v/>
      </c>
      <c r="I160" s="520" t="str">
        <f>IF(H160="","",VLOOKUP($B160,'C-1 Site River Baseline'!$C$9:$R$257,8,FALSE))</f>
        <v/>
      </c>
      <c r="J160" s="520" t="str">
        <f>IF(I160="","",VLOOKUP($B160,'C-1 Site River Baseline'!$C$9:$R$257,9,FALSE))</f>
        <v/>
      </c>
      <c r="K160" s="520" t="str">
        <f>IF(J160="","",VLOOKUP($B160,'C-1 Site River Baseline'!$C$9:$R$257,10,FALSE))</f>
        <v/>
      </c>
      <c r="L160" s="520" t="str">
        <f>IF(B160="","",VLOOKUP($B160,'C-1 Site River Baseline'!$C$9:$R$257,15,FALSE))</f>
        <v/>
      </c>
      <c r="M160" s="524" t="str">
        <f>IF(L160="","",VLOOKUP($B160,'C-1 Site River Baseline'!$C$9:$R$257,16,FALSE))</f>
        <v/>
      </c>
      <c r="N160" s="418" t="str">
        <f t="shared" si="17"/>
        <v/>
      </c>
      <c r="O160" s="498" t="str">
        <f t="shared" si="18"/>
        <v/>
      </c>
      <c r="P160" s="499" t="str">
        <f>IF(C160="","",IF(AND(LEFT(C160,55)&lt;&gt;LEFT(N160,55),O160="High - High"),"Error - Not like for like ▲",IF(AND(F160=S160,H160&gt;U160),"Error - Can not reduce condition ▲",IF(AND(F160=S160,H160=U160,AJ160='C-1 Site River Baseline'!N158,'C-1 Site River Baseline'!P158=AL160),"Error - No enhancement ▲",IF(AND(C160&lt;&gt;N160,F160&lt;S160),"Lower Distinctiveness Habitat"&amp;" - "&amp;T160,G160&amp;" - "&amp;T160)))))</f>
        <v/>
      </c>
      <c r="Q160" s="567" t="str">
        <f>IF(N160="","",VLOOKUP(B160,'C-1 Site River Baseline'!$C$10:$AA$257,19,FALSE))</f>
        <v/>
      </c>
      <c r="R160" s="498" t="str">
        <f>IF(N160="","",VLOOKUP(N160,'G-7 Rivers Data'!$B$2:$G$8,2,FALSE))</f>
        <v/>
      </c>
      <c r="S160" s="499" t="str">
        <f>IFERROR(VLOOKUP(R160,'G-7 Rivers Data'!$C$4:$D$8,2,FALSE),"")</f>
        <v/>
      </c>
      <c r="T160" s="145"/>
      <c r="U160" s="499" t="str">
        <f>IFERROR(INDEX('G-7 Rivers Data'!$H$4:$L$8,MATCH(N160,'G-7 Rivers Data'!$B$4:$B$8,0),MATCH(T160,'G-7 Rivers Data'!$H$3:$L$3,0)),"")</f>
        <v/>
      </c>
      <c r="V160" s="154"/>
      <c r="W160" s="507" t="str">
        <f>IF(V160="","",IF(VLOOKUP(V160,'G-7 Rivers Data'!$AG$4:$AI$9,2,FALSE)=0,"Spatial Data Missing ⚠",VLOOKUP(V160,'G-7 Rivers Data'!$AG$4:$AI$9,2,FALSE)))</f>
        <v/>
      </c>
      <c r="X160" s="499" t="str">
        <f>IF(V160="","",IF(VLOOKUP(V160,'G-7 Rivers Data'!$AG$4:$AI$9,3,FALSE)=0,"Spatial Data Missing ⚠",VLOOKUP(V160,'G-7 Rivers Data'!$AG$4:$AI$9,3,FALSE)))</f>
        <v/>
      </c>
      <c r="Y160" s="498" t="str">
        <f>IFERROR(IF(OR(LEFT(P160,5)="Error ▲",LEFT(O160,5)="Error ▲"),"Check Data ⚠",IF(F160&lt;S160,'G-7 Rivers Data'!$R$3,INDEX('G-7 Rivers Data'!$U$5:$Y$9,MATCH(G160,'G-7 Rivers Data'!$T$5:$T$9,0),MATCH(T160,'G-7 Rivers Data'!$U$4:$Y$4,0)))),"")</f>
        <v/>
      </c>
      <c r="Z160" s="195"/>
      <c r="AA160" s="195"/>
      <c r="AB160" s="507" t="str">
        <f t="shared" si="19"/>
        <v/>
      </c>
      <c r="AC160" s="521" t="str">
        <f t="shared" si="20"/>
        <v/>
      </c>
      <c r="AD160" s="564" t="str">
        <f>IFERROR(IF(AC160="Check Data ⚠","Check Data ⚠",VLOOKUP(AC160,'G-4 Temporal multipliers'!$A$4:$C$37,3,FALSE)),"")</f>
        <v/>
      </c>
      <c r="AE160" s="498" t="str">
        <f>IF(N160="","",VLOOKUP(N160,'G-7 Rivers Data'!$B$4:$G$8,5,FALSE))</f>
        <v/>
      </c>
      <c r="AF160" s="507" t="str">
        <f t="shared" si="21"/>
        <v/>
      </c>
      <c r="AG160" s="540" t="str">
        <f t="shared" si="22"/>
        <v/>
      </c>
      <c r="AH160" s="499" t="str">
        <f t="shared" si="16"/>
        <v/>
      </c>
      <c r="AI160" s="145"/>
      <c r="AJ160" s="499" t="str">
        <f>IF(AI160="","",IF(VLOOKUP(AI160,'G-7 Rivers Data'!$AA$4:$AB$7,2,FALSE)=0,"Spatial Data Missing ⚠",VLOOKUP(AI160,'G-7 Rivers Data'!$AA$4:$AB$7,2,FALSE)))</f>
        <v/>
      </c>
      <c r="AK160" s="155"/>
      <c r="AL160" s="499" t="str">
        <f>IF(AK160="","",IF(VLOOKUP(AK160,'G-7 Rivers Data'!$AD$4:$AE$8,2,FALSE)=0,"Spatial Data Missing ⚠",VLOOKUP(AK160,'G-7 Rivers Data'!$AD$4:$AE$8,2,FALSE)))</f>
        <v/>
      </c>
      <c r="AM160" s="545" t="str">
        <f t="shared" si="23"/>
        <v/>
      </c>
      <c r="AN160" s="149"/>
      <c r="AO160" s="150"/>
      <c r="AV160" s="31" t="str">
        <f>IFERROR(INDEX('G-7 Rivers Data'!$AZ$3:$AZ$7,MATCH(N160,'G-7 Rivers Data'!$AY$3:$AY$7,0)),"")</f>
        <v/>
      </c>
    </row>
    <row r="161" spans="2:48" ht="13.8" x14ac:dyDescent="0.25">
      <c r="B161" s="531" t="str">
        <f>'C-1 Site River Baseline'!AN159</f>
        <v/>
      </c>
      <c r="C161" s="520" t="str">
        <f>IF(B161="","",VLOOKUP($B161,'C-1 Site River Baseline'!$C$9:$R$257,2,FALSE))</f>
        <v/>
      </c>
      <c r="D161" s="520" t="str">
        <f>IF(C161="","",VLOOKUP($B161,'C-1 Site River Baseline'!$C$9:$R$257,3,FALSE))</f>
        <v/>
      </c>
      <c r="E161" s="520" t="str">
        <f>IF(D161="","",VLOOKUP($B161,'C-1 Site River Baseline'!$C$9:$R$257,4,FALSE))</f>
        <v/>
      </c>
      <c r="F161" s="520" t="str">
        <f>IF(E161="","",VLOOKUP($B161,'C-1 Site River Baseline'!$C$9:$R$257,5,FALSE))</f>
        <v/>
      </c>
      <c r="G161" s="520" t="str">
        <f>IF(F161="","",VLOOKUP($B161,'C-1 Site River Baseline'!$C$9:$R$257,6,FALSE))</f>
        <v/>
      </c>
      <c r="H161" s="520" t="str">
        <f>IF(G161="","",VLOOKUP($B161,'C-1 Site River Baseline'!$C$9:$R$257,7,FALSE))</f>
        <v/>
      </c>
      <c r="I161" s="520" t="str">
        <f>IF(H161="","",VLOOKUP($B161,'C-1 Site River Baseline'!$C$9:$R$257,8,FALSE))</f>
        <v/>
      </c>
      <c r="J161" s="520" t="str">
        <f>IF(I161="","",VLOOKUP($B161,'C-1 Site River Baseline'!$C$9:$R$257,9,FALSE))</f>
        <v/>
      </c>
      <c r="K161" s="520" t="str">
        <f>IF(J161="","",VLOOKUP($B161,'C-1 Site River Baseline'!$C$9:$R$257,10,FALSE))</f>
        <v/>
      </c>
      <c r="L161" s="520" t="str">
        <f>IF(B161="","",VLOOKUP($B161,'C-1 Site River Baseline'!$C$9:$R$257,15,FALSE))</f>
        <v/>
      </c>
      <c r="M161" s="524" t="str">
        <f>IF(L161="","",VLOOKUP($B161,'C-1 Site River Baseline'!$C$9:$R$257,16,FALSE))</f>
        <v/>
      </c>
      <c r="N161" s="418" t="str">
        <f t="shared" si="17"/>
        <v/>
      </c>
      <c r="O161" s="498" t="str">
        <f t="shared" si="18"/>
        <v/>
      </c>
      <c r="P161" s="499" t="str">
        <f>IF(C161="","",IF(AND(LEFT(C161,55)&lt;&gt;LEFT(N161,55),O161="High - High"),"Error - Not like for like ▲",IF(AND(F161=S161,H161&gt;U161),"Error - Can not reduce condition ▲",IF(AND(F161=S161,H161=U161,AJ161='C-1 Site River Baseline'!N159,'C-1 Site River Baseline'!P159=AL161),"Error - No enhancement ▲",IF(AND(C161&lt;&gt;N161,F161&lt;S161),"Lower Distinctiveness Habitat"&amp;" - "&amp;T161,G161&amp;" - "&amp;T161)))))</f>
        <v/>
      </c>
      <c r="Q161" s="567" t="str">
        <f>IF(N161="","",VLOOKUP(B161,'C-1 Site River Baseline'!$C$10:$AA$257,19,FALSE))</f>
        <v/>
      </c>
      <c r="R161" s="498" t="str">
        <f>IF(N161="","",VLOOKUP(N161,'G-7 Rivers Data'!$B$2:$G$8,2,FALSE))</f>
        <v/>
      </c>
      <c r="S161" s="499" t="str">
        <f>IFERROR(VLOOKUP(R161,'G-7 Rivers Data'!$C$4:$D$8,2,FALSE),"")</f>
        <v/>
      </c>
      <c r="T161" s="145"/>
      <c r="U161" s="499" t="str">
        <f>IFERROR(INDEX('G-7 Rivers Data'!$H$4:$L$8,MATCH(N161,'G-7 Rivers Data'!$B$4:$B$8,0),MATCH(T161,'G-7 Rivers Data'!$H$3:$L$3,0)),"")</f>
        <v/>
      </c>
      <c r="V161" s="154"/>
      <c r="W161" s="507" t="str">
        <f>IF(V161="","",IF(VLOOKUP(V161,'G-7 Rivers Data'!$AG$4:$AI$9,2,FALSE)=0,"Spatial Data Missing ⚠",VLOOKUP(V161,'G-7 Rivers Data'!$AG$4:$AI$9,2,FALSE)))</f>
        <v/>
      </c>
      <c r="X161" s="499" t="str">
        <f>IF(V161="","",IF(VLOOKUP(V161,'G-7 Rivers Data'!$AG$4:$AI$9,3,FALSE)=0,"Spatial Data Missing ⚠",VLOOKUP(V161,'G-7 Rivers Data'!$AG$4:$AI$9,3,FALSE)))</f>
        <v/>
      </c>
      <c r="Y161" s="498" t="str">
        <f>IFERROR(IF(OR(LEFT(P161,5)="Error ▲",LEFT(O161,5)="Error ▲"),"Check Data ⚠",IF(F161&lt;S161,'G-7 Rivers Data'!$R$3,INDEX('G-7 Rivers Data'!$U$5:$Y$9,MATCH(G161,'G-7 Rivers Data'!$T$5:$T$9,0),MATCH(T161,'G-7 Rivers Data'!$U$4:$Y$4,0)))),"")</f>
        <v/>
      </c>
      <c r="Z161" s="195"/>
      <c r="AA161" s="195"/>
      <c r="AB161" s="507" t="str">
        <f t="shared" si="19"/>
        <v/>
      </c>
      <c r="AC161" s="521" t="str">
        <f t="shared" si="20"/>
        <v/>
      </c>
      <c r="AD161" s="564" t="str">
        <f>IFERROR(IF(AC161="Check Data ⚠","Check Data ⚠",VLOOKUP(AC161,'G-4 Temporal multipliers'!$A$4:$C$37,3,FALSE)),"")</f>
        <v/>
      </c>
      <c r="AE161" s="498" t="str">
        <f>IF(N161="","",VLOOKUP(N161,'G-7 Rivers Data'!$B$4:$G$8,5,FALSE))</f>
        <v/>
      </c>
      <c r="AF161" s="507" t="str">
        <f t="shared" si="21"/>
        <v/>
      </c>
      <c r="AG161" s="540" t="str">
        <f t="shared" si="22"/>
        <v/>
      </c>
      <c r="AH161" s="499" t="str">
        <f t="shared" si="16"/>
        <v/>
      </c>
      <c r="AI161" s="145"/>
      <c r="AJ161" s="499" t="str">
        <f>IF(AI161="","",IF(VLOOKUP(AI161,'G-7 Rivers Data'!$AA$4:$AB$7,2,FALSE)=0,"Spatial Data Missing ⚠",VLOOKUP(AI161,'G-7 Rivers Data'!$AA$4:$AB$7,2,FALSE)))</f>
        <v/>
      </c>
      <c r="AK161" s="155"/>
      <c r="AL161" s="499" t="str">
        <f>IF(AK161="","",IF(VLOOKUP(AK161,'G-7 Rivers Data'!$AD$4:$AE$8,2,FALSE)=0,"Spatial Data Missing ⚠",VLOOKUP(AK161,'G-7 Rivers Data'!$AD$4:$AE$8,2,FALSE)))</f>
        <v/>
      </c>
      <c r="AM161" s="545" t="str">
        <f t="shared" si="23"/>
        <v/>
      </c>
      <c r="AN161" s="149"/>
      <c r="AO161" s="150"/>
      <c r="AV161" s="31" t="str">
        <f>IFERROR(INDEX('G-7 Rivers Data'!$AZ$3:$AZ$7,MATCH(N161,'G-7 Rivers Data'!$AY$3:$AY$7,0)),"")</f>
        <v/>
      </c>
    </row>
    <row r="162" spans="2:48" ht="13.8" x14ac:dyDescent="0.25">
      <c r="B162" s="531" t="str">
        <f>'C-1 Site River Baseline'!AN160</f>
        <v/>
      </c>
      <c r="C162" s="520" t="str">
        <f>IF(B162="","",VLOOKUP($B162,'C-1 Site River Baseline'!$C$9:$R$257,2,FALSE))</f>
        <v/>
      </c>
      <c r="D162" s="520" t="str">
        <f>IF(C162="","",VLOOKUP($B162,'C-1 Site River Baseline'!$C$9:$R$257,3,FALSE))</f>
        <v/>
      </c>
      <c r="E162" s="520" t="str">
        <f>IF(D162="","",VLOOKUP($B162,'C-1 Site River Baseline'!$C$9:$R$257,4,FALSE))</f>
        <v/>
      </c>
      <c r="F162" s="520" t="str">
        <f>IF(E162="","",VLOOKUP($B162,'C-1 Site River Baseline'!$C$9:$R$257,5,FALSE))</f>
        <v/>
      </c>
      <c r="G162" s="520" t="str">
        <f>IF(F162="","",VLOOKUP($B162,'C-1 Site River Baseline'!$C$9:$R$257,6,FALSE))</f>
        <v/>
      </c>
      <c r="H162" s="520" t="str">
        <f>IF(G162="","",VLOOKUP($B162,'C-1 Site River Baseline'!$C$9:$R$257,7,FALSE))</f>
        <v/>
      </c>
      <c r="I162" s="520" t="str">
        <f>IF(H162="","",VLOOKUP($B162,'C-1 Site River Baseline'!$C$9:$R$257,8,FALSE))</f>
        <v/>
      </c>
      <c r="J162" s="520" t="str">
        <f>IF(I162="","",VLOOKUP($B162,'C-1 Site River Baseline'!$C$9:$R$257,9,FALSE))</f>
        <v/>
      </c>
      <c r="K162" s="520" t="str">
        <f>IF(J162="","",VLOOKUP($B162,'C-1 Site River Baseline'!$C$9:$R$257,10,FALSE))</f>
        <v/>
      </c>
      <c r="L162" s="520" t="str">
        <f>IF(B162="","",VLOOKUP($B162,'C-1 Site River Baseline'!$C$9:$R$257,15,FALSE))</f>
        <v/>
      </c>
      <c r="M162" s="524" t="str">
        <f>IF(L162="","",VLOOKUP($B162,'C-1 Site River Baseline'!$C$9:$R$257,16,FALSE))</f>
        <v/>
      </c>
      <c r="N162" s="418" t="str">
        <f t="shared" si="17"/>
        <v/>
      </c>
      <c r="O162" s="498" t="str">
        <f t="shared" si="18"/>
        <v/>
      </c>
      <c r="P162" s="499" t="str">
        <f>IF(C162="","",IF(AND(LEFT(C162,55)&lt;&gt;LEFT(N162,55),O162="High - High"),"Error - Not like for like ▲",IF(AND(F162=S162,H162&gt;U162),"Error - Can not reduce condition ▲",IF(AND(F162=S162,H162=U162,AJ162='C-1 Site River Baseline'!N160,'C-1 Site River Baseline'!P160=AL162),"Error - No enhancement ▲",IF(AND(C162&lt;&gt;N162,F162&lt;S162),"Lower Distinctiveness Habitat"&amp;" - "&amp;T162,G162&amp;" - "&amp;T162)))))</f>
        <v/>
      </c>
      <c r="Q162" s="567" t="str">
        <f>IF(N162="","",VLOOKUP(B162,'C-1 Site River Baseline'!$C$10:$AA$257,19,FALSE))</f>
        <v/>
      </c>
      <c r="R162" s="498" t="str">
        <f>IF(N162="","",VLOOKUP(N162,'G-7 Rivers Data'!$B$2:$G$8,2,FALSE))</f>
        <v/>
      </c>
      <c r="S162" s="499" t="str">
        <f>IFERROR(VLOOKUP(R162,'G-7 Rivers Data'!$C$4:$D$8,2,FALSE),"")</f>
        <v/>
      </c>
      <c r="T162" s="145"/>
      <c r="U162" s="499" t="str">
        <f>IFERROR(INDEX('G-7 Rivers Data'!$H$4:$L$8,MATCH(N162,'G-7 Rivers Data'!$B$4:$B$8,0),MATCH(T162,'G-7 Rivers Data'!$H$3:$L$3,0)),"")</f>
        <v/>
      </c>
      <c r="V162" s="154"/>
      <c r="W162" s="507" t="str">
        <f>IF(V162="","",IF(VLOOKUP(V162,'G-7 Rivers Data'!$AG$4:$AI$9,2,FALSE)=0,"Spatial Data Missing ⚠",VLOOKUP(V162,'G-7 Rivers Data'!$AG$4:$AI$9,2,FALSE)))</f>
        <v/>
      </c>
      <c r="X162" s="499" t="str">
        <f>IF(V162="","",IF(VLOOKUP(V162,'G-7 Rivers Data'!$AG$4:$AI$9,3,FALSE)=0,"Spatial Data Missing ⚠",VLOOKUP(V162,'G-7 Rivers Data'!$AG$4:$AI$9,3,FALSE)))</f>
        <v/>
      </c>
      <c r="Y162" s="498" t="str">
        <f>IFERROR(IF(OR(LEFT(P162,5)="Error ▲",LEFT(O162,5)="Error ▲"),"Check Data ⚠",IF(F162&lt;S162,'G-7 Rivers Data'!$R$3,INDEX('G-7 Rivers Data'!$U$5:$Y$9,MATCH(G162,'G-7 Rivers Data'!$T$5:$T$9,0),MATCH(T162,'G-7 Rivers Data'!$U$4:$Y$4,0)))),"")</f>
        <v/>
      </c>
      <c r="Z162" s="195"/>
      <c r="AA162" s="195"/>
      <c r="AB162" s="507" t="str">
        <f t="shared" si="19"/>
        <v/>
      </c>
      <c r="AC162" s="521" t="str">
        <f t="shared" si="20"/>
        <v/>
      </c>
      <c r="AD162" s="564" t="str">
        <f>IFERROR(IF(AC162="Check Data ⚠","Check Data ⚠",VLOOKUP(AC162,'G-4 Temporal multipliers'!$A$4:$C$37,3,FALSE)),"")</f>
        <v/>
      </c>
      <c r="AE162" s="498" t="str">
        <f>IF(N162="","",VLOOKUP(N162,'G-7 Rivers Data'!$B$4:$G$8,5,FALSE))</f>
        <v/>
      </c>
      <c r="AF162" s="507" t="str">
        <f t="shared" si="21"/>
        <v/>
      </c>
      <c r="AG162" s="540" t="str">
        <f t="shared" si="22"/>
        <v/>
      </c>
      <c r="AH162" s="499" t="str">
        <f t="shared" si="16"/>
        <v/>
      </c>
      <c r="AI162" s="145"/>
      <c r="AJ162" s="499" t="str">
        <f>IF(AI162="","",IF(VLOOKUP(AI162,'G-7 Rivers Data'!$AA$4:$AB$7,2,FALSE)=0,"Spatial Data Missing ⚠",VLOOKUP(AI162,'G-7 Rivers Data'!$AA$4:$AB$7,2,FALSE)))</f>
        <v/>
      </c>
      <c r="AK162" s="155"/>
      <c r="AL162" s="499" t="str">
        <f>IF(AK162="","",IF(VLOOKUP(AK162,'G-7 Rivers Data'!$AD$4:$AE$8,2,FALSE)=0,"Spatial Data Missing ⚠",VLOOKUP(AK162,'G-7 Rivers Data'!$AD$4:$AE$8,2,FALSE)))</f>
        <v/>
      </c>
      <c r="AM162" s="545" t="str">
        <f t="shared" si="23"/>
        <v/>
      </c>
      <c r="AN162" s="149"/>
      <c r="AO162" s="150"/>
      <c r="AV162" s="31" t="str">
        <f>IFERROR(INDEX('G-7 Rivers Data'!$AZ$3:$AZ$7,MATCH(N162,'G-7 Rivers Data'!$AY$3:$AY$7,0)),"")</f>
        <v/>
      </c>
    </row>
    <row r="163" spans="2:48" ht="13.8" x14ac:dyDescent="0.25">
      <c r="B163" s="531" t="str">
        <f>'C-1 Site River Baseline'!AN161</f>
        <v/>
      </c>
      <c r="C163" s="520" t="str">
        <f>IF(B163="","",VLOOKUP($B163,'C-1 Site River Baseline'!$C$9:$R$257,2,FALSE))</f>
        <v/>
      </c>
      <c r="D163" s="520" t="str">
        <f>IF(C163="","",VLOOKUP($B163,'C-1 Site River Baseline'!$C$9:$R$257,3,FALSE))</f>
        <v/>
      </c>
      <c r="E163" s="520" t="str">
        <f>IF(D163="","",VLOOKUP($B163,'C-1 Site River Baseline'!$C$9:$R$257,4,FALSE))</f>
        <v/>
      </c>
      <c r="F163" s="520" t="str">
        <f>IF(E163="","",VLOOKUP($B163,'C-1 Site River Baseline'!$C$9:$R$257,5,FALSE))</f>
        <v/>
      </c>
      <c r="G163" s="520" t="str">
        <f>IF(F163="","",VLOOKUP($B163,'C-1 Site River Baseline'!$C$9:$R$257,6,FALSE))</f>
        <v/>
      </c>
      <c r="H163" s="520" t="str">
        <f>IF(G163="","",VLOOKUP($B163,'C-1 Site River Baseline'!$C$9:$R$257,7,FALSE))</f>
        <v/>
      </c>
      <c r="I163" s="520" t="str">
        <f>IF(H163="","",VLOOKUP($B163,'C-1 Site River Baseline'!$C$9:$R$257,8,FALSE))</f>
        <v/>
      </c>
      <c r="J163" s="520" t="str">
        <f>IF(I163="","",VLOOKUP($B163,'C-1 Site River Baseline'!$C$9:$R$257,9,FALSE))</f>
        <v/>
      </c>
      <c r="K163" s="520" t="str">
        <f>IF(J163="","",VLOOKUP($B163,'C-1 Site River Baseline'!$C$9:$R$257,10,FALSE))</f>
        <v/>
      </c>
      <c r="L163" s="520" t="str">
        <f>IF(B163="","",VLOOKUP($B163,'C-1 Site River Baseline'!$C$9:$R$257,15,FALSE))</f>
        <v/>
      </c>
      <c r="M163" s="524" t="str">
        <f>IF(L163="","",VLOOKUP($B163,'C-1 Site River Baseline'!$C$9:$R$257,16,FALSE))</f>
        <v/>
      </c>
      <c r="N163" s="418" t="str">
        <f t="shared" si="17"/>
        <v/>
      </c>
      <c r="O163" s="498" t="str">
        <f t="shared" si="18"/>
        <v/>
      </c>
      <c r="P163" s="499" t="str">
        <f>IF(C163="","",IF(AND(LEFT(C163,55)&lt;&gt;LEFT(N163,55),O163="High - High"),"Error - Not like for like ▲",IF(AND(F163=S163,H163&gt;U163),"Error - Can not reduce condition ▲",IF(AND(F163=S163,H163=U163,AJ163='C-1 Site River Baseline'!N161,'C-1 Site River Baseline'!P161=AL163),"Error - No enhancement ▲",IF(AND(C163&lt;&gt;N163,F163&lt;S163),"Lower Distinctiveness Habitat"&amp;" - "&amp;T163,G163&amp;" - "&amp;T163)))))</f>
        <v/>
      </c>
      <c r="Q163" s="567" t="str">
        <f>IF(N163="","",VLOOKUP(B163,'C-1 Site River Baseline'!$C$10:$AA$257,19,FALSE))</f>
        <v/>
      </c>
      <c r="R163" s="498" t="str">
        <f>IF(N163="","",VLOOKUP(N163,'G-7 Rivers Data'!$B$2:$G$8,2,FALSE))</f>
        <v/>
      </c>
      <c r="S163" s="499" t="str">
        <f>IFERROR(VLOOKUP(R163,'G-7 Rivers Data'!$C$4:$D$8,2,FALSE),"")</f>
        <v/>
      </c>
      <c r="T163" s="145"/>
      <c r="U163" s="499" t="str">
        <f>IFERROR(INDEX('G-7 Rivers Data'!$H$4:$L$8,MATCH(N163,'G-7 Rivers Data'!$B$4:$B$8,0),MATCH(T163,'G-7 Rivers Data'!$H$3:$L$3,0)),"")</f>
        <v/>
      </c>
      <c r="V163" s="154"/>
      <c r="W163" s="507" t="str">
        <f>IF(V163="","",IF(VLOOKUP(V163,'G-7 Rivers Data'!$AG$4:$AI$9,2,FALSE)=0,"Spatial Data Missing ⚠",VLOOKUP(V163,'G-7 Rivers Data'!$AG$4:$AI$9,2,FALSE)))</f>
        <v/>
      </c>
      <c r="X163" s="499" t="str">
        <f>IF(V163="","",IF(VLOOKUP(V163,'G-7 Rivers Data'!$AG$4:$AI$9,3,FALSE)=0,"Spatial Data Missing ⚠",VLOOKUP(V163,'G-7 Rivers Data'!$AG$4:$AI$9,3,FALSE)))</f>
        <v/>
      </c>
      <c r="Y163" s="498" t="str">
        <f>IFERROR(IF(OR(LEFT(P163,5)="Error ▲",LEFT(O163,5)="Error ▲"),"Check Data ⚠",IF(F163&lt;S163,'G-7 Rivers Data'!$R$3,INDEX('G-7 Rivers Data'!$U$5:$Y$9,MATCH(G163,'G-7 Rivers Data'!$T$5:$T$9,0),MATCH(T163,'G-7 Rivers Data'!$U$4:$Y$4,0)))),"")</f>
        <v/>
      </c>
      <c r="Z163" s="195"/>
      <c r="AA163" s="195"/>
      <c r="AB163" s="507" t="str">
        <f t="shared" si="19"/>
        <v/>
      </c>
      <c r="AC163" s="521" t="str">
        <f t="shared" si="20"/>
        <v/>
      </c>
      <c r="AD163" s="564" t="str">
        <f>IFERROR(IF(AC163="Check Data ⚠","Check Data ⚠",VLOOKUP(AC163,'G-4 Temporal multipliers'!$A$4:$C$37,3,FALSE)),"")</f>
        <v/>
      </c>
      <c r="AE163" s="498" t="str">
        <f>IF(N163="","",VLOOKUP(N163,'G-7 Rivers Data'!$B$4:$G$8,5,FALSE))</f>
        <v/>
      </c>
      <c r="AF163" s="507" t="str">
        <f t="shared" si="21"/>
        <v/>
      </c>
      <c r="AG163" s="540" t="str">
        <f t="shared" si="22"/>
        <v/>
      </c>
      <c r="AH163" s="499" t="str">
        <f t="shared" si="16"/>
        <v/>
      </c>
      <c r="AI163" s="145"/>
      <c r="AJ163" s="499" t="str">
        <f>IF(AI163="","",IF(VLOOKUP(AI163,'G-7 Rivers Data'!$AA$4:$AB$7,2,FALSE)=0,"Spatial Data Missing ⚠",VLOOKUP(AI163,'G-7 Rivers Data'!$AA$4:$AB$7,2,FALSE)))</f>
        <v/>
      </c>
      <c r="AK163" s="155"/>
      <c r="AL163" s="499" t="str">
        <f>IF(AK163="","",IF(VLOOKUP(AK163,'G-7 Rivers Data'!$AD$4:$AE$8,2,FALSE)=0,"Spatial Data Missing ⚠",VLOOKUP(AK163,'G-7 Rivers Data'!$AD$4:$AE$8,2,FALSE)))</f>
        <v/>
      </c>
      <c r="AM163" s="545" t="str">
        <f t="shared" si="23"/>
        <v/>
      </c>
      <c r="AN163" s="149"/>
      <c r="AO163" s="150"/>
      <c r="AV163" s="31" t="str">
        <f>IFERROR(INDEX('G-7 Rivers Data'!$AZ$3:$AZ$7,MATCH(N163,'G-7 Rivers Data'!$AY$3:$AY$7,0)),"")</f>
        <v/>
      </c>
    </row>
    <row r="164" spans="2:48" ht="13.8" x14ac:dyDescent="0.25">
      <c r="B164" s="531" t="str">
        <f>'C-1 Site River Baseline'!AN162</f>
        <v/>
      </c>
      <c r="C164" s="520" t="str">
        <f>IF(B164="","",VLOOKUP($B164,'C-1 Site River Baseline'!$C$9:$R$257,2,FALSE))</f>
        <v/>
      </c>
      <c r="D164" s="520" t="str">
        <f>IF(C164="","",VLOOKUP($B164,'C-1 Site River Baseline'!$C$9:$R$257,3,FALSE))</f>
        <v/>
      </c>
      <c r="E164" s="520" t="str">
        <f>IF(D164="","",VLOOKUP($B164,'C-1 Site River Baseline'!$C$9:$R$257,4,FALSE))</f>
        <v/>
      </c>
      <c r="F164" s="520" t="str">
        <f>IF(E164="","",VLOOKUP($B164,'C-1 Site River Baseline'!$C$9:$R$257,5,FALSE))</f>
        <v/>
      </c>
      <c r="G164" s="520" t="str">
        <f>IF(F164="","",VLOOKUP($B164,'C-1 Site River Baseline'!$C$9:$R$257,6,FALSE))</f>
        <v/>
      </c>
      <c r="H164" s="520" t="str">
        <f>IF(G164="","",VLOOKUP($B164,'C-1 Site River Baseline'!$C$9:$R$257,7,FALSE))</f>
        <v/>
      </c>
      <c r="I164" s="520" t="str">
        <f>IF(H164="","",VLOOKUP($B164,'C-1 Site River Baseline'!$C$9:$R$257,8,FALSE))</f>
        <v/>
      </c>
      <c r="J164" s="520" t="str">
        <f>IF(I164="","",VLOOKUP($B164,'C-1 Site River Baseline'!$C$9:$R$257,9,FALSE))</f>
        <v/>
      </c>
      <c r="K164" s="520" t="str">
        <f>IF(J164="","",VLOOKUP($B164,'C-1 Site River Baseline'!$C$9:$R$257,10,FALSE))</f>
        <v/>
      </c>
      <c r="L164" s="520" t="str">
        <f>IF(B164="","",VLOOKUP($B164,'C-1 Site River Baseline'!$C$9:$R$257,15,FALSE))</f>
        <v/>
      </c>
      <c r="M164" s="524" t="str">
        <f>IF(L164="","",VLOOKUP($B164,'C-1 Site River Baseline'!$C$9:$R$257,16,FALSE))</f>
        <v/>
      </c>
      <c r="N164" s="418" t="str">
        <f t="shared" si="17"/>
        <v/>
      </c>
      <c r="O164" s="498" t="str">
        <f t="shared" si="18"/>
        <v/>
      </c>
      <c r="P164" s="499" t="str">
        <f>IF(C164="","",IF(AND(LEFT(C164,55)&lt;&gt;LEFT(N164,55),O164="High - High"),"Error - Not like for like ▲",IF(AND(F164=S164,H164&gt;U164),"Error - Can not reduce condition ▲",IF(AND(F164=S164,H164=U164,AJ164='C-1 Site River Baseline'!N162,'C-1 Site River Baseline'!P162=AL164),"Error - No enhancement ▲",IF(AND(C164&lt;&gt;N164,F164&lt;S164),"Lower Distinctiveness Habitat"&amp;" - "&amp;T164,G164&amp;" - "&amp;T164)))))</f>
        <v/>
      </c>
      <c r="Q164" s="567" t="str">
        <f>IF(N164="","",VLOOKUP(B164,'C-1 Site River Baseline'!$C$10:$AA$257,19,FALSE))</f>
        <v/>
      </c>
      <c r="R164" s="498" t="str">
        <f>IF(N164="","",VLOOKUP(N164,'G-7 Rivers Data'!$B$2:$G$8,2,FALSE))</f>
        <v/>
      </c>
      <c r="S164" s="499" t="str">
        <f>IFERROR(VLOOKUP(R164,'G-7 Rivers Data'!$C$4:$D$8,2,FALSE),"")</f>
        <v/>
      </c>
      <c r="T164" s="145"/>
      <c r="U164" s="499" t="str">
        <f>IFERROR(INDEX('G-7 Rivers Data'!$H$4:$L$8,MATCH(N164,'G-7 Rivers Data'!$B$4:$B$8,0),MATCH(T164,'G-7 Rivers Data'!$H$3:$L$3,0)),"")</f>
        <v/>
      </c>
      <c r="V164" s="154"/>
      <c r="W164" s="507" t="str">
        <f>IF(V164="","",IF(VLOOKUP(V164,'G-7 Rivers Data'!$AG$4:$AI$9,2,FALSE)=0,"Spatial Data Missing ⚠",VLOOKUP(V164,'G-7 Rivers Data'!$AG$4:$AI$9,2,FALSE)))</f>
        <v/>
      </c>
      <c r="X164" s="499" t="str">
        <f>IF(V164="","",IF(VLOOKUP(V164,'G-7 Rivers Data'!$AG$4:$AI$9,3,FALSE)=0,"Spatial Data Missing ⚠",VLOOKUP(V164,'G-7 Rivers Data'!$AG$4:$AI$9,3,FALSE)))</f>
        <v/>
      </c>
      <c r="Y164" s="498" t="str">
        <f>IFERROR(IF(OR(LEFT(P164,5)="Error ▲",LEFT(O164,5)="Error ▲"),"Check Data ⚠",IF(F164&lt;S164,'G-7 Rivers Data'!$R$3,INDEX('G-7 Rivers Data'!$U$5:$Y$9,MATCH(G164,'G-7 Rivers Data'!$T$5:$T$9,0),MATCH(T164,'G-7 Rivers Data'!$U$4:$Y$4,0)))),"")</f>
        <v/>
      </c>
      <c r="Z164" s="195"/>
      <c r="AA164" s="195"/>
      <c r="AB164" s="507" t="str">
        <f t="shared" si="19"/>
        <v/>
      </c>
      <c r="AC164" s="521" t="str">
        <f t="shared" si="20"/>
        <v/>
      </c>
      <c r="AD164" s="564" t="str">
        <f>IFERROR(IF(AC164="Check Data ⚠","Check Data ⚠",VLOOKUP(AC164,'G-4 Temporal multipliers'!$A$4:$C$37,3,FALSE)),"")</f>
        <v/>
      </c>
      <c r="AE164" s="498" t="str">
        <f>IF(N164="","",VLOOKUP(N164,'G-7 Rivers Data'!$B$4:$G$8,5,FALSE))</f>
        <v/>
      </c>
      <c r="AF164" s="507" t="str">
        <f t="shared" si="21"/>
        <v/>
      </c>
      <c r="AG164" s="540" t="str">
        <f t="shared" si="22"/>
        <v/>
      </c>
      <c r="AH164" s="499" t="str">
        <f t="shared" si="16"/>
        <v/>
      </c>
      <c r="AI164" s="145"/>
      <c r="AJ164" s="499" t="str">
        <f>IF(AI164="","",IF(VLOOKUP(AI164,'G-7 Rivers Data'!$AA$4:$AB$7,2,FALSE)=0,"Spatial Data Missing ⚠",VLOOKUP(AI164,'G-7 Rivers Data'!$AA$4:$AB$7,2,FALSE)))</f>
        <v/>
      </c>
      <c r="AK164" s="155"/>
      <c r="AL164" s="499" t="str">
        <f>IF(AK164="","",IF(VLOOKUP(AK164,'G-7 Rivers Data'!$AD$4:$AE$8,2,FALSE)=0,"Spatial Data Missing ⚠",VLOOKUP(AK164,'G-7 Rivers Data'!$AD$4:$AE$8,2,FALSE)))</f>
        <v/>
      </c>
      <c r="AM164" s="545" t="str">
        <f t="shared" si="23"/>
        <v/>
      </c>
      <c r="AN164" s="149"/>
      <c r="AO164" s="150"/>
      <c r="AV164" s="31" t="str">
        <f>IFERROR(INDEX('G-7 Rivers Data'!$AZ$3:$AZ$7,MATCH(N164,'G-7 Rivers Data'!$AY$3:$AY$7,0)),"")</f>
        <v/>
      </c>
    </row>
    <row r="165" spans="2:48" ht="13.8" x14ac:dyDescent="0.25">
      <c r="B165" s="531" t="str">
        <f>'C-1 Site River Baseline'!AN163</f>
        <v/>
      </c>
      <c r="C165" s="520" t="str">
        <f>IF(B165="","",VLOOKUP($B165,'C-1 Site River Baseline'!$C$9:$R$257,2,FALSE))</f>
        <v/>
      </c>
      <c r="D165" s="520" t="str">
        <f>IF(C165="","",VLOOKUP($B165,'C-1 Site River Baseline'!$C$9:$R$257,3,FALSE))</f>
        <v/>
      </c>
      <c r="E165" s="520" t="str">
        <f>IF(D165="","",VLOOKUP($B165,'C-1 Site River Baseline'!$C$9:$R$257,4,FALSE))</f>
        <v/>
      </c>
      <c r="F165" s="520" t="str">
        <f>IF(E165="","",VLOOKUP($B165,'C-1 Site River Baseline'!$C$9:$R$257,5,FALSE))</f>
        <v/>
      </c>
      <c r="G165" s="520" t="str">
        <f>IF(F165="","",VLOOKUP($B165,'C-1 Site River Baseline'!$C$9:$R$257,6,FALSE))</f>
        <v/>
      </c>
      <c r="H165" s="520" t="str">
        <f>IF(G165="","",VLOOKUP($B165,'C-1 Site River Baseline'!$C$9:$R$257,7,FALSE))</f>
        <v/>
      </c>
      <c r="I165" s="520" t="str">
        <f>IF(H165="","",VLOOKUP($B165,'C-1 Site River Baseline'!$C$9:$R$257,8,FALSE))</f>
        <v/>
      </c>
      <c r="J165" s="520" t="str">
        <f>IF(I165="","",VLOOKUP($B165,'C-1 Site River Baseline'!$C$9:$R$257,9,FALSE))</f>
        <v/>
      </c>
      <c r="K165" s="520" t="str">
        <f>IF(J165="","",VLOOKUP($B165,'C-1 Site River Baseline'!$C$9:$R$257,10,FALSE))</f>
        <v/>
      </c>
      <c r="L165" s="520" t="str">
        <f>IF(B165="","",VLOOKUP($B165,'C-1 Site River Baseline'!$C$9:$R$257,15,FALSE))</f>
        <v/>
      </c>
      <c r="M165" s="524" t="str">
        <f>IF(L165="","",VLOOKUP($B165,'C-1 Site River Baseline'!$C$9:$R$257,16,FALSE))</f>
        <v/>
      </c>
      <c r="N165" s="418" t="str">
        <f t="shared" si="17"/>
        <v/>
      </c>
      <c r="O165" s="498" t="str">
        <f t="shared" si="18"/>
        <v/>
      </c>
      <c r="P165" s="499" t="str">
        <f>IF(C165="","",IF(AND(LEFT(C165,55)&lt;&gt;LEFT(N165,55),O165="High - High"),"Error - Not like for like ▲",IF(AND(F165=S165,H165&gt;U165),"Error - Can not reduce condition ▲",IF(AND(F165=S165,H165=U165,AJ165='C-1 Site River Baseline'!N163,'C-1 Site River Baseline'!P163=AL165),"Error - No enhancement ▲",IF(AND(C165&lt;&gt;N165,F165&lt;S165),"Lower Distinctiveness Habitat"&amp;" - "&amp;T165,G165&amp;" - "&amp;T165)))))</f>
        <v/>
      </c>
      <c r="Q165" s="567" t="str">
        <f>IF(N165="","",VLOOKUP(B165,'C-1 Site River Baseline'!$C$10:$AA$257,19,FALSE))</f>
        <v/>
      </c>
      <c r="R165" s="498" t="str">
        <f>IF(N165="","",VLOOKUP(N165,'G-7 Rivers Data'!$B$2:$G$8,2,FALSE))</f>
        <v/>
      </c>
      <c r="S165" s="499" t="str">
        <f>IFERROR(VLOOKUP(R165,'G-7 Rivers Data'!$C$4:$D$8,2,FALSE),"")</f>
        <v/>
      </c>
      <c r="T165" s="145"/>
      <c r="U165" s="499" t="str">
        <f>IFERROR(INDEX('G-7 Rivers Data'!$H$4:$L$8,MATCH(N165,'G-7 Rivers Data'!$B$4:$B$8,0),MATCH(T165,'G-7 Rivers Data'!$H$3:$L$3,0)),"")</f>
        <v/>
      </c>
      <c r="V165" s="154"/>
      <c r="W165" s="507" t="str">
        <f>IF(V165="","",IF(VLOOKUP(V165,'G-7 Rivers Data'!$AG$4:$AI$9,2,FALSE)=0,"Spatial Data Missing ⚠",VLOOKUP(V165,'G-7 Rivers Data'!$AG$4:$AI$9,2,FALSE)))</f>
        <v/>
      </c>
      <c r="X165" s="499" t="str">
        <f>IF(V165="","",IF(VLOOKUP(V165,'G-7 Rivers Data'!$AG$4:$AI$9,3,FALSE)=0,"Spatial Data Missing ⚠",VLOOKUP(V165,'G-7 Rivers Data'!$AG$4:$AI$9,3,FALSE)))</f>
        <v/>
      </c>
      <c r="Y165" s="498" t="str">
        <f>IFERROR(IF(OR(LEFT(P165,5)="Error ▲",LEFT(O165,5)="Error ▲"),"Check Data ⚠",IF(F165&lt;S165,'G-7 Rivers Data'!$R$3,INDEX('G-7 Rivers Data'!$U$5:$Y$9,MATCH(G165,'G-7 Rivers Data'!$T$5:$T$9,0),MATCH(T165,'G-7 Rivers Data'!$U$4:$Y$4,0)))),"")</f>
        <v/>
      </c>
      <c r="Z165" s="195"/>
      <c r="AA165" s="195"/>
      <c r="AB165" s="507" t="str">
        <f t="shared" si="19"/>
        <v/>
      </c>
      <c r="AC165" s="521" t="str">
        <f t="shared" si="20"/>
        <v/>
      </c>
      <c r="AD165" s="564" t="str">
        <f>IFERROR(IF(AC165="Check Data ⚠","Check Data ⚠",VLOOKUP(AC165,'G-4 Temporal multipliers'!$A$4:$C$37,3,FALSE)),"")</f>
        <v/>
      </c>
      <c r="AE165" s="498" t="str">
        <f>IF(N165="","",VLOOKUP(N165,'G-7 Rivers Data'!$B$4:$G$8,5,FALSE))</f>
        <v/>
      </c>
      <c r="AF165" s="507" t="str">
        <f t="shared" si="21"/>
        <v/>
      </c>
      <c r="AG165" s="540" t="str">
        <f t="shared" si="22"/>
        <v/>
      </c>
      <c r="AH165" s="499" t="str">
        <f t="shared" si="16"/>
        <v/>
      </c>
      <c r="AI165" s="145"/>
      <c r="AJ165" s="499" t="str">
        <f>IF(AI165="","",IF(VLOOKUP(AI165,'G-7 Rivers Data'!$AA$4:$AB$7,2,FALSE)=0,"Spatial Data Missing ⚠",VLOOKUP(AI165,'G-7 Rivers Data'!$AA$4:$AB$7,2,FALSE)))</f>
        <v/>
      </c>
      <c r="AK165" s="155"/>
      <c r="AL165" s="499" t="str">
        <f>IF(AK165="","",IF(VLOOKUP(AK165,'G-7 Rivers Data'!$AD$4:$AE$8,2,FALSE)=0,"Spatial Data Missing ⚠",VLOOKUP(AK165,'G-7 Rivers Data'!$AD$4:$AE$8,2,FALSE)))</f>
        <v/>
      </c>
      <c r="AM165" s="545" t="str">
        <f t="shared" si="23"/>
        <v/>
      </c>
      <c r="AN165" s="149"/>
      <c r="AO165" s="150"/>
      <c r="AV165" s="31" t="str">
        <f>IFERROR(INDEX('G-7 Rivers Data'!$AZ$3:$AZ$7,MATCH(N165,'G-7 Rivers Data'!$AY$3:$AY$7,0)),"")</f>
        <v/>
      </c>
    </row>
    <row r="166" spans="2:48" ht="13.8" x14ac:dyDescent="0.25">
      <c r="B166" s="531" t="str">
        <f>'C-1 Site River Baseline'!AN164</f>
        <v/>
      </c>
      <c r="C166" s="520" t="str">
        <f>IF(B166="","",VLOOKUP($B166,'C-1 Site River Baseline'!$C$9:$R$257,2,FALSE))</f>
        <v/>
      </c>
      <c r="D166" s="520" t="str">
        <f>IF(C166="","",VLOOKUP($B166,'C-1 Site River Baseline'!$C$9:$R$257,3,FALSE))</f>
        <v/>
      </c>
      <c r="E166" s="520" t="str">
        <f>IF(D166="","",VLOOKUP($B166,'C-1 Site River Baseline'!$C$9:$R$257,4,FALSE))</f>
        <v/>
      </c>
      <c r="F166" s="520" t="str">
        <f>IF(E166="","",VLOOKUP($B166,'C-1 Site River Baseline'!$C$9:$R$257,5,FALSE))</f>
        <v/>
      </c>
      <c r="G166" s="520" t="str">
        <f>IF(F166="","",VLOOKUP($B166,'C-1 Site River Baseline'!$C$9:$R$257,6,FALSE))</f>
        <v/>
      </c>
      <c r="H166" s="520" t="str">
        <f>IF(G166="","",VLOOKUP($B166,'C-1 Site River Baseline'!$C$9:$R$257,7,FALSE))</f>
        <v/>
      </c>
      <c r="I166" s="520" t="str">
        <f>IF(H166="","",VLOOKUP($B166,'C-1 Site River Baseline'!$C$9:$R$257,8,FALSE))</f>
        <v/>
      </c>
      <c r="J166" s="520" t="str">
        <f>IF(I166="","",VLOOKUP($B166,'C-1 Site River Baseline'!$C$9:$R$257,9,FALSE))</f>
        <v/>
      </c>
      <c r="K166" s="520" t="str">
        <f>IF(J166="","",VLOOKUP($B166,'C-1 Site River Baseline'!$C$9:$R$257,10,FALSE))</f>
        <v/>
      </c>
      <c r="L166" s="520" t="str">
        <f>IF(B166="","",VLOOKUP($B166,'C-1 Site River Baseline'!$C$9:$R$257,15,FALSE))</f>
        <v/>
      </c>
      <c r="M166" s="524" t="str">
        <f>IF(L166="","",VLOOKUP($B166,'C-1 Site River Baseline'!$C$9:$R$257,16,FALSE))</f>
        <v/>
      </c>
      <c r="N166" s="418" t="str">
        <f t="shared" si="17"/>
        <v/>
      </c>
      <c r="O166" s="498" t="str">
        <f t="shared" si="18"/>
        <v/>
      </c>
      <c r="P166" s="499" t="str">
        <f>IF(C166="","",IF(AND(LEFT(C166,55)&lt;&gt;LEFT(N166,55),O166="High - High"),"Error - Not like for like ▲",IF(AND(F166=S166,H166&gt;U166),"Error - Can not reduce condition ▲",IF(AND(F166=S166,H166=U166,AJ166='C-1 Site River Baseline'!N164,'C-1 Site River Baseline'!P164=AL166),"Error - No enhancement ▲",IF(AND(C166&lt;&gt;N166,F166&lt;S166),"Lower Distinctiveness Habitat"&amp;" - "&amp;T166,G166&amp;" - "&amp;T166)))))</f>
        <v/>
      </c>
      <c r="Q166" s="567" t="str">
        <f>IF(N166="","",VLOOKUP(B166,'C-1 Site River Baseline'!$C$10:$AA$257,19,FALSE))</f>
        <v/>
      </c>
      <c r="R166" s="498" t="str">
        <f>IF(N166="","",VLOOKUP(N166,'G-7 Rivers Data'!$B$2:$G$8,2,FALSE))</f>
        <v/>
      </c>
      <c r="S166" s="499" t="str">
        <f>IFERROR(VLOOKUP(R166,'G-7 Rivers Data'!$C$4:$D$8,2,FALSE),"")</f>
        <v/>
      </c>
      <c r="T166" s="145"/>
      <c r="U166" s="499" t="str">
        <f>IFERROR(INDEX('G-7 Rivers Data'!$H$4:$L$8,MATCH(N166,'G-7 Rivers Data'!$B$4:$B$8,0),MATCH(T166,'G-7 Rivers Data'!$H$3:$L$3,0)),"")</f>
        <v/>
      </c>
      <c r="V166" s="154"/>
      <c r="W166" s="507" t="str">
        <f>IF(V166="","",IF(VLOOKUP(V166,'G-7 Rivers Data'!$AG$4:$AI$9,2,FALSE)=0,"Spatial Data Missing ⚠",VLOOKUP(V166,'G-7 Rivers Data'!$AG$4:$AI$9,2,FALSE)))</f>
        <v/>
      </c>
      <c r="X166" s="499" t="str">
        <f>IF(V166="","",IF(VLOOKUP(V166,'G-7 Rivers Data'!$AG$4:$AI$9,3,FALSE)=0,"Spatial Data Missing ⚠",VLOOKUP(V166,'G-7 Rivers Data'!$AG$4:$AI$9,3,FALSE)))</f>
        <v/>
      </c>
      <c r="Y166" s="498" t="str">
        <f>IFERROR(IF(OR(LEFT(P166,5)="Error ▲",LEFT(O166,5)="Error ▲"),"Check Data ⚠",IF(F166&lt;S166,'G-7 Rivers Data'!$R$3,INDEX('G-7 Rivers Data'!$U$5:$Y$9,MATCH(G166,'G-7 Rivers Data'!$T$5:$T$9,0),MATCH(T166,'G-7 Rivers Data'!$U$4:$Y$4,0)))),"")</f>
        <v/>
      </c>
      <c r="Z166" s="195"/>
      <c r="AA166" s="195"/>
      <c r="AB166" s="507" t="str">
        <f t="shared" si="19"/>
        <v/>
      </c>
      <c r="AC166" s="521" t="str">
        <f t="shared" si="20"/>
        <v/>
      </c>
      <c r="AD166" s="564" t="str">
        <f>IFERROR(IF(AC166="Check Data ⚠","Check Data ⚠",VLOOKUP(AC166,'G-4 Temporal multipliers'!$A$4:$C$37,3,FALSE)),"")</f>
        <v/>
      </c>
      <c r="AE166" s="498" t="str">
        <f>IF(N166="","",VLOOKUP(N166,'G-7 Rivers Data'!$B$4:$G$8,5,FALSE))</f>
        <v/>
      </c>
      <c r="AF166" s="507" t="str">
        <f t="shared" si="21"/>
        <v/>
      </c>
      <c r="AG166" s="540" t="str">
        <f t="shared" si="22"/>
        <v/>
      </c>
      <c r="AH166" s="499" t="str">
        <f t="shared" si="16"/>
        <v/>
      </c>
      <c r="AI166" s="145"/>
      <c r="AJ166" s="499" t="str">
        <f>IF(AI166="","",IF(VLOOKUP(AI166,'G-7 Rivers Data'!$AA$4:$AB$7,2,FALSE)=0,"Spatial Data Missing ⚠",VLOOKUP(AI166,'G-7 Rivers Data'!$AA$4:$AB$7,2,FALSE)))</f>
        <v/>
      </c>
      <c r="AK166" s="155"/>
      <c r="AL166" s="499" t="str">
        <f>IF(AK166="","",IF(VLOOKUP(AK166,'G-7 Rivers Data'!$AD$4:$AE$8,2,FALSE)=0,"Spatial Data Missing ⚠",VLOOKUP(AK166,'G-7 Rivers Data'!$AD$4:$AE$8,2,FALSE)))</f>
        <v/>
      </c>
      <c r="AM166" s="545" t="str">
        <f t="shared" si="23"/>
        <v/>
      </c>
      <c r="AN166" s="149"/>
      <c r="AO166" s="150"/>
      <c r="AV166" s="31" t="str">
        <f>IFERROR(INDEX('G-7 Rivers Data'!$AZ$3:$AZ$7,MATCH(N166,'G-7 Rivers Data'!$AY$3:$AY$7,0)),"")</f>
        <v/>
      </c>
    </row>
    <row r="167" spans="2:48" ht="13.8" x14ac:dyDescent="0.25">
      <c r="B167" s="531" t="str">
        <f>'C-1 Site River Baseline'!AN165</f>
        <v/>
      </c>
      <c r="C167" s="520" t="str">
        <f>IF(B167="","",VLOOKUP($B167,'C-1 Site River Baseline'!$C$9:$R$257,2,FALSE))</f>
        <v/>
      </c>
      <c r="D167" s="520" t="str">
        <f>IF(C167="","",VLOOKUP($B167,'C-1 Site River Baseline'!$C$9:$R$257,3,FALSE))</f>
        <v/>
      </c>
      <c r="E167" s="520" t="str">
        <f>IF(D167="","",VLOOKUP($B167,'C-1 Site River Baseline'!$C$9:$R$257,4,FALSE))</f>
        <v/>
      </c>
      <c r="F167" s="520" t="str">
        <f>IF(E167="","",VLOOKUP($B167,'C-1 Site River Baseline'!$C$9:$R$257,5,FALSE))</f>
        <v/>
      </c>
      <c r="G167" s="520" t="str">
        <f>IF(F167="","",VLOOKUP($B167,'C-1 Site River Baseline'!$C$9:$R$257,6,FALSE))</f>
        <v/>
      </c>
      <c r="H167" s="520" t="str">
        <f>IF(G167="","",VLOOKUP($B167,'C-1 Site River Baseline'!$C$9:$R$257,7,FALSE))</f>
        <v/>
      </c>
      <c r="I167" s="520" t="str">
        <f>IF(H167="","",VLOOKUP($B167,'C-1 Site River Baseline'!$C$9:$R$257,8,FALSE))</f>
        <v/>
      </c>
      <c r="J167" s="520" t="str">
        <f>IF(I167="","",VLOOKUP($B167,'C-1 Site River Baseline'!$C$9:$R$257,9,FALSE))</f>
        <v/>
      </c>
      <c r="K167" s="520" t="str">
        <f>IF(J167="","",VLOOKUP($B167,'C-1 Site River Baseline'!$C$9:$R$257,10,FALSE))</f>
        <v/>
      </c>
      <c r="L167" s="520" t="str">
        <f>IF(B167="","",VLOOKUP($B167,'C-1 Site River Baseline'!$C$9:$R$257,15,FALSE))</f>
        <v/>
      </c>
      <c r="M167" s="524" t="str">
        <f>IF(L167="","",VLOOKUP($B167,'C-1 Site River Baseline'!$C$9:$R$257,16,FALSE))</f>
        <v/>
      </c>
      <c r="N167" s="418" t="str">
        <f t="shared" si="17"/>
        <v/>
      </c>
      <c r="O167" s="498" t="str">
        <f t="shared" si="18"/>
        <v/>
      </c>
      <c r="P167" s="499" t="str">
        <f>IF(C167="","",IF(AND(LEFT(C167,55)&lt;&gt;LEFT(N167,55),O167="High - High"),"Error - Not like for like ▲",IF(AND(F167=S167,H167&gt;U167),"Error - Can not reduce condition ▲",IF(AND(F167=S167,H167=U167,AJ167='C-1 Site River Baseline'!N165,'C-1 Site River Baseline'!P165=AL167),"Error - No enhancement ▲",IF(AND(C167&lt;&gt;N167,F167&lt;S167),"Lower Distinctiveness Habitat"&amp;" - "&amp;T167,G167&amp;" - "&amp;T167)))))</f>
        <v/>
      </c>
      <c r="Q167" s="567" t="str">
        <f>IF(N167="","",VLOOKUP(B167,'C-1 Site River Baseline'!$C$10:$AA$257,19,FALSE))</f>
        <v/>
      </c>
      <c r="R167" s="498" t="str">
        <f>IF(N167="","",VLOOKUP(N167,'G-7 Rivers Data'!$B$2:$G$8,2,FALSE))</f>
        <v/>
      </c>
      <c r="S167" s="499" t="str">
        <f>IFERROR(VLOOKUP(R167,'G-7 Rivers Data'!$C$4:$D$8,2,FALSE),"")</f>
        <v/>
      </c>
      <c r="T167" s="145"/>
      <c r="U167" s="499" t="str">
        <f>IFERROR(INDEX('G-7 Rivers Data'!$H$4:$L$8,MATCH(N167,'G-7 Rivers Data'!$B$4:$B$8,0),MATCH(T167,'G-7 Rivers Data'!$H$3:$L$3,0)),"")</f>
        <v/>
      </c>
      <c r="V167" s="154"/>
      <c r="W167" s="507" t="str">
        <f>IF(V167="","",IF(VLOOKUP(V167,'G-7 Rivers Data'!$AG$4:$AI$9,2,FALSE)=0,"Spatial Data Missing ⚠",VLOOKUP(V167,'G-7 Rivers Data'!$AG$4:$AI$9,2,FALSE)))</f>
        <v/>
      </c>
      <c r="X167" s="499" t="str">
        <f>IF(V167="","",IF(VLOOKUP(V167,'G-7 Rivers Data'!$AG$4:$AI$9,3,FALSE)=0,"Spatial Data Missing ⚠",VLOOKUP(V167,'G-7 Rivers Data'!$AG$4:$AI$9,3,FALSE)))</f>
        <v/>
      </c>
      <c r="Y167" s="498" t="str">
        <f>IFERROR(IF(OR(LEFT(P167,5)="Error ▲",LEFT(O167,5)="Error ▲"),"Check Data ⚠",IF(F167&lt;S167,'G-7 Rivers Data'!$R$3,INDEX('G-7 Rivers Data'!$U$5:$Y$9,MATCH(G167,'G-7 Rivers Data'!$T$5:$T$9,0),MATCH(T167,'G-7 Rivers Data'!$U$4:$Y$4,0)))),"")</f>
        <v/>
      </c>
      <c r="Z167" s="195"/>
      <c r="AA167" s="195"/>
      <c r="AB167" s="507" t="str">
        <f t="shared" si="19"/>
        <v/>
      </c>
      <c r="AC167" s="521" t="str">
        <f t="shared" si="20"/>
        <v/>
      </c>
      <c r="AD167" s="564" t="str">
        <f>IFERROR(IF(AC167="Check Data ⚠","Check Data ⚠",VLOOKUP(AC167,'G-4 Temporal multipliers'!$A$4:$C$37,3,FALSE)),"")</f>
        <v/>
      </c>
      <c r="AE167" s="498" t="str">
        <f>IF(N167="","",VLOOKUP(N167,'G-7 Rivers Data'!$B$4:$G$8,5,FALSE))</f>
        <v/>
      </c>
      <c r="AF167" s="507" t="str">
        <f t="shared" si="21"/>
        <v/>
      </c>
      <c r="AG167" s="540" t="str">
        <f t="shared" si="22"/>
        <v/>
      </c>
      <c r="AH167" s="499" t="str">
        <f t="shared" si="16"/>
        <v/>
      </c>
      <c r="AI167" s="145"/>
      <c r="AJ167" s="499" t="str">
        <f>IF(AI167="","",IF(VLOOKUP(AI167,'G-7 Rivers Data'!$AA$4:$AB$7,2,FALSE)=0,"Spatial Data Missing ⚠",VLOOKUP(AI167,'G-7 Rivers Data'!$AA$4:$AB$7,2,FALSE)))</f>
        <v/>
      </c>
      <c r="AK167" s="155"/>
      <c r="AL167" s="499" t="str">
        <f>IF(AK167="","",IF(VLOOKUP(AK167,'G-7 Rivers Data'!$AD$4:$AE$8,2,FALSE)=0,"Spatial Data Missing ⚠",VLOOKUP(AK167,'G-7 Rivers Data'!$AD$4:$AE$8,2,FALSE)))</f>
        <v/>
      </c>
      <c r="AM167" s="545" t="str">
        <f t="shared" si="23"/>
        <v/>
      </c>
      <c r="AN167" s="149"/>
      <c r="AO167" s="150"/>
      <c r="AV167" s="31" t="str">
        <f>IFERROR(INDEX('G-7 Rivers Data'!$AZ$3:$AZ$7,MATCH(N167,'G-7 Rivers Data'!$AY$3:$AY$7,0)),"")</f>
        <v/>
      </c>
    </row>
    <row r="168" spans="2:48" ht="13.8" x14ac:dyDescent="0.25">
      <c r="B168" s="531" t="str">
        <f>'C-1 Site River Baseline'!AN166</f>
        <v/>
      </c>
      <c r="C168" s="520" t="str">
        <f>IF(B168="","",VLOOKUP($B168,'C-1 Site River Baseline'!$C$9:$R$257,2,FALSE))</f>
        <v/>
      </c>
      <c r="D168" s="520" t="str">
        <f>IF(C168="","",VLOOKUP($B168,'C-1 Site River Baseline'!$C$9:$R$257,3,FALSE))</f>
        <v/>
      </c>
      <c r="E168" s="520" t="str">
        <f>IF(D168="","",VLOOKUP($B168,'C-1 Site River Baseline'!$C$9:$R$257,4,FALSE))</f>
        <v/>
      </c>
      <c r="F168" s="520" t="str">
        <f>IF(E168="","",VLOOKUP($B168,'C-1 Site River Baseline'!$C$9:$R$257,5,FALSE))</f>
        <v/>
      </c>
      <c r="G168" s="520" t="str">
        <f>IF(F168="","",VLOOKUP($B168,'C-1 Site River Baseline'!$C$9:$R$257,6,FALSE))</f>
        <v/>
      </c>
      <c r="H168" s="520" t="str">
        <f>IF(G168="","",VLOOKUP($B168,'C-1 Site River Baseline'!$C$9:$R$257,7,FALSE))</f>
        <v/>
      </c>
      <c r="I168" s="520" t="str">
        <f>IF(H168="","",VLOOKUP($B168,'C-1 Site River Baseline'!$C$9:$R$257,8,FALSE))</f>
        <v/>
      </c>
      <c r="J168" s="520" t="str">
        <f>IF(I168="","",VLOOKUP($B168,'C-1 Site River Baseline'!$C$9:$R$257,9,FALSE))</f>
        <v/>
      </c>
      <c r="K168" s="520" t="str">
        <f>IF(J168="","",VLOOKUP($B168,'C-1 Site River Baseline'!$C$9:$R$257,10,FALSE))</f>
        <v/>
      </c>
      <c r="L168" s="520" t="str">
        <f>IF(B168="","",VLOOKUP($B168,'C-1 Site River Baseline'!$C$9:$R$257,15,FALSE))</f>
        <v/>
      </c>
      <c r="M168" s="524" t="str">
        <f>IF(L168="","",VLOOKUP($B168,'C-1 Site River Baseline'!$C$9:$R$257,16,FALSE))</f>
        <v/>
      </c>
      <c r="N168" s="418" t="str">
        <f t="shared" si="17"/>
        <v/>
      </c>
      <c r="O168" s="498" t="str">
        <f t="shared" si="18"/>
        <v/>
      </c>
      <c r="P168" s="499" t="str">
        <f>IF(C168="","",IF(AND(LEFT(C168,55)&lt;&gt;LEFT(N168,55),O168="High - High"),"Error - Not like for like ▲",IF(AND(F168=S168,H168&gt;U168),"Error - Can not reduce condition ▲",IF(AND(F168=S168,H168=U168,AJ168='C-1 Site River Baseline'!N166,'C-1 Site River Baseline'!P166=AL168),"Error - No enhancement ▲",IF(AND(C168&lt;&gt;N168,F168&lt;S168),"Lower Distinctiveness Habitat"&amp;" - "&amp;T168,G168&amp;" - "&amp;T168)))))</f>
        <v/>
      </c>
      <c r="Q168" s="567" t="str">
        <f>IF(N168="","",VLOOKUP(B168,'C-1 Site River Baseline'!$C$10:$AA$257,19,FALSE))</f>
        <v/>
      </c>
      <c r="R168" s="498" t="str">
        <f>IF(N168="","",VLOOKUP(N168,'G-7 Rivers Data'!$B$2:$G$8,2,FALSE))</f>
        <v/>
      </c>
      <c r="S168" s="499" t="str">
        <f>IFERROR(VLOOKUP(R168,'G-7 Rivers Data'!$C$4:$D$8,2,FALSE),"")</f>
        <v/>
      </c>
      <c r="T168" s="145"/>
      <c r="U168" s="499" t="str">
        <f>IFERROR(INDEX('G-7 Rivers Data'!$H$4:$L$8,MATCH(N168,'G-7 Rivers Data'!$B$4:$B$8,0),MATCH(T168,'G-7 Rivers Data'!$H$3:$L$3,0)),"")</f>
        <v/>
      </c>
      <c r="V168" s="154"/>
      <c r="W168" s="507" t="str">
        <f>IF(V168="","",IF(VLOOKUP(V168,'G-7 Rivers Data'!$AG$4:$AI$9,2,FALSE)=0,"Spatial Data Missing ⚠",VLOOKUP(V168,'G-7 Rivers Data'!$AG$4:$AI$9,2,FALSE)))</f>
        <v/>
      </c>
      <c r="X168" s="499" t="str">
        <f>IF(V168="","",IF(VLOOKUP(V168,'G-7 Rivers Data'!$AG$4:$AI$9,3,FALSE)=0,"Spatial Data Missing ⚠",VLOOKUP(V168,'G-7 Rivers Data'!$AG$4:$AI$9,3,FALSE)))</f>
        <v/>
      </c>
      <c r="Y168" s="498" t="str">
        <f>IFERROR(IF(OR(LEFT(P168,5)="Error ▲",LEFT(O168,5)="Error ▲"),"Check Data ⚠",IF(F168&lt;S168,'G-7 Rivers Data'!$R$3,INDEX('G-7 Rivers Data'!$U$5:$Y$9,MATCH(G168,'G-7 Rivers Data'!$T$5:$T$9,0),MATCH(T168,'G-7 Rivers Data'!$U$4:$Y$4,0)))),"")</f>
        <v/>
      </c>
      <c r="Z168" s="195"/>
      <c r="AA168" s="195"/>
      <c r="AB168" s="507" t="str">
        <f t="shared" si="19"/>
        <v/>
      </c>
      <c r="AC168" s="521" t="str">
        <f t="shared" si="20"/>
        <v/>
      </c>
      <c r="AD168" s="564" t="str">
        <f>IFERROR(IF(AC168="Check Data ⚠","Check Data ⚠",VLOOKUP(AC168,'G-4 Temporal multipliers'!$A$4:$C$37,3,FALSE)),"")</f>
        <v/>
      </c>
      <c r="AE168" s="498" t="str">
        <f>IF(N168="","",VLOOKUP(N168,'G-7 Rivers Data'!$B$4:$G$8,5,FALSE))</f>
        <v/>
      </c>
      <c r="AF168" s="507" t="str">
        <f t="shared" si="21"/>
        <v/>
      </c>
      <c r="AG168" s="540" t="str">
        <f t="shared" si="22"/>
        <v/>
      </c>
      <c r="AH168" s="499" t="str">
        <f t="shared" si="16"/>
        <v/>
      </c>
      <c r="AI168" s="145"/>
      <c r="AJ168" s="499" t="str">
        <f>IF(AI168="","",IF(VLOOKUP(AI168,'G-7 Rivers Data'!$AA$4:$AB$7,2,FALSE)=0,"Spatial Data Missing ⚠",VLOOKUP(AI168,'G-7 Rivers Data'!$AA$4:$AB$7,2,FALSE)))</f>
        <v/>
      </c>
      <c r="AK168" s="155"/>
      <c r="AL168" s="499" t="str">
        <f>IF(AK168="","",IF(VLOOKUP(AK168,'G-7 Rivers Data'!$AD$4:$AE$8,2,FALSE)=0,"Spatial Data Missing ⚠",VLOOKUP(AK168,'G-7 Rivers Data'!$AD$4:$AE$8,2,FALSE)))</f>
        <v/>
      </c>
      <c r="AM168" s="545" t="str">
        <f t="shared" si="23"/>
        <v/>
      </c>
      <c r="AN168" s="149"/>
      <c r="AO168" s="150"/>
      <c r="AV168" s="31" t="str">
        <f>IFERROR(INDEX('G-7 Rivers Data'!$AZ$3:$AZ$7,MATCH(N168,'G-7 Rivers Data'!$AY$3:$AY$7,0)),"")</f>
        <v/>
      </c>
    </row>
    <row r="169" spans="2:48" ht="13.8" x14ac:dyDescent="0.25">
      <c r="B169" s="531" t="str">
        <f>'C-1 Site River Baseline'!AN167</f>
        <v/>
      </c>
      <c r="C169" s="520" t="str">
        <f>IF(B169="","",VLOOKUP($B169,'C-1 Site River Baseline'!$C$9:$R$257,2,FALSE))</f>
        <v/>
      </c>
      <c r="D169" s="520" t="str">
        <f>IF(C169="","",VLOOKUP($B169,'C-1 Site River Baseline'!$C$9:$R$257,3,FALSE))</f>
        <v/>
      </c>
      <c r="E169" s="520" t="str">
        <f>IF(D169="","",VLOOKUP($B169,'C-1 Site River Baseline'!$C$9:$R$257,4,FALSE))</f>
        <v/>
      </c>
      <c r="F169" s="520" t="str">
        <f>IF(E169="","",VLOOKUP($B169,'C-1 Site River Baseline'!$C$9:$R$257,5,FALSE))</f>
        <v/>
      </c>
      <c r="G169" s="520" t="str">
        <f>IF(F169="","",VLOOKUP($B169,'C-1 Site River Baseline'!$C$9:$R$257,6,FALSE))</f>
        <v/>
      </c>
      <c r="H169" s="520" t="str">
        <f>IF(G169="","",VLOOKUP($B169,'C-1 Site River Baseline'!$C$9:$R$257,7,FALSE))</f>
        <v/>
      </c>
      <c r="I169" s="520" t="str">
        <f>IF(H169="","",VLOOKUP($B169,'C-1 Site River Baseline'!$C$9:$R$257,8,FALSE))</f>
        <v/>
      </c>
      <c r="J169" s="520" t="str">
        <f>IF(I169="","",VLOOKUP($B169,'C-1 Site River Baseline'!$C$9:$R$257,9,FALSE))</f>
        <v/>
      </c>
      <c r="K169" s="520" t="str">
        <f>IF(J169="","",VLOOKUP($B169,'C-1 Site River Baseline'!$C$9:$R$257,10,FALSE))</f>
        <v/>
      </c>
      <c r="L169" s="520" t="str">
        <f>IF(B169="","",VLOOKUP($B169,'C-1 Site River Baseline'!$C$9:$R$257,15,FALSE))</f>
        <v/>
      </c>
      <c r="M169" s="524" t="str">
        <f>IF(L169="","",VLOOKUP($B169,'C-1 Site River Baseline'!$C$9:$R$257,16,FALSE))</f>
        <v/>
      </c>
      <c r="N169" s="418" t="str">
        <f t="shared" si="17"/>
        <v/>
      </c>
      <c r="O169" s="498" t="str">
        <f t="shared" si="18"/>
        <v/>
      </c>
      <c r="P169" s="499" t="str">
        <f>IF(C169="","",IF(AND(LEFT(C169,55)&lt;&gt;LEFT(N169,55),O169="High - High"),"Error - Not like for like ▲",IF(AND(F169=S169,H169&gt;U169),"Error - Can not reduce condition ▲",IF(AND(F169=S169,H169=U169,AJ169='C-1 Site River Baseline'!N167,'C-1 Site River Baseline'!P167=AL169),"Error - No enhancement ▲",IF(AND(C169&lt;&gt;N169,F169&lt;S169),"Lower Distinctiveness Habitat"&amp;" - "&amp;T169,G169&amp;" - "&amp;T169)))))</f>
        <v/>
      </c>
      <c r="Q169" s="567" t="str">
        <f>IF(N169="","",VLOOKUP(B169,'C-1 Site River Baseline'!$C$10:$AA$257,19,FALSE))</f>
        <v/>
      </c>
      <c r="R169" s="498" t="str">
        <f>IF(N169="","",VLOOKUP(N169,'G-7 Rivers Data'!$B$2:$G$8,2,FALSE))</f>
        <v/>
      </c>
      <c r="S169" s="499" t="str">
        <f>IFERROR(VLOOKUP(R169,'G-7 Rivers Data'!$C$4:$D$8,2,FALSE),"")</f>
        <v/>
      </c>
      <c r="T169" s="145"/>
      <c r="U169" s="499" t="str">
        <f>IFERROR(INDEX('G-7 Rivers Data'!$H$4:$L$8,MATCH(N169,'G-7 Rivers Data'!$B$4:$B$8,0),MATCH(T169,'G-7 Rivers Data'!$H$3:$L$3,0)),"")</f>
        <v/>
      </c>
      <c r="V169" s="154"/>
      <c r="W169" s="507" t="str">
        <f>IF(V169="","",IF(VLOOKUP(V169,'G-7 Rivers Data'!$AG$4:$AI$9,2,FALSE)=0,"Spatial Data Missing ⚠",VLOOKUP(V169,'G-7 Rivers Data'!$AG$4:$AI$9,2,FALSE)))</f>
        <v/>
      </c>
      <c r="X169" s="499" t="str">
        <f>IF(V169="","",IF(VLOOKUP(V169,'G-7 Rivers Data'!$AG$4:$AI$9,3,FALSE)=0,"Spatial Data Missing ⚠",VLOOKUP(V169,'G-7 Rivers Data'!$AG$4:$AI$9,3,FALSE)))</f>
        <v/>
      </c>
      <c r="Y169" s="498" t="str">
        <f>IFERROR(IF(OR(LEFT(P169,5)="Error ▲",LEFT(O169,5)="Error ▲"),"Check Data ⚠",IF(F169&lt;S169,'G-7 Rivers Data'!$R$3,INDEX('G-7 Rivers Data'!$U$5:$Y$9,MATCH(G169,'G-7 Rivers Data'!$T$5:$T$9,0),MATCH(T169,'G-7 Rivers Data'!$U$4:$Y$4,0)))),"")</f>
        <v/>
      </c>
      <c r="Z169" s="195"/>
      <c r="AA169" s="195"/>
      <c r="AB169" s="507" t="str">
        <f t="shared" si="19"/>
        <v/>
      </c>
      <c r="AC169" s="521" t="str">
        <f t="shared" si="20"/>
        <v/>
      </c>
      <c r="AD169" s="564" t="str">
        <f>IFERROR(IF(AC169="Check Data ⚠","Check Data ⚠",VLOOKUP(AC169,'G-4 Temporal multipliers'!$A$4:$C$37,3,FALSE)),"")</f>
        <v/>
      </c>
      <c r="AE169" s="498" t="str">
        <f>IF(N169="","",VLOOKUP(N169,'G-7 Rivers Data'!$B$4:$G$8,5,FALSE))</f>
        <v/>
      </c>
      <c r="AF169" s="507" t="str">
        <f t="shared" si="21"/>
        <v/>
      </c>
      <c r="AG169" s="540" t="str">
        <f t="shared" si="22"/>
        <v/>
      </c>
      <c r="AH169" s="499" t="str">
        <f t="shared" si="16"/>
        <v/>
      </c>
      <c r="AI169" s="145"/>
      <c r="AJ169" s="499" t="str">
        <f>IF(AI169="","",IF(VLOOKUP(AI169,'G-7 Rivers Data'!$AA$4:$AB$7,2,FALSE)=0,"Spatial Data Missing ⚠",VLOOKUP(AI169,'G-7 Rivers Data'!$AA$4:$AB$7,2,FALSE)))</f>
        <v/>
      </c>
      <c r="AK169" s="155"/>
      <c r="AL169" s="499" t="str">
        <f>IF(AK169="","",IF(VLOOKUP(AK169,'G-7 Rivers Data'!$AD$4:$AE$8,2,FALSE)=0,"Spatial Data Missing ⚠",VLOOKUP(AK169,'G-7 Rivers Data'!$AD$4:$AE$8,2,FALSE)))</f>
        <v/>
      </c>
      <c r="AM169" s="545" t="str">
        <f t="shared" si="23"/>
        <v/>
      </c>
      <c r="AN169" s="149"/>
      <c r="AO169" s="150"/>
      <c r="AV169" s="31" t="str">
        <f>IFERROR(INDEX('G-7 Rivers Data'!$AZ$3:$AZ$7,MATCH(N169,'G-7 Rivers Data'!$AY$3:$AY$7,0)),"")</f>
        <v/>
      </c>
    </row>
    <row r="170" spans="2:48" ht="13.8" x14ac:dyDescent="0.25">
      <c r="B170" s="531" t="str">
        <f>'C-1 Site River Baseline'!AN168</f>
        <v/>
      </c>
      <c r="C170" s="520" t="str">
        <f>IF(B170="","",VLOOKUP($B170,'C-1 Site River Baseline'!$C$9:$R$257,2,FALSE))</f>
        <v/>
      </c>
      <c r="D170" s="520" t="str">
        <f>IF(C170="","",VLOOKUP($B170,'C-1 Site River Baseline'!$C$9:$R$257,3,FALSE))</f>
        <v/>
      </c>
      <c r="E170" s="520" t="str">
        <f>IF(D170="","",VLOOKUP($B170,'C-1 Site River Baseline'!$C$9:$R$257,4,FALSE))</f>
        <v/>
      </c>
      <c r="F170" s="520" t="str">
        <f>IF(E170="","",VLOOKUP($B170,'C-1 Site River Baseline'!$C$9:$R$257,5,FALSE))</f>
        <v/>
      </c>
      <c r="G170" s="520" t="str">
        <f>IF(F170="","",VLOOKUP($B170,'C-1 Site River Baseline'!$C$9:$R$257,6,FALSE))</f>
        <v/>
      </c>
      <c r="H170" s="520" t="str">
        <f>IF(G170="","",VLOOKUP($B170,'C-1 Site River Baseline'!$C$9:$R$257,7,FALSE))</f>
        <v/>
      </c>
      <c r="I170" s="520" t="str">
        <f>IF(H170="","",VLOOKUP($B170,'C-1 Site River Baseline'!$C$9:$R$257,8,FALSE))</f>
        <v/>
      </c>
      <c r="J170" s="520" t="str">
        <f>IF(I170="","",VLOOKUP($B170,'C-1 Site River Baseline'!$C$9:$R$257,9,FALSE))</f>
        <v/>
      </c>
      <c r="K170" s="520" t="str">
        <f>IF(J170="","",VLOOKUP($B170,'C-1 Site River Baseline'!$C$9:$R$257,10,FALSE))</f>
        <v/>
      </c>
      <c r="L170" s="520" t="str">
        <f>IF(B170="","",VLOOKUP($B170,'C-1 Site River Baseline'!$C$9:$R$257,15,FALSE))</f>
        <v/>
      </c>
      <c r="M170" s="524" t="str">
        <f>IF(L170="","",VLOOKUP($B170,'C-1 Site River Baseline'!$C$9:$R$257,16,FALSE))</f>
        <v/>
      </c>
      <c r="N170" s="418" t="str">
        <f t="shared" si="17"/>
        <v/>
      </c>
      <c r="O170" s="498" t="str">
        <f t="shared" si="18"/>
        <v/>
      </c>
      <c r="P170" s="499" t="str">
        <f>IF(C170="","",IF(AND(LEFT(C170,55)&lt;&gt;LEFT(N170,55),O170="High - High"),"Error - Not like for like ▲",IF(AND(F170=S170,H170&gt;U170),"Error - Can not reduce condition ▲",IF(AND(F170=S170,H170=U170,AJ170='C-1 Site River Baseline'!N168,'C-1 Site River Baseline'!P168=AL170),"Error - No enhancement ▲",IF(AND(C170&lt;&gt;N170,F170&lt;S170),"Lower Distinctiveness Habitat"&amp;" - "&amp;T170,G170&amp;" - "&amp;T170)))))</f>
        <v/>
      </c>
      <c r="Q170" s="567" t="str">
        <f>IF(N170="","",VLOOKUP(B170,'C-1 Site River Baseline'!$C$10:$AA$257,19,FALSE))</f>
        <v/>
      </c>
      <c r="R170" s="498" t="str">
        <f>IF(N170="","",VLOOKUP(N170,'G-7 Rivers Data'!$B$2:$G$8,2,FALSE))</f>
        <v/>
      </c>
      <c r="S170" s="499" t="str">
        <f>IFERROR(VLOOKUP(R170,'G-7 Rivers Data'!$C$4:$D$8,2,FALSE),"")</f>
        <v/>
      </c>
      <c r="T170" s="145"/>
      <c r="U170" s="499" t="str">
        <f>IFERROR(INDEX('G-7 Rivers Data'!$H$4:$L$8,MATCH(N170,'G-7 Rivers Data'!$B$4:$B$8,0),MATCH(T170,'G-7 Rivers Data'!$H$3:$L$3,0)),"")</f>
        <v/>
      </c>
      <c r="V170" s="154"/>
      <c r="W170" s="507" t="str">
        <f>IF(V170="","",IF(VLOOKUP(V170,'G-7 Rivers Data'!$AG$4:$AI$9,2,FALSE)=0,"Spatial Data Missing ⚠",VLOOKUP(V170,'G-7 Rivers Data'!$AG$4:$AI$9,2,FALSE)))</f>
        <v/>
      </c>
      <c r="X170" s="499" t="str">
        <f>IF(V170="","",IF(VLOOKUP(V170,'G-7 Rivers Data'!$AG$4:$AI$9,3,FALSE)=0,"Spatial Data Missing ⚠",VLOOKUP(V170,'G-7 Rivers Data'!$AG$4:$AI$9,3,FALSE)))</f>
        <v/>
      </c>
      <c r="Y170" s="498" t="str">
        <f>IFERROR(IF(OR(LEFT(P170,5)="Error ▲",LEFT(O170,5)="Error ▲"),"Check Data ⚠",IF(F170&lt;S170,'G-7 Rivers Data'!$R$3,INDEX('G-7 Rivers Data'!$U$5:$Y$9,MATCH(G170,'G-7 Rivers Data'!$T$5:$T$9,0),MATCH(T170,'G-7 Rivers Data'!$U$4:$Y$4,0)))),"")</f>
        <v/>
      </c>
      <c r="Z170" s="195"/>
      <c r="AA170" s="195"/>
      <c r="AB170" s="507" t="str">
        <f t="shared" si="19"/>
        <v/>
      </c>
      <c r="AC170" s="521" t="str">
        <f t="shared" si="20"/>
        <v/>
      </c>
      <c r="AD170" s="564" t="str">
        <f>IFERROR(IF(AC170="Check Data ⚠","Check Data ⚠",VLOOKUP(AC170,'G-4 Temporal multipliers'!$A$4:$C$37,3,FALSE)),"")</f>
        <v/>
      </c>
      <c r="AE170" s="498" t="str">
        <f>IF(N170="","",VLOOKUP(N170,'G-7 Rivers Data'!$B$4:$G$8,5,FALSE))</f>
        <v/>
      </c>
      <c r="AF170" s="507" t="str">
        <f t="shared" si="21"/>
        <v/>
      </c>
      <c r="AG170" s="540" t="str">
        <f t="shared" si="22"/>
        <v/>
      </c>
      <c r="AH170" s="499" t="str">
        <f t="shared" si="16"/>
        <v/>
      </c>
      <c r="AI170" s="145"/>
      <c r="AJ170" s="499" t="str">
        <f>IF(AI170="","",IF(VLOOKUP(AI170,'G-7 Rivers Data'!$AA$4:$AB$7,2,FALSE)=0,"Spatial Data Missing ⚠",VLOOKUP(AI170,'G-7 Rivers Data'!$AA$4:$AB$7,2,FALSE)))</f>
        <v/>
      </c>
      <c r="AK170" s="155"/>
      <c r="AL170" s="499" t="str">
        <f>IF(AK170="","",IF(VLOOKUP(AK170,'G-7 Rivers Data'!$AD$4:$AE$8,2,FALSE)=0,"Spatial Data Missing ⚠",VLOOKUP(AK170,'G-7 Rivers Data'!$AD$4:$AE$8,2,FALSE)))</f>
        <v/>
      </c>
      <c r="AM170" s="545" t="str">
        <f t="shared" si="23"/>
        <v/>
      </c>
      <c r="AN170" s="149"/>
      <c r="AO170" s="150"/>
      <c r="AV170" s="31" t="str">
        <f>IFERROR(INDEX('G-7 Rivers Data'!$AZ$3:$AZ$7,MATCH(N170,'G-7 Rivers Data'!$AY$3:$AY$7,0)),"")</f>
        <v/>
      </c>
    </row>
    <row r="171" spans="2:48" ht="13.8" x14ac:dyDescent="0.25">
      <c r="B171" s="531" t="str">
        <f>'C-1 Site River Baseline'!AN169</f>
        <v/>
      </c>
      <c r="C171" s="520" t="str">
        <f>IF(B171="","",VLOOKUP($B171,'C-1 Site River Baseline'!$C$9:$R$257,2,FALSE))</f>
        <v/>
      </c>
      <c r="D171" s="520" t="str">
        <f>IF(C171="","",VLOOKUP($B171,'C-1 Site River Baseline'!$C$9:$R$257,3,FALSE))</f>
        <v/>
      </c>
      <c r="E171" s="520" t="str">
        <f>IF(D171="","",VLOOKUP($B171,'C-1 Site River Baseline'!$C$9:$R$257,4,FALSE))</f>
        <v/>
      </c>
      <c r="F171" s="520" t="str">
        <f>IF(E171="","",VLOOKUP($B171,'C-1 Site River Baseline'!$C$9:$R$257,5,FALSE))</f>
        <v/>
      </c>
      <c r="G171" s="520" t="str">
        <f>IF(F171="","",VLOOKUP($B171,'C-1 Site River Baseline'!$C$9:$R$257,6,FALSE))</f>
        <v/>
      </c>
      <c r="H171" s="520" t="str">
        <f>IF(G171="","",VLOOKUP($B171,'C-1 Site River Baseline'!$C$9:$R$257,7,FALSE))</f>
        <v/>
      </c>
      <c r="I171" s="520" t="str">
        <f>IF(H171="","",VLOOKUP($B171,'C-1 Site River Baseline'!$C$9:$R$257,8,FALSE))</f>
        <v/>
      </c>
      <c r="J171" s="520" t="str">
        <f>IF(I171="","",VLOOKUP($B171,'C-1 Site River Baseline'!$C$9:$R$257,9,FALSE))</f>
        <v/>
      </c>
      <c r="K171" s="520" t="str">
        <f>IF(J171="","",VLOOKUP($B171,'C-1 Site River Baseline'!$C$9:$R$257,10,FALSE))</f>
        <v/>
      </c>
      <c r="L171" s="520" t="str">
        <f>IF(B171="","",VLOOKUP($B171,'C-1 Site River Baseline'!$C$9:$R$257,15,FALSE))</f>
        <v/>
      </c>
      <c r="M171" s="524" t="str">
        <f>IF(L171="","",VLOOKUP($B171,'C-1 Site River Baseline'!$C$9:$R$257,16,FALSE))</f>
        <v/>
      </c>
      <c r="N171" s="418" t="str">
        <f t="shared" si="17"/>
        <v/>
      </c>
      <c r="O171" s="498" t="str">
        <f t="shared" si="18"/>
        <v/>
      </c>
      <c r="P171" s="499" t="str">
        <f>IF(C171="","",IF(AND(LEFT(C171,55)&lt;&gt;LEFT(N171,55),O171="High - High"),"Error - Not like for like ▲",IF(AND(F171=S171,H171&gt;U171),"Error - Can not reduce condition ▲",IF(AND(F171=S171,H171=U171,AJ171='C-1 Site River Baseline'!N169,'C-1 Site River Baseline'!P169=AL171),"Error - No enhancement ▲",IF(AND(C171&lt;&gt;N171,F171&lt;S171),"Lower Distinctiveness Habitat"&amp;" - "&amp;T171,G171&amp;" - "&amp;T171)))))</f>
        <v/>
      </c>
      <c r="Q171" s="567" t="str">
        <f>IF(N171="","",VLOOKUP(B171,'C-1 Site River Baseline'!$C$10:$AA$257,19,FALSE))</f>
        <v/>
      </c>
      <c r="R171" s="498" t="str">
        <f>IF(N171="","",VLOOKUP(N171,'G-7 Rivers Data'!$B$2:$G$8,2,FALSE))</f>
        <v/>
      </c>
      <c r="S171" s="499" t="str">
        <f>IFERROR(VLOOKUP(R171,'G-7 Rivers Data'!$C$4:$D$8,2,FALSE),"")</f>
        <v/>
      </c>
      <c r="T171" s="145"/>
      <c r="U171" s="499" t="str">
        <f>IFERROR(INDEX('G-7 Rivers Data'!$H$4:$L$8,MATCH(N171,'G-7 Rivers Data'!$B$4:$B$8,0),MATCH(T171,'G-7 Rivers Data'!$H$3:$L$3,0)),"")</f>
        <v/>
      </c>
      <c r="V171" s="154"/>
      <c r="W171" s="507" t="str">
        <f>IF(V171="","",IF(VLOOKUP(V171,'G-7 Rivers Data'!$AG$4:$AI$9,2,FALSE)=0,"Spatial Data Missing ⚠",VLOOKUP(V171,'G-7 Rivers Data'!$AG$4:$AI$9,2,FALSE)))</f>
        <v/>
      </c>
      <c r="X171" s="499" t="str">
        <f>IF(V171="","",IF(VLOOKUP(V171,'G-7 Rivers Data'!$AG$4:$AI$9,3,FALSE)=0,"Spatial Data Missing ⚠",VLOOKUP(V171,'G-7 Rivers Data'!$AG$4:$AI$9,3,FALSE)))</f>
        <v/>
      </c>
      <c r="Y171" s="498" t="str">
        <f>IFERROR(IF(OR(LEFT(P171,5)="Error ▲",LEFT(O171,5)="Error ▲"),"Check Data ⚠",IF(F171&lt;S171,'G-7 Rivers Data'!$R$3,INDEX('G-7 Rivers Data'!$U$5:$Y$9,MATCH(G171,'G-7 Rivers Data'!$T$5:$T$9,0),MATCH(T171,'G-7 Rivers Data'!$U$4:$Y$4,0)))),"")</f>
        <v/>
      </c>
      <c r="Z171" s="195"/>
      <c r="AA171" s="195"/>
      <c r="AB171" s="507" t="str">
        <f t="shared" si="19"/>
        <v/>
      </c>
      <c r="AC171" s="521" t="str">
        <f t="shared" si="20"/>
        <v/>
      </c>
      <c r="AD171" s="564" t="str">
        <f>IFERROR(IF(AC171="Check Data ⚠","Check Data ⚠",VLOOKUP(AC171,'G-4 Temporal multipliers'!$A$4:$C$37,3,FALSE)),"")</f>
        <v/>
      </c>
      <c r="AE171" s="498" t="str">
        <f>IF(N171="","",VLOOKUP(N171,'G-7 Rivers Data'!$B$4:$G$8,5,FALSE))</f>
        <v/>
      </c>
      <c r="AF171" s="507" t="str">
        <f t="shared" si="21"/>
        <v/>
      </c>
      <c r="AG171" s="540" t="str">
        <f t="shared" si="22"/>
        <v/>
      </c>
      <c r="AH171" s="499" t="str">
        <f t="shared" si="16"/>
        <v/>
      </c>
      <c r="AI171" s="145"/>
      <c r="AJ171" s="499" t="str">
        <f>IF(AI171="","",IF(VLOOKUP(AI171,'G-7 Rivers Data'!$AA$4:$AB$7,2,FALSE)=0,"Spatial Data Missing ⚠",VLOOKUP(AI171,'G-7 Rivers Data'!$AA$4:$AB$7,2,FALSE)))</f>
        <v/>
      </c>
      <c r="AK171" s="155"/>
      <c r="AL171" s="499" t="str">
        <f>IF(AK171="","",IF(VLOOKUP(AK171,'G-7 Rivers Data'!$AD$4:$AE$8,2,FALSE)=0,"Spatial Data Missing ⚠",VLOOKUP(AK171,'G-7 Rivers Data'!$AD$4:$AE$8,2,FALSE)))</f>
        <v/>
      </c>
      <c r="AM171" s="545" t="str">
        <f t="shared" si="23"/>
        <v/>
      </c>
      <c r="AN171" s="149"/>
      <c r="AO171" s="150"/>
      <c r="AV171" s="31" t="str">
        <f>IFERROR(INDEX('G-7 Rivers Data'!$AZ$3:$AZ$7,MATCH(N171,'G-7 Rivers Data'!$AY$3:$AY$7,0)),"")</f>
        <v/>
      </c>
    </row>
    <row r="172" spans="2:48" ht="13.8" x14ac:dyDescent="0.25">
      <c r="B172" s="531" t="str">
        <f>'C-1 Site River Baseline'!AN170</f>
        <v/>
      </c>
      <c r="C172" s="520" t="str">
        <f>IF(B172="","",VLOOKUP($B172,'C-1 Site River Baseline'!$C$9:$R$257,2,FALSE))</f>
        <v/>
      </c>
      <c r="D172" s="520" t="str">
        <f>IF(C172="","",VLOOKUP($B172,'C-1 Site River Baseline'!$C$9:$R$257,3,FALSE))</f>
        <v/>
      </c>
      <c r="E172" s="520" t="str">
        <f>IF(D172="","",VLOOKUP($B172,'C-1 Site River Baseline'!$C$9:$R$257,4,FALSE))</f>
        <v/>
      </c>
      <c r="F172" s="520" t="str">
        <f>IF(E172="","",VLOOKUP($B172,'C-1 Site River Baseline'!$C$9:$R$257,5,FALSE))</f>
        <v/>
      </c>
      <c r="G172" s="520" t="str">
        <f>IF(F172="","",VLOOKUP($B172,'C-1 Site River Baseline'!$C$9:$R$257,6,FALSE))</f>
        <v/>
      </c>
      <c r="H172" s="520" t="str">
        <f>IF(G172="","",VLOOKUP($B172,'C-1 Site River Baseline'!$C$9:$R$257,7,FALSE))</f>
        <v/>
      </c>
      <c r="I172" s="520" t="str">
        <f>IF(H172="","",VLOOKUP($B172,'C-1 Site River Baseline'!$C$9:$R$257,8,FALSE))</f>
        <v/>
      </c>
      <c r="J172" s="520" t="str">
        <f>IF(I172="","",VLOOKUP($B172,'C-1 Site River Baseline'!$C$9:$R$257,9,FALSE))</f>
        <v/>
      </c>
      <c r="K172" s="520" t="str">
        <f>IF(J172="","",VLOOKUP($B172,'C-1 Site River Baseline'!$C$9:$R$257,10,FALSE))</f>
        <v/>
      </c>
      <c r="L172" s="520" t="str">
        <f>IF(B172="","",VLOOKUP($B172,'C-1 Site River Baseline'!$C$9:$R$257,15,FALSE))</f>
        <v/>
      </c>
      <c r="M172" s="524" t="str">
        <f>IF(L172="","",VLOOKUP($B172,'C-1 Site River Baseline'!$C$9:$R$257,16,FALSE))</f>
        <v/>
      </c>
      <c r="N172" s="418" t="str">
        <f t="shared" si="17"/>
        <v/>
      </c>
      <c r="O172" s="498" t="str">
        <f t="shared" si="18"/>
        <v/>
      </c>
      <c r="P172" s="499" t="str">
        <f>IF(C172="","",IF(AND(LEFT(C172,55)&lt;&gt;LEFT(N172,55),O172="High - High"),"Error - Not like for like ▲",IF(AND(F172=S172,H172&gt;U172),"Error - Can not reduce condition ▲",IF(AND(F172=S172,H172=U172,AJ172='C-1 Site River Baseline'!N170,'C-1 Site River Baseline'!P170=AL172),"Error - No enhancement ▲",IF(AND(C172&lt;&gt;N172,F172&lt;S172),"Lower Distinctiveness Habitat"&amp;" - "&amp;T172,G172&amp;" - "&amp;T172)))))</f>
        <v/>
      </c>
      <c r="Q172" s="567" t="str">
        <f>IF(N172="","",VLOOKUP(B172,'C-1 Site River Baseline'!$C$10:$AA$257,19,FALSE))</f>
        <v/>
      </c>
      <c r="R172" s="498" t="str">
        <f>IF(N172="","",VLOOKUP(N172,'G-7 Rivers Data'!$B$2:$G$8,2,FALSE))</f>
        <v/>
      </c>
      <c r="S172" s="499" t="str">
        <f>IFERROR(VLOOKUP(R172,'G-7 Rivers Data'!$C$4:$D$8,2,FALSE),"")</f>
        <v/>
      </c>
      <c r="T172" s="145"/>
      <c r="U172" s="499" t="str">
        <f>IFERROR(INDEX('G-7 Rivers Data'!$H$4:$L$8,MATCH(N172,'G-7 Rivers Data'!$B$4:$B$8,0),MATCH(T172,'G-7 Rivers Data'!$H$3:$L$3,0)),"")</f>
        <v/>
      </c>
      <c r="V172" s="154"/>
      <c r="W172" s="507" t="str">
        <f>IF(V172="","",IF(VLOOKUP(V172,'G-7 Rivers Data'!$AG$4:$AI$9,2,FALSE)=0,"Spatial Data Missing ⚠",VLOOKUP(V172,'G-7 Rivers Data'!$AG$4:$AI$9,2,FALSE)))</f>
        <v/>
      </c>
      <c r="X172" s="499" t="str">
        <f>IF(V172="","",IF(VLOOKUP(V172,'G-7 Rivers Data'!$AG$4:$AI$9,3,FALSE)=0,"Spatial Data Missing ⚠",VLOOKUP(V172,'G-7 Rivers Data'!$AG$4:$AI$9,3,FALSE)))</f>
        <v/>
      </c>
      <c r="Y172" s="498" t="str">
        <f>IFERROR(IF(OR(LEFT(P172,5)="Error ▲",LEFT(O172,5)="Error ▲"),"Check Data ⚠",IF(F172&lt;S172,'G-7 Rivers Data'!$R$3,INDEX('G-7 Rivers Data'!$U$5:$Y$9,MATCH(G172,'G-7 Rivers Data'!$T$5:$T$9,0),MATCH(T172,'G-7 Rivers Data'!$U$4:$Y$4,0)))),"")</f>
        <v/>
      </c>
      <c r="Z172" s="195"/>
      <c r="AA172" s="195"/>
      <c r="AB172" s="507" t="str">
        <f t="shared" si="19"/>
        <v/>
      </c>
      <c r="AC172" s="521" t="str">
        <f t="shared" si="20"/>
        <v/>
      </c>
      <c r="AD172" s="564" t="str">
        <f>IFERROR(IF(AC172="Check Data ⚠","Check Data ⚠",VLOOKUP(AC172,'G-4 Temporal multipliers'!$A$4:$C$37,3,FALSE)),"")</f>
        <v/>
      </c>
      <c r="AE172" s="498" t="str">
        <f>IF(N172="","",VLOOKUP(N172,'G-7 Rivers Data'!$B$4:$G$8,5,FALSE))</f>
        <v/>
      </c>
      <c r="AF172" s="507" t="str">
        <f t="shared" si="21"/>
        <v/>
      </c>
      <c r="AG172" s="540" t="str">
        <f t="shared" si="22"/>
        <v/>
      </c>
      <c r="AH172" s="499" t="str">
        <f t="shared" si="16"/>
        <v/>
      </c>
      <c r="AI172" s="145"/>
      <c r="AJ172" s="499" t="str">
        <f>IF(AI172="","",IF(VLOOKUP(AI172,'G-7 Rivers Data'!$AA$4:$AB$7,2,FALSE)=0,"Spatial Data Missing ⚠",VLOOKUP(AI172,'G-7 Rivers Data'!$AA$4:$AB$7,2,FALSE)))</f>
        <v/>
      </c>
      <c r="AK172" s="155"/>
      <c r="AL172" s="499" t="str">
        <f>IF(AK172="","",IF(VLOOKUP(AK172,'G-7 Rivers Data'!$AD$4:$AE$8,2,FALSE)=0,"Spatial Data Missing ⚠",VLOOKUP(AK172,'G-7 Rivers Data'!$AD$4:$AE$8,2,FALSE)))</f>
        <v/>
      </c>
      <c r="AM172" s="545" t="str">
        <f t="shared" si="23"/>
        <v/>
      </c>
      <c r="AN172" s="149"/>
      <c r="AO172" s="150"/>
      <c r="AV172" s="31" t="str">
        <f>IFERROR(INDEX('G-7 Rivers Data'!$AZ$3:$AZ$7,MATCH(N172,'G-7 Rivers Data'!$AY$3:$AY$7,0)),"")</f>
        <v/>
      </c>
    </row>
    <row r="173" spans="2:48" ht="13.8" x14ac:dyDescent="0.25">
      <c r="B173" s="531" t="str">
        <f>'C-1 Site River Baseline'!AN171</f>
        <v/>
      </c>
      <c r="C173" s="520" t="str">
        <f>IF(B173="","",VLOOKUP($B173,'C-1 Site River Baseline'!$C$9:$R$257,2,FALSE))</f>
        <v/>
      </c>
      <c r="D173" s="520" t="str">
        <f>IF(C173="","",VLOOKUP($B173,'C-1 Site River Baseline'!$C$9:$R$257,3,FALSE))</f>
        <v/>
      </c>
      <c r="E173" s="520" t="str">
        <f>IF(D173="","",VLOOKUP($B173,'C-1 Site River Baseline'!$C$9:$R$257,4,FALSE))</f>
        <v/>
      </c>
      <c r="F173" s="520" t="str">
        <f>IF(E173="","",VLOOKUP($B173,'C-1 Site River Baseline'!$C$9:$R$257,5,FALSE))</f>
        <v/>
      </c>
      <c r="G173" s="520" t="str">
        <f>IF(F173="","",VLOOKUP($B173,'C-1 Site River Baseline'!$C$9:$R$257,6,FALSE))</f>
        <v/>
      </c>
      <c r="H173" s="520" t="str">
        <f>IF(G173="","",VLOOKUP($B173,'C-1 Site River Baseline'!$C$9:$R$257,7,FALSE))</f>
        <v/>
      </c>
      <c r="I173" s="520" t="str">
        <f>IF(H173="","",VLOOKUP($B173,'C-1 Site River Baseline'!$C$9:$R$257,8,FALSE))</f>
        <v/>
      </c>
      <c r="J173" s="520" t="str">
        <f>IF(I173="","",VLOOKUP($B173,'C-1 Site River Baseline'!$C$9:$R$257,9,FALSE))</f>
        <v/>
      </c>
      <c r="K173" s="520" t="str">
        <f>IF(J173="","",VLOOKUP($B173,'C-1 Site River Baseline'!$C$9:$R$257,10,FALSE))</f>
        <v/>
      </c>
      <c r="L173" s="520" t="str">
        <f>IF(B173="","",VLOOKUP($B173,'C-1 Site River Baseline'!$C$9:$R$257,15,FALSE))</f>
        <v/>
      </c>
      <c r="M173" s="524" t="str">
        <f>IF(L173="","",VLOOKUP($B173,'C-1 Site River Baseline'!$C$9:$R$257,16,FALSE))</f>
        <v/>
      </c>
      <c r="N173" s="418" t="str">
        <f t="shared" si="17"/>
        <v/>
      </c>
      <c r="O173" s="498" t="str">
        <f t="shared" si="18"/>
        <v/>
      </c>
      <c r="P173" s="499" t="str">
        <f>IF(C173="","",IF(AND(LEFT(C173,55)&lt;&gt;LEFT(N173,55),O173="High - High"),"Error - Not like for like ▲",IF(AND(F173=S173,H173&gt;U173),"Error - Can not reduce condition ▲",IF(AND(F173=S173,H173=U173,AJ173='C-1 Site River Baseline'!N171,'C-1 Site River Baseline'!P171=AL173),"Error - No enhancement ▲",IF(AND(C173&lt;&gt;N173,F173&lt;S173),"Lower Distinctiveness Habitat"&amp;" - "&amp;T173,G173&amp;" - "&amp;T173)))))</f>
        <v/>
      </c>
      <c r="Q173" s="567" t="str">
        <f>IF(N173="","",VLOOKUP(B173,'C-1 Site River Baseline'!$C$10:$AA$257,19,FALSE))</f>
        <v/>
      </c>
      <c r="R173" s="498" t="str">
        <f>IF(N173="","",VLOOKUP(N173,'G-7 Rivers Data'!$B$2:$G$8,2,FALSE))</f>
        <v/>
      </c>
      <c r="S173" s="499" t="str">
        <f>IFERROR(VLOOKUP(R173,'G-7 Rivers Data'!$C$4:$D$8,2,FALSE),"")</f>
        <v/>
      </c>
      <c r="T173" s="145"/>
      <c r="U173" s="499" t="str">
        <f>IFERROR(INDEX('G-7 Rivers Data'!$H$4:$L$8,MATCH(N173,'G-7 Rivers Data'!$B$4:$B$8,0),MATCH(T173,'G-7 Rivers Data'!$H$3:$L$3,0)),"")</f>
        <v/>
      </c>
      <c r="V173" s="154"/>
      <c r="W173" s="507" t="str">
        <f>IF(V173="","",IF(VLOOKUP(V173,'G-7 Rivers Data'!$AG$4:$AI$9,2,FALSE)=0,"Spatial Data Missing ⚠",VLOOKUP(V173,'G-7 Rivers Data'!$AG$4:$AI$9,2,FALSE)))</f>
        <v/>
      </c>
      <c r="X173" s="499" t="str">
        <f>IF(V173="","",IF(VLOOKUP(V173,'G-7 Rivers Data'!$AG$4:$AI$9,3,FALSE)=0,"Spatial Data Missing ⚠",VLOOKUP(V173,'G-7 Rivers Data'!$AG$4:$AI$9,3,FALSE)))</f>
        <v/>
      </c>
      <c r="Y173" s="498" t="str">
        <f>IFERROR(IF(OR(LEFT(P173,5)="Error ▲",LEFT(O173,5)="Error ▲"),"Check Data ⚠",IF(F173&lt;S173,'G-7 Rivers Data'!$R$3,INDEX('G-7 Rivers Data'!$U$5:$Y$9,MATCH(G173,'G-7 Rivers Data'!$T$5:$T$9,0),MATCH(T173,'G-7 Rivers Data'!$U$4:$Y$4,0)))),"")</f>
        <v/>
      </c>
      <c r="Z173" s="195"/>
      <c r="AA173" s="195"/>
      <c r="AB173" s="507" t="str">
        <f t="shared" si="19"/>
        <v/>
      </c>
      <c r="AC173" s="521" t="str">
        <f t="shared" si="20"/>
        <v/>
      </c>
      <c r="AD173" s="564" t="str">
        <f>IFERROR(IF(AC173="Check Data ⚠","Check Data ⚠",VLOOKUP(AC173,'G-4 Temporal multipliers'!$A$4:$C$37,3,FALSE)),"")</f>
        <v/>
      </c>
      <c r="AE173" s="498" t="str">
        <f>IF(N173="","",VLOOKUP(N173,'G-7 Rivers Data'!$B$4:$G$8,5,FALSE))</f>
        <v/>
      </c>
      <c r="AF173" s="507" t="str">
        <f t="shared" si="21"/>
        <v/>
      </c>
      <c r="AG173" s="540" t="str">
        <f t="shared" si="22"/>
        <v/>
      </c>
      <c r="AH173" s="499" t="str">
        <f t="shared" si="16"/>
        <v/>
      </c>
      <c r="AI173" s="145"/>
      <c r="AJ173" s="499" t="str">
        <f>IF(AI173="","",IF(VLOOKUP(AI173,'G-7 Rivers Data'!$AA$4:$AB$7,2,FALSE)=0,"Spatial Data Missing ⚠",VLOOKUP(AI173,'G-7 Rivers Data'!$AA$4:$AB$7,2,FALSE)))</f>
        <v/>
      </c>
      <c r="AK173" s="155"/>
      <c r="AL173" s="499" t="str">
        <f>IF(AK173="","",IF(VLOOKUP(AK173,'G-7 Rivers Data'!$AD$4:$AE$8,2,FALSE)=0,"Spatial Data Missing ⚠",VLOOKUP(AK173,'G-7 Rivers Data'!$AD$4:$AE$8,2,FALSE)))</f>
        <v/>
      </c>
      <c r="AM173" s="545" t="str">
        <f t="shared" si="23"/>
        <v/>
      </c>
      <c r="AN173" s="149"/>
      <c r="AO173" s="150"/>
      <c r="AV173" s="31" t="str">
        <f>IFERROR(INDEX('G-7 Rivers Data'!$AZ$3:$AZ$7,MATCH(N173,'G-7 Rivers Data'!$AY$3:$AY$7,0)),"")</f>
        <v/>
      </c>
    </row>
    <row r="174" spans="2:48" ht="13.8" x14ac:dyDescent="0.25">
      <c r="B174" s="531" t="str">
        <f>'C-1 Site River Baseline'!AN172</f>
        <v/>
      </c>
      <c r="C174" s="520" t="str">
        <f>IF(B174="","",VLOOKUP($B174,'C-1 Site River Baseline'!$C$9:$R$257,2,FALSE))</f>
        <v/>
      </c>
      <c r="D174" s="520" t="str">
        <f>IF(C174="","",VLOOKUP($B174,'C-1 Site River Baseline'!$C$9:$R$257,3,FALSE))</f>
        <v/>
      </c>
      <c r="E174" s="520" t="str">
        <f>IF(D174="","",VLOOKUP($B174,'C-1 Site River Baseline'!$C$9:$R$257,4,FALSE))</f>
        <v/>
      </c>
      <c r="F174" s="520" t="str">
        <f>IF(E174="","",VLOOKUP($B174,'C-1 Site River Baseline'!$C$9:$R$257,5,FALSE))</f>
        <v/>
      </c>
      <c r="G174" s="520" t="str">
        <f>IF(F174="","",VLOOKUP($B174,'C-1 Site River Baseline'!$C$9:$R$257,6,FALSE))</f>
        <v/>
      </c>
      <c r="H174" s="520" t="str">
        <f>IF(G174="","",VLOOKUP($B174,'C-1 Site River Baseline'!$C$9:$R$257,7,FALSE))</f>
        <v/>
      </c>
      <c r="I174" s="520" t="str">
        <f>IF(H174="","",VLOOKUP($B174,'C-1 Site River Baseline'!$C$9:$R$257,8,FALSE))</f>
        <v/>
      </c>
      <c r="J174" s="520" t="str">
        <f>IF(I174="","",VLOOKUP($B174,'C-1 Site River Baseline'!$C$9:$R$257,9,FALSE))</f>
        <v/>
      </c>
      <c r="K174" s="520" t="str">
        <f>IF(J174="","",VLOOKUP($B174,'C-1 Site River Baseline'!$C$9:$R$257,10,FALSE))</f>
        <v/>
      </c>
      <c r="L174" s="520" t="str">
        <f>IF(B174="","",VLOOKUP($B174,'C-1 Site River Baseline'!$C$9:$R$257,15,FALSE))</f>
        <v/>
      </c>
      <c r="M174" s="524" t="str">
        <f>IF(L174="","",VLOOKUP($B174,'C-1 Site River Baseline'!$C$9:$R$257,16,FALSE))</f>
        <v/>
      </c>
      <c r="N174" s="418" t="str">
        <f t="shared" si="17"/>
        <v/>
      </c>
      <c r="O174" s="498" t="str">
        <f t="shared" si="18"/>
        <v/>
      </c>
      <c r="P174" s="499" t="str">
        <f>IF(C174="","",IF(AND(LEFT(C174,55)&lt;&gt;LEFT(N174,55),O174="High - High"),"Error - Not like for like ▲",IF(AND(F174=S174,H174&gt;U174),"Error - Can not reduce condition ▲",IF(AND(F174=S174,H174=U174,AJ174='C-1 Site River Baseline'!N172,'C-1 Site River Baseline'!P172=AL174),"Error - No enhancement ▲",IF(AND(C174&lt;&gt;N174,F174&lt;S174),"Lower Distinctiveness Habitat"&amp;" - "&amp;T174,G174&amp;" - "&amp;T174)))))</f>
        <v/>
      </c>
      <c r="Q174" s="567" t="str">
        <f>IF(N174="","",VLOOKUP(B174,'C-1 Site River Baseline'!$C$10:$AA$257,19,FALSE))</f>
        <v/>
      </c>
      <c r="R174" s="498" t="str">
        <f>IF(N174="","",VLOOKUP(N174,'G-7 Rivers Data'!$B$2:$G$8,2,FALSE))</f>
        <v/>
      </c>
      <c r="S174" s="499" t="str">
        <f>IFERROR(VLOOKUP(R174,'G-7 Rivers Data'!$C$4:$D$8,2,FALSE),"")</f>
        <v/>
      </c>
      <c r="T174" s="145"/>
      <c r="U174" s="499" t="str">
        <f>IFERROR(INDEX('G-7 Rivers Data'!$H$4:$L$8,MATCH(N174,'G-7 Rivers Data'!$B$4:$B$8,0),MATCH(T174,'G-7 Rivers Data'!$H$3:$L$3,0)),"")</f>
        <v/>
      </c>
      <c r="V174" s="154"/>
      <c r="W174" s="507" t="str">
        <f>IF(V174="","",IF(VLOOKUP(V174,'G-7 Rivers Data'!$AG$4:$AI$9,2,FALSE)=0,"Spatial Data Missing ⚠",VLOOKUP(V174,'G-7 Rivers Data'!$AG$4:$AI$9,2,FALSE)))</f>
        <v/>
      </c>
      <c r="X174" s="499" t="str">
        <f>IF(V174="","",IF(VLOOKUP(V174,'G-7 Rivers Data'!$AG$4:$AI$9,3,FALSE)=0,"Spatial Data Missing ⚠",VLOOKUP(V174,'G-7 Rivers Data'!$AG$4:$AI$9,3,FALSE)))</f>
        <v/>
      </c>
      <c r="Y174" s="498" t="str">
        <f>IFERROR(IF(OR(LEFT(P174,5)="Error ▲",LEFT(O174,5)="Error ▲"),"Check Data ⚠",IF(F174&lt;S174,'G-7 Rivers Data'!$R$3,INDEX('G-7 Rivers Data'!$U$5:$Y$9,MATCH(G174,'G-7 Rivers Data'!$T$5:$T$9,0),MATCH(T174,'G-7 Rivers Data'!$U$4:$Y$4,0)))),"")</f>
        <v/>
      </c>
      <c r="Z174" s="195"/>
      <c r="AA174" s="195"/>
      <c r="AB174" s="507" t="str">
        <f t="shared" si="19"/>
        <v/>
      </c>
      <c r="AC174" s="521" t="str">
        <f t="shared" si="20"/>
        <v/>
      </c>
      <c r="AD174" s="564" t="str">
        <f>IFERROR(IF(AC174="Check Data ⚠","Check Data ⚠",VLOOKUP(AC174,'G-4 Temporal multipliers'!$A$4:$C$37,3,FALSE)),"")</f>
        <v/>
      </c>
      <c r="AE174" s="498" t="str">
        <f>IF(N174="","",VLOOKUP(N174,'G-7 Rivers Data'!$B$4:$G$8,5,FALSE))</f>
        <v/>
      </c>
      <c r="AF174" s="507" t="str">
        <f t="shared" si="21"/>
        <v/>
      </c>
      <c r="AG174" s="540" t="str">
        <f t="shared" si="22"/>
        <v/>
      </c>
      <c r="AH174" s="499" t="str">
        <f t="shared" si="16"/>
        <v/>
      </c>
      <c r="AI174" s="145"/>
      <c r="AJ174" s="499" t="str">
        <f>IF(AI174="","",IF(VLOOKUP(AI174,'G-7 Rivers Data'!$AA$4:$AB$7,2,FALSE)=0,"Spatial Data Missing ⚠",VLOOKUP(AI174,'G-7 Rivers Data'!$AA$4:$AB$7,2,FALSE)))</f>
        <v/>
      </c>
      <c r="AK174" s="155"/>
      <c r="AL174" s="499" t="str">
        <f>IF(AK174="","",IF(VLOOKUP(AK174,'G-7 Rivers Data'!$AD$4:$AE$8,2,FALSE)=0,"Spatial Data Missing ⚠",VLOOKUP(AK174,'G-7 Rivers Data'!$AD$4:$AE$8,2,FALSE)))</f>
        <v/>
      </c>
      <c r="AM174" s="545" t="str">
        <f t="shared" si="23"/>
        <v/>
      </c>
      <c r="AN174" s="149"/>
      <c r="AO174" s="150"/>
      <c r="AV174" s="31" t="str">
        <f>IFERROR(INDEX('G-7 Rivers Data'!$AZ$3:$AZ$7,MATCH(N174,'G-7 Rivers Data'!$AY$3:$AY$7,0)),"")</f>
        <v/>
      </c>
    </row>
    <row r="175" spans="2:48" ht="13.8" x14ac:dyDescent="0.25">
      <c r="B175" s="531" t="str">
        <f>'C-1 Site River Baseline'!AN173</f>
        <v/>
      </c>
      <c r="C175" s="520" t="str">
        <f>IF(B175="","",VLOOKUP($B175,'C-1 Site River Baseline'!$C$9:$R$257,2,FALSE))</f>
        <v/>
      </c>
      <c r="D175" s="520" t="str">
        <f>IF(C175="","",VLOOKUP($B175,'C-1 Site River Baseline'!$C$9:$R$257,3,FALSE))</f>
        <v/>
      </c>
      <c r="E175" s="520" t="str">
        <f>IF(D175="","",VLOOKUP($B175,'C-1 Site River Baseline'!$C$9:$R$257,4,FALSE))</f>
        <v/>
      </c>
      <c r="F175" s="520" t="str">
        <f>IF(E175="","",VLOOKUP($B175,'C-1 Site River Baseline'!$C$9:$R$257,5,FALSE))</f>
        <v/>
      </c>
      <c r="G175" s="520" t="str">
        <f>IF(F175="","",VLOOKUP($B175,'C-1 Site River Baseline'!$C$9:$R$257,6,FALSE))</f>
        <v/>
      </c>
      <c r="H175" s="520" t="str">
        <f>IF(G175="","",VLOOKUP($B175,'C-1 Site River Baseline'!$C$9:$R$257,7,FALSE))</f>
        <v/>
      </c>
      <c r="I175" s="520" t="str">
        <f>IF(H175="","",VLOOKUP($B175,'C-1 Site River Baseline'!$C$9:$R$257,8,FALSE))</f>
        <v/>
      </c>
      <c r="J175" s="520" t="str">
        <f>IF(I175="","",VLOOKUP($B175,'C-1 Site River Baseline'!$C$9:$R$257,9,FALSE))</f>
        <v/>
      </c>
      <c r="K175" s="520" t="str">
        <f>IF(J175="","",VLOOKUP($B175,'C-1 Site River Baseline'!$C$9:$R$257,10,FALSE))</f>
        <v/>
      </c>
      <c r="L175" s="520" t="str">
        <f>IF(B175="","",VLOOKUP($B175,'C-1 Site River Baseline'!$C$9:$R$257,15,FALSE))</f>
        <v/>
      </c>
      <c r="M175" s="524" t="str">
        <f>IF(L175="","",VLOOKUP($B175,'C-1 Site River Baseline'!$C$9:$R$257,16,FALSE))</f>
        <v/>
      </c>
      <c r="N175" s="418" t="str">
        <f t="shared" si="17"/>
        <v/>
      </c>
      <c r="O175" s="498" t="str">
        <f t="shared" si="18"/>
        <v/>
      </c>
      <c r="P175" s="499" t="str">
        <f>IF(C175="","",IF(AND(LEFT(C175,55)&lt;&gt;LEFT(N175,55),O175="High - High"),"Error - Not like for like ▲",IF(AND(F175=S175,H175&gt;U175),"Error - Can not reduce condition ▲",IF(AND(F175=S175,H175=U175,AJ175='C-1 Site River Baseline'!N173,'C-1 Site River Baseline'!P173=AL175),"Error - No enhancement ▲",IF(AND(C175&lt;&gt;N175,F175&lt;S175),"Lower Distinctiveness Habitat"&amp;" - "&amp;T175,G175&amp;" - "&amp;T175)))))</f>
        <v/>
      </c>
      <c r="Q175" s="567" t="str">
        <f>IF(N175="","",VLOOKUP(B175,'C-1 Site River Baseline'!$C$10:$AA$257,19,FALSE))</f>
        <v/>
      </c>
      <c r="R175" s="498" t="str">
        <f>IF(N175="","",VLOOKUP(N175,'G-7 Rivers Data'!$B$2:$G$8,2,FALSE))</f>
        <v/>
      </c>
      <c r="S175" s="499" t="str">
        <f>IFERROR(VLOOKUP(R175,'G-7 Rivers Data'!$C$4:$D$8,2,FALSE),"")</f>
        <v/>
      </c>
      <c r="T175" s="145"/>
      <c r="U175" s="499" t="str">
        <f>IFERROR(INDEX('G-7 Rivers Data'!$H$4:$L$8,MATCH(N175,'G-7 Rivers Data'!$B$4:$B$8,0),MATCH(T175,'G-7 Rivers Data'!$H$3:$L$3,0)),"")</f>
        <v/>
      </c>
      <c r="V175" s="154"/>
      <c r="W175" s="507" t="str">
        <f>IF(V175="","",IF(VLOOKUP(V175,'G-7 Rivers Data'!$AG$4:$AI$9,2,FALSE)=0,"Spatial Data Missing ⚠",VLOOKUP(V175,'G-7 Rivers Data'!$AG$4:$AI$9,2,FALSE)))</f>
        <v/>
      </c>
      <c r="X175" s="499" t="str">
        <f>IF(V175="","",IF(VLOOKUP(V175,'G-7 Rivers Data'!$AG$4:$AI$9,3,FALSE)=0,"Spatial Data Missing ⚠",VLOOKUP(V175,'G-7 Rivers Data'!$AG$4:$AI$9,3,FALSE)))</f>
        <v/>
      </c>
      <c r="Y175" s="498" t="str">
        <f>IFERROR(IF(OR(LEFT(P175,5)="Error ▲",LEFT(O175,5)="Error ▲"),"Check Data ⚠",IF(F175&lt;S175,'G-7 Rivers Data'!$R$3,INDEX('G-7 Rivers Data'!$U$5:$Y$9,MATCH(G175,'G-7 Rivers Data'!$T$5:$T$9,0),MATCH(T175,'G-7 Rivers Data'!$U$4:$Y$4,0)))),"")</f>
        <v/>
      </c>
      <c r="Z175" s="195"/>
      <c r="AA175" s="195"/>
      <c r="AB175" s="507" t="str">
        <f t="shared" si="19"/>
        <v/>
      </c>
      <c r="AC175" s="521" t="str">
        <f t="shared" si="20"/>
        <v/>
      </c>
      <c r="AD175" s="564" t="str">
        <f>IFERROR(IF(AC175="Check Data ⚠","Check Data ⚠",VLOOKUP(AC175,'G-4 Temporal multipliers'!$A$4:$C$37,3,FALSE)),"")</f>
        <v/>
      </c>
      <c r="AE175" s="498" t="str">
        <f>IF(N175="","",VLOOKUP(N175,'G-7 Rivers Data'!$B$4:$G$8,5,FALSE))</f>
        <v/>
      </c>
      <c r="AF175" s="507" t="str">
        <f t="shared" si="21"/>
        <v/>
      </c>
      <c r="AG175" s="540" t="str">
        <f t="shared" si="22"/>
        <v/>
      </c>
      <c r="AH175" s="499" t="str">
        <f t="shared" si="16"/>
        <v/>
      </c>
      <c r="AI175" s="145"/>
      <c r="AJ175" s="499" t="str">
        <f>IF(AI175="","",IF(VLOOKUP(AI175,'G-7 Rivers Data'!$AA$4:$AB$7,2,FALSE)=0,"Spatial Data Missing ⚠",VLOOKUP(AI175,'G-7 Rivers Data'!$AA$4:$AB$7,2,FALSE)))</f>
        <v/>
      </c>
      <c r="AK175" s="155"/>
      <c r="AL175" s="499" t="str">
        <f>IF(AK175="","",IF(VLOOKUP(AK175,'G-7 Rivers Data'!$AD$4:$AE$8,2,FALSE)=0,"Spatial Data Missing ⚠",VLOOKUP(AK175,'G-7 Rivers Data'!$AD$4:$AE$8,2,FALSE)))</f>
        <v/>
      </c>
      <c r="AM175" s="545" t="str">
        <f t="shared" si="23"/>
        <v/>
      </c>
      <c r="AN175" s="149"/>
      <c r="AO175" s="150"/>
      <c r="AV175" s="31" t="str">
        <f>IFERROR(INDEX('G-7 Rivers Data'!$AZ$3:$AZ$7,MATCH(N175,'G-7 Rivers Data'!$AY$3:$AY$7,0)),"")</f>
        <v/>
      </c>
    </row>
    <row r="176" spans="2:48" ht="13.8" x14ac:dyDescent="0.25">
      <c r="B176" s="531" t="str">
        <f>'C-1 Site River Baseline'!AN174</f>
        <v/>
      </c>
      <c r="C176" s="520" t="str">
        <f>IF(B176="","",VLOOKUP($B176,'C-1 Site River Baseline'!$C$9:$R$257,2,FALSE))</f>
        <v/>
      </c>
      <c r="D176" s="520" t="str">
        <f>IF(C176="","",VLOOKUP($B176,'C-1 Site River Baseline'!$C$9:$R$257,3,FALSE))</f>
        <v/>
      </c>
      <c r="E176" s="520" t="str">
        <f>IF(D176="","",VLOOKUP($B176,'C-1 Site River Baseline'!$C$9:$R$257,4,FALSE))</f>
        <v/>
      </c>
      <c r="F176" s="520" t="str">
        <f>IF(E176="","",VLOOKUP($B176,'C-1 Site River Baseline'!$C$9:$R$257,5,FALSE))</f>
        <v/>
      </c>
      <c r="G176" s="520" t="str">
        <f>IF(F176="","",VLOOKUP($B176,'C-1 Site River Baseline'!$C$9:$R$257,6,FALSE))</f>
        <v/>
      </c>
      <c r="H176" s="520" t="str">
        <f>IF(G176="","",VLOOKUP($B176,'C-1 Site River Baseline'!$C$9:$R$257,7,FALSE))</f>
        <v/>
      </c>
      <c r="I176" s="520" t="str">
        <f>IF(H176="","",VLOOKUP($B176,'C-1 Site River Baseline'!$C$9:$R$257,8,FALSE))</f>
        <v/>
      </c>
      <c r="J176" s="520" t="str">
        <f>IF(I176="","",VLOOKUP($B176,'C-1 Site River Baseline'!$C$9:$R$257,9,FALSE))</f>
        <v/>
      </c>
      <c r="K176" s="520" t="str">
        <f>IF(J176="","",VLOOKUP($B176,'C-1 Site River Baseline'!$C$9:$R$257,10,FALSE))</f>
        <v/>
      </c>
      <c r="L176" s="520" t="str">
        <f>IF(B176="","",VLOOKUP($B176,'C-1 Site River Baseline'!$C$9:$R$257,15,FALSE))</f>
        <v/>
      </c>
      <c r="M176" s="524" t="str">
        <f>IF(L176="","",VLOOKUP($B176,'C-1 Site River Baseline'!$C$9:$R$257,16,FALSE))</f>
        <v/>
      </c>
      <c r="N176" s="418" t="str">
        <f t="shared" si="17"/>
        <v/>
      </c>
      <c r="O176" s="498" t="str">
        <f t="shared" si="18"/>
        <v/>
      </c>
      <c r="P176" s="499" t="str">
        <f>IF(C176="","",IF(AND(LEFT(C176,55)&lt;&gt;LEFT(N176,55),O176="High - High"),"Error - Not like for like ▲",IF(AND(F176=S176,H176&gt;U176),"Error - Can not reduce condition ▲",IF(AND(F176=S176,H176=U176,AJ176='C-1 Site River Baseline'!N174,'C-1 Site River Baseline'!P174=AL176),"Error - No enhancement ▲",IF(AND(C176&lt;&gt;N176,F176&lt;S176),"Lower Distinctiveness Habitat"&amp;" - "&amp;T176,G176&amp;" - "&amp;T176)))))</f>
        <v/>
      </c>
      <c r="Q176" s="567" t="str">
        <f>IF(N176="","",VLOOKUP(B176,'C-1 Site River Baseline'!$C$10:$AA$257,19,FALSE))</f>
        <v/>
      </c>
      <c r="R176" s="498" t="str">
        <f>IF(N176="","",VLOOKUP(N176,'G-7 Rivers Data'!$B$2:$G$8,2,FALSE))</f>
        <v/>
      </c>
      <c r="S176" s="499" t="str">
        <f>IFERROR(VLOOKUP(R176,'G-7 Rivers Data'!$C$4:$D$8,2,FALSE),"")</f>
        <v/>
      </c>
      <c r="T176" s="145"/>
      <c r="U176" s="499" t="str">
        <f>IFERROR(INDEX('G-7 Rivers Data'!$H$4:$L$8,MATCH(N176,'G-7 Rivers Data'!$B$4:$B$8,0),MATCH(T176,'G-7 Rivers Data'!$H$3:$L$3,0)),"")</f>
        <v/>
      </c>
      <c r="V176" s="154"/>
      <c r="W176" s="507" t="str">
        <f>IF(V176="","",IF(VLOOKUP(V176,'G-7 Rivers Data'!$AG$4:$AI$9,2,FALSE)=0,"Spatial Data Missing ⚠",VLOOKUP(V176,'G-7 Rivers Data'!$AG$4:$AI$9,2,FALSE)))</f>
        <v/>
      </c>
      <c r="X176" s="499" t="str">
        <f>IF(V176="","",IF(VLOOKUP(V176,'G-7 Rivers Data'!$AG$4:$AI$9,3,FALSE)=0,"Spatial Data Missing ⚠",VLOOKUP(V176,'G-7 Rivers Data'!$AG$4:$AI$9,3,FALSE)))</f>
        <v/>
      </c>
      <c r="Y176" s="498" t="str">
        <f>IFERROR(IF(OR(LEFT(P176,5)="Error ▲",LEFT(O176,5)="Error ▲"),"Check Data ⚠",IF(F176&lt;S176,'G-7 Rivers Data'!$R$3,INDEX('G-7 Rivers Data'!$U$5:$Y$9,MATCH(G176,'G-7 Rivers Data'!$T$5:$T$9,0),MATCH(T176,'G-7 Rivers Data'!$U$4:$Y$4,0)))),"")</f>
        <v/>
      </c>
      <c r="Z176" s="195"/>
      <c r="AA176" s="195"/>
      <c r="AB176" s="507" t="str">
        <f t="shared" si="19"/>
        <v/>
      </c>
      <c r="AC176" s="521" t="str">
        <f t="shared" si="20"/>
        <v/>
      </c>
      <c r="AD176" s="564" t="str">
        <f>IFERROR(IF(AC176="Check Data ⚠","Check Data ⚠",VLOOKUP(AC176,'G-4 Temporal multipliers'!$A$4:$C$37,3,FALSE)),"")</f>
        <v/>
      </c>
      <c r="AE176" s="498" t="str">
        <f>IF(N176="","",VLOOKUP(N176,'G-7 Rivers Data'!$B$4:$G$8,5,FALSE))</f>
        <v/>
      </c>
      <c r="AF176" s="507" t="str">
        <f t="shared" si="21"/>
        <v/>
      </c>
      <c r="AG176" s="540" t="str">
        <f t="shared" si="22"/>
        <v/>
      </c>
      <c r="AH176" s="499" t="str">
        <f t="shared" si="16"/>
        <v/>
      </c>
      <c r="AI176" s="145"/>
      <c r="AJ176" s="499" t="str">
        <f>IF(AI176="","",IF(VLOOKUP(AI176,'G-7 Rivers Data'!$AA$4:$AB$7,2,FALSE)=0,"Spatial Data Missing ⚠",VLOOKUP(AI176,'G-7 Rivers Data'!$AA$4:$AB$7,2,FALSE)))</f>
        <v/>
      </c>
      <c r="AK176" s="155"/>
      <c r="AL176" s="499" t="str">
        <f>IF(AK176="","",IF(VLOOKUP(AK176,'G-7 Rivers Data'!$AD$4:$AE$8,2,FALSE)=0,"Spatial Data Missing ⚠",VLOOKUP(AK176,'G-7 Rivers Data'!$AD$4:$AE$8,2,FALSE)))</f>
        <v/>
      </c>
      <c r="AM176" s="545" t="str">
        <f t="shared" si="23"/>
        <v/>
      </c>
      <c r="AN176" s="149"/>
      <c r="AO176" s="150"/>
      <c r="AV176" s="31" t="str">
        <f>IFERROR(INDEX('G-7 Rivers Data'!$AZ$3:$AZ$7,MATCH(N176,'G-7 Rivers Data'!$AY$3:$AY$7,0)),"")</f>
        <v/>
      </c>
    </row>
    <row r="177" spans="2:48" ht="13.8" x14ac:dyDescent="0.25">
      <c r="B177" s="531" t="str">
        <f>'C-1 Site River Baseline'!AN175</f>
        <v/>
      </c>
      <c r="C177" s="520" t="str">
        <f>IF(B177="","",VLOOKUP($B177,'C-1 Site River Baseline'!$C$9:$R$257,2,FALSE))</f>
        <v/>
      </c>
      <c r="D177" s="520" t="str">
        <f>IF(C177="","",VLOOKUP($B177,'C-1 Site River Baseline'!$C$9:$R$257,3,FALSE))</f>
        <v/>
      </c>
      <c r="E177" s="520" t="str">
        <f>IF(D177="","",VLOOKUP($B177,'C-1 Site River Baseline'!$C$9:$R$257,4,FALSE))</f>
        <v/>
      </c>
      <c r="F177" s="520" t="str">
        <f>IF(E177="","",VLOOKUP($B177,'C-1 Site River Baseline'!$C$9:$R$257,5,FALSE))</f>
        <v/>
      </c>
      <c r="G177" s="520" t="str">
        <f>IF(F177="","",VLOOKUP($B177,'C-1 Site River Baseline'!$C$9:$R$257,6,FALSE))</f>
        <v/>
      </c>
      <c r="H177" s="520" t="str">
        <f>IF(G177="","",VLOOKUP($B177,'C-1 Site River Baseline'!$C$9:$R$257,7,FALSE))</f>
        <v/>
      </c>
      <c r="I177" s="520" t="str">
        <f>IF(H177="","",VLOOKUP($B177,'C-1 Site River Baseline'!$C$9:$R$257,8,FALSE))</f>
        <v/>
      </c>
      <c r="J177" s="520" t="str">
        <f>IF(I177="","",VLOOKUP($B177,'C-1 Site River Baseline'!$C$9:$R$257,9,FALSE))</f>
        <v/>
      </c>
      <c r="K177" s="520" t="str">
        <f>IF(J177="","",VLOOKUP($B177,'C-1 Site River Baseline'!$C$9:$R$257,10,FALSE))</f>
        <v/>
      </c>
      <c r="L177" s="520" t="str">
        <f>IF(B177="","",VLOOKUP($B177,'C-1 Site River Baseline'!$C$9:$R$257,15,FALSE))</f>
        <v/>
      </c>
      <c r="M177" s="524" t="str">
        <f>IF(L177="","",VLOOKUP($B177,'C-1 Site River Baseline'!$C$9:$R$257,16,FALSE))</f>
        <v/>
      </c>
      <c r="N177" s="418" t="str">
        <f t="shared" si="17"/>
        <v/>
      </c>
      <c r="O177" s="498" t="str">
        <f t="shared" si="18"/>
        <v/>
      </c>
      <c r="P177" s="499" t="str">
        <f>IF(C177="","",IF(AND(LEFT(C177,55)&lt;&gt;LEFT(N177,55),O177="High - High"),"Error - Not like for like ▲",IF(AND(F177=S177,H177&gt;U177),"Error - Can not reduce condition ▲",IF(AND(F177=S177,H177=U177,AJ177='C-1 Site River Baseline'!N175,'C-1 Site River Baseline'!P175=AL177),"Error - No enhancement ▲",IF(AND(C177&lt;&gt;N177,F177&lt;S177),"Lower Distinctiveness Habitat"&amp;" - "&amp;T177,G177&amp;" - "&amp;T177)))))</f>
        <v/>
      </c>
      <c r="Q177" s="567" t="str">
        <f>IF(N177="","",VLOOKUP(B177,'C-1 Site River Baseline'!$C$10:$AA$257,19,FALSE))</f>
        <v/>
      </c>
      <c r="R177" s="498" t="str">
        <f>IF(N177="","",VLOOKUP(N177,'G-7 Rivers Data'!$B$2:$G$8,2,FALSE))</f>
        <v/>
      </c>
      <c r="S177" s="499" t="str">
        <f>IFERROR(VLOOKUP(R177,'G-7 Rivers Data'!$C$4:$D$8,2,FALSE),"")</f>
        <v/>
      </c>
      <c r="T177" s="145"/>
      <c r="U177" s="499" t="str">
        <f>IFERROR(INDEX('G-7 Rivers Data'!$H$4:$L$8,MATCH(N177,'G-7 Rivers Data'!$B$4:$B$8,0),MATCH(T177,'G-7 Rivers Data'!$H$3:$L$3,0)),"")</f>
        <v/>
      </c>
      <c r="V177" s="154"/>
      <c r="W177" s="507" t="str">
        <f>IF(V177="","",IF(VLOOKUP(V177,'G-7 Rivers Data'!$AG$4:$AI$9,2,FALSE)=0,"Spatial Data Missing ⚠",VLOOKUP(V177,'G-7 Rivers Data'!$AG$4:$AI$9,2,FALSE)))</f>
        <v/>
      </c>
      <c r="X177" s="499" t="str">
        <f>IF(V177="","",IF(VLOOKUP(V177,'G-7 Rivers Data'!$AG$4:$AI$9,3,FALSE)=0,"Spatial Data Missing ⚠",VLOOKUP(V177,'G-7 Rivers Data'!$AG$4:$AI$9,3,FALSE)))</f>
        <v/>
      </c>
      <c r="Y177" s="498" t="str">
        <f>IFERROR(IF(OR(LEFT(P177,5)="Error ▲",LEFT(O177,5)="Error ▲"),"Check Data ⚠",IF(F177&lt;S177,'G-7 Rivers Data'!$R$3,INDEX('G-7 Rivers Data'!$U$5:$Y$9,MATCH(G177,'G-7 Rivers Data'!$T$5:$T$9,0),MATCH(T177,'G-7 Rivers Data'!$U$4:$Y$4,0)))),"")</f>
        <v/>
      </c>
      <c r="Z177" s="195"/>
      <c r="AA177" s="195"/>
      <c r="AB177" s="507" t="str">
        <f t="shared" si="19"/>
        <v/>
      </c>
      <c r="AC177" s="521" t="str">
        <f t="shared" si="20"/>
        <v/>
      </c>
      <c r="AD177" s="564" t="str">
        <f>IFERROR(IF(AC177="Check Data ⚠","Check Data ⚠",VLOOKUP(AC177,'G-4 Temporal multipliers'!$A$4:$C$37,3,FALSE)),"")</f>
        <v/>
      </c>
      <c r="AE177" s="498" t="str">
        <f>IF(N177="","",VLOOKUP(N177,'G-7 Rivers Data'!$B$4:$G$8,5,FALSE))</f>
        <v/>
      </c>
      <c r="AF177" s="507" t="str">
        <f t="shared" si="21"/>
        <v/>
      </c>
      <c r="AG177" s="540" t="str">
        <f t="shared" si="22"/>
        <v/>
      </c>
      <c r="AH177" s="499" t="str">
        <f t="shared" si="16"/>
        <v/>
      </c>
      <c r="AI177" s="145"/>
      <c r="AJ177" s="499" t="str">
        <f>IF(AI177="","",IF(VLOOKUP(AI177,'G-7 Rivers Data'!$AA$4:$AB$7,2,FALSE)=0,"Spatial Data Missing ⚠",VLOOKUP(AI177,'G-7 Rivers Data'!$AA$4:$AB$7,2,FALSE)))</f>
        <v/>
      </c>
      <c r="AK177" s="155"/>
      <c r="AL177" s="499" t="str">
        <f>IF(AK177="","",IF(VLOOKUP(AK177,'G-7 Rivers Data'!$AD$4:$AE$8,2,FALSE)=0,"Spatial Data Missing ⚠",VLOOKUP(AK177,'G-7 Rivers Data'!$AD$4:$AE$8,2,FALSE)))</f>
        <v/>
      </c>
      <c r="AM177" s="545" t="str">
        <f t="shared" si="23"/>
        <v/>
      </c>
      <c r="AN177" s="149"/>
      <c r="AO177" s="150"/>
      <c r="AV177" s="31" t="str">
        <f>IFERROR(INDEX('G-7 Rivers Data'!$AZ$3:$AZ$7,MATCH(N177,'G-7 Rivers Data'!$AY$3:$AY$7,0)),"")</f>
        <v/>
      </c>
    </row>
    <row r="178" spans="2:48" ht="13.8" x14ac:dyDescent="0.25">
      <c r="B178" s="531" t="str">
        <f>'C-1 Site River Baseline'!AN176</f>
        <v/>
      </c>
      <c r="C178" s="520" t="str">
        <f>IF(B178="","",VLOOKUP($B178,'C-1 Site River Baseline'!$C$9:$R$257,2,FALSE))</f>
        <v/>
      </c>
      <c r="D178" s="520" t="str">
        <f>IF(C178="","",VLOOKUP($B178,'C-1 Site River Baseline'!$C$9:$R$257,3,FALSE))</f>
        <v/>
      </c>
      <c r="E178" s="520" t="str">
        <f>IF(D178="","",VLOOKUP($B178,'C-1 Site River Baseline'!$C$9:$R$257,4,FALSE))</f>
        <v/>
      </c>
      <c r="F178" s="520" t="str">
        <f>IF(E178="","",VLOOKUP($B178,'C-1 Site River Baseline'!$C$9:$R$257,5,FALSE))</f>
        <v/>
      </c>
      <c r="G178" s="520" t="str">
        <f>IF(F178="","",VLOOKUP($B178,'C-1 Site River Baseline'!$C$9:$R$257,6,FALSE))</f>
        <v/>
      </c>
      <c r="H178" s="520" t="str">
        <f>IF(G178="","",VLOOKUP($B178,'C-1 Site River Baseline'!$C$9:$R$257,7,FALSE))</f>
        <v/>
      </c>
      <c r="I178" s="520" t="str">
        <f>IF(H178="","",VLOOKUP($B178,'C-1 Site River Baseline'!$C$9:$R$257,8,FALSE))</f>
        <v/>
      </c>
      <c r="J178" s="520" t="str">
        <f>IF(I178="","",VLOOKUP($B178,'C-1 Site River Baseline'!$C$9:$R$257,9,FALSE))</f>
        <v/>
      </c>
      <c r="K178" s="520" t="str">
        <f>IF(J178="","",VLOOKUP($B178,'C-1 Site River Baseline'!$C$9:$R$257,10,FALSE))</f>
        <v/>
      </c>
      <c r="L178" s="520" t="str">
        <f>IF(B178="","",VLOOKUP($B178,'C-1 Site River Baseline'!$C$9:$R$257,15,FALSE))</f>
        <v/>
      </c>
      <c r="M178" s="524" t="str">
        <f>IF(L178="","",VLOOKUP($B178,'C-1 Site River Baseline'!$C$9:$R$257,16,FALSE))</f>
        <v/>
      </c>
      <c r="N178" s="418" t="str">
        <f t="shared" si="17"/>
        <v/>
      </c>
      <c r="O178" s="498" t="str">
        <f t="shared" si="18"/>
        <v/>
      </c>
      <c r="P178" s="499" t="str">
        <f>IF(C178="","",IF(AND(LEFT(C178,55)&lt;&gt;LEFT(N178,55),O178="High - High"),"Error - Not like for like ▲",IF(AND(F178=S178,H178&gt;U178),"Error - Can not reduce condition ▲",IF(AND(F178=S178,H178=U178,AJ178='C-1 Site River Baseline'!N176,'C-1 Site River Baseline'!P176=AL178),"Error - No enhancement ▲",IF(AND(C178&lt;&gt;N178,F178&lt;S178),"Lower Distinctiveness Habitat"&amp;" - "&amp;T178,G178&amp;" - "&amp;T178)))))</f>
        <v/>
      </c>
      <c r="Q178" s="567" t="str">
        <f>IF(N178="","",VLOOKUP(B178,'C-1 Site River Baseline'!$C$10:$AA$257,19,FALSE))</f>
        <v/>
      </c>
      <c r="R178" s="498" t="str">
        <f>IF(N178="","",VLOOKUP(N178,'G-7 Rivers Data'!$B$2:$G$8,2,FALSE))</f>
        <v/>
      </c>
      <c r="S178" s="499" t="str">
        <f>IFERROR(VLOOKUP(R178,'G-7 Rivers Data'!$C$4:$D$8,2,FALSE),"")</f>
        <v/>
      </c>
      <c r="T178" s="145"/>
      <c r="U178" s="499" t="str">
        <f>IFERROR(INDEX('G-7 Rivers Data'!$H$4:$L$8,MATCH(N178,'G-7 Rivers Data'!$B$4:$B$8,0),MATCH(T178,'G-7 Rivers Data'!$H$3:$L$3,0)),"")</f>
        <v/>
      </c>
      <c r="V178" s="154"/>
      <c r="W178" s="507" t="str">
        <f>IF(V178="","",IF(VLOOKUP(V178,'G-7 Rivers Data'!$AG$4:$AI$9,2,FALSE)=0,"Spatial Data Missing ⚠",VLOOKUP(V178,'G-7 Rivers Data'!$AG$4:$AI$9,2,FALSE)))</f>
        <v/>
      </c>
      <c r="X178" s="499" t="str">
        <f>IF(V178="","",IF(VLOOKUP(V178,'G-7 Rivers Data'!$AG$4:$AI$9,3,FALSE)=0,"Spatial Data Missing ⚠",VLOOKUP(V178,'G-7 Rivers Data'!$AG$4:$AI$9,3,FALSE)))</f>
        <v/>
      </c>
      <c r="Y178" s="498" t="str">
        <f>IFERROR(IF(OR(LEFT(P178,5)="Error ▲",LEFT(O178,5)="Error ▲"),"Check Data ⚠",IF(F178&lt;S178,'G-7 Rivers Data'!$R$3,INDEX('G-7 Rivers Data'!$U$5:$Y$9,MATCH(G178,'G-7 Rivers Data'!$T$5:$T$9,0),MATCH(T178,'G-7 Rivers Data'!$U$4:$Y$4,0)))),"")</f>
        <v/>
      </c>
      <c r="Z178" s="195"/>
      <c r="AA178" s="195"/>
      <c r="AB178" s="507" t="str">
        <f t="shared" si="19"/>
        <v/>
      </c>
      <c r="AC178" s="521" t="str">
        <f t="shared" si="20"/>
        <v/>
      </c>
      <c r="AD178" s="564" t="str">
        <f>IFERROR(IF(AC178="Check Data ⚠","Check Data ⚠",VLOOKUP(AC178,'G-4 Temporal multipliers'!$A$4:$C$37,3,FALSE)),"")</f>
        <v/>
      </c>
      <c r="AE178" s="498" t="str">
        <f>IF(N178="","",VLOOKUP(N178,'G-7 Rivers Data'!$B$4:$G$8,5,FALSE))</f>
        <v/>
      </c>
      <c r="AF178" s="507" t="str">
        <f t="shared" si="21"/>
        <v/>
      </c>
      <c r="AG178" s="540" t="str">
        <f t="shared" si="22"/>
        <v/>
      </c>
      <c r="AH178" s="499" t="str">
        <f t="shared" si="16"/>
        <v/>
      </c>
      <c r="AI178" s="145"/>
      <c r="AJ178" s="499" t="str">
        <f>IF(AI178="","",IF(VLOOKUP(AI178,'G-7 Rivers Data'!$AA$4:$AB$7,2,FALSE)=0,"Spatial Data Missing ⚠",VLOOKUP(AI178,'G-7 Rivers Data'!$AA$4:$AB$7,2,FALSE)))</f>
        <v/>
      </c>
      <c r="AK178" s="155"/>
      <c r="AL178" s="499" t="str">
        <f>IF(AK178="","",IF(VLOOKUP(AK178,'G-7 Rivers Data'!$AD$4:$AE$8,2,FALSE)=0,"Spatial Data Missing ⚠",VLOOKUP(AK178,'G-7 Rivers Data'!$AD$4:$AE$8,2,FALSE)))</f>
        <v/>
      </c>
      <c r="AM178" s="545" t="str">
        <f t="shared" si="23"/>
        <v/>
      </c>
      <c r="AN178" s="149"/>
      <c r="AO178" s="150"/>
      <c r="AV178" s="31" t="str">
        <f>IFERROR(INDEX('G-7 Rivers Data'!$AZ$3:$AZ$7,MATCH(N178,'G-7 Rivers Data'!$AY$3:$AY$7,0)),"")</f>
        <v/>
      </c>
    </row>
    <row r="179" spans="2:48" ht="13.8" x14ac:dyDescent="0.25">
      <c r="B179" s="531" t="str">
        <f>'C-1 Site River Baseline'!AN177</f>
        <v/>
      </c>
      <c r="C179" s="520" t="str">
        <f>IF(B179="","",VLOOKUP($B179,'C-1 Site River Baseline'!$C$9:$R$257,2,FALSE))</f>
        <v/>
      </c>
      <c r="D179" s="520" t="str">
        <f>IF(C179="","",VLOOKUP($B179,'C-1 Site River Baseline'!$C$9:$R$257,3,FALSE))</f>
        <v/>
      </c>
      <c r="E179" s="520" t="str">
        <f>IF(D179="","",VLOOKUP($B179,'C-1 Site River Baseline'!$C$9:$R$257,4,FALSE))</f>
        <v/>
      </c>
      <c r="F179" s="520" t="str">
        <f>IF(E179="","",VLOOKUP($B179,'C-1 Site River Baseline'!$C$9:$R$257,5,FALSE))</f>
        <v/>
      </c>
      <c r="G179" s="520" t="str">
        <f>IF(F179="","",VLOOKUP($B179,'C-1 Site River Baseline'!$C$9:$R$257,6,FALSE))</f>
        <v/>
      </c>
      <c r="H179" s="520" t="str">
        <f>IF(G179="","",VLOOKUP($B179,'C-1 Site River Baseline'!$C$9:$R$257,7,FALSE))</f>
        <v/>
      </c>
      <c r="I179" s="520" t="str">
        <f>IF(H179="","",VLOOKUP($B179,'C-1 Site River Baseline'!$C$9:$R$257,8,FALSE))</f>
        <v/>
      </c>
      <c r="J179" s="520" t="str">
        <f>IF(I179="","",VLOOKUP($B179,'C-1 Site River Baseline'!$C$9:$R$257,9,FALSE))</f>
        <v/>
      </c>
      <c r="K179" s="520" t="str">
        <f>IF(J179="","",VLOOKUP($B179,'C-1 Site River Baseline'!$C$9:$R$257,10,FALSE))</f>
        <v/>
      </c>
      <c r="L179" s="520" t="str">
        <f>IF(B179="","",VLOOKUP($B179,'C-1 Site River Baseline'!$C$9:$R$257,15,FALSE))</f>
        <v/>
      </c>
      <c r="M179" s="524" t="str">
        <f>IF(L179="","",VLOOKUP($B179,'C-1 Site River Baseline'!$C$9:$R$257,16,FALSE))</f>
        <v/>
      </c>
      <c r="N179" s="418" t="str">
        <f t="shared" si="17"/>
        <v/>
      </c>
      <c r="O179" s="498" t="str">
        <f t="shared" si="18"/>
        <v/>
      </c>
      <c r="P179" s="499" t="str">
        <f>IF(C179="","",IF(AND(LEFT(C179,55)&lt;&gt;LEFT(N179,55),O179="High - High"),"Error - Not like for like ▲",IF(AND(F179=S179,H179&gt;U179),"Error - Can not reduce condition ▲",IF(AND(F179=S179,H179=U179,AJ179='C-1 Site River Baseline'!N177,'C-1 Site River Baseline'!P177=AL179),"Error - No enhancement ▲",IF(AND(C179&lt;&gt;N179,F179&lt;S179),"Lower Distinctiveness Habitat"&amp;" - "&amp;T179,G179&amp;" - "&amp;T179)))))</f>
        <v/>
      </c>
      <c r="Q179" s="567" t="str">
        <f>IF(N179="","",VLOOKUP(B179,'C-1 Site River Baseline'!$C$10:$AA$257,19,FALSE))</f>
        <v/>
      </c>
      <c r="R179" s="498" t="str">
        <f>IF(N179="","",VLOOKUP(N179,'G-7 Rivers Data'!$B$2:$G$8,2,FALSE))</f>
        <v/>
      </c>
      <c r="S179" s="499" t="str">
        <f>IFERROR(VLOOKUP(R179,'G-7 Rivers Data'!$C$4:$D$8,2,FALSE),"")</f>
        <v/>
      </c>
      <c r="T179" s="145"/>
      <c r="U179" s="499" t="str">
        <f>IFERROR(INDEX('G-7 Rivers Data'!$H$4:$L$8,MATCH(N179,'G-7 Rivers Data'!$B$4:$B$8,0),MATCH(T179,'G-7 Rivers Data'!$H$3:$L$3,0)),"")</f>
        <v/>
      </c>
      <c r="V179" s="154"/>
      <c r="W179" s="507" t="str">
        <f>IF(V179="","",IF(VLOOKUP(V179,'G-7 Rivers Data'!$AG$4:$AI$9,2,FALSE)=0,"Spatial Data Missing ⚠",VLOOKUP(V179,'G-7 Rivers Data'!$AG$4:$AI$9,2,FALSE)))</f>
        <v/>
      </c>
      <c r="X179" s="499" t="str">
        <f>IF(V179="","",IF(VLOOKUP(V179,'G-7 Rivers Data'!$AG$4:$AI$9,3,FALSE)=0,"Spatial Data Missing ⚠",VLOOKUP(V179,'G-7 Rivers Data'!$AG$4:$AI$9,3,FALSE)))</f>
        <v/>
      </c>
      <c r="Y179" s="498" t="str">
        <f>IFERROR(IF(OR(LEFT(P179,5)="Error ▲",LEFT(O179,5)="Error ▲"),"Check Data ⚠",IF(F179&lt;S179,'G-7 Rivers Data'!$R$3,INDEX('G-7 Rivers Data'!$U$5:$Y$9,MATCH(G179,'G-7 Rivers Data'!$T$5:$T$9,0),MATCH(T179,'G-7 Rivers Data'!$U$4:$Y$4,0)))),"")</f>
        <v/>
      </c>
      <c r="Z179" s="195"/>
      <c r="AA179" s="195"/>
      <c r="AB179" s="507" t="str">
        <f t="shared" si="19"/>
        <v/>
      </c>
      <c r="AC179" s="521" t="str">
        <f t="shared" si="20"/>
        <v/>
      </c>
      <c r="AD179" s="564" t="str">
        <f>IFERROR(IF(AC179="Check Data ⚠","Check Data ⚠",VLOOKUP(AC179,'G-4 Temporal multipliers'!$A$4:$C$37,3,FALSE)),"")</f>
        <v/>
      </c>
      <c r="AE179" s="498" t="str">
        <f>IF(N179="","",VLOOKUP(N179,'G-7 Rivers Data'!$B$4:$G$8,5,FALSE))</f>
        <v/>
      </c>
      <c r="AF179" s="507" t="str">
        <f t="shared" si="21"/>
        <v/>
      </c>
      <c r="AG179" s="540" t="str">
        <f t="shared" si="22"/>
        <v/>
      </c>
      <c r="AH179" s="499" t="str">
        <f t="shared" si="16"/>
        <v/>
      </c>
      <c r="AI179" s="145"/>
      <c r="AJ179" s="499" t="str">
        <f>IF(AI179="","",IF(VLOOKUP(AI179,'G-7 Rivers Data'!$AA$4:$AB$7,2,FALSE)=0,"Spatial Data Missing ⚠",VLOOKUP(AI179,'G-7 Rivers Data'!$AA$4:$AB$7,2,FALSE)))</f>
        <v/>
      </c>
      <c r="AK179" s="155"/>
      <c r="AL179" s="499" t="str">
        <f>IF(AK179="","",IF(VLOOKUP(AK179,'G-7 Rivers Data'!$AD$4:$AE$8,2,FALSE)=0,"Spatial Data Missing ⚠",VLOOKUP(AK179,'G-7 Rivers Data'!$AD$4:$AE$8,2,FALSE)))</f>
        <v/>
      </c>
      <c r="AM179" s="545" t="str">
        <f t="shared" si="23"/>
        <v/>
      </c>
      <c r="AN179" s="149"/>
      <c r="AO179" s="150"/>
      <c r="AV179" s="31" t="str">
        <f>IFERROR(INDEX('G-7 Rivers Data'!$AZ$3:$AZ$7,MATCH(N179,'G-7 Rivers Data'!$AY$3:$AY$7,0)),"")</f>
        <v/>
      </c>
    </row>
    <row r="180" spans="2:48" ht="13.8" x14ac:dyDescent="0.25">
      <c r="B180" s="531" t="str">
        <f>'C-1 Site River Baseline'!AN178</f>
        <v/>
      </c>
      <c r="C180" s="520" t="str">
        <f>IF(B180="","",VLOOKUP($B180,'C-1 Site River Baseline'!$C$9:$R$257,2,FALSE))</f>
        <v/>
      </c>
      <c r="D180" s="520" t="str">
        <f>IF(C180="","",VLOOKUP($B180,'C-1 Site River Baseline'!$C$9:$R$257,3,FALSE))</f>
        <v/>
      </c>
      <c r="E180" s="520" t="str">
        <f>IF(D180="","",VLOOKUP($B180,'C-1 Site River Baseline'!$C$9:$R$257,4,FALSE))</f>
        <v/>
      </c>
      <c r="F180" s="520" t="str">
        <f>IF(E180="","",VLOOKUP($B180,'C-1 Site River Baseline'!$C$9:$R$257,5,FALSE))</f>
        <v/>
      </c>
      <c r="G180" s="520" t="str">
        <f>IF(F180="","",VLOOKUP($B180,'C-1 Site River Baseline'!$C$9:$R$257,6,FALSE))</f>
        <v/>
      </c>
      <c r="H180" s="520" t="str">
        <f>IF(G180="","",VLOOKUP($B180,'C-1 Site River Baseline'!$C$9:$R$257,7,FALSE))</f>
        <v/>
      </c>
      <c r="I180" s="520" t="str">
        <f>IF(H180="","",VLOOKUP($B180,'C-1 Site River Baseline'!$C$9:$R$257,8,FALSE))</f>
        <v/>
      </c>
      <c r="J180" s="520" t="str">
        <f>IF(I180="","",VLOOKUP($B180,'C-1 Site River Baseline'!$C$9:$R$257,9,FALSE))</f>
        <v/>
      </c>
      <c r="K180" s="520" t="str">
        <f>IF(J180="","",VLOOKUP($B180,'C-1 Site River Baseline'!$C$9:$R$257,10,FALSE))</f>
        <v/>
      </c>
      <c r="L180" s="520" t="str">
        <f>IF(B180="","",VLOOKUP($B180,'C-1 Site River Baseline'!$C$9:$R$257,15,FALSE))</f>
        <v/>
      </c>
      <c r="M180" s="524" t="str">
        <f>IF(L180="","",VLOOKUP($B180,'C-1 Site River Baseline'!$C$9:$R$257,16,FALSE))</f>
        <v/>
      </c>
      <c r="N180" s="418" t="str">
        <f t="shared" si="17"/>
        <v/>
      </c>
      <c r="O180" s="498" t="str">
        <f t="shared" si="18"/>
        <v/>
      </c>
      <c r="P180" s="499" t="str">
        <f>IF(C180="","",IF(AND(LEFT(C180,55)&lt;&gt;LEFT(N180,55),O180="High - High"),"Error - Not like for like ▲",IF(AND(F180=S180,H180&gt;U180),"Error - Can not reduce condition ▲",IF(AND(F180=S180,H180=U180,AJ180='C-1 Site River Baseline'!N178,'C-1 Site River Baseline'!P178=AL180),"Error - No enhancement ▲",IF(AND(C180&lt;&gt;N180,F180&lt;S180),"Lower Distinctiveness Habitat"&amp;" - "&amp;T180,G180&amp;" - "&amp;T180)))))</f>
        <v/>
      </c>
      <c r="Q180" s="567" t="str">
        <f>IF(N180="","",VLOOKUP(B180,'C-1 Site River Baseline'!$C$10:$AA$257,19,FALSE))</f>
        <v/>
      </c>
      <c r="R180" s="498" t="str">
        <f>IF(N180="","",VLOOKUP(N180,'G-7 Rivers Data'!$B$2:$G$8,2,FALSE))</f>
        <v/>
      </c>
      <c r="S180" s="499" t="str">
        <f>IFERROR(VLOOKUP(R180,'G-7 Rivers Data'!$C$4:$D$8,2,FALSE),"")</f>
        <v/>
      </c>
      <c r="T180" s="145"/>
      <c r="U180" s="499" t="str">
        <f>IFERROR(INDEX('G-7 Rivers Data'!$H$4:$L$8,MATCH(N180,'G-7 Rivers Data'!$B$4:$B$8,0),MATCH(T180,'G-7 Rivers Data'!$H$3:$L$3,0)),"")</f>
        <v/>
      </c>
      <c r="V180" s="154"/>
      <c r="W180" s="507" t="str">
        <f>IF(V180="","",IF(VLOOKUP(V180,'G-7 Rivers Data'!$AG$4:$AI$9,2,FALSE)=0,"Spatial Data Missing ⚠",VLOOKUP(V180,'G-7 Rivers Data'!$AG$4:$AI$9,2,FALSE)))</f>
        <v/>
      </c>
      <c r="X180" s="499" t="str">
        <f>IF(V180="","",IF(VLOOKUP(V180,'G-7 Rivers Data'!$AG$4:$AI$9,3,FALSE)=0,"Spatial Data Missing ⚠",VLOOKUP(V180,'G-7 Rivers Data'!$AG$4:$AI$9,3,FALSE)))</f>
        <v/>
      </c>
      <c r="Y180" s="498" t="str">
        <f>IFERROR(IF(OR(LEFT(P180,5)="Error ▲",LEFT(O180,5)="Error ▲"),"Check Data ⚠",IF(F180&lt;S180,'G-7 Rivers Data'!$R$3,INDEX('G-7 Rivers Data'!$U$5:$Y$9,MATCH(G180,'G-7 Rivers Data'!$T$5:$T$9,0),MATCH(T180,'G-7 Rivers Data'!$U$4:$Y$4,0)))),"")</f>
        <v/>
      </c>
      <c r="Z180" s="195"/>
      <c r="AA180" s="195"/>
      <c r="AB180" s="507" t="str">
        <f t="shared" si="19"/>
        <v/>
      </c>
      <c r="AC180" s="521" t="str">
        <f t="shared" si="20"/>
        <v/>
      </c>
      <c r="AD180" s="564" t="str">
        <f>IFERROR(IF(AC180="Check Data ⚠","Check Data ⚠",VLOOKUP(AC180,'G-4 Temporal multipliers'!$A$4:$C$37,3,FALSE)),"")</f>
        <v/>
      </c>
      <c r="AE180" s="498" t="str">
        <f>IF(N180="","",VLOOKUP(N180,'G-7 Rivers Data'!$B$4:$G$8,5,FALSE))</f>
        <v/>
      </c>
      <c r="AF180" s="507" t="str">
        <f t="shared" si="21"/>
        <v/>
      </c>
      <c r="AG180" s="540" t="str">
        <f t="shared" si="22"/>
        <v/>
      </c>
      <c r="AH180" s="499" t="str">
        <f t="shared" si="16"/>
        <v/>
      </c>
      <c r="AI180" s="145"/>
      <c r="AJ180" s="499" t="str">
        <f>IF(AI180="","",IF(VLOOKUP(AI180,'G-7 Rivers Data'!$AA$4:$AB$7,2,FALSE)=0,"Spatial Data Missing ⚠",VLOOKUP(AI180,'G-7 Rivers Data'!$AA$4:$AB$7,2,FALSE)))</f>
        <v/>
      </c>
      <c r="AK180" s="155"/>
      <c r="AL180" s="499" t="str">
        <f>IF(AK180="","",IF(VLOOKUP(AK180,'G-7 Rivers Data'!$AD$4:$AE$8,2,FALSE)=0,"Spatial Data Missing ⚠",VLOOKUP(AK180,'G-7 Rivers Data'!$AD$4:$AE$8,2,FALSE)))</f>
        <v/>
      </c>
      <c r="AM180" s="545" t="str">
        <f t="shared" si="23"/>
        <v/>
      </c>
      <c r="AN180" s="149"/>
      <c r="AO180" s="150"/>
      <c r="AV180" s="31" t="str">
        <f>IFERROR(INDEX('G-7 Rivers Data'!$AZ$3:$AZ$7,MATCH(N180,'G-7 Rivers Data'!$AY$3:$AY$7,0)),"")</f>
        <v/>
      </c>
    </row>
    <row r="181" spans="2:48" ht="13.8" x14ac:dyDescent="0.25">
      <c r="B181" s="531" t="str">
        <f>'C-1 Site River Baseline'!AN179</f>
        <v/>
      </c>
      <c r="C181" s="520" t="str">
        <f>IF(B181="","",VLOOKUP($B181,'C-1 Site River Baseline'!$C$9:$R$257,2,FALSE))</f>
        <v/>
      </c>
      <c r="D181" s="520" t="str">
        <f>IF(C181="","",VLOOKUP($B181,'C-1 Site River Baseline'!$C$9:$R$257,3,FALSE))</f>
        <v/>
      </c>
      <c r="E181" s="520" t="str">
        <f>IF(D181="","",VLOOKUP($B181,'C-1 Site River Baseline'!$C$9:$R$257,4,FALSE))</f>
        <v/>
      </c>
      <c r="F181" s="520" t="str">
        <f>IF(E181="","",VLOOKUP($B181,'C-1 Site River Baseline'!$C$9:$R$257,5,FALSE))</f>
        <v/>
      </c>
      <c r="G181" s="520" t="str">
        <f>IF(F181="","",VLOOKUP($B181,'C-1 Site River Baseline'!$C$9:$R$257,6,FALSE))</f>
        <v/>
      </c>
      <c r="H181" s="520" t="str">
        <f>IF(G181="","",VLOOKUP($B181,'C-1 Site River Baseline'!$C$9:$R$257,7,FALSE))</f>
        <v/>
      </c>
      <c r="I181" s="520" t="str">
        <f>IF(H181="","",VLOOKUP($B181,'C-1 Site River Baseline'!$C$9:$R$257,8,FALSE))</f>
        <v/>
      </c>
      <c r="J181" s="520" t="str">
        <f>IF(I181="","",VLOOKUP($B181,'C-1 Site River Baseline'!$C$9:$R$257,9,FALSE))</f>
        <v/>
      </c>
      <c r="K181" s="520" t="str">
        <f>IF(J181="","",VLOOKUP($B181,'C-1 Site River Baseline'!$C$9:$R$257,10,FALSE))</f>
        <v/>
      </c>
      <c r="L181" s="520" t="str">
        <f>IF(B181="","",VLOOKUP($B181,'C-1 Site River Baseline'!$C$9:$R$257,15,FALSE))</f>
        <v/>
      </c>
      <c r="M181" s="524" t="str">
        <f>IF(L181="","",VLOOKUP($B181,'C-1 Site River Baseline'!$C$9:$R$257,16,FALSE))</f>
        <v/>
      </c>
      <c r="N181" s="418" t="str">
        <f t="shared" si="17"/>
        <v/>
      </c>
      <c r="O181" s="498" t="str">
        <f t="shared" si="18"/>
        <v/>
      </c>
      <c r="P181" s="499" t="str">
        <f>IF(C181="","",IF(AND(LEFT(C181,55)&lt;&gt;LEFT(N181,55),O181="High - High"),"Error - Not like for like ▲",IF(AND(F181=S181,H181&gt;U181),"Error - Can not reduce condition ▲",IF(AND(F181=S181,H181=U181,AJ181='C-1 Site River Baseline'!N179,'C-1 Site River Baseline'!P179=AL181),"Error - No enhancement ▲",IF(AND(C181&lt;&gt;N181,F181&lt;S181),"Lower Distinctiveness Habitat"&amp;" - "&amp;T181,G181&amp;" - "&amp;T181)))))</f>
        <v/>
      </c>
      <c r="Q181" s="567" t="str">
        <f>IF(N181="","",VLOOKUP(B181,'C-1 Site River Baseline'!$C$10:$AA$257,19,FALSE))</f>
        <v/>
      </c>
      <c r="R181" s="498" t="str">
        <f>IF(N181="","",VLOOKUP(N181,'G-7 Rivers Data'!$B$2:$G$8,2,FALSE))</f>
        <v/>
      </c>
      <c r="S181" s="499" t="str">
        <f>IFERROR(VLOOKUP(R181,'G-7 Rivers Data'!$C$4:$D$8,2,FALSE),"")</f>
        <v/>
      </c>
      <c r="T181" s="145"/>
      <c r="U181" s="499" t="str">
        <f>IFERROR(INDEX('G-7 Rivers Data'!$H$4:$L$8,MATCH(N181,'G-7 Rivers Data'!$B$4:$B$8,0),MATCH(T181,'G-7 Rivers Data'!$H$3:$L$3,0)),"")</f>
        <v/>
      </c>
      <c r="V181" s="154"/>
      <c r="W181" s="507" t="str">
        <f>IF(V181="","",IF(VLOOKUP(V181,'G-7 Rivers Data'!$AG$4:$AI$9,2,FALSE)=0,"Spatial Data Missing ⚠",VLOOKUP(V181,'G-7 Rivers Data'!$AG$4:$AI$9,2,FALSE)))</f>
        <v/>
      </c>
      <c r="X181" s="499" t="str">
        <f>IF(V181="","",IF(VLOOKUP(V181,'G-7 Rivers Data'!$AG$4:$AI$9,3,FALSE)=0,"Spatial Data Missing ⚠",VLOOKUP(V181,'G-7 Rivers Data'!$AG$4:$AI$9,3,FALSE)))</f>
        <v/>
      </c>
      <c r="Y181" s="498" t="str">
        <f>IFERROR(IF(OR(LEFT(P181,5)="Error ▲",LEFT(O181,5)="Error ▲"),"Check Data ⚠",IF(F181&lt;S181,'G-7 Rivers Data'!$R$3,INDEX('G-7 Rivers Data'!$U$5:$Y$9,MATCH(G181,'G-7 Rivers Data'!$T$5:$T$9,0),MATCH(T181,'G-7 Rivers Data'!$U$4:$Y$4,0)))),"")</f>
        <v/>
      </c>
      <c r="Z181" s="195"/>
      <c r="AA181" s="195"/>
      <c r="AB181" s="507" t="str">
        <f t="shared" si="19"/>
        <v/>
      </c>
      <c r="AC181" s="521" t="str">
        <f t="shared" si="20"/>
        <v/>
      </c>
      <c r="AD181" s="564" t="str">
        <f>IFERROR(IF(AC181="Check Data ⚠","Check Data ⚠",VLOOKUP(AC181,'G-4 Temporal multipliers'!$A$4:$C$37,3,FALSE)),"")</f>
        <v/>
      </c>
      <c r="AE181" s="498" t="str">
        <f>IF(N181="","",VLOOKUP(N181,'G-7 Rivers Data'!$B$4:$G$8,5,FALSE))</f>
        <v/>
      </c>
      <c r="AF181" s="507" t="str">
        <f t="shared" si="21"/>
        <v/>
      </c>
      <c r="AG181" s="540" t="str">
        <f t="shared" si="22"/>
        <v/>
      </c>
      <c r="AH181" s="499" t="str">
        <f t="shared" si="16"/>
        <v/>
      </c>
      <c r="AI181" s="145"/>
      <c r="AJ181" s="499" t="str">
        <f>IF(AI181="","",IF(VLOOKUP(AI181,'G-7 Rivers Data'!$AA$4:$AB$7,2,FALSE)=0,"Spatial Data Missing ⚠",VLOOKUP(AI181,'G-7 Rivers Data'!$AA$4:$AB$7,2,FALSE)))</f>
        <v/>
      </c>
      <c r="AK181" s="155"/>
      <c r="AL181" s="499" t="str">
        <f>IF(AK181="","",IF(VLOOKUP(AK181,'G-7 Rivers Data'!$AD$4:$AE$8,2,FALSE)=0,"Spatial Data Missing ⚠",VLOOKUP(AK181,'G-7 Rivers Data'!$AD$4:$AE$8,2,FALSE)))</f>
        <v/>
      </c>
      <c r="AM181" s="545" t="str">
        <f t="shared" si="23"/>
        <v/>
      </c>
      <c r="AN181" s="149"/>
      <c r="AO181" s="150"/>
      <c r="AV181" s="31" t="str">
        <f>IFERROR(INDEX('G-7 Rivers Data'!$AZ$3:$AZ$7,MATCH(N181,'G-7 Rivers Data'!$AY$3:$AY$7,0)),"")</f>
        <v/>
      </c>
    </row>
    <row r="182" spans="2:48" ht="13.8" x14ac:dyDescent="0.25">
      <c r="B182" s="531" t="str">
        <f>'C-1 Site River Baseline'!AN180</f>
        <v/>
      </c>
      <c r="C182" s="520" t="str">
        <f>IF(B182="","",VLOOKUP($B182,'C-1 Site River Baseline'!$C$9:$R$257,2,FALSE))</f>
        <v/>
      </c>
      <c r="D182" s="520" t="str">
        <f>IF(C182="","",VLOOKUP($B182,'C-1 Site River Baseline'!$C$9:$R$257,3,FALSE))</f>
        <v/>
      </c>
      <c r="E182" s="520" t="str">
        <f>IF(D182="","",VLOOKUP($B182,'C-1 Site River Baseline'!$C$9:$R$257,4,FALSE))</f>
        <v/>
      </c>
      <c r="F182" s="520" t="str">
        <f>IF(E182="","",VLOOKUP($B182,'C-1 Site River Baseline'!$C$9:$R$257,5,FALSE))</f>
        <v/>
      </c>
      <c r="G182" s="520" t="str">
        <f>IF(F182="","",VLOOKUP($B182,'C-1 Site River Baseline'!$C$9:$R$257,6,FALSE))</f>
        <v/>
      </c>
      <c r="H182" s="520" t="str">
        <f>IF(G182="","",VLOOKUP($B182,'C-1 Site River Baseline'!$C$9:$R$257,7,FALSE))</f>
        <v/>
      </c>
      <c r="I182" s="520" t="str">
        <f>IF(H182="","",VLOOKUP($B182,'C-1 Site River Baseline'!$C$9:$R$257,8,FALSE))</f>
        <v/>
      </c>
      <c r="J182" s="520" t="str">
        <f>IF(I182="","",VLOOKUP($B182,'C-1 Site River Baseline'!$C$9:$R$257,9,FALSE))</f>
        <v/>
      </c>
      <c r="K182" s="520" t="str">
        <f>IF(J182="","",VLOOKUP($B182,'C-1 Site River Baseline'!$C$9:$R$257,10,FALSE))</f>
        <v/>
      </c>
      <c r="L182" s="520" t="str">
        <f>IF(B182="","",VLOOKUP($B182,'C-1 Site River Baseline'!$C$9:$R$257,15,FALSE))</f>
        <v/>
      </c>
      <c r="M182" s="524" t="str">
        <f>IF(L182="","",VLOOKUP($B182,'C-1 Site River Baseline'!$C$9:$R$257,16,FALSE))</f>
        <v/>
      </c>
      <c r="N182" s="418" t="str">
        <f t="shared" si="17"/>
        <v/>
      </c>
      <c r="O182" s="498" t="str">
        <f t="shared" si="18"/>
        <v/>
      </c>
      <c r="P182" s="499" t="str">
        <f>IF(C182="","",IF(AND(LEFT(C182,55)&lt;&gt;LEFT(N182,55),O182="High - High"),"Error - Not like for like ▲",IF(AND(F182=S182,H182&gt;U182),"Error - Can not reduce condition ▲",IF(AND(F182=S182,H182=U182,AJ182='C-1 Site River Baseline'!N180,'C-1 Site River Baseline'!P180=AL182),"Error - No enhancement ▲",IF(AND(C182&lt;&gt;N182,F182&lt;S182),"Lower Distinctiveness Habitat"&amp;" - "&amp;T182,G182&amp;" - "&amp;T182)))))</f>
        <v/>
      </c>
      <c r="Q182" s="567" t="str">
        <f>IF(N182="","",VLOOKUP(B182,'C-1 Site River Baseline'!$C$10:$AA$257,19,FALSE))</f>
        <v/>
      </c>
      <c r="R182" s="498" t="str">
        <f>IF(N182="","",VLOOKUP(N182,'G-7 Rivers Data'!$B$2:$G$8,2,FALSE))</f>
        <v/>
      </c>
      <c r="S182" s="499" t="str">
        <f>IFERROR(VLOOKUP(R182,'G-7 Rivers Data'!$C$4:$D$8,2,FALSE),"")</f>
        <v/>
      </c>
      <c r="T182" s="145"/>
      <c r="U182" s="499" t="str">
        <f>IFERROR(INDEX('G-7 Rivers Data'!$H$4:$L$8,MATCH(N182,'G-7 Rivers Data'!$B$4:$B$8,0),MATCH(T182,'G-7 Rivers Data'!$H$3:$L$3,0)),"")</f>
        <v/>
      </c>
      <c r="V182" s="154"/>
      <c r="W182" s="507" t="str">
        <f>IF(V182="","",IF(VLOOKUP(V182,'G-7 Rivers Data'!$AG$4:$AI$9,2,FALSE)=0,"Spatial Data Missing ⚠",VLOOKUP(V182,'G-7 Rivers Data'!$AG$4:$AI$9,2,FALSE)))</f>
        <v/>
      </c>
      <c r="X182" s="499" t="str">
        <f>IF(V182="","",IF(VLOOKUP(V182,'G-7 Rivers Data'!$AG$4:$AI$9,3,FALSE)=0,"Spatial Data Missing ⚠",VLOOKUP(V182,'G-7 Rivers Data'!$AG$4:$AI$9,3,FALSE)))</f>
        <v/>
      </c>
      <c r="Y182" s="498" t="str">
        <f>IFERROR(IF(OR(LEFT(P182,5)="Error ▲",LEFT(O182,5)="Error ▲"),"Check Data ⚠",IF(F182&lt;S182,'G-7 Rivers Data'!$R$3,INDEX('G-7 Rivers Data'!$U$5:$Y$9,MATCH(G182,'G-7 Rivers Data'!$T$5:$T$9,0),MATCH(T182,'G-7 Rivers Data'!$U$4:$Y$4,0)))),"")</f>
        <v/>
      </c>
      <c r="Z182" s="195"/>
      <c r="AA182" s="195"/>
      <c r="AB182" s="507" t="str">
        <f t="shared" si="19"/>
        <v/>
      </c>
      <c r="AC182" s="521" t="str">
        <f t="shared" si="20"/>
        <v/>
      </c>
      <c r="AD182" s="564" t="str">
        <f>IFERROR(IF(AC182="Check Data ⚠","Check Data ⚠",VLOOKUP(AC182,'G-4 Temporal multipliers'!$A$4:$C$37,3,FALSE)),"")</f>
        <v/>
      </c>
      <c r="AE182" s="498" t="str">
        <f>IF(N182="","",VLOOKUP(N182,'G-7 Rivers Data'!$B$4:$G$8,5,FALSE))</f>
        <v/>
      </c>
      <c r="AF182" s="507" t="str">
        <f t="shared" si="21"/>
        <v/>
      </c>
      <c r="AG182" s="540" t="str">
        <f t="shared" si="22"/>
        <v/>
      </c>
      <c r="AH182" s="499" t="str">
        <f t="shared" si="16"/>
        <v/>
      </c>
      <c r="AI182" s="145"/>
      <c r="AJ182" s="499" t="str">
        <f>IF(AI182="","",IF(VLOOKUP(AI182,'G-7 Rivers Data'!$AA$4:$AB$7,2,FALSE)=0,"Spatial Data Missing ⚠",VLOOKUP(AI182,'G-7 Rivers Data'!$AA$4:$AB$7,2,FALSE)))</f>
        <v/>
      </c>
      <c r="AK182" s="155"/>
      <c r="AL182" s="499" t="str">
        <f>IF(AK182="","",IF(VLOOKUP(AK182,'G-7 Rivers Data'!$AD$4:$AE$8,2,FALSE)=0,"Spatial Data Missing ⚠",VLOOKUP(AK182,'G-7 Rivers Data'!$AD$4:$AE$8,2,FALSE)))</f>
        <v/>
      </c>
      <c r="AM182" s="545" t="str">
        <f t="shared" si="23"/>
        <v/>
      </c>
      <c r="AN182" s="149"/>
      <c r="AO182" s="150"/>
      <c r="AV182" s="31" t="str">
        <f>IFERROR(INDEX('G-7 Rivers Data'!$AZ$3:$AZ$7,MATCH(N182,'G-7 Rivers Data'!$AY$3:$AY$7,0)),"")</f>
        <v/>
      </c>
    </row>
    <row r="183" spans="2:48" ht="13.8" x14ac:dyDescent="0.25">
      <c r="B183" s="531" t="str">
        <f>'C-1 Site River Baseline'!AN181</f>
        <v/>
      </c>
      <c r="C183" s="520" t="str">
        <f>IF(B183="","",VLOOKUP($B183,'C-1 Site River Baseline'!$C$9:$R$257,2,FALSE))</f>
        <v/>
      </c>
      <c r="D183" s="520" t="str">
        <f>IF(C183="","",VLOOKUP($B183,'C-1 Site River Baseline'!$C$9:$R$257,3,FALSE))</f>
        <v/>
      </c>
      <c r="E183" s="520" t="str">
        <f>IF(D183="","",VLOOKUP($B183,'C-1 Site River Baseline'!$C$9:$R$257,4,FALSE))</f>
        <v/>
      </c>
      <c r="F183" s="520" t="str">
        <f>IF(E183="","",VLOOKUP($B183,'C-1 Site River Baseline'!$C$9:$R$257,5,FALSE))</f>
        <v/>
      </c>
      <c r="G183" s="520" t="str">
        <f>IF(F183="","",VLOOKUP($B183,'C-1 Site River Baseline'!$C$9:$R$257,6,FALSE))</f>
        <v/>
      </c>
      <c r="H183" s="520" t="str">
        <f>IF(G183="","",VLOOKUP($B183,'C-1 Site River Baseline'!$C$9:$R$257,7,FALSE))</f>
        <v/>
      </c>
      <c r="I183" s="520" t="str">
        <f>IF(H183="","",VLOOKUP($B183,'C-1 Site River Baseline'!$C$9:$R$257,8,FALSE))</f>
        <v/>
      </c>
      <c r="J183" s="520" t="str">
        <f>IF(I183="","",VLOOKUP($B183,'C-1 Site River Baseline'!$C$9:$R$257,9,FALSE))</f>
        <v/>
      </c>
      <c r="K183" s="520" t="str">
        <f>IF(J183="","",VLOOKUP($B183,'C-1 Site River Baseline'!$C$9:$R$257,10,FALSE))</f>
        <v/>
      </c>
      <c r="L183" s="520" t="str">
        <f>IF(B183="","",VLOOKUP($B183,'C-1 Site River Baseline'!$C$9:$R$257,15,FALSE))</f>
        <v/>
      </c>
      <c r="M183" s="524" t="str">
        <f>IF(L183="","",VLOOKUP($B183,'C-1 Site River Baseline'!$C$9:$R$257,16,FALSE))</f>
        <v/>
      </c>
      <c r="N183" s="418" t="str">
        <f t="shared" si="17"/>
        <v/>
      </c>
      <c r="O183" s="498" t="str">
        <f t="shared" si="18"/>
        <v/>
      </c>
      <c r="P183" s="499" t="str">
        <f>IF(C183="","",IF(AND(LEFT(C183,55)&lt;&gt;LEFT(N183,55),O183="High - High"),"Error - Not like for like ▲",IF(AND(F183=S183,H183&gt;U183),"Error - Can not reduce condition ▲",IF(AND(F183=S183,H183=U183,AJ183='C-1 Site River Baseline'!N181,'C-1 Site River Baseline'!P181=AL183),"Error - No enhancement ▲",IF(AND(C183&lt;&gt;N183,F183&lt;S183),"Lower Distinctiveness Habitat"&amp;" - "&amp;T183,G183&amp;" - "&amp;T183)))))</f>
        <v/>
      </c>
      <c r="Q183" s="567" t="str">
        <f>IF(N183="","",VLOOKUP(B183,'C-1 Site River Baseline'!$C$10:$AA$257,19,FALSE))</f>
        <v/>
      </c>
      <c r="R183" s="498" t="str">
        <f>IF(N183="","",VLOOKUP(N183,'G-7 Rivers Data'!$B$2:$G$8,2,FALSE))</f>
        <v/>
      </c>
      <c r="S183" s="499" t="str">
        <f>IFERROR(VLOOKUP(R183,'G-7 Rivers Data'!$C$4:$D$8,2,FALSE),"")</f>
        <v/>
      </c>
      <c r="T183" s="145"/>
      <c r="U183" s="499" t="str">
        <f>IFERROR(INDEX('G-7 Rivers Data'!$H$4:$L$8,MATCH(N183,'G-7 Rivers Data'!$B$4:$B$8,0),MATCH(T183,'G-7 Rivers Data'!$H$3:$L$3,0)),"")</f>
        <v/>
      </c>
      <c r="V183" s="154"/>
      <c r="W183" s="507" t="str">
        <f>IF(V183="","",IF(VLOOKUP(V183,'G-7 Rivers Data'!$AG$4:$AI$9,2,FALSE)=0,"Spatial Data Missing ⚠",VLOOKUP(V183,'G-7 Rivers Data'!$AG$4:$AI$9,2,FALSE)))</f>
        <v/>
      </c>
      <c r="X183" s="499" t="str">
        <f>IF(V183="","",IF(VLOOKUP(V183,'G-7 Rivers Data'!$AG$4:$AI$9,3,FALSE)=0,"Spatial Data Missing ⚠",VLOOKUP(V183,'G-7 Rivers Data'!$AG$4:$AI$9,3,FALSE)))</f>
        <v/>
      </c>
      <c r="Y183" s="498" t="str">
        <f>IFERROR(IF(OR(LEFT(P183,5)="Error ▲",LEFT(O183,5)="Error ▲"),"Check Data ⚠",IF(F183&lt;S183,'G-7 Rivers Data'!$R$3,INDEX('G-7 Rivers Data'!$U$5:$Y$9,MATCH(G183,'G-7 Rivers Data'!$T$5:$T$9,0),MATCH(T183,'G-7 Rivers Data'!$U$4:$Y$4,0)))),"")</f>
        <v/>
      </c>
      <c r="Z183" s="195"/>
      <c r="AA183" s="195"/>
      <c r="AB183" s="507" t="str">
        <f t="shared" si="19"/>
        <v/>
      </c>
      <c r="AC183" s="521" t="str">
        <f t="shared" si="20"/>
        <v/>
      </c>
      <c r="AD183" s="564" t="str">
        <f>IFERROR(IF(AC183="Check Data ⚠","Check Data ⚠",VLOOKUP(AC183,'G-4 Temporal multipliers'!$A$4:$C$37,3,FALSE)),"")</f>
        <v/>
      </c>
      <c r="AE183" s="498" t="str">
        <f>IF(N183="","",VLOOKUP(N183,'G-7 Rivers Data'!$B$4:$G$8,5,FALSE))</f>
        <v/>
      </c>
      <c r="AF183" s="507" t="str">
        <f t="shared" si="21"/>
        <v/>
      </c>
      <c r="AG183" s="540" t="str">
        <f t="shared" si="22"/>
        <v/>
      </c>
      <c r="AH183" s="499" t="str">
        <f t="shared" si="16"/>
        <v/>
      </c>
      <c r="AI183" s="145"/>
      <c r="AJ183" s="499" t="str">
        <f>IF(AI183="","",IF(VLOOKUP(AI183,'G-7 Rivers Data'!$AA$4:$AB$7,2,FALSE)=0,"Spatial Data Missing ⚠",VLOOKUP(AI183,'G-7 Rivers Data'!$AA$4:$AB$7,2,FALSE)))</f>
        <v/>
      </c>
      <c r="AK183" s="155"/>
      <c r="AL183" s="499" t="str">
        <f>IF(AK183="","",IF(VLOOKUP(AK183,'G-7 Rivers Data'!$AD$4:$AE$8,2,FALSE)=0,"Spatial Data Missing ⚠",VLOOKUP(AK183,'G-7 Rivers Data'!$AD$4:$AE$8,2,FALSE)))</f>
        <v/>
      </c>
      <c r="AM183" s="545" t="str">
        <f t="shared" si="23"/>
        <v/>
      </c>
      <c r="AN183" s="149"/>
      <c r="AO183" s="150"/>
      <c r="AV183" s="31" t="str">
        <f>IFERROR(INDEX('G-7 Rivers Data'!$AZ$3:$AZ$7,MATCH(N183,'G-7 Rivers Data'!$AY$3:$AY$7,0)),"")</f>
        <v/>
      </c>
    </row>
    <row r="184" spans="2:48" ht="13.8" x14ac:dyDescent="0.25">
      <c r="B184" s="531" t="str">
        <f>'C-1 Site River Baseline'!AN182</f>
        <v/>
      </c>
      <c r="C184" s="520" t="str">
        <f>IF(B184="","",VLOOKUP($B184,'C-1 Site River Baseline'!$C$9:$R$257,2,FALSE))</f>
        <v/>
      </c>
      <c r="D184" s="520" t="str">
        <f>IF(C184="","",VLOOKUP($B184,'C-1 Site River Baseline'!$C$9:$R$257,3,FALSE))</f>
        <v/>
      </c>
      <c r="E184" s="520" t="str">
        <f>IF(D184="","",VLOOKUP($B184,'C-1 Site River Baseline'!$C$9:$R$257,4,FALSE))</f>
        <v/>
      </c>
      <c r="F184" s="520" t="str">
        <f>IF(E184="","",VLOOKUP($B184,'C-1 Site River Baseline'!$C$9:$R$257,5,FALSE))</f>
        <v/>
      </c>
      <c r="G184" s="520" t="str">
        <f>IF(F184="","",VLOOKUP($B184,'C-1 Site River Baseline'!$C$9:$R$257,6,FALSE))</f>
        <v/>
      </c>
      <c r="H184" s="520" t="str">
        <f>IF(G184="","",VLOOKUP($B184,'C-1 Site River Baseline'!$C$9:$R$257,7,FALSE))</f>
        <v/>
      </c>
      <c r="I184" s="520" t="str">
        <f>IF(H184="","",VLOOKUP($B184,'C-1 Site River Baseline'!$C$9:$R$257,8,FALSE))</f>
        <v/>
      </c>
      <c r="J184" s="520" t="str">
        <f>IF(I184="","",VLOOKUP($B184,'C-1 Site River Baseline'!$C$9:$R$257,9,FALSE))</f>
        <v/>
      </c>
      <c r="K184" s="520" t="str">
        <f>IF(J184="","",VLOOKUP($B184,'C-1 Site River Baseline'!$C$9:$R$257,10,FALSE))</f>
        <v/>
      </c>
      <c r="L184" s="520" t="str">
        <f>IF(B184="","",VLOOKUP($B184,'C-1 Site River Baseline'!$C$9:$R$257,15,FALSE))</f>
        <v/>
      </c>
      <c r="M184" s="524" t="str">
        <f>IF(L184="","",VLOOKUP($B184,'C-1 Site River Baseline'!$C$9:$R$257,16,FALSE))</f>
        <v/>
      </c>
      <c r="N184" s="418" t="str">
        <f t="shared" si="17"/>
        <v/>
      </c>
      <c r="O184" s="498" t="str">
        <f t="shared" si="18"/>
        <v/>
      </c>
      <c r="P184" s="499" t="str">
        <f>IF(C184="","",IF(AND(LEFT(C184,55)&lt;&gt;LEFT(N184,55),O184="High - High"),"Error - Not like for like ▲",IF(AND(F184=S184,H184&gt;U184),"Error - Can not reduce condition ▲",IF(AND(F184=S184,H184=U184,AJ184='C-1 Site River Baseline'!N182,'C-1 Site River Baseline'!P182=AL184),"Error - No enhancement ▲",IF(AND(C184&lt;&gt;N184,F184&lt;S184),"Lower Distinctiveness Habitat"&amp;" - "&amp;T184,G184&amp;" - "&amp;T184)))))</f>
        <v/>
      </c>
      <c r="Q184" s="567" t="str">
        <f>IF(N184="","",VLOOKUP(B184,'C-1 Site River Baseline'!$C$10:$AA$257,19,FALSE))</f>
        <v/>
      </c>
      <c r="R184" s="498" t="str">
        <f>IF(N184="","",VLOOKUP(N184,'G-7 Rivers Data'!$B$2:$G$8,2,FALSE))</f>
        <v/>
      </c>
      <c r="S184" s="499" t="str">
        <f>IFERROR(VLOOKUP(R184,'G-7 Rivers Data'!$C$4:$D$8,2,FALSE),"")</f>
        <v/>
      </c>
      <c r="T184" s="145"/>
      <c r="U184" s="499" t="str">
        <f>IFERROR(INDEX('G-7 Rivers Data'!$H$4:$L$8,MATCH(N184,'G-7 Rivers Data'!$B$4:$B$8,0),MATCH(T184,'G-7 Rivers Data'!$H$3:$L$3,0)),"")</f>
        <v/>
      </c>
      <c r="V184" s="154"/>
      <c r="W184" s="507" t="str">
        <f>IF(V184="","",IF(VLOOKUP(V184,'G-7 Rivers Data'!$AG$4:$AI$9,2,FALSE)=0,"Spatial Data Missing ⚠",VLOOKUP(V184,'G-7 Rivers Data'!$AG$4:$AI$9,2,FALSE)))</f>
        <v/>
      </c>
      <c r="X184" s="499" t="str">
        <f>IF(V184="","",IF(VLOOKUP(V184,'G-7 Rivers Data'!$AG$4:$AI$9,3,FALSE)=0,"Spatial Data Missing ⚠",VLOOKUP(V184,'G-7 Rivers Data'!$AG$4:$AI$9,3,FALSE)))</f>
        <v/>
      </c>
      <c r="Y184" s="498" t="str">
        <f>IFERROR(IF(OR(LEFT(P184,5)="Error ▲",LEFT(O184,5)="Error ▲"),"Check Data ⚠",IF(F184&lt;S184,'G-7 Rivers Data'!$R$3,INDEX('G-7 Rivers Data'!$U$5:$Y$9,MATCH(G184,'G-7 Rivers Data'!$T$5:$T$9,0),MATCH(T184,'G-7 Rivers Data'!$U$4:$Y$4,0)))),"")</f>
        <v/>
      </c>
      <c r="Z184" s="195"/>
      <c r="AA184" s="195"/>
      <c r="AB184" s="507" t="str">
        <f t="shared" si="19"/>
        <v/>
      </c>
      <c r="AC184" s="521" t="str">
        <f t="shared" si="20"/>
        <v/>
      </c>
      <c r="AD184" s="564" t="str">
        <f>IFERROR(IF(AC184="Check Data ⚠","Check Data ⚠",VLOOKUP(AC184,'G-4 Temporal multipliers'!$A$4:$C$37,3,FALSE)),"")</f>
        <v/>
      </c>
      <c r="AE184" s="498" t="str">
        <f>IF(N184="","",VLOOKUP(N184,'G-7 Rivers Data'!$B$4:$G$8,5,FALSE))</f>
        <v/>
      </c>
      <c r="AF184" s="507" t="str">
        <f t="shared" si="21"/>
        <v/>
      </c>
      <c r="AG184" s="540" t="str">
        <f t="shared" si="22"/>
        <v/>
      </c>
      <c r="AH184" s="499" t="str">
        <f t="shared" si="16"/>
        <v/>
      </c>
      <c r="AI184" s="145"/>
      <c r="AJ184" s="499" t="str">
        <f>IF(AI184="","",IF(VLOOKUP(AI184,'G-7 Rivers Data'!$AA$4:$AB$7,2,FALSE)=0,"Spatial Data Missing ⚠",VLOOKUP(AI184,'G-7 Rivers Data'!$AA$4:$AB$7,2,FALSE)))</f>
        <v/>
      </c>
      <c r="AK184" s="155"/>
      <c r="AL184" s="499" t="str">
        <f>IF(AK184="","",IF(VLOOKUP(AK184,'G-7 Rivers Data'!$AD$4:$AE$8,2,FALSE)=0,"Spatial Data Missing ⚠",VLOOKUP(AK184,'G-7 Rivers Data'!$AD$4:$AE$8,2,FALSE)))</f>
        <v/>
      </c>
      <c r="AM184" s="545" t="str">
        <f t="shared" si="23"/>
        <v/>
      </c>
      <c r="AN184" s="149"/>
      <c r="AO184" s="150"/>
      <c r="AV184" s="31" t="str">
        <f>IFERROR(INDEX('G-7 Rivers Data'!$AZ$3:$AZ$7,MATCH(N184,'G-7 Rivers Data'!$AY$3:$AY$7,0)),"")</f>
        <v/>
      </c>
    </row>
    <row r="185" spans="2:48" ht="13.8" x14ac:dyDescent="0.25">
      <c r="B185" s="531" t="str">
        <f>'C-1 Site River Baseline'!AN183</f>
        <v/>
      </c>
      <c r="C185" s="520" t="str">
        <f>IF(B185="","",VLOOKUP($B185,'C-1 Site River Baseline'!$C$9:$R$257,2,FALSE))</f>
        <v/>
      </c>
      <c r="D185" s="520" t="str">
        <f>IF(C185="","",VLOOKUP($B185,'C-1 Site River Baseline'!$C$9:$R$257,3,FALSE))</f>
        <v/>
      </c>
      <c r="E185" s="520" t="str">
        <f>IF(D185="","",VLOOKUP($B185,'C-1 Site River Baseline'!$C$9:$R$257,4,FALSE))</f>
        <v/>
      </c>
      <c r="F185" s="520" t="str">
        <f>IF(E185="","",VLOOKUP($B185,'C-1 Site River Baseline'!$C$9:$R$257,5,FALSE))</f>
        <v/>
      </c>
      <c r="G185" s="520" t="str">
        <f>IF(F185="","",VLOOKUP($B185,'C-1 Site River Baseline'!$C$9:$R$257,6,FALSE))</f>
        <v/>
      </c>
      <c r="H185" s="520" t="str">
        <f>IF(G185="","",VLOOKUP($B185,'C-1 Site River Baseline'!$C$9:$R$257,7,FALSE))</f>
        <v/>
      </c>
      <c r="I185" s="520" t="str">
        <f>IF(H185="","",VLOOKUP($B185,'C-1 Site River Baseline'!$C$9:$R$257,8,FALSE))</f>
        <v/>
      </c>
      <c r="J185" s="520" t="str">
        <f>IF(I185="","",VLOOKUP($B185,'C-1 Site River Baseline'!$C$9:$R$257,9,FALSE))</f>
        <v/>
      </c>
      <c r="K185" s="520" t="str">
        <f>IF(J185="","",VLOOKUP($B185,'C-1 Site River Baseline'!$C$9:$R$257,10,FALSE))</f>
        <v/>
      </c>
      <c r="L185" s="520" t="str">
        <f>IF(B185="","",VLOOKUP($B185,'C-1 Site River Baseline'!$C$9:$R$257,15,FALSE))</f>
        <v/>
      </c>
      <c r="M185" s="524" t="str">
        <f>IF(L185="","",VLOOKUP($B185,'C-1 Site River Baseline'!$C$9:$R$257,16,FALSE))</f>
        <v/>
      </c>
      <c r="N185" s="418" t="str">
        <f t="shared" si="17"/>
        <v/>
      </c>
      <c r="O185" s="498" t="str">
        <f t="shared" si="18"/>
        <v/>
      </c>
      <c r="P185" s="499" t="str">
        <f>IF(C185="","",IF(AND(LEFT(C185,55)&lt;&gt;LEFT(N185,55),O185="High - High"),"Error - Not like for like ▲",IF(AND(F185=S185,H185&gt;U185),"Error - Can not reduce condition ▲",IF(AND(F185=S185,H185=U185,AJ185='C-1 Site River Baseline'!N183,'C-1 Site River Baseline'!P183=AL185),"Error - No enhancement ▲",IF(AND(C185&lt;&gt;N185,F185&lt;S185),"Lower Distinctiveness Habitat"&amp;" - "&amp;T185,G185&amp;" - "&amp;T185)))))</f>
        <v/>
      </c>
      <c r="Q185" s="567" t="str">
        <f>IF(N185="","",VLOOKUP(B185,'C-1 Site River Baseline'!$C$10:$AA$257,19,FALSE))</f>
        <v/>
      </c>
      <c r="R185" s="498" t="str">
        <f>IF(N185="","",VLOOKUP(N185,'G-7 Rivers Data'!$B$2:$G$8,2,FALSE))</f>
        <v/>
      </c>
      <c r="S185" s="499" t="str">
        <f>IFERROR(VLOOKUP(R185,'G-7 Rivers Data'!$C$4:$D$8,2,FALSE),"")</f>
        <v/>
      </c>
      <c r="T185" s="145"/>
      <c r="U185" s="499" t="str">
        <f>IFERROR(INDEX('G-7 Rivers Data'!$H$4:$L$8,MATCH(N185,'G-7 Rivers Data'!$B$4:$B$8,0),MATCH(T185,'G-7 Rivers Data'!$H$3:$L$3,0)),"")</f>
        <v/>
      </c>
      <c r="V185" s="154"/>
      <c r="W185" s="507" t="str">
        <f>IF(V185="","",IF(VLOOKUP(V185,'G-7 Rivers Data'!$AG$4:$AI$9,2,FALSE)=0,"Spatial Data Missing ⚠",VLOOKUP(V185,'G-7 Rivers Data'!$AG$4:$AI$9,2,FALSE)))</f>
        <v/>
      </c>
      <c r="X185" s="499" t="str">
        <f>IF(V185="","",IF(VLOOKUP(V185,'G-7 Rivers Data'!$AG$4:$AI$9,3,FALSE)=0,"Spatial Data Missing ⚠",VLOOKUP(V185,'G-7 Rivers Data'!$AG$4:$AI$9,3,FALSE)))</f>
        <v/>
      </c>
      <c r="Y185" s="498" t="str">
        <f>IFERROR(IF(OR(LEFT(P185,5)="Error ▲",LEFT(O185,5)="Error ▲"),"Check Data ⚠",IF(F185&lt;S185,'G-7 Rivers Data'!$R$3,INDEX('G-7 Rivers Data'!$U$5:$Y$9,MATCH(G185,'G-7 Rivers Data'!$T$5:$T$9,0),MATCH(T185,'G-7 Rivers Data'!$U$4:$Y$4,0)))),"")</f>
        <v/>
      </c>
      <c r="Z185" s="195"/>
      <c r="AA185" s="195"/>
      <c r="AB185" s="507" t="str">
        <f t="shared" si="19"/>
        <v/>
      </c>
      <c r="AC185" s="521" t="str">
        <f t="shared" si="20"/>
        <v/>
      </c>
      <c r="AD185" s="564" t="str">
        <f>IFERROR(IF(AC185="Check Data ⚠","Check Data ⚠",VLOOKUP(AC185,'G-4 Temporal multipliers'!$A$4:$C$37,3,FALSE)),"")</f>
        <v/>
      </c>
      <c r="AE185" s="498" t="str">
        <f>IF(N185="","",VLOOKUP(N185,'G-7 Rivers Data'!$B$4:$G$8,5,FALSE))</f>
        <v/>
      </c>
      <c r="AF185" s="507" t="str">
        <f t="shared" si="21"/>
        <v/>
      </c>
      <c r="AG185" s="540" t="str">
        <f t="shared" si="22"/>
        <v/>
      </c>
      <c r="AH185" s="499" t="str">
        <f t="shared" si="16"/>
        <v/>
      </c>
      <c r="AI185" s="145"/>
      <c r="AJ185" s="499" t="str">
        <f>IF(AI185="","",IF(VLOOKUP(AI185,'G-7 Rivers Data'!$AA$4:$AB$7,2,FALSE)=0,"Spatial Data Missing ⚠",VLOOKUP(AI185,'G-7 Rivers Data'!$AA$4:$AB$7,2,FALSE)))</f>
        <v/>
      </c>
      <c r="AK185" s="155"/>
      <c r="AL185" s="499" t="str">
        <f>IF(AK185="","",IF(VLOOKUP(AK185,'G-7 Rivers Data'!$AD$4:$AE$8,2,FALSE)=0,"Spatial Data Missing ⚠",VLOOKUP(AK185,'G-7 Rivers Data'!$AD$4:$AE$8,2,FALSE)))</f>
        <v/>
      </c>
      <c r="AM185" s="545" t="str">
        <f t="shared" si="23"/>
        <v/>
      </c>
      <c r="AN185" s="149"/>
      <c r="AO185" s="150"/>
      <c r="AV185" s="31" t="str">
        <f>IFERROR(INDEX('G-7 Rivers Data'!$AZ$3:$AZ$7,MATCH(N185,'G-7 Rivers Data'!$AY$3:$AY$7,0)),"")</f>
        <v/>
      </c>
    </row>
    <row r="186" spans="2:48" ht="13.8" x14ac:dyDescent="0.25">
      <c r="B186" s="531" t="str">
        <f>'C-1 Site River Baseline'!AN184</f>
        <v/>
      </c>
      <c r="C186" s="520" t="str">
        <f>IF(B186="","",VLOOKUP($B186,'C-1 Site River Baseline'!$C$9:$R$257,2,FALSE))</f>
        <v/>
      </c>
      <c r="D186" s="520" t="str">
        <f>IF(C186="","",VLOOKUP($B186,'C-1 Site River Baseline'!$C$9:$R$257,3,FALSE))</f>
        <v/>
      </c>
      <c r="E186" s="520" t="str">
        <f>IF(D186="","",VLOOKUP($B186,'C-1 Site River Baseline'!$C$9:$R$257,4,FALSE))</f>
        <v/>
      </c>
      <c r="F186" s="520" t="str">
        <f>IF(E186="","",VLOOKUP($B186,'C-1 Site River Baseline'!$C$9:$R$257,5,FALSE))</f>
        <v/>
      </c>
      <c r="G186" s="520" t="str">
        <f>IF(F186="","",VLOOKUP($B186,'C-1 Site River Baseline'!$C$9:$R$257,6,FALSE))</f>
        <v/>
      </c>
      <c r="H186" s="520" t="str">
        <f>IF(G186="","",VLOOKUP($B186,'C-1 Site River Baseline'!$C$9:$R$257,7,FALSE))</f>
        <v/>
      </c>
      <c r="I186" s="520" t="str">
        <f>IF(H186="","",VLOOKUP($B186,'C-1 Site River Baseline'!$C$9:$R$257,8,FALSE))</f>
        <v/>
      </c>
      <c r="J186" s="520" t="str">
        <f>IF(I186="","",VLOOKUP($B186,'C-1 Site River Baseline'!$C$9:$R$257,9,FALSE))</f>
        <v/>
      </c>
      <c r="K186" s="520" t="str">
        <f>IF(J186="","",VLOOKUP($B186,'C-1 Site River Baseline'!$C$9:$R$257,10,FALSE))</f>
        <v/>
      </c>
      <c r="L186" s="520" t="str">
        <f>IF(B186="","",VLOOKUP($B186,'C-1 Site River Baseline'!$C$9:$R$257,15,FALSE))</f>
        <v/>
      </c>
      <c r="M186" s="524" t="str">
        <f>IF(L186="","",VLOOKUP($B186,'C-1 Site River Baseline'!$C$9:$R$257,16,FALSE))</f>
        <v/>
      </c>
      <c r="N186" s="418" t="str">
        <f t="shared" si="17"/>
        <v/>
      </c>
      <c r="O186" s="498" t="str">
        <f t="shared" si="18"/>
        <v/>
      </c>
      <c r="P186" s="499" t="str">
        <f>IF(C186="","",IF(AND(LEFT(C186,55)&lt;&gt;LEFT(N186,55),O186="High - High"),"Error - Not like for like ▲",IF(AND(F186=S186,H186&gt;U186),"Error - Can not reduce condition ▲",IF(AND(F186=S186,H186=U186,AJ186='C-1 Site River Baseline'!N184,'C-1 Site River Baseline'!P184=AL186),"Error - No enhancement ▲",IF(AND(C186&lt;&gt;N186,F186&lt;S186),"Lower Distinctiveness Habitat"&amp;" - "&amp;T186,G186&amp;" - "&amp;T186)))))</f>
        <v/>
      </c>
      <c r="Q186" s="567" t="str">
        <f>IF(N186="","",VLOOKUP(B186,'C-1 Site River Baseline'!$C$10:$AA$257,19,FALSE))</f>
        <v/>
      </c>
      <c r="R186" s="498" t="str">
        <f>IF(N186="","",VLOOKUP(N186,'G-7 Rivers Data'!$B$2:$G$8,2,FALSE))</f>
        <v/>
      </c>
      <c r="S186" s="499" t="str">
        <f>IFERROR(VLOOKUP(R186,'G-7 Rivers Data'!$C$4:$D$8,2,FALSE),"")</f>
        <v/>
      </c>
      <c r="T186" s="145"/>
      <c r="U186" s="499" t="str">
        <f>IFERROR(INDEX('G-7 Rivers Data'!$H$4:$L$8,MATCH(N186,'G-7 Rivers Data'!$B$4:$B$8,0),MATCH(T186,'G-7 Rivers Data'!$H$3:$L$3,0)),"")</f>
        <v/>
      </c>
      <c r="V186" s="154"/>
      <c r="W186" s="507" t="str">
        <f>IF(V186="","",IF(VLOOKUP(V186,'G-7 Rivers Data'!$AG$4:$AI$9,2,FALSE)=0,"Spatial Data Missing ⚠",VLOOKUP(V186,'G-7 Rivers Data'!$AG$4:$AI$9,2,FALSE)))</f>
        <v/>
      </c>
      <c r="X186" s="499" t="str">
        <f>IF(V186="","",IF(VLOOKUP(V186,'G-7 Rivers Data'!$AG$4:$AI$9,3,FALSE)=0,"Spatial Data Missing ⚠",VLOOKUP(V186,'G-7 Rivers Data'!$AG$4:$AI$9,3,FALSE)))</f>
        <v/>
      </c>
      <c r="Y186" s="498" t="str">
        <f>IFERROR(IF(OR(LEFT(P186,5)="Error ▲",LEFT(O186,5)="Error ▲"),"Check Data ⚠",IF(F186&lt;S186,'G-7 Rivers Data'!$R$3,INDEX('G-7 Rivers Data'!$U$5:$Y$9,MATCH(G186,'G-7 Rivers Data'!$T$5:$T$9,0),MATCH(T186,'G-7 Rivers Data'!$U$4:$Y$4,0)))),"")</f>
        <v/>
      </c>
      <c r="Z186" s="195"/>
      <c r="AA186" s="195"/>
      <c r="AB186" s="507" t="str">
        <f t="shared" si="19"/>
        <v/>
      </c>
      <c r="AC186" s="521" t="str">
        <f t="shared" si="20"/>
        <v/>
      </c>
      <c r="AD186" s="564" t="str">
        <f>IFERROR(IF(AC186="Check Data ⚠","Check Data ⚠",VLOOKUP(AC186,'G-4 Temporal multipliers'!$A$4:$C$37,3,FALSE)),"")</f>
        <v/>
      </c>
      <c r="AE186" s="498" t="str">
        <f>IF(N186="","",VLOOKUP(N186,'G-7 Rivers Data'!$B$4:$G$8,5,FALSE))</f>
        <v/>
      </c>
      <c r="AF186" s="507" t="str">
        <f t="shared" si="21"/>
        <v/>
      </c>
      <c r="AG186" s="540" t="str">
        <f t="shared" si="22"/>
        <v/>
      </c>
      <c r="AH186" s="499" t="str">
        <f t="shared" si="16"/>
        <v/>
      </c>
      <c r="AI186" s="145"/>
      <c r="AJ186" s="499" t="str">
        <f>IF(AI186="","",IF(VLOOKUP(AI186,'G-7 Rivers Data'!$AA$4:$AB$7,2,FALSE)=0,"Spatial Data Missing ⚠",VLOOKUP(AI186,'G-7 Rivers Data'!$AA$4:$AB$7,2,FALSE)))</f>
        <v/>
      </c>
      <c r="AK186" s="155"/>
      <c r="AL186" s="499" t="str">
        <f>IF(AK186="","",IF(VLOOKUP(AK186,'G-7 Rivers Data'!$AD$4:$AE$8,2,FALSE)=0,"Spatial Data Missing ⚠",VLOOKUP(AK186,'G-7 Rivers Data'!$AD$4:$AE$8,2,FALSE)))</f>
        <v/>
      </c>
      <c r="AM186" s="545" t="str">
        <f t="shared" si="23"/>
        <v/>
      </c>
      <c r="AN186" s="149"/>
      <c r="AO186" s="150"/>
      <c r="AV186" s="31" t="str">
        <f>IFERROR(INDEX('G-7 Rivers Data'!$AZ$3:$AZ$7,MATCH(N186,'G-7 Rivers Data'!$AY$3:$AY$7,0)),"")</f>
        <v/>
      </c>
    </row>
    <row r="187" spans="2:48" ht="13.8" x14ac:dyDescent="0.25">
      <c r="B187" s="531" t="str">
        <f>'C-1 Site River Baseline'!AN185</f>
        <v/>
      </c>
      <c r="C187" s="520" t="str">
        <f>IF(B187="","",VLOOKUP($B187,'C-1 Site River Baseline'!$C$9:$R$257,2,FALSE))</f>
        <v/>
      </c>
      <c r="D187" s="520" t="str">
        <f>IF(C187="","",VLOOKUP($B187,'C-1 Site River Baseline'!$C$9:$R$257,3,FALSE))</f>
        <v/>
      </c>
      <c r="E187" s="520" t="str">
        <f>IF(D187="","",VLOOKUP($B187,'C-1 Site River Baseline'!$C$9:$R$257,4,FALSE))</f>
        <v/>
      </c>
      <c r="F187" s="520" t="str">
        <f>IF(E187="","",VLOOKUP($B187,'C-1 Site River Baseline'!$C$9:$R$257,5,FALSE))</f>
        <v/>
      </c>
      <c r="G187" s="520" t="str">
        <f>IF(F187="","",VLOOKUP($B187,'C-1 Site River Baseline'!$C$9:$R$257,6,FALSE))</f>
        <v/>
      </c>
      <c r="H187" s="520" t="str">
        <f>IF(G187="","",VLOOKUP($B187,'C-1 Site River Baseline'!$C$9:$R$257,7,FALSE))</f>
        <v/>
      </c>
      <c r="I187" s="520" t="str">
        <f>IF(H187="","",VLOOKUP($B187,'C-1 Site River Baseline'!$C$9:$R$257,8,FALSE))</f>
        <v/>
      </c>
      <c r="J187" s="520" t="str">
        <f>IF(I187="","",VLOOKUP($B187,'C-1 Site River Baseline'!$C$9:$R$257,9,FALSE))</f>
        <v/>
      </c>
      <c r="K187" s="520" t="str">
        <f>IF(J187="","",VLOOKUP($B187,'C-1 Site River Baseline'!$C$9:$R$257,10,FALSE))</f>
        <v/>
      </c>
      <c r="L187" s="520" t="str">
        <f>IF(B187="","",VLOOKUP($B187,'C-1 Site River Baseline'!$C$9:$R$257,15,FALSE))</f>
        <v/>
      </c>
      <c r="M187" s="524" t="str">
        <f>IF(L187="","",VLOOKUP($B187,'C-1 Site River Baseline'!$C$9:$R$257,16,FALSE))</f>
        <v/>
      </c>
      <c r="N187" s="418" t="str">
        <f t="shared" si="17"/>
        <v/>
      </c>
      <c r="O187" s="498" t="str">
        <f t="shared" si="18"/>
        <v/>
      </c>
      <c r="P187" s="499" t="str">
        <f>IF(C187="","",IF(AND(LEFT(C187,55)&lt;&gt;LEFT(N187,55),O187="High - High"),"Error - Not like for like ▲",IF(AND(F187=S187,H187&gt;U187),"Error - Can not reduce condition ▲",IF(AND(F187=S187,H187=U187,AJ187='C-1 Site River Baseline'!N185,'C-1 Site River Baseline'!P185=AL187),"Error - No enhancement ▲",IF(AND(C187&lt;&gt;N187,F187&lt;S187),"Lower Distinctiveness Habitat"&amp;" - "&amp;T187,G187&amp;" - "&amp;T187)))))</f>
        <v/>
      </c>
      <c r="Q187" s="567" t="str">
        <f>IF(N187="","",VLOOKUP(B187,'C-1 Site River Baseline'!$C$10:$AA$257,19,FALSE))</f>
        <v/>
      </c>
      <c r="R187" s="498" t="str">
        <f>IF(N187="","",VLOOKUP(N187,'G-7 Rivers Data'!$B$2:$G$8,2,FALSE))</f>
        <v/>
      </c>
      <c r="S187" s="499" t="str">
        <f>IFERROR(VLOOKUP(R187,'G-7 Rivers Data'!$C$4:$D$8,2,FALSE),"")</f>
        <v/>
      </c>
      <c r="T187" s="145"/>
      <c r="U187" s="499" t="str">
        <f>IFERROR(INDEX('G-7 Rivers Data'!$H$4:$L$8,MATCH(N187,'G-7 Rivers Data'!$B$4:$B$8,0),MATCH(T187,'G-7 Rivers Data'!$H$3:$L$3,0)),"")</f>
        <v/>
      </c>
      <c r="V187" s="154"/>
      <c r="W187" s="507" t="str">
        <f>IF(V187="","",IF(VLOOKUP(V187,'G-7 Rivers Data'!$AG$4:$AI$9,2,FALSE)=0,"Spatial Data Missing ⚠",VLOOKUP(V187,'G-7 Rivers Data'!$AG$4:$AI$9,2,FALSE)))</f>
        <v/>
      </c>
      <c r="X187" s="499" t="str">
        <f>IF(V187="","",IF(VLOOKUP(V187,'G-7 Rivers Data'!$AG$4:$AI$9,3,FALSE)=0,"Spatial Data Missing ⚠",VLOOKUP(V187,'G-7 Rivers Data'!$AG$4:$AI$9,3,FALSE)))</f>
        <v/>
      </c>
      <c r="Y187" s="498" t="str">
        <f>IFERROR(IF(OR(LEFT(P187,5)="Error ▲",LEFT(O187,5)="Error ▲"),"Check Data ⚠",IF(F187&lt;S187,'G-7 Rivers Data'!$R$3,INDEX('G-7 Rivers Data'!$U$5:$Y$9,MATCH(G187,'G-7 Rivers Data'!$T$5:$T$9,0),MATCH(T187,'G-7 Rivers Data'!$U$4:$Y$4,0)))),"")</f>
        <v/>
      </c>
      <c r="Z187" s="195"/>
      <c r="AA187" s="195"/>
      <c r="AB187" s="507" t="str">
        <f t="shared" si="19"/>
        <v/>
      </c>
      <c r="AC187" s="521" t="str">
        <f t="shared" si="20"/>
        <v/>
      </c>
      <c r="AD187" s="564" t="str">
        <f>IFERROR(IF(AC187="Check Data ⚠","Check Data ⚠",VLOOKUP(AC187,'G-4 Temporal multipliers'!$A$4:$C$37,3,FALSE)),"")</f>
        <v/>
      </c>
      <c r="AE187" s="498" t="str">
        <f>IF(N187="","",VLOOKUP(N187,'G-7 Rivers Data'!$B$4:$G$8,5,FALSE))</f>
        <v/>
      </c>
      <c r="AF187" s="507" t="str">
        <f t="shared" si="21"/>
        <v/>
      </c>
      <c r="AG187" s="540" t="str">
        <f t="shared" si="22"/>
        <v/>
      </c>
      <c r="AH187" s="499" t="str">
        <f t="shared" si="16"/>
        <v/>
      </c>
      <c r="AI187" s="145"/>
      <c r="AJ187" s="499" t="str">
        <f>IF(AI187="","",IF(VLOOKUP(AI187,'G-7 Rivers Data'!$AA$4:$AB$7,2,FALSE)=0,"Spatial Data Missing ⚠",VLOOKUP(AI187,'G-7 Rivers Data'!$AA$4:$AB$7,2,FALSE)))</f>
        <v/>
      </c>
      <c r="AK187" s="155"/>
      <c r="AL187" s="499" t="str">
        <f>IF(AK187="","",IF(VLOOKUP(AK187,'G-7 Rivers Data'!$AD$4:$AE$8,2,FALSE)=0,"Spatial Data Missing ⚠",VLOOKUP(AK187,'G-7 Rivers Data'!$AD$4:$AE$8,2,FALSE)))</f>
        <v/>
      </c>
      <c r="AM187" s="545" t="str">
        <f t="shared" si="23"/>
        <v/>
      </c>
      <c r="AN187" s="149"/>
      <c r="AO187" s="150"/>
      <c r="AV187" s="31" t="str">
        <f>IFERROR(INDEX('G-7 Rivers Data'!$AZ$3:$AZ$7,MATCH(N187,'G-7 Rivers Data'!$AY$3:$AY$7,0)),"")</f>
        <v/>
      </c>
    </row>
    <row r="188" spans="2:48" ht="13.8" x14ac:dyDescent="0.25">
      <c r="B188" s="531" t="str">
        <f>'C-1 Site River Baseline'!AN186</f>
        <v/>
      </c>
      <c r="C188" s="520" t="str">
        <f>IF(B188="","",VLOOKUP($B188,'C-1 Site River Baseline'!$C$9:$R$257,2,FALSE))</f>
        <v/>
      </c>
      <c r="D188" s="520" t="str">
        <f>IF(C188="","",VLOOKUP($B188,'C-1 Site River Baseline'!$C$9:$R$257,3,FALSE))</f>
        <v/>
      </c>
      <c r="E188" s="520" t="str">
        <f>IF(D188="","",VLOOKUP($B188,'C-1 Site River Baseline'!$C$9:$R$257,4,FALSE))</f>
        <v/>
      </c>
      <c r="F188" s="520" t="str">
        <f>IF(E188="","",VLOOKUP($B188,'C-1 Site River Baseline'!$C$9:$R$257,5,FALSE))</f>
        <v/>
      </c>
      <c r="G188" s="520" t="str">
        <f>IF(F188="","",VLOOKUP($B188,'C-1 Site River Baseline'!$C$9:$R$257,6,FALSE))</f>
        <v/>
      </c>
      <c r="H188" s="520" t="str">
        <f>IF(G188="","",VLOOKUP($B188,'C-1 Site River Baseline'!$C$9:$R$257,7,FALSE))</f>
        <v/>
      </c>
      <c r="I188" s="520" t="str">
        <f>IF(H188="","",VLOOKUP($B188,'C-1 Site River Baseline'!$C$9:$R$257,8,FALSE))</f>
        <v/>
      </c>
      <c r="J188" s="520" t="str">
        <f>IF(I188="","",VLOOKUP($B188,'C-1 Site River Baseline'!$C$9:$R$257,9,FALSE))</f>
        <v/>
      </c>
      <c r="K188" s="520" t="str">
        <f>IF(J188="","",VLOOKUP($B188,'C-1 Site River Baseline'!$C$9:$R$257,10,FALSE))</f>
        <v/>
      </c>
      <c r="L188" s="520" t="str">
        <f>IF(B188="","",VLOOKUP($B188,'C-1 Site River Baseline'!$C$9:$R$257,15,FALSE))</f>
        <v/>
      </c>
      <c r="M188" s="524" t="str">
        <f>IF(L188="","",VLOOKUP($B188,'C-1 Site River Baseline'!$C$9:$R$257,16,FALSE))</f>
        <v/>
      </c>
      <c r="N188" s="418" t="str">
        <f t="shared" si="17"/>
        <v/>
      </c>
      <c r="O188" s="498" t="str">
        <f t="shared" si="18"/>
        <v/>
      </c>
      <c r="P188" s="499" t="str">
        <f>IF(C188="","",IF(AND(LEFT(C188,55)&lt;&gt;LEFT(N188,55),O188="High - High"),"Error - Not like for like ▲",IF(AND(F188=S188,H188&gt;U188),"Error - Can not reduce condition ▲",IF(AND(F188=S188,H188=U188,AJ188='C-1 Site River Baseline'!N186,'C-1 Site River Baseline'!P186=AL188),"Error - No enhancement ▲",IF(AND(C188&lt;&gt;N188,F188&lt;S188),"Lower Distinctiveness Habitat"&amp;" - "&amp;T188,G188&amp;" - "&amp;T188)))))</f>
        <v/>
      </c>
      <c r="Q188" s="567" t="str">
        <f>IF(N188="","",VLOOKUP(B188,'C-1 Site River Baseline'!$C$10:$AA$257,19,FALSE))</f>
        <v/>
      </c>
      <c r="R188" s="498" t="str">
        <f>IF(N188="","",VLOOKUP(N188,'G-7 Rivers Data'!$B$2:$G$8,2,FALSE))</f>
        <v/>
      </c>
      <c r="S188" s="499" t="str">
        <f>IFERROR(VLOOKUP(R188,'G-7 Rivers Data'!$C$4:$D$8,2,FALSE),"")</f>
        <v/>
      </c>
      <c r="T188" s="145"/>
      <c r="U188" s="499" t="str">
        <f>IFERROR(INDEX('G-7 Rivers Data'!$H$4:$L$8,MATCH(N188,'G-7 Rivers Data'!$B$4:$B$8,0),MATCH(T188,'G-7 Rivers Data'!$H$3:$L$3,0)),"")</f>
        <v/>
      </c>
      <c r="V188" s="154"/>
      <c r="W188" s="507" t="str">
        <f>IF(V188="","",IF(VLOOKUP(V188,'G-7 Rivers Data'!$AG$4:$AI$9,2,FALSE)=0,"Spatial Data Missing ⚠",VLOOKUP(V188,'G-7 Rivers Data'!$AG$4:$AI$9,2,FALSE)))</f>
        <v/>
      </c>
      <c r="X188" s="499" t="str">
        <f>IF(V188="","",IF(VLOOKUP(V188,'G-7 Rivers Data'!$AG$4:$AI$9,3,FALSE)=0,"Spatial Data Missing ⚠",VLOOKUP(V188,'G-7 Rivers Data'!$AG$4:$AI$9,3,FALSE)))</f>
        <v/>
      </c>
      <c r="Y188" s="498" t="str">
        <f>IFERROR(IF(OR(LEFT(P188,5)="Error ▲",LEFT(O188,5)="Error ▲"),"Check Data ⚠",IF(F188&lt;S188,'G-7 Rivers Data'!$R$3,INDEX('G-7 Rivers Data'!$U$5:$Y$9,MATCH(G188,'G-7 Rivers Data'!$T$5:$T$9,0),MATCH(T188,'G-7 Rivers Data'!$U$4:$Y$4,0)))),"")</f>
        <v/>
      </c>
      <c r="Z188" s="195"/>
      <c r="AA188" s="195"/>
      <c r="AB188" s="507" t="str">
        <f t="shared" si="19"/>
        <v/>
      </c>
      <c r="AC188" s="521" t="str">
        <f t="shared" si="20"/>
        <v/>
      </c>
      <c r="AD188" s="564" t="str">
        <f>IFERROR(IF(AC188="Check Data ⚠","Check Data ⚠",VLOOKUP(AC188,'G-4 Temporal multipliers'!$A$4:$C$37,3,FALSE)),"")</f>
        <v/>
      </c>
      <c r="AE188" s="498" t="str">
        <f>IF(N188="","",VLOOKUP(N188,'G-7 Rivers Data'!$B$4:$G$8,5,FALSE))</f>
        <v/>
      </c>
      <c r="AF188" s="507" t="str">
        <f t="shared" si="21"/>
        <v/>
      </c>
      <c r="AG188" s="540" t="str">
        <f t="shared" si="22"/>
        <v/>
      </c>
      <c r="AH188" s="499" t="str">
        <f t="shared" si="16"/>
        <v/>
      </c>
      <c r="AI188" s="145"/>
      <c r="AJ188" s="499" t="str">
        <f>IF(AI188="","",IF(VLOOKUP(AI188,'G-7 Rivers Data'!$AA$4:$AB$7,2,FALSE)=0,"Spatial Data Missing ⚠",VLOOKUP(AI188,'G-7 Rivers Data'!$AA$4:$AB$7,2,FALSE)))</f>
        <v/>
      </c>
      <c r="AK188" s="155"/>
      <c r="AL188" s="499" t="str">
        <f>IF(AK188="","",IF(VLOOKUP(AK188,'G-7 Rivers Data'!$AD$4:$AE$8,2,FALSE)=0,"Spatial Data Missing ⚠",VLOOKUP(AK188,'G-7 Rivers Data'!$AD$4:$AE$8,2,FALSE)))</f>
        <v/>
      </c>
      <c r="AM188" s="545" t="str">
        <f t="shared" si="23"/>
        <v/>
      </c>
      <c r="AN188" s="149"/>
      <c r="AO188" s="150"/>
      <c r="AV188" s="31" t="str">
        <f>IFERROR(INDEX('G-7 Rivers Data'!$AZ$3:$AZ$7,MATCH(N188,'G-7 Rivers Data'!$AY$3:$AY$7,0)),"")</f>
        <v/>
      </c>
    </row>
    <row r="189" spans="2:48" ht="13.8" x14ac:dyDescent="0.25">
      <c r="B189" s="531" t="str">
        <f>'C-1 Site River Baseline'!AN187</f>
        <v/>
      </c>
      <c r="C189" s="520" t="str">
        <f>IF(B189="","",VLOOKUP($B189,'C-1 Site River Baseline'!$C$9:$R$257,2,FALSE))</f>
        <v/>
      </c>
      <c r="D189" s="520" t="str">
        <f>IF(C189="","",VLOOKUP($B189,'C-1 Site River Baseline'!$C$9:$R$257,3,FALSE))</f>
        <v/>
      </c>
      <c r="E189" s="520" t="str">
        <f>IF(D189="","",VLOOKUP($B189,'C-1 Site River Baseline'!$C$9:$R$257,4,FALSE))</f>
        <v/>
      </c>
      <c r="F189" s="520" t="str">
        <f>IF(E189="","",VLOOKUP($B189,'C-1 Site River Baseline'!$C$9:$R$257,5,FALSE))</f>
        <v/>
      </c>
      <c r="G189" s="520" t="str">
        <f>IF(F189="","",VLOOKUP($B189,'C-1 Site River Baseline'!$C$9:$R$257,6,FALSE))</f>
        <v/>
      </c>
      <c r="H189" s="520" t="str">
        <f>IF(G189="","",VLOOKUP($B189,'C-1 Site River Baseline'!$C$9:$R$257,7,FALSE))</f>
        <v/>
      </c>
      <c r="I189" s="520" t="str">
        <f>IF(H189="","",VLOOKUP($B189,'C-1 Site River Baseline'!$C$9:$R$257,8,FALSE))</f>
        <v/>
      </c>
      <c r="J189" s="520" t="str">
        <f>IF(I189="","",VLOOKUP($B189,'C-1 Site River Baseline'!$C$9:$R$257,9,FALSE))</f>
        <v/>
      </c>
      <c r="K189" s="520" t="str">
        <f>IF(J189="","",VLOOKUP($B189,'C-1 Site River Baseline'!$C$9:$R$257,10,FALSE))</f>
        <v/>
      </c>
      <c r="L189" s="520" t="str">
        <f>IF(B189="","",VLOOKUP($B189,'C-1 Site River Baseline'!$C$9:$R$257,15,FALSE))</f>
        <v/>
      </c>
      <c r="M189" s="524" t="str">
        <f>IF(L189="","",VLOOKUP($B189,'C-1 Site River Baseline'!$C$9:$R$257,16,FALSE))</f>
        <v/>
      </c>
      <c r="N189" s="418" t="str">
        <f t="shared" si="17"/>
        <v/>
      </c>
      <c r="O189" s="498" t="str">
        <f t="shared" si="18"/>
        <v/>
      </c>
      <c r="P189" s="499" t="str">
        <f>IF(C189="","",IF(AND(LEFT(C189,55)&lt;&gt;LEFT(N189,55),O189="High - High"),"Error - Not like for like ▲",IF(AND(F189=S189,H189&gt;U189),"Error - Can not reduce condition ▲",IF(AND(F189=S189,H189=U189,AJ189='C-1 Site River Baseline'!N187,'C-1 Site River Baseline'!P187=AL189),"Error - No enhancement ▲",IF(AND(C189&lt;&gt;N189,F189&lt;S189),"Lower Distinctiveness Habitat"&amp;" - "&amp;T189,G189&amp;" - "&amp;T189)))))</f>
        <v/>
      </c>
      <c r="Q189" s="567" t="str">
        <f>IF(N189="","",VLOOKUP(B189,'C-1 Site River Baseline'!$C$10:$AA$257,19,FALSE))</f>
        <v/>
      </c>
      <c r="R189" s="498" t="str">
        <f>IF(N189="","",VLOOKUP(N189,'G-7 Rivers Data'!$B$2:$G$8,2,FALSE))</f>
        <v/>
      </c>
      <c r="S189" s="499" t="str">
        <f>IFERROR(VLOOKUP(R189,'G-7 Rivers Data'!$C$4:$D$8,2,FALSE),"")</f>
        <v/>
      </c>
      <c r="T189" s="145"/>
      <c r="U189" s="499" t="str">
        <f>IFERROR(INDEX('G-7 Rivers Data'!$H$4:$L$8,MATCH(N189,'G-7 Rivers Data'!$B$4:$B$8,0),MATCH(T189,'G-7 Rivers Data'!$H$3:$L$3,0)),"")</f>
        <v/>
      </c>
      <c r="V189" s="154"/>
      <c r="W189" s="507" t="str">
        <f>IF(V189="","",IF(VLOOKUP(V189,'G-7 Rivers Data'!$AG$4:$AI$9,2,FALSE)=0,"Spatial Data Missing ⚠",VLOOKUP(V189,'G-7 Rivers Data'!$AG$4:$AI$9,2,FALSE)))</f>
        <v/>
      </c>
      <c r="X189" s="499" t="str">
        <f>IF(V189="","",IF(VLOOKUP(V189,'G-7 Rivers Data'!$AG$4:$AI$9,3,FALSE)=0,"Spatial Data Missing ⚠",VLOOKUP(V189,'G-7 Rivers Data'!$AG$4:$AI$9,3,FALSE)))</f>
        <v/>
      </c>
      <c r="Y189" s="498" t="str">
        <f>IFERROR(IF(OR(LEFT(P189,5)="Error ▲",LEFT(O189,5)="Error ▲"),"Check Data ⚠",IF(F189&lt;S189,'G-7 Rivers Data'!$R$3,INDEX('G-7 Rivers Data'!$U$5:$Y$9,MATCH(G189,'G-7 Rivers Data'!$T$5:$T$9,0),MATCH(T189,'G-7 Rivers Data'!$U$4:$Y$4,0)))),"")</f>
        <v/>
      </c>
      <c r="Z189" s="195"/>
      <c r="AA189" s="195"/>
      <c r="AB189" s="507" t="str">
        <f t="shared" si="19"/>
        <v/>
      </c>
      <c r="AC189" s="521" t="str">
        <f t="shared" si="20"/>
        <v/>
      </c>
      <c r="AD189" s="564" t="str">
        <f>IFERROR(IF(AC189="Check Data ⚠","Check Data ⚠",VLOOKUP(AC189,'G-4 Temporal multipliers'!$A$4:$C$37,3,FALSE)),"")</f>
        <v/>
      </c>
      <c r="AE189" s="498" t="str">
        <f>IF(N189="","",VLOOKUP(N189,'G-7 Rivers Data'!$B$4:$G$8,5,FALSE))</f>
        <v/>
      </c>
      <c r="AF189" s="507" t="str">
        <f t="shared" si="21"/>
        <v/>
      </c>
      <c r="AG189" s="540" t="str">
        <f t="shared" si="22"/>
        <v/>
      </c>
      <c r="AH189" s="499" t="str">
        <f t="shared" si="16"/>
        <v/>
      </c>
      <c r="AI189" s="145"/>
      <c r="AJ189" s="499" t="str">
        <f>IF(AI189="","",IF(VLOOKUP(AI189,'G-7 Rivers Data'!$AA$4:$AB$7,2,FALSE)=0,"Spatial Data Missing ⚠",VLOOKUP(AI189,'G-7 Rivers Data'!$AA$4:$AB$7,2,FALSE)))</f>
        <v/>
      </c>
      <c r="AK189" s="155"/>
      <c r="AL189" s="499" t="str">
        <f>IF(AK189="","",IF(VLOOKUP(AK189,'G-7 Rivers Data'!$AD$4:$AE$8,2,FALSE)=0,"Spatial Data Missing ⚠",VLOOKUP(AK189,'G-7 Rivers Data'!$AD$4:$AE$8,2,FALSE)))</f>
        <v/>
      </c>
      <c r="AM189" s="545" t="str">
        <f t="shared" si="23"/>
        <v/>
      </c>
      <c r="AN189" s="149"/>
      <c r="AO189" s="150"/>
      <c r="AV189" s="31" t="str">
        <f>IFERROR(INDEX('G-7 Rivers Data'!$AZ$3:$AZ$7,MATCH(N189,'G-7 Rivers Data'!$AY$3:$AY$7,0)),"")</f>
        <v/>
      </c>
    </row>
    <row r="190" spans="2:48" ht="13.8" x14ac:dyDescent="0.25">
      <c r="B190" s="531" t="str">
        <f>'C-1 Site River Baseline'!AN188</f>
        <v/>
      </c>
      <c r="C190" s="520" t="str">
        <f>IF(B190="","",VLOOKUP($B190,'C-1 Site River Baseline'!$C$9:$R$257,2,FALSE))</f>
        <v/>
      </c>
      <c r="D190" s="520" t="str">
        <f>IF(C190="","",VLOOKUP($B190,'C-1 Site River Baseline'!$C$9:$R$257,3,FALSE))</f>
        <v/>
      </c>
      <c r="E190" s="520" t="str">
        <f>IF(D190="","",VLOOKUP($B190,'C-1 Site River Baseline'!$C$9:$R$257,4,FALSE))</f>
        <v/>
      </c>
      <c r="F190" s="520" t="str">
        <f>IF(E190="","",VLOOKUP($B190,'C-1 Site River Baseline'!$C$9:$R$257,5,FALSE))</f>
        <v/>
      </c>
      <c r="G190" s="520" t="str">
        <f>IF(F190="","",VLOOKUP($B190,'C-1 Site River Baseline'!$C$9:$R$257,6,FALSE))</f>
        <v/>
      </c>
      <c r="H190" s="520" t="str">
        <f>IF(G190="","",VLOOKUP($B190,'C-1 Site River Baseline'!$C$9:$R$257,7,FALSE))</f>
        <v/>
      </c>
      <c r="I190" s="520" t="str">
        <f>IF(H190="","",VLOOKUP($B190,'C-1 Site River Baseline'!$C$9:$R$257,8,FALSE))</f>
        <v/>
      </c>
      <c r="J190" s="520" t="str">
        <f>IF(I190="","",VLOOKUP($B190,'C-1 Site River Baseline'!$C$9:$R$257,9,FALSE))</f>
        <v/>
      </c>
      <c r="K190" s="520" t="str">
        <f>IF(J190="","",VLOOKUP($B190,'C-1 Site River Baseline'!$C$9:$R$257,10,FALSE))</f>
        <v/>
      </c>
      <c r="L190" s="520" t="str">
        <f>IF(B190="","",VLOOKUP($B190,'C-1 Site River Baseline'!$C$9:$R$257,15,FALSE))</f>
        <v/>
      </c>
      <c r="M190" s="524" t="str">
        <f>IF(L190="","",VLOOKUP($B190,'C-1 Site River Baseline'!$C$9:$R$257,16,FALSE))</f>
        <v/>
      </c>
      <c r="N190" s="418" t="str">
        <f t="shared" si="17"/>
        <v/>
      </c>
      <c r="O190" s="498" t="str">
        <f t="shared" si="18"/>
        <v/>
      </c>
      <c r="P190" s="499" t="str">
        <f>IF(C190="","",IF(AND(LEFT(C190,55)&lt;&gt;LEFT(N190,55),O190="High - High"),"Error - Not like for like ▲",IF(AND(F190=S190,H190&gt;U190),"Error - Can not reduce condition ▲",IF(AND(F190=S190,H190=U190,AJ190='C-1 Site River Baseline'!N188,'C-1 Site River Baseline'!P188=AL190),"Error - No enhancement ▲",IF(AND(C190&lt;&gt;N190,F190&lt;S190),"Lower Distinctiveness Habitat"&amp;" - "&amp;T190,G190&amp;" - "&amp;T190)))))</f>
        <v/>
      </c>
      <c r="Q190" s="567" t="str">
        <f>IF(N190="","",VLOOKUP(B190,'C-1 Site River Baseline'!$C$10:$AA$257,19,FALSE))</f>
        <v/>
      </c>
      <c r="R190" s="498" t="str">
        <f>IF(N190="","",VLOOKUP(N190,'G-7 Rivers Data'!$B$2:$G$8,2,FALSE))</f>
        <v/>
      </c>
      <c r="S190" s="499" t="str">
        <f>IFERROR(VLOOKUP(R190,'G-7 Rivers Data'!$C$4:$D$8,2,FALSE),"")</f>
        <v/>
      </c>
      <c r="T190" s="145"/>
      <c r="U190" s="499" t="str">
        <f>IFERROR(INDEX('G-7 Rivers Data'!$H$4:$L$8,MATCH(N190,'G-7 Rivers Data'!$B$4:$B$8,0),MATCH(T190,'G-7 Rivers Data'!$H$3:$L$3,0)),"")</f>
        <v/>
      </c>
      <c r="V190" s="154"/>
      <c r="W190" s="507" t="str">
        <f>IF(V190="","",IF(VLOOKUP(V190,'G-7 Rivers Data'!$AG$4:$AI$9,2,FALSE)=0,"Spatial Data Missing ⚠",VLOOKUP(V190,'G-7 Rivers Data'!$AG$4:$AI$9,2,FALSE)))</f>
        <v/>
      </c>
      <c r="X190" s="499" t="str">
        <f>IF(V190="","",IF(VLOOKUP(V190,'G-7 Rivers Data'!$AG$4:$AI$9,3,FALSE)=0,"Spatial Data Missing ⚠",VLOOKUP(V190,'G-7 Rivers Data'!$AG$4:$AI$9,3,FALSE)))</f>
        <v/>
      </c>
      <c r="Y190" s="498" t="str">
        <f>IFERROR(IF(OR(LEFT(P190,5)="Error ▲",LEFT(O190,5)="Error ▲"),"Check Data ⚠",IF(F190&lt;S190,'G-7 Rivers Data'!$R$3,INDEX('G-7 Rivers Data'!$U$5:$Y$9,MATCH(G190,'G-7 Rivers Data'!$T$5:$T$9,0),MATCH(T190,'G-7 Rivers Data'!$U$4:$Y$4,0)))),"")</f>
        <v/>
      </c>
      <c r="Z190" s="195"/>
      <c r="AA190" s="195"/>
      <c r="AB190" s="507" t="str">
        <f t="shared" si="19"/>
        <v/>
      </c>
      <c r="AC190" s="521" t="str">
        <f t="shared" si="20"/>
        <v/>
      </c>
      <c r="AD190" s="564" t="str">
        <f>IFERROR(IF(AC190="Check Data ⚠","Check Data ⚠",VLOOKUP(AC190,'G-4 Temporal multipliers'!$A$4:$C$37,3,FALSE)),"")</f>
        <v/>
      </c>
      <c r="AE190" s="498" t="str">
        <f>IF(N190="","",VLOOKUP(N190,'G-7 Rivers Data'!$B$4:$G$8,5,FALSE))</f>
        <v/>
      </c>
      <c r="AF190" s="507" t="str">
        <f t="shared" si="21"/>
        <v/>
      </c>
      <c r="AG190" s="540" t="str">
        <f t="shared" si="22"/>
        <v/>
      </c>
      <c r="AH190" s="499" t="str">
        <f t="shared" si="16"/>
        <v/>
      </c>
      <c r="AI190" s="145"/>
      <c r="AJ190" s="499" t="str">
        <f>IF(AI190="","",IF(VLOOKUP(AI190,'G-7 Rivers Data'!$AA$4:$AB$7,2,FALSE)=0,"Spatial Data Missing ⚠",VLOOKUP(AI190,'G-7 Rivers Data'!$AA$4:$AB$7,2,FALSE)))</f>
        <v/>
      </c>
      <c r="AK190" s="155"/>
      <c r="AL190" s="499" t="str">
        <f>IF(AK190="","",IF(VLOOKUP(AK190,'G-7 Rivers Data'!$AD$4:$AE$8,2,FALSE)=0,"Spatial Data Missing ⚠",VLOOKUP(AK190,'G-7 Rivers Data'!$AD$4:$AE$8,2,FALSE)))</f>
        <v/>
      </c>
      <c r="AM190" s="545" t="str">
        <f t="shared" si="23"/>
        <v/>
      </c>
      <c r="AN190" s="149"/>
      <c r="AO190" s="150"/>
      <c r="AV190" s="31" t="str">
        <f>IFERROR(INDEX('G-7 Rivers Data'!$AZ$3:$AZ$7,MATCH(N190,'G-7 Rivers Data'!$AY$3:$AY$7,0)),"")</f>
        <v/>
      </c>
    </row>
    <row r="191" spans="2:48" ht="13.8" x14ac:dyDescent="0.25">
      <c r="B191" s="531" t="str">
        <f>'C-1 Site River Baseline'!AN189</f>
        <v/>
      </c>
      <c r="C191" s="520" t="str">
        <f>IF(B191="","",VLOOKUP($B191,'C-1 Site River Baseline'!$C$9:$R$257,2,FALSE))</f>
        <v/>
      </c>
      <c r="D191" s="520" t="str">
        <f>IF(C191="","",VLOOKUP($B191,'C-1 Site River Baseline'!$C$9:$R$257,3,FALSE))</f>
        <v/>
      </c>
      <c r="E191" s="520" t="str">
        <f>IF(D191="","",VLOOKUP($B191,'C-1 Site River Baseline'!$C$9:$R$257,4,FALSE))</f>
        <v/>
      </c>
      <c r="F191" s="520" t="str">
        <f>IF(E191="","",VLOOKUP($B191,'C-1 Site River Baseline'!$C$9:$R$257,5,FALSE))</f>
        <v/>
      </c>
      <c r="G191" s="520" t="str">
        <f>IF(F191="","",VLOOKUP($B191,'C-1 Site River Baseline'!$C$9:$R$257,6,FALSE))</f>
        <v/>
      </c>
      <c r="H191" s="520" t="str">
        <f>IF(G191="","",VLOOKUP($B191,'C-1 Site River Baseline'!$C$9:$R$257,7,FALSE))</f>
        <v/>
      </c>
      <c r="I191" s="520" t="str">
        <f>IF(H191="","",VLOOKUP($B191,'C-1 Site River Baseline'!$C$9:$R$257,8,FALSE))</f>
        <v/>
      </c>
      <c r="J191" s="520" t="str">
        <f>IF(I191="","",VLOOKUP($B191,'C-1 Site River Baseline'!$C$9:$R$257,9,FALSE))</f>
        <v/>
      </c>
      <c r="K191" s="520" t="str">
        <f>IF(J191="","",VLOOKUP($B191,'C-1 Site River Baseline'!$C$9:$R$257,10,FALSE))</f>
        <v/>
      </c>
      <c r="L191" s="520" t="str">
        <f>IF(B191="","",VLOOKUP($B191,'C-1 Site River Baseline'!$C$9:$R$257,15,FALSE))</f>
        <v/>
      </c>
      <c r="M191" s="524" t="str">
        <f>IF(L191="","",VLOOKUP($B191,'C-1 Site River Baseline'!$C$9:$R$257,16,FALSE))</f>
        <v/>
      </c>
      <c r="N191" s="418" t="str">
        <f t="shared" si="17"/>
        <v/>
      </c>
      <c r="O191" s="498" t="str">
        <f t="shared" si="18"/>
        <v/>
      </c>
      <c r="P191" s="499" t="str">
        <f>IF(C191="","",IF(AND(LEFT(C191,55)&lt;&gt;LEFT(N191,55),O191="High - High"),"Error - Not like for like ▲",IF(AND(F191=S191,H191&gt;U191),"Error - Can not reduce condition ▲",IF(AND(F191=S191,H191=U191,AJ191='C-1 Site River Baseline'!N189,'C-1 Site River Baseline'!P189=AL191),"Error - No enhancement ▲",IF(AND(C191&lt;&gt;N191,F191&lt;S191),"Lower Distinctiveness Habitat"&amp;" - "&amp;T191,G191&amp;" - "&amp;T191)))))</f>
        <v/>
      </c>
      <c r="Q191" s="567" t="str">
        <f>IF(N191="","",VLOOKUP(B191,'C-1 Site River Baseline'!$C$10:$AA$257,19,FALSE))</f>
        <v/>
      </c>
      <c r="R191" s="498" t="str">
        <f>IF(N191="","",VLOOKUP(N191,'G-7 Rivers Data'!$B$2:$G$8,2,FALSE))</f>
        <v/>
      </c>
      <c r="S191" s="499" t="str">
        <f>IFERROR(VLOOKUP(R191,'G-7 Rivers Data'!$C$4:$D$8,2,FALSE),"")</f>
        <v/>
      </c>
      <c r="T191" s="145"/>
      <c r="U191" s="499" t="str">
        <f>IFERROR(INDEX('G-7 Rivers Data'!$H$4:$L$8,MATCH(N191,'G-7 Rivers Data'!$B$4:$B$8,0),MATCH(T191,'G-7 Rivers Data'!$H$3:$L$3,0)),"")</f>
        <v/>
      </c>
      <c r="V191" s="154"/>
      <c r="W191" s="507" t="str">
        <f>IF(V191="","",IF(VLOOKUP(V191,'G-7 Rivers Data'!$AG$4:$AI$9,2,FALSE)=0,"Spatial Data Missing ⚠",VLOOKUP(V191,'G-7 Rivers Data'!$AG$4:$AI$9,2,FALSE)))</f>
        <v/>
      </c>
      <c r="X191" s="499" t="str">
        <f>IF(V191="","",IF(VLOOKUP(V191,'G-7 Rivers Data'!$AG$4:$AI$9,3,FALSE)=0,"Spatial Data Missing ⚠",VLOOKUP(V191,'G-7 Rivers Data'!$AG$4:$AI$9,3,FALSE)))</f>
        <v/>
      </c>
      <c r="Y191" s="498" t="str">
        <f>IFERROR(IF(OR(LEFT(P191,5)="Error ▲",LEFT(O191,5)="Error ▲"),"Check Data ⚠",IF(F191&lt;S191,'G-7 Rivers Data'!$R$3,INDEX('G-7 Rivers Data'!$U$5:$Y$9,MATCH(G191,'G-7 Rivers Data'!$T$5:$T$9,0),MATCH(T191,'G-7 Rivers Data'!$U$4:$Y$4,0)))),"")</f>
        <v/>
      </c>
      <c r="Z191" s="195"/>
      <c r="AA191" s="195"/>
      <c r="AB191" s="507" t="str">
        <f t="shared" si="19"/>
        <v/>
      </c>
      <c r="AC191" s="521" t="str">
        <f t="shared" si="20"/>
        <v/>
      </c>
      <c r="AD191" s="564" t="str">
        <f>IFERROR(IF(AC191="Check Data ⚠","Check Data ⚠",VLOOKUP(AC191,'G-4 Temporal multipliers'!$A$4:$C$37,3,FALSE)),"")</f>
        <v/>
      </c>
      <c r="AE191" s="498" t="str">
        <f>IF(N191="","",VLOOKUP(N191,'G-7 Rivers Data'!$B$4:$G$8,5,FALSE))</f>
        <v/>
      </c>
      <c r="AF191" s="507" t="str">
        <f t="shared" si="21"/>
        <v/>
      </c>
      <c r="AG191" s="540" t="str">
        <f t="shared" si="22"/>
        <v/>
      </c>
      <c r="AH191" s="499" t="str">
        <f t="shared" si="16"/>
        <v/>
      </c>
      <c r="AI191" s="145"/>
      <c r="AJ191" s="499" t="str">
        <f>IF(AI191="","",IF(VLOOKUP(AI191,'G-7 Rivers Data'!$AA$4:$AB$7,2,FALSE)=0,"Spatial Data Missing ⚠",VLOOKUP(AI191,'G-7 Rivers Data'!$AA$4:$AB$7,2,FALSE)))</f>
        <v/>
      </c>
      <c r="AK191" s="155"/>
      <c r="AL191" s="499" t="str">
        <f>IF(AK191="","",IF(VLOOKUP(AK191,'G-7 Rivers Data'!$AD$4:$AE$8,2,FALSE)=0,"Spatial Data Missing ⚠",VLOOKUP(AK191,'G-7 Rivers Data'!$AD$4:$AE$8,2,FALSE)))</f>
        <v/>
      </c>
      <c r="AM191" s="545" t="str">
        <f t="shared" si="23"/>
        <v/>
      </c>
      <c r="AN191" s="149"/>
      <c r="AO191" s="150"/>
      <c r="AV191" s="31" t="str">
        <f>IFERROR(INDEX('G-7 Rivers Data'!$AZ$3:$AZ$7,MATCH(N191,'G-7 Rivers Data'!$AY$3:$AY$7,0)),"")</f>
        <v/>
      </c>
    </row>
    <row r="192" spans="2:48" ht="13.8" x14ac:dyDescent="0.25">
      <c r="B192" s="531" t="str">
        <f>'C-1 Site River Baseline'!AN190</f>
        <v/>
      </c>
      <c r="C192" s="520" t="str">
        <f>IF(B192="","",VLOOKUP($B192,'C-1 Site River Baseline'!$C$9:$R$257,2,FALSE))</f>
        <v/>
      </c>
      <c r="D192" s="520" t="str">
        <f>IF(C192="","",VLOOKUP($B192,'C-1 Site River Baseline'!$C$9:$R$257,3,FALSE))</f>
        <v/>
      </c>
      <c r="E192" s="520" t="str">
        <f>IF(D192="","",VLOOKUP($B192,'C-1 Site River Baseline'!$C$9:$R$257,4,FALSE))</f>
        <v/>
      </c>
      <c r="F192" s="520" t="str">
        <f>IF(E192="","",VLOOKUP($B192,'C-1 Site River Baseline'!$C$9:$R$257,5,FALSE))</f>
        <v/>
      </c>
      <c r="G192" s="520" t="str">
        <f>IF(F192="","",VLOOKUP($B192,'C-1 Site River Baseline'!$C$9:$R$257,6,FALSE))</f>
        <v/>
      </c>
      <c r="H192" s="520" t="str">
        <f>IF(G192="","",VLOOKUP($B192,'C-1 Site River Baseline'!$C$9:$R$257,7,FALSE))</f>
        <v/>
      </c>
      <c r="I192" s="520" t="str">
        <f>IF(H192="","",VLOOKUP($B192,'C-1 Site River Baseline'!$C$9:$R$257,8,FALSE))</f>
        <v/>
      </c>
      <c r="J192" s="520" t="str">
        <f>IF(I192="","",VLOOKUP($B192,'C-1 Site River Baseline'!$C$9:$R$257,9,FALSE))</f>
        <v/>
      </c>
      <c r="K192" s="520" t="str">
        <f>IF(J192="","",VLOOKUP($B192,'C-1 Site River Baseline'!$C$9:$R$257,10,FALSE))</f>
        <v/>
      </c>
      <c r="L192" s="520" t="str">
        <f>IF(B192="","",VLOOKUP($B192,'C-1 Site River Baseline'!$C$9:$R$257,15,FALSE))</f>
        <v/>
      </c>
      <c r="M192" s="524" t="str">
        <f>IF(L192="","",VLOOKUP($B192,'C-1 Site River Baseline'!$C$9:$R$257,16,FALSE))</f>
        <v/>
      </c>
      <c r="N192" s="418" t="str">
        <f t="shared" si="17"/>
        <v/>
      </c>
      <c r="O192" s="498" t="str">
        <f t="shared" si="18"/>
        <v/>
      </c>
      <c r="P192" s="499" t="str">
        <f>IF(C192="","",IF(AND(LEFT(C192,55)&lt;&gt;LEFT(N192,55),O192="High - High"),"Error - Not like for like ▲",IF(AND(F192=S192,H192&gt;U192),"Error - Can not reduce condition ▲",IF(AND(F192=S192,H192=U192,AJ192='C-1 Site River Baseline'!N190,'C-1 Site River Baseline'!P190=AL192),"Error - No enhancement ▲",IF(AND(C192&lt;&gt;N192,F192&lt;S192),"Lower Distinctiveness Habitat"&amp;" - "&amp;T192,G192&amp;" - "&amp;T192)))))</f>
        <v/>
      </c>
      <c r="Q192" s="567" t="str">
        <f>IF(N192="","",VLOOKUP(B192,'C-1 Site River Baseline'!$C$10:$AA$257,19,FALSE))</f>
        <v/>
      </c>
      <c r="R192" s="498" t="str">
        <f>IF(N192="","",VLOOKUP(N192,'G-7 Rivers Data'!$B$2:$G$8,2,FALSE))</f>
        <v/>
      </c>
      <c r="S192" s="499" t="str">
        <f>IFERROR(VLOOKUP(R192,'G-7 Rivers Data'!$C$4:$D$8,2,FALSE),"")</f>
        <v/>
      </c>
      <c r="T192" s="145"/>
      <c r="U192" s="499" t="str">
        <f>IFERROR(INDEX('G-7 Rivers Data'!$H$4:$L$8,MATCH(N192,'G-7 Rivers Data'!$B$4:$B$8,0),MATCH(T192,'G-7 Rivers Data'!$H$3:$L$3,0)),"")</f>
        <v/>
      </c>
      <c r="V192" s="154"/>
      <c r="W192" s="507" t="str">
        <f>IF(V192="","",IF(VLOOKUP(V192,'G-7 Rivers Data'!$AG$4:$AI$9,2,FALSE)=0,"Spatial Data Missing ⚠",VLOOKUP(V192,'G-7 Rivers Data'!$AG$4:$AI$9,2,FALSE)))</f>
        <v/>
      </c>
      <c r="X192" s="499" t="str">
        <f>IF(V192="","",IF(VLOOKUP(V192,'G-7 Rivers Data'!$AG$4:$AI$9,3,FALSE)=0,"Spatial Data Missing ⚠",VLOOKUP(V192,'G-7 Rivers Data'!$AG$4:$AI$9,3,FALSE)))</f>
        <v/>
      </c>
      <c r="Y192" s="498" t="str">
        <f>IFERROR(IF(OR(LEFT(P192,5)="Error ▲",LEFT(O192,5)="Error ▲"),"Check Data ⚠",IF(F192&lt;S192,'G-7 Rivers Data'!$R$3,INDEX('G-7 Rivers Data'!$U$5:$Y$9,MATCH(G192,'G-7 Rivers Data'!$T$5:$T$9,0),MATCH(T192,'G-7 Rivers Data'!$U$4:$Y$4,0)))),"")</f>
        <v/>
      </c>
      <c r="Z192" s="195"/>
      <c r="AA192" s="195"/>
      <c r="AB192" s="507" t="str">
        <f t="shared" si="19"/>
        <v/>
      </c>
      <c r="AC192" s="521" t="str">
        <f t="shared" si="20"/>
        <v/>
      </c>
      <c r="AD192" s="564" t="str">
        <f>IFERROR(IF(AC192="Check Data ⚠","Check Data ⚠",VLOOKUP(AC192,'G-4 Temporal multipliers'!$A$4:$C$37,3,FALSE)),"")</f>
        <v/>
      </c>
      <c r="AE192" s="498" t="str">
        <f>IF(N192="","",VLOOKUP(N192,'G-7 Rivers Data'!$B$4:$G$8,5,FALSE))</f>
        <v/>
      </c>
      <c r="AF192" s="507" t="str">
        <f t="shared" si="21"/>
        <v/>
      </c>
      <c r="AG192" s="540" t="str">
        <f t="shared" si="22"/>
        <v/>
      </c>
      <c r="AH192" s="499" t="str">
        <f t="shared" si="16"/>
        <v/>
      </c>
      <c r="AI192" s="145"/>
      <c r="AJ192" s="499" t="str">
        <f>IF(AI192="","",IF(VLOOKUP(AI192,'G-7 Rivers Data'!$AA$4:$AB$7,2,FALSE)=0,"Spatial Data Missing ⚠",VLOOKUP(AI192,'G-7 Rivers Data'!$AA$4:$AB$7,2,FALSE)))</f>
        <v/>
      </c>
      <c r="AK192" s="155"/>
      <c r="AL192" s="499" t="str">
        <f>IF(AK192="","",IF(VLOOKUP(AK192,'G-7 Rivers Data'!$AD$4:$AE$8,2,FALSE)=0,"Spatial Data Missing ⚠",VLOOKUP(AK192,'G-7 Rivers Data'!$AD$4:$AE$8,2,FALSE)))</f>
        <v/>
      </c>
      <c r="AM192" s="545" t="str">
        <f t="shared" si="23"/>
        <v/>
      </c>
      <c r="AN192" s="149"/>
      <c r="AO192" s="150"/>
      <c r="AV192" s="31" t="str">
        <f>IFERROR(INDEX('G-7 Rivers Data'!$AZ$3:$AZ$7,MATCH(N192,'G-7 Rivers Data'!$AY$3:$AY$7,0)),"")</f>
        <v/>
      </c>
    </row>
    <row r="193" spans="2:48" ht="13.8" x14ac:dyDescent="0.25">
      <c r="B193" s="531" t="str">
        <f>'C-1 Site River Baseline'!AN191</f>
        <v/>
      </c>
      <c r="C193" s="520" t="str">
        <f>IF(B193="","",VLOOKUP($B193,'C-1 Site River Baseline'!$C$9:$R$257,2,FALSE))</f>
        <v/>
      </c>
      <c r="D193" s="520" t="str">
        <f>IF(C193="","",VLOOKUP($B193,'C-1 Site River Baseline'!$C$9:$R$257,3,FALSE))</f>
        <v/>
      </c>
      <c r="E193" s="520" t="str">
        <f>IF(D193="","",VLOOKUP($B193,'C-1 Site River Baseline'!$C$9:$R$257,4,FALSE))</f>
        <v/>
      </c>
      <c r="F193" s="520" t="str">
        <f>IF(E193="","",VLOOKUP($B193,'C-1 Site River Baseline'!$C$9:$R$257,5,FALSE))</f>
        <v/>
      </c>
      <c r="G193" s="520" t="str">
        <f>IF(F193="","",VLOOKUP($B193,'C-1 Site River Baseline'!$C$9:$R$257,6,FALSE))</f>
        <v/>
      </c>
      <c r="H193" s="520" t="str">
        <f>IF(G193="","",VLOOKUP($B193,'C-1 Site River Baseline'!$C$9:$R$257,7,FALSE))</f>
        <v/>
      </c>
      <c r="I193" s="520" t="str">
        <f>IF(H193="","",VLOOKUP($B193,'C-1 Site River Baseline'!$C$9:$R$257,8,FALSE))</f>
        <v/>
      </c>
      <c r="J193" s="520" t="str">
        <f>IF(I193="","",VLOOKUP($B193,'C-1 Site River Baseline'!$C$9:$R$257,9,FALSE))</f>
        <v/>
      </c>
      <c r="K193" s="520" t="str">
        <f>IF(J193="","",VLOOKUP($B193,'C-1 Site River Baseline'!$C$9:$R$257,10,FALSE))</f>
        <v/>
      </c>
      <c r="L193" s="520" t="str">
        <f>IF(B193="","",VLOOKUP($B193,'C-1 Site River Baseline'!$C$9:$R$257,15,FALSE))</f>
        <v/>
      </c>
      <c r="M193" s="524" t="str">
        <f>IF(L193="","",VLOOKUP($B193,'C-1 Site River Baseline'!$C$9:$R$257,16,FALSE))</f>
        <v/>
      </c>
      <c r="N193" s="418" t="str">
        <f t="shared" si="17"/>
        <v/>
      </c>
      <c r="O193" s="498" t="str">
        <f t="shared" si="18"/>
        <v/>
      </c>
      <c r="P193" s="499" t="str">
        <f>IF(C193="","",IF(AND(LEFT(C193,55)&lt;&gt;LEFT(N193,55),O193="High - High"),"Error - Not like for like ▲",IF(AND(F193=S193,H193&gt;U193),"Error - Can not reduce condition ▲",IF(AND(F193=S193,H193=U193,AJ193='C-1 Site River Baseline'!N191,'C-1 Site River Baseline'!P191=AL193),"Error - No enhancement ▲",IF(AND(C193&lt;&gt;N193,F193&lt;S193),"Lower Distinctiveness Habitat"&amp;" - "&amp;T193,G193&amp;" - "&amp;T193)))))</f>
        <v/>
      </c>
      <c r="Q193" s="567" t="str">
        <f>IF(N193="","",VLOOKUP(B193,'C-1 Site River Baseline'!$C$10:$AA$257,19,FALSE))</f>
        <v/>
      </c>
      <c r="R193" s="498" t="str">
        <f>IF(N193="","",VLOOKUP(N193,'G-7 Rivers Data'!$B$2:$G$8,2,FALSE))</f>
        <v/>
      </c>
      <c r="S193" s="499" t="str">
        <f>IFERROR(VLOOKUP(R193,'G-7 Rivers Data'!$C$4:$D$8,2,FALSE),"")</f>
        <v/>
      </c>
      <c r="T193" s="145"/>
      <c r="U193" s="499" t="str">
        <f>IFERROR(INDEX('G-7 Rivers Data'!$H$4:$L$8,MATCH(N193,'G-7 Rivers Data'!$B$4:$B$8,0),MATCH(T193,'G-7 Rivers Data'!$H$3:$L$3,0)),"")</f>
        <v/>
      </c>
      <c r="V193" s="154"/>
      <c r="W193" s="507" t="str">
        <f>IF(V193="","",IF(VLOOKUP(V193,'G-7 Rivers Data'!$AG$4:$AI$9,2,FALSE)=0,"Spatial Data Missing ⚠",VLOOKUP(V193,'G-7 Rivers Data'!$AG$4:$AI$9,2,FALSE)))</f>
        <v/>
      </c>
      <c r="X193" s="499" t="str">
        <f>IF(V193="","",IF(VLOOKUP(V193,'G-7 Rivers Data'!$AG$4:$AI$9,3,FALSE)=0,"Spatial Data Missing ⚠",VLOOKUP(V193,'G-7 Rivers Data'!$AG$4:$AI$9,3,FALSE)))</f>
        <v/>
      </c>
      <c r="Y193" s="498" t="str">
        <f>IFERROR(IF(OR(LEFT(P193,5)="Error ▲",LEFT(O193,5)="Error ▲"),"Check Data ⚠",IF(F193&lt;S193,'G-7 Rivers Data'!$R$3,INDEX('G-7 Rivers Data'!$U$5:$Y$9,MATCH(G193,'G-7 Rivers Data'!$T$5:$T$9,0),MATCH(T193,'G-7 Rivers Data'!$U$4:$Y$4,0)))),"")</f>
        <v/>
      </c>
      <c r="Z193" s="195"/>
      <c r="AA193" s="195"/>
      <c r="AB193" s="507" t="str">
        <f t="shared" si="19"/>
        <v/>
      </c>
      <c r="AC193" s="521" t="str">
        <f t="shared" si="20"/>
        <v/>
      </c>
      <c r="AD193" s="564" t="str">
        <f>IFERROR(IF(AC193="Check Data ⚠","Check Data ⚠",VLOOKUP(AC193,'G-4 Temporal multipliers'!$A$4:$C$37,3,FALSE)),"")</f>
        <v/>
      </c>
      <c r="AE193" s="498" t="str">
        <f>IF(N193="","",VLOOKUP(N193,'G-7 Rivers Data'!$B$4:$G$8,5,FALSE))</f>
        <v/>
      </c>
      <c r="AF193" s="507" t="str">
        <f t="shared" si="21"/>
        <v/>
      </c>
      <c r="AG193" s="540" t="str">
        <f t="shared" si="22"/>
        <v/>
      </c>
      <c r="AH193" s="499" t="str">
        <f t="shared" si="16"/>
        <v/>
      </c>
      <c r="AI193" s="145"/>
      <c r="AJ193" s="499" t="str">
        <f>IF(AI193="","",IF(VLOOKUP(AI193,'G-7 Rivers Data'!$AA$4:$AB$7,2,FALSE)=0,"Spatial Data Missing ⚠",VLOOKUP(AI193,'G-7 Rivers Data'!$AA$4:$AB$7,2,FALSE)))</f>
        <v/>
      </c>
      <c r="AK193" s="155"/>
      <c r="AL193" s="499" t="str">
        <f>IF(AK193="","",IF(VLOOKUP(AK193,'G-7 Rivers Data'!$AD$4:$AE$8,2,FALSE)=0,"Spatial Data Missing ⚠",VLOOKUP(AK193,'G-7 Rivers Data'!$AD$4:$AE$8,2,FALSE)))</f>
        <v/>
      </c>
      <c r="AM193" s="545" t="str">
        <f t="shared" si="23"/>
        <v/>
      </c>
      <c r="AN193" s="149"/>
      <c r="AO193" s="150"/>
      <c r="AV193" s="31" t="str">
        <f>IFERROR(INDEX('G-7 Rivers Data'!$AZ$3:$AZ$7,MATCH(N193,'G-7 Rivers Data'!$AY$3:$AY$7,0)),"")</f>
        <v/>
      </c>
    </row>
    <row r="194" spans="2:48" ht="13.8" x14ac:dyDescent="0.25">
      <c r="B194" s="531" t="str">
        <f>'C-1 Site River Baseline'!AN192</f>
        <v/>
      </c>
      <c r="C194" s="520" t="str">
        <f>IF(B194="","",VLOOKUP($B194,'C-1 Site River Baseline'!$C$9:$R$257,2,FALSE))</f>
        <v/>
      </c>
      <c r="D194" s="520" t="str">
        <f>IF(C194="","",VLOOKUP($B194,'C-1 Site River Baseline'!$C$9:$R$257,3,FALSE))</f>
        <v/>
      </c>
      <c r="E194" s="520" t="str">
        <f>IF(D194="","",VLOOKUP($B194,'C-1 Site River Baseline'!$C$9:$R$257,4,FALSE))</f>
        <v/>
      </c>
      <c r="F194" s="520" t="str">
        <f>IF(E194="","",VLOOKUP($B194,'C-1 Site River Baseline'!$C$9:$R$257,5,FALSE))</f>
        <v/>
      </c>
      <c r="G194" s="520" t="str">
        <f>IF(F194="","",VLOOKUP($B194,'C-1 Site River Baseline'!$C$9:$R$257,6,FALSE))</f>
        <v/>
      </c>
      <c r="H194" s="520" t="str">
        <f>IF(G194="","",VLOOKUP($B194,'C-1 Site River Baseline'!$C$9:$R$257,7,FALSE))</f>
        <v/>
      </c>
      <c r="I194" s="520" t="str">
        <f>IF(H194="","",VLOOKUP($B194,'C-1 Site River Baseline'!$C$9:$R$257,8,FALSE))</f>
        <v/>
      </c>
      <c r="J194" s="520" t="str">
        <f>IF(I194="","",VLOOKUP($B194,'C-1 Site River Baseline'!$C$9:$R$257,9,FALSE))</f>
        <v/>
      </c>
      <c r="K194" s="520" t="str">
        <f>IF(J194="","",VLOOKUP($B194,'C-1 Site River Baseline'!$C$9:$R$257,10,FALSE))</f>
        <v/>
      </c>
      <c r="L194" s="520" t="str">
        <f>IF(B194="","",VLOOKUP($B194,'C-1 Site River Baseline'!$C$9:$R$257,15,FALSE))</f>
        <v/>
      </c>
      <c r="M194" s="524" t="str">
        <f>IF(L194="","",VLOOKUP($B194,'C-1 Site River Baseline'!$C$9:$R$257,16,FALSE))</f>
        <v/>
      </c>
      <c r="N194" s="418" t="str">
        <f t="shared" si="17"/>
        <v/>
      </c>
      <c r="O194" s="498" t="str">
        <f t="shared" si="18"/>
        <v/>
      </c>
      <c r="P194" s="499" t="str">
        <f>IF(C194="","",IF(AND(LEFT(C194,55)&lt;&gt;LEFT(N194,55),O194="High - High"),"Error - Not like for like ▲",IF(AND(F194=S194,H194&gt;U194),"Error - Can not reduce condition ▲",IF(AND(F194=S194,H194=U194,AJ194='C-1 Site River Baseline'!N192,'C-1 Site River Baseline'!P192=AL194),"Error - No enhancement ▲",IF(AND(C194&lt;&gt;N194,F194&lt;S194),"Lower Distinctiveness Habitat"&amp;" - "&amp;T194,G194&amp;" - "&amp;T194)))))</f>
        <v/>
      </c>
      <c r="Q194" s="567" t="str">
        <f>IF(N194="","",VLOOKUP(B194,'C-1 Site River Baseline'!$C$10:$AA$257,19,FALSE))</f>
        <v/>
      </c>
      <c r="R194" s="498" t="str">
        <f>IF(N194="","",VLOOKUP(N194,'G-7 Rivers Data'!$B$2:$G$8,2,FALSE))</f>
        <v/>
      </c>
      <c r="S194" s="499" t="str">
        <f>IFERROR(VLOOKUP(R194,'G-7 Rivers Data'!$C$4:$D$8,2,FALSE),"")</f>
        <v/>
      </c>
      <c r="T194" s="145"/>
      <c r="U194" s="499" t="str">
        <f>IFERROR(INDEX('G-7 Rivers Data'!$H$4:$L$8,MATCH(N194,'G-7 Rivers Data'!$B$4:$B$8,0),MATCH(T194,'G-7 Rivers Data'!$H$3:$L$3,0)),"")</f>
        <v/>
      </c>
      <c r="V194" s="154"/>
      <c r="W194" s="507" t="str">
        <f>IF(V194="","",IF(VLOOKUP(V194,'G-7 Rivers Data'!$AG$4:$AI$9,2,FALSE)=0,"Spatial Data Missing ⚠",VLOOKUP(V194,'G-7 Rivers Data'!$AG$4:$AI$9,2,FALSE)))</f>
        <v/>
      </c>
      <c r="X194" s="499" t="str">
        <f>IF(V194="","",IF(VLOOKUP(V194,'G-7 Rivers Data'!$AG$4:$AI$9,3,FALSE)=0,"Spatial Data Missing ⚠",VLOOKUP(V194,'G-7 Rivers Data'!$AG$4:$AI$9,3,FALSE)))</f>
        <v/>
      </c>
      <c r="Y194" s="498" t="str">
        <f>IFERROR(IF(OR(LEFT(P194,5)="Error ▲",LEFT(O194,5)="Error ▲"),"Check Data ⚠",IF(F194&lt;S194,'G-7 Rivers Data'!$R$3,INDEX('G-7 Rivers Data'!$U$5:$Y$9,MATCH(G194,'G-7 Rivers Data'!$T$5:$T$9,0),MATCH(T194,'G-7 Rivers Data'!$U$4:$Y$4,0)))),"")</f>
        <v/>
      </c>
      <c r="Z194" s="195"/>
      <c r="AA194" s="195"/>
      <c r="AB194" s="507" t="str">
        <f t="shared" si="19"/>
        <v/>
      </c>
      <c r="AC194" s="521" t="str">
        <f t="shared" si="20"/>
        <v/>
      </c>
      <c r="AD194" s="564" t="str">
        <f>IFERROR(IF(AC194="Check Data ⚠","Check Data ⚠",VLOOKUP(AC194,'G-4 Temporal multipliers'!$A$4:$C$37,3,FALSE)),"")</f>
        <v/>
      </c>
      <c r="AE194" s="498" t="str">
        <f>IF(N194="","",VLOOKUP(N194,'G-7 Rivers Data'!$B$4:$G$8,5,FALSE))</f>
        <v/>
      </c>
      <c r="AF194" s="507" t="str">
        <f t="shared" si="21"/>
        <v/>
      </c>
      <c r="AG194" s="540" t="str">
        <f t="shared" si="22"/>
        <v/>
      </c>
      <c r="AH194" s="499" t="str">
        <f t="shared" si="16"/>
        <v/>
      </c>
      <c r="AI194" s="145"/>
      <c r="AJ194" s="499" t="str">
        <f>IF(AI194="","",IF(VLOOKUP(AI194,'G-7 Rivers Data'!$AA$4:$AB$7,2,FALSE)=0,"Spatial Data Missing ⚠",VLOOKUP(AI194,'G-7 Rivers Data'!$AA$4:$AB$7,2,FALSE)))</f>
        <v/>
      </c>
      <c r="AK194" s="155"/>
      <c r="AL194" s="499" t="str">
        <f>IF(AK194="","",IF(VLOOKUP(AK194,'G-7 Rivers Data'!$AD$4:$AE$8,2,FALSE)=0,"Spatial Data Missing ⚠",VLOOKUP(AK194,'G-7 Rivers Data'!$AD$4:$AE$8,2,FALSE)))</f>
        <v/>
      </c>
      <c r="AM194" s="545" t="str">
        <f t="shared" si="23"/>
        <v/>
      </c>
      <c r="AN194" s="149"/>
      <c r="AO194" s="150"/>
      <c r="AV194" s="31" t="str">
        <f>IFERROR(INDEX('G-7 Rivers Data'!$AZ$3:$AZ$7,MATCH(N194,'G-7 Rivers Data'!$AY$3:$AY$7,0)),"")</f>
        <v/>
      </c>
    </row>
    <row r="195" spans="2:48" ht="13.8" x14ac:dyDescent="0.25">
      <c r="B195" s="531" t="str">
        <f>'C-1 Site River Baseline'!AN193</f>
        <v/>
      </c>
      <c r="C195" s="520" t="str">
        <f>IF(B195="","",VLOOKUP($B195,'C-1 Site River Baseline'!$C$9:$R$257,2,FALSE))</f>
        <v/>
      </c>
      <c r="D195" s="520" t="str">
        <f>IF(C195="","",VLOOKUP($B195,'C-1 Site River Baseline'!$C$9:$R$257,3,FALSE))</f>
        <v/>
      </c>
      <c r="E195" s="520" t="str">
        <f>IF(D195="","",VLOOKUP($B195,'C-1 Site River Baseline'!$C$9:$R$257,4,FALSE))</f>
        <v/>
      </c>
      <c r="F195" s="520" t="str">
        <f>IF(E195="","",VLOOKUP($B195,'C-1 Site River Baseline'!$C$9:$R$257,5,FALSE))</f>
        <v/>
      </c>
      <c r="G195" s="520" t="str">
        <f>IF(F195="","",VLOOKUP($B195,'C-1 Site River Baseline'!$C$9:$R$257,6,FALSE))</f>
        <v/>
      </c>
      <c r="H195" s="520" t="str">
        <f>IF(G195="","",VLOOKUP($B195,'C-1 Site River Baseline'!$C$9:$R$257,7,FALSE))</f>
        <v/>
      </c>
      <c r="I195" s="520" t="str">
        <f>IF(H195="","",VLOOKUP($B195,'C-1 Site River Baseline'!$C$9:$R$257,8,FALSE))</f>
        <v/>
      </c>
      <c r="J195" s="520" t="str">
        <f>IF(I195="","",VLOOKUP($B195,'C-1 Site River Baseline'!$C$9:$R$257,9,FALSE))</f>
        <v/>
      </c>
      <c r="K195" s="520" t="str">
        <f>IF(J195="","",VLOOKUP($B195,'C-1 Site River Baseline'!$C$9:$R$257,10,FALSE))</f>
        <v/>
      </c>
      <c r="L195" s="520" t="str">
        <f>IF(B195="","",VLOOKUP($B195,'C-1 Site River Baseline'!$C$9:$R$257,15,FALSE))</f>
        <v/>
      </c>
      <c r="M195" s="524" t="str">
        <f>IF(L195="","",VLOOKUP($B195,'C-1 Site River Baseline'!$C$9:$R$257,16,FALSE))</f>
        <v/>
      </c>
      <c r="N195" s="418" t="str">
        <f t="shared" si="17"/>
        <v/>
      </c>
      <c r="O195" s="498" t="str">
        <f t="shared" si="18"/>
        <v/>
      </c>
      <c r="P195" s="499" t="str">
        <f>IF(C195="","",IF(AND(LEFT(C195,55)&lt;&gt;LEFT(N195,55),O195="High - High"),"Error - Not like for like ▲",IF(AND(F195=S195,H195&gt;U195),"Error - Can not reduce condition ▲",IF(AND(F195=S195,H195=U195,AJ195='C-1 Site River Baseline'!N193,'C-1 Site River Baseline'!P193=AL195),"Error - No enhancement ▲",IF(AND(C195&lt;&gt;N195,F195&lt;S195),"Lower Distinctiveness Habitat"&amp;" - "&amp;T195,G195&amp;" - "&amp;T195)))))</f>
        <v/>
      </c>
      <c r="Q195" s="567" t="str">
        <f>IF(N195="","",VLOOKUP(B195,'C-1 Site River Baseline'!$C$10:$AA$257,19,FALSE))</f>
        <v/>
      </c>
      <c r="R195" s="498" t="str">
        <f>IF(N195="","",VLOOKUP(N195,'G-7 Rivers Data'!$B$2:$G$8,2,FALSE))</f>
        <v/>
      </c>
      <c r="S195" s="499" t="str">
        <f>IFERROR(VLOOKUP(R195,'G-7 Rivers Data'!$C$4:$D$8,2,FALSE),"")</f>
        <v/>
      </c>
      <c r="T195" s="145"/>
      <c r="U195" s="499" t="str">
        <f>IFERROR(INDEX('G-7 Rivers Data'!$H$4:$L$8,MATCH(N195,'G-7 Rivers Data'!$B$4:$B$8,0),MATCH(T195,'G-7 Rivers Data'!$H$3:$L$3,0)),"")</f>
        <v/>
      </c>
      <c r="V195" s="154"/>
      <c r="W195" s="507" t="str">
        <f>IF(V195="","",IF(VLOOKUP(V195,'G-7 Rivers Data'!$AG$4:$AI$9,2,FALSE)=0,"Spatial Data Missing ⚠",VLOOKUP(V195,'G-7 Rivers Data'!$AG$4:$AI$9,2,FALSE)))</f>
        <v/>
      </c>
      <c r="X195" s="499" t="str">
        <f>IF(V195="","",IF(VLOOKUP(V195,'G-7 Rivers Data'!$AG$4:$AI$9,3,FALSE)=0,"Spatial Data Missing ⚠",VLOOKUP(V195,'G-7 Rivers Data'!$AG$4:$AI$9,3,FALSE)))</f>
        <v/>
      </c>
      <c r="Y195" s="498" t="str">
        <f>IFERROR(IF(OR(LEFT(P195,5)="Error ▲",LEFT(O195,5)="Error ▲"),"Check Data ⚠",IF(F195&lt;S195,'G-7 Rivers Data'!$R$3,INDEX('G-7 Rivers Data'!$U$5:$Y$9,MATCH(G195,'G-7 Rivers Data'!$T$5:$T$9,0),MATCH(T195,'G-7 Rivers Data'!$U$4:$Y$4,0)))),"")</f>
        <v/>
      </c>
      <c r="Z195" s="195"/>
      <c r="AA195" s="195"/>
      <c r="AB195" s="507" t="str">
        <f t="shared" si="19"/>
        <v/>
      </c>
      <c r="AC195" s="521" t="str">
        <f t="shared" si="20"/>
        <v/>
      </c>
      <c r="AD195" s="564" t="str">
        <f>IFERROR(IF(AC195="Check Data ⚠","Check Data ⚠",VLOOKUP(AC195,'G-4 Temporal multipliers'!$A$4:$C$37,3,FALSE)),"")</f>
        <v/>
      </c>
      <c r="AE195" s="498" t="str">
        <f>IF(N195="","",VLOOKUP(N195,'G-7 Rivers Data'!$B$4:$G$8,5,FALSE))</f>
        <v/>
      </c>
      <c r="AF195" s="507" t="str">
        <f t="shared" si="21"/>
        <v/>
      </c>
      <c r="AG195" s="540" t="str">
        <f t="shared" si="22"/>
        <v/>
      </c>
      <c r="AH195" s="499" t="str">
        <f t="shared" si="16"/>
        <v/>
      </c>
      <c r="AI195" s="145"/>
      <c r="AJ195" s="499" t="str">
        <f>IF(AI195="","",IF(VLOOKUP(AI195,'G-7 Rivers Data'!$AA$4:$AB$7,2,FALSE)=0,"Spatial Data Missing ⚠",VLOOKUP(AI195,'G-7 Rivers Data'!$AA$4:$AB$7,2,FALSE)))</f>
        <v/>
      </c>
      <c r="AK195" s="155"/>
      <c r="AL195" s="499" t="str">
        <f>IF(AK195="","",IF(VLOOKUP(AK195,'G-7 Rivers Data'!$AD$4:$AE$8,2,FALSE)=0,"Spatial Data Missing ⚠",VLOOKUP(AK195,'G-7 Rivers Data'!$AD$4:$AE$8,2,FALSE)))</f>
        <v/>
      </c>
      <c r="AM195" s="545" t="str">
        <f t="shared" si="23"/>
        <v/>
      </c>
      <c r="AN195" s="149"/>
      <c r="AO195" s="150"/>
      <c r="AV195" s="31" t="str">
        <f>IFERROR(INDEX('G-7 Rivers Data'!$AZ$3:$AZ$7,MATCH(N195,'G-7 Rivers Data'!$AY$3:$AY$7,0)),"")</f>
        <v/>
      </c>
    </row>
    <row r="196" spans="2:48" ht="13.8" x14ac:dyDescent="0.25">
      <c r="B196" s="531" t="str">
        <f>'C-1 Site River Baseline'!AN194</f>
        <v/>
      </c>
      <c r="C196" s="520" t="str">
        <f>IF(B196="","",VLOOKUP($B196,'C-1 Site River Baseline'!$C$9:$R$257,2,FALSE))</f>
        <v/>
      </c>
      <c r="D196" s="520" t="str">
        <f>IF(C196="","",VLOOKUP($B196,'C-1 Site River Baseline'!$C$9:$R$257,3,FALSE))</f>
        <v/>
      </c>
      <c r="E196" s="520" t="str">
        <f>IF(D196="","",VLOOKUP($B196,'C-1 Site River Baseline'!$C$9:$R$257,4,FALSE))</f>
        <v/>
      </c>
      <c r="F196" s="520" t="str">
        <f>IF(E196="","",VLOOKUP($B196,'C-1 Site River Baseline'!$C$9:$R$257,5,FALSE))</f>
        <v/>
      </c>
      <c r="G196" s="520" t="str">
        <f>IF(F196="","",VLOOKUP($B196,'C-1 Site River Baseline'!$C$9:$R$257,6,FALSE))</f>
        <v/>
      </c>
      <c r="H196" s="520" t="str">
        <f>IF(G196="","",VLOOKUP($B196,'C-1 Site River Baseline'!$C$9:$R$257,7,FALSE))</f>
        <v/>
      </c>
      <c r="I196" s="520" t="str">
        <f>IF(H196="","",VLOOKUP($B196,'C-1 Site River Baseline'!$C$9:$R$257,8,FALSE))</f>
        <v/>
      </c>
      <c r="J196" s="520" t="str">
        <f>IF(I196="","",VLOOKUP($B196,'C-1 Site River Baseline'!$C$9:$R$257,9,FALSE))</f>
        <v/>
      </c>
      <c r="K196" s="520" t="str">
        <f>IF(J196="","",VLOOKUP($B196,'C-1 Site River Baseline'!$C$9:$R$257,10,FALSE))</f>
        <v/>
      </c>
      <c r="L196" s="520" t="str">
        <f>IF(B196="","",VLOOKUP($B196,'C-1 Site River Baseline'!$C$9:$R$257,15,FALSE))</f>
        <v/>
      </c>
      <c r="M196" s="524" t="str">
        <f>IF(L196="","",VLOOKUP($B196,'C-1 Site River Baseline'!$C$9:$R$257,16,FALSE))</f>
        <v/>
      </c>
      <c r="N196" s="418" t="str">
        <f t="shared" si="17"/>
        <v/>
      </c>
      <c r="O196" s="498" t="str">
        <f t="shared" si="18"/>
        <v/>
      </c>
      <c r="P196" s="499" t="str">
        <f>IF(C196="","",IF(AND(LEFT(C196,55)&lt;&gt;LEFT(N196,55),O196="High - High"),"Error - Not like for like ▲",IF(AND(F196=S196,H196&gt;U196),"Error - Can not reduce condition ▲",IF(AND(F196=S196,H196=U196,AJ196='C-1 Site River Baseline'!N194,'C-1 Site River Baseline'!P194=AL196),"Error - No enhancement ▲",IF(AND(C196&lt;&gt;N196,F196&lt;S196),"Lower Distinctiveness Habitat"&amp;" - "&amp;T196,G196&amp;" - "&amp;T196)))))</f>
        <v/>
      </c>
      <c r="Q196" s="567" t="str">
        <f>IF(N196="","",VLOOKUP(B196,'C-1 Site River Baseline'!$C$10:$AA$257,19,FALSE))</f>
        <v/>
      </c>
      <c r="R196" s="498" t="str">
        <f>IF(N196="","",VLOOKUP(N196,'G-7 Rivers Data'!$B$2:$G$8,2,FALSE))</f>
        <v/>
      </c>
      <c r="S196" s="499" t="str">
        <f>IFERROR(VLOOKUP(R196,'G-7 Rivers Data'!$C$4:$D$8,2,FALSE),"")</f>
        <v/>
      </c>
      <c r="T196" s="145"/>
      <c r="U196" s="499" t="str">
        <f>IFERROR(INDEX('G-7 Rivers Data'!$H$4:$L$8,MATCH(N196,'G-7 Rivers Data'!$B$4:$B$8,0),MATCH(T196,'G-7 Rivers Data'!$H$3:$L$3,0)),"")</f>
        <v/>
      </c>
      <c r="V196" s="154"/>
      <c r="W196" s="507" t="str">
        <f>IF(V196="","",IF(VLOOKUP(V196,'G-7 Rivers Data'!$AG$4:$AI$9,2,FALSE)=0,"Spatial Data Missing ⚠",VLOOKUP(V196,'G-7 Rivers Data'!$AG$4:$AI$9,2,FALSE)))</f>
        <v/>
      </c>
      <c r="X196" s="499" t="str">
        <f>IF(V196="","",IF(VLOOKUP(V196,'G-7 Rivers Data'!$AG$4:$AI$9,3,FALSE)=0,"Spatial Data Missing ⚠",VLOOKUP(V196,'G-7 Rivers Data'!$AG$4:$AI$9,3,FALSE)))</f>
        <v/>
      </c>
      <c r="Y196" s="498" t="str">
        <f>IFERROR(IF(OR(LEFT(P196,5)="Error ▲",LEFT(O196,5)="Error ▲"),"Check Data ⚠",IF(F196&lt;S196,'G-7 Rivers Data'!$R$3,INDEX('G-7 Rivers Data'!$U$5:$Y$9,MATCH(G196,'G-7 Rivers Data'!$T$5:$T$9,0),MATCH(T196,'G-7 Rivers Data'!$U$4:$Y$4,0)))),"")</f>
        <v/>
      </c>
      <c r="Z196" s="195"/>
      <c r="AA196" s="195"/>
      <c r="AB196" s="507" t="str">
        <f t="shared" si="19"/>
        <v/>
      </c>
      <c r="AC196" s="521" t="str">
        <f t="shared" si="20"/>
        <v/>
      </c>
      <c r="AD196" s="564" t="str">
        <f>IFERROR(IF(AC196="Check Data ⚠","Check Data ⚠",VLOOKUP(AC196,'G-4 Temporal multipliers'!$A$4:$C$37,3,FALSE)),"")</f>
        <v/>
      </c>
      <c r="AE196" s="498" t="str">
        <f>IF(N196="","",VLOOKUP(N196,'G-7 Rivers Data'!$B$4:$G$8,5,FALSE))</f>
        <v/>
      </c>
      <c r="AF196" s="507" t="str">
        <f t="shared" si="21"/>
        <v/>
      </c>
      <c r="AG196" s="540" t="str">
        <f t="shared" si="22"/>
        <v/>
      </c>
      <c r="AH196" s="499" t="str">
        <f t="shared" si="16"/>
        <v/>
      </c>
      <c r="AI196" s="145"/>
      <c r="AJ196" s="499" t="str">
        <f>IF(AI196="","",IF(VLOOKUP(AI196,'G-7 Rivers Data'!$AA$4:$AB$7,2,FALSE)=0,"Spatial Data Missing ⚠",VLOOKUP(AI196,'G-7 Rivers Data'!$AA$4:$AB$7,2,FALSE)))</f>
        <v/>
      </c>
      <c r="AK196" s="155"/>
      <c r="AL196" s="499" t="str">
        <f>IF(AK196="","",IF(VLOOKUP(AK196,'G-7 Rivers Data'!$AD$4:$AE$8,2,FALSE)=0,"Spatial Data Missing ⚠",VLOOKUP(AK196,'G-7 Rivers Data'!$AD$4:$AE$8,2,FALSE)))</f>
        <v/>
      </c>
      <c r="AM196" s="545" t="str">
        <f t="shared" si="23"/>
        <v/>
      </c>
      <c r="AN196" s="149"/>
      <c r="AO196" s="150"/>
      <c r="AV196" s="31" t="str">
        <f>IFERROR(INDEX('G-7 Rivers Data'!$AZ$3:$AZ$7,MATCH(N196,'G-7 Rivers Data'!$AY$3:$AY$7,0)),"")</f>
        <v/>
      </c>
    </row>
    <row r="197" spans="2:48" ht="13.8" x14ac:dyDescent="0.25">
      <c r="B197" s="531" t="str">
        <f>'C-1 Site River Baseline'!AN195</f>
        <v/>
      </c>
      <c r="C197" s="520" t="str">
        <f>IF(B197="","",VLOOKUP($B197,'C-1 Site River Baseline'!$C$9:$R$257,2,FALSE))</f>
        <v/>
      </c>
      <c r="D197" s="520" t="str">
        <f>IF(C197="","",VLOOKUP($B197,'C-1 Site River Baseline'!$C$9:$R$257,3,FALSE))</f>
        <v/>
      </c>
      <c r="E197" s="520" t="str">
        <f>IF(D197="","",VLOOKUP($B197,'C-1 Site River Baseline'!$C$9:$R$257,4,FALSE))</f>
        <v/>
      </c>
      <c r="F197" s="520" t="str">
        <f>IF(E197="","",VLOOKUP($B197,'C-1 Site River Baseline'!$C$9:$R$257,5,FALSE))</f>
        <v/>
      </c>
      <c r="G197" s="520" t="str">
        <f>IF(F197="","",VLOOKUP($B197,'C-1 Site River Baseline'!$C$9:$R$257,6,FALSE))</f>
        <v/>
      </c>
      <c r="H197" s="520" t="str">
        <f>IF(G197="","",VLOOKUP($B197,'C-1 Site River Baseline'!$C$9:$R$257,7,FALSE))</f>
        <v/>
      </c>
      <c r="I197" s="520" t="str">
        <f>IF(H197="","",VLOOKUP($B197,'C-1 Site River Baseline'!$C$9:$R$257,8,FALSE))</f>
        <v/>
      </c>
      <c r="J197" s="520" t="str">
        <f>IF(I197="","",VLOOKUP($B197,'C-1 Site River Baseline'!$C$9:$R$257,9,FALSE))</f>
        <v/>
      </c>
      <c r="K197" s="520" t="str">
        <f>IF(J197="","",VLOOKUP($B197,'C-1 Site River Baseline'!$C$9:$R$257,10,FALSE))</f>
        <v/>
      </c>
      <c r="L197" s="520" t="str">
        <f>IF(B197="","",VLOOKUP($B197,'C-1 Site River Baseline'!$C$9:$R$257,15,FALSE))</f>
        <v/>
      </c>
      <c r="M197" s="524" t="str">
        <f>IF(L197="","",VLOOKUP($B197,'C-1 Site River Baseline'!$C$9:$R$257,16,FALSE))</f>
        <v/>
      </c>
      <c r="N197" s="418" t="str">
        <f t="shared" si="17"/>
        <v/>
      </c>
      <c r="O197" s="498" t="str">
        <f t="shared" si="18"/>
        <v/>
      </c>
      <c r="P197" s="499" t="str">
        <f>IF(C197="","",IF(AND(LEFT(C197,55)&lt;&gt;LEFT(N197,55),O197="High - High"),"Error - Not like for like ▲",IF(AND(F197=S197,H197&gt;U197),"Error - Can not reduce condition ▲",IF(AND(F197=S197,H197=U197,AJ197='C-1 Site River Baseline'!N195,'C-1 Site River Baseline'!P195=AL197),"Error - No enhancement ▲",IF(AND(C197&lt;&gt;N197,F197&lt;S197),"Lower Distinctiveness Habitat"&amp;" - "&amp;T197,G197&amp;" - "&amp;T197)))))</f>
        <v/>
      </c>
      <c r="Q197" s="567" t="str">
        <f>IF(N197="","",VLOOKUP(B197,'C-1 Site River Baseline'!$C$10:$AA$257,19,FALSE))</f>
        <v/>
      </c>
      <c r="R197" s="498" t="str">
        <f>IF(N197="","",VLOOKUP(N197,'G-7 Rivers Data'!$B$2:$G$8,2,FALSE))</f>
        <v/>
      </c>
      <c r="S197" s="499" t="str">
        <f>IFERROR(VLOOKUP(R197,'G-7 Rivers Data'!$C$4:$D$8,2,FALSE),"")</f>
        <v/>
      </c>
      <c r="T197" s="145"/>
      <c r="U197" s="499" t="str">
        <f>IFERROR(INDEX('G-7 Rivers Data'!$H$4:$L$8,MATCH(N197,'G-7 Rivers Data'!$B$4:$B$8,0),MATCH(T197,'G-7 Rivers Data'!$H$3:$L$3,0)),"")</f>
        <v/>
      </c>
      <c r="V197" s="154"/>
      <c r="W197" s="507" t="str">
        <f>IF(V197="","",IF(VLOOKUP(V197,'G-7 Rivers Data'!$AG$4:$AI$9,2,FALSE)=0,"Spatial Data Missing ⚠",VLOOKUP(V197,'G-7 Rivers Data'!$AG$4:$AI$9,2,FALSE)))</f>
        <v/>
      </c>
      <c r="X197" s="499" t="str">
        <f>IF(V197="","",IF(VLOOKUP(V197,'G-7 Rivers Data'!$AG$4:$AI$9,3,FALSE)=0,"Spatial Data Missing ⚠",VLOOKUP(V197,'G-7 Rivers Data'!$AG$4:$AI$9,3,FALSE)))</f>
        <v/>
      </c>
      <c r="Y197" s="498" t="str">
        <f>IFERROR(IF(OR(LEFT(P197,5)="Error ▲",LEFT(O197,5)="Error ▲"),"Check Data ⚠",IF(F197&lt;S197,'G-7 Rivers Data'!$R$3,INDEX('G-7 Rivers Data'!$U$5:$Y$9,MATCH(G197,'G-7 Rivers Data'!$T$5:$T$9,0),MATCH(T197,'G-7 Rivers Data'!$U$4:$Y$4,0)))),"")</f>
        <v/>
      </c>
      <c r="Z197" s="195"/>
      <c r="AA197" s="195"/>
      <c r="AB197" s="507" t="str">
        <f t="shared" si="19"/>
        <v/>
      </c>
      <c r="AC197" s="521" t="str">
        <f t="shared" si="20"/>
        <v/>
      </c>
      <c r="AD197" s="564" t="str">
        <f>IFERROR(IF(AC197="Check Data ⚠","Check Data ⚠",VLOOKUP(AC197,'G-4 Temporal multipliers'!$A$4:$C$37,3,FALSE)),"")</f>
        <v/>
      </c>
      <c r="AE197" s="498" t="str">
        <f>IF(N197="","",VLOOKUP(N197,'G-7 Rivers Data'!$B$4:$G$8,5,FALSE))</f>
        <v/>
      </c>
      <c r="AF197" s="507" t="str">
        <f t="shared" si="21"/>
        <v/>
      </c>
      <c r="AG197" s="540" t="str">
        <f t="shared" si="22"/>
        <v/>
      </c>
      <c r="AH197" s="499" t="str">
        <f t="shared" si="16"/>
        <v/>
      </c>
      <c r="AI197" s="145"/>
      <c r="AJ197" s="499" t="str">
        <f>IF(AI197="","",IF(VLOOKUP(AI197,'G-7 Rivers Data'!$AA$4:$AB$7,2,FALSE)=0,"Spatial Data Missing ⚠",VLOOKUP(AI197,'G-7 Rivers Data'!$AA$4:$AB$7,2,FALSE)))</f>
        <v/>
      </c>
      <c r="AK197" s="155"/>
      <c r="AL197" s="499" t="str">
        <f>IF(AK197="","",IF(VLOOKUP(AK197,'G-7 Rivers Data'!$AD$4:$AE$8,2,FALSE)=0,"Spatial Data Missing ⚠",VLOOKUP(AK197,'G-7 Rivers Data'!$AD$4:$AE$8,2,FALSE)))</f>
        <v/>
      </c>
      <c r="AM197" s="545" t="str">
        <f t="shared" si="23"/>
        <v/>
      </c>
      <c r="AN197" s="149"/>
      <c r="AO197" s="150"/>
      <c r="AV197" s="31" t="str">
        <f>IFERROR(INDEX('G-7 Rivers Data'!$AZ$3:$AZ$7,MATCH(N197,'G-7 Rivers Data'!$AY$3:$AY$7,0)),"")</f>
        <v/>
      </c>
    </row>
    <row r="198" spans="2:48" ht="13.8" x14ac:dyDescent="0.25">
      <c r="B198" s="531" t="str">
        <f>'C-1 Site River Baseline'!AN196</f>
        <v/>
      </c>
      <c r="C198" s="520" t="str">
        <f>IF(B198="","",VLOOKUP($B198,'C-1 Site River Baseline'!$C$9:$R$257,2,FALSE))</f>
        <v/>
      </c>
      <c r="D198" s="520" t="str">
        <f>IF(C198="","",VLOOKUP($B198,'C-1 Site River Baseline'!$C$9:$R$257,3,FALSE))</f>
        <v/>
      </c>
      <c r="E198" s="520" t="str">
        <f>IF(D198="","",VLOOKUP($B198,'C-1 Site River Baseline'!$C$9:$R$257,4,FALSE))</f>
        <v/>
      </c>
      <c r="F198" s="520" t="str">
        <f>IF(E198="","",VLOOKUP($B198,'C-1 Site River Baseline'!$C$9:$R$257,5,FALSE))</f>
        <v/>
      </c>
      <c r="G198" s="520" t="str">
        <f>IF(F198="","",VLOOKUP($B198,'C-1 Site River Baseline'!$C$9:$R$257,6,FALSE))</f>
        <v/>
      </c>
      <c r="H198" s="520" t="str">
        <f>IF(G198="","",VLOOKUP($B198,'C-1 Site River Baseline'!$C$9:$R$257,7,FALSE))</f>
        <v/>
      </c>
      <c r="I198" s="520" t="str">
        <f>IF(H198="","",VLOOKUP($B198,'C-1 Site River Baseline'!$C$9:$R$257,8,FALSE))</f>
        <v/>
      </c>
      <c r="J198" s="520" t="str">
        <f>IF(I198="","",VLOOKUP($B198,'C-1 Site River Baseline'!$C$9:$R$257,9,FALSE))</f>
        <v/>
      </c>
      <c r="K198" s="520" t="str">
        <f>IF(J198="","",VLOOKUP($B198,'C-1 Site River Baseline'!$C$9:$R$257,10,FALSE))</f>
        <v/>
      </c>
      <c r="L198" s="520" t="str">
        <f>IF(B198="","",VLOOKUP($B198,'C-1 Site River Baseline'!$C$9:$R$257,15,FALSE))</f>
        <v/>
      </c>
      <c r="M198" s="524" t="str">
        <f>IF(L198="","",VLOOKUP($B198,'C-1 Site River Baseline'!$C$9:$R$257,16,FALSE))</f>
        <v/>
      </c>
      <c r="N198" s="418" t="str">
        <f t="shared" si="17"/>
        <v/>
      </c>
      <c r="O198" s="498" t="str">
        <f t="shared" si="18"/>
        <v/>
      </c>
      <c r="P198" s="499" t="str">
        <f>IF(C198="","",IF(AND(LEFT(C198,55)&lt;&gt;LEFT(N198,55),O198="High - High"),"Error - Not like for like ▲",IF(AND(F198=S198,H198&gt;U198),"Error - Can not reduce condition ▲",IF(AND(F198=S198,H198=U198,AJ198='C-1 Site River Baseline'!N196,'C-1 Site River Baseline'!P196=AL198),"Error - No enhancement ▲",IF(AND(C198&lt;&gt;N198,F198&lt;S198),"Lower Distinctiveness Habitat"&amp;" - "&amp;T198,G198&amp;" - "&amp;T198)))))</f>
        <v/>
      </c>
      <c r="Q198" s="567" t="str">
        <f>IF(N198="","",VLOOKUP(B198,'C-1 Site River Baseline'!$C$10:$AA$257,19,FALSE))</f>
        <v/>
      </c>
      <c r="R198" s="498" t="str">
        <f>IF(N198="","",VLOOKUP(N198,'G-7 Rivers Data'!$B$2:$G$8,2,FALSE))</f>
        <v/>
      </c>
      <c r="S198" s="499" t="str">
        <f>IFERROR(VLOOKUP(R198,'G-7 Rivers Data'!$C$4:$D$8,2,FALSE),"")</f>
        <v/>
      </c>
      <c r="T198" s="145"/>
      <c r="U198" s="499" t="str">
        <f>IFERROR(INDEX('G-7 Rivers Data'!$H$4:$L$8,MATCH(N198,'G-7 Rivers Data'!$B$4:$B$8,0),MATCH(T198,'G-7 Rivers Data'!$H$3:$L$3,0)),"")</f>
        <v/>
      </c>
      <c r="V198" s="154"/>
      <c r="W198" s="507" t="str">
        <f>IF(V198="","",IF(VLOOKUP(V198,'G-7 Rivers Data'!$AG$4:$AI$9,2,FALSE)=0,"Spatial Data Missing ⚠",VLOOKUP(V198,'G-7 Rivers Data'!$AG$4:$AI$9,2,FALSE)))</f>
        <v/>
      </c>
      <c r="X198" s="499" t="str">
        <f>IF(V198="","",IF(VLOOKUP(V198,'G-7 Rivers Data'!$AG$4:$AI$9,3,FALSE)=0,"Spatial Data Missing ⚠",VLOOKUP(V198,'G-7 Rivers Data'!$AG$4:$AI$9,3,FALSE)))</f>
        <v/>
      </c>
      <c r="Y198" s="498" t="str">
        <f>IFERROR(IF(OR(LEFT(P198,5)="Error ▲",LEFT(O198,5)="Error ▲"),"Check Data ⚠",IF(F198&lt;S198,'G-7 Rivers Data'!$R$3,INDEX('G-7 Rivers Data'!$U$5:$Y$9,MATCH(G198,'G-7 Rivers Data'!$T$5:$T$9,0),MATCH(T198,'G-7 Rivers Data'!$U$4:$Y$4,0)))),"")</f>
        <v/>
      </c>
      <c r="Z198" s="195"/>
      <c r="AA198" s="195"/>
      <c r="AB198" s="507" t="str">
        <f t="shared" si="19"/>
        <v/>
      </c>
      <c r="AC198" s="521" t="str">
        <f t="shared" si="20"/>
        <v/>
      </c>
      <c r="AD198" s="564" t="str">
        <f>IFERROR(IF(AC198="Check Data ⚠","Check Data ⚠",VLOOKUP(AC198,'G-4 Temporal multipliers'!$A$4:$C$37,3,FALSE)),"")</f>
        <v/>
      </c>
      <c r="AE198" s="498" t="str">
        <f>IF(N198="","",VLOOKUP(N198,'G-7 Rivers Data'!$B$4:$G$8,5,FALSE))</f>
        <v/>
      </c>
      <c r="AF198" s="507" t="str">
        <f t="shared" si="21"/>
        <v/>
      </c>
      <c r="AG198" s="540" t="str">
        <f t="shared" si="22"/>
        <v/>
      </c>
      <c r="AH198" s="499" t="str">
        <f t="shared" si="16"/>
        <v/>
      </c>
      <c r="AI198" s="145"/>
      <c r="AJ198" s="499" t="str">
        <f>IF(AI198="","",IF(VLOOKUP(AI198,'G-7 Rivers Data'!$AA$4:$AB$7,2,FALSE)=0,"Spatial Data Missing ⚠",VLOOKUP(AI198,'G-7 Rivers Data'!$AA$4:$AB$7,2,FALSE)))</f>
        <v/>
      </c>
      <c r="AK198" s="155"/>
      <c r="AL198" s="499" t="str">
        <f>IF(AK198="","",IF(VLOOKUP(AK198,'G-7 Rivers Data'!$AD$4:$AE$8,2,FALSE)=0,"Spatial Data Missing ⚠",VLOOKUP(AK198,'G-7 Rivers Data'!$AD$4:$AE$8,2,FALSE)))</f>
        <v/>
      </c>
      <c r="AM198" s="545" t="str">
        <f t="shared" si="23"/>
        <v/>
      </c>
      <c r="AN198" s="149"/>
      <c r="AO198" s="150"/>
      <c r="AV198" s="31" t="str">
        <f>IFERROR(INDEX('G-7 Rivers Data'!$AZ$3:$AZ$7,MATCH(N198,'G-7 Rivers Data'!$AY$3:$AY$7,0)),"")</f>
        <v/>
      </c>
    </row>
    <row r="199" spans="2:48" ht="13.8" x14ac:dyDescent="0.25">
      <c r="B199" s="531" t="str">
        <f>'C-1 Site River Baseline'!AN197</f>
        <v/>
      </c>
      <c r="C199" s="520" t="str">
        <f>IF(B199="","",VLOOKUP($B199,'C-1 Site River Baseline'!$C$9:$R$257,2,FALSE))</f>
        <v/>
      </c>
      <c r="D199" s="520" t="str">
        <f>IF(C199="","",VLOOKUP($B199,'C-1 Site River Baseline'!$C$9:$R$257,3,FALSE))</f>
        <v/>
      </c>
      <c r="E199" s="520" t="str">
        <f>IF(D199="","",VLOOKUP($B199,'C-1 Site River Baseline'!$C$9:$R$257,4,FALSE))</f>
        <v/>
      </c>
      <c r="F199" s="520" t="str">
        <f>IF(E199="","",VLOOKUP($B199,'C-1 Site River Baseline'!$C$9:$R$257,5,FALSE))</f>
        <v/>
      </c>
      <c r="G199" s="520" t="str">
        <f>IF(F199="","",VLOOKUP($B199,'C-1 Site River Baseline'!$C$9:$R$257,6,FALSE))</f>
        <v/>
      </c>
      <c r="H199" s="520" t="str">
        <f>IF(G199="","",VLOOKUP($B199,'C-1 Site River Baseline'!$C$9:$R$257,7,FALSE))</f>
        <v/>
      </c>
      <c r="I199" s="520" t="str">
        <f>IF(H199="","",VLOOKUP($B199,'C-1 Site River Baseline'!$C$9:$R$257,8,FALSE))</f>
        <v/>
      </c>
      <c r="J199" s="520" t="str">
        <f>IF(I199="","",VLOOKUP($B199,'C-1 Site River Baseline'!$C$9:$R$257,9,FALSE))</f>
        <v/>
      </c>
      <c r="K199" s="520" t="str">
        <f>IF(J199="","",VLOOKUP($B199,'C-1 Site River Baseline'!$C$9:$R$257,10,FALSE))</f>
        <v/>
      </c>
      <c r="L199" s="520" t="str">
        <f>IF(B199="","",VLOOKUP($B199,'C-1 Site River Baseline'!$C$9:$R$257,15,FALSE))</f>
        <v/>
      </c>
      <c r="M199" s="524" t="str">
        <f>IF(L199="","",VLOOKUP($B199,'C-1 Site River Baseline'!$C$9:$R$257,16,FALSE))</f>
        <v/>
      </c>
      <c r="N199" s="418" t="str">
        <f t="shared" si="17"/>
        <v/>
      </c>
      <c r="O199" s="498" t="str">
        <f t="shared" si="18"/>
        <v/>
      </c>
      <c r="P199" s="499" t="str">
        <f>IF(C199="","",IF(AND(LEFT(C199,55)&lt;&gt;LEFT(N199,55),O199="High - High"),"Error - Not like for like ▲",IF(AND(F199=S199,H199&gt;U199),"Error - Can not reduce condition ▲",IF(AND(F199=S199,H199=U199,AJ199='C-1 Site River Baseline'!N197,'C-1 Site River Baseline'!P197=AL199),"Error - No enhancement ▲",IF(AND(C199&lt;&gt;N199,F199&lt;S199),"Lower Distinctiveness Habitat"&amp;" - "&amp;T199,G199&amp;" - "&amp;T199)))))</f>
        <v/>
      </c>
      <c r="Q199" s="567" t="str">
        <f>IF(N199="","",VLOOKUP(B199,'C-1 Site River Baseline'!$C$10:$AA$257,19,FALSE))</f>
        <v/>
      </c>
      <c r="R199" s="498" t="str">
        <f>IF(N199="","",VLOOKUP(N199,'G-7 Rivers Data'!$B$2:$G$8,2,FALSE))</f>
        <v/>
      </c>
      <c r="S199" s="499" t="str">
        <f>IFERROR(VLOOKUP(R199,'G-7 Rivers Data'!$C$4:$D$8,2,FALSE),"")</f>
        <v/>
      </c>
      <c r="T199" s="145"/>
      <c r="U199" s="499" t="str">
        <f>IFERROR(INDEX('G-7 Rivers Data'!$H$4:$L$8,MATCH(N199,'G-7 Rivers Data'!$B$4:$B$8,0),MATCH(T199,'G-7 Rivers Data'!$H$3:$L$3,0)),"")</f>
        <v/>
      </c>
      <c r="V199" s="154"/>
      <c r="W199" s="507" t="str">
        <f>IF(V199="","",IF(VLOOKUP(V199,'G-7 Rivers Data'!$AG$4:$AI$9,2,FALSE)=0,"Spatial Data Missing ⚠",VLOOKUP(V199,'G-7 Rivers Data'!$AG$4:$AI$9,2,FALSE)))</f>
        <v/>
      </c>
      <c r="X199" s="499" t="str">
        <f>IF(V199="","",IF(VLOOKUP(V199,'G-7 Rivers Data'!$AG$4:$AI$9,3,FALSE)=0,"Spatial Data Missing ⚠",VLOOKUP(V199,'G-7 Rivers Data'!$AG$4:$AI$9,3,FALSE)))</f>
        <v/>
      </c>
      <c r="Y199" s="498" t="str">
        <f>IFERROR(IF(OR(LEFT(P199,5)="Error ▲",LEFT(O199,5)="Error ▲"),"Check Data ⚠",IF(F199&lt;S199,'G-7 Rivers Data'!$R$3,INDEX('G-7 Rivers Data'!$U$5:$Y$9,MATCH(G199,'G-7 Rivers Data'!$T$5:$T$9,0),MATCH(T199,'G-7 Rivers Data'!$U$4:$Y$4,0)))),"")</f>
        <v/>
      </c>
      <c r="Z199" s="195"/>
      <c r="AA199" s="195"/>
      <c r="AB199" s="507" t="str">
        <f t="shared" si="19"/>
        <v/>
      </c>
      <c r="AC199" s="521" t="str">
        <f t="shared" si="20"/>
        <v/>
      </c>
      <c r="AD199" s="564" t="str">
        <f>IFERROR(IF(AC199="Check Data ⚠","Check Data ⚠",VLOOKUP(AC199,'G-4 Temporal multipliers'!$A$4:$C$37,3,FALSE)),"")</f>
        <v/>
      </c>
      <c r="AE199" s="498" t="str">
        <f>IF(N199="","",VLOOKUP(N199,'G-7 Rivers Data'!$B$4:$G$8,5,FALSE))</f>
        <v/>
      </c>
      <c r="AF199" s="507" t="str">
        <f t="shared" si="21"/>
        <v/>
      </c>
      <c r="AG199" s="540" t="str">
        <f t="shared" si="22"/>
        <v/>
      </c>
      <c r="AH199" s="499" t="str">
        <f t="shared" si="16"/>
        <v/>
      </c>
      <c r="AI199" s="145"/>
      <c r="AJ199" s="499" t="str">
        <f>IF(AI199="","",IF(VLOOKUP(AI199,'G-7 Rivers Data'!$AA$4:$AB$7,2,FALSE)=0,"Spatial Data Missing ⚠",VLOOKUP(AI199,'G-7 Rivers Data'!$AA$4:$AB$7,2,FALSE)))</f>
        <v/>
      </c>
      <c r="AK199" s="155"/>
      <c r="AL199" s="499" t="str">
        <f>IF(AK199="","",IF(VLOOKUP(AK199,'G-7 Rivers Data'!$AD$4:$AE$8,2,FALSE)=0,"Spatial Data Missing ⚠",VLOOKUP(AK199,'G-7 Rivers Data'!$AD$4:$AE$8,2,FALSE)))</f>
        <v/>
      </c>
      <c r="AM199" s="545" t="str">
        <f t="shared" si="23"/>
        <v/>
      </c>
      <c r="AN199" s="149"/>
      <c r="AO199" s="150"/>
      <c r="AV199" s="31" t="str">
        <f>IFERROR(INDEX('G-7 Rivers Data'!$AZ$3:$AZ$7,MATCH(N199,'G-7 Rivers Data'!$AY$3:$AY$7,0)),"")</f>
        <v/>
      </c>
    </row>
    <row r="200" spans="2:48" ht="13.8" x14ac:dyDescent="0.25">
      <c r="B200" s="531" t="str">
        <f>'C-1 Site River Baseline'!AN198</f>
        <v/>
      </c>
      <c r="C200" s="520" t="str">
        <f>IF(B200="","",VLOOKUP($B200,'C-1 Site River Baseline'!$C$9:$R$257,2,FALSE))</f>
        <v/>
      </c>
      <c r="D200" s="520" t="str">
        <f>IF(C200="","",VLOOKUP($B200,'C-1 Site River Baseline'!$C$9:$R$257,3,FALSE))</f>
        <v/>
      </c>
      <c r="E200" s="520" t="str">
        <f>IF(D200="","",VLOOKUP($B200,'C-1 Site River Baseline'!$C$9:$R$257,4,FALSE))</f>
        <v/>
      </c>
      <c r="F200" s="520" t="str">
        <f>IF(E200="","",VLOOKUP($B200,'C-1 Site River Baseline'!$C$9:$R$257,5,FALSE))</f>
        <v/>
      </c>
      <c r="G200" s="520" t="str">
        <f>IF(F200="","",VLOOKUP($B200,'C-1 Site River Baseline'!$C$9:$R$257,6,FALSE))</f>
        <v/>
      </c>
      <c r="H200" s="520" t="str">
        <f>IF(G200="","",VLOOKUP($B200,'C-1 Site River Baseline'!$C$9:$R$257,7,FALSE))</f>
        <v/>
      </c>
      <c r="I200" s="520" t="str">
        <f>IF(H200="","",VLOOKUP($B200,'C-1 Site River Baseline'!$C$9:$R$257,8,FALSE))</f>
        <v/>
      </c>
      <c r="J200" s="520" t="str">
        <f>IF(I200="","",VLOOKUP($B200,'C-1 Site River Baseline'!$C$9:$R$257,9,FALSE))</f>
        <v/>
      </c>
      <c r="K200" s="520" t="str">
        <f>IF(J200="","",VLOOKUP($B200,'C-1 Site River Baseline'!$C$9:$R$257,10,FALSE))</f>
        <v/>
      </c>
      <c r="L200" s="520" t="str">
        <f>IF(B200="","",VLOOKUP($B200,'C-1 Site River Baseline'!$C$9:$R$257,15,FALSE))</f>
        <v/>
      </c>
      <c r="M200" s="524" t="str">
        <f>IF(L200="","",VLOOKUP($B200,'C-1 Site River Baseline'!$C$9:$R$257,16,FALSE))</f>
        <v/>
      </c>
      <c r="N200" s="418" t="str">
        <f t="shared" si="17"/>
        <v/>
      </c>
      <c r="O200" s="498" t="str">
        <f t="shared" si="18"/>
        <v/>
      </c>
      <c r="P200" s="499" t="str">
        <f>IF(C200="","",IF(AND(LEFT(C200,55)&lt;&gt;LEFT(N200,55),O200="High - High"),"Error - Not like for like ▲",IF(AND(F200=S200,H200&gt;U200),"Error - Can not reduce condition ▲",IF(AND(F200=S200,H200=U200,AJ200='C-1 Site River Baseline'!N198,'C-1 Site River Baseline'!P198=AL200),"Error - No enhancement ▲",IF(AND(C200&lt;&gt;N200,F200&lt;S200),"Lower Distinctiveness Habitat"&amp;" - "&amp;T200,G200&amp;" - "&amp;T200)))))</f>
        <v/>
      </c>
      <c r="Q200" s="567" t="str">
        <f>IF(N200="","",VLOOKUP(B200,'C-1 Site River Baseline'!$C$10:$AA$257,19,FALSE))</f>
        <v/>
      </c>
      <c r="R200" s="498" t="str">
        <f>IF(N200="","",VLOOKUP(N200,'G-7 Rivers Data'!$B$2:$G$8,2,FALSE))</f>
        <v/>
      </c>
      <c r="S200" s="499" t="str">
        <f>IFERROR(VLOOKUP(R200,'G-7 Rivers Data'!$C$4:$D$8,2,FALSE),"")</f>
        <v/>
      </c>
      <c r="T200" s="145"/>
      <c r="U200" s="499" t="str">
        <f>IFERROR(INDEX('G-7 Rivers Data'!$H$4:$L$8,MATCH(N200,'G-7 Rivers Data'!$B$4:$B$8,0),MATCH(T200,'G-7 Rivers Data'!$H$3:$L$3,0)),"")</f>
        <v/>
      </c>
      <c r="V200" s="154"/>
      <c r="W200" s="507" t="str">
        <f>IF(V200="","",IF(VLOOKUP(V200,'G-7 Rivers Data'!$AG$4:$AI$9,2,FALSE)=0,"Spatial Data Missing ⚠",VLOOKUP(V200,'G-7 Rivers Data'!$AG$4:$AI$9,2,FALSE)))</f>
        <v/>
      </c>
      <c r="X200" s="499" t="str">
        <f>IF(V200="","",IF(VLOOKUP(V200,'G-7 Rivers Data'!$AG$4:$AI$9,3,FALSE)=0,"Spatial Data Missing ⚠",VLOOKUP(V200,'G-7 Rivers Data'!$AG$4:$AI$9,3,FALSE)))</f>
        <v/>
      </c>
      <c r="Y200" s="498" t="str">
        <f>IFERROR(IF(OR(LEFT(P200,5)="Error ▲",LEFT(O200,5)="Error ▲"),"Check Data ⚠",IF(F200&lt;S200,'G-7 Rivers Data'!$R$3,INDEX('G-7 Rivers Data'!$U$5:$Y$9,MATCH(G200,'G-7 Rivers Data'!$T$5:$T$9,0),MATCH(T200,'G-7 Rivers Data'!$U$4:$Y$4,0)))),"")</f>
        <v/>
      </c>
      <c r="Z200" s="195"/>
      <c r="AA200" s="195"/>
      <c r="AB200" s="507" t="str">
        <f t="shared" si="19"/>
        <v/>
      </c>
      <c r="AC200" s="521" t="str">
        <f t="shared" si="20"/>
        <v/>
      </c>
      <c r="AD200" s="564" t="str">
        <f>IFERROR(IF(AC200="Check Data ⚠","Check Data ⚠",VLOOKUP(AC200,'G-4 Temporal multipliers'!$A$4:$C$37,3,FALSE)),"")</f>
        <v/>
      </c>
      <c r="AE200" s="498" t="str">
        <f>IF(N200="","",VLOOKUP(N200,'G-7 Rivers Data'!$B$4:$G$8,5,FALSE))</f>
        <v/>
      </c>
      <c r="AF200" s="507" t="str">
        <f t="shared" si="21"/>
        <v/>
      </c>
      <c r="AG200" s="540" t="str">
        <f t="shared" si="22"/>
        <v/>
      </c>
      <c r="AH200" s="499" t="str">
        <f t="shared" si="16"/>
        <v/>
      </c>
      <c r="AI200" s="145"/>
      <c r="AJ200" s="499" t="str">
        <f>IF(AI200="","",IF(VLOOKUP(AI200,'G-7 Rivers Data'!$AA$4:$AB$7,2,FALSE)=0,"Spatial Data Missing ⚠",VLOOKUP(AI200,'G-7 Rivers Data'!$AA$4:$AB$7,2,FALSE)))</f>
        <v/>
      </c>
      <c r="AK200" s="155"/>
      <c r="AL200" s="499" t="str">
        <f>IF(AK200="","",IF(VLOOKUP(AK200,'G-7 Rivers Data'!$AD$4:$AE$8,2,FALSE)=0,"Spatial Data Missing ⚠",VLOOKUP(AK200,'G-7 Rivers Data'!$AD$4:$AE$8,2,FALSE)))</f>
        <v/>
      </c>
      <c r="AM200" s="545" t="str">
        <f t="shared" si="23"/>
        <v/>
      </c>
      <c r="AN200" s="149"/>
      <c r="AO200" s="150"/>
      <c r="AV200" s="31" t="str">
        <f>IFERROR(INDEX('G-7 Rivers Data'!$AZ$3:$AZ$7,MATCH(N200,'G-7 Rivers Data'!$AY$3:$AY$7,0)),"")</f>
        <v/>
      </c>
    </row>
    <row r="201" spans="2:48" ht="13.8" x14ac:dyDescent="0.25">
      <c r="B201" s="531" t="str">
        <f>'C-1 Site River Baseline'!AN199</f>
        <v/>
      </c>
      <c r="C201" s="520" t="str">
        <f>IF(B201="","",VLOOKUP($B201,'C-1 Site River Baseline'!$C$9:$R$257,2,FALSE))</f>
        <v/>
      </c>
      <c r="D201" s="520" t="str">
        <f>IF(C201="","",VLOOKUP($B201,'C-1 Site River Baseline'!$C$9:$R$257,3,FALSE))</f>
        <v/>
      </c>
      <c r="E201" s="520" t="str">
        <f>IF(D201="","",VLOOKUP($B201,'C-1 Site River Baseline'!$C$9:$R$257,4,FALSE))</f>
        <v/>
      </c>
      <c r="F201" s="520" t="str">
        <f>IF(E201="","",VLOOKUP($B201,'C-1 Site River Baseline'!$C$9:$R$257,5,FALSE))</f>
        <v/>
      </c>
      <c r="G201" s="520" t="str">
        <f>IF(F201="","",VLOOKUP($B201,'C-1 Site River Baseline'!$C$9:$R$257,6,FALSE))</f>
        <v/>
      </c>
      <c r="H201" s="520" t="str">
        <f>IF(G201="","",VLOOKUP($B201,'C-1 Site River Baseline'!$C$9:$R$257,7,FALSE))</f>
        <v/>
      </c>
      <c r="I201" s="520" t="str">
        <f>IF(H201="","",VLOOKUP($B201,'C-1 Site River Baseline'!$C$9:$R$257,8,FALSE))</f>
        <v/>
      </c>
      <c r="J201" s="520" t="str">
        <f>IF(I201="","",VLOOKUP($B201,'C-1 Site River Baseline'!$C$9:$R$257,9,FALSE))</f>
        <v/>
      </c>
      <c r="K201" s="520" t="str">
        <f>IF(J201="","",VLOOKUP($B201,'C-1 Site River Baseline'!$C$9:$R$257,10,FALSE))</f>
        <v/>
      </c>
      <c r="L201" s="520" t="str">
        <f>IF(B201="","",VLOOKUP($B201,'C-1 Site River Baseline'!$C$9:$R$257,15,FALSE))</f>
        <v/>
      </c>
      <c r="M201" s="524" t="str">
        <f>IF(L201="","",VLOOKUP($B201,'C-1 Site River Baseline'!$C$9:$R$257,16,FALSE))</f>
        <v/>
      </c>
      <c r="N201" s="418" t="str">
        <f t="shared" si="17"/>
        <v/>
      </c>
      <c r="O201" s="498" t="str">
        <f t="shared" si="18"/>
        <v/>
      </c>
      <c r="P201" s="499" t="str">
        <f>IF(C201="","",IF(AND(LEFT(C201,55)&lt;&gt;LEFT(N201,55),O201="High - High"),"Error - Not like for like ▲",IF(AND(F201=S201,H201&gt;U201),"Error - Can not reduce condition ▲",IF(AND(F201=S201,H201=U201,AJ201='C-1 Site River Baseline'!N199,'C-1 Site River Baseline'!P199=AL201),"Error - No enhancement ▲",IF(AND(C201&lt;&gt;N201,F201&lt;S201),"Lower Distinctiveness Habitat"&amp;" - "&amp;T201,G201&amp;" - "&amp;T201)))))</f>
        <v/>
      </c>
      <c r="Q201" s="567" t="str">
        <f>IF(N201="","",VLOOKUP(B201,'C-1 Site River Baseline'!$C$10:$AA$257,19,FALSE))</f>
        <v/>
      </c>
      <c r="R201" s="498" t="str">
        <f>IF(N201="","",VLOOKUP(N201,'G-7 Rivers Data'!$B$2:$G$8,2,FALSE))</f>
        <v/>
      </c>
      <c r="S201" s="499" t="str">
        <f>IFERROR(VLOOKUP(R201,'G-7 Rivers Data'!$C$4:$D$8,2,FALSE),"")</f>
        <v/>
      </c>
      <c r="T201" s="145"/>
      <c r="U201" s="499" t="str">
        <f>IFERROR(INDEX('G-7 Rivers Data'!$H$4:$L$8,MATCH(N201,'G-7 Rivers Data'!$B$4:$B$8,0),MATCH(T201,'G-7 Rivers Data'!$H$3:$L$3,0)),"")</f>
        <v/>
      </c>
      <c r="V201" s="154"/>
      <c r="W201" s="507" t="str">
        <f>IF(V201="","",IF(VLOOKUP(V201,'G-7 Rivers Data'!$AG$4:$AI$9,2,FALSE)=0,"Spatial Data Missing ⚠",VLOOKUP(V201,'G-7 Rivers Data'!$AG$4:$AI$9,2,FALSE)))</f>
        <v/>
      </c>
      <c r="X201" s="499" t="str">
        <f>IF(V201="","",IF(VLOOKUP(V201,'G-7 Rivers Data'!$AG$4:$AI$9,3,FALSE)=0,"Spatial Data Missing ⚠",VLOOKUP(V201,'G-7 Rivers Data'!$AG$4:$AI$9,3,FALSE)))</f>
        <v/>
      </c>
      <c r="Y201" s="498" t="str">
        <f>IFERROR(IF(OR(LEFT(P201,5)="Error ▲",LEFT(O201,5)="Error ▲"),"Check Data ⚠",IF(F201&lt;S201,'G-7 Rivers Data'!$R$3,INDEX('G-7 Rivers Data'!$U$5:$Y$9,MATCH(G201,'G-7 Rivers Data'!$T$5:$T$9,0),MATCH(T201,'G-7 Rivers Data'!$U$4:$Y$4,0)))),"")</f>
        <v/>
      </c>
      <c r="Z201" s="195"/>
      <c r="AA201" s="195"/>
      <c r="AB201" s="507" t="str">
        <f t="shared" si="19"/>
        <v/>
      </c>
      <c r="AC201" s="521" t="str">
        <f t="shared" si="20"/>
        <v/>
      </c>
      <c r="AD201" s="564" t="str">
        <f>IFERROR(IF(AC201="Check Data ⚠","Check Data ⚠",VLOOKUP(AC201,'G-4 Temporal multipliers'!$A$4:$C$37,3,FALSE)),"")</f>
        <v/>
      </c>
      <c r="AE201" s="498" t="str">
        <f>IF(N201="","",VLOOKUP(N201,'G-7 Rivers Data'!$B$4:$G$8,5,FALSE))</f>
        <v/>
      </c>
      <c r="AF201" s="507" t="str">
        <f t="shared" si="21"/>
        <v/>
      </c>
      <c r="AG201" s="540" t="str">
        <f t="shared" si="22"/>
        <v/>
      </c>
      <c r="AH201" s="499" t="str">
        <f t="shared" si="16"/>
        <v/>
      </c>
      <c r="AI201" s="145"/>
      <c r="AJ201" s="499" t="str">
        <f>IF(AI201="","",IF(VLOOKUP(AI201,'G-7 Rivers Data'!$AA$4:$AB$7,2,FALSE)=0,"Spatial Data Missing ⚠",VLOOKUP(AI201,'G-7 Rivers Data'!$AA$4:$AB$7,2,FALSE)))</f>
        <v/>
      </c>
      <c r="AK201" s="155"/>
      <c r="AL201" s="499" t="str">
        <f>IF(AK201="","",IF(VLOOKUP(AK201,'G-7 Rivers Data'!$AD$4:$AE$8,2,FALSE)=0,"Spatial Data Missing ⚠",VLOOKUP(AK201,'G-7 Rivers Data'!$AD$4:$AE$8,2,FALSE)))</f>
        <v/>
      </c>
      <c r="AM201" s="545" t="str">
        <f t="shared" si="23"/>
        <v/>
      </c>
      <c r="AN201" s="149"/>
      <c r="AO201" s="150"/>
      <c r="AV201" s="31" t="str">
        <f>IFERROR(INDEX('G-7 Rivers Data'!$AZ$3:$AZ$7,MATCH(N201,'G-7 Rivers Data'!$AY$3:$AY$7,0)),"")</f>
        <v/>
      </c>
    </row>
    <row r="202" spans="2:48" ht="13.8" x14ac:dyDescent="0.25">
      <c r="B202" s="531" t="str">
        <f>'C-1 Site River Baseline'!AN200</f>
        <v/>
      </c>
      <c r="C202" s="520" t="str">
        <f>IF(B202="","",VLOOKUP($B202,'C-1 Site River Baseline'!$C$9:$R$257,2,FALSE))</f>
        <v/>
      </c>
      <c r="D202" s="520" t="str">
        <f>IF(C202="","",VLOOKUP($B202,'C-1 Site River Baseline'!$C$9:$R$257,3,FALSE))</f>
        <v/>
      </c>
      <c r="E202" s="520" t="str">
        <f>IF(D202="","",VLOOKUP($B202,'C-1 Site River Baseline'!$C$9:$R$257,4,FALSE))</f>
        <v/>
      </c>
      <c r="F202" s="520" t="str">
        <f>IF(E202="","",VLOOKUP($B202,'C-1 Site River Baseline'!$C$9:$R$257,5,FALSE))</f>
        <v/>
      </c>
      <c r="G202" s="520" t="str">
        <f>IF(F202="","",VLOOKUP($B202,'C-1 Site River Baseline'!$C$9:$R$257,6,FALSE))</f>
        <v/>
      </c>
      <c r="H202" s="520" t="str">
        <f>IF(G202="","",VLOOKUP($B202,'C-1 Site River Baseline'!$C$9:$R$257,7,FALSE))</f>
        <v/>
      </c>
      <c r="I202" s="520" t="str">
        <f>IF(H202="","",VLOOKUP($B202,'C-1 Site River Baseline'!$C$9:$R$257,8,FALSE))</f>
        <v/>
      </c>
      <c r="J202" s="520" t="str">
        <f>IF(I202="","",VLOOKUP($B202,'C-1 Site River Baseline'!$C$9:$R$257,9,FALSE))</f>
        <v/>
      </c>
      <c r="K202" s="520" t="str">
        <f>IF(J202="","",VLOOKUP($B202,'C-1 Site River Baseline'!$C$9:$R$257,10,FALSE))</f>
        <v/>
      </c>
      <c r="L202" s="520" t="str">
        <f>IF(B202="","",VLOOKUP($B202,'C-1 Site River Baseline'!$C$9:$R$257,15,FALSE))</f>
        <v/>
      </c>
      <c r="M202" s="524" t="str">
        <f>IF(L202="","",VLOOKUP($B202,'C-1 Site River Baseline'!$C$9:$R$257,16,FALSE))</f>
        <v/>
      </c>
      <c r="N202" s="418" t="str">
        <f t="shared" si="17"/>
        <v/>
      </c>
      <c r="O202" s="498" t="str">
        <f t="shared" si="18"/>
        <v/>
      </c>
      <c r="P202" s="499" t="str">
        <f>IF(C202="","",IF(AND(LEFT(C202,55)&lt;&gt;LEFT(N202,55),O202="High - High"),"Error - Not like for like ▲",IF(AND(F202=S202,H202&gt;U202),"Error - Can not reduce condition ▲",IF(AND(F202=S202,H202=U202,AJ202='C-1 Site River Baseline'!N200,'C-1 Site River Baseline'!P200=AL202),"Error - No enhancement ▲",IF(AND(C202&lt;&gt;N202,F202&lt;S202),"Lower Distinctiveness Habitat"&amp;" - "&amp;T202,G202&amp;" - "&amp;T202)))))</f>
        <v/>
      </c>
      <c r="Q202" s="567" t="str">
        <f>IF(N202="","",VLOOKUP(B202,'C-1 Site River Baseline'!$C$10:$AA$257,19,FALSE))</f>
        <v/>
      </c>
      <c r="R202" s="498" t="str">
        <f>IF(N202="","",VLOOKUP(N202,'G-7 Rivers Data'!$B$2:$G$8,2,FALSE))</f>
        <v/>
      </c>
      <c r="S202" s="499" t="str">
        <f>IFERROR(VLOOKUP(R202,'G-7 Rivers Data'!$C$4:$D$8,2,FALSE),"")</f>
        <v/>
      </c>
      <c r="T202" s="145"/>
      <c r="U202" s="499" t="str">
        <f>IFERROR(INDEX('G-7 Rivers Data'!$H$4:$L$8,MATCH(N202,'G-7 Rivers Data'!$B$4:$B$8,0),MATCH(T202,'G-7 Rivers Data'!$H$3:$L$3,0)),"")</f>
        <v/>
      </c>
      <c r="V202" s="154"/>
      <c r="W202" s="507" t="str">
        <f>IF(V202="","",IF(VLOOKUP(V202,'G-7 Rivers Data'!$AG$4:$AI$9,2,FALSE)=0,"Spatial Data Missing ⚠",VLOOKUP(V202,'G-7 Rivers Data'!$AG$4:$AI$9,2,FALSE)))</f>
        <v/>
      </c>
      <c r="X202" s="499" t="str">
        <f>IF(V202="","",IF(VLOOKUP(V202,'G-7 Rivers Data'!$AG$4:$AI$9,3,FALSE)=0,"Spatial Data Missing ⚠",VLOOKUP(V202,'G-7 Rivers Data'!$AG$4:$AI$9,3,FALSE)))</f>
        <v/>
      </c>
      <c r="Y202" s="498" t="str">
        <f>IFERROR(IF(OR(LEFT(P202,5)="Error ▲",LEFT(O202,5)="Error ▲"),"Check Data ⚠",IF(F202&lt;S202,'G-7 Rivers Data'!$R$3,INDEX('G-7 Rivers Data'!$U$5:$Y$9,MATCH(G202,'G-7 Rivers Data'!$T$5:$T$9,0),MATCH(T202,'G-7 Rivers Data'!$U$4:$Y$4,0)))),"")</f>
        <v/>
      </c>
      <c r="Z202" s="195"/>
      <c r="AA202" s="195"/>
      <c r="AB202" s="507" t="str">
        <f t="shared" si="19"/>
        <v/>
      </c>
      <c r="AC202" s="521" t="str">
        <f t="shared" si="20"/>
        <v/>
      </c>
      <c r="AD202" s="564" t="str">
        <f>IFERROR(IF(AC202="Check Data ⚠","Check Data ⚠",VLOOKUP(AC202,'G-4 Temporal multipliers'!$A$4:$C$37,3,FALSE)),"")</f>
        <v/>
      </c>
      <c r="AE202" s="498" t="str">
        <f>IF(N202="","",VLOOKUP(N202,'G-7 Rivers Data'!$B$4:$G$8,5,FALSE))</f>
        <v/>
      </c>
      <c r="AF202" s="507" t="str">
        <f t="shared" si="21"/>
        <v/>
      </c>
      <c r="AG202" s="540" t="str">
        <f t="shared" si="22"/>
        <v/>
      </c>
      <c r="AH202" s="499" t="str">
        <f t="shared" si="16"/>
        <v/>
      </c>
      <c r="AI202" s="145"/>
      <c r="AJ202" s="499" t="str">
        <f>IF(AI202="","",IF(VLOOKUP(AI202,'G-7 Rivers Data'!$AA$4:$AB$7,2,FALSE)=0,"Spatial Data Missing ⚠",VLOOKUP(AI202,'G-7 Rivers Data'!$AA$4:$AB$7,2,FALSE)))</f>
        <v/>
      </c>
      <c r="AK202" s="155"/>
      <c r="AL202" s="499" t="str">
        <f>IF(AK202="","",IF(VLOOKUP(AK202,'G-7 Rivers Data'!$AD$4:$AE$8,2,FALSE)=0,"Spatial Data Missing ⚠",VLOOKUP(AK202,'G-7 Rivers Data'!$AD$4:$AE$8,2,FALSE)))</f>
        <v/>
      </c>
      <c r="AM202" s="545" t="str">
        <f t="shared" si="23"/>
        <v/>
      </c>
      <c r="AN202" s="149"/>
      <c r="AO202" s="150"/>
      <c r="AV202" s="31" t="str">
        <f>IFERROR(INDEX('G-7 Rivers Data'!$AZ$3:$AZ$7,MATCH(N202,'G-7 Rivers Data'!$AY$3:$AY$7,0)),"")</f>
        <v/>
      </c>
    </row>
    <row r="203" spans="2:48" ht="13.8" x14ac:dyDescent="0.25">
      <c r="B203" s="531" t="str">
        <f>'C-1 Site River Baseline'!AN201</f>
        <v/>
      </c>
      <c r="C203" s="520" t="str">
        <f>IF(B203="","",VLOOKUP($B203,'C-1 Site River Baseline'!$C$9:$R$257,2,FALSE))</f>
        <v/>
      </c>
      <c r="D203" s="520" t="str">
        <f>IF(C203="","",VLOOKUP($B203,'C-1 Site River Baseline'!$C$9:$R$257,3,FALSE))</f>
        <v/>
      </c>
      <c r="E203" s="520" t="str">
        <f>IF(D203="","",VLOOKUP($B203,'C-1 Site River Baseline'!$C$9:$R$257,4,FALSE))</f>
        <v/>
      </c>
      <c r="F203" s="520" t="str">
        <f>IF(E203="","",VLOOKUP($B203,'C-1 Site River Baseline'!$C$9:$R$257,5,FALSE))</f>
        <v/>
      </c>
      <c r="G203" s="520" t="str">
        <f>IF(F203="","",VLOOKUP($B203,'C-1 Site River Baseline'!$C$9:$R$257,6,FALSE))</f>
        <v/>
      </c>
      <c r="H203" s="520" t="str">
        <f>IF(G203="","",VLOOKUP($B203,'C-1 Site River Baseline'!$C$9:$R$257,7,FALSE))</f>
        <v/>
      </c>
      <c r="I203" s="520" t="str">
        <f>IF(H203="","",VLOOKUP($B203,'C-1 Site River Baseline'!$C$9:$R$257,8,FALSE))</f>
        <v/>
      </c>
      <c r="J203" s="520" t="str">
        <f>IF(I203="","",VLOOKUP($B203,'C-1 Site River Baseline'!$C$9:$R$257,9,FALSE))</f>
        <v/>
      </c>
      <c r="K203" s="520" t="str">
        <f>IF(J203="","",VLOOKUP($B203,'C-1 Site River Baseline'!$C$9:$R$257,10,FALSE))</f>
        <v/>
      </c>
      <c r="L203" s="520" t="str">
        <f>IF(B203="","",VLOOKUP($B203,'C-1 Site River Baseline'!$C$9:$R$257,15,FALSE))</f>
        <v/>
      </c>
      <c r="M203" s="524" t="str">
        <f>IF(L203="","",VLOOKUP($B203,'C-1 Site River Baseline'!$C$9:$R$257,16,FALSE))</f>
        <v/>
      </c>
      <c r="N203" s="418" t="str">
        <f t="shared" si="17"/>
        <v/>
      </c>
      <c r="O203" s="498" t="str">
        <f t="shared" si="18"/>
        <v/>
      </c>
      <c r="P203" s="499" t="str">
        <f>IF(C203="","",IF(AND(LEFT(C203,55)&lt;&gt;LEFT(N203,55),O203="High - High"),"Error - Not like for like ▲",IF(AND(F203=S203,H203&gt;U203),"Error - Can not reduce condition ▲",IF(AND(F203=S203,H203=U203,AJ203='C-1 Site River Baseline'!N201,'C-1 Site River Baseline'!P201=AL203),"Error - No enhancement ▲",IF(AND(C203&lt;&gt;N203,F203&lt;S203),"Lower Distinctiveness Habitat"&amp;" - "&amp;T203,G203&amp;" - "&amp;T203)))))</f>
        <v/>
      </c>
      <c r="Q203" s="567" t="str">
        <f>IF(N203="","",VLOOKUP(B203,'C-1 Site River Baseline'!$C$10:$AA$257,19,FALSE))</f>
        <v/>
      </c>
      <c r="R203" s="498" t="str">
        <f>IF(N203="","",VLOOKUP(N203,'G-7 Rivers Data'!$B$2:$G$8,2,FALSE))</f>
        <v/>
      </c>
      <c r="S203" s="499" t="str">
        <f>IFERROR(VLOOKUP(R203,'G-7 Rivers Data'!$C$4:$D$8,2,FALSE),"")</f>
        <v/>
      </c>
      <c r="T203" s="145"/>
      <c r="U203" s="499" t="str">
        <f>IFERROR(INDEX('G-7 Rivers Data'!$H$4:$L$8,MATCH(N203,'G-7 Rivers Data'!$B$4:$B$8,0),MATCH(T203,'G-7 Rivers Data'!$H$3:$L$3,0)),"")</f>
        <v/>
      </c>
      <c r="V203" s="154"/>
      <c r="W203" s="507" t="str">
        <f>IF(V203="","",IF(VLOOKUP(V203,'G-7 Rivers Data'!$AG$4:$AI$9,2,FALSE)=0,"Spatial Data Missing ⚠",VLOOKUP(V203,'G-7 Rivers Data'!$AG$4:$AI$9,2,FALSE)))</f>
        <v/>
      </c>
      <c r="X203" s="499" t="str">
        <f>IF(V203="","",IF(VLOOKUP(V203,'G-7 Rivers Data'!$AG$4:$AI$9,3,FALSE)=0,"Spatial Data Missing ⚠",VLOOKUP(V203,'G-7 Rivers Data'!$AG$4:$AI$9,3,FALSE)))</f>
        <v/>
      </c>
      <c r="Y203" s="498" t="str">
        <f>IFERROR(IF(OR(LEFT(P203,5)="Error ▲",LEFT(O203,5)="Error ▲"),"Check Data ⚠",IF(F203&lt;S203,'G-7 Rivers Data'!$R$3,INDEX('G-7 Rivers Data'!$U$5:$Y$9,MATCH(G203,'G-7 Rivers Data'!$T$5:$T$9,0),MATCH(T203,'G-7 Rivers Data'!$U$4:$Y$4,0)))),"")</f>
        <v/>
      </c>
      <c r="Z203" s="195"/>
      <c r="AA203" s="195"/>
      <c r="AB203" s="507" t="str">
        <f t="shared" si="19"/>
        <v/>
      </c>
      <c r="AC203" s="521" t="str">
        <f t="shared" si="20"/>
        <v/>
      </c>
      <c r="AD203" s="564" t="str">
        <f>IFERROR(IF(AC203="Check Data ⚠","Check Data ⚠",VLOOKUP(AC203,'G-4 Temporal multipliers'!$A$4:$C$37,3,FALSE)),"")</f>
        <v/>
      </c>
      <c r="AE203" s="498" t="str">
        <f>IF(N203="","",VLOOKUP(N203,'G-7 Rivers Data'!$B$4:$G$8,5,FALSE))</f>
        <v/>
      </c>
      <c r="AF203" s="507" t="str">
        <f t="shared" si="21"/>
        <v/>
      </c>
      <c r="AG203" s="540" t="str">
        <f t="shared" si="22"/>
        <v/>
      </c>
      <c r="AH203" s="499" t="str">
        <f t="shared" si="16"/>
        <v/>
      </c>
      <c r="AI203" s="145"/>
      <c r="AJ203" s="499" t="str">
        <f>IF(AI203="","",IF(VLOOKUP(AI203,'G-7 Rivers Data'!$AA$4:$AB$7,2,FALSE)=0,"Spatial Data Missing ⚠",VLOOKUP(AI203,'G-7 Rivers Data'!$AA$4:$AB$7,2,FALSE)))</f>
        <v/>
      </c>
      <c r="AK203" s="155"/>
      <c r="AL203" s="499" t="str">
        <f>IF(AK203="","",IF(VLOOKUP(AK203,'G-7 Rivers Data'!$AD$4:$AE$8,2,FALSE)=0,"Spatial Data Missing ⚠",VLOOKUP(AK203,'G-7 Rivers Data'!$AD$4:$AE$8,2,FALSE)))</f>
        <v/>
      </c>
      <c r="AM203" s="545" t="str">
        <f t="shared" si="23"/>
        <v/>
      </c>
      <c r="AN203" s="149"/>
      <c r="AO203" s="150"/>
      <c r="AV203" s="31" t="str">
        <f>IFERROR(INDEX('G-7 Rivers Data'!$AZ$3:$AZ$7,MATCH(N203,'G-7 Rivers Data'!$AY$3:$AY$7,0)),"")</f>
        <v/>
      </c>
    </row>
    <row r="204" spans="2:48" ht="13.8" x14ac:dyDescent="0.25">
      <c r="B204" s="531" t="str">
        <f>'C-1 Site River Baseline'!AN202</f>
        <v/>
      </c>
      <c r="C204" s="520" t="str">
        <f>IF(B204="","",VLOOKUP($B204,'C-1 Site River Baseline'!$C$9:$R$257,2,FALSE))</f>
        <v/>
      </c>
      <c r="D204" s="520" t="str">
        <f>IF(C204="","",VLOOKUP($B204,'C-1 Site River Baseline'!$C$9:$R$257,3,FALSE))</f>
        <v/>
      </c>
      <c r="E204" s="520" t="str">
        <f>IF(D204="","",VLOOKUP($B204,'C-1 Site River Baseline'!$C$9:$R$257,4,FALSE))</f>
        <v/>
      </c>
      <c r="F204" s="520" t="str">
        <f>IF(E204="","",VLOOKUP($B204,'C-1 Site River Baseline'!$C$9:$R$257,5,FALSE))</f>
        <v/>
      </c>
      <c r="G204" s="520" t="str">
        <f>IF(F204="","",VLOOKUP($B204,'C-1 Site River Baseline'!$C$9:$R$257,6,FALSE))</f>
        <v/>
      </c>
      <c r="H204" s="520" t="str">
        <f>IF(G204="","",VLOOKUP($B204,'C-1 Site River Baseline'!$C$9:$R$257,7,FALSE))</f>
        <v/>
      </c>
      <c r="I204" s="520" t="str">
        <f>IF(H204="","",VLOOKUP($B204,'C-1 Site River Baseline'!$C$9:$R$257,8,FALSE))</f>
        <v/>
      </c>
      <c r="J204" s="520" t="str">
        <f>IF(I204="","",VLOOKUP($B204,'C-1 Site River Baseline'!$C$9:$R$257,9,FALSE))</f>
        <v/>
      </c>
      <c r="K204" s="520" t="str">
        <f>IF(J204="","",VLOOKUP($B204,'C-1 Site River Baseline'!$C$9:$R$257,10,FALSE))</f>
        <v/>
      </c>
      <c r="L204" s="520" t="str">
        <f>IF(B204="","",VLOOKUP($B204,'C-1 Site River Baseline'!$C$9:$R$257,15,FALSE))</f>
        <v/>
      </c>
      <c r="M204" s="524" t="str">
        <f>IF(L204="","",VLOOKUP($B204,'C-1 Site River Baseline'!$C$9:$R$257,16,FALSE))</f>
        <v/>
      </c>
      <c r="N204" s="418" t="str">
        <f t="shared" si="17"/>
        <v/>
      </c>
      <c r="O204" s="498" t="str">
        <f t="shared" si="18"/>
        <v/>
      </c>
      <c r="P204" s="499" t="str">
        <f>IF(C204="","",IF(AND(LEFT(C204,55)&lt;&gt;LEFT(N204,55),O204="High - High"),"Error - Not like for like ▲",IF(AND(F204=S204,H204&gt;U204),"Error - Can not reduce condition ▲",IF(AND(F204=S204,H204=U204,AJ204='C-1 Site River Baseline'!N202,'C-1 Site River Baseline'!P202=AL204),"Error - No enhancement ▲",IF(AND(C204&lt;&gt;N204,F204&lt;S204),"Lower Distinctiveness Habitat"&amp;" - "&amp;T204,G204&amp;" - "&amp;T204)))))</f>
        <v/>
      </c>
      <c r="Q204" s="567" t="str">
        <f>IF(N204="","",VLOOKUP(B204,'C-1 Site River Baseline'!$C$10:$AA$257,19,FALSE))</f>
        <v/>
      </c>
      <c r="R204" s="498" t="str">
        <f>IF(N204="","",VLOOKUP(N204,'G-7 Rivers Data'!$B$2:$G$8,2,FALSE))</f>
        <v/>
      </c>
      <c r="S204" s="499" t="str">
        <f>IFERROR(VLOOKUP(R204,'G-7 Rivers Data'!$C$4:$D$8,2,FALSE),"")</f>
        <v/>
      </c>
      <c r="T204" s="145"/>
      <c r="U204" s="499" t="str">
        <f>IFERROR(INDEX('G-7 Rivers Data'!$H$4:$L$8,MATCH(N204,'G-7 Rivers Data'!$B$4:$B$8,0),MATCH(T204,'G-7 Rivers Data'!$H$3:$L$3,0)),"")</f>
        <v/>
      </c>
      <c r="V204" s="154"/>
      <c r="W204" s="507" t="str">
        <f>IF(V204="","",IF(VLOOKUP(V204,'G-7 Rivers Data'!$AG$4:$AI$9,2,FALSE)=0,"Spatial Data Missing ⚠",VLOOKUP(V204,'G-7 Rivers Data'!$AG$4:$AI$9,2,FALSE)))</f>
        <v/>
      </c>
      <c r="X204" s="499" t="str">
        <f>IF(V204="","",IF(VLOOKUP(V204,'G-7 Rivers Data'!$AG$4:$AI$9,3,FALSE)=0,"Spatial Data Missing ⚠",VLOOKUP(V204,'G-7 Rivers Data'!$AG$4:$AI$9,3,FALSE)))</f>
        <v/>
      </c>
      <c r="Y204" s="498" t="str">
        <f>IFERROR(IF(OR(LEFT(P204,5)="Error ▲",LEFT(O204,5)="Error ▲"),"Check Data ⚠",IF(F204&lt;S204,'G-7 Rivers Data'!$R$3,INDEX('G-7 Rivers Data'!$U$5:$Y$9,MATCH(G204,'G-7 Rivers Data'!$T$5:$T$9,0),MATCH(T204,'G-7 Rivers Data'!$U$4:$Y$4,0)))),"")</f>
        <v/>
      </c>
      <c r="Z204" s="195"/>
      <c r="AA204" s="195"/>
      <c r="AB204" s="507" t="str">
        <f t="shared" si="19"/>
        <v/>
      </c>
      <c r="AC204" s="521" t="str">
        <f t="shared" si="20"/>
        <v/>
      </c>
      <c r="AD204" s="564" t="str">
        <f>IFERROR(IF(AC204="Check Data ⚠","Check Data ⚠",VLOOKUP(AC204,'G-4 Temporal multipliers'!$A$4:$C$37,3,FALSE)),"")</f>
        <v/>
      </c>
      <c r="AE204" s="498" t="str">
        <f>IF(N204="","",VLOOKUP(N204,'G-7 Rivers Data'!$B$4:$G$8,5,FALSE))</f>
        <v/>
      </c>
      <c r="AF204" s="507" t="str">
        <f t="shared" si="21"/>
        <v/>
      </c>
      <c r="AG204" s="540" t="str">
        <f t="shared" si="22"/>
        <v/>
      </c>
      <c r="AH204" s="499" t="str">
        <f t="shared" ref="AH204:AH257" si="24">IF(N204="","",VLOOKUP(AE204,Difficulty,2,FALSE))</f>
        <v/>
      </c>
      <c r="AI204" s="145"/>
      <c r="AJ204" s="499" t="str">
        <f>IF(AI204="","",IF(VLOOKUP(AI204,'G-7 Rivers Data'!$AA$4:$AB$7,2,FALSE)=0,"Spatial Data Missing ⚠",VLOOKUP(AI204,'G-7 Rivers Data'!$AA$4:$AB$7,2,FALSE)))</f>
        <v/>
      </c>
      <c r="AK204" s="155"/>
      <c r="AL204" s="499" t="str">
        <f>IF(AK204="","",IF(VLOOKUP(AK204,'G-7 Rivers Data'!$AD$4:$AE$8,2,FALSE)=0,"Spatial Data Missing ⚠",VLOOKUP(AK204,'G-7 Rivers Data'!$AD$4:$AE$8,2,FALSE)))</f>
        <v/>
      </c>
      <c r="AM204" s="545" t="str">
        <f t="shared" si="23"/>
        <v/>
      </c>
      <c r="AN204" s="149"/>
      <c r="AO204" s="150"/>
      <c r="AV204" s="31" t="str">
        <f>IFERROR(INDEX('G-7 Rivers Data'!$AZ$3:$AZ$7,MATCH(N204,'G-7 Rivers Data'!$AY$3:$AY$7,0)),"")</f>
        <v/>
      </c>
    </row>
    <row r="205" spans="2:48" ht="13.8" x14ac:dyDescent="0.25">
      <c r="B205" s="531" t="str">
        <f>'C-1 Site River Baseline'!AN203</f>
        <v/>
      </c>
      <c r="C205" s="520" t="str">
        <f>IF(B205="","",VLOOKUP($B205,'C-1 Site River Baseline'!$C$9:$R$257,2,FALSE))</f>
        <v/>
      </c>
      <c r="D205" s="520" t="str">
        <f>IF(C205="","",VLOOKUP($B205,'C-1 Site River Baseline'!$C$9:$R$257,3,FALSE))</f>
        <v/>
      </c>
      <c r="E205" s="520" t="str">
        <f>IF(D205="","",VLOOKUP($B205,'C-1 Site River Baseline'!$C$9:$R$257,4,FALSE))</f>
        <v/>
      </c>
      <c r="F205" s="520" t="str">
        <f>IF(E205="","",VLOOKUP($B205,'C-1 Site River Baseline'!$C$9:$R$257,5,FALSE))</f>
        <v/>
      </c>
      <c r="G205" s="520" t="str">
        <f>IF(F205="","",VLOOKUP($B205,'C-1 Site River Baseline'!$C$9:$R$257,6,FALSE))</f>
        <v/>
      </c>
      <c r="H205" s="520" t="str">
        <f>IF(G205="","",VLOOKUP($B205,'C-1 Site River Baseline'!$C$9:$R$257,7,FALSE))</f>
        <v/>
      </c>
      <c r="I205" s="520" t="str">
        <f>IF(H205="","",VLOOKUP($B205,'C-1 Site River Baseline'!$C$9:$R$257,8,FALSE))</f>
        <v/>
      </c>
      <c r="J205" s="520" t="str">
        <f>IF(I205="","",VLOOKUP($B205,'C-1 Site River Baseline'!$C$9:$R$257,9,FALSE))</f>
        <v/>
      </c>
      <c r="K205" s="520" t="str">
        <f>IF(J205="","",VLOOKUP($B205,'C-1 Site River Baseline'!$C$9:$R$257,10,FALSE))</f>
        <v/>
      </c>
      <c r="L205" s="520" t="str">
        <f>IF(B205="","",VLOOKUP($B205,'C-1 Site River Baseline'!$C$9:$R$257,15,FALSE))</f>
        <v/>
      </c>
      <c r="M205" s="524" t="str">
        <f>IF(L205="","",VLOOKUP($B205,'C-1 Site River Baseline'!$C$9:$R$257,16,FALSE))</f>
        <v/>
      </c>
      <c r="N205" s="418" t="str">
        <f t="shared" ref="N205:N257" si="25">C205</f>
        <v/>
      </c>
      <c r="O205" s="498" t="str">
        <f t="shared" ref="O205:O257" si="26">IF(B205="","",IF(S205&lt;F205,"Error Trading Down ▲",E205&amp;" - "&amp;R205))</f>
        <v/>
      </c>
      <c r="P205" s="499" t="str">
        <f>IF(C205="","",IF(AND(LEFT(C205,55)&lt;&gt;LEFT(N205,55),O205="High - High"),"Error - Not like for like ▲",IF(AND(F205=S205,H205&gt;U205),"Error - Can not reduce condition ▲",IF(AND(F205=S205,H205=U205,AJ205='C-1 Site River Baseline'!N203,'C-1 Site River Baseline'!P203=AL205),"Error - No enhancement ▲",IF(AND(C205&lt;&gt;N205,F205&lt;S205),"Lower Distinctiveness Habitat"&amp;" - "&amp;T205,G205&amp;" - "&amp;T205)))))</f>
        <v/>
      </c>
      <c r="Q205" s="567" t="str">
        <f>IF(N205="","",VLOOKUP(B205,'C-1 Site River Baseline'!$C$10:$AA$257,19,FALSE))</f>
        <v/>
      </c>
      <c r="R205" s="498" t="str">
        <f>IF(N205="","",VLOOKUP(N205,'G-7 Rivers Data'!$B$2:$G$8,2,FALSE))</f>
        <v/>
      </c>
      <c r="S205" s="499" t="str">
        <f>IFERROR(VLOOKUP(R205,'G-7 Rivers Data'!$C$4:$D$8,2,FALSE),"")</f>
        <v/>
      </c>
      <c r="T205" s="145"/>
      <c r="U205" s="499" t="str">
        <f>IFERROR(INDEX('G-7 Rivers Data'!$H$4:$L$8,MATCH(N205,'G-7 Rivers Data'!$B$4:$B$8,0),MATCH(T205,'G-7 Rivers Data'!$H$3:$L$3,0)),"")</f>
        <v/>
      </c>
      <c r="V205" s="154"/>
      <c r="W205" s="507" t="str">
        <f>IF(V205="","",IF(VLOOKUP(V205,'G-7 Rivers Data'!$AG$4:$AI$9,2,FALSE)=0,"Spatial Data Missing ⚠",VLOOKUP(V205,'G-7 Rivers Data'!$AG$4:$AI$9,2,FALSE)))</f>
        <v/>
      </c>
      <c r="X205" s="499" t="str">
        <f>IF(V205="","",IF(VLOOKUP(V205,'G-7 Rivers Data'!$AG$4:$AI$9,3,FALSE)=0,"Spatial Data Missing ⚠",VLOOKUP(V205,'G-7 Rivers Data'!$AG$4:$AI$9,3,FALSE)))</f>
        <v/>
      </c>
      <c r="Y205" s="498" t="str">
        <f>IFERROR(IF(OR(LEFT(P205,5)="Error ▲",LEFT(O205,5)="Error ▲"),"Check Data ⚠",IF(F205&lt;S205,'G-7 Rivers Data'!$R$3,INDEX('G-7 Rivers Data'!$U$5:$Y$9,MATCH(G205,'G-7 Rivers Data'!$T$5:$T$9,0),MATCH(T205,'G-7 Rivers Data'!$U$4:$Y$4,0)))),"")</f>
        <v/>
      </c>
      <c r="Z205" s="195"/>
      <c r="AA205" s="195"/>
      <c r="AB205" s="507"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521" t="str">
        <f t="shared" ref="AC205:AC257" si="28">IF(LEFT(AB205,5)="Error ▲","Check Data ⚠",IF(AB205="Check Data ⚠","Check Data ⚠",IF(Y205="","",IF(Z205="30+",0,IF(AA205="30+","30+ ⚠",IF(Y205+AA205&gt;30,"30+ ⚠",IF(Y205+AA205-Z205&gt;0,Y205+AA205-Z205,IF(Y205-Z205&lt;0,0,Y205+AA205-Z205))))))))</f>
        <v/>
      </c>
      <c r="AD205" s="564" t="str">
        <f>IFERROR(IF(AC205="Check Data ⚠","Check Data ⚠",VLOOKUP(AC205,'G-4 Temporal multipliers'!$A$4:$C$37,3,FALSE)),"")</f>
        <v/>
      </c>
      <c r="AE205" s="498" t="str">
        <f>IF(N205="","",VLOOKUP(N205,'G-7 Rivers Data'!$B$4:$G$8,5,FALSE))</f>
        <v/>
      </c>
      <c r="AF205" s="507" t="str">
        <f t="shared" ref="AF205:AF257" si="29">IF(N205="","",IF(AC205="Check Data ⚠","Check Data ⚠",IF(T205="","",IF($AB205="Check details - Is there evidence that habitat has reached target condition? ⚠","Low Difficulty - only applicable if all habitat created before losses ⚠","Standard difficulty applied"))))</f>
        <v/>
      </c>
      <c r="AG205" s="540" t="str">
        <f t="shared" ref="AG205:AG257" si="30">(IF(AND(AF205="Standard difficulty applied",Y205&gt;Z205),AE205,IF(AND(AF205="Low Difficulty - only applicable if all habitat created before losses ⚠",Z205&gt;=Y205),"Low",AE205)))</f>
        <v/>
      </c>
      <c r="AH205" s="499" t="str">
        <f t="shared" si="24"/>
        <v/>
      </c>
      <c r="AI205" s="145"/>
      <c r="AJ205" s="499" t="str">
        <f>IF(AI205="","",IF(VLOOKUP(AI205,'G-7 Rivers Data'!$AA$4:$AB$7,2,FALSE)=0,"Spatial Data Missing ⚠",VLOOKUP(AI205,'G-7 Rivers Data'!$AA$4:$AB$7,2,FALSE)))</f>
        <v/>
      </c>
      <c r="AK205" s="155"/>
      <c r="AL205" s="499" t="str">
        <f>IF(AK205="","",IF(VLOOKUP(AK205,'G-7 Rivers Data'!$AD$4:$AE$8,2,FALSE)=0,"Spatial Data Missing ⚠",VLOOKUP(AK205,'G-7 Rivers Data'!$AD$4:$AE$8,2,FALSE)))</f>
        <v/>
      </c>
      <c r="AM205" s="545" t="str">
        <f t="shared" si="23"/>
        <v/>
      </c>
      <c r="AN205" s="149"/>
      <c r="AO205" s="150"/>
      <c r="AV205" s="31" t="str">
        <f>IFERROR(INDEX('G-7 Rivers Data'!$AZ$3:$AZ$7,MATCH(N205,'G-7 Rivers Data'!$AY$3:$AY$7,0)),"")</f>
        <v/>
      </c>
    </row>
    <row r="206" spans="2:48" ht="13.8" x14ac:dyDescent="0.25">
      <c r="B206" s="531" t="str">
        <f>'C-1 Site River Baseline'!AN204</f>
        <v/>
      </c>
      <c r="C206" s="520" t="str">
        <f>IF(B206="","",VLOOKUP($B206,'C-1 Site River Baseline'!$C$9:$R$257,2,FALSE))</f>
        <v/>
      </c>
      <c r="D206" s="520" t="str">
        <f>IF(C206="","",VLOOKUP($B206,'C-1 Site River Baseline'!$C$9:$R$257,3,FALSE))</f>
        <v/>
      </c>
      <c r="E206" s="520" t="str">
        <f>IF(D206="","",VLOOKUP($B206,'C-1 Site River Baseline'!$C$9:$R$257,4,FALSE))</f>
        <v/>
      </c>
      <c r="F206" s="520" t="str">
        <f>IF(E206="","",VLOOKUP($B206,'C-1 Site River Baseline'!$C$9:$R$257,5,FALSE))</f>
        <v/>
      </c>
      <c r="G206" s="520" t="str">
        <f>IF(F206="","",VLOOKUP($B206,'C-1 Site River Baseline'!$C$9:$R$257,6,FALSE))</f>
        <v/>
      </c>
      <c r="H206" s="520" t="str">
        <f>IF(G206="","",VLOOKUP($B206,'C-1 Site River Baseline'!$C$9:$R$257,7,FALSE))</f>
        <v/>
      </c>
      <c r="I206" s="520" t="str">
        <f>IF(H206="","",VLOOKUP($B206,'C-1 Site River Baseline'!$C$9:$R$257,8,FALSE))</f>
        <v/>
      </c>
      <c r="J206" s="520" t="str">
        <f>IF(I206="","",VLOOKUP($B206,'C-1 Site River Baseline'!$C$9:$R$257,9,FALSE))</f>
        <v/>
      </c>
      <c r="K206" s="520" t="str">
        <f>IF(J206="","",VLOOKUP($B206,'C-1 Site River Baseline'!$C$9:$R$257,10,FALSE))</f>
        <v/>
      </c>
      <c r="L206" s="520" t="str">
        <f>IF(B206="","",VLOOKUP($B206,'C-1 Site River Baseline'!$C$9:$R$257,15,FALSE))</f>
        <v/>
      </c>
      <c r="M206" s="524" t="str">
        <f>IF(L206="","",VLOOKUP($B206,'C-1 Site River Baseline'!$C$9:$R$257,16,FALSE))</f>
        <v/>
      </c>
      <c r="N206" s="418" t="str">
        <f t="shared" si="25"/>
        <v/>
      </c>
      <c r="O206" s="498" t="str">
        <f t="shared" si="26"/>
        <v/>
      </c>
      <c r="P206" s="499" t="str">
        <f>IF(C206="","",IF(AND(LEFT(C206,55)&lt;&gt;LEFT(N206,55),O206="High - High"),"Error - Not like for like ▲",IF(AND(F206=S206,H206&gt;U206),"Error - Can not reduce condition ▲",IF(AND(F206=S206,H206=U206,AJ206='C-1 Site River Baseline'!N204,'C-1 Site River Baseline'!P204=AL206),"Error - No enhancement ▲",IF(AND(C206&lt;&gt;N206,F206&lt;S206),"Lower Distinctiveness Habitat"&amp;" - "&amp;T206,G206&amp;" - "&amp;T206)))))</f>
        <v/>
      </c>
      <c r="Q206" s="567" t="str">
        <f>IF(N206="","",VLOOKUP(B206,'C-1 Site River Baseline'!$C$10:$AA$257,19,FALSE))</f>
        <v/>
      </c>
      <c r="R206" s="498" t="str">
        <f>IF(N206="","",VLOOKUP(N206,'G-7 Rivers Data'!$B$2:$G$8,2,FALSE))</f>
        <v/>
      </c>
      <c r="S206" s="499" t="str">
        <f>IFERROR(VLOOKUP(R206,'G-7 Rivers Data'!$C$4:$D$8,2,FALSE),"")</f>
        <v/>
      </c>
      <c r="T206" s="145"/>
      <c r="U206" s="499" t="str">
        <f>IFERROR(INDEX('G-7 Rivers Data'!$H$4:$L$8,MATCH(N206,'G-7 Rivers Data'!$B$4:$B$8,0),MATCH(T206,'G-7 Rivers Data'!$H$3:$L$3,0)),"")</f>
        <v/>
      </c>
      <c r="V206" s="154"/>
      <c r="W206" s="507" t="str">
        <f>IF(V206="","",IF(VLOOKUP(V206,'G-7 Rivers Data'!$AG$4:$AI$9,2,FALSE)=0,"Spatial Data Missing ⚠",VLOOKUP(V206,'G-7 Rivers Data'!$AG$4:$AI$9,2,FALSE)))</f>
        <v/>
      </c>
      <c r="X206" s="499" t="str">
        <f>IF(V206="","",IF(VLOOKUP(V206,'G-7 Rivers Data'!$AG$4:$AI$9,3,FALSE)=0,"Spatial Data Missing ⚠",VLOOKUP(V206,'G-7 Rivers Data'!$AG$4:$AI$9,3,FALSE)))</f>
        <v/>
      </c>
      <c r="Y206" s="498" t="str">
        <f>IFERROR(IF(OR(LEFT(P206,5)="Error ▲",LEFT(O206,5)="Error ▲"),"Check Data ⚠",IF(F206&lt;S206,'G-7 Rivers Data'!$R$3,INDEX('G-7 Rivers Data'!$U$5:$Y$9,MATCH(G206,'G-7 Rivers Data'!$T$5:$T$9,0),MATCH(T206,'G-7 Rivers Data'!$U$4:$Y$4,0)))),"")</f>
        <v/>
      </c>
      <c r="Z206" s="195"/>
      <c r="AA206" s="195"/>
      <c r="AB206" s="507" t="str">
        <f t="shared" si="27"/>
        <v/>
      </c>
      <c r="AC206" s="521" t="str">
        <f t="shared" si="28"/>
        <v/>
      </c>
      <c r="AD206" s="564" t="str">
        <f>IFERROR(IF(AC206="Check Data ⚠","Check Data ⚠",VLOOKUP(AC206,'G-4 Temporal multipliers'!$A$4:$C$37,3,FALSE)),"")</f>
        <v/>
      </c>
      <c r="AE206" s="498" t="str">
        <f>IF(N206="","",VLOOKUP(N206,'G-7 Rivers Data'!$B$4:$G$8,5,FALSE))</f>
        <v/>
      </c>
      <c r="AF206" s="507" t="str">
        <f t="shared" si="29"/>
        <v/>
      </c>
      <c r="AG206" s="540" t="str">
        <f t="shared" si="30"/>
        <v/>
      </c>
      <c r="AH206" s="499" t="str">
        <f t="shared" si="24"/>
        <v/>
      </c>
      <c r="AI206" s="145"/>
      <c r="AJ206" s="499" t="str">
        <f>IF(AI206="","",IF(VLOOKUP(AI206,'G-7 Rivers Data'!$AA$4:$AB$7,2,FALSE)=0,"Spatial Data Missing ⚠",VLOOKUP(AI206,'G-7 Rivers Data'!$AA$4:$AB$7,2,FALSE)))</f>
        <v/>
      </c>
      <c r="AK206" s="155"/>
      <c r="AL206" s="499" t="str">
        <f>IF(AK206="","",IF(VLOOKUP(AK206,'G-7 Rivers Data'!$AD$4:$AE$8,2,FALSE)=0,"Spatial Data Missing ⚠",VLOOKUP(AK206,'G-7 Rivers Data'!$AD$4:$AE$8,2,FALSE)))</f>
        <v/>
      </c>
      <c r="AM206" s="545" t="str">
        <f t="shared" ref="AM206:AM256" si="31">IFERROR(IF(C206="","",IF(Q206&gt;D206,((((Q206*S206*U206)-(D206*F206*H206))*(AH206*AD206))+(D206*F206*H206))*(AL206*X206*AJ206),((((Q206*S206*U206)-(Q206*F206*H206))*(AH206*AD206))+(Q206*F206*H206))*(AL206*X206*AJ206))),"")</f>
        <v/>
      </c>
      <c r="AN206" s="149"/>
      <c r="AO206" s="150"/>
      <c r="AV206" s="31" t="str">
        <f>IFERROR(INDEX('G-7 Rivers Data'!$AZ$3:$AZ$7,MATCH(N206,'G-7 Rivers Data'!$AY$3:$AY$7,0)),"")</f>
        <v/>
      </c>
    </row>
    <row r="207" spans="2:48" ht="13.8" x14ac:dyDescent="0.25">
      <c r="B207" s="531" t="str">
        <f>'C-1 Site River Baseline'!AN205</f>
        <v/>
      </c>
      <c r="C207" s="520" t="str">
        <f>IF(B207="","",VLOOKUP($B207,'C-1 Site River Baseline'!$C$9:$R$257,2,FALSE))</f>
        <v/>
      </c>
      <c r="D207" s="520" t="str">
        <f>IF(C207="","",VLOOKUP($B207,'C-1 Site River Baseline'!$C$9:$R$257,3,FALSE))</f>
        <v/>
      </c>
      <c r="E207" s="520" t="str">
        <f>IF(D207="","",VLOOKUP($B207,'C-1 Site River Baseline'!$C$9:$R$257,4,FALSE))</f>
        <v/>
      </c>
      <c r="F207" s="520" t="str">
        <f>IF(E207="","",VLOOKUP($B207,'C-1 Site River Baseline'!$C$9:$R$257,5,FALSE))</f>
        <v/>
      </c>
      <c r="G207" s="520" t="str">
        <f>IF(F207="","",VLOOKUP($B207,'C-1 Site River Baseline'!$C$9:$R$257,6,FALSE))</f>
        <v/>
      </c>
      <c r="H207" s="520" t="str">
        <f>IF(G207="","",VLOOKUP($B207,'C-1 Site River Baseline'!$C$9:$R$257,7,FALSE))</f>
        <v/>
      </c>
      <c r="I207" s="520" t="str">
        <f>IF(H207="","",VLOOKUP($B207,'C-1 Site River Baseline'!$C$9:$R$257,8,FALSE))</f>
        <v/>
      </c>
      <c r="J207" s="520" t="str">
        <f>IF(I207="","",VLOOKUP($B207,'C-1 Site River Baseline'!$C$9:$R$257,9,FALSE))</f>
        <v/>
      </c>
      <c r="K207" s="520" t="str">
        <f>IF(J207="","",VLOOKUP($B207,'C-1 Site River Baseline'!$C$9:$R$257,10,FALSE))</f>
        <v/>
      </c>
      <c r="L207" s="520" t="str">
        <f>IF(B207="","",VLOOKUP($B207,'C-1 Site River Baseline'!$C$9:$R$257,15,FALSE))</f>
        <v/>
      </c>
      <c r="M207" s="524" t="str">
        <f>IF(L207="","",VLOOKUP($B207,'C-1 Site River Baseline'!$C$9:$R$257,16,FALSE))</f>
        <v/>
      </c>
      <c r="N207" s="418" t="str">
        <f t="shared" si="25"/>
        <v/>
      </c>
      <c r="O207" s="498" t="str">
        <f t="shared" si="26"/>
        <v/>
      </c>
      <c r="P207" s="499" t="str">
        <f>IF(C207="","",IF(AND(LEFT(C207,55)&lt;&gt;LEFT(N207,55),O207="High - High"),"Error - Not like for like ▲",IF(AND(F207=S207,H207&gt;U207),"Error - Can not reduce condition ▲",IF(AND(F207=S207,H207=U207,AJ207='C-1 Site River Baseline'!N205,'C-1 Site River Baseline'!P205=AL207),"Error - No enhancement ▲",IF(AND(C207&lt;&gt;N207,F207&lt;S207),"Lower Distinctiveness Habitat"&amp;" - "&amp;T207,G207&amp;" - "&amp;T207)))))</f>
        <v/>
      </c>
      <c r="Q207" s="567" t="str">
        <f>IF(N207="","",VLOOKUP(B207,'C-1 Site River Baseline'!$C$10:$AA$257,19,FALSE))</f>
        <v/>
      </c>
      <c r="R207" s="498" t="str">
        <f>IF(N207="","",VLOOKUP(N207,'G-7 Rivers Data'!$B$2:$G$8,2,FALSE))</f>
        <v/>
      </c>
      <c r="S207" s="499" t="str">
        <f>IFERROR(VLOOKUP(R207,'G-7 Rivers Data'!$C$4:$D$8,2,FALSE),"")</f>
        <v/>
      </c>
      <c r="T207" s="145"/>
      <c r="U207" s="499" t="str">
        <f>IFERROR(INDEX('G-7 Rivers Data'!$H$4:$L$8,MATCH(N207,'G-7 Rivers Data'!$B$4:$B$8,0),MATCH(T207,'G-7 Rivers Data'!$H$3:$L$3,0)),"")</f>
        <v/>
      </c>
      <c r="V207" s="154"/>
      <c r="W207" s="507" t="str">
        <f>IF(V207="","",IF(VLOOKUP(V207,'G-7 Rivers Data'!$AG$4:$AI$9,2,FALSE)=0,"Spatial Data Missing ⚠",VLOOKUP(V207,'G-7 Rivers Data'!$AG$4:$AI$9,2,FALSE)))</f>
        <v/>
      </c>
      <c r="X207" s="499" t="str">
        <f>IF(V207="","",IF(VLOOKUP(V207,'G-7 Rivers Data'!$AG$4:$AI$9,3,FALSE)=0,"Spatial Data Missing ⚠",VLOOKUP(V207,'G-7 Rivers Data'!$AG$4:$AI$9,3,FALSE)))</f>
        <v/>
      </c>
      <c r="Y207" s="498" t="str">
        <f>IFERROR(IF(OR(LEFT(P207,5)="Error ▲",LEFT(O207,5)="Error ▲"),"Check Data ⚠",IF(F207&lt;S207,'G-7 Rivers Data'!$R$3,INDEX('G-7 Rivers Data'!$U$5:$Y$9,MATCH(G207,'G-7 Rivers Data'!$T$5:$T$9,0),MATCH(T207,'G-7 Rivers Data'!$U$4:$Y$4,0)))),"")</f>
        <v/>
      </c>
      <c r="Z207" s="195"/>
      <c r="AA207" s="195"/>
      <c r="AB207" s="507" t="str">
        <f t="shared" si="27"/>
        <v/>
      </c>
      <c r="AC207" s="521" t="str">
        <f t="shared" si="28"/>
        <v/>
      </c>
      <c r="AD207" s="564" t="str">
        <f>IFERROR(IF(AC207="Check Data ⚠","Check Data ⚠",VLOOKUP(AC207,'G-4 Temporal multipliers'!$A$4:$C$37,3,FALSE)),"")</f>
        <v/>
      </c>
      <c r="AE207" s="498" t="str">
        <f>IF(N207="","",VLOOKUP(N207,'G-7 Rivers Data'!$B$4:$G$8,5,FALSE))</f>
        <v/>
      </c>
      <c r="AF207" s="507" t="str">
        <f t="shared" si="29"/>
        <v/>
      </c>
      <c r="AG207" s="540" t="str">
        <f t="shared" si="30"/>
        <v/>
      </c>
      <c r="AH207" s="499" t="str">
        <f t="shared" si="24"/>
        <v/>
      </c>
      <c r="AI207" s="145"/>
      <c r="AJ207" s="499" t="str">
        <f>IF(AI207="","",IF(VLOOKUP(AI207,'G-7 Rivers Data'!$AA$4:$AB$7,2,FALSE)=0,"Spatial Data Missing ⚠",VLOOKUP(AI207,'G-7 Rivers Data'!$AA$4:$AB$7,2,FALSE)))</f>
        <v/>
      </c>
      <c r="AK207" s="155"/>
      <c r="AL207" s="499" t="str">
        <f>IF(AK207="","",IF(VLOOKUP(AK207,'G-7 Rivers Data'!$AD$4:$AE$8,2,FALSE)=0,"Spatial Data Missing ⚠",VLOOKUP(AK207,'G-7 Rivers Data'!$AD$4:$AE$8,2,FALSE)))</f>
        <v/>
      </c>
      <c r="AM207" s="545" t="str">
        <f t="shared" si="31"/>
        <v/>
      </c>
      <c r="AN207" s="149"/>
      <c r="AO207" s="150"/>
      <c r="AV207" s="31" t="str">
        <f>IFERROR(INDEX('G-7 Rivers Data'!$AZ$3:$AZ$7,MATCH(N207,'G-7 Rivers Data'!$AY$3:$AY$7,0)),"")</f>
        <v/>
      </c>
    </row>
    <row r="208" spans="2:48" ht="13.8" x14ac:dyDescent="0.25">
      <c r="B208" s="531" t="str">
        <f>'C-1 Site River Baseline'!AN206</f>
        <v/>
      </c>
      <c r="C208" s="520" t="str">
        <f>IF(B208="","",VLOOKUP($B208,'C-1 Site River Baseline'!$C$9:$R$257,2,FALSE))</f>
        <v/>
      </c>
      <c r="D208" s="520" t="str">
        <f>IF(C208="","",VLOOKUP($B208,'C-1 Site River Baseline'!$C$9:$R$257,3,FALSE))</f>
        <v/>
      </c>
      <c r="E208" s="520" t="str">
        <f>IF(D208="","",VLOOKUP($B208,'C-1 Site River Baseline'!$C$9:$R$257,4,FALSE))</f>
        <v/>
      </c>
      <c r="F208" s="520" t="str">
        <f>IF(E208="","",VLOOKUP($B208,'C-1 Site River Baseline'!$C$9:$R$257,5,FALSE))</f>
        <v/>
      </c>
      <c r="G208" s="520" t="str">
        <f>IF(F208="","",VLOOKUP($B208,'C-1 Site River Baseline'!$C$9:$R$257,6,FALSE))</f>
        <v/>
      </c>
      <c r="H208" s="520" t="str">
        <f>IF(G208="","",VLOOKUP($B208,'C-1 Site River Baseline'!$C$9:$R$257,7,FALSE))</f>
        <v/>
      </c>
      <c r="I208" s="520" t="str">
        <f>IF(H208="","",VLOOKUP($B208,'C-1 Site River Baseline'!$C$9:$R$257,8,FALSE))</f>
        <v/>
      </c>
      <c r="J208" s="520" t="str">
        <f>IF(I208="","",VLOOKUP($B208,'C-1 Site River Baseline'!$C$9:$R$257,9,FALSE))</f>
        <v/>
      </c>
      <c r="K208" s="520" t="str">
        <f>IF(J208="","",VLOOKUP($B208,'C-1 Site River Baseline'!$C$9:$R$257,10,FALSE))</f>
        <v/>
      </c>
      <c r="L208" s="520" t="str">
        <f>IF(B208="","",VLOOKUP($B208,'C-1 Site River Baseline'!$C$9:$R$257,15,FALSE))</f>
        <v/>
      </c>
      <c r="M208" s="524" t="str">
        <f>IF(L208="","",VLOOKUP($B208,'C-1 Site River Baseline'!$C$9:$R$257,16,FALSE))</f>
        <v/>
      </c>
      <c r="N208" s="418" t="str">
        <f t="shared" si="25"/>
        <v/>
      </c>
      <c r="O208" s="498" t="str">
        <f t="shared" si="26"/>
        <v/>
      </c>
      <c r="P208" s="499" t="str">
        <f>IF(C208="","",IF(AND(LEFT(C208,55)&lt;&gt;LEFT(N208,55),O208="High - High"),"Error - Not like for like ▲",IF(AND(F208=S208,H208&gt;U208),"Error - Can not reduce condition ▲",IF(AND(F208=S208,H208=U208,AJ208='C-1 Site River Baseline'!N206,'C-1 Site River Baseline'!P206=AL208),"Error - No enhancement ▲",IF(AND(C208&lt;&gt;N208,F208&lt;S208),"Lower Distinctiveness Habitat"&amp;" - "&amp;T208,G208&amp;" - "&amp;T208)))))</f>
        <v/>
      </c>
      <c r="Q208" s="567" t="str">
        <f>IF(N208="","",VLOOKUP(B208,'C-1 Site River Baseline'!$C$10:$AA$257,19,FALSE))</f>
        <v/>
      </c>
      <c r="R208" s="498" t="str">
        <f>IF(N208="","",VLOOKUP(N208,'G-7 Rivers Data'!$B$2:$G$8,2,FALSE))</f>
        <v/>
      </c>
      <c r="S208" s="499" t="str">
        <f>IFERROR(VLOOKUP(R208,'G-7 Rivers Data'!$C$4:$D$8,2,FALSE),"")</f>
        <v/>
      </c>
      <c r="T208" s="145"/>
      <c r="U208" s="499" t="str">
        <f>IFERROR(INDEX('G-7 Rivers Data'!$H$4:$L$8,MATCH(N208,'G-7 Rivers Data'!$B$4:$B$8,0),MATCH(T208,'G-7 Rivers Data'!$H$3:$L$3,0)),"")</f>
        <v/>
      </c>
      <c r="V208" s="154"/>
      <c r="W208" s="507" t="str">
        <f>IF(V208="","",IF(VLOOKUP(V208,'G-7 Rivers Data'!$AG$4:$AI$9,2,FALSE)=0,"Spatial Data Missing ⚠",VLOOKUP(V208,'G-7 Rivers Data'!$AG$4:$AI$9,2,FALSE)))</f>
        <v/>
      </c>
      <c r="X208" s="499" t="str">
        <f>IF(V208="","",IF(VLOOKUP(V208,'G-7 Rivers Data'!$AG$4:$AI$9,3,FALSE)=0,"Spatial Data Missing ⚠",VLOOKUP(V208,'G-7 Rivers Data'!$AG$4:$AI$9,3,FALSE)))</f>
        <v/>
      </c>
      <c r="Y208" s="498" t="str">
        <f>IFERROR(IF(OR(LEFT(P208,5)="Error ▲",LEFT(O208,5)="Error ▲"),"Check Data ⚠",IF(F208&lt;S208,'G-7 Rivers Data'!$R$3,INDEX('G-7 Rivers Data'!$U$5:$Y$9,MATCH(G208,'G-7 Rivers Data'!$T$5:$T$9,0),MATCH(T208,'G-7 Rivers Data'!$U$4:$Y$4,0)))),"")</f>
        <v/>
      </c>
      <c r="Z208" s="195"/>
      <c r="AA208" s="195"/>
      <c r="AB208" s="507" t="str">
        <f t="shared" si="27"/>
        <v/>
      </c>
      <c r="AC208" s="521" t="str">
        <f t="shared" si="28"/>
        <v/>
      </c>
      <c r="AD208" s="564" t="str">
        <f>IFERROR(IF(AC208="Check Data ⚠","Check Data ⚠",VLOOKUP(AC208,'G-4 Temporal multipliers'!$A$4:$C$37,3,FALSE)),"")</f>
        <v/>
      </c>
      <c r="AE208" s="498" t="str">
        <f>IF(N208="","",VLOOKUP(N208,'G-7 Rivers Data'!$B$4:$G$8,5,FALSE))</f>
        <v/>
      </c>
      <c r="AF208" s="507" t="str">
        <f t="shared" si="29"/>
        <v/>
      </c>
      <c r="AG208" s="540" t="str">
        <f t="shared" si="30"/>
        <v/>
      </c>
      <c r="AH208" s="499" t="str">
        <f t="shared" si="24"/>
        <v/>
      </c>
      <c r="AI208" s="145"/>
      <c r="AJ208" s="499" t="str">
        <f>IF(AI208="","",IF(VLOOKUP(AI208,'G-7 Rivers Data'!$AA$4:$AB$7,2,FALSE)=0,"Spatial Data Missing ⚠",VLOOKUP(AI208,'G-7 Rivers Data'!$AA$4:$AB$7,2,FALSE)))</f>
        <v/>
      </c>
      <c r="AK208" s="155"/>
      <c r="AL208" s="499" t="str">
        <f>IF(AK208="","",IF(VLOOKUP(AK208,'G-7 Rivers Data'!$AD$4:$AE$8,2,FALSE)=0,"Spatial Data Missing ⚠",VLOOKUP(AK208,'G-7 Rivers Data'!$AD$4:$AE$8,2,FALSE)))</f>
        <v/>
      </c>
      <c r="AM208" s="545" t="str">
        <f t="shared" si="31"/>
        <v/>
      </c>
      <c r="AN208" s="149"/>
      <c r="AO208" s="150"/>
      <c r="AV208" s="31" t="str">
        <f>IFERROR(INDEX('G-7 Rivers Data'!$AZ$3:$AZ$7,MATCH(N208,'G-7 Rivers Data'!$AY$3:$AY$7,0)),"")</f>
        <v/>
      </c>
    </row>
    <row r="209" spans="2:48" ht="13.8" x14ac:dyDescent="0.25">
      <c r="B209" s="531" t="str">
        <f>'C-1 Site River Baseline'!AN207</f>
        <v/>
      </c>
      <c r="C209" s="520" t="str">
        <f>IF(B209="","",VLOOKUP($B209,'C-1 Site River Baseline'!$C$9:$R$257,2,FALSE))</f>
        <v/>
      </c>
      <c r="D209" s="520" t="str">
        <f>IF(C209="","",VLOOKUP($B209,'C-1 Site River Baseline'!$C$9:$R$257,3,FALSE))</f>
        <v/>
      </c>
      <c r="E209" s="520" t="str">
        <f>IF(D209="","",VLOOKUP($B209,'C-1 Site River Baseline'!$C$9:$R$257,4,FALSE))</f>
        <v/>
      </c>
      <c r="F209" s="520" t="str">
        <f>IF(E209="","",VLOOKUP($B209,'C-1 Site River Baseline'!$C$9:$R$257,5,FALSE))</f>
        <v/>
      </c>
      <c r="G209" s="520" t="str">
        <f>IF(F209="","",VLOOKUP($B209,'C-1 Site River Baseline'!$C$9:$R$257,6,FALSE))</f>
        <v/>
      </c>
      <c r="H209" s="520" t="str">
        <f>IF(G209="","",VLOOKUP($B209,'C-1 Site River Baseline'!$C$9:$R$257,7,FALSE))</f>
        <v/>
      </c>
      <c r="I209" s="520" t="str">
        <f>IF(H209="","",VLOOKUP($B209,'C-1 Site River Baseline'!$C$9:$R$257,8,FALSE))</f>
        <v/>
      </c>
      <c r="J209" s="520" t="str">
        <f>IF(I209="","",VLOOKUP($B209,'C-1 Site River Baseline'!$C$9:$R$257,9,FALSE))</f>
        <v/>
      </c>
      <c r="K209" s="520" t="str">
        <f>IF(J209="","",VLOOKUP($B209,'C-1 Site River Baseline'!$C$9:$R$257,10,FALSE))</f>
        <v/>
      </c>
      <c r="L209" s="520" t="str">
        <f>IF(B209="","",VLOOKUP($B209,'C-1 Site River Baseline'!$C$9:$R$257,15,FALSE))</f>
        <v/>
      </c>
      <c r="M209" s="524" t="str">
        <f>IF(L209="","",VLOOKUP($B209,'C-1 Site River Baseline'!$C$9:$R$257,16,FALSE))</f>
        <v/>
      </c>
      <c r="N209" s="418" t="str">
        <f t="shared" si="25"/>
        <v/>
      </c>
      <c r="O209" s="498" t="str">
        <f t="shared" si="26"/>
        <v/>
      </c>
      <c r="P209" s="499" t="str">
        <f>IF(C209="","",IF(AND(LEFT(C209,55)&lt;&gt;LEFT(N209,55),O209="High - High"),"Error - Not like for like ▲",IF(AND(F209=S209,H209&gt;U209),"Error - Can not reduce condition ▲",IF(AND(F209=S209,H209=U209,AJ209='C-1 Site River Baseline'!N207,'C-1 Site River Baseline'!P207=AL209),"Error - No enhancement ▲",IF(AND(C209&lt;&gt;N209,F209&lt;S209),"Lower Distinctiveness Habitat"&amp;" - "&amp;T209,G209&amp;" - "&amp;T209)))))</f>
        <v/>
      </c>
      <c r="Q209" s="567" t="str">
        <f>IF(N209="","",VLOOKUP(B209,'C-1 Site River Baseline'!$C$10:$AA$257,19,FALSE))</f>
        <v/>
      </c>
      <c r="R209" s="498" t="str">
        <f>IF(N209="","",VLOOKUP(N209,'G-7 Rivers Data'!$B$2:$G$8,2,FALSE))</f>
        <v/>
      </c>
      <c r="S209" s="499" t="str">
        <f>IFERROR(VLOOKUP(R209,'G-7 Rivers Data'!$C$4:$D$8,2,FALSE),"")</f>
        <v/>
      </c>
      <c r="T209" s="145"/>
      <c r="U209" s="499" t="str">
        <f>IFERROR(INDEX('G-7 Rivers Data'!$H$4:$L$8,MATCH(N209,'G-7 Rivers Data'!$B$4:$B$8,0),MATCH(T209,'G-7 Rivers Data'!$H$3:$L$3,0)),"")</f>
        <v/>
      </c>
      <c r="V209" s="154"/>
      <c r="W209" s="507" t="str">
        <f>IF(V209="","",IF(VLOOKUP(V209,'G-7 Rivers Data'!$AG$4:$AI$9,2,FALSE)=0,"Spatial Data Missing ⚠",VLOOKUP(V209,'G-7 Rivers Data'!$AG$4:$AI$9,2,FALSE)))</f>
        <v/>
      </c>
      <c r="X209" s="499" t="str">
        <f>IF(V209="","",IF(VLOOKUP(V209,'G-7 Rivers Data'!$AG$4:$AI$9,3,FALSE)=0,"Spatial Data Missing ⚠",VLOOKUP(V209,'G-7 Rivers Data'!$AG$4:$AI$9,3,FALSE)))</f>
        <v/>
      </c>
      <c r="Y209" s="498" t="str">
        <f>IFERROR(IF(OR(LEFT(P209,5)="Error ▲",LEFT(O209,5)="Error ▲"),"Check Data ⚠",IF(F209&lt;S209,'G-7 Rivers Data'!$R$3,INDEX('G-7 Rivers Data'!$U$5:$Y$9,MATCH(G209,'G-7 Rivers Data'!$T$5:$T$9,0),MATCH(T209,'G-7 Rivers Data'!$U$4:$Y$4,0)))),"")</f>
        <v/>
      </c>
      <c r="Z209" s="195"/>
      <c r="AA209" s="195"/>
      <c r="AB209" s="507" t="str">
        <f t="shared" si="27"/>
        <v/>
      </c>
      <c r="AC209" s="521" t="str">
        <f t="shared" si="28"/>
        <v/>
      </c>
      <c r="AD209" s="564" t="str">
        <f>IFERROR(IF(AC209="Check Data ⚠","Check Data ⚠",VLOOKUP(AC209,'G-4 Temporal multipliers'!$A$4:$C$37,3,FALSE)),"")</f>
        <v/>
      </c>
      <c r="AE209" s="498" t="str">
        <f>IF(N209="","",VLOOKUP(N209,'G-7 Rivers Data'!$B$4:$G$8,5,FALSE))</f>
        <v/>
      </c>
      <c r="AF209" s="507" t="str">
        <f t="shared" si="29"/>
        <v/>
      </c>
      <c r="AG209" s="540" t="str">
        <f t="shared" si="30"/>
        <v/>
      </c>
      <c r="AH209" s="499" t="str">
        <f t="shared" si="24"/>
        <v/>
      </c>
      <c r="AI209" s="145"/>
      <c r="AJ209" s="499" t="str">
        <f>IF(AI209="","",IF(VLOOKUP(AI209,'G-7 Rivers Data'!$AA$4:$AB$7,2,FALSE)=0,"Spatial Data Missing ⚠",VLOOKUP(AI209,'G-7 Rivers Data'!$AA$4:$AB$7,2,FALSE)))</f>
        <v/>
      </c>
      <c r="AK209" s="155"/>
      <c r="AL209" s="499" t="str">
        <f>IF(AK209="","",IF(VLOOKUP(AK209,'G-7 Rivers Data'!$AD$4:$AE$8,2,FALSE)=0,"Spatial Data Missing ⚠",VLOOKUP(AK209,'G-7 Rivers Data'!$AD$4:$AE$8,2,FALSE)))</f>
        <v/>
      </c>
      <c r="AM209" s="545" t="str">
        <f t="shared" si="31"/>
        <v/>
      </c>
      <c r="AN209" s="149"/>
      <c r="AO209" s="150"/>
      <c r="AV209" s="31" t="str">
        <f>IFERROR(INDEX('G-7 Rivers Data'!$AZ$3:$AZ$7,MATCH(N209,'G-7 Rivers Data'!$AY$3:$AY$7,0)),"")</f>
        <v/>
      </c>
    </row>
    <row r="210" spans="2:48" ht="13.8" x14ac:dyDescent="0.25">
      <c r="B210" s="531" t="str">
        <f>'C-1 Site River Baseline'!AN208</f>
        <v/>
      </c>
      <c r="C210" s="520" t="str">
        <f>IF(B210="","",VLOOKUP($B210,'C-1 Site River Baseline'!$C$9:$R$257,2,FALSE))</f>
        <v/>
      </c>
      <c r="D210" s="520" t="str">
        <f>IF(C210="","",VLOOKUP($B210,'C-1 Site River Baseline'!$C$9:$R$257,3,FALSE))</f>
        <v/>
      </c>
      <c r="E210" s="520" t="str">
        <f>IF(D210="","",VLOOKUP($B210,'C-1 Site River Baseline'!$C$9:$R$257,4,FALSE))</f>
        <v/>
      </c>
      <c r="F210" s="520" t="str">
        <f>IF(E210="","",VLOOKUP($B210,'C-1 Site River Baseline'!$C$9:$R$257,5,FALSE))</f>
        <v/>
      </c>
      <c r="G210" s="520" t="str">
        <f>IF(F210="","",VLOOKUP($B210,'C-1 Site River Baseline'!$C$9:$R$257,6,FALSE))</f>
        <v/>
      </c>
      <c r="H210" s="520" t="str">
        <f>IF(G210="","",VLOOKUP($B210,'C-1 Site River Baseline'!$C$9:$R$257,7,FALSE))</f>
        <v/>
      </c>
      <c r="I210" s="520" t="str">
        <f>IF(H210="","",VLOOKUP($B210,'C-1 Site River Baseline'!$C$9:$R$257,8,FALSE))</f>
        <v/>
      </c>
      <c r="J210" s="520" t="str">
        <f>IF(I210="","",VLOOKUP($B210,'C-1 Site River Baseline'!$C$9:$R$257,9,FALSE))</f>
        <v/>
      </c>
      <c r="K210" s="520" t="str">
        <f>IF(J210="","",VLOOKUP($B210,'C-1 Site River Baseline'!$C$9:$R$257,10,FALSE))</f>
        <v/>
      </c>
      <c r="L210" s="520" t="str">
        <f>IF(B210="","",VLOOKUP($B210,'C-1 Site River Baseline'!$C$9:$R$257,15,FALSE))</f>
        <v/>
      </c>
      <c r="M210" s="524" t="str">
        <f>IF(L210="","",VLOOKUP($B210,'C-1 Site River Baseline'!$C$9:$R$257,16,FALSE))</f>
        <v/>
      </c>
      <c r="N210" s="418" t="str">
        <f t="shared" si="25"/>
        <v/>
      </c>
      <c r="O210" s="498" t="str">
        <f t="shared" si="26"/>
        <v/>
      </c>
      <c r="P210" s="499" t="str">
        <f>IF(C210="","",IF(AND(LEFT(C210,55)&lt;&gt;LEFT(N210,55),O210="High - High"),"Error - Not like for like ▲",IF(AND(F210=S210,H210&gt;U210),"Error - Can not reduce condition ▲",IF(AND(F210=S210,H210=U210,AJ210='C-1 Site River Baseline'!N208,'C-1 Site River Baseline'!P208=AL210),"Error - No enhancement ▲",IF(AND(C210&lt;&gt;N210,F210&lt;S210),"Lower Distinctiveness Habitat"&amp;" - "&amp;T210,G210&amp;" - "&amp;T210)))))</f>
        <v/>
      </c>
      <c r="Q210" s="567" t="str">
        <f>IF(N210="","",VLOOKUP(B210,'C-1 Site River Baseline'!$C$10:$AA$257,19,FALSE))</f>
        <v/>
      </c>
      <c r="R210" s="498" t="str">
        <f>IF(N210="","",VLOOKUP(N210,'G-7 Rivers Data'!$B$2:$G$8,2,FALSE))</f>
        <v/>
      </c>
      <c r="S210" s="499" t="str">
        <f>IFERROR(VLOOKUP(R210,'G-7 Rivers Data'!$C$4:$D$8,2,FALSE),"")</f>
        <v/>
      </c>
      <c r="T210" s="145"/>
      <c r="U210" s="499" t="str">
        <f>IFERROR(INDEX('G-7 Rivers Data'!$H$4:$L$8,MATCH(N210,'G-7 Rivers Data'!$B$4:$B$8,0),MATCH(T210,'G-7 Rivers Data'!$H$3:$L$3,0)),"")</f>
        <v/>
      </c>
      <c r="V210" s="154"/>
      <c r="W210" s="507" t="str">
        <f>IF(V210="","",IF(VLOOKUP(V210,'G-7 Rivers Data'!$AG$4:$AI$9,2,FALSE)=0,"Spatial Data Missing ⚠",VLOOKUP(V210,'G-7 Rivers Data'!$AG$4:$AI$9,2,FALSE)))</f>
        <v/>
      </c>
      <c r="X210" s="499" t="str">
        <f>IF(V210="","",IF(VLOOKUP(V210,'G-7 Rivers Data'!$AG$4:$AI$9,3,FALSE)=0,"Spatial Data Missing ⚠",VLOOKUP(V210,'G-7 Rivers Data'!$AG$4:$AI$9,3,FALSE)))</f>
        <v/>
      </c>
      <c r="Y210" s="498" t="str">
        <f>IFERROR(IF(OR(LEFT(P210,5)="Error ▲",LEFT(O210,5)="Error ▲"),"Check Data ⚠",IF(F210&lt;S210,'G-7 Rivers Data'!$R$3,INDEX('G-7 Rivers Data'!$U$5:$Y$9,MATCH(G210,'G-7 Rivers Data'!$T$5:$T$9,0),MATCH(T210,'G-7 Rivers Data'!$U$4:$Y$4,0)))),"")</f>
        <v/>
      </c>
      <c r="Z210" s="195"/>
      <c r="AA210" s="195"/>
      <c r="AB210" s="507" t="str">
        <f t="shared" si="27"/>
        <v/>
      </c>
      <c r="AC210" s="521" t="str">
        <f t="shared" si="28"/>
        <v/>
      </c>
      <c r="AD210" s="564" t="str">
        <f>IFERROR(IF(AC210="Check Data ⚠","Check Data ⚠",VLOOKUP(AC210,'G-4 Temporal multipliers'!$A$4:$C$37,3,FALSE)),"")</f>
        <v/>
      </c>
      <c r="AE210" s="498" t="str">
        <f>IF(N210="","",VLOOKUP(N210,'G-7 Rivers Data'!$B$4:$G$8,5,FALSE))</f>
        <v/>
      </c>
      <c r="AF210" s="507" t="str">
        <f t="shared" si="29"/>
        <v/>
      </c>
      <c r="AG210" s="540" t="str">
        <f t="shared" si="30"/>
        <v/>
      </c>
      <c r="AH210" s="499" t="str">
        <f t="shared" si="24"/>
        <v/>
      </c>
      <c r="AI210" s="145"/>
      <c r="AJ210" s="499" t="str">
        <f>IF(AI210="","",IF(VLOOKUP(AI210,'G-7 Rivers Data'!$AA$4:$AB$7,2,FALSE)=0,"Spatial Data Missing ⚠",VLOOKUP(AI210,'G-7 Rivers Data'!$AA$4:$AB$7,2,FALSE)))</f>
        <v/>
      </c>
      <c r="AK210" s="155"/>
      <c r="AL210" s="499" t="str">
        <f>IF(AK210="","",IF(VLOOKUP(AK210,'G-7 Rivers Data'!$AD$4:$AE$8,2,FALSE)=0,"Spatial Data Missing ⚠",VLOOKUP(AK210,'G-7 Rivers Data'!$AD$4:$AE$8,2,FALSE)))</f>
        <v/>
      </c>
      <c r="AM210" s="545" t="str">
        <f t="shared" si="31"/>
        <v/>
      </c>
      <c r="AN210" s="149"/>
      <c r="AO210" s="150"/>
      <c r="AV210" s="31" t="str">
        <f>IFERROR(INDEX('G-7 Rivers Data'!$AZ$3:$AZ$7,MATCH(N210,'G-7 Rivers Data'!$AY$3:$AY$7,0)),"")</f>
        <v/>
      </c>
    </row>
    <row r="211" spans="2:48" ht="13.8" x14ac:dyDescent="0.25">
      <c r="B211" s="531" t="str">
        <f>'C-1 Site River Baseline'!AN209</f>
        <v/>
      </c>
      <c r="C211" s="520" t="str">
        <f>IF(B211="","",VLOOKUP($B211,'C-1 Site River Baseline'!$C$9:$R$257,2,FALSE))</f>
        <v/>
      </c>
      <c r="D211" s="520" t="str">
        <f>IF(C211="","",VLOOKUP($B211,'C-1 Site River Baseline'!$C$9:$R$257,3,FALSE))</f>
        <v/>
      </c>
      <c r="E211" s="520" t="str">
        <f>IF(D211="","",VLOOKUP($B211,'C-1 Site River Baseline'!$C$9:$R$257,4,FALSE))</f>
        <v/>
      </c>
      <c r="F211" s="520" t="str">
        <f>IF(E211="","",VLOOKUP($B211,'C-1 Site River Baseline'!$C$9:$R$257,5,FALSE))</f>
        <v/>
      </c>
      <c r="G211" s="520" t="str">
        <f>IF(F211="","",VLOOKUP($B211,'C-1 Site River Baseline'!$C$9:$R$257,6,FALSE))</f>
        <v/>
      </c>
      <c r="H211" s="520" t="str">
        <f>IF(G211="","",VLOOKUP($B211,'C-1 Site River Baseline'!$C$9:$R$257,7,FALSE))</f>
        <v/>
      </c>
      <c r="I211" s="520" t="str">
        <f>IF(H211="","",VLOOKUP($B211,'C-1 Site River Baseline'!$C$9:$R$257,8,FALSE))</f>
        <v/>
      </c>
      <c r="J211" s="520" t="str">
        <f>IF(I211="","",VLOOKUP($B211,'C-1 Site River Baseline'!$C$9:$R$257,9,FALSE))</f>
        <v/>
      </c>
      <c r="K211" s="520" t="str">
        <f>IF(J211="","",VLOOKUP($B211,'C-1 Site River Baseline'!$C$9:$R$257,10,FALSE))</f>
        <v/>
      </c>
      <c r="L211" s="520" t="str">
        <f>IF(B211="","",VLOOKUP($B211,'C-1 Site River Baseline'!$C$9:$R$257,15,FALSE))</f>
        <v/>
      </c>
      <c r="M211" s="524" t="str">
        <f>IF(L211="","",VLOOKUP($B211,'C-1 Site River Baseline'!$C$9:$R$257,16,FALSE))</f>
        <v/>
      </c>
      <c r="N211" s="418" t="str">
        <f t="shared" si="25"/>
        <v/>
      </c>
      <c r="O211" s="498" t="str">
        <f t="shared" si="26"/>
        <v/>
      </c>
      <c r="P211" s="499" t="str">
        <f>IF(C211="","",IF(AND(LEFT(C211,55)&lt;&gt;LEFT(N211,55),O211="High - High"),"Error - Not like for like ▲",IF(AND(F211=S211,H211&gt;U211),"Error - Can not reduce condition ▲",IF(AND(F211=S211,H211=U211,AJ211='C-1 Site River Baseline'!N209,'C-1 Site River Baseline'!P209=AL211),"Error - No enhancement ▲",IF(AND(C211&lt;&gt;N211,F211&lt;S211),"Lower Distinctiveness Habitat"&amp;" - "&amp;T211,G211&amp;" - "&amp;T211)))))</f>
        <v/>
      </c>
      <c r="Q211" s="567" t="str">
        <f>IF(N211="","",VLOOKUP(B211,'C-1 Site River Baseline'!$C$10:$AA$257,19,FALSE))</f>
        <v/>
      </c>
      <c r="R211" s="498" t="str">
        <f>IF(N211="","",VLOOKUP(N211,'G-7 Rivers Data'!$B$2:$G$8,2,FALSE))</f>
        <v/>
      </c>
      <c r="S211" s="499" t="str">
        <f>IFERROR(VLOOKUP(R211,'G-7 Rivers Data'!$C$4:$D$8,2,FALSE),"")</f>
        <v/>
      </c>
      <c r="T211" s="145"/>
      <c r="U211" s="499" t="str">
        <f>IFERROR(INDEX('G-7 Rivers Data'!$H$4:$L$8,MATCH(N211,'G-7 Rivers Data'!$B$4:$B$8,0),MATCH(T211,'G-7 Rivers Data'!$H$3:$L$3,0)),"")</f>
        <v/>
      </c>
      <c r="V211" s="154"/>
      <c r="W211" s="507" t="str">
        <f>IF(V211="","",IF(VLOOKUP(V211,'G-7 Rivers Data'!$AG$4:$AI$9,2,FALSE)=0,"Spatial Data Missing ⚠",VLOOKUP(V211,'G-7 Rivers Data'!$AG$4:$AI$9,2,FALSE)))</f>
        <v/>
      </c>
      <c r="X211" s="499" t="str">
        <f>IF(V211="","",IF(VLOOKUP(V211,'G-7 Rivers Data'!$AG$4:$AI$9,3,FALSE)=0,"Spatial Data Missing ⚠",VLOOKUP(V211,'G-7 Rivers Data'!$AG$4:$AI$9,3,FALSE)))</f>
        <v/>
      </c>
      <c r="Y211" s="498" t="str">
        <f>IFERROR(IF(OR(LEFT(P211,5)="Error ▲",LEFT(O211,5)="Error ▲"),"Check Data ⚠",IF(F211&lt;S211,'G-7 Rivers Data'!$R$3,INDEX('G-7 Rivers Data'!$U$5:$Y$9,MATCH(G211,'G-7 Rivers Data'!$T$5:$T$9,0),MATCH(T211,'G-7 Rivers Data'!$U$4:$Y$4,0)))),"")</f>
        <v/>
      </c>
      <c r="Z211" s="195"/>
      <c r="AA211" s="195"/>
      <c r="AB211" s="507" t="str">
        <f t="shared" si="27"/>
        <v/>
      </c>
      <c r="AC211" s="521" t="str">
        <f t="shared" si="28"/>
        <v/>
      </c>
      <c r="AD211" s="564" t="str">
        <f>IFERROR(IF(AC211="Check Data ⚠","Check Data ⚠",VLOOKUP(AC211,'G-4 Temporal multipliers'!$A$4:$C$37,3,FALSE)),"")</f>
        <v/>
      </c>
      <c r="AE211" s="498" t="str">
        <f>IF(N211="","",VLOOKUP(N211,'G-7 Rivers Data'!$B$4:$G$8,5,FALSE))</f>
        <v/>
      </c>
      <c r="AF211" s="507" t="str">
        <f t="shared" si="29"/>
        <v/>
      </c>
      <c r="AG211" s="540" t="str">
        <f t="shared" si="30"/>
        <v/>
      </c>
      <c r="AH211" s="499" t="str">
        <f t="shared" si="24"/>
        <v/>
      </c>
      <c r="AI211" s="145"/>
      <c r="AJ211" s="499" t="str">
        <f>IF(AI211="","",IF(VLOOKUP(AI211,'G-7 Rivers Data'!$AA$4:$AB$7,2,FALSE)=0,"Spatial Data Missing ⚠",VLOOKUP(AI211,'G-7 Rivers Data'!$AA$4:$AB$7,2,FALSE)))</f>
        <v/>
      </c>
      <c r="AK211" s="155"/>
      <c r="AL211" s="499" t="str">
        <f>IF(AK211="","",IF(VLOOKUP(AK211,'G-7 Rivers Data'!$AD$4:$AE$8,2,FALSE)=0,"Spatial Data Missing ⚠",VLOOKUP(AK211,'G-7 Rivers Data'!$AD$4:$AE$8,2,FALSE)))</f>
        <v/>
      </c>
      <c r="AM211" s="545" t="str">
        <f t="shared" si="31"/>
        <v/>
      </c>
      <c r="AN211" s="149"/>
      <c r="AO211" s="150"/>
      <c r="AV211" s="31" t="str">
        <f>IFERROR(INDEX('G-7 Rivers Data'!$AZ$3:$AZ$7,MATCH(N211,'G-7 Rivers Data'!$AY$3:$AY$7,0)),"")</f>
        <v/>
      </c>
    </row>
    <row r="212" spans="2:48" ht="13.8" x14ac:dyDescent="0.25">
      <c r="B212" s="531" t="str">
        <f>'C-1 Site River Baseline'!AN210</f>
        <v/>
      </c>
      <c r="C212" s="520" t="str">
        <f>IF(B212="","",VLOOKUP($B212,'C-1 Site River Baseline'!$C$9:$R$257,2,FALSE))</f>
        <v/>
      </c>
      <c r="D212" s="520" t="str">
        <f>IF(C212="","",VLOOKUP($B212,'C-1 Site River Baseline'!$C$9:$R$257,3,FALSE))</f>
        <v/>
      </c>
      <c r="E212" s="520" t="str">
        <f>IF(D212="","",VLOOKUP($B212,'C-1 Site River Baseline'!$C$9:$R$257,4,FALSE))</f>
        <v/>
      </c>
      <c r="F212" s="520" t="str">
        <f>IF(E212="","",VLOOKUP($B212,'C-1 Site River Baseline'!$C$9:$R$257,5,FALSE))</f>
        <v/>
      </c>
      <c r="G212" s="520" t="str">
        <f>IF(F212="","",VLOOKUP($B212,'C-1 Site River Baseline'!$C$9:$R$257,6,FALSE))</f>
        <v/>
      </c>
      <c r="H212" s="520" t="str">
        <f>IF(G212="","",VLOOKUP($B212,'C-1 Site River Baseline'!$C$9:$R$257,7,FALSE))</f>
        <v/>
      </c>
      <c r="I212" s="520" t="str">
        <f>IF(H212="","",VLOOKUP($B212,'C-1 Site River Baseline'!$C$9:$R$257,8,FALSE))</f>
        <v/>
      </c>
      <c r="J212" s="520" t="str">
        <f>IF(I212="","",VLOOKUP($B212,'C-1 Site River Baseline'!$C$9:$R$257,9,FALSE))</f>
        <v/>
      </c>
      <c r="K212" s="520" t="str">
        <f>IF(J212="","",VLOOKUP($B212,'C-1 Site River Baseline'!$C$9:$R$257,10,FALSE))</f>
        <v/>
      </c>
      <c r="L212" s="520" t="str">
        <f>IF(B212="","",VLOOKUP($B212,'C-1 Site River Baseline'!$C$9:$R$257,15,FALSE))</f>
        <v/>
      </c>
      <c r="M212" s="524" t="str">
        <f>IF(L212="","",VLOOKUP($B212,'C-1 Site River Baseline'!$C$9:$R$257,16,FALSE))</f>
        <v/>
      </c>
      <c r="N212" s="418" t="str">
        <f t="shared" si="25"/>
        <v/>
      </c>
      <c r="O212" s="498" t="str">
        <f t="shared" si="26"/>
        <v/>
      </c>
      <c r="P212" s="499" t="str">
        <f>IF(C212="","",IF(AND(LEFT(C212,55)&lt;&gt;LEFT(N212,55),O212="High - High"),"Error - Not like for like ▲",IF(AND(F212=S212,H212&gt;U212),"Error - Can not reduce condition ▲",IF(AND(F212=S212,H212=U212,AJ212='C-1 Site River Baseline'!N210,'C-1 Site River Baseline'!P210=AL212),"Error - No enhancement ▲",IF(AND(C212&lt;&gt;N212,F212&lt;S212),"Lower Distinctiveness Habitat"&amp;" - "&amp;T212,G212&amp;" - "&amp;T212)))))</f>
        <v/>
      </c>
      <c r="Q212" s="567" t="str">
        <f>IF(N212="","",VLOOKUP(B212,'C-1 Site River Baseline'!$C$10:$AA$257,19,FALSE))</f>
        <v/>
      </c>
      <c r="R212" s="498" t="str">
        <f>IF(N212="","",VLOOKUP(N212,'G-7 Rivers Data'!$B$2:$G$8,2,FALSE))</f>
        <v/>
      </c>
      <c r="S212" s="499" t="str">
        <f>IFERROR(VLOOKUP(R212,'G-7 Rivers Data'!$C$4:$D$8,2,FALSE),"")</f>
        <v/>
      </c>
      <c r="T212" s="145"/>
      <c r="U212" s="499" t="str">
        <f>IFERROR(INDEX('G-7 Rivers Data'!$H$4:$L$8,MATCH(N212,'G-7 Rivers Data'!$B$4:$B$8,0),MATCH(T212,'G-7 Rivers Data'!$H$3:$L$3,0)),"")</f>
        <v/>
      </c>
      <c r="V212" s="154"/>
      <c r="W212" s="507" t="str">
        <f>IF(V212="","",IF(VLOOKUP(V212,'G-7 Rivers Data'!$AG$4:$AI$9,2,FALSE)=0,"Spatial Data Missing ⚠",VLOOKUP(V212,'G-7 Rivers Data'!$AG$4:$AI$9,2,FALSE)))</f>
        <v/>
      </c>
      <c r="X212" s="499" t="str">
        <f>IF(V212="","",IF(VLOOKUP(V212,'G-7 Rivers Data'!$AG$4:$AI$9,3,FALSE)=0,"Spatial Data Missing ⚠",VLOOKUP(V212,'G-7 Rivers Data'!$AG$4:$AI$9,3,FALSE)))</f>
        <v/>
      </c>
      <c r="Y212" s="498" t="str">
        <f>IFERROR(IF(OR(LEFT(P212,5)="Error ▲",LEFT(O212,5)="Error ▲"),"Check Data ⚠",IF(F212&lt;S212,'G-7 Rivers Data'!$R$3,INDEX('G-7 Rivers Data'!$U$5:$Y$9,MATCH(G212,'G-7 Rivers Data'!$T$5:$T$9,0),MATCH(T212,'G-7 Rivers Data'!$U$4:$Y$4,0)))),"")</f>
        <v/>
      </c>
      <c r="Z212" s="195"/>
      <c r="AA212" s="195"/>
      <c r="AB212" s="507" t="str">
        <f t="shared" si="27"/>
        <v/>
      </c>
      <c r="AC212" s="521" t="str">
        <f t="shared" si="28"/>
        <v/>
      </c>
      <c r="AD212" s="564" t="str">
        <f>IFERROR(IF(AC212="Check Data ⚠","Check Data ⚠",VLOOKUP(AC212,'G-4 Temporal multipliers'!$A$4:$C$37,3,FALSE)),"")</f>
        <v/>
      </c>
      <c r="AE212" s="498" t="str">
        <f>IF(N212="","",VLOOKUP(N212,'G-7 Rivers Data'!$B$4:$G$8,5,FALSE))</f>
        <v/>
      </c>
      <c r="AF212" s="507" t="str">
        <f t="shared" si="29"/>
        <v/>
      </c>
      <c r="AG212" s="540" t="str">
        <f t="shared" si="30"/>
        <v/>
      </c>
      <c r="AH212" s="499" t="str">
        <f t="shared" si="24"/>
        <v/>
      </c>
      <c r="AI212" s="145"/>
      <c r="AJ212" s="499" t="str">
        <f>IF(AI212="","",IF(VLOOKUP(AI212,'G-7 Rivers Data'!$AA$4:$AB$7,2,FALSE)=0,"Spatial Data Missing ⚠",VLOOKUP(AI212,'G-7 Rivers Data'!$AA$4:$AB$7,2,FALSE)))</f>
        <v/>
      </c>
      <c r="AK212" s="155"/>
      <c r="AL212" s="499" t="str">
        <f>IF(AK212="","",IF(VLOOKUP(AK212,'G-7 Rivers Data'!$AD$4:$AE$8,2,FALSE)=0,"Spatial Data Missing ⚠",VLOOKUP(AK212,'G-7 Rivers Data'!$AD$4:$AE$8,2,FALSE)))</f>
        <v/>
      </c>
      <c r="AM212" s="545" t="str">
        <f t="shared" si="31"/>
        <v/>
      </c>
      <c r="AN212" s="149"/>
      <c r="AO212" s="150"/>
      <c r="AV212" s="31" t="str">
        <f>IFERROR(INDEX('G-7 Rivers Data'!$AZ$3:$AZ$7,MATCH(N212,'G-7 Rivers Data'!$AY$3:$AY$7,0)),"")</f>
        <v/>
      </c>
    </row>
    <row r="213" spans="2:48" ht="13.8" x14ac:dyDescent="0.25">
      <c r="B213" s="531" t="str">
        <f>'C-1 Site River Baseline'!AN211</f>
        <v/>
      </c>
      <c r="C213" s="520" t="str">
        <f>IF(B213="","",VLOOKUP($B213,'C-1 Site River Baseline'!$C$9:$R$257,2,FALSE))</f>
        <v/>
      </c>
      <c r="D213" s="520" t="str">
        <f>IF(C213="","",VLOOKUP($B213,'C-1 Site River Baseline'!$C$9:$R$257,3,FALSE))</f>
        <v/>
      </c>
      <c r="E213" s="520" t="str">
        <f>IF(D213="","",VLOOKUP($B213,'C-1 Site River Baseline'!$C$9:$R$257,4,FALSE))</f>
        <v/>
      </c>
      <c r="F213" s="520" t="str">
        <f>IF(E213="","",VLOOKUP($B213,'C-1 Site River Baseline'!$C$9:$R$257,5,FALSE))</f>
        <v/>
      </c>
      <c r="G213" s="520" t="str">
        <f>IF(F213="","",VLOOKUP($B213,'C-1 Site River Baseline'!$C$9:$R$257,6,FALSE))</f>
        <v/>
      </c>
      <c r="H213" s="520" t="str">
        <f>IF(G213="","",VLOOKUP($B213,'C-1 Site River Baseline'!$C$9:$R$257,7,FALSE))</f>
        <v/>
      </c>
      <c r="I213" s="520" t="str">
        <f>IF(H213="","",VLOOKUP($B213,'C-1 Site River Baseline'!$C$9:$R$257,8,FALSE))</f>
        <v/>
      </c>
      <c r="J213" s="520" t="str">
        <f>IF(I213="","",VLOOKUP($B213,'C-1 Site River Baseline'!$C$9:$R$257,9,FALSE))</f>
        <v/>
      </c>
      <c r="K213" s="520" t="str">
        <f>IF(J213="","",VLOOKUP($B213,'C-1 Site River Baseline'!$C$9:$R$257,10,FALSE))</f>
        <v/>
      </c>
      <c r="L213" s="520" t="str">
        <f>IF(B213="","",VLOOKUP($B213,'C-1 Site River Baseline'!$C$9:$R$257,15,FALSE))</f>
        <v/>
      </c>
      <c r="M213" s="524" t="str">
        <f>IF(L213="","",VLOOKUP($B213,'C-1 Site River Baseline'!$C$9:$R$257,16,FALSE))</f>
        <v/>
      </c>
      <c r="N213" s="418" t="str">
        <f t="shared" si="25"/>
        <v/>
      </c>
      <c r="O213" s="498" t="str">
        <f t="shared" si="26"/>
        <v/>
      </c>
      <c r="P213" s="499" t="str">
        <f>IF(C213="","",IF(AND(LEFT(C213,55)&lt;&gt;LEFT(N213,55),O213="High - High"),"Error - Not like for like ▲",IF(AND(F213=S213,H213&gt;U213),"Error - Can not reduce condition ▲",IF(AND(F213=S213,H213=U213,AJ213='C-1 Site River Baseline'!N211,'C-1 Site River Baseline'!P211=AL213),"Error - No enhancement ▲",IF(AND(C213&lt;&gt;N213,F213&lt;S213),"Lower Distinctiveness Habitat"&amp;" - "&amp;T213,G213&amp;" - "&amp;T213)))))</f>
        <v/>
      </c>
      <c r="Q213" s="567" t="str">
        <f>IF(N213="","",VLOOKUP(B213,'C-1 Site River Baseline'!$C$10:$AA$257,19,FALSE))</f>
        <v/>
      </c>
      <c r="R213" s="498" t="str">
        <f>IF(N213="","",VLOOKUP(N213,'G-7 Rivers Data'!$B$2:$G$8,2,FALSE))</f>
        <v/>
      </c>
      <c r="S213" s="499" t="str">
        <f>IFERROR(VLOOKUP(R213,'G-7 Rivers Data'!$C$4:$D$8,2,FALSE),"")</f>
        <v/>
      </c>
      <c r="T213" s="145"/>
      <c r="U213" s="499" t="str">
        <f>IFERROR(INDEX('G-7 Rivers Data'!$H$4:$L$8,MATCH(N213,'G-7 Rivers Data'!$B$4:$B$8,0),MATCH(T213,'G-7 Rivers Data'!$H$3:$L$3,0)),"")</f>
        <v/>
      </c>
      <c r="V213" s="154"/>
      <c r="W213" s="507" t="str">
        <f>IF(V213="","",IF(VLOOKUP(V213,'G-7 Rivers Data'!$AG$4:$AI$9,2,FALSE)=0,"Spatial Data Missing ⚠",VLOOKUP(V213,'G-7 Rivers Data'!$AG$4:$AI$9,2,FALSE)))</f>
        <v/>
      </c>
      <c r="X213" s="499" t="str">
        <f>IF(V213="","",IF(VLOOKUP(V213,'G-7 Rivers Data'!$AG$4:$AI$9,3,FALSE)=0,"Spatial Data Missing ⚠",VLOOKUP(V213,'G-7 Rivers Data'!$AG$4:$AI$9,3,FALSE)))</f>
        <v/>
      </c>
      <c r="Y213" s="498" t="str">
        <f>IFERROR(IF(OR(LEFT(P213,5)="Error ▲",LEFT(O213,5)="Error ▲"),"Check Data ⚠",IF(F213&lt;S213,'G-7 Rivers Data'!$R$3,INDEX('G-7 Rivers Data'!$U$5:$Y$9,MATCH(G213,'G-7 Rivers Data'!$T$5:$T$9,0),MATCH(T213,'G-7 Rivers Data'!$U$4:$Y$4,0)))),"")</f>
        <v/>
      </c>
      <c r="Z213" s="195"/>
      <c r="AA213" s="195"/>
      <c r="AB213" s="507" t="str">
        <f t="shared" si="27"/>
        <v/>
      </c>
      <c r="AC213" s="521" t="str">
        <f t="shared" si="28"/>
        <v/>
      </c>
      <c r="AD213" s="564" t="str">
        <f>IFERROR(IF(AC213="Check Data ⚠","Check Data ⚠",VLOOKUP(AC213,'G-4 Temporal multipliers'!$A$4:$C$37,3,FALSE)),"")</f>
        <v/>
      </c>
      <c r="AE213" s="498" t="str">
        <f>IF(N213="","",VLOOKUP(N213,'G-7 Rivers Data'!$B$4:$G$8,5,FALSE))</f>
        <v/>
      </c>
      <c r="AF213" s="507" t="str">
        <f t="shared" si="29"/>
        <v/>
      </c>
      <c r="AG213" s="540" t="str">
        <f t="shared" si="30"/>
        <v/>
      </c>
      <c r="AH213" s="499" t="str">
        <f t="shared" si="24"/>
        <v/>
      </c>
      <c r="AI213" s="145"/>
      <c r="AJ213" s="499" t="str">
        <f>IF(AI213="","",IF(VLOOKUP(AI213,'G-7 Rivers Data'!$AA$4:$AB$7,2,FALSE)=0,"Spatial Data Missing ⚠",VLOOKUP(AI213,'G-7 Rivers Data'!$AA$4:$AB$7,2,FALSE)))</f>
        <v/>
      </c>
      <c r="AK213" s="155"/>
      <c r="AL213" s="499" t="str">
        <f>IF(AK213="","",IF(VLOOKUP(AK213,'G-7 Rivers Data'!$AD$4:$AE$8,2,FALSE)=0,"Spatial Data Missing ⚠",VLOOKUP(AK213,'G-7 Rivers Data'!$AD$4:$AE$8,2,FALSE)))</f>
        <v/>
      </c>
      <c r="AM213" s="545" t="str">
        <f t="shared" si="31"/>
        <v/>
      </c>
      <c r="AN213" s="149"/>
      <c r="AO213" s="150"/>
      <c r="AV213" s="31" t="str">
        <f>IFERROR(INDEX('G-7 Rivers Data'!$AZ$3:$AZ$7,MATCH(N213,'G-7 Rivers Data'!$AY$3:$AY$7,0)),"")</f>
        <v/>
      </c>
    </row>
    <row r="214" spans="2:48" ht="13.8" x14ac:dyDescent="0.25">
      <c r="B214" s="531" t="str">
        <f>'C-1 Site River Baseline'!AN212</f>
        <v/>
      </c>
      <c r="C214" s="520" t="str">
        <f>IF(B214="","",VLOOKUP($B214,'C-1 Site River Baseline'!$C$9:$R$257,2,FALSE))</f>
        <v/>
      </c>
      <c r="D214" s="520" t="str">
        <f>IF(C214="","",VLOOKUP($B214,'C-1 Site River Baseline'!$C$9:$R$257,3,FALSE))</f>
        <v/>
      </c>
      <c r="E214" s="520" t="str">
        <f>IF(D214="","",VLOOKUP($B214,'C-1 Site River Baseline'!$C$9:$R$257,4,FALSE))</f>
        <v/>
      </c>
      <c r="F214" s="520" t="str">
        <f>IF(E214="","",VLOOKUP($B214,'C-1 Site River Baseline'!$C$9:$R$257,5,FALSE))</f>
        <v/>
      </c>
      <c r="G214" s="520" t="str">
        <f>IF(F214="","",VLOOKUP($B214,'C-1 Site River Baseline'!$C$9:$R$257,6,FALSE))</f>
        <v/>
      </c>
      <c r="H214" s="520" t="str">
        <f>IF(G214="","",VLOOKUP($B214,'C-1 Site River Baseline'!$C$9:$R$257,7,FALSE))</f>
        <v/>
      </c>
      <c r="I214" s="520" t="str">
        <f>IF(H214="","",VLOOKUP($B214,'C-1 Site River Baseline'!$C$9:$R$257,8,FALSE))</f>
        <v/>
      </c>
      <c r="J214" s="520" t="str">
        <f>IF(I214="","",VLOOKUP($B214,'C-1 Site River Baseline'!$C$9:$R$257,9,FALSE))</f>
        <v/>
      </c>
      <c r="K214" s="520" t="str">
        <f>IF(J214="","",VLOOKUP($B214,'C-1 Site River Baseline'!$C$9:$R$257,10,FALSE))</f>
        <v/>
      </c>
      <c r="L214" s="520" t="str">
        <f>IF(B214="","",VLOOKUP($B214,'C-1 Site River Baseline'!$C$9:$R$257,15,FALSE))</f>
        <v/>
      </c>
      <c r="M214" s="524" t="str">
        <f>IF(L214="","",VLOOKUP($B214,'C-1 Site River Baseline'!$C$9:$R$257,16,FALSE))</f>
        <v/>
      </c>
      <c r="N214" s="418" t="str">
        <f t="shared" si="25"/>
        <v/>
      </c>
      <c r="O214" s="498" t="str">
        <f t="shared" si="26"/>
        <v/>
      </c>
      <c r="P214" s="499" t="str">
        <f>IF(C214="","",IF(AND(LEFT(C214,55)&lt;&gt;LEFT(N214,55),O214="High - High"),"Error - Not like for like ▲",IF(AND(F214=S214,H214&gt;U214),"Error - Can not reduce condition ▲",IF(AND(F214=S214,H214=U214,AJ214='C-1 Site River Baseline'!N212,'C-1 Site River Baseline'!P212=AL214),"Error - No enhancement ▲",IF(AND(C214&lt;&gt;N214,F214&lt;S214),"Lower Distinctiveness Habitat"&amp;" - "&amp;T214,G214&amp;" - "&amp;T214)))))</f>
        <v/>
      </c>
      <c r="Q214" s="567" t="str">
        <f>IF(N214="","",VLOOKUP(B214,'C-1 Site River Baseline'!$C$10:$AA$257,19,FALSE))</f>
        <v/>
      </c>
      <c r="R214" s="498" t="str">
        <f>IF(N214="","",VLOOKUP(N214,'G-7 Rivers Data'!$B$2:$G$8,2,FALSE))</f>
        <v/>
      </c>
      <c r="S214" s="499" t="str">
        <f>IFERROR(VLOOKUP(R214,'G-7 Rivers Data'!$C$4:$D$8,2,FALSE),"")</f>
        <v/>
      </c>
      <c r="T214" s="145"/>
      <c r="U214" s="499" t="str">
        <f>IFERROR(INDEX('G-7 Rivers Data'!$H$4:$L$8,MATCH(N214,'G-7 Rivers Data'!$B$4:$B$8,0),MATCH(T214,'G-7 Rivers Data'!$H$3:$L$3,0)),"")</f>
        <v/>
      </c>
      <c r="V214" s="154"/>
      <c r="W214" s="507" t="str">
        <f>IF(V214="","",IF(VLOOKUP(V214,'G-7 Rivers Data'!$AG$4:$AI$9,2,FALSE)=0,"Spatial Data Missing ⚠",VLOOKUP(V214,'G-7 Rivers Data'!$AG$4:$AI$9,2,FALSE)))</f>
        <v/>
      </c>
      <c r="X214" s="499" t="str">
        <f>IF(V214="","",IF(VLOOKUP(V214,'G-7 Rivers Data'!$AG$4:$AI$9,3,FALSE)=0,"Spatial Data Missing ⚠",VLOOKUP(V214,'G-7 Rivers Data'!$AG$4:$AI$9,3,FALSE)))</f>
        <v/>
      </c>
      <c r="Y214" s="498" t="str">
        <f>IFERROR(IF(OR(LEFT(P214,5)="Error ▲",LEFT(O214,5)="Error ▲"),"Check Data ⚠",IF(F214&lt;S214,'G-7 Rivers Data'!$R$3,INDEX('G-7 Rivers Data'!$U$5:$Y$9,MATCH(G214,'G-7 Rivers Data'!$T$5:$T$9,0),MATCH(T214,'G-7 Rivers Data'!$U$4:$Y$4,0)))),"")</f>
        <v/>
      </c>
      <c r="Z214" s="195"/>
      <c r="AA214" s="195"/>
      <c r="AB214" s="507" t="str">
        <f t="shared" si="27"/>
        <v/>
      </c>
      <c r="AC214" s="521" t="str">
        <f t="shared" si="28"/>
        <v/>
      </c>
      <c r="AD214" s="564" t="str">
        <f>IFERROR(IF(AC214="Check Data ⚠","Check Data ⚠",VLOOKUP(AC214,'G-4 Temporal multipliers'!$A$4:$C$37,3,FALSE)),"")</f>
        <v/>
      </c>
      <c r="AE214" s="498" t="str">
        <f>IF(N214="","",VLOOKUP(N214,'G-7 Rivers Data'!$B$4:$G$8,5,FALSE))</f>
        <v/>
      </c>
      <c r="AF214" s="507" t="str">
        <f t="shared" si="29"/>
        <v/>
      </c>
      <c r="AG214" s="540" t="str">
        <f t="shared" si="30"/>
        <v/>
      </c>
      <c r="AH214" s="499" t="str">
        <f t="shared" si="24"/>
        <v/>
      </c>
      <c r="AI214" s="145"/>
      <c r="AJ214" s="499" t="str">
        <f>IF(AI214="","",IF(VLOOKUP(AI214,'G-7 Rivers Data'!$AA$4:$AB$7,2,FALSE)=0,"Spatial Data Missing ⚠",VLOOKUP(AI214,'G-7 Rivers Data'!$AA$4:$AB$7,2,FALSE)))</f>
        <v/>
      </c>
      <c r="AK214" s="155"/>
      <c r="AL214" s="499" t="str">
        <f>IF(AK214="","",IF(VLOOKUP(AK214,'G-7 Rivers Data'!$AD$4:$AE$8,2,FALSE)=0,"Spatial Data Missing ⚠",VLOOKUP(AK214,'G-7 Rivers Data'!$AD$4:$AE$8,2,FALSE)))</f>
        <v/>
      </c>
      <c r="AM214" s="545" t="str">
        <f t="shared" si="31"/>
        <v/>
      </c>
      <c r="AN214" s="149"/>
      <c r="AO214" s="150"/>
      <c r="AV214" s="31" t="str">
        <f>IFERROR(INDEX('G-7 Rivers Data'!$AZ$3:$AZ$7,MATCH(N214,'G-7 Rivers Data'!$AY$3:$AY$7,0)),"")</f>
        <v/>
      </c>
    </row>
    <row r="215" spans="2:48" ht="13.8" x14ac:dyDescent="0.25">
      <c r="B215" s="531" t="str">
        <f>'C-1 Site River Baseline'!AN213</f>
        <v/>
      </c>
      <c r="C215" s="520" t="str">
        <f>IF(B215="","",VLOOKUP($B215,'C-1 Site River Baseline'!$C$9:$R$257,2,FALSE))</f>
        <v/>
      </c>
      <c r="D215" s="520" t="str">
        <f>IF(C215="","",VLOOKUP($B215,'C-1 Site River Baseline'!$C$9:$R$257,3,FALSE))</f>
        <v/>
      </c>
      <c r="E215" s="520" t="str">
        <f>IF(D215="","",VLOOKUP($B215,'C-1 Site River Baseline'!$C$9:$R$257,4,FALSE))</f>
        <v/>
      </c>
      <c r="F215" s="520" t="str">
        <f>IF(E215="","",VLOOKUP($B215,'C-1 Site River Baseline'!$C$9:$R$257,5,FALSE))</f>
        <v/>
      </c>
      <c r="G215" s="520" t="str">
        <f>IF(F215="","",VLOOKUP($B215,'C-1 Site River Baseline'!$C$9:$R$257,6,FALSE))</f>
        <v/>
      </c>
      <c r="H215" s="520" t="str">
        <f>IF(G215="","",VLOOKUP($B215,'C-1 Site River Baseline'!$C$9:$R$257,7,FALSE))</f>
        <v/>
      </c>
      <c r="I215" s="520" t="str">
        <f>IF(H215="","",VLOOKUP($B215,'C-1 Site River Baseline'!$C$9:$R$257,8,FALSE))</f>
        <v/>
      </c>
      <c r="J215" s="520" t="str">
        <f>IF(I215="","",VLOOKUP($B215,'C-1 Site River Baseline'!$C$9:$R$257,9,FALSE))</f>
        <v/>
      </c>
      <c r="K215" s="520" t="str">
        <f>IF(J215="","",VLOOKUP($B215,'C-1 Site River Baseline'!$C$9:$R$257,10,FALSE))</f>
        <v/>
      </c>
      <c r="L215" s="520" t="str">
        <f>IF(B215="","",VLOOKUP($B215,'C-1 Site River Baseline'!$C$9:$R$257,15,FALSE))</f>
        <v/>
      </c>
      <c r="M215" s="524" t="str">
        <f>IF(L215="","",VLOOKUP($B215,'C-1 Site River Baseline'!$C$9:$R$257,16,FALSE))</f>
        <v/>
      </c>
      <c r="N215" s="418" t="str">
        <f t="shared" si="25"/>
        <v/>
      </c>
      <c r="O215" s="498" t="str">
        <f t="shared" si="26"/>
        <v/>
      </c>
      <c r="P215" s="499" t="str">
        <f>IF(C215="","",IF(AND(LEFT(C215,55)&lt;&gt;LEFT(N215,55),O215="High - High"),"Error - Not like for like ▲",IF(AND(F215=S215,H215&gt;U215),"Error - Can not reduce condition ▲",IF(AND(F215=S215,H215=U215,AJ215='C-1 Site River Baseline'!N213,'C-1 Site River Baseline'!P213=AL215),"Error - No enhancement ▲",IF(AND(C215&lt;&gt;N215,F215&lt;S215),"Lower Distinctiveness Habitat"&amp;" - "&amp;T215,G215&amp;" - "&amp;T215)))))</f>
        <v/>
      </c>
      <c r="Q215" s="567" t="str">
        <f>IF(N215="","",VLOOKUP(B215,'C-1 Site River Baseline'!$C$10:$AA$257,19,FALSE))</f>
        <v/>
      </c>
      <c r="R215" s="498" t="str">
        <f>IF(N215="","",VLOOKUP(N215,'G-7 Rivers Data'!$B$2:$G$8,2,FALSE))</f>
        <v/>
      </c>
      <c r="S215" s="499" t="str">
        <f>IFERROR(VLOOKUP(R215,'G-7 Rivers Data'!$C$4:$D$8,2,FALSE),"")</f>
        <v/>
      </c>
      <c r="T215" s="145"/>
      <c r="U215" s="499" t="str">
        <f>IFERROR(INDEX('G-7 Rivers Data'!$H$4:$L$8,MATCH(N215,'G-7 Rivers Data'!$B$4:$B$8,0),MATCH(T215,'G-7 Rivers Data'!$H$3:$L$3,0)),"")</f>
        <v/>
      </c>
      <c r="V215" s="154"/>
      <c r="W215" s="507" t="str">
        <f>IF(V215="","",IF(VLOOKUP(V215,'G-7 Rivers Data'!$AG$4:$AI$9,2,FALSE)=0,"Spatial Data Missing ⚠",VLOOKUP(V215,'G-7 Rivers Data'!$AG$4:$AI$9,2,FALSE)))</f>
        <v/>
      </c>
      <c r="X215" s="499" t="str">
        <f>IF(V215="","",IF(VLOOKUP(V215,'G-7 Rivers Data'!$AG$4:$AI$9,3,FALSE)=0,"Spatial Data Missing ⚠",VLOOKUP(V215,'G-7 Rivers Data'!$AG$4:$AI$9,3,FALSE)))</f>
        <v/>
      </c>
      <c r="Y215" s="498" t="str">
        <f>IFERROR(IF(OR(LEFT(P215,5)="Error ▲",LEFT(O215,5)="Error ▲"),"Check Data ⚠",IF(F215&lt;S215,'G-7 Rivers Data'!$R$3,INDEX('G-7 Rivers Data'!$U$5:$Y$9,MATCH(G215,'G-7 Rivers Data'!$T$5:$T$9,0),MATCH(T215,'G-7 Rivers Data'!$U$4:$Y$4,0)))),"")</f>
        <v/>
      </c>
      <c r="Z215" s="195"/>
      <c r="AA215" s="195"/>
      <c r="AB215" s="507" t="str">
        <f t="shared" si="27"/>
        <v/>
      </c>
      <c r="AC215" s="521" t="str">
        <f t="shared" si="28"/>
        <v/>
      </c>
      <c r="AD215" s="564" t="str">
        <f>IFERROR(IF(AC215="Check Data ⚠","Check Data ⚠",VLOOKUP(AC215,'G-4 Temporal multipliers'!$A$4:$C$37,3,FALSE)),"")</f>
        <v/>
      </c>
      <c r="AE215" s="498" t="str">
        <f>IF(N215="","",VLOOKUP(N215,'G-7 Rivers Data'!$B$4:$G$8,5,FALSE))</f>
        <v/>
      </c>
      <c r="AF215" s="507" t="str">
        <f t="shared" si="29"/>
        <v/>
      </c>
      <c r="AG215" s="540" t="str">
        <f t="shared" si="30"/>
        <v/>
      </c>
      <c r="AH215" s="499" t="str">
        <f t="shared" si="24"/>
        <v/>
      </c>
      <c r="AI215" s="145"/>
      <c r="AJ215" s="499" t="str">
        <f>IF(AI215="","",IF(VLOOKUP(AI215,'G-7 Rivers Data'!$AA$4:$AB$7,2,FALSE)=0,"Spatial Data Missing ⚠",VLOOKUP(AI215,'G-7 Rivers Data'!$AA$4:$AB$7,2,FALSE)))</f>
        <v/>
      </c>
      <c r="AK215" s="155"/>
      <c r="AL215" s="499" t="str">
        <f>IF(AK215="","",IF(VLOOKUP(AK215,'G-7 Rivers Data'!$AD$4:$AE$8,2,FALSE)=0,"Spatial Data Missing ⚠",VLOOKUP(AK215,'G-7 Rivers Data'!$AD$4:$AE$8,2,FALSE)))</f>
        <v/>
      </c>
      <c r="AM215" s="545" t="str">
        <f t="shared" si="31"/>
        <v/>
      </c>
      <c r="AN215" s="149"/>
      <c r="AO215" s="150"/>
      <c r="AV215" s="31" t="str">
        <f>IFERROR(INDEX('G-7 Rivers Data'!$AZ$3:$AZ$7,MATCH(N215,'G-7 Rivers Data'!$AY$3:$AY$7,0)),"")</f>
        <v/>
      </c>
    </row>
    <row r="216" spans="2:48" ht="13.8" x14ac:dyDescent="0.25">
      <c r="B216" s="531" t="str">
        <f>'C-1 Site River Baseline'!AN214</f>
        <v/>
      </c>
      <c r="C216" s="520" t="str">
        <f>IF(B216="","",VLOOKUP($B216,'C-1 Site River Baseline'!$C$9:$R$257,2,FALSE))</f>
        <v/>
      </c>
      <c r="D216" s="520" t="str">
        <f>IF(C216="","",VLOOKUP($B216,'C-1 Site River Baseline'!$C$9:$R$257,3,FALSE))</f>
        <v/>
      </c>
      <c r="E216" s="520" t="str">
        <f>IF(D216="","",VLOOKUP($B216,'C-1 Site River Baseline'!$C$9:$R$257,4,FALSE))</f>
        <v/>
      </c>
      <c r="F216" s="520" t="str">
        <f>IF(E216="","",VLOOKUP($B216,'C-1 Site River Baseline'!$C$9:$R$257,5,FALSE))</f>
        <v/>
      </c>
      <c r="G216" s="520" t="str">
        <f>IF(F216="","",VLOOKUP($B216,'C-1 Site River Baseline'!$C$9:$R$257,6,FALSE))</f>
        <v/>
      </c>
      <c r="H216" s="520" t="str">
        <f>IF(G216="","",VLOOKUP($B216,'C-1 Site River Baseline'!$C$9:$R$257,7,FALSE))</f>
        <v/>
      </c>
      <c r="I216" s="520" t="str">
        <f>IF(H216="","",VLOOKUP($B216,'C-1 Site River Baseline'!$C$9:$R$257,8,FALSE))</f>
        <v/>
      </c>
      <c r="J216" s="520" t="str">
        <f>IF(I216="","",VLOOKUP($B216,'C-1 Site River Baseline'!$C$9:$R$257,9,FALSE))</f>
        <v/>
      </c>
      <c r="K216" s="520" t="str">
        <f>IF(J216="","",VLOOKUP($B216,'C-1 Site River Baseline'!$C$9:$R$257,10,FALSE))</f>
        <v/>
      </c>
      <c r="L216" s="520" t="str">
        <f>IF(B216="","",VLOOKUP($B216,'C-1 Site River Baseline'!$C$9:$R$257,15,FALSE))</f>
        <v/>
      </c>
      <c r="M216" s="524" t="str">
        <f>IF(L216="","",VLOOKUP($B216,'C-1 Site River Baseline'!$C$9:$R$257,16,FALSE))</f>
        <v/>
      </c>
      <c r="N216" s="418" t="str">
        <f t="shared" si="25"/>
        <v/>
      </c>
      <c r="O216" s="498" t="str">
        <f t="shared" si="26"/>
        <v/>
      </c>
      <c r="P216" s="499" t="str">
        <f>IF(C216="","",IF(AND(LEFT(C216,55)&lt;&gt;LEFT(N216,55),O216="High - High"),"Error - Not like for like ▲",IF(AND(F216=S216,H216&gt;U216),"Error - Can not reduce condition ▲",IF(AND(F216=S216,H216=U216,AJ216='C-1 Site River Baseline'!N214,'C-1 Site River Baseline'!P214=AL216),"Error - No enhancement ▲",IF(AND(C216&lt;&gt;N216,F216&lt;S216),"Lower Distinctiveness Habitat"&amp;" - "&amp;T216,G216&amp;" - "&amp;T216)))))</f>
        <v/>
      </c>
      <c r="Q216" s="567" t="str">
        <f>IF(N216="","",VLOOKUP(B216,'C-1 Site River Baseline'!$C$10:$AA$257,19,FALSE))</f>
        <v/>
      </c>
      <c r="R216" s="498" t="str">
        <f>IF(N216="","",VLOOKUP(N216,'G-7 Rivers Data'!$B$2:$G$8,2,FALSE))</f>
        <v/>
      </c>
      <c r="S216" s="499" t="str">
        <f>IFERROR(VLOOKUP(R216,'G-7 Rivers Data'!$C$4:$D$8,2,FALSE),"")</f>
        <v/>
      </c>
      <c r="T216" s="145"/>
      <c r="U216" s="499" t="str">
        <f>IFERROR(INDEX('G-7 Rivers Data'!$H$4:$L$8,MATCH(N216,'G-7 Rivers Data'!$B$4:$B$8,0),MATCH(T216,'G-7 Rivers Data'!$H$3:$L$3,0)),"")</f>
        <v/>
      </c>
      <c r="V216" s="154"/>
      <c r="W216" s="507" t="str">
        <f>IF(V216="","",IF(VLOOKUP(V216,'G-7 Rivers Data'!$AG$4:$AI$9,2,FALSE)=0,"Spatial Data Missing ⚠",VLOOKUP(V216,'G-7 Rivers Data'!$AG$4:$AI$9,2,FALSE)))</f>
        <v/>
      </c>
      <c r="X216" s="499" t="str">
        <f>IF(V216="","",IF(VLOOKUP(V216,'G-7 Rivers Data'!$AG$4:$AI$9,3,FALSE)=0,"Spatial Data Missing ⚠",VLOOKUP(V216,'G-7 Rivers Data'!$AG$4:$AI$9,3,FALSE)))</f>
        <v/>
      </c>
      <c r="Y216" s="498" t="str">
        <f>IFERROR(IF(OR(LEFT(P216,5)="Error ▲",LEFT(O216,5)="Error ▲"),"Check Data ⚠",IF(F216&lt;S216,'G-7 Rivers Data'!$R$3,INDEX('G-7 Rivers Data'!$U$5:$Y$9,MATCH(G216,'G-7 Rivers Data'!$T$5:$T$9,0),MATCH(T216,'G-7 Rivers Data'!$U$4:$Y$4,0)))),"")</f>
        <v/>
      </c>
      <c r="Z216" s="195"/>
      <c r="AA216" s="195"/>
      <c r="AB216" s="507" t="str">
        <f t="shared" si="27"/>
        <v/>
      </c>
      <c r="AC216" s="521" t="str">
        <f t="shared" si="28"/>
        <v/>
      </c>
      <c r="AD216" s="564" t="str">
        <f>IFERROR(IF(AC216="Check Data ⚠","Check Data ⚠",VLOOKUP(AC216,'G-4 Temporal multipliers'!$A$4:$C$37,3,FALSE)),"")</f>
        <v/>
      </c>
      <c r="AE216" s="498" t="str">
        <f>IF(N216="","",VLOOKUP(N216,'G-7 Rivers Data'!$B$4:$G$8,5,FALSE))</f>
        <v/>
      </c>
      <c r="AF216" s="507" t="str">
        <f t="shared" si="29"/>
        <v/>
      </c>
      <c r="AG216" s="540" t="str">
        <f t="shared" si="30"/>
        <v/>
      </c>
      <c r="AH216" s="499" t="str">
        <f t="shared" si="24"/>
        <v/>
      </c>
      <c r="AI216" s="145"/>
      <c r="AJ216" s="499" t="str">
        <f>IF(AI216="","",IF(VLOOKUP(AI216,'G-7 Rivers Data'!$AA$4:$AB$7,2,FALSE)=0,"Spatial Data Missing ⚠",VLOOKUP(AI216,'G-7 Rivers Data'!$AA$4:$AB$7,2,FALSE)))</f>
        <v/>
      </c>
      <c r="AK216" s="155"/>
      <c r="AL216" s="499" t="str">
        <f>IF(AK216="","",IF(VLOOKUP(AK216,'G-7 Rivers Data'!$AD$4:$AE$8,2,FALSE)=0,"Spatial Data Missing ⚠",VLOOKUP(AK216,'G-7 Rivers Data'!$AD$4:$AE$8,2,FALSE)))</f>
        <v/>
      </c>
      <c r="AM216" s="545" t="str">
        <f t="shared" si="31"/>
        <v/>
      </c>
      <c r="AN216" s="149"/>
      <c r="AO216" s="150"/>
      <c r="AV216" s="31" t="str">
        <f>IFERROR(INDEX('G-7 Rivers Data'!$AZ$3:$AZ$7,MATCH(N216,'G-7 Rivers Data'!$AY$3:$AY$7,0)),"")</f>
        <v/>
      </c>
    </row>
    <row r="217" spans="2:48" ht="13.8" x14ac:dyDescent="0.25">
      <c r="B217" s="531" t="str">
        <f>'C-1 Site River Baseline'!AN215</f>
        <v/>
      </c>
      <c r="C217" s="520" t="str">
        <f>IF(B217="","",VLOOKUP($B217,'C-1 Site River Baseline'!$C$9:$R$257,2,FALSE))</f>
        <v/>
      </c>
      <c r="D217" s="520" t="str">
        <f>IF(C217="","",VLOOKUP($B217,'C-1 Site River Baseline'!$C$9:$R$257,3,FALSE))</f>
        <v/>
      </c>
      <c r="E217" s="520" t="str">
        <f>IF(D217="","",VLOOKUP($B217,'C-1 Site River Baseline'!$C$9:$R$257,4,FALSE))</f>
        <v/>
      </c>
      <c r="F217" s="520" t="str">
        <f>IF(E217="","",VLOOKUP($B217,'C-1 Site River Baseline'!$C$9:$R$257,5,FALSE))</f>
        <v/>
      </c>
      <c r="G217" s="520" t="str">
        <f>IF(F217="","",VLOOKUP($B217,'C-1 Site River Baseline'!$C$9:$R$257,6,FALSE))</f>
        <v/>
      </c>
      <c r="H217" s="520" t="str">
        <f>IF(G217="","",VLOOKUP($B217,'C-1 Site River Baseline'!$C$9:$R$257,7,FALSE))</f>
        <v/>
      </c>
      <c r="I217" s="520" t="str">
        <f>IF(H217="","",VLOOKUP($B217,'C-1 Site River Baseline'!$C$9:$R$257,8,FALSE))</f>
        <v/>
      </c>
      <c r="J217" s="520" t="str">
        <f>IF(I217="","",VLOOKUP($B217,'C-1 Site River Baseline'!$C$9:$R$257,9,FALSE))</f>
        <v/>
      </c>
      <c r="K217" s="520" t="str">
        <f>IF(J217="","",VLOOKUP($B217,'C-1 Site River Baseline'!$C$9:$R$257,10,FALSE))</f>
        <v/>
      </c>
      <c r="L217" s="520" t="str">
        <f>IF(B217="","",VLOOKUP($B217,'C-1 Site River Baseline'!$C$9:$R$257,15,FALSE))</f>
        <v/>
      </c>
      <c r="M217" s="524" t="str">
        <f>IF(L217="","",VLOOKUP($B217,'C-1 Site River Baseline'!$C$9:$R$257,16,FALSE))</f>
        <v/>
      </c>
      <c r="N217" s="418" t="str">
        <f t="shared" si="25"/>
        <v/>
      </c>
      <c r="O217" s="498" t="str">
        <f t="shared" si="26"/>
        <v/>
      </c>
      <c r="P217" s="499" t="str">
        <f>IF(C217="","",IF(AND(LEFT(C217,55)&lt;&gt;LEFT(N217,55),O217="High - High"),"Error - Not like for like ▲",IF(AND(F217=S217,H217&gt;U217),"Error - Can not reduce condition ▲",IF(AND(F217=S217,H217=U217,AJ217='C-1 Site River Baseline'!N215,'C-1 Site River Baseline'!P215=AL217),"Error - No enhancement ▲",IF(AND(C217&lt;&gt;N217,F217&lt;S217),"Lower Distinctiveness Habitat"&amp;" - "&amp;T217,G217&amp;" - "&amp;T217)))))</f>
        <v/>
      </c>
      <c r="Q217" s="567" t="str">
        <f>IF(N217="","",VLOOKUP(B217,'C-1 Site River Baseline'!$C$10:$AA$257,19,FALSE))</f>
        <v/>
      </c>
      <c r="R217" s="498" t="str">
        <f>IF(N217="","",VLOOKUP(N217,'G-7 Rivers Data'!$B$2:$G$8,2,FALSE))</f>
        <v/>
      </c>
      <c r="S217" s="499" t="str">
        <f>IFERROR(VLOOKUP(R217,'G-7 Rivers Data'!$C$4:$D$8,2,FALSE),"")</f>
        <v/>
      </c>
      <c r="T217" s="145"/>
      <c r="U217" s="499" t="str">
        <f>IFERROR(INDEX('G-7 Rivers Data'!$H$4:$L$8,MATCH(N217,'G-7 Rivers Data'!$B$4:$B$8,0),MATCH(T217,'G-7 Rivers Data'!$H$3:$L$3,0)),"")</f>
        <v/>
      </c>
      <c r="V217" s="154"/>
      <c r="W217" s="507" t="str">
        <f>IF(V217="","",IF(VLOOKUP(V217,'G-7 Rivers Data'!$AG$4:$AI$9,2,FALSE)=0,"Spatial Data Missing ⚠",VLOOKUP(V217,'G-7 Rivers Data'!$AG$4:$AI$9,2,FALSE)))</f>
        <v/>
      </c>
      <c r="X217" s="499" t="str">
        <f>IF(V217="","",IF(VLOOKUP(V217,'G-7 Rivers Data'!$AG$4:$AI$9,3,FALSE)=0,"Spatial Data Missing ⚠",VLOOKUP(V217,'G-7 Rivers Data'!$AG$4:$AI$9,3,FALSE)))</f>
        <v/>
      </c>
      <c r="Y217" s="498" t="str">
        <f>IFERROR(IF(OR(LEFT(P217,5)="Error ▲",LEFT(O217,5)="Error ▲"),"Check Data ⚠",IF(F217&lt;S217,'G-7 Rivers Data'!$R$3,INDEX('G-7 Rivers Data'!$U$5:$Y$9,MATCH(G217,'G-7 Rivers Data'!$T$5:$T$9,0),MATCH(T217,'G-7 Rivers Data'!$U$4:$Y$4,0)))),"")</f>
        <v/>
      </c>
      <c r="Z217" s="195"/>
      <c r="AA217" s="195"/>
      <c r="AB217" s="507" t="str">
        <f t="shared" si="27"/>
        <v/>
      </c>
      <c r="AC217" s="521" t="str">
        <f t="shared" si="28"/>
        <v/>
      </c>
      <c r="AD217" s="564" t="str">
        <f>IFERROR(IF(AC217="Check Data ⚠","Check Data ⚠",VLOOKUP(AC217,'G-4 Temporal multipliers'!$A$4:$C$37,3,FALSE)),"")</f>
        <v/>
      </c>
      <c r="AE217" s="498" t="str">
        <f>IF(N217="","",VLOOKUP(N217,'G-7 Rivers Data'!$B$4:$G$8,5,FALSE))</f>
        <v/>
      </c>
      <c r="AF217" s="507" t="str">
        <f t="shared" si="29"/>
        <v/>
      </c>
      <c r="AG217" s="540" t="str">
        <f t="shared" si="30"/>
        <v/>
      </c>
      <c r="AH217" s="499" t="str">
        <f t="shared" si="24"/>
        <v/>
      </c>
      <c r="AI217" s="145"/>
      <c r="AJ217" s="499" t="str">
        <f>IF(AI217="","",IF(VLOOKUP(AI217,'G-7 Rivers Data'!$AA$4:$AB$7,2,FALSE)=0,"Spatial Data Missing ⚠",VLOOKUP(AI217,'G-7 Rivers Data'!$AA$4:$AB$7,2,FALSE)))</f>
        <v/>
      </c>
      <c r="AK217" s="155"/>
      <c r="AL217" s="499" t="str">
        <f>IF(AK217="","",IF(VLOOKUP(AK217,'G-7 Rivers Data'!$AD$4:$AE$8,2,FALSE)=0,"Spatial Data Missing ⚠",VLOOKUP(AK217,'G-7 Rivers Data'!$AD$4:$AE$8,2,FALSE)))</f>
        <v/>
      </c>
      <c r="AM217" s="545" t="str">
        <f t="shared" si="31"/>
        <v/>
      </c>
      <c r="AN217" s="149"/>
      <c r="AO217" s="150"/>
      <c r="AV217" s="31" t="str">
        <f>IFERROR(INDEX('G-7 Rivers Data'!$AZ$3:$AZ$7,MATCH(N217,'G-7 Rivers Data'!$AY$3:$AY$7,0)),"")</f>
        <v/>
      </c>
    </row>
    <row r="218" spans="2:48" ht="13.8" x14ac:dyDescent="0.25">
      <c r="B218" s="531" t="str">
        <f>'C-1 Site River Baseline'!AN216</f>
        <v/>
      </c>
      <c r="C218" s="520" t="str">
        <f>IF(B218="","",VLOOKUP($B218,'C-1 Site River Baseline'!$C$9:$R$257,2,FALSE))</f>
        <v/>
      </c>
      <c r="D218" s="520" t="str">
        <f>IF(C218="","",VLOOKUP($B218,'C-1 Site River Baseline'!$C$9:$R$257,3,FALSE))</f>
        <v/>
      </c>
      <c r="E218" s="520" t="str">
        <f>IF(D218="","",VLOOKUP($B218,'C-1 Site River Baseline'!$C$9:$R$257,4,FALSE))</f>
        <v/>
      </c>
      <c r="F218" s="520" t="str">
        <f>IF(E218="","",VLOOKUP($B218,'C-1 Site River Baseline'!$C$9:$R$257,5,FALSE))</f>
        <v/>
      </c>
      <c r="G218" s="520" t="str">
        <f>IF(F218="","",VLOOKUP($B218,'C-1 Site River Baseline'!$C$9:$R$257,6,FALSE))</f>
        <v/>
      </c>
      <c r="H218" s="520" t="str">
        <f>IF(G218="","",VLOOKUP($B218,'C-1 Site River Baseline'!$C$9:$R$257,7,FALSE))</f>
        <v/>
      </c>
      <c r="I218" s="520" t="str">
        <f>IF(H218="","",VLOOKUP($B218,'C-1 Site River Baseline'!$C$9:$R$257,8,FALSE))</f>
        <v/>
      </c>
      <c r="J218" s="520" t="str">
        <f>IF(I218="","",VLOOKUP($B218,'C-1 Site River Baseline'!$C$9:$R$257,9,FALSE))</f>
        <v/>
      </c>
      <c r="K218" s="520" t="str">
        <f>IF(J218="","",VLOOKUP($B218,'C-1 Site River Baseline'!$C$9:$R$257,10,FALSE))</f>
        <v/>
      </c>
      <c r="L218" s="520" t="str">
        <f>IF(B218="","",VLOOKUP($B218,'C-1 Site River Baseline'!$C$9:$R$257,15,FALSE))</f>
        <v/>
      </c>
      <c r="M218" s="524" t="str">
        <f>IF(L218="","",VLOOKUP($B218,'C-1 Site River Baseline'!$C$9:$R$257,16,FALSE))</f>
        <v/>
      </c>
      <c r="N218" s="418" t="str">
        <f t="shared" si="25"/>
        <v/>
      </c>
      <c r="O218" s="498" t="str">
        <f t="shared" si="26"/>
        <v/>
      </c>
      <c r="P218" s="499" t="str">
        <f>IF(C218="","",IF(AND(LEFT(C218,55)&lt;&gt;LEFT(N218,55),O218="High - High"),"Error - Not like for like ▲",IF(AND(F218=S218,H218&gt;U218),"Error - Can not reduce condition ▲",IF(AND(F218=S218,H218=U218,AJ218='C-1 Site River Baseline'!N216,'C-1 Site River Baseline'!P216=AL218),"Error - No enhancement ▲",IF(AND(C218&lt;&gt;N218,F218&lt;S218),"Lower Distinctiveness Habitat"&amp;" - "&amp;T218,G218&amp;" - "&amp;T218)))))</f>
        <v/>
      </c>
      <c r="Q218" s="567" t="str">
        <f>IF(N218="","",VLOOKUP(B218,'C-1 Site River Baseline'!$C$10:$AA$257,19,FALSE))</f>
        <v/>
      </c>
      <c r="R218" s="498" t="str">
        <f>IF(N218="","",VLOOKUP(N218,'G-7 Rivers Data'!$B$2:$G$8,2,FALSE))</f>
        <v/>
      </c>
      <c r="S218" s="499" t="str">
        <f>IFERROR(VLOOKUP(R218,'G-7 Rivers Data'!$C$4:$D$8,2,FALSE),"")</f>
        <v/>
      </c>
      <c r="T218" s="145"/>
      <c r="U218" s="499" t="str">
        <f>IFERROR(INDEX('G-7 Rivers Data'!$H$4:$L$8,MATCH(N218,'G-7 Rivers Data'!$B$4:$B$8,0),MATCH(T218,'G-7 Rivers Data'!$H$3:$L$3,0)),"")</f>
        <v/>
      </c>
      <c r="V218" s="154"/>
      <c r="W218" s="507" t="str">
        <f>IF(V218="","",IF(VLOOKUP(V218,'G-7 Rivers Data'!$AG$4:$AI$9,2,FALSE)=0,"Spatial Data Missing ⚠",VLOOKUP(V218,'G-7 Rivers Data'!$AG$4:$AI$9,2,FALSE)))</f>
        <v/>
      </c>
      <c r="X218" s="499" t="str">
        <f>IF(V218="","",IF(VLOOKUP(V218,'G-7 Rivers Data'!$AG$4:$AI$9,3,FALSE)=0,"Spatial Data Missing ⚠",VLOOKUP(V218,'G-7 Rivers Data'!$AG$4:$AI$9,3,FALSE)))</f>
        <v/>
      </c>
      <c r="Y218" s="498" t="str">
        <f>IFERROR(IF(OR(LEFT(P218,5)="Error ▲",LEFT(O218,5)="Error ▲"),"Check Data ⚠",IF(F218&lt;S218,'G-7 Rivers Data'!$R$3,INDEX('G-7 Rivers Data'!$U$5:$Y$9,MATCH(G218,'G-7 Rivers Data'!$T$5:$T$9,0),MATCH(T218,'G-7 Rivers Data'!$U$4:$Y$4,0)))),"")</f>
        <v/>
      </c>
      <c r="Z218" s="195"/>
      <c r="AA218" s="195"/>
      <c r="AB218" s="507" t="str">
        <f t="shared" si="27"/>
        <v/>
      </c>
      <c r="AC218" s="521" t="str">
        <f t="shared" si="28"/>
        <v/>
      </c>
      <c r="AD218" s="564" t="str">
        <f>IFERROR(IF(AC218="Check Data ⚠","Check Data ⚠",VLOOKUP(AC218,'G-4 Temporal multipliers'!$A$4:$C$37,3,FALSE)),"")</f>
        <v/>
      </c>
      <c r="AE218" s="498" t="str">
        <f>IF(N218="","",VLOOKUP(N218,'G-7 Rivers Data'!$B$4:$G$8,5,FALSE))</f>
        <v/>
      </c>
      <c r="AF218" s="507" t="str">
        <f t="shared" si="29"/>
        <v/>
      </c>
      <c r="AG218" s="540" t="str">
        <f t="shared" si="30"/>
        <v/>
      </c>
      <c r="AH218" s="499" t="str">
        <f t="shared" si="24"/>
        <v/>
      </c>
      <c r="AI218" s="145"/>
      <c r="AJ218" s="499" t="str">
        <f>IF(AI218="","",IF(VLOOKUP(AI218,'G-7 Rivers Data'!$AA$4:$AB$7,2,FALSE)=0,"Spatial Data Missing ⚠",VLOOKUP(AI218,'G-7 Rivers Data'!$AA$4:$AB$7,2,FALSE)))</f>
        <v/>
      </c>
      <c r="AK218" s="155"/>
      <c r="AL218" s="499" t="str">
        <f>IF(AK218="","",IF(VLOOKUP(AK218,'G-7 Rivers Data'!$AD$4:$AE$8,2,FALSE)=0,"Spatial Data Missing ⚠",VLOOKUP(AK218,'G-7 Rivers Data'!$AD$4:$AE$8,2,FALSE)))</f>
        <v/>
      </c>
      <c r="AM218" s="545" t="str">
        <f t="shared" si="31"/>
        <v/>
      </c>
      <c r="AN218" s="149"/>
      <c r="AO218" s="150"/>
      <c r="AV218" s="31" t="str">
        <f>IFERROR(INDEX('G-7 Rivers Data'!$AZ$3:$AZ$7,MATCH(N218,'G-7 Rivers Data'!$AY$3:$AY$7,0)),"")</f>
        <v/>
      </c>
    </row>
    <row r="219" spans="2:48" ht="13.8" x14ac:dyDescent="0.25">
      <c r="B219" s="531" t="str">
        <f>'C-1 Site River Baseline'!AN217</f>
        <v/>
      </c>
      <c r="C219" s="520" t="str">
        <f>IF(B219="","",VLOOKUP($B219,'C-1 Site River Baseline'!$C$9:$R$257,2,FALSE))</f>
        <v/>
      </c>
      <c r="D219" s="520" t="str">
        <f>IF(C219="","",VLOOKUP($B219,'C-1 Site River Baseline'!$C$9:$R$257,3,FALSE))</f>
        <v/>
      </c>
      <c r="E219" s="520" t="str">
        <f>IF(D219="","",VLOOKUP($B219,'C-1 Site River Baseline'!$C$9:$R$257,4,FALSE))</f>
        <v/>
      </c>
      <c r="F219" s="520" t="str">
        <f>IF(E219="","",VLOOKUP($B219,'C-1 Site River Baseline'!$C$9:$R$257,5,FALSE))</f>
        <v/>
      </c>
      <c r="G219" s="520" t="str">
        <f>IF(F219="","",VLOOKUP($B219,'C-1 Site River Baseline'!$C$9:$R$257,6,FALSE))</f>
        <v/>
      </c>
      <c r="H219" s="520" t="str">
        <f>IF(G219="","",VLOOKUP($B219,'C-1 Site River Baseline'!$C$9:$R$257,7,FALSE))</f>
        <v/>
      </c>
      <c r="I219" s="520" t="str">
        <f>IF(H219="","",VLOOKUP($B219,'C-1 Site River Baseline'!$C$9:$R$257,8,FALSE))</f>
        <v/>
      </c>
      <c r="J219" s="520" t="str">
        <f>IF(I219="","",VLOOKUP($B219,'C-1 Site River Baseline'!$C$9:$R$257,9,FALSE))</f>
        <v/>
      </c>
      <c r="K219" s="520" t="str">
        <f>IF(J219="","",VLOOKUP($B219,'C-1 Site River Baseline'!$C$9:$R$257,10,FALSE))</f>
        <v/>
      </c>
      <c r="L219" s="520" t="str">
        <f>IF(B219="","",VLOOKUP($B219,'C-1 Site River Baseline'!$C$9:$R$257,15,FALSE))</f>
        <v/>
      </c>
      <c r="M219" s="524" t="str">
        <f>IF(L219="","",VLOOKUP($B219,'C-1 Site River Baseline'!$C$9:$R$257,16,FALSE))</f>
        <v/>
      </c>
      <c r="N219" s="418" t="str">
        <f t="shared" si="25"/>
        <v/>
      </c>
      <c r="O219" s="498" t="str">
        <f t="shared" si="26"/>
        <v/>
      </c>
      <c r="P219" s="499" t="str">
        <f>IF(C219="","",IF(AND(LEFT(C219,55)&lt;&gt;LEFT(N219,55),O219="High - High"),"Error - Not like for like ▲",IF(AND(F219=S219,H219&gt;U219),"Error - Can not reduce condition ▲",IF(AND(F219=S219,H219=U219,AJ219='C-1 Site River Baseline'!N217,'C-1 Site River Baseline'!P217=AL219),"Error - No enhancement ▲",IF(AND(C219&lt;&gt;N219,F219&lt;S219),"Lower Distinctiveness Habitat"&amp;" - "&amp;T219,G219&amp;" - "&amp;T219)))))</f>
        <v/>
      </c>
      <c r="Q219" s="567" t="str">
        <f>IF(N219="","",VLOOKUP(B219,'C-1 Site River Baseline'!$C$10:$AA$257,19,FALSE))</f>
        <v/>
      </c>
      <c r="R219" s="498" t="str">
        <f>IF(N219="","",VLOOKUP(N219,'G-7 Rivers Data'!$B$2:$G$8,2,FALSE))</f>
        <v/>
      </c>
      <c r="S219" s="499" t="str">
        <f>IFERROR(VLOOKUP(R219,'G-7 Rivers Data'!$C$4:$D$8,2,FALSE),"")</f>
        <v/>
      </c>
      <c r="T219" s="145"/>
      <c r="U219" s="499" t="str">
        <f>IFERROR(INDEX('G-7 Rivers Data'!$H$4:$L$8,MATCH(N219,'G-7 Rivers Data'!$B$4:$B$8,0),MATCH(T219,'G-7 Rivers Data'!$H$3:$L$3,0)),"")</f>
        <v/>
      </c>
      <c r="V219" s="154"/>
      <c r="W219" s="507" t="str">
        <f>IF(V219="","",IF(VLOOKUP(V219,'G-7 Rivers Data'!$AG$4:$AI$9,2,FALSE)=0,"Spatial Data Missing ⚠",VLOOKUP(V219,'G-7 Rivers Data'!$AG$4:$AI$9,2,FALSE)))</f>
        <v/>
      </c>
      <c r="X219" s="499" t="str">
        <f>IF(V219="","",IF(VLOOKUP(V219,'G-7 Rivers Data'!$AG$4:$AI$9,3,FALSE)=0,"Spatial Data Missing ⚠",VLOOKUP(V219,'G-7 Rivers Data'!$AG$4:$AI$9,3,FALSE)))</f>
        <v/>
      </c>
      <c r="Y219" s="498" t="str">
        <f>IFERROR(IF(OR(LEFT(P219,5)="Error ▲",LEFT(O219,5)="Error ▲"),"Check Data ⚠",IF(F219&lt;S219,'G-7 Rivers Data'!$R$3,INDEX('G-7 Rivers Data'!$U$5:$Y$9,MATCH(G219,'G-7 Rivers Data'!$T$5:$T$9,0),MATCH(T219,'G-7 Rivers Data'!$U$4:$Y$4,0)))),"")</f>
        <v/>
      </c>
      <c r="Z219" s="195"/>
      <c r="AA219" s="195"/>
      <c r="AB219" s="507" t="str">
        <f t="shared" si="27"/>
        <v/>
      </c>
      <c r="AC219" s="521" t="str">
        <f t="shared" si="28"/>
        <v/>
      </c>
      <c r="AD219" s="564" t="str">
        <f>IFERROR(IF(AC219="Check Data ⚠","Check Data ⚠",VLOOKUP(AC219,'G-4 Temporal multipliers'!$A$4:$C$37,3,FALSE)),"")</f>
        <v/>
      </c>
      <c r="AE219" s="498" t="str">
        <f>IF(N219="","",VLOOKUP(N219,'G-7 Rivers Data'!$B$4:$G$8,5,FALSE))</f>
        <v/>
      </c>
      <c r="AF219" s="507" t="str">
        <f t="shared" si="29"/>
        <v/>
      </c>
      <c r="AG219" s="540" t="str">
        <f t="shared" si="30"/>
        <v/>
      </c>
      <c r="AH219" s="499" t="str">
        <f t="shared" si="24"/>
        <v/>
      </c>
      <c r="AI219" s="145"/>
      <c r="AJ219" s="499" t="str">
        <f>IF(AI219="","",IF(VLOOKUP(AI219,'G-7 Rivers Data'!$AA$4:$AB$7,2,FALSE)=0,"Spatial Data Missing ⚠",VLOOKUP(AI219,'G-7 Rivers Data'!$AA$4:$AB$7,2,FALSE)))</f>
        <v/>
      </c>
      <c r="AK219" s="155"/>
      <c r="AL219" s="499" t="str">
        <f>IF(AK219="","",IF(VLOOKUP(AK219,'G-7 Rivers Data'!$AD$4:$AE$8,2,FALSE)=0,"Spatial Data Missing ⚠",VLOOKUP(AK219,'G-7 Rivers Data'!$AD$4:$AE$8,2,FALSE)))</f>
        <v/>
      </c>
      <c r="AM219" s="545" t="str">
        <f t="shared" si="31"/>
        <v/>
      </c>
      <c r="AN219" s="149"/>
      <c r="AO219" s="150"/>
      <c r="AV219" s="31" t="str">
        <f>IFERROR(INDEX('G-7 Rivers Data'!$AZ$3:$AZ$7,MATCH(N219,'G-7 Rivers Data'!$AY$3:$AY$7,0)),"")</f>
        <v/>
      </c>
    </row>
    <row r="220" spans="2:48" ht="13.8" x14ac:dyDescent="0.25">
      <c r="B220" s="531" t="str">
        <f>'C-1 Site River Baseline'!AN218</f>
        <v/>
      </c>
      <c r="C220" s="520" t="str">
        <f>IF(B220="","",VLOOKUP($B220,'C-1 Site River Baseline'!$C$9:$R$257,2,FALSE))</f>
        <v/>
      </c>
      <c r="D220" s="520" t="str">
        <f>IF(C220="","",VLOOKUP($B220,'C-1 Site River Baseline'!$C$9:$R$257,3,FALSE))</f>
        <v/>
      </c>
      <c r="E220" s="520" t="str">
        <f>IF(D220="","",VLOOKUP($B220,'C-1 Site River Baseline'!$C$9:$R$257,4,FALSE))</f>
        <v/>
      </c>
      <c r="F220" s="520" t="str">
        <f>IF(E220="","",VLOOKUP($B220,'C-1 Site River Baseline'!$C$9:$R$257,5,FALSE))</f>
        <v/>
      </c>
      <c r="G220" s="520" t="str">
        <f>IF(F220="","",VLOOKUP($B220,'C-1 Site River Baseline'!$C$9:$R$257,6,FALSE))</f>
        <v/>
      </c>
      <c r="H220" s="520" t="str">
        <f>IF(G220="","",VLOOKUP($B220,'C-1 Site River Baseline'!$C$9:$R$257,7,FALSE))</f>
        <v/>
      </c>
      <c r="I220" s="520" t="str">
        <f>IF(H220="","",VLOOKUP($B220,'C-1 Site River Baseline'!$C$9:$R$257,8,FALSE))</f>
        <v/>
      </c>
      <c r="J220" s="520" t="str">
        <f>IF(I220="","",VLOOKUP($B220,'C-1 Site River Baseline'!$C$9:$R$257,9,FALSE))</f>
        <v/>
      </c>
      <c r="K220" s="520" t="str">
        <f>IF(J220="","",VLOOKUP($B220,'C-1 Site River Baseline'!$C$9:$R$257,10,FALSE))</f>
        <v/>
      </c>
      <c r="L220" s="520" t="str">
        <f>IF(B220="","",VLOOKUP($B220,'C-1 Site River Baseline'!$C$9:$R$257,15,FALSE))</f>
        <v/>
      </c>
      <c r="M220" s="524" t="str">
        <f>IF(L220="","",VLOOKUP($B220,'C-1 Site River Baseline'!$C$9:$R$257,16,FALSE))</f>
        <v/>
      </c>
      <c r="N220" s="418" t="str">
        <f t="shared" si="25"/>
        <v/>
      </c>
      <c r="O220" s="498" t="str">
        <f t="shared" si="26"/>
        <v/>
      </c>
      <c r="P220" s="499" t="str">
        <f>IF(C220="","",IF(AND(LEFT(C220,55)&lt;&gt;LEFT(N220,55),O220="High - High"),"Error - Not like for like ▲",IF(AND(F220=S220,H220&gt;U220),"Error - Can not reduce condition ▲",IF(AND(F220=S220,H220=U220,AJ220='C-1 Site River Baseline'!N218,'C-1 Site River Baseline'!P218=AL220),"Error - No enhancement ▲",IF(AND(C220&lt;&gt;N220,F220&lt;S220),"Lower Distinctiveness Habitat"&amp;" - "&amp;T220,G220&amp;" - "&amp;T220)))))</f>
        <v/>
      </c>
      <c r="Q220" s="567" t="str">
        <f>IF(N220="","",VLOOKUP(B220,'C-1 Site River Baseline'!$C$10:$AA$257,19,FALSE))</f>
        <v/>
      </c>
      <c r="R220" s="498" t="str">
        <f>IF(N220="","",VLOOKUP(N220,'G-7 Rivers Data'!$B$2:$G$8,2,FALSE))</f>
        <v/>
      </c>
      <c r="S220" s="499" t="str">
        <f>IFERROR(VLOOKUP(R220,'G-7 Rivers Data'!$C$4:$D$8,2,FALSE),"")</f>
        <v/>
      </c>
      <c r="T220" s="145"/>
      <c r="U220" s="499" t="str">
        <f>IFERROR(INDEX('G-7 Rivers Data'!$H$4:$L$8,MATCH(N220,'G-7 Rivers Data'!$B$4:$B$8,0),MATCH(T220,'G-7 Rivers Data'!$H$3:$L$3,0)),"")</f>
        <v/>
      </c>
      <c r="V220" s="154"/>
      <c r="W220" s="507" t="str">
        <f>IF(V220="","",IF(VLOOKUP(V220,'G-7 Rivers Data'!$AG$4:$AI$9,2,FALSE)=0,"Spatial Data Missing ⚠",VLOOKUP(V220,'G-7 Rivers Data'!$AG$4:$AI$9,2,FALSE)))</f>
        <v/>
      </c>
      <c r="X220" s="499" t="str">
        <f>IF(V220="","",IF(VLOOKUP(V220,'G-7 Rivers Data'!$AG$4:$AI$9,3,FALSE)=0,"Spatial Data Missing ⚠",VLOOKUP(V220,'G-7 Rivers Data'!$AG$4:$AI$9,3,FALSE)))</f>
        <v/>
      </c>
      <c r="Y220" s="498" t="str">
        <f>IFERROR(IF(OR(LEFT(P220,5)="Error ▲",LEFT(O220,5)="Error ▲"),"Check Data ⚠",IF(F220&lt;S220,'G-7 Rivers Data'!$R$3,INDEX('G-7 Rivers Data'!$U$5:$Y$9,MATCH(G220,'G-7 Rivers Data'!$T$5:$T$9,0),MATCH(T220,'G-7 Rivers Data'!$U$4:$Y$4,0)))),"")</f>
        <v/>
      </c>
      <c r="Z220" s="195"/>
      <c r="AA220" s="195"/>
      <c r="AB220" s="507" t="str">
        <f t="shared" si="27"/>
        <v/>
      </c>
      <c r="AC220" s="521" t="str">
        <f t="shared" si="28"/>
        <v/>
      </c>
      <c r="AD220" s="564" t="str">
        <f>IFERROR(IF(AC220="Check Data ⚠","Check Data ⚠",VLOOKUP(AC220,'G-4 Temporal multipliers'!$A$4:$C$37,3,FALSE)),"")</f>
        <v/>
      </c>
      <c r="AE220" s="498" t="str">
        <f>IF(N220="","",VLOOKUP(N220,'G-7 Rivers Data'!$B$4:$G$8,5,FALSE))</f>
        <v/>
      </c>
      <c r="AF220" s="507" t="str">
        <f t="shared" si="29"/>
        <v/>
      </c>
      <c r="AG220" s="540" t="str">
        <f t="shared" si="30"/>
        <v/>
      </c>
      <c r="AH220" s="499" t="str">
        <f t="shared" si="24"/>
        <v/>
      </c>
      <c r="AI220" s="145"/>
      <c r="AJ220" s="499" t="str">
        <f>IF(AI220="","",IF(VLOOKUP(AI220,'G-7 Rivers Data'!$AA$4:$AB$7,2,FALSE)=0,"Spatial Data Missing ⚠",VLOOKUP(AI220,'G-7 Rivers Data'!$AA$4:$AB$7,2,FALSE)))</f>
        <v/>
      </c>
      <c r="AK220" s="155"/>
      <c r="AL220" s="499" t="str">
        <f>IF(AK220="","",IF(VLOOKUP(AK220,'G-7 Rivers Data'!$AD$4:$AE$8,2,FALSE)=0,"Spatial Data Missing ⚠",VLOOKUP(AK220,'G-7 Rivers Data'!$AD$4:$AE$8,2,FALSE)))</f>
        <v/>
      </c>
      <c r="AM220" s="545" t="str">
        <f t="shared" si="31"/>
        <v/>
      </c>
      <c r="AN220" s="149"/>
      <c r="AO220" s="150"/>
      <c r="AV220" s="31" t="str">
        <f>IFERROR(INDEX('G-7 Rivers Data'!$AZ$3:$AZ$7,MATCH(N220,'G-7 Rivers Data'!$AY$3:$AY$7,0)),"")</f>
        <v/>
      </c>
    </row>
    <row r="221" spans="2:48" ht="13.8" x14ac:dyDescent="0.25">
      <c r="B221" s="531" t="str">
        <f>'C-1 Site River Baseline'!AN219</f>
        <v/>
      </c>
      <c r="C221" s="520" t="str">
        <f>IF(B221="","",VLOOKUP($B221,'C-1 Site River Baseline'!$C$9:$R$257,2,FALSE))</f>
        <v/>
      </c>
      <c r="D221" s="520" t="str">
        <f>IF(C221="","",VLOOKUP($B221,'C-1 Site River Baseline'!$C$9:$R$257,3,FALSE))</f>
        <v/>
      </c>
      <c r="E221" s="520" t="str">
        <f>IF(D221="","",VLOOKUP($B221,'C-1 Site River Baseline'!$C$9:$R$257,4,FALSE))</f>
        <v/>
      </c>
      <c r="F221" s="520" t="str">
        <f>IF(E221="","",VLOOKUP($B221,'C-1 Site River Baseline'!$C$9:$R$257,5,FALSE))</f>
        <v/>
      </c>
      <c r="G221" s="520" t="str">
        <f>IF(F221="","",VLOOKUP($B221,'C-1 Site River Baseline'!$C$9:$R$257,6,FALSE))</f>
        <v/>
      </c>
      <c r="H221" s="520" t="str">
        <f>IF(G221="","",VLOOKUP($B221,'C-1 Site River Baseline'!$C$9:$R$257,7,FALSE))</f>
        <v/>
      </c>
      <c r="I221" s="520" t="str">
        <f>IF(H221="","",VLOOKUP($B221,'C-1 Site River Baseline'!$C$9:$R$257,8,FALSE))</f>
        <v/>
      </c>
      <c r="J221" s="520" t="str">
        <f>IF(I221="","",VLOOKUP($B221,'C-1 Site River Baseline'!$C$9:$R$257,9,FALSE))</f>
        <v/>
      </c>
      <c r="K221" s="520" t="str">
        <f>IF(J221="","",VLOOKUP($B221,'C-1 Site River Baseline'!$C$9:$R$257,10,FALSE))</f>
        <v/>
      </c>
      <c r="L221" s="520" t="str">
        <f>IF(B221="","",VLOOKUP($B221,'C-1 Site River Baseline'!$C$9:$R$257,15,FALSE))</f>
        <v/>
      </c>
      <c r="M221" s="524" t="str">
        <f>IF(L221="","",VLOOKUP($B221,'C-1 Site River Baseline'!$C$9:$R$257,16,FALSE))</f>
        <v/>
      </c>
      <c r="N221" s="418" t="str">
        <f t="shared" si="25"/>
        <v/>
      </c>
      <c r="O221" s="498" t="str">
        <f t="shared" si="26"/>
        <v/>
      </c>
      <c r="P221" s="499" t="str">
        <f>IF(C221="","",IF(AND(LEFT(C221,55)&lt;&gt;LEFT(N221,55),O221="High - High"),"Error - Not like for like ▲",IF(AND(F221=S221,H221&gt;U221),"Error - Can not reduce condition ▲",IF(AND(F221=S221,H221=U221,AJ221='C-1 Site River Baseline'!N219,'C-1 Site River Baseline'!P219=AL221),"Error - No enhancement ▲",IF(AND(C221&lt;&gt;N221,F221&lt;S221),"Lower Distinctiveness Habitat"&amp;" - "&amp;T221,G221&amp;" - "&amp;T221)))))</f>
        <v/>
      </c>
      <c r="Q221" s="567" t="str">
        <f>IF(N221="","",VLOOKUP(B221,'C-1 Site River Baseline'!$C$10:$AA$257,19,FALSE))</f>
        <v/>
      </c>
      <c r="R221" s="498" t="str">
        <f>IF(N221="","",VLOOKUP(N221,'G-7 Rivers Data'!$B$2:$G$8,2,FALSE))</f>
        <v/>
      </c>
      <c r="S221" s="499" t="str">
        <f>IFERROR(VLOOKUP(R221,'G-7 Rivers Data'!$C$4:$D$8,2,FALSE),"")</f>
        <v/>
      </c>
      <c r="T221" s="145"/>
      <c r="U221" s="499" t="str">
        <f>IFERROR(INDEX('G-7 Rivers Data'!$H$4:$L$8,MATCH(N221,'G-7 Rivers Data'!$B$4:$B$8,0),MATCH(T221,'G-7 Rivers Data'!$H$3:$L$3,0)),"")</f>
        <v/>
      </c>
      <c r="V221" s="154"/>
      <c r="W221" s="507" t="str">
        <f>IF(V221="","",IF(VLOOKUP(V221,'G-7 Rivers Data'!$AG$4:$AI$9,2,FALSE)=0,"Spatial Data Missing ⚠",VLOOKUP(V221,'G-7 Rivers Data'!$AG$4:$AI$9,2,FALSE)))</f>
        <v/>
      </c>
      <c r="X221" s="499" t="str">
        <f>IF(V221="","",IF(VLOOKUP(V221,'G-7 Rivers Data'!$AG$4:$AI$9,3,FALSE)=0,"Spatial Data Missing ⚠",VLOOKUP(V221,'G-7 Rivers Data'!$AG$4:$AI$9,3,FALSE)))</f>
        <v/>
      </c>
      <c r="Y221" s="498" t="str">
        <f>IFERROR(IF(OR(LEFT(P221,5)="Error ▲",LEFT(O221,5)="Error ▲"),"Check Data ⚠",IF(F221&lt;S221,'G-7 Rivers Data'!$R$3,INDEX('G-7 Rivers Data'!$U$5:$Y$9,MATCH(G221,'G-7 Rivers Data'!$T$5:$T$9,0),MATCH(T221,'G-7 Rivers Data'!$U$4:$Y$4,0)))),"")</f>
        <v/>
      </c>
      <c r="Z221" s="195"/>
      <c r="AA221" s="195"/>
      <c r="AB221" s="507" t="str">
        <f t="shared" si="27"/>
        <v/>
      </c>
      <c r="AC221" s="521" t="str">
        <f t="shared" si="28"/>
        <v/>
      </c>
      <c r="AD221" s="564" t="str">
        <f>IFERROR(IF(AC221="Check Data ⚠","Check Data ⚠",VLOOKUP(AC221,'G-4 Temporal multipliers'!$A$4:$C$37,3,FALSE)),"")</f>
        <v/>
      </c>
      <c r="AE221" s="498" t="str">
        <f>IF(N221="","",VLOOKUP(N221,'G-7 Rivers Data'!$B$4:$G$8,5,FALSE))</f>
        <v/>
      </c>
      <c r="AF221" s="507" t="str">
        <f t="shared" si="29"/>
        <v/>
      </c>
      <c r="AG221" s="540" t="str">
        <f t="shared" si="30"/>
        <v/>
      </c>
      <c r="AH221" s="499" t="str">
        <f t="shared" si="24"/>
        <v/>
      </c>
      <c r="AI221" s="145"/>
      <c r="AJ221" s="499" t="str">
        <f>IF(AI221="","",IF(VLOOKUP(AI221,'G-7 Rivers Data'!$AA$4:$AB$7,2,FALSE)=0,"Spatial Data Missing ⚠",VLOOKUP(AI221,'G-7 Rivers Data'!$AA$4:$AB$7,2,FALSE)))</f>
        <v/>
      </c>
      <c r="AK221" s="155"/>
      <c r="AL221" s="499" t="str">
        <f>IF(AK221="","",IF(VLOOKUP(AK221,'G-7 Rivers Data'!$AD$4:$AE$8,2,FALSE)=0,"Spatial Data Missing ⚠",VLOOKUP(AK221,'G-7 Rivers Data'!$AD$4:$AE$8,2,FALSE)))</f>
        <v/>
      </c>
      <c r="AM221" s="545" t="str">
        <f t="shared" si="31"/>
        <v/>
      </c>
      <c r="AN221" s="149"/>
      <c r="AO221" s="150"/>
      <c r="AV221" s="31" t="str">
        <f>IFERROR(INDEX('G-7 Rivers Data'!$AZ$3:$AZ$7,MATCH(N221,'G-7 Rivers Data'!$AY$3:$AY$7,0)),"")</f>
        <v/>
      </c>
    </row>
    <row r="222" spans="2:48" ht="13.8" x14ac:dyDescent="0.25">
      <c r="B222" s="531" t="str">
        <f>'C-1 Site River Baseline'!AN220</f>
        <v/>
      </c>
      <c r="C222" s="520" t="str">
        <f>IF(B222="","",VLOOKUP($B222,'C-1 Site River Baseline'!$C$9:$R$257,2,FALSE))</f>
        <v/>
      </c>
      <c r="D222" s="520" t="str">
        <f>IF(C222="","",VLOOKUP($B222,'C-1 Site River Baseline'!$C$9:$R$257,3,FALSE))</f>
        <v/>
      </c>
      <c r="E222" s="520" t="str">
        <f>IF(D222="","",VLOOKUP($B222,'C-1 Site River Baseline'!$C$9:$R$257,4,FALSE))</f>
        <v/>
      </c>
      <c r="F222" s="520" t="str">
        <f>IF(E222="","",VLOOKUP($B222,'C-1 Site River Baseline'!$C$9:$R$257,5,FALSE))</f>
        <v/>
      </c>
      <c r="G222" s="520" t="str">
        <f>IF(F222="","",VLOOKUP($B222,'C-1 Site River Baseline'!$C$9:$R$257,6,FALSE))</f>
        <v/>
      </c>
      <c r="H222" s="520" t="str">
        <f>IF(G222="","",VLOOKUP($B222,'C-1 Site River Baseline'!$C$9:$R$257,7,FALSE))</f>
        <v/>
      </c>
      <c r="I222" s="520" t="str">
        <f>IF(H222="","",VLOOKUP($B222,'C-1 Site River Baseline'!$C$9:$R$257,8,FALSE))</f>
        <v/>
      </c>
      <c r="J222" s="520" t="str">
        <f>IF(I222="","",VLOOKUP($B222,'C-1 Site River Baseline'!$C$9:$R$257,9,FALSE))</f>
        <v/>
      </c>
      <c r="K222" s="520" t="str">
        <f>IF(J222="","",VLOOKUP($B222,'C-1 Site River Baseline'!$C$9:$R$257,10,FALSE))</f>
        <v/>
      </c>
      <c r="L222" s="520" t="str">
        <f>IF(B222="","",VLOOKUP($B222,'C-1 Site River Baseline'!$C$9:$R$257,15,FALSE))</f>
        <v/>
      </c>
      <c r="M222" s="524" t="str">
        <f>IF(L222="","",VLOOKUP($B222,'C-1 Site River Baseline'!$C$9:$R$257,16,FALSE))</f>
        <v/>
      </c>
      <c r="N222" s="418" t="str">
        <f t="shared" si="25"/>
        <v/>
      </c>
      <c r="O222" s="498" t="str">
        <f t="shared" si="26"/>
        <v/>
      </c>
      <c r="P222" s="499" t="str">
        <f>IF(C222="","",IF(AND(LEFT(C222,55)&lt;&gt;LEFT(N222,55),O222="High - High"),"Error - Not like for like ▲",IF(AND(F222=S222,H222&gt;U222),"Error - Can not reduce condition ▲",IF(AND(F222=S222,H222=U222,AJ222='C-1 Site River Baseline'!N220,'C-1 Site River Baseline'!P220=AL222),"Error - No enhancement ▲",IF(AND(C222&lt;&gt;N222,F222&lt;S222),"Lower Distinctiveness Habitat"&amp;" - "&amp;T222,G222&amp;" - "&amp;T222)))))</f>
        <v/>
      </c>
      <c r="Q222" s="567" t="str">
        <f>IF(N222="","",VLOOKUP(B222,'C-1 Site River Baseline'!$C$10:$AA$257,19,FALSE))</f>
        <v/>
      </c>
      <c r="R222" s="498" t="str">
        <f>IF(N222="","",VLOOKUP(N222,'G-7 Rivers Data'!$B$2:$G$8,2,FALSE))</f>
        <v/>
      </c>
      <c r="S222" s="499" t="str">
        <f>IFERROR(VLOOKUP(R222,'G-7 Rivers Data'!$C$4:$D$8,2,FALSE),"")</f>
        <v/>
      </c>
      <c r="T222" s="145"/>
      <c r="U222" s="499" t="str">
        <f>IFERROR(INDEX('G-7 Rivers Data'!$H$4:$L$8,MATCH(N222,'G-7 Rivers Data'!$B$4:$B$8,0),MATCH(T222,'G-7 Rivers Data'!$H$3:$L$3,0)),"")</f>
        <v/>
      </c>
      <c r="V222" s="154"/>
      <c r="W222" s="507" t="str">
        <f>IF(V222="","",IF(VLOOKUP(V222,'G-7 Rivers Data'!$AG$4:$AI$9,2,FALSE)=0,"Spatial Data Missing ⚠",VLOOKUP(V222,'G-7 Rivers Data'!$AG$4:$AI$9,2,FALSE)))</f>
        <v/>
      </c>
      <c r="X222" s="499" t="str">
        <f>IF(V222="","",IF(VLOOKUP(V222,'G-7 Rivers Data'!$AG$4:$AI$9,3,FALSE)=0,"Spatial Data Missing ⚠",VLOOKUP(V222,'G-7 Rivers Data'!$AG$4:$AI$9,3,FALSE)))</f>
        <v/>
      </c>
      <c r="Y222" s="498" t="str">
        <f>IFERROR(IF(OR(LEFT(P222,5)="Error ▲",LEFT(O222,5)="Error ▲"),"Check Data ⚠",IF(F222&lt;S222,'G-7 Rivers Data'!$R$3,INDEX('G-7 Rivers Data'!$U$5:$Y$9,MATCH(G222,'G-7 Rivers Data'!$T$5:$T$9,0),MATCH(T222,'G-7 Rivers Data'!$U$4:$Y$4,0)))),"")</f>
        <v/>
      </c>
      <c r="Z222" s="195"/>
      <c r="AA222" s="195"/>
      <c r="AB222" s="507" t="str">
        <f t="shared" si="27"/>
        <v/>
      </c>
      <c r="AC222" s="521" t="str">
        <f t="shared" si="28"/>
        <v/>
      </c>
      <c r="AD222" s="564" t="str">
        <f>IFERROR(IF(AC222="Check Data ⚠","Check Data ⚠",VLOOKUP(AC222,'G-4 Temporal multipliers'!$A$4:$C$37,3,FALSE)),"")</f>
        <v/>
      </c>
      <c r="AE222" s="498" t="str">
        <f>IF(N222="","",VLOOKUP(N222,'G-7 Rivers Data'!$B$4:$G$8,5,FALSE))</f>
        <v/>
      </c>
      <c r="AF222" s="507" t="str">
        <f t="shared" si="29"/>
        <v/>
      </c>
      <c r="AG222" s="540" t="str">
        <f t="shared" si="30"/>
        <v/>
      </c>
      <c r="AH222" s="499" t="str">
        <f t="shared" si="24"/>
        <v/>
      </c>
      <c r="AI222" s="145"/>
      <c r="AJ222" s="499" t="str">
        <f>IF(AI222="","",IF(VLOOKUP(AI222,'G-7 Rivers Data'!$AA$4:$AB$7,2,FALSE)=0,"Spatial Data Missing ⚠",VLOOKUP(AI222,'G-7 Rivers Data'!$AA$4:$AB$7,2,FALSE)))</f>
        <v/>
      </c>
      <c r="AK222" s="155"/>
      <c r="AL222" s="499" t="str">
        <f>IF(AK222="","",IF(VLOOKUP(AK222,'G-7 Rivers Data'!$AD$4:$AE$8,2,FALSE)=0,"Spatial Data Missing ⚠",VLOOKUP(AK222,'G-7 Rivers Data'!$AD$4:$AE$8,2,FALSE)))</f>
        <v/>
      </c>
      <c r="AM222" s="545" t="str">
        <f t="shared" si="31"/>
        <v/>
      </c>
      <c r="AN222" s="149"/>
      <c r="AO222" s="150"/>
      <c r="AV222" s="31" t="str">
        <f>IFERROR(INDEX('G-7 Rivers Data'!$AZ$3:$AZ$7,MATCH(N222,'G-7 Rivers Data'!$AY$3:$AY$7,0)),"")</f>
        <v/>
      </c>
    </row>
    <row r="223" spans="2:48" ht="13.8" x14ac:dyDescent="0.25">
      <c r="B223" s="531" t="str">
        <f>'C-1 Site River Baseline'!AN221</f>
        <v/>
      </c>
      <c r="C223" s="520" t="str">
        <f>IF(B223="","",VLOOKUP($B223,'C-1 Site River Baseline'!$C$9:$R$257,2,FALSE))</f>
        <v/>
      </c>
      <c r="D223" s="520" t="str">
        <f>IF(C223="","",VLOOKUP($B223,'C-1 Site River Baseline'!$C$9:$R$257,3,FALSE))</f>
        <v/>
      </c>
      <c r="E223" s="520" t="str">
        <f>IF(D223="","",VLOOKUP($B223,'C-1 Site River Baseline'!$C$9:$R$257,4,FALSE))</f>
        <v/>
      </c>
      <c r="F223" s="520" t="str">
        <f>IF(E223="","",VLOOKUP($B223,'C-1 Site River Baseline'!$C$9:$R$257,5,FALSE))</f>
        <v/>
      </c>
      <c r="G223" s="520" t="str">
        <f>IF(F223="","",VLOOKUP($B223,'C-1 Site River Baseline'!$C$9:$R$257,6,FALSE))</f>
        <v/>
      </c>
      <c r="H223" s="520" t="str">
        <f>IF(G223="","",VLOOKUP($B223,'C-1 Site River Baseline'!$C$9:$R$257,7,FALSE))</f>
        <v/>
      </c>
      <c r="I223" s="520" t="str">
        <f>IF(H223="","",VLOOKUP($B223,'C-1 Site River Baseline'!$C$9:$R$257,8,FALSE))</f>
        <v/>
      </c>
      <c r="J223" s="520" t="str">
        <f>IF(I223="","",VLOOKUP($B223,'C-1 Site River Baseline'!$C$9:$R$257,9,FALSE))</f>
        <v/>
      </c>
      <c r="K223" s="520" t="str">
        <f>IF(J223="","",VLOOKUP($B223,'C-1 Site River Baseline'!$C$9:$R$257,10,FALSE))</f>
        <v/>
      </c>
      <c r="L223" s="520" t="str">
        <f>IF(B223="","",VLOOKUP($B223,'C-1 Site River Baseline'!$C$9:$R$257,15,FALSE))</f>
        <v/>
      </c>
      <c r="M223" s="524" t="str">
        <f>IF(L223="","",VLOOKUP($B223,'C-1 Site River Baseline'!$C$9:$R$257,16,FALSE))</f>
        <v/>
      </c>
      <c r="N223" s="418" t="str">
        <f t="shared" si="25"/>
        <v/>
      </c>
      <c r="O223" s="498" t="str">
        <f t="shared" si="26"/>
        <v/>
      </c>
      <c r="P223" s="499" t="str">
        <f>IF(C223="","",IF(AND(LEFT(C223,55)&lt;&gt;LEFT(N223,55),O223="High - High"),"Error - Not like for like ▲",IF(AND(F223=S223,H223&gt;U223),"Error - Can not reduce condition ▲",IF(AND(F223=S223,H223=U223,AJ223='C-1 Site River Baseline'!N221,'C-1 Site River Baseline'!P221=AL223),"Error - No enhancement ▲",IF(AND(C223&lt;&gt;N223,F223&lt;S223),"Lower Distinctiveness Habitat"&amp;" - "&amp;T223,G223&amp;" - "&amp;T223)))))</f>
        <v/>
      </c>
      <c r="Q223" s="567" t="str">
        <f>IF(N223="","",VLOOKUP(B223,'C-1 Site River Baseline'!$C$10:$AA$257,19,FALSE))</f>
        <v/>
      </c>
      <c r="R223" s="498" t="str">
        <f>IF(N223="","",VLOOKUP(N223,'G-7 Rivers Data'!$B$2:$G$8,2,FALSE))</f>
        <v/>
      </c>
      <c r="S223" s="499" t="str">
        <f>IFERROR(VLOOKUP(R223,'G-7 Rivers Data'!$C$4:$D$8,2,FALSE),"")</f>
        <v/>
      </c>
      <c r="T223" s="145"/>
      <c r="U223" s="499" t="str">
        <f>IFERROR(INDEX('G-7 Rivers Data'!$H$4:$L$8,MATCH(N223,'G-7 Rivers Data'!$B$4:$B$8,0),MATCH(T223,'G-7 Rivers Data'!$H$3:$L$3,0)),"")</f>
        <v/>
      </c>
      <c r="V223" s="154"/>
      <c r="W223" s="507" t="str">
        <f>IF(V223="","",IF(VLOOKUP(V223,'G-7 Rivers Data'!$AG$4:$AI$9,2,FALSE)=0,"Spatial Data Missing ⚠",VLOOKUP(V223,'G-7 Rivers Data'!$AG$4:$AI$9,2,FALSE)))</f>
        <v/>
      </c>
      <c r="X223" s="499" t="str">
        <f>IF(V223="","",IF(VLOOKUP(V223,'G-7 Rivers Data'!$AG$4:$AI$9,3,FALSE)=0,"Spatial Data Missing ⚠",VLOOKUP(V223,'G-7 Rivers Data'!$AG$4:$AI$9,3,FALSE)))</f>
        <v/>
      </c>
      <c r="Y223" s="498" t="str">
        <f>IFERROR(IF(OR(LEFT(P223,5)="Error ▲",LEFT(O223,5)="Error ▲"),"Check Data ⚠",IF(F223&lt;S223,'G-7 Rivers Data'!$R$3,INDEX('G-7 Rivers Data'!$U$5:$Y$9,MATCH(G223,'G-7 Rivers Data'!$T$5:$T$9,0),MATCH(T223,'G-7 Rivers Data'!$U$4:$Y$4,0)))),"")</f>
        <v/>
      </c>
      <c r="Z223" s="195"/>
      <c r="AA223" s="195"/>
      <c r="AB223" s="507" t="str">
        <f t="shared" si="27"/>
        <v/>
      </c>
      <c r="AC223" s="521" t="str">
        <f t="shared" si="28"/>
        <v/>
      </c>
      <c r="AD223" s="564" t="str">
        <f>IFERROR(IF(AC223="Check Data ⚠","Check Data ⚠",VLOOKUP(AC223,'G-4 Temporal multipliers'!$A$4:$C$37,3,FALSE)),"")</f>
        <v/>
      </c>
      <c r="AE223" s="498" t="str">
        <f>IF(N223="","",VLOOKUP(N223,'G-7 Rivers Data'!$B$4:$G$8,5,FALSE))</f>
        <v/>
      </c>
      <c r="AF223" s="507" t="str">
        <f t="shared" si="29"/>
        <v/>
      </c>
      <c r="AG223" s="540" t="str">
        <f t="shared" si="30"/>
        <v/>
      </c>
      <c r="AH223" s="499" t="str">
        <f t="shared" si="24"/>
        <v/>
      </c>
      <c r="AI223" s="145"/>
      <c r="AJ223" s="499" t="str">
        <f>IF(AI223="","",IF(VLOOKUP(AI223,'G-7 Rivers Data'!$AA$4:$AB$7,2,FALSE)=0,"Spatial Data Missing ⚠",VLOOKUP(AI223,'G-7 Rivers Data'!$AA$4:$AB$7,2,FALSE)))</f>
        <v/>
      </c>
      <c r="AK223" s="155"/>
      <c r="AL223" s="499" t="str">
        <f>IF(AK223="","",IF(VLOOKUP(AK223,'G-7 Rivers Data'!$AD$4:$AE$8,2,FALSE)=0,"Spatial Data Missing ⚠",VLOOKUP(AK223,'G-7 Rivers Data'!$AD$4:$AE$8,2,FALSE)))</f>
        <v/>
      </c>
      <c r="AM223" s="545" t="str">
        <f t="shared" si="31"/>
        <v/>
      </c>
      <c r="AN223" s="149"/>
      <c r="AO223" s="150"/>
      <c r="AV223" s="31" t="str">
        <f>IFERROR(INDEX('G-7 Rivers Data'!$AZ$3:$AZ$7,MATCH(N223,'G-7 Rivers Data'!$AY$3:$AY$7,0)),"")</f>
        <v/>
      </c>
    </row>
    <row r="224" spans="2:48" ht="13.8" x14ac:dyDescent="0.25">
      <c r="B224" s="531" t="str">
        <f>'C-1 Site River Baseline'!AN222</f>
        <v/>
      </c>
      <c r="C224" s="520" t="str">
        <f>IF(B224="","",VLOOKUP($B224,'C-1 Site River Baseline'!$C$9:$R$257,2,FALSE))</f>
        <v/>
      </c>
      <c r="D224" s="520" t="str">
        <f>IF(C224="","",VLOOKUP($B224,'C-1 Site River Baseline'!$C$9:$R$257,3,FALSE))</f>
        <v/>
      </c>
      <c r="E224" s="520" t="str">
        <f>IF(D224="","",VLOOKUP($B224,'C-1 Site River Baseline'!$C$9:$R$257,4,FALSE))</f>
        <v/>
      </c>
      <c r="F224" s="520" t="str">
        <f>IF(E224="","",VLOOKUP($B224,'C-1 Site River Baseline'!$C$9:$R$257,5,FALSE))</f>
        <v/>
      </c>
      <c r="G224" s="520" t="str">
        <f>IF(F224="","",VLOOKUP($B224,'C-1 Site River Baseline'!$C$9:$R$257,6,FALSE))</f>
        <v/>
      </c>
      <c r="H224" s="520" t="str">
        <f>IF(G224="","",VLOOKUP($B224,'C-1 Site River Baseline'!$C$9:$R$257,7,FALSE))</f>
        <v/>
      </c>
      <c r="I224" s="520" t="str">
        <f>IF(H224="","",VLOOKUP($B224,'C-1 Site River Baseline'!$C$9:$R$257,8,FALSE))</f>
        <v/>
      </c>
      <c r="J224" s="520" t="str">
        <f>IF(I224="","",VLOOKUP($B224,'C-1 Site River Baseline'!$C$9:$R$257,9,FALSE))</f>
        <v/>
      </c>
      <c r="K224" s="520" t="str">
        <f>IF(J224="","",VLOOKUP($B224,'C-1 Site River Baseline'!$C$9:$R$257,10,FALSE))</f>
        <v/>
      </c>
      <c r="L224" s="520" t="str">
        <f>IF(B224="","",VLOOKUP($B224,'C-1 Site River Baseline'!$C$9:$R$257,15,FALSE))</f>
        <v/>
      </c>
      <c r="M224" s="524" t="str">
        <f>IF(L224="","",VLOOKUP($B224,'C-1 Site River Baseline'!$C$9:$R$257,16,FALSE))</f>
        <v/>
      </c>
      <c r="N224" s="418" t="str">
        <f t="shared" si="25"/>
        <v/>
      </c>
      <c r="O224" s="498" t="str">
        <f t="shared" si="26"/>
        <v/>
      </c>
      <c r="P224" s="499" t="str">
        <f>IF(C224="","",IF(AND(LEFT(C224,55)&lt;&gt;LEFT(N224,55),O224="High - High"),"Error - Not like for like ▲",IF(AND(F224=S224,H224&gt;U224),"Error - Can not reduce condition ▲",IF(AND(F224=S224,H224=U224,AJ224='C-1 Site River Baseline'!N222,'C-1 Site River Baseline'!P222=AL224),"Error - No enhancement ▲",IF(AND(C224&lt;&gt;N224,F224&lt;S224),"Lower Distinctiveness Habitat"&amp;" - "&amp;T224,G224&amp;" - "&amp;T224)))))</f>
        <v/>
      </c>
      <c r="Q224" s="567" t="str">
        <f>IF(N224="","",VLOOKUP(B224,'C-1 Site River Baseline'!$C$10:$AA$257,19,FALSE))</f>
        <v/>
      </c>
      <c r="R224" s="498" t="str">
        <f>IF(N224="","",VLOOKUP(N224,'G-7 Rivers Data'!$B$2:$G$8,2,FALSE))</f>
        <v/>
      </c>
      <c r="S224" s="499" t="str">
        <f>IFERROR(VLOOKUP(R224,'G-7 Rivers Data'!$C$4:$D$8,2,FALSE),"")</f>
        <v/>
      </c>
      <c r="T224" s="145"/>
      <c r="U224" s="499" t="str">
        <f>IFERROR(INDEX('G-7 Rivers Data'!$H$4:$L$8,MATCH(N224,'G-7 Rivers Data'!$B$4:$B$8,0),MATCH(T224,'G-7 Rivers Data'!$H$3:$L$3,0)),"")</f>
        <v/>
      </c>
      <c r="V224" s="154"/>
      <c r="W224" s="507" t="str">
        <f>IF(V224="","",IF(VLOOKUP(V224,'G-7 Rivers Data'!$AG$4:$AI$9,2,FALSE)=0,"Spatial Data Missing ⚠",VLOOKUP(V224,'G-7 Rivers Data'!$AG$4:$AI$9,2,FALSE)))</f>
        <v/>
      </c>
      <c r="X224" s="499" t="str">
        <f>IF(V224="","",IF(VLOOKUP(V224,'G-7 Rivers Data'!$AG$4:$AI$9,3,FALSE)=0,"Spatial Data Missing ⚠",VLOOKUP(V224,'G-7 Rivers Data'!$AG$4:$AI$9,3,FALSE)))</f>
        <v/>
      </c>
      <c r="Y224" s="498" t="str">
        <f>IFERROR(IF(OR(LEFT(P224,5)="Error ▲",LEFT(O224,5)="Error ▲"),"Check Data ⚠",IF(F224&lt;S224,'G-7 Rivers Data'!$R$3,INDEX('G-7 Rivers Data'!$U$5:$Y$9,MATCH(G224,'G-7 Rivers Data'!$T$5:$T$9,0),MATCH(T224,'G-7 Rivers Data'!$U$4:$Y$4,0)))),"")</f>
        <v/>
      </c>
      <c r="Z224" s="195"/>
      <c r="AA224" s="195"/>
      <c r="AB224" s="507" t="str">
        <f t="shared" si="27"/>
        <v/>
      </c>
      <c r="AC224" s="521" t="str">
        <f t="shared" si="28"/>
        <v/>
      </c>
      <c r="AD224" s="564" t="str">
        <f>IFERROR(IF(AC224="Check Data ⚠","Check Data ⚠",VLOOKUP(AC224,'G-4 Temporal multipliers'!$A$4:$C$37,3,FALSE)),"")</f>
        <v/>
      </c>
      <c r="AE224" s="498" t="str">
        <f>IF(N224="","",VLOOKUP(N224,'G-7 Rivers Data'!$B$4:$G$8,5,FALSE))</f>
        <v/>
      </c>
      <c r="AF224" s="507" t="str">
        <f t="shared" si="29"/>
        <v/>
      </c>
      <c r="AG224" s="540" t="str">
        <f t="shared" si="30"/>
        <v/>
      </c>
      <c r="AH224" s="499" t="str">
        <f t="shared" si="24"/>
        <v/>
      </c>
      <c r="AI224" s="145"/>
      <c r="AJ224" s="499" t="str">
        <f>IF(AI224="","",IF(VLOOKUP(AI224,'G-7 Rivers Data'!$AA$4:$AB$7,2,FALSE)=0,"Spatial Data Missing ⚠",VLOOKUP(AI224,'G-7 Rivers Data'!$AA$4:$AB$7,2,FALSE)))</f>
        <v/>
      </c>
      <c r="AK224" s="155"/>
      <c r="AL224" s="499" t="str">
        <f>IF(AK224="","",IF(VLOOKUP(AK224,'G-7 Rivers Data'!$AD$4:$AE$8,2,FALSE)=0,"Spatial Data Missing ⚠",VLOOKUP(AK224,'G-7 Rivers Data'!$AD$4:$AE$8,2,FALSE)))</f>
        <v/>
      </c>
      <c r="AM224" s="545" t="str">
        <f t="shared" si="31"/>
        <v/>
      </c>
      <c r="AN224" s="149"/>
      <c r="AO224" s="150"/>
      <c r="AV224" s="31" t="str">
        <f>IFERROR(INDEX('G-7 Rivers Data'!$AZ$3:$AZ$7,MATCH(N224,'G-7 Rivers Data'!$AY$3:$AY$7,0)),"")</f>
        <v/>
      </c>
    </row>
    <row r="225" spans="2:48" ht="13.8" x14ac:dyDescent="0.25">
      <c r="B225" s="531" t="str">
        <f>'C-1 Site River Baseline'!AN223</f>
        <v/>
      </c>
      <c r="C225" s="520" t="str">
        <f>IF(B225="","",VLOOKUP($B225,'C-1 Site River Baseline'!$C$9:$R$257,2,FALSE))</f>
        <v/>
      </c>
      <c r="D225" s="520" t="str">
        <f>IF(C225="","",VLOOKUP($B225,'C-1 Site River Baseline'!$C$9:$R$257,3,FALSE))</f>
        <v/>
      </c>
      <c r="E225" s="520" t="str">
        <f>IF(D225="","",VLOOKUP($B225,'C-1 Site River Baseline'!$C$9:$R$257,4,FALSE))</f>
        <v/>
      </c>
      <c r="F225" s="520" t="str">
        <f>IF(E225="","",VLOOKUP($B225,'C-1 Site River Baseline'!$C$9:$R$257,5,FALSE))</f>
        <v/>
      </c>
      <c r="G225" s="520" t="str">
        <f>IF(F225="","",VLOOKUP($B225,'C-1 Site River Baseline'!$C$9:$R$257,6,FALSE))</f>
        <v/>
      </c>
      <c r="H225" s="520" t="str">
        <f>IF(G225="","",VLOOKUP($B225,'C-1 Site River Baseline'!$C$9:$R$257,7,FALSE))</f>
        <v/>
      </c>
      <c r="I225" s="520" t="str">
        <f>IF(H225="","",VLOOKUP($B225,'C-1 Site River Baseline'!$C$9:$R$257,8,FALSE))</f>
        <v/>
      </c>
      <c r="J225" s="520" t="str">
        <f>IF(I225="","",VLOOKUP($B225,'C-1 Site River Baseline'!$C$9:$R$257,9,FALSE))</f>
        <v/>
      </c>
      <c r="K225" s="520" t="str">
        <f>IF(J225="","",VLOOKUP($B225,'C-1 Site River Baseline'!$C$9:$R$257,10,FALSE))</f>
        <v/>
      </c>
      <c r="L225" s="520" t="str">
        <f>IF(B225="","",VLOOKUP($B225,'C-1 Site River Baseline'!$C$9:$R$257,15,FALSE))</f>
        <v/>
      </c>
      <c r="M225" s="524" t="str">
        <f>IF(L225="","",VLOOKUP($B225,'C-1 Site River Baseline'!$C$9:$R$257,16,FALSE))</f>
        <v/>
      </c>
      <c r="N225" s="418" t="str">
        <f t="shared" si="25"/>
        <v/>
      </c>
      <c r="O225" s="498" t="str">
        <f t="shared" si="26"/>
        <v/>
      </c>
      <c r="P225" s="499" t="str">
        <f>IF(C225="","",IF(AND(LEFT(C225,55)&lt;&gt;LEFT(N225,55),O225="High - High"),"Error - Not like for like ▲",IF(AND(F225=S225,H225&gt;U225),"Error - Can not reduce condition ▲",IF(AND(F225=S225,H225=U225,AJ225='C-1 Site River Baseline'!N223,'C-1 Site River Baseline'!P223=AL225),"Error - No enhancement ▲",IF(AND(C225&lt;&gt;N225,F225&lt;S225),"Lower Distinctiveness Habitat"&amp;" - "&amp;T225,G225&amp;" - "&amp;T225)))))</f>
        <v/>
      </c>
      <c r="Q225" s="567" t="str">
        <f>IF(N225="","",VLOOKUP(B225,'C-1 Site River Baseline'!$C$10:$AA$257,19,FALSE))</f>
        <v/>
      </c>
      <c r="R225" s="498" t="str">
        <f>IF(N225="","",VLOOKUP(N225,'G-7 Rivers Data'!$B$2:$G$8,2,FALSE))</f>
        <v/>
      </c>
      <c r="S225" s="499" t="str">
        <f>IFERROR(VLOOKUP(R225,'G-7 Rivers Data'!$C$4:$D$8,2,FALSE),"")</f>
        <v/>
      </c>
      <c r="T225" s="145"/>
      <c r="U225" s="499" t="str">
        <f>IFERROR(INDEX('G-7 Rivers Data'!$H$4:$L$8,MATCH(N225,'G-7 Rivers Data'!$B$4:$B$8,0),MATCH(T225,'G-7 Rivers Data'!$H$3:$L$3,0)),"")</f>
        <v/>
      </c>
      <c r="V225" s="154"/>
      <c r="W225" s="507" t="str">
        <f>IF(V225="","",IF(VLOOKUP(V225,'G-7 Rivers Data'!$AG$4:$AI$9,2,FALSE)=0,"Spatial Data Missing ⚠",VLOOKUP(V225,'G-7 Rivers Data'!$AG$4:$AI$9,2,FALSE)))</f>
        <v/>
      </c>
      <c r="X225" s="499" t="str">
        <f>IF(V225="","",IF(VLOOKUP(V225,'G-7 Rivers Data'!$AG$4:$AI$9,3,FALSE)=0,"Spatial Data Missing ⚠",VLOOKUP(V225,'G-7 Rivers Data'!$AG$4:$AI$9,3,FALSE)))</f>
        <v/>
      </c>
      <c r="Y225" s="498" t="str">
        <f>IFERROR(IF(OR(LEFT(P225,5)="Error ▲",LEFT(O225,5)="Error ▲"),"Check Data ⚠",IF(F225&lt;S225,'G-7 Rivers Data'!$R$3,INDEX('G-7 Rivers Data'!$U$5:$Y$9,MATCH(G225,'G-7 Rivers Data'!$T$5:$T$9,0),MATCH(T225,'G-7 Rivers Data'!$U$4:$Y$4,0)))),"")</f>
        <v/>
      </c>
      <c r="Z225" s="195"/>
      <c r="AA225" s="195"/>
      <c r="AB225" s="507" t="str">
        <f t="shared" si="27"/>
        <v/>
      </c>
      <c r="AC225" s="521" t="str">
        <f t="shared" si="28"/>
        <v/>
      </c>
      <c r="AD225" s="564" t="str">
        <f>IFERROR(IF(AC225="Check Data ⚠","Check Data ⚠",VLOOKUP(AC225,'G-4 Temporal multipliers'!$A$4:$C$37,3,FALSE)),"")</f>
        <v/>
      </c>
      <c r="AE225" s="498" t="str">
        <f>IF(N225="","",VLOOKUP(N225,'G-7 Rivers Data'!$B$4:$G$8,5,FALSE))</f>
        <v/>
      </c>
      <c r="AF225" s="507" t="str">
        <f t="shared" si="29"/>
        <v/>
      </c>
      <c r="AG225" s="540" t="str">
        <f t="shared" si="30"/>
        <v/>
      </c>
      <c r="AH225" s="499" t="str">
        <f t="shared" si="24"/>
        <v/>
      </c>
      <c r="AI225" s="145"/>
      <c r="AJ225" s="499" t="str">
        <f>IF(AI225="","",IF(VLOOKUP(AI225,'G-7 Rivers Data'!$AA$4:$AB$7,2,FALSE)=0,"Spatial Data Missing ⚠",VLOOKUP(AI225,'G-7 Rivers Data'!$AA$4:$AB$7,2,FALSE)))</f>
        <v/>
      </c>
      <c r="AK225" s="155"/>
      <c r="AL225" s="499" t="str">
        <f>IF(AK225="","",IF(VLOOKUP(AK225,'G-7 Rivers Data'!$AD$4:$AE$8,2,FALSE)=0,"Spatial Data Missing ⚠",VLOOKUP(AK225,'G-7 Rivers Data'!$AD$4:$AE$8,2,FALSE)))</f>
        <v/>
      </c>
      <c r="AM225" s="545" t="str">
        <f t="shared" si="31"/>
        <v/>
      </c>
      <c r="AN225" s="149"/>
      <c r="AO225" s="150"/>
      <c r="AV225" s="31" t="str">
        <f>IFERROR(INDEX('G-7 Rivers Data'!$AZ$3:$AZ$7,MATCH(N225,'G-7 Rivers Data'!$AY$3:$AY$7,0)),"")</f>
        <v/>
      </c>
    </row>
    <row r="226" spans="2:48" ht="13.8" x14ac:dyDescent="0.25">
      <c r="B226" s="531" t="str">
        <f>'C-1 Site River Baseline'!AN224</f>
        <v/>
      </c>
      <c r="C226" s="520" t="str">
        <f>IF(B226="","",VLOOKUP($B226,'C-1 Site River Baseline'!$C$9:$R$257,2,FALSE))</f>
        <v/>
      </c>
      <c r="D226" s="520" t="str">
        <f>IF(C226="","",VLOOKUP($B226,'C-1 Site River Baseline'!$C$9:$R$257,3,FALSE))</f>
        <v/>
      </c>
      <c r="E226" s="520" t="str">
        <f>IF(D226="","",VLOOKUP($B226,'C-1 Site River Baseline'!$C$9:$R$257,4,FALSE))</f>
        <v/>
      </c>
      <c r="F226" s="520" t="str">
        <f>IF(E226="","",VLOOKUP($B226,'C-1 Site River Baseline'!$C$9:$R$257,5,FALSE))</f>
        <v/>
      </c>
      <c r="G226" s="520" t="str">
        <f>IF(F226="","",VLOOKUP($B226,'C-1 Site River Baseline'!$C$9:$R$257,6,FALSE))</f>
        <v/>
      </c>
      <c r="H226" s="520" t="str">
        <f>IF(G226="","",VLOOKUP($B226,'C-1 Site River Baseline'!$C$9:$R$257,7,FALSE))</f>
        <v/>
      </c>
      <c r="I226" s="520" t="str">
        <f>IF(H226="","",VLOOKUP($B226,'C-1 Site River Baseline'!$C$9:$R$257,8,FALSE))</f>
        <v/>
      </c>
      <c r="J226" s="520" t="str">
        <f>IF(I226="","",VLOOKUP($B226,'C-1 Site River Baseline'!$C$9:$R$257,9,FALSE))</f>
        <v/>
      </c>
      <c r="K226" s="520" t="str">
        <f>IF(J226="","",VLOOKUP($B226,'C-1 Site River Baseline'!$C$9:$R$257,10,FALSE))</f>
        <v/>
      </c>
      <c r="L226" s="520" t="str">
        <f>IF(B226="","",VLOOKUP($B226,'C-1 Site River Baseline'!$C$9:$R$257,15,FALSE))</f>
        <v/>
      </c>
      <c r="M226" s="524" t="str">
        <f>IF(L226="","",VLOOKUP($B226,'C-1 Site River Baseline'!$C$9:$R$257,16,FALSE))</f>
        <v/>
      </c>
      <c r="N226" s="418" t="str">
        <f t="shared" si="25"/>
        <v/>
      </c>
      <c r="O226" s="498" t="str">
        <f t="shared" si="26"/>
        <v/>
      </c>
      <c r="P226" s="499" t="str">
        <f>IF(C226="","",IF(AND(LEFT(C226,55)&lt;&gt;LEFT(N226,55),O226="High - High"),"Error - Not like for like ▲",IF(AND(F226=S226,H226&gt;U226),"Error - Can not reduce condition ▲",IF(AND(F226=S226,H226=U226,AJ226='C-1 Site River Baseline'!N224,'C-1 Site River Baseline'!P224=AL226),"Error - No enhancement ▲",IF(AND(C226&lt;&gt;N226,F226&lt;S226),"Lower Distinctiveness Habitat"&amp;" - "&amp;T226,G226&amp;" - "&amp;T226)))))</f>
        <v/>
      </c>
      <c r="Q226" s="567" t="str">
        <f>IF(N226="","",VLOOKUP(B226,'C-1 Site River Baseline'!$C$10:$AA$257,19,FALSE))</f>
        <v/>
      </c>
      <c r="R226" s="498" t="str">
        <f>IF(N226="","",VLOOKUP(N226,'G-7 Rivers Data'!$B$2:$G$8,2,FALSE))</f>
        <v/>
      </c>
      <c r="S226" s="499" t="str">
        <f>IFERROR(VLOOKUP(R226,'G-7 Rivers Data'!$C$4:$D$8,2,FALSE),"")</f>
        <v/>
      </c>
      <c r="T226" s="145"/>
      <c r="U226" s="499" t="str">
        <f>IFERROR(INDEX('G-7 Rivers Data'!$H$4:$L$8,MATCH(N226,'G-7 Rivers Data'!$B$4:$B$8,0),MATCH(T226,'G-7 Rivers Data'!$H$3:$L$3,0)),"")</f>
        <v/>
      </c>
      <c r="V226" s="154"/>
      <c r="W226" s="507" t="str">
        <f>IF(V226="","",IF(VLOOKUP(V226,'G-7 Rivers Data'!$AG$4:$AI$9,2,FALSE)=0,"Spatial Data Missing ⚠",VLOOKUP(V226,'G-7 Rivers Data'!$AG$4:$AI$9,2,FALSE)))</f>
        <v/>
      </c>
      <c r="X226" s="499" t="str">
        <f>IF(V226="","",IF(VLOOKUP(V226,'G-7 Rivers Data'!$AG$4:$AI$9,3,FALSE)=0,"Spatial Data Missing ⚠",VLOOKUP(V226,'G-7 Rivers Data'!$AG$4:$AI$9,3,FALSE)))</f>
        <v/>
      </c>
      <c r="Y226" s="498" t="str">
        <f>IFERROR(IF(OR(LEFT(P226,5)="Error ▲",LEFT(O226,5)="Error ▲"),"Check Data ⚠",IF(F226&lt;S226,'G-7 Rivers Data'!$R$3,INDEX('G-7 Rivers Data'!$U$5:$Y$9,MATCH(G226,'G-7 Rivers Data'!$T$5:$T$9,0),MATCH(T226,'G-7 Rivers Data'!$U$4:$Y$4,0)))),"")</f>
        <v/>
      </c>
      <c r="Z226" s="195"/>
      <c r="AA226" s="195"/>
      <c r="AB226" s="507" t="str">
        <f t="shared" si="27"/>
        <v/>
      </c>
      <c r="AC226" s="521" t="str">
        <f t="shared" si="28"/>
        <v/>
      </c>
      <c r="AD226" s="564" t="str">
        <f>IFERROR(IF(AC226="Check Data ⚠","Check Data ⚠",VLOOKUP(AC226,'G-4 Temporal multipliers'!$A$4:$C$37,3,FALSE)),"")</f>
        <v/>
      </c>
      <c r="AE226" s="498" t="str">
        <f>IF(N226="","",VLOOKUP(N226,'G-7 Rivers Data'!$B$4:$G$8,5,FALSE))</f>
        <v/>
      </c>
      <c r="AF226" s="507" t="str">
        <f t="shared" si="29"/>
        <v/>
      </c>
      <c r="AG226" s="540" t="str">
        <f t="shared" si="30"/>
        <v/>
      </c>
      <c r="AH226" s="499" t="str">
        <f t="shared" si="24"/>
        <v/>
      </c>
      <c r="AI226" s="145"/>
      <c r="AJ226" s="499" t="str">
        <f>IF(AI226="","",IF(VLOOKUP(AI226,'G-7 Rivers Data'!$AA$4:$AB$7,2,FALSE)=0,"Spatial Data Missing ⚠",VLOOKUP(AI226,'G-7 Rivers Data'!$AA$4:$AB$7,2,FALSE)))</f>
        <v/>
      </c>
      <c r="AK226" s="155"/>
      <c r="AL226" s="499" t="str">
        <f>IF(AK226="","",IF(VLOOKUP(AK226,'G-7 Rivers Data'!$AD$4:$AE$8,2,FALSE)=0,"Spatial Data Missing ⚠",VLOOKUP(AK226,'G-7 Rivers Data'!$AD$4:$AE$8,2,FALSE)))</f>
        <v/>
      </c>
      <c r="AM226" s="545" t="str">
        <f t="shared" si="31"/>
        <v/>
      </c>
      <c r="AN226" s="149"/>
      <c r="AO226" s="150"/>
      <c r="AV226" s="31" t="str">
        <f>IFERROR(INDEX('G-7 Rivers Data'!$AZ$3:$AZ$7,MATCH(N226,'G-7 Rivers Data'!$AY$3:$AY$7,0)),"")</f>
        <v/>
      </c>
    </row>
    <row r="227" spans="2:48" ht="13.8" x14ac:dyDescent="0.25">
      <c r="B227" s="531" t="str">
        <f>'C-1 Site River Baseline'!AN225</f>
        <v/>
      </c>
      <c r="C227" s="520" t="str">
        <f>IF(B227="","",VLOOKUP($B227,'C-1 Site River Baseline'!$C$9:$R$257,2,FALSE))</f>
        <v/>
      </c>
      <c r="D227" s="520" t="str">
        <f>IF(C227="","",VLOOKUP($B227,'C-1 Site River Baseline'!$C$9:$R$257,3,FALSE))</f>
        <v/>
      </c>
      <c r="E227" s="520" t="str">
        <f>IF(D227="","",VLOOKUP($B227,'C-1 Site River Baseline'!$C$9:$R$257,4,FALSE))</f>
        <v/>
      </c>
      <c r="F227" s="520" t="str">
        <f>IF(E227="","",VLOOKUP($B227,'C-1 Site River Baseline'!$C$9:$R$257,5,FALSE))</f>
        <v/>
      </c>
      <c r="G227" s="520" t="str">
        <f>IF(F227="","",VLOOKUP($B227,'C-1 Site River Baseline'!$C$9:$R$257,6,FALSE))</f>
        <v/>
      </c>
      <c r="H227" s="520" t="str">
        <f>IF(G227="","",VLOOKUP($B227,'C-1 Site River Baseline'!$C$9:$R$257,7,FALSE))</f>
        <v/>
      </c>
      <c r="I227" s="520" t="str">
        <f>IF(H227="","",VLOOKUP($B227,'C-1 Site River Baseline'!$C$9:$R$257,8,FALSE))</f>
        <v/>
      </c>
      <c r="J227" s="520" t="str">
        <f>IF(I227="","",VLOOKUP($B227,'C-1 Site River Baseline'!$C$9:$R$257,9,FALSE))</f>
        <v/>
      </c>
      <c r="K227" s="520" t="str">
        <f>IF(J227="","",VLOOKUP($B227,'C-1 Site River Baseline'!$C$9:$R$257,10,FALSE))</f>
        <v/>
      </c>
      <c r="L227" s="520" t="str">
        <f>IF(B227="","",VLOOKUP($B227,'C-1 Site River Baseline'!$C$9:$R$257,15,FALSE))</f>
        <v/>
      </c>
      <c r="M227" s="524" t="str">
        <f>IF(L227="","",VLOOKUP($B227,'C-1 Site River Baseline'!$C$9:$R$257,16,FALSE))</f>
        <v/>
      </c>
      <c r="N227" s="418" t="str">
        <f t="shared" si="25"/>
        <v/>
      </c>
      <c r="O227" s="498" t="str">
        <f t="shared" si="26"/>
        <v/>
      </c>
      <c r="P227" s="499" t="str">
        <f>IF(C227="","",IF(AND(LEFT(C227,55)&lt;&gt;LEFT(N227,55),O227="High - High"),"Error - Not like for like ▲",IF(AND(F227=S227,H227&gt;U227),"Error - Can not reduce condition ▲",IF(AND(F227=S227,H227=U227,AJ227='C-1 Site River Baseline'!N225,'C-1 Site River Baseline'!P225=AL227),"Error - No enhancement ▲",IF(AND(C227&lt;&gt;N227,F227&lt;S227),"Lower Distinctiveness Habitat"&amp;" - "&amp;T227,G227&amp;" - "&amp;T227)))))</f>
        <v/>
      </c>
      <c r="Q227" s="567" t="str">
        <f>IF(N227="","",VLOOKUP(B227,'C-1 Site River Baseline'!$C$10:$AA$257,19,FALSE))</f>
        <v/>
      </c>
      <c r="R227" s="498" t="str">
        <f>IF(N227="","",VLOOKUP(N227,'G-7 Rivers Data'!$B$2:$G$8,2,FALSE))</f>
        <v/>
      </c>
      <c r="S227" s="499" t="str">
        <f>IFERROR(VLOOKUP(R227,'G-7 Rivers Data'!$C$4:$D$8,2,FALSE),"")</f>
        <v/>
      </c>
      <c r="T227" s="145"/>
      <c r="U227" s="499" t="str">
        <f>IFERROR(INDEX('G-7 Rivers Data'!$H$4:$L$8,MATCH(N227,'G-7 Rivers Data'!$B$4:$B$8,0),MATCH(T227,'G-7 Rivers Data'!$H$3:$L$3,0)),"")</f>
        <v/>
      </c>
      <c r="V227" s="154"/>
      <c r="W227" s="507" t="str">
        <f>IF(V227="","",IF(VLOOKUP(V227,'G-7 Rivers Data'!$AG$4:$AI$9,2,FALSE)=0,"Spatial Data Missing ⚠",VLOOKUP(V227,'G-7 Rivers Data'!$AG$4:$AI$9,2,FALSE)))</f>
        <v/>
      </c>
      <c r="X227" s="499" t="str">
        <f>IF(V227="","",IF(VLOOKUP(V227,'G-7 Rivers Data'!$AG$4:$AI$9,3,FALSE)=0,"Spatial Data Missing ⚠",VLOOKUP(V227,'G-7 Rivers Data'!$AG$4:$AI$9,3,FALSE)))</f>
        <v/>
      </c>
      <c r="Y227" s="498" t="str">
        <f>IFERROR(IF(OR(LEFT(P227,5)="Error ▲",LEFT(O227,5)="Error ▲"),"Check Data ⚠",IF(F227&lt;S227,'G-7 Rivers Data'!$R$3,INDEX('G-7 Rivers Data'!$U$5:$Y$9,MATCH(G227,'G-7 Rivers Data'!$T$5:$T$9,0),MATCH(T227,'G-7 Rivers Data'!$U$4:$Y$4,0)))),"")</f>
        <v/>
      </c>
      <c r="Z227" s="195"/>
      <c r="AA227" s="195"/>
      <c r="AB227" s="507" t="str">
        <f t="shared" si="27"/>
        <v/>
      </c>
      <c r="AC227" s="521" t="str">
        <f t="shared" si="28"/>
        <v/>
      </c>
      <c r="AD227" s="564" t="str">
        <f>IFERROR(IF(AC227="Check Data ⚠","Check Data ⚠",VLOOKUP(AC227,'G-4 Temporal multipliers'!$A$4:$C$37,3,FALSE)),"")</f>
        <v/>
      </c>
      <c r="AE227" s="498" t="str">
        <f>IF(N227="","",VLOOKUP(N227,'G-7 Rivers Data'!$B$4:$G$8,5,FALSE))</f>
        <v/>
      </c>
      <c r="AF227" s="507" t="str">
        <f t="shared" si="29"/>
        <v/>
      </c>
      <c r="AG227" s="540" t="str">
        <f t="shared" si="30"/>
        <v/>
      </c>
      <c r="AH227" s="499" t="str">
        <f t="shared" si="24"/>
        <v/>
      </c>
      <c r="AI227" s="145"/>
      <c r="AJ227" s="499" t="str">
        <f>IF(AI227="","",IF(VLOOKUP(AI227,'G-7 Rivers Data'!$AA$4:$AB$7,2,FALSE)=0,"Spatial Data Missing ⚠",VLOOKUP(AI227,'G-7 Rivers Data'!$AA$4:$AB$7,2,FALSE)))</f>
        <v/>
      </c>
      <c r="AK227" s="155"/>
      <c r="AL227" s="499" t="str">
        <f>IF(AK227="","",IF(VLOOKUP(AK227,'G-7 Rivers Data'!$AD$4:$AE$8,2,FALSE)=0,"Spatial Data Missing ⚠",VLOOKUP(AK227,'G-7 Rivers Data'!$AD$4:$AE$8,2,FALSE)))</f>
        <v/>
      </c>
      <c r="AM227" s="545" t="str">
        <f t="shared" si="31"/>
        <v/>
      </c>
      <c r="AN227" s="149"/>
      <c r="AO227" s="150"/>
      <c r="AV227" s="31" t="str">
        <f>IFERROR(INDEX('G-7 Rivers Data'!$AZ$3:$AZ$7,MATCH(N227,'G-7 Rivers Data'!$AY$3:$AY$7,0)),"")</f>
        <v/>
      </c>
    </row>
    <row r="228" spans="2:48" ht="13.8" x14ac:dyDescent="0.25">
      <c r="B228" s="531" t="str">
        <f>'C-1 Site River Baseline'!AN226</f>
        <v/>
      </c>
      <c r="C228" s="520" t="str">
        <f>IF(B228="","",VLOOKUP($B228,'C-1 Site River Baseline'!$C$9:$R$257,2,FALSE))</f>
        <v/>
      </c>
      <c r="D228" s="520" t="str">
        <f>IF(C228="","",VLOOKUP($B228,'C-1 Site River Baseline'!$C$9:$R$257,3,FALSE))</f>
        <v/>
      </c>
      <c r="E228" s="520" t="str">
        <f>IF(D228="","",VLOOKUP($B228,'C-1 Site River Baseline'!$C$9:$R$257,4,FALSE))</f>
        <v/>
      </c>
      <c r="F228" s="520" t="str">
        <f>IF(E228="","",VLOOKUP($B228,'C-1 Site River Baseline'!$C$9:$R$257,5,FALSE))</f>
        <v/>
      </c>
      <c r="G228" s="520" t="str">
        <f>IF(F228="","",VLOOKUP($B228,'C-1 Site River Baseline'!$C$9:$R$257,6,FALSE))</f>
        <v/>
      </c>
      <c r="H228" s="520" t="str">
        <f>IF(G228="","",VLOOKUP($B228,'C-1 Site River Baseline'!$C$9:$R$257,7,FALSE))</f>
        <v/>
      </c>
      <c r="I228" s="520" t="str">
        <f>IF(H228="","",VLOOKUP($B228,'C-1 Site River Baseline'!$C$9:$R$257,8,FALSE))</f>
        <v/>
      </c>
      <c r="J228" s="520" t="str">
        <f>IF(I228="","",VLOOKUP($B228,'C-1 Site River Baseline'!$C$9:$R$257,9,FALSE))</f>
        <v/>
      </c>
      <c r="K228" s="520" t="str">
        <f>IF(J228="","",VLOOKUP($B228,'C-1 Site River Baseline'!$C$9:$R$257,10,FALSE))</f>
        <v/>
      </c>
      <c r="L228" s="520" t="str">
        <f>IF(B228="","",VLOOKUP($B228,'C-1 Site River Baseline'!$C$9:$R$257,15,FALSE))</f>
        <v/>
      </c>
      <c r="M228" s="524" t="str">
        <f>IF(L228="","",VLOOKUP($B228,'C-1 Site River Baseline'!$C$9:$R$257,16,FALSE))</f>
        <v/>
      </c>
      <c r="N228" s="418" t="str">
        <f t="shared" si="25"/>
        <v/>
      </c>
      <c r="O228" s="498" t="str">
        <f t="shared" si="26"/>
        <v/>
      </c>
      <c r="P228" s="499" t="str">
        <f>IF(C228="","",IF(AND(LEFT(C228,55)&lt;&gt;LEFT(N228,55),O228="High - High"),"Error - Not like for like ▲",IF(AND(F228=S228,H228&gt;U228),"Error - Can not reduce condition ▲",IF(AND(F228=S228,H228=U228,AJ228='C-1 Site River Baseline'!N226,'C-1 Site River Baseline'!P226=AL228),"Error - No enhancement ▲",IF(AND(C228&lt;&gt;N228,F228&lt;S228),"Lower Distinctiveness Habitat"&amp;" - "&amp;T228,G228&amp;" - "&amp;T228)))))</f>
        <v/>
      </c>
      <c r="Q228" s="567" t="str">
        <f>IF(N228="","",VLOOKUP(B228,'C-1 Site River Baseline'!$C$10:$AA$257,19,FALSE))</f>
        <v/>
      </c>
      <c r="R228" s="498" t="str">
        <f>IF(N228="","",VLOOKUP(N228,'G-7 Rivers Data'!$B$2:$G$8,2,FALSE))</f>
        <v/>
      </c>
      <c r="S228" s="499" t="str">
        <f>IFERROR(VLOOKUP(R228,'G-7 Rivers Data'!$C$4:$D$8,2,FALSE),"")</f>
        <v/>
      </c>
      <c r="T228" s="145"/>
      <c r="U228" s="499" t="str">
        <f>IFERROR(INDEX('G-7 Rivers Data'!$H$4:$L$8,MATCH(N228,'G-7 Rivers Data'!$B$4:$B$8,0),MATCH(T228,'G-7 Rivers Data'!$H$3:$L$3,0)),"")</f>
        <v/>
      </c>
      <c r="V228" s="154"/>
      <c r="W228" s="507" t="str">
        <f>IF(V228="","",IF(VLOOKUP(V228,'G-7 Rivers Data'!$AG$4:$AI$9,2,FALSE)=0,"Spatial Data Missing ⚠",VLOOKUP(V228,'G-7 Rivers Data'!$AG$4:$AI$9,2,FALSE)))</f>
        <v/>
      </c>
      <c r="X228" s="499" t="str">
        <f>IF(V228="","",IF(VLOOKUP(V228,'G-7 Rivers Data'!$AG$4:$AI$9,3,FALSE)=0,"Spatial Data Missing ⚠",VLOOKUP(V228,'G-7 Rivers Data'!$AG$4:$AI$9,3,FALSE)))</f>
        <v/>
      </c>
      <c r="Y228" s="498" t="str">
        <f>IFERROR(IF(OR(LEFT(P228,5)="Error ▲",LEFT(O228,5)="Error ▲"),"Check Data ⚠",IF(F228&lt;S228,'G-7 Rivers Data'!$R$3,INDEX('G-7 Rivers Data'!$U$5:$Y$9,MATCH(G228,'G-7 Rivers Data'!$T$5:$T$9,0),MATCH(T228,'G-7 Rivers Data'!$U$4:$Y$4,0)))),"")</f>
        <v/>
      </c>
      <c r="Z228" s="195"/>
      <c r="AA228" s="195"/>
      <c r="AB228" s="507" t="str">
        <f t="shared" si="27"/>
        <v/>
      </c>
      <c r="AC228" s="521" t="str">
        <f t="shared" si="28"/>
        <v/>
      </c>
      <c r="AD228" s="564" t="str">
        <f>IFERROR(IF(AC228="Check Data ⚠","Check Data ⚠",VLOOKUP(AC228,'G-4 Temporal multipliers'!$A$4:$C$37,3,FALSE)),"")</f>
        <v/>
      </c>
      <c r="AE228" s="498" t="str">
        <f>IF(N228="","",VLOOKUP(N228,'G-7 Rivers Data'!$B$4:$G$8,5,FALSE))</f>
        <v/>
      </c>
      <c r="AF228" s="507" t="str">
        <f t="shared" si="29"/>
        <v/>
      </c>
      <c r="AG228" s="540" t="str">
        <f t="shared" si="30"/>
        <v/>
      </c>
      <c r="AH228" s="499" t="str">
        <f t="shared" si="24"/>
        <v/>
      </c>
      <c r="AI228" s="145"/>
      <c r="AJ228" s="499" t="str">
        <f>IF(AI228="","",IF(VLOOKUP(AI228,'G-7 Rivers Data'!$AA$4:$AB$7,2,FALSE)=0,"Spatial Data Missing ⚠",VLOOKUP(AI228,'G-7 Rivers Data'!$AA$4:$AB$7,2,FALSE)))</f>
        <v/>
      </c>
      <c r="AK228" s="155"/>
      <c r="AL228" s="499" t="str">
        <f>IF(AK228="","",IF(VLOOKUP(AK228,'G-7 Rivers Data'!$AD$4:$AE$8,2,FALSE)=0,"Spatial Data Missing ⚠",VLOOKUP(AK228,'G-7 Rivers Data'!$AD$4:$AE$8,2,FALSE)))</f>
        <v/>
      </c>
      <c r="AM228" s="545" t="str">
        <f t="shared" si="31"/>
        <v/>
      </c>
      <c r="AN228" s="149"/>
      <c r="AO228" s="150"/>
      <c r="AV228" s="31" t="str">
        <f>IFERROR(INDEX('G-7 Rivers Data'!$AZ$3:$AZ$7,MATCH(N228,'G-7 Rivers Data'!$AY$3:$AY$7,0)),"")</f>
        <v/>
      </c>
    </row>
    <row r="229" spans="2:48" ht="13.8" x14ac:dyDescent="0.25">
      <c r="B229" s="531" t="str">
        <f>'C-1 Site River Baseline'!AN227</f>
        <v/>
      </c>
      <c r="C229" s="520" t="str">
        <f>IF(B229="","",VLOOKUP($B229,'C-1 Site River Baseline'!$C$9:$R$257,2,FALSE))</f>
        <v/>
      </c>
      <c r="D229" s="520" t="str">
        <f>IF(C229="","",VLOOKUP($B229,'C-1 Site River Baseline'!$C$9:$R$257,3,FALSE))</f>
        <v/>
      </c>
      <c r="E229" s="520" t="str">
        <f>IF(D229="","",VLOOKUP($B229,'C-1 Site River Baseline'!$C$9:$R$257,4,FALSE))</f>
        <v/>
      </c>
      <c r="F229" s="520" t="str">
        <f>IF(E229="","",VLOOKUP($B229,'C-1 Site River Baseline'!$C$9:$R$257,5,FALSE))</f>
        <v/>
      </c>
      <c r="G229" s="520" t="str">
        <f>IF(F229="","",VLOOKUP($B229,'C-1 Site River Baseline'!$C$9:$R$257,6,FALSE))</f>
        <v/>
      </c>
      <c r="H229" s="520" t="str">
        <f>IF(G229="","",VLOOKUP($B229,'C-1 Site River Baseline'!$C$9:$R$257,7,FALSE))</f>
        <v/>
      </c>
      <c r="I229" s="520" t="str">
        <f>IF(H229="","",VLOOKUP($B229,'C-1 Site River Baseline'!$C$9:$R$257,8,FALSE))</f>
        <v/>
      </c>
      <c r="J229" s="520" t="str">
        <f>IF(I229="","",VLOOKUP($B229,'C-1 Site River Baseline'!$C$9:$R$257,9,FALSE))</f>
        <v/>
      </c>
      <c r="K229" s="520" t="str">
        <f>IF(J229="","",VLOOKUP($B229,'C-1 Site River Baseline'!$C$9:$R$257,10,FALSE))</f>
        <v/>
      </c>
      <c r="L229" s="520" t="str">
        <f>IF(B229="","",VLOOKUP($B229,'C-1 Site River Baseline'!$C$9:$R$257,15,FALSE))</f>
        <v/>
      </c>
      <c r="M229" s="524" t="str">
        <f>IF(L229="","",VLOOKUP($B229,'C-1 Site River Baseline'!$C$9:$R$257,16,FALSE))</f>
        <v/>
      </c>
      <c r="N229" s="418" t="str">
        <f t="shared" si="25"/>
        <v/>
      </c>
      <c r="O229" s="498" t="str">
        <f t="shared" si="26"/>
        <v/>
      </c>
      <c r="P229" s="499" t="str">
        <f>IF(C229="","",IF(AND(LEFT(C229,55)&lt;&gt;LEFT(N229,55),O229="High - High"),"Error - Not like for like ▲",IF(AND(F229=S229,H229&gt;U229),"Error - Can not reduce condition ▲",IF(AND(F229=S229,H229=U229,AJ229='C-1 Site River Baseline'!N227,'C-1 Site River Baseline'!P227=AL229),"Error - No enhancement ▲",IF(AND(C229&lt;&gt;N229,F229&lt;S229),"Lower Distinctiveness Habitat"&amp;" - "&amp;T229,G229&amp;" - "&amp;T229)))))</f>
        <v/>
      </c>
      <c r="Q229" s="567" t="str">
        <f>IF(N229="","",VLOOKUP(B229,'C-1 Site River Baseline'!$C$10:$AA$257,19,FALSE))</f>
        <v/>
      </c>
      <c r="R229" s="498" t="str">
        <f>IF(N229="","",VLOOKUP(N229,'G-7 Rivers Data'!$B$2:$G$8,2,FALSE))</f>
        <v/>
      </c>
      <c r="S229" s="499" t="str">
        <f>IFERROR(VLOOKUP(R229,'G-7 Rivers Data'!$C$4:$D$8,2,FALSE),"")</f>
        <v/>
      </c>
      <c r="T229" s="145"/>
      <c r="U229" s="499" t="str">
        <f>IFERROR(INDEX('G-7 Rivers Data'!$H$4:$L$8,MATCH(N229,'G-7 Rivers Data'!$B$4:$B$8,0),MATCH(T229,'G-7 Rivers Data'!$H$3:$L$3,0)),"")</f>
        <v/>
      </c>
      <c r="V229" s="154"/>
      <c r="W229" s="507" t="str">
        <f>IF(V229="","",IF(VLOOKUP(V229,'G-7 Rivers Data'!$AG$4:$AI$9,2,FALSE)=0,"Spatial Data Missing ⚠",VLOOKUP(V229,'G-7 Rivers Data'!$AG$4:$AI$9,2,FALSE)))</f>
        <v/>
      </c>
      <c r="X229" s="499" t="str">
        <f>IF(V229="","",IF(VLOOKUP(V229,'G-7 Rivers Data'!$AG$4:$AI$9,3,FALSE)=0,"Spatial Data Missing ⚠",VLOOKUP(V229,'G-7 Rivers Data'!$AG$4:$AI$9,3,FALSE)))</f>
        <v/>
      </c>
      <c r="Y229" s="498" t="str">
        <f>IFERROR(IF(OR(LEFT(P229,5)="Error ▲",LEFT(O229,5)="Error ▲"),"Check Data ⚠",IF(F229&lt;S229,'G-7 Rivers Data'!$R$3,INDEX('G-7 Rivers Data'!$U$5:$Y$9,MATCH(G229,'G-7 Rivers Data'!$T$5:$T$9,0),MATCH(T229,'G-7 Rivers Data'!$U$4:$Y$4,0)))),"")</f>
        <v/>
      </c>
      <c r="Z229" s="195"/>
      <c r="AA229" s="195"/>
      <c r="AB229" s="507" t="str">
        <f t="shared" si="27"/>
        <v/>
      </c>
      <c r="AC229" s="521" t="str">
        <f t="shared" si="28"/>
        <v/>
      </c>
      <c r="AD229" s="564" t="str">
        <f>IFERROR(IF(AC229="Check Data ⚠","Check Data ⚠",VLOOKUP(AC229,'G-4 Temporal multipliers'!$A$4:$C$37,3,FALSE)),"")</f>
        <v/>
      </c>
      <c r="AE229" s="498" t="str">
        <f>IF(N229="","",VLOOKUP(N229,'G-7 Rivers Data'!$B$4:$G$8,5,FALSE))</f>
        <v/>
      </c>
      <c r="AF229" s="507" t="str">
        <f t="shared" si="29"/>
        <v/>
      </c>
      <c r="AG229" s="540" t="str">
        <f t="shared" si="30"/>
        <v/>
      </c>
      <c r="AH229" s="499" t="str">
        <f t="shared" si="24"/>
        <v/>
      </c>
      <c r="AI229" s="145"/>
      <c r="AJ229" s="499" t="str">
        <f>IF(AI229="","",IF(VLOOKUP(AI229,'G-7 Rivers Data'!$AA$4:$AB$7,2,FALSE)=0,"Spatial Data Missing ⚠",VLOOKUP(AI229,'G-7 Rivers Data'!$AA$4:$AB$7,2,FALSE)))</f>
        <v/>
      </c>
      <c r="AK229" s="155"/>
      <c r="AL229" s="499" t="str">
        <f>IF(AK229="","",IF(VLOOKUP(AK229,'G-7 Rivers Data'!$AD$4:$AE$8,2,FALSE)=0,"Spatial Data Missing ⚠",VLOOKUP(AK229,'G-7 Rivers Data'!$AD$4:$AE$8,2,FALSE)))</f>
        <v/>
      </c>
      <c r="AM229" s="545" t="str">
        <f t="shared" si="31"/>
        <v/>
      </c>
      <c r="AN229" s="149"/>
      <c r="AO229" s="150"/>
      <c r="AV229" s="31" t="str">
        <f>IFERROR(INDEX('G-7 Rivers Data'!$AZ$3:$AZ$7,MATCH(N229,'G-7 Rivers Data'!$AY$3:$AY$7,0)),"")</f>
        <v/>
      </c>
    </row>
    <row r="230" spans="2:48" ht="13.8" x14ac:dyDescent="0.25">
      <c r="B230" s="531" t="str">
        <f>'C-1 Site River Baseline'!AN228</f>
        <v/>
      </c>
      <c r="C230" s="520" t="str">
        <f>IF(B230="","",VLOOKUP($B230,'C-1 Site River Baseline'!$C$9:$R$257,2,FALSE))</f>
        <v/>
      </c>
      <c r="D230" s="520" t="str">
        <f>IF(C230="","",VLOOKUP($B230,'C-1 Site River Baseline'!$C$9:$R$257,3,FALSE))</f>
        <v/>
      </c>
      <c r="E230" s="520" t="str">
        <f>IF(D230="","",VLOOKUP($B230,'C-1 Site River Baseline'!$C$9:$R$257,4,FALSE))</f>
        <v/>
      </c>
      <c r="F230" s="520" t="str">
        <f>IF(E230="","",VLOOKUP($B230,'C-1 Site River Baseline'!$C$9:$R$257,5,FALSE))</f>
        <v/>
      </c>
      <c r="G230" s="520" t="str">
        <f>IF(F230="","",VLOOKUP($B230,'C-1 Site River Baseline'!$C$9:$R$257,6,FALSE))</f>
        <v/>
      </c>
      <c r="H230" s="520" t="str">
        <f>IF(G230="","",VLOOKUP($B230,'C-1 Site River Baseline'!$C$9:$R$257,7,FALSE))</f>
        <v/>
      </c>
      <c r="I230" s="520" t="str">
        <f>IF(H230="","",VLOOKUP($B230,'C-1 Site River Baseline'!$C$9:$R$257,8,FALSE))</f>
        <v/>
      </c>
      <c r="J230" s="520" t="str">
        <f>IF(I230="","",VLOOKUP($B230,'C-1 Site River Baseline'!$C$9:$R$257,9,FALSE))</f>
        <v/>
      </c>
      <c r="K230" s="520" t="str">
        <f>IF(J230="","",VLOOKUP($B230,'C-1 Site River Baseline'!$C$9:$R$257,10,FALSE))</f>
        <v/>
      </c>
      <c r="L230" s="520" t="str">
        <f>IF(B230="","",VLOOKUP($B230,'C-1 Site River Baseline'!$C$9:$R$257,15,FALSE))</f>
        <v/>
      </c>
      <c r="M230" s="524" t="str">
        <f>IF(L230="","",VLOOKUP($B230,'C-1 Site River Baseline'!$C$9:$R$257,16,FALSE))</f>
        <v/>
      </c>
      <c r="N230" s="418" t="str">
        <f t="shared" si="25"/>
        <v/>
      </c>
      <c r="O230" s="498" t="str">
        <f t="shared" si="26"/>
        <v/>
      </c>
      <c r="P230" s="499" t="str">
        <f>IF(C230="","",IF(AND(LEFT(C230,55)&lt;&gt;LEFT(N230,55),O230="High - High"),"Error - Not like for like ▲",IF(AND(F230=S230,H230&gt;U230),"Error - Can not reduce condition ▲",IF(AND(F230=S230,H230=U230,AJ230='C-1 Site River Baseline'!N228,'C-1 Site River Baseline'!P228=AL230),"Error - No enhancement ▲",IF(AND(C230&lt;&gt;N230,F230&lt;S230),"Lower Distinctiveness Habitat"&amp;" - "&amp;T230,G230&amp;" - "&amp;T230)))))</f>
        <v/>
      </c>
      <c r="Q230" s="567" t="str">
        <f>IF(N230="","",VLOOKUP(B230,'C-1 Site River Baseline'!$C$10:$AA$257,19,FALSE))</f>
        <v/>
      </c>
      <c r="R230" s="498" t="str">
        <f>IF(N230="","",VLOOKUP(N230,'G-7 Rivers Data'!$B$2:$G$8,2,FALSE))</f>
        <v/>
      </c>
      <c r="S230" s="499" t="str">
        <f>IFERROR(VLOOKUP(R230,'G-7 Rivers Data'!$C$4:$D$8,2,FALSE),"")</f>
        <v/>
      </c>
      <c r="T230" s="145"/>
      <c r="U230" s="499" t="str">
        <f>IFERROR(INDEX('G-7 Rivers Data'!$H$4:$L$8,MATCH(N230,'G-7 Rivers Data'!$B$4:$B$8,0),MATCH(T230,'G-7 Rivers Data'!$H$3:$L$3,0)),"")</f>
        <v/>
      </c>
      <c r="V230" s="154"/>
      <c r="W230" s="507" t="str">
        <f>IF(V230="","",IF(VLOOKUP(V230,'G-7 Rivers Data'!$AG$4:$AI$9,2,FALSE)=0,"Spatial Data Missing ⚠",VLOOKUP(V230,'G-7 Rivers Data'!$AG$4:$AI$9,2,FALSE)))</f>
        <v/>
      </c>
      <c r="X230" s="499" t="str">
        <f>IF(V230="","",IF(VLOOKUP(V230,'G-7 Rivers Data'!$AG$4:$AI$9,3,FALSE)=0,"Spatial Data Missing ⚠",VLOOKUP(V230,'G-7 Rivers Data'!$AG$4:$AI$9,3,FALSE)))</f>
        <v/>
      </c>
      <c r="Y230" s="498" t="str">
        <f>IFERROR(IF(OR(LEFT(P230,5)="Error ▲",LEFT(O230,5)="Error ▲"),"Check Data ⚠",IF(F230&lt;S230,'G-7 Rivers Data'!$R$3,INDEX('G-7 Rivers Data'!$U$5:$Y$9,MATCH(G230,'G-7 Rivers Data'!$T$5:$T$9,0),MATCH(T230,'G-7 Rivers Data'!$U$4:$Y$4,0)))),"")</f>
        <v/>
      </c>
      <c r="Z230" s="195"/>
      <c r="AA230" s="195"/>
      <c r="AB230" s="507" t="str">
        <f t="shared" si="27"/>
        <v/>
      </c>
      <c r="AC230" s="521" t="str">
        <f t="shared" si="28"/>
        <v/>
      </c>
      <c r="AD230" s="564" t="str">
        <f>IFERROR(IF(AC230="Check Data ⚠","Check Data ⚠",VLOOKUP(AC230,'G-4 Temporal multipliers'!$A$4:$C$37,3,FALSE)),"")</f>
        <v/>
      </c>
      <c r="AE230" s="498" t="str">
        <f>IF(N230="","",VLOOKUP(N230,'G-7 Rivers Data'!$B$4:$G$8,5,FALSE))</f>
        <v/>
      </c>
      <c r="AF230" s="507" t="str">
        <f t="shared" si="29"/>
        <v/>
      </c>
      <c r="AG230" s="540" t="str">
        <f t="shared" si="30"/>
        <v/>
      </c>
      <c r="AH230" s="499" t="str">
        <f t="shared" si="24"/>
        <v/>
      </c>
      <c r="AI230" s="145"/>
      <c r="AJ230" s="499" t="str">
        <f>IF(AI230="","",IF(VLOOKUP(AI230,'G-7 Rivers Data'!$AA$4:$AB$7,2,FALSE)=0,"Spatial Data Missing ⚠",VLOOKUP(AI230,'G-7 Rivers Data'!$AA$4:$AB$7,2,FALSE)))</f>
        <v/>
      </c>
      <c r="AK230" s="155"/>
      <c r="AL230" s="499" t="str">
        <f>IF(AK230="","",IF(VLOOKUP(AK230,'G-7 Rivers Data'!$AD$4:$AE$8,2,FALSE)=0,"Spatial Data Missing ⚠",VLOOKUP(AK230,'G-7 Rivers Data'!$AD$4:$AE$8,2,FALSE)))</f>
        <v/>
      </c>
      <c r="AM230" s="545" t="str">
        <f t="shared" si="31"/>
        <v/>
      </c>
      <c r="AN230" s="149"/>
      <c r="AO230" s="150"/>
      <c r="AV230" s="31" t="str">
        <f>IFERROR(INDEX('G-7 Rivers Data'!$AZ$3:$AZ$7,MATCH(N230,'G-7 Rivers Data'!$AY$3:$AY$7,0)),"")</f>
        <v/>
      </c>
    </row>
    <row r="231" spans="2:48" ht="13.8" x14ac:dyDescent="0.25">
      <c r="B231" s="531" t="str">
        <f>'C-1 Site River Baseline'!AN229</f>
        <v/>
      </c>
      <c r="C231" s="520" t="str">
        <f>IF(B231="","",VLOOKUP($B231,'C-1 Site River Baseline'!$C$9:$R$257,2,FALSE))</f>
        <v/>
      </c>
      <c r="D231" s="520" t="str">
        <f>IF(C231="","",VLOOKUP($B231,'C-1 Site River Baseline'!$C$9:$R$257,3,FALSE))</f>
        <v/>
      </c>
      <c r="E231" s="520" t="str">
        <f>IF(D231="","",VLOOKUP($B231,'C-1 Site River Baseline'!$C$9:$R$257,4,FALSE))</f>
        <v/>
      </c>
      <c r="F231" s="520" t="str">
        <f>IF(E231="","",VLOOKUP($B231,'C-1 Site River Baseline'!$C$9:$R$257,5,FALSE))</f>
        <v/>
      </c>
      <c r="G231" s="520" t="str">
        <f>IF(F231="","",VLOOKUP($B231,'C-1 Site River Baseline'!$C$9:$R$257,6,FALSE))</f>
        <v/>
      </c>
      <c r="H231" s="520" t="str">
        <f>IF(G231="","",VLOOKUP($B231,'C-1 Site River Baseline'!$C$9:$R$257,7,FALSE))</f>
        <v/>
      </c>
      <c r="I231" s="520" t="str">
        <f>IF(H231="","",VLOOKUP($B231,'C-1 Site River Baseline'!$C$9:$R$257,8,FALSE))</f>
        <v/>
      </c>
      <c r="J231" s="520" t="str">
        <f>IF(I231="","",VLOOKUP($B231,'C-1 Site River Baseline'!$C$9:$R$257,9,FALSE))</f>
        <v/>
      </c>
      <c r="K231" s="520" t="str">
        <f>IF(J231="","",VLOOKUP($B231,'C-1 Site River Baseline'!$C$9:$R$257,10,FALSE))</f>
        <v/>
      </c>
      <c r="L231" s="520" t="str">
        <f>IF(B231="","",VLOOKUP($B231,'C-1 Site River Baseline'!$C$9:$R$257,15,FALSE))</f>
        <v/>
      </c>
      <c r="M231" s="524" t="str">
        <f>IF(L231="","",VLOOKUP($B231,'C-1 Site River Baseline'!$C$9:$R$257,16,FALSE))</f>
        <v/>
      </c>
      <c r="N231" s="418" t="str">
        <f t="shared" si="25"/>
        <v/>
      </c>
      <c r="O231" s="498" t="str">
        <f t="shared" si="26"/>
        <v/>
      </c>
      <c r="P231" s="499" t="str">
        <f>IF(C231="","",IF(AND(LEFT(C231,55)&lt;&gt;LEFT(N231,55),O231="High - High"),"Error - Not like for like ▲",IF(AND(F231=S231,H231&gt;U231),"Error - Can not reduce condition ▲",IF(AND(F231=S231,H231=U231,AJ231='C-1 Site River Baseline'!N229,'C-1 Site River Baseline'!P229=AL231),"Error - No enhancement ▲",IF(AND(C231&lt;&gt;N231,F231&lt;S231),"Lower Distinctiveness Habitat"&amp;" - "&amp;T231,G231&amp;" - "&amp;T231)))))</f>
        <v/>
      </c>
      <c r="Q231" s="567" t="str">
        <f>IF(N231="","",VLOOKUP(B231,'C-1 Site River Baseline'!$C$10:$AA$257,19,FALSE))</f>
        <v/>
      </c>
      <c r="R231" s="498" t="str">
        <f>IF(N231="","",VLOOKUP(N231,'G-7 Rivers Data'!$B$2:$G$8,2,FALSE))</f>
        <v/>
      </c>
      <c r="S231" s="499" t="str">
        <f>IFERROR(VLOOKUP(R231,'G-7 Rivers Data'!$C$4:$D$8,2,FALSE),"")</f>
        <v/>
      </c>
      <c r="T231" s="145"/>
      <c r="U231" s="499" t="str">
        <f>IFERROR(INDEX('G-7 Rivers Data'!$H$4:$L$8,MATCH(N231,'G-7 Rivers Data'!$B$4:$B$8,0),MATCH(T231,'G-7 Rivers Data'!$H$3:$L$3,0)),"")</f>
        <v/>
      </c>
      <c r="V231" s="154"/>
      <c r="W231" s="507" t="str">
        <f>IF(V231="","",IF(VLOOKUP(V231,'G-7 Rivers Data'!$AG$4:$AI$9,2,FALSE)=0,"Spatial Data Missing ⚠",VLOOKUP(V231,'G-7 Rivers Data'!$AG$4:$AI$9,2,FALSE)))</f>
        <v/>
      </c>
      <c r="X231" s="499" t="str">
        <f>IF(V231="","",IF(VLOOKUP(V231,'G-7 Rivers Data'!$AG$4:$AI$9,3,FALSE)=0,"Spatial Data Missing ⚠",VLOOKUP(V231,'G-7 Rivers Data'!$AG$4:$AI$9,3,FALSE)))</f>
        <v/>
      </c>
      <c r="Y231" s="498" t="str">
        <f>IFERROR(IF(OR(LEFT(P231,5)="Error ▲",LEFT(O231,5)="Error ▲"),"Check Data ⚠",IF(F231&lt;S231,'G-7 Rivers Data'!$R$3,INDEX('G-7 Rivers Data'!$U$5:$Y$9,MATCH(G231,'G-7 Rivers Data'!$T$5:$T$9,0),MATCH(T231,'G-7 Rivers Data'!$U$4:$Y$4,0)))),"")</f>
        <v/>
      </c>
      <c r="Z231" s="195"/>
      <c r="AA231" s="195"/>
      <c r="AB231" s="507" t="str">
        <f t="shared" si="27"/>
        <v/>
      </c>
      <c r="AC231" s="521" t="str">
        <f t="shared" si="28"/>
        <v/>
      </c>
      <c r="AD231" s="564" t="str">
        <f>IFERROR(IF(AC231="Check Data ⚠","Check Data ⚠",VLOOKUP(AC231,'G-4 Temporal multipliers'!$A$4:$C$37,3,FALSE)),"")</f>
        <v/>
      </c>
      <c r="AE231" s="498" t="str">
        <f>IF(N231="","",VLOOKUP(N231,'G-7 Rivers Data'!$B$4:$G$8,5,FALSE))</f>
        <v/>
      </c>
      <c r="AF231" s="507" t="str">
        <f t="shared" si="29"/>
        <v/>
      </c>
      <c r="AG231" s="540" t="str">
        <f t="shared" si="30"/>
        <v/>
      </c>
      <c r="AH231" s="499" t="str">
        <f t="shared" si="24"/>
        <v/>
      </c>
      <c r="AI231" s="145"/>
      <c r="AJ231" s="499" t="str">
        <f>IF(AI231="","",IF(VLOOKUP(AI231,'G-7 Rivers Data'!$AA$4:$AB$7,2,FALSE)=0,"Spatial Data Missing ⚠",VLOOKUP(AI231,'G-7 Rivers Data'!$AA$4:$AB$7,2,FALSE)))</f>
        <v/>
      </c>
      <c r="AK231" s="155"/>
      <c r="AL231" s="499" t="str">
        <f>IF(AK231="","",IF(VLOOKUP(AK231,'G-7 Rivers Data'!$AD$4:$AE$8,2,FALSE)=0,"Spatial Data Missing ⚠",VLOOKUP(AK231,'G-7 Rivers Data'!$AD$4:$AE$8,2,FALSE)))</f>
        <v/>
      </c>
      <c r="AM231" s="545" t="str">
        <f t="shared" si="31"/>
        <v/>
      </c>
      <c r="AN231" s="149"/>
      <c r="AO231" s="150"/>
      <c r="AV231" s="31" t="str">
        <f>IFERROR(INDEX('G-7 Rivers Data'!$AZ$3:$AZ$7,MATCH(N231,'G-7 Rivers Data'!$AY$3:$AY$7,0)),"")</f>
        <v/>
      </c>
    </row>
    <row r="232" spans="2:48" ht="13.8" x14ac:dyDescent="0.25">
      <c r="B232" s="531" t="str">
        <f>'C-1 Site River Baseline'!AN230</f>
        <v/>
      </c>
      <c r="C232" s="520" t="str">
        <f>IF(B232="","",VLOOKUP($B232,'C-1 Site River Baseline'!$C$9:$R$257,2,FALSE))</f>
        <v/>
      </c>
      <c r="D232" s="520" t="str">
        <f>IF(C232="","",VLOOKUP($B232,'C-1 Site River Baseline'!$C$9:$R$257,3,FALSE))</f>
        <v/>
      </c>
      <c r="E232" s="520" t="str">
        <f>IF(D232="","",VLOOKUP($B232,'C-1 Site River Baseline'!$C$9:$R$257,4,FALSE))</f>
        <v/>
      </c>
      <c r="F232" s="520" t="str">
        <f>IF(E232="","",VLOOKUP($B232,'C-1 Site River Baseline'!$C$9:$R$257,5,FALSE))</f>
        <v/>
      </c>
      <c r="G232" s="520" t="str">
        <f>IF(F232="","",VLOOKUP($B232,'C-1 Site River Baseline'!$C$9:$R$257,6,FALSE))</f>
        <v/>
      </c>
      <c r="H232" s="520" t="str">
        <f>IF(G232="","",VLOOKUP($B232,'C-1 Site River Baseline'!$C$9:$R$257,7,FALSE))</f>
        <v/>
      </c>
      <c r="I232" s="520" t="str">
        <f>IF(H232="","",VLOOKUP($B232,'C-1 Site River Baseline'!$C$9:$R$257,8,FALSE))</f>
        <v/>
      </c>
      <c r="J232" s="520" t="str">
        <f>IF(I232="","",VLOOKUP($B232,'C-1 Site River Baseline'!$C$9:$R$257,9,FALSE))</f>
        <v/>
      </c>
      <c r="K232" s="520" t="str">
        <f>IF(J232="","",VLOOKUP($B232,'C-1 Site River Baseline'!$C$9:$R$257,10,FALSE))</f>
        <v/>
      </c>
      <c r="L232" s="520" t="str">
        <f>IF(B232="","",VLOOKUP($B232,'C-1 Site River Baseline'!$C$9:$R$257,15,FALSE))</f>
        <v/>
      </c>
      <c r="M232" s="524" t="str">
        <f>IF(L232="","",VLOOKUP($B232,'C-1 Site River Baseline'!$C$9:$R$257,16,FALSE))</f>
        <v/>
      </c>
      <c r="N232" s="418" t="str">
        <f t="shared" si="25"/>
        <v/>
      </c>
      <c r="O232" s="498" t="str">
        <f t="shared" si="26"/>
        <v/>
      </c>
      <c r="P232" s="499" t="str">
        <f>IF(C232="","",IF(AND(LEFT(C232,55)&lt;&gt;LEFT(N232,55),O232="High - High"),"Error - Not like for like ▲",IF(AND(F232=S232,H232&gt;U232),"Error - Can not reduce condition ▲",IF(AND(F232=S232,H232=U232,AJ232='C-1 Site River Baseline'!N230,'C-1 Site River Baseline'!P230=AL232),"Error - No enhancement ▲",IF(AND(C232&lt;&gt;N232,F232&lt;S232),"Lower Distinctiveness Habitat"&amp;" - "&amp;T232,G232&amp;" - "&amp;T232)))))</f>
        <v/>
      </c>
      <c r="Q232" s="567" t="str">
        <f>IF(N232="","",VLOOKUP(B232,'C-1 Site River Baseline'!$C$10:$AA$257,19,FALSE))</f>
        <v/>
      </c>
      <c r="R232" s="498" t="str">
        <f>IF(N232="","",VLOOKUP(N232,'G-7 Rivers Data'!$B$2:$G$8,2,FALSE))</f>
        <v/>
      </c>
      <c r="S232" s="499" t="str">
        <f>IFERROR(VLOOKUP(R232,'G-7 Rivers Data'!$C$4:$D$8,2,FALSE),"")</f>
        <v/>
      </c>
      <c r="T232" s="145"/>
      <c r="U232" s="499" t="str">
        <f>IFERROR(INDEX('G-7 Rivers Data'!$H$4:$L$8,MATCH(N232,'G-7 Rivers Data'!$B$4:$B$8,0),MATCH(T232,'G-7 Rivers Data'!$H$3:$L$3,0)),"")</f>
        <v/>
      </c>
      <c r="V232" s="154"/>
      <c r="W232" s="507" t="str">
        <f>IF(V232="","",IF(VLOOKUP(V232,'G-7 Rivers Data'!$AG$4:$AI$9,2,FALSE)=0,"Spatial Data Missing ⚠",VLOOKUP(V232,'G-7 Rivers Data'!$AG$4:$AI$9,2,FALSE)))</f>
        <v/>
      </c>
      <c r="X232" s="499" t="str">
        <f>IF(V232="","",IF(VLOOKUP(V232,'G-7 Rivers Data'!$AG$4:$AI$9,3,FALSE)=0,"Spatial Data Missing ⚠",VLOOKUP(V232,'G-7 Rivers Data'!$AG$4:$AI$9,3,FALSE)))</f>
        <v/>
      </c>
      <c r="Y232" s="498" t="str">
        <f>IFERROR(IF(OR(LEFT(P232,5)="Error ▲",LEFT(O232,5)="Error ▲"),"Check Data ⚠",IF(F232&lt;S232,'G-7 Rivers Data'!$R$3,INDEX('G-7 Rivers Data'!$U$5:$Y$9,MATCH(G232,'G-7 Rivers Data'!$T$5:$T$9,0),MATCH(T232,'G-7 Rivers Data'!$U$4:$Y$4,0)))),"")</f>
        <v/>
      </c>
      <c r="Z232" s="195"/>
      <c r="AA232" s="195"/>
      <c r="AB232" s="507" t="str">
        <f t="shared" si="27"/>
        <v/>
      </c>
      <c r="AC232" s="521" t="str">
        <f t="shared" si="28"/>
        <v/>
      </c>
      <c r="AD232" s="564" t="str">
        <f>IFERROR(IF(AC232="Check Data ⚠","Check Data ⚠",VLOOKUP(AC232,'G-4 Temporal multipliers'!$A$4:$C$37,3,FALSE)),"")</f>
        <v/>
      </c>
      <c r="AE232" s="498" t="str">
        <f>IF(N232="","",VLOOKUP(N232,'G-7 Rivers Data'!$B$4:$G$8,5,FALSE))</f>
        <v/>
      </c>
      <c r="AF232" s="507" t="str">
        <f t="shared" si="29"/>
        <v/>
      </c>
      <c r="AG232" s="540" t="str">
        <f t="shared" si="30"/>
        <v/>
      </c>
      <c r="AH232" s="499" t="str">
        <f t="shared" si="24"/>
        <v/>
      </c>
      <c r="AI232" s="145"/>
      <c r="AJ232" s="499" t="str">
        <f>IF(AI232="","",IF(VLOOKUP(AI232,'G-7 Rivers Data'!$AA$4:$AB$7,2,FALSE)=0,"Spatial Data Missing ⚠",VLOOKUP(AI232,'G-7 Rivers Data'!$AA$4:$AB$7,2,FALSE)))</f>
        <v/>
      </c>
      <c r="AK232" s="155"/>
      <c r="AL232" s="499" t="str">
        <f>IF(AK232="","",IF(VLOOKUP(AK232,'G-7 Rivers Data'!$AD$4:$AE$8,2,FALSE)=0,"Spatial Data Missing ⚠",VLOOKUP(AK232,'G-7 Rivers Data'!$AD$4:$AE$8,2,FALSE)))</f>
        <v/>
      </c>
      <c r="AM232" s="545" t="str">
        <f t="shared" si="31"/>
        <v/>
      </c>
      <c r="AN232" s="149"/>
      <c r="AO232" s="150"/>
      <c r="AV232" s="31" t="str">
        <f>IFERROR(INDEX('G-7 Rivers Data'!$AZ$3:$AZ$7,MATCH(N232,'G-7 Rivers Data'!$AY$3:$AY$7,0)),"")</f>
        <v/>
      </c>
    </row>
    <row r="233" spans="2:48" ht="13.8" x14ac:dyDescent="0.25">
      <c r="B233" s="531" t="str">
        <f>'C-1 Site River Baseline'!AN231</f>
        <v/>
      </c>
      <c r="C233" s="520" t="str">
        <f>IF(B233="","",VLOOKUP($B233,'C-1 Site River Baseline'!$C$9:$R$257,2,FALSE))</f>
        <v/>
      </c>
      <c r="D233" s="520" t="str">
        <f>IF(C233="","",VLOOKUP($B233,'C-1 Site River Baseline'!$C$9:$R$257,3,FALSE))</f>
        <v/>
      </c>
      <c r="E233" s="520" t="str">
        <f>IF(D233="","",VLOOKUP($B233,'C-1 Site River Baseline'!$C$9:$R$257,4,FALSE))</f>
        <v/>
      </c>
      <c r="F233" s="520" t="str">
        <f>IF(E233="","",VLOOKUP($B233,'C-1 Site River Baseline'!$C$9:$R$257,5,FALSE))</f>
        <v/>
      </c>
      <c r="G233" s="520" t="str">
        <f>IF(F233="","",VLOOKUP($B233,'C-1 Site River Baseline'!$C$9:$R$257,6,FALSE))</f>
        <v/>
      </c>
      <c r="H233" s="520" t="str">
        <f>IF(G233="","",VLOOKUP($B233,'C-1 Site River Baseline'!$C$9:$R$257,7,FALSE))</f>
        <v/>
      </c>
      <c r="I233" s="520" t="str">
        <f>IF(H233="","",VLOOKUP($B233,'C-1 Site River Baseline'!$C$9:$R$257,8,FALSE))</f>
        <v/>
      </c>
      <c r="J233" s="520" t="str">
        <f>IF(I233="","",VLOOKUP($B233,'C-1 Site River Baseline'!$C$9:$R$257,9,FALSE))</f>
        <v/>
      </c>
      <c r="K233" s="520" t="str">
        <f>IF(J233="","",VLOOKUP($B233,'C-1 Site River Baseline'!$C$9:$R$257,10,FALSE))</f>
        <v/>
      </c>
      <c r="L233" s="520" t="str">
        <f>IF(B233="","",VLOOKUP($B233,'C-1 Site River Baseline'!$C$9:$R$257,15,FALSE))</f>
        <v/>
      </c>
      <c r="M233" s="524" t="str">
        <f>IF(L233="","",VLOOKUP($B233,'C-1 Site River Baseline'!$C$9:$R$257,16,FALSE))</f>
        <v/>
      </c>
      <c r="N233" s="418" t="str">
        <f t="shared" si="25"/>
        <v/>
      </c>
      <c r="O233" s="498" t="str">
        <f t="shared" si="26"/>
        <v/>
      </c>
      <c r="P233" s="499" t="str">
        <f>IF(C233="","",IF(AND(LEFT(C233,55)&lt;&gt;LEFT(N233,55),O233="High - High"),"Error - Not like for like ▲",IF(AND(F233=S233,H233&gt;U233),"Error - Can not reduce condition ▲",IF(AND(F233=S233,H233=U233,AJ233='C-1 Site River Baseline'!N231,'C-1 Site River Baseline'!P231=AL233),"Error - No enhancement ▲",IF(AND(C233&lt;&gt;N233,F233&lt;S233),"Lower Distinctiveness Habitat"&amp;" - "&amp;T233,G233&amp;" - "&amp;T233)))))</f>
        <v/>
      </c>
      <c r="Q233" s="567" t="str">
        <f>IF(N233="","",VLOOKUP(B233,'C-1 Site River Baseline'!$C$10:$AA$257,19,FALSE))</f>
        <v/>
      </c>
      <c r="R233" s="498" t="str">
        <f>IF(N233="","",VLOOKUP(N233,'G-7 Rivers Data'!$B$2:$G$8,2,FALSE))</f>
        <v/>
      </c>
      <c r="S233" s="499" t="str">
        <f>IFERROR(VLOOKUP(R233,'G-7 Rivers Data'!$C$4:$D$8,2,FALSE),"")</f>
        <v/>
      </c>
      <c r="T233" s="145"/>
      <c r="U233" s="499" t="str">
        <f>IFERROR(INDEX('G-7 Rivers Data'!$H$4:$L$8,MATCH(N233,'G-7 Rivers Data'!$B$4:$B$8,0),MATCH(T233,'G-7 Rivers Data'!$H$3:$L$3,0)),"")</f>
        <v/>
      </c>
      <c r="V233" s="154"/>
      <c r="W233" s="507" t="str">
        <f>IF(V233="","",IF(VLOOKUP(V233,'G-7 Rivers Data'!$AG$4:$AI$9,2,FALSE)=0,"Spatial Data Missing ⚠",VLOOKUP(V233,'G-7 Rivers Data'!$AG$4:$AI$9,2,FALSE)))</f>
        <v/>
      </c>
      <c r="X233" s="499" t="str">
        <f>IF(V233="","",IF(VLOOKUP(V233,'G-7 Rivers Data'!$AG$4:$AI$9,3,FALSE)=0,"Spatial Data Missing ⚠",VLOOKUP(V233,'G-7 Rivers Data'!$AG$4:$AI$9,3,FALSE)))</f>
        <v/>
      </c>
      <c r="Y233" s="498" t="str">
        <f>IFERROR(IF(OR(LEFT(P233,5)="Error ▲",LEFT(O233,5)="Error ▲"),"Check Data ⚠",IF(F233&lt;S233,'G-7 Rivers Data'!$R$3,INDEX('G-7 Rivers Data'!$U$5:$Y$9,MATCH(G233,'G-7 Rivers Data'!$T$5:$T$9,0),MATCH(T233,'G-7 Rivers Data'!$U$4:$Y$4,0)))),"")</f>
        <v/>
      </c>
      <c r="Z233" s="195"/>
      <c r="AA233" s="195"/>
      <c r="AB233" s="507" t="str">
        <f t="shared" si="27"/>
        <v/>
      </c>
      <c r="AC233" s="521" t="str">
        <f t="shared" si="28"/>
        <v/>
      </c>
      <c r="AD233" s="564" t="str">
        <f>IFERROR(IF(AC233="Check Data ⚠","Check Data ⚠",VLOOKUP(AC233,'G-4 Temporal multipliers'!$A$4:$C$37,3,FALSE)),"")</f>
        <v/>
      </c>
      <c r="AE233" s="498" t="str">
        <f>IF(N233="","",VLOOKUP(N233,'G-7 Rivers Data'!$B$4:$G$8,5,FALSE))</f>
        <v/>
      </c>
      <c r="AF233" s="507" t="str">
        <f t="shared" si="29"/>
        <v/>
      </c>
      <c r="AG233" s="540" t="str">
        <f t="shared" si="30"/>
        <v/>
      </c>
      <c r="AH233" s="499" t="str">
        <f t="shared" si="24"/>
        <v/>
      </c>
      <c r="AI233" s="145"/>
      <c r="AJ233" s="499" t="str">
        <f>IF(AI233="","",IF(VLOOKUP(AI233,'G-7 Rivers Data'!$AA$4:$AB$7,2,FALSE)=0,"Spatial Data Missing ⚠",VLOOKUP(AI233,'G-7 Rivers Data'!$AA$4:$AB$7,2,FALSE)))</f>
        <v/>
      </c>
      <c r="AK233" s="155"/>
      <c r="AL233" s="499" t="str">
        <f>IF(AK233="","",IF(VLOOKUP(AK233,'G-7 Rivers Data'!$AD$4:$AE$8,2,FALSE)=0,"Spatial Data Missing ⚠",VLOOKUP(AK233,'G-7 Rivers Data'!$AD$4:$AE$8,2,FALSE)))</f>
        <v/>
      </c>
      <c r="AM233" s="545" t="str">
        <f t="shared" si="31"/>
        <v/>
      </c>
      <c r="AN233" s="149"/>
      <c r="AO233" s="150"/>
      <c r="AV233" s="31" t="str">
        <f>IFERROR(INDEX('G-7 Rivers Data'!$AZ$3:$AZ$7,MATCH(N233,'G-7 Rivers Data'!$AY$3:$AY$7,0)),"")</f>
        <v/>
      </c>
    </row>
    <row r="234" spans="2:48" ht="13.8" x14ac:dyDescent="0.25">
      <c r="B234" s="531" t="str">
        <f>'C-1 Site River Baseline'!AN232</f>
        <v/>
      </c>
      <c r="C234" s="520" t="str">
        <f>IF(B234="","",VLOOKUP($B234,'C-1 Site River Baseline'!$C$9:$R$257,2,FALSE))</f>
        <v/>
      </c>
      <c r="D234" s="520" t="str">
        <f>IF(C234="","",VLOOKUP($B234,'C-1 Site River Baseline'!$C$9:$R$257,3,FALSE))</f>
        <v/>
      </c>
      <c r="E234" s="520" t="str">
        <f>IF(D234="","",VLOOKUP($B234,'C-1 Site River Baseline'!$C$9:$R$257,4,FALSE))</f>
        <v/>
      </c>
      <c r="F234" s="520" t="str">
        <f>IF(E234="","",VLOOKUP($B234,'C-1 Site River Baseline'!$C$9:$R$257,5,FALSE))</f>
        <v/>
      </c>
      <c r="G234" s="520" t="str">
        <f>IF(F234="","",VLOOKUP($B234,'C-1 Site River Baseline'!$C$9:$R$257,6,FALSE))</f>
        <v/>
      </c>
      <c r="H234" s="520" t="str">
        <f>IF(G234="","",VLOOKUP($B234,'C-1 Site River Baseline'!$C$9:$R$257,7,FALSE))</f>
        <v/>
      </c>
      <c r="I234" s="520" t="str">
        <f>IF(H234="","",VLOOKUP($B234,'C-1 Site River Baseline'!$C$9:$R$257,8,FALSE))</f>
        <v/>
      </c>
      <c r="J234" s="520" t="str">
        <f>IF(I234="","",VLOOKUP($B234,'C-1 Site River Baseline'!$C$9:$R$257,9,FALSE))</f>
        <v/>
      </c>
      <c r="K234" s="520" t="str">
        <f>IF(J234="","",VLOOKUP($B234,'C-1 Site River Baseline'!$C$9:$R$257,10,FALSE))</f>
        <v/>
      </c>
      <c r="L234" s="520" t="str">
        <f>IF(B234="","",VLOOKUP($B234,'C-1 Site River Baseline'!$C$9:$R$257,15,FALSE))</f>
        <v/>
      </c>
      <c r="M234" s="524" t="str">
        <f>IF(L234="","",VLOOKUP($B234,'C-1 Site River Baseline'!$C$9:$R$257,16,FALSE))</f>
        <v/>
      </c>
      <c r="N234" s="418" t="str">
        <f t="shared" si="25"/>
        <v/>
      </c>
      <c r="O234" s="498" t="str">
        <f t="shared" si="26"/>
        <v/>
      </c>
      <c r="P234" s="499" t="str">
        <f>IF(C234="","",IF(AND(LEFT(C234,55)&lt;&gt;LEFT(N234,55),O234="High - High"),"Error - Not like for like ▲",IF(AND(F234=S234,H234&gt;U234),"Error - Can not reduce condition ▲",IF(AND(F234=S234,H234=U234,AJ234='C-1 Site River Baseline'!N232,'C-1 Site River Baseline'!P232=AL234),"Error - No enhancement ▲",IF(AND(C234&lt;&gt;N234,F234&lt;S234),"Lower Distinctiveness Habitat"&amp;" - "&amp;T234,G234&amp;" - "&amp;T234)))))</f>
        <v/>
      </c>
      <c r="Q234" s="567" t="str">
        <f>IF(N234="","",VLOOKUP(B234,'C-1 Site River Baseline'!$C$10:$AA$257,19,FALSE))</f>
        <v/>
      </c>
      <c r="R234" s="498" t="str">
        <f>IF(N234="","",VLOOKUP(N234,'G-7 Rivers Data'!$B$2:$G$8,2,FALSE))</f>
        <v/>
      </c>
      <c r="S234" s="499" t="str">
        <f>IFERROR(VLOOKUP(R234,'G-7 Rivers Data'!$C$4:$D$8,2,FALSE),"")</f>
        <v/>
      </c>
      <c r="T234" s="145"/>
      <c r="U234" s="499" t="str">
        <f>IFERROR(INDEX('G-7 Rivers Data'!$H$4:$L$8,MATCH(N234,'G-7 Rivers Data'!$B$4:$B$8,0),MATCH(T234,'G-7 Rivers Data'!$H$3:$L$3,0)),"")</f>
        <v/>
      </c>
      <c r="V234" s="154"/>
      <c r="W234" s="507" t="str">
        <f>IF(V234="","",IF(VLOOKUP(V234,'G-7 Rivers Data'!$AG$4:$AI$9,2,FALSE)=0,"Spatial Data Missing ⚠",VLOOKUP(V234,'G-7 Rivers Data'!$AG$4:$AI$9,2,FALSE)))</f>
        <v/>
      </c>
      <c r="X234" s="499" t="str">
        <f>IF(V234="","",IF(VLOOKUP(V234,'G-7 Rivers Data'!$AG$4:$AI$9,3,FALSE)=0,"Spatial Data Missing ⚠",VLOOKUP(V234,'G-7 Rivers Data'!$AG$4:$AI$9,3,FALSE)))</f>
        <v/>
      </c>
      <c r="Y234" s="498" t="str">
        <f>IFERROR(IF(OR(LEFT(P234,5)="Error ▲",LEFT(O234,5)="Error ▲"),"Check Data ⚠",IF(F234&lt;S234,'G-7 Rivers Data'!$R$3,INDEX('G-7 Rivers Data'!$U$5:$Y$9,MATCH(G234,'G-7 Rivers Data'!$T$5:$T$9,0),MATCH(T234,'G-7 Rivers Data'!$U$4:$Y$4,0)))),"")</f>
        <v/>
      </c>
      <c r="Z234" s="195"/>
      <c r="AA234" s="195"/>
      <c r="AB234" s="507" t="str">
        <f t="shared" si="27"/>
        <v/>
      </c>
      <c r="AC234" s="521" t="str">
        <f t="shared" si="28"/>
        <v/>
      </c>
      <c r="AD234" s="564" t="str">
        <f>IFERROR(IF(AC234="Check Data ⚠","Check Data ⚠",VLOOKUP(AC234,'G-4 Temporal multipliers'!$A$4:$C$37,3,FALSE)),"")</f>
        <v/>
      </c>
      <c r="AE234" s="498" t="str">
        <f>IF(N234="","",VLOOKUP(N234,'G-7 Rivers Data'!$B$4:$G$8,5,FALSE))</f>
        <v/>
      </c>
      <c r="AF234" s="507" t="str">
        <f t="shared" si="29"/>
        <v/>
      </c>
      <c r="AG234" s="540" t="str">
        <f t="shared" si="30"/>
        <v/>
      </c>
      <c r="AH234" s="499" t="str">
        <f t="shared" si="24"/>
        <v/>
      </c>
      <c r="AI234" s="145"/>
      <c r="AJ234" s="499" t="str">
        <f>IF(AI234="","",IF(VLOOKUP(AI234,'G-7 Rivers Data'!$AA$4:$AB$7,2,FALSE)=0,"Spatial Data Missing ⚠",VLOOKUP(AI234,'G-7 Rivers Data'!$AA$4:$AB$7,2,FALSE)))</f>
        <v/>
      </c>
      <c r="AK234" s="155"/>
      <c r="AL234" s="499" t="str">
        <f>IF(AK234="","",IF(VLOOKUP(AK234,'G-7 Rivers Data'!$AD$4:$AE$8,2,FALSE)=0,"Spatial Data Missing ⚠",VLOOKUP(AK234,'G-7 Rivers Data'!$AD$4:$AE$8,2,FALSE)))</f>
        <v/>
      </c>
      <c r="AM234" s="545" t="str">
        <f t="shared" si="31"/>
        <v/>
      </c>
      <c r="AN234" s="149"/>
      <c r="AO234" s="150"/>
      <c r="AV234" s="31" t="str">
        <f>IFERROR(INDEX('G-7 Rivers Data'!$AZ$3:$AZ$7,MATCH(N234,'G-7 Rivers Data'!$AY$3:$AY$7,0)),"")</f>
        <v/>
      </c>
    </row>
    <row r="235" spans="2:48" ht="13.8" x14ac:dyDescent="0.25">
      <c r="B235" s="531" t="str">
        <f>'C-1 Site River Baseline'!AN233</f>
        <v/>
      </c>
      <c r="C235" s="520" t="str">
        <f>IF(B235="","",VLOOKUP($B235,'C-1 Site River Baseline'!$C$9:$R$257,2,FALSE))</f>
        <v/>
      </c>
      <c r="D235" s="520" t="str">
        <f>IF(C235="","",VLOOKUP($B235,'C-1 Site River Baseline'!$C$9:$R$257,3,FALSE))</f>
        <v/>
      </c>
      <c r="E235" s="520" t="str">
        <f>IF(D235="","",VLOOKUP($B235,'C-1 Site River Baseline'!$C$9:$R$257,4,FALSE))</f>
        <v/>
      </c>
      <c r="F235" s="520" t="str">
        <f>IF(E235="","",VLOOKUP($B235,'C-1 Site River Baseline'!$C$9:$R$257,5,FALSE))</f>
        <v/>
      </c>
      <c r="G235" s="520" t="str">
        <f>IF(F235="","",VLOOKUP($B235,'C-1 Site River Baseline'!$C$9:$R$257,6,FALSE))</f>
        <v/>
      </c>
      <c r="H235" s="520" t="str">
        <f>IF(G235="","",VLOOKUP($B235,'C-1 Site River Baseline'!$C$9:$R$257,7,FALSE))</f>
        <v/>
      </c>
      <c r="I235" s="520" t="str">
        <f>IF(H235="","",VLOOKUP($B235,'C-1 Site River Baseline'!$C$9:$R$257,8,FALSE))</f>
        <v/>
      </c>
      <c r="J235" s="520" t="str">
        <f>IF(I235="","",VLOOKUP($B235,'C-1 Site River Baseline'!$C$9:$R$257,9,FALSE))</f>
        <v/>
      </c>
      <c r="K235" s="520" t="str">
        <f>IF(J235="","",VLOOKUP($B235,'C-1 Site River Baseline'!$C$9:$R$257,10,FALSE))</f>
        <v/>
      </c>
      <c r="L235" s="520" t="str">
        <f>IF(B235="","",VLOOKUP($B235,'C-1 Site River Baseline'!$C$9:$R$257,15,FALSE))</f>
        <v/>
      </c>
      <c r="M235" s="524" t="str">
        <f>IF(L235="","",VLOOKUP($B235,'C-1 Site River Baseline'!$C$9:$R$257,16,FALSE))</f>
        <v/>
      </c>
      <c r="N235" s="418" t="str">
        <f t="shared" si="25"/>
        <v/>
      </c>
      <c r="O235" s="498" t="str">
        <f t="shared" si="26"/>
        <v/>
      </c>
      <c r="P235" s="499" t="str">
        <f>IF(C235="","",IF(AND(LEFT(C235,55)&lt;&gt;LEFT(N235,55),O235="High - High"),"Error - Not like for like ▲",IF(AND(F235=S235,H235&gt;U235),"Error - Can not reduce condition ▲",IF(AND(F235=S235,H235=U235,AJ235='C-1 Site River Baseline'!N233,'C-1 Site River Baseline'!P233=AL235),"Error - No enhancement ▲",IF(AND(C235&lt;&gt;N235,F235&lt;S235),"Lower Distinctiveness Habitat"&amp;" - "&amp;T235,G235&amp;" - "&amp;T235)))))</f>
        <v/>
      </c>
      <c r="Q235" s="567" t="str">
        <f>IF(N235="","",VLOOKUP(B235,'C-1 Site River Baseline'!$C$10:$AA$257,19,FALSE))</f>
        <v/>
      </c>
      <c r="R235" s="498" t="str">
        <f>IF(N235="","",VLOOKUP(N235,'G-7 Rivers Data'!$B$2:$G$8,2,FALSE))</f>
        <v/>
      </c>
      <c r="S235" s="499" t="str">
        <f>IFERROR(VLOOKUP(R235,'G-7 Rivers Data'!$C$4:$D$8,2,FALSE),"")</f>
        <v/>
      </c>
      <c r="T235" s="145"/>
      <c r="U235" s="499" t="str">
        <f>IFERROR(INDEX('G-7 Rivers Data'!$H$4:$L$8,MATCH(N235,'G-7 Rivers Data'!$B$4:$B$8,0),MATCH(T235,'G-7 Rivers Data'!$H$3:$L$3,0)),"")</f>
        <v/>
      </c>
      <c r="V235" s="154"/>
      <c r="W235" s="507" t="str">
        <f>IF(V235="","",IF(VLOOKUP(V235,'G-7 Rivers Data'!$AG$4:$AI$9,2,FALSE)=0,"Spatial Data Missing ⚠",VLOOKUP(V235,'G-7 Rivers Data'!$AG$4:$AI$9,2,FALSE)))</f>
        <v/>
      </c>
      <c r="X235" s="499" t="str">
        <f>IF(V235="","",IF(VLOOKUP(V235,'G-7 Rivers Data'!$AG$4:$AI$9,3,FALSE)=0,"Spatial Data Missing ⚠",VLOOKUP(V235,'G-7 Rivers Data'!$AG$4:$AI$9,3,FALSE)))</f>
        <v/>
      </c>
      <c r="Y235" s="498" t="str">
        <f>IFERROR(IF(OR(LEFT(P235,5)="Error ▲",LEFT(O235,5)="Error ▲"),"Check Data ⚠",IF(F235&lt;S235,'G-7 Rivers Data'!$R$3,INDEX('G-7 Rivers Data'!$U$5:$Y$9,MATCH(G235,'G-7 Rivers Data'!$T$5:$T$9,0),MATCH(T235,'G-7 Rivers Data'!$U$4:$Y$4,0)))),"")</f>
        <v/>
      </c>
      <c r="Z235" s="195"/>
      <c r="AA235" s="195"/>
      <c r="AB235" s="507" t="str">
        <f t="shared" si="27"/>
        <v/>
      </c>
      <c r="AC235" s="521" t="str">
        <f t="shared" si="28"/>
        <v/>
      </c>
      <c r="AD235" s="564" t="str">
        <f>IFERROR(IF(AC235="Check Data ⚠","Check Data ⚠",VLOOKUP(AC235,'G-4 Temporal multipliers'!$A$4:$C$37,3,FALSE)),"")</f>
        <v/>
      </c>
      <c r="AE235" s="498" t="str">
        <f>IF(N235="","",VLOOKUP(N235,'G-7 Rivers Data'!$B$4:$G$8,5,FALSE))</f>
        <v/>
      </c>
      <c r="AF235" s="507" t="str">
        <f t="shared" si="29"/>
        <v/>
      </c>
      <c r="AG235" s="540" t="str">
        <f t="shared" si="30"/>
        <v/>
      </c>
      <c r="AH235" s="499" t="str">
        <f t="shared" si="24"/>
        <v/>
      </c>
      <c r="AI235" s="145"/>
      <c r="AJ235" s="499" t="str">
        <f>IF(AI235="","",IF(VLOOKUP(AI235,'G-7 Rivers Data'!$AA$4:$AB$7,2,FALSE)=0,"Spatial Data Missing ⚠",VLOOKUP(AI235,'G-7 Rivers Data'!$AA$4:$AB$7,2,FALSE)))</f>
        <v/>
      </c>
      <c r="AK235" s="155"/>
      <c r="AL235" s="499" t="str">
        <f>IF(AK235="","",IF(VLOOKUP(AK235,'G-7 Rivers Data'!$AD$4:$AE$8,2,FALSE)=0,"Spatial Data Missing ⚠",VLOOKUP(AK235,'G-7 Rivers Data'!$AD$4:$AE$8,2,FALSE)))</f>
        <v/>
      </c>
      <c r="AM235" s="545" t="str">
        <f t="shared" si="31"/>
        <v/>
      </c>
      <c r="AN235" s="149"/>
      <c r="AO235" s="150"/>
      <c r="AV235" s="31" t="str">
        <f>IFERROR(INDEX('G-7 Rivers Data'!$AZ$3:$AZ$7,MATCH(N235,'G-7 Rivers Data'!$AY$3:$AY$7,0)),"")</f>
        <v/>
      </c>
    </row>
    <row r="236" spans="2:48" ht="13.8" x14ac:dyDescent="0.25">
      <c r="B236" s="531" t="str">
        <f>'C-1 Site River Baseline'!AN234</f>
        <v/>
      </c>
      <c r="C236" s="520" t="str">
        <f>IF(B236="","",VLOOKUP($B236,'C-1 Site River Baseline'!$C$9:$R$257,2,FALSE))</f>
        <v/>
      </c>
      <c r="D236" s="520" t="str">
        <f>IF(C236="","",VLOOKUP($B236,'C-1 Site River Baseline'!$C$9:$R$257,3,FALSE))</f>
        <v/>
      </c>
      <c r="E236" s="520" t="str">
        <f>IF(D236="","",VLOOKUP($B236,'C-1 Site River Baseline'!$C$9:$R$257,4,FALSE))</f>
        <v/>
      </c>
      <c r="F236" s="520" t="str">
        <f>IF(E236="","",VLOOKUP($B236,'C-1 Site River Baseline'!$C$9:$R$257,5,FALSE))</f>
        <v/>
      </c>
      <c r="G236" s="520" t="str">
        <f>IF(F236="","",VLOOKUP($B236,'C-1 Site River Baseline'!$C$9:$R$257,6,FALSE))</f>
        <v/>
      </c>
      <c r="H236" s="520" t="str">
        <f>IF(G236="","",VLOOKUP($B236,'C-1 Site River Baseline'!$C$9:$R$257,7,FALSE))</f>
        <v/>
      </c>
      <c r="I236" s="520" t="str">
        <f>IF(H236="","",VLOOKUP($B236,'C-1 Site River Baseline'!$C$9:$R$257,8,FALSE))</f>
        <v/>
      </c>
      <c r="J236" s="520" t="str">
        <f>IF(I236="","",VLOOKUP($B236,'C-1 Site River Baseline'!$C$9:$R$257,9,FALSE))</f>
        <v/>
      </c>
      <c r="K236" s="520" t="str">
        <f>IF(J236="","",VLOOKUP($B236,'C-1 Site River Baseline'!$C$9:$R$257,10,FALSE))</f>
        <v/>
      </c>
      <c r="L236" s="520" t="str">
        <f>IF(B236="","",VLOOKUP($B236,'C-1 Site River Baseline'!$C$9:$R$257,15,FALSE))</f>
        <v/>
      </c>
      <c r="M236" s="524" t="str">
        <f>IF(L236="","",VLOOKUP($B236,'C-1 Site River Baseline'!$C$9:$R$257,16,FALSE))</f>
        <v/>
      </c>
      <c r="N236" s="418" t="str">
        <f t="shared" si="25"/>
        <v/>
      </c>
      <c r="O236" s="498" t="str">
        <f t="shared" si="26"/>
        <v/>
      </c>
      <c r="P236" s="499" t="str">
        <f>IF(C236="","",IF(AND(LEFT(C236,55)&lt;&gt;LEFT(N236,55),O236="High - High"),"Error - Not like for like ▲",IF(AND(F236=S236,H236&gt;U236),"Error - Can not reduce condition ▲",IF(AND(F236=S236,H236=U236,AJ236='C-1 Site River Baseline'!N234,'C-1 Site River Baseline'!P234=AL236),"Error - No enhancement ▲",IF(AND(C236&lt;&gt;N236,F236&lt;S236),"Lower Distinctiveness Habitat"&amp;" - "&amp;T236,G236&amp;" - "&amp;T236)))))</f>
        <v/>
      </c>
      <c r="Q236" s="567" t="str">
        <f>IF(N236="","",VLOOKUP(B236,'C-1 Site River Baseline'!$C$10:$AA$257,19,FALSE))</f>
        <v/>
      </c>
      <c r="R236" s="498" t="str">
        <f>IF(N236="","",VLOOKUP(N236,'G-7 Rivers Data'!$B$2:$G$8,2,FALSE))</f>
        <v/>
      </c>
      <c r="S236" s="499" t="str">
        <f>IFERROR(VLOOKUP(R236,'G-7 Rivers Data'!$C$4:$D$8,2,FALSE),"")</f>
        <v/>
      </c>
      <c r="T236" s="145"/>
      <c r="U236" s="499" t="str">
        <f>IFERROR(INDEX('G-7 Rivers Data'!$H$4:$L$8,MATCH(N236,'G-7 Rivers Data'!$B$4:$B$8,0),MATCH(T236,'G-7 Rivers Data'!$H$3:$L$3,0)),"")</f>
        <v/>
      </c>
      <c r="V236" s="154"/>
      <c r="W236" s="507" t="str">
        <f>IF(V236="","",IF(VLOOKUP(V236,'G-7 Rivers Data'!$AG$4:$AI$9,2,FALSE)=0,"Spatial Data Missing ⚠",VLOOKUP(V236,'G-7 Rivers Data'!$AG$4:$AI$9,2,FALSE)))</f>
        <v/>
      </c>
      <c r="X236" s="499" t="str">
        <f>IF(V236="","",IF(VLOOKUP(V236,'G-7 Rivers Data'!$AG$4:$AI$9,3,FALSE)=0,"Spatial Data Missing ⚠",VLOOKUP(V236,'G-7 Rivers Data'!$AG$4:$AI$9,3,FALSE)))</f>
        <v/>
      </c>
      <c r="Y236" s="498" t="str">
        <f>IFERROR(IF(OR(LEFT(P236,5)="Error ▲",LEFT(O236,5)="Error ▲"),"Check Data ⚠",IF(F236&lt;S236,'G-7 Rivers Data'!$R$3,INDEX('G-7 Rivers Data'!$U$5:$Y$9,MATCH(G236,'G-7 Rivers Data'!$T$5:$T$9,0),MATCH(T236,'G-7 Rivers Data'!$U$4:$Y$4,0)))),"")</f>
        <v/>
      </c>
      <c r="Z236" s="195"/>
      <c r="AA236" s="195"/>
      <c r="AB236" s="507" t="str">
        <f t="shared" si="27"/>
        <v/>
      </c>
      <c r="AC236" s="521" t="str">
        <f t="shared" si="28"/>
        <v/>
      </c>
      <c r="AD236" s="564" t="str">
        <f>IFERROR(IF(AC236="Check Data ⚠","Check Data ⚠",VLOOKUP(AC236,'G-4 Temporal multipliers'!$A$4:$C$37,3,FALSE)),"")</f>
        <v/>
      </c>
      <c r="AE236" s="498" t="str">
        <f>IF(N236="","",VLOOKUP(N236,'G-7 Rivers Data'!$B$4:$G$8,5,FALSE))</f>
        <v/>
      </c>
      <c r="AF236" s="507" t="str">
        <f t="shared" si="29"/>
        <v/>
      </c>
      <c r="AG236" s="540" t="str">
        <f t="shared" si="30"/>
        <v/>
      </c>
      <c r="AH236" s="499" t="str">
        <f t="shared" si="24"/>
        <v/>
      </c>
      <c r="AI236" s="145"/>
      <c r="AJ236" s="499" t="str">
        <f>IF(AI236="","",IF(VLOOKUP(AI236,'G-7 Rivers Data'!$AA$4:$AB$7,2,FALSE)=0,"Spatial Data Missing ⚠",VLOOKUP(AI236,'G-7 Rivers Data'!$AA$4:$AB$7,2,FALSE)))</f>
        <v/>
      </c>
      <c r="AK236" s="155"/>
      <c r="AL236" s="499" t="str">
        <f>IF(AK236="","",IF(VLOOKUP(AK236,'G-7 Rivers Data'!$AD$4:$AE$8,2,FALSE)=0,"Spatial Data Missing ⚠",VLOOKUP(AK236,'G-7 Rivers Data'!$AD$4:$AE$8,2,FALSE)))</f>
        <v/>
      </c>
      <c r="AM236" s="545" t="str">
        <f t="shared" si="31"/>
        <v/>
      </c>
      <c r="AN236" s="149"/>
      <c r="AO236" s="150"/>
      <c r="AV236" s="31" t="str">
        <f>IFERROR(INDEX('G-7 Rivers Data'!$AZ$3:$AZ$7,MATCH(N236,'G-7 Rivers Data'!$AY$3:$AY$7,0)),"")</f>
        <v/>
      </c>
    </row>
    <row r="237" spans="2:48" ht="13.8" x14ac:dyDescent="0.25">
      <c r="B237" s="531" t="str">
        <f>'C-1 Site River Baseline'!AN235</f>
        <v/>
      </c>
      <c r="C237" s="520" t="str">
        <f>IF(B237="","",VLOOKUP($B237,'C-1 Site River Baseline'!$C$9:$R$257,2,FALSE))</f>
        <v/>
      </c>
      <c r="D237" s="520" t="str">
        <f>IF(C237="","",VLOOKUP($B237,'C-1 Site River Baseline'!$C$9:$R$257,3,FALSE))</f>
        <v/>
      </c>
      <c r="E237" s="520" t="str">
        <f>IF(D237="","",VLOOKUP($B237,'C-1 Site River Baseline'!$C$9:$R$257,4,FALSE))</f>
        <v/>
      </c>
      <c r="F237" s="520" t="str">
        <f>IF(E237="","",VLOOKUP($B237,'C-1 Site River Baseline'!$C$9:$R$257,5,FALSE))</f>
        <v/>
      </c>
      <c r="G237" s="520" t="str">
        <f>IF(F237="","",VLOOKUP($B237,'C-1 Site River Baseline'!$C$9:$R$257,6,FALSE))</f>
        <v/>
      </c>
      <c r="H237" s="520" t="str">
        <f>IF(G237="","",VLOOKUP($B237,'C-1 Site River Baseline'!$C$9:$R$257,7,FALSE))</f>
        <v/>
      </c>
      <c r="I237" s="520" t="str">
        <f>IF(H237="","",VLOOKUP($B237,'C-1 Site River Baseline'!$C$9:$R$257,8,FALSE))</f>
        <v/>
      </c>
      <c r="J237" s="520" t="str">
        <f>IF(I237="","",VLOOKUP($B237,'C-1 Site River Baseline'!$C$9:$R$257,9,FALSE))</f>
        <v/>
      </c>
      <c r="K237" s="520" t="str">
        <f>IF(J237="","",VLOOKUP($B237,'C-1 Site River Baseline'!$C$9:$R$257,10,FALSE))</f>
        <v/>
      </c>
      <c r="L237" s="520" t="str">
        <f>IF(B237="","",VLOOKUP($B237,'C-1 Site River Baseline'!$C$9:$R$257,15,FALSE))</f>
        <v/>
      </c>
      <c r="M237" s="524" t="str">
        <f>IF(L237="","",VLOOKUP($B237,'C-1 Site River Baseline'!$C$9:$R$257,16,FALSE))</f>
        <v/>
      </c>
      <c r="N237" s="418" t="str">
        <f t="shared" si="25"/>
        <v/>
      </c>
      <c r="O237" s="498" t="str">
        <f t="shared" si="26"/>
        <v/>
      </c>
      <c r="P237" s="499" t="str">
        <f>IF(C237="","",IF(AND(LEFT(C237,55)&lt;&gt;LEFT(N237,55),O237="High - High"),"Error - Not like for like ▲",IF(AND(F237=S237,H237&gt;U237),"Error - Can not reduce condition ▲",IF(AND(F237=S237,H237=U237,AJ237='C-1 Site River Baseline'!N235,'C-1 Site River Baseline'!P235=AL237),"Error - No enhancement ▲",IF(AND(C237&lt;&gt;N237,F237&lt;S237),"Lower Distinctiveness Habitat"&amp;" - "&amp;T237,G237&amp;" - "&amp;T237)))))</f>
        <v/>
      </c>
      <c r="Q237" s="567" t="str">
        <f>IF(N237="","",VLOOKUP(B237,'C-1 Site River Baseline'!$C$10:$AA$257,19,FALSE))</f>
        <v/>
      </c>
      <c r="R237" s="498" t="str">
        <f>IF(N237="","",VLOOKUP(N237,'G-7 Rivers Data'!$B$2:$G$8,2,FALSE))</f>
        <v/>
      </c>
      <c r="S237" s="499" t="str">
        <f>IFERROR(VLOOKUP(R237,'G-7 Rivers Data'!$C$4:$D$8,2,FALSE),"")</f>
        <v/>
      </c>
      <c r="T237" s="145"/>
      <c r="U237" s="499" t="str">
        <f>IFERROR(INDEX('G-7 Rivers Data'!$H$4:$L$8,MATCH(N237,'G-7 Rivers Data'!$B$4:$B$8,0),MATCH(T237,'G-7 Rivers Data'!$H$3:$L$3,0)),"")</f>
        <v/>
      </c>
      <c r="V237" s="154"/>
      <c r="W237" s="507" t="str">
        <f>IF(V237="","",IF(VLOOKUP(V237,'G-7 Rivers Data'!$AG$4:$AI$9,2,FALSE)=0,"Spatial Data Missing ⚠",VLOOKUP(V237,'G-7 Rivers Data'!$AG$4:$AI$9,2,FALSE)))</f>
        <v/>
      </c>
      <c r="X237" s="499" t="str">
        <f>IF(V237="","",IF(VLOOKUP(V237,'G-7 Rivers Data'!$AG$4:$AI$9,3,FALSE)=0,"Spatial Data Missing ⚠",VLOOKUP(V237,'G-7 Rivers Data'!$AG$4:$AI$9,3,FALSE)))</f>
        <v/>
      </c>
      <c r="Y237" s="498" t="str">
        <f>IFERROR(IF(OR(LEFT(P237,5)="Error ▲",LEFT(O237,5)="Error ▲"),"Check Data ⚠",IF(F237&lt;S237,'G-7 Rivers Data'!$R$3,INDEX('G-7 Rivers Data'!$U$5:$Y$9,MATCH(G237,'G-7 Rivers Data'!$T$5:$T$9,0),MATCH(T237,'G-7 Rivers Data'!$U$4:$Y$4,0)))),"")</f>
        <v/>
      </c>
      <c r="Z237" s="195"/>
      <c r="AA237" s="195"/>
      <c r="AB237" s="507" t="str">
        <f t="shared" si="27"/>
        <v/>
      </c>
      <c r="AC237" s="521" t="str">
        <f t="shared" si="28"/>
        <v/>
      </c>
      <c r="AD237" s="564" t="str">
        <f>IFERROR(IF(AC237="Check Data ⚠","Check Data ⚠",VLOOKUP(AC237,'G-4 Temporal multipliers'!$A$4:$C$37,3,FALSE)),"")</f>
        <v/>
      </c>
      <c r="AE237" s="498" t="str">
        <f>IF(N237="","",VLOOKUP(N237,'G-7 Rivers Data'!$B$4:$G$8,5,FALSE))</f>
        <v/>
      </c>
      <c r="AF237" s="507" t="str">
        <f t="shared" si="29"/>
        <v/>
      </c>
      <c r="AG237" s="540" t="str">
        <f t="shared" si="30"/>
        <v/>
      </c>
      <c r="AH237" s="499" t="str">
        <f t="shared" si="24"/>
        <v/>
      </c>
      <c r="AI237" s="145"/>
      <c r="AJ237" s="499" t="str">
        <f>IF(AI237="","",IF(VLOOKUP(AI237,'G-7 Rivers Data'!$AA$4:$AB$7,2,FALSE)=0,"Spatial Data Missing ⚠",VLOOKUP(AI237,'G-7 Rivers Data'!$AA$4:$AB$7,2,FALSE)))</f>
        <v/>
      </c>
      <c r="AK237" s="155"/>
      <c r="AL237" s="499" t="str">
        <f>IF(AK237="","",IF(VLOOKUP(AK237,'G-7 Rivers Data'!$AD$4:$AE$8,2,FALSE)=0,"Spatial Data Missing ⚠",VLOOKUP(AK237,'G-7 Rivers Data'!$AD$4:$AE$8,2,FALSE)))</f>
        <v/>
      </c>
      <c r="AM237" s="545" t="str">
        <f t="shared" si="31"/>
        <v/>
      </c>
      <c r="AN237" s="149"/>
      <c r="AO237" s="150"/>
      <c r="AV237" s="31" t="str">
        <f>IFERROR(INDEX('G-7 Rivers Data'!$AZ$3:$AZ$7,MATCH(N237,'G-7 Rivers Data'!$AY$3:$AY$7,0)),"")</f>
        <v/>
      </c>
    </row>
    <row r="238" spans="2:48" ht="13.8" x14ac:dyDescent="0.25">
      <c r="B238" s="531" t="str">
        <f>'C-1 Site River Baseline'!AN236</f>
        <v/>
      </c>
      <c r="C238" s="520" t="str">
        <f>IF(B238="","",VLOOKUP($B238,'C-1 Site River Baseline'!$C$9:$R$257,2,FALSE))</f>
        <v/>
      </c>
      <c r="D238" s="520" t="str">
        <f>IF(C238="","",VLOOKUP($B238,'C-1 Site River Baseline'!$C$9:$R$257,3,FALSE))</f>
        <v/>
      </c>
      <c r="E238" s="520" t="str">
        <f>IF(D238="","",VLOOKUP($B238,'C-1 Site River Baseline'!$C$9:$R$257,4,FALSE))</f>
        <v/>
      </c>
      <c r="F238" s="520" t="str">
        <f>IF(E238="","",VLOOKUP($B238,'C-1 Site River Baseline'!$C$9:$R$257,5,FALSE))</f>
        <v/>
      </c>
      <c r="G238" s="520" t="str">
        <f>IF(F238="","",VLOOKUP($B238,'C-1 Site River Baseline'!$C$9:$R$257,6,FALSE))</f>
        <v/>
      </c>
      <c r="H238" s="520" t="str">
        <f>IF(G238="","",VLOOKUP($B238,'C-1 Site River Baseline'!$C$9:$R$257,7,FALSE))</f>
        <v/>
      </c>
      <c r="I238" s="520" t="str">
        <f>IF(H238="","",VLOOKUP($B238,'C-1 Site River Baseline'!$C$9:$R$257,8,FALSE))</f>
        <v/>
      </c>
      <c r="J238" s="520" t="str">
        <f>IF(I238="","",VLOOKUP($B238,'C-1 Site River Baseline'!$C$9:$R$257,9,FALSE))</f>
        <v/>
      </c>
      <c r="K238" s="520" t="str">
        <f>IF(J238="","",VLOOKUP($B238,'C-1 Site River Baseline'!$C$9:$R$257,10,FALSE))</f>
        <v/>
      </c>
      <c r="L238" s="520" t="str">
        <f>IF(B238="","",VLOOKUP($B238,'C-1 Site River Baseline'!$C$9:$R$257,15,FALSE))</f>
        <v/>
      </c>
      <c r="M238" s="524" t="str">
        <f>IF(L238="","",VLOOKUP($B238,'C-1 Site River Baseline'!$C$9:$R$257,16,FALSE))</f>
        <v/>
      </c>
      <c r="N238" s="418"/>
      <c r="O238" s="498" t="str">
        <f t="shared" si="26"/>
        <v/>
      </c>
      <c r="P238" s="499" t="str">
        <f>IF(C238="","",IF(AND(LEFT(C238,55)&lt;&gt;LEFT(N238,55),O238="High - High"),"Error - Not like for like ▲",IF(AND(F238=S238,H238&gt;U238),"Error - Can not reduce condition ▲",IF(AND(F238=S238,H238=U238,AJ238='C-1 Site River Baseline'!N236,'C-1 Site River Baseline'!P236=AL238),"Error - No enhancement ▲",IF(AND(C238&lt;&gt;N238,F238&lt;S238),"Lower Distinctiveness Habitat"&amp;" - "&amp;T238,G238&amp;" - "&amp;T238)))))</f>
        <v/>
      </c>
      <c r="Q238" s="567" t="str">
        <f>IF(N238="","",VLOOKUP(B238,'C-1 Site River Baseline'!$C$10:$AA$257,19,FALSE))</f>
        <v/>
      </c>
      <c r="R238" s="498" t="str">
        <f>IF(N238="","",VLOOKUP(N238,'G-7 Rivers Data'!$B$2:$G$8,2,FALSE))</f>
        <v/>
      </c>
      <c r="S238" s="499" t="str">
        <f>IFERROR(VLOOKUP(R238,'G-7 Rivers Data'!$C$4:$D$8,2,FALSE),"")</f>
        <v/>
      </c>
      <c r="T238" s="145"/>
      <c r="U238" s="499" t="str">
        <f>IFERROR(INDEX('G-7 Rivers Data'!$H$4:$L$8,MATCH(N238,'G-7 Rivers Data'!$B$4:$B$8,0),MATCH(T238,'G-7 Rivers Data'!$H$3:$L$3,0)),"")</f>
        <v/>
      </c>
      <c r="V238" s="154"/>
      <c r="W238" s="507" t="str">
        <f>IF(V238="","",IF(VLOOKUP(V238,'G-7 Rivers Data'!$AG$4:$AI$9,2,FALSE)=0,"Spatial Data Missing ⚠",VLOOKUP(V238,'G-7 Rivers Data'!$AG$4:$AI$9,2,FALSE)))</f>
        <v/>
      </c>
      <c r="X238" s="499" t="str">
        <f>IF(V238="","",IF(VLOOKUP(V238,'G-7 Rivers Data'!$AG$4:$AI$9,3,FALSE)=0,"Spatial Data Missing ⚠",VLOOKUP(V238,'G-7 Rivers Data'!$AG$4:$AI$9,3,FALSE)))</f>
        <v/>
      </c>
      <c r="Y238" s="498" t="str">
        <f>IFERROR(IF(OR(LEFT(P238,5)="Error ▲",LEFT(O238,5)="Error ▲"),"Check Data ⚠",IF(F238&lt;S238,'G-7 Rivers Data'!$R$3,INDEX('G-7 Rivers Data'!$U$5:$Y$9,MATCH(G238,'G-7 Rivers Data'!$T$5:$T$9,0),MATCH(T238,'G-7 Rivers Data'!$U$4:$Y$4,0)))),"")</f>
        <v/>
      </c>
      <c r="Z238" s="195"/>
      <c r="AA238" s="195"/>
      <c r="AB238" s="507" t="str">
        <f t="shared" si="27"/>
        <v/>
      </c>
      <c r="AC238" s="521" t="str">
        <f t="shared" si="28"/>
        <v/>
      </c>
      <c r="AD238" s="564" t="str">
        <f>IFERROR(IF(AC238="Check Data ⚠","Check Data ⚠",VLOOKUP(AC238,'G-4 Temporal multipliers'!$A$4:$C$37,3,FALSE)),"")</f>
        <v/>
      </c>
      <c r="AE238" s="498" t="str">
        <f>IF(N238="","",VLOOKUP(N238,'G-7 Rivers Data'!$B$4:$G$8,5,FALSE))</f>
        <v/>
      </c>
      <c r="AF238" s="507" t="str">
        <f t="shared" si="29"/>
        <v/>
      </c>
      <c r="AG238" s="540" t="str">
        <f t="shared" si="30"/>
        <v/>
      </c>
      <c r="AH238" s="499" t="str">
        <f t="shared" si="24"/>
        <v/>
      </c>
      <c r="AI238" s="145"/>
      <c r="AJ238" s="499" t="str">
        <f>IF(AI238="","",IF(VLOOKUP(AI238,'G-7 Rivers Data'!$AA$4:$AB$7,2,FALSE)=0,"Spatial Data Missing ⚠",VLOOKUP(AI238,'G-7 Rivers Data'!$AA$4:$AB$7,2,FALSE)))</f>
        <v/>
      </c>
      <c r="AK238" s="155"/>
      <c r="AL238" s="499" t="str">
        <f>IF(AK238="","",IF(VLOOKUP(AK238,'G-7 Rivers Data'!$AD$4:$AE$8,2,FALSE)=0,"Spatial Data Missing ⚠",VLOOKUP(AK238,'G-7 Rivers Data'!$AD$4:$AE$8,2,FALSE)))</f>
        <v/>
      </c>
      <c r="AM238" s="545" t="str">
        <f t="shared" si="31"/>
        <v/>
      </c>
      <c r="AN238" s="149"/>
      <c r="AO238" s="150"/>
      <c r="AV238" s="31" t="str">
        <f>IFERROR(INDEX('G-7 Rivers Data'!$AZ$3:$AZ$7,MATCH(N238,'G-7 Rivers Data'!$AY$3:$AY$7,0)),"")</f>
        <v/>
      </c>
    </row>
    <row r="239" spans="2:48" ht="13.8" x14ac:dyDescent="0.25">
      <c r="B239" s="531" t="str">
        <f>'C-1 Site River Baseline'!AN237</f>
        <v/>
      </c>
      <c r="C239" s="520" t="str">
        <f>IF(B239="","",VLOOKUP($B239,'C-1 Site River Baseline'!$C$9:$R$257,2,FALSE))</f>
        <v/>
      </c>
      <c r="D239" s="520" t="str">
        <f>IF(C239="","",VLOOKUP($B239,'C-1 Site River Baseline'!$C$9:$R$257,3,FALSE))</f>
        <v/>
      </c>
      <c r="E239" s="520" t="str">
        <f>IF(D239="","",VLOOKUP($B239,'C-1 Site River Baseline'!$C$9:$R$257,4,FALSE))</f>
        <v/>
      </c>
      <c r="F239" s="520" t="str">
        <f>IF(E239="","",VLOOKUP($B239,'C-1 Site River Baseline'!$C$9:$R$257,5,FALSE))</f>
        <v/>
      </c>
      <c r="G239" s="520" t="str">
        <f>IF(F239="","",VLOOKUP($B239,'C-1 Site River Baseline'!$C$9:$R$257,6,FALSE))</f>
        <v/>
      </c>
      <c r="H239" s="520" t="str">
        <f>IF(G239="","",VLOOKUP($B239,'C-1 Site River Baseline'!$C$9:$R$257,7,FALSE))</f>
        <v/>
      </c>
      <c r="I239" s="520" t="str">
        <f>IF(H239="","",VLOOKUP($B239,'C-1 Site River Baseline'!$C$9:$R$257,8,FALSE))</f>
        <v/>
      </c>
      <c r="J239" s="520" t="str">
        <f>IF(I239="","",VLOOKUP($B239,'C-1 Site River Baseline'!$C$9:$R$257,9,FALSE))</f>
        <v/>
      </c>
      <c r="K239" s="520" t="str">
        <f>IF(J239="","",VLOOKUP($B239,'C-1 Site River Baseline'!$C$9:$R$257,10,FALSE))</f>
        <v/>
      </c>
      <c r="L239" s="520" t="str">
        <f>IF(B239="","",VLOOKUP($B239,'C-1 Site River Baseline'!$C$9:$R$257,15,FALSE))</f>
        <v/>
      </c>
      <c r="M239" s="524" t="str">
        <f>IF(L239="","",VLOOKUP($B239,'C-1 Site River Baseline'!$C$9:$R$257,16,FALSE))</f>
        <v/>
      </c>
      <c r="N239" s="418" t="str">
        <f t="shared" si="25"/>
        <v/>
      </c>
      <c r="O239" s="498" t="str">
        <f t="shared" si="26"/>
        <v/>
      </c>
      <c r="P239" s="499" t="str">
        <f>IF(C239="","",IF(AND(LEFT(C239,55)&lt;&gt;LEFT(N239,55),O239="High - High"),"Error - Not like for like ▲",IF(AND(F239=S239,H239&gt;U239),"Error - Can not reduce condition ▲",IF(AND(F239=S239,H239=U239,AJ239='C-1 Site River Baseline'!N237,'C-1 Site River Baseline'!P237=AL239),"Error - No enhancement ▲",IF(AND(C239&lt;&gt;N239,F239&lt;S239),"Lower Distinctiveness Habitat"&amp;" - "&amp;T239,G239&amp;" - "&amp;T239)))))</f>
        <v/>
      </c>
      <c r="Q239" s="567" t="str">
        <f>IF(N239="","",VLOOKUP(B239,'C-1 Site River Baseline'!$C$10:$AA$257,19,FALSE))</f>
        <v/>
      </c>
      <c r="R239" s="498" t="str">
        <f>IF(N239="","",VLOOKUP(N239,'G-7 Rivers Data'!$B$2:$G$8,2,FALSE))</f>
        <v/>
      </c>
      <c r="S239" s="499" t="str">
        <f>IFERROR(VLOOKUP(R239,'G-7 Rivers Data'!$C$4:$D$8,2,FALSE),"")</f>
        <v/>
      </c>
      <c r="T239" s="145"/>
      <c r="U239" s="499" t="str">
        <f>IFERROR(INDEX('G-7 Rivers Data'!$H$4:$L$8,MATCH(N239,'G-7 Rivers Data'!$B$4:$B$8,0),MATCH(T239,'G-7 Rivers Data'!$H$3:$L$3,0)),"")</f>
        <v/>
      </c>
      <c r="V239" s="154"/>
      <c r="W239" s="507" t="str">
        <f>IF(V239="","",IF(VLOOKUP(V239,'G-7 Rivers Data'!$AG$4:$AI$9,2,FALSE)=0,"Spatial Data Missing ⚠",VLOOKUP(V239,'G-7 Rivers Data'!$AG$4:$AI$9,2,FALSE)))</f>
        <v/>
      </c>
      <c r="X239" s="499" t="str">
        <f>IF(V239="","",IF(VLOOKUP(V239,'G-7 Rivers Data'!$AG$4:$AI$9,3,FALSE)=0,"Spatial Data Missing ⚠",VLOOKUP(V239,'G-7 Rivers Data'!$AG$4:$AI$9,3,FALSE)))</f>
        <v/>
      </c>
      <c r="Y239" s="498" t="str">
        <f>IFERROR(IF(OR(LEFT(P239,5)="Error ▲",LEFT(O239,5)="Error ▲"),"Check Data ⚠",IF(F239&lt;S239,'G-7 Rivers Data'!$R$3,INDEX('G-7 Rivers Data'!$U$5:$Y$9,MATCH(G239,'G-7 Rivers Data'!$T$5:$T$9,0),MATCH(T239,'G-7 Rivers Data'!$U$4:$Y$4,0)))),"")</f>
        <v/>
      </c>
      <c r="Z239" s="195"/>
      <c r="AA239" s="195"/>
      <c r="AB239" s="507" t="str">
        <f t="shared" si="27"/>
        <v/>
      </c>
      <c r="AC239" s="521" t="str">
        <f t="shared" si="28"/>
        <v/>
      </c>
      <c r="AD239" s="564" t="str">
        <f>IFERROR(IF(AC239="Check Data ⚠","Check Data ⚠",VLOOKUP(AC239,'G-4 Temporal multipliers'!$A$4:$C$37,3,FALSE)),"")</f>
        <v/>
      </c>
      <c r="AE239" s="498" t="str">
        <f>IF(N239="","",VLOOKUP(N239,'G-7 Rivers Data'!$B$4:$G$8,5,FALSE))</f>
        <v/>
      </c>
      <c r="AF239" s="507" t="str">
        <f t="shared" si="29"/>
        <v/>
      </c>
      <c r="AG239" s="540" t="str">
        <f t="shared" si="30"/>
        <v/>
      </c>
      <c r="AH239" s="499" t="str">
        <f t="shared" si="24"/>
        <v/>
      </c>
      <c r="AI239" s="145"/>
      <c r="AJ239" s="499" t="str">
        <f>IF(AI239="","",IF(VLOOKUP(AI239,'G-7 Rivers Data'!$AA$4:$AB$7,2,FALSE)=0,"Spatial Data Missing ⚠",VLOOKUP(AI239,'G-7 Rivers Data'!$AA$4:$AB$7,2,FALSE)))</f>
        <v/>
      </c>
      <c r="AK239" s="155"/>
      <c r="AL239" s="499" t="str">
        <f>IF(AK239="","",IF(VLOOKUP(AK239,'G-7 Rivers Data'!$AD$4:$AE$8,2,FALSE)=0,"Spatial Data Missing ⚠",VLOOKUP(AK239,'G-7 Rivers Data'!$AD$4:$AE$8,2,FALSE)))</f>
        <v/>
      </c>
      <c r="AM239" s="545" t="str">
        <f t="shared" si="31"/>
        <v/>
      </c>
      <c r="AN239" s="149"/>
      <c r="AO239" s="150"/>
      <c r="AV239" s="31" t="str">
        <f>IFERROR(INDEX('G-7 Rivers Data'!$AZ$3:$AZ$7,MATCH(N239,'G-7 Rivers Data'!$AY$3:$AY$7,0)),"")</f>
        <v/>
      </c>
    </row>
    <row r="240" spans="2:48" ht="13.8" x14ac:dyDescent="0.25">
      <c r="B240" s="531" t="str">
        <f>'C-1 Site River Baseline'!AN238</f>
        <v/>
      </c>
      <c r="C240" s="520" t="str">
        <f>IF(B240="","",VLOOKUP($B240,'C-1 Site River Baseline'!$C$9:$R$257,2,FALSE))</f>
        <v/>
      </c>
      <c r="D240" s="520" t="str">
        <f>IF(C240="","",VLOOKUP($B240,'C-1 Site River Baseline'!$C$9:$R$257,3,FALSE))</f>
        <v/>
      </c>
      <c r="E240" s="520" t="str">
        <f>IF(D240="","",VLOOKUP($B240,'C-1 Site River Baseline'!$C$9:$R$257,4,FALSE))</f>
        <v/>
      </c>
      <c r="F240" s="520" t="str">
        <f>IF(E240="","",VLOOKUP($B240,'C-1 Site River Baseline'!$C$9:$R$257,5,FALSE))</f>
        <v/>
      </c>
      <c r="G240" s="520" t="str">
        <f>IF(F240="","",VLOOKUP($B240,'C-1 Site River Baseline'!$C$9:$R$257,6,FALSE))</f>
        <v/>
      </c>
      <c r="H240" s="520" t="str">
        <f>IF(G240="","",VLOOKUP($B240,'C-1 Site River Baseline'!$C$9:$R$257,7,FALSE))</f>
        <v/>
      </c>
      <c r="I240" s="520" t="str">
        <f>IF(H240="","",VLOOKUP($B240,'C-1 Site River Baseline'!$C$9:$R$257,8,FALSE))</f>
        <v/>
      </c>
      <c r="J240" s="520" t="str">
        <f>IF(I240="","",VLOOKUP($B240,'C-1 Site River Baseline'!$C$9:$R$257,9,FALSE))</f>
        <v/>
      </c>
      <c r="K240" s="520" t="str">
        <f>IF(J240="","",VLOOKUP($B240,'C-1 Site River Baseline'!$C$9:$R$257,10,FALSE))</f>
        <v/>
      </c>
      <c r="L240" s="520" t="str">
        <f>IF(B240="","",VLOOKUP($B240,'C-1 Site River Baseline'!$C$9:$R$257,15,FALSE))</f>
        <v/>
      </c>
      <c r="M240" s="524" t="str">
        <f>IF(L240="","",VLOOKUP($B240,'C-1 Site River Baseline'!$C$9:$R$257,16,FALSE))</f>
        <v/>
      </c>
      <c r="N240" s="418" t="str">
        <f t="shared" si="25"/>
        <v/>
      </c>
      <c r="O240" s="498" t="str">
        <f t="shared" si="26"/>
        <v/>
      </c>
      <c r="P240" s="499" t="str">
        <f>IF(C240="","",IF(AND(LEFT(C240,55)&lt;&gt;LEFT(N240,55),O240="High - High"),"Error - Not like for like ▲",IF(AND(F240=S240,H240&gt;U240),"Error - Can not reduce condition ▲",IF(AND(F240=S240,H240=U240,AJ240='C-1 Site River Baseline'!N238,'C-1 Site River Baseline'!P238=AL240),"Error - No enhancement ▲",IF(AND(C240&lt;&gt;N240,F240&lt;S240),"Lower Distinctiveness Habitat"&amp;" - "&amp;T240,G240&amp;" - "&amp;T240)))))</f>
        <v/>
      </c>
      <c r="Q240" s="567" t="str">
        <f>IF(N240="","",VLOOKUP(B240,'C-1 Site River Baseline'!$C$10:$AA$257,19,FALSE))</f>
        <v/>
      </c>
      <c r="R240" s="498" t="str">
        <f>IF(N240="","",VLOOKUP(N240,'G-7 Rivers Data'!$B$2:$G$8,2,FALSE))</f>
        <v/>
      </c>
      <c r="S240" s="499" t="str">
        <f>IFERROR(VLOOKUP(R240,'G-7 Rivers Data'!$C$4:$D$8,2,FALSE),"")</f>
        <v/>
      </c>
      <c r="T240" s="145"/>
      <c r="U240" s="499" t="str">
        <f>IFERROR(INDEX('G-7 Rivers Data'!$H$4:$L$8,MATCH(N240,'G-7 Rivers Data'!$B$4:$B$8,0),MATCH(T240,'G-7 Rivers Data'!$H$3:$L$3,0)),"")</f>
        <v/>
      </c>
      <c r="V240" s="154"/>
      <c r="W240" s="507" t="str">
        <f>IF(V240="","",IF(VLOOKUP(V240,'G-7 Rivers Data'!$AG$4:$AI$9,2,FALSE)=0,"Spatial Data Missing ⚠",VLOOKUP(V240,'G-7 Rivers Data'!$AG$4:$AI$9,2,FALSE)))</f>
        <v/>
      </c>
      <c r="X240" s="499" t="str">
        <f>IF(V240="","",IF(VLOOKUP(V240,'G-7 Rivers Data'!$AG$4:$AI$9,3,FALSE)=0,"Spatial Data Missing ⚠",VLOOKUP(V240,'G-7 Rivers Data'!$AG$4:$AI$9,3,FALSE)))</f>
        <v/>
      </c>
      <c r="Y240" s="498" t="str">
        <f>IFERROR(IF(OR(LEFT(P240,5)="Error ▲",LEFT(O240,5)="Error ▲"),"Check Data ⚠",IF(F240&lt;S240,'G-7 Rivers Data'!$R$3,INDEX('G-7 Rivers Data'!$U$5:$Y$9,MATCH(G240,'G-7 Rivers Data'!$T$5:$T$9,0),MATCH(T240,'G-7 Rivers Data'!$U$4:$Y$4,0)))),"")</f>
        <v/>
      </c>
      <c r="Z240" s="195"/>
      <c r="AA240" s="195"/>
      <c r="AB240" s="507" t="str">
        <f t="shared" si="27"/>
        <v/>
      </c>
      <c r="AC240" s="521" t="str">
        <f t="shared" si="28"/>
        <v/>
      </c>
      <c r="AD240" s="564" t="str">
        <f>IFERROR(IF(AC240="Check Data ⚠","Check Data ⚠",VLOOKUP(AC240,'G-4 Temporal multipliers'!$A$4:$C$37,3,FALSE)),"")</f>
        <v/>
      </c>
      <c r="AE240" s="498" t="str">
        <f>IF(N240="","",VLOOKUP(N240,'G-7 Rivers Data'!$B$4:$G$8,5,FALSE))</f>
        <v/>
      </c>
      <c r="AF240" s="507" t="str">
        <f t="shared" si="29"/>
        <v/>
      </c>
      <c r="AG240" s="540" t="str">
        <f t="shared" si="30"/>
        <v/>
      </c>
      <c r="AH240" s="499" t="str">
        <f t="shared" si="24"/>
        <v/>
      </c>
      <c r="AI240" s="145"/>
      <c r="AJ240" s="499" t="str">
        <f>IF(AI240="","",IF(VLOOKUP(AI240,'G-7 Rivers Data'!$AA$4:$AB$7,2,FALSE)=0,"Spatial Data Missing ⚠",VLOOKUP(AI240,'G-7 Rivers Data'!$AA$4:$AB$7,2,FALSE)))</f>
        <v/>
      </c>
      <c r="AK240" s="155"/>
      <c r="AL240" s="499" t="str">
        <f>IF(AK240="","",IF(VLOOKUP(AK240,'G-7 Rivers Data'!$AD$4:$AE$8,2,FALSE)=0,"Spatial Data Missing ⚠",VLOOKUP(AK240,'G-7 Rivers Data'!$AD$4:$AE$8,2,FALSE)))</f>
        <v/>
      </c>
      <c r="AM240" s="545" t="str">
        <f t="shared" si="31"/>
        <v/>
      </c>
      <c r="AN240" s="149"/>
      <c r="AO240" s="150"/>
      <c r="AV240" s="31" t="str">
        <f>IFERROR(INDEX('G-7 Rivers Data'!$AZ$3:$AZ$7,MATCH(N240,'G-7 Rivers Data'!$AY$3:$AY$7,0)),"")</f>
        <v/>
      </c>
    </row>
    <row r="241" spans="2:48" ht="13.8" x14ac:dyDescent="0.25">
      <c r="B241" s="531" t="str">
        <f>'C-1 Site River Baseline'!AN239</f>
        <v/>
      </c>
      <c r="C241" s="520" t="str">
        <f>IF(B241="","",VLOOKUP($B241,'C-1 Site River Baseline'!$C$9:$R$257,2,FALSE))</f>
        <v/>
      </c>
      <c r="D241" s="520" t="str">
        <f>IF(C241="","",VLOOKUP($B241,'C-1 Site River Baseline'!$C$9:$R$257,3,FALSE))</f>
        <v/>
      </c>
      <c r="E241" s="520" t="str">
        <f>IF(D241="","",VLOOKUP($B241,'C-1 Site River Baseline'!$C$9:$R$257,4,FALSE))</f>
        <v/>
      </c>
      <c r="F241" s="520" t="str">
        <f>IF(E241="","",VLOOKUP($B241,'C-1 Site River Baseline'!$C$9:$R$257,5,FALSE))</f>
        <v/>
      </c>
      <c r="G241" s="520" t="str">
        <f>IF(F241="","",VLOOKUP($B241,'C-1 Site River Baseline'!$C$9:$R$257,6,FALSE))</f>
        <v/>
      </c>
      <c r="H241" s="520" t="str">
        <f>IF(G241="","",VLOOKUP($B241,'C-1 Site River Baseline'!$C$9:$R$257,7,FALSE))</f>
        <v/>
      </c>
      <c r="I241" s="520" t="str">
        <f>IF(H241="","",VLOOKUP($B241,'C-1 Site River Baseline'!$C$9:$R$257,8,FALSE))</f>
        <v/>
      </c>
      <c r="J241" s="520" t="str">
        <f>IF(I241="","",VLOOKUP($B241,'C-1 Site River Baseline'!$C$9:$R$257,9,FALSE))</f>
        <v/>
      </c>
      <c r="K241" s="520" t="str">
        <f>IF(J241="","",VLOOKUP($B241,'C-1 Site River Baseline'!$C$9:$R$257,10,FALSE))</f>
        <v/>
      </c>
      <c r="L241" s="520" t="str">
        <f>IF(B241="","",VLOOKUP($B241,'C-1 Site River Baseline'!$C$9:$R$257,15,FALSE))</f>
        <v/>
      </c>
      <c r="M241" s="524" t="str">
        <f>IF(L241="","",VLOOKUP($B241,'C-1 Site River Baseline'!$C$9:$R$257,16,FALSE))</f>
        <v/>
      </c>
      <c r="N241" s="418" t="str">
        <f t="shared" si="25"/>
        <v/>
      </c>
      <c r="O241" s="498" t="str">
        <f t="shared" si="26"/>
        <v/>
      </c>
      <c r="P241" s="499" t="str">
        <f>IF(C241="","",IF(AND(LEFT(C241,55)&lt;&gt;LEFT(N241,55),O241="High - High"),"Error - Not like for like ▲",IF(AND(F241=S241,H241&gt;U241),"Error - Can not reduce condition ▲",IF(AND(F241=S241,H241=U241,AJ241='C-1 Site River Baseline'!N239,'C-1 Site River Baseline'!P239=AL241),"Error - No enhancement ▲",IF(AND(C241&lt;&gt;N241,F241&lt;S241),"Lower Distinctiveness Habitat"&amp;" - "&amp;T241,G241&amp;" - "&amp;T241)))))</f>
        <v/>
      </c>
      <c r="Q241" s="567" t="str">
        <f>IF(N241="","",VLOOKUP(B241,'C-1 Site River Baseline'!$C$10:$AA$257,19,FALSE))</f>
        <v/>
      </c>
      <c r="R241" s="498" t="str">
        <f>IF(N241="","",VLOOKUP(N241,'G-7 Rivers Data'!$B$2:$G$8,2,FALSE))</f>
        <v/>
      </c>
      <c r="S241" s="499" t="str">
        <f>IFERROR(VLOOKUP(R241,'G-7 Rivers Data'!$C$4:$D$8,2,FALSE),"")</f>
        <v/>
      </c>
      <c r="T241" s="145"/>
      <c r="U241" s="499" t="str">
        <f>IFERROR(INDEX('G-7 Rivers Data'!$H$4:$L$8,MATCH(N241,'G-7 Rivers Data'!$B$4:$B$8,0),MATCH(T241,'G-7 Rivers Data'!$H$3:$L$3,0)),"")</f>
        <v/>
      </c>
      <c r="V241" s="154"/>
      <c r="W241" s="507" t="str">
        <f>IF(V241="","",IF(VLOOKUP(V241,'G-7 Rivers Data'!$AG$4:$AI$9,2,FALSE)=0,"Spatial Data Missing ⚠",VLOOKUP(V241,'G-7 Rivers Data'!$AG$4:$AI$9,2,FALSE)))</f>
        <v/>
      </c>
      <c r="X241" s="499" t="str">
        <f>IF(V241="","",IF(VLOOKUP(V241,'G-7 Rivers Data'!$AG$4:$AI$9,3,FALSE)=0,"Spatial Data Missing ⚠",VLOOKUP(V241,'G-7 Rivers Data'!$AG$4:$AI$9,3,FALSE)))</f>
        <v/>
      </c>
      <c r="Y241" s="498" t="str">
        <f>IFERROR(IF(OR(LEFT(P241,5)="Error ▲",LEFT(O241,5)="Error ▲"),"Check Data ⚠",IF(F241&lt;S241,'G-7 Rivers Data'!$R$3,INDEX('G-7 Rivers Data'!$U$5:$Y$9,MATCH(G241,'G-7 Rivers Data'!$T$5:$T$9,0),MATCH(T241,'G-7 Rivers Data'!$U$4:$Y$4,0)))),"")</f>
        <v/>
      </c>
      <c r="Z241" s="195"/>
      <c r="AA241" s="195"/>
      <c r="AB241" s="507" t="str">
        <f t="shared" si="27"/>
        <v/>
      </c>
      <c r="AC241" s="521" t="str">
        <f t="shared" si="28"/>
        <v/>
      </c>
      <c r="AD241" s="564" t="str">
        <f>IFERROR(IF(AC241="Check Data ⚠","Check Data ⚠",VLOOKUP(AC241,'G-4 Temporal multipliers'!$A$4:$C$37,3,FALSE)),"")</f>
        <v/>
      </c>
      <c r="AE241" s="498" t="str">
        <f>IF(N241="","",VLOOKUP(N241,'G-7 Rivers Data'!$B$4:$G$8,5,FALSE))</f>
        <v/>
      </c>
      <c r="AF241" s="507" t="str">
        <f t="shared" si="29"/>
        <v/>
      </c>
      <c r="AG241" s="540" t="str">
        <f t="shared" si="30"/>
        <v/>
      </c>
      <c r="AH241" s="499" t="str">
        <f t="shared" si="24"/>
        <v/>
      </c>
      <c r="AI241" s="145"/>
      <c r="AJ241" s="499" t="str">
        <f>IF(AI241="","",IF(VLOOKUP(AI241,'G-7 Rivers Data'!$AA$4:$AB$7,2,FALSE)=0,"Spatial Data Missing ⚠",VLOOKUP(AI241,'G-7 Rivers Data'!$AA$4:$AB$7,2,FALSE)))</f>
        <v/>
      </c>
      <c r="AK241" s="155"/>
      <c r="AL241" s="499" t="str">
        <f>IF(AK241="","",IF(VLOOKUP(AK241,'G-7 Rivers Data'!$AD$4:$AE$8,2,FALSE)=0,"Spatial Data Missing ⚠",VLOOKUP(AK241,'G-7 Rivers Data'!$AD$4:$AE$8,2,FALSE)))</f>
        <v/>
      </c>
      <c r="AM241" s="545" t="str">
        <f t="shared" si="31"/>
        <v/>
      </c>
      <c r="AN241" s="149"/>
      <c r="AO241" s="150"/>
      <c r="AV241" s="31" t="str">
        <f>IFERROR(INDEX('G-7 Rivers Data'!$AZ$3:$AZ$7,MATCH(N241,'G-7 Rivers Data'!$AY$3:$AY$7,0)),"")</f>
        <v/>
      </c>
    </row>
    <row r="242" spans="2:48" ht="13.8" x14ac:dyDescent="0.25">
      <c r="B242" s="531" t="str">
        <f>'C-1 Site River Baseline'!AN240</f>
        <v/>
      </c>
      <c r="C242" s="520" t="str">
        <f>IF(B242="","",VLOOKUP($B242,'C-1 Site River Baseline'!$C$9:$R$257,2,FALSE))</f>
        <v/>
      </c>
      <c r="D242" s="520" t="str">
        <f>IF(C242="","",VLOOKUP($B242,'C-1 Site River Baseline'!$C$9:$R$257,3,FALSE))</f>
        <v/>
      </c>
      <c r="E242" s="520" t="str">
        <f>IF(D242="","",VLOOKUP($B242,'C-1 Site River Baseline'!$C$9:$R$257,4,FALSE))</f>
        <v/>
      </c>
      <c r="F242" s="520" t="str">
        <f>IF(E242="","",VLOOKUP($B242,'C-1 Site River Baseline'!$C$9:$R$257,5,FALSE))</f>
        <v/>
      </c>
      <c r="G242" s="520" t="str">
        <f>IF(F242="","",VLOOKUP($B242,'C-1 Site River Baseline'!$C$9:$R$257,6,FALSE))</f>
        <v/>
      </c>
      <c r="H242" s="520" t="str">
        <f>IF(G242="","",VLOOKUP($B242,'C-1 Site River Baseline'!$C$9:$R$257,7,FALSE))</f>
        <v/>
      </c>
      <c r="I242" s="520" t="str">
        <f>IF(H242="","",VLOOKUP($B242,'C-1 Site River Baseline'!$C$9:$R$257,8,FALSE))</f>
        <v/>
      </c>
      <c r="J242" s="520" t="str">
        <f>IF(I242="","",VLOOKUP($B242,'C-1 Site River Baseline'!$C$9:$R$257,9,FALSE))</f>
        <v/>
      </c>
      <c r="K242" s="520" t="str">
        <f>IF(J242="","",VLOOKUP($B242,'C-1 Site River Baseline'!$C$9:$R$257,10,FALSE))</f>
        <v/>
      </c>
      <c r="L242" s="520" t="str">
        <f>IF(B242="","",VLOOKUP($B242,'C-1 Site River Baseline'!$C$9:$R$257,15,FALSE))</f>
        <v/>
      </c>
      <c r="M242" s="524" t="str">
        <f>IF(L242="","",VLOOKUP($B242,'C-1 Site River Baseline'!$C$9:$R$257,16,FALSE))</f>
        <v/>
      </c>
      <c r="N242" s="418" t="str">
        <f t="shared" si="25"/>
        <v/>
      </c>
      <c r="O242" s="498" t="str">
        <f t="shared" si="26"/>
        <v/>
      </c>
      <c r="P242" s="499" t="str">
        <f>IF(C242="","",IF(AND(LEFT(C242,55)&lt;&gt;LEFT(N242,55),O242="High - High"),"Error - Not like for like ▲",IF(AND(F242=S242,H242&gt;U242),"Error - Can not reduce condition ▲",IF(AND(F242=S242,H242=U242,AJ242='C-1 Site River Baseline'!N240,'C-1 Site River Baseline'!P240=AL242),"Error - No enhancement ▲",IF(AND(C242&lt;&gt;N242,F242&lt;S242),"Lower Distinctiveness Habitat"&amp;" - "&amp;T242,G242&amp;" - "&amp;T242)))))</f>
        <v/>
      </c>
      <c r="Q242" s="567" t="str">
        <f>IF(N242="","",VLOOKUP(B242,'C-1 Site River Baseline'!$C$10:$AA$257,19,FALSE))</f>
        <v/>
      </c>
      <c r="R242" s="498" t="str">
        <f>IF(N242="","",VLOOKUP(N242,'G-7 Rivers Data'!$B$2:$G$8,2,FALSE))</f>
        <v/>
      </c>
      <c r="S242" s="499" t="str">
        <f>IFERROR(VLOOKUP(R242,'G-7 Rivers Data'!$C$4:$D$8,2,FALSE),"")</f>
        <v/>
      </c>
      <c r="T242" s="145"/>
      <c r="U242" s="499" t="str">
        <f>IFERROR(INDEX('G-7 Rivers Data'!$H$4:$L$8,MATCH(N242,'G-7 Rivers Data'!$B$4:$B$8,0),MATCH(T242,'G-7 Rivers Data'!$H$3:$L$3,0)),"")</f>
        <v/>
      </c>
      <c r="V242" s="154"/>
      <c r="W242" s="507" t="str">
        <f>IF(V242="","",IF(VLOOKUP(V242,'G-7 Rivers Data'!$AG$4:$AI$9,2,FALSE)=0,"Spatial Data Missing ⚠",VLOOKUP(V242,'G-7 Rivers Data'!$AG$4:$AI$9,2,FALSE)))</f>
        <v/>
      </c>
      <c r="X242" s="499" t="str">
        <f>IF(V242="","",IF(VLOOKUP(V242,'G-7 Rivers Data'!$AG$4:$AI$9,3,FALSE)=0,"Spatial Data Missing ⚠",VLOOKUP(V242,'G-7 Rivers Data'!$AG$4:$AI$9,3,FALSE)))</f>
        <v/>
      </c>
      <c r="Y242" s="498" t="str">
        <f>IFERROR(IF(OR(LEFT(P242,5)="Error ▲",LEFT(O242,5)="Error ▲"),"Check Data ⚠",IF(F242&lt;S242,'G-7 Rivers Data'!$R$3,INDEX('G-7 Rivers Data'!$U$5:$Y$9,MATCH(G242,'G-7 Rivers Data'!$T$5:$T$9,0),MATCH(T242,'G-7 Rivers Data'!$U$4:$Y$4,0)))),"")</f>
        <v/>
      </c>
      <c r="Z242" s="195"/>
      <c r="AA242" s="195"/>
      <c r="AB242" s="507" t="str">
        <f t="shared" si="27"/>
        <v/>
      </c>
      <c r="AC242" s="521" t="str">
        <f t="shared" si="28"/>
        <v/>
      </c>
      <c r="AD242" s="564" t="str">
        <f>IFERROR(IF(AC242="Check Data ⚠","Check Data ⚠",VLOOKUP(AC242,'G-4 Temporal multipliers'!$A$4:$C$37,3,FALSE)),"")</f>
        <v/>
      </c>
      <c r="AE242" s="498" t="str">
        <f>IF(N242="","",VLOOKUP(N242,'G-7 Rivers Data'!$B$4:$G$8,5,FALSE))</f>
        <v/>
      </c>
      <c r="AF242" s="507" t="str">
        <f t="shared" si="29"/>
        <v/>
      </c>
      <c r="AG242" s="540" t="str">
        <f t="shared" si="30"/>
        <v/>
      </c>
      <c r="AH242" s="499" t="str">
        <f t="shared" si="24"/>
        <v/>
      </c>
      <c r="AI242" s="145"/>
      <c r="AJ242" s="499" t="str">
        <f>IF(AI242="","",IF(VLOOKUP(AI242,'G-7 Rivers Data'!$AA$4:$AB$7,2,FALSE)=0,"Spatial Data Missing ⚠",VLOOKUP(AI242,'G-7 Rivers Data'!$AA$4:$AB$7,2,FALSE)))</f>
        <v/>
      </c>
      <c r="AK242" s="155"/>
      <c r="AL242" s="499" t="str">
        <f>IF(AK242="","",IF(VLOOKUP(AK242,'G-7 Rivers Data'!$AD$4:$AE$8,2,FALSE)=0,"Spatial Data Missing ⚠",VLOOKUP(AK242,'G-7 Rivers Data'!$AD$4:$AE$8,2,FALSE)))</f>
        <v/>
      </c>
      <c r="AM242" s="545" t="str">
        <f t="shared" si="31"/>
        <v/>
      </c>
      <c r="AN242" s="149"/>
      <c r="AO242" s="150"/>
      <c r="AV242" s="31" t="str">
        <f>IFERROR(INDEX('G-7 Rivers Data'!$AZ$3:$AZ$7,MATCH(N242,'G-7 Rivers Data'!$AY$3:$AY$7,0)),"")</f>
        <v/>
      </c>
    </row>
    <row r="243" spans="2:48" ht="13.8" x14ac:dyDescent="0.25">
      <c r="B243" s="531" t="str">
        <f>'C-1 Site River Baseline'!AN241</f>
        <v/>
      </c>
      <c r="C243" s="520" t="str">
        <f>IF(B243="","",VLOOKUP($B243,'C-1 Site River Baseline'!$C$9:$R$257,2,FALSE))</f>
        <v/>
      </c>
      <c r="D243" s="520" t="str">
        <f>IF(C243="","",VLOOKUP($B243,'C-1 Site River Baseline'!$C$9:$R$257,3,FALSE))</f>
        <v/>
      </c>
      <c r="E243" s="520" t="str">
        <f>IF(D243="","",VLOOKUP($B243,'C-1 Site River Baseline'!$C$9:$R$257,4,FALSE))</f>
        <v/>
      </c>
      <c r="F243" s="520" t="str">
        <f>IF(E243="","",VLOOKUP($B243,'C-1 Site River Baseline'!$C$9:$R$257,5,FALSE))</f>
        <v/>
      </c>
      <c r="G243" s="520" t="str">
        <f>IF(F243="","",VLOOKUP($B243,'C-1 Site River Baseline'!$C$9:$R$257,6,FALSE))</f>
        <v/>
      </c>
      <c r="H243" s="520" t="str">
        <f>IF(G243="","",VLOOKUP($B243,'C-1 Site River Baseline'!$C$9:$R$257,7,FALSE))</f>
        <v/>
      </c>
      <c r="I243" s="520" t="str">
        <f>IF(H243="","",VLOOKUP($B243,'C-1 Site River Baseline'!$C$9:$R$257,8,FALSE))</f>
        <v/>
      </c>
      <c r="J243" s="520" t="str">
        <f>IF(I243="","",VLOOKUP($B243,'C-1 Site River Baseline'!$C$9:$R$257,9,FALSE))</f>
        <v/>
      </c>
      <c r="K243" s="520" t="str">
        <f>IF(J243="","",VLOOKUP($B243,'C-1 Site River Baseline'!$C$9:$R$257,10,FALSE))</f>
        <v/>
      </c>
      <c r="L243" s="520" t="str">
        <f>IF(B243="","",VLOOKUP($B243,'C-1 Site River Baseline'!$C$9:$R$257,15,FALSE))</f>
        <v/>
      </c>
      <c r="M243" s="524" t="str">
        <f>IF(L243="","",VLOOKUP($B243,'C-1 Site River Baseline'!$C$9:$R$257,16,FALSE))</f>
        <v/>
      </c>
      <c r="N243" s="418" t="str">
        <f t="shared" si="25"/>
        <v/>
      </c>
      <c r="O243" s="498" t="str">
        <f t="shared" si="26"/>
        <v/>
      </c>
      <c r="P243" s="499" t="str">
        <f>IF(C243="","",IF(AND(LEFT(C243,55)&lt;&gt;LEFT(N243,55),O243="High - High"),"Error - Not like for like ▲",IF(AND(F243=S243,H243&gt;U243),"Error - Can not reduce condition ▲",IF(AND(F243=S243,H243=U243,AJ243='C-1 Site River Baseline'!N241,'C-1 Site River Baseline'!P241=AL243),"Error - No enhancement ▲",IF(AND(C243&lt;&gt;N243,F243&lt;S243),"Lower Distinctiveness Habitat"&amp;" - "&amp;T243,G243&amp;" - "&amp;T243)))))</f>
        <v/>
      </c>
      <c r="Q243" s="567" t="str">
        <f>IF(N243="","",VLOOKUP(B243,'C-1 Site River Baseline'!$C$10:$AA$257,19,FALSE))</f>
        <v/>
      </c>
      <c r="R243" s="498" t="str">
        <f>IF(N243="","",VLOOKUP(N243,'G-7 Rivers Data'!$B$2:$G$8,2,FALSE))</f>
        <v/>
      </c>
      <c r="S243" s="499" t="str">
        <f>IFERROR(VLOOKUP(R243,'G-7 Rivers Data'!$C$4:$D$8,2,FALSE),"")</f>
        <v/>
      </c>
      <c r="T243" s="145"/>
      <c r="U243" s="499" t="str">
        <f>IFERROR(INDEX('G-7 Rivers Data'!$H$4:$L$8,MATCH(N243,'G-7 Rivers Data'!$B$4:$B$8,0),MATCH(T243,'G-7 Rivers Data'!$H$3:$L$3,0)),"")</f>
        <v/>
      </c>
      <c r="V243" s="154"/>
      <c r="W243" s="507" t="str">
        <f>IF(V243="","",IF(VLOOKUP(V243,'G-7 Rivers Data'!$AG$4:$AI$9,2,FALSE)=0,"Spatial Data Missing ⚠",VLOOKUP(V243,'G-7 Rivers Data'!$AG$4:$AI$9,2,FALSE)))</f>
        <v/>
      </c>
      <c r="X243" s="499" t="str">
        <f>IF(V243="","",IF(VLOOKUP(V243,'G-7 Rivers Data'!$AG$4:$AI$9,3,FALSE)=0,"Spatial Data Missing ⚠",VLOOKUP(V243,'G-7 Rivers Data'!$AG$4:$AI$9,3,FALSE)))</f>
        <v/>
      </c>
      <c r="Y243" s="498" t="str">
        <f>IFERROR(IF(OR(LEFT(P243,5)="Error ▲",LEFT(O243,5)="Error ▲"),"Check Data ⚠",IF(F243&lt;S243,'G-7 Rivers Data'!$R$3,INDEX('G-7 Rivers Data'!$U$5:$Y$9,MATCH(G243,'G-7 Rivers Data'!$T$5:$T$9,0),MATCH(T243,'G-7 Rivers Data'!$U$4:$Y$4,0)))),"")</f>
        <v/>
      </c>
      <c r="Z243" s="195"/>
      <c r="AA243" s="195"/>
      <c r="AB243" s="507" t="str">
        <f t="shared" si="27"/>
        <v/>
      </c>
      <c r="AC243" s="521" t="str">
        <f t="shared" si="28"/>
        <v/>
      </c>
      <c r="AD243" s="564" t="str">
        <f>IFERROR(IF(AC243="Check Data ⚠","Check Data ⚠",VLOOKUP(AC243,'G-4 Temporal multipliers'!$A$4:$C$37,3,FALSE)),"")</f>
        <v/>
      </c>
      <c r="AE243" s="498" t="str">
        <f>IF(N243="","",VLOOKUP(N243,'G-7 Rivers Data'!$B$4:$G$8,5,FALSE))</f>
        <v/>
      </c>
      <c r="AF243" s="507" t="str">
        <f t="shared" si="29"/>
        <v/>
      </c>
      <c r="AG243" s="540" t="str">
        <f t="shared" si="30"/>
        <v/>
      </c>
      <c r="AH243" s="499" t="str">
        <f t="shared" si="24"/>
        <v/>
      </c>
      <c r="AI243" s="145"/>
      <c r="AJ243" s="499" t="str">
        <f>IF(AI243="","",IF(VLOOKUP(AI243,'G-7 Rivers Data'!$AA$4:$AB$7,2,FALSE)=0,"Spatial Data Missing ⚠",VLOOKUP(AI243,'G-7 Rivers Data'!$AA$4:$AB$7,2,FALSE)))</f>
        <v/>
      </c>
      <c r="AK243" s="155"/>
      <c r="AL243" s="499" t="str">
        <f>IF(AK243="","",IF(VLOOKUP(AK243,'G-7 Rivers Data'!$AD$4:$AE$8,2,FALSE)=0,"Spatial Data Missing ⚠",VLOOKUP(AK243,'G-7 Rivers Data'!$AD$4:$AE$8,2,FALSE)))</f>
        <v/>
      </c>
      <c r="AM243" s="545" t="str">
        <f t="shared" si="31"/>
        <v/>
      </c>
      <c r="AN243" s="149"/>
      <c r="AO243" s="150"/>
      <c r="AV243" s="31" t="str">
        <f>IFERROR(INDEX('G-7 Rivers Data'!$AZ$3:$AZ$7,MATCH(N243,'G-7 Rivers Data'!$AY$3:$AY$7,0)),"")</f>
        <v/>
      </c>
    </row>
    <row r="244" spans="2:48" ht="13.8" x14ac:dyDescent="0.25">
      <c r="B244" s="531" t="str">
        <f>'C-1 Site River Baseline'!AN242</f>
        <v/>
      </c>
      <c r="C244" s="520" t="str">
        <f>IF(B244="","",VLOOKUP($B244,'C-1 Site River Baseline'!$C$9:$R$257,2,FALSE))</f>
        <v/>
      </c>
      <c r="D244" s="520" t="str">
        <f>IF(C244="","",VLOOKUP($B244,'C-1 Site River Baseline'!$C$9:$R$257,3,FALSE))</f>
        <v/>
      </c>
      <c r="E244" s="520" t="str">
        <f>IF(D244="","",VLOOKUP($B244,'C-1 Site River Baseline'!$C$9:$R$257,4,FALSE))</f>
        <v/>
      </c>
      <c r="F244" s="520" t="str">
        <f>IF(E244="","",VLOOKUP($B244,'C-1 Site River Baseline'!$C$9:$R$257,5,FALSE))</f>
        <v/>
      </c>
      <c r="G244" s="520" t="str">
        <f>IF(F244="","",VLOOKUP($B244,'C-1 Site River Baseline'!$C$9:$R$257,6,FALSE))</f>
        <v/>
      </c>
      <c r="H244" s="520" t="str">
        <f>IF(G244="","",VLOOKUP($B244,'C-1 Site River Baseline'!$C$9:$R$257,7,FALSE))</f>
        <v/>
      </c>
      <c r="I244" s="520" t="str">
        <f>IF(H244="","",VLOOKUP($B244,'C-1 Site River Baseline'!$C$9:$R$257,8,FALSE))</f>
        <v/>
      </c>
      <c r="J244" s="520" t="str">
        <f>IF(I244="","",VLOOKUP($B244,'C-1 Site River Baseline'!$C$9:$R$257,9,FALSE))</f>
        <v/>
      </c>
      <c r="K244" s="520" t="str">
        <f>IF(J244="","",VLOOKUP($B244,'C-1 Site River Baseline'!$C$9:$R$257,10,FALSE))</f>
        <v/>
      </c>
      <c r="L244" s="520" t="str">
        <f>IF(B244="","",VLOOKUP($B244,'C-1 Site River Baseline'!$C$9:$R$257,15,FALSE))</f>
        <v/>
      </c>
      <c r="M244" s="524" t="str">
        <f>IF(L244="","",VLOOKUP($B244,'C-1 Site River Baseline'!$C$9:$R$257,16,FALSE))</f>
        <v/>
      </c>
      <c r="N244" s="418" t="str">
        <f t="shared" si="25"/>
        <v/>
      </c>
      <c r="O244" s="498" t="str">
        <f t="shared" si="26"/>
        <v/>
      </c>
      <c r="P244" s="499" t="str">
        <f>IF(C244="","",IF(AND(LEFT(C244,55)&lt;&gt;LEFT(N244,55),O244="High - High"),"Error - Not like for like ▲",IF(AND(F244=S244,H244&gt;U244),"Error - Can not reduce condition ▲",IF(AND(F244=S244,H244=U244,AJ244='C-1 Site River Baseline'!N242,'C-1 Site River Baseline'!P242=AL244),"Error - No enhancement ▲",IF(AND(C244&lt;&gt;N244,F244&lt;S244),"Lower Distinctiveness Habitat"&amp;" - "&amp;T244,G244&amp;" - "&amp;T244)))))</f>
        <v/>
      </c>
      <c r="Q244" s="567" t="str">
        <f>IF(N244="","",VLOOKUP(B244,'C-1 Site River Baseline'!$C$10:$AA$257,19,FALSE))</f>
        <v/>
      </c>
      <c r="R244" s="498" t="str">
        <f>IF(N244="","",VLOOKUP(N244,'G-7 Rivers Data'!$B$2:$G$8,2,FALSE))</f>
        <v/>
      </c>
      <c r="S244" s="499" t="str">
        <f>IFERROR(VLOOKUP(R244,'G-7 Rivers Data'!$C$4:$D$8,2,FALSE),"")</f>
        <v/>
      </c>
      <c r="T244" s="145"/>
      <c r="U244" s="499" t="str">
        <f>IFERROR(INDEX('G-7 Rivers Data'!$H$4:$L$8,MATCH(N244,'G-7 Rivers Data'!$B$4:$B$8,0),MATCH(T244,'G-7 Rivers Data'!$H$3:$L$3,0)),"")</f>
        <v/>
      </c>
      <c r="V244" s="154"/>
      <c r="W244" s="507" t="str">
        <f>IF(V244="","",IF(VLOOKUP(V244,'G-7 Rivers Data'!$AG$4:$AI$9,2,FALSE)=0,"Spatial Data Missing ⚠",VLOOKUP(V244,'G-7 Rivers Data'!$AG$4:$AI$9,2,FALSE)))</f>
        <v/>
      </c>
      <c r="X244" s="499" t="str">
        <f>IF(V244="","",IF(VLOOKUP(V244,'G-7 Rivers Data'!$AG$4:$AI$9,3,FALSE)=0,"Spatial Data Missing ⚠",VLOOKUP(V244,'G-7 Rivers Data'!$AG$4:$AI$9,3,FALSE)))</f>
        <v/>
      </c>
      <c r="Y244" s="498" t="str">
        <f>IFERROR(IF(OR(LEFT(P244,5)="Error ▲",LEFT(O244,5)="Error ▲"),"Check Data ⚠",IF(F244&lt;S244,'G-7 Rivers Data'!$R$3,INDEX('G-7 Rivers Data'!$U$5:$Y$9,MATCH(G244,'G-7 Rivers Data'!$T$5:$T$9,0),MATCH(T244,'G-7 Rivers Data'!$U$4:$Y$4,0)))),"")</f>
        <v/>
      </c>
      <c r="Z244" s="195"/>
      <c r="AA244" s="195"/>
      <c r="AB244" s="507" t="str">
        <f t="shared" si="27"/>
        <v/>
      </c>
      <c r="AC244" s="521" t="str">
        <f t="shared" si="28"/>
        <v/>
      </c>
      <c r="AD244" s="564" t="str">
        <f>IFERROR(IF(AC244="Check Data ⚠","Check Data ⚠",VLOOKUP(AC244,'G-4 Temporal multipliers'!$A$4:$C$37,3,FALSE)),"")</f>
        <v/>
      </c>
      <c r="AE244" s="498" t="str">
        <f>IF(N244="","",VLOOKUP(N244,'G-7 Rivers Data'!$B$4:$G$8,5,FALSE))</f>
        <v/>
      </c>
      <c r="AF244" s="507" t="str">
        <f t="shared" si="29"/>
        <v/>
      </c>
      <c r="AG244" s="540" t="str">
        <f t="shared" si="30"/>
        <v/>
      </c>
      <c r="AH244" s="499" t="str">
        <f t="shared" si="24"/>
        <v/>
      </c>
      <c r="AI244" s="145"/>
      <c r="AJ244" s="499" t="str">
        <f>IF(AI244="","",IF(VLOOKUP(AI244,'G-7 Rivers Data'!$AA$4:$AB$7,2,FALSE)=0,"Spatial Data Missing ⚠",VLOOKUP(AI244,'G-7 Rivers Data'!$AA$4:$AB$7,2,FALSE)))</f>
        <v/>
      </c>
      <c r="AK244" s="155"/>
      <c r="AL244" s="499" t="str">
        <f>IF(AK244="","",IF(VLOOKUP(AK244,'G-7 Rivers Data'!$AD$4:$AE$8,2,FALSE)=0,"Spatial Data Missing ⚠",VLOOKUP(AK244,'G-7 Rivers Data'!$AD$4:$AE$8,2,FALSE)))</f>
        <v/>
      </c>
      <c r="AM244" s="545" t="str">
        <f t="shared" si="31"/>
        <v/>
      </c>
      <c r="AN244" s="149"/>
      <c r="AO244" s="150"/>
      <c r="AV244" s="31" t="str">
        <f>IFERROR(INDEX('G-7 Rivers Data'!$AZ$3:$AZ$7,MATCH(N244,'G-7 Rivers Data'!$AY$3:$AY$7,0)),"")</f>
        <v/>
      </c>
    </row>
    <row r="245" spans="2:48" ht="13.8" x14ac:dyDescent="0.25">
      <c r="B245" s="531" t="str">
        <f>'C-1 Site River Baseline'!AN243</f>
        <v/>
      </c>
      <c r="C245" s="520" t="str">
        <f>IF(B245="","",VLOOKUP($B245,'C-1 Site River Baseline'!$C$9:$R$257,2,FALSE))</f>
        <v/>
      </c>
      <c r="D245" s="520" t="str">
        <f>IF(C245="","",VLOOKUP($B245,'C-1 Site River Baseline'!$C$9:$R$257,3,FALSE))</f>
        <v/>
      </c>
      <c r="E245" s="520" t="str">
        <f>IF(D245="","",VLOOKUP($B245,'C-1 Site River Baseline'!$C$9:$R$257,4,FALSE))</f>
        <v/>
      </c>
      <c r="F245" s="520" t="str">
        <f>IF(E245="","",VLOOKUP($B245,'C-1 Site River Baseline'!$C$9:$R$257,5,FALSE))</f>
        <v/>
      </c>
      <c r="G245" s="520" t="str">
        <f>IF(F245="","",VLOOKUP($B245,'C-1 Site River Baseline'!$C$9:$R$257,6,FALSE))</f>
        <v/>
      </c>
      <c r="H245" s="520" t="str">
        <f>IF(G245="","",VLOOKUP($B245,'C-1 Site River Baseline'!$C$9:$R$257,7,FALSE))</f>
        <v/>
      </c>
      <c r="I245" s="520" t="str">
        <f>IF(H245="","",VLOOKUP($B245,'C-1 Site River Baseline'!$C$9:$R$257,8,FALSE))</f>
        <v/>
      </c>
      <c r="J245" s="520" t="str">
        <f>IF(I245="","",VLOOKUP($B245,'C-1 Site River Baseline'!$C$9:$R$257,9,FALSE))</f>
        <v/>
      </c>
      <c r="K245" s="520" t="str">
        <f>IF(J245="","",VLOOKUP($B245,'C-1 Site River Baseline'!$C$9:$R$257,10,FALSE))</f>
        <v/>
      </c>
      <c r="L245" s="520" t="str">
        <f>IF(B245="","",VLOOKUP($B245,'C-1 Site River Baseline'!$C$9:$R$257,15,FALSE))</f>
        <v/>
      </c>
      <c r="M245" s="524" t="str">
        <f>IF(L245="","",VLOOKUP($B245,'C-1 Site River Baseline'!$C$9:$R$257,16,FALSE))</f>
        <v/>
      </c>
      <c r="N245" s="418" t="str">
        <f t="shared" si="25"/>
        <v/>
      </c>
      <c r="O245" s="498" t="str">
        <f t="shared" si="26"/>
        <v/>
      </c>
      <c r="P245" s="499" t="str">
        <f>IF(C245="","",IF(AND(LEFT(C245,55)&lt;&gt;LEFT(N245,55),O245="High - High"),"Error - Not like for like ▲",IF(AND(F245=S245,H245&gt;U245),"Error - Can not reduce condition ▲",IF(AND(F245=S245,H245=U245,AJ245='C-1 Site River Baseline'!N243,'C-1 Site River Baseline'!P243=AL245),"Error - No enhancement ▲",IF(AND(C245&lt;&gt;N245,F245&lt;S245),"Lower Distinctiveness Habitat"&amp;" - "&amp;T245,G245&amp;" - "&amp;T245)))))</f>
        <v/>
      </c>
      <c r="Q245" s="567" t="str">
        <f>IF(N245="","",VLOOKUP(B245,'C-1 Site River Baseline'!$C$10:$AA$257,19,FALSE))</f>
        <v/>
      </c>
      <c r="R245" s="498" t="str">
        <f>IF(N245="","",VLOOKUP(N245,'G-7 Rivers Data'!$B$2:$G$8,2,FALSE))</f>
        <v/>
      </c>
      <c r="S245" s="499" t="str">
        <f>IFERROR(VLOOKUP(R245,'G-7 Rivers Data'!$C$4:$D$8,2,FALSE),"")</f>
        <v/>
      </c>
      <c r="T245" s="145"/>
      <c r="U245" s="499" t="str">
        <f>IFERROR(INDEX('G-7 Rivers Data'!$H$4:$L$8,MATCH(N245,'G-7 Rivers Data'!$B$4:$B$8,0),MATCH(T245,'G-7 Rivers Data'!$H$3:$L$3,0)),"")</f>
        <v/>
      </c>
      <c r="V245" s="154"/>
      <c r="W245" s="507" t="str">
        <f>IF(V245="","",IF(VLOOKUP(V245,'G-7 Rivers Data'!$AG$4:$AI$9,2,FALSE)=0,"Spatial Data Missing ⚠",VLOOKUP(V245,'G-7 Rivers Data'!$AG$4:$AI$9,2,FALSE)))</f>
        <v/>
      </c>
      <c r="X245" s="499" t="str">
        <f>IF(V245="","",IF(VLOOKUP(V245,'G-7 Rivers Data'!$AG$4:$AI$9,3,FALSE)=0,"Spatial Data Missing ⚠",VLOOKUP(V245,'G-7 Rivers Data'!$AG$4:$AI$9,3,FALSE)))</f>
        <v/>
      </c>
      <c r="Y245" s="498" t="str">
        <f>IFERROR(IF(OR(LEFT(P245,5)="Error ▲",LEFT(O245,5)="Error ▲"),"Check Data ⚠",IF(F245&lt;S245,'G-7 Rivers Data'!$R$3,INDEX('G-7 Rivers Data'!$U$5:$Y$9,MATCH(G245,'G-7 Rivers Data'!$T$5:$T$9,0),MATCH(T245,'G-7 Rivers Data'!$U$4:$Y$4,0)))),"")</f>
        <v/>
      </c>
      <c r="Z245" s="195"/>
      <c r="AA245" s="195"/>
      <c r="AB245" s="507" t="str">
        <f t="shared" si="27"/>
        <v/>
      </c>
      <c r="AC245" s="521" t="str">
        <f t="shared" si="28"/>
        <v/>
      </c>
      <c r="AD245" s="564" t="str">
        <f>IFERROR(IF(AC245="Check Data ⚠","Check Data ⚠",VLOOKUP(AC245,'G-4 Temporal multipliers'!$A$4:$C$37,3,FALSE)),"")</f>
        <v/>
      </c>
      <c r="AE245" s="498" t="str">
        <f>IF(N245="","",VLOOKUP(N245,'G-7 Rivers Data'!$B$4:$G$8,5,FALSE))</f>
        <v/>
      </c>
      <c r="AF245" s="507" t="str">
        <f t="shared" si="29"/>
        <v/>
      </c>
      <c r="AG245" s="540" t="str">
        <f t="shared" si="30"/>
        <v/>
      </c>
      <c r="AH245" s="499" t="str">
        <f t="shared" si="24"/>
        <v/>
      </c>
      <c r="AI245" s="145"/>
      <c r="AJ245" s="499" t="str">
        <f>IF(AI245="","",IF(VLOOKUP(AI245,'G-7 Rivers Data'!$AA$4:$AB$7,2,FALSE)=0,"Spatial Data Missing ⚠",VLOOKUP(AI245,'G-7 Rivers Data'!$AA$4:$AB$7,2,FALSE)))</f>
        <v/>
      </c>
      <c r="AK245" s="155"/>
      <c r="AL245" s="499" t="str">
        <f>IF(AK245="","",IF(VLOOKUP(AK245,'G-7 Rivers Data'!$AD$4:$AE$8,2,FALSE)=0,"Spatial Data Missing ⚠",VLOOKUP(AK245,'G-7 Rivers Data'!$AD$4:$AE$8,2,FALSE)))</f>
        <v/>
      </c>
      <c r="AM245" s="545" t="str">
        <f t="shared" si="31"/>
        <v/>
      </c>
      <c r="AN245" s="149"/>
      <c r="AO245" s="150"/>
      <c r="AV245" s="31" t="str">
        <f>IFERROR(INDEX('G-7 Rivers Data'!$AZ$3:$AZ$7,MATCH(N245,'G-7 Rivers Data'!$AY$3:$AY$7,0)),"")</f>
        <v/>
      </c>
    </row>
    <row r="246" spans="2:48" ht="13.8" x14ac:dyDescent="0.25">
      <c r="B246" s="531" t="str">
        <f>'C-1 Site River Baseline'!AN244</f>
        <v/>
      </c>
      <c r="C246" s="520" t="str">
        <f>IF(B246="","",VLOOKUP($B246,'C-1 Site River Baseline'!$C$9:$R$257,2,FALSE))</f>
        <v/>
      </c>
      <c r="D246" s="520" t="str">
        <f>IF(C246="","",VLOOKUP($B246,'C-1 Site River Baseline'!$C$9:$R$257,3,FALSE))</f>
        <v/>
      </c>
      <c r="E246" s="520" t="str">
        <f>IF(D246="","",VLOOKUP($B246,'C-1 Site River Baseline'!$C$9:$R$257,4,FALSE))</f>
        <v/>
      </c>
      <c r="F246" s="520" t="str">
        <f>IF(E246="","",VLOOKUP($B246,'C-1 Site River Baseline'!$C$9:$R$257,5,FALSE))</f>
        <v/>
      </c>
      <c r="G246" s="520" t="str">
        <f>IF(F246="","",VLOOKUP($B246,'C-1 Site River Baseline'!$C$9:$R$257,6,FALSE))</f>
        <v/>
      </c>
      <c r="H246" s="520" t="str">
        <f>IF(G246="","",VLOOKUP($B246,'C-1 Site River Baseline'!$C$9:$R$257,7,FALSE))</f>
        <v/>
      </c>
      <c r="I246" s="520" t="str">
        <f>IF(H246="","",VLOOKUP($B246,'C-1 Site River Baseline'!$C$9:$R$257,8,FALSE))</f>
        <v/>
      </c>
      <c r="J246" s="520" t="str">
        <f>IF(I246="","",VLOOKUP($B246,'C-1 Site River Baseline'!$C$9:$R$257,9,FALSE))</f>
        <v/>
      </c>
      <c r="K246" s="520" t="str">
        <f>IF(J246="","",VLOOKUP($B246,'C-1 Site River Baseline'!$C$9:$R$257,10,FALSE))</f>
        <v/>
      </c>
      <c r="L246" s="520" t="str">
        <f>IF(B246="","",VLOOKUP($B246,'C-1 Site River Baseline'!$C$9:$R$257,15,FALSE))</f>
        <v/>
      </c>
      <c r="M246" s="524" t="str">
        <f>IF(L246="","",VLOOKUP($B246,'C-1 Site River Baseline'!$C$9:$R$257,16,FALSE))</f>
        <v/>
      </c>
      <c r="N246" s="418" t="str">
        <f t="shared" si="25"/>
        <v/>
      </c>
      <c r="O246" s="498" t="str">
        <f t="shared" si="26"/>
        <v/>
      </c>
      <c r="P246" s="499" t="str">
        <f>IF(C246="","",IF(AND(LEFT(C246,55)&lt;&gt;LEFT(N246,55),O246="High - High"),"Error - Not like for like ▲",IF(AND(F246=S246,H246&gt;U246),"Error - Can not reduce condition ▲",IF(AND(F246=S246,H246=U246,AJ246='C-1 Site River Baseline'!N244,'C-1 Site River Baseline'!P244=AL246),"Error - No enhancement ▲",IF(AND(C246&lt;&gt;N246,F246&lt;S246),"Lower Distinctiveness Habitat"&amp;" - "&amp;T246,G246&amp;" - "&amp;T246)))))</f>
        <v/>
      </c>
      <c r="Q246" s="567" t="str">
        <f>IF(N246="","",VLOOKUP(B246,'C-1 Site River Baseline'!$C$10:$AA$257,19,FALSE))</f>
        <v/>
      </c>
      <c r="R246" s="498" t="str">
        <f>IF(N246="","",VLOOKUP(N246,'G-7 Rivers Data'!$B$2:$G$8,2,FALSE))</f>
        <v/>
      </c>
      <c r="S246" s="499" t="str">
        <f>IFERROR(VLOOKUP(R246,'G-7 Rivers Data'!$C$4:$D$8,2,FALSE),"")</f>
        <v/>
      </c>
      <c r="T246" s="145"/>
      <c r="U246" s="499" t="str">
        <f>IFERROR(INDEX('G-7 Rivers Data'!$H$4:$L$8,MATCH(N246,'G-7 Rivers Data'!$B$4:$B$8,0),MATCH(T246,'G-7 Rivers Data'!$H$3:$L$3,0)),"")</f>
        <v/>
      </c>
      <c r="V246" s="154"/>
      <c r="W246" s="507" t="str">
        <f>IF(V246="","",IF(VLOOKUP(V246,'G-7 Rivers Data'!$AG$4:$AI$9,2,FALSE)=0,"Spatial Data Missing ⚠",VLOOKUP(V246,'G-7 Rivers Data'!$AG$4:$AI$9,2,FALSE)))</f>
        <v/>
      </c>
      <c r="X246" s="499" t="str">
        <f>IF(V246="","",IF(VLOOKUP(V246,'G-7 Rivers Data'!$AG$4:$AI$9,3,FALSE)=0,"Spatial Data Missing ⚠",VLOOKUP(V246,'G-7 Rivers Data'!$AG$4:$AI$9,3,FALSE)))</f>
        <v/>
      </c>
      <c r="Y246" s="498" t="str">
        <f>IFERROR(IF(OR(LEFT(P246,5)="Error ▲",LEFT(O246,5)="Error ▲"),"Check Data ⚠",IF(F246&lt;S246,'G-7 Rivers Data'!$R$3,INDEX('G-7 Rivers Data'!$U$5:$Y$9,MATCH(G246,'G-7 Rivers Data'!$T$5:$T$9,0),MATCH(T246,'G-7 Rivers Data'!$U$4:$Y$4,0)))),"")</f>
        <v/>
      </c>
      <c r="Z246" s="195"/>
      <c r="AA246" s="195"/>
      <c r="AB246" s="507" t="str">
        <f t="shared" si="27"/>
        <v/>
      </c>
      <c r="AC246" s="521" t="str">
        <f t="shared" si="28"/>
        <v/>
      </c>
      <c r="AD246" s="564" t="str">
        <f>IFERROR(IF(AC246="Check Data ⚠","Check Data ⚠",VLOOKUP(AC246,'G-4 Temporal multipliers'!$A$4:$C$37,3,FALSE)),"")</f>
        <v/>
      </c>
      <c r="AE246" s="498" t="str">
        <f>IF(N246="","",VLOOKUP(N246,'G-7 Rivers Data'!$B$4:$G$8,5,FALSE))</f>
        <v/>
      </c>
      <c r="AF246" s="507" t="str">
        <f t="shared" si="29"/>
        <v/>
      </c>
      <c r="AG246" s="540" t="str">
        <f t="shared" si="30"/>
        <v/>
      </c>
      <c r="AH246" s="499" t="str">
        <f t="shared" si="24"/>
        <v/>
      </c>
      <c r="AI246" s="145"/>
      <c r="AJ246" s="499" t="str">
        <f>IF(AI246="","",IF(VLOOKUP(AI246,'G-7 Rivers Data'!$AA$4:$AB$7,2,FALSE)=0,"Spatial Data Missing ⚠",VLOOKUP(AI246,'G-7 Rivers Data'!$AA$4:$AB$7,2,FALSE)))</f>
        <v/>
      </c>
      <c r="AK246" s="155"/>
      <c r="AL246" s="499" t="str">
        <f>IF(AK246="","",IF(VLOOKUP(AK246,'G-7 Rivers Data'!$AD$4:$AE$8,2,FALSE)=0,"Spatial Data Missing ⚠",VLOOKUP(AK246,'G-7 Rivers Data'!$AD$4:$AE$8,2,FALSE)))</f>
        <v/>
      </c>
      <c r="AM246" s="545" t="str">
        <f t="shared" si="31"/>
        <v/>
      </c>
      <c r="AN246" s="149"/>
      <c r="AO246" s="150"/>
      <c r="AV246" s="31" t="str">
        <f>IFERROR(INDEX('G-7 Rivers Data'!$AZ$3:$AZ$7,MATCH(N246,'G-7 Rivers Data'!$AY$3:$AY$7,0)),"")</f>
        <v/>
      </c>
    </row>
    <row r="247" spans="2:48" ht="13.8" x14ac:dyDescent="0.25">
      <c r="B247" s="531" t="str">
        <f>'C-1 Site River Baseline'!AN245</f>
        <v/>
      </c>
      <c r="C247" s="520" t="str">
        <f>IF(B247="","",VLOOKUP($B247,'C-1 Site River Baseline'!$C$9:$R$257,2,FALSE))</f>
        <v/>
      </c>
      <c r="D247" s="520" t="str">
        <f>IF(C247="","",VLOOKUP($B247,'C-1 Site River Baseline'!$C$9:$R$257,3,FALSE))</f>
        <v/>
      </c>
      <c r="E247" s="520" t="str">
        <f>IF(D247="","",VLOOKUP($B247,'C-1 Site River Baseline'!$C$9:$R$257,4,FALSE))</f>
        <v/>
      </c>
      <c r="F247" s="520" t="str">
        <f>IF(E247="","",VLOOKUP($B247,'C-1 Site River Baseline'!$C$9:$R$257,5,FALSE))</f>
        <v/>
      </c>
      <c r="G247" s="520" t="str">
        <f>IF(F247="","",VLOOKUP($B247,'C-1 Site River Baseline'!$C$9:$R$257,6,FALSE))</f>
        <v/>
      </c>
      <c r="H247" s="520" t="str">
        <f>IF(G247="","",VLOOKUP($B247,'C-1 Site River Baseline'!$C$9:$R$257,7,FALSE))</f>
        <v/>
      </c>
      <c r="I247" s="520" t="str">
        <f>IF(H247="","",VLOOKUP($B247,'C-1 Site River Baseline'!$C$9:$R$257,8,FALSE))</f>
        <v/>
      </c>
      <c r="J247" s="520" t="str">
        <f>IF(I247="","",VLOOKUP($B247,'C-1 Site River Baseline'!$C$9:$R$257,9,FALSE))</f>
        <v/>
      </c>
      <c r="K247" s="520" t="str">
        <f>IF(J247="","",VLOOKUP($B247,'C-1 Site River Baseline'!$C$9:$R$257,10,FALSE))</f>
        <v/>
      </c>
      <c r="L247" s="520" t="str">
        <f>IF(B247="","",VLOOKUP($B247,'C-1 Site River Baseline'!$C$9:$R$257,15,FALSE))</f>
        <v/>
      </c>
      <c r="M247" s="524" t="str">
        <f>IF(L247="","",VLOOKUP($B247,'C-1 Site River Baseline'!$C$9:$R$257,16,FALSE))</f>
        <v/>
      </c>
      <c r="N247" s="418"/>
      <c r="O247" s="498" t="str">
        <f t="shared" si="26"/>
        <v/>
      </c>
      <c r="P247" s="499" t="str">
        <f>IF(C247="","",IF(AND(LEFT(C247,55)&lt;&gt;LEFT(N247,55),O247="High - High"),"Error - Not like for like ▲",IF(AND(F247=S247,H247&gt;U247),"Error - Can not reduce condition ▲",IF(AND(F247=S247,H247=U247,AJ247='C-1 Site River Baseline'!N245,'C-1 Site River Baseline'!P245=AL247),"Error - No enhancement ▲",IF(AND(C247&lt;&gt;N247,F247&lt;S247),"Lower Distinctiveness Habitat"&amp;" - "&amp;T247,G247&amp;" - "&amp;T247)))))</f>
        <v/>
      </c>
      <c r="Q247" s="567" t="str">
        <f>IF(N247="","",VLOOKUP(B247,'C-1 Site River Baseline'!$C$10:$AA$257,19,FALSE))</f>
        <v/>
      </c>
      <c r="R247" s="498" t="str">
        <f>IF(N247="","",VLOOKUP(N247,'G-7 Rivers Data'!$B$2:$G$8,2,FALSE))</f>
        <v/>
      </c>
      <c r="S247" s="499" t="str">
        <f>IFERROR(VLOOKUP(R247,'G-7 Rivers Data'!$C$4:$D$8,2,FALSE),"")</f>
        <v/>
      </c>
      <c r="T247" s="145"/>
      <c r="U247" s="499" t="str">
        <f>IFERROR(INDEX('G-7 Rivers Data'!$H$4:$L$8,MATCH(N247,'G-7 Rivers Data'!$B$4:$B$8,0),MATCH(T247,'G-7 Rivers Data'!$H$3:$L$3,0)),"")</f>
        <v/>
      </c>
      <c r="V247" s="154"/>
      <c r="W247" s="507" t="str">
        <f>IF(V247="","",IF(VLOOKUP(V247,'G-7 Rivers Data'!$AG$4:$AI$9,2,FALSE)=0,"Spatial Data Missing ⚠",VLOOKUP(V247,'G-7 Rivers Data'!$AG$4:$AI$9,2,FALSE)))</f>
        <v/>
      </c>
      <c r="X247" s="499" t="str">
        <f>IF(V247="","",IF(VLOOKUP(V247,'G-7 Rivers Data'!$AG$4:$AI$9,3,FALSE)=0,"Spatial Data Missing ⚠",VLOOKUP(V247,'G-7 Rivers Data'!$AG$4:$AI$9,3,FALSE)))</f>
        <v/>
      </c>
      <c r="Y247" s="498" t="str">
        <f>IFERROR(IF(OR(LEFT(P247,5)="Error ▲",LEFT(O247,5)="Error ▲"),"Check Data ⚠",IF(F247&lt;S247,'G-7 Rivers Data'!$R$3,INDEX('G-7 Rivers Data'!$U$5:$Y$9,MATCH(G247,'G-7 Rivers Data'!$T$5:$T$9,0),MATCH(T247,'G-7 Rivers Data'!$U$4:$Y$4,0)))),"")</f>
        <v/>
      </c>
      <c r="Z247" s="195"/>
      <c r="AA247" s="195"/>
      <c r="AB247" s="507" t="str">
        <f t="shared" si="27"/>
        <v/>
      </c>
      <c r="AC247" s="521" t="str">
        <f t="shared" si="28"/>
        <v/>
      </c>
      <c r="AD247" s="564" t="str">
        <f>IFERROR(IF(AC247="Check Data ⚠","Check Data ⚠",VLOOKUP(AC247,'G-4 Temporal multipliers'!$A$4:$C$37,3,FALSE)),"")</f>
        <v/>
      </c>
      <c r="AE247" s="498" t="str">
        <f>IF(N247="","",VLOOKUP(N247,'G-7 Rivers Data'!$B$4:$G$8,5,FALSE))</f>
        <v/>
      </c>
      <c r="AF247" s="507" t="str">
        <f t="shared" si="29"/>
        <v/>
      </c>
      <c r="AG247" s="540" t="str">
        <f t="shared" si="30"/>
        <v/>
      </c>
      <c r="AH247" s="499" t="str">
        <f t="shared" si="24"/>
        <v/>
      </c>
      <c r="AI247" s="145"/>
      <c r="AJ247" s="499" t="str">
        <f>IF(AI247="","",IF(VLOOKUP(AI247,'G-7 Rivers Data'!$AA$4:$AB$7,2,FALSE)=0,"Spatial Data Missing ⚠",VLOOKUP(AI247,'G-7 Rivers Data'!$AA$4:$AB$7,2,FALSE)))</f>
        <v/>
      </c>
      <c r="AK247" s="155"/>
      <c r="AL247" s="499" t="str">
        <f>IF(AK247="","",IF(VLOOKUP(AK247,'G-7 Rivers Data'!$AD$4:$AE$8,2,FALSE)=0,"Spatial Data Missing ⚠",VLOOKUP(AK247,'G-7 Rivers Data'!$AD$4:$AE$8,2,FALSE)))</f>
        <v/>
      </c>
      <c r="AM247" s="545" t="str">
        <f t="shared" si="31"/>
        <v/>
      </c>
      <c r="AN247" s="149"/>
      <c r="AO247" s="150"/>
      <c r="AV247" s="31" t="str">
        <f>IFERROR(INDEX('G-7 Rivers Data'!$AZ$3:$AZ$7,MATCH(N247,'G-7 Rivers Data'!$AY$3:$AY$7,0)),"")</f>
        <v/>
      </c>
    </row>
    <row r="248" spans="2:48" ht="13.8" x14ac:dyDescent="0.25">
      <c r="B248" s="531" t="str">
        <f>'C-1 Site River Baseline'!AN246</f>
        <v/>
      </c>
      <c r="C248" s="520" t="str">
        <f>IF(B248="","",VLOOKUP($B248,'C-1 Site River Baseline'!$C$9:$R$257,2,FALSE))</f>
        <v/>
      </c>
      <c r="D248" s="520" t="str">
        <f>IF(C248="","",VLOOKUP($B248,'C-1 Site River Baseline'!$C$9:$R$257,3,FALSE))</f>
        <v/>
      </c>
      <c r="E248" s="520" t="str">
        <f>IF(D248="","",VLOOKUP($B248,'C-1 Site River Baseline'!$C$9:$R$257,4,FALSE))</f>
        <v/>
      </c>
      <c r="F248" s="520" t="str">
        <f>IF(E248="","",VLOOKUP($B248,'C-1 Site River Baseline'!$C$9:$R$257,5,FALSE))</f>
        <v/>
      </c>
      <c r="G248" s="520" t="str">
        <f>IF(F248="","",VLOOKUP($B248,'C-1 Site River Baseline'!$C$9:$R$257,6,FALSE))</f>
        <v/>
      </c>
      <c r="H248" s="520" t="str">
        <f>IF(G248="","",VLOOKUP($B248,'C-1 Site River Baseline'!$C$9:$R$257,7,FALSE))</f>
        <v/>
      </c>
      <c r="I248" s="520" t="str">
        <f>IF(H248="","",VLOOKUP($B248,'C-1 Site River Baseline'!$C$9:$R$257,8,FALSE))</f>
        <v/>
      </c>
      <c r="J248" s="520" t="str">
        <f>IF(I248="","",VLOOKUP($B248,'C-1 Site River Baseline'!$C$9:$R$257,9,FALSE))</f>
        <v/>
      </c>
      <c r="K248" s="520" t="str">
        <f>IF(J248="","",VLOOKUP($B248,'C-1 Site River Baseline'!$C$9:$R$257,10,FALSE))</f>
        <v/>
      </c>
      <c r="L248" s="520" t="str">
        <f>IF(B248="","",VLOOKUP($B248,'C-1 Site River Baseline'!$C$9:$R$257,15,FALSE))</f>
        <v/>
      </c>
      <c r="M248" s="524" t="str">
        <f>IF(L248="","",VLOOKUP($B248,'C-1 Site River Baseline'!$C$9:$R$257,16,FALSE))</f>
        <v/>
      </c>
      <c r="N248" s="418" t="str">
        <f t="shared" si="25"/>
        <v/>
      </c>
      <c r="O248" s="498" t="str">
        <f t="shared" si="26"/>
        <v/>
      </c>
      <c r="P248" s="499" t="str">
        <f>IF(C248="","",IF(AND(LEFT(C248,55)&lt;&gt;LEFT(N248,55),O248="High - High"),"Error - Not like for like ▲",IF(AND(F248=S248,H248&gt;U248),"Error - Can not reduce condition ▲",IF(AND(F248=S248,H248=U248,AJ248='C-1 Site River Baseline'!N246,'C-1 Site River Baseline'!P246=AL248),"Error - No enhancement ▲",IF(AND(C248&lt;&gt;N248,F248&lt;S248),"Lower Distinctiveness Habitat"&amp;" - "&amp;T248,G248&amp;" - "&amp;T248)))))</f>
        <v/>
      </c>
      <c r="Q248" s="567" t="str">
        <f>IF(N248="","",VLOOKUP(B248,'C-1 Site River Baseline'!$C$10:$AA$257,19,FALSE))</f>
        <v/>
      </c>
      <c r="R248" s="498" t="str">
        <f>IF(N248="","",VLOOKUP(N248,'G-7 Rivers Data'!$B$2:$G$8,2,FALSE))</f>
        <v/>
      </c>
      <c r="S248" s="499" t="str">
        <f>IFERROR(VLOOKUP(R248,'G-7 Rivers Data'!$C$4:$D$8,2,FALSE),"")</f>
        <v/>
      </c>
      <c r="T248" s="145"/>
      <c r="U248" s="499" t="str">
        <f>IFERROR(INDEX('G-7 Rivers Data'!$H$4:$L$8,MATCH(N248,'G-7 Rivers Data'!$B$4:$B$8,0),MATCH(T248,'G-7 Rivers Data'!$H$3:$L$3,0)),"")</f>
        <v/>
      </c>
      <c r="V248" s="154"/>
      <c r="W248" s="507" t="str">
        <f>IF(V248="","",IF(VLOOKUP(V248,'G-7 Rivers Data'!$AG$4:$AI$9,2,FALSE)=0,"Spatial Data Missing ⚠",VLOOKUP(V248,'G-7 Rivers Data'!$AG$4:$AI$9,2,FALSE)))</f>
        <v/>
      </c>
      <c r="X248" s="499" t="str">
        <f>IF(V248="","",IF(VLOOKUP(V248,'G-7 Rivers Data'!$AG$4:$AI$9,3,FALSE)=0,"Spatial Data Missing ⚠",VLOOKUP(V248,'G-7 Rivers Data'!$AG$4:$AI$9,3,FALSE)))</f>
        <v/>
      </c>
      <c r="Y248" s="498" t="str">
        <f>IFERROR(IF(OR(LEFT(P248,5)="Error ▲",LEFT(O248,5)="Error ▲"),"Check Data ⚠",IF(F248&lt;S248,'G-7 Rivers Data'!$R$3,INDEX('G-7 Rivers Data'!$U$5:$Y$9,MATCH(G248,'G-7 Rivers Data'!$T$5:$T$9,0),MATCH(T248,'G-7 Rivers Data'!$U$4:$Y$4,0)))),"")</f>
        <v/>
      </c>
      <c r="Z248" s="195"/>
      <c r="AA248" s="195"/>
      <c r="AB248" s="507" t="str">
        <f t="shared" si="27"/>
        <v/>
      </c>
      <c r="AC248" s="521" t="str">
        <f t="shared" si="28"/>
        <v/>
      </c>
      <c r="AD248" s="564" t="str">
        <f>IFERROR(IF(AC248="Check Data ⚠","Check Data ⚠",VLOOKUP(AC248,'G-4 Temporal multipliers'!$A$4:$C$37,3,FALSE)),"")</f>
        <v/>
      </c>
      <c r="AE248" s="498" t="str">
        <f>IF(N248="","",VLOOKUP(N248,'G-7 Rivers Data'!$B$4:$G$8,5,FALSE))</f>
        <v/>
      </c>
      <c r="AF248" s="507" t="str">
        <f t="shared" si="29"/>
        <v/>
      </c>
      <c r="AG248" s="540" t="str">
        <f t="shared" si="30"/>
        <v/>
      </c>
      <c r="AH248" s="499" t="str">
        <f t="shared" si="24"/>
        <v/>
      </c>
      <c r="AI248" s="145"/>
      <c r="AJ248" s="499" t="str">
        <f>IF(AI248="","",IF(VLOOKUP(AI248,'G-7 Rivers Data'!$AA$4:$AB$7,2,FALSE)=0,"Spatial Data Missing ⚠",VLOOKUP(AI248,'G-7 Rivers Data'!$AA$4:$AB$7,2,FALSE)))</f>
        <v/>
      </c>
      <c r="AK248" s="155"/>
      <c r="AL248" s="499" t="str">
        <f>IF(AK248="","",IF(VLOOKUP(AK248,'G-7 Rivers Data'!$AD$4:$AE$8,2,FALSE)=0,"Spatial Data Missing ⚠",VLOOKUP(AK248,'G-7 Rivers Data'!$AD$4:$AE$8,2,FALSE)))</f>
        <v/>
      </c>
      <c r="AM248" s="545" t="str">
        <f t="shared" si="31"/>
        <v/>
      </c>
      <c r="AN248" s="149"/>
      <c r="AO248" s="150"/>
      <c r="AV248" s="31" t="str">
        <f>IFERROR(INDEX('G-7 Rivers Data'!$AZ$3:$AZ$7,MATCH(N248,'G-7 Rivers Data'!$AY$3:$AY$7,0)),"")</f>
        <v/>
      </c>
    </row>
    <row r="249" spans="2:48" ht="13.8" x14ac:dyDescent="0.25">
      <c r="B249" s="531" t="str">
        <f>'C-1 Site River Baseline'!AN247</f>
        <v/>
      </c>
      <c r="C249" s="520" t="str">
        <f>IF(B249="","",VLOOKUP($B249,'C-1 Site River Baseline'!$C$9:$R$257,2,FALSE))</f>
        <v/>
      </c>
      <c r="D249" s="520" t="str">
        <f>IF(C249="","",VLOOKUP($B249,'C-1 Site River Baseline'!$C$9:$R$257,3,FALSE))</f>
        <v/>
      </c>
      <c r="E249" s="520" t="str">
        <f>IF(D249="","",VLOOKUP($B249,'C-1 Site River Baseline'!$C$9:$R$257,4,FALSE))</f>
        <v/>
      </c>
      <c r="F249" s="520" t="str">
        <f>IF(E249="","",VLOOKUP($B249,'C-1 Site River Baseline'!$C$9:$R$257,5,FALSE))</f>
        <v/>
      </c>
      <c r="G249" s="520" t="str">
        <f>IF(F249="","",VLOOKUP($B249,'C-1 Site River Baseline'!$C$9:$R$257,6,FALSE))</f>
        <v/>
      </c>
      <c r="H249" s="520" t="str">
        <f>IF(G249="","",VLOOKUP($B249,'C-1 Site River Baseline'!$C$9:$R$257,7,FALSE))</f>
        <v/>
      </c>
      <c r="I249" s="520" t="str">
        <f>IF(H249="","",VLOOKUP($B249,'C-1 Site River Baseline'!$C$9:$R$257,8,FALSE))</f>
        <v/>
      </c>
      <c r="J249" s="520" t="str">
        <f>IF(I249="","",VLOOKUP($B249,'C-1 Site River Baseline'!$C$9:$R$257,9,FALSE))</f>
        <v/>
      </c>
      <c r="K249" s="520" t="str">
        <f>IF(J249="","",VLOOKUP($B249,'C-1 Site River Baseline'!$C$9:$R$257,10,FALSE))</f>
        <v/>
      </c>
      <c r="L249" s="520" t="str">
        <f>IF(B249="","",VLOOKUP($B249,'C-1 Site River Baseline'!$C$9:$R$257,15,FALSE))</f>
        <v/>
      </c>
      <c r="M249" s="524" t="str">
        <f>IF(L249="","",VLOOKUP($B249,'C-1 Site River Baseline'!$C$9:$R$257,16,FALSE))</f>
        <v/>
      </c>
      <c r="N249" s="418" t="str">
        <f t="shared" si="25"/>
        <v/>
      </c>
      <c r="O249" s="498" t="str">
        <f t="shared" si="26"/>
        <v/>
      </c>
      <c r="P249" s="499" t="str">
        <f>IF(C249="","",IF(AND(LEFT(C249,55)&lt;&gt;LEFT(N249,55),O249="High - High"),"Error - Not like for like ▲",IF(AND(F249=S249,H249&gt;U249),"Error - Can not reduce condition ▲",IF(AND(F249=S249,H249=U249,AJ249='C-1 Site River Baseline'!N247,'C-1 Site River Baseline'!P247=AL249),"Error - No enhancement ▲",IF(AND(C249&lt;&gt;N249,F249&lt;S249),"Lower Distinctiveness Habitat"&amp;" - "&amp;T249,G249&amp;" - "&amp;T249)))))</f>
        <v/>
      </c>
      <c r="Q249" s="567" t="str">
        <f>IF(N249="","",VLOOKUP(B249,'C-1 Site River Baseline'!$C$10:$AA$257,19,FALSE))</f>
        <v/>
      </c>
      <c r="R249" s="498" t="str">
        <f>IF(N249="","",VLOOKUP(N249,'G-7 Rivers Data'!$B$2:$G$8,2,FALSE))</f>
        <v/>
      </c>
      <c r="S249" s="499" t="str">
        <f>IFERROR(VLOOKUP(R249,'G-7 Rivers Data'!$C$4:$D$8,2,FALSE),"")</f>
        <v/>
      </c>
      <c r="T249" s="145"/>
      <c r="U249" s="499" t="str">
        <f>IFERROR(INDEX('G-7 Rivers Data'!$H$4:$L$8,MATCH(N249,'G-7 Rivers Data'!$B$4:$B$8,0),MATCH(T249,'G-7 Rivers Data'!$H$3:$L$3,0)),"")</f>
        <v/>
      </c>
      <c r="V249" s="154"/>
      <c r="W249" s="507" t="str">
        <f>IF(V249="","",IF(VLOOKUP(V249,'G-7 Rivers Data'!$AG$4:$AI$9,2,FALSE)=0,"Spatial Data Missing ⚠",VLOOKUP(V249,'G-7 Rivers Data'!$AG$4:$AI$9,2,FALSE)))</f>
        <v/>
      </c>
      <c r="X249" s="499" t="str">
        <f>IF(V249="","",IF(VLOOKUP(V249,'G-7 Rivers Data'!$AG$4:$AI$9,3,FALSE)=0,"Spatial Data Missing ⚠",VLOOKUP(V249,'G-7 Rivers Data'!$AG$4:$AI$9,3,FALSE)))</f>
        <v/>
      </c>
      <c r="Y249" s="498" t="str">
        <f>IFERROR(IF(OR(LEFT(P249,5)="Error ▲",LEFT(O249,5)="Error ▲"),"Check Data ⚠",IF(F249&lt;S249,'G-7 Rivers Data'!$R$3,INDEX('G-7 Rivers Data'!$U$5:$Y$9,MATCH(G249,'G-7 Rivers Data'!$T$5:$T$9,0),MATCH(T249,'G-7 Rivers Data'!$U$4:$Y$4,0)))),"")</f>
        <v/>
      </c>
      <c r="Z249" s="195"/>
      <c r="AA249" s="195"/>
      <c r="AB249" s="507" t="str">
        <f t="shared" si="27"/>
        <v/>
      </c>
      <c r="AC249" s="521" t="str">
        <f t="shared" si="28"/>
        <v/>
      </c>
      <c r="AD249" s="564" t="str">
        <f>IFERROR(IF(AC249="Check Data ⚠","Check Data ⚠",VLOOKUP(AC249,'G-4 Temporal multipliers'!$A$4:$C$37,3,FALSE)),"")</f>
        <v/>
      </c>
      <c r="AE249" s="498" t="str">
        <f>IF(N249="","",VLOOKUP(N249,'G-7 Rivers Data'!$B$4:$G$8,5,FALSE))</f>
        <v/>
      </c>
      <c r="AF249" s="507" t="str">
        <f t="shared" si="29"/>
        <v/>
      </c>
      <c r="AG249" s="540" t="str">
        <f t="shared" si="30"/>
        <v/>
      </c>
      <c r="AH249" s="499" t="str">
        <f t="shared" si="24"/>
        <v/>
      </c>
      <c r="AI249" s="145"/>
      <c r="AJ249" s="499" t="str">
        <f>IF(AI249="","",IF(VLOOKUP(AI249,'G-7 Rivers Data'!$AA$4:$AB$7,2,FALSE)=0,"Spatial Data Missing ⚠",VLOOKUP(AI249,'G-7 Rivers Data'!$AA$4:$AB$7,2,FALSE)))</f>
        <v/>
      </c>
      <c r="AK249" s="155"/>
      <c r="AL249" s="499" t="str">
        <f>IF(AK249="","",IF(VLOOKUP(AK249,'G-7 Rivers Data'!$AD$4:$AE$8,2,FALSE)=0,"Spatial Data Missing ⚠",VLOOKUP(AK249,'G-7 Rivers Data'!$AD$4:$AE$8,2,FALSE)))</f>
        <v/>
      </c>
      <c r="AM249" s="545" t="str">
        <f t="shared" si="31"/>
        <v/>
      </c>
      <c r="AN249" s="149"/>
      <c r="AO249" s="150"/>
      <c r="AV249" s="31" t="str">
        <f>IFERROR(INDEX('G-7 Rivers Data'!$AZ$3:$AZ$7,MATCH(N249,'G-7 Rivers Data'!$AY$3:$AY$7,0)),"")</f>
        <v/>
      </c>
    </row>
    <row r="250" spans="2:48" ht="13.8" x14ac:dyDescent="0.25">
      <c r="B250" s="531" t="str">
        <f>'C-1 Site River Baseline'!AN248</f>
        <v/>
      </c>
      <c r="C250" s="520" t="str">
        <f>IF(B250="","",VLOOKUP($B250,'C-1 Site River Baseline'!$C$9:$R$257,2,FALSE))</f>
        <v/>
      </c>
      <c r="D250" s="520" t="str">
        <f>IF(C250="","",VLOOKUP($B250,'C-1 Site River Baseline'!$C$9:$R$257,3,FALSE))</f>
        <v/>
      </c>
      <c r="E250" s="520" t="str">
        <f>IF(D250="","",VLOOKUP($B250,'C-1 Site River Baseline'!$C$9:$R$257,4,FALSE))</f>
        <v/>
      </c>
      <c r="F250" s="520" t="str">
        <f>IF(E250="","",VLOOKUP($B250,'C-1 Site River Baseline'!$C$9:$R$257,5,FALSE))</f>
        <v/>
      </c>
      <c r="G250" s="520" t="str">
        <f>IF(F250="","",VLOOKUP($B250,'C-1 Site River Baseline'!$C$9:$R$257,6,FALSE))</f>
        <v/>
      </c>
      <c r="H250" s="520" t="str">
        <f>IF(G250="","",VLOOKUP($B250,'C-1 Site River Baseline'!$C$9:$R$257,7,FALSE))</f>
        <v/>
      </c>
      <c r="I250" s="520" t="str">
        <f>IF(H250="","",VLOOKUP($B250,'C-1 Site River Baseline'!$C$9:$R$257,8,FALSE))</f>
        <v/>
      </c>
      <c r="J250" s="520" t="str">
        <f>IF(I250="","",VLOOKUP($B250,'C-1 Site River Baseline'!$C$9:$R$257,9,FALSE))</f>
        <v/>
      </c>
      <c r="K250" s="520" t="str">
        <f>IF(J250="","",VLOOKUP($B250,'C-1 Site River Baseline'!$C$9:$R$257,10,FALSE))</f>
        <v/>
      </c>
      <c r="L250" s="520" t="str">
        <f>IF(B250="","",VLOOKUP($B250,'C-1 Site River Baseline'!$C$9:$R$257,15,FALSE))</f>
        <v/>
      </c>
      <c r="M250" s="524" t="str">
        <f>IF(L250="","",VLOOKUP($B250,'C-1 Site River Baseline'!$C$9:$R$257,16,FALSE))</f>
        <v/>
      </c>
      <c r="N250" s="418" t="str">
        <f t="shared" si="25"/>
        <v/>
      </c>
      <c r="O250" s="498" t="str">
        <f t="shared" si="26"/>
        <v/>
      </c>
      <c r="P250" s="499" t="str">
        <f>IF(C250="","",IF(AND(LEFT(C250,55)&lt;&gt;LEFT(N250,55),O250="High - High"),"Error - Not like for like ▲",IF(AND(F250=S250,H250&gt;U250),"Error - Can not reduce condition ▲",IF(AND(F250=S250,H250=U250,AJ250='C-1 Site River Baseline'!N248,'C-1 Site River Baseline'!P248=AL250),"Error - No enhancement ▲",IF(AND(C250&lt;&gt;N250,F250&lt;S250),"Lower Distinctiveness Habitat"&amp;" - "&amp;T250,G250&amp;" - "&amp;T250)))))</f>
        <v/>
      </c>
      <c r="Q250" s="567" t="str">
        <f>IF(N250="","",VLOOKUP(B250,'C-1 Site River Baseline'!$C$10:$AA$257,19,FALSE))</f>
        <v/>
      </c>
      <c r="R250" s="498" t="str">
        <f>IF(N250="","",VLOOKUP(N250,'G-7 Rivers Data'!$B$2:$G$8,2,FALSE))</f>
        <v/>
      </c>
      <c r="S250" s="499" t="str">
        <f>IFERROR(VLOOKUP(R250,'G-7 Rivers Data'!$C$4:$D$8,2,FALSE),"")</f>
        <v/>
      </c>
      <c r="T250" s="145"/>
      <c r="U250" s="499" t="str">
        <f>IFERROR(INDEX('G-7 Rivers Data'!$H$4:$L$8,MATCH(N250,'G-7 Rivers Data'!$B$4:$B$8,0),MATCH(T250,'G-7 Rivers Data'!$H$3:$L$3,0)),"")</f>
        <v/>
      </c>
      <c r="V250" s="154"/>
      <c r="W250" s="507" t="str">
        <f>IF(V250="","",IF(VLOOKUP(V250,'G-7 Rivers Data'!$AG$4:$AI$9,2,FALSE)=0,"Spatial Data Missing ⚠",VLOOKUP(V250,'G-7 Rivers Data'!$AG$4:$AI$9,2,FALSE)))</f>
        <v/>
      </c>
      <c r="X250" s="499" t="str">
        <f>IF(V250="","",IF(VLOOKUP(V250,'G-7 Rivers Data'!$AG$4:$AI$9,3,FALSE)=0,"Spatial Data Missing ⚠",VLOOKUP(V250,'G-7 Rivers Data'!$AG$4:$AI$9,3,FALSE)))</f>
        <v/>
      </c>
      <c r="Y250" s="498" t="str">
        <f>IFERROR(IF(OR(LEFT(P250,5)="Error ▲",LEFT(O250,5)="Error ▲"),"Check Data ⚠",IF(F250&lt;S250,'G-7 Rivers Data'!$R$3,INDEX('G-7 Rivers Data'!$U$5:$Y$9,MATCH(G250,'G-7 Rivers Data'!$T$5:$T$9,0),MATCH(T250,'G-7 Rivers Data'!$U$4:$Y$4,0)))),"")</f>
        <v/>
      </c>
      <c r="Z250" s="195"/>
      <c r="AA250" s="195"/>
      <c r="AB250" s="507" t="str">
        <f t="shared" si="27"/>
        <v/>
      </c>
      <c r="AC250" s="521" t="str">
        <f t="shared" si="28"/>
        <v/>
      </c>
      <c r="AD250" s="564" t="str">
        <f>IFERROR(IF(AC250="Check Data ⚠","Check Data ⚠",VLOOKUP(AC250,'G-4 Temporal multipliers'!$A$4:$C$37,3,FALSE)),"")</f>
        <v/>
      </c>
      <c r="AE250" s="498" t="str">
        <f>IF(N250="","",VLOOKUP(N250,'G-7 Rivers Data'!$B$4:$G$8,5,FALSE))</f>
        <v/>
      </c>
      <c r="AF250" s="507" t="str">
        <f t="shared" si="29"/>
        <v/>
      </c>
      <c r="AG250" s="540" t="str">
        <f t="shared" si="30"/>
        <v/>
      </c>
      <c r="AH250" s="499" t="str">
        <f t="shared" si="24"/>
        <v/>
      </c>
      <c r="AI250" s="145"/>
      <c r="AJ250" s="499" t="str">
        <f>IF(AI250="","",IF(VLOOKUP(AI250,'G-7 Rivers Data'!$AA$4:$AB$7,2,FALSE)=0,"Spatial Data Missing ⚠",VLOOKUP(AI250,'G-7 Rivers Data'!$AA$4:$AB$7,2,FALSE)))</f>
        <v/>
      </c>
      <c r="AK250" s="155"/>
      <c r="AL250" s="499" t="str">
        <f>IF(AK250="","",IF(VLOOKUP(AK250,'G-7 Rivers Data'!$AD$4:$AE$8,2,FALSE)=0,"Spatial Data Missing ⚠",VLOOKUP(AK250,'G-7 Rivers Data'!$AD$4:$AE$8,2,FALSE)))</f>
        <v/>
      </c>
      <c r="AM250" s="545" t="str">
        <f t="shared" si="31"/>
        <v/>
      </c>
      <c r="AN250" s="149"/>
      <c r="AO250" s="150"/>
      <c r="AV250" s="31" t="str">
        <f>IFERROR(INDEX('G-7 Rivers Data'!$AZ$3:$AZ$7,MATCH(N250,'G-7 Rivers Data'!$AY$3:$AY$7,0)),"")</f>
        <v/>
      </c>
    </row>
    <row r="251" spans="2:48" ht="13.8" x14ac:dyDescent="0.25">
      <c r="B251" s="531" t="str">
        <f>'C-1 Site River Baseline'!AN249</f>
        <v/>
      </c>
      <c r="C251" s="520" t="str">
        <f>IF(B251="","",VLOOKUP($B251,'C-1 Site River Baseline'!$C$9:$R$257,2,FALSE))</f>
        <v/>
      </c>
      <c r="D251" s="520" t="str">
        <f>IF(C251="","",VLOOKUP($B251,'C-1 Site River Baseline'!$C$9:$R$257,3,FALSE))</f>
        <v/>
      </c>
      <c r="E251" s="520" t="str">
        <f>IF(D251="","",VLOOKUP($B251,'C-1 Site River Baseline'!$C$9:$R$257,4,FALSE))</f>
        <v/>
      </c>
      <c r="F251" s="520" t="str">
        <f>IF(E251="","",VLOOKUP($B251,'C-1 Site River Baseline'!$C$9:$R$257,5,FALSE))</f>
        <v/>
      </c>
      <c r="G251" s="520" t="str">
        <f>IF(F251="","",VLOOKUP($B251,'C-1 Site River Baseline'!$C$9:$R$257,6,FALSE))</f>
        <v/>
      </c>
      <c r="H251" s="520" t="str">
        <f>IF(G251="","",VLOOKUP($B251,'C-1 Site River Baseline'!$C$9:$R$257,7,FALSE))</f>
        <v/>
      </c>
      <c r="I251" s="520" t="str">
        <f>IF(H251="","",VLOOKUP($B251,'C-1 Site River Baseline'!$C$9:$R$257,8,FALSE))</f>
        <v/>
      </c>
      <c r="J251" s="520" t="str">
        <f>IF(I251="","",VLOOKUP($B251,'C-1 Site River Baseline'!$C$9:$R$257,9,FALSE))</f>
        <v/>
      </c>
      <c r="K251" s="520" t="str">
        <f>IF(J251="","",VLOOKUP($B251,'C-1 Site River Baseline'!$C$9:$R$257,10,FALSE))</f>
        <v/>
      </c>
      <c r="L251" s="520" t="str">
        <f>IF(B251="","",VLOOKUP($B251,'C-1 Site River Baseline'!$C$9:$R$257,15,FALSE))</f>
        <v/>
      </c>
      <c r="M251" s="524" t="str">
        <f>IF(L251="","",VLOOKUP($B251,'C-1 Site River Baseline'!$C$9:$R$257,16,FALSE))</f>
        <v/>
      </c>
      <c r="N251" s="418" t="str">
        <f t="shared" si="25"/>
        <v/>
      </c>
      <c r="O251" s="498" t="str">
        <f t="shared" si="26"/>
        <v/>
      </c>
      <c r="P251" s="499" t="str">
        <f>IF(C251="","",IF(AND(LEFT(C251,55)&lt;&gt;LEFT(N251,55),O251="High - High"),"Error - Not like for like ▲",IF(AND(F251=S251,H251&gt;U251),"Error - Can not reduce condition ▲",IF(AND(F251=S251,H251=U251,AJ251='C-1 Site River Baseline'!N249,'C-1 Site River Baseline'!P249=AL251),"Error - No enhancement ▲",IF(AND(C251&lt;&gt;N251,F251&lt;S251),"Lower Distinctiveness Habitat"&amp;" - "&amp;T251,G251&amp;" - "&amp;T251)))))</f>
        <v/>
      </c>
      <c r="Q251" s="567" t="str">
        <f>IF(N251="","",VLOOKUP(B251,'C-1 Site River Baseline'!$C$10:$AA$257,19,FALSE))</f>
        <v/>
      </c>
      <c r="R251" s="498" t="str">
        <f>IF(N251="","",VLOOKUP(N251,'G-7 Rivers Data'!$B$2:$G$8,2,FALSE))</f>
        <v/>
      </c>
      <c r="S251" s="499" t="str">
        <f>IFERROR(VLOOKUP(R251,'G-7 Rivers Data'!$C$4:$D$8,2,FALSE),"")</f>
        <v/>
      </c>
      <c r="T251" s="145"/>
      <c r="U251" s="499" t="str">
        <f>IFERROR(INDEX('G-7 Rivers Data'!$H$4:$L$8,MATCH(N251,'G-7 Rivers Data'!$B$4:$B$8,0),MATCH(T251,'G-7 Rivers Data'!$H$3:$L$3,0)),"")</f>
        <v/>
      </c>
      <c r="V251" s="154"/>
      <c r="W251" s="507" t="str">
        <f>IF(V251="","",IF(VLOOKUP(V251,'G-7 Rivers Data'!$AG$4:$AI$9,2,FALSE)=0,"Spatial Data Missing ⚠",VLOOKUP(V251,'G-7 Rivers Data'!$AG$4:$AI$9,2,FALSE)))</f>
        <v/>
      </c>
      <c r="X251" s="499" t="str">
        <f>IF(V251="","",IF(VLOOKUP(V251,'G-7 Rivers Data'!$AG$4:$AI$9,3,FALSE)=0,"Spatial Data Missing ⚠",VLOOKUP(V251,'G-7 Rivers Data'!$AG$4:$AI$9,3,FALSE)))</f>
        <v/>
      </c>
      <c r="Y251" s="498" t="str">
        <f>IFERROR(IF(OR(LEFT(P251,5)="Error ▲",LEFT(O251,5)="Error ▲"),"Check Data ⚠",IF(F251&lt;S251,'G-7 Rivers Data'!$R$3,INDEX('G-7 Rivers Data'!$U$5:$Y$9,MATCH(G251,'G-7 Rivers Data'!$T$5:$T$9,0),MATCH(T251,'G-7 Rivers Data'!$U$4:$Y$4,0)))),"")</f>
        <v/>
      </c>
      <c r="Z251" s="195"/>
      <c r="AA251" s="195"/>
      <c r="AB251" s="507" t="str">
        <f t="shared" si="27"/>
        <v/>
      </c>
      <c r="AC251" s="521" t="str">
        <f t="shared" si="28"/>
        <v/>
      </c>
      <c r="AD251" s="564" t="str">
        <f>IFERROR(IF(AC251="Check Data ⚠","Check Data ⚠",VLOOKUP(AC251,'G-4 Temporal multipliers'!$A$4:$C$37,3,FALSE)),"")</f>
        <v/>
      </c>
      <c r="AE251" s="498" t="str">
        <f>IF(N251="","",VLOOKUP(N251,'G-7 Rivers Data'!$B$4:$G$8,5,FALSE))</f>
        <v/>
      </c>
      <c r="AF251" s="507" t="str">
        <f t="shared" si="29"/>
        <v/>
      </c>
      <c r="AG251" s="540" t="str">
        <f t="shared" si="30"/>
        <v/>
      </c>
      <c r="AH251" s="499" t="str">
        <f t="shared" si="24"/>
        <v/>
      </c>
      <c r="AI251" s="145"/>
      <c r="AJ251" s="499" t="str">
        <f>IF(AI251="","",IF(VLOOKUP(AI251,'G-7 Rivers Data'!$AA$4:$AB$7,2,FALSE)=0,"Spatial Data Missing ⚠",VLOOKUP(AI251,'G-7 Rivers Data'!$AA$4:$AB$7,2,FALSE)))</f>
        <v/>
      </c>
      <c r="AK251" s="155"/>
      <c r="AL251" s="499" t="str">
        <f>IF(AK251="","",IF(VLOOKUP(AK251,'G-7 Rivers Data'!$AD$4:$AE$8,2,FALSE)=0,"Spatial Data Missing ⚠",VLOOKUP(AK251,'G-7 Rivers Data'!$AD$4:$AE$8,2,FALSE)))</f>
        <v/>
      </c>
      <c r="AM251" s="545" t="str">
        <f t="shared" si="31"/>
        <v/>
      </c>
      <c r="AN251" s="149"/>
      <c r="AO251" s="150"/>
      <c r="AV251" s="31" t="str">
        <f>IFERROR(INDEX('G-7 Rivers Data'!$AZ$3:$AZ$7,MATCH(N251,'G-7 Rivers Data'!$AY$3:$AY$7,0)),"")</f>
        <v/>
      </c>
    </row>
    <row r="252" spans="2:48" ht="13.8" x14ac:dyDescent="0.25">
      <c r="B252" s="531" t="str">
        <f>'C-1 Site River Baseline'!AN250</f>
        <v/>
      </c>
      <c r="C252" s="520" t="str">
        <f>IF(B252="","",VLOOKUP($B252,'C-1 Site River Baseline'!$C$9:$R$257,2,FALSE))</f>
        <v/>
      </c>
      <c r="D252" s="520" t="str">
        <f>IF(C252="","",VLOOKUP($B252,'C-1 Site River Baseline'!$C$9:$R$257,3,FALSE))</f>
        <v/>
      </c>
      <c r="E252" s="520" t="str">
        <f>IF(D252="","",VLOOKUP($B252,'C-1 Site River Baseline'!$C$9:$R$257,4,FALSE))</f>
        <v/>
      </c>
      <c r="F252" s="520" t="str">
        <f>IF(E252="","",VLOOKUP($B252,'C-1 Site River Baseline'!$C$9:$R$257,5,FALSE))</f>
        <v/>
      </c>
      <c r="G252" s="520" t="str">
        <f>IF(F252="","",VLOOKUP($B252,'C-1 Site River Baseline'!$C$9:$R$257,6,FALSE))</f>
        <v/>
      </c>
      <c r="H252" s="520" t="str">
        <f>IF(G252="","",VLOOKUP($B252,'C-1 Site River Baseline'!$C$9:$R$257,7,FALSE))</f>
        <v/>
      </c>
      <c r="I252" s="520" t="str">
        <f>IF(H252="","",VLOOKUP($B252,'C-1 Site River Baseline'!$C$9:$R$257,8,FALSE))</f>
        <v/>
      </c>
      <c r="J252" s="520" t="str">
        <f>IF(I252="","",VLOOKUP($B252,'C-1 Site River Baseline'!$C$9:$R$257,9,FALSE))</f>
        <v/>
      </c>
      <c r="K252" s="520" t="str">
        <f>IF(J252="","",VLOOKUP($B252,'C-1 Site River Baseline'!$C$9:$R$257,10,FALSE))</f>
        <v/>
      </c>
      <c r="L252" s="520" t="str">
        <f>IF(B252="","",VLOOKUP($B252,'C-1 Site River Baseline'!$C$9:$R$257,15,FALSE))</f>
        <v/>
      </c>
      <c r="M252" s="524" t="str">
        <f>IF(L252="","",VLOOKUP($B252,'C-1 Site River Baseline'!$C$9:$R$257,16,FALSE))</f>
        <v/>
      </c>
      <c r="N252" s="418" t="str">
        <f t="shared" si="25"/>
        <v/>
      </c>
      <c r="O252" s="498" t="str">
        <f t="shared" si="26"/>
        <v/>
      </c>
      <c r="P252" s="499" t="str">
        <f>IF(C252="","",IF(AND(LEFT(C252,55)&lt;&gt;LEFT(N252,55),O252="High - High"),"Error - Not like for like ▲",IF(AND(F252=S252,H252&gt;U252),"Error - Can not reduce condition ▲",IF(AND(F252=S252,H252=U252,AJ252='C-1 Site River Baseline'!N250,'C-1 Site River Baseline'!P250=AL252),"Error - No enhancement ▲",IF(AND(C252&lt;&gt;N252,F252&lt;S252),"Lower Distinctiveness Habitat"&amp;" - "&amp;T252,G252&amp;" - "&amp;T252)))))</f>
        <v/>
      </c>
      <c r="Q252" s="567" t="str">
        <f>IF(N252="","",VLOOKUP(B252,'C-1 Site River Baseline'!$C$10:$AA$257,19,FALSE))</f>
        <v/>
      </c>
      <c r="R252" s="498" t="str">
        <f>IF(N252="","",VLOOKUP(N252,'G-7 Rivers Data'!$B$2:$G$8,2,FALSE))</f>
        <v/>
      </c>
      <c r="S252" s="499" t="str">
        <f>IFERROR(VLOOKUP(R252,'G-7 Rivers Data'!$C$4:$D$8,2,FALSE),"")</f>
        <v/>
      </c>
      <c r="T252" s="145"/>
      <c r="U252" s="499" t="str">
        <f>IFERROR(INDEX('G-7 Rivers Data'!$H$4:$L$8,MATCH(N252,'G-7 Rivers Data'!$B$4:$B$8,0),MATCH(T252,'G-7 Rivers Data'!$H$3:$L$3,0)),"")</f>
        <v/>
      </c>
      <c r="V252" s="154"/>
      <c r="W252" s="507" t="str">
        <f>IF(V252="","",IF(VLOOKUP(V252,'G-7 Rivers Data'!$AG$4:$AI$9,2,FALSE)=0,"Spatial Data Missing ⚠",VLOOKUP(V252,'G-7 Rivers Data'!$AG$4:$AI$9,2,FALSE)))</f>
        <v/>
      </c>
      <c r="X252" s="499" t="str">
        <f>IF(V252="","",IF(VLOOKUP(V252,'G-7 Rivers Data'!$AG$4:$AI$9,3,FALSE)=0,"Spatial Data Missing ⚠",VLOOKUP(V252,'G-7 Rivers Data'!$AG$4:$AI$9,3,FALSE)))</f>
        <v/>
      </c>
      <c r="Y252" s="498" t="str">
        <f>IFERROR(IF(OR(LEFT(P252,5)="Error ▲",LEFT(O252,5)="Error ▲"),"Check Data ⚠",IF(F252&lt;S252,'G-7 Rivers Data'!$R$3,INDEX('G-7 Rivers Data'!$U$5:$Y$9,MATCH(G252,'G-7 Rivers Data'!$T$5:$T$9,0),MATCH(T252,'G-7 Rivers Data'!$U$4:$Y$4,0)))),"")</f>
        <v/>
      </c>
      <c r="Z252" s="195"/>
      <c r="AA252" s="195"/>
      <c r="AB252" s="507" t="str">
        <f t="shared" si="27"/>
        <v/>
      </c>
      <c r="AC252" s="521" t="str">
        <f t="shared" si="28"/>
        <v/>
      </c>
      <c r="AD252" s="564" t="str">
        <f>IFERROR(IF(AC252="Check Data ⚠","Check Data ⚠",VLOOKUP(AC252,'G-4 Temporal multipliers'!$A$4:$C$37,3,FALSE)),"")</f>
        <v/>
      </c>
      <c r="AE252" s="498" t="str">
        <f>IF(N252="","",VLOOKUP(N252,'G-7 Rivers Data'!$B$4:$G$8,5,FALSE))</f>
        <v/>
      </c>
      <c r="AF252" s="507" t="str">
        <f t="shared" si="29"/>
        <v/>
      </c>
      <c r="AG252" s="540" t="str">
        <f t="shared" si="30"/>
        <v/>
      </c>
      <c r="AH252" s="499" t="str">
        <f t="shared" si="24"/>
        <v/>
      </c>
      <c r="AI252" s="145"/>
      <c r="AJ252" s="499" t="str">
        <f>IF(AI252="","",IF(VLOOKUP(AI252,'G-7 Rivers Data'!$AA$4:$AB$7,2,FALSE)=0,"Spatial Data Missing ⚠",VLOOKUP(AI252,'G-7 Rivers Data'!$AA$4:$AB$7,2,FALSE)))</f>
        <v/>
      </c>
      <c r="AK252" s="155"/>
      <c r="AL252" s="499" t="str">
        <f>IF(AK252="","",IF(VLOOKUP(AK252,'G-7 Rivers Data'!$AD$4:$AE$8,2,FALSE)=0,"Spatial Data Missing ⚠",VLOOKUP(AK252,'G-7 Rivers Data'!$AD$4:$AE$8,2,FALSE)))</f>
        <v/>
      </c>
      <c r="AM252" s="545" t="str">
        <f t="shared" si="31"/>
        <v/>
      </c>
      <c r="AN252" s="149"/>
      <c r="AO252" s="150"/>
      <c r="AV252" s="31" t="str">
        <f>IFERROR(INDEX('G-7 Rivers Data'!$AZ$3:$AZ$7,MATCH(N252,'G-7 Rivers Data'!$AY$3:$AY$7,0)),"")</f>
        <v/>
      </c>
    </row>
    <row r="253" spans="2:48" ht="13.8" x14ac:dyDescent="0.25">
      <c r="B253" s="531" t="str">
        <f>'C-1 Site River Baseline'!AN251</f>
        <v/>
      </c>
      <c r="C253" s="520" t="str">
        <f>IF(B253="","",VLOOKUP($B253,'C-1 Site River Baseline'!$C$9:$R$257,2,FALSE))</f>
        <v/>
      </c>
      <c r="D253" s="520" t="str">
        <f>IF(C253="","",VLOOKUP($B253,'C-1 Site River Baseline'!$C$9:$R$257,3,FALSE))</f>
        <v/>
      </c>
      <c r="E253" s="520" t="str">
        <f>IF(D253="","",VLOOKUP($B253,'C-1 Site River Baseline'!$C$9:$R$257,4,FALSE))</f>
        <v/>
      </c>
      <c r="F253" s="520" t="str">
        <f>IF(E253="","",VLOOKUP($B253,'C-1 Site River Baseline'!$C$9:$R$257,5,FALSE))</f>
        <v/>
      </c>
      <c r="G253" s="520" t="str">
        <f>IF(F253="","",VLOOKUP($B253,'C-1 Site River Baseline'!$C$9:$R$257,6,FALSE))</f>
        <v/>
      </c>
      <c r="H253" s="520" t="str">
        <f>IF(G253="","",VLOOKUP($B253,'C-1 Site River Baseline'!$C$9:$R$257,7,FALSE))</f>
        <v/>
      </c>
      <c r="I253" s="520" t="str">
        <f>IF(H253="","",VLOOKUP($B253,'C-1 Site River Baseline'!$C$9:$R$257,8,FALSE))</f>
        <v/>
      </c>
      <c r="J253" s="520" t="str">
        <f>IF(I253="","",VLOOKUP($B253,'C-1 Site River Baseline'!$C$9:$R$257,9,FALSE))</f>
        <v/>
      </c>
      <c r="K253" s="520" t="str">
        <f>IF(J253="","",VLOOKUP($B253,'C-1 Site River Baseline'!$C$9:$R$257,10,FALSE))</f>
        <v/>
      </c>
      <c r="L253" s="520" t="str">
        <f>IF(B253="","",VLOOKUP($B253,'C-1 Site River Baseline'!$C$9:$R$257,15,FALSE))</f>
        <v/>
      </c>
      <c r="M253" s="524" t="str">
        <f>IF(L253="","",VLOOKUP($B253,'C-1 Site River Baseline'!$C$9:$R$257,16,FALSE))</f>
        <v/>
      </c>
      <c r="N253" s="418" t="str">
        <f t="shared" si="25"/>
        <v/>
      </c>
      <c r="O253" s="498" t="str">
        <f t="shared" si="26"/>
        <v/>
      </c>
      <c r="P253" s="499" t="str">
        <f>IF(C253="","",IF(AND(LEFT(C253,55)&lt;&gt;LEFT(N253,55),O253="High - High"),"Error - Not like for like ▲",IF(AND(F253=S253,H253&gt;U253),"Error - Can not reduce condition ▲",IF(AND(F253=S253,H253=U253,AJ253='C-1 Site River Baseline'!N251,'C-1 Site River Baseline'!P251=AL253),"Error - No enhancement ▲",IF(AND(C253&lt;&gt;N253,F253&lt;S253),"Lower Distinctiveness Habitat"&amp;" - "&amp;T253,G253&amp;" - "&amp;T253)))))</f>
        <v/>
      </c>
      <c r="Q253" s="567" t="str">
        <f>IF(N253="","",VLOOKUP(B253,'C-1 Site River Baseline'!$C$10:$AA$257,19,FALSE))</f>
        <v/>
      </c>
      <c r="R253" s="498" t="str">
        <f>IF(N253="","",VLOOKUP(N253,'G-7 Rivers Data'!$B$2:$G$8,2,FALSE))</f>
        <v/>
      </c>
      <c r="S253" s="499" t="str">
        <f>IFERROR(VLOOKUP(R253,'G-7 Rivers Data'!$C$4:$D$8,2,FALSE),"")</f>
        <v/>
      </c>
      <c r="T253" s="145"/>
      <c r="U253" s="499" t="str">
        <f>IFERROR(INDEX('G-7 Rivers Data'!$H$4:$L$8,MATCH(N253,'G-7 Rivers Data'!$B$4:$B$8,0),MATCH(T253,'G-7 Rivers Data'!$H$3:$L$3,0)),"")</f>
        <v/>
      </c>
      <c r="V253" s="154"/>
      <c r="W253" s="507" t="str">
        <f>IF(V253="","",IF(VLOOKUP(V253,'G-7 Rivers Data'!$AG$4:$AI$9,2,FALSE)=0,"Spatial Data Missing ⚠",VLOOKUP(V253,'G-7 Rivers Data'!$AG$4:$AI$9,2,FALSE)))</f>
        <v/>
      </c>
      <c r="X253" s="499" t="str">
        <f>IF(V253="","",IF(VLOOKUP(V253,'G-7 Rivers Data'!$AG$4:$AI$9,3,FALSE)=0,"Spatial Data Missing ⚠",VLOOKUP(V253,'G-7 Rivers Data'!$AG$4:$AI$9,3,FALSE)))</f>
        <v/>
      </c>
      <c r="Y253" s="498" t="str">
        <f>IFERROR(IF(OR(LEFT(P253,5)="Error ▲",LEFT(O253,5)="Error ▲"),"Check Data ⚠",IF(F253&lt;S253,'G-7 Rivers Data'!$R$3,INDEX('G-7 Rivers Data'!$U$5:$Y$9,MATCH(G253,'G-7 Rivers Data'!$T$5:$T$9,0),MATCH(T253,'G-7 Rivers Data'!$U$4:$Y$4,0)))),"")</f>
        <v/>
      </c>
      <c r="Z253" s="195"/>
      <c r="AA253" s="195"/>
      <c r="AB253" s="507" t="str">
        <f t="shared" si="27"/>
        <v/>
      </c>
      <c r="AC253" s="521" t="str">
        <f t="shared" si="28"/>
        <v/>
      </c>
      <c r="AD253" s="564" t="str">
        <f>IFERROR(IF(AC253="Check Data ⚠","Check Data ⚠",VLOOKUP(AC253,'G-4 Temporal multipliers'!$A$4:$C$37,3,FALSE)),"")</f>
        <v/>
      </c>
      <c r="AE253" s="498" t="str">
        <f>IF(N253="","",VLOOKUP(N253,'G-7 Rivers Data'!$B$4:$G$8,5,FALSE))</f>
        <v/>
      </c>
      <c r="AF253" s="507" t="str">
        <f t="shared" si="29"/>
        <v/>
      </c>
      <c r="AG253" s="540" t="str">
        <f t="shared" si="30"/>
        <v/>
      </c>
      <c r="AH253" s="499" t="str">
        <f t="shared" si="24"/>
        <v/>
      </c>
      <c r="AI253" s="145"/>
      <c r="AJ253" s="499" t="str">
        <f>IF(AI253="","",IF(VLOOKUP(AI253,'G-7 Rivers Data'!$AA$4:$AB$7,2,FALSE)=0,"Spatial Data Missing ⚠",VLOOKUP(AI253,'G-7 Rivers Data'!$AA$4:$AB$7,2,FALSE)))</f>
        <v/>
      </c>
      <c r="AK253" s="155"/>
      <c r="AL253" s="499" t="str">
        <f>IF(AK253="","",IF(VLOOKUP(AK253,'G-7 Rivers Data'!$AD$4:$AE$8,2,FALSE)=0,"Spatial Data Missing ⚠",VLOOKUP(AK253,'G-7 Rivers Data'!$AD$4:$AE$8,2,FALSE)))</f>
        <v/>
      </c>
      <c r="AM253" s="545" t="str">
        <f t="shared" si="31"/>
        <v/>
      </c>
      <c r="AN253" s="149"/>
      <c r="AO253" s="150"/>
      <c r="AV253" s="31" t="str">
        <f>IFERROR(INDEX('G-7 Rivers Data'!$AZ$3:$AZ$7,MATCH(N253,'G-7 Rivers Data'!$AY$3:$AY$7,0)),"")</f>
        <v/>
      </c>
    </row>
    <row r="254" spans="2:48" ht="13.8" x14ac:dyDescent="0.25">
      <c r="B254" s="531" t="str">
        <f>'C-1 Site River Baseline'!AN252</f>
        <v/>
      </c>
      <c r="C254" s="520" t="str">
        <f>IF(B254="","",VLOOKUP($B254,'C-1 Site River Baseline'!$C$9:$R$257,2,FALSE))</f>
        <v/>
      </c>
      <c r="D254" s="520" t="str">
        <f>IF(C254="","",VLOOKUP($B254,'C-1 Site River Baseline'!$C$9:$R$257,3,FALSE))</f>
        <v/>
      </c>
      <c r="E254" s="520" t="str">
        <f>IF(D254="","",VLOOKUP($B254,'C-1 Site River Baseline'!$C$9:$R$257,4,FALSE))</f>
        <v/>
      </c>
      <c r="F254" s="520" t="str">
        <f>IF(E254="","",VLOOKUP($B254,'C-1 Site River Baseline'!$C$9:$R$257,5,FALSE))</f>
        <v/>
      </c>
      <c r="G254" s="520" t="str">
        <f>IF(F254="","",VLOOKUP($B254,'C-1 Site River Baseline'!$C$9:$R$257,6,FALSE))</f>
        <v/>
      </c>
      <c r="H254" s="520" t="str">
        <f>IF(G254="","",VLOOKUP($B254,'C-1 Site River Baseline'!$C$9:$R$257,7,FALSE))</f>
        <v/>
      </c>
      <c r="I254" s="520" t="str">
        <f>IF(H254="","",VLOOKUP($B254,'C-1 Site River Baseline'!$C$9:$R$257,8,FALSE))</f>
        <v/>
      </c>
      <c r="J254" s="520" t="str">
        <f>IF(I254="","",VLOOKUP($B254,'C-1 Site River Baseline'!$C$9:$R$257,9,FALSE))</f>
        <v/>
      </c>
      <c r="K254" s="520" t="str">
        <f>IF(J254="","",VLOOKUP($B254,'C-1 Site River Baseline'!$C$9:$R$257,10,FALSE))</f>
        <v/>
      </c>
      <c r="L254" s="520" t="str">
        <f>IF(B254="","",VLOOKUP($B254,'C-1 Site River Baseline'!$C$9:$R$257,15,FALSE))</f>
        <v/>
      </c>
      <c r="M254" s="524" t="str">
        <f>IF(L254="","",VLOOKUP($B254,'C-1 Site River Baseline'!$C$9:$R$257,16,FALSE))</f>
        <v/>
      </c>
      <c r="N254" s="418" t="str">
        <f t="shared" si="25"/>
        <v/>
      </c>
      <c r="O254" s="498" t="str">
        <f t="shared" si="26"/>
        <v/>
      </c>
      <c r="P254" s="499" t="str">
        <f>IF(C254="","",IF(AND(LEFT(C254,55)&lt;&gt;LEFT(N254,55),O254="High - High"),"Error - Not like for like ▲",IF(AND(F254=S254,H254&gt;U254),"Error - Can not reduce condition ▲",IF(AND(F254=S254,H254=U254,AJ254='C-1 Site River Baseline'!N252,'C-1 Site River Baseline'!P252=AL254),"Error - No enhancement ▲",IF(AND(C254&lt;&gt;N254,F254&lt;S254),"Lower Distinctiveness Habitat"&amp;" - "&amp;T254,G254&amp;" - "&amp;T254)))))</f>
        <v/>
      </c>
      <c r="Q254" s="567" t="str">
        <f>IF(N254="","",VLOOKUP(B254,'C-1 Site River Baseline'!$C$10:$AA$257,19,FALSE))</f>
        <v/>
      </c>
      <c r="R254" s="498" t="str">
        <f>IF(N254="","",VLOOKUP(N254,'G-7 Rivers Data'!$B$2:$G$8,2,FALSE))</f>
        <v/>
      </c>
      <c r="S254" s="499" t="str">
        <f>IFERROR(VLOOKUP(R254,'G-7 Rivers Data'!$C$4:$D$8,2,FALSE),"")</f>
        <v/>
      </c>
      <c r="T254" s="145"/>
      <c r="U254" s="499" t="str">
        <f>IFERROR(INDEX('G-7 Rivers Data'!$H$4:$L$8,MATCH(N254,'G-7 Rivers Data'!$B$4:$B$8,0),MATCH(T254,'G-7 Rivers Data'!$H$3:$L$3,0)),"")</f>
        <v/>
      </c>
      <c r="V254" s="154"/>
      <c r="W254" s="507" t="str">
        <f>IF(V254="","",IF(VLOOKUP(V254,'G-7 Rivers Data'!$AG$4:$AI$9,2,FALSE)=0,"Spatial Data Missing ⚠",VLOOKUP(V254,'G-7 Rivers Data'!$AG$4:$AI$9,2,FALSE)))</f>
        <v/>
      </c>
      <c r="X254" s="499" t="str">
        <f>IF(V254="","",IF(VLOOKUP(V254,'G-7 Rivers Data'!$AG$4:$AI$9,3,FALSE)=0,"Spatial Data Missing ⚠",VLOOKUP(V254,'G-7 Rivers Data'!$AG$4:$AI$9,3,FALSE)))</f>
        <v/>
      </c>
      <c r="Y254" s="498" t="str">
        <f>IFERROR(IF(OR(LEFT(P254,5)="Error ▲",LEFT(O254,5)="Error ▲"),"Check Data ⚠",IF(F254&lt;S254,'G-7 Rivers Data'!$R$3,INDEX('G-7 Rivers Data'!$U$5:$Y$9,MATCH(G254,'G-7 Rivers Data'!$T$5:$T$9,0),MATCH(T254,'G-7 Rivers Data'!$U$4:$Y$4,0)))),"")</f>
        <v/>
      </c>
      <c r="Z254" s="195"/>
      <c r="AA254" s="195"/>
      <c r="AB254" s="507" t="str">
        <f t="shared" si="27"/>
        <v/>
      </c>
      <c r="AC254" s="521" t="str">
        <f t="shared" si="28"/>
        <v/>
      </c>
      <c r="AD254" s="564" t="str">
        <f>IFERROR(IF(AC254="Check Data ⚠","Check Data ⚠",VLOOKUP(AC254,'G-4 Temporal multipliers'!$A$4:$C$37,3,FALSE)),"")</f>
        <v/>
      </c>
      <c r="AE254" s="498" t="str">
        <f>IF(N254="","",VLOOKUP(N254,'G-7 Rivers Data'!$B$4:$G$8,5,FALSE))</f>
        <v/>
      </c>
      <c r="AF254" s="507" t="str">
        <f t="shared" si="29"/>
        <v/>
      </c>
      <c r="AG254" s="540" t="str">
        <f t="shared" si="30"/>
        <v/>
      </c>
      <c r="AH254" s="499" t="str">
        <f t="shared" si="24"/>
        <v/>
      </c>
      <c r="AI254" s="145"/>
      <c r="AJ254" s="499" t="str">
        <f>IF(AI254="","",IF(VLOOKUP(AI254,'G-7 Rivers Data'!$AA$4:$AB$7,2,FALSE)=0,"Spatial Data Missing ⚠",VLOOKUP(AI254,'G-7 Rivers Data'!$AA$4:$AB$7,2,FALSE)))</f>
        <v/>
      </c>
      <c r="AK254" s="155"/>
      <c r="AL254" s="499" t="str">
        <f>IF(AK254="","",IF(VLOOKUP(AK254,'G-7 Rivers Data'!$AD$4:$AE$8,2,FALSE)=0,"Spatial Data Missing ⚠",VLOOKUP(AK254,'G-7 Rivers Data'!$AD$4:$AE$8,2,FALSE)))</f>
        <v/>
      </c>
      <c r="AM254" s="545" t="str">
        <f t="shared" si="31"/>
        <v/>
      </c>
      <c r="AN254" s="149"/>
      <c r="AO254" s="150"/>
      <c r="AV254" s="31" t="str">
        <f>IFERROR(INDEX('G-7 Rivers Data'!$AZ$3:$AZ$7,MATCH(N254,'G-7 Rivers Data'!$AY$3:$AY$7,0)),"")</f>
        <v/>
      </c>
    </row>
    <row r="255" spans="2:48" ht="13.8" x14ac:dyDescent="0.25">
      <c r="B255" s="531" t="str">
        <f>'C-1 Site River Baseline'!AN253</f>
        <v/>
      </c>
      <c r="C255" s="520" t="str">
        <f>IF(B255="","",VLOOKUP($B255,'C-1 Site River Baseline'!$C$9:$R$257,2,FALSE))</f>
        <v/>
      </c>
      <c r="D255" s="520" t="str">
        <f>IF(C255="","",VLOOKUP($B255,'C-1 Site River Baseline'!$C$9:$R$257,3,FALSE))</f>
        <v/>
      </c>
      <c r="E255" s="520" t="str">
        <f>IF(D255="","",VLOOKUP($B255,'C-1 Site River Baseline'!$C$9:$R$257,4,FALSE))</f>
        <v/>
      </c>
      <c r="F255" s="520" t="str">
        <f>IF(E255="","",VLOOKUP($B255,'C-1 Site River Baseline'!$C$9:$R$257,5,FALSE))</f>
        <v/>
      </c>
      <c r="G255" s="520" t="str">
        <f>IF(F255="","",VLOOKUP($B255,'C-1 Site River Baseline'!$C$9:$R$257,6,FALSE))</f>
        <v/>
      </c>
      <c r="H255" s="520" t="str">
        <f>IF(G255="","",VLOOKUP($B255,'C-1 Site River Baseline'!$C$9:$R$257,7,FALSE))</f>
        <v/>
      </c>
      <c r="I255" s="520" t="str">
        <f>IF(H255="","",VLOOKUP($B255,'C-1 Site River Baseline'!$C$9:$R$257,8,FALSE))</f>
        <v/>
      </c>
      <c r="J255" s="520" t="str">
        <f>IF(I255="","",VLOOKUP($B255,'C-1 Site River Baseline'!$C$9:$R$257,9,FALSE))</f>
        <v/>
      </c>
      <c r="K255" s="520" t="str">
        <f>IF(J255="","",VLOOKUP($B255,'C-1 Site River Baseline'!$C$9:$R$257,10,FALSE))</f>
        <v/>
      </c>
      <c r="L255" s="520" t="str">
        <f>IF(B255="","",VLOOKUP($B255,'C-1 Site River Baseline'!$C$9:$R$257,15,FALSE))</f>
        <v/>
      </c>
      <c r="M255" s="524" t="str">
        <f>IF(L255="","",VLOOKUP($B255,'C-1 Site River Baseline'!$C$9:$R$257,16,FALSE))</f>
        <v/>
      </c>
      <c r="N255" s="418" t="str">
        <f t="shared" si="25"/>
        <v/>
      </c>
      <c r="O255" s="498" t="str">
        <f t="shared" si="26"/>
        <v/>
      </c>
      <c r="P255" s="499" t="str">
        <f>IF(C255="","",IF(AND(LEFT(C255,55)&lt;&gt;LEFT(N255,55),O255="High - High"),"Error - Not like for like ▲",IF(AND(F255=S255,H255&gt;U255),"Error - Can not reduce condition ▲",IF(AND(F255=S255,H255=U255,AJ255='C-1 Site River Baseline'!N253,'C-1 Site River Baseline'!P253=AL255),"Error - No enhancement ▲",IF(AND(C255&lt;&gt;N255,F255&lt;S255),"Lower Distinctiveness Habitat"&amp;" - "&amp;T255,G255&amp;" - "&amp;T255)))))</f>
        <v/>
      </c>
      <c r="Q255" s="567" t="str">
        <f>IF(N255="","",VLOOKUP(B255,'C-1 Site River Baseline'!$C$10:$AA$257,19,FALSE))</f>
        <v/>
      </c>
      <c r="R255" s="498" t="str">
        <f>IF(N255="","",VLOOKUP(N255,'G-7 Rivers Data'!$B$2:$G$8,2,FALSE))</f>
        <v/>
      </c>
      <c r="S255" s="499" t="str">
        <f>IFERROR(VLOOKUP(R255,'G-7 Rivers Data'!$C$4:$D$8,2,FALSE),"")</f>
        <v/>
      </c>
      <c r="T255" s="145"/>
      <c r="U255" s="499" t="str">
        <f>IFERROR(INDEX('G-7 Rivers Data'!$H$4:$L$8,MATCH(N255,'G-7 Rivers Data'!$B$4:$B$8,0),MATCH(T255,'G-7 Rivers Data'!$H$3:$L$3,0)),"")</f>
        <v/>
      </c>
      <c r="V255" s="154"/>
      <c r="W255" s="507" t="str">
        <f>IF(V255="","",IF(VLOOKUP(V255,'G-7 Rivers Data'!$AG$4:$AI$9,2,FALSE)=0,"Spatial Data Missing ⚠",VLOOKUP(V255,'G-7 Rivers Data'!$AG$4:$AI$9,2,FALSE)))</f>
        <v/>
      </c>
      <c r="X255" s="499" t="str">
        <f>IF(V255="","",IF(VLOOKUP(V255,'G-7 Rivers Data'!$AG$4:$AI$9,3,FALSE)=0,"Spatial Data Missing ⚠",VLOOKUP(V255,'G-7 Rivers Data'!$AG$4:$AI$9,3,FALSE)))</f>
        <v/>
      </c>
      <c r="Y255" s="498" t="str">
        <f>IFERROR(IF(OR(LEFT(P255,5)="Error ▲",LEFT(O255,5)="Error ▲"),"Check Data ⚠",IF(F255&lt;S255,'G-7 Rivers Data'!$R$3,INDEX('G-7 Rivers Data'!$U$5:$Y$9,MATCH(G255,'G-7 Rivers Data'!$T$5:$T$9,0),MATCH(T255,'G-7 Rivers Data'!$U$4:$Y$4,0)))),"")</f>
        <v/>
      </c>
      <c r="Z255" s="195"/>
      <c r="AA255" s="195"/>
      <c r="AB255" s="507" t="str">
        <f t="shared" si="27"/>
        <v/>
      </c>
      <c r="AC255" s="521" t="str">
        <f t="shared" si="28"/>
        <v/>
      </c>
      <c r="AD255" s="564" t="str">
        <f>IFERROR(IF(AC255="Check Data ⚠","Check Data ⚠",VLOOKUP(AC255,'G-4 Temporal multipliers'!$A$4:$C$37,3,FALSE)),"")</f>
        <v/>
      </c>
      <c r="AE255" s="498" t="str">
        <f>IF(N255="","",VLOOKUP(N255,'G-7 Rivers Data'!$B$4:$G$8,5,FALSE))</f>
        <v/>
      </c>
      <c r="AF255" s="507" t="str">
        <f t="shared" si="29"/>
        <v/>
      </c>
      <c r="AG255" s="540" t="str">
        <f t="shared" si="30"/>
        <v/>
      </c>
      <c r="AH255" s="499" t="str">
        <f t="shared" si="24"/>
        <v/>
      </c>
      <c r="AI255" s="145"/>
      <c r="AJ255" s="499" t="str">
        <f>IF(AI255="","",IF(VLOOKUP(AI255,'G-7 Rivers Data'!$AA$4:$AB$7,2,FALSE)=0,"Spatial Data Missing ⚠",VLOOKUP(AI255,'G-7 Rivers Data'!$AA$4:$AB$7,2,FALSE)))</f>
        <v/>
      </c>
      <c r="AK255" s="155"/>
      <c r="AL255" s="499" t="str">
        <f>IF(AK255="","",IF(VLOOKUP(AK255,'G-7 Rivers Data'!$AD$4:$AE$8,2,FALSE)=0,"Spatial Data Missing ⚠",VLOOKUP(AK255,'G-7 Rivers Data'!$AD$4:$AE$8,2,FALSE)))</f>
        <v/>
      </c>
      <c r="AM255" s="545" t="str">
        <f t="shared" si="31"/>
        <v/>
      </c>
      <c r="AN255" s="149"/>
      <c r="AO255" s="150"/>
      <c r="AV255" s="31" t="str">
        <f>IFERROR(INDEX('G-7 Rivers Data'!$AZ$3:$AZ$7,MATCH(N255,'G-7 Rivers Data'!$AY$3:$AY$7,0)),"")</f>
        <v/>
      </c>
    </row>
    <row r="256" spans="2:48" ht="13.8" x14ac:dyDescent="0.25">
      <c r="B256" s="531" t="str">
        <f>'C-1 Site River Baseline'!AN254</f>
        <v/>
      </c>
      <c r="C256" s="520" t="str">
        <f>IF(B256="","",VLOOKUP($B256,'C-1 Site River Baseline'!$C$9:$R$257,2,FALSE))</f>
        <v/>
      </c>
      <c r="D256" s="520" t="str">
        <f>IF(C256="","",VLOOKUP($B256,'C-1 Site River Baseline'!$C$9:$R$257,3,FALSE))</f>
        <v/>
      </c>
      <c r="E256" s="520" t="str">
        <f>IF(D256="","",VLOOKUP($B256,'C-1 Site River Baseline'!$C$9:$R$257,4,FALSE))</f>
        <v/>
      </c>
      <c r="F256" s="520" t="str">
        <f>IF(E256="","",VLOOKUP($B256,'C-1 Site River Baseline'!$C$9:$R$257,5,FALSE))</f>
        <v/>
      </c>
      <c r="G256" s="520" t="str">
        <f>IF(F256="","",VLOOKUP($B256,'C-1 Site River Baseline'!$C$9:$R$257,6,FALSE))</f>
        <v/>
      </c>
      <c r="H256" s="520" t="str">
        <f>IF(G256="","",VLOOKUP($B256,'C-1 Site River Baseline'!$C$9:$R$257,7,FALSE))</f>
        <v/>
      </c>
      <c r="I256" s="520" t="str">
        <f>IF(H256="","",VLOOKUP($B256,'C-1 Site River Baseline'!$C$9:$R$257,8,FALSE))</f>
        <v/>
      </c>
      <c r="J256" s="520" t="str">
        <f>IF(I256="","",VLOOKUP($B256,'C-1 Site River Baseline'!$C$9:$R$257,9,FALSE))</f>
        <v/>
      </c>
      <c r="K256" s="520" t="str">
        <f>IF(J256="","",VLOOKUP($B256,'C-1 Site River Baseline'!$C$9:$R$257,10,FALSE))</f>
        <v/>
      </c>
      <c r="L256" s="520" t="str">
        <f>IF(B256="","",VLOOKUP($B256,'C-1 Site River Baseline'!$C$9:$R$257,15,FALSE))</f>
        <v/>
      </c>
      <c r="M256" s="524" t="str">
        <f>IF(L256="","",VLOOKUP($B256,'C-1 Site River Baseline'!$C$9:$R$257,16,FALSE))</f>
        <v/>
      </c>
      <c r="N256" s="418" t="str">
        <f t="shared" si="25"/>
        <v/>
      </c>
      <c r="O256" s="498" t="str">
        <f t="shared" si="26"/>
        <v/>
      </c>
      <c r="P256" s="499" t="str">
        <f>IF(C256="","",IF(AND(LEFT(C256,55)&lt;&gt;LEFT(N256,55),O256="High - High"),"Error - Not like for like ▲",IF(AND(F256=S256,H256&gt;U256),"Error - Can not reduce condition ▲",IF(AND(F256=S256,H256=U256,AJ256='C-1 Site River Baseline'!N254,'C-1 Site River Baseline'!P254=AL256),"Error - No enhancement ▲",IF(AND(C256&lt;&gt;N256,F256&lt;S256),"Lower Distinctiveness Habitat"&amp;" - "&amp;T256,G256&amp;" - "&amp;T256)))))</f>
        <v/>
      </c>
      <c r="Q256" s="567" t="str">
        <f>IF(N256="","",VLOOKUP(B256,'C-1 Site River Baseline'!$C$10:$AA$257,19,FALSE))</f>
        <v/>
      </c>
      <c r="R256" s="498" t="str">
        <f>IF(N256="","",VLOOKUP(N256,'G-7 Rivers Data'!$B$2:$G$8,2,FALSE))</f>
        <v/>
      </c>
      <c r="S256" s="499" t="str">
        <f>IFERROR(VLOOKUP(R256,'G-7 Rivers Data'!$C$4:$D$8,2,FALSE),"")</f>
        <v/>
      </c>
      <c r="T256" s="145"/>
      <c r="U256" s="499" t="str">
        <f>IFERROR(INDEX('G-7 Rivers Data'!$H$4:$L$8,MATCH(N256,'G-7 Rivers Data'!$B$4:$B$8,0),MATCH(T256,'G-7 Rivers Data'!$H$3:$L$3,0)),"")</f>
        <v/>
      </c>
      <c r="V256" s="154"/>
      <c r="W256" s="507" t="str">
        <f>IF(V256="","",IF(VLOOKUP(V256,'G-7 Rivers Data'!$AG$4:$AI$9,2,FALSE)=0,"Spatial Data Missing ⚠",VLOOKUP(V256,'G-7 Rivers Data'!$AG$4:$AI$9,2,FALSE)))</f>
        <v/>
      </c>
      <c r="X256" s="499" t="str">
        <f>IF(V256="","",IF(VLOOKUP(V256,'G-7 Rivers Data'!$AG$4:$AI$9,3,FALSE)=0,"Spatial Data Missing ⚠",VLOOKUP(V256,'G-7 Rivers Data'!$AG$4:$AI$9,3,FALSE)))</f>
        <v/>
      </c>
      <c r="Y256" s="498" t="str">
        <f>IFERROR(IF(OR(LEFT(P256,5)="Error ▲",LEFT(O256,5)="Error ▲"),"Check Data ⚠",IF(F256&lt;S256,'G-7 Rivers Data'!$R$3,INDEX('G-7 Rivers Data'!$U$5:$Y$9,MATCH(G256,'G-7 Rivers Data'!$T$5:$T$9,0),MATCH(T256,'G-7 Rivers Data'!$U$4:$Y$4,0)))),"")</f>
        <v/>
      </c>
      <c r="Z256" s="195"/>
      <c r="AA256" s="195"/>
      <c r="AB256" s="507" t="str">
        <f t="shared" si="27"/>
        <v/>
      </c>
      <c r="AC256" s="521" t="str">
        <f t="shared" si="28"/>
        <v/>
      </c>
      <c r="AD256" s="564" t="str">
        <f>IFERROR(IF(AC256="Check Data ⚠","Check Data ⚠",VLOOKUP(AC256,'G-4 Temporal multipliers'!$A$4:$C$37,3,FALSE)),"")</f>
        <v/>
      </c>
      <c r="AE256" s="498" t="str">
        <f>IF(N256="","",VLOOKUP(N256,'G-7 Rivers Data'!$B$4:$G$8,5,FALSE))</f>
        <v/>
      </c>
      <c r="AF256" s="507" t="str">
        <f t="shared" si="29"/>
        <v/>
      </c>
      <c r="AG256" s="540" t="str">
        <f t="shared" si="30"/>
        <v/>
      </c>
      <c r="AH256" s="499" t="str">
        <f t="shared" si="24"/>
        <v/>
      </c>
      <c r="AI256" s="145"/>
      <c r="AJ256" s="499" t="str">
        <f>IF(AI256="","",IF(VLOOKUP(AI256,'G-7 Rivers Data'!$AA$4:$AB$7,2,FALSE)=0,"Spatial Data Missing ⚠",VLOOKUP(AI256,'G-7 Rivers Data'!$AA$4:$AB$7,2,FALSE)))</f>
        <v/>
      </c>
      <c r="AK256" s="155"/>
      <c r="AL256" s="499" t="str">
        <f>IF(AK256="","",IF(VLOOKUP(AK256,'G-7 Rivers Data'!$AD$4:$AE$8,2,FALSE)=0,"Spatial Data Missing ⚠",VLOOKUP(AK256,'G-7 Rivers Data'!$AD$4:$AE$8,2,FALSE)))</f>
        <v/>
      </c>
      <c r="AM256" s="545" t="str">
        <f t="shared" si="31"/>
        <v/>
      </c>
      <c r="AN256" s="149"/>
      <c r="AO256" s="150"/>
      <c r="AV256" s="31" t="str">
        <f>IFERROR(INDEX('G-7 Rivers Data'!$AZ$3:$AZ$7,MATCH(N256,'G-7 Rivers Data'!$AY$3:$AY$7,0)),"")</f>
        <v/>
      </c>
    </row>
    <row r="257" spans="2:48" ht="14.4" thickBot="1" x14ac:dyDescent="0.3">
      <c r="B257" s="558" t="str">
        <f>'C-1 Site River Baseline'!AN255</f>
        <v/>
      </c>
      <c r="C257" s="508" t="str">
        <f>IF(B257="","",VLOOKUP($B257,'C-1 Site River Baseline'!$C$9:$R$257,2,FALSE))</f>
        <v/>
      </c>
      <c r="D257" s="508" t="str">
        <f>IF(C257="","",VLOOKUP($B257,'C-1 Site River Baseline'!$C$9:$R$257,3,FALSE))</f>
        <v/>
      </c>
      <c r="E257" s="508" t="str">
        <f>IF(D257="","",VLOOKUP($B257,'C-1 Site River Baseline'!$C$9:$R$257,4,FALSE))</f>
        <v/>
      </c>
      <c r="F257" s="508" t="str">
        <f>IF(E257="","",VLOOKUP($B257,'C-1 Site River Baseline'!$C$9:$R$257,5,FALSE))</f>
        <v/>
      </c>
      <c r="G257" s="508" t="str">
        <f>IF(F257="","",VLOOKUP($B257,'C-1 Site River Baseline'!$C$9:$R$257,6,FALSE))</f>
        <v/>
      </c>
      <c r="H257" s="508" t="str">
        <f>IF(G257="","",VLOOKUP($B257,'C-1 Site River Baseline'!$C$9:$R$257,7,FALSE))</f>
        <v/>
      </c>
      <c r="I257" s="508" t="str">
        <f>IF(H257="","",VLOOKUP($B257,'C-1 Site River Baseline'!$C$9:$R$257,8,FALSE))</f>
        <v/>
      </c>
      <c r="J257" s="508" t="str">
        <f>IF(I257="","",VLOOKUP($B257,'C-1 Site River Baseline'!$C$9:$R$257,9,FALSE))</f>
        <v/>
      </c>
      <c r="K257" s="508" t="str">
        <f>IF(J257="","",VLOOKUP($B257,'C-1 Site River Baseline'!$C$9:$R$257,10,FALSE))</f>
        <v/>
      </c>
      <c r="L257" s="508" t="str">
        <f>IF(B257="","",VLOOKUP($B257,'C-1 Site River Baseline'!$C$9:$R$257,15,FALSE))</f>
        <v/>
      </c>
      <c r="M257" s="501" t="str">
        <f>IF(L257="","",VLOOKUP($B257,'C-1 Site River Baseline'!$C$9:$R$257,16,FALSE))</f>
        <v/>
      </c>
      <c r="N257" s="418" t="str">
        <f t="shared" si="25"/>
        <v/>
      </c>
      <c r="O257" s="498" t="str">
        <f t="shared" si="26"/>
        <v/>
      </c>
      <c r="P257" s="499" t="str">
        <f>IF(C257="","",IF(AND(LEFT(C257,55)&lt;&gt;LEFT(N257,55),O257="High - High"),"Error - Not like for like ▲",IF(AND(F257=S257,H257&gt;U257),"Error - Can not reduce condition ▲",IF(AND(F257=S257,H257=U257,AJ257='C-1 Site River Baseline'!N255,'C-1 Site River Baseline'!P255=AL257),"Error - No enhancement ▲",IF(AND(C257&lt;&gt;N257,F257&lt;S257),"Lower Distinctiveness Habitat"&amp;" - "&amp;T257,G257&amp;" - "&amp;T257)))))</f>
        <v/>
      </c>
      <c r="Q257" s="568" t="str">
        <f>IF(N257="","",VLOOKUP(B257,'C-1 Site River Baseline'!$C$10:$AA$257,19,FALSE))</f>
        <v/>
      </c>
      <c r="R257" s="500" t="str">
        <f>IF(N257="","",VLOOKUP(N257,'G-7 Rivers Data'!$B$2:$G$8,2,FALSE))</f>
        <v/>
      </c>
      <c r="S257" s="501" t="str">
        <f>IFERROR(VLOOKUP(R257,'G-7 Rivers Data'!$C$4:$D$8,2,FALSE),"")</f>
        <v/>
      </c>
      <c r="T257" s="161"/>
      <c r="U257" s="501" t="str">
        <f>IFERROR(INDEX('G-7 Rivers Data'!$H$4:$L$8,MATCH(N257,'G-7 Rivers Data'!$B$4:$B$8,0),MATCH(T257,'G-7 Rivers Data'!$H$3:$L$3,0)),"")</f>
        <v/>
      </c>
      <c r="V257" s="161"/>
      <c r="W257" s="507" t="str">
        <f>IF(V257="","",IF(VLOOKUP(V257,'G-7 Rivers Data'!$AG$4:$AI$9,2,FALSE)=0,"Spatial Data Missing ⚠",VLOOKUP(V257,'G-7 Rivers Data'!$AG$4:$AI$9,2,FALSE)))</f>
        <v/>
      </c>
      <c r="X257" s="499" t="str">
        <f>IF(V257="","",IF(VLOOKUP(V257,'G-7 Rivers Data'!$AG$4:$AI$9,3,FALSE)=0,"Spatial Data Missing ⚠",VLOOKUP(V257,'G-7 Rivers Data'!$AG$4:$AI$9,3,FALSE)))</f>
        <v/>
      </c>
      <c r="Y257" s="498" t="str">
        <f>IFERROR(IF(OR(LEFT(P257,5)="Error ▲",LEFT(O257,5)="Error ▲"),"Check Data ⚠",IF(F257&lt;S257,'G-7 Rivers Data'!$R$3,INDEX('G-7 Rivers Data'!$U$5:$Y$9,MATCH(G257,'G-7 Rivers Data'!$T$5:$T$9,0),MATCH(T257,'G-7 Rivers Data'!$U$4:$Y$4,0)))),"")</f>
        <v/>
      </c>
      <c r="Z257" s="206"/>
      <c r="AA257" s="206"/>
      <c r="AB257" s="507" t="str">
        <f t="shared" si="27"/>
        <v/>
      </c>
      <c r="AC257" s="521" t="str">
        <f t="shared" si="28"/>
        <v/>
      </c>
      <c r="AD257" s="564" t="str">
        <f>IFERROR(IF(AC257="Check Data ⚠","Check Data ⚠",VLOOKUP(AC257,'G-4 Temporal multipliers'!$A$4:$C$37,3,FALSE)),"")</f>
        <v/>
      </c>
      <c r="AE257" s="500" t="str">
        <f>IF(N257="","",VLOOKUP(N257,'G-7 Rivers Data'!$B$4:$G$8,5,FALSE))</f>
        <v/>
      </c>
      <c r="AF257" s="507" t="str">
        <f t="shared" si="29"/>
        <v/>
      </c>
      <c r="AG257" s="540" t="str">
        <f t="shared" si="30"/>
        <v/>
      </c>
      <c r="AH257" s="501" t="str">
        <f t="shared" si="24"/>
        <v/>
      </c>
      <c r="AI257" s="161"/>
      <c r="AJ257" s="499" t="str">
        <f>IF(AI257="","",IF(VLOOKUP(AI257,'G-7 Rivers Data'!$AA$4:$AB$7,2,FALSE)=0,"Spatial Data Missing ⚠",VLOOKUP(AI257,'G-7 Rivers Data'!$AA$4:$AB$7,2,FALSE)))</f>
        <v/>
      </c>
      <c r="AK257" s="273"/>
      <c r="AL257" s="499" t="str">
        <f>IF(AK257="","",IF(VLOOKUP(AK257,'G-7 Rivers Data'!$AD$4:$AE$8,2,FALSE)=0,"Spatial Data Missing ⚠",VLOOKUP(AK257,'G-7 Rivers Data'!$AD$4:$AE$8,2,FALSE)))</f>
        <v/>
      </c>
      <c r="AM257" s="545" t="str">
        <f>IFERROR(IF(C257="","",IF(Q257&gt;D257,((((Q257*S257*U257)-(D257*F257*H257))*(AH257*AD257))+(D257*F257*H257))*(AL257*X257*AJ257),((((Q257*S257*U257)-(Q257*F257*H257))*(AH257*AD257))+(Q257*F257*H257))*(AL257*X257*AJ257))),"")</f>
        <v/>
      </c>
      <c r="AN257" s="163"/>
      <c r="AO257" s="164"/>
      <c r="AV257" s="31" t="str">
        <f>IFERROR(INDEX('G-7 Rivers Data'!$AZ$3:$AZ$7,MATCH(N257,'G-7 Rivers Data'!$AY$3:$AY$7,0)),"")</f>
        <v/>
      </c>
    </row>
    <row r="258" spans="2:48" ht="14.4" thickBot="1" x14ac:dyDescent="0.3">
      <c r="C258" s="166"/>
      <c r="D258" s="166"/>
      <c r="E258" s="166"/>
      <c r="F258" s="166"/>
      <c r="G258" s="166"/>
      <c r="H258" s="166"/>
      <c r="I258" s="166"/>
      <c r="J258" s="166"/>
      <c r="K258" s="166"/>
      <c r="L258" s="166"/>
      <c r="M258" s="166"/>
      <c r="N258" s="277"/>
      <c r="O258" s="166"/>
      <c r="P258" s="166"/>
      <c r="Q258" s="566">
        <f>SUM(Q12:Q257)</f>
        <v>0</v>
      </c>
      <c r="R258" s="276"/>
      <c r="AF258" s="46"/>
      <c r="AG258" s="46"/>
      <c r="AJ258" s="31" t="str">
        <f>IF(AI258="","",IF(VLOOKUP(AI258,'[2]G-7 Rivers Data'!$AA$4:$AB$6,2,FALSE)=0,"Spatial Data Missing",VLOOKUP(AI258,'[2]G-7 Rivers Data'!$AA$4:$AB$6,2,FALSE)))</f>
        <v/>
      </c>
      <c r="AK258" s="1014"/>
      <c r="AL258" s="1014"/>
      <c r="AM258" s="569">
        <f>SUM(AM12:AM257)</f>
        <v>0</v>
      </c>
    </row>
    <row r="259" spans="2:48" ht="13.8" x14ac:dyDescent="0.25">
      <c r="AJ259" s="31" t="str">
        <f>IF(AI259="","",IF(VLOOKUP(AI259,'[2]G-7 Rivers Data'!$AA$4:$AB$6,2,FALSE)=0,"Spatial Data Missing",VLOOKUP(AI259,'[2]G-7 Rivers Data'!$AA$4:$AB$6,2,FALSE)))</f>
        <v/>
      </c>
    </row>
    <row r="260" spans="2:48" ht="13.8" x14ac:dyDescent="0.25"/>
    <row r="261" spans="2:48" ht="13.8" x14ac:dyDescent="0.25"/>
    <row r="262" spans="2:48" ht="13.8" x14ac:dyDescent="0.25"/>
    <row r="263" spans="2:48" ht="13.8" x14ac:dyDescent="0.25"/>
    <row r="264" spans="2:48" ht="13.8" x14ac:dyDescent="0.25"/>
    <row r="265" spans="2:48" ht="13.8" x14ac:dyDescent="0.25"/>
    <row r="266" spans="2:48" ht="13.8" x14ac:dyDescent="0.25"/>
  </sheetData>
  <sheetProtection algorithmName="SHA-512" hashValue="rBMp62/zu9gMOvDGg8teJI4SwfJNY2pv+vBw6VW/WZYQDjPpOjkxfwgT3ONMorbiU2pX01vT/kci65+S+F3BPg==" saltValue="y9BJXkP0DRgZ+eOPxf8i1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8">
    <mergeCell ref="AN10:AO10"/>
    <mergeCell ref="C10:M10"/>
    <mergeCell ref="V10:X10"/>
    <mergeCell ref="Y10:AD10"/>
    <mergeCell ref="AE10:AH10"/>
    <mergeCell ref="O10:P10"/>
    <mergeCell ref="N10:N11"/>
    <mergeCell ref="AK10:AL10"/>
    <mergeCell ref="AM10:AM11"/>
    <mergeCell ref="AI10:AJ10"/>
    <mergeCell ref="AK258:AL258"/>
    <mergeCell ref="B2:E2"/>
    <mergeCell ref="B3:E4"/>
    <mergeCell ref="Q10:Q11"/>
    <mergeCell ref="N9:AL9"/>
    <mergeCell ref="R10:S10"/>
    <mergeCell ref="T10:U10"/>
    <mergeCell ref="Y2:AD4"/>
  </mergeCells>
  <conditionalFormatting sqref="L12:L257">
    <cfRule type="containsText" dxfId="39" priority="11" operator="containsText" text="Restore">
      <formula>NOT(ISERROR(SEARCH("Restore",L12)))</formula>
    </cfRule>
  </conditionalFormatting>
  <conditionalFormatting sqref="O12:P257">
    <cfRule type="containsText" dxfId="38" priority="9" operator="containsText" text="Check">
      <formula>NOT(ISERROR(SEARCH("Check",O12)))</formula>
    </cfRule>
    <cfRule type="containsText" dxfId="37" priority="10" operator="containsText" text="Error">
      <formula>NOT(ISERROR(SEARCH("Error",O12)))</formula>
    </cfRule>
  </conditionalFormatting>
  <conditionalFormatting sqref="W12:X257">
    <cfRule type="containsText" dxfId="36" priority="8" operator="containsText" text="Spatial">
      <formula>NOT(ISERROR(SEARCH("Spatial",W12)))</formula>
    </cfRule>
  </conditionalFormatting>
  <conditionalFormatting sqref="Y12:Y257">
    <cfRule type="containsText" dxfId="35" priority="6" operator="containsText" text="Check">
      <formula>NOT(ISERROR(SEARCH("Check",Y12)))</formula>
    </cfRule>
    <cfRule type="containsText" dxfId="34" priority="7" operator="containsText" text="Error">
      <formula>NOT(ISERROR(SEARCH("Error",Y12)))</formula>
    </cfRule>
  </conditionalFormatting>
  <conditionalFormatting sqref="AB12:AM12 AM13:AM258 AB13:AL257">
    <cfRule type="containsText" dxfId="33" priority="4" operator="containsText" text="Check">
      <formula>NOT(ISERROR(SEARCH("Check",AB12)))</formula>
    </cfRule>
    <cfRule type="beginsWith" dxfId="32" priority="5" operator="beginsWith" text="Error">
      <formula>LEFT(AB12,LEN("Error"))="Error"</formula>
    </cfRule>
  </conditionalFormatting>
  <conditionalFormatting sqref="AF12:AF257">
    <cfRule type="beginsWith" dxfId="31" priority="3" operator="beginsWith" text="No - Low Difficulty">
      <formula>LEFT(AF12,LEN("No - Low Difficulty"))="No - Low Difficulty"</formula>
    </cfRule>
  </conditionalFormatting>
  <conditionalFormatting sqref="AJ12:AL257">
    <cfRule type="containsText" dxfId="30" priority="2" operator="containsText" text="Spatial">
      <formula>NOT(ISERROR(SEARCH("Spatial",AJ12)))</formula>
    </cfRule>
  </conditionalFormatting>
  <conditionalFormatting sqref="Y2">
    <cfRule type="containsText" dxfId="29" priority="1" operator="containsText" text="Note">
      <formula>NOT(ISERROR(SEARCH("Note",Y2)))</formula>
    </cfRule>
  </conditionalFormatting>
  <dataValidations count="1">
    <dataValidation type="list" allowBlank="1" showInputMessage="1" showErrorMessage="1" sqref="T12:T257" xr:uid="{00000000-0002-0000-1B00-000000000000}">
      <formula1>INDIRECT(AV12)</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2000000}">
          <x14:formula1>
            <xm:f>'G-7 Rivers Data'!$AG$4:$AG$9</xm:f>
          </x14:formula1>
          <xm:sqref>V12:V257</xm:sqref>
        </x14:dataValidation>
        <x14:dataValidation type="list" allowBlank="1" showInputMessage="1" showErrorMessage="1" xr:uid="{00000000-0002-0000-1B00-000004000000}">
          <x14:formula1>
            <xm:f>'G-7 Rivers Data'!$AD$4:$AD$7</xm:f>
          </x14:formula1>
          <xm:sqref>AK12:AK257</xm:sqref>
        </x14:dataValidation>
        <x14:dataValidation type="list" allowBlank="1" showInputMessage="1" showErrorMessage="1" xr:uid="{00000000-0002-0000-1B00-000005000000}">
          <x14:formula1>
            <xm:f>'G-7 Rivers Data'!$B$4:$B$8</xm:f>
          </x14:formula1>
          <xm:sqref>N12:N257</xm:sqref>
        </x14:dataValidation>
        <x14:dataValidation type="list" allowBlank="1" showInputMessage="1" showErrorMessage="1" xr:uid="{00000000-0002-0000-1B00-000007000000}">
          <x14:formula1>
            <xm:f>'G-4 Temporal multipliers'!$A$41:$A$72</xm:f>
          </x14:formula1>
          <xm:sqref>Z12:AA257</xm:sqref>
        </x14:dataValidation>
        <x14:dataValidation type="list" allowBlank="1" showInputMessage="1" showErrorMessage="1" xr:uid="{24BAEB0C-716A-4A35-AE25-EF677467B256}">
          <x14:formula1>
            <xm:f>'G-7 Rivers Data'!$AA$4:$AA$7</xm:f>
          </x14:formula1>
          <xm:sqref>AI12:AI257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A1:AN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3" style="31" customWidth="1"/>
    <col min="2" max="2" width="4.6640625" style="132" customWidth="1"/>
    <col min="3" max="3" width="10" style="132" customWidth="1"/>
    <col min="4" max="4" width="55" style="31" customWidth="1"/>
    <col min="5" max="5" width="8.5546875" style="31" customWidth="1"/>
    <col min="6" max="6" width="18.88671875" style="31" customWidth="1"/>
    <col min="7" max="7" width="8.6640625" style="31" customWidth="1"/>
    <col min="8" max="8" width="14.33203125" style="31" bestFit="1" customWidth="1"/>
    <col min="9" max="9" width="12.88671875" style="31" customWidth="1"/>
    <col min="10" max="10" width="33.6640625" style="31" customWidth="1"/>
    <col min="11" max="11" width="15.109375" style="31" customWidth="1"/>
    <col min="12" max="12" width="13.6640625" style="31" customWidth="1"/>
    <col min="13" max="13" width="18.109375" style="31" customWidth="1"/>
    <col min="14" max="14" width="12.88671875" style="31" customWidth="1"/>
    <col min="15" max="15" width="16.6640625" style="31" customWidth="1"/>
    <col min="16" max="16" width="12.6640625" style="31" customWidth="1"/>
    <col min="17" max="17" width="14.33203125" style="31" customWidth="1"/>
    <col min="18" max="18" width="13.33203125" style="31" customWidth="1"/>
    <col min="19" max="19" width="3.6640625" style="31" customWidth="1"/>
    <col min="20" max="20" width="12.109375" style="31" customWidth="1"/>
    <col min="21" max="21" width="12.88671875" style="31" customWidth="1"/>
    <col min="22" max="22" width="10.88671875" style="31" customWidth="1"/>
    <col min="23" max="23" width="11.88671875" style="31" customWidth="1"/>
    <col min="24" max="24" width="12" style="31" customWidth="1"/>
    <col min="25" max="25" width="8.6640625" style="31" customWidth="1"/>
    <col min="26" max="27" width="50.109375" style="31" customWidth="1"/>
    <col min="28" max="30" width="8.88671875" style="31" customWidth="1"/>
    <col min="31" max="31" width="8.88671875" style="31" hidden="1" customWidth="1"/>
    <col min="32" max="32" width="15.88671875" style="31" hidden="1" customWidth="1"/>
    <col min="33" max="33" width="8.88671875" style="31" hidden="1" customWidth="1"/>
    <col min="34" max="34" width="9" style="31" hidden="1" customWidth="1"/>
    <col min="35" max="35" width="9.5546875" style="31" hidden="1" customWidth="1"/>
    <col min="36" max="36" width="8.88671875" style="31" hidden="1" customWidth="1"/>
    <col min="37" max="37" width="11.88671875" style="31" hidden="1" customWidth="1"/>
    <col min="38" max="38" width="8.88671875" style="31" hidden="1" customWidth="1"/>
    <col min="39" max="39" width="9" style="31" hidden="1" customWidth="1"/>
    <col min="40" max="40" width="9.5546875" style="31" hidden="1" customWidth="1"/>
    <col min="41" max="16384" width="8.88671875" style="31" hidden="1"/>
  </cols>
  <sheetData>
    <row r="1" spans="2:40" ht="12.75" customHeight="1" thickBot="1" x14ac:dyDescent="0.3">
      <c r="B1" s="31"/>
      <c r="C1" s="31"/>
    </row>
    <row r="2" spans="2:40" ht="19.5" customHeight="1" thickBot="1" x14ac:dyDescent="0.3">
      <c r="B2" s="744" t="str">
        <f>IF([2]Start!$F$12="","",[2]Start!$F$12)</f>
        <v/>
      </c>
      <c r="C2" s="745"/>
      <c r="D2" s="745"/>
      <c r="E2" s="746"/>
    </row>
    <row r="3" spans="2:40" ht="15" customHeight="1" thickBot="1" x14ac:dyDescent="0.3">
      <c r="B3" s="972" t="str">
        <f ca="1">MID(CELL("filename",A1),FIND("]",CELL("filename",A1))+1,256)</f>
        <v>F-1 Off Site River Baseline</v>
      </c>
      <c r="C3" s="973"/>
      <c r="D3" s="973"/>
      <c r="E3" s="974"/>
    </row>
    <row r="4" spans="2:40" ht="15" customHeight="1" thickBot="1" x14ac:dyDescent="0.3">
      <c r="B4" s="972"/>
      <c r="C4" s="973"/>
      <c r="D4" s="973"/>
      <c r="E4" s="974"/>
      <c r="S4" s="446"/>
      <c r="T4" s="1019" t="str">
        <f>IF(SUM(AG10:AG257)&gt;0,"Check Lengths ⚠","")</f>
        <v/>
      </c>
      <c r="U4" s="1019"/>
      <c r="V4" s="1019"/>
      <c r="W4" s="1019"/>
      <c r="X4" s="1019"/>
      <c r="Y4" s="1019"/>
    </row>
    <row r="5" spans="2:40" ht="27" customHeight="1" x14ac:dyDescent="0.25">
      <c r="B5" s="31"/>
      <c r="C5" s="31"/>
      <c r="S5" s="446"/>
      <c r="T5" s="1019"/>
      <c r="U5" s="1019"/>
      <c r="V5" s="1019"/>
      <c r="W5" s="1019"/>
      <c r="X5" s="1019"/>
      <c r="Y5" s="1019"/>
    </row>
    <row r="6" spans="2:40" ht="40.200000000000003" customHeight="1" x14ac:dyDescent="0.25">
      <c r="B6" s="31"/>
      <c r="C6" s="31"/>
      <c r="D6" s="131"/>
    </row>
    <row r="7" spans="2:40" ht="14.4" thickBot="1" x14ac:dyDescent="0.3"/>
    <row r="8" spans="2:40" ht="30.75" customHeight="1" thickBot="1" x14ac:dyDescent="0.3">
      <c r="C8" s="950" t="s">
        <v>318</v>
      </c>
      <c r="D8" s="950"/>
      <c r="E8" s="950"/>
      <c r="F8" s="940" t="s">
        <v>272</v>
      </c>
      <c r="G8" s="940"/>
      <c r="H8" s="940" t="s">
        <v>273</v>
      </c>
      <c r="I8" s="940"/>
      <c r="J8" s="950" t="s">
        <v>191</v>
      </c>
      <c r="K8" s="950"/>
      <c r="L8" s="950"/>
      <c r="M8" s="940" t="s">
        <v>319</v>
      </c>
      <c r="N8" s="940"/>
      <c r="O8" s="940" t="s">
        <v>320</v>
      </c>
      <c r="P8" s="940"/>
      <c r="Q8" s="939" t="s">
        <v>309</v>
      </c>
      <c r="R8" s="167" t="s">
        <v>193</v>
      </c>
      <c r="S8" s="134"/>
      <c r="T8" s="950" t="s">
        <v>194</v>
      </c>
      <c r="U8" s="950"/>
      <c r="V8" s="950"/>
      <c r="W8" s="950"/>
      <c r="X8" s="950"/>
      <c r="Y8" s="950"/>
      <c r="Z8" s="950" t="s">
        <v>196</v>
      </c>
      <c r="AA8" s="950"/>
    </row>
    <row r="9" spans="2:40" ht="41.4" x14ac:dyDescent="0.25">
      <c r="C9" s="368" t="s">
        <v>254</v>
      </c>
      <c r="D9" s="201" t="s">
        <v>138</v>
      </c>
      <c r="E9" s="202" t="s">
        <v>334</v>
      </c>
      <c r="F9" s="368" t="s">
        <v>189</v>
      </c>
      <c r="G9" s="202" t="s">
        <v>206</v>
      </c>
      <c r="H9" s="368" t="s">
        <v>190</v>
      </c>
      <c r="I9" s="202" t="s">
        <v>206</v>
      </c>
      <c r="J9" s="368" t="s">
        <v>191</v>
      </c>
      <c r="K9" s="201" t="s">
        <v>191</v>
      </c>
      <c r="L9" s="202" t="s">
        <v>231</v>
      </c>
      <c r="M9" s="368" t="s">
        <v>322</v>
      </c>
      <c r="N9" s="202" t="s">
        <v>323</v>
      </c>
      <c r="O9" s="368" t="s">
        <v>322</v>
      </c>
      <c r="P9" s="202" t="s">
        <v>323</v>
      </c>
      <c r="Q9" s="940"/>
      <c r="R9" s="421" t="s">
        <v>324</v>
      </c>
      <c r="S9" s="138"/>
      <c r="T9" s="368" t="s">
        <v>296</v>
      </c>
      <c r="U9" s="201" t="s">
        <v>297</v>
      </c>
      <c r="V9" s="201" t="s">
        <v>298</v>
      </c>
      <c r="W9" s="201" t="s">
        <v>299</v>
      </c>
      <c r="X9" s="201" t="s">
        <v>300</v>
      </c>
      <c r="Y9" s="202" t="s">
        <v>214</v>
      </c>
      <c r="Z9" s="368" t="s">
        <v>215</v>
      </c>
      <c r="AA9" s="202" t="s">
        <v>216</v>
      </c>
      <c r="AF9" s="131" t="s">
        <v>200</v>
      </c>
      <c r="AG9" s="42" t="s">
        <v>335</v>
      </c>
      <c r="AH9" s="139" t="s">
        <v>219</v>
      </c>
      <c r="AI9" s="139" t="s">
        <v>220</v>
      </c>
      <c r="AJ9" s="140"/>
      <c r="AK9" s="139" t="s">
        <v>222</v>
      </c>
      <c r="AL9" s="140"/>
      <c r="AM9" s="139" t="s">
        <v>219</v>
      </c>
      <c r="AN9" s="139" t="s">
        <v>220</v>
      </c>
    </row>
    <row r="10" spans="2:40" ht="13.8" x14ac:dyDescent="0.25">
      <c r="C10" s="141">
        <v>1</v>
      </c>
      <c r="D10" s="461"/>
      <c r="E10" s="142"/>
      <c r="F10" s="498" t="str">
        <f>IF(D10="","",VLOOKUP(D10,'G-7 Rivers Data'!$B$2:$G$8,2,FALSE))</f>
        <v/>
      </c>
      <c r="G10" s="499" t="str">
        <f>IFERROR(VLOOKUP(F10,'G-7 Rivers Data'!$C$4:$D$8,2,FALSE),"")</f>
        <v/>
      </c>
      <c r="H10" s="145"/>
      <c r="I10" s="499" t="str">
        <f>IFERROR(INDEX('G-7 Rivers Data'!$H$4:$L$8,MATCH(D10,'G-7 Rivers Data'!$B$4:$B$8,0),MATCH(H10,'G-7 Rivers Data'!$H$3:$L$3,0)),"")</f>
        <v/>
      </c>
      <c r="J10" s="146"/>
      <c r="K10" s="520" t="str">
        <f>IF(J10="","",IF(VLOOKUP(J10,'G-7 Rivers Data'!$AK$4:$AM$9,2,FALSE)=0,"Spatial Data Missing ⚠",VLOOKUP(J10,'G-7 Rivers Data'!$AK$4:$AM$9,2,FALSE)))</f>
        <v/>
      </c>
      <c r="L10" s="524" t="str">
        <f>IF(J10="","",IF(VLOOKUP(J10,'G-7 Rivers Data'!$AK$4:$AM$9,3,FALSE)=0,"Spatial Data Missing ⚠",VLOOKUP(J10,'G-7 Rivers Data'!$AK$4:$AM$9,3,FALSE)))</f>
        <v/>
      </c>
      <c r="M10" s="146"/>
      <c r="N10" s="499" t="str">
        <f>IF(M10="","",IF(VLOOKUP(M10,'G-7 Rivers Data'!$AA$4:$AB$7,2,FALSE)=0,"Spatial Data Missing ⚠",VLOOKUP(M10,'G-7 Rivers Data'!$AA$4:$AB$7,2,FALSE)))</f>
        <v/>
      </c>
      <c r="O10" s="78"/>
      <c r="P10" s="499" t="str">
        <f>IF(O10="","",IF(VLOOKUP(O10,'G-7 Rivers Data'!$AD$4:$AE$8,2,FALSE)=0,"Spatial Data Missing ⚠",VLOOKUP(O10,'G-7 Rivers Data'!$AD$4:$AE$8,2,FALSE)))</f>
        <v/>
      </c>
      <c r="Q10" s="506" t="str">
        <f>IF(D10="","",VLOOKUP(D10,'G-7 Rivers Data'!$B$4:$G$8,6,FALSE))</f>
        <v/>
      </c>
      <c r="R10" s="513" t="str">
        <f>IFERROR(E10*G10*I10*L10*N10*P10,"")</f>
        <v/>
      </c>
      <c r="S10" s="40"/>
      <c r="T10" s="71"/>
      <c r="U10" s="72"/>
      <c r="V10" s="511" t="str">
        <f>IFERROR(IF(T10&gt;E10,"Check Lengths",T10*G10*I10*L10*N10*P10),"")</f>
        <v/>
      </c>
      <c r="W10" s="511" t="str">
        <f>IFERROR(IF(D10="","",U10*G10*I10*L10*N10*P10),"")</f>
        <v/>
      </c>
      <c r="X10" s="511" t="str">
        <f>IFERROR(IF(D10="","",IF(E10&gt;(T10+U10),E10-T10-U10,0)),"")</f>
        <v/>
      </c>
      <c r="Y10" s="515" t="str">
        <f>IFERROR(IF(E10="","",IF((V10+W10)&gt;R10,0,R10-V10-W10)),"Check Data ⚠")</f>
        <v/>
      </c>
      <c r="Z10" s="149"/>
      <c r="AA10" s="150"/>
      <c r="AF10" s="31" t="str">
        <f>IFERROR(INDEX('G-7 Rivers Data'!$AZ$3:$AZ$7,MATCH(D10,'G-7 Rivers Data'!$AY$3:$AY$7,0)),"")</f>
        <v/>
      </c>
      <c r="AG10" s="31">
        <f>IFERROR(IF(T10+U10&gt;E10,1,0),"")</f>
        <v>0</v>
      </c>
      <c r="AH10" s="139" t="str">
        <f>IF(D10="","",IF(T10&gt;0,TRUE,FALSE))</f>
        <v/>
      </c>
      <c r="AI10" s="139" t="str">
        <f>IF(D10="","",IF(U10&gt;0,TRUE,FALSE))</f>
        <v/>
      </c>
      <c r="AJ10" s="140"/>
      <c r="AK10" s="139">
        <v>1</v>
      </c>
      <c r="AL10" s="140"/>
      <c r="AM10" s="139" t="str">
        <f t="array" ref="AM10">IFERROR(INDEX($AK$10:$AK$258, MATCH(0, IF(TRUE=$AH$10:$AH$258, COUNTIF($AM9:$AM$9, $AK$10:$AK$258), ""), 0)),"")</f>
        <v/>
      </c>
      <c r="AN10" s="139" t="str">
        <f t="array" ref="AN10">IFERROR(INDEX($AK$10:$AK$258, MATCH(0, IF(TRUE=$AI$10:$AI$258, COUNTIF($AN9:$AN$9, $AK$10:$AK$258), ""), 0)),"")</f>
        <v/>
      </c>
    </row>
    <row r="11" spans="2:40" ht="13.8" x14ac:dyDescent="0.25">
      <c r="C11" s="141">
        <v>2</v>
      </c>
      <c r="D11" s="461"/>
      <c r="E11" s="142"/>
      <c r="F11" s="498" t="str">
        <f>IF(D11="","",VLOOKUP(D11,'G-7 Rivers Data'!$B$2:$G$8,2,FALSE))</f>
        <v/>
      </c>
      <c r="G11" s="499" t="str">
        <f>IFERROR(VLOOKUP(F11,'G-7 Rivers Data'!$C$4:$D$8,2,FALSE),"")</f>
        <v/>
      </c>
      <c r="H11" s="145"/>
      <c r="I11" s="499" t="str">
        <f>IFERROR(INDEX('G-7 Rivers Data'!$H$4:$L$8,MATCH(D11,'G-7 Rivers Data'!$B$4:$B$8,0),MATCH(H11,'G-7 Rivers Data'!$H$3:$L$3,0)),"")</f>
        <v/>
      </c>
      <c r="J11" s="146"/>
      <c r="K11" s="520" t="str">
        <f>IF(J11="","",IF(VLOOKUP(J11,'G-7 Rivers Data'!$AK$4:$AM$9,2,FALSE)=0,"Spatial Data Missing ⚠",VLOOKUP(J11,'G-7 Rivers Data'!$AK$4:$AM$9,2,FALSE)))</f>
        <v/>
      </c>
      <c r="L11" s="524" t="str">
        <f>IF(J11="","",IF(VLOOKUP(J11,'G-7 Rivers Data'!$AK$4:$AM$9,3,FALSE)=0,"Spatial Data Missing ⚠",VLOOKUP(J11,'G-7 Rivers Data'!$AK$4:$AM$9,3,FALSE)))</f>
        <v/>
      </c>
      <c r="M11" s="71"/>
      <c r="N11" s="499" t="str">
        <f>IF(M11="","",IF(VLOOKUP(M11,'G-7 Rivers Data'!$AA$4:$AB$7,2,FALSE)=0,"Spatial Data Missing ⚠",VLOOKUP(M11,'G-7 Rivers Data'!$AA$4:$AB$7,2,FALSE)))</f>
        <v/>
      </c>
      <c r="O11" s="78"/>
      <c r="P11" s="499" t="str">
        <f>IF(O11="","",IF(VLOOKUP(O11,'G-7 Rivers Data'!$AD$4:$AE$8,2,FALSE)=0,"Spatial Data Missing ⚠",VLOOKUP(O11,'G-7 Rivers Data'!$AD$4:$AE$8,2,FALSE)))</f>
        <v/>
      </c>
      <c r="Q11" s="506" t="str">
        <f>IF(D11="","",VLOOKUP(D11,'G-7 Rivers Data'!$B$4:$G$8,6,FALSE))</f>
        <v/>
      </c>
      <c r="R11" s="513" t="str">
        <f t="shared" ref="R11:R74" si="0">IFERROR(E11*G11*I11*L11*N11*P11,"")</f>
        <v/>
      </c>
      <c r="S11" s="40"/>
      <c r="T11" s="71"/>
      <c r="U11" s="72"/>
      <c r="V11" s="511" t="str">
        <f t="shared" ref="V11:V74" si="1">IFERROR(IF(T11&gt;E11,"Check Lengths",T11*G11*I11*L11*N11*P11),"")</f>
        <v/>
      </c>
      <c r="W11" s="511" t="str">
        <f t="shared" ref="W11:W74" si="2">IFERROR(IF(D11="","",U11*G11*I11*L11*N11*P11),"")</f>
        <v/>
      </c>
      <c r="X11" s="511" t="str">
        <f t="shared" ref="X11:X74" si="3">IFERROR(IF(D11="","",IF(E11&gt;(T11+U11),E11-T11-U11,0)),"")</f>
        <v/>
      </c>
      <c r="Y11" s="515" t="str">
        <f t="shared" ref="Y11:Y74" si="4">IFERROR(IF(E11="","",IF((V11+W11)&gt;R11,0,R11-V11-W11)),"Check Data ⚠")</f>
        <v/>
      </c>
      <c r="Z11" s="151"/>
      <c r="AA11" s="152"/>
      <c r="AF11" s="31" t="str">
        <f>IFERROR(INDEX('G-7 Rivers Data'!$AZ$3:$AZ$7,MATCH(D11,'G-7 Rivers Data'!$AY$3:$AY$7,0)),"")</f>
        <v/>
      </c>
      <c r="AG11" s="31">
        <f t="shared" ref="AG11:AG74" si="5">IFERROR(IF(T11+U11&gt;E11,1,0),"")</f>
        <v>0</v>
      </c>
      <c r="AH11" s="139" t="str">
        <f t="shared" ref="AH11:AH74" si="6">IF(D11="","",IF(T11&gt;0,TRUE,FALSE))</f>
        <v/>
      </c>
      <c r="AI11" s="139" t="str">
        <f t="shared" ref="AI11:AI74" si="7">IF(D11="","",IF(U11&gt;0,TRUE,FALSE))</f>
        <v/>
      </c>
      <c r="AJ11" s="140"/>
      <c r="AK11" s="139">
        <v>2</v>
      </c>
      <c r="AL11" s="140"/>
      <c r="AM11" s="139" t="str">
        <f t="array" ref="AM11">IFERROR(INDEX($AK$10:$AK$258, MATCH(0, IF(TRUE=$AH$10:$AH$258, COUNTIF($AM$9:$AM10, $AK$10:$AK$258), ""), 0)),"")</f>
        <v/>
      </c>
      <c r="AN11" s="139" t="str">
        <f t="array" ref="AN11">IFERROR(INDEX($AK$10:$AK$258, MATCH(0, IF(TRUE=$AI$10:$AI$258, COUNTIF($AN$9:$AN10, $AK$10:$AK$258), ""), 0)),"")</f>
        <v/>
      </c>
    </row>
    <row r="12" spans="2:40" ht="13.8" x14ac:dyDescent="0.25">
      <c r="C12" s="141">
        <v>3</v>
      </c>
      <c r="D12" s="461"/>
      <c r="E12" s="142"/>
      <c r="F12" s="498" t="str">
        <f>IF(D12="","",VLOOKUP(D12,'G-7 Rivers Data'!$B$2:$G$8,2,FALSE))</f>
        <v/>
      </c>
      <c r="G12" s="499" t="str">
        <f>IFERROR(VLOOKUP(F12,'G-7 Rivers Data'!$C$4:$D$8,2,FALSE),"")</f>
        <v/>
      </c>
      <c r="H12" s="145"/>
      <c r="I12" s="499" t="str">
        <f>IFERROR(INDEX('G-7 Rivers Data'!$H$4:$L$8,MATCH(D12,'G-7 Rivers Data'!$B$4:$B$8,0),MATCH(H12,'G-7 Rivers Data'!$H$3:$L$3,0)),"")</f>
        <v/>
      </c>
      <c r="J12" s="146"/>
      <c r="K12" s="520" t="str">
        <f>IF(J12="","",IF(VLOOKUP(J12,'G-7 Rivers Data'!$AK$4:$AM$9,2,FALSE)=0,"Spatial Data Missing ⚠",VLOOKUP(J12,'G-7 Rivers Data'!$AK$4:$AM$9,2,FALSE)))</f>
        <v/>
      </c>
      <c r="L12" s="524" t="str">
        <f>IF(J12="","",IF(VLOOKUP(J12,'G-7 Rivers Data'!$AK$4:$AM$9,3,FALSE)=0,"Spatial Data Missing ⚠",VLOOKUP(J12,'G-7 Rivers Data'!$AK$4:$AM$9,3,FALSE)))</f>
        <v/>
      </c>
      <c r="M12" s="71"/>
      <c r="N12" s="499" t="str">
        <f>IF(M12="","",IF(VLOOKUP(M12,'G-7 Rivers Data'!$AA$4:$AB$7,2,FALSE)=0,"Spatial Data Missing ⚠",VLOOKUP(M12,'G-7 Rivers Data'!$AA$4:$AB$7,2,FALSE)))</f>
        <v/>
      </c>
      <c r="O12" s="78"/>
      <c r="P12" s="499" t="str">
        <f>IF(O12="","",IF(VLOOKUP(O12,'G-7 Rivers Data'!$AD$4:$AE$8,2,FALSE)=0,"Spatial Data Missing ⚠",VLOOKUP(O12,'G-7 Rivers Data'!$AD$4:$AE$8,2,FALSE)))</f>
        <v/>
      </c>
      <c r="Q12" s="506" t="str">
        <f>IF(D12="","",VLOOKUP(D12,'G-7 Rivers Data'!$B$4:$G$8,6,FALSE))</f>
        <v/>
      </c>
      <c r="R12" s="513" t="str">
        <f t="shared" si="0"/>
        <v/>
      </c>
      <c r="S12" s="40"/>
      <c r="T12" s="71"/>
      <c r="U12" s="72"/>
      <c r="V12" s="511" t="str">
        <f t="shared" si="1"/>
        <v/>
      </c>
      <c r="W12" s="511" t="str">
        <f t="shared" si="2"/>
        <v/>
      </c>
      <c r="X12" s="511" t="str">
        <f t="shared" si="3"/>
        <v/>
      </c>
      <c r="Y12" s="515" t="str">
        <f t="shared" si="4"/>
        <v/>
      </c>
      <c r="Z12" s="151"/>
      <c r="AA12" s="152"/>
      <c r="AF12" s="31" t="str">
        <f>IFERROR(INDEX('G-7 Rivers Data'!$AZ$3:$AZ$7,MATCH(D12,'G-7 Rivers Data'!$AY$3:$AY$7,0)),"")</f>
        <v/>
      </c>
      <c r="AG12" s="31">
        <f t="shared" si="5"/>
        <v>0</v>
      </c>
      <c r="AH12" s="139" t="str">
        <f t="shared" si="6"/>
        <v/>
      </c>
      <c r="AI12" s="139" t="str">
        <f t="shared" si="7"/>
        <v/>
      </c>
      <c r="AJ12" s="140"/>
      <c r="AK12" s="139">
        <v>3</v>
      </c>
      <c r="AL12" s="140"/>
      <c r="AM12" s="139" t="str">
        <f t="array" ref="AM12">IFERROR(INDEX($AK$10:$AK$258, MATCH(0, IF(TRUE=$AH$10:$AH$258, COUNTIF($AM$9:$AM11, $AK$10:$AK$258), ""), 0)),"")</f>
        <v/>
      </c>
      <c r="AN12" s="139" t="str">
        <f t="array" ref="AN12">IFERROR(INDEX($AK$10:$AK$258, MATCH(0, IF(TRUE=$AI$10:$AI$258, COUNTIF($AN$9:$AN11, $AK$10:$AK$258), ""), 0)),"")</f>
        <v/>
      </c>
    </row>
    <row r="13" spans="2:40" ht="13.8" x14ac:dyDescent="0.25">
      <c r="C13" s="141">
        <v>4</v>
      </c>
      <c r="D13" s="461"/>
      <c r="E13" s="142"/>
      <c r="F13" s="498" t="str">
        <f>IF(D13="","",VLOOKUP(D13,'G-7 Rivers Data'!$B$2:$G$8,2,FALSE))</f>
        <v/>
      </c>
      <c r="G13" s="499" t="str">
        <f>IFERROR(VLOOKUP(F13,'G-7 Rivers Data'!$C$4:$D$8,2,FALSE),"")</f>
        <v/>
      </c>
      <c r="H13" s="145"/>
      <c r="I13" s="499" t="str">
        <f>IFERROR(INDEX('G-7 Rivers Data'!$H$4:$L$8,MATCH(D13,'G-7 Rivers Data'!$B$4:$B$8,0),MATCH(H13,'G-7 Rivers Data'!$H$3:$L$3,0)),"")</f>
        <v/>
      </c>
      <c r="J13" s="146"/>
      <c r="K13" s="520" t="str">
        <f>IF(J13="","",IF(VLOOKUP(J13,'G-7 Rivers Data'!$AK$4:$AM$9,2,FALSE)=0,"Spatial Data Missing ⚠",VLOOKUP(J13,'G-7 Rivers Data'!$AK$4:$AM$9,2,FALSE)))</f>
        <v/>
      </c>
      <c r="L13" s="524" t="str">
        <f>IF(J13="","",IF(VLOOKUP(J13,'G-7 Rivers Data'!$AK$4:$AM$9,3,FALSE)=0,"Spatial Data Missing ⚠",VLOOKUP(J13,'G-7 Rivers Data'!$AK$4:$AM$9,3,FALSE)))</f>
        <v/>
      </c>
      <c r="M13" s="71"/>
      <c r="N13" s="499" t="str">
        <f>IF(M13="","",IF(VLOOKUP(M13,'G-7 Rivers Data'!$AA$4:$AB$7,2,FALSE)=0,"Spatial Data Missing ⚠",VLOOKUP(M13,'G-7 Rivers Data'!$AA$4:$AB$7,2,FALSE)))</f>
        <v/>
      </c>
      <c r="O13" s="78"/>
      <c r="P13" s="499" t="str">
        <f>IF(O13="","",IF(VLOOKUP(O13,'G-7 Rivers Data'!$AD$4:$AE$8,2,FALSE)=0,"Spatial Data Missing ⚠",VLOOKUP(O13,'G-7 Rivers Data'!$AD$4:$AE$8,2,FALSE)))</f>
        <v/>
      </c>
      <c r="Q13" s="506" t="str">
        <f>IF(D13="","",VLOOKUP(D13,'G-7 Rivers Data'!$B$4:$G$8,6,FALSE))</f>
        <v/>
      </c>
      <c r="R13" s="513" t="str">
        <f t="shared" si="0"/>
        <v/>
      </c>
      <c r="S13" s="40"/>
      <c r="T13" s="71"/>
      <c r="U13" s="72"/>
      <c r="V13" s="511" t="str">
        <f t="shared" si="1"/>
        <v/>
      </c>
      <c r="W13" s="511" t="str">
        <f t="shared" si="2"/>
        <v/>
      </c>
      <c r="X13" s="511" t="str">
        <f t="shared" si="3"/>
        <v/>
      </c>
      <c r="Y13" s="515" t="str">
        <f t="shared" si="4"/>
        <v/>
      </c>
      <c r="Z13" s="151"/>
      <c r="AA13" s="152"/>
      <c r="AF13" s="31" t="str">
        <f>IFERROR(INDEX('G-7 Rivers Data'!$AZ$3:$AZ$7,MATCH(D13,'G-7 Rivers Data'!$AY$3:$AY$7,0)),"")</f>
        <v/>
      </c>
      <c r="AG13" s="31">
        <f t="shared" si="5"/>
        <v>0</v>
      </c>
      <c r="AH13" s="139" t="str">
        <f t="shared" si="6"/>
        <v/>
      </c>
      <c r="AI13" s="139" t="str">
        <f t="shared" si="7"/>
        <v/>
      </c>
      <c r="AJ13" s="140"/>
      <c r="AK13" s="139">
        <v>4</v>
      </c>
      <c r="AL13" s="140"/>
      <c r="AM13" s="139" t="str">
        <f t="array" ref="AM13">IFERROR(INDEX($AK$10:$AK$258, MATCH(0, IF(TRUE=$AH$10:$AH$258, COUNTIF($AM$9:$AM12, $AK$10:$AK$258), ""), 0)),"")</f>
        <v/>
      </c>
      <c r="AN13" s="139" t="str">
        <f t="array" ref="AN13">IFERROR(INDEX($AK$10:$AK$258, MATCH(0, IF(TRUE=$AI$10:$AI$258, COUNTIF($AN$9:$AN12, $AK$10:$AK$258), ""), 0)),"")</f>
        <v/>
      </c>
    </row>
    <row r="14" spans="2:40" ht="13.8" x14ac:dyDescent="0.25">
      <c r="C14" s="141">
        <v>5</v>
      </c>
      <c r="D14" s="462"/>
      <c r="E14" s="153"/>
      <c r="F14" s="498" t="str">
        <f>IF(D14="","",VLOOKUP(D14,'G-7 Rivers Data'!$B$2:$G$8,2,FALSE))</f>
        <v/>
      </c>
      <c r="G14" s="499" t="str">
        <f>IFERROR(VLOOKUP(F14,'G-7 Rivers Data'!$C$4:$D$8,2,FALSE),"")</f>
        <v/>
      </c>
      <c r="H14" s="145"/>
      <c r="I14" s="499" t="str">
        <f>IFERROR(INDEX('G-7 Rivers Data'!$H$4:$L$8,MATCH(D14,'G-7 Rivers Data'!$B$4:$B$8,0),MATCH(H14,'G-7 Rivers Data'!$H$3:$L$3,0)),"")</f>
        <v/>
      </c>
      <c r="J14" s="146"/>
      <c r="K14" s="520" t="str">
        <f>IF(J14="","",IF(VLOOKUP(J14,'G-7 Rivers Data'!$AK$4:$AM$9,2,FALSE)=0,"Spatial Data Missing ⚠",VLOOKUP(J14,'G-7 Rivers Data'!$AK$4:$AM$9,2,FALSE)))</f>
        <v/>
      </c>
      <c r="L14" s="524" t="str">
        <f>IF(J14="","",IF(VLOOKUP(J14,'G-7 Rivers Data'!$AK$4:$AM$9,3,FALSE)=0,"Spatial Data Missing ⚠",VLOOKUP(J14,'G-7 Rivers Data'!$AK$4:$AM$9,3,FALSE)))</f>
        <v/>
      </c>
      <c r="M14" s="71"/>
      <c r="N14" s="499" t="str">
        <f>IF(M14="","",IF(VLOOKUP(M14,'G-7 Rivers Data'!$AA$4:$AB$7,2,FALSE)=0,"Spatial Data Missing ⚠",VLOOKUP(M14,'G-7 Rivers Data'!$AA$4:$AB$7,2,FALSE)))</f>
        <v/>
      </c>
      <c r="O14" s="78"/>
      <c r="P14" s="499" t="str">
        <f>IF(O14="","",IF(VLOOKUP(O14,'G-7 Rivers Data'!$AD$4:$AE$8,2,FALSE)=0,"Spatial Data Missing ⚠",VLOOKUP(O14,'G-7 Rivers Data'!$AD$4:$AE$8,2,FALSE)))</f>
        <v/>
      </c>
      <c r="Q14" s="506" t="str">
        <f>IF(D14="","",VLOOKUP(D14,'G-7 Rivers Data'!$B$4:$G$8,6,FALSE))</f>
        <v/>
      </c>
      <c r="R14" s="513" t="str">
        <f t="shared" si="0"/>
        <v/>
      </c>
      <c r="S14" s="40"/>
      <c r="T14" s="71"/>
      <c r="U14" s="72"/>
      <c r="V14" s="511" t="str">
        <f t="shared" si="1"/>
        <v/>
      </c>
      <c r="W14" s="511" t="str">
        <f t="shared" si="2"/>
        <v/>
      </c>
      <c r="X14" s="511" t="str">
        <f t="shared" si="3"/>
        <v/>
      </c>
      <c r="Y14" s="515" t="str">
        <f t="shared" si="4"/>
        <v/>
      </c>
      <c r="Z14" s="151"/>
      <c r="AA14" s="152"/>
      <c r="AF14" s="31" t="str">
        <f>IFERROR(INDEX('G-7 Rivers Data'!$AZ$3:$AZ$7,MATCH(D14,'G-7 Rivers Data'!$AY$3:$AY$7,0)),"")</f>
        <v/>
      </c>
      <c r="AG14" s="31">
        <f t="shared" si="5"/>
        <v>0</v>
      </c>
      <c r="AH14" s="139" t="str">
        <f t="shared" si="6"/>
        <v/>
      </c>
      <c r="AI14" s="139" t="str">
        <f t="shared" si="7"/>
        <v/>
      </c>
      <c r="AJ14" s="140"/>
      <c r="AK14" s="139">
        <v>5</v>
      </c>
      <c r="AL14" s="140"/>
      <c r="AM14" s="139" t="str">
        <f t="array" ref="AM14">IFERROR(INDEX($AK$10:$AK$258, MATCH(0, IF(TRUE=$AH$10:$AH$258, COUNTIF($AM$9:$AM13, $AK$10:$AK$258), ""), 0)),"")</f>
        <v/>
      </c>
      <c r="AN14" s="139" t="str">
        <f t="array" ref="AN14">IFERROR(INDEX($AK$10:$AK$258, MATCH(0, IF(TRUE=$AI$10:$AI$258, COUNTIF($AN$9:$AN13, $AK$10:$AK$258), ""), 0)),"")</f>
        <v/>
      </c>
    </row>
    <row r="15" spans="2:40" ht="13.8" x14ac:dyDescent="0.25">
      <c r="C15" s="141">
        <v>6</v>
      </c>
      <c r="D15" s="462"/>
      <c r="E15" s="153"/>
      <c r="F15" s="498" t="str">
        <f>IF(D15="","",VLOOKUP(D15,'G-7 Rivers Data'!$B$2:$G$8,2,FALSE))</f>
        <v/>
      </c>
      <c r="G15" s="499" t="str">
        <f>IFERROR(VLOOKUP(F15,'G-7 Rivers Data'!$C$4:$D$8,2,FALSE),"")</f>
        <v/>
      </c>
      <c r="H15" s="145"/>
      <c r="I15" s="499" t="str">
        <f>IFERROR(INDEX('G-7 Rivers Data'!$H$4:$L$8,MATCH(D15,'G-7 Rivers Data'!$B$4:$B$8,0),MATCH(H15,'G-7 Rivers Data'!$H$3:$L$3,0)),"")</f>
        <v/>
      </c>
      <c r="J15" s="154"/>
      <c r="K15" s="520" t="str">
        <f>IF(J15="","",IF(VLOOKUP(J15,'G-7 Rivers Data'!$AK$4:$AM$9,2,FALSE)=0,"Spatial Data Missing ⚠",VLOOKUP(J15,'G-7 Rivers Data'!$AK$4:$AM$9,2,FALSE)))</f>
        <v/>
      </c>
      <c r="L15" s="524" t="str">
        <f>IF(J15="","",IF(VLOOKUP(J15,'G-7 Rivers Data'!$AK$4:$AM$9,3,FALSE)=0,"Spatial Data Missing ⚠",VLOOKUP(J15,'G-7 Rivers Data'!$AK$4:$AM$9,3,FALSE)))</f>
        <v/>
      </c>
      <c r="M15" s="71"/>
      <c r="N15" s="499" t="str">
        <f>IF(M15="","",IF(VLOOKUP(M15,'G-7 Rivers Data'!$AA$4:$AB$7,2,FALSE)=0,"Spatial Data Missing ⚠",VLOOKUP(M15,'G-7 Rivers Data'!$AA$4:$AB$7,2,FALSE)))</f>
        <v/>
      </c>
      <c r="O15" s="155"/>
      <c r="P15" s="499" t="str">
        <f>IF(O15="","",IF(VLOOKUP(O15,'G-7 Rivers Data'!$AD$4:$AE$8,2,FALSE)=0,"Spatial Data Missing ⚠",VLOOKUP(O15,'G-7 Rivers Data'!$AD$4:$AE$8,2,FALSE)))</f>
        <v/>
      </c>
      <c r="Q15" s="506" t="str">
        <f>IF(D15="","",VLOOKUP(D15,'G-7 Rivers Data'!$B$4:$G$8,6,FALSE))</f>
        <v/>
      </c>
      <c r="R15" s="513" t="str">
        <f t="shared" si="0"/>
        <v/>
      </c>
      <c r="S15" s="40"/>
      <c r="T15" s="71"/>
      <c r="U15" s="72"/>
      <c r="V15" s="511" t="str">
        <f t="shared" si="1"/>
        <v/>
      </c>
      <c r="W15" s="511" t="str">
        <f t="shared" si="2"/>
        <v/>
      </c>
      <c r="X15" s="511" t="str">
        <f t="shared" si="3"/>
        <v/>
      </c>
      <c r="Y15" s="515" t="str">
        <f t="shared" si="4"/>
        <v/>
      </c>
      <c r="Z15" s="151"/>
      <c r="AA15" s="152"/>
      <c r="AF15" s="31" t="str">
        <f>IFERROR(INDEX('G-7 Rivers Data'!$AZ$3:$AZ$7,MATCH(D15,'G-7 Rivers Data'!$AY$3:$AY$7,0)),"")</f>
        <v/>
      </c>
      <c r="AG15" s="31">
        <f t="shared" si="5"/>
        <v>0</v>
      </c>
      <c r="AH15" s="139" t="str">
        <f t="shared" si="6"/>
        <v/>
      </c>
      <c r="AI15" s="139" t="str">
        <f t="shared" si="7"/>
        <v/>
      </c>
      <c r="AJ15" s="140"/>
      <c r="AK15" s="139">
        <v>6</v>
      </c>
      <c r="AL15" s="140"/>
      <c r="AM15" s="139" t="str">
        <f t="array" ref="AM15">IFERROR(INDEX($AK$10:$AK$258, MATCH(0, IF(TRUE=$AH$10:$AH$258, COUNTIF($AM$9:$AM14, $AK$10:$AK$258), ""), 0)),"")</f>
        <v/>
      </c>
      <c r="AN15" s="139" t="str">
        <f t="array" ref="AN15">IFERROR(INDEX($AK$10:$AK$258, MATCH(0, IF(TRUE=$AI$10:$AI$258, COUNTIF($AN$9:$AN14, $AK$10:$AK$258), ""), 0)),"")</f>
        <v/>
      </c>
    </row>
    <row r="16" spans="2:40" ht="13.8" x14ac:dyDescent="0.25">
      <c r="C16" s="141">
        <v>7</v>
      </c>
      <c r="D16" s="462"/>
      <c r="E16" s="153"/>
      <c r="F16" s="498" t="str">
        <f>IF(D16="","",VLOOKUP(D16,'G-7 Rivers Data'!$B$2:$G$8,2,FALSE))</f>
        <v/>
      </c>
      <c r="G16" s="499" t="str">
        <f>IFERROR(VLOOKUP(F16,'G-7 Rivers Data'!$C$4:$D$8,2,FALSE),"")</f>
        <v/>
      </c>
      <c r="H16" s="145"/>
      <c r="I16" s="499" t="str">
        <f>IFERROR(INDEX('G-7 Rivers Data'!$H$4:$L$8,MATCH(D16,'G-7 Rivers Data'!$B$4:$B$8,0),MATCH(H16,'G-7 Rivers Data'!$H$3:$L$3,0)),"")</f>
        <v/>
      </c>
      <c r="J16" s="154"/>
      <c r="K16" s="520" t="str">
        <f>IF(J16="","",IF(VLOOKUP(J16,'G-7 Rivers Data'!$AK$4:$AM$9,2,FALSE)=0,"Spatial Data Missing ⚠",VLOOKUP(J16,'G-7 Rivers Data'!$AK$4:$AM$9,2,FALSE)))</f>
        <v/>
      </c>
      <c r="L16" s="524" t="str">
        <f>IF(J16="","",IF(VLOOKUP(J16,'G-7 Rivers Data'!$AK$4:$AM$9,3,FALSE)=0,"Spatial Data Missing ⚠",VLOOKUP(J16,'G-7 Rivers Data'!$AK$4:$AM$9,3,FALSE)))</f>
        <v/>
      </c>
      <c r="M16" s="71"/>
      <c r="N16" s="499" t="str">
        <f>IF(M16="","",IF(VLOOKUP(M16,'G-7 Rivers Data'!$AA$4:$AB$7,2,FALSE)=0,"Spatial Data Missing ⚠",VLOOKUP(M16,'G-7 Rivers Data'!$AA$4:$AB$7,2,FALSE)))</f>
        <v/>
      </c>
      <c r="O16" s="155"/>
      <c r="P16" s="499" t="str">
        <f>IF(O16="","",IF(VLOOKUP(O16,'G-7 Rivers Data'!$AD$4:$AE$8,2,FALSE)=0,"Spatial Data Missing ⚠",VLOOKUP(O16,'G-7 Rivers Data'!$AD$4:$AE$8,2,FALSE)))</f>
        <v/>
      </c>
      <c r="Q16" s="506" t="str">
        <f>IF(D16="","",VLOOKUP(D16,'G-7 Rivers Data'!$B$4:$G$8,6,FALSE))</f>
        <v/>
      </c>
      <c r="R16" s="513" t="str">
        <f t="shared" si="0"/>
        <v/>
      </c>
      <c r="S16" s="40"/>
      <c r="T16" s="71"/>
      <c r="U16" s="72"/>
      <c r="V16" s="511" t="str">
        <f t="shared" si="1"/>
        <v/>
      </c>
      <c r="W16" s="511" t="str">
        <f t="shared" si="2"/>
        <v/>
      </c>
      <c r="X16" s="511" t="str">
        <f t="shared" si="3"/>
        <v/>
      </c>
      <c r="Y16" s="515" t="str">
        <f t="shared" si="4"/>
        <v/>
      </c>
      <c r="Z16" s="151"/>
      <c r="AA16" s="152"/>
      <c r="AF16" s="31" t="str">
        <f>IFERROR(INDEX('G-7 Rivers Data'!$AZ$3:$AZ$7,MATCH(D16,'G-7 Rivers Data'!$AY$3:$AY$7,0)),"")</f>
        <v/>
      </c>
      <c r="AG16" s="31">
        <f t="shared" si="5"/>
        <v>0</v>
      </c>
      <c r="AH16" s="139" t="str">
        <f t="shared" si="6"/>
        <v/>
      </c>
      <c r="AI16" s="139" t="str">
        <f t="shared" si="7"/>
        <v/>
      </c>
      <c r="AJ16" s="140"/>
      <c r="AK16" s="139">
        <v>7</v>
      </c>
      <c r="AL16" s="140"/>
      <c r="AM16" s="139" t="str">
        <f t="array" ref="AM16">IFERROR(INDEX($AK$10:$AK$258, MATCH(0, IF(TRUE=$AH$10:$AH$258, COUNTIF($AM$9:$AM15, $AK$10:$AK$258), ""), 0)),"")</f>
        <v/>
      </c>
      <c r="AN16" s="139" t="str">
        <f t="array" ref="AN16">IFERROR(INDEX($AK$10:$AK$258, MATCH(0, IF(TRUE=$AI$10:$AI$258, COUNTIF($AN$9:$AN15, $AK$10:$AK$258), ""), 0)),"")</f>
        <v/>
      </c>
    </row>
    <row r="17" spans="3:40" ht="13.8" x14ac:dyDescent="0.25">
      <c r="C17" s="141">
        <v>8</v>
      </c>
      <c r="D17" s="462"/>
      <c r="E17" s="153"/>
      <c r="F17" s="498" t="str">
        <f>IF(D17="","",VLOOKUP(D17,'G-7 Rivers Data'!$B$2:$G$8,2,FALSE))</f>
        <v/>
      </c>
      <c r="G17" s="499" t="str">
        <f>IFERROR(VLOOKUP(F17,'G-7 Rivers Data'!$C$4:$D$8,2,FALSE),"")</f>
        <v/>
      </c>
      <c r="H17" s="145"/>
      <c r="I17" s="499" t="str">
        <f>IFERROR(INDEX('G-7 Rivers Data'!$H$4:$L$8,MATCH(D17,'G-7 Rivers Data'!$B$4:$B$8,0),MATCH(H17,'G-7 Rivers Data'!$H$3:$L$3,0)),"")</f>
        <v/>
      </c>
      <c r="J17" s="154"/>
      <c r="K17" s="520" t="str">
        <f>IF(J17="","",IF(VLOOKUP(J17,'G-7 Rivers Data'!$AK$4:$AM$9,2,FALSE)=0,"Spatial Data Missing ⚠",VLOOKUP(J17,'G-7 Rivers Data'!$AK$4:$AM$9,2,FALSE)))</f>
        <v/>
      </c>
      <c r="L17" s="524" t="str">
        <f>IF(J17="","",IF(VLOOKUP(J17,'G-7 Rivers Data'!$AK$4:$AM$9,3,FALSE)=0,"Spatial Data Missing ⚠",VLOOKUP(J17,'G-7 Rivers Data'!$AK$4:$AM$9,3,FALSE)))</f>
        <v/>
      </c>
      <c r="M17" s="71"/>
      <c r="N17" s="499" t="str">
        <f>IF(M17="","",IF(VLOOKUP(M17,'G-7 Rivers Data'!$AA$4:$AB$7,2,FALSE)=0,"Spatial Data Missing ⚠",VLOOKUP(M17,'G-7 Rivers Data'!$AA$4:$AB$7,2,FALSE)))</f>
        <v/>
      </c>
      <c r="O17" s="155"/>
      <c r="P17" s="499" t="str">
        <f>IF(O17="","",IF(VLOOKUP(O17,'G-7 Rivers Data'!$AD$4:$AE$8,2,FALSE)=0,"Spatial Data Missing ⚠",VLOOKUP(O17,'G-7 Rivers Data'!$AD$4:$AE$8,2,FALSE)))</f>
        <v/>
      </c>
      <c r="Q17" s="506" t="str">
        <f>IF(D17="","",VLOOKUP(D17,'G-7 Rivers Data'!$B$4:$G$8,6,FALSE))</f>
        <v/>
      </c>
      <c r="R17" s="513" t="str">
        <f t="shared" si="0"/>
        <v/>
      </c>
      <c r="S17" s="40"/>
      <c r="T17" s="71"/>
      <c r="U17" s="72"/>
      <c r="V17" s="511" t="str">
        <f t="shared" si="1"/>
        <v/>
      </c>
      <c r="W17" s="511" t="str">
        <f t="shared" si="2"/>
        <v/>
      </c>
      <c r="X17" s="511" t="str">
        <f t="shared" si="3"/>
        <v/>
      </c>
      <c r="Y17" s="515" t="str">
        <f t="shared" si="4"/>
        <v/>
      </c>
      <c r="Z17" s="151"/>
      <c r="AA17" s="152"/>
      <c r="AF17" s="31" t="str">
        <f>IFERROR(INDEX('G-7 Rivers Data'!$AZ$3:$AZ$7,MATCH(D17,'G-7 Rivers Data'!$AY$3:$AY$7,0)),"")</f>
        <v/>
      </c>
      <c r="AG17" s="31">
        <f t="shared" si="5"/>
        <v>0</v>
      </c>
      <c r="AH17" s="139" t="str">
        <f t="shared" si="6"/>
        <v/>
      </c>
      <c r="AI17" s="139" t="str">
        <f t="shared" si="7"/>
        <v/>
      </c>
      <c r="AJ17" s="140"/>
      <c r="AK17" s="139">
        <v>8</v>
      </c>
      <c r="AL17" s="140"/>
      <c r="AM17" s="139" t="str">
        <f t="array" ref="AM17">IFERROR(INDEX($AK$10:$AK$258, MATCH(0, IF(TRUE=$AH$10:$AH$258, COUNTIF($AM$9:$AM16, $AK$10:$AK$258), ""), 0)),"")</f>
        <v/>
      </c>
      <c r="AN17" s="139" t="str">
        <f t="array" ref="AN17">IFERROR(INDEX($AK$10:$AK$258, MATCH(0, IF(TRUE=$AI$10:$AI$258, COUNTIF($AN$9:$AN16, $AK$10:$AK$258), ""), 0)),"")</f>
        <v/>
      </c>
    </row>
    <row r="18" spans="3:40" ht="13.8" x14ac:dyDescent="0.25">
      <c r="C18" s="141">
        <v>9</v>
      </c>
      <c r="D18" s="462"/>
      <c r="E18" s="153"/>
      <c r="F18" s="498" t="str">
        <f>IF(D18="","",VLOOKUP(D18,'G-7 Rivers Data'!$B$2:$G$8,2,FALSE))</f>
        <v/>
      </c>
      <c r="G18" s="499" t="str">
        <f>IFERROR(VLOOKUP(F18,'G-7 Rivers Data'!$C$4:$D$8,2,FALSE),"")</f>
        <v/>
      </c>
      <c r="H18" s="145"/>
      <c r="I18" s="499" t="str">
        <f>IFERROR(INDEX('G-7 Rivers Data'!$H$4:$L$8,MATCH(D18,'G-7 Rivers Data'!$B$4:$B$8,0),MATCH(H18,'G-7 Rivers Data'!$H$3:$L$3,0)),"")</f>
        <v/>
      </c>
      <c r="J18" s="154"/>
      <c r="K18" s="520" t="str">
        <f>IF(J18="","",IF(VLOOKUP(J18,'G-7 Rivers Data'!$AK$4:$AM$9,2,FALSE)=0,"Spatial Data Missing ⚠",VLOOKUP(J18,'G-7 Rivers Data'!$AK$4:$AM$9,2,FALSE)))</f>
        <v/>
      </c>
      <c r="L18" s="524" t="str">
        <f>IF(J18="","",IF(VLOOKUP(J18,'G-7 Rivers Data'!$AK$4:$AM$9,3,FALSE)=0,"Spatial Data Missing ⚠",VLOOKUP(J18,'G-7 Rivers Data'!$AK$4:$AM$9,3,FALSE)))</f>
        <v/>
      </c>
      <c r="M18" s="71"/>
      <c r="N18" s="499" t="str">
        <f>IF(M18="","",IF(VLOOKUP(M18,'G-7 Rivers Data'!$AA$4:$AB$7,2,FALSE)=0,"Spatial Data Missing ⚠",VLOOKUP(M18,'G-7 Rivers Data'!$AA$4:$AB$7,2,FALSE)))</f>
        <v/>
      </c>
      <c r="O18" s="155"/>
      <c r="P18" s="499" t="str">
        <f>IF(O18="","",IF(VLOOKUP(O18,'G-7 Rivers Data'!$AD$4:$AE$8,2,FALSE)=0,"Spatial Data Missing ⚠",VLOOKUP(O18,'G-7 Rivers Data'!$AD$4:$AE$8,2,FALSE)))</f>
        <v/>
      </c>
      <c r="Q18" s="506" t="str">
        <f>IF(D18="","",VLOOKUP(D18,'G-7 Rivers Data'!$B$4:$G$8,6,FALSE))</f>
        <v/>
      </c>
      <c r="R18" s="513" t="str">
        <f t="shared" si="0"/>
        <v/>
      </c>
      <c r="S18" s="40"/>
      <c r="T18" s="71"/>
      <c r="U18" s="72"/>
      <c r="V18" s="511" t="str">
        <f t="shared" si="1"/>
        <v/>
      </c>
      <c r="W18" s="511" t="str">
        <f t="shared" si="2"/>
        <v/>
      </c>
      <c r="X18" s="511" t="str">
        <f t="shared" si="3"/>
        <v/>
      </c>
      <c r="Y18" s="515" t="str">
        <f t="shared" si="4"/>
        <v/>
      </c>
      <c r="Z18" s="151"/>
      <c r="AA18" s="152"/>
      <c r="AF18" s="31" t="str">
        <f>IFERROR(INDEX('G-7 Rivers Data'!$AZ$3:$AZ$7,MATCH(D18,'G-7 Rivers Data'!$AY$3:$AY$7,0)),"")</f>
        <v/>
      </c>
      <c r="AG18" s="31">
        <f t="shared" si="5"/>
        <v>0</v>
      </c>
      <c r="AH18" s="139" t="str">
        <f t="shared" si="6"/>
        <v/>
      </c>
      <c r="AI18" s="139" t="str">
        <f t="shared" si="7"/>
        <v/>
      </c>
      <c r="AJ18" s="140"/>
      <c r="AK18" s="139">
        <v>9</v>
      </c>
      <c r="AL18" s="140"/>
      <c r="AM18" s="139" t="str">
        <f t="array" ref="AM18">IFERROR(INDEX($AK$10:$AK$258, MATCH(0, IF(TRUE=$AH$10:$AH$258, COUNTIF($AM$9:$AM17, $AK$10:$AK$258), ""), 0)),"")</f>
        <v/>
      </c>
      <c r="AN18" s="139" t="str">
        <f t="array" ref="AN18">IFERROR(INDEX($AK$10:$AK$258, MATCH(0, IF(TRUE=$AI$10:$AI$258, COUNTIF($AN$9:$AN17, $AK$10:$AK$258), ""), 0)),"")</f>
        <v/>
      </c>
    </row>
    <row r="19" spans="3:40" ht="13.8" x14ac:dyDescent="0.25">
      <c r="C19" s="141">
        <v>10</v>
      </c>
      <c r="D19" s="462"/>
      <c r="E19" s="153"/>
      <c r="F19" s="498" t="str">
        <f>IF(D19="","",VLOOKUP(D19,'G-7 Rivers Data'!$B$2:$G$8,2,FALSE))</f>
        <v/>
      </c>
      <c r="G19" s="499" t="str">
        <f>IFERROR(VLOOKUP(F19,'G-7 Rivers Data'!$C$4:$D$8,2,FALSE),"")</f>
        <v/>
      </c>
      <c r="H19" s="145"/>
      <c r="I19" s="499" t="str">
        <f>IFERROR(INDEX('G-7 Rivers Data'!$H$4:$L$8,MATCH(D19,'G-7 Rivers Data'!$B$4:$B$8,0),MATCH(H19,'G-7 Rivers Data'!$H$3:$L$3,0)),"")</f>
        <v/>
      </c>
      <c r="J19" s="154"/>
      <c r="K19" s="520" t="str">
        <f>IF(J19="","",IF(VLOOKUP(J19,'G-7 Rivers Data'!$AK$4:$AM$9,2,FALSE)=0,"Spatial Data Missing ⚠",VLOOKUP(J19,'G-7 Rivers Data'!$AK$4:$AM$9,2,FALSE)))</f>
        <v/>
      </c>
      <c r="L19" s="524" t="str">
        <f>IF(J19="","",IF(VLOOKUP(J19,'G-7 Rivers Data'!$AK$4:$AM$9,3,FALSE)=0,"Spatial Data Missing ⚠",VLOOKUP(J19,'G-7 Rivers Data'!$AK$4:$AM$9,3,FALSE)))</f>
        <v/>
      </c>
      <c r="M19" s="71"/>
      <c r="N19" s="499" t="str">
        <f>IF(M19="","",IF(VLOOKUP(M19,'G-7 Rivers Data'!$AA$4:$AB$7,2,FALSE)=0,"Spatial Data Missing ⚠",VLOOKUP(M19,'G-7 Rivers Data'!$AA$4:$AB$7,2,FALSE)))</f>
        <v/>
      </c>
      <c r="O19" s="155"/>
      <c r="P19" s="499" t="str">
        <f>IF(O19="","",IF(VLOOKUP(O19,'G-7 Rivers Data'!$AD$4:$AE$8,2,FALSE)=0,"Spatial Data Missing ⚠",VLOOKUP(O19,'G-7 Rivers Data'!$AD$4:$AE$8,2,FALSE)))</f>
        <v/>
      </c>
      <c r="Q19" s="506" t="str">
        <f>IF(D19="","",VLOOKUP(D19,'G-7 Rivers Data'!$B$4:$G$8,6,FALSE))</f>
        <v/>
      </c>
      <c r="R19" s="513" t="str">
        <f t="shared" si="0"/>
        <v/>
      </c>
      <c r="S19" s="40"/>
      <c r="T19" s="71"/>
      <c r="U19" s="72"/>
      <c r="V19" s="511" t="str">
        <f t="shared" si="1"/>
        <v/>
      </c>
      <c r="W19" s="511" t="str">
        <f t="shared" si="2"/>
        <v/>
      </c>
      <c r="X19" s="511" t="str">
        <f t="shared" si="3"/>
        <v/>
      </c>
      <c r="Y19" s="515" t="str">
        <f t="shared" si="4"/>
        <v/>
      </c>
      <c r="Z19" s="151"/>
      <c r="AA19" s="152"/>
      <c r="AF19" s="31" t="str">
        <f>IFERROR(INDEX('G-7 Rivers Data'!$AZ$3:$AZ$7,MATCH(D19,'G-7 Rivers Data'!$AY$3:$AY$7,0)),"")</f>
        <v/>
      </c>
      <c r="AG19" s="31">
        <f t="shared" si="5"/>
        <v>0</v>
      </c>
      <c r="AH19" s="139" t="str">
        <f t="shared" si="6"/>
        <v/>
      </c>
      <c r="AI19" s="139" t="str">
        <f t="shared" si="7"/>
        <v/>
      </c>
      <c r="AJ19" s="140"/>
      <c r="AK19" s="139">
        <v>10</v>
      </c>
      <c r="AL19" s="140"/>
      <c r="AM19" s="139" t="str">
        <f t="array" ref="AM19">IFERROR(INDEX($AK$10:$AK$258, MATCH(0, IF(TRUE=$AH$10:$AH$258, COUNTIF($AM$9:$AM18, $AK$10:$AK$258), ""), 0)),"")</f>
        <v/>
      </c>
      <c r="AN19" s="139" t="str">
        <f t="array" ref="AN19">IFERROR(INDEX($AK$10:$AK$258, MATCH(0, IF(TRUE=$AI$10:$AI$258, COUNTIF($AN$9:$AN18, $AK$10:$AK$258), ""), 0)),"")</f>
        <v/>
      </c>
    </row>
    <row r="20" spans="3:40" ht="13.8" x14ac:dyDescent="0.25">
      <c r="C20" s="141">
        <v>11</v>
      </c>
      <c r="D20" s="462"/>
      <c r="E20" s="153"/>
      <c r="F20" s="498" t="str">
        <f>IF(D20="","",VLOOKUP(D20,'G-7 Rivers Data'!$B$2:$G$8,2,FALSE))</f>
        <v/>
      </c>
      <c r="G20" s="499" t="str">
        <f>IFERROR(VLOOKUP(F20,'G-7 Rivers Data'!$C$4:$D$8,2,FALSE),"")</f>
        <v/>
      </c>
      <c r="H20" s="145"/>
      <c r="I20" s="499" t="str">
        <f>IFERROR(INDEX('G-7 Rivers Data'!$H$4:$L$8,MATCH(D20,'G-7 Rivers Data'!$B$4:$B$8,0),MATCH(H20,'G-7 Rivers Data'!$H$3:$L$3,0)),"")</f>
        <v/>
      </c>
      <c r="J20" s="154"/>
      <c r="K20" s="520" t="str">
        <f>IF(J20="","",IF(VLOOKUP(J20,'G-7 Rivers Data'!$AK$4:$AM$9,2,FALSE)=0,"Spatial Data Missing ⚠",VLOOKUP(J20,'G-7 Rivers Data'!$AK$4:$AM$9,2,FALSE)))</f>
        <v/>
      </c>
      <c r="L20" s="524" t="str">
        <f>IF(J20="","",IF(VLOOKUP(J20,'G-7 Rivers Data'!$AK$4:$AM$9,3,FALSE)=0,"Spatial Data Missing ⚠",VLOOKUP(J20,'G-7 Rivers Data'!$AK$4:$AM$9,3,FALSE)))</f>
        <v/>
      </c>
      <c r="M20" s="71"/>
      <c r="N20" s="499" t="str">
        <f>IF(M20="","",IF(VLOOKUP(M20,'G-7 Rivers Data'!$AA$4:$AB$7,2,FALSE)=0,"Spatial Data Missing ⚠",VLOOKUP(M20,'G-7 Rivers Data'!$AA$4:$AB$7,2,FALSE)))</f>
        <v/>
      </c>
      <c r="O20" s="155"/>
      <c r="P20" s="499" t="str">
        <f>IF(O20="","",IF(VLOOKUP(O20,'G-7 Rivers Data'!$AD$4:$AE$8,2,FALSE)=0,"Spatial Data Missing ⚠",VLOOKUP(O20,'G-7 Rivers Data'!$AD$4:$AE$8,2,FALSE)))</f>
        <v/>
      </c>
      <c r="Q20" s="506" t="str">
        <f>IF(D20="","",VLOOKUP(D20,'G-7 Rivers Data'!$B$4:$G$8,6,FALSE))</f>
        <v/>
      </c>
      <c r="R20" s="513" t="str">
        <f t="shared" si="0"/>
        <v/>
      </c>
      <c r="S20" s="40"/>
      <c r="T20" s="71"/>
      <c r="U20" s="72"/>
      <c r="V20" s="511" t="str">
        <f t="shared" si="1"/>
        <v/>
      </c>
      <c r="W20" s="511" t="str">
        <f t="shared" si="2"/>
        <v/>
      </c>
      <c r="X20" s="511" t="str">
        <f t="shared" si="3"/>
        <v/>
      </c>
      <c r="Y20" s="515" t="str">
        <f t="shared" si="4"/>
        <v/>
      </c>
      <c r="Z20" s="151"/>
      <c r="AA20" s="152"/>
      <c r="AF20" s="31" t="str">
        <f>IFERROR(INDEX('G-7 Rivers Data'!$AZ$3:$AZ$7,MATCH(D20,'G-7 Rivers Data'!$AY$3:$AY$7,0)),"")</f>
        <v/>
      </c>
      <c r="AG20" s="31">
        <f t="shared" si="5"/>
        <v>0</v>
      </c>
      <c r="AH20" s="139" t="str">
        <f t="shared" si="6"/>
        <v/>
      </c>
      <c r="AI20" s="139" t="str">
        <f t="shared" si="7"/>
        <v/>
      </c>
      <c r="AJ20" s="140"/>
      <c r="AK20" s="139">
        <v>11</v>
      </c>
      <c r="AL20" s="140"/>
      <c r="AM20" s="139" t="str">
        <f t="array" ref="AM20">IFERROR(INDEX($AK$10:$AK$258, MATCH(0, IF(TRUE=$AH$10:$AH$258, COUNTIF($AM$9:$AM19, $AK$10:$AK$258), ""), 0)),"")</f>
        <v/>
      </c>
      <c r="AN20" s="139" t="str">
        <f t="array" ref="AN20">IFERROR(INDEX($AK$10:$AK$258, MATCH(0, IF(TRUE=$AI$10:$AI$258, COUNTIF($AN$9:$AN19, $AK$10:$AK$258), ""), 0)),"")</f>
        <v/>
      </c>
    </row>
    <row r="21" spans="3:40" ht="13.8" x14ac:dyDescent="0.25">
      <c r="C21" s="141">
        <v>12</v>
      </c>
      <c r="D21" s="462"/>
      <c r="E21" s="153"/>
      <c r="F21" s="498" t="str">
        <f>IF(D21="","",VLOOKUP(D21,'G-7 Rivers Data'!$B$2:$G$8,2,FALSE))</f>
        <v/>
      </c>
      <c r="G21" s="499" t="str">
        <f>IFERROR(VLOOKUP(F21,'G-7 Rivers Data'!$C$4:$D$8,2,FALSE),"")</f>
        <v/>
      </c>
      <c r="H21" s="145"/>
      <c r="I21" s="499" t="str">
        <f>IFERROR(INDEX('G-7 Rivers Data'!$H$4:$L$8,MATCH(D21,'G-7 Rivers Data'!$B$4:$B$8,0),MATCH(H21,'G-7 Rivers Data'!$H$3:$L$3,0)),"")</f>
        <v/>
      </c>
      <c r="J21" s="154"/>
      <c r="K21" s="520" t="str">
        <f>IF(J21="","",IF(VLOOKUP(J21,'G-7 Rivers Data'!$AK$4:$AM$9,2,FALSE)=0,"Spatial Data Missing ⚠",VLOOKUP(J21,'G-7 Rivers Data'!$AK$4:$AM$9,2,FALSE)))</f>
        <v/>
      </c>
      <c r="L21" s="524" t="str">
        <f>IF(J21="","",IF(VLOOKUP(J21,'G-7 Rivers Data'!$AK$4:$AM$9,3,FALSE)=0,"Spatial Data Missing ⚠",VLOOKUP(J21,'G-7 Rivers Data'!$AK$4:$AM$9,3,FALSE)))</f>
        <v/>
      </c>
      <c r="M21" s="71"/>
      <c r="N21" s="499" t="str">
        <f>IF(M21="","",IF(VLOOKUP(M21,'G-7 Rivers Data'!$AA$4:$AB$7,2,FALSE)=0,"Spatial Data Missing ⚠",VLOOKUP(M21,'G-7 Rivers Data'!$AA$4:$AB$7,2,FALSE)))</f>
        <v/>
      </c>
      <c r="O21" s="155"/>
      <c r="P21" s="499" t="str">
        <f>IF(O21="","",IF(VLOOKUP(O21,'G-7 Rivers Data'!$AD$4:$AE$8,2,FALSE)=0,"Spatial Data Missing ⚠",VLOOKUP(O21,'G-7 Rivers Data'!$AD$4:$AE$8,2,FALSE)))</f>
        <v/>
      </c>
      <c r="Q21" s="506" t="str">
        <f>IF(D21="","",VLOOKUP(D21,'G-7 Rivers Data'!$B$4:$G$8,6,FALSE))</f>
        <v/>
      </c>
      <c r="R21" s="513" t="str">
        <f t="shared" si="0"/>
        <v/>
      </c>
      <c r="S21" s="40"/>
      <c r="T21" s="71"/>
      <c r="U21" s="72"/>
      <c r="V21" s="511" t="str">
        <f t="shared" si="1"/>
        <v/>
      </c>
      <c r="W21" s="511" t="str">
        <f t="shared" si="2"/>
        <v/>
      </c>
      <c r="X21" s="511" t="str">
        <f t="shared" si="3"/>
        <v/>
      </c>
      <c r="Y21" s="515" t="str">
        <f t="shared" si="4"/>
        <v/>
      </c>
      <c r="Z21" s="151"/>
      <c r="AA21" s="152"/>
      <c r="AF21" s="31" t="str">
        <f>IFERROR(INDEX('G-7 Rivers Data'!$AZ$3:$AZ$7,MATCH(D21,'G-7 Rivers Data'!$AY$3:$AY$7,0)),"")</f>
        <v/>
      </c>
      <c r="AG21" s="31">
        <f t="shared" si="5"/>
        <v>0</v>
      </c>
      <c r="AH21" s="139" t="str">
        <f t="shared" si="6"/>
        <v/>
      </c>
      <c r="AI21" s="139" t="str">
        <f t="shared" si="7"/>
        <v/>
      </c>
      <c r="AJ21" s="140"/>
      <c r="AK21" s="139">
        <v>12</v>
      </c>
      <c r="AL21" s="140"/>
      <c r="AM21" s="139" t="str">
        <f t="array" ref="AM21">IFERROR(INDEX($AK$10:$AK$258, MATCH(0, IF(TRUE=$AH$10:$AH$258, COUNTIF($AM$9:$AM20, $AK$10:$AK$258), ""), 0)),"")</f>
        <v/>
      </c>
      <c r="AN21" s="139" t="str">
        <f t="array" ref="AN21">IFERROR(INDEX($AK$10:$AK$258, MATCH(0, IF(TRUE=$AI$10:$AI$258, COUNTIF($AN$9:$AN20, $AK$10:$AK$258), ""), 0)),"")</f>
        <v/>
      </c>
    </row>
    <row r="22" spans="3:40" ht="13.8" x14ac:dyDescent="0.25">
      <c r="C22" s="141">
        <v>13</v>
      </c>
      <c r="D22" s="462"/>
      <c r="E22" s="153"/>
      <c r="F22" s="498" t="str">
        <f>IF(D22="","",VLOOKUP(D22,'G-7 Rivers Data'!$B$2:$G$8,2,FALSE))</f>
        <v/>
      </c>
      <c r="G22" s="499" t="str">
        <f>IFERROR(VLOOKUP(F22,'G-7 Rivers Data'!$C$4:$D$8,2,FALSE),"")</f>
        <v/>
      </c>
      <c r="H22" s="145"/>
      <c r="I22" s="499" t="str">
        <f>IFERROR(INDEX('G-7 Rivers Data'!$H$4:$L$8,MATCH(D22,'G-7 Rivers Data'!$B$4:$B$8,0),MATCH(H22,'G-7 Rivers Data'!$H$3:$L$3,0)),"")</f>
        <v/>
      </c>
      <c r="J22" s="154"/>
      <c r="K22" s="520" t="str">
        <f>IF(J22="","",IF(VLOOKUP(J22,'G-7 Rivers Data'!$AK$4:$AM$9,2,FALSE)=0,"Spatial Data Missing ⚠",VLOOKUP(J22,'G-7 Rivers Data'!$AK$4:$AM$9,2,FALSE)))</f>
        <v/>
      </c>
      <c r="L22" s="524" t="str">
        <f>IF(J22="","",IF(VLOOKUP(J22,'G-7 Rivers Data'!$AK$4:$AM$9,3,FALSE)=0,"Spatial Data Missing ⚠",VLOOKUP(J22,'G-7 Rivers Data'!$AK$4:$AM$9,3,FALSE)))</f>
        <v/>
      </c>
      <c r="M22" s="71"/>
      <c r="N22" s="499" t="str">
        <f>IF(M22="","",IF(VLOOKUP(M22,'G-7 Rivers Data'!$AA$4:$AB$7,2,FALSE)=0,"Spatial Data Missing ⚠",VLOOKUP(M22,'G-7 Rivers Data'!$AA$4:$AB$7,2,FALSE)))</f>
        <v/>
      </c>
      <c r="O22" s="155"/>
      <c r="P22" s="499" t="str">
        <f>IF(O22="","",IF(VLOOKUP(O22,'G-7 Rivers Data'!$AD$4:$AE$8,2,FALSE)=0,"Spatial Data Missing ⚠",VLOOKUP(O22,'G-7 Rivers Data'!$AD$4:$AE$8,2,FALSE)))</f>
        <v/>
      </c>
      <c r="Q22" s="506" t="str">
        <f>IF(D22="","",VLOOKUP(D22,'G-7 Rivers Data'!$B$4:$G$8,6,FALSE))</f>
        <v/>
      </c>
      <c r="R22" s="513" t="str">
        <f t="shared" si="0"/>
        <v/>
      </c>
      <c r="S22" s="40"/>
      <c r="T22" s="71"/>
      <c r="U22" s="72"/>
      <c r="V22" s="511" t="str">
        <f t="shared" si="1"/>
        <v/>
      </c>
      <c r="W22" s="511" t="str">
        <f t="shared" si="2"/>
        <v/>
      </c>
      <c r="X22" s="511" t="str">
        <f t="shared" si="3"/>
        <v/>
      </c>
      <c r="Y22" s="515" t="str">
        <f t="shared" si="4"/>
        <v/>
      </c>
      <c r="Z22" s="151"/>
      <c r="AA22" s="152"/>
      <c r="AF22" s="31" t="str">
        <f>IFERROR(INDEX('G-7 Rivers Data'!$AZ$3:$AZ$7,MATCH(D22,'G-7 Rivers Data'!$AY$3:$AY$7,0)),"")</f>
        <v/>
      </c>
      <c r="AG22" s="31">
        <f t="shared" si="5"/>
        <v>0</v>
      </c>
      <c r="AH22" s="139" t="str">
        <f t="shared" si="6"/>
        <v/>
      </c>
      <c r="AI22" s="139" t="str">
        <f t="shared" si="7"/>
        <v/>
      </c>
      <c r="AJ22" s="140"/>
      <c r="AK22" s="139">
        <v>13</v>
      </c>
      <c r="AL22" s="140"/>
      <c r="AM22" s="139" t="str">
        <f t="array" ref="AM22">IFERROR(INDEX($AK$10:$AK$258, MATCH(0, IF(TRUE=$AH$10:$AH$258, COUNTIF($AM$9:$AM21, $AK$10:$AK$258), ""), 0)),"")</f>
        <v/>
      </c>
      <c r="AN22" s="139" t="str">
        <f t="array" ref="AN22">IFERROR(INDEX($AK$10:$AK$258, MATCH(0, IF(TRUE=$AI$10:$AI$258, COUNTIF($AN$9:$AN21, $AK$10:$AK$258), ""), 0)),"")</f>
        <v/>
      </c>
    </row>
    <row r="23" spans="3:40" ht="13.8" x14ac:dyDescent="0.25">
      <c r="C23" s="141">
        <v>14</v>
      </c>
      <c r="D23" s="462"/>
      <c r="E23" s="153"/>
      <c r="F23" s="498" t="str">
        <f>IF(D23="","",VLOOKUP(D23,'G-7 Rivers Data'!$B$2:$G$8,2,FALSE))</f>
        <v/>
      </c>
      <c r="G23" s="499" t="str">
        <f>IFERROR(VLOOKUP(F23,'G-7 Rivers Data'!$C$4:$D$8,2,FALSE),"")</f>
        <v/>
      </c>
      <c r="H23" s="145"/>
      <c r="I23" s="499" t="str">
        <f>IFERROR(INDEX('G-7 Rivers Data'!$H$4:$L$8,MATCH(D23,'G-7 Rivers Data'!$B$4:$B$8,0),MATCH(H23,'G-7 Rivers Data'!$H$3:$L$3,0)),"")</f>
        <v/>
      </c>
      <c r="J23" s="154"/>
      <c r="K23" s="520" t="str">
        <f>IF(J23="","",IF(VLOOKUP(J23,'G-7 Rivers Data'!$AK$4:$AM$9,2,FALSE)=0,"Spatial Data Missing ⚠",VLOOKUP(J23,'G-7 Rivers Data'!$AK$4:$AM$9,2,FALSE)))</f>
        <v/>
      </c>
      <c r="L23" s="524" t="str">
        <f>IF(J23="","",IF(VLOOKUP(J23,'G-7 Rivers Data'!$AK$4:$AM$9,3,FALSE)=0,"Spatial Data Missing ⚠",VLOOKUP(J23,'G-7 Rivers Data'!$AK$4:$AM$9,3,FALSE)))</f>
        <v/>
      </c>
      <c r="M23" s="71"/>
      <c r="N23" s="499" t="str">
        <f>IF(M23="","",IF(VLOOKUP(M23,'G-7 Rivers Data'!$AA$4:$AB$7,2,FALSE)=0,"Spatial Data Missing ⚠",VLOOKUP(M23,'G-7 Rivers Data'!$AA$4:$AB$7,2,FALSE)))</f>
        <v/>
      </c>
      <c r="O23" s="155"/>
      <c r="P23" s="499" t="str">
        <f>IF(O23="","",IF(VLOOKUP(O23,'G-7 Rivers Data'!$AD$4:$AE$8,2,FALSE)=0,"Spatial Data Missing ⚠",VLOOKUP(O23,'G-7 Rivers Data'!$AD$4:$AE$8,2,FALSE)))</f>
        <v/>
      </c>
      <c r="Q23" s="506" t="str">
        <f>IF(D23="","",VLOOKUP(D23,'G-7 Rivers Data'!$B$4:$G$8,6,FALSE))</f>
        <v/>
      </c>
      <c r="R23" s="513" t="str">
        <f t="shared" si="0"/>
        <v/>
      </c>
      <c r="S23" s="40"/>
      <c r="T23" s="71"/>
      <c r="U23" s="72"/>
      <c r="V23" s="511" t="str">
        <f t="shared" si="1"/>
        <v/>
      </c>
      <c r="W23" s="511" t="str">
        <f t="shared" si="2"/>
        <v/>
      </c>
      <c r="X23" s="511" t="str">
        <f t="shared" si="3"/>
        <v/>
      </c>
      <c r="Y23" s="515" t="str">
        <f t="shared" si="4"/>
        <v/>
      </c>
      <c r="Z23" s="151"/>
      <c r="AA23" s="152"/>
      <c r="AF23" s="31" t="str">
        <f>IFERROR(INDEX('G-7 Rivers Data'!$AZ$3:$AZ$7,MATCH(D23,'G-7 Rivers Data'!$AY$3:$AY$7,0)),"")</f>
        <v/>
      </c>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row>
    <row r="24" spans="3:40" ht="13.8" x14ac:dyDescent="0.25">
      <c r="C24" s="141">
        <v>15</v>
      </c>
      <c r="D24" s="462"/>
      <c r="E24" s="153"/>
      <c r="F24" s="498" t="str">
        <f>IF(D24="","",VLOOKUP(D24,'G-7 Rivers Data'!$B$2:$G$8,2,FALSE))</f>
        <v/>
      </c>
      <c r="G24" s="499" t="str">
        <f>IFERROR(VLOOKUP(F24,'G-7 Rivers Data'!$C$4:$D$8,2,FALSE),"")</f>
        <v/>
      </c>
      <c r="H24" s="145"/>
      <c r="I24" s="499" t="str">
        <f>IFERROR(INDEX('G-7 Rivers Data'!$H$4:$L$8,MATCH(D24,'G-7 Rivers Data'!$B$4:$B$8,0),MATCH(H24,'G-7 Rivers Data'!$H$3:$L$3,0)),"")</f>
        <v/>
      </c>
      <c r="J24" s="154"/>
      <c r="K24" s="520" t="str">
        <f>IF(J24="","",IF(VLOOKUP(J24,'G-7 Rivers Data'!$AK$4:$AM$9,2,FALSE)=0,"Spatial Data Missing ⚠",VLOOKUP(J24,'G-7 Rivers Data'!$AK$4:$AM$9,2,FALSE)))</f>
        <v/>
      </c>
      <c r="L24" s="524" t="str">
        <f>IF(J24="","",IF(VLOOKUP(J24,'G-7 Rivers Data'!$AK$4:$AM$9,3,FALSE)=0,"Spatial Data Missing ⚠",VLOOKUP(J24,'G-7 Rivers Data'!$AK$4:$AM$9,3,FALSE)))</f>
        <v/>
      </c>
      <c r="M24" s="71"/>
      <c r="N24" s="499" t="str">
        <f>IF(M24="","",IF(VLOOKUP(M24,'G-7 Rivers Data'!$AA$4:$AB$7,2,FALSE)=0,"Spatial Data Missing ⚠",VLOOKUP(M24,'G-7 Rivers Data'!$AA$4:$AB$7,2,FALSE)))</f>
        <v/>
      </c>
      <c r="O24" s="155"/>
      <c r="P24" s="499" t="str">
        <f>IF(O24="","",IF(VLOOKUP(O24,'G-7 Rivers Data'!$AD$4:$AE$8,2,FALSE)=0,"Spatial Data Missing ⚠",VLOOKUP(O24,'G-7 Rivers Data'!$AD$4:$AE$8,2,FALSE)))</f>
        <v/>
      </c>
      <c r="Q24" s="506" t="str">
        <f>IF(D24="","",VLOOKUP(D24,'G-7 Rivers Data'!$B$4:$G$8,6,FALSE))</f>
        <v/>
      </c>
      <c r="R24" s="513" t="str">
        <f t="shared" si="0"/>
        <v/>
      </c>
      <c r="S24" s="40"/>
      <c r="T24" s="145"/>
      <c r="U24" s="157"/>
      <c r="V24" s="511" t="str">
        <f t="shared" si="1"/>
        <v/>
      </c>
      <c r="W24" s="511" t="str">
        <f t="shared" si="2"/>
        <v/>
      </c>
      <c r="X24" s="511" t="str">
        <f t="shared" si="3"/>
        <v/>
      </c>
      <c r="Y24" s="515" t="str">
        <f t="shared" si="4"/>
        <v/>
      </c>
      <c r="Z24" s="151"/>
      <c r="AA24" s="152"/>
      <c r="AF24" s="31" t="str">
        <f>IFERROR(INDEX('G-7 Rivers Data'!$AZ$3:$AZ$7,MATCH(D24,'G-7 Rivers Data'!$AY$3:$AY$7,0)),"")</f>
        <v/>
      </c>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row>
    <row r="25" spans="3:40" ht="13.8" x14ac:dyDescent="0.25">
      <c r="C25" s="141">
        <v>16</v>
      </c>
      <c r="D25" s="462"/>
      <c r="E25" s="153"/>
      <c r="F25" s="498" t="str">
        <f>IF(D25="","",VLOOKUP(D25,'G-7 Rivers Data'!$B$2:$G$8,2,FALSE))</f>
        <v/>
      </c>
      <c r="G25" s="499" t="str">
        <f>IFERROR(VLOOKUP(F25,'G-7 Rivers Data'!$C$4:$D$8,2,FALSE),"")</f>
        <v/>
      </c>
      <c r="H25" s="145"/>
      <c r="I25" s="499" t="str">
        <f>IFERROR(INDEX('G-7 Rivers Data'!$H$4:$L$8,MATCH(D25,'G-7 Rivers Data'!$B$4:$B$8,0),MATCH(H25,'G-7 Rivers Data'!$H$3:$L$3,0)),"")</f>
        <v/>
      </c>
      <c r="J25" s="154"/>
      <c r="K25" s="520" t="str">
        <f>IF(J25="","",IF(VLOOKUP(J25,'G-7 Rivers Data'!$AK$4:$AM$9,2,FALSE)=0,"Spatial Data Missing ⚠",VLOOKUP(J25,'G-7 Rivers Data'!$AK$4:$AM$9,2,FALSE)))</f>
        <v/>
      </c>
      <c r="L25" s="524" t="str">
        <f>IF(J25="","",IF(VLOOKUP(J25,'G-7 Rivers Data'!$AK$4:$AM$9,3,FALSE)=0,"Spatial Data Missing ⚠",VLOOKUP(J25,'G-7 Rivers Data'!$AK$4:$AM$9,3,FALSE)))</f>
        <v/>
      </c>
      <c r="M25" s="71"/>
      <c r="N25" s="499" t="str">
        <f>IF(M25="","",IF(VLOOKUP(M25,'G-7 Rivers Data'!$AA$4:$AB$7,2,FALSE)=0,"Spatial Data Missing ⚠",VLOOKUP(M25,'G-7 Rivers Data'!$AA$4:$AB$7,2,FALSE)))</f>
        <v/>
      </c>
      <c r="O25" s="155"/>
      <c r="P25" s="499" t="str">
        <f>IF(O25="","",IF(VLOOKUP(O25,'G-7 Rivers Data'!$AD$4:$AE$8,2,FALSE)=0,"Spatial Data Missing ⚠",VLOOKUP(O25,'G-7 Rivers Data'!$AD$4:$AE$8,2,FALSE)))</f>
        <v/>
      </c>
      <c r="Q25" s="506" t="str">
        <f>IF(D25="","",VLOOKUP(D25,'G-7 Rivers Data'!$B$4:$G$8,6,FALSE))</f>
        <v/>
      </c>
      <c r="R25" s="513" t="str">
        <f t="shared" si="0"/>
        <v/>
      </c>
      <c r="S25" s="40"/>
      <c r="T25" s="145"/>
      <c r="U25" s="157"/>
      <c r="V25" s="511" t="str">
        <f t="shared" si="1"/>
        <v/>
      </c>
      <c r="W25" s="511" t="str">
        <f t="shared" si="2"/>
        <v/>
      </c>
      <c r="X25" s="511" t="str">
        <f t="shared" si="3"/>
        <v/>
      </c>
      <c r="Y25" s="515" t="str">
        <f t="shared" si="4"/>
        <v/>
      </c>
      <c r="Z25" s="151"/>
      <c r="AA25" s="152"/>
      <c r="AF25" s="31" t="str">
        <f>IFERROR(INDEX('G-7 Rivers Data'!$AZ$3:$AZ$7,MATCH(D25,'G-7 Rivers Data'!$AY$3:$AY$7,0)),"")</f>
        <v/>
      </c>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row>
    <row r="26" spans="3:40" ht="13.8" x14ac:dyDescent="0.25">
      <c r="C26" s="141">
        <v>17</v>
      </c>
      <c r="D26" s="462"/>
      <c r="E26" s="153"/>
      <c r="F26" s="498" t="str">
        <f>IF(D26="","",VLOOKUP(D26,'G-7 Rivers Data'!$B$2:$G$8,2,FALSE))</f>
        <v/>
      </c>
      <c r="G26" s="499" t="str">
        <f>IFERROR(VLOOKUP(F26,'G-7 Rivers Data'!$C$4:$D$8,2,FALSE),"")</f>
        <v/>
      </c>
      <c r="H26" s="145"/>
      <c r="I26" s="499" t="str">
        <f>IFERROR(INDEX('G-7 Rivers Data'!$H$4:$L$8,MATCH(D26,'G-7 Rivers Data'!$B$4:$B$8,0),MATCH(H26,'G-7 Rivers Data'!$H$3:$L$3,0)),"")</f>
        <v/>
      </c>
      <c r="J26" s="154"/>
      <c r="K26" s="520" t="str">
        <f>IF(J26="","",IF(VLOOKUP(J26,'G-7 Rivers Data'!$AK$4:$AM$9,2,FALSE)=0,"Spatial Data Missing ⚠",VLOOKUP(J26,'G-7 Rivers Data'!$AK$4:$AM$9,2,FALSE)))</f>
        <v/>
      </c>
      <c r="L26" s="524" t="str">
        <f>IF(J26="","",IF(VLOOKUP(J26,'G-7 Rivers Data'!$AK$4:$AM$9,3,FALSE)=0,"Spatial Data Missing ⚠",VLOOKUP(J26,'G-7 Rivers Data'!$AK$4:$AM$9,3,FALSE)))</f>
        <v/>
      </c>
      <c r="M26" s="71"/>
      <c r="N26" s="499" t="str">
        <f>IF(M26="","",IF(VLOOKUP(M26,'G-7 Rivers Data'!$AA$4:$AB$7,2,FALSE)=0,"Spatial Data Missing ⚠",VLOOKUP(M26,'G-7 Rivers Data'!$AA$4:$AB$7,2,FALSE)))</f>
        <v/>
      </c>
      <c r="O26" s="155"/>
      <c r="P26" s="499" t="str">
        <f>IF(O26="","",IF(VLOOKUP(O26,'G-7 Rivers Data'!$AD$4:$AE$8,2,FALSE)=0,"Spatial Data Missing ⚠",VLOOKUP(O26,'G-7 Rivers Data'!$AD$4:$AE$8,2,FALSE)))</f>
        <v/>
      </c>
      <c r="Q26" s="506" t="str">
        <f>IF(D26="","",VLOOKUP(D26,'G-7 Rivers Data'!$B$4:$G$8,6,FALSE))</f>
        <v/>
      </c>
      <c r="R26" s="513" t="str">
        <f t="shared" si="0"/>
        <v/>
      </c>
      <c r="S26" s="40"/>
      <c r="T26" s="145"/>
      <c r="U26" s="157"/>
      <c r="V26" s="511" t="str">
        <f t="shared" si="1"/>
        <v/>
      </c>
      <c r="W26" s="511" t="str">
        <f t="shared" si="2"/>
        <v/>
      </c>
      <c r="X26" s="511" t="str">
        <f t="shared" si="3"/>
        <v/>
      </c>
      <c r="Y26" s="515" t="str">
        <f t="shared" si="4"/>
        <v/>
      </c>
      <c r="Z26" s="151"/>
      <c r="AA26" s="152"/>
      <c r="AF26" s="31" t="str">
        <f>IFERROR(INDEX('G-7 Rivers Data'!$AZ$3:$AZ$7,MATCH(D26,'G-7 Rivers Data'!$AY$3:$AY$7,0)),"")</f>
        <v/>
      </c>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row>
    <row r="27" spans="3:40" ht="13.8" x14ac:dyDescent="0.25">
      <c r="C27" s="141">
        <v>18</v>
      </c>
      <c r="D27" s="462"/>
      <c r="E27" s="153"/>
      <c r="F27" s="498" t="str">
        <f>IF(D27="","",VLOOKUP(D27,'G-7 Rivers Data'!$B$2:$G$8,2,FALSE))</f>
        <v/>
      </c>
      <c r="G27" s="499" t="str">
        <f>IFERROR(VLOOKUP(F27,'G-7 Rivers Data'!$C$4:$D$8,2,FALSE),"")</f>
        <v/>
      </c>
      <c r="H27" s="145"/>
      <c r="I27" s="499" t="str">
        <f>IFERROR(INDEX('G-7 Rivers Data'!$H$4:$L$8,MATCH(D27,'G-7 Rivers Data'!$B$4:$B$8,0),MATCH(H27,'G-7 Rivers Data'!$H$3:$L$3,0)),"")</f>
        <v/>
      </c>
      <c r="J27" s="154"/>
      <c r="K27" s="520" t="str">
        <f>IF(J27="","",IF(VLOOKUP(J27,'G-7 Rivers Data'!$AK$4:$AM$9,2,FALSE)=0,"Spatial Data Missing ⚠",VLOOKUP(J27,'G-7 Rivers Data'!$AK$4:$AM$9,2,FALSE)))</f>
        <v/>
      </c>
      <c r="L27" s="524" t="str">
        <f>IF(J27="","",IF(VLOOKUP(J27,'G-7 Rivers Data'!$AK$4:$AM$9,3,FALSE)=0,"Spatial Data Missing ⚠",VLOOKUP(J27,'G-7 Rivers Data'!$AK$4:$AM$9,3,FALSE)))</f>
        <v/>
      </c>
      <c r="M27" s="71"/>
      <c r="N27" s="499" t="str">
        <f>IF(M27="","",IF(VLOOKUP(M27,'G-7 Rivers Data'!$AA$4:$AB$7,2,FALSE)=0,"Spatial Data Missing ⚠",VLOOKUP(M27,'G-7 Rivers Data'!$AA$4:$AB$7,2,FALSE)))</f>
        <v/>
      </c>
      <c r="O27" s="155"/>
      <c r="P27" s="499" t="str">
        <f>IF(O27="","",IF(VLOOKUP(O27,'G-7 Rivers Data'!$AD$4:$AE$8,2,FALSE)=0,"Spatial Data Missing ⚠",VLOOKUP(O27,'G-7 Rivers Data'!$AD$4:$AE$8,2,FALSE)))</f>
        <v/>
      </c>
      <c r="Q27" s="506" t="str">
        <f>IF(D27="","",VLOOKUP(D27,'G-7 Rivers Data'!$B$4:$G$8,6,FALSE))</f>
        <v/>
      </c>
      <c r="R27" s="513" t="str">
        <f t="shared" si="0"/>
        <v/>
      </c>
      <c r="S27" s="40"/>
      <c r="T27" s="145"/>
      <c r="U27" s="157"/>
      <c r="V27" s="511" t="str">
        <f t="shared" si="1"/>
        <v/>
      </c>
      <c r="W27" s="511" t="str">
        <f t="shared" si="2"/>
        <v/>
      </c>
      <c r="X27" s="511" t="str">
        <f t="shared" si="3"/>
        <v/>
      </c>
      <c r="Y27" s="515" t="str">
        <f t="shared" si="4"/>
        <v/>
      </c>
      <c r="Z27" s="151"/>
      <c r="AA27" s="152"/>
      <c r="AF27" s="31" t="str">
        <f>IFERROR(INDEX('G-7 Rivers Data'!$AZ$3:$AZ$7,MATCH(D27,'G-7 Rivers Data'!$AY$3:$AY$7,0)),"")</f>
        <v/>
      </c>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row>
    <row r="28" spans="3:40" ht="13.8" x14ac:dyDescent="0.25">
      <c r="C28" s="141">
        <v>19</v>
      </c>
      <c r="D28" s="462"/>
      <c r="E28" s="153"/>
      <c r="F28" s="498" t="str">
        <f>IF(D28="","",VLOOKUP(D28,'G-7 Rivers Data'!$B$2:$G$8,2,FALSE))</f>
        <v/>
      </c>
      <c r="G28" s="499" t="str">
        <f>IFERROR(VLOOKUP(F28,'G-7 Rivers Data'!$C$4:$D$8,2,FALSE),"")</f>
        <v/>
      </c>
      <c r="H28" s="145"/>
      <c r="I28" s="499" t="str">
        <f>IFERROR(INDEX('G-7 Rivers Data'!$H$4:$L$8,MATCH(D28,'G-7 Rivers Data'!$B$4:$B$8,0),MATCH(H28,'G-7 Rivers Data'!$H$3:$L$3,0)),"")</f>
        <v/>
      </c>
      <c r="J28" s="154"/>
      <c r="K28" s="520" t="str">
        <f>IF(J28="","",IF(VLOOKUP(J28,'G-7 Rivers Data'!$AK$4:$AM$9,2,FALSE)=0,"Spatial Data Missing ⚠",VLOOKUP(J28,'G-7 Rivers Data'!$AK$4:$AM$9,2,FALSE)))</f>
        <v/>
      </c>
      <c r="L28" s="524" t="str">
        <f>IF(J28="","",IF(VLOOKUP(J28,'G-7 Rivers Data'!$AK$4:$AM$9,3,FALSE)=0,"Spatial Data Missing ⚠",VLOOKUP(J28,'G-7 Rivers Data'!$AK$4:$AM$9,3,FALSE)))</f>
        <v/>
      </c>
      <c r="M28" s="71"/>
      <c r="N28" s="499" t="str">
        <f>IF(M28="","",IF(VLOOKUP(M28,'G-7 Rivers Data'!$AA$4:$AB$7,2,FALSE)=0,"Spatial Data Missing ⚠",VLOOKUP(M28,'G-7 Rivers Data'!$AA$4:$AB$7,2,FALSE)))</f>
        <v/>
      </c>
      <c r="O28" s="155"/>
      <c r="P28" s="499" t="str">
        <f>IF(O28="","",IF(VLOOKUP(O28,'G-7 Rivers Data'!$AD$4:$AE$8,2,FALSE)=0,"Spatial Data Missing ⚠",VLOOKUP(O28,'G-7 Rivers Data'!$AD$4:$AE$8,2,FALSE)))</f>
        <v/>
      </c>
      <c r="Q28" s="506" t="str">
        <f>IF(D28="","",VLOOKUP(D28,'G-7 Rivers Data'!$B$4:$G$8,6,FALSE))</f>
        <v/>
      </c>
      <c r="R28" s="513" t="str">
        <f t="shared" si="0"/>
        <v/>
      </c>
      <c r="S28" s="40"/>
      <c r="T28" s="145"/>
      <c r="U28" s="157"/>
      <c r="V28" s="511" t="str">
        <f t="shared" si="1"/>
        <v/>
      </c>
      <c r="W28" s="511" t="str">
        <f t="shared" si="2"/>
        <v/>
      </c>
      <c r="X28" s="511" t="str">
        <f t="shared" si="3"/>
        <v/>
      </c>
      <c r="Y28" s="515" t="str">
        <f t="shared" si="4"/>
        <v/>
      </c>
      <c r="Z28" s="151"/>
      <c r="AA28" s="152"/>
      <c r="AF28" s="31" t="str">
        <f>IFERROR(INDEX('G-7 Rivers Data'!$AZ$3:$AZ$7,MATCH(D28,'G-7 Rivers Data'!$AY$3:$AY$7,0)),"")</f>
        <v/>
      </c>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row>
    <row r="29" spans="3:40" ht="13.8" x14ac:dyDescent="0.25">
      <c r="C29" s="141">
        <v>20</v>
      </c>
      <c r="D29" s="462"/>
      <c r="E29" s="153"/>
      <c r="F29" s="498" t="str">
        <f>IF(D29="","",VLOOKUP(D29,'G-7 Rivers Data'!$B$2:$G$8,2,FALSE))</f>
        <v/>
      </c>
      <c r="G29" s="499" t="str">
        <f>IFERROR(VLOOKUP(F29,'G-7 Rivers Data'!$C$4:$D$8,2,FALSE),"")</f>
        <v/>
      </c>
      <c r="H29" s="145"/>
      <c r="I29" s="499" t="str">
        <f>IFERROR(INDEX('G-7 Rivers Data'!$H$4:$L$8,MATCH(D29,'G-7 Rivers Data'!$B$4:$B$8,0),MATCH(H29,'G-7 Rivers Data'!$H$3:$L$3,0)),"")</f>
        <v/>
      </c>
      <c r="J29" s="154"/>
      <c r="K29" s="520" t="str">
        <f>IF(J29="","",IF(VLOOKUP(J29,'G-7 Rivers Data'!$AK$4:$AM$9,2,FALSE)=0,"Spatial Data Missing ⚠",VLOOKUP(J29,'G-7 Rivers Data'!$AK$4:$AM$9,2,FALSE)))</f>
        <v/>
      </c>
      <c r="L29" s="524" t="str">
        <f>IF(J29="","",IF(VLOOKUP(J29,'G-7 Rivers Data'!$AK$4:$AM$9,3,FALSE)=0,"Spatial Data Missing ⚠",VLOOKUP(J29,'G-7 Rivers Data'!$AK$4:$AM$9,3,FALSE)))</f>
        <v/>
      </c>
      <c r="M29" s="71"/>
      <c r="N29" s="499" t="str">
        <f>IF(M29="","",IF(VLOOKUP(M29,'G-7 Rivers Data'!$AA$4:$AB$7,2,FALSE)=0,"Spatial Data Missing ⚠",VLOOKUP(M29,'G-7 Rivers Data'!$AA$4:$AB$7,2,FALSE)))</f>
        <v/>
      </c>
      <c r="O29" s="155"/>
      <c r="P29" s="499" t="str">
        <f>IF(O29="","",IF(VLOOKUP(O29,'G-7 Rivers Data'!$AD$4:$AE$8,2,FALSE)=0,"Spatial Data Missing ⚠",VLOOKUP(O29,'G-7 Rivers Data'!$AD$4:$AE$8,2,FALSE)))</f>
        <v/>
      </c>
      <c r="Q29" s="506" t="str">
        <f>IF(D29="","",VLOOKUP(D29,'G-7 Rivers Data'!$B$4:$G$8,6,FALSE))</f>
        <v/>
      </c>
      <c r="R29" s="513" t="str">
        <f t="shared" si="0"/>
        <v/>
      </c>
      <c r="S29" s="40"/>
      <c r="T29" s="145"/>
      <c r="U29" s="157"/>
      <c r="V29" s="511" t="str">
        <f t="shared" si="1"/>
        <v/>
      </c>
      <c r="W29" s="511" t="str">
        <f t="shared" si="2"/>
        <v/>
      </c>
      <c r="X29" s="511" t="str">
        <f t="shared" si="3"/>
        <v/>
      </c>
      <c r="Y29" s="515" t="str">
        <f t="shared" si="4"/>
        <v/>
      </c>
      <c r="Z29" s="151"/>
      <c r="AA29" s="152"/>
      <c r="AF29" s="31" t="str">
        <f>IFERROR(INDEX('G-7 Rivers Data'!$AZ$3:$AZ$7,MATCH(D29,'G-7 Rivers Data'!$AY$3:$AY$7,0)),"")</f>
        <v/>
      </c>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row>
    <row r="30" spans="3:40" ht="13.8" x14ac:dyDescent="0.25">
      <c r="C30" s="141">
        <v>21</v>
      </c>
      <c r="D30" s="462"/>
      <c r="E30" s="153"/>
      <c r="F30" s="498" t="str">
        <f>IF(D30="","",VLOOKUP(D30,'G-7 Rivers Data'!$B$2:$G$8,2,FALSE))</f>
        <v/>
      </c>
      <c r="G30" s="499" t="str">
        <f>IFERROR(VLOOKUP(F30,'G-7 Rivers Data'!$C$4:$D$8,2,FALSE),"")</f>
        <v/>
      </c>
      <c r="H30" s="145"/>
      <c r="I30" s="499" t="str">
        <f>IFERROR(INDEX('G-7 Rivers Data'!$H$4:$L$8,MATCH(D30,'G-7 Rivers Data'!$B$4:$B$8,0),MATCH(H30,'G-7 Rivers Data'!$H$3:$L$3,0)),"")</f>
        <v/>
      </c>
      <c r="J30" s="154"/>
      <c r="K30" s="520" t="str">
        <f>IF(J30="","",IF(VLOOKUP(J30,'G-7 Rivers Data'!$AK$4:$AM$9,2,FALSE)=0,"Spatial Data Missing ⚠",VLOOKUP(J30,'G-7 Rivers Data'!$AK$4:$AM$9,2,FALSE)))</f>
        <v/>
      </c>
      <c r="L30" s="524" t="str">
        <f>IF(J30="","",IF(VLOOKUP(J30,'G-7 Rivers Data'!$AK$4:$AM$9,3,FALSE)=0,"Spatial Data Missing ⚠",VLOOKUP(J30,'G-7 Rivers Data'!$AK$4:$AM$9,3,FALSE)))</f>
        <v/>
      </c>
      <c r="M30" s="71"/>
      <c r="N30" s="499" t="str">
        <f>IF(M30="","",IF(VLOOKUP(M30,'G-7 Rivers Data'!$AA$4:$AB$7,2,FALSE)=0,"Spatial Data Missing ⚠",VLOOKUP(M30,'G-7 Rivers Data'!$AA$4:$AB$7,2,FALSE)))</f>
        <v/>
      </c>
      <c r="O30" s="155"/>
      <c r="P30" s="499" t="str">
        <f>IF(O30="","",IF(VLOOKUP(O30,'G-7 Rivers Data'!$AD$4:$AE$8,2,FALSE)=0,"Spatial Data Missing ⚠",VLOOKUP(O30,'G-7 Rivers Data'!$AD$4:$AE$8,2,FALSE)))</f>
        <v/>
      </c>
      <c r="Q30" s="506" t="str">
        <f>IF(D30="","",VLOOKUP(D30,'G-7 Rivers Data'!$B$4:$G$8,6,FALSE))</f>
        <v/>
      </c>
      <c r="R30" s="513" t="str">
        <f t="shared" si="0"/>
        <v/>
      </c>
      <c r="S30" s="40"/>
      <c r="T30" s="145"/>
      <c r="U30" s="157"/>
      <c r="V30" s="511" t="str">
        <f t="shared" si="1"/>
        <v/>
      </c>
      <c r="W30" s="511" t="str">
        <f t="shared" si="2"/>
        <v/>
      </c>
      <c r="X30" s="511" t="str">
        <f t="shared" si="3"/>
        <v/>
      </c>
      <c r="Y30" s="515" t="str">
        <f t="shared" si="4"/>
        <v/>
      </c>
      <c r="Z30" s="151"/>
      <c r="AA30" s="152"/>
      <c r="AF30" s="31" t="str">
        <f>IFERROR(INDEX('G-7 Rivers Data'!$AZ$3:$AZ$7,MATCH(D30,'G-7 Rivers Data'!$AY$3:$AY$7,0)),"")</f>
        <v/>
      </c>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row>
    <row r="31" spans="3:40" ht="13.8" x14ac:dyDescent="0.25">
      <c r="C31" s="141">
        <v>22</v>
      </c>
      <c r="D31" s="462"/>
      <c r="E31" s="153"/>
      <c r="F31" s="498" t="str">
        <f>IF(D31="","",VLOOKUP(D31,'G-7 Rivers Data'!$B$2:$G$8,2,FALSE))</f>
        <v/>
      </c>
      <c r="G31" s="499" t="str">
        <f>IFERROR(VLOOKUP(F31,'G-7 Rivers Data'!$C$4:$D$8,2,FALSE),"")</f>
        <v/>
      </c>
      <c r="H31" s="145"/>
      <c r="I31" s="499" t="str">
        <f>IFERROR(INDEX('G-7 Rivers Data'!$H$4:$L$8,MATCH(D31,'G-7 Rivers Data'!$B$4:$B$8,0),MATCH(H31,'G-7 Rivers Data'!$H$3:$L$3,0)),"")</f>
        <v/>
      </c>
      <c r="J31" s="154"/>
      <c r="K31" s="520" t="str">
        <f>IF(J31="","",IF(VLOOKUP(J31,'G-7 Rivers Data'!$AK$4:$AM$9,2,FALSE)=0,"Spatial Data Missing ⚠",VLOOKUP(J31,'G-7 Rivers Data'!$AK$4:$AM$9,2,FALSE)))</f>
        <v/>
      </c>
      <c r="L31" s="524" t="str">
        <f>IF(J31="","",IF(VLOOKUP(J31,'G-7 Rivers Data'!$AK$4:$AM$9,3,FALSE)=0,"Spatial Data Missing ⚠",VLOOKUP(J31,'G-7 Rivers Data'!$AK$4:$AM$9,3,FALSE)))</f>
        <v/>
      </c>
      <c r="M31" s="71"/>
      <c r="N31" s="499" t="str">
        <f>IF(M31="","",IF(VLOOKUP(M31,'G-7 Rivers Data'!$AA$4:$AB$7,2,FALSE)=0,"Spatial Data Missing ⚠",VLOOKUP(M31,'G-7 Rivers Data'!$AA$4:$AB$7,2,FALSE)))</f>
        <v/>
      </c>
      <c r="O31" s="155"/>
      <c r="P31" s="499" t="str">
        <f>IF(O31="","",IF(VLOOKUP(O31,'G-7 Rivers Data'!$AD$4:$AE$8,2,FALSE)=0,"Spatial Data Missing ⚠",VLOOKUP(O31,'G-7 Rivers Data'!$AD$4:$AE$8,2,FALSE)))</f>
        <v/>
      </c>
      <c r="Q31" s="506" t="str">
        <f>IF(D31="","",VLOOKUP(D31,'G-7 Rivers Data'!$B$4:$G$8,6,FALSE))</f>
        <v/>
      </c>
      <c r="R31" s="513" t="str">
        <f t="shared" si="0"/>
        <v/>
      </c>
      <c r="S31" s="40"/>
      <c r="T31" s="145"/>
      <c r="U31" s="157"/>
      <c r="V31" s="511" t="str">
        <f t="shared" si="1"/>
        <v/>
      </c>
      <c r="W31" s="511" t="str">
        <f t="shared" si="2"/>
        <v/>
      </c>
      <c r="X31" s="511" t="str">
        <f t="shared" si="3"/>
        <v/>
      </c>
      <c r="Y31" s="515" t="str">
        <f t="shared" si="4"/>
        <v/>
      </c>
      <c r="Z31" s="151"/>
      <c r="AA31" s="152"/>
      <c r="AF31" s="31" t="str">
        <f>IFERROR(INDEX('G-7 Rivers Data'!$AZ$3:$AZ$7,MATCH(D31,'G-7 Rivers Data'!$AY$3:$AY$7,0)),"")</f>
        <v/>
      </c>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row>
    <row r="32" spans="3:40" ht="13.8" x14ac:dyDescent="0.25">
      <c r="C32" s="141">
        <v>23</v>
      </c>
      <c r="D32" s="462"/>
      <c r="E32" s="153"/>
      <c r="F32" s="498" t="str">
        <f>IF(D32="","",VLOOKUP(D32,'G-7 Rivers Data'!$B$2:$G$8,2,FALSE))</f>
        <v/>
      </c>
      <c r="G32" s="499" t="str">
        <f>IFERROR(VLOOKUP(F32,'G-7 Rivers Data'!$C$4:$D$8,2,FALSE),"")</f>
        <v/>
      </c>
      <c r="H32" s="145"/>
      <c r="I32" s="499" t="str">
        <f>IFERROR(INDEX('G-7 Rivers Data'!$H$4:$L$8,MATCH(D32,'G-7 Rivers Data'!$B$4:$B$8,0),MATCH(H32,'G-7 Rivers Data'!$H$3:$L$3,0)),"")</f>
        <v/>
      </c>
      <c r="J32" s="154"/>
      <c r="K32" s="520" t="str">
        <f>IF(J32="","",IF(VLOOKUP(J32,'G-7 Rivers Data'!$AK$4:$AM$9,2,FALSE)=0,"Spatial Data Missing ⚠",VLOOKUP(J32,'G-7 Rivers Data'!$AK$4:$AM$9,2,FALSE)))</f>
        <v/>
      </c>
      <c r="L32" s="524" t="str">
        <f>IF(J32="","",IF(VLOOKUP(J32,'G-7 Rivers Data'!$AK$4:$AM$9,3,FALSE)=0,"Spatial Data Missing ⚠",VLOOKUP(J32,'G-7 Rivers Data'!$AK$4:$AM$9,3,FALSE)))</f>
        <v/>
      </c>
      <c r="M32" s="71"/>
      <c r="N32" s="499" t="str">
        <f>IF(M32="","",IF(VLOOKUP(M32,'G-7 Rivers Data'!$AA$4:$AB$7,2,FALSE)=0,"Spatial Data Missing ⚠",VLOOKUP(M32,'G-7 Rivers Data'!$AA$4:$AB$7,2,FALSE)))</f>
        <v/>
      </c>
      <c r="O32" s="155"/>
      <c r="P32" s="499" t="str">
        <f>IF(O32="","",IF(VLOOKUP(O32,'G-7 Rivers Data'!$AD$4:$AE$8,2,FALSE)=0,"Spatial Data Missing ⚠",VLOOKUP(O32,'G-7 Rivers Data'!$AD$4:$AE$8,2,FALSE)))</f>
        <v/>
      </c>
      <c r="Q32" s="506" t="str">
        <f>IF(D32="","",VLOOKUP(D32,'G-7 Rivers Data'!$B$4:$G$8,6,FALSE))</f>
        <v/>
      </c>
      <c r="R32" s="513" t="str">
        <f t="shared" si="0"/>
        <v/>
      </c>
      <c r="S32" s="40"/>
      <c r="T32" s="145"/>
      <c r="U32" s="157"/>
      <c r="V32" s="511" t="str">
        <f t="shared" si="1"/>
        <v/>
      </c>
      <c r="W32" s="511" t="str">
        <f t="shared" si="2"/>
        <v/>
      </c>
      <c r="X32" s="511" t="str">
        <f t="shared" si="3"/>
        <v/>
      </c>
      <c r="Y32" s="515" t="str">
        <f t="shared" si="4"/>
        <v/>
      </c>
      <c r="Z32" s="151"/>
      <c r="AA32" s="152"/>
      <c r="AF32" s="31" t="str">
        <f>IFERROR(INDEX('G-7 Rivers Data'!$AZ$3:$AZ$7,MATCH(D32,'G-7 Rivers Data'!$AY$3:$AY$7,0)),"")</f>
        <v/>
      </c>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row>
    <row r="33" spans="3:40" ht="13.8" x14ac:dyDescent="0.25">
      <c r="C33" s="141">
        <v>24</v>
      </c>
      <c r="D33" s="462"/>
      <c r="E33" s="153"/>
      <c r="F33" s="498" t="str">
        <f>IF(D33="","",VLOOKUP(D33,'G-7 Rivers Data'!$B$2:$G$8,2,FALSE))</f>
        <v/>
      </c>
      <c r="G33" s="499" t="str">
        <f>IFERROR(VLOOKUP(F33,'G-7 Rivers Data'!$C$4:$D$8,2,FALSE),"")</f>
        <v/>
      </c>
      <c r="H33" s="145"/>
      <c r="I33" s="499" t="str">
        <f>IFERROR(INDEX('G-7 Rivers Data'!$H$4:$L$8,MATCH(D33,'G-7 Rivers Data'!$B$4:$B$8,0),MATCH(H33,'G-7 Rivers Data'!$H$3:$L$3,0)),"")</f>
        <v/>
      </c>
      <c r="J33" s="154"/>
      <c r="K33" s="520" t="str">
        <f>IF(J33="","",IF(VLOOKUP(J33,'G-7 Rivers Data'!$AK$4:$AM$9,2,FALSE)=0,"Spatial Data Missing ⚠",VLOOKUP(J33,'G-7 Rivers Data'!$AK$4:$AM$9,2,FALSE)))</f>
        <v/>
      </c>
      <c r="L33" s="524" t="str">
        <f>IF(J33="","",IF(VLOOKUP(J33,'G-7 Rivers Data'!$AK$4:$AM$9,3,FALSE)=0,"Spatial Data Missing ⚠",VLOOKUP(J33,'G-7 Rivers Data'!$AK$4:$AM$9,3,FALSE)))</f>
        <v/>
      </c>
      <c r="M33" s="71"/>
      <c r="N33" s="499" t="str">
        <f>IF(M33="","",IF(VLOOKUP(M33,'G-7 Rivers Data'!$AA$4:$AB$7,2,FALSE)=0,"Spatial Data Missing ⚠",VLOOKUP(M33,'G-7 Rivers Data'!$AA$4:$AB$7,2,FALSE)))</f>
        <v/>
      </c>
      <c r="O33" s="155"/>
      <c r="P33" s="499" t="str">
        <f>IF(O33="","",IF(VLOOKUP(O33,'G-7 Rivers Data'!$AD$4:$AE$8,2,FALSE)=0,"Spatial Data Missing ⚠",VLOOKUP(O33,'G-7 Rivers Data'!$AD$4:$AE$8,2,FALSE)))</f>
        <v/>
      </c>
      <c r="Q33" s="506" t="str">
        <f>IF(D33="","",VLOOKUP(D33,'G-7 Rivers Data'!$B$4:$G$8,6,FALSE))</f>
        <v/>
      </c>
      <c r="R33" s="513" t="str">
        <f t="shared" si="0"/>
        <v/>
      </c>
      <c r="S33" s="40"/>
      <c r="T33" s="145"/>
      <c r="U33" s="157"/>
      <c r="V33" s="511" t="str">
        <f t="shared" si="1"/>
        <v/>
      </c>
      <c r="W33" s="511" t="str">
        <f t="shared" si="2"/>
        <v/>
      </c>
      <c r="X33" s="511" t="str">
        <f t="shared" si="3"/>
        <v/>
      </c>
      <c r="Y33" s="515" t="str">
        <f t="shared" si="4"/>
        <v/>
      </c>
      <c r="Z33" s="151"/>
      <c r="AA33" s="152"/>
      <c r="AF33" s="31" t="str">
        <f>IFERROR(INDEX('G-7 Rivers Data'!$AZ$3:$AZ$7,MATCH(D33,'G-7 Rivers Data'!$AY$3:$AY$7,0)),"")</f>
        <v/>
      </c>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row>
    <row r="34" spans="3:40" ht="13.8" x14ac:dyDescent="0.25">
      <c r="C34" s="141">
        <v>25</v>
      </c>
      <c r="D34" s="462"/>
      <c r="E34" s="153"/>
      <c r="F34" s="498" t="str">
        <f>IF(D34="","",VLOOKUP(D34,'G-7 Rivers Data'!$B$2:$G$8,2,FALSE))</f>
        <v/>
      </c>
      <c r="G34" s="499" t="str">
        <f>IFERROR(VLOOKUP(F34,'G-7 Rivers Data'!$C$4:$D$8,2,FALSE),"")</f>
        <v/>
      </c>
      <c r="H34" s="145"/>
      <c r="I34" s="499" t="str">
        <f>IFERROR(INDEX('G-7 Rivers Data'!$H$4:$L$8,MATCH(D34,'G-7 Rivers Data'!$B$4:$B$8,0),MATCH(H34,'G-7 Rivers Data'!$H$3:$L$3,0)),"")</f>
        <v/>
      </c>
      <c r="J34" s="154"/>
      <c r="K34" s="520" t="str">
        <f>IF(J34="","",IF(VLOOKUP(J34,'G-7 Rivers Data'!$AK$4:$AM$9,2,FALSE)=0,"Spatial Data Missing ⚠",VLOOKUP(J34,'G-7 Rivers Data'!$AK$4:$AM$9,2,FALSE)))</f>
        <v/>
      </c>
      <c r="L34" s="524" t="str">
        <f>IF(J34="","",IF(VLOOKUP(J34,'G-7 Rivers Data'!$AK$4:$AM$9,3,FALSE)=0,"Spatial Data Missing ⚠",VLOOKUP(J34,'G-7 Rivers Data'!$AK$4:$AM$9,3,FALSE)))</f>
        <v/>
      </c>
      <c r="M34" s="71"/>
      <c r="N34" s="499" t="str">
        <f>IF(M34="","",IF(VLOOKUP(M34,'G-7 Rivers Data'!$AA$4:$AB$7,2,FALSE)=0,"Spatial Data Missing ⚠",VLOOKUP(M34,'G-7 Rivers Data'!$AA$4:$AB$7,2,FALSE)))</f>
        <v/>
      </c>
      <c r="O34" s="155"/>
      <c r="P34" s="499" t="str">
        <f>IF(O34="","",IF(VLOOKUP(O34,'G-7 Rivers Data'!$AD$4:$AE$8,2,FALSE)=0,"Spatial Data Missing ⚠",VLOOKUP(O34,'G-7 Rivers Data'!$AD$4:$AE$8,2,FALSE)))</f>
        <v/>
      </c>
      <c r="Q34" s="506" t="str">
        <f>IF(D34="","",VLOOKUP(D34,'G-7 Rivers Data'!$B$4:$G$8,6,FALSE))</f>
        <v/>
      </c>
      <c r="R34" s="513" t="str">
        <f t="shared" si="0"/>
        <v/>
      </c>
      <c r="S34" s="40"/>
      <c r="T34" s="145"/>
      <c r="U34" s="157"/>
      <c r="V34" s="511" t="str">
        <f t="shared" si="1"/>
        <v/>
      </c>
      <c r="W34" s="511" t="str">
        <f t="shared" si="2"/>
        <v/>
      </c>
      <c r="X34" s="511" t="str">
        <f t="shared" si="3"/>
        <v/>
      </c>
      <c r="Y34" s="515" t="str">
        <f t="shared" si="4"/>
        <v/>
      </c>
      <c r="Z34" s="151"/>
      <c r="AA34" s="152"/>
      <c r="AF34" s="31" t="str">
        <f>IFERROR(INDEX('G-7 Rivers Data'!$AZ$3:$AZ$7,MATCH(D34,'G-7 Rivers Data'!$AY$3:$AY$7,0)),"")</f>
        <v/>
      </c>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row>
    <row r="35" spans="3:40" ht="13.8" x14ac:dyDescent="0.25">
      <c r="C35" s="141">
        <v>26</v>
      </c>
      <c r="D35" s="462"/>
      <c r="E35" s="153"/>
      <c r="F35" s="498" t="str">
        <f>IF(D35="","",VLOOKUP(D35,'G-7 Rivers Data'!$B$2:$G$8,2,FALSE))</f>
        <v/>
      </c>
      <c r="G35" s="499" t="str">
        <f>IFERROR(VLOOKUP(F35,'G-7 Rivers Data'!$C$4:$D$8,2,FALSE),"")</f>
        <v/>
      </c>
      <c r="H35" s="145"/>
      <c r="I35" s="499" t="str">
        <f>IFERROR(INDEX('G-7 Rivers Data'!$H$4:$L$8,MATCH(D35,'G-7 Rivers Data'!$B$4:$B$8,0),MATCH(H35,'G-7 Rivers Data'!$H$3:$L$3,0)),"")</f>
        <v/>
      </c>
      <c r="J35" s="154"/>
      <c r="K35" s="520" t="str">
        <f>IF(J35="","",IF(VLOOKUP(J35,'G-7 Rivers Data'!$AK$4:$AM$9,2,FALSE)=0,"Spatial Data Missing ⚠",VLOOKUP(J35,'G-7 Rivers Data'!$AK$4:$AM$9,2,FALSE)))</f>
        <v/>
      </c>
      <c r="L35" s="524" t="str">
        <f>IF(J35="","",IF(VLOOKUP(J35,'G-7 Rivers Data'!$AK$4:$AM$9,3,FALSE)=0,"Spatial Data Missing ⚠",VLOOKUP(J35,'G-7 Rivers Data'!$AK$4:$AM$9,3,FALSE)))</f>
        <v/>
      </c>
      <c r="M35" s="71"/>
      <c r="N35" s="499" t="str">
        <f>IF(M35="","",IF(VLOOKUP(M35,'G-7 Rivers Data'!$AA$4:$AB$7,2,FALSE)=0,"Spatial Data Missing ⚠",VLOOKUP(M35,'G-7 Rivers Data'!$AA$4:$AB$7,2,FALSE)))</f>
        <v/>
      </c>
      <c r="O35" s="155"/>
      <c r="P35" s="499" t="str">
        <f>IF(O35="","",IF(VLOOKUP(O35,'G-7 Rivers Data'!$AD$4:$AE$8,2,FALSE)=0,"Spatial Data Missing ⚠",VLOOKUP(O35,'G-7 Rivers Data'!$AD$4:$AE$8,2,FALSE)))</f>
        <v/>
      </c>
      <c r="Q35" s="506" t="str">
        <f>IF(D35="","",VLOOKUP(D35,'G-7 Rivers Data'!$B$4:$G$8,6,FALSE))</f>
        <v/>
      </c>
      <c r="R35" s="513" t="str">
        <f t="shared" si="0"/>
        <v/>
      </c>
      <c r="S35" s="40"/>
      <c r="T35" s="145"/>
      <c r="U35" s="157"/>
      <c r="V35" s="511" t="str">
        <f t="shared" si="1"/>
        <v/>
      </c>
      <c r="W35" s="511" t="str">
        <f t="shared" si="2"/>
        <v/>
      </c>
      <c r="X35" s="511" t="str">
        <f t="shared" si="3"/>
        <v/>
      </c>
      <c r="Y35" s="515" t="str">
        <f t="shared" si="4"/>
        <v/>
      </c>
      <c r="Z35" s="151"/>
      <c r="AA35" s="152"/>
      <c r="AF35" s="31" t="str">
        <f>IFERROR(INDEX('G-7 Rivers Data'!$AZ$3:$AZ$7,MATCH(D35,'G-7 Rivers Data'!$AY$3:$AY$7,0)),"")</f>
        <v/>
      </c>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row>
    <row r="36" spans="3:40" ht="13.8" x14ac:dyDescent="0.25">
      <c r="C36" s="141">
        <v>27</v>
      </c>
      <c r="D36" s="462"/>
      <c r="E36" s="153"/>
      <c r="F36" s="498" t="str">
        <f>IF(D36="","",VLOOKUP(D36,'G-7 Rivers Data'!$B$2:$G$8,2,FALSE))</f>
        <v/>
      </c>
      <c r="G36" s="499" t="str">
        <f>IFERROR(VLOOKUP(F36,'G-7 Rivers Data'!$C$4:$D$8,2,FALSE),"")</f>
        <v/>
      </c>
      <c r="H36" s="145"/>
      <c r="I36" s="499" t="str">
        <f>IFERROR(INDEX('G-7 Rivers Data'!$H$4:$L$8,MATCH(D36,'G-7 Rivers Data'!$B$4:$B$8,0),MATCH(H36,'G-7 Rivers Data'!$H$3:$L$3,0)),"")</f>
        <v/>
      </c>
      <c r="J36" s="154"/>
      <c r="K36" s="520" t="str">
        <f>IF(J36="","",IF(VLOOKUP(J36,'G-7 Rivers Data'!$AK$4:$AM$9,2,FALSE)=0,"Spatial Data Missing ⚠",VLOOKUP(J36,'G-7 Rivers Data'!$AK$4:$AM$9,2,FALSE)))</f>
        <v/>
      </c>
      <c r="L36" s="524" t="str">
        <f>IF(J36="","",IF(VLOOKUP(J36,'G-7 Rivers Data'!$AK$4:$AM$9,3,FALSE)=0,"Spatial Data Missing ⚠",VLOOKUP(J36,'G-7 Rivers Data'!$AK$4:$AM$9,3,FALSE)))</f>
        <v/>
      </c>
      <c r="M36" s="71"/>
      <c r="N36" s="499" t="str">
        <f>IF(M36="","",IF(VLOOKUP(M36,'G-7 Rivers Data'!$AA$4:$AB$7,2,FALSE)=0,"Spatial Data Missing ⚠",VLOOKUP(M36,'G-7 Rivers Data'!$AA$4:$AB$7,2,FALSE)))</f>
        <v/>
      </c>
      <c r="O36" s="155"/>
      <c r="P36" s="499" t="str">
        <f>IF(O36="","",IF(VLOOKUP(O36,'G-7 Rivers Data'!$AD$4:$AE$8,2,FALSE)=0,"Spatial Data Missing ⚠",VLOOKUP(O36,'G-7 Rivers Data'!$AD$4:$AE$8,2,FALSE)))</f>
        <v/>
      </c>
      <c r="Q36" s="506" t="str">
        <f>IF(D36="","",VLOOKUP(D36,'G-7 Rivers Data'!$B$4:$G$8,6,FALSE))</f>
        <v/>
      </c>
      <c r="R36" s="513" t="str">
        <f t="shared" si="0"/>
        <v/>
      </c>
      <c r="S36" s="40"/>
      <c r="T36" s="145"/>
      <c r="U36" s="157"/>
      <c r="V36" s="511" t="str">
        <f t="shared" si="1"/>
        <v/>
      </c>
      <c r="W36" s="511" t="str">
        <f t="shared" si="2"/>
        <v/>
      </c>
      <c r="X36" s="511" t="str">
        <f t="shared" si="3"/>
        <v/>
      </c>
      <c r="Y36" s="515" t="str">
        <f t="shared" si="4"/>
        <v/>
      </c>
      <c r="Z36" s="151"/>
      <c r="AA36" s="152"/>
      <c r="AF36" s="31" t="str">
        <f>IFERROR(INDEX('G-7 Rivers Data'!$AZ$3:$AZ$7,MATCH(D36,'G-7 Rivers Data'!$AY$3:$AY$7,0)),"")</f>
        <v/>
      </c>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row>
    <row r="37" spans="3:40" ht="13.8" x14ac:dyDescent="0.25">
      <c r="C37" s="141">
        <v>28</v>
      </c>
      <c r="D37" s="462"/>
      <c r="E37" s="153"/>
      <c r="F37" s="498" t="str">
        <f>IF(D37="","",VLOOKUP(D37,'G-7 Rivers Data'!$B$2:$G$8,2,FALSE))</f>
        <v/>
      </c>
      <c r="G37" s="499" t="str">
        <f>IFERROR(VLOOKUP(F37,'G-7 Rivers Data'!$C$4:$D$8,2,FALSE),"")</f>
        <v/>
      </c>
      <c r="H37" s="145"/>
      <c r="I37" s="499" t="str">
        <f>IFERROR(INDEX('G-7 Rivers Data'!$H$4:$L$8,MATCH(D37,'G-7 Rivers Data'!$B$4:$B$8,0),MATCH(H37,'G-7 Rivers Data'!$H$3:$L$3,0)),"")</f>
        <v/>
      </c>
      <c r="J37" s="154"/>
      <c r="K37" s="520" t="str">
        <f>IF(J37="","",IF(VLOOKUP(J37,'G-7 Rivers Data'!$AK$4:$AM$9,2,FALSE)=0,"Spatial Data Missing ⚠",VLOOKUP(J37,'G-7 Rivers Data'!$AK$4:$AM$9,2,FALSE)))</f>
        <v/>
      </c>
      <c r="L37" s="524" t="str">
        <f>IF(J37="","",IF(VLOOKUP(J37,'G-7 Rivers Data'!$AK$4:$AM$9,3,FALSE)=0,"Spatial Data Missing ⚠",VLOOKUP(J37,'G-7 Rivers Data'!$AK$4:$AM$9,3,FALSE)))</f>
        <v/>
      </c>
      <c r="M37" s="71"/>
      <c r="N37" s="499" t="str">
        <f>IF(M37="","",IF(VLOOKUP(M37,'G-7 Rivers Data'!$AA$4:$AB$7,2,FALSE)=0,"Spatial Data Missing ⚠",VLOOKUP(M37,'G-7 Rivers Data'!$AA$4:$AB$7,2,FALSE)))</f>
        <v/>
      </c>
      <c r="O37" s="155"/>
      <c r="P37" s="499" t="str">
        <f>IF(O37="","",IF(VLOOKUP(O37,'G-7 Rivers Data'!$AD$4:$AE$8,2,FALSE)=0,"Spatial Data Missing ⚠",VLOOKUP(O37,'G-7 Rivers Data'!$AD$4:$AE$8,2,FALSE)))</f>
        <v/>
      </c>
      <c r="Q37" s="506" t="str">
        <f>IF(D37="","",VLOOKUP(D37,'G-7 Rivers Data'!$B$4:$G$8,6,FALSE))</f>
        <v/>
      </c>
      <c r="R37" s="513" t="str">
        <f t="shared" si="0"/>
        <v/>
      </c>
      <c r="S37" s="40"/>
      <c r="T37" s="145"/>
      <c r="U37" s="157"/>
      <c r="V37" s="511" t="str">
        <f t="shared" si="1"/>
        <v/>
      </c>
      <c r="W37" s="511" t="str">
        <f t="shared" si="2"/>
        <v/>
      </c>
      <c r="X37" s="511" t="str">
        <f t="shared" si="3"/>
        <v/>
      </c>
      <c r="Y37" s="515" t="str">
        <f t="shared" si="4"/>
        <v/>
      </c>
      <c r="Z37" s="151"/>
      <c r="AA37" s="152"/>
      <c r="AF37" s="31" t="str">
        <f>IFERROR(INDEX('G-7 Rivers Data'!$AZ$3:$AZ$7,MATCH(D37,'G-7 Rivers Data'!$AY$3:$AY$7,0)),"")</f>
        <v/>
      </c>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row>
    <row r="38" spans="3:40" ht="13.8" x14ac:dyDescent="0.25">
      <c r="C38" s="141">
        <v>29</v>
      </c>
      <c r="D38" s="462"/>
      <c r="E38" s="153"/>
      <c r="F38" s="498" t="str">
        <f>IF(D38="","",VLOOKUP(D38,'G-7 Rivers Data'!$B$2:$G$8,2,FALSE))</f>
        <v/>
      </c>
      <c r="G38" s="499" t="str">
        <f>IFERROR(VLOOKUP(F38,'G-7 Rivers Data'!$C$4:$D$8,2,FALSE),"")</f>
        <v/>
      </c>
      <c r="H38" s="145"/>
      <c r="I38" s="499" t="str">
        <f>IFERROR(INDEX('G-7 Rivers Data'!$H$4:$L$8,MATCH(D38,'G-7 Rivers Data'!$B$4:$B$8,0),MATCH(H38,'G-7 Rivers Data'!$H$3:$L$3,0)),"")</f>
        <v/>
      </c>
      <c r="J38" s="154"/>
      <c r="K38" s="520" t="str">
        <f>IF(J38="","",IF(VLOOKUP(J38,'G-7 Rivers Data'!$AK$4:$AM$9,2,FALSE)=0,"Spatial Data Missing ⚠",VLOOKUP(J38,'G-7 Rivers Data'!$AK$4:$AM$9,2,FALSE)))</f>
        <v/>
      </c>
      <c r="L38" s="524" t="str">
        <f>IF(J38="","",IF(VLOOKUP(J38,'G-7 Rivers Data'!$AK$4:$AM$9,3,FALSE)=0,"Spatial Data Missing ⚠",VLOOKUP(J38,'G-7 Rivers Data'!$AK$4:$AM$9,3,FALSE)))</f>
        <v/>
      </c>
      <c r="M38" s="71"/>
      <c r="N38" s="499" t="str">
        <f>IF(M38="","",IF(VLOOKUP(M38,'G-7 Rivers Data'!$AA$4:$AB$7,2,FALSE)=0,"Spatial Data Missing ⚠",VLOOKUP(M38,'G-7 Rivers Data'!$AA$4:$AB$7,2,FALSE)))</f>
        <v/>
      </c>
      <c r="O38" s="155"/>
      <c r="P38" s="499" t="str">
        <f>IF(O38="","",IF(VLOOKUP(O38,'G-7 Rivers Data'!$AD$4:$AE$8,2,FALSE)=0,"Spatial Data Missing ⚠",VLOOKUP(O38,'G-7 Rivers Data'!$AD$4:$AE$8,2,FALSE)))</f>
        <v/>
      </c>
      <c r="Q38" s="506" t="str">
        <f>IF(D38="","",VLOOKUP(D38,'G-7 Rivers Data'!$B$4:$G$8,6,FALSE))</f>
        <v/>
      </c>
      <c r="R38" s="513" t="str">
        <f t="shared" si="0"/>
        <v/>
      </c>
      <c r="S38" s="40"/>
      <c r="T38" s="145"/>
      <c r="U38" s="157"/>
      <c r="V38" s="511" t="str">
        <f t="shared" si="1"/>
        <v/>
      </c>
      <c r="W38" s="511" t="str">
        <f t="shared" si="2"/>
        <v/>
      </c>
      <c r="X38" s="511" t="str">
        <f t="shared" si="3"/>
        <v/>
      </c>
      <c r="Y38" s="515" t="str">
        <f t="shared" si="4"/>
        <v/>
      </c>
      <c r="Z38" s="151"/>
      <c r="AA38" s="152"/>
      <c r="AF38" s="31" t="str">
        <f>IFERROR(INDEX('G-7 Rivers Data'!$AZ$3:$AZ$7,MATCH(D38,'G-7 Rivers Data'!$AY$3:$AY$7,0)),"")</f>
        <v/>
      </c>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row>
    <row r="39" spans="3:40" ht="13.8" x14ac:dyDescent="0.25">
      <c r="C39" s="141">
        <v>30</v>
      </c>
      <c r="D39" s="462"/>
      <c r="E39" s="153"/>
      <c r="F39" s="498" t="str">
        <f>IF(D39="","",VLOOKUP(D39,'G-7 Rivers Data'!$B$2:$G$8,2,FALSE))</f>
        <v/>
      </c>
      <c r="G39" s="499" t="str">
        <f>IFERROR(VLOOKUP(F39,'G-7 Rivers Data'!$C$4:$D$8,2,FALSE),"")</f>
        <v/>
      </c>
      <c r="H39" s="145"/>
      <c r="I39" s="499" t="str">
        <f>IFERROR(INDEX('G-7 Rivers Data'!$H$4:$L$8,MATCH(D39,'G-7 Rivers Data'!$B$4:$B$8,0),MATCH(H39,'G-7 Rivers Data'!$H$3:$L$3,0)),"")</f>
        <v/>
      </c>
      <c r="J39" s="154"/>
      <c r="K39" s="520" t="str">
        <f>IF(J39="","",IF(VLOOKUP(J39,'G-7 Rivers Data'!$AK$4:$AM$9,2,FALSE)=0,"Spatial Data Missing ⚠",VLOOKUP(J39,'G-7 Rivers Data'!$AK$4:$AM$9,2,FALSE)))</f>
        <v/>
      </c>
      <c r="L39" s="524" t="str">
        <f>IF(J39="","",IF(VLOOKUP(J39,'G-7 Rivers Data'!$AK$4:$AM$9,3,FALSE)=0,"Spatial Data Missing ⚠",VLOOKUP(J39,'G-7 Rivers Data'!$AK$4:$AM$9,3,FALSE)))</f>
        <v/>
      </c>
      <c r="M39" s="71"/>
      <c r="N39" s="499" t="str">
        <f>IF(M39="","",IF(VLOOKUP(M39,'G-7 Rivers Data'!$AA$4:$AB$7,2,FALSE)=0,"Spatial Data Missing ⚠",VLOOKUP(M39,'G-7 Rivers Data'!$AA$4:$AB$7,2,FALSE)))</f>
        <v/>
      </c>
      <c r="O39" s="155"/>
      <c r="P39" s="499" t="str">
        <f>IF(O39="","",IF(VLOOKUP(O39,'G-7 Rivers Data'!$AD$4:$AE$8,2,FALSE)=0,"Spatial Data Missing ⚠",VLOOKUP(O39,'G-7 Rivers Data'!$AD$4:$AE$8,2,FALSE)))</f>
        <v/>
      </c>
      <c r="Q39" s="506" t="str">
        <f>IF(D39="","",VLOOKUP(D39,'G-7 Rivers Data'!$B$4:$G$8,6,FALSE))</f>
        <v/>
      </c>
      <c r="R39" s="513" t="str">
        <f t="shared" si="0"/>
        <v/>
      </c>
      <c r="S39" s="40"/>
      <c r="T39" s="145"/>
      <c r="U39" s="157"/>
      <c r="V39" s="511" t="str">
        <f t="shared" si="1"/>
        <v/>
      </c>
      <c r="W39" s="511" t="str">
        <f t="shared" si="2"/>
        <v/>
      </c>
      <c r="X39" s="511" t="str">
        <f t="shared" si="3"/>
        <v/>
      </c>
      <c r="Y39" s="515" t="str">
        <f t="shared" si="4"/>
        <v/>
      </c>
      <c r="Z39" s="151"/>
      <c r="AA39" s="152"/>
      <c r="AF39" s="31" t="str">
        <f>IFERROR(INDEX('G-7 Rivers Data'!$AZ$3:$AZ$7,MATCH(D39,'G-7 Rivers Data'!$AY$3:$AY$7,0)),"")</f>
        <v/>
      </c>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row>
    <row r="40" spans="3:40" ht="13.8" x14ac:dyDescent="0.25">
      <c r="C40" s="141">
        <v>31</v>
      </c>
      <c r="D40" s="462"/>
      <c r="E40" s="153"/>
      <c r="F40" s="498" t="str">
        <f>IF(D40="","",VLOOKUP(D40,'G-7 Rivers Data'!$B$2:$G$8,2,FALSE))</f>
        <v/>
      </c>
      <c r="G40" s="499" t="str">
        <f>IFERROR(VLOOKUP(F40,'G-7 Rivers Data'!$C$4:$D$8,2,FALSE),"")</f>
        <v/>
      </c>
      <c r="H40" s="145"/>
      <c r="I40" s="499" t="str">
        <f>IFERROR(INDEX('G-7 Rivers Data'!$H$4:$L$8,MATCH(D40,'G-7 Rivers Data'!$B$4:$B$8,0),MATCH(H40,'G-7 Rivers Data'!$H$3:$L$3,0)),"")</f>
        <v/>
      </c>
      <c r="J40" s="154"/>
      <c r="K40" s="520" t="str">
        <f>IF(J40="","",IF(VLOOKUP(J40,'G-7 Rivers Data'!$AK$4:$AM$9,2,FALSE)=0,"Spatial Data Missing ⚠",VLOOKUP(J40,'G-7 Rivers Data'!$AK$4:$AM$9,2,FALSE)))</f>
        <v/>
      </c>
      <c r="L40" s="524" t="str">
        <f>IF(J40="","",IF(VLOOKUP(J40,'G-7 Rivers Data'!$AK$4:$AM$9,3,FALSE)=0,"Spatial Data Missing ⚠",VLOOKUP(J40,'G-7 Rivers Data'!$AK$4:$AM$9,3,FALSE)))</f>
        <v/>
      </c>
      <c r="M40" s="71"/>
      <c r="N40" s="499" t="str">
        <f>IF(M40="","",IF(VLOOKUP(M40,'G-7 Rivers Data'!$AA$4:$AB$7,2,FALSE)=0,"Spatial Data Missing ⚠",VLOOKUP(M40,'G-7 Rivers Data'!$AA$4:$AB$7,2,FALSE)))</f>
        <v/>
      </c>
      <c r="O40" s="155"/>
      <c r="P40" s="499" t="str">
        <f>IF(O40="","",IF(VLOOKUP(O40,'G-7 Rivers Data'!$AD$4:$AE$8,2,FALSE)=0,"Spatial Data Missing ⚠",VLOOKUP(O40,'G-7 Rivers Data'!$AD$4:$AE$8,2,FALSE)))</f>
        <v/>
      </c>
      <c r="Q40" s="506" t="str">
        <f>IF(D40="","",VLOOKUP(D40,'G-7 Rivers Data'!$B$4:$G$8,6,FALSE))</f>
        <v/>
      </c>
      <c r="R40" s="513" t="str">
        <f t="shared" si="0"/>
        <v/>
      </c>
      <c r="S40" s="40"/>
      <c r="T40" s="145"/>
      <c r="U40" s="157"/>
      <c r="V40" s="511" t="str">
        <f t="shared" si="1"/>
        <v/>
      </c>
      <c r="W40" s="511" t="str">
        <f t="shared" si="2"/>
        <v/>
      </c>
      <c r="X40" s="511" t="str">
        <f t="shared" si="3"/>
        <v/>
      </c>
      <c r="Y40" s="515" t="str">
        <f t="shared" si="4"/>
        <v/>
      </c>
      <c r="Z40" s="151"/>
      <c r="AA40" s="152"/>
      <c r="AF40" s="31" t="str">
        <f>IFERROR(INDEX('G-7 Rivers Data'!$AZ$3:$AZ$7,MATCH(D40,'G-7 Rivers Data'!$AY$3:$AY$7,0)),"")</f>
        <v/>
      </c>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row>
    <row r="41" spans="3:40" ht="13.8" x14ac:dyDescent="0.25">
      <c r="C41" s="141">
        <v>32</v>
      </c>
      <c r="D41" s="462"/>
      <c r="E41" s="153"/>
      <c r="F41" s="498" t="str">
        <f>IF(D41="","",VLOOKUP(D41,'G-7 Rivers Data'!$B$2:$G$8,2,FALSE))</f>
        <v/>
      </c>
      <c r="G41" s="499" t="str">
        <f>IFERROR(VLOOKUP(F41,'G-7 Rivers Data'!$C$4:$D$8,2,FALSE),"")</f>
        <v/>
      </c>
      <c r="H41" s="145"/>
      <c r="I41" s="499" t="str">
        <f>IFERROR(INDEX('G-7 Rivers Data'!$H$4:$L$8,MATCH(D41,'G-7 Rivers Data'!$B$4:$B$8,0),MATCH(H41,'G-7 Rivers Data'!$H$3:$L$3,0)),"")</f>
        <v/>
      </c>
      <c r="J41" s="154"/>
      <c r="K41" s="520" t="str">
        <f>IF(J41="","",IF(VLOOKUP(J41,'G-7 Rivers Data'!$AK$4:$AM$9,2,FALSE)=0,"Spatial Data Missing ⚠",VLOOKUP(J41,'G-7 Rivers Data'!$AK$4:$AM$9,2,FALSE)))</f>
        <v/>
      </c>
      <c r="L41" s="524" t="str">
        <f>IF(J41="","",IF(VLOOKUP(J41,'G-7 Rivers Data'!$AK$4:$AM$9,3,FALSE)=0,"Spatial Data Missing ⚠",VLOOKUP(J41,'G-7 Rivers Data'!$AK$4:$AM$9,3,FALSE)))</f>
        <v/>
      </c>
      <c r="M41" s="71"/>
      <c r="N41" s="499" t="str">
        <f>IF(M41="","",IF(VLOOKUP(M41,'G-7 Rivers Data'!$AA$4:$AB$7,2,FALSE)=0,"Spatial Data Missing ⚠",VLOOKUP(M41,'G-7 Rivers Data'!$AA$4:$AB$7,2,FALSE)))</f>
        <v/>
      </c>
      <c r="O41" s="155"/>
      <c r="P41" s="499" t="str">
        <f>IF(O41="","",IF(VLOOKUP(O41,'G-7 Rivers Data'!$AD$4:$AE$8,2,FALSE)=0,"Spatial Data Missing ⚠",VLOOKUP(O41,'G-7 Rivers Data'!$AD$4:$AE$8,2,FALSE)))</f>
        <v/>
      </c>
      <c r="Q41" s="506" t="str">
        <f>IF(D41="","",VLOOKUP(D41,'G-7 Rivers Data'!$B$4:$G$8,6,FALSE))</f>
        <v/>
      </c>
      <c r="R41" s="513" t="str">
        <f t="shared" si="0"/>
        <v/>
      </c>
      <c r="S41" s="40"/>
      <c r="T41" s="145"/>
      <c r="U41" s="157"/>
      <c r="V41" s="511" t="str">
        <f t="shared" si="1"/>
        <v/>
      </c>
      <c r="W41" s="511" t="str">
        <f t="shared" si="2"/>
        <v/>
      </c>
      <c r="X41" s="511" t="str">
        <f t="shared" si="3"/>
        <v/>
      </c>
      <c r="Y41" s="515" t="str">
        <f t="shared" si="4"/>
        <v/>
      </c>
      <c r="Z41" s="151"/>
      <c r="AA41" s="152"/>
      <c r="AF41" s="31" t="str">
        <f>IFERROR(INDEX('G-7 Rivers Data'!$AZ$3:$AZ$7,MATCH(D41,'G-7 Rivers Data'!$AY$3:$AY$7,0)),"")</f>
        <v/>
      </c>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row>
    <row r="42" spans="3:40" ht="13.8" x14ac:dyDescent="0.25">
      <c r="C42" s="141">
        <v>33</v>
      </c>
      <c r="D42" s="462"/>
      <c r="E42" s="153"/>
      <c r="F42" s="498" t="str">
        <f>IF(D42="","",VLOOKUP(D42,'G-7 Rivers Data'!$B$2:$G$8,2,FALSE))</f>
        <v/>
      </c>
      <c r="G42" s="499" t="str">
        <f>IFERROR(VLOOKUP(F42,'G-7 Rivers Data'!$C$4:$D$8,2,FALSE),"")</f>
        <v/>
      </c>
      <c r="H42" s="145"/>
      <c r="I42" s="499" t="str">
        <f>IFERROR(INDEX('G-7 Rivers Data'!$H$4:$L$8,MATCH(D42,'G-7 Rivers Data'!$B$4:$B$8,0),MATCH(H42,'G-7 Rivers Data'!$H$3:$L$3,0)),"")</f>
        <v/>
      </c>
      <c r="J42" s="154"/>
      <c r="K42" s="520" t="str">
        <f>IF(J42="","",IF(VLOOKUP(J42,'G-7 Rivers Data'!$AK$4:$AM$9,2,FALSE)=0,"Spatial Data Missing ⚠",VLOOKUP(J42,'G-7 Rivers Data'!$AK$4:$AM$9,2,FALSE)))</f>
        <v/>
      </c>
      <c r="L42" s="524" t="str">
        <f>IF(J42="","",IF(VLOOKUP(J42,'G-7 Rivers Data'!$AK$4:$AM$9,3,FALSE)=0,"Spatial Data Missing ⚠",VLOOKUP(J42,'G-7 Rivers Data'!$AK$4:$AM$9,3,FALSE)))</f>
        <v/>
      </c>
      <c r="M42" s="71"/>
      <c r="N42" s="499" t="str">
        <f>IF(M42="","",IF(VLOOKUP(M42,'G-7 Rivers Data'!$AA$4:$AB$7,2,FALSE)=0,"Spatial Data Missing ⚠",VLOOKUP(M42,'G-7 Rivers Data'!$AA$4:$AB$7,2,FALSE)))</f>
        <v/>
      </c>
      <c r="O42" s="155"/>
      <c r="P42" s="499" t="str">
        <f>IF(O42="","",IF(VLOOKUP(O42,'G-7 Rivers Data'!$AD$4:$AE$8,2,FALSE)=0,"Spatial Data Missing ⚠",VLOOKUP(O42,'G-7 Rivers Data'!$AD$4:$AE$8,2,FALSE)))</f>
        <v/>
      </c>
      <c r="Q42" s="506" t="str">
        <f>IF(D42="","",VLOOKUP(D42,'G-7 Rivers Data'!$B$4:$G$8,6,FALSE))</f>
        <v/>
      </c>
      <c r="R42" s="513" t="str">
        <f t="shared" si="0"/>
        <v/>
      </c>
      <c r="S42" s="40"/>
      <c r="T42" s="145"/>
      <c r="U42" s="157"/>
      <c r="V42" s="511" t="str">
        <f t="shared" si="1"/>
        <v/>
      </c>
      <c r="W42" s="511" t="str">
        <f t="shared" si="2"/>
        <v/>
      </c>
      <c r="X42" s="511" t="str">
        <f t="shared" si="3"/>
        <v/>
      </c>
      <c r="Y42" s="515" t="str">
        <f t="shared" si="4"/>
        <v/>
      </c>
      <c r="Z42" s="151"/>
      <c r="AA42" s="152"/>
      <c r="AF42" s="31" t="str">
        <f>IFERROR(INDEX('G-7 Rivers Data'!$AZ$3:$AZ$7,MATCH(D42,'G-7 Rivers Data'!$AY$3:$AY$7,0)),"")</f>
        <v/>
      </c>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row>
    <row r="43" spans="3:40" ht="13.8" x14ac:dyDescent="0.25">
      <c r="C43" s="141">
        <v>34</v>
      </c>
      <c r="D43" s="462"/>
      <c r="E43" s="153"/>
      <c r="F43" s="498" t="str">
        <f>IF(D43="","",VLOOKUP(D43,'G-7 Rivers Data'!$B$2:$G$8,2,FALSE))</f>
        <v/>
      </c>
      <c r="G43" s="499" t="str">
        <f>IFERROR(VLOOKUP(F43,'G-7 Rivers Data'!$C$4:$D$8,2,FALSE),"")</f>
        <v/>
      </c>
      <c r="H43" s="145"/>
      <c r="I43" s="499" t="str">
        <f>IFERROR(INDEX('G-7 Rivers Data'!$H$4:$L$8,MATCH(D43,'G-7 Rivers Data'!$B$4:$B$8,0),MATCH(H43,'G-7 Rivers Data'!$H$3:$L$3,0)),"")</f>
        <v/>
      </c>
      <c r="J43" s="154"/>
      <c r="K43" s="520" t="str">
        <f>IF(J43="","",IF(VLOOKUP(J43,'G-7 Rivers Data'!$AK$4:$AM$9,2,FALSE)=0,"Spatial Data Missing ⚠",VLOOKUP(J43,'G-7 Rivers Data'!$AK$4:$AM$9,2,FALSE)))</f>
        <v/>
      </c>
      <c r="L43" s="524" t="str">
        <f>IF(J43="","",IF(VLOOKUP(J43,'G-7 Rivers Data'!$AK$4:$AM$9,3,FALSE)=0,"Spatial Data Missing ⚠",VLOOKUP(J43,'G-7 Rivers Data'!$AK$4:$AM$9,3,FALSE)))</f>
        <v/>
      </c>
      <c r="M43" s="71"/>
      <c r="N43" s="499" t="str">
        <f>IF(M43="","",IF(VLOOKUP(M43,'G-7 Rivers Data'!$AA$4:$AB$7,2,FALSE)=0,"Spatial Data Missing ⚠",VLOOKUP(M43,'G-7 Rivers Data'!$AA$4:$AB$7,2,FALSE)))</f>
        <v/>
      </c>
      <c r="O43" s="155"/>
      <c r="P43" s="499" t="str">
        <f>IF(O43="","",IF(VLOOKUP(O43,'G-7 Rivers Data'!$AD$4:$AE$8,2,FALSE)=0,"Spatial Data Missing ⚠",VLOOKUP(O43,'G-7 Rivers Data'!$AD$4:$AE$8,2,FALSE)))</f>
        <v/>
      </c>
      <c r="Q43" s="506" t="str">
        <f>IF(D43="","",VLOOKUP(D43,'G-7 Rivers Data'!$B$4:$G$8,6,FALSE))</f>
        <v/>
      </c>
      <c r="R43" s="513" t="str">
        <f t="shared" si="0"/>
        <v/>
      </c>
      <c r="S43" s="40"/>
      <c r="T43" s="145"/>
      <c r="U43" s="157"/>
      <c r="V43" s="511" t="str">
        <f t="shared" si="1"/>
        <v/>
      </c>
      <c r="W43" s="511" t="str">
        <f t="shared" si="2"/>
        <v/>
      </c>
      <c r="X43" s="511" t="str">
        <f t="shared" si="3"/>
        <v/>
      </c>
      <c r="Y43" s="515" t="str">
        <f t="shared" si="4"/>
        <v/>
      </c>
      <c r="Z43" s="151"/>
      <c r="AA43" s="152"/>
      <c r="AF43" s="31" t="str">
        <f>IFERROR(INDEX('G-7 Rivers Data'!$AZ$3:$AZ$7,MATCH(D43,'G-7 Rivers Data'!$AY$3:$AY$7,0)),"")</f>
        <v/>
      </c>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row>
    <row r="44" spans="3:40" ht="13.8" x14ac:dyDescent="0.25">
      <c r="C44" s="141">
        <v>35</v>
      </c>
      <c r="D44" s="462"/>
      <c r="E44" s="153"/>
      <c r="F44" s="498" t="str">
        <f>IF(D44="","",VLOOKUP(D44,'G-7 Rivers Data'!$B$2:$G$8,2,FALSE))</f>
        <v/>
      </c>
      <c r="G44" s="499" t="str">
        <f>IFERROR(VLOOKUP(F44,'G-7 Rivers Data'!$C$4:$D$8,2,FALSE),"")</f>
        <v/>
      </c>
      <c r="H44" s="145"/>
      <c r="I44" s="499" t="str">
        <f>IFERROR(INDEX('G-7 Rivers Data'!$H$4:$L$8,MATCH(D44,'G-7 Rivers Data'!$B$4:$B$8,0),MATCH(H44,'G-7 Rivers Data'!$H$3:$L$3,0)),"")</f>
        <v/>
      </c>
      <c r="J44" s="154"/>
      <c r="K44" s="520" t="str">
        <f>IF(J44="","",IF(VLOOKUP(J44,'G-7 Rivers Data'!$AK$4:$AM$9,2,FALSE)=0,"Spatial Data Missing ⚠",VLOOKUP(J44,'G-7 Rivers Data'!$AK$4:$AM$9,2,FALSE)))</f>
        <v/>
      </c>
      <c r="L44" s="524" t="str">
        <f>IF(J44="","",IF(VLOOKUP(J44,'G-7 Rivers Data'!$AK$4:$AM$9,3,FALSE)=0,"Spatial Data Missing ⚠",VLOOKUP(J44,'G-7 Rivers Data'!$AK$4:$AM$9,3,FALSE)))</f>
        <v/>
      </c>
      <c r="M44" s="71"/>
      <c r="N44" s="499" t="str">
        <f>IF(M44="","",IF(VLOOKUP(M44,'G-7 Rivers Data'!$AA$4:$AB$7,2,FALSE)=0,"Spatial Data Missing ⚠",VLOOKUP(M44,'G-7 Rivers Data'!$AA$4:$AB$7,2,FALSE)))</f>
        <v/>
      </c>
      <c r="O44" s="155"/>
      <c r="P44" s="499" t="str">
        <f>IF(O44="","",IF(VLOOKUP(O44,'G-7 Rivers Data'!$AD$4:$AE$8,2,FALSE)=0,"Spatial Data Missing ⚠",VLOOKUP(O44,'G-7 Rivers Data'!$AD$4:$AE$8,2,FALSE)))</f>
        <v/>
      </c>
      <c r="Q44" s="506" t="str">
        <f>IF(D44="","",VLOOKUP(D44,'G-7 Rivers Data'!$B$4:$G$8,6,FALSE))</f>
        <v/>
      </c>
      <c r="R44" s="513" t="str">
        <f t="shared" si="0"/>
        <v/>
      </c>
      <c r="S44" s="40"/>
      <c r="T44" s="145"/>
      <c r="U44" s="157"/>
      <c r="V44" s="511" t="str">
        <f t="shared" si="1"/>
        <v/>
      </c>
      <c r="W44" s="511" t="str">
        <f t="shared" si="2"/>
        <v/>
      </c>
      <c r="X44" s="511" t="str">
        <f t="shared" si="3"/>
        <v/>
      </c>
      <c r="Y44" s="515" t="str">
        <f t="shared" si="4"/>
        <v/>
      </c>
      <c r="Z44" s="151"/>
      <c r="AA44" s="152"/>
      <c r="AF44" s="31" t="str">
        <f>IFERROR(INDEX('G-7 Rivers Data'!$AZ$3:$AZ$7,MATCH(D44,'G-7 Rivers Data'!$AY$3:$AY$7,0)),"")</f>
        <v/>
      </c>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row>
    <row r="45" spans="3:40" ht="13.8" x14ac:dyDescent="0.25">
      <c r="C45" s="141">
        <v>36</v>
      </c>
      <c r="D45" s="462"/>
      <c r="E45" s="153"/>
      <c r="F45" s="498" t="str">
        <f>IF(D45="","",VLOOKUP(D45,'G-7 Rivers Data'!$B$2:$G$8,2,FALSE))</f>
        <v/>
      </c>
      <c r="G45" s="499" t="str">
        <f>IFERROR(VLOOKUP(F45,'G-7 Rivers Data'!$C$4:$D$8,2,FALSE),"")</f>
        <v/>
      </c>
      <c r="H45" s="145"/>
      <c r="I45" s="499" t="str">
        <f>IFERROR(INDEX('G-7 Rivers Data'!$H$4:$L$8,MATCH(D45,'G-7 Rivers Data'!$B$4:$B$8,0),MATCH(H45,'G-7 Rivers Data'!$H$3:$L$3,0)),"")</f>
        <v/>
      </c>
      <c r="J45" s="154"/>
      <c r="K45" s="520" t="str">
        <f>IF(J45="","",IF(VLOOKUP(J45,'G-7 Rivers Data'!$AK$4:$AM$9,2,FALSE)=0,"Spatial Data Missing ⚠",VLOOKUP(J45,'G-7 Rivers Data'!$AK$4:$AM$9,2,FALSE)))</f>
        <v/>
      </c>
      <c r="L45" s="524" t="str">
        <f>IF(J45="","",IF(VLOOKUP(J45,'G-7 Rivers Data'!$AK$4:$AM$9,3,FALSE)=0,"Spatial Data Missing ⚠",VLOOKUP(J45,'G-7 Rivers Data'!$AK$4:$AM$9,3,FALSE)))</f>
        <v/>
      </c>
      <c r="M45" s="71"/>
      <c r="N45" s="499" t="str">
        <f>IF(M45="","",IF(VLOOKUP(M45,'G-7 Rivers Data'!$AA$4:$AB$7,2,FALSE)=0,"Spatial Data Missing ⚠",VLOOKUP(M45,'G-7 Rivers Data'!$AA$4:$AB$7,2,FALSE)))</f>
        <v/>
      </c>
      <c r="O45" s="155"/>
      <c r="P45" s="499" t="str">
        <f>IF(O45="","",IF(VLOOKUP(O45,'G-7 Rivers Data'!$AD$4:$AE$8,2,FALSE)=0,"Spatial Data Missing ⚠",VLOOKUP(O45,'G-7 Rivers Data'!$AD$4:$AE$8,2,FALSE)))</f>
        <v/>
      </c>
      <c r="Q45" s="506" t="str">
        <f>IF(D45="","",VLOOKUP(D45,'G-7 Rivers Data'!$B$4:$G$8,6,FALSE))</f>
        <v/>
      </c>
      <c r="R45" s="513" t="str">
        <f t="shared" si="0"/>
        <v/>
      </c>
      <c r="S45" s="40"/>
      <c r="T45" s="145"/>
      <c r="U45" s="157"/>
      <c r="V45" s="511" t="str">
        <f t="shared" si="1"/>
        <v/>
      </c>
      <c r="W45" s="511" t="str">
        <f t="shared" si="2"/>
        <v/>
      </c>
      <c r="X45" s="511" t="str">
        <f t="shared" si="3"/>
        <v/>
      </c>
      <c r="Y45" s="515" t="str">
        <f t="shared" si="4"/>
        <v/>
      </c>
      <c r="Z45" s="151"/>
      <c r="AA45" s="152"/>
      <c r="AF45" s="31" t="str">
        <f>IFERROR(INDEX('G-7 Rivers Data'!$AZ$3:$AZ$7,MATCH(D45,'G-7 Rivers Data'!$AY$3:$AY$7,0)),"")</f>
        <v/>
      </c>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row>
    <row r="46" spans="3:40" ht="13.8" x14ac:dyDescent="0.25">
      <c r="C46" s="141">
        <v>37</v>
      </c>
      <c r="D46" s="462"/>
      <c r="E46" s="153"/>
      <c r="F46" s="498" t="str">
        <f>IF(D46="","",VLOOKUP(D46,'G-7 Rivers Data'!$B$2:$G$8,2,FALSE))</f>
        <v/>
      </c>
      <c r="G46" s="499" t="str">
        <f>IFERROR(VLOOKUP(F46,'G-7 Rivers Data'!$C$4:$D$8,2,FALSE),"")</f>
        <v/>
      </c>
      <c r="H46" s="145"/>
      <c r="I46" s="499" t="str">
        <f>IFERROR(INDEX('G-7 Rivers Data'!$H$4:$L$8,MATCH(D46,'G-7 Rivers Data'!$B$4:$B$8,0),MATCH(H46,'G-7 Rivers Data'!$H$3:$L$3,0)),"")</f>
        <v/>
      </c>
      <c r="J46" s="154"/>
      <c r="K46" s="520" t="str">
        <f>IF(J46="","",IF(VLOOKUP(J46,'G-7 Rivers Data'!$AK$4:$AM$9,2,FALSE)=0,"Spatial Data Missing ⚠",VLOOKUP(J46,'G-7 Rivers Data'!$AK$4:$AM$9,2,FALSE)))</f>
        <v/>
      </c>
      <c r="L46" s="524" t="str">
        <f>IF(J46="","",IF(VLOOKUP(J46,'G-7 Rivers Data'!$AK$4:$AM$9,3,FALSE)=0,"Spatial Data Missing ⚠",VLOOKUP(J46,'G-7 Rivers Data'!$AK$4:$AM$9,3,FALSE)))</f>
        <v/>
      </c>
      <c r="M46" s="71"/>
      <c r="N46" s="499" t="str">
        <f>IF(M46="","",IF(VLOOKUP(M46,'G-7 Rivers Data'!$AA$4:$AB$7,2,FALSE)=0,"Spatial Data Missing ⚠",VLOOKUP(M46,'G-7 Rivers Data'!$AA$4:$AB$7,2,FALSE)))</f>
        <v/>
      </c>
      <c r="O46" s="155"/>
      <c r="P46" s="499" t="str">
        <f>IF(O46="","",IF(VLOOKUP(O46,'G-7 Rivers Data'!$AD$4:$AE$8,2,FALSE)=0,"Spatial Data Missing ⚠",VLOOKUP(O46,'G-7 Rivers Data'!$AD$4:$AE$8,2,FALSE)))</f>
        <v/>
      </c>
      <c r="Q46" s="506" t="str">
        <f>IF(D46="","",VLOOKUP(D46,'G-7 Rivers Data'!$B$4:$G$8,6,FALSE))</f>
        <v/>
      </c>
      <c r="R46" s="513" t="str">
        <f t="shared" si="0"/>
        <v/>
      </c>
      <c r="S46" s="40"/>
      <c r="T46" s="145"/>
      <c r="U46" s="157"/>
      <c r="V46" s="511" t="str">
        <f t="shared" si="1"/>
        <v/>
      </c>
      <c r="W46" s="511" t="str">
        <f t="shared" si="2"/>
        <v/>
      </c>
      <c r="X46" s="511" t="str">
        <f t="shared" si="3"/>
        <v/>
      </c>
      <c r="Y46" s="515" t="str">
        <f t="shared" si="4"/>
        <v/>
      </c>
      <c r="Z46" s="151"/>
      <c r="AA46" s="152"/>
      <c r="AF46" s="31" t="str">
        <f>IFERROR(INDEX('G-7 Rivers Data'!$AZ$3:$AZ$7,MATCH(D46,'G-7 Rivers Data'!$AY$3:$AY$7,0)),"")</f>
        <v/>
      </c>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row>
    <row r="47" spans="3:40" ht="13.8" x14ac:dyDescent="0.25">
      <c r="C47" s="141">
        <v>38</v>
      </c>
      <c r="D47" s="462"/>
      <c r="E47" s="153"/>
      <c r="F47" s="498" t="str">
        <f>IF(D47="","",VLOOKUP(D47,'G-7 Rivers Data'!$B$2:$G$8,2,FALSE))</f>
        <v/>
      </c>
      <c r="G47" s="499" t="str">
        <f>IFERROR(VLOOKUP(F47,'G-7 Rivers Data'!$C$4:$D$8,2,FALSE),"")</f>
        <v/>
      </c>
      <c r="H47" s="145"/>
      <c r="I47" s="499" t="str">
        <f>IFERROR(INDEX('G-7 Rivers Data'!$H$4:$L$8,MATCH(D47,'G-7 Rivers Data'!$B$4:$B$8,0),MATCH(H47,'G-7 Rivers Data'!$H$3:$L$3,0)),"")</f>
        <v/>
      </c>
      <c r="J47" s="154"/>
      <c r="K47" s="520" t="str">
        <f>IF(J47="","",IF(VLOOKUP(J47,'G-7 Rivers Data'!$AK$4:$AM$9,2,FALSE)=0,"Spatial Data Missing ⚠",VLOOKUP(J47,'G-7 Rivers Data'!$AK$4:$AM$9,2,FALSE)))</f>
        <v/>
      </c>
      <c r="L47" s="524" t="str">
        <f>IF(J47="","",IF(VLOOKUP(J47,'G-7 Rivers Data'!$AK$4:$AM$9,3,FALSE)=0,"Spatial Data Missing ⚠",VLOOKUP(J47,'G-7 Rivers Data'!$AK$4:$AM$9,3,FALSE)))</f>
        <v/>
      </c>
      <c r="M47" s="71"/>
      <c r="N47" s="499" t="str">
        <f>IF(M47="","",IF(VLOOKUP(M47,'G-7 Rivers Data'!$AA$4:$AB$7,2,FALSE)=0,"Spatial Data Missing ⚠",VLOOKUP(M47,'G-7 Rivers Data'!$AA$4:$AB$7,2,FALSE)))</f>
        <v/>
      </c>
      <c r="O47" s="155"/>
      <c r="P47" s="499" t="str">
        <f>IF(O47="","",IF(VLOOKUP(O47,'G-7 Rivers Data'!$AD$4:$AE$8,2,FALSE)=0,"Spatial Data Missing ⚠",VLOOKUP(O47,'G-7 Rivers Data'!$AD$4:$AE$8,2,FALSE)))</f>
        <v/>
      </c>
      <c r="Q47" s="506" t="str">
        <f>IF(D47="","",VLOOKUP(D47,'G-7 Rivers Data'!$B$4:$G$8,6,FALSE))</f>
        <v/>
      </c>
      <c r="R47" s="513" t="str">
        <f t="shared" si="0"/>
        <v/>
      </c>
      <c r="S47" s="40"/>
      <c r="T47" s="145"/>
      <c r="U47" s="157"/>
      <c r="V47" s="511" t="str">
        <f t="shared" si="1"/>
        <v/>
      </c>
      <c r="W47" s="511" t="str">
        <f t="shared" si="2"/>
        <v/>
      </c>
      <c r="X47" s="511" t="str">
        <f t="shared" si="3"/>
        <v/>
      </c>
      <c r="Y47" s="515" t="str">
        <f t="shared" si="4"/>
        <v/>
      </c>
      <c r="Z47" s="151"/>
      <c r="AA47" s="152"/>
      <c r="AF47" s="31" t="str">
        <f>IFERROR(INDEX('G-7 Rivers Data'!$AZ$3:$AZ$7,MATCH(D47,'G-7 Rivers Data'!$AY$3:$AY$7,0)),"")</f>
        <v/>
      </c>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row>
    <row r="48" spans="3:40" ht="13.8" x14ac:dyDescent="0.25">
      <c r="C48" s="141">
        <v>39</v>
      </c>
      <c r="D48" s="462"/>
      <c r="E48" s="153"/>
      <c r="F48" s="498" t="str">
        <f>IF(D48="","",VLOOKUP(D48,'G-7 Rivers Data'!$B$2:$G$8,2,FALSE))</f>
        <v/>
      </c>
      <c r="G48" s="499" t="str">
        <f>IFERROR(VLOOKUP(F48,'G-7 Rivers Data'!$C$4:$D$8,2,FALSE),"")</f>
        <v/>
      </c>
      <c r="H48" s="145"/>
      <c r="I48" s="499" t="str">
        <f>IFERROR(INDEX('G-7 Rivers Data'!$H$4:$L$8,MATCH(D48,'G-7 Rivers Data'!$B$4:$B$8,0),MATCH(H48,'G-7 Rivers Data'!$H$3:$L$3,0)),"")</f>
        <v/>
      </c>
      <c r="J48" s="154"/>
      <c r="K48" s="520" t="str">
        <f>IF(J48="","",IF(VLOOKUP(J48,'G-7 Rivers Data'!$AK$4:$AM$9,2,FALSE)=0,"Spatial Data Missing ⚠",VLOOKUP(J48,'G-7 Rivers Data'!$AK$4:$AM$9,2,FALSE)))</f>
        <v/>
      </c>
      <c r="L48" s="524" t="str">
        <f>IF(J48="","",IF(VLOOKUP(J48,'G-7 Rivers Data'!$AK$4:$AM$9,3,FALSE)=0,"Spatial Data Missing ⚠",VLOOKUP(J48,'G-7 Rivers Data'!$AK$4:$AM$9,3,FALSE)))</f>
        <v/>
      </c>
      <c r="M48" s="71"/>
      <c r="N48" s="499" t="str">
        <f>IF(M48="","",IF(VLOOKUP(M48,'G-7 Rivers Data'!$AA$4:$AB$7,2,FALSE)=0,"Spatial Data Missing ⚠",VLOOKUP(M48,'G-7 Rivers Data'!$AA$4:$AB$7,2,FALSE)))</f>
        <v/>
      </c>
      <c r="O48" s="155"/>
      <c r="P48" s="499" t="str">
        <f>IF(O48="","",IF(VLOOKUP(O48,'G-7 Rivers Data'!$AD$4:$AE$8,2,FALSE)=0,"Spatial Data Missing ⚠",VLOOKUP(O48,'G-7 Rivers Data'!$AD$4:$AE$8,2,FALSE)))</f>
        <v/>
      </c>
      <c r="Q48" s="506" t="str">
        <f>IF(D48="","",VLOOKUP(D48,'G-7 Rivers Data'!$B$4:$G$8,6,FALSE))</f>
        <v/>
      </c>
      <c r="R48" s="513" t="str">
        <f t="shared" si="0"/>
        <v/>
      </c>
      <c r="S48" s="40"/>
      <c r="T48" s="145"/>
      <c r="U48" s="157"/>
      <c r="V48" s="511" t="str">
        <f t="shared" si="1"/>
        <v/>
      </c>
      <c r="W48" s="511" t="str">
        <f t="shared" si="2"/>
        <v/>
      </c>
      <c r="X48" s="511" t="str">
        <f t="shared" si="3"/>
        <v/>
      </c>
      <c r="Y48" s="515" t="str">
        <f t="shared" si="4"/>
        <v/>
      </c>
      <c r="Z48" s="151"/>
      <c r="AA48" s="152"/>
      <c r="AF48" s="31" t="str">
        <f>IFERROR(INDEX('G-7 Rivers Data'!$AZ$3:$AZ$7,MATCH(D48,'G-7 Rivers Data'!$AY$3:$AY$7,0)),"")</f>
        <v/>
      </c>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row>
    <row r="49" spans="3:40" ht="13.8" x14ac:dyDescent="0.25">
      <c r="C49" s="141">
        <v>40</v>
      </c>
      <c r="D49" s="462"/>
      <c r="E49" s="153"/>
      <c r="F49" s="498" t="str">
        <f>IF(D49="","",VLOOKUP(D49,'G-7 Rivers Data'!$B$2:$G$8,2,FALSE))</f>
        <v/>
      </c>
      <c r="G49" s="499" t="str">
        <f>IFERROR(VLOOKUP(F49,'G-7 Rivers Data'!$C$4:$D$8,2,FALSE),"")</f>
        <v/>
      </c>
      <c r="H49" s="145"/>
      <c r="I49" s="499" t="str">
        <f>IFERROR(INDEX('G-7 Rivers Data'!$H$4:$L$8,MATCH(D49,'G-7 Rivers Data'!$B$4:$B$8,0),MATCH(H49,'G-7 Rivers Data'!$H$3:$L$3,0)),"")</f>
        <v/>
      </c>
      <c r="J49" s="154"/>
      <c r="K49" s="520" t="str">
        <f>IF(J49="","",IF(VLOOKUP(J49,'G-7 Rivers Data'!$AK$4:$AM$9,2,FALSE)=0,"Spatial Data Missing ⚠",VLOOKUP(J49,'G-7 Rivers Data'!$AK$4:$AM$9,2,FALSE)))</f>
        <v/>
      </c>
      <c r="L49" s="524" t="str">
        <f>IF(J49="","",IF(VLOOKUP(J49,'G-7 Rivers Data'!$AK$4:$AM$9,3,FALSE)=0,"Spatial Data Missing ⚠",VLOOKUP(J49,'G-7 Rivers Data'!$AK$4:$AM$9,3,FALSE)))</f>
        <v/>
      </c>
      <c r="M49" s="71"/>
      <c r="N49" s="499" t="str">
        <f>IF(M49="","",IF(VLOOKUP(M49,'G-7 Rivers Data'!$AA$4:$AB$7,2,FALSE)=0,"Spatial Data Missing ⚠",VLOOKUP(M49,'G-7 Rivers Data'!$AA$4:$AB$7,2,FALSE)))</f>
        <v/>
      </c>
      <c r="O49" s="155"/>
      <c r="P49" s="499" t="str">
        <f>IF(O49="","",IF(VLOOKUP(O49,'G-7 Rivers Data'!$AD$4:$AE$8,2,FALSE)=0,"Spatial Data Missing ⚠",VLOOKUP(O49,'G-7 Rivers Data'!$AD$4:$AE$8,2,FALSE)))</f>
        <v/>
      </c>
      <c r="Q49" s="506" t="str">
        <f>IF(D49="","",VLOOKUP(D49,'G-7 Rivers Data'!$B$4:$G$8,6,FALSE))</f>
        <v/>
      </c>
      <c r="R49" s="513" t="str">
        <f t="shared" si="0"/>
        <v/>
      </c>
      <c r="S49" s="40"/>
      <c r="T49" s="145"/>
      <c r="U49" s="157"/>
      <c r="V49" s="511" t="str">
        <f t="shared" si="1"/>
        <v/>
      </c>
      <c r="W49" s="511" t="str">
        <f t="shared" si="2"/>
        <v/>
      </c>
      <c r="X49" s="511" t="str">
        <f t="shared" si="3"/>
        <v/>
      </c>
      <c r="Y49" s="515" t="str">
        <f t="shared" si="4"/>
        <v/>
      </c>
      <c r="Z49" s="151"/>
      <c r="AA49" s="152"/>
      <c r="AF49" s="31" t="str">
        <f>IFERROR(INDEX('G-7 Rivers Data'!$AZ$3:$AZ$7,MATCH(D49,'G-7 Rivers Data'!$AY$3:$AY$7,0)),"")</f>
        <v/>
      </c>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row>
    <row r="50" spans="3:40" ht="13.8" x14ac:dyDescent="0.25">
      <c r="C50" s="141">
        <v>41</v>
      </c>
      <c r="D50" s="462"/>
      <c r="E50" s="153"/>
      <c r="F50" s="498" t="str">
        <f>IF(D50="","",VLOOKUP(D50,'G-7 Rivers Data'!$B$2:$G$8,2,FALSE))</f>
        <v/>
      </c>
      <c r="G50" s="499" t="str">
        <f>IFERROR(VLOOKUP(F50,'G-7 Rivers Data'!$C$4:$D$8,2,FALSE),"")</f>
        <v/>
      </c>
      <c r="H50" s="145"/>
      <c r="I50" s="499" t="str">
        <f>IFERROR(INDEX('G-7 Rivers Data'!$H$4:$L$8,MATCH(D50,'G-7 Rivers Data'!$B$4:$B$8,0),MATCH(H50,'G-7 Rivers Data'!$H$3:$L$3,0)),"")</f>
        <v/>
      </c>
      <c r="J50" s="154"/>
      <c r="K50" s="520" t="str">
        <f>IF(J50="","",IF(VLOOKUP(J50,'G-7 Rivers Data'!$AK$4:$AM$9,2,FALSE)=0,"Spatial Data Missing ⚠",VLOOKUP(J50,'G-7 Rivers Data'!$AK$4:$AM$9,2,FALSE)))</f>
        <v/>
      </c>
      <c r="L50" s="524" t="str">
        <f>IF(J50="","",IF(VLOOKUP(J50,'G-7 Rivers Data'!$AK$4:$AM$9,3,FALSE)=0,"Spatial Data Missing ⚠",VLOOKUP(J50,'G-7 Rivers Data'!$AK$4:$AM$9,3,FALSE)))</f>
        <v/>
      </c>
      <c r="M50" s="71"/>
      <c r="N50" s="499" t="str">
        <f>IF(M50="","",IF(VLOOKUP(M50,'G-7 Rivers Data'!$AA$4:$AB$7,2,FALSE)=0,"Spatial Data Missing ⚠",VLOOKUP(M50,'G-7 Rivers Data'!$AA$4:$AB$7,2,FALSE)))</f>
        <v/>
      </c>
      <c r="O50" s="155"/>
      <c r="P50" s="499" t="str">
        <f>IF(O50="","",IF(VLOOKUP(O50,'G-7 Rivers Data'!$AD$4:$AE$8,2,FALSE)=0,"Spatial Data Missing ⚠",VLOOKUP(O50,'G-7 Rivers Data'!$AD$4:$AE$8,2,FALSE)))</f>
        <v/>
      </c>
      <c r="Q50" s="506" t="str">
        <f>IF(D50="","",VLOOKUP(D50,'G-7 Rivers Data'!$B$4:$G$8,6,FALSE))</f>
        <v/>
      </c>
      <c r="R50" s="513" t="str">
        <f t="shared" si="0"/>
        <v/>
      </c>
      <c r="S50" s="40"/>
      <c r="T50" s="145"/>
      <c r="U50" s="157"/>
      <c r="V50" s="511" t="str">
        <f t="shared" si="1"/>
        <v/>
      </c>
      <c r="W50" s="511" t="str">
        <f t="shared" si="2"/>
        <v/>
      </c>
      <c r="X50" s="511" t="str">
        <f t="shared" si="3"/>
        <v/>
      </c>
      <c r="Y50" s="515" t="str">
        <f t="shared" si="4"/>
        <v/>
      </c>
      <c r="Z50" s="151"/>
      <c r="AA50" s="152"/>
      <c r="AF50" s="31" t="str">
        <f>IFERROR(INDEX('G-7 Rivers Data'!$AZ$3:$AZ$7,MATCH(D50,'G-7 Rivers Data'!$AY$3:$AY$7,0)),"")</f>
        <v/>
      </c>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row>
    <row r="51" spans="3:40" ht="13.8" x14ac:dyDescent="0.25">
      <c r="C51" s="141">
        <v>42</v>
      </c>
      <c r="D51" s="462"/>
      <c r="E51" s="153"/>
      <c r="F51" s="498" t="str">
        <f>IF(D51="","",VLOOKUP(D51,'G-7 Rivers Data'!$B$2:$G$8,2,FALSE))</f>
        <v/>
      </c>
      <c r="G51" s="499" t="str">
        <f>IFERROR(VLOOKUP(F51,'G-7 Rivers Data'!$C$4:$D$8,2,FALSE),"")</f>
        <v/>
      </c>
      <c r="H51" s="145"/>
      <c r="I51" s="499" t="str">
        <f>IFERROR(INDEX('G-7 Rivers Data'!$H$4:$L$8,MATCH(D51,'G-7 Rivers Data'!$B$4:$B$8,0),MATCH(H51,'G-7 Rivers Data'!$H$3:$L$3,0)),"")</f>
        <v/>
      </c>
      <c r="J51" s="154"/>
      <c r="K51" s="520" t="str">
        <f>IF(J51="","",IF(VLOOKUP(J51,'G-7 Rivers Data'!$AK$4:$AM$9,2,FALSE)=0,"Spatial Data Missing ⚠",VLOOKUP(J51,'G-7 Rivers Data'!$AK$4:$AM$9,2,FALSE)))</f>
        <v/>
      </c>
      <c r="L51" s="524" t="str">
        <f>IF(J51="","",IF(VLOOKUP(J51,'G-7 Rivers Data'!$AK$4:$AM$9,3,FALSE)=0,"Spatial Data Missing ⚠",VLOOKUP(J51,'G-7 Rivers Data'!$AK$4:$AM$9,3,FALSE)))</f>
        <v/>
      </c>
      <c r="M51" s="71"/>
      <c r="N51" s="499" t="str">
        <f>IF(M51="","",IF(VLOOKUP(M51,'G-7 Rivers Data'!$AA$4:$AB$7,2,FALSE)=0,"Spatial Data Missing ⚠",VLOOKUP(M51,'G-7 Rivers Data'!$AA$4:$AB$7,2,FALSE)))</f>
        <v/>
      </c>
      <c r="O51" s="155"/>
      <c r="P51" s="499" t="str">
        <f>IF(O51="","",IF(VLOOKUP(O51,'G-7 Rivers Data'!$AD$4:$AE$8,2,FALSE)=0,"Spatial Data Missing ⚠",VLOOKUP(O51,'G-7 Rivers Data'!$AD$4:$AE$8,2,FALSE)))</f>
        <v/>
      </c>
      <c r="Q51" s="506" t="str">
        <f>IF(D51="","",VLOOKUP(D51,'G-7 Rivers Data'!$B$4:$G$8,6,FALSE))</f>
        <v/>
      </c>
      <c r="R51" s="513" t="str">
        <f t="shared" si="0"/>
        <v/>
      </c>
      <c r="S51" s="40"/>
      <c r="T51" s="145"/>
      <c r="U51" s="157"/>
      <c r="V51" s="511" t="str">
        <f t="shared" si="1"/>
        <v/>
      </c>
      <c r="W51" s="511" t="str">
        <f t="shared" si="2"/>
        <v/>
      </c>
      <c r="X51" s="511" t="str">
        <f t="shared" si="3"/>
        <v/>
      </c>
      <c r="Y51" s="515" t="str">
        <f t="shared" si="4"/>
        <v/>
      </c>
      <c r="Z51" s="151"/>
      <c r="AA51" s="152"/>
      <c r="AF51" s="31" t="str">
        <f>IFERROR(INDEX('G-7 Rivers Data'!$AZ$3:$AZ$7,MATCH(D51,'G-7 Rivers Data'!$AY$3:$AY$7,0)),"")</f>
        <v/>
      </c>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row>
    <row r="52" spans="3:40" ht="13.8" x14ac:dyDescent="0.25">
      <c r="C52" s="141">
        <v>43</v>
      </c>
      <c r="D52" s="462"/>
      <c r="E52" s="153"/>
      <c r="F52" s="498" t="str">
        <f>IF(D52="","",VLOOKUP(D52,'G-7 Rivers Data'!$B$2:$G$8,2,FALSE))</f>
        <v/>
      </c>
      <c r="G52" s="499" t="str">
        <f>IFERROR(VLOOKUP(F52,'G-7 Rivers Data'!$C$4:$D$8,2,FALSE),"")</f>
        <v/>
      </c>
      <c r="H52" s="145"/>
      <c r="I52" s="499" t="str">
        <f>IFERROR(INDEX('G-7 Rivers Data'!$H$4:$L$8,MATCH(D52,'G-7 Rivers Data'!$B$4:$B$8,0),MATCH(H52,'G-7 Rivers Data'!$H$3:$L$3,0)),"")</f>
        <v/>
      </c>
      <c r="J52" s="154"/>
      <c r="K52" s="520" t="str">
        <f>IF(J52="","",IF(VLOOKUP(J52,'G-7 Rivers Data'!$AK$4:$AM$9,2,FALSE)=0,"Spatial Data Missing ⚠",VLOOKUP(J52,'G-7 Rivers Data'!$AK$4:$AM$9,2,FALSE)))</f>
        <v/>
      </c>
      <c r="L52" s="524" t="str">
        <f>IF(J52="","",IF(VLOOKUP(J52,'G-7 Rivers Data'!$AK$4:$AM$9,3,FALSE)=0,"Spatial Data Missing ⚠",VLOOKUP(J52,'G-7 Rivers Data'!$AK$4:$AM$9,3,FALSE)))</f>
        <v/>
      </c>
      <c r="M52" s="71"/>
      <c r="N52" s="499" t="str">
        <f>IF(M52="","",IF(VLOOKUP(M52,'G-7 Rivers Data'!$AA$4:$AB$7,2,FALSE)=0,"Spatial Data Missing ⚠",VLOOKUP(M52,'G-7 Rivers Data'!$AA$4:$AB$7,2,FALSE)))</f>
        <v/>
      </c>
      <c r="O52" s="155"/>
      <c r="P52" s="499" t="str">
        <f>IF(O52="","",IF(VLOOKUP(O52,'G-7 Rivers Data'!$AD$4:$AE$8,2,FALSE)=0,"Spatial Data Missing ⚠",VLOOKUP(O52,'G-7 Rivers Data'!$AD$4:$AE$8,2,FALSE)))</f>
        <v/>
      </c>
      <c r="Q52" s="506" t="str">
        <f>IF(D52="","",VLOOKUP(D52,'G-7 Rivers Data'!$B$4:$G$8,6,FALSE))</f>
        <v/>
      </c>
      <c r="R52" s="513" t="str">
        <f t="shared" si="0"/>
        <v/>
      </c>
      <c r="S52" s="40"/>
      <c r="T52" s="145"/>
      <c r="U52" s="157"/>
      <c r="V52" s="511" t="str">
        <f t="shared" si="1"/>
        <v/>
      </c>
      <c r="W52" s="511" t="str">
        <f t="shared" si="2"/>
        <v/>
      </c>
      <c r="X52" s="511" t="str">
        <f t="shared" si="3"/>
        <v/>
      </c>
      <c r="Y52" s="515" t="str">
        <f t="shared" si="4"/>
        <v/>
      </c>
      <c r="Z52" s="151"/>
      <c r="AA52" s="152"/>
      <c r="AF52" s="31" t="str">
        <f>IFERROR(INDEX('G-7 Rivers Data'!$AZ$3:$AZ$7,MATCH(D52,'G-7 Rivers Data'!$AY$3:$AY$7,0)),"")</f>
        <v/>
      </c>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row>
    <row r="53" spans="3:40" ht="13.8" x14ac:dyDescent="0.25">
      <c r="C53" s="141">
        <v>44</v>
      </c>
      <c r="D53" s="462"/>
      <c r="E53" s="153"/>
      <c r="F53" s="498" t="str">
        <f>IF(D53="","",VLOOKUP(D53,'G-7 Rivers Data'!$B$2:$G$8,2,FALSE))</f>
        <v/>
      </c>
      <c r="G53" s="499" t="str">
        <f>IFERROR(VLOOKUP(F53,'G-7 Rivers Data'!$C$4:$D$8,2,FALSE),"")</f>
        <v/>
      </c>
      <c r="H53" s="145"/>
      <c r="I53" s="499" t="str">
        <f>IFERROR(INDEX('G-7 Rivers Data'!$H$4:$L$8,MATCH(D53,'G-7 Rivers Data'!$B$4:$B$8,0),MATCH(H53,'G-7 Rivers Data'!$H$3:$L$3,0)),"")</f>
        <v/>
      </c>
      <c r="J53" s="154"/>
      <c r="K53" s="520" t="str">
        <f>IF(J53="","",IF(VLOOKUP(J53,'G-7 Rivers Data'!$AK$4:$AM$9,2,FALSE)=0,"Spatial Data Missing ⚠",VLOOKUP(J53,'G-7 Rivers Data'!$AK$4:$AM$9,2,FALSE)))</f>
        <v/>
      </c>
      <c r="L53" s="524" t="str">
        <f>IF(J53="","",IF(VLOOKUP(J53,'G-7 Rivers Data'!$AK$4:$AM$9,3,FALSE)=0,"Spatial Data Missing ⚠",VLOOKUP(J53,'G-7 Rivers Data'!$AK$4:$AM$9,3,FALSE)))</f>
        <v/>
      </c>
      <c r="M53" s="71"/>
      <c r="N53" s="499" t="str">
        <f>IF(M53="","",IF(VLOOKUP(M53,'G-7 Rivers Data'!$AA$4:$AB$7,2,FALSE)=0,"Spatial Data Missing ⚠",VLOOKUP(M53,'G-7 Rivers Data'!$AA$4:$AB$7,2,FALSE)))</f>
        <v/>
      </c>
      <c r="O53" s="155"/>
      <c r="P53" s="499" t="str">
        <f>IF(O53="","",IF(VLOOKUP(O53,'G-7 Rivers Data'!$AD$4:$AE$8,2,FALSE)=0,"Spatial Data Missing ⚠",VLOOKUP(O53,'G-7 Rivers Data'!$AD$4:$AE$8,2,FALSE)))</f>
        <v/>
      </c>
      <c r="Q53" s="506" t="str">
        <f>IF(D53="","",VLOOKUP(D53,'G-7 Rivers Data'!$B$4:$G$8,6,FALSE))</f>
        <v/>
      </c>
      <c r="R53" s="513" t="str">
        <f t="shared" si="0"/>
        <v/>
      </c>
      <c r="S53" s="40"/>
      <c r="T53" s="145"/>
      <c r="U53" s="157"/>
      <c r="V53" s="511" t="str">
        <f t="shared" si="1"/>
        <v/>
      </c>
      <c r="W53" s="511" t="str">
        <f t="shared" si="2"/>
        <v/>
      </c>
      <c r="X53" s="511" t="str">
        <f t="shared" si="3"/>
        <v/>
      </c>
      <c r="Y53" s="515" t="str">
        <f t="shared" si="4"/>
        <v/>
      </c>
      <c r="Z53" s="151"/>
      <c r="AA53" s="152"/>
      <c r="AF53" s="31" t="str">
        <f>IFERROR(INDEX('G-7 Rivers Data'!$AZ$3:$AZ$7,MATCH(D53,'G-7 Rivers Data'!$AY$3:$AY$7,0)),"")</f>
        <v/>
      </c>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row>
    <row r="54" spans="3:40" ht="13.8" x14ac:dyDescent="0.25">
      <c r="C54" s="141">
        <v>45</v>
      </c>
      <c r="D54" s="462"/>
      <c r="E54" s="153"/>
      <c r="F54" s="498" t="str">
        <f>IF(D54="","",VLOOKUP(D54,'G-7 Rivers Data'!$B$2:$G$8,2,FALSE))</f>
        <v/>
      </c>
      <c r="G54" s="499" t="str">
        <f>IFERROR(VLOOKUP(F54,'G-7 Rivers Data'!$C$4:$D$8,2,FALSE),"")</f>
        <v/>
      </c>
      <c r="H54" s="145"/>
      <c r="I54" s="499" t="str">
        <f>IFERROR(INDEX('G-7 Rivers Data'!$H$4:$L$8,MATCH(D54,'G-7 Rivers Data'!$B$4:$B$8,0),MATCH(H54,'G-7 Rivers Data'!$H$3:$L$3,0)),"")</f>
        <v/>
      </c>
      <c r="J54" s="154"/>
      <c r="K54" s="520" t="str">
        <f>IF(J54="","",IF(VLOOKUP(J54,'G-7 Rivers Data'!$AK$4:$AM$9,2,FALSE)=0,"Spatial Data Missing ⚠",VLOOKUP(J54,'G-7 Rivers Data'!$AK$4:$AM$9,2,FALSE)))</f>
        <v/>
      </c>
      <c r="L54" s="524" t="str">
        <f>IF(J54="","",IF(VLOOKUP(J54,'G-7 Rivers Data'!$AK$4:$AM$9,3,FALSE)=0,"Spatial Data Missing ⚠",VLOOKUP(J54,'G-7 Rivers Data'!$AK$4:$AM$9,3,FALSE)))</f>
        <v/>
      </c>
      <c r="M54" s="71"/>
      <c r="N54" s="499" t="str">
        <f>IF(M54="","",IF(VLOOKUP(M54,'G-7 Rivers Data'!$AA$4:$AB$7,2,FALSE)=0,"Spatial Data Missing ⚠",VLOOKUP(M54,'G-7 Rivers Data'!$AA$4:$AB$7,2,FALSE)))</f>
        <v/>
      </c>
      <c r="O54" s="155"/>
      <c r="P54" s="499" t="str">
        <f>IF(O54="","",IF(VLOOKUP(O54,'G-7 Rivers Data'!$AD$4:$AE$8,2,FALSE)=0,"Spatial Data Missing ⚠",VLOOKUP(O54,'G-7 Rivers Data'!$AD$4:$AE$8,2,FALSE)))</f>
        <v/>
      </c>
      <c r="Q54" s="506" t="str">
        <f>IF(D54="","",VLOOKUP(D54,'G-7 Rivers Data'!$B$4:$G$8,6,FALSE))</f>
        <v/>
      </c>
      <c r="R54" s="513" t="str">
        <f t="shared" si="0"/>
        <v/>
      </c>
      <c r="S54" s="40"/>
      <c r="T54" s="145"/>
      <c r="U54" s="157"/>
      <c r="V54" s="511" t="str">
        <f t="shared" si="1"/>
        <v/>
      </c>
      <c r="W54" s="511" t="str">
        <f t="shared" si="2"/>
        <v/>
      </c>
      <c r="X54" s="511" t="str">
        <f t="shared" si="3"/>
        <v/>
      </c>
      <c r="Y54" s="515" t="str">
        <f t="shared" si="4"/>
        <v/>
      </c>
      <c r="Z54" s="151"/>
      <c r="AA54" s="152"/>
      <c r="AF54" s="31" t="str">
        <f>IFERROR(INDEX('G-7 Rivers Data'!$AZ$3:$AZ$7,MATCH(D54,'G-7 Rivers Data'!$AY$3:$AY$7,0)),"")</f>
        <v/>
      </c>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row>
    <row r="55" spans="3:40" ht="13.8" x14ac:dyDescent="0.25">
      <c r="C55" s="141">
        <v>46</v>
      </c>
      <c r="D55" s="462"/>
      <c r="E55" s="153"/>
      <c r="F55" s="498" t="str">
        <f>IF(D55="","",VLOOKUP(D55,'G-7 Rivers Data'!$B$2:$G$8,2,FALSE))</f>
        <v/>
      </c>
      <c r="G55" s="499" t="str">
        <f>IFERROR(VLOOKUP(F55,'G-7 Rivers Data'!$C$4:$D$8,2,FALSE),"")</f>
        <v/>
      </c>
      <c r="H55" s="145"/>
      <c r="I55" s="499" t="str">
        <f>IFERROR(INDEX('G-7 Rivers Data'!$H$4:$L$8,MATCH(D55,'G-7 Rivers Data'!$B$4:$B$8,0),MATCH(H55,'G-7 Rivers Data'!$H$3:$L$3,0)),"")</f>
        <v/>
      </c>
      <c r="J55" s="154"/>
      <c r="K55" s="520" t="str">
        <f>IF(J55="","",IF(VLOOKUP(J55,'G-7 Rivers Data'!$AK$4:$AM$9,2,FALSE)=0,"Spatial Data Missing ⚠",VLOOKUP(J55,'G-7 Rivers Data'!$AK$4:$AM$9,2,FALSE)))</f>
        <v/>
      </c>
      <c r="L55" s="524" t="str">
        <f>IF(J55="","",IF(VLOOKUP(J55,'G-7 Rivers Data'!$AK$4:$AM$9,3,FALSE)=0,"Spatial Data Missing ⚠",VLOOKUP(J55,'G-7 Rivers Data'!$AK$4:$AM$9,3,FALSE)))</f>
        <v/>
      </c>
      <c r="M55" s="71"/>
      <c r="N55" s="499" t="str">
        <f>IF(M55="","",IF(VLOOKUP(M55,'G-7 Rivers Data'!$AA$4:$AB$7,2,FALSE)=0,"Spatial Data Missing ⚠",VLOOKUP(M55,'G-7 Rivers Data'!$AA$4:$AB$7,2,FALSE)))</f>
        <v/>
      </c>
      <c r="O55" s="155"/>
      <c r="P55" s="499" t="str">
        <f>IF(O55="","",IF(VLOOKUP(O55,'G-7 Rivers Data'!$AD$4:$AE$8,2,FALSE)=0,"Spatial Data Missing ⚠",VLOOKUP(O55,'G-7 Rivers Data'!$AD$4:$AE$8,2,FALSE)))</f>
        <v/>
      </c>
      <c r="Q55" s="506" t="str">
        <f>IF(D55="","",VLOOKUP(D55,'G-7 Rivers Data'!$B$4:$G$8,6,FALSE))</f>
        <v/>
      </c>
      <c r="R55" s="513" t="str">
        <f t="shared" si="0"/>
        <v/>
      </c>
      <c r="S55" s="40"/>
      <c r="T55" s="145"/>
      <c r="U55" s="157"/>
      <c r="V55" s="511" t="str">
        <f t="shared" si="1"/>
        <v/>
      </c>
      <c r="W55" s="511" t="str">
        <f t="shared" si="2"/>
        <v/>
      </c>
      <c r="X55" s="511" t="str">
        <f t="shared" si="3"/>
        <v/>
      </c>
      <c r="Y55" s="515" t="str">
        <f t="shared" si="4"/>
        <v/>
      </c>
      <c r="Z55" s="151"/>
      <c r="AA55" s="152"/>
      <c r="AF55" s="31" t="str">
        <f>IFERROR(INDEX('G-7 Rivers Data'!$AZ$3:$AZ$7,MATCH(D55,'G-7 Rivers Data'!$AY$3:$AY$7,0)),"")</f>
        <v/>
      </c>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row>
    <row r="56" spans="3:40" ht="13.8" x14ac:dyDescent="0.25">
      <c r="C56" s="141">
        <v>47</v>
      </c>
      <c r="D56" s="462"/>
      <c r="E56" s="153"/>
      <c r="F56" s="498" t="str">
        <f>IF(D56="","",VLOOKUP(D56,'G-7 Rivers Data'!$B$2:$G$8,2,FALSE))</f>
        <v/>
      </c>
      <c r="G56" s="499" t="str">
        <f>IFERROR(VLOOKUP(F56,'G-7 Rivers Data'!$C$4:$D$8,2,FALSE),"")</f>
        <v/>
      </c>
      <c r="H56" s="145"/>
      <c r="I56" s="499" t="str">
        <f>IFERROR(INDEX('G-7 Rivers Data'!$H$4:$L$8,MATCH(D56,'G-7 Rivers Data'!$B$4:$B$8,0),MATCH(H56,'G-7 Rivers Data'!$H$3:$L$3,0)),"")</f>
        <v/>
      </c>
      <c r="J56" s="154"/>
      <c r="K56" s="520" t="str">
        <f>IF(J56="","",IF(VLOOKUP(J56,'G-7 Rivers Data'!$AK$4:$AM$9,2,FALSE)=0,"Spatial Data Missing ⚠",VLOOKUP(J56,'G-7 Rivers Data'!$AK$4:$AM$9,2,FALSE)))</f>
        <v/>
      </c>
      <c r="L56" s="524" t="str">
        <f>IF(J56="","",IF(VLOOKUP(J56,'G-7 Rivers Data'!$AK$4:$AM$9,3,FALSE)=0,"Spatial Data Missing ⚠",VLOOKUP(J56,'G-7 Rivers Data'!$AK$4:$AM$9,3,FALSE)))</f>
        <v/>
      </c>
      <c r="M56" s="71"/>
      <c r="N56" s="499" t="str">
        <f>IF(M56="","",IF(VLOOKUP(M56,'G-7 Rivers Data'!$AA$4:$AB$7,2,FALSE)=0,"Spatial Data Missing ⚠",VLOOKUP(M56,'G-7 Rivers Data'!$AA$4:$AB$7,2,FALSE)))</f>
        <v/>
      </c>
      <c r="O56" s="155"/>
      <c r="P56" s="499" t="str">
        <f>IF(O56="","",IF(VLOOKUP(O56,'G-7 Rivers Data'!$AD$4:$AE$8,2,FALSE)=0,"Spatial Data Missing ⚠",VLOOKUP(O56,'G-7 Rivers Data'!$AD$4:$AE$8,2,FALSE)))</f>
        <v/>
      </c>
      <c r="Q56" s="506" t="str">
        <f>IF(D56="","",VLOOKUP(D56,'G-7 Rivers Data'!$B$4:$G$8,6,FALSE))</f>
        <v/>
      </c>
      <c r="R56" s="513" t="str">
        <f t="shared" si="0"/>
        <v/>
      </c>
      <c r="S56" s="40"/>
      <c r="T56" s="145"/>
      <c r="U56" s="157"/>
      <c r="V56" s="511" t="str">
        <f t="shared" si="1"/>
        <v/>
      </c>
      <c r="W56" s="511" t="str">
        <f t="shared" si="2"/>
        <v/>
      </c>
      <c r="X56" s="511" t="str">
        <f t="shared" si="3"/>
        <v/>
      </c>
      <c r="Y56" s="515" t="str">
        <f t="shared" si="4"/>
        <v/>
      </c>
      <c r="Z56" s="151"/>
      <c r="AA56" s="152"/>
      <c r="AF56" s="31" t="str">
        <f>IFERROR(INDEX('G-7 Rivers Data'!$AZ$3:$AZ$7,MATCH(D56,'G-7 Rivers Data'!$AY$3:$AY$7,0)),"")</f>
        <v/>
      </c>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row>
    <row r="57" spans="3:40" ht="13.8" x14ac:dyDescent="0.25">
      <c r="C57" s="141">
        <v>48</v>
      </c>
      <c r="D57" s="462"/>
      <c r="E57" s="153"/>
      <c r="F57" s="498" t="str">
        <f>IF(D57="","",VLOOKUP(D57,'G-7 Rivers Data'!$B$2:$G$8,2,FALSE))</f>
        <v/>
      </c>
      <c r="G57" s="499" t="str">
        <f>IFERROR(VLOOKUP(F57,'G-7 Rivers Data'!$C$4:$D$8,2,FALSE),"")</f>
        <v/>
      </c>
      <c r="H57" s="145"/>
      <c r="I57" s="499" t="str">
        <f>IFERROR(INDEX('G-7 Rivers Data'!$H$4:$L$8,MATCH(D57,'G-7 Rivers Data'!$B$4:$B$8,0),MATCH(H57,'G-7 Rivers Data'!$H$3:$L$3,0)),"")</f>
        <v/>
      </c>
      <c r="J57" s="154"/>
      <c r="K57" s="520" t="str">
        <f>IF(J57="","",IF(VLOOKUP(J57,'G-7 Rivers Data'!$AK$4:$AM$9,2,FALSE)=0,"Spatial Data Missing ⚠",VLOOKUP(J57,'G-7 Rivers Data'!$AK$4:$AM$9,2,FALSE)))</f>
        <v/>
      </c>
      <c r="L57" s="524" t="str">
        <f>IF(J57="","",IF(VLOOKUP(J57,'G-7 Rivers Data'!$AK$4:$AM$9,3,FALSE)=0,"Spatial Data Missing ⚠",VLOOKUP(J57,'G-7 Rivers Data'!$AK$4:$AM$9,3,FALSE)))</f>
        <v/>
      </c>
      <c r="M57" s="71"/>
      <c r="N57" s="499" t="str">
        <f>IF(M57="","",IF(VLOOKUP(M57,'G-7 Rivers Data'!$AA$4:$AB$7,2,FALSE)=0,"Spatial Data Missing ⚠",VLOOKUP(M57,'G-7 Rivers Data'!$AA$4:$AB$7,2,FALSE)))</f>
        <v/>
      </c>
      <c r="O57" s="155"/>
      <c r="P57" s="499" t="str">
        <f>IF(O57="","",IF(VLOOKUP(O57,'G-7 Rivers Data'!$AD$4:$AE$8,2,FALSE)=0,"Spatial Data Missing ⚠",VLOOKUP(O57,'G-7 Rivers Data'!$AD$4:$AE$8,2,FALSE)))</f>
        <v/>
      </c>
      <c r="Q57" s="506" t="str">
        <f>IF(D57="","",VLOOKUP(D57,'G-7 Rivers Data'!$B$4:$G$8,6,FALSE))</f>
        <v/>
      </c>
      <c r="R57" s="513" t="str">
        <f t="shared" si="0"/>
        <v/>
      </c>
      <c r="S57" s="40"/>
      <c r="T57" s="145"/>
      <c r="U57" s="157"/>
      <c r="V57" s="511" t="str">
        <f t="shared" si="1"/>
        <v/>
      </c>
      <c r="W57" s="511" t="str">
        <f t="shared" si="2"/>
        <v/>
      </c>
      <c r="X57" s="511" t="str">
        <f t="shared" si="3"/>
        <v/>
      </c>
      <c r="Y57" s="515" t="str">
        <f t="shared" si="4"/>
        <v/>
      </c>
      <c r="Z57" s="151"/>
      <c r="AA57" s="152"/>
      <c r="AF57" s="31" t="str">
        <f>IFERROR(INDEX('G-7 Rivers Data'!$AZ$3:$AZ$7,MATCH(D57,'G-7 Rivers Data'!$AY$3:$AY$7,0)),"")</f>
        <v/>
      </c>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row>
    <row r="58" spans="3:40" ht="13.8" x14ac:dyDescent="0.25">
      <c r="C58" s="141">
        <v>49</v>
      </c>
      <c r="D58" s="462"/>
      <c r="E58" s="153"/>
      <c r="F58" s="498" t="str">
        <f>IF(D58="","",VLOOKUP(D58,'G-7 Rivers Data'!$B$2:$G$8,2,FALSE))</f>
        <v/>
      </c>
      <c r="G58" s="499" t="str">
        <f>IFERROR(VLOOKUP(F58,'G-7 Rivers Data'!$C$4:$D$8,2,FALSE),"")</f>
        <v/>
      </c>
      <c r="H58" s="145"/>
      <c r="I58" s="499" t="str">
        <f>IFERROR(INDEX('G-7 Rivers Data'!$H$4:$L$8,MATCH(D58,'G-7 Rivers Data'!$B$4:$B$8,0),MATCH(H58,'G-7 Rivers Data'!$H$3:$L$3,0)),"")</f>
        <v/>
      </c>
      <c r="J58" s="154"/>
      <c r="K58" s="520" t="str">
        <f>IF(J58="","",IF(VLOOKUP(J58,'G-7 Rivers Data'!$AK$4:$AM$9,2,FALSE)=0,"Spatial Data Missing ⚠",VLOOKUP(J58,'G-7 Rivers Data'!$AK$4:$AM$9,2,FALSE)))</f>
        <v/>
      </c>
      <c r="L58" s="524" t="str">
        <f>IF(J58="","",IF(VLOOKUP(J58,'G-7 Rivers Data'!$AK$4:$AM$9,3,FALSE)=0,"Spatial Data Missing ⚠",VLOOKUP(J58,'G-7 Rivers Data'!$AK$4:$AM$9,3,FALSE)))</f>
        <v/>
      </c>
      <c r="M58" s="71"/>
      <c r="N58" s="499" t="str">
        <f>IF(M58="","",IF(VLOOKUP(M58,'G-7 Rivers Data'!$AA$4:$AB$7,2,FALSE)=0,"Spatial Data Missing ⚠",VLOOKUP(M58,'G-7 Rivers Data'!$AA$4:$AB$7,2,FALSE)))</f>
        <v/>
      </c>
      <c r="O58" s="155"/>
      <c r="P58" s="499" t="str">
        <f>IF(O58="","",IF(VLOOKUP(O58,'G-7 Rivers Data'!$AD$4:$AE$8,2,FALSE)=0,"Spatial Data Missing ⚠",VLOOKUP(O58,'G-7 Rivers Data'!$AD$4:$AE$8,2,FALSE)))</f>
        <v/>
      </c>
      <c r="Q58" s="506" t="str">
        <f>IF(D58="","",VLOOKUP(D58,'G-7 Rivers Data'!$B$4:$G$8,6,FALSE))</f>
        <v/>
      </c>
      <c r="R58" s="513" t="str">
        <f t="shared" si="0"/>
        <v/>
      </c>
      <c r="S58" s="40"/>
      <c r="T58" s="145"/>
      <c r="U58" s="157"/>
      <c r="V58" s="511" t="str">
        <f t="shared" si="1"/>
        <v/>
      </c>
      <c r="W58" s="511" t="str">
        <f t="shared" si="2"/>
        <v/>
      </c>
      <c r="X58" s="511" t="str">
        <f t="shared" si="3"/>
        <v/>
      </c>
      <c r="Y58" s="515" t="str">
        <f t="shared" si="4"/>
        <v/>
      </c>
      <c r="Z58" s="151"/>
      <c r="AA58" s="152"/>
      <c r="AF58" s="31" t="str">
        <f>IFERROR(INDEX('G-7 Rivers Data'!$AZ$3:$AZ$7,MATCH(D58,'G-7 Rivers Data'!$AY$3:$AY$7,0)),"")</f>
        <v/>
      </c>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row>
    <row r="59" spans="3:40" ht="13.8" x14ac:dyDescent="0.25">
      <c r="C59" s="141">
        <v>50</v>
      </c>
      <c r="D59" s="462"/>
      <c r="E59" s="153"/>
      <c r="F59" s="498" t="str">
        <f>IF(D59="","",VLOOKUP(D59,'G-7 Rivers Data'!$B$2:$G$8,2,FALSE))</f>
        <v/>
      </c>
      <c r="G59" s="499" t="str">
        <f>IFERROR(VLOOKUP(F59,'G-7 Rivers Data'!$C$4:$D$8,2,FALSE),"")</f>
        <v/>
      </c>
      <c r="H59" s="145"/>
      <c r="I59" s="499" t="str">
        <f>IFERROR(INDEX('G-7 Rivers Data'!$H$4:$L$8,MATCH(D59,'G-7 Rivers Data'!$B$4:$B$8,0),MATCH(H59,'G-7 Rivers Data'!$H$3:$L$3,0)),"")</f>
        <v/>
      </c>
      <c r="J59" s="154"/>
      <c r="K59" s="520" t="str">
        <f>IF(J59="","",IF(VLOOKUP(J59,'G-7 Rivers Data'!$AK$4:$AM$9,2,FALSE)=0,"Spatial Data Missing ⚠",VLOOKUP(J59,'G-7 Rivers Data'!$AK$4:$AM$9,2,FALSE)))</f>
        <v/>
      </c>
      <c r="L59" s="524" t="str">
        <f>IF(J59="","",IF(VLOOKUP(J59,'G-7 Rivers Data'!$AK$4:$AM$9,3,FALSE)=0,"Spatial Data Missing ⚠",VLOOKUP(J59,'G-7 Rivers Data'!$AK$4:$AM$9,3,FALSE)))</f>
        <v/>
      </c>
      <c r="M59" s="71"/>
      <c r="N59" s="499" t="str">
        <f>IF(M59="","",IF(VLOOKUP(M59,'G-7 Rivers Data'!$AA$4:$AB$7,2,FALSE)=0,"Spatial Data Missing ⚠",VLOOKUP(M59,'G-7 Rivers Data'!$AA$4:$AB$7,2,FALSE)))</f>
        <v/>
      </c>
      <c r="O59" s="155"/>
      <c r="P59" s="499" t="str">
        <f>IF(O59="","",IF(VLOOKUP(O59,'G-7 Rivers Data'!$AD$4:$AE$8,2,FALSE)=0,"Spatial Data Missing ⚠",VLOOKUP(O59,'G-7 Rivers Data'!$AD$4:$AE$8,2,FALSE)))</f>
        <v/>
      </c>
      <c r="Q59" s="506" t="str">
        <f>IF(D59="","",VLOOKUP(D59,'G-7 Rivers Data'!$B$4:$G$8,6,FALSE))</f>
        <v/>
      </c>
      <c r="R59" s="513" t="str">
        <f t="shared" si="0"/>
        <v/>
      </c>
      <c r="S59" s="40"/>
      <c r="T59" s="145"/>
      <c r="U59" s="157"/>
      <c r="V59" s="511" t="str">
        <f t="shared" si="1"/>
        <v/>
      </c>
      <c r="W59" s="511" t="str">
        <f t="shared" si="2"/>
        <v/>
      </c>
      <c r="X59" s="511" t="str">
        <f t="shared" si="3"/>
        <v/>
      </c>
      <c r="Y59" s="515" t="str">
        <f t="shared" si="4"/>
        <v/>
      </c>
      <c r="Z59" s="151"/>
      <c r="AA59" s="152"/>
      <c r="AF59" s="31" t="str">
        <f>IFERROR(INDEX('G-7 Rivers Data'!$AZ$3:$AZ$7,MATCH(D59,'G-7 Rivers Data'!$AY$3:$AY$7,0)),"")</f>
        <v/>
      </c>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row>
    <row r="60" spans="3:40" ht="13.8" x14ac:dyDescent="0.25">
      <c r="C60" s="141">
        <v>51</v>
      </c>
      <c r="D60" s="462"/>
      <c r="E60" s="153"/>
      <c r="F60" s="498" t="str">
        <f>IF(D60="","",VLOOKUP(D60,'G-7 Rivers Data'!$B$2:$G$8,2,FALSE))</f>
        <v/>
      </c>
      <c r="G60" s="499" t="str">
        <f>IFERROR(VLOOKUP(F60,'G-7 Rivers Data'!$C$4:$D$8,2,FALSE),"")</f>
        <v/>
      </c>
      <c r="H60" s="145"/>
      <c r="I60" s="499" t="str">
        <f>IFERROR(INDEX('G-7 Rivers Data'!$H$4:$L$8,MATCH(D60,'G-7 Rivers Data'!$B$4:$B$8,0),MATCH(H60,'G-7 Rivers Data'!$H$3:$L$3,0)),"")</f>
        <v/>
      </c>
      <c r="J60" s="154"/>
      <c r="K60" s="520" t="str">
        <f>IF(J60="","",IF(VLOOKUP(J60,'G-7 Rivers Data'!$AK$4:$AM$9,2,FALSE)=0,"Spatial Data Missing ⚠",VLOOKUP(J60,'G-7 Rivers Data'!$AK$4:$AM$9,2,FALSE)))</f>
        <v/>
      </c>
      <c r="L60" s="524" t="str">
        <f>IF(J60="","",IF(VLOOKUP(J60,'G-7 Rivers Data'!$AK$4:$AM$9,3,FALSE)=0,"Spatial Data Missing ⚠",VLOOKUP(J60,'G-7 Rivers Data'!$AK$4:$AM$9,3,FALSE)))</f>
        <v/>
      </c>
      <c r="M60" s="71"/>
      <c r="N60" s="499" t="str">
        <f>IF(M60="","",IF(VLOOKUP(M60,'G-7 Rivers Data'!$AA$4:$AB$7,2,FALSE)=0,"Spatial Data Missing ⚠",VLOOKUP(M60,'G-7 Rivers Data'!$AA$4:$AB$7,2,FALSE)))</f>
        <v/>
      </c>
      <c r="O60" s="155"/>
      <c r="P60" s="499" t="str">
        <f>IF(O60="","",IF(VLOOKUP(O60,'G-7 Rivers Data'!$AD$4:$AE$8,2,FALSE)=0,"Spatial Data Missing ⚠",VLOOKUP(O60,'G-7 Rivers Data'!$AD$4:$AE$8,2,FALSE)))</f>
        <v/>
      </c>
      <c r="Q60" s="506" t="str">
        <f>IF(D60="","",VLOOKUP(D60,'G-7 Rivers Data'!$B$4:$G$8,6,FALSE))</f>
        <v/>
      </c>
      <c r="R60" s="513" t="str">
        <f t="shared" si="0"/>
        <v/>
      </c>
      <c r="S60" s="40"/>
      <c r="T60" s="145"/>
      <c r="U60" s="157"/>
      <c r="V60" s="511" t="str">
        <f t="shared" si="1"/>
        <v/>
      </c>
      <c r="W60" s="511" t="str">
        <f t="shared" si="2"/>
        <v/>
      </c>
      <c r="X60" s="511" t="str">
        <f t="shared" si="3"/>
        <v/>
      </c>
      <c r="Y60" s="515" t="str">
        <f t="shared" si="4"/>
        <v/>
      </c>
      <c r="Z60" s="151"/>
      <c r="AA60" s="152"/>
      <c r="AF60" s="31" t="str">
        <f>IFERROR(INDEX('G-7 Rivers Data'!$AZ$3:$AZ$7,MATCH(D60,'G-7 Rivers Data'!$AY$3:$AY$7,0)),"")</f>
        <v/>
      </c>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row>
    <row r="61" spans="3:40" ht="13.8" x14ac:dyDescent="0.25">
      <c r="C61" s="141">
        <v>52</v>
      </c>
      <c r="D61" s="462"/>
      <c r="E61" s="153"/>
      <c r="F61" s="498" t="str">
        <f>IF(D61="","",VLOOKUP(D61,'G-7 Rivers Data'!$B$2:$G$8,2,FALSE))</f>
        <v/>
      </c>
      <c r="G61" s="499" t="str">
        <f>IFERROR(VLOOKUP(F61,'G-7 Rivers Data'!$C$4:$D$8,2,FALSE),"")</f>
        <v/>
      </c>
      <c r="H61" s="145"/>
      <c r="I61" s="499" t="str">
        <f>IFERROR(INDEX('G-7 Rivers Data'!$H$4:$L$8,MATCH(D61,'G-7 Rivers Data'!$B$4:$B$8,0),MATCH(H61,'G-7 Rivers Data'!$H$3:$L$3,0)),"")</f>
        <v/>
      </c>
      <c r="J61" s="154"/>
      <c r="K61" s="520" t="str">
        <f>IF(J61="","",IF(VLOOKUP(J61,'G-7 Rivers Data'!$AK$4:$AM$9,2,FALSE)=0,"Spatial Data Missing ⚠",VLOOKUP(J61,'G-7 Rivers Data'!$AK$4:$AM$9,2,FALSE)))</f>
        <v/>
      </c>
      <c r="L61" s="524" t="str">
        <f>IF(J61="","",IF(VLOOKUP(J61,'G-7 Rivers Data'!$AK$4:$AM$9,3,FALSE)=0,"Spatial Data Missing ⚠",VLOOKUP(J61,'G-7 Rivers Data'!$AK$4:$AM$9,3,FALSE)))</f>
        <v/>
      </c>
      <c r="M61" s="71"/>
      <c r="N61" s="499" t="str">
        <f>IF(M61="","",IF(VLOOKUP(M61,'G-7 Rivers Data'!$AA$4:$AB$7,2,FALSE)=0,"Spatial Data Missing ⚠",VLOOKUP(M61,'G-7 Rivers Data'!$AA$4:$AB$7,2,FALSE)))</f>
        <v/>
      </c>
      <c r="O61" s="155"/>
      <c r="P61" s="499" t="str">
        <f>IF(O61="","",IF(VLOOKUP(O61,'G-7 Rivers Data'!$AD$4:$AE$8,2,FALSE)=0,"Spatial Data Missing ⚠",VLOOKUP(O61,'G-7 Rivers Data'!$AD$4:$AE$8,2,FALSE)))</f>
        <v/>
      </c>
      <c r="Q61" s="506" t="str">
        <f>IF(D61="","",VLOOKUP(D61,'G-7 Rivers Data'!$B$4:$G$8,6,FALSE))</f>
        <v/>
      </c>
      <c r="R61" s="513" t="str">
        <f t="shared" si="0"/>
        <v/>
      </c>
      <c r="S61" s="40"/>
      <c r="T61" s="145"/>
      <c r="U61" s="157"/>
      <c r="V61" s="511" t="str">
        <f t="shared" si="1"/>
        <v/>
      </c>
      <c r="W61" s="511" t="str">
        <f t="shared" si="2"/>
        <v/>
      </c>
      <c r="X61" s="511" t="str">
        <f t="shared" si="3"/>
        <v/>
      </c>
      <c r="Y61" s="515" t="str">
        <f t="shared" si="4"/>
        <v/>
      </c>
      <c r="Z61" s="151"/>
      <c r="AA61" s="152"/>
      <c r="AF61" s="31" t="str">
        <f>IFERROR(INDEX('G-7 Rivers Data'!$AZ$3:$AZ$7,MATCH(D61,'G-7 Rivers Data'!$AY$3:$AY$7,0)),"")</f>
        <v/>
      </c>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row>
    <row r="62" spans="3:40" ht="13.8" x14ac:dyDescent="0.25">
      <c r="C62" s="141">
        <v>53</v>
      </c>
      <c r="D62" s="462"/>
      <c r="E62" s="153"/>
      <c r="F62" s="498" t="str">
        <f>IF(D62="","",VLOOKUP(D62,'G-7 Rivers Data'!$B$2:$G$8,2,FALSE))</f>
        <v/>
      </c>
      <c r="G62" s="499" t="str">
        <f>IFERROR(VLOOKUP(F62,'G-7 Rivers Data'!$C$4:$D$8,2,FALSE),"")</f>
        <v/>
      </c>
      <c r="H62" s="145"/>
      <c r="I62" s="499" t="str">
        <f>IFERROR(INDEX('G-7 Rivers Data'!$H$4:$L$8,MATCH(D62,'G-7 Rivers Data'!$B$4:$B$8,0),MATCH(H62,'G-7 Rivers Data'!$H$3:$L$3,0)),"")</f>
        <v/>
      </c>
      <c r="J62" s="154"/>
      <c r="K62" s="520" t="str">
        <f>IF(J62="","",IF(VLOOKUP(J62,'G-7 Rivers Data'!$AK$4:$AM$9,2,FALSE)=0,"Spatial Data Missing ⚠",VLOOKUP(J62,'G-7 Rivers Data'!$AK$4:$AM$9,2,FALSE)))</f>
        <v/>
      </c>
      <c r="L62" s="524" t="str">
        <f>IF(J62="","",IF(VLOOKUP(J62,'G-7 Rivers Data'!$AK$4:$AM$9,3,FALSE)=0,"Spatial Data Missing ⚠",VLOOKUP(J62,'G-7 Rivers Data'!$AK$4:$AM$9,3,FALSE)))</f>
        <v/>
      </c>
      <c r="M62" s="71"/>
      <c r="N62" s="499" t="str">
        <f>IF(M62="","",IF(VLOOKUP(M62,'G-7 Rivers Data'!$AA$4:$AB$7,2,FALSE)=0,"Spatial Data Missing ⚠",VLOOKUP(M62,'G-7 Rivers Data'!$AA$4:$AB$7,2,FALSE)))</f>
        <v/>
      </c>
      <c r="O62" s="155"/>
      <c r="P62" s="499" t="str">
        <f>IF(O62="","",IF(VLOOKUP(O62,'G-7 Rivers Data'!$AD$4:$AE$8,2,FALSE)=0,"Spatial Data Missing ⚠",VLOOKUP(O62,'G-7 Rivers Data'!$AD$4:$AE$8,2,FALSE)))</f>
        <v/>
      </c>
      <c r="Q62" s="506" t="str">
        <f>IF(D62="","",VLOOKUP(D62,'G-7 Rivers Data'!$B$4:$G$8,6,FALSE))</f>
        <v/>
      </c>
      <c r="R62" s="513" t="str">
        <f t="shared" si="0"/>
        <v/>
      </c>
      <c r="S62" s="40"/>
      <c r="T62" s="145"/>
      <c r="U62" s="157"/>
      <c r="V62" s="511" t="str">
        <f t="shared" si="1"/>
        <v/>
      </c>
      <c r="W62" s="511" t="str">
        <f t="shared" si="2"/>
        <v/>
      </c>
      <c r="X62" s="511" t="str">
        <f t="shared" si="3"/>
        <v/>
      </c>
      <c r="Y62" s="515" t="str">
        <f t="shared" si="4"/>
        <v/>
      </c>
      <c r="Z62" s="151"/>
      <c r="AA62" s="152"/>
      <c r="AF62" s="31" t="str">
        <f>IFERROR(INDEX('G-7 Rivers Data'!$AZ$3:$AZ$7,MATCH(D62,'G-7 Rivers Data'!$AY$3:$AY$7,0)),"")</f>
        <v/>
      </c>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row>
    <row r="63" spans="3:40" ht="13.8" x14ac:dyDescent="0.25">
      <c r="C63" s="141">
        <v>54</v>
      </c>
      <c r="D63" s="462"/>
      <c r="E63" s="153"/>
      <c r="F63" s="498" t="str">
        <f>IF(D63="","",VLOOKUP(D63,'G-7 Rivers Data'!$B$2:$G$8,2,FALSE))</f>
        <v/>
      </c>
      <c r="G63" s="499" t="str">
        <f>IFERROR(VLOOKUP(F63,'G-7 Rivers Data'!$C$4:$D$8,2,FALSE),"")</f>
        <v/>
      </c>
      <c r="H63" s="145"/>
      <c r="I63" s="499" t="str">
        <f>IFERROR(INDEX('G-7 Rivers Data'!$H$4:$L$8,MATCH(D63,'G-7 Rivers Data'!$B$4:$B$8,0),MATCH(H63,'G-7 Rivers Data'!$H$3:$L$3,0)),"")</f>
        <v/>
      </c>
      <c r="J63" s="154"/>
      <c r="K63" s="520" t="str">
        <f>IF(J63="","",IF(VLOOKUP(J63,'G-7 Rivers Data'!$AK$4:$AM$9,2,FALSE)=0,"Spatial Data Missing ⚠",VLOOKUP(J63,'G-7 Rivers Data'!$AK$4:$AM$9,2,FALSE)))</f>
        <v/>
      </c>
      <c r="L63" s="524" t="str">
        <f>IF(J63="","",IF(VLOOKUP(J63,'G-7 Rivers Data'!$AK$4:$AM$9,3,FALSE)=0,"Spatial Data Missing ⚠",VLOOKUP(J63,'G-7 Rivers Data'!$AK$4:$AM$9,3,FALSE)))</f>
        <v/>
      </c>
      <c r="M63" s="71"/>
      <c r="N63" s="499" t="str">
        <f>IF(M63="","",IF(VLOOKUP(M63,'G-7 Rivers Data'!$AA$4:$AB$7,2,FALSE)=0,"Spatial Data Missing ⚠",VLOOKUP(M63,'G-7 Rivers Data'!$AA$4:$AB$7,2,FALSE)))</f>
        <v/>
      </c>
      <c r="O63" s="155"/>
      <c r="P63" s="499" t="str">
        <f>IF(O63="","",IF(VLOOKUP(O63,'G-7 Rivers Data'!$AD$4:$AE$8,2,FALSE)=0,"Spatial Data Missing ⚠",VLOOKUP(O63,'G-7 Rivers Data'!$AD$4:$AE$8,2,FALSE)))</f>
        <v/>
      </c>
      <c r="Q63" s="506" t="str">
        <f>IF(D63="","",VLOOKUP(D63,'G-7 Rivers Data'!$B$4:$G$8,6,FALSE))</f>
        <v/>
      </c>
      <c r="R63" s="513" t="str">
        <f t="shared" si="0"/>
        <v/>
      </c>
      <c r="S63" s="40"/>
      <c r="T63" s="145"/>
      <c r="U63" s="157"/>
      <c r="V63" s="511" t="str">
        <f t="shared" si="1"/>
        <v/>
      </c>
      <c r="W63" s="511" t="str">
        <f t="shared" si="2"/>
        <v/>
      </c>
      <c r="X63" s="511" t="str">
        <f t="shared" si="3"/>
        <v/>
      </c>
      <c r="Y63" s="515" t="str">
        <f t="shared" si="4"/>
        <v/>
      </c>
      <c r="Z63" s="151"/>
      <c r="AA63" s="152"/>
      <c r="AF63" s="31" t="str">
        <f>IFERROR(INDEX('G-7 Rivers Data'!$AZ$3:$AZ$7,MATCH(D63,'G-7 Rivers Data'!$AY$3:$AY$7,0)),"")</f>
        <v/>
      </c>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row>
    <row r="64" spans="3:40" ht="13.8" x14ac:dyDescent="0.25">
      <c r="C64" s="141">
        <v>55</v>
      </c>
      <c r="D64" s="462"/>
      <c r="E64" s="153"/>
      <c r="F64" s="498" t="str">
        <f>IF(D64="","",VLOOKUP(D64,'G-7 Rivers Data'!$B$2:$G$8,2,FALSE))</f>
        <v/>
      </c>
      <c r="G64" s="499" t="str">
        <f>IFERROR(VLOOKUP(F64,'G-7 Rivers Data'!$C$4:$D$8,2,FALSE),"")</f>
        <v/>
      </c>
      <c r="H64" s="145"/>
      <c r="I64" s="499" t="str">
        <f>IFERROR(INDEX('G-7 Rivers Data'!$H$4:$L$8,MATCH(D64,'G-7 Rivers Data'!$B$4:$B$8,0),MATCH(H64,'G-7 Rivers Data'!$H$3:$L$3,0)),"")</f>
        <v/>
      </c>
      <c r="J64" s="154"/>
      <c r="K64" s="520" t="str">
        <f>IF(J64="","",IF(VLOOKUP(J64,'G-7 Rivers Data'!$AK$4:$AM$9,2,FALSE)=0,"Spatial Data Missing ⚠",VLOOKUP(J64,'G-7 Rivers Data'!$AK$4:$AM$9,2,FALSE)))</f>
        <v/>
      </c>
      <c r="L64" s="524" t="str">
        <f>IF(J64="","",IF(VLOOKUP(J64,'G-7 Rivers Data'!$AK$4:$AM$9,3,FALSE)=0,"Spatial Data Missing ⚠",VLOOKUP(J64,'G-7 Rivers Data'!$AK$4:$AM$9,3,FALSE)))</f>
        <v/>
      </c>
      <c r="M64" s="71"/>
      <c r="N64" s="499" t="str">
        <f>IF(M64="","",IF(VLOOKUP(M64,'G-7 Rivers Data'!$AA$4:$AB$7,2,FALSE)=0,"Spatial Data Missing ⚠",VLOOKUP(M64,'G-7 Rivers Data'!$AA$4:$AB$7,2,FALSE)))</f>
        <v/>
      </c>
      <c r="O64" s="155"/>
      <c r="P64" s="499" t="str">
        <f>IF(O64="","",IF(VLOOKUP(O64,'G-7 Rivers Data'!$AD$4:$AE$8,2,FALSE)=0,"Spatial Data Missing ⚠",VLOOKUP(O64,'G-7 Rivers Data'!$AD$4:$AE$8,2,FALSE)))</f>
        <v/>
      </c>
      <c r="Q64" s="506" t="str">
        <f>IF(D64="","",VLOOKUP(D64,'G-7 Rivers Data'!$B$4:$G$8,6,FALSE))</f>
        <v/>
      </c>
      <c r="R64" s="513" t="str">
        <f t="shared" si="0"/>
        <v/>
      </c>
      <c r="S64" s="40"/>
      <c r="T64" s="145"/>
      <c r="U64" s="157"/>
      <c r="V64" s="511" t="str">
        <f t="shared" si="1"/>
        <v/>
      </c>
      <c r="W64" s="511" t="str">
        <f t="shared" si="2"/>
        <v/>
      </c>
      <c r="X64" s="511" t="str">
        <f t="shared" si="3"/>
        <v/>
      </c>
      <c r="Y64" s="515" t="str">
        <f t="shared" si="4"/>
        <v/>
      </c>
      <c r="Z64" s="151"/>
      <c r="AA64" s="152"/>
      <c r="AF64" s="31" t="str">
        <f>IFERROR(INDEX('G-7 Rivers Data'!$AZ$3:$AZ$7,MATCH(D64,'G-7 Rivers Data'!$AY$3:$AY$7,0)),"")</f>
        <v/>
      </c>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row>
    <row r="65" spans="3:40" ht="13.8" x14ac:dyDescent="0.25">
      <c r="C65" s="141">
        <v>56</v>
      </c>
      <c r="D65" s="462"/>
      <c r="E65" s="153"/>
      <c r="F65" s="498" t="str">
        <f>IF(D65="","",VLOOKUP(D65,'G-7 Rivers Data'!$B$2:$G$8,2,FALSE))</f>
        <v/>
      </c>
      <c r="G65" s="499" t="str">
        <f>IFERROR(VLOOKUP(F65,'G-7 Rivers Data'!$C$4:$D$8,2,FALSE),"")</f>
        <v/>
      </c>
      <c r="H65" s="145"/>
      <c r="I65" s="499" t="str">
        <f>IFERROR(INDEX('G-7 Rivers Data'!$H$4:$L$8,MATCH(D65,'G-7 Rivers Data'!$B$4:$B$8,0),MATCH(H65,'G-7 Rivers Data'!$H$3:$L$3,0)),"")</f>
        <v/>
      </c>
      <c r="J65" s="154"/>
      <c r="K65" s="520" t="str">
        <f>IF(J65="","",IF(VLOOKUP(J65,'G-7 Rivers Data'!$AK$4:$AM$9,2,FALSE)=0,"Spatial Data Missing ⚠",VLOOKUP(J65,'G-7 Rivers Data'!$AK$4:$AM$9,2,FALSE)))</f>
        <v/>
      </c>
      <c r="L65" s="524" t="str">
        <f>IF(J65="","",IF(VLOOKUP(J65,'G-7 Rivers Data'!$AK$4:$AM$9,3,FALSE)=0,"Spatial Data Missing ⚠",VLOOKUP(J65,'G-7 Rivers Data'!$AK$4:$AM$9,3,FALSE)))</f>
        <v/>
      </c>
      <c r="M65" s="71"/>
      <c r="N65" s="499" t="str">
        <f>IF(M65="","",IF(VLOOKUP(M65,'G-7 Rivers Data'!$AA$4:$AB$7,2,FALSE)=0,"Spatial Data Missing ⚠",VLOOKUP(M65,'G-7 Rivers Data'!$AA$4:$AB$7,2,FALSE)))</f>
        <v/>
      </c>
      <c r="O65" s="155"/>
      <c r="P65" s="499" t="str">
        <f>IF(O65="","",IF(VLOOKUP(O65,'G-7 Rivers Data'!$AD$4:$AE$8,2,FALSE)=0,"Spatial Data Missing ⚠",VLOOKUP(O65,'G-7 Rivers Data'!$AD$4:$AE$8,2,FALSE)))</f>
        <v/>
      </c>
      <c r="Q65" s="506" t="str">
        <f>IF(D65="","",VLOOKUP(D65,'G-7 Rivers Data'!$B$4:$G$8,6,FALSE))</f>
        <v/>
      </c>
      <c r="R65" s="513" t="str">
        <f t="shared" si="0"/>
        <v/>
      </c>
      <c r="S65" s="40"/>
      <c r="T65" s="145"/>
      <c r="U65" s="157"/>
      <c r="V65" s="511" t="str">
        <f t="shared" si="1"/>
        <v/>
      </c>
      <c r="W65" s="511" t="str">
        <f t="shared" si="2"/>
        <v/>
      </c>
      <c r="X65" s="511" t="str">
        <f t="shared" si="3"/>
        <v/>
      </c>
      <c r="Y65" s="515" t="str">
        <f t="shared" si="4"/>
        <v/>
      </c>
      <c r="Z65" s="151"/>
      <c r="AA65" s="152"/>
      <c r="AF65" s="31" t="str">
        <f>IFERROR(INDEX('G-7 Rivers Data'!$AZ$3:$AZ$7,MATCH(D65,'G-7 Rivers Data'!$AY$3:$AY$7,0)),"")</f>
        <v/>
      </c>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row>
    <row r="66" spans="3:40" ht="13.8" x14ac:dyDescent="0.25">
      <c r="C66" s="141">
        <v>57</v>
      </c>
      <c r="D66" s="462"/>
      <c r="E66" s="153"/>
      <c r="F66" s="498" t="str">
        <f>IF(D66="","",VLOOKUP(D66,'G-7 Rivers Data'!$B$2:$G$8,2,FALSE))</f>
        <v/>
      </c>
      <c r="G66" s="499" t="str">
        <f>IFERROR(VLOOKUP(F66,'G-7 Rivers Data'!$C$4:$D$8,2,FALSE),"")</f>
        <v/>
      </c>
      <c r="H66" s="145"/>
      <c r="I66" s="499" t="str">
        <f>IFERROR(INDEX('G-7 Rivers Data'!$H$4:$L$8,MATCH(D66,'G-7 Rivers Data'!$B$4:$B$8,0),MATCH(H66,'G-7 Rivers Data'!$H$3:$L$3,0)),"")</f>
        <v/>
      </c>
      <c r="J66" s="154"/>
      <c r="K66" s="520" t="str">
        <f>IF(J66="","",IF(VLOOKUP(J66,'G-7 Rivers Data'!$AK$4:$AM$9,2,FALSE)=0,"Spatial Data Missing ⚠",VLOOKUP(J66,'G-7 Rivers Data'!$AK$4:$AM$9,2,FALSE)))</f>
        <v/>
      </c>
      <c r="L66" s="524" t="str">
        <f>IF(J66="","",IF(VLOOKUP(J66,'G-7 Rivers Data'!$AK$4:$AM$9,3,FALSE)=0,"Spatial Data Missing ⚠",VLOOKUP(J66,'G-7 Rivers Data'!$AK$4:$AM$9,3,FALSE)))</f>
        <v/>
      </c>
      <c r="M66" s="71"/>
      <c r="N66" s="499" t="str">
        <f>IF(M66="","",IF(VLOOKUP(M66,'G-7 Rivers Data'!$AA$4:$AB$7,2,FALSE)=0,"Spatial Data Missing ⚠",VLOOKUP(M66,'G-7 Rivers Data'!$AA$4:$AB$7,2,FALSE)))</f>
        <v/>
      </c>
      <c r="O66" s="155"/>
      <c r="P66" s="499" t="str">
        <f>IF(O66="","",IF(VLOOKUP(O66,'G-7 Rivers Data'!$AD$4:$AE$8,2,FALSE)=0,"Spatial Data Missing ⚠",VLOOKUP(O66,'G-7 Rivers Data'!$AD$4:$AE$8,2,FALSE)))</f>
        <v/>
      </c>
      <c r="Q66" s="506" t="str">
        <f>IF(D66="","",VLOOKUP(D66,'G-7 Rivers Data'!$B$4:$G$8,6,FALSE))</f>
        <v/>
      </c>
      <c r="R66" s="513" t="str">
        <f t="shared" si="0"/>
        <v/>
      </c>
      <c r="S66" s="40"/>
      <c r="T66" s="145"/>
      <c r="U66" s="157"/>
      <c r="V66" s="511" t="str">
        <f t="shared" si="1"/>
        <v/>
      </c>
      <c r="W66" s="511" t="str">
        <f t="shared" si="2"/>
        <v/>
      </c>
      <c r="X66" s="511" t="str">
        <f t="shared" si="3"/>
        <v/>
      </c>
      <c r="Y66" s="515" t="str">
        <f t="shared" si="4"/>
        <v/>
      </c>
      <c r="Z66" s="151"/>
      <c r="AA66" s="152"/>
      <c r="AF66" s="31" t="str">
        <f>IFERROR(INDEX('G-7 Rivers Data'!$AZ$3:$AZ$7,MATCH(D66,'G-7 Rivers Data'!$AY$3:$AY$7,0)),"")</f>
        <v/>
      </c>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row>
    <row r="67" spans="3:40" ht="13.8" x14ac:dyDescent="0.25">
      <c r="C67" s="141">
        <v>58</v>
      </c>
      <c r="D67" s="462"/>
      <c r="E67" s="153"/>
      <c r="F67" s="498" t="str">
        <f>IF(D67="","",VLOOKUP(D67,'G-7 Rivers Data'!$B$2:$G$8,2,FALSE))</f>
        <v/>
      </c>
      <c r="G67" s="499" t="str">
        <f>IFERROR(VLOOKUP(F67,'G-7 Rivers Data'!$C$4:$D$8,2,FALSE),"")</f>
        <v/>
      </c>
      <c r="H67" s="145"/>
      <c r="I67" s="499" t="str">
        <f>IFERROR(INDEX('G-7 Rivers Data'!$H$4:$L$8,MATCH(D67,'G-7 Rivers Data'!$B$4:$B$8,0),MATCH(H67,'G-7 Rivers Data'!$H$3:$L$3,0)),"")</f>
        <v/>
      </c>
      <c r="J67" s="154"/>
      <c r="K67" s="520" t="str">
        <f>IF(J67="","",IF(VLOOKUP(J67,'G-7 Rivers Data'!$AK$4:$AM$9,2,FALSE)=0,"Spatial Data Missing ⚠",VLOOKUP(J67,'G-7 Rivers Data'!$AK$4:$AM$9,2,FALSE)))</f>
        <v/>
      </c>
      <c r="L67" s="524" t="str">
        <f>IF(J67="","",IF(VLOOKUP(J67,'G-7 Rivers Data'!$AK$4:$AM$9,3,FALSE)=0,"Spatial Data Missing ⚠",VLOOKUP(J67,'G-7 Rivers Data'!$AK$4:$AM$9,3,FALSE)))</f>
        <v/>
      </c>
      <c r="M67" s="71"/>
      <c r="N67" s="499" t="str">
        <f>IF(M67="","",IF(VLOOKUP(M67,'G-7 Rivers Data'!$AA$4:$AB$7,2,FALSE)=0,"Spatial Data Missing ⚠",VLOOKUP(M67,'G-7 Rivers Data'!$AA$4:$AB$7,2,FALSE)))</f>
        <v/>
      </c>
      <c r="O67" s="155"/>
      <c r="P67" s="499" t="str">
        <f>IF(O67="","",IF(VLOOKUP(O67,'G-7 Rivers Data'!$AD$4:$AE$8,2,FALSE)=0,"Spatial Data Missing ⚠",VLOOKUP(O67,'G-7 Rivers Data'!$AD$4:$AE$8,2,FALSE)))</f>
        <v/>
      </c>
      <c r="Q67" s="506" t="str">
        <f>IF(D67="","",VLOOKUP(D67,'G-7 Rivers Data'!$B$4:$G$8,6,FALSE))</f>
        <v/>
      </c>
      <c r="R67" s="513" t="str">
        <f t="shared" si="0"/>
        <v/>
      </c>
      <c r="S67" s="40"/>
      <c r="T67" s="145"/>
      <c r="U67" s="157"/>
      <c r="V67" s="511" t="str">
        <f t="shared" si="1"/>
        <v/>
      </c>
      <c r="W67" s="511" t="str">
        <f t="shared" si="2"/>
        <v/>
      </c>
      <c r="X67" s="511" t="str">
        <f t="shared" si="3"/>
        <v/>
      </c>
      <c r="Y67" s="515" t="str">
        <f t="shared" si="4"/>
        <v/>
      </c>
      <c r="Z67" s="151"/>
      <c r="AA67" s="152"/>
      <c r="AF67" s="31" t="str">
        <f>IFERROR(INDEX('G-7 Rivers Data'!$AZ$3:$AZ$7,MATCH(D67,'G-7 Rivers Data'!$AY$3:$AY$7,0)),"")</f>
        <v/>
      </c>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row>
    <row r="68" spans="3:40" ht="13.8" x14ac:dyDescent="0.25">
      <c r="C68" s="141">
        <v>59</v>
      </c>
      <c r="D68" s="462"/>
      <c r="E68" s="153"/>
      <c r="F68" s="498" t="str">
        <f>IF(D68="","",VLOOKUP(D68,'G-7 Rivers Data'!$B$2:$G$8,2,FALSE))</f>
        <v/>
      </c>
      <c r="G68" s="499" t="str">
        <f>IFERROR(VLOOKUP(F68,'G-7 Rivers Data'!$C$4:$D$8,2,FALSE),"")</f>
        <v/>
      </c>
      <c r="H68" s="145"/>
      <c r="I68" s="499" t="str">
        <f>IFERROR(INDEX('G-7 Rivers Data'!$H$4:$L$8,MATCH(D68,'G-7 Rivers Data'!$B$4:$B$8,0),MATCH(H68,'G-7 Rivers Data'!$H$3:$L$3,0)),"")</f>
        <v/>
      </c>
      <c r="J68" s="154"/>
      <c r="K68" s="520" t="str">
        <f>IF(J68="","",IF(VLOOKUP(J68,'G-7 Rivers Data'!$AK$4:$AM$9,2,FALSE)=0,"Spatial Data Missing ⚠",VLOOKUP(J68,'G-7 Rivers Data'!$AK$4:$AM$9,2,FALSE)))</f>
        <v/>
      </c>
      <c r="L68" s="524" t="str">
        <f>IF(J68="","",IF(VLOOKUP(J68,'G-7 Rivers Data'!$AK$4:$AM$9,3,FALSE)=0,"Spatial Data Missing ⚠",VLOOKUP(J68,'G-7 Rivers Data'!$AK$4:$AM$9,3,FALSE)))</f>
        <v/>
      </c>
      <c r="M68" s="71"/>
      <c r="N68" s="499" t="str">
        <f>IF(M68="","",IF(VLOOKUP(M68,'G-7 Rivers Data'!$AA$4:$AB$7,2,FALSE)=0,"Spatial Data Missing ⚠",VLOOKUP(M68,'G-7 Rivers Data'!$AA$4:$AB$7,2,FALSE)))</f>
        <v/>
      </c>
      <c r="O68" s="155"/>
      <c r="P68" s="499" t="str">
        <f>IF(O68="","",IF(VLOOKUP(O68,'G-7 Rivers Data'!$AD$4:$AE$8,2,FALSE)=0,"Spatial Data Missing ⚠",VLOOKUP(O68,'G-7 Rivers Data'!$AD$4:$AE$8,2,FALSE)))</f>
        <v/>
      </c>
      <c r="Q68" s="506" t="str">
        <f>IF(D68="","",VLOOKUP(D68,'G-7 Rivers Data'!$B$4:$G$8,6,FALSE))</f>
        <v/>
      </c>
      <c r="R68" s="513" t="str">
        <f t="shared" si="0"/>
        <v/>
      </c>
      <c r="S68" s="40"/>
      <c r="T68" s="145"/>
      <c r="U68" s="157"/>
      <c r="V68" s="511" t="str">
        <f t="shared" si="1"/>
        <v/>
      </c>
      <c r="W68" s="511" t="str">
        <f t="shared" si="2"/>
        <v/>
      </c>
      <c r="X68" s="511" t="str">
        <f t="shared" si="3"/>
        <v/>
      </c>
      <c r="Y68" s="515" t="str">
        <f t="shared" si="4"/>
        <v/>
      </c>
      <c r="Z68" s="151"/>
      <c r="AA68" s="152"/>
      <c r="AF68" s="31" t="str">
        <f>IFERROR(INDEX('G-7 Rivers Data'!$AZ$3:$AZ$7,MATCH(D68,'G-7 Rivers Data'!$AY$3:$AY$7,0)),"")</f>
        <v/>
      </c>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row>
    <row r="69" spans="3:40" ht="13.8" x14ac:dyDescent="0.25">
      <c r="C69" s="141">
        <v>60</v>
      </c>
      <c r="D69" s="462"/>
      <c r="E69" s="153"/>
      <c r="F69" s="498" t="str">
        <f>IF(D69="","",VLOOKUP(D69,'G-7 Rivers Data'!$B$2:$G$8,2,FALSE))</f>
        <v/>
      </c>
      <c r="G69" s="499" t="str">
        <f>IFERROR(VLOOKUP(F69,'G-7 Rivers Data'!$C$4:$D$8,2,FALSE),"")</f>
        <v/>
      </c>
      <c r="H69" s="145"/>
      <c r="I69" s="499" t="str">
        <f>IFERROR(INDEX('G-7 Rivers Data'!$H$4:$L$8,MATCH(D69,'G-7 Rivers Data'!$B$4:$B$8,0),MATCH(H69,'G-7 Rivers Data'!$H$3:$L$3,0)),"")</f>
        <v/>
      </c>
      <c r="J69" s="154"/>
      <c r="K69" s="520" t="str">
        <f>IF(J69="","",IF(VLOOKUP(J69,'G-7 Rivers Data'!$AK$4:$AM$9,2,FALSE)=0,"Spatial Data Missing ⚠",VLOOKUP(J69,'G-7 Rivers Data'!$AK$4:$AM$9,2,FALSE)))</f>
        <v/>
      </c>
      <c r="L69" s="524" t="str">
        <f>IF(J69="","",IF(VLOOKUP(J69,'G-7 Rivers Data'!$AK$4:$AM$9,3,FALSE)=0,"Spatial Data Missing ⚠",VLOOKUP(J69,'G-7 Rivers Data'!$AK$4:$AM$9,3,FALSE)))</f>
        <v/>
      </c>
      <c r="M69" s="71"/>
      <c r="N69" s="499" t="str">
        <f>IF(M69="","",IF(VLOOKUP(M69,'G-7 Rivers Data'!$AA$4:$AB$7,2,FALSE)=0,"Spatial Data Missing ⚠",VLOOKUP(M69,'G-7 Rivers Data'!$AA$4:$AB$7,2,FALSE)))</f>
        <v/>
      </c>
      <c r="O69" s="155"/>
      <c r="P69" s="499" t="str">
        <f>IF(O69="","",IF(VLOOKUP(O69,'G-7 Rivers Data'!$AD$4:$AE$8,2,FALSE)=0,"Spatial Data Missing ⚠",VLOOKUP(O69,'G-7 Rivers Data'!$AD$4:$AE$8,2,FALSE)))</f>
        <v/>
      </c>
      <c r="Q69" s="506" t="str">
        <f>IF(D69="","",VLOOKUP(D69,'G-7 Rivers Data'!$B$4:$G$8,6,FALSE))</f>
        <v/>
      </c>
      <c r="R69" s="513" t="str">
        <f t="shared" si="0"/>
        <v/>
      </c>
      <c r="S69" s="40"/>
      <c r="T69" s="145"/>
      <c r="U69" s="157"/>
      <c r="V69" s="511" t="str">
        <f t="shared" si="1"/>
        <v/>
      </c>
      <c r="W69" s="511" t="str">
        <f t="shared" si="2"/>
        <v/>
      </c>
      <c r="X69" s="511" t="str">
        <f t="shared" si="3"/>
        <v/>
      </c>
      <c r="Y69" s="515" t="str">
        <f t="shared" si="4"/>
        <v/>
      </c>
      <c r="Z69" s="151"/>
      <c r="AA69" s="152"/>
      <c r="AF69" s="31" t="str">
        <f>IFERROR(INDEX('G-7 Rivers Data'!$AZ$3:$AZ$7,MATCH(D69,'G-7 Rivers Data'!$AY$3:$AY$7,0)),"")</f>
        <v/>
      </c>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row>
    <row r="70" spans="3:40" ht="13.8" x14ac:dyDescent="0.25">
      <c r="C70" s="141">
        <v>61</v>
      </c>
      <c r="D70" s="462"/>
      <c r="E70" s="153"/>
      <c r="F70" s="498" t="str">
        <f>IF(D70="","",VLOOKUP(D70,'G-7 Rivers Data'!$B$2:$G$8,2,FALSE))</f>
        <v/>
      </c>
      <c r="G70" s="499" t="str">
        <f>IFERROR(VLOOKUP(F70,'G-7 Rivers Data'!$C$4:$D$8,2,FALSE),"")</f>
        <v/>
      </c>
      <c r="H70" s="145"/>
      <c r="I70" s="499" t="str">
        <f>IFERROR(INDEX('G-7 Rivers Data'!$H$4:$L$8,MATCH(D70,'G-7 Rivers Data'!$B$4:$B$8,0),MATCH(H70,'G-7 Rivers Data'!$H$3:$L$3,0)),"")</f>
        <v/>
      </c>
      <c r="J70" s="154"/>
      <c r="K70" s="520" t="str">
        <f>IF(J70="","",IF(VLOOKUP(J70,'G-7 Rivers Data'!$AK$4:$AM$9,2,FALSE)=0,"Spatial Data Missing ⚠",VLOOKUP(J70,'G-7 Rivers Data'!$AK$4:$AM$9,2,FALSE)))</f>
        <v/>
      </c>
      <c r="L70" s="524" t="str">
        <f>IF(J70="","",IF(VLOOKUP(J70,'G-7 Rivers Data'!$AK$4:$AM$9,3,FALSE)=0,"Spatial Data Missing ⚠",VLOOKUP(J70,'G-7 Rivers Data'!$AK$4:$AM$9,3,FALSE)))</f>
        <v/>
      </c>
      <c r="M70" s="71"/>
      <c r="N70" s="499" t="str">
        <f>IF(M70="","",IF(VLOOKUP(M70,'G-7 Rivers Data'!$AA$4:$AB$7,2,FALSE)=0,"Spatial Data Missing ⚠",VLOOKUP(M70,'G-7 Rivers Data'!$AA$4:$AB$7,2,FALSE)))</f>
        <v/>
      </c>
      <c r="O70" s="155"/>
      <c r="P70" s="499" t="str">
        <f>IF(O70="","",IF(VLOOKUP(O70,'G-7 Rivers Data'!$AD$4:$AE$8,2,FALSE)=0,"Spatial Data Missing ⚠",VLOOKUP(O70,'G-7 Rivers Data'!$AD$4:$AE$8,2,FALSE)))</f>
        <v/>
      </c>
      <c r="Q70" s="506" t="str">
        <f>IF(D70="","",VLOOKUP(D70,'G-7 Rivers Data'!$B$4:$G$8,6,FALSE))</f>
        <v/>
      </c>
      <c r="R70" s="513" t="str">
        <f t="shared" si="0"/>
        <v/>
      </c>
      <c r="S70" s="40"/>
      <c r="T70" s="145"/>
      <c r="U70" s="157"/>
      <c r="V70" s="511" t="str">
        <f t="shared" si="1"/>
        <v/>
      </c>
      <c r="W70" s="511" t="str">
        <f t="shared" si="2"/>
        <v/>
      </c>
      <c r="X70" s="511" t="str">
        <f t="shared" si="3"/>
        <v/>
      </c>
      <c r="Y70" s="515" t="str">
        <f t="shared" si="4"/>
        <v/>
      </c>
      <c r="Z70" s="151"/>
      <c r="AA70" s="152"/>
      <c r="AF70" s="31" t="str">
        <f>IFERROR(INDEX('G-7 Rivers Data'!$AZ$3:$AZ$7,MATCH(D70,'G-7 Rivers Data'!$AY$3:$AY$7,0)),"")</f>
        <v/>
      </c>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row>
    <row r="71" spans="3:40" ht="13.8" x14ac:dyDescent="0.25">
      <c r="C71" s="141">
        <v>62</v>
      </c>
      <c r="D71" s="462"/>
      <c r="E71" s="153"/>
      <c r="F71" s="498" t="str">
        <f>IF(D71="","",VLOOKUP(D71,'G-7 Rivers Data'!$B$2:$G$8,2,FALSE))</f>
        <v/>
      </c>
      <c r="G71" s="499" t="str">
        <f>IFERROR(VLOOKUP(F71,'G-7 Rivers Data'!$C$4:$D$8,2,FALSE),"")</f>
        <v/>
      </c>
      <c r="H71" s="145"/>
      <c r="I71" s="499" t="str">
        <f>IFERROR(INDEX('G-7 Rivers Data'!$H$4:$L$8,MATCH(D71,'G-7 Rivers Data'!$B$4:$B$8,0),MATCH(H71,'G-7 Rivers Data'!$H$3:$L$3,0)),"")</f>
        <v/>
      </c>
      <c r="J71" s="154"/>
      <c r="K71" s="520" t="str">
        <f>IF(J71="","",IF(VLOOKUP(J71,'G-7 Rivers Data'!$AK$4:$AM$9,2,FALSE)=0,"Spatial Data Missing ⚠",VLOOKUP(J71,'G-7 Rivers Data'!$AK$4:$AM$9,2,FALSE)))</f>
        <v/>
      </c>
      <c r="L71" s="524" t="str">
        <f>IF(J71="","",IF(VLOOKUP(J71,'G-7 Rivers Data'!$AK$4:$AM$9,3,FALSE)=0,"Spatial Data Missing ⚠",VLOOKUP(J71,'G-7 Rivers Data'!$AK$4:$AM$9,3,FALSE)))</f>
        <v/>
      </c>
      <c r="M71" s="71"/>
      <c r="N71" s="499" t="str">
        <f>IF(M71="","",IF(VLOOKUP(M71,'G-7 Rivers Data'!$AA$4:$AB$7,2,FALSE)=0,"Spatial Data Missing ⚠",VLOOKUP(M71,'G-7 Rivers Data'!$AA$4:$AB$7,2,FALSE)))</f>
        <v/>
      </c>
      <c r="O71" s="155"/>
      <c r="P71" s="499" t="str">
        <f>IF(O71="","",IF(VLOOKUP(O71,'G-7 Rivers Data'!$AD$4:$AE$8,2,FALSE)=0,"Spatial Data Missing ⚠",VLOOKUP(O71,'G-7 Rivers Data'!$AD$4:$AE$8,2,FALSE)))</f>
        <v/>
      </c>
      <c r="Q71" s="506" t="str">
        <f>IF(D71="","",VLOOKUP(D71,'G-7 Rivers Data'!$B$4:$G$8,6,FALSE))</f>
        <v/>
      </c>
      <c r="R71" s="513" t="str">
        <f t="shared" si="0"/>
        <v/>
      </c>
      <c r="S71" s="40"/>
      <c r="T71" s="145"/>
      <c r="U71" s="157"/>
      <c r="V71" s="511" t="str">
        <f t="shared" si="1"/>
        <v/>
      </c>
      <c r="W71" s="511" t="str">
        <f t="shared" si="2"/>
        <v/>
      </c>
      <c r="X71" s="511" t="str">
        <f t="shared" si="3"/>
        <v/>
      </c>
      <c r="Y71" s="515" t="str">
        <f t="shared" si="4"/>
        <v/>
      </c>
      <c r="Z71" s="151"/>
      <c r="AA71" s="152"/>
      <c r="AF71" s="31" t="str">
        <f>IFERROR(INDEX('G-7 Rivers Data'!$AZ$3:$AZ$7,MATCH(D71,'G-7 Rivers Data'!$AY$3:$AY$7,0)),"")</f>
        <v/>
      </c>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row>
    <row r="72" spans="3:40" ht="13.8" x14ac:dyDescent="0.25">
      <c r="C72" s="141">
        <v>63</v>
      </c>
      <c r="D72" s="462"/>
      <c r="E72" s="153"/>
      <c r="F72" s="498" t="str">
        <f>IF(D72="","",VLOOKUP(D72,'G-7 Rivers Data'!$B$2:$G$8,2,FALSE))</f>
        <v/>
      </c>
      <c r="G72" s="499" t="str">
        <f>IFERROR(VLOOKUP(F72,'G-7 Rivers Data'!$C$4:$D$8,2,FALSE),"")</f>
        <v/>
      </c>
      <c r="H72" s="145"/>
      <c r="I72" s="499" t="str">
        <f>IFERROR(INDEX('G-7 Rivers Data'!$H$4:$L$8,MATCH(D72,'G-7 Rivers Data'!$B$4:$B$8,0),MATCH(H72,'G-7 Rivers Data'!$H$3:$L$3,0)),"")</f>
        <v/>
      </c>
      <c r="J72" s="154"/>
      <c r="K72" s="520" t="str">
        <f>IF(J72="","",IF(VLOOKUP(J72,'G-7 Rivers Data'!$AK$4:$AM$9,2,FALSE)=0,"Spatial Data Missing ⚠",VLOOKUP(J72,'G-7 Rivers Data'!$AK$4:$AM$9,2,FALSE)))</f>
        <v/>
      </c>
      <c r="L72" s="524" t="str">
        <f>IF(J72="","",IF(VLOOKUP(J72,'G-7 Rivers Data'!$AK$4:$AM$9,3,FALSE)=0,"Spatial Data Missing ⚠",VLOOKUP(J72,'G-7 Rivers Data'!$AK$4:$AM$9,3,FALSE)))</f>
        <v/>
      </c>
      <c r="M72" s="71"/>
      <c r="N72" s="499" t="str">
        <f>IF(M72="","",IF(VLOOKUP(M72,'G-7 Rivers Data'!$AA$4:$AB$7,2,FALSE)=0,"Spatial Data Missing ⚠",VLOOKUP(M72,'G-7 Rivers Data'!$AA$4:$AB$7,2,FALSE)))</f>
        <v/>
      </c>
      <c r="O72" s="155"/>
      <c r="P72" s="499" t="str">
        <f>IF(O72="","",IF(VLOOKUP(O72,'G-7 Rivers Data'!$AD$4:$AE$8,2,FALSE)=0,"Spatial Data Missing ⚠",VLOOKUP(O72,'G-7 Rivers Data'!$AD$4:$AE$8,2,FALSE)))</f>
        <v/>
      </c>
      <c r="Q72" s="506" t="str">
        <f>IF(D72="","",VLOOKUP(D72,'G-7 Rivers Data'!$B$4:$G$8,6,FALSE))</f>
        <v/>
      </c>
      <c r="R72" s="513" t="str">
        <f t="shared" si="0"/>
        <v/>
      </c>
      <c r="S72" s="40"/>
      <c r="T72" s="145"/>
      <c r="U72" s="157"/>
      <c r="V72" s="511" t="str">
        <f t="shared" si="1"/>
        <v/>
      </c>
      <c r="W72" s="511" t="str">
        <f t="shared" si="2"/>
        <v/>
      </c>
      <c r="X72" s="511" t="str">
        <f t="shared" si="3"/>
        <v/>
      </c>
      <c r="Y72" s="515" t="str">
        <f t="shared" si="4"/>
        <v/>
      </c>
      <c r="Z72" s="151"/>
      <c r="AA72" s="152"/>
      <c r="AF72" s="31" t="str">
        <f>IFERROR(INDEX('G-7 Rivers Data'!$AZ$3:$AZ$7,MATCH(D72,'G-7 Rivers Data'!$AY$3:$AY$7,0)),"")</f>
        <v/>
      </c>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row>
    <row r="73" spans="3:40" ht="13.8" x14ac:dyDescent="0.25">
      <c r="C73" s="141">
        <v>64</v>
      </c>
      <c r="D73" s="462"/>
      <c r="E73" s="153"/>
      <c r="F73" s="498" t="str">
        <f>IF(D73="","",VLOOKUP(D73,'G-7 Rivers Data'!$B$2:$G$8,2,FALSE))</f>
        <v/>
      </c>
      <c r="G73" s="499" t="str">
        <f>IFERROR(VLOOKUP(F73,'G-7 Rivers Data'!$C$4:$D$8,2,FALSE),"")</f>
        <v/>
      </c>
      <c r="H73" s="145"/>
      <c r="I73" s="499" t="str">
        <f>IFERROR(INDEX('G-7 Rivers Data'!$H$4:$L$8,MATCH(D73,'G-7 Rivers Data'!$B$4:$B$8,0),MATCH(H73,'G-7 Rivers Data'!$H$3:$L$3,0)),"")</f>
        <v/>
      </c>
      <c r="J73" s="154"/>
      <c r="K73" s="520" t="str">
        <f>IF(J73="","",IF(VLOOKUP(J73,'G-7 Rivers Data'!$AK$4:$AM$9,2,FALSE)=0,"Spatial Data Missing ⚠",VLOOKUP(J73,'G-7 Rivers Data'!$AK$4:$AM$9,2,FALSE)))</f>
        <v/>
      </c>
      <c r="L73" s="524" t="str">
        <f>IF(J73="","",IF(VLOOKUP(J73,'G-7 Rivers Data'!$AK$4:$AM$9,3,FALSE)=0,"Spatial Data Missing ⚠",VLOOKUP(J73,'G-7 Rivers Data'!$AK$4:$AM$9,3,FALSE)))</f>
        <v/>
      </c>
      <c r="M73" s="71"/>
      <c r="N73" s="499" t="str">
        <f>IF(M73="","",IF(VLOOKUP(M73,'G-7 Rivers Data'!$AA$4:$AB$7,2,FALSE)=0,"Spatial Data Missing ⚠",VLOOKUP(M73,'G-7 Rivers Data'!$AA$4:$AB$7,2,FALSE)))</f>
        <v/>
      </c>
      <c r="O73" s="155"/>
      <c r="P73" s="499" t="str">
        <f>IF(O73="","",IF(VLOOKUP(O73,'G-7 Rivers Data'!$AD$4:$AE$8,2,FALSE)=0,"Spatial Data Missing ⚠",VLOOKUP(O73,'G-7 Rivers Data'!$AD$4:$AE$8,2,FALSE)))</f>
        <v/>
      </c>
      <c r="Q73" s="506" t="str">
        <f>IF(D73="","",VLOOKUP(D73,'G-7 Rivers Data'!$B$4:$G$8,6,FALSE))</f>
        <v/>
      </c>
      <c r="R73" s="513" t="str">
        <f t="shared" si="0"/>
        <v/>
      </c>
      <c r="S73" s="40"/>
      <c r="T73" s="145"/>
      <c r="U73" s="157"/>
      <c r="V73" s="511" t="str">
        <f t="shared" si="1"/>
        <v/>
      </c>
      <c r="W73" s="511" t="str">
        <f t="shared" si="2"/>
        <v/>
      </c>
      <c r="X73" s="511" t="str">
        <f t="shared" si="3"/>
        <v/>
      </c>
      <c r="Y73" s="515" t="str">
        <f t="shared" si="4"/>
        <v/>
      </c>
      <c r="Z73" s="151"/>
      <c r="AA73" s="152"/>
      <c r="AF73" s="31" t="str">
        <f>IFERROR(INDEX('G-7 Rivers Data'!$AZ$3:$AZ$7,MATCH(D73,'G-7 Rivers Data'!$AY$3:$AY$7,0)),"")</f>
        <v/>
      </c>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row>
    <row r="74" spans="3:40" ht="13.8" x14ac:dyDescent="0.25">
      <c r="C74" s="141">
        <v>65</v>
      </c>
      <c r="D74" s="462"/>
      <c r="E74" s="153"/>
      <c r="F74" s="498" t="str">
        <f>IF(D74="","",VLOOKUP(D74,'G-7 Rivers Data'!$B$2:$G$8,2,FALSE))</f>
        <v/>
      </c>
      <c r="G74" s="499" t="str">
        <f>IFERROR(VLOOKUP(F74,'G-7 Rivers Data'!$C$4:$D$8,2,FALSE),"")</f>
        <v/>
      </c>
      <c r="H74" s="145"/>
      <c r="I74" s="499" t="str">
        <f>IFERROR(INDEX('G-7 Rivers Data'!$H$4:$L$8,MATCH(D74,'G-7 Rivers Data'!$B$4:$B$8,0),MATCH(H74,'G-7 Rivers Data'!$H$3:$L$3,0)),"")</f>
        <v/>
      </c>
      <c r="J74" s="154"/>
      <c r="K74" s="520" t="str">
        <f>IF(J74="","",IF(VLOOKUP(J74,'G-7 Rivers Data'!$AK$4:$AM$9,2,FALSE)=0,"Spatial Data Missing ⚠",VLOOKUP(J74,'G-7 Rivers Data'!$AK$4:$AM$9,2,FALSE)))</f>
        <v/>
      </c>
      <c r="L74" s="524" t="str">
        <f>IF(J74="","",IF(VLOOKUP(J74,'G-7 Rivers Data'!$AK$4:$AM$9,3,FALSE)=0,"Spatial Data Missing ⚠",VLOOKUP(J74,'G-7 Rivers Data'!$AK$4:$AM$9,3,FALSE)))</f>
        <v/>
      </c>
      <c r="M74" s="71"/>
      <c r="N74" s="499" t="str">
        <f>IF(M74="","",IF(VLOOKUP(M74,'G-7 Rivers Data'!$AA$4:$AB$7,2,FALSE)=0,"Spatial Data Missing ⚠",VLOOKUP(M74,'G-7 Rivers Data'!$AA$4:$AB$7,2,FALSE)))</f>
        <v/>
      </c>
      <c r="O74" s="155"/>
      <c r="P74" s="499" t="str">
        <f>IF(O74="","",IF(VLOOKUP(O74,'G-7 Rivers Data'!$AD$4:$AE$8,2,FALSE)=0,"Spatial Data Missing ⚠",VLOOKUP(O74,'G-7 Rivers Data'!$AD$4:$AE$8,2,FALSE)))</f>
        <v/>
      </c>
      <c r="Q74" s="506" t="str">
        <f>IF(D74="","",VLOOKUP(D74,'G-7 Rivers Data'!$B$4:$G$8,6,FALSE))</f>
        <v/>
      </c>
      <c r="R74" s="513" t="str">
        <f t="shared" si="0"/>
        <v/>
      </c>
      <c r="S74" s="40"/>
      <c r="T74" s="145"/>
      <c r="U74" s="157"/>
      <c r="V74" s="511" t="str">
        <f t="shared" si="1"/>
        <v/>
      </c>
      <c r="W74" s="511" t="str">
        <f t="shared" si="2"/>
        <v/>
      </c>
      <c r="X74" s="511" t="str">
        <f t="shared" si="3"/>
        <v/>
      </c>
      <c r="Y74" s="515" t="str">
        <f t="shared" si="4"/>
        <v/>
      </c>
      <c r="Z74" s="151"/>
      <c r="AA74" s="152"/>
      <c r="AF74" s="31" t="str">
        <f>IFERROR(INDEX('G-7 Rivers Data'!$AZ$3:$AZ$7,MATCH(D74,'G-7 Rivers Data'!$AY$3:$AY$7,0)),"")</f>
        <v/>
      </c>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row>
    <row r="75" spans="3:40" ht="13.8" x14ac:dyDescent="0.25">
      <c r="C75" s="141">
        <v>66</v>
      </c>
      <c r="D75" s="462"/>
      <c r="E75" s="153"/>
      <c r="F75" s="498" t="str">
        <f>IF(D75="","",VLOOKUP(D75,'G-7 Rivers Data'!$B$2:$G$8,2,FALSE))</f>
        <v/>
      </c>
      <c r="G75" s="499" t="str">
        <f>IFERROR(VLOOKUP(F75,'G-7 Rivers Data'!$C$4:$D$8,2,FALSE),"")</f>
        <v/>
      </c>
      <c r="H75" s="145"/>
      <c r="I75" s="499" t="str">
        <f>IFERROR(INDEX('G-7 Rivers Data'!$H$4:$L$8,MATCH(D75,'G-7 Rivers Data'!$B$4:$B$8,0),MATCH(H75,'G-7 Rivers Data'!$H$3:$L$3,0)),"")</f>
        <v/>
      </c>
      <c r="J75" s="154"/>
      <c r="K75" s="520" t="str">
        <f>IF(J75="","",IF(VLOOKUP(J75,'G-7 Rivers Data'!$AK$4:$AM$9,2,FALSE)=0,"Spatial Data Missing ⚠",VLOOKUP(J75,'G-7 Rivers Data'!$AK$4:$AM$9,2,FALSE)))</f>
        <v/>
      </c>
      <c r="L75" s="524" t="str">
        <f>IF(J75="","",IF(VLOOKUP(J75,'G-7 Rivers Data'!$AK$4:$AM$9,3,FALSE)=0,"Spatial Data Missing ⚠",VLOOKUP(J75,'G-7 Rivers Data'!$AK$4:$AM$9,3,FALSE)))</f>
        <v/>
      </c>
      <c r="M75" s="71"/>
      <c r="N75" s="499" t="str">
        <f>IF(M75="","",IF(VLOOKUP(M75,'G-7 Rivers Data'!$AA$4:$AB$7,2,FALSE)=0,"Spatial Data Missing ⚠",VLOOKUP(M75,'G-7 Rivers Data'!$AA$4:$AB$7,2,FALSE)))</f>
        <v/>
      </c>
      <c r="O75" s="155"/>
      <c r="P75" s="499" t="str">
        <f>IF(O75="","",IF(VLOOKUP(O75,'G-7 Rivers Data'!$AD$4:$AE$8,2,FALSE)=0,"Spatial Data Missing ⚠",VLOOKUP(O75,'G-7 Rivers Data'!$AD$4:$AE$8,2,FALSE)))</f>
        <v/>
      </c>
      <c r="Q75" s="506" t="str">
        <f>IF(D75="","",VLOOKUP(D75,'G-7 Rivers Data'!$B$4:$G$8,6,FALSE))</f>
        <v/>
      </c>
      <c r="R75" s="513" t="str">
        <f t="shared" ref="R75:R138" si="8">IFERROR(E75*G75*I75*L75*N75*P75,"")</f>
        <v/>
      </c>
      <c r="S75" s="40"/>
      <c r="T75" s="145"/>
      <c r="U75" s="157"/>
      <c r="V75" s="511" t="str">
        <f t="shared" ref="V75:V138" si="9">IFERROR(IF(T75&gt;E75,"Check Lengths",T75*G75*I75*L75*N75*P75),"")</f>
        <v/>
      </c>
      <c r="W75" s="511" t="str">
        <f t="shared" ref="W75:W138" si="10">IFERROR(IF(D75="","",U75*G75*I75*L75*N75*P75),"")</f>
        <v/>
      </c>
      <c r="X75" s="511" t="str">
        <f t="shared" ref="X75:X138" si="11">IFERROR(IF(D75="","",IF(E75&gt;(T75+U75),E75-T75-U75,0)),"")</f>
        <v/>
      </c>
      <c r="Y75" s="515" t="str">
        <f t="shared" ref="Y75:Y138" si="12">IFERROR(IF(E75="","",IF((V75+W75)&gt;R75,0,R75-V75-W75)),"Check Data ⚠")</f>
        <v/>
      </c>
      <c r="Z75" s="151"/>
      <c r="AA75" s="152"/>
      <c r="AF75" s="31" t="str">
        <f>IFERROR(INDEX('G-7 Rivers Data'!$AZ$3:$AZ$7,MATCH(D75,'G-7 Rivers Data'!$AY$3:$AY$7,0)),"")</f>
        <v/>
      </c>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row>
    <row r="76" spans="3:40" ht="13.8" x14ac:dyDescent="0.25">
      <c r="C76" s="141">
        <v>67</v>
      </c>
      <c r="D76" s="462"/>
      <c r="E76" s="153"/>
      <c r="F76" s="498" t="str">
        <f>IF(D76="","",VLOOKUP(D76,'G-7 Rivers Data'!$B$2:$G$8,2,FALSE))</f>
        <v/>
      </c>
      <c r="G76" s="499" t="str">
        <f>IFERROR(VLOOKUP(F76,'G-7 Rivers Data'!$C$4:$D$8,2,FALSE),"")</f>
        <v/>
      </c>
      <c r="H76" s="145"/>
      <c r="I76" s="499" t="str">
        <f>IFERROR(INDEX('G-7 Rivers Data'!$H$4:$L$8,MATCH(D76,'G-7 Rivers Data'!$B$4:$B$8,0),MATCH(H76,'G-7 Rivers Data'!$H$3:$L$3,0)),"")</f>
        <v/>
      </c>
      <c r="J76" s="154"/>
      <c r="K76" s="520" t="str">
        <f>IF(J76="","",IF(VLOOKUP(J76,'G-7 Rivers Data'!$AK$4:$AM$9,2,FALSE)=0,"Spatial Data Missing ⚠",VLOOKUP(J76,'G-7 Rivers Data'!$AK$4:$AM$9,2,FALSE)))</f>
        <v/>
      </c>
      <c r="L76" s="524" t="str">
        <f>IF(J76="","",IF(VLOOKUP(J76,'G-7 Rivers Data'!$AK$4:$AM$9,3,FALSE)=0,"Spatial Data Missing ⚠",VLOOKUP(J76,'G-7 Rivers Data'!$AK$4:$AM$9,3,FALSE)))</f>
        <v/>
      </c>
      <c r="M76" s="71"/>
      <c r="N76" s="499" t="str">
        <f>IF(M76="","",IF(VLOOKUP(M76,'G-7 Rivers Data'!$AA$4:$AB$7,2,FALSE)=0,"Spatial Data Missing ⚠",VLOOKUP(M76,'G-7 Rivers Data'!$AA$4:$AB$7,2,FALSE)))</f>
        <v/>
      </c>
      <c r="O76" s="155"/>
      <c r="P76" s="499" t="str">
        <f>IF(O76="","",IF(VLOOKUP(O76,'G-7 Rivers Data'!$AD$4:$AE$8,2,FALSE)=0,"Spatial Data Missing ⚠",VLOOKUP(O76,'G-7 Rivers Data'!$AD$4:$AE$8,2,FALSE)))</f>
        <v/>
      </c>
      <c r="Q76" s="506" t="str">
        <f>IF(D76="","",VLOOKUP(D76,'G-7 Rivers Data'!$B$4:$G$8,6,FALSE))</f>
        <v/>
      </c>
      <c r="R76" s="513" t="str">
        <f t="shared" si="8"/>
        <v/>
      </c>
      <c r="S76" s="40"/>
      <c r="T76" s="145"/>
      <c r="U76" s="157"/>
      <c r="V76" s="511" t="str">
        <f t="shared" si="9"/>
        <v/>
      </c>
      <c r="W76" s="511" t="str">
        <f t="shared" si="10"/>
        <v/>
      </c>
      <c r="X76" s="511" t="str">
        <f t="shared" si="11"/>
        <v/>
      </c>
      <c r="Y76" s="515" t="str">
        <f t="shared" si="12"/>
        <v/>
      </c>
      <c r="Z76" s="151"/>
      <c r="AA76" s="152"/>
      <c r="AF76" s="31" t="str">
        <f>IFERROR(INDEX('G-7 Rivers Data'!$AZ$3:$AZ$7,MATCH(D76,'G-7 Rivers Data'!$AY$3:$AY$7,0)),"")</f>
        <v/>
      </c>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row>
    <row r="77" spans="3:40" ht="13.8" x14ac:dyDescent="0.25">
      <c r="C77" s="141">
        <v>68</v>
      </c>
      <c r="D77" s="462"/>
      <c r="E77" s="153"/>
      <c r="F77" s="498" t="str">
        <f>IF(D77="","",VLOOKUP(D77,'G-7 Rivers Data'!$B$2:$G$8,2,FALSE))</f>
        <v/>
      </c>
      <c r="G77" s="499" t="str">
        <f>IFERROR(VLOOKUP(F77,'G-7 Rivers Data'!$C$4:$D$8,2,FALSE),"")</f>
        <v/>
      </c>
      <c r="H77" s="145"/>
      <c r="I77" s="499" t="str">
        <f>IFERROR(INDEX('G-7 Rivers Data'!$H$4:$L$8,MATCH(D77,'G-7 Rivers Data'!$B$4:$B$8,0),MATCH(H77,'G-7 Rivers Data'!$H$3:$L$3,0)),"")</f>
        <v/>
      </c>
      <c r="J77" s="154"/>
      <c r="K77" s="520" t="str">
        <f>IF(J77="","",IF(VLOOKUP(J77,'G-7 Rivers Data'!$AK$4:$AM$9,2,FALSE)=0,"Spatial Data Missing ⚠",VLOOKUP(J77,'G-7 Rivers Data'!$AK$4:$AM$9,2,FALSE)))</f>
        <v/>
      </c>
      <c r="L77" s="524" t="str">
        <f>IF(J77="","",IF(VLOOKUP(J77,'G-7 Rivers Data'!$AK$4:$AM$9,3,FALSE)=0,"Spatial Data Missing ⚠",VLOOKUP(J77,'G-7 Rivers Data'!$AK$4:$AM$9,3,FALSE)))</f>
        <v/>
      </c>
      <c r="M77" s="71"/>
      <c r="N77" s="499" t="str">
        <f>IF(M77="","",IF(VLOOKUP(M77,'G-7 Rivers Data'!$AA$4:$AB$7,2,FALSE)=0,"Spatial Data Missing ⚠",VLOOKUP(M77,'G-7 Rivers Data'!$AA$4:$AB$7,2,FALSE)))</f>
        <v/>
      </c>
      <c r="O77" s="155"/>
      <c r="P77" s="499" t="str">
        <f>IF(O77="","",IF(VLOOKUP(O77,'G-7 Rivers Data'!$AD$4:$AE$8,2,FALSE)=0,"Spatial Data Missing ⚠",VLOOKUP(O77,'G-7 Rivers Data'!$AD$4:$AE$8,2,FALSE)))</f>
        <v/>
      </c>
      <c r="Q77" s="506" t="str">
        <f>IF(D77="","",VLOOKUP(D77,'G-7 Rivers Data'!$B$4:$G$8,6,FALSE))</f>
        <v/>
      </c>
      <c r="R77" s="513" t="str">
        <f t="shared" si="8"/>
        <v/>
      </c>
      <c r="S77" s="40"/>
      <c r="T77" s="145"/>
      <c r="U77" s="157"/>
      <c r="V77" s="511" t="str">
        <f t="shared" si="9"/>
        <v/>
      </c>
      <c r="W77" s="511" t="str">
        <f t="shared" si="10"/>
        <v/>
      </c>
      <c r="X77" s="511" t="str">
        <f t="shared" si="11"/>
        <v/>
      </c>
      <c r="Y77" s="515" t="str">
        <f t="shared" si="12"/>
        <v/>
      </c>
      <c r="Z77" s="151"/>
      <c r="AA77" s="152"/>
      <c r="AF77" s="31" t="str">
        <f>IFERROR(INDEX('G-7 Rivers Data'!$AZ$3:$AZ$7,MATCH(D77,'G-7 Rivers Data'!$AY$3:$AY$7,0)),"")</f>
        <v/>
      </c>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row>
    <row r="78" spans="3:40" ht="13.8" x14ac:dyDescent="0.25">
      <c r="C78" s="141">
        <v>69</v>
      </c>
      <c r="D78" s="462"/>
      <c r="E78" s="153"/>
      <c r="F78" s="498" t="str">
        <f>IF(D78="","",VLOOKUP(D78,'G-7 Rivers Data'!$B$2:$G$8,2,FALSE))</f>
        <v/>
      </c>
      <c r="G78" s="499" t="str">
        <f>IFERROR(VLOOKUP(F78,'G-7 Rivers Data'!$C$4:$D$8,2,FALSE),"")</f>
        <v/>
      </c>
      <c r="H78" s="145"/>
      <c r="I78" s="499" t="str">
        <f>IFERROR(INDEX('G-7 Rivers Data'!$H$4:$L$8,MATCH(D78,'G-7 Rivers Data'!$B$4:$B$8,0),MATCH(H78,'G-7 Rivers Data'!$H$3:$L$3,0)),"")</f>
        <v/>
      </c>
      <c r="J78" s="154"/>
      <c r="K78" s="520" t="str">
        <f>IF(J78="","",IF(VLOOKUP(J78,'G-7 Rivers Data'!$AK$4:$AM$9,2,FALSE)=0,"Spatial Data Missing ⚠",VLOOKUP(J78,'G-7 Rivers Data'!$AK$4:$AM$9,2,FALSE)))</f>
        <v/>
      </c>
      <c r="L78" s="524" t="str">
        <f>IF(J78="","",IF(VLOOKUP(J78,'G-7 Rivers Data'!$AK$4:$AM$9,3,FALSE)=0,"Spatial Data Missing ⚠",VLOOKUP(J78,'G-7 Rivers Data'!$AK$4:$AM$9,3,FALSE)))</f>
        <v/>
      </c>
      <c r="M78" s="71"/>
      <c r="N78" s="499" t="str">
        <f>IF(M78="","",IF(VLOOKUP(M78,'G-7 Rivers Data'!$AA$4:$AB$7,2,FALSE)=0,"Spatial Data Missing ⚠",VLOOKUP(M78,'G-7 Rivers Data'!$AA$4:$AB$7,2,FALSE)))</f>
        <v/>
      </c>
      <c r="O78" s="155"/>
      <c r="P78" s="499" t="str">
        <f>IF(O78="","",IF(VLOOKUP(O78,'G-7 Rivers Data'!$AD$4:$AE$8,2,FALSE)=0,"Spatial Data Missing ⚠",VLOOKUP(O78,'G-7 Rivers Data'!$AD$4:$AE$8,2,FALSE)))</f>
        <v/>
      </c>
      <c r="Q78" s="506" t="str">
        <f>IF(D78="","",VLOOKUP(D78,'G-7 Rivers Data'!$B$4:$G$8,6,FALSE))</f>
        <v/>
      </c>
      <c r="R78" s="513" t="str">
        <f t="shared" si="8"/>
        <v/>
      </c>
      <c r="S78" s="40"/>
      <c r="T78" s="145"/>
      <c r="U78" s="157"/>
      <c r="V78" s="511" t="str">
        <f t="shared" si="9"/>
        <v/>
      </c>
      <c r="W78" s="511" t="str">
        <f t="shared" si="10"/>
        <v/>
      </c>
      <c r="X78" s="511" t="str">
        <f t="shared" si="11"/>
        <v/>
      </c>
      <c r="Y78" s="515" t="str">
        <f t="shared" si="12"/>
        <v/>
      </c>
      <c r="Z78" s="151"/>
      <c r="AA78" s="152"/>
      <c r="AF78" s="31" t="str">
        <f>IFERROR(INDEX('G-7 Rivers Data'!$AZ$3:$AZ$7,MATCH(D78,'G-7 Rivers Data'!$AY$3:$AY$7,0)),"")</f>
        <v/>
      </c>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row>
    <row r="79" spans="3:40" ht="13.8" x14ac:dyDescent="0.25">
      <c r="C79" s="141">
        <v>70</v>
      </c>
      <c r="D79" s="462"/>
      <c r="E79" s="153"/>
      <c r="F79" s="498" t="str">
        <f>IF(D79="","",VLOOKUP(D79,'G-7 Rivers Data'!$B$2:$G$8,2,FALSE))</f>
        <v/>
      </c>
      <c r="G79" s="499" t="str">
        <f>IFERROR(VLOOKUP(F79,'G-7 Rivers Data'!$C$4:$D$8,2,FALSE),"")</f>
        <v/>
      </c>
      <c r="H79" s="145"/>
      <c r="I79" s="499" t="str">
        <f>IFERROR(INDEX('G-7 Rivers Data'!$H$4:$L$8,MATCH(D79,'G-7 Rivers Data'!$B$4:$B$8,0),MATCH(H79,'G-7 Rivers Data'!$H$3:$L$3,0)),"")</f>
        <v/>
      </c>
      <c r="J79" s="154"/>
      <c r="K79" s="520" t="str">
        <f>IF(J79="","",IF(VLOOKUP(J79,'G-7 Rivers Data'!$AK$4:$AM$9,2,FALSE)=0,"Spatial Data Missing ⚠",VLOOKUP(J79,'G-7 Rivers Data'!$AK$4:$AM$9,2,FALSE)))</f>
        <v/>
      </c>
      <c r="L79" s="524" t="str">
        <f>IF(J79="","",IF(VLOOKUP(J79,'G-7 Rivers Data'!$AK$4:$AM$9,3,FALSE)=0,"Spatial Data Missing ⚠",VLOOKUP(J79,'G-7 Rivers Data'!$AK$4:$AM$9,3,FALSE)))</f>
        <v/>
      </c>
      <c r="M79" s="71"/>
      <c r="N79" s="499" t="str">
        <f>IF(M79="","",IF(VLOOKUP(M79,'G-7 Rivers Data'!$AA$4:$AB$7,2,FALSE)=0,"Spatial Data Missing ⚠",VLOOKUP(M79,'G-7 Rivers Data'!$AA$4:$AB$7,2,FALSE)))</f>
        <v/>
      </c>
      <c r="O79" s="155"/>
      <c r="P79" s="499" t="str">
        <f>IF(O79="","",IF(VLOOKUP(O79,'G-7 Rivers Data'!$AD$4:$AE$8,2,FALSE)=0,"Spatial Data Missing ⚠",VLOOKUP(O79,'G-7 Rivers Data'!$AD$4:$AE$8,2,FALSE)))</f>
        <v/>
      </c>
      <c r="Q79" s="506" t="str">
        <f>IF(D79="","",VLOOKUP(D79,'G-7 Rivers Data'!$B$4:$G$8,6,FALSE))</f>
        <v/>
      </c>
      <c r="R79" s="513" t="str">
        <f t="shared" si="8"/>
        <v/>
      </c>
      <c r="S79" s="40"/>
      <c r="T79" s="145"/>
      <c r="U79" s="157"/>
      <c r="V79" s="511" t="str">
        <f t="shared" si="9"/>
        <v/>
      </c>
      <c r="W79" s="511" t="str">
        <f t="shared" si="10"/>
        <v/>
      </c>
      <c r="X79" s="511" t="str">
        <f t="shared" si="11"/>
        <v/>
      </c>
      <c r="Y79" s="515" t="str">
        <f t="shared" si="12"/>
        <v/>
      </c>
      <c r="Z79" s="151"/>
      <c r="AA79" s="152"/>
      <c r="AF79" s="31" t="str">
        <f>IFERROR(INDEX('G-7 Rivers Data'!$AZ$3:$AZ$7,MATCH(D79,'G-7 Rivers Data'!$AY$3:$AY$7,0)),"")</f>
        <v/>
      </c>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row>
    <row r="80" spans="3:40" ht="13.8" x14ac:dyDescent="0.25">
      <c r="C80" s="141">
        <v>71</v>
      </c>
      <c r="D80" s="462"/>
      <c r="E80" s="153"/>
      <c r="F80" s="498" t="str">
        <f>IF(D80="","",VLOOKUP(D80,'G-7 Rivers Data'!$B$2:$G$8,2,FALSE))</f>
        <v/>
      </c>
      <c r="G80" s="499" t="str">
        <f>IFERROR(VLOOKUP(F80,'G-7 Rivers Data'!$C$4:$D$8,2,FALSE),"")</f>
        <v/>
      </c>
      <c r="H80" s="145"/>
      <c r="I80" s="499" t="str">
        <f>IFERROR(INDEX('G-7 Rivers Data'!$H$4:$L$8,MATCH(D80,'G-7 Rivers Data'!$B$4:$B$8,0),MATCH(H80,'G-7 Rivers Data'!$H$3:$L$3,0)),"")</f>
        <v/>
      </c>
      <c r="J80" s="154"/>
      <c r="K80" s="520" t="str">
        <f>IF(J80="","",IF(VLOOKUP(J80,'G-7 Rivers Data'!$AK$4:$AM$9,2,FALSE)=0,"Spatial Data Missing ⚠",VLOOKUP(J80,'G-7 Rivers Data'!$AK$4:$AM$9,2,FALSE)))</f>
        <v/>
      </c>
      <c r="L80" s="524" t="str">
        <f>IF(J80="","",IF(VLOOKUP(J80,'G-7 Rivers Data'!$AK$4:$AM$9,3,FALSE)=0,"Spatial Data Missing ⚠",VLOOKUP(J80,'G-7 Rivers Data'!$AK$4:$AM$9,3,FALSE)))</f>
        <v/>
      </c>
      <c r="M80" s="71"/>
      <c r="N80" s="499" t="str">
        <f>IF(M80="","",IF(VLOOKUP(M80,'G-7 Rivers Data'!$AA$4:$AB$7,2,FALSE)=0,"Spatial Data Missing ⚠",VLOOKUP(M80,'G-7 Rivers Data'!$AA$4:$AB$7,2,FALSE)))</f>
        <v/>
      </c>
      <c r="O80" s="155"/>
      <c r="P80" s="499" t="str">
        <f>IF(O80="","",IF(VLOOKUP(O80,'G-7 Rivers Data'!$AD$4:$AE$8,2,FALSE)=0,"Spatial Data Missing ⚠",VLOOKUP(O80,'G-7 Rivers Data'!$AD$4:$AE$8,2,FALSE)))</f>
        <v/>
      </c>
      <c r="Q80" s="506" t="str">
        <f>IF(D80="","",VLOOKUP(D80,'G-7 Rivers Data'!$B$4:$G$8,6,FALSE))</f>
        <v/>
      </c>
      <c r="R80" s="513" t="str">
        <f t="shared" si="8"/>
        <v/>
      </c>
      <c r="S80" s="40"/>
      <c r="T80" s="145"/>
      <c r="U80" s="157"/>
      <c r="V80" s="511" t="str">
        <f t="shared" si="9"/>
        <v/>
      </c>
      <c r="W80" s="511" t="str">
        <f t="shared" si="10"/>
        <v/>
      </c>
      <c r="X80" s="511" t="str">
        <f t="shared" si="11"/>
        <v/>
      </c>
      <c r="Y80" s="515" t="str">
        <f t="shared" si="12"/>
        <v/>
      </c>
      <c r="Z80" s="151"/>
      <c r="AA80" s="152"/>
      <c r="AF80" s="31" t="str">
        <f>IFERROR(INDEX('G-7 Rivers Data'!$AZ$3:$AZ$7,MATCH(D80,'G-7 Rivers Data'!$AY$3:$AY$7,0)),"")</f>
        <v/>
      </c>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row>
    <row r="81" spans="3:40" ht="13.8" x14ac:dyDescent="0.25">
      <c r="C81" s="141">
        <v>72</v>
      </c>
      <c r="D81" s="462"/>
      <c r="E81" s="153"/>
      <c r="F81" s="498" t="str">
        <f>IF(D81="","",VLOOKUP(D81,'G-7 Rivers Data'!$B$2:$G$8,2,FALSE))</f>
        <v/>
      </c>
      <c r="G81" s="499" t="str">
        <f>IFERROR(VLOOKUP(F81,'G-7 Rivers Data'!$C$4:$D$8,2,FALSE),"")</f>
        <v/>
      </c>
      <c r="H81" s="145"/>
      <c r="I81" s="499" t="str">
        <f>IFERROR(INDEX('G-7 Rivers Data'!$H$4:$L$8,MATCH(D81,'G-7 Rivers Data'!$B$4:$B$8,0),MATCH(H81,'G-7 Rivers Data'!$H$3:$L$3,0)),"")</f>
        <v/>
      </c>
      <c r="J81" s="154"/>
      <c r="K81" s="520" t="str">
        <f>IF(J81="","",IF(VLOOKUP(J81,'G-7 Rivers Data'!$AK$4:$AM$9,2,FALSE)=0,"Spatial Data Missing ⚠",VLOOKUP(J81,'G-7 Rivers Data'!$AK$4:$AM$9,2,FALSE)))</f>
        <v/>
      </c>
      <c r="L81" s="524" t="str">
        <f>IF(J81="","",IF(VLOOKUP(J81,'G-7 Rivers Data'!$AK$4:$AM$9,3,FALSE)=0,"Spatial Data Missing ⚠",VLOOKUP(J81,'G-7 Rivers Data'!$AK$4:$AM$9,3,FALSE)))</f>
        <v/>
      </c>
      <c r="M81" s="71"/>
      <c r="N81" s="499" t="str">
        <f>IF(M81="","",IF(VLOOKUP(M81,'G-7 Rivers Data'!$AA$4:$AB$7,2,FALSE)=0,"Spatial Data Missing ⚠",VLOOKUP(M81,'G-7 Rivers Data'!$AA$4:$AB$7,2,FALSE)))</f>
        <v/>
      </c>
      <c r="O81" s="155"/>
      <c r="P81" s="499" t="str">
        <f>IF(O81="","",IF(VLOOKUP(O81,'G-7 Rivers Data'!$AD$4:$AE$8,2,FALSE)=0,"Spatial Data Missing ⚠",VLOOKUP(O81,'G-7 Rivers Data'!$AD$4:$AE$8,2,FALSE)))</f>
        <v/>
      </c>
      <c r="Q81" s="506" t="str">
        <f>IF(D81="","",VLOOKUP(D81,'G-7 Rivers Data'!$B$4:$G$8,6,FALSE))</f>
        <v/>
      </c>
      <c r="R81" s="513" t="str">
        <f t="shared" si="8"/>
        <v/>
      </c>
      <c r="S81" s="40"/>
      <c r="T81" s="145"/>
      <c r="U81" s="157"/>
      <c r="V81" s="511" t="str">
        <f t="shared" si="9"/>
        <v/>
      </c>
      <c r="W81" s="511" t="str">
        <f t="shared" si="10"/>
        <v/>
      </c>
      <c r="X81" s="511" t="str">
        <f t="shared" si="11"/>
        <v/>
      </c>
      <c r="Y81" s="515" t="str">
        <f t="shared" si="12"/>
        <v/>
      </c>
      <c r="Z81" s="151"/>
      <c r="AA81" s="152"/>
      <c r="AF81" s="31" t="str">
        <f>IFERROR(INDEX('G-7 Rivers Data'!$AZ$3:$AZ$7,MATCH(D81,'G-7 Rivers Data'!$AY$3:$AY$7,0)),"")</f>
        <v/>
      </c>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row>
    <row r="82" spans="3:40" ht="13.8" x14ac:dyDescent="0.25">
      <c r="C82" s="141">
        <v>73</v>
      </c>
      <c r="D82" s="462"/>
      <c r="E82" s="153"/>
      <c r="F82" s="498" t="str">
        <f>IF(D82="","",VLOOKUP(D82,'G-7 Rivers Data'!$B$2:$G$8,2,FALSE))</f>
        <v/>
      </c>
      <c r="G82" s="499" t="str">
        <f>IFERROR(VLOOKUP(F82,'G-7 Rivers Data'!$C$4:$D$8,2,FALSE),"")</f>
        <v/>
      </c>
      <c r="H82" s="145"/>
      <c r="I82" s="499" t="str">
        <f>IFERROR(INDEX('G-7 Rivers Data'!$H$4:$L$8,MATCH(D82,'G-7 Rivers Data'!$B$4:$B$8,0),MATCH(H82,'G-7 Rivers Data'!$H$3:$L$3,0)),"")</f>
        <v/>
      </c>
      <c r="J82" s="154"/>
      <c r="K82" s="520" t="str">
        <f>IF(J82="","",IF(VLOOKUP(J82,'G-7 Rivers Data'!$AK$4:$AM$9,2,FALSE)=0,"Spatial Data Missing ⚠",VLOOKUP(J82,'G-7 Rivers Data'!$AK$4:$AM$9,2,FALSE)))</f>
        <v/>
      </c>
      <c r="L82" s="524" t="str">
        <f>IF(J82="","",IF(VLOOKUP(J82,'G-7 Rivers Data'!$AK$4:$AM$9,3,FALSE)=0,"Spatial Data Missing ⚠",VLOOKUP(J82,'G-7 Rivers Data'!$AK$4:$AM$9,3,FALSE)))</f>
        <v/>
      </c>
      <c r="M82" s="71"/>
      <c r="N82" s="499" t="str">
        <f>IF(M82="","",IF(VLOOKUP(M82,'G-7 Rivers Data'!$AA$4:$AB$7,2,FALSE)=0,"Spatial Data Missing ⚠",VLOOKUP(M82,'G-7 Rivers Data'!$AA$4:$AB$7,2,FALSE)))</f>
        <v/>
      </c>
      <c r="O82" s="155"/>
      <c r="P82" s="499" t="str">
        <f>IF(O82="","",IF(VLOOKUP(O82,'G-7 Rivers Data'!$AD$4:$AE$8,2,FALSE)=0,"Spatial Data Missing ⚠",VLOOKUP(O82,'G-7 Rivers Data'!$AD$4:$AE$8,2,FALSE)))</f>
        <v/>
      </c>
      <c r="Q82" s="506" t="str">
        <f>IF(D82="","",VLOOKUP(D82,'G-7 Rivers Data'!$B$4:$G$8,6,FALSE))</f>
        <v/>
      </c>
      <c r="R82" s="513" t="str">
        <f t="shared" si="8"/>
        <v/>
      </c>
      <c r="S82" s="40"/>
      <c r="T82" s="145"/>
      <c r="U82" s="157"/>
      <c r="V82" s="511" t="str">
        <f t="shared" si="9"/>
        <v/>
      </c>
      <c r="W82" s="511" t="str">
        <f t="shared" si="10"/>
        <v/>
      </c>
      <c r="X82" s="511" t="str">
        <f t="shared" si="11"/>
        <v/>
      </c>
      <c r="Y82" s="515" t="str">
        <f t="shared" si="12"/>
        <v/>
      </c>
      <c r="Z82" s="151"/>
      <c r="AA82" s="152"/>
      <c r="AF82" s="31" t="str">
        <f>IFERROR(INDEX('G-7 Rivers Data'!$AZ$3:$AZ$7,MATCH(D82,'G-7 Rivers Data'!$AY$3:$AY$7,0)),"")</f>
        <v/>
      </c>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row>
    <row r="83" spans="3:40" ht="13.8" x14ac:dyDescent="0.25">
      <c r="C83" s="141">
        <v>74</v>
      </c>
      <c r="D83" s="462"/>
      <c r="E83" s="153"/>
      <c r="F83" s="498" t="str">
        <f>IF(D83="","",VLOOKUP(D83,'G-7 Rivers Data'!$B$2:$G$8,2,FALSE))</f>
        <v/>
      </c>
      <c r="G83" s="499" t="str">
        <f>IFERROR(VLOOKUP(F83,'G-7 Rivers Data'!$C$4:$D$8,2,FALSE),"")</f>
        <v/>
      </c>
      <c r="H83" s="145"/>
      <c r="I83" s="499" t="str">
        <f>IFERROR(INDEX('G-7 Rivers Data'!$H$4:$L$8,MATCH(D83,'G-7 Rivers Data'!$B$4:$B$8,0),MATCH(H83,'G-7 Rivers Data'!$H$3:$L$3,0)),"")</f>
        <v/>
      </c>
      <c r="J83" s="154"/>
      <c r="K83" s="520" t="str">
        <f>IF(J83="","",IF(VLOOKUP(J83,'G-7 Rivers Data'!$AK$4:$AM$9,2,FALSE)=0,"Spatial Data Missing ⚠",VLOOKUP(J83,'G-7 Rivers Data'!$AK$4:$AM$9,2,FALSE)))</f>
        <v/>
      </c>
      <c r="L83" s="524" t="str">
        <f>IF(J83="","",IF(VLOOKUP(J83,'G-7 Rivers Data'!$AK$4:$AM$9,3,FALSE)=0,"Spatial Data Missing ⚠",VLOOKUP(J83,'G-7 Rivers Data'!$AK$4:$AM$9,3,FALSE)))</f>
        <v/>
      </c>
      <c r="M83" s="71"/>
      <c r="N83" s="499" t="str">
        <f>IF(M83="","",IF(VLOOKUP(M83,'G-7 Rivers Data'!$AA$4:$AB$7,2,FALSE)=0,"Spatial Data Missing ⚠",VLOOKUP(M83,'G-7 Rivers Data'!$AA$4:$AB$7,2,FALSE)))</f>
        <v/>
      </c>
      <c r="O83" s="155"/>
      <c r="P83" s="499" t="str">
        <f>IF(O83="","",IF(VLOOKUP(O83,'G-7 Rivers Data'!$AD$4:$AE$8,2,FALSE)=0,"Spatial Data Missing ⚠",VLOOKUP(O83,'G-7 Rivers Data'!$AD$4:$AE$8,2,FALSE)))</f>
        <v/>
      </c>
      <c r="Q83" s="506" t="str">
        <f>IF(D83="","",VLOOKUP(D83,'G-7 Rivers Data'!$B$4:$G$8,6,FALSE))</f>
        <v/>
      </c>
      <c r="R83" s="513" t="str">
        <f t="shared" si="8"/>
        <v/>
      </c>
      <c r="S83" s="40"/>
      <c r="T83" s="145"/>
      <c r="U83" s="157"/>
      <c r="V83" s="511" t="str">
        <f t="shared" si="9"/>
        <v/>
      </c>
      <c r="W83" s="511" t="str">
        <f t="shared" si="10"/>
        <v/>
      </c>
      <c r="X83" s="511" t="str">
        <f t="shared" si="11"/>
        <v/>
      </c>
      <c r="Y83" s="515" t="str">
        <f t="shared" si="12"/>
        <v/>
      </c>
      <c r="Z83" s="151"/>
      <c r="AA83" s="152"/>
      <c r="AF83" s="31" t="str">
        <f>IFERROR(INDEX('G-7 Rivers Data'!$AZ$3:$AZ$7,MATCH(D83,'G-7 Rivers Data'!$AY$3:$AY$7,0)),"")</f>
        <v/>
      </c>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row>
    <row r="84" spans="3:40" ht="13.8" x14ac:dyDescent="0.25">
      <c r="C84" s="141">
        <v>75</v>
      </c>
      <c r="D84" s="462"/>
      <c r="E84" s="153"/>
      <c r="F84" s="498" t="str">
        <f>IF(D84="","",VLOOKUP(D84,'G-7 Rivers Data'!$B$2:$G$8,2,FALSE))</f>
        <v/>
      </c>
      <c r="G84" s="499" t="str">
        <f>IFERROR(VLOOKUP(F84,'G-7 Rivers Data'!$C$4:$D$8,2,FALSE),"")</f>
        <v/>
      </c>
      <c r="H84" s="145"/>
      <c r="I84" s="499" t="str">
        <f>IFERROR(INDEX('G-7 Rivers Data'!$H$4:$L$8,MATCH(D84,'G-7 Rivers Data'!$B$4:$B$8,0),MATCH(H84,'G-7 Rivers Data'!$H$3:$L$3,0)),"")</f>
        <v/>
      </c>
      <c r="J84" s="154"/>
      <c r="K84" s="520" t="str">
        <f>IF(J84="","",IF(VLOOKUP(J84,'G-7 Rivers Data'!$AK$4:$AM$9,2,FALSE)=0,"Spatial Data Missing ⚠",VLOOKUP(J84,'G-7 Rivers Data'!$AK$4:$AM$9,2,FALSE)))</f>
        <v/>
      </c>
      <c r="L84" s="524" t="str">
        <f>IF(J84="","",IF(VLOOKUP(J84,'G-7 Rivers Data'!$AK$4:$AM$9,3,FALSE)=0,"Spatial Data Missing ⚠",VLOOKUP(J84,'G-7 Rivers Data'!$AK$4:$AM$9,3,FALSE)))</f>
        <v/>
      </c>
      <c r="M84" s="71"/>
      <c r="N84" s="499" t="str">
        <f>IF(M84="","",IF(VLOOKUP(M84,'G-7 Rivers Data'!$AA$4:$AB$7,2,FALSE)=0,"Spatial Data Missing ⚠",VLOOKUP(M84,'G-7 Rivers Data'!$AA$4:$AB$7,2,FALSE)))</f>
        <v/>
      </c>
      <c r="O84" s="155"/>
      <c r="P84" s="499" t="str">
        <f>IF(O84="","",IF(VLOOKUP(O84,'G-7 Rivers Data'!$AD$4:$AE$8,2,FALSE)=0,"Spatial Data Missing ⚠",VLOOKUP(O84,'G-7 Rivers Data'!$AD$4:$AE$8,2,FALSE)))</f>
        <v/>
      </c>
      <c r="Q84" s="506" t="str">
        <f>IF(D84="","",VLOOKUP(D84,'G-7 Rivers Data'!$B$4:$G$8,6,FALSE))</f>
        <v/>
      </c>
      <c r="R84" s="513" t="str">
        <f t="shared" si="8"/>
        <v/>
      </c>
      <c r="S84" s="40"/>
      <c r="T84" s="145"/>
      <c r="U84" s="157"/>
      <c r="V84" s="511" t="str">
        <f t="shared" si="9"/>
        <v/>
      </c>
      <c r="W84" s="511" t="str">
        <f t="shared" si="10"/>
        <v/>
      </c>
      <c r="X84" s="511" t="str">
        <f t="shared" si="11"/>
        <v/>
      </c>
      <c r="Y84" s="515" t="str">
        <f t="shared" si="12"/>
        <v/>
      </c>
      <c r="Z84" s="151"/>
      <c r="AA84" s="152"/>
      <c r="AF84" s="31" t="str">
        <f>IFERROR(INDEX('G-7 Rivers Data'!$AZ$3:$AZ$7,MATCH(D84,'G-7 Rivers Data'!$AY$3:$AY$7,0)),"")</f>
        <v/>
      </c>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row>
    <row r="85" spans="3:40" ht="13.8" x14ac:dyDescent="0.25">
      <c r="C85" s="141">
        <v>76</v>
      </c>
      <c r="D85" s="462"/>
      <c r="E85" s="153"/>
      <c r="F85" s="498" t="str">
        <f>IF(D85="","",VLOOKUP(D85,'G-7 Rivers Data'!$B$2:$G$8,2,FALSE))</f>
        <v/>
      </c>
      <c r="G85" s="499" t="str">
        <f>IFERROR(VLOOKUP(F85,'G-7 Rivers Data'!$C$4:$D$8,2,FALSE),"")</f>
        <v/>
      </c>
      <c r="H85" s="145"/>
      <c r="I85" s="499" t="str">
        <f>IFERROR(INDEX('G-7 Rivers Data'!$H$4:$L$8,MATCH(D85,'G-7 Rivers Data'!$B$4:$B$8,0),MATCH(H85,'G-7 Rivers Data'!$H$3:$L$3,0)),"")</f>
        <v/>
      </c>
      <c r="J85" s="154"/>
      <c r="K85" s="520" t="str">
        <f>IF(J85="","",IF(VLOOKUP(J85,'G-7 Rivers Data'!$AK$4:$AM$9,2,FALSE)=0,"Spatial Data Missing ⚠",VLOOKUP(J85,'G-7 Rivers Data'!$AK$4:$AM$9,2,FALSE)))</f>
        <v/>
      </c>
      <c r="L85" s="524" t="str">
        <f>IF(J85="","",IF(VLOOKUP(J85,'G-7 Rivers Data'!$AK$4:$AM$9,3,FALSE)=0,"Spatial Data Missing ⚠",VLOOKUP(J85,'G-7 Rivers Data'!$AK$4:$AM$9,3,FALSE)))</f>
        <v/>
      </c>
      <c r="M85" s="71"/>
      <c r="N85" s="499" t="str">
        <f>IF(M85="","",IF(VLOOKUP(M85,'G-7 Rivers Data'!$AA$4:$AB$7,2,FALSE)=0,"Spatial Data Missing ⚠",VLOOKUP(M85,'G-7 Rivers Data'!$AA$4:$AB$7,2,FALSE)))</f>
        <v/>
      </c>
      <c r="O85" s="155"/>
      <c r="P85" s="499" t="str">
        <f>IF(O85="","",IF(VLOOKUP(O85,'G-7 Rivers Data'!$AD$4:$AE$8,2,FALSE)=0,"Spatial Data Missing ⚠",VLOOKUP(O85,'G-7 Rivers Data'!$AD$4:$AE$8,2,FALSE)))</f>
        <v/>
      </c>
      <c r="Q85" s="506" t="str">
        <f>IF(D85="","",VLOOKUP(D85,'G-7 Rivers Data'!$B$4:$G$8,6,FALSE))</f>
        <v/>
      </c>
      <c r="R85" s="513" t="str">
        <f t="shared" si="8"/>
        <v/>
      </c>
      <c r="S85" s="40"/>
      <c r="T85" s="145"/>
      <c r="U85" s="157"/>
      <c r="V85" s="511" t="str">
        <f t="shared" si="9"/>
        <v/>
      </c>
      <c r="W85" s="511" t="str">
        <f t="shared" si="10"/>
        <v/>
      </c>
      <c r="X85" s="511" t="str">
        <f t="shared" si="11"/>
        <v/>
      </c>
      <c r="Y85" s="515" t="str">
        <f t="shared" si="12"/>
        <v/>
      </c>
      <c r="Z85" s="151"/>
      <c r="AA85" s="152"/>
      <c r="AF85" s="31" t="str">
        <f>IFERROR(INDEX('G-7 Rivers Data'!$AZ$3:$AZ$7,MATCH(D85,'G-7 Rivers Data'!$AY$3:$AY$7,0)),"")</f>
        <v/>
      </c>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row>
    <row r="86" spans="3:40" ht="13.8" x14ac:dyDescent="0.25">
      <c r="C86" s="141">
        <v>77</v>
      </c>
      <c r="D86" s="462"/>
      <c r="E86" s="153"/>
      <c r="F86" s="498" t="str">
        <f>IF(D86="","",VLOOKUP(D86,'G-7 Rivers Data'!$B$2:$G$8,2,FALSE))</f>
        <v/>
      </c>
      <c r="G86" s="499" t="str">
        <f>IFERROR(VLOOKUP(F86,'G-7 Rivers Data'!$C$4:$D$8,2,FALSE),"")</f>
        <v/>
      </c>
      <c r="H86" s="145"/>
      <c r="I86" s="499" t="str">
        <f>IFERROR(INDEX('G-7 Rivers Data'!$H$4:$L$8,MATCH(D86,'G-7 Rivers Data'!$B$4:$B$8,0),MATCH(H86,'G-7 Rivers Data'!$H$3:$L$3,0)),"")</f>
        <v/>
      </c>
      <c r="J86" s="154"/>
      <c r="K86" s="520" t="str">
        <f>IF(J86="","",IF(VLOOKUP(J86,'G-7 Rivers Data'!$AK$4:$AM$9,2,FALSE)=0,"Spatial Data Missing ⚠",VLOOKUP(J86,'G-7 Rivers Data'!$AK$4:$AM$9,2,FALSE)))</f>
        <v/>
      </c>
      <c r="L86" s="524" t="str">
        <f>IF(J86="","",IF(VLOOKUP(J86,'G-7 Rivers Data'!$AK$4:$AM$9,3,FALSE)=0,"Spatial Data Missing ⚠",VLOOKUP(J86,'G-7 Rivers Data'!$AK$4:$AM$9,3,FALSE)))</f>
        <v/>
      </c>
      <c r="M86" s="71"/>
      <c r="N86" s="499" t="str">
        <f>IF(M86="","",IF(VLOOKUP(M86,'G-7 Rivers Data'!$AA$4:$AB$7,2,FALSE)=0,"Spatial Data Missing ⚠",VLOOKUP(M86,'G-7 Rivers Data'!$AA$4:$AB$7,2,FALSE)))</f>
        <v/>
      </c>
      <c r="O86" s="155"/>
      <c r="P86" s="499" t="str">
        <f>IF(O86="","",IF(VLOOKUP(O86,'G-7 Rivers Data'!$AD$4:$AE$8,2,FALSE)=0,"Spatial Data Missing ⚠",VLOOKUP(O86,'G-7 Rivers Data'!$AD$4:$AE$8,2,FALSE)))</f>
        <v/>
      </c>
      <c r="Q86" s="506" t="str">
        <f>IF(D86="","",VLOOKUP(D86,'G-7 Rivers Data'!$B$4:$G$8,6,FALSE))</f>
        <v/>
      </c>
      <c r="R86" s="513" t="str">
        <f t="shared" si="8"/>
        <v/>
      </c>
      <c r="S86" s="40"/>
      <c r="T86" s="145"/>
      <c r="U86" s="157"/>
      <c r="V86" s="511" t="str">
        <f t="shared" si="9"/>
        <v/>
      </c>
      <c r="W86" s="511" t="str">
        <f t="shared" si="10"/>
        <v/>
      </c>
      <c r="X86" s="511" t="str">
        <f t="shared" si="11"/>
        <v/>
      </c>
      <c r="Y86" s="515" t="str">
        <f t="shared" si="12"/>
        <v/>
      </c>
      <c r="Z86" s="151"/>
      <c r="AA86" s="152"/>
      <c r="AF86" s="31" t="str">
        <f>IFERROR(INDEX('G-7 Rivers Data'!$AZ$3:$AZ$7,MATCH(D86,'G-7 Rivers Data'!$AY$3:$AY$7,0)),"")</f>
        <v/>
      </c>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row>
    <row r="87" spans="3:40" ht="13.8" x14ac:dyDescent="0.25">
      <c r="C87" s="141">
        <v>78</v>
      </c>
      <c r="D87" s="462"/>
      <c r="E87" s="153"/>
      <c r="F87" s="498" t="str">
        <f>IF(D87="","",VLOOKUP(D87,'G-7 Rivers Data'!$B$2:$G$8,2,FALSE))</f>
        <v/>
      </c>
      <c r="G87" s="499" t="str">
        <f>IFERROR(VLOOKUP(F87,'G-7 Rivers Data'!$C$4:$D$8,2,FALSE),"")</f>
        <v/>
      </c>
      <c r="H87" s="145"/>
      <c r="I87" s="499" t="str">
        <f>IFERROR(INDEX('G-7 Rivers Data'!$H$4:$L$8,MATCH(D87,'G-7 Rivers Data'!$B$4:$B$8,0),MATCH(H87,'G-7 Rivers Data'!$H$3:$L$3,0)),"")</f>
        <v/>
      </c>
      <c r="J87" s="154"/>
      <c r="K87" s="520" t="str">
        <f>IF(J87="","",IF(VLOOKUP(J87,'G-7 Rivers Data'!$AK$4:$AM$9,2,FALSE)=0,"Spatial Data Missing ⚠",VLOOKUP(J87,'G-7 Rivers Data'!$AK$4:$AM$9,2,FALSE)))</f>
        <v/>
      </c>
      <c r="L87" s="524" t="str">
        <f>IF(J87="","",IF(VLOOKUP(J87,'G-7 Rivers Data'!$AK$4:$AM$9,3,FALSE)=0,"Spatial Data Missing ⚠",VLOOKUP(J87,'G-7 Rivers Data'!$AK$4:$AM$9,3,FALSE)))</f>
        <v/>
      </c>
      <c r="M87" s="71"/>
      <c r="N87" s="499" t="str">
        <f>IF(M87="","",IF(VLOOKUP(M87,'G-7 Rivers Data'!$AA$4:$AB$7,2,FALSE)=0,"Spatial Data Missing ⚠",VLOOKUP(M87,'G-7 Rivers Data'!$AA$4:$AB$7,2,FALSE)))</f>
        <v/>
      </c>
      <c r="O87" s="155"/>
      <c r="P87" s="499" t="str">
        <f>IF(O87="","",IF(VLOOKUP(O87,'G-7 Rivers Data'!$AD$4:$AE$8,2,FALSE)=0,"Spatial Data Missing ⚠",VLOOKUP(O87,'G-7 Rivers Data'!$AD$4:$AE$8,2,FALSE)))</f>
        <v/>
      </c>
      <c r="Q87" s="506" t="str">
        <f>IF(D87="","",VLOOKUP(D87,'G-7 Rivers Data'!$B$4:$G$8,6,FALSE))</f>
        <v/>
      </c>
      <c r="R87" s="513" t="str">
        <f t="shared" si="8"/>
        <v/>
      </c>
      <c r="S87" s="40"/>
      <c r="T87" s="145"/>
      <c r="U87" s="157"/>
      <c r="V87" s="511" t="str">
        <f t="shared" si="9"/>
        <v/>
      </c>
      <c r="W87" s="511" t="str">
        <f t="shared" si="10"/>
        <v/>
      </c>
      <c r="X87" s="511" t="str">
        <f t="shared" si="11"/>
        <v/>
      </c>
      <c r="Y87" s="515" t="str">
        <f t="shared" si="12"/>
        <v/>
      </c>
      <c r="Z87" s="151"/>
      <c r="AA87" s="152"/>
      <c r="AF87" s="31" t="str">
        <f>IFERROR(INDEX('G-7 Rivers Data'!$AZ$3:$AZ$7,MATCH(D87,'G-7 Rivers Data'!$AY$3:$AY$7,0)),"")</f>
        <v/>
      </c>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row>
    <row r="88" spans="3:40" ht="13.8" x14ac:dyDescent="0.25">
      <c r="C88" s="141">
        <v>79</v>
      </c>
      <c r="D88" s="462"/>
      <c r="E88" s="153"/>
      <c r="F88" s="498" t="str">
        <f>IF(D88="","",VLOOKUP(D88,'G-7 Rivers Data'!$B$2:$G$8,2,FALSE))</f>
        <v/>
      </c>
      <c r="G88" s="499" t="str">
        <f>IFERROR(VLOOKUP(F88,'G-7 Rivers Data'!$C$4:$D$8,2,FALSE),"")</f>
        <v/>
      </c>
      <c r="H88" s="145"/>
      <c r="I88" s="499" t="str">
        <f>IFERROR(INDEX('G-7 Rivers Data'!$H$4:$L$8,MATCH(D88,'G-7 Rivers Data'!$B$4:$B$8,0),MATCH(H88,'G-7 Rivers Data'!$H$3:$L$3,0)),"")</f>
        <v/>
      </c>
      <c r="J88" s="154"/>
      <c r="K88" s="520" t="str">
        <f>IF(J88="","",IF(VLOOKUP(J88,'G-7 Rivers Data'!$AK$4:$AM$9,2,FALSE)=0,"Spatial Data Missing ⚠",VLOOKUP(J88,'G-7 Rivers Data'!$AK$4:$AM$9,2,FALSE)))</f>
        <v/>
      </c>
      <c r="L88" s="524" t="str">
        <f>IF(J88="","",IF(VLOOKUP(J88,'G-7 Rivers Data'!$AK$4:$AM$9,3,FALSE)=0,"Spatial Data Missing ⚠",VLOOKUP(J88,'G-7 Rivers Data'!$AK$4:$AM$9,3,FALSE)))</f>
        <v/>
      </c>
      <c r="M88" s="71"/>
      <c r="N88" s="499" t="str">
        <f>IF(M88="","",IF(VLOOKUP(M88,'G-7 Rivers Data'!$AA$4:$AB$7,2,FALSE)=0,"Spatial Data Missing ⚠",VLOOKUP(M88,'G-7 Rivers Data'!$AA$4:$AB$7,2,FALSE)))</f>
        <v/>
      </c>
      <c r="O88" s="155"/>
      <c r="P88" s="499" t="str">
        <f>IF(O88="","",IF(VLOOKUP(O88,'G-7 Rivers Data'!$AD$4:$AE$8,2,FALSE)=0,"Spatial Data Missing ⚠",VLOOKUP(O88,'G-7 Rivers Data'!$AD$4:$AE$8,2,FALSE)))</f>
        <v/>
      </c>
      <c r="Q88" s="506" t="str">
        <f>IF(D88="","",VLOOKUP(D88,'G-7 Rivers Data'!$B$4:$G$8,6,FALSE))</f>
        <v/>
      </c>
      <c r="R88" s="513" t="str">
        <f t="shared" si="8"/>
        <v/>
      </c>
      <c r="S88" s="40"/>
      <c r="T88" s="145"/>
      <c r="U88" s="157"/>
      <c r="V88" s="511" t="str">
        <f t="shared" si="9"/>
        <v/>
      </c>
      <c r="W88" s="511" t="str">
        <f t="shared" si="10"/>
        <v/>
      </c>
      <c r="X88" s="511" t="str">
        <f t="shared" si="11"/>
        <v/>
      </c>
      <c r="Y88" s="515" t="str">
        <f t="shared" si="12"/>
        <v/>
      </c>
      <c r="Z88" s="151"/>
      <c r="AA88" s="152"/>
      <c r="AF88" s="31" t="str">
        <f>IFERROR(INDEX('G-7 Rivers Data'!$AZ$3:$AZ$7,MATCH(D88,'G-7 Rivers Data'!$AY$3:$AY$7,0)),"")</f>
        <v/>
      </c>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row>
    <row r="89" spans="3:40" ht="13.8" x14ac:dyDescent="0.25">
      <c r="C89" s="141">
        <v>80</v>
      </c>
      <c r="D89" s="462"/>
      <c r="E89" s="153"/>
      <c r="F89" s="498" t="str">
        <f>IF(D89="","",VLOOKUP(D89,'G-7 Rivers Data'!$B$2:$G$8,2,FALSE))</f>
        <v/>
      </c>
      <c r="G89" s="499" t="str">
        <f>IFERROR(VLOOKUP(F89,'G-7 Rivers Data'!$C$4:$D$8,2,FALSE),"")</f>
        <v/>
      </c>
      <c r="H89" s="145"/>
      <c r="I89" s="499" t="str">
        <f>IFERROR(INDEX('G-7 Rivers Data'!$H$4:$L$8,MATCH(D89,'G-7 Rivers Data'!$B$4:$B$8,0),MATCH(H89,'G-7 Rivers Data'!$H$3:$L$3,0)),"")</f>
        <v/>
      </c>
      <c r="J89" s="154"/>
      <c r="K89" s="520" t="str">
        <f>IF(J89="","",IF(VLOOKUP(J89,'G-7 Rivers Data'!$AK$4:$AM$9,2,FALSE)=0,"Spatial Data Missing ⚠",VLOOKUP(J89,'G-7 Rivers Data'!$AK$4:$AM$9,2,FALSE)))</f>
        <v/>
      </c>
      <c r="L89" s="524" t="str">
        <f>IF(J89="","",IF(VLOOKUP(J89,'G-7 Rivers Data'!$AK$4:$AM$9,3,FALSE)=0,"Spatial Data Missing ⚠",VLOOKUP(J89,'G-7 Rivers Data'!$AK$4:$AM$9,3,FALSE)))</f>
        <v/>
      </c>
      <c r="M89" s="71"/>
      <c r="N89" s="499" t="str">
        <f>IF(M89="","",IF(VLOOKUP(M89,'G-7 Rivers Data'!$AA$4:$AB$7,2,FALSE)=0,"Spatial Data Missing ⚠",VLOOKUP(M89,'G-7 Rivers Data'!$AA$4:$AB$7,2,FALSE)))</f>
        <v/>
      </c>
      <c r="O89" s="155"/>
      <c r="P89" s="499" t="str">
        <f>IF(O89="","",IF(VLOOKUP(O89,'G-7 Rivers Data'!$AD$4:$AE$8,2,FALSE)=0,"Spatial Data Missing ⚠",VLOOKUP(O89,'G-7 Rivers Data'!$AD$4:$AE$8,2,FALSE)))</f>
        <v/>
      </c>
      <c r="Q89" s="506" t="str">
        <f>IF(D89="","",VLOOKUP(D89,'G-7 Rivers Data'!$B$4:$G$8,6,FALSE))</f>
        <v/>
      </c>
      <c r="R89" s="513" t="str">
        <f t="shared" si="8"/>
        <v/>
      </c>
      <c r="S89" s="40"/>
      <c r="T89" s="145"/>
      <c r="U89" s="157"/>
      <c r="V89" s="511" t="str">
        <f t="shared" si="9"/>
        <v/>
      </c>
      <c r="W89" s="511" t="str">
        <f t="shared" si="10"/>
        <v/>
      </c>
      <c r="X89" s="511" t="str">
        <f t="shared" si="11"/>
        <v/>
      </c>
      <c r="Y89" s="515" t="str">
        <f t="shared" si="12"/>
        <v/>
      </c>
      <c r="Z89" s="151"/>
      <c r="AA89" s="152"/>
      <c r="AF89" s="31" t="str">
        <f>IFERROR(INDEX('G-7 Rivers Data'!$AZ$3:$AZ$7,MATCH(D89,'G-7 Rivers Data'!$AY$3:$AY$7,0)),"")</f>
        <v/>
      </c>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row>
    <row r="90" spans="3:40" ht="13.8" x14ac:dyDescent="0.25">
      <c r="C90" s="141">
        <v>81</v>
      </c>
      <c r="D90" s="462"/>
      <c r="E90" s="153"/>
      <c r="F90" s="498" t="str">
        <f>IF(D90="","",VLOOKUP(D90,'G-7 Rivers Data'!$B$2:$G$8,2,FALSE))</f>
        <v/>
      </c>
      <c r="G90" s="499" t="str">
        <f>IFERROR(VLOOKUP(F90,'G-7 Rivers Data'!$C$4:$D$8,2,FALSE),"")</f>
        <v/>
      </c>
      <c r="H90" s="145"/>
      <c r="I90" s="499" t="str">
        <f>IFERROR(INDEX('G-7 Rivers Data'!$H$4:$L$8,MATCH(D90,'G-7 Rivers Data'!$B$4:$B$8,0),MATCH(H90,'G-7 Rivers Data'!$H$3:$L$3,0)),"")</f>
        <v/>
      </c>
      <c r="J90" s="154"/>
      <c r="K90" s="520" t="str">
        <f>IF(J90="","",IF(VLOOKUP(J90,'G-7 Rivers Data'!$AK$4:$AM$9,2,FALSE)=0,"Spatial Data Missing ⚠",VLOOKUP(J90,'G-7 Rivers Data'!$AK$4:$AM$9,2,FALSE)))</f>
        <v/>
      </c>
      <c r="L90" s="524" t="str">
        <f>IF(J90="","",IF(VLOOKUP(J90,'G-7 Rivers Data'!$AK$4:$AM$9,3,FALSE)=0,"Spatial Data Missing ⚠",VLOOKUP(J90,'G-7 Rivers Data'!$AK$4:$AM$9,3,FALSE)))</f>
        <v/>
      </c>
      <c r="M90" s="71"/>
      <c r="N90" s="499" t="str">
        <f>IF(M90="","",IF(VLOOKUP(M90,'G-7 Rivers Data'!$AA$4:$AB$7,2,FALSE)=0,"Spatial Data Missing ⚠",VLOOKUP(M90,'G-7 Rivers Data'!$AA$4:$AB$7,2,FALSE)))</f>
        <v/>
      </c>
      <c r="O90" s="155"/>
      <c r="P90" s="499" t="str">
        <f>IF(O90="","",IF(VLOOKUP(O90,'G-7 Rivers Data'!$AD$4:$AE$8,2,FALSE)=0,"Spatial Data Missing ⚠",VLOOKUP(O90,'G-7 Rivers Data'!$AD$4:$AE$8,2,FALSE)))</f>
        <v/>
      </c>
      <c r="Q90" s="506" t="str">
        <f>IF(D90="","",VLOOKUP(D90,'G-7 Rivers Data'!$B$4:$G$8,6,FALSE))</f>
        <v/>
      </c>
      <c r="R90" s="513" t="str">
        <f t="shared" si="8"/>
        <v/>
      </c>
      <c r="S90" s="40"/>
      <c r="T90" s="145"/>
      <c r="U90" s="157"/>
      <c r="V90" s="511" t="str">
        <f t="shared" si="9"/>
        <v/>
      </c>
      <c r="W90" s="511" t="str">
        <f t="shared" si="10"/>
        <v/>
      </c>
      <c r="X90" s="511" t="str">
        <f t="shared" si="11"/>
        <v/>
      </c>
      <c r="Y90" s="515" t="str">
        <f t="shared" si="12"/>
        <v/>
      </c>
      <c r="Z90" s="151"/>
      <c r="AA90" s="152"/>
      <c r="AF90" s="31" t="str">
        <f>IFERROR(INDEX('G-7 Rivers Data'!$AZ$3:$AZ$7,MATCH(D90,'G-7 Rivers Data'!$AY$3:$AY$7,0)),"")</f>
        <v/>
      </c>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row>
    <row r="91" spans="3:40" ht="13.8" x14ac:dyDescent="0.25">
      <c r="C91" s="141">
        <v>82</v>
      </c>
      <c r="D91" s="462"/>
      <c r="E91" s="153"/>
      <c r="F91" s="498" t="str">
        <f>IF(D91="","",VLOOKUP(D91,'G-7 Rivers Data'!$B$2:$G$8,2,FALSE))</f>
        <v/>
      </c>
      <c r="G91" s="499" t="str">
        <f>IFERROR(VLOOKUP(F91,'G-7 Rivers Data'!$C$4:$D$8,2,FALSE),"")</f>
        <v/>
      </c>
      <c r="H91" s="145"/>
      <c r="I91" s="499" t="str">
        <f>IFERROR(INDEX('G-7 Rivers Data'!$H$4:$L$8,MATCH(D91,'G-7 Rivers Data'!$B$4:$B$8,0),MATCH(H91,'G-7 Rivers Data'!$H$3:$L$3,0)),"")</f>
        <v/>
      </c>
      <c r="J91" s="154"/>
      <c r="K91" s="520" t="str">
        <f>IF(J91="","",IF(VLOOKUP(J91,'G-7 Rivers Data'!$AK$4:$AM$9,2,FALSE)=0,"Spatial Data Missing ⚠",VLOOKUP(J91,'G-7 Rivers Data'!$AK$4:$AM$9,2,FALSE)))</f>
        <v/>
      </c>
      <c r="L91" s="524" t="str">
        <f>IF(J91="","",IF(VLOOKUP(J91,'G-7 Rivers Data'!$AK$4:$AM$9,3,FALSE)=0,"Spatial Data Missing ⚠",VLOOKUP(J91,'G-7 Rivers Data'!$AK$4:$AM$9,3,FALSE)))</f>
        <v/>
      </c>
      <c r="M91" s="71"/>
      <c r="N91" s="499" t="str">
        <f>IF(M91="","",IF(VLOOKUP(M91,'G-7 Rivers Data'!$AA$4:$AB$7,2,FALSE)=0,"Spatial Data Missing ⚠",VLOOKUP(M91,'G-7 Rivers Data'!$AA$4:$AB$7,2,FALSE)))</f>
        <v/>
      </c>
      <c r="O91" s="155"/>
      <c r="P91" s="499" t="str">
        <f>IF(O91="","",IF(VLOOKUP(O91,'G-7 Rivers Data'!$AD$4:$AE$8,2,FALSE)=0,"Spatial Data Missing ⚠",VLOOKUP(O91,'G-7 Rivers Data'!$AD$4:$AE$8,2,FALSE)))</f>
        <v/>
      </c>
      <c r="Q91" s="506" t="str">
        <f>IF(D91="","",VLOOKUP(D91,'G-7 Rivers Data'!$B$4:$G$8,6,FALSE))</f>
        <v/>
      </c>
      <c r="R91" s="513" t="str">
        <f t="shared" si="8"/>
        <v/>
      </c>
      <c r="S91" s="40"/>
      <c r="T91" s="145"/>
      <c r="U91" s="157"/>
      <c r="V91" s="511" t="str">
        <f t="shared" si="9"/>
        <v/>
      </c>
      <c r="W91" s="511" t="str">
        <f t="shared" si="10"/>
        <v/>
      </c>
      <c r="X91" s="511" t="str">
        <f t="shared" si="11"/>
        <v/>
      </c>
      <c r="Y91" s="515" t="str">
        <f t="shared" si="12"/>
        <v/>
      </c>
      <c r="Z91" s="151"/>
      <c r="AA91" s="152"/>
      <c r="AF91" s="31" t="str">
        <f>IFERROR(INDEX('G-7 Rivers Data'!$AZ$3:$AZ$7,MATCH(D91,'G-7 Rivers Data'!$AY$3:$AY$7,0)),"")</f>
        <v/>
      </c>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row>
    <row r="92" spans="3:40" ht="13.8" x14ac:dyDescent="0.25">
      <c r="C92" s="141">
        <v>83</v>
      </c>
      <c r="D92" s="462"/>
      <c r="E92" s="153"/>
      <c r="F92" s="498" t="str">
        <f>IF(D92="","",VLOOKUP(D92,'G-7 Rivers Data'!$B$2:$G$8,2,FALSE))</f>
        <v/>
      </c>
      <c r="G92" s="499" t="str">
        <f>IFERROR(VLOOKUP(F92,'G-7 Rivers Data'!$C$4:$D$8,2,FALSE),"")</f>
        <v/>
      </c>
      <c r="H92" s="145"/>
      <c r="I92" s="499" t="str">
        <f>IFERROR(INDEX('G-7 Rivers Data'!$H$4:$L$8,MATCH(D92,'G-7 Rivers Data'!$B$4:$B$8,0),MATCH(H92,'G-7 Rivers Data'!$H$3:$L$3,0)),"")</f>
        <v/>
      </c>
      <c r="J92" s="154"/>
      <c r="K92" s="520" t="str">
        <f>IF(J92="","",IF(VLOOKUP(J92,'G-7 Rivers Data'!$AK$4:$AM$9,2,FALSE)=0,"Spatial Data Missing ⚠",VLOOKUP(J92,'G-7 Rivers Data'!$AK$4:$AM$9,2,FALSE)))</f>
        <v/>
      </c>
      <c r="L92" s="524" t="str">
        <f>IF(J92="","",IF(VLOOKUP(J92,'G-7 Rivers Data'!$AK$4:$AM$9,3,FALSE)=0,"Spatial Data Missing ⚠",VLOOKUP(J92,'G-7 Rivers Data'!$AK$4:$AM$9,3,FALSE)))</f>
        <v/>
      </c>
      <c r="M92" s="71"/>
      <c r="N92" s="499" t="str">
        <f>IF(M92="","",IF(VLOOKUP(M92,'G-7 Rivers Data'!$AA$4:$AB$7,2,FALSE)=0,"Spatial Data Missing ⚠",VLOOKUP(M92,'G-7 Rivers Data'!$AA$4:$AB$7,2,FALSE)))</f>
        <v/>
      </c>
      <c r="O92" s="155"/>
      <c r="P92" s="499" t="str">
        <f>IF(O92="","",IF(VLOOKUP(O92,'G-7 Rivers Data'!$AD$4:$AE$8,2,FALSE)=0,"Spatial Data Missing ⚠",VLOOKUP(O92,'G-7 Rivers Data'!$AD$4:$AE$8,2,FALSE)))</f>
        <v/>
      </c>
      <c r="Q92" s="506" t="str">
        <f>IF(D92="","",VLOOKUP(D92,'G-7 Rivers Data'!$B$4:$G$8,6,FALSE))</f>
        <v/>
      </c>
      <c r="R92" s="513" t="str">
        <f t="shared" si="8"/>
        <v/>
      </c>
      <c r="S92" s="40"/>
      <c r="T92" s="145"/>
      <c r="U92" s="157"/>
      <c r="V92" s="511" t="str">
        <f t="shared" si="9"/>
        <v/>
      </c>
      <c r="W92" s="511" t="str">
        <f t="shared" si="10"/>
        <v/>
      </c>
      <c r="X92" s="511" t="str">
        <f t="shared" si="11"/>
        <v/>
      </c>
      <c r="Y92" s="515" t="str">
        <f t="shared" si="12"/>
        <v/>
      </c>
      <c r="Z92" s="151"/>
      <c r="AA92" s="152"/>
      <c r="AF92" s="31" t="str">
        <f>IFERROR(INDEX('G-7 Rivers Data'!$AZ$3:$AZ$7,MATCH(D92,'G-7 Rivers Data'!$AY$3:$AY$7,0)),"")</f>
        <v/>
      </c>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row>
    <row r="93" spans="3:40" ht="13.8" x14ac:dyDescent="0.25">
      <c r="C93" s="141">
        <v>84</v>
      </c>
      <c r="D93" s="462"/>
      <c r="E93" s="153"/>
      <c r="F93" s="498" t="str">
        <f>IF(D93="","",VLOOKUP(D93,'G-7 Rivers Data'!$B$2:$G$8,2,FALSE))</f>
        <v/>
      </c>
      <c r="G93" s="499" t="str">
        <f>IFERROR(VLOOKUP(F93,'G-7 Rivers Data'!$C$4:$D$8,2,FALSE),"")</f>
        <v/>
      </c>
      <c r="H93" s="145"/>
      <c r="I93" s="499" t="str">
        <f>IFERROR(INDEX('G-7 Rivers Data'!$H$4:$L$8,MATCH(D93,'G-7 Rivers Data'!$B$4:$B$8,0),MATCH(H93,'G-7 Rivers Data'!$H$3:$L$3,0)),"")</f>
        <v/>
      </c>
      <c r="J93" s="154"/>
      <c r="K93" s="520" t="str">
        <f>IF(J93="","",IF(VLOOKUP(J93,'G-7 Rivers Data'!$AK$4:$AM$9,2,FALSE)=0,"Spatial Data Missing ⚠",VLOOKUP(J93,'G-7 Rivers Data'!$AK$4:$AM$9,2,FALSE)))</f>
        <v/>
      </c>
      <c r="L93" s="524" t="str">
        <f>IF(J93="","",IF(VLOOKUP(J93,'G-7 Rivers Data'!$AK$4:$AM$9,3,FALSE)=0,"Spatial Data Missing ⚠",VLOOKUP(J93,'G-7 Rivers Data'!$AK$4:$AM$9,3,FALSE)))</f>
        <v/>
      </c>
      <c r="M93" s="71"/>
      <c r="N93" s="499" t="str">
        <f>IF(M93="","",IF(VLOOKUP(M93,'G-7 Rivers Data'!$AA$4:$AB$7,2,FALSE)=0,"Spatial Data Missing ⚠",VLOOKUP(M93,'G-7 Rivers Data'!$AA$4:$AB$7,2,FALSE)))</f>
        <v/>
      </c>
      <c r="O93" s="155"/>
      <c r="P93" s="499" t="str">
        <f>IF(O93="","",IF(VLOOKUP(O93,'G-7 Rivers Data'!$AD$4:$AE$8,2,FALSE)=0,"Spatial Data Missing ⚠",VLOOKUP(O93,'G-7 Rivers Data'!$AD$4:$AE$8,2,FALSE)))</f>
        <v/>
      </c>
      <c r="Q93" s="506" t="str">
        <f>IF(D93="","",VLOOKUP(D93,'G-7 Rivers Data'!$B$4:$G$8,6,FALSE))</f>
        <v/>
      </c>
      <c r="R93" s="513" t="str">
        <f t="shared" si="8"/>
        <v/>
      </c>
      <c r="S93" s="40"/>
      <c r="T93" s="145"/>
      <c r="U93" s="157"/>
      <c r="V93" s="511" t="str">
        <f t="shared" si="9"/>
        <v/>
      </c>
      <c r="W93" s="511" t="str">
        <f t="shared" si="10"/>
        <v/>
      </c>
      <c r="X93" s="511" t="str">
        <f t="shared" si="11"/>
        <v/>
      </c>
      <c r="Y93" s="515" t="str">
        <f t="shared" si="12"/>
        <v/>
      </c>
      <c r="Z93" s="151"/>
      <c r="AA93" s="152"/>
      <c r="AF93" s="31" t="str">
        <f>IFERROR(INDEX('G-7 Rivers Data'!$AZ$3:$AZ$7,MATCH(D93,'G-7 Rivers Data'!$AY$3:$AY$7,0)),"")</f>
        <v/>
      </c>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row>
    <row r="94" spans="3:40" ht="13.8" x14ac:dyDescent="0.25">
      <c r="C94" s="141">
        <v>85</v>
      </c>
      <c r="D94" s="462"/>
      <c r="E94" s="153"/>
      <c r="F94" s="498" t="str">
        <f>IF(D94="","",VLOOKUP(D94,'G-7 Rivers Data'!$B$2:$G$8,2,FALSE))</f>
        <v/>
      </c>
      <c r="G94" s="499" t="str">
        <f>IFERROR(VLOOKUP(F94,'G-7 Rivers Data'!$C$4:$D$8,2,FALSE),"")</f>
        <v/>
      </c>
      <c r="H94" s="145"/>
      <c r="I94" s="499" t="str">
        <f>IFERROR(INDEX('G-7 Rivers Data'!$H$4:$L$8,MATCH(D94,'G-7 Rivers Data'!$B$4:$B$8,0),MATCH(H94,'G-7 Rivers Data'!$H$3:$L$3,0)),"")</f>
        <v/>
      </c>
      <c r="J94" s="154"/>
      <c r="K94" s="520" t="str">
        <f>IF(J94="","",IF(VLOOKUP(J94,'G-7 Rivers Data'!$AK$4:$AM$9,2,FALSE)=0,"Spatial Data Missing ⚠",VLOOKUP(J94,'G-7 Rivers Data'!$AK$4:$AM$9,2,FALSE)))</f>
        <v/>
      </c>
      <c r="L94" s="524" t="str">
        <f>IF(J94="","",IF(VLOOKUP(J94,'G-7 Rivers Data'!$AK$4:$AM$9,3,FALSE)=0,"Spatial Data Missing ⚠",VLOOKUP(J94,'G-7 Rivers Data'!$AK$4:$AM$9,3,FALSE)))</f>
        <v/>
      </c>
      <c r="M94" s="71"/>
      <c r="N94" s="499" t="str">
        <f>IF(M94="","",IF(VLOOKUP(M94,'G-7 Rivers Data'!$AA$4:$AB$7,2,FALSE)=0,"Spatial Data Missing ⚠",VLOOKUP(M94,'G-7 Rivers Data'!$AA$4:$AB$7,2,FALSE)))</f>
        <v/>
      </c>
      <c r="O94" s="155"/>
      <c r="P94" s="499" t="str">
        <f>IF(O94="","",IF(VLOOKUP(O94,'G-7 Rivers Data'!$AD$4:$AE$8,2,FALSE)=0,"Spatial Data Missing ⚠",VLOOKUP(O94,'G-7 Rivers Data'!$AD$4:$AE$8,2,FALSE)))</f>
        <v/>
      </c>
      <c r="Q94" s="506" t="str">
        <f>IF(D94="","",VLOOKUP(D94,'G-7 Rivers Data'!$B$4:$G$8,6,FALSE))</f>
        <v/>
      </c>
      <c r="R94" s="513" t="str">
        <f t="shared" si="8"/>
        <v/>
      </c>
      <c r="S94" s="40"/>
      <c r="T94" s="145"/>
      <c r="U94" s="157"/>
      <c r="V94" s="511" t="str">
        <f t="shared" si="9"/>
        <v/>
      </c>
      <c r="W94" s="511" t="str">
        <f t="shared" si="10"/>
        <v/>
      </c>
      <c r="X94" s="511" t="str">
        <f t="shared" si="11"/>
        <v/>
      </c>
      <c r="Y94" s="515" t="str">
        <f t="shared" si="12"/>
        <v/>
      </c>
      <c r="Z94" s="151"/>
      <c r="AA94" s="152"/>
      <c r="AF94" s="31" t="str">
        <f>IFERROR(INDEX('G-7 Rivers Data'!$AZ$3:$AZ$7,MATCH(D94,'G-7 Rivers Data'!$AY$3:$AY$7,0)),"")</f>
        <v/>
      </c>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row>
    <row r="95" spans="3:40" ht="13.8" x14ac:dyDescent="0.25">
      <c r="C95" s="141">
        <v>86</v>
      </c>
      <c r="D95" s="462"/>
      <c r="E95" s="153"/>
      <c r="F95" s="498" t="str">
        <f>IF(D95="","",VLOOKUP(D95,'G-7 Rivers Data'!$B$2:$G$8,2,FALSE))</f>
        <v/>
      </c>
      <c r="G95" s="499" t="str">
        <f>IFERROR(VLOOKUP(F95,'G-7 Rivers Data'!$C$4:$D$8,2,FALSE),"")</f>
        <v/>
      </c>
      <c r="H95" s="145"/>
      <c r="I95" s="499" t="str">
        <f>IFERROR(INDEX('G-7 Rivers Data'!$H$4:$L$8,MATCH(D95,'G-7 Rivers Data'!$B$4:$B$8,0),MATCH(H95,'G-7 Rivers Data'!$H$3:$L$3,0)),"")</f>
        <v/>
      </c>
      <c r="J95" s="154"/>
      <c r="K95" s="520" t="str">
        <f>IF(J95="","",IF(VLOOKUP(J95,'G-7 Rivers Data'!$AK$4:$AM$9,2,FALSE)=0,"Spatial Data Missing ⚠",VLOOKUP(J95,'G-7 Rivers Data'!$AK$4:$AM$9,2,FALSE)))</f>
        <v/>
      </c>
      <c r="L95" s="524" t="str">
        <f>IF(J95="","",IF(VLOOKUP(J95,'G-7 Rivers Data'!$AK$4:$AM$9,3,FALSE)=0,"Spatial Data Missing ⚠",VLOOKUP(J95,'G-7 Rivers Data'!$AK$4:$AM$9,3,FALSE)))</f>
        <v/>
      </c>
      <c r="M95" s="71"/>
      <c r="N95" s="499" t="str">
        <f>IF(M95="","",IF(VLOOKUP(M95,'G-7 Rivers Data'!$AA$4:$AB$7,2,FALSE)=0,"Spatial Data Missing ⚠",VLOOKUP(M95,'G-7 Rivers Data'!$AA$4:$AB$7,2,FALSE)))</f>
        <v/>
      </c>
      <c r="O95" s="155"/>
      <c r="P95" s="499" t="str">
        <f>IF(O95="","",IF(VLOOKUP(O95,'G-7 Rivers Data'!$AD$4:$AE$8,2,FALSE)=0,"Spatial Data Missing ⚠",VLOOKUP(O95,'G-7 Rivers Data'!$AD$4:$AE$8,2,FALSE)))</f>
        <v/>
      </c>
      <c r="Q95" s="506" t="str">
        <f>IF(D95="","",VLOOKUP(D95,'G-7 Rivers Data'!$B$4:$G$8,6,FALSE))</f>
        <v/>
      </c>
      <c r="R95" s="513" t="str">
        <f t="shared" si="8"/>
        <v/>
      </c>
      <c r="S95" s="40"/>
      <c r="T95" s="145"/>
      <c r="U95" s="157"/>
      <c r="V95" s="511" t="str">
        <f t="shared" si="9"/>
        <v/>
      </c>
      <c r="W95" s="511" t="str">
        <f t="shared" si="10"/>
        <v/>
      </c>
      <c r="X95" s="511" t="str">
        <f t="shared" si="11"/>
        <v/>
      </c>
      <c r="Y95" s="515" t="str">
        <f t="shared" si="12"/>
        <v/>
      </c>
      <c r="Z95" s="151"/>
      <c r="AA95" s="152"/>
      <c r="AF95" s="31" t="str">
        <f>IFERROR(INDEX('G-7 Rivers Data'!$AZ$3:$AZ$7,MATCH(D95,'G-7 Rivers Data'!$AY$3:$AY$7,0)),"")</f>
        <v/>
      </c>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row>
    <row r="96" spans="3:40" ht="13.8" x14ac:dyDescent="0.25">
      <c r="C96" s="141">
        <v>87</v>
      </c>
      <c r="D96" s="462"/>
      <c r="E96" s="153"/>
      <c r="F96" s="498" t="str">
        <f>IF(D96="","",VLOOKUP(D96,'G-7 Rivers Data'!$B$2:$G$8,2,FALSE))</f>
        <v/>
      </c>
      <c r="G96" s="499" t="str">
        <f>IFERROR(VLOOKUP(F96,'G-7 Rivers Data'!$C$4:$D$8,2,FALSE),"")</f>
        <v/>
      </c>
      <c r="H96" s="145"/>
      <c r="I96" s="499" t="str">
        <f>IFERROR(INDEX('G-7 Rivers Data'!$H$4:$L$8,MATCH(D96,'G-7 Rivers Data'!$B$4:$B$8,0),MATCH(H96,'G-7 Rivers Data'!$H$3:$L$3,0)),"")</f>
        <v/>
      </c>
      <c r="J96" s="154"/>
      <c r="K96" s="520" t="str">
        <f>IF(J96="","",IF(VLOOKUP(J96,'G-7 Rivers Data'!$AK$4:$AM$9,2,FALSE)=0,"Spatial Data Missing ⚠",VLOOKUP(J96,'G-7 Rivers Data'!$AK$4:$AM$9,2,FALSE)))</f>
        <v/>
      </c>
      <c r="L96" s="524" t="str">
        <f>IF(J96="","",IF(VLOOKUP(J96,'G-7 Rivers Data'!$AK$4:$AM$9,3,FALSE)=0,"Spatial Data Missing ⚠",VLOOKUP(J96,'G-7 Rivers Data'!$AK$4:$AM$9,3,FALSE)))</f>
        <v/>
      </c>
      <c r="M96" s="71"/>
      <c r="N96" s="499" t="str">
        <f>IF(M96="","",IF(VLOOKUP(M96,'G-7 Rivers Data'!$AA$4:$AB$7,2,FALSE)=0,"Spatial Data Missing ⚠",VLOOKUP(M96,'G-7 Rivers Data'!$AA$4:$AB$7,2,FALSE)))</f>
        <v/>
      </c>
      <c r="O96" s="155"/>
      <c r="P96" s="499" t="str">
        <f>IF(O96="","",IF(VLOOKUP(O96,'G-7 Rivers Data'!$AD$4:$AE$8,2,FALSE)=0,"Spatial Data Missing ⚠",VLOOKUP(O96,'G-7 Rivers Data'!$AD$4:$AE$8,2,FALSE)))</f>
        <v/>
      </c>
      <c r="Q96" s="506" t="str">
        <f>IF(D96="","",VLOOKUP(D96,'G-7 Rivers Data'!$B$4:$G$8,6,FALSE))</f>
        <v/>
      </c>
      <c r="R96" s="513" t="str">
        <f t="shared" si="8"/>
        <v/>
      </c>
      <c r="S96" s="40"/>
      <c r="T96" s="145"/>
      <c r="U96" s="157"/>
      <c r="V96" s="511" t="str">
        <f t="shared" si="9"/>
        <v/>
      </c>
      <c r="W96" s="511" t="str">
        <f t="shared" si="10"/>
        <v/>
      </c>
      <c r="X96" s="511" t="str">
        <f t="shared" si="11"/>
        <v/>
      </c>
      <c r="Y96" s="515" t="str">
        <f t="shared" si="12"/>
        <v/>
      </c>
      <c r="Z96" s="151"/>
      <c r="AA96" s="152"/>
      <c r="AF96" s="31" t="str">
        <f>IFERROR(INDEX('G-7 Rivers Data'!$AZ$3:$AZ$7,MATCH(D96,'G-7 Rivers Data'!$AY$3:$AY$7,0)),"")</f>
        <v/>
      </c>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row>
    <row r="97" spans="3:40" ht="13.8" x14ac:dyDescent="0.25">
      <c r="C97" s="141">
        <v>88</v>
      </c>
      <c r="D97" s="462"/>
      <c r="E97" s="153"/>
      <c r="F97" s="498" t="str">
        <f>IF(D97="","",VLOOKUP(D97,'G-7 Rivers Data'!$B$2:$G$8,2,FALSE))</f>
        <v/>
      </c>
      <c r="G97" s="499" t="str">
        <f>IFERROR(VLOOKUP(F97,'G-7 Rivers Data'!$C$4:$D$8,2,FALSE),"")</f>
        <v/>
      </c>
      <c r="H97" s="145"/>
      <c r="I97" s="499" t="str">
        <f>IFERROR(INDEX('G-7 Rivers Data'!$H$4:$L$8,MATCH(D97,'G-7 Rivers Data'!$B$4:$B$8,0),MATCH(H97,'G-7 Rivers Data'!$H$3:$L$3,0)),"")</f>
        <v/>
      </c>
      <c r="J97" s="154"/>
      <c r="K97" s="520" t="str">
        <f>IF(J97="","",IF(VLOOKUP(J97,'G-7 Rivers Data'!$AK$4:$AM$9,2,FALSE)=0,"Spatial Data Missing ⚠",VLOOKUP(J97,'G-7 Rivers Data'!$AK$4:$AM$9,2,FALSE)))</f>
        <v/>
      </c>
      <c r="L97" s="524" t="str">
        <f>IF(J97="","",IF(VLOOKUP(J97,'G-7 Rivers Data'!$AK$4:$AM$9,3,FALSE)=0,"Spatial Data Missing ⚠",VLOOKUP(J97,'G-7 Rivers Data'!$AK$4:$AM$9,3,FALSE)))</f>
        <v/>
      </c>
      <c r="M97" s="71"/>
      <c r="N97" s="499" t="str">
        <f>IF(M97="","",IF(VLOOKUP(M97,'G-7 Rivers Data'!$AA$4:$AB$7,2,FALSE)=0,"Spatial Data Missing ⚠",VLOOKUP(M97,'G-7 Rivers Data'!$AA$4:$AB$7,2,FALSE)))</f>
        <v/>
      </c>
      <c r="O97" s="155"/>
      <c r="P97" s="499" t="str">
        <f>IF(O97="","",IF(VLOOKUP(O97,'G-7 Rivers Data'!$AD$4:$AE$8,2,FALSE)=0,"Spatial Data Missing ⚠",VLOOKUP(O97,'G-7 Rivers Data'!$AD$4:$AE$8,2,FALSE)))</f>
        <v/>
      </c>
      <c r="Q97" s="506" t="str">
        <f>IF(D97="","",VLOOKUP(D97,'G-7 Rivers Data'!$B$4:$G$8,6,FALSE))</f>
        <v/>
      </c>
      <c r="R97" s="513" t="str">
        <f t="shared" si="8"/>
        <v/>
      </c>
      <c r="S97" s="40"/>
      <c r="T97" s="145"/>
      <c r="U97" s="157"/>
      <c r="V97" s="511" t="str">
        <f t="shared" si="9"/>
        <v/>
      </c>
      <c r="W97" s="511" t="str">
        <f t="shared" si="10"/>
        <v/>
      </c>
      <c r="X97" s="511" t="str">
        <f t="shared" si="11"/>
        <v/>
      </c>
      <c r="Y97" s="515" t="str">
        <f t="shared" si="12"/>
        <v/>
      </c>
      <c r="Z97" s="151"/>
      <c r="AA97" s="152"/>
      <c r="AF97" s="31" t="str">
        <f>IFERROR(INDEX('G-7 Rivers Data'!$AZ$3:$AZ$7,MATCH(D97,'G-7 Rivers Data'!$AY$3:$AY$7,0)),"")</f>
        <v/>
      </c>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row>
    <row r="98" spans="3:40" ht="13.8" x14ac:dyDescent="0.25">
      <c r="C98" s="141">
        <v>89</v>
      </c>
      <c r="D98" s="462"/>
      <c r="E98" s="153"/>
      <c r="F98" s="498" t="str">
        <f>IF(D98="","",VLOOKUP(D98,'G-7 Rivers Data'!$B$2:$G$8,2,FALSE))</f>
        <v/>
      </c>
      <c r="G98" s="499" t="str">
        <f>IFERROR(VLOOKUP(F98,'G-7 Rivers Data'!$C$4:$D$8,2,FALSE),"")</f>
        <v/>
      </c>
      <c r="H98" s="145"/>
      <c r="I98" s="499" t="str">
        <f>IFERROR(INDEX('G-7 Rivers Data'!$H$4:$L$8,MATCH(D98,'G-7 Rivers Data'!$B$4:$B$8,0),MATCH(H98,'G-7 Rivers Data'!$H$3:$L$3,0)),"")</f>
        <v/>
      </c>
      <c r="J98" s="154"/>
      <c r="K98" s="520" t="str">
        <f>IF(J98="","",IF(VLOOKUP(J98,'G-7 Rivers Data'!$AK$4:$AM$9,2,FALSE)=0,"Spatial Data Missing ⚠",VLOOKUP(J98,'G-7 Rivers Data'!$AK$4:$AM$9,2,FALSE)))</f>
        <v/>
      </c>
      <c r="L98" s="524" t="str">
        <f>IF(J98="","",IF(VLOOKUP(J98,'G-7 Rivers Data'!$AK$4:$AM$9,3,FALSE)=0,"Spatial Data Missing ⚠",VLOOKUP(J98,'G-7 Rivers Data'!$AK$4:$AM$9,3,FALSE)))</f>
        <v/>
      </c>
      <c r="M98" s="71"/>
      <c r="N98" s="499" t="str">
        <f>IF(M98="","",IF(VLOOKUP(M98,'G-7 Rivers Data'!$AA$4:$AB$7,2,FALSE)=0,"Spatial Data Missing ⚠",VLOOKUP(M98,'G-7 Rivers Data'!$AA$4:$AB$7,2,FALSE)))</f>
        <v/>
      </c>
      <c r="O98" s="155"/>
      <c r="P98" s="499" t="str">
        <f>IF(O98="","",IF(VLOOKUP(O98,'G-7 Rivers Data'!$AD$4:$AE$8,2,FALSE)=0,"Spatial Data Missing ⚠",VLOOKUP(O98,'G-7 Rivers Data'!$AD$4:$AE$8,2,FALSE)))</f>
        <v/>
      </c>
      <c r="Q98" s="506" t="str">
        <f>IF(D98="","",VLOOKUP(D98,'G-7 Rivers Data'!$B$4:$G$8,6,FALSE))</f>
        <v/>
      </c>
      <c r="R98" s="513" t="str">
        <f t="shared" si="8"/>
        <v/>
      </c>
      <c r="S98" s="40"/>
      <c r="T98" s="145"/>
      <c r="U98" s="157"/>
      <c r="V98" s="511" t="str">
        <f t="shared" si="9"/>
        <v/>
      </c>
      <c r="W98" s="511" t="str">
        <f t="shared" si="10"/>
        <v/>
      </c>
      <c r="X98" s="511" t="str">
        <f t="shared" si="11"/>
        <v/>
      </c>
      <c r="Y98" s="515" t="str">
        <f t="shared" si="12"/>
        <v/>
      </c>
      <c r="Z98" s="151"/>
      <c r="AA98" s="152"/>
      <c r="AF98" s="31" t="str">
        <f>IFERROR(INDEX('G-7 Rivers Data'!$AZ$3:$AZ$7,MATCH(D98,'G-7 Rivers Data'!$AY$3:$AY$7,0)),"")</f>
        <v/>
      </c>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row>
    <row r="99" spans="3:40" ht="13.8" x14ac:dyDescent="0.25">
      <c r="C99" s="141">
        <v>90</v>
      </c>
      <c r="D99" s="462"/>
      <c r="E99" s="153"/>
      <c r="F99" s="498" t="str">
        <f>IF(D99="","",VLOOKUP(D99,'G-7 Rivers Data'!$B$2:$G$8,2,FALSE))</f>
        <v/>
      </c>
      <c r="G99" s="499" t="str">
        <f>IFERROR(VLOOKUP(F99,'G-7 Rivers Data'!$C$4:$D$8,2,FALSE),"")</f>
        <v/>
      </c>
      <c r="H99" s="145"/>
      <c r="I99" s="499" t="str">
        <f>IFERROR(INDEX('G-7 Rivers Data'!$H$4:$L$8,MATCH(D99,'G-7 Rivers Data'!$B$4:$B$8,0),MATCH(H99,'G-7 Rivers Data'!$H$3:$L$3,0)),"")</f>
        <v/>
      </c>
      <c r="J99" s="154"/>
      <c r="K99" s="520" t="str">
        <f>IF(J99="","",IF(VLOOKUP(J99,'G-7 Rivers Data'!$AK$4:$AM$9,2,FALSE)=0,"Spatial Data Missing ⚠",VLOOKUP(J99,'G-7 Rivers Data'!$AK$4:$AM$9,2,FALSE)))</f>
        <v/>
      </c>
      <c r="L99" s="524" t="str">
        <f>IF(J99="","",IF(VLOOKUP(J99,'G-7 Rivers Data'!$AK$4:$AM$9,3,FALSE)=0,"Spatial Data Missing ⚠",VLOOKUP(J99,'G-7 Rivers Data'!$AK$4:$AM$9,3,FALSE)))</f>
        <v/>
      </c>
      <c r="M99" s="71"/>
      <c r="N99" s="499" t="str">
        <f>IF(M99="","",IF(VLOOKUP(M99,'G-7 Rivers Data'!$AA$4:$AB$7,2,FALSE)=0,"Spatial Data Missing ⚠",VLOOKUP(M99,'G-7 Rivers Data'!$AA$4:$AB$7,2,FALSE)))</f>
        <v/>
      </c>
      <c r="O99" s="155"/>
      <c r="P99" s="499" t="str">
        <f>IF(O99="","",IF(VLOOKUP(O99,'G-7 Rivers Data'!$AD$4:$AE$8,2,FALSE)=0,"Spatial Data Missing ⚠",VLOOKUP(O99,'G-7 Rivers Data'!$AD$4:$AE$8,2,FALSE)))</f>
        <v/>
      </c>
      <c r="Q99" s="506" t="str">
        <f>IF(D99="","",VLOOKUP(D99,'G-7 Rivers Data'!$B$4:$G$8,6,FALSE))</f>
        <v/>
      </c>
      <c r="R99" s="513" t="str">
        <f t="shared" si="8"/>
        <v/>
      </c>
      <c r="S99" s="40"/>
      <c r="T99" s="145"/>
      <c r="U99" s="157"/>
      <c r="V99" s="511" t="str">
        <f t="shared" si="9"/>
        <v/>
      </c>
      <c r="W99" s="511" t="str">
        <f t="shared" si="10"/>
        <v/>
      </c>
      <c r="X99" s="511" t="str">
        <f t="shared" si="11"/>
        <v/>
      </c>
      <c r="Y99" s="515" t="str">
        <f t="shared" si="12"/>
        <v/>
      </c>
      <c r="Z99" s="151"/>
      <c r="AA99" s="152"/>
      <c r="AF99" s="31" t="str">
        <f>IFERROR(INDEX('G-7 Rivers Data'!$AZ$3:$AZ$7,MATCH(D99,'G-7 Rivers Data'!$AY$3:$AY$7,0)),"")</f>
        <v/>
      </c>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row>
    <row r="100" spans="3:40" ht="13.8" x14ac:dyDescent="0.25">
      <c r="C100" s="141">
        <v>91</v>
      </c>
      <c r="D100" s="462"/>
      <c r="E100" s="153"/>
      <c r="F100" s="498" t="str">
        <f>IF(D100="","",VLOOKUP(D100,'G-7 Rivers Data'!$B$2:$G$8,2,FALSE))</f>
        <v/>
      </c>
      <c r="G100" s="499" t="str">
        <f>IFERROR(VLOOKUP(F100,'G-7 Rivers Data'!$C$4:$D$8,2,FALSE),"")</f>
        <v/>
      </c>
      <c r="H100" s="145"/>
      <c r="I100" s="499" t="str">
        <f>IFERROR(INDEX('G-7 Rivers Data'!$H$4:$L$8,MATCH(D100,'G-7 Rivers Data'!$B$4:$B$8,0),MATCH(H100,'G-7 Rivers Data'!$H$3:$L$3,0)),"")</f>
        <v/>
      </c>
      <c r="J100" s="154"/>
      <c r="K100" s="520" t="str">
        <f>IF(J100="","",IF(VLOOKUP(J100,'G-7 Rivers Data'!$AK$4:$AM$9,2,FALSE)=0,"Spatial Data Missing ⚠",VLOOKUP(J100,'G-7 Rivers Data'!$AK$4:$AM$9,2,FALSE)))</f>
        <v/>
      </c>
      <c r="L100" s="524" t="str">
        <f>IF(J100="","",IF(VLOOKUP(J100,'G-7 Rivers Data'!$AK$4:$AM$9,3,FALSE)=0,"Spatial Data Missing ⚠",VLOOKUP(J100,'G-7 Rivers Data'!$AK$4:$AM$9,3,FALSE)))</f>
        <v/>
      </c>
      <c r="M100" s="71"/>
      <c r="N100" s="499" t="str">
        <f>IF(M100="","",IF(VLOOKUP(M100,'G-7 Rivers Data'!$AA$4:$AB$7,2,FALSE)=0,"Spatial Data Missing ⚠",VLOOKUP(M100,'G-7 Rivers Data'!$AA$4:$AB$7,2,FALSE)))</f>
        <v/>
      </c>
      <c r="O100" s="155"/>
      <c r="P100" s="499" t="str">
        <f>IF(O100="","",IF(VLOOKUP(O100,'G-7 Rivers Data'!$AD$4:$AE$8,2,FALSE)=0,"Spatial Data Missing ⚠",VLOOKUP(O100,'G-7 Rivers Data'!$AD$4:$AE$8,2,FALSE)))</f>
        <v/>
      </c>
      <c r="Q100" s="506" t="str">
        <f>IF(D100="","",VLOOKUP(D100,'G-7 Rivers Data'!$B$4:$G$8,6,FALSE))</f>
        <v/>
      </c>
      <c r="R100" s="513" t="str">
        <f t="shared" si="8"/>
        <v/>
      </c>
      <c r="S100" s="40"/>
      <c r="T100" s="145"/>
      <c r="U100" s="157"/>
      <c r="V100" s="511" t="str">
        <f t="shared" si="9"/>
        <v/>
      </c>
      <c r="W100" s="511" t="str">
        <f t="shared" si="10"/>
        <v/>
      </c>
      <c r="X100" s="511" t="str">
        <f t="shared" si="11"/>
        <v/>
      </c>
      <c r="Y100" s="515" t="str">
        <f t="shared" si="12"/>
        <v/>
      </c>
      <c r="Z100" s="151"/>
      <c r="AA100" s="152"/>
      <c r="AF100" s="31" t="str">
        <f>IFERROR(INDEX('G-7 Rivers Data'!$AZ$3:$AZ$7,MATCH(D100,'G-7 Rivers Data'!$AY$3:$AY$7,0)),"")</f>
        <v/>
      </c>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row>
    <row r="101" spans="3:40" ht="13.8" x14ac:dyDescent="0.25">
      <c r="C101" s="141">
        <v>92</v>
      </c>
      <c r="D101" s="462"/>
      <c r="E101" s="153"/>
      <c r="F101" s="498" t="str">
        <f>IF(D101="","",VLOOKUP(D101,'G-7 Rivers Data'!$B$2:$G$8,2,FALSE))</f>
        <v/>
      </c>
      <c r="G101" s="499" t="str">
        <f>IFERROR(VLOOKUP(F101,'G-7 Rivers Data'!$C$4:$D$8,2,FALSE),"")</f>
        <v/>
      </c>
      <c r="H101" s="145"/>
      <c r="I101" s="499" t="str">
        <f>IFERROR(INDEX('G-7 Rivers Data'!$H$4:$L$8,MATCH(D101,'G-7 Rivers Data'!$B$4:$B$8,0),MATCH(H101,'G-7 Rivers Data'!$H$3:$L$3,0)),"")</f>
        <v/>
      </c>
      <c r="J101" s="154"/>
      <c r="K101" s="520" t="str">
        <f>IF(J101="","",IF(VLOOKUP(J101,'G-7 Rivers Data'!$AK$4:$AM$9,2,FALSE)=0,"Spatial Data Missing ⚠",VLOOKUP(J101,'G-7 Rivers Data'!$AK$4:$AM$9,2,FALSE)))</f>
        <v/>
      </c>
      <c r="L101" s="524" t="str">
        <f>IF(J101="","",IF(VLOOKUP(J101,'G-7 Rivers Data'!$AK$4:$AM$9,3,FALSE)=0,"Spatial Data Missing ⚠",VLOOKUP(J101,'G-7 Rivers Data'!$AK$4:$AM$9,3,FALSE)))</f>
        <v/>
      </c>
      <c r="M101" s="71"/>
      <c r="N101" s="499" t="str">
        <f>IF(M101="","",IF(VLOOKUP(M101,'G-7 Rivers Data'!$AA$4:$AB$7,2,FALSE)=0,"Spatial Data Missing ⚠",VLOOKUP(M101,'G-7 Rivers Data'!$AA$4:$AB$7,2,FALSE)))</f>
        <v/>
      </c>
      <c r="O101" s="155"/>
      <c r="P101" s="499" t="str">
        <f>IF(O101="","",IF(VLOOKUP(O101,'G-7 Rivers Data'!$AD$4:$AE$8,2,FALSE)=0,"Spatial Data Missing ⚠",VLOOKUP(O101,'G-7 Rivers Data'!$AD$4:$AE$8,2,FALSE)))</f>
        <v/>
      </c>
      <c r="Q101" s="506" t="str">
        <f>IF(D101="","",VLOOKUP(D101,'G-7 Rivers Data'!$B$4:$G$8,6,FALSE))</f>
        <v/>
      </c>
      <c r="R101" s="513" t="str">
        <f t="shared" si="8"/>
        <v/>
      </c>
      <c r="S101" s="40"/>
      <c r="T101" s="145"/>
      <c r="U101" s="157"/>
      <c r="V101" s="511" t="str">
        <f t="shared" si="9"/>
        <v/>
      </c>
      <c r="W101" s="511" t="str">
        <f t="shared" si="10"/>
        <v/>
      </c>
      <c r="X101" s="511" t="str">
        <f t="shared" si="11"/>
        <v/>
      </c>
      <c r="Y101" s="515" t="str">
        <f t="shared" si="12"/>
        <v/>
      </c>
      <c r="Z101" s="151"/>
      <c r="AA101" s="152"/>
      <c r="AF101" s="31" t="str">
        <f>IFERROR(INDEX('G-7 Rivers Data'!$AZ$3:$AZ$7,MATCH(D101,'G-7 Rivers Data'!$AY$3:$AY$7,0)),"")</f>
        <v/>
      </c>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row>
    <row r="102" spans="3:40" ht="13.8" x14ac:dyDescent="0.25">
      <c r="C102" s="141">
        <v>93</v>
      </c>
      <c r="D102" s="462"/>
      <c r="E102" s="153"/>
      <c r="F102" s="498" t="str">
        <f>IF(D102="","",VLOOKUP(D102,'G-7 Rivers Data'!$B$2:$G$8,2,FALSE))</f>
        <v/>
      </c>
      <c r="G102" s="499" t="str">
        <f>IFERROR(VLOOKUP(F102,'G-7 Rivers Data'!$C$4:$D$8,2,FALSE),"")</f>
        <v/>
      </c>
      <c r="H102" s="145"/>
      <c r="I102" s="499" t="str">
        <f>IFERROR(INDEX('G-7 Rivers Data'!$H$4:$L$8,MATCH(D102,'G-7 Rivers Data'!$B$4:$B$8,0),MATCH(H102,'G-7 Rivers Data'!$H$3:$L$3,0)),"")</f>
        <v/>
      </c>
      <c r="J102" s="154"/>
      <c r="K102" s="520" t="str">
        <f>IF(J102="","",IF(VLOOKUP(J102,'G-7 Rivers Data'!$AK$4:$AM$9,2,FALSE)=0,"Spatial Data Missing ⚠",VLOOKUP(J102,'G-7 Rivers Data'!$AK$4:$AM$9,2,FALSE)))</f>
        <v/>
      </c>
      <c r="L102" s="524" t="str">
        <f>IF(J102="","",IF(VLOOKUP(J102,'G-7 Rivers Data'!$AK$4:$AM$9,3,FALSE)=0,"Spatial Data Missing ⚠",VLOOKUP(J102,'G-7 Rivers Data'!$AK$4:$AM$9,3,FALSE)))</f>
        <v/>
      </c>
      <c r="M102" s="71"/>
      <c r="N102" s="499" t="str">
        <f>IF(M102="","",IF(VLOOKUP(M102,'G-7 Rivers Data'!$AA$4:$AB$7,2,FALSE)=0,"Spatial Data Missing ⚠",VLOOKUP(M102,'G-7 Rivers Data'!$AA$4:$AB$7,2,FALSE)))</f>
        <v/>
      </c>
      <c r="O102" s="155"/>
      <c r="P102" s="499" t="str">
        <f>IF(O102="","",IF(VLOOKUP(O102,'G-7 Rivers Data'!$AD$4:$AE$8,2,FALSE)=0,"Spatial Data Missing ⚠",VLOOKUP(O102,'G-7 Rivers Data'!$AD$4:$AE$8,2,FALSE)))</f>
        <v/>
      </c>
      <c r="Q102" s="506" t="str">
        <f>IF(D102="","",VLOOKUP(D102,'G-7 Rivers Data'!$B$4:$G$8,6,FALSE))</f>
        <v/>
      </c>
      <c r="R102" s="513" t="str">
        <f t="shared" si="8"/>
        <v/>
      </c>
      <c r="S102" s="40"/>
      <c r="T102" s="145"/>
      <c r="U102" s="157"/>
      <c r="V102" s="511" t="str">
        <f t="shared" si="9"/>
        <v/>
      </c>
      <c r="W102" s="511" t="str">
        <f t="shared" si="10"/>
        <v/>
      </c>
      <c r="X102" s="511" t="str">
        <f t="shared" si="11"/>
        <v/>
      </c>
      <c r="Y102" s="515" t="str">
        <f t="shared" si="12"/>
        <v/>
      </c>
      <c r="Z102" s="151"/>
      <c r="AA102" s="152"/>
      <c r="AF102" s="31" t="str">
        <f>IFERROR(INDEX('G-7 Rivers Data'!$AZ$3:$AZ$7,MATCH(D102,'G-7 Rivers Data'!$AY$3:$AY$7,0)),"")</f>
        <v/>
      </c>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row>
    <row r="103" spans="3:40" ht="13.8" x14ac:dyDescent="0.25">
      <c r="C103" s="141">
        <v>94</v>
      </c>
      <c r="D103" s="462"/>
      <c r="E103" s="153"/>
      <c r="F103" s="498" t="str">
        <f>IF(D103="","",VLOOKUP(D103,'G-7 Rivers Data'!$B$2:$G$8,2,FALSE))</f>
        <v/>
      </c>
      <c r="G103" s="499" t="str">
        <f>IFERROR(VLOOKUP(F103,'G-7 Rivers Data'!$C$4:$D$8,2,FALSE),"")</f>
        <v/>
      </c>
      <c r="H103" s="145"/>
      <c r="I103" s="499" t="str">
        <f>IFERROR(INDEX('G-7 Rivers Data'!$H$4:$L$8,MATCH(D103,'G-7 Rivers Data'!$B$4:$B$8,0),MATCH(H103,'G-7 Rivers Data'!$H$3:$L$3,0)),"")</f>
        <v/>
      </c>
      <c r="J103" s="154"/>
      <c r="K103" s="520" t="str">
        <f>IF(J103="","",IF(VLOOKUP(J103,'G-7 Rivers Data'!$AK$4:$AM$9,2,FALSE)=0,"Spatial Data Missing ⚠",VLOOKUP(J103,'G-7 Rivers Data'!$AK$4:$AM$9,2,FALSE)))</f>
        <v/>
      </c>
      <c r="L103" s="524" t="str">
        <f>IF(J103="","",IF(VLOOKUP(J103,'G-7 Rivers Data'!$AK$4:$AM$9,3,FALSE)=0,"Spatial Data Missing ⚠",VLOOKUP(J103,'G-7 Rivers Data'!$AK$4:$AM$9,3,FALSE)))</f>
        <v/>
      </c>
      <c r="M103" s="71"/>
      <c r="N103" s="499" t="str">
        <f>IF(M103="","",IF(VLOOKUP(M103,'G-7 Rivers Data'!$AA$4:$AB$7,2,FALSE)=0,"Spatial Data Missing ⚠",VLOOKUP(M103,'G-7 Rivers Data'!$AA$4:$AB$7,2,FALSE)))</f>
        <v/>
      </c>
      <c r="O103" s="155"/>
      <c r="P103" s="499" t="str">
        <f>IF(O103="","",IF(VLOOKUP(O103,'G-7 Rivers Data'!$AD$4:$AE$8,2,FALSE)=0,"Spatial Data Missing ⚠",VLOOKUP(O103,'G-7 Rivers Data'!$AD$4:$AE$8,2,FALSE)))</f>
        <v/>
      </c>
      <c r="Q103" s="506" t="str">
        <f>IF(D103="","",VLOOKUP(D103,'G-7 Rivers Data'!$B$4:$G$8,6,FALSE))</f>
        <v/>
      </c>
      <c r="R103" s="513" t="str">
        <f t="shared" si="8"/>
        <v/>
      </c>
      <c r="S103" s="40"/>
      <c r="T103" s="145"/>
      <c r="U103" s="157"/>
      <c r="V103" s="511" t="str">
        <f t="shared" si="9"/>
        <v/>
      </c>
      <c r="W103" s="511" t="str">
        <f t="shared" si="10"/>
        <v/>
      </c>
      <c r="X103" s="511" t="str">
        <f t="shared" si="11"/>
        <v/>
      </c>
      <c r="Y103" s="515" t="str">
        <f t="shared" si="12"/>
        <v/>
      </c>
      <c r="Z103" s="151"/>
      <c r="AA103" s="152"/>
      <c r="AF103" s="31" t="str">
        <f>IFERROR(INDEX('G-7 Rivers Data'!$AZ$3:$AZ$7,MATCH(D103,'G-7 Rivers Data'!$AY$3:$AY$7,0)),"")</f>
        <v/>
      </c>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row>
    <row r="104" spans="3:40" ht="13.8" x14ac:dyDescent="0.25">
      <c r="C104" s="141">
        <v>95</v>
      </c>
      <c r="D104" s="462"/>
      <c r="E104" s="153"/>
      <c r="F104" s="498" t="str">
        <f>IF(D104="","",VLOOKUP(D104,'G-7 Rivers Data'!$B$2:$G$8,2,FALSE))</f>
        <v/>
      </c>
      <c r="G104" s="499" t="str">
        <f>IFERROR(VLOOKUP(F104,'G-7 Rivers Data'!$C$4:$D$8,2,FALSE),"")</f>
        <v/>
      </c>
      <c r="H104" s="145"/>
      <c r="I104" s="499" t="str">
        <f>IFERROR(INDEX('G-7 Rivers Data'!$H$4:$L$8,MATCH(D104,'G-7 Rivers Data'!$B$4:$B$8,0),MATCH(H104,'G-7 Rivers Data'!$H$3:$L$3,0)),"")</f>
        <v/>
      </c>
      <c r="J104" s="154"/>
      <c r="K104" s="520" t="str">
        <f>IF(J104="","",IF(VLOOKUP(J104,'G-7 Rivers Data'!$AK$4:$AM$9,2,FALSE)=0,"Spatial Data Missing ⚠",VLOOKUP(J104,'G-7 Rivers Data'!$AK$4:$AM$9,2,FALSE)))</f>
        <v/>
      </c>
      <c r="L104" s="524" t="str">
        <f>IF(J104="","",IF(VLOOKUP(J104,'G-7 Rivers Data'!$AK$4:$AM$9,3,FALSE)=0,"Spatial Data Missing ⚠",VLOOKUP(J104,'G-7 Rivers Data'!$AK$4:$AM$9,3,FALSE)))</f>
        <v/>
      </c>
      <c r="M104" s="71"/>
      <c r="N104" s="499" t="str">
        <f>IF(M104="","",IF(VLOOKUP(M104,'G-7 Rivers Data'!$AA$4:$AB$7,2,FALSE)=0,"Spatial Data Missing ⚠",VLOOKUP(M104,'G-7 Rivers Data'!$AA$4:$AB$7,2,FALSE)))</f>
        <v/>
      </c>
      <c r="O104" s="155"/>
      <c r="P104" s="499" t="str">
        <f>IF(O104="","",IF(VLOOKUP(O104,'G-7 Rivers Data'!$AD$4:$AE$8,2,FALSE)=0,"Spatial Data Missing ⚠",VLOOKUP(O104,'G-7 Rivers Data'!$AD$4:$AE$8,2,FALSE)))</f>
        <v/>
      </c>
      <c r="Q104" s="506" t="str">
        <f>IF(D104="","",VLOOKUP(D104,'G-7 Rivers Data'!$B$4:$G$8,6,FALSE))</f>
        <v/>
      </c>
      <c r="R104" s="513" t="str">
        <f t="shared" si="8"/>
        <v/>
      </c>
      <c r="S104" s="40"/>
      <c r="T104" s="145"/>
      <c r="U104" s="157"/>
      <c r="V104" s="511" t="str">
        <f t="shared" si="9"/>
        <v/>
      </c>
      <c r="W104" s="511" t="str">
        <f t="shared" si="10"/>
        <v/>
      </c>
      <c r="X104" s="511" t="str">
        <f t="shared" si="11"/>
        <v/>
      </c>
      <c r="Y104" s="515" t="str">
        <f t="shared" si="12"/>
        <v/>
      </c>
      <c r="Z104" s="151"/>
      <c r="AA104" s="152"/>
      <c r="AF104" s="31" t="str">
        <f>IFERROR(INDEX('G-7 Rivers Data'!$AZ$3:$AZ$7,MATCH(D104,'G-7 Rivers Data'!$AY$3:$AY$7,0)),"")</f>
        <v/>
      </c>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row>
    <row r="105" spans="3:40" ht="13.8" x14ac:dyDescent="0.25">
      <c r="C105" s="141">
        <v>96</v>
      </c>
      <c r="D105" s="462"/>
      <c r="E105" s="153"/>
      <c r="F105" s="498" t="str">
        <f>IF(D105="","",VLOOKUP(D105,'G-7 Rivers Data'!$B$2:$G$8,2,FALSE))</f>
        <v/>
      </c>
      <c r="G105" s="499" t="str">
        <f>IFERROR(VLOOKUP(F105,'G-7 Rivers Data'!$C$4:$D$8,2,FALSE),"")</f>
        <v/>
      </c>
      <c r="H105" s="145"/>
      <c r="I105" s="499" t="str">
        <f>IFERROR(INDEX('G-7 Rivers Data'!$H$4:$L$8,MATCH(D105,'G-7 Rivers Data'!$B$4:$B$8,0),MATCH(H105,'G-7 Rivers Data'!$H$3:$L$3,0)),"")</f>
        <v/>
      </c>
      <c r="J105" s="154"/>
      <c r="K105" s="520" t="str">
        <f>IF(J105="","",IF(VLOOKUP(J105,'G-7 Rivers Data'!$AK$4:$AM$9,2,FALSE)=0,"Spatial Data Missing ⚠",VLOOKUP(J105,'G-7 Rivers Data'!$AK$4:$AM$9,2,FALSE)))</f>
        <v/>
      </c>
      <c r="L105" s="524" t="str">
        <f>IF(J105="","",IF(VLOOKUP(J105,'G-7 Rivers Data'!$AK$4:$AM$9,3,FALSE)=0,"Spatial Data Missing ⚠",VLOOKUP(J105,'G-7 Rivers Data'!$AK$4:$AM$9,3,FALSE)))</f>
        <v/>
      </c>
      <c r="M105" s="71"/>
      <c r="N105" s="499" t="str">
        <f>IF(M105="","",IF(VLOOKUP(M105,'G-7 Rivers Data'!$AA$4:$AB$7,2,FALSE)=0,"Spatial Data Missing ⚠",VLOOKUP(M105,'G-7 Rivers Data'!$AA$4:$AB$7,2,FALSE)))</f>
        <v/>
      </c>
      <c r="O105" s="155"/>
      <c r="P105" s="499" t="str">
        <f>IF(O105="","",IF(VLOOKUP(O105,'G-7 Rivers Data'!$AD$4:$AE$8,2,FALSE)=0,"Spatial Data Missing ⚠",VLOOKUP(O105,'G-7 Rivers Data'!$AD$4:$AE$8,2,FALSE)))</f>
        <v/>
      </c>
      <c r="Q105" s="506" t="str">
        <f>IF(D105="","",VLOOKUP(D105,'G-7 Rivers Data'!$B$4:$G$8,6,FALSE))</f>
        <v/>
      </c>
      <c r="R105" s="513" t="str">
        <f t="shared" si="8"/>
        <v/>
      </c>
      <c r="S105" s="40"/>
      <c r="T105" s="145"/>
      <c r="U105" s="157"/>
      <c r="V105" s="511" t="str">
        <f t="shared" si="9"/>
        <v/>
      </c>
      <c r="W105" s="511" t="str">
        <f t="shared" si="10"/>
        <v/>
      </c>
      <c r="X105" s="511" t="str">
        <f t="shared" si="11"/>
        <v/>
      </c>
      <c r="Y105" s="515" t="str">
        <f t="shared" si="12"/>
        <v/>
      </c>
      <c r="Z105" s="151"/>
      <c r="AA105" s="152"/>
      <c r="AF105" s="31" t="str">
        <f>IFERROR(INDEX('G-7 Rivers Data'!$AZ$3:$AZ$7,MATCH(D105,'G-7 Rivers Data'!$AY$3:$AY$7,0)),"")</f>
        <v/>
      </c>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row>
    <row r="106" spans="3:40" ht="13.8" x14ac:dyDescent="0.25">
      <c r="C106" s="141">
        <v>97</v>
      </c>
      <c r="D106" s="462"/>
      <c r="E106" s="153"/>
      <c r="F106" s="498" t="str">
        <f>IF(D106="","",VLOOKUP(D106,'G-7 Rivers Data'!$B$2:$G$8,2,FALSE))</f>
        <v/>
      </c>
      <c r="G106" s="499" t="str">
        <f>IFERROR(VLOOKUP(F106,'G-7 Rivers Data'!$C$4:$D$8,2,FALSE),"")</f>
        <v/>
      </c>
      <c r="H106" s="145"/>
      <c r="I106" s="499" t="str">
        <f>IFERROR(INDEX('G-7 Rivers Data'!$H$4:$L$8,MATCH(D106,'G-7 Rivers Data'!$B$4:$B$8,0),MATCH(H106,'G-7 Rivers Data'!$H$3:$L$3,0)),"")</f>
        <v/>
      </c>
      <c r="J106" s="154"/>
      <c r="K106" s="520" t="str">
        <f>IF(J106="","",IF(VLOOKUP(J106,'G-7 Rivers Data'!$AK$4:$AM$9,2,FALSE)=0,"Spatial Data Missing ⚠",VLOOKUP(J106,'G-7 Rivers Data'!$AK$4:$AM$9,2,FALSE)))</f>
        <v/>
      </c>
      <c r="L106" s="524" t="str">
        <f>IF(J106="","",IF(VLOOKUP(J106,'G-7 Rivers Data'!$AK$4:$AM$9,3,FALSE)=0,"Spatial Data Missing ⚠",VLOOKUP(J106,'G-7 Rivers Data'!$AK$4:$AM$9,3,FALSE)))</f>
        <v/>
      </c>
      <c r="M106" s="71"/>
      <c r="N106" s="499" t="str">
        <f>IF(M106="","",IF(VLOOKUP(M106,'G-7 Rivers Data'!$AA$4:$AB$7,2,FALSE)=0,"Spatial Data Missing ⚠",VLOOKUP(M106,'G-7 Rivers Data'!$AA$4:$AB$7,2,FALSE)))</f>
        <v/>
      </c>
      <c r="O106" s="155"/>
      <c r="P106" s="499" t="str">
        <f>IF(O106="","",IF(VLOOKUP(O106,'G-7 Rivers Data'!$AD$4:$AE$8,2,FALSE)=0,"Spatial Data Missing ⚠",VLOOKUP(O106,'G-7 Rivers Data'!$AD$4:$AE$8,2,FALSE)))</f>
        <v/>
      </c>
      <c r="Q106" s="506" t="str">
        <f>IF(D106="","",VLOOKUP(D106,'G-7 Rivers Data'!$B$4:$G$8,6,FALSE))</f>
        <v/>
      </c>
      <c r="R106" s="513" t="str">
        <f t="shared" si="8"/>
        <v/>
      </c>
      <c r="S106" s="40"/>
      <c r="T106" s="145"/>
      <c r="U106" s="157"/>
      <c r="V106" s="511" t="str">
        <f t="shared" si="9"/>
        <v/>
      </c>
      <c r="W106" s="511" t="str">
        <f t="shared" si="10"/>
        <v/>
      </c>
      <c r="X106" s="511" t="str">
        <f t="shared" si="11"/>
        <v/>
      </c>
      <c r="Y106" s="515" t="str">
        <f t="shared" si="12"/>
        <v/>
      </c>
      <c r="Z106" s="151"/>
      <c r="AA106" s="152"/>
      <c r="AF106" s="31" t="str">
        <f>IFERROR(INDEX('G-7 Rivers Data'!$AZ$3:$AZ$7,MATCH(D106,'G-7 Rivers Data'!$AY$3:$AY$7,0)),"")</f>
        <v/>
      </c>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row>
    <row r="107" spans="3:40" ht="13.8" x14ac:dyDescent="0.25">
      <c r="C107" s="141">
        <v>98</v>
      </c>
      <c r="D107" s="462"/>
      <c r="E107" s="153"/>
      <c r="F107" s="498" t="str">
        <f>IF(D107="","",VLOOKUP(D107,'G-7 Rivers Data'!$B$2:$G$8,2,FALSE))</f>
        <v/>
      </c>
      <c r="G107" s="499" t="str">
        <f>IFERROR(VLOOKUP(F107,'G-7 Rivers Data'!$C$4:$D$8,2,FALSE),"")</f>
        <v/>
      </c>
      <c r="H107" s="145"/>
      <c r="I107" s="499" t="str">
        <f>IFERROR(INDEX('G-7 Rivers Data'!$H$4:$L$8,MATCH(D107,'G-7 Rivers Data'!$B$4:$B$8,0),MATCH(H107,'G-7 Rivers Data'!$H$3:$L$3,0)),"")</f>
        <v/>
      </c>
      <c r="J107" s="154"/>
      <c r="K107" s="520" t="str">
        <f>IF(J107="","",IF(VLOOKUP(J107,'G-7 Rivers Data'!$AK$4:$AM$9,2,FALSE)=0,"Spatial Data Missing ⚠",VLOOKUP(J107,'G-7 Rivers Data'!$AK$4:$AM$9,2,FALSE)))</f>
        <v/>
      </c>
      <c r="L107" s="524" t="str">
        <f>IF(J107="","",IF(VLOOKUP(J107,'G-7 Rivers Data'!$AK$4:$AM$9,3,FALSE)=0,"Spatial Data Missing ⚠",VLOOKUP(J107,'G-7 Rivers Data'!$AK$4:$AM$9,3,FALSE)))</f>
        <v/>
      </c>
      <c r="M107" s="71"/>
      <c r="N107" s="499" t="str">
        <f>IF(M107="","",IF(VLOOKUP(M107,'G-7 Rivers Data'!$AA$4:$AB$7,2,FALSE)=0,"Spatial Data Missing ⚠",VLOOKUP(M107,'G-7 Rivers Data'!$AA$4:$AB$7,2,FALSE)))</f>
        <v/>
      </c>
      <c r="O107" s="155"/>
      <c r="P107" s="499" t="str">
        <f>IF(O107="","",IF(VLOOKUP(O107,'G-7 Rivers Data'!$AD$4:$AE$8,2,FALSE)=0,"Spatial Data Missing ⚠",VLOOKUP(O107,'G-7 Rivers Data'!$AD$4:$AE$8,2,FALSE)))</f>
        <v/>
      </c>
      <c r="Q107" s="506" t="str">
        <f>IF(D107="","",VLOOKUP(D107,'G-7 Rivers Data'!$B$4:$G$8,6,FALSE))</f>
        <v/>
      </c>
      <c r="R107" s="513" t="str">
        <f t="shared" si="8"/>
        <v/>
      </c>
      <c r="S107" s="40"/>
      <c r="T107" s="145"/>
      <c r="U107" s="157"/>
      <c r="V107" s="511" t="str">
        <f t="shared" si="9"/>
        <v/>
      </c>
      <c r="W107" s="511" t="str">
        <f t="shared" si="10"/>
        <v/>
      </c>
      <c r="X107" s="511" t="str">
        <f t="shared" si="11"/>
        <v/>
      </c>
      <c r="Y107" s="515" t="str">
        <f t="shared" si="12"/>
        <v/>
      </c>
      <c r="Z107" s="151"/>
      <c r="AA107" s="152"/>
      <c r="AF107" s="31" t="str">
        <f>IFERROR(INDEX('G-7 Rivers Data'!$AZ$3:$AZ$7,MATCH(D107,'G-7 Rivers Data'!$AY$3:$AY$7,0)),"")</f>
        <v/>
      </c>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row>
    <row r="108" spans="3:40" ht="13.8" x14ac:dyDescent="0.25">
      <c r="C108" s="141">
        <v>99</v>
      </c>
      <c r="D108" s="462"/>
      <c r="E108" s="153"/>
      <c r="F108" s="498" t="str">
        <f>IF(D108="","",VLOOKUP(D108,'G-7 Rivers Data'!$B$2:$G$8,2,FALSE))</f>
        <v/>
      </c>
      <c r="G108" s="499" t="str">
        <f>IFERROR(VLOOKUP(F108,'G-7 Rivers Data'!$C$4:$D$8,2,FALSE),"")</f>
        <v/>
      </c>
      <c r="H108" s="145"/>
      <c r="I108" s="499" t="str">
        <f>IFERROR(INDEX('G-7 Rivers Data'!$H$4:$L$8,MATCH(D108,'G-7 Rivers Data'!$B$4:$B$8,0),MATCH(H108,'G-7 Rivers Data'!$H$3:$L$3,0)),"")</f>
        <v/>
      </c>
      <c r="J108" s="154"/>
      <c r="K108" s="520" t="str">
        <f>IF(J108="","",IF(VLOOKUP(J108,'G-7 Rivers Data'!$AK$4:$AM$9,2,FALSE)=0,"Spatial Data Missing ⚠",VLOOKUP(J108,'G-7 Rivers Data'!$AK$4:$AM$9,2,FALSE)))</f>
        <v/>
      </c>
      <c r="L108" s="524" t="str">
        <f>IF(J108="","",IF(VLOOKUP(J108,'G-7 Rivers Data'!$AK$4:$AM$9,3,FALSE)=0,"Spatial Data Missing ⚠",VLOOKUP(J108,'G-7 Rivers Data'!$AK$4:$AM$9,3,FALSE)))</f>
        <v/>
      </c>
      <c r="M108" s="71"/>
      <c r="N108" s="499" t="str">
        <f>IF(M108="","",IF(VLOOKUP(M108,'G-7 Rivers Data'!$AA$4:$AB$7,2,FALSE)=0,"Spatial Data Missing ⚠",VLOOKUP(M108,'G-7 Rivers Data'!$AA$4:$AB$7,2,FALSE)))</f>
        <v/>
      </c>
      <c r="O108" s="155"/>
      <c r="P108" s="499" t="str">
        <f>IF(O108="","",IF(VLOOKUP(O108,'G-7 Rivers Data'!$AD$4:$AE$8,2,FALSE)=0,"Spatial Data Missing ⚠",VLOOKUP(O108,'G-7 Rivers Data'!$AD$4:$AE$8,2,FALSE)))</f>
        <v/>
      </c>
      <c r="Q108" s="506" t="str">
        <f>IF(D108="","",VLOOKUP(D108,'G-7 Rivers Data'!$B$4:$G$8,6,FALSE))</f>
        <v/>
      </c>
      <c r="R108" s="513" t="str">
        <f t="shared" si="8"/>
        <v/>
      </c>
      <c r="S108" s="40"/>
      <c r="T108" s="145"/>
      <c r="U108" s="157"/>
      <c r="V108" s="511" t="str">
        <f t="shared" si="9"/>
        <v/>
      </c>
      <c r="W108" s="511" t="str">
        <f t="shared" si="10"/>
        <v/>
      </c>
      <c r="X108" s="511" t="str">
        <f t="shared" si="11"/>
        <v/>
      </c>
      <c r="Y108" s="515" t="str">
        <f t="shared" si="12"/>
        <v/>
      </c>
      <c r="Z108" s="151"/>
      <c r="AA108" s="152"/>
      <c r="AF108" s="31" t="str">
        <f>IFERROR(INDEX('G-7 Rivers Data'!$AZ$3:$AZ$7,MATCH(D108,'G-7 Rivers Data'!$AY$3:$AY$7,0)),"")</f>
        <v/>
      </c>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row>
    <row r="109" spans="3:40" ht="13.8" x14ac:dyDescent="0.25">
      <c r="C109" s="141">
        <v>100</v>
      </c>
      <c r="D109" s="462"/>
      <c r="E109" s="153"/>
      <c r="F109" s="498" t="str">
        <f>IF(D109="","",VLOOKUP(D109,'G-7 Rivers Data'!$B$2:$G$8,2,FALSE))</f>
        <v/>
      </c>
      <c r="G109" s="499" t="str">
        <f>IFERROR(VLOOKUP(F109,'G-7 Rivers Data'!$C$4:$D$8,2,FALSE),"")</f>
        <v/>
      </c>
      <c r="H109" s="145"/>
      <c r="I109" s="499" t="str">
        <f>IFERROR(INDEX('G-7 Rivers Data'!$H$4:$L$8,MATCH(D109,'G-7 Rivers Data'!$B$4:$B$8,0),MATCH(H109,'G-7 Rivers Data'!$H$3:$L$3,0)),"")</f>
        <v/>
      </c>
      <c r="J109" s="154"/>
      <c r="K109" s="520" t="str">
        <f>IF(J109="","",IF(VLOOKUP(J109,'G-7 Rivers Data'!$AK$4:$AM$9,2,FALSE)=0,"Spatial Data Missing ⚠",VLOOKUP(J109,'G-7 Rivers Data'!$AK$4:$AM$9,2,FALSE)))</f>
        <v/>
      </c>
      <c r="L109" s="524" t="str">
        <f>IF(J109="","",IF(VLOOKUP(J109,'G-7 Rivers Data'!$AK$4:$AM$9,3,FALSE)=0,"Spatial Data Missing ⚠",VLOOKUP(J109,'G-7 Rivers Data'!$AK$4:$AM$9,3,FALSE)))</f>
        <v/>
      </c>
      <c r="M109" s="71"/>
      <c r="N109" s="499" t="str">
        <f>IF(M109="","",IF(VLOOKUP(M109,'G-7 Rivers Data'!$AA$4:$AB$7,2,FALSE)=0,"Spatial Data Missing ⚠",VLOOKUP(M109,'G-7 Rivers Data'!$AA$4:$AB$7,2,FALSE)))</f>
        <v/>
      </c>
      <c r="O109" s="155"/>
      <c r="P109" s="499" t="str">
        <f>IF(O109="","",IF(VLOOKUP(O109,'G-7 Rivers Data'!$AD$4:$AE$8,2,FALSE)=0,"Spatial Data Missing ⚠",VLOOKUP(O109,'G-7 Rivers Data'!$AD$4:$AE$8,2,FALSE)))</f>
        <v/>
      </c>
      <c r="Q109" s="506" t="str">
        <f>IF(D109="","",VLOOKUP(D109,'G-7 Rivers Data'!$B$4:$G$8,6,FALSE))</f>
        <v/>
      </c>
      <c r="R109" s="513" t="str">
        <f t="shared" si="8"/>
        <v/>
      </c>
      <c r="S109" s="40"/>
      <c r="T109" s="145"/>
      <c r="U109" s="157"/>
      <c r="V109" s="511" t="str">
        <f t="shared" si="9"/>
        <v/>
      </c>
      <c r="W109" s="511" t="str">
        <f t="shared" si="10"/>
        <v/>
      </c>
      <c r="X109" s="511" t="str">
        <f t="shared" si="11"/>
        <v/>
      </c>
      <c r="Y109" s="515" t="str">
        <f t="shared" si="12"/>
        <v/>
      </c>
      <c r="Z109" s="151"/>
      <c r="AA109" s="152"/>
      <c r="AF109" s="31" t="str">
        <f>IFERROR(INDEX('G-7 Rivers Data'!$AZ$3:$AZ$7,MATCH(D109,'G-7 Rivers Data'!$AY$3:$AY$7,0)),"")</f>
        <v/>
      </c>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row>
    <row r="110" spans="3:40" ht="13.8" x14ac:dyDescent="0.25">
      <c r="C110" s="141">
        <v>101</v>
      </c>
      <c r="D110" s="462"/>
      <c r="E110" s="153"/>
      <c r="F110" s="498" t="str">
        <f>IF(D110="","",VLOOKUP(D110,'G-7 Rivers Data'!$B$2:$G$8,2,FALSE))</f>
        <v/>
      </c>
      <c r="G110" s="499" t="str">
        <f>IFERROR(VLOOKUP(F110,'G-7 Rivers Data'!$C$4:$D$8,2,FALSE),"")</f>
        <v/>
      </c>
      <c r="H110" s="145"/>
      <c r="I110" s="499" t="str">
        <f>IFERROR(INDEX('G-7 Rivers Data'!$H$4:$L$8,MATCH(D110,'G-7 Rivers Data'!$B$4:$B$8,0),MATCH(H110,'G-7 Rivers Data'!$H$3:$L$3,0)),"")</f>
        <v/>
      </c>
      <c r="J110" s="154"/>
      <c r="K110" s="520" t="str">
        <f>IF(J110="","",IF(VLOOKUP(J110,'G-7 Rivers Data'!$AK$4:$AM$9,2,FALSE)=0,"Spatial Data Missing ⚠",VLOOKUP(J110,'G-7 Rivers Data'!$AK$4:$AM$9,2,FALSE)))</f>
        <v/>
      </c>
      <c r="L110" s="524" t="str">
        <f>IF(J110="","",IF(VLOOKUP(J110,'G-7 Rivers Data'!$AK$4:$AM$9,3,FALSE)=0,"Spatial Data Missing ⚠",VLOOKUP(J110,'G-7 Rivers Data'!$AK$4:$AM$9,3,FALSE)))</f>
        <v/>
      </c>
      <c r="M110" s="71"/>
      <c r="N110" s="499" t="str">
        <f>IF(M110="","",IF(VLOOKUP(M110,'G-7 Rivers Data'!$AA$4:$AB$7,2,FALSE)=0,"Spatial Data Missing ⚠",VLOOKUP(M110,'G-7 Rivers Data'!$AA$4:$AB$7,2,FALSE)))</f>
        <v/>
      </c>
      <c r="O110" s="155"/>
      <c r="P110" s="499" t="str">
        <f>IF(O110="","",IF(VLOOKUP(O110,'G-7 Rivers Data'!$AD$4:$AE$8,2,FALSE)=0,"Spatial Data Missing ⚠",VLOOKUP(O110,'G-7 Rivers Data'!$AD$4:$AE$8,2,FALSE)))</f>
        <v/>
      </c>
      <c r="Q110" s="506" t="str">
        <f>IF(D110="","",VLOOKUP(D110,'G-7 Rivers Data'!$B$4:$G$8,6,FALSE))</f>
        <v/>
      </c>
      <c r="R110" s="513" t="str">
        <f t="shared" si="8"/>
        <v/>
      </c>
      <c r="S110" s="40"/>
      <c r="T110" s="145"/>
      <c r="U110" s="157"/>
      <c r="V110" s="511" t="str">
        <f t="shared" si="9"/>
        <v/>
      </c>
      <c r="W110" s="511" t="str">
        <f t="shared" si="10"/>
        <v/>
      </c>
      <c r="X110" s="511" t="str">
        <f t="shared" si="11"/>
        <v/>
      </c>
      <c r="Y110" s="515" t="str">
        <f t="shared" si="12"/>
        <v/>
      </c>
      <c r="Z110" s="151"/>
      <c r="AA110" s="152"/>
      <c r="AF110" s="31" t="str">
        <f>IFERROR(INDEX('G-7 Rivers Data'!$AZ$3:$AZ$7,MATCH(D110,'G-7 Rivers Data'!$AY$3:$AY$7,0)),"")</f>
        <v/>
      </c>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row>
    <row r="111" spans="3:40" ht="13.8" x14ac:dyDescent="0.25">
      <c r="C111" s="141">
        <v>102</v>
      </c>
      <c r="D111" s="462"/>
      <c r="E111" s="153"/>
      <c r="F111" s="498" t="str">
        <f>IF(D111="","",VLOOKUP(D111,'G-7 Rivers Data'!$B$2:$G$8,2,FALSE))</f>
        <v/>
      </c>
      <c r="G111" s="499" t="str">
        <f>IFERROR(VLOOKUP(F111,'G-7 Rivers Data'!$C$4:$D$8,2,FALSE),"")</f>
        <v/>
      </c>
      <c r="H111" s="145"/>
      <c r="I111" s="499" t="str">
        <f>IFERROR(INDEX('G-7 Rivers Data'!$H$4:$L$8,MATCH(D111,'G-7 Rivers Data'!$B$4:$B$8,0),MATCH(H111,'G-7 Rivers Data'!$H$3:$L$3,0)),"")</f>
        <v/>
      </c>
      <c r="J111" s="154"/>
      <c r="K111" s="520" t="str">
        <f>IF(J111="","",IF(VLOOKUP(J111,'G-7 Rivers Data'!$AK$4:$AM$9,2,FALSE)=0,"Spatial Data Missing ⚠",VLOOKUP(J111,'G-7 Rivers Data'!$AK$4:$AM$9,2,FALSE)))</f>
        <v/>
      </c>
      <c r="L111" s="524" t="str">
        <f>IF(J111="","",IF(VLOOKUP(J111,'G-7 Rivers Data'!$AK$4:$AM$9,3,FALSE)=0,"Spatial Data Missing ⚠",VLOOKUP(J111,'G-7 Rivers Data'!$AK$4:$AM$9,3,FALSE)))</f>
        <v/>
      </c>
      <c r="M111" s="71"/>
      <c r="N111" s="499" t="str">
        <f>IF(M111="","",IF(VLOOKUP(M111,'G-7 Rivers Data'!$AA$4:$AB$7,2,FALSE)=0,"Spatial Data Missing ⚠",VLOOKUP(M111,'G-7 Rivers Data'!$AA$4:$AB$7,2,FALSE)))</f>
        <v/>
      </c>
      <c r="O111" s="155"/>
      <c r="P111" s="499" t="str">
        <f>IF(O111="","",IF(VLOOKUP(O111,'G-7 Rivers Data'!$AD$4:$AE$8,2,FALSE)=0,"Spatial Data Missing ⚠",VLOOKUP(O111,'G-7 Rivers Data'!$AD$4:$AE$8,2,FALSE)))</f>
        <v/>
      </c>
      <c r="Q111" s="506" t="str">
        <f>IF(D111="","",VLOOKUP(D111,'G-7 Rivers Data'!$B$4:$G$8,6,FALSE))</f>
        <v/>
      </c>
      <c r="R111" s="513" t="str">
        <f t="shared" si="8"/>
        <v/>
      </c>
      <c r="S111" s="40"/>
      <c r="T111" s="145"/>
      <c r="U111" s="157"/>
      <c r="V111" s="511" t="str">
        <f t="shared" si="9"/>
        <v/>
      </c>
      <c r="W111" s="511" t="str">
        <f t="shared" si="10"/>
        <v/>
      </c>
      <c r="X111" s="511" t="str">
        <f t="shared" si="11"/>
        <v/>
      </c>
      <c r="Y111" s="515" t="str">
        <f t="shared" si="12"/>
        <v/>
      </c>
      <c r="Z111" s="151"/>
      <c r="AA111" s="152"/>
      <c r="AF111" s="31" t="str">
        <f>IFERROR(INDEX('G-7 Rivers Data'!$AZ$3:$AZ$7,MATCH(D111,'G-7 Rivers Data'!$AY$3:$AY$7,0)),"")</f>
        <v/>
      </c>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row>
    <row r="112" spans="3:40" ht="13.8" x14ac:dyDescent="0.25">
      <c r="C112" s="141">
        <v>103</v>
      </c>
      <c r="D112" s="462"/>
      <c r="E112" s="153"/>
      <c r="F112" s="498" t="str">
        <f>IF(D112="","",VLOOKUP(D112,'G-7 Rivers Data'!$B$2:$G$8,2,FALSE))</f>
        <v/>
      </c>
      <c r="G112" s="499" t="str">
        <f>IFERROR(VLOOKUP(F112,'G-7 Rivers Data'!$C$4:$D$8,2,FALSE),"")</f>
        <v/>
      </c>
      <c r="H112" s="145"/>
      <c r="I112" s="499" t="str">
        <f>IFERROR(INDEX('G-7 Rivers Data'!$H$4:$L$8,MATCH(D112,'G-7 Rivers Data'!$B$4:$B$8,0),MATCH(H112,'G-7 Rivers Data'!$H$3:$L$3,0)),"")</f>
        <v/>
      </c>
      <c r="J112" s="154"/>
      <c r="K112" s="520" t="str">
        <f>IF(J112="","",IF(VLOOKUP(J112,'G-7 Rivers Data'!$AK$4:$AM$9,2,FALSE)=0,"Spatial Data Missing ⚠",VLOOKUP(J112,'G-7 Rivers Data'!$AK$4:$AM$9,2,FALSE)))</f>
        <v/>
      </c>
      <c r="L112" s="524" t="str">
        <f>IF(J112="","",IF(VLOOKUP(J112,'G-7 Rivers Data'!$AK$4:$AM$9,3,FALSE)=0,"Spatial Data Missing ⚠",VLOOKUP(J112,'G-7 Rivers Data'!$AK$4:$AM$9,3,FALSE)))</f>
        <v/>
      </c>
      <c r="M112" s="71"/>
      <c r="N112" s="499" t="str">
        <f>IF(M112="","",IF(VLOOKUP(M112,'G-7 Rivers Data'!$AA$4:$AB$7,2,FALSE)=0,"Spatial Data Missing ⚠",VLOOKUP(M112,'G-7 Rivers Data'!$AA$4:$AB$7,2,FALSE)))</f>
        <v/>
      </c>
      <c r="O112" s="155"/>
      <c r="P112" s="499" t="str">
        <f>IF(O112="","",IF(VLOOKUP(O112,'G-7 Rivers Data'!$AD$4:$AE$8,2,FALSE)=0,"Spatial Data Missing ⚠",VLOOKUP(O112,'G-7 Rivers Data'!$AD$4:$AE$8,2,FALSE)))</f>
        <v/>
      </c>
      <c r="Q112" s="506" t="str">
        <f>IF(D112="","",VLOOKUP(D112,'G-7 Rivers Data'!$B$4:$G$8,6,FALSE))</f>
        <v/>
      </c>
      <c r="R112" s="513" t="str">
        <f t="shared" si="8"/>
        <v/>
      </c>
      <c r="S112" s="40"/>
      <c r="T112" s="145"/>
      <c r="U112" s="157"/>
      <c r="V112" s="511" t="str">
        <f t="shared" si="9"/>
        <v/>
      </c>
      <c r="W112" s="511" t="str">
        <f t="shared" si="10"/>
        <v/>
      </c>
      <c r="X112" s="511" t="str">
        <f t="shared" si="11"/>
        <v/>
      </c>
      <c r="Y112" s="515" t="str">
        <f t="shared" si="12"/>
        <v/>
      </c>
      <c r="Z112" s="151"/>
      <c r="AA112" s="152"/>
      <c r="AF112" s="31" t="str">
        <f>IFERROR(INDEX('G-7 Rivers Data'!$AZ$3:$AZ$7,MATCH(D112,'G-7 Rivers Data'!$AY$3:$AY$7,0)),"")</f>
        <v/>
      </c>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row>
    <row r="113" spans="3:40" ht="13.8" x14ac:dyDescent="0.25">
      <c r="C113" s="141">
        <v>104</v>
      </c>
      <c r="D113" s="462"/>
      <c r="E113" s="153"/>
      <c r="F113" s="498" t="str">
        <f>IF(D113="","",VLOOKUP(D113,'G-7 Rivers Data'!$B$2:$G$8,2,FALSE))</f>
        <v/>
      </c>
      <c r="G113" s="499" t="str">
        <f>IFERROR(VLOOKUP(F113,'G-7 Rivers Data'!$C$4:$D$8,2,FALSE),"")</f>
        <v/>
      </c>
      <c r="H113" s="145"/>
      <c r="I113" s="499" t="str">
        <f>IFERROR(INDEX('G-7 Rivers Data'!$H$4:$L$8,MATCH(D113,'G-7 Rivers Data'!$B$4:$B$8,0),MATCH(H113,'G-7 Rivers Data'!$H$3:$L$3,0)),"")</f>
        <v/>
      </c>
      <c r="J113" s="154"/>
      <c r="K113" s="520" t="str">
        <f>IF(J113="","",IF(VLOOKUP(J113,'G-7 Rivers Data'!$AK$4:$AM$9,2,FALSE)=0,"Spatial Data Missing ⚠",VLOOKUP(J113,'G-7 Rivers Data'!$AK$4:$AM$9,2,FALSE)))</f>
        <v/>
      </c>
      <c r="L113" s="524" t="str">
        <f>IF(J113="","",IF(VLOOKUP(J113,'G-7 Rivers Data'!$AK$4:$AM$9,3,FALSE)=0,"Spatial Data Missing ⚠",VLOOKUP(J113,'G-7 Rivers Data'!$AK$4:$AM$9,3,FALSE)))</f>
        <v/>
      </c>
      <c r="M113" s="71"/>
      <c r="N113" s="499" t="str">
        <f>IF(M113="","",IF(VLOOKUP(M113,'G-7 Rivers Data'!$AA$4:$AB$7,2,FALSE)=0,"Spatial Data Missing ⚠",VLOOKUP(M113,'G-7 Rivers Data'!$AA$4:$AB$7,2,FALSE)))</f>
        <v/>
      </c>
      <c r="O113" s="155"/>
      <c r="P113" s="499" t="str">
        <f>IF(O113="","",IF(VLOOKUP(O113,'G-7 Rivers Data'!$AD$4:$AE$8,2,FALSE)=0,"Spatial Data Missing ⚠",VLOOKUP(O113,'G-7 Rivers Data'!$AD$4:$AE$8,2,FALSE)))</f>
        <v/>
      </c>
      <c r="Q113" s="506" t="str">
        <f>IF(D113="","",VLOOKUP(D113,'G-7 Rivers Data'!$B$4:$G$8,6,FALSE))</f>
        <v/>
      </c>
      <c r="R113" s="513" t="str">
        <f t="shared" si="8"/>
        <v/>
      </c>
      <c r="S113" s="40"/>
      <c r="T113" s="145"/>
      <c r="U113" s="157"/>
      <c r="V113" s="511" t="str">
        <f t="shared" si="9"/>
        <v/>
      </c>
      <c r="W113" s="511" t="str">
        <f t="shared" si="10"/>
        <v/>
      </c>
      <c r="X113" s="511" t="str">
        <f t="shared" si="11"/>
        <v/>
      </c>
      <c r="Y113" s="515" t="str">
        <f t="shared" si="12"/>
        <v/>
      </c>
      <c r="Z113" s="151"/>
      <c r="AA113" s="152"/>
      <c r="AF113" s="31" t="str">
        <f>IFERROR(INDEX('G-7 Rivers Data'!$AZ$3:$AZ$7,MATCH(D113,'G-7 Rivers Data'!$AY$3:$AY$7,0)),"")</f>
        <v/>
      </c>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row>
    <row r="114" spans="3:40" ht="13.8" x14ac:dyDescent="0.25">
      <c r="C114" s="141">
        <v>105</v>
      </c>
      <c r="D114" s="462"/>
      <c r="E114" s="153"/>
      <c r="F114" s="498" t="str">
        <f>IF(D114="","",VLOOKUP(D114,'G-7 Rivers Data'!$B$2:$G$8,2,FALSE))</f>
        <v/>
      </c>
      <c r="G114" s="499" t="str">
        <f>IFERROR(VLOOKUP(F114,'G-7 Rivers Data'!$C$4:$D$8,2,FALSE),"")</f>
        <v/>
      </c>
      <c r="H114" s="145"/>
      <c r="I114" s="499" t="str">
        <f>IFERROR(INDEX('G-7 Rivers Data'!$H$4:$L$8,MATCH(D114,'G-7 Rivers Data'!$B$4:$B$8,0),MATCH(H114,'G-7 Rivers Data'!$H$3:$L$3,0)),"")</f>
        <v/>
      </c>
      <c r="J114" s="154"/>
      <c r="K114" s="520" t="str">
        <f>IF(J114="","",IF(VLOOKUP(J114,'G-7 Rivers Data'!$AK$4:$AM$9,2,FALSE)=0,"Spatial Data Missing ⚠",VLOOKUP(J114,'G-7 Rivers Data'!$AK$4:$AM$9,2,FALSE)))</f>
        <v/>
      </c>
      <c r="L114" s="524" t="str">
        <f>IF(J114="","",IF(VLOOKUP(J114,'G-7 Rivers Data'!$AK$4:$AM$9,3,FALSE)=0,"Spatial Data Missing ⚠",VLOOKUP(J114,'G-7 Rivers Data'!$AK$4:$AM$9,3,FALSE)))</f>
        <v/>
      </c>
      <c r="M114" s="71"/>
      <c r="N114" s="499" t="str">
        <f>IF(M114="","",IF(VLOOKUP(M114,'G-7 Rivers Data'!$AA$4:$AB$7,2,FALSE)=0,"Spatial Data Missing ⚠",VLOOKUP(M114,'G-7 Rivers Data'!$AA$4:$AB$7,2,FALSE)))</f>
        <v/>
      </c>
      <c r="O114" s="155"/>
      <c r="P114" s="499" t="str">
        <f>IF(O114="","",IF(VLOOKUP(O114,'G-7 Rivers Data'!$AD$4:$AE$8,2,FALSE)=0,"Spatial Data Missing ⚠",VLOOKUP(O114,'G-7 Rivers Data'!$AD$4:$AE$8,2,FALSE)))</f>
        <v/>
      </c>
      <c r="Q114" s="506" t="str">
        <f>IF(D114="","",VLOOKUP(D114,'G-7 Rivers Data'!$B$4:$G$8,6,FALSE))</f>
        <v/>
      </c>
      <c r="R114" s="513" t="str">
        <f t="shared" si="8"/>
        <v/>
      </c>
      <c r="S114" s="40"/>
      <c r="T114" s="145"/>
      <c r="U114" s="157"/>
      <c r="V114" s="511" t="str">
        <f t="shared" si="9"/>
        <v/>
      </c>
      <c r="W114" s="511" t="str">
        <f t="shared" si="10"/>
        <v/>
      </c>
      <c r="X114" s="511" t="str">
        <f t="shared" si="11"/>
        <v/>
      </c>
      <c r="Y114" s="515" t="str">
        <f t="shared" si="12"/>
        <v/>
      </c>
      <c r="Z114" s="151"/>
      <c r="AA114" s="152"/>
      <c r="AF114" s="31" t="str">
        <f>IFERROR(INDEX('G-7 Rivers Data'!$AZ$3:$AZ$7,MATCH(D114,'G-7 Rivers Data'!$AY$3:$AY$7,0)),"")</f>
        <v/>
      </c>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row>
    <row r="115" spans="3:40" ht="13.8" x14ac:dyDescent="0.25">
      <c r="C115" s="141">
        <v>106</v>
      </c>
      <c r="D115" s="462"/>
      <c r="E115" s="153"/>
      <c r="F115" s="498" t="str">
        <f>IF(D115="","",VLOOKUP(D115,'G-7 Rivers Data'!$B$2:$G$8,2,FALSE))</f>
        <v/>
      </c>
      <c r="G115" s="499" t="str">
        <f>IFERROR(VLOOKUP(F115,'G-7 Rivers Data'!$C$4:$D$8,2,FALSE),"")</f>
        <v/>
      </c>
      <c r="H115" s="145"/>
      <c r="I115" s="499" t="str">
        <f>IFERROR(INDEX('G-7 Rivers Data'!$H$4:$L$8,MATCH(D115,'G-7 Rivers Data'!$B$4:$B$8,0),MATCH(H115,'G-7 Rivers Data'!$H$3:$L$3,0)),"")</f>
        <v/>
      </c>
      <c r="J115" s="154"/>
      <c r="K115" s="520" t="str">
        <f>IF(J115="","",IF(VLOOKUP(J115,'G-7 Rivers Data'!$AK$4:$AM$9,2,FALSE)=0,"Spatial Data Missing ⚠",VLOOKUP(J115,'G-7 Rivers Data'!$AK$4:$AM$9,2,FALSE)))</f>
        <v/>
      </c>
      <c r="L115" s="524" t="str">
        <f>IF(J115="","",IF(VLOOKUP(J115,'G-7 Rivers Data'!$AK$4:$AM$9,3,FALSE)=0,"Spatial Data Missing ⚠",VLOOKUP(J115,'G-7 Rivers Data'!$AK$4:$AM$9,3,FALSE)))</f>
        <v/>
      </c>
      <c r="M115" s="71"/>
      <c r="N115" s="499" t="str">
        <f>IF(M115="","",IF(VLOOKUP(M115,'G-7 Rivers Data'!$AA$4:$AB$7,2,FALSE)=0,"Spatial Data Missing ⚠",VLOOKUP(M115,'G-7 Rivers Data'!$AA$4:$AB$7,2,FALSE)))</f>
        <v/>
      </c>
      <c r="O115" s="155"/>
      <c r="P115" s="499" t="str">
        <f>IF(O115="","",IF(VLOOKUP(O115,'G-7 Rivers Data'!$AD$4:$AE$8,2,FALSE)=0,"Spatial Data Missing ⚠",VLOOKUP(O115,'G-7 Rivers Data'!$AD$4:$AE$8,2,FALSE)))</f>
        <v/>
      </c>
      <c r="Q115" s="506" t="str">
        <f>IF(D115="","",VLOOKUP(D115,'G-7 Rivers Data'!$B$4:$G$8,6,FALSE))</f>
        <v/>
      </c>
      <c r="R115" s="513" t="str">
        <f t="shared" si="8"/>
        <v/>
      </c>
      <c r="S115" s="40"/>
      <c r="T115" s="145"/>
      <c r="U115" s="157"/>
      <c r="V115" s="511" t="str">
        <f t="shared" si="9"/>
        <v/>
      </c>
      <c r="W115" s="511" t="str">
        <f t="shared" si="10"/>
        <v/>
      </c>
      <c r="X115" s="511" t="str">
        <f t="shared" si="11"/>
        <v/>
      </c>
      <c r="Y115" s="515" t="str">
        <f t="shared" si="12"/>
        <v/>
      </c>
      <c r="Z115" s="151"/>
      <c r="AA115" s="152"/>
      <c r="AF115" s="31" t="str">
        <f>IFERROR(INDEX('G-7 Rivers Data'!$AZ$3:$AZ$7,MATCH(D115,'G-7 Rivers Data'!$AY$3:$AY$7,0)),"")</f>
        <v/>
      </c>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row>
    <row r="116" spans="3:40" ht="13.8" x14ac:dyDescent="0.25">
      <c r="C116" s="141">
        <v>107</v>
      </c>
      <c r="D116" s="462"/>
      <c r="E116" s="153"/>
      <c r="F116" s="498" t="str">
        <f>IF(D116="","",VLOOKUP(D116,'G-7 Rivers Data'!$B$2:$G$8,2,FALSE))</f>
        <v/>
      </c>
      <c r="G116" s="499" t="str">
        <f>IFERROR(VLOOKUP(F116,'G-7 Rivers Data'!$C$4:$D$8,2,FALSE),"")</f>
        <v/>
      </c>
      <c r="H116" s="145"/>
      <c r="I116" s="499" t="str">
        <f>IFERROR(INDEX('G-7 Rivers Data'!$H$4:$L$8,MATCH(D116,'G-7 Rivers Data'!$B$4:$B$8,0),MATCH(H116,'G-7 Rivers Data'!$H$3:$L$3,0)),"")</f>
        <v/>
      </c>
      <c r="J116" s="154"/>
      <c r="K116" s="520" t="str">
        <f>IF(J116="","",IF(VLOOKUP(J116,'G-7 Rivers Data'!$AK$4:$AM$9,2,FALSE)=0,"Spatial Data Missing ⚠",VLOOKUP(J116,'G-7 Rivers Data'!$AK$4:$AM$9,2,FALSE)))</f>
        <v/>
      </c>
      <c r="L116" s="524" t="str">
        <f>IF(J116="","",IF(VLOOKUP(J116,'G-7 Rivers Data'!$AK$4:$AM$9,3,FALSE)=0,"Spatial Data Missing ⚠",VLOOKUP(J116,'G-7 Rivers Data'!$AK$4:$AM$9,3,FALSE)))</f>
        <v/>
      </c>
      <c r="M116" s="71"/>
      <c r="N116" s="499" t="str">
        <f>IF(M116="","",IF(VLOOKUP(M116,'G-7 Rivers Data'!$AA$4:$AB$7,2,FALSE)=0,"Spatial Data Missing ⚠",VLOOKUP(M116,'G-7 Rivers Data'!$AA$4:$AB$7,2,FALSE)))</f>
        <v/>
      </c>
      <c r="O116" s="155"/>
      <c r="P116" s="499" t="str">
        <f>IF(O116="","",IF(VLOOKUP(O116,'G-7 Rivers Data'!$AD$4:$AE$8,2,FALSE)=0,"Spatial Data Missing ⚠",VLOOKUP(O116,'G-7 Rivers Data'!$AD$4:$AE$8,2,FALSE)))</f>
        <v/>
      </c>
      <c r="Q116" s="506" t="str">
        <f>IF(D116="","",VLOOKUP(D116,'G-7 Rivers Data'!$B$4:$G$8,6,FALSE))</f>
        <v/>
      </c>
      <c r="R116" s="513" t="str">
        <f t="shared" si="8"/>
        <v/>
      </c>
      <c r="S116" s="40"/>
      <c r="T116" s="145"/>
      <c r="U116" s="157"/>
      <c r="V116" s="511" t="str">
        <f t="shared" si="9"/>
        <v/>
      </c>
      <c r="W116" s="511" t="str">
        <f t="shared" si="10"/>
        <v/>
      </c>
      <c r="X116" s="511" t="str">
        <f t="shared" si="11"/>
        <v/>
      </c>
      <c r="Y116" s="515" t="str">
        <f t="shared" si="12"/>
        <v/>
      </c>
      <c r="Z116" s="151"/>
      <c r="AA116" s="152"/>
      <c r="AF116" s="31" t="str">
        <f>IFERROR(INDEX('G-7 Rivers Data'!$AZ$3:$AZ$7,MATCH(D116,'G-7 Rivers Data'!$AY$3:$AY$7,0)),"")</f>
        <v/>
      </c>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row>
    <row r="117" spans="3:40" ht="13.8" x14ac:dyDescent="0.25">
      <c r="C117" s="141">
        <v>108</v>
      </c>
      <c r="D117" s="462"/>
      <c r="E117" s="153"/>
      <c r="F117" s="498" t="str">
        <f>IF(D117="","",VLOOKUP(D117,'G-7 Rivers Data'!$B$2:$G$8,2,FALSE))</f>
        <v/>
      </c>
      <c r="G117" s="499" t="str">
        <f>IFERROR(VLOOKUP(F117,'G-7 Rivers Data'!$C$4:$D$8,2,FALSE),"")</f>
        <v/>
      </c>
      <c r="H117" s="145"/>
      <c r="I117" s="499" t="str">
        <f>IFERROR(INDEX('G-7 Rivers Data'!$H$4:$L$8,MATCH(D117,'G-7 Rivers Data'!$B$4:$B$8,0),MATCH(H117,'G-7 Rivers Data'!$H$3:$L$3,0)),"")</f>
        <v/>
      </c>
      <c r="J117" s="154"/>
      <c r="K117" s="520" t="str">
        <f>IF(J117="","",IF(VLOOKUP(J117,'G-7 Rivers Data'!$AK$4:$AM$9,2,FALSE)=0,"Spatial Data Missing ⚠",VLOOKUP(J117,'G-7 Rivers Data'!$AK$4:$AM$9,2,FALSE)))</f>
        <v/>
      </c>
      <c r="L117" s="524" t="str">
        <f>IF(J117="","",IF(VLOOKUP(J117,'G-7 Rivers Data'!$AK$4:$AM$9,3,FALSE)=0,"Spatial Data Missing ⚠",VLOOKUP(J117,'G-7 Rivers Data'!$AK$4:$AM$9,3,FALSE)))</f>
        <v/>
      </c>
      <c r="M117" s="71"/>
      <c r="N117" s="499" t="str">
        <f>IF(M117="","",IF(VLOOKUP(M117,'G-7 Rivers Data'!$AA$4:$AB$7,2,FALSE)=0,"Spatial Data Missing ⚠",VLOOKUP(M117,'G-7 Rivers Data'!$AA$4:$AB$7,2,FALSE)))</f>
        <v/>
      </c>
      <c r="O117" s="155"/>
      <c r="P117" s="499" t="str">
        <f>IF(O117="","",IF(VLOOKUP(O117,'G-7 Rivers Data'!$AD$4:$AE$8,2,FALSE)=0,"Spatial Data Missing ⚠",VLOOKUP(O117,'G-7 Rivers Data'!$AD$4:$AE$8,2,FALSE)))</f>
        <v/>
      </c>
      <c r="Q117" s="506" t="str">
        <f>IF(D117="","",VLOOKUP(D117,'G-7 Rivers Data'!$B$4:$G$8,6,FALSE))</f>
        <v/>
      </c>
      <c r="R117" s="513" t="str">
        <f t="shared" si="8"/>
        <v/>
      </c>
      <c r="S117" s="40"/>
      <c r="T117" s="145"/>
      <c r="U117" s="157"/>
      <c r="V117" s="511" t="str">
        <f t="shared" si="9"/>
        <v/>
      </c>
      <c r="W117" s="511" t="str">
        <f t="shared" si="10"/>
        <v/>
      </c>
      <c r="X117" s="511" t="str">
        <f t="shared" si="11"/>
        <v/>
      </c>
      <c r="Y117" s="515" t="str">
        <f t="shared" si="12"/>
        <v/>
      </c>
      <c r="Z117" s="151"/>
      <c r="AA117" s="152"/>
      <c r="AF117" s="31" t="str">
        <f>IFERROR(INDEX('G-7 Rivers Data'!$AZ$3:$AZ$7,MATCH(D117,'G-7 Rivers Data'!$AY$3:$AY$7,0)),"")</f>
        <v/>
      </c>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row>
    <row r="118" spans="3:40" ht="13.8" x14ac:dyDescent="0.25">
      <c r="C118" s="141">
        <v>109</v>
      </c>
      <c r="D118" s="462"/>
      <c r="E118" s="153"/>
      <c r="F118" s="498" t="str">
        <f>IF(D118="","",VLOOKUP(D118,'G-7 Rivers Data'!$B$2:$G$8,2,FALSE))</f>
        <v/>
      </c>
      <c r="G118" s="499" t="str">
        <f>IFERROR(VLOOKUP(F118,'G-7 Rivers Data'!$C$4:$D$8,2,FALSE),"")</f>
        <v/>
      </c>
      <c r="H118" s="145"/>
      <c r="I118" s="499" t="str">
        <f>IFERROR(INDEX('G-7 Rivers Data'!$H$4:$L$8,MATCH(D118,'G-7 Rivers Data'!$B$4:$B$8,0),MATCH(H118,'G-7 Rivers Data'!$H$3:$L$3,0)),"")</f>
        <v/>
      </c>
      <c r="J118" s="154"/>
      <c r="K118" s="520" t="str">
        <f>IF(J118="","",IF(VLOOKUP(J118,'G-7 Rivers Data'!$AK$4:$AM$9,2,FALSE)=0,"Spatial Data Missing ⚠",VLOOKUP(J118,'G-7 Rivers Data'!$AK$4:$AM$9,2,FALSE)))</f>
        <v/>
      </c>
      <c r="L118" s="524" t="str">
        <f>IF(J118="","",IF(VLOOKUP(J118,'G-7 Rivers Data'!$AK$4:$AM$9,3,FALSE)=0,"Spatial Data Missing ⚠",VLOOKUP(J118,'G-7 Rivers Data'!$AK$4:$AM$9,3,FALSE)))</f>
        <v/>
      </c>
      <c r="M118" s="71"/>
      <c r="N118" s="499" t="str">
        <f>IF(M118="","",IF(VLOOKUP(M118,'G-7 Rivers Data'!$AA$4:$AB$7,2,FALSE)=0,"Spatial Data Missing ⚠",VLOOKUP(M118,'G-7 Rivers Data'!$AA$4:$AB$7,2,FALSE)))</f>
        <v/>
      </c>
      <c r="O118" s="155"/>
      <c r="P118" s="499" t="str">
        <f>IF(O118="","",IF(VLOOKUP(O118,'G-7 Rivers Data'!$AD$4:$AE$8,2,FALSE)=0,"Spatial Data Missing ⚠",VLOOKUP(O118,'G-7 Rivers Data'!$AD$4:$AE$8,2,FALSE)))</f>
        <v/>
      </c>
      <c r="Q118" s="506" t="str">
        <f>IF(D118="","",VLOOKUP(D118,'G-7 Rivers Data'!$B$4:$G$8,6,FALSE))</f>
        <v/>
      </c>
      <c r="R118" s="513" t="str">
        <f t="shared" si="8"/>
        <v/>
      </c>
      <c r="S118" s="40"/>
      <c r="T118" s="145"/>
      <c r="U118" s="157"/>
      <c r="V118" s="511" t="str">
        <f t="shared" si="9"/>
        <v/>
      </c>
      <c r="W118" s="511" t="str">
        <f t="shared" si="10"/>
        <v/>
      </c>
      <c r="X118" s="511" t="str">
        <f t="shared" si="11"/>
        <v/>
      </c>
      <c r="Y118" s="515" t="str">
        <f t="shared" si="12"/>
        <v/>
      </c>
      <c r="Z118" s="151"/>
      <c r="AA118" s="152"/>
      <c r="AF118" s="31" t="str">
        <f>IFERROR(INDEX('G-7 Rivers Data'!$AZ$3:$AZ$7,MATCH(D118,'G-7 Rivers Data'!$AY$3:$AY$7,0)),"")</f>
        <v/>
      </c>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row>
    <row r="119" spans="3:40" ht="13.8" x14ac:dyDescent="0.25">
      <c r="C119" s="141">
        <v>110</v>
      </c>
      <c r="D119" s="462"/>
      <c r="E119" s="153"/>
      <c r="F119" s="498" t="str">
        <f>IF(D119="","",VLOOKUP(D119,'G-7 Rivers Data'!$B$2:$G$8,2,FALSE))</f>
        <v/>
      </c>
      <c r="G119" s="499" t="str">
        <f>IFERROR(VLOOKUP(F119,'G-7 Rivers Data'!$C$4:$D$8,2,FALSE),"")</f>
        <v/>
      </c>
      <c r="H119" s="145"/>
      <c r="I119" s="499" t="str">
        <f>IFERROR(INDEX('G-7 Rivers Data'!$H$4:$L$8,MATCH(D119,'G-7 Rivers Data'!$B$4:$B$8,0),MATCH(H119,'G-7 Rivers Data'!$H$3:$L$3,0)),"")</f>
        <v/>
      </c>
      <c r="J119" s="154"/>
      <c r="K119" s="520" t="str">
        <f>IF(J119="","",IF(VLOOKUP(J119,'G-7 Rivers Data'!$AK$4:$AM$9,2,FALSE)=0,"Spatial Data Missing ⚠",VLOOKUP(J119,'G-7 Rivers Data'!$AK$4:$AM$9,2,FALSE)))</f>
        <v/>
      </c>
      <c r="L119" s="524" t="str">
        <f>IF(J119="","",IF(VLOOKUP(J119,'G-7 Rivers Data'!$AK$4:$AM$9,3,FALSE)=0,"Spatial Data Missing ⚠",VLOOKUP(J119,'G-7 Rivers Data'!$AK$4:$AM$9,3,FALSE)))</f>
        <v/>
      </c>
      <c r="M119" s="71"/>
      <c r="N119" s="499" t="str">
        <f>IF(M119="","",IF(VLOOKUP(M119,'G-7 Rivers Data'!$AA$4:$AB$7,2,FALSE)=0,"Spatial Data Missing ⚠",VLOOKUP(M119,'G-7 Rivers Data'!$AA$4:$AB$7,2,FALSE)))</f>
        <v/>
      </c>
      <c r="O119" s="155"/>
      <c r="P119" s="499" t="str">
        <f>IF(O119="","",IF(VLOOKUP(O119,'G-7 Rivers Data'!$AD$4:$AE$8,2,FALSE)=0,"Spatial Data Missing ⚠",VLOOKUP(O119,'G-7 Rivers Data'!$AD$4:$AE$8,2,FALSE)))</f>
        <v/>
      </c>
      <c r="Q119" s="506" t="str">
        <f>IF(D119="","",VLOOKUP(D119,'G-7 Rivers Data'!$B$4:$G$8,6,FALSE))</f>
        <v/>
      </c>
      <c r="R119" s="513" t="str">
        <f t="shared" si="8"/>
        <v/>
      </c>
      <c r="S119" s="40"/>
      <c r="T119" s="145"/>
      <c r="U119" s="157"/>
      <c r="V119" s="511" t="str">
        <f t="shared" si="9"/>
        <v/>
      </c>
      <c r="W119" s="511" t="str">
        <f t="shared" si="10"/>
        <v/>
      </c>
      <c r="X119" s="511" t="str">
        <f t="shared" si="11"/>
        <v/>
      </c>
      <c r="Y119" s="515" t="str">
        <f t="shared" si="12"/>
        <v/>
      </c>
      <c r="Z119" s="151"/>
      <c r="AA119" s="152"/>
      <c r="AF119" s="31" t="str">
        <f>IFERROR(INDEX('G-7 Rivers Data'!$AZ$3:$AZ$7,MATCH(D119,'G-7 Rivers Data'!$AY$3:$AY$7,0)),"")</f>
        <v/>
      </c>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row>
    <row r="120" spans="3:40" ht="13.8" x14ac:dyDescent="0.25">
      <c r="C120" s="141">
        <v>111</v>
      </c>
      <c r="D120" s="462"/>
      <c r="E120" s="153"/>
      <c r="F120" s="498" t="str">
        <f>IF(D120="","",VLOOKUP(D120,'G-7 Rivers Data'!$B$2:$G$8,2,FALSE))</f>
        <v/>
      </c>
      <c r="G120" s="499" t="str">
        <f>IFERROR(VLOOKUP(F120,'G-7 Rivers Data'!$C$4:$D$8,2,FALSE),"")</f>
        <v/>
      </c>
      <c r="H120" s="145"/>
      <c r="I120" s="499" t="str">
        <f>IFERROR(INDEX('G-7 Rivers Data'!$H$4:$L$8,MATCH(D120,'G-7 Rivers Data'!$B$4:$B$8,0),MATCH(H120,'G-7 Rivers Data'!$H$3:$L$3,0)),"")</f>
        <v/>
      </c>
      <c r="J120" s="154"/>
      <c r="K120" s="520" t="str">
        <f>IF(J120="","",IF(VLOOKUP(J120,'G-7 Rivers Data'!$AK$4:$AM$9,2,FALSE)=0,"Spatial Data Missing ⚠",VLOOKUP(J120,'G-7 Rivers Data'!$AK$4:$AM$9,2,FALSE)))</f>
        <v/>
      </c>
      <c r="L120" s="524" t="str">
        <f>IF(J120="","",IF(VLOOKUP(J120,'G-7 Rivers Data'!$AK$4:$AM$9,3,FALSE)=0,"Spatial Data Missing ⚠",VLOOKUP(J120,'G-7 Rivers Data'!$AK$4:$AM$9,3,FALSE)))</f>
        <v/>
      </c>
      <c r="M120" s="71"/>
      <c r="N120" s="499" t="str">
        <f>IF(M120="","",IF(VLOOKUP(M120,'G-7 Rivers Data'!$AA$4:$AB$7,2,FALSE)=0,"Spatial Data Missing ⚠",VLOOKUP(M120,'G-7 Rivers Data'!$AA$4:$AB$7,2,FALSE)))</f>
        <v/>
      </c>
      <c r="O120" s="155"/>
      <c r="P120" s="499" t="str">
        <f>IF(O120="","",IF(VLOOKUP(O120,'G-7 Rivers Data'!$AD$4:$AE$8,2,FALSE)=0,"Spatial Data Missing ⚠",VLOOKUP(O120,'G-7 Rivers Data'!$AD$4:$AE$8,2,FALSE)))</f>
        <v/>
      </c>
      <c r="Q120" s="506" t="str">
        <f>IF(D120="","",VLOOKUP(D120,'G-7 Rivers Data'!$B$4:$G$8,6,FALSE))</f>
        <v/>
      </c>
      <c r="R120" s="513" t="str">
        <f t="shared" si="8"/>
        <v/>
      </c>
      <c r="S120" s="40"/>
      <c r="T120" s="145"/>
      <c r="U120" s="157"/>
      <c r="V120" s="511" t="str">
        <f t="shared" si="9"/>
        <v/>
      </c>
      <c r="W120" s="511" t="str">
        <f t="shared" si="10"/>
        <v/>
      </c>
      <c r="X120" s="511" t="str">
        <f t="shared" si="11"/>
        <v/>
      </c>
      <c r="Y120" s="515" t="str">
        <f t="shared" si="12"/>
        <v/>
      </c>
      <c r="Z120" s="151"/>
      <c r="AA120" s="152"/>
      <c r="AF120" s="31" t="str">
        <f>IFERROR(INDEX('G-7 Rivers Data'!$AZ$3:$AZ$7,MATCH(D120,'G-7 Rivers Data'!$AY$3:$AY$7,0)),"")</f>
        <v/>
      </c>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row>
    <row r="121" spans="3:40" ht="13.8" x14ac:dyDescent="0.25">
      <c r="C121" s="141">
        <v>112</v>
      </c>
      <c r="D121" s="462"/>
      <c r="E121" s="153"/>
      <c r="F121" s="498" t="str">
        <f>IF(D121="","",VLOOKUP(D121,'G-7 Rivers Data'!$B$2:$G$8,2,FALSE))</f>
        <v/>
      </c>
      <c r="G121" s="499" t="str">
        <f>IFERROR(VLOOKUP(F121,'G-7 Rivers Data'!$C$4:$D$8,2,FALSE),"")</f>
        <v/>
      </c>
      <c r="H121" s="145"/>
      <c r="I121" s="499" t="str">
        <f>IFERROR(INDEX('G-7 Rivers Data'!$H$4:$L$8,MATCH(D121,'G-7 Rivers Data'!$B$4:$B$8,0),MATCH(H121,'G-7 Rivers Data'!$H$3:$L$3,0)),"")</f>
        <v/>
      </c>
      <c r="J121" s="154"/>
      <c r="K121" s="520" t="str">
        <f>IF(J121="","",IF(VLOOKUP(J121,'G-7 Rivers Data'!$AK$4:$AM$9,2,FALSE)=0,"Spatial Data Missing ⚠",VLOOKUP(J121,'G-7 Rivers Data'!$AK$4:$AM$9,2,FALSE)))</f>
        <v/>
      </c>
      <c r="L121" s="524" t="str">
        <f>IF(J121="","",IF(VLOOKUP(J121,'G-7 Rivers Data'!$AK$4:$AM$9,3,FALSE)=0,"Spatial Data Missing ⚠",VLOOKUP(J121,'G-7 Rivers Data'!$AK$4:$AM$9,3,FALSE)))</f>
        <v/>
      </c>
      <c r="M121" s="71"/>
      <c r="N121" s="499" t="str">
        <f>IF(M121="","",IF(VLOOKUP(M121,'G-7 Rivers Data'!$AA$4:$AB$7,2,FALSE)=0,"Spatial Data Missing ⚠",VLOOKUP(M121,'G-7 Rivers Data'!$AA$4:$AB$7,2,FALSE)))</f>
        <v/>
      </c>
      <c r="O121" s="155"/>
      <c r="P121" s="499" t="str">
        <f>IF(O121="","",IF(VLOOKUP(O121,'G-7 Rivers Data'!$AD$4:$AE$8,2,FALSE)=0,"Spatial Data Missing ⚠",VLOOKUP(O121,'G-7 Rivers Data'!$AD$4:$AE$8,2,FALSE)))</f>
        <v/>
      </c>
      <c r="Q121" s="506" t="str">
        <f>IF(D121="","",VLOOKUP(D121,'G-7 Rivers Data'!$B$4:$G$8,6,FALSE))</f>
        <v/>
      </c>
      <c r="R121" s="513" t="str">
        <f t="shared" si="8"/>
        <v/>
      </c>
      <c r="S121" s="40"/>
      <c r="T121" s="145"/>
      <c r="U121" s="157"/>
      <c r="V121" s="511" t="str">
        <f t="shared" si="9"/>
        <v/>
      </c>
      <c r="W121" s="511" t="str">
        <f t="shared" si="10"/>
        <v/>
      </c>
      <c r="X121" s="511" t="str">
        <f t="shared" si="11"/>
        <v/>
      </c>
      <c r="Y121" s="515" t="str">
        <f t="shared" si="12"/>
        <v/>
      </c>
      <c r="Z121" s="151"/>
      <c r="AA121" s="152"/>
      <c r="AF121" s="31" t="str">
        <f>IFERROR(INDEX('G-7 Rivers Data'!$AZ$3:$AZ$7,MATCH(D121,'G-7 Rivers Data'!$AY$3:$AY$7,0)),"")</f>
        <v/>
      </c>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row>
    <row r="122" spans="3:40" ht="13.8" x14ac:dyDescent="0.25">
      <c r="C122" s="141">
        <v>113</v>
      </c>
      <c r="D122" s="462"/>
      <c r="E122" s="153"/>
      <c r="F122" s="498" t="str">
        <f>IF(D122="","",VLOOKUP(D122,'G-7 Rivers Data'!$B$2:$G$8,2,FALSE))</f>
        <v/>
      </c>
      <c r="G122" s="499" t="str">
        <f>IFERROR(VLOOKUP(F122,'G-7 Rivers Data'!$C$4:$D$8,2,FALSE),"")</f>
        <v/>
      </c>
      <c r="H122" s="145"/>
      <c r="I122" s="499" t="str">
        <f>IFERROR(INDEX('G-7 Rivers Data'!$H$4:$L$8,MATCH(D122,'G-7 Rivers Data'!$B$4:$B$8,0),MATCH(H122,'G-7 Rivers Data'!$H$3:$L$3,0)),"")</f>
        <v/>
      </c>
      <c r="J122" s="154"/>
      <c r="K122" s="520" t="str">
        <f>IF(J122="","",IF(VLOOKUP(J122,'G-7 Rivers Data'!$AK$4:$AM$9,2,FALSE)=0,"Spatial Data Missing ⚠",VLOOKUP(J122,'G-7 Rivers Data'!$AK$4:$AM$9,2,FALSE)))</f>
        <v/>
      </c>
      <c r="L122" s="524" t="str">
        <f>IF(J122="","",IF(VLOOKUP(J122,'G-7 Rivers Data'!$AK$4:$AM$9,3,FALSE)=0,"Spatial Data Missing ⚠",VLOOKUP(J122,'G-7 Rivers Data'!$AK$4:$AM$9,3,FALSE)))</f>
        <v/>
      </c>
      <c r="M122" s="71"/>
      <c r="N122" s="499" t="str">
        <f>IF(M122="","",IF(VLOOKUP(M122,'G-7 Rivers Data'!$AA$4:$AB$7,2,FALSE)=0,"Spatial Data Missing ⚠",VLOOKUP(M122,'G-7 Rivers Data'!$AA$4:$AB$7,2,FALSE)))</f>
        <v/>
      </c>
      <c r="O122" s="155"/>
      <c r="P122" s="499" t="str">
        <f>IF(O122="","",IF(VLOOKUP(O122,'G-7 Rivers Data'!$AD$4:$AE$8,2,FALSE)=0,"Spatial Data Missing ⚠",VLOOKUP(O122,'G-7 Rivers Data'!$AD$4:$AE$8,2,FALSE)))</f>
        <v/>
      </c>
      <c r="Q122" s="506" t="str">
        <f>IF(D122="","",VLOOKUP(D122,'G-7 Rivers Data'!$B$4:$G$8,6,FALSE))</f>
        <v/>
      </c>
      <c r="R122" s="513" t="str">
        <f t="shared" si="8"/>
        <v/>
      </c>
      <c r="S122" s="40"/>
      <c r="T122" s="145"/>
      <c r="U122" s="157"/>
      <c r="V122" s="511" t="str">
        <f t="shared" si="9"/>
        <v/>
      </c>
      <c r="W122" s="511" t="str">
        <f t="shared" si="10"/>
        <v/>
      </c>
      <c r="X122" s="511" t="str">
        <f t="shared" si="11"/>
        <v/>
      </c>
      <c r="Y122" s="515" t="str">
        <f t="shared" si="12"/>
        <v/>
      </c>
      <c r="Z122" s="151"/>
      <c r="AA122" s="152"/>
      <c r="AF122" s="31" t="str">
        <f>IFERROR(INDEX('G-7 Rivers Data'!$AZ$3:$AZ$7,MATCH(D122,'G-7 Rivers Data'!$AY$3:$AY$7,0)),"")</f>
        <v/>
      </c>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row>
    <row r="123" spans="3:40" ht="13.8" x14ac:dyDescent="0.25">
      <c r="C123" s="141">
        <v>114</v>
      </c>
      <c r="D123" s="462"/>
      <c r="E123" s="153"/>
      <c r="F123" s="498" t="str">
        <f>IF(D123="","",VLOOKUP(D123,'G-7 Rivers Data'!$B$2:$G$8,2,FALSE))</f>
        <v/>
      </c>
      <c r="G123" s="499" t="str">
        <f>IFERROR(VLOOKUP(F123,'G-7 Rivers Data'!$C$4:$D$8,2,FALSE),"")</f>
        <v/>
      </c>
      <c r="H123" s="145"/>
      <c r="I123" s="499" t="str">
        <f>IFERROR(INDEX('G-7 Rivers Data'!$H$4:$L$8,MATCH(D123,'G-7 Rivers Data'!$B$4:$B$8,0),MATCH(H123,'G-7 Rivers Data'!$H$3:$L$3,0)),"")</f>
        <v/>
      </c>
      <c r="J123" s="154"/>
      <c r="K123" s="520" t="str">
        <f>IF(J123="","",IF(VLOOKUP(J123,'G-7 Rivers Data'!$AK$4:$AM$9,2,FALSE)=0,"Spatial Data Missing ⚠",VLOOKUP(J123,'G-7 Rivers Data'!$AK$4:$AM$9,2,FALSE)))</f>
        <v/>
      </c>
      <c r="L123" s="524" t="str">
        <f>IF(J123="","",IF(VLOOKUP(J123,'G-7 Rivers Data'!$AK$4:$AM$9,3,FALSE)=0,"Spatial Data Missing ⚠",VLOOKUP(J123,'G-7 Rivers Data'!$AK$4:$AM$9,3,FALSE)))</f>
        <v/>
      </c>
      <c r="M123" s="71"/>
      <c r="N123" s="499" t="str">
        <f>IF(M123="","",IF(VLOOKUP(M123,'G-7 Rivers Data'!$AA$4:$AB$7,2,FALSE)=0,"Spatial Data Missing ⚠",VLOOKUP(M123,'G-7 Rivers Data'!$AA$4:$AB$7,2,FALSE)))</f>
        <v/>
      </c>
      <c r="O123" s="155"/>
      <c r="P123" s="499" t="str">
        <f>IF(O123="","",IF(VLOOKUP(O123,'G-7 Rivers Data'!$AD$4:$AE$8,2,FALSE)=0,"Spatial Data Missing ⚠",VLOOKUP(O123,'G-7 Rivers Data'!$AD$4:$AE$8,2,FALSE)))</f>
        <v/>
      </c>
      <c r="Q123" s="506" t="str">
        <f>IF(D123="","",VLOOKUP(D123,'G-7 Rivers Data'!$B$4:$G$8,6,FALSE))</f>
        <v/>
      </c>
      <c r="R123" s="513" t="str">
        <f t="shared" si="8"/>
        <v/>
      </c>
      <c r="S123" s="40"/>
      <c r="T123" s="145"/>
      <c r="U123" s="157"/>
      <c r="V123" s="511" t="str">
        <f t="shared" si="9"/>
        <v/>
      </c>
      <c r="W123" s="511" t="str">
        <f t="shared" si="10"/>
        <v/>
      </c>
      <c r="X123" s="511" t="str">
        <f t="shared" si="11"/>
        <v/>
      </c>
      <c r="Y123" s="515" t="str">
        <f t="shared" si="12"/>
        <v/>
      </c>
      <c r="Z123" s="151"/>
      <c r="AA123" s="152"/>
      <c r="AF123" s="31" t="str">
        <f>IFERROR(INDEX('G-7 Rivers Data'!$AZ$3:$AZ$7,MATCH(D123,'G-7 Rivers Data'!$AY$3:$AY$7,0)),"")</f>
        <v/>
      </c>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row>
    <row r="124" spans="3:40" ht="13.8" x14ac:dyDescent="0.25">
      <c r="C124" s="141">
        <v>115</v>
      </c>
      <c r="D124" s="462"/>
      <c r="E124" s="153"/>
      <c r="F124" s="498" t="str">
        <f>IF(D124="","",VLOOKUP(D124,'G-7 Rivers Data'!$B$2:$G$8,2,FALSE))</f>
        <v/>
      </c>
      <c r="G124" s="499" t="str">
        <f>IFERROR(VLOOKUP(F124,'G-7 Rivers Data'!$C$4:$D$8,2,FALSE),"")</f>
        <v/>
      </c>
      <c r="H124" s="145"/>
      <c r="I124" s="499" t="str">
        <f>IFERROR(INDEX('G-7 Rivers Data'!$H$4:$L$8,MATCH(D124,'G-7 Rivers Data'!$B$4:$B$8,0),MATCH(H124,'G-7 Rivers Data'!$H$3:$L$3,0)),"")</f>
        <v/>
      </c>
      <c r="J124" s="154"/>
      <c r="K124" s="520" t="str">
        <f>IF(J124="","",IF(VLOOKUP(J124,'G-7 Rivers Data'!$AK$4:$AM$9,2,FALSE)=0,"Spatial Data Missing ⚠",VLOOKUP(J124,'G-7 Rivers Data'!$AK$4:$AM$9,2,FALSE)))</f>
        <v/>
      </c>
      <c r="L124" s="524" t="str">
        <f>IF(J124="","",IF(VLOOKUP(J124,'G-7 Rivers Data'!$AK$4:$AM$9,3,FALSE)=0,"Spatial Data Missing ⚠",VLOOKUP(J124,'G-7 Rivers Data'!$AK$4:$AM$9,3,FALSE)))</f>
        <v/>
      </c>
      <c r="M124" s="71"/>
      <c r="N124" s="499" t="str">
        <f>IF(M124="","",IF(VLOOKUP(M124,'G-7 Rivers Data'!$AA$4:$AB$7,2,FALSE)=0,"Spatial Data Missing ⚠",VLOOKUP(M124,'G-7 Rivers Data'!$AA$4:$AB$7,2,FALSE)))</f>
        <v/>
      </c>
      <c r="O124" s="155"/>
      <c r="P124" s="499" t="str">
        <f>IF(O124="","",IF(VLOOKUP(O124,'G-7 Rivers Data'!$AD$4:$AE$8,2,FALSE)=0,"Spatial Data Missing ⚠",VLOOKUP(O124,'G-7 Rivers Data'!$AD$4:$AE$8,2,FALSE)))</f>
        <v/>
      </c>
      <c r="Q124" s="506" t="str">
        <f>IF(D124="","",VLOOKUP(D124,'G-7 Rivers Data'!$B$4:$G$8,6,FALSE))</f>
        <v/>
      </c>
      <c r="R124" s="513" t="str">
        <f t="shared" si="8"/>
        <v/>
      </c>
      <c r="S124" s="40"/>
      <c r="T124" s="145"/>
      <c r="U124" s="157"/>
      <c r="V124" s="511" t="str">
        <f t="shared" si="9"/>
        <v/>
      </c>
      <c r="W124" s="511" t="str">
        <f t="shared" si="10"/>
        <v/>
      </c>
      <c r="X124" s="511" t="str">
        <f t="shared" si="11"/>
        <v/>
      </c>
      <c r="Y124" s="515" t="str">
        <f t="shared" si="12"/>
        <v/>
      </c>
      <c r="Z124" s="151"/>
      <c r="AA124" s="152"/>
      <c r="AF124" s="31" t="str">
        <f>IFERROR(INDEX('G-7 Rivers Data'!$AZ$3:$AZ$7,MATCH(D124,'G-7 Rivers Data'!$AY$3:$AY$7,0)),"")</f>
        <v/>
      </c>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row>
    <row r="125" spans="3:40" ht="13.8" x14ac:dyDescent="0.25">
      <c r="C125" s="141">
        <v>116</v>
      </c>
      <c r="D125" s="462"/>
      <c r="E125" s="153"/>
      <c r="F125" s="498" t="str">
        <f>IF(D125="","",VLOOKUP(D125,'G-7 Rivers Data'!$B$2:$G$8,2,FALSE))</f>
        <v/>
      </c>
      <c r="G125" s="499" t="str">
        <f>IFERROR(VLOOKUP(F125,'G-7 Rivers Data'!$C$4:$D$8,2,FALSE),"")</f>
        <v/>
      </c>
      <c r="H125" s="145"/>
      <c r="I125" s="499" t="str">
        <f>IFERROR(INDEX('G-7 Rivers Data'!$H$4:$L$8,MATCH(D125,'G-7 Rivers Data'!$B$4:$B$8,0),MATCH(H125,'G-7 Rivers Data'!$H$3:$L$3,0)),"")</f>
        <v/>
      </c>
      <c r="J125" s="154"/>
      <c r="K125" s="520" t="str">
        <f>IF(J125="","",IF(VLOOKUP(J125,'G-7 Rivers Data'!$AK$4:$AM$9,2,FALSE)=0,"Spatial Data Missing ⚠",VLOOKUP(J125,'G-7 Rivers Data'!$AK$4:$AM$9,2,FALSE)))</f>
        <v/>
      </c>
      <c r="L125" s="524" t="str">
        <f>IF(J125="","",IF(VLOOKUP(J125,'G-7 Rivers Data'!$AK$4:$AM$9,3,FALSE)=0,"Spatial Data Missing ⚠",VLOOKUP(J125,'G-7 Rivers Data'!$AK$4:$AM$9,3,FALSE)))</f>
        <v/>
      </c>
      <c r="M125" s="71"/>
      <c r="N125" s="499" t="str">
        <f>IF(M125="","",IF(VLOOKUP(M125,'G-7 Rivers Data'!$AA$4:$AB$7,2,FALSE)=0,"Spatial Data Missing ⚠",VLOOKUP(M125,'G-7 Rivers Data'!$AA$4:$AB$7,2,FALSE)))</f>
        <v/>
      </c>
      <c r="O125" s="155"/>
      <c r="P125" s="499" t="str">
        <f>IF(O125="","",IF(VLOOKUP(O125,'G-7 Rivers Data'!$AD$4:$AE$8,2,FALSE)=0,"Spatial Data Missing ⚠",VLOOKUP(O125,'G-7 Rivers Data'!$AD$4:$AE$8,2,FALSE)))</f>
        <v/>
      </c>
      <c r="Q125" s="506" t="str">
        <f>IF(D125="","",VLOOKUP(D125,'G-7 Rivers Data'!$B$4:$G$8,6,FALSE))</f>
        <v/>
      </c>
      <c r="R125" s="513" t="str">
        <f t="shared" si="8"/>
        <v/>
      </c>
      <c r="S125" s="40"/>
      <c r="T125" s="145"/>
      <c r="U125" s="157"/>
      <c r="V125" s="511" t="str">
        <f t="shared" si="9"/>
        <v/>
      </c>
      <c r="W125" s="511" t="str">
        <f t="shared" si="10"/>
        <v/>
      </c>
      <c r="X125" s="511" t="str">
        <f t="shared" si="11"/>
        <v/>
      </c>
      <c r="Y125" s="515" t="str">
        <f t="shared" si="12"/>
        <v/>
      </c>
      <c r="Z125" s="151"/>
      <c r="AA125" s="152"/>
      <c r="AF125" s="31" t="str">
        <f>IFERROR(INDEX('G-7 Rivers Data'!$AZ$3:$AZ$7,MATCH(D125,'G-7 Rivers Data'!$AY$3:$AY$7,0)),"")</f>
        <v/>
      </c>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row>
    <row r="126" spans="3:40" ht="13.8" x14ac:dyDescent="0.25">
      <c r="C126" s="141">
        <v>117</v>
      </c>
      <c r="D126" s="462"/>
      <c r="E126" s="153"/>
      <c r="F126" s="498" t="str">
        <f>IF(D126="","",VLOOKUP(D126,'G-7 Rivers Data'!$B$2:$G$8,2,FALSE))</f>
        <v/>
      </c>
      <c r="G126" s="499" t="str">
        <f>IFERROR(VLOOKUP(F126,'G-7 Rivers Data'!$C$4:$D$8,2,FALSE),"")</f>
        <v/>
      </c>
      <c r="H126" s="145"/>
      <c r="I126" s="499" t="str">
        <f>IFERROR(INDEX('G-7 Rivers Data'!$H$4:$L$8,MATCH(D126,'G-7 Rivers Data'!$B$4:$B$8,0),MATCH(H126,'G-7 Rivers Data'!$H$3:$L$3,0)),"")</f>
        <v/>
      </c>
      <c r="J126" s="154"/>
      <c r="K126" s="520" t="str">
        <f>IF(J126="","",IF(VLOOKUP(J126,'G-7 Rivers Data'!$AK$4:$AM$9,2,FALSE)=0,"Spatial Data Missing ⚠",VLOOKUP(J126,'G-7 Rivers Data'!$AK$4:$AM$9,2,FALSE)))</f>
        <v/>
      </c>
      <c r="L126" s="524" t="str">
        <f>IF(J126="","",IF(VLOOKUP(J126,'G-7 Rivers Data'!$AK$4:$AM$9,3,FALSE)=0,"Spatial Data Missing ⚠",VLOOKUP(J126,'G-7 Rivers Data'!$AK$4:$AM$9,3,FALSE)))</f>
        <v/>
      </c>
      <c r="M126" s="71"/>
      <c r="N126" s="499" t="str">
        <f>IF(M126="","",IF(VLOOKUP(M126,'G-7 Rivers Data'!$AA$4:$AB$7,2,FALSE)=0,"Spatial Data Missing ⚠",VLOOKUP(M126,'G-7 Rivers Data'!$AA$4:$AB$7,2,FALSE)))</f>
        <v/>
      </c>
      <c r="O126" s="155"/>
      <c r="P126" s="499" t="str">
        <f>IF(O126="","",IF(VLOOKUP(O126,'G-7 Rivers Data'!$AD$4:$AE$8,2,FALSE)=0,"Spatial Data Missing ⚠",VLOOKUP(O126,'G-7 Rivers Data'!$AD$4:$AE$8,2,FALSE)))</f>
        <v/>
      </c>
      <c r="Q126" s="506" t="str">
        <f>IF(D126="","",VLOOKUP(D126,'G-7 Rivers Data'!$B$4:$G$8,6,FALSE))</f>
        <v/>
      </c>
      <c r="R126" s="513" t="str">
        <f t="shared" si="8"/>
        <v/>
      </c>
      <c r="S126" s="40"/>
      <c r="T126" s="145"/>
      <c r="U126" s="157"/>
      <c r="V126" s="511" t="str">
        <f t="shared" si="9"/>
        <v/>
      </c>
      <c r="W126" s="511" t="str">
        <f t="shared" si="10"/>
        <v/>
      </c>
      <c r="X126" s="511" t="str">
        <f t="shared" si="11"/>
        <v/>
      </c>
      <c r="Y126" s="515" t="str">
        <f t="shared" si="12"/>
        <v/>
      </c>
      <c r="Z126" s="151"/>
      <c r="AA126" s="152"/>
      <c r="AF126" s="31" t="str">
        <f>IFERROR(INDEX('G-7 Rivers Data'!$AZ$3:$AZ$7,MATCH(D126,'G-7 Rivers Data'!$AY$3:$AY$7,0)),"")</f>
        <v/>
      </c>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row>
    <row r="127" spans="3:40" ht="13.8" x14ac:dyDescent="0.25">
      <c r="C127" s="141">
        <v>118</v>
      </c>
      <c r="D127" s="462"/>
      <c r="E127" s="153"/>
      <c r="F127" s="498" t="str">
        <f>IF(D127="","",VLOOKUP(D127,'G-7 Rivers Data'!$B$2:$G$8,2,FALSE))</f>
        <v/>
      </c>
      <c r="G127" s="499" t="str">
        <f>IFERROR(VLOOKUP(F127,'G-7 Rivers Data'!$C$4:$D$8,2,FALSE),"")</f>
        <v/>
      </c>
      <c r="H127" s="145"/>
      <c r="I127" s="499" t="str">
        <f>IFERROR(INDEX('G-7 Rivers Data'!$H$4:$L$8,MATCH(D127,'G-7 Rivers Data'!$B$4:$B$8,0),MATCH(H127,'G-7 Rivers Data'!$H$3:$L$3,0)),"")</f>
        <v/>
      </c>
      <c r="J127" s="154"/>
      <c r="K127" s="520" t="str">
        <f>IF(J127="","",IF(VLOOKUP(J127,'G-7 Rivers Data'!$AK$4:$AM$9,2,FALSE)=0,"Spatial Data Missing ⚠",VLOOKUP(J127,'G-7 Rivers Data'!$AK$4:$AM$9,2,FALSE)))</f>
        <v/>
      </c>
      <c r="L127" s="524" t="str">
        <f>IF(J127="","",IF(VLOOKUP(J127,'G-7 Rivers Data'!$AK$4:$AM$9,3,FALSE)=0,"Spatial Data Missing ⚠",VLOOKUP(J127,'G-7 Rivers Data'!$AK$4:$AM$9,3,FALSE)))</f>
        <v/>
      </c>
      <c r="M127" s="71"/>
      <c r="N127" s="499" t="str">
        <f>IF(M127="","",IF(VLOOKUP(M127,'G-7 Rivers Data'!$AA$4:$AB$7,2,FALSE)=0,"Spatial Data Missing ⚠",VLOOKUP(M127,'G-7 Rivers Data'!$AA$4:$AB$7,2,FALSE)))</f>
        <v/>
      </c>
      <c r="O127" s="155"/>
      <c r="P127" s="499" t="str">
        <f>IF(O127="","",IF(VLOOKUP(O127,'G-7 Rivers Data'!$AD$4:$AE$8,2,FALSE)=0,"Spatial Data Missing ⚠",VLOOKUP(O127,'G-7 Rivers Data'!$AD$4:$AE$8,2,FALSE)))</f>
        <v/>
      </c>
      <c r="Q127" s="506" t="str">
        <f>IF(D127="","",VLOOKUP(D127,'G-7 Rivers Data'!$B$4:$G$8,6,FALSE))</f>
        <v/>
      </c>
      <c r="R127" s="513" t="str">
        <f t="shared" si="8"/>
        <v/>
      </c>
      <c r="S127" s="40"/>
      <c r="T127" s="145"/>
      <c r="U127" s="157"/>
      <c r="V127" s="511" t="str">
        <f t="shared" si="9"/>
        <v/>
      </c>
      <c r="W127" s="511" t="str">
        <f t="shared" si="10"/>
        <v/>
      </c>
      <c r="X127" s="511" t="str">
        <f t="shared" si="11"/>
        <v/>
      </c>
      <c r="Y127" s="515" t="str">
        <f t="shared" si="12"/>
        <v/>
      </c>
      <c r="Z127" s="151"/>
      <c r="AA127" s="152"/>
      <c r="AF127" s="31" t="str">
        <f>IFERROR(INDEX('G-7 Rivers Data'!$AZ$3:$AZ$7,MATCH(D127,'G-7 Rivers Data'!$AY$3:$AY$7,0)),"")</f>
        <v/>
      </c>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row>
    <row r="128" spans="3:40" ht="13.8" x14ac:dyDescent="0.25">
      <c r="C128" s="141">
        <v>119</v>
      </c>
      <c r="D128" s="462"/>
      <c r="E128" s="153"/>
      <c r="F128" s="498" t="str">
        <f>IF(D128="","",VLOOKUP(D128,'G-7 Rivers Data'!$B$2:$G$8,2,FALSE))</f>
        <v/>
      </c>
      <c r="G128" s="499" t="str">
        <f>IFERROR(VLOOKUP(F128,'G-7 Rivers Data'!$C$4:$D$8,2,FALSE),"")</f>
        <v/>
      </c>
      <c r="H128" s="145"/>
      <c r="I128" s="499" t="str">
        <f>IFERROR(INDEX('G-7 Rivers Data'!$H$4:$L$8,MATCH(D128,'G-7 Rivers Data'!$B$4:$B$8,0),MATCH(H128,'G-7 Rivers Data'!$H$3:$L$3,0)),"")</f>
        <v/>
      </c>
      <c r="J128" s="154"/>
      <c r="K128" s="520" t="str">
        <f>IF(J128="","",IF(VLOOKUP(J128,'G-7 Rivers Data'!$AK$4:$AM$9,2,FALSE)=0,"Spatial Data Missing ⚠",VLOOKUP(J128,'G-7 Rivers Data'!$AK$4:$AM$9,2,FALSE)))</f>
        <v/>
      </c>
      <c r="L128" s="524" t="str">
        <f>IF(J128="","",IF(VLOOKUP(J128,'G-7 Rivers Data'!$AK$4:$AM$9,3,FALSE)=0,"Spatial Data Missing ⚠",VLOOKUP(J128,'G-7 Rivers Data'!$AK$4:$AM$9,3,FALSE)))</f>
        <v/>
      </c>
      <c r="M128" s="71"/>
      <c r="N128" s="499" t="str">
        <f>IF(M128="","",IF(VLOOKUP(M128,'G-7 Rivers Data'!$AA$4:$AB$7,2,FALSE)=0,"Spatial Data Missing ⚠",VLOOKUP(M128,'G-7 Rivers Data'!$AA$4:$AB$7,2,FALSE)))</f>
        <v/>
      </c>
      <c r="O128" s="155"/>
      <c r="P128" s="499" t="str">
        <f>IF(O128="","",IF(VLOOKUP(O128,'G-7 Rivers Data'!$AD$4:$AE$8,2,FALSE)=0,"Spatial Data Missing ⚠",VLOOKUP(O128,'G-7 Rivers Data'!$AD$4:$AE$8,2,FALSE)))</f>
        <v/>
      </c>
      <c r="Q128" s="506" t="str">
        <f>IF(D128="","",VLOOKUP(D128,'G-7 Rivers Data'!$B$4:$G$8,6,FALSE))</f>
        <v/>
      </c>
      <c r="R128" s="513" t="str">
        <f t="shared" si="8"/>
        <v/>
      </c>
      <c r="S128" s="40"/>
      <c r="T128" s="145"/>
      <c r="U128" s="157"/>
      <c r="V128" s="511" t="str">
        <f t="shared" si="9"/>
        <v/>
      </c>
      <c r="W128" s="511" t="str">
        <f t="shared" si="10"/>
        <v/>
      </c>
      <c r="X128" s="511" t="str">
        <f t="shared" si="11"/>
        <v/>
      </c>
      <c r="Y128" s="515" t="str">
        <f t="shared" si="12"/>
        <v/>
      </c>
      <c r="Z128" s="151"/>
      <c r="AA128" s="152"/>
      <c r="AF128" s="31" t="str">
        <f>IFERROR(INDEX('G-7 Rivers Data'!$AZ$3:$AZ$7,MATCH(D128,'G-7 Rivers Data'!$AY$3:$AY$7,0)),"")</f>
        <v/>
      </c>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row>
    <row r="129" spans="3:40" ht="13.8" x14ac:dyDescent="0.25">
      <c r="C129" s="141">
        <v>120</v>
      </c>
      <c r="D129" s="462"/>
      <c r="E129" s="153"/>
      <c r="F129" s="498" t="str">
        <f>IF(D129="","",VLOOKUP(D129,'G-7 Rivers Data'!$B$2:$G$8,2,FALSE))</f>
        <v/>
      </c>
      <c r="G129" s="499" t="str">
        <f>IFERROR(VLOOKUP(F129,'G-7 Rivers Data'!$C$4:$D$8,2,FALSE),"")</f>
        <v/>
      </c>
      <c r="H129" s="145"/>
      <c r="I129" s="499" t="str">
        <f>IFERROR(INDEX('G-7 Rivers Data'!$H$4:$L$8,MATCH(D129,'G-7 Rivers Data'!$B$4:$B$8,0),MATCH(H129,'G-7 Rivers Data'!$H$3:$L$3,0)),"")</f>
        <v/>
      </c>
      <c r="J129" s="154"/>
      <c r="K129" s="520" t="str">
        <f>IF(J129="","",IF(VLOOKUP(J129,'G-7 Rivers Data'!$AK$4:$AM$9,2,FALSE)=0,"Spatial Data Missing ⚠",VLOOKUP(J129,'G-7 Rivers Data'!$AK$4:$AM$9,2,FALSE)))</f>
        <v/>
      </c>
      <c r="L129" s="524" t="str">
        <f>IF(J129="","",IF(VLOOKUP(J129,'G-7 Rivers Data'!$AK$4:$AM$9,3,FALSE)=0,"Spatial Data Missing ⚠",VLOOKUP(J129,'G-7 Rivers Data'!$AK$4:$AM$9,3,FALSE)))</f>
        <v/>
      </c>
      <c r="M129" s="71"/>
      <c r="N129" s="499" t="str">
        <f>IF(M129="","",IF(VLOOKUP(M129,'G-7 Rivers Data'!$AA$4:$AB$7,2,FALSE)=0,"Spatial Data Missing ⚠",VLOOKUP(M129,'G-7 Rivers Data'!$AA$4:$AB$7,2,FALSE)))</f>
        <v/>
      </c>
      <c r="O129" s="155"/>
      <c r="P129" s="499" t="str">
        <f>IF(O129="","",IF(VLOOKUP(O129,'G-7 Rivers Data'!$AD$4:$AE$8,2,FALSE)=0,"Spatial Data Missing ⚠",VLOOKUP(O129,'G-7 Rivers Data'!$AD$4:$AE$8,2,FALSE)))</f>
        <v/>
      </c>
      <c r="Q129" s="506" t="str">
        <f>IF(D129="","",VLOOKUP(D129,'G-7 Rivers Data'!$B$4:$G$8,6,FALSE))</f>
        <v/>
      </c>
      <c r="R129" s="513" t="str">
        <f t="shared" si="8"/>
        <v/>
      </c>
      <c r="S129" s="40"/>
      <c r="T129" s="145"/>
      <c r="U129" s="157"/>
      <c r="V129" s="511" t="str">
        <f t="shared" si="9"/>
        <v/>
      </c>
      <c r="W129" s="511" t="str">
        <f t="shared" si="10"/>
        <v/>
      </c>
      <c r="X129" s="511" t="str">
        <f t="shared" si="11"/>
        <v/>
      </c>
      <c r="Y129" s="515" t="str">
        <f t="shared" si="12"/>
        <v/>
      </c>
      <c r="Z129" s="151"/>
      <c r="AA129" s="152"/>
      <c r="AF129" s="31" t="str">
        <f>IFERROR(INDEX('G-7 Rivers Data'!$AZ$3:$AZ$7,MATCH(D129,'G-7 Rivers Data'!$AY$3:$AY$7,0)),"")</f>
        <v/>
      </c>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row>
    <row r="130" spans="3:40" ht="13.8" x14ac:dyDescent="0.25">
      <c r="C130" s="141">
        <v>121</v>
      </c>
      <c r="D130" s="462"/>
      <c r="E130" s="153"/>
      <c r="F130" s="498" t="str">
        <f>IF(D130="","",VLOOKUP(D130,'G-7 Rivers Data'!$B$2:$G$8,2,FALSE))</f>
        <v/>
      </c>
      <c r="G130" s="499" t="str">
        <f>IFERROR(VLOOKUP(F130,'G-7 Rivers Data'!$C$4:$D$8,2,FALSE),"")</f>
        <v/>
      </c>
      <c r="H130" s="145"/>
      <c r="I130" s="499" t="str">
        <f>IFERROR(INDEX('G-7 Rivers Data'!$H$4:$L$8,MATCH(D130,'G-7 Rivers Data'!$B$4:$B$8,0),MATCH(H130,'G-7 Rivers Data'!$H$3:$L$3,0)),"")</f>
        <v/>
      </c>
      <c r="J130" s="154"/>
      <c r="K130" s="520" t="str">
        <f>IF(J130="","",IF(VLOOKUP(J130,'G-7 Rivers Data'!$AK$4:$AM$9,2,FALSE)=0,"Spatial Data Missing ⚠",VLOOKUP(J130,'G-7 Rivers Data'!$AK$4:$AM$9,2,FALSE)))</f>
        <v/>
      </c>
      <c r="L130" s="524" t="str">
        <f>IF(J130="","",IF(VLOOKUP(J130,'G-7 Rivers Data'!$AK$4:$AM$9,3,FALSE)=0,"Spatial Data Missing ⚠",VLOOKUP(J130,'G-7 Rivers Data'!$AK$4:$AM$9,3,FALSE)))</f>
        <v/>
      </c>
      <c r="M130" s="71"/>
      <c r="N130" s="499" t="str">
        <f>IF(M130="","",IF(VLOOKUP(M130,'G-7 Rivers Data'!$AA$4:$AB$7,2,FALSE)=0,"Spatial Data Missing ⚠",VLOOKUP(M130,'G-7 Rivers Data'!$AA$4:$AB$7,2,FALSE)))</f>
        <v/>
      </c>
      <c r="O130" s="155"/>
      <c r="P130" s="499" t="str">
        <f>IF(O130="","",IF(VLOOKUP(O130,'G-7 Rivers Data'!$AD$4:$AE$8,2,FALSE)=0,"Spatial Data Missing ⚠",VLOOKUP(O130,'G-7 Rivers Data'!$AD$4:$AE$8,2,FALSE)))</f>
        <v/>
      </c>
      <c r="Q130" s="506" t="str">
        <f>IF(D130="","",VLOOKUP(D130,'G-7 Rivers Data'!$B$4:$G$8,6,FALSE))</f>
        <v/>
      </c>
      <c r="R130" s="513" t="str">
        <f t="shared" si="8"/>
        <v/>
      </c>
      <c r="S130" s="40"/>
      <c r="T130" s="145"/>
      <c r="U130" s="157"/>
      <c r="V130" s="511" t="str">
        <f t="shared" si="9"/>
        <v/>
      </c>
      <c r="W130" s="511" t="str">
        <f t="shared" si="10"/>
        <v/>
      </c>
      <c r="X130" s="511" t="str">
        <f t="shared" si="11"/>
        <v/>
      </c>
      <c r="Y130" s="515" t="str">
        <f t="shared" si="12"/>
        <v/>
      </c>
      <c r="Z130" s="151"/>
      <c r="AA130" s="152"/>
      <c r="AF130" s="31" t="str">
        <f>IFERROR(INDEX('G-7 Rivers Data'!$AZ$3:$AZ$7,MATCH(D130,'G-7 Rivers Data'!$AY$3:$AY$7,0)),"")</f>
        <v/>
      </c>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row>
    <row r="131" spans="3:40" ht="13.8" x14ac:dyDescent="0.25">
      <c r="C131" s="141">
        <v>122</v>
      </c>
      <c r="D131" s="462"/>
      <c r="E131" s="153"/>
      <c r="F131" s="498" t="str">
        <f>IF(D131="","",VLOOKUP(D131,'G-7 Rivers Data'!$B$2:$G$8,2,FALSE))</f>
        <v/>
      </c>
      <c r="G131" s="499" t="str">
        <f>IFERROR(VLOOKUP(F131,'G-7 Rivers Data'!$C$4:$D$8,2,FALSE),"")</f>
        <v/>
      </c>
      <c r="H131" s="145"/>
      <c r="I131" s="499" t="str">
        <f>IFERROR(INDEX('G-7 Rivers Data'!$H$4:$L$8,MATCH(D131,'G-7 Rivers Data'!$B$4:$B$8,0),MATCH(H131,'G-7 Rivers Data'!$H$3:$L$3,0)),"")</f>
        <v/>
      </c>
      <c r="J131" s="154"/>
      <c r="K131" s="520" t="str">
        <f>IF(J131="","",IF(VLOOKUP(J131,'G-7 Rivers Data'!$AK$4:$AM$9,2,FALSE)=0,"Spatial Data Missing ⚠",VLOOKUP(J131,'G-7 Rivers Data'!$AK$4:$AM$9,2,FALSE)))</f>
        <v/>
      </c>
      <c r="L131" s="524" t="str">
        <f>IF(J131="","",IF(VLOOKUP(J131,'G-7 Rivers Data'!$AK$4:$AM$9,3,FALSE)=0,"Spatial Data Missing ⚠",VLOOKUP(J131,'G-7 Rivers Data'!$AK$4:$AM$9,3,FALSE)))</f>
        <v/>
      </c>
      <c r="M131" s="71"/>
      <c r="N131" s="499" t="str">
        <f>IF(M131="","",IF(VLOOKUP(M131,'G-7 Rivers Data'!$AA$4:$AB$7,2,FALSE)=0,"Spatial Data Missing ⚠",VLOOKUP(M131,'G-7 Rivers Data'!$AA$4:$AB$7,2,FALSE)))</f>
        <v/>
      </c>
      <c r="O131" s="155"/>
      <c r="P131" s="499" t="str">
        <f>IF(O131="","",IF(VLOOKUP(O131,'G-7 Rivers Data'!$AD$4:$AE$8,2,FALSE)=0,"Spatial Data Missing ⚠",VLOOKUP(O131,'G-7 Rivers Data'!$AD$4:$AE$8,2,FALSE)))</f>
        <v/>
      </c>
      <c r="Q131" s="506" t="str">
        <f>IF(D131="","",VLOOKUP(D131,'G-7 Rivers Data'!$B$4:$G$8,6,FALSE))</f>
        <v/>
      </c>
      <c r="R131" s="513" t="str">
        <f t="shared" si="8"/>
        <v/>
      </c>
      <c r="S131" s="40"/>
      <c r="T131" s="145"/>
      <c r="U131" s="157"/>
      <c r="V131" s="511" t="str">
        <f t="shared" si="9"/>
        <v/>
      </c>
      <c r="W131" s="511" t="str">
        <f t="shared" si="10"/>
        <v/>
      </c>
      <c r="X131" s="511" t="str">
        <f t="shared" si="11"/>
        <v/>
      </c>
      <c r="Y131" s="515" t="str">
        <f t="shared" si="12"/>
        <v/>
      </c>
      <c r="Z131" s="151"/>
      <c r="AA131" s="152"/>
      <c r="AF131" s="31" t="str">
        <f>IFERROR(INDEX('G-7 Rivers Data'!$AZ$3:$AZ$7,MATCH(D131,'G-7 Rivers Data'!$AY$3:$AY$7,0)),"")</f>
        <v/>
      </c>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row>
    <row r="132" spans="3:40" ht="13.8" x14ac:dyDescent="0.25">
      <c r="C132" s="141">
        <v>123</v>
      </c>
      <c r="D132" s="462"/>
      <c r="E132" s="153"/>
      <c r="F132" s="498" t="str">
        <f>IF(D132="","",VLOOKUP(D132,'G-7 Rivers Data'!$B$2:$G$8,2,FALSE))</f>
        <v/>
      </c>
      <c r="G132" s="499" t="str">
        <f>IFERROR(VLOOKUP(F132,'G-7 Rivers Data'!$C$4:$D$8,2,FALSE),"")</f>
        <v/>
      </c>
      <c r="H132" s="145"/>
      <c r="I132" s="499" t="str">
        <f>IFERROR(INDEX('G-7 Rivers Data'!$H$4:$L$8,MATCH(D132,'G-7 Rivers Data'!$B$4:$B$8,0),MATCH(H132,'G-7 Rivers Data'!$H$3:$L$3,0)),"")</f>
        <v/>
      </c>
      <c r="J132" s="154"/>
      <c r="K132" s="520" t="str">
        <f>IF(J132="","",IF(VLOOKUP(J132,'G-7 Rivers Data'!$AK$4:$AM$9,2,FALSE)=0,"Spatial Data Missing ⚠",VLOOKUP(J132,'G-7 Rivers Data'!$AK$4:$AM$9,2,FALSE)))</f>
        <v/>
      </c>
      <c r="L132" s="524" t="str">
        <f>IF(J132="","",IF(VLOOKUP(J132,'G-7 Rivers Data'!$AK$4:$AM$9,3,FALSE)=0,"Spatial Data Missing ⚠",VLOOKUP(J132,'G-7 Rivers Data'!$AK$4:$AM$9,3,FALSE)))</f>
        <v/>
      </c>
      <c r="M132" s="71"/>
      <c r="N132" s="499" t="str">
        <f>IF(M132="","",IF(VLOOKUP(M132,'G-7 Rivers Data'!$AA$4:$AB$7,2,FALSE)=0,"Spatial Data Missing ⚠",VLOOKUP(M132,'G-7 Rivers Data'!$AA$4:$AB$7,2,FALSE)))</f>
        <v/>
      </c>
      <c r="O132" s="155"/>
      <c r="P132" s="499" t="str">
        <f>IF(O132="","",IF(VLOOKUP(O132,'G-7 Rivers Data'!$AD$4:$AE$8,2,FALSE)=0,"Spatial Data Missing ⚠",VLOOKUP(O132,'G-7 Rivers Data'!$AD$4:$AE$8,2,FALSE)))</f>
        <v/>
      </c>
      <c r="Q132" s="506" t="str">
        <f>IF(D132="","",VLOOKUP(D132,'G-7 Rivers Data'!$B$4:$G$8,6,FALSE))</f>
        <v/>
      </c>
      <c r="R132" s="513" t="str">
        <f t="shared" si="8"/>
        <v/>
      </c>
      <c r="S132" s="40"/>
      <c r="T132" s="145"/>
      <c r="U132" s="157"/>
      <c r="V132" s="511" t="str">
        <f t="shared" si="9"/>
        <v/>
      </c>
      <c r="W132" s="511" t="str">
        <f t="shared" si="10"/>
        <v/>
      </c>
      <c r="X132" s="511" t="str">
        <f t="shared" si="11"/>
        <v/>
      </c>
      <c r="Y132" s="515" t="str">
        <f t="shared" si="12"/>
        <v/>
      </c>
      <c r="Z132" s="151"/>
      <c r="AA132" s="152"/>
      <c r="AF132" s="31" t="str">
        <f>IFERROR(INDEX('G-7 Rivers Data'!$AZ$3:$AZ$7,MATCH(D132,'G-7 Rivers Data'!$AY$3:$AY$7,0)),"")</f>
        <v/>
      </c>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row>
    <row r="133" spans="3:40" ht="13.8" x14ac:dyDescent="0.25">
      <c r="C133" s="141">
        <v>124</v>
      </c>
      <c r="D133" s="462"/>
      <c r="E133" s="153"/>
      <c r="F133" s="498" t="str">
        <f>IF(D133="","",VLOOKUP(D133,'G-7 Rivers Data'!$B$2:$G$8,2,FALSE))</f>
        <v/>
      </c>
      <c r="G133" s="499" t="str">
        <f>IFERROR(VLOOKUP(F133,'G-7 Rivers Data'!$C$4:$D$8,2,FALSE),"")</f>
        <v/>
      </c>
      <c r="H133" s="145"/>
      <c r="I133" s="499" t="str">
        <f>IFERROR(INDEX('G-7 Rivers Data'!$H$4:$L$8,MATCH(D133,'G-7 Rivers Data'!$B$4:$B$8,0),MATCH(H133,'G-7 Rivers Data'!$H$3:$L$3,0)),"")</f>
        <v/>
      </c>
      <c r="J133" s="154"/>
      <c r="K133" s="520" t="str">
        <f>IF(J133="","",IF(VLOOKUP(J133,'G-7 Rivers Data'!$AK$4:$AM$9,2,FALSE)=0,"Spatial Data Missing ⚠",VLOOKUP(J133,'G-7 Rivers Data'!$AK$4:$AM$9,2,FALSE)))</f>
        <v/>
      </c>
      <c r="L133" s="524" t="str">
        <f>IF(J133="","",IF(VLOOKUP(J133,'G-7 Rivers Data'!$AK$4:$AM$9,3,FALSE)=0,"Spatial Data Missing ⚠",VLOOKUP(J133,'G-7 Rivers Data'!$AK$4:$AM$9,3,FALSE)))</f>
        <v/>
      </c>
      <c r="M133" s="71"/>
      <c r="N133" s="499" t="str">
        <f>IF(M133="","",IF(VLOOKUP(M133,'G-7 Rivers Data'!$AA$4:$AB$7,2,FALSE)=0,"Spatial Data Missing ⚠",VLOOKUP(M133,'G-7 Rivers Data'!$AA$4:$AB$7,2,FALSE)))</f>
        <v/>
      </c>
      <c r="O133" s="155"/>
      <c r="P133" s="499" t="str">
        <f>IF(O133="","",IF(VLOOKUP(O133,'G-7 Rivers Data'!$AD$4:$AE$8,2,FALSE)=0,"Spatial Data Missing ⚠",VLOOKUP(O133,'G-7 Rivers Data'!$AD$4:$AE$8,2,FALSE)))</f>
        <v/>
      </c>
      <c r="Q133" s="506" t="str">
        <f>IF(D133="","",VLOOKUP(D133,'G-7 Rivers Data'!$B$4:$G$8,6,FALSE))</f>
        <v/>
      </c>
      <c r="R133" s="513" t="str">
        <f t="shared" si="8"/>
        <v/>
      </c>
      <c r="S133" s="40"/>
      <c r="T133" s="145"/>
      <c r="U133" s="157"/>
      <c r="V133" s="511" t="str">
        <f t="shared" si="9"/>
        <v/>
      </c>
      <c r="W133" s="511" t="str">
        <f t="shared" si="10"/>
        <v/>
      </c>
      <c r="X133" s="511" t="str">
        <f t="shared" si="11"/>
        <v/>
      </c>
      <c r="Y133" s="515" t="str">
        <f t="shared" si="12"/>
        <v/>
      </c>
      <c r="Z133" s="151"/>
      <c r="AA133" s="152"/>
      <c r="AF133" s="31" t="str">
        <f>IFERROR(INDEX('G-7 Rivers Data'!$AZ$3:$AZ$7,MATCH(D133,'G-7 Rivers Data'!$AY$3:$AY$7,0)),"")</f>
        <v/>
      </c>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row>
    <row r="134" spans="3:40" ht="13.8" x14ac:dyDescent="0.25">
      <c r="C134" s="141">
        <v>125</v>
      </c>
      <c r="D134" s="462"/>
      <c r="E134" s="153"/>
      <c r="F134" s="498" t="str">
        <f>IF(D134="","",VLOOKUP(D134,'G-7 Rivers Data'!$B$2:$G$8,2,FALSE))</f>
        <v/>
      </c>
      <c r="G134" s="499" t="str">
        <f>IFERROR(VLOOKUP(F134,'G-7 Rivers Data'!$C$4:$D$8,2,FALSE),"")</f>
        <v/>
      </c>
      <c r="H134" s="145"/>
      <c r="I134" s="499" t="str">
        <f>IFERROR(INDEX('G-7 Rivers Data'!$H$4:$L$8,MATCH(D134,'G-7 Rivers Data'!$B$4:$B$8,0),MATCH(H134,'G-7 Rivers Data'!$H$3:$L$3,0)),"")</f>
        <v/>
      </c>
      <c r="J134" s="154"/>
      <c r="K134" s="520" t="str">
        <f>IF(J134="","",IF(VLOOKUP(J134,'G-7 Rivers Data'!$AK$4:$AM$9,2,FALSE)=0,"Spatial Data Missing ⚠",VLOOKUP(J134,'G-7 Rivers Data'!$AK$4:$AM$9,2,FALSE)))</f>
        <v/>
      </c>
      <c r="L134" s="524" t="str">
        <f>IF(J134="","",IF(VLOOKUP(J134,'G-7 Rivers Data'!$AK$4:$AM$9,3,FALSE)=0,"Spatial Data Missing ⚠",VLOOKUP(J134,'G-7 Rivers Data'!$AK$4:$AM$9,3,FALSE)))</f>
        <v/>
      </c>
      <c r="M134" s="71"/>
      <c r="N134" s="499" t="str">
        <f>IF(M134="","",IF(VLOOKUP(M134,'G-7 Rivers Data'!$AA$4:$AB$7,2,FALSE)=0,"Spatial Data Missing ⚠",VLOOKUP(M134,'G-7 Rivers Data'!$AA$4:$AB$7,2,FALSE)))</f>
        <v/>
      </c>
      <c r="O134" s="155"/>
      <c r="P134" s="499" t="str">
        <f>IF(O134="","",IF(VLOOKUP(O134,'G-7 Rivers Data'!$AD$4:$AE$8,2,FALSE)=0,"Spatial Data Missing ⚠",VLOOKUP(O134,'G-7 Rivers Data'!$AD$4:$AE$8,2,FALSE)))</f>
        <v/>
      </c>
      <c r="Q134" s="506" t="str">
        <f>IF(D134="","",VLOOKUP(D134,'G-7 Rivers Data'!$B$4:$G$8,6,FALSE))</f>
        <v/>
      </c>
      <c r="R134" s="513" t="str">
        <f t="shared" si="8"/>
        <v/>
      </c>
      <c r="S134" s="40"/>
      <c r="T134" s="145"/>
      <c r="U134" s="157"/>
      <c r="V134" s="511" t="str">
        <f t="shared" si="9"/>
        <v/>
      </c>
      <c r="W134" s="511" t="str">
        <f t="shared" si="10"/>
        <v/>
      </c>
      <c r="X134" s="511" t="str">
        <f t="shared" si="11"/>
        <v/>
      </c>
      <c r="Y134" s="515" t="str">
        <f t="shared" si="12"/>
        <v/>
      </c>
      <c r="Z134" s="151"/>
      <c r="AA134" s="152"/>
      <c r="AF134" s="31" t="str">
        <f>IFERROR(INDEX('G-7 Rivers Data'!$AZ$3:$AZ$7,MATCH(D134,'G-7 Rivers Data'!$AY$3:$AY$7,0)),"")</f>
        <v/>
      </c>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row>
    <row r="135" spans="3:40" ht="13.8" x14ac:dyDescent="0.25">
      <c r="C135" s="141">
        <v>126</v>
      </c>
      <c r="D135" s="462"/>
      <c r="E135" s="153"/>
      <c r="F135" s="498" t="str">
        <f>IF(D135="","",VLOOKUP(D135,'G-7 Rivers Data'!$B$2:$G$8,2,FALSE))</f>
        <v/>
      </c>
      <c r="G135" s="499" t="str">
        <f>IFERROR(VLOOKUP(F135,'G-7 Rivers Data'!$C$4:$D$8,2,FALSE),"")</f>
        <v/>
      </c>
      <c r="H135" s="145"/>
      <c r="I135" s="499" t="str">
        <f>IFERROR(INDEX('G-7 Rivers Data'!$H$4:$L$8,MATCH(D135,'G-7 Rivers Data'!$B$4:$B$8,0),MATCH(H135,'G-7 Rivers Data'!$H$3:$L$3,0)),"")</f>
        <v/>
      </c>
      <c r="J135" s="154"/>
      <c r="K135" s="520" t="str">
        <f>IF(J135="","",IF(VLOOKUP(J135,'G-7 Rivers Data'!$AK$4:$AM$9,2,FALSE)=0,"Spatial Data Missing ⚠",VLOOKUP(J135,'G-7 Rivers Data'!$AK$4:$AM$9,2,FALSE)))</f>
        <v/>
      </c>
      <c r="L135" s="524" t="str">
        <f>IF(J135="","",IF(VLOOKUP(J135,'G-7 Rivers Data'!$AK$4:$AM$9,3,FALSE)=0,"Spatial Data Missing ⚠",VLOOKUP(J135,'G-7 Rivers Data'!$AK$4:$AM$9,3,FALSE)))</f>
        <v/>
      </c>
      <c r="M135" s="71"/>
      <c r="N135" s="499" t="str">
        <f>IF(M135="","",IF(VLOOKUP(M135,'G-7 Rivers Data'!$AA$4:$AB$7,2,FALSE)=0,"Spatial Data Missing ⚠",VLOOKUP(M135,'G-7 Rivers Data'!$AA$4:$AB$7,2,FALSE)))</f>
        <v/>
      </c>
      <c r="O135" s="155"/>
      <c r="P135" s="499" t="str">
        <f>IF(O135="","",IF(VLOOKUP(O135,'G-7 Rivers Data'!$AD$4:$AE$8,2,FALSE)=0,"Spatial Data Missing ⚠",VLOOKUP(O135,'G-7 Rivers Data'!$AD$4:$AE$8,2,FALSE)))</f>
        <v/>
      </c>
      <c r="Q135" s="506" t="str">
        <f>IF(D135="","",VLOOKUP(D135,'G-7 Rivers Data'!$B$4:$G$8,6,FALSE))</f>
        <v/>
      </c>
      <c r="R135" s="513" t="str">
        <f t="shared" si="8"/>
        <v/>
      </c>
      <c r="S135" s="40"/>
      <c r="T135" s="145"/>
      <c r="U135" s="157"/>
      <c r="V135" s="511" t="str">
        <f t="shared" si="9"/>
        <v/>
      </c>
      <c r="W135" s="511" t="str">
        <f t="shared" si="10"/>
        <v/>
      </c>
      <c r="X135" s="511" t="str">
        <f t="shared" si="11"/>
        <v/>
      </c>
      <c r="Y135" s="515" t="str">
        <f t="shared" si="12"/>
        <v/>
      </c>
      <c r="Z135" s="151"/>
      <c r="AA135" s="152"/>
      <c r="AF135" s="31" t="str">
        <f>IFERROR(INDEX('G-7 Rivers Data'!$AZ$3:$AZ$7,MATCH(D135,'G-7 Rivers Data'!$AY$3:$AY$7,0)),"")</f>
        <v/>
      </c>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row>
    <row r="136" spans="3:40" ht="13.8" x14ac:dyDescent="0.25">
      <c r="C136" s="141">
        <v>127</v>
      </c>
      <c r="D136" s="462"/>
      <c r="E136" s="153"/>
      <c r="F136" s="498" t="str">
        <f>IF(D136="","",VLOOKUP(D136,'G-7 Rivers Data'!$B$2:$G$8,2,FALSE))</f>
        <v/>
      </c>
      <c r="G136" s="499" t="str">
        <f>IFERROR(VLOOKUP(F136,'G-7 Rivers Data'!$C$4:$D$8,2,FALSE),"")</f>
        <v/>
      </c>
      <c r="H136" s="145"/>
      <c r="I136" s="499" t="str">
        <f>IFERROR(INDEX('G-7 Rivers Data'!$H$4:$L$8,MATCH(D136,'G-7 Rivers Data'!$B$4:$B$8,0),MATCH(H136,'G-7 Rivers Data'!$H$3:$L$3,0)),"")</f>
        <v/>
      </c>
      <c r="J136" s="154"/>
      <c r="K136" s="520" t="str">
        <f>IF(J136="","",IF(VLOOKUP(J136,'G-7 Rivers Data'!$AK$4:$AM$9,2,FALSE)=0,"Spatial Data Missing ⚠",VLOOKUP(J136,'G-7 Rivers Data'!$AK$4:$AM$9,2,FALSE)))</f>
        <v/>
      </c>
      <c r="L136" s="524" t="str">
        <f>IF(J136="","",IF(VLOOKUP(J136,'G-7 Rivers Data'!$AK$4:$AM$9,3,FALSE)=0,"Spatial Data Missing ⚠",VLOOKUP(J136,'G-7 Rivers Data'!$AK$4:$AM$9,3,FALSE)))</f>
        <v/>
      </c>
      <c r="M136" s="71"/>
      <c r="N136" s="499" t="str">
        <f>IF(M136="","",IF(VLOOKUP(M136,'G-7 Rivers Data'!$AA$4:$AB$7,2,FALSE)=0,"Spatial Data Missing ⚠",VLOOKUP(M136,'G-7 Rivers Data'!$AA$4:$AB$7,2,FALSE)))</f>
        <v/>
      </c>
      <c r="O136" s="155"/>
      <c r="P136" s="499" t="str">
        <f>IF(O136="","",IF(VLOOKUP(O136,'G-7 Rivers Data'!$AD$4:$AE$8,2,FALSE)=0,"Spatial Data Missing ⚠",VLOOKUP(O136,'G-7 Rivers Data'!$AD$4:$AE$8,2,FALSE)))</f>
        <v/>
      </c>
      <c r="Q136" s="506" t="str">
        <f>IF(D136="","",VLOOKUP(D136,'G-7 Rivers Data'!$B$4:$G$8,6,FALSE))</f>
        <v/>
      </c>
      <c r="R136" s="513" t="str">
        <f t="shared" si="8"/>
        <v/>
      </c>
      <c r="S136" s="40"/>
      <c r="T136" s="145"/>
      <c r="U136" s="157"/>
      <c r="V136" s="511" t="str">
        <f t="shared" si="9"/>
        <v/>
      </c>
      <c r="W136" s="511" t="str">
        <f t="shared" si="10"/>
        <v/>
      </c>
      <c r="X136" s="511" t="str">
        <f t="shared" si="11"/>
        <v/>
      </c>
      <c r="Y136" s="515" t="str">
        <f t="shared" si="12"/>
        <v/>
      </c>
      <c r="Z136" s="151"/>
      <c r="AA136" s="152"/>
      <c r="AF136" s="31" t="str">
        <f>IFERROR(INDEX('G-7 Rivers Data'!$AZ$3:$AZ$7,MATCH(D136,'G-7 Rivers Data'!$AY$3:$AY$7,0)),"")</f>
        <v/>
      </c>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row>
    <row r="137" spans="3:40" ht="13.8" x14ac:dyDescent="0.25">
      <c r="C137" s="141">
        <v>128</v>
      </c>
      <c r="D137" s="462"/>
      <c r="E137" s="153"/>
      <c r="F137" s="498" t="str">
        <f>IF(D137="","",VLOOKUP(D137,'G-7 Rivers Data'!$B$2:$G$8,2,FALSE))</f>
        <v/>
      </c>
      <c r="G137" s="499" t="str">
        <f>IFERROR(VLOOKUP(F137,'G-7 Rivers Data'!$C$4:$D$8,2,FALSE),"")</f>
        <v/>
      </c>
      <c r="H137" s="145"/>
      <c r="I137" s="499" t="str">
        <f>IFERROR(INDEX('G-7 Rivers Data'!$H$4:$L$8,MATCH(D137,'G-7 Rivers Data'!$B$4:$B$8,0),MATCH(H137,'G-7 Rivers Data'!$H$3:$L$3,0)),"")</f>
        <v/>
      </c>
      <c r="J137" s="154"/>
      <c r="K137" s="520" t="str">
        <f>IF(J137="","",IF(VLOOKUP(J137,'G-7 Rivers Data'!$AK$4:$AM$9,2,FALSE)=0,"Spatial Data Missing ⚠",VLOOKUP(J137,'G-7 Rivers Data'!$AK$4:$AM$9,2,FALSE)))</f>
        <v/>
      </c>
      <c r="L137" s="524" t="str">
        <f>IF(J137="","",IF(VLOOKUP(J137,'G-7 Rivers Data'!$AK$4:$AM$9,3,FALSE)=0,"Spatial Data Missing ⚠",VLOOKUP(J137,'G-7 Rivers Data'!$AK$4:$AM$9,3,FALSE)))</f>
        <v/>
      </c>
      <c r="M137" s="71"/>
      <c r="N137" s="499" t="str">
        <f>IF(M137="","",IF(VLOOKUP(M137,'G-7 Rivers Data'!$AA$4:$AB$7,2,FALSE)=0,"Spatial Data Missing ⚠",VLOOKUP(M137,'G-7 Rivers Data'!$AA$4:$AB$7,2,FALSE)))</f>
        <v/>
      </c>
      <c r="O137" s="155"/>
      <c r="P137" s="499" t="str">
        <f>IF(O137="","",IF(VLOOKUP(O137,'G-7 Rivers Data'!$AD$4:$AE$8,2,FALSE)=0,"Spatial Data Missing ⚠",VLOOKUP(O137,'G-7 Rivers Data'!$AD$4:$AE$8,2,FALSE)))</f>
        <v/>
      </c>
      <c r="Q137" s="506" t="str">
        <f>IF(D137="","",VLOOKUP(D137,'G-7 Rivers Data'!$B$4:$G$8,6,FALSE))</f>
        <v/>
      </c>
      <c r="R137" s="513" t="str">
        <f t="shared" si="8"/>
        <v/>
      </c>
      <c r="S137" s="40"/>
      <c r="T137" s="145"/>
      <c r="U137" s="157"/>
      <c r="V137" s="511" t="str">
        <f t="shared" si="9"/>
        <v/>
      </c>
      <c r="W137" s="511" t="str">
        <f t="shared" si="10"/>
        <v/>
      </c>
      <c r="X137" s="511" t="str">
        <f t="shared" si="11"/>
        <v/>
      </c>
      <c r="Y137" s="515" t="str">
        <f t="shared" si="12"/>
        <v/>
      </c>
      <c r="Z137" s="151"/>
      <c r="AA137" s="152"/>
      <c r="AF137" s="31" t="str">
        <f>IFERROR(INDEX('G-7 Rivers Data'!$AZ$3:$AZ$7,MATCH(D137,'G-7 Rivers Data'!$AY$3:$AY$7,0)),"")</f>
        <v/>
      </c>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row>
    <row r="138" spans="3:40" ht="13.8" x14ac:dyDescent="0.25">
      <c r="C138" s="141">
        <v>129</v>
      </c>
      <c r="D138" s="462"/>
      <c r="E138" s="153"/>
      <c r="F138" s="498" t="str">
        <f>IF(D138="","",VLOOKUP(D138,'G-7 Rivers Data'!$B$2:$G$8,2,FALSE))</f>
        <v/>
      </c>
      <c r="G138" s="499" t="str">
        <f>IFERROR(VLOOKUP(F138,'G-7 Rivers Data'!$C$4:$D$8,2,FALSE),"")</f>
        <v/>
      </c>
      <c r="H138" s="145"/>
      <c r="I138" s="499" t="str">
        <f>IFERROR(INDEX('G-7 Rivers Data'!$H$4:$L$8,MATCH(D138,'G-7 Rivers Data'!$B$4:$B$8,0),MATCH(H138,'G-7 Rivers Data'!$H$3:$L$3,0)),"")</f>
        <v/>
      </c>
      <c r="J138" s="154"/>
      <c r="K138" s="520" t="str">
        <f>IF(J138="","",IF(VLOOKUP(J138,'G-7 Rivers Data'!$AK$4:$AM$9,2,FALSE)=0,"Spatial Data Missing ⚠",VLOOKUP(J138,'G-7 Rivers Data'!$AK$4:$AM$9,2,FALSE)))</f>
        <v/>
      </c>
      <c r="L138" s="524" t="str">
        <f>IF(J138="","",IF(VLOOKUP(J138,'G-7 Rivers Data'!$AK$4:$AM$9,3,FALSE)=0,"Spatial Data Missing ⚠",VLOOKUP(J138,'G-7 Rivers Data'!$AK$4:$AM$9,3,FALSE)))</f>
        <v/>
      </c>
      <c r="M138" s="71"/>
      <c r="N138" s="499" t="str">
        <f>IF(M138="","",IF(VLOOKUP(M138,'G-7 Rivers Data'!$AA$4:$AB$7,2,FALSE)=0,"Spatial Data Missing ⚠",VLOOKUP(M138,'G-7 Rivers Data'!$AA$4:$AB$7,2,FALSE)))</f>
        <v/>
      </c>
      <c r="O138" s="155"/>
      <c r="P138" s="499" t="str">
        <f>IF(O138="","",IF(VLOOKUP(O138,'G-7 Rivers Data'!$AD$4:$AE$8,2,FALSE)=0,"Spatial Data Missing ⚠",VLOOKUP(O138,'G-7 Rivers Data'!$AD$4:$AE$8,2,FALSE)))</f>
        <v/>
      </c>
      <c r="Q138" s="506" t="str">
        <f>IF(D138="","",VLOOKUP(D138,'G-7 Rivers Data'!$B$4:$G$8,6,FALSE))</f>
        <v/>
      </c>
      <c r="R138" s="513" t="str">
        <f t="shared" si="8"/>
        <v/>
      </c>
      <c r="S138" s="40"/>
      <c r="T138" s="145"/>
      <c r="U138" s="157"/>
      <c r="V138" s="511" t="str">
        <f t="shared" si="9"/>
        <v/>
      </c>
      <c r="W138" s="511" t="str">
        <f t="shared" si="10"/>
        <v/>
      </c>
      <c r="X138" s="511" t="str">
        <f t="shared" si="11"/>
        <v/>
      </c>
      <c r="Y138" s="515" t="str">
        <f t="shared" si="12"/>
        <v/>
      </c>
      <c r="Z138" s="151"/>
      <c r="AA138" s="152"/>
      <c r="AF138" s="31" t="str">
        <f>IFERROR(INDEX('G-7 Rivers Data'!$AZ$3:$AZ$7,MATCH(D138,'G-7 Rivers Data'!$AY$3:$AY$7,0)),"")</f>
        <v/>
      </c>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row>
    <row r="139" spans="3:40" ht="13.8" x14ac:dyDescent="0.25">
      <c r="C139" s="141">
        <v>130</v>
      </c>
      <c r="D139" s="462"/>
      <c r="E139" s="153"/>
      <c r="F139" s="498" t="str">
        <f>IF(D139="","",VLOOKUP(D139,'G-7 Rivers Data'!$B$2:$G$8,2,FALSE))</f>
        <v/>
      </c>
      <c r="G139" s="499" t="str">
        <f>IFERROR(VLOOKUP(F139,'G-7 Rivers Data'!$C$4:$D$8,2,FALSE),"")</f>
        <v/>
      </c>
      <c r="H139" s="145"/>
      <c r="I139" s="499" t="str">
        <f>IFERROR(INDEX('G-7 Rivers Data'!$H$4:$L$8,MATCH(D139,'G-7 Rivers Data'!$B$4:$B$8,0),MATCH(H139,'G-7 Rivers Data'!$H$3:$L$3,0)),"")</f>
        <v/>
      </c>
      <c r="J139" s="154"/>
      <c r="K139" s="520" t="str">
        <f>IF(J139="","",IF(VLOOKUP(J139,'G-7 Rivers Data'!$AK$4:$AM$9,2,FALSE)=0,"Spatial Data Missing ⚠",VLOOKUP(J139,'G-7 Rivers Data'!$AK$4:$AM$9,2,FALSE)))</f>
        <v/>
      </c>
      <c r="L139" s="524" t="str">
        <f>IF(J139="","",IF(VLOOKUP(J139,'G-7 Rivers Data'!$AK$4:$AM$9,3,FALSE)=0,"Spatial Data Missing ⚠",VLOOKUP(J139,'G-7 Rivers Data'!$AK$4:$AM$9,3,FALSE)))</f>
        <v/>
      </c>
      <c r="M139" s="71"/>
      <c r="N139" s="499" t="str">
        <f>IF(M139="","",IF(VLOOKUP(M139,'G-7 Rivers Data'!$AA$4:$AB$7,2,FALSE)=0,"Spatial Data Missing ⚠",VLOOKUP(M139,'G-7 Rivers Data'!$AA$4:$AB$7,2,FALSE)))</f>
        <v/>
      </c>
      <c r="O139" s="155"/>
      <c r="P139" s="499" t="str">
        <f>IF(O139="","",IF(VLOOKUP(O139,'G-7 Rivers Data'!$AD$4:$AE$8,2,FALSE)=0,"Spatial Data Missing ⚠",VLOOKUP(O139,'G-7 Rivers Data'!$AD$4:$AE$8,2,FALSE)))</f>
        <v/>
      </c>
      <c r="Q139" s="506" t="str">
        <f>IF(D139="","",VLOOKUP(D139,'G-7 Rivers Data'!$B$4:$G$8,6,FALSE))</f>
        <v/>
      </c>
      <c r="R139" s="513" t="str">
        <f t="shared" ref="R139:R202" si="16">IFERROR(E139*G139*I139*L139*N139*P139,"")</f>
        <v/>
      </c>
      <c r="S139" s="40"/>
      <c r="T139" s="145"/>
      <c r="U139" s="157"/>
      <c r="V139" s="511" t="str">
        <f t="shared" ref="V139:V202" si="17">IFERROR(IF(T139&gt;E139,"Check Lengths",T139*G139*I139*L139*N139*P139),"")</f>
        <v/>
      </c>
      <c r="W139" s="511" t="str">
        <f t="shared" ref="W139:W202" si="18">IFERROR(IF(D139="","",U139*G139*I139*L139*N139*P139),"")</f>
        <v/>
      </c>
      <c r="X139" s="511" t="str">
        <f t="shared" ref="X139:X202" si="19">IFERROR(IF(D139="","",IF(E139&gt;(T139+U139),E139-T139-U139,0)),"")</f>
        <v/>
      </c>
      <c r="Y139" s="515" t="str">
        <f t="shared" ref="Y139:Y202" si="20">IFERROR(IF(E139="","",IF((V139+W139)&gt;R139,0,R139-V139-W139)),"Check Data ⚠")</f>
        <v/>
      </c>
      <c r="Z139" s="151"/>
      <c r="AA139" s="152"/>
      <c r="AF139" s="31" t="str">
        <f>IFERROR(INDEX('G-7 Rivers Data'!$AZ$3:$AZ$7,MATCH(D139,'G-7 Rivers Data'!$AY$3:$AY$7,0)),"")</f>
        <v/>
      </c>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row>
    <row r="140" spans="3:40" ht="13.8" x14ac:dyDescent="0.25">
      <c r="C140" s="141">
        <v>131</v>
      </c>
      <c r="D140" s="462"/>
      <c r="E140" s="153"/>
      <c r="F140" s="498" t="str">
        <f>IF(D140="","",VLOOKUP(D140,'G-7 Rivers Data'!$B$2:$G$8,2,FALSE))</f>
        <v/>
      </c>
      <c r="G140" s="499" t="str">
        <f>IFERROR(VLOOKUP(F140,'G-7 Rivers Data'!$C$4:$D$8,2,FALSE),"")</f>
        <v/>
      </c>
      <c r="H140" s="145"/>
      <c r="I140" s="499" t="str">
        <f>IFERROR(INDEX('G-7 Rivers Data'!$H$4:$L$8,MATCH(D140,'G-7 Rivers Data'!$B$4:$B$8,0),MATCH(H140,'G-7 Rivers Data'!$H$3:$L$3,0)),"")</f>
        <v/>
      </c>
      <c r="J140" s="154"/>
      <c r="K140" s="520" t="str">
        <f>IF(J140="","",IF(VLOOKUP(J140,'G-7 Rivers Data'!$AK$4:$AM$9,2,FALSE)=0,"Spatial Data Missing ⚠",VLOOKUP(J140,'G-7 Rivers Data'!$AK$4:$AM$9,2,FALSE)))</f>
        <v/>
      </c>
      <c r="L140" s="524" t="str">
        <f>IF(J140="","",IF(VLOOKUP(J140,'G-7 Rivers Data'!$AK$4:$AM$9,3,FALSE)=0,"Spatial Data Missing ⚠",VLOOKUP(J140,'G-7 Rivers Data'!$AK$4:$AM$9,3,FALSE)))</f>
        <v/>
      </c>
      <c r="M140" s="71"/>
      <c r="N140" s="499" t="str">
        <f>IF(M140="","",IF(VLOOKUP(M140,'G-7 Rivers Data'!$AA$4:$AB$7,2,FALSE)=0,"Spatial Data Missing ⚠",VLOOKUP(M140,'G-7 Rivers Data'!$AA$4:$AB$7,2,FALSE)))</f>
        <v/>
      </c>
      <c r="O140" s="155"/>
      <c r="P140" s="499" t="str">
        <f>IF(O140="","",IF(VLOOKUP(O140,'G-7 Rivers Data'!$AD$4:$AE$8,2,FALSE)=0,"Spatial Data Missing ⚠",VLOOKUP(O140,'G-7 Rivers Data'!$AD$4:$AE$8,2,FALSE)))</f>
        <v/>
      </c>
      <c r="Q140" s="506" t="str">
        <f>IF(D140="","",VLOOKUP(D140,'G-7 Rivers Data'!$B$4:$G$8,6,FALSE))</f>
        <v/>
      </c>
      <c r="R140" s="513" t="str">
        <f t="shared" si="16"/>
        <v/>
      </c>
      <c r="S140" s="40"/>
      <c r="T140" s="145"/>
      <c r="U140" s="157"/>
      <c r="V140" s="511" t="str">
        <f t="shared" si="17"/>
        <v/>
      </c>
      <c r="W140" s="511" t="str">
        <f t="shared" si="18"/>
        <v/>
      </c>
      <c r="X140" s="511" t="str">
        <f t="shared" si="19"/>
        <v/>
      </c>
      <c r="Y140" s="515" t="str">
        <f t="shared" si="20"/>
        <v/>
      </c>
      <c r="Z140" s="151"/>
      <c r="AA140" s="152"/>
      <c r="AF140" s="31" t="str">
        <f>IFERROR(INDEX('G-7 Rivers Data'!$AZ$3:$AZ$7,MATCH(D140,'G-7 Rivers Data'!$AY$3:$AY$7,0)),"")</f>
        <v/>
      </c>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row>
    <row r="141" spans="3:40" ht="13.8" x14ac:dyDescent="0.25">
      <c r="C141" s="141">
        <v>132</v>
      </c>
      <c r="D141" s="462"/>
      <c r="E141" s="153"/>
      <c r="F141" s="498" t="str">
        <f>IF(D141="","",VLOOKUP(D141,'G-7 Rivers Data'!$B$2:$G$8,2,FALSE))</f>
        <v/>
      </c>
      <c r="G141" s="499" t="str">
        <f>IFERROR(VLOOKUP(F141,'G-7 Rivers Data'!$C$4:$D$8,2,FALSE),"")</f>
        <v/>
      </c>
      <c r="H141" s="145"/>
      <c r="I141" s="499" t="str">
        <f>IFERROR(INDEX('G-7 Rivers Data'!$H$4:$L$8,MATCH(D141,'G-7 Rivers Data'!$B$4:$B$8,0),MATCH(H141,'G-7 Rivers Data'!$H$3:$L$3,0)),"")</f>
        <v/>
      </c>
      <c r="J141" s="154"/>
      <c r="K141" s="520" t="str">
        <f>IF(J141="","",IF(VLOOKUP(J141,'G-7 Rivers Data'!$AK$4:$AM$9,2,FALSE)=0,"Spatial Data Missing ⚠",VLOOKUP(J141,'G-7 Rivers Data'!$AK$4:$AM$9,2,FALSE)))</f>
        <v/>
      </c>
      <c r="L141" s="524" t="str">
        <f>IF(J141="","",IF(VLOOKUP(J141,'G-7 Rivers Data'!$AK$4:$AM$9,3,FALSE)=0,"Spatial Data Missing ⚠",VLOOKUP(J141,'G-7 Rivers Data'!$AK$4:$AM$9,3,FALSE)))</f>
        <v/>
      </c>
      <c r="M141" s="71"/>
      <c r="N141" s="499" t="str">
        <f>IF(M141="","",IF(VLOOKUP(M141,'G-7 Rivers Data'!$AA$4:$AB$7,2,FALSE)=0,"Spatial Data Missing ⚠",VLOOKUP(M141,'G-7 Rivers Data'!$AA$4:$AB$7,2,FALSE)))</f>
        <v/>
      </c>
      <c r="O141" s="155"/>
      <c r="P141" s="499" t="str">
        <f>IF(O141="","",IF(VLOOKUP(O141,'G-7 Rivers Data'!$AD$4:$AE$8,2,FALSE)=0,"Spatial Data Missing ⚠",VLOOKUP(O141,'G-7 Rivers Data'!$AD$4:$AE$8,2,FALSE)))</f>
        <v/>
      </c>
      <c r="Q141" s="506" t="str">
        <f>IF(D141="","",VLOOKUP(D141,'G-7 Rivers Data'!$B$4:$G$8,6,FALSE))</f>
        <v/>
      </c>
      <c r="R141" s="513" t="str">
        <f t="shared" si="16"/>
        <v/>
      </c>
      <c r="S141" s="40"/>
      <c r="T141" s="145"/>
      <c r="U141" s="157"/>
      <c r="V141" s="511" t="str">
        <f t="shared" si="17"/>
        <v/>
      </c>
      <c r="W141" s="511" t="str">
        <f t="shared" si="18"/>
        <v/>
      </c>
      <c r="X141" s="511" t="str">
        <f t="shared" si="19"/>
        <v/>
      </c>
      <c r="Y141" s="515" t="str">
        <f t="shared" si="20"/>
        <v/>
      </c>
      <c r="Z141" s="151"/>
      <c r="AA141" s="152"/>
      <c r="AF141" s="31" t="str">
        <f>IFERROR(INDEX('G-7 Rivers Data'!$AZ$3:$AZ$7,MATCH(D141,'G-7 Rivers Data'!$AY$3:$AY$7,0)),"")</f>
        <v/>
      </c>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row>
    <row r="142" spans="3:40" ht="13.8" x14ac:dyDescent="0.25">
      <c r="C142" s="141">
        <v>133</v>
      </c>
      <c r="D142" s="462"/>
      <c r="E142" s="153"/>
      <c r="F142" s="498" t="str">
        <f>IF(D142="","",VLOOKUP(D142,'G-7 Rivers Data'!$B$2:$G$8,2,FALSE))</f>
        <v/>
      </c>
      <c r="G142" s="499" t="str">
        <f>IFERROR(VLOOKUP(F142,'G-7 Rivers Data'!$C$4:$D$8,2,FALSE),"")</f>
        <v/>
      </c>
      <c r="H142" s="145"/>
      <c r="I142" s="499" t="str">
        <f>IFERROR(INDEX('G-7 Rivers Data'!$H$4:$L$8,MATCH(D142,'G-7 Rivers Data'!$B$4:$B$8,0),MATCH(H142,'G-7 Rivers Data'!$H$3:$L$3,0)),"")</f>
        <v/>
      </c>
      <c r="J142" s="154"/>
      <c r="K142" s="520" t="str">
        <f>IF(J142="","",IF(VLOOKUP(J142,'G-7 Rivers Data'!$AK$4:$AM$9,2,FALSE)=0,"Spatial Data Missing ⚠",VLOOKUP(J142,'G-7 Rivers Data'!$AK$4:$AM$9,2,FALSE)))</f>
        <v/>
      </c>
      <c r="L142" s="524" t="str">
        <f>IF(J142="","",IF(VLOOKUP(J142,'G-7 Rivers Data'!$AK$4:$AM$9,3,FALSE)=0,"Spatial Data Missing ⚠",VLOOKUP(J142,'G-7 Rivers Data'!$AK$4:$AM$9,3,FALSE)))</f>
        <v/>
      </c>
      <c r="M142" s="71"/>
      <c r="N142" s="499" t="str">
        <f>IF(M142="","",IF(VLOOKUP(M142,'G-7 Rivers Data'!$AA$4:$AB$7,2,FALSE)=0,"Spatial Data Missing ⚠",VLOOKUP(M142,'G-7 Rivers Data'!$AA$4:$AB$7,2,FALSE)))</f>
        <v/>
      </c>
      <c r="O142" s="155"/>
      <c r="P142" s="499" t="str">
        <f>IF(O142="","",IF(VLOOKUP(O142,'G-7 Rivers Data'!$AD$4:$AE$8,2,FALSE)=0,"Spatial Data Missing ⚠",VLOOKUP(O142,'G-7 Rivers Data'!$AD$4:$AE$8,2,FALSE)))</f>
        <v/>
      </c>
      <c r="Q142" s="506" t="str">
        <f>IF(D142="","",VLOOKUP(D142,'G-7 Rivers Data'!$B$4:$G$8,6,FALSE))</f>
        <v/>
      </c>
      <c r="R142" s="513" t="str">
        <f t="shared" si="16"/>
        <v/>
      </c>
      <c r="S142" s="40"/>
      <c r="T142" s="145"/>
      <c r="U142" s="157"/>
      <c r="V142" s="511" t="str">
        <f t="shared" si="17"/>
        <v/>
      </c>
      <c r="W142" s="511" t="str">
        <f t="shared" si="18"/>
        <v/>
      </c>
      <c r="X142" s="511" t="str">
        <f t="shared" si="19"/>
        <v/>
      </c>
      <c r="Y142" s="515" t="str">
        <f t="shared" si="20"/>
        <v/>
      </c>
      <c r="Z142" s="151"/>
      <c r="AA142" s="152"/>
      <c r="AF142" s="31" t="str">
        <f>IFERROR(INDEX('G-7 Rivers Data'!$AZ$3:$AZ$7,MATCH(D142,'G-7 Rivers Data'!$AY$3:$AY$7,0)),"")</f>
        <v/>
      </c>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row>
    <row r="143" spans="3:40" ht="13.8" x14ac:dyDescent="0.25">
      <c r="C143" s="141">
        <v>134</v>
      </c>
      <c r="D143" s="462"/>
      <c r="E143" s="153"/>
      <c r="F143" s="498" t="str">
        <f>IF(D143="","",VLOOKUP(D143,'G-7 Rivers Data'!$B$2:$G$8,2,FALSE))</f>
        <v/>
      </c>
      <c r="G143" s="499" t="str">
        <f>IFERROR(VLOOKUP(F143,'G-7 Rivers Data'!$C$4:$D$8,2,FALSE),"")</f>
        <v/>
      </c>
      <c r="H143" s="145"/>
      <c r="I143" s="499" t="str">
        <f>IFERROR(INDEX('G-7 Rivers Data'!$H$4:$L$8,MATCH(D143,'G-7 Rivers Data'!$B$4:$B$8,0),MATCH(H143,'G-7 Rivers Data'!$H$3:$L$3,0)),"")</f>
        <v/>
      </c>
      <c r="J143" s="154"/>
      <c r="K143" s="520" t="str">
        <f>IF(J143="","",IF(VLOOKUP(J143,'G-7 Rivers Data'!$AK$4:$AM$9,2,FALSE)=0,"Spatial Data Missing ⚠",VLOOKUP(J143,'G-7 Rivers Data'!$AK$4:$AM$9,2,FALSE)))</f>
        <v/>
      </c>
      <c r="L143" s="524" t="str">
        <f>IF(J143="","",IF(VLOOKUP(J143,'G-7 Rivers Data'!$AK$4:$AM$9,3,FALSE)=0,"Spatial Data Missing ⚠",VLOOKUP(J143,'G-7 Rivers Data'!$AK$4:$AM$9,3,FALSE)))</f>
        <v/>
      </c>
      <c r="M143" s="71"/>
      <c r="N143" s="499" t="str">
        <f>IF(M143="","",IF(VLOOKUP(M143,'G-7 Rivers Data'!$AA$4:$AB$7,2,FALSE)=0,"Spatial Data Missing ⚠",VLOOKUP(M143,'G-7 Rivers Data'!$AA$4:$AB$7,2,FALSE)))</f>
        <v/>
      </c>
      <c r="O143" s="155"/>
      <c r="P143" s="499" t="str">
        <f>IF(O143="","",IF(VLOOKUP(O143,'G-7 Rivers Data'!$AD$4:$AE$8,2,FALSE)=0,"Spatial Data Missing ⚠",VLOOKUP(O143,'G-7 Rivers Data'!$AD$4:$AE$8,2,FALSE)))</f>
        <v/>
      </c>
      <c r="Q143" s="506" t="str">
        <f>IF(D143="","",VLOOKUP(D143,'G-7 Rivers Data'!$B$4:$G$8,6,FALSE))</f>
        <v/>
      </c>
      <c r="R143" s="513" t="str">
        <f t="shared" si="16"/>
        <v/>
      </c>
      <c r="S143" s="40"/>
      <c r="T143" s="145"/>
      <c r="U143" s="157"/>
      <c r="V143" s="511" t="str">
        <f t="shared" si="17"/>
        <v/>
      </c>
      <c r="W143" s="511" t="str">
        <f t="shared" si="18"/>
        <v/>
      </c>
      <c r="X143" s="511" t="str">
        <f t="shared" si="19"/>
        <v/>
      </c>
      <c r="Y143" s="515" t="str">
        <f t="shared" si="20"/>
        <v/>
      </c>
      <c r="Z143" s="151"/>
      <c r="AA143" s="152"/>
      <c r="AF143" s="31" t="str">
        <f>IFERROR(INDEX('G-7 Rivers Data'!$AZ$3:$AZ$7,MATCH(D143,'G-7 Rivers Data'!$AY$3:$AY$7,0)),"")</f>
        <v/>
      </c>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row>
    <row r="144" spans="3:40" ht="13.8" x14ac:dyDescent="0.25">
      <c r="C144" s="141">
        <v>135</v>
      </c>
      <c r="D144" s="462"/>
      <c r="E144" s="153"/>
      <c r="F144" s="498" t="str">
        <f>IF(D144="","",VLOOKUP(D144,'G-7 Rivers Data'!$B$2:$G$8,2,FALSE))</f>
        <v/>
      </c>
      <c r="G144" s="499" t="str">
        <f>IFERROR(VLOOKUP(F144,'G-7 Rivers Data'!$C$4:$D$8,2,FALSE),"")</f>
        <v/>
      </c>
      <c r="H144" s="145"/>
      <c r="I144" s="499" t="str">
        <f>IFERROR(INDEX('G-7 Rivers Data'!$H$4:$L$8,MATCH(D144,'G-7 Rivers Data'!$B$4:$B$8,0),MATCH(H144,'G-7 Rivers Data'!$H$3:$L$3,0)),"")</f>
        <v/>
      </c>
      <c r="J144" s="154"/>
      <c r="K144" s="520" t="str">
        <f>IF(J144="","",IF(VLOOKUP(J144,'G-7 Rivers Data'!$AK$4:$AM$9,2,FALSE)=0,"Spatial Data Missing ⚠",VLOOKUP(J144,'G-7 Rivers Data'!$AK$4:$AM$9,2,FALSE)))</f>
        <v/>
      </c>
      <c r="L144" s="524" t="str">
        <f>IF(J144="","",IF(VLOOKUP(J144,'G-7 Rivers Data'!$AK$4:$AM$9,3,FALSE)=0,"Spatial Data Missing ⚠",VLOOKUP(J144,'G-7 Rivers Data'!$AK$4:$AM$9,3,FALSE)))</f>
        <v/>
      </c>
      <c r="M144" s="71"/>
      <c r="N144" s="499" t="str">
        <f>IF(M144="","",IF(VLOOKUP(M144,'G-7 Rivers Data'!$AA$4:$AB$7,2,FALSE)=0,"Spatial Data Missing ⚠",VLOOKUP(M144,'G-7 Rivers Data'!$AA$4:$AB$7,2,FALSE)))</f>
        <v/>
      </c>
      <c r="O144" s="155"/>
      <c r="P144" s="499" t="str">
        <f>IF(O144="","",IF(VLOOKUP(O144,'G-7 Rivers Data'!$AD$4:$AE$8,2,FALSE)=0,"Spatial Data Missing ⚠",VLOOKUP(O144,'G-7 Rivers Data'!$AD$4:$AE$8,2,FALSE)))</f>
        <v/>
      </c>
      <c r="Q144" s="506" t="str">
        <f>IF(D144="","",VLOOKUP(D144,'G-7 Rivers Data'!$B$4:$G$8,6,FALSE))</f>
        <v/>
      </c>
      <c r="R144" s="513" t="str">
        <f t="shared" si="16"/>
        <v/>
      </c>
      <c r="S144" s="40"/>
      <c r="T144" s="145"/>
      <c r="U144" s="157"/>
      <c r="V144" s="511" t="str">
        <f t="shared" si="17"/>
        <v/>
      </c>
      <c r="W144" s="511" t="str">
        <f t="shared" si="18"/>
        <v/>
      </c>
      <c r="X144" s="511" t="str">
        <f t="shared" si="19"/>
        <v/>
      </c>
      <c r="Y144" s="515" t="str">
        <f t="shared" si="20"/>
        <v/>
      </c>
      <c r="Z144" s="151"/>
      <c r="AA144" s="152"/>
      <c r="AF144" s="31" t="str">
        <f>IFERROR(INDEX('G-7 Rivers Data'!$AZ$3:$AZ$7,MATCH(D144,'G-7 Rivers Data'!$AY$3:$AY$7,0)),"")</f>
        <v/>
      </c>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row>
    <row r="145" spans="3:40" ht="13.8" x14ac:dyDescent="0.25">
      <c r="C145" s="141">
        <v>136</v>
      </c>
      <c r="D145" s="462"/>
      <c r="E145" s="153"/>
      <c r="F145" s="498" t="str">
        <f>IF(D145="","",VLOOKUP(D145,'G-7 Rivers Data'!$B$2:$G$8,2,FALSE))</f>
        <v/>
      </c>
      <c r="G145" s="499" t="str">
        <f>IFERROR(VLOOKUP(F145,'G-7 Rivers Data'!$C$4:$D$8,2,FALSE),"")</f>
        <v/>
      </c>
      <c r="H145" s="145"/>
      <c r="I145" s="499" t="str">
        <f>IFERROR(INDEX('G-7 Rivers Data'!$H$4:$L$8,MATCH(D145,'G-7 Rivers Data'!$B$4:$B$8,0),MATCH(H145,'G-7 Rivers Data'!$H$3:$L$3,0)),"")</f>
        <v/>
      </c>
      <c r="J145" s="154"/>
      <c r="K145" s="520" t="str">
        <f>IF(J145="","",IF(VLOOKUP(J145,'G-7 Rivers Data'!$AK$4:$AM$9,2,FALSE)=0,"Spatial Data Missing ⚠",VLOOKUP(J145,'G-7 Rivers Data'!$AK$4:$AM$9,2,FALSE)))</f>
        <v/>
      </c>
      <c r="L145" s="524" t="str">
        <f>IF(J145="","",IF(VLOOKUP(J145,'G-7 Rivers Data'!$AK$4:$AM$9,3,FALSE)=0,"Spatial Data Missing ⚠",VLOOKUP(J145,'G-7 Rivers Data'!$AK$4:$AM$9,3,FALSE)))</f>
        <v/>
      </c>
      <c r="M145" s="71"/>
      <c r="N145" s="499" t="str">
        <f>IF(M145="","",IF(VLOOKUP(M145,'G-7 Rivers Data'!$AA$4:$AB$7,2,FALSE)=0,"Spatial Data Missing ⚠",VLOOKUP(M145,'G-7 Rivers Data'!$AA$4:$AB$7,2,FALSE)))</f>
        <v/>
      </c>
      <c r="O145" s="155"/>
      <c r="P145" s="499" t="str">
        <f>IF(O145="","",IF(VLOOKUP(O145,'G-7 Rivers Data'!$AD$4:$AE$8,2,FALSE)=0,"Spatial Data Missing ⚠",VLOOKUP(O145,'G-7 Rivers Data'!$AD$4:$AE$8,2,FALSE)))</f>
        <v/>
      </c>
      <c r="Q145" s="506" t="str">
        <f>IF(D145="","",VLOOKUP(D145,'G-7 Rivers Data'!$B$4:$G$8,6,FALSE))</f>
        <v/>
      </c>
      <c r="R145" s="513" t="str">
        <f t="shared" si="16"/>
        <v/>
      </c>
      <c r="S145" s="40"/>
      <c r="T145" s="145"/>
      <c r="U145" s="157"/>
      <c r="V145" s="511" t="str">
        <f t="shared" si="17"/>
        <v/>
      </c>
      <c r="W145" s="511" t="str">
        <f t="shared" si="18"/>
        <v/>
      </c>
      <c r="X145" s="511" t="str">
        <f t="shared" si="19"/>
        <v/>
      </c>
      <c r="Y145" s="515" t="str">
        <f t="shared" si="20"/>
        <v/>
      </c>
      <c r="Z145" s="151"/>
      <c r="AA145" s="152"/>
      <c r="AF145" s="31" t="str">
        <f>IFERROR(INDEX('G-7 Rivers Data'!$AZ$3:$AZ$7,MATCH(D145,'G-7 Rivers Data'!$AY$3:$AY$7,0)),"")</f>
        <v/>
      </c>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row>
    <row r="146" spans="3:40" ht="13.8" x14ac:dyDescent="0.25">
      <c r="C146" s="141">
        <v>137</v>
      </c>
      <c r="D146" s="462"/>
      <c r="E146" s="153"/>
      <c r="F146" s="498" t="str">
        <f>IF(D146="","",VLOOKUP(D146,'G-7 Rivers Data'!$B$2:$G$8,2,FALSE))</f>
        <v/>
      </c>
      <c r="G146" s="499" t="str">
        <f>IFERROR(VLOOKUP(F146,'G-7 Rivers Data'!$C$4:$D$8,2,FALSE),"")</f>
        <v/>
      </c>
      <c r="H146" s="145"/>
      <c r="I146" s="499" t="str">
        <f>IFERROR(INDEX('G-7 Rivers Data'!$H$4:$L$8,MATCH(D146,'G-7 Rivers Data'!$B$4:$B$8,0),MATCH(H146,'G-7 Rivers Data'!$H$3:$L$3,0)),"")</f>
        <v/>
      </c>
      <c r="J146" s="154"/>
      <c r="K146" s="520" t="str">
        <f>IF(J146="","",IF(VLOOKUP(J146,'G-7 Rivers Data'!$AK$4:$AM$9,2,FALSE)=0,"Spatial Data Missing ⚠",VLOOKUP(J146,'G-7 Rivers Data'!$AK$4:$AM$9,2,FALSE)))</f>
        <v/>
      </c>
      <c r="L146" s="524" t="str">
        <f>IF(J146="","",IF(VLOOKUP(J146,'G-7 Rivers Data'!$AK$4:$AM$9,3,FALSE)=0,"Spatial Data Missing ⚠",VLOOKUP(J146,'G-7 Rivers Data'!$AK$4:$AM$9,3,FALSE)))</f>
        <v/>
      </c>
      <c r="M146" s="71"/>
      <c r="N146" s="499" t="str">
        <f>IF(M146="","",IF(VLOOKUP(M146,'G-7 Rivers Data'!$AA$4:$AB$7,2,FALSE)=0,"Spatial Data Missing ⚠",VLOOKUP(M146,'G-7 Rivers Data'!$AA$4:$AB$7,2,FALSE)))</f>
        <v/>
      </c>
      <c r="O146" s="155"/>
      <c r="P146" s="499" t="str">
        <f>IF(O146="","",IF(VLOOKUP(O146,'G-7 Rivers Data'!$AD$4:$AE$8,2,FALSE)=0,"Spatial Data Missing ⚠",VLOOKUP(O146,'G-7 Rivers Data'!$AD$4:$AE$8,2,FALSE)))</f>
        <v/>
      </c>
      <c r="Q146" s="506" t="str">
        <f>IF(D146="","",VLOOKUP(D146,'G-7 Rivers Data'!$B$4:$G$8,6,FALSE))</f>
        <v/>
      </c>
      <c r="R146" s="513" t="str">
        <f t="shared" si="16"/>
        <v/>
      </c>
      <c r="S146" s="40"/>
      <c r="T146" s="145"/>
      <c r="U146" s="157"/>
      <c r="V146" s="511" t="str">
        <f t="shared" si="17"/>
        <v/>
      </c>
      <c r="W146" s="511" t="str">
        <f t="shared" si="18"/>
        <v/>
      </c>
      <c r="X146" s="511" t="str">
        <f t="shared" si="19"/>
        <v/>
      </c>
      <c r="Y146" s="515" t="str">
        <f t="shared" si="20"/>
        <v/>
      </c>
      <c r="Z146" s="151"/>
      <c r="AA146" s="152"/>
      <c r="AF146" s="31" t="str">
        <f>IFERROR(INDEX('G-7 Rivers Data'!$AZ$3:$AZ$7,MATCH(D146,'G-7 Rivers Data'!$AY$3:$AY$7,0)),"")</f>
        <v/>
      </c>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row>
    <row r="147" spans="3:40" ht="13.8" x14ac:dyDescent="0.25">
      <c r="C147" s="141">
        <v>138</v>
      </c>
      <c r="D147" s="462"/>
      <c r="E147" s="153"/>
      <c r="F147" s="498" t="str">
        <f>IF(D147="","",VLOOKUP(D147,'G-7 Rivers Data'!$B$2:$G$8,2,FALSE))</f>
        <v/>
      </c>
      <c r="G147" s="499" t="str">
        <f>IFERROR(VLOOKUP(F147,'G-7 Rivers Data'!$C$4:$D$8,2,FALSE),"")</f>
        <v/>
      </c>
      <c r="H147" s="145"/>
      <c r="I147" s="499" t="str">
        <f>IFERROR(INDEX('G-7 Rivers Data'!$H$4:$L$8,MATCH(D147,'G-7 Rivers Data'!$B$4:$B$8,0),MATCH(H147,'G-7 Rivers Data'!$H$3:$L$3,0)),"")</f>
        <v/>
      </c>
      <c r="J147" s="154"/>
      <c r="K147" s="520" t="str">
        <f>IF(J147="","",IF(VLOOKUP(J147,'G-7 Rivers Data'!$AK$4:$AM$9,2,FALSE)=0,"Spatial Data Missing ⚠",VLOOKUP(J147,'G-7 Rivers Data'!$AK$4:$AM$9,2,FALSE)))</f>
        <v/>
      </c>
      <c r="L147" s="524" t="str">
        <f>IF(J147="","",IF(VLOOKUP(J147,'G-7 Rivers Data'!$AK$4:$AM$9,3,FALSE)=0,"Spatial Data Missing ⚠",VLOOKUP(J147,'G-7 Rivers Data'!$AK$4:$AM$9,3,FALSE)))</f>
        <v/>
      </c>
      <c r="M147" s="71"/>
      <c r="N147" s="499" t="str">
        <f>IF(M147="","",IF(VLOOKUP(M147,'G-7 Rivers Data'!$AA$4:$AB$7,2,FALSE)=0,"Spatial Data Missing ⚠",VLOOKUP(M147,'G-7 Rivers Data'!$AA$4:$AB$7,2,FALSE)))</f>
        <v/>
      </c>
      <c r="O147" s="155"/>
      <c r="P147" s="499" t="str">
        <f>IF(O147="","",IF(VLOOKUP(O147,'G-7 Rivers Data'!$AD$4:$AE$8,2,FALSE)=0,"Spatial Data Missing ⚠",VLOOKUP(O147,'G-7 Rivers Data'!$AD$4:$AE$8,2,FALSE)))</f>
        <v/>
      </c>
      <c r="Q147" s="506" t="str">
        <f>IF(D147="","",VLOOKUP(D147,'G-7 Rivers Data'!$B$4:$G$8,6,FALSE))</f>
        <v/>
      </c>
      <c r="R147" s="513" t="str">
        <f t="shared" si="16"/>
        <v/>
      </c>
      <c r="S147" s="40"/>
      <c r="T147" s="145"/>
      <c r="U147" s="157"/>
      <c r="V147" s="511" t="str">
        <f t="shared" si="17"/>
        <v/>
      </c>
      <c r="W147" s="511" t="str">
        <f t="shared" si="18"/>
        <v/>
      </c>
      <c r="X147" s="511" t="str">
        <f t="shared" si="19"/>
        <v/>
      </c>
      <c r="Y147" s="515" t="str">
        <f t="shared" si="20"/>
        <v/>
      </c>
      <c r="Z147" s="151"/>
      <c r="AA147" s="152"/>
      <c r="AF147" s="31" t="str">
        <f>IFERROR(INDEX('G-7 Rivers Data'!$AZ$3:$AZ$7,MATCH(D147,'G-7 Rivers Data'!$AY$3:$AY$7,0)),"")</f>
        <v/>
      </c>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row>
    <row r="148" spans="3:40" ht="13.8" x14ac:dyDescent="0.25">
      <c r="C148" s="141">
        <v>139</v>
      </c>
      <c r="D148" s="462"/>
      <c r="E148" s="153"/>
      <c r="F148" s="498" t="str">
        <f>IF(D148="","",VLOOKUP(D148,'G-7 Rivers Data'!$B$2:$G$8,2,FALSE))</f>
        <v/>
      </c>
      <c r="G148" s="499" t="str">
        <f>IFERROR(VLOOKUP(F148,'G-7 Rivers Data'!$C$4:$D$8,2,FALSE),"")</f>
        <v/>
      </c>
      <c r="H148" s="145"/>
      <c r="I148" s="499" t="str">
        <f>IFERROR(INDEX('G-7 Rivers Data'!$H$4:$L$8,MATCH(D148,'G-7 Rivers Data'!$B$4:$B$8,0),MATCH(H148,'G-7 Rivers Data'!$H$3:$L$3,0)),"")</f>
        <v/>
      </c>
      <c r="J148" s="154"/>
      <c r="K148" s="520" t="str">
        <f>IF(J148="","",IF(VLOOKUP(J148,'G-7 Rivers Data'!$AK$4:$AM$9,2,FALSE)=0,"Spatial Data Missing ⚠",VLOOKUP(J148,'G-7 Rivers Data'!$AK$4:$AM$9,2,FALSE)))</f>
        <v/>
      </c>
      <c r="L148" s="524" t="str">
        <f>IF(J148="","",IF(VLOOKUP(J148,'G-7 Rivers Data'!$AK$4:$AM$9,3,FALSE)=0,"Spatial Data Missing ⚠",VLOOKUP(J148,'G-7 Rivers Data'!$AK$4:$AM$9,3,FALSE)))</f>
        <v/>
      </c>
      <c r="M148" s="71"/>
      <c r="N148" s="499" t="str">
        <f>IF(M148="","",IF(VLOOKUP(M148,'G-7 Rivers Data'!$AA$4:$AB$7,2,FALSE)=0,"Spatial Data Missing ⚠",VLOOKUP(M148,'G-7 Rivers Data'!$AA$4:$AB$7,2,FALSE)))</f>
        <v/>
      </c>
      <c r="O148" s="155"/>
      <c r="P148" s="499" t="str">
        <f>IF(O148="","",IF(VLOOKUP(O148,'G-7 Rivers Data'!$AD$4:$AE$8,2,FALSE)=0,"Spatial Data Missing ⚠",VLOOKUP(O148,'G-7 Rivers Data'!$AD$4:$AE$8,2,FALSE)))</f>
        <v/>
      </c>
      <c r="Q148" s="506" t="str">
        <f>IF(D148="","",VLOOKUP(D148,'G-7 Rivers Data'!$B$4:$G$8,6,FALSE))</f>
        <v/>
      </c>
      <c r="R148" s="513" t="str">
        <f t="shared" si="16"/>
        <v/>
      </c>
      <c r="S148" s="40"/>
      <c r="T148" s="145"/>
      <c r="U148" s="157"/>
      <c r="V148" s="511" t="str">
        <f t="shared" si="17"/>
        <v/>
      </c>
      <c r="W148" s="511" t="str">
        <f t="shared" si="18"/>
        <v/>
      </c>
      <c r="X148" s="511" t="str">
        <f t="shared" si="19"/>
        <v/>
      </c>
      <c r="Y148" s="515" t="str">
        <f t="shared" si="20"/>
        <v/>
      </c>
      <c r="Z148" s="151"/>
      <c r="AA148" s="152"/>
      <c r="AF148" s="31" t="str">
        <f>IFERROR(INDEX('G-7 Rivers Data'!$AZ$3:$AZ$7,MATCH(D148,'G-7 Rivers Data'!$AY$3:$AY$7,0)),"")</f>
        <v/>
      </c>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row>
    <row r="149" spans="3:40" ht="13.8" x14ac:dyDescent="0.25">
      <c r="C149" s="141">
        <v>140</v>
      </c>
      <c r="D149" s="462"/>
      <c r="E149" s="153"/>
      <c r="F149" s="498" t="str">
        <f>IF(D149="","",VLOOKUP(D149,'G-7 Rivers Data'!$B$2:$G$8,2,FALSE))</f>
        <v/>
      </c>
      <c r="G149" s="499" t="str">
        <f>IFERROR(VLOOKUP(F149,'G-7 Rivers Data'!$C$4:$D$8,2,FALSE),"")</f>
        <v/>
      </c>
      <c r="H149" s="145"/>
      <c r="I149" s="499" t="str">
        <f>IFERROR(INDEX('G-7 Rivers Data'!$H$4:$L$8,MATCH(D149,'G-7 Rivers Data'!$B$4:$B$8,0),MATCH(H149,'G-7 Rivers Data'!$H$3:$L$3,0)),"")</f>
        <v/>
      </c>
      <c r="J149" s="154"/>
      <c r="K149" s="520" t="str">
        <f>IF(J149="","",IF(VLOOKUP(J149,'G-7 Rivers Data'!$AK$4:$AM$9,2,FALSE)=0,"Spatial Data Missing ⚠",VLOOKUP(J149,'G-7 Rivers Data'!$AK$4:$AM$9,2,FALSE)))</f>
        <v/>
      </c>
      <c r="L149" s="524" t="str">
        <f>IF(J149="","",IF(VLOOKUP(J149,'G-7 Rivers Data'!$AK$4:$AM$9,3,FALSE)=0,"Spatial Data Missing ⚠",VLOOKUP(J149,'G-7 Rivers Data'!$AK$4:$AM$9,3,FALSE)))</f>
        <v/>
      </c>
      <c r="M149" s="71"/>
      <c r="N149" s="499" t="str">
        <f>IF(M149="","",IF(VLOOKUP(M149,'G-7 Rivers Data'!$AA$4:$AB$7,2,FALSE)=0,"Spatial Data Missing ⚠",VLOOKUP(M149,'G-7 Rivers Data'!$AA$4:$AB$7,2,FALSE)))</f>
        <v/>
      </c>
      <c r="O149" s="155"/>
      <c r="P149" s="499" t="str">
        <f>IF(O149="","",IF(VLOOKUP(O149,'G-7 Rivers Data'!$AD$4:$AE$8,2,FALSE)=0,"Spatial Data Missing ⚠",VLOOKUP(O149,'G-7 Rivers Data'!$AD$4:$AE$8,2,FALSE)))</f>
        <v/>
      </c>
      <c r="Q149" s="506" t="str">
        <f>IF(D149="","",VLOOKUP(D149,'G-7 Rivers Data'!$B$4:$G$8,6,FALSE))</f>
        <v/>
      </c>
      <c r="R149" s="513" t="str">
        <f t="shared" si="16"/>
        <v/>
      </c>
      <c r="S149" s="40"/>
      <c r="T149" s="145"/>
      <c r="U149" s="157"/>
      <c r="V149" s="511" t="str">
        <f t="shared" si="17"/>
        <v/>
      </c>
      <c r="W149" s="511" t="str">
        <f t="shared" si="18"/>
        <v/>
      </c>
      <c r="X149" s="511" t="str">
        <f t="shared" si="19"/>
        <v/>
      </c>
      <c r="Y149" s="515" t="str">
        <f t="shared" si="20"/>
        <v/>
      </c>
      <c r="Z149" s="151"/>
      <c r="AA149" s="152"/>
      <c r="AF149" s="31" t="str">
        <f>IFERROR(INDEX('G-7 Rivers Data'!$AZ$3:$AZ$7,MATCH(D149,'G-7 Rivers Data'!$AY$3:$AY$7,0)),"")</f>
        <v/>
      </c>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row>
    <row r="150" spans="3:40" ht="13.8" x14ac:dyDescent="0.25">
      <c r="C150" s="141">
        <v>141</v>
      </c>
      <c r="D150" s="462"/>
      <c r="E150" s="153"/>
      <c r="F150" s="498" t="str">
        <f>IF(D150="","",VLOOKUP(D150,'G-7 Rivers Data'!$B$2:$G$8,2,FALSE))</f>
        <v/>
      </c>
      <c r="G150" s="499" t="str">
        <f>IFERROR(VLOOKUP(F150,'G-7 Rivers Data'!$C$4:$D$8,2,FALSE),"")</f>
        <v/>
      </c>
      <c r="H150" s="145"/>
      <c r="I150" s="499" t="str">
        <f>IFERROR(INDEX('G-7 Rivers Data'!$H$4:$L$8,MATCH(D150,'G-7 Rivers Data'!$B$4:$B$8,0),MATCH(H150,'G-7 Rivers Data'!$H$3:$L$3,0)),"")</f>
        <v/>
      </c>
      <c r="J150" s="154"/>
      <c r="K150" s="520" t="str">
        <f>IF(J150="","",IF(VLOOKUP(J150,'G-7 Rivers Data'!$AK$4:$AM$9,2,FALSE)=0,"Spatial Data Missing ⚠",VLOOKUP(J150,'G-7 Rivers Data'!$AK$4:$AM$9,2,FALSE)))</f>
        <v/>
      </c>
      <c r="L150" s="524" t="str">
        <f>IF(J150="","",IF(VLOOKUP(J150,'G-7 Rivers Data'!$AK$4:$AM$9,3,FALSE)=0,"Spatial Data Missing ⚠",VLOOKUP(J150,'G-7 Rivers Data'!$AK$4:$AM$9,3,FALSE)))</f>
        <v/>
      </c>
      <c r="M150" s="71"/>
      <c r="N150" s="499" t="str">
        <f>IF(M150="","",IF(VLOOKUP(M150,'G-7 Rivers Data'!$AA$4:$AB$7,2,FALSE)=0,"Spatial Data Missing ⚠",VLOOKUP(M150,'G-7 Rivers Data'!$AA$4:$AB$7,2,FALSE)))</f>
        <v/>
      </c>
      <c r="O150" s="155"/>
      <c r="P150" s="499" t="str">
        <f>IF(O150="","",IF(VLOOKUP(O150,'G-7 Rivers Data'!$AD$4:$AE$8,2,FALSE)=0,"Spatial Data Missing ⚠",VLOOKUP(O150,'G-7 Rivers Data'!$AD$4:$AE$8,2,FALSE)))</f>
        <v/>
      </c>
      <c r="Q150" s="506" t="str">
        <f>IF(D150="","",VLOOKUP(D150,'G-7 Rivers Data'!$B$4:$G$8,6,FALSE))</f>
        <v/>
      </c>
      <c r="R150" s="513" t="str">
        <f t="shared" si="16"/>
        <v/>
      </c>
      <c r="S150" s="40"/>
      <c r="T150" s="145"/>
      <c r="U150" s="157"/>
      <c r="V150" s="511" t="str">
        <f t="shared" si="17"/>
        <v/>
      </c>
      <c r="W150" s="511" t="str">
        <f t="shared" si="18"/>
        <v/>
      </c>
      <c r="X150" s="511" t="str">
        <f t="shared" si="19"/>
        <v/>
      </c>
      <c r="Y150" s="515" t="str">
        <f t="shared" si="20"/>
        <v/>
      </c>
      <c r="Z150" s="151"/>
      <c r="AA150" s="152"/>
      <c r="AF150" s="31" t="str">
        <f>IFERROR(INDEX('G-7 Rivers Data'!$AZ$3:$AZ$7,MATCH(D150,'G-7 Rivers Data'!$AY$3:$AY$7,0)),"")</f>
        <v/>
      </c>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row>
    <row r="151" spans="3:40" ht="13.8" x14ac:dyDescent="0.25">
      <c r="C151" s="141">
        <v>142</v>
      </c>
      <c r="D151" s="462"/>
      <c r="E151" s="153"/>
      <c r="F151" s="498" t="str">
        <f>IF(D151="","",VLOOKUP(D151,'G-7 Rivers Data'!$B$2:$G$8,2,FALSE))</f>
        <v/>
      </c>
      <c r="G151" s="499" t="str">
        <f>IFERROR(VLOOKUP(F151,'G-7 Rivers Data'!$C$4:$D$8,2,FALSE),"")</f>
        <v/>
      </c>
      <c r="H151" s="145"/>
      <c r="I151" s="499" t="str">
        <f>IFERROR(INDEX('G-7 Rivers Data'!$H$4:$L$8,MATCH(D151,'G-7 Rivers Data'!$B$4:$B$8,0),MATCH(H151,'G-7 Rivers Data'!$H$3:$L$3,0)),"")</f>
        <v/>
      </c>
      <c r="J151" s="154"/>
      <c r="K151" s="520" t="str">
        <f>IF(J151="","",IF(VLOOKUP(J151,'G-7 Rivers Data'!$AK$4:$AM$9,2,FALSE)=0,"Spatial Data Missing ⚠",VLOOKUP(J151,'G-7 Rivers Data'!$AK$4:$AM$9,2,FALSE)))</f>
        <v/>
      </c>
      <c r="L151" s="524" t="str">
        <f>IF(J151="","",IF(VLOOKUP(J151,'G-7 Rivers Data'!$AK$4:$AM$9,3,FALSE)=0,"Spatial Data Missing ⚠",VLOOKUP(J151,'G-7 Rivers Data'!$AK$4:$AM$9,3,FALSE)))</f>
        <v/>
      </c>
      <c r="M151" s="71"/>
      <c r="N151" s="499" t="str">
        <f>IF(M151="","",IF(VLOOKUP(M151,'G-7 Rivers Data'!$AA$4:$AB$7,2,FALSE)=0,"Spatial Data Missing ⚠",VLOOKUP(M151,'G-7 Rivers Data'!$AA$4:$AB$7,2,FALSE)))</f>
        <v/>
      </c>
      <c r="O151" s="155"/>
      <c r="P151" s="499" t="str">
        <f>IF(O151="","",IF(VLOOKUP(O151,'G-7 Rivers Data'!$AD$4:$AE$8,2,FALSE)=0,"Spatial Data Missing ⚠",VLOOKUP(O151,'G-7 Rivers Data'!$AD$4:$AE$8,2,FALSE)))</f>
        <v/>
      </c>
      <c r="Q151" s="506" t="str">
        <f>IF(D151="","",VLOOKUP(D151,'G-7 Rivers Data'!$B$4:$G$8,6,FALSE))</f>
        <v/>
      </c>
      <c r="R151" s="513" t="str">
        <f t="shared" si="16"/>
        <v/>
      </c>
      <c r="S151" s="40"/>
      <c r="T151" s="145"/>
      <c r="U151" s="157"/>
      <c r="V151" s="511" t="str">
        <f t="shared" si="17"/>
        <v/>
      </c>
      <c r="W151" s="511" t="str">
        <f t="shared" si="18"/>
        <v/>
      </c>
      <c r="X151" s="511" t="str">
        <f t="shared" si="19"/>
        <v/>
      </c>
      <c r="Y151" s="515" t="str">
        <f t="shared" si="20"/>
        <v/>
      </c>
      <c r="Z151" s="151"/>
      <c r="AA151" s="152"/>
      <c r="AF151" s="31" t="str">
        <f>IFERROR(INDEX('G-7 Rivers Data'!$AZ$3:$AZ$7,MATCH(D151,'G-7 Rivers Data'!$AY$3:$AY$7,0)),"")</f>
        <v/>
      </c>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row>
    <row r="152" spans="3:40" ht="13.8" x14ac:dyDescent="0.25">
      <c r="C152" s="141">
        <v>143</v>
      </c>
      <c r="D152" s="462"/>
      <c r="E152" s="153"/>
      <c r="F152" s="498" t="str">
        <f>IF(D152="","",VLOOKUP(D152,'G-7 Rivers Data'!$B$2:$G$8,2,FALSE))</f>
        <v/>
      </c>
      <c r="G152" s="499" t="str">
        <f>IFERROR(VLOOKUP(F152,'G-7 Rivers Data'!$C$4:$D$8,2,FALSE),"")</f>
        <v/>
      </c>
      <c r="H152" s="145"/>
      <c r="I152" s="499" t="str">
        <f>IFERROR(INDEX('G-7 Rivers Data'!$H$4:$L$8,MATCH(D152,'G-7 Rivers Data'!$B$4:$B$8,0),MATCH(H152,'G-7 Rivers Data'!$H$3:$L$3,0)),"")</f>
        <v/>
      </c>
      <c r="J152" s="154"/>
      <c r="K152" s="520" t="str">
        <f>IF(J152="","",IF(VLOOKUP(J152,'G-7 Rivers Data'!$AK$4:$AM$9,2,FALSE)=0,"Spatial Data Missing ⚠",VLOOKUP(J152,'G-7 Rivers Data'!$AK$4:$AM$9,2,FALSE)))</f>
        <v/>
      </c>
      <c r="L152" s="524" t="str">
        <f>IF(J152="","",IF(VLOOKUP(J152,'G-7 Rivers Data'!$AK$4:$AM$9,3,FALSE)=0,"Spatial Data Missing ⚠",VLOOKUP(J152,'G-7 Rivers Data'!$AK$4:$AM$9,3,FALSE)))</f>
        <v/>
      </c>
      <c r="M152" s="71"/>
      <c r="N152" s="499" t="str">
        <f>IF(M152="","",IF(VLOOKUP(M152,'G-7 Rivers Data'!$AA$4:$AB$7,2,FALSE)=0,"Spatial Data Missing ⚠",VLOOKUP(M152,'G-7 Rivers Data'!$AA$4:$AB$7,2,FALSE)))</f>
        <v/>
      </c>
      <c r="O152" s="155"/>
      <c r="P152" s="499" t="str">
        <f>IF(O152="","",IF(VLOOKUP(O152,'G-7 Rivers Data'!$AD$4:$AE$8,2,FALSE)=0,"Spatial Data Missing ⚠",VLOOKUP(O152,'G-7 Rivers Data'!$AD$4:$AE$8,2,FALSE)))</f>
        <v/>
      </c>
      <c r="Q152" s="506" t="str">
        <f>IF(D152="","",VLOOKUP(D152,'G-7 Rivers Data'!$B$4:$G$8,6,FALSE))</f>
        <v/>
      </c>
      <c r="R152" s="513" t="str">
        <f t="shared" si="16"/>
        <v/>
      </c>
      <c r="S152" s="40"/>
      <c r="T152" s="145"/>
      <c r="U152" s="157"/>
      <c r="V152" s="511" t="str">
        <f t="shared" si="17"/>
        <v/>
      </c>
      <c r="W152" s="511" t="str">
        <f t="shared" si="18"/>
        <v/>
      </c>
      <c r="X152" s="511" t="str">
        <f t="shared" si="19"/>
        <v/>
      </c>
      <c r="Y152" s="515" t="str">
        <f t="shared" si="20"/>
        <v/>
      </c>
      <c r="Z152" s="151"/>
      <c r="AA152" s="152"/>
      <c r="AF152" s="31" t="str">
        <f>IFERROR(INDEX('G-7 Rivers Data'!$AZ$3:$AZ$7,MATCH(D152,'G-7 Rivers Data'!$AY$3:$AY$7,0)),"")</f>
        <v/>
      </c>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row>
    <row r="153" spans="3:40" ht="13.8" x14ac:dyDescent="0.25">
      <c r="C153" s="141">
        <v>144</v>
      </c>
      <c r="D153" s="462"/>
      <c r="E153" s="153"/>
      <c r="F153" s="498" t="str">
        <f>IF(D153="","",VLOOKUP(D153,'G-7 Rivers Data'!$B$2:$G$8,2,FALSE))</f>
        <v/>
      </c>
      <c r="G153" s="499" t="str">
        <f>IFERROR(VLOOKUP(F153,'G-7 Rivers Data'!$C$4:$D$8,2,FALSE),"")</f>
        <v/>
      </c>
      <c r="H153" s="145"/>
      <c r="I153" s="499" t="str">
        <f>IFERROR(INDEX('G-7 Rivers Data'!$H$4:$L$8,MATCH(D153,'G-7 Rivers Data'!$B$4:$B$8,0),MATCH(H153,'G-7 Rivers Data'!$H$3:$L$3,0)),"")</f>
        <v/>
      </c>
      <c r="J153" s="154"/>
      <c r="K153" s="520" t="str">
        <f>IF(J153="","",IF(VLOOKUP(J153,'G-7 Rivers Data'!$AK$4:$AM$9,2,FALSE)=0,"Spatial Data Missing ⚠",VLOOKUP(J153,'G-7 Rivers Data'!$AK$4:$AM$9,2,FALSE)))</f>
        <v/>
      </c>
      <c r="L153" s="524" t="str">
        <f>IF(J153="","",IF(VLOOKUP(J153,'G-7 Rivers Data'!$AK$4:$AM$9,3,FALSE)=0,"Spatial Data Missing ⚠",VLOOKUP(J153,'G-7 Rivers Data'!$AK$4:$AM$9,3,FALSE)))</f>
        <v/>
      </c>
      <c r="M153" s="71"/>
      <c r="N153" s="499" t="str">
        <f>IF(M153="","",IF(VLOOKUP(M153,'G-7 Rivers Data'!$AA$4:$AB$7,2,FALSE)=0,"Spatial Data Missing ⚠",VLOOKUP(M153,'G-7 Rivers Data'!$AA$4:$AB$7,2,FALSE)))</f>
        <v/>
      </c>
      <c r="O153" s="155"/>
      <c r="P153" s="499" t="str">
        <f>IF(O153="","",IF(VLOOKUP(O153,'G-7 Rivers Data'!$AD$4:$AE$8,2,FALSE)=0,"Spatial Data Missing ⚠",VLOOKUP(O153,'G-7 Rivers Data'!$AD$4:$AE$8,2,FALSE)))</f>
        <v/>
      </c>
      <c r="Q153" s="506" t="str">
        <f>IF(D153="","",VLOOKUP(D153,'G-7 Rivers Data'!$B$4:$G$8,6,FALSE))</f>
        <v/>
      </c>
      <c r="R153" s="513" t="str">
        <f t="shared" si="16"/>
        <v/>
      </c>
      <c r="S153" s="40"/>
      <c r="T153" s="145"/>
      <c r="U153" s="157"/>
      <c r="V153" s="511" t="str">
        <f t="shared" si="17"/>
        <v/>
      </c>
      <c r="W153" s="511" t="str">
        <f t="shared" si="18"/>
        <v/>
      </c>
      <c r="X153" s="511" t="str">
        <f t="shared" si="19"/>
        <v/>
      </c>
      <c r="Y153" s="515" t="str">
        <f t="shared" si="20"/>
        <v/>
      </c>
      <c r="Z153" s="151"/>
      <c r="AA153" s="152"/>
      <c r="AF153" s="31" t="str">
        <f>IFERROR(INDEX('G-7 Rivers Data'!$AZ$3:$AZ$7,MATCH(D153,'G-7 Rivers Data'!$AY$3:$AY$7,0)),"")</f>
        <v/>
      </c>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row>
    <row r="154" spans="3:40" ht="13.8" x14ac:dyDescent="0.25">
      <c r="C154" s="141">
        <v>145</v>
      </c>
      <c r="D154" s="462"/>
      <c r="E154" s="153"/>
      <c r="F154" s="498" t="str">
        <f>IF(D154="","",VLOOKUP(D154,'G-7 Rivers Data'!$B$2:$G$8,2,FALSE))</f>
        <v/>
      </c>
      <c r="G154" s="499" t="str">
        <f>IFERROR(VLOOKUP(F154,'G-7 Rivers Data'!$C$4:$D$8,2,FALSE),"")</f>
        <v/>
      </c>
      <c r="H154" s="145"/>
      <c r="I154" s="499" t="str">
        <f>IFERROR(INDEX('G-7 Rivers Data'!$H$4:$L$8,MATCH(D154,'G-7 Rivers Data'!$B$4:$B$8,0),MATCH(H154,'G-7 Rivers Data'!$H$3:$L$3,0)),"")</f>
        <v/>
      </c>
      <c r="J154" s="154"/>
      <c r="K154" s="520" t="str">
        <f>IF(J154="","",IF(VLOOKUP(J154,'G-7 Rivers Data'!$AK$4:$AM$9,2,FALSE)=0,"Spatial Data Missing ⚠",VLOOKUP(J154,'G-7 Rivers Data'!$AK$4:$AM$9,2,FALSE)))</f>
        <v/>
      </c>
      <c r="L154" s="524" t="str">
        <f>IF(J154="","",IF(VLOOKUP(J154,'G-7 Rivers Data'!$AK$4:$AM$9,3,FALSE)=0,"Spatial Data Missing ⚠",VLOOKUP(J154,'G-7 Rivers Data'!$AK$4:$AM$9,3,FALSE)))</f>
        <v/>
      </c>
      <c r="M154" s="71"/>
      <c r="N154" s="499" t="str">
        <f>IF(M154="","",IF(VLOOKUP(M154,'G-7 Rivers Data'!$AA$4:$AB$7,2,FALSE)=0,"Spatial Data Missing ⚠",VLOOKUP(M154,'G-7 Rivers Data'!$AA$4:$AB$7,2,FALSE)))</f>
        <v/>
      </c>
      <c r="O154" s="155"/>
      <c r="P154" s="499" t="str">
        <f>IF(O154="","",IF(VLOOKUP(O154,'G-7 Rivers Data'!$AD$4:$AE$8,2,FALSE)=0,"Spatial Data Missing ⚠",VLOOKUP(O154,'G-7 Rivers Data'!$AD$4:$AE$8,2,FALSE)))</f>
        <v/>
      </c>
      <c r="Q154" s="506" t="str">
        <f>IF(D154="","",VLOOKUP(D154,'G-7 Rivers Data'!$B$4:$G$8,6,FALSE))</f>
        <v/>
      </c>
      <c r="R154" s="513" t="str">
        <f t="shared" si="16"/>
        <v/>
      </c>
      <c r="S154" s="40"/>
      <c r="T154" s="145"/>
      <c r="U154" s="157"/>
      <c r="V154" s="511" t="str">
        <f t="shared" si="17"/>
        <v/>
      </c>
      <c r="W154" s="511" t="str">
        <f t="shared" si="18"/>
        <v/>
      </c>
      <c r="X154" s="511" t="str">
        <f t="shared" si="19"/>
        <v/>
      </c>
      <c r="Y154" s="515" t="str">
        <f t="shared" si="20"/>
        <v/>
      </c>
      <c r="Z154" s="151"/>
      <c r="AA154" s="152"/>
      <c r="AF154" s="31" t="str">
        <f>IFERROR(INDEX('G-7 Rivers Data'!$AZ$3:$AZ$7,MATCH(D154,'G-7 Rivers Data'!$AY$3:$AY$7,0)),"")</f>
        <v/>
      </c>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row>
    <row r="155" spans="3:40" ht="13.8" x14ac:dyDescent="0.25">
      <c r="C155" s="141">
        <v>146</v>
      </c>
      <c r="D155" s="462"/>
      <c r="E155" s="153"/>
      <c r="F155" s="498" t="str">
        <f>IF(D155="","",VLOOKUP(D155,'G-7 Rivers Data'!$B$2:$G$8,2,FALSE))</f>
        <v/>
      </c>
      <c r="G155" s="499" t="str">
        <f>IFERROR(VLOOKUP(F155,'G-7 Rivers Data'!$C$4:$D$8,2,FALSE),"")</f>
        <v/>
      </c>
      <c r="H155" s="145"/>
      <c r="I155" s="499" t="str">
        <f>IFERROR(INDEX('G-7 Rivers Data'!$H$4:$L$8,MATCH(D155,'G-7 Rivers Data'!$B$4:$B$8,0),MATCH(H155,'G-7 Rivers Data'!$H$3:$L$3,0)),"")</f>
        <v/>
      </c>
      <c r="J155" s="154"/>
      <c r="K155" s="520" t="str">
        <f>IF(J155="","",IF(VLOOKUP(J155,'G-7 Rivers Data'!$AK$4:$AM$9,2,FALSE)=0,"Spatial Data Missing ⚠",VLOOKUP(J155,'G-7 Rivers Data'!$AK$4:$AM$9,2,FALSE)))</f>
        <v/>
      </c>
      <c r="L155" s="524" t="str">
        <f>IF(J155="","",IF(VLOOKUP(J155,'G-7 Rivers Data'!$AK$4:$AM$9,3,FALSE)=0,"Spatial Data Missing ⚠",VLOOKUP(J155,'G-7 Rivers Data'!$AK$4:$AM$9,3,FALSE)))</f>
        <v/>
      </c>
      <c r="M155" s="71"/>
      <c r="N155" s="499" t="str">
        <f>IF(M155="","",IF(VLOOKUP(M155,'G-7 Rivers Data'!$AA$4:$AB$7,2,FALSE)=0,"Spatial Data Missing ⚠",VLOOKUP(M155,'G-7 Rivers Data'!$AA$4:$AB$7,2,FALSE)))</f>
        <v/>
      </c>
      <c r="O155" s="155"/>
      <c r="P155" s="499" t="str">
        <f>IF(O155="","",IF(VLOOKUP(O155,'G-7 Rivers Data'!$AD$4:$AE$8,2,FALSE)=0,"Spatial Data Missing ⚠",VLOOKUP(O155,'G-7 Rivers Data'!$AD$4:$AE$8,2,FALSE)))</f>
        <v/>
      </c>
      <c r="Q155" s="506" t="str">
        <f>IF(D155="","",VLOOKUP(D155,'G-7 Rivers Data'!$B$4:$G$8,6,FALSE))</f>
        <v/>
      </c>
      <c r="R155" s="513" t="str">
        <f t="shared" si="16"/>
        <v/>
      </c>
      <c r="S155" s="40"/>
      <c r="T155" s="145"/>
      <c r="U155" s="157"/>
      <c r="V155" s="511" t="str">
        <f t="shared" si="17"/>
        <v/>
      </c>
      <c r="W155" s="511" t="str">
        <f t="shared" si="18"/>
        <v/>
      </c>
      <c r="X155" s="511" t="str">
        <f t="shared" si="19"/>
        <v/>
      </c>
      <c r="Y155" s="515" t="str">
        <f t="shared" si="20"/>
        <v/>
      </c>
      <c r="Z155" s="151"/>
      <c r="AA155" s="152"/>
      <c r="AF155" s="31" t="str">
        <f>IFERROR(INDEX('G-7 Rivers Data'!$AZ$3:$AZ$7,MATCH(D155,'G-7 Rivers Data'!$AY$3:$AY$7,0)),"")</f>
        <v/>
      </c>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row>
    <row r="156" spans="3:40" ht="13.8" x14ac:dyDescent="0.25">
      <c r="C156" s="141">
        <v>147</v>
      </c>
      <c r="D156" s="462"/>
      <c r="E156" s="153"/>
      <c r="F156" s="498" t="str">
        <f>IF(D156="","",VLOOKUP(D156,'G-7 Rivers Data'!$B$2:$G$8,2,FALSE))</f>
        <v/>
      </c>
      <c r="G156" s="499" t="str">
        <f>IFERROR(VLOOKUP(F156,'G-7 Rivers Data'!$C$4:$D$8,2,FALSE),"")</f>
        <v/>
      </c>
      <c r="H156" s="145"/>
      <c r="I156" s="499" t="str">
        <f>IFERROR(INDEX('G-7 Rivers Data'!$H$4:$L$8,MATCH(D156,'G-7 Rivers Data'!$B$4:$B$8,0),MATCH(H156,'G-7 Rivers Data'!$H$3:$L$3,0)),"")</f>
        <v/>
      </c>
      <c r="J156" s="154"/>
      <c r="K156" s="520" t="str">
        <f>IF(J156="","",IF(VLOOKUP(J156,'G-7 Rivers Data'!$AK$4:$AM$9,2,FALSE)=0,"Spatial Data Missing ⚠",VLOOKUP(J156,'G-7 Rivers Data'!$AK$4:$AM$9,2,FALSE)))</f>
        <v/>
      </c>
      <c r="L156" s="524" t="str">
        <f>IF(J156="","",IF(VLOOKUP(J156,'G-7 Rivers Data'!$AK$4:$AM$9,3,FALSE)=0,"Spatial Data Missing ⚠",VLOOKUP(J156,'G-7 Rivers Data'!$AK$4:$AM$9,3,FALSE)))</f>
        <v/>
      </c>
      <c r="M156" s="71"/>
      <c r="N156" s="499" t="str">
        <f>IF(M156="","",IF(VLOOKUP(M156,'G-7 Rivers Data'!$AA$4:$AB$7,2,FALSE)=0,"Spatial Data Missing ⚠",VLOOKUP(M156,'G-7 Rivers Data'!$AA$4:$AB$7,2,FALSE)))</f>
        <v/>
      </c>
      <c r="O156" s="155"/>
      <c r="P156" s="499" t="str">
        <f>IF(O156="","",IF(VLOOKUP(O156,'G-7 Rivers Data'!$AD$4:$AE$8,2,FALSE)=0,"Spatial Data Missing ⚠",VLOOKUP(O156,'G-7 Rivers Data'!$AD$4:$AE$8,2,FALSE)))</f>
        <v/>
      </c>
      <c r="Q156" s="506" t="str">
        <f>IF(D156="","",VLOOKUP(D156,'G-7 Rivers Data'!$B$4:$G$8,6,FALSE))</f>
        <v/>
      </c>
      <c r="R156" s="513" t="str">
        <f t="shared" si="16"/>
        <v/>
      </c>
      <c r="S156" s="40"/>
      <c r="T156" s="145"/>
      <c r="U156" s="157"/>
      <c r="V156" s="511" t="str">
        <f t="shared" si="17"/>
        <v/>
      </c>
      <c r="W156" s="511" t="str">
        <f t="shared" si="18"/>
        <v/>
      </c>
      <c r="X156" s="511" t="str">
        <f t="shared" si="19"/>
        <v/>
      </c>
      <c r="Y156" s="515" t="str">
        <f t="shared" si="20"/>
        <v/>
      </c>
      <c r="Z156" s="151"/>
      <c r="AA156" s="152"/>
      <c r="AF156" s="31" t="str">
        <f>IFERROR(INDEX('G-7 Rivers Data'!$AZ$3:$AZ$7,MATCH(D156,'G-7 Rivers Data'!$AY$3:$AY$7,0)),"")</f>
        <v/>
      </c>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row>
    <row r="157" spans="3:40" ht="13.8" x14ac:dyDescent="0.25">
      <c r="C157" s="141">
        <v>148</v>
      </c>
      <c r="D157" s="462"/>
      <c r="E157" s="153"/>
      <c r="F157" s="498" t="str">
        <f>IF(D157="","",VLOOKUP(D157,'G-7 Rivers Data'!$B$2:$G$8,2,FALSE))</f>
        <v/>
      </c>
      <c r="G157" s="499" t="str">
        <f>IFERROR(VLOOKUP(F157,'G-7 Rivers Data'!$C$4:$D$8,2,FALSE),"")</f>
        <v/>
      </c>
      <c r="H157" s="145"/>
      <c r="I157" s="499" t="str">
        <f>IFERROR(INDEX('G-7 Rivers Data'!$H$4:$L$8,MATCH(D157,'G-7 Rivers Data'!$B$4:$B$8,0),MATCH(H157,'G-7 Rivers Data'!$H$3:$L$3,0)),"")</f>
        <v/>
      </c>
      <c r="J157" s="154"/>
      <c r="K157" s="520" t="str">
        <f>IF(J157="","",IF(VLOOKUP(J157,'G-7 Rivers Data'!$AK$4:$AM$9,2,FALSE)=0,"Spatial Data Missing ⚠",VLOOKUP(J157,'G-7 Rivers Data'!$AK$4:$AM$9,2,FALSE)))</f>
        <v/>
      </c>
      <c r="L157" s="524" t="str">
        <f>IF(J157="","",IF(VLOOKUP(J157,'G-7 Rivers Data'!$AK$4:$AM$9,3,FALSE)=0,"Spatial Data Missing ⚠",VLOOKUP(J157,'G-7 Rivers Data'!$AK$4:$AM$9,3,FALSE)))</f>
        <v/>
      </c>
      <c r="M157" s="71"/>
      <c r="N157" s="499" t="str">
        <f>IF(M157="","",IF(VLOOKUP(M157,'G-7 Rivers Data'!$AA$4:$AB$7,2,FALSE)=0,"Spatial Data Missing ⚠",VLOOKUP(M157,'G-7 Rivers Data'!$AA$4:$AB$7,2,FALSE)))</f>
        <v/>
      </c>
      <c r="O157" s="155"/>
      <c r="P157" s="499" t="str">
        <f>IF(O157="","",IF(VLOOKUP(O157,'G-7 Rivers Data'!$AD$4:$AE$8,2,FALSE)=0,"Spatial Data Missing ⚠",VLOOKUP(O157,'G-7 Rivers Data'!$AD$4:$AE$8,2,FALSE)))</f>
        <v/>
      </c>
      <c r="Q157" s="506" t="str">
        <f>IF(D157="","",VLOOKUP(D157,'G-7 Rivers Data'!$B$4:$G$8,6,FALSE))</f>
        <v/>
      </c>
      <c r="R157" s="513" t="str">
        <f t="shared" si="16"/>
        <v/>
      </c>
      <c r="S157" s="40"/>
      <c r="T157" s="145"/>
      <c r="U157" s="157"/>
      <c r="V157" s="511" t="str">
        <f t="shared" si="17"/>
        <v/>
      </c>
      <c r="W157" s="511" t="str">
        <f t="shared" si="18"/>
        <v/>
      </c>
      <c r="X157" s="511" t="str">
        <f t="shared" si="19"/>
        <v/>
      </c>
      <c r="Y157" s="515" t="str">
        <f t="shared" si="20"/>
        <v/>
      </c>
      <c r="Z157" s="151"/>
      <c r="AA157" s="152"/>
      <c r="AF157" s="31" t="str">
        <f>IFERROR(INDEX('G-7 Rivers Data'!$AZ$3:$AZ$7,MATCH(D157,'G-7 Rivers Data'!$AY$3:$AY$7,0)),"")</f>
        <v/>
      </c>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row>
    <row r="158" spans="3:40" ht="13.8" x14ac:dyDescent="0.25">
      <c r="C158" s="141">
        <v>149</v>
      </c>
      <c r="D158" s="462"/>
      <c r="E158" s="153"/>
      <c r="F158" s="498" t="str">
        <f>IF(D158="","",VLOOKUP(D158,'G-7 Rivers Data'!$B$2:$G$8,2,FALSE))</f>
        <v/>
      </c>
      <c r="G158" s="499" t="str">
        <f>IFERROR(VLOOKUP(F158,'G-7 Rivers Data'!$C$4:$D$8,2,FALSE),"")</f>
        <v/>
      </c>
      <c r="H158" s="145"/>
      <c r="I158" s="499" t="str">
        <f>IFERROR(INDEX('G-7 Rivers Data'!$H$4:$L$8,MATCH(D158,'G-7 Rivers Data'!$B$4:$B$8,0),MATCH(H158,'G-7 Rivers Data'!$H$3:$L$3,0)),"")</f>
        <v/>
      </c>
      <c r="J158" s="154"/>
      <c r="K158" s="520" t="str">
        <f>IF(J158="","",IF(VLOOKUP(J158,'G-7 Rivers Data'!$AK$4:$AM$9,2,FALSE)=0,"Spatial Data Missing ⚠",VLOOKUP(J158,'G-7 Rivers Data'!$AK$4:$AM$9,2,FALSE)))</f>
        <v/>
      </c>
      <c r="L158" s="524" t="str">
        <f>IF(J158="","",IF(VLOOKUP(J158,'G-7 Rivers Data'!$AK$4:$AM$9,3,FALSE)=0,"Spatial Data Missing ⚠",VLOOKUP(J158,'G-7 Rivers Data'!$AK$4:$AM$9,3,FALSE)))</f>
        <v/>
      </c>
      <c r="M158" s="71"/>
      <c r="N158" s="499" t="str">
        <f>IF(M158="","",IF(VLOOKUP(M158,'G-7 Rivers Data'!$AA$4:$AB$7,2,FALSE)=0,"Spatial Data Missing ⚠",VLOOKUP(M158,'G-7 Rivers Data'!$AA$4:$AB$7,2,FALSE)))</f>
        <v/>
      </c>
      <c r="O158" s="155"/>
      <c r="P158" s="499" t="str">
        <f>IF(O158="","",IF(VLOOKUP(O158,'G-7 Rivers Data'!$AD$4:$AE$8,2,FALSE)=0,"Spatial Data Missing ⚠",VLOOKUP(O158,'G-7 Rivers Data'!$AD$4:$AE$8,2,FALSE)))</f>
        <v/>
      </c>
      <c r="Q158" s="506" t="str">
        <f>IF(D158="","",VLOOKUP(D158,'G-7 Rivers Data'!$B$4:$G$8,6,FALSE))</f>
        <v/>
      </c>
      <c r="R158" s="513" t="str">
        <f t="shared" si="16"/>
        <v/>
      </c>
      <c r="S158" s="40"/>
      <c r="T158" s="145"/>
      <c r="U158" s="157"/>
      <c r="V158" s="511" t="str">
        <f t="shared" si="17"/>
        <v/>
      </c>
      <c r="W158" s="511" t="str">
        <f t="shared" si="18"/>
        <v/>
      </c>
      <c r="X158" s="511" t="str">
        <f t="shared" si="19"/>
        <v/>
      </c>
      <c r="Y158" s="515" t="str">
        <f t="shared" si="20"/>
        <v/>
      </c>
      <c r="Z158" s="151"/>
      <c r="AA158" s="152"/>
      <c r="AF158" s="31" t="str">
        <f>IFERROR(INDEX('G-7 Rivers Data'!$AZ$3:$AZ$7,MATCH(D158,'G-7 Rivers Data'!$AY$3:$AY$7,0)),"")</f>
        <v/>
      </c>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row>
    <row r="159" spans="3:40" ht="13.8" x14ac:dyDescent="0.25">
      <c r="C159" s="141">
        <v>150</v>
      </c>
      <c r="D159" s="462"/>
      <c r="E159" s="153"/>
      <c r="F159" s="498" t="str">
        <f>IF(D159="","",VLOOKUP(D159,'G-7 Rivers Data'!$B$2:$G$8,2,FALSE))</f>
        <v/>
      </c>
      <c r="G159" s="499" t="str">
        <f>IFERROR(VLOOKUP(F159,'G-7 Rivers Data'!$C$4:$D$8,2,FALSE),"")</f>
        <v/>
      </c>
      <c r="H159" s="145"/>
      <c r="I159" s="499" t="str">
        <f>IFERROR(INDEX('G-7 Rivers Data'!$H$4:$L$8,MATCH(D159,'G-7 Rivers Data'!$B$4:$B$8,0),MATCH(H159,'G-7 Rivers Data'!$H$3:$L$3,0)),"")</f>
        <v/>
      </c>
      <c r="J159" s="154"/>
      <c r="K159" s="520" t="str">
        <f>IF(J159="","",IF(VLOOKUP(J159,'G-7 Rivers Data'!$AK$4:$AM$9,2,FALSE)=0,"Spatial Data Missing ⚠",VLOOKUP(J159,'G-7 Rivers Data'!$AK$4:$AM$9,2,FALSE)))</f>
        <v/>
      </c>
      <c r="L159" s="524" t="str">
        <f>IF(J159="","",IF(VLOOKUP(J159,'G-7 Rivers Data'!$AK$4:$AM$9,3,FALSE)=0,"Spatial Data Missing ⚠",VLOOKUP(J159,'G-7 Rivers Data'!$AK$4:$AM$9,3,FALSE)))</f>
        <v/>
      </c>
      <c r="M159" s="71"/>
      <c r="N159" s="499" t="str">
        <f>IF(M159="","",IF(VLOOKUP(M159,'G-7 Rivers Data'!$AA$4:$AB$7,2,FALSE)=0,"Spatial Data Missing ⚠",VLOOKUP(M159,'G-7 Rivers Data'!$AA$4:$AB$7,2,FALSE)))</f>
        <v/>
      </c>
      <c r="O159" s="155"/>
      <c r="P159" s="499" t="str">
        <f>IF(O159="","",IF(VLOOKUP(O159,'G-7 Rivers Data'!$AD$4:$AE$8,2,FALSE)=0,"Spatial Data Missing ⚠",VLOOKUP(O159,'G-7 Rivers Data'!$AD$4:$AE$8,2,FALSE)))</f>
        <v/>
      </c>
      <c r="Q159" s="506" t="str">
        <f>IF(D159="","",VLOOKUP(D159,'G-7 Rivers Data'!$B$4:$G$8,6,FALSE))</f>
        <v/>
      </c>
      <c r="R159" s="513" t="str">
        <f t="shared" si="16"/>
        <v/>
      </c>
      <c r="S159" s="40"/>
      <c r="T159" s="145"/>
      <c r="U159" s="157"/>
      <c r="V159" s="511" t="str">
        <f t="shared" si="17"/>
        <v/>
      </c>
      <c r="W159" s="511" t="str">
        <f t="shared" si="18"/>
        <v/>
      </c>
      <c r="X159" s="511" t="str">
        <f t="shared" si="19"/>
        <v/>
      </c>
      <c r="Y159" s="515" t="str">
        <f t="shared" si="20"/>
        <v/>
      </c>
      <c r="Z159" s="151"/>
      <c r="AA159" s="152"/>
      <c r="AF159" s="31" t="str">
        <f>IFERROR(INDEX('G-7 Rivers Data'!$AZ$3:$AZ$7,MATCH(D159,'G-7 Rivers Data'!$AY$3:$AY$7,0)),"")</f>
        <v/>
      </c>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row>
    <row r="160" spans="3:40" ht="13.8" x14ac:dyDescent="0.25">
      <c r="C160" s="141">
        <v>151</v>
      </c>
      <c r="D160" s="462"/>
      <c r="E160" s="153"/>
      <c r="F160" s="498" t="str">
        <f>IF(D160="","",VLOOKUP(D160,'G-7 Rivers Data'!$B$2:$G$8,2,FALSE))</f>
        <v/>
      </c>
      <c r="G160" s="499" t="str">
        <f>IFERROR(VLOOKUP(F160,'G-7 Rivers Data'!$C$4:$D$8,2,FALSE),"")</f>
        <v/>
      </c>
      <c r="H160" s="145"/>
      <c r="I160" s="499" t="str">
        <f>IFERROR(INDEX('G-7 Rivers Data'!$H$4:$L$8,MATCH(D160,'G-7 Rivers Data'!$B$4:$B$8,0),MATCH(H160,'G-7 Rivers Data'!$H$3:$L$3,0)),"")</f>
        <v/>
      </c>
      <c r="J160" s="154"/>
      <c r="K160" s="520" t="str">
        <f>IF(J160="","",IF(VLOOKUP(J160,'G-7 Rivers Data'!$AK$4:$AM$9,2,FALSE)=0,"Spatial Data Missing ⚠",VLOOKUP(J160,'G-7 Rivers Data'!$AK$4:$AM$9,2,FALSE)))</f>
        <v/>
      </c>
      <c r="L160" s="524" t="str">
        <f>IF(J160="","",IF(VLOOKUP(J160,'G-7 Rivers Data'!$AK$4:$AM$9,3,FALSE)=0,"Spatial Data Missing ⚠",VLOOKUP(J160,'G-7 Rivers Data'!$AK$4:$AM$9,3,FALSE)))</f>
        <v/>
      </c>
      <c r="M160" s="71"/>
      <c r="N160" s="499" t="str">
        <f>IF(M160="","",IF(VLOOKUP(M160,'G-7 Rivers Data'!$AA$4:$AB$7,2,FALSE)=0,"Spatial Data Missing ⚠",VLOOKUP(M160,'G-7 Rivers Data'!$AA$4:$AB$7,2,FALSE)))</f>
        <v/>
      </c>
      <c r="O160" s="155"/>
      <c r="P160" s="499" t="str">
        <f>IF(O160="","",IF(VLOOKUP(O160,'G-7 Rivers Data'!$AD$4:$AE$8,2,FALSE)=0,"Spatial Data Missing ⚠",VLOOKUP(O160,'G-7 Rivers Data'!$AD$4:$AE$8,2,FALSE)))</f>
        <v/>
      </c>
      <c r="Q160" s="506" t="str">
        <f>IF(D160="","",VLOOKUP(D160,'G-7 Rivers Data'!$B$4:$G$8,6,FALSE))</f>
        <v/>
      </c>
      <c r="R160" s="513" t="str">
        <f t="shared" si="16"/>
        <v/>
      </c>
      <c r="S160" s="40"/>
      <c r="T160" s="145"/>
      <c r="U160" s="157"/>
      <c r="V160" s="511" t="str">
        <f t="shared" si="17"/>
        <v/>
      </c>
      <c r="W160" s="511" t="str">
        <f t="shared" si="18"/>
        <v/>
      </c>
      <c r="X160" s="511" t="str">
        <f t="shared" si="19"/>
        <v/>
      </c>
      <c r="Y160" s="515" t="str">
        <f t="shared" si="20"/>
        <v/>
      </c>
      <c r="Z160" s="151"/>
      <c r="AA160" s="152"/>
      <c r="AF160" s="31" t="str">
        <f>IFERROR(INDEX('G-7 Rivers Data'!$AZ$3:$AZ$7,MATCH(D160,'G-7 Rivers Data'!$AY$3:$AY$7,0)),"")</f>
        <v/>
      </c>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row>
    <row r="161" spans="3:40" ht="13.8" x14ac:dyDescent="0.25">
      <c r="C161" s="141">
        <v>152</v>
      </c>
      <c r="D161" s="462"/>
      <c r="E161" s="153"/>
      <c r="F161" s="498" t="str">
        <f>IF(D161="","",VLOOKUP(D161,'G-7 Rivers Data'!$B$2:$G$8,2,FALSE))</f>
        <v/>
      </c>
      <c r="G161" s="499" t="str">
        <f>IFERROR(VLOOKUP(F161,'G-7 Rivers Data'!$C$4:$D$8,2,FALSE),"")</f>
        <v/>
      </c>
      <c r="H161" s="145"/>
      <c r="I161" s="499" t="str">
        <f>IFERROR(INDEX('G-7 Rivers Data'!$H$4:$L$8,MATCH(D161,'G-7 Rivers Data'!$B$4:$B$8,0),MATCH(H161,'G-7 Rivers Data'!$H$3:$L$3,0)),"")</f>
        <v/>
      </c>
      <c r="J161" s="154"/>
      <c r="K161" s="520" t="str">
        <f>IF(J161="","",IF(VLOOKUP(J161,'G-7 Rivers Data'!$AK$4:$AM$9,2,FALSE)=0,"Spatial Data Missing ⚠",VLOOKUP(J161,'G-7 Rivers Data'!$AK$4:$AM$9,2,FALSE)))</f>
        <v/>
      </c>
      <c r="L161" s="524" t="str">
        <f>IF(J161="","",IF(VLOOKUP(J161,'G-7 Rivers Data'!$AK$4:$AM$9,3,FALSE)=0,"Spatial Data Missing ⚠",VLOOKUP(J161,'G-7 Rivers Data'!$AK$4:$AM$9,3,FALSE)))</f>
        <v/>
      </c>
      <c r="M161" s="71"/>
      <c r="N161" s="499" t="str">
        <f>IF(M161="","",IF(VLOOKUP(M161,'G-7 Rivers Data'!$AA$4:$AB$7,2,FALSE)=0,"Spatial Data Missing ⚠",VLOOKUP(M161,'G-7 Rivers Data'!$AA$4:$AB$7,2,FALSE)))</f>
        <v/>
      </c>
      <c r="O161" s="155"/>
      <c r="P161" s="499" t="str">
        <f>IF(O161="","",IF(VLOOKUP(O161,'G-7 Rivers Data'!$AD$4:$AE$8,2,FALSE)=0,"Spatial Data Missing ⚠",VLOOKUP(O161,'G-7 Rivers Data'!$AD$4:$AE$8,2,FALSE)))</f>
        <v/>
      </c>
      <c r="Q161" s="506" t="str">
        <f>IF(D161="","",VLOOKUP(D161,'G-7 Rivers Data'!$B$4:$G$8,6,FALSE))</f>
        <v/>
      </c>
      <c r="R161" s="513" t="str">
        <f t="shared" si="16"/>
        <v/>
      </c>
      <c r="S161" s="40"/>
      <c r="T161" s="145"/>
      <c r="U161" s="157"/>
      <c r="V161" s="511" t="str">
        <f t="shared" si="17"/>
        <v/>
      </c>
      <c r="W161" s="511" t="str">
        <f t="shared" si="18"/>
        <v/>
      </c>
      <c r="X161" s="511" t="str">
        <f t="shared" si="19"/>
        <v/>
      </c>
      <c r="Y161" s="515" t="str">
        <f t="shared" si="20"/>
        <v/>
      </c>
      <c r="Z161" s="151"/>
      <c r="AA161" s="152"/>
      <c r="AF161" s="31" t="str">
        <f>IFERROR(INDEX('G-7 Rivers Data'!$AZ$3:$AZ$7,MATCH(D161,'G-7 Rivers Data'!$AY$3:$AY$7,0)),"")</f>
        <v/>
      </c>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row>
    <row r="162" spans="3:40" ht="13.8" x14ac:dyDescent="0.25">
      <c r="C162" s="141">
        <v>153</v>
      </c>
      <c r="D162" s="462"/>
      <c r="E162" s="153"/>
      <c r="F162" s="498" t="str">
        <f>IF(D162="","",VLOOKUP(D162,'G-7 Rivers Data'!$B$2:$G$8,2,FALSE))</f>
        <v/>
      </c>
      <c r="G162" s="499" t="str">
        <f>IFERROR(VLOOKUP(F162,'G-7 Rivers Data'!$C$4:$D$8,2,FALSE),"")</f>
        <v/>
      </c>
      <c r="H162" s="145"/>
      <c r="I162" s="499" t="str">
        <f>IFERROR(INDEX('G-7 Rivers Data'!$H$4:$L$8,MATCH(D162,'G-7 Rivers Data'!$B$4:$B$8,0),MATCH(H162,'G-7 Rivers Data'!$H$3:$L$3,0)),"")</f>
        <v/>
      </c>
      <c r="J162" s="154"/>
      <c r="K162" s="520" t="str">
        <f>IF(J162="","",IF(VLOOKUP(J162,'G-7 Rivers Data'!$AK$4:$AM$9,2,FALSE)=0,"Spatial Data Missing ⚠",VLOOKUP(J162,'G-7 Rivers Data'!$AK$4:$AM$9,2,FALSE)))</f>
        <v/>
      </c>
      <c r="L162" s="524" t="str">
        <f>IF(J162="","",IF(VLOOKUP(J162,'G-7 Rivers Data'!$AK$4:$AM$9,3,FALSE)=0,"Spatial Data Missing ⚠",VLOOKUP(J162,'G-7 Rivers Data'!$AK$4:$AM$9,3,FALSE)))</f>
        <v/>
      </c>
      <c r="M162" s="71"/>
      <c r="N162" s="499" t="str">
        <f>IF(M162="","",IF(VLOOKUP(M162,'G-7 Rivers Data'!$AA$4:$AB$7,2,FALSE)=0,"Spatial Data Missing ⚠",VLOOKUP(M162,'G-7 Rivers Data'!$AA$4:$AB$7,2,FALSE)))</f>
        <v/>
      </c>
      <c r="O162" s="155"/>
      <c r="P162" s="499" t="str">
        <f>IF(O162="","",IF(VLOOKUP(O162,'G-7 Rivers Data'!$AD$4:$AE$8,2,FALSE)=0,"Spatial Data Missing ⚠",VLOOKUP(O162,'G-7 Rivers Data'!$AD$4:$AE$8,2,FALSE)))</f>
        <v/>
      </c>
      <c r="Q162" s="506" t="str">
        <f>IF(D162="","",VLOOKUP(D162,'G-7 Rivers Data'!$B$4:$G$8,6,FALSE))</f>
        <v/>
      </c>
      <c r="R162" s="513" t="str">
        <f t="shared" si="16"/>
        <v/>
      </c>
      <c r="S162" s="40"/>
      <c r="T162" s="145"/>
      <c r="U162" s="157"/>
      <c r="V162" s="511" t="str">
        <f t="shared" si="17"/>
        <v/>
      </c>
      <c r="W162" s="511" t="str">
        <f t="shared" si="18"/>
        <v/>
      </c>
      <c r="X162" s="511" t="str">
        <f t="shared" si="19"/>
        <v/>
      </c>
      <c r="Y162" s="515" t="str">
        <f t="shared" si="20"/>
        <v/>
      </c>
      <c r="Z162" s="151"/>
      <c r="AA162" s="152"/>
      <c r="AF162" s="31" t="str">
        <f>IFERROR(INDEX('G-7 Rivers Data'!$AZ$3:$AZ$7,MATCH(D162,'G-7 Rivers Data'!$AY$3:$AY$7,0)),"")</f>
        <v/>
      </c>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row>
    <row r="163" spans="3:40" ht="13.8" x14ac:dyDescent="0.25">
      <c r="C163" s="141">
        <v>154</v>
      </c>
      <c r="D163" s="462"/>
      <c r="E163" s="153"/>
      <c r="F163" s="498" t="str">
        <f>IF(D163="","",VLOOKUP(D163,'G-7 Rivers Data'!$B$2:$G$8,2,FALSE))</f>
        <v/>
      </c>
      <c r="G163" s="499" t="str">
        <f>IFERROR(VLOOKUP(F163,'G-7 Rivers Data'!$C$4:$D$8,2,FALSE),"")</f>
        <v/>
      </c>
      <c r="H163" s="145"/>
      <c r="I163" s="499" t="str">
        <f>IFERROR(INDEX('G-7 Rivers Data'!$H$4:$L$8,MATCH(D163,'G-7 Rivers Data'!$B$4:$B$8,0),MATCH(H163,'G-7 Rivers Data'!$H$3:$L$3,0)),"")</f>
        <v/>
      </c>
      <c r="J163" s="154"/>
      <c r="K163" s="520" t="str">
        <f>IF(J163="","",IF(VLOOKUP(J163,'G-7 Rivers Data'!$AK$4:$AM$9,2,FALSE)=0,"Spatial Data Missing ⚠",VLOOKUP(J163,'G-7 Rivers Data'!$AK$4:$AM$9,2,FALSE)))</f>
        <v/>
      </c>
      <c r="L163" s="524" t="str">
        <f>IF(J163="","",IF(VLOOKUP(J163,'G-7 Rivers Data'!$AK$4:$AM$9,3,FALSE)=0,"Spatial Data Missing ⚠",VLOOKUP(J163,'G-7 Rivers Data'!$AK$4:$AM$9,3,FALSE)))</f>
        <v/>
      </c>
      <c r="M163" s="71"/>
      <c r="N163" s="499" t="str">
        <f>IF(M163="","",IF(VLOOKUP(M163,'G-7 Rivers Data'!$AA$4:$AB$7,2,FALSE)=0,"Spatial Data Missing ⚠",VLOOKUP(M163,'G-7 Rivers Data'!$AA$4:$AB$7,2,FALSE)))</f>
        <v/>
      </c>
      <c r="O163" s="155"/>
      <c r="P163" s="499" t="str">
        <f>IF(O163="","",IF(VLOOKUP(O163,'G-7 Rivers Data'!$AD$4:$AE$8,2,FALSE)=0,"Spatial Data Missing ⚠",VLOOKUP(O163,'G-7 Rivers Data'!$AD$4:$AE$8,2,FALSE)))</f>
        <v/>
      </c>
      <c r="Q163" s="506" t="str">
        <f>IF(D163="","",VLOOKUP(D163,'G-7 Rivers Data'!$B$4:$G$8,6,FALSE))</f>
        <v/>
      </c>
      <c r="R163" s="513" t="str">
        <f t="shared" si="16"/>
        <v/>
      </c>
      <c r="S163" s="40"/>
      <c r="T163" s="145"/>
      <c r="U163" s="157"/>
      <c r="V163" s="511" t="str">
        <f t="shared" si="17"/>
        <v/>
      </c>
      <c r="W163" s="511" t="str">
        <f t="shared" si="18"/>
        <v/>
      </c>
      <c r="X163" s="511" t="str">
        <f t="shared" si="19"/>
        <v/>
      </c>
      <c r="Y163" s="515" t="str">
        <f t="shared" si="20"/>
        <v/>
      </c>
      <c r="Z163" s="151"/>
      <c r="AA163" s="152"/>
      <c r="AF163" s="31" t="str">
        <f>IFERROR(INDEX('G-7 Rivers Data'!$AZ$3:$AZ$7,MATCH(D163,'G-7 Rivers Data'!$AY$3:$AY$7,0)),"")</f>
        <v/>
      </c>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row>
    <row r="164" spans="3:40" ht="13.8" x14ac:dyDescent="0.25">
      <c r="C164" s="141">
        <v>155</v>
      </c>
      <c r="D164" s="462"/>
      <c r="E164" s="153"/>
      <c r="F164" s="498" t="str">
        <f>IF(D164="","",VLOOKUP(D164,'G-7 Rivers Data'!$B$2:$G$8,2,FALSE))</f>
        <v/>
      </c>
      <c r="G164" s="499" t="str">
        <f>IFERROR(VLOOKUP(F164,'G-7 Rivers Data'!$C$4:$D$8,2,FALSE),"")</f>
        <v/>
      </c>
      <c r="H164" s="145"/>
      <c r="I164" s="499" t="str">
        <f>IFERROR(INDEX('G-7 Rivers Data'!$H$4:$L$8,MATCH(D164,'G-7 Rivers Data'!$B$4:$B$8,0),MATCH(H164,'G-7 Rivers Data'!$H$3:$L$3,0)),"")</f>
        <v/>
      </c>
      <c r="J164" s="154"/>
      <c r="K164" s="520" t="str">
        <f>IF(J164="","",IF(VLOOKUP(J164,'G-7 Rivers Data'!$AK$4:$AM$9,2,FALSE)=0,"Spatial Data Missing ⚠",VLOOKUP(J164,'G-7 Rivers Data'!$AK$4:$AM$9,2,FALSE)))</f>
        <v/>
      </c>
      <c r="L164" s="524" t="str">
        <f>IF(J164="","",IF(VLOOKUP(J164,'G-7 Rivers Data'!$AK$4:$AM$9,3,FALSE)=0,"Spatial Data Missing ⚠",VLOOKUP(J164,'G-7 Rivers Data'!$AK$4:$AM$9,3,FALSE)))</f>
        <v/>
      </c>
      <c r="M164" s="71"/>
      <c r="N164" s="499" t="str">
        <f>IF(M164="","",IF(VLOOKUP(M164,'G-7 Rivers Data'!$AA$4:$AB$7,2,FALSE)=0,"Spatial Data Missing ⚠",VLOOKUP(M164,'G-7 Rivers Data'!$AA$4:$AB$7,2,FALSE)))</f>
        <v/>
      </c>
      <c r="O164" s="155"/>
      <c r="P164" s="499" t="str">
        <f>IF(O164="","",IF(VLOOKUP(O164,'G-7 Rivers Data'!$AD$4:$AE$8,2,FALSE)=0,"Spatial Data Missing ⚠",VLOOKUP(O164,'G-7 Rivers Data'!$AD$4:$AE$8,2,FALSE)))</f>
        <v/>
      </c>
      <c r="Q164" s="506" t="str">
        <f>IF(D164="","",VLOOKUP(D164,'G-7 Rivers Data'!$B$4:$G$8,6,FALSE))</f>
        <v/>
      </c>
      <c r="R164" s="513" t="str">
        <f t="shared" si="16"/>
        <v/>
      </c>
      <c r="S164" s="40"/>
      <c r="T164" s="145"/>
      <c r="U164" s="157"/>
      <c r="V164" s="511" t="str">
        <f t="shared" si="17"/>
        <v/>
      </c>
      <c r="W164" s="511" t="str">
        <f t="shared" si="18"/>
        <v/>
      </c>
      <c r="X164" s="511" t="str">
        <f t="shared" si="19"/>
        <v/>
      </c>
      <c r="Y164" s="515" t="str">
        <f t="shared" si="20"/>
        <v/>
      </c>
      <c r="Z164" s="151"/>
      <c r="AA164" s="152"/>
      <c r="AF164" s="31" t="str">
        <f>IFERROR(INDEX('G-7 Rivers Data'!$AZ$3:$AZ$7,MATCH(D164,'G-7 Rivers Data'!$AY$3:$AY$7,0)),"")</f>
        <v/>
      </c>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row>
    <row r="165" spans="3:40" ht="13.8" x14ac:dyDescent="0.25">
      <c r="C165" s="141">
        <v>156</v>
      </c>
      <c r="D165" s="462"/>
      <c r="E165" s="153"/>
      <c r="F165" s="498" t="str">
        <f>IF(D165="","",VLOOKUP(D165,'G-7 Rivers Data'!$B$2:$G$8,2,FALSE))</f>
        <v/>
      </c>
      <c r="G165" s="499" t="str">
        <f>IFERROR(VLOOKUP(F165,'G-7 Rivers Data'!$C$4:$D$8,2,FALSE),"")</f>
        <v/>
      </c>
      <c r="H165" s="145"/>
      <c r="I165" s="499" t="str">
        <f>IFERROR(INDEX('G-7 Rivers Data'!$H$4:$L$8,MATCH(D165,'G-7 Rivers Data'!$B$4:$B$8,0),MATCH(H165,'G-7 Rivers Data'!$H$3:$L$3,0)),"")</f>
        <v/>
      </c>
      <c r="J165" s="154"/>
      <c r="K165" s="520" t="str">
        <f>IF(J165="","",IF(VLOOKUP(J165,'G-7 Rivers Data'!$AK$4:$AM$9,2,FALSE)=0,"Spatial Data Missing ⚠",VLOOKUP(J165,'G-7 Rivers Data'!$AK$4:$AM$9,2,FALSE)))</f>
        <v/>
      </c>
      <c r="L165" s="524" t="str">
        <f>IF(J165="","",IF(VLOOKUP(J165,'G-7 Rivers Data'!$AK$4:$AM$9,3,FALSE)=0,"Spatial Data Missing ⚠",VLOOKUP(J165,'G-7 Rivers Data'!$AK$4:$AM$9,3,FALSE)))</f>
        <v/>
      </c>
      <c r="M165" s="71"/>
      <c r="N165" s="499" t="str">
        <f>IF(M165="","",IF(VLOOKUP(M165,'G-7 Rivers Data'!$AA$4:$AB$7,2,FALSE)=0,"Spatial Data Missing ⚠",VLOOKUP(M165,'G-7 Rivers Data'!$AA$4:$AB$7,2,FALSE)))</f>
        <v/>
      </c>
      <c r="O165" s="155"/>
      <c r="P165" s="499" t="str">
        <f>IF(O165="","",IF(VLOOKUP(O165,'G-7 Rivers Data'!$AD$4:$AE$8,2,FALSE)=0,"Spatial Data Missing ⚠",VLOOKUP(O165,'G-7 Rivers Data'!$AD$4:$AE$8,2,FALSE)))</f>
        <v/>
      </c>
      <c r="Q165" s="506" t="str">
        <f>IF(D165="","",VLOOKUP(D165,'G-7 Rivers Data'!$B$4:$G$8,6,FALSE))</f>
        <v/>
      </c>
      <c r="R165" s="513" t="str">
        <f t="shared" si="16"/>
        <v/>
      </c>
      <c r="S165" s="40"/>
      <c r="T165" s="145"/>
      <c r="U165" s="157"/>
      <c r="V165" s="511" t="str">
        <f t="shared" si="17"/>
        <v/>
      </c>
      <c r="W165" s="511" t="str">
        <f t="shared" si="18"/>
        <v/>
      </c>
      <c r="X165" s="511" t="str">
        <f t="shared" si="19"/>
        <v/>
      </c>
      <c r="Y165" s="515" t="str">
        <f t="shared" si="20"/>
        <v/>
      </c>
      <c r="Z165" s="151"/>
      <c r="AA165" s="152"/>
      <c r="AF165" s="31" t="str">
        <f>IFERROR(INDEX('G-7 Rivers Data'!$AZ$3:$AZ$7,MATCH(D165,'G-7 Rivers Data'!$AY$3:$AY$7,0)),"")</f>
        <v/>
      </c>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row>
    <row r="166" spans="3:40" ht="13.8" x14ac:dyDescent="0.25">
      <c r="C166" s="141">
        <v>157</v>
      </c>
      <c r="D166" s="462"/>
      <c r="E166" s="153"/>
      <c r="F166" s="498" t="str">
        <f>IF(D166="","",VLOOKUP(D166,'G-7 Rivers Data'!$B$2:$G$8,2,FALSE))</f>
        <v/>
      </c>
      <c r="G166" s="499" t="str">
        <f>IFERROR(VLOOKUP(F166,'G-7 Rivers Data'!$C$4:$D$8,2,FALSE),"")</f>
        <v/>
      </c>
      <c r="H166" s="145"/>
      <c r="I166" s="499" t="str">
        <f>IFERROR(INDEX('G-7 Rivers Data'!$H$4:$L$8,MATCH(D166,'G-7 Rivers Data'!$B$4:$B$8,0),MATCH(H166,'G-7 Rivers Data'!$H$3:$L$3,0)),"")</f>
        <v/>
      </c>
      <c r="J166" s="154"/>
      <c r="K166" s="520" t="str">
        <f>IF(J166="","",IF(VLOOKUP(J166,'G-7 Rivers Data'!$AK$4:$AM$9,2,FALSE)=0,"Spatial Data Missing ⚠",VLOOKUP(J166,'G-7 Rivers Data'!$AK$4:$AM$9,2,FALSE)))</f>
        <v/>
      </c>
      <c r="L166" s="524" t="str">
        <f>IF(J166="","",IF(VLOOKUP(J166,'G-7 Rivers Data'!$AK$4:$AM$9,3,FALSE)=0,"Spatial Data Missing ⚠",VLOOKUP(J166,'G-7 Rivers Data'!$AK$4:$AM$9,3,FALSE)))</f>
        <v/>
      </c>
      <c r="M166" s="71"/>
      <c r="N166" s="499" t="str">
        <f>IF(M166="","",IF(VLOOKUP(M166,'G-7 Rivers Data'!$AA$4:$AB$7,2,FALSE)=0,"Spatial Data Missing ⚠",VLOOKUP(M166,'G-7 Rivers Data'!$AA$4:$AB$7,2,FALSE)))</f>
        <v/>
      </c>
      <c r="O166" s="155"/>
      <c r="P166" s="499" t="str">
        <f>IF(O166="","",IF(VLOOKUP(O166,'G-7 Rivers Data'!$AD$4:$AE$8,2,FALSE)=0,"Spatial Data Missing ⚠",VLOOKUP(O166,'G-7 Rivers Data'!$AD$4:$AE$8,2,FALSE)))</f>
        <v/>
      </c>
      <c r="Q166" s="506" t="str">
        <f>IF(D166="","",VLOOKUP(D166,'G-7 Rivers Data'!$B$4:$G$8,6,FALSE))</f>
        <v/>
      </c>
      <c r="R166" s="513" t="str">
        <f t="shared" si="16"/>
        <v/>
      </c>
      <c r="S166" s="40"/>
      <c r="T166" s="145"/>
      <c r="U166" s="157"/>
      <c r="V166" s="511" t="str">
        <f t="shared" si="17"/>
        <v/>
      </c>
      <c r="W166" s="511" t="str">
        <f t="shared" si="18"/>
        <v/>
      </c>
      <c r="X166" s="511" t="str">
        <f t="shared" si="19"/>
        <v/>
      </c>
      <c r="Y166" s="515" t="str">
        <f t="shared" si="20"/>
        <v/>
      </c>
      <c r="Z166" s="151"/>
      <c r="AA166" s="152"/>
      <c r="AF166" s="31" t="str">
        <f>IFERROR(INDEX('G-7 Rivers Data'!$AZ$3:$AZ$7,MATCH(D166,'G-7 Rivers Data'!$AY$3:$AY$7,0)),"")</f>
        <v/>
      </c>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row>
    <row r="167" spans="3:40" ht="13.8" x14ac:dyDescent="0.25">
      <c r="C167" s="141">
        <v>158</v>
      </c>
      <c r="D167" s="462"/>
      <c r="E167" s="153"/>
      <c r="F167" s="498" t="str">
        <f>IF(D167="","",VLOOKUP(D167,'G-7 Rivers Data'!$B$2:$G$8,2,FALSE))</f>
        <v/>
      </c>
      <c r="G167" s="499" t="str">
        <f>IFERROR(VLOOKUP(F167,'G-7 Rivers Data'!$C$4:$D$8,2,FALSE),"")</f>
        <v/>
      </c>
      <c r="H167" s="145"/>
      <c r="I167" s="499" t="str">
        <f>IFERROR(INDEX('G-7 Rivers Data'!$H$4:$L$8,MATCH(D167,'G-7 Rivers Data'!$B$4:$B$8,0),MATCH(H167,'G-7 Rivers Data'!$H$3:$L$3,0)),"")</f>
        <v/>
      </c>
      <c r="J167" s="154"/>
      <c r="K167" s="520" t="str">
        <f>IF(J167="","",IF(VLOOKUP(J167,'G-7 Rivers Data'!$AK$4:$AM$9,2,FALSE)=0,"Spatial Data Missing ⚠",VLOOKUP(J167,'G-7 Rivers Data'!$AK$4:$AM$9,2,FALSE)))</f>
        <v/>
      </c>
      <c r="L167" s="524" t="str">
        <f>IF(J167="","",IF(VLOOKUP(J167,'G-7 Rivers Data'!$AK$4:$AM$9,3,FALSE)=0,"Spatial Data Missing ⚠",VLOOKUP(J167,'G-7 Rivers Data'!$AK$4:$AM$9,3,FALSE)))</f>
        <v/>
      </c>
      <c r="M167" s="71"/>
      <c r="N167" s="499" t="str">
        <f>IF(M167="","",IF(VLOOKUP(M167,'G-7 Rivers Data'!$AA$4:$AB$7,2,FALSE)=0,"Spatial Data Missing ⚠",VLOOKUP(M167,'G-7 Rivers Data'!$AA$4:$AB$7,2,FALSE)))</f>
        <v/>
      </c>
      <c r="O167" s="155"/>
      <c r="P167" s="499" t="str">
        <f>IF(O167="","",IF(VLOOKUP(O167,'G-7 Rivers Data'!$AD$4:$AE$8,2,FALSE)=0,"Spatial Data Missing ⚠",VLOOKUP(O167,'G-7 Rivers Data'!$AD$4:$AE$8,2,FALSE)))</f>
        <v/>
      </c>
      <c r="Q167" s="506" t="str">
        <f>IF(D167="","",VLOOKUP(D167,'G-7 Rivers Data'!$B$4:$G$8,6,FALSE))</f>
        <v/>
      </c>
      <c r="R167" s="513" t="str">
        <f t="shared" si="16"/>
        <v/>
      </c>
      <c r="S167" s="40"/>
      <c r="T167" s="145"/>
      <c r="U167" s="157"/>
      <c r="V167" s="511" t="str">
        <f t="shared" si="17"/>
        <v/>
      </c>
      <c r="W167" s="511" t="str">
        <f t="shared" si="18"/>
        <v/>
      </c>
      <c r="X167" s="511" t="str">
        <f t="shared" si="19"/>
        <v/>
      </c>
      <c r="Y167" s="515" t="str">
        <f t="shared" si="20"/>
        <v/>
      </c>
      <c r="Z167" s="151"/>
      <c r="AA167" s="152"/>
      <c r="AF167" s="31" t="str">
        <f>IFERROR(INDEX('G-7 Rivers Data'!$AZ$3:$AZ$7,MATCH(D167,'G-7 Rivers Data'!$AY$3:$AY$7,0)),"")</f>
        <v/>
      </c>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row>
    <row r="168" spans="3:40" ht="13.8" x14ac:dyDescent="0.25">
      <c r="C168" s="141">
        <v>159</v>
      </c>
      <c r="D168" s="462"/>
      <c r="E168" s="153"/>
      <c r="F168" s="498" t="str">
        <f>IF(D168="","",VLOOKUP(D168,'G-7 Rivers Data'!$B$2:$G$8,2,FALSE))</f>
        <v/>
      </c>
      <c r="G168" s="499" t="str">
        <f>IFERROR(VLOOKUP(F168,'G-7 Rivers Data'!$C$4:$D$8,2,FALSE),"")</f>
        <v/>
      </c>
      <c r="H168" s="145"/>
      <c r="I168" s="499" t="str">
        <f>IFERROR(INDEX('G-7 Rivers Data'!$H$4:$L$8,MATCH(D168,'G-7 Rivers Data'!$B$4:$B$8,0),MATCH(H168,'G-7 Rivers Data'!$H$3:$L$3,0)),"")</f>
        <v/>
      </c>
      <c r="J168" s="154"/>
      <c r="K168" s="520" t="str">
        <f>IF(J168="","",IF(VLOOKUP(J168,'G-7 Rivers Data'!$AK$4:$AM$9,2,FALSE)=0,"Spatial Data Missing ⚠",VLOOKUP(J168,'G-7 Rivers Data'!$AK$4:$AM$9,2,FALSE)))</f>
        <v/>
      </c>
      <c r="L168" s="524" t="str">
        <f>IF(J168="","",IF(VLOOKUP(J168,'G-7 Rivers Data'!$AK$4:$AM$9,3,FALSE)=0,"Spatial Data Missing ⚠",VLOOKUP(J168,'G-7 Rivers Data'!$AK$4:$AM$9,3,FALSE)))</f>
        <v/>
      </c>
      <c r="M168" s="71"/>
      <c r="N168" s="499" t="str">
        <f>IF(M168="","",IF(VLOOKUP(M168,'G-7 Rivers Data'!$AA$4:$AB$7,2,FALSE)=0,"Spatial Data Missing ⚠",VLOOKUP(M168,'G-7 Rivers Data'!$AA$4:$AB$7,2,FALSE)))</f>
        <v/>
      </c>
      <c r="O168" s="155"/>
      <c r="P168" s="499" t="str">
        <f>IF(O168="","",IF(VLOOKUP(O168,'G-7 Rivers Data'!$AD$4:$AE$8,2,FALSE)=0,"Spatial Data Missing ⚠",VLOOKUP(O168,'G-7 Rivers Data'!$AD$4:$AE$8,2,FALSE)))</f>
        <v/>
      </c>
      <c r="Q168" s="506" t="str">
        <f>IF(D168="","",VLOOKUP(D168,'G-7 Rivers Data'!$B$4:$G$8,6,FALSE))</f>
        <v/>
      </c>
      <c r="R168" s="513" t="str">
        <f t="shared" si="16"/>
        <v/>
      </c>
      <c r="S168" s="40"/>
      <c r="T168" s="145"/>
      <c r="U168" s="157"/>
      <c r="V168" s="511" t="str">
        <f t="shared" si="17"/>
        <v/>
      </c>
      <c r="W168" s="511" t="str">
        <f t="shared" si="18"/>
        <v/>
      </c>
      <c r="X168" s="511" t="str">
        <f t="shared" si="19"/>
        <v/>
      </c>
      <c r="Y168" s="515" t="str">
        <f t="shared" si="20"/>
        <v/>
      </c>
      <c r="Z168" s="151"/>
      <c r="AA168" s="152"/>
      <c r="AF168" s="31" t="str">
        <f>IFERROR(INDEX('G-7 Rivers Data'!$AZ$3:$AZ$7,MATCH(D168,'G-7 Rivers Data'!$AY$3:$AY$7,0)),"")</f>
        <v/>
      </c>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row>
    <row r="169" spans="3:40" ht="13.8" x14ac:dyDescent="0.25">
      <c r="C169" s="141">
        <v>160</v>
      </c>
      <c r="D169" s="462"/>
      <c r="E169" s="153"/>
      <c r="F169" s="498" t="str">
        <f>IF(D169="","",VLOOKUP(D169,'G-7 Rivers Data'!$B$2:$G$8,2,FALSE))</f>
        <v/>
      </c>
      <c r="G169" s="499" t="str">
        <f>IFERROR(VLOOKUP(F169,'G-7 Rivers Data'!$C$4:$D$8,2,FALSE),"")</f>
        <v/>
      </c>
      <c r="H169" s="145"/>
      <c r="I169" s="499" t="str">
        <f>IFERROR(INDEX('G-7 Rivers Data'!$H$4:$L$8,MATCH(D169,'G-7 Rivers Data'!$B$4:$B$8,0),MATCH(H169,'G-7 Rivers Data'!$H$3:$L$3,0)),"")</f>
        <v/>
      </c>
      <c r="J169" s="154"/>
      <c r="K169" s="520" t="str">
        <f>IF(J169="","",IF(VLOOKUP(J169,'G-7 Rivers Data'!$AK$4:$AM$9,2,FALSE)=0,"Spatial Data Missing ⚠",VLOOKUP(J169,'G-7 Rivers Data'!$AK$4:$AM$9,2,FALSE)))</f>
        <v/>
      </c>
      <c r="L169" s="524" t="str">
        <f>IF(J169="","",IF(VLOOKUP(J169,'G-7 Rivers Data'!$AK$4:$AM$9,3,FALSE)=0,"Spatial Data Missing ⚠",VLOOKUP(J169,'G-7 Rivers Data'!$AK$4:$AM$9,3,FALSE)))</f>
        <v/>
      </c>
      <c r="M169" s="71"/>
      <c r="N169" s="499" t="str">
        <f>IF(M169="","",IF(VLOOKUP(M169,'G-7 Rivers Data'!$AA$4:$AB$7,2,FALSE)=0,"Spatial Data Missing ⚠",VLOOKUP(M169,'G-7 Rivers Data'!$AA$4:$AB$7,2,FALSE)))</f>
        <v/>
      </c>
      <c r="O169" s="155"/>
      <c r="P169" s="499" t="str">
        <f>IF(O169="","",IF(VLOOKUP(O169,'G-7 Rivers Data'!$AD$4:$AE$8,2,FALSE)=0,"Spatial Data Missing ⚠",VLOOKUP(O169,'G-7 Rivers Data'!$AD$4:$AE$8,2,FALSE)))</f>
        <v/>
      </c>
      <c r="Q169" s="506" t="str">
        <f>IF(D169="","",VLOOKUP(D169,'G-7 Rivers Data'!$B$4:$G$8,6,FALSE))</f>
        <v/>
      </c>
      <c r="R169" s="513" t="str">
        <f t="shared" si="16"/>
        <v/>
      </c>
      <c r="S169" s="40"/>
      <c r="T169" s="145"/>
      <c r="U169" s="157"/>
      <c r="V169" s="511" t="str">
        <f t="shared" si="17"/>
        <v/>
      </c>
      <c r="W169" s="511" t="str">
        <f t="shared" si="18"/>
        <v/>
      </c>
      <c r="X169" s="511" t="str">
        <f t="shared" si="19"/>
        <v/>
      </c>
      <c r="Y169" s="515" t="str">
        <f t="shared" si="20"/>
        <v/>
      </c>
      <c r="Z169" s="151"/>
      <c r="AA169" s="152"/>
      <c r="AF169" s="31" t="str">
        <f>IFERROR(INDEX('G-7 Rivers Data'!$AZ$3:$AZ$7,MATCH(D169,'G-7 Rivers Data'!$AY$3:$AY$7,0)),"")</f>
        <v/>
      </c>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row>
    <row r="170" spans="3:40" ht="13.8" x14ac:dyDescent="0.25">
      <c r="C170" s="141">
        <v>161</v>
      </c>
      <c r="D170" s="462"/>
      <c r="E170" s="153"/>
      <c r="F170" s="498" t="str">
        <f>IF(D170="","",VLOOKUP(D170,'G-7 Rivers Data'!$B$2:$G$8,2,FALSE))</f>
        <v/>
      </c>
      <c r="G170" s="499" t="str">
        <f>IFERROR(VLOOKUP(F170,'G-7 Rivers Data'!$C$4:$D$8,2,FALSE),"")</f>
        <v/>
      </c>
      <c r="H170" s="145"/>
      <c r="I170" s="499" t="str">
        <f>IFERROR(INDEX('G-7 Rivers Data'!$H$4:$L$8,MATCH(D170,'G-7 Rivers Data'!$B$4:$B$8,0),MATCH(H170,'G-7 Rivers Data'!$H$3:$L$3,0)),"")</f>
        <v/>
      </c>
      <c r="J170" s="154"/>
      <c r="K170" s="520" t="str">
        <f>IF(J170="","",IF(VLOOKUP(J170,'G-7 Rivers Data'!$AK$4:$AM$9,2,FALSE)=0,"Spatial Data Missing ⚠",VLOOKUP(J170,'G-7 Rivers Data'!$AK$4:$AM$9,2,FALSE)))</f>
        <v/>
      </c>
      <c r="L170" s="524" t="str">
        <f>IF(J170="","",IF(VLOOKUP(J170,'G-7 Rivers Data'!$AK$4:$AM$9,3,FALSE)=0,"Spatial Data Missing ⚠",VLOOKUP(J170,'G-7 Rivers Data'!$AK$4:$AM$9,3,FALSE)))</f>
        <v/>
      </c>
      <c r="M170" s="71"/>
      <c r="N170" s="499" t="str">
        <f>IF(M170="","",IF(VLOOKUP(M170,'G-7 Rivers Data'!$AA$4:$AB$7,2,FALSE)=0,"Spatial Data Missing ⚠",VLOOKUP(M170,'G-7 Rivers Data'!$AA$4:$AB$7,2,FALSE)))</f>
        <v/>
      </c>
      <c r="O170" s="155"/>
      <c r="P170" s="499" t="str">
        <f>IF(O170="","",IF(VLOOKUP(O170,'G-7 Rivers Data'!$AD$4:$AE$8,2,FALSE)=0,"Spatial Data Missing ⚠",VLOOKUP(O170,'G-7 Rivers Data'!$AD$4:$AE$8,2,FALSE)))</f>
        <v/>
      </c>
      <c r="Q170" s="506" t="str">
        <f>IF(D170="","",VLOOKUP(D170,'G-7 Rivers Data'!$B$4:$G$8,6,FALSE))</f>
        <v/>
      </c>
      <c r="R170" s="513" t="str">
        <f t="shared" si="16"/>
        <v/>
      </c>
      <c r="S170" s="40"/>
      <c r="T170" s="145"/>
      <c r="U170" s="157"/>
      <c r="V170" s="511" t="str">
        <f t="shared" si="17"/>
        <v/>
      </c>
      <c r="W170" s="511" t="str">
        <f t="shared" si="18"/>
        <v/>
      </c>
      <c r="X170" s="511" t="str">
        <f t="shared" si="19"/>
        <v/>
      </c>
      <c r="Y170" s="515" t="str">
        <f t="shared" si="20"/>
        <v/>
      </c>
      <c r="Z170" s="151"/>
      <c r="AA170" s="152"/>
      <c r="AF170" s="31" t="str">
        <f>IFERROR(INDEX('G-7 Rivers Data'!$AZ$3:$AZ$7,MATCH(D170,'G-7 Rivers Data'!$AY$3:$AY$7,0)),"")</f>
        <v/>
      </c>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row>
    <row r="171" spans="3:40" ht="13.8" x14ac:dyDescent="0.25">
      <c r="C171" s="141">
        <v>162</v>
      </c>
      <c r="D171" s="462"/>
      <c r="E171" s="153"/>
      <c r="F171" s="498" t="str">
        <f>IF(D171="","",VLOOKUP(D171,'G-7 Rivers Data'!$B$2:$G$8,2,FALSE))</f>
        <v/>
      </c>
      <c r="G171" s="499" t="str">
        <f>IFERROR(VLOOKUP(F171,'G-7 Rivers Data'!$C$4:$D$8,2,FALSE),"")</f>
        <v/>
      </c>
      <c r="H171" s="145"/>
      <c r="I171" s="499" t="str">
        <f>IFERROR(INDEX('G-7 Rivers Data'!$H$4:$L$8,MATCH(D171,'G-7 Rivers Data'!$B$4:$B$8,0),MATCH(H171,'G-7 Rivers Data'!$H$3:$L$3,0)),"")</f>
        <v/>
      </c>
      <c r="J171" s="154"/>
      <c r="K171" s="520" t="str">
        <f>IF(J171="","",IF(VLOOKUP(J171,'G-7 Rivers Data'!$AK$4:$AM$9,2,FALSE)=0,"Spatial Data Missing ⚠",VLOOKUP(J171,'G-7 Rivers Data'!$AK$4:$AM$9,2,FALSE)))</f>
        <v/>
      </c>
      <c r="L171" s="524" t="str">
        <f>IF(J171="","",IF(VLOOKUP(J171,'G-7 Rivers Data'!$AK$4:$AM$9,3,FALSE)=0,"Spatial Data Missing ⚠",VLOOKUP(J171,'G-7 Rivers Data'!$AK$4:$AM$9,3,FALSE)))</f>
        <v/>
      </c>
      <c r="M171" s="71"/>
      <c r="N171" s="499" t="str">
        <f>IF(M171="","",IF(VLOOKUP(M171,'G-7 Rivers Data'!$AA$4:$AB$7,2,FALSE)=0,"Spatial Data Missing ⚠",VLOOKUP(M171,'G-7 Rivers Data'!$AA$4:$AB$7,2,FALSE)))</f>
        <v/>
      </c>
      <c r="O171" s="155"/>
      <c r="P171" s="499" t="str">
        <f>IF(O171="","",IF(VLOOKUP(O171,'G-7 Rivers Data'!$AD$4:$AE$8,2,FALSE)=0,"Spatial Data Missing ⚠",VLOOKUP(O171,'G-7 Rivers Data'!$AD$4:$AE$8,2,FALSE)))</f>
        <v/>
      </c>
      <c r="Q171" s="506" t="str">
        <f>IF(D171="","",VLOOKUP(D171,'G-7 Rivers Data'!$B$4:$G$8,6,FALSE))</f>
        <v/>
      </c>
      <c r="R171" s="513" t="str">
        <f t="shared" si="16"/>
        <v/>
      </c>
      <c r="S171" s="40"/>
      <c r="T171" s="145"/>
      <c r="U171" s="157"/>
      <c r="V171" s="511" t="str">
        <f t="shared" si="17"/>
        <v/>
      </c>
      <c r="W171" s="511" t="str">
        <f t="shared" si="18"/>
        <v/>
      </c>
      <c r="X171" s="511" t="str">
        <f t="shared" si="19"/>
        <v/>
      </c>
      <c r="Y171" s="515" t="str">
        <f t="shared" si="20"/>
        <v/>
      </c>
      <c r="Z171" s="151"/>
      <c r="AA171" s="152"/>
      <c r="AF171" s="31" t="str">
        <f>IFERROR(INDEX('G-7 Rivers Data'!$AZ$3:$AZ$7,MATCH(D171,'G-7 Rivers Data'!$AY$3:$AY$7,0)),"")</f>
        <v/>
      </c>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row>
    <row r="172" spans="3:40" ht="13.8" x14ac:dyDescent="0.25">
      <c r="C172" s="141">
        <v>163</v>
      </c>
      <c r="D172" s="462"/>
      <c r="E172" s="153"/>
      <c r="F172" s="498" t="str">
        <f>IF(D172="","",VLOOKUP(D172,'G-7 Rivers Data'!$B$2:$G$8,2,FALSE))</f>
        <v/>
      </c>
      <c r="G172" s="499" t="str">
        <f>IFERROR(VLOOKUP(F172,'G-7 Rivers Data'!$C$4:$D$8,2,FALSE),"")</f>
        <v/>
      </c>
      <c r="H172" s="145"/>
      <c r="I172" s="499" t="str">
        <f>IFERROR(INDEX('G-7 Rivers Data'!$H$4:$L$8,MATCH(D172,'G-7 Rivers Data'!$B$4:$B$8,0),MATCH(H172,'G-7 Rivers Data'!$H$3:$L$3,0)),"")</f>
        <v/>
      </c>
      <c r="J172" s="154"/>
      <c r="K172" s="520" t="str">
        <f>IF(J172="","",IF(VLOOKUP(J172,'G-7 Rivers Data'!$AK$4:$AM$9,2,FALSE)=0,"Spatial Data Missing ⚠",VLOOKUP(J172,'G-7 Rivers Data'!$AK$4:$AM$9,2,FALSE)))</f>
        <v/>
      </c>
      <c r="L172" s="524" t="str">
        <f>IF(J172="","",IF(VLOOKUP(J172,'G-7 Rivers Data'!$AK$4:$AM$9,3,FALSE)=0,"Spatial Data Missing ⚠",VLOOKUP(J172,'G-7 Rivers Data'!$AK$4:$AM$9,3,FALSE)))</f>
        <v/>
      </c>
      <c r="M172" s="71"/>
      <c r="N172" s="499" t="str">
        <f>IF(M172="","",IF(VLOOKUP(M172,'G-7 Rivers Data'!$AA$4:$AB$7,2,FALSE)=0,"Spatial Data Missing ⚠",VLOOKUP(M172,'G-7 Rivers Data'!$AA$4:$AB$7,2,FALSE)))</f>
        <v/>
      </c>
      <c r="O172" s="155"/>
      <c r="P172" s="499" t="str">
        <f>IF(O172="","",IF(VLOOKUP(O172,'G-7 Rivers Data'!$AD$4:$AE$8,2,FALSE)=0,"Spatial Data Missing ⚠",VLOOKUP(O172,'G-7 Rivers Data'!$AD$4:$AE$8,2,FALSE)))</f>
        <v/>
      </c>
      <c r="Q172" s="506" t="str">
        <f>IF(D172="","",VLOOKUP(D172,'G-7 Rivers Data'!$B$4:$G$8,6,FALSE))</f>
        <v/>
      </c>
      <c r="R172" s="513" t="str">
        <f t="shared" si="16"/>
        <v/>
      </c>
      <c r="S172" s="40"/>
      <c r="T172" s="145"/>
      <c r="U172" s="157"/>
      <c r="V172" s="511" t="str">
        <f t="shared" si="17"/>
        <v/>
      </c>
      <c r="W172" s="511" t="str">
        <f t="shared" si="18"/>
        <v/>
      </c>
      <c r="X172" s="511" t="str">
        <f t="shared" si="19"/>
        <v/>
      </c>
      <c r="Y172" s="515" t="str">
        <f t="shared" si="20"/>
        <v/>
      </c>
      <c r="Z172" s="151"/>
      <c r="AA172" s="152"/>
      <c r="AF172" s="31" t="str">
        <f>IFERROR(INDEX('G-7 Rivers Data'!$AZ$3:$AZ$7,MATCH(D172,'G-7 Rivers Data'!$AY$3:$AY$7,0)),"")</f>
        <v/>
      </c>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row>
    <row r="173" spans="3:40" ht="13.8" x14ac:dyDescent="0.25">
      <c r="C173" s="141">
        <v>164</v>
      </c>
      <c r="D173" s="462"/>
      <c r="E173" s="153"/>
      <c r="F173" s="498" t="str">
        <f>IF(D173="","",VLOOKUP(D173,'G-7 Rivers Data'!$B$2:$G$8,2,FALSE))</f>
        <v/>
      </c>
      <c r="G173" s="499" t="str">
        <f>IFERROR(VLOOKUP(F173,'G-7 Rivers Data'!$C$4:$D$8,2,FALSE),"")</f>
        <v/>
      </c>
      <c r="H173" s="145"/>
      <c r="I173" s="499" t="str">
        <f>IFERROR(INDEX('G-7 Rivers Data'!$H$4:$L$8,MATCH(D173,'G-7 Rivers Data'!$B$4:$B$8,0),MATCH(H173,'G-7 Rivers Data'!$H$3:$L$3,0)),"")</f>
        <v/>
      </c>
      <c r="J173" s="154"/>
      <c r="K173" s="520" t="str">
        <f>IF(J173="","",IF(VLOOKUP(J173,'G-7 Rivers Data'!$AK$4:$AM$9,2,FALSE)=0,"Spatial Data Missing ⚠",VLOOKUP(J173,'G-7 Rivers Data'!$AK$4:$AM$9,2,FALSE)))</f>
        <v/>
      </c>
      <c r="L173" s="524" t="str">
        <f>IF(J173="","",IF(VLOOKUP(J173,'G-7 Rivers Data'!$AK$4:$AM$9,3,FALSE)=0,"Spatial Data Missing ⚠",VLOOKUP(J173,'G-7 Rivers Data'!$AK$4:$AM$9,3,FALSE)))</f>
        <v/>
      </c>
      <c r="M173" s="71"/>
      <c r="N173" s="499" t="str">
        <f>IF(M173="","",IF(VLOOKUP(M173,'G-7 Rivers Data'!$AA$4:$AB$7,2,FALSE)=0,"Spatial Data Missing ⚠",VLOOKUP(M173,'G-7 Rivers Data'!$AA$4:$AB$7,2,FALSE)))</f>
        <v/>
      </c>
      <c r="O173" s="155"/>
      <c r="P173" s="499" t="str">
        <f>IF(O173="","",IF(VLOOKUP(O173,'G-7 Rivers Data'!$AD$4:$AE$8,2,FALSE)=0,"Spatial Data Missing ⚠",VLOOKUP(O173,'G-7 Rivers Data'!$AD$4:$AE$8,2,FALSE)))</f>
        <v/>
      </c>
      <c r="Q173" s="506" t="str">
        <f>IF(D173="","",VLOOKUP(D173,'G-7 Rivers Data'!$B$4:$G$8,6,FALSE))</f>
        <v/>
      </c>
      <c r="R173" s="513" t="str">
        <f t="shared" si="16"/>
        <v/>
      </c>
      <c r="S173" s="40"/>
      <c r="T173" s="145"/>
      <c r="U173" s="157"/>
      <c r="V173" s="511" t="str">
        <f t="shared" si="17"/>
        <v/>
      </c>
      <c r="W173" s="511" t="str">
        <f t="shared" si="18"/>
        <v/>
      </c>
      <c r="X173" s="511" t="str">
        <f t="shared" si="19"/>
        <v/>
      </c>
      <c r="Y173" s="515" t="str">
        <f t="shared" si="20"/>
        <v/>
      </c>
      <c r="Z173" s="151"/>
      <c r="AA173" s="152"/>
      <c r="AF173" s="31" t="str">
        <f>IFERROR(INDEX('G-7 Rivers Data'!$AZ$3:$AZ$7,MATCH(D173,'G-7 Rivers Data'!$AY$3:$AY$7,0)),"")</f>
        <v/>
      </c>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row>
    <row r="174" spans="3:40" ht="13.8" x14ac:dyDescent="0.25">
      <c r="C174" s="141">
        <v>165</v>
      </c>
      <c r="D174" s="462"/>
      <c r="E174" s="153"/>
      <c r="F174" s="498" t="str">
        <f>IF(D174="","",VLOOKUP(D174,'G-7 Rivers Data'!$B$2:$G$8,2,FALSE))</f>
        <v/>
      </c>
      <c r="G174" s="499" t="str">
        <f>IFERROR(VLOOKUP(F174,'G-7 Rivers Data'!$C$4:$D$8,2,FALSE),"")</f>
        <v/>
      </c>
      <c r="H174" s="145"/>
      <c r="I174" s="499" t="str">
        <f>IFERROR(INDEX('G-7 Rivers Data'!$H$4:$L$8,MATCH(D174,'G-7 Rivers Data'!$B$4:$B$8,0),MATCH(H174,'G-7 Rivers Data'!$H$3:$L$3,0)),"")</f>
        <v/>
      </c>
      <c r="J174" s="154"/>
      <c r="K174" s="520" t="str">
        <f>IF(J174="","",IF(VLOOKUP(J174,'G-7 Rivers Data'!$AK$4:$AM$9,2,FALSE)=0,"Spatial Data Missing ⚠",VLOOKUP(J174,'G-7 Rivers Data'!$AK$4:$AM$9,2,FALSE)))</f>
        <v/>
      </c>
      <c r="L174" s="524" t="str">
        <f>IF(J174="","",IF(VLOOKUP(J174,'G-7 Rivers Data'!$AK$4:$AM$9,3,FALSE)=0,"Spatial Data Missing ⚠",VLOOKUP(J174,'G-7 Rivers Data'!$AK$4:$AM$9,3,FALSE)))</f>
        <v/>
      </c>
      <c r="M174" s="71"/>
      <c r="N174" s="499" t="str">
        <f>IF(M174="","",IF(VLOOKUP(M174,'G-7 Rivers Data'!$AA$4:$AB$7,2,FALSE)=0,"Spatial Data Missing ⚠",VLOOKUP(M174,'G-7 Rivers Data'!$AA$4:$AB$7,2,FALSE)))</f>
        <v/>
      </c>
      <c r="O174" s="155"/>
      <c r="P174" s="499" t="str">
        <f>IF(O174="","",IF(VLOOKUP(O174,'G-7 Rivers Data'!$AD$4:$AE$8,2,FALSE)=0,"Spatial Data Missing ⚠",VLOOKUP(O174,'G-7 Rivers Data'!$AD$4:$AE$8,2,FALSE)))</f>
        <v/>
      </c>
      <c r="Q174" s="506" t="str">
        <f>IF(D174="","",VLOOKUP(D174,'G-7 Rivers Data'!$B$4:$G$8,6,FALSE))</f>
        <v/>
      </c>
      <c r="R174" s="513" t="str">
        <f t="shared" si="16"/>
        <v/>
      </c>
      <c r="S174" s="40"/>
      <c r="T174" s="145"/>
      <c r="U174" s="157"/>
      <c r="V174" s="511" t="str">
        <f t="shared" si="17"/>
        <v/>
      </c>
      <c r="W174" s="511" t="str">
        <f t="shared" si="18"/>
        <v/>
      </c>
      <c r="X174" s="511" t="str">
        <f t="shared" si="19"/>
        <v/>
      </c>
      <c r="Y174" s="515" t="str">
        <f t="shared" si="20"/>
        <v/>
      </c>
      <c r="Z174" s="151"/>
      <c r="AA174" s="152"/>
      <c r="AF174" s="31" t="str">
        <f>IFERROR(INDEX('G-7 Rivers Data'!$AZ$3:$AZ$7,MATCH(D174,'G-7 Rivers Data'!$AY$3:$AY$7,0)),"")</f>
        <v/>
      </c>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row>
    <row r="175" spans="3:40" ht="13.8" x14ac:dyDescent="0.25">
      <c r="C175" s="141">
        <v>166</v>
      </c>
      <c r="D175" s="462"/>
      <c r="E175" s="153"/>
      <c r="F175" s="498" t="str">
        <f>IF(D175="","",VLOOKUP(D175,'G-7 Rivers Data'!$B$2:$G$8,2,FALSE))</f>
        <v/>
      </c>
      <c r="G175" s="499" t="str">
        <f>IFERROR(VLOOKUP(F175,'G-7 Rivers Data'!$C$4:$D$8,2,FALSE),"")</f>
        <v/>
      </c>
      <c r="H175" s="145"/>
      <c r="I175" s="499" t="str">
        <f>IFERROR(INDEX('G-7 Rivers Data'!$H$4:$L$8,MATCH(D175,'G-7 Rivers Data'!$B$4:$B$8,0),MATCH(H175,'G-7 Rivers Data'!$H$3:$L$3,0)),"")</f>
        <v/>
      </c>
      <c r="J175" s="154"/>
      <c r="K175" s="520" t="str">
        <f>IF(J175="","",IF(VLOOKUP(J175,'G-7 Rivers Data'!$AK$4:$AM$9,2,FALSE)=0,"Spatial Data Missing ⚠",VLOOKUP(J175,'G-7 Rivers Data'!$AK$4:$AM$9,2,FALSE)))</f>
        <v/>
      </c>
      <c r="L175" s="524" t="str">
        <f>IF(J175="","",IF(VLOOKUP(J175,'G-7 Rivers Data'!$AK$4:$AM$9,3,FALSE)=0,"Spatial Data Missing ⚠",VLOOKUP(J175,'G-7 Rivers Data'!$AK$4:$AM$9,3,FALSE)))</f>
        <v/>
      </c>
      <c r="M175" s="71"/>
      <c r="N175" s="499" t="str">
        <f>IF(M175="","",IF(VLOOKUP(M175,'G-7 Rivers Data'!$AA$4:$AB$7,2,FALSE)=0,"Spatial Data Missing ⚠",VLOOKUP(M175,'G-7 Rivers Data'!$AA$4:$AB$7,2,FALSE)))</f>
        <v/>
      </c>
      <c r="O175" s="155"/>
      <c r="P175" s="499" t="str">
        <f>IF(O175="","",IF(VLOOKUP(O175,'G-7 Rivers Data'!$AD$4:$AE$8,2,FALSE)=0,"Spatial Data Missing ⚠",VLOOKUP(O175,'G-7 Rivers Data'!$AD$4:$AE$8,2,FALSE)))</f>
        <v/>
      </c>
      <c r="Q175" s="506" t="str">
        <f>IF(D175="","",VLOOKUP(D175,'G-7 Rivers Data'!$B$4:$G$8,6,FALSE))</f>
        <v/>
      </c>
      <c r="R175" s="513" t="str">
        <f t="shared" si="16"/>
        <v/>
      </c>
      <c r="S175" s="40"/>
      <c r="T175" s="145"/>
      <c r="U175" s="157"/>
      <c r="V175" s="511" t="str">
        <f t="shared" si="17"/>
        <v/>
      </c>
      <c r="W175" s="511" t="str">
        <f t="shared" si="18"/>
        <v/>
      </c>
      <c r="X175" s="511" t="str">
        <f t="shared" si="19"/>
        <v/>
      </c>
      <c r="Y175" s="515" t="str">
        <f t="shared" si="20"/>
        <v/>
      </c>
      <c r="Z175" s="151"/>
      <c r="AA175" s="152"/>
      <c r="AF175" s="31" t="str">
        <f>IFERROR(INDEX('G-7 Rivers Data'!$AZ$3:$AZ$7,MATCH(D175,'G-7 Rivers Data'!$AY$3:$AY$7,0)),"")</f>
        <v/>
      </c>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row>
    <row r="176" spans="3:40" ht="13.8" x14ac:dyDescent="0.25">
      <c r="C176" s="141">
        <v>167</v>
      </c>
      <c r="D176" s="462"/>
      <c r="E176" s="153"/>
      <c r="F176" s="498" t="str">
        <f>IF(D176="","",VLOOKUP(D176,'G-7 Rivers Data'!$B$2:$G$8,2,FALSE))</f>
        <v/>
      </c>
      <c r="G176" s="499" t="str">
        <f>IFERROR(VLOOKUP(F176,'G-7 Rivers Data'!$C$4:$D$8,2,FALSE),"")</f>
        <v/>
      </c>
      <c r="H176" s="145"/>
      <c r="I176" s="499" t="str">
        <f>IFERROR(INDEX('G-7 Rivers Data'!$H$4:$L$8,MATCH(D176,'G-7 Rivers Data'!$B$4:$B$8,0),MATCH(H176,'G-7 Rivers Data'!$H$3:$L$3,0)),"")</f>
        <v/>
      </c>
      <c r="J176" s="154"/>
      <c r="K176" s="520" t="str">
        <f>IF(J176="","",IF(VLOOKUP(J176,'G-7 Rivers Data'!$AK$4:$AM$9,2,FALSE)=0,"Spatial Data Missing ⚠",VLOOKUP(J176,'G-7 Rivers Data'!$AK$4:$AM$9,2,FALSE)))</f>
        <v/>
      </c>
      <c r="L176" s="524" t="str">
        <f>IF(J176="","",IF(VLOOKUP(J176,'G-7 Rivers Data'!$AK$4:$AM$9,3,FALSE)=0,"Spatial Data Missing ⚠",VLOOKUP(J176,'G-7 Rivers Data'!$AK$4:$AM$9,3,FALSE)))</f>
        <v/>
      </c>
      <c r="M176" s="71"/>
      <c r="N176" s="499" t="str">
        <f>IF(M176="","",IF(VLOOKUP(M176,'G-7 Rivers Data'!$AA$4:$AB$7,2,FALSE)=0,"Spatial Data Missing ⚠",VLOOKUP(M176,'G-7 Rivers Data'!$AA$4:$AB$7,2,FALSE)))</f>
        <v/>
      </c>
      <c r="O176" s="155"/>
      <c r="P176" s="499" t="str">
        <f>IF(O176="","",IF(VLOOKUP(O176,'G-7 Rivers Data'!$AD$4:$AE$8,2,FALSE)=0,"Spatial Data Missing ⚠",VLOOKUP(O176,'G-7 Rivers Data'!$AD$4:$AE$8,2,FALSE)))</f>
        <v/>
      </c>
      <c r="Q176" s="506" t="str">
        <f>IF(D176="","",VLOOKUP(D176,'G-7 Rivers Data'!$B$4:$G$8,6,FALSE))</f>
        <v/>
      </c>
      <c r="R176" s="513" t="str">
        <f t="shared" si="16"/>
        <v/>
      </c>
      <c r="S176" s="40"/>
      <c r="T176" s="145"/>
      <c r="U176" s="157"/>
      <c r="V176" s="511" t="str">
        <f t="shared" si="17"/>
        <v/>
      </c>
      <c r="W176" s="511" t="str">
        <f t="shared" si="18"/>
        <v/>
      </c>
      <c r="X176" s="511" t="str">
        <f t="shared" si="19"/>
        <v/>
      </c>
      <c r="Y176" s="515" t="str">
        <f t="shared" si="20"/>
        <v/>
      </c>
      <c r="Z176" s="151"/>
      <c r="AA176" s="152"/>
      <c r="AF176" s="31" t="str">
        <f>IFERROR(INDEX('G-7 Rivers Data'!$AZ$3:$AZ$7,MATCH(D176,'G-7 Rivers Data'!$AY$3:$AY$7,0)),"")</f>
        <v/>
      </c>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row>
    <row r="177" spans="3:40" ht="13.8" x14ac:dyDescent="0.25">
      <c r="C177" s="141">
        <v>168</v>
      </c>
      <c r="D177" s="462"/>
      <c r="E177" s="153"/>
      <c r="F177" s="498" t="str">
        <f>IF(D177="","",VLOOKUP(D177,'G-7 Rivers Data'!$B$2:$G$8,2,FALSE))</f>
        <v/>
      </c>
      <c r="G177" s="499" t="str">
        <f>IFERROR(VLOOKUP(F177,'G-7 Rivers Data'!$C$4:$D$8,2,FALSE),"")</f>
        <v/>
      </c>
      <c r="H177" s="145"/>
      <c r="I177" s="499" t="str">
        <f>IFERROR(INDEX('G-7 Rivers Data'!$H$4:$L$8,MATCH(D177,'G-7 Rivers Data'!$B$4:$B$8,0),MATCH(H177,'G-7 Rivers Data'!$H$3:$L$3,0)),"")</f>
        <v/>
      </c>
      <c r="J177" s="154"/>
      <c r="K177" s="520" t="str">
        <f>IF(J177="","",IF(VLOOKUP(J177,'G-7 Rivers Data'!$AK$4:$AM$9,2,FALSE)=0,"Spatial Data Missing ⚠",VLOOKUP(J177,'G-7 Rivers Data'!$AK$4:$AM$9,2,FALSE)))</f>
        <v/>
      </c>
      <c r="L177" s="524" t="str">
        <f>IF(J177="","",IF(VLOOKUP(J177,'G-7 Rivers Data'!$AK$4:$AM$9,3,FALSE)=0,"Spatial Data Missing ⚠",VLOOKUP(J177,'G-7 Rivers Data'!$AK$4:$AM$9,3,FALSE)))</f>
        <v/>
      </c>
      <c r="M177" s="71"/>
      <c r="N177" s="499" t="str">
        <f>IF(M177="","",IF(VLOOKUP(M177,'G-7 Rivers Data'!$AA$4:$AB$7,2,FALSE)=0,"Spatial Data Missing ⚠",VLOOKUP(M177,'G-7 Rivers Data'!$AA$4:$AB$7,2,FALSE)))</f>
        <v/>
      </c>
      <c r="O177" s="155"/>
      <c r="P177" s="499" t="str">
        <f>IF(O177="","",IF(VLOOKUP(O177,'G-7 Rivers Data'!$AD$4:$AE$8,2,FALSE)=0,"Spatial Data Missing ⚠",VLOOKUP(O177,'G-7 Rivers Data'!$AD$4:$AE$8,2,FALSE)))</f>
        <v/>
      </c>
      <c r="Q177" s="506" t="str">
        <f>IF(D177="","",VLOOKUP(D177,'G-7 Rivers Data'!$B$4:$G$8,6,FALSE))</f>
        <v/>
      </c>
      <c r="R177" s="513" t="str">
        <f t="shared" si="16"/>
        <v/>
      </c>
      <c r="S177" s="40"/>
      <c r="T177" s="145"/>
      <c r="U177" s="157"/>
      <c r="V177" s="511" t="str">
        <f t="shared" si="17"/>
        <v/>
      </c>
      <c r="W177" s="511" t="str">
        <f t="shared" si="18"/>
        <v/>
      </c>
      <c r="X177" s="511" t="str">
        <f t="shared" si="19"/>
        <v/>
      </c>
      <c r="Y177" s="515" t="str">
        <f t="shared" si="20"/>
        <v/>
      </c>
      <c r="Z177" s="151"/>
      <c r="AA177" s="152"/>
      <c r="AF177" s="31" t="str">
        <f>IFERROR(INDEX('G-7 Rivers Data'!$AZ$3:$AZ$7,MATCH(D177,'G-7 Rivers Data'!$AY$3:$AY$7,0)),"")</f>
        <v/>
      </c>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row>
    <row r="178" spans="3:40" ht="13.8" x14ac:dyDescent="0.25">
      <c r="C178" s="141">
        <v>169</v>
      </c>
      <c r="D178" s="462"/>
      <c r="E178" s="153"/>
      <c r="F178" s="498" t="str">
        <f>IF(D178="","",VLOOKUP(D178,'G-7 Rivers Data'!$B$2:$G$8,2,FALSE))</f>
        <v/>
      </c>
      <c r="G178" s="499" t="str">
        <f>IFERROR(VLOOKUP(F178,'G-7 Rivers Data'!$C$4:$D$8,2,FALSE),"")</f>
        <v/>
      </c>
      <c r="H178" s="145"/>
      <c r="I178" s="499" t="str">
        <f>IFERROR(INDEX('G-7 Rivers Data'!$H$4:$L$8,MATCH(D178,'G-7 Rivers Data'!$B$4:$B$8,0),MATCH(H178,'G-7 Rivers Data'!$H$3:$L$3,0)),"")</f>
        <v/>
      </c>
      <c r="J178" s="154"/>
      <c r="K178" s="520" t="str">
        <f>IF(J178="","",IF(VLOOKUP(J178,'G-7 Rivers Data'!$AK$4:$AM$9,2,FALSE)=0,"Spatial Data Missing ⚠",VLOOKUP(J178,'G-7 Rivers Data'!$AK$4:$AM$9,2,FALSE)))</f>
        <v/>
      </c>
      <c r="L178" s="524" t="str">
        <f>IF(J178="","",IF(VLOOKUP(J178,'G-7 Rivers Data'!$AK$4:$AM$9,3,FALSE)=0,"Spatial Data Missing ⚠",VLOOKUP(J178,'G-7 Rivers Data'!$AK$4:$AM$9,3,FALSE)))</f>
        <v/>
      </c>
      <c r="M178" s="71"/>
      <c r="N178" s="499" t="str">
        <f>IF(M178="","",IF(VLOOKUP(M178,'G-7 Rivers Data'!$AA$4:$AB$7,2,FALSE)=0,"Spatial Data Missing ⚠",VLOOKUP(M178,'G-7 Rivers Data'!$AA$4:$AB$7,2,FALSE)))</f>
        <v/>
      </c>
      <c r="O178" s="155"/>
      <c r="P178" s="499" t="str">
        <f>IF(O178="","",IF(VLOOKUP(O178,'G-7 Rivers Data'!$AD$4:$AE$8,2,FALSE)=0,"Spatial Data Missing ⚠",VLOOKUP(O178,'G-7 Rivers Data'!$AD$4:$AE$8,2,FALSE)))</f>
        <v/>
      </c>
      <c r="Q178" s="506" t="str">
        <f>IF(D178="","",VLOOKUP(D178,'G-7 Rivers Data'!$B$4:$G$8,6,FALSE))</f>
        <v/>
      </c>
      <c r="R178" s="513" t="str">
        <f t="shared" si="16"/>
        <v/>
      </c>
      <c r="S178" s="40"/>
      <c r="T178" s="145"/>
      <c r="U178" s="157"/>
      <c r="V178" s="511" t="str">
        <f t="shared" si="17"/>
        <v/>
      </c>
      <c r="W178" s="511" t="str">
        <f t="shared" si="18"/>
        <v/>
      </c>
      <c r="X178" s="511" t="str">
        <f t="shared" si="19"/>
        <v/>
      </c>
      <c r="Y178" s="515" t="str">
        <f t="shared" si="20"/>
        <v/>
      </c>
      <c r="Z178" s="151"/>
      <c r="AA178" s="152"/>
      <c r="AF178" s="31" t="str">
        <f>IFERROR(INDEX('G-7 Rivers Data'!$AZ$3:$AZ$7,MATCH(D178,'G-7 Rivers Data'!$AY$3:$AY$7,0)),"")</f>
        <v/>
      </c>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row>
    <row r="179" spans="3:40" ht="13.8" x14ac:dyDescent="0.25">
      <c r="C179" s="141">
        <v>170</v>
      </c>
      <c r="D179" s="462"/>
      <c r="E179" s="153"/>
      <c r="F179" s="498" t="str">
        <f>IF(D179="","",VLOOKUP(D179,'G-7 Rivers Data'!$B$2:$G$8,2,FALSE))</f>
        <v/>
      </c>
      <c r="G179" s="499" t="str">
        <f>IFERROR(VLOOKUP(F179,'G-7 Rivers Data'!$C$4:$D$8,2,FALSE),"")</f>
        <v/>
      </c>
      <c r="H179" s="145"/>
      <c r="I179" s="499" t="str">
        <f>IFERROR(INDEX('G-7 Rivers Data'!$H$4:$L$8,MATCH(D179,'G-7 Rivers Data'!$B$4:$B$8,0),MATCH(H179,'G-7 Rivers Data'!$H$3:$L$3,0)),"")</f>
        <v/>
      </c>
      <c r="J179" s="154"/>
      <c r="K179" s="520" t="str">
        <f>IF(J179="","",IF(VLOOKUP(J179,'G-7 Rivers Data'!$AK$4:$AM$9,2,FALSE)=0,"Spatial Data Missing ⚠",VLOOKUP(J179,'G-7 Rivers Data'!$AK$4:$AM$9,2,FALSE)))</f>
        <v/>
      </c>
      <c r="L179" s="524" t="str">
        <f>IF(J179="","",IF(VLOOKUP(J179,'G-7 Rivers Data'!$AK$4:$AM$9,3,FALSE)=0,"Spatial Data Missing ⚠",VLOOKUP(J179,'G-7 Rivers Data'!$AK$4:$AM$9,3,FALSE)))</f>
        <v/>
      </c>
      <c r="M179" s="71"/>
      <c r="N179" s="499" t="str">
        <f>IF(M179="","",IF(VLOOKUP(M179,'G-7 Rivers Data'!$AA$4:$AB$7,2,FALSE)=0,"Spatial Data Missing ⚠",VLOOKUP(M179,'G-7 Rivers Data'!$AA$4:$AB$7,2,FALSE)))</f>
        <v/>
      </c>
      <c r="O179" s="155"/>
      <c r="P179" s="499" t="str">
        <f>IF(O179="","",IF(VLOOKUP(O179,'G-7 Rivers Data'!$AD$4:$AE$8,2,FALSE)=0,"Spatial Data Missing ⚠",VLOOKUP(O179,'G-7 Rivers Data'!$AD$4:$AE$8,2,FALSE)))</f>
        <v/>
      </c>
      <c r="Q179" s="506" t="str">
        <f>IF(D179="","",VLOOKUP(D179,'G-7 Rivers Data'!$B$4:$G$8,6,FALSE))</f>
        <v/>
      </c>
      <c r="R179" s="513" t="str">
        <f t="shared" si="16"/>
        <v/>
      </c>
      <c r="S179" s="40"/>
      <c r="T179" s="145"/>
      <c r="U179" s="157"/>
      <c r="V179" s="511" t="str">
        <f t="shared" si="17"/>
        <v/>
      </c>
      <c r="W179" s="511" t="str">
        <f t="shared" si="18"/>
        <v/>
      </c>
      <c r="X179" s="511" t="str">
        <f t="shared" si="19"/>
        <v/>
      </c>
      <c r="Y179" s="515" t="str">
        <f t="shared" si="20"/>
        <v/>
      </c>
      <c r="Z179" s="151"/>
      <c r="AA179" s="152"/>
      <c r="AF179" s="31" t="str">
        <f>IFERROR(INDEX('G-7 Rivers Data'!$AZ$3:$AZ$7,MATCH(D179,'G-7 Rivers Data'!$AY$3:$AY$7,0)),"")</f>
        <v/>
      </c>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row>
    <row r="180" spans="3:40" ht="13.8" x14ac:dyDescent="0.25">
      <c r="C180" s="141">
        <v>171</v>
      </c>
      <c r="D180" s="462"/>
      <c r="E180" s="153"/>
      <c r="F180" s="498" t="str">
        <f>IF(D180="","",VLOOKUP(D180,'G-7 Rivers Data'!$B$2:$G$8,2,FALSE))</f>
        <v/>
      </c>
      <c r="G180" s="499" t="str">
        <f>IFERROR(VLOOKUP(F180,'G-7 Rivers Data'!$C$4:$D$8,2,FALSE),"")</f>
        <v/>
      </c>
      <c r="H180" s="145"/>
      <c r="I180" s="499" t="str">
        <f>IFERROR(INDEX('G-7 Rivers Data'!$H$4:$L$8,MATCH(D180,'G-7 Rivers Data'!$B$4:$B$8,0),MATCH(H180,'G-7 Rivers Data'!$H$3:$L$3,0)),"")</f>
        <v/>
      </c>
      <c r="J180" s="154"/>
      <c r="K180" s="520" t="str">
        <f>IF(J180="","",IF(VLOOKUP(J180,'G-7 Rivers Data'!$AK$4:$AM$9,2,FALSE)=0,"Spatial Data Missing ⚠",VLOOKUP(J180,'G-7 Rivers Data'!$AK$4:$AM$9,2,FALSE)))</f>
        <v/>
      </c>
      <c r="L180" s="524" t="str">
        <f>IF(J180="","",IF(VLOOKUP(J180,'G-7 Rivers Data'!$AK$4:$AM$9,3,FALSE)=0,"Spatial Data Missing ⚠",VLOOKUP(J180,'G-7 Rivers Data'!$AK$4:$AM$9,3,FALSE)))</f>
        <v/>
      </c>
      <c r="M180" s="71"/>
      <c r="N180" s="499" t="str">
        <f>IF(M180="","",IF(VLOOKUP(M180,'G-7 Rivers Data'!$AA$4:$AB$7,2,FALSE)=0,"Spatial Data Missing ⚠",VLOOKUP(M180,'G-7 Rivers Data'!$AA$4:$AB$7,2,FALSE)))</f>
        <v/>
      </c>
      <c r="O180" s="155"/>
      <c r="P180" s="499" t="str">
        <f>IF(O180="","",IF(VLOOKUP(O180,'G-7 Rivers Data'!$AD$4:$AE$8,2,FALSE)=0,"Spatial Data Missing ⚠",VLOOKUP(O180,'G-7 Rivers Data'!$AD$4:$AE$8,2,FALSE)))</f>
        <v/>
      </c>
      <c r="Q180" s="506" t="str">
        <f>IF(D180="","",VLOOKUP(D180,'G-7 Rivers Data'!$B$4:$G$8,6,FALSE))</f>
        <v/>
      </c>
      <c r="R180" s="513" t="str">
        <f t="shared" si="16"/>
        <v/>
      </c>
      <c r="S180" s="40"/>
      <c r="T180" s="145"/>
      <c r="U180" s="157"/>
      <c r="V180" s="511" t="str">
        <f t="shared" si="17"/>
        <v/>
      </c>
      <c r="W180" s="511" t="str">
        <f t="shared" si="18"/>
        <v/>
      </c>
      <c r="X180" s="511" t="str">
        <f t="shared" si="19"/>
        <v/>
      </c>
      <c r="Y180" s="515" t="str">
        <f t="shared" si="20"/>
        <v/>
      </c>
      <c r="Z180" s="151"/>
      <c r="AA180" s="152"/>
      <c r="AF180" s="31" t="str">
        <f>IFERROR(INDEX('G-7 Rivers Data'!$AZ$3:$AZ$7,MATCH(D180,'G-7 Rivers Data'!$AY$3:$AY$7,0)),"")</f>
        <v/>
      </c>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row>
    <row r="181" spans="3:40" ht="13.8" x14ac:dyDescent="0.25">
      <c r="C181" s="141">
        <v>172</v>
      </c>
      <c r="D181" s="462"/>
      <c r="E181" s="153"/>
      <c r="F181" s="498" t="str">
        <f>IF(D181="","",VLOOKUP(D181,'G-7 Rivers Data'!$B$2:$G$8,2,FALSE))</f>
        <v/>
      </c>
      <c r="G181" s="499" t="str">
        <f>IFERROR(VLOOKUP(F181,'G-7 Rivers Data'!$C$4:$D$8,2,FALSE),"")</f>
        <v/>
      </c>
      <c r="H181" s="145"/>
      <c r="I181" s="499" t="str">
        <f>IFERROR(INDEX('G-7 Rivers Data'!$H$4:$L$8,MATCH(D181,'G-7 Rivers Data'!$B$4:$B$8,0),MATCH(H181,'G-7 Rivers Data'!$H$3:$L$3,0)),"")</f>
        <v/>
      </c>
      <c r="J181" s="154"/>
      <c r="K181" s="520" t="str">
        <f>IF(J181="","",IF(VLOOKUP(J181,'G-7 Rivers Data'!$AK$4:$AM$9,2,FALSE)=0,"Spatial Data Missing ⚠",VLOOKUP(J181,'G-7 Rivers Data'!$AK$4:$AM$9,2,FALSE)))</f>
        <v/>
      </c>
      <c r="L181" s="524" t="str">
        <f>IF(J181="","",IF(VLOOKUP(J181,'G-7 Rivers Data'!$AK$4:$AM$9,3,FALSE)=0,"Spatial Data Missing ⚠",VLOOKUP(J181,'G-7 Rivers Data'!$AK$4:$AM$9,3,FALSE)))</f>
        <v/>
      </c>
      <c r="M181" s="71"/>
      <c r="N181" s="499" t="str">
        <f>IF(M181="","",IF(VLOOKUP(M181,'G-7 Rivers Data'!$AA$4:$AB$7,2,FALSE)=0,"Spatial Data Missing ⚠",VLOOKUP(M181,'G-7 Rivers Data'!$AA$4:$AB$7,2,FALSE)))</f>
        <v/>
      </c>
      <c r="O181" s="155"/>
      <c r="P181" s="499" t="str">
        <f>IF(O181="","",IF(VLOOKUP(O181,'G-7 Rivers Data'!$AD$4:$AE$8,2,FALSE)=0,"Spatial Data Missing ⚠",VLOOKUP(O181,'G-7 Rivers Data'!$AD$4:$AE$8,2,FALSE)))</f>
        <v/>
      </c>
      <c r="Q181" s="506" t="str">
        <f>IF(D181="","",VLOOKUP(D181,'G-7 Rivers Data'!$B$4:$G$8,6,FALSE))</f>
        <v/>
      </c>
      <c r="R181" s="513" t="str">
        <f t="shared" si="16"/>
        <v/>
      </c>
      <c r="S181" s="40"/>
      <c r="T181" s="145"/>
      <c r="U181" s="157"/>
      <c r="V181" s="511" t="str">
        <f t="shared" si="17"/>
        <v/>
      </c>
      <c r="W181" s="511" t="str">
        <f t="shared" si="18"/>
        <v/>
      </c>
      <c r="X181" s="511" t="str">
        <f t="shared" si="19"/>
        <v/>
      </c>
      <c r="Y181" s="515" t="str">
        <f t="shared" si="20"/>
        <v/>
      </c>
      <c r="Z181" s="151"/>
      <c r="AA181" s="152"/>
      <c r="AF181" s="31" t="str">
        <f>IFERROR(INDEX('G-7 Rivers Data'!$AZ$3:$AZ$7,MATCH(D181,'G-7 Rivers Data'!$AY$3:$AY$7,0)),"")</f>
        <v/>
      </c>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row>
    <row r="182" spans="3:40" ht="13.8" x14ac:dyDescent="0.25">
      <c r="C182" s="141">
        <v>173</v>
      </c>
      <c r="D182" s="462"/>
      <c r="E182" s="153"/>
      <c r="F182" s="498" t="str">
        <f>IF(D182="","",VLOOKUP(D182,'G-7 Rivers Data'!$B$2:$G$8,2,FALSE))</f>
        <v/>
      </c>
      <c r="G182" s="499" t="str">
        <f>IFERROR(VLOOKUP(F182,'G-7 Rivers Data'!$C$4:$D$8,2,FALSE),"")</f>
        <v/>
      </c>
      <c r="H182" s="145"/>
      <c r="I182" s="499" t="str">
        <f>IFERROR(INDEX('G-7 Rivers Data'!$H$4:$L$8,MATCH(D182,'G-7 Rivers Data'!$B$4:$B$8,0),MATCH(H182,'G-7 Rivers Data'!$H$3:$L$3,0)),"")</f>
        <v/>
      </c>
      <c r="J182" s="154"/>
      <c r="K182" s="520" t="str">
        <f>IF(J182="","",IF(VLOOKUP(J182,'G-7 Rivers Data'!$AK$4:$AM$9,2,FALSE)=0,"Spatial Data Missing ⚠",VLOOKUP(J182,'G-7 Rivers Data'!$AK$4:$AM$9,2,FALSE)))</f>
        <v/>
      </c>
      <c r="L182" s="524" t="str">
        <f>IF(J182="","",IF(VLOOKUP(J182,'G-7 Rivers Data'!$AK$4:$AM$9,3,FALSE)=0,"Spatial Data Missing ⚠",VLOOKUP(J182,'G-7 Rivers Data'!$AK$4:$AM$9,3,FALSE)))</f>
        <v/>
      </c>
      <c r="M182" s="71"/>
      <c r="N182" s="499" t="str">
        <f>IF(M182="","",IF(VLOOKUP(M182,'G-7 Rivers Data'!$AA$4:$AB$7,2,FALSE)=0,"Spatial Data Missing ⚠",VLOOKUP(M182,'G-7 Rivers Data'!$AA$4:$AB$7,2,FALSE)))</f>
        <v/>
      </c>
      <c r="O182" s="155"/>
      <c r="P182" s="499" t="str">
        <f>IF(O182="","",IF(VLOOKUP(O182,'G-7 Rivers Data'!$AD$4:$AE$8,2,FALSE)=0,"Spatial Data Missing ⚠",VLOOKUP(O182,'G-7 Rivers Data'!$AD$4:$AE$8,2,FALSE)))</f>
        <v/>
      </c>
      <c r="Q182" s="506" t="str">
        <f>IF(D182="","",VLOOKUP(D182,'G-7 Rivers Data'!$B$4:$G$8,6,FALSE))</f>
        <v/>
      </c>
      <c r="R182" s="513" t="str">
        <f t="shared" si="16"/>
        <v/>
      </c>
      <c r="S182" s="40"/>
      <c r="T182" s="145"/>
      <c r="U182" s="157"/>
      <c r="V182" s="511" t="str">
        <f t="shared" si="17"/>
        <v/>
      </c>
      <c r="W182" s="511" t="str">
        <f t="shared" si="18"/>
        <v/>
      </c>
      <c r="X182" s="511" t="str">
        <f t="shared" si="19"/>
        <v/>
      </c>
      <c r="Y182" s="515" t="str">
        <f t="shared" si="20"/>
        <v/>
      </c>
      <c r="Z182" s="151"/>
      <c r="AA182" s="152"/>
      <c r="AF182" s="31" t="str">
        <f>IFERROR(INDEX('G-7 Rivers Data'!$AZ$3:$AZ$7,MATCH(D182,'G-7 Rivers Data'!$AY$3:$AY$7,0)),"")</f>
        <v/>
      </c>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row>
    <row r="183" spans="3:40" ht="13.8" x14ac:dyDescent="0.25">
      <c r="C183" s="141">
        <v>174</v>
      </c>
      <c r="D183" s="462"/>
      <c r="E183" s="153"/>
      <c r="F183" s="498" t="str">
        <f>IF(D183="","",VLOOKUP(D183,'G-7 Rivers Data'!$B$2:$G$8,2,FALSE))</f>
        <v/>
      </c>
      <c r="G183" s="499" t="str">
        <f>IFERROR(VLOOKUP(F183,'G-7 Rivers Data'!$C$4:$D$8,2,FALSE),"")</f>
        <v/>
      </c>
      <c r="H183" s="145"/>
      <c r="I183" s="499" t="str">
        <f>IFERROR(INDEX('G-7 Rivers Data'!$H$4:$L$8,MATCH(D183,'G-7 Rivers Data'!$B$4:$B$8,0),MATCH(H183,'G-7 Rivers Data'!$H$3:$L$3,0)),"")</f>
        <v/>
      </c>
      <c r="J183" s="154"/>
      <c r="K183" s="520" t="str">
        <f>IF(J183="","",IF(VLOOKUP(J183,'G-7 Rivers Data'!$AK$4:$AM$9,2,FALSE)=0,"Spatial Data Missing ⚠",VLOOKUP(J183,'G-7 Rivers Data'!$AK$4:$AM$9,2,FALSE)))</f>
        <v/>
      </c>
      <c r="L183" s="524" t="str">
        <f>IF(J183="","",IF(VLOOKUP(J183,'G-7 Rivers Data'!$AK$4:$AM$9,3,FALSE)=0,"Spatial Data Missing ⚠",VLOOKUP(J183,'G-7 Rivers Data'!$AK$4:$AM$9,3,FALSE)))</f>
        <v/>
      </c>
      <c r="M183" s="71"/>
      <c r="N183" s="499" t="str">
        <f>IF(M183="","",IF(VLOOKUP(M183,'G-7 Rivers Data'!$AA$4:$AB$7,2,FALSE)=0,"Spatial Data Missing ⚠",VLOOKUP(M183,'G-7 Rivers Data'!$AA$4:$AB$7,2,FALSE)))</f>
        <v/>
      </c>
      <c r="O183" s="155"/>
      <c r="P183" s="499" t="str">
        <f>IF(O183="","",IF(VLOOKUP(O183,'G-7 Rivers Data'!$AD$4:$AE$8,2,FALSE)=0,"Spatial Data Missing ⚠",VLOOKUP(O183,'G-7 Rivers Data'!$AD$4:$AE$8,2,FALSE)))</f>
        <v/>
      </c>
      <c r="Q183" s="506" t="str">
        <f>IF(D183="","",VLOOKUP(D183,'G-7 Rivers Data'!$B$4:$G$8,6,FALSE))</f>
        <v/>
      </c>
      <c r="R183" s="513" t="str">
        <f t="shared" si="16"/>
        <v/>
      </c>
      <c r="S183" s="40"/>
      <c r="T183" s="145"/>
      <c r="U183" s="157"/>
      <c r="V183" s="511" t="str">
        <f t="shared" si="17"/>
        <v/>
      </c>
      <c r="W183" s="511" t="str">
        <f t="shared" si="18"/>
        <v/>
      </c>
      <c r="X183" s="511" t="str">
        <f t="shared" si="19"/>
        <v/>
      </c>
      <c r="Y183" s="515" t="str">
        <f t="shared" si="20"/>
        <v/>
      </c>
      <c r="Z183" s="151"/>
      <c r="AA183" s="152"/>
      <c r="AF183" s="31" t="str">
        <f>IFERROR(INDEX('G-7 Rivers Data'!$AZ$3:$AZ$7,MATCH(D183,'G-7 Rivers Data'!$AY$3:$AY$7,0)),"")</f>
        <v/>
      </c>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row>
    <row r="184" spans="3:40" ht="13.8" x14ac:dyDescent="0.25">
      <c r="C184" s="141">
        <v>175</v>
      </c>
      <c r="D184" s="462"/>
      <c r="E184" s="153"/>
      <c r="F184" s="498" t="str">
        <f>IF(D184="","",VLOOKUP(D184,'G-7 Rivers Data'!$B$2:$G$8,2,FALSE))</f>
        <v/>
      </c>
      <c r="G184" s="499" t="str">
        <f>IFERROR(VLOOKUP(F184,'G-7 Rivers Data'!$C$4:$D$8,2,FALSE),"")</f>
        <v/>
      </c>
      <c r="H184" s="145"/>
      <c r="I184" s="499" t="str">
        <f>IFERROR(INDEX('G-7 Rivers Data'!$H$4:$L$8,MATCH(D184,'G-7 Rivers Data'!$B$4:$B$8,0),MATCH(H184,'G-7 Rivers Data'!$H$3:$L$3,0)),"")</f>
        <v/>
      </c>
      <c r="J184" s="154"/>
      <c r="K184" s="520" t="str">
        <f>IF(J184="","",IF(VLOOKUP(J184,'G-7 Rivers Data'!$AK$4:$AM$9,2,FALSE)=0,"Spatial Data Missing ⚠",VLOOKUP(J184,'G-7 Rivers Data'!$AK$4:$AM$9,2,FALSE)))</f>
        <v/>
      </c>
      <c r="L184" s="524" t="str">
        <f>IF(J184="","",IF(VLOOKUP(J184,'G-7 Rivers Data'!$AK$4:$AM$9,3,FALSE)=0,"Spatial Data Missing ⚠",VLOOKUP(J184,'G-7 Rivers Data'!$AK$4:$AM$9,3,FALSE)))</f>
        <v/>
      </c>
      <c r="M184" s="71"/>
      <c r="N184" s="499" t="str">
        <f>IF(M184="","",IF(VLOOKUP(M184,'G-7 Rivers Data'!$AA$4:$AB$7,2,FALSE)=0,"Spatial Data Missing ⚠",VLOOKUP(M184,'G-7 Rivers Data'!$AA$4:$AB$7,2,FALSE)))</f>
        <v/>
      </c>
      <c r="O184" s="155"/>
      <c r="P184" s="499" t="str">
        <f>IF(O184="","",IF(VLOOKUP(O184,'G-7 Rivers Data'!$AD$4:$AE$8,2,FALSE)=0,"Spatial Data Missing ⚠",VLOOKUP(O184,'G-7 Rivers Data'!$AD$4:$AE$8,2,FALSE)))</f>
        <v/>
      </c>
      <c r="Q184" s="506" t="str">
        <f>IF(D184="","",VLOOKUP(D184,'G-7 Rivers Data'!$B$4:$G$8,6,FALSE))</f>
        <v/>
      </c>
      <c r="R184" s="513" t="str">
        <f t="shared" si="16"/>
        <v/>
      </c>
      <c r="S184" s="40"/>
      <c r="T184" s="145"/>
      <c r="U184" s="157"/>
      <c r="V184" s="511" t="str">
        <f t="shared" si="17"/>
        <v/>
      </c>
      <c r="W184" s="511" t="str">
        <f t="shared" si="18"/>
        <v/>
      </c>
      <c r="X184" s="511" t="str">
        <f t="shared" si="19"/>
        <v/>
      </c>
      <c r="Y184" s="515" t="str">
        <f t="shared" si="20"/>
        <v/>
      </c>
      <c r="Z184" s="151"/>
      <c r="AA184" s="152"/>
      <c r="AF184" s="31" t="str">
        <f>IFERROR(INDEX('G-7 Rivers Data'!$AZ$3:$AZ$7,MATCH(D184,'G-7 Rivers Data'!$AY$3:$AY$7,0)),"")</f>
        <v/>
      </c>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row>
    <row r="185" spans="3:40" ht="13.8" x14ac:dyDescent="0.25">
      <c r="C185" s="141">
        <v>176</v>
      </c>
      <c r="D185" s="462"/>
      <c r="E185" s="153"/>
      <c r="F185" s="498" t="str">
        <f>IF(D185="","",VLOOKUP(D185,'G-7 Rivers Data'!$B$2:$G$8,2,FALSE))</f>
        <v/>
      </c>
      <c r="G185" s="499" t="str">
        <f>IFERROR(VLOOKUP(F185,'G-7 Rivers Data'!$C$4:$D$8,2,FALSE),"")</f>
        <v/>
      </c>
      <c r="H185" s="145"/>
      <c r="I185" s="499" t="str">
        <f>IFERROR(INDEX('G-7 Rivers Data'!$H$4:$L$8,MATCH(D185,'G-7 Rivers Data'!$B$4:$B$8,0),MATCH(H185,'G-7 Rivers Data'!$H$3:$L$3,0)),"")</f>
        <v/>
      </c>
      <c r="J185" s="154"/>
      <c r="K185" s="520" t="str">
        <f>IF(J185="","",IF(VLOOKUP(J185,'G-7 Rivers Data'!$AK$4:$AM$9,2,FALSE)=0,"Spatial Data Missing ⚠",VLOOKUP(J185,'G-7 Rivers Data'!$AK$4:$AM$9,2,FALSE)))</f>
        <v/>
      </c>
      <c r="L185" s="524" t="str">
        <f>IF(J185="","",IF(VLOOKUP(J185,'G-7 Rivers Data'!$AK$4:$AM$9,3,FALSE)=0,"Spatial Data Missing ⚠",VLOOKUP(J185,'G-7 Rivers Data'!$AK$4:$AM$9,3,FALSE)))</f>
        <v/>
      </c>
      <c r="M185" s="71"/>
      <c r="N185" s="499" t="str">
        <f>IF(M185="","",IF(VLOOKUP(M185,'G-7 Rivers Data'!$AA$4:$AB$7,2,FALSE)=0,"Spatial Data Missing ⚠",VLOOKUP(M185,'G-7 Rivers Data'!$AA$4:$AB$7,2,FALSE)))</f>
        <v/>
      </c>
      <c r="O185" s="155"/>
      <c r="P185" s="499" t="str">
        <f>IF(O185="","",IF(VLOOKUP(O185,'G-7 Rivers Data'!$AD$4:$AE$8,2,FALSE)=0,"Spatial Data Missing ⚠",VLOOKUP(O185,'G-7 Rivers Data'!$AD$4:$AE$8,2,FALSE)))</f>
        <v/>
      </c>
      <c r="Q185" s="506" t="str">
        <f>IF(D185="","",VLOOKUP(D185,'G-7 Rivers Data'!$B$4:$G$8,6,FALSE))</f>
        <v/>
      </c>
      <c r="R185" s="513" t="str">
        <f t="shared" si="16"/>
        <v/>
      </c>
      <c r="S185" s="40"/>
      <c r="T185" s="145"/>
      <c r="U185" s="157"/>
      <c r="V185" s="511" t="str">
        <f t="shared" si="17"/>
        <v/>
      </c>
      <c r="W185" s="511" t="str">
        <f t="shared" si="18"/>
        <v/>
      </c>
      <c r="X185" s="511" t="str">
        <f t="shared" si="19"/>
        <v/>
      </c>
      <c r="Y185" s="515" t="str">
        <f t="shared" si="20"/>
        <v/>
      </c>
      <c r="Z185" s="151"/>
      <c r="AA185" s="152"/>
      <c r="AF185" s="31" t="str">
        <f>IFERROR(INDEX('G-7 Rivers Data'!$AZ$3:$AZ$7,MATCH(D185,'G-7 Rivers Data'!$AY$3:$AY$7,0)),"")</f>
        <v/>
      </c>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row>
    <row r="186" spans="3:40" ht="13.8" x14ac:dyDescent="0.25">
      <c r="C186" s="141">
        <v>177</v>
      </c>
      <c r="D186" s="462"/>
      <c r="E186" s="153"/>
      <c r="F186" s="498" t="str">
        <f>IF(D186="","",VLOOKUP(D186,'G-7 Rivers Data'!$B$2:$G$8,2,FALSE))</f>
        <v/>
      </c>
      <c r="G186" s="499" t="str">
        <f>IFERROR(VLOOKUP(F186,'G-7 Rivers Data'!$C$4:$D$8,2,FALSE),"")</f>
        <v/>
      </c>
      <c r="H186" s="145"/>
      <c r="I186" s="499" t="str">
        <f>IFERROR(INDEX('G-7 Rivers Data'!$H$4:$L$8,MATCH(D186,'G-7 Rivers Data'!$B$4:$B$8,0),MATCH(H186,'G-7 Rivers Data'!$H$3:$L$3,0)),"")</f>
        <v/>
      </c>
      <c r="J186" s="154"/>
      <c r="K186" s="520" t="str">
        <f>IF(J186="","",IF(VLOOKUP(J186,'G-7 Rivers Data'!$AK$4:$AM$9,2,FALSE)=0,"Spatial Data Missing ⚠",VLOOKUP(J186,'G-7 Rivers Data'!$AK$4:$AM$9,2,FALSE)))</f>
        <v/>
      </c>
      <c r="L186" s="524" t="str">
        <f>IF(J186="","",IF(VLOOKUP(J186,'G-7 Rivers Data'!$AK$4:$AM$9,3,FALSE)=0,"Spatial Data Missing ⚠",VLOOKUP(J186,'G-7 Rivers Data'!$AK$4:$AM$9,3,FALSE)))</f>
        <v/>
      </c>
      <c r="M186" s="71"/>
      <c r="N186" s="499" t="str">
        <f>IF(M186="","",IF(VLOOKUP(M186,'G-7 Rivers Data'!$AA$4:$AB$7,2,FALSE)=0,"Spatial Data Missing ⚠",VLOOKUP(M186,'G-7 Rivers Data'!$AA$4:$AB$7,2,FALSE)))</f>
        <v/>
      </c>
      <c r="O186" s="155"/>
      <c r="P186" s="499" t="str">
        <f>IF(O186="","",IF(VLOOKUP(O186,'G-7 Rivers Data'!$AD$4:$AE$8,2,FALSE)=0,"Spatial Data Missing ⚠",VLOOKUP(O186,'G-7 Rivers Data'!$AD$4:$AE$8,2,FALSE)))</f>
        <v/>
      </c>
      <c r="Q186" s="506" t="str">
        <f>IF(D186="","",VLOOKUP(D186,'G-7 Rivers Data'!$B$4:$G$8,6,FALSE))</f>
        <v/>
      </c>
      <c r="R186" s="513" t="str">
        <f t="shared" si="16"/>
        <v/>
      </c>
      <c r="S186" s="40"/>
      <c r="T186" s="145"/>
      <c r="U186" s="157"/>
      <c r="V186" s="511" t="str">
        <f t="shared" si="17"/>
        <v/>
      </c>
      <c r="W186" s="511" t="str">
        <f t="shared" si="18"/>
        <v/>
      </c>
      <c r="X186" s="511" t="str">
        <f t="shared" si="19"/>
        <v/>
      </c>
      <c r="Y186" s="515" t="str">
        <f t="shared" si="20"/>
        <v/>
      </c>
      <c r="Z186" s="151"/>
      <c r="AA186" s="152"/>
      <c r="AF186" s="31" t="str">
        <f>IFERROR(INDEX('G-7 Rivers Data'!$AZ$3:$AZ$7,MATCH(D186,'G-7 Rivers Data'!$AY$3:$AY$7,0)),"")</f>
        <v/>
      </c>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row>
    <row r="187" spans="3:40" ht="13.8" x14ac:dyDescent="0.25">
      <c r="C187" s="141">
        <v>178</v>
      </c>
      <c r="D187" s="462"/>
      <c r="E187" s="153"/>
      <c r="F187" s="498" t="str">
        <f>IF(D187="","",VLOOKUP(D187,'G-7 Rivers Data'!$B$2:$G$8,2,FALSE))</f>
        <v/>
      </c>
      <c r="G187" s="499" t="str">
        <f>IFERROR(VLOOKUP(F187,'G-7 Rivers Data'!$C$4:$D$8,2,FALSE),"")</f>
        <v/>
      </c>
      <c r="H187" s="145"/>
      <c r="I187" s="499" t="str">
        <f>IFERROR(INDEX('G-7 Rivers Data'!$H$4:$L$8,MATCH(D187,'G-7 Rivers Data'!$B$4:$B$8,0),MATCH(H187,'G-7 Rivers Data'!$H$3:$L$3,0)),"")</f>
        <v/>
      </c>
      <c r="J187" s="154"/>
      <c r="K187" s="520" t="str">
        <f>IF(J187="","",IF(VLOOKUP(J187,'G-7 Rivers Data'!$AK$4:$AM$9,2,FALSE)=0,"Spatial Data Missing ⚠",VLOOKUP(J187,'G-7 Rivers Data'!$AK$4:$AM$9,2,FALSE)))</f>
        <v/>
      </c>
      <c r="L187" s="524" t="str">
        <f>IF(J187="","",IF(VLOOKUP(J187,'G-7 Rivers Data'!$AK$4:$AM$9,3,FALSE)=0,"Spatial Data Missing ⚠",VLOOKUP(J187,'G-7 Rivers Data'!$AK$4:$AM$9,3,FALSE)))</f>
        <v/>
      </c>
      <c r="M187" s="71"/>
      <c r="N187" s="499" t="str">
        <f>IF(M187="","",IF(VLOOKUP(M187,'G-7 Rivers Data'!$AA$4:$AB$7,2,FALSE)=0,"Spatial Data Missing ⚠",VLOOKUP(M187,'G-7 Rivers Data'!$AA$4:$AB$7,2,FALSE)))</f>
        <v/>
      </c>
      <c r="O187" s="155"/>
      <c r="P187" s="499" t="str">
        <f>IF(O187="","",IF(VLOOKUP(O187,'G-7 Rivers Data'!$AD$4:$AE$8,2,FALSE)=0,"Spatial Data Missing ⚠",VLOOKUP(O187,'G-7 Rivers Data'!$AD$4:$AE$8,2,FALSE)))</f>
        <v/>
      </c>
      <c r="Q187" s="506" t="str">
        <f>IF(D187="","",VLOOKUP(D187,'G-7 Rivers Data'!$B$4:$G$8,6,FALSE))</f>
        <v/>
      </c>
      <c r="R187" s="513" t="str">
        <f t="shared" si="16"/>
        <v/>
      </c>
      <c r="S187" s="40"/>
      <c r="T187" s="145"/>
      <c r="U187" s="157"/>
      <c r="V187" s="511" t="str">
        <f t="shared" si="17"/>
        <v/>
      </c>
      <c r="W187" s="511" t="str">
        <f t="shared" si="18"/>
        <v/>
      </c>
      <c r="X187" s="511" t="str">
        <f t="shared" si="19"/>
        <v/>
      </c>
      <c r="Y187" s="515" t="str">
        <f t="shared" si="20"/>
        <v/>
      </c>
      <c r="Z187" s="151"/>
      <c r="AA187" s="152"/>
      <c r="AF187" s="31" t="str">
        <f>IFERROR(INDEX('G-7 Rivers Data'!$AZ$3:$AZ$7,MATCH(D187,'G-7 Rivers Data'!$AY$3:$AY$7,0)),"")</f>
        <v/>
      </c>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row>
    <row r="188" spans="3:40" ht="13.8" x14ac:dyDescent="0.25">
      <c r="C188" s="141">
        <v>179</v>
      </c>
      <c r="D188" s="462"/>
      <c r="E188" s="153"/>
      <c r="F188" s="498" t="str">
        <f>IF(D188="","",VLOOKUP(D188,'G-7 Rivers Data'!$B$2:$G$8,2,FALSE))</f>
        <v/>
      </c>
      <c r="G188" s="499" t="str">
        <f>IFERROR(VLOOKUP(F188,'G-7 Rivers Data'!$C$4:$D$8,2,FALSE),"")</f>
        <v/>
      </c>
      <c r="H188" s="145"/>
      <c r="I188" s="499" t="str">
        <f>IFERROR(INDEX('G-7 Rivers Data'!$H$4:$L$8,MATCH(D188,'G-7 Rivers Data'!$B$4:$B$8,0),MATCH(H188,'G-7 Rivers Data'!$H$3:$L$3,0)),"")</f>
        <v/>
      </c>
      <c r="J188" s="154"/>
      <c r="K188" s="520" t="str">
        <f>IF(J188="","",IF(VLOOKUP(J188,'G-7 Rivers Data'!$AK$4:$AM$9,2,FALSE)=0,"Spatial Data Missing ⚠",VLOOKUP(J188,'G-7 Rivers Data'!$AK$4:$AM$9,2,FALSE)))</f>
        <v/>
      </c>
      <c r="L188" s="524" t="str">
        <f>IF(J188="","",IF(VLOOKUP(J188,'G-7 Rivers Data'!$AK$4:$AM$9,3,FALSE)=0,"Spatial Data Missing ⚠",VLOOKUP(J188,'G-7 Rivers Data'!$AK$4:$AM$9,3,FALSE)))</f>
        <v/>
      </c>
      <c r="M188" s="71"/>
      <c r="N188" s="499" t="str">
        <f>IF(M188="","",IF(VLOOKUP(M188,'G-7 Rivers Data'!$AA$4:$AB$7,2,FALSE)=0,"Spatial Data Missing ⚠",VLOOKUP(M188,'G-7 Rivers Data'!$AA$4:$AB$7,2,FALSE)))</f>
        <v/>
      </c>
      <c r="O188" s="155"/>
      <c r="P188" s="499" t="str">
        <f>IF(O188="","",IF(VLOOKUP(O188,'G-7 Rivers Data'!$AD$4:$AE$8,2,FALSE)=0,"Spatial Data Missing ⚠",VLOOKUP(O188,'G-7 Rivers Data'!$AD$4:$AE$8,2,FALSE)))</f>
        <v/>
      </c>
      <c r="Q188" s="506" t="str">
        <f>IF(D188="","",VLOOKUP(D188,'G-7 Rivers Data'!$B$4:$G$8,6,FALSE))</f>
        <v/>
      </c>
      <c r="R188" s="513" t="str">
        <f t="shared" si="16"/>
        <v/>
      </c>
      <c r="S188" s="40"/>
      <c r="T188" s="145"/>
      <c r="U188" s="157"/>
      <c r="V188" s="511" t="str">
        <f t="shared" si="17"/>
        <v/>
      </c>
      <c r="W188" s="511" t="str">
        <f t="shared" si="18"/>
        <v/>
      </c>
      <c r="X188" s="511" t="str">
        <f t="shared" si="19"/>
        <v/>
      </c>
      <c r="Y188" s="515" t="str">
        <f t="shared" si="20"/>
        <v/>
      </c>
      <c r="Z188" s="151"/>
      <c r="AA188" s="152"/>
      <c r="AF188" s="31" t="str">
        <f>IFERROR(INDEX('G-7 Rivers Data'!$AZ$3:$AZ$7,MATCH(D188,'G-7 Rivers Data'!$AY$3:$AY$7,0)),"")</f>
        <v/>
      </c>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row>
    <row r="189" spans="3:40" ht="13.8" x14ac:dyDescent="0.25">
      <c r="C189" s="141">
        <v>180</v>
      </c>
      <c r="D189" s="462"/>
      <c r="E189" s="153"/>
      <c r="F189" s="498" t="str">
        <f>IF(D189="","",VLOOKUP(D189,'G-7 Rivers Data'!$B$2:$G$8,2,FALSE))</f>
        <v/>
      </c>
      <c r="G189" s="499" t="str">
        <f>IFERROR(VLOOKUP(F189,'G-7 Rivers Data'!$C$4:$D$8,2,FALSE),"")</f>
        <v/>
      </c>
      <c r="H189" s="145"/>
      <c r="I189" s="499" t="str">
        <f>IFERROR(INDEX('G-7 Rivers Data'!$H$4:$L$8,MATCH(D189,'G-7 Rivers Data'!$B$4:$B$8,0),MATCH(H189,'G-7 Rivers Data'!$H$3:$L$3,0)),"")</f>
        <v/>
      </c>
      <c r="J189" s="154"/>
      <c r="K189" s="520" t="str">
        <f>IF(J189="","",IF(VLOOKUP(J189,'G-7 Rivers Data'!$AK$4:$AM$9,2,FALSE)=0,"Spatial Data Missing ⚠",VLOOKUP(J189,'G-7 Rivers Data'!$AK$4:$AM$9,2,FALSE)))</f>
        <v/>
      </c>
      <c r="L189" s="524" t="str">
        <f>IF(J189="","",IF(VLOOKUP(J189,'G-7 Rivers Data'!$AK$4:$AM$9,3,FALSE)=0,"Spatial Data Missing ⚠",VLOOKUP(J189,'G-7 Rivers Data'!$AK$4:$AM$9,3,FALSE)))</f>
        <v/>
      </c>
      <c r="M189" s="71"/>
      <c r="N189" s="499" t="str">
        <f>IF(M189="","",IF(VLOOKUP(M189,'G-7 Rivers Data'!$AA$4:$AB$7,2,FALSE)=0,"Spatial Data Missing ⚠",VLOOKUP(M189,'G-7 Rivers Data'!$AA$4:$AB$7,2,FALSE)))</f>
        <v/>
      </c>
      <c r="O189" s="155"/>
      <c r="P189" s="499" t="str">
        <f>IF(O189="","",IF(VLOOKUP(O189,'G-7 Rivers Data'!$AD$4:$AE$8,2,FALSE)=0,"Spatial Data Missing ⚠",VLOOKUP(O189,'G-7 Rivers Data'!$AD$4:$AE$8,2,FALSE)))</f>
        <v/>
      </c>
      <c r="Q189" s="506" t="str">
        <f>IF(D189="","",VLOOKUP(D189,'G-7 Rivers Data'!$B$4:$G$8,6,FALSE))</f>
        <v/>
      </c>
      <c r="R189" s="513" t="str">
        <f t="shared" si="16"/>
        <v/>
      </c>
      <c r="S189" s="40"/>
      <c r="T189" s="145"/>
      <c r="U189" s="157"/>
      <c r="V189" s="511" t="str">
        <f t="shared" si="17"/>
        <v/>
      </c>
      <c r="W189" s="511" t="str">
        <f t="shared" si="18"/>
        <v/>
      </c>
      <c r="X189" s="511" t="str">
        <f t="shared" si="19"/>
        <v/>
      </c>
      <c r="Y189" s="515" t="str">
        <f t="shared" si="20"/>
        <v/>
      </c>
      <c r="Z189" s="151"/>
      <c r="AA189" s="152"/>
      <c r="AF189" s="31" t="str">
        <f>IFERROR(INDEX('G-7 Rivers Data'!$AZ$3:$AZ$7,MATCH(D189,'G-7 Rivers Data'!$AY$3:$AY$7,0)),"")</f>
        <v/>
      </c>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row>
    <row r="190" spans="3:40" ht="13.8" x14ac:dyDescent="0.25">
      <c r="C190" s="141">
        <v>181</v>
      </c>
      <c r="D190" s="462"/>
      <c r="E190" s="153"/>
      <c r="F190" s="498" t="str">
        <f>IF(D190="","",VLOOKUP(D190,'G-7 Rivers Data'!$B$2:$G$8,2,FALSE))</f>
        <v/>
      </c>
      <c r="G190" s="499" t="str">
        <f>IFERROR(VLOOKUP(F190,'G-7 Rivers Data'!$C$4:$D$8,2,FALSE),"")</f>
        <v/>
      </c>
      <c r="H190" s="145"/>
      <c r="I190" s="499" t="str">
        <f>IFERROR(INDEX('G-7 Rivers Data'!$H$4:$L$8,MATCH(D190,'G-7 Rivers Data'!$B$4:$B$8,0),MATCH(H190,'G-7 Rivers Data'!$H$3:$L$3,0)),"")</f>
        <v/>
      </c>
      <c r="J190" s="154"/>
      <c r="K190" s="520" t="str">
        <f>IF(J190="","",IF(VLOOKUP(J190,'G-7 Rivers Data'!$AK$4:$AM$9,2,FALSE)=0,"Spatial Data Missing ⚠",VLOOKUP(J190,'G-7 Rivers Data'!$AK$4:$AM$9,2,FALSE)))</f>
        <v/>
      </c>
      <c r="L190" s="524" t="str">
        <f>IF(J190="","",IF(VLOOKUP(J190,'G-7 Rivers Data'!$AK$4:$AM$9,3,FALSE)=0,"Spatial Data Missing ⚠",VLOOKUP(J190,'G-7 Rivers Data'!$AK$4:$AM$9,3,FALSE)))</f>
        <v/>
      </c>
      <c r="M190" s="71"/>
      <c r="N190" s="499" t="str">
        <f>IF(M190="","",IF(VLOOKUP(M190,'G-7 Rivers Data'!$AA$4:$AB$7,2,FALSE)=0,"Spatial Data Missing ⚠",VLOOKUP(M190,'G-7 Rivers Data'!$AA$4:$AB$7,2,FALSE)))</f>
        <v/>
      </c>
      <c r="O190" s="155"/>
      <c r="P190" s="499" t="str">
        <f>IF(O190="","",IF(VLOOKUP(O190,'G-7 Rivers Data'!$AD$4:$AE$8,2,FALSE)=0,"Spatial Data Missing ⚠",VLOOKUP(O190,'G-7 Rivers Data'!$AD$4:$AE$8,2,FALSE)))</f>
        <v/>
      </c>
      <c r="Q190" s="506" t="str">
        <f>IF(D190="","",VLOOKUP(D190,'G-7 Rivers Data'!$B$4:$G$8,6,FALSE))</f>
        <v/>
      </c>
      <c r="R190" s="513" t="str">
        <f t="shared" si="16"/>
        <v/>
      </c>
      <c r="S190" s="40"/>
      <c r="T190" s="145"/>
      <c r="U190" s="157"/>
      <c r="V190" s="511" t="str">
        <f t="shared" si="17"/>
        <v/>
      </c>
      <c r="W190" s="511" t="str">
        <f t="shared" si="18"/>
        <v/>
      </c>
      <c r="X190" s="511" t="str">
        <f t="shared" si="19"/>
        <v/>
      </c>
      <c r="Y190" s="515" t="str">
        <f t="shared" si="20"/>
        <v/>
      </c>
      <c r="Z190" s="151"/>
      <c r="AA190" s="152"/>
      <c r="AF190" s="31" t="str">
        <f>IFERROR(INDEX('G-7 Rivers Data'!$AZ$3:$AZ$7,MATCH(D190,'G-7 Rivers Data'!$AY$3:$AY$7,0)),"")</f>
        <v/>
      </c>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row>
    <row r="191" spans="3:40" ht="13.8" x14ac:dyDescent="0.25">
      <c r="C191" s="141">
        <v>182</v>
      </c>
      <c r="D191" s="462"/>
      <c r="E191" s="153"/>
      <c r="F191" s="498" t="str">
        <f>IF(D191="","",VLOOKUP(D191,'G-7 Rivers Data'!$B$2:$G$8,2,FALSE))</f>
        <v/>
      </c>
      <c r="G191" s="499" t="str">
        <f>IFERROR(VLOOKUP(F191,'G-7 Rivers Data'!$C$4:$D$8,2,FALSE),"")</f>
        <v/>
      </c>
      <c r="H191" s="145"/>
      <c r="I191" s="499" t="str">
        <f>IFERROR(INDEX('G-7 Rivers Data'!$H$4:$L$8,MATCH(D191,'G-7 Rivers Data'!$B$4:$B$8,0),MATCH(H191,'G-7 Rivers Data'!$H$3:$L$3,0)),"")</f>
        <v/>
      </c>
      <c r="J191" s="154"/>
      <c r="K191" s="520" t="str">
        <f>IF(J191="","",IF(VLOOKUP(J191,'G-7 Rivers Data'!$AK$4:$AM$9,2,FALSE)=0,"Spatial Data Missing ⚠",VLOOKUP(J191,'G-7 Rivers Data'!$AK$4:$AM$9,2,FALSE)))</f>
        <v/>
      </c>
      <c r="L191" s="524" t="str">
        <f>IF(J191="","",IF(VLOOKUP(J191,'G-7 Rivers Data'!$AK$4:$AM$9,3,FALSE)=0,"Spatial Data Missing ⚠",VLOOKUP(J191,'G-7 Rivers Data'!$AK$4:$AM$9,3,FALSE)))</f>
        <v/>
      </c>
      <c r="M191" s="71"/>
      <c r="N191" s="499" t="str">
        <f>IF(M191="","",IF(VLOOKUP(M191,'G-7 Rivers Data'!$AA$4:$AB$7,2,FALSE)=0,"Spatial Data Missing ⚠",VLOOKUP(M191,'G-7 Rivers Data'!$AA$4:$AB$7,2,FALSE)))</f>
        <v/>
      </c>
      <c r="O191" s="155"/>
      <c r="P191" s="499" t="str">
        <f>IF(O191="","",IF(VLOOKUP(O191,'G-7 Rivers Data'!$AD$4:$AE$8,2,FALSE)=0,"Spatial Data Missing ⚠",VLOOKUP(O191,'G-7 Rivers Data'!$AD$4:$AE$8,2,FALSE)))</f>
        <v/>
      </c>
      <c r="Q191" s="506" t="str">
        <f>IF(D191="","",VLOOKUP(D191,'G-7 Rivers Data'!$B$4:$G$8,6,FALSE))</f>
        <v/>
      </c>
      <c r="R191" s="513" t="str">
        <f t="shared" si="16"/>
        <v/>
      </c>
      <c r="S191" s="40"/>
      <c r="T191" s="145"/>
      <c r="U191" s="157"/>
      <c r="V191" s="511" t="str">
        <f t="shared" si="17"/>
        <v/>
      </c>
      <c r="W191" s="511" t="str">
        <f t="shared" si="18"/>
        <v/>
      </c>
      <c r="X191" s="511" t="str">
        <f t="shared" si="19"/>
        <v/>
      </c>
      <c r="Y191" s="515" t="str">
        <f t="shared" si="20"/>
        <v/>
      </c>
      <c r="Z191" s="151"/>
      <c r="AA191" s="152"/>
      <c r="AF191" s="31" t="str">
        <f>IFERROR(INDEX('G-7 Rivers Data'!$AZ$3:$AZ$7,MATCH(D191,'G-7 Rivers Data'!$AY$3:$AY$7,0)),"")</f>
        <v/>
      </c>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row>
    <row r="192" spans="3:40" ht="13.8" x14ac:dyDescent="0.25">
      <c r="C192" s="141">
        <v>183</v>
      </c>
      <c r="D192" s="462"/>
      <c r="E192" s="153"/>
      <c r="F192" s="498" t="str">
        <f>IF(D192="","",VLOOKUP(D192,'G-7 Rivers Data'!$B$2:$G$8,2,FALSE))</f>
        <v/>
      </c>
      <c r="G192" s="499" t="str">
        <f>IFERROR(VLOOKUP(F192,'G-7 Rivers Data'!$C$4:$D$8,2,FALSE),"")</f>
        <v/>
      </c>
      <c r="H192" s="145"/>
      <c r="I192" s="499" t="str">
        <f>IFERROR(INDEX('G-7 Rivers Data'!$H$4:$L$8,MATCH(D192,'G-7 Rivers Data'!$B$4:$B$8,0),MATCH(H192,'G-7 Rivers Data'!$H$3:$L$3,0)),"")</f>
        <v/>
      </c>
      <c r="J192" s="154"/>
      <c r="K192" s="520" t="str">
        <f>IF(J192="","",IF(VLOOKUP(J192,'G-7 Rivers Data'!$AK$4:$AM$9,2,FALSE)=0,"Spatial Data Missing ⚠",VLOOKUP(J192,'G-7 Rivers Data'!$AK$4:$AM$9,2,FALSE)))</f>
        <v/>
      </c>
      <c r="L192" s="524" t="str">
        <f>IF(J192="","",IF(VLOOKUP(J192,'G-7 Rivers Data'!$AK$4:$AM$9,3,FALSE)=0,"Spatial Data Missing ⚠",VLOOKUP(J192,'G-7 Rivers Data'!$AK$4:$AM$9,3,FALSE)))</f>
        <v/>
      </c>
      <c r="M192" s="71"/>
      <c r="N192" s="499" t="str">
        <f>IF(M192="","",IF(VLOOKUP(M192,'G-7 Rivers Data'!$AA$4:$AB$7,2,FALSE)=0,"Spatial Data Missing ⚠",VLOOKUP(M192,'G-7 Rivers Data'!$AA$4:$AB$7,2,FALSE)))</f>
        <v/>
      </c>
      <c r="O192" s="155"/>
      <c r="P192" s="499" t="str">
        <f>IF(O192="","",IF(VLOOKUP(O192,'G-7 Rivers Data'!$AD$4:$AE$8,2,FALSE)=0,"Spatial Data Missing ⚠",VLOOKUP(O192,'G-7 Rivers Data'!$AD$4:$AE$8,2,FALSE)))</f>
        <v/>
      </c>
      <c r="Q192" s="506" t="str">
        <f>IF(D192="","",VLOOKUP(D192,'G-7 Rivers Data'!$B$4:$G$8,6,FALSE))</f>
        <v/>
      </c>
      <c r="R192" s="513" t="str">
        <f t="shared" si="16"/>
        <v/>
      </c>
      <c r="S192" s="40"/>
      <c r="T192" s="145"/>
      <c r="U192" s="157"/>
      <c r="V192" s="511" t="str">
        <f t="shared" si="17"/>
        <v/>
      </c>
      <c r="W192" s="511" t="str">
        <f t="shared" si="18"/>
        <v/>
      </c>
      <c r="X192" s="511" t="str">
        <f t="shared" si="19"/>
        <v/>
      </c>
      <c r="Y192" s="515" t="str">
        <f t="shared" si="20"/>
        <v/>
      </c>
      <c r="Z192" s="151"/>
      <c r="AA192" s="152"/>
      <c r="AF192" s="31" t="str">
        <f>IFERROR(INDEX('G-7 Rivers Data'!$AZ$3:$AZ$7,MATCH(D192,'G-7 Rivers Data'!$AY$3:$AY$7,0)),"")</f>
        <v/>
      </c>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row>
    <row r="193" spans="3:40" ht="13.8" x14ac:dyDescent="0.25">
      <c r="C193" s="141">
        <v>184</v>
      </c>
      <c r="D193" s="462"/>
      <c r="E193" s="153"/>
      <c r="F193" s="498" t="str">
        <f>IF(D193="","",VLOOKUP(D193,'G-7 Rivers Data'!$B$2:$G$8,2,FALSE))</f>
        <v/>
      </c>
      <c r="G193" s="499" t="str">
        <f>IFERROR(VLOOKUP(F193,'G-7 Rivers Data'!$C$4:$D$8,2,FALSE),"")</f>
        <v/>
      </c>
      <c r="H193" s="145"/>
      <c r="I193" s="499" t="str">
        <f>IFERROR(INDEX('G-7 Rivers Data'!$H$4:$L$8,MATCH(D193,'G-7 Rivers Data'!$B$4:$B$8,0),MATCH(H193,'G-7 Rivers Data'!$H$3:$L$3,0)),"")</f>
        <v/>
      </c>
      <c r="J193" s="154"/>
      <c r="K193" s="520" t="str">
        <f>IF(J193="","",IF(VLOOKUP(J193,'G-7 Rivers Data'!$AK$4:$AM$9,2,FALSE)=0,"Spatial Data Missing ⚠",VLOOKUP(J193,'G-7 Rivers Data'!$AK$4:$AM$9,2,FALSE)))</f>
        <v/>
      </c>
      <c r="L193" s="524" t="str">
        <f>IF(J193="","",IF(VLOOKUP(J193,'G-7 Rivers Data'!$AK$4:$AM$9,3,FALSE)=0,"Spatial Data Missing ⚠",VLOOKUP(J193,'G-7 Rivers Data'!$AK$4:$AM$9,3,FALSE)))</f>
        <v/>
      </c>
      <c r="M193" s="71"/>
      <c r="N193" s="499" t="str">
        <f>IF(M193="","",IF(VLOOKUP(M193,'G-7 Rivers Data'!$AA$4:$AB$7,2,FALSE)=0,"Spatial Data Missing ⚠",VLOOKUP(M193,'G-7 Rivers Data'!$AA$4:$AB$7,2,FALSE)))</f>
        <v/>
      </c>
      <c r="O193" s="155"/>
      <c r="P193" s="499" t="str">
        <f>IF(O193="","",IF(VLOOKUP(O193,'G-7 Rivers Data'!$AD$4:$AE$8,2,FALSE)=0,"Spatial Data Missing ⚠",VLOOKUP(O193,'G-7 Rivers Data'!$AD$4:$AE$8,2,FALSE)))</f>
        <v/>
      </c>
      <c r="Q193" s="506" t="str">
        <f>IF(D193="","",VLOOKUP(D193,'G-7 Rivers Data'!$B$4:$G$8,6,FALSE))</f>
        <v/>
      </c>
      <c r="R193" s="513" t="str">
        <f t="shared" si="16"/>
        <v/>
      </c>
      <c r="S193" s="40"/>
      <c r="T193" s="145"/>
      <c r="U193" s="157"/>
      <c r="V193" s="511" t="str">
        <f t="shared" si="17"/>
        <v/>
      </c>
      <c r="W193" s="511" t="str">
        <f t="shared" si="18"/>
        <v/>
      </c>
      <c r="X193" s="511" t="str">
        <f t="shared" si="19"/>
        <v/>
      </c>
      <c r="Y193" s="515" t="str">
        <f t="shared" si="20"/>
        <v/>
      </c>
      <c r="Z193" s="151"/>
      <c r="AA193" s="152"/>
      <c r="AF193" s="31" t="str">
        <f>IFERROR(INDEX('G-7 Rivers Data'!$AZ$3:$AZ$7,MATCH(D193,'G-7 Rivers Data'!$AY$3:$AY$7,0)),"")</f>
        <v/>
      </c>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row>
    <row r="194" spans="3:40" ht="13.8" x14ac:dyDescent="0.25">
      <c r="C194" s="141">
        <v>185</v>
      </c>
      <c r="D194" s="462"/>
      <c r="E194" s="153"/>
      <c r="F194" s="498" t="str">
        <f>IF(D194="","",VLOOKUP(D194,'G-7 Rivers Data'!$B$2:$G$8,2,FALSE))</f>
        <v/>
      </c>
      <c r="G194" s="499" t="str">
        <f>IFERROR(VLOOKUP(F194,'G-7 Rivers Data'!$C$4:$D$8,2,FALSE),"")</f>
        <v/>
      </c>
      <c r="H194" s="145"/>
      <c r="I194" s="499" t="str">
        <f>IFERROR(INDEX('G-7 Rivers Data'!$H$4:$L$8,MATCH(D194,'G-7 Rivers Data'!$B$4:$B$8,0),MATCH(H194,'G-7 Rivers Data'!$H$3:$L$3,0)),"")</f>
        <v/>
      </c>
      <c r="J194" s="154"/>
      <c r="K194" s="520" t="str">
        <f>IF(J194="","",IF(VLOOKUP(J194,'G-7 Rivers Data'!$AK$4:$AM$9,2,FALSE)=0,"Spatial Data Missing ⚠",VLOOKUP(J194,'G-7 Rivers Data'!$AK$4:$AM$9,2,FALSE)))</f>
        <v/>
      </c>
      <c r="L194" s="524" t="str">
        <f>IF(J194="","",IF(VLOOKUP(J194,'G-7 Rivers Data'!$AK$4:$AM$9,3,FALSE)=0,"Spatial Data Missing ⚠",VLOOKUP(J194,'G-7 Rivers Data'!$AK$4:$AM$9,3,FALSE)))</f>
        <v/>
      </c>
      <c r="M194" s="71"/>
      <c r="N194" s="499" t="str">
        <f>IF(M194="","",IF(VLOOKUP(M194,'G-7 Rivers Data'!$AA$4:$AB$7,2,FALSE)=0,"Spatial Data Missing ⚠",VLOOKUP(M194,'G-7 Rivers Data'!$AA$4:$AB$7,2,FALSE)))</f>
        <v/>
      </c>
      <c r="O194" s="155"/>
      <c r="P194" s="499" t="str">
        <f>IF(O194="","",IF(VLOOKUP(O194,'G-7 Rivers Data'!$AD$4:$AE$8,2,FALSE)=0,"Spatial Data Missing ⚠",VLOOKUP(O194,'G-7 Rivers Data'!$AD$4:$AE$8,2,FALSE)))</f>
        <v/>
      </c>
      <c r="Q194" s="506" t="str">
        <f>IF(D194="","",VLOOKUP(D194,'G-7 Rivers Data'!$B$4:$G$8,6,FALSE))</f>
        <v/>
      </c>
      <c r="R194" s="513" t="str">
        <f t="shared" si="16"/>
        <v/>
      </c>
      <c r="S194" s="40"/>
      <c r="T194" s="145"/>
      <c r="U194" s="157"/>
      <c r="V194" s="511" t="str">
        <f t="shared" si="17"/>
        <v/>
      </c>
      <c r="W194" s="511" t="str">
        <f t="shared" si="18"/>
        <v/>
      </c>
      <c r="X194" s="511" t="str">
        <f t="shared" si="19"/>
        <v/>
      </c>
      <c r="Y194" s="515" t="str">
        <f t="shared" si="20"/>
        <v/>
      </c>
      <c r="Z194" s="151"/>
      <c r="AA194" s="152"/>
      <c r="AF194" s="31" t="str">
        <f>IFERROR(INDEX('G-7 Rivers Data'!$AZ$3:$AZ$7,MATCH(D194,'G-7 Rivers Data'!$AY$3:$AY$7,0)),"")</f>
        <v/>
      </c>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row>
    <row r="195" spans="3:40" ht="13.8" x14ac:dyDescent="0.25">
      <c r="C195" s="141">
        <v>186</v>
      </c>
      <c r="D195" s="462"/>
      <c r="E195" s="153"/>
      <c r="F195" s="498" t="str">
        <f>IF(D195="","",VLOOKUP(D195,'G-7 Rivers Data'!$B$2:$G$8,2,FALSE))</f>
        <v/>
      </c>
      <c r="G195" s="499" t="str">
        <f>IFERROR(VLOOKUP(F195,'G-7 Rivers Data'!$C$4:$D$8,2,FALSE),"")</f>
        <v/>
      </c>
      <c r="H195" s="145"/>
      <c r="I195" s="499" t="str">
        <f>IFERROR(INDEX('G-7 Rivers Data'!$H$4:$L$8,MATCH(D195,'G-7 Rivers Data'!$B$4:$B$8,0),MATCH(H195,'G-7 Rivers Data'!$H$3:$L$3,0)),"")</f>
        <v/>
      </c>
      <c r="J195" s="154"/>
      <c r="K195" s="520" t="str">
        <f>IF(J195="","",IF(VLOOKUP(J195,'G-7 Rivers Data'!$AK$4:$AM$9,2,FALSE)=0,"Spatial Data Missing ⚠",VLOOKUP(J195,'G-7 Rivers Data'!$AK$4:$AM$9,2,FALSE)))</f>
        <v/>
      </c>
      <c r="L195" s="524" t="str">
        <f>IF(J195="","",IF(VLOOKUP(J195,'G-7 Rivers Data'!$AK$4:$AM$9,3,FALSE)=0,"Spatial Data Missing ⚠",VLOOKUP(J195,'G-7 Rivers Data'!$AK$4:$AM$9,3,FALSE)))</f>
        <v/>
      </c>
      <c r="M195" s="71"/>
      <c r="N195" s="499" t="str">
        <f>IF(M195="","",IF(VLOOKUP(M195,'G-7 Rivers Data'!$AA$4:$AB$7,2,FALSE)=0,"Spatial Data Missing ⚠",VLOOKUP(M195,'G-7 Rivers Data'!$AA$4:$AB$7,2,FALSE)))</f>
        <v/>
      </c>
      <c r="O195" s="155"/>
      <c r="P195" s="499" t="str">
        <f>IF(O195="","",IF(VLOOKUP(O195,'G-7 Rivers Data'!$AD$4:$AE$8,2,FALSE)=0,"Spatial Data Missing ⚠",VLOOKUP(O195,'G-7 Rivers Data'!$AD$4:$AE$8,2,FALSE)))</f>
        <v/>
      </c>
      <c r="Q195" s="506" t="str">
        <f>IF(D195="","",VLOOKUP(D195,'G-7 Rivers Data'!$B$4:$G$8,6,FALSE))</f>
        <v/>
      </c>
      <c r="R195" s="513" t="str">
        <f t="shared" si="16"/>
        <v/>
      </c>
      <c r="S195" s="40"/>
      <c r="T195" s="145"/>
      <c r="U195" s="157"/>
      <c r="V195" s="511" t="str">
        <f t="shared" si="17"/>
        <v/>
      </c>
      <c r="W195" s="511" t="str">
        <f t="shared" si="18"/>
        <v/>
      </c>
      <c r="X195" s="511" t="str">
        <f t="shared" si="19"/>
        <v/>
      </c>
      <c r="Y195" s="515" t="str">
        <f t="shared" si="20"/>
        <v/>
      </c>
      <c r="Z195" s="151"/>
      <c r="AA195" s="152"/>
      <c r="AF195" s="31" t="str">
        <f>IFERROR(INDEX('G-7 Rivers Data'!$AZ$3:$AZ$7,MATCH(D195,'G-7 Rivers Data'!$AY$3:$AY$7,0)),"")</f>
        <v/>
      </c>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row>
    <row r="196" spans="3:40" ht="13.8" x14ac:dyDescent="0.25">
      <c r="C196" s="141">
        <v>187</v>
      </c>
      <c r="D196" s="462"/>
      <c r="E196" s="153"/>
      <c r="F196" s="498" t="str">
        <f>IF(D196="","",VLOOKUP(D196,'G-7 Rivers Data'!$B$2:$G$8,2,FALSE))</f>
        <v/>
      </c>
      <c r="G196" s="499" t="str">
        <f>IFERROR(VLOOKUP(F196,'G-7 Rivers Data'!$C$4:$D$8,2,FALSE),"")</f>
        <v/>
      </c>
      <c r="H196" s="145"/>
      <c r="I196" s="499" t="str">
        <f>IFERROR(INDEX('G-7 Rivers Data'!$H$4:$L$8,MATCH(D196,'G-7 Rivers Data'!$B$4:$B$8,0),MATCH(H196,'G-7 Rivers Data'!$H$3:$L$3,0)),"")</f>
        <v/>
      </c>
      <c r="J196" s="154"/>
      <c r="K196" s="520" t="str">
        <f>IF(J196="","",IF(VLOOKUP(J196,'G-7 Rivers Data'!$AK$4:$AM$9,2,FALSE)=0,"Spatial Data Missing ⚠",VLOOKUP(J196,'G-7 Rivers Data'!$AK$4:$AM$9,2,FALSE)))</f>
        <v/>
      </c>
      <c r="L196" s="524" t="str">
        <f>IF(J196="","",IF(VLOOKUP(J196,'G-7 Rivers Data'!$AK$4:$AM$9,3,FALSE)=0,"Spatial Data Missing ⚠",VLOOKUP(J196,'G-7 Rivers Data'!$AK$4:$AM$9,3,FALSE)))</f>
        <v/>
      </c>
      <c r="M196" s="71"/>
      <c r="N196" s="499" t="str">
        <f>IF(M196="","",IF(VLOOKUP(M196,'G-7 Rivers Data'!$AA$4:$AB$7,2,FALSE)=0,"Spatial Data Missing ⚠",VLOOKUP(M196,'G-7 Rivers Data'!$AA$4:$AB$7,2,FALSE)))</f>
        <v/>
      </c>
      <c r="O196" s="155"/>
      <c r="P196" s="499" t="str">
        <f>IF(O196="","",IF(VLOOKUP(O196,'G-7 Rivers Data'!$AD$4:$AE$8,2,FALSE)=0,"Spatial Data Missing ⚠",VLOOKUP(O196,'G-7 Rivers Data'!$AD$4:$AE$8,2,FALSE)))</f>
        <v/>
      </c>
      <c r="Q196" s="506" t="str">
        <f>IF(D196="","",VLOOKUP(D196,'G-7 Rivers Data'!$B$4:$G$8,6,FALSE))</f>
        <v/>
      </c>
      <c r="R196" s="513" t="str">
        <f t="shared" si="16"/>
        <v/>
      </c>
      <c r="S196" s="40"/>
      <c r="T196" s="145"/>
      <c r="U196" s="157"/>
      <c r="V196" s="511" t="str">
        <f t="shared" si="17"/>
        <v/>
      </c>
      <c r="W196" s="511" t="str">
        <f t="shared" si="18"/>
        <v/>
      </c>
      <c r="X196" s="511" t="str">
        <f t="shared" si="19"/>
        <v/>
      </c>
      <c r="Y196" s="515" t="str">
        <f t="shared" si="20"/>
        <v/>
      </c>
      <c r="Z196" s="151"/>
      <c r="AA196" s="152"/>
      <c r="AF196" s="31" t="str">
        <f>IFERROR(INDEX('G-7 Rivers Data'!$AZ$3:$AZ$7,MATCH(D196,'G-7 Rivers Data'!$AY$3:$AY$7,0)),"")</f>
        <v/>
      </c>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row>
    <row r="197" spans="3:40" ht="13.8" x14ac:dyDescent="0.25">
      <c r="C197" s="141">
        <v>188</v>
      </c>
      <c r="D197" s="462"/>
      <c r="E197" s="153"/>
      <c r="F197" s="498" t="str">
        <f>IF(D197="","",VLOOKUP(D197,'G-7 Rivers Data'!$B$2:$G$8,2,FALSE))</f>
        <v/>
      </c>
      <c r="G197" s="499" t="str">
        <f>IFERROR(VLOOKUP(F197,'G-7 Rivers Data'!$C$4:$D$8,2,FALSE),"")</f>
        <v/>
      </c>
      <c r="H197" s="145"/>
      <c r="I197" s="499" t="str">
        <f>IFERROR(INDEX('G-7 Rivers Data'!$H$4:$L$8,MATCH(D197,'G-7 Rivers Data'!$B$4:$B$8,0),MATCH(H197,'G-7 Rivers Data'!$H$3:$L$3,0)),"")</f>
        <v/>
      </c>
      <c r="J197" s="154"/>
      <c r="K197" s="520" t="str">
        <f>IF(J197="","",IF(VLOOKUP(J197,'G-7 Rivers Data'!$AK$4:$AM$9,2,FALSE)=0,"Spatial Data Missing ⚠",VLOOKUP(J197,'G-7 Rivers Data'!$AK$4:$AM$9,2,FALSE)))</f>
        <v/>
      </c>
      <c r="L197" s="524" t="str">
        <f>IF(J197="","",IF(VLOOKUP(J197,'G-7 Rivers Data'!$AK$4:$AM$9,3,FALSE)=0,"Spatial Data Missing ⚠",VLOOKUP(J197,'G-7 Rivers Data'!$AK$4:$AM$9,3,FALSE)))</f>
        <v/>
      </c>
      <c r="M197" s="71"/>
      <c r="N197" s="499" t="str">
        <f>IF(M197="","",IF(VLOOKUP(M197,'G-7 Rivers Data'!$AA$4:$AB$7,2,FALSE)=0,"Spatial Data Missing ⚠",VLOOKUP(M197,'G-7 Rivers Data'!$AA$4:$AB$7,2,FALSE)))</f>
        <v/>
      </c>
      <c r="O197" s="155"/>
      <c r="P197" s="499" t="str">
        <f>IF(O197="","",IF(VLOOKUP(O197,'G-7 Rivers Data'!$AD$4:$AE$8,2,FALSE)=0,"Spatial Data Missing ⚠",VLOOKUP(O197,'G-7 Rivers Data'!$AD$4:$AE$8,2,FALSE)))</f>
        <v/>
      </c>
      <c r="Q197" s="506" t="str">
        <f>IF(D197="","",VLOOKUP(D197,'G-7 Rivers Data'!$B$4:$G$8,6,FALSE))</f>
        <v/>
      </c>
      <c r="R197" s="513" t="str">
        <f t="shared" si="16"/>
        <v/>
      </c>
      <c r="S197" s="40"/>
      <c r="T197" s="145"/>
      <c r="U197" s="157"/>
      <c r="V197" s="511" t="str">
        <f t="shared" si="17"/>
        <v/>
      </c>
      <c r="W197" s="511" t="str">
        <f t="shared" si="18"/>
        <v/>
      </c>
      <c r="X197" s="511" t="str">
        <f t="shared" si="19"/>
        <v/>
      </c>
      <c r="Y197" s="515" t="str">
        <f t="shared" si="20"/>
        <v/>
      </c>
      <c r="Z197" s="151"/>
      <c r="AA197" s="152"/>
      <c r="AF197" s="31" t="str">
        <f>IFERROR(INDEX('G-7 Rivers Data'!$AZ$3:$AZ$7,MATCH(D197,'G-7 Rivers Data'!$AY$3:$AY$7,0)),"")</f>
        <v/>
      </c>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row>
    <row r="198" spans="3:40" ht="13.8" x14ac:dyDescent="0.25">
      <c r="C198" s="141">
        <v>189</v>
      </c>
      <c r="D198" s="462"/>
      <c r="E198" s="153"/>
      <c r="F198" s="498" t="str">
        <f>IF(D198="","",VLOOKUP(D198,'G-7 Rivers Data'!$B$2:$G$8,2,FALSE))</f>
        <v/>
      </c>
      <c r="G198" s="499" t="str">
        <f>IFERROR(VLOOKUP(F198,'G-7 Rivers Data'!$C$4:$D$8,2,FALSE),"")</f>
        <v/>
      </c>
      <c r="H198" s="145"/>
      <c r="I198" s="499" t="str">
        <f>IFERROR(INDEX('G-7 Rivers Data'!$H$4:$L$8,MATCH(D198,'G-7 Rivers Data'!$B$4:$B$8,0),MATCH(H198,'G-7 Rivers Data'!$H$3:$L$3,0)),"")</f>
        <v/>
      </c>
      <c r="J198" s="154"/>
      <c r="K198" s="520" t="str">
        <f>IF(J198="","",IF(VLOOKUP(J198,'G-7 Rivers Data'!$AK$4:$AM$9,2,FALSE)=0,"Spatial Data Missing ⚠",VLOOKUP(J198,'G-7 Rivers Data'!$AK$4:$AM$9,2,FALSE)))</f>
        <v/>
      </c>
      <c r="L198" s="524" t="str">
        <f>IF(J198="","",IF(VLOOKUP(J198,'G-7 Rivers Data'!$AK$4:$AM$9,3,FALSE)=0,"Spatial Data Missing ⚠",VLOOKUP(J198,'G-7 Rivers Data'!$AK$4:$AM$9,3,FALSE)))</f>
        <v/>
      </c>
      <c r="M198" s="71"/>
      <c r="N198" s="499" t="str">
        <f>IF(M198="","",IF(VLOOKUP(M198,'G-7 Rivers Data'!$AA$4:$AB$7,2,FALSE)=0,"Spatial Data Missing ⚠",VLOOKUP(M198,'G-7 Rivers Data'!$AA$4:$AB$7,2,FALSE)))</f>
        <v/>
      </c>
      <c r="O198" s="155"/>
      <c r="P198" s="499" t="str">
        <f>IF(O198="","",IF(VLOOKUP(O198,'G-7 Rivers Data'!$AD$4:$AE$8,2,FALSE)=0,"Spatial Data Missing ⚠",VLOOKUP(O198,'G-7 Rivers Data'!$AD$4:$AE$8,2,FALSE)))</f>
        <v/>
      </c>
      <c r="Q198" s="506" t="str">
        <f>IF(D198="","",VLOOKUP(D198,'G-7 Rivers Data'!$B$4:$G$8,6,FALSE))</f>
        <v/>
      </c>
      <c r="R198" s="513" t="str">
        <f t="shared" si="16"/>
        <v/>
      </c>
      <c r="S198" s="40"/>
      <c r="T198" s="145"/>
      <c r="U198" s="157"/>
      <c r="V198" s="511" t="str">
        <f t="shared" si="17"/>
        <v/>
      </c>
      <c r="W198" s="511" t="str">
        <f t="shared" si="18"/>
        <v/>
      </c>
      <c r="X198" s="511" t="str">
        <f t="shared" si="19"/>
        <v/>
      </c>
      <c r="Y198" s="515" t="str">
        <f t="shared" si="20"/>
        <v/>
      </c>
      <c r="Z198" s="151"/>
      <c r="AA198" s="152"/>
      <c r="AF198" s="31" t="str">
        <f>IFERROR(INDEX('G-7 Rivers Data'!$AZ$3:$AZ$7,MATCH(D198,'G-7 Rivers Data'!$AY$3:$AY$7,0)),"")</f>
        <v/>
      </c>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row>
    <row r="199" spans="3:40" ht="13.8" x14ac:dyDescent="0.25">
      <c r="C199" s="141">
        <v>190</v>
      </c>
      <c r="D199" s="462"/>
      <c r="E199" s="153"/>
      <c r="F199" s="498" t="str">
        <f>IF(D199="","",VLOOKUP(D199,'G-7 Rivers Data'!$B$2:$G$8,2,FALSE))</f>
        <v/>
      </c>
      <c r="G199" s="499" t="str">
        <f>IFERROR(VLOOKUP(F199,'G-7 Rivers Data'!$C$4:$D$8,2,FALSE),"")</f>
        <v/>
      </c>
      <c r="H199" s="145"/>
      <c r="I199" s="499" t="str">
        <f>IFERROR(INDEX('G-7 Rivers Data'!$H$4:$L$8,MATCH(D199,'G-7 Rivers Data'!$B$4:$B$8,0),MATCH(H199,'G-7 Rivers Data'!$H$3:$L$3,0)),"")</f>
        <v/>
      </c>
      <c r="J199" s="154"/>
      <c r="K199" s="520" t="str">
        <f>IF(J199="","",IF(VLOOKUP(J199,'G-7 Rivers Data'!$AK$4:$AM$9,2,FALSE)=0,"Spatial Data Missing ⚠",VLOOKUP(J199,'G-7 Rivers Data'!$AK$4:$AM$9,2,FALSE)))</f>
        <v/>
      </c>
      <c r="L199" s="524" t="str">
        <f>IF(J199="","",IF(VLOOKUP(J199,'G-7 Rivers Data'!$AK$4:$AM$9,3,FALSE)=0,"Spatial Data Missing ⚠",VLOOKUP(J199,'G-7 Rivers Data'!$AK$4:$AM$9,3,FALSE)))</f>
        <v/>
      </c>
      <c r="M199" s="71"/>
      <c r="N199" s="499" t="str">
        <f>IF(M199="","",IF(VLOOKUP(M199,'G-7 Rivers Data'!$AA$4:$AB$7,2,FALSE)=0,"Spatial Data Missing ⚠",VLOOKUP(M199,'G-7 Rivers Data'!$AA$4:$AB$7,2,FALSE)))</f>
        <v/>
      </c>
      <c r="O199" s="155"/>
      <c r="P199" s="499" t="str">
        <f>IF(O199="","",IF(VLOOKUP(O199,'G-7 Rivers Data'!$AD$4:$AE$8,2,FALSE)=0,"Spatial Data Missing ⚠",VLOOKUP(O199,'G-7 Rivers Data'!$AD$4:$AE$8,2,FALSE)))</f>
        <v/>
      </c>
      <c r="Q199" s="506" t="str">
        <f>IF(D199="","",VLOOKUP(D199,'G-7 Rivers Data'!$B$4:$G$8,6,FALSE))</f>
        <v/>
      </c>
      <c r="R199" s="513" t="str">
        <f t="shared" si="16"/>
        <v/>
      </c>
      <c r="S199" s="40"/>
      <c r="T199" s="145"/>
      <c r="U199" s="157"/>
      <c r="V199" s="511" t="str">
        <f t="shared" si="17"/>
        <v/>
      </c>
      <c r="W199" s="511" t="str">
        <f t="shared" si="18"/>
        <v/>
      </c>
      <c r="X199" s="511" t="str">
        <f t="shared" si="19"/>
        <v/>
      </c>
      <c r="Y199" s="515" t="str">
        <f t="shared" si="20"/>
        <v/>
      </c>
      <c r="Z199" s="151"/>
      <c r="AA199" s="152"/>
      <c r="AF199" s="31" t="str">
        <f>IFERROR(INDEX('G-7 Rivers Data'!$AZ$3:$AZ$7,MATCH(D199,'G-7 Rivers Data'!$AY$3:$AY$7,0)),"")</f>
        <v/>
      </c>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row>
    <row r="200" spans="3:40" ht="13.8" x14ac:dyDescent="0.25">
      <c r="C200" s="141">
        <v>191</v>
      </c>
      <c r="D200" s="462"/>
      <c r="E200" s="153"/>
      <c r="F200" s="498" t="str">
        <f>IF(D200="","",VLOOKUP(D200,'G-7 Rivers Data'!$B$2:$G$8,2,FALSE))</f>
        <v/>
      </c>
      <c r="G200" s="499" t="str">
        <f>IFERROR(VLOOKUP(F200,'G-7 Rivers Data'!$C$4:$D$8,2,FALSE),"")</f>
        <v/>
      </c>
      <c r="H200" s="145"/>
      <c r="I200" s="499" t="str">
        <f>IFERROR(INDEX('G-7 Rivers Data'!$H$4:$L$8,MATCH(D200,'G-7 Rivers Data'!$B$4:$B$8,0),MATCH(H200,'G-7 Rivers Data'!$H$3:$L$3,0)),"")</f>
        <v/>
      </c>
      <c r="J200" s="154"/>
      <c r="K200" s="520" t="str">
        <f>IF(J200="","",IF(VLOOKUP(J200,'G-7 Rivers Data'!$AK$4:$AM$9,2,FALSE)=0,"Spatial Data Missing ⚠",VLOOKUP(J200,'G-7 Rivers Data'!$AK$4:$AM$9,2,FALSE)))</f>
        <v/>
      </c>
      <c r="L200" s="524" t="str">
        <f>IF(J200="","",IF(VLOOKUP(J200,'G-7 Rivers Data'!$AK$4:$AM$9,3,FALSE)=0,"Spatial Data Missing ⚠",VLOOKUP(J200,'G-7 Rivers Data'!$AK$4:$AM$9,3,FALSE)))</f>
        <v/>
      </c>
      <c r="M200" s="71"/>
      <c r="N200" s="499" t="str">
        <f>IF(M200="","",IF(VLOOKUP(M200,'G-7 Rivers Data'!$AA$4:$AB$7,2,FALSE)=0,"Spatial Data Missing ⚠",VLOOKUP(M200,'G-7 Rivers Data'!$AA$4:$AB$7,2,FALSE)))</f>
        <v/>
      </c>
      <c r="O200" s="155"/>
      <c r="P200" s="499" t="str">
        <f>IF(O200="","",IF(VLOOKUP(O200,'G-7 Rivers Data'!$AD$4:$AE$8,2,FALSE)=0,"Spatial Data Missing ⚠",VLOOKUP(O200,'G-7 Rivers Data'!$AD$4:$AE$8,2,FALSE)))</f>
        <v/>
      </c>
      <c r="Q200" s="506" t="str">
        <f>IF(D200="","",VLOOKUP(D200,'G-7 Rivers Data'!$B$4:$G$8,6,FALSE))</f>
        <v/>
      </c>
      <c r="R200" s="513" t="str">
        <f t="shared" si="16"/>
        <v/>
      </c>
      <c r="S200" s="40"/>
      <c r="T200" s="145"/>
      <c r="U200" s="157"/>
      <c r="V200" s="511" t="str">
        <f t="shared" si="17"/>
        <v/>
      </c>
      <c r="W200" s="511" t="str">
        <f t="shared" si="18"/>
        <v/>
      </c>
      <c r="X200" s="511" t="str">
        <f t="shared" si="19"/>
        <v/>
      </c>
      <c r="Y200" s="515" t="str">
        <f t="shared" si="20"/>
        <v/>
      </c>
      <c r="Z200" s="151"/>
      <c r="AA200" s="152"/>
      <c r="AF200" s="31" t="str">
        <f>IFERROR(INDEX('G-7 Rivers Data'!$AZ$3:$AZ$7,MATCH(D200,'G-7 Rivers Data'!$AY$3:$AY$7,0)),"")</f>
        <v/>
      </c>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row>
    <row r="201" spans="3:40" ht="13.8" x14ac:dyDescent="0.25">
      <c r="C201" s="141">
        <v>192</v>
      </c>
      <c r="D201" s="462"/>
      <c r="E201" s="153"/>
      <c r="F201" s="498" t="str">
        <f>IF(D201="","",VLOOKUP(D201,'G-7 Rivers Data'!$B$2:$G$8,2,FALSE))</f>
        <v/>
      </c>
      <c r="G201" s="499" t="str">
        <f>IFERROR(VLOOKUP(F201,'G-7 Rivers Data'!$C$4:$D$8,2,FALSE),"")</f>
        <v/>
      </c>
      <c r="H201" s="145"/>
      <c r="I201" s="499" t="str">
        <f>IFERROR(INDEX('G-7 Rivers Data'!$H$4:$L$8,MATCH(D201,'G-7 Rivers Data'!$B$4:$B$8,0),MATCH(H201,'G-7 Rivers Data'!$H$3:$L$3,0)),"")</f>
        <v/>
      </c>
      <c r="J201" s="154"/>
      <c r="K201" s="520" t="str">
        <f>IF(J201="","",IF(VLOOKUP(J201,'G-7 Rivers Data'!$AK$4:$AM$9,2,FALSE)=0,"Spatial Data Missing ⚠",VLOOKUP(J201,'G-7 Rivers Data'!$AK$4:$AM$9,2,FALSE)))</f>
        <v/>
      </c>
      <c r="L201" s="524" t="str">
        <f>IF(J201="","",IF(VLOOKUP(J201,'G-7 Rivers Data'!$AK$4:$AM$9,3,FALSE)=0,"Spatial Data Missing ⚠",VLOOKUP(J201,'G-7 Rivers Data'!$AK$4:$AM$9,3,FALSE)))</f>
        <v/>
      </c>
      <c r="M201" s="71"/>
      <c r="N201" s="499" t="str">
        <f>IF(M201="","",IF(VLOOKUP(M201,'G-7 Rivers Data'!$AA$4:$AB$7,2,FALSE)=0,"Spatial Data Missing ⚠",VLOOKUP(M201,'G-7 Rivers Data'!$AA$4:$AB$7,2,FALSE)))</f>
        <v/>
      </c>
      <c r="O201" s="155"/>
      <c r="P201" s="499" t="str">
        <f>IF(O201="","",IF(VLOOKUP(O201,'G-7 Rivers Data'!$AD$4:$AE$8,2,FALSE)=0,"Spatial Data Missing ⚠",VLOOKUP(O201,'G-7 Rivers Data'!$AD$4:$AE$8,2,FALSE)))</f>
        <v/>
      </c>
      <c r="Q201" s="506" t="str">
        <f>IF(D201="","",VLOOKUP(D201,'G-7 Rivers Data'!$B$4:$G$8,6,FALSE))</f>
        <v/>
      </c>
      <c r="R201" s="513" t="str">
        <f t="shared" si="16"/>
        <v/>
      </c>
      <c r="S201" s="40"/>
      <c r="T201" s="145"/>
      <c r="U201" s="157"/>
      <c r="V201" s="511" t="str">
        <f t="shared" si="17"/>
        <v/>
      </c>
      <c r="W201" s="511" t="str">
        <f t="shared" si="18"/>
        <v/>
      </c>
      <c r="X201" s="511" t="str">
        <f t="shared" si="19"/>
        <v/>
      </c>
      <c r="Y201" s="515" t="str">
        <f t="shared" si="20"/>
        <v/>
      </c>
      <c r="Z201" s="151"/>
      <c r="AA201" s="152"/>
      <c r="AF201" s="31" t="str">
        <f>IFERROR(INDEX('G-7 Rivers Data'!$AZ$3:$AZ$7,MATCH(D201,'G-7 Rivers Data'!$AY$3:$AY$7,0)),"")</f>
        <v/>
      </c>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row>
    <row r="202" spans="3:40" ht="13.8" x14ac:dyDescent="0.25">
      <c r="C202" s="141">
        <v>193</v>
      </c>
      <c r="D202" s="462"/>
      <c r="E202" s="153"/>
      <c r="F202" s="498" t="str">
        <f>IF(D202="","",VLOOKUP(D202,'G-7 Rivers Data'!$B$2:$G$8,2,FALSE))</f>
        <v/>
      </c>
      <c r="G202" s="499" t="str">
        <f>IFERROR(VLOOKUP(F202,'G-7 Rivers Data'!$C$4:$D$8,2,FALSE),"")</f>
        <v/>
      </c>
      <c r="H202" s="145"/>
      <c r="I202" s="499" t="str">
        <f>IFERROR(INDEX('G-7 Rivers Data'!$H$4:$L$8,MATCH(D202,'G-7 Rivers Data'!$B$4:$B$8,0),MATCH(H202,'G-7 Rivers Data'!$H$3:$L$3,0)),"")</f>
        <v/>
      </c>
      <c r="J202" s="154"/>
      <c r="K202" s="520" t="str">
        <f>IF(J202="","",IF(VLOOKUP(J202,'G-7 Rivers Data'!$AK$4:$AM$9,2,FALSE)=0,"Spatial Data Missing ⚠",VLOOKUP(J202,'G-7 Rivers Data'!$AK$4:$AM$9,2,FALSE)))</f>
        <v/>
      </c>
      <c r="L202" s="524" t="str">
        <f>IF(J202="","",IF(VLOOKUP(J202,'G-7 Rivers Data'!$AK$4:$AM$9,3,FALSE)=0,"Spatial Data Missing ⚠",VLOOKUP(J202,'G-7 Rivers Data'!$AK$4:$AM$9,3,FALSE)))</f>
        <v/>
      </c>
      <c r="M202" s="71"/>
      <c r="N202" s="499" t="str">
        <f>IF(M202="","",IF(VLOOKUP(M202,'G-7 Rivers Data'!$AA$4:$AB$7,2,FALSE)=0,"Spatial Data Missing ⚠",VLOOKUP(M202,'G-7 Rivers Data'!$AA$4:$AB$7,2,FALSE)))</f>
        <v/>
      </c>
      <c r="O202" s="155"/>
      <c r="P202" s="499" t="str">
        <f>IF(O202="","",IF(VLOOKUP(O202,'G-7 Rivers Data'!$AD$4:$AE$8,2,FALSE)=0,"Spatial Data Missing ⚠",VLOOKUP(O202,'G-7 Rivers Data'!$AD$4:$AE$8,2,FALSE)))</f>
        <v/>
      </c>
      <c r="Q202" s="506" t="str">
        <f>IF(D202="","",VLOOKUP(D202,'G-7 Rivers Data'!$B$4:$G$8,6,FALSE))</f>
        <v/>
      </c>
      <c r="R202" s="513" t="str">
        <f t="shared" si="16"/>
        <v/>
      </c>
      <c r="S202" s="40"/>
      <c r="T202" s="145"/>
      <c r="U202" s="157"/>
      <c r="V202" s="511" t="str">
        <f t="shared" si="17"/>
        <v/>
      </c>
      <c r="W202" s="511" t="str">
        <f t="shared" si="18"/>
        <v/>
      </c>
      <c r="X202" s="511" t="str">
        <f t="shared" si="19"/>
        <v/>
      </c>
      <c r="Y202" s="515" t="str">
        <f t="shared" si="20"/>
        <v/>
      </c>
      <c r="Z202" s="151"/>
      <c r="AA202" s="152"/>
      <c r="AF202" s="31" t="str">
        <f>IFERROR(INDEX('G-7 Rivers Data'!$AZ$3:$AZ$7,MATCH(D202,'G-7 Rivers Data'!$AY$3:$AY$7,0)),"")</f>
        <v/>
      </c>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row>
    <row r="203" spans="3:40" ht="13.8" x14ac:dyDescent="0.25">
      <c r="C203" s="141">
        <v>194</v>
      </c>
      <c r="D203" s="462"/>
      <c r="E203" s="153"/>
      <c r="F203" s="498" t="str">
        <f>IF(D203="","",VLOOKUP(D203,'G-7 Rivers Data'!$B$2:$G$8,2,FALSE))</f>
        <v/>
      </c>
      <c r="G203" s="499" t="str">
        <f>IFERROR(VLOOKUP(F203,'G-7 Rivers Data'!$C$4:$D$8,2,FALSE),"")</f>
        <v/>
      </c>
      <c r="H203" s="145"/>
      <c r="I203" s="499" t="str">
        <f>IFERROR(INDEX('G-7 Rivers Data'!$H$4:$L$8,MATCH(D203,'G-7 Rivers Data'!$B$4:$B$8,0),MATCH(H203,'G-7 Rivers Data'!$H$3:$L$3,0)),"")</f>
        <v/>
      </c>
      <c r="J203" s="154"/>
      <c r="K203" s="520" t="str">
        <f>IF(J203="","",IF(VLOOKUP(J203,'G-7 Rivers Data'!$AK$4:$AM$9,2,FALSE)=0,"Spatial Data Missing ⚠",VLOOKUP(J203,'G-7 Rivers Data'!$AK$4:$AM$9,2,FALSE)))</f>
        <v/>
      </c>
      <c r="L203" s="524" t="str">
        <f>IF(J203="","",IF(VLOOKUP(J203,'G-7 Rivers Data'!$AK$4:$AM$9,3,FALSE)=0,"Spatial Data Missing ⚠",VLOOKUP(J203,'G-7 Rivers Data'!$AK$4:$AM$9,3,FALSE)))</f>
        <v/>
      </c>
      <c r="M203" s="71"/>
      <c r="N203" s="499" t="str">
        <f>IF(M203="","",IF(VLOOKUP(M203,'G-7 Rivers Data'!$AA$4:$AB$7,2,FALSE)=0,"Spatial Data Missing ⚠",VLOOKUP(M203,'G-7 Rivers Data'!$AA$4:$AB$7,2,FALSE)))</f>
        <v/>
      </c>
      <c r="O203" s="155"/>
      <c r="P203" s="499" t="str">
        <f>IF(O203="","",IF(VLOOKUP(O203,'G-7 Rivers Data'!$AD$4:$AE$8,2,FALSE)=0,"Spatial Data Missing ⚠",VLOOKUP(O203,'G-7 Rivers Data'!$AD$4:$AE$8,2,FALSE)))</f>
        <v/>
      </c>
      <c r="Q203" s="506" t="str">
        <f>IF(D203="","",VLOOKUP(D203,'G-7 Rivers Data'!$B$4:$G$8,6,FALSE))</f>
        <v/>
      </c>
      <c r="R203" s="513" t="str">
        <f t="shared" ref="R203:R257" si="24">IFERROR(E203*G203*I203*L203*N203*P203,"")</f>
        <v/>
      </c>
      <c r="S203" s="40"/>
      <c r="T203" s="145"/>
      <c r="U203" s="157"/>
      <c r="V203" s="511" t="str">
        <f t="shared" ref="V203:V257" si="25">IFERROR(IF(T203&gt;E203,"Check Lengths",T203*G203*I203*L203*N203*P203),"")</f>
        <v/>
      </c>
      <c r="W203" s="511" t="str">
        <f t="shared" ref="W203:W257" si="26">IFERROR(IF(D203="","",U203*G203*I203*L203*N203*P203),"")</f>
        <v/>
      </c>
      <c r="X203" s="511" t="str">
        <f t="shared" ref="X203:X257" si="27">IFERROR(IF(D203="","",IF(E203&gt;(T203+U203),E203-T203-U203,0)),"")</f>
        <v/>
      </c>
      <c r="Y203" s="515" t="str">
        <f t="shared" ref="Y203:Y258" si="28">IFERROR(IF(E203="","",IF((V203+W203)&gt;R203,0,R203-V203-W203)),"Check Data ⚠")</f>
        <v/>
      </c>
      <c r="Z203" s="151"/>
      <c r="AA203" s="152"/>
      <c r="AF203" s="31" t="str">
        <f>IFERROR(INDEX('G-7 Rivers Data'!$AZ$3:$AZ$7,MATCH(D203,'G-7 Rivers Data'!$AY$3:$AY$7,0)),"")</f>
        <v/>
      </c>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row>
    <row r="204" spans="3:40" ht="13.8" x14ac:dyDescent="0.25">
      <c r="C204" s="141">
        <v>195</v>
      </c>
      <c r="D204" s="462"/>
      <c r="E204" s="153"/>
      <c r="F204" s="498" t="str">
        <f>IF(D204="","",VLOOKUP(D204,'G-7 Rivers Data'!$B$2:$G$8,2,FALSE))</f>
        <v/>
      </c>
      <c r="G204" s="499" t="str">
        <f>IFERROR(VLOOKUP(F204,'G-7 Rivers Data'!$C$4:$D$8,2,FALSE),"")</f>
        <v/>
      </c>
      <c r="H204" s="145"/>
      <c r="I204" s="499" t="str">
        <f>IFERROR(INDEX('G-7 Rivers Data'!$H$4:$L$8,MATCH(D204,'G-7 Rivers Data'!$B$4:$B$8,0),MATCH(H204,'G-7 Rivers Data'!$H$3:$L$3,0)),"")</f>
        <v/>
      </c>
      <c r="J204" s="154"/>
      <c r="K204" s="520" t="str">
        <f>IF(J204="","",IF(VLOOKUP(J204,'G-7 Rivers Data'!$AK$4:$AM$9,2,FALSE)=0,"Spatial Data Missing ⚠",VLOOKUP(J204,'G-7 Rivers Data'!$AK$4:$AM$9,2,FALSE)))</f>
        <v/>
      </c>
      <c r="L204" s="524" t="str">
        <f>IF(J204="","",IF(VLOOKUP(J204,'G-7 Rivers Data'!$AK$4:$AM$9,3,FALSE)=0,"Spatial Data Missing ⚠",VLOOKUP(J204,'G-7 Rivers Data'!$AK$4:$AM$9,3,FALSE)))</f>
        <v/>
      </c>
      <c r="M204" s="71"/>
      <c r="N204" s="499" t="str">
        <f>IF(M204="","",IF(VLOOKUP(M204,'G-7 Rivers Data'!$AA$4:$AB$7,2,FALSE)=0,"Spatial Data Missing ⚠",VLOOKUP(M204,'G-7 Rivers Data'!$AA$4:$AB$7,2,FALSE)))</f>
        <v/>
      </c>
      <c r="O204" s="155"/>
      <c r="P204" s="499" t="str">
        <f>IF(O204="","",IF(VLOOKUP(O204,'G-7 Rivers Data'!$AD$4:$AE$8,2,FALSE)=0,"Spatial Data Missing ⚠",VLOOKUP(O204,'G-7 Rivers Data'!$AD$4:$AE$8,2,FALSE)))</f>
        <v/>
      </c>
      <c r="Q204" s="506" t="str">
        <f>IF(D204="","",VLOOKUP(D204,'G-7 Rivers Data'!$B$4:$G$8,6,FALSE))</f>
        <v/>
      </c>
      <c r="R204" s="513" t="str">
        <f t="shared" si="24"/>
        <v/>
      </c>
      <c r="S204" s="40"/>
      <c r="T204" s="145"/>
      <c r="U204" s="157"/>
      <c r="V204" s="511" t="str">
        <f t="shared" si="25"/>
        <v/>
      </c>
      <c r="W204" s="511" t="str">
        <f t="shared" si="26"/>
        <v/>
      </c>
      <c r="X204" s="511" t="str">
        <f t="shared" si="27"/>
        <v/>
      </c>
      <c r="Y204" s="515" t="str">
        <f t="shared" si="28"/>
        <v/>
      </c>
      <c r="Z204" s="151"/>
      <c r="AA204" s="152"/>
      <c r="AF204" s="31" t="str">
        <f>IFERROR(INDEX('G-7 Rivers Data'!$AZ$3:$AZ$7,MATCH(D204,'G-7 Rivers Data'!$AY$3:$AY$7,0)),"")</f>
        <v/>
      </c>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row>
    <row r="205" spans="3:40" ht="13.8" x14ac:dyDescent="0.25">
      <c r="C205" s="141">
        <v>196</v>
      </c>
      <c r="D205" s="462"/>
      <c r="E205" s="153"/>
      <c r="F205" s="498" t="str">
        <f>IF(D205="","",VLOOKUP(D205,'G-7 Rivers Data'!$B$2:$G$8,2,FALSE))</f>
        <v/>
      </c>
      <c r="G205" s="499" t="str">
        <f>IFERROR(VLOOKUP(F205,'G-7 Rivers Data'!$C$4:$D$8,2,FALSE),"")</f>
        <v/>
      </c>
      <c r="H205" s="145"/>
      <c r="I205" s="499" t="str">
        <f>IFERROR(INDEX('G-7 Rivers Data'!$H$4:$L$8,MATCH(D205,'G-7 Rivers Data'!$B$4:$B$8,0),MATCH(H205,'G-7 Rivers Data'!$H$3:$L$3,0)),"")</f>
        <v/>
      </c>
      <c r="J205" s="154"/>
      <c r="K205" s="520" t="str">
        <f>IF(J205="","",IF(VLOOKUP(J205,'G-7 Rivers Data'!$AK$4:$AM$9,2,FALSE)=0,"Spatial Data Missing ⚠",VLOOKUP(J205,'G-7 Rivers Data'!$AK$4:$AM$9,2,FALSE)))</f>
        <v/>
      </c>
      <c r="L205" s="524" t="str">
        <f>IF(J205="","",IF(VLOOKUP(J205,'G-7 Rivers Data'!$AK$4:$AM$9,3,FALSE)=0,"Spatial Data Missing ⚠",VLOOKUP(J205,'G-7 Rivers Data'!$AK$4:$AM$9,3,FALSE)))</f>
        <v/>
      </c>
      <c r="M205" s="71"/>
      <c r="N205" s="499" t="str">
        <f>IF(M205="","",IF(VLOOKUP(M205,'G-7 Rivers Data'!$AA$4:$AB$7,2,FALSE)=0,"Spatial Data Missing ⚠",VLOOKUP(M205,'G-7 Rivers Data'!$AA$4:$AB$7,2,FALSE)))</f>
        <v/>
      </c>
      <c r="O205" s="155"/>
      <c r="P205" s="499" t="str">
        <f>IF(O205="","",IF(VLOOKUP(O205,'G-7 Rivers Data'!$AD$4:$AE$8,2,FALSE)=0,"Spatial Data Missing ⚠",VLOOKUP(O205,'G-7 Rivers Data'!$AD$4:$AE$8,2,FALSE)))</f>
        <v/>
      </c>
      <c r="Q205" s="506" t="str">
        <f>IF(D205="","",VLOOKUP(D205,'G-7 Rivers Data'!$B$4:$G$8,6,FALSE))</f>
        <v/>
      </c>
      <c r="R205" s="513" t="str">
        <f t="shared" si="24"/>
        <v/>
      </c>
      <c r="S205" s="40"/>
      <c r="T205" s="145"/>
      <c r="U205" s="157"/>
      <c r="V205" s="511" t="str">
        <f t="shared" si="25"/>
        <v/>
      </c>
      <c r="W205" s="511" t="str">
        <f t="shared" si="26"/>
        <v/>
      </c>
      <c r="X205" s="511" t="str">
        <f t="shared" si="27"/>
        <v/>
      </c>
      <c r="Y205" s="515" t="str">
        <f t="shared" si="28"/>
        <v/>
      </c>
      <c r="Z205" s="151"/>
      <c r="AA205" s="152"/>
      <c r="AF205" s="31" t="str">
        <f>IFERROR(INDEX('G-7 Rivers Data'!$AZ$3:$AZ$7,MATCH(D205,'G-7 Rivers Data'!$AY$3:$AY$7,0)),"")</f>
        <v/>
      </c>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row>
    <row r="206" spans="3:40" ht="13.8" x14ac:dyDescent="0.25">
      <c r="C206" s="141">
        <v>197</v>
      </c>
      <c r="D206" s="462"/>
      <c r="E206" s="153"/>
      <c r="F206" s="498" t="str">
        <f>IF(D206="","",VLOOKUP(D206,'G-7 Rivers Data'!$B$2:$G$8,2,FALSE))</f>
        <v/>
      </c>
      <c r="G206" s="499" t="str">
        <f>IFERROR(VLOOKUP(F206,'G-7 Rivers Data'!$C$4:$D$8,2,FALSE),"")</f>
        <v/>
      </c>
      <c r="H206" s="145"/>
      <c r="I206" s="499" t="str">
        <f>IFERROR(INDEX('G-7 Rivers Data'!$H$4:$L$8,MATCH(D206,'G-7 Rivers Data'!$B$4:$B$8,0),MATCH(H206,'G-7 Rivers Data'!$H$3:$L$3,0)),"")</f>
        <v/>
      </c>
      <c r="J206" s="154"/>
      <c r="K206" s="520" t="str">
        <f>IF(J206="","",IF(VLOOKUP(J206,'G-7 Rivers Data'!$AK$4:$AM$9,2,FALSE)=0,"Spatial Data Missing ⚠",VLOOKUP(J206,'G-7 Rivers Data'!$AK$4:$AM$9,2,FALSE)))</f>
        <v/>
      </c>
      <c r="L206" s="524" t="str">
        <f>IF(J206="","",IF(VLOOKUP(J206,'G-7 Rivers Data'!$AK$4:$AM$9,3,FALSE)=0,"Spatial Data Missing ⚠",VLOOKUP(J206,'G-7 Rivers Data'!$AK$4:$AM$9,3,FALSE)))</f>
        <v/>
      </c>
      <c r="M206" s="71"/>
      <c r="N206" s="499" t="str">
        <f>IF(M206="","",IF(VLOOKUP(M206,'G-7 Rivers Data'!$AA$4:$AB$7,2,FALSE)=0,"Spatial Data Missing ⚠",VLOOKUP(M206,'G-7 Rivers Data'!$AA$4:$AB$7,2,FALSE)))</f>
        <v/>
      </c>
      <c r="O206" s="155"/>
      <c r="P206" s="499" t="str">
        <f>IF(O206="","",IF(VLOOKUP(O206,'G-7 Rivers Data'!$AD$4:$AE$8,2,FALSE)=0,"Spatial Data Missing ⚠",VLOOKUP(O206,'G-7 Rivers Data'!$AD$4:$AE$8,2,FALSE)))</f>
        <v/>
      </c>
      <c r="Q206" s="506" t="str">
        <f>IF(D206="","",VLOOKUP(D206,'G-7 Rivers Data'!$B$4:$G$8,6,FALSE))</f>
        <v/>
      </c>
      <c r="R206" s="513" t="str">
        <f t="shared" si="24"/>
        <v/>
      </c>
      <c r="S206" s="40"/>
      <c r="T206" s="145"/>
      <c r="U206" s="157"/>
      <c r="V206" s="511" t="str">
        <f t="shared" si="25"/>
        <v/>
      </c>
      <c r="W206" s="511" t="str">
        <f t="shared" si="26"/>
        <v/>
      </c>
      <c r="X206" s="511" t="str">
        <f t="shared" si="27"/>
        <v/>
      </c>
      <c r="Y206" s="515" t="str">
        <f t="shared" si="28"/>
        <v/>
      </c>
      <c r="Z206" s="151"/>
      <c r="AA206" s="152"/>
      <c r="AF206" s="31" t="str">
        <f>IFERROR(INDEX('G-7 Rivers Data'!$AZ$3:$AZ$7,MATCH(D206,'G-7 Rivers Data'!$AY$3:$AY$7,0)),"")</f>
        <v/>
      </c>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row>
    <row r="207" spans="3:40" ht="13.8" x14ac:dyDescent="0.25">
      <c r="C207" s="141">
        <v>198</v>
      </c>
      <c r="D207" s="462"/>
      <c r="E207" s="153"/>
      <c r="F207" s="498" t="str">
        <f>IF(D207="","",VLOOKUP(D207,'G-7 Rivers Data'!$B$2:$G$8,2,FALSE))</f>
        <v/>
      </c>
      <c r="G207" s="499" t="str">
        <f>IFERROR(VLOOKUP(F207,'G-7 Rivers Data'!$C$4:$D$8,2,FALSE),"")</f>
        <v/>
      </c>
      <c r="H207" s="145"/>
      <c r="I207" s="499" t="str">
        <f>IFERROR(INDEX('G-7 Rivers Data'!$H$4:$L$8,MATCH(D207,'G-7 Rivers Data'!$B$4:$B$8,0),MATCH(H207,'G-7 Rivers Data'!$H$3:$L$3,0)),"")</f>
        <v/>
      </c>
      <c r="J207" s="154"/>
      <c r="K207" s="520" t="str">
        <f>IF(J207="","",IF(VLOOKUP(J207,'G-7 Rivers Data'!$AK$4:$AM$9,2,FALSE)=0,"Spatial Data Missing ⚠",VLOOKUP(J207,'G-7 Rivers Data'!$AK$4:$AM$9,2,FALSE)))</f>
        <v/>
      </c>
      <c r="L207" s="524" t="str">
        <f>IF(J207="","",IF(VLOOKUP(J207,'G-7 Rivers Data'!$AK$4:$AM$9,3,FALSE)=0,"Spatial Data Missing ⚠",VLOOKUP(J207,'G-7 Rivers Data'!$AK$4:$AM$9,3,FALSE)))</f>
        <v/>
      </c>
      <c r="M207" s="71"/>
      <c r="N207" s="499" t="str">
        <f>IF(M207="","",IF(VLOOKUP(M207,'G-7 Rivers Data'!$AA$4:$AB$7,2,FALSE)=0,"Spatial Data Missing ⚠",VLOOKUP(M207,'G-7 Rivers Data'!$AA$4:$AB$7,2,FALSE)))</f>
        <v/>
      </c>
      <c r="O207" s="155"/>
      <c r="P207" s="499" t="str">
        <f>IF(O207="","",IF(VLOOKUP(O207,'G-7 Rivers Data'!$AD$4:$AE$8,2,FALSE)=0,"Spatial Data Missing ⚠",VLOOKUP(O207,'G-7 Rivers Data'!$AD$4:$AE$8,2,FALSE)))</f>
        <v/>
      </c>
      <c r="Q207" s="506" t="str">
        <f>IF(D207="","",VLOOKUP(D207,'G-7 Rivers Data'!$B$4:$G$8,6,FALSE))</f>
        <v/>
      </c>
      <c r="R207" s="513" t="str">
        <f t="shared" si="24"/>
        <v/>
      </c>
      <c r="S207" s="40"/>
      <c r="T207" s="145"/>
      <c r="U207" s="157"/>
      <c r="V207" s="511" t="str">
        <f t="shared" si="25"/>
        <v/>
      </c>
      <c r="W207" s="511" t="str">
        <f t="shared" si="26"/>
        <v/>
      </c>
      <c r="X207" s="511" t="str">
        <f t="shared" si="27"/>
        <v/>
      </c>
      <c r="Y207" s="515" t="str">
        <f t="shared" si="28"/>
        <v/>
      </c>
      <c r="Z207" s="151"/>
      <c r="AA207" s="152"/>
      <c r="AF207" s="31" t="str">
        <f>IFERROR(INDEX('G-7 Rivers Data'!$AZ$3:$AZ$7,MATCH(D207,'G-7 Rivers Data'!$AY$3:$AY$7,0)),"")</f>
        <v/>
      </c>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row>
    <row r="208" spans="3:40" ht="13.8" x14ac:dyDescent="0.25">
      <c r="C208" s="141">
        <v>199</v>
      </c>
      <c r="D208" s="462"/>
      <c r="E208" s="153"/>
      <c r="F208" s="498" t="str">
        <f>IF(D208="","",VLOOKUP(D208,'G-7 Rivers Data'!$B$2:$G$8,2,FALSE))</f>
        <v/>
      </c>
      <c r="G208" s="499" t="str">
        <f>IFERROR(VLOOKUP(F208,'G-7 Rivers Data'!$C$4:$D$8,2,FALSE),"")</f>
        <v/>
      </c>
      <c r="H208" s="145"/>
      <c r="I208" s="499" t="str">
        <f>IFERROR(INDEX('G-7 Rivers Data'!$H$4:$L$8,MATCH(D208,'G-7 Rivers Data'!$B$4:$B$8,0),MATCH(H208,'G-7 Rivers Data'!$H$3:$L$3,0)),"")</f>
        <v/>
      </c>
      <c r="J208" s="154"/>
      <c r="K208" s="520" t="str">
        <f>IF(J208="","",IF(VLOOKUP(J208,'G-7 Rivers Data'!$AK$4:$AM$9,2,FALSE)=0,"Spatial Data Missing ⚠",VLOOKUP(J208,'G-7 Rivers Data'!$AK$4:$AM$9,2,FALSE)))</f>
        <v/>
      </c>
      <c r="L208" s="524" t="str">
        <f>IF(J208="","",IF(VLOOKUP(J208,'G-7 Rivers Data'!$AK$4:$AM$9,3,FALSE)=0,"Spatial Data Missing ⚠",VLOOKUP(J208,'G-7 Rivers Data'!$AK$4:$AM$9,3,FALSE)))</f>
        <v/>
      </c>
      <c r="M208" s="71"/>
      <c r="N208" s="499" t="str">
        <f>IF(M208="","",IF(VLOOKUP(M208,'G-7 Rivers Data'!$AA$4:$AB$7,2,FALSE)=0,"Spatial Data Missing ⚠",VLOOKUP(M208,'G-7 Rivers Data'!$AA$4:$AB$7,2,FALSE)))</f>
        <v/>
      </c>
      <c r="O208" s="155"/>
      <c r="P208" s="499" t="str">
        <f>IF(O208="","",IF(VLOOKUP(O208,'G-7 Rivers Data'!$AD$4:$AE$8,2,FALSE)=0,"Spatial Data Missing ⚠",VLOOKUP(O208,'G-7 Rivers Data'!$AD$4:$AE$8,2,FALSE)))</f>
        <v/>
      </c>
      <c r="Q208" s="506" t="str">
        <f>IF(D208="","",VLOOKUP(D208,'G-7 Rivers Data'!$B$4:$G$8,6,FALSE))</f>
        <v/>
      </c>
      <c r="R208" s="513" t="str">
        <f t="shared" si="24"/>
        <v/>
      </c>
      <c r="S208" s="40"/>
      <c r="T208" s="145"/>
      <c r="U208" s="157"/>
      <c r="V208" s="511" t="str">
        <f t="shared" si="25"/>
        <v/>
      </c>
      <c r="W208" s="511" t="str">
        <f t="shared" si="26"/>
        <v/>
      </c>
      <c r="X208" s="511" t="str">
        <f t="shared" si="27"/>
        <v/>
      </c>
      <c r="Y208" s="515" t="str">
        <f t="shared" si="28"/>
        <v/>
      </c>
      <c r="Z208" s="151"/>
      <c r="AA208" s="152"/>
      <c r="AF208" s="31" t="str">
        <f>IFERROR(INDEX('G-7 Rivers Data'!$AZ$3:$AZ$7,MATCH(D208,'G-7 Rivers Data'!$AY$3:$AY$7,0)),"")</f>
        <v/>
      </c>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row>
    <row r="209" spans="3:40" ht="13.8" x14ac:dyDescent="0.25">
      <c r="C209" s="141">
        <v>200</v>
      </c>
      <c r="D209" s="462"/>
      <c r="E209" s="153"/>
      <c r="F209" s="498" t="str">
        <f>IF(D209="","",VLOOKUP(D209,'G-7 Rivers Data'!$B$2:$G$8,2,FALSE))</f>
        <v/>
      </c>
      <c r="G209" s="499" t="str">
        <f>IFERROR(VLOOKUP(F209,'G-7 Rivers Data'!$C$4:$D$8,2,FALSE),"")</f>
        <v/>
      </c>
      <c r="H209" s="145"/>
      <c r="I209" s="499" t="str">
        <f>IFERROR(INDEX('G-7 Rivers Data'!$H$4:$L$8,MATCH(D209,'G-7 Rivers Data'!$B$4:$B$8,0),MATCH(H209,'G-7 Rivers Data'!$H$3:$L$3,0)),"")</f>
        <v/>
      </c>
      <c r="J209" s="154"/>
      <c r="K209" s="520" t="str">
        <f>IF(J209="","",IF(VLOOKUP(J209,'G-7 Rivers Data'!$AK$4:$AM$9,2,FALSE)=0,"Spatial Data Missing ⚠",VLOOKUP(J209,'G-7 Rivers Data'!$AK$4:$AM$9,2,FALSE)))</f>
        <v/>
      </c>
      <c r="L209" s="524" t="str">
        <f>IF(J209="","",IF(VLOOKUP(J209,'G-7 Rivers Data'!$AK$4:$AM$9,3,FALSE)=0,"Spatial Data Missing ⚠",VLOOKUP(J209,'G-7 Rivers Data'!$AK$4:$AM$9,3,FALSE)))</f>
        <v/>
      </c>
      <c r="M209" s="71"/>
      <c r="N209" s="499" t="str">
        <f>IF(M209="","",IF(VLOOKUP(M209,'G-7 Rivers Data'!$AA$4:$AB$7,2,FALSE)=0,"Spatial Data Missing ⚠",VLOOKUP(M209,'G-7 Rivers Data'!$AA$4:$AB$7,2,FALSE)))</f>
        <v/>
      </c>
      <c r="O209" s="155"/>
      <c r="P209" s="499" t="str">
        <f>IF(O209="","",IF(VLOOKUP(O209,'G-7 Rivers Data'!$AD$4:$AE$8,2,FALSE)=0,"Spatial Data Missing ⚠",VLOOKUP(O209,'G-7 Rivers Data'!$AD$4:$AE$8,2,FALSE)))</f>
        <v/>
      </c>
      <c r="Q209" s="506" t="str">
        <f>IF(D209="","",VLOOKUP(D209,'G-7 Rivers Data'!$B$4:$G$8,6,FALSE))</f>
        <v/>
      </c>
      <c r="R209" s="513" t="str">
        <f t="shared" si="24"/>
        <v/>
      </c>
      <c r="S209" s="40"/>
      <c r="T209" s="145"/>
      <c r="U209" s="157"/>
      <c r="V209" s="511" t="str">
        <f t="shared" si="25"/>
        <v/>
      </c>
      <c r="W209" s="511" t="str">
        <f t="shared" si="26"/>
        <v/>
      </c>
      <c r="X209" s="511" t="str">
        <f t="shared" si="27"/>
        <v/>
      </c>
      <c r="Y209" s="515" t="str">
        <f t="shared" si="28"/>
        <v/>
      </c>
      <c r="Z209" s="151"/>
      <c r="AA209" s="152"/>
      <c r="AF209" s="31" t="str">
        <f>IFERROR(INDEX('G-7 Rivers Data'!$AZ$3:$AZ$7,MATCH(D209,'G-7 Rivers Data'!$AY$3:$AY$7,0)),"")</f>
        <v/>
      </c>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row>
    <row r="210" spans="3:40" ht="13.8" x14ac:dyDescent="0.25">
      <c r="C210" s="141">
        <v>201</v>
      </c>
      <c r="D210" s="462"/>
      <c r="E210" s="153"/>
      <c r="F210" s="498" t="str">
        <f>IF(D210="","",VLOOKUP(D210,'G-7 Rivers Data'!$B$2:$G$8,2,FALSE))</f>
        <v/>
      </c>
      <c r="G210" s="499" t="str">
        <f>IFERROR(VLOOKUP(F210,'G-7 Rivers Data'!$C$4:$D$8,2,FALSE),"")</f>
        <v/>
      </c>
      <c r="H210" s="145"/>
      <c r="I210" s="499" t="str">
        <f>IFERROR(INDEX('G-7 Rivers Data'!$H$4:$L$8,MATCH(D210,'G-7 Rivers Data'!$B$4:$B$8,0),MATCH(H210,'G-7 Rivers Data'!$H$3:$L$3,0)),"")</f>
        <v/>
      </c>
      <c r="J210" s="154"/>
      <c r="K210" s="520" t="str">
        <f>IF(J210="","",IF(VLOOKUP(J210,'G-7 Rivers Data'!$AK$4:$AM$9,2,FALSE)=0,"Spatial Data Missing ⚠",VLOOKUP(J210,'G-7 Rivers Data'!$AK$4:$AM$9,2,FALSE)))</f>
        <v/>
      </c>
      <c r="L210" s="524" t="str">
        <f>IF(J210="","",IF(VLOOKUP(J210,'G-7 Rivers Data'!$AK$4:$AM$9,3,FALSE)=0,"Spatial Data Missing ⚠",VLOOKUP(J210,'G-7 Rivers Data'!$AK$4:$AM$9,3,FALSE)))</f>
        <v/>
      </c>
      <c r="M210" s="71"/>
      <c r="N210" s="499" t="str">
        <f>IF(M210="","",IF(VLOOKUP(M210,'G-7 Rivers Data'!$AA$4:$AB$7,2,FALSE)=0,"Spatial Data Missing ⚠",VLOOKUP(M210,'G-7 Rivers Data'!$AA$4:$AB$7,2,FALSE)))</f>
        <v/>
      </c>
      <c r="O210" s="155"/>
      <c r="P210" s="499" t="str">
        <f>IF(O210="","",IF(VLOOKUP(O210,'G-7 Rivers Data'!$AD$4:$AE$8,2,FALSE)=0,"Spatial Data Missing ⚠",VLOOKUP(O210,'G-7 Rivers Data'!$AD$4:$AE$8,2,FALSE)))</f>
        <v/>
      </c>
      <c r="Q210" s="506" t="str">
        <f>IF(D210="","",VLOOKUP(D210,'G-7 Rivers Data'!$B$4:$G$8,6,FALSE))</f>
        <v/>
      </c>
      <c r="R210" s="513" t="str">
        <f t="shared" si="24"/>
        <v/>
      </c>
      <c r="S210" s="40"/>
      <c r="T210" s="145"/>
      <c r="U210" s="157"/>
      <c r="V210" s="511" t="str">
        <f t="shared" si="25"/>
        <v/>
      </c>
      <c r="W210" s="511" t="str">
        <f t="shared" si="26"/>
        <v/>
      </c>
      <c r="X210" s="511" t="str">
        <f t="shared" si="27"/>
        <v/>
      </c>
      <c r="Y210" s="515" t="str">
        <f t="shared" si="28"/>
        <v/>
      </c>
      <c r="Z210" s="151"/>
      <c r="AA210" s="152"/>
      <c r="AF210" s="31" t="str">
        <f>IFERROR(INDEX('G-7 Rivers Data'!$AZ$3:$AZ$7,MATCH(D210,'G-7 Rivers Data'!$AY$3:$AY$7,0)),"")</f>
        <v/>
      </c>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row>
    <row r="211" spans="3:40" ht="13.8" x14ac:dyDescent="0.25">
      <c r="C211" s="141">
        <v>202</v>
      </c>
      <c r="D211" s="462"/>
      <c r="E211" s="153"/>
      <c r="F211" s="498" t="str">
        <f>IF(D211="","",VLOOKUP(D211,'G-7 Rivers Data'!$B$2:$G$8,2,FALSE))</f>
        <v/>
      </c>
      <c r="G211" s="499" t="str">
        <f>IFERROR(VLOOKUP(F211,'G-7 Rivers Data'!$C$4:$D$8,2,FALSE),"")</f>
        <v/>
      </c>
      <c r="H211" s="145"/>
      <c r="I211" s="499" t="str">
        <f>IFERROR(INDEX('G-7 Rivers Data'!$H$4:$L$8,MATCH(D211,'G-7 Rivers Data'!$B$4:$B$8,0),MATCH(H211,'G-7 Rivers Data'!$H$3:$L$3,0)),"")</f>
        <v/>
      </c>
      <c r="J211" s="154"/>
      <c r="K211" s="520" t="str">
        <f>IF(J211="","",IF(VLOOKUP(J211,'G-7 Rivers Data'!$AK$4:$AM$9,2,FALSE)=0,"Spatial Data Missing ⚠",VLOOKUP(J211,'G-7 Rivers Data'!$AK$4:$AM$9,2,FALSE)))</f>
        <v/>
      </c>
      <c r="L211" s="524" t="str">
        <f>IF(J211="","",IF(VLOOKUP(J211,'G-7 Rivers Data'!$AK$4:$AM$9,3,FALSE)=0,"Spatial Data Missing ⚠",VLOOKUP(J211,'G-7 Rivers Data'!$AK$4:$AM$9,3,FALSE)))</f>
        <v/>
      </c>
      <c r="M211" s="71"/>
      <c r="N211" s="499" t="str">
        <f>IF(M211="","",IF(VLOOKUP(M211,'G-7 Rivers Data'!$AA$4:$AB$7,2,FALSE)=0,"Spatial Data Missing ⚠",VLOOKUP(M211,'G-7 Rivers Data'!$AA$4:$AB$7,2,FALSE)))</f>
        <v/>
      </c>
      <c r="O211" s="155"/>
      <c r="P211" s="499" t="str">
        <f>IF(O211="","",IF(VLOOKUP(O211,'G-7 Rivers Data'!$AD$4:$AE$8,2,FALSE)=0,"Spatial Data Missing ⚠",VLOOKUP(O211,'G-7 Rivers Data'!$AD$4:$AE$8,2,FALSE)))</f>
        <v/>
      </c>
      <c r="Q211" s="506" t="str">
        <f>IF(D211="","",VLOOKUP(D211,'G-7 Rivers Data'!$B$4:$G$8,6,FALSE))</f>
        <v/>
      </c>
      <c r="R211" s="513" t="str">
        <f t="shared" si="24"/>
        <v/>
      </c>
      <c r="S211" s="40"/>
      <c r="T211" s="145"/>
      <c r="U211" s="157"/>
      <c r="V211" s="511" t="str">
        <f t="shared" si="25"/>
        <v/>
      </c>
      <c r="W211" s="511" t="str">
        <f t="shared" si="26"/>
        <v/>
      </c>
      <c r="X211" s="511" t="str">
        <f t="shared" si="27"/>
        <v/>
      </c>
      <c r="Y211" s="515" t="str">
        <f t="shared" si="28"/>
        <v/>
      </c>
      <c r="Z211" s="151"/>
      <c r="AA211" s="152"/>
      <c r="AF211" s="31" t="str">
        <f>IFERROR(INDEX('G-7 Rivers Data'!$AZ$3:$AZ$7,MATCH(D211,'G-7 Rivers Data'!$AY$3:$AY$7,0)),"")</f>
        <v/>
      </c>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row>
    <row r="212" spans="3:40" ht="13.8" x14ac:dyDescent="0.25">
      <c r="C212" s="141">
        <v>203</v>
      </c>
      <c r="D212" s="462"/>
      <c r="E212" s="153"/>
      <c r="F212" s="498" t="str">
        <f>IF(D212="","",VLOOKUP(D212,'G-7 Rivers Data'!$B$2:$G$8,2,FALSE))</f>
        <v/>
      </c>
      <c r="G212" s="499" t="str">
        <f>IFERROR(VLOOKUP(F212,'G-7 Rivers Data'!$C$4:$D$8,2,FALSE),"")</f>
        <v/>
      </c>
      <c r="H212" s="145"/>
      <c r="I212" s="499" t="str">
        <f>IFERROR(INDEX('G-7 Rivers Data'!$H$4:$L$8,MATCH(D212,'G-7 Rivers Data'!$B$4:$B$8,0),MATCH(H212,'G-7 Rivers Data'!$H$3:$L$3,0)),"")</f>
        <v/>
      </c>
      <c r="J212" s="154"/>
      <c r="K212" s="520" t="str">
        <f>IF(J212="","",IF(VLOOKUP(J212,'G-7 Rivers Data'!$AK$4:$AM$9,2,FALSE)=0,"Spatial Data Missing ⚠",VLOOKUP(J212,'G-7 Rivers Data'!$AK$4:$AM$9,2,FALSE)))</f>
        <v/>
      </c>
      <c r="L212" s="524" t="str">
        <f>IF(J212="","",IF(VLOOKUP(J212,'G-7 Rivers Data'!$AK$4:$AM$9,3,FALSE)=0,"Spatial Data Missing ⚠",VLOOKUP(J212,'G-7 Rivers Data'!$AK$4:$AM$9,3,FALSE)))</f>
        <v/>
      </c>
      <c r="M212" s="71"/>
      <c r="N212" s="499" t="str">
        <f>IF(M212="","",IF(VLOOKUP(M212,'G-7 Rivers Data'!$AA$4:$AB$7,2,FALSE)=0,"Spatial Data Missing ⚠",VLOOKUP(M212,'G-7 Rivers Data'!$AA$4:$AB$7,2,FALSE)))</f>
        <v/>
      </c>
      <c r="O212" s="155"/>
      <c r="P212" s="499" t="str">
        <f>IF(O212="","",IF(VLOOKUP(O212,'G-7 Rivers Data'!$AD$4:$AE$8,2,FALSE)=0,"Spatial Data Missing ⚠",VLOOKUP(O212,'G-7 Rivers Data'!$AD$4:$AE$8,2,FALSE)))</f>
        <v/>
      </c>
      <c r="Q212" s="506" t="str">
        <f>IF(D212="","",VLOOKUP(D212,'G-7 Rivers Data'!$B$4:$G$8,6,FALSE))</f>
        <v/>
      </c>
      <c r="R212" s="513" t="str">
        <f t="shared" si="24"/>
        <v/>
      </c>
      <c r="S212" s="40"/>
      <c r="T212" s="145"/>
      <c r="U212" s="157"/>
      <c r="V212" s="511" t="str">
        <f t="shared" si="25"/>
        <v/>
      </c>
      <c r="W212" s="511" t="str">
        <f t="shared" si="26"/>
        <v/>
      </c>
      <c r="X212" s="511" t="str">
        <f t="shared" si="27"/>
        <v/>
      </c>
      <c r="Y212" s="515" t="str">
        <f t="shared" si="28"/>
        <v/>
      </c>
      <c r="Z212" s="151"/>
      <c r="AA212" s="152"/>
      <c r="AF212" s="31" t="str">
        <f>IFERROR(INDEX('G-7 Rivers Data'!$AZ$3:$AZ$7,MATCH(D212,'G-7 Rivers Data'!$AY$3:$AY$7,0)),"")</f>
        <v/>
      </c>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row>
    <row r="213" spans="3:40" ht="13.8" x14ac:dyDescent="0.25">
      <c r="C213" s="141">
        <v>204</v>
      </c>
      <c r="D213" s="462"/>
      <c r="E213" s="153"/>
      <c r="F213" s="498" t="str">
        <f>IF(D213="","",VLOOKUP(D213,'G-7 Rivers Data'!$B$2:$G$8,2,FALSE))</f>
        <v/>
      </c>
      <c r="G213" s="499" t="str">
        <f>IFERROR(VLOOKUP(F213,'G-7 Rivers Data'!$C$4:$D$8,2,FALSE),"")</f>
        <v/>
      </c>
      <c r="H213" s="145"/>
      <c r="I213" s="499" t="str">
        <f>IFERROR(INDEX('G-7 Rivers Data'!$H$4:$L$8,MATCH(D213,'G-7 Rivers Data'!$B$4:$B$8,0),MATCH(H213,'G-7 Rivers Data'!$H$3:$L$3,0)),"")</f>
        <v/>
      </c>
      <c r="J213" s="154"/>
      <c r="K213" s="520" t="str">
        <f>IF(J213="","",IF(VLOOKUP(J213,'G-7 Rivers Data'!$AK$4:$AM$9,2,FALSE)=0,"Spatial Data Missing ⚠",VLOOKUP(J213,'G-7 Rivers Data'!$AK$4:$AM$9,2,FALSE)))</f>
        <v/>
      </c>
      <c r="L213" s="524" t="str">
        <f>IF(J213="","",IF(VLOOKUP(J213,'G-7 Rivers Data'!$AK$4:$AM$9,3,FALSE)=0,"Spatial Data Missing ⚠",VLOOKUP(J213,'G-7 Rivers Data'!$AK$4:$AM$9,3,FALSE)))</f>
        <v/>
      </c>
      <c r="M213" s="71"/>
      <c r="N213" s="499" t="str">
        <f>IF(M213="","",IF(VLOOKUP(M213,'G-7 Rivers Data'!$AA$4:$AB$7,2,FALSE)=0,"Spatial Data Missing ⚠",VLOOKUP(M213,'G-7 Rivers Data'!$AA$4:$AB$7,2,FALSE)))</f>
        <v/>
      </c>
      <c r="O213" s="155"/>
      <c r="P213" s="499" t="str">
        <f>IF(O213="","",IF(VLOOKUP(O213,'G-7 Rivers Data'!$AD$4:$AE$8,2,FALSE)=0,"Spatial Data Missing ⚠",VLOOKUP(O213,'G-7 Rivers Data'!$AD$4:$AE$8,2,FALSE)))</f>
        <v/>
      </c>
      <c r="Q213" s="506" t="str">
        <f>IF(D213="","",VLOOKUP(D213,'G-7 Rivers Data'!$B$4:$G$8,6,FALSE))</f>
        <v/>
      </c>
      <c r="R213" s="513" t="str">
        <f t="shared" si="24"/>
        <v/>
      </c>
      <c r="S213" s="40"/>
      <c r="T213" s="145"/>
      <c r="U213" s="157"/>
      <c r="V213" s="511" t="str">
        <f t="shared" si="25"/>
        <v/>
      </c>
      <c r="W213" s="511" t="str">
        <f t="shared" si="26"/>
        <v/>
      </c>
      <c r="X213" s="511" t="str">
        <f t="shared" si="27"/>
        <v/>
      </c>
      <c r="Y213" s="515" t="str">
        <f t="shared" si="28"/>
        <v/>
      </c>
      <c r="Z213" s="151"/>
      <c r="AA213" s="152"/>
      <c r="AF213" s="31" t="str">
        <f>IFERROR(INDEX('G-7 Rivers Data'!$AZ$3:$AZ$7,MATCH(D213,'G-7 Rivers Data'!$AY$3:$AY$7,0)),"")</f>
        <v/>
      </c>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row>
    <row r="214" spans="3:40" ht="13.8" x14ac:dyDescent="0.25">
      <c r="C214" s="141">
        <v>205</v>
      </c>
      <c r="D214" s="462"/>
      <c r="E214" s="153"/>
      <c r="F214" s="498" t="str">
        <f>IF(D214="","",VLOOKUP(D214,'G-7 Rivers Data'!$B$2:$G$8,2,FALSE))</f>
        <v/>
      </c>
      <c r="G214" s="499" t="str">
        <f>IFERROR(VLOOKUP(F214,'G-7 Rivers Data'!$C$4:$D$8,2,FALSE),"")</f>
        <v/>
      </c>
      <c r="H214" s="145"/>
      <c r="I214" s="499" t="str">
        <f>IFERROR(INDEX('G-7 Rivers Data'!$H$4:$L$8,MATCH(D214,'G-7 Rivers Data'!$B$4:$B$8,0),MATCH(H214,'G-7 Rivers Data'!$H$3:$L$3,0)),"")</f>
        <v/>
      </c>
      <c r="J214" s="154"/>
      <c r="K214" s="520" t="str">
        <f>IF(J214="","",IF(VLOOKUP(J214,'G-7 Rivers Data'!$AK$4:$AM$9,2,FALSE)=0,"Spatial Data Missing ⚠",VLOOKUP(J214,'G-7 Rivers Data'!$AK$4:$AM$9,2,FALSE)))</f>
        <v/>
      </c>
      <c r="L214" s="524" t="str">
        <f>IF(J214="","",IF(VLOOKUP(J214,'G-7 Rivers Data'!$AK$4:$AM$9,3,FALSE)=0,"Spatial Data Missing ⚠",VLOOKUP(J214,'G-7 Rivers Data'!$AK$4:$AM$9,3,FALSE)))</f>
        <v/>
      </c>
      <c r="M214" s="71"/>
      <c r="N214" s="499" t="str">
        <f>IF(M214="","",IF(VLOOKUP(M214,'G-7 Rivers Data'!$AA$4:$AB$7,2,FALSE)=0,"Spatial Data Missing ⚠",VLOOKUP(M214,'G-7 Rivers Data'!$AA$4:$AB$7,2,FALSE)))</f>
        <v/>
      </c>
      <c r="O214" s="155"/>
      <c r="P214" s="499" t="str">
        <f>IF(O214="","",IF(VLOOKUP(O214,'G-7 Rivers Data'!$AD$4:$AE$8,2,FALSE)=0,"Spatial Data Missing ⚠",VLOOKUP(O214,'G-7 Rivers Data'!$AD$4:$AE$8,2,FALSE)))</f>
        <v/>
      </c>
      <c r="Q214" s="506" t="str">
        <f>IF(D214="","",VLOOKUP(D214,'G-7 Rivers Data'!$B$4:$G$8,6,FALSE))</f>
        <v/>
      </c>
      <c r="R214" s="513" t="str">
        <f t="shared" si="24"/>
        <v/>
      </c>
      <c r="S214" s="40"/>
      <c r="T214" s="145"/>
      <c r="U214" s="157"/>
      <c r="V214" s="511" t="str">
        <f t="shared" si="25"/>
        <v/>
      </c>
      <c r="W214" s="511" t="str">
        <f t="shared" si="26"/>
        <v/>
      </c>
      <c r="X214" s="511" t="str">
        <f t="shared" si="27"/>
        <v/>
      </c>
      <c r="Y214" s="515" t="str">
        <f t="shared" si="28"/>
        <v/>
      </c>
      <c r="Z214" s="151"/>
      <c r="AA214" s="152"/>
      <c r="AF214" s="31" t="str">
        <f>IFERROR(INDEX('G-7 Rivers Data'!$AZ$3:$AZ$7,MATCH(D214,'G-7 Rivers Data'!$AY$3:$AY$7,0)),"")</f>
        <v/>
      </c>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row>
    <row r="215" spans="3:40" ht="13.8" x14ac:dyDescent="0.25">
      <c r="C215" s="141">
        <v>206</v>
      </c>
      <c r="D215" s="462"/>
      <c r="E215" s="153"/>
      <c r="F215" s="498" t="str">
        <f>IF(D215="","",VLOOKUP(D215,'G-7 Rivers Data'!$B$2:$G$8,2,FALSE))</f>
        <v/>
      </c>
      <c r="G215" s="499" t="str">
        <f>IFERROR(VLOOKUP(F215,'G-7 Rivers Data'!$C$4:$D$8,2,FALSE),"")</f>
        <v/>
      </c>
      <c r="H215" s="145"/>
      <c r="I215" s="499" t="str">
        <f>IFERROR(INDEX('G-7 Rivers Data'!$H$4:$L$8,MATCH(D215,'G-7 Rivers Data'!$B$4:$B$8,0),MATCH(H215,'G-7 Rivers Data'!$H$3:$L$3,0)),"")</f>
        <v/>
      </c>
      <c r="J215" s="154"/>
      <c r="K215" s="520" t="str">
        <f>IF(J215="","",IF(VLOOKUP(J215,'G-7 Rivers Data'!$AK$4:$AM$9,2,FALSE)=0,"Spatial Data Missing ⚠",VLOOKUP(J215,'G-7 Rivers Data'!$AK$4:$AM$9,2,FALSE)))</f>
        <v/>
      </c>
      <c r="L215" s="524" t="str">
        <f>IF(J215="","",IF(VLOOKUP(J215,'G-7 Rivers Data'!$AK$4:$AM$9,3,FALSE)=0,"Spatial Data Missing ⚠",VLOOKUP(J215,'G-7 Rivers Data'!$AK$4:$AM$9,3,FALSE)))</f>
        <v/>
      </c>
      <c r="M215" s="71"/>
      <c r="N215" s="499" t="str">
        <f>IF(M215="","",IF(VLOOKUP(M215,'G-7 Rivers Data'!$AA$4:$AB$7,2,FALSE)=0,"Spatial Data Missing ⚠",VLOOKUP(M215,'G-7 Rivers Data'!$AA$4:$AB$7,2,FALSE)))</f>
        <v/>
      </c>
      <c r="O215" s="155"/>
      <c r="P215" s="499" t="str">
        <f>IF(O215="","",IF(VLOOKUP(O215,'G-7 Rivers Data'!$AD$4:$AE$8,2,FALSE)=0,"Spatial Data Missing ⚠",VLOOKUP(O215,'G-7 Rivers Data'!$AD$4:$AE$8,2,FALSE)))</f>
        <v/>
      </c>
      <c r="Q215" s="506" t="str">
        <f>IF(D215="","",VLOOKUP(D215,'G-7 Rivers Data'!$B$4:$G$8,6,FALSE))</f>
        <v/>
      </c>
      <c r="R215" s="513" t="str">
        <f t="shared" si="24"/>
        <v/>
      </c>
      <c r="S215" s="40"/>
      <c r="T215" s="145"/>
      <c r="U215" s="157"/>
      <c r="V215" s="511" t="str">
        <f t="shared" si="25"/>
        <v/>
      </c>
      <c r="W215" s="511" t="str">
        <f t="shared" si="26"/>
        <v/>
      </c>
      <c r="X215" s="511" t="str">
        <f t="shared" si="27"/>
        <v/>
      </c>
      <c r="Y215" s="515" t="str">
        <f t="shared" si="28"/>
        <v/>
      </c>
      <c r="Z215" s="151"/>
      <c r="AA215" s="152"/>
      <c r="AF215" s="31" t="str">
        <f>IFERROR(INDEX('G-7 Rivers Data'!$AZ$3:$AZ$7,MATCH(D215,'G-7 Rivers Data'!$AY$3:$AY$7,0)),"")</f>
        <v/>
      </c>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row>
    <row r="216" spans="3:40" ht="13.8" x14ac:dyDescent="0.25">
      <c r="C216" s="141">
        <v>207</v>
      </c>
      <c r="D216" s="462"/>
      <c r="E216" s="153"/>
      <c r="F216" s="498" t="str">
        <f>IF(D216="","",VLOOKUP(D216,'G-7 Rivers Data'!$B$2:$G$8,2,FALSE))</f>
        <v/>
      </c>
      <c r="G216" s="499" t="str">
        <f>IFERROR(VLOOKUP(F216,'G-7 Rivers Data'!$C$4:$D$8,2,FALSE),"")</f>
        <v/>
      </c>
      <c r="H216" s="145"/>
      <c r="I216" s="499" t="str">
        <f>IFERROR(INDEX('G-7 Rivers Data'!$H$4:$L$8,MATCH(D216,'G-7 Rivers Data'!$B$4:$B$8,0),MATCH(H216,'G-7 Rivers Data'!$H$3:$L$3,0)),"")</f>
        <v/>
      </c>
      <c r="J216" s="154"/>
      <c r="K216" s="520" t="str">
        <f>IF(J216="","",IF(VLOOKUP(J216,'G-7 Rivers Data'!$AK$4:$AM$9,2,FALSE)=0,"Spatial Data Missing ⚠",VLOOKUP(J216,'G-7 Rivers Data'!$AK$4:$AM$9,2,FALSE)))</f>
        <v/>
      </c>
      <c r="L216" s="524" t="str">
        <f>IF(J216="","",IF(VLOOKUP(J216,'G-7 Rivers Data'!$AK$4:$AM$9,3,FALSE)=0,"Spatial Data Missing ⚠",VLOOKUP(J216,'G-7 Rivers Data'!$AK$4:$AM$9,3,FALSE)))</f>
        <v/>
      </c>
      <c r="M216" s="71"/>
      <c r="N216" s="499" t="str">
        <f>IF(M216="","",IF(VLOOKUP(M216,'G-7 Rivers Data'!$AA$4:$AB$7,2,FALSE)=0,"Spatial Data Missing ⚠",VLOOKUP(M216,'G-7 Rivers Data'!$AA$4:$AB$7,2,FALSE)))</f>
        <v/>
      </c>
      <c r="O216" s="155"/>
      <c r="P216" s="499" t="str">
        <f>IF(O216="","",IF(VLOOKUP(O216,'G-7 Rivers Data'!$AD$4:$AE$8,2,FALSE)=0,"Spatial Data Missing ⚠",VLOOKUP(O216,'G-7 Rivers Data'!$AD$4:$AE$8,2,FALSE)))</f>
        <v/>
      </c>
      <c r="Q216" s="506" t="str">
        <f>IF(D216="","",VLOOKUP(D216,'G-7 Rivers Data'!$B$4:$G$8,6,FALSE))</f>
        <v/>
      </c>
      <c r="R216" s="513" t="str">
        <f t="shared" si="24"/>
        <v/>
      </c>
      <c r="S216" s="40"/>
      <c r="T216" s="145"/>
      <c r="U216" s="157"/>
      <c r="V216" s="511" t="str">
        <f t="shared" si="25"/>
        <v/>
      </c>
      <c r="W216" s="511" t="str">
        <f t="shared" si="26"/>
        <v/>
      </c>
      <c r="X216" s="511" t="str">
        <f t="shared" si="27"/>
        <v/>
      </c>
      <c r="Y216" s="515" t="str">
        <f t="shared" si="28"/>
        <v/>
      </c>
      <c r="Z216" s="151"/>
      <c r="AA216" s="152"/>
      <c r="AF216" s="31" t="str">
        <f>IFERROR(INDEX('G-7 Rivers Data'!$AZ$3:$AZ$7,MATCH(D216,'G-7 Rivers Data'!$AY$3:$AY$7,0)),"")</f>
        <v/>
      </c>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row>
    <row r="217" spans="3:40" ht="13.8" x14ac:dyDescent="0.25">
      <c r="C217" s="141">
        <v>208</v>
      </c>
      <c r="D217" s="462"/>
      <c r="E217" s="153"/>
      <c r="F217" s="498" t="str">
        <f>IF(D217="","",VLOOKUP(D217,'G-7 Rivers Data'!$B$2:$G$8,2,FALSE))</f>
        <v/>
      </c>
      <c r="G217" s="499" t="str">
        <f>IFERROR(VLOOKUP(F217,'G-7 Rivers Data'!$C$4:$D$8,2,FALSE),"")</f>
        <v/>
      </c>
      <c r="H217" s="145"/>
      <c r="I217" s="499" t="str">
        <f>IFERROR(INDEX('G-7 Rivers Data'!$H$4:$L$8,MATCH(D217,'G-7 Rivers Data'!$B$4:$B$8,0),MATCH(H217,'G-7 Rivers Data'!$H$3:$L$3,0)),"")</f>
        <v/>
      </c>
      <c r="J217" s="154"/>
      <c r="K217" s="520" t="str">
        <f>IF(J217="","",IF(VLOOKUP(J217,'G-7 Rivers Data'!$AK$4:$AM$9,2,FALSE)=0,"Spatial Data Missing ⚠",VLOOKUP(J217,'G-7 Rivers Data'!$AK$4:$AM$9,2,FALSE)))</f>
        <v/>
      </c>
      <c r="L217" s="524" t="str">
        <f>IF(J217="","",IF(VLOOKUP(J217,'G-7 Rivers Data'!$AK$4:$AM$9,3,FALSE)=0,"Spatial Data Missing ⚠",VLOOKUP(J217,'G-7 Rivers Data'!$AK$4:$AM$9,3,FALSE)))</f>
        <v/>
      </c>
      <c r="M217" s="71"/>
      <c r="N217" s="499" t="str">
        <f>IF(M217="","",IF(VLOOKUP(M217,'G-7 Rivers Data'!$AA$4:$AB$7,2,FALSE)=0,"Spatial Data Missing ⚠",VLOOKUP(M217,'G-7 Rivers Data'!$AA$4:$AB$7,2,FALSE)))</f>
        <v/>
      </c>
      <c r="O217" s="155"/>
      <c r="P217" s="499" t="str">
        <f>IF(O217="","",IF(VLOOKUP(O217,'G-7 Rivers Data'!$AD$4:$AE$8,2,FALSE)=0,"Spatial Data Missing ⚠",VLOOKUP(O217,'G-7 Rivers Data'!$AD$4:$AE$8,2,FALSE)))</f>
        <v/>
      </c>
      <c r="Q217" s="506" t="str">
        <f>IF(D217="","",VLOOKUP(D217,'G-7 Rivers Data'!$B$4:$G$8,6,FALSE))</f>
        <v/>
      </c>
      <c r="R217" s="513" t="str">
        <f t="shared" si="24"/>
        <v/>
      </c>
      <c r="S217" s="40"/>
      <c r="T217" s="145"/>
      <c r="U217" s="157"/>
      <c r="V217" s="511" t="str">
        <f t="shared" si="25"/>
        <v/>
      </c>
      <c r="W217" s="511" t="str">
        <f t="shared" si="26"/>
        <v/>
      </c>
      <c r="X217" s="511" t="str">
        <f t="shared" si="27"/>
        <v/>
      </c>
      <c r="Y217" s="515" t="str">
        <f t="shared" si="28"/>
        <v/>
      </c>
      <c r="Z217" s="151"/>
      <c r="AA217" s="152"/>
      <c r="AF217" s="31" t="str">
        <f>IFERROR(INDEX('G-7 Rivers Data'!$AZ$3:$AZ$7,MATCH(D217,'G-7 Rivers Data'!$AY$3:$AY$7,0)),"")</f>
        <v/>
      </c>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row>
    <row r="218" spans="3:40" ht="13.8" x14ac:dyDescent="0.25">
      <c r="C218" s="141">
        <v>209</v>
      </c>
      <c r="D218" s="462"/>
      <c r="E218" s="153"/>
      <c r="F218" s="498" t="str">
        <f>IF(D218="","",VLOOKUP(D218,'G-7 Rivers Data'!$B$2:$G$8,2,FALSE))</f>
        <v/>
      </c>
      <c r="G218" s="499" t="str">
        <f>IFERROR(VLOOKUP(F218,'G-7 Rivers Data'!$C$4:$D$8,2,FALSE),"")</f>
        <v/>
      </c>
      <c r="H218" s="145"/>
      <c r="I218" s="499" t="str">
        <f>IFERROR(INDEX('G-7 Rivers Data'!$H$4:$L$8,MATCH(D218,'G-7 Rivers Data'!$B$4:$B$8,0),MATCH(H218,'G-7 Rivers Data'!$H$3:$L$3,0)),"")</f>
        <v/>
      </c>
      <c r="J218" s="154"/>
      <c r="K218" s="520" t="str">
        <f>IF(J218="","",IF(VLOOKUP(J218,'G-7 Rivers Data'!$AK$4:$AM$9,2,FALSE)=0,"Spatial Data Missing ⚠",VLOOKUP(J218,'G-7 Rivers Data'!$AK$4:$AM$9,2,FALSE)))</f>
        <v/>
      </c>
      <c r="L218" s="524" t="str">
        <f>IF(J218="","",IF(VLOOKUP(J218,'G-7 Rivers Data'!$AK$4:$AM$9,3,FALSE)=0,"Spatial Data Missing ⚠",VLOOKUP(J218,'G-7 Rivers Data'!$AK$4:$AM$9,3,FALSE)))</f>
        <v/>
      </c>
      <c r="M218" s="71"/>
      <c r="N218" s="499" t="str">
        <f>IF(M218="","",IF(VLOOKUP(M218,'G-7 Rivers Data'!$AA$4:$AB$7,2,FALSE)=0,"Spatial Data Missing ⚠",VLOOKUP(M218,'G-7 Rivers Data'!$AA$4:$AB$7,2,FALSE)))</f>
        <v/>
      </c>
      <c r="O218" s="155"/>
      <c r="P218" s="499" t="str">
        <f>IF(O218="","",IF(VLOOKUP(O218,'G-7 Rivers Data'!$AD$4:$AE$8,2,FALSE)=0,"Spatial Data Missing ⚠",VLOOKUP(O218,'G-7 Rivers Data'!$AD$4:$AE$8,2,FALSE)))</f>
        <v/>
      </c>
      <c r="Q218" s="506" t="str">
        <f>IF(D218="","",VLOOKUP(D218,'G-7 Rivers Data'!$B$4:$G$8,6,FALSE))</f>
        <v/>
      </c>
      <c r="R218" s="513" t="str">
        <f t="shared" si="24"/>
        <v/>
      </c>
      <c r="S218" s="40"/>
      <c r="T218" s="145"/>
      <c r="U218" s="157"/>
      <c r="V218" s="511" t="str">
        <f t="shared" si="25"/>
        <v/>
      </c>
      <c r="W218" s="511" t="str">
        <f t="shared" si="26"/>
        <v/>
      </c>
      <c r="X218" s="511" t="str">
        <f t="shared" si="27"/>
        <v/>
      </c>
      <c r="Y218" s="515" t="str">
        <f t="shared" si="28"/>
        <v/>
      </c>
      <c r="Z218" s="151"/>
      <c r="AA218" s="152"/>
      <c r="AF218" s="31" t="str">
        <f>IFERROR(INDEX('G-7 Rivers Data'!$AZ$3:$AZ$7,MATCH(D218,'G-7 Rivers Data'!$AY$3:$AY$7,0)),"")</f>
        <v/>
      </c>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row>
    <row r="219" spans="3:40" ht="13.8" x14ac:dyDescent="0.25">
      <c r="C219" s="141">
        <v>210</v>
      </c>
      <c r="D219" s="462"/>
      <c r="E219" s="153"/>
      <c r="F219" s="498" t="str">
        <f>IF(D219="","",VLOOKUP(D219,'G-7 Rivers Data'!$B$2:$G$8,2,FALSE))</f>
        <v/>
      </c>
      <c r="G219" s="499" t="str">
        <f>IFERROR(VLOOKUP(F219,'G-7 Rivers Data'!$C$4:$D$8,2,FALSE),"")</f>
        <v/>
      </c>
      <c r="H219" s="145"/>
      <c r="I219" s="499" t="str">
        <f>IFERROR(INDEX('G-7 Rivers Data'!$H$4:$L$8,MATCH(D219,'G-7 Rivers Data'!$B$4:$B$8,0),MATCH(H219,'G-7 Rivers Data'!$H$3:$L$3,0)),"")</f>
        <v/>
      </c>
      <c r="J219" s="154"/>
      <c r="K219" s="520" t="str">
        <f>IF(J219="","",IF(VLOOKUP(J219,'G-7 Rivers Data'!$AK$4:$AM$9,2,FALSE)=0,"Spatial Data Missing ⚠",VLOOKUP(J219,'G-7 Rivers Data'!$AK$4:$AM$9,2,FALSE)))</f>
        <v/>
      </c>
      <c r="L219" s="524" t="str">
        <f>IF(J219="","",IF(VLOOKUP(J219,'G-7 Rivers Data'!$AK$4:$AM$9,3,FALSE)=0,"Spatial Data Missing ⚠",VLOOKUP(J219,'G-7 Rivers Data'!$AK$4:$AM$9,3,FALSE)))</f>
        <v/>
      </c>
      <c r="M219" s="71"/>
      <c r="N219" s="499" t="str">
        <f>IF(M219="","",IF(VLOOKUP(M219,'G-7 Rivers Data'!$AA$4:$AB$7,2,FALSE)=0,"Spatial Data Missing ⚠",VLOOKUP(M219,'G-7 Rivers Data'!$AA$4:$AB$7,2,FALSE)))</f>
        <v/>
      </c>
      <c r="O219" s="155"/>
      <c r="P219" s="499" t="str">
        <f>IF(O219="","",IF(VLOOKUP(O219,'G-7 Rivers Data'!$AD$4:$AE$8,2,FALSE)=0,"Spatial Data Missing ⚠",VLOOKUP(O219,'G-7 Rivers Data'!$AD$4:$AE$8,2,FALSE)))</f>
        <v/>
      </c>
      <c r="Q219" s="506" t="str">
        <f>IF(D219="","",VLOOKUP(D219,'G-7 Rivers Data'!$B$4:$G$8,6,FALSE))</f>
        <v/>
      </c>
      <c r="R219" s="513" t="str">
        <f t="shared" si="24"/>
        <v/>
      </c>
      <c r="S219" s="40"/>
      <c r="T219" s="145"/>
      <c r="U219" s="157"/>
      <c r="V219" s="511" t="str">
        <f t="shared" si="25"/>
        <v/>
      </c>
      <c r="W219" s="511" t="str">
        <f t="shared" si="26"/>
        <v/>
      </c>
      <c r="X219" s="511" t="str">
        <f t="shared" si="27"/>
        <v/>
      </c>
      <c r="Y219" s="515" t="str">
        <f t="shared" si="28"/>
        <v/>
      </c>
      <c r="Z219" s="151"/>
      <c r="AA219" s="152"/>
      <c r="AF219" s="31" t="str">
        <f>IFERROR(INDEX('G-7 Rivers Data'!$AZ$3:$AZ$7,MATCH(D219,'G-7 Rivers Data'!$AY$3:$AY$7,0)),"")</f>
        <v/>
      </c>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row>
    <row r="220" spans="3:40" ht="13.8" x14ac:dyDescent="0.25">
      <c r="C220" s="141">
        <v>211</v>
      </c>
      <c r="D220" s="462"/>
      <c r="E220" s="153"/>
      <c r="F220" s="498" t="str">
        <f>IF(D220="","",VLOOKUP(D220,'G-7 Rivers Data'!$B$2:$G$8,2,FALSE))</f>
        <v/>
      </c>
      <c r="G220" s="499" t="str">
        <f>IFERROR(VLOOKUP(F220,'G-7 Rivers Data'!$C$4:$D$8,2,FALSE),"")</f>
        <v/>
      </c>
      <c r="H220" s="145"/>
      <c r="I220" s="499" t="str">
        <f>IFERROR(INDEX('G-7 Rivers Data'!$H$4:$L$8,MATCH(D220,'G-7 Rivers Data'!$B$4:$B$8,0),MATCH(H220,'G-7 Rivers Data'!$H$3:$L$3,0)),"")</f>
        <v/>
      </c>
      <c r="J220" s="154"/>
      <c r="K220" s="520" t="str">
        <f>IF(J220="","",IF(VLOOKUP(J220,'G-7 Rivers Data'!$AK$4:$AM$9,2,FALSE)=0,"Spatial Data Missing ⚠",VLOOKUP(J220,'G-7 Rivers Data'!$AK$4:$AM$9,2,FALSE)))</f>
        <v/>
      </c>
      <c r="L220" s="524" t="str">
        <f>IF(J220="","",IF(VLOOKUP(J220,'G-7 Rivers Data'!$AK$4:$AM$9,3,FALSE)=0,"Spatial Data Missing ⚠",VLOOKUP(J220,'G-7 Rivers Data'!$AK$4:$AM$9,3,FALSE)))</f>
        <v/>
      </c>
      <c r="M220" s="71"/>
      <c r="N220" s="499" t="str">
        <f>IF(M220="","",IF(VLOOKUP(M220,'G-7 Rivers Data'!$AA$4:$AB$7,2,FALSE)=0,"Spatial Data Missing ⚠",VLOOKUP(M220,'G-7 Rivers Data'!$AA$4:$AB$7,2,FALSE)))</f>
        <v/>
      </c>
      <c r="O220" s="155"/>
      <c r="P220" s="499" t="str">
        <f>IF(O220="","",IF(VLOOKUP(O220,'G-7 Rivers Data'!$AD$4:$AE$8,2,FALSE)=0,"Spatial Data Missing ⚠",VLOOKUP(O220,'G-7 Rivers Data'!$AD$4:$AE$8,2,FALSE)))</f>
        <v/>
      </c>
      <c r="Q220" s="506" t="str">
        <f>IF(D220="","",VLOOKUP(D220,'G-7 Rivers Data'!$B$4:$G$8,6,FALSE))</f>
        <v/>
      </c>
      <c r="R220" s="513" t="str">
        <f t="shared" si="24"/>
        <v/>
      </c>
      <c r="S220" s="40"/>
      <c r="T220" s="145"/>
      <c r="U220" s="157"/>
      <c r="V220" s="511" t="str">
        <f t="shared" si="25"/>
        <v/>
      </c>
      <c r="W220" s="511" t="str">
        <f t="shared" si="26"/>
        <v/>
      </c>
      <c r="X220" s="511" t="str">
        <f t="shared" si="27"/>
        <v/>
      </c>
      <c r="Y220" s="515" t="str">
        <f t="shared" si="28"/>
        <v/>
      </c>
      <c r="Z220" s="151"/>
      <c r="AA220" s="152"/>
      <c r="AF220" s="31" t="str">
        <f>IFERROR(INDEX('G-7 Rivers Data'!$AZ$3:$AZ$7,MATCH(D220,'G-7 Rivers Data'!$AY$3:$AY$7,0)),"")</f>
        <v/>
      </c>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row>
    <row r="221" spans="3:40" ht="13.8" x14ac:dyDescent="0.25">
      <c r="C221" s="141">
        <v>212</v>
      </c>
      <c r="D221" s="462"/>
      <c r="E221" s="153"/>
      <c r="F221" s="498" t="str">
        <f>IF(D221="","",VLOOKUP(D221,'G-7 Rivers Data'!$B$2:$G$8,2,FALSE))</f>
        <v/>
      </c>
      <c r="G221" s="499" t="str">
        <f>IFERROR(VLOOKUP(F221,'G-7 Rivers Data'!$C$4:$D$8,2,FALSE),"")</f>
        <v/>
      </c>
      <c r="H221" s="145"/>
      <c r="I221" s="499" t="str">
        <f>IFERROR(INDEX('G-7 Rivers Data'!$H$4:$L$8,MATCH(D221,'G-7 Rivers Data'!$B$4:$B$8,0),MATCH(H221,'G-7 Rivers Data'!$H$3:$L$3,0)),"")</f>
        <v/>
      </c>
      <c r="J221" s="154"/>
      <c r="K221" s="520" t="str">
        <f>IF(J221="","",IF(VLOOKUP(J221,'G-7 Rivers Data'!$AK$4:$AM$9,2,FALSE)=0,"Spatial Data Missing ⚠",VLOOKUP(J221,'G-7 Rivers Data'!$AK$4:$AM$9,2,FALSE)))</f>
        <v/>
      </c>
      <c r="L221" s="524" t="str">
        <f>IF(J221="","",IF(VLOOKUP(J221,'G-7 Rivers Data'!$AK$4:$AM$9,3,FALSE)=0,"Spatial Data Missing ⚠",VLOOKUP(J221,'G-7 Rivers Data'!$AK$4:$AM$9,3,FALSE)))</f>
        <v/>
      </c>
      <c r="M221" s="71"/>
      <c r="N221" s="499" t="str">
        <f>IF(M221="","",IF(VLOOKUP(M221,'G-7 Rivers Data'!$AA$4:$AB$7,2,FALSE)=0,"Spatial Data Missing ⚠",VLOOKUP(M221,'G-7 Rivers Data'!$AA$4:$AB$7,2,FALSE)))</f>
        <v/>
      </c>
      <c r="O221" s="155"/>
      <c r="P221" s="499" t="str">
        <f>IF(O221="","",IF(VLOOKUP(O221,'G-7 Rivers Data'!$AD$4:$AE$8,2,FALSE)=0,"Spatial Data Missing ⚠",VLOOKUP(O221,'G-7 Rivers Data'!$AD$4:$AE$8,2,FALSE)))</f>
        <v/>
      </c>
      <c r="Q221" s="506" t="str">
        <f>IF(D221="","",VLOOKUP(D221,'G-7 Rivers Data'!$B$4:$G$8,6,FALSE))</f>
        <v/>
      </c>
      <c r="R221" s="513" t="str">
        <f t="shared" si="24"/>
        <v/>
      </c>
      <c r="S221" s="40"/>
      <c r="T221" s="145"/>
      <c r="U221" s="157"/>
      <c r="V221" s="511" t="str">
        <f t="shared" si="25"/>
        <v/>
      </c>
      <c r="W221" s="511" t="str">
        <f t="shared" si="26"/>
        <v/>
      </c>
      <c r="X221" s="511" t="str">
        <f t="shared" si="27"/>
        <v/>
      </c>
      <c r="Y221" s="515" t="str">
        <f t="shared" si="28"/>
        <v/>
      </c>
      <c r="Z221" s="151"/>
      <c r="AA221" s="152"/>
      <c r="AF221" s="31" t="str">
        <f>IFERROR(INDEX('G-7 Rivers Data'!$AZ$3:$AZ$7,MATCH(D221,'G-7 Rivers Data'!$AY$3:$AY$7,0)),"")</f>
        <v/>
      </c>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row>
    <row r="222" spans="3:40" ht="13.8" x14ac:dyDescent="0.25">
      <c r="C222" s="141">
        <v>213</v>
      </c>
      <c r="D222" s="462"/>
      <c r="E222" s="153"/>
      <c r="F222" s="498" t="str">
        <f>IF(D222="","",VLOOKUP(D222,'G-7 Rivers Data'!$B$2:$G$8,2,FALSE))</f>
        <v/>
      </c>
      <c r="G222" s="499" t="str">
        <f>IFERROR(VLOOKUP(F222,'G-7 Rivers Data'!$C$4:$D$8,2,FALSE),"")</f>
        <v/>
      </c>
      <c r="H222" s="145"/>
      <c r="I222" s="499" t="str">
        <f>IFERROR(INDEX('G-7 Rivers Data'!$H$4:$L$8,MATCH(D222,'G-7 Rivers Data'!$B$4:$B$8,0),MATCH(H222,'G-7 Rivers Data'!$H$3:$L$3,0)),"")</f>
        <v/>
      </c>
      <c r="J222" s="154"/>
      <c r="K222" s="520" t="str">
        <f>IF(J222="","",IF(VLOOKUP(J222,'G-7 Rivers Data'!$AK$4:$AM$9,2,FALSE)=0,"Spatial Data Missing ⚠",VLOOKUP(J222,'G-7 Rivers Data'!$AK$4:$AM$9,2,FALSE)))</f>
        <v/>
      </c>
      <c r="L222" s="524" t="str">
        <f>IF(J222="","",IF(VLOOKUP(J222,'G-7 Rivers Data'!$AK$4:$AM$9,3,FALSE)=0,"Spatial Data Missing ⚠",VLOOKUP(J222,'G-7 Rivers Data'!$AK$4:$AM$9,3,FALSE)))</f>
        <v/>
      </c>
      <c r="M222" s="71"/>
      <c r="N222" s="499" t="str">
        <f>IF(M222="","",IF(VLOOKUP(M222,'G-7 Rivers Data'!$AA$4:$AB$7,2,FALSE)=0,"Spatial Data Missing ⚠",VLOOKUP(M222,'G-7 Rivers Data'!$AA$4:$AB$7,2,FALSE)))</f>
        <v/>
      </c>
      <c r="O222" s="155"/>
      <c r="P222" s="499" t="str">
        <f>IF(O222="","",IF(VLOOKUP(O222,'G-7 Rivers Data'!$AD$4:$AE$8,2,FALSE)=0,"Spatial Data Missing ⚠",VLOOKUP(O222,'G-7 Rivers Data'!$AD$4:$AE$8,2,FALSE)))</f>
        <v/>
      </c>
      <c r="Q222" s="506" t="str">
        <f>IF(D222="","",VLOOKUP(D222,'G-7 Rivers Data'!$B$4:$G$8,6,FALSE))</f>
        <v/>
      </c>
      <c r="R222" s="513" t="str">
        <f t="shared" si="24"/>
        <v/>
      </c>
      <c r="S222" s="40"/>
      <c r="T222" s="145"/>
      <c r="U222" s="157"/>
      <c r="V222" s="511" t="str">
        <f t="shared" si="25"/>
        <v/>
      </c>
      <c r="W222" s="511" t="str">
        <f t="shared" si="26"/>
        <v/>
      </c>
      <c r="X222" s="511" t="str">
        <f t="shared" si="27"/>
        <v/>
      </c>
      <c r="Y222" s="515" t="str">
        <f t="shared" si="28"/>
        <v/>
      </c>
      <c r="Z222" s="151"/>
      <c r="AA222" s="152"/>
      <c r="AF222" s="31" t="str">
        <f>IFERROR(INDEX('G-7 Rivers Data'!$AZ$3:$AZ$7,MATCH(D222,'G-7 Rivers Data'!$AY$3:$AY$7,0)),"")</f>
        <v/>
      </c>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row>
    <row r="223" spans="3:40" ht="13.8" x14ac:dyDescent="0.25">
      <c r="C223" s="141">
        <v>214</v>
      </c>
      <c r="D223" s="462"/>
      <c r="E223" s="153"/>
      <c r="F223" s="498" t="str">
        <f>IF(D223="","",VLOOKUP(D223,'G-7 Rivers Data'!$B$2:$G$8,2,FALSE))</f>
        <v/>
      </c>
      <c r="G223" s="499" t="str">
        <f>IFERROR(VLOOKUP(F223,'G-7 Rivers Data'!$C$4:$D$8,2,FALSE),"")</f>
        <v/>
      </c>
      <c r="H223" s="145"/>
      <c r="I223" s="499" t="str">
        <f>IFERROR(INDEX('G-7 Rivers Data'!$H$4:$L$8,MATCH(D223,'G-7 Rivers Data'!$B$4:$B$8,0),MATCH(H223,'G-7 Rivers Data'!$H$3:$L$3,0)),"")</f>
        <v/>
      </c>
      <c r="J223" s="154"/>
      <c r="K223" s="520" t="str">
        <f>IF(J223="","",IF(VLOOKUP(J223,'G-7 Rivers Data'!$AK$4:$AM$9,2,FALSE)=0,"Spatial Data Missing ⚠",VLOOKUP(J223,'G-7 Rivers Data'!$AK$4:$AM$9,2,FALSE)))</f>
        <v/>
      </c>
      <c r="L223" s="524" t="str">
        <f>IF(J223="","",IF(VLOOKUP(J223,'G-7 Rivers Data'!$AK$4:$AM$9,3,FALSE)=0,"Spatial Data Missing ⚠",VLOOKUP(J223,'G-7 Rivers Data'!$AK$4:$AM$9,3,FALSE)))</f>
        <v/>
      </c>
      <c r="M223" s="71"/>
      <c r="N223" s="499" t="str">
        <f>IF(M223="","",IF(VLOOKUP(M223,'G-7 Rivers Data'!$AA$4:$AB$7,2,FALSE)=0,"Spatial Data Missing ⚠",VLOOKUP(M223,'G-7 Rivers Data'!$AA$4:$AB$7,2,FALSE)))</f>
        <v/>
      </c>
      <c r="O223" s="155"/>
      <c r="P223" s="499" t="str">
        <f>IF(O223="","",IF(VLOOKUP(O223,'G-7 Rivers Data'!$AD$4:$AE$8,2,FALSE)=0,"Spatial Data Missing ⚠",VLOOKUP(O223,'G-7 Rivers Data'!$AD$4:$AE$8,2,FALSE)))</f>
        <v/>
      </c>
      <c r="Q223" s="506" t="str">
        <f>IF(D223="","",VLOOKUP(D223,'G-7 Rivers Data'!$B$4:$G$8,6,FALSE))</f>
        <v/>
      </c>
      <c r="R223" s="513" t="str">
        <f t="shared" si="24"/>
        <v/>
      </c>
      <c r="S223" s="40"/>
      <c r="T223" s="145"/>
      <c r="U223" s="157"/>
      <c r="V223" s="511" t="str">
        <f t="shared" si="25"/>
        <v/>
      </c>
      <c r="W223" s="511" t="str">
        <f t="shared" si="26"/>
        <v/>
      </c>
      <c r="X223" s="511" t="str">
        <f t="shared" si="27"/>
        <v/>
      </c>
      <c r="Y223" s="515" t="str">
        <f t="shared" si="28"/>
        <v/>
      </c>
      <c r="Z223" s="151"/>
      <c r="AA223" s="152"/>
      <c r="AF223" s="31" t="str">
        <f>IFERROR(INDEX('G-7 Rivers Data'!$AZ$3:$AZ$7,MATCH(D223,'G-7 Rivers Data'!$AY$3:$AY$7,0)),"")</f>
        <v/>
      </c>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row>
    <row r="224" spans="3:40" ht="13.8" x14ac:dyDescent="0.25">
      <c r="C224" s="141">
        <v>215</v>
      </c>
      <c r="D224" s="462"/>
      <c r="E224" s="153"/>
      <c r="F224" s="498" t="str">
        <f>IF(D224="","",VLOOKUP(D224,'G-7 Rivers Data'!$B$2:$G$8,2,FALSE))</f>
        <v/>
      </c>
      <c r="G224" s="499" t="str">
        <f>IFERROR(VLOOKUP(F224,'G-7 Rivers Data'!$C$4:$D$8,2,FALSE),"")</f>
        <v/>
      </c>
      <c r="H224" s="145"/>
      <c r="I224" s="499" t="str">
        <f>IFERROR(INDEX('G-7 Rivers Data'!$H$4:$L$8,MATCH(D224,'G-7 Rivers Data'!$B$4:$B$8,0),MATCH(H224,'G-7 Rivers Data'!$H$3:$L$3,0)),"")</f>
        <v/>
      </c>
      <c r="J224" s="154"/>
      <c r="K224" s="520" t="str">
        <f>IF(J224="","",IF(VLOOKUP(J224,'G-7 Rivers Data'!$AK$4:$AM$9,2,FALSE)=0,"Spatial Data Missing ⚠",VLOOKUP(J224,'G-7 Rivers Data'!$AK$4:$AM$9,2,FALSE)))</f>
        <v/>
      </c>
      <c r="L224" s="524" t="str">
        <f>IF(J224="","",IF(VLOOKUP(J224,'G-7 Rivers Data'!$AK$4:$AM$9,3,FALSE)=0,"Spatial Data Missing ⚠",VLOOKUP(J224,'G-7 Rivers Data'!$AK$4:$AM$9,3,FALSE)))</f>
        <v/>
      </c>
      <c r="M224" s="71"/>
      <c r="N224" s="499" t="str">
        <f>IF(M224="","",IF(VLOOKUP(M224,'G-7 Rivers Data'!$AA$4:$AB$7,2,FALSE)=0,"Spatial Data Missing ⚠",VLOOKUP(M224,'G-7 Rivers Data'!$AA$4:$AB$7,2,FALSE)))</f>
        <v/>
      </c>
      <c r="O224" s="155"/>
      <c r="P224" s="499" t="str">
        <f>IF(O224="","",IF(VLOOKUP(O224,'G-7 Rivers Data'!$AD$4:$AE$8,2,FALSE)=0,"Spatial Data Missing ⚠",VLOOKUP(O224,'G-7 Rivers Data'!$AD$4:$AE$8,2,FALSE)))</f>
        <v/>
      </c>
      <c r="Q224" s="506" t="str">
        <f>IF(D224="","",VLOOKUP(D224,'G-7 Rivers Data'!$B$4:$G$8,6,FALSE))</f>
        <v/>
      </c>
      <c r="R224" s="513" t="str">
        <f t="shared" si="24"/>
        <v/>
      </c>
      <c r="S224" s="40"/>
      <c r="T224" s="145"/>
      <c r="U224" s="157"/>
      <c r="V224" s="511" t="str">
        <f t="shared" si="25"/>
        <v/>
      </c>
      <c r="W224" s="511" t="str">
        <f t="shared" si="26"/>
        <v/>
      </c>
      <c r="X224" s="511" t="str">
        <f t="shared" si="27"/>
        <v/>
      </c>
      <c r="Y224" s="515" t="str">
        <f t="shared" si="28"/>
        <v/>
      </c>
      <c r="Z224" s="151"/>
      <c r="AA224" s="152"/>
      <c r="AF224" s="31" t="str">
        <f>IFERROR(INDEX('G-7 Rivers Data'!$AZ$3:$AZ$7,MATCH(D224,'G-7 Rivers Data'!$AY$3:$AY$7,0)),"")</f>
        <v/>
      </c>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row>
    <row r="225" spans="3:40" ht="13.8" x14ac:dyDescent="0.25">
      <c r="C225" s="141">
        <v>216</v>
      </c>
      <c r="D225" s="462"/>
      <c r="E225" s="153"/>
      <c r="F225" s="498" t="str">
        <f>IF(D225="","",VLOOKUP(D225,'G-7 Rivers Data'!$B$2:$G$8,2,FALSE))</f>
        <v/>
      </c>
      <c r="G225" s="499" t="str">
        <f>IFERROR(VLOOKUP(F225,'G-7 Rivers Data'!$C$4:$D$8,2,FALSE),"")</f>
        <v/>
      </c>
      <c r="H225" s="145"/>
      <c r="I225" s="499" t="str">
        <f>IFERROR(INDEX('G-7 Rivers Data'!$H$4:$L$8,MATCH(D225,'G-7 Rivers Data'!$B$4:$B$8,0),MATCH(H225,'G-7 Rivers Data'!$H$3:$L$3,0)),"")</f>
        <v/>
      </c>
      <c r="J225" s="154"/>
      <c r="K225" s="520" t="str">
        <f>IF(J225="","",IF(VLOOKUP(J225,'G-7 Rivers Data'!$AK$4:$AM$9,2,FALSE)=0,"Spatial Data Missing ⚠",VLOOKUP(J225,'G-7 Rivers Data'!$AK$4:$AM$9,2,FALSE)))</f>
        <v/>
      </c>
      <c r="L225" s="524" t="str">
        <f>IF(J225="","",IF(VLOOKUP(J225,'G-7 Rivers Data'!$AK$4:$AM$9,3,FALSE)=0,"Spatial Data Missing ⚠",VLOOKUP(J225,'G-7 Rivers Data'!$AK$4:$AM$9,3,FALSE)))</f>
        <v/>
      </c>
      <c r="M225" s="71"/>
      <c r="N225" s="499" t="str">
        <f>IF(M225="","",IF(VLOOKUP(M225,'G-7 Rivers Data'!$AA$4:$AB$7,2,FALSE)=0,"Spatial Data Missing ⚠",VLOOKUP(M225,'G-7 Rivers Data'!$AA$4:$AB$7,2,FALSE)))</f>
        <v/>
      </c>
      <c r="O225" s="155"/>
      <c r="P225" s="499" t="str">
        <f>IF(O225="","",IF(VLOOKUP(O225,'G-7 Rivers Data'!$AD$4:$AE$8,2,FALSE)=0,"Spatial Data Missing ⚠",VLOOKUP(O225,'G-7 Rivers Data'!$AD$4:$AE$8,2,FALSE)))</f>
        <v/>
      </c>
      <c r="Q225" s="506" t="str">
        <f>IF(D225="","",VLOOKUP(D225,'G-7 Rivers Data'!$B$4:$G$8,6,FALSE))</f>
        <v/>
      </c>
      <c r="R225" s="513" t="str">
        <f t="shared" si="24"/>
        <v/>
      </c>
      <c r="S225" s="40"/>
      <c r="T225" s="145"/>
      <c r="U225" s="157"/>
      <c r="V225" s="511" t="str">
        <f t="shared" si="25"/>
        <v/>
      </c>
      <c r="W225" s="511" t="str">
        <f t="shared" si="26"/>
        <v/>
      </c>
      <c r="X225" s="511" t="str">
        <f t="shared" si="27"/>
        <v/>
      </c>
      <c r="Y225" s="515" t="str">
        <f t="shared" si="28"/>
        <v/>
      </c>
      <c r="Z225" s="151"/>
      <c r="AA225" s="152"/>
      <c r="AF225" s="31" t="str">
        <f>IFERROR(INDEX('G-7 Rivers Data'!$AZ$3:$AZ$7,MATCH(D225,'G-7 Rivers Data'!$AY$3:$AY$7,0)),"")</f>
        <v/>
      </c>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row>
    <row r="226" spans="3:40" ht="13.8" x14ac:dyDescent="0.25">
      <c r="C226" s="141">
        <v>217</v>
      </c>
      <c r="D226" s="462"/>
      <c r="E226" s="153"/>
      <c r="F226" s="498" t="str">
        <f>IF(D226="","",VLOOKUP(D226,'G-7 Rivers Data'!$B$2:$G$8,2,FALSE))</f>
        <v/>
      </c>
      <c r="G226" s="499" t="str">
        <f>IFERROR(VLOOKUP(F226,'G-7 Rivers Data'!$C$4:$D$8,2,FALSE),"")</f>
        <v/>
      </c>
      <c r="H226" s="145"/>
      <c r="I226" s="499" t="str">
        <f>IFERROR(INDEX('G-7 Rivers Data'!$H$4:$L$8,MATCH(D226,'G-7 Rivers Data'!$B$4:$B$8,0),MATCH(H226,'G-7 Rivers Data'!$H$3:$L$3,0)),"")</f>
        <v/>
      </c>
      <c r="J226" s="154"/>
      <c r="K226" s="520" t="str">
        <f>IF(J226="","",IF(VLOOKUP(J226,'G-7 Rivers Data'!$AK$4:$AM$9,2,FALSE)=0,"Spatial Data Missing ⚠",VLOOKUP(J226,'G-7 Rivers Data'!$AK$4:$AM$9,2,FALSE)))</f>
        <v/>
      </c>
      <c r="L226" s="524" t="str">
        <f>IF(J226="","",IF(VLOOKUP(J226,'G-7 Rivers Data'!$AK$4:$AM$9,3,FALSE)=0,"Spatial Data Missing ⚠",VLOOKUP(J226,'G-7 Rivers Data'!$AK$4:$AM$9,3,FALSE)))</f>
        <v/>
      </c>
      <c r="M226" s="71"/>
      <c r="N226" s="499" t="str">
        <f>IF(M226="","",IF(VLOOKUP(M226,'G-7 Rivers Data'!$AA$4:$AB$7,2,FALSE)=0,"Spatial Data Missing ⚠",VLOOKUP(M226,'G-7 Rivers Data'!$AA$4:$AB$7,2,FALSE)))</f>
        <v/>
      </c>
      <c r="O226" s="155"/>
      <c r="P226" s="499" t="str">
        <f>IF(O226="","",IF(VLOOKUP(O226,'G-7 Rivers Data'!$AD$4:$AE$8,2,FALSE)=0,"Spatial Data Missing ⚠",VLOOKUP(O226,'G-7 Rivers Data'!$AD$4:$AE$8,2,FALSE)))</f>
        <v/>
      </c>
      <c r="Q226" s="506" t="str">
        <f>IF(D226="","",VLOOKUP(D226,'G-7 Rivers Data'!$B$4:$G$8,6,FALSE))</f>
        <v/>
      </c>
      <c r="R226" s="513" t="str">
        <f t="shared" si="24"/>
        <v/>
      </c>
      <c r="S226" s="40"/>
      <c r="T226" s="145"/>
      <c r="U226" s="157"/>
      <c r="V226" s="511" t="str">
        <f t="shared" si="25"/>
        <v/>
      </c>
      <c r="W226" s="511" t="str">
        <f t="shared" si="26"/>
        <v/>
      </c>
      <c r="X226" s="511" t="str">
        <f t="shared" si="27"/>
        <v/>
      </c>
      <c r="Y226" s="515" t="str">
        <f t="shared" si="28"/>
        <v/>
      </c>
      <c r="Z226" s="151"/>
      <c r="AA226" s="152"/>
      <c r="AF226" s="31" t="str">
        <f>IFERROR(INDEX('G-7 Rivers Data'!$AZ$3:$AZ$7,MATCH(D226,'G-7 Rivers Data'!$AY$3:$AY$7,0)),"")</f>
        <v/>
      </c>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row>
    <row r="227" spans="3:40" ht="13.8" x14ac:dyDescent="0.25">
      <c r="C227" s="141">
        <v>218</v>
      </c>
      <c r="D227" s="462"/>
      <c r="E227" s="153"/>
      <c r="F227" s="498" t="str">
        <f>IF(D227="","",VLOOKUP(D227,'G-7 Rivers Data'!$B$2:$G$8,2,FALSE))</f>
        <v/>
      </c>
      <c r="G227" s="499" t="str">
        <f>IFERROR(VLOOKUP(F227,'G-7 Rivers Data'!$C$4:$D$8,2,FALSE),"")</f>
        <v/>
      </c>
      <c r="H227" s="145"/>
      <c r="I227" s="499" t="str">
        <f>IFERROR(INDEX('G-7 Rivers Data'!$H$4:$L$8,MATCH(D227,'G-7 Rivers Data'!$B$4:$B$8,0),MATCH(H227,'G-7 Rivers Data'!$H$3:$L$3,0)),"")</f>
        <v/>
      </c>
      <c r="J227" s="154"/>
      <c r="K227" s="520" t="str">
        <f>IF(J227="","",IF(VLOOKUP(J227,'G-7 Rivers Data'!$AK$4:$AM$9,2,FALSE)=0,"Spatial Data Missing ⚠",VLOOKUP(J227,'G-7 Rivers Data'!$AK$4:$AM$9,2,FALSE)))</f>
        <v/>
      </c>
      <c r="L227" s="524" t="str">
        <f>IF(J227="","",IF(VLOOKUP(J227,'G-7 Rivers Data'!$AK$4:$AM$9,3,FALSE)=0,"Spatial Data Missing ⚠",VLOOKUP(J227,'G-7 Rivers Data'!$AK$4:$AM$9,3,FALSE)))</f>
        <v/>
      </c>
      <c r="M227" s="71"/>
      <c r="N227" s="499" t="str">
        <f>IF(M227="","",IF(VLOOKUP(M227,'G-7 Rivers Data'!$AA$4:$AB$7,2,FALSE)=0,"Spatial Data Missing ⚠",VLOOKUP(M227,'G-7 Rivers Data'!$AA$4:$AB$7,2,FALSE)))</f>
        <v/>
      </c>
      <c r="O227" s="155"/>
      <c r="P227" s="499" t="str">
        <f>IF(O227="","",IF(VLOOKUP(O227,'G-7 Rivers Data'!$AD$4:$AE$8,2,FALSE)=0,"Spatial Data Missing ⚠",VLOOKUP(O227,'G-7 Rivers Data'!$AD$4:$AE$8,2,FALSE)))</f>
        <v/>
      </c>
      <c r="Q227" s="506" t="str">
        <f>IF(D227="","",VLOOKUP(D227,'G-7 Rivers Data'!$B$4:$G$8,6,FALSE))</f>
        <v/>
      </c>
      <c r="R227" s="513" t="str">
        <f t="shared" si="24"/>
        <v/>
      </c>
      <c r="S227" s="40"/>
      <c r="T227" s="145"/>
      <c r="U227" s="157"/>
      <c r="V227" s="511" t="str">
        <f t="shared" si="25"/>
        <v/>
      </c>
      <c r="W227" s="511" t="str">
        <f t="shared" si="26"/>
        <v/>
      </c>
      <c r="X227" s="511" t="str">
        <f t="shared" si="27"/>
        <v/>
      </c>
      <c r="Y227" s="515" t="str">
        <f t="shared" si="28"/>
        <v/>
      </c>
      <c r="Z227" s="151"/>
      <c r="AA227" s="152"/>
      <c r="AF227" s="31" t="str">
        <f>IFERROR(INDEX('G-7 Rivers Data'!$AZ$3:$AZ$7,MATCH(D227,'G-7 Rivers Data'!$AY$3:$AY$7,0)),"")</f>
        <v/>
      </c>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row>
    <row r="228" spans="3:40" ht="13.8" x14ac:dyDescent="0.25">
      <c r="C228" s="141">
        <v>219</v>
      </c>
      <c r="D228" s="462"/>
      <c r="E228" s="153"/>
      <c r="F228" s="498" t="str">
        <f>IF(D228="","",VLOOKUP(D228,'G-7 Rivers Data'!$B$2:$G$8,2,FALSE))</f>
        <v/>
      </c>
      <c r="G228" s="499" t="str">
        <f>IFERROR(VLOOKUP(F228,'G-7 Rivers Data'!$C$4:$D$8,2,FALSE),"")</f>
        <v/>
      </c>
      <c r="H228" s="145"/>
      <c r="I228" s="499" t="str">
        <f>IFERROR(INDEX('G-7 Rivers Data'!$H$4:$L$8,MATCH(D228,'G-7 Rivers Data'!$B$4:$B$8,0),MATCH(H228,'G-7 Rivers Data'!$H$3:$L$3,0)),"")</f>
        <v/>
      </c>
      <c r="J228" s="154"/>
      <c r="K228" s="520" t="str">
        <f>IF(J228="","",IF(VLOOKUP(J228,'G-7 Rivers Data'!$AK$4:$AM$9,2,FALSE)=0,"Spatial Data Missing ⚠",VLOOKUP(J228,'G-7 Rivers Data'!$AK$4:$AM$9,2,FALSE)))</f>
        <v/>
      </c>
      <c r="L228" s="524" t="str">
        <f>IF(J228="","",IF(VLOOKUP(J228,'G-7 Rivers Data'!$AK$4:$AM$9,3,FALSE)=0,"Spatial Data Missing ⚠",VLOOKUP(J228,'G-7 Rivers Data'!$AK$4:$AM$9,3,FALSE)))</f>
        <v/>
      </c>
      <c r="M228" s="71"/>
      <c r="N228" s="499" t="str">
        <f>IF(M228="","",IF(VLOOKUP(M228,'G-7 Rivers Data'!$AA$4:$AB$7,2,FALSE)=0,"Spatial Data Missing ⚠",VLOOKUP(M228,'G-7 Rivers Data'!$AA$4:$AB$7,2,FALSE)))</f>
        <v/>
      </c>
      <c r="O228" s="155"/>
      <c r="P228" s="499" t="str">
        <f>IF(O228="","",IF(VLOOKUP(O228,'G-7 Rivers Data'!$AD$4:$AE$8,2,FALSE)=0,"Spatial Data Missing ⚠",VLOOKUP(O228,'G-7 Rivers Data'!$AD$4:$AE$8,2,FALSE)))</f>
        <v/>
      </c>
      <c r="Q228" s="506" t="str">
        <f>IF(D228="","",VLOOKUP(D228,'G-7 Rivers Data'!$B$4:$G$8,6,FALSE))</f>
        <v/>
      </c>
      <c r="R228" s="513" t="str">
        <f t="shared" si="24"/>
        <v/>
      </c>
      <c r="S228" s="40"/>
      <c r="T228" s="145"/>
      <c r="U228" s="157"/>
      <c r="V228" s="511" t="str">
        <f t="shared" si="25"/>
        <v/>
      </c>
      <c r="W228" s="511" t="str">
        <f t="shared" si="26"/>
        <v/>
      </c>
      <c r="X228" s="511" t="str">
        <f t="shared" si="27"/>
        <v/>
      </c>
      <c r="Y228" s="515" t="str">
        <f t="shared" si="28"/>
        <v/>
      </c>
      <c r="Z228" s="151"/>
      <c r="AA228" s="152"/>
      <c r="AF228" s="31" t="str">
        <f>IFERROR(INDEX('G-7 Rivers Data'!$AZ$3:$AZ$7,MATCH(D228,'G-7 Rivers Data'!$AY$3:$AY$7,0)),"")</f>
        <v/>
      </c>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row>
    <row r="229" spans="3:40" ht="13.8" x14ac:dyDescent="0.25">
      <c r="C229" s="141">
        <v>220</v>
      </c>
      <c r="D229" s="462"/>
      <c r="E229" s="153"/>
      <c r="F229" s="498" t="str">
        <f>IF(D229="","",VLOOKUP(D229,'G-7 Rivers Data'!$B$2:$G$8,2,FALSE))</f>
        <v/>
      </c>
      <c r="G229" s="499" t="str">
        <f>IFERROR(VLOOKUP(F229,'G-7 Rivers Data'!$C$4:$D$8,2,FALSE),"")</f>
        <v/>
      </c>
      <c r="H229" s="145"/>
      <c r="I229" s="499" t="str">
        <f>IFERROR(INDEX('G-7 Rivers Data'!$H$4:$L$8,MATCH(D229,'G-7 Rivers Data'!$B$4:$B$8,0),MATCH(H229,'G-7 Rivers Data'!$H$3:$L$3,0)),"")</f>
        <v/>
      </c>
      <c r="J229" s="154"/>
      <c r="K229" s="520" t="str">
        <f>IF(J229="","",IF(VLOOKUP(J229,'G-7 Rivers Data'!$AK$4:$AM$9,2,FALSE)=0,"Spatial Data Missing ⚠",VLOOKUP(J229,'G-7 Rivers Data'!$AK$4:$AM$9,2,FALSE)))</f>
        <v/>
      </c>
      <c r="L229" s="524" t="str">
        <f>IF(J229="","",IF(VLOOKUP(J229,'G-7 Rivers Data'!$AK$4:$AM$9,3,FALSE)=0,"Spatial Data Missing ⚠",VLOOKUP(J229,'G-7 Rivers Data'!$AK$4:$AM$9,3,FALSE)))</f>
        <v/>
      </c>
      <c r="M229" s="71"/>
      <c r="N229" s="499" t="str">
        <f>IF(M229="","",IF(VLOOKUP(M229,'G-7 Rivers Data'!$AA$4:$AB$7,2,FALSE)=0,"Spatial Data Missing ⚠",VLOOKUP(M229,'G-7 Rivers Data'!$AA$4:$AB$7,2,FALSE)))</f>
        <v/>
      </c>
      <c r="O229" s="155"/>
      <c r="P229" s="499" t="str">
        <f>IF(O229="","",IF(VLOOKUP(O229,'G-7 Rivers Data'!$AD$4:$AE$8,2,FALSE)=0,"Spatial Data Missing ⚠",VLOOKUP(O229,'G-7 Rivers Data'!$AD$4:$AE$8,2,FALSE)))</f>
        <v/>
      </c>
      <c r="Q229" s="506" t="str">
        <f>IF(D229="","",VLOOKUP(D229,'G-7 Rivers Data'!$B$4:$G$8,6,FALSE))</f>
        <v/>
      </c>
      <c r="R229" s="513" t="str">
        <f t="shared" si="24"/>
        <v/>
      </c>
      <c r="S229" s="40"/>
      <c r="T229" s="145"/>
      <c r="U229" s="157"/>
      <c r="V229" s="511" t="str">
        <f t="shared" si="25"/>
        <v/>
      </c>
      <c r="W229" s="511" t="str">
        <f t="shared" si="26"/>
        <v/>
      </c>
      <c r="X229" s="511" t="str">
        <f t="shared" si="27"/>
        <v/>
      </c>
      <c r="Y229" s="515" t="str">
        <f t="shared" si="28"/>
        <v/>
      </c>
      <c r="Z229" s="151"/>
      <c r="AA229" s="152"/>
      <c r="AF229" s="31" t="str">
        <f>IFERROR(INDEX('G-7 Rivers Data'!$AZ$3:$AZ$7,MATCH(D229,'G-7 Rivers Data'!$AY$3:$AY$7,0)),"")</f>
        <v/>
      </c>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row>
    <row r="230" spans="3:40" ht="13.8" x14ac:dyDescent="0.25">
      <c r="C230" s="141">
        <v>221</v>
      </c>
      <c r="D230" s="462"/>
      <c r="E230" s="153"/>
      <c r="F230" s="498" t="str">
        <f>IF(D230="","",VLOOKUP(D230,'G-7 Rivers Data'!$B$2:$G$8,2,FALSE))</f>
        <v/>
      </c>
      <c r="G230" s="499" t="str">
        <f>IFERROR(VLOOKUP(F230,'G-7 Rivers Data'!$C$4:$D$8,2,FALSE),"")</f>
        <v/>
      </c>
      <c r="H230" s="145"/>
      <c r="I230" s="499" t="str">
        <f>IFERROR(INDEX('G-7 Rivers Data'!$H$4:$L$8,MATCH(D230,'G-7 Rivers Data'!$B$4:$B$8,0),MATCH(H230,'G-7 Rivers Data'!$H$3:$L$3,0)),"")</f>
        <v/>
      </c>
      <c r="J230" s="154"/>
      <c r="K230" s="520" t="str">
        <f>IF(J230="","",IF(VLOOKUP(J230,'G-7 Rivers Data'!$AK$4:$AM$9,2,FALSE)=0,"Spatial Data Missing ⚠",VLOOKUP(J230,'G-7 Rivers Data'!$AK$4:$AM$9,2,FALSE)))</f>
        <v/>
      </c>
      <c r="L230" s="524" t="str">
        <f>IF(J230="","",IF(VLOOKUP(J230,'G-7 Rivers Data'!$AK$4:$AM$9,3,FALSE)=0,"Spatial Data Missing ⚠",VLOOKUP(J230,'G-7 Rivers Data'!$AK$4:$AM$9,3,FALSE)))</f>
        <v/>
      </c>
      <c r="M230" s="71"/>
      <c r="N230" s="499" t="str">
        <f>IF(M230="","",IF(VLOOKUP(M230,'G-7 Rivers Data'!$AA$4:$AB$7,2,FALSE)=0,"Spatial Data Missing ⚠",VLOOKUP(M230,'G-7 Rivers Data'!$AA$4:$AB$7,2,FALSE)))</f>
        <v/>
      </c>
      <c r="O230" s="155"/>
      <c r="P230" s="499" t="str">
        <f>IF(O230="","",IF(VLOOKUP(O230,'G-7 Rivers Data'!$AD$4:$AE$8,2,FALSE)=0,"Spatial Data Missing ⚠",VLOOKUP(O230,'G-7 Rivers Data'!$AD$4:$AE$8,2,FALSE)))</f>
        <v/>
      </c>
      <c r="Q230" s="506" t="str">
        <f>IF(D230="","",VLOOKUP(D230,'G-7 Rivers Data'!$B$4:$G$8,6,FALSE))</f>
        <v/>
      </c>
      <c r="R230" s="513" t="str">
        <f t="shared" si="24"/>
        <v/>
      </c>
      <c r="S230" s="40"/>
      <c r="T230" s="145"/>
      <c r="U230" s="157"/>
      <c r="V230" s="511" t="str">
        <f t="shared" si="25"/>
        <v/>
      </c>
      <c r="W230" s="511" t="str">
        <f t="shared" si="26"/>
        <v/>
      </c>
      <c r="X230" s="511" t="str">
        <f t="shared" si="27"/>
        <v/>
      </c>
      <c r="Y230" s="515" t="str">
        <f t="shared" si="28"/>
        <v/>
      </c>
      <c r="Z230" s="151"/>
      <c r="AA230" s="152"/>
      <c r="AF230" s="31" t="str">
        <f>IFERROR(INDEX('G-7 Rivers Data'!$AZ$3:$AZ$7,MATCH(D230,'G-7 Rivers Data'!$AY$3:$AY$7,0)),"")</f>
        <v/>
      </c>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row>
    <row r="231" spans="3:40" ht="13.8" x14ac:dyDescent="0.25">
      <c r="C231" s="141">
        <v>222</v>
      </c>
      <c r="D231" s="462"/>
      <c r="E231" s="153"/>
      <c r="F231" s="498" t="str">
        <f>IF(D231="","",VLOOKUP(D231,'G-7 Rivers Data'!$B$2:$G$8,2,FALSE))</f>
        <v/>
      </c>
      <c r="G231" s="499" t="str">
        <f>IFERROR(VLOOKUP(F231,'G-7 Rivers Data'!$C$4:$D$8,2,FALSE),"")</f>
        <v/>
      </c>
      <c r="H231" s="145"/>
      <c r="I231" s="499" t="str">
        <f>IFERROR(INDEX('G-7 Rivers Data'!$H$4:$L$8,MATCH(D231,'G-7 Rivers Data'!$B$4:$B$8,0),MATCH(H231,'G-7 Rivers Data'!$H$3:$L$3,0)),"")</f>
        <v/>
      </c>
      <c r="J231" s="154"/>
      <c r="K231" s="520" t="str">
        <f>IF(J231="","",IF(VLOOKUP(J231,'G-7 Rivers Data'!$AK$4:$AM$9,2,FALSE)=0,"Spatial Data Missing ⚠",VLOOKUP(J231,'G-7 Rivers Data'!$AK$4:$AM$9,2,FALSE)))</f>
        <v/>
      </c>
      <c r="L231" s="524" t="str">
        <f>IF(J231="","",IF(VLOOKUP(J231,'G-7 Rivers Data'!$AK$4:$AM$9,3,FALSE)=0,"Spatial Data Missing ⚠",VLOOKUP(J231,'G-7 Rivers Data'!$AK$4:$AM$9,3,FALSE)))</f>
        <v/>
      </c>
      <c r="M231" s="71"/>
      <c r="N231" s="499" t="str">
        <f>IF(M231="","",IF(VLOOKUP(M231,'G-7 Rivers Data'!$AA$4:$AB$7,2,FALSE)=0,"Spatial Data Missing ⚠",VLOOKUP(M231,'G-7 Rivers Data'!$AA$4:$AB$7,2,FALSE)))</f>
        <v/>
      </c>
      <c r="O231" s="155"/>
      <c r="P231" s="499" t="str">
        <f>IF(O231="","",IF(VLOOKUP(O231,'G-7 Rivers Data'!$AD$4:$AE$8,2,FALSE)=0,"Spatial Data Missing ⚠",VLOOKUP(O231,'G-7 Rivers Data'!$AD$4:$AE$8,2,FALSE)))</f>
        <v/>
      </c>
      <c r="Q231" s="506" t="str">
        <f>IF(D231="","",VLOOKUP(D231,'G-7 Rivers Data'!$B$4:$G$8,6,FALSE))</f>
        <v/>
      </c>
      <c r="R231" s="513" t="str">
        <f t="shared" si="24"/>
        <v/>
      </c>
      <c r="S231" s="40"/>
      <c r="T231" s="145"/>
      <c r="U231" s="157"/>
      <c r="V231" s="511" t="str">
        <f t="shared" si="25"/>
        <v/>
      </c>
      <c r="W231" s="511" t="str">
        <f t="shared" si="26"/>
        <v/>
      </c>
      <c r="X231" s="511" t="str">
        <f t="shared" si="27"/>
        <v/>
      </c>
      <c r="Y231" s="515" t="str">
        <f t="shared" si="28"/>
        <v/>
      </c>
      <c r="Z231" s="151"/>
      <c r="AA231" s="152"/>
      <c r="AF231" s="31" t="str">
        <f>IFERROR(INDEX('G-7 Rivers Data'!$AZ$3:$AZ$7,MATCH(D231,'G-7 Rivers Data'!$AY$3:$AY$7,0)),"")</f>
        <v/>
      </c>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row>
    <row r="232" spans="3:40" ht="13.8" x14ac:dyDescent="0.25">
      <c r="C232" s="141">
        <v>223</v>
      </c>
      <c r="D232" s="462"/>
      <c r="E232" s="153"/>
      <c r="F232" s="498" t="str">
        <f>IF(D232="","",VLOOKUP(D232,'G-7 Rivers Data'!$B$2:$G$8,2,FALSE))</f>
        <v/>
      </c>
      <c r="G232" s="499" t="str">
        <f>IFERROR(VLOOKUP(F232,'G-7 Rivers Data'!$C$4:$D$8,2,FALSE),"")</f>
        <v/>
      </c>
      <c r="H232" s="145"/>
      <c r="I232" s="499" t="str">
        <f>IFERROR(INDEX('G-7 Rivers Data'!$H$4:$L$8,MATCH(D232,'G-7 Rivers Data'!$B$4:$B$8,0),MATCH(H232,'G-7 Rivers Data'!$H$3:$L$3,0)),"")</f>
        <v/>
      </c>
      <c r="J232" s="154"/>
      <c r="K232" s="520" t="str">
        <f>IF(J232="","",IF(VLOOKUP(J232,'G-7 Rivers Data'!$AK$4:$AM$9,2,FALSE)=0,"Spatial Data Missing ⚠",VLOOKUP(J232,'G-7 Rivers Data'!$AK$4:$AM$9,2,FALSE)))</f>
        <v/>
      </c>
      <c r="L232" s="524" t="str">
        <f>IF(J232="","",IF(VLOOKUP(J232,'G-7 Rivers Data'!$AK$4:$AM$9,3,FALSE)=0,"Spatial Data Missing ⚠",VLOOKUP(J232,'G-7 Rivers Data'!$AK$4:$AM$9,3,FALSE)))</f>
        <v/>
      </c>
      <c r="M232" s="71"/>
      <c r="N232" s="499" t="str">
        <f>IF(M232="","",IF(VLOOKUP(M232,'G-7 Rivers Data'!$AA$4:$AB$7,2,FALSE)=0,"Spatial Data Missing ⚠",VLOOKUP(M232,'G-7 Rivers Data'!$AA$4:$AB$7,2,FALSE)))</f>
        <v/>
      </c>
      <c r="O232" s="155"/>
      <c r="P232" s="499" t="str">
        <f>IF(O232="","",IF(VLOOKUP(O232,'G-7 Rivers Data'!$AD$4:$AE$8,2,FALSE)=0,"Spatial Data Missing ⚠",VLOOKUP(O232,'G-7 Rivers Data'!$AD$4:$AE$8,2,FALSE)))</f>
        <v/>
      </c>
      <c r="Q232" s="506" t="str">
        <f>IF(D232="","",VLOOKUP(D232,'G-7 Rivers Data'!$B$4:$G$8,6,FALSE))</f>
        <v/>
      </c>
      <c r="R232" s="513" t="str">
        <f t="shared" si="24"/>
        <v/>
      </c>
      <c r="S232" s="40"/>
      <c r="T232" s="145"/>
      <c r="U232" s="157"/>
      <c r="V232" s="511" t="str">
        <f t="shared" si="25"/>
        <v/>
      </c>
      <c r="W232" s="511" t="str">
        <f t="shared" si="26"/>
        <v/>
      </c>
      <c r="X232" s="511" t="str">
        <f t="shared" si="27"/>
        <v/>
      </c>
      <c r="Y232" s="515" t="str">
        <f t="shared" si="28"/>
        <v/>
      </c>
      <c r="Z232" s="151"/>
      <c r="AA232" s="152"/>
      <c r="AF232" s="31" t="str">
        <f>IFERROR(INDEX('G-7 Rivers Data'!$AZ$3:$AZ$7,MATCH(D232,'G-7 Rivers Data'!$AY$3:$AY$7,0)),"")</f>
        <v/>
      </c>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row>
    <row r="233" spans="3:40" ht="13.8" x14ac:dyDescent="0.25">
      <c r="C233" s="141">
        <v>224</v>
      </c>
      <c r="D233" s="462"/>
      <c r="E233" s="153"/>
      <c r="F233" s="498" t="str">
        <f>IF(D233="","",VLOOKUP(D233,'G-7 Rivers Data'!$B$2:$G$8,2,FALSE))</f>
        <v/>
      </c>
      <c r="G233" s="499" t="str">
        <f>IFERROR(VLOOKUP(F233,'G-7 Rivers Data'!$C$4:$D$8,2,FALSE),"")</f>
        <v/>
      </c>
      <c r="H233" s="145"/>
      <c r="I233" s="499" t="str">
        <f>IFERROR(INDEX('G-7 Rivers Data'!$H$4:$L$8,MATCH(D233,'G-7 Rivers Data'!$B$4:$B$8,0),MATCH(H233,'G-7 Rivers Data'!$H$3:$L$3,0)),"")</f>
        <v/>
      </c>
      <c r="J233" s="154"/>
      <c r="K233" s="520" t="str">
        <f>IF(J233="","",IF(VLOOKUP(J233,'G-7 Rivers Data'!$AK$4:$AM$9,2,FALSE)=0,"Spatial Data Missing ⚠",VLOOKUP(J233,'G-7 Rivers Data'!$AK$4:$AM$9,2,FALSE)))</f>
        <v/>
      </c>
      <c r="L233" s="524" t="str">
        <f>IF(J233="","",IF(VLOOKUP(J233,'G-7 Rivers Data'!$AK$4:$AM$9,3,FALSE)=0,"Spatial Data Missing ⚠",VLOOKUP(J233,'G-7 Rivers Data'!$AK$4:$AM$9,3,FALSE)))</f>
        <v/>
      </c>
      <c r="M233" s="71"/>
      <c r="N233" s="499" t="str">
        <f>IF(M233="","",IF(VLOOKUP(M233,'G-7 Rivers Data'!$AA$4:$AB$7,2,FALSE)=0,"Spatial Data Missing ⚠",VLOOKUP(M233,'G-7 Rivers Data'!$AA$4:$AB$7,2,FALSE)))</f>
        <v/>
      </c>
      <c r="O233" s="155"/>
      <c r="P233" s="499" t="str">
        <f>IF(O233="","",IF(VLOOKUP(O233,'G-7 Rivers Data'!$AD$4:$AE$8,2,FALSE)=0,"Spatial Data Missing ⚠",VLOOKUP(O233,'G-7 Rivers Data'!$AD$4:$AE$8,2,FALSE)))</f>
        <v/>
      </c>
      <c r="Q233" s="506" t="str">
        <f>IF(D233="","",VLOOKUP(D233,'G-7 Rivers Data'!$B$4:$G$8,6,FALSE))</f>
        <v/>
      </c>
      <c r="R233" s="513" t="str">
        <f t="shared" si="24"/>
        <v/>
      </c>
      <c r="S233" s="40"/>
      <c r="T233" s="145"/>
      <c r="U233" s="157"/>
      <c r="V233" s="511" t="str">
        <f t="shared" si="25"/>
        <v/>
      </c>
      <c r="W233" s="511" t="str">
        <f t="shared" si="26"/>
        <v/>
      </c>
      <c r="X233" s="511" t="str">
        <f t="shared" si="27"/>
        <v/>
      </c>
      <c r="Y233" s="515" t="str">
        <f t="shared" si="28"/>
        <v/>
      </c>
      <c r="Z233" s="151"/>
      <c r="AA233" s="152"/>
      <c r="AF233" s="31" t="str">
        <f>IFERROR(INDEX('G-7 Rivers Data'!$AZ$3:$AZ$7,MATCH(D233,'G-7 Rivers Data'!$AY$3:$AY$7,0)),"")</f>
        <v/>
      </c>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row>
    <row r="234" spans="3:40" ht="13.8" x14ac:dyDescent="0.25">
      <c r="C234" s="141">
        <v>225</v>
      </c>
      <c r="D234" s="462"/>
      <c r="E234" s="153"/>
      <c r="F234" s="498" t="str">
        <f>IF(D234="","",VLOOKUP(D234,'G-7 Rivers Data'!$B$2:$G$8,2,FALSE))</f>
        <v/>
      </c>
      <c r="G234" s="499" t="str">
        <f>IFERROR(VLOOKUP(F234,'G-7 Rivers Data'!$C$4:$D$8,2,FALSE),"")</f>
        <v/>
      </c>
      <c r="H234" s="145"/>
      <c r="I234" s="499" t="str">
        <f>IFERROR(INDEX('G-7 Rivers Data'!$H$4:$L$8,MATCH(D234,'G-7 Rivers Data'!$B$4:$B$8,0),MATCH(H234,'G-7 Rivers Data'!$H$3:$L$3,0)),"")</f>
        <v/>
      </c>
      <c r="J234" s="154"/>
      <c r="K234" s="520" t="str">
        <f>IF(J234="","",IF(VLOOKUP(J234,'G-7 Rivers Data'!$AK$4:$AM$9,2,FALSE)=0,"Spatial Data Missing ⚠",VLOOKUP(J234,'G-7 Rivers Data'!$AK$4:$AM$9,2,FALSE)))</f>
        <v/>
      </c>
      <c r="L234" s="524" t="str">
        <f>IF(J234="","",IF(VLOOKUP(J234,'G-7 Rivers Data'!$AK$4:$AM$9,3,FALSE)=0,"Spatial Data Missing ⚠",VLOOKUP(J234,'G-7 Rivers Data'!$AK$4:$AM$9,3,FALSE)))</f>
        <v/>
      </c>
      <c r="M234" s="71"/>
      <c r="N234" s="499" t="str">
        <f>IF(M234="","",IF(VLOOKUP(M234,'G-7 Rivers Data'!$AA$4:$AB$7,2,FALSE)=0,"Spatial Data Missing ⚠",VLOOKUP(M234,'G-7 Rivers Data'!$AA$4:$AB$7,2,FALSE)))</f>
        <v/>
      </c>
      <c r="O234" s="155"/>
      <c r="P234" s="499" t="str">
        <f>IF(O234="","",IF(VLOOKUP(O234,'G-7 Rivers Data'!$AD$4:$AE$8,2,FALSE)=0,"Spatial Data Missing ⚠",VLOOKUP(O234,'G-7 Rivers Data'!$AD$4:$AE$8,2,FALSE)))</f>
        <v/>
      </c>
      <c r="Q234" s="506" t="str">
        <f>IF(D234="","",VLOOKUP(D234,'G-7 Rivers Data'!$B$4:$G$8,6,FALSE))</f>
        <v/>
      </c>
      <c r="R234" s="513" t="str">
        <f t="shared" si="24"/>
        <v/>
      </c>
      <c r="S234" s="40"/>
      <c r="T234" s="145"/>
      <c r="U234" s="157"/>
      <c r="V234" s="511" t="str">
        <f t="shared" si="25"/>
        <v/>
      </c>
      <c r="W234" s="511" t="str">
        <f t="shared" si="26"/>
        <v/>
      </c>
      <c r="X234" s="511" t="str">
        <f t="shared" si="27"/>
        <v/>
      </c>
      <c r="Y234" s="515" t="str">
        <f t="shared" si="28"/>
        <v/>
      </c>
      <c r="Z234" s="151"/>
      <c r="AA234" s="152"/>
      <c r="AF234" s="31" t="str">
        <f>IFERROR(INDEX('G-7 Rivers Data'!$AZ$3:$AZ$7,MATCH(D234,'G-7 Rivers Data'!$AY$3:$AY$7,0)),"")</f>
        <v/>
      </c>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row>
    <row r="235" spans="3:40" ht="13.8" x14ac:dyDescent="0.25">
      <c r="C235" s="141">
        <v>226</v>
      </c>
      <c r="D235" s="462"/>
      <c r="E235" s="153"/>
      <c r="F235" s="498" t="str">
        <f>IF(D235="","",VLOOKUP(D235,'G-7 Rivers Data'!$B$2:$G$8,2,FALSE))</f>
        <v/>
      </c>
      <c r="G235" s="499" t="str">
        <f>IFERROR(VLOOKUP(F235,'G-7 Rivers Data'!$C$4:$D$8,2,FALSE),"")</f>
        <v/>
      </c>
      <c r="H235" s="145"/>
      <c r="I235" s="499" t="str">
        <f>IFERROR(INDEX('G-7 Rivers Data'!$H$4:$L$8,MATCH(D235,'G-7 Rivers Data'!$B$4:$B$8,0),MATCH(H235,'G-7 Rivers Data'!$H$3:$L$3,0)),"")</f>
        <v/>
      </c>
      <c r="J235" s="154"/>
      <c r="K235" s="520" t="str">
        <f>IF(J235="","",IF(VLOOKUP(J235,'G-7 Rivers Data'!$AK$4:$AM$9,2,FALSE)=0,"Spatial Data Missing ⚠",VLOOKUP(J235,'G-7 Rivers Data'!$AK$4:$AM$9,2,FALSE)))</f>
        <v/>
      </c>
      <c r="L235" s="524" t="str">
        <f>IF(J235="","",IF(VLOOKUP(J235,'G-7 Rivers Data'!$AK$4:$AM$9,3,FALSE)=0,"Spatial Data Missing ⚠",VLOOKUP(J235,'G-7 Rivers Data'!$AK$4:$AM$9,3,FALSE)))</f>
        <v/>
      </c>
      <c r="M235" s="71"/>
      <c r="N235" s="499" t="str">
        <f>IF(M235="","",IF(VLOOKUP(M235,'G-7 Rivers Data'!$AA$4:$AB$7,2,FALSE)=0,"Spatial Data Missing ⚠",VLOOKUP(M235,'G-7 Rivers Data'!$AA$4:$AB$7,2,FALSE)))</f>
        <v/>
      </c>
      <c r="O235" s="155"/>
      <c r="P235" s="499" t="str">
        <f>IF(O235="","",IF(VLOOKUP(O235,'G-7 Rivers Data'!$AD$4:$AE$8,2,FALSE)=0,"Spatial Data Missing ⚠",VLOOKUP(O235,'G-7 Rivers Data'!$AD$4:$AE$8,2,FALSE)))</f>
        <v/>
      </c>
      <c r="Q235" s="506" t="str">
        <f>IF(D235="","",VLOOKUP(D235,'G-7 Rivers Data'!$B$4:$G$8,6,FALSE))</f>
        <v/>
      </c>
      <c r="R235" s="513" t="str">
        <f t="shared" si="24"/>
        <v/>
      </c>
      <c r="S235" s="40"/>
      <c r="T235" s="145"/>
      <c r="U235" s="157"/>
      <c r="V235" s="511" t="str">
        <f t="shared" si="25"/>
        <v/>
      </c>
      <c r="W235" s="511" t="str">
        <f t="shared" si="26"/>
        <v/>
      </c>
      <c r="X235" s="511" t="str">
        <f t="shared" si="27"/>
        <v/>
      </c>
      <c r="Y235" s="515" t="str">
        <f t="shared" si="28"/>
        <v/>
      </c>
      <c r="Z235" s="151"/>
      <c r="AA235" s="152"/>
      <c r="AF235" s="31" t="str">
        <f>IFERROR(INDEX('G-7 Rivers Data'!$AZ$3:$AZ$7,MATCH(D235,'G-7 Rivers Data'!$AY$3:$AY$7,0)),"")</f>
        <v/>
      </c>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row>
    <row r="236" spans="3:40" ht="13.8" x14ac:dyDescent="0.25">
      <c r="C236" s="141">
        <v>227</v>
      </c>
      <c r="D236" s="462"/>
      <c r="E236" s="153"/>
      <c r="F236" s="498" t="str">
        <f>IF(D236="","",VLOOKUP(D236,'G-7 Rivers Data'!$B$2:$G$8,2,FALSE))</f>
        <v/>
      </c>
      <c r="G236" s="499" t="str">
        <f>IFERROR(VLOOKUP(F236,'G-7 Rivers Data'!$C$4:$D$8,2,FALSE),"")</f>
        <v/>
      </c>
      <c r="H236" s="145"/>
      <c r="I236" s="499" t="str">
        <f>IFERROR(INDEX('G-7 Rivers Data'!$H$4:$L$8,MATCH(D236,'G-7 Rivers Data'!$B$4:$B$8,0),MATCH(H236,'G-7 Rivers Data'!$H$3:$L$3,0)),"")</f>
        <v/>
      </c>
      <c r="J236" s="154"/>
      <c r="K236" s="520" t="str">
        <f>IF(J236="","",IF(VLOOKUP(J236,'G-7 Rivers Data'!$AK$4:$AM$9,2,FALSE)=0,"Spatial Data Missing ⚠",VLOOKUP(J236,'G-7 Rivers Data'!$AK$4:$AM$9,2,FALSE)))</f>
        <v/>
      </c>
      <c r="L236" s="524" t="str">
        <f>IF(J236="","",IF(VLOOKUP(J236,'G-7 Rivers Data'!$AK$4:$AM$9,3,FALSE)=0,"Spatial Data Missing ⚠",VLOOKUP(J236,'G-7 Rivers Data'!$AK$4:$AM$9,3,FALSE)))</f>
        <v/>
      </c>
      <c r="M236" s="71"/>
      <c r="N236" s="499" t="str">
        <f>IF(M236="","",IF(VLOOKUP(M236,'G-7 Rivers Data'!$AA$4:$AB$7,2,FALSE)=0,"Spatial Data Missing ⚠",VLOOKUP(M236,'G-7 Rivers Data'!$AA$4:$AB$7,2,FALSE)))</f>
        <v/>
      </c>
      <c r="O236" s="155"/>
      <c r="P236" s="499" t="str">
        <f>IF(O236="","",IF(VLOOKUP(O236,'G-7 Rivers Data'!$AD$4:$AE$8,2,FALSE)=0,"Spatial Data Missing ⚠",VLOOKUP(O236,'G-7 Rivers Data'!$AD$4:$AE$8,2,FALSE)))</f>
        <v/>
      </c>
      <c r="Q236" s="506" t="str">
        <f>IF(D236="","",VLOOKUP(D236,'G-7 Rivers Data'!$B$4:$G$8,6,FALSE))</f>
        <v/>
      </c>
      <c r="R236" s="513" t="str">
        <f t="shared" si="24"/>
        <v/>
      </c>
      <c r="S236" s="40"/>
      <c r="T236" s="145"/>
      <c r="U236" s="157"/>
      <c r="V236" s="511" t="str">
        <f t="shared" si="25"/>
        <v/>
      </c>
      <c r="W236" s="511" t="str">
        <f t="shared" si="26"/>
        <v/>
      </c>
      <c r="X236" s="511" t="str">
        <f t="shared" si="27"/>
        <v/>
      </c>
      <c r="Y236" s="515" t="str">
        <f t="shared" si="28"/>
        <v/>
      </c>
      <c r="Z236" s="151"/>
      <c r="AA236" s="152"/>
      <c r="AF236" s="31" t="str">
        <f>IFERROR(INDEX('G-7 Rivers Data'!$AZ$3:$AZ$7,MATCH(D236,'G-7 Rivers Data'!$AY$3:$AY$7,0)),"")</f>
        <v/>
      </c>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row>
    <row r="237" spans="3:40" ht="13.8" x14ac:dyDescent="0.25">
      <c r="C237" s="141">
        <v>228</v>
      </c>
      <c r="D237" s="462"/>
      <c r="E237" s="153"/>
      <c r="F237" s="498" t="str">
        <f>IF(D237="","",VLOOKUP(D237,'G-7 Rivers Data'!$B$2:$G$8,2,FALSE))</f>
        <v/>
      </c>
      <c r="G237" s="499" t="str">
        <f>IFERROR(VLOOKUP(F237,'G-7 Rivers Data'!$C$4:$D$8,2,FALSE),"")</f>
        <v/>
      </c>
      <c r="H237" s="145"/>
      <c r="I237" s="499" t="str">
        <f>IFERROR(INDEX('G-7 Rivers Data'!$H$4:$L$8,MATCH(D237,'G-7 Rivers Data'!$B$4:$B$8,0),MATCH(H237,'G-7 Rivers Data'!$H$3:$L$3,0)),"")</f>
        <v/>
      </c>
      <c r="J237" s="154"/>
      <c r="K237" s="520" t="str">
        <f>IF(J237="","",IF(VLOOKUP(J237,'G-7 Rivers Data'!$AK$4:$AM$9,2,FALSE)=0,"Spatial Data Missing ⚠",VLOOKUP(J237,'G-7 Rivers Data'!$AK$4:$AM$9,2,FALSE)))</f>
        <v/>
      </c>
      <c r="L237" s="524" t="str">
        <f>IF(J237="","",IF(VLOOKUP(J237,'G-7 Rivers Data'!$AK$4:$AM$9,3,FALSE)=0,"Spatial Data Missing ⚠",VLOOKUP(J237,'G-7 Rivers Data'!$AK$4:$AM$9,3,FALSE)))</f>
        <v/>
      </c>
      <c r="M237" s="71"/>
      <c r="N237" s="499" t="str">
        <f>IF(M237="","",IF(VLOOKUP(M237,'G-7 Rivers Data'!$AA$4:$AB$7,2,FALSE)=0,"Spatial Data Missing ⚠",VLOOKUP(M237,'G-7 Rivers Data'!$AA$4:$AB$7,2,FALSE)))</f>
        <v/>
      </c>
      <c r="O237" s="155"/>
      <c r="P237" s="499" t="str">
        <f>IF(O237="","",IF(VLOOKUP(O237,'G-7 Rivers Data'!$AD$4:$AE$8,2,FALSE)=0,"Spatial Data Missing ⚠",VLOOKUP(O237,'G-7 Rivers Data'!$AD$4:$AE$8,2,FALSE)))</f>
        <v/>
      </c>
      <c r="Q237" s="506" t="str">
        <f>IF(D237="","",VLOOKUP(D237,'G-7 Rivers Data'!$B$4:$G$8,6,FALSE))</f>
        <v/>
      </c>
      <c r="R237" s="513" t="str">
        <f t="shared" si="24"/>
        <v/>
      </c>
      <c r="S237" s="40"/>
      <c r="T237" s="145"/>
      <c r="U237" s="157"/>
      <c r="V237" s="511" t="str">
        <f t="shared" si="25"/>
        <v/>
      </c>
      <c r="W237" s="511" t="str">
        <f t="shared" si="26"/>
        <v/>
      </c>
      <c r="X237" s="511" t="str">
        <f t="shared" si="27"/>
        <v/>
      </c>
      <c r="Y237" s="515" t="str">
        <f t="shared" si="28"/>
        <v/>
      </c>
      <c r="Z237" s="151"/>
      <c r="AA237" s="152"/>
      <c r="AF237" s="31" t="str">
        <f>IFERROR(INDEX('G-7 Rivers Data'!$AZ$3:$AZ$7,MATCH(D237,'G-7 Rivers Data'!$AY$3:$AY$7,0)),"")</f>
        <v/>
      </c>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row>
    <row r="238" spans="3:40" ht="13.8" x14ac:dyDescent="0.25">
      <c r="C238" s="141">
        <v>229</v>
      </c>
      <c r="D238" s="462"/>
      <c r="E238" s="153"/>
      <c r="F238" s="498" t="str">
        <f>IF(D238="","",VLOOKUP(D238,'G-7 Rivers Data'!$B$2:$G$8,2,FALSE))</f>
        <v/>
      </c>
      <c r="G238" s="499" t="str">
        <f>IFERROR(VLOOKUP(F238,'G-7 Rivers Data'!$C$4:$D$8,2,FALSE),"")</f>
        <v/>
      </c>
      <c r="H238" s="145"/>
      <c r="I238" s="499" t="str">
        <f>IFERROR(INDEX('G-7 Rivers Data'!$H$4:$L$8,MATCH(D238,'G-7 Rivers Data'!$B$4:$B$8,0),MATCH(H238,'G-7 Rivers Data'!$H$3:$L$3,0)),"")</f>
        <v/>
      </c>
      <c r="J238" s="154"/>
      <c r="K238" s="520" t="str">
        <f>IF(J238="","",IF(VLOOKUP(J238,'G-7 Rivers Data'!$AK$4:$AM$9,2,FALSE)=0,"Spatial Data Missing ⚠",VLOOKUP(J238,'G-7 Rivers Data'!$AK$4:$AM$9,2,FALSE)))</f>
        <v/>
      </c>
      <c r="L238" s="524" t="str">
        <f>IF(J238="","",IF(VLOOKUP(J238,'G-7 Rivers Data'!$AK$4:$AM$9,3,FALSE)=0,"Spatial Data Missing ⚠",VLOOKUP(J238,'G-7 Rivers Data'!$AK$4:$AM$9,3,FALSE)))</f>
        <v/>
      </c>
      <c r="M238" s="71"/>
      <c r="N238" s="499" t="str">
        <f>IF(M238="","",IF(VLOOKUP(M238,'G-7 Rivers Data'!$AA$4:$AB$7,2,FALSE)=0,"Spatial Data Missing ⚠",VLOOKUP(M238,'G-7 Rivers Data'!$AA$4:$AB$7,2,FALSE)))</f>
        <v/>
      </c>
      <c r="O238" s="155"/>
      <c r="P238" s="499" t="str">
        <f>IF(O238="","",IF(VLOOKUP(O238,'G-7 Rivers Data'!$AD$4:$AE$8,2,FALSE)=0,"Spatial Data Missing ⚠",VLOOKUP(O238,'G-7 Rivers Data'!$AD$4:$AE$8,2,FALSE)))</f>
        <v/>
      </c>
      <c r="Q238" s="506" t="str">
        <f>IF(D238="","",VLOOKUP(D238,'G-7 Rivers Data'!$B$4:$G$8,6,FALSE))</f>
        <v/>
      </c>
      <c r="R238" s="513" t="str">
        <f t="shared" si="24"/>
        <v/>
      </c>
      <c r="S238" s="40"/>
      <c r="T238" s="145"/>
      <c r="U238" s="157"/>
      <c r="V238" s="511" t="str">
        <f t="shared" si="25"/>
        <v/>
      </c>
      <c r="W238" s="511" t="str">
        <f t="shared" si="26"/>
        <v/>
      </c>
      <c r="X238" s="511" t="str">
        <f t="shared" si="27"/>
        <v/>
      </c>
      <c r="Y238" s="515" t="str">
        <f t="shared" si="28"/>
        <v/>
      </c>
      <c r="Z238" s="151"/>
      <c r="AA238" s="152"/>
      <c r="AF238" s="31" t="str">
        <f>IFERROR(INDEX('G-7 Rivers Data'!$AZ$3:$AZ$7,MATCH(D238,'G-7 Rivers Data'!$AY$3:$AY$7,0)),"")</f>
        <v/>
      </c>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row>
    <row r="239" spans="3:40" ht="13.8" x14ac:dyDescent="0.25">
      <c r="C239" s="141">
        <v>230</v>
      </c>
      <c r="D239" s="462"/>
      <c r="E239" s="153"/>
      <c r="F239" s="498" t="str">
        <f>IF(D239="","",VLOOKUP(D239,'G-7 Rivers Data'!$B$2:$G$8,2,FALSE))</f>
        <v/>
      </c>
      <c r="G239" s="499" t="str">
        <f>IFERROR(VLOOKUP(F239,'G-7 Rivers Data'!$C$4:$D$8,2,FALSE),"")</f>
        <v/>
      </c>
      <c r="H239" s="145"/>
      <c r="I239" s="499" t="str">
        <f>IFERROR(INDEX('G-7 Rivers Data'!$H$4:$L$8,MATCH(D239,'G-7 Rivers Data'!$B$4:$B$8,0),MATCH(H239,'G-7 Rivers Data'!$H$3:$L$3,0)),"")</f>
        <v/>
      </c>
      <c r="J239" s="154"/>
      <c r="K239" s="520" t="str">
        <f>IF(J239="","",IF(VLOOKUP(J239,'G-7 Rivers Data'!$AK$4:$AM$9,2,FALSE)=0,"Spatial Data Missing ⚠",VLOOKUP(J239,'G-7 Rivers Data'!$AK$4:$AM$9,2,FALSE)))</f>
        <v/>
      </c>
      <c r="L239" s="524" t="str">
        <f>IF(J239="","",IF(VLOOKUP(J239,'G-7 Rivers Data'!$AK$4:$AM$9,3,FALSE)=0,"Spatial Data Missing ⚠",VLOOKUP(J239,'G-7 Rivers Data'!$AK$4:$AM$9,3,FALSE)))</f>
        <v/>
      </c>
      <c r="M239" s="71"/>
      <c r="N239" s="499" t="str">
        <f>IF(M239="","",IF(VLOOKUP(M239,'G-7 Rivers Data'!$AA$4:$AB$7,2,FALSE)=0,"Spatial Data Missing ⚠",VLOOKUP(M239,'G-7 Rivers Data'!$AA$4:$AB$7,2,FALSE)))</f>
        <v/>
      </c>
      <c r="O239" s="155"/>
      <c r="P239" s="499" t="str">
        <f>IF(O239="","",IF(VLOOKUP(O239,'G-7 Rivers Data'!$AD$4:$AE$8,2,FALSE)=0,"Spatial Data Missing ⚠",VLOOKUP(O239,'G-7 Rivers Data'!$AD$4:$AE$8,2,FALSE)))</f>
        <v/>
      </c>
      <c r="Q239" s="506" t="str">
        <f>IF(D239="","",VLOOKUP(D239,'G-7 Rivers Data'!$B$4:$G$8,6,FALSE))</f>
        <v/>
      </c>
      <c r="R239" s="513" t="str">
        <f t="shared" si="24"/>
        <v/>
      </c>
      <c r="S239" s="40"/>
      <c r="T239" s="145"/>
      <c r="U239" s="157"/>
      <c r="V239" s="511" t="str">
        <f t="shared" si="25"/>
        <v/>
      </c>
      <c r="W239" s="511" t="str">
        <f t="shared" si="26"/>
        <v/>
      </c>
      <c r="X239" s="511" t="str">
        <f t="shared" si="27"/>
        <v/>
      </c>
      <c r="Y239" s="515" t="str">
        <f t="shared" si="28"/>
        <v/>
      </c>
      <c r="Z239" s="151"/>
      <c r="AA239" s="152"/>
      <c r="AF239" s="31" t="str">
        <f>IFERROR(INDEX('G-7 Rivers Data'!$AZ$3:$AZ$7,MATCH(D239,'G-7 Rivers Data'!$AY$3:$AY$7,0)),"")</f>
        <v/>
      </c>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row>
    <row r="240" spans="3:40" ht="13.8" x14ac:dyDescent="0.25">
      <c r="C240" s="141">
        <v>231</v>
      </c>
      <c r="D240" s="462"/>
      <c r="E240" s="153"/>
      <c r="F240" s="498" t="str">
        <f>IF(D240="","",VLOOKUP(D240,'G-7 Rivers Data'!$B$2:$G$8,2,FALSE))</f>
        <v/>
      </c>
      <c r="G240" s="499" t="str">
        <f>IFERROR(VLOOKUP(F240,'G-7 Rivers Data'!$C$4:$D$8,2,FALSE),"")</f>
        <v/>
      </c>
      <c r="H240" s="145"/>
      <c r="I240" s="499" t="str">
        <f>IFERROR(INDEX('G-7 Rivers Data'!$H$4:$L$8,MATCH(D240,'G-7 Rivers Data'!$B$4:$B$8,0),MATCH(H240,'G-7 Rivers Data'!$H$3:$L$3,0)),"")</f>
        <v/>
      </c>
      <c r="J240" s="154"/>
      <c r="K240" s="520" t="str">
        <f>IF(J240="","",IF(VLOOKUP(J240,'G-7 Rivers Data'!$AK$4:$AM$9,2,FALSE)=0,"Spatial Data Missing ⚠",VLOOKUP(J240,'G-7 Rivers Data'!$AK$4:$AM$9,2,FALSE)))</f>
        <v/>
      </c>
      <c r="L240" s="524" t="str">
        <f>IF(J240="","",IF(VLOOKUP(J240,'G-7 Rivers Data'!$AK$4:$AM$9,3,FALSE)=0,"Spatial Data Missing ⚠",VLOOKUP(J240,'G-7 Rivers Data'!$AK$4:$AM$9,3,FALSE)))</f>
        <v/>
      </c>
      <c r="M240" s="71"/>
      <c r="N240" s="499" t="str">
        <f>IF(M240="","",IF(VLOOKUP(M240,'G-7 Rivers Data'!$AA$4:$AB$7,2,FALSE)=0,"Spatial Data Missing ⚠",VLOOKUP(M240,'G-7 Rivers Data'!$AA$4:$AB$7,2,FALSE)))</f>
        <v/>
      </c>
      <c r="O240" s="155"/>
      <c r="P240" s="499" t="str">
        <f>IF(O240="","",IF(VLOOKUP(O240,'G-7 Rivers Data'!$AD$4:$AE$8,2,FALSE)=0,"Spatial Data Missing ⚠",VLOOKUP(O240,'G-7 Rivers Data'!$AD$4:$AE$8,2,FALSE)))</f>
        <v/>
      </c>
      <c r="Q240" s="506" t="str">
        <f>IF(D240="","",VLOOKUP(D240,'G-7 Rivers Data'!$B$4:$G$8,6,FALSE))</f>
        <v/>
      </c>
      <c r="R240" s="513" t="str">
        <f t="shared" si="24"/>
        <v/>
      </c>
      <c r="S240" s="40"/>
      <c r="T240" s="145"/>
      <c r="U240" s="157"/>
      <c r="V240" s="511" t="str">
        <f t="shared" si="25"/>
        <v/>
      </c>
      <c r="W240" s="511" t="str">
        <f t="shared" si="26"/>
        <v/>
      </c>
      <c r="X240" s="511" t="str">
        <f t="shared" si="27"/>
        <v/>
      </c>
      <c r="Y240" s="515" t="str">
        <f t="shared" si="28"/>
        <v/>
      </c>
      <c r="Z240" s="151"/>
      <c r="AA240" s="152"/>
      <c r="AF240" s="31" t="str">
        <f>IFERROR(INDEX('G-7 Rivers Data'!$AZ$3:$AZ$7,MATCH(D240,'G-7 Rivers Data'!$AY$3:$AY$7,0)),"")</f>
        <v/>
      </c>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row>
    <row r="241" spans="3:40" ht="13.8" x14ac:dyDescent="0.25">
      <c r="C241" s="141">
        <v>232</v>
      </c>
      <c r="D241" s="462"/>
      <c r="E241" s="153"/>
      <c r="F241" s="498" t="str">
        <f>IF(D241="","",VLOOKUP(D241,'G-7 Rivers Data'!$B$2:$G$8,2,FALSE))</f>
        <v/>
      </c>
      <c r="G241" s="499" t="str">
        <f>IFERROR(VLOOKUP(F241,'G-7 Rivers Data'!$C$4:$D$8,2,FALSE),"")</f>
        <v/>
      </c>
      <c r="H241" s="145"/>
      <c r="I241" s="499" t="str">
        <f>IFERROR(INDEX('G-7 Rivers Data'!$H$4:$L$8,MATCH(D241,'G-7 Rivers Data'!$B$4:$B$8,0),MATCH(H241,'G-7 Rivers Data'!$H$3:$L$3,0)),"")</f>
        <v/>
      </c>
      <c r="J241" s="154"/>
      <c r="K241" s="520" t="str">
        <f>IF(J241="","",IF(VLOOKUP(J241,'G-7 Rivers Data'!$AK$4:$AM$9,2,FALSE)=0,"Spatial Data Missing ⚠",VLOOKUP(J241,'G-7 Rivers Data'!$AK$4:$AM$9,2,FALSE)))</f>
        <v/>
      </c>
      <c r="L241" s="524" t="str">
        <f>IF(J241="","",IF(VLOOKUP(J241,'G-7 Rivers Data'!$AK$4:$AM$9,3,FALSE)=0,"Spatial Data Missing ⚠",VLOOKUP(J241,'G-7 Rivers Data'!$AK$4:$AM$9,3,FALSE)))</f>
        <v/>
      </c>
      <c r="M241" s="71"/>
      <c r="N241" s="499" t="str">
        <f>IF(M241="","",IF(VLOOKUP(M241,'G-7 Rivers Data'!$AA$4:$AB$7,2,FALSE)=0,"Spatial Data Missing ⚠",VLOOKUP(M241,'G-7 Rivers Data'!$AA$4:$AB$7,2,FALSE)))</f>
        <v/>
      </c>
      <c r="O241" s="155"/>
      <c r="P241" s="499" t="str">
        <f>IF(O241="","",IF(VLOOKUP(O241,'G-7 Rivers Data'!$AD$4:$AE$8,2,FALSE)=0,"Spatial Data Missing ⚠",VLOOKUP(O241,'G-7 Rivers Data'!$AD$4:$AE$8,2,FALSE)))</f>
        <v/>
      </c>
      <c r="Q241" s="506" t="str">
        <f>IF(D241="","",VLOOKUP(D241,'G-7 Rivers Data'!$B$4:$G$8,6,FALSE))</f>
        <v/>
      </c>
      <c r="R241" s="513" t="str">
        <f t="shared" si="24"/>
        <v/>
      </c>
      <c r="S241" s="40"/>
      <c r="T241" s="145"/>
      <c r="U241" s="157"/>
      <c r="V241" s="511" t="str">
        <f t="shared" si="25"/>
        <v/>
      </c>
      <c r="W241" s="511" t="str">
        <f t="shared" si="26"/>
        <v/>
      </c>
      <c r="X241" s="511" t="str">
        <f t="shared" si="27"/>
        <v/>
      </c>
      <c r="Y241" s="515" t="str">
        <f t="shared" si="28"/>
        <v/>
      </c>
      <c r="Z241" s="151"/>
      <c r="AA241" s="152"/>
      <c r="AF241" s="31" t="str">
        <f>IFERROR(INDEX('G-7 Rivers Data'!$AZ$3:$AZ$7,MATCH(D241,'G-7 Rivers Data'!$AY$3:$AY$7,0)),"")</f>
        <v/>
      </c>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row>
    <row r="242" spans="3:40" ht="13.8" x14ac:dyDescent="0.25">
      <c r="C242" s="141">
        <v>233</v>
      </c>
      <c r="D242" s="462"/>
      <c r="E242" s="153"/>
      <c r="F242" s="498" t="str">
        <f>IF(D242="","",VLOOKUP(D242,'G-7 Rivers Data'!$B$2:$G$8,2,FALSE))</f>
        <v/>
      </c>
      <c r="G242" s="499" t="str">
        <f>IFERROR(VLOOKUP(F242,'G-7 Rivers Data'!$C$4:$D$8,2,FALSE),"")</f>
        <v/>
      </c>
      <c r="H242" s="145"/>
      <c r="I242" s="499" t="str">
        <f>IFERROR(INDEX('G-7 Rivers Data'!$H$4:$L$8,MATCH(D242,'G-7 Rivers Data'!$B$4:$B$8,0),MATCH(H242,'G-7 Rivers Data'!$H$3:$L$3,0)),"")</f>
        <v/>
      </c>
      <c r="J242" s="154"/>
      <c r="K242" s="520" t="str">
        <f>IF(J242="","",IF(VLOOKUP(J242,'G-7 Rivers Data'!$AK$4:$AM$9,2,FALSE)=0,"Spatial Data Missing ⚠",VLOOKUP(J242,'G-7 Rivers Data'!$AK$4:$AM$9,2,FALSE)))</f>
        <v/>
      </c>
      <c r="L242" s="524" t="str">
        <f>IF(J242="","",IF(VLOOKUP(J242,'G-7 Rivers Data'!$AK$4:$AM$9,3,FALSE)=0,"Spatial Data Missing ⚠",VLOOKUP(J242,'G-7 Rivers Data'!$AK$4:$AM$9,3,FALSE)))</f>
        <v/>
      </c>
      <c r="M242" s="71"/>
      <c r="N242" s="499" t="str">
        <f>IF(M242="","",IF(VLOOKUP(M242,'G-7 Rivers Data'!$AA$4:$AB$7,2,FALSE)=0,"Spatial Data Missing ⚠",VLOOKUP(M242,'G-7 Rivers Data'!$AA$4:$AB$7,2,FALSE)))</f>
        <v/>
      </c>
      <c r="O242" s="155"/>
      <c r="P242" s="499" t="str">
        <f>IF(O242="","",IF(VLOOKUP(O242,'G-7 Rivers Data'!$AD$4:$AE$8,2,FALSE)=0,"Spatial Data Missing ⚠",VLOOKUP(O242,'G-7 Rivers Data'!$AD$4:$AE$8,2,FALSE)))</f>
        <v/>
      </c>
      <c r="Q242" s="506" t="str">
        <f>IF(D242="","",VLOOKUP(D242,'G-7 Rivers Data'!$B$4:$G$8,6,FALSE))</f>
        <v/>
      </c>
      <c r="R242" s="513" t="str">
        <f t="shared" si="24"/>
        <v/>
      </c>
      <c r="S242" s="40"/>
      <c r="T242" s="145"/>
      <c r="U242" s="157"/>
      <c r="V242" s="511" t="str">
        <f t="shared" si="25"/>
        <v/>
      </c>
      <c r="W242" s="511" t="str">
        <f t="shared" si="26"/>
        <v/>
      </c>
      <c r="X242" s="511" t="str">
        <f t="shared" si="27"/>
        <v/>
      </c>
      <c r="Y242" s="515" t="str">
        <f t="shared" si="28"/>
        <v/>
      </c>
      <c r="Z242" s="151"/>
      <c r="AA242" s="152"/>
      <c r="AF242" s="31" t="str">
        <f>IFERROR(INDEX('G-7 Rivers Data'!$AZ$3:$AZ$7,MATCH(D242,'G-7 Rivers Data'!$AY$3:$AY$7,0)),"")</f>
        <v/>
      </c>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row>
    <row r="243" spans="3:40" ht="13.8" x14ac:dyDescent="0.25">
      <c r="C243" s="141">
        <v>234</v>
      </c>
      <c r="D243" s="462"/>
      <c r="E243" s="153"/>
      <c r="F243" s="498" t="str">
        <f>IF(D243="","",VLOOKUP(D243,'G-7 Rivers Data'!$B$2:$G$8,2,FALSE))</f>
        <v/>
      </c>
      <c r="G243" s="499" t="str">
        <f>IFERROR(VLOOKUP(F243,'G-7 Rivers Data'!$C$4:$D$8,2,FALSE),"")</f>
        <v/>
      </c>
      <c r="H243" s="145"/>
      <c r="I243" s="499" t="str">
        <f>IFERROR(INDEX('G-7 Rivers Data'!$H$4:$L$8,MATCH(D243,'G-7 Rivers Data'!$B$4:$B$8,0),MATCH(H243,'G-7 Rivers Data'!$H$3:$L$3,0)),"")</f>
        <v/>
      </c>
      <c r="J243" s="154"/>
      <c r="K243" s="520" t="str">
        <f>IF(J243="","",IF(VLOOKUP(J243,'G-7 Rivers Data'!$AK$4:$AM$9,2,FALSE)=0,"Spatial Data Missing ⚠",VLOOKUP(J243,'G-7 Rivers Data'!$AK$4:$AM$9,2,FALSE)))</f>
        <v/>
      </c>
      <c r="L243" s="524" t="str">
        <f>IF(J243="","",IF(VLOOKUP(J243,'G-7 Rivers Data'!$AK$4:$AM$9,3,FALSE)=0,"Spatial Data Missing ⚠",VLOOKUP(J243,'G-7 Rivers Data'!$AK$4:$AM$9,3,FALSE)))</f>
        <v/>
      </c>
      <c r="M243" s="71"/>
      <c r="N243" s="499" t="str">
        <f>IF(M243="","",IF(VLOOKUP(M243,'G-7 Rivers Data'!$AA$4:$AB$7,2,FALSE)=0,"Spatial Data Missing ⚠",VLOOKUP(M243,'G-7 Rivers Data'!$AA$4:$AB$7,2,FALSE)))</f>
        <v/>
      </c>
      <c r="O243" s="155"/>
      <c r="P243" s="499" t="str">
        <f>IF(O243="","",IF(VLOOKUP(O243,'G-7 Rivers Data'!$AD$4:$AE$8,2,FALSE)=0,"Spatial Data Missing ⚠",VLOOKUP(O243,'G-7 Rivers Data'!$AD$4:$AE$8,2,FALSE)))</f>
        <v/>
      </c>
      <c r="Q243" s="506" t="str">
        <f>IF(D243="","",VLOOKUP(D243,'G-7 Rivers Data'!$B$4:$G$8,6,FALSE))</f>
        <v/>
      </c>
      <c r="R243" s="513" t="str">
        <f t="shared" si="24"/>
        <v/>
      </c>
      <c r="S243" s="40"/>
      <c r="T243" s="145"/>
      <c r="U243" s="157"/>
      <c r="V243" s="511" t="str">
        <f t="shared" si="25"/>
        <v/>
      </c>
      <c r="W243" s="511" t="str">
        <f t="shared" si="26"/>
        <v/>
      </c>
      <c r="X243" s="511" t="str">
        <f t="shared" si="27"/>
        <v/>
      </c>
      <c r="Y243" s="515" t="str">
        <f t="shared" si="28"/>
        <v/>
      </c>
      <c r="Z243" s="151"/>
      <c r="AA243" s="152"/>
      <c r="AF243" s="31" t="str">
        <f>IFERROR(INDEX('G-7 Rivers Data'!$AZ$3:$AZ$7,MATCH(D243,'G-7 Rivers Data'!$AY$3:$AY$7,0)),"")</f>
        <v/>
      </c>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row>
    <row r="244" spans="3:40" ht="13.8" x14ac:dyDescent="0.25">
      <c r="C244" s="141">
        <v>235</v>
      </c>
      <c r="D244" s="462"/>
      <c r="E244" s="153"/>
      <c r="F244" s="498" t="str">
        <f>IF(D244="","",VLOOKUP(D244,'G-7 Rivers Data'!$B$2:$G$8,2,FALSE))</f>
        <v/>
      </c>
      <c r="G244" s="499" t="str">
        <f>IFERROR(VLOOKUP(F244,'G-7 Rivers Data'!$C$4:$D$8,2,FALSE),"")</f>
        <v/>
      </c>
      <c r="H244" s="145"/>
      <c r="I244" s="499" t="str">
        <f>IFERROR(INDEX('G-7 Rivers Data'!$H$4:$L$8,MATCH(D244,'G-7 Rivers Data'!$B$4:$B$8,0),MATCH(H244,'G-7 Rivers Data'!$H$3:$L$3,0)),"")</f>
        <v/>
      </c>
      <c r="J244" s="154"/>
      <c r="K244" s="520" t="str">
        <f>IF(J244="","",IF(VLOOKUP(J244,'G-7 Rivers Data'!$AK$4:$AM$9,2,FALSE)=0,"Spatial Data Missing ⚠",VLOOKUP(J244,'G-7 Rivers Data'!$AK$4:$AM$9,2,FALSE)))</f>
        <v/>
      </c>
      <c r="L244" s="524" t="str">
        <f>IF(J244="","",IF(VLOOKUP(J244,'G-7 Rivers Data'!$AK$4:$AM$9,3,FALSE)=0,"Spatial Data Missing ⚠",VLOOKUP(J244,'G-7 Rivers Data'!$AK$4:$AM$9,3,FALSE)))</f>
        <v/>
      </c>
      <c r="M244" s="71"/>
      <c r="N244" s="499" t="str">
        <f>IF(M244="","",IF(VLOOKUP(M244,'G-7 Rivers Data'!$AA$4:$AB$7,2,FALSE)=0,"Spatial Data Missing ⚠",VLOOKUP(M244,'G-7 Rivers Data'!$AA$4:$AB$7,2,FALSE)))</f>
        <v/>
      </c>
      <c r="O244" s="155"/>
      <c r="P244" s="499" t="str">
        <f>IF(O244="","",IF(VLOOKUP(O244,'G-7 Rivers Data'!$AD$4:$AE$8,2,FALSE)=0,"Spatial Data Missing ⚠",VLOOKUP(O244,'G-7 Rivers Data'!$AD$4:$AE$8,2,FALSE)))</f>
        <v/>
      </c>
      <c r="Q244" s="506" t="str">
        <f>IF(D244="","",VLOOKUP(D244,'G-7 Rivers Data'!$B$4:$G$8,6,FALSE))</f>
        <v/>
      </c>
      <c r="R244" s="513" t="str">
        <f t="shared" si="24"/>
        <v/>
      </c>
      <c r="S244" s="40"/>
      <c r="T244" s="145"/>
      <c r="U244" s="157"/>
      <c r="V244" s="511" t="str">
        <f t="shared" si="25"/>
        <v/>
      </c>
      <c r="W244" s="511" t="str">
        <f t="shared" si="26"/>
        <v/>
      </c>
      <c r="X244" s="511" t="str">
        <f t="shared" si="27"/>
        <v/>
      </c>
      <c r="Y244" s="515" t="str">
        <f t="shared" si="28"/>
        <v/>
      </c>
      <c r="Z244" s="151"/>
      <c r="AA244" s="152"/>
      <c r="AF244" s="31" t="str">
        <f>IFERROR(INDEX('G-7 Rivers Data'!$AZ$3:$AZ$7,MATCH(D244,'G-7 Rivers Data'!$AY$3:$AY$7,0)),"")</f>
        <v/>
      </c>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row>
    <row r="245" spans="3:40" ht="13.8" x14ac:dyDescent="0.25">
      <c r="C245" s="141">
        <v>236</v>
      </c>
      <c r="D245" s="462"/>
      <c r="E245" s="153"/>
      <c r="F245" s="498" t="str">
        <f>IF(D245="","",VLOOKUP(D245,'G-7 Rivers Data'!$B$2:$G$8,2,FALSE))</f>
        <v/>
      </c>
      <c r="G245" s="499" t="str">
        <f>IFERROR(VLOOKUP(F245,'G-7 Rivers Data'!$C$4:$D$8,2,FALSE),"")</f>
        <v/>
      </c>
      <c r="H245" s="145"/>
      <c r="I245" s="499" t="str">
        <f>IFERROR(INDEX('G-7 Rivers Data'!$H$4:$L$8,MATCH(D245,'G-7 Rivers Data'!$B$4:$B$8,0),MATCH(H245,'G-7 Rivers Data'!$H$3:$L$3,0)),"")</f>
        <v/>
      </c>
      <c r="J245" s="154"/>
      <c r="K245" s="520" t="str">
        <f>IF(J245="","",IF(VLOOKUP(J245,'G-7 Rivers Data'!$AK$4:$AM$9,2,FALSE)=0,"Spatial Data Missing ⚠",VLOOKUP(J245,'G-7 Rivers Data'!$AK$4:$AM$9,2,FALSE)))</f>
        <v/>
      </c>
      <c r="L245" s="524" t="str">
        <f>IF(J245="","",IF(VLOOKUP(J245,'G-7 Rivers Data'!$AK$4:$AM$9,3,FALSE)=0,"Spatial Data Missing ⚠",VLOOKUP(J245,'G-7 Rivers Data'!$AK$4:$AM$9,3,FALSE)))</f>
        <v/>
      </c>
      <c r="M245" s="71"/>
      <c r="N245" s="499" t="str">
        <f>IF(M245="","",IF(VLOOKUP(M245,'G-7 Rivers Data'!$AA$4:$AB$7,2,FALSE)=0,"Spatial Data Missing ⚠",VLOOKUP(M245,'G-7 Rivers Data'!$AA$4:$AB$7,2,FALSE)))</f>
        <v/>
      </c>
      <c r="O245" s="155"/>
      <c r="P245" s="499" t="str">
        <f>IF(O245="","",IF(VLOOKUP(O245,'G-7 Rivers Data'!$AD$4:$AE$8,2,FALSE)=0,"Spatial Data Missing ⚠",VLOOKUP(O245,'G-7 Rivers Data'!$AD$4:$AE$8,2,FALSE)))</f>
        <v/>
      </c>
      <c r="Q245" s="506" t="str">
        <f>IF(D245="","",VLOOKUP(D245,'G-7 Rivers Data'!$B$4:$G$8,6,FALSE))</f>
        <v/>
      </c>
      <c r="R245" s="513" t="str">
        <f t="shared" si="24"/>
        <v/>
      </c>
      <c r="S245" s="40"/>
      <c r="T245" s="145"/>
      <c r="U245" s="157"/>
      <c r="V245" s="511" t="str">
        <f t="shared" si="25"/>
        <v/>
      </c>
      <c r="W245" s="511" t="str">
        <f t="shared" si="26"/>
        <v/>
      </c>
      <c r="X245" s="511" t="str">
        <f t="shared" si="27"/>
        <v/>
      </c>
      <c r="Y245" s="515" t="str">
        <f t="shared" si="28"/>
        <v/>
      </c>
      <c r="Z245" s="151"/>
      <c r="AA245" s="152"/>
      <c r="AF245" s="31" t="str">
        <f>IFERROR(INDEX('G-7 Rivers Data'!$AZ$3:$AZ$7,MATCH(D245,'G-7 Rivers Data'!$AY$3:$AY$7,0)),"")</f>
        <v/>
      </c>
      <c r="AG245" s="31">
        <f t="shared" si="29"/>
        <v>0</v>
      </c>
      <c r="AH245" s="139" t="str">
        <f t="shared" si="30"/>
        <v/>
      </c>
      <c r="AI245" s="139" t="str">
        <f t="shared" si="31"/>
        <v/>
      </c>
      <c r="AJ245" s="140"/>
      <c r="AK245" s="139">
        <v>236</v>
      </c>
      <c r="AL245" s="140"/>
      <c r="AM245" s="139" t="str">
        <f t="array" ref="AM245">IFERROR(INDEX($AK$10:$AK$258, MATCH(0, IF(TRUE=$AH$10:$AH$258, COUNTIF($AM$9:$AM244, $AK$10:$AK$258), ""), 0)),"")</f>
        <v/>
      </c>
      <c r="AN245" s="139" t="str">
        <f t="array" ref="AN245">IFERROR(INDEX($AK$10:$AK$258, MATCH(0, IF(TRUE=$AI$10:$AI$258, COUNTIF($AN$9:$AN244, $AK$10:$AK$258), ""), 0)),"")</f>
        <v/>
      </c>
    </row>
    <row r="246" spans="3:40" ht="13.8" x14ac:dyDescent="0.25">
      <c r="C246" s="141">
        <v>237</v>
      </c>
      <c r="D246" s="462"/>
      <c r="E246" s="153"/>
      <c r="F246" s="498" t="str">
        <f>IF(D246="","",VLOOKUP(D246,'G-7 Rivers Data'!$B$2:$G$8,2,FALSE))</f>
        <v/>
      </c>
      <c r="G246" s="499" t="str">
        <f>IFERROR(VLOOKUP(F246,'G-7 Rivers Data'!$C$4:$D$8,2,FALSE),"")</f>
        <v/>
      </c>
      <c r="H246" s="145"/>
      <c r="I246" s="499" t="str">
        <f>IFERROR(INDEX('G-7 Rivers Data'!$H$4:$L$8,MATCH(D246,'G-7 Rivers Data'!$B$4:$B$8,0),MATCH(H246,'G-7 Rivers Data'!$H$3:$L$3,0)),"")</f>
        <v/>
      </c>
      <c r="J246" s="154"/>
      <c r="K246" s="520" t="str">
        <f>IF(J246="","",IF(VLOOKUP(J246,'G-7 Rivers Data'!$AK$4:$AM$9,2,FALSE)=0,"Spatial Data Missing ⚠",VLOOKUP(J246,'G-7 Rivers Data'!$AK$4:$AM$9,2,FALSE)))</f>
        <v/>
      </c>
      <c r="L246" s="524" t="str">
        <f>IF(J246="","",IF(VLOOKUP(J246,'G-7 Rivers Data'!$AK$4:$AM$9,3,FALSE)=0,"Spatial Data Missing ⚠",VLOOKUP(J246,'G-7 Rivers Data'!$AK$4:$AM$9,3,FALSE)))</f>
        <v/>
      </c>
      <c r="M246" s="71"/>
      <c r="N246" s="499" t="str">
        <f>IF(M246="","",IF(VLOOKUP(M246,'G-7 Rivers Data'!$AA$4:$AB$7,2,FALSE)=0,"Spatial Data Missing ⚠",VLOOKUP(M246,'G-7 Rivers Data'!$AA$4:$AB$7,2,FALSE)))</f>
        <v/>
      </c>
      <c r="O246" s="155"/>
      <c r="P246" s="499" t="str">
        <f>IF(O246="","",IF(VLOOKUP(O246,'G-7 Rivers Data'!$AD$4:$AE$8,2,FALSE)=0,"Spatial Data Missing ⚠",VLOOKUP(O246,'G-7 Rivers Data'!$AD$4:$AE$8,2,FALSE)))</f>
        <v/>
      </c>
      <c r="Q246" s="506" t="str">
        <f>IF(D246="","",VLOOKUP(D246,'G-7 Rivers Data'!$B$4:$G$8,6,FALSE))</f>
        <v/>
      </c>
      <c r="R246" s="513" t="str">
        <f t="shared" si="24"/>
        <v/>
      </c>
      <c r="S246" s="40"/>
      <c r="T246" s="145"/>
      <c r="U246" s="157"/>
      <c r="V246" s="511" t="str">
        <f t="shared" si="25"/>
        <v/>
      </c>
      <c r="W246" s="511" t="str">
        <f t="shared" si="26"/>
        <v/>
      </c>
      <c r="X246" s="511" t="str">
        <f t="shared" si="27"/>
        <v/>
      </c>
      <c r="Y246" s="515" t="str">
        <f t="shared" si="28"/>
        <v/>
      </c>
      <c r="Z246" s="151"/>
      <c r="AA246" s="152"/>
      <c r="AF246" s="31" t="str">
        <f>IFERROR(INDEX('G-7 Rivers Data'!$AZ$3:$AZ$7,MATCH(D246,'G-7 Rivers Data'!$AY$3:$AY$7,0)),"")</f>
        <v/>
      </c>
      <c r="AG246" s="31">
        <f t="shared" si="29"/>
        <v>0</v>
      </c>
      <c r="AH246" s="139" t="str">
        <f t="shared" si="30"/>
        <v/>
      </c>
      <c r="AI246" s="139" t="str">
        <f t="shared" si="31"/>
        <v/>
      </c>
      <c r="AJ246" s="140"/>
      <c r="AK246" s="139">
        <v>237</v>
      </c>
      <c r="AL246" s="140"/>
      <c r="AM246" s="139" t="str">
        <f t="array" ref="AM246">IFERROR(INDEX($AK$10:$AK$258, MATCH(0, IF(TRUE=$AH$10:$AH$258, COUNTIF($AM$9:$AM245, $AK$10:$AK$258), ""), 0)),"")</f>
        <v/>
      </c>
      <c r="AN246" s="139" t="str">
        <f t="array" ref="AN246">IFERROR(INDEX($AK$10:$AK$258, MATCH(0, IF(TRUE=$AI$10:$AI$258, COUNTIF($AN$9:$AN245, $AK$10:$AK$258), ""), 0)),"")</f>
        <v/>
      </c>
    </row>
    <row r="247" spans="3:40" ht="13.8" x14ac:dyDescent="0.25">
      <c r="C247" s="141">
        <v>238</v>
      </c>
      <c r="D247" s="462"/>
      <c r="E247" s="153"/>
      <c r="F247" s="498" t="str">
        <f>IF(D247="","",VLOOKUP(D247,'G-7 Rivers Data'!$B$2:$G$8,2,FALSE))</f>
        <v/>
      </c>
      <c r="G247" s="499" t="str">
        <f>IFERROR(VLOOKUP(F247,'G-7 Rivers Data'!$C$4:$D$8,2,FALSE),"")</f>
        <v/>
      </c>
      <c r="H247" s="145"/>
      <c r="I247" s="499" t="str">
        <f>IFERROR(INDEX('G-7 Rivers Data'!$H$4:$L$8,MATCH(D247,'G-7 Rivers Data'!$B$4:$B$8,0),MATCH(H247,'G-7 Rivers Data'!$H$3:$L$3,0)),"")</f>
        <v/>
      </c>
      <c r="J247" s="154"/>
      <c r="K247" s="520" t="str">
        <f>IF(J247="","",IF(VLOOKUP(J247,'G-7 Rivers Data'!$AK$4:$AM$9,2,FALSE)=0,"Spatial Data Missing ⚠",VLOOKUP(J247,'G-7 Rivers Data'!$AK$4:$AM$9,2,FALSE)))</f>
        <v/>
      </c>
      <c r="L247" s="524" t="str">
        <f>IF(J247="","",IF(VLOOKUP(J247,'G-7 Rivers Data'!$AK$4:$AM$9,3,FALSE)=0,"Spatial Data Missing ⚠",VLOOKUP(J247,'G-7 Rivers Data'!$AK$4:$AM$9,3,FALSE)))</f>
        <v/>
      </c>
      <c r="M247" s="71"/>
      <c r="N247" s="499" t="str">
        <f>IF(M247="","",IF(VLOOKUP(M247,'G-7 Rivers Data'!$AA$4:$AB$7,2,FALSE)=0,"Spatial Data Missing ⚠",VLOOKUP(M247,'G-7 Rivers Data'!$AA$4:$AB$7,2,FALSE)))</f>
        <v/>
      </c>
      <c r="O247" s="155"/>
      <c r="P247" s="499" t="str">
        <f>IF(O247="","",IF(VLOOKUP(O247,'G-7 Rivers Data'!$AD$4:$AE$8,2,FALSE)=0,"Spatial Data Missing ⚠",VLOOKUP(O247,'G-7 Rivers Data'!$AD$4:$AE$8,2,FALSE)))</f>
        <v/>
      </c>
      <c r="Q247" s="506" t="str">
        <f>IF(D247="","",VLOOKUP(D247,'G-7 Rivers Data'!$B$4:$G$8,6,FALSE))</f>
        <v/>
      </c>
      <c r="R247" s="513" t="str">
        <f t="shared" si="24"/>
        <v/>
      </c>
      <c r="S247" s="40"/>
      <c r="T247" s="145"/>
      <c r="U247" s="157"/>
      <c r="V247" s="511" t="str">
        <f t="shared" si="25"/>
        <v/>
      </c>
      <c r="W247" s="511" t="str">
        <f t="shared" si="26"/>
        <v/>
      </c>
      <c r="X247" s="511" t="str">
        <f t="shared" si="27"/>
        <v/>
      </c>
      <c r="Y247" s="515" t="str">
        <f t="shared" si="28"/>
        <v/>
      </c>
      <c r="Z247" s="151"/>
      <c r="AA247" s="152"/>
      <c r="AF247" s="31" t="str">
        <f>IFERROR(INDEX('G-7 Rivers Data'!$AZ$3:$AZ$7,MATCH(D247,'G-7 Rivers Data'!$AY$3:$AY$7,0)),"")</f>
        <v/>
      </c>
      <c r="AG247" s="31">
        <f t="shared" si="29"/>
        <v>0</v>
      </c>
      <c r="AH247" s="139" t="str">
        <f t="shared" si="30"/>
        <v/>
      </c>
      <c r="AI247" s="139" t="str">
        <f t="shared" si="31"/>
        <v/>
      </c>
      <c r="AJ247" s="140"/>
      <c r="AK247" s="139">
        <v>238</v>
      </c>
      <c r="AL247" s="140"/>
      <c r="AM247" s="139" t="str">
        <f t="array" ref="AM247">IFERROR(INDEX($AK$10:$AK$258, MATCH(0, IF(TRUE=$AH$10:$AH$258, COUNTIF($AM$9:$AM246, $AK$10:$AK$258), ""), 0)),"")</f>
        <v/>
      </c>
      <c r="AN247" s="139" t="str">
        <f t="array" ref="AN247">IFERROR(INDEX($AK$10:$AK$258, MATCH(0, IF(TRUE=$AI$10:$AI$258, COUNTIF($AN$9:$AN246, $AK$10:$AK$258), ""), 0)),"")</f>
        <v/>
      </c>
    </row>
    <row r="248" spans="3:40" ht="13.8" x14ac:dyDescent="0.25">
      <c r="C248" s="141">
        <v>239</v>
      </c>
      <c r="D248" s="462"/>
      <c r="E248" s="153"/>
      <c r="F248" s="498" t="str">
        <f>IF(D248="","",VLOOKUP(D248,'G-7 Rivers Data'!$B$2:$G$8,2,FALSE))</f>
        <v/>
      </c>
      <c r="G248" s="499" t="str">
        <f>IFERROR(VLOOKUP(F248,'G-7 Rivers Data'!$C$4:$D$8,2,FALSE),"")</f>
        <v/>
      </c>
      <c r="H248" s="145"/>
      <c r="I248" s="499" t="str">
        <f>IFERROR(INDEX('G-7 Rivers Data'!$H$4:$L$8,MATCH(D248,'G-7 Rivers Data'!$B$4:$B$8,0),MATCH(H248,'G-7 Rivers Data'!$H$3:$L$3,0)),"")</f>
        <v/>
      </c>
      <c r="J248" s="154"/>
      <c r="K248" s="520" t="str">
        <f>IF(J248="","",IF(VLOOKUP(J248,'G-7 Rivers Data'!$AK$4:$AM$9,2,FALSE)=0,"Spatial Data Missing ⚠",VLOOKUP(J248,'G-7 Rivers Data'!$AK$4:$AM$9,2,FALSE)))</f>
        <v/>
      </c>
      <c r="L248" s="524" t="str">
        <f>IF(J248="","",IF(VLOOKUP(J248,'G-7 Rivers Data'!$AK$4:$AM$9,3,FALSE)=0,"Spatial Data Missing ⚠",VLOOKUP(J248,'G-7 Rivers Data'!$AK$4:$AM$9,3,FALSE)))</f>
        <v/>
      </c>
      <c r="M248" s="71"/>
      <c r="N248" s="499" t="str">
        <f>IF(M248="","",IF(VLOOKUP(M248,'G-7 Rivers Data'!$AA$4:$AB$7,2,FALSE)=0,"Spatial Data Missing ⚠",VLOOKUP(M248,'G-7 Rivers Data'!$AA$4:$AB$7,2,FALSE)))</f>
        <v/>
      </c>
      <c r="O248" s="155"/>
      <c r="P248" s="499" t="str">
        <f>IF(O248="","",IF(VLOOKUP(O248,'G-7 Rivers Data'!$AD$4:$AE$8,2,FALSE)=0,"Spatial Data Missing ⚠",VLOOKUP(O248,'G-7 Rivers Data'!$AD$4:$AE$8,2,FALSE)))</f>
        <v/>
      </c>
      <c r="Q248" s="506" t="str">
        <f>IF(D248="","",VLOOKUP(D248,'G-7 Rivers Data'!$B$4:$G$8,6,FALSE))</f>
        <v/>
      </c>
      <c r="R248" s="513" t="str">
        <f t="shared" si="24"/>
        <v/>
      </c>
      <c r="S248" s="40"/>
      <c r="T248" s="145"/>
      <c r="U248" s="157"/>
      <c r="V248" s="511" t="str">
        <f t="shared" si="25"/>
        <v/>
      </c>
      <c r="W248" s="511" t="str">
        <f t="shared" si="26"/>
        <v/>
      </c>
      <c r="X248" s="511" t="str">
        <f t="shared" si="27"/>
        <v/>
      </c>
      <c r="Y248" s="515" t="str">
        <f t="shared" si="28"/>
        <v/>
      </c>
      <c r="Z248" s="151"/>
      <c r="AA248" s="152"/>
      <c r="AF248" s="31" t="str">
        <f>IFERROR(INDEX('G-7 Rivers Data'!$AZ$3:$AZ$7,MATCH(D248,'G-7 Rivers Data'!$AY$3:$AY$7,0)),"")</f>
        <v/>
      </c>
      <c r="AG248" s="31">
        <f t="shared" si="29"/>
        <v>0</v>
      </c>
      <c r="AH248" s="139" t="str">
        <f t="shared" si="30"/>
        <v/>
      </c>
      <c r="AI248" s="139" t="str">
        <f t="shared" si="31"/>
        <v/>
      </c>
      <c r="AJ248" s="140"/>
      <c r="AK248" s="139">
        <v>239</v>
      </c>
      <c r="AL248" s="140"/>
      <c r="AM248" s="139" t="str">
        <f t="array" ref="AM248">IFERROR(INDEX($AK$10:$AK$258, MATCH(0, IF(TRUE=$AH$10:$AH$258, COUNTIF($AM$9:$AM247, $AK$10:$AK$258), ""), 0)),"")</f>
        <v/>
      </c>
      <c r="AN248" s="139" t="str">
        <f t="array" ref="AN248">IFERROR(INDEX($AK$10:$AK$258, MATCH(0, IF(TRUE=$AI$10:$AI$258, COUNTIF($AN$9:$AN247, $AK$10:$AK$258), ""), 0)),"")</f>
        <v/>
      </c>
    </row>
    <row r="249" spans="3:40" ht="13.8" x14ac:dyDescent="0.25">
      <c r="C249" s="141">
        <v>240</v>
      </c>
      <c r="D249" s="462"/>
      <c r="E249" s="153"/>
      <c r="F249" s="498" t="str">
        <f>IF(D249="","",VLOOKUP(D249,'G-7 Rivers Data'!$B$2:$G$8,2,FALSE))</f>
        <v/>
      </c>
      <c r="G249" s="499" t="str">
        <f>IFERROR(VLOOKUP(F249,'G-7 Rivers Data'!$C$4:$D$8,2,FALSE),"")</f>
        <v/>
      </c>
      <c r="H249" s="145"/>
      <c r="I249" s="499" t="str">
        <f>IFERROR(INDEX('G-7 Rivers Data'!$H$4:$L$8,MATCH(D249,'G-7 Rivers Data'!$B$4:$B$8,0),MATCH(H249,'G-7 Rivers Data'!$H$3:$L$3,0)),"")</f>
        <v/>
      </c>
      <c r="J249" s="154"/>
      <c r="K249" s="520" t="str">
        <f>IF(J249="","",IF(VLOOKUP(J249,'G-7 Rivers Data'!$AK$4:$AM$9,2,FALSE)=0,"Spatial Data Missing ⚠",VLOOKUP(J249,'G-7 Rivers Data'!$AK$4:$AM$9,2,FALSE)))</f>
        <v/>
      </c>
      <c r="L249" s="524" t="str">
        <f>IF(J249="","",IF(VLOOKUP(J249,'G-7 Rivers Data'!$AK$4:$AM$9,3,FALSE)=0,"Spatial Data Missing ⚠",VLOOKUP(J249,'G-7 Rivers Data'!$AK$4:$AM$9,3,FALSE)))</f>
        <v/>
      </c>
      <c r="M249" s="71"/>
      <c r="N249" s="499" t="str">
        <f>IF(M249="","",IF(VLOOKUP(M249,'G-7 Rivers Data'!$AA$4:$AB$7,2,FALSE)=0,"Spatial Data Missing ⚠",VLOOKUP(M249,'G-7 Rivers Data'!$AA$4:$AB$7,2,FALSE)))</f>
        <v/>
      </c>
      <c r="O249" s="155"/>
      <c r="P249" s="499" t="str">
        <f>IF(O249="","",IF(VLOOKUP(O249,'G-7 Rivers Data'!$AD$4:$AE$8,2,FALSE)=0,"Spatial Data Missing ⚠",VLOOKUP(O249,'G-7 Rivers Data'!$AD$4:$AE$8,2,FALSE)))</f>
        <v/>
      </c>
      <c r="Q249" s="506" t="str">
        <f>IF(D249="","",VLOOKUP(D249,'G-7 Rivers Data'!$B$4:$G$8,6,FALSE))</f>
        <v/>
      </c>
      <c r="R249" s="513" t="str">
        <f t="shared" si="24"/>
        <v/>
      </c>
      <c r="S249" s="40"/>
      <c r="T249" s="145"/>
      <c r="U249" s="157"/>
      <c r="V249" s="511" t="str">
        <f t="shared" si="25"/>
        <v/>
      </c>
      <c r="W249" s="511" t="str">
        <f t="shared" si="26"/>
        <v/>
      </c>
      <c r="X249" s="511" t="str">
        <f t="shared" si="27"/>
        <v/>
      </c>
      <c r="Y249" s="515" t="str">
        <f t="shared" si="28"/>
        <v/>
      </c>
      <c r="Z249" s="151"/>
      <c r="AA249" s="152"/>
      <c r="AF249" s="31" t="str">
        <f>IFERROR(INDEX('G-7 Rivers Data'!$AZ$3:$AZ$7,MATCH(D249,'G-7 Rivers Data'!$AY$3:$AY$7,0)),"")</f>
        <v/>
      </c>
      <c r="AG249" s="31">
        <f t="shared" si="29"/>
        <v>0</v>
      </c>
      <c r="AH249" s="139" t="str">
        <f t="shared" si="30"/>
        <v/>
      </c>
      <c r="AI249" s="139" t="str">
        <f t="shared" si="31"/>
        <v/>
      </c>
      <c r="AJ249" s="140"/>
      <c r="AK249" s="139">
        <v>240</v>
      </c>
      <c r="AL249" s="140"/>
      <c r="AM249" s="139" t="str">
        <f t="array" ref="AM249">IFERROR(INDEX($AK$10:$AK$258, MATCH(0, IF(TRUE=$AH$10:$AH$258, COUNTIF($AM$9:$AM248, $AK$10:$AK$258), ""), 0)),"")</f>
        <v/>
      </c>
      <c r="AN249" s="139" t="str">
        <f t="array" ref="AN249">IFERROR(INDEX($AK$10:$AK$258, MATCH(0, IF(TRUE=$AI$10:$AI$258, COUNTIF($AN$9:$AN248, $AK$10:$AK$258), ""), 0)),"")</f>
        <v/>
      </c>
    </row>
    <row r="250" spans="3:40" ht="13.8" x14ac:dyDescent="0.25">
      <c r="C250" s="141">
        <v>241</v>
      </c>
      <c r="D250" s="462"/>
      <c r="E250" s="153"/>
      <c r="F250" s="498" t="str">
        <f>IF(D250="","",VLOOKUP(D250,'G-7 Rivers Data'!$B$2:$G$8,2,FALSE))</f>
        <v/>
      </c>
      <c r="G250" s="499" t="str">
        <f>IFERROR(VLOOKUP(F250,'G-7 Rivers Data'!$C$4:$D$8,2,FALSE),"")</f>
        <v/>
      </c>
      <c r="H250" s="145"/>
      <c r="I250" s="499" t="str">
        <f>IFERROR(INDEX('G-7 Rivers Data'!$H$4:$L$8,MATCH(D250,'G-7 Rivers Data'!$B$4:$B$8,0),MATCH(H250,'G-7 Rivers Data'!$H$3:$L$3,0)),"")</f>
        <v/>
      </c>
      <c r="J250" s="154"/>
      <c r="K250" s="520" t="str">
        <f>IF(J250="","",IF(VLOOKUP(J250,'G-7 Rivers Data'!$AK$4:$AM$9,2,FALSE)=0,"Spatial Data Missing ⚠",VLOOKUP(J250,'G-7 Rivers Data'!$AK$4:$AM$9,2,FALSE)))</f>
        <v/>
      </c>
      <c r="L250" s="524" t="str">
        <f>IF(J250="","",IF(VLOOKUP(J250,'G-7 Rivers Data'!$AK$4:$AM$9,3,FALSE)=0,"Spatial Data Missing ⚠",VLOOKUP(J250,'G-7 Rivers Data'!$AK$4:$AM$9,3,FALSE)))</f>
        <v/>
      </c>
      <c r="M250" s="71"/>
      <c r="N250" s="499" t="str">
        <f>IF(M250="","",IF(VLOOKUP(M250,'G-7 Rivers Data'!$AA$4:$AB$7,2,FALSE)=0,"Spatial Data Missing ⚠",VLOOKUP(M250,'G-7 Rivers Data'!$AA$4:$AB$7,2,FALSE)))</f>
        <v/>
      </c>
      <c r="O250" s="155"/>
      <c r="P250" s="499" t="str">
        <f>IF(O250="","",IF(VLOOKUP(O250,'G-7 Rivers Data'!$AD$4:$AE$8,2,FALSE)=0,"Spatial Data Missing ⚠",VLOOKUP(O250,'G-7 Rivers Data'!$AD$4:$AE$8,2,FALSE)))</f>
        <v/>
      </c>
      <c r="Q250" s="506" t="str">
        <f>IF(D250="","",VLOOKUP(D250,'G-7 Rivers Data'!$B$4:$G$8,6,FALSE))</f>
        <v/>
      </c>
      <c r="R250" s="513" t="str">
        <f t="shared" si="24"/>
        <v/>
      </c>
      <c r="S250" s="40"/>
      <c r="T250" s="145"/>
      <c r="U250" s="157"/>
      <c r="V250" s="511" t="str">
        <f t="shared" si="25"/>
        <v/>
      </c>
      <c r="W250" s="511" t="str">
        <f t="shared" si="26"/>
        <v/>
      </c>
      <c r="X250" s="511" t="str">
        <f t="shared" si="27"/>
        <v/>
      </c>
      <c r="Y250" s="515" t="str">
        <f t="shared" si="28"/>
        <v/>
      </c>
      <c r="Z250" s="151"/>
      <c r="AA250" s="152"/>
      <c r="AF250" s="31" t="str">
        <f>IFERROR(INDEX('G-7 Rivers Data'!$AZ$3:$AZ$7,MATCH(D250,'G-7 Rivers Data'!$AY$3:$AY$7,0)),"")</f>
        <v/>
      </c>
      <c r="AG250" s="31">
        <f t="shared" si="29"/>
        <v>0</v>
      </c>
      <c r="AH250" s="139" t="str">
        <f t="shared" si="30"/>
        <v/>
      </c>
      <c r="AI250" s="139" t="str">
        <f t="shared" si="31"/>
        <v/>
      </c>
      <c r="AJ250" s="140"/>
      <c r="AK250" s="139">
        <v>241</v>
      </c>
      <c r="AL250" s="140"/>
      <c r="AM250" s="139" t="str">
        <f t="array" ref="AM250">IFERROR(INDEX($AK$10:$AK$258, MATCH(0, IF(TRUE=$AH$10:$AH$258, COUNTIF($AM$9:$AM249, $AK$10:$AK$258), ""), 0)),"")</f>
        <v/>
      </c>
      <c r="AN250" s="139" t="str">
        <f t="array" ref="AN250">IFERROR(INDEX($AK$10:$AK$258, MATCH(0, IF(TRUE=$AI$10:$AI$258, COUNTIF($AN$9:$AN249, $AK$10:$AK$258), ""), 0)),"")</f>
        <v/>
      </c>
    </row>
    <row r="251" spans="3:40" ht="13.8" x14ac:dyDescent="0.25">
      <c r="C251" s="141">
        <v>242</v>
      </c>
      <c r="D251" s="462"/>
      <c r="E251" s="153"/>
      <c r="F251" s="498" t="str">
        <f>IF(D251="","",VLOOKUP(D251,'G-7 Rivers Data'!$B$2:$G$8,2,FALSE))</f>
        <v/>
      </c>
      <c r="G251" s="499" t="str">
        <f>IFERROR(VLOOKUP(F251,'G-7 Rivers Data'!$C$4:$D$8,2,FALSE),"")</f>
        <v/>
      </c>
      <c r="H251" s="145"/>
      <c r="I251" s="499" t="str">
        <f>IFERROR(INDEX('G-7 Rivers Data'!$H$4:$L$8,MATCH(D251,'G-7 Rivers Data'!$B$4:$B$8,0),MATCH(H251,'G-7 Rivers Data'!$H$3:$L$3,0)),"")</f>
        <v/>
      </c>
      <c r="J251" s="154"/>
      <c r="K251" s="520" t="str">
        <f>IF(J251="","",IF(VLOOKUP(J251,'G-7 Rivers Data'!$AK$4:$AM$9,2,FALSE)=0,"Spatial Data Missing ⚠",VLOOKUP(J251,'G-7 Rivers Data'!$AK$4:$AM$9,2,FALSE)))</f>
        <v/>
      </c>
      <c r="L251" s="524" t="str">
        <f>IF(J251="","",IF(VLOOKUP(J251,'G-7 Rivers Data'!$AK$4:$AM$9,3,FALSE)=0,"Spatial Data Missing ⚠",VLOOKUP(J251,'G-7 Rivers Data'!$AK$4:$AM$9,3,FALSE)))</f>
        <v/>
      </c>
      <c r="M251" s="71"/>
      <c r="N251" s="499" t="str">
        <f>IF(M251="","",IF(VLOOKUP(M251,'G-7 Rivers Data'!$AA$4:$AB$7,2,FALSE)=0,"Spatial Data Missing ⚠",VLOOKUP(M251,'G-7 Rivers Data'!$AA$4:$AB$7,2,FALSE)))</f>
        <v/>
      </c>
      <c r="O251" s="155"/>
      <c r="P251" s="499" t="str">
        <f>IF(O251="","",IF(VLOOKUP(O251,'G-7 Rivers Data'!$AD$4:$AE$8,2,FALSE)=0,"Spatial Data Missing ⚠",VLOOKUP(O251,'G-7 Rivers Data'!$AD$4:$AE$8,2,FALSE)))</f>
        <v/>
      </c>
      <c r="Q251" s="506" t="str">
        <f>IF(D251="","",VLOOKUP(D251,'G-7 Rivers Data'!$B$4:$G$8,6,FALSE))</f>
        <v/>
      </c>
      <c r="R251" s="513" t="str">
        <f t="shared" si="24"/>
        <v/>
      </c>
      <c r="S251" s="40"/>
      <c r="T251" s="145"/>
      <c r="U251" s="157"/>
      <c r="V251" s="511" t="str">
        <f t="shared" si="25"/>
        <v/>
      </c>
      <c r="W251" s="511" t="str">
        <f t="shared" si="26"/>
        <v/>
      </c>
      <c r="X251" s="511" t="str">
        <f t="shared" si="27"/>
        <v/>
      </c>
      <c r="Y251" s="515" t="str">
        <f t="shared" si="28"/>
        <v/>
      </c>
      <c r="Z251" s="151"/>
      <c r="AA251" s="152"/>
      <c r="AF251" s="31" t="str">
        <f>IFERROR(INDEX('G-7 Rivers Data'!$AZ$3:$AZ$7,MATCH(D251,'G-7 Rivers Data'!$AY$3:$AY$7,0)),"")</f>
        <v/>
      </c>
      <c r="AG251" s="31">
        <f t="shared" si="29"/>
        <v>0</v>
      </c>
      <c r="AH251" s="139" t="str">
        <f t="shared" si="30"/>
        <v/>
      </c>
      <c r="AI251" s="139" t="str">
        <f t="shared" si="31"/>
        <v/>
      </c>
      <c r="AJ251" s="140"/>
      <c r="AK251" s="139">
        <v>242</v>
      </c>
      <c r="AL251" s="140"/>
      <c r="AM251" s="139" t="str">
        <f t="array" ref="AM251">IFERROR(INDEX($AK$10:$AK$258, MATCH(0, IF(TRUE=$AH$10:$AH$258, COUNTIF($AM$9:$AM250, $AK$10:$AK$258), ""), 0)),"")</f>
        <v/>
      </c>
      <c r="AN251" s="139" t="str">
        <f t="array" ref="AN251">IFERROR(INDEX($AK$10:$AK$258, MATCH(0, IF(TRUE=$AI$10:$AI$258, COUNTIF($AN$9:$AN250, $AK$10:$AK$258), ""), 0)),"")</f>
        <v/>
      </c>
    </row>
    <row r="252" spans="3:40" ht="13.8" x14ac:dyDescent="0.25">
      <c r="C252" s="141">
        <v>243</v>
      </c>
      <c r="D252" s="462"/>
      <c r="E252" s="153"/>
      <c r="F252" s="498" t="str">
        <f>IF(D252="","",VLOOKUP(D252,'G-7 Rivers Data'!$B$2:$G$8,2,FALSE))</f>
        <v/>
      </c>
      <c r="G252" s="499" t="str">
        <f>IFERROR(VLOOKUP(F252,'G-7 Rivers Data'!$C$4:$D$8,2,FALSE),"")</f>
        <v/>
      </c>
      <c r="H252" s="145"/>
      <c r="I252" s="499" t="str">
        <f>IFERROR(INDEX('G-7 Rivers Data'!$H$4:$L$8,MATCH(D252,'G-7 Rivers Data'!$B$4:$B$8,0),MATCH(H252,'G-7 Rivers Data'!$H$3:$L$3,0)),"")</f>
        <v/>
      </c>
      <c r="J252" s="154"/>
      <c r="K252" s="520" t="str">
        <f>IF(J252="","",IF(VLOOKUP(J252,'G-7 Rivers Data'!$AK$4:$AM$9,2,FALSE)=0,"Spatial Data Missing ⚠",VLOOKUP(J252,'G-7 Rivers Data'!$AK$4:$AM$9,2,FALSE)))</f>
        <v/>
      </c>
      <c r="L252" s="524" t="str">
        <f>IF(J252="","",IF(VLOOKUP(J252,'G-7 Rivers Data'!$AK$4:$AM$9,3,FALSE)=0,"Spatial Data Missing ⚠",VLOOKUP(J252,'G-7 Rivers Data'!$AK$4:$AM$9,3,FALSE)))</f>
        <v/>
      </c>
      <c r="M252" s="71"/>
      <c r="N252" s="499" t="str">
        <f>IF(M252="","",IF(VLOOKUP(M252,'G-7 Rivers Data'!$AA$4:$AB$7,2,FALSE)=0,"Spatial Data Missing ⚠",VLOOKUP(M252,'G-7 Rivers Data'!$AA$4:$AB$7,2,FALSE)))</f>
        <v/>
      </c>
      <c r="O252" s="155"/>
      <c r="P252" s="499" t="str">
        <f>IF(O252="","",IF(VLOOKUP(O252,'G-7 Rivers Data'!$AD$4:$AE$8,2,FALSE)=0,"Spatial Data Missing ⚠",VLOOKUP(O252,'G-7 Rivers Data'!$AD$4:$AE$8,2,FALSE)))</f>
        <v/>
      </c>
      <c r="Q252" s="506" t="str">
        <f>IF(D252="","",VLOOKUP(D252,'G-7 Rivers Data'!$B$4:$G$8,6,FALSE))</f>
        <v/>
      </c>
      <c r="R252" s="513" t="str">
        <f t="shared" si="24"/>
        <v/>
      </c>
      <c r="S252" s="40"/>
      <c r="T252" s="145"/>
      <c r="U252" s="157"/>
      <c r="V252" s="511" t="str">
        <f t="shared" si="25"/>
        <v/>
      </c>
      <c r="W252" s="511" t="str">
        <f t="shared" si="26"/>
        <v/>
      </c>
      <c r="X252" s="511" t="str">
        <f t="shared" si="27"/>
        <v/>
      </c>
      <c r="Y252" s="515" t="str">
        <f t="shared" si="28"/>
        <v/>
      </c>
      <c r="Z252" s="151"/>
      <c r="AA252" s="152"/>
      <c r="AF252" s="31" t="str">
        <f>IFERROR(INDEX('G-7 Rivers Data'!$AZ$3:$AZ$7,MATCH(D252,'G-7 Rivers Data'!$AY$3:$AY$7,0)),"")</f>
        <v/>
      </c>
      <c r="AG252" s="31">
        <f t="shared" si="29"/>
        <v>0</v>
      </c>
      <c r="AH252" s="139" t="str">
        <f t="shared" si="30"/>
        <v/>
      </c>
      <c r="AI252" s="139" t="str">
        <f t="shared" si="31"/>
        <v/>
      </c>
      <c r="AJ252" s="140"/>
      <c r="AK252" s="139">
        <v>243</v>
      </c>
      <c r="AL252" s="140"/>
      <c r="AM252" s="139" t="str">
        <f t="array" ref="AM252">IFERROR(INDEX($AK$10:$AK$258, MATCH(0, IF(TRUE=$AH$10:$AH$258, COUNTIF($AM$9:$AM251, $AK$10:$AK$258), ""), 0)),"")</f>
        <v/>
      </c>
      <c r="AN252" s="139" t="str">
        <f t="array" ref="AN252">IFERROR(INDEX($AK$10:$AK$258, MATCH(0, IF(TRUE=$AI$10:$AI$258, COUNTIF($AN$9:$AN251, $AK$10:$AK$258), ""), 0)),"")</f>
        <v/>
      </c>
    </row>
    <row r="253" spans="3:40" ht="13.8" x14ac:dyDescent="0.25">
      <c r="C253" s="141">
        <v>244</v>
      </c>
      <c r="D253" s="462"/>
      <c r="E253" s="153"/>
      <c r="F253" s="498" t="str">
        <f>IF(D253="","",VLOOKUP(D253,'G-7 Rivers Data'!$B$2:$G$8,2,FALSE))</f>
        <v/>
      </c>
      <c r="G253" s="499" t="str">
        <f>IFERROR(VLOOKUP(F253,'G-7 Rivers Data'!$C$4:$D$8,2,FALSE),"")</f>
        <v/>
      </c>
      <c r="H253" s="145"/>
      <c r="I253" s="499" t="str">
        <f>IFERROR(INDEX('G-7 Rivers Data'!$H$4:$L$8,MATCH(D253,'G-7 Rivers Data'!$B$4:$B$8,0),MATCH(H253,'G-7 Rivers Data'!$H$3:$L$3,0)),"")</f>
        <v/>
      </c>
      <c r="J253" s="154"/>
      <c r="K253" s="520" t="str">
        <f>IF(J253="","",IF(VLOOKUP(J253,'G-7 Rivers Data'!$AK$4:$AM$9,2,FALSE)=0,"Spatial Data Missing ⚠",VLOOKUP(J253,'G-7 Rivers Data'!$AK$4:$AM$9,2,FALSE)))</f>
        <v/>
      </c>
      <c r="L253" s="524" t="str">
        <f>IF(J253="","",IF(VLOOKUP(J253,'G-7 Rivers Data'!$AK$4:$AM$9,3,FALSE)=0,"Spatial Data Missing ⚠",VLOOKUP(J253,'G-7 Rivers Data'!$AK$4:$AM$9,3,FALSE)))</f>
        <v/>
      </c>
      <c r="M253" s="71"/>
      <c r="N253" s="499" t="str">
        <f>IF(M253="","",IF(VLOOKUP(M253,'G-7 Rivers Data'!$AA$4:$AB$7,2,FALSE)=0,"Spatial Data Missing ⚠",VLOOKUP(M253,'G-7 Rivers Data'!$AA$4:$AB$7,2,FALSE)))</f>
        <v/>
      </c>
      <c r="O253" s="155"/>
      <c r="P253" s="499" t="str">
        <f>IF(O253="","",IF(VLOOKUP(O253,'G-7 Rivers Data'!$AD$4:$AE$8,2,FALSE)=0,"Spatial Data Missing ⚠",VLOOKUP(O253,'G-7 Rivers Data'!$AD$4:$AE$8,2,FALSE)))</f>
        <v/>
      </c>
      <c r="Q253" s="506" t="str">
        <f>IF(D253="","",VLOOKUP(D253,'G-7 Rivers Data'!$B$4:$G$8,6,FALSE))</f>
        <v/>
      </c>
      <c r="R253" s="513" t="str">
        <f t="shared" si="24"/>
        <v/>
      </c>
      <c r="S253" s="40"/>
      <c r="T253" s="145"/>
      <c r="U253" s="157"/>
      <c r="V253" s="511" t="str">
        <f t="shared" si="25"/>
        <v/>
      </c>
      <c r="W253" s="511" t="str">
        <f t="shared" si="26"/>
        <v/>
      </c>
      <c r="X253" s="511" t="str">
        <f t="shared" si="27"/>
        <v/>
      </c>
      <c r="Y253" s="515" t="str">
        <f t="shared" si="28"/>
        <v/>
      </c>
      <c r="Z253" s="151"/>
      <c r="AA253" s="152"/>
      <c r="AF253" s="31" t="str">
        <f>IFERROR(INDEX('G-7 Rivers Data'!$AZ$3:$AZ$7,MATCH(D253,'G-7 Rivers Data'!$AY$3:$AY$7,0)),"")</f>
        <v/>
      </c>
      <c r="AG253" s="31">
        <f t="shared" si="29"/>
        <v>0</v>
      </c>
      <c r="AH253" s="139" t="str">
        <f t="shared" si="30"/>
        <v/>
      </c>
      <c r="AI253" s="139" t="str">
        <f t="shared" si="31"/>
        <v/>
      </c>
      <c r="AJ253" s="140"/>
      <c r="AK253" s="139">
        <v>244</v>
      </c>
      <c r="AL253" s="140"/>
      <c r="AM253" s="139" t="str">
        <f t="array" ref="AM253">IFERROR(INDEX($AK$10:$AK$258, MATCH(0, IF(TRUE=$AH$10:$AH$258, COUNTIF($AM$9:$AM252, $AK$10:$AK$258), ""), 0)),"")</f>
        <v/>
      </c>
      <c r="AN253" s="139" t="str">
        <f t="array" ref="AN253">IFERROR(INDEX($AK$10:$AK$258, MATCH(0, IF(TRUE=$AI$10:$AI$258, COUNTIF($AN$9:$AN252, $AK$10:$AK$258), ""), 0)),"")</f>
        <v/>
      </c>
    </row>
    <row r="254" spans="3:40" ht="13.8" x14ac:dyDescent="0.25">
      <c r="C254" s="141">
        <v>245</v>
      </c>
      <c r="D254" s="462"/>
      <c r="E254" s="153"/>
      <c r="F254" s="498" t="str">
        <f>IF(D254="","",VLOOKUP(D254,'G-7 Rivers Data'!$B$2:$G$8,2,FALSE))</f>
        <v/>
      </c>
      <c r="G254" s="499" t="str">
        <f>IFERROR(VLOOKUP(F254,'G-7 Rivers Data'!$C$4:$D$8,2,FALSE),"")</f>
        <v/>
      </c>
      <c r="H254" s="145"/>
      <c r="I254" s="499" t="str">
        <f>IFERROR(INDEX('G-7 Rivers Data'!$H$4:$L$8,MATCH(D254,'G-7 Rivers Data'!$B$4:$B$8,0),MATCH(H254,'G-7 Rivers Data'!$H$3:$L$3,0)),"")</f>
        <v/>
      </c>
      <c r="J254" s="154"/>
      <c r="K254" s="520" t="str">
        <f>IF(J254="","",IF(VLOOKUP(J254,'G-7 Rivers Data'!$AK$4:$AM$9,2,FALSE)=0,"Spatial Data Missing ⚠",VLOOKUP(J254,'G-7 Rivers Data'!$AK$4:$AM$9,2,FALSE)))</f>
        <v/>
      </c>
      <c r="L254" s="524" t="str">
        <f>IF(J254="","",IF(VLOOKUP(J254,'G-7 Rivers Data'!$AK$4:$AM$9,3,FALSE)=0,"Spatial Data Missing ⚠",VLOOKUP(J254,'G-7 Rivers Data'!$AK$4:$AM$9,3,FALSE)))</f>
        <v/>
      </c>
      <c r="M254" s="71"/>
      <c r="N254" s="499" t="str">
        <f>IF(M254="","",IF(VLOOKUP(M254,'G-7 Rivers Data'!$AA$4:$AB$7,2,FALSE)=0,"Spatial Data Missing ⚠",VLOOKUP(M254,'G-7 Rivers Data'!$AA$4:$AB$7,2,FALSE)))</f>
        <v/>
      </c>
      <c r="O254" s="155"/>
      <c r="P254" s="499" t="str">
        <f>IF(O254="","",IF(VLOOKUP(O254,'G-7 Rivers Data'!$AD$4:$AE$8,2,FALSE)=0,"Spatial Data Missing ⚠",VLOOKUP(O254,'G-7 Rivers Data'!$AD$4:$AE$8,2,FALSE)))</f>
        <v/>
      </c>
      <c r="Q254" s="506" t="str">
        <f>IF(D254="","",VLOOKUP(D254,'G-7 Rivers Data'!$B$4:$G$8,6,FALSE))</f>
        <v/>
      </c>
      <c r="R254" s="513" t="str">
        <f t="shared" si="24"/>
        <v/>
      </c>
      <c r="S254" s="40"/>
      <c r="T254" s="145"/>
      <c r="U254" s="157"/>
      <c r="V254" s="511" t="str">
        <f t="shared" si="25"/>
        <v/>
      </c>
      <c r="W254" s="511" t="str">
        <f t="shared" si="26"/>
        <v/>
      </c>
      <c r="X254" s="511" t="str">
        <f t="shared" si="27"/>
        <v/>
      </c>
      <c r="Y254" s="515" t="str">
        <f t="shared" si="28"/>
        <v/>
      </c>
      <c r="Z254" s="151"/>
      <c r="AA254" s="152"/>
      <c r="AF254" s="31" t="str">
        <f>IFERROR(INDEX('G-7 Rivers Data'!$AZ$3:$AZ$7,MATCH(D254,'G-7 Rivers Data'!$AY$3:$AY$7,0)),"")</f>
        <v/>
      </c>
      <c r="AG254" s="31">
        <f t="shared" si="29"/>
        <v>0</v>
      </c>
      <c r="AH254" s="139" t="str">
        <f t="shared" si="30"/>
        <v/>
      </c>
      <c r="AI254" s="139" t="str">
        <f t="shared" si="31"/>
        <v/>
      </c>
      <c r="AJ254" s="140"/>
      <c r="AK254" s="139">
        <v>245</v>
      </c>
      <c r="AL254" s="140"/>
      <c r="AM254" s="139" t="str">
        <f t="array" ref="AM254">IFERROR(INDEX($AK$10:$AK$258, MATCH(0, IF(TRUE=$AH$10:$AH$258, COUNTIF($AM$9:$AM253, $AK$10:$AK$258), ""), 0)),"")</f>
        <v/>
      </c>
      <c r="AN254" s="139" t="str">
        <f t="array" ref="AN254">IFERROR(INDEX($AK$10:$AK$258, MATCH(0, IF(TRUE=$AI$10:$AI$258, COUNTIF($AN$9:$AN253, $AK$10:$AK$258), ""), 0)),"")</f>
        <v/>
      </c>
    </row>
    <row r="255" spans="3:40" ht="13.8" x14ac:dyDescent="0.25">
      <c r="C255" s="141">
        <v>246</v>
      </c>
      <c r="D255" s="462"/>
      <c r="E255" s="153"/>
      <c r="F255" s="498" t="str">
        <f>IF(D255="","",VLOOKUP(D255,'G-7 Rivers Data'!$B$2:$G$8,2,FALSE))</f>
        <v/>
      </c>
      <c r="G255" s="499" t="str">
        <f>IFERROR(VLOOKUP(F255,'G-7 Rivers Data'!$C$4:$D$8,2,FALSE),"")</f>
        <v/>
      </c>
      <c r="H255" s="145"/>
      <c r="I255" s="499" t="str">
        <f>IFERROR(INDEX('G-7 Rivers Data'!$H$4:$L$8,MATCH(D255,'G-7 Rivers Data'!$B$4:$B$8,0),MATCH(H255,'G-7 Rivers Data'!$H$3:$L$3,0)),"")</f>
        <v/>
      </c>
      <c r="J255" s="154"/>
      <c r="K255" s="520" t="str">
        <f>IF(J255="","",IF(VLOOKUP(J255,'G-7 Rivers Data'!$AK$4:$AM$9,2,FALSE)=0,"Spatial Data Missing ⚠",VLOOKUP(J255,'G-7 Rivers Data'!$AK$4:$AM$9,2,FALSE)))</f>
        <v/>
      </c>
      <c r="L255" s="524" t="str">
        <f>IF(J255="","",IF(VLOOKUP(J255,'G-7 Rivers Data'!$AK$4:$AM$9,3,FALSE)=0,"Spatial Data Missing ⚠",VLOOKUP(J255,'G-7 Rivers Data'!$AK$4:$AM$9,3,FALSE)))</f>
        <v/>
      </c>
      <c r="M255" s="71"/>
      <c r="N255" s="499" t="str">
        <f>IF(M255="","",IF(VLOOKUP(M255,'G-7 Rivers Data'!$AA$4:$AB$7,2,FALSE)=0,"Spatial Data Missing ⚠",VLOOKUP(M255,'G-7 Rivers Data'!$AA$4:$AB$7,2,FALSE)))</f>
        <v/>
      </c>
      <c r="O255" s="155"/>
      <c r="P255" s="499" t="str">
        <f>IF(O255="","",IF(VLOOKUP(O255,'G-7 Rivers Data'!$AD$4:$AE$8,2,FALSE)=0,"Spatial Data Missing ⚠",VLOOKUP(O255,'G-7 Rivers Data'!$AD$4:$AE$8,2,FALSE)))</f>
        <v/>
      </c>
      <c r="Q255" s="506" t="str">
        <f>IF(D255="","",VLOOKUP(D255,'G-7 Rivers Data'!$B$4:$G$8,6,FALSE))</f>
        <v/>
      </c>
      <c r="R255" s="513" t="str">
        <f t="shared" si="24"/>
        <v/>
      </c>
      <c r="S255" s="40"/>
      <c r="T255" s="145"/>
      <c r="U255" s="157"/>
      <c r="V255" s="511" t="str">
        <f t="shared" si="25"/>
        <v/>
      </c>
      <c r="W255" s="511" t="str">
        <f t="shared" si="26"/>
        <v/>
      </c>
      <c r="X255" s="511" t="str">
        <f t="shared" si="27"/>
        <v/>
      </c>
      <c r="Y255" s="515" t="str">
        <f t="shared" si="28"/>
        <v/>
      </c>
      <c r="Z255" s="151"/>
      <c r="AA255" s="152"/>
      <c r="AF255" s="31" t="str">
        <f>IFERROR(INDEX('G-7 Rivers Data'!$AZ$3:$AZ$7,MATCH(D255,'G-7 Rivers Data'!$AY$3:$AY$7,0)),"")</f>
        <v/>
      </c>
      <c r="AG255" s="31">
        <f t="shared" si="29"/>
        <v>0</v>
      </c>
      <c r="AH255" s="139" t="str">
        <f t="shared" si="30"/>
        <v/>
      </c>
      <c r="AI255" s="139" t="str">
        <f t="shared" si="31"/>
        <v/>
      </c>
      <c r="AJ255" s="140"/>
      <c r="AK255" s="139">
        <v>246</v>
      </c>
      <c r="AL255" s="140"/>
      <c r="AM255" s="139" t="str">
        <f t="array" ref="AM255">IFERROR(INDEX($AK$10:$AK$258, MATCH(0, IF(TRUE=$AH$10:$AH$258, COUNTIF($AM$9:$AM254, $AK$10:$AK$258), ""), 0)),"")</f>
        <v/>
      </c>
      <c r="AN255" s="139" t="str">
        <f t="array" ref="AN255">IFERROR(INDEX($AK$10:$AK$258, MATCH(0, IF(TRUE=$AI$10:$AI$258, COUNTIF($AN$9:$AN254, $AK$10:$AK$258), ""), 0)),"")</f>
        <v/>
      </c>
    </row>
    <row r="256" spans="3:40" ht="13.8" x14ac:dyDescent="0.25">
      <c r="C256" s="141">
        <v>247</v>
      </c>
      <c r="D256" s="462"/>
      <c r="E256" s="153"/>
      <c r="F256" s="498" t="str">
        <f>IF(D256="","",VLOOKUP(D256,'G-7 Rivers Data'!$B$2:$G$8,2,FALSE))</f>
        <v/>
      </c>
      <c r="G256" s="499" t="str">
        <f>IFERROR(VLOOKUP(F256,'G-7 Rivers Data'!$C$4:$D$8,2,FALSE),"")</f>
        <v/>
      </c>
      <c r="H256" s="145"/>
      <c r="I256" s="499" t="str">
        <f>IFERROR(INDEX('G-7 Rivers Data'!$H$4:$L$8,MATCH(D256,'G-7 Rivers Data'!$B$4:$B$8,0),MATCH(H256,'G-7 Rivers Data'!$H$3:$L$3,0)),"")</f>
        <v/>
      </c>
      <c r="J256" s="154"/>
      <c r="K256" s="520" t="str">
        <f>IF(J256="","",IF(VLOOKUP(J256,'G-7 Rivers Data'!$AK$4:$AM$9,2,FALSE)=0,"Spatial Data Missing ⚠",VLOOKUP(J256,'G-7 Rivers Data'!$AK$4:$AM$9,2,FALSE)))</f>
        <v/>
      </c>
      <c r="L256" s="524" t="str">
        <f>IF(J256="","",IF(VLOOKUP(J256,'G-7 Rivers Data'!$AK$4:$AM$9,3,FALSE)=0,"Spatial Data Missing ⚠",VLOOKUP(J256,'G-7 Rivers Data'!$AK$4:$AM$9,3,FALSE)))</f>
        <v/>
      </c>
      <c r="M256" s="71"/>
      <c r="N256" s="499" t="str">
        <f>IF(M256="","",IF(VLOOKUP(M256,'G-7 Rivers Data'!$AA$4:$AB$7,2,FALSE)=0,"Spatial Data Missing ⚠",VLOOKUP(M256,'G-7 Rivers Data'!$AA$4:$AB$7,2,FALSE)))</f>
        <v/>
      </c>
      <c r="O256" s="155"/>
      <c r="P256" s="499" t="str">
        <f>IF(O256="","",IF(VLOOKUP(O256,'G-7 Rivers Data'!$AD$4:$AE$8,2,FALSE)=0,"Spatial Data Missing ⚠",VLOOKUP(O256,'G-7 Rivers Data'!$AD$4:$AE$8,2,FALSE)))</f>
        <v/>
      </c>
      <c r="Q256" s="506" t="str">
        <f>IF(D256="","",VLOOKUP(D256,'G-7 Rivers Data'!$B$4:$G$8,6,FALSE))</f>
        <v/>
      </c>
      <c r="R256" s="513" t="str">
        <f t="shared" si="24"/>
        <v/>
      </c>
      <c r="S256" s="40"/>
      <c r="T256" s="145"/>
      <c r="U256" s="157"/>
      <c r="V256" s="511" t="str">
        <f t="shared" si="25"/>
        <v/>
      </c>
      <c r="W256" s="511" t="str">
        <f t="shared" si="26"/>
        <v/>
      </c>
      <c r="X256" s="511" t="str">
        <f t="shared" si="27"/>
        <v/>
      </c>
      <c r="Y256" s="515" t="str">
        <f t="shared" si="28"/>
        <v/>
      </c>
      <c r="Z256" s="151"/>
      <c r="AA256" s="152"/>
      <c r="AF256" s="31" t="str">
        <f>IFERROR(INDEX('G-7 Rivers Data'!$AZ$3:$AZ$7,MATCH(D256,'G-7 Rivers Data'!$AY$3:$AY$7,0)),"")</f>
        <v/>
      </c>
      <c r="AG256" s="31">
        <f t="shared" si="29"/>
        <v>0</v>
      </c>
      <c r="AH256" s="139" t="str">
        <f t="shared" si="30"/>
        <v/>
      </c>
      <c r="AI256" s="139" t="str">
        <f t="shared" si="31"/>
        <v/>
      </c>
      <c r="AJ256" s="140"/>
      <c r="AK256" s="139">
        <v>247</v>
      </c>
      <c r="AL256" s="140"/>
      <c r="AM256" s="139" t="str">
        <f t="array" ref="AM256">IFERROR(INDEX($AK$10:$AK$258, MATCH(0, IF(TRUE=$AH$10:$AH$258, COUNTIF($AM$9:$AM255, $AK$10:$AK$258), ""), 0)),"")</f>
        <v/>
      </c>
      <c r="AN256" s="139" t="str">
        <f t="array" ref="AN256">IFERROR(INDEX($AK$10:$AK$258, MATCH(0, IF(TRUE=$AI$10:$AI$258, COUNTIF($AN$9:$AN255, $AK$10:$AK$258), ""), 0)),"")</f>
        <v/>
      </c>
    </row>
    <row r="257" spans="2:40" ht="14.4" thickBot="1" x14ac:dyDescent="0.3">
      <c r="C257" s="158">
        <v>248</v>
      </c>
      <c r="D257" s="463"/>
      <c r="E257" s="160"/>
      <c r="F257" s="500" t="str">
        <f>IF(D257="","",VLOOKUP(D257,'G-7 Rivers Data'!$B$2:$G$8,2,FALSE))</f>
        <v/>
      </c>
      <c r="G257" s="501" t="str">
        <f>IFERROR(VLOOKUP(F257,'G-7 Rivers Data'!$C$4:$D$8,2,FALSE),"")</f>
        <v/>
      </c>
      <c r="H257" s="161"/>
      <c r="I257" s="501" t="str">
        <f>IFERROR(INDEX('G-7 Rivers Data'!$H$4:$L$8,MATCH(D257,'G-7 Rivers Data'!$B$4:$B$8,0),MATCH(H257,'G-7 Rivers Data'!$H$3:$L$3,0)),"")</f>
        <v/>
      </c>
      <c r="J257" s="161"/>
      <c r="K257" s="520" t="str">
        <f>IF(J257="","",IF(VLOOKUP(J257,'G-7 Rivers Data'!$AK$4:$AM$9,2,FALSE)=0,"Spatial Data Missing ⚠",VLOOKUP(J257,'G-7 Rivers Data'!$AK$4:$AM$9,2,FALSE)))</f>
        <v/>
      </c>
      <c r="L257" s="524" t="str">
        <f>IF(J257="","",IF(VLOOKUP(J257,'G-7 Rivers Data'!$AK$4:$AM$9,3,FALSE)=0,"Spatial Data Missing ⚠",VLOOKUP(J257,'G-7 Rivers Data'!$AK$4:$AM$9,3,FALSE)))</f>
        <v/>
      </c>
      <c r="M257" s="452"/>
      <c r="N257" s="499" t="str">
        <f>IF(M257="","",IF(VLOOKUP(M257,'G-7 Rivers Data'!$AA$4:$AB$7,2,FALSE)=0,"Spatial Data Missing ⚠",VLOOKUP(M257,'G-7 Rivers Data'!$AA$4:$AB$7,2,FALSE)))</f>
        <v/>
      </c>
      <c r="O257" s="273"/>
      <c r="P257" s="499" t="str">
        <f>IF(O257="","",IF(VLOOKUP(O257,'G-7 Rivers Data'!$AD$4:$AE$8,2,FALSE)=0,"Spatial Data Missing ⚠",VLOOKUP(O257,'G-7 Rivers Data'!$AD$4:$AE$8,2,FALSE)))</f>
        <v/>
      </c>
      <c r="Q257" s="570" t="str">
        <f>IF(D257="","",VLOOKUP(D257,'G-7 Rivers Data'!$B$4:$G$8,6,FALSE))</f>
        <v/>
      </c>
      <c r="R257" s="513" t="str">
        <f t="shared" si="24"/>
        <v/>
      </c>
      <c r="S257" s="40"/>
      <c r="T257" s="145"/>
      <c r="U257" s="157"/>
      <c r="V257" s="511" t="str">
        <f t="shared" si="25"/>
        <v/>
      </c>
      <c r="W257" s="511" t="str">
        <f t="shared" si="26"/>
        <v/>
      </c>
      <c r="X257" s="511" t="str">
        <f t="shared" si="27"/>
        <v/>
      </c>
      <c r="Y257" s="515" t="str">
        <f t="shared" si="28"/>
        <v/>
      </c>
      <c r="Z257" s="163"/>
      <c r="AA257" s="164"/>
      <c r="AF257" s="31" t="str">
        <f>IFERROR(INDEX('G-7 Rivers Data'!$AZ$3:$AZ$7,MATCH(D257,'G-7 Rivers Data'!$AY$3:$AY$7,0)),"")</f>
        <v/>
      </c>
      <c r="AG257" s="31">
        <f t="shared" si="29"/>
        <v>0</v>
      </c>
      <c r="AH257" s="139" t="str">
        <f t="shared" si="30"/>
        <v/>
      </c>
      <c r="AI257" s="139" t="str">
        <f t="shared" si="31"/>
        <v/>
      </c>
      <c r="AJ257" s="140"/>
      <c r="AK257" s="139">
        <v>248</v>
      </c>
      <c r="AL257" s="140"/>
      <c r="AM257" s="139" t="str">
        <f t="array" ref="AM257">IFERROR(INDEX($AK$10:$AK$258, MATCH(0, IF(TRUE=$AH$10:$AH$258, COUNTIF($AM$9:$AM256, $AK$10:$AK$258), ""), 0)),"")</f>
        <v/>
      </c>
      <c r="AN257" s="139" t="str">
        <f t="array" ref="AN257">IFERROR(INDEX($AK$10:$AK$258, MATCH(0, IF(TRUE=$AI$10:$AI$258, COUNTIF($AN$9:$AN256, $AK$10:$AK$258), ""), 0)),"")</f>
        <v/>
      </c>
    </row>
    <row r="258" spans="2:40" ht="15.75" customHeight="1" thickBot="1" x14ac:dyDescent="0.3">
      <c r="B258" s="31"/>
      <c r="C258" s="46"/>
      <c r="D258" s="443"/>
      <c r="E258" s="563">
        <f>SUM(E10:E257)</f>
        <v>0</v>
      </c>
      <c r="F258" s="46"/>
      <c r="G258" s="46"/>
      <c r="H258" s="46"/>
      <c r="I258" s="46"/>
      <c r="J258" s="46"/>
      <c r="K258" s="46"/>
      <c r="L258" s="46"/>
      <c r="M258" s="46"/>
      <c r="N258" s="46"/>
      <c r="O258" s="46"/>
      <c r="P258" s="1024"/>
      <c r="Q258" s="1025"/>
      <c r="R258" s="563">
        <f>SUM(R10:R257)</f>
        <v>0</v>
      </c>
      <c r="S258" s="166"/>
      <c r="T258" s="517">
        <f>SUM(T10:T257)</f>
        <v>0</v>
      </c>
      <c r="U258" s="518">
        <f t="shared" ref="U258:X258" si="32">SUM(U10:U257)</f>
        <v>0</v>
      </c>
      <c r="V258" s="518">
        <f t="shared" si="32"/>
        <v>0</v>
      </c>
      <c r="W258" s="518">
        <f t="shared" si="32"/>
        <v>0</v>
      </c>
      <c r="X258" s="518">
        <f t="shared" si="32"/>
        <v>0</v>
      </c>
      <c r="Y258" s="515">
        <f t="shared" si="28"/>
        <v>0</v>
      </c>
      <c r="Z258" s="46"/>
      <c r="AA258" s="46"/>
    </row>
    <row r="259" spans="2:40" ht="13.8" x14ac:dyDescent="0.25">
      <c r="B259" s="31"/>
      <c r="C259" s="31"/>
      <c r="S259" s="166"/>
      <c r="T259" s="166"/>
      <c r="U259" s="166"/>
      <c r="V259" s="166"/>
      <c r="W259" s="166"/>
      <c r="X259" s="166"/>
      <c r="Y259" s="166"/>
    </row>
    <row r="260" spans="2:40" ht="13.8" x14ac:dyDescent="0.25"/>
    <row r="261" spans="2:40" ht="13.8" x14ac:dyDescent="0.25"/>
    <row r="262" spans="2:40" ht="13.8" x14ac:dyDescent="0.25"/>
    <row r="263" spans="2:40" ht="13.8" x14ac:dyDescent="0.25"/>
    <row r="264" spans="2:40" ht="13.8" x14ac:dyDescent="0.25"/>
    <row r="265" spans="2:40" ht="13.8" x14ac:dyDescent="0.25"/>
    <row r="266" spans="2:40" ht="13.8" x14ac:dyDescent="0.25"/>
    <row r="267" spans="2:40" ht="13.8" x14ac:dyDescent="0.25"/>
    <row r="268" spans="2:40" ht="13.8" x14ac:dyDescent="0.25"/>
    <row r="269" spans="2:40" ht="13.8" x14ac:dyDescent="0.25"/>
    <row r="270" spans="2:40" ht="13.8" x14ac:dyDescent="0.25"/>
    <row r="271" spans="2:40" ht="13.8" x14ac:dyDescent="0.25"/>
    <row r="272" spans="2:40" ht="13.8" x14ac:dyDescent="0.25"/>
  </sheetData>
  <sheetProtection algorithmName="SHA-512" hashValue="mkeeeg4iE7sLCgNbJ0Z2oV8Ct03l03obFFU5LrnG0AaD1tTqYvhrcmoldu2OPW/cZ7ft4dyCFjN4KJ7H/tNDbg==" saltValue="NajSZB9iNQLUmHc9OGtxE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E2"/>
    <mergeCell ref="B3:E4"/>
    <mergeCell ref="C8:E8"/>
    <mergeCell ref="F8:G8"/>
    <mergeCell ref="H8:I8"/>
    <mergeCell ref="J8:L8"/>
    <mergeCell ref="M8:N8"/>
    <mergeCell ref="O8:P8"/>
    <mergeCell ref="Q8:Q9"/>
    <mergeCell ref="T8:Y8"/>
    <mergeCell ref="T4:Y5"/>
  </mergeCells>
  <conditionalFormatting sqref="Q10:Q257">
    <cfRule type="containsText" dxfId="28" priority="7" operator="containsText" text="Restore">
      <formula>NOT(ISERROR(SEARCH("Restore",Q10)))</formula>
    </cfRule>
  </conditionalFormatting>
  <conditionalFormatting sqref="K10:Q257">
    <cfRule type="containsText" dxfId="27" priority="8" operator="containsText" text="Spatial">
      <formula>NOT(ISERROR(SEARCH("Spatial",K10)))</formula>
    </cfRule>
  </conditionalFormatting>
  <conditionalFormatting sqref="X10:X257">
    <cfRule type="containsText" dxfId="26" priority="4" operator="containsText" text="Error">
      <formula>NOT(ISERROR(SEARCH("Error",X10)))</formula>
    </cfRule>
  </conditionalFormatting>
  <conditionalFormatting sqref="Y10:Y258">
    <cfRule type="containsText" dxfId="25" priority="2" operator="containsText" text="Check">
      <formula>NOT(ISERROR(SEARCH("Check",Y10)))</formula>
    </cfRule>
    <cfRule type="containsText" dxfId="24" priority="3" operator="containsText" text="Error">
      <formula>NOT(ISERROR(SEARCH("Error",Y10)))</formula>
    </cfRule>
  </conditionalFormatting>
  <conditionalFormatting sqref="S5 S4:T4">
    <cfRule type="containsText" dxfId="23" priority="1" operator="containsText" text="Check">
      <formula>NOT(ISERROR(SEARCH("Check",S4)))</formula>
    </cfRule>
  </conditionalFormatting>
  <dataValidations count="1">
    <dataValidation type="list" allowBlank="1" showInputMessage="1" showErrorMessage="1" sqref="H10:H257" xr:uid="{00000000-0002-0000-1800-000000000000}">
      <formula1>INDIRECT(AF10)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1000000}">
          <x14:formula1>
            <xm:f>'G-7 Rivers Data'!$AK$4:$AK$9</xm:f>
          </x14:formula1>
          <xm:sqref>J10:J257</xm:sqref>
        </x14:dataValidation>
        <x14:dataValidation type="list" allowBlank="1" showInputMessage="1" showErrorMessage="1" xr:uid="{00000000-0002-0000-1800-000003000000}">
          <x14:formula1>
            <xm:f>'G-7 Rivers Data'!$AD$4:$AD$7</xm:f>
          </x14:formula1>
          <xm:sqref>O10:O257</xm:sqref>
        </x14:dataValidation>
        <x14:dataValidation type="list" allowBlank="1" showInputMessage="1" showErrorMessage="1" xr:uid="{00000000-0002-0000-1800-000004000000}">
          <x14:formula1>
            <xm:f>'G-7 Rivers Data'!$B$4:$B$8</xm:f>
          </x14:formula1>
          <xm:sqref>D10:D257</xm:sqref>
        </x14:dataValidation>
        <x14:dataValidation type="list" allowBlank="1" showInputMessage="1" showErrorMessage="1" xr:uid="{05773494-43C1-4C1D-A517-73B9574F65E8}">
          <x14:formula1>
            <xm:f>'G-7 Rivers Data'!$AA$4:$AA$7</xm:f>
          </x14:formula1>
          <xm:sqref>M10:M257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S104857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0.6640625" style="31" customWidth="1"/>
    <col min="3" max="3" width="47.109375" style="31" customWidth="1"/>
    <col min="4" max="4" width="10.44140625" style="31" customWidth="1"/>
    <col min="5" max="5" width="17.44140625" style="31" customWidth="1"/>
    <col min="6" max="6" width="13.109375" style="31" customWidth="1"/>
    <col min="7" max="7" width="12.5546875" style="31" bestFit="1" customWidth="1"/>
    <col min="8" max="8" width="12.5546875" style="31" customWidth="1"/>
    <col min="9" max="9" width="33.6640625" style="31" customWidth="1"/>
    <col min="10" max="10" width="15.44140625" style="31" customWidth="1"/>
    <col min="11" max="11" width="12.33203125" style="31" customWidth="1"/>
    <col min="12" max="14" width="17.6640625" style="31" customWidth="1"/>
    <col min="15" max="15" width="34.5546875" style="31" customWidth="1"/>
    <col min="16" max="16" width="17.6640625" style="31" customWidth="1"/>
    <col min="17" max="17" width="15.33203125" style="31" customWidth="1"/>
    <col min="18" max="18" width="10.6640625" style="31" customWidth="1"/>
    <col min="19" max="19" width="26.109375" style="31" customWidth="1"/>
    <col min="20" max="20" width="13.44140625" style="31" customWidth="1"/>
    <col min="21" max="21" width="12.33203125" style="31" customWidth="1"/>
    <col min="22" max="22" width="16.44140625" style="31" customWidth="1"/>
    <col min="23" max="23" width="12.44140625" style="31" customWidth="1"/>
    <col min="24" max="24" width="17" style="31" customWidth="1"/>
    <col min="25" max="25" width="12.5546875" style="31" customWidth="1"/>
    <col min="26" max="26" width="30.33203125" style="31" customWidth="1"/>
    <col min="27" max="27" width="12.6640625" style="31" customWidth="1"/>
    <col min="28" max="28" width="17.33203125" style="31" customWidth="1"/>
    <col min="29" max="30" width="34.88671875" style="31" customWidth="1"/>
    <col min="31" max="36" width="8.88671875" style="31" customWidth="1"/>
    <col min="37" max="37" width="15.44140625" style="31" hidden="1" customWidth="1"/>
    <col min="38" max="45" width="0" style="31" hidden="1" customWidth="1"/>
    <col min="46" max="16384" width="8.88671875" style="31" hidden="1"/>
  </cols>
  <sheetData>
    <row r="1" spans="2:37" ht="14.4" thickBot="1" x14ac:dyDescent="0.3"/>
    <row r="2" spans="2:37" ht="18.600000000000001" customHeight="1" thickBot="1" x14ac:dyDescent="0.3">
      <c r="B2" s="744" t="str">
        <f>IF([2]Start!$F$12="","",[2]Start!$F$12)</f>
        <v/>
      </c>
      <c r="C2" s="745"/>
      <c r="D2" s="746"/>
      <c r="L2" s="919" t="str">
        <f>IF(OR(COUNTIF(L$12:$L259,"*30+*")&gt;0,COUNTIF(P$12:$P259,"*30+*")&gt;0),"Note; Habitat selected has a time to target condition greater than 30 years. Non standard agreement may be required.","")</f>
        <v/>
      </c>
      <c r="M2" s="919"/>
      <c r="N2" s="919"/>
      <c r="O2" s="919"/>
      <c r="P2" s="919"/>
      <c r="Q2" s="919"/>
    </row>
    <row r="3" spans="2:37" ht="15.6" customHeight="1" thickBot="1" x14ac:dyDescent="0.3">
      <c r="B3" s="972" t="str">
        <f ca="1">MID(CELL("filename",A1),FIND("]",CELL("filename",A1))+1,256)</f>
        <v>F-2 Off Site River Creation</v>
      </c>
      <c r="C3" s="973"/>
      <c r="D3" s="974"/>
      <c r="L3" s="919"/>
      <c r="M3" s="919"/>
      <c r="N3" s="919"/>
      <c r="O3" s="919"/>
      <c r="P3" s="919"/>
      <c r="Q3" s="919"/>
    </row>
    <row r="4" spans="2:37" ht="9.6" customHeight="1" thickBot="1" x14ac:dyDescent="0.3">
      <c r="B4" s="972"/>
      <c r="C4" s="973"/>
      <c r="D4" s="974"/>
      <c r="L4" s="919"/>
      <c r="M4" s="919"/>
      <c r="N4" s="919"/>
      <c r="O4" s="919"/>
      <c r="P4" s="919"/>
      <c r="Q4" s="919"/>
    </row>
    <row r="5" spans="2:37" ht="26.4" customHeight="1" x14ac:dyDescent="0.25">
      <c r="L5" s="919"/>
      <c r="M5" s="919"/>
      <c r="N5" s="919"/>
      <c r="O5" s="919"/>
      <c r="P5" s="919"/>
      <c r="Q5" s="919"/>
    </row>
    <row r="6" spans="2:37" ht="23.25" customHeight="1" x14ac:dyDescent="0.25">
      <c r="D6" s="131"/>
      <c r="L6" s="403"/>
      <c r="M6" s="403"/>
      <c r="N6" s="403"/>
      <c r="O6" s="403"/>
      <c r="P6" s="403"/>
    </row>
    <row r="7" spans="2:37" ht="13.8" x14ac:dyDescent="0.25"/>
    <row r="8" spans="2:37" ht="13.8" x14ac:dyDescent="0.25"/>
    <row r="9" spans="2:37" ht="15.75" customHeight="1" thickBot="1" x14ac:dyDescent="0.3"/>
    <row r="10" spans="2:37" s="42" customFormat="1" ht="29.25" customHeight="1" thickBot="1" x14ac:dyDescent="0.3">
      <c r="B10" s="247"/>
      <c r="C10" s="967" t="s">
        <v>301</v>
      </c>
      <c r="D10" s="969"/>
      <c r="E10" s="967" t="s">
        <v>272</v>
      </c>
      <c r="F10" s="969"/>
      <c r="G10" s="967" t="s">
        <v>336</v>
      </c>
      <c r="H10" s="969"/>
      <c r="I10" s="940" t="s">
        <v>191</v>
      </c>
      <c r="J10" s="940"/>
      <c r="K10" s="940"/>
      <c r="L10" s="940" t="s">
        <v>228</v>
      </c>
      <c r="M10" s="940"/>
      <c r="N10" s="940"/>
      <c r="O10" s="940"/>
      <c r="P10" s="940"/>
      <c r="Q10" s="940"/>
      <c r="R10" s="967" t="s">
        <v>229</v>
      </c>
      <c r="S10" s="968"/>
      <c r="T10" s="968"/>
      <c r="U10" s="969"/>
      <c r="V10" s="940" t="s">
        <v>319</v>
      </c>
      <c r="W10" s="940"/>
      <c r="X10" s="940" t="s">
        <v>320</v>
      </c>
      <c r="Y10" s="940"/>
      <c r="Z10" s="940" t="s">
        <v>283</v>
      </c>
      <c r="AA10" s="940"/>
      <c r="AB10" s="939" t="s">
        <v>329</v>
      </c>
      <c r="AC10" s="880" t="s">
        <v>196</v>
      </c>
      <c r="AD10" s="878"/>
    </row>
    <row r="11" spans="2:37" s="42" customFormat="1" ht="41.4" x14ac:dyDescent="0.25">
      <c r="B11" s="135" t="s">
        <v>254</v>
      </c>
      <c r="C11" s="304" t="s">
        <v>138</v>
      </c>
      <c r="D11" s="202" t="s">
        <v>337</v>
      </c>
      <c r="E11" s="368" t="s">
        <v>189</v>
      </c>
      <c r="F11" s="202" t="s">
        <v>206</v>
      </c>
      <c r="G11" s="368" t="s">
        <v>190</v>
      </c>
      <c r="H11" s="202" t="s">
        <v>206</v>
      </c>
      <c r="I11" s="368" t="s">
        <v>191</v>
      </c>
      <c r="J11" s="201" t="s">
        <v>191</v>
      </c>
      <c r="K11" s="202" t="s">
        <v>231</v>
      </c>
      <c r="L11" s="368" t="s">
        <v>304</v>
      </c>
      <c r="M11" s="201" t="s">
        <v>233</v>
      </c>
      <c r="N11" s="201" t="s">
        <v>234</v>
      </c>
      <c r="O11" s="201" t="s">
        <v>235</v>
      </c>
      <c r="P11" s="201" t="s">
        <v>236</v>
      </c>
      <c r="Q11" s="202" t="s">
        <v>338</v>
      </c>
      <c r="R11" s="368" t="s">
        <v>238</v>
      </c>
      <c r="S11" s="201" t="s">
        <v>282</v>
      </c>
      <c r="T11" s="201" t="s">
        <v>240</v>
      </c>
      <c r="U11" s="202" t="s">
        <v>241</v>
      </c>
      <c r="V11" s="368" t="s">
        <v>322</v>
      </c>
      <c r="W11" s="202" t="s">
        <v>323</v>
      </c>
      <c r="X11" s="368" t="s">
        <v>322</v>
      </c>
      <c r="Y11" s="202" t="s">
        <v>323</v>
      </c>
      <c r="Z11" s="368" t="s">
        <v>339</v>
      </c>
      <c r="AA11" s="202" t="s">
        <v>323</v>
      </c>
      <c r="AB11" s="940"/>
      <c r="AC11" s="141" t="s">
        <v>215</v>
      </c>
      <c r="AD11" s="359" t="s">
        <v>216</v>
      </c>
      <c r="AK11" s="261" t="s">
        <v>200</v>
      </c>
    </row>
    <row r="12" spans="2:37" ht="13.8" x14ac:dyDescent="0.25">
      <c r="B12" s="368">
        <v>1</v>
      </c>
      <c r="C12" s="260"/>
      <c r="D12" s="70"/>
      <c r="E12" s="498" t="str">
        <f>IF(C12="","",VLOOKUP(C12,'G-7 Rivers Data'!$B$2:$Z$9,2,FALSE))</f>
        <v/>
      </c>
      <c r="F12" s="499" t="str">
        <f>IFERROR(VLOOKUP(E12,'G-7 Rivers Data'!$C$4:$D$8,2,FALSE),"")</f>
        <v/>
      </c>
      <c r="G12" s="71"/>
      <c r="H12" s="499" t="str">
        <f>IFERROR(INDEX('G-7 Rivers Data'!$H$4:$L$8,MATCH(C12,'G-7 Rivers Data'!$B$4:$B$8,0),MATCH(G12,'G-7 Rivers Data'!$H$3:$L$3,0)),"")</f>
        <v/>
      </c>
      <c r="I12" s="71"/>
      <c r="J12" s="540" t="str">
        <f>IF(I12="","",IF(VLOOKUP(I12,'G-7 Rivers Data'!$AG$4:$AI$9,2,FALSE)=0,"Spatial Data Missing ⚠",VLOOKUP(I12,'G-7 Rivers Data'!$AG$4:$AI$9,2,FALSE)))</f>
        <v/>
      </c>
      <c r="K12" s="499" t="str">
        <f>IF(I12="","",IF(VLOOKUP(I12,'G-7 Rivers Data'!$AG$4:$AI$9,3,FALSE)=0,"Spatial Data Missing ⚠",VLOOKUP(I12,'G-7 Rivers Data'!$AG$4:$AI$9,3,FALSE)))</f>
        <v/>
      </c>
      <c r="L12" s="635" t="str">
        <f>IFERROR(INDEX('G-7 Rivers Data'!$O$3:$O$7,MATCH(G12,'G-7 Rivers Data'!$N$3:$N$7,0)),"")</f>
        <v/>
      </c>
      <c r="M12" s="72"/>
      <c r="N12" s="82"/>
      <c r="O12" s="507"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1" t="str">
        <f>IF(LEFT(O12,5)="Error ▲","Check Data ⚠",IF(L12="","",IF(M12="30+",0,IF(N12="30+","30+ ⚠",IF(L12+N12&gt;30,"30+ ⚠",IF(L12+N12-M12&gt;0,L12+N12-M12,IF(L12-M12&lt;0,0,L12+N12-M12)))))))</f>
        <v/>
      </c>
      <c r="Q12" s="564" t="str">
        <f>IFERROR(IF(P12="Check Data ⚠","Check Data ⚠",VLOOKUP(P12,'G-4 Temporal multipliers'!$A$4:$C$37,3,FALSE)),"")</f>
        <v/>
      </c>
      <c r="R12" s="498" t="str">
        <f>IF(C12="","",VLOOKUP(C12,'G-7 Rivers Data'!$B$4:$G$8,4,FALSE))</f>
        <v/>
      </c>
      <c r="S12" s="507" t="str">
        <f>IF(C12="","",IF(P12="Check Data ⚠","Check Data ⚠",IF(G12="","",IF($O12="Check details - Is there evidence that habitat has reached target condition? ⚠","No - Low Difficulty - only applicable if all habitat created before losses ⚠","Standard difficulty applied"))))</f>
        <v/>
      </c>
      <c r="T12" s="540" t="str">
        <f>(IF(AND(S12="Standard difficulty applied",L12&gt;M12),R12,IF(AND(S12="No - Low Difficulty - only applicable if all habitat created before losses ⚠",M12&gt;=L12),"Low",R12)))</f>
        <v/>
      </c>
      <c r="U12" s="499" t="str">
        <f t="shared" ref="U12" si="0">IF(C12="","",VLOOKUP(R12,Difficulty,2,FALSE))</f>
        <v/>
      </c>
      <c r="V12" s="146"/>
      <c r="W12" s="499" t="str">
        <f>IF(V12="","",IF(VLOOKUP(V12,'G-7 Rivers Data'!$AA$4:$AB$7,2,FALSE)=0,"Spatial Data Missing ⚠",VLOOKUP(V12,'G-7 Rivers Data'!$AA$4:$AB$7,2,FALSE)))</f>
        <v/>
      </c>
      <c r="X12" s="78"/>
      <c r="Y12" s="499" t="str">
        <f>IF(X12="","",IF(VLOOKUP(X12,'G-7 Rivers Data'!$AD$4:$AE$8,2,FALSE)=0,"Enrcoachment Data Missing ⚠",VLOOKUP(X12,'G-7 Rivers Data'!$AD$4:$AE$8,2,FALSE)))</f>
        <v/>
      </c>
      <c r="Z12" s="146"/>
      <c r="AA12" s="524" t="str">
        <f>IF(Z12="","",VLOOKUP(Z12,'G-7 Rivers Data'!$AO$4:$AP$7,2,FALSE))</f>
        <v/>
      </c>
      <c r="AB12" s="545" t="str">
        <f>IFERROR(D12*F12*H12*K12*Q12*U12*W12*Y12*AA12,"")</f>
        <v/>
      </c>
      <c r="AC12" s="239"/>
      <c r="AD12" s="240"/>
      <c r="AK12" s="31" t="str">
        <f>IFERROR(INDEX('G-7 Rivers Data'!$AZ$3:$AZ$7,MATCH(C12,'G-7 Rivers Data'!$AY$3:$AY$7,0)),"")</f>
        <v/>
      </c>
    </row>
    <row r="13" spans="2:37" ht="13.8" x14ac:dyDescent="0.25">
      <c r="B13" s="141">
        <v>2</v>
      </c>
      <c r="C13" s="665"/>
      <c r="D13" s="70"/>
      <c r="E13" s="498" t="str">
        <f>IF(C13="","",VLOOKUP(C13,'G-7 Rivers Data'!$B$2:$Z$9,2,FALSE))</f>
        <v/>
      </c>
      <c r="F13" s="499" t="str">
        <f>IFERROR(VLOOKUP(E13,'G-7 Rivers Data'!$C$4:$D$8,2,FALSE),"")</f>
        <v/>
      </c>
      <c r="G13" s="71"/>
      <c r="H13" s="499" t="str">
        <f>IFERROR(INDEX('G-7 Rivers Data'!$H$4:$L$8,MATCH(C13,'G-7 Rivers Data'!$B$4:$B$8,0),MATCH(G13,'G-7 Rivers Data'!$H$3:$L$3,0)),"")</f>
        <v/>
      </c>
      <c r="I13" s="71"/>
      <c r="J13" s="540" t="str">
        <f>IF(I13="","",IF(VLOOKUP(I13,'G-7 Rivers Data'!$AG$4:$AI$9,2,FALSE)=0,"Spatial Data Missing ⚠",VLOOKUP(I13,'G-7 Rivers Data'!$AG$4:$AI$9,2,FALSE)))</f>
        <v/>
      </c>
      <c r="K13" s="499" t="str">
        <f>IF(I13="","",IF(VLOOKUP(I13,'G-7 Rivers Data'!$AG$4:$AI$9,3,FALSE)=0,"Spatial Data Missing ⚠",VLOOKUP(I13,'G-7 Rivers Data'!$AG$4:$AI$9,3,FALSE)))</f>
        <v/>
      </c>
      <c r="L13" s="635" t="str">
        <f>IFERROR(INDEX('G-7 Rivers Data'!$O$3:$O$7,MATCH(G13,'G-7 Rivers Data'!$N$3:$N$7,0)),"")</f>
        <v/>
      </c>
      <c r="M13" s="72"/>
      <c r="N13" s="82"/>
      <c r="O13" s="507"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1" t="str">
        <f t="shared" ref="P13:P76" si="2">IF(LEFT(O13,5)="Error ▲","Check Data ⚠",IF(L13="","",IF(M13="30+",0,IF(N13="30+","30+ ⚠",IF(L13+N13&gt;30,"30+ ⚠",IF(L13+N13-M13&gt;0,L13+N13-M13,IF(L13-M13&lt;0,0,L13+N13-M13)))))))</f>
        <v/>
      </c>
      <c r="Q13" s="564" t="str">
        <f>IFERROR(IF(P13="Check Data ⚠","Check Data ⚠",VLOOKUP(P13,'G-4 Temporal multipliers'!$A$4:$C$37,3,FALSE)),"")</f>
        <v/>
      </c>
      <c r="R13" s="498" t="str">
        <f>IF(C13="","",VLOOKUP(C13,'G-7 Rivers Data'!$B$4:$G$8,4,FALSE))</f>
        <v/>
      </c>
      <c r="S13" s="507" t="str">
        <f t="shared" ref="S13:S76" si="3">IF(C13="","",IF(P13="Check Data ⚠","Check Data ⚠",IF(G13="","",IF($O13="Check details - Is there evidence that habitat has reached target condition? ⚠","No - Low Difficulty - only applicable if all habitat created before losses ⚠","Standard difficulty applied"))))</f>
        <v/>
      </c>
      <c r="T13" s="540" t="str">
        <f t="shared" ref="T13:T76" si="4">(IF(AND(S13="Standard difficulty applied",L13&gt;M13),R13,IF(AND(S13="No - Low Difficulty - only applicable if all habitat created before losses ⚠",M13&gt;=L13),"Low",R13)))</f>
        <v/>
      </c>
      <c r="U13" s="499" t="str">
        <f t="shared" ref="U13:U76" si="5">IF(C13="","",VLOOKUP(R13,Difficulty,2,FALSE))</f>
        <v/>
      </c>
      <c r="V13" s="71"/>
      <c r="W13" s="499" t="str">
        <f>IF(V13="","",IF(VLOOKUP(V13,'G-7 Rivers Data'!$AA$4:$AB$7,2,FALSE)=0,"Spatial Data Missing ⚠",VLOOKUP(V13,'G-7 Rivers Data'!$AA$4:$AB$7,2,FALSE)))</f>
        <v/>
      </c>
      <c r="X13" s="78"/>
      <c r="Y13" s="499" t="str">
        <f>IF(X13="","",IF(VLOOKUP(X13,'G-7 Rivers Data'!$AD$4:$AE$8,2,FALSE)=0,"Enrcoachment Data Missing ⚠",VLOOKUP(X13,'G-7 Rivers Data'!$AD$4:$AE$8,2,FALSE)))</f>
        <v/>
      </c>
      <c r="Z13" s="146"/>
      <c r="AA13" s="524" t="str">
        <f>IF(Z13="","",VLOOKUP(Z13,'G-7 Rivers Data'!$AO$4:$AP$7,2,FALSE))</f>
        <v/>
      </c>
      <c r="AB13" s="545" t="str">
        <f t="shared" ref="AB13:AB76" si="6">IFERROR(D13*F13*H13*K13*Q13*U13*W13*Y13*AA13,"")</f>
        <v/>
      </c>
      <c r="AC13" s="239"/>
      <c r="AD13" s="240"/>
      <c r="AK13" s="31" t="str">
        <f>IFERROR(INDEX('G-7 Rivers Data'!$AZ$3:$AZ$7,MATCH(C13,'G-7 Rivers Data'!$AY$3:$AY$7,0)),"")</f>
        <v/>
      </c>
    </row>
    <row r="14" spans="2:37" ht="13.8" x14ac:dyDescent="0.25">
      <c r="B14" s="141">
        <v>3</v>
      </c>
      <c r="C14" s="665"/>
      <c r="D14" s="70"/>
      <c r="E14" s="498" t="str">
        <f>IF(C14="","",VLOOKUP(C14,'G-7 Rivers Data'!$B$2:$Z$9,2,FALSE))</f>
        <v/>
      </c>
      <c r="F14" s="499" t="str">
        <f>IFERROR(VLOOKUP(E14,'G-7 Rivers Data'!$C$4:$D$8,2,FALSE),"")</f>
        <v/>
      </c>
      <c r="G14" s="71"/>
      <c r="H14" s="499" t="str">
        <f>IFERROR(INDEX('G-7 Rivers Data'!$H$4:$L$8,MATCH(C14,'G-7 Rivers Data'!$B$4:$B$8,0),MATCH(G14,'G-7 Rivers Data'!$H$3:$L$3,0)),"")</f>
        <v/>
      </c>
      <c r="I14" s="71"/>
      <c r="J14" s="540" t="str">
        <f>IF(I14="","",IF(VLOOKUP(I14,'G-7 Rivers Data'!$AG$4:$AI$9,2,FALSE)=0,"Spatial Data Missing ⚠",VLOOKUP(I14,'G-7 Rivers Data'!$AG$4:$AI$9,2,FALSE)))</f>
        <v/>
      </c>
      <c r="K14" s="499" t="str">
        <f>IF(I14="","",IF(VLOOKUP(I14,'G-7 Rivers Data'!$AG$4:$AI$9,3,FALSE)=0,"Spatial Data Missing ⚠",VLOOKUP(I14,'G-7 Rivers Data'!$AG$4:$AI$9,3,FALSE)))</f>
        <v/>
      </c>
      <c r="L14" s="635" t="str">
        <f>IFERROR(INDEX('G-7 Rivers Data'!$O$3:$O$7,MATCH(G14,'G-7 Rivers Data'!$N$3:$N$7,0)),"")</f>
        <v/>
      </c>
      <c r="M14" s="72"/>
      <c r="N14" s="82"/>
      <c r="O14" s="507" t="str">
        <f t="shared" si="1"/>
        <v/>
      </c>
      <c r="P14" s="521" t="str">
        <f t="shared" si="2"/>
        <v/>
      </c>
      <c r="Q14" s="564" t="str">
        <f>IFERROR(IF(P14="Check Data ⚠","Check Data ⚠",VLOOKUP(P14,'G-4 Temporal multipliers'!$A$4:$C$37,3,FALSE)),"")</f>
        <v/>
      </c>
      <c r="R14" s="498" t="str">
        <f>IF(C14="","",VLOOKUP(C14,'G-7 Rivers Data'!$B$4:$G$8,4,FALSE))</f>
        <v/>
      </c>
      <c r="S14" s="507" t="str">
        <f t="shared" si="3"/>
        <v/>
      </c>
      <c r="T14" s="540" t="str">
        <f t="shared" si="4"/>
        <v/>
      </c>
      <c r="U14" s="499" t="str">
        <f t="shared" si="5"/>
        <v/>
      </c>
      <c r="V14" s="71"/>
      <c r="W14" s="499" t="str">
        <f>IF(V14="","",IF(VLOOKUP(V14,'G-7 Rivers Data'!$AA$4:$AB$7,2,FALSE)=0,"Spatial Data Missing ⚠",VLOOKUP(V14,'G-7 Rivers Data'!$AA$4:$AB$7,2,FALSE)))</f>
        <v/>
      </c>
      <c r="X14" s="78"/>
      <c r="Y14" s="499" t="str">
        <f>IF(X14="","",IF(VLOOKUP(X14,'G-7 Rivers Data'!$AD$4:$AE$8,2,FALSE)=0,"Enrcoachment Data Missing ⚠",VLOOKUP(X14,'G-7 Rivers Data'!$AD$4:$AE$8,2,FALSE)))</f>
        <v/>
      </c>
      <c r="Z14" s="146"/>
      <c r="AA14" s="524" t="str">
        <f>IF(Z14="","",VLOOKUP(Z14,'G-7 Rivers Data'!$AO$4:$AP$7,2,FALSE))</f>
        <v/>
      </c>
      <c r="AB14" s="545" t="str">
        <f t="shared" si="6"/>
        <v/>
      </c>
      <c r="AC14" s="239"/>
      <c r="AD14" s="240"/>
      <c r="AK14" s="31" t="str">
        <f>IFERROR(INDEX('G-7 Rivers Data'!$AZ$3:$AZ$7,MATCH(C14,'G-7 Rivers Data'!$AY$3:$AY$7,0)),"")</f>
        <v/>
      </c>
    </row>
    <row r="15" spans="2:37" ht="13.8" x14ac:dyDescent="0.25">
      <c r="B15" s="141">
        <v>4</v>
      </c>
      <c r="C15" s="665"/>
      <c r="D15" s="70"/>
      <c r="E15" s="498" t="str">
        <f>IF(C15="","",VLOOKUP(C15,'G-7 Rivers Data'!$B$2:$Z$9,2,FALSE))</f>
        <v/>
      </c>
      <c r="F15" s="499" t="str">
        <f>IFERROR(VLOOKUP(E15,'G-7 Rivers Data'!$C$4:$D$8,2,FALSE),"")</f>
        <v/>
      </c>
      <c r="G15" s="71"/>
      <c r="H15" s="499" t="str">
        <f>IFERROR(INDEX('G-7 Rivers Data'!$H$4:$L$8,MATCH(C15,'G-7 Rivers Data'!$B$4:$B$8,0),MATCH(G15,'G-7 Rivers Data'!$H$3:$L$3,0)),"")</f>
        <v/>
      </c>
      <c r="I15" s="71"/>
      <c r="J15" s="540" t="str">
        <f>IF(I15="","",IF(VLOOKUP(I15,'G-7 Rivers Data'!$AG$4:$AI$9,2,FALSE)=0,"Spatial Data Missing ⚠",VLOOKUP(I15,'G-7 Rivers Data'!$AG$4:$AI$9,2,FALSE)))</f>
        <v/>
      </c>
      <c r="K15" s="499" t="str">
        <f>IF(I15="","",IF(VLOOKUP(I15,'G-7 Rivers Data'!$AG$4:$AI$9,3,FALSE)=0,"Spatial Data Missing ⚠",VLOOKUP(I15,'G-7 Rivers Data'!$AG$4:$AI$9,3,FALSE)))</f>
        <v/>
      </c>
      <c r="L15" s="635" t="str">
        <f>IFERROR(INDEX('G-7 Rivers Data'!$O$3:$O$7,MATCH(G15,'G-7 Rivers Data'!$N$3:$N$7,0)),"")</f>
        <v/>
      </c>
      <c r="M15" s="72"/>
      <c r="N15" s="82"/>
      <c r="O15" s="507" t="str">
        <f t="shared" si="1"/>
        <v/>
      </c>
      <c r="P15" s="521" t="str">
        <f t="shared" si="2"/>
        <v/>
      </c>
      <c r="Q15" s="564" t="str">
        <f>IFERROR(IF(P15="Check Data ⚠","Check Data ⚠",VLOOKUP(P15,'G-4 Temporal multipliers'!$A$4:$C$37,3,FALSE)),"")</f>
        <v/>
      </c>
      <c r="R15" s="498" t="str">
        <f>IF(C15="","",VLOOKUP(C15,'G-7 Rivers Data'!$B$4:$G$8,4,FALSE))</f>
        <v/>
      </c>
      <c r="S15" s="507" t="str">
        <f t="shared" si="3"/>
        <v/>
      </c>
      <c r="T15" s="540" t="str">
        <f t="shared" si="4"/>
        <v/>
      </c>
      <c r="U15" s="499" t="str">
        <f t="shared" si="5"/>
        <v/>
      </c>
      <c r="V15" s="71"/>
      <c r="W15" s="499" t="str">
        <f>IF(V15="","",IF(VLOOKUP(V15,'G-7 Rivers Data'!$AA$4:$AB$7,2,FALSE)=0,"Spatial Data Missing ⚠",VLOOKUP(V15,'G-7 Rivers Data'!$AA$4:$AB$7,2,FALSE)))</f>
        <v/>
      </c>
      <c r="X15" s="78"/>
      <c r="Y15" s="499" t="str">
        <f>IF(X15="","",IF(VLOOKUP(X15,'G-7 Rivers Data'!$AD$4:$AE$8,2,FALSE)=0,"Enrcoachment Data Missing ⚠",VLOOKUP(X15,'G-7 Rivers Data'!$AD$4:$AE$8,2,FALSE)))</f>
        <v/>
      </c>
      <c r="Z15" s="146"/>
      <c r="AA15" s="524" t="str">
        <f>IF(Z15="","",VLOOKUP(Z15,'G-7 Rivers Data'!$AO$4:$AP$7,2,FALSE))</f>
        <v/>
      </c>
      <c r="AB15" s="545" t="str">
        <f t="shared" si="6"/>
        <v/>
      </c>
      <c r="AC15" s="239"/>
      <c r="AD15" s="240"/>
      <c r="AK15" s="31" t="str">
        <f>IFERROR(INDEX('G-7 Rivers Data'!$AZ$3:$AZ$7,MATCH(C15,'G-7 Rivers Data'!$AY$3:$AY$7,0)),"")</f>
        <v/>
      </c>
    </row>
    <row r="16" spans="2:37" ht="13.8" x14ac:dyDescent="0.25">
      <c r="B16" s="141">
        <v>5</v>
      </c>
      <c r="C16" s="666"/>
      <c r="D16" s="172"/>
      <c r="E16" s="498" t="str">
        <f>IF(C16="","",VLOOKUP(C16,'G-7 Rivers Data'!$B$2:$Z$9,2,FALSE))</f>
        <v/>
      </c>
      <c r="F16" s="499" t="str">
        <f>IFERROR(VLOOKUP(E16,'G-7 Rivers Data'!$C$4:$D$8,2,FALSE),"")</f>
        <v/>
      </c>
      <c r="G16" s="145"/>
      <c r="H16" s="499" t="str">
        <f>IFERROR(INDEX('G-7 Rivers Data'!$H$4:$L$8,MATCH(C16,'G-7 Rivers Data'!$B$4:$B$8,0),MATCH(G16,'G-7 Rivers Data'!$H$3:$L$3,0)),"")</f>
        <v/>
      </c>
      <c r="I16" s="71"/>
      <c r="J16" s="540" t="str">
        <f>IF(I16="","",IF(VLOOKUP(I16,'G-7 Rivers Data'!$AG$4:$AI$9,2,FALSE)=0,"Spatial Data Missing ⚠",VLOOKUP(I16,'G-7 Rivers Data'!$AG$4:$AI$9,2,FALSE)))</f>
        <v/>
      </c>
      <c r="K16" s="499" t="str">
        <f>IF(I16="","",IF(VLOOKUP(I16,'G-7 Rivers Data'!$AG$4:$AI$9,3,FALSE)=0,"Spatial Data Missing ⚠",VLOOKUP(I16,'G-7 Rivers Data'!$AG$4:$AI$9,3,FALSE)))</f>
        <v/>
      </c>
      <c r="L16" s="635" t="str">
        <f>IFERROR(INDEX('G-7 Rivers Data'!$O$3:$O$7,MATCH(G16,'G-7 Rivers Data'!$N$3:$N$7,0)),"")</f>
        <v/>
      </c>
      <c r="M16" s="72"/>
      <c r="N16" s="195"/>
      <c r="O16" s="507" t="str">
        <f t="shared" si="1"/>
        <v/>
      </c>
      <c r="P16" s="521" t="str">
        <f t="shared" si="2"/>
        <v/>
      </c>
      <c r="Q16" s="564" t="str">
        <f>IFERROR(IF(P16="Check Data ⚠","Check Data ⚠",VLOOKUP(P16,'G-4 Temporal multipliers'!$A$4:$C$37,3,FALSE)),"")</f>
        <v/>
      </c>
      <c r="R16" s="498" t="str">
        <f>IF(C16="","",VLOOKUP(C16,'G-7 Rivers Data'!$B$4:$G$8,4,FALSE))</f>
        <v/>
      </c>
      <c r="S16" s="507" t="str">
        <f t="shared" si="3"/>
        <v/>
      </c>
      <c r="T16" s="540" t="str">
        <f t="shared" si="4"/>
        <v/>
      </c>
      <c r="U16" s="499" t="str">
        <f t="shared" si="5"/>
        <v/>
      </c>
      <c r="V16" s="71"/>
      <c r="W16" s="499" t="str">
        <f>IF(V16="","",IF(VLOOKUP(V16,'G-7 Rivers Data'!$AA$4:$AB$7,2,FALSE)=0,"Spatial Data Missing ⚠",VLOOKUP(V16,'G-7 Rivers Data'!$AA$4:$AB$7,2,FALSE)))</f>
        <v/>
      </c>
      <c r="X16" s="78"/>
      <c r="Y16" s="499" t="str">
        <f>IF(X16="","",IF(VLOOKUP(X16,'G-7 Rivers Data'!$AD$4:$AE$8,2,FALSE)=0,"Enrcoachment Data Missing ⚠",VLOOKUP(X16,'G-7 Rivers Data'!$AD$4:$AE$8,2,FALSE)))</f>
        <v/>
      </c>
      <c r="Z16" s="146"/>
      <c r="AA16" s="524" t="str">
        <f>IF(Z16="","",VLOOKUP(Z16,'G-7 Rivers Data'!$AO$4:$AP$7,2,FALSE))</f>
        <v/>
      </c>
      <c r="AB16" s="545" t="str">
        <f t="shared" si="6"/>
        <v/>
      </c>
      <c r="AC16" s="149"/>
      <c r="AD16" s="150"/>
      <c r="AK16" s="31" t="str">
        <f>IFERROR(INDEX('G-7 Rivers Data'!$AZ$3:$AZ$7,MATCH(C16,'G-7 Rivers Data'!$AY$3:$AY$7,0)),"")</f>
        <v/>
      </c>
    </row>
    <row r="17" spans="2:37" ht="13.8" x14ac:dyDescent="0.25">
      <c r="B17" s="141">
        <v>6</v>
      </c>
      <c r="C17" s="666"/>
      <c r="D17" s="172"/>
      <c r="E17" s="498" t="str">
        <f>IF(C17="","",VLOOKUP(C17,'G-7 Rivers Data'!$B$2:$Z$9,2,FALSE))</f>
        <v/>
      </c>
      <c r="F17" s="499" t="str">
        <f>IFERROR(VLOOKUP(E17,'G-7 Rivers Data'!$C$4:$D$8,2,FALSE),"")</f>
        <v/>
      </c>
      <c r="G17" s="145"/>
      <c r="H17" s="499" t="str">
        <f>IFERROR(INDEX('G-7 Rivers Data'!$H$4:$L$8,MATCH(C17,'G-7 Rivers Data'!$B$4:$B$8,0),MATCH(G17,'G-7 Rivers Data'!$H$3:$L$3,0)),"")</f>
        <v/>
      </c>
      <c r="I17" s="145"/>
      <c r="J17" s="540" t="str">
        <f>IF(I17="","",IF(VLOOKUP(I17,'G-7 Rivers Data'!$AG$4:$AI$9,2,FALSE)=0,"Spatial Data Missing ⚠",VLOOKUP(I17,'G-7 Rivers Data'!$AG$4:$AI$9,2,FALSE)))</f>
        <v/>
      </c>
      <c r="K17" s="499" t="str">
        <f>IF(I17="","",IF(VLOOKUP(I17,'G-7 Rivers Data'!$AG$4:$AI$9,3,FALSE)=0,"Spatial Data Missing ⚠",VLOOKUP(I17,'G-7 Rivers Data'!$AG$4:$AI$9,3,FALSE)))</f>
        <v/>
      </c>
      <c r="L17" s="635" t="str">
        <f>IFERROR(INDEX('G-7 Rivers Data'!$O$3:$O$7,MATCH(G17,'G-7 Rivers Data'!$N$3:$N$7,0)),"")</f>
        <v/>
      </c>
      <c r="M17" s="72"/>
      <c r="N17" s="195"/>
      <c r="O17" s="507" t="str">
        <f t="shared" si="1"/>
        <v/>
      </c>
      <c r="P17" s="521" t="str">
        <f t="shared" si="2"/>
        <v/>
      </c>
      <c r="Q17" s="564" t="str">
        <f>IFERROR(IF(P17="Check Data ⚠","Check Data ⚠",VLOOKUP(P17,'G-4 Temporal multipliers'!$A$4:$C$37,3,FALSE)),"")</f>
        <v/>
      </c>
      <c r="R17" s="498" t="str">
        <f>IF(C17="","",VLOOKUP(C17,'G-7 Rivers Data'!$B$4:$G$8,4,FALSE))</f>
        <v/>
      </c>
      <c r="S17" s="507" t="str">
        <f t="shared" si="3"/>
        <v/>
      </c>
      <c r="T17" s="540" t="str">
        <f t="shared" si="4"/>
        <v/>
      </c>
      <c r="U17" s="499" t="str">
        <f t="shared" si="5"/>
        <v/>
      </c>
      <c r="V17" s="71"/>
      <c r="W17" s="499" t="str">
        <f>IF(V17="","",IF(VLOOKUP(V17,'G-7 Rivers Data'!$AA$4:$AB$7,2,FALSE)=0,"Spatial Data Missing ⚠",VLOOKUP(V17,'G-7 Rivers Data'!$AA$4:$AB$7,2,FALSE)))</f>
        <v/>
      </c>
      <c r="X17" s="155"/>
      <c r="Y17" s="499" t="str">
        <f>IF(X17="","",IF(VLOOKUP(X17,'G-7 Rivers Data'!$AD$4:$AE$8,2,FALSE)=0,"Enrcoachment Data Missing ⚠",VLOOKUP(X17,'G-7 Rivers Data'!$AD$4:$AE$8,2,FALSE)))</f>
        <v/>
      </c>
      <c r="Z17" s="154"/>
      <c r="AA17" s="524" t="str">
        <f>IF(Z17="","",VLOOKUP(Z17,'G-7 Rivers Data'!$AO$4:$AP$7,2,FALSE))</f>
        <v/>
      </c>
      <c r="AB17" s="545" t="str">
        <f t="shared" si="6"/>
        <v/>
      </c>
      <c r="AC17" s="149"/>
      <c r="AD17" s="150"/>
      <c r="AK17" s="31" t="str">
        <f>IFERROR(INDEX('G-7 Rivers Data'!$AZ$3:$AZ$7,MATCH(C17,'G-7 Rivers Data'!$AY$3:$AY$7,0)),"")</f>
        <v/>
      </c>
    </row>
    <row r="18" spans="2:37" ht="13.8" x14ac:dyDescent="0.25">
      <c r="B18" s="141">
        <v>7</v>
      </c>
      <c r="C18" s="666"/>
      <c r="D18" s="172"/>
      <c r="E18" s="498" t="str">
        <f>IF(C18="","",VLOOKUP(C18,'G-7 Rivers Data'!$B$2:$Z$9,2,FALSE))</f>
        <v/>
      </c>
      <c r="F18" s="499" t="str">
        <f>IFERROR(VLOOKUP(E18,'G-7 Rivers Data'!$C$4:$D$8,2,FALSE),"")</f>
        <v/>
      </c>
      <c r="G18" s="145"/>
      <c r="H18" s="499" t="str">
        <f>IFERROR(INDEX('G-7 Rivers Data'!$H$4:$L$8,MATCH(C18,'G-7 Rivers Data'!$B$4:$B$8,0),MATCH(G18,'G-7 Rivers Data'!$H$3:$L$3,0)),"")</f>
        <v/>
      </c>
      <c r="I18" s="145"/>
      <c r="J18" s="540" t="str">
        <f>IF(I18="","",IF(VLOOKUP(I18,'G-7 Rivers Data'!$AG$4:$AI$9,2,FALSE)=0,"Spatial Data Missing ⚠",VLOOKUP(I18,'G-7 Rivers Data'!$AG$4:$AI$9,2,FALSE)))</f>
        <v/>
      </c>
      <c r="K18" s="499" t="str">
        <f>IF(I18="","",IF(VLOOKUP(I18,'G-7 Rivers Data'!$AG$4:$AI$9,3,FALSE)=0,"Spatial Data Missing ⚠",VLOOKUP(I18,'G-7 Rivers Data'!$AG$4:$AI$9,3,FALSE)))</f>
        <v/>
      </c>
      <c r="L18" s="635" t="str">
        <f>IFERROR(INDEX('G-7 Rivers Data'!$O$3:$O$7,MATCH(G18,'G-7 Rivers Data'!$N$3:$N$7,0)),"")</f>
        <v/>
      </c>
      <c r="M18" s="72"/>
      <c r="N18" s="195"/>
      <c r="O18" s="507" t="str">
        <f t="shared" si="1"/>
        <v/>
      </c>
      <c r="P18" s="521" t="str">
        <f t="shared" si="2"/>
        <v/>
      </c>
      <c r="Q18" s="564" t="str">
        <f>IFERROR(IF(P18="Check Data ⚠","Check Data ⚠",VLOOKUP(P18,'G-4 Temporal multipliers'!$A$4:$C$37,3,FALSE)),"")</f>
        <v/>
      </c>
      <c r="R18" s="498" t="str">
        <f>IF(C18="","",VLOOKUP(C18,'G-7 Rivers Data'!$B$4:$G$8,4,FALSE))</f>
        <v/>
      </c>
      <c r="S18" s="507" t="str">
        <f t="shared" si="3"/>
        <v/>
      </c>
      <c r="T18" s="540" t="str">
        <f t="shared" si="4"/>
        <v/>
      </c>
      <c r="U18" s="499" t="str">
        <f t="shared" si="5"/>
        <v/>
      </c>
      <c r="V18" s="71"/>
      <c r="W18" s="499" t="str">
        <f>IF(V18="","",IF(VLOOKUP(V18,'G-7 Rivers Data'!$AA$4:$AB$7,2,FALSE)=0,"Spatial Data Missing ⚠",VLOOKUP(V18,'G-7 Rivers Data'!$AA$4:$AB$7,2,FALSE)))</f>
        <v/>
      </c>
      <c r="X18" s="155"/>
      <c r="Y18" s="499" t="str">
        <f>IF(X18="","",IF(VLOOKUP(X18,'G-7 Rivers Data'!$AD$4:$AE$8,2,FALSE)=0,"Enrcoachment Data Missing ⚠",VLOOKUP(X18,'G-7 Rivers Data'!$AD$4:$AE$8,2,FALSE)))</f>
        <v/>
      </c>
      <c r="Z18" s="154"/>
      <c r="AA18" s="524" t="str">
        <f>IF(Z18="","",VLOOKUP(Z18,'G-7 Rivers Data'!$AO$4:$AP$7,2,FALSE))</f>
        <v/>
      </c>
      <c r="AB18" s="545" t="str">
        <f t="shared" si="6"/>
        <v/>
      </c>
      <c r="AC18" s="149"/>
      <c r="AD18" s="150"/>
      <c r="AK18" s="31" t="str">
        <f>IFERROR(INDEX('G-7 Rivers Data'!$AZ$3:$AZ$7,MATCH(C18,'G-7 Rivers Data'!$AY$3:$AY$7,0)),"")</f>
        <v/>
      </c>
    </row>
    <row r="19" spans="2:37" ht="13.8" x14ac:dyDescent="0.25">
      <c r="B19" s="141">
        <v>8</v>
      </c>
      <c r="C19" s="666"/>
      <c r="D19" s="172"/>
      <c r="E19" s="498" t="str">
        <f>IF(C19="","",VLOOKUP(C19,'G-7 Rivers Data'!$B$2:$Z$9,2,FALSE))</f>
        <v/>
      </c>
      <c r="F19" s="499" t="str">
        <f>IFERROR(VLOOKUP(E19,'G-7 Rivers Data'!$C$4:$D$8,2,FALSE),"")</f>
        <v/>
      </c>
      <c r="G19" s="145"/>
      <c r="H19" s="499" t="str">
        <f>IFERROR(INDEX('G-7 Rivers Data'!$H$4:$L$8,MATCH(C19,'G-7 Rivers Data'!$B$4:$B$8,0),MATCH(G19,'G-7 Rivers Data'!$H$3:$L$3,0)),"")</f>
        <v/>
      </c>
      <c r="I19" s="145"/>
      <c r="J19" s="540" t="str">
        <f>IF(I19="","",IF(VLOOKUP(I19,'G-7 Rivers Data'!$AG$4:$AI$9,2,FALSE)=0,"Spatial Data Missing ⚠",VLOOKUP(I19,'G-7 Rivers Data'!$AG$4:$AI$9,2,FALSE)))</f>
        <v/>
      </c>
      <c r="K19" s="499" t="str">
        <f>IF(I19="","",IF(VLOOKUP(I19,'G-7 Rivers Data'!$AG$4:$AI$9,3,FALSE)=0,"Spatial Data Missing ⚠",VLOOKUP(I19,'G-7 Rivers Data'!$AG$4:$AI$9,3,FALSE)))</f>
        <v/>
      </c>
      <c r="L19" s="635" t="str">
        <f>IFERROR(INDEX('G-7 Rivers Data'!$O$3:$O$7,MATCH(G19,'G-7 Rivers Data'!$N$3:$N$7,0)),"")</f>
        <v/>
      </c>
      <c r="M19" s="72"/>
      <c r="N19" s="195"/>
      <c r="O19" s="507" t="str">
        <f t="shared" si="1"/>
        <v/>
      </c>
      <c r="P19" s="521" t="str">
        <f t="shared" si="2"/>
        <v/>
      </c>
      <c r="Q19" s="564" t="str">
        <f>IFERROR(IF(P19="Check Data ⚠","Check Data ⚠",VLOOKUP(P19,'G-4 Temporal multipliers'!$A$4:$C$37,3,FALSE)),"")</f>
        <v/>
      </c>
      <c r="R19" s="498" t="str">
        <f>IF(C19="","",VLOOKUP(C19,'G-7 Rivers Data'!$B$4:$G$8,4,FALSE))</f>
        <v/>
      </c>
      <c r="S19" s="507" t="str">
        <f t="shared" si="3"/>
        <v/>
      </c>
      <c r="T19" s="540" t="str">
        <f t="shared" si="4"/>
        <v/>
      </c>
      <c r="U19" s="499" t="str">
        <f t="shared" si="5"/>
        <v/>
      </c>
      <c r="V19" s="71"/>
      <c r="W19" s="499" t="str">
        <f>IF(V19="","",IF(VLOOKUP(V19,'G-7 Rivers Data'!$AA$4:$AB$7,2,FALSE)=0,"Spatial Data Missing ⚠",VLOOKUP(V19,'G-7 Rivers Data'!$AA$4:$AB$7,2,FALSE)))</f>
        <v/>
      </c>
      <c r="X19" s="155"/>
      <c r="Y19" s="499" t="str">
        <f>IF(X19="","",IF(VLOOKUP(X19,'G-7 Rivers Data'!$AD$4:$AE$8,2,FALSE)=0,"Enrcoachment Data Missing ⚠",VLOOKUP(X19,'G-7 Rivers Data'!$AD$4:$AE$8,2,FALSE)))</f>
        <v/>
      </c>
      <c r="Z19" s="154"/>
      <c r="AA19" s="524" t="str">
        <f>IF(Z19="","",VLOOKUP(Z19,'G-7 Rivers Data'!$AO$4:$AP$7,2,FALSE))</f>
        <v/>
      </c>
      <c r="AB19" s="545" t="str">
        <f t="shared" si="6"/>
        <v/>
      </c>
      <c r="AC19" s="149"/>
      <c r="AD19" s="150"/>
      <c r="AK19" s="31" t="str">
        <f>IFERROR(INDEX('G-7 Rivers Data'!$AZ$3:$AZ$7,MATCH(C19,'G-7 Rivers Data'!$AY$3:$AY$7,0)),"")</f>
        <v/>
      </c>
    </row>
    <row r="20" spans="2:37" ht="13.8" x14ac:dyDescent="0.25">
      <c r="B20" s="141">
        <v>9</v>
      </c>
      <c r="C20" s="666"/>
      <c r="D20" s="172"/>
      <c r="E20" s="498" t="str">
        <f>IF(C20="","",VLOOKUP(C20,'G-7 Rivers Data'!$B$2:$Z$9,2,FALSE))</f>
        <v/>
      </c>
      <c r="F20" s="499" t="str">
        <f>IFERROR(VLOOKUP(E20,'G-7 Rivers Data'!$C$4:$D$8,2,FALSE),"")</f>
        <v/>
      </c>
      <c r="G20" s="145"/>
      <c r="H20" s="499" t="str">
        <f>IFERROR(INDEX('G-7 Rivers Data'!$H$4:$L$8,MATCH(C20,'G-7 Rivers Data'!$B$4:$B$8,0),MATCH(G20,'G-7 Rivers Data'!$H$3:$L$3,0)),"")</f>
        <v/>
      </c>
      <c r="I20" s="145"/>
      <c r="J20" s="540" t="str">
        <f>IF(I20="","",IF(VLOOKUP(I20,'G-7 Rivers Data'!$AG$4:$AI$9,2,FALSE)=0,"Spatial Data Missing ⚠",VLOOKUP(I20,'G-7 Rivers Data'!$AG$4:$AI$9,2,FALSE)))</f>
        <v/>
      </c>
      <c r="K20" s="499" t="str">
        <f>IF(I20="","",IF(VLOOKUP(I20,'G-7 Rivers Data'!$AG$4:$AI$9,3,FALSE)=0,"Spatial Data Missing ⚠",VLOOKUP(I20,'G-7 Rivers Data'!$AG$4:$AI$9,3,FALSE)))</f>
        <v/>
      </c>
      <c r="L20" s="635" t="str">
        <f>IFERROR(INDEX('G-7 Rivers Data'!$O$3:$O$7,MATCH(G20,'G-7 Rivers Data'!$N$3:$N$7,0)),"")</f>
        <v/>
      </c>
      <c r="M20" s="72"/>
      <c r="N20" s="195"/>
      <c r="O20" s="507" t="str">
        <f t="shared" si="1"/>
        <v/>
      </c>
      <c r="P20" s="521" t="str">
        <f t="shared" si="2"/>
        <v/>
      </c>
      <c r="Q20" s="564" t="str">
        <f>IFERROR(IF(P20="Check Data ⚠","Check Data ⚠",VLOOKUP(P20,'G-4 Temporal multipliers'!$A$4:$C$37,3,FALSE)),"")</f>
        <v/>
      </c>
      <c r="R20" s="498" t="str">
        <f>IF(C20="","",VLOOKUP(C20,'G-7 Rivers Data'!$B$4:$G$8,4,FALSE))</f>
        <v/>
      </c>
      <c r="S20" s="507" t="str">
        <f t="shared" si="3"/>
        <v/>
      </c>
      <c r="T20" s="540" t="str">
        <f t="shared" si="4"/>
        <v/>
      </c>
      <c r="U20" s="499" t="str">
        <f t="shared" si="5"/>
        <v/>
      </c>
      <c r="V20" s="71"/>
      <c r="W20" s="499" t="str">
        <f>IF(V20="","",IF(VLOOKUP(V20,'G-7 Rivers Data'!$AA$4:$AB$7,2,FALSE)=0,"Spatial Data Missing ⚠",VLOOKUP(V20,'G-7 Rivers Data'!$AA$4:$AB$7,2,FALSE)))</f>
        <v/>
      </c>
      <c r="X20" s="155"/>
      <c r="Y20" s="499" t="str">
        <f>IF(X20="","",IF(VLOOKUP(X20,'G-7 Rivers Data'!$AD$4:$AE$8,2,FALSE)=0,"Enrcoachment Data Missing ⚠",VLOOKUP(X20,'G-7 Rivers Data'!$AD$4:$AE$8,2,FALSE)))</f>
        <v/>
      </c>
      <c r="Z20" s="154"/>
      <c r="AA20" s="524" t="str">
        <f>IF(Z20="","",VLOOKUP(Z20,'G-7 Rivers Data'!$AO$4:$AP$7,2,FALSE))</f>
        <v/>
      </c>
      <c r="AB20" s="545" t="str">
        <f t="shared" si="6"/>
        <v/>
      </c>
      <c r="AC20" s="149"/>
      <c r="AD20" s="150"/>
      <c r="AK20" s="31" t="str">
        <f>IFERROR(INDEX('G-7 Rivers Data'!$AZ$3:$AZ$7,MATCH(C20,'G-7 Rivers Data'!$AY$3:$AY$7,0)),"")</f>
        <v/>
      </c>
    </row>
    <row r="21" spans="2:37" ht="13.8" x14ac:dyDescent="0.25">
      <c r="B21" s="141">
        <v>10</v>
      </c>
      <c r="C21" s="666"/>
      <c r="D21" s="172"/>
      <c r="E21" s="498" t="str">
        <f>IF(C21="","",VLOOKUP(C21,'G-7 Rivers Data'!$B$2:$Z$9,2,FALSE))</f>
        <v/>
      </c>
      <c r="F21" s="499" t="str">
        <f>IFERROR(VLOOKUP(E21,'G-7 Rivers Data'!$C$4:$D$8,2,FALSE),"")</f>
        <v/>
      </c>
      <c r="G21" s="145"/>
      <c r="H21" s="499" t="str">
        <f>IFERROR(INDEX('G-7 Rivers Data'!$H$4:$L$8,MATCH(C21,'G-7 Rivers Data'!$B$4:$B$8,0),MATCH(G21,'G-7 Rivers Data'!$H$3:$L$3,0)),"")</f>
        <v/>
      </c>
      <c r="I21" s="145"/>
      <c r="J21" s="540" t="str">
        <f>IF(I21="","",IF(VLOOKUP(I21,'G-7 Rivers Data'!$AG$4:$AI$9,2,FALSE)=0,"Spatial Data Missing ⚠",VLOOKUP(I21,'G-7 Rivers Data'!$AG$4:$AI$9,2,FALSE)))</f>
        <v/>
      </c>
      <c r="K21" s="499" t="str">
        <f>IF(I21="","",IF(VLOOKUP(I21,'G-7 Rivers Data'!$AG$4:$AI$9,3,FALSE)=0,"Spatial Data Missing ⚠",VLOOKUP(I21,'G-7 Rivers Data'!$AG$4:$AI$9,3,FALSE)))</f>
        <v/>
      </c>
      <c r="L21" s="635" t="str">
        <f>IFERROR(INDEX('G-7 Rivers Data'!$O$3:$O$7,MATCH(G21,'G-7 Rivers Data'!$N$3:$N$7,0)),"")</f>
        <v/>
      </c>
      <c r="M21" s="72"/>
      <c r="N21" s="195"/>
      <c r="O21" s="507" t="str">
        <f t="shared" si="1"/>
        <v/>
      </c>
      <c r="P21" s="521" t="str">
        <f t="shared" si="2"/>
        <v/>
      </c>
      <c r="Q21" s="564" t="str">
        <f>IFERROR(IF(P21="Check Data ⚠","Check Data ⚠",VLOOKUP(P21,'G-4 Temporal multipliers'!$A$4:$C$37,3,FALSE)),"")</f>
        <v/>
      </c>
      <c r="R21" s="498" t="str">
        <f>IF(C21="","",VLOOKUP(C21,'G-7 Rivers Data'!$B$4:$G$8,4,FALSE))</f>
        <v/>
      </c>
      <c r="S21" s="507" t="str">
        <f t="shared" si="3"/>
        <v/>
      </c>
      <c r="T21" s="540" t="str">
        <f t="shared" si="4"/>
        <v/>
      </c>
      <c r="U21" s="499" t="str">
        <f t="shared" si="5"/>
        <v/>
      </c>
      <c r="V21" s="71"/>
      <c r="W21" s="499" t="str">
        <f>IF(V21="","",IF(VLOOKUP(V21,'G-7 Rivers Data'!$AA$4:$AB$7,2,FALSE)=0,"Spatial Data Missing ⚠",VLOOKUP(V21,'G-7 Rivers Data'!$AA$4:$AB$7,2,FALSE)))</f>
        <v/>
      </c>
      <c r="X21" s="155"/>
      <c r="Y21" s="499" t="str">
        <f>IF(X21="","",IF(VLOOKUP(X21,'G-7 Rivers Data'!$AD$4:$AE$8,2,FALSE)=0,"Enrcoachment Data Missing ⚠",VLOOKUP(X21,'G-7 Rivers Data'!$AD$4:$AE$8,2,FALSE)))</f>
        <v/>
      </c>
      <c r="Z21" s="154"/>
      <c r="AA21" s="524" t="str">
        <f>IF(Z21="","",VLOOKUP(Z21,'G-7 Rivers Data'!$AO$4:$AP$7,2,FALSE))</f>
        <v/>
      </c>
      <c r="AB21" s="545" t="str">
        <f t="shared" si="6"/>
        <v/>
      </c>
      <c r="AC21" s="149"/>
      <c r="AD21" s="150"/>
      <c r="AK21" s="31" t="str">
        <f>IFERROR(INDEX('G-7 Rivers Data'!$AZ$3:$AZ$7,MATCH(C21,'G-7 Rivers Data'!$AY$3:$AY$7,0)),"")</f>
        <v/>
      </c>
    </row>
    <row r="22" spans="2:37" ht="13.8" x14ac:dyDescent="0.25">
      <c r="B22" s="141">
        <v>11</v>
      </c>
      <c r="C22" s="666"/>
      <c r="D22" s="172"/>
      <c r="E22" s="498" t="str">
        <f>IF(C22="","",VLOOKUP(C22,'G-7 Rivers Data'!$B$2:$Z$9,2,FALSE))</f>
        <v/>
      </c>
      <c r="F22" s="499" t="str">
        <f>IFERROR(VLOOKUP(E22,'G-7 Rivers Data'!$C$4:$D$8,2,FALSE),"")</f>
        <v/>
      </c>
      <c r="G22" s="145"/>
      <c r="H22" s="499" t="str">
        <f>IFERROR(INDEX('G-7 Rivers Data'!$H$4:$L$8,MATCH(C22,'G-7 Rivers Data'!$B$4:$B$8,0),MATCH(G22,'G-7 Rivers Data'!$H$3:$L$3,0)),"")</f>
        <v/>
      </c>
      <c r="I22" s="145"/>
      <c r="J22" s="540" t="str">
        <f>IF(I22="","",IF(VLOOKUP(I22,'G-7 Rivers Data'!$AG$4:$AI$9,2,FALSE)=0,"Spatial Data Missing ⚠",VLOOKUP(I22,'G-7 Rivers Data'!$AG$4:$AI$9,2,FALSE)))</f>
        <v/>
      </c>
      <c r="K22" s="499" t="str">
        <f>IF(I22="","",IF(VLOOKUP(I22,'G-7 Rivers Data'!$AG$4:$AI$9,3,FALSE)=0,"Spatial Data Missing ⚠",VLOOKUP(I22,'G-7 Rivers Data'!$AG$4:$AI$9,3,FALSE)))</f>
        <v/>
      </c>
      <c r="L22" s="635" t="str">
        <f>IFERROR(INDEX('G-7 Rivers Data'!$O$3:$O$7,MATCH(G22,'G-7 Rivers Data'!$N$3:$N$7,0)),"")</f>
        <v/>
      </c>
      <c r="M22" s="72"/>
      <c r="N22" s="195"/>
      <c r="O22" s="507" t="str">
        <f t="shared" si="1"/>
        <v/>
      </c>
      <c r="P22" s="521" t="str">
        <f t="shared" si="2"/>
        <v/>
      </c>
      <c r="Q22" s="564" t="str">
        <f>IFERROR(IF(P22="Check Data ⚠","Check Data ⚠",VLOOKUP(P22,'G-4 Temporal multipliers'!$A$4:$C$37,3,FALSE)),"")</f>
        <v/>
      </c>
      <c r="R22" s="498" t="str">
        <f>IF(C22="","",VLOOKUP(C22,'G-7 Rivers Data'!$B$4:$G$8,4,FALSE))</f>
        <v/>
      </c>
      <c r="S22" s="507" t="str">
        <f t="shared" si="3"/>
        <v/>
      </c>
      <c r="T22" s="540" t="str">
        <f t="shared" si="4"/>
        <v/>
      </c>
      <c r="U22" s="499" t="str">
        <f t="shared" si="5"/>
        <v/>
      </c>
      <c r="V22" s="71"/>
      <c r="W22" s="499" t="str">
        <f>IF(V22="","",IF(VLOOKUP(V22,'G-7 Rivers Data'!$AA$4:$AB$7,2,FALSE)=0,"Spatial Data Missing ⚠",VLOOKUP(V22,'G-7 Rivers Data'!$AA$4:$AB$7,2,FALSE)))</f>
        <v/>
      </c>
      <c r="X22" s="155"/>
      <c r="Y22" s="499" t="str">
        <f>IF(X22="","",IF(VLOOKUP(X22,'G-7 Rivers Data'!$AD$4:$AE$8,2,FALSE)=0,"Enrcoachment Data Missing ⚠",VLOOKUP(X22,'G-7 Rivers Data'!$AD$4:$AE$8,2,FALSE)))</f>
        <v/>
      </c>
      <c r="Z22" s="154"/>
      <c r="AA22" s="524" t="str">
        <f>IF(Z22="","",VLOOKUP(Z22,'G-7 Rivers Data'!$AO$4:$AP$7,2,FALSE))</f>
        <v/>
      </c>
      <c r="AB22" s="545" t="str">
        <f t="shared" si="6"/>
        <v/>
      </c>
      <c r="AC22" s="149"/>
      <c r="AD22" s="150"/>
      <c r="AK22" s="31" t="str">
        <f>IFERROR(INDEX('G-7 Rivers Data'!$AZ$3:$AZ$7,MATCH(C22,'G-7 Rivers Data'!$AY$3:$AY$7,0)),"")</f>
        <v/>
      </c>
    </row>
    <row r="23" spans="2:37" ht="13.8" x14ac:dyDescent="0.25">
      <c r="B23" s="141">
        <v>12</v>
      </c>
      <c r="C23" s="666"/>
      <c r="D23" s="172"/>
      <c r="E23" s="498" t="str">
        <f>IF(C23="","",VLOOKUP(C23,'G-7 Rivers Data'!$B$2:$Z$9,2,FALSE))</f>
        <v/>
      </c>
      <c r="F23" s="499" t="str">
        <f>IFERROR(VLOOKUP(E23,'G-7 Rivers Data'!$C$4:$D$8,2,FALSE),"")</f>
        <v/>
      </c>
      <c r="G23" s="145"/>
      <c r="H23" s="499" t="str">
        <f>IFERROR(INDEX('G-7 Rivers Data'!$H$4:$L$8,MATCH(C23,'G-7 Rivers Data'!$B$4:$B$8,0),MATCH(G23,'G-7 Rivers Data'!$H$3:$L$3,0)),"")</f>
        <v/>
      </c>
      <c r="I23" s="145"/>
      <c r="J23" s="540" t="str">
        <f>IF(I23="","",IF(VLOOKUP(I23,'G-7 Rivers Data'!$AG$4:$AI$9,2,FALSE)=0,"Spatial Data Missing ⚠",VLOOKUP(I23,'G-7 Rivers Data'!$AG$4:$AI$9,2,FALSE)))</f>
        <v/>
      </c>
      <c r="K23" s="499" t="str">
        <f>IF(I23="","",IF(VLOOKUP(I23,'G-7 Rivers Data'!$AG$4:$AI$9,3,FALSE)=0,"Spatial Data Missing ⚠",VLOOKUP(I23,'G-7 Rivers Data'!$AG$4:$AI$9,3,FALSE)))</f>
        <v/>
      </c>
      <c r="L23" s="635" t="str">
        <f>IFERROR(INDEX('G-7 Rivers Data'!$O$3:$O$7,MATCH(G23,'G-7 Rivers Data'!$N$3:$N$7,0)),"")</f>
        <v/>
      </c>
      <c r="M23" s="72"/>
      <c r="N23" s="195"/>
      <c r="O23" s="507" t="str">
        <f t="shared" si="1"/>
        <v/>
      </c>
      <c r="P23" s="521" t="str">
        <f t="shared" si="2"/>
        <v/>
      </c>
      <c r="Q23" s="564" t="str">
        <f>IFERROR(IF(P23="Check Data ⚠","Check Data ⚠",VLOOKUP(P23,'G-4 Temporal multipliers'!$A$4:$C$37,3,FALSE)),"")</f>
        <v/>
      </c>
      <c r="R23" s="498" t="str">
        <f>IF(C23="","",VLOOKUP(C23,'G-7 Rivers Data'!$B$4:$G$8,4,FALSE))</f>
        <v/>
      </c>
      <c r="S23" s="507" t="str">
        <f t="shared" si="3"/>
        <v/>
      </c>
      <c r="T23" s="540" t="str">
        <f t="shared" si="4"/>
        <v/>
      </c>
      <c r="U23" s="499" t="str">
        <f t="shared" si="5"/>
        <v/>
      </c>
      <c r="V23" s="71"/>
      <c r="W23" s="499" t="str">
        <f>IF(V23="","",IF(VLOOKUP(V23,'G-7 Rivers Data'!$AA$4:$AB$7,2,FALSE)=0,"Spatial Data Missing ⚠",VLOOKUP(V23,'G-7 Rivers Data'!$AA$4:$AB$7,2,FALSE)))</f>
        <v/>
      </c>
      <c r="X23" s="155"/>
      <c r="Y23" s="499" t="str">
        <f>IF(X23="","",IF(VLOOKUP(X23,'G-7 Rivers Data'!$AD$4:$AE$8,2,FALSE)=0,"Enrcoachment Data Missing ⚠",VLOOKUP(X23,'G-7 Rivers Data'!$AD$4:$AE$8,2,FALSE)))</f>
        <v/>
      </c>
      <c r="Z23" s="154"/>
      <c r="AA23" s="524" t="str">
        <f>IF(Z23="","",VLOOKUP(Z23,'G-7 Rivers Data'!$AO$4:$AP$7,2,FALSE))</f>
        <v/>
      </c>
      <c r="AB23" s="545" t="str">
        <f t="shared" si="6"/>
        <v/>
      </c>
      <c r="AC23" s="149"/>
      <c r="AD23" s="150"/>
      <c r="AK23" s="31" t="str">
        <f>IFERROR(INDEX('G-7 Rivers Data'!$AZ$3:$AZ$7,MATCH(C23,'G-7 Rivers Data'!$AY$3:$AY$7,0)),"")</f>
        <v/>
      </c>
    </row>
    <row r="24" spans="2:37" ht="13.8" x14ac:dyDescent="0.25">
      <c r="B24" s="141">
        <v>13</v>
      </c>
      <c r="C24" s="666"/>
      <c r="D24" s="172"/>
      <c r="E24" s="498" t="str">
        <f>IF(C24="","",VLOOKUP(C24,'G-7 Rivers Data'!$B$2:$Z$9,2,FALSE))</f>
        <v/>
      </c>
      <c r="F24" s="499" t="str">
        <f>IFERROR(VLOOKUP(E24,'G-7 Rivers Data'!$C$4:$D$8,2,FALSE),"")</f>
        <v/>
      </c>
      <c r="G24" s="145"/>
      <c r="H24" s="499" t="str">
        <f>IFERROR(INDEX('G-7 Rivers Data'!$H$4:$L$8,MATCH(C24,'G-7 Rivers Data'!$B$4:$B$8,0),MATCH(G24,'G-7 Rivers Data'!$H$3:$L$3,0)),"")</f>
        <v/>
      </c>
      <c r="I24" s="145"/>
      <c r="J24" s="540" t="str">
        <f>IF(I24="","",IF(VLOOKUP(I24,'G-7 Rivers Data'!$AG$4:$AI$9,2,FALSE)=0,"Spatial Data Missing ⚠",VLOOKUP(I24,'G-7 Rivers Data'!$AG$4:$AI$9,2,FALSE)))</f>
        <v/>
      </c>
      <c r="K24" s="499" t="str">
        <f>IF(I24="","",IF(VLOOKUP(I24,'G-7 Rivers Data'!$AG$4:$AI$9,3,FALSE)=0,"Spatial Data Missing ⚠",VLOOKUP(I24,'G-7 Rivers Data'!$AG$4:$AI$9,3,FALSE)))</f>
        <v/>
      </c>
      <c r="L24" s="635" t="str">
        <f>IFERROR(INDEX('G-7 Rivers Data'!$O$3:$O$7,MATCH(G24,'G-7 Rivers Data'!$N$3:$N$7,0)),"")</f>
        <v/>
      </c>
      <c r="M24" s="72"/>
      <c r="N24" s="195"/>
      <c r="O24" s="507" t="str">
        <f t="shared" si="1"/>
        <v/>
      </c>
      <c r="P24" s="521" t="str">
        <f t="shared" si="2"/>
        <v/>
      </c>
      <c r="Q24" s="564" t="str">
        <f>IFERROR(IF(P24="Check Data ⚠","Check Data ⚠",VLOOKUP(P24,'G-4 Temporal multipliers'!$A$4:$C$37,3,FALSE)),"")</f>
        <v/>
      </c>
      <c r="R24" s="498" t="str">
        <f>IF(C24="","",VLOOKUP(C24,'G-7 Rivers Data'!$B$4:$G$8,4,FALSE))</f>
        <v/>
      </c>
      <c r="S24" s="507" t="str">
        <f t="shared" si="3"/>
        <v/>
      </c>
      <c r="T24" s="540" t="str">
        <f t="shared" si="4"/>
        <v/>
      </c>
      <c r="U24" s="499" t="str">
        <f t="shared" si="5"/>
        <v/>
      </c>
      <c r="V24" s="71"/>
      <c r="W24" s="499" t="str">
        <f>IF(V24="","",IF(VLOOKUP(V24,'G-7 Rivers Data'!$AA$4:$AB$7,2,FALSE)=0,"Spatial Data Missing ⚠",VLOOKUP(V24,'G-7 Rivers Data'!$AA$4:$AB$7,2,FALSE)))</f>
        <v/>
      </c>
      <c r="X24" s="155"/>
      <c r="Y24" s="499" t="str">
        <f>IF(X24="","",IF(VLOOKUP(X24,'G-7 Rivers Data'!$AD$4:$AE$8,2,FALSE)=0,"Enrcoachment Data Missing ⚠",VLOOKUP(X24,'G-7 Rivers Data'!$AD$4:$AE$8,2,FALSE)))</f>
        <v/>
      </c>
      <c r="Z24" s="154"/>
      <c r="AA24" s="524" t="str">
        <f>IF(Z24="","",VLOOKUP(Z24,'G-7 Rivers Data'!$AO$4:$AP$7,2,FALSE))</f>
        <v/>
      </c>
      <c r="AB24" s="545" t="str">
        <f t="shared" si="6"/>
        <v/>
      </c>
      <c r="AC24" s="149"/>
      <c r="AD24" s="150"/>
      <c r="AK24" s="31" t="str">
        <f>IFERROR(INDEX('G-7 Rivers Data'!$AZ$3:$AZ$7,MATCH(C24,'G-7 Rivers Data'!$AY$3:$AY$7,0)),"")</f>
        <v/>
      </c>
    </row>
    <row r="25" spans="2:37" ht="13.8" x14ac:dyDescent="0.25">
      <c r="B25" s="141">
        <v>14</v>
      </c>
      <c r="C25" s="666"/>
      <c r="D25" s="172"/>
      <c r="E25" s="498" t="str">
        <f>IF(C25="","",VLOOKUP(C25,'G-7 Rivers Data'!$B$2:$Z$9,2,FALSE))</f>
        <v/>
      </c>
      <c r="F25" s="499" t="str">
        <f>IFERROR(VLOOKUP(E25,'G-7 Rivers Data'!$C$4:$D$8,2,FALSE),"")</f>
        <v/>
      </c>
      <c r="G25" s="145"/>
      <c r="H25" s="499" t="str">
        <f>IFERROR(INDEX('G-7 Rivers Data'!$H$4:$L$8,MATCH(C25,'G-7 Rivers Data'!$B$4:$B$8,0),MATCH(G25,'G-7 Rivers Data'!$H$3:$L$3,0)),"")</f>
        <v/>
      </c>
      <c r="I25" s="145"/>
      <c r="J25" s="540" t="str">
        <f>IF(I25="","",IF(VLOOKUP(I25,'G-7 Rivers Data'!$AG$4:$AI$9,2,FALSE)=0,"Spatial Data Missing ⚠",VLOOKUP(I25,'G-7 Rivers Data'!$AG$4:$AI$9,2,FALSE)))</f>
        <v/>
      </c>
      <c r="K25" s="499" t="str">
        <f>IF(I25="","",IF(VLOOKUP(I25,'G-7 Rivers Data'!$AG$4:$AI$9,3,FALSE)=0,"Spatial Data Missing ⚠",VLOOKUP(I25,'G-7 Rivers Data'!$AG$4:$AI$9,3,FALSE)))</f>
        <v/>
      </c>
      <c r="L25" s="635" t="str">
        <f>IFERROR(INDEX('G-7 Rivers Data'!$O$3:$O$7,MATCH(G25,'G-7 Rivers Data'!$N$3:$N$7,0)),"")</f>
        <v/>
      </c>
      <c r="M25" s="72"/>
      <c r="N25" s="195"/>
      <c r="O25" s="507" t="str">
        <f t="shared" si="1"/>
        <v/>
      </c>
      <c r="P25" s="521" t="str">
        <f t="shared" si="2"/>
        <v/>
      </c>
      <c r="Q25" s="564" t="str">
        <f>IFERROR(IF(P25="Check Data ⚠","Check Data ⚠",VLOOKUP(P25,'G-4 Temporal multipliers'!$A$4:$C$37,3,FALSE)),"")</f>
        <v/>
      </c>
      <c r="R25" s="498" t="str">
        <f>IF(C25="","",VLOOKUP(C25,'G-7 Rivers Data'!$B$4:$G$8,4,FALSE))</f>
        <v/>
      </c>
      <c r="S25" s="507" t="str">
        <f t="shared" si="3"/>
        <v/>
      </c>
      <c r="T25" s="540" t="str">
        <f t="shared" si="4"/>
        <v/>
      </c>
      <c r="U25" s="499" t="str">
        <f t="shared" si="5"/>
        <v/>
      </c>
      <c r="V25" s="71"/>
      <c r="W25" s="499" t="str">
        <f>IF(V25="","",IF(VLOOKUP(V25,'G-7 Rivers Data'!$AA$4:$AB$7,2,FALSE)=0,"Spatial Data Missing ⚠",VLOOKUP(V25,'G-7 Rivers Data'!$AA$4:$AB$7,2,FALSE)))</f>
        <v/>
      </c>
      <c r="X25" s="155"/>
      <c r="Y25" s="499" t="str">
        <f>IF(X25="","",IF(VLOOKUP(X25,'G-7 Rivers Data'!$AD$4:$AE$8,2,FALSE)=0,"Enrcoachment Data Missing ⚠",VLOOKUP(X25,'G-7 Rivers Data'!$AD$4:$AE$8,2,FALSE)))</f>
        <v/>
      </c>
      <c r="Z25" s="154"/>
      <c r="AA25" s="524" t="str">
        <f>IF(Z25="","",VLOOKUP(Z25,'G-7 Rivers Data'!$AO$4:$AP$7,2,FALSE))</f>
        <v/>
      </c>
      <c r="AB25" s="545" t="str">
        <f t="shared" si="6"/>
        <v/>
      </c>
      <c r="AC25" s="149"/>
      <c r="AD25" s="150"/>
      <c r="AK25" s="31" t="str">
        <f>IFERROR(INDEX('G-7 Rivers Data'!$AZ$3:$AZ$7,MATCH(C25,'G-7 Rivers Data'!$AY$3:$AY$7,0)),"")</f>
        <v/>
      </c>
    </row>
    <row r="26" spans="2:37" ht="13.8" x14ac:dyDescent="0.25">
      <c r="B26" s="141">
        <v>15</v>
      </c>
      <c r="C26" s="666"/>
      <c r="D26" s="172"/>
      <c r="E26" s="498" t="str">
        <f>IF(C26="","",VLOOKUP(C26,'G-7 Rivers Data'!$B$2:$Z$9,2,FALSE))</f>
        <v/>
      </c>
      <c r="F26" s="499" t="str">
        <f>IFERROR(VLOOKUP(E26,'G-7 Rivers Data'!$C$4:$D$8,2,FALSE),"")</f>
        <v/>
      </c>
      <c r="G26" s="145"/>
      <c r="H26" s="499" t="str">
        <f>IFERROR(INDEX('G-7 Rivers Data'!$H$4:$L$8,MATCH(C26,'G-7 Rivers Data'!$B$4:$B$8,0),MATCH(G26,'G-7 Rivers Data'!$H$3:$L$3,0)),"")</f>
        <v/>
      </c>
      <c r="I26" s="145"/>
      <c r="J26" s="540" t="str">
        <f>IF(I26="","",IF(VLOOKUP(I26,'G-7 Rivers Data'!$AG$4:$AI$9,2,FALSE)=0,"Spatial Data Missing ⚠",VLOOKUP(I26,'G-7 Rivers Data'!$AG$4:$AI$9,2,FALSE)))</f>
        <v/>
      </c>
      <c r="K26" s="499" t="str">
        <f>IF(I26="","",IF(VLOOKUP(I26,'G-7 Rivers Data'!$AG$4:$AI$9,3,FALSE)=0,"Spatial Data Missing ⚠",VLOOKUP(I26,'G-7 Rivers Data'!$AG$4:$AI$9,3,FALSE)))</f>
        <v/>
      </c>
      <c r="L26" s="635" t="str">
        <f>IFERROR(INDEX('G-7 Rivers Data'!$O$3:$O$7,MATCH(G26,'G-7 Rivers Data'!$N$3:$N$7,0)),"")</f>
        <v/>
      </c>
      <c r="M26" s="72"/>
      <c r="N26" s="195"/>
      <c r="O26" s="507" t="str">
        <f t="shared" si="1"/>
        <v/>
      </c>
      <c r="P26" s="521" t="str">
        <f t="shared" si="2"/>
        <v/>
      </c>
      <c r="Q26" s="564" t="str">
        <f>IFERROR(IF(P26="Check Data ⚠","Check Data ⚠",VLOOKUP(P26,'G-4 Temporal multipliers'!$A$4:$C$37,3,FALSE)),"")</f>
        <v/>
      </c>
      <c r="R26" s="498" t="str">
        <f>IF(C26="","",VLOOKUP(C26,'G-7 Rivers Data'!$B$4:$G$8,4,FALSE))</f>
        <v/>
      </c>
      <c r="S26" s="507" t="str">
        <f t="shared" si="3"/>
        <v/>
      </c>
      <c r="T26" s="540" t="str">
        <f t="shared" si="4"/>
        <v/>
      </c>
      <c r="U26" s="499" t="str">
        <f t="shared" si="5"/>
        <v/>
      </c>
      <c r="V26" s="71"/>
      <c r="W26" s="499" t="str">
        <f>IF(V26="","",IF(VLOOKUP(V26,'G-7 Rivers Data'!$AA$4:$AB$7,2,FALSE)=0,"Spatial Data Missing ⚠",VLOOKUP(V26,'G-7 Rivers Data'!$AA$4:$AB$7,2,FALSE)))</f>
        <v/>
      </c>
      <c r="X26" s="155"/>
      <c r="Y26" s="499" t="str">
        <f>IF(X26="","",IF(VLOOKUP(X26,'G-7 Rivers Data'!$AD$4:$AE$8,2,FALSE)=0,"Enrcoachment Data Missing ⚠",VLOOKUP(X26,'G-7 Rivers Data'!$AD$4:$AE$8,2,FALSE)))</f>
        <v/>
      </c>
      <c r="Z26" s="154"/>
      <c r="AA26" s="524" t="str">
        <f>IF(Z26="","",VLOOKUP(Z26,'G-7 Rivers Data'!$AO$4:$AP$7,2,FALSE))</f>
        <v/>
      </c>
      <c r="AB26" s="545" t="str">
        <f t="shared" si="6"/>
        <v/>
      </c>
      <c r="AC26" s="149"/>
      <c r="AD26" s="150"/>
      <c r="AK26" s="31" t="str">
        <f>IFERROR(INDEX('G-7 Rivers Data'!$AZ$3:$AZ$7,MATCH(C26,'G-7 Rivers Data'!$AY$3:$AY$7,0)),"")</f>
        <v/>
      </c>
    </row>
    <row r="27" spans="2:37" ht="13.8" x14ac:dyDescent="0.25">
      <c r="B27" s="141">
        <v>16</v>
      </c>
      <c r="C27" s="666"/>
      <c r="D27" s="172"/>
      <c r="E27" s="498" t="str">
        <f>IF(C27="","",VLOOKUP(C27,'G-7 Rivers Data'!$B$2:$Z$9,2,FALSE))</f>
        <v/>
      </c>
      <c r="F27" s="499" t="str">
        <f>IFERROR(VLOOKUP(E27,'G-7 Rivers Data'!$C$4:$D$8,2,FALSE),"")</f>
        <v/>
      </c>
      <c r="G27" s="145"/>
      <c r="H27" s="499" t="str">
        <f>IFERROR(INDEX('G-7 Rivers Data'!$H$4:$L$8,MATCH(C27,'G-7 Rivers Data'!$B$4:$B$8,0),MATCH(G27,'G-7 Rivers Data'!$H$3:$L$3,0)),"")</f>
        <v/>
      </c>
      <c r="I27" s="145"/>
      <c r="J27" s="540" t="str">
        <f>IF(I27="","",IF(VLOOKUP(I27,'G-7 Rivers Data'!$AG$4:$AI$9,2,FALSE)=0,"Spatial Data Missing ⚠",VLOOKUP(I27,'G-7 Rivers Data'!$AG$4:$AI$9,2,FALSE)))</f>
        <v/>
      </c>
      <c r="K27" s="499" t="str">
        <f>IF(I27="","",IF(VLOOKUP(I27,'G-7 Rivers Data'!$AG$4:$AI$9,3,FALSE)=0,"Spatial Data Missing ⚠",VLOOKUP(I27,'G-7 Rivers Data'!$AG$4:$AI$9,3,FALSE)))</f>
        <v/>
      </c>
      <c r="L27" s="635" t="str">
        <f>IFERROR(INDEX('G-7 Rivers Data'!$O$3:$O$7,MATCH(G27,'G-7 Rivers Data'!$N$3:$N$7,0)),"")</f>
        <v/>
      </c>
      <c r="M27" s="72"/>
      <c r="N27" s="195"/>
      <c r="O27" s="507" t="str">
        <f t="shared" si="1"/>
        <v/>
      </c>
      <c r="P27" s="521" t="str">
        <f t="shared" si="2"/>
        <v/>
      </c>
      <c r="Q27" s="564" t="str">
        <f>IFERROR(IF(P27="Check Data ⚠","Check Data ⚠",VLOOKUP(P27,'G-4 Temporal multipliers'!$A$4:$C$37,3,FALSE)),"")</f>
        <v/>
      </c>
      <c r="R27" s="498" t="str">
        <f>IF(C27="","",VLOOKUP(C27,'G-7 Rivers Data'!$B$4:$G$8,4,FALSE))</f>
        <v/>
      </c>
      <c r="S27" s="507" t="str">
        <f t="shared" si="3"/>
        <v/>
      </c>
      <c r="T27" s="540" t="str">
        <f t="shared" si="4"/>
        <v/>
      </c>
      <c r="U27" s="499" t="str">
        <f t="shared" si="5"/>
        <v/>
      </c>
      <c r="V27" s="71"/>
      <c r="W27" s="499" t="str">
        <f>IF(V27="","",IF(VLOOKUP(V27,'G-7 Rivers Data'!$AA$4:$AB$7,2,FALSE)=0,"Spatial Data Missing ⚠",VLOOKUP(V27,'G-7 Rivers Data'!$AA$4:$AB$7,2,FALSE)))</f>
        <v/>
      </c>
      <c r="X27" s="155"/>
      <c r="Y27" s="499" t="str">
        <f>IF(X27="","",IF(VLOOKUP(X27,'G-7 Rivers Data'!$AD$4:$AE$8,2,FALSE)=0,"Enrcoachment Data Missing ⚠",VLOOKUP(X27,'G-7 Rivers Data'!$AD$4:$AE$8,2,FALSE)))</f>
        <v/>
      </c>
      <c r="Z27" s="154"/>
      <c r="AA27" s="524" t="str">
        <f>IF(Z27="","",VLOOKUP(Z27,'G-7 Rivers Data'!$AO$4:$AP$7,2,FALSE))</f>
        <v/>
      </c>
      <c r="AB27" s="545" t="str">
        <f t="shared" si="6"/>
        <v/>
      </c>
      <c r="AC27" s="149"/>
      <c r="AD27" s="150"/>
      <c r="AK27" s="31" t="str">
        <f>IFERROR(INDEX('G-7 Rivers Data'!$AZ$3:$AZ$7,MATCH(C27,'G-7 Rivers Data'!$AY$3:$AY$7,0)),"")</f>
        <v/>
      </c>
    </row>
    <row r="28" spans="2:37" ht="13.8" x14ac:dyDescent="0.25">
      <c r="B28" s="141">
        <v>17</v>
      </c>
      <c r="C28" s="666"/>
      <c r="D28" s="172"/>
      <c r="E28" s="498" t="str">
        <f>IF(C28="","",VLOOKUP(C28,'G-7 Rivers Data'!$B$2:$Z$9,2,FALSE))</f>
        <v/>
      </c>
      <c r="F28" s="499" t="str">
        <f>IFERROR(VLOOKUP(E28,'G-7 Rivers Data'!$C$4:$D$8,2,FALSE),"")</f>
        <v/>
      </c>
      <c r="G28" s="145"/>
      <c r="H28" s="499" t="str">
        <f>IFERROR(INDEX('G-7 Rivers Data'!$H$4:$L$8,MATCH(C28,'G-7 Rivers Data'!$B$4:$B$8,0),MATCH(G28,'G-7 Rivers Data'!$H$3:$L$3,0)),"")</f>
        <v/>
      </c>
      <c r="I28" s="145"/>
      <c r="J28" s="540" t="str">
        <f>IF(I28="","",IF(VLOOKUP(I28,'G-7 Rivers Data'!$AG$4:$AI$9,2,FALSE)=0,"Spatial Data Missing ⚠",VLOOKUP(I28,'G-7 Rivers Data'!$AG$4:$AI$9,2,FALSE)))</f>
        <v/>
      </c>
      <c r="K28" s="499" t="str">
        <f>IF(I28="","",IF(VLOOKUP(I28,'G-7 Rivers Data'!$AG$4:$AI$9,3,FALSE)=0,"Spatial Data Missing ⚠",VLOOKUP(I28,'G-7 Rivers Data'!$AG$4:$AI$9,3,FALSE)))</f>
        <v/>
      </c>
      <c r="L28" s="635" t="str">
        <f>IFERROR(INDEX('G-7 Rivers Data'!$O$3:$O$7,MATCH(G28,'G-7 Rivers Data'!$N$3:$N$7,0)),"")</f>
        <v/>
      </c>
      <c r="M28" s="72"/>
      <c r="N28" s="195"/>
      <c r="O28" s="507" t="str">
        <f t="shared" si="1"/>
        <v/>
      </c>
      <c r="P28" s="521" t="str">
        <f t="shared" si="2"/>
        <v/>
      </c>
      <c r="Q28" s="564" t="str">
        <f>IFERROR(IF(P28="Check Data ⚠","Check Data ⚠",VLOOKUP(P28,'G-4 Temporal multipliers'!$A$4:$C$37,3,FALSE)),"")</f>
        <v/>
      </c>
      <c r="R28" s="498" t="str">
        <f>IF(C28="","",VLOOKUP(C28,'G-7 Rivers Data'!$B$4:$G$8,4,FALSE))</f>
        <v/>
      </c>
      <c r="S28" s="507" t="str">
        <f t="shared" si="3"/>
        <v/>
      </c>
      <c r="T28" s="540" t="str">
        <f t="shared" si="4"/>
        <v/>
      </c>
      <c r="U28" s="499" t="str">
        <f t="shared" si="5"/>
        <v/>
      </c>
      <c r="V28" s="71"/>
      <c r="W28" s="499" t="str">
        <f>IF(V28="","",IF(VLOOKUP(V28,'G-7 Rivers Data'!$AA$4:$AB$7,2,FALSE)=0,"Spatial Data Missing ⚠",VLOOKUP(V28,'G-7 Rivers Data'!$AA$4:$AB$7,2,FALSE)))</f>
        <v/>
      </c>
      <c r="X28" s="155"/>
      <c r="Y28" s="499" t="str">
        <f>IF(X28="","",IF(VLOOKUP(X28,'G-7 Rivers Data'!$AD$4:$AE$8,2,FALSE)=0,"Enrcoachment Data Missing ⚠",VLOOKUP(X28,'G-7 Rivers Data'!$AD$4:$AE$8,2,FALSE)))</f>
        <v/>
      </c>
      <c r="Z28" s="154"/>
      <c r="AA28" s="524" t="str">
        <f>IF(Z28="","",VLOOKUP(Z28,'G-7 Rivers Data'!$AO$4:$AP$7,2,FALSE))</f>
        <v/>
      </c>
      <c r="AB28" s="545" t="str">
        <f t="shared" si="6"/>
        <v/>
      </c>
      <c r="AC28" s="149"/>
      <c r="AD28" s="150"/>
      <c r="AK28" s="31" t="str">
        <f>IFERROR(INDEX('G-7 Rivers Data'!$AZ$3:$AZ$7,MATCH(C28,'G-7 Rivers Data'!$AY$3:$AY$7,0)),"")</f>
        <v/>
      </c>
    </row>
    <row r="29" spans="2:37" ht="13.8" x14ac:dyDescent="0.25">
      <c r="B29" s="141">
        <v>18</v>
      </c>
      <c r="C29" s="666"/>
      <c r="D29" s="172"/>
      <c r="E29" s="498" t="str">
        <f>IF(C29="","",VLOOKUP(C29,'G-7 Rivers Data'!$B$2:$Z$9,2,FALSE))</f>
        <v/>
      </c>
      <c r="F29" s="499" t="str">
        <f>IFERROR(VLOOKUP(E29,'G-7 Rivers Data'!$C$4:$D$8,2,FALSE),"")</f>
        <v/>
      </c>
      <c r="G29" s="145"/>
      <c r="H29" s="499" t="str">
        <f>IFERROR(INDEX('G-7 Rivers Data'!$H$4:$L$8,MATCH(C29,'G-7 Rivers Data'!$B$4:$B$8,0),MATCH(G29,'G-7 Rivers Data'!$H$3:$L$3,0)),"")</f>
        <v/>
      </c>
      <c r="I29" s="145"/>
      <c r="J29" s="540" t="str">
        <f>IF(I29="","",IF(VLOOKUP(I29,'G-7 Rivers Data'!$AG$4:$AI$9,2,FALSE)=0,"Spatial Data Missing ⚠",VLOOKUP(I29,'G-7 Rivers Data'!$AG$4:$AI$9,2,FALSE)))</f>
        <v/>
      </c>
      <c r="K29" s="499" t="str">
        <f>IF(I29="","",IF(VLOOKUP(I29,'G-7 Rivers Data'!$AG$4:$AI$9,3,FALSE)=0,"Spatial Data Missing ⚠",VLOOKUP(I29,'G-7 Rivers Data'!$AG$4:$AI$9,3,FALSE)))</f>
        <v/>
      </c>
      <c r="L29" s="635" t="str">
        <f>IFERROR(INDEX('G-7 Rivers Data'!$O$3:$O$7,MATCH(G29,'G-7 Rivers Data'!$N$3:$N$7,0)),"")</f>
        <v/>
      </c>
      <c r="M29" s="72"/>
      <c r="N29" s="195"/>
      <c r="O29" s="507" t="str">
        <f t="shared" si="1"/>
        <v/>
      </c>
      <c r="P29" s="521" t="str">
        <f t="shared" si="2"/>
        <v/>
      </c>
      <c r="Q29" s="564" t="str">
        <f>IFERROR(IF(P29="Check Data ⚠","Check Data ⚠",VLOOKUP(P29,'G-4 Temporal multipliers'!$A$4:$C$37,3,FALSE)),"")</f>
        <v/>
      </c>
      <c r="R29" s="498" t="str">
        <f>IF(C29="","",VLOOKUP(C29,'G-7 Rivers Data'!$B$4:$G$8,4,FALSE))</f>
        <v/>
      </c>
      <c r="S29" s="507" t="str">
        <f t="shared" si="3"/>
        <v/>
      </c>
      <c r="T29" s="540" t="str">
        <f t="shared" si="4"/>
        <v/>
      </c>
      <c r="U29" s="499" t="str">
        <f t="shared" si="5"/>
        <v/>
      </c>
      <c r="V29" s="71"/>
      <c r="W29" s="499" t="str">
        <f>IF(V29="","",IF(VLOOKUP(V29,'G-7 Rivers Data'!$AA$4:$AB$7,2,FALSE)=0,"Spatial Data Missing ⚠",VLOOKUP(V29,'G-7 Rivers Data'!$AA$4:$AB$7,2,FALSE)))</f>
        <v/>
      </c>
      <c r="X29" s="155"/>
      <c r="Y29" s="499" t="str">
        <f>IF(X29="","",IF(VLOOKUP(X29,'G-7 Rivers Data'!$AD$4:$AE$8,2,FALSE)=0,"Enrcoachment Data Missing ⚠",VLOOKUP(X29,'G-7 Rivers Data'!$AD$4:$AE$8,2,FALSE)))</f>
        <v/>
      </c>
      <c r="Z29" s="154"/>
      <c r="AA29" s="524" t="str">
        <f>IF(Z29="","",VLOOKUP(Z29,'G-7 Rivers Data'!$AO$4:$AP$7,2,FALSE))</f>
        <v/>
      </c>
      <c r="AB29" s="545" t="str">
        <f t="shared" si="6"/>
        <v/>
      </c>
      <c r="AC29" s="149"/>
      <c r="AD29" s="150"/>
      <c r="AK29" s="31" t="str">
        <f>IFERROR(INDEX('G-7 Rivers Data'!$AZ$3:$AZ$7,MATCH(C29,'G-7 Rivers Data'!$AY$3:$AY$7,0)),"")</f>
        <v/>
      </c>
    </row>
    <row r="30" spans="2:37" ht="13.8" x14ac:dyDescent="0.25">
      <c r="B30" s="141">
        <v>19</v>
      </c>
      <c r="C30" s="666"/>
      <c r="D30" s="172"/>
      <c r="E30" s="498" t="str">
        <f>IF(C30="","",VLOOKUP(C30,'G-7 Rivers Data'!$B$2:$Z$9,2,FALSE))</f>
        <v/>
      </c>
      <c r="F30" s="499" t="str">
        <f>IFERROR(VLOOKUP(E30,'G-7 Rivers Data'!$C$4:$D$8,2,FALSE),"")</f>
        <v/>
      </c>
      <c r="G30" s="145"/>
      <c r="H30" s="499" t="str">
        <f>IFERROR(INDEX('G-7 Rivers Data'!$H$4:$L$8,MATCH(C30,'G-7 Rivers Data'!$B$4:$B$8,0),MATCH(G30,'G-7 Rivers Data'!$H$3:$L$3,0)),"")</f>
        <v/>
      </c>
      <c r="I30" s="145"/>
      <c r="J30" s="540" t="str">
        <f>IF(I30="","",IF(VLOOKUP(I30,'G-7 Rivers Data'!$AG$4:$AI$9,2,FALSE)=0,"Spatial Data Missing ⚠",VLOOKUP(I30,'G-7 Rivers Data'!$AG$4:$AI$9,2,FALSE)))</f>
        <v/>
      </c>
      <c r="K30" s="499" t="str">
        <f>IF(I30="","",IF(VLOOKUP(I30,'G-7 Rivers Data'!$AG$4:$AI$9,3,FALSE)=0,"Spatial Data Missing ⚠",VLOOKUP(I30,'G-7 Rivers Data'!$AG$4:$AI$9,3,FALSE)))</f>
        <v/>
      </c>
      <c r="L30" s="635" t="str">
        <f>IFERROR(INDEX('G-7 Rivers Data'!$O$3:$O$7,MATCH(G30,'G-7 Rivers Data'!$N$3:$N$7,0)),"")</f>
        <v/>
      </c>
      <c r="M30" s="72"/>
      <c r="N30" s="195"/>
      <c r="O30" s="507" t="str">
        <f t="shared" si="1"/>
        <v/>
      </c>
      <c r="P30" s="521" t="str">
        <f t="shared" si="2"/>
        <v/>
      </c>
      <c r="Q30" s="564" t="str">
        <f>IFERROR(IF(P30="Check Data ⚠","Check Data ⚠",VLOOKUP(P30,'G-4 Temporal multipliers'!$A$4:$C$37,3,FALSE)),"")</f>
        <v/>
      </c>
      <c r="R30" s="498" t="str">
        <f>IF(C30="","",VLOOKUP(C30,'G-7 Rivers Data'!$B$4:$G$8,4,FALSE))</f>
        <v/>
      </c>
      <c r="S30" s="507" t="str">
        <f t="shared" si="3"/>
        <v/>
      </c>
      <c r="T30" s="540" t="str">
        <f t="shared" si="4"/>
        <v/>
      </c>
      <c r="U30" s="499" t="str">
        <f t="shared" si="5"/>
        <v/>
      </c>
      <c r="V30" s="71"/>
      <c r="W30" s="499" t="str">
        <f>IF(V30="","",IF(VLOOKUP(V30,'G-7 Rivers Data'!$AA$4:$AB$7,2,FALSE)=0,"Spatial Data Missing ⚠",VLOOKUP(V30,'G-7 Rivers Data'!$AA$4:$AB$7,2,FALSE)))</f>
        <v/>
      </c>
      <c r="X30" s="155"/>
      <c r="Y30" s="499" t="str">
        <f>IF(X30="","",IF(VLOOKUP(X30,'G-7 Rivers Data'!$AD$4:$AE$8,2,FALSE)=0,"Enrcoachment Data Missing ⚠",VLOOKUP(X30,'G-7 Rivers Data'!$AD$4:$AE$8,2,FALSE)))</f>
        <v/>
      </c>
      <c r="Z30" s="154"/>
      <c r="AA30" s="524" t="str">
        <f>IF(Z30="","",VLOOKUP(Z30,'G-7 Rivers Data'!$AO$4:$AP$7,2,FALSE))</f>
        <v/>
      </c>
      <c r="AB30" s="545" t="str">
        <f t="shared" si="6"/>
        <v/>
      </c>
      <c r="AC30" s="149"/>
      <c r="AD30" s="150"/>
      <c r="AK30" s="31" t="str">
        <f>IFERROR(INDEX('G-7 Rivers Data'!$AZ$3:$AZ$7,MATCH(C30,'G-7 Rivers Data'!$AY$3:$AY$7,0)),"")</f>
        <v/>
      </c>
    </row>
    <row r="31" spans="2:37" ht="13.8" x14ac:dyDescent="0.25">
      <c r="B31" s="141">
        <v>20</v>
      </c>
      <c r="C31" s="666"/>
      <c r="D31" s="172"/>
      <c r="E31" s="498" t="str">
        <f>IF(C31="","",VLOOKUP(C31,'G-7 Rivers Data'!$B$2:$Z$9,2,FALSE))</f>
        <v/>
      </c>
      <c r="F31" s="499" t="str">
        <f>IFERROR(VLOOKUP(E31,'G-7 Rivers Data'!$C$4:$D$8,2,FALSE),"")</f>
        <v/>
      </c>
      <c r="G31" s="145"/>
      <c r="H31" s="499" t="str">
        <f>IFERROR(INDEX('G-7 Rivers Data'!$H$4:$L$8,MATCH(C31,'G-7 Rivers Data'!$B$4:$B$8,0),MATCH(G31,'G-7 Rivers Data'!$H$3:$L$3,0)),"")</f>
        <v/>
      </c>
      <c r="I31" s="145"/>
      <c r="J31" s="540" t="str">
        <f>IF(I31="","",IF(VLOOKUP(I31,'G-7 Rivers Data'!$AG$4:$AI$9,2,FALSE)=0,"Spatial Data Missing ⚠",VLOOKUP(I31,'G-7 Rivers Data'!$AG$4:$AI$9,2,FALSE)))</f>
        <v/>
      </c>
      <c r="K31" s="499" t="str">
        <f>IF(I31="","",IF(VLOOKUP(I31,'G-7 Rivers Data'!$AG$4:$AI$9,3,FALSE)=0,"Spatial Data Missing ⚠",VLOOKUP(I31,'G-7 Rivers Data'!$AG$4:$AI$9,3,FALSE)))</f>
        <v/>
      </c>
      <c r="L31" s="635" t="str">
        <f>IFERROR(INDEX('G-7 Rivers Data'!$O$3:$O$7,MATCH(G31,'G-7 Rivers Data'!$N$3:$N$7,0)),"")</f>
        <v/>
      </c>
      <c r="M31" s="72"/>
      <c r="N31" s="195"/>
      <c r="O31" s="507" t="str">
        <f t="shared" si="1"/>
        <v/>
      </c>
      <c r="P31" s="521" t="str">
        <f t="shared" si="2"/>
        <v/>
      </c>
      <c r="Q31" s="564" t="str">
        <f>IFERROR(IF(P31="Check Data ⚠","Check Data ⚠",VLOOKUP(P31,'G-4 Temporal multipliers'!$A$4:$C$37,3,FALSE)),"")</f>
        <v/>
      </c>
      <c r="R31" s="498" t="str">
        <f>IF(C31="","",VLOOKUP(C31,'G-7 Rivers Data'!$B$4:$G$8,4,FALSE))</f>
        <v/>
      </c>
      <c r="S31" s="507" t="str">
        <f t="shared" si="3"/>
        <v/>
      </c>
      <c r="T31" s="540" t="str">
        <f t="shared" si="4"/>
        <v/>
      </c>
      <c r="U31" s="499" t="str">
        <f t="shared" si="5"/>
        <v/>
      </c>
      <c r="V31" s="71"/>
      <c r="W31" s="499" t="str">
        <f>IF(V31="","",IF(VLOOKUP(V31,'G-7 Rivers Data'!$AA$4:$AB$7,2,FALSE)=0,"Spatial Data Missing ⚠",VLOOKUP(V31,'G-7 Rivers Data'!$AA$4:$AB$7,2,FALSE)))</f>
        <v/>
      </c>
      <c r="X31" s="155"/>
      <c r="Y31" s="499" t="str">
        <f>IF(X31="","",IF(VLOOKUP(X31,'G-7 Rivers Data'!$AD$4:$AE$8,2,FALSE)=0,"Enrcoachment Data Missing ⚠",VLOOKUP(X31,'G-7 Rivers Data'!$AD$4:$AE$8,2,FALSE)))</f>
        <v/>
      </c>
      <c r="Z31" s="154"/>
      <c r="AA31" s="524" t="str">
        <f>IF(Z31="","",VLOOKUP(Z31,'G-7 Rivers Data'!$AO$4:$AP$7,2,FALSE))</f>
        <v/>
      </c>
      <c r="AB31" s="545" t="str">
        <f t="shared" si="6"/>
        <v/>
      </c>
      <c r="AC31" s="149"/>
      <c r="AD31" s="150"/>
      <c r="AK31" s="31" t="str">
        <f>IFERROR(INDEX('G-7 Rivers Data'!$AZ$3:$AZ$7,MATCH(C31,'G-7 Rivers Data'!$AY$3:$AY$7,0)),"")</f>
        <v/>
      </c>
    </row>
    <row r="32" spans="2:37" ht="13.8" x14ac:dyDescent="0.25">
      <c r="B32" s="141">
        <v>21</v>
      </c>
      <c r="C32" s="666"/>
      <c r="D32" s="172"/>
      <c r="E32" s="498" t="str">
        <f>IF(C32="","",VLOOKUP(C32,'G-7 Rivers Data'!$B$2:$Z$9,2,FALSE))</f>
        <v/>
      </c>
      <c r="F32" s="499" t="str">
        <f>IFERROR(VLOOKUP(E32,'G-7 Rivers Data'!$C$4:$D$8,2,FALSE),"")</f>
        <v/>
      </c>
      <c r="G32" s="145"/>
      <c r="H32" s="499" t="str">
        <f>IFERROR(INDEX('G-7 Rivers Data'!$H$4:$L$8,MATCH(C32,'G-7 Rivers Data'!$B$4:$B$8,0),MATCH(G32,'G-7 Rivers Data'!$H$3:$L$3,0)),"")</f>
        <v/>
      </c>
      <c r="I32" s="145"/>
      <c r="J32" s="540" t="str">
        <f>IF(I32="","",IF(VLOOKUP(I32,'G-7 Rivers Data'!$AG$4:$AI$9,2,FALSE)=0,"Spatial Data Missing ⚠",VLOOKUP(I32,'G-7 Rivers Data'!$AG$4:$AI$9,2,FALSE)))</f>
        <v/>
      </c>
      <c r="K32" s="499" t="str">
        <f>IF(I32="","",IF(VLOOKUP(I32,'G-7 Rivers Data'!$AG$4:$AI$9,3,FALSE)=0,"Spatial Data Missing ⚠",VLOOKUP(I32,'G-7 Rivers Data'!$AG$4:$AI$9,3,FALSE)))</f>
        <v/>
      </c>
      <c r="L32" s="635" t="str">
        <f>IFERROR(INDEX('G-7 Rivers Data'!$O$3:$O$7,MATCH(G32,'G-7 Rivers Data'!$N$3:$N$7,0)),"")</f>
        <v/>
      </c>
      <c r="M32" s="72"/>
      <c r="N32" s="195"/>
      <c r="O32" s="507" t="str">
        <f t="shared" si="1"/>
        <v/>
      </c>
      <c r="P32" s="521" t="str">
        <f t="shared" si="2"/>
        <v/>
      </c>
      <c r="Q32" s="564" t="str">
        <f>IFERROR(IF(P32="Check Data ⚠","Check Data ⚠",VLOOKUP(P32,'G-4 Temporal multipliers'!$A$4:$C$37,3,FALSE)),"")</f>
        <v/>
      </c>
      <c r="R32" s="498" t="str">
        <f>IF(C32="","",VLOOKUP(C32,'G-7 Rivers Data'!$B$4:$G$8,4,FALSE))</f>
        <v/>
      </c>
      <c r="S32" s="507" t="str">
        <f t="shared" si="3"/>
        <v/>
      </c>
      <c r="T32" s="540" t="str">
        <f t="shared" si="4"/>
        <v/>
      </c>
      <c r="U32" s="499" t="str">
        <f t="shared" si="5"/>
        <v/>
      </c>
      <c r="V32" s="71"/>
      <c r="W32" s="499" t="str">
        <f>IF(V32="","",IF(VLOOKUP(V32,'G-7 Rivers Data'!$AA$4:$AB$7,2,FALSE)=0,"Spatial Data Missing ⚠",VLOOKUP(V32,'G-7 Rivers Data'!$AA$4:$AB$7,2,FALSE)))</f>
        <v/>
      </c>
      <c r="X32" s="155"/>
      <c r="Y32" s="499" t="str">
        <f>IF(X32="","",IF(VLOOKUP(X32,'G-7 Rivers Data'!$AD$4:$AE$8,2,FALSE)=0,"Enrcoachment Data Missing ⚠",VLOOKUP(X32,'G-7 Rivers Data'!$AD$4:$AE$8,2,FALSE)))</f>
        <v/>
      </c>
      <c r="Z32" s="154"/>
      <c r="AA32" s="524" t="str">
        <f>IF(Z32="","",VLOOKUP(Z32,'G-7 Rivers Data'!$AO$4:$AP$7,2,FALSE))</f>
        <v/>
      </c>
      <c r="AB32" s="545" t="str">
        <f t="shared" si="6"/>
        <v/>
      </c>
      <c r="AC32" s="149"/>
      <c r="AD32" s="150"/>
      <c r="AK32" s="31" t="str">
        <f>IFERROR(INDEX('G-7 Rivers Data'!$AZ$3:$AZ$7,MATCH(C32,'G-7 Rivers Data'!$AY$3:$AY$7,0)),"")</f>
        <v/>
      </c>
    </row>
    <row r="33" spans="2:37" ht="13.8" x14ac:dyDescent="0.25">
      <c r="B33" s="141">
        <v>22</v>
      </c>
      <c r="C33" s="666"/>
      <c r="D33" s="172"/>
      <c r="E33" s="498" t="str">
        <f>IF(C33="","",VLOOKUP(C33,'G-7 Rivers Data'!$B$2:$Z$9,2,FALSE))</f>
        <v/>
      </c>
      <c r="F33" s="499" t="str">
        <f>IFERROR(VLOOKUP(E33,'G-7 Rivers Data'!$C$4:$D$8,2,FALSE),"")</f>
        <v/>
      </c>
      <c r="G33" s="145"/>
      <c r="H33" s="499" t="str">
        <f>IFERROR(INDEX('G-7 Rivers Data'!$H$4:$L$8,MATCH(C33,'G-7 Rivers Data'!$B$4:$B$8,0),MATCH(G33,'G-7 Rivers Data'!$H$3:$L$3,0)),"")</f>
        <v/>
      </c>
      <c r="I33" s="145"/>
      <c r="J33" s="540" t="str">
        <f>IF(I33="","",IF(VLOOKUP(I33,'G-7 Rivers Data'!$AG$4:$AI$9,2,FALSE)=0,"Spatial Data Missing ⚠",VLOOKUP(I33,'G-7 Rivers Data'!$AG$4:$AI$9,2,FALSE)))</f>
        <v/>
      </c>
      <c r="K33" s="499" t="str">
        <f>IF(I33="","",IF(VLOOKUP(I33,'G-7 Rivers Data'!$AG$4:$AI$9,3,FALSE)=0,"Spatial Data Missing ⚠",VLOOKUP(I33,'G-7 Rivers Data'!$AG$4:$AI$9,3,FALSE)))</f>
        <v/>
      </c>
      <c r="L33" s="635" t="str">
        <f>IFERROR(INDEX('G-7 Rivers Data'!$O$3:$O$7,MATCH(G33,'G-7 Rivers Data'!$N$3:$N$7,0)),"")</f>
        <v/>
      </c>
      <c r="M33" s="72"/>
      <c r="N33" s="195"/>
      <c r="O33" s="507" t="str">
        <f t="shared" si="1"/>
        <v/>
      </c>
      <c r="P33" s="521" t="str">
        <f t="shared" si="2"/>
        <v/>
      </c>
      <c r="Q33" s="564" t="str">
        <f>IFERROR(IF(P33="Check Data ⚠","Check Data ⚠",VLOOKUP(P33,'G-4 Temporal multipliers'!$A$4:$C$37,3,FALSE)),"")</f>
        <v/>
      </c>
      <c r="R33" s="498" t="str">
        <f>IF(C33="","",VLOOKUP(C33,'G-7 Rivers Data'!$B$4:$G$8,4,FALSE))</f>
        <v/>
      </c>
      <c r="S33" s="507" t="str">
        <f t="shared" si="3"/>
        <v/>
      </c>
      <c r="T33" s="540" t="str">
        <f t="shared" si="4"/>
        <v/>
      </c>
      <c r="U33" s="499" t="str">
        <f t="shared" si="5"/>
        <v/>
      </c>
      <c r="V33" s="71"/>
      <c r="W33" s="499" t="str">
        <f>IF(V33="","",IF(VLOOKUP(V33,'G-7 Rivers Data'!$AA$4:$AB$7,2,FALSE)=0,"Spatial Data Missing ⚠",VLOOKUP(V33,'G-7 Rivers Data'!$AA$4:$AB$7,2,FALSE)))</f>
        <v/>
      </c>
      <c r="X33" s="155"/>
      <c r="Y33" s="499" t="str">
        <f>IF(X33="","",IF(VLOOKUP(X33,'G-7 Rivers Data'!$AD$4:$AE$8,2,FALSE)=0,"Enrcoachment Data Missing ⚠",VLOOKUP(X33,'G-7 Rivers Data'!$AD$4:$AE$8,2,FALSE)))</f>
        <v/>
      </c>
      <c r="Z33" s="154"/>
      <c r="AA33" s="524" t="str">
        <f>IF(Z33="","",VLOOKUP(Z33,'G-7 Rivers Data'!$AO$4:$AP$7,2,FALSE))</f>
        <v/>
      </c>
      <c r="AB33" s="545" t="str">
        <f t="shared" si="6"/>
        <v/>
      </c>
      <c r="AC33" s="149"/>
      <c r="AD33" s="150"/>
      <c r="AK33" s="31" t="str">
        <f>IFERROR(INDEX('G-7 Rivers Data'!$AZ$3:$AZ$7,MATCH(C33,'G-7 Rivers Data'!$AY$3:$AY$7,0)),"")</f>
        <v/>
      </c>
    </row>
    <row r="34" spans="2:37" ht="13.8" x14ac:dyDescent="0.25">
      <c r="B34" s="141">
        <v>23</v>
      </c>
      <c r="C34" s="666"/>
      <c r="D34" s="172"/>
      <c r="E34" s="498" t="str">
        <f>IF(C34="","",VLOOKUP(C34,'G-7 Rivers Data'!$B$2:$Z$9,2,FALSE))</f>
        <v/>
      </c>
      <c r="F34" s="499" t="str">
        <f>IFERROR(VLOOKUP(E34,'G-7 Rivers Data'!$C$4:$D$8,2,FALSE),"")</f>
        <v/>
      </c>
      <c r="G34" s="145"/>
      <c r="H34" s="499" t="str">
        <f>IFERROR(INDEX('G-7 Rivers Data'!$H$4:$L$8,MATCH(C34,'G-7 Rivers Data'!$B$4:$B$8,0),MATCH(G34,'G-7 Rivers Data'!$H$3:$L$3,0)),"")</f>
        <v/>
      </c>
      <c r="I34" s="145"/>
      <c r="J34" s="540" t="str">
        <f>IF(I34="","",IF(VLOOKUP(I34,'G-7 Rivers Data'!$AG$4:$AI$9,2,FALSE)=0,"Spatial Data Missing ⚠",VLOOKUP(I34,'G-7 Rivers Data'!$AG$4:$AI$9,2,FALSE)))</f>
        <v/>
      </c>
      <c r="K34" s="499" t="str">
        <f>IF(I34="","",IF(VLOOKUP(I34,'G-7 Rivers Data'!$AG$4:$AI$9,3,FALSE)=0,"Spatial Data Missing ⚠",VLOOKUP(I34,'G-7 Rivers Data'!$AG$4:$AI$9,3,FALSE)))</f>
        <v/>
      </c>
      <c r="L34" s="635" t="str">
        <f>IFERROR(INDEX('G-7 Rivers Data'!$O$3:$O$7,MATCH(G34,'G-7 Rivers Data'!$N$3:$N$7,0)),"")</f>
        <v/>
      </c>
      <c r="M34" s="72"/>
      <c r="N34" s="195"/>
      <c r="O34" s="507" t="str">
        <f t="shared" si="1"/>
        <v/>
      </c>
      <c r="P34" s="521" t="str">
        <f t="shared" si="2"/>
        <v/>
      </c>
      <c r="Q34" s="564" t="str">
        <f>IFERROR(IF(P34="Check Data ⚠","Check Data ⚠",VLOOKUP(P34,'G-4 Temporal multipliers'!$A$4:$C$37,3,FALSE)),"")</f>
        <v/>
      </c>
      <c r="R34" s="498" t="str">
        <f>IF(C34="","",VLOOKUP(C34,'G-7 Rivers Data'!$B$4:$G$8,4,FALSE))</f>
        <v/>
      </c>
      <c r="S34" s="507" t="str">
        <f t="shared" si="3"/>
        <v/>
      </c>
      <c r="T34" s="540" t="str">
        <f t="shared" si="4"/>
        <v/>
      </c>
      <c r="U34" s="499" t="str">
        <f t="shared" si="5"/>
        <v/>
      </c>
      <c r="V34" s="71"/>
      <c r="W34" s="499" t="str">
        <f>IF(V34="","",IF(VLOOKUP(V34,'G-7 Rivers Data'!$AA$4:$AB$7,2,FALSE)=0,"Spatial Data Missing ⚠",VLOOKUP(V34,'G-7 Rivers Data'!$AA$4:$AB$7,2,FALSE)))</f>
        <v/>
      </c>
      <c r="X34" s="155"/>
      <c r="Y34" s="499" t="str">
        <f>IF(X34="","",IF(VLOOKUP(X34,'G-7 Rivers Data'!$AD$4:$AE$8,2,FALSE)=0,"Enrcoachment Data Missing ⚠",VLOOKUP(X34,'G-7 Rivers Data'!$AD$4:$AE$8,2,FALSE)))</f>
        <v/>
      </c>
      <c r="Z34" s="154"/>
      <c r="AA34" s="524" t="str">
        <f>IF(Z34="","",VLOOKUP(Z34,'G-7 Rivers Data'!$AO$4:$AP$7,2,FALSE))</f>
        <v/>
      </c>
      <c r="AB34" s="545" t="str">
        <f t="shared" si="6"/>
        <v/>
      </c>
      <c r="AC34" s="149"/>
      <c r="AD34" s="150"/>
      <c r="AK34" s="31" t="str">
        <f>IFERROR(INDEX('G-7 Rivers Data'!$AZ$3:$AZ$7,MATCH(C34,'G-7 Rivers Data'!$AY$3:$AY$7,0)),"")</f>
        <v/>
      </c>
    </row>
    <row r="35" spans="2:37" ht="13.8" x14ac:dyDescent="0.25">
      <c r="B35" s="141">
        <v>24</v>
      </c>
      <c r="C35" s="666"/>
      <c r="D35" s="172"/>
      <c r="E35" s="498" t="str">
        <f>IF(C35="","",VLOOKUP(C35,'G-7 Rivers Data'!$B$2:$Z$9,2,FALSE))</f>
        <v/>
      </c>
      <c r="F35" s="499" t="str">
        <f>IFERROR(VLOOKUP(E35,'G-7 Rivers Data'!$C$4:$D$8,2,FALSE),"")</f>
        <v/>
      </c>
      <c r="G35" s="145"/>
      <c r="H35" s="499" t="str">
        <f>IFERROR(INDEX('G-7 Rivers Data'!$H$4:$L$8,MATCH(C35,'G-7 Rivers Data'!$B$4:$B$8,0),MATCH(G35,'G-7 Rivers Data'!$H$3:$L$3,0)),"")</f>
        <v/>
      </c>
      <c r="I35" s="145"/>
      <c r="J35" s="540" t="str">
        <f>IF(I35="","",IF(VLOOKUP(I35,'G-7 Rivers Data'!$AG$4:$AI$9,2,FALSE)=0,"Spatial Data Missing ⚠",VLOOKUP(I35,'G-7 Rivers Data'!$AG$4:$AI$9,2,FALSE)))</f>
        <v/>
      </c>
      <c r="K35" s="499" t="str">
        <f>IF(I35="","",IF(VLOOKUP(I35,'G-7 Rivers Data'!$AG$4:$AI$9,3,FALSE)=0,"Spatial Data Missing ⚠",VLOOKUP(I35,'G-7 Rivers Data'!$AG$4:$AI$9,3,FALSE)))</f>
        <v/>
      </c>
      <c r="L35" s="635" t="str">
        <f>IFERROR(INDEX('G-7 Rivers Data'!$O$3:$O$7,MATCH(G35,'G-7 Rivers Data'!$N$3:$N$7,0)),"")</f>
        <v/>
      </c>
      <c r="M35" s="72"/>
      <c r="N35" s="195"/>
      <c r="O35" s="507" t="str">
        <f t="shared" si="1"/>
        <v/>
      </c>
      <c r="P35" s="521" t="str">
        <f t="shared" si="2"/>
        <v/>
      </c>
      <c r="Q35" s="564" t="str">
        <f>IFERROR(IF(P35="Check Data ⚠","Check Data ⚠",VLOOKUP(P35,'G-4 Temporal multipliers'!$A$4:$C$37,3,FALSE)),"")</f>
        <v/>
      </c>
      <c r="R35" s="498" t="str">
        <f>IF(C35="","",VLOOKUP(C35,'G-7 Rivers Data'!$B$4:$G$8,4,FALSE))</f>
        <v/>
      </c>
      <c r="S35" s="507" t="str">
        <f t="shared" si="3"/>
        <v/>
      </c>
      <c r="T35" s="540" t="str">
        <f t="shared" si="4"/>
        <v/>
      </c>
      <c r="U35" s="499" t="str">
        <f t="shared" si="5"/>
        <v/>
      </c>
      <c r="V35" s="71"/>
      <c r="W35" s="499" t="str">
        <f>IF(V35="","",IF(VLOOKUP(V35,'G-7 Rivers Data'!$AA$4:$AB$7,2,FALSE)=0,"Spatial Data Missing ⚠",VLOOKUP(V35,'G-7 Rivers Data'!$AA$4:$AB$7,2,FALSE)))</f>
        <v/>
      </c>
      <c r="X35" s="155"/>
      <c r="Y35" s="499" t="str">
        <f>IF(X35="","",IF(VLOOKUP(X35,'G-7 Rivers Data'!$AD$4:$AE$8,2,FALSE)=0,"Enrcoachment Data Missing ⚠",VLOOKUP(X35,'G-7 Rivers Data'!$AD$4:$AE$8,2,FALSE)))</f>
        <v/>
      </c>
      <c r="Z35" s="154"/>
      <c r="AA35" s="524" t="str">
        <f>IF(Z35="","",VLOOKUP(Z35,'G-7 Rivers Data'!$AO$4:$AP$7,2,FALSE))</f>
        <v/>
      </c>
      <c r="AB35" s="545" t="str">
        <f t="shared" si="6"/>
        <v/>
      </c>
      <c r="AC35" s="149"/>
      <c r="AD35" s="150"/>
      <c r="AK35" s="31" t="str">
        <f>IFERROR(INDEX('G-7 Rivers Data'!$AZ$3:$AZ$7,MATCH(C35,'G-7 Rivers Data'!$AY$3:$AY$7,0)),"")</f>
        <v/>
      </c>
    </row>
    <row r="36" spans="2:37" ht="13.8" x14ac:dyDescent="0.25">
      <c r="B36" s="141">
        <v>25</v>
      </c>
      <c r="C36" s="666"/>
      <c r="D36" s="172"/>
      <c r="E36" s="498" t="str">
        <f>IF(C36="","",VLOOKUP(C36,'G-7 Rivers Data'!$B$2:$Z$9,2,FALSE))</f>
        <v/>
      </c>
      <c r="F36" s="499" t="str">
        <f>IFERROR(VLOOKUP(E36,'G-7 Rivers Data'!$C$4:$D$8,2,FALSE),"")</f>
        <v/>
      </c>
      <c r="G36" s="145"/>
      <c r="H36" s="499" t="str">
        <f>IFERROR(INDEX('G-7 Rivers Data'!$H$4:$L$8,MATCH(C36,'G-7 Rivers Data'!$B$4:$B$8,0),MATCH(G36,'G-7 Rivers Data'!$H$3:$L$3,0)),"")</f>
        <v/>
      </c>
      <c r="I36" s="145"/>
      <c r="J36" s="540" t="str">
        <f>IF(I36="","",IF(VLOOKUP(I36,'G-7 Rivers Data'!$AG$4:$AI$9,2,FALSE)=0,"Spatial Data Missing ⚠",VLOOKUP(I36,'G-7 Rivers Data'!$AG$4:$AI$9,2,FALSE)))</f>
        <v/>
      </c>
      <c r="K36" s="499" t="str">
        <f>IF(I36="","",IF(VLOOKUP(I36,'G-7 Rivers Data'!$AG$4:$AI$9,3,FALSE)=0,"Spatial Data Missing ⚠",VLOOKUP(I36,'G-7 Rivers Data'!$AG$4:$AI$9,3,FALSE)))</f>
        <v/>
      </c>
      <c r="L36" s="635" t="str">
        <f>IFERROR(INDEX('G-7 Rivers Data'!$O$3:$O$7,MATCH(G36,'G-7 Rivers Data'!$N$3:$N$7,0)),"")</f>
        <v/>
      </c>
      <c r="M36" s="72"/>
      <c r="N36" s="195"/>
      <c r="O36" s="507" t="str">
        <f t="shared" si="1"/>
        <v/>
      </c>
      <c r="P36" s="521" t="str">
        <f t="shared" si="2"/>
        <v/>
      </c>
      <c r="Q36" s="564" t="str">
        <f>IFERROR(IF(P36="Check Data ⚠","Check Data ⚠",VLOOKUP(P36,'G-4 Temporal multipliers'!$A$4:$C$37,3,FALSE)),"")</f>
        <v/>
      </c>
      <c r="R36" s="498" t="str">
        <f>IF(C36="","",VLOOKUP(C36,'G-7 Rivers Data'!$B$4:$G$8,4,FALSE))</f>
        <v/>
      </c>
      <c r="S36" s="507" t="str">
        <f t="shared" si="3"/>
        <v/>
      </c>
      <c r="T36" s="540" t="str">
        <f t="shared" si="4"/>
        <v/>
      </c>
      <c r="U36" s="499" t="str">
        <f t="shared" si="5"/>
        <v/>
      </c>
      <c r="V36" s="71"/>
      <c r="W36" s="499" t="str">
        <f>IF(V36="","",IF(VLOOKUP(V36,'G-7 Rivers Data'!$AA$4:$AB$7,2,FALSE)=0,"Spatial Data Missing ⚠",VLOOKUP(V36,'G-7 Rivers Data'!$AA$4:$AB$7,2,FALSE)))</f>
        <v/>
      </c>
      <c r="X36" s="155"/>
      <c r="Y36" s="499" t="str">
        <f>IF(X36="","",IF(VLOOKUP(X36,'G-7 Rivers Data'!$AD$4:$AE$8,2,FALSE)=0,"Enrcoachment Data Missing ⚠",VLOOKUP(X36,'G-7 Rivers Data'!$AD$4:$AE$8,2,FALSE)))</f>
        <v/>
      </c>
      <c r="Z36" s="154"/>
      <c r="AA36" s="524" t="str">
        <f>IF(Z36="","",VLOOKUP(Z36,'G-7 Rivers Data'!$AO$4:$AP$7,2,FALSE))</f>
        <v/>
      </c>
      <c r="AB36" s="545" t="str">
        <f t="shared" si="6"/>
        <v/>
      </c>
      <c r="AC36" s="149"/>
      <c r="AD36" s="150"/>
      <c r="AK36" s="31" t="str">
        <f>IFERROR(INDEX('G-7 Rivers Data'!$AZ$3:$AZ$7,MATCH(C36,'G-7 Rivers Data'!$AY$3:$AY$7,0)),"")</f>
        <v/>
      </c>
    </row>
    <row r="37" spans="2:37" ht="13.8" x14ac:dyDescent="0.25">
      <c r="B37" s="141">
        <v>26</v>
      </c>
      <c r="C37" s="666"/>
      <c r="D37" s="172"/>
      <c r="E37" s="498" t="str">
        <f>IF(C37="","",VLOOKUP(C37,'G-7 Rivers Data'!$B$2:$Z$9,2,FALSE))</f>
        <v/>
      </c>
      <c r="F37" s="499" t="str">
        <f>IFERROR(VLOOKUP(E37,'G-7 Rivers Data'!$C$4:$D$8,2,FALSE),"")</f>
        <v/>
      </c>
      <c r="G37" s="145"/>
      <c r="H37" s="499" t="str">
        <f>IFERROR(INDEX('G-7 Rivers Data'!$H$4:$L$8,MATCH(C37,'G-7 Rivers Data'!$B$4:$B$8,0),MATCH(G37,'G-7 Rivers Data'!$H$3:$L$3,0)),"")</f>
        <v/>
      </c>
      <c r="I37" s="145"/>
      <c r="J37" s="540" t="str">
        <f>IF(I37="","",IF(VLOOKUP(I37,'G-7 Rivers Data'!$AG$4:$AI$9,2,FALSE)=0,"Spatial Data Missing ⚠",VLOOKUP(I37,'G-7 Rivers Data'!$AG$4:$AI$9,2,FALSE)))</f>
        <v/>
      </c>
      <c r="K37" s="499" t="str">
        <f>IF(I37="","",IF(VLOOKUP(I37,'G-7 Rivers Data'!$AG$4:$AI$9,3,FALSE)=0,"Spatial Data Missing ⚠",VLOOKUP(I37,'G-7 Rivers Data'!$AG$4:$AI$9,3,FALSE)))</f>
        <v/>
      </c>
      <c r="L37" s="635" t="str">
        <f>IFERROR(INDEX('G-7 Rivers Data'!$O$3:$O$7,MATCH(G37,'G-7 Rivers Data'!$N$3:$N$7,0)),"")</f>
        <v/>
      </c>
      <c r="M37" s="72"/>
      <c r="N37" s="195"/>
      <c r="O37" s="507" t="str">
        <f t="shared" si="1"/>
        <v/>
      </c>
      <c r="P37" s="521" t="str">
        <f t="shared" si="2"/>
        <v/>
      </c>
      <c r="Q37" s="564" t="str">
        <f>IFERROR(IF(P37="Check Data ⚠","Check Data ⚠",VLOOKUP(P37,'G-4 Temporal multipliers'!$A$4:$C$37,3,FALSE)),"")</f>
        <v/>
      </c>
      <c r="R37" s="498" t="str">
        <f>IF(C37="","",VLOOKUP(C37,'G-7 Rivers Data'!$B$4:$G$8,4,FALSE))</f>
        <v/>
      </c>
      <c r="S37" s="507" t="str">
        <f t="shared" si="3"/>
        <v/>
      </c>
      <c r="T37" s="540" t="str">
        <f t="shared" si="4"/>
        <v/>
      </c>
      <c r="U37" s="499" t="str">
        <f t="shared" si="5"/>
        <v/>
      </c>
      <c r="V37" s="71"/>
      <c r="W37" s="499" t="str">
        <f>IF(V37="","",IF(VLOOKUP(V37,'G-7 Rivers Data'!$AA$4:$AB$7,2,FALSE)=0,"Spatial Data Missing ⚠",VLOOKUP(V37,'G-7 Rivers Data'!$AA$4:$AB$7,2,FALSE)))</f>
        <v/>
      </c>
      <c r="X37" s="155"/>
      <c r="Y37" s="499" t="str">
        <f>IF(X37="","",IF(VLOOKUP(X37,'G-7 Rivers Data'!$AD$4:$AE$8,2,FALSE)=0,"Enrcoachment Data Missing ⚠",VLOOKUP(X37,'G-7 Rivers Data'!$AD$4:$AE$8,2,FALSE)))</f>
        <v/>
      </c>
      <c r="Z37" s="154"/>
      <c r="AA37" s="524" t="str">
        <f>IF(Z37="","",VLOOKUP(Z37,'G-7 Rivers Data'!$AO$4:$AP$7,2,FALSE))</f>
        <v/>
      </c>
      <c r="AB37" s="545" t="str">
        <f t="shared" si="6"/>
        <v/>
      </c>
      <c r="AC37" s="149"/>
      <c r="AD37" s="150"/>
      <c r="AK37" s="31" t="str">
        <f>IFERROR(INDEX('G-7 Rivers Data'!$AZ$3:$AZ$7,MATCH(C37,'G-7 Rivers Data'!$AY$3:$AY$7,0)),"")</f>
        <v/>
      </c>
    </row>
    <row r="38" spans="2:37" ht="13.8" x14ac:dyDescent="0.25">
      <c r="B38" s="141">
        <v>27</v>
      </c>
      <c r="C38" s="666"/>
      <c r="D38" s="172"/>
      <c r="E38" s="498" t="str">
        <f>IF(C38="","",VLOOKUP(C38,'G-7 Rivers Data'!$B$2:$Z$9,2,FALSE))</f>
        <v/>
      </c>
      <c r="F38" s="499" t="str">
        <f>IFERROR(VLOOKUP(E38,'G-7 Rivers Data'!$C$4:$D$8,2,FALSE),"")</f>
        <v/>
      </c>
      <c r="G38" s="145"/>
      <c r="H38" s="499" t="str">
        <f>IFERROR(INDEX('G-7 Rivers Data'!$H$4:$L$8,MATCH(C38,'G-7 Rivers Data'!$B$4:$B$8,0),MATCH(G38,'G-7 Rivers Data'!$H$3:$L$3,0)),"")</f>
        <v/>
      </c>
      <c r="I38" s="145"/>
      <c r="J38" s="540" t="str">
        <f>IF(I38="","",IF(VLOOKUP(I38,'G-7 Rivers Data'!$AG$4:$AI$9,2,FALSE)=0,"Spatial Data Missing ⚠",VLOOKUP(I38,'G-7 Rivers Data'!$AG$4:$AI$9,2,FALSE)))</f>
        <v/>
      </c>
      <c r="K38" s="499" t="str">
        <f>IF(I38="","",IF(VLOOKUP(I38,'G-7 Rivers Data'!$AG$4:$AI$9,3,FALSE)=0,"Spatial Data Missing ⚠",VLOOKUP(I38,'G-7 Rivers Data'!$AG$4:$AI$9,3,FALSE)))</f>
        <v/>
      </c>
      <c r="L38" s="635" t="str">
        <f>IFERROR(INDEX('G-7 Rivers Data'!$O$3:$O$7,MATCH(G38,'G-7 Rivers Data'!$N$3:$N$7,0)),"")</f>
        <v/>
      </c>
      <c r="M38" s="72"/>
      <c r="N38" s="195"/>
      <c r="O38" s="507" t="str">
        <f t="shared" si="1"/>
        <v/>
      </c>
      <c r="P38" s="521" t="str">
        <f t="shared" si="2"/>
        <v/>
      </c>
      <c r="Q38" s="564" t="str">
        <f>IFERROR(IF(P38="Check Data ⚠","Check Data ⚠",VLOOKUP(P38,'G-4 Temporal multipliers'!$A$4:$C$37,3,FALSE)),"")</f>
        <v/>
      </c>
      <c r="R38" s="498" t="str">
        <f>IF(C38="","",VLOOKUP(C38,'G-7 Rivers Data'!$B$4:$G$8,4,FALSE))</f>
        <v/>
      </c>
      <c r="S38" s="507" t="str">
        <f t="shared" si="3"/>
        <v/>
      </c>
      <c r="T38" s="540" t="str">
        <f t="shared" si="4"/>
        <v/>
      </c>
      <c r="U38" s="499" t="str">
        <f t="shared" si="5"/>
        <v/>
      </c>
      <c r="V38" s="71"/>
      <c r="W38" s="499" t="str">
        <f>IF(V38="","",IF(VLOOKUP(V38,'G-7 Rivers Data'!$AA$4:$AB$7,2,FALSE)=0,"Spatial Data Missing ⚠",VLOOKUP(V38,'G-7 Rivers Data'!$AA$4:$AB$7,2,FALSE)))</f>
        <v/>
      </c>
      <c r="X38" s="155"/>
      <c r="Y38" s="499" t="str">
        <f>IF(X38="","",IF(VLOOKUP(X38,'G-7 Rivers Data'!$AD$4:$AE$8,2,FALSE)=0,"Enrcoachment Data Missing ⚠",VLOOKUP(X38,'G-7 Rivers Data'!$AD$4:$AE$8,2,FALSE)))</f>
        <v/>
      </c>
      <c r="Z38" s="154"/>
      <c r="AA38" s="524" t="str">
        <f>IF(Z38="","",VLOOKUP(Z38,'G-7 Rivers Data'!$AO$4:$AP$7,2,FALSE))</f>
        <v/>
      </c>
      <c r="AB38" s="545" t="str">
        <f t="shared" si="6"/>
        <v/>
      </c>
      <c r="AC38" s="149"/>
      <c r="AD38" s="150"/>
      <c r="AK38" s="31" t="str">
        <f>IFERROR(INDEX('G-7 Rivers Data'!$AZ$3:$AZ$7,MATCH(C38,'G-7 Rivers Data'!$AY$3:$AY$7,0)),"")</f>
        <v/>
      </c>
    </row>
    <row r="39" spans="2:37" ht="13.8" x14ac:dyDescent="0.25">
      <c r="B39" s="141">
        <v>28</v>
      </c>
      <c r="C39" s="666"/>
      <c r="D39" s="172"/>
      <c r="E39" s="498" t="str">
        <f>IF(C39="","",VLOOKUP(C39,'G-7 Rivers Data'!$B$2:$Z$9,2,FALSE))</f>
        <v/>
      </c>
      <c r="F39" s="499" t="str">
        <f>IFERROR(VLOOKUP(E39,'G-7 Rivers Data'!$C$4:$D$8,2,FALSE),"")</f>
        <v/>
      </c>
      <c r="G39" s="145"/>
      <c r="H39" s="499" t="str">
        <f>IFERROR(INDEX('G-7 Rivers Data'!$H$4:$L$8,MATCH(C39,'G-7 Rivers Data'!$B$4:$B$8,0),MATCH(G39,'G-7 Rivers Data'!$H$3:$L$3,0)),"")</f>
        <v/>
      </c>
      <c r="I39" s="145"/>
      <c r="J39" s="540" t="str">
        <f>IF(I39="","",IF(VLOOKUP(I39,'G-7 Rivers Data'!$AG$4:$AI$9,2,FALSE)=0,"Spatial Data Missing ⚠",VLOOKUP(I39,'G-7 Rivers Data'!$AG$4:$AI$9,2,FALSE)))</f>
        <v/>
      </c>
      <c r="K39" s="499" t="str">
        <f>IF(I39="","",IF(VLOOKUP(I39,'G-7 Rivers Data'!$AG$4:$AI$9,3,FALSE)=0,"Spatial Data Missing ⚠",VLOOKUP(I39,'G-7 Rivers Data'!$AG$4:$AI$9,3,FALSE)))</f>
        <v/>
      </c>
      <c r="L39" s="635" t="str">
        <f>IFERROR(INDEX('G-7 Rivers Data'!$O$3:$O$7,MATCH(G39,'G-7 Rivers Data'!$N$3:$N$7,0)),"")</f>
        <v/>
      </c>
      <c r="M39" s="72"/>
      <c r="N39" s="195"/>
      <c r="O39" s="507" t="str">
        <f t="shared" si="1"/>
        <v/>
      </c>
      <c r="P39" s="521" t="str">
        <f t="shared" si="2"/>
        <v/>
      </c>
      <c r="Q39" s="564" t="str">
        <f>IFERROR(IF(P39="Check Data ⚠","Check Data ⚠",VLOOKUP(P39,'G-4 Temporal multipliers'!$A$4:$C$37,3,FALSE)),"")</f>
        <v/>
      </c>
      <c r="R39" s="498" t="str">
        <f>IF(C39="","",VLOOKUP(C39,'G-7 Rivers Data'!$B$4:$G$8,4,FALSE))</f>
        <v/>
      </c>
      <c r="S39" s="507" t="str">
        <f t="shared" si="3"/>
        <v/>
      </c>
      <c r="T39" s="540" t="str">
        <f t="shared" si="4"/>
        <v/>
      </c>
      <c r="U39" s="499" t="str">
        <f t="shared" si="5"/>
        <v/>
      </c>
      <c r="V39" s="71"/>
      <c r="W39" s="499" t="str">
        <f>IF(V39="","",IF(VLOOKUP(V39,'G-7 Rivers Data'!$AA$4:$AB$7,2,FALSE)=0,"Spatial Data Missing ⚠",VLOOKUP(V39,'G-7 Rivers Data'!$AA$4:$AB$7,2,FALSE)))</f>
        <v/>
      </c>
      <c r="X39" s="155"/>
      <c r="Y39" s="499" t="str">
        <f>IF(X39="","",IF(VLOOKUP(X39,'G-7 Rivers Data'!$AD$4:$AE$8,2,FALSE)=0,"Enrcoachment Data Missing ⚠",VLOOKUP(X39,'G-7 Rivers Data'!$AD$4:$AE$8,2,FALSE)))</f>
        <v/>
      </c>
      <c r="Z39" s="154"/>
      <c r="AA39" s="524" t="str">
        <f>IF(Z39="","",VLOOKUP(Z39,'G-7 Rivers Data'!$AO$4:$AP$7,2,FALSE))</f>
        <v/>
      </c>
      <c r="AB39" s="545" t="str">
        <f t="shared" si="6"/>
        <v/>
      </c>
      <c r="AC39" s="149"/>
      <c r="AD39" s="150"/>
      <c r="AK39" s="31" t="str">
        <f>IFERROR(INDEX('G-7 Rivers Data'!$AZ$3:$AZ$7,MATCH(C39,'G-7 Rivers Data'!$AY$3:$AY$7,0)),"")</f>
        <v/>
      </c>
    </row>
    <row r="40" spans="2:37" ht="13.8" x14ac:dyDescent="0.25">
      <c r="B40" s="141">
        <v>29</v>
      </c>
      <c r="C40" s="666"/>
      <c r="D40" s="172"/>
      <c r="E40" s="498" t="str">
        <f>IF(C40="","",VLOOKUP(C40,'G-7 Rivers Data'!$B$2:$Z$9,2,FALSE))</f>
        <v/>
      </c>
      <c r="F40" s="499" t="str">
        <f>IFERROR(VLOOKUP(E40,'G-7 Rivers Data'!$C$4:$D$8,2,FALSE),"")</f>
        <v/>
      </c>
      <c r="G40" s="145"/>
      <c r="H40" s="499" t="str">
        <f>IFERROR(INDEX('G-7 Rivers Data'!$H$4:$L$8,MATCH(C40,'G-7 Rivers Data'!$B$4:$B$8,0),MATCH(G40,'G-7 Rivers Data'!$H$3:$L$3,0)),"")</f>
        <v/>
      </c>
      <c r="I40" s="145"/>
      <c r="J40" s="540" t="str">
        <f>IF(I40="","",IF(VLOOKUP(I40,'G-7 Rivers Data'!$AG$4:$AI$9,2,FALSE)=0,"Spatial Data Missing ⚠",VLOOKUP(I40,'G-7 Rivers Data'!$AG$4:$AI$9,2,FALSE)))</f>
        <v/>
      </c>
      <c r="K40" s="499" t="str">
        <f>IF(I40="","",IF(VLOOKUP(I40,'G-7 Rivers Data'!$AG$4:$AI$9,3,FALSE)=0,"Spatial Data Missing ⚠",VLOOKUP(I40,'G-7 Rivers Data'!$AG$4:$AI$9,3,FALSE)))</f>
        <v/>
      </c>
      <c r="L40" s="635" t="str">
        <f>IFERROR(INDEX('G-7 Rivers Data'!$O$3:$O$7,MATCH(G40,'G-7 Rivers Data'!$N$3:$N$7,0)),"")</f>
        <v/>
      </c>
      <c r="M40" s="72"/>
      <c r="N40" s="195"/>
      <c r="O40" s="507" t="str">
        <f t="shared" si="1"/>
        <v/>
      </c>
      <c r="P40" s="521" t="str">
        <f t="shared" si="2"/>
        <v/>
      </c>
      <c r="Q40" s="564" t="str">
        <f>IFERROR(IF(P40="Check Data ⚠","Check Data ⚠",VLOOKUP(P40,'G-4 Temporal multipliers'!$A$4:$C$37,3,FALSE)),"")</f>
        <v/>
      </c>
      <c r="R40" s="498" t="str">
        <f>IF(C40="","",VLOOKUP(C40,'G-7 Rivers Data'!$B$4:$G$8,4,FALSE))</f>
        <v/>
      </c>
      <c r="S40" s="507" t="str">
        <f t="shared" si="3"/>
        <v/>
      </c>
      <c r="T40" s="540" t="str">
        <f t="shared" si="4"/>
        <v/>
      </c>
      <c r="U40" s="499" t="str">
        <f t="shared" si="5"/>
        <v/>
      </c>
      <c r="V40" s="71"/>
      <c r="W40" s="499" t="str">
        <f>IF(V40="","",IF(VLOOKUP(V40,'G-7 Rivers Data'!$AA$4:$AB$7,2,FALSE)=0,"Spatial Data Missing ⚠",VLOOKUP(V40,'G-7 Rivers Data'!$AA$4:$AB$7,2,FALSE)))</f>
        <v/>
      </c>
      <c r="X40" s="155"/>
      <c r="Y40" s="499" t="str">
        <f>IF(X40="","",IF(VLOOKUP(X40,'G-7 Rivers Data'!$AD$4:$AE$8,2,FALSE)=0,"Enrcoachment Data Missing ⚠",VLOOKUP(X40,'G-7 Rivers Data'!$AD$4:$AE$8,2,FALSE)))</f>
        <v/>
      </c>
      <c r="Z40" s="154"/>
      <c r="AA40" s="524" t="str">
        <f>IF(Z40="","",VLOOKUP(Z40,'G-7 Rivers Data'!$AO$4:$AP$7,2,FALSE))</f>
        <v/>
      </c>
      <c r="AB40" s="545" t="str">
        <f t="shared" si="6"/>
        <v/>
      </c>
      <c r="AC40" s="149"/>
      <c r="AD40" s="150"/>
      <c r="AK40" s="31" t="str">
        <f>IFERROR(INDEX('G-7 Rivers Data'!$AZ$3:$AZ$7,MATCH(C40,'G-7 Rivers Data'!$AY$3:$AY$7,0)),"")</f>
        <v/>
      </c>
    </row>
    <row r="41" spans="2:37" ht="13.8" x14ac:dyDescent="0.25">
      <c r="B41" s="141">
        <v>30</v>
      </c>
      <c r="C41" s="666"/>
      <c r="D41" s="172"/>
      <c r="E41" s="498" t="str">
        <f>IF(C41="","",VLOOKUP(C41,'G-7 Rivers Data'!$B$2:$Z$9,2,FALSE))</f>
        <v/>
      </c>
      <c r="F41" s="499" t="str">
        <f>IFERROR(VLOOKUP(E41,'G-7 Rivers Data'!$C$4:$D$8,2,FALSE),"")</f>
        <v/>
      </c>
      <c r="G41" s="145"/>
      <c r="H41" s="499" t="str">
        <f>IFERROR(INDEX('G-7 Rivers Data'!$H$4:$L$8,MATCH(C41,'G-7 Rivers Data'!$B$4:$B$8,0),MATCH(G41,'G-7 Rivers Data'!$H$3:$L$3,0)),"")</f>
        <v/>
      </c>
      <c r="I41" s="145"/>
      <c r="J41" s="540" t="str">
        <f>IF(I41="","",IF(VLOOKUP(I41,'G-7 Rivers Data'!$AG$4:$AI$9,2,FALSE)=0,"Spatial Data Missing ⚠",VLOOKUP(I41,'G-7 Rivers Data'!$AG$4:$AI$9,2,FALSE)))</f>
        <v/>
      </c>
      <c r="K41" s="499" t="str">
        <f>IF(I41="","",IF(VLOOKUP(I41,'G-7 Rivers Data'!$AG$4:$AI$9,3,FALSE)=0,"Spatial Data Missing ⚠",VLOOKUP(I41,'G-7 Rivers Data'!$AG$4:$AI$9,3,FALSE)))</f>
        <v/>
      </c>
      <c r="L41" s="635" t="str">
        <f>IFERROR(INDEX('G-7 Rivers Data'!$O$3:$O$7,MATCH(G41,'G-7 Rivers Data'!$N$3:$N$7,0)),"")</f>
        <v/>
      </c>
      <c r="M41" s="72"/>
      <c r="N41" s="195"/>
      <c r="O41" s="507" t="str">
        <f t="shared" si="1"/>
        <v/>
      </c>
      <c r="P41" s="521" t="str">
        <f t="shared" si="2"/>
        <v/>
      </c>
      <c r="Q41" s="564" t="str">
        <f>IFERROR(IF(P41="Check Data ⚠","Check Data ⚠",VLOOKUP(P41,'G-4 Temporal multipliers'!$A$4:$C$37,3,FALSE)),"")</f>
        <v/>
      </c>
      <c r="R41" s="498" t="str">
        <f>IF(C41="","",VLOOKUP(C41,'G-7 Rivers Data'!$B$4:$G$8,4,FALSE))</f>
        <v/>
      </c>
      <c r="S41" s="507" t="str">
        <f t="shared" si="3"/>
        <v/>
      </c>
      <c r="T41" s="540" t="str">
        <f t="shared" si="4"/>
        <v/>
      </c>
      <c r="U41" s="499" t="str">
        <f t="shared" si="5"/>
        <v/>
      </c>
      <c r="V41" s="71"/>
      <c r="W41" s="499" t="str">
        <f>IF(V41="","",IF(VLOOKUP(V41,'G-7 Rivers Data'!$AA$4:$AB$7,2,FALSE)=0,"Spatial Data Missing ⚠",VLOOKUP(V41,'G-7 Rivers Data'!$AA$4:$AB$7,2,FALSE)))</f>
        <v/>
      </c>
      <c r="X41" s="155"/>
      <c r="Y41" s="499" t="str">
        <f>IF(X41="","",IF(VLOOKUP(X41,'G-7 Rivers Data'!$AD$4:$AE$8,2,FALSE)=0,"Enrcoachment Data Missing ⚠",VLOOKUP(X41,'G-7 Rivers Data'!$AD$4:$AE$8,2,FALSE)))</f>
        <v/>
      </c>
      <c r="Z41" s="154"/>
      <c r="AA41" s="524" t="str">
        <f>IF(Z41="","",VLOOKUP(Z41,'G-7 Rivers Data'!$AO$4:$AP$7,2,FALSE))</f>
        <v/>
      </c>
      <c r="AB41" s="545" t="str">
        <f t="shared" si="6"/>
        <v/>
      </c>
      <c r="AC41" s="149"/>
      <c r="AD41" s="150"/>
      <c r="AK41" s="31" t="str">
        <f>IFERROR(INDEX('G-7 Rivers Data'!$AZ$3:$AZ$7,MATCH(C41,'G-7 Rivers Data'!$AY$3:$AY$7,0)),"")</f>
        <v/>
      </c>
    </row>
    <row r="42" spans="2:37" ht="13.8" x14ac:dyDescent="0.25">
      <c r="B42" s="141">
        <v>31</v>
      </c>
      <c r="C42" s="666"/>
      <c r="D42" s="172"/>
      <c r="E42" s="498" t="str">
        <f>IF(C42="","",VLOOKUP(C42,'G-7 Rivers Data'!$B$2:$Z$9,2,FALSE))</f>
        <v/>
      </c>
      <c r="F42" s="499" t="str">
        <f>IFERROR(VLOOKUP(E42,'G-7 Rivers Data'!$C$4:$D$8,2,FALSE),"")</f>
        <v/>
      </c>
      <c r="G42" s="145"/>
      <c r="H42" s="499" t="str">
        <f>IFERROR(INDEX('G-7 Rivers Data'!$H$4:$L$8,MATCH(C42,'G-7 Rivers Data'!$B$4:$B$8,0),MATCH(G42,'G-7 Rivers Data'!$H$3:$L$3,0)),"")</f>
        <v/>
      </c>
      <c r="I42" s="145"/>
      <c r="J42" s="540" t="str">
        <f>IF(I42="","",IF(VLOOKUP(I42,'G-7 Rivers Data'!$AG$4:$AI$9,2,FALSE)=0,"Spatial Data Missing ⚠",VLOOKUP(I42,'G-7 Rivers Data'!$AG$4:$AI$9,2,FALSE)))</f>
        <v/>
      </c>
      <c r="K42" s="499" t="str">
        <f>IF(I42="","",IF(VLOOKUP(I42,'G-7 Rivers Data'!$AG$4:$AI$9,3,FALSE)=0,"Spatial Data Missing ⚠",VLOOKUP(I42,'G-7 Rivers Data'!$AG$4:$AI$9,3,FALSE)))</f>
        <v/>
      </c>
      <c r="L42" s="635" t="str">
        <f>IFERROR(INDEX('G-7 Rivers Data'!$O$3:$O$7,MATCH(G42,'G-7 Rivers Data'!$N$3:$N$7,0)),"")</f>
        <v/>
      </c>
      <c r="M42" s="72"/>
      <c r="N42" s="195"/>
      <c r="O42" s="507" t="str">
        <f t="shared" si="1"/>
        <v/>
      </c>
      <c r="P42" s="521" t="str">
        <f t="shared" si="2"/>
        <v/>
      </c>
      <c r="Q42" s="564" t="str">
        <f>IFERROR(IF(P42="Check Data ⚠","Check Data ⚠",VLOOKUP(P42,'G-4 Temporal multipliers'!$A$4:$C$37,3,FALSE)),"")</f>
        <v/>
      </c>
      <c r="R42" s="498" t="str">
        <f>IF(C42="","",VLOOKUP(C42,'G-7 Rivers Data'!$B$4:$G$8,4,FALSE))</f>
        <v/>
      </c>
      <c r="S42" s="507" t="str">
        <f t="shared" si="3"/>
        <v/>
      </c>
      <c r="T42" s="540" t="str">
        <f t="shared" si="4"/>
        <v/>
      </c>
      <c r="U42" s="499" t="str">
        <f t="shared" si="5"/>
        <v/>
      </c>
      <c r="V42" s="71"/>
      <c r="W42" s="499" t="str">
        <f>IF(V42="","",IF(VLOOKUP(V42,'G-7 Rivers Data'!$AA$4:$AB$7,2,FALSE)=0,"Spatial Data Missing ⚠",VLOOKUP(V42,'G-7 Rivers Data'!$AA$4:$AB$7,2,FALSE)))</f>
        <v/>
      </c>
      <c r="X42" s="155"/>
      <c r="Y42" s="499" t="str">
        <f>IF(X42="","",IF(VLOOKUP(X42,'G-7 Rivers Data'!$AD$4:$AE$8,2,FALSE)=0,"Enrcoachment Data Missing ⚠",VLOOKUP(X42,'G-7 Rivers Data'!$AD$4:$AE$8,2,FALSE)))</f>
        <v/>
      </c>
      <c r="Z42" s="154"/>
      <c r="AA42" s="524" t="str">
        <f>IF(Z42="","",VLOOKUP(Z42,'G-7 Rivers Data'!$AO$4:$AP$7,2,FALSE))</f>
        <v/>
      </c>
      <c r="AB42" s="545" t="str">
        <f t="shared" si="6"/>
        <v/>
      </c>
      <c r="AC42" s="149"/>
      <c r="AD42" s="150"/>
      <c r="AK42" s="31" t="str">
        <f>IFERROR(INDEX('G-7 Rivers Data'!$AZ$3:$AZ$7,MATCH(C42,'G-7 Rivers Data'!$AY$3:$AY$7,0)),"")</f>
        <v/>
      </c>
    </row>
    <row r="43" spans="2:37" ht="13.8" x14ac:dyDescent="0.25">
      <c r="B43" s="141">
        <v>32</v>
      </c>
      <c r="C43" s="666"/>
      <c r="D43" s="172"/>
      <c r="E43" s="498" t="str">
        <f>IF(C43="","",VLOOKUP(C43,'G-7 Rivers Data'!$B$2:$Z$9,2,FALSE))</f>
        <v/>
      </c>
      <c r="F43" s="499" t="str">
        <f>IFERROR(VLOOKUP(E43,'G-7 Rivers Data'!$C$4:$D$8,2,FALSE),"")</f>
        <v/>
      </c>
      <c r="G43" s="145"/>
      <c r="H43" s="499" t="str">
        <f>IFERROR(INDEX('G-7 Rivers Data'!$H$4:$L$8,MATCH(C43,'G-7 Rivers Data'!$B$4:$B$8,0),MATCH(G43,'G-7 Rivers Data'!$H$3:$L$3,0)),"")</f>
        <v/>
      </c>
      <c r="I43" s="145"/>
      <c r="J43" s="540" t="str">
        <f>IF(I43="","",IF(VLOOKUP(I43,'G-7 Rivers Data'!$AG$4:$AI$9,2,FALSE)=0,"Spatial Data Missing ⚠",VLOOKUP(I43,'G-7 Rivers Data'!$AG$4:$AI$9,2,FALSE)))</f>
        <v/>
      </c>
      <c r="K43" s="499" t="str">
        <f>IF(I43="","",IF(VLOOKUP(I43,'G-7 Rivers Data'!$AG$4:$AI$9,3,FALSE)=0,"Spatial Data Missing ⚠",VLOOKUP(I43,'G-7 Rivers Data'!$AG$4:$AI$9,3,FALSE)))</f>
        <v/>
      </c>
      <c r="L43" s="635" t="str">
        <f>IFERROR(INDEX('G-7 Rivers Data'!$O$3:$O$7,MATCH(G43,'G-7 Rivers Data'!$N$3:$N$7,0)),"")</f>
        <v/>
      </c>
      <c r="M43" s="72"/>
      <c r="N43" s="195"/>
      <c r="O43" s="507" t="str">
        <f t="shared" si="1"/>
        <v/>
      </c>
      <c r="P43" s="521" t="str">
        <f t="shared" si="2"/>
        <v/>
      </c>
      <c r="Q43" s="564" t="str">
        <f>IFERROR(IF(P43="Check Data ⚠","Check Data ⚠",VLOOKUP(P43,'G-4 Temporal multipliers'!$A$4:$C$37,3,FALSE)),"")</f>
        <v/>
      </c>
      <c r="R43" s="498" t="str">
        <f>IF(C43="","",VLOOKUP(C43,'G-7 Rivers Data'!$B$4:$G$8,4,FALSE))</f>
        <v/>
      </c>
      <c r="S43" s="507" t="str">
        <f t="shared" si="3"/>
        <v/>
      </c>
      <c r="T43" s="540" t="str">
        <f t="shared" si="4"/>
        <v/>
      </c>
      <c r="U43" s="499" t="str">
        <f t="shared" si="5"/>
        <v/>
      </c>
      <c r="V43" s="71"/>
      <c r="W43" s="499" t="str">
        <f>IF(V43="","",IF(VLOOKUP(V43,'G-7 Rivers Data'!$AA$4:$AB$7,2,FALSE)=0,"Spatial Data Missing ⚠",VLOOKUP(V43,'G-7 Rivers Data'!$AA$4:$AB$7,2,FALSE)))</f>
        <v/>
      </c>
      <c r="X43" s="155"/>
      <c r="Y43" s="499" t="str">
        <f>IF(X43="","",IF(VLOOKUP(X43,'G-7 Rivers Data'!$AD$4:$AE$8,2,FALSE)=0,"Enrcoachment Data Missing ⚠",VLOOKUP(X43,'G-7 Rivers Data'!$AD$4:$AE$8,2,FALSE)))</f>
        <v/>
      </c>
      <c r="Z43" s="154"/>
      <c r="AA43" s="524" t="str">
        <f>IF(Z43="","",VLOOKUP(Z43,'G-7 Rivers Data'!$AO$4:$AP$7,2,FALSE))</f>
        <v/>
      </c>
      <c r="AB43" s="545" t="str">
        <f t="shared" si="6"/>
        <v/>
      </c>
      <c r="AC43" s="149"/>
      <c r="AD43" s="150"/>
      <c r="AK43" s="31" t="str">
        <f>IFERROR(INDEX('G-7 Rivers Data'!$AZ$3:$AZ$7,MATCH(C43,'G-7 Rivers Data'!$AY$3:$AY$7,0)),"")</f>
        <v/>
      </c>
    </row>
    <row r="44" spans="2:37" ht="13.8" x14ac:dyDescent="0.25">
      <c r="B44" s="141">
        <v>33</v>
      </c>
      <c r="C44" s="666"/>
      <c r="D44" s="172"/>
      <c r="E44" s="498" t="str">
        <f>IF(C44="","",VLOOKUP(C44,'G-7 Rivers Data'!$B$2:$Z$9,2,FALSE))</f>
        <v/>
      </c>
      <c r="F44" s="499" t="str">
        <f>IFERROR(VLOOKUP(E44,'G-7 Rivers Data'!$C$4:$D$8,2,FALSE),"")</f>
        <v/>
      </c>
      <c r="G44" s="145"/>
      <c r="H44" s="499" t="str">
        <f>IFERROR(INDEX('G-7 Rivers Data'!$H$4:$L$8,MATCH(C44,'G-7 Rivers Data'!$B$4:$B$8,0),MATCH(G44,'G-7 Rivers Data'!$H$3:$L$3,0)),"")</f>
        <v/>
      </c>
      <c r="I44" s="145"/>
      <c r="J44" s="540" t="str">
        <f>IF(I44="","",IF(VLOOKUP(I44,'G-7 Rivers Data'!$AG$4:$AI$9,2,FALSE)=0,"Spatial Data Missing ⚠",VLOOKUP(I44,'G-7 Rivers Data'!$AG$4:$AI$9,2,FALSE)))</f>
        <v/>
      </c>
      <c r="K44" s="499" t="str">
        <f>IF(I44="","",IF(VLOOKUP(I44,'G-7 Rivers Data'!$AG$4:$AI$9,3,FALSE)=0,"Spatial Data Missing ⚠",VLOOKUP(I44,'G-7 Rivers Data'!$AG$4:$AI$9,3,FALSE)))</f>
        <v/>
      </c>
      <c r="L44" s="635" t="str">
        <f>IFERROR(INDEX('G-7 Rivers Data'!$O$3:$O$7,MATCH(G44,'G-7 Rivers Data'!$N$3:$N$7,0)),"")</f>
        <v/>
      </c>
      <c r="M44" s="72"/>
      <c r="N44" s="195"/>
      <c r="O44" s="507" t="str">
        <f t="shared" si="1"/>
        <v/>
      </c>
      <c r="P44" s="521" t="str">
        <f t="shared" si="2"/>
        <v/>
      </c>
      <c r="Q44" s="564" t="str">
        <f>IFERROR(IF(P44="Check Data ⚠","Check Data ⚠",VLOOKUP(P44,'G-4 Temporal multipliers'!$A$4:$C$37,3,FALSE)),"")</f>
        <v/>
      </c>
      <c r="R44" s="498" t="str">
        <f>IF(C44="","",VLOOKUP(C44,'G-7 Rivers Data'!$B$4:$G$8,4,FALSE))</f>
        <v/>
      </c>
      <c r="S44" s="507" t="str">
        <f t="shared" si="3"/>
        <v/>
      </c>
      <c r="T44" s="540" t="str">
        <f t="shared" si="4"/>
        <v/>
      </c>
      <c r="U44" s="499" t="str">
        <f t="shared" si="5"/>
        <v/>
      </c>
      <c r="V44" s="71"/>
      <c r="W44" s="499" t="str">
        <f>IF(V44="","",IF(VLOOKUP(V44,'G-7 Rivers Data'!$AA$4:$AB$7,2,FALSE)=0,"Spatial Data Missing ⚠",VLOOKUP(V44,'G-7 Rivers Data'!$AA$4:$AB$7,2,FALSE)))</f>
        <v/>
      </c>
      <c r="X44" s="155"/>
      <c r="Y44" s="499" t="str">
        <f>IF(X44="","",IF(VLOOKUP(X44,'G-7 Rivers Data'!$AD$4:$AE$8,2,FALSE)=0,"Enrcoachment Data Missing ⚠",VLOOKUP(X44,'G-7 Rivers Data'!$AD$4:$AE$8,2,FALSE)))</f>
        <v/>
      </c>
      <c r="Z44" s="154"/>
      <c r="AA44" s="524" t="str">
        <f>IF(Z44="","",VLOOKUP(Z44,'G-7 Rivers Data'!$AO$4:$AP$7,2,FALSE))</f>
        <v/>
      </c>
      <c r="AB44" s="545" t="str">
        <f t="shared" si="6"/>
        <v/>
      </c>
      <c r="AC44" s="149"/>
      <c r="AD44" s="150"/>
      <c r="AK44" s="31" t="str">
        <f>IFERROR(INDEX('G-7 Rivers Data'!$AZ$3:$AZ$7,MATCH(C44,'G-7 Rivers Data'!$AY$3:$AY$7,0)),"")</f>
        <v/>
      </c>
    </row>
    <row r="45" spans="2:37" ht="13.8" x14ac:dyDescent="0.25">
      <c r="B45" s="141">
        <v>34</v>
      </c>
      <c r="C45" s="666"/>
      <c r="D45" s="172"/>
      <c r="E45" s="498" t="str">
        <f>IF(C45="","",VLOOKUP(C45,'G-7 Rivers Data'!$B$2:$Z$9,2,FALSE))</f>
        <v/>
      </c>
      <c r="F45" s="499" t="str">
        <f>IFERROR(VLOOKUP(E45,'G-7 Rivers Data'!$C$4:$D$8,2,FALSE),"")</f>
        <v/>
      </c>
      <c r="G45" s="145"/>
      <c r="H45" s="499" t="str">
        <f>IFERROR(INDEX('G-7 Rivers Data'!$H$4:$L$8,MATCH(C45,'G-7 Rivers Data'!$B$4:$B$8,0),MATCH(G45,'G-7 Rivers Data'!$H$3:$L$3,0)),"")</f>
        <v/>
      </c>
      <c r="I45" s="145"/>
      <c r="J45" s="540" t="str">
        <f>IF(I45="","",IF(VLOOKUP(I45,'G-7 Rivers Data'!$AG$4:$AI$9,2,FALSE)=0,"Spatial Data Missing ⚠",VLOOKUP(I45,'G-7 Rivers Data'!$AG$4:$AI$9,2,FALSE)))</f>
        <v/>
      </c>
      <c r="K45" s="499" t="str">
        <f>IF(I45="","",IF(VLOOKUP(I45,'G-7 Rivers Data'!$AG$4:$AI$9,3,FALSE)=0,"Spatial Data Missing ⚠",VLOOKUP(I45,'G-7 Rivers Data'!$AG$4:$AI$9,3,FALSE)))</f>
        <v/>
      </c>
      <c r="L45" s="635" t="str">
        <f>IFERROR(INDEX('G-7 Rivers Data'!$O$3:$O$7,MATCH(G45,'G-7 Rivers Data'!$N$3:$N$7,0)),"")</f>
        <v/>
      </c>
      <c r="M45" s="72"/>
      <c r="N45" s="195"/>
      <c r="O45" s="507" t="str">
        <f t="shared" si="1"/>
        <v/>
      </c>
      <c r="P45" s="521" t="str">
        <f t="shared" si="2"/>
        <v/>
      </c>
      <c r="Q45" s="564" t="str">
        <f>IFERROR(IF(P45="Check Data ⚠","Check Data ⚠",VLOOKUP(P45,'G-4 Temporal multipliers'!$A$4:$C$37,3,FALSE)),"")</f>
        <v/>
      </c>
      <c r="R45" s="498" t="str">
        <f>IF(C45="","",VLOOKUP(C45,'G-7 Rivers Data'!$B$4:$G$8,4,FALSE))</f>
        <v/>
      </c>
      <c r="S45" s="507" t="str">
        <f t="shared" si="3"/>
        <v/>
      </c>
      <c r="T45" s="540" t="str">
        <f t="shared" si="4"/>
        <v/>
      </c>
      <c r="U45" s="499" t="str">
        <f t="shared" si="5"/>
        <v/>
      </c>
      <c r="V45" s="71"/>
      <c r="W45" s="499" t="str">
        <f>IF(V45="","",IF(VLOOKUP(V45,'G-7 Rivers Data'!$AA$4:$AB$7,2,FALSE)=0,"Spatial Data Missing ⚠",VLOOKUP(V45,'G-7 Rivers Data'!$AA$4:$AB$7,2,FALSE)))</f>
        <v/>
      </c>
      <c r="X45" s="155"/>
      <c r="Y45" s="499" t="str">
        <f>IF(X45="","",IF(VLOOKUP(X45,'G-7 Rivers Data'!$AD$4:$AE$8,2,FALSE)=0,"Enrcoachment Data Missing ⚠",VLOOKUP(X45,'G-7 Rivers Data'!$AD$4:$AE$8,2,FALSE)))</f>
        <v/>
      </c>
      <c r="Z45" s="154"/>
      <c r="AA45" s="524" t="str">
        <f>IF(Z45="","",VLOOKUP(Z45,'G-7 Rivers Data'!$AO$4:$AP$7,2,FALSE))</f>
        <v/>
      </c>
      <c r="AB45" s="545" t="str">
        <f t="shared" si="6"/>
        <v/>
      </c>
      <c r="AC45" s="149"/>
      <c r="AD45" s="150"/>
      <c r="AK45" s="31" t="str">
        <f>IFERROR(INDEX('G-7 Rivers Data'!$AZ$3:$AZ$7,MATCH(C45,'G-7 Rivers Data'!$AY$3:$AY$7,0)),"")</f>
        <v/>
      </c>
    </row>
    <row r="46" spans="2:37" ht="13.8" x14ac:dyDescent="0.25">
      <c r="B46" s="141">
        <v>35</v>
      </c>
      <c r="C46" s="666"/>
      <c r="D46" s="172"/>
      <c r="E46" s="498" t="str">
        <f>IF(C46="","",VLOOKUP(C46,'G-7 Rivers Data'!$B$2:$Z$9,2,FALSE))</f>
        <v/>
      </c>
      <c r="F46" s="499" t="str">
        <f>IFERROR(VLOOKUP(E46,'G-7 Rivers Data'!$C$4:$D$8,2,FALSE),"")</f>
        <v/>
      </c>
      <c r="G46" s="145"/>
      <c r="H46" s="499" t="str">
        <f>IFERROR(INDEX('G-7 Rivers Data'!$H$4:$L$8,MATCH(C46,'G-7 Rivers Data'!$B$4:$B$8,0),MATCH(G46,'G-7 Rivers Data'!$H$3:$L$3,0)),"")</f>
        <v/>
      </c>
      <c r="I46" s="145"/>
      <c r="J46" s="540" t="str">
        <f>IF(I46="","",IF(VLOOKUP(I46,'G-7 Rivers Data'!$AG$4:$AI$9,2,FALSE)=0,"Spatial Data Missing ⚠",VLOOKUP(I46,'G-7 Rivers Data'!$AG$4:$AI$9,2,FALSE)))</f>
        <v/>
      </c>
      <c r="K46" s="499" t="str">
        <f>IF(I46="","",IF(VLOOKUP(I46,'G-7 Rivers Data'!$AG$4:$AI$9,3,FALSE)=0,"Spatial Data Missing ⚠",VLOOKUP(I46,'G-7 Rivers Data'!$AG$4:$AI$9,3,FALSE)))</f>
        <v/>
      </c>
      <c r="L46" s="635" t="str">
        <f>IFERROR(INDEX('G-7 Rivers Data'!$O$3:$O$7,MATCH(G46,'G-7 Rivers Data'!$N$3:$N$7,0)),"")</f>
        <v/>
      </c>
      <c r="M46" s="72"/>
      <c r="N46" s="195"/>
      <c r="O46" s="507" t="str">
        <f t="shared" si="1"/>
        <v/>
      </c>
      <c r="P46" s="521" t="str">
        <f t="shared" si="2"/>
        <v/>
      </c>
      <c r="Q46" s="564" t="str">
        <f>IFERROR(IF(P46="Check Data ⚠","Check Data ⚠",VLOOKUP(P46,'G-4 Temporal multipliers'!$A$4:$C$37,3,FALSE)),"")</f>
        <v/>
      </c>
      <c r="R46" s="498" t="str">
        <f>IF(C46="","",VLOOKUP(C46,'G-7 Rivers Data'!$B$4:$G$8,4,FALSE))</f>
        <v/>
      </c>
      <c r="S46" s="507" t="str">
        <f t="shared" si="3"/>
        <v/>
      </c>
      <c r="T46" s="540" t="str">
        <f t="shared" si="4"/>
        <v/>
      </c>
      <c r="U46" s="499" t="str">
        <f t="shared" si="5"/>
        <v/>
      </c>
      <c r="V46" s="71"/>
      <c r="W46" s="499" t="str">
        <f>IF(V46="","",IF(VLOOKUP(V46,'G-7 Rivers Data'!$AA$4:$AB$7,2,FALSE)=0,"Spatial Data Missing ⚠",VLOOKUP(V46,'G-7 Rivers Data'!$AA$4:$AB$7,2,FALSE)))</f>
        <v/>
      </c>
      <c r="X46" s="155"/>
      <c r="Y46" s="499" t="str">
        <f>IF(X46="","",IF(VLOOKUP(X46,'G-7 Rivers Data'!$AD$4:$AE$8,2,FALSE)=0,"Enrcoachment Data Missing ⚠",VLOOKUP(X46,'G-7 Rivers Data'!$AD$4:$AE$8,2,FALSE)))</f>
        <v/>
      </c>
      <c r="Z46" s="154"/>
      <c r="AA46" s="524" t="str">
        <f>IF(Z46="","",VLOOKUP(Z46,'G-7 Rivers Data'!$AO$4:$AP$7,2,FALSE))</f>
        <v/>
      </c>
      <c r="AB46" s="545" t="str">
        <f t="shared" si="6"/>
        <v/>
      </c>
      <c r="AC46" s="149"/>
      <c r="AD46" s="150"/>
      <c r="AK46" s="31" t="str">
        <f>IFERROR(INDEX('G-7 Rivers Data'!$AZ$3:$AZ$7,MATCH(C46,'G-7 Rivers Data'!$AY$3:$AY$7,0)),"")</f>
        <v/>
      </c>
    </row>
    <row r="47" spans="2:37" ht="13.8" x14ac:dyDescent="0.25">
      <c r="B47" s="141">
        <v>36</v>
      </c>
      <c r="C47" s="666"/>
      <c r="D47" s="172"/>
      <c r="E47" s="498" t="str">
        <f>IF(C47="","",VLOOKUP(C47,'G-7 Rivers Data'!$B$2:$Z$9,2,FALSE))</f>
        <v/>
      </c>
      <c r="F47" s="499" t="str">
        <f>IFERROR(VLOOKUP(E47,'G-7 Rivers Data'!$C$4:$D$8,2,FALSE),"")</f>
        <v/>
      </c>
      <c r="G47" s="145"/>
      <c r="H47" s="499" t="str">
        <f>IFERROR(INDEX('G-7 Rivers Data'!$H$4:$L$8,MATCH(C47,'G-7 Rivers Data'!$B$4:$B$8,0),MATCH(G47,'G-7 Rivers Data'!$H$3:$L$3,0)),"")</f>
        <v/>
      </c>
      <c r="I47" s="145"/>
      <c r="J47" s="540" t="str">
        <f>IF(I47="","",IF(VLOOKUP(I47,'G-7 Rivers Data'!$AG$4:$AI$9,2,FALSE)=0,"Spatial Data Missing ⚠",VLOOKUP(I47,'G-7 Rivers Data'!$AG$4:$AI$9,2,FALSE)))</f>
        <v/>
      </c>
      <c r="K47" s="499" t="str">
        <f>IF(I47="","",IF(VLOOKUP(I47,'G-7 Rivers Data'!$AG$4:$AI$9,3,FALSE)=0,"Spatial Data Missing ⚠",VLOOKUP(I47,'G-7 Rivers Data'!$AG$4:$AI$9,3,FALSE)))</f>
        <v/>
      </c>
      <c r="L47" s="635" t="str">
        <f>IFERROR(INDEX('G-7 Rivers Data'!$O$3:$O$7,MATCH(G47,'G-7 Rivers Data'!$N$3:$N$7,0)),"")</f>
        <v/>
      </c>
      <c r="M47" s="72"/>
      <c r="N47" s="195"/>
      <c r="O47" s="507" t="str">
        <f t="shared" si="1"/>
        <v/>
      </c>
      <c r="P47" s="521" t="str">
        <f t="shared" si="2"/>
        <v/>
      </c>
      <c r="Q47" s="564" t="str">
        <f>IFERROR(IF(P47="Check Data ⚠","Check Data ⚠",VLOOKUP(P47,'G-4 Temporal multipliers'!$A$4:$C$37,3,FALSE)),"")</f>
        <v/>
      </c>
      <c r="R47" s="498" t="str">
        <f>IF(C47="","",VLOOKUP(C47,'G-7 Rivers Data'!$B$4:$G$8,4,FALSE))</f>
        <v/>
      </c>
      <c r="S47" s="507" t="str">
        <f t="shared" si="3"/>
        <v/>
      </c>
      <c r="T47" s="540" t="str">
        <f t="shared" si="4"/>
        <v/>
      </c>
      <c r="U47" s="499" t="str">
        <f t="shared" si="5"/>
        <v/>
      </c>
      <c r="V47" s="71"/>
      <c r="W47" s="499" t="str">
        <f>IF(V47="","",IF(VLOOKUP(V47,'G-7 Rivers Data'!$AA$4:$AB$7,2,FALSE)=0,"Spatial Data Missing ⚠",VLOOKUP(V47,'G-7 Rivers Data'!$AA$4:$AB$7,2,FALSE)))</f>
        <v/>
      </c>
      <c r="X47" s="155"/>
      <c r="Y47" s="499" t="str">
        <f>IF(X47="","",IF(VLOOKUP(X47,'G-7 Rivers Data'!$AD$4:$AE$8,2,FALSE)=0,"Enrcoachment Data Missing ⚠",VLOOKUP(X47,'G-7 Rivers Data'!$AD$4:$AE$8,2,FALSE)))</f>
        <v/>
      </c>
      <c r="Z47" s="154"/>
      <c r="AA47" s="524" t="str">
        <f>IF(Z47="","",VLOOKUP(Z47,'G-7 Rivers Data'!$AO$4:$AP$7,2,FALSE))</f>
        <v/>
      </c>
      <c r="AB47" s="545" t="str">
        <f t="shared" si="6"/>
        <v/>
      </c>
      <c r="AC47" s="149"/>
      <c r="AD47" s="150"/>
      <c r="AK47" s="31" t="str">
        <f>IFERROR(INDEX('G-7 Rivers Data'!$AZ$3:$AZ$7,MATCH(C47,'G-7 Rivers Data'!$AY$3:$AY$7,0)),"")</f>
        <v/>
      </c>
    </row>
    <row r="48" spans="2:37" ht="13.8" x14ac:dyDescent="0.25">
      <c r="B48" s="141">
        <v>37</v>
      </c>
      <c r="C48" s="666"/>
      <c r="D48" s="172"/>
      <c r="E48" s="498" t="str">
        <f>IF(C48="","",VLOOKUP(C48,'G-7 Rivers Data'!$B$2:$Z$9,2,FALSE))</f>
        <v/>
      </c>
      <c r="F48" s="499" t="str">
        <f>IFERROR(VLOOKUP(E48,'G-7 Rivers Data'!$C$4:$D$8,2,FALSE),"")</f>
        <v/>
      </c>
      <c r="G48" s="145"/>
      <c r="H48" s="499" t="str">
        <f>IFERROR(INDEX('G-7 Rivers Data'!$H$4:$L$8,MATCH(C48,'G-7 Rivers Data'!$B$4:$B$8,0),MATCH(G48,'G-7 Rivers Data'!$H$3:$L$3,0)),"")</f>
        <v/>
      </c>
      <c r="I48" s="145"/>
      <c r="J48" s="540" t="str">
        <f>IF(I48="","",IF(VLOOKUP(I48,'G-7 Rivers Data'!$AG$4:$AI$9,2,FALSE)=0,"Spatial Data Missing ⚠",VLOOKUP(I48,'G-7 Rivers Data'!$AG$4:$AI$9,2,FALSE)))</f>
        <v/>
      </c>
      <c r="K48" s="499" t="str">
        <f>IF(I48="","",IF(VLOOKUP(I48,'G-7 Rivers Data'!$AG$4:$AI$9,3,FALSE)=0,"Spatial Data Missing ⚠",VLOOKUP(I48,'G-7 Rivers Data'!$AG$4:$AI$9,3,FALSE)))</f>
        <v/>
      </c>
      <c r="L48" s="635" t="str">
        <f>IFERROR(INDEX('G-7 Rivers Data'!$O$3:$O$7,MATCH(G48,'G-7 Rivers Data'!$N$3:$N$7,0)),"")</f>
        <v/>
      </c>
      <c r="M48" s="72"/>
      <c r="N48" s="195"/>
      <c r="O48" s="507" t="str">
        <f t="shared" si="1"/>
        <v/>
      </c>
      <c r="P48" s="521" t="str">
        <f t="shared" si="2"/>
        <v/>
      </c>
      <c r="Q48" s="564" t="str">
        <f>IFERROR(IF(P48="Check Data ⚠","Check Data ⚠",VLOOKUP(P48,'G-4 Temporal multipliers'!$A$4:$C$37,3,FALSE)),"")</f>
        <v/>
      </c>
      <c r="R48" s="498" t="str">
        <f>IF(C48="","",VLOOKUP(C48,'G-7 Rivers Data'!$B$4:$G$8,4,FALSE))</f>
        <v/>
      </c>
      <c r="S48" s="507" t="str">
        <f t="shared" si="3"/>
        <v/>
      </c>
      <c r="T48" s="540" t="str">
        <f t="shared" si="4"/>
        <v/>
      </c>
      <c r="U48" s="499" t="str">
        <f t="shared" si="5"/>
        <v/>
      </c>
      <c r="V48" s="71"/>
      <c r="W48" s="499" t="str">
        <f>IF(V48="","",IF(VLOOKUP(V48,'G-7 Rivers Data'!$AA$4:$AB$7,2,FALSE)=0,"Spatial Data Missing ⚠",VLOOKUP(V48,'G-7 Rivers Data'!$AA$4:$AB$7,2,FALSE)))</f>
        <v/>
      </c>
      <c r="X48" s="155"/>
      <c r="Y48" s="499" t="str">
        <f>IF(X48="","",IF(VLOOKUP(X48,'G-7 Rivers Data'!$AD$4:$AE$8,2,FALSE)=0,"Enrcoachment Data Missing ⚠",VLOOKUP(X48,'G-7 Rivers Data'!$AD$4:$AE$8,2,FALSE)))</f>
        <v/>
      </c>
      <c r="Z48" s="154"/>
      <c r="AA48" s="524" t="str">
        <f>IF(Z48="","",VLOOKUP(Z48,'G-7 Rivers Data'!$AO$4:$AP$7,2,FALSE))</f>
        <v/>
      </c>
      <c r="AB48" s="545" t="str">
        <f t="shared" si="6"/>
        <v/>
      </c>
      <c r="AC48" s="149"/>
      <c r="AD48" s="150"/>
      <c r="AK48" s="31" t="str">
        <f>IFERROR(INDEX('G-7 Rivers Data'!$AZ$3:$AZ$7,MATCH(C48,'G-7 Rivers Data'!$AY$3:$AY$7,0)),"")</f>
        <v/>
      </c>
    </row>
    <row r="49" spans="2:37" ht="13.8" x14ac:dyDescent="0.25">
      <c r="B49" s="141">
        <v>38</v>
      </c>
      <c r="C49" s="666"/>
      <c r="D49" s="172"/>
      <c r="E49" s="498" t="str">
        <f>IF(C49="","",VLOOKUP(C49,'G-7 Rivers Data'!$B$2:$Z$9,2,FALSE))</f>
        <v/>
      </c>
      <c r="F49" s="499" t="str">
        <f>IFERROR(VLOOKUP(E49,'G-7 Rivers Data'!$C$4:$D$8,2,FALSE),"")</f>
        <v/>
      </c>
      <c r="G49" s="145"/>
      <c r="H49" s="499" t="str">
        <f>IFERROR(INDEX('G-7 Rivers Data'!$H$4:$L$8,MATCH(C49,'G-7 Rivers Data'!$B$4:$B$8,0),MATCH(G49,'G-7 Rivers Data'!$H$3:$L$3,0)),"")</f>
        <v/>
      </c>
      <c r="I49" s="145"/>
      <c r="J49" s="540" t="str">
        <f>IF(I49="","",IF(VLOOKUP(I49,'G-7 Rivers Data'!$AG$4:$AI$9,2,FALSE)=0,"Spatial Data Missing ⚠",VLOOKUP(I49,'G-7 Rivers Data'!$AG$4:$AI$9,2,FALSE)))</f>
        <v/>
      </c>
      <c r="K49" s="499" t="str">
        <f>IF(I49="","",IF(VLOOKUP(I49,'G-7 Rivers Data'!$AG$4:$AI$9,3,FALSE)=0,"Spatial Data Missing ⚠",VLOOKUP(I49,'G-7 Rivers Data'!$AG$4:$AI$9,3,FALSE)))</f>
        <v/>
      </c>
      <c r="L49" s="635" t="str">
        <f>IFERROR(INDEX('G-7 Rivers Data'!$O$3:$O$7,MATCH(G49,'G-7 Rivers Data'!$N$3:$N$7,0)),"")</f>
        <v/>
      </c>
      <c r="M49" s="72"/>
      <c r="N49" s="195"/>
      <c r="O49" s="507" t="str">
        <f t="shared" si="1"/>
        <v/>
      </c>
      <c r="P49" s="521" t="str">
        <f t="shared" si="2"/>
        <v/>
      </c>
      <c r="Q49" s="564" t="str">
        <f>IFERROR(IF(P49="Check Data ⚠","Check Data ⚠",VLOOKUP(P49,'G-4 Temporal multipliers'!$A$4:$C$37,3,FALSE)),"")</f>
        <v/>
      </c>
      <c r="R49" s="498" t="str">
        <f>IF(C49="","",VLOOKUP(C49,'G-7 Rivers Data'!$B$4:$G$8,4,FALSE))</f>
        <v/>
      </c>
      <c r="S49" s="507" t="str">
        <f t="shared" si="3"/>
        <v/>
      </c>
      <c r="T49" s="540" t="str">
        <f t="shared" si="4"/>
        <v/>
      </c>
      <c r="U49" s="499" t="str">
        <f t="shared" si="5"/>
        <v/>
      </c>
      <c r="V49" s="71"/>
      <c r="W49" s="499" t="str">
        <f>IF(V49="","",IF(VLOOKUP(V49,'G-7 Rivers Data'!$AA$4:$AB$7,2,FALSE)=0,"Spatial Data Missing ⚠",VLOOKUP(V49,'G-7 Rivers Data'!$AA$4:$AB$7,2,FALSE)))</f>
        <v/>
      </c>
      <c r="X49" s="155"/>
      <c r="Y49" s="499" t="str">
        <f>IF(X49="","",IF(VLOOKUP(X49,'G-7 Rivers Data'!$AD$4:$AE$8,2,FALSE)=0,"Enrcoachment Data Missing ⚠",VLOOKUP(X49,'G-7 Rivers Data'!$AD$4:$AE$8,2,FALSE)))</f>
        <v/>
      </c>
      <c r="Z49" s="154"/>
      <c r="AA49" s="524" t="str">
        <f>IF(Z49="","",VLOOKUP(Z49,'G-7 Rivers Data'!$AO$4:$AP$7,2,FALSE))</f>
        <v/>
      </c>
      <c r="AB49" s="545" t="str">
        <f t="shared" si="6"/>
        <v/>
      </c>
      <c r="AC49" s="149"/>
      <c r="AD49" s="150"/>
      <c r="AK49" s="31" t="str">
        <f>IFERROR(INDEX('G-7 Rivers Data'!$AZ$3:$AZ$7,MATCH(C49,'G-7 Rivers Data'!$AY$3:$AY$7,0)),"")</f>
        <v/>
      </c>
    </row>
    <row r="50" spans="2:37" ht="13.8" x14ac:dyDescent="0.25">
      <c r="B50" s="141">
        <v>39</v>
      </c>
      <c r="C50" s="666"/>
      <c r="D50" s="172"/>
      <c r="E50" s="498" t="str">
        <f>IF(C50="","",VLOOKUP(C50,'G-7 Rivers Data'!$B$2:$Z$9,2,FALSE))</f>
        <v/>
      </c>
      <c r="F50" s="499" t="str">
        <f>IFERROR(VLOOKUP(E50,'G-7 Rivers Data'!$C$4:$D$8,2,FALSE),"")</f>
        <v/>
      </c>
      <c r="G50" s="145"/>
      <c r="H50" s="499" t="str">
        <f>IFERROR(INDEX('G-7 Rivers Data'!$H$4:$L$8,MATCH(C50,'G-7 Rivers Data'!$B$4:$B$8,0),MATCH(G50,'G-7 Rivers Data'!$H$3:$L$3,0)),"")</f>
        <v/>
      </c>
      <c r="I50" s="145"/>
      <c r="J50" s="540" t="str">
        <f>IF(I50="","",IF(VLOOKUP(I50,'G-7 Rivers Data'!$AG$4:$AI$9,2,FALSE)=0,"Spatial Data Missing ⚠",VLOOKUP(I50,'G-7 Rivers Data'!$AG$4:$AI$9,2,FALSE)))</f>
        <v/>
      </c>
      <c r="K50" s="499" t="str">
        <f>IF(I50="","",IF(VLOOKUP(I50,'G-7 Rivers Data'!$AG$4:$AI$9,3,FALSE)=0,"Spatial Data Missing ⚠",VLOOKUP(I50,'G-7 Rivers Data'!$AG$4:$AI$9,3,FALSE)))</f>
        <v/>
      </c>
      <c r="L50" s="635" t="str">
        <f>IFERROR(INDEX('G-7 Rivers Data'!$O$3:$O$7,MATCH(G50,'G-7 Rivers Data'!$N$3:$N$7,0)),"")</f>
        <v/>
      </c>
      <c r="M50" s="72"/>
      <c r="N50" s="195"/>
      <c r="O50" s="507" t="str">
        <f t="shared" si="1"/>
        <v/>
      </c>
      <c r="P50" s="521" t="str">
        <f t="shared" si="2"/>
        <v/>
      </c>
      <c r="Q50" s="564" t="str">
        <f>IFERROR(IF(P50="Check Data ⚠","Check Data ⚠",VLOOKUP(P50,'G-4 Temporal multipliers'!$A$4:$C$37,3,FALSE)),"")</f>
        <v/>
      </c>
      <c r="R50" s="498" t="str">
        <f>IF(C50="","",VLOOKUP(C50,'G-7 Rivers Data'!$B$4:$G$8,4,FALSE))</f>
        <v/>
      </c>
      <c r="S50" s="507" t="str">
        <f t="shared" si="3"/>
        <v/>
      </c>
      <c r="T50" s="540" t="str">
        <f t="shared" si="4"/>
        <v/>
      </c>
      <c r="U50" s="499" t="str">
        <f t="shared" si="5"/>
        <v/>
      </c>
      <c r="V50" s="71"/>
      <c r="W50" s="499" t="str">
        <f>IF(V50="","",IF(VLOOKUP(V50,'G-7 Rivers Data'!$AA$4:$AB$7,2,FALSE)=0,"Spatial Data Missing ⚠",VLOOKUP(V50,'G-7 Rivers Data'!$AA$4:$AB$7,2,FALSE)))</f>
        <v/>
      </c>
      <c r="X50" s="155"/>
      <c r="Y50" s="499" t="str">
        <f>IF(X50="","",IF(VLOOKUP(X50,'G-7 Rivers Data'!$AD$4:$AE$8,2,FALSE)=0,"Enrcoachment Data Missing ⚠",VLOOKUP(X50,'G-7 Rivers Data'!$AD$4:$AE$8,2,FALSE)))</f>
        <v/>
      </c>
      <c r="Z50" s="154"/>
      <c r="AA50" s="524" t="str">
        <f>IF(Z50="","",VLOOKUP(Z50,'G-7 Rivers Data'!$AO$4:$AP$7,2,FALSE))</f>
        <v/>
      </c>
      <c r="AB50" s="545" t="str">
        <f t="shared" si="6"/>
        <v/>
      </c>
      <c r="AC50" s="149"/>
      <c r="AD50" s="150"/>
      <c r="AK50" s="31" t="str">
        <f>IFERROR(INDEX('G-7 Rivers Data'!$AZ$3:$AZ$7,MATCH(C50,'G-7 Rivers Data'!$AY$3:$AY$7,0)),"")</f>
        <v/>
      </c>
    </row>
    <row r="51" spans="2:37" ht="13.8" x14ac:dyDescent="0.25">
      <c r="B51" s="141">
        <v>40</v>
      </c>
      <c r="C51" s="666"/>
      <c r="D51" s="172"/>
      <c r="E51" s="498" t="str">
        <f>IF(C51="","",VLOOKUP(C51,'G-7 Rivers Data'!$B$2:$Z$9,2,FALSE))</f>
        <v/>
      </c>
      <c r="F51" s="499" t="str">
        <f>IFERROR(VLOOKUP(E51,'G-7 Rivers Data'!$C$4:$D$8,2,FALSE),"")</f>
        <v/>
      </c>
      <c r="G51" s="145"/>
      <c r="H51" s="499" t="str">
        <f>IFERROR(INDEX('G-7 Rivers Data'!$H$4:$L$8,MATCH(C51,'G-7 Rivers Data'!$B$4:$B$8,0),MATCH(G51,'G-7 Rivers Data'!$H$3:$L$3,0)),"")</f>
        <v/>
      </c>
      <c r="I51" s="145"/>
      <c r="J51" s="540" t="str">
        <f>IF(I51="","",IF(VLOOKUP(I51,'G-7 Rivers Data'!$AG$4:$AI$9,2,FALSE)=0,"Spatial Data Missing ⚠",VLOOKUP(I51,'G-7 Rivers Data'!$AG$4:$AI$9,2,FALSE)))</f>
        <v/>
      </c>
      <c r="K51" s="499" t="str">
        <f>IF(I51="","",IF(VLOOKUP(I51,'G-7 Rivers Data'!$AG$4:$AI$9,3,FALSE)=0,"Spatial Data Missing ⚠",VLOOKUP(I51,'G-7 Rivers Data'!$AG$4:$AI$9,3,FALSE)))</f>
        <v/>
      </c>
      <c r="L51" s="635" t="str">
        <f>IFERROR(INDEX('G-7 Rivers Data'!$O$3:$O$7,MATCH(G51,'G-7 Rivers Data'!$N$3:$N$7,0)),"")</f>
        <v/>
      </c>
      <c r="M51" s="72"/>
      <c r="N51" s="195"/>
      <c r="O51" s="507" t="str">
        <f t="shared" si="1"/>
        <v/>
      </c>
      <c r="P51" s="521" t="str">
        <f t="shared" si="2"/>
        <v/>
      </c>
      <c r="Q51" s="564" t="str">
        <f>IFERROR(IF(P51="Check Data ⚠","Check Data ⚠",VLOOKUP(P51,'G-4 Temporal multipliers'!$A$4:$C$37,3,FALSE)),"")</f>
        <v/>
      </c>
      <c r="R51" s="498" t="str">
        <f>IF(C51="","",VLOOKUP(C51,'G-7 Rivers Data'!$B$4:$G$8,4,FALSE))</f>
        <v/>
      </c>
      <c r="S51" s="507" t="str">
        <f t="shared" si="3"/>
        <v/>
      </c>
      <c r="T51" s="540" t="str">
        <f t="shared" si="4"/>
        <v/>
      </c>
      <c r="U51" s="499" t="str">
        <f t="shared" si="5"/>
        <v/>
      </c>
      <c r="V51" s="71"/>
      <c r="W51" s="499" t="str">
        <f>IF(V51="","",IF(VLOOKUP(V51,'G-7 Rivers Data'!$AA$4:$AB$7,2,FALSE)=0,"Spatial Data Missing ⚠",VLOOKUP(V51,'G-7 Rivers Data'!$AA$4:$AB$7,2,FALSE)))</f>
        <v/>
      </c>
      <c r="X51" s="155"/>
      <c r="Y51" s="499" t="str">
        <f>IF(X51="","",IF(VLOOKUP(X51,'G-7 Rivers Data'!$AD$4:$AE$8,2,FALSE)=0,"Enrcoachment Data Missing ⚠",VLOOKUP(X51,'G-7 Rivers Data'!$AD$4:$AE$8,2,FALSE)))</f>
        <v/>
      </c>
      <c r="Z51" s="154"/>
      <c r="AA51" s="524" t="str">
        <f>IF(Z51="","",VLOOKUP(Z51,'G-7 Rivers Data'!$AO$4:$AP$7,2,FALSE))</f>
        <v/>
      </c>
      <c r="AB51" s="545" t="str">
        <f t="shared" si="6"/>
        <v/>
      </c>
      <c r="AC51" s="149"/>
      <c r="AD51" s="150"/>
      <c r="AK51" s="31" t="str">
        <f>IFERROR(INDEX('G-7 Rivers Data'!$AZ$3:$AZ$7,MATCH(C51,'G-7 Rivers Data'!$AY$3:$AY$7,0)),"")</f>
        <v/>
      </c>
    </row>
    <row r="52" spans="2:37" ht="13.8" x14ac:dyDescent="0.25">
      <c r="B52" s="141">
        <v>41</v>
      </c>
      <c r="C52" s="666"/>
      <c r="D52" s="172"/>
      <c r="E52" s="498" t="str">
        <f>IF(C52="","",VLOOKUP(C52,'G-7 Rivers Data'!$B$2:$Z$9,2,FALSE))</f>
        <v/>
      </c>
      <c r="F52" s="499" t="str">
        <f>IFERROR(VLOOKUP(E52,'G-7 Rivers Data'!$C$4:$D$8,2,FALSE),"")</f>
        <v/>
      </c>
      <c r="G52" s="145"/>
      <c r="H52" s="499" t="str">
        <f>IFERROR(INDEX('G-7 Rivers Data'!$H$4:$L$8,MATCH(C52,'G-7 Rivers Data'!$B$4:$B$8,0),MATCH(G52,'G-7 Rivers Data'!$H$3:$L$3,0)),"")</f>
        <v/>
      </c>
      <c r="I52" s="145"/>
      <c r="J52" s="540" t="str">
        <f>IF(I52="","",IF(VLOOKUP(I52,'G-7 Rivers Data'!$AG$4:$AI$9,2,FALSE)=0,"Spatial Data Missing ⚠",VLOOKUP(I52,'G-7 Rivers Data'!$AG$4:$AI$9,2,FALSE)))</f>
        <v/>
      </c>
      <c r="K52" s="499" t="str">
        <f>IF(I52="","",IF(VLOOKUP(I52,'G-7 Rivers Data'!$AG$4:$AI$9,3,FALSE)=0,"Spatial Data Missing ⚠",VLOOKUP(I52,'G-7 Rivers Data'!$AG$4:$AI$9,3,FALSE)))</f>
        <v/>
      </c>
      <c r="L52" s="635" t="str">
        <f>IFERROR(INDEX('G-7 Rivers Data'!$O$3:$O$7,MATCH(G52,'G-7 Rivers Data'!$N$3:$N$7,0)),"")</f>
        <v/>
      </c>
      <c r="M52" s="72"/>
      <c r="N52" s="195"/>
      <c r="O52" s="507" t="str">
        <f t="shared" si="1"/>
        <v/>
      </c>
      <c r="P52" s="521" t="str">
        <f t="shared" si="2"/>
        <v/>
      </c>
      <c r="Q52" s="564" t="str">
        <f>IFERROR(IF(P52="Check Data ⚠","Check Data ⚠",VLOOKUP(P52,'G-4 Temporal multipliers'!$A$4:$C$37,3,FALSE)),"")</f>
        <v/>
      </c>
      <c r="R52" s="498" t="str">
        <f>IF(C52="","",VLOOKUP(C52,'G-7 Rivers Data'!$B$4:$G$8,4,FALSE))</f>
        <v/>
      </c>
      <c r="S52" s="507" t="str">
        <f t="shared" si="3"/>
        <v/>
      </c>
      <c r="T52" s="540" t="str">
        <f t="shared" si="4"/>
        <v/>
      </c>
      <c r="U52" s="499" t="str">
        <f t="shared" si="5"/>
        <v/>
      </c>
      <c r="V52" s="71"/>
      <c r="W52" s="499" t="str">
        <f>IF(V52="","",IF(VLOOKUP(V52,'G-7 Rivers Data'!$AA$4:$AB$7,2,FALSE)=0,"Spatial Data Missing ⚠",VLOOKUP(V52,'G-7 Rivers Data'!$AA$4:$AB$7,2,FALSE)))</f>
        <v/>
      </c>
      <c r="X52" s="155"/>
      <c r="Y52" s="499" t="str">
        <f>IF(X52="","",IF(VLOOKUP(X52,'G-7 Rivers Data'!$AD$4:$AE$8,2,FALSE)=0,"Enrcoachment Data Missing ⚠",VLOOKUP(X52,'G-7 Rivers Data'!$AD$4:$AE$8,2,FALSE)))</f>
        <v/>
      </c>
      <c r="Z52" s="154"/>
      <c r="AA52" s="524" t="str">
        <f>IF(Z52="","",VLOOKUP(Z52,'G-7 Rivers Data'!$AO$4:$AP$7,2,FALSE))</f>
        <v/>
      </c>
      <c r="AB52" s="545" t="str">
        <f t="shared" si="6"/>
        <v/>
      </c>
      <c r="AC52" s="149"/>
      <c r="AD52" s="150"/>
      <c r="AK52" s="31" t="str">
        <f>IFERROR(INDEX('G-7 Rivers Data'!$AZ$3:$AZ$7,MATCH(C52,'G-7 Rivers Data'!$AY$3:$AY$7,0)),"")</f>
        <v/>
      </c>
    </row>
    <row r="53" spans="2:37" ht="13.8" x14ac:dyDescent="0.25">
      <c r="B53" s="141">
        <v>42</v>
      </c>
      <c r="C53" s="666"/>
      <c r="D53" s="172"/>
      <c r="E53" s="498" t="str">
        <f>IF(C53="","",VLOOKUP(C53,'G-7 Rivers Data'!$B$2:$Z$9,2,FALSE))</f>
        <v/>
      </c>
      <c r="F53" s="499" t="str">
        <f>IFERROR(VLOOKUP(E53,'G-7 Rivers Data'!$C$4:$D$8,2,FALSE),"")</f>
        <v/>
      </c>
      <c r="G53" s="145"/>
      <c r="H53" s="499" t="str">
        <f>IFERROR(INDEX('G-7 Rivers Data'!$H$4:$L$8,MATCH(C53,'G-7 Rivers Data'!$B$4:$B$8,0),MATCH(G53,'G-7 Rivers Data'!$H$3:$L$3,0)),"")</f>
        <v/>
      </c>
      <c r="I53" s="145"/>
      <c r="J53" s="540" t="str">
        <f>IF(I53="","",IF(VLOOKUP(I53,'G-7 Rivers Data'!$AG$4:$AI$9,2,FALSE)=0,"Spatial Data Missing ⚠",VLOOKUP(I53,'G-7 Rivers Data'!$AG$4:$AI$9,2,FALSE)))</f>
        <v/>
      </c>
      <c r="K53" s="499" t="str">
        <f>IF(I53="","",IF(VLOOKUP(I53,'G-7 Rivers Data'!$AG$4:$AI$9,3,FALSE)=0,"Spatial Data Missing ⚠",VLOOKUP(I53,'G-7 Rivers Data'!$AG$4:$AI$9,3,FALSE)))</f>
        <v/>
      </c>
      <c r="L53" s="635" t="str">
        <f>IFERROR(INDEX('G-7 Rivers Data'!$O$3:$O$7,MATCH(G53,'G-7 Rivers Data'!$N$3:$N$7,0)),"")</f>
        <v/>
      </c>
      <c r="M53" s="72"/>
      <c r="N53" s="195"/>
      <c r="O53" s="507" t="str">
        <f t="shared" si="1"/>
        <v/>
      </c>
      <c r="P53" s="521" t="str">
        <f t="shared" si="2"/>
        <v/>
      </c>
      <c r="Q53" s="564" t="str">
        <f>IFERROR(IF(P53="Check Data ⚠","Check Data ⚠",VLOOKUP(P53,'G-4 Temporal multipliers'!$A$4:$C$37,3,FALSE)),"")</f>
        <v/>
      </c>
      <c r="R53" s="498" t="str">
        <f>IF(C53="","",VLOOKUP(C53,'G-7 Rivers Data'!$B$4:$G$8,4,FALSE))</f>
        <v/>
      </c>
      <c r="S53" s="507" t="str">
        <f t="shared" si="3"/>
        <v/>
      </c>
      <c r="T53" s="540" t="str">
        <f t="shared" si="4"/>
        <v/>
      </c>
      <c r="U53" s="499" t="str">
        <f t="shared" si="5"/>
        <v/>
      </c>
      <c r="V53" s="71"/>
      <c r="W53" s="499" t="str">
        <f>IF(V53="","",IF(VLOOKUP(V53,'G-7 Rivers Data'!$AA$4:$AB$7,2,FALSE)=0,"Spatial Data Missing ⚠",VLOOKUP(V53,'G-7 Rivers Data'!$AA$4:$AB$7,2,FALSE)))</f>
        <v/>
      </c>
      <c r="X53" s="155"/>
      <c r="Y53" s="499" t="str">
        <f>IF(X53="","",IF(VLOOKUP(X53,'G-7 Rivers Data'!$AD$4:$AE$8,2,FALSE)=0,"Enrcoachment Data Missing ⚠",VLOOKUP(X53,'G-7 Rivers Data'!$AD$4:$AE$8,2,FALSE)))</f>
        <v/>
      </c>
      <c r="Z53" s="154"/>
      <c r="AA53" s="524" t="str">
        <f>IF(Z53="","",VLOOKUP(Z53,'G-7 Rivers Data'!$AO$4:$AP$7,2,FALSE))</f>
        <v/>
      </c>
      <c r="AB53" s="545" t="str">
        <f t="shared" si="6"/>
        <v/>
      </c>
      <c r="AC53" s="149"/>
      <c r="AD53" s="150"/>
      <c r="AK53" s="31" t="str">
        <f>IFERROR(INDEX('G-7 Rivers Data'!$AZ$3:$AZ$7,MATCH(C53,'G-7 Rivers Data'!$AY$3:$AY$7,0)),"")</f>
        <v/>
      </c>
    </row>
    <row r="54" spans="2:37" ht="13.8" x14ac:dyDescent="0.25">
      <c r="B54" s="141">
        <v>43</v>
      </c>
      <c r="C54" s="666"/>
      <c r="D54" s="172"/>
      <c r="E54" s="498" t="str">
        <f>IF(C54="","",VLOOKUP(C54,'G-7 Rivers Data'!$B$2:$Z$9,2,FALSE))</f>
        <v/>
      </c>
      <c r="F54" s="499" t="str">
        <f>IFERROR(VLOOKUP(E54,'G-7 Rivers Data'!$C$4:$D$8,2,FALSE),"")</f>
        <v/>
      </c>
      <c r="G54" s="145"/>
      <c r="H54" s="499" t="str">
        <f>IFERROR(INDEX('G-7 Rivers Data'!$H$4:$L$8,MATCH(C54,'G-7 Rivers Data'!$B$4:$B$8,0),MATCH(G54,'G-7 Rivers Data'!$H$3:$L$3,0)),"")</f>
        <v/>
      </c>
      <c r="I54" s="145"/>
      <c r="J54" s="540" t="str">
        <f>IF(I54="","",IF(VLOOKUP(I54,'G-7 Rivers Data'!$AG$4:$AI$9,2,FALSE)=0,"Spatial Data Missing ⚠",VLOOKUP(I54,'G-7 Rivers Data'!$AG$4:$AI$9,2,FALSE)))</f>
        <v/>
      </c>
      <c r="K54" s="499" t="str">
        <f>IF(I54="","",IF(VLOOKUP(I54,'G-7 Rivers Data'!$AG$4:$AI$9,3,FALSE)=0,"Spatial Data Missing ⚠",VLOOKUP(I54,'G-7 Rivers Data'!$AG$4:$AI$9,3,FALSE)))</f>
        <v/>
      </c>
      <c r="L54" s="635" t="str">
        <f>IFERROR(INDEX('G-7 Rivers Data'!$O$3:$O$7,MATCH(G54,'G-7 Rivers Data'!$N$3:$N$7,0)),"")</f>
        <v/>
      </c>
      <c r="M54" s="72"/>
      <c r="N54" s="195"/>
      <c r="O54" s="507" t="str">
        <f t="shared" si="1"/>
        <v/>
      </c>
      <c r="P54" s="521" t="str">
        <f t="shared" si="2"/>
        <v/>
      </c>
      <c r="Q54" s="564" t="str">
        <f>IFERROR(IF(P54="Check Data ⚠","Check Data ⚠",VLOOKUP(P54,'G-4 Temporal multipliers'!$A$4:$C$37,3,FALSE)),"")</f>
        <v/>
      </c>
      <c r="R54" s="498" t="str">
        <f>IF(C54="","",VLOOKUP(C54,'G-7 Rivers Data'!$B$4:$G$8,4,FALSE))</f>
        <v/>
      </c>
      <c r="S54" s="507" t="str">
        <f t="shared" si="3"/>
        <v/>
      </c>
      <c r="T54" s="540" t="str">
        <f t="shared" si="4"/>
        <v/>
      </c>
      <c r="U54" s="499" t="str">
        <f t="shared" si="5"/>
        <v/>
      </c>
      <c r="V54" s="71"/>
      <c r="W54" s="499" t="str">
        <f>IF(V54="","",IF(VLOOKUP(V54,'G-7 Rivers Data'!$AA$4:$AB$7,2,FALSE)=0,"Spatial Data Missing ⚠",VLOOKUP(V54,'G-7 Rivers Data'!$AA$4:$AB$7,2,FALSE)))</f>
        <v/>
      </c>
      <c r="X54" s="155"/>
      <c r="Y54" s="499" t="str">
        <f>IF(X54="","",IF(VLOOKUP(X54,'G-7 Rivers Data'!$AD$4:$AE$8,2,FALSE)=0,"Enrcoachment Data Missing ⚠",VLOOKUP(X54,'G-7 Rivers Data'!$AD$4:$AE$8,2,FALSE)))</f>
        <v/>
      </c>
      <c r="Z54" s="154"/>
      <c r="AA54" s="524" t="str">
        <f>IF(Z54="","",VLOOKUP(Z54,'G-7 Rivers Data'!$AO$4:$AP$7,2,FALSE))</f>
        <v/>
      </c>
      <c r="AB54" s="545" t="str">
        <f t="shared" si="6"/>
        <v/>
      </c>
      <c r="AC54" s="149"/>
      <c r="AD54" s="150"/>
      <c r="AK54" s="31" t="str">
        <f>IFERROR(INDEX('G-7 Rivers Data'!$AZ$3:$AZ$7,MATCH(C54,'G-7 Rivers Data'!$AY$3:$AY$7,0)),"")</f>
        <v/>
      </c>
    </row>
    <row r="55" spans="2:37" ht="13.8" x14ac:dyDescent="0.25">
      <c r="B55" s="141">
        <v>44</v>
      </c>
      <c r="C55" s="666"/>
      <c r="D55" s="172"/>
      <c r="E55" s="498" t="str">
        <f>IF(C55="","",VLOOKUP(C55,'G-7 Rivers Data'!$B$2:$Z$9,2,FALSE))</f>
        <v/>
      </c>
      <c r="F55" s="499" t="str">
        <f>IFERROR(VLOOKUP(E55,'G-7 Rivers Data'!$C$4:$D$8,2,FALSE),"")</f>
        <v/>
      </c>
      <c r="G55" s="145"/>
      <c r="H55" s="499" t="str">
        <f>IFERROR(INDEX('G-7 Rivers Data'!$H$4:$L$8,MATCH(C55,'G-7 Rivers Data'!$B$4:$B$8,0),MATCH(G55,'G-7 Rivers Data'!$H$3:$L$3,0)),"")</f>
        <v/>
      </c>
      <c r="I55" s="145"/>
      <c r="J55" s="540" t="str">
        <f>IF(I55="","",IF(VLOOKUP(I55,'G-7 Rivers Data'!$AG$4:$AI$9,2,FALSE)=0,"Spatial Data Missing ⚠",VLOOKUP(I55,'G-7 Rivers Data'!$AG$4:$AI$9,2,FALSE)))</f>
        <v/>
      </c>
      <c r="K55" s="499" t="str">
        <f>IF(I55="","",IF(VLOOKUP(I55,'G-7 Rivers Data'!$AG$4:$AI$9,3,FALSE)=0,"Spatial Data Missing ⚠",VLOOKUP(I55,'G-7 Rivers Data'!$AG$4:$AI$9,3,FALSE)))</f>
        <v/>
      </c>
      <c r="L55" s="635" t="str">
        <f>IFERROR(INDEX('G-7 Rivers Data'!$O$3:$O$7,MATCH(G55,'G-7 Rivers Data'!$N$3:$N$7,0)),"")</f>
        <v/>
      </c>
      <c r="M55" s="72"/>
      <c r="N55" s="195"/>
      <c r="O55" s="507" t="str">
        <f t="shared" si="1"/>
        <v/>
      </c>
      <c r="P55" s="521" t="str">
        <f t="shared" si="2"/>
        <v/>
      </c>
      <c r="Q55" s="564" t="str">
        <f>IFERROR(IF(P55="Check Data ⚠","Check Data ⚠",VLOOKUP(P55,'G-4 Temporal multipliers'!$A$4:$C$37,3,FALSE)),"")</f>
        <v/>
      </c>
      <c r="R55" s="498" t="str">
        <f>IF(C55="","",VLOOKUP(C55,'G-7 Rivers Data'!$B$4:$G$8,4,FALSE))</f>
        <v/>
      </c>
      <c r="S55" s="507" t="str">
        <f t="shared" si="3"/>
        <v/>
      </c>
      <c r="T55" s="540" t="str">
        <f t="shared" si="4"/>
        <v/>
      </c>
      <c r="U55" s="499" t="str">
        <f t="shared" si="5"/>
        <v/>
      </c>
      <c r="V55" s="71"/>
      <c r="W55" s="499" t="str">
        <f>IF(V55="","",IF(VLOOKUP(V55,'G-7 Rivers Data'!$AA$4:$AB$7,2,FALSE)=0,"Spatial Data Missing ⚠",VLOOKUP(V55,'G-7 Rivers Data'!$AA$4:$AB$7,2,FALSE)))</f>
        <v/>
      </c>
      <c r="X55" s="155"/>
      <c r="Y55" s="499" t="str">
        <f>IF(X55="","",IF(VLOOKUP(X55,'G-7 Rivers Data'!$AD$4:$AE$8,2,FALSE)=0,"Enrcoachment Data Missing ⚠",VLOOKUP(X55,'G-7 Rivers Data'!$AD$4:$AE$8,2,FALSE)))</f>
        <v/>
      </c>
      <c r="Z55" s="154"/>
      <c r="AA55" s="524" t="str">
        <f>IF(Z55="","",VLOOKUP(Z55,'G-7 Rivers Data'!$AO$4:$AP$7,2,FALSE))</f>
        <v/>
      </c>
      <c r="AB55" s="545" t="str">
        <f t="shared" si="6"/>
        <v/>
      </c>
      <c r="AC55" s="149"/>
      <c r="AD55" s="150"/>
      <c r="AK55" s="31" t="str">
        <f>IFERROR(INDEX('G-7 Rivers Data'!$AZ$3:$AZ$7,MATCH(C55,'G-7 Rivers Data'!$AY$3:$AY$7,0)),"")</f>
        <v/>
      </c>
    </row>
    <row r="56" spans="2:37" ht="13.8" x14ac:dyDescent="0.25">
      <c r="B56" s="141">
        <v>45</v>
      </c>
      <c r="C56" s="666"/>
      <c r="D56" s="172"/>
      <c r="E56" s="498" t="str">
        <f>IF(C56="","",VLOOKUP(C56,'G-7 Rivers Data'!$B$2:$Z$9,2,FALSE))</f>
        <v/>
      </c>
      <c r="F56" s="499" t="str">
        <f>IFERROR(VLOOKUP(E56,'G-7 Rivers Data'!$C$4:$D$8,2,FALSE),"")</f>
        <v/>
      </c>
      <c r="G56" s="145"/>
      <c r="H56" s="499" t="str">
        <f>IFERROR(INDEX('G-7 Rivers Data'!$H$4:$L$8,MATCH(C56,'G-7 Rivers Data'!$B$4:$B$8,0),MATCH(G56,'G-7 Rivers Data'!$H$3:$L$3,0)),"")</f>
        <v/>
      </c>
      <c r="I56" s="145"/>
      <c r="J56" s="540" t="str">
        <f>IF(I56="","",IF(VLOOKUP(I56,'G-7 Rivers Data'!$AG$4:$AI$9,2,FALSE)=0,"Spatial Data Missing ⚠",VLOOKUP(I56,'G-7 Rivers Data'!$AG$4:$AI$9,2,FALSE)))</f>
        <v/>
      </c>
      <c r="K56" s="499" t="str">
        <f>IF(I56="","",IF(VLOOKUP(I56,'G-7 Rivers Data'!$AG$4:$AI$9,3,FALSE)=0,"Spatial Data Missing ⚠",VLOOKUP(I56,'G-7 Rivers Data'!$AG$4:$AI$9,3,FALSE)))</f>
        <v/>
      </c>
      <c r="L56" s="635" t="str">
        <f>IFERROR(INDEX('G-7 Rivers Data'!$O$3:$O$7,MATCH(G56,'G-7 Rivers Data'!$N$3:$N$7,0)),"")</f>
        <v/>
      </c>
      <c r="M56" s="72"/>
      <c r="N56" s="195"/>
      <c r="O56" s="507" t="str">
        <f t="shared" si="1"/>
        <v/>
      </c>
      <c r="P56" s="521" t="str">
        <f t="shared" si="2"/>
        <v/>
      </c>
      <c r="Q56" s="564" t="str">
        <f>IFERROR(IF(P56="Check Data ⚠","Check Data ⚠",VLOOKUP(P56,'G-4 Temporal multipliers'!$A$4:$C$37,3,FALSE)),"")</f>
        <v/>
      </c>
      <c r="R56" s="498" t="str">
        <f>IF(C56="","",VLOOKUP(C56,'G-7 Rivers Data'!$B$4:$G$8,4,FALSE))</f>
        <v/>
      </c>
      <c r="S56" s="507" t="str">
        <f t="shared" si="3"/>
        <v/>
      </c>
      <c r="T56" s="540" t="str">
        <f t="shared" si="4"/>
        <v/>
      </c>
      <c r="U56" s="499" t="str">
        <f t="shared" si="5"/>
        <v/>
      </c>
      <c r="V56" s="71"/>
      <c r="W56" s="499" t="str">
        <f>IF(V56="","",IF(VLOOKUP(V56,'G-7 Rivers Data'!$AA$4:$AB$7,2,FALSE)=0,"Spatial Data Missing ⚠",VLOOKUP(V56,'G-7 Rivers Data'!$AA$4:$AB$7,2,FALSE)))</f>
        <v/>
      </c>
      <c r="X56" s="155"/>
      <c r="Y56" s="499" t="str">
        <f>IF(X56="","",IF(VLOOKUP(X56,'G-7 Rivers Data'!$AD$4:$AE$8,2,FALSE)=0,"Enrcoachment Data Missing ⚠",VLOOKUP(X56,'G-7 Rivers Data'!$AD$4:$AE$8,2,FALSE)))</f>
        <v/>
      </c>
      <c r="Z56" s="154"/>
      <c r="AA56" s="524" t="str">
        <f>IF(Z56="","",VLOOKUP(Z56,'G-7 Rivers Data'!$AO$4:$AP$7,2,FALSE))</f>
        <v/>
      </c>
      <c r="AB56" s="545" t="str">
        <f t="shared" si="6"/>
        <v/>
      </c>
      <c r="AC56" s="149"/>
      <c r="AD56" s="150"/>
      <c r="AK56" s="31" t="str">
        <f>IFERROR(INDEX('G-7 Rivers Data'!$AZ$3:$AZ$7,MATCH(C56,'G-7 Rivers Data'!$AY$3:$AY$7,0)),"")</f>
        <v/>
      </c>
    </row>
    <row r="57" spans="2:37" ht="13.8" x14ac:dyDescent="0.25">
      <c r="B57" s="141">
        <v>46</v>
      </c>
      <c r="C57" s="666"/>
      <c r="D57" s="172"/>
      <c r="E57" s="498" t="str">
        <f>IF(C57="","",VLOOKUP(C57,'G-7 Rivers Data'!$B$2:$Z$9,2,FALSE))</f>
        <v/>
      </c>
      <c r="F57" s="499" t="str">
        <f>IFERROR(VLOOKUP(E57,'G-7 Rivers Data'!$C$4:$D$8,2,FALSE),"")</f>
        <v/>
      </c>
      <c r="G57" s="145"/>
      <c r="H57" s="499" t="str">
        <f>IFERROR(INDEX('G-7 Rivers Data'!$H$4:$L$8,MATCH(C57,'G-7 Rivers Data'!$B$4:$B$8,0),MATCH(G57,'G-7 Rivers Data'!$H$3:$L$3,0)),"")</f>
        <v/>
      </c>
      <c r="I57" s="145"/>
      <c r="J57" s="540" t="str">
        <f>IF(I57="","",IF(VLOOKUP(I57,'G-7 Rivers Data'!$AG$4:$AI$9,2,FALSE)=0,"Spatial Data Missing ⚠",VLOOKUP(I57,'G-7 Rivers Data'!$AG$4:$AI$9,2,FALSE)))</f>
        <v/>
      </c>
      <c r="K57" s="499" t="str">
        <f>IF(I57="","",IF(VLOOKUP(I57,'G-7 Rivers Data'!$AG$4:$AI$9,3,FALSE)=0,"Spatial Data Missing ⚠",VLOOKUP(I57,'G-7 Rivers Data'!$AG$4:$AI$9,3,FALSE)))</f>
        <v/>
      </c>
      <c r="L57" s="635" t="str">
        <f>IFERROR(INDEX('G-7 Rivers Data'!$O$3:$O$7,MATCH(G57,'G-7 Rivers Data'!$N$3:$N$7,0)),"")</f>
        <v/>
      </c>
      <c r="M57" s="72"/>
      <c r="N57" s="195"/>
      <c r="O57" s="507" t="str">
        <f t="shared" si="1"/>
        <v/>
      </c>
      <c r="P57" s="521" t="str">
        <f t="shared" si="2"/>
        <v/>
      </c>
      <c r="Q57" s="564" t="str">
        <f>IFERROR(IF(P57="Check Data ⚠","Check Data ⚠",VLOOKUP(P57,'G-4 Temporal multipliers'!$A$4:$C$37,3,FALSE)),"")</f>
        <v/>
      </c>
      <c r="R57" s="498" t="str">
        <f>IF(C57="","",VLOOKUP(C57,'G-7 Rivers Data'!$B$4:$G$8,4,FALSE))</f>
        <v/>
      </c>
      <c r="S57" s="507" t="str">
        <f t="shared" si="3"/>
        <v/>
      </c>
      <c r="T57" s="540" t="str">
        <f t="shared" si="4"/>
        <v/>
      </c>
      <c r="U57" s="499" t="str">
        <f t="shared" si="5"/>
        <v/>
      </c>
      <c r="V57" s="71"/>
      <c r="W57" s="499" t="str">
        <f>IF(V57="","",IF(VLOOKUP(V57,'G-7 Rivers Data'!$AA$4:$AB$7,2,FALSE)=0,"Spatial Data Missing ⚠",VLOOKUP(V57,'G-7 Rivers Data'!$AA$4:$AB$7,2,FALSE)))</f>
        <v/>
      </c>
      <c r="X57" s="155"/>
      <c r="Y57" s="499" t="str">
        <f>IF(X57="","",IF(VLOOKUP(X57,'G-7 Rivers Data'!$AD$4:$AE$8,2,FALSE)=0,"Enrcoachment Data Missing ⚠",VLOOKUP(X57,'G-7 Rivers Data'!$AD$4:$AE$8,2,FALSE)))</f>
        <v/>
      </c>
      <c r="Z57" s="154"/>
      <c r="AA57" s="524" t="str">
        <f>IF(Z57="","",VLOOKUP(Z57,'G-7 Rivers Data'!$AO$4:$AP$7,2,FALSE))</f>
        <v/>
      </c>
      <c r="AB57" s="545" t="str">
        <f t="shared" si="6"/>
        <v/>
      </c>
      <c r="AC57" s="149"/>
      <c r="AD57" s="150"/>
      <c r="AK57" s="31" t="str">
        <f>IFERROR(INDEX('G-7 Rivers Data'!$AZ$3:$AZ$7,MATCH(C57,'G-7 Rivers Data'!$AY$3:$AY$7,0)),"")</f>
        <v/>
      </c>
    </row>
    <row r="58" spans="2:37" ht="13.8" x14ac:dyDescent="0.25">
      <c r="B58" s="141">
        <v>47</v>
      </c>
      <c r="C58" s="666"/>
      <c r="D58" s="172"/>
      <c r="E58" s="498" t="str">
        <f>IF(C58="","",VLOOKUP(C58,'G-7 Rivers Data'!$B$2:$Z$9,2,FALSE))</f>
        <v/>
      </c>
      <c r="F58" s="499" t="str">
        <f>IFERROR(VLOOKUP(E58,'G-7 Rivers Data'!$C$4:$D$8,2,FALSE),"")</f>
        <v/>
      </c>
      <c r="G58" s="145"/>
      <c r="H58" s="499" t="str">
        <f>IFERROR(INDEX('G-7 Rivers Data'!$H$4:$L$8,MATCH(C58,'G-7 Rivers Data'!$B$4:$B$8,0),MATCH(G58,'G-7 Rivers Data'!$H$3:$L$3,0)),"")</f>
        <v/>
      </c>
      <c r="I58" s="145"/>
      <c r="J58" s="540" t="str">
        <f>IF(I58="","",IF(VLOOKUP(I58,'G-7 Rivers Data'!$AG$4:$AI$9,2,FALSE)=0,"Spatial Data Missing ⚠",VLOOKUP(I58,'G-7 Rivers Data'!$AG$4:$AI$9,2,FALSE)))</f>
        <v/>
      </c>
      <c r="K58" s="499" t="str">
        <f>IF(I58="","",IF(VLOOKUP(I58,'G-7 Rivers Data'!$AG$4:$AI$9,3,FALSE)=0,"Spatial Data Missing ⚠",VLOOKUP(I58,'G-7 Rivers Data'!$AG$4:$AI$9,3,FALSE)))</f>
        <v/>
      </c>
      <c r="L58" s="635" t="str">
        <f>IFERROR(INDEX('G-7 Rivers Data'!$O$3:$O$7,MATCH(G58,'G-7 Rivers Data'!$N$3:$N$7,0)),"")</f>
        <v/>
      </c>
      <c r="M58" s="72"/>
      <c r="N58" s="195"/>
      <c r="O58" s="507" t="str">
        <f t="shared" si="1"/>
        <v/>
      </c>
      <c r="P58" s="521" t="str">
        <f t="shared" si="2"/>
        <v/>
      </c>
      <c r="Q58" s="564" t="str">
        <f>IFERROR(IF(P58="Check Data ⚠","Check Data ⚠",VLOOKUP(P58,'G-4 Temporal multipliers'!$A$4:$C$37,3,FALSE)),"")</f>
        <v/>
      </c>
      <c r="R58" s="498" t="str">
        <f>IF(C58="","",VLOOKUP(C58,'G-7 Rivers Data'!$B$4:$G$8,4,FALSE))</f>
        <v/>
      </c>
      <c r="S58" s="507" t="str">
        <f t="shared" si="3"/>
        <v/>
      </c>
      <c r="T58" s="540" t="str">
        <f t="shared" si="4"/>
        <v/>
      </c>
      <c r="U58" s="499" t="str">
        <f t="shared" si="5"/>
        <v/>
      </c>
      <c r="V58" s="71"/>
      <c r="W58" s="499" t="str">
        <f>IF(V58="","",IF(VLOOKUP(V58,'G-7 Rivers Data'!$AA$4:$AB$7,2,FALSE)=0,"Spatial Data Missing ⚠",VLOOKUP(V58,'G-7 Rivers Data'!$AA$4:$AB$7,2,FALSE)))</f>
        <v/>
      </c>
      <c r="X58" s="155"/>
      <c r="Y58" s="499" t="str">
        <f>IF(X58="","",IF(VLOOKUP(X58,'G-7 Rivers Data'!$AD$4:$AE$8,2,FALSE)=0,"Enrcoachment Data Missing ⚠",VLOOKUP(X58,'G-7 Rivers Data'!$AD$4:$AE$8,2,FALSE)))</f>
        <v/>
      </c>
      <c r="Z58" s="154"/>
      <c r="AA58" s="524" t="str">
        <f>IF(Z58="","",VLOOKUP(Z58,'G-7 Rivers Data'!$AO$4:$AP$7,2,FALSE))</f>
        <v/>
      </c>
      <c r="AB58" s="545" t="str">
        <f t="shared" si="6"/>
        <v/>
      </c>
      <c r="AC58" s="149"/>
      <c r="AD58" s="150"/>
      <c r="AK58" s="31" t="str">
        <f>IFERROR(INDEX('G-7 Rivers Data'!$AZ$3:$AZ$7,MATCH(C58,'G-7 Rivers Data'!$AY$3:$AY$7,0)),"")</f>
        <v/>
      </c>
    </row>
    <row r="59" spans="2:37" ht="13.8" x14ac:dyDescent="0.25">
      <c r="B59" s="141">
        <v>48</v>
      </c>
      <c r="C59" s="666"/>
      <c r="D59" s="172"/>
      <c r="E59" s="498" t="str">
        <f>IF(C59="","",VLOOKUP(C59,'G-7 Rivers Data'!$B$2:$Z$9,2,FALSE))</f>
        <v/>
      </c>
      <c r="F59" s="499" t="str">
        <f>IFERROR(VLOOKUP(E59,'G-7 Rivers Data'!$C$4:$D$8,2,FALSE),"")</f>
        <v/>
      </c>
      <c r="G59" s="145"/>
      <c r="H59" s="499" t="str">
        <f>IFERROR(INDEX('G-7 Rivers Data'!$H$4:$L$8,MATCH(C59,'G-7 Rivers Data'!$B$4:$B$8,0),MATCH(G59,'G-7 Rivers Data'!$H$3:$L$3,0)),"")</f>
        <v/>
      </c>
      <c r="I59" s="145"/>
      <c r="J59" s="540" t="str">
        <f>IF(I59="","",IF(VLOOKUP(I59,'G-7 Rivers Data'!$AG$4:$AI$9,2,FALSE)=0,"Spatial Data Missing ⚠",VLOOKUP(I59,'G-7 Rivers Data'!$AG$4:$AI$9,2,FALSE)))</f>
        <v/>
      </c>
      <c r="K59" s="499" t="str">
        <f>IF(I59="","",IF(VLOOKUP(I59,'G-7 Rivers Data'!$AG$4:$AI$9,3,FALSE)=0,"Spatial Data Missing ⚠",VLOOKUP(I59,'G-7 Rivers Data'!$AG$4:$AI$9,3,FALSE)))</f>
        <v/>
      </c>
      <c r="L59" s="635" t="str">
        <f>IFERROR(INDEX('G-7 Rivers Data'!$O$3:$O$7,MATCH(G59,'G-7 Rivers Data'!$N$3:$N$7,0)),"")</f>
        <v/>
      </c>
      <c r="M59" s="72"/>
      <c r="N59" s="195"/>
      <c r="O59" s="507" t="str">
        <f t="shared" si="1"/>
        <v/>
      </c>
      <c r="P59" s="521" t="str">
        <f t="shared" si="2"/>
        <v/>
      </c>
      <c r="Q59" s="564" t="str">
        <f>IFERROR(IF(P59="Check Data ⚠","Check Data ⚠",VLOOKUP(P59,'G-4 Temporal multipliers'!$A$4:$C$37,3,FALSE)),"")</f>
        <v/>
      </c>
      <c r="R59" s="498" t="str">
        <f>IF(C59="","",VLOOKUP(C59,'G-7 Rivers Data'!$B$4:$G$8,4,FALSE))</f>
        <v/>
      </c>
      <c r="S59" s="507" t="str">
        <f t="shared" si="3"/>
        <v/>
      </c>
      <c r="T59" s="540" t="str">
        <f t="shared" si="4"/>
        <v/>
      </c>
      <c r="U59" s="499" t="str">
        <f t="shared" si="5"/>
        <v/>
      </c>
      <c r="V59" s="71"/>
      <c r="W59" s="499" t="str">
        <f>IF(V59="","",IF(VLOOKUP(V59,'G-7 Rivers Data'!$AA$4:$AB$7,2,FALSE)=0,"Spatial Data Missing ⚠",VLOOKUP(V59,'G-7 Rivers Data'!$AA$4:$AB$7,2,FALSE)))</f>
        <v/>
      </c>
      <c r="X59" s="155"/>
      <c r="Y59" s="499" t="str">
        <f>IF(X59="","",IF(VLOOKUP(X59,'G-7 Rivers Data'!$AD$4:$AE$8,2,FALSE)=0,"Enrcoachment Data Missing ⚠",VLOOKUP(X59,'G-7 Rivers Data'!$AD$4:$AE$8,2,FALSE)))</f>
        <v/>
      </c>
      <c r="Z59" s="154"/>
      <c r="AA59" s="524" t="str">
        <f>IF(Z59="","",VLOOKUP(Z59,'G-7 Rivers Data'!$AO$4:$AP$7,2,FALSE))</f>
        <v/>
      </c>
      <c r="AB59" s="545" t="str">
        <f t="shared" si="6"/>
        <v/>
      </c>
      <c r="AC59" s="149"/>
      <c r="AD59" s="150"/>
      <c r="AK59" s="31" t="str">
        <f>IFERROR(INDEX('G-7 Rivers Data'!$AZ$3:$AZ$7,MATCH(C59,'G-7 Rivers Data'!$AY$3:$AY$7,0)),"")</f>
        <v/>
      </c>
    </row>
    <row r="60" spans="2:37" ht="13.8" x14ac:dyDescent="0.25">
      <c r="B60" s="141">
        <v>49</v>
      </c>
      <c r="C60" s="666"/>
      <c r="D60" s="172"/>
      <c r="E60" s="498" t="str">
        <f>IF(C60="","",VLOOKUP(C60,'G-7 Rivers Data'!$B$2:$Z$9,2,FALSE))</f>
        <v/>
      </c>
      <c r="F60" s="499" t="str">
        <f>IFERROR(VLOOKUP(E60,'G-7 Rivers Data'!$C$4:$D$8,2,FALSE),"")</f>
        <v/>
      </c>
      <c r="G60" s="145"/>
      <c r="H60" s="499" t="str">
        <f>IFERROR(INDEX('G-7 Rivers Data'!$H$4:$L$8,MATCH(C60,'G-7 Rivers Data'!$B$4:$B$8,0),MATCH(G60,'G-7 Rivers Data'!$H$3:$L$3,0)),"")</f>
        <v/>
      </c>
      <c r="I60" s="145"/>
      <c r="J60" s="540" t="str">
        <f>IF(I60="","",IF(VLOOKUP(I60,'G-7 Rivers Data'!$AG$4:$AI$9,2,FALSE)=0,"Spatial Data Missing ⚠",VLOOKUP(I60,'G-7 Rivers Data'!$AG$4:$AI$9,2,FALSE)))</f>
        <v/>
      </c>
      <c r="K60" s="499" t="str">
        <f>IF(I60="","",IF(VLOOKUP(I60,'G-7 Rivers Data'!$AG$4:$AI$9,3,FALSE)=0,"Spatial Data Missing ⚠",VLOOKUP(I60,'G-7 Rivers Data'!$AG$4:$AI$9,3,FALSE)))</f>
        <v/>
      </c>
      <c r="L60" s="635" t="str">
        <f>IFERROR(INDEX('G-7 Rivers Data'!$O$3:$O$7,MATCH(G60,'G-7 Rivers Data'!$N$3:$N$7,0)),"")</f>
        <v/>
      </c>
      <c r="M60" s="72"/>
      <c r="N60" s="195"/>
      <c r="O60" s="507" t="str">
        <f t="shared" si="1"/>
        <v/>
      </c>
      <c r="P60" s="521" t="str">
        <f t="shared" si="2"/>
        <v/>
      </c>
      <c r="Q60" s="564" t="str">
        <f>IFERROR(IF(P60="Check Data ⚠","Check Data ⚠",VLOOKUP(P60,'G-4 Temporal multipliers'!$A$4:$C$37,3,FALSE)),"")</f>
        <v/>
      </c>
      <c r="R60" s="498" t="str">
        <f>IF(C60="","",VLOOKUP(C60,'G-7 Rivers Data'!$B$4:$G$8,4,FALSE))</f>
        <v/>
      </c>
      <c r="S60" s="507" t="str">
        <f t="shared" si="3"/>
        <v/>
      </c>
      <c r="T60" s="540" t="str">
        <f t="shared" si="4"/>
        <v/>
      </c>
      <c r="U60" s="499" t="str">
        <f t="shared" si="5"/>
        <v/>
      </c>
      <c r="V60" s="71"/>
      <c r="W60" s="499" t="str">
        <f>IF(V60="","",IF(VLOOKUP(V60,'G-7 Rivers Data'!$AA$4:$AB$7,2,FALSE)=0,"Spatial Data Missing ⚠",VLOOKUP(V60,'G-7 Rivers Data'!$AA$4:$AB$7,2,FALSE)))</f>
        <v/>
      </c>
      <c r="X60" s="155"/>
      <c r="Y60" s="499" t="str">
        <f>IF(X60="","",IF(VLOOKUP(X60,'G-7 Rivers Data'!$AD$4:$AE$8,2,FALSE)=0,"Enrcoachment Data Missing ⚠",VLOOKUP(X60,'G-7 Rivers Data'!$AD$4:$AE$8,2,FALSE)))</f>
        <v/>
      </c>
      <c r="Z60" s="154"/>
      <c r="AA60" s="524" t="str">
        <f>IF(Z60="","",VLOOKUP(Z60,'G-7 Rivers Data'!$AO$4:$AP$7,2,FALSE))</f>
        <v/>
      </c>
      <c r="AB60" s="545" t="str">
        <f t="shared" si="6"/>
        <v/>
      </c>
      <c r="AC60" s="149"/>
      <c r="AD60" s="150"/>
      <c r="AK60" s="31" t="str">
        <f>IFERROR(INDEX('G-7 Rivers Data'!$AZ$3:$AZ$7,MATCH(C60,'G-7 Rivers Data'!$AY$3:$AY$7,0)),"")</f>
        <v/>
      </c>
    </row>
    <row r="61" spans="2:37" ht="13.8" x14ac:dyDescent="0.25">
      <c r="B61" s="141">
        <v>50</v>
      </c>
      <c r="C61" s="666"/>
      <c r="D61" s="172"/>
      <c r="E61" s="498" t="str">
        <f>IF(C61="","",VLOOKUP(C61,'G-7 Rivers Data'!$B$2:$Z$9,2,FALSE))</f>
        <v/>
      </c>
      <c r="F61" s="499" t="str">
        <f>IFERROR(VLOOKUP(E61,'G-7 Rivers Data'!$C$4:$D$8,2,FALSE),"")</f>
        <v/>
      </c>
      <c r="G61" s="145"/>
      <c r="H61" s="499" t="str">
        <f>IFERROR(INDEX('G-7 Rivers Data'!$H$4:$L$8,MATCH(C61,'G-7 Rivers Data'!$B$4:$B$8,0),MATCH(G61,'G-7 Rivers Data'!$H$3:$L$3,0)),"")</f>
        <v/>
      </c>
      <c r="I61" s="145"/>
      <c r="J61" s="540" t="str">
        <f>IF(I61="","",IF(VLOOKUP(I61,'G-7 Rivers Data'!$AG$4:$AI$9,2,FALSE)=0,"Spatial Data Missing ⚠",VLOOKUP(I61,'G-7 Rivers Data'!$AG$4:$AI$9,2,FALSE)))</f>
        <v/>
      </c>
      <c r="K61" s="499" t="str">
        <f>IF(I61="","",IF(VLOOKUP(I61,'G-7 Rivers Data'!$AG$4:$AI$9,3,FALSE)=0,"Spatial Data Missing ⚠",VLOOKUP(I61,'G-7 Rivers Data'!$AG$4:$AI$9,3,FALSE)))</f>
        <v/>
      </c>
      <c r="L61" s="635" t="str">
        <f>IFERROR(INDEX('G-7 Rivers Data'!$O$3:$O$7,MATCH(G61,'G-7 Rivers Data'!$N$3:$N$7,0)),"")</f>
        <v/>
      </c>
      <c r="M61" s="72"/>
      <c r="N61" s="195"/>
      <c r="O61" s="507" t="str">
        <f t="shared" si="1"/>
        <v/>
      </c>
      <c r="P61" s="521" t="str">
        <f t="shared" si="2"/>
        <v/>
      </c>
      <c r="Q61" s="564" t="str">
        <f>IFERROR(IF(P61="Check Data ⚠","Check Data ⚠",VLOOKUP(P61,'G-4 Temporal multipliers'!$A$4:$C$37,3,FALSE)),"")</f>
        <v/>
      </c>
      <c r="R61" s="498" t="str">
        <f>IF(C61="","",VLOOKUP(C61,'G-7 Rivers Data'!$B$4:$G$8,4,FALSE))</f>
        <v/>
      </c>
      <c r="S61" s="507" t="str">
        <f t="shared" si="3"/>
        <v/>
      </c>
      <c r="T61" s="540" t="str">
        <f t="shared" si="4"/>
        <v/>
      </c>
      <c r="U61" s="499" t="str">
        <f t="shared" si="5"/>
        <v/>
      </c>
      <c r="V61" s="71"/>
      <c r="W61" s="499" t="str">
        <f>IF(V61="","",IF(VLOOKUP(V61,'G-7 Rivers Data'!$AA$4:$AB$7,2,FALSE)=0,"Spatial Data Missing ⚠",VLOOKUP(V61,'G-7 Rivers Data'!$AA$4:$AB$7,2,FALSE)))</f>
        <v/>
      </c>
      <c r="X61" s="155"/>
      <c r="Y61" s="499" t="str">
        <f>IF(X61="","",IF(VLOOKUP(X61,'G-7 Rivers Data'!$AD$4:$AE$8,2,FALSE)=0,"Enrcoachment Data Missing ⚠",VLOOKUP(X61,'G-7 Rivers Data'!$AD$4:$AE$8,2,FALSE)))</f>
        <v/>
      </c>
      <c r="Z61" s="154"/>
      <c r="AA61" s="524" t="str">
        <f>IF(Z61="","",VLOOKUP(Z61,'G-7 Rivers Data'!$AO$4:$AP$7,2,FALSE))</f>
        <v/>
      </c>
      <c r="AB61" s="545" t="str">
        <f t="shared" si="6"/>
        <v/>
      </c>
      <c r="AC61" s="149"/>
      <c r="AD61" s="150"/>
      <c r="AK61" s="31" t="str">
        <f>IFERROR(INDEX('G-7 Rivers Data'!$AZ$3:$AZ$7,MATCH(C61,'G-7 Rivers Data'!$AY$3:$AY$7,0)),"")</f>
        <v/>
      </c>
    </row>
    <row r="62" spans="2:37" ht="13.8" x14ac:dyDescent="0.25">
      <c r="B62" s="141">
        <v>51</v>
      </c>
      <c r="C62" s="666"/>
      <c r="D62" s="172"/>
      <c r="E62" s="498" t="str">
        <f>IF(C62="","",VLOOKUP(C62,'G-7 Rivers Data'!$B$2:$Z$9,2,FALSE))</f>
        <v/>
      </c>
      <c r="F62" s="499" t="str">
        <f>IFERROR(VLOOKUP(E62,'G-7 Rivers Data'!$C$4:$D$8,2,FALSE),"")</f>
        <v/>
      </c>
      <c r="G62" s="145"/>
      <c r="H62" s="499" t="str">
        <f>IFERROR(INDEX('G-7 Rivers Data'!$H$4:$L$8,MATCH(C62,'G-7 Rivers Data'!$B$4:$B$8,0),MATCH(G62,'G-7 Rivers Data'!$H$3:$L$3,0)),"")</f>
        <v/>
      </c>
      <c r="I62" s="145"/>
      <c r="J62" s="540" t="str">
        <f>IF(I62="","",IF(VLOOKUP(I62,'G-7 Rivers Data'!$AG$4:$AI$9,2,FALSE)=0,"Spatial Data Missing ⚠",VLOOKUP(I62,'G-7 Rivers Data'!$AG$4:$AI$9,2,FALSE)))</f>
        <v/>
      </c>
      <c r="K62" s="499" t="str">
        <f>IF(I62="","",IF(VLOOKUP(I62,'G-7 Rivers Data'!$AG$4:$AI$9,3,FALSE)=0,"Spatial Data Missing ⚠",VLOOKUP(I62,'G-7 Rivers Data'!$AG$4:$AI$9,3,FALSE)))</f>
        <v/>
      </c>
      <c r="L62" s="635" t="str">
        <f>IFERROR(INDEX('G-7 Rivers Data'!$O$3:$O$7,MATCH(G62,'G-7 Rivers Data'!$N$3:$N$7,0)),"")</f>
        <v/>
      </c>
      <c r="M62" s="72"/>
      <c r="N62" s="195"/>
      <c r="O62" s="507" t="str">
        <f t="shared" si="1"/>
        <v/>
      </c>
      <c r="P62" s="521" t="str">
        <f t="shared" si="2"/>
        <v/>
      </c>
      <c r="Q62" s="564" t="str">
        <f>IFERROR(IF(P62="Check Data ⚠","Check Data ⚠",VLOOKUP(P62,'G-4 Temporal multipliers'!$A$4:$C$37,3,FALSE)),"")</f>
        <v/>
      </c>
      <c r="R62" s="498" t="str">
        <f>IF(C62="","",VLOOKUP(C62,'G-7 Rivers Data'!$B$4:$G$8,4,FALSE))</f>
        <v/>
      </c>
      <c r="S62" s="507" t="str">
        <f t="shared" si="3"/>
        <v/>
      </c>
      <c r="T62" s="540" t="str">
        <f t="shared" si="4"/>
        <v/>
      </c>
      <c r="U62" s="499" t="str">
        <f t="shared" si="5"/>
        <v/>
      </c>
      <c r="V62" s="71"/>
      <c r="W62" s="499" t="str">
        <f>IF(V62="","",IF(VLOOKUP(V62,'G-7 Rivers Data'!$AA$4:$AB$7,2,FALSE)=0,"Spatial Data Missing ⚠",VLOOKUP(V62,'G-7 Rivers Data'!$AA$4:$AB$7,2,FALSE)))</f>
        <v/>
      </c>
      <c r="X62" s="155"/>
      <c r="Y62" s="499" t="str">
        <f>IF(X62="","",IF(VLOOKUP(X62,'G-7 Rivers Data'!$AD$4:$AE$8,2,FALSE)=0,"Enrcoachment Data Missing ⚠",VLOOKUP(X62,'G-7 Rivers Data'!$AD$4:$AE$8,2,FALSE)))</f>
        <v/>
      </c>
      <c r="Z62" s="154"/>
      <c r="AA62" s="524" t="str">
        <f>IF(Z62="","",VLOOKUP(Z62,'G-7 Rivers Data'!$AO$4:$AP$7,2,FALSE))</f>
        <v/>
      </c>
      <c r="AB62" s="545" t="str">
        <f t="shared" si="6"/>
        <v/>
      </c>
      <c r="AC62" s="149"/>
      <c r="AD62" s="150"/>
      <c r="AK62" s="31" t="str">
        <f>IFERROR(INDEX('G-7 Rivers Data'!$AZ$3:$AZ$7,MATCH(C62,'G-7 Rivers Data'!$AY$3:$AY$7,0)),"")</f>
        <v/>
      </c>
    </row>
    <row r="63" spans="2:37" ht="13.8" x14ac:dyDescent="0.25">
      <c r="B63" s="141">
        <v>52</v>
      </c>
      <c r="C63" s="666"/>
      <c r="D63" s="172"/>
      <c r="E63" s="498" t="str">
        <f>IF(C63="","",VLOOKUP(C63,'G-7 Rivers Data'!$B$2:$Z$9,2,FALSE))</f>
        <v/>
      </c>
      <c r="F63" s="499" t="str">
        <f>IFERROR(VLOOKUP(E63,'G-7 Rivers Data'!$C$4:$D$8,2,FALSE),"")</f>
        <v/>
      </c>
      <c r="G63" s="145"/>
      <c r="H63" s="499" t="str">
        <f>IFERROR(INDEX('G-7 Rivers Data'!$H$4:$L$8,MATCH(C63,'G-7 Rivers Data'!$B$4:$B$8,0),MATCH(G63,'G-7 Rivers Data'!$H$3:$L$3,0)),"")</f>
        <v/>
      </c>
      <c r="I63" s="145"/>
      <c r="J63" s="540" t="str">
        <f>IF(I63="","",IF(VLOOKUP(I63,'G-7 Rivers Data'!$AG$4:$AI$9,2,FALSE)=0,"Spatial Data Missing ⚠",VLOOKUP(I63,'G-7 Rivers Data'!$AG$4:$AI$9,2,FALSE)))</f>
        <v/>
      </c>
      <c r="K63" s="499" t="str">
        <f>IF(I63="","",IF(VLOOKUP(I63,'G-7 Rivers Data'!$AG$4:$AI$9,3,FALSE)=0,"Spatial Data Missing ⚠",VLOOKUP(I63,'G-7 Rivers Data'!$AG$4:$AI$9,3,FALSE)))</f>
        <v/>
      </c>
      <c r="L63" s="635" t="str">
        <f>IFERROR(INDEX('G-7 Rivers Data'!$O$3:$O$7,MATCH(G63,'G-7 Rivers Data'!$N$3:$N$7,0)),"")</f>
        <v/>
      </c>
      <c r="M63" s="72"/>
      <c r="N63" s="195"/>
      <c r="O63" s="507" t="str">
        <f t="shared" si="1"/>
        <v/>
      </c>
      <c r="P63" s="521" t="str">
        <f t="shared" si="2"/>
        <v/>
      </c>
      <c r="Q63" s="564" t="str">
        <f>IFERROR(IF(P63="Check Data ⚠","Check Data ⚠",VLOOKUP(P63,'G-4 Temporal multipliers'!$A$4:$C$37,3,FALSE)),"")</f>
        <v/>
      </c>
      <c r="R63" s="498" t="str">
        <f>IF(C63="","",VLOOKUP(C63,'G-7 Rivers Data'!$B$4:$G$8,4,FALSE))</f>
        <v/>
      </c>
      <c r="S63" s="507" t="str">
        <f t="shared" si="3"/>
        <v/>
      </c>
      <c r="T63" s="540" t="str">
        <f t="shared" si="4"/>
        <v/>
      </c>
      <c r="U63" s="499" t="str">
        <f t="shared" si="5"/>
        <v/>
      </c>
      <c r="V63" s="71"/>
      <c r="W63" s="499" t="str">
        <f>IF(V63="","",IF(VLOOKUP(V63,'G-7 Rivers Data'!$AA$4:$AB$7,2,FALSE)=0,"Spatial Data Missing ⚠",VLOOKUP(V63,'G-7 Rivers Data'!$AA$4:$AB$7,2,FALSE)))</f>
        <v/>
      </c>
      <c r="X63" s="155"/>
      <c r="Y63" s="499" t="str">
        <f>IF(X63="","",IF(VLOOKUP(X63,'G-7 Rivers Data'!$AD$4:$AE$8,2,FALSE)=0,"Enrcoachment Data Missing ⚠",VLOOKUP(X63,'G-7 Rivers Data'!$AD$4:$AE$8,2,FALSE)))</f>
        <v/>
      </c>
      <c r="Z63" s="154"/>
      <c r="AA63" s="524" t="str">
        <f>IF(Z63="","",VLOOKUP(Z63,'G-7 Rivers Data'!$AO$4:$AP$7,2,FALSE))</f>
        <v/>
      </c>
      <c r="AB63" s="545" t="str">
        <f t="shared" si="6"/>
        <v/>
      </c>
      <c r="AC63" s="149"/>
      <c r="AD63" s="150"/>
      <c r="AK63" s="31" t="str">
        <f>IFERROR(INDEX('G-7 Rivers Data'!$AZ$3:$AZ$7,MATCH(C63,'G-7 Rivers Data'!$AY$3:$AY$7,0)),"")</f>
        <v/>
      </c>
    </row>
    <row r="64" spans="2:37" ht="13.8" x14ac:dyDescent="0.25">
      <c r="B64" s="141">
        <v>53</v>
      </c>
      <c r="C64" s="666"/>
      <c r="D64" s="172"/>
      <c r="E64" s="498" t="str">
        <f>IF(C64="","",VLOOKUP(C64,'G-7 Rivers Data'!$B$2:$Z$9,2,FALSE))</f>
        <v/>
      </c>
      <c r="F64" s="499" t="str">
        <f>IFERROR(VLOOKUP(E64,'G-7 Rivers Data'!$C$4:$D$8,2,FALSE),"")</f>
        <v/>
      </c>
      <c r="G64" s="145"/>
      <c r="H64" s="499" t="str">
        <f>IFERROR(INDEX('G-7 Rivers Data'!$H$4:$L$8,MATCH(C64,'G-7 Rivers Data'!$B$4:$B$8,0),MATCH(G64,'G-7 Rivers Data'!$H$3:$L$3,0)),"")</f>
        <v/>
      </c>
      <c r="I64" s="145"/>
      <c r="J64" s="540" t="str">
        <f>IF(I64="","",IF(VLOOKUP(I64,'G-7 Rivers Data'!$AG$4:$AI$9,2,FALSE)=0,"Spatial Data Missing ⚠",VLOOKUP(I64,'G-7 Rivers Data'!$AG$4:$AI$9,2,FALSE)))</f>
        <v/>
      </c>
      <c r="K64" s="499" t="str">
        <f>IF(I64="","",IF(VLOOKUP(I64,'G-7 Rivers Data'!$AG$4:$AI$9,3,FALSE)=0,"Spatial Data Missing ⚠",VLOOKUP(I64,'G-7 Rivers Data'!$AG$4:$AI$9,3,FALSE)))</f>
        <v/>
      </c>
      <c r="L64" s="635" t="str">
        <f>IFERROR(INDEX('G-7 Rivers Data'!$O$3:$O$7,MATCH(G64,'G-7 Rivers Data'!$N$3:$N$7,0)),"")</f>
        <v/>
      </c>
      <c r="M64" s="72"/>
      <c r="N64" s="195"/>
      <c r="O64" s="507" t="str">
        <f t="shared" si="1"/>
        <v/>
      </c>
      <c r="P64" s="521" t="str">
        <f t="shared" si="2"/>
        <v/>
      </c>
      <c r="Q64" s="564" t="str">
        <f>IFERROR(IF(P64="Check Data ⚠","Check Data ⚠",VLOOKUP(P64,'G-4 Temporal multipliers'!$A$4:$C$37,3,FALSE)),"")</f>
        <v/>
      </c>
      <c r="R64" s="498" t="str">
        <f>IF(C64="","",VLOOKUP(C64,'G-7 Rivers Data'!$B$4:$G$8,4,FALSE))</f>
        <v/>
      </c>
      <c r="S64" s="507" t="str">
        <f t="shared" si="3"/>
        <v/>
      </c>
      <c r="T64" s="540" t="str">
        <f t="shared" si="4"/>
        <v/>
      </c>
      <c r="U64" s="499" t="str">
        <f t="shared" si="5"/>
        <v/>
      </c>
      <c r="V64" s="71"/>
      <c r="W64" s="499" t="str">
        <f>IF(V64="","",IF(VLOOKUP(V64,'G-7 Rivers Data'!$AA$4:$AB$7,2,FALSE)=0,"Spatial Data Missing ⚠",VLOOKUP(V64,'G-7 Rivers Data'!$AA$4:$AB$7,2,FALSE)))</f>
        <v/>
      </c>
      <c r="X64" s="155"/>
      <c r="Y64" s="499" t="str">
        <f>IF(X64="","",IF(VLOOKUP(X64,'G-7 Rivers Data'!$AD$4:$AE$8,2,FALSE)=0,"Enrcoachment Data Missing ⚠",VLOOKUP(X64,'G-7 Rivers Data'!$AD$4:$AE$8,2,FALSE)))</f>
        <v/>
      </c>
      <c r="Z64" s="154"/>
      <c r="AA64" s="524" t="str">
        <f>IF(Z64="","",VLOOKUP(Z64,'G-7 Rivers Data'!$AO$4:$AP$7,2,FALSE))</f>
        <v/>
      </c>
      <c r="AB64" s="545" t="str">
        <f t="shared" si="6"/>
        <v/>
      </c>
      <c r="AC64" s="149"/>
      <c r="AD64" s="150"/>
      <c r="AK64" s="31" t="str">
        <f>IFERROR(INDEX('G-7 Rivers Data'!$AZ$3:$AZ$7,MATCH(C64,'G-7 Rivers Data'!$AY$3:$AY$7,0)),"")</f>
        <v/>
      </c>
    </row>
    <row r="65" spans="2:37" ht="13.8" x14ac:dyDescent="0.25">
      <c r="B65" s="141">
        <v>54</v>
      </c>
      <c r="C65" s="666"/>
      <c r="D65" s="172"/>
      <c r="E65" s="498" t="str">
        <f>IF(C65="","",VLOOKUP(C65,'G-7 Rivers Data'!$B$2:$Z$9,2,FALSE))</f>
        <v/>
      </c>
      <c r="F65" s="499" t="str">
        <f>IFERROR(VLOOKUP(E65,'G-7 Rivers Data'!$C$4:$D$8,2,FALSE),"")</f>
        <v/>
      </c>
      <c r="G65" s="145"/>
      <c r="H65" s="499" t="str">
        <f>IFERROR(INDEX('G-7 Rivers Data'!$H$4:$L$8,MATCH(C65,'G-7 Rivers Data'!$B$4:$B$8,0),MATCH(G65,'G-7 Rivers Data'!$H$3:$L$3,0)),"")</f>
        <v/>
      </c>
      <c r="I65" s="145"/>
      <c r="J65" s="540" t="str">
        <f>IF(I65="","",IF(VLOOKUP(I65,'G-7 Rivers Data'!$AG$4:$AI$9,2,FALSE)=0,"Spatial Data Missing ⚠",VLOOKUP(I65,'G-7 Rivers Data'!$AG$4:$AI$9,2,FALSE)))</f>
        <v/>
      </c>
      <c r="K65" s="499" t="str">
        <f>IF(I65="","",IF(VLOOKUP(I65,'G-7 Rivers Data'!$AG$4:$AI$9,3,FALSE)=0,"Spatial Data Missing ⚠",VLOOKUP(I65,'G-7 Rivers Data'!$AG$4:$AI$9,3,FALSE)))</f>
        <v/>
      </c>
      <c r="L65" s="635" t="str">
        <f>IFERROR(INDEX('G-7 Rivers Data'!$O$3:$O$7,MATCH(G65,'G-7 Rivers Data'!$N$3:$N$7,0)),"")</f>
        <v/>
      </c>
      <c r="M65" s="72"/>
      <c r="N65" s="195"/>
      <c r="O65" s="507" t="str">
        <f t="shared" si="1"/>
        <v/>
      </c>
      <c r="P65" s="521" t="str">
        <f t="shared" si="2"/>
        <v/>
      </c>
      <c r="Q65" s="564" t="str">
        <f>IFERROR(IF(P65="Check Data ⚠","Check Data ⚠",VLOOKUP(P65,'G-4 Temporal multipliers'!$A$4:$C$37,3,FALSE)),"")</f>
        <v/>
      </c>
      <c r="R65" s="498" t="str">
        <f>IF(C65="","",VLOOKUP(C65,'G-7 Rivers Data'!$B$4:$G$8,4,FALSE))</f>
        <v/>
      </c>
      <c r="S65" s="507" t="str">
        <f t="shared" si="3"/>
        <v/>
      </c>
      <c r="T65" s="540" t="str">
        <f t="shared" si="4"/>
        <v/>
      </c>
      <c r="U65" s="499" t="str">
        <f t="shared" si="5"/>
        <v/>
      </c>
      <c r="V65" s="71"/>
      <c r="W65" s="499" t="str">
        <f>IF(V65="","",IF(VLOOKUP(V65,'G-7 Rivers Data'!$AA$4:$AB$7,2,FALSE)=0,"Spatial Data Missing ⚠",VLOOKUP(V65,'G-7 Rivers Data'!$AA$4:$AB$7,2,FALSE)))</f>
        <v/>
      </c>
      <c r="X65" s="155"/>
      <c r="Y65" s="499" t="str">
        <f>IF(X65="","",IF(VLOOKUP(X65,'G-7 Rivers Data'!$AD$4:$AE$8,2,FALSE)=0,"Enrcoachment Data Missing ⚠",VLOOKUP(X65,'G-7 Rivers Data'!$AD$4:$AE$8,2,FALSE)))</f>
        <v/>
      </c>
      <c r="Z65" s="154"/>
      <c r="AA65" s="524" t="str">
        <f>IF(Z65="","",VLOOKUP(Z65,'G-7 Rivers Data'!$AO$4:$AP$7,2,FALSE))</f>
        <v/>
      </c>
      <c r="AB65" s="545" t="str">
        <f t="shared" si="6"/>
        <v/>
      </c>
      <c r="AC65" s="149"/>
      <c r="AD65" s="150"/>
      <c r="AK65" s="31" t="str">
        <f>IFERROR(INDEX('G-7 Rivers Data'!$AZ$3:$AZ$7,MATCH(C65,'G-7 Rivers Data'!$AY$3:$AY$7,0)),"")</f>
        <v/>
      </c>
    </row>
    <row r="66" spans="2:37" ht="13.8" x14ac:dyDescent="0.25">
      <c r="B66" s="141">
        <v>55</v>
      </c>
      <c r="C66" s="666"/>
      <c r="D66" s="172"/>
      <c r="E66" s="498" t="str">
        <f>IF(C66="","",VLOOKUP(C66,'G-7 Rivers Data'!$B$2:$Z$9,2,FALSE))</f>
        <v/>
      </c>
      <c r="F66" s="499" t="str">
        <f>IFERROR(VLOOKUP(E66,'G-7 Rivers Data'!$C$4:$D$8,2,FALSE),"")</f>
        <v/>
      </c>
      <c r="G66" s="145"/>
      <c r="H66" s="499" t="str">
        <f>IFERROR(INDEX('G-7 Rivers Data'!$H$4:$L$8,MATCH(C66,'G-7 Rivers Data'!$B$4:$B$8,0),MATCH(G66,'G-7 Rivers Data'!$H$3:$L$3,0)),"")</f>
        <v/>
      </c>
      <c r="I66" s="145"/>
      <c r="J66" s="540" t="str">
        <f>IF(I66="","",IF(VLOOKUP(I66,'G-7 Rivers Data'!$AG$4:$AI$9,2,FALSE)=0,"Spatial Data Missing ⚠",VLOOKUP(I66,'G-7 Rivers Data'!$AG$4:$AI$9,2,FALSE)))</f>
        <v/>
      </c>
      <c r="K66" s="499" t="str">
        <f>IF(I66="","",IF(VLOOKUP(I66,'G-7 Rivers Data'!$AG$4:$AI$9,3,FALSE)=0,"Spatial Data Missing ⚠",VLOOKUP(I66,'G-7 Rivers Data'!$AG$4:$AI$9,3,FALSE)))</f>
        <v/>
      </c>
      <c r="L66" s="635" t="str">
        <f>IFERROR(INDEX('G-7 Rivers Data'!$O$3:$O$7,MATCH(G66,'G-7 Rivers Data'!$N$3:$N$7,0)),"")</f>
        <v/>
      </c>
      <c r="M66" s="72"/>
      <c r="N66" s="195"/>
      <c r="O66" s="507" t="str">
        <f t="shared" si="1"/>
        <v/>
      </c>
      <c r="P66" s="521" t="str">
        <f t="shared" si="2"/>
        <v/>
      </c>
      <c r="Q66" s="564" t="str">
        <f>IFERROR(IF(P66="Check Data ⚠","Check Data ⚠",VLOOKUP(P66,'G-4 Temporal multipliers'!$A$4:$C$37,3,FALSE)),"")</f>
        <v/>
      </c>
      <c r="R66" s="498" t="str">
        <f>IF(C66="","",VLOOKUP(C66,'G-7 Rivers Data'!$B$4:$G$8,4,FALSE))</f>
        <v/>
      </c>
      <c r="S66" s="507" t="str">
        <f t="shared" si="3"/>
        <v/>
      </c>
      <c r="T66" s="540" t="str">
        <f t="shared" si="4"/>
        <v/>
      </c>
      <c r="U66" s="499" t="str">
        <f t="shared" si="5"/>
        <v/>
      </c>
      <c r="V66" s="71"/>
      <c r="W66" s="499" t="str">
        <f>IF(V66="","",IF(VLOOKUP(V66,'G-7 Rivers Data'!$AA$4:$AB$7,2,FALSE)=0,"Spatial Data Missing ⚠",VLOOKUP(V66,'G-7 Rivers Data'!$AA$4:$AB$7,2,FALSE)))</f>
        <v/>
      </c>
      <c r="X66" s="155"/>
      <c r="Y66" s="499" t="str">
        <f>IF(X66="","",IF(VLOOKUP(X66,'G-7 Rivers Data'!$AD$4:$AE$8,2,FALSE)=0,"Enrcoachment Data Missing ⚠",VLOOKUP(X66,'G-7 Rivers Data'!$AD$4:$AE$8,2,FALSE)))</f>
        <v/>
      </c>
      <c r="Z66" s="154"/>
      <c r="AA66" s="524" t="str">
        <f>IF(Z66="","",VLOOKUP(Z66,'G-7 Rivers Data'!$AO$4:$AP$7,2,FALSE))</f>
        <v/>
      </c>
      <c r="AB66" s="545" t="str">
        <f t="shared" si="6"/>
        <v/>
      </c>
      <c r="AC66" s="149"/>
      <c r="AD66" s="150"/>
      <c r="AK66" s="31" t="str">
        <f>IFERROR(INDEX('G-7 Rivers Data'!$AZ$3:$AZ$7,MATCH(C66,'G-7 Rivers Data'!$AY$3:$AY$7,0)),"")</f>
        <v/>
      </c>
    </row>
    <row r="67" spans="2:37" ht="13.8" x14ac:dyDescent="0.25">
      <c r="B67" s="141">
        <v>56</v>
      </c>
      <c r="C67" s="666"/>
      <c r="D67" s="172"/>
      <c r="E67" s="498" t="str">
        <f>IF(C67="","",VLOOKUP(C67,'G-7 Rivers Data'!$B$2:$Z$9,2,FALSE))</f>
        <v/>
      </c>
      <c r="F67" s="499" t="str">
        <f>IFERROR(VLOOKUP(E67,'G-7 Rivers Data'!$C$4:$D$8,2,FALSE),"")</f>
        <v/>
      </c>
      <c r="G67" s="145"/>
      <c r="H67" s="499" t="str">
        <f>IFERROR(INDEX('G-7 Rivers Data'!$H$4:$L$8,MATCH(C67,'G-7 Rivers Data'!$B$4:$B$8,0),MATCH(G67,'G-7 Rivers Data'!$H$3:$L$3,0)),"")</f>
        <v/>
      </c>
      <c r="I67" s="145"/>
      <c r="J67" s="540" t="str">
        <f>IF(I67="","",IF(VLOOKUP(I67,'G-7 Rivers Data'!$AG$4:$AI$9,2,FALSE)=0,"Spatial Data Missing ⚠",VLOOKUP(I67,'G-7 Rivers Data'!$AG$4:$AI$9,2,FALSE)))</f>
        <v/>
      </c>
      <c r="K67" s="499" t="str">
        <f>IF(I67="","",IF(VLOOKUP(I67,'G-7 Rivers Data'!$AG$4:$AI$9,3,FALSE)=0,"Spatial Data Missing ⚠",VLOOKUP(I67,'G-7 Rivers Data'!$AG$4:$AI$9,3,FALSE)))</f>
        <v/>
      </c>
      <c r="L67" s="635" t="str">
        <f>IFERROR(INDEX('G-7 Rivers Data'!$O$3:$O$7,MATCH(G67,'G-7 Rivers Data'!$N$3:$N$7,0)),"")</f>
        <v/>
      </c>
      <c r="M67" s="72"/>
      <c r="N67" s="195"/>
      <c r="O67" s="507" t="str">
        <f t="shared" si="1"/>
        <v/>
      </c>
      <c r="P67" s="521" t="str">
        <f t="shared" si="2"/>
        <v/>
      </c>
      <c r="Q67" s="564" t="str">
        <f>IFERROR(IF(P67="Check Data ⚠","Check Data ⚠",VLOOKUP(P67,'G-4 Temporal multipliers'!$A$4:$C$37,3,FALSE)),"")</f>
        <v/>
      </c>
      <c r="R67" s="498" t="str">
        <f>IF(C67="","",VLOOKUP(C67,'G-7 Rivers Data'!$B$4:$G$8,4,FALSE))</f>
        <v/>
      </c>
      <c r="S67" s="507" t="str">
        <f t="shared" si="3"/>
        <v/>
      </c>
      <c r="T67" s="540" t="str">
        <f t="shared" si="4"/>
        <v/>
      </c>
      <c r="U67" s="499" t="str">
        <f t="shared" si="5"/>
        <v/>
      </c>
      <c r="V67" s="71"/>
      <c r="W67" s="499" t="str">
        <f>IF(V67="","",IF(VLOOKUP(V67,'G-7 Rivers Data'!$AA$4:$AB$7,2,FALSE)=0,"Spatial Data Missing ⚠",VLOOKUP(V67,'G-7 Rivers Data'!$AA$4:$AB$7,2,FALSE)))</f>
        <v/>
      </c>
      <c r="X67" s="155"/>
      <c r="Y67" s="499" t="str">
        <f>IF(X67="","",IF(VLOOKUP(X67,'G-7 Rivers Data'!$AD$4:$AE$8,2,FALSE)=0,"Enrcoachment Data Missing ⚠",VLOOKUP(X67,'G-7 Rivers Data'!$AD$4:$AE$8,2,FALSE)))</f>
        <v/>
      </c>
      <c r="Z67" s="154"/>
      <c r="AA67" s="524" t="str">
        <f>IF(Z67="","",VLOOKUP(Z67,'G-7 Rivers Data'!$AO$4:$AP$7,2,FALSE))</f>
        <v/>
      </c>
      <c r="AB67" s="545" t="str">
        <f t="shared" si="6"/>
        <v/>
      </c>
      <c r="AC67" s="149"/>
      <c r="AD67" s="150"/>
      <c r="AK67" s="31" t="str">
        <f>IFERROR(INDEX('G-7 Rivers Data'!$AZ$3:$AZ$7,MATCH(C67,'G-7 Rivers Data'!$AY$3:$AY$7,0)),"")</f>
        <v/>
      </c>
    </row>
    <row r="68" spans="2:37" ht="13.8" x14ac:dyDescent="0.25">
      <c r="B68" s="141">
        <v>57</v>
      </c>
      <c r="C68" s="666"/>
      <c r="D68" s="172"/>
      <c r="E68" s="498" t="str">
        <f>IF(C68="","",VLOOKUP(C68,'G-7 Rivers Data'!$B$2:$Z$9,2,FALSE))</f>
        <v/>
      </c>
      <c r="F68" s="499" t="str">
        <f>IFERROR(VLOOKUP(E68,'G-7 Rivers Data'!$C$4:$D$8,2,FALSE),"")</f>
        <v/>
      </c>
      <c r="G68" s="145"/>
      <c r="H68" s="499" t="str">
        <f>IFERROR(INDEX('G-7 Rivers Data'!$H$4:$L$8,MATCH(C68,'G-7 Rivers Data'!$B$4:$B$8,0),MATCH(G68,'G-7 Rivers Data'!$H$3:$L$3,0)),"")</f>
        <v/>
      </c>
      <c r="I68" s="145"/>
      <c r="J68" s="540" t="str">
        <f>IF(I68="","",IF(VLOOKUP(I68,'G-7 Rivers Data'!$AG$4:$AI$9,2,FALSE)=0,"Spatial Data Missing ⚠",VLOOKUP(I68,'G-7 Rivers Data'!$AG$4:$AI$9,2,FALSE)))</f>
        <v/>
      </c>
      <c r="K68" s="499" t="str">
        <f>IF(I68="","",IF(VLOOKUP(I68,'G-7 Rivers Data'!$AG$4:$AI$9,3,FALSE)=0,"Spatial Data Missing ⚠",VLOOKUP(I68,'G-7 Rivers Data'!$AG$4:$AI$9,3,FALSE)))</f>
        <v/>
      </c>
      <c r="L68" s="635" t="str">
        <f>IFERROR(INDEX('G-7 Rivers Data'!$O$3:$O$7,MATCH(G68,'G-7 Rivers Data'!$N$3:$N$7,0)),"")</f>
        <v/>
      </c>
      <c r="M68" s="72"/>
      <c r="N68" s="195"/>
      <c r="O68" s="507" t="str">
        <f t="shared" si="1"/>
        <v/>
      </c>
      <c r="P68" s="521" t="str">
        <f t="shared" si="2"/>
        <v/>
      </c>
      <c r="Q68" s="564" t="str">
        <f>IFERROR(IF(P68="Check Data ⚠","Check Data ⚠",VLOOKUP(P68,'G-4 Temporal multipliers'!$A$4:$C$37,3,FALSE)),"")</f>
        <v/>
      </c>
      <c r="R68" s="498" t="str">
        <f>IF(C68="","",VLOOKUP(C68,'G-7 Rivers Data'!$B$4:$G$8,4,FALSE))</f>
        <v/>
      </c>
      <c r="S68" s="507" t="str">
        <f t="shared" si="3"/>
        <v/>
      </c>
      <c r="T68" s="540" t="str">
        <f t="shared" si="4"/>
        <v/>
      </c>
      <c r="U68" s="499" t="str">
        <f t="shared" si="5"/>
        <v/>
      </c>
      <c r="V68" s="71"/>
      <c r="W68" s="499" t="str">
        <f>IF(V68="","",IF(VLOOKUP(V68,'G-7 Rivers Data'!$AA$4:$AB$7,2,FALSE)=0,"Spatial Data Missing ⚠",VLOOKUP(V68,'G-7 Rivers Data'!$AA$4:$AB$7,2,FALSE)))</f>
        <v/>
      </c>
      <c r="X68" s="155"/>
      <c r="Y68" s="499" t="str">
        <f>IF(X68="","",IF(VLOOKUP(X68,'G-7 Rivers Data'!$AD$4:$AE$8,2,FALSE)=0,"Enrcoachment Data Missing ⚠",VLOOKUP(X68,'G-7 Rivers Data'!$AD$4:$AE$8,2,FALSE)))</f>
        <v/>
      </c>
      <c r="Z68" s="154"/>
      <c r="AA68" s="524" t="str">
        <f>IF(Z68="","",VLOOKUP(Z68,'G-7 Rivers Data'!$AO$4:$AP$7,2,FALSE))</f>
        <v/>
      </c>
      <c r="AB68" s="545" t="str">
        <f t="shared" si="6"/>
        <v/>
      </c>
      <c r="AC68" s="149"/>
      <c r="AD68" s="150"/>
      <c r="AK68" s="31" t="str">
        <f>IFERROR(INDEX('G-7 Rivers Data'!$AZ$3:$AZ$7,MATCH(C68,'G-7 Rivers Data'!$AY$3:$AY$7,0)),"")</f>
        <v/>
      </c>
    </row>
    <row r="69" spans="2:37" ht="13.8" x14ac:dyDescent="0.25">
      <c r="B69" s="141">
        <v>58</v>
      </c>
      <c r="C69" s="666"/>
      <c r="D69" s="172"/>
      <c r="E69" s="498" t="str">
        <f>IF(C69="","",VLOOKUP(C69,'G-7 Rivers Data'!$B$2:$Z$9,2,FALSE))</f>
        <v/>
      </c>
      <c r="F69" s="499" t="str">
        <f>IFERROR(VLOOKUP(E69,'G-7 Rivers Data'!$C$4:$D$8,2,FALSE),"")</f>
        <v/>
      </c>
      <c r="G69" s="145"/>
      <c r="H69" s="499" t="str">
        <f>IFERROR(INDEX('G-7 Rivers Data'!$H$4:$L$8,MATCH(C69,'G-7 Rivers Data'!$B$4:$B$8,0),MATCH(G69,'G-7 Rivers Data'!$H$3:$L$3,0)),"")</f>
        <v/>
      </c>
      <c r="I69" s="145"/>
      <c r="J69" s="540" t="str">
        <f>IF(I69="","",IF(VLOOKUP(I69,'G-7 Rivers Data'!$AG$4:$AI$9,2,FALSE)=0,"Spatial Data Missing ⚠",VLOOKUP(I69,'G-7 Rivers Data'!$AG$4:$AI$9,2,FALSE)))</f>
        <v/>
      </c>
      <c r="K69" s="499" t="str">
        <f>IF(I69="","",IF(VLOOKUP(I69,'G-7 Rivers Data'!$AG$4:$AI$9,3,FALSE)=0,"Spatial Data Missing ⚠",VLOOKUP(I69,'G-7 Rivers Data'!$AG$4:$AI$9,3,FALSE)))</f>
        <v/>
      </c>
      <c r="L69" s="635" t="str">
        <f>IFERROR(INDEX('G-7 Rivers Data'!$O$3:$O$7,MATCH(G69,'G-7 Rivers Data'!$N$3:$N$7,0)),"")</f>
        <v/>
      </c>
      <c r="M69" s="72"/>
      <c r="N69" s="195"/>
      <c r="O69" s="507" t="str">
        <f t="shared" si="1"/>
        <v/>
      </c>
      <c r="P69" s="521" t="str">
        <f t="shared" si="2"/>
        <v/>
      </c>
      <c r="Q69" s="564" t="str">
        <f>IFERROR(IF(P69="Check Data ⚠","Check Data ⚠",VLOOKUP(P69,'G-4 Temporal multipliers'!$A$4:$C$37,3,FALSE)),"")</f>
        <v/>
      </c>
      <c r="R69" s="498" t="str">
        <f>IF(C69="","",VLOOKUP(C69,'G-7 Rivers Data'!$B$4:$G$8,4,FALSE))</f>
        <v/>
      </c>
      <c r="S69" s="507" t="str">
        <f t="shared" si="3"/>
        <v/>
      </c>
      <c r="T69" s="540" t="str">
        <f t="shared" si="4"/>
        <v/>
      </c>
      <c r="U69" s="499" t="str">
        <f t="shared" si="5"/>
        <v/>
      </c>
      <c r="V69" s="71"/>
      <c r="W69" s="499" t="str">
        <f>IF(V69="","",IF(VLOOKUP(V69,'G-7 Rivers Data'!$AA$4:$AB$7,2,FALSE)=0,"Spatial Data Missing ⚠",VLOOKUP(V69,'G-7 Rivers Data'!$AA$4:$AB$7,2,FALSE)))</f>
        <v/>
      </c>
      <c r="X69" s="155"/>
      <c r="Y69" s="499" t="str">
        <f>IF(X69="","",IF(VLOOKUP(X69,'G-7 Rivers Data'!$AD$4:$AE$8,2,FALSE)=0,"Enrcoachment Data Missing ⚠",VLOOKUP(X69,'G-7 Rivers Data'!$AD$4:$AE$8,2,FALSE)))</f>
        <v/>
      </c>
      <c r="Z69" s="154"/>
      <c r="AA69" s="524" t="str">
        <f>IF(Z69="","",VLOOKUP(Z69,'G-7 Rivers Data'!$AO$4:$AP$7,2,FALSE))</f>
        <v/>
      </c>
      <c r="AB69" s="545" t="str">
        <f t="shared" si="6"/>
        <v/>
      </c>
      <c r="AC69" s="149"/>
      <c r="AD69" s="150"/>
      <c r="AK69" s="31" t="str">
        <f>IFERROR(INDEX('G-7 Rivers Data'!$AZ$3:$AZ$7,MATCH(C69,'G-7 Rivers Data'!$AY$3:$AY$7,0)),"")</f>
        <v/>
      </c>
    </row>
    <row r="70" spans="2:37" ht="13.8" x14ac:dyDescent="0.25">
      <c r="B70" s="141">
        <v>59</v>
      </c>
      <c r="C70" s="666"/>
      <c r="D70" s="172"/>
      <c r="E70" s="498" t="str">
        <f>IF(C70="","",VLOOKUP(C70,'G-7 Rivers Data'!$B$2:$Z$9,2,FALSE))</f>
        <v/>
      </c>
      <c r="F70" s="499" t="str">
        <f>IFERROR(VLOOKUP(E70,'G-7 Rivers Data'!$C$4:$D$8,2,FALSE),"")</f>
        <v/>
      </c>
      <c r="G70" s="145"/>
      <c r="H70" s="499" t="str">
        <f>IFERROR(INDEX('G-7 Rivers Data'!$H$4:$L$8,MATCH(C70,'G-7 Rivers Data'!$B$4:$B$8,0),MATCH(G70,'G-7 Rivers Data'!$H$3:$L$3,0)),"")</f>
        <v/>
      </c>
      <c r="I70" s="145"/>
      <c r="J70" s="540" t="str">
        <f>IF(I70="","",IF(VLOOKUP(I70,'G-7 Rivers Data'!$AG$4:$AI$9,2,FALSE)=0,"Spatial Data Missing ⚠",VLOOKUP(I70,'G-7 Rivers Data'!$AG$4:$AI$9,2,FALSE)))</f>
        <v/>
      </c>
      <c r="K70" s="499" t="str">
        <f>IF(I70="","",IF(VLOOKUP(I70,'G-7 Rivers Data'!$AG$4:$AI$9,3,FALSE)=0,"Spatial Data Missing ⚠",VLOOKUP(I70,'G-7 Rivers Data'!$AG$4:$AI$9,3,FALSE)))</f>
        <v/>
      </c>
      <c r="L70" s="635" t="str">
        <f>IFERROR(INDEX('G-7 Rivers Data'!$O$3:$O$7,MATCH(G70,'G-7 Rivers Data'!$N$3:$N$7,0)),"")</f>
        <v/>
      </c>
      <c r="M70" s="72"/>
      <c r="N70" s="195"/>
      <c r="O70" s="507" t="str">
        <f t="shared" si="1"/>
        <v/>
      </c>
      <c r="P70" s="521" t="str">
        <f t="shared" si="2"/>
        <v/>
      </c>
      <c r="Q70" s="564" t="str">
        <f>IFERROR(IF(P70="Check Data ⚠","Check Data ⚠",VLOOKUP(P70,'G-4 Temporal multipliers'!$A$4:$C$37,3,FALSE)),"")</f>
        <v/>
      </c>
      <c r="R70" s="498" t="str">
        <f>IF(C70="","",VLOOKUP(C70,'G-7 Rivers Data'!$B$4:$G$8,4,FALSE))</f>
        <v/>
      </c>
      <c r="S70" s="507" t="str">
        <f t="shared" si="3"/>
        <v/>
      </c>
      <c r="T70" s="540" t="str">
        <f t="shared" si="4"/>
        <v/>
      </c>
      <c r="U70" s="499" t="str">
        <f t="shared" si="5"/>
        <v/>
      </c>
      <c r="V70" s="71"/>
      <c r="W70" s="499" t="str">
        <f>IF(V70="","",IF(VLOOKUP(V70,'G-7 Rivers Data'!$AA$4:$AB$7,2,FALSE)=0,"Spatial Data Missing ⚠",VLOOKUP(V70,'G-7 Rivers Data'!$AA$4:$AB$7,2,FALSE)))</f>
        <v/>
      </c>
      <c r="X70" s="155"/>
      <c r="Y70" s="499" t="str">
        <f>IF(X70="","",IF(VLOOKUP(X70,'G-7 Rivers Data'!$AD$4:$AE$8,2,FALSE)=0,"Enrcoachment Data Missing ⚠",VLOOKUP(X70,'G-7 Rivers Data'!$AD$4:$AE$8,2,FALSE)))</f>
        <v/>
      </c>
      <c r="Z70" s="154"/>
      <c r="AA70" s="524" t="str">
        <f>IF(Z70="","",VLOOKUP(Z70,'G-7 Rivers Data'!$AO$4:$AP$7,2,FALSE))</f>
        <v/>
      </c>
      <c r="AB70" s="545" t="str">
        <f t="shared" si="6"/>
        <v/>
      </c>
      <c r="AC70" s="149"/>
      <c r="AD70" s="150"/>
      <c r="AK70" s="31" t="str">
        <f>IFERROR(INDEX('G-7 Rivers Data'!$AZ$3:$AZ$7,MATCH(C70,'G-7 Rivers Data'!$AY$3:$AY$7,0)),"")</f>
        <v/>
      </c>
    </row>
    <row r="71" spans="2:37" ht="13.8" x14ac:dyDescent="0.25">
      <c r="B71" s="141">
        <v>60</v>
      </c>
      <c r="C71" s="666"/>
      <c r="D71" s="172"/>
      <c r="E71" s="498" t="str">
        <f>IF(C71="","",VLOOKUP(C71,'G-7 Rivers Data'!$B$2:$Z$9,2,FALSE))</f>
        <v/>
      </c>
      <c r="F71" s="499" t="str">
        <f>IFERROR(VLOOKUP(E71,'G-7 Rivers Data'!$C$4:$D$8,2,FALSE),"")</f>
        <v/>
      </c>
      <c r="G71" s="145"/>
      <c r="H71" s="499" t="str">
        <f>IFERROR(INDEX('G-7 Rivers Data'!$H$4:$L$8,MATCH(C71,'G-7 Rivers Data'!$B$4:$B$8,0),MATCH(G71,'G-7 Rivers Data'!$H$3:$L$3,0)),"")</f>
        <v/>
      </c>
      <c r="I71" s="145"/>
      <c r="J71" s="540" t="str">
        <f>IF(I71="","",IF(VLOOKUP(I71,'G-7 Rivers Data'!$AG$4:$AI$9,2,FALSE)=0,"Spatial Data Missing ⚠",VLOOKUP(I71,'G-7 Rivers Data'!$AG$4:$AI$9,2,FALSE)))</f>
        <v/>
      </c>
      <c r="K71" s="499" t="str">
        <f>IF(I71="","",IF(VLOOKUP(I71,'G-7 Rivers Data'!$AG$4:$AI$9,3,FALSE)=0,"Spatial Data Missing ⚠",VLOOKUP(I71,'G-7 Rivers Data'!$AG$4:$AI$9,3,FALSE)))</f>
        <v/>
      </c>
      <c r="L71" s="635" t="str">
        <f>IFERROR(INDEX('G-7 Rivers Data'!$O$3:$O$7,MATCH(G71,'G-7 Rivers Data'!$N$3:$N$7,0)),"")</f>
        <v/>
      </c>
      <c r="M71" s="72"/>
      <c r="N71" s="195"/>
      <c r="O71" s="507" t="str">
        <f t="shared" si="1"/>
        <v/>
      </c>
      <c r="P71" s="521" t="str">
        <f t="shared" si="2"/>
        <v/>
      </c>
      <c r="Q71" s="564" t="str">
        <f>IFERROR(IF(P71="Check Data ⚠","Check Data ⚠",VLOOKUP(P71,'G-4 Temporal multipliers'!$A$4:$C$37,3,FALSE)),"")</f>
        <v/>
      </c>
      <c r="R71" s="498" t="str">
        <f>IF(C71="","",VLOOKUP(C71,'G-7 Rivers Data'!$B$4:$G$8,4,FALSE))</f>
        <v/>
      </c>
      <c r="S71" s="507" t="str">
        <f t="shared" si="3"/>
        <v/>
      </c>
      <c r="T71" s="540" t="str">
        <f t="shared" si="4"/>
        <v/>
      </c>
      <c r="U71" s="499" t="str">
        <f t="shared" si="5"/>
        <v/>
      </c>
      <c r="V71" s="71"/>
      <c r="W71" s="499" t="str">
        <f>IF(V71="","",IF(VLOOKUP(V71,'G-7 Rivers Data'!$AA$4:$AB$7,2,FALSE)=0,"Spatial Data Missing ⚠",VLOOKUP(V71,'G-7 Rivers Data'!$AA$4:$AB$7,2,FALSE)))</f>
        <v/>
      </c>
      <c r="X71" s="155"/>
      <c r="Y71" s="499" t="str">
        <f>IF(X71="","",IF(VLOOKUP(X71,'G-7 Rivers Data'!$AD$4:$AE$8,2,FALSE)=0,"Enrcoachment Data Missing ⚠",VLOOKUP(X71,'G-7 Rivers Data'!$AD$4:$AE$8,2,FALSE)))</f>
        <v/>
      </c>
      <c r="Z71" s="154"/>
      <c r="AA71" s="524" t="str">
        <f>IF(Z71="","",VLOOKUP(Z71,'G-7 Rivers Data'!$AO$4:$AP$7,2,FALSE))</f>
        <v/>
      </c>
      <c r="AB71" s="545" t="str">
        <f t="shared" si="6"/>
        <v/>
      </c>
      <c r="AC71" s="149"/>
      <c r="AD71" s="150"/>
      <c r="AK71" s="31" t="str">
        <f>IFERROR(INDEX('G-7 Rivers Data'!$AZ$3:$AZ$7,MATCH(C71,'G-7 Rivers Data'!$AY$3:$AY$7,0)),"")</f>
        <v/>
      </c>
    </row>
    <row r="72" spans="2:37" ht="13.8" x14ac:dyDescent="0.25">
      <c r="B72" s="141">
        <v>61</v>
      </c>
      <c r="C72" s="666"/>
      <c r="D72" s="172"/>
      <c r="E72" s="498" t="str">
        <f>IF(C72="","",VLOOKUP(C72,'G-7 Rivers Data'!$B$2:$Z$9,2,FALSE))</f>
        <v/>
      </c>
      <c r="F72" s="499" t="str">
        <f>IFERROR(VLOOKUP(E72,'G-7 Rivers Data'!$C$4:$D$8,2,FALSE),"")</f>
        <v/>
      </c>
      <c r="G72" s="145"/>
      <c r="H72" s="499" t="str">
        <f>IFERROR(INDEX('G-7 Rivers Data'!$H$4:$L$8,MATCH(C72,'G-7 Rivers Data'!$B$4:$B$8,0),MATCH(G72,'G-7 Rivers Data'!$H$3:$L$3,0)),"")</f>
        <v/>
      </c>
      <c r="I72" s="145"/>
      <c r="J72" s="540" t="str">
        <f>IF(I72="","",IF(VLOOKUP(I72,'G-7 Rivers Data'!$AG$4:$AI$9,2,FALSE)=0,"Spatial Data Missing ⚠",VLOOKUP(I72,'G-7 Rivers Data'!$AG$4:$AI$9,2,FALSE)))</f>
        <v/>
      </c>
      <c r="K72" s="499" t="str">
        <f>IF(I72="","",IF(VLOOKUP(I72,'G-7 Rivers Data'!$AG$4:$AI$9,3,FALSE)=0,"Spatial Data Missing ⚠",VLOOKUP(I72,'G-7 Rivers Data'!$AG$4:$AI$9,3,FALSE)))</f>
        <v/>
      </c>
      <c r="L72" s="635" t="str">
        <f>IFERROR(INDEX('G-7 Rivers Data'!$O$3:$O$7,MATCH(G72,'G-7 Rivers Data'!$N$3:$N$7,0)),"")</f>
        <v/>
      </c>
      <c r="M72" s="72"/>
      <c r="N72" s="195"/>
      <c r="O72" s="507" t="str">
        <f t="shared" si="1"/>
        <v/>
      </c>
      <c r="P72" s="521" t="str">
        <f t="shared" si="2"/>
        <v/>
      </c>
      <c r="Q72" s="564" t="str">
        <f>IFERROR(IF(P72="Check Data ⚠","Check Data ⚠",VLOOKUP(P72,'G-4 Temporal multipliers'!$A$4:$C$37,3,FALSE)),"")</f>
        <v/>
      </c>
      <c r="R72" s="498" t="str">
        <f>IF(C72="","",VLOOKUP(C72,'G-7 Rivers Data'!$B$4:$G$8,4,FALSE))</f>
        <v/>
      </c>
      <c r="S72" s="507" t="str">
        <f t="shared" si="3"/>
        <v/>
      </c>
      <c r="T72" s="540" t="str">
        <f t="shared" si="4"/>
        <v/>
      </c>
      <c r="U72" s="499" t="str">
        <f t="shared" si="5"/>
        <v/>
      </c>
      <c r="V72" s="71"/>
      <c r="W72" s="499" t="str">
        <f>IF(V72="","",IF(VLOOKUP(V72,'G-7 Rivers Data'!$AA$4:$AB$7,2,FALSE)=0,"Spatial Data Missing ⚠",VLOOKUP(V72,'G-7 Rivers Data'!$AA$4:$AB$7,2,FALSE)))</f>
        <v/>
      </c>
      <c r="X72" s="155"/>
      <c r="Y72" s="499" t="str">
        <f>IF(X72="","",IF(VLOOKUP(X72,'G-7 Rivers Data'!$AD$4:$AE$8,2,FALSE)=0,"Enrcoachment Data Missing ⚠",VLOOKUP(X72,'G-7 Rivers Data'!$AD$4:$AE$8,2,FALSE)))</f>
        <v/>
      </c>
      <c r="Z72" s="154"/>
      <c r="AA72" s="524" t="str">
        <f>IF(Z72="","",VLOOKUP(Z72,'G-7 Rivers Data'!$AO$4:$AP$7,2,FALSE))</f>
        <v/>
      </c>
      <c r="AB72" s="545" t="str">
        <f t="shared" si="6"/>
        <v/>
      </c>
      <c r="AC72" s="149"/>
      <c r="AD72" s="150"/>
      <c r="AK72" s="31" t="str">
        <f>IFERROR(INDEX('G-7 Rivers Data'!$AZ$3:$AZ$7,MATCH(C72,'G-7 Rivers Data'!$AY$3:$AY$7,0)),"")</f>
        <v/>
      </c>
    </row>
    <row r="73" spans="2:37" ht="13.8" x14ac:dyDescent="0.25">
      <c r="B73" s="141">
        <v>62</v>
      </c>
      <c r="C73" s="666"/>
      <c r="D73" s="172"/>
      <c r="E73" s="498" t="str">
        <f>IF(C73="","",VLOOKUP(C73,'G-7 Rivers Data'!$B$2:$Z$9,2,FALSE))</f>
        <v/>
      </c>
      <c r="F73" s="499" t="str">
        <f>IFERROR(VLOOKUP(E73,'G-7 Rivers Data'!$C$4:$D$8,2,FALSE),"")</f>
        <v/>
      </c>
      <c r="G73" s="145"/>
      <c r="H73" s="499" t="str">
        <f>IFERROR(INDEX('G-7 Rivers Data'!$H$4:$L$8,MATCH(C73,'G-7 Rivers Data'!$B$4:$B$8,0),MATCH(G73,'G-7 Rivers Data'!$H$3:$L$3,0)),"")</f>
        <v/>
      </c>
      <c r="I73" s="145"/>
      <c r="J73" s="540" t="str">
        <f>IF(I73="","",IF(VLOOKUP(I73,'G-7 Rivers Data'!$AG$4:$AI$9,2,FALSE)=0,"Spatial Data Missing ⚠",VLOOKUP(I73,'G-7 Rivers Data'!$AG$4:$AI$9,2,FALSE)))</f>
        <v/>
      </c>
      <c r="K73" s="499" t="str">
        <f>IF(I73="","",IF(VLOOKUP(I73,'G-7 Rivers Data'!$AG$4:$AI$9,3,FALSE)=0,"Spatial Data Missing ⚠",VLOOKUP(I73,'G-7 Rivers Data'!$AG$4:$AI$9,3,FALSE)))</f>
        <v/>
      </c>
      <c r="L73" s="635" t="str">
        <f>IFERROR(INDEX('G-7 Rivers Data'!$O$3:$O$7,MATCH(G73,'G-7 Rivers Data'!$N$3:$N$7,0)),"")</f>
        <v/>
      </c>
      <c r="M73" s="72"/>
      <c r="N73" s="195"/>
      <c r="O73" s="507" t="str">
        <f t="shared" si="1"/>
        <v/>
      </c>
      <c r="P73" s="521" t="str">
        <f t="shared" si="2"/>
        <v/>
      </c>
      <c r="Q73" s="564" t="str">
        <f>IFERROR(IF(P73="Check Data ⚠","Check Data ⚠",VLOOKUP(P73,'G-4 Temporal multipliers'!$A$4:$C$37,3,FALSE)),"")</f>
        <v/>
      </c>
      <c r="R73" s="498" t="str">
        <f>IF(C73="","",VLOOKUP(C73,'G-7 Rivers Data'!$B$4:$G$8,4,FALSE))</f>
        <v/>
      </c>
      <c r="S73" s="507" t="str">
        <f t="shared" si="3"/>
        <v/>
      </c>
      <c r="T73" s="540" t="str">
        <f t="shared" si="4"/>
        <v/>
      </c>
      <c r="U73" s="499" t="str">
        <f t="shared" si="5"/>
        <v/>
      </c>
      <c r="V73" s="71"/>
      <c r="W73" s="499" t="str">
        <f>IF(V73="","",IF(VLOOKUP(V73,'G-7 Rivers Data'!$AA$4:$AB$7,2,FALSE)=0,"Spatial Data Missing ⚠",VLOOKUP(V73,'G-7 Rivers Data'!$AA$4:$AB$7,2,FALSE)))</f>
        <v/>
      </c>
      <c r="X73" s="155"/>
      <c r="Y73" s="499" t="str">
        <f>IF(X73="","",IF(VLOOKUP(X73,'G-7 Rivers Data'!$AD$4:$AE$8,2,FALSE)=0,"Enrcoachment Data Missing ⚠",VLOOKUP(X73,'G-7 Rivers Data'!$AD$4:$AE$8,2,FALSE)))</f>
        <v/>
      </c>
      <c r="Z73" s="154"/>
      <c r="AA73" s="524" t="str">
        <f>IF(Z73="","",VLOOKUP(Z73,'G-7 Rivers Data'!$AO$4:$AP$7,2,FALSE))</f>
        <v/>
      </c>
      <c r="AB73" s="545" t="str">
        <f t="shared" si="6"/>
        <v/>
      </c>
      <c r="AC73" s="149"/>
      <c r="AD73" s="150"/>
      <c r="AK73" s="31" t="str">
        <f>IFERROR(INDEX('G-7 Rivers Data'!$AZ$3:$AZ$7,MATCH(C73,'G-7 Rivers Data'!$AY$3:$AY$7,0)),"")</f>
        <v/>
      </c>
    </row>
    <row r="74" spans="2:37" ht="13.8" x14ac:dyDescent="0.25">
      <c r="B74" s="141">
        <v>63</v>
      </c>
      <c r="C74" s="666"/>
      <c r="D74" s="172"/>
      <c r="E74" s="498" t="str">
        <f>IF(C74="","",VLOOKUP(C74,'G-7 Rivers Data'!$B$2:$Z$9,2,FALSE))</f>
        <v/>
      </c>
      <c r="F74" s="499" t="str">
        <f>IFERROR(VLOOKUP(E74,'G-7 Rivers Data'!$C$4:$D$8,2,FALSE),"")</f>
        <v/>
      </c>
      <c r="G74" s="145"/>
      <c r="H74" s="499" t="str">
        <f>IFERROR(INDEX('G-7 Rivers Data'!$H$4:$L$8,MATCH(C74,'G-7 Rivers Data'!$B$4:$B$8,0),MATCH(G74,'G-7 Rivers Data'!$H$3:$L$3,0)),"")</f>
        <v/>
      </c>
      <c r="I74" s="145"/>
      <c r="J74" s="540" t="str">
        <f>IF(I74="","",IF(VLOOKUP(I74,'G-7 Rivers Data'!$AG$4:$AI$9,2,FALSE)=0,"Spatial Data Missing ⚠",VLOOKUP(I74,'G-7 Rivers Data'!$AG$4:$AI$9,2,FALSE)))</f>
        <v/>
      </c>
      <c r="K74" s="499" t="str">
        <f>IF(I74="","",IF(VLOOKUP(I74,'G-7 Rivers Data'!$AG$4:$AI$9,3,FALSE)=0,"Spatial Data Missing ⚠",VLOOKUP(I74,'G-7 Rivers Data'!$AG$4:$AI$9,3,FALSE)))</f>
        <v/>
      </c>
      <c r="L74" s="635" t="str">
        <f>IFERROR(INDEX('G-7 Rivers Data'!$O$3:$O$7,MATCH(G74,'G-7 Rivers Data'!$N$3:$N$7,0)),"")</f>
        <v/>
      </c>
      <c r="M74" s="72"/>
      <c r="N74" s="195"/>
      <c r="O74" s="507" t="str">
        <f t="shared" si="1"/>
        <v/>
      </c>
      <c r="P74" s="521" t="str">
        <f t="shared" si="2"/>
        <v/>
      </c>
      <c r="Q74" s="564" t="str">
        <f>IFERROR(IF(P74="Check Data ⚠","Check Data ⚠",VLOOKUP(P74,'G-4 Temporal multipliers'!$A$4:$C$37,3,FALSE)),"")</f>
        <v/>
      </c>
      <c r="R74" s="498" t="str">
        <f>IF(C74="","",VLOOKUP(C74,'G-7 Rivers Data'!$B$4:$G$8,4,FALSE))</f>
        <v/>
      </c>
      <c r="S74" s="507" t="str">
        <f t="shared" si="3"/>
        <v/>
      </c>
      <c r="T74" s="540" t="str">
        <f t="shared" si="4"/>
        <v/>
      </c>
      <c r="U74" s="499" t="str">
        <f t="shared" si="5"/>
        <v/>
      </c>
      <c r="V74" s="71"/>
      <c r="W74" s="499" t="str">
        <f>IF(V74="","",IF(VLOOKUP(V74,'G-7 Rivers Data'!$AA$4:$AB$7,2,FALSE)=0,"Spatial Data Missing ⚠",VLOOKUP(V74,'G-7 Rivers Data'!$AA$4:$AB$7,2,FALSE)))</f>
        <v/>
      </c>
      <c r="X74" s="155"/>
      <c r="Y74" s="499" t="str">
        <f>IF(X74="","",IF(VLOOKUP(X74,'G-7 Rivers Data'!$AD$4:$AE$8,2,FALSE)=0,"Enrcoachment Data Missing ⚠",VLOOKUP(X74,'G-7 Rivers Data'!$AD$4:$AE$8,2,FALSE)))</f>
        <v/>
      </c>
      <c r="Z74" s="154"/>
      <c r="AA74" s="524" t="str">
        <f>IF(Z74="","",VLOOKUP(Z74,'G-7 Rivers Data'!$AO$4:$AP$7,2,FALSE))</f>
        <v/>
      </c>
      <c r="AB74" s="545" t="str">
        <f t="shared" si="6"/>
        <v/>
      </c>
      <c r="AC74" s="149"/>
      <c r="AD74" s="150"/>
      <c r="AK74" s="31" t="str">
        <f>IFERROR(INDEX('G-7 Rivers Data'!$AZ$3:$AZ$7,MATCH(C74,'G-7 Rivers Data'!$AY$3:$AY$7,0)),"")</f>
        <v/>
      </c>
    </row>
    <row r="75" spans="2:37" ht="13.8" x14ac:dyDescent="0.25">
      <c r="B75" s="141">
        <v>64</v>
      </c>
      <c r="C75" s="666"/>
      <c r="D75" s="172"/>
      <c r="E75" s="498" t="str">
        <f>IF(C75="","",VLOOKUP(C75,'G-7 Rivers Data'!$B$2:$Z$9,2,FALSE))</f>
        <v/>
      </c>
      <c r="F75" s="499" t="str">
        <f>IFERROR(VLOOKUP(E75,'G-7 Rivers Data'!$C$4:$D$8,2,FALSE),"")</f>
        <v/>
      </c>
      <c r="G75" s="145"/>
      <c r="H75" s="499" t="str">
        <f>IFERROR(INDEX('G-7 Rivers Data'!$H$4:$L$8,MATCH(C75,'G-7 Rivers Data'!$B$4:$B$8,0),MATCH(G75,'G-7 Rivers Data'!$H$3:$L$3,0)),"")</f>
        <v/>
      </c>
      <c r="I75" s="145"/>
      <c r="J75" s="540" t="str">
        <f>IF(I75="","",IF(VLOOKUP(I75,'G-7 Rivers Data'!$AG$4:$AI$9,2,FALSE)=0,"Spatial Data Missing ⚠",VLOOKUP(I75,'G-7 Rivers Data'!$AG$4:$AI$9,2,FALSE)))</f>
        <v/>
      </c>
      <c r="K75" s="499" t="str">
        <f>IF(I75="","",IF(VLOOKUP(I75,'G-7 Rivers Data'!$AG$4:$AI$9,3,FALSE)=0,"Spatial Data Missing ⚠",VLOOKUP(I75,'G-7 Rivers Data'!$AG$4:$AI$9,3,FALSE)))</f>
        <v/>
      </c>
      <c r="L75" s="635" t="str">
        <f>IFERROR(INDEX('G-7 Rivers Data'!$O$3:$O$7,MATCH(G75,'G-7 Rivers Data'!$N$3:$N$7,0)),"")</f>
        <v/>
      </c>
      <c r="M75" s="72"/>
      <c r="N75" s="195"/>
      <c r="O75" s="507" t="str">
        <f t="shared" si="1"/>
        <v/>
      </c>
      <c r="P75" s="521" t="str">
        <f t="shared" si="2"/>
        <v/>
      </c>
      <c r="Q75" s="564" t="str">
        <f>IFERROR(IF(P75="Check Data ⚠","Check Data ⚠",VLOOKUP(P75,'G-4 Temporal multipliers'!$A$4:$C$37,3,FALSE)),"")</f>
        <v/>
      </c>
      <c r="R75" s="498" t="str">
        <f>IF(C75="","",VLOOKUP(C75,'G-7 Rivers Data'!$B$4:$G$8,4,FALSE))</f>
        <v/>
      </c>
      <c r="S75" s="507" t="str">
        <f t="shared" si="3"/>
        <v/>
      </c>
      <c r="T75" s="540" t="str">
        <f t="shared" si="4"/>
        <v/>
      </c>
      <c r="U75" s="499" t="str">
        <f t="shared" si="5"/>
        <v/>
      </c>
      <c r="V75" s="71"/>
      <c r="W75" s="499" t="str">
        <f>IF(V75="","",IF(VLOOKUP(V75,'G-7 Rivers Data'!$AA$4:$AB$7,2,FALSE)=0,"Spatial Data Missing ⚠",VLOOKUP(V75,'G-7 Rivers Data'!$AA$4:$AB$7,2,FALSE)))</f>
        <v/>
      </c>
      <c r="X75" s="155"/>
      <c r="Y75" s="499" t="str">
        <f>IF(X75="","",IF(VLOOKUP(X75,'G-7 Rivers Data'!$AD$4:$AE$8,2,FALSE)=0,"Enrcoachment Data Missing ⚠",VLOOKUP(X75,'G-7 Rivers Data'!$AD$4:$AE$8,2,FALSE)))</f>
        <v/>
      </c>
      <c r="Z75" s="154"/>
      <c r="AA75" s="524" t="str">
        <f>IF(Z75="","",VLOOKUP(Z75,'G-7 Rivers Data'!$AO$4:$AP$7,2,FALSE))</f>
        <v/>
      </c>
      <c r="AB75" s="545" t="str">
        <f t="shared" si="6"/>
        <v/>
      </c>
      <c r="AC75" s="149"/>
      <c r="AD75" s="150"/>
      <c r="AK75" s="31" t="str">
        <f>IFERROR(INDEX('G-7 Rivers Data'!$AZ$3:$AZ$7,MATCH(C75,'G-7 Rivers Data'!$AY$3:$AY$7,0)),"")</f>
        <v/>
      </c>
    </row>
    <row r="76" spans="2:37" ht="13.8" x14ac:dyDescent="0.25">
      <c r="B76" s="141">
        <v>65</v>
      </c>
      <c r="C76" s="666"/>
      <c r="D76" s="172"/>
      <c r="E76" s="498" t="str">
        <f>IF(C76="","",VLOOKUP(C76,'G-7 Rivers Data'!$B$2:$Z$9,2,FALSE))</f>
        <v/>
      </c>
      <c r="F76" s="499" t="str">
        <f>IFERROR(VLOOKUP(E76,'G-7 Rivers Data'!$C$4:$D$8,2,FALSE),"")</f>
        <v/>
      </c>
      <c r="G76" s="145"/>
      <c r="H76" s="499" t="str">
        <f>IFERROR(INDEX('G-7 Rivers Data'!$H$4:$L$8,MATCH(C76,'G-7 Rivers Data'!$B$4:$B$8,0),MATCH(G76,'G-7 Rivers Data'!$H$3:$L$3,0)),"")</f>
        <v/>
      </c>
      <c r="I76" s="145"/>
      <c r="J76" s="540" t="str">
        <f>IF(I76="","",IF(VLOOKUP(I76,'G-7 Rivers Data'!$AG$4:$AI$9,2,FALSE)=0,"Spatial Data Missing ⚠",VLOOKUP(I76,'G-7 Rivers Data'!$AG$4:$AI$9,2,FALSE)))</f>
        <v/>
      </c>
      <c r="K76" s="499" t="str">
        <f>IF(I76="","",IF(VLOOKUP(I76,'G-7 Rivers Data'!$AG$4:$AI$9,3,FALSE)=0,"Spatial Data Missing ⚠",VLOOKUP(I76,'G-7 Rivers Data'!$AG$4:$AI$9,3,FALSE)))</f>
        <v/>
      </c>
      <c r="L76" s="635" t="str">
        <f>IFERROR(INDEX('G-7 Rivers Data'!$O$3:$O$7,MATCH(G76,'G-7 Rivers Data'!$N$3:$N$7,0)),"")</f>
        <v/>
      </c>
      <c r="M76" s="72"/>
      <c r="N76" s="195"/>
      <c r="O76" s="507" t="str">
        <f t="shared" si="1"/>
        <v/>
      </c>
      <c r="P76" s="521" t="str">
        <f t="shared" si="2"/>
        <v/>
      </c>
      <c r="Q76" s="564" t="str">
        <f>IFERROR(IF(P76="Check Data ⚠","Check Data ⚠",VLOOKUP(P76,'G-4 Temporal multipliers'!$A$4:$C$37,3,FALSE)),"")</f>
        <v/>
      </c>
      <c r="R76" s="498" t="str">
        <f>IF(C76="","",VLOOKUP(C76,'G-7 Rivers Data'!$B$4:$G$8,4,FALSE))</f>
        <v/>
      </c>
      <c r="S76" s="507" t="str">
        <f t="shared" si="3"/>
        <v/>
      </c>
      <c r="T76" s="540" t="str">
        <f t="shared" si="4"/>
        <v/>
      </c>
      <c r="U76" s="499" t="str">
        <f t="shared" si="5"/>
        <v/>
      </c>
      <c r="V76" s="71"/>
      <c r="W76" s="499" t="str">
        <f>IF(V76="","",IF(VLOOKUP(V76,'G-7 Rivers Data'!$AA$4:$AB$7,2,FALSE)=0,"Spatial Data Missing ⚠",VLOOKUP(V76,'G-7 Rivers Data'!$AA$4:$AB$7,2,FALSE)))</f>
        <v/>
      </c>
      <c r="X76" s="155"/>
      <c r="Y76" s="499" t="str">
        <f>IF(X76="","",IF(VLOOKUP(X76,'G-7 Rivers Data'!$AD$4:$AE$8,2,FALSE)=0,"Enrcoachment Data Missing ⚠",VLOOKUP(X76,'G-7 Rivers Data'!$AD$4:$AE$8,2,FALSE)))</f>
        <v/>
      </c>
      <c r="Z76" s="154"/>
      <c r="AA76" s="524" t="str">
        <f>IF(Z76="","",VLOOKUP(Z76,'G-7 Rivers Data'!$AO$4:$AP$7,2,FALSE))</f>
        <v/>
      </c>
      <c r="AB76" s="545" t="str">
        <f t="shared" si="6"/>
        <v/>
      </c>
      <c r="AC76" s="149"/>
      <c r="AD76" s="150"/>
      <c r="AK76" s="31" t="str">
        <f>IFERROR(INDEX('G-7 Rivers Data'!$AZ$3:$AZ$7,MATCH(C76,'G-7 Rivers Data'!$AY$3:$AY$7,0)),"")</f>
        <v/>
      </c>
    </row>
    <row r="77" spans="2:37" ht="13.8" x14ac:dyDescent="0.25">
      <c r="B77" s="141">
        <v>66</v>
      </c>
      <c r="C77" s="666"/>
      <c r="D77" s="172"/>
      <c r="E77" s="498" t="str">
        <f>IF(C77="","",VLOOKUP(C77,'G-7 Rivers Data'!$B$2:$Z$9,2,FALSE))</f>
        <v/>
      </c>
      <c r="F77" s="499" t="str">
        <f>IFERROR(VLOOKUP(E77,'G-7 Rivers Data'!$C$4:$D$8,2,FALSE),"")</f>
        <v/>
      </c>
      <c r="G77" s="145"/>
      <c r="H77" s="499" t="str">
        <f>IFERROR(INDEX('G-7 Rivers Data'!$H$4:$L$8,MATCH(C77,'G-7 Rivers Data'!$B$4:$B$8,0),MATCH(G77,'G-7 Rivers Data'!$H$3:$L$3,0)),"")</f>
        <v/>
      </c>
      <c r="I77" s="145"/>
      <c r="J77" s="540" t="str">
        <f>IF(I77="","",IF(VLOOKUP(I77,'G-7 Rivers Data'!$AG$4:$AI$9,2,FALSE)=0,"Spatial Data Missing ⚠",VLOOKUP(I77,'G-7 Rivers Data'!$AG$4:$AI$9,2,FALSE)))</f>
        <v/>
      </c>
      <c r="K77" s="499" t="str">
        <f>IF(I77="","",IF(VLOOKUP(I77,'G-7 Rivers Data'!$AG$4:$AI$9,3,FALSE)=0,"Spatial Data Missing ⚠",VLOOKUP(I77,'G-7 Rivers Data'!$AG$4:$AI$9,3,FALSE)))</f>
        <v/>
      </c>
      <c r="L77" s="635" t="str">
        <f>IFERROR(INDEX('G-7 Rivers Data'!$O$3:$O$7,MATCH(G77,'G-7 Rivers Data'!$N$3:$N$7,0)),"")</f>
        <v/>
      </c>
      <c r="M77" s="72"/>
      <c r="N77" s="195"/>
      <c r="O77" s="507"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1" t="str">
        <f t="shared" ref="P77:P140" si="8">IF(LEFT(O77,5)="Error ▲","Check Data ⚠",IF(L77="","",IF(M77="30+",0,IF(N77="30+","30+ ⚠",IF(L77+N77&gt;30,"30+ ⚠",IF(L77+N77-M77&gt;0,L77+N77-M77,IF(L77-M77&lt;0,0,L77+N77-M77)))))))</f>
        <v/>
      </c>
      <c r="Q77" s="564" t="str">
        <f>IFERROR(IF(P77="Check Data ⚠","Check Data ⚠",VLOOKUP(P77,'G-4 Temporal multipliers'!$A$4:$C$37,3,FALSE)),"")</f>
        <v/>
      </c>
      <c r="R77" s="498" t="str">
        <f>IF(C77="","",VLOOKUP(C77,'G-7 Rivers Data'!$B$4:$G$8,4,FALSE))</f>
        <v/>
      </c>
      <c r="S77" s="507" t="str">
        <f t="shared" ref="S77:S140" si="9">IF(C77="","",IF(P77="Check Data ⚠","Check Data ⚠",IF(G77="","",IF($O77="Check details - Is there evidence that habitat has reached target condition? ⚠","No - Low Difficulty - only applicable if all habitat created before losses ⚠","Standard difficulty applied"))))</f>
        <v/>
      </c>
      <c r="T77" s="540" t="str">
        <f t="shared" ref="T77:T140" si="10">(IF(AND(S77="Standard difficulty applied",L77&gt;M77),R77,IF(AND(S77="No - Low Difficulty - only applicable if all habitat created before losses ⚠",M77&gt;=L77),"Low",R77)))</f>
        <v/>
      </c>
      <c r="U77" s="499" t="str">
        <f t="shared" ref="U77:U140" si="11">IF(C77="","",VLOOKUP(R77,Difficulty,2,FALSE))</f>
        <v/>
      </c>
      <c r="V77" s="71"/>
      <c r="W77" s="499" t="str">
        <f>IF(V77="","",IF(VLOOKUP(V77,'G-7 Rivers Data'!$AA$4:$AB$7,2,FALSE)=0,"Spatial Data Missing ⚠",VLOOKUP(V77,'G-7 Rivers Data'!$AA$4:$AB$7,2,FALSE)))</f>
        <v/>
      </c>
      <c r="X77" s="155"/>
      <c r="Y77" s="499" t="str">
        <f>IF(X77="","",IF(VLOOKUP(X77,'G-7 Rivers Data'!$AD$4:$AE$8,2,FALSE)=0,"Enrcoachment Data Missing ⚠",VLOOKUP(X77,'G-7 Rivers Data'!$AD$4:$AE$8,2,FALSE)))</f>
        <v/>
      </c>
      <c r="Z77" s="154"/>
      <c r="AA77" s="524" t="str">
        <f>IF(Z77="","",VLOOKUP(Z77,'G-7 Rivers Data'!$AO$4:$AP$7,2,FALSE))</f>
        <v/>
      </c>
      <c r="AB77" s="545" t="str">
        <f t="shared" ref="AB77:AB140" si="12">IFERROR(D77*F77*H77*K77*Q77*U77*W77*Y77*AA77,"")</f>
        <v/>
      </c>
      <c r="AC77" s="149"/>
      <c r="AD77" s="150"/>
      <c r="AK77" s="31" t="str">
        <f>IFERROR(INDEX('G-7 Rivers Data'!$AZ$3:$AZ$7,MATCH(C77,'G-7 Rivers Data'!$AY$3:$AY$7,0)),"")</f>
        <v/>
      </c>
    </row>
    <row r="78" spans="2:37" ht="13.8" x14ac:dyDescent="0.25">
      <c r="B78" s="141">
        <v>67</v>
      </c>
      <c r="C78" s="666"/>
      <c r="D78" s="172"/>
      <c r="E78" s="498" t="str">
        <f>IF(C78="","",VLOOKUP(C78,'G-7 Rivers Data'!$B$2:$Z$9,2,FALSE))</f>
        <v/>
      </c>
      <c r="F78" s="499" t="str">
        <f>IFERROR(VLOOKUP(E78,'G-7 Rivers Data'!$C$4:$D$8,2,FALSE),"")</f>
        <v/>
      </c>
      <c r="G78" s="145"/>
      <c r="H78" s="499" t="str">
        <f>IFERROR(INDEX('G-7 Rivers Data'!$H$4:$L$8,MATCH(C78,'G-7 Rivers Data'!$B$4:$B$8,0),MATCH(G78,'G-7 Rivers Data'!$H$3:$L$3,0)),"")</f>
        <v/>
      </c>
      <c r="I78" s="145"/>
      <c r="J78" s="540" t="str">
        <f>IF(I78="","",IF(VLOOKUP(I78,'G-7 Rivers Data'!$AG$4:$AI$9,2,FALSE)=0,"Spatial Data Missing ⚠",VLOOKUP(I78,'G-7 Rivers Data'!$AG$4:$AI$9,2,FALSE)))</f>
        <v/>
      </c>
      <c r="K78" s="499" t="str">
        <f>IF(I78="","",IF(VLOOKUP(I78,'G-7 Rivers Data'!$AG$4:$AI$9,3,FALSE)=0,"Spatial Data Missing ⚠",VLOOKUP(I78,'G-7 Rivers Data'!$AG$4:$AI$9,3,FALSE)))</f>
        <v/>
      </c>
      <c r="L78" s="635" t="str">
        <f>IFERROR(INDEX('G-7 Rivers Data'!$O$3:$O$7,MATCH(G78,'G-7 Rivers Data'!$N$3:$N$7,0)),"")</f>
        <v/>
      </c>
      <c r="M78" s="72"/>
      <c r="N78" s="195"/>
      <c r="O78" s="507" t="str">
        <f t="shared" si="7"/>
        <v/>
      </c>
      <c r="P78" s="521" t="str">
        <f t="shared" si="8"/>
        <v/>
      </c>
      <c r="Q78" s="564" t="str">
        <f>IFERROR(IF(P78="Check Data ⚠","Check Data ⚠",VLOOKUP(P78,'G-4 Temporal multipliers'!$A$4:$C$37,3,FALSE)),"")</f>
        <v/>
      </c>
      <c r="R78" s="498" t="str">
        <f>IF(C78="","",VLOOKUP(C78,'G-7 Rivers Data'!$B$4:$G$8,4,FALSE))</f>
        <v/>
      </c>
      <c r="S78" s="507" t="str">
        <f t="shared" si="9"/>
        <v/>
      </c>
      <c r="T78" s="540" t="str">
        <f t="shared" si="10"/>
        <v/>
      </c>
      <c r="U78" s="499" t="str">
        <f t="shared" si="11"/>
        <v/>
      </c>
      <c r="V78" s="71"/>
      <c r="W78" s="499" t="str">
        <f>IF(V78="","",IF(VLOOKUP(V78,'G-7 Rivers Data'!$AA$4:$AB$7,2,FALSE)=0,"Spatial Data Missing ⚠",VLOOKUP(V78,'G-7 Rivers Data'!$AA$4:$AB$7,2,FALSE)))</f>
        <v/>
      </c>
      <c r="X78" s="155"/>
      <c r="Y78" s="499" t="str">
        <f>IF(X78="","",IF(VLOOKUP(X78,'G-7 Rivers Data'!$AD$4:$AE$8,2,FALSE)=0,"Enrcoachment Data Missing ⚠",VLOOKUP(X78,'G-7 Rivers Data'!$AD$4:$AE$8,2,FALSE)))</f>
        <v/>
      </c>
      <c r="Z78" s="154"/>
      <c r="AA78" s="524" t="str">
        <f>IF(Z78="","",VLOOKUP(Z78,'G-7 Rivers Data'!$AO$4:$AP$7,2,FALSE))</f>
        <v/>
      </c>
      <c r="AB78" s="545" t="str">
        <f t="shared" si="12"/>
        <v/>
      </c>
      <c r="AC78" s="149"/>
      <c r="AD78" s="150"/>
      <c r="AK78" s="31" t="str">
        <f>IFERROR(INDEX('G-7 Rivers Data'!$AZ$3:$AZ$7,MATCH(C78,'G-7 Rivers Data'!$AY$3:$AY$7,0)),"")</f>
        <v/>
      </c>
    </row>
    <row r="79" spans="2:37" ht="13.8" x14ac:dyDescent="0.25">
      <c r="B79" s="141">
        <v>68</v>
      </c>
      <c r="C79" s="666"/>
      <c r="D79" s="172"/>
      <c r="E79" s="498" t="str">
        <f>IF(C79="","",VLOOKUP(C79,'G-7 Rivers Data'!$B$2:$Z$9,2,FALSE))</f>
        <v/>
      </c>
      <c r="F79" s="499" t="str">
        <f>IFERROR(VLOOKUP(E79,'G-7 Rivers Data'!$C$4:$D$8,2,FALSE),"")</f>
        <v/>
      </c>
      <c r="G79" s="145"/>
      <c r="H79" s="499" t="str">
        <f>IFERROR(INDEX('G-7 Rivers Data'!$H$4:$L$8,MATCH(C79,'G-7 Rivers Data'!$B$4:$B$8,0),MATCH(G79,'G-7 Rivers Data'!$H$3:$L$3,0)),"")</f>
        <v/>
      </c>
      <c r="I79" s="145"/>
      <c r="J79" s="540" t="str">
        <f>IF(I79="","",IF(VLOOKUP(I79,'G-7 Rivers Data'!$AG$4:$AI$9,2,FALSE)=0,"Spatial Data Missing ⚠",VLOOKUP(I79,'G-7 Rivers Data'!$AG$4:$AI$9,2,FALSE)))</f>
        <v/>
      </c>
      <c r="K79" s="499" t="str">
        <f>IF(I79="","",IF(VLOOKUP(I79,'G-7 Rivers Data'!$AG$4:$AI$9,3,FALSE)=0,"Spatial Data Missing ⚠",VLOOKUP(I79,'G-7 Rivers Data'!$AG$4:$AI$9,3,FALSE)))</f>
        <v/>
      </c>
      <c r="L79" s="635" t="str">
        <f>IFERROR(INDEX('G-7 Rivers Data'!$O$3:$O$7,MATCH(G79,'G-7 Rivers Data'!$N$3:$N$7,0)),"")</f>
        <v/>
      </c>
      <c r="M79" s="72"/>
      <c r="N79" s="195"/>
      <c r="O79" s="507" t="str">
        <f t="shared" si="7"/>
        <v/>
      </c>
      <c r="P79" s="521" t="str">
        <f t="shared" si="8"/>
        <v/>
      </c>
      <c r="Q79" s="564" t="str">
        <f>IFERROR(IF(P79="Check Data ⚠","Check Data ⚠",VLOOKUP(P79,'G-4 Temporal multipliers'!$A$4:$C$37,3,FALSE)),"")</f>
        <v/>
      </c>
      <c r="R79" s="498" t="str">
        <f>IF(C79="","",VLOOKUP(C79,'G-7 Rivers Data'!$B$4:$G$8,4,FALSE))</f>
        <v/>
      </c>
      <c r="S79" s="507" t="str">
        <f t="shared" si="9"/>
        <v/>
      </c>
      <c r="T79" s="540" t="str">
        <f t="shared" si="10"/>
        <v/>
      </c>
      <c r="U79" s="499" t="str">
        <f t="shared" si="11"/>
        <v/>
      </c>
      <c r="V79" s="71"/>
      <c r="W79" s="499" t="str">
        <f>IF(V79="","",IF(VLOOKUP(V79,'G-7 Rivers Data'!$AA$4:$AB$7,2,FALSE)=0,"Spatial Data Missing ⚠",VLOOKUP(V79,'G-7 Rivers Data'!$AA$4:$AB$7,2,FALSE)))</f>
        <v/>
      </c>
      <c r="X79" s="155"/>
      <c r="Y79" s="499" t="str">
        <f>IF(X79="","",IF(VLOOKUP(X79,'G-7 Rivers Data'!$AD$4:$AE$8,2,FALSE)=0,"Enrcoachment Data Missing ⚠",VLOOKUP(X79,'G-7 Rivers Data'!$AD$4:$AE$8,2,FALSE)))</f>
        <v/>
      </c>
      <c r="Z79" s="154"/>
      <c r="AA79" s="524" t="str">
        <f>IF(Z79="","",VLOOKUP(Z79,'G-7 Rivers Data'!$AO$4:$AP$7,2,FALSE))</f>
        <v/>
      </c>
      <c r="AB79" s="545" t="str">
        <f t="shared" si="12"/>
        <v/>
      </c>
      <c r="AC79" s="149"/>
      <c r="AD79" s="150"/>
      <c r="AK79" s="31" t="str">
        <f>IFERROR(INDEX('G-7 Rivers Data'!$AZ$3:$AZ$7,MATCH(C79,'G-7 Rivers Data'!$AY$3:$AY$7,0)),"")</f>
        <v/>
      </c>
    </row>
    <row r="80" spans="2:37" ht="13.8" x14ac:dyDescent="0.25">
      <c r="B80" s="141">
        <v>69</v>
      </c>
      <c r="C80" s="666"/>
      <c r="D80" s="172"/>
      <c r="E80" s="498" t="str">
        <f>IF(C80="","",VLOOKUP(C80,'G-7 Rivers Data'!$B$2:$Z$9,2,FALSE))</f>
        <v/>
      </c>
      <c r="F80" s="499" t="str">
        <f>IFERROR(VLOOKUP(E80,'G-7 Rivers Data'!$C$4:$D$8,2,FALSE),"")</f>
        <v/>
      </c>
      <c r="G80" s="145"/>
      <c r="H80" s="499" t="str">
        <f>IFERROR(INDEX('G-7 Rivers Data'!$H$4:$L$8,MATCH(C80,'G-7 Rivers Data'!$B$4:$B$8,0),MATCH(G80,'G-7 Rivers Data'!$H$3:$L$3,0)),"")</f>
        <v/>
      </c>
      <c r="I80" s="145"/>
      <c r="J80" s="540" t="str">
        <f>IF(I80="","",IF(VLOOKUP(I80,'G-7 Rivers Data'!$AG$4:$AI$9,2,FALSE)=0,"Spatial Data Missing ⚠",VLOOKUP(I80,'G-7 Rivers Data'!$AG$4:$AI$9,2,FALSE)))</f>
        <v/>
      </c>
      <c r="K80" s="499" t="str">
        <f>IF(I80="","",IF(VLOOKUP(I80,'G-7 Rivers Data'!$AG$4:$AI$9,3,FALSE)=0,"Spatial Data Missing ⚠",VLOOKUP(I80,'G-7 Rivers Data'!$AG$4:$AI$9,3,FALSE)))</f>
        <v/>
      </c>
      <c r="L80" s="635" t="str">
        <f>IFERROR(INDEX('G-7 Rivers Data'!$O$3:$O$7,MATCH(G80,'G-7 Rivers Data'!$N$3:$N$7,0)),"")</f>
        <v/>
      </c>
      <c r="M80" s="72"/>
      <c r="N80" s="195"/>
      <c r="O80" s="507" t="str">
        <f t="shared" si="7"/>
        <v/>
      </c>
      <c r="P80" s="521" t="str">
        <f t="shared" si="8"/>
        <v/>
      </c>
      <c r="Q80" s="564" t="str">
        <f>IFERROR(IF(P80="Check Data ⚠","Check Data ⚠",VLOOKUP(P80,'G-4 Temporal multipliers'!$A$4:$C$37,3,FALSE)),"")</f>
        <v/>
      </c>
      <c r="R80" s="498" t="str">
        <f>IF(C80="","",VLOOKUP(C80,'G-7 Rivers Data'!$B$4:$G$8,4,FALSE))</f>
        <v/>
      </c>
      <c r="S80" s="507" t="str">
        <f t="shared" si="9"/>
        <v/>
      </c>
      <c r="T80" s="540" t="str">
        <f t="shared" si="10"/>
        <v/>
      </c>
      <c r="U80" s="499" t="str">
        <f t="shared" si="11"/>
        <v/>
      </c>
      <c r="V80" s="71"/>
      <c r="W80" s="499" t="str">
        <f>IF(V80="","",IF(VLOOKUP(V80,'G-7 Rivers Data'!$AA$4:$AB$7,2,FALSE)=0,"Spatial Data Missing ⚠",VLOOKUP(V80,'G-7 Rivers Data'!$AA$4:$AB$7,2,FALSE)))</f>
        <v/>
      </c>
      <c r="X80" s="155"/>
      <c r="Y80" s="499" t="str">
        <f>IF(X80="","",IF(VLOOKUP(X80,'G-7 Rivers Data'!$AD$4:$AE$8,2,FALSE)=0,"Enrcoachment Data Missing ⚠",VLOOKUP(X80,'G-7 Rivers Data'!$AD$4:$AE$8,2,FALSE)))</f>
        <v/>
      </c>
      <c r="Z80" s="154"/>
      <c r="AA80" s="524" t="str">
        <f>IF(Z80="","",VLOOKUP(Z80,'G-7 Rivers Data'!$AO$4:$AP$7,2,FALSE))</f>
        <v/>
      </c>
      <c r="AB80" s="545" t="str">
        <f t="shared" si="12"/>
        <v/>
      </c>
      <c r="AC80" s="149"/>
      <c r="AD80" s="150"/>
      <c r="AK80" s="31" t="str">
        <f>IFERROR(INDEX('G-7 Rivers Data'!$AZ$3:$AZ$7,MATCH(C80,'G-7 Rivers Data'!$AY$3:$AY$7,0)),"")</f>
        <v/>
      </c>
    </row>
    <row r="81" spans="2:37" ht="13.8" x14ac:dyDescent="0.25">
      <c r="B81" s="141">
        <v>70</v>
      </c>
      <c r="C81" s="666"/>
      <c r="D81" s="172"/>
      <c r="E81" s="498" t="str">
        <f>IF(C81="","",VLOOKUP(C81,'G-7 Rivers Data'!$B$2:$Z$9,2,FALSE))</f>
        <v/>
      </c>
      <c r="F81" s="499" t="str">
        <f>IFERROR(VLOOKUP(E81,'G-7 Rivers Data'!$C$4:$D$8,2,FALSE),"")</f>
        <v/>
      </c>
      <c r="G81" s="145"/>
      <c r="H81" s="499" t="str">
        <f>IFERROR(INDEX('G-7 Rivers Data'!$H$4:$L$8,MATCH(C81,'G-7 Rivers Data'!$B$4:$B$8,0),MATCH(G81,'G-7 Rivers Data'!$H$3:$L$3,0)),"")</f>
        <v/>
      </c>
      <c r="I81" s="145"/>
      <c r="J81" s="540" t="str">
        <f>IF(I81="","",IF(VLOOKUP(I81,'G-7 Rivers Data'!$AG$4:$AI$9,2,FALSE)=0,"Spatial Data Missing ⚠",VLOOKUP(I81,'G-7 Rivers Data'!$AG$4:$AI$9,2,FALSE)))</f>
        <v/>
      </c>
      <c r="K81" s="499" t="str">
        <f>IF(I81="","",IF(VLOOKUP(I81,'G-7 Rivers Data'!$AG$4:$AI$9,3,FALSE)=0,"Spatial Data Missing ⚠",VLOOKUP(I81,'G-7 Rivers Data'!$AG$4:$AI$9,3,FALSE)))</f>
        <v/>
      </c>
      <c r="L81" s="635" t="str">
        <f>IFERROR(INDEX('G-7 Rivers Data'!$O$3:$O$7,MATCH(G81,'G-7 Rivers Data'!$N$3:$N$7,0)),"")</f>
        <v/>
      </c>
      <c r="M81" s="72"/>
      <c r="N81" s="195"/>
      <c r="O81" s="507" t="str">
        <f t="shared" si="7"/>
        <v/>
      </c>
      <c r="P81" s="521" t="str">
        <f t="shared" si="8"/>
        <v/>
      </c>
      <c r="Q81" s="564" t="str">
        <f>IFERROR(IF(P81="Check Data ⚠","Check Data ⚠",VLOOKUP(P81,'G-4 Temporal multipliers'!$A$4:$C$37,3,FALSE)),"")</f>
        <v/>
      </c>
      <c r="R81" s="498" t="str">
        <f>IF(C81="","",VLOOKUP(C81,'G-7 Rivers Data'!$B$4:$G$8,4,FALSE))</f>
        <v/>
      </c>
      <c r="S81" s="507" t="str">
        <f t="shared" si="9"/>
        <v/>
      </c>
      <c r="T81" s="540" t="str">
        <f t="shared" si="10"/>
        <v/>
      </c>
      <c r="U81" s="499" t="str">
        <f t="shared" si="11"/>
        <v/>
      </c>
      <c r="V81" s="71"/>
      <c r="W81" s="499" t="str">
        <f>IF(V81="","",IF(VLOOKUP(V81,'G-7 Rivers Data'!$AA$4:$AB$7,2,FALSE)=0,"Spatial Data Missing ⚠",VLOOKUP(V81,'G-7 Rivers Data'!$AA$4:$AB$7,2,FALSE)))</f>
        <v/>
      </c>
      <c r="X81" s="155"/>
      <c r="Y81" s="499" t="str">
        <f>IF(X81="","",IF(VLOOKUP(X81,'G-7 Rivers Data'!$AD$4:$AE$8,2,FALSE)=0,"Enrcoachment Data Missing ⚠",VLOOKUP(X81,'G-7 Rivers Data'!$AD$4:$AE$8,2,FALSE)))</f>
        <v/>
      </c>
      <c r="Z81" s="154"/>
      <c r="AA81" s="524" t="str">
        <f>IF(Z81="","",VLOOKUP(Z81,'G-7 Rivers Data'!$AO$4:$AP$7,2,FALSE))</f>
        <v/>
      </c>
      <c r="AB81" s="545" t="str">
        <f t="shared" si="12"/>
        <v/>
      </c>
      <c r="AC81" s="149"/>
      <c r="AD81" s="150"/>
      <c r="AK81" s="31" t="str">
        <f>IFERROR(INDEX('G-7 Rivers Data'!$AZ$3:$AZ$7,MATCH(C81,'G-7 Rivers Data'!$AY$3:$AY$7,0)),"")</f>
        <v/>
      </c>
    </row>
    <row r="82" spans="2:37" ht="13.8" x14ac:dyDescent="0.25">
      <c r="B82" s="141">
        <v>71</v>
      </c>
      <c r="C82" s="666"/>
      <c r="D82" s="172"/>
      <c r="E82" s="498" t="str">
        <f>IF(C82="","",VLOOKUP(C82,'G-7 Rivers Data'!$B$2:$Z$9,2,FALSE))</f>
        <v/>
      </c>
      <c r="F82" s="499" t="str">
        <f>IFERROR(VLOOKUP(E82,'G-7 Rivers Data'!$C$4:$D$8,2,FALSE),"")</f>
        <v/>
      </c>
      <c r="G82" s="145"/>
      <c r="H82" s="499" t="str">
        <f>IFERROR(INDEX('G-7 Rivers Data'!$H$4:$L$8,MATCH(C82,'G-7 Rivers Data'!$B$4:$B$8,0),MATCH(G82,'G-7 Rivers Data'!$H$3:$L$3,0)),"")</f>
        <v/>
      </c>
      <c r="I82" s="145"/>
      <c r="J82" s="540" t="str">
        <f>IF(I82="","",IF(VLOOKUP(I82,'G-7 Rivers Data'!$AG$4:$AI$9,2,FALSE)=0,"Spatial Data Missing ⚠",VLOOKUP(I82,'G-7 Rivers Data'!$AG$4:$AI$9,2,FALSE)))</f>
        <v/>
      </c>
      <c r="K82" s="499" t="str">
        <f>IF(I82="","",IF(VLOOKUP(I82,'G-7 Rivers Data'!$AG$4:$AI$9,3,FALSE)=0,"Spatial Data Missing ⚠",VLOOKUP(I82,'G-7 Rivers Data'!$AG$4:$AI$9,3,FALSE)))</f>
        <v/>
      </c>
      <c r="L82" s="635" t="str">
        <f>IFERROR(INDEX('G-7 Rivers Data'!$O$3:$O$7,MATCH(G82,'G-7 Rivers Data'!$N$3:$N$7,0)),"")</f>
        <v/>
      </c>
      <c r="M82" s="72"/>
      <c r="N82" s="195"/>
      <c r="O82" s="507" t="str">
        <f t="shared" si="7"/>
        <v/>
      </c>
      <c r="P82" s="521" t="str">
        <f t="shared" si="8"/>
        <v/>
      </c>
      <c r="Q82" s="564" t="str">
        <f>IFERROR(IF(P82="Check Data ⚠","Check Data ⚠",VLOOKUP(P82,'G-4 Temporal multipliers'!$A$4:$C$37,3,FALSE)),"")</f>
        <v/>
      </c>
      <c r="R82" s="498" t="str">
        <f>IF(C82="","",VLOOKUP(C82,'G-7 Rivers Data'!$B$4:$G$8,4,FALSE))</f>
        <v/>
      </c>
      <c r="S82" s="507" t="str">
        <f t="shared" si="9"/>
        <v/>
      </c>
      <c r="T82" s="540" t="str">
        <f t="shared" si="10"/>
        <v/>
      </c>
      <c r="U82" s="499" t="str">
        <f t="shared" si="11"/>
        <v/>
      </c>
      <c r="V82" s="71"/>
      <c r="W82" s="499" t="str">
        <f>IF(V82="","",IF(VLOOKUP(V82,'G-7 Rivers Data'!$AA$4:$AB$7,2,FALSE)=0,"Spatial Data Missing ⚠",VLOOKUP(V82,'G-7 Rivers Data'!$AA$4:$AB$7,2,FALSE)))</f>
        <v/>
      </c>
      <c r="X82" s="155"/>
      <c r="Y82" s="499" t="str">
        <f>IF(X82="","",IF(VLOOKUP(X82,'G-7 Rivers Data'!$AD$4:$AE$8,2,FALSE)=0,"Enrcoachment Data Missing ⚠",VLOOKUP(X82,'G-7 Rivers Data'!$AD$4:$AE$8,2,FALSE)))</f>
        <v/>
      </c>
      <c r="Z82" s="154"/>
      <c r="AA82" s="524" t="str">
        <f>IF(Z82="","",VLOOKUP(Z82,'G-7 Rivers Data'!$AO$4:$AP$7,2,FALSE))</f>
        <v/>
      </c>
      <c r="AB82" s="545" t="str">
        <f t="shared" si="12"/>
        <v/>
      </c>
      <c r="AC82" s="149"/>
      <c r="AD82" s="150"/>
      <c r="AK82" s="31" t="str">
        <f>IFERROR(INDEX('G-7 Rivers Data'!$AZ$3:$AZ$7,MATCH(C82,'G-7 Rivers Data'!$AY$3:$AY$7,0)),"")</f>
        <v/>
      </c>
    </row>
    <row r="83" spans="2:37" ht="13.8" x14ac:dyDescent="0.25">
      <c r="B83" s="141">
        <v>72</v>
      </c>
      <c r="C83" s="666"/>
      <c r="D83" s="172"/>
      <c r="E83" s="498" t="str">
        <f>IF(C83="","",VLOOKUP(C83,'G-7 Rivers Data'!$B$2:$Z$9,2,FALSE))</f>
        <v/>
      </c>
      <c r="F83" s="499" t="str">
        <f>IFERROR(VLOOKUP(E83,'G-7 Rivers Data'!$C$4:$D$8,2,FALSE),"")</f>
        <v/>
      </c>
      <c r="G83" s="145"/>
      <c r="H83" s="499" t="str">
        <f>IFERROR(INDEX('G-7 Rivers Data'!$H$4:$L$8,MATCH(C83,'G-7 Rivers Data'!$B$4:$B$8,0),MATCH(G83,'G-7 Rivers Data'!$H$3:$L$3,0)),"")</f>
        <v/>
      </c>
      <c r="I83" s="145"/>
      <c r="J83" s="540" t="str">
        <f>IF(I83="","",IF(VLOOKUP(I83,'G-7 Rivers Data'!$AG$4:$AI$9,2,FALSE)=0,"Spatial Data Missing ⚠",VLOOKUP(I83,'G-7 Rivers Data'!$AG$4:$AI$9,2,FALSE)))</f>
        <v/>
      </c>
      <c r="K83" s="499" t="str">
        <f>IF(I83="","",IF(VLOOKUP(I83,'G-7 Rivers Data'!$AG$4:$AI$9,3,FALSE)=0,"Spatial Data Missing ⚠",VLOOKUP(I83,'G-7 Rivers Data'!$AG$4:$AI$9,3,FALSE)))</f>
        <v/>
      </c>
      <c r="L83" s="635" t="str">
        <f>IFERROR(INDEX('G-7 Rivers Data'!$O$3:$O$7,MATCH(G83,'G-7 Rivers Data'!$N$3:$N$7,0)),"")</f>
        <v/>
      </c>
      <c r="M83" s="72"/>
      <c r="N83" s="195"/>
      <c r="O83" s="507" t="str">
        <f t="shared" si="7"/>
        <v/>
      </c>
      <c r="P83" s="521" t="str">
        <f t="shared" si="8"/>
        <v/>
      </c>
      <c r="Q83" s="564" t="str">
        <f>IFERROR(IF(P83="Check Data ⚠","Check Data ⚠",VLOOKUP(P83,'G-4 Temporal multipliers'!$A$4:$C$37,3,FALSE)),"")</f>
        <v/>
      </c>
      <c r="R83" s="498" t="str">
        <f>IF(C83="","",VLOOKUP(C83,'G-7 Rivers Data'!$B$4:$G$8,4,FALSE))</f>
        <v/>
      </c>
      <c r="S83" s="507" t="str">
        <f t="shared" si="9"/>
        <v/>
      </c>
      <c r="T83" s="540" t="str">
        <f t="shared" si="10"/>
        <v/>
      </c>
      <c r="U83" s="499" t="str">
        <f t="shared" si="11"/>
        <v/>
      </c>
      <c r="V83" s="71"/>
      <c r="W83" s="499" t="str">
        <f>IF(V83="","",IF(VLOOKUP(V83,'G-7 Rivers Data'!$AA$4:$AB$7,2,FALSE)=0,"Spatial Data Missing ⚠",VLOOKUP(V83,'G-7 Rivers Data'!$AA$4:$AB$7,2,FALSE)))</f>
        <v/>
      </c>
      <c r="X83" s="155"/>
      <c r="Y83" s="499" t="str">
        <f>IF(X83="","",IF(VLOOKUP(X83,'G-7 Rivers Data'!$AD$4:$AE$8,2,FALSE)=0,"Enrcoachment Data Missing ⚠",VLOOKUP(X83,'G-7 Rivers Data'!$AD$4:$AE$8,2,FALSE)))</f>
        <v/>
      </c>
      <c r="Z83" s="154"/>
      <c r="AA83" s="524" t="str">
        <f>IF(Z83="","",VLOOKUP(Z83,'G-7 Rivers Data'!$AO$4:$AP$7,2,FALSE))</f>
        <v/>
      </c>
      <c r="AB83" s="545" t="str">
        <f t="shared" si="12"/>
        <v/>
      </c>
      <c r="AC83" s="149"/>
      <c r="AD83" s="150"/>
      <c r="AK83" s="31" t="str">
        <f>IFERROR(INDEX('G-7 Rivers Data'!$AZ$3:$AZ$7,MATCH(C83,'G-7 Rivers Data'!$AY$3:$AY$7,0)),"")</f>
        <v/>
      </c>
    </row>
    <row r="84" spans="2:37" ht="13.8" x14ac:dyDescent="0.25">
      <c r="B84" s="141">
        <v>73</v>
      </c>
      <c r="C84" s="666"/>
      <c r="D84" s="172"/>
      <c r="E84" s="498" t="str">
        <f>IF(C84="","",VLOOKUP(C84,'G-7 Rivers Data'!$B$2:$Z$9,2,FALSE))</f>
        <v/>
      </c>
      <c r="F84" s="499" t="str">
        <f>IFERROR(VLOOKUP(E84,'G-7 Rivers Data'!$C$4:$D$8,2,FALSE),"")</f>
        <v/>
      </c>
      <c r="G84" s="145"/>
      <c r="H84" s="499" t="str">
        <f>IFERROR(INDEX('G-7 Rivers Data'!$H$4:$L$8,MATCH(C84,'G-7 Rivers Data'!$B$4:$B$8,0),MATCH(G84,'G-7 Rivers Data'!$H$3:$L$3,0)),"")</f>
        <v/>
      </c>
      <c r="I84" s="145"/>
      <c r="J84" s="540" t="str">
        <f>IF(I84="","",IF(VLOOKUP(I84,'G-7 Rivers Data'!$AG$4:$AI$9,2,FALSE)=0,"Spatial Data Missing ⚠",VLOOKUP(I84,'G-7 Rivers Data'!$AG$4:$AI$9,2,FALSE)))</f>
        <v/>
      </c>
      <c r="K84" s="499" t="str">
        <f>IF(I84="","",IF(VLOOKUP(I84,'G-7 Rivers Data'!$AG$4:$AI$9,3,FALSE)=0,"Spatial Data Missing ⚠",VLOOKUP(I84,'G-7 Rivers Data'!$AG$4:$AI$9,3,FALSE)))</f>
        <v/>
      </c>
      <c r="L84" s="635" t="str">
        <f>IFERROR(INDEX('G-7 Rivers Data'!$O$3:$O$7,MATCH(G84,'G-7 Rivers Data'!$N$3:$N$7,0)),"")</f>
        <v/>
      </c>
      <c r="M84" s="72"/>
      <c r="N84" s="195"/>
      <c r="O84" s="507" t="str">
        <f t="shared" si="7"/>
        <v/>
      </c>
      <c r="P84" s="521" t="str">
        <f t="shared" si="8"/>
        <v/>
      </c>
      <c r="Q84" s="564" t="str">
        <f>IFERROR(IF(P84="Check Data ⚠","Check Data ⚠",VLOOKUP(P84,'G-4 Temporal multipliers'!$A$4:$C$37,3,FALSE)),"")</f>
        <v/>
      </c>
      <c r="R84" s="498" t="str">
        <f>IF(C84="","",VLOOKUP(C84,'G-7 Rivers Data'!$B$4:$G$8,4,FALSE))</f>
        <v/>
      </c>
      <c r="S84" s="507" t="str">
        <f t="shared" si="9"/>
        <v/>
      </c>
      <c r="T84" s="540" t="str">
        <f t="shared" si="10"/>
        <v/>
      </c>
      <c r="U84" s="499" t="str">
        <f t="shared" si="11"/>
        <v/>
      </c>
      <c r="V84" s="71"/>
      <c r="W84" s="499" t="str">
        <f>IF(V84="","",IF(VLOOKUP(V84,'G-7 Rivers Data'!$AA$4:$AB$7,2,FALSE)=0,"Spatial Data Missing ⚠",VLOOKUP(V84,'G-7 Rivers Data'!$AA$4:$AB$7,2,FALSE)))</f>
        <v/>
      </c>
      <c r="X84" s="155"/>
      <c r="Y84" s="499" t="str">
        <f>IF(X84="","",IF(VLOOKUP(X84,'G-7 Rivers Data'!$AD$4:$AE$8,2,FALSE)=0,"Enrcoachment Data Missing ⚠",VLOOKUP(X84,'G-7 Rivers Data'!$AD$4:$AE$8,2,FALSE)))</f>
        <v/>
      </c>
      <c r="Z84" s="154"/>
      <c r="AA84" s="524" t="str">
        <f>IF(Z84="","",VLOOKUP(Z84,'G-7 Rivers Data'!$AO$4:$AP$7,2,FALSE))</f>
        <v/>
      </c>
      <c r="AB84" s="545" t="str">
        <f t="shared" si="12"/>
        <v/>
      </c>
      <c r="AC84" s="149"/>
      <c r="AD84" s="150"/>
      <c r="AK84" s="31" t="str">
        <f>IFERROR(INDEX('G-7 Rivers Data'!$AZ$3:$AZ$7,MATCH(C84,'G-7 Rivers Data'!$AY$3:$AY$7,0)),"")</f>
        <v/>
      </c>
    </row>
    <row r="85" spans="2:37" ht="13.8" x14ac:dyDescent="0.25">
      <c r="B85" s="141">
        <v>74</v>
      </c>
      <c r="C85" s="666"/>
      <c r="D85" s="172"/>
      <c r="E85" s="498" t="str">
        <f>IF(C85="","",VLOOKUP(C85,'G-7 Rivers Data'!$B$2:$Z$9,2,FALSE))</f>
        <v/>
      </c>
      <c r="F85" s="499" t="str">
        <f>IFERROR(VLOOKUP(E85,'G-7 Rivers Data'!$C$4:$D$8,2,FALSE),"")</f>
        <v/>
      </c>
      <c r="G85" s="145"/>
      <c r="H85" s="499" t="str">
        <f>IFERROR(INDEX('G-7 Rivers Data'!$H$4:$L$8,MATCH(C85,'G-7 Rivers Data'!$B$4:$B$8,0),MATCH(G85,'G-7 Rivers Data'!$H$3:$L$3,0)),"")</f>
        <v/>
      </c>
      <c r="I85" s="145"/>
      <c r="J85" s="540" t="str">
        <f>IF(I85="","",IF(VLOOKUP(I85,'G-7 Rivers Data'!$AG$4:$AI$9,2,FALSE)=0,"Spatial Data Missing ⚠",VLOOKUP(I85,'G-7 Rivers Data'!$AG$4:$AI$9,2,FALSE)))</f>
        <v/>
      </c>
      <c r="K85" s="499" t="str">
        <f>IF(I85="","",IF(VLOOKUP(I85,'G-7 Rivers Data'!$AG$4:$AI$9,3,FALSE)=0,"Spatial Data Missing ⚠",VLOOKUP(I85,'G-7 Rivers Data'!$AG$4:$AI$9,3,FALSE)))</f>
        <v/>
      </c>
      <c r="L85" s="635" t="str">
        <f>IFERROR(INDEX('G-7 Rivers Data'!$O$3:$O$7,MATCH(G85,'G-7 Rivers Data'!$N$3:$N$7,0)),"")</f>
        <v/>
      </c>
      <c r="M85" s="72"/>
      <c r="N85" s="195"/>
      <c r="O85" s="507" t="str">
        <f t="shared" si="7"/>
        <v/>
      </c>
      <c r="P85" s="521" t="str">
        <f t="shared" si="8"/>
        <v/>
      </c>
      <c r="Q85" s="564" t="str">
        <f>IFERROR(IF(P85="Check Data ⚠","Check Data ⚠",VLOOKUP(P85,'G-4 Temporal multipliers'!$A$4:$C$37,3,FALSE)),"")</f>
        <v/>
      </c>
      <c r="R85" s="498" t="str">
        <f>IF(C85="","",VLOOKUP(C85,'G-7 Rivers Data'!$B$4:$G$8,4,FALSE))</f>
        <v/>
      </c>
      <c r="S85" s="507" t="str">
        <f t="shared" si="9"/>
        <v/>
      </c>
      <c r="T85" s="540" t="str">
        <f t="shared" si="10"/>
        <v/>
      </c>
      <c r="U85" s="499" t="str">
        <f t="shared" si="11"/>
        <v/>
      </c>
      <c r="V85" s="71"/>
      <c r="W85" s="499" t="str">
        <f>IF(V85="","",IF(VLOOKUP(V85,'G-7 Rivers Data'!$AA$4:$AB$7,2,FALSE)=0,"Spatial Data Missing ⚠",VLOOKUP(V85,'G-7 Rivers Data'!$AA$4:$AB$7,2,FALSE)))</f>
        <v/>
      </c>
      <c r="X85" s="155"/>
      <c r="Y85" s="499" t="str">
        <f>IF(X85="","",IF(VLOOKUP(X85,'G-7 Rivers Data'!$AD$4:$AE$8,2,FALSE)=0,"Enrcoachment Data Missing ⚠",VLOOKUP(X85,'G-7 Rivers Data'!$AD$4:$AE$8,2,FALSE)))</f>
        <v/>
      </c>
      <c r="Z85" s="154"/>
      <c r="AA85" s="524" t="str">
        <f>IF(Z85="","",VLOOKUP(Z85,'G-7 Rivers Data'!$AO$4:$AP$7,2,FALSE))</f>
        <v/>
      </c>
      <c r="AB85" s="545" t="str">
        <f t="shared" si="12"/>
        <v/>
      </c>
      <c r="AC85" s="149"/>
      <c r="AD85" s="150"/>
      <c r="AK85" s="31" t="str">
        <f>IFERROR(INDEX('G-7 Rivers Data'!$AZ$3:$AZ$7,MATCH(C85,'G-7 Rivers Data'!$AY$3:$AY$7,0)),"")</f>
        <v/>
      </c>
    </row>
    <row r="86" spans="2:37" ht="13.8" x14ac:dyDescent="0.25">
      <c r="B86" s="141">
        <v>75</v>
      </c>
      <c r="C86" s="666"/>
      <c r="D86" s="172"/>
      <c r="E86" s="498" t="str">
        <f>IF(C86="","",VLOOKUP(C86,'G-7 Rivers Data'!$B$2:$Z$9,2,FALSE))</f>
        <v/>
      </c>
      <c r="F86" s="499" t="str">
        <f>IFERROR(VLOOKUP(E86,'G-7 Rivers Data'!$C$4:$D$8,2,FALSE),"")</f>
        <v/>
      </c>
      <c r="G86" s="145"/>
      <c r="H86" s="499" t="str">
        <f>IFERROR(INDEX('G-7 Rivers Data'!$H$4:$L$8,MATCH(C86,'G-7 Rivers Data'!$B$4:$B$8,0),MATCH(G86,'G-7 Rivers Data'!$H$3:$L$3,0)),"")</f>
        <v/>
      </c>
      <c r="I86" s="145"/>
      <c r="J86" s="540" t="str">
        <f>IF(I86="","",IF(VLOOKUP(I86,'G-7 Rivers Data'!$AG$4:$AI$9,2,FALSE)=0,"Spatial Data Missing ⚠",VLOOKUP(I86,'G-7 Rivers Data'!$AG$4:$AI$9,2,FALSE)))</f>
        <v/>
      </c>
      <c r="K86" s="499" t="str">
        <f>IF(I86="","",IF(VLOOKUP(I86,'G-7 Rivers Data'!$AG$4:$AI$9,3,FALSE)=0,"Spatial Data Missing ⚠",VLOOKUP(I86,'G-7 Rivers Data'!$AG$4:$AI$9,3,FALSE)))</f>
        <v/>
      </c>
      <c r="L86" s="635" t="str">
        <f>IFERROR(INDEX('G-7 Rivers Data'!$O$3:$O$7,MATCH(G86,'G-7 Rivers Data'!$N$3:$N$7,0)),"")</f>
        <v/>
      </c>
      <c r="M86" s="72"/>
      <c r="N86" s="195"/>
      <c r="O86" s="507" t="str">
        <f t="shared" si="7"/>
        <v/>
      </c>
      <c r="P86" s="521" t="str">
        <f t="shared" si="8"/>
        <v/>
      </c>
      <c r="Q86" s="564" t="str">
        <f>IFERROR(IF(P86="Check Data ⚠","Check Data ⚠",VLOOKUP(P86,'G-4 Temporal multipliers'!$A$4:$C$37,3,FALSE)),"")</f>
        <v/>
      </c>
      <c r="R86" s="498" t="str">
        <f>IF(C86="","",VLOOKUP(C86,'G-7 Rivers Data'!$B$4:$G$8,4,FALSE))</f>
        <v/>
      </c>
      <c r="S86" s="507" t="str">
        <f t="shared" si="9"/>
        <v/>
      </c>
      <c r="T86" s="540" t="str">
        <f t="shared" si="10"/>
        <v/>
      </c>
      <c r="U86" s="499" t="str">
        <f t="shared" si="11"/>
        <v/>
      </c>
      <c r="V86" s="71"/>
      <c r="W86" s="499" t="str">
        <f>IF(V86="","",IF(VLOOKUP(V86,'G-7 Rivers Data'!$AA$4:$AB$7,2,FALSE)=0,"Spatial Data Missing ⚠",VLOOKUP(V86,'G-7 Rivers Data'!$AA$4:$AB$7,2,FALSE)))</f>
        <v/>
      </c>
      <c r="X86" s="155"/>
      <c r="Y86" s="499" t="str">
        <f>IF(X86="","",IF(VLOOKUP(X86,'G-7 Rivers Data'!$AD$4:$AE$8,2,FALSE)=0,"Enrcoachment Data Missing ⚠",VLOOKUP(X86,'G-7 Rivers Data'!$AD$4:$AE$8,2,FALSE)))</f>
        <v/>
      </c>
      <c r="Z86" s="154"/>
      <c r="AA86" s="524" t="str">
        <f>IF(Z86="","",VLOOKUP(Z86,'G-7 Rivers Data'!$AO$4:$AP$7,2,FALSE))</f>
        <v/>
      </c>
      <c r="AB86" s="545" t="str">
        <f t="shared" si="12"/>
        <v/>
      </c>
      <c r="AC86" s="149"/>
      <c r="AD86" s="150"/>
      <c r="AK86" s="31" t="str">
        <f>IFERROR(INDEX('G-7 Rivers Data'!$AZ$3:$AZ$7,MATCH(C86,'G-7 Rivers Data'!$AY$3:$AY$7,0)),"")</f>
        <v/>
      </c>
    </row>
    <row r="87" spans="2:37" ht="13.8" x14ac:dyDescent="0.25">
      <c r="B87" s="141">
        <v>76</v>
      </c>
      <c r="C87" s="666"/>
      <c r="D87" s="172"/>
      <c r="E87" s="498" t="str">
        <f>IF(C87="","",VLOOKUP(C87,'G-7 Rivers Data'!$B$2:$Z$9,2,FALSE))</f>
        <v/>
      </c>
      <c r="F87" s="499" t="str">
        <f>IFERROR(VLOOKUP(E87,'G-7 Rivers Data'!$C$4:$D$8,2,FALSE),"")</f>
        <v/>
      </c>
      <c r="G87" s="145"/>
      <c r="H87" s="499" t="str">
        <f>IFERROR(INDEX('G-7 Rivers Data'!$H$4:$L$8,MATCH(C87,'G-7 Rivers Data'!$B$4:$B$8,0),MATCH(G87,'G-7 Rivers Data'!$H$3:$L$3,0)),"")</f>
        <v/>
      </c>
      <c r="I87" s="145"/>
      <c r="J87" s="540" t="str">
        <f>IF(I87="","",IF(VLOOKUP(I87,'G-7 Rivers Data'!$AG$4:$AI$9,2,FALSE)=0,"Spatial Data Missing ⚠",VLOOKUP(I87,'G-7 Rivers Data'!$AG$4:$AI$9,2,FALSE)))</f>
        <v/>
      </c>
      <c r="K87" s="499" t="str">
        <f>IF(I87="","",IF(VLOOKUP(I87,'G-7 Rivers Data'!$AG$4:$AI$9,3,FALSE)=0,"Spatial Data Missing ⚠",VLOOKUP(I87,'G-7 Rivers Data'!$AG$4:$AI$9,3,FALSE)))</f>
        <v/>
      </c>
      <c r="L87" s="635" t="str">
        <f>IFERROR(INDEX('G-7 Rivers Data'!$O$3:$O$7,MATCH(G87,'G-7 Rivers Data'!$N$3:$N$7,0)),"")</f>
        <v/>
      </c>
      <c r="M87" s="72"/>
      <c r="N87" s="195"/>
      <c r="O87" s="507" t="str">
        <f t="shared" si="7"/>
        <v/>
      </c>
      <c r="P87" s="521" t="str">
        <f t="shared" si="8"/>
        <v/>
      </c>
      <c r="Q87" s="564" t="str">
        <f>IFERROR(IF(P87="Check Data ⚠","Check Data ⚠",VLOOKUP(P87,'G-4 Temporal multipliers'!$A$4:$C$37,3,FALSE)),"")</f>
        <v/>
      </c>
      <c r="R87" s="498" t="str">
        <f>IF(C87="","",VLOOKUP(C87,'G-7 Rivers Data'!$B$4:$G$8,4,FALSE))</f>
        <v/>
      </c>
      <c r="S87" s="507" t="str">
        <f t="shared" si="9"/>
        <v/>
      </c>
      <c r="T87" s="540" t="str">
        <f t="shared" si="10"/>
        <v/>
      </c>
      <c r="U87" s="499" t="str">
        <f t="shared" si="11"/>
        <v/>
      </c>
      <c r="V87" s="71"/>
      <c r="W87" s="499" t="str">
        <f>IF(V87="","",IF(VLOOKUP(V87,'G-7 Rivers Data'!$AA$4:$AB$7,2,FALSE)=0,"Spatial Data Missing ⚠",VLOOKUP(V87,'G-7 Rivers Data'!$AA$4:$AB$7,2,FALSE)))</f>
        <v/>
      </c>
      <c r="X87" s="155"/>
      <c r="Y87" s="499" t="str">
        <f>IF(X87="","",IF(VLOOKUP(X87,'G-7 Rivers Data'!$AD$4:$AE$8,2,FALSE)=0,"Enrcoachment Data Missing ⚠",VLOOKUP(X87,'G-7 Rivers Data'!$AD$4:$AE$8,2,FALSE)))</f>
        <v/>
      </c>
      <c r="Z87" s="154"/>
      <c r="AA87" s="524" t="str">
        <f>IF(Z87="","",VLOOKUP(Z87,'G-7 Rivers Data'!$AO$4:$AP$7,2,FALSE))</f>
        <v/>
      </c>
      <c r="AB87" s="545" t="str">
        <f t="shared" si="12"/>
        <v/>
      </c>
      <c r="AC87" s="149"/>
      <c r="AD87" s="150"/>
      <c r="AK87" s="31" t="str">
        <f>IFERROR(INDEX('G-7 Rivers Data'!$AZ$3:$AZ$7,MATCH(C87,'G-7 Rivers Data'!$AY$3:$AY$7,0)),"")</f>
        <v/>
      </c>
    </row>
    <row r="88" spans="2:37" ht="13.8" x14ac:dyDescent="0.25">
      <c r="B88" s="141">
        <v>77</v>
      </c>
      <c r="C88" s="666"/>
      <c r="D88" s="172"/>
      <c r="E88" s="498" t="str">
        <f>IF(C88="","",VLOOKUP(C88,'G-7 Rivers Data'!$B$2:$Z$9,2,FALSE))</f>
        <v/>
      </c>
      <c r="F88" s="499" t="str">
        <f>IFERROR(VLOOKUP(E88,'G-7 Rivers Data'!$C$4:$D$8,2,FALSE),"")</f>
        <v/>
      </c>
      <c r="G88" s="145"/>
      <c r="H88" s="499" t="str">
        <f>IFERROR(INDEX('G-7 Rivers Data'!$H$4:$L$8,MATCH(C88,'G-7 Rivers Data'!$B$4:$B$8,0),MATCH(G88,'G-7 Rivers Data'!$H$3:$L$3,0)),"")</f>
        <v/>
      </c>
      <c r="I88" s="145"/>
      <c r="J88" s="540" t="str">
        <f>IF(I88="","",IF(VLOOKUP(I88,'G-7 Rivers Data'!$AG$4:$AI$9,2,FALSE)=0,"Spatial Data Missing ⚠",VLOOKUP(I88,'G-7 Rivers Data'!$AG$4:$AI$9,2,FALSE)))</f>
        <v/>
      </c>
      <c r="K88" s="499" t="str">
        <f>IF(I88="","",IF(VLOOKUP(I88,'G-7 Rivers Data'!$AG$4:$AI$9,3,FALSE)=0,"Spatial Data Missing ⚠",VLOOKUP(I88,'G-7 Rivers Data'!$AG$4:$AI$9,3,FALSE)))</f>
        <v/>
      </c>
      <c r="L88" s="635" t="str">
        <f>IFERROR(INDEX('G-7 Rivers Data'!$O$3:$O$7,MATCH(G88,'G-7 Rivers Data'!$N$3:$N$7,0)),"")</f>
        <v/>
      </c>
      <c r="M88" s="72"/>
      <c r="N88" s="195"/>
      <c r="O88" s="507" t="str">
        <f t="shared" si="7"/>
        <v/>
      </c>
      <c r="P88" s="521" t="str">
        <f t="shared" si="8"/>
        <v/>
      </c>
      <c r="Q88" s="564" t="str">
        <f>IFERROR(IF(P88="Check Data ⚠","Check Data ⚠",VLOOKUP(P88,'G-4 Temporal multipliers'!$A$4:$C$37,3,FALSE)),"")</f>
        <v/>
      </c>
      <c r="R88" s="498" t="str">
        <f>IF(C88="","",VLOOKUP(C88,'G-7 Rivers Data'!$B$4:$G$8,4,FALSE))</f>
        <v/>
      </c>
      <c r="S88" s="507" t="str">
        <f t="shared" si="9"/>
        <v/>
      </c>
      <c r="T88" s="540" t="str">
        <f t="shared" si="10"/>
        <v/>
      </c>
      <c r="U88" s="499" t="str">
        <f t="shared" si="11"/>
        <v/>
      </c>
      <c r="V88" s="71"/>
      <c r="W88" s="499" t="str">
        <f>IF(V88="","",IF(VLOOKUP(V88,'G-7 Rivers Data'!$AA$4:$AB$7,2,FALSE)=0,"Spatial Data Missing ⚠",VLOOKUP(V88,'G-7 Rivers Data'!$AA$4:$AB$7,2,FALSE)))</f>
        <v/>
      </c>
      <c r="X88" s="155"/>
      <c r="Y88" s="499" t="str">
        <f>IF(X88="","",IF(VLOOKUP(X88,'G-7 Rivers Data'!$AD$4:$AE$8,2,FALSE)=0,"Enrcoachment Data Missing ⚠",VLOOKUP(X88,'G-7 Rivers Data'!$AD$4:$AE$8,2,FALSE)))</f>
        <v/>
      </c>
      <c r="Z88" s="154"/>
      <c r="AA88" s="524" t="str">
        <f>IF(Z88="","",VLOOKUP(Z88,'G-7 Rivers Data'!$AO$4:$AP$7,2,FALSE))</f>
        <v/>
      </c>
      <c r="AB88" s="545" t="str">
        <f t="shared" si="12"/>
        <v/>
      </c>
      <c r="AC88" s="149"/>
      <c r="AD88" s="150"/>
      <c r="AK88" s="31" t="str">
        <f>IFERROR(INDEX('G-7 Rivers Data'!$AZ$3:$AZ$7,MATCH(C88,'G-7 Rivers Data'!$AY$3:$AY$7,0)),"")</f>
        <v/>
      </c>
    </row>
    <row r="89" spans="2:37" ht="13.8" x14ac:dyDescent="0.25">
      <c r="B89" s="141">
        <v>78</v>
      </c>
      <c r="C89" s="666"/>
      <c r="D89" s="172"/>
      <c r="E89" s="498" t="str">
        <f>IF(C89="","",VLOOKUP(C89,'G-7 Rivers Data'!$B$2:$Z$9,2,FALSE))</f>
        <v/>
      </c>
      <c r="F89" s="499" t="str">
        <f>IFERROR(VLOOKUP(E89,'G-7 Rivers Data'!$C$4:$D$8,2,FALSE),"")</f>
        <v/>
      </c>
      <c r="G89" s="145"/>
      <c r="H89" s="499" t="str">
        <f>IFERROR(INDEX('G-7 Rivers Data'!$H$4:$L$8,MATCH(C89,'G-7 Rivers Data'!$B$4:$B$8,0),MATCH(G89,'G-7 Rivers Data'!$H$3:$L$3,0)),"")</f>
        <v/>
      </c>
      <c r="I89" s="145"/>
      <c r="J89" s="540" t="str">
        <f>IF(I89="","",IF(VLOOKUP(I89,'G-7 Rivers Data'!$AG$4:$AI$9,2,FALSE)=0,"Spatial Data Missing ⚠",VLOOKUP(I89,'G-7 Rivers Data'!$AG$4:$AI$9,2,FALSE)))</f>
        <v/>
      </c>
      <c r="K89" s="499" t="str">
        <f>IF(I89="","",IF(VLOOKUP(I89,'G-7 Rivers Data'!$AG$4:$AI$9,3,FALSE)=0,"Spatial Data Missing ⚠",VLOOKUP(I89,'G-7 Rivers Data'!$AG$4:$AI$9,3,FALSE)))</f>
        <v/>
      </c>
      <c r="L89" s="635" t="str">
        <f>IFERROR(INDEX('G-7 Rivers Data'!$O$3:$O$7,MATCH(G89,'G-7 Rivers Data'!$N$3:$N$7,0)),"")</f>
        <v/>
      </c>
      <c r="M89" s="72"/>
      <c r="N89" s="195"/>
      <c r="O89" s="507" t="str">
        <f t="shared" si="7"/>
        <v/>
      </c>
      <c r="P89" s="521" t="str">
        <f t="shared" si="8"/>
        <v/>
      </c>
      <c r="Q89" s="564" t="str">
        <f>IFERROR(IF(P89="Check Data ⚠","Check Data ⚠",VLOOKUP(P89,'G-4 Temporal multipliers'!$A$4:$C$37,3,FALSE)),"")</f>
        <v/>
      </c>
      <c r="R89" s="498" t="str">
        <f>IF(C89="","",VLOOKUP(C89,'G-7 Rivers Data'!$B$4:$G$8,4,FALSE))</f>
        <v/>
      </c>
      <c r="S89" s="507" t="str">
        <f t="shared" si="9"/>
        <v/>
      </c>
      <c r="T89" s="540" t="str">
        <f t="shared" si="10"/>
        <v/>
      </c>
      <c r="U89" s="499" t="str">
        <f t="shared" si="11"/>
        <v/>
      </c>
      <c r="V89" s="71"/>
      <c r="W89" s="499" t="str">
        <f>IF(V89="","",IF(VLOOKUP(V89,'G-7 Rivers Data'!$AA$4:$AB$7,2,FALSE)=0,"Spatial Data Missing ⚠",VLOOKUP(V89,'G-7 Rivers Data'!$AA$4:$AB$7,2,FALSE)))</f>
        <v/>
      </c>
      <c r="X89" s="155"/>
      <c r="Y89" s="499" t="str">
        <f>IF(X89="","",IF(VLOOKUP(X89,'G-7 Rivers Data'!$AD$4:$AE$8,2,FALSE)=0,"Enrcoachment Data Missing ⚠",VLOOKUP(X89,'G-7 Rivers Data'!$AD$4:$AE$8,2,FALSE)))</f>
        <v/>
      </c>
      <c r="Z89" s="154"/>
      <c r="AA89" s="524" t="str">
        <f>IF(Z89="","",VLOOKUP(Z89,'G-7 Rivers Data'!$AO$4:$AP$7,2,FALSE))</f>
        <v/>
      </c>
      <c r="AB89" s="545" t="str">
        <f t="shared" si="12"/>
        <v/>
      </c>
      <c r="AC89" s="149"/>
      <c r="AD89" s="150"/>
      <c r="AK89" s="31" t="str">
        <f>IFERROR(INDEX('G-7 Rivers Data'!$AZ$3:$AZ$7,MATCH(C89,'G-7 Rivers Data'!$AY$3:$AY$7,0)),"")</f>
        <v/>
      </c>
    </row>
    <row r="90" spans="2:37" ht="13.8" x14ac:dyDescent="0.25">
      <c r="B90" s="141">
        <v>79</v>
      </c>
      <c r="C90" s="666"/>
      <c r="D90" s="172"/>
      <c r="E90" s="498" t="str">
        <f>IF(C90="","",VLOOKUP(C90,'G-7 Rivers Data'!$B$2:$Z$9,2,FALSE))</f>
        <v/>
      </c>
      <c r="F90" s="499" t="str">
        <f>IFERROR(VLOOKUP(E90,'G-7 Rivers Data'!$C$4:$D$8,2,FALSE),"")</f>
        <v/>
      </c>
      <c r="G90" s="145"/>
      <c r="H90" s="499" t="str">
        <f>IFERROR(INDEX('G-7 Rivers Data'!$H$4:$L$8,MATCH(C90,'G-7 Rivers Data'!$B$4:$B$8,0),MATCH(G90,'G-7 Rivers Data'!$H$3:$L$3,0)),"")</f>
        <v/>
      </c>
      <c r="I90" s="145"/>
      <c r="J90" s="540" t="str">
        <f>IF(I90="","",IF(VLOOKUP(I90,'G-7 Rivers Data'!$AG$4:$AI$9,2,FALSE)=0,"Spatial Data Missing ⚠",VLOOKUP(I90,'G-7 Rivers Data'!$AG$4:$AI$9,2,FALSE)))</f>
        <v/>
      </c>
      <c r="K90" s="499" t="str">
        <f>IF(I90="","",IF(VLOOKUP(I90,'G-7 Rivers Data'!$AG$4:$AI$9,3,FALSE)=0,"Spatial Data Missing ⚠",VLOOKUP(I90,'G-7 Rivers Data'!$AG$4:$AI$9,3,FALSE)))</f>
        <v/>
      </c>
      <c r="L90" s="635" t="str">
        <f>IFERROR(INDEX('G-7 Rivers Data'!$O$3:$O$7,MATCH(G90,'G-7 Rivers Data'!$N$3:$N$7,0)),"")</f>
        <v/>
      </c>
      <c r="M90" s="72"/>
      <c r="N90" s="195"/>
      <c r="O90" s="507" t="str">
        <f t="shared" si="7"/>
        <v/>
      </c>
      <c r="P90" s="521" t="str">
        <f t="shared" si="8"/>
        <v/>
      </c>
      <c r="Q90" s="564" t="str">
        <f>IFERROR(IF(P90="Check Data ⚠","Check Data ⚠",VLOOKUP(P90,'G-4 Temporal multipliers'!$A$4:$C$37,3,FALSE)),"")</f>
        <v/>
      </c>
      <c r="R90" s="498" t="str">
        <f>IF(C90="","",VLOOKUP(C90,'G-7 Rivers Data'!$B$4:$G$8,4,FALSE))</f>
        <v/>
      </c>
      <c r="S90" s="507" t="str">
        <f t="shared" si="9"/>
        <v/>
      </c>
      <c r="T90" s="540" t="str">
        <f t="shared" si="10"/>
        <v/>
      </c>
      <c r="U90" s="499" t="str">
        <f t="shared" si="11"/>
        <v/>
      </c>
      <c r="V90" s="71"/>
      <c r="W90" s="499" t="str">
        <f>IF(V90="","",IF(VLOOKUP(V90,'G-7 Rivers Data'!$AA$4:$AB$7,2,FALSE)=0,"Spatial Data Missing ⚠",VLOOKUP(V90,'G-7 Rivers Data'!$AA$4:$AB$7,2,FALSE)))</f>
        <v/>
      </c>
      <c r="X90" s="155"/>
      <c r="Y90" s="499" t="str">
        <f>IF(X90="","",IF(VLOOKUP(X90,'G-7 Rivers Data'!$AD$4:$AE$8,2,FALSE)=0,"Enrcoachment Data Missing ⚠",VLOOKUP(X90,'G-7 Rivers Data'!$AD$4:$AE$8,2,FALSE)))</f>
        <v/>
      </c>
      <c r="Z90" s="154"/>
      <c r="AA90" s="524" t="str">
        <f>IF(Z90="","",VLOOKUP(Z90,'G-7 Rivers Data'!$AO$4:$AP$7,2,FALSE))</f>
        <v/>
      </c>
      <c r="AB90" s="545" t="str">
        <f t="shared" si="12"/>
        <v/>
      </c>
      <c r="AC90" s="149"/>
      <c r="AD90" s="150"/>
      <c r="AK90" s="31" t="str">
        <f>IFERROR(INDEX('G-7 Rivers Data'!$AZ$3:$AZ$7,MATCH(C90,'G-7 Rivers Data'!$AY$3:$AY$7,0)),"")</f>
        <v/>
      </c>
    </row>
    <row r="91" spans="2:37" ht="13.8" x14ac:dyDescent="0.25">
      <c r="B91" s="141">
        <v>80</v>
      </c>
      <c r="C91" s="666"/>
      <c r="D91" s="172"/>
      <c r="E91" s="498" t="str">
        <f>IF(C91="","",VLOOKUP(C91,'G-7 Rivers Data'!$B$2:$Z$9,2,FALSE))</f>
        <v/>
      </c>
      <c r="F91" s="499" t="str">
        <f>IFERROR(VLOOKUP(E91,'G-7 Rivers Data'!$C$4:$D$8,2,FALSE),"")</f>
        <v/>
      </c>
      <c r="G91" s="145"/>
      <c r="H91" s="499" t="str">
        <f>IFERROR(INDEX('G-7 Rivers Data'!$H$4:$L$8,MATCH(C91,'G-7 Rivers Data'!$B$4:$B$8,0),MATCH(G91,'G-7 Rivers Data'!$H$3:$L$3,0)),"")</f>
        <v/>
      </c>
      <c r="I91" s="145"/>
      <c r="J91" s="540" t="str">
        <f>IF(I91="","",IF(VLOOKUP(I91,'G-7 Rivers Data'!$AG$4:$AI$9,2,FALSE)=0,"Spatial Data Missing ⚠",VLOOKUP(I91,'G-7 Rivers Data'!$AG$4:$AI$9,2,FALSE)))</f>
        <v/>
      </c>
      <c r="K91" s="499" t="str">
        <f>IF(I91="","",IF(VLOOKUP(I91,'G-7 Rivers Data'!$AG$4:$AI$9,3,FALSE)=0,"Spatial Data Missing ⚠",VLOOKUP(I91,'G-7 Rivers Data'!$AG$4:$AI$9,3,FALSE)))</f>
        <v/>
      </c>
      <c r="L91" s="635" t="str">
        <f>IFERROR(INDEX('G-7 Rivers Data'!$O$3:$O$7,MATCH(G91,'G-7 Rivers Data'!$N$3:$N$7,0)),"")</f>
        <v/>
      </c>
      <c r="M91" s="72"/>
      <c r="N91" s="195"/>
      <c r="O91" s="507" t="str">
        <f t="shared" si="7"/>
        <v/>
      </c>
      <c r="P91" s="521" t="str">
        <f t="shared" si="8"/>
        <v/>
      </c>
      <c r="Q91" s="564" t="str">
        <f>IFERROR(IF(P91="Check Data ⚠","Check Data ⚠",VLOOKUP(P91,'G-4 Temporal multipliers'!$A$4:$C$37,3,FALSE)),"")</f>
        <v/>
      </c>
      <c r="R91" s="498" t="str">
        <f>IF(C91="","",VLOOKUP(C91,'G-7 Rivers Data'!$B$4:$G$8,4,FALSE))</f>
        <v/>
      </c>
      <c r="S91" s="507" t="str">
        <f t="shared" si="9"/>
        <v/>
      </c>
      <c r="T91" s="540" t="str">
        <f t="shared" si="10"/>
        <v/>
      </c>
      <c r="U91" s="499" t="str">
        <f t="shared" si="11"/>
        <v/>
      </c>
      <c r="V91" s="71"/>
      <c r="W91" s="499" t="str">
        <f>IF(V91="","",IF(VLOOKUP(V91,'G-7 Rivers Data'!$AA$4:$AB$7,2,FALSE)=0,"Spatial Data Missing ⚠",VLOOKUP(V91,'G-7 Rivers Data'!$AA$4:$AB$7,2,FALSE)))</f>
        <v/>
      </c>
      <c r="X91" s="155"/>
      <c r="Y91" s="499" t="str">
        <f>IF(X91="","",IF(VLOOKUP(X91,'G-7 Rivers Data'!$AD$4:$AE$8,2,FALSE)=0,"Enrcoachment Data Missing ⚠",VLOOKUP(X91,'G-7 Rivers Data'!$AD$4:$AE$8,2,FALSE)))</f>
        <v/>
      </c>
      <c r="Z91" s="154"/>
      <c r="AA91" s="524" t="str">
        <f>IF(Z91="","",VLOOKUP(Z91,'G-7 Rivers Data'!$AO$4:$AP$7,2,FALSE))</f>
        <v/>
      </c>
      <c r="AB91" s="545" t="str">
        <f t="shared" si="12"/>
        <v/>
      </c>
      <c r="AC91" s="149"/>
      <c r="AD91" s="150"/>
      <c r="AK91" s="31" t="str">
        <f>IFERROR(INDEX('G-7 Rivers Data'!$AZ$3:$AZ$7,MATCH(C91,'G-7 Rivers Data'!$AY$3:$AY$7,0)),"")</f>
        <v/>
      </c>
    </row>
    <row r="92" spans="2:37" ht="13.8" x14ac:dyDescent="0.25">
      <c r="B92" s="141">
        <v>81</v>
      </c>
      <c r="C92" s="666"/>
      <c r="D92" s="172"/>
      <c r="E92" s="498" t="str">
        <f>IF(C92="","",VLOOKUP(C92,'G-7 Rivers Data'!$B$2:$Z$9,2,FALSE))</f>
        <v/>
      </c>
      <c r="F92" s="499" t="str">
        <f>IFERROR(VLOOKUP(E92,'G-7 Rivers Data'!$C$4:$D$8,2,FALSE),"")</f>
        <v/>
      </c>
      <c r="G92" s="145"/>
      <c r="H92" s="499" t="str">
        <f>IFERROR(INDEX('G-7 Rivers Data'!$H$4:$L$8,MATCH(C92,'G-7 Rivers Data'!$B$4:$B$8,0),MATCH(G92,'G-7 Rivers Data'!$H$3:$L$3,0)),"")</f>
        <v/>
      </c>
      <c r="I92" s="145"/>
      <c r="J92" s="540" t="str">
        <f>IF(I92="","",IF(VLOOKUP(I92,'G-7 Rivers Data'!$AG$4:$AI$9,2,FALSE)=0,"Spatial Data Missing ⚠",VLOOKUP(I92,'G-7 Rivers Data'!$AG$4:$AI$9,2,FALSE)))</f>
        <v/>
      </c>
      <c r="K92" s="499" t="str">
        <f>IF(I92="","",IF(VLOOKUP(I92,'G-7 Rivers Data'!$AG$4:$AI$9,3,FALSE)=0,"Spatial Data Missing ⚠",VLOOKUP(I92,'G-7 Rivers Data'!$AG$4:$AI$9,3,FALSE)))</f>
        <v/>
      </c>
      <c r="L92" s="635" t="str">
        <f>IFERROR(INDEX('G-7 Rivers Data'!$O$3:$O$7,MATCH(G92,'G-7 Rivers Data'!$N$3:$N$7,0)),"")</f>
        <v/>
      </c>
      <c r="M92" s="72"/>
      <c r="N92" s="195"/>
      <c r="O92" s="507" t="str">
        <f t="shared" si="7"/>
        <v/>
      </c>
      <c r="P92" s="521" t="str">
        <f t="shared" si="8"/>
        <v/>
      </c>
      <c r="Q92" s="564" t="str">
        <f>IFERROR(IF(P92="Check Data ⚠","Check Data ⚠",VLOOKUP(P92,'G-4 Temporal multipliers'!$A$4:$C$37,3,FALSE)),"")</f>
        <v/>
      </c>
      <c r="R92" s="498" t="str">
        <f>IF(C92="","",VLOOKUP(C92,'G-7 Rivers Data'!$B$4:$G$8,4,FALSE))</f>
        <v/>
      </c>
      <c r="S92" s="507" t="str">
        <f t="shared" si="9"/>
        <v/>
      </c>
      <c r="T92" s="540" t="str">
        <f t="shared" si="10"/>
        <v/>
      </c>
      <c r="U92" s="499" t="str">
        <f t="shared" si="11"/>
        <v/>
      </c>
      <c r="V92" s="71"/>
      <c r="W92" s="499" t="str">
        <f>IF(V92="","",IF(VLOOKUP(V92,'G-7 Rivers Data'!$AA$4:$AB$7,2,FALSE)=0,"Spatial Data Missing ⚠",VLOOKUP(V92,'G-7 Rivers Data'!$AA$4:$AB$7,2,FALSE)))</f>
        <v/>
      </c>
      <c r="X92" s="155"/>
      <c r="Y92" s="499" t="str">
        <f>IF(X92="","",IF(VLOOKUP(X92,'G-7 Rivers Data'!$AD$4:$AE$8,2,FALSE)=0,"Enrcoachment Data Missing ⚠",VLOOKUP(X92,'G-7 Rivers Data'!$AD$4:$AE$8,2,FALSE)))</f>
        <v/>
      </c>
      <c r="Z92" s="154"/>
      <c r="AA92" s="524" t="str">
        <f>IF(Z92="","",VLOOKUP(Z92,'G-7 Rivers Data'!$AO$4:$AP$7,2,FALSE))</f>
        <v/>
      </c>
      <c r="AB92" s="545" t="str">
        <f t="shared" si="12"/>
        <v/>
      </c>
      <c r="AC92" s="149"/>
      <c r="AD92" s="150"/>
      <c r="AK92" s="31" t="str">
        <f>IFERROR(INDEX('G-7 Rivers Data'!$AZ$3:$AZ$7,MATCH(C92,'G-7 Rivers Data'!$AY$3:$AY$7,0)),"")</f>
        <v/>
      </c>
    </row>
    <row r="93" spans="2:37" ht="13.8" x14ac:dyDescent="0.25">
      <c r="B93" s="141">
        <v>82</v>
      </c>
      <c r="C93" s="666"/>
      <c r="D93" s="172"/>
      <c r="E93" s="498" t="str">
        <f>IF(C93="","",VLOOKUP(C93,'G-7 Rivers Data'!$B$2:$Z$9,2,FALSE))</f>
        <v/>
      </c>
      <c r="F93" s="499" t="str">
        <f>IFERROR(VLOOKUP(E93,'G-7 Rivers Data'!$C$4:$D$8,2,FALSE),"")</f>
        <v/>
      </c>
      <c r="G93" s="145"/>
      <c r="H93" s="499" t="str">
        <f>IFERROR(INDEX('G-7 Rivers Data'!$H$4:$L$8,MATCH(C93,'G-7 Rivers Data'!$B$4:$B$8,0),MATCH(G93,'G-7 Rivers Data'!$H$3:$L$3,0)),"")</f>
        <v/>
      </c>
      <c r="I93" s="145"/>
      <c r="J93" s="540" t="str">
        <f>IF(I93="","",IF(VLOOKUP(I93,'G-7 Rivers Data'!$AG$4:$AI$9,2,FALSE)=0,"Spatial Data Missing ⚠",VLOOKUP(I93,'G-7 Rivers Data'!$AG$4:$AI$9,2,FALSE)))</f>
        <v/>
      </c>
      <c r="K93" s="499" t="str">
        <f>IF(I93="","",IF(VLOOKUP(I93,'G-7 Rivers Data'!$AG$4:$AI$9,3,FALSE)=0,"Spatial Data Missing ⚠",VLOOKUP(I93,'G-7 Rivers Data'!$AG$4:$AI$9,3,FALSE)))</f>
        <v/>
      </c>
      <c r="L93" s="635" t="str">
        <f>IFERROR(INDEX('G-7 Rivers Data'!$O$3:$O$7,MATCH(G93,'G-7 Rivers Data'!$N$3:$N$7,0)),"")</f>
        <v/>
      </c>
      <c r="M93" s="72"/>
      <c r="N93" s="195"/>
      <c r="O93" s="507" t="str">
        <f t="shared" si="7"/>
        <v/>
      </c>
      <c r="P93" s="521" t="str">
        <f t="shared" si="8"/>
        <v/>
      </c>
      <c r="Q93" s="564" t="str">
        <f>IFERROR(IF(P93="Check Data ⚠","Check Data ⚠",VLOOKUP(P93,'G-4 Temporal multipliers'!$A$4:$C$37,3,FALSE)),"")</f>
        <v/>
      </c>
      <c r="R93" s="498" t="str">
        <f>IF(C93="","",VLOOKUP(C93,'G-7 Rivers Data'!$B$4:$G$8,4,FALSE))</f>
        <v/>
      </c>
      <c r="S93" s="507" t="str">
        <f t="shared" si="9"/>
        <v/>
      </c>
      <c r="T93" s="540" t="str">
        <f t="shared" si="10"/>
        <v/>
      </c>
      <c r="U93" s="499" t="str">
        <f t="shared" si="11"/>
        <v/>
      </c>
      <c r="V93" s="71"/>
      <c r="W93" s="499" t="str">
        <f>IF(V93="","",IF(VLOOKUP(V93,'G-7 Rivers Data'!$AA$4:$AB$7,2,FALSE)=0,"Spatial Data Missing ⚠",VLOOKUP(V93,'G-7 Rivers Data'!$AA$4:$AB$7,2,FALSE)))</f>
        <v/>
      </c>
      <c r="X93" s="155"/>
      <c r="Y93" s="499" t="str">
        <f>IF(X93="","",IF(VLOOKUP(X93,'G-7 Rivers Data'!$AD$4:$AE$8,2,FALSE)=0,"Enrcoachment Data Missing ⚠",VLOOKUP(X93,'G-7 Rivers Data'!$AD$4:$AE$8,2,FALSE)))</f>
        <v/>
      </c>
      <c r="Z93" s="154"/>
      <c r="AA93" s="524" t="str">
        <f>IF(Z93="","",VLOOKUP(Z93,'G-7 Rivers Data'!$AO$4:$AP$7,2,FALSE))</f>
        <v/>
      </c>
      <c r="AB93" s="545" t="str">
        <f t="shared" si="12"/>
        <v/>
      </c>
      <c r="AC93" s="149"/>
      <c r="AD93" s="150"/>
      <c r="AK93" s="31" t="str">
        <f>IFERROR(INDEX('G-7 Rivers Data'!$AZ$3:$AZ$7,MATCH(C93,'G-7 Rivers Data'!$AY$3:$AY$7,0)),"")</f>
        <v/>
      </c>
    </row>
    <row r="94" spans="2:37" ht="13.8" x14ac:dyDescent="0.25">
      <c r="B94" s="141">
        <v>83</v>
      </c>
      <c r="C94" s="666"/>
      <c r="D94" s="172"/>
      <c r="E94" s="498" t="str">
        <f>IF(C94="","",VLOOKUP(C94,'G-7 Rivers Data'!$B$2:$Z$9,2,FALSE))</f>
        <v/>
      </c>
      <c r="F94" s="499" t="str">
        <f>IFERROR(VLOOKUP(E94,'G-7 Rivers Data'!$C$4:$D$8,2,FALSE),"")</f>
        <v/>
      </c>
      <c r="G94" s="145"/>
      <c r="H94" s="499" t="str">
        <f>IFERROR(INDEX('G-7 Rivers Data'!$H$4:$L$8,MATCH(C94,'G-7 Rivers Data'!$B$4:$B$8,0),MATCH(G94,'G-7 Rivers Data'!$H$3:$L$3,0)),"")</f>
        <v/>
      </c>
      <c r="I94" s="145"/>
      <c r="J94" s="540" t="str">
        <f>IF(I94="","",IF(VLOOKUP(I94,'G-7 Rivers Data'!$AG$4:$AI$9,2,FALSE)=0,"Spatial Data Missing ⚠",VLOOKUP(I94,'G-7 Rivers Data'!$AG$4:$AI$9,2,FALSE)))</f>
        <v/>
      </c>
      <c r="K94" s="499" t="str">
        <f>IF(I94="","",IF(VLOOKUP(I94,'G-7 Rivers Data'!$AG$4:$AI$9,3,FALSE)=0,"Spatial Data Missing ⚠",VLOOKUP(I94,'G-7 Rivers Data'!$AG$4:$AI$9,3,FALSE)))</f>
        <v/>
      </c>
      <c r="L94" s="635" t="str">
        <f>IFERROR(INDEX('G-7 Rivers Data'!$O$3:$O$7,MATCH(G94,'G-7 Rivers Data'!$N$3:$N$7,0)),"")</f>
        <v/>
      </c>
      <c r="M94" s="72"/>
      <c r="N94" s="195"/>
      <c r="O94" s="507" t="str">
        <f t="shared" si="7"/>
        <v/>
      </c>
      <c r="P94" s="521" t="str">
        <f t="shared" si="8"/>
        <v/>
      </c>
      <c r="Q94" s="564" t="str">
        <f>IFERROR(IF(P94="Check Data ⚠","Check Data ⚠",VLOOKUP(P94,'G-4 Temporal multipliers'!$A$4:$C$37,3,FALSE)),"")</f>
        <v/>
      </c>
      <c r="R94" s="498" t="str">
        <f>IF(C94="","",VLOOKUP(C94,'G-7 Rivers Data'!$B$4:$G$8,4,FALSE))</f>
        <v/>
      </c>
      <c r="S94" s="507" t="str">
        <f t="shared" si="9"/>
        <v/>
      </c>
      <c r="T94" s="540" t="str">
        <f t="shared" si="10"/>
        <v/>
      </c>
      <c r="U94" s="499" t="str">
        <f t="shared" si="11"/>
        <v/>
      </c>
      <c r="V94" s="71"/>
      <c r="W94" s="499" t="str">
        <f>IF(V94="","",IF(VLOOKUP(V94,'G-7 Rivers Data'!$AA$4:$AB$7,2,FALSE)=0,"Spatial Data Missing ⚠",VLOOKUP(V94,'G-7 Rivers Data'!$AA$4:$AB$7,2,FALSE)))</f>
        <v/>
      </c>
      <c r="X94" s="155"/>
      <c r="Y94" s="499" t="str">
        <f>IF(X94="","",IF(VLOOKUP(X94,'G-7 Rivers Data'!$AD$4:$AE$8,2,FALSE)=0,"Enrcoachment Data Missing ⚠",VLOOKUP(X94,'G-7 Rivers Data'!$AD$4:$AE$8,2,FALSE)))</f>
        <v/>
      </c>
      <c r="Z94" s="154"/>
      <c r="AA94" s="524" t="str">
        <f>IF(Z94="","",VLOOKUP(Z94,'G-7 Rivers Data'!$AO$4:$AP$7,2,FALSE))</f>
        <v/>
      </c>
      <c r="AB94" s="545" t="str">
        <f t="shared" si="12"/>
        <v/>
      </c>
      <c r="AC94" s="149"/>
      <c r="AD94" s="150"/>
      <c r="AK94" s="31" t="str">
        <f>IFERROR(INDEX('G-7 Rivers Data'!$AZ$3:$AZ$7,MATCH(C94,'G-7 Rivers Data'!$AY$3:$AY$7,0)),"")</f>
        <v/>
      </c>
    </row>
    <row r="95" spans="2:37" ht="13.8" x14ac:dyDescent="0.25">
      <c r="B95" s="141">
        <v>84</v>
      </c>
      <c r="C95" s="666"/>
      <c r="D95" s="172"/>
      <c r="E95" s="498" t="str">
        <f>IF(C95="","",VLOOKUP(C95,'G-7 Rivers Data'!$B$2:$Z$9,2,FALSE))</f>
        <v/>
      </c>
      <c r="F95" s="499" t="str">
        <f>IFERROR(VLOOKUP(E95,'G-7 Rivers Data'!$C$4:$D$8,2,FALSE),"")</f>
        <v/>
      </c>
      <c r="G95" s="145"/>
      <c r="H95" s="499" t="str">
        <f>IFERROR(INDEX('G-7 Rivers Data'!$H$4:$L$8,MATCH(C95,'G-7 Rivers Data'!$B$4:$B$8,0),MATCH(G95,'G-7 Rivers Data'!$H$3:$L$3,0)),"")</f>
        <v/>
      </c>
      <c r="I95" s="145"/>
      <c r="J95" s="540" t="str">
        <f>IF(I95="","",IF(VLOOKUP(I95,'G-7 Rivers Data'!$AG$4:$AI$9,2,FALSE)=0,"Spatial Data Missing ⚠",VLOOKUP(I95,'G-7 Rivers Data'!$AG$4:$AI$9,2,FALSE)))</f>
        <v/>
      </c>
      <c r="K95" s="499" t="str">
        <f>IF(I95="","",IF(VLOOKUP(I95,'G-7 Rivers Data'!$AG$4:$AI$9,3,FALSE)=0,"Spatial Data Missing ⚠",VLOOKUP(I95,'G-7 Rivers Data'!$AG$4:$AI$9,3,FALSE)))</f>
        <v/>
      </c>
      <c r="L95" s="635" t="str">
        <f>IFERROR(INDEX('G-7 Rivers Data'!$O$3:$O$7,MATCH(G95,'G-7 Rivers Data'!$N$3:$N$7,0)),"")</f>
        <v/>
      </c>
      <c r="M95" s="72"/>
      <c r="N95" s="195"/>
      <c r="O95" s="507" t="str">
        <f t="shared" si="7"/>
        <v/>
      </c>
      <c r="P95" s="521" t="str">
        <f t="shared" si="8"/>
        <v/>
      </c>
      <c r="Q95" s="564" t="str">
        <f>IFERROR(IF(P95="Check Data ⚠","Check Data ⚠",VLOOKUP(P95,'G-4 Temporal multipliers'!$A$4:$C$37,3,FALSE)),"")</f>
        <v/>
      </c>
      <c r="R95" s="498" t="str">
        <f>IF(C95="","",VLOOKUP(C95,'G-7 Rivers Data'!$B$4:$G$8,4,FALSE))</f>
        <v/>
      </c>
      <c r="S95" s="507" t="str">
        <f t="shared" si="9"/>
        <v/>
      </c>
      <c r="T95" s="540" t="str">
        <f t="shared" si="10"/>
        <v/>
      </c>
      <c r="U95" s="499" t="str">
        <f t="shared" si="11"/>
        <v/>
      </c>
      <c r="V95" s="71"/>
      <c r="W95" s="499" t="str">
        <f>IF(V95="","",IF(VLOOKUP(V95,'G-7 Rivers Data'!$AA$4:$AB$7,2,FALSE)=0,"Spatial Data Missing ⚠",VLOOKUP(V95,'G-7 Rivers Data'!$AA$4:$AB$7,2,FALSE)))</f>
        <v/>
      </c>
      <c r="X95" s="155"/>
      <c r="Y95" s="499" t="str">
        <f>IF(X95="","",IF(VLOOKUP(X95,'G-7 Rivers Data'!$AD$4:$AE$8,2,FALSE)=0,"Enrcoachment Data Missing ⚠",VLOOKUP(X95,'G-7 Rivers Data'!$AD$4:$AE$8,2,FALSE)))</f>
        <v/>
      </c>
      <c r="Z95" s="154"/>
      <c r="AA95" s="524" t="str">
        <f>IF(Z95="","",VLOOKUP(Z95,'G-7 Rivers Data'!$AO$4:$AP$7,2,FALSE))</f>
        <v/>
      </c>
      <c r="AB95" s="545" t="str">
        <f t="shared" si="12"/>
        <v/>
      </c>
      <c r="AC95" s="149"/>
      <c r="AD95" s="150"/>
      <c r="AK95" s="31" t="str">
        <f>IFERROR(INDEX('G-7 Rivers Data'!$AZ$3:$AZ$7,MATCH(C95,'G-7 Rivers Data'!$AY$3:$AY$7,0)),"")</f>
        <v/>
      </c>
    </row>
    <row r="96" spans="2:37" ht="13.8" x14ac:dyDescent="0.25">
      <c r="B96" s="141">
        <v>85</v>
      </c>
      <c r="C96" s="666"/>
      <c r="D96" s="172"/>
      <c r="E96" s="498" t="str">
        <f>IF(C96="","",VLOOKUP(C96,'G-7 Rivers Data'!$B$2:$Z$9,2,FALSE))</f>
        <v/>
      </c>
      <c r="F96" s="499" t="str">
        <f>IFERROR(VLOOKUP(E96,'G-7 Rivers Data'!$C$4:$D$8,2,FALSE),"")</f>
        <v/>
      </c>
      <c r="G96" s="145"/>
      <c r="H96" s="499" t="str">
        <f>IFERROR(INDEX('G-7 Rivers Data'!$H$4:$L$8,MATCH(C96,'G-7 Rivers Data'!$B$4:$B$8,0),MATCH(G96,'G-7 Rivers Data'!$H$3:$L$3,0)),"")</f>
        <v/>
      </c>
      <c r="I96" s="145"/>
      <c r="J96" s="540" t="str">
        <f>IF(I96="","",IF(VLOOKUP(I96,'G-7 Rivers Data'!$AG$4:$AI$9,2,FALSE)=0,"Spatial Data Missing ⚠",VLOOKUP(I96,'G-7 Rivers Data'!$AG$4:$AI$9,2,FALSE)))</f>
        <v/>
      </c>
      <c r="K96" s="499" t="str">
        <f>IF(I96="","",IF(VLOOKUP(I96,'G-7 Rivers Data'!$AG$4:$AI$9,3,FALSE)=0,"Spatial Data Missing ⚠",VLOOKUP(I96,'G-7 Rivers Data'!$AG$4:$AI$9,3,FALSE)))</f>
        <v/>
      </c>
      <c r="L96" s="635" t="str">
        <f>IFERROR(INDEX('G-7 Rivers Data'!$O$3:$O$7,MATCH(G96,'G-7 Rivers Data'!$N$3:$N$7,0)),"")</f>
        <v/>
      </c>
      <c r="M96" s="72"/>
      <c r="N96" s="195"/>
      <c r="O96" s="507" t="str">
        <f t="shared" si="7"/>
        <v/>
      </c>
      <c r="P96" s="521" t="str">
        <f t="shared" si="8"/>
        <v/>
      </c>
      <c r="Q96" s="564" t="str">
        <f>IFERROR(IF(P96="Check Data ⚠","Check Data ⚠",VLOOKUP(P96,'G-4 Temporal multipliers'!$A$4:$C$37,3,FALSE)),"")</f>
        <v/>
      </c>
      <c r="R96" s="498" t="str">
        <f>IF(C96="","",VLOOKUP(C96,'G-7 Rivers Data'!$B$4:$G$8,4,FALSE))</f>
        <v/>
      </c>
      <c r="S96" s="507" t="str">
        <f t="shared" si="9"/>
        <v/>
      </c>
      <c r="T96" s="540" t="str">
        <f t="shared" si="10"/>
        <v/>
      </c>
      <c r="U96" s="499" t="str">
        <f t="shared" si="11"/>
        <v/>
      </c>
      <c r="V96" s="71"/>
      <c r="W96" s="499" t="str">
        <f>IF(V96="","",IF(VLOOKUP(V96,'G-7 Rivers Data'!$AA$4:$AB$7,2,FALSE)=0,"Spatial Data Missing ⚠",VLOOKUP(V96,'G-7 Rivers Data'!$AA$4:$AB$7,2,FALSE)))</f>
        <v/>
      </c>
      <c r="X96" s="155"/>
      <c r="Y96" s="499" t="str">
        <f>IF(X96="","",IF(VLOOKUP(X96,'G-7 Rivers Data'!$AD$4:$AE$8,2,FALSE)=0,"Enrcoachment Data Missing ⚠",VLOOKUP(X96,'G-7 Rivers Data'!$AD$4:$AE$8,2,FALSE)))</f>
        <v/>
      </c>
      <c r="Z96" s="154"/>
      <c r="AA96" s="524" t="str">
        <f>IF(Z96="","",VLOOKUP(Z96,'G-7 Rivers Data'!$AO$4:$AP$7,2,FALSE))</f>
        <v/>
      </c>
      <c r="AB96" s="545" t="str">
        <f t="shared" si="12"/>
        <v/>
      </c>
      <c r="AC96" s="149"/>
      <c r="AD96" s="150"/>
      <c r="AK96" s="31" t="str">
        <f>IFERROR(INDEX('G-7 Rivers Data'!$AZ$3:$AZ$7,MATCH(C96,'G-7 Rivers Data'!$AY$3:$AY$7,0)),"")</f>
        <v/>
      </c>
    </row>
    <row r="97" spans="2:37" ht="13.8" x14ac:dyDescent="0.25">
      <c r="B97" s="141">
        <v>86</v>
      </c>
      <c r="C97" s="666"/>
      <c r="D97" s="172"/>
      <c r="E97" s="498" t="str">
        <f>IF(C97="","",VLOOKUP(C97,'G-7 Rivers Data'!$B$2:$Z$9,2,FALSE))</f>
        <v/>
      </c>
      <c r="F97" s="499" t="str">
        <f>IFERROR(VLOOKUP(E97,'G-7 Rivers Data'!$C$4:$D$8,2,FALSE),"")</f>
        <v/>
      </c>
      <c r="G97" s="145"/>
      <c r="H97" s="499" t="str">
        <f>IFERROR(INDEX('G-7 Rivers Data'!$H$4:$L$8,MATCH(C97,'G-7 Rivers Data'!$B$4:$B$8,0),MATCH(G97,'G-7 Rivers Data'!$H$3:$L$3,0)),"")</f>
        <v/>
      </c>
      <c r="I97" s="145"/>
      <c r="J97" s="540" t="str">
        <f>IF(I97="","",IF(VLOOKUP(I97,'G-7 Rivers Data'!$AG$4:$AI$9,2,FALSE)=0,"Spatial Data Missing ⚠",VLOOKUP(I97,'G-7 Rivers Data'!$AG$4:$AI$9,2,FALSE)))</f>
        <v/>
      </c>
      <c r="K97" s="499" t="str">
        <f>IF(I97="","",IF(VLOOKUP(I97,'G-7 Rivers Data'!$AG$4:$AI$9,3,FALSE)=0,"Spatial Data Missing ⚠",VLOOKUP(I97,'G-7 Rivers Data'!$AG$4:$AI$9,3,FALSE)))</f>
        <v/>
      </c>
      <c r="L97" s="635" t="str">
        <f>IFERROR(INDEX('G-7 Rivers Data'!$O$3:$O$7,MATCH(G97,'G-7 Rivers Data'!$N$3:$N$7,0)),"")</f>
        <v/>
      </c>
      <c r="M97" s="72"/>
      <c r="N97" s="195"/>
      <c r="O97" s="507" t="str">
        <f t="shared" si="7"/>
        <v/>
      </c>
      <c r="P97" s="521" t="str">
        <f t="shared" si="8"/>
        <v/>
      </c>
      <c r="Q97" s="564" t="str">
        <f>IFERROR(IF(P97="Check Data ⚠","Check Data ⚠",VLOOKUP(P97,'G-4 Temporal multipliers'!$A$4:$C$37,3,FALSE)),"")</f>
        <v/>
      </c>
      <c r="R97" s="498" t="str">
        <f>IF(C97="","",VLOOKUP(C97,'G-7 Rivers Data'!$B$4:$G$8,4,FALSE))</f>
        <v/>
      </c>
      <c r="S97" s="507" t="str">
        <f t="shared" si="9"/>
        <v/>
      </c>
      <c r="T97" s="540" t="str">
        <f t="shared" si="10"/>
        <v/>
      </c>
      <c r="U97" s="499" t="str">
        <f t="shared" si="11"/>
        <v/>
      </c>
      <c r="V97" s="71"/>
      <c r="W97" s="499" t="str">
        <f>IF(V97="","",IF(VLOOKUP(V97,'G-7 Rivers Data'!$AA$4:$AB$7,2,FALSE)=0,"Spatial Data Missing ⚠",VLOOKUP(V97,'G-7 Rivers Data'!$AA$4:$AB$7,2,FALSE)))</f>
        <v/>
      </c>
      <c r="X97" s="155"/>
      <c r="Y97" s="499" t="str">
        <f>IF(X97="","",IF(VLOOKUP(X97,'G-7 Rivers Data'!$AD$4:$AE$8,2,FALSE)=0,"Enrcoachment Data Missing ⚠",VLOOKUP(X97,'G-7 Rivers Data'!$AD$4:$AE$8,2,FALSE)))</f>
        <v/>
      </c>
      <c r="Z97" s="154"/>
      <c r="AA97" s="524" t="str">
        <f>IF(Z97="","",VLOOKUP(Z97,'G-7 Rivers Data'!$AO$4:$AP$7,2,FALSE))</f>
        <v/>
      </c>
      <c r="AB97" s="545" t="str">
        <f t="shared" si="12"/>
        <v/>
      </c>
      <c r="AC97" s="149"/>
      <c r="AD97" s="150"/>
      <c r="AK97" s="31" t="str">
        <f>IFERROR(INDEX('G-7 Rivers Data'!$AZ$3:$AZ$7,MATCH(C97,'G-7 Rivers Data'!$AY$3:$AY$7,0)),"")</f>
        <v/>
      </c>
    </row>
    <row r="98" spans="2:37" ht="13.8" x14ac:dyDescent="0.25">
      <c r="B98" s="141">
        <v>87</v>
      </c>
      <c r="C98" s="666"/>
      <c r="D98" s="172"/>
      <c r="E98" s="498" t="str">
        <f>IF(C98="","",VLOOKUP(C98,'G-7 Rivers Data'!$B$2:$Z$9,2,FALSE))</f>
        <v/>
      </c>
      <c r="F98" s="499" t="str">
        <f>IFERROR(VLOOKUP(E98,'G-7 Rivers Data'!$C$4:$D$8,2,FALSE),"")</f>
        <v/>
      </c>
      <c r="G98" s="145"/>
      <c r="H98" s="499" t="str">
        <f>IFERROR(INDEX('G-7 Rivers Data'!$H$4:$L$8,MATCH(C98,'G-7 Rivers Data'!$B$4:$B$8,0),MATCH(G98,'G-7 Rivers Data'!$H$3:$L$3,0)),"")</f>
        <v/>
      </c>
      <c r="I98" s="145"/>
      <c r="J98" s="540" t="str">
        <f>IF(I98="","",IF(VLOOKUP(I98,'G-7 Rivers Data'!$AG$4:$AI$9,2,FALSE)=0,"Spatial Data Missing ⚠",VLOOKUP(I98,'G-7 Rivers Data'!$AG$4:$AI$9,2,FALSE)))</f>
        <v/>
      </c>
      <c r="K98" s="499" t="str">
        <f>IF(I98="","",IF(VLOOKUP(I98,'G-7 Rivers Data'!$AG$4:$AI$9,3,FALSE)=0,"Spatial Data Missing ⚠",VLOOKUP(I98,'G-7 Rivers Data'!$AG$4:$AI$9,3,FALSE)))</f>
        <v/>
      </c>
      <c r="L98" s="635" t="str">
        <f>IFERROR(INDEX('G-7 Rivers Data'!$O$3:$O$7,MATCH(G98,'G-7 Rivers Data'!$N$3:$N$7,0)),"")</f>
        <v/>
      </c>
      <c r="M98" s="72"/>
      <c r="N98" s="195"/>
      <c r="O98" s="507" t="str">
        <f t="shared" si="7"/>
        <v/>
      </c>
      <c r="P98" s="521" t="str">
        <f t="shared" si="8"/>
        <v/>
      </c>
      <c r="Q98" s="564" t="str">
        <f>IFERROR(IF(P98="Check Data ⚠","Check Data ⚠",VLOOKUP(P98,'G-4 Temporal multipliers'!$A$4:$C$37,3,FALSE)),"")</f>
        <v/>
      </c>
      <c r="R98" s="498" t="str">
        <f>IF(C98="","",VLOOKUP(C98,'G-7 Rivers Data'!$B$4:$G$8,4,FALSE))</f>
        <v/>
      </c>
      <c r="S98" s="507" t="str">
        <f t="shared" si="9"/>
        <v/>
      </c>
      <c r="T98" s="540" t="str">
        <f t="shared" si="10"/>
        <v/>
      </c>
      <c r="U98" s="499" t="str">
        <f t="shared" si="11"/>
        <v/>
      </c>
      <c r="V98" s="71"/>
      <c r="W98" s="499" t="str">
        <f>IF(V98="","",IF(VLOOKUP(V98,'G-7 Rivers Data'!$AA$4:$AB$7,2,FALSE)=0,"Spatial Data Missing ⚠",VLOOKUP(V98,'G-7 Rivers Data'!$AA$4:$AB$7,2,FALSE)))</f>
        <v/>
      </c>
      <c r="X98" s="155"/>
      <c r="Y98" s="499" t="str">
        <f>IF(X98="","",IF(VLOOKUP(X98,'G-7 Rivers Data'!$AD$4:$AE$8,2,FALSE)=0,"Enrcoachment Data Missing ⚠",VLOOKUP(X98,'G-7 Rivers Data'!$AD$4:$AE$8,2,FALSE)))</f>
        <v/>
      </c>
      <c r="Z98" s="154"/>
      <c r="AA98" s="524" t="str">
        <f>IF(Z98="","",VLOOKUP(Z98,'G-7 Rivers Data'!$AO$4:$AP$7,2,FALSE))</f>
        <v/>
      </c>
      <c r="AB98" s="545" t="str">
        <f t="shared" si="12"/>
        <v/>
      </c>
      <c r="AC98" s="149"/>
      <c r="AD98" s="150"/>
      <c r="AK98" s="31" t="str">
        <f>IFERROR(INDEX('G-7 Rivers Data'!$AZ$3:$AZ$7,MATCH(C98,'G-7 Rivers Data'!$AY$3:$AY$7,0)),"")</f>
        <v/>
      </c>
    </row>
    <row r="99" spans="2:37" ht="13.8" x14ac:dyDescent="0.25">
      <c r="B99" s="141">
        <v>88</v>
      </c>
      <c r="C99" s="666"/>
      <c r="D99" s="172"/>
      <c r="E99" s="498" t="str">
        <f>IF(C99="","",VLOOKUP(C99,'G-7 Rivers Data'!$B$2:$Z$9,2,FALSE))</f>
        <v/>
      </c>
      <c r="F99" s="499" t="str">
        <f>IFERROR(VLOOKUP(E99,'G-7 Rivers Data'!$C$4:$D$8,2,FALSE),"")</f>
        <v/>
      </c>
      <c r="G99" s="145"/>
      <c r="H99" s="499" t="str">
        <f>IFERROR(INDEX('G-7 Rivers Data'!$H$4:$L$8,MATCH(C99,'G-7 Rivers Data'!$B$4:$B$8,0),MATCH(G99,'G-7 Rivers Data'!$H$3:$L$3,0)),"")</f>
        <v/>
      </c>
      <c r="I99" s="145"/>
      <c r="J99" s="540" t="str">
        <f>IF(I99="","",IF(VLOOKUP(I99,'G-7 Rivers Data'!$AG$4:$AI$9,2,FALSE)=0,"Spatial Data Missing ⚠",VLOOKUP(I99,'G-7 Rivers Data'!$AG$4:$AI$9,2,FALSE)))</f>
        <v/>
      </c>
      <c r="K99" s="499" t="str">
        <f>IF(I99="","",IF(VLOOKUP(I99,'G-7 Rivers Data'!$AG$4:$AI$9,3,FALSE)=0,"Spatial Data Missing ⚠",VLOOKUP(I99,'G-7 Rivers Data'!$AG$4:$AI$9,3,FALSE)))</f>
        <v/>
      </c>
      <c r="L99" s="635" t="str">
        <f>IFERROR(INDEX('G-7 Rivers Data'!$O$3:$O$7,MATCH(G99,'G-7 Rivers Data'!$N$3:$N$7,0)),"")</f>
        <v/>
      </c>
      <c r="M99" s="72"/>
      <c r="N99" s="195"/>
      <c r="O99" s="507" t="str">
        <f t="shared" si="7"/>
        <v/>
      </c>
      <c r="P99" s="521" t="str">
        <f t="shared" si="8"/>
        <v/>
      </c>
      <c r="Q99" s="564" t="str">
        <f>IFERROR(IF(P99="Check Data ⚠","Check Data ⚠",VLOOKUP(P99,'G-4 Temporal multipliers'!$A$4:$C$37,3,FALSE)),"")</f>
        <v/>
      </c>
      <c r="R99" s="498" t="str">
        <f>IF(C99="","",VLOOKUP(C99,'G-7 Rivers Data'!$B$4:$G$8,4,FALSE))</f>
        <v/>
      </c>
      <c r="S99" s="507" t="str">
        <f t="shared" si="9"/>
        <v/>
      </c>
      <c r="T99" s="540" t="str">
        <f t="shared" si="10"/>
        <v/>
      </c>
      <c r="U99" s="499" t="str">
        <f t="shared" si="11"/>
        <v/>
      </c>
      <c r="V99" s="71"/>
      <c r="W99" s="499" t="str">
        <f>IF(V99="","",IF(VLOOKUP(V99,'G-7 Rivers Data'!$AA$4:$AB$7,2,FALSE)=0,"Spatial Data Missing ⚠",VLOOKUP(V99,'G-7 Rivers Data'!$AA$4:$AB$7,2,FALSE)))</f>
        <v/>
      </c>
      <c r="X99" s="155"/>
      <c r="Y99" s="499" t="str">
        <f>IF(X99="","",IF(VLOOKUP(X99,'G-7 Rivers Data'!$AD$4:$AE$8,2,FALSE)=0,"Enrcoachment Data Missing ⚠",VLOOKUP(X99,'G-7 Rivers Data'!$AD$4:$AE$8,2,FALSE)))</f>
        <v/>
      </c>
      <c r="Z99" s="154"/>
      <c r="AA99" s="524" t="str">
        <f>IF(Z99="","",VLOOKUP(Z99,'G-7 Rivers Data'!$AO$4:$AP$7,2,FALSE))</f>
        <v/>
      </c>
      <c r="AB99" s="545" t="str">
        <f t="shared" si="12"/>
        <v/>
      </c>
      <c r="AC99" s="149"/>
      <c r="AD99" s="150"/>
      <c r="AK99" s="31" t="str">
        <f>IFERROR(INDEX('G-7 Rivers Data'!$AZ$3:$AZ$7,MATCH(C99,'G-7 Rivers Data'!$AY$3:$AY$7,0)),"")</f>
        <v/>
      </c>
    </row>
    <row r="100" spans="2:37" ht="13.8" x14ac:dyDescent="0.25">
      <c r="B100" s="141">
        <v>89</v>
      </c>
      <c r="C100" s="666"/>
      <c r="D100" s="172"/>
      <c r="E100" s="498" t="str">
        <f>IF(C100="","",VLOOKUP(C100,'G-7 Rivers Data'!$B$2:$Z$9,2,FALSE))</f>
        <v/>
      </c>
      <c r="F100" s="499" t="str">
        <f>IFERROR(VLOOKUP(E100,'G-7 Rivers Data'!$C$4:$D$8,2,FALSE),"")</f>
        <v/>
      </c>
      <c r="G100" s="145"/>
      <c r="H100" s="499" t="str">
        <f>IFERROR(INDEX('G-7 Rivers Data'!$H$4:$L$8,MATCH(C100,'G-7 Rivers Data'!$B$4:$B$8,0),MATCH(G100,'G-7 Rivers Data'!$H$3:$L$3,0)),"")</f>
        <v/>
      </c>
      <c r="I100" s="145"/>
      <c r="J100" s="540" t="str">
        <f>IF(I100="","",IF(VLOOKUP(I100,'G-7 Rivers Data'!$AG$4:$AI$9,2,FALSE)=0,"Spatial Data Missing ⚠",VLOOKUP(I100,'G-7 Rivers Data'!$AG$4:$AI$9,2,FALSE)))</f>
        <v/>
      </c>
      <c r="K100" s="499" t="str">
        <f>IF(I100="","",IF(VLOOKUP(I100,'G-7 Rivers Data'!$AG$4:$AI$9,3,FALSE)=0,"Spatial Data Missing ⚠",VLOOKUP(I100,'G-7 Rivers Data'!$AG$4:$AI$9,3,FALSE)))</f>
        <v/>
      </c>
      <c r="L100" s="635" t="str">
        <f>IFERROR(INDEX('G-7 Rivers Data'!$O$3:$O$7,MATCH(G100,'G-7 Rivers Data'!$N$3:$N$7,0)),"")</f>
        <v/>
      </c>
      <c r="M100" s="72"/>
      <c r="N100" s="195"/>
      <c r="O100" s="507" t="str">
        <f t="shared" si="7"/>
        <v/>
      </c>
      <c r="P100" s="521" t="str">
        <f t="shared" si="8"/>
        <v/>
      </c>
      <c r="Q100" s="564" t="str">
        <f>IFERROR(IF(P100="Check Data ⚠","Check Data ⚠",VLOOKUP(P100,'G-4 Temporal multipliers'!$A$4:$C$37,3,FALSE)),"")</f>
        <v/>
      </c>
      <c r="R100" s="498" t="str">
        <f>IF(C100="","",VLOOKUP(C100,'G-7 Rivers Data'!$B$4:$G$8,4,FALSE))</f>
        <v/>
      </c>
      <c r="S100" s="507" t="str">
        <f t="shared" si="9"/>
        <v/>
      </c>
      <c r="T100" s="540" t="str">
        <f t="shared" si="10"/>
        <v/>
      </c>
      <c r="U100" s="499" t="str">
        <f t="shared" si="11"/>
        <v/>
      </c>
      <c r="V100" s="71"/>
      <c r="W100" s="499" t="str">
        <f>IF(V100="","",IF(VLOOKUP(V100,'G-7 Rivers Data'!$AA$4:$AB$7,2,FALSE)=0,"Spatial Data Missing ⚠",VLOOKUP(V100,'G-7 Rivers Data'!$AA$4:$AB$7,2,FALSE)))</f>
        <v/>
      </c>
      <c r="X100" s="155"/>
      <c r="Y100" s="499" t="str">
        <f>IF(X100="","",IF(VLOOKUP(X100,'G-7 Rivers Data'!$AD$4:$AE$8,2,FALSE)=0,"Enrcoachment Data Missing ⚠",VLOOKUP(X100,'G-7 Rivers Data'!$AD$4:$AE$8,2,FALSE)))</f>
        <v/>
      </c>
      <c r="Z100" s="154"/>
      <c r="AA100" s="524" t="str">
        <f>IF(Z100="","",VLOOKUP(Z100,'G-7 Rivers Data'!$AO$4:$AP$7,2,FALSE))</f>
        <v/>
      </c>
      <c r="AB100" s="545" t="str">
        <f t="shared" si="12"/>
        <v/>
      </c>
      <c r="AC100" s="149"/>
      <c r="AD100" s="150"/>
      <c r="AK100" s="31" t="str">
        <f>IFERROR(INDEX('G-7 Rivers Data'!$AZ$3:$AZ$7,MATCH(C100,'G-7 Rivers Data'!$AY$3:$AY$7,0)),"")</f>
        <v/>
      </c>
    </row>
    <row r="101" spans="2:37" ht="13.8" x14ac:dyDescent="0.25">
      <c r="B101" s="141">
        <v>90</v>
      </c>
      <c r="C101" s="666"/>
      <c r="D101" s="172"/>
      <c r="E101" s="498" t="str">
        <f>IF(C101="","",VLOOKUP(C101,'G-7 Rivers Data'!$B$2:$Z$9,2,FALSE))</f>
        <v/>
      </c>
      <c r="F101" s="499" t="str">
        <f>IFERROR(VLOOKUP(E101,'G-7 Rivers Data'!$C$4:$D$8,2,FALSE),"")</f>
        <v/>
      </c>
      <c r="G101" s="145"/>
      <c r="H101" s="499" t="str">
        <f>IFERROR(INDEX('G-7 Rivers Data'!$H$4:$L$8,MATCH(C101,'G-7 Rivers Data'!$B$4:$B$8,0),MATCH(G101,'G-7 Rivers Data'!$H$3:$L$3,0)),"")</f>
        <v/>
      </c>
      <c r="I101" s="145"/>
      <c r="J101" s="540" t="str">
        <f>IF(I101="","",IF(VLOOKUP(I101,'G-7 Rivers Data'!$AG$4:$AI$9,2,FALSE)=0,"Spatial Data Missing ⚠",VLOOKUP(I101,'G-7 Rivers Data'!$AG$4:$AI$9,2,FALSE)))</f>
        <v/>
      </c>
      <c r="K101" s="499" t="str">
        <f>IF(I101="","",IF(VLOOKUP(I101,'G-7 Rivers Data'!$AG$4:$AI$9,3,FALSE)=0,"Spatial Data Missing ⚠",VLOOKUP(I101,'G-7 Rivers Data'!$AG$4:$AI$9,3,FALSE)))</f>
        <v/>
      </c>
      <c r="L101" s="635" t="str">
        <f>IFERROR(INDEX('G-7 Rivers Data'!$O$3:$O$7,MATCH(G101,'G-7 Rivers Data'!$N$3:$N$7,0)),"")</f>
        <v/>
      </c>
      <c r="M101" s="72"/>
      <c r="N101" s="195"/>
      <c r="O101" s="507" t="str">
        <f t="shared" si="7"/>
        <v/>
      </c>
      <c r="P101" s="521" t="str">
        <f t="shared" si="8"/>
        <v/>
      </c>
      <c r="Q101" s="564" t="str">
        <f>IFERROR(IF(P101="Check Data ⚠","Check Data ⚠",VLOOKUP(P101,'G-4 Temporal multipliers'!$A$4:$C$37,3,FALSE)),"")</f>
        <v/>
      </c>
      <c r="R101" s="498" t="str">
        <f>IF(C101="","",VLOOKUP(C101,'G-7 Rivers Data'!$B$4:$G$8,4,FALSE))</f>
        <v/>
      </c>
      <c r="S101" s="507" t="str">
        <f t="shared" si="9"/>
        <v/>
      </c>
      <c r="T101" s="540" t="str">
        <f t="shared" si="10"/>
        <v/>
      </c>
      <c r="U101" s="499" t="str">
        <f t="shared" si="11"/>
        <v/>
      </c>
      <c r="V101" s="71"/>
      <c r="W101" s="499" t="str">
        <f>IF(V101="","",IF(VLOOKUP(V101,'G-7 Rivers Data'!$AA$4:$AB$7,2,FALSE)=0,"Spatial Data Missing ⚠",VLOOKUP(V101,'G-7 Rivers Data'!$AA$4:$AB$7,2,FALSE)))</f>
        <v/>
      </c>
      <c r="X101" s="155"/>
      <c r="Y101" s="499" t="str">
        <f>IF(X101="","",IF(VLOOKUP(X101,'G-7 Rivers Data'!$AD$4:$AE$8,2,FALSE)=0,"Enrcoachment Data Missing ⚠",VLOOKUP(X101,'G-7 Rivers Data'!$AD$4:$AE$8,2,FALSE)))</f>
        <v/>
      </c>
      <c r="Z101" s="154"/>
      <c r="AA101" s="524" t="str">
        <f>IF(Z101="","",VLOOKUP(Z101,'G-7 Rivers Data'!$AO$4:$AP$7,2,FALSE))</f>
        <v/>
      </c>
      <c r="AB101" s="545" t="str">
        <f t="shared" si="12"/>
        <v/>
      </c>
      <c r="AC101" s="149"/>
      <c r="AD101" s="150"/>
      <c r="AK101" s="31" t="str">
        <f>IFERROR(INDEX('G-7 Rivers Data'!$AZ$3:$AZ$7,MATCH(C101,'G-7 Rivers Data'!$AY$3:$AY$7,0)),"")</f>
        <v/>
      </c>
    </row>
    <row r="102" spans="2:37" ht="13.8" x14ac:dyDescent="0.25">
      <c r="B102" s="141">
        <v>91</v>
      </c>
      <c r="C102" s="666"/>
      <c r="D102" s="172"/>
      <c r="E102" s="498" t="str">
        <f>IF(C102="","",VLOOKUP(C102,'G-7 Rivers Data'!$B$2:$Z$9,2,FALSE))</f>
        <v/>
      </c>
      <c r="F102" s="499" t="str">
        <f>IFERROR(VLOOKUP(E102,'G-7 Rivers Data'!$C$4:$D$8,2,FALSE),"")</f>
        <v/>
      </c>
      <c r="G102" s="145"/>
      <c r="H102" s="499" t="str">
        <f>IFERROR(INDEX('G-7 Rivers Data'!$H$4:$L$8,MATCH(C102,'G-7 Rivers Data'!$B$4:$B$8,0),MATCH(G102,'G-7 Rivers Data'!$H$3:$L$3,0)),"")</f>
        <v/>
      </c>
      <c r="I102" s="145"/>
      <c r="J102" s="540" t="str">
        <f>IF(I102="","",IF(VLOOKUP(I102,'G-7 Rivers Data'!$AG$4:$AI$9,2,FALSE)=0,"Spatial Data Missing ⚠",VLOOKUP(I102,'G-7 Rivers Data'!$AG$4:$AI$9,2,FALSE)))</f>
        <v/>
      </c>
      <c r="K102" s="499" t="str">
        <f>IF(I102="","",IF(VLOOKUP(I102,'G-7 Rivers Data'!$AG$4:$AI$9,3,FALSE)=0,"Spatial Data Missing ⚠",VLOOKUP(I102,'G-7 Rivers Data'!$AG$4:$AI$9,3,FALSE)))</f>
        <v/>
      </c>
      <c r="L102" s="635" t="str">
        <f>IFERROR(INDEX('G-7 Rivers Data'!$O$3:$O$7,MATCH(G102,'G-7 Rivers Data'!$N$3:$N$7,0)),"")</f>
        <v/>
      </c>
      <c r="M102" s="72"/>
      <c r="N102" s="195"/>
      <c r="O102" s="507" t="str">
        <f t="shared" si="7"/>
        <v/>
      </c>
      <c r="P102" s="521" t="str">
        <f t="shared" si="8"/>
        <v/>
      </c>
      <c r="Q102" s="564" t="str">
        <f>IFERROR(IF(P102="Check Data ⚠","Check Data ⚠",VLOOKUP(P102,'G-4 Temporal multipliers'!$A$4:$C$37,3,FALSE)),"")</f>
        <v/>
      </c>
      <c r="R102" s="498" t="str">
        <f>IF(C102="","",VLOOKUP(C102,'G-7 Rivers Data'!$B$4:$G$8,4,FALSE))</f>
        <v/>
      </c>
      <c r="S102" s="507" t="str">
        <f t="shared" si="9"/>
        <v/>
      </c>
      <c r="T102" s="540" t="str">
        <f t="shared" si="10"/>
        <v/>
      </c>
      <c r="U102" s="499" t="str">
        <f t="shared" si="11"/>
        <v/>
      </c>
      <c r="V102" s="71"/>
      <c r="W102" s="499" t="str">
        <f>IF(V102="","",IF(VLOOKUP(V102,'G-7 Rivers Data'!$AA$4:$AB$7,2,FALSE)=0,"Spatial Data Missing ⚠",VLOOKUP(V102,'G-7 Rivers Data'!$AA$4:$AB$7,2,FALSE)))</f>
        <v/>
      </c>
      <c r="X102" s="155"/>
      <c r="Y102" s="499" t="str">
        <f>IF(X102="","",IF(VLOOKUP(X102,'G-7 Rivers Data'!$AD$4:$AE$8,2,FALSE)=0,"Enrcoachment Data Missing ⚠",VLOOKUP(X102,'G-7 Rivers Data'!$AD$4:$AE$8,2,FALSE)))</f>
        <v/>
      </c>
      <c r="Z102" s="154"/>
      <c r="AA102" s="524" t="str">
        <f>IF(Z102="","",VLOOKUP(Z102,'G-7 Rivers Data'!$AO$4:$AP$7,2,FALSE))</f>
        <v/>
      </c>
      <c r="AB102" s="545" t="str">
        <f t="shared" si="12"/>
        <v/>
      </c>
      <c r="AC102" s="149"/>
      <c r="AD102" s="150"/>
      <c r="AK102" s="31" t="str">
        <f>IFERROR(INDEX('G-7 Rivers Data'!$AZ$3:$AZ$7,MATCH(C102,'G-7 Rivers Data'!$AY$3:$AY$7,0)),"")</f>
        <v/>
      </c>
    </row>
    <row r="103" spans="2:37" ht="13.8" x14ac:dyDescent="0.25">
      <c r="B103" s="141">
        <v>92</v>
      </c>
      <c r="C103" s="666"/>
      <c r="D103" s="172"/>
      <c r="E103" s="498" t="str">
        <f>IF(C103="","",VLOOKUP(C103,'G-7 Rivers Data'!$B$2:$Z$9,2,FALSE))</f>
        <v/>
      </c>
      <c r="F103" s="499" t="str">
        <f>IFERROR(VLOOKUP(E103,'G-7 Rivers Data'!$C$4:$D$8,2,FALSE),"")</f>
        <v/>
      </c>
      <c r="G103" s="145"/>
      <c r="H103" s="499" t="str">
        <f>IFERROR(INDEX('G-7 Rivers Data'!$H$4:$L$8,MATCH(C103,'G-7 Rivers Data'!$B$4:$B$8,0),MATCH(G103,'G-7 Rivers Data'!$H$3:$L$3,0)),"")</f>
        <v/>
      </c>
      <c r="I103" s="145"/>
      <c r="J103" s="540" t="str">
        <f>IF(I103="","",IF(VLOOKUP(I103,'G-7 Rivers Data'!$AG$4:$AI$9,2,FALSE)=0,"Spatial Data Missing ⚠",VLOOKUP(I103,'G-7 Rivers Data'!$AG$4:$AI$9,2,FALSE)))</f>
        <v/>
      </c>
      <c r="K103" s="499" t="str">
        <f>IF(I103="","",IF(VLOOKUP(I103,'G-7 Rivers Data'!$AG$4:$AI$9,3,FALSE)=0,"Spatial Data Missing ⚠",VLOOKUP(I103,'G-7 Rivers Data'!$AG$4:$AI$9,3,FALSE)))</f>
        <v/>
      </c>
      <c r="L103" s="635" t="str">
        <f>IFERROR(INDEX('G-7 Rivers Data'!$O$3:$O$7,MATCH(G103,'G-7 Rivers Data'!$N$3:$N$7,0)),"")</f>
        <v/>
      </c>
      <c r="M103" s="72"/>
      <c r="N103" s="195"/>
      <c r="O103" s="507" t="str">
        <f t="shared" si="7"/>
        <v/>
      </c>
      <c r="P103" s="521" t="str">
        <f t="shared" si="8"/>
        <v/>
      </c>
      <c r="Q103" s="564" t="str">
        <f>IFERROR(IF(P103="Check Data ⚠","Check Data ⚠",VLOOKUP(P103,'G-4 Temporal multipliers'!$A$4:$C$37,3,FALSE)),"")</f>
        <v/>
      </c>
      <c r="R103" s="498" t="str">
        <f>IF(C103="","",VLOOKUP(C103,'G-7 Rivers Data'!$B$4:$G$8,4,FALSE))</f>
        <v/>
      </c>
      <c r="S103" s="507" t="str">
        <f t="shared" si="9"/>
        <v/>
      </c>
      <c r="T103" s="540" t="str">
        <f t="shared" si="10"/>
        <v/>
      </c>
      <c r="U103" s="499" t="str">
        <f t="shared" si="11"/>
        <v/>
      </c>
      <c r="V103" s="71"/>
      <c r="W103" s="499" t="str">
        <f>IF(V103="","",IF(VLOOKUP(V103,'G-7 Rivers Data'!$AA$4:$AB$7,2,FALSE)=0,"Spatial Data Missing ⚠",VLOOKUP(V103,'G-7 Rivers Data'!$AA$4:$AB$7,2,FALSE)))</f>
        <v/>
      </c>
      <c r="X103" s="155"/>
      <c r="Y103" s="499" t="str">
        <f>IF(X103="","",IF(VLOOKUP(X103,'G-7 Rivers Data'!$AD$4:$AE$8,2,FALSE)=0,"Enrcoachment Data Missing ⚠",VLOOKUP(X103,'G-7 Rivers Data'!$AD$4:$AE$8,2,FALSE)))</f>
        <v/>
      </c>
      <c r="Z103" s="154"/>
      <c r="AA103" s="524" t="str">
        <f>IF(Z103="","",VLOOKUP(Z103,'G-7 Rivers Data'!$AO$4:$AP$7,2,FALSE))</f>
        <v/>
      </c>
      <c r="AB103" s="545" t="str">
        <f t="shared" si="12"/>
        <v/>
      </c>
      <c r="AC103" s="149"/>
      <c r="AD103" s="150"/>
      <c r="AK103" s="31" t="str">
        <f>IFERROR(INDEX('G-7 Rivers Data'!$AZ$3:$AZ$7,MATCH(C103,'G-7 Rivers Data'!$AY$3:$AY$7,0)),"")</f>
        <v/>
      </c>
    </row>
    <row r="104" spans="2:37" ht="13.8" x14ac:dyDescent="0.25">
      <c r="B104" s="141">
        <v>93</v>
      </c>
      <c r="C104" s="666"/>
      <c r="D104" s="172"/>
      <c r="E104" s="498" t="str">
        <f>IF(C104="","",VLOOKUP(C104,'G-7 Rivers Data'!$B$2:$Z$9,2,FALSE))</f>
        <v/>
      </c>
      <c r="F104" s="499" t="str">
        <f>IFERROR(VLOOKUP(E104,'G-7 Rivers Data'!$C$4:$D$8,2,FALSE),"")</f>
        <v/>
      </c>
      <c r="G104" s="145"/>
      <c r="H104" s="499" t="str">
        <f>IFERROR(INDEX('G-7 Rivers Data'!$H$4:$L$8,MATCH(C104,'G-7 Rivers Data'!$B$4:$B$8,0),MATCH(G104,'G-7 Rivers Data'!$H$3:$L$3,0)),"")</f>
        <v/>
      </c>
      <c r="I104" s="145"/>
      <c r="J104" s="540" t="str">
        <f>IF(I104="","",IF(VLOOKUP(I104,'G-7 Rivers Data'!$AG$4:$AI$9,2,FALSE)=0,"Spatial Data Missing ⚠",VLOOKUP(I104,'G-7 Rivers Data'!$AG$4:$AI$9,2,FALSE)))</f>
        <v/>
      </c>
      <c r="K104" s="499" t="str">
        <f>IF(I104="","",IF(VLOOKUP(I104,'G-7 Rivers Data'!$AG$4:$AI$9,3,FALSE)=0,"Spatial Data Missing ⚠",VLOOKUP(I104,'G-7 Rivers Data'!$AG$4:$AI$9,3,FALSE)))</f>
        <v/>
      </c>
      <c r="L104" s="635" t="str">
        <f>IFERROR(INDEX('G-7 Rivers Data'!$O$3:$O$7,MATCH(G104,'G-7 Rivers Data'!$N$3:$N$7,0)),"")</f>
        <v/>
      </c>
      <c r="M104" s="72"/>
      <c r="N104" s="195"/>
      <c r="O104" s="507" t="str">
        <f t="shared" si="7"/>
        <v/>
      </c>
      <c r="P104" s="521" t="str">
        <f t="shared" si="8"/>
        <v/>
      </c>
      <c r="Q104" s="564" t="str">
        <f>IFERROR(IF(P104="Check Data ⚠","Check Data ⚠",VLOOKUP(P104,'G-4 Temporal multipliers'!$A$4:$C$37,3,FALSE)),"")</f>
        <v/>
      </c>
      <c r="R104" s="498" t="str">
        <f>IF(C104="","",VLOOKUP(C104,'G-7 Rivers Data'!$B$4:$G$8,4,FALSE))</f>
        <v/>
      </c>
      <c r="S104" s="507" t="str">
        <f t="shared" si="9"/>
        <v/>
      </c>
      <c r="T104" s="540" t="str">
        <f t="shared" si="10"/>
        <v/>
      </c>
      <c r="U104" s="499" t="str">
        <f t="shared" si="11"/>
        <v/>
      </c>
      <c r="V104" s="71"/>
      <c r="W104" s="499" t="str">
        <f>IF(V104="","",IF(VLOOKUP(V104,'G-7 Rivers Data'!$AA$4:$AB$7,2,FALSE)=0,"Spatial Data Missing ⚠",VLOOKUP(V104,'G-7 Rivers Data'!$AA$4:$AB$7,2,FALSE)))</f>
        <v/>
      </c>
      <c r="X104" s="155"/>
      <c r="Y104" s="499" t="str">
        <f>IF(X104="","",IF(VLOOKUP(X104,'G-7 Rivers Data'!$AD$4:$AE$8,2,FALSE)=0,"Enrcoachment Data Missing ⚠",VLOOKUP(X104,'G-7 Rivers Data'!$AD$4:$AE$8,2,FALSE)))</f>
        <v/>
      </c>
      <c r="Z104" s="154"/>
      <c r="AA104" s="524" t="str">
        <f>IF(Z104="","",VLOOKUP(Z104,'G-7 Rivers Data'!$AO$4:$AP$7,2,FALSE))</f>
        <v/>
      </c>
      <c r="AB104" s="545" t="str">
        <f t="shared" si="12"/>
        <v/>
      </c>
      <c r="AC104" s="149"/>
      <c r="AD104" s="150"/>
      <c r="AK104" s="31" t="str">
        <f>IFERROR(INDEX('G-7 Rivers Data'!$AZ$3:$AZ$7,MATCH(C104,'G-7 Rivers Data'!$AY$3:$AY$7,0)),"")</f>
        <v/>
      </c>
    </row>
    <row r="105" spans="2:37" ht="13.8" x14ac:dyDescent="0.25">
      <c r="B105" s="141">
        <v>94</v>
      </c>
      <c r="C105" s="666"/>
      <c r="D105" s="172"/>
      <c r="E105" s="498" t="str">
        <f>IF(C105="","",VLOOKUP(C105,'G-7 Rivers Data'!$B$2:$Z$9,2,FALSE))</f>
        <v/>
      </c>
      <c r="F105" s="499" t="str">
        <f>IFERROR(VLOOKUP(E105,'G-7 Rivers Data'!$C$4:$D$8,2,FALSE),"")</f>
        <v/>
      </c>
      <c r="G105" s="145"/>
      <c r="H105" s="499" t="str">
        <f>IFERROR(INDEX('G-7 Rivers Data'!$H$4:$L$8,MATCH(C105,'G-7 Rivers Data'!$B$4:$B$8,0),MATCH(G105,'G-7 Rivers Data'!$H$3:$L$3,0)),"")</f>
        <v/>
      </c>
      <c r="I105" s="145"/>
      <c r="J105" s="540" t="str">
        <f>IF(I105="","",IF(VLOOKUP(I105,'G-7 Rivers Data'!$AG$4:$AI$9,2,FALSE)=0,"Spatial Data Missing ⚠",VLOOKUP(I105,'G-7 Rivers Data'!$AG$4:$AI$9,2,FALSE)))</f>
        <v/>
      </c>
      <c r="K105" s="499" t="str">
        <f>IF(I105="","",IF(VLOOKUP(I105,'G-7 Rivers Data'!$AG$4:$AI$9,3,FALSE)=0,"Spatial Data Missing ⚠",VLOOKUP(I105,'G-7 Rivers Data'!$AG$4:$AI$9,3,FALSE)))</f>
        <v/>
      </c>
      <c r="L105" s="635" t="str">
        <f>IFERROR(INDEX('G-7 Rivers Data'!$O$3:$O$7,MATCH(G105,'G-7 Rivers Data'!$N$3:$N$7,0)),"")</f>
        <v/>
      </c>
      <c r="M105" s="72"/>
      <c r="N105" s="195"/>
      <c r="O105" s="507" t="str">
        <f t="shared" si="7"/>
        <v/>
      </c>
      <c r="P105" s="521" t="str">
        <f t="shared" si="8"/>
        <v/>
      </c>
      <c r="Q105" s="564" t="str">
        <f>IFERROR(IF(P105="Check Data ⚠","Check Data ⚠",VLOOKUP(P105,'G-4 Temporal multipliers'!$A$4:$C$37,3,FALSE)),"")</f>
        <v/>
      </c>
      <c r="R105" s="498" t="str">
        <f>IF(C105="","",VLOOKUP(C105,'G-7 Rivers Data'!$B$4:$G$8,4,FALSE))</f>
        <v/>
      </c>
      <c r="S105" s="507" t="str">
        <f t="shared" si="9"/>
        <v/>
      </c>
      <c r="T105" s="540" t="str">
        <f t="shared" si="10"/>
        <v/>
      </c>
      <c r="U105" s="499" t="str">
        <f t="shared" si="11"/>
        <v/>
      </c>
      <c r="V105" s="71"/>
      <c r="W105" s="499" t="str">
        <f>IF(V105="","",IF(VLOOKUP(V105,'G-7 Rivers Data'!$AA$4:$AB$7,2,FALSE)=0,"Spatial Data Missing ⚠",VLOOKUP(V105,'G-7 Rivers Data'!$AA$4:$AB$7,2,FALSE)))</f>
        <v/>
      </c>
      <c r="X105" s="155"/>
      <c r="Y105" s="499" t="str">
        <f>IF(X105="","",IF(VLOOKUP(X105,'G-7 Rivers Data'!$AD$4:$AE$8,2,FALSE)=0,"Enrcoachment Data Missing ⚠",VLOOKUP(X105,'G-7 Rivers Data'!$AD$4:$AE$8,2,FALSE)))</f>
        <v/>
      </c>
      <c r="Z105" s="154"/>
      <c r="AA105" s="524" t="str">
        <f>IF(Z105="","",VLOOKUP(Z105,'G-7 Rivers Data'!$AO$4:$AP$7,2,FALSE))</f>
        <v/>
      </c>
      <c r="AB105" s="545" t="str">
        <f t="shared" si="12"/>
        <v/>
      </c>
      <c r="AC105" s="149"/>
      <c r="AD105" s="150"/>
      <c r="AK105" s="31" t="str">
        <f>IFERROR(INDEX('G-7 Rivers Data'!$AZ$3:$AZ$7,MATCH(C105,'G-7 Rivers Data'!$AY$3:$AY$7,0)),"")</f>
        <v/>
      </c>
    </row>
    <row r="106" spans="2:37" ht="13.8" x14ac:dyDescent="0.25">
      <c r="B106" s="141">
        <v>95</v>
      </c>
      <c r="C106" s="666"/>
      <c r="D106" s="172"/>
      <c r="E106" s="498" t="str">
        <f>IF(C106="","",VLOOKUP(C106,'G-7 Rivers Data'!$B$2:$Z$9,2,FALSE))</f>
        <v/>
      </c>
      <c r="F106" s="499" t="str">
        <f>IFERROR(VLOOKUP(E106,'G-7 Rivers Data'!$C$4:$D$8,2,FALSE),"")</f>
        <v/>
      </c>
      <c r="G106" s="145"/>
      <c r="H106" s="499" t="str">
        <f>IFERROR(INDEX('G-7 Rivers Data'!$H$4:$L$8,MATCH(C106,'G-7 Rivers Data'!$B$4:$B$8,0),MATCH(G106,'G-7 Rivers Data'!$H$3:$L$3,0)),"")</f>
        <v/>
      </c>
      <c r="I106" s="145"/>
      <c r="J106" s="540" t="str">
        <f>IF(I106="","",IF(VLOOKUP(I106,'G-7 Rivers Data'!$AG$4:$AI$9,2,FALSE)=0,"Spatial Data Missing ⚠",VLOOKUP(I106,'G-7 Rivers Data'!$AG$4:$AI$9,2,FALSE)))</f>
        <v/>
      </c>
      <c r="K106" s="499" t="str">
        <f>IF(I106="","",IF(VLOOKUP(I106,'G-7 Rivers Data'!$AG$4:$AI$9,3,FALSE)=0,"Spatial Data Missing ⚠",VLOOKUP(I106,'G-7 Rivers Data'!$AG$4:$AI$9,3,FALSE)))</f>
        <v/>
      </c>
      <c r="L106" s="635" t="str">
        <f>IFERROR(INDEX('G-7 Rivers Data'!$O$3:$O$7,MATCH(G106,'G-7 Rivers Data'!$N$3:$N$7,0)),"")</f>
        <v/>
      </c>
      <c r="M106" s="72"/>
      <c r="N106" s="195"/>
      <c r="O106" s="507" t="str">
        <f t="shared" si="7"/>
        <v/>
      </c>
      <c r="P106" s="521" t="str">
        <f t="shared" si="8"/>
        <v/>
      </c>
      <c r="Q106" s="564" t="str">
        <f>IFERROR(IF(P106="Check Data ⚠","Check Data ⚠",VLOOKUP(P106,'G-4 Temporal multipliers'!$A$4:$C$37,3,FALSE)),"")</f>
        <v/>
      </c>
      <c r="R106" s="498" t="str">
        <f>IF(C106="","",VLOOKUP(C106,'G-7 Rivers Data'!$B$4:$G$8,4,FALSE))</f>
        <v/>
      </c>
      <c r="S106" s="507" t="str">
        <f t="shared" si="9"/>
        <v/>
      </c>
      <c r="T106" s="540" t="str">
        <f t="shared" si="10"/>
        <v/>
      </c>
      <c r="U106" s="499" t="str">
        <f t="shared" si="11"/>
        <v/>
      </c>
      <c r="V106" s="71"/>
      <c r="W106" s="499" t="str">
        <f>IF(V106="","",IF(VLOOKUP(V106,'G-7 Rivers Data'!$AA$4:$AB$7,2,FALSE)=0,"Spatial Data Missing ⚠",VLOOKUP(V106,'G-7 Rivers Data'!$AA$4:$AB$7,2,FALSE)))</f>
        <v/>
      </c>
      <c r="X106" s="155"/>
      <c r="Y106" s="499" t="str">
        <f>IF(X106="","",IF(VLOOKUP(X106,'G-7 Rivers Data'!$AD$4:$AE$8,2,FALSE)=0,"Enrcoachment Data Missing ⚠",VLOOKUP(X106,'G-7 Rivers Data'!$AD$4:$AE$8,2,FALSE)))</f>
        <v/>
      </c>
      <c r="Z106" s="154"/>
      <c r="AA106" s="524" t="str">
        <f>IF(Z106="","",VLOOKUP(Z106,'G-7 Rivers Data'!$AO$4:$AP$7,2,FALSE))</f>
        <v/>
      </c>
      <c r="AB106" s="545" t="str">
        <f t="shared" si="12"/>
        <v/>
      </c>
      <c r="AC106" s="149"/>
      <c r="AD106" s="150"/>
      <c r="AK106" s="31" t="str">
        <f>IFERROR(INDEX('G-7 Rivers Data'!$AZ$3:$AZ$7,MATCH(C106,'G-7 Rivers Data'!$AY$3:$AY$7,0)),"")</f>
        <v/>
      </c>
    </row>
    <row r="107" spans="2:37" ht="13.8" x14ac:dyDescent="0.25">
      <c r="B107" s="141">
        <v>96</v>
      </c>
      <c r="C107" s="666"/>
      <c r="D107" s="172"/>
      <c r="E107" s="498" t="str">
        <f>IF(C107="","",VLOOKUP(C107,'G-7 Rivers Data'!$B$2:$Z$9,2,FALSE))</f>
        <v/>
      </c>
      <c r="F107" s="499" t="str">
        <f>IFERROR(VLOOKUP(E107,'G-7 Rivers Data'!$C$4:$D$8,2,FALSE),"")</f>
        <v/>
      </c>
      <c r="G107" s="145"/>
      <c r="H107" s="499" t="str">
        <f>IFERROR(INDEX('G-7 Rivers Data'!$H$4:$L$8,MATCH(C107,'G-7 Rivers Data'!$B$4:$B$8,0),MATCH(G107,'G-7 Rivers Data'!$H$3:$L$3,0)),"")</f>
        <v/>
      </c>
      <c r="I107" s="145"/>
      <c r="J107" s="540" t="str">
        <f>IF(I107="","",IF(VLOOKUP(I107,'G-7 Rivers Data'!$AG$4:$AI$9,2,FALSE)=0,"Spatial Data Missing ⚠",VLOOKUP(I107,'G-7 Rivers Data'!$AG$4:$AI$9,2,FALSE)))</f>
        <v/>
      </c>
      <c r="K107" s="499" t="str">
        <f>IF(I107="","",IF(VLOOKUP(I107,'G-7 Rivers Data'!$AG$4:$AI$9,3,FALSE)=0,"Spatial Data Missing ⚠",VLOOKUP(I107,'G-7 Rivers Data'!$AG$4:$AI$9,3,FALSE)))</f>
        <v/>
      </c>
      <c r="L107" s="635" t="str">
        <f>IFERROR(INDEX('G-7 Rivers Data'!$O$3:$O$7,MATCH(G107,'G-7 Rivers Data'!$N$3:$N$7,0)),"")</f>
        <v/>
      </c>
      <c r="M107" s="72"/>
      <c r="N107" s="195"/>
      <c r="O107" s="507" t="str">
        <f t="shared" si="7"/>
        <v/>
      </c>
      <c r="P107" s="521" t="str">
        <f t="shared" si="8"/>
        <v/>
      </c>
      <c r="Q107" s="564" t="str">
        <f>IFERROR(IF(P107="Check Data ⚠","Check Data ⚠",VLOOKUP(P107,'G-4 Temporal multipliers'!$A$4:$C$37,3,FALSE)),"")</f>
        <v/>
      </c>
      <c r="R107" s="498" t="str">
        <f>IF(C107="","",VLOOKUP(C107,'G-7 Rivers Data'!$B$4:$G$8,4,FALSE))</f>
        <v/>
      </c>
      <c r="S107" s="507" t="str">
        <f t="shared" si="9"/>
        <v/>
      </c>
      <c r="T107" s="540" t="str">
        <f t="shared" si="10"/>
        <v/>
      </c>
      <c r="U107" s="499" t="str">
        <f t="shared" si="11"/>
        <v/>
      </c>
      <c r="V107" s="71"/>
      <c r="W107" s="499" t="str">
        <f>IF(V107="","",IF(VLOOKUP(V107,'G-7 Rivers Data'!$AA$4:$AB$7,2,FALSE)=0,"Spatial Data Missing ⚠",VLOOKUP(V107,'G-7 Rivers Data'!$AA$4:$AB$7,2,FALSE)))</f>
        <v/>
      </c>
      <c r="X107" s="155"/>
      <c r="Y107" s="499" t="str">
        <f>IF(X107="","",IF(VLOOKUP(X107,'G-7 Rivers Data'!$AD$4:$AE$8,2,FALSE)=0,"Enrcoachment Data Missing ⚠",VLOOKUP(X107,'G-7 Rivers Data'!$AD$4:$AE$8,2,FALSE)))</f>
        <v/>
      </c>
      <c r="Z107" s="154"/>
      <c r="AA107" s="524" t="str">
        <f>IF(Z107="","",VLOOKUP(Z107,'G-7 Rivers Data'!$AO$4:$AP$7,2,FALSE))</f>
        <v/>
      </c>
      <c r="AB107" s="545" t="str">
        <f t="shared" si="12"/>
        <v/>
      </c>
      <c r="AC107" s="149"/>
      <c r="AD107" s="150"/>
      <c r="AK107" s="31" t="str">
        <f>IFERROR(INDEX('G-7 Rivers Data'!$AZ$3:$AZ$7,MATCH(C107,'G-7 Rivers Data'!$AY$3:$AY$7,0)),"")</f>
        <v/>
      </c>
    </row>
    <row r="108" spans="2:37" ht="13.8" x14ac:dyDescent="0.25">
      <c r="B108" s="141">
        <v>97</v>
      </c>
      <c r="C108" s="666"/>
      <c r="D108" s="172"/>
      <c r="E108" s="498" t="str">
        <f>IF(C108="","",VLOOKUP(C108,'G-7 Rivers Data'!$B$2:$Z$9,2,FALSE))</f>
        <v/>
      </c>
      <c r="F108" s="499" t="str">
        <f>IFERROR(VLOOKUP(E108,'G-7 Rivers Data'!$C$4:$D$8,2,FALSE),"")</f>
        <v/>
      </c>
      <c r="G108" s="145"/>
      <c r="H108" s="499" t="str">
        <f>IFERROR(INDEX('G-7 Rivers Data'!$H$4:$L$8,MATCH(C108,'G-7 Rivers Data'!$B$4:$B$8,0),MATCH(G108,'G-7 Rivers Data'!$H$3:$L$3,0)),"")</f>
        <v/>
      </c>
      <c r="I108" s="145"/>
      <c r="J108" s="540" t="str">
        <f>IF(I108="","",IF(VLOOKUP(I108,'G-7 Rivers Data'!$AG$4:$AI$9,2,FALSE)=0,"Spatial Data Missing ⚠",VLOOKUP(I108,'G-7 Rivers Data'!$AG$4:$AI$9,2,FALSE)))</f>
        <v/>
      </c>
      <c r="K108" s="499" t="str">
        <f>IF(I108="","",IF(VLOOKUP(I108,'G-7 Rivers Data'!$AG$4:$AI$9,3,FALSE)=0,"Spatial Data Missing ⚠",VLOOKUP(I108,'G-7 Rivers Data'!$AG$4:$AI$9,3,FALSE)))</f>
        <v/>
      </c>
      <c r="L108" s="635" t="str">
        <f>IFERROR(INDEX('G-7 Rivers Data'!$O$3:$O$7,MATCH(G108,'G-7 Rivers Data'!$N$3:$N$7,0)),"")</f>
        <v/>
      </c>
      <c r="M108" s="72"/>
      <c r="N108" s="195"/>
      <c r="O108" s="507" t="str">
        <f t="shared" si="7"/>
        <v/>
      </c>
      <c r="P108" s="521" t="str">
        <f t="shared" si="8"/>
        <v/>
      </c>
      <c r="Q108" s="564" t="str">
        <f>IFERROR(IF(P108="Check Data ⚠","Check Data ⚠",VLOOKUP(P108,'G-4 Temporal multipliers'!$A$4:$C$37,3,FALSE)),"")</f>
        <v/>
      </c>
      <c r="R108" s="498" t="str">
        <f>IF(C108="","",VLOOKUP(C108,'G-7 Rivers Data'!$B$4:$G$8,4,FALSE))</f>
        <v/>
      </c>
      <c r="S108" s="507" t="str">
        <f t="shared" si="9"/>
        <v/>
      </c>
      <c r="T108" s="540" t="str">
        <f t="shared" si="10"/>
        <v/>
      </c>
      <c r="U108" s="499" t="str">
        <f t="shared" si="11"/>
        <v/>
      </c>
      <c r="V108" s="71"/>
      <c r="W108" s="499" t="str">
        <f>IF(V108="","",IF(VLOOKUP(V108,'G-7 Rivers Data'!$AA$4:$AB$7,2,FALSE)=0,"Spatial Data Missing ⚠",VLOOKUP(V108,'G-7 Rivers Data'!$AA$4:$AB$7,2,FALSE)))</f>
        <v/>
      </c>
      <c r="X108" s="155"/>
      <c r="Y108" s="499" t="str">
        <f>IF(X108="","",IF(VLOOKUP(X108,'G-7 Rivers Data'!$AD$4:$AE$8,2,FALSE)=0,"Enrcoachment Data Missing ⚠",VLOOKUP(X108,'G-7 Rivers Data'!$AD$4:$AE$8,2,FALSE)))</f>
        <v/>
      </c>
      <c r="Z108" s="154"/>
      <c r="AA108" s="524" t="str">
        <f>IF(Z108="","",VLOOKUP(Z108,'G-7 Rivers Data'!$AO$4:$AP$7,2,FALSE))</f>
        <v/>
      </c>
      <c r="AB108" s="545" t="str">
        <f t="shared" si="12"/>
        <v/>
      </c>
      <c r="AC108" s="149"/>
      <c r="AD108" s="150"/>
      <c r="AK108" s="31" t="str">
        <f>IFERROR(INDEX('G-7 Rivers Data'!$AZ$3:$AZ$7,MATCH(C108,'G-7 Rivers Data'!$AY$3:$AY$7,0)),"")</f>
        <v/>
      </c>
    </row>
    <row r="109" spans="2:37" ht="13.8" x14ac:dyDescent="0.25">
      <c r="B109" s="141">
        <v>98</v>
      </c>
      <c r="C109" s="666"/>
      <c r="D109" s="172"/>
      <c r="E109" s="498" t="str">
        <f>IF(C109="","",VLOOKUP(C109,'G-7 Rivers Data'!$B$2:$Z$9,2,FALSE))</f>
        <v/>
      </c>
      <c r="F109" s="499" t="str">
        <f>IFERROR(VLOOKUP(E109,'G-7 Rivers Data'!$C$4:$D$8,2,FALSE),"")</f>
        <v/>
      </c>
      <c r="G109" s="145"/>
      <c r="H109" s="499" t="str">
        <f>IFERROR(INDEX('G-7 Rivers Data'!$H$4:$L$8,MATCH(C109,'G-7 Rivers Data'!$B$4:$B$8,0),MATCH(G109,'G-7 Rivers Data'!$H$3:$L$3,0)),"")</f>
        <v/>
      </c>
      <c r="I109" s="145"/>
      <c r="J109" s="540" t="str">
        <f>IF(I109="","",IF(VLOOKUP(I109,'G-7 Rivers Data'!$AG$4:$AI$9,2,FALSE)=0,"Spatial Data Missing ⚠",VLOOKUP(I109,'G-7 Rivers Data'!$AG$4:$AI$9,2,FALSE)))</f>
        <v/>
      </c>
      <c r="K109" s="499" t="str">
        <f>IF(I109="","",IF(VLOOKUP(I109,'G-7 Rivers Data'!$AG$4:$AI$9,3,FALSE)=0,"Spatial Data Missing ⚠",VLOOKUP(I109,'G-7 Rivers Data'!$AG$4:$AI$9,3,FALSE)))</f>
        <v/>
      </c>
      <c r="L109" s="635" t="str">
        <f>IFERROR(INDEX('G-7 Rivers Data'!$O$3:$O$7,MATCH(G109,'G-7 Rivers Data'!$N$3:$N$7,0)),"")</f>
        <v/>
      </c>
      <c r="M109" s="72"/>
      <c r="N109" s="195"/>
      <c r="O109" s="507" t="str">
        <f t="shared" si="7"/>
        <v/>
      </c>
      <c r="P109" s="521" t="str">
        <f t="shared" si="8"/>
        <v/>
      </c>
      <c r="Q109" s="564" t="str">
        <f>IFERROR(IF(P109="Check Data ⚠","Check Data ⚠",VLOOKUP(P109,'G-4 Temporal multipliers'!$A$4:$C$37,3,FALSE)),"")</f>
        <v/>
      </c>
      <c r="R109" s="498" t="str">
        <f>IF(C109="","",VLOOKUP(C109,'G-7 Rivers Data'!$B$4:$G$8,4,FALSE))</f>
        <v/>
      </c>
      <c r="S109" s="507" t="str">
        <f t="shared" si="9"/>
        <v/>
      </c>
      <c r="T109" s="540" t="str">
        <f t="shared" si="10"/>
        <v/>
      </c>
      <c r="U109" s="499" t="str">
        <f t="shared" si="11"/>
        <v/>
      </c>
      <c r="V109" s="71"/>
      <c r="W109" s="499" t="str">
        <f>IF(V109="","",IF(VLOOKUP(V109,'G-7 Rivers Data'!$AA$4:$AB$7,2,FALSE)=0,"Spatial Data Missing ⚠",VLOOKUP(V109,'G-7 Rivers Data'!$AA$4:$AB$7,2,FALSE)))</f>
        <v/>
      </c>
      <c r="X109" s="155"/>
      <c r="Y109" s="499" t="str">
        <f>IF(X109="","",IF(VLOOKUP(X109,'G-7 Rivers Data'!$AD$4:$AE$8,2,FALSE)=0,"Enrcoachment Data Missing ⚠",VLOOKUP(X109,'G-7 Rivers Data'!$AD$4:$AE$8,2,FALSE)))</f>
        <v/>
      </c>
      <c r="Z109" s="154"/>
      <c r="AA109" s="524" t="str">
        <f>IF(Z109="","",VLOOKUP(Z109,'G-7 Rivers Data'!$AO$4:$AP$7,2,FALSE))</f>
        <v/>
      </c>
      <c r="AB109" s="545" t="str">
        <f t="shared" si="12"/>
        <v/>
      </c>
      <c r="AC109" s="149"/>
      <c r="AD109" s="150"/>
      <c r="AK109" s="31" t="str">
        <f>IFERROR(INDEX('G-7 Rivers Data'!$AZ$3:$AZ$7,MATCH(C109,'G-7 Rivers Data'!$AY$3:$AY$7,0)),"")</f>
        <v/>
      </c>
    </row>
    <row r="110" spans="2:37" ht="13.8" x14ac:dyDescent="0.25">
      <c r="B110" s="141">
        <v>99</v>
      </c>
      <c r="C110" s="666"/>
      <c r="D110" s="172"/>
      <c r="E110" s="498" t="str">
        <f>IF(C110="","",VLOOKUP(C110,'G-7 Rivers Data'!$B$2:$Z$9,2,FALSE))</f>
        <v/>
      </c>
      <c r="F110" s="499" t="str">
        <f>IFERROR(VLOOKUP(E110,'G-7 Rivers Data'!$C$4:$D$8,2,FALSE),"")</f>
        <v/>
      </c>
      <c r="G110" s="145"/>
      <c r="H110" s="499" t="str">
        <f>IFERROR(INDEX('G-7 Rivers Data'!$H$4:$L$8,MATCH(C110,'G-7 Rivers Data'!$B$4:$B$8,0),MATCH(G110,'G-7 Rivers Data'!$H$3:$L$3,0)),"")</f>
        <v/>
      </c>
      <c r="I110" s="145"/>
      <c r="J110" s="540" t="str">
        <f>IF(I110="","",IF(VLOOKUP(I110,'G-7 Rivers Data'!$AG$4:$AI$9,2,FALSE)=0,"Spatial Data Missing ⚠",VLOOKUP(I110,'G-7 Rivers Data'!$AG$4:$AI$9,2,FALSE)))</f>
        <v/>
      </c>
      <c r="K110" s="499" t="str">
        <f>IF(I110="","",IF(VLOOKUP(I110,'G-7 Rivers Data'!$AG$4:$AI$9,3,FALSE)=0,"Spatial Data Missing ⚠",VLOOKUP(I110,'G-7 Rivers Data'!$AG$4:$AI$9,3,FALSE)))</f>
        <v/>
      </c>
      <c r="L110" s="635" t="str">
        <f>IFERROR(INDEX('G-7 Rivers Data'!$O$3:$O$7,MATCH(G110,'G-7 Rivers Data'!$N$3:$N$7,0)),"")</f>
        <v/>
      </c>
      <c r="M110" s="72"/>
      <c r="N110" s="195"/>
      <c r="O110" s="507" t="str">
        <f t="shared" si="7"/>
        <v/>
      </c>
      <c r="P110" s="521" t="str">
        <f t="shared" si="8"/>
        <v/>
      </c>
      <c r="Q110" s="564" t="str">
        <f>IFERROR(IF(P110="Check Data ⚠","Check Data ⚠",VLOOKUP(P110,'G-4 Temporal multipliers'!$A$4:$C$37,3,FALSE)),"")</f>
        <v/>
      </c>
      <c r="R110" s="498" t="str">
        <f>IF(C110="","",VLOOKUP(C110,'G-7 Rivers Data'!$B$4:$G$8,4,FALSE))</f>
        <v/>
      </c>
      <c r="S110" s="507" t="str">
        <f t="shared" si="9"/>
        <v/>
      </c>
      <c r="T110" s="540" t="str">
        <f t="shared" si="10"/>
        <v/>
      </c>
      <c r="U110" s="499" t="str">
        <f t="shared" si="11"/>
        <v/>
      </c>
      <c r="V110" s="71"/>
      <c r="W110" s="499" t="str">
        <f>IF(V110="","",IF(VLOOKUP(V110,'G-7 Rivers Data'!$AA$4:$AB$7,2,FALSE)=0,"Spatial Data Missing ⚠",VLOOKUP(V110,'G-7 Rivers Data'!$AA$4:$AB$7,2,FALSE)))</f>
        <v/>
      </c>
      <c r="X110" s="155"/>
      <c r="Y110" s="499" t="str">
        <f>IF(X110="","",IF(VLOOKUP(X110,'G-7 Rivers Data'!$AD$4:$AE$8,2,FALSE)=0,"Enrcoachment Data Missing ⚠",VLOOKUP(X110,'G-7 Rivers Data'!$AD$4:$AE$8,2,FALSE)))</f>
        <v/>
      </c>
      <c r="Z110" s="154"/>
      <c r="AA110" s="524" t="str">
        <f>IF(Z110="","",VLOOKUP(Z110,'G-7 Rivers Data'!$AO$4:$AP$7,2,FALSE))</f>
        <v/>
      </c>
      <c r="AB110" s="545" t="str">
        <f t="shared" si="12"/>
        <v/>
      </c>
      <c r="AC110" s="149"/>
      <c r="AD110" s="150"/>
      <c r="AK110" s="31" t="str">
        <f>IFERROR(INDEX('G-7 Rivers Data'!$AZ$3:$AZ$7,MATCH(C110,'G-7 Rivers Data'!$AY$3:$AY$7,0)),"")</f>
        <v/>
      </c>
    </row>
    <row r="111" spans="2:37" ht="13.8" x14ac:dyDescent="0.25">
      <c r="B111" s="141">
        <v>100</v>
      </c>
      <c r="C111" s="666"/>
      <c r="D111" s="172"/>
      <c r="E111" s="498" t="str">
        <f>IF(C111="","",VLOOKUP(C111,'G-7 Rivers Data'!$B$2:$Z$9,2,FALSE))</f>
        <v/>
      </c>
      <c r="F111" s="499" t="str">
        <f>IFERROR(VLOOKUP(E111,'G-7 Rivers Data'!$C$4:$D$8,2,FALSE),"")</f>
        <v/>
      </c>
      <c r="G111" s="145"/>
      <c r="H111" s="499" t="str">
        <f>IFERROR(INDEX('G-7 Rivers Data'!$H$4:$L$8,MATCH(C111,'G-7 Rivers Data'!$B$4:$B$8,0),MATCH(G111,'G-7 Rivers Data'!$H$3:$L$3,0)),"")</f>
        <v/>
      </c>
      <c r="I111" s="145"/>
      <c r="J111" s="540" t="str">
        <f>IF(I111="","",IF(VLOOKUP(I111,'G-7 Rivers Data'!$AG$4:$AI$9,2,FALSE)=0,"Spatial Data Missing ⚠",VLOOKUP(I111,'G-7 Rivers Data'!$AG$4:$AI$9,2,FALSE)))</f>
        <v/>
      </c>
      <c r="K111" s="499" t="str">
        <f>IF(I111="","",IF(VLOOKUP(I111,'G-7 Rivers Data'!$AG$4:$AI$9,3,FALSE)=0,"Spatial Data Missing ⚠",VLOOKUP(I111,'G-7 Rivers Data'!$AG$4:$AI$9,3,FALSE)))</f>
        <v/>
      </c>
      <c r="L111" s="635" t="str">
        <f>IFERROR(INDEX('G-7 Rivers Data'!$O$3:$O$7,MATCH(G111,'G-7 Rivers Data'!$N$3:$N$7,0)),"")</f>
        <v/>
      </c>
      <c r="M111" s="72"/>
      <c r="N111" s="195"/>
      <c r="O111" s="507" t="str">
        <f t="shared" si="7"/>
        <v/>
      </c>
      <c r="P111" s="521" t="str">
        <f t="shared" si="8"/>
        <v/>
      </c>
      <c r="Q111" s="564" t="str">
        <f>IFERROR(IF(P111="Check Data ⚠","Check Data ⚠",VLOOKUP(P111,'G-4 Temporal multipliers'!$A$4:$C$37,3,FALSE)),"")</f>
        <v/>
      </c>
      <c r="R111" s="498" t="str">
        <f>IF(C111="","",VLOOKUP(C111,'G-7 Rivers Data'!$B$4:$G$8,4,FALSE))</f>
        <v/>
      </c>
      <c r="S111" s="507" t="str">
        <f t="shared" si="9"/>
        <v/>
      </c>
      <c r="T111" s="540" t="str">
        <f t="shared" si="10"/>
        <v/>
      </c>
      <c r="U111" s="499" t="str">
        <f t="shared" si="11"/>
        <v/>
      </c>
      <c r="V111" s="71"/>
      <c r="W111" s="499" t="str">
        <f>IF(V111="","",IF(VLOOKUP(V111,'G-7 Rivers Data'!$AA$4:$AB$7,2,FALSE)=0,"Spatial Data Missing ⚠",VLOOKUP(V111,'G-7 Rivers Data'!$AA$4:$AB$7,2,FALSE)))</f>
        <v/>
      </c>
      <c r="X111" s="155"/>
      <c r="Y111" s="499" t="str">
        <f>IF(X111="","",IF(VLOOKUP(X111,'G-7 Rivers Data'!$AD$4:$AE$8,2,FALSE)=0,"Enrcoachment Data Missing ⚠",VLOOKUP(X111,'G-7 Rivers Data'!$AD$4:$AE$8,2,FALSE)))</f>
        <v/>
      </c>
      <c r="Z111" s="154"/>
      <c r="AA111" s="524" t="str">
        <f>IF(Z111="","",VLOOKUP(Z111,'G-7 Rivers Data'!$AO$4:$AP$7,2,FALSE))</f>
        <v/>
      </c>
      <c r="AB111" s="545" t="str">
        <f t="shared" si="12"/>
        <v/>
      </c>
      <c r="AC111" s="149"/>
      <c r="AD111" s="150"/>
      <c r="AK111" s="31" t="str">
        <f>IFERROR(INDEX('G-7 Rivers Data'!$AZ$3:$AZ$7,MATCH(C111,'G-7 Rivers Data'!$AY$3:$AY$7,0)),"")</f>
        <v/>
      </c>
    </row>
    <row r="112" spans="2:37" ht="13.8" x14ac:dyDescent="0.25">
      <c r="B112" s="141">
        <v>101</v>
      </c>
      <c r="C112" s="666"/>
      <c r="D112" s="172"/>
      <c r="E112" s="498" t="str">
        <f>IF(C112="","",VLOOKUP(C112,'G-7 Rivers Data'!$B$2:$Z$9,2,FALSE))</f>
        <v/>
      </c>
      <c r="F112" s="499" t="str">
        <f>IFERROR(VLOOKUP(E112,'G-7 Rivers Data'!$C$4:$D$8,2,FALSE),"")</f>
        <v/>
      </c>
      <c r="G112" s="145"/>
      <c r="H112" s="499" t="str">
        <f>IFERROR(INDEX('G-7 Rivers Data'!$H$4:$L$8,MATCH(C112,'G-7 Rivers Data'!$B$4:$B$8,0),MATCH(G112,'G-7 Rivers Data'!$H$3:$L$3,0)),"")</f>
        <v/>
      </c>
      <c r="I112" s="145"/>
      <c r="J112" s="540" t="str">
        <f>IF(I112="","",IF(VLOOKUP(I112,'G-7 Rivers Data'!$AG$4:$AI$9,2,FALSE)=0,"Spatial Data Missing ⚠",VLOOKUP(I112,'G-7 Rivers Data'!$AG$4:$AI$9,2,FALSE)))</f>
        <v/>
      </c>
      <c r="K112" s="499" t="str">
        <f>IF(I112="","",IF(VLOOKUP(I112,'G-7 Rivers Data'!$AG$4:$AI$9,3,FALSE)=0,"Spatial Data Missing ⚠",VLOOKUP(I112,'G-7 Rivers Data'!$AG$4:$AI$9,3,FALSE)))</f>
        <v/>
      </c>
      <c r="L112" s="635" t="str">
        <f>IFERROR(INDEX('G-7 Rivers Data'!$O$3:$O$7,MATCH(G112,'G-7 Rivers Data'!$N$3:$N$7,0)),"")</f>
        <v/>
      </c>
      <c r="M112" s="72"/>
      <c r="N112" s="195"/>
      <c r="O112" s="507" t="str">
        <f t="shared" si="7"/>
        <v/>
      </c>
      <c r="P112" s="521" t="str">
        <f t="shared" si="8"/>
        <v/>
      </c>
      <c r="Q112" s="564" t="str">
        <f>IFERROR(IF(P112="Check Data ⚠","Check Data ⚠",VLOOKUP(P112,'G-4 Temporal multipliers'!$A$4:$C$37,3,FALSE)),"")</f>
        <v/>
      </c>
      <c r="R112" s="498" t="str">
        <f>IF(C112="","",VLOOKUP(C112,'G-7 Rivers Data'!$B$4:$G$8,4,FALSE))</f>
        <v/>
      </c>
      <c r="S112" s="507" t="str">
        <f t="shared" si="9"/>
        <v/>
      </c>
      <c r="T112" s="540" t="str">
        <f t="shared" si="10"/>
        <v/>
      </c>
      <c r="U112" s="499" t="str">
        <f t="shared" si="11"/>
        <v/>
      </c>
      <c r="V112" s="71"/>
      <c r="W112" s="499" t="str">
        <f>IF(V112="","",IF(VLOOKUP(V112,'G-7 Rivers Data'!$AA$4:$AB$7,2,FALSE)=0,"Spatial Data Missing ⚠",VLOOKUP(V112,'G-7 Rivers Data'!$AA$4:$AB$7,2,FALSE)))</f>
        <v/>
      </c>
      <c r="X112" s="155"/>
      <c r="Y112" s="499" t="str">
        <f>IF(X112="","",IF(VLOOKUP(X112,'G-7 Rivers Data'!$AD$4:$AE$8,2,FALSE)=0,"Enrcoachment Data Missing ⚠",VLOOKUP(X112,'G-7 Rivers Data'!$AD$4:$AE$8,2,FALSE)))</f>
        <v/>
      </c>
      <c r="Z112" s="154"/>
      <c r="AA112" s="524" t="str">
        <f>IF(Z112="","",VLOOKUP(Z112,'G-7 Rivers Data'!$AO$4:$AP$7,2,FALSE))</f>
        <v/>
      </c>
      <c r="AB112" s="545" t="str">
        <f t="shared" si="12"/>
        <v/>
      </c>
      <c r="AC112" s="149"/>
      <c r="AD112" s="150"/>
      <c r="AK112" s="31" t="str">
        <f>IFERROR(INDEX('G-7 Rivers Data'!$AZ$3:$AZ$7,MATCH(C112,'G-7 Rivers Data'!$AY$3:$AY$7,0)),"")</f>
        <v/>
      </c>
    </row>
    <row r="113" spans="2:37" ht="13.8" x14ac:dyDescent="0.25">
      <c r="B113" s="141">
        <v>102</v>
      </c>
      <c r="C113" s="666"/>
      <c r="D113" s="172"/>
      <c r="E113" s="498" t="str">
        <f>IF(C113="","",VLOOKUP(C113,'G-7 Rivers Data'!$B$2:$Z$9,2,FALSE))</f>
        <v/>
      </c>
      <c r="F113" s="499" t="str">
        <f>IFERROR(VLOOKUP(E113,'G-7 Rivers Data'!$C$4:$D$8,2,FALSE),"")</f>
        <v/>
      </c>
      <c r="G113" s="145"/>
      <c r="H113" s="499" t="str">
        <f>IFERROR(INDEX('G-7 Rivers Data'!$H$4:$L$8,MATCH(C113,'G-7 Rivers Data'!$B$4:$B$8,0),MATCH(G113,'G-7 Rivers Data'!$H$3:$L$3,0)),"")</f>
        <v/>
      </c>
      <c r="I113" s="145"/>
      <c r="J113" s="540" t="str">
        <f>IF(I113="","",IF(VLOOKUP(I113,'G-7 Rivers Data'!$AG$4:$AI$9,2,FALSE)=0,"Spatial Data Missing ⚠",VLOOKUP(I113,'G-7 Rivers Data'!$AG$4:$AI$9,2,FALSE)))</f>
        <v/>
      </c>
      <c r="K113" s="499" t="str">
        <f>IF(I113="","",IF(VLOOKUP(I113,'G-7 Rivers Data'!$AG$4:$AI$9,3,FALSE)=0,"Spatial Data Missing ⚠",VLOOKUP(I113,'G-7 Rivers Data'!$AG$4:$AI$9,3,FALSE)))</f>
        <v/>
      </c>
      <c r="L113" s="635" t="str">
        <f>IFERROR(INDEX('G-7 Rivers Data'!$O$3:$O$7,MATCH(G113,'G-7 Rivers Data'!$N$3:$N$7,0)),"")</f>
        <v/>
      </c>
      <c r="M113" s="72"/>
      <c r="N113" s="195"/>
      <c r="O113" s="507" t="str">
        <f t="shared" si="7"/>
        <v/>
      </c>
      <c r="P113" s="521" t="str">
        <f t="shared" si="8"/>
        <v/>
      </c>
      <c r="Q113" s="564" t="str">
        <f>IFERROR(IF(P113="Check Data ⚠","Check Data ⚠",VLOOKUP(P113,'G-4 Temporal multipliers'!$A$4:$C$37,3,FALSE)),"")</f>
        <v/>
      </c>
      <c r="R113" s="498" t="str">
        <f>IF(C113="","",VLOOKUP(C113,'G-7 Rivers Data'!$B$4:$G$8,4,FALSE))</f>
        <v/>
      </c>
      <c r="S113" s="507" t="str">
        <f t="shared" si="9"/>
        <v/>
      </c>
      <c r="T113" s="540" t="str">
        <f t="shared" si="10"/>
        <v/>
      </c>
      <c r="U113" s="499" t="str">
        <f t="shared" si="11"/>
        <v/>
      </c>
      <c r="V113" s="71"/>
      <c r="W113" s="499" t="str">
        <f>IF(V113="","",IF(VLOOKUP(V113,'G-7 Rivers Data'!$AA$4:$AB$7,2,FALSE)=0,"Spatial Data Missing ⚠",VLOOKUP(V113,'G-7 Rivers Data'!$AA$4:$AB$7,2,FALSE)))</f>
        <v/>
      </c>
      <c r="X113" s="155"/>
      <c r="Y113" s="499" t="str">
        <f>IF(X113="","",IF(VLOOKUP(X113,'G-7 Rivers Data'!$AD$4:$AE$8,2,FALSE)=0,"Enrcoachment Data Missing ⚠",VLOOKUP(X113,'G-7 Rivers Data'!$AD$4:$AE$8,2,FALSE)))</f>
        <v/>
      </c>
      <c r="Z113" s="154"/>
      <c r="AA113" s="524" t="str">
        <f>IF(Z113="","",VLOOKUP(Z113,'G-7 Rivers Data'!$AO$4:$AP$7,2,FALSE))</f>
        <v/>
      </c>
      <c r="AB113" s="545" t="str">
        <f t="shared" si="12"/>
        <v/>
      </c>
      <c r="AC113" s="149"/>
      <c r="AD113" s="150"/>
      <c r="AK113" s="31" t="str">
        <f>IFERROR(INDEX('G-7 Rivers Data'!$AZ$3:$AZ$7,MATCH(C113,'G-7 Rivers Data'!$AY$3:$AY$7,0)),"")</f>
        <v/>
      </c>
    </row>
    <row r="114" spans="2:37" ht="13.8" x14ac:dyDescent="0.25">
      <c r="B114" s="141">
        <v>103</v>
      </c>
      <c r="C114" s="666"/>
      <c r="D114" s="172"/>
      <c r="E114" s="498" t="str">
        <f>IF(C114="","",VLOOKUP(C114,'G-7 Rivers Data'!$B$2:$Z$9,2,FALSE))</f>
        <v/>
      </c>
      <c r="F114" s="499" t="str">
        <f>IFERROR(VLOOKUP(E114,'G-7 Rivers Data'!$C$4:$D$8,2,FALSE),"")</f>
        <v/>
      </c>
      <c r="G114" s="145"/>
      <c r="H114" s="499" t="str">
        <f>IFERROR(INDEX('G-7 Rivers Data'!$H$4:$L$8,MATCH(C114,'G-7 Rivers Data'!$B$4:$B$8,0),MATCH(G114,'G-7 Rivers Data'!$H$3:$L$3,0)),"")</f>
        <v/>
      </c>
      <c r="I114" s="145"/>
      <c r="J114" s="540" t="str">
        <f>IF(I114="","",IF(VLOOKUP(I114,'G-7 Rivers Data'!$AG$4:$AI$9,2,FALSE)=0,"Spatial Data Missing ⚠",VLOOKUP(I114,'G-7 Rivers Data'!$AG$4:$AI$9,2,FALSE)))</f>
        <v/>
      </c>
      <c r="K114" s="499" t="str">
        <f>IF(I114="","",IF(VLOOKUP(I114,'G-7 Rivers Data'!$AG$4:$AI$9,3,FALSE)=0,"Spatial Data Missing ⚠",VLOOKUP(I114,'G-7 Rivers Data'!$AG$4:$AI$9,3,FALSE)))</f>
        <v/>
      </c>
      <c r="L114" s="635" t="str">
        <f>IFERROR(INDEX('G-7 Rivers Data'!$O$3:$O$7,MATCH(G114,'G-7 Rivers Data'!$N$3:$N$7,0)),"")</f>
        <v/>
      </c>
      <c r="M114" s="72"/>
      <c r="N114" s="195"/>
      <c r="O114" s="507" t="str">
        <f t="shared" si="7"/>
        <v/>
      </c>
      <c r="P114" s="521" t="str">
        <f t="shared" si="8"/>
        <v/>
      </c>
      <c r="Q114" s="564" t="str">
        <f>IFERROR(IF(P114="Check Data ⚠","Check Data ⚠",VLOOKUP(P114,'G-4 Temporal multipliers'!$A$4:$C$37,3,FALSE)),"")</f>
        <v/>
      </c>
      <c r="R114" s="498" t="str">
        <f>IF(C114="","",VLOOKUP(C114,'G-7 Rivers Data'!$B$4:$G$8,4,FALSE))</f>
        <v/>
      </c>
      <c r="S114" s="507" t="str">
        <f t="shared" si="9"/>
        <v/>
      </c>
      <c r="T114" s="540" t="str">
        <f t="shared" si="10"/>
        <v/>
      </c>
      <c r="U114" s="499" t="str">
        <f t="shared" si="11"/>
        <v/>
      </c>
      <c r="V114" s="71"/>
      <c r="W114" s="499" t="str">
        <f>IF(V114="","",IF(VLOOKUP(V114,'G-7 Rivers Data'!$AA$4:$AB$7,2,FALSE)=0,"Spatial Data Missing ⚠",VLOOKUP(V114,'G-7 Rivers Data'!$AA$4:$AB$7,2,FALSE)))</f>
        <v/>
      </c>
      <c r="X114" s="155"/>
      <c r="Y114" s="499" t="str">
        <f>IF(X114="","",IF(VLOOKUP(X114,'G-7 Rivers Data'!$AD$4:$AE$8,2,FALSE)=0,"Enrcoachment Data Missing ⚠",VLOOKUP(X114,'G-7 Rivers Data'!$AD$4:$AE$8,2,FALSE)))</f>
        <v/>
      </c>
      <c r="Z114" s="154"/>
      <c r="AA114" s="524" t="str">
        <f>IF(Z114="","",VLOOKUP(Z114,'G-7 Rivers Data'!$AO$4:$AP$7,2,FALSE))</f>
        <v/>
      </c>
      <c r="AB114" s="545" t="str">
        <f t="shared" si="12"/>
        <v/>
      </c>
      <c r="AC114" s="149"/>
      <c r="AD114" s="150"/>
      <c r="AK114" s="31" t="str">
        <f>IFERROR(INDEX('G-7 Rivers Data'!$AZ$3:$AZ$7,MATCH(C114,'G-7 Rivers Data'!$AY$3:$AY$7,0)),"")</f>
        <v/>
      </c>
    </row>
    <row r="115" spans="2:37" ht="13.8" x14ac:dyDescent="0.25">
      <c r="B115" s="141">
        <v>104</v>
      </c>
      <c r="C115" s="666"/>
      <c r="D115" s="172"/>
      <c r="E115" s="498" t="str">
        <f>IF(C115="","",VLOOKUP(C115,'G-7 Rivers Data'!$B$2:$Z$9,2,FALSE))</f>
        <v/>
      </c>
      <c r="F115" s="499" t="str">
        <f>IFERROR(VLOOKUP(E115,'G-7 Rivers Data'!$C$4:$D$8,2,FALSE),"")</f>
        <v/>
      </c>
      <c r="G115" s="145"/>
      <c r="H115" s="499" t="str">
        <f>IFERROR(INDEX('G-7 Rivers Data'!$H$4:$L$8,MATCH(C115,'G-7 Rivers Data'!$B$4:$B$8,0),MATCH(G115,'G-7 Rivers Data'!$H$3:$L$3,0)),"")</f>
        <v/>
      </c>
      <c r="I115" s="145"/>
      <c r="J115" s="540" t="str">
        <f>IF(I115="","",IF(VLOOKUP(I115,'G-7 Rivers Data'!$AG$4:$AI$9,2,FALSE)=0,"Spatial Data Missing ⚠",VLOOKUP(I115,'G-7 Rivers Data'!$AG$4:$AI$9,2,FALSE)))</f>
        <v/>
      </c>
      <c r="K115" s="499" t="str">
        <f>IF(I115="","",IF(VLOOKUP(I115,'G-7 Rivers Data'!$AG$4:$AI$9,3,FALSE)=0,"Spatial Data Missing ⚠",VLOOKUP(I115,'G-7 Rivers Data'!$AG$4:$AI$9,3,FALSE)))</f>
        <v/>
      </c>
      <c r="L115" s="635" t="str">
        <f>IFERROR(INDEX('G-7 Rivers Data'!$O$3:$O$7,MATCH(G115,'G-7 Rivers Data'!$N$3:$N$7,0)),"")</f>
        <v/>
      </c>
      <c r="M115" s="72"/>
      <c r="N115" s="195"/>
      <c r="O115" s="507" t="str">
        <f t="shared" si="7"/>
        <v/>
      </c>
      <c r="P115" s="521" t="str">
        <f t="shared" si="8"/>
        <v/>
      </c>
      <c r="Q115" s="564" t="str">
        <f>IFERROR(IF(P115="Check Data ⚠","Check Data ⚠",VLOOKUP(P115,'G-4 Temporal multipliers'!$A$4:$C$37,3,FALSE)),"")</f>
        <v/>
      </c>
      <c r="R115" s="498" t="str">
        <f>IF(C115="","",VLOOKUP(C115,'G-7 Rivers Data'!$B$4:$G$8,4,FALSE))</f>
        <v/>
      </c>
      <c r="S115" s="507" t="str">
        <f t="shared" si="9"/>
        <v/>
      </c>
      <c r="T115" s="540" t="str">
        <f t="shared" si="10"/>
        <v/>
      </c>
      <c r="U115" s="499" t="str">
        <f t="shared" si="11"/>
        <v/>
      </c>
      <c r="V115" s="71"/>
      <c r="W115" s="499" t="str">
        <f>IF(V115="","",IF(VLOOKUP(V115,'G-7 Rivers Data'!$AA$4:$AB$7,2,FALSE)=0,"Spatial Data Missing ⚠",VLOOKUP(V115,'G-7 Rivers Data'!$AA$4:$AB$7,2,FALSE)))</f>
        <v/>
      </c>
      <c r="X115" s="155"/>
      <c r="Y115" s="499" t="str">
        <f>IF(X115="","",IF(VLOOKUP(X115,'G-7 Rivers Data'!$AD$4:$AE$8,2,FALSE)=0,"Enrcoachment Data Missing ⚠",VLOOKUP(X115,'G-7 Rivers Data'!$AD$4:$AE$8,2,FALSE)))</f>
        <v/>
      </c>
      <c r="Z115" s="154"/>
      <c r="AA115" s="524" t="str">
        <f>IF(Z115="","",VLOOKUP(Z115,'G-7 Rivers Data'!$AO$4:$AP$7,2,FALSE))</f>
        <v/>
      </c>
      <c r="AB115" s="545" t="str">
        <f t="shared" si="12"/>
        <v/>
      </c>
      <c r="AC115" s="149"/>
      <c r="AD115" s="150"/>
      <c r="AK115" s="31" t="str">
        <f>IFERROR(INDEX('G-7 Rivers Data'!$AZ$3:$AZ$7,MATCH(C115,'G-7 Rivers Data'!$AY$3:$AY$7,0)),"")</f>
        <v/>
      </c>
    </row>
    <row r="116" spans="2:37" ht="13.8" x14ac:dyDescent="0.25">
      <c r="B116" s="141">
        <v>105</v>
      </c>
      <c r="C116" s="666"/>
      <c r="D116" s="172"/>
      <c r="E116" s="498" t="str">
        <f>IF(C116="","",VLOOKUP(C116,'G-7 Rivers Data'!$B$2:$Z$9,2,FALSE))</f>
        <v/>
      </c>
      <c r="F116" s="499" t="str">
        <f>IFERROR(VLOOKUP(E116,'G-7 Rivers Data'!$C$4:$D$8,2,FALSE),"")</f>
        <v/>
      </c>
      <c r="G116" s="145"/>
      <c r="H116" s="499" t="str">
        <f>IFERROR(INDEX('G-7 Rivers Data'!$H$4:$L$8,MATCH(C116,'G-7 Rivers Data'!$B$4:$B$8,0),MATCH(G116,'G-7 Rivers Data'!$H$3:$L$3,0)),"")</f>
        <v/>
      </c>
      <c r="I116" s="145"/>
      <c r="J116" s="540" t="str">
        <f>IF(I116="","",IF(VLOOKUP(I116,'G-7 Rivers Data'!$AG$4:$AI$9,2,FALSE)=0,"Spatial Data Missing ⚠",VLOOKUP(I116,'G-7 Rivers Data'!$AG$4:$AI$9,2,FALSE)))</f>
        <v/>
      </c>
      <c r="K116" s="499" t="str">
        <f>IF(I116="","",IF(VLOOKUP(I116,'G-7 Rivers Data'!$AG$4:$AI$9,3,FALSE)=0,"Spatial Data Missing ⚠",VLOOKUP(I116,'G-7 Rivers Data'!$AG$4:$AI$9,3,FALSE)))</f>
        <v/>
      </c>
      <c r="L116" s="635" t="str">
        <f>IFERROR(INDEX('G-7 Rivers Data'!$O$3:$O$7,MATCH(G116,'G-7 Rivers Data'!$N$3:$N$7,0)),"")</f>
        <v/>
      </c>
      <c r="M116" s="72"/>
      <c r="N116" s="195"/>
      <c r="O116" s="507" t="str">
        <f t="shared" si="7"/>
        <v/>
      </c>
      <c r="P116" s="521" t="str">
        <f t="shared" si="8"/>
        <v/>
      </c>
      <c r="Q116" s="564" t="str">
        <f>IFERROR(IF(P116="Check Data ⚠","Check Data ⚠",VLOOKUP(P116,'G-4 Temporal multipliers'!$A$4:$C$37,3,FALSE)),"")</f>
        <v/>
      </c>
      <c r="R116" s="498" t="str">
        <f>IF(C116="","",VLOOKUP(C116,'G-7 Rivers Data'!$B$4:$G$8,4,FALSE))</f>
        <v/>
      </c>
      <c r="S116" s="507" t="str">
        <f t="shared" si="9"/>
        <v/>
      </c>
      <c r="T116" s="540" t="str">
        <f t="shared" si="10"/>
        <v/>
      </c>
      <c r="U116" s="499" t="str">
        <f t="shared" si="11"/>
        <v/>
      </c>
      <c r="V116" s="71"/>
      <c r="W116" s="499" t="str">
        <f>IF(V116="","",IF(VLOOKUP(V116,'G-7 Rivers Data'!$AA$4:$AB$7,2,FALSE)=0,"Spatial Data Missing ⚠",VLOOKUP(V116,'G-7 Rivers Data'!$AA$4:$AB$7,2,FALSE)))</f>
        <v/>
      </c>
      <c r="X116" s="155"/>
      <c r="Y116" s="499" t="str">
        <f>IF(X116="","",IF(VLOOKUP(X116,'G-7 Rivers Data'!$AD$4:$AE$8,2,FALSE)=0,"Enrcoachment Data Missing ⚠",VLOOKUP(X116,'G-7 Rivers Data'!$AD$4:$AE$8,2,FALSE)))</f>
        <v/>
      </c>
      <c r="Z116" s="154"/>
      <c r="AA116" s="524" t="str">
        <f>IF(Z116="","",VLOOKUP(Z116,'G-7 Rivers Data'!$AO$4:$AP$7,2,FALSE))</f>
        <v/>
      </c>
      <c r="AB116" s="545" t="str">
        <f t="shared" si="12"/>
        <v/>
      </c>
      <c r="AC116" s="149"/>
      <c r="AD116" s="150"/>
      <c r="AK116" s="31" t="str">
        <f>IFERROR(INDEX('G-7 Rivers Data'!$AZ$3:$AZ$7,MATCH(C116,'G-7 Rivers Data'!$AY$3:$AY$7,0)),"")</f>
        <v/>
      </c>
    </row>
    <row r="117" spans="2:37" ht="13.8" x14ac:dyDescent="0.25">
      <c r="B117" s="141">
        <v>106</v>
      </c>
      <c r="C117" s="666"/>
      <c r="D117" s="172"/>
      <c r="E117" s="498" t="str">
        <f>IF(C117="","",VLOOKUP(C117,'G-7 Rivers Data'!$B$2:$Z$9,2,FALSE))</f>
        <v/>
      </c>
      <c r="F117" s="499" t="str">
        <f>IFERROR(VLOOKUP(E117,'G-7 Rivers Data'!$C$4:$D$8,2,FALSE),"")</f>
        <v/>
      </c>
      <c r="G117" s="145"/>
      <c r="H117" s="499" t="str">
        <f>IFERROR(INDEX('G-7 Rivers Data'!$H$4:$L$8,MATCH(C117,'G-7 Rivers Data'!$B$4:$B$8,0),MATCH(G117,'G-7 Rivers Data'!$H$3:$L$3,0)),"")</f>
        <v/>
      </c>
      <c r="I117" s="145"/>
      <c r="J117" s="540" t="str">
        <f>IF(I117="","",IF(VLOOKUP(I117,'G-7 Rivers Data'!$AG$4:$AI$9,2,FALSE)=0,"Spatial Data Missing ⚠",VLOOKUP(I117,'G-7 Rivers Data'!$AG$4:$AI$9,2,FALSE)))</f>
        <v/>
      </c>
      <c r="K117" s="499" t="str">
        <f>IF(I117="","",IF(VLOOKUP(I117,'G-7 Rivers Data'!$AG$4:$AI$9,3,FALSE)=0,"Spatial Data Missing ⚠",VLOOKUP(I117,'G-7 Rivers Data'!$AG$4:$AI$9,3,FALSE)))</f>
        <v/>
      </c>
      <c r="L117" s="635" t="str">
        <f>IFERROR(INDEX('G-7 Rivers Data'!$O$3:$O$7,MATCH(G117,'G-7 Rivers Data'!$N$3:$N$7,0)),"")</f>
        <v/>
      </c>
      <c r="M117" s="72"/>
      <c r="N117" s="195"/>
      <c r="O117" s="507" t="str">
        <f t="shared" si="7"/>
        <v/>
      </c>
      <c r="P117" s="521" t="str">
        <f t="shared" si="8"/>
        <v/>
      </c>
      <c r="Q117" s="564" t="str">
        <f>IFERROR(IF(P117="Check Data ⚠","Check Data ⚠",VLOOKUP(P117,'G-4 Temporal multipliers'!$A$4:$C$37,3,FALSE)),"")</f>
        <v/>
      </c>
      <c r="R117" s="498" t="str">
        <f>IF(C117="","",VLOOKUP(C117,'G-7 Rivers Data'!$B$4:$G$8,4,FALSE))</f>
        <v/>
      </c>
      <c r="S117" s="507" t="str">
        <f t="shared" si="9"/>
        <v/>
      </c>
      <c r="T117" s="540" t="str">
        <f t="shared" si="10"/>
        <v/>
      </c>
      <c r="U117" s="499" t="str">
        <f t="shared" si="11"/>
        <v/>
      </c>
      <c r="V117" s="71"/>
      <c r="W117" s="499" t="str">
        <f>IF(V117="","",IF(VLOOKUP(V117,'G-7 Rivers Data'!$AA$4:$AB$7,2,FALSE)=0,"Spatial Data Missing ⚠",VLOOKUP(V117,'G-7 Rivers Data'!$AA$4:$AB$7,2,FALSE)))</f>
        <v/>
      </c>
      <c r="X117" s="155"/>
      <c r="Y117" s="499" t="str">
        <f>IF(X117="","",IF(VLOOKUP(X117,'G-7 Rivers Data'!$AD$4:$AE$8,2,FALSE)=0,"Enrcoachment Data Missing ⚠",VLOOKUP(X117,'G-7 Rivers Data'!$AD$4:$AE$8,2,FALSE)))</f>
        <v/>
      </c>
      <c r="Z117" s="154"/>
      <c r="AA117" s="524" t="str">
        <f>IF(Z117="","",VLOOKUP(Z117,'G-7 Rivers Data'!$AO$4:$AP$7,2,FALSE))</f>
        <v/>
      </c>
      <c r="AB117" s="545" t="str">
        <f t="shared" si="12"/>
        <v/>
      </c>
      <c r="AC117" s="149"/>
      <c r="AD117" s="150"/>
      <c r="AK117" s="31" t="str">
        <f>IFERROR(INDEX('G-7 Rivers Data'!$AZ$3:$AZ$7,MATCH(C117,'G-7 Rivers Data'!$AY$3:$AY$7,0)),"")</f>
        <v/>
      </c>
    </row>
    <row r="118" spans="2:37" ht="13.8" x14ac:dyDescent="0.25">
      <c r="B118" s="141">
        <v>107</v>
      </c>
      <c r="C118" s="666"/>
      <c r="D118" s="172"/>
      <c r="E118" s="498" t="str">
        <f>IF(C118="","",VLOOKUP(C118,'G-7 Rivers Data'!$B$2:$Z$9,2,FALSE))</f>
        <v/>
      </c>
      <c r="F118" s="499" t="str">
        <f>IFERROR(VLOOKUP(E118,'G-7 Rivers Data'!$C$4:$D$8,2,FALSE),"")</f>
        <v/>
      </c>
      <c r="G118" s="145"/>
      <c r="H118" s="499" t="str">
        <f>IFERROR(INDEX('G-7 Rivers Data'!$H$4:$L$8,MATCH(C118,'G-7 Rivers Data'!$B$4:$B$8,0),MATCH(G118,'G-7 Rivers Data'!$H$3:$L$3,0)),"")</f>
        <v/>
      </c>
      <c r="I118" s="145"/>
      <c r="J118" s="540" t="str">
        <f>IF(I118="","",IF(VLOOKUP(I118,'G-7 Rivers Data'!$AG$4:$AI$9,2,FALSE)=0,"Spatial Data Missing ⚠",VLOOKUP(I118,'G-7 Rivers Data'!$AG$4:$AI$9,2,FALSE)))</f>
        <v/>
      </c>
      <c r="K118" s="499" t="str">
        <f>IF(I118="","",IF(VLOOKUP(I118,'G-7 Rivers Data'!$AG$4:$AI$9,3,FALSE)=0,"Spatial Data Missing ⚠",VLOOKUP(I118,'G-7 Rivers Data'!$AG$4:$AI$9,3,FALSE)))</f>
        <v/>
      </c>
      <c r="L118" s="635" t="str">
        <f>IFERROR(INDEX('G-7 Rivers Data'!$O$3:$O$7,MATCH(G118,'G-7 Rivers Data'!$N$3:$N$7,0)),"")</f>
        <v/>
      </c>
      <c r="M118" s="72"/>
      <c r="N118" s="195"/>
      <c r="O118" s="507" t="str">
        <f t="shared" si="7"/>
        <v/>
      </c>
      <c r="P118" s="521" t="str">
        <f t="shared" si="8"/>
        <v/>
      </c>
      <c r="Q118" s="564" t="str">
        <f>IFERROR(IF(P118="Check Data ⚠","Check Data ⚠",VLOOKUP(P118,'G-4 Temporal multipliers'!$A$4:$C$37,3,FALSE)),"")</f>
        <v/>
      </c>
      <c r="R118" s="498" t="str">
        <f>IF(C118="","",VLOOKUP(C118,'G-7 Rivers Data'!$B$4:$G$8,4,FALSE))</f>
        <v/>
      </c>
      <c r="S118" s="507" t="str">
        <f t="shared" si="9"/>
        <v/>
      </c>
      <c r="T118" s="540" t="str">
        <f t="shared" si="10"/>
        <v/>
      </c>
      <c r="U118" s="499" t="str">
        <f t="shared" si="11"/>
        <v/>
      </c>
      <c r="V118" s="71"/>
      <c r="W118" s="499" t="str">
        <f>IF(V118="","",IF(VLOOKUP(V118,'G-7 Rivers Data'!$AA$4:$AB$7,2,FALSE)=0,"Spatial Data Missing ⚠",VLOOKUP(V118,'G-7 Rivers Data'!$AA$4:$AB$7,2,FALSE)))</f>
        <v/>
      </c>
      <c r="X118" s="155"/>
      <c r="Y118" s="499" t="str">
        <f>IF(X118="","",IF(VLOOKUP(X118,'G-7 Rivers Data'!$AD$4:$AE$8,2,FALSE)=0,"Enrcoachment Data Missing ⚠",VLOOKUP(X118,'G-7 Rivers Data'!$AD$4:$AE$8,2,FALSE)))</f>
        <v/>
      </c>
      <c r="Z118" s="154"/>
      <c r="AA118" s="524" t="str">
        <f>IF(Z118="","",VLOOKUP(Z118,'G-7 Rivers Data'!$AO$4:$AP$7,2,FALSE))</f>
        <v/>
      </c>
      <c r="AB118" s="545" t="str">
        <f t="shared" si="12"/>
        <v/>
      </c>
      <c r="AC118" s="149"/>
      <c r="AD118" s="150"/>
      <c r="AK118" s="31" t="str">
        <f>IFERROR(INDEX('G-7 Rivers Data'!$AZ$3:$AZ$7,MATCH(C118,'G-7 Rivers Data'!$AY$3:$AY$7,0)),"")</f>
        <v/>
      </c>
    </row>
    <row r="119" spans="2:37" ht="13.8" x14ac:dyDescent="0.25">
      <c r="B119" s="141">
        <v>108</v>
      </c>
      <c r="C119" s="666"/>
      <c r="D119" s="172"/>
      <c r="E119" s="498" t="str">
        <f>IF(C119="","",VLOOKUP(C119,'G-7 Rivers Data'!$B$2:$Z$9,2,FALSE))</f>
        <v/>
      </c>
      <c r="F119" s="499" t="str">
        <f>IFERROR(VLOOKUP(E119,'G-7 Rivers Data'!$C$4:$D$8,2,FALSE),"")</f>
        <v/>
      </c>
      <c r="G119" s="145"/>
      <c r="H119" s="499" t="str">
        <f>IFERROR(INDEX('G-7 Rivers Data'!$H$4:$L$8,MATCH(C119,'G-7 Rivers Data'!$B$4:$B$8,0),MATCH(G119,'G-7 Rivers Data'!$H$3:$L$3,0)),"")</f>
        <v/>
      </c>
      <c r="I119" s="145"/>
      <c r="J119" s="540" t="str">
        <f>IF(I119="","",IF(VLOOKUP(I119,'G-7 Rivers Data'!$AG$4:$AI$9,2,FALSE)=0,"Spatial Data Missing ⚠",VLOOKUP(I119,'G-7 Rivers Data'!$AG$4:$AI$9,2,FALSE)))</f>
        <v/>
      </c>
      <c r="K119" s="499" t="str">
        <f>IF(I119="","",IF(VLOOKUP(I119,'G-7 Rivers Data'!$AG$4:$AI$9,3,FALSE)=0,"Spatial Data Missing ⚠",VLOOKUP(I119,'G-7 Rivers Data'!$AG$4:$AI$9,3,FALSE)))</f>
        <v/>
      </c>
      <c r="L119" s="635" t="str">
        <f>IFERROR(INDEX('G-7 Rivers Data'!$O$3:$O$7,MATCH(G119,'G-7 Rivers Data'!$N$3:$N$7,0)),"")</f>
        <v/>
      </c>
      <c r="M119" s="72"/>
      <c r="N119" s="195"/>
      <c r="O119" s="507" t="str">
        <f t="shared" si="7"/>
        <v/>
      </c>
      <c r="P119" s="521" t="str">
        <f t="shared" si="8"/>
        <v/>
      </c>
      <c r="Q119" s="564" t="str">
        <f>IFERROR(IF(P119="Check Data ⚠","Check Data ⚠",VLOOKUP(P119,'G-4 Temporal multipliers'!$A$4:$C$37,3,FALSE)),"")</f>
        <v/>
      </c>
      <c r="R119" s="498" t="str">
        <f>IF(C119="","",VLOOKUP(C119,'G-7 Rivers Data'!$B$4:$G$8,4,FALSE))</f>
        <v/>
      </c>
      <c r="S119" s="507" t="str">
        <f t="shared" si="9"/>
        <v/>
      </c>
      <c r="T119" s="540" t="str">
        <f t="shared" si="10"/>
        <v/>
      </c>
      <c r="U119" s="499" t="str">
        <f t="shared" si="11"/>
        <v/>
      </c>
      <c r="V119" s="71"/>
      <c r="W119" s="499" t="str">
        <f>IF(V119="","",IF(VLOOKUP(V119,'G-7 Rivers Data'!$AA$4:$AB$7,2,FALSE)=0,"Spatial Data Missing ⚠",VLOOKUP(V119,'G-7 Rivers Data'!$AA$4:$AB$7,2,FALSE)))</f>
        <v/>
      </c>
      <c r="X119" s="155"/>
      <c r="Y119" s="499" t="str">
        <f>IF(X119="","",IF(VLOOKUP(X119,'G-7 Rivers Data'!$AD$4:$AE$8,2,FALSE)=0,"Enrcoachment Data Missing ⚠",VLOOKUP(X119,'G-7 Rivers Data'!$AD$4:$AE$8,2,FALSE)))</f>
        <v/>
      </c>
      <c r="Z119" s="154"/>
      <c r="AA119" s="524" t="str">
        <f>IF(Z119="","",VLOOKUP(Z119,'G-7 Rivers Data'!$AO$4:$AP$7,2,FALSE))</f>
        <v/>
      </c>
      <c r="AB119" s="545" t="str">
        <f t="shared" si="12"/>
        <v/>
      </c>
      <c r="AC119" s="149"/>
      <c r="AD119" s="150"/>
      <c r="AK119" s="31" t="str">
        <f>IFERROR(INDEX('G-7 Rivers Data'!$AZ$3:$AZ$7,MATCH(C119,'G-7 Rivers Data'!$AY$3:$AY$7,0)),"")</f>
        <v/>
      </c>
    </row>
    <row r="120" spans="2:37" ht="13.8" x14ac:dyDescent="0.25">
      <c r="B120" s="141">
        <v>109</v>
      </c>
      <c r="C120" s="666"/>
      <c r="D120" s="172"/>
      <c r="E120" s="498" t="str">
        <f>IF(C120="","",VLOOKUP(C120,'G-7 Rivers Data'!$B$2:$Z$9,2,FALSE))</f>
        <v/>
      </c>
      <c r="F120" s="499" t="str">
        <f>IFERROR(VLOOKUP(E120,'G-7 Rivers Data'!$C$4:$D$8,2,FALSE),"")</f>
        <v/>
      </c>
      <c r="G120" s="145"/>
      <c r="H120" s="499" t="str">
        <f>IFERROR(INDEX('G-7 Rivers Data'!$H$4:$L$8,MATCH(C120,'G-7 Rivers Data'!$B$4:$B$8,0),MATCH(G120,'G-7 Rivers Data'!$H$3:$L$3,0)),"")</f>
        <v/>
      </c>
      <c r="I120" s="145"/>
      <c r="J120" s="540" t="str">
        <f>IF(I120="","",IF(VLOOKUP(I120,'G-7 Rivers Data'!$AG$4:$AI$9,2,FALSE)=0,"Spatial Data Missing ⚠",VLOOKUP(I120,'G-7 Rivers Data'!$AG$4:$AI$9,2,FALSE)))</f>
        <v/>
      </c>
      <c r="K120" s="499" t="str">
        <f>IF(I120="","",IF(VLOOKUP(I120,'G-7 Rivers Data'!$AG$4:$AI$9,3,FALSE)=0,"Spatial Data Missing ⚠",VLOOKUP(I120,'G-7 Rivers Data'!$AG$4:$AI$9,3,FALSE)))</f>
        <v/>
      </c>
      <c r="L120" s="635" t="str">
        <f>IFERROR(INDEX('G-7 Rivers Data'!$O$3:$O$7,MATCH(G120,'G-7 Rivers Data'!$N$3:$N$7,0)),"")</f>
        <v/>
      </c>
      <c r="M120" s="72"/>
      <c r="N120" s="195"/>
      <c r="O120" s="507" t="str">
        <f t="shared" si="7"/>
        <v/>
      </c>
      <c r="P120" s="521" t="str">
        <f t="shared" si="8"/>
        <v/>
      </c>
      <c r="Q120" s="564" t="str">
        <f>IFERROR(IF(P120="Check Data ⚠","Check Data ⚠",VLOOKUP(P120,'G-4 Temporal multipliers'!$A$4:$C$37,3,FALSE)),"")</f>
        <v/>
      </c>
      <c r="R120" s="498" t="str">
        <f>IF(C120="","",VLOOKUP(C120,'G-7 Rivers Data'!$B$4:$G$8,4,FALSE))</f>
        <v/>
      </c>
      <c r="S120" s="507" t="str">
        <f t="shared" si="9"/>
        <v/>
      </c>
      <c r="T120" s="540" t="str">
        <f t="shared" si="10"/>
        <v/>
      </c>
      <c r="U120" s="499" t="str">
        <f t="shared" si="11"/>
        <v/>
      </c>
      <c r="V120" s="71"/>
      <c r="W120" s="499" t="str">
        <f>IF(V120="","",IF(VLOOKUP(V120,'G-7 Rivers Data'!$AA$4:$AB$7,2,FALSE)=0,"Spatial Data Missing ⚠",VLOOKUP(V120,'G-7 Rivers Data'!$AA$4:$AB$7,2,FALSE)))</f>
        <v/>
      </c>
      <c r="X120" s="155"/>
      <c r="Y120" s="499" t="str">
        <f>IF(X120="","",IF(VLOOKUP(X120,'G-7 Rivers Data'!$AD$4:$AE$8,2,FALSE)=0,"Enrcoachment Data Missing ⚠",VLOOKUP(X120,'G-7 Rivers Data'!$AD$4:$AE$8,2,FALSE)))</f>
        <v/>
      </c>
      <c r="Z120" s="154"/>
      <c r="AA120" s="524" t="str">
        <f>IF(Z120="","",VLOOKUP(Z120,'G-7 Rivers Data'!$AO$4:$AP$7,2,FALSE))</f>
        <v/>
      </c>
      <c r="AB120" s="545" t="str">
        <f t="shared" si="12"/>
        <v/>
      </c>
      <c r="AC120" s="149"/>
      <c r="AD120" s="150"/>
      <c r="AK120" s="31" t="str">
        <f>IFERROR(INDEX('G-7 Rivers Data'!$AZ$3:$AZ$7,MATCH(C120,'G-7 Rivers Data'!$AY$3:$AY$7,0)),"")</f>
        <v/>
      </c>
    </row>
    <row r="121" spans="2:37" ht="13.8" x14ac:dyDescent="0.25">
      <c r="B121" s="141">
        <v>110</v>
      </c>
      <c r="C121" s="666"/>
      <c r="D121" s="172"/>
      <c r="E121" s="498" t="str">
        <f>IF(C121="","",VLOOKUP(C121,'G-7 Rivers Data'!$B$2:$Z$9,2,FALSE))</f>
        <v/>
      </c>
      <c r="F121" s="499" t="str">
        <f>IFERROR(VLOOKUP(E121,'G-7 Rivers Data'!$C$4:$D$8,2,FALSE),"")</f>
        <v/>
      </c>
      <c r="G121" s="145"/>
      <c r="H121" s="499" t="str">
        <f>IFERROR(INDEX('G-7 Rivers Data'!$H$4:$L$8,MATCH(C121,'G-7 Rivers Data'!$B$4:$B$8,0),MATCH(G121,'G-7 Rivers Data'!$H$3:$L$3,0)),"")</f>
        <v/>
      </c>
      <c r="I121" s="145"/>
      <c r="J121" s="540" t="str">
        <f>IF(I121="","",IF(VLOOKUP(I121,'G-7 Rivers Data'!$AG$4:$AI$9,2,FALSE)=0,"Spatial Data Missing ⚠",VLOOKUP(I121,'G-7 Rivers Data'!$AG$4:$AI$9,2,FALSE)))</f>
        <v/>
      </c>
      <c r="K121" s="499" t="str">
        <f>IF(I121="","",IF(VLOOKUP(I121,'G-7 Rivers Data'!$AG$4:$AI$9,3,FALSE)=0,"Spatial Data Missing ⚠",VLOOKUP(I121,'G-7 Rivers Data'!$AG$4:$AI$9,3,FALSE)))</f>
        <v/>
      </c>
      <c r="L121" s="635" t="str">
        <f>IFERROR(INDEX('G-7 Rivers Data'!$O$3:$O$7,MATCH(G121,'G-7 Rivers Data'!$N$3:$N$7,0)),"")</f>
        <v/>
      </c>
      <c r="M121" s="72"/>
      <c r="N121" s="195"/>
      <c r="O121" s="507" t="str">
        <f t="shared" si="7"/>
        <v/>
      </c>
      <c r="P121" s="521" t="str">
        <f t="shared" si="8"/>
        <v/>
      </c>
      <c r="Q121" s="564" t="str">
        <f>IFERROR(IF(P121="Check Data ⚠","Check Data ⚠",VLOOKUP(P121,'G-4 Temporal multipliers'!$A$4:$C$37,3,FALSE)),"")</f>
        <v/>
      </c>
      <c r="R121" s="498" t="str">
        <f>IF(C121="","",VLOOKUP(C121,'G-7 Rivers Data'!$B$4:$G$8,4,FALSE))</f>
        <v/>
      </c>
      <c r="S121" s="507" t="str">
        <f t="shared" si="9"/>
        <v/>
      </c>
      <c r="T121" s="540" t="str">
        <f t="shared" si="10"/>
        <v/>
      </c>
      <c r="U121" s="499" t="str">
        <f t="shared" si="11"/>
        <v/>
      </c>
      <c r="V121" s="71"/>
      <c r="W121" s="499" t="str">
        <f>IF(V121="","",IF(VLOOKUP(V121,'G-7 Rivers Data'!$AA$4:$AB$7,2,FALSE)=0,"Spatial Data Missing ⚠",VLOOKUP(V121,'G-7 Rivers Data'!$AA$4:$AB$7,2,FALSE)))</f>
        <v/>
      </c>
      <c r="X121" s="155"/>
      <c r="Y121" s="499" t="str">
        <f>IF(X121="","",IF(VLOOKUP(X121,'G-7 Rivers Data'!$AD$4:$AE$8,2,FALSE)=0,"Enrcoachment Data Missing ⚠",VLOOKUP(X121,'G-7 Rivers Data'!$AD$4:$AE$8,2,FALSE)))</f>
        <v/>
      </c>
      <c r="Z121" s="154"/>
      <c r="AA121" s="524" t="str">
        <f>IF(Z121="","",VLOOKUP(Z121,'G-7 Rivers Data'!$AO$4:$AP$7,2,FALSE))</f>
        <v/>
      </c>
      <c r="AB121" s="545" t="str">
        <f t="shared" si="12"/>
        <v/>
      </c>
      <c r="AC121" s="149"/>
      <c r="AD121" s="150"/>
      <c r="AK121" s="31" t="str">
        <f>IFERROR(INDEX('G-7 Rivers Data'!$AZ$3:$AZ$7,MATCH(C121,'G-7 Rivers Data'!$AY$3:$AY$7,0)),"")</f>
        <v/>
      </c>
    </row>
    <row r="122" spans="2:37" ht="13.8" x14ac:dyDescent="0.25">
      <c r="B122" s="141">
        <v>111</v>
      </c>
      <c r="C122" s="666"/>
      <c r="D122" s="172"/>
      <c r="E122" s="498" t="str">
        <f>IF(C122="","",VLOOKUP(C122,'G-7 Rivers Data'!$B$2:$Z$9,2,FALSE))</f>
        <v/>
      </c>
      <c r="F122" s="499" t="str">
        <f>IFERROR(VLOOKUP(E122,'G-7 Rivers Data'!$C$4:$D$8,2,FALSE),"")</f>
        <v/>
      </c>
      <c r="G122" s="145"/>
      <c r="H122" s="499" t="str">
        <f>IFERROR(INDEX('G-7 Rivers Data'!$H$4:$L$8,MATCH(C122,'G-7 Rivers Data'!$B$4:$B$8,0),MATCH(G122,'G-7 Rivers Data'!$H$3:$L$3,0)),"")</f>
        <v/>
      </c>
      <c r="I122" s="145"/>
      <c r="J122" s="540" t="str">
        <f>IF(I122="","",IF(VLOOKUP(I122,'G-7 Rivers Data'!$AG$4:$AI$9,2,FALSE)=0,"Spatial Data Missing ⚠",VLOOKUP(I122,'G-7 Rivers Data'!$AG$4:$AI$9,2,FALSE)))</f>
        <v/>
      </c>
      <c r="K122" s="499" t="str">
        <f>IF(I122="","",IF(VLOOKUP(I122,'G-7 Rivers Data'!$AG$4:$AI$9,3,FALSE)=0,"Spatial Data Missing ⚠",VLOOKUP(I122,'G-7 Rivers Data'!$AG$4:$AI$9,3,FALSE)))</f>
        <v/>
      </c>
      <c r="L122" s="635" t="str">
        <f>IFERROR(INDEX('G-7 Rivers Data'!$O$3:$O$7,MATCH(G122,'G-7 Rivers Data'!$N$3:$N$7,0)),"")</f>
        <v/>
      </c>
      <c r="M122" s="72"/>
      <c r="N122" s="195"/>
      <c r="O122" s="507" t="str">
        <f t="shared" si="7"/>
        <v/>
      </c>
      <c r="P122" s="521" t="str">
        <f t="shared" si="8"/>
        <v/>
      </c>
      <c r="Q122" s="564" t="str">
        <f>IFERROR(IF(P122="Check Data ⚠","Check Data ⚠",VLOOKUP(P122,'G-4 Temporal multipliers'!$A$4:$C$37,3,FALSE)),"")</f>
        <v/>
      </c>
      <c r="R122" s="498" t="str">
        <f>IF(C122="","",VLOOKUP(C122,'G-7 Rivers Data'!$B$4:$G$8,4,FALSE))</f>
        <v/>
      </c>
      <c r="S122" s="507" t="str">
        <f t="shared" si="9"/>
        <v/>
      </c>
      <c r="T122" s="540" t="str">
        <f t="shared" si="10"/>
        <v/>
      </c>
      <c r="U122" s="499" t="str">
        <f t="shared" si="11"/>
        <v/>
      </c>
      <c r="V122" s="71"/>
      <c r="W122" s="499" t="str">
        <f>IF(V122="","",IF(VLOOKUP(V122,'G-7 Rivers Data'!$AA$4:$AB$7,2,FALSE)=0,"Spatial Data Missing ⚠",VLOOKUP(V122,'G-7 Rivers Data'!$AA$4:$AB$7,2,FALSE)))</f>
        <v/>
      </c>
      <c r="X122" s="155"/>
      <c r="Y122" s="499" t="str">
        <f>IF(X122="","",IF(VLOOKUP(X122,'G-7 Rivers Data'!$AD$4:$AE$8,2,FALSE)=0,"Enrcoachment Data Missing ⚠",VLOOKUP(X122,'G-7 Rivers Data'!$AD$4:$AE$8,2,FALSE)))</f>
        <v/>
      </c>
      <c r="Z122" s="154"/>
      <c r="AA122" s="524" t="str">
        <f>IF(Z122="","",VLOOKUP(Z122,'G-7 Rivers Data'!$AO$4:$AP$7,2,FALSE))</f>
        <v/>
      </c>
      <c r="AB122" s="545" t="str">
        <f t="shared" si="12"/>
        <v/>
      </c>
      <c r="AC122" s="149"/>
      <c r="AD122" s="150"/>
      <c r="AK122" s="31" t="str">
        <f>IFERROR(INDEX('G-7 Rivers Data'!$AZ$3:$AZ$7,MATCH(C122,'G-7 Rivers Data'!$AY$3:$AY$7,0)),"")</f>
        <v/>
      </c>
    </row>
    <row r="123" spans="2:37" ht="13.8" x14ac:dyDescent="0.25">
      <c r="B123" s="141">
        <v>112</v>
      </c>
      <c r="C123" s="666"/>
      <c r="D123" s="172"/>
      <c r="E123" s="498" t="str">
        <f>IF(C123="","",VLOOKUP(C123,'G-7 Rivers Data'!$B$2:$Z$9,2,FALSE))</f>
        <v/>
      </c>
      <c r="F123" s="499" t="str">
        <f>IFERROR(VLOOKUP(E123,'G-7 Rivers Data'!$C$4:$D$8,2,FALSE),"")</f>
        <v/>
      </c>
      <c r="G123" s="145"/>
      <c r="H123" s="499" t="str">
        <f>IFERROR(INDEX('G-7 Rivers Data'!$H$4:$L$8,MATCH(C123,'G-7 Rivers Data'!$B$4:$B$8,0),MATCH(G123,'G-7 Rivers Data'!$H$3:$L$3,0)),"")</f>
        <v/>
      </c>
      <c r="I123" s="145"/>
      <c r="J123" s="540" t="str">
        <f>IF(I123="","",IF(VLOOKUP(I123,'G-7 Rivers Data'!$AG$4:$AI$9,2,FALSE)=0,"Spatial Data Missing ⚠",VLOOKUP(I123,'G-7 Rivers Data'!$AG$4:$AI$9,2,FALSE)))</f>
        <v/>
      </c>
      <c r="K123" s="499" t="str">
        <f>IF(I123="","",IF(VLOOKUP(I123,'G-7 Rivers Data'!$AG$4:$AI$9,3,FALSE)=0,"Spatial Data Missing ⚠",VLOOKUP(I123,'G-7 Rivers Data'!$AG$4:$AI$9,3,FALSE)))</f>
        <v/>
      </c>
      <c r="L123" s="635" t="str">
        <f>IFERROR(INDEX('G-7 Rivers Data'!$O$3:$O$7,MATCH(G123,'G-7 Rivers Data'!$N$3:$N$7,0)),"")</f>
        <v/>
      </c>
      <c r="M123" s="72"/>
      <c r="N123" s="195"/>
      <c r="O123" s="507" t="str">
        <f t="shared" si="7"/>
        <v/>
      </c>
      <c r="P123" s="521" t="str">
        <f t="shared" si="8"/>
        <v/>
      </c>
      <c r="Q123" s="564" t="str">
        <f>IFERROR(IF(P123="Check Data ⚠","Check Data ⚠",VLOOKUP(P123,'G-4 Temporal multipliers'!$A$4:$C$37,3,FALSE)),"")</f>
        <v/>
      </c>
      <c r="R123" s="498" t="str">
        <f>IF(C123="","",VLOOKUP(C123,'G-7 Rivers Data'!$B$4:$G$8,4,FALSE))</f>
        <v/>
      </c>
      <c r="S123" s="507" t="str">
        <f t="shared" si="9"/>
        <v/>
      </c>
      <c r="T123" s="540" t="str">
        <f t="shared" si="10"/>
        <v/>
      </c>
      <c r="U123" s="499" t="str">
        <f t="shared" si="11"/>
        <v/>
      </c>
      <c r="V123" s="71"/>
      <c r="W123" s="499" t="str">
        <f>IF(V123="","",IF(VLOOKUP(V123,'G-7 Rivers Data'!$AA$4:$AB$7,2,FALSE)=0,"Spatial Data Missing ⚠",VLOOKUP(V123,'G-7 Rivers Data'!$AA$4:$AB$7,2,FALSE)))</f>
        <v/>
      </c>
      <c r="X123" s="155"/>
      <c r="Y123" s="499" t="str">
        <f>IF(X123="","",IF(VLOOKUP(X123,'G-7 Rivers Data'!$AD$4:$AE$8,2,FALSE)=0,"Enrcoachment Data Missing ⚠",VLOOKUP(X123,'G-7 Rivers Data'!$AD$4:$AE$8,2,FALSE)))</f>
        <v/>
      </c>
      <c r="Z123" s="154"/>
      <c r="AA123" s="524" t="str">
        <f>IF(Z123="","",VLOOKUP(Z123,'G-7 Rivers Data'!$AO$4:$AP$7,2,FALSE))</f>
        <v/>
      </c>
      <c r="AB123" s="545" t="str">
        <f t="shared" si="12"/>
        <v/>
      </c>
      <c r="AC123" s="149"/>
      <c r="AD123" s="150"/>
      <c r="AK123" s="31" t="str">
        <f>IFERROR(INDEX('G-7 Rivers Data'!$AZ$3:$AZ$7,MATCH(C123,'G-7 Rivers Data'!$AY$3:$AY$7,0)),"")</f>
        <v/>
      </c>
    </row>
    <row r="124" spans="2:37" ht="13.8" x14ac:dyDescent="0.25">
      <c r="B124" s="141">
        <v>113</v>
      </c>
      <c r="C124" s="666"/>
      <c r="D124" s="172"/>
      <c r="E124" s="498" t="str">
        <f>IF(C124="","",VLOOKUP(C124,'G-7 Rivers Data'!$B$2:$Z$9,2,FALSE))</f>
        <v/>
      </c>
      <c r="F124" s="499" t="str">
        <f>IFERROR(VLOOKUP(E124,'G-7 Rivers Data'!$C$4:$D$8,2,FALSE),"")</f>
        <v/>
      </c>
      <c r="G124" s="145"/>
      <c r="H124" s="499" t="str">
        <f>IFERROR(INDEX('G-7 Rivers Data'!$H$4:$L$8,MATCH(C124,'G-7 Rivers Data'!$B$4:$B$8,0),MATCH(G124,'G-7 Rivers Data'!$H$3:$L$3,0)),"")</f>
        <v/>
      </c>
      <c r="I124" s="145"/>
      <c r="J124" s="540" t="str">
        <f>IF(I124="","",IF(VLOOKUP(I124,'G-7 Rivers Data'!$AG$4:$AI$9,2,FALSE)=0,"Spatial Data Missing ⚠",VLOOKUP(I124,'G-7 Rivers Data'!$AG$4:$AI$9,2,FALSE)))</f>
        <v/>
      </c>
      <c r="K124" s="499" t="str">
        <f>IF(I124="","",IF(VLOOKUP(I124,'G-7 Rivers Data'!$AG$4:$AI$9,3,FALSE)=0,"Spatial Data Missing ⚠",VLOOKUP(I124,'G-7 Rivers Data'!$AG$4:$AI$9,3,FALSE)))</f>
        <v/>
      </c>
      <c r="L124" s="635" t="str">
        <f>IFERROR(INDEX('G-7 Rivers Data'!$O$3:$O$7,MATCH(G124,'G-7 Rivers Data'!$N$3:$N$7,0)),"")</f>
        <v/>
      </c>
      <c r="M124" s="72"/>
      <c r="N124" s="195"/>
      <c r="O124" s="507" t="str">
        <f t="shared" si="7"/>
        <v/>
      </c>
      <c r="P124" s="521" t="str">
        <f t="shared" si="8"/>
        <v/>
      </c>
      <c r="Q124" s="564" t="str">
        <f>IFERROR(IF(P124="Check Data ⚠","Check Data ⚠",VLOOKUP(P124,'G-4 Temporal multipliers'!$A$4:$C$37,3,FALSE)),"")</f>
        <v/>
      </c>
      <c r="R124" s="498" t="str">
        <f>IF(C124="","",VLOOKUP(C124,'G-7 Rivers Data'!$B$4:$G$8,4,FALSE))</f>
        <v/>
      </c>
      <c r="S124" s="507" t="str">
        <f t="shared" si="9"/>
        <v/>
      </c>
      <c r="T124" s="540" t="str">
        <f t="shared" si="10"/>
        <v/>
      </c>
      <c r="U124" s="499" t="str">
        <f t="shared" si="11"/>
        <v/>
      </c>
      <c r="V124" s="71"/>
      <c r="W124" s="499" t="str">
        <f>IF(V124="","",IF(VLOOKUP(V124,'G-7 Rivers Data'!$AA$4:$AB$7,2,FALSE)=0,"Spatial Data Missing ⚠",VLOOKUP(V124,'G-7 Rivers Data'!$AA$4:$AB$7,2,FALSE)))</f>
        <v/>
      </c>
      <c r="X124" s="155"/>
      <c r="Y124" s="499" t="str">
        <f>IF(X124="","",IF(VLOOKUP(X124,'G-7 Rivers Data'!$AD$4:$AE$8,2,FALSE)=0,"Enrcoachment Data Missing ⚠",VLOOKUP(X124,'G-7 Rivers Data'!$AD$4:$AE$8,2,FALSE)))</f>
        <v/>
      </c>
      <c r="Z124" s="154"/>
      <c r="AA124" s="524" t="str">
        <f>IF(Z124="","",VLOOKUP(Z124,'G-7 Rivers Data'!$AO$4:$AP$7,2,FALSE))</f>
        <v/>
      </c>
      <c r="AB124" s="545" t="str">
        <f t="shared" si="12"/>
        <v/>
      </c>
      <c r="AC124" s="149"/>
      <c r="AD124" s="150"/>
      <c r="AK124" s="31" t="str">
        <f>IFERROR(INDEX('G-7 Rivers Data'!$AZ$3:$AZ$7,MATCH(C124,'G-7 Rivers Data'!$AY$3:$AY$7,0)),"")</f>
        <v/>
      </c>
    </row>
    <row r="125" spans="2:37" ht="13.8" x14ac:dyDescent="0.25">
      <c r="B125" s="141">
        <v>114</v>
      </c>
      <c r="C125" s="666"/>
      <c r="D125" s="172"/>
      <c r="E125" s="498" t="str">
        <f>IF(C125="","",VLOOKUP(C125,'G-7 Rivers Data'!$B$2:$Z$9,2,FALSE))</f>
        <v/>
      </c>
      <c r="F125" s="499" t="str">
        <f>IFERROR(VLOOKUP(E125,'G-7 Rivers Data'!$C$4:$D$8,2,FALSE),"")</f>
        <v/>
      </c>
      <c r="G125" s="145"/>
      <c r="H125" s="499" t="str">
        <f>IFERROR(INDEX('G-7 Rivers Data'!$H$4:$L$8,MATCH(C125,'G-7 Rivers Data'!$B$4:$B$8,0),MATCH(G125,'G-7 Rivers Data'!$H$3:$L$3,0)),"")</f>
        <v/>
      </c>
      <c r="I125" s="145"/>
      <c r="J125" s="540" t="str">
        <f>IF(I125="","",IF(VLOOKUP(I125,'G-7 Rivers Data'!$AG$4:$AI$9,2,FALSE)=0,"Spatial Data Missing ⚠",VLOOKUP(I125,'G-7 Rivers Data'!$AG$4:$AI$9,2,FALSE)))</f>
        <v/>
      </c>
      <c r="K125" s="499" t="str">
        <f>IF(I125="","",IF(VLOOKUP(I125,'G-7 Rivers Data'!$AG$4:$AI$9,3,FALSE)=0,"Spatial Data Missing ⚠",VLOOKUP(I125,'G-7 Rivers Data'!$AG$4:$AI$9,3,FALSE)))</f>
        <v/>
      </c>
      <c r="L125" s="635" t="str">
        <f>IFERROR(INDEX('G-7 Rivers Data'!$O$3:$O$7,MATCH(G125,'G-7 Rivers Data'!$N$3:$N$7,0)),"")</f>
        <v/>
      </c>
      <c r="M125" s="72"/>
      <c r="N125" s="195"/>
      <c r="O125" s="507" t="str">
        <f t="shared" si="7"/>
        <v/>
      </c>
      <c r="P125" s="521" t="str">
        <f t="shared" si="8"/>
        <v/>
      </c>
      <c r="Q125" s="564" t="str">
        <f>IFERROR(IF(P125="Check Data ⚠","Check Data ⚠",VLOOKUP(P125,'G-4 Temporal multipliers'!$A$4:$C$37,3,FALSE)),"")</f>
        <v/>
      </c>
      <c r="R125" s="498" t="str">
        <f>IF(C125="","",VLOOKUP(C125,'G-7 Rivers Data'!$B$4:$G$8,4,FALSE))</f>
        <v/>
      </c>
      <c r="S125" s="507" t="str">
        <f t="shared" si="9"/>
        <v/>
      </c>
      <c r="T125" s="540" t="str">
        <f t="shared" si="10"/>
        <v/>
      </c>
      <c r="U125" s="499" t="str">
        <f t="shared" si="11"/>
        <v/>
      </c>
      <c r="V125" s="71"/>
      <c r="W125" s="499" t="str">
        <f>IF(V125="","",IF(VLOOKUP(V125,'G-7 Rivers Data'!$AA$4:$AB$7,2,FALSE)=0,"Spatial Data Missing ⚠",VLOOKUP(V125,'G-7 Rivers Data'!$AA$4:$AB$7,2,FALSE)))</f>
        <v/>
      </c>
      <c r="X125" s="155"/>
      <c r="Y125" s="499" t="str">
        <f>IF(X125="","",IF(VLOOKUP(X125,'G-7 Rivers Data'!$AD$4:$AE$8,2,FALSE)=0,"Enrcoachment Data Missing ⚠",VLOOKUP(X125,'G-7 Rivers Data'!$AD$4:$AE$8,2,FALSE)))</f>
        <v/>
      </c>
      <c r="Z125" s="154"/>
      <c r="AA125" s="524" t="str">
        <f>IF(Z125="","",VLOOKUP(Z125,'G-7 Rivers Data'!$AO$4:$AP$7,2,FALSE))</f>
        <v/>
      </c>
      <c r="AB125" s="545" t="str">
        <f t="shared" si="12"/>
        <v/>
      </c>
      <c r="AC125" s="149"/>
      <c r="AD125" s="150"/>
      <c r="AK125" s="31" t="str">
        <f>IFERROR(INDEX('G-7 Rivers Data'!$AZ$3:$AZ$7,MATCH(C125,'G-7 Rivers Data'!$AY$3:$AY$7,0)),"")</f>
        <v/>
      </c>
    </row>
    <row r="126" spans="2:37" ht="13.8" x14ac:dyDescent="0.25">
      <c r="B126" s="141">
        <v>115</v>
      </c>
      <c r="C126" s="666"/>
      <c r="D126" s="172"/>
      <c r="E126" s="498" t="str">
        <f>IF(C126="","",VLOOKUP(C126,'G-7 Rivers Data'!$B$2:$Z$9,2,FALSE))</f>
        <v/>
      </c>
      <c r="F126" s="499" t="str">
        <f>IFERROR(VLOOKUP(E126,'G-7 Rivers Data'!$C$4:$D$8,2,FALSE),"")</f>
        <v/>
      </c>
      <c r="G126" s="145"/>
      <c r="H126" s="499" t="str">
        <f>IFERROR(INDEX('G-7 Rivers Data'!$H$4:$L$8,MATCH(C126,'G-7 Rivers Data'!$B$4:$B$8,0),MATCH(G126,'G-7 Rivers Data'!$H$3:$L$3,0)),"")</f>
        <v/>
      </c>
      <c r="I126" s="145"/>
      <c r="J126" s="540" t="str">
        <f>IF(I126="","",IF(VLOOKUP(I126,'G-7 Rivers Data'!$AG$4:$AI$9,2,FALSE)=0,"Spatial Data Missing ⚠",VLOOKUP(I126,'G-7 Rivers Data'!$AG$4:$AI$9,2,FALSE)))</f>
        <v/>
      </c>
      <c r="K126" s="499" t="str">
        <f>IF(I126="","",IF(VLOOKUP(I126,'G-7 Rivers Data'!$AG$4:$AI$9,3,FALSE)=0,"Spatial Data Missing ⚠",VLOOKUP(I126,'G-7 Rivers Data'!$AG$4:$AI$9,3,FALSE)))</f>
        <v/>
      </c>
      <c r="L126" s="635" t="str">
        <f>IFERROR(INDEX('G-7 Rivers Data'!$O$3:$O$7,MATCH(G126,'G-7 Rivers Data'!$N$3:$N$7,0)),"")</f>
        <v/>
      </c>
      <c r="M126" s="72"/>
      <c r="N126" s="195"/>
      <c r="O126" s="507" t="str">
        <f t="shared" si="7"/>
        <v/>
      </c>
      <c r="P126" s="521" t="str">
        <f t="shared" si="8"/>
        <v/>
      </c>
      <c r="Q126" s="564" t="str">
        <f>IFERROR(IF(P126="Check Data ⚠","Check Data ⚠",VLOOKUP(P126,'G-4 Temporal multipliers'!$A$4:$C$37,3,FALSE)),"")</f>
        <v/>
      </c>
      <c r="R126" s="498" t="str">
        <f>IF(C126="","",VLOOKUP(C126,'G-7 Rivers Data'!$B$4:$G$8,4,FALSE))</f>
        <v/>
      </c>
      <c r="S126" s="507" t="str">
        <f t="shared" si="9"/>
        <v/>
      </c>
      <c r="T126" s="540" t="str">
        <f t="shared" si="10"/>
        <v/>
      </c>
      <c r="U126" s="499" t="str">
        <f t="shared" si="11"/>
        <v/>
      </c>
      <c r="V126" s="71"/>
      <c r="W126" s="499" t="str">
        <f>IF(V126="","",IF(VLOOKUP(V126,'G-7 Rivers Data'!$AA$4:$AB$7,2,FALSE)=0,"Spatial Data Missing ⚠",VLOOKUP(V126,'G-7 Rivers Data'!$AA$4:$AB$7,2,FALSE)))</f>
        <v/>
      </c>
      <c r="X126" s="155"/>
      <c r="Y126" s="499" t="str">
        <f>IF(X126="","",IF(VLOOKUP(X126,'G-7 Rivers Data'!$AD$4:$AE$8,2,FALSE)=0,"Enrcoachment Data Missing ⚠",VLOOKUP(X126,'G-7 Rivers Data'!$AD$4:$AE$8,2,FALSE)))</f>
        <v/>
      </c>
      <c r="Z126" s="154"/>
      <c r="AA126" s="524" t="str">
        <f>IF(Z126="","",VLOOKUP(Z126,'G-7 Rivers Data'!$AO$4:$AP$7,2,FALSE))</f>
        <v/>
      </c>
      <c r="AB126" s="545" t="str">
        <f t="shared" si="12"/>
        <v/>
      </c>
      <c r="AC126" s="149"/>
      <c r="AD126" s="150"/>
      <c r="AK126" s="31" t="str">
        <f>IFERROR(INDEX('G-7 Rivers Data'!$AZ$3:$AZ$7,MATCH(C126,'G-7 Rivers Data'!$AY$3:$AY$7,0)),"")</f>
        <v/>
      </c>
    </row>
    <row r="127" spans="2:37" ht="13.8" x14ac:dyDescent="0.25">
      <c r="B127" s="141">
        <v>116</v>
      </c>
      <c r="C127" s="666"/>
      <c r="D127" s="172"/>
      <c r="E127" s="498" t="str">
        <f>IF(C127="","",VLOOKUP(C127,'G-7 Rivers Data'!$B$2:$Z$9,2,FALSE))</f>
        <v/>
      </c>
      <c r="F127" s="499" t="str">
        <f>IFERROR(VLOOKUP(E127,'G-7 Rivers Data'!$C$4:$D$8,2,FALSE),"")</f>
        <v/>
      </c>
      <c r="G127" s="145"/>
      <c r="H127" s="499" t="str">
        <f>IFERROR(INDEX('G-7 Rivers Data'!$H$4:$L$8,MATCH(C127,'G-7 Rivers Data'!$B$4:$B$8,0),MATCH(G127,'G-7 Rivers Data'!$H$3:$L$3,0)),"")</f>
        <v/>
      </c>
      <c r="I127" s="145"/>
      <c r="J127" s="540" t="str">
        <f>IF(I127="","",IF(VLOOKUP(I127,'G-7 Rivers Data'!$AG$4:$AI$9,2,FALSE)=0,"Spatial Data Missing ⚠",VLOOKUP(I127,'G-7 Rivers Data'!$AG$4:$AI$9,2,FALSE)))</f>
        <v/>
      </c>
      <c r="K127" s="499" t="str">
        <f>IF(I127="","",IF(VLOOKUP(I127,'G-7 Rivers Data'!$AG$4:$AI$9,3,FALSE)=0,"Spatial Data Missing ⚠",VLOOKUP(I127,'G-7 Rivers Data'!$AG$4:$AI$9,3,FALSE)))</f>
        <v/>
      </c>
      <c r="L127" s="635" t="str">
        <f>IFERROR(INDEX('G-7 Rivers Data'!$O$3:$O$7,MATCH(G127,'G-7 Rivers Data'!$N$3:$N$7,0)),"")</f>
        <v/>
      </c>
      <c r="M127" s="72"/>
      <c r="N127" s="195"/>
      <c r="O127" s="507" t="str">
        <f t="shared" si="7"/>
        <v/>
      </c>
      <c r="P127" s="521" t="str">
        <f t="shared" si="8"/>
        <v/>
      </c>
      <c r="Q127" s="564" t="str">
        <f>IFERROR(IF(P127="Check Data ⚠","Check Data ⚠",VLOOKUP(P127,'G-4 Temporal multipliers'!$A$4:$C$37,3,FALSE)),"")</f>
        <v/>
      </c>
      <c r="R127" s="498" t="str">
        <f>IF(C127="","",VLOOKUP(C127,'G-7 Rivers Data'!$B$4:$G$8,4,FALSE))</f>
        <v/>
      </c>
      <c r="S127" s="507" t="str">
        <f t="shared" si="9"/>
        <v/>
      </c>
      <c r="T127" s="540" t="str">
        <f t="shared" si="10"/>
        <v/>
      </c>
      <c r="U127" s="499" t="str">
        <f t="shared" si="11"/>
        <v/>
      </c>
      <c r="V127" s="71"/>
      <c r="W127" s="499" t="str">
        <f>IF(V127="","",IF(VLOOKUP(V127,'G-7 Rivers Data'!$AA$4:$AB$7,2,FALSE)=0,"Spatial Data Missing ⚠",VLOOKUP(V127,'G-7 Rivers Data'!$AA$4:$AB$7,2,FALSE)))</f>
        <v/>
      </c>
      <c r="X127" s="155"/>
      <c r="Y127" s="499" t="str">
        <f>IF(X127="","",IF(VLOOKUP(X127,'G-7 Rivers Data'!$AD$4:$AE$8,2,FALSE)=0,"Enrcoachment Data Missing ⚠",VLOOKUP(X127,'G-7 Rivers Data'!$AD$4:$AE$8,2,FALSE)))</f>
        <v/>
      </c>
      <c r="Z127" s="154"/>
      <c r="AA127" s="524" t="str">
        <f>IF(Z127="","",VLOOKUP(Z127,'G-7 Rivers Data'!$AO$4:$AP$7,2,FALSE))</f>
        <v/>
      </c>
      <c r="AB127" s="545" t="str">
        <f t="shared" si="12"/>
        <v/>
      </c>
      <c r="AC127" s="149"/>
      <c r="AD127" s="150"/>
      <c r="AK127" s="31" t="str">
        <f>IFERROR(INDEX('G-7 Rivers Data'!$AZ$3:$AZ$7,MATCH(C127,'G-7 Rivers Data'!$AY$3:$AY$7,0)),"")</f>
        <v/>
      </c>
    </row>
    <row r="128" spans="2:37" ht="13.8" x14ac:dyDescent="0.25">
      <c r="B128" s="141">
        <v>117</v>
      </c>
      <c r="C128" s="666"/>
      <c r="D128" s="172"/>
      <c r="E128" s="498" t="str">
        <f>IF(C128="","",VLOOKUP(C128,'G-7 Rivers Data'!$B$2:$Z$9,2,FALSE))</f>
        <v/>
      </c>
      <c r="F128" s="499" t="str">
        <f>IFERROR(VLOOKUP(E128,'G-7 Rivers Data'!$C$4:$D$8,2,FALSE),"")</f>
        <v/>
      </c>
      <c r="G128" s="145"/>
      <c r="H128" s="499" t="str">
        <f>IFERROR(INDEX('G-7 Rivers Data'!$H$4:$L$8,MATCH(C128,'G-7 Rivers Data'!$B$4:$B$8,0),MATCH(G128,'G-7 Rivers Data'!$H$3:$L$3,0)),"")</f>
        <v/>
      </c>
      <c r="I128" s="145"/>
      <c r="J128" s="540" t="str">
        <f>IF(I128="","",IF(VLOOKUP(I128,'G-7 Rivers Data'!$AG$4:$AI$9,2,FALSE)=0,"Spatial Data Missing ⚠",VLOOKUP(I128,'G-7 Rivers Data'!$AG$4:$AI$9,2,FALSE)))</f>
        <v/>
      </c>
      <c r="K128" s="499" t="str">
        <f>IF(I128="","",IF(VLOOKUP(I128,'G-7 Rivers Data'!$AG$4:$AI$9,3,FALSE)=0,"Spatial Data Missing ⚠",VLOOKUP(I128,'G-7 Rivers Data'!$AG$4:$AI$9,3,FALSE)))</f>
        <v/>
      </c>
      <c r="L128" s="635" t="str">
        <f>IFERROR(INDEX('G-7 Rivers Data'!$O$3:$O$7,MATCH(G128,'G-7 Rivers Data'!$N$3:$N$7,0)),"")</f>
        <v/>
      </c>
      <c r="M128" s="72"/>
      <c r="N128" s="195"/>
      <c r="O128" s="507" t="str">
        <f t="shared" si="7"/>
        <v/>
      </c>
      <c r="P128" s="521" t="str">
        <f t="shared" si="8"/>
        <v/>
      </c>
      <c r="Q128" s="564" t="str">
        <f>IFERROR(IF(P128="Check Data ⚠","Check Data ⚠",VLOOKUP(P128,'G-4 Temporal multipliers'!$A$4:$C$37,3,FALSE)),"")</f>
        <v/>
      </c>
      <c r="R128" s="498" t="str">
        <f>IF(C128="","",VLOOKUP(C128,'G-7 Rivers Data'!$B$4:$G$8,4,FALSE))</f>
        <v/>
      </c>
      <c r="S128" s="507" t="str">
        <f t="shared" si="9"/>
        <v/>
      </c>
      <c r="T128" s="540" t="str">
        <f t="shared" si="10"/>
        <v/>
      </c>
      <c r="U128" s="499" t="str">
        <f t="shared" si="11"/>
        <v/>
      </c>
      <c r="V128" s="71"/>
      <c r="W128" s="499" t="str">
        <f>IF(V128="","",IF(VLOOKUP(V128,'G-7 Rivers Data'!$AA$4:$AB$7,2,FALSE)=0,"Spatial Data Missing ⚠",VLOOKUP(V128,'G-7 Rivers Data'!$AA$4:$AB$7,2,FALSE)))</f>
        <v/>
      </c>
      <c r="X128" s="155"/>
      <c r="Y128" s="499" t="str">
        <f>IF(X128="","",IF(VLOOKUP(X128,'G-7 Rivers Data'!$AD$4:$AE$8,2,FALSE)=0,"Enrcoachment Data Missing ⚠",VLOOKUP(X128,'G-7 Rivers Data'!$AD$4:$AE$8,2,FALSE)))</f>
        <v/>
      </c>
      <c r="Z128" s="154"/>
      <c r="AA128" s="524" t="str">
        <f>IF(Z128="","",VLOOKUP(Z128,'G-7 Rivers Data'!$AO$4:$AP$7,2,FALSE))</f>
        <v/>
      </c>
      <c r="AB128" s="545" t="str">
        <f t="shared" si="12"/>
        <v/>
      </c>
      <c r="AC128" s="149"/>
      <c r="AD128" s="150"/>
      <c r="AK128" s="31" t="str">
        <f>IFERROR(INDEX('G-7 Rivers Data'!$AZ$3:$AZ$7,MATCH(C128,'G-7 Rivers Data'!$AY$3:$AY$7,0)),"")</f>
        <v/>
      </c>
    </row>
    <row r="129" spans="2:37" ht="13.8" x14ac:dyDescent="0.25">
      <c r="B129" s="141">
        <v>118</v>
      </c>
      <c r="C129" s="666"/>
      <c r="D129" s="172"/>
      <c r="E129" s="498" t="str">
        <f>IF(C129="","",VLOOKUP(C129,'G-7 Rivers Data'!$B$2:$Z$9,2,FALSE))</f>
        <v/>
      </c>
      <c r="F129" s="499" t="str">
        <f>IFERROR(VLOOKUP(E129,'G-7 Rivers Data'!$C$4:$D$8,2,FALSE),"")</f>
        <v/>
      </c>
      <c r="G129" s="145"/>
      <c r="H129" s="499" t="str">
        <f>IFERROR(INDEX('G-7 Rivers Data'!$H$4:$L$8,MATCH(C129,'G-7 Rivers Data'!$B$4:$B$8,0),MATCH(G129,'G-7 Rivers Data'!$H$3:$L$3,0)),"")</f>
        <v/>
      </c>
      <c r="I129" s="145"/>
      <c r="J129" s="540" t="str">
        <f>IF(I129="","",IF(VLOOKUP(I129,'G-7 Rivers Data'!$AG$4:$AI$9,2,FALSE)=0,"Spatial Data Missing ⚠",VLOOKUP(I129,'G-7 Rivers Data'!$AG$4:$AI$9,2,FALSE)))</f>
        <v/>
      </c>
      <c r="K129" s="499" t="str">
        <f>IF(I129="","",IF(VLOOKUP(I129,'G-7 Rivers Data'!$AG$4:$AI$9,3,FALSE)=0,"Spatial Data Missing ⚠",VLOOKUP(I129,'G-7 Rivers Data'!$AG$4:$AI$9,3,FALSE)))</f>
        <v/>
      </c>
      <c r="L129" s="635" t="str">
        <f>IFERROR(INDEX('G-7 Rivers Data'!$O$3:$O$7,MATCH(G129,'G-7 Rivers Data'!$N$3:$N$7,0)),"")</f>
        <v/>
      </c>
      <c r="M129" s="72"/>
      <c r="N129" s="195"/>
      <c r="O129" s="507" t="str">
        <f t="shared" si="7"/>
        <v/>
      </c>
      <c r="P129" s="521" t="str">
        <f t="shared" si="8"/>
        <v/>
      </c>
      <c r="Q129" s="564" t="str">
        <f>IFERROR(IF(P129="Check Data ⚠","Check Data ⚠",VLOOKUP(P129,'G-4 Temporal multipliers'!$A$4:$C$37,3,FALSE)),"")</f>
        <v/>
      </c>
      <c r="R129" s="498" t="str">
        <f>IF(C129="","",VLOOKUP(C129,'G-7 Rivers Data'!$B$4:$G$8,4,FALSE))</f>
        <v/>
      </c>
      <c r="S129" s="507" t="str">
        <f t="shared" si="9"/>
        <v/>
      </c>
      <c r="T129" s="540" t="str">
        <f t="shared" si="10"/>
        <v/>
      </c>
      <c r="U129" s="499" t="str">
        <f t="shared" si="11"/>
        <v/>
      </c>
      <c r="V129" s="71"/>
      <c r="W129" s="499" t="str">
        <f>IF(V129="","",IF(VLOOKUP(V129,'G-7 Rivers Data'!$AA$4:$AB$7,2,FALSE)=0,"Spatial Data Missing ⚠",VLOOKUP(V129,'G-7 Rivers Data'!$AA$4:$AB$7,2,FALSE)))</f>
        <v/>
      </c>
      <c r="X129" s="155"/>
      <c r="Y129" s="499" t="str">
        <f>IF(X129="","",IF(VLOOKUP(X129,'G-7 Rivers Data'!$AD$4:$AE$8,2,FALSE)=0,"Enrcoachment Data Missing ⚠",VLOOKUP(X129,'G-7 Rivers Data'!$AD$4:$AE$8,2,FALSE)))</f>
        <v/>
      </c>
      <c r="Z129" s="154"/>
      <c r="AA129" s="524" t="str">
        <f>IF(Z129="","",VLOOKUP(Z129,'G-7 Rivers Data'!$AO$4:$AP$7,2,FALSE))</f>
        <v/>
      </c>
      <c r="AB129" s="545" t="str">
        <f t="shared" si="12"/>
        <v/>
      </c>
      <c r="AC129" s="149"/>
      <c r="AD129" s="150"/>
      <c r="AK129" s="31" t="str">
        <f>IFERROR(INDEX('G-7 Rivers Data'!$AZ$3:$AZ$7,MATCH(C129,'G-7 Rivers Data'!$AY$3:$AY$7,0)),"")</f>
        <v/>
      </c>
    </row>
    <row r="130" spans="2:37" ht="13.8" x14ac:dyDescent="0.25">
      <c r="B130" s="141">
        <v>119</v>
      </c>
      <c r="C130" s="666"/>
      <c r="D130" s="172"/>
      <c r="E130" s="498" t="str">
        <f>IF(C130="","",VLOOKUP(C130,'G-7 Rivers Data'!$B$2:$Z$9,2,FALSE))</f>
        <v/>
      </c>
      <c r="F130" s="499" t="str">
        <f>IFERROR(VLOOKUP(E130,'G-7 Rivers Data'!$C$4:$D$8,2,FALSE),"")</f>
        <v/>
      </c>
      <c r="G130" s="145"/>
      <c r="H130" s="499" t="str">
        <f>IFERROR(INDEX('G-7 Rivers Data'!$H$4:$L$8,MATCH(C130,'G-7 Rivers Data'!$B$4:$B$8,0),MATCH(G130,'G-7 Rivers Data'!$H$3:$L$3,0)),"")</f>
        <v/>
      </c>
      <c r="I130" s="145"/>
      <c r="J130" s="540" t="str">
        <f>IF(I130="","",IF(VLOOKUP(I130,'G-7 Rivers Data'!$AG$4:$AI$9,2,FALSE)=0,"Spatial Data Missing ⚠",VLOOKUP(I130,'G-7 Rivers Data'!$AG$4:$AI$9,2,FALSE)))</f>
        <v/>
      </c>
      <c r="K130" s="499" t="str">
        <f>IF(I130="","",IF(VLOOKUP(I130,'G-7 Rivers Data'!$AG$4:$AI$9,3,FALSE)=0,"Spatial Data Missing ⚠",VLOOKUP(I130,'G-7 Rivers Data'!$AG$4:$AI$9,3,FALSE)))</f>
        <v/>
      </c>
      <c r="L130" s="635" t="str">
        <f>IFERROR(INDEX('G-7 Rivers Data'!$O$3:$O$7,MATCH(G130,'G-7 Rivers Data'!$N$3:$N$7,0)),"")</f>
        <v/>
      </c>
      <c r="M130" s="72"/>
      <c r="N130" s="195"/>
      <c r="O130" s="507" t="str">
        <f t="shared" si="7"/>
        <v/>
      </c>
      <c r="P130" s="521" t="str">
        <f t="shared" si="8"/>
        <v/>
      </c>
      <c r="Q130" s="564" t="str">
        <f>IFERROR(IF(P130="Check Data ⚠","Check Data ⚠",VLOOKUP(P130,'G-4 Temporal multipliers'!$A$4:$C$37,3,FALSE)),"")</f>
        <v/>
      </c>
      <c r="R130" s="498" t="str">
        <f>IF(C130="","",VLOOKUP(C130,'G-7 Rivers Data'!$B$4:$G$8,4,FALSE))</f>
        <v/>
      </c>
      <c r="S130" s="507" t="str">
        <f t="shared" si="9"/>
        <v/>
      </c>
      <c r="T130" s="540" t="str">
        <f t="shared" si="10"/>
        <v/>
      </c>
      <c r="U130" s="499" t="str">
        <f t="shared" si="11"/>
        <v/>
      </c>
      <c r="V130" s="71"/>
      <c r="W130" s="499" t="str">
        <f>IF(V130="","",IF(VLOOKUP(V130,'G-7 Rivers Data'!$AA$4:$AB$7,2,FALSE)=0,"Spatial Data Missing ⚠",VLOOKUP(V130,'G-7 Rivers Data'!$AA$4:$AB$7,2,FALSE)))</f>
        <v/>
      </c>
      <c r="X130" s="155"/>
      <c r="Y130" s="499" t="str">
        <f>IF(X130="","",IF(VLOOKUP(X130,'G-7 Rivers Data'!$AD$4:$AE$8,2,FALSE)=0,"Enrcoachment Data Missing ⚠",VLOOKUP(X130,'G-7 Rivers Data'!$AD$4:$AE$8,2,FALSE)))</f>
        <v/>
      </c>
      <c r="Z130" s="154"/>
      <c r="AA130" s="524" t="str">
        <f>IF(Z130="","",VLOOKUP(Z130,'G-7 Rivers Data'!$AO$4:$AP$7,2,FALSE))</f>
        <v/>
      </c>
      <c r="AB130" s="545" t="str">
        <f t="shared" si="12"/>
        <v/>
      </c>
      <c r="AC130" s="149"/>
      <c r="AD130" s="150"/>
      <c r="AK130" s="31" t="str">
        <f>IFERROR(INDEX('G-7 Rivers Data'!$AZ$3:$AZ$7,MATCH(C130,'G-7 Rivers Data'!$AY$3:$AY$7,0)),"")</f>
        <v/>
      </c>
    </row>
    <row r="131" spans="2:37" ht="13.8" x14ac:dyDescent="0.25">
      <c r="B131" s="141">
        <v>120</v>
      </c>
      <c r="C131" s="666"/>
      <c r="D131" s="172"/>
      <c r="E131" s="498" t="str">
        <f>IF(C131="","",VLOOKUP(C131,'G-7 Rivers Data'!$B$2:$Z$9,2,FALSE))</f>
        <v/>
      </c>
      <c r="F131" s="499" t="str">
        <f>IFERROR(VLOOKUP(E131,'G-7 Rivers Data'!$C$4:$D$8,2,FALSE),"")</f>
        <v/>
      </c>
      <c r="G131" s="145"/>
      <c r="H131" s="499" t="str">
        <f>IFERROR(INDEX('G-7 Rivers Data'!$H$4:$L$8,MATCH(C131,'G-7 Rivers Data'!$B$4:$B$8,0),MATCH(G131,'G-7 Rivers Data'!$H$3:$L$3,0)),"")</f>
        <v/>
      </c>
      <c r="I131" s="145"/>
      <c r="J131" s="540" t="str">
        <f>IF(I131="","",IF(VLOOKUP(I131,'G-7 Rivers Data'!$AG$4:$AI$9,2,FALSE)=0,"Spatial Data Missing ⚠",VLOOKUP(I131,'G-7 Rivers Data'!$AG$4:$AI$9,2,FALSE)))</f>
        <v/>
      </c>
      <c r="K131" s="499" t="str">
        <f>IF(I131="","",IF(VLOOKUP(I131,'G-7 Rivers Data'!$AG$4:$AI$9,3,FALSE)=0,"Spatial Data Missing ⚠",VLOOKUP(I131,'G-7 Rivers Data'!$AG$4:$AI$9,3,FALSE)))</f>
        <v/>
      </c>
      <c r="L131" s="635" t="str">
        <f>IFERROR(INDEX('G-7 Rivers Data'!$O$3:$O$7,MATCH(G131,'G-7 Rivers Data'!$N$3:$N$7,0)),"")</f>
        <v/>
      </c>
      <c r="M131" s="72"/>
      <c r="N131" s="195"/>
      <c r="O131" s="507" t="str">
        <f t="shared" si="7"/>
        <v/>
      </c>
      <c r="P131" s="521" t="str">
        <f t="shared" si="8"/>
        <v/>
      </c>
      <c r="Q131" s="564" t="str">
        <f>IFERROR(IF(P131="Check Data ⚠","Check Data ⚠",VLOOKUP(P131,'G-4 Temporal multipliers'!$A$4:$C$37,3,FALSE)),"")</f>
        <v/>
      </c>
      <c r="R131" s="498" t="str">
        <f>IF(C131="","",VLOOKUP(C131,'G-7 Rivers Data'!$B$4:$G$8,4,FALSE))</f>
        <v/>
      </c>
      <c r="S131" s="507" t="str">
        <f t="shared" si="9"/>
        <v/>
      </c>
      <c r="T131" s="540" t="str">
        <f t="shared" si="10"/>
        <v/>
      </c>
      <c r="U131" s="499" t="str">
        <f t="shared" si="11"/>
        <v/>
      </c>
      <c r="V131" s="71"/>
      <c r="W131" s="499" t="str">
        <f>IF(V131="","",IF(VLOOKUP(V131,'G-7 Rivers Data'!$AA$4:$AB$7,2,FALSE)=0,"Spatial Data Missing ⚠",VLOOKUP(V131,'G-7 Rivers Data'!$AA$4:$AB$7,2,FALSE)))</f>
        <v/>
      </c>
      <c r="X131" s="155"/>
      <c r="Y131" s="499" t="str">
        <f>IF(X131="","",IF(VLOOKUP(X131,'G-7 Rivers Data'!$AD$4:$AE$8,2,FALSE)=0,"Enrcoachment Data Missing ⚠",VLOOKUP(X131,'G-7 Rivers Data'!$AD$4:$AE$8,2,FALSE)))</f>
        <v/>
      </c>
      <c r="Z131" s="154"/>
      <c r="AA131" s="524" t="str">
        <f>IF(Z131="","",VLOOKUP(Z131,'G-7 Rivers Data'!$AO$4:$AP$7,2,FALSE))</f>
        <v/>
      </c>
      <c r="AB131" s="545" t="str">
        <f t="shared" si="12"/>
        <v/>
      </c>
      <c r="AC131" s="149"/>
      <c r="AD131" s="150"/>
      <c r="AK131" s="31" t="str">
        <f>IFERROR(INDEX('G-7 Rivers Data'!$AZ$3:$AZ$7,MATCH(C131,'G-7 Rivers Data'!$AY$3:$AY$7,0)),"")</f>
        <v/>
      </c>
    </row>
    <row r="132" spans="2:37" ht="13.8" x14ac:dyDescent="0.25">
      <c r="B132" s="141">
        <v>121</v>
      </c>
      <c r="C132" s="666"/>
      <c r="D132" s="172"/>
      <c r="E132" s="498" t="str">
        <f>IF(C132="","",VLOOKUP(C132,'G-7 Rivers Data'!$B$2:$Z$9,2,FALSE))</f>
        <v/>
      </c>
      <c r="F132" s="499" t="str">
        <f>IFERROR(VLOOKUP(E132,'G-7 Rivers Data'!$C$4:$D$8,2,FALSE),"")</f>
        <v/>
      </c>
      <c r="G132" s="145"/>
      <c r="H132" s="499" t="str">
        <f>IFERROR(INDEX('G-7 Rivers Data'!$H$4:$L$8,MATCH(C132,'G-7 Rivers Data'!$B$4:$B$8,0),MATCH(G132,'G-7 Rivers Data'!$H$3:$L$3,0)),"")</f>
        <v/>
      </c>
      <c r="I132" s="145"/>
      <c r="J132" s="540" t="str">
        <f>IF(I132="","",IF(VLOOKUP(I132,'G-7 Rivers Data'!$AG$4:$AI$9,2,FALSE)=0,"Spatial Data Missing ⚠",VLOOKUP(I132,'G-7 Rivers Data'!$AG$4:$AI$9,2,FALSE)))</f>
        <v/>
      </c>
      <c r="K132" s="499" t="str">
        <f>IF(I132="","",IF(VLOOKUP(I132,'G-7 Rivers Data'!$AG$4:$AI$9,3,FALSE)=0,"Spatial Data Missing ⚠",VLOOKUP(I132,'G-7 Rivers Data'!$AG$4:$AI$9,3,FALSE)))</f>
        <v/>
      </c>
      <c r="L132" s="635" t="str">
        <f>IFERROR(INDEX('G-7 Rivers Data'!$O$3:$O$7,MATCH(G132,'G-7 Rivers Data'!$N$3:$N$7,0)),"")</f>
        <v/>
      </c>
      <c r="M132" s="72"/>
      <c r="N132" s="195"/>
      <c r="O132" s="507" t="str">
        <f t="shared" si="7"/>
        <v/>
      </c>
      <c r="P132" s="521" t="str">
        <f t="shared" si="8"/>
        <v/>
      </c>
      <c r="Q132" s="564" t="str">
        <f>IFERROR(IF(P132="Check Data ⚠","Check Data ⚠",VLOOKUP(P132,'G-4 Temporal multipliers'!$A$4:$C$37,3,FALSE)),"")</f>
        <v/>
      </c>
      <c r="R132" s="498" t="str">
        <f>IF(C132="","",VLOOKUP(C132,'G-7 Rivers Data'!$B$4:$G$8,4,FALSE))</f>
        <v/>
      </c>
      <c r="S132" s="507" t="str">
        <f t="shared" si="9"/>
        <v/>
      </c>
      <c r="T132" s="540" t="str">
        <f t="shared" si="10"/>
        <v/>
      </c>
      <c r="U132" s="499" t="str">
        <f t="shared" si="11"/>
        <v/>
      </c>
      <c r="V132" s="71"/>
      <c r="W132" s="499" t="str">
        <f>IF(V132="","",IF(VLOOKUP(V132,'G-7 Rivers Data'!$AA$4:$AB$7,2,FALSE)=0,"Spatial Data Missing ⚠",VLOOKUP(V132,'G-7 Rivers Data'!$AA$4:$AB$7,2,FALSE)))</f>
        <v/>
      </c>
      <c r="X132" s="155"/>
      <c r="Y132" s="499" t="str">
        <f>IF(X132="","",IF(VLOOKUP(X132,'G-7 Rivers Data'!$AD$4:$AE$8,2,FALSE)=0,"Enrcoachment Data Missing ⚠",VLOOKUP(X132,'G-7 Rivers Data'!$AD$4:$AE$8,2,FALSE)))</f>
        <v/>
      </c>
      <c r="Z132" s="154"/>
      <c r="AA132" s="524" t="str">
        <f>IF(Z132="","",VLOOKUP(Z132,'G-7 Rivers Data'!$AO$4:$AP$7,2,FALSE))</f>
        <v/>
      </c>
      <c r="AB132" s="545" t="str">
        <f t="shared" si="12"/>
        <v/>
      </c>
      <c r="AC132" s="149"/>
      <c r="AD132" s="150"/>
      <c r="AK132" s="31" t="str">
        <f>IFERROR(INDEX('G-7 Rivers Data'!$AZ$3:$AZ$7,MATCH(C132,'G-7 Rivers Data'!$AY$3:$AY$7,0)),"")</f>
        <v/>
      </c>
    </row>
    <row r="133" spans="2:37" ht="13.8" x14ac:dyDescent="0.25">
      <c r="B133" s="141">
        <v>122</v>
      </c>
      <c r="C133" s="666"/>
      <c r="D133" s="172"/>
      <c r="E133" s="498" t="str">
        <f>IF(C133="","",VLOOKUP(C133,'G-7 Rivers Data'!$B$2:$Z$9,2,FALSE))</f>
        <v/>
      </c>
      <c r="F133" s="499" t="str">
        <f>IFERROR(VLOOKUP(E133,'G-7 Rivers Data'!$C$4:$D$8,2,FALSE),"")</f>
        <v/>
      </c>
      <c r="G133" s="145"/>
      <c r="H133" s="499" t="str">
        <f>IFERROR(INDEX('G-7 Rivers Data'!$H$4:$L$8,MATCH(C133,'G-7 Rivers Data'!$B$4:$B$8,0),MATCH(G133,'G-7 Rivers Data'!$H$3:$L$3,0)),"")</f>
        <v/>
      </c>
      <c r="I133" s="145"/>
      <c r="J133" s="540" t="str">
        <f>IF(I133="","",IF(VLOOKUP(I133,'G-7 Rivers Data'!$AG$4:$AI$9,2,FALSE)=0,"Spatial Data Missing ⚠",VLOOKUP(I133,'G-7 Rivers Data'!$AG$4:$AI$9,2,FALSE)))</f>
        <v/>
      </c>
      <c r="K133" s="499" t="str">
        <f>IF(I133="","",IF(VLOOKUP(I133,'G-7 Rivers Data'!$AG$4:$AI$9,3,FALSE)=0,"Spatial Data Missing ⚠",VLOOKUP(I133,'G-7 Rivers Data'!$AG$4:$AI$9,3,FALSE)))</f>
        <v/>
      </c>
      <c r="L133" s="635" t="str">
        <f>IFERROR(INDEX('G-7 Rivers Data'!$O$3:$O$7,MATCH(G133,'G-7 Rivers Data'!$N$3:$N$7,0)),"")</f>
        <v/>
      </c>
      <c r="M133" s="72"/>
      <c r="N133" s="195"/>
      <c r="O133" s="507" t="str">
        <f t="shared" si="7"/>
        <v/>
      </c>
      <c r="P133" s="521" t="str">
        <f t="shared" si="8"/>
        <v/>
      </c>
      <c r="Q133" s="564" t="str">
        <f>IFERROR(IF(P133="Check Data ⚠","Check Data ⚠",VLOOKUP(P133,'G-4 Temporal multipliers'!$A$4:$C$37,3,FALSE)),"")</f>
        <v/>
      </c>
      <c r="R133" s="498" t="str">
        <f>IF(C133="","",VLOOKUP(C133,'G-7 Rivers Data'!$B$4:$G$8,4,FALSE))</f>
        <v/>
      </c>
      <c r="S133" s="507" t="str">
        <f t="shared" si="9"/>
        <v/>
      </c>
      <c r="T133" s="540" t="str">
        <f t="shared" si="10"/>
        <v/>
      </c>
      <c r="U133" s="499" t="str">
        <f t="shared" si="11"/>
        <v/>
      </c>
      <c r="V133" s="71"/>
      <c r="W133" s="499" t="str">
        <f>IF(V133="","",IF(VLOOKUP(V133,'G-7 Rivers Data'!$AA$4:$AB$7,2,FALSE)=0,"Spatial Data Missing ⚠",VLOOKUP(V133,'G-7 Rivers Data'!$AA$4:$AB$7,2,FALSE)))</f>
        <v/>
      </c>
      <c r="X133" s="155"/>
      <c r="Y133" s="499" t="str">
        <f>IF(X133="","",IF(VLOOKUP(X133,'G-7 Rivers Data'!$AD$4:$AE$8,2,FALSE)=0,"Enrcoachment Data Missing ⚠",VLOOKUP(X133,'G-7 Rivers Data'!$AD$4:$AE$8,2,FALSE)))</f>
        <v/>
      </c>
      <c r="Z133" s="154"/>
      <c r="AA133" s="524" t="str">
        <f>IF(Z133="","",VLOOKUP(Z133,'G-7 Rivers Data'!$AO$4:$AP$7,2,FALSE))</f>
        <v/>
      </c>
      <c r="AB133" s="545" t="str">
        <f t="shared" si="12"/>
        <v/>
      </c>
      <c r="AC133" s="149"/>
      <c r="AD133" s="150"/>
      <c r="AK133" s="31" t="str">
        <f>IFERROR(INDEX('G-7 Rivers Data'!$AZ$3:$AZ$7,MATCH(C133,'G-7 Rivers Data'!$AY$3:$AY$7,0)),"")</f>
        <v/>
      </c>
    </row>
    <row r="134" spans="2:37" ht="13.8" x14ac:dyDescent="0.25">
      <c r="B134" s="141">
        <v>123</v>
      </c>
      <c r="C134" s="666"/>
      <c r="D134" s="172"/>
      <c r="E134" s="498" t="str">
        <f>IF(C134="","",VLOOKUP(C134,'G-7 Rivers Data'!$B$2:$Z$9,2,FALSE))</f>
        <v/>
      </c>
      <c r="F134" s="499" t="str">
        <f>IFERROR(VLOOKUP(E134,'G-7 Rivers Data'!$C$4:$D$8,2,FALSE),"")</f>
        <v/>
      </c>
      <c r="G134" s="145"/>
      <c r="H134" s="499" t="str">
        <f>IFERROR(INDEX('G-7 Rivers Data'!$H$4:$L$8,MATCH(C134,'G-7 Rivers Data'!$B$4:$B$8,0),MATCH(G134,'G-7 Rivers Data'!$H$3:$L$3,0)),"")</f>
        <v/>
      </c>
      <c r="I134" s="145"/>
      <c r="J134" s="540" t="str">
        <f>IF(I134="","",IF(VLOOKUP(I134,'G-7 Rivers Data'!$AG$4:$AI$9,2,FALSE)=0,"Spatial Data Missing ⚠",VLOOKUP(I134,'G-7 Rivers Data'!$AG$4:$AI$9,2,FALSE)))</f>
        <v/>
      </c>
      <c r="K134" s="499" t="str">
        <f>IF(I134="","",IF(VLOOKUP(I134,'G-7 Rivers Data'!$AG$4:$AI$9,3,FALSE)=0,"Spatial Data Missing ⚠",VLOOKUP(I134,'G-7 Rivers Data'!$AG$4:$AI$9,3,FALSE)))</f>
        <v/>
      </c>
      <c r="L134" s="635" t="str">
        <f>IFERROR(INDEX('G-7 Rivers Data'!$O$3:$O$7,MATCH(G134,'G-7 Rivers Data'!$N$3:$N$7,0)),"")</f>
        <v/>
      </c>
      <c r="M134" s="72"/>
      <c r="N134" s="195"/>
      <c r="O134" s="507" t="str">
        <f t="shared" si="7"/>
        <v/>
      </c>
      <c r="P134" s="521" t="str">
        <f t="shared" si="8"/>
        <v/>
      </c>
      <c r="Q134" s="564" t="str">
        <f>IFERROR(IF(P134="Check Data ⚠","Check Data ⚠",VLOOKUP(P134,'G-4 Temporal multipliers'!$A$4:$C$37,3,FALSE)),"")</f>
        <v/>
      </c>
      <c r="R134" s="498" t="str">
        <f>IF(C134="","",VLOOKUP(C134,'G-7 Rivers Data'!$B$4:$G$8,4,FALSE))</f>
        <v/>
      </c>
      <c r="S134" s="507" t="str">
        <f t="shared" si="9"/>
        <v/>
      </c>
      <c r="T134" s="540" t="str">
        <f t="shared" si="10"/>
        <v/>
      </c>
      <c r="U134" s="499" t="str">
        <f t="shared" si="11"/>
        <v/>
      </c>
      <c r="V134" s="71"/>
      <c r="W134" s="499" t="str">
        <f>IF(V134="","",IF(VLOOKUP(V134,'G-7 Rivers Data'!$AA$4:$AB$7,2,FALSE)=0,"Spatial Data Missing ⚠",VLOOKUP(V134,'G-7 Rivers Data'!$AA$4:$AB$7,2,FALSE)))</f>
        <v/>
      </c>
      <c r="X134" s="155"/>
      <c r="Y134" s="499" t="str">
        <f>IF(X134="","",IF(VLOOKUP(X134,'G-7 Rivers Data'!$AD$4:$AE$8,2,FALSE)=0,"Enrcoachment Data Missing ⚠",VLOOKUP(X134,'G-7 Rivers Data'!$AD$4:$AE$8,2,FALSE)))</f>
        <v/>
      </c>
      <c r="Z134" s="154"/>
      <c r="AA134" s="524" t="str">
        <f>IF(Z134="","",VLOOKUP(Z134,'G-7 Rivers Data'!$AO$4:$AP$7,2,FALSE))</f>
        <v/>
      </c>
      <c r="AB134" s="545" t="str">
        <f t="shared" si="12"/>
        <v/>
      </c>
      <c r="AC134" s="149"/>
      <c r="AD134" s="150"/>
      <c r="AK134" s="31" t="str">
        <f>IFERROR(INDEX('G-7 Rivers Data'!$AZ$3:$AZ$7,MATCH(C134,'G-7 Rivers Data'!$AY$3:$AY$7,0)),"")</f>
        <v/>
      </c>
    </row>
    <row r="135" spans="2:37" ht="13.8" x14ac:dyDescent="0.25">
      <c r="B135" s="141">
        <v>124</v>
      </c>
      <c r="C135" s="666"/>
      <c r="D135" s="172"/>
      <c r="E135" s="498" t="str">
        <f>IF(C135="","",VLOOKUP(C135,'G-7 Rivers Data'!$B$2:$Z$9,2,FALSE))</f>
        <v/>
      </c>
      <c r="F135" s="499" t="str">
        <f>IFERROR(VLOOKUP(E135,'G-7 Rivers Data'!$C$4:$D$8,2,FALSE),"")</f>
        <v/>
      </c>
      <c r="G135" s="145"/>
      <c r="H135" s="499" t="str">
        <f>IFERROR(INDEX('G-7 Rivers Data'!$H$4:$L$8,MATCH(C135,'G-7 Rivers Data'!$B$4:$B$8,0),MATCH(G135,'G-7 Rivers Data'!$H$3:$L$3,0)),"")</f>
        <v/>
      </c>
      <c r="I135" s="145"/>
      <c r="J135" s="540" t="str">
        <f>IF(I135="","",IF(VLOOKUP(I135,'G-7 Rivers Data'!$AG$4:$AI$9,2,FALSE)=0,"Spatial Data Missing ⚠",VLOOKUP(I135,'G-7 Rivers Data'!$AG$4:$AI$9,2,FALSE)))</f>
        <v/>
      </c>
      <c r="K135" s="499" t="str">
        <f>IF(I135="","",IF(VLOOKUP(I135,'G-7 Rivers Data'!$AG$4:$AI$9,3,FALSE)=0,"Spatial Data Missing ⚠",VLOOKUP(I135,'G-7 Rivers Data'!$AG$4:$AI$9,3,FALSE)))</f>
        <v/>
      </c>
      <c r="L135" s="635" t="str">
        <f>IFERROR(INDEX('G-7 Rivers Data'!$O$3:$O$7,MATCH(G135,'G-7 Rivers Data'!$N$3:$N$7,0)),"")</f>
        <v/>
      </c>
      <c r="M135" s="72"/>
      <c r="N135" s="195"/>
      <c r="O135" s="507" t="str">
        <f t="shared" si="7"/>
        <v/>
      </c>
      <c r="P135" s="521" t="str">
        <f t="shared" si="8"/>
        <v/>
      </c>
      <c r="Q135" s="564" t="str">
        <f>IFERROR(IF(P135="Check Data ⚠","Check Data ⚠",VLOOKUP(P135,'G-4 Temporal multipliers'!$A$4:$C$37,3,FALSE)),"")</f>
        <v/>
      </c>
      <c r="R135" s="498" t="str">
        <f>IF(C135="","",VLOOKUP(C135,'G-7 Rivers Data'!$B$4:$G$8,4,FALSE))</f>
        <v/>
      </c>
      <c r="S135" s="507" t="str">
        <f t="shared" si="9"/>
        <v/>
      </c>
      <c r="T135" s="540" t="str">
        <f t="shared" si="10"/>
        <v/>
      </c>
      <c r="U135" s="499" t="str">
        <f t="shared" si="11"/>
        <v/>
      </c>
      <c r="V135" s="71"/>
      <c r="W135" s="499" t="str">
        <f>IF(V135="","",IF(VLOOKUP(V135,'G-7 Rivers Data'!$AA$4:$AB$7,2,FALSE)=0,"Spatial Data Missing ⚠",VLOOKUP(V135,'G-7 Rivers Data'!$AA$4:$AB$7,2,FALSE)))</f>
        <v/>
      </c>
      <c r="X135" s="155"/>
      <c r="Y135" s="499" t="str">
        <f>IF(X135="","",IF(VLOOKUP(X135,'G-7 Rivers Data'!$AD$4:$AE$8,2,FALSE)=0,"Enrcoachment Data Missing ⚠",VLOOKUP(X135,'G-7 Rivers Data'!$AD$4:$AE$8,2,FALSE)))</f>
        <v/>
      </c>
      <c r="Z135" s="154"/>
      <c r="AA135" s="524" t="str">
        <f>IF(Z135="","",VLOOKUP(Z135,'G-7 Rivers Data'!$AO$4:$AP$7,2,FALSE))</f>
        <v/>
      </c>
      <c r="AB135" s="545" t="str">
        <f t="shared" si="12"/>
        <v/>
      </c>
      <c r="AC135" s="149"/>
      <c r="AD135" s="150"/>
      <c r="AK135" s="31" t="str">
        <f>IFERROR(INDEX('G-7 Rivers Data'!$AZ$3:$AZ$7,MATCH(C135,'G-7 Rivers Data'!$AY$3:$AY$7,0)),"")</f>
        <v/>
      </c>
    </row>
    <row r="136" spans="2:37" ht="13.8" x14ac:dyDescent="0.25">
      <c r="B136" s="141">
        <v>125</v>
      </c>
      <c r="C136" s="666"/>
      <c r="D136" s="172"/>
      <c r="E136" s="498" t="str">
        <f>IF(C136="","",VLOOKUP(C136,'G-7 Rivers Data'!$B$2:$Z$9,2,FALSE))</f>
        <v/>
      </c>
      <c r="F136" s="499" t="str">
        <f>IFERROR(VLOOKUP(E136,'G-7 Rivers Data'!$C$4:$D$8,2,FALSE),"")</f>
        <v/>
      </c>
      <c r="G136" s="145"/>
      <c r="H136" s="499" t="str">
        <f>IFERROR(INDEX('G-7 Rivers Data'!$H$4:$L$8,MATCH(C136,'G-7 Rivers Data'!$B$4:$B$8,0),MATCH(G136,'G-7 Rivers Data'!$H$3:$L$3,0)),"")</f>
        <v/>
      </c>
      <c r="I136" s="145"/>
      <c r="J136" s="540" t="str">
        <f>IF(I136="","",IF(VLOOKUP(I136,'G-7 Rivers Data'!$AG$4:$AI$9,2,FALSE)=0,"Spatial Data Missing ⚠",VLOOKUP(I136,'G-7 Rivers Data'!$AG$4:$AI$9,2,FALSE)))</f>
        <v/>
      </c>
      <c r="K136" s="499" t="str">
        <f>IF(I136="","",IF(VLOOKUP(I136,'G-7 Rivers Data'!$AG$4:$AI$9,3,FALSE)=0,"Spatial Data Missing ⚠",VLOOKUP(I136,'G-7 Rivers Data'!$AG$4:$AI$9,3,FALSE)))</f>
        <v/>
      </c>
      <c r="L136" s="635" t="str">
        <f>IFERROR(INDEX('G-7 Rivers Data'!$O$3:$O$7,MATCH(G136,'G-7 Rivers Data'!$N$3:$N$7,0)),"")</f>
        <v/>
      </c>
      <c r="M136" s="72"/>
      <c r="N136" s="195"/>
      <c r="O136" s="507" t="str">
        <f t="shared" si="7"/>
        <v/>
      </c>
      <c r="P136" s="521" t="str">
        <f t="shared" si="8"/>
        <v/>
      </c>
      <c r="Q136" s="564" t="str">
        <f>IFERROR(IF(P136="Check Data ⚠","Check Data ⚠",VLOOKUP(P136,'G-4 Temporal multipliers'!$A$4:$C$37,3,FALSE)),"")</f>
        <v/>
      </c>
      <c r="R136" s="498" t="str">
        <f>IF(C136="","",VLOOKUP(C136,'G-7 Rivers Data'!$B$4:$G$8,4,FALSE))</f>
        <v/>
      </c>
      <c r="S136" s="507" t="str">
        <f t="shared" si="9"/>
        <v/>
      </c>
      <c r="T136" s="540" t="str">
        <f t="shared" si="10"/>
        <v/>
      </c>
      <c r="U136" s="499" t="str">
        <f t="shared" si="11"/>
        <v/>
      </c>
      <c r="V136" s="71"/>
      <c r="W136" s="499" t="str">
        <f>IF(V136="","",IF(VLOOKUP(V136,'G-7 Rivers Data'!$AA$4:$AB$7,2,FALSE)=0,"Spatial Data Missing ⚠",VLOOKUP(V136,'G-7 Rivers Data'!$AA$4:$AB$7,2,FALSE)))</f>
        <v/>
      </c>
      <c r="X136" s="155"/>
      <c r="Y136" s="499" t="str">
        <f>IF(X136="","",IF(VLOOKUP(X136,'G-7 Rivers Data'!$AD$4:$AE$8,2,FALSE)=0,"Enrcoachment Data Missing ⚠",VLOOKUP(X136,'G-7 Rivers Data'!$AD$4:$AE$8,2,FALSE)))</f>
        <v/>
      </c>
      <c r="Z136" s="154"/>
      <c r="AA136" s="524" t="str">
        <f>IF(Z136="","",VLOOKUP(Z136,'G-7 Rivers Data'!$AO$4:$AP$7,2,FALSE))</f>
        <v/>
      </c>
      <c r="AB136" s="545" t="str">
        <f t="shared" si="12"/>
        <v/>
      </c>
      <c r="AC136" s="149"/>
      <c r="AD136" s="150"/>
      <c r="AK136" s="31" t="str">
        <f>IFERROR(INDEX('G-7 Rivers Data'!$AZ$3:$AZ$7,MATCH(C136,'G-7 Rivers Data'!$AY$3:$AY$7,0)),"")</f>
        <v/>
      </c>
    </row>
    <row r="137" spans="2:37" ht="13.8" x14ac:dyDescent="0.25">
      <c r="B137" s="141">
        <v>126</v>
      </c>
      <c r="C137" s="666"/>
      <c r="D137" s="172"/>
      <c r="E137" s="498" t="str">
        <f>IF(C137="","",VLOOKUP(C137,'G-7 Rivers Data'!$B$2:$Z$9,2,FALSE))</f>
        <v/>
      </c>
      <c r="F137" s="499" t="str">
        <f>IFERROR(VLOOKUP(E137,'G-7 Rivers Data'!$C$4:$D$8,2,FALSE),"")</f>
        <v/>
      </c>
      <c r="G137" s="145"/>
      <c r="H137" s="499" t="str">
        <f>IFERROR(INDEX('G-7 Rivers Data'!$H$4:$L$8,MATCH(C137,'G-7 Rivers Data'!$B$4:$B$8,0),MATCH(G137,'G-7 Rivers Data'!$H$3:$L$3,0)),"")</f>
        <v/>
      </c>
      <c r="I137" s="145"/>
      <c r="J137" s="540" t="str">
        <f>IF(I137="","",IF(VLOOKUP(I137,'G-7 Rivers Data'!$AG$4:$AI$9,2,FALSE)=0,"Spatial Data Missing ⚠",VLOOKUP(I137,'G-7 Rivers Data'!$AG$4:$AI$9,2,FALSE)))</f>
        <v/>
      </c>
      <c r="K137" s="499" t="str">
        <f>IF(I137="","",IF(VLOOKUP(I137,'G-7 Rivers Data'!$AG$4:$AI$9,3,FALSE)=0,"Spatial Data Missing ⚠",VLOOKUP(I137,'G-7 Rivers Data'!$AG$4:$AI$9,3,FALSE)))</f>
        <v/>
      </c>
      <c r="L137" s="635" t="str">
        <f>IFERROR(INDEX('G-7 Rivers Data'!$O$3:$O$7,MATCH(G137,'G-7 Rivers Data'!$N$3:$N$7,0)),"")</f>
        <v/>
      </c>
      <c r="M137" s="72"/>
      <c r="N137" s="195"/>
      <c r="O137" s="507" t="str">
        <f t="shared" si="7"/>
        <v/>
      </c>
      <c r="P137" s="521" t="str">
        <f t="shared" si="8"/>
        <v/>
      </c>
      <c r="Q137" s="564" t="str">
        <f>IFERROR(IF(P137="Check Data ⚠","Check Data ⚠",VLOOKUP(P137,'G-4 Temporal multipliers'!$A$4:$C$37,3,FALSE)),"")</f>
        <v/>
      </c>
      <c r="R137" s="498" t="str">
        <f>IF(C137="","",VLOOKUP(C137,'G-7 Rivers Data'!$B$4:$G$8,4,FALSE))</f>
        <v/>
      </c>
      <c r="S137" s="507" t="str">
        <f t="shared" si="9"/>
        <v/>
      </c>
      <c r="T137" s="540" t="str">
        <f t="shared" si="10"/>
        <v/>
      </c>
      <c r="U137" s="499" t="str">
        <f t="shared" si="11"/>
        <v/>
      </c>
      <c r="V137" s="71"/>
      <c r="W137" s="499" t="str">
        <f>IF(V137="","",IF(VLOOKUP(V137,'G-7 Rivers Data'!$AA$4:$AB$7,2,FALSE)=0,"Spatial Data Missing ⚠",VLOOKUP(V137,'G-7 Rivers Data'!$AA$4:$AB$7,2,FALSE)))</f>
        <v/>
      </c>
      <c r="X137" s="155"/>
      <c r="Y137" s="499" t="str">
        <f>IF(X137="","",IF(VLOOKUP(X137,'G-7 Rivers Data'!$AD$4:$AE$8,2,FALSE)=0,"Enrcoachment Data Missing ⚠",VLOOKUP(X137,'G-7 Rivers Data'!$AD$4:$AE$8,2,FALSE)))</f>
        <v/>
      </c>
      <c r="Z137" s="154"/>
      <c r="AA137" s="524" t="str">
        <f>IF(Z137="","",VLOOKUP(Z137,'G-7 Rivers Data'!$AO$4:$AP$7,2,FALSE))</f>
        <v/>
      </c>
      <c r="AB137" s="545" t="str">
        <f t="shared" si="12"/>
        <v/>
      </c>
      <c r="AC137" s="149"/>
      <c r="AD137" s="150"/>
      <c r="AK137" s="31" t="str">
        <f>IFERROR(INDEX('G-7 Rivers Data'!$AZ$3:$AZ$7,MATCH(C137,'G-7 Rivers Data'!$AY$3:$AY$7,0)),"")</f>
        <v/>
      </c>
    </row>
    <row r="138" spans="2:37" ht="13.8" x14ac:dyDescent="0.25">
      <c r="B138" s="141">
        <v>127</v>
      </c>
      <c r="C138" s="666"/>
      <c r="D138" s="172"/>
      <c r="E138" s="498" t="str">
        <f>IF(C138="","",VLOOKUP(C138,'G-7 Rivers Data'!$B$2:$Z$9,2,FALSE))</f>
        <v/>
      </c>
      <c r="F138" s="499" t="str">
        <f>IFERROR(VLOOKUP(E138,'G-7 Rivers Data'!$C$4:$D$8,2,FALSE),"")</f>
        <v/>
      </c>
      <c r="G138" s="145"/>
      <c r="H138" s="499" t="str">
        <f>IFERROR(INDEX('G-7 Rivers Data'!$H$4:$L$8,MATCH(C138,'G-7 Rivers Data'!$B$4:$B$8,0),MATCH(G138,'G-7 Rivers Data'!$H$3:$L$3,0)),"")</f>
        <v/>
      </c>
      <c r="I138" s="145"/>
      <c r="J138" s="540" t="str">
        <f>IF(I138="","",IF(VLOOKUP(I138,'G-7 Rivers Data'!$AG$4:$AI$9,2,FALSE)=0,"Spatial Data Missing ⚠",VLOOKUP(I138,'G-7 Rivers Data'!$AG$4:$AI$9,2,FALSE)))</f>
        <v/>
      </c>
      <c r="K138" s="499" t="str">
        <f>IF(I138="","",IF(VLOOKUP(I138,'G-7 Rivers Data'!$AG$4:$AI$9,3,FALSE)=0,"Spatial Data Missing ⚠",VLOOKUP(I138,'G-7 Rivers Data'!$AG$4:$AI$9,3,FALSE)))</f>
        <v/>
      </c>
      <c r="L138" s="635" t="str">
        <f>IFERROR(INDEX('G-7 Rivers Data'!$O$3:$O$7,MATCH(G138,'G-7 Rivers Data'!$N$3:$N$7,0)),"")</f>
        <v/>
      </c>
      <c r="M138" s="72"/>
      <c r="N138" s="195"/>
      <c r="O138" s="507" t="str">
        <f t="shared" si="7"/>
        <v/>
      </c>
      <c r="P138" s="521" t="str">
        <f t="shared" si="8"/>
        <v/>
      </c>
      <c r="Q138" s="564" t="str">
        <f>IFERROR(IF(P138="Check Data ⚠","Check Data ⚠",VLOOKUP(P138,'G-4 Temporal multipliers'!$A$4:$C$37,3,FALSE)),"")</f>
        <v/>
      </c>
      <c r="R138" s="498" t="str">
        <f>IF(C138="","",VLOOKUP(C138,'G-7 Rivers Data'!$B$4:$G$8,4,FALSE))</f>
        <v/>
      </c>
      <c r="S138" s="507" t="str">
        <f t="shared" si="9"/>
        <v/>
      </c>
      <c r="T138" s="540" t="str">
        <f t="shared" si="10"/>
        <v/>
      </c>
      <c r="U138" s="499" t="str">
        <f t="shared" si="11"/>
        <v/>
      </c>
      <c r="V138" s="71"/>
      <c r="W138" s="499" t="str">
        <f>IF(V138="","",IF(VLOOKUP(V138,'G-7 Rivers Data'!$AA$4:$AB$7,2,FALSE)=0,"Spatial Data Missing ⚠",VLOOKUP(V138,'G-7 Rivers Data'!$AA$4:$AB$7,2,FALSE)))</f>
        <v/>
      </c>
      <c r="X138" s="155"/>
      <c r="Y138" s="499" t="str">
        <f>IF(X138="","",IF(VLOOKUP(X138,'G-7 Rivers Data'!$AD$4:$AE$8,2,FALSE)=0,"Enrcoachment Data Missing ⚠",VLOOKUP(X138,'G-7 Rivers Data'!$AD$4:$AE$8,2,FALSE)))</f>
        <v/>
      </c>
      <c r="Z138" s="154"/>
      <c r="AA138" s="524" t="str">
        <f>IF(Z138="","",VLOOKUP(Z138,'G-7 Rivers Data'!$AO$4:$AP$7,2,FALSE))</f>
        <v/>
      </c>
      <c r="AB138" s="545" t="str">
        <f t="shared" si="12"/>
        <v/>
      </c>
      <c r="AC138" s="149"/>
      <c r="AD138" s="150"/>
      <c r="AK138" s="31" t="str">
        <f>IFERROR(INDEX('G-7 Rivers Data'!$AZ$3:$AZ$7,MATCH(C138,'G-7 Rivers Data'!$AY$3:$AY$7,0)),"")</f>
        <v/>
      </c>
    </row>
    <row r="139" spans="2:37" ht="13.8" x14ac:dyDescent="0.25">
      <c r="B139" s="141">
        <v>128</v>
      </c>
      <c r="C139" s="666"/>
      <c r="D139" s="172"/>
      <c r="E139" s="498" t="str">
        <f>IF(C139="","",VLOOKUP(C139,'G-7 Rivers Data'!$B$2:$Z$9,2,FALSE))</f>
        <v/>
      </c>
      <c r="F139" s="499" t="str">
        <f>IFERROR(VLOOKUP(E139,'G-7 Rivers Data'!$C$4:$D$8,2,FALSE),"")</f>
        <v/>
      </c>
      <c r="G139" s="145"/>
      <c r="H139" s="499" t="str">
        <f>IFERROR(INDEX('G-7 Rivers Data'!$H$4:$L$8,MATCH(C139,'G-7 Rivers Data'!$B$4:$B$8,0),MATCH(G139,'G-7 Rivers Data'!$H$3:$L$3,0)),"")</f>
        <v/>
      </c>
      <c r="I139" s="145"/>
      <c r="J139" s="540" t="str">
        <f>IF(I139="","",IF(VLOOKUP(I139,'G-7 Rivers Data'!$AG$4:$AI$9,2,FALSE)=0,"Spatial Data Missing ⚠",VLOOKUP(I139,'G-7 Rivers Data'!$AG$4:$AI$9,2,FALSE)))</f>
        <v/>
      </c>
      <c r="K139" s="499" t="str">
        <f>IF(I139="","",IF(VLOOKUP(I139,'G-7 Rivers Data'!$AG$4:$AI$9,3,FALSE)=0,"Spatial Data Missing ⚠",VLOOKUP(I139,'G-7 Rivers Data'!$AG$4:$AI$9,3,FALSE)))</f>
        <v/>
      </c>
      <c r="L139" s="635" t="str">
        <f>IFERROR(INDEX('G-7 Rivers Data'!$O$3:$O$7,MATCH(G139,'G-7 Rivers Data'!$N$3:$N$7,0)),"")</f>
        <v/>
      </c>
      <c r="M139" s="72"/>
      <c r="N139" s="195"/>
      <c r="O139" s="507" t="str">
        <f t="shared" si="7"/>
        <v/>
      </c>
      <c r="P139" s="521" t="str">
        <f t="shared" si="8"/>
        <v/>
      </c>
      <c r="Q139" s="564" t="str">
        <f>IFERROR(IF(P139="Check Data ⚠","Check Data ⚠",VLOOKUP(P139,'G-4 Temporal multipliers'!$A$4:$C$37,3,FALSE)),"")</f>
        <v/>
      </c>
      <c r="R139" s="498" t="str">
        <f>IF(C139="","",VLOOKUP(C139,'G-7 Rivers Data'!$B$4:$G$8,4,FALSE))</f>
        <v/>
      </c>
      <c r="S139" s="507" t="str">
        <f t="shared" si="9"/>
        <v/>
      </c>
      <c r="T139" s="540" t="str">
        <f t="shared" si="10"/>
        <v/>
      </c>
      <c r="U139" s="499" t="str">
        <f t="shared" si="11"/>
        <v/>
      </c>
      <c r="V139" s="71"/>
      <c r="W139" s="499" t="str">
        <f>IF(V139="","",IF(VLOOKUP(V139,'G-7 Rivers Data'!$AA$4:$AB$7,2,FALSE)=0,"Spatial Data Missing ⚠",VLOOKUP(V139,'G-7 Rivers Data'!$AA$4:$AB$7,2,FALSE)))</f>
        <v/>
      </c>
      <c r="X139" s="155"/>
      <c r="Y139" s="499" t="str">
        <f>IF(X139="","",IF(VLOOKUP(X139,'G-7 Rivers Data'!$AD$4:$AE$8,2,FALSE)=0,"Enrcoachment Data Missing ⚠",VLOOKUP(X139,'G-7 Rivers Data'!$AD$4:$AE$8,2,FALSE)))</f>
        <v/>
      </c>
      <c r="Z139" s="154"/>
      <c r="AA139" s="524" t="str">
        <f>IF(Z139="","",VLOOKUP(Z139,'G-7 Rivers Data'!$AO$4:$AP$7,2,FALSE))</f>
        <v/>
      </c>
      <c r="AB139" s="545" t="str">
        <f t="shared" si="12"/>
        <v/>
      </c>
      <c r="AC139" s="149"/>
      <c r="AD139" s="150"/>
      <c r="AK139" s="31" t="str">
        <f>IFERROR(INDEX('G-7 Rivers Data'!$AZ$3:$AZ$7,MATCH(C139,'G-7 Rivers Data'!$AY$3:$AY$7,0)),"")</f>
        <v/>
      </c>
    </row>
    <row r="140" spans="2:37" ht="13.8" x14ac:dyDescent="0.25">
      <c r="B140" s="141">
        <v>129</v>
      </c>
      <c r="C140" s="666"/>
      <c r="D140" s="172"/>
      <c r="E140" s="498" t="str">
        <f>IF(C140="","",VLOOKUP(C140,'G-7 Rivers Data'!$B$2:$Z$9,2,FALSE))</f>
        <v/>
      </c>
      <c r="F140" s="499" t="str">
        <f>IFERROR(VLOOKUP(E140,'G-7 Rivers Data'!$C$4:$D$8,2,FALSE),"")</f>
        <v/>
      </c>
      <c r="G140" s="145"/>
      <c r="H140" s="499" t="str">
        <f>IFERROR(INDEX('G-7 Rivers Data'!$H$4:$L$8,MATCH(C140,'G-7 Rivers Data'!$B$4:$B$8,0),MATCH(G140,'G-7 Rivers Data'!$H$3:$L$3,0)),"")</f>
        <v/>
      </c>
      <c r="I140" s="145"/>
      <c r="J140" s="540" t="str">
        <f>IF(I140="","",IF(VLOOKUP(I140,'G-7 Rivers Data'!$AG$4:$AI$9,2,FALSE)=0,"Spatial Data Missing ⚠",VLOOKUP(I140,'G-7 Rivers Data'!$AG$4:$AI$9,2,FALSE)))</f>
        <v/>
      </c>
      <c r="K140" s="499" t="str">
        <f>IF(I140="","",IF(VLOOKUP(I140,'G-7 Rivers Data'!$AG$4:$AI$9,3,FALSE)=0,"Spatial Data Missing ⚠",VLOOKUP(I140,'G-7 Rivers Data'!$AG$4:$AI$9,3,FALSE)))</f>
        <v/>
      </c>
      <c r="L140" s="635" t="str">
        <f>IFERROR(INDEX('G-7 Rivers Data'!$O$3:$O$7,MATCH(G140,'G-7 Rivers Data'!$N$3:$N$7,0)),"")</f>
        <v/>
      </c>
      <c r="M140" s="72"/>
      <c r="N140" s="195"/>
      <c r="O140" s="507" t="str">
        <f t="shared" si="7"/>
        <v/>
      </c>
      <c r="P140" s="521" t="str">
        <f t="shared" si="8"/>
        <v/>
      </c>
      <c r="Q140" s="564" t="str">
        <f>IFERROR(IF(P140="Check Data ⚠","Check Data ⚠",VLOOKUP(P140,'G-4 Temporal multipliers'!$A$4:$C$37,3,FALSE)),"")</f>
        <v/>
      </c>
      <c r="R140" s="498" t="str">
        <f>IF(C140="","",VLOOKUP(C140,'G-7 Rivers Data'!$B$4:$G$8,4,FALSE))</f>
        <v/>
      </c>
      <c r="S140" s="507" t="str">
        <f t="shared" si="9"/>
        <v/>
      </c>
      <c r="T140" s="540" t="str">
        <f t="shared" si="10"/>
        <v/>
      </c>
      <c r="U140" s="499" t="str">
        <f t="shared" si="11"/>
        <v/>
      </c>
      <c r="V140" s="71"/>
      <c r="W140" s="499" t="str">
        <f>IF(V140="","",IF(VLOOKUP(V140,'G-7 Rivers Data'!$AA$4:$AB$7,2,FALSE)=0,"Spatial Data Missing ⚠",VLOOKUP(V140,'G-7 Rivers Data'!$AA$4:$AB$7,2,FALSE)))</f>
        <v/>
      </c>
      <c r="X140" s="155"/>
      <c r="Y140" s="499" t="str">
        <f>IF(X140="","",IF(VLOOKUP(X140,'G-7 Rivers Data'!$AD$4:$AE$8,2,FALSE)=0,"Enrcoachment Data Missing ⚠",VLOOKUP(X140,'G-7 Rivers Data'!$AD$4:$AE$8,2,FALSE)))</f>
        <v/>
      </c>
      <c r="Z140" s="154"/>
      <c r="AA140" s="524" t="str">
        <f>IF(Z140="","",VLOOKUP(Z140,'G-7 Rivers Data'!$AO$4:$AP$7,2,FALSE))</f>
        <v/>
      </c>
      <c r="AB140" s="545" t="str">
        <f t="shared" si="12"/>
        <v/>
      </c>
      <c r="AC140" s="149"/>
      <c r="AD140" s="150"/>
      <c r="AK140" s="31" t="str">
        <f>IFERROR(INDEX('G-7 Rivers Data'!$AZ$3:$AZ$7,MATCH(C140,'G-7 Rivers Data'!$AY$3:$AY$7,0)),"")</f>
        <v/>
      </c>
    </row>
    <row r="141" spans="2:37" ht="13.8" x14ac:dyDescent="0.25">
      <c r="B141" s="141">
        <v>130</v>
      </c>
      <c r="C141" s="666"/>
      <c r="D141" s="172"/>
      <c r="E141" s="498" t="str">
        <f>IF(C141="","",VLOOKUP(C141,'G-7 Rivers Data'!$B$2:$Z$9,2,FALSE))</f>
        <v/>
      </c>
      <c r="F141" s="499" t="str">
        <f>IFERROR(VLOOKUP(E141,'G-7 Rivers Data'!$C$4:$D$8,2,FALSE),"")</f>
        <v/>
      </c>
      <c r="G141" s="145"/>
      <c r="H141" s="499" t="str">
        <f>IFERROR(INDEX('G-7 Rivers Data'!$H$4:$L$8,MATCH(C141,'G-7 Rivers Data'!$B$4:$B$8,0),MATCH(G141,'G-7 Rivers Data'!$H$3:$L$3,0)),"")</f>
        <v/>
      </c>
      <c r="I141" s="145"/>
      <c r="J141" s="540" t="str">
        <f>IF(I141="","",IF(VLOOKUP(I141,'G-7 Rivers Data'!$AG$4:$AI$9,2,FALSE)=0,"Spatial Data Missing ⚠",VLOOKUP(I141,'G-7 Rivers Data'!$AG$4:$AI$9,2,FALSE)))</f>
        <v/>
      </c>
      <c r="K141" s="499" t="str">
        <f>IF(I141="","",IF(VLOOKUP(I141,'G-7 Rivers Data'!$AG$4:$AI$9,3,FALSE)=0,"Spatial Data Missing ⚠",VLOOKUP(I141,'G-7 Rivers Data'!$AG$4:$AI$9,3,FALSE)))</f>
        <v/>
      </c>
      <c r="L141" s="635" t="str">
        <f>IFERROR(INDEX('G-7 Rivers Data'!$O$3:$O$7,MATCH(G141,'G-7 Rivers Data'!$N$3:$N$7,0)),"")</f>
        <v/>
      </c>
      <c r="M141" s="72"/>
      <c r="N141" s="195"/>
      <c r="O141" s="507"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1" t="str">
        <f t="shared" ref="P141:P204" si="14">IF(LEFT(O141,5)="Error ▲","Check Data ⚠",IF(L141="","",IF(M141="30+",0,IF(N141="30+","30+ ⚠",IF(L141+N141&gt;30,"30+ ⚠",IF(L141+N141-M141&gt;0,L141+N141-M141,IF(L141-M141&lt;0,0,L141+N141-M141)))))))</f>
        <v/>
      </c>
      <c r="Q141" s="564" t="str">
        <f>IFERROR(IF(P141="Check Data ⚠","Check Data ⚠",VLOOKUP(P141,'G-4 Temporal multipliers'!$A$4:$C$37,3,FALSE)),"")</f>
        <v/>
      </c>
      <c r="R141" s="498" t="str">
        <f>IF(C141="","",VLOOKUP(C141,'G-7 Rivers Data'!$B$4:$G$8,4,FALSE))</f>
        <v/>
      </c>
      <c r="S141" s="507" t="str">
        <f t="shared" ref="S141:S204" si="15">IF(C141="","",IF(P141="Check Data ⚠","Check Data ⚠",IF(G141="","",IF($O141="Check details - Is there evidence that habitat has reached target condition? ⚠","No - Low Difficulty - only applicable if all habitat created before losses ⚠","Standard difficulty applied"))))</f>
        <v/>
      </c>
      <c r="T141" s="540" t="str">
        <f t="shared" ref="T141:T204" si="16">(IF(AND(S141="Standard difficulty applied",L141&gt;M141),R141,IF(AND(S141="No - Low Difficulty - only applicable if all habitat created before losses ⚠",M141&gt;=L141),"Low",R141)))</f>
        <v/>
      </c>
      <c r="U141" s="499" t="str">
        <f t="shared" ref="U141:U204" si="17">IF(C141="","",VLOOKUP(R141,Difficulty,2,FALSE))</f>
        <v/>
      </c>
      <c r="V141" s="71"/>
      <c r="W141" s="499" t="str">
        <f>IF(V141="","",IF(VLOOKUP(V141,'G-7 Rivers Data'!$AA$4:$AB$7,2,FALSE)=0,"Spatial Data Missing ⚠",VLOOKUP(V141,'G-7 Rivers Data'!$AA$4:$AB$7,2,FALSE)))</f>
        <v/>
      </c>
      <c r="X141" s="155"/>
      <c r="Y141" s="499" t="str">
        <f>IF(X141="","",IF(VLOOKUP(X141,'G-7 Rivers Data'!$AD$4:$AE$8,2,FALSE)=0,"Enrcoachment Data Missing ⚠",VLOOKUP(X141,'G-7 Rivers Data'!$AD$4:$AE$8,2,FALSE)))</f>
        <v/>
      </c>
      <c r="Z141" s="154"/>
      <c r="AA141" s="524" t="str">
        <f>IF(Z141="","",VLOOKUP(Z141,'G-7 Rivers Data'!$AO$4:$AP$7,2,FALSE))</f>
        <v/>
      </c>
      <c r="AB141" s="545" t="str">
        <f t="shared" ref="AB141:AB204" si="18">IFERROR(D141*F141*H141*K141*Q141*U141*W141*Y141*AA141,"")</f>
        <v/>
      </c>
      <c r="AC141" s="149"/>
      <c r="AD141" s="150"/>
      <c r="AK141" s="31" t="str">
        <f>IFERROR(INDEX('G-7 Rivers Data'!$AZ$3:$AZ$7,MATCH(C141,'G-7 Rivers Data'!$AY$3:$AY$7,0)),"")</f>
        <v/>
      </c>
    </row>
    <row r="142" spans="2:37" ht="13.8" x14ac:dyDescent="0.25">
      <c r="B142" s="141">
        <v>131</v>
      </c>
      <c r="C142" s="666"/>
      <c r="D142" s="172"/>
      <c r="E142" s="498" t="str">
        <f>IF(C142="","",VLOOKUP(C142,'G-7 Rivers Data'!$B$2:$Z$9,2,FALSE))</f>
        <v/>
      </c>
      <c r="F142" s="499" t="str">
        <f>IFERROR(VLOOKUP(E142,'G-7 Rivers Data'!$C$4:$D$8,2,FALSE),"")</f>
        <v/>
      </c>
      <c r="G142" s="145"/>
      <c r="H142" s="499" t="str">
        <f>IFERROR(INDEX('G-7 Rivers Data'!$H$4:$L$8,MATCH(C142,'G-7 Rivers Data'!$B$4:$B$8,0),MATCH(G142,'G-7 Rivers Data'!$H$3:$L$3,0)),"")</f>
        <v/>
      </c>
      <c r="I142" s="145"/>
      <c r="J142" s="540" t="str">
        <f>IF(I142="","",IF(VLOOKUP(I142,'G-7 Rivers Data'!$AG$4:$AI$9,2,FALSE)=0,"Spatial Data Missing ⚠",VLOOKUP(I142,'G-7 Rivers Data'!$AG$4:$AI$9,2,FALSE)))</f>
        <v/>
      </c>
      <c r="K142" s="499" t="str">
        <f>IF(I142="","",IF(VLOOKUP(I142,'G-7 Rivers Data'!$AG$4:$AI$9,3,FALSE)=0,"Spatial Data Missing ⚠",VLOOKUP(I142,'G-7 Rivers Data'!$AG$4:$AI$9,3,FALSE)))</f>
        <v/>
      </c>
      <c r="L142" s="635" t="str">
        <f>IFERROR(INDEX('G-7 Rivers Data'!$O$3:$O$7,MATCH(G142,'G-7 Rivers Data'!$N$3:$N$7,0)),"")</f>
        <v/>
      </c>
      <c r="M142" s="72"/>
      <c r="N142" s="195"/>
      <c r="O142" s="507" t="str">
        <f t="shared" si="13"/>
        <v/>
      </c>
      <c r="P142" s="521" t="str">
        <f t="shared" si="14"/>
        <v/>
      </c>
      <c r="Q142" s="564" t="str">
        <f>IFERROR(IF(P142="Check Data ⚠","Check Data ⚠",VLOOKUP(P142,'G-4 Temporal multipliers'!$A$4:$C$37,3,FALSE)),"")</f>
        <v/>
      </c>
      <c r="R142" s="498" t="str">
        <f>IF(C142="","",VLOOKUP(C142,'G-7 Rivers Data'!$B$4:$G$8,4,FALSE))</f>
        <v/>
      </c>
      <c r="S142" s="507" t="str">
        <f t="shared" si="15"/>
        <v/>
      </c>
      <c r="T142" s="540" t="str">
        <f t="shared" si="16"/>
        <v/>
      </c>
      <c r="U142" s="499" t="str">
        <f t="shared" si="17"/>
        <v/>
      </c>
      <c r="V142" s="71"/>
      <c r="W142" s="499" t="str">
        <f>IF(V142="","",IF(VLOOKUP(V142,'G-7 Rivers Data'!$AA$4:$AB$7,2,FALSE)=0,"Spatial Data Missing ⚠",VLOOKUP(V142,'G-7 Rivers Data'!$AA$4:$AB$7,2,FALSE)))</f>
        <v/>
      </c>
      <c r="X142" s="155"/>
      <c r="Y142" s="499" t="str">
        <f>IF(X142="","",IF(VLOOKUP(X142,'G-7 Rivers Data'!$AD$4:$AE$8,2,FALSE)=0,"Enrcoachment Data Missing ⚠",VLOOKUP(X142,'G-7 Rivers Data'!$AD$4:$AE$8,2,FALSE)))</f>
        <v/>
      </c>
      <c r="Z142" s="154"/>
      <c r="AA142" s="524" t="str">
        <f>IF(Z142="","",VLOOKUP(Z142,'G-7 Rivers Data'!$AO$4:$AP$7,2,FALSE))</f>
        <v/>
      </c>
      <c r="AB142" s="545" t="str">
        <f t="shared" si="18"/>
        <v/>
      </c>
      <c r="AC142" s="149"/>
      <c r="AD142" s="150"/>
      <c r="AK142" s="31" t="str">
        <f>IFERROR(INDEX('G-7 Rivers Data'!$AZ$3:$AZ$7,MATCH(C142,'G-7 Rivers Data'!$AY$3:$AY$7,0)),"")</f>
        <v/>
      </c>
    </row>
    <row r="143" spans="2:37" ht="13.8" x14ac:dyDescent="0.25">
      <c r="B143" s="141">
        <v>132</v>
      </c>
      <c r="C143" s="666"/>
      <c r="D143" s="172"/>
      <c r="E143" s="498" t="str">
        <f>IF(C143="","",VLOOKUP(C143,'G-7 Rivers Data'!$B$2:$Z$9,2,FALSE))</f>
        <v/>
      </c>
      <c r="F143" s="499" t="str">
        <f>IFERROR(VLOOKUP(E143,'G-7 Rivers Data'!$C$4:$D$8,2,FALSE),"")</f>
        <v/>
      </c>
      <c r="G143" s="145"/>
      <c r="H143" s="499" t="str">
        <f>IFERROR(INDEX('G-7 Rivers Data'!$H$4:$L$8,MATCH(C143,'G-7 Rivers Data'!$B$4:$B$8,0),MATCH(G143,'G-7 Rivers Data'!$H$3:$L$3,0)),"")</f>
        <v/>
      </c>
      <c r="I143" s="145"/>
      <c r="J143" s="540" t="str">
        <f>IF(I143="","",IF(VLOOKUP(I143,'G-7 Rivers Data'!$AG$4:$AI$9,2,FALSE)=0,"Spatial Data Missing ⚠",VLOOKUP(I143,'G-7 Rivers Data'!$AG$4:$AI$9,2,FALSE)))</f>
        <v/>
      </c>
      <c r="K143" s="499" t="str">
        <f>IF(I143="","",IF(VLOOKUP(I143,'G-7 Rivers Data'!$AG$4:$AI$9,3,FALSE)=0,"Spatial Data Missing ⚠",VLOOKUP(I143,'G-7 Rivers Data'!$AG$4:$AI$9,3,FALSE)))</f>
        <v/>
      </c>
      <c r="L143" s="635" t="str">
        <f>IFERROR(INDEX('G-7 Rivers Data'!$O$3:$O$7,MATCH(G143,'G-7 Rivers Data'!$N$3:$N$7,0)),"")</f>
        <v/>
      </c>
      <c r="M143" s="72"/>
      <c r="N143" s="195"/>
      <c r="O143" s="507" t="str">
        <f t="shared" si="13"/>
        <v/>
      </c>
      <c r="P143" s="521" t="str">
        <f t="shared" si="14"/>
        <v/>
      </c>
      <c r="Q143" s="564" t="str">
        <f>IFERROR(IF(P143="Check Data ⚠","Check Data ⚠",VLOOKUP(P143,'G-4 Temporal multipliers'!$A$4:$C$37,3,FALSE)),"")</f>
        <v/>
      </c>
      <c r="R143" s="498" t="str">
        <f>IF(C143="","",VLOOKUP(C143,'G-7 Rivers Data'!$B$4:$G$8,4,FALSE))</f>
        <v/>
      </c>
      <c r="S143" s="507" t="str">
        <f t="shared" si="15"/>
        <v/>
      </c>
      <c r="T143" s="540" t="str">
        <f t="shared" si="16"/>
        <v/>
      </c>
      <c r="U143" s="499" t="str">
        <f t="shared" si="17"/>
        <v/>
      </c>
      <c r="V143" s="71"/>
      <c r="W143" s="499" t="str">
        <f>IF(V143="","",IF(VLOOKUP(V143,'G-7 Rivers Data'!$AA$4:$AB$7,2,FALSE)=0,"Spatial Data Missing ⚠",VLOOKUP(V143,'G-7 Rivers Data'!$AA$4:$AB$7,2,FALSE)))</f>
        <v/>
      </c>
      <c r="X143" s="155"/>
      <c r="Y143" s="499" t="str">
        <f>IF(X143="","",IF(VLOOKUP(X143,'G-7 Rivers Data'!$AD$4:$AE$8,2,FALSE)=0,"Enrcoachment Data Missing ⚠",VLOOKUP(X143,'G-7 Rivers Data'!$AD$4:$AE$8,2,FALSE)))</f>
        <v/>
      </c>
      <c r="Z143" s="154"/>
      <c r="AA143" s="524" t="str">
        <f>IF(Z143="","",VLOOKUP(Z143,'G-7 Rivers Data'!$AO$4:$AP$7,2,FALSE))</f>
        <v/>
      </c>
      <c r="AB143" s="545" t="str">
        <f t="shared" si="18"/>
        <v/>
      </c>
      <c r="AC143" s="149"/>
      <c r="AD143" s="150"/>
      <c r="AK143" s="31" t="str">
        <f>IFERROR(INDEX('G-7 Rivers Data'!$AZ$3:$AZ$7,MATCH(C143,'G-7 Rivers Data'!$AY$3:$AY$7,0)),"")</f>
        <v/>
      </c>
    </row>
    <row r="144" spans="2:37" ht="13.8" x14ac:dyDescent="0.25">
      <c r="B144" s="141">
        <v>133</v>
      </c>
      <c r="C144" s="666"/>
      <c r="D144" s="172"/>
      <c r="E144" s="498" t="str">
        <f>IF(C144="","",VLOOKUP(C144,'G-7 Rivers Data'!$B$2:$Z$9,2,FALSE))</f>
        <v/>
      </c>
      <c r="F144" s="499" t="str">
        <f>IFERROR(VLOOKUP(E144,'G-7 Rivers Data'!$C$4:$D$8,2,FALSE),"")</f>
        <v/>
      </c>
      <c r="G144" s="145"/>
      <c r="H144" s="499" t="str">
        <f>IFERROR(INDEX('G-7 Rivers Data'!$H$4:$L$8,MATCH(C144,'G-7 Rivers Data'!$B$4:$B$8,0),MATCH(G144,'G-7 Rivers Data'!$H$3:$L$3,0)),"")</f>
        <v/>
      </c>
      <c r="I144" s="145"/>
      <c r="J144" s="540" t="str">
        <f>IF(I144="","",IF(VLOOKUP(I144,'G-7 Rivers Data'!$AG$4:$AI$9,2,FALSE)=0,"Spatial Data Missing ⚠",VLOOKUP(I144,'G-7 Rivers Data'!$AG$4:$AI$9,2,FALSE)))</f>
        <v/>
      </c>
      <c r="K144" s="499" t="str">
        <f>IF(I144="","",IF(VLOOKUP(I144,'G-7 Rivers Data'!$AG$4:$AI$9,3,FALSE)=0,"Spatial Data Missing ⚠",VLOOKUP(I144,'G-7 Rivers Data'!$AG$4:$AI$9,3,FALSE)))</f>
        <v/>
      </c>
      <c r="L144" s="635" t="str">
        <f>IFERROR(INDEX('G-7 Rivers Data'!$O$3:$O$7,MATCH(G144,'G-7 Rivers Data'!$N$3:$N$7,0)),"")</f>
        <v/>
      </c>
      <c r="M144" s="72"/>
      <c r="N144" s="195"/>
      <c r="O144" s="507" t="str">
        <f t="shared" si="13"/>
        <v/>
      </c>
      <c r="P144" s="521" t="str">
        <f t="shared" si="14"/>
        <v/>
      </c>
      <c r="Q144" s="564" t="str">
        <f>IFERROR(IF(P144="Check Data ⚠","Check Data ⚠",VLOOKUP(P144,'G-4 Temporal multipliers'!$A$4:$C$37,3,FALSE)),"")</f>
        <v/>
      </c>
      <c r="R144" s="498" t="str">
        <f>IF(C144="","",VLOOKUP(C144,'G-7 Rivers Data'!$B$4:$G$8,4,FALSE))</f>
        <v/>
      </c>
      <c r="S144" s="507" t="str">
        <f t="shared" si="15"/>
        <v/>
      </c>
      <c r="T144" s="540" t="str">
        <f t="shared" si="16"/>
        <v/>
      </c>
      <c r="U144" s="499" t="str">
        <f t="shared" si="17"/>
        <v/>
      </c>
      <c r="V144" s="71"/>
      <c r="W144" s="499" t="str">
        <f>IF(V144="","",IF(VLOOKUP(V144,'G-7 Rivers Data'!$AA$4:$AB$7,2,FALSE)=0,"Spatial Data Missing ⚠",VLOOKUP(V144,'G-7 Rivers Data'!$AA$4:$AB$7,2,FALSE)))</f>
        <v/>
      </c>
      <c r="X144" s="155"/>
      <c r="Y144" s="499" t="str">
        <f>IF(X144="","",IF(VLOOKUP(X144,'G-7 Rivers Data'!$AD$4:$AE$8,2,FALSE)=0,"Enrcoachment Data Missing ⚠",VLOOKUP(X144,'G-7 Rivers Data'!$AD$4:$AE$8,2,FALSE)))</f>
        <v/>
      </c>
      <c r="Z144" s="154"/>
      <c r="AA144" s="524" t="str">
        <f>IF(Z144="","",VLOOKUP(Z144,'G-7 Rivers Data'!$AO$4:$AP$7,2,FALSE))</f>
        <v/>
      </c>
      <c r="AB144" s="545" t="str">
        <f t="shared" si="18"/>
        <v/>
      </c>
      <c r="AC144" s="149"/>
      <c r="AD144" s="150"/>
      <c r="AK144" s="31" t="str">
        <f>IFERROR(INDEX('G-7 Rivers Data'!$AZ$3:$AZ$7,MATCH(C144,'G-7 Rivers Data'!$AY$3:$AY$7,0)),"")</f>
        <v/>
      </c>
    </row>
    <row r="145" spans="2:37" ht="13.8" x14ac:dyDescent="0.25">
      <c r="B145" s="141">
        <v>134</v>
      </c>
      <c r="C145" s="666"/>
      <c r="D145" s="172"/>
      <c r="E145" s="498" t="str">
        <f>IF(C145="","",VLOOKUP(C145,'G-7 Rivers Data'!$B$2:$Z$9,2,FALSE))</f>
        <v/>
      </c>
      <c r="F145" s="499" t="str">
        <f>IFERROR(VLOOKUP(E145,'G-7 Rivers Data'!$C$4:$D$8,2,FALSE),"")</f>
        <v/>
      </c>
      <c r="G145" s="145"/>
      <c r="H145" s="499" t="str">
        <f>IFERROR(INDEX('G-7 Rivers Data'!$H$4:$L$8,MATCH(C145,'G-7 Rivers Data'!$B$4:$B$8,0),MATCH(G145,'G-7 Rivers Data'!$H$3:$L$3,0)),"")</f>
        <v/>
      </c>
      <c r="I145" s="145"/>
      <c r="J145" s="540" t="str">
        <f>IF(I145="","",IF(VLOOKUP(I145,'G-7 Rivers Data'!$AG$4:$AI$9,2,FALSE)=0,"Spatial Data Missing ⚠",VLOOKUP(I145,'G-7 Rivers Data'!$AG$4:$AI$9,2,FALSE)))</f>
        <v/>
      </c>
      <c r="K145" s="499" t="str">
        <f>IF(I145="","",IF(VLOOKUP(I145,'G-7 Rivers Data'!$AG$4:$AI$9,3,FALSE)=0,"Spatial Data Missing ⚠",VLOOKUP(I145,'G-7 Rivers Data'!$AG$4:$AI$9,3,FALSE)))</f>
        <v/>
      </c>
      <c r="L145" s="635" t="str">
        <f>IFERROR(INDEX('G-7 Rivers Data'!$O$3:$O$7,MATCH(G145,'G-7 Rivers Data'!$N$3:$N$7,0)),"")</f>
        <v/>
      </c>
      <c r="M145" s="72"/>
      <c r="N145" s="195"/>
      <c r="O145" s="507" t="str">
        <f t="shared" si="13"/>
        <v/>
      </c>
      <c r="P145" s="521" t="str">
        <f t="shared" si="14"/>
        <v/>
      </c>
      <c r="Q145" s="564" t="str">
        <f>IFERROR(IF(P145="Check Data ⚠","Check Data ⚠",VLOOKUP(P145,'G-4 Temporal multipliers'!$A$4:$C$37,3,FALSE)),"")</f>
        <v/>
      </c>
      <c r="R145" s="498" t="str">
        <f>IF(C145="","",VLOOKUP(C145,'G-7 Rivers Data'!$B$4:$G$8,4,FALSE))</f>
        <v/>
      </c>
      <c r="S145" s="507" t="str">
        <f t="shared" si="15"/>
        <v/>
      </c>
      <c r="T145" s="540" t="str">
        <f t="shared" si="16"/>
        <v/>
      </c>
      <c r="U145" s="499" t="str">
        <f t="shared" si="17"/>
        <v/>
      </c>
      <c r="V145" s="71"/>
      <c r="W145" s="499" t="str">
        <f>IF(V145="","",IF(VLOOKUP(V145,'G-7 Rivers Data'!$AA$4:$AB$7,2,FALSE)=0,"Spatial Data Missing ⚠",VLOOKUP(V145,'G-7 Rivers Data'!$AA$4:$AB$7,2,FALSE)))</f>
        <v/>
      </c>
      <c r="X145" s="155"/>
      <c r="Y145" s="499" t="str">
        <f>IF(X145="","",IF(VLOOKUP(X145,'G-7 Rivers Data'!$AD$4:$AE$8,2,FALSE)=0,"Enrcoachment Data Missing ⚠",VLOOKUP(X145,'G-7 Rivers Data'!$AD$4:$AE$8,2,FALSE)))</f>
        <v/>
      </c>
      <c r="Z145" s="154"/>
      <c r="AA145" s="524" t="str">
        <f>IF(Z145="","",VLOOKUP(Z145,'G-7 Rivers Data'!$AO$4:$AP$7,2,FALSE))</f>
        <v/>
      </c>
      <c r="AB145" s="545" t="str">
        <f t="shared" si="18"/>
        <v/>
      </c>
      <c r="AC145" s="149"/>
      <c r="AD145" s="150"/>
      <c r="AK145" s="31" t="str">
        <f>IFERROR(INDEX('G-7 Rivers Data'!$AZ$3:$AZ$7,MATCH(C145,'G-7 Rivers Data'!$AY$3:$AY$7,0)),"")</f>
        <v/>
      </c>
    </row>
    <row r="146" spans="2:37" ht="13.8" x14ac:dyDescent="0.25">
      <c r="B146" s="141">
        <v>135</v>
      </c>
      <c r="C146" s="666"/>
      <c r="D146" s="172"/>
      <c r="E146" s="498" t="str">
        <f>IF(C146="","",VLOOKUP(C146,'G-7 Rivers Data'!$B$2:$Z$9,2,FALSE))</f>
        <v/>
      </c>
      <c r="F146" s="499" t="str">
        <f>IFERROR(VLOOKUP(E146,'G-7 Rivers Data'!$C$4:$D$8,2,FALSE),"")</f>
        <v/>
      </c>
      <c r="G146" s="145"/>
      <c r="H146" s="499" t="str">
        <f>IFERROR(INDEX('G-7 Rivers Data'!$H$4:$L$8,MATCH(C146,'G-7 Rivers Data'!$B$4:$B$8,0),MATCH(G146,'G-7 Rivers Data'!$H$3:$L$3,0)),"")</f>
        <v/>
      </c>
      <c r="I146" s="145"/>
      <c r="J146" s="540" t="str">
        <f>IF(I146="","",IF(VLOOKUP(I146,'G-7 Rivers Data'!$AG$4:$AI$9,2,FALSE)=0,"Spatial Data Missing ⚠",VLOOKUP(I146,'G-7 Rivers Data'!$AG$4:$AI$9,2,FALSE)))</f>
        <v/>
      </c>
      <c r="K146" s="499" t="str">
        <f>IF(I146="","",IF(VLOOKUP(I146,'G-7 Rivers Data'!$AG$4:$AI$9,3,FALSE)=0,"Spatial Data Missing ⚠",VLOOKUP(I146,'G-7 Rivers Data'!$AG$4:$AI$9,3,FALSE)))</f>
        <v/>
      </c>
      <c r="L146" s="635" t="str">
        <f>IFERROR(INDEX('G-7 Rivers Data'!$O$3:$O$7,MATCH(G146,'G-7 Rivers Data'!$N$3:$N$7,0)),"")</f>
        <v/>
      </c>
      <c r="M146" s="72"/>
      <c r="N146" s="195"/>
      <c r="O146" s="507" t="str">
        <f t="shared" si="13"/>
        <v/>
      </c>
      <c r="P146" s="521" t="str">
        <f t="shared" si="14"/>
        <v/>
      </c>
      <c r="Q146" s="564" t="str">
        <f>IFERROR(IF(P146="Check Data ⚠","Check Data ⚠",VLOOKUP(P146,'G-4 Temporal multipliers'!$A$4:$C$37,3,FALSE)),"")</f>
        <v/>
      </c>
      <c r="R146" s="498" t="str">
        <f>IF(C146="","",VLOOKUP(C146,'G-7 Rivers Data'!$B$4:$G$8,4,FALSE))</f>
        <v/>
      </c>
      <c r="S146" s="507" t="str">
        <f t="shared" si="15"/>
        <v/>
      </c>
      <c r="T146" s="540" t="str">
        <f t="shared" si="16"/>
        <v/>
      </c>
      <c r="U146" s="499" t="str">
        <f t="shared" si="17"/>
        <v/>
      </c>
      <c r="V146" s="71"/>
      <c r="W146" s="499" t="str">
        <f>IF(V146="","",IF(VLOOKUP(V146,'G-7 Rivers Data'!$AA$4:$AB$7,2,FALSE)=0,"Spatial Data Missing ⚠",VLOOKUP(V146,'G-7 Rivers Data'!$AA$4:$AB$7,2,FALSE)))</f>
        <v/>
      </c>
      <c r="X146" s="155"/>
      <c r="Y146" s="499" t="str">
        <f>IF(X146="","",IF(VLOOKUP(X146,'G-7 Rivers Data'!$AD$4:$AE$8,2,FALSE)=0,"Enrcoachment Data Missing ⚠",VLOOKUP(X146,'G-7 Rivers Data'!$AD$4:$AE$8,2,FALSE)))</f>
        <v/>
      </c>
      <c r="Z146" s="154"/>
      <c r="AA146" s="524" t="str">
        <f>IF(Z146="","",VLOOKUP(Z146,'G-7 Rivers Data'!$AO$4:$AP$7,2,FALSE))</f>
        <v/>
      </c>
      <c r="AB146" s="545" t="str">
        <f t="shared" si="18"/>
        <v/>
      </c>
      <c r="AC146" s="149"/>
      <c r="AD146" s="150"/>
      <c r="AK146" s="31" t="str">
        <f>IFERROR(INDEX('G-7 Rivers Data'!$AZ$3:$AZ$7,MATCH(C146,'G-7 Rivers Data'!$AY$3:$AY$7,0)),"")</f>
        <v/>
      </c>
    </row>
    <row r="147" spans="2:37" ht="13.8" x14ac:dyDescent="0.25">
      <c r="B147" s="141">
        <v>136</v>
      </c>
      <c r="C147" s="666"/>
      <c r="D147" s="172"/>
      <c r="E147" s="498" t="str">
        <f>IF(C147="","",VLOOKUP(C147,'G-7 Rivers Data'!$B$2:$Z$9,2,FALSE))</f>
        <v/>
      </c>
      <c r="F147" s="499" t="str">
        <f>IFERROR(VLOOKUP(E147,'G-7 Rivers Data'!$C$4:$D$8,2,FALSE),"")</f>
        <v/>
      </c>
      <c r="G147" s="145"/>
      <c r="H147" s="499" t="str">
        <f>IFERROR(INDEX('G-7 Rivers Data'!$H$4:$L$8,MATCH(C147,'G-7 Rivers Data'!$B$4:$B$8,0),MATCH(G147,'G-7 Rivers Data'!$H$3:$L$3,0)),"")</f>
        <v/>
      </c>
      <c r="I147" s="145"/>
      <c r="J147" s="540" t="str">
        <f>IF(I147="","",IF(VLOOKUP(I147,'G-7 Rivers Data'!$AG$4:$AI$9,2,FALSE)=0,"Spatial Data Missing ⚠",VLOOKUP(I147,'G-7 Rivers Data'!$AG$4:$AI$9,2,FALSE)))</f>
        <v/>
      </c>
      <c r="K147" s="499" t="str">
        <f>IF(I147="","",IF(VLOOKUP(I147,'G-7 Rivers Data'!$AG$4:$AI$9,3,FALSE)=0,"Spatial Data Missing ⚠",VLOOKUP(I147,'G-7 Rivers Data'!$AG$4:$AI$9,3,FALSE)))</f>
        <v/>
      </c>
      <c r="L147" s="635" t="str">
        <f>IFERROR(INDEX('G-7 Rivers Data'!$O$3:$O$7,MATCH(G147,'G-7 Rivers Data'!$N$3:$N$7,0)),"")</f>
        <v/>
      </c>
      <c r="M147" s="72"/>
      <c r="N147" s="195"/>
      <c r="O147" s="507" t="str">
        <f t="shared" si="13"/>
        <v/>
      </c>
      <c r="P147" s="521" t="str">
        <f t="shared" si="14"/>
        <v/>
      </c>
      <c r="Q147" s="564" t="str">
        <f>IFERROR(IF(P147="Check Data ⚠","Check Data ⚠",VLOOKUP(P147,'G-4 Temporal multipliers'!$A$4:$C$37,3,FALSE)),"")</f>
        <v/>
      </c>
      <c r="R147" s="498" t="str">
        <f>IF(C147="","",VLOOKUP(C147,'G-7 Rivers Data'!$B$4:$G$8,4,FALSE))</f>
        <v/>
      </c>
      <c r="S147" s="507" t="str">
        <f t="shared" si="15"/>
        <v/>
      </c>
      <c r="T147" s="540" t="str">
        <f t="shared" si="16"/>
        <v/>
      </c>
      <c r="U147" s="499" t="str">
        <f t="shared" si="17"/>
        <v/>
      </c>
      <c r="V147" s="71"/>
      <c r="W147" s="499" t="str">
        <f>IF(V147="","",IF(VLOOKUP(V147,'G-7 Rivers Data'!$AA$4:$AB$7,2,FALSE)=0,"Spatial Data Missing ⚠",VLOOKUP(V147,'G-7 Rivers Data'!$AA$4:$AB$7,2,FALSE)))</f>
        <v/>
      </c>
      <c r="X147" s="155"/>
      <c r="Y147" s="499" t="str">
        <f>IF(X147="","",IF(VLOOKUP(X147,'G-7 Rivers Data'!$AD$4:$AE$8,2,FALSE)=0,"Enrcoachment Data Missing ⚠",VLOOKUP(X147,'G-7 Rivers Data'!$AD$4:$AE$8,2,FALSE)))</f>
        <v/>
      </c>
      <c r="Z147" s="154"/>
      <c r="AA147" s="524" t="str">
        <f>IF(Z147="","",VLOOKUP(Z147,'G-7 Rivers Data'!$AO$4:$AP$7,2,FALSE))</f>
        <v/>
      </c>
      <c r="AB147" s="545" t="str">
        <f t="shared" si="18"/>
        <v/>
      </c>
      <c r="AC147" s="149"/>
      <c r="AD147" s="150"/>
      <c r="AK147" s="31" t="str">
        <f>IFERROR(INDEX('G-7 Rivers Data'!$AZ$3:$AZ$7,MATCH(C147,'G-7 Rivers Data'!$AY$3:$AY$7,0)),"")</f>
        <v/>
      </c>
    </row>
    <row r="148" spans="2:37" ht="13.8" x14ac:dyDescent="0.25">
      <c r="B148" s="141">
        <v>137</v>
      </c>
      <c r="C148" s="666"/>
      <c r="D148" s="172"/>
      <c r="E148" s="498" t="str">
        <f>IF(C148="","",VLOOKUP(C148,'G-7 Rivers Data'!$B$2:$Z$9,2,FALSE))</f>
        <v/>
      </c>
      <c r="F148" s="499" t="str">
        <f>IFERROR(VLOOKUP(E148,'G-7 Rivers Data'!$C$4:$D$8,2,FALSE),"")</f>
        <v/>
      </c>
      <c r="G148" s="145"/>
      <c r="H148" s="499" t="str">
        <f>IFERROR(INDEX('G-7 Rivers Data'!$H$4:$L$8,MATCH(C148,'G-7 Rivers Data'!$B$4:$B$8,0),MATCH(G148,'G-7 Rivers Data'!$H$3:$L$3,0)),"")</f>
        <v/>
      </c>
      <c r="I148" s="145"/>
      <c r="J148" s="540" t="str">
        <f>IF(I148="","",IF(VLOOKUP(I148,'G-7 Rivers Data'!$AG$4:$AI$9,2,FALSE)=0,"Spatial Data Missing ⚠",VLOOKUP(I148,'G-7 Rivers Data'!$AG$4:$AI$9,2,FALSE)))</f>
        <v/>
      </c>
      <c r="K148" s="499" t="str">
        <f>IF(I148="","",IF(VLOOKUP(I148,'G-7 Rivers Data'!$AG$4:$AI$9,3,FALSE)=0,"Spatial Data Missing ⚠",VLOOKUP(I148,'G-7 Rivers Data'!$AG$4:$AI$9,3,FALSE)))</f>
        <v/>
      </c>
      <c r="L148" s="635" t="str">
        <f>IFERROR(INDEX('G-7 Rivers Data'!$O$3:$O$7,MATCH(G148,'G-7 Rivers Data'!$N$3:$N$7,0)),"")</f>
        <v/>
      </c>
      <c r="M148" s="72"/>
      <c r="N148" s="195"/>
      <c r="O148" s="507" t="str">
        <f t="shared" si="13"/>
        <v/>
      </c>
      <c r="P148" s="521" t="str">
        <f t="shared" si="14"/>
        <v/>
      </c>
      <c r="Q148" s="564" t="str">
        <f>IFERROR(IF(P148="Check Data ⚠","Check Data ⚠",VLOOKUP(P148,'G-4 Temporal multipliers'!$A$4:$C$37,3,FALSE)),"")</f>
        <v/>
      </c>
      <c r="R148" s="498" t="str">
        <f>IF(C148="","",VLOOKUP(C148,'G-7 Rivers Data'!$B$4:$G$8,4,FALSE))</f>
        <v/>
      </c>
      <c r="S148" s="507" t="str">
        <f t="shared" si="15"/>
        <v/>
      </c>
      <c r="T148" s="540" t="str">
        <f t="shared" si="16"/>
        <v/>
      </c>
      <c r="U148" s="499" t="str">
        <f t="shared" si="17"/>
        <v/>
      </c>
      <c r="V148" s="71"/>
      <c r="W148" s="499" t="str">
        <f>IF(V148="","",IF(VLOOKUP(V148,'G-7 Rivers Data'!$AA$4:$AB$7,2,FALSE)=0,"Spatial Data Missing ⚠",VLOOKUP(V148,'G-7 Rivers Data'!$AA$4:$AB$7,2,FALSE)))</f>
        <v/>
      </c>
      <c r="X148" s="155"/>
      <c r="Y148" s="499" t="str">
        <f>IF(X148="","",IF(VLOOKUP(X148,'G-7 Rivers Data'!$AD$4:$AE$8,2,FALSE)=0,"Enrcoachment Data Missing ⚠",VLOOKUP(X148,'G-7 Rivers Data'!$AD$4:$AE$8,2,FALSE)))</f>
        <v/>
      </c>
      <c r="Z148" s="154"/>
      <c r="AA148" s="524" t="str">
        <f>IF(Z148="","",VLOOKUP(Z148,'G-7 Rivers Data'!$AO$4:$AP$7,2,FALSE))</f>
        <v/>
      </c>
      <c r="AB148" s="545" t="str">
        <f t="shared" si="18"/>
        <v/>
      </c>
      <c r="AC148" s="149"/>
      <c r="AD148" s="150"/>
      <c r="AK148" s="31" t="str">
        <f>IFERROR(INDEX('G-7 Rivers Data'!$AZ$3:$AZ$7,MATCH(C148,'G-7 Rivers Data'!$AY$3:$AY$7,0)),"")</f>
        <v/>
      </c>
    </row>
    <row r="149" spans="2:37" ht="13.8" x14ac:dyDescent="0.25">
      <c r="B149" s="141">
        <v>138</v>
      </c>
      <c r="C149" s="666"/>
      <c r="D149" s="172"/>
      <c r="E149" s="498" t="str">
        <f>IF(C149="","",VLOOKUP(C149,'G-7 Rivers Data'!$B$2:$Z$9,2,FALSE))</f>
        <v/>
      </c>
      <c r="F149" s="499" t="str">
        <f>IFERROR(VLOOKUP(E149,'G-7 Rivers Data'!$C$4:$D$8,2,FALSE),"")</f>
        <v/>
      </c>
      <c r="G149" s="145"/>
      <c r="H149" s="499" t="str">
        <f>IFERROR(INDEX('G-7 Rivers Data'!$H$4:$L$8,MATCH(C149,'G-7 Rivers Data'!$B$4:$B$8,0),MATCH(G149,'G-7 Rivers Data'!$H$3:$L$3,0)),"")</f>
        <v/>
      </c>
      <c r="I149" s="145"/>
      <c r="J149" s="540" t="str">
        <f>IF(I149="","",IF(VLOOKUP(I149,'G-7 Rivers Data'!$AG$4:$AI$9,2,FALSE)=0,"Spatial Data Missing ⚠",VLOOKUP(I149,'G-7 Rivers Data'!$AG$4:$AI$9,2,FALSE)))</f>
        <v/>
      </c>
      <c r="K149" s="499" t="str">
        <f>IF(I149="","",IF(VLOOKUP(I149,'G-7 Rivers Data'!$AG$4:$AI$9,3,FALSE)=0,"Spatial Data Missing ⚠",VLOOKUP(I149,'G-7 Rivers Data'!$AG$4:$AI$9,3,FALSE)))</f>
        <v/>
      </c>
      <c r="L149" s="635" t="str">
        <f>IFERROR(INDEX('G-7 Rivers Data'!$O$3:$O$7,MATCH(G149,'G-7 Rivers Data'!$N$3:$N$7,0)),"")</f>
        <v/>
      </c>
      <c r="M149" s="72"/>
      <c r="N149" s="195"/>
      <c r="O149" s="507" t="str">
        <f t="shared" si="13"/>
        <v/>
      </c>
      <c r="P149" s="521" t="str">
        <f t="shared" si="14"/>
        <v/>
      </c>
      <c r="Q149" s="564" t="str">
        <f>IFERROR(IF(P149="Check Data ⚠","Check Data ⚠",VLOOKUP(P149,'G-4 Temporal multipliers'!$A$4:$C$37,3,FALSE)),"")</f>
        <v/>
      </c>
      <c r="R149" s="498" t="str">
        <f>IF(C149="","",VLOOKUP(C149,'G-7 Rivers Data'!$B$4:$G$8,4,FALSE))</f>
        <v/>
      </c>
      <c r="S149" s="507" t="str">
        <f t="shared" si="15"/>
        <v/>
      </c>
      <c r="T149" s="540" t="str">
        <f t="shared" si="16"/>
        <v/>
      </c>
      <c r="U149" s="499" t="str">
        <f t="shared" si="17"/>
        <v/>
      </c>
      <c r="V149" s="71"/>
      <c r="W149" s="499" t="str">
        <f>IF(V149="","",IF(VLOOKUP(V149,'G-7 Rivers Data'!$AA$4:$AB$7,2,FALSE)=0,"Spatial Data Missing ⚠",VLOOKUP(V149,'G-7 Rivers Data'!$AA$4:$AB$7,2,FALSE)))</f>
        <v/>
      </c>
      <c r="X149" s="155"/>
      <c r="Y149" s="499" t="str">
        <f>IF(X149="","",IF(VLOOKUP(X149,'G-7 Rivers Data'!$AD$4:$AE$8,2,FALSE)=0,"Enrcoachment Data Missing ⚠",VLOOKUP(X149,'G-7 Rivers Data'!$AD$4:$AE$8,2,FALSE)))</f>
        <v/>
      </c>
      <c r="Z149" s="154"/>
      <c r="AA149" s="524" t="str">
        <f>IF(Z149="","",VLOOKUP(Z149,'G-7 Rivers Data'!$AO$4:$AP$7,2,FALSE))</f>
        <v/>
      </c>
      <c r="AB149" s="545" t="str">
        <f t="shared" si="18"/>
        <v/>
      </c>
      <c r="AC149" s="149"/>
      <c r="AD149" s="150"/>
      <c r="AK149" s="31" t="str">
        <f>IFERROR(INDEX('G-7 Rivers Data'!$AZ$3:$AZ$7,MATCH(C149,'G-7 Rivers Data'!$AY$3:$AY$7,0)),"")</f>
        <v/>
      </c>
    </row>
    <row r="150" spans="2:37" ht="13.8" x14ac:dyDescent="0.25">
      <c r="B150" s="141">
        <v>139</v>
      </c>
      <c r="C150" s="666"/>
      <c r="D150" s="172"/>
      <c r="E150" s="498" t="str">
        <f>IF(C150="","",VLOOKUP(C150,'G-7 Rivers Data'!$B$2:$Z$9,2,FALSE))</f>
        <v/>
      </c>
      <c r="F150" s="499" t="str">
        <f>IFERROR(VLOOKUP(E150,'G-7 Rivers Data'!$C$4:$D$8,2,FALSE),"")</f>
        <v/>
      </c>
      <c r="G150" s="145"/>
      <c r="H150" s="499" t="str">
        <f>IFERROR(INDEX('G-7 Rivers Data'!$H$4:$L$8,MATCH(C150,'G-7 Rivers Data'!$B$4:$B$8,0),MATCH(G150,'G-7 Rivers Data'!$H$3:$L$3,0)),"")</f>
        <v/>
      </c>
      <c r="I150" s="145"/>
      <c r="J150" s="540" t="str">
        <f>IF(I150="","",IF(VLOOKUP(I150,'G-7 Rivers Data'!$AG$4:$AI$9,2,FALSE)=0,"Spatial Data Missing ⚠",VLOOKUP(I150,'G-7 Rivers Data'!$AG$4:$AI$9,2,FALSE)))</f>
        <v/>
      </c>
      <c r="K150" s="499" t="str">
        <f>IF(I150="","",IF(VLOOKUP(I150,'G-7 Rivers Data'!$AG$4:$AI$9,3,FALSE)=0,"Spatial Data Missing ⚠",VLOOKUP(I150,'G-7 Rivers Data'!$AG$4:$AI$9,3,FALSE)))</f>
        <v/>
      </c>
      <c r="L150" s="635" t="str">
        <f>IFERROR(INDEX('G-7 Rivers Data'!$O$3:$O$7,MATCH(G150,'G-7 Rivers Data'!$N$3:$N$7,0)),"")</f>
        <v/>
      </c>
      <c r="M150" s="72"/>
      <c r="N150" s="195"/>
      <c r="O150" s="507" t="str">
        <f t="shared" si="13"/>
        <v/>
      </c>
      <c r="P150" s="521" t="str">
        <f t="shared" si="14"/>
        <v/>
      </c>
      <c r="Q150" s="564" t="str">
        <f>IFERROR(IF(P150="Check Data ⚠","Check Data ⚠",VLOOKUP(P150,'G-4 Temporal multipliers'!$A$4:$C$37,3,FALSE)),"")</f>
        <v/>
      </c>
      <c r="R150" s="498" t="str">
        <f>IF(C150="","",VLOOKUP(C150,'G-7 Rivers Data'!$B$4:$G$8,4,FALSE))</f>
        <v/>
      </c>
      <c r="S150" s="507" t="str">
        <f t="shared" si="15"/>
        <v/>
      </c>
      <c r="T150" s="540" t="str">
        <f t="shared" si="16"/>
        <v/>
      </c>
      <c r="U150" s="499" t="str">
        <f t="shared" si="17"/>
        <v/>
      </c>
      <c r="V150" s="71"/>
      <c r="W150" s="499" t="str">
        <f>IF(V150="","",IF(VLOOKUP(V150,'G-7 Rivers Data'!$AA$4:$AB$7,2,FALSE)=0,"Spatial Data Missing ⚠",VLOOKUP(V150,'G-7 Rivers Data'!$AA$4:$AB$7,2,FALSE)))</f>
        <v/>
      </c>
      <c r="X150" s="155"/>
      <c r="Y150" s="499" t="str">
        <f>IF(X150="","",IF(VLOOKUP(X150,'G-7 Rivers Data'!$AD$4:$AE$8,2,FALSE)=0,"Enrcoachment Data Missing ⚠",VLOOKUP(X150,'G-7 Rivers Data'!$AD$4:$AE$8,2,FALSE)))</f>
        <v/>
      </c>
      <c r="Z150" s="154"/>
      <c r="AA150" s="524" t="str">
        <f>IF(Z150="","",VLOOKUP(Z150,'G-7 Rivers Data'!$AO$4:$AP$7,2,FALSE))</f>
        <v/>
      </c>
      <c r="AB150" s="545" t="str">
        <f t="shared" si="18"/>
        <v/>
      </c>
      <c r="AC150" s="149"/>
      <c r="AD150" s="150"/>
      <c r="AK150" s="31" t="str">
        <f>IFERROR(INDEX('G-7 Rivers Data'!$AZ$3:$AZ$7,MATCH(C150,'G-7 Rivers Data'!$AY$3:$AY$7,0)),"")</f>
        <v/>
      </c>
    </row>
    <row r="151" spans="2:37" ht="13.8" x14ac:dyDescent="0.25">
      <c r="B151" s="141">
        <v>140</v>
      </c>
      <c r="C151" s="666"/>
      <c r="D151" s="172"/>
      <c r="E151" s="498" t="str">
        <f>IF(C151="","",VLOOKUP(C151,'G-7 Rivers Data'!$B$2:$Z$9,2,FALSE))</f>
        <v/>
      </c>
      <c r="F151" s="499" t="str">
        <f>IFERROR(VLOOKUP(E151,'G-7 Rivers Data'!$C$4:$D$8,2,FALSE),"")</f>
        <v/>
      </c>
      <c r="G151" s="145"/>
      <c r="H151" s="499" t="str">
        <f>IFERROR(INDEX('G-7 Rivers Data'!$H$4:$L$8,MATCH(C151,'G-7 Rivers Data'!$B$4:$B$8,0),MATCH(G151,'G-7 Rivers Data'!$H$3:$L$3,0)),"")</f>
        <v/>
      </c>
      <c r="I151" s="145"/>
      <c r="J151" s="540" t="str">
        <f>IF(I151="","",IF(VLOOKUP(I151,'G-7 Rivers Data'!$AG$4:$AI$9,2,FALSE)=0,"Spatial Data Missing ⚠",VLOOKUP(I151,'G-7 Rivers Data'!$AG$4:$AI$9,2,FALSE)))</f>
        <v/>
      </c>
      <c r="K151" s="499" t="str">
        <f>IF(I151="","",IF(VLOOKUP(I151,'G-7 Rivers Data'!$AG$4:$AI$9,3,FALSE)=0,"Spatial Data Missing ⚠",VLOOKUP(I151,'G-7 Rivers Data'!$AG$4:$AI$9,3,FALSE)))</f>
        <v/>
      </c>
      <c r="L151" s="635" t="str">
        <f>IFERROR(INDEX('G-7 Rivers Data'!$O$3:$O$7,MATCH(G151,'G-7 Rivers Data'!$N$3:$N$7,0)),"")</f>
        <v/>
      </c>
      <c r="M151" s="72"/>
      <c r="N151" s="195"/>
      <c r="O151" s="507" t="str">
        <f t="shared" si="13"/>
        <v/>
      </c>
      <c r="P151" s="521" t="str">
        <f t="shared" si="14"/>
        <v/>
      </c>
      <c r="Q151" s="564" t="str">
        <f>IFERROR(IF(P151="Check Data ⚠","Check Data ⚠",VLOOKUP(P151,'G-4 Temporal multipliers'!$A$4:$C$37,3,FALSE)),"")</f>
        <v/>
      </c>
      <c r="R151" s="498" t="str">
        <f>IF(C151="","",VLOOKUP(C151,'G-7 Rivers Data'!$B$4:$G$8,4,FALSE))</f>
        <v/>
      </c>
      <c r="S151" s="507" t="str">
        <f t="shared" si="15"/>
        <v/>
      </c>
      <c r="T151" s="540" t="str">
        <f t="shared" si="16"/>
        <v/>
      </c>
      <c r="U151" s="499" t="str">
        <f t="shared" si="17"/>
        <v/>
      </c>
      <c r="V151" s="71"/>
      <c r="W151" s="499" t="str">
        <f>IF(V151="","",IF(VLOOKUP(V151,'G-7 Rivers Data'!$AA$4:$AB$7,2,FALSE)=0,"Spatial Data Missing ⚠",VLOOKUP(V151,'G-7 Rivers Data'!$AA$4:$AB$7,2,FALSE)))</f>
        <v/>
      </c>
      <c r="X151" s="155"/>
      <c r="Y151" s="499" t="str">
        <f>IF(X151="","",IF(VLOOKUP(X151,'G-7 Rivers Data'!$AD$4:$AE$8,2,FALSE)=0,"Enrcoachment Data Missing ⚠",VLOOKUP(X151,'G-7 Rivers Data'!$AD$4:$AE$8,2,FALSE)))</f>
        <v/>
      </c>
      <c r="Z151" s="154"/>
      <c r="AA151" s="524" t="str">
        <f>IF(Z151="","",VLOOKUP(Z151,'G-7 Rivers Data'!$AO$4:$AP$7,2,FALSE))</f>
        <v/>
      </c>
      <c r="AB151" s="545" t="str">
        <f t="shared" si="18"/>
        <v/>
      </c>
      <c r="AC151" s="149"/>
      <c r="AD151" s="150"/>
      <c r="AK151" s="31" t="str">
        <f>IFERROR(INDEX('G-7 Rivers Data'!$AZ$3:$AZ$7,MATCH(C151,'G-7 Rivers Data'!$AY$3:$AY$7,0)),"")</f>
        <v/>
      </c>
    </row>
    <row r="152" spans="2:37" ht="13.8" x14ac:dyDescent="0.25">
      <c r="B152" s="141">
        <v>141</v>
      </c>
      <c r="C152" s="666"/>
      <c r="D152" s="172"/>
      <c r="E152" s="498" t="str">
        <f>IF(C152="","",VLOOKUP(C152,'G-7 Rivers Data'!$B$2:$Z$9,2,FALSE))</f>
        <v/>
      </c>
      <c r="F152" s="499" t="str">
        <f>IFERROR(VLOOKUP(E152,'G-7 Rivers Data'!$C$4:$D$8,2,FALSE),"")</f>
        <v/>
      </c>
      <c r="G152" s="145"/>
      <c r="H152" s="499" t="str">
        <f>IFERROR(INDEX('G-7 Rivers Data'!$H$4:$L$8,MATCH(C152,'G-7 Rivers Data'!$B$4:$B$8,0),MATCH(G152,'G-7 Rivers Data'!$H$3:$L$3,0)),"")</f>
        <v/>
      </c>
      <c r="I152" s="145"/>
      <c r="J152" s="540" t="str">
        <f>IF(I152="","",IF(VLOOKUP(I152,'G-7 Rivers Data'!$AG$4:$AI$9,2,FALSE)=0,"Spatial Data Missing ⚠",VLOOKUP(I152,'G-7 Rivers Data'!$AG$4:$AI$9,2,FALSE)))</f>
        <v/>
      </c>
      <c r="K152" s="499" t="str">
        <f>IF(I152="","",IF(VLOOKUP(I152,'G-7 Rivers Data'!$AG$4:$AI$9,3,FALSE)=0,"Spatial Data Missing ⚠",VLOOKUP(I152,'G-7 Rivers Data'!$AG$4:$AI$9,3,FALSE)))</f>
        <v/>
      </c>
      <c r="L152" s="635" t="str">
        <f>IFERROR(INDEX('G-7 Rivers Data'!$O$3:$O$7,MATCH(G152,'G-7 Rivers Data'!$N$3:$N$7,0)),"")</f>
        <v/>
      </c>
      <c r="M152" s="72"/>
      <c r="N152" s="195"/>
      <c r="O152" s="507" t="str">
        <f t="shared" si="13"/>
        <v/>
      </c>
      <c r="P152" s="521" t="str">
        <f t="shared" si="14"/>
        <v/>
      </c>
      <c r="Q152" s="564" t="str">
        <f>IFERROR(IF(P152="Check Data ⚠","Check Data ⚠",VLOOKUP(P152,'G-4 Temporal multipliers'!$A$4:$C$37,3,FALSE)),"")</f>
        <v/>
      </c>
      <c r="R152" s="498" t="str">
        <f>IF(C152="","",VLOOKUP(C152,'G-7 Rivers Data'!$B$4:$G$8,4,FALSE))</f>
        <v/>
      </c>
      <c r="S152" s="507" t="str">
        <f t="shared" si="15"/>
        <v/>
      </c>
      <c r="T152" s="540" t="str">
        <f t="shared" si="16"/>
        <v/>
      </c>
      <c r="U152" s="499" t="str">
        <f t="shared" si="17"/>
        <v/>
      </c>
      <c r="V152" s="71"/>
      <c r="W152" s="499" t="str">
        <f>IF(V152="","",IF(VLOOKUP(V152,'G-7 Rivers Data'!$AA$4:$AB$7,2,FALSE)=0,"Spatial Data Missing ⚠",VLOOKUP(V152,'G-7 Rivers Data'!$AA$4:$AB$7,2,FALSE)))</f>
        <v/>
      </c>
      <c r="X152" s="155"/>
      <c r="Y152" s="499" t="str">
        <f>IF(X152="","",IF(VLOOKUP(X152,'G-7 Rivers Data'!$AD$4:$AE$8,2,FALSE)=0,"Enrcoachment Data Missing ⚠",VLOOKUP(X152,'G-7 Rivers Data'!$AD$4:$AE$8,2,FALSE)))</f>
        <v/>
      </c>
      <c r="Z152" s="154"/>
      <c r="AA152" s="524" t="str">
        <f>IF(Z152="","",VLOOKUP(Z152,'G-7 Rivers Data'!$AO$4:$AP$7,2,FALSE))</f>
        <v/>
      </c>
      <c r="AB152" s="545" t="str">
        <f t="shared" si="18"/>
        <v/>
      </c>
      <c r="AC152" s="149"/>
      <c r="AD152" s="150"/>
      <c r="AK152" s="31" t="str">
        <f>IFERROR(INDEX('G-7 Rivers Data'!$AZ$3:$AZ$7,MATCH(C152,'G-7 Rivers Data'!$AY$3:$AY$7,0)),"")</f>
        <v/>
      </c>
    </row>
    <row r="153" spans="2:37" ht="13.8" x14ac:dyDescent="0.25">
      <c r="B153" s="141">
        <v>142</v>
      </c>
      <c r="C153" s="666"/>
      <c r="D153" s="172"/>
      <c r="E153" s="498" t="str">
        <f>IF(C153="","",VLOOKUP(C153,'G-7 Rivers Data'!$B$2:$Z$9,2,FALSE))</f>
        <v/>
      </c>
      <c r="F153" s="499" t="str">
        <f>IFERROR(VLOOKUP(E153,'G-7 Rivers Data'!$C$4:$D$8,2,FALSE),"")</f>
        <v/>
      </c>
      <c r="G153" s="145"/>
      <c r="H153" s="499" t="str">
        <f>IFERROR(INDEX('G-7 Rivers Data'!$H$4:$L$8,MATCH(C153,'G-7 Rivers Data'!$B$4:$B$8,0),MATCH(G153,'G-7 Rivers Data'!$H$3:$L$3,0)),"")</f>
        <v/>
      </c>
      <c r="I153" s="145"/>
      <c r="J153" s="540" t="str">
        <f>IF(I153="","",IF(VLOOKUP(I153,'G-7 Rivers Data'!$AG$4:$AI$9,2,FALSE)=0,"Spatial Data Missing ⚠",VLOOKUP(I153,'G-7 Rivers Data'!$AG$4:$AI$9,2,FALSE)))</f>
        <v/>
      </c>
      <c r="K153" s="499" t="str">
        <f>IF(I153="","",IF(VLOOKUP(I153,'G-7 Rivers Data'!$AG$4:$AI$9,3,FALSE)=0,"Spatial Data Missing ⚠",VLOOKUP(I153,'G-7 Rivers Data'!$AG$4:$AI$9,3,FALSE)))</f>
        <v/>
      </c>
      <c r="L153" s="635" t="str">
        <f>IFERROR(INDEX('G-7 Rivers Data'!$O$3:$O$7,MATCH(G153,'G-7 Rivers Data'!$N$3:$N$7,0)),"")</f>
        <v/>
      </c>
      <c r="M153" s="72"/>
      <c r="N153" s="195"/>
      <c r="O153" s="507" t="str">
        <f t="shared" si="13"/>
        <v/>
      </c>
      <c r="P153" s="521" t="str">
        <f t="shared" si="14"/>
        <v/>
      </c>
      <c r="Q153" s="564" t="str">
        <f>IFERROR(IF(P153="Check Data ⚠","Check Data ⚠",VLOOKUP(P153,'G-4 Temporal multipliers'!$A$4:$C$37,3,FALSE)),"")</f>
        <v/>
      </c>
      <c r="R153" s="498" t="str">
        <f>IF(C153="","",VLOOKUP(C153,'G-7 Rivers Data'!$B$4:$G$8,4,FALSE))</f>
        <v/>
      </c>
      <c r="S153" s="507" t="str">
        <f t="shared" si="15"/>
        <v/>
      </c>
      <c r="T153" s="540" t="str">
        <f t="shared" si="16"/>
        <v/>
      </c>
      <c r="U153" s="499" t="str">
        <f t="shared" si="17"/>
        <v/>
      </c>
      <c r="V153" s="71"/>
      <c r="W153" s="499" t="str">
        <f>IF(V153="","",IF(VLOOKUP(V153,'G-7 Rivers Data'!$AA$4:$AB$7,2,FALSE)=0,"Spatial Data Missing ⚠",VLOOKUP(V153,'G-7 Rivers Data'!$AA$4:$AB$7,2,FALSE)))</f>
        <v/>
      </c>
      <c r="X153" s="155"/>
      <c r="Y153" s="499" t="str">
        <f>IF(X153="","",IF(VLOOKUP(X153,'G-7 Rivers Data'!$AD$4:$AE$8,2,FALSE)=0,"Enrcoachment Data Missing ⚠",VLOOKUP(X153,'G-7 Rivers Data'!$AD$4:$AE$8,2,FALSE)))</f>
        <v/>
      </c>
      <c r="Z153" s="154"/>
      <c r="AA153" s="524" t="str">
        <f>IF(Z153="","",VLOOKUP(Z153,'G-7 Rivers Data'!$AO$4:$AP$7,2,FALSE))</f>
        <v/>
      </c>
      <c r="AB153" s="545" t="str">
        <f t="shared" si="18"/>
        <v/>
      </c>
      <c r="AC153" s="149"/>
      <c r="AD153" s="150"/>
      <c r="AK153" s="31" t="str">
        <f>IFERROR(INDEX('G-7 Rivers Data'!$AZ$3:$AZ$7,MATCH(C153,'G-7 Rivers Data'!$AY$3:$AY$7,0)),"")</f>
        <v/>
      </c>
    </row>
    <row r="154" spans="2:37" ht="13.8" x14ac:dyDescent="0.25">
      <c r="B154" s="141">
        <v>143</v>
      </c>
      <c r="C154" s="666"/>
      <c r="D154" s="172"/>
      <c r="E154" s="498" t="str">
        <f>IF(C154="","",VLOOKUP(C154,'G-7 Rivers Data'!$B$2:$Z$9,2,FALSE))</f>
        <v/>
      </c>
      <c r="F154" s="499" t="str">
        <f>IFERROR(VLOOKUP(E154,'G-7 Rivers Data'!$C$4:$D$8,2,FALSE),"")</f>
        <v/>
      </c>
      <c r="G154" s="145"/>
      <c r="H154" s="499" t="str">
        <f>IFERROR(INDEX('G-7 Rivers Data'!$H$4:$L$8,MATCH(C154,'G-7 Rivers Data'!$B$4:$B$8,0),MATCH(G154,'G-7 Rivers Data'!$H$3:$L$3,0)),"")</f>
        <v/>
      </c>
      <c r="I154" s="145"/>
      <c r="J154" s="540" t="str">
        <f>IF(I154="","",IF(VLOOKUP(I154,'G-7 Rivers Data'!$AG$4:$AI$9,2,FALSE)=0,"Spatial Data Missing ⚠",VLOOKUP(I154,'G-7 Rivers Data'!$AG$4:$AI$9,2,FALSE)))</f>
        <v/>
      </c>
      <c r="K154" s="499" t="str">
        <f>IF(I154="","",IF(VLOOKUP(I154,'G-7 Rivers Data'!$AG$4:$AI$9,3,FALSE)=0,"Spatial Data Missing ⚠",VLOOKUP(I154,'G-7 Rivers Data'!$AG$4:$AI$9,3,FALSE)))</f>
        <v/>
      </c>
      <c r="L154" s="635" t="str">
        <f>IFERROR(INDEX('G-7 Rivers Data'!$O$3:$O$7,MATCH(G154,'G-7 Rivers Data'!$N$3:$N$7,0)),"")</f>
        <v/>
      </c>
      <c r="M154" s="72"/>
      <c r="N154" s="195"/>
      <c r="O154" s="507" t="str">
        <f t="shared" si="13"/>
        <v/>
      </c>
      <c r="P154" s="521" t="str">
        <f t="shared" si="14"/>
        <v/>
      </c>
      <c r="Q154" s="564" t="str">
        <f>IFERROR(IF(P154="Check Data ⚠","Check Data ⚠",VLOOKUP(P154,'G-4 Temporal multipliers'!$A$4:$C$37,3,FALSE)),"")</f>
        <v/>
      </c>
      <c r="R154" s="498" t="str">
        <f>IF(C154="","",VLOOKUP(C154,'G-7 Rivers Data'!$B$4:$G$8,4,FALSE))</f>
        <v/>
      </c>
      <c r="S154" s="507" t="str">
        <f t="shared" si="15"/>
        <v/>
      </c>
      <c r="T154" s="540" t="str">
        <f t="shared" si="16"/>
        <v/>
      </c>
      <c r="U154" s="499" t="str">
        <f t="shared" si="17"/>
        <v/>
      </c>
      <c r="V154" s="71"/>
      <c r="W154" s="499" t="str">
        <f>IF(V154="","",IF(VLOOKUP(V154,'G-7 Rivers Data'!$AA$4:$AB$7,2,FALSE)=0,"Spatial Data Missing ⚠",VLOOKUP(V154,'G-7 Rivers Data'!$AA$4:$AB$7,2,FALSE)))</f>
        <v/>
      </c>
      <c r="X154" s="155"/>
      <c r="Y154" s="499" t="str">
        <f>IF(X154="","",IF(VLOOKUP(X154,'G-7 Rivers Data'!$AD$4:$AE$8,2,FALSE)=0,"Enrcoachment Data Missing ⚠",VLOOKUP(X154,'G-7 Rivers Data'!$AD$4:$AE$8,2,FALSE)))</f>
        <v/>
      </c>
      <c r="Z154" s="154"/>
      <c r="AA154" s="524" t="str">
        <f>IF(Z154="","",VLOOKUP(Z154,'G-7 Rivers Data'!$AO$4:$AP$7,2,FALSE))</f>
        <v/>
      </c>
      <c r="AB154" s="545" t="str">
        <f t="shared" si="18"/>
        <v/>
      </c>
      <c r="AC154" s="149"/>
      <c r="AD154" s="150"/>
      <c r="AK154" s="31" t="str">
        <f>IFERROR(INDEX('G-7 Rivers Data'!$AZ$3:$AZ$7,MATCH(C154,'G-7 Rivers Data'!$AY$3:$AY$7,0)),"")</f>
        <v/>
      </c>
    </row>
    <row r="155" spans="2:37" ht="13.8" x14ac:dyDescent="0.25">
      <c r="B155" s="141">
        <v>144</v>
      </c>
      <c r="C155" s="666"/>
      <c r="D155" s="172"/>
      <c r="E155" s="498" t="str">
        <f>IF(C155="","",VLOOKUP(C155,'G-7 Rivers Data'!$B$2:$Z$9,2,FALSE))</f>
        <v/>
      </c>
      <c r="F155" s="499" t="str">
        <f>IFERROR(VLOOKUP(E155,'G-7 Rivers Data'!$C$4:$D$8,2,FALSE),"")</f>
        <v/>
      </c>
      <c r="G155" s="145"/>
      <c r="H155" s="499" t="str">
        <f>IFERROR(INDEX('G-7 Rivers Data'!$H$4:$L$8,MATCH(C155,'G-7 Rivers Data'!$B$4:$B$8,0),MATCH(G155,'G-7 Rivers Data'!$H$3:$L$3,0)),"")</f>
        <v/>
      </c>
      <c r="I155" s="145"/>
      <c r="J155" s="540" t="str">
        <f>IF(I155="","",IF(VLOOKUP(I155,'G-7 Rivers Data'!$AG$4:$AI$9,2,FALSE)=0,"Spatial Data Missing ⚠",VLOOKUP(I155,'G-7 Rivers Data'!$AG$4:$AI$9,2,FALSE)))</f>
        <v/>
      </c>
      <c r="K155" s="499" t="str">
        <f>IF(I155="","",IF(VLOOKUP(I155,'G-7 Rivers Data'!$AG$4:$AI$9,3,FALSE)=0,"Spatial Data Missing ⚠",VLOOKUP(I155,'G-7 Rivers Data'!$AG$4:$AI$9,3,FALSE)))</f>
        <v/>
      </c>
      <c r="L155" s="635" t="str">
        <f>IFERROR(INDEX('G-7 Rivers Data'!$O$3:$O$7,MATCH(G155,'G-7 Rivers Data'!$N$3:$N$7,0)),"")</f>
        <v/>
      </c>
      <c r="M155" s="72"/>
      <c r="N155" s="195"/>
      <c r="O155" s="507" t="str">
        <f t="shared" si="13"/>
        <v/>
      </c>
      <c r="P155" s="521" t="str">
        <f t="shared" si="14"/>
        <v/>
      </c>
      <c r="Q155" s="564" t="str">
        <f>IFERROR(IF(P155="Check Data ⚠","Check Data ⚠",VLOOKUP(P155,'G-4 Temporal multipliers'!$A$4:$C$37,3,FALSE)),"")</f>
        <v/>
      </c>
      <c r="R155" s="498" t="str">
        <f>IF(C155="","",VLOOKUP(C155,'G-7 Rivers Data'!$B$4:$G$8,4,FALSE))</f>
        <v/>
      </c>
      <c r="S155" s="507" t="str">
        <f t="shared" si="15"/>
        <v/>
      </c>
      <c r="T155" s="540" t="str">
        <f t="shared" si="16"/>
        <v/>
      </c>
      <c r="U155" s="499" t="str">
        <f t="shared" si="17"/>
        <v/>
      </c>
      <c r="V155" s="71"/>
      <c r="W155" s="499" t="str">
        <f>IF(V155="","",IF(VLOOKUP(V155,'G-7 Rivers Data'!$AA$4:$AB$7,2,FALSE)=0,"Spatial Data Missing ⚠",VLOOKUP(V155,'G-7 Rivers Data'!$AA$4:$AB$7,2,FALSE)))</f>
        <v/>
      </c>
      <c r="X155" s="155"/>
      <c r="Y155" s="499" t="str">
        <f>IF(X155="","",IF(VLOOKUP(X155,'G-7 Rivers Data'!$AD$4:$AE$8,2,FALSE)=0,"Enrcoachment Data Missing ⚠",VLOOKUP(X155,'G-7 Rivers Data'!$AD$4:$AE$8,2,FALSE)))</f>
        <v/>
      </c>
      <c r="Z155" s="154"/>
      <c r="AA155" s="524" t="str">
        <f>IF(Z155="","",VLOOKUP(Z155,'G-7 Rivers Data'!$AO$4:$AP$7,2,FALSE))</f>
        <v/>
      </c>
      <c r="AB155" s="545" t="str">
        <f t="shared" si="18"/>
        <v/>
      </c>
      <c r="AC155" s="149"/>
      <c r="AD155" s="150"/>
      <c r="AK155" s="31" t="str">
        <f>IFERROR(INDEX('G-7 Rivers Data'!$AZ$3:$AZ$7,MATCH(C155,'G-7 Rivers Data'!$AY$3:$AY$7,0)),"")</f>
        <v/>
      </c>
    </row>
    <row r="156" spans="2:37" ht="13.8" x14ac:dyDescent="0.25">
      <c r="B156" s="141">
        <v>145</v>
      </c>
      <c r="C156" s="666"/>
      <c r="D156" s="172"/>
      <c r="E156" s="498" t="str">
        <f>IF(C156="","",VLOOKUP(C156,'G-7 Rivers Data'!$B$2:$Z$9,2,FALSE))</f>
        <v/>
      </c>
      <c r="F156" s="499" t="str">
        <f>IFERROR(VLOOKUP(E156,'G-7 Rivers Data'!$C$4:$D$8,2,FALSE),"")</f>
        <v/>
      </c>
      <c r="G156" s="145"/>
      <c r="H156" s="499" t="str">
        <f>IFERROR(INDEX('G-7 Rivers Data'!$H$4:$L$8,MATCH(C156,'G-7 Rivers Data'!$B$4:$B$8,0),MATCH(G156,'G-7 Rivers Data'!$H$3:$L$3,0)),"")</f>
        <v/>
      </c>
      <c r="I156" s="145"/>
      <c r="J156" s="540" t="str">
        <f>IF(I156="","",IF(VLOOKUP(I156,'G-7 Rivers Data'!$AG$4:$AI$9,2,FALSE)=0,"Spatial Data Missing ⚠",VLOOKUP(I156,'G-7 Rivers Data'!$AG$4:$AI$9,2,FALSE)))</f>
        <v/>
      </c>
      <c r="K156" s="499" t="str">
        <f>IF(I156="","",IF(VLOOKUP(I156,'G-7 Rivers Data'!$AG$4:$AI$9,3,FALSE)=0,"Spatial Data Missing ⚠",VLOOKUP(I156,'G-7 Rivers Data'!$AG$4:$AI$9,3,FALSE)))</f>
        <v/>
      </c>
      <c r="L156" s="635" t="str">
        <f>IFERROR(INDEX('G-7 Rivers Data'!$O$3:$O$7,MATCH(G156,'G-7 Rivers Data'!$N$3:$N$7,0)),"")</f>
        <v/>
      </c>
      <c r="M156" s="72"/>
      <c r="N156" s="195"/>
      <c r="O156" s="507" t="str">
        <f t="shared" si="13"/>
        <v/>
      </c>
      <c r="P156" s="521" t="str">
        <f t="shared" si="14"/>
        <v/>
      </c>
      <c r="Q156" s="564" t="str">
        <f>IFERROR(IF(P156="Check Data ⚠","Check Data ⚠",VLOOKUP(P156,'G-4 Temporal multipliers'!$A$4:$C$37,3,FALSE)),"")</f>
        <v/>
      </c>
      <c r="R156" s="498" t="str">
        <f>IF(C156="","",VLOOKUP(C156,'G-7 Rivers Data'!$B$4:$G$8,4,FALSE))</f>
        <v/>
      </c>
      <c r="S156" s="507" t="str">
        <f t="shared" si="15"/>
        <v/>
      </c>
      <c r="T156" s="540" t="str">
        <f t="shared" si="16"/>
        <v/>
      </c>
      <c r="U156" s="499" t="str">
        <f t="shared" si="17"/>
        <v/>
      </c>
      <c r="V156" s="71"/>
      <c r="W156" s="499" t="str">
        <f>IF(V156="","",IF(VLOOKUP(V156,'G-7 Rivers Data'!$AA$4:$AB$7,2,FALSE)=0,"Spatial Data Missing ⚠",VLOOKUP(V156,'G-7 Rivers Data'!$AA$4:$AB$7,2,FALSE)))</f>
        <v/>
      </c>
      <c r="X156" s="155"/>
      <c r="Y156" s="499" t="str">
        <f>IF(X156="","",IF(VLOOKUP(X156,'G-7 Rivers Data'!$AD$4:$AE$8,2,FALSE)=0,"Enrcoachment Data Missing ⚠",VLOOKUP(X156,'G-7 Rivers Data'!$AD$4:$AE$8,2,FALSE)))</f>
        <v/>
      </c>
      <c r="Z156" s="154"/>
      <c r="AA156" s="524" t="str">
        <f>IF(Z156="","",VLOOKUP(Z156,'G-7 Rivers Data'!$AO$4:$AP$7,2,FALSE))</f>
        <v/>
      </c>
      <c r="AB156" s="545" t="str">
        <f t="shared" si="18"/>
        <v/>
      </c>
      <c r="AC156" s="149"/>
      <c r="AD156" s="150"/>
      <c r="AK156" s="31" t="str">
        <f>IFERROR(INDEX('G-7 Rivers Data'!$AZ$3:$AZ$7,MATCH(C156,'G-7 Rivers Data'!$AY$3:$AY$7,0)),"")</f>
        <v/>
      </c>
    </row>
    <row r="157" spans="2:37" ht="13.8" x14ac:dyDescent="0.25">
      <c r="B157" s="141">
        <v>146</v>
      </c>
      <c r="C157" s="666"/>
      <c r="D157" s="172"/>
      <c r="E157" s="498" t="str">
        <f>IF(C157="","",VLOOKUP(C157,'G-7 Rivers Data'!$B$2:$Z$9,2,FALSE))</f>
        <v/>
      </c>
      <c r="F157" s="499" t="str">
        <f>IFERROR(VLOOKUP(E157,'G-7 Rivers Data'!$C$4:$D$8,2,FALSE),"")</f>
        <v/>
      </c>
      <c r="G157" s="145"/>
      <c r="H157" s="499" t="str">
        <f>IFERROR(INDEX('G-7 Rivers Data'!$H$4:$L$8,MATCH(C157,'G-7 Rivers Data'!$B$4:$B$8,0),MATCH(G157,'G-7 Rivers Data'!$H$3:$L$3,0)),"")</f>
        <v/>
      </c>
      <c r="I157" s="145"/>
      <c r="J157" s="540" t="str">
        <f>IF(I157="","",IF(VLOOKUP(I157,'G-7 Rivers Data'!$AG$4:$AI$9,2,FALSE)=0,"Spatial Data Missing ⚠",VLOOKUP(I157,'G-7 Rivers Data'!$AG$4:$AI$9,2,FALSE)))</f>
        <v/>
      </c>
      <c r="K157" s="499" t="str">
        <f>IF(I157="","",IF(VLOOKUP(I157,'G-7 Rivers Data'!$AG$4:$AI$9,3,FALSE)=0,"Spatial Data Missing ⚠",VLOOKUP(I157,'G-7 Rivers Data'!$AG$4:$AI$9,3,FALSE)))</f>
        <v/>
      </c>
      <c r="L157" s="635" t="str">
        <f>IFERROR(INDEX('G-7 Rivers Data'!$O$3:$O$7,MATCH(G157,'G-7 Rivers Data'!$N$3:$N$7,0)),"")</f>
        <v/>
      </c>
      <c r="M157" s="72"/>
      <c r="N157" s="195"/>
      <c r="O157" s="507" t="str">
        <f t="shared" si="13"/>
        <v/>
      </c>
      <c r="P157" s="521" t="str">
        <f t="shared" si="14"/>
        <v/>
      </c>
      <c r="Q157" s="564" t="str">
        <f>IFERROR(IF(P157="Check Data ⚠","Check Data ⚠",VLOOKUP(P157,'G-4 Temporal multipliers'!$A$4:$C$37,3,FALSE)),"")</f>
        <v/>
      </c>
      <c r="R157" s="498" t="str">
        <f>IF(C157="","",VLOOKUP(C157,'G-7 Rivers Data'!$B$4:$G$8,4,FALSE))</f>
        <v/>
      </c>
      <c r="S157" s="507" t="str">
        <f t="shared" si="15"/>
        <v/>
      </c>
      <c r="T157" s="540" t="str">
        <f t="shared" si="16"/>
        <v/>
      </c>
      <c r="U157" s="499" t="str">
        <f t="shared" si="17"/>
        <v/>
      </c>
      <c r="V157" s="71"/>
      <c r="W157" s="499" t="str">
        <f>IF(V157="","",IF(VLOOKUP(V157,'G-7 Rivers Data'!$AA$4:$AB$7,2,FALSE)=0,"Spatial Data Missing ⚠",VLOOKUP(V157,'G-7 Rivers Data'!$AA$4:$AB$7,2,FALSE)))</f>
        <v/>
      </c>
      <c r="X157" s="155"/>
      <c r="Y157" s="499" t="str">
        <f>IF(X157="","",IF(VLOOKUP(X157,'G-7 Rivers Data'!$AD$4:$AE$8,2,FALSE)=0,"Enrcoachment Data Missing ⚠",VLOOKUP(X157,'G-7 Rivers Data'!$AD$4:$AE$8,2,FALSE)))</f>
        <v/>
      </c>
      <c r="Z157" s="154"/>
      <c r="AA157" s="524" t="str">
        <f>IF(Z157="","",VLOOKUP(Z157,'G-7 Rivers Data'!$AO$4:$AP$7,2,FALSE))</f>
        <v/>
      </c>
      <c r="AB157" s="545" t="str">
        <f t="shared" si="18"/>
        <v/>
      </c>
      <c r="AC157" s="149"/>
      <c r="AD157" s="150"/>
      <c r="AK157" s="31" t="str">
        <f>IFERROR(INDEX('G-7 Rivers Data'!$AZ$3:$AZ$7,MATCH(C157,'G-7 Rivers Data'!$AY$3:$AY$7,0)),"")</f>
        <v/>
      </c>
    </row>
    <row r="158" spans="2:37" ht="13.8" x14ac:dyDescent="0.25">
      <c r="B158" s="141">
        <v>147</v>
      </c>
      <c r="C158" s="666"/>
      <c r="D158" s="172"/>
      <c r="E158" s="498" t="str">
        <f>IF(C158="","",VLOOKUP(C158,'G-7 Rivers Data'!$B$2:$Z$9,2,FALSE))</f>
        <v/>
      </c>
      <c r="F158" s="499" t="str">
        <f>IFERROR(VLOOKUP(E158,'G-7 Rivers Data'!$C$4:$D$8,2,FALSE),"")</f>
        <v/>
      </c>
      <c r="G158" s="145"/>
      <c r="H158" s="499" t="str">
        <f>IFERROR(INDEX('G-7 Rivers Data'!$H$4:$L$8,MATCH(C158,'G-7 Rivers Data'!$B$4:$B$8,0),MATCH(G158,'G-7 Rivers Data'!$H$3:$L$3,0)),"")</f>
        <v/>
      </c>
      <c r="I158" s="145"/>
      <c r="J158" s="540" t="str">
        <f>IF(I158="","",IF(VLOOKUP(I158,'G-7 Rivers Data'!$AG$4:$AI$9,2,FALSE)=0,"Spatial Data Missing ⚠",VLOOKUP(I158,'G-7 Rivers Data'!$AG$4:$AI$9,2,FALSE)))</f>
        <v/>
      </c>
      <c r="K158" s="499" t="str">
        <f>IF(I158="","",IF(VLOOKUP(I158,'G-7 Rivers Data'!$AG$4:$AI$9,3,FALSE)=0,"Spatial Data Missing ⚠",VLOOKUP(I158,'G-7 Rivers Data'!$AG$4:$AI$9,3,FALSE)))</f>
        <v/>
      </c>
      <c r="L158" s="635" t="str">
        <f>IFERROR(INDEX('G-7 Rivers Data'!$O$3:$O$7,MATCH(G158,'G-7 Rivers Data'!$N$3:$N$7,0)),"")</f>
        <v/>
      </c>
      <c r="M158" s="72"/>
      <c r="N158" s="195"/>
      <c r="O158" s="507" t="str">
        <f t="shared" si="13"/>
        <v/>
      </c>
      <c r="P158" s="521" t="str">
        <f t="shared" si="14"/>
        <v/>
      </c>
      <c r="Q158" s="564" t="str">
        <f>IFERROR(IF(P158="Check Data ⚠","Check Data ⚠",VLOOKUP(P158,'G-4 Temporal multipliers'!$A$4:$C$37,3,FALSE)),"")</f>
        <v/>
      </c>
      <c r="R158" s="498" t="str">
        <f>IF(C158="","",VLOOKUP(C158,'G-7 Rivers Data'!$B$4:$G$8,4,FALSE))</f>
        <v/>
      </c>
      <c r="S158" s="507" t="str">
        <f t="shared" si="15"/>
        <v/>
      </c>
      <c r="T158" s="540" t="str">
        <f t="shared" si="16"/>
        <v/>
      </c>
      <c r="U158" s="499" t="str">
        <f t="shared" si="17"/>
        <v/>
      </c>
      <c r="V158" s="71"/>
      <c r="W158" s="499" t="str">
        <f>IF(V158="","",IF(VLOOKUP(V158,'G-7 Rivers Data'!$AA$4:$AB$7,2,FALSE)=0,"Spatial Data Missing ⚠",VLOOKUP(V158,'G-7 Rivers Data'!$AA$4:$AB$7,2,FALSE)))</f>
        <v/>
      </c>
      <c r="X158" s="155"/>
      <c r="Y158" s="499" t="str">
        <f>IF(X158="","",IF(VLOOKUP(X158,'G-7 Rivers Data'!$AD$4:$AE$8,2,FALSE)=0,"Enrcoachment Data Missing ⚠",VLOOKUP(X158,'G-7 Rivers Data'!$AD$4:$AE$8,2,FALSE)))</f>
        <v/>
      </c>
      <c r="Z158" s="154"/>
      <c r="AA158" s="524" t="str">
        <f>IF(Z158="","",VLOOKUP(Z158,'G-7 Rivers Data'!$AO$4:$AP$7,2,FALSE))</f>
        <v/>
      </c>
      <c r="AB158" s="545" t="str">
        <f t="shared" si="18"/>
        <v/>
      </c>
      <c r="AC158" s="149"/>
      <c r="AD158" s="150"/>
      <c r="AK158" s="31" t="str">
        <f>IFERROR(INDEX('G-7 Rivers Data'!$AZ$3:$AZ$7,MATCH(C158,'G-7 Rivers Data'!$AY$3:$AY$7,0)),"")</f>
        <v/>
      </c>
    </row>
    <row r="159" spans="2:37" ht="13.8" x14ac:dyDescent="0.25">
      <c r="B159" s="141">
        <v>148</v>
      </c>
      <c r="C159" s="666"/>
      <c r="D159" s="172"/>
      <c r="E159" s="498" t="str">
        <f>IF(C159="","",VLOOKUP(C159,'G-7 Rivers Data'!$B$2:$Z$9,2,FALSE))</f>
        <v/>
      </c>
      <c r="F159" s="499" t="str">
        <f>IFERROR(VLOOKUP(E159,'G-7 Rivers Data'!$C$4:$D$8,2,FALSE),"")</f>
        <v/>
      </c>
      <c r="G159" s="145"/>
      <c r="H159" s="499" t="str">
        <f>IFERROR(INDEX('G-7 Rivers Data'!$H$4:$L$8,MATCH(C159,'G-7 Rivers Data'!$B$4:$B$8,0),MATCH(G159,'G-7 Rivers Data'!$H$3:$L$3,0)),"")</f>
        <v/>
      </c>
      <c r="I159" s="145"/>
      <c r="J159" s="540" t="str">
        <f>IF(I159="","",IF(VLOOKUP(I159,'G-7 Rivers Data'!$AG$4:$AI$9,2,FALSE)=0,"Spatial Data Missing ⚠",VLOOKUP(I159,'G-7 Rivers Data'!$AG$4:$AI$9,2,FALSE)))</f>
        <v/>
      </c>
      <c r="K159" s="499" t="str">
        <f>IF(I159="","",IF(VLOOKUP(I159,'G-7 Rivers Data'!$AG$4:$AI$9,3,FALSE)=0,"Spatial Data Missing ⚠",VLOOKUP(I159,'G-7 Rivers Data'!$AG$4:$AI$9,3,FALSE)))</f>
        <v/>
      </c>
      <c r="L159" s="635" t="str">
        <f>IFERROR(INDEX('G-7 Rivers Data'!$O$3:$O$7,MATCH(G159,'G-7 Rivers Data'!$N$3:$N$7,0)),"")</f>
        <v/>
      </c>
      <c r="M159" s="72"/>
      <c r="N159" s="195"/>
      <c r="O159" s="507" t="str">
        <f t="shared" si="13"/>
        <v/>
      </c>
      <c r="P159" s="521" t="str">
        <f t="shared" si="14"/>
        <v/>
      </c>
      <c r="Q159" s="564" t="str">
        <f>IFERROR(IF(P159="Check Data ⚠","Check Data ⚠",VLOOKUP(P159,'G-4 Temporal multipliers'!$A$4:$C$37,3,FALSE)),"")</f>
        <v/>
      </c>
      <c r="R159" s="498" t="str">
        <f>IF(C159="","",VLOOKUP(C159,'G-7 Rivers Data'!$B$4:$G$8,4,FALSE))</f>
        <v/>
      </c>
      <c r="S159" s="507" t="str">
        <f t="shared" si="15"/>
        <v/>
      </c>
      <c r="T159" s="540" t="str">
        <f t="shared" si="16"/>
        <v/>
      </c>
      <c r="U159" s="499" t="str">
        <f t="shared" si="17"/>
        <v/>
      </c>
      <c r="V159" s="71"/>
      <c r="W159" s="499" t="str">
        <f>IF(V159="","",IF(VLOOKUP(V159,'G-7 Rivers Data'!$AA$4:$AB$7,2,FALSE)=0,"Spatial Data Missing ⚠",VLOOKUP(V159,'G-7 Rivers Data'!$AA$4:$AB$7,2,FALSE)))</f>
        <v/>
      </c>
      <c r="X159" s="155"/>
      <c r="Y159" s="499" t="str">
        <f>IF(X159="","",IF(VLOOKUP(X159,'G-7 Rivers Data'!$AD$4:$AE$8,2,FALSE)=0,"Enrcoachment Data Missing ⚠",VLOOKUP(X159,'G-7 Rivers Data'!$AD$4:$AE$8,2,FALSE)))</f>
        <v/>
      </c>
      <c r="Z159" s="154"/>
      <c r="AA159" s="524" t="str">
        <f>IF(Z159="","",VLOOKUP(Z159,'G-7 Rivers Data'!$AO$4:$AP$7,2,FALSE))</f>
        <v/>
      </c>
      <c r="AB159" s="545" t="str">
        <f t="shared" si="18"/>
        <v/>
      </c>
      <c r="AC159" s="149"/>
      <c r="AD159" s="150"/>
      <c r="AK159" s="31" t="str">
        <f>IFERROR(INDEX('G-7 Rivers Data'!$AZ$3:$AZ$7,MATCH(C159,'G-7 Rivers Data'!$AY$3:$AY$7,0)),"")</f>
        <v/>
      </c>
    </row>
    <row r="160" spans="2:37" ht="13.8" x14ac:dyDescent="0.25">
      <c r="B160" s="141">
        <v>149</v>
      </c>
      <c r="C160" s="666"/>
      <c r="D160" s="172"/>
      <c r="E160" s="498" t="str">
        <f>IF(C160="","",VLOOKUP(C160,'G-7 Rivers Data'!$B$2:$Z$9,2,FALSE))</f>
        <v/>
      </c>
      <c r="F160" s="499" t="str">
        <f>IFERROR(VLOOKUP(E160,'G-7 Rivers Data'!$C$4:$D$8,2,FALSE),"")</f>
        <v/>
      </c>
      <c r="G160" s="145"/>
      <c r="H160" s="499" t="str">
        <f>IFERROR(INDEX('G-7 Rivers Data'!$H$4:$L$8,MATCH(C160,'G-7 Rivers Data'!$B$4:$B$8,0),MATCH(G160,'G-7 Rivers Data'!$H$3:$L$3,0)),"")</f>
        <v/>
      </c>
      <c r="I160" s="145"/>
      <c r="J160" s="540" t="str">
        <f>IF(I160="","",IF(VLOOKUP(I160,'G-7 Rivers Data'!$AG$4:$AI$9,2,FALSE)=0,"Spatial Data Missing ⚠",VLOOKUP(I160,'G-7 Rivers Data'!$AG$4:$AI$9,2,FALSE)))</f>
        <v/>
      </c>
      <c r="K160" s="499" t="str">
        <f>IF(I160="","",IF(VLOOKUP(I160,'G-7 Rivers Data'!$AG$4:$AI$9,3,FALSE)=0,"Spatial Data Missing ⚠",VLOOKUP(I160,'G-7 Rivers Data'!$AG$4:$AI$9,3,FALSE)))</f>
        <v/>
      </c>
      <c r="L160" s="635" t="str">
        <f>IFERROR(INDEX('G-7 Rivers Data'!$O$3:$O$7,MATCH(G160,'G-7 Rivers Data'!$N$3:$N$7,0)),"")</f>
        <v/>
      </c>
      <c r="M160" s="72"/>
      <c r="N160" s="195"/>
      <c r="O160" s="507" t="str">
        <f t="shared" si="13"/>
        <v/>
      </c>
      <c r="P160" s="521" t="str">
        <f t="shared" si="14"/>
        <v/>
      </c>
      <c r="Q160" s="564" t="str">
        <f>IFERROR(IF(P160="Check Data ⚠","Check Data ⚠",VLOOKUP(P160,'G-4 Temporal multipliers'!$A$4:$C$37,3,FALSE)),"")</f>
        <v/>
      </c>
      <c r="R160" s="498" t="str">
        <f>IF(C160="","",VLOOKUP(C160,'G-7 Rivers Data'!$B$4:$G$8,4,FALSE))</f>
        <v/>
      </c>
      <c r="S160" s="507" t="str">
        <f t="shared" si="15"/>
        <v/>
      </c>
      <c r="T160" s="540" t="str">
        <f t="shared" si="16"/>
        <v/>
      </c>
      <c r="U160" s="499" t="str">
        <f t="shared" si="17"/>
        <v/>
      </c>
      <c r="V160" s="71"/>
      <c r="W160" s="499" t="str">
        <f>IF(V160="","",IF(VLOOKUP(V160,'G-7 Rivers Data'!$AA$4:$AB$7,2,FALSE)=0,"Spatial Data Missing ⚠",VLOOKUP(V160,'G-7 Rivers Data'!$AA$4:$AB$7,2,FALSE)))</f>
        <v/>
      </c>
      <c r="X160" s="155"/>
      <c r="Y160" s="499" t="str">
        <f>IF(X160="","",IF(VLOOKUP(X160,'G-7 Rivers Data'!$AD$4:$AE$8,2,FALSE)=0,"Enrcoachment Data Missing ⚠",VLOOKUP(X160,'G-7 Rivers Data'!$AD$4:$AE$8,2,FALSE)))</f>
        <v/>
      </c>
      <c r="Z160" s="154"/>
      <c r="AA160" s="524" t="str">
        <f>IF(Z160="","",VLOOKUP(Z160,'G-7 Rivers Data'!$AO$4:$AP$7,2,FALSE))</f>
        <v/>
      </c>
      <c r="AB160" s="545" t="str">
        <f t="shared" si="18"/>
        <v/>
      </c>
      <c r="AC160" s="149"/>
      <c r="AD160" s="150"/>
      <c r="AK160" s="31" t="str">
        <f>IFERROR(INDEX('G-7 Rivers Data'!$AZ$3:$AZ$7,MATCH(C160,'G-7 Rivers Data'!$AY$3:$AY$7,0)),"")</f>
        <v/>
      </c>
    </row>
    <row r="161" spans="2:37" ht="13.8" x14ac:dyDescent="0.25">
      <c r="B161" s="141">
        <v>150</v>
      </c>
      <c r="C161" s="666"/>
      <c r="D161" s="172"/>
      <c r="E161" s="498" t="str">
        <f>IF(C161="","",VLOOKUP(C161,'G-7 Rivers Data'!$B$2:$Z$9,2,FALSE))</f>
        <v/>
      </c>
      <c r="F161" s="499" t="str">
        <f>IFERROR(VLOOKUP(E161,'G-7 Rivers Data'!$C$4:$D$8,2,FALSE),"")</f>
        <v/>
      </c>
      <c r="G161" s="145"/>
      <c r="H161" s="499" t="str">
        <f>IFERROR(INDEX('G-7 Rivers Data'!$H$4:$L$8,MATCH(C161,'G-7 Rivers Data'!$B$4:$B$8,0),MATCH(G161,'G-7 Rivers Data'!$H$3:$L$3,0)),"")</f>
        <v/>
      </c>
      <c r="I161" s="145"/>
      <c r="J161" s="540" t="str">
        <f>IF(I161="","",IF(VLOOKUP(I161,'G-7 Rivers Data'!$AG$4:$AI$9,2,FALSE)=0,"Spatial Data Missing ⚠",VLOOKUP(I161,'G-7 Rivers Data'!$AG$4:$AI$9,2,FALSE)))</f>
        <v/>
      </c>
      <c r="K161" s="499" t="str">
        <f>IF(I161="","",IF(VLOOKUP(I161,'G-7 Rivers Data'!$AG$4:$AI$9,3,FALSE)=0,"Spatial Data Missing ⚠",VLOOKUP(I161,'G-7 Rivers Data'!$AG$4:$AI$9,3,FALSE)))</f>
        <v/>
      </c>
      <c r="L161" s="635" t="str">
        <f>IFERROR(INDEX('G-7 Rivers Data'!$O$3:$O$7,MATCH(G161,'G-7 Rivers Data'!$N$3:$N$7,0)),"")</f>
        <v/>
      </c>
      <c r="M161" s="72"/>
      <c r="N161" s="195"/>
      <c r="O161" s="507" t="str">
        <f t="shared" si="13"/>
        <v/>
      </c>
      <c r="P161" s="521" t="str">
        <f t="shared" si="14"/>
        <v/>
      </c>
      <c r="Q161" s="564" t="str">
        <f>IFERROR(IF(P161="Check Data ⚠","Check Data ⚠",VLOOKUP(P161,'G-4 Temporal multipliers'!$A$4:$C$37,3,FALSE)),"")</f>
        <v/>
      </c>
      <c r="R161" s="498" t="str">
        <f>IF(C161="","",VLOOKUP(C161,'G-7 Rivers Data'!$B$4:$G$8,4,FALSE))</f>
        <v/>
      </c>
      <c r="S161" s="507" t="str">
        <f t="shared" si="15"/>
        <v/>
      </c>
      <c r="T161" s="540" t="str">
        <f t="shared" si="16"/>
        <v/>
      </c>
      <c r="U161" s="499" t="str">
        <f t="shared" si="17"/>
        <v/>
      </c>
      <c r="V161" s="71"/>
      <c r="W161" s="499" t="str">
        <f>IF(V161="","",IF(VLOOKUP(V161,'G-7 Rivers Data'!$AA$4:$AB$7,2,FALSE)=0,"Spatial Data Missing ⚠",VLOOKUP(V161,'G-7 Rivers Data'!$AA$4:$AB$7,2,FALSE)))</f>
        <v/>
      </c>
      <c r="X161" s="155"/>
      <c r="Y161" s="499" t="str">
        <f>IF(X161="","",IF(VLOOKUP(X161,'G-7 Rivers Data'!$AD$4:$AE$8,2,FALSE)=0,"Enrcoachment Data Missing ⚠",VLOOKUP(X161,'G-7 Rivers Data'!$AD$4:$AE$8,2,FALSE)))</f>
        <v/>
      </c>
      <c r="Z161" s="154"/>
      <c r="AA161" s="524" t="str">
        <f>IF(Z161="","",VLOOKUP(Z161,'G-7 Rivers Data'!$AO$4:$AP$7,2,FALSE))</f>
        <v/>
      </c>
      <c r="AB161" s="545" t="str">
        <f t="shared" si="18"/>
        <v/>
      </c>
      <c r="AC161" s="149"/>
      <c r="AD161" s="150"/>
      <c r="AK161" s="31" t="str">
        <f>IFERROR(INDEX('G-7 Rivers Data'!$AZ$3:$AZ$7,MATCH(C161,'G-7 Rivers Data'!$AY$3:$AY$7,0)),"")</f>
        <v/>
      </c>
    </row>
    <row r="162" spans="2:37" ht="13.8" x14ac:dyDescent="0.25">
      <c r="B162" s="141">
        <v>151</v>
      </c>
      <c r="C162" s="666"/>
      <c r="D162" s="172"/>
      <c r="E162" s="498" t="str">
        <f>IF(C162="","",VLOOKUP(C162,'G-7 Rivers Data'!$B$2:$Z$9,2,FALSE))</f>
        <v/>
      </c>
      <c r="F162" s="499" t="str">
        <f>IFERROR(VLOOKUP(E162,'G-7 Rivers Data'!$C$4:$D$8,2,FALSE),"")</f>
        <v/>
      </c>
      <c r="G162" s="145"/>
      <c r="H162" s="499" t="str">
        <f>IFERROR(INDEX('G-7 Rivers Data'!$H$4:$L$8,MATCH(C162,'G-7 Rivers Data'!$B$4:$B$8,0),MATCH(G162,'G-7 Rivers Data'!$H$3:$L$3,0)),"")</f>
        <v/>
      </c>
      <c r="I162" s="145"/>
      <c r="J162" s="540" t="str">
        <f>IF(I162="","",IF(VLOOKUP(I162,'G-7 Rivers Data'!$AG$4:$AI$9,2,FALSE)=0,"Spatial Data Missing ⚠",VLOOKUP(I162,'G-7 Rivers Data'!$AG$4:$AI$9,2,FALSE)))</f>
        <v/>
      </c>
      <c r="K162" s="499" t="str">
        <f>IF(I162="","",IF(VLOOKUP(I162,'G-7 Rivers Data'!$AG$4:$AI$9,3,FALSE)=0,"Spatial Data Missing ⚠",VLOOKUP(I162,'G-7 Rivers Data'!$AG$4:$AI$9,3,FALSE)))</f>
        <v/>
      </c>
      <c r="L162" s="635" t="str">
        <f>IFERROR(INDEX('G-7 Rivers Data'!$O$3:$O$7,MATCH(G162,'G-7 Rivers Data'!$N$3:$N$7,0)),"")</f>
        <v/>
      </c>
      <c r="M162" s="72"/>
      <c r="N162" s="195"/>
      <c r="O162" s="507" t="str">
        <f t="shared" si="13"/>
        <v/>
      </c>
      <c r="P162" s="521" t="str">
        <f t="shared" si="14"/>
        <v/>
      </c>
      <c r="Q162" s="564" t="str">
        <f>IFERROR(IF(P162="Check Data ⚠","Check Data ⚠",VLOOKUP(P162,'G-4 Temporal multipliers'!$A$4:$C$37,3,FALSE)),"")</f>
        <v/>
      </c>
      <c r="R162" s="498" t="str">
        <f>IF(C162="","",VLOOKUP(C162,'G-7 Rivers Data'!$B$4:$G$8,4,FALSE))</f>
        <v/>
      </c>
      <c r="S162" s="507" t="str">
        <f t="shared" si="15"/>
        <v/>
      </c>
      <c r="T162" s="540" t="str">
        <f t="shared" si="16"/>
        <v/>
      </c>
      <c r="U162" s="499" t="str">
        <f t="shared" si="17"/>
        <v/>
      </c>
      <c r="V162" s="71"/>
      <c r="W162" s="499" t="str">
        <f>IF(V162="","",IF(VLOOKUP(V162,'G-7 Rivers Data'!$AA$4:$AB$7,2,FALSE)=0,"Spatial Data Missing ⚠",VLOOKUP(V162,'G-7 Rivers Data'!$AA$4:$AB$7,2,FALSE)))</f>
        <v/>
      </c>
      <c r="X162" s="155"/>
      <c r="Y162" s="499" t="str">
        <f>IF(X162="","",IF(VLOOKUP(X162,'G-7 Rivers Data'!$AD$4:$AE$8,2,FALSE)=0,"Enrcoachment Data Missing ⚠",VLOOKUP(X162,'G-7 Rivers Data'!$AD$4:$AE$8,2,FALSE)))</f>
        <v/>
      </c>
      <c r="Z162" s="154"/>
      <c r="AA162" s="524" t="str">
        <f>IF(Z162="","",VLOOKUP(Z162,'G-7 Rivers Data'!$AO$4:$AP$7,2,FALSE))</f>
        <v/>
      </c>
      <c r="AB162" s="545" t="str">
        <f t="shared" si="18"/>
        <v/>
      </c>
      <c r="AC162" s="149"/>
      <c r="AD162" s="150"/>
      <c r="AK162" s="31" t="str">
        <f>IFERROR(INDEX('G-7 Rivers Data'!$AZ$3:$AZ$7,MATCH(C162,'G-7 Rivers Data'!$AY$3:$AY$7,0)),"")</f>
        <v/>
      </c>
    </row>
    <row r="163" spans="2:37" ht="13.8" x14ac:dyDescent="0.25">
      <c r="B163" s="141">
        <v>152</v>
      </c>
      <c r="C163" s="666"/>
      <c r="D163" s="172"/>
      <c r="E163" s="498" t="str">
        <f>IF(C163="","",VLOOKUP(C163,'G-7 Rivers Data'!$B$2:$Z$9,2,FALSE))</f>
        <v/>
      </c>
      <c r="F163" s="499" t="str">
        <f>IFERROR(VLOOKUP(E163,'G-7 Rivers Data'!$C$4:$D$8,2,FALSE),"")</f>
        <v/>
      </c>
      <c r="G163" s="145"/>
      <c r="H163" s="499" t="str">
        <f>IFERROR(INDEX('G-7 Rivers Data'!$H$4:$L$8,MATCH(C163,'G-7 Rivers Data'!$B$4:$B$8,0),MATCH(G163,'G-7 Rivers Data'!$H$3:$L$3,0)),"")</f>
        <v/>
      </c>
      <c r="I163" s="145"/>
      <c r="J163" s="540" t="str">
        <f>IF(I163="","",IF(VLOOKUP(I163,'G-7 Rivers Data'!$AG$4:$AI$9,2,FALSE)=0,"Spatial Data Missing ⚠",VLOOKUP(I163,'G-7 Rivers Data'!$AG$4:$AI$9,2,FALSE)))</f>
        <v/>
      </c>
      <c r="K163" s="499" t="str">
        <f>IF(I163="","",IF(VLOOKUP(I163,'G-7 Rivers Data'!$AG$4:$AI$9,3,FALSE)=0,"Spatial Data Missing ⚠",VLOOKUP(I163,'G-7 Rivers Data'!$AG$4:$AI$9,3,FALSE)))</f>
        <v/>
      </c>
      <c r="L163" s="635" t="str">
        <f>IFERROR(INDEX('G-7 Rivers Data'!$O$3:$O$7,MATCH(G163,'G-7 Rivers Data'!$N$3:$N$7,0)),"")</f>
        <v/>
      </c>
      <c r="M163" s="72"/>
      <c r="N163" s="195"/>
      <c r="O163" s="507" t="str">
        <f t="shared" si="13"/>
        <v/>
      </c>
      <c r="P163" s="521" t="str">
        <f t="shared" si="14"/>
        <v/>
      </c>
      <c r="Q163" s="564" t="str">
        <f>IFERROR(IF(P163="Check Data ⚠","Check Data ⚠",VLOOKUP(P163,'G-4 Temporal multipliers'!$A$4:$C$37,3,FALSE)),"")</f>
        <v/>
      </c>
      <c r="R163" s="498" t="str">
        <f>IF(C163="","",VLOOKUP(C163,'G-7 Rivers Data'!$B$4:$G$8,4,FALSE))</f>
        <v/>
      </c>
      <c r="S163" s="507" t="str">
        <f t="shared" si="15"/>
        <v/>
      </c>
      <c r="T163" s="540" t="str">
        <f t="shared" si="16"/>
        <v/>
      </c>
      <c r="U163" s="499" t="str">
        <f t="shared" si="17"/>
        <v/>
      </c>
      <c r="V163" s="71"/>
      <c r="W163" s="499" t="str">
        <f>IF(V163="","",IF(VLOOKUP(V163,'G-7 Rivers Data'!$AA$4:$AB$7,2,FALSE)=0,"Spatial Data Missing ⚠",VLOOKUP(V163,'G-7 Rivers Data'!$AA$4:$AB$7,2,FALSE)))</f>
        <v/>
      </c>
      <c r="X163" s="155"/>
      <c r="Y163" s="499" t="str">
        <f>IF(X163="","",IF(VLOOKUP(X163,'G-7 Rivers Data'!$AD$4:$AE$8,2,FALSE)=0,"Enrcoachment Data Missing ⚠",VLOOKUP(X163,'G-7 Rivers Data'!$AD$4:$AE$8,2,FALSE)))</f>
        <v/>
      </c>
      <c r="Z163" s="154"/>
      <c r="AA163" s="524" t="str">
        <f>IF(Z163="","",VLOOKUP(Z163,'G-7 Rivers Data'!$AO$4:$AP$7,2,FALSE))</f>
        <v/>
      </c>
      <c r="AB163" s="545" t="str">
        <f t="shared" si="18"/>
        <v/>
      </c>
      <c r="AC163" s="149"/>
      <c r="AD163" s="150"/>
      <c r="AK163" s="31" t="str">
        <f>IFERROR(INDEX('G-7 Rivers Data'!$AZ$3:$AZ$7,MATCH(C163,'G-7 Rivers Data'!$AY$3:$AY$7,0)),"")</f>
        <v/>
      </c>
    </row>
    <row r="164" spans="2:37" ht="13.8" x14ac:dyDescent="0.25">
      <c r="B164" s="141">
        <v>153</v>
      </c>
      <c r="C164" s="666"/>
      <c r="D164" s="172"/>
      <c r="E164" s="498" t="str">
        <f>IF(C164="","",VLOOKUP(C164,'G-7 Rivers Data'!$B$2:$Z$9,2,FALSE))</f>
        <v/>
      </c>
      <c r="F164" s="499" t="str">
        <f>IFERROR(VLOOKUP(E164,'G-7 Rivers Data'!$C$4:$D$8,2,FALSE),"")</f>
        <v/>
      </c>
      <c r="G164" s="145"/>
      <c r="H164" s="499" t="str">
        <f>IFERROR(INDEX('G-7 Rivers Data'!$H$4:$L$8,MATCH(C164,'G-7 Rivers Data'!$B$4:$B$8,0),MATCH(G164,'G-7 Rivers Data'!$H$3:$L$3,0)),"")</f>
        <v/>
      </c>
      <c r="I164" s="145"/>
      <c r="J164" s="540" t="str">
        <f>IF(I164="","",IF(VLOOKUP(I164,'G-7 Rivers Data'!$AG$4:$AI$9,2,FALSE)=0,"Spatial Data Missing ⚠",VLOOKUP(I164,'G-7 Rivers Data'!$AG$4:$AI$9,2,FALSE)))</f>
        <v/>
      </c>
      <c r="K164" s="499" t="str">
        <f>IF(I164="","",IF(VLOOKUP(I164,'G-7 Rivers Data'!$AG$4:$AI$9,3,FALSE)=0,"Spatial Data Missing ⚠",VLOOKUP(I164,'G-7 Rivers Data'!$AG$4:$AI$9,3,FALSE)))</f>
        <v/>
      </c>
      <c r="L164" s="635" t="str">
        <f>IFERROR(INDEX('G-7 Rivers Data'!$O$3:$O$7,MATCH(G164,'G-7 Rivers Data'!$N$3:$N$7,0)),"")</f>
        <v/>
      </c>
      <c r="M164" s="72"/>
      <c r="N164" s="195"/>
      <c r="O164" s="507" t="str">
        <f t="shared" si="13"/>
        <v/>
      </c>
      <c r="P164" s="521" t="str">
        <f t="shared" si="14"/>
        <v/>
      </c>
      <c r="Q164" s="564" t="str">
        <f>IFERROR(IF(P164="Check Data ⚠","Check Data ⚠",VLOOKUP(P164,'G-4 Temporal multipliers'!$A$4:$C$37,3,FALSE)),"")</f>
        <v/>
      </c>
      <c r="R164" s="498" t="str">
        <f>IF(C164="","",VLOOKUP(C164,'G-7 Rivers Data'!$B$4:$G$8,4,FALSE))</f>
        <v/>
      </c>
      <c r="S164" s="507" t="str">
        <f t="shared" si="15"/>
        <v/>
      </c>
      <c r="T164" s="540" t="str">
        <f t="shared" si="16"/>
        <v/>
      </c>
      <c r="U164" s="499" t="str">
        <f t="shared" si="17"/>
        <v/>
      </c>
      <c r="V164" s="71"/>
      <c r="W164" s="499" t="str">
        <f>IF(V164="","",IF(VLOOKUP(V164,'G-7 Rivers Data'!$AA$4:$AB$7,2,FALSE)=0,"Spatial Data Missing ⚠",VLOOKUP(V164,'G-7 Rivers Data'!$AA$4:$AB$7,2,FALSE)))</f>
        <v/>
      </c>
      <c r="X164" s="155"/>
      <c r="Y164" s="499" t="str">
        <f>IF(X164="","",IF(VLOOKUP(X164,'G-7 Rivers Data'!$AD$4:$AE$8,2,FALSE)=0,"Enrcoachment Data Missing ⚠",VLOOKUP(X164,'G-7 Rivers Data'!$AD$4:$AE$8,2,FALSE)))</f>
        <v/>
      </c>
      <c r="Z164" s="154"/>
      <c r="AA164" s="524" t="str">
        <f>IF(Z164="","",VLOOKUP(Z164,'G-7 Rivers Data'!$AO$4:$AP$7,2,FALSE))</f>
        <v/>
      </c>
      <c r="AB164" s="545" t="str">
        <f t="shared" si="18"/>
        <v/>
      </c>
      <c r="AC164" s="149"/>
      <c r="AD164" s="150"/>
      <c r="AK164" s="31" t="str">
        <f>IFERROR(INDEX('G-7 Rivers Data'!$AZ$3:$AZ$7,MATCH(C164,'G-7 Rivers Data'!$AY$3:$AY$7,0)),"")</f>
        <v/>
      </c>
    </row>
    <row r="165" spans="2:37" ht="13.8" x14ac:dyDescent="0.25">
      <c r="B165" s="141">
        <v>154</v>
      </c>
      <c r="C165" s="666"/>
      <c r="D165" s="172"/>
      <c r="E165" s="498" t="str">
        <f>IF(C165="","",VLOOKUP(C165,'G-7 Rivers Data'!$B$2:$Z$9,2,FALSE))</f>
        <v/>
      </c>
      <c r="F165" s="499" t="str">
        <f>IFERROR(VLOOKUP(E165,'G-7 Rivers Data'!$C$4:$D$8,2,FALSE),"")</f>
        <v/>
      </c>
      <c r="G165" s="145"/>
      <c r="H165" s="499" t="str">
        <f>IFERROR(INDEX('G-7 Rivers Data'!$H$4:$L$8,MATCH(C165,'G-7 Rivers Data'!$B$4:$B$8,0),MATCH(G165,'G-7 Rivers Data'!$H$3:$L$3,0)),"")</f>
        <v/>
      </c>
      <c r="I165" s="145"/>
      <c r="J165" s="540" t="str">
        <f>IF(I165="","",IF(VLOOKUP(I165,'G-7 Rivers Data'!$AG$4:$AI$9,2,FALSE)=0,"Spatial Data Missing ⚠",VLOOKUP(I165,'G-7 Rivers Data'!$AG$4:$AI$9,2,FALSE)))</f>
        <v/>
      </c>
      <c r="K165" s="499" t="str">
        <f>IF(I165="","",IF(VLOOKUP(I165,'G-7 Rivers Data'!$AG$4:$AI$9,3,FALSE)=0,"Spatial Data Missing ⚠",VLOOKUP(I165,'G-7 Rivers Data'!$AG$4:$AI$9,3,FALSE)))</f>
        <v/>
      </c>
      <c r="L165" s="635" t="str">
        <f>IFERROR(INDEX('G-7 Rivers Data'!$O$3:$O$7,MATCH(G165,'G-7 Rivers Data'!$N$3:$N$7,0)),"")</f>
        <v/>
      </c>
      <c r="M165" s="72"/>
      <c r="N165" s="195"/>
      <c r="O165" s="507" t="str">
        <f t="shared" si="13"/>
        <v/>
      </c>
      <c r="P165" s="521" t="str">
        <f t="shared" si="14"/>
        <v/>
      </c>
      <c r="Q165" s="564" t="str">
        <f>IFERROR(IF(P165="Check Data ⚠","Check Data ⚠",VLOOKUP(P165,'G-4 Temporal multipliers'!$A$4:$C$37,3,FALSE)),"")</f>
        <v/>
      </c>
      <c r="R165" s="498" t="str">
        <f>IF(C165="","",VLOOKUP(C165,'G-7 Rivers Data'!$B$4:$G$8,4,FALSE))</f>
        <v/>
      </c>
      <c r="S165" s="507" t="str">
        <f t="shared" si="15"/>
        <v/>
      </c>
      <c r="T165" s="540" t="str">
        <f t="shared" si="16"/>
        <v/>
      </c>
      <c r="U165" s="499" t="str">
        <f t="shared" si="17"/>
        <v/>
      </c>
      <c r="V165" s="71"/>
      <c r="W165" s="499" t="str">
        <f>IF(V165="","",IF(VLOOKUP(V165,'G-7 Rivers Data'!$AA$4:$AB$7,2,FALSE)=0,"Spatial Data Missing ⚠",VLOOKUP(V165,'G-7 Rivers Data'!$AA$4:$AB$7,2,FALSE)))</f>
        <v/>
      </c>
      <c r="X165" s="155"/>
      <c r="Y165" s="499" t="str">
        <f>IF(X165="","",IF(VLOOKUP(X165,'G-7 Rivers Data'!$AD$4:$AE$8,2,FALSE)=0,"Enrcoachment Data Missing ⚠",VLOOKUP(X165,'G-7 Rivers Data'!$AD$4:$AE$8,2,FALSE)))</f>
        <v/>
      </c>
      <c r="Z165" s="154"/>
      <c r="AA165" s="524" t="str">
        <f>IF(Z165="","",VLOOKUP(Z165,'G-7 Rivers Data'!$AO$4:$AP$7,2,FALSE))</f>
        <v/>
      </c>
      <c r="AB165" s="545" t="str">
        <f t="shared" si="18"/>
        <v/>
      </c>
      <c r="AC165" s="149"/>
      <c r="AD165" s="150"/>
      <c r="AK165" s="31" t="str">
        <f>IFERROR(INDEX('G-7 Rivers Data'!$AZ$3:$AZ$7,MATCH(C165,'G-7 Rivers Data'!$AY$3:$AY$7,0)),"")</f>
        <v/>
      </c>
    </row>
    <row r="166" spans="2:37" ht="13.8" x14ac:dyDescent="0.25">
      <c r="B166" s="141">
        <v>155</v>
      </c>
      <c r="C166" s="666"/>
      <c r="D166" s="172"/>
      <c r="E166" s="498" t="str">
        <f>IF(C166="","",VLOOKUP(C166,'G-7 Rivers Data'!$B$2:$Z$9,2,FALSE))</f>
        <v/>
      </c>
      <c r="F166" s="499" t="str">
        <f>IFERROR(VLOOKUP(E166,'G-7 Rivers Data'!$C$4:$D$8,2,FALSE),"")</f>
        <v/>
      </c>
      <c r="G166" s="145"/>
      <c r="H166" s="499" t="str">
        <f>IFERROR(INDEX('G-7 Rivers Data'!$H$4:$L$8,MATCH(C166,'G-7 Rivers Data'!$B$4:$B$8,0),MATCH(G166,'G-7 Rivers Data'!$H$3:$L$3,0)),"")</f>
        <v/>
      </c>
      <c r="I166" s="145"/>
      <c r="J166" s="540" t="str">
        <f>IF(I166="","",IF(VLOOKUP(I166,'G-7 Rivers Data'!$AG$4:$AI$9,2,FALSE)=0,"Spatial Data Missing ⚠",VLOOKUP(I166,'G-7 Rivers Data'!$AG$4:$AI$9,2,FALSE)))</f>
        <v/>
      </c>
      <c r="K166" s="499" t="str">
        <f>IF(I166="","",IF(VLOOKUP(I166,'G-7 Rivers Data'!$AG$4:$AI$9,3,FALSE)=0,"Spatial Data Missing ⚠",VLOOKUP(I166,'G-7 Rivers Data'!$AG$4:$AI$9,3,FALSE)))</f>
        <v/>
      </c>
      <c r="L166" s="635" t="str">
        <f>IFERROR(INDEX('G-7 Rivers Data'!$O$3:$O$7,MATCH(G166,'G-7 Rivers Data'!$N$3:$N$7,0)),"")</f>
        <v/>
      </c>
      <c r="M166" s="72"/>
      <c r="N166" s="195"/>
      <c r="O166" s="507" t="str">
        <f t="shared" si="13"/>
        <v/>
      </c>
      <c r="P166" s="521" t="str">
        <f t="shared" si="14"/>
        <v/>
      </c>
      <c r="Q166" s="564" t="str">
        <f>IFERROR(IF(P166="Check Data ⚠","Check Data ⚠",VLOOKUP(P166,'G-4 Temporal multipliers'!$A$4:$C$37,3,FALSE)),"")</f>
        <v/>
      </c>
      <c r="R166" s="498" t="str">
        <f>IF(C166="","",VLOOKUP(C166,'G-7 Rivers Data'!$B$4:$G$8,4,FALSE))</f>
        <v/>
      </c>
      <c r="S166" s="507" t="str">
        <f t="shared" si="15"/>
        <v/>
      </c>
      <c r="T166" s="540" t="str">
        <f t="shared" si="16"/>
        <v/>
      </c>
      <c r="U166" s="499" t="str">
        <f t="shared" si="17"/>
        <v/>
      </c>
      <c r="V166" s="71"/>
      <c r="W166" s="499" t="str">
        <f>IF(V166="","",IF(VLOOKUP(V166,'G-7 Rivers Data'!$AA$4:$AB$7,2,FALSE)=0,"Spatial Data Missing ⚠",VLOOKUP(V166,'G-7 Rivers Data'!$AA$4:$AB$7,2,FALSE)))</f>
        <v/>
      </c>
      <c r="X166" s="155"/>
      <c r="Y166" s="499" t="str">
        <f>IF(X166="","",IF(VLOOKUP(X166,'G-7 Rivers Data'!$AD$4:$AE$8,2,FALSE)=0,"Enrcoachment Data Missing ⚠",VLOOKUP(X166,'G-7 Rivers Data'!$AD$4:$AE$8,2,FALSE)))</f>
        <v/>
      </c>
      <c r="Z166" s="154"/>
      <c r="AA166" s="524" t="str">
        <f>IF(Z166="","",VLOOKUP(Z166,'G-7 Rivers Data'!$AO$4:$AP$7,2,FALSE))</f>
        <v/>
      </c>
      <c r="AB166" s="545" t="str">
        <f t="shared" si="18"/>
        <v/>
      </c>
      <c r="AC166" s="149"/>
      <c r="AD166" s="150"/>
      <c r="AK166" s="31" t="str">
        <f>IFERROR(INDEX('G-7 Rivers Data'!$AZ$3:$AZ$7,MATCH(C166,'G-7 Rivers Data'!$AY$3:$AY$7,0)),"")</f>
        <v/>
      </c>
    </row>
    <row r="167" spans="2:37" ht="13.8" x14ac:dyDescent="0.25">
      <c r="B167" s="141">
        <v>156</v>
      </c>
      <c r="C167" s="666"/>
      <c r="D167" s="172"/>
      <c r="E167" s="498" t="str">
        <f>IF(C167="","",VLOOKUP(C167,'G-7 Rivers Data'!$B$2:$Z$9,2,FALSE))</f>
        <v/>
      </c>
      <c r="F167" s="499" t="str">
        <f>IFERROR(VLOOKUP(E167,'G-7 Rivers Data'!$C$4:$D$8,2,FALSE),"")</f>
        <v/>
      </c>
      <c r="G167" s="145"/>
      <c r="H167" s="499" t="str">
        <f>IFERROR(INDEX('G-7 Rivers Data'!$H$4:$L$8,MATCH(C167,'G-7 Rivers Data'!$B$4:$B$8,0),MATCH(G167,'G-7 Rivers Data'!$H$3:$L$3,0)),"")</f>
        <v/>
      </c>
      <c r="I167" s="145"/>
      <c r="J167" s="540" t="str">
        <f>IF(I167="","",IF(VLOOKUP(I167,'G-7 Rivers Data'!$AG$4:$AI$9,2,FALSE)=0,"Spatial Data Missing ⚠",VLOOKUP(I167,'G-7 Rivers Data'!$AG$4:$AI$9,2,FALSE)))</f>
        <v/>
      </c>
      <c r="K167" s="499" t="str">
        <f>IF(I167="","",IF(VLOOKUP(I167,'G-7 Rivers Data'!$AG$4:$AI$9,3,FALSE)=0,"Spatial Data Missing ⚠",VLOOKUP(I167,'G-7 Rivers Data'!$AG$4:$AI$9,3,FALSE)))</f>
        <v/>
      </c>
      <c r="L167" s="635" t="str">
        <f>IFERROR(INDEX('G-7 Rivers Data'!$O$3:$O$7,MATCH(G167,'G-7 Rivers Data'!$N$3:$N$7,0)),"")</f>
        <v/>
      </c>
      <c r="M167" s="72"/>
      <c r="N167" s="195"/>
      <c r="O167" s="507" t="str">
        <f t="shared" si="13"/>
        <v/>
      </c>
      <c r="P167" s="521" t="str">
        <f t="shared" si="14"/>
        <v/>
      </c>
      <c r="Q167" s="564" t="str">
        <f>IFERROR(IF(P167="Check Data ⚠","Check Data ⚠",VLOOKUP(P167,'G-4 Temporal multipliers'!$A$4:$C$37,3,FALSE)),"")</f>
        <v/>
      </c>
      <c r="R167" s="498" t="str">
        <f>IF(C167="","",VLOOKUP(C167,'G-7 Rivers Data'!$B$4:$G$8,4,FALSE))</f>
        <v/>
      </c>
      <c r="S167" s="507" t="str">
        <f t="shared" si="15"/>
        <v/>
      </c>
      <c r="T167" s="540" t="str">
        <f t="shared" si="16"/>
        <v/>
      </c>
      <c r="U167" s="499" t="str">
        <f t="shared" si="17"/>
        <v/>
      </c>
      <c r="V167" s="71"/>
      <c r="W167" s="499" t="str">
        <f>IF(V167="","",IF(VLOOKUP(V167,'G-7 Rivers Data'!$AA$4:$AB$7,2,FALSE)=0,"Spatial Data Missing ⚠",VLOOKUP(V167,'G-7 Rivers Data'!$AA$4:$AB$7,2,FALSE)))</f>
        <v/>
      </c>
      <c r="X167" s="155"/>
      <c r="Y167" s="499" t="str">
        <f>IF(X167="","",IF(VLOOKUP(X167,'G-7 Rivers Data'!$AD$4:$AE$8,2,FALSE)=0,"Enrcoachment Data Missing ⚠",VLOOKUP(X167,'G-7 Rivers Data'!$AD$4:$AE$8,2,FALSE)))</f>
        <v/>
      </c>
      <c r="Z167" s="154"/>
      <c r="AA167" s="524" t="str">
        <f>IF(Z167="","",VLOOKUP(Z167,'G-7 Rivers Data'!$AO$4:$AP$7,2,FALSE))</f>
        <v/>
      </c>
      <c r="AB167" s="545" t="str">
        <f t="shared" si="18"/>
        <v/>
      </c>
      <c r="AC167" s="149"/>
      <c r="AD167" s="150"/>
      <c r="AK167" s="31" t="str">
        <f>IFERROR(INDEX('G-7 Rivers Data'!$AZ$3:$AZ$7,MATCH(C167,'G-7 Rivers Data'!$AY$3:$AY$7,0)),"")</f>
        <v/>
      </c>
    </row>
    <row r="168" spans="2:37" ht="13.8" x14ac:dyDescent="0.25">
      <c r="B168" s="141">
        <v>157</v>
      </c>
      <c r="C168" s="666"/>
      <c r="D168" s="172"/>
      <c r="E168" s="498" t="str">
        <f>IF(C168="","",VLOOKUP(C168,'G-7 Rivers Data'!$B$2:$Z$9,2,FALSE))</f>
        <v/>
      </c>
      <c r="F168" s="499" t="str">
        <f>IFERROR(VLOOKUP(E168,'G-7 Rivers Data'!$C$4:$D$8,2,FALSE),"")</f>
        <v/>
      </c>
      <c r="G168" s="145"/>
      <c r="H168" s="499" t="str">
        <f>IFERROR(INDEX('G-7 Rivers Data'!$H$4:$L$8,MATCH(C168,'G-7 Rivers Data'!$B$4:$B$8,0),MATCH(G168,'G-7 Rivers Data'!$H$3:$L$3,0)),"")</f>
        <v/>
      </c>
      <c r="I168" s="145"/>
      <c r="J168" s="540" t="str">
        <f>IF(I168="","",IF(VLOOKUP(I168,'G-7 Rivers Data'!$AG$4:$AI$9,2,FALSE)=0,"Spatial Data Missing ⚠",VLOOKUP(I168,'G-7 Rivers Data'!$AG$4:$AI$9,2,FALSE)))</f>
        <v/>
      </c>
      <c r="K168" s="499" t="str">
        <f>IF(I168="","",IF(VLOOKUP(I168,'G-7 Rivers Data'!$AG$4:$AI$9,3,FALSE)=0,"Spatial Data Missing ⚠",VLOOKUP(I168,'G-7 Rivers Data'!$AG$4:$AI$9,3,FALSE)))</f>
        <v/>
      </c>
      <c r="L168" s="635" t="str">
        <f>IFERROR(INDEX('G-7 Rivers Data'!$O$3:$O$7,MATCH(G168,'G-7 Rivers Data'!$N$3:$N$7,0)),"")</f>
        <v/>
      </c>
      <c r="M168" s="72"/>
      <c r="N168" s="195"/>
      <c r="O168" s="507" t="str">
        <f t="shared" si="13"/>
        <v/>
      </c>
      <c r="P168" s="521" t="str">
        <f t="shared" si="14"/>
        <v/>
      </c>
      <c r="Q168" s="564" t="str">
        <f>IFERROR(IF(P168="Check Data ⚠","Check Data ⚠",VLOOKUP(P168,'G-4 Temporal multipliers'!$A$4:$C$37,3,FALSE)),"")</f>
        <v/>
      </c>
      <c r="R168" s="498" t="str">
        <f>IF(C168="","",VLOOKUP(C168,'G-7 Rivers Data'!$B$4:$G$8,4,FALSE))</f>
        <v/>
      </c>
      <c r="S168" s="507" t="str">
        <f t="shared" si="15"/>
        <v/>
      </c>
      <c r="T168" s="540" t="str">
        <f t="shared" si="16"/>
        <v/>
      </c>
      <c r="U168" s="499" t="str">
        <f t="shared" si="17"/>
        <v/>
      </c>
      <c r="V168" s="71"/>
      <c r="W168" s="499" t="str">
        <f>IF(V168="","",IF(VLOOKUP(V168,'G-7 Rivers Data'!$AA$4:$AB$7,2,FALSE)=0,"Spatial Data Missing ⚠",VLOOKUP(V168,'G-7 Rivers Data'!$AA$4:$AB$7,2,FALSE)))</f>
        <v/>
      </c>
      <c r="X168" s="155"/>
      <c r="Y168" s="499" t="str">
        <f>IF(X168="","",IF(VLOOKUP(X168,'G-7 Rivers Data'!$AD$4:$AE$8,2,FALSE)=0,"Enrcoachment Data Missing ⚠",VLOOKUP(X168,'G-7 Rivers Data'!$AD$4:$AE$8,2,FALSE)))</f>
        <v/>
      </c>
      <c r="Z168" s="154"/>
      <c r="AA168" s="524" t="str">
        <f>IF(Z168="","",VLOOKUP(Z168,'G-7 Rivers Data'!$AO$4:$AP$7,2,FALSE))</f>
        <v/>
      </c>
      <c r="AB168" s="545" t="str">
        <f t="shared" si="18"/>
        <v/>
      </c>
      <c r="AC168" s="149"/>
      <c r="AD168" s="150"/>
      <c r="AK168" s="31" t="str">
        <f>IFERROR(INDEX('G-7 Rivers Data'!$AZ$3:$AZ$7,MATCH(C168,'G-7 Rivers Data'!$AY$3:$AY$7,0)),"")</f>
        <v/>
      </c>
    </row>
    <row r="169" spans="2:37" ht="13.8" x14ac:dyDescent="0.25">
      <c r="B169" s="141">
        <v>158</v>
      </c>
      <c r="C169" s="666"/>
      <c r="D169" s="172"/>
      <c r="E169" s="498" t="str">
        <f>IF(C169="","",VLOOKUP(C169,'G-7 Rivers Data'!$B$2:$Z$9,2,FALSE))</f>
        <v/>
      </c>
      <c r="F169" s="499" t="str">
        <f>IFERROR(VLOOKUP(E169,'G-7 Rivers Data'!$C$4:$D$8,2,FALSE),"")</f>
        <v/>
      </c>
      <c r="G169" s="145"/>
      <c r="H169" s="499" t="str">
        <f>IFERROR(INDEX('G-7 Rivers Data'!$H$4:$L$8,MATCH(C169,'G-7 Rivers Data'!$B$4:$B$8,0),MATCH(G169,'G-7 Rivers Data'!$H$3:$L$3,0)),"")</f>
        <v/>
      </c>
      <c r="I169" s="145"/>
      <c r="J169" s="540" t="str">
        <f>IF(I169="","",IF(VLOOKUP(I169,'G-7 Rivers Data'!$AG$4:$AI$9,2,FALSE)=0,"Spatial Data Missing ⚠",VLOOKUP(I169,'G-7 Rivers Data'!$AG$4:$AI$9,2,FALSE)))</f>
        <v/>
      </c>
      <c r="K169" s="499" t="str">
        <f>IF(I169="","",IF(VLOOKUP(I169,'G-7 Rivers Data'!$AG$4:$AI$9,3,FALSE)=0,"Spatial Data Missing ⚠",VLOOKUP(I169,'G-7 Rivers Data'!$AG$4:$AI$9,3,FALSE)))</f>
        <v/>
      </c>
      <c r="L169" s="635" t="str">
        <f>IFERROR(INDEX('G-7 Rivers Data'!$O$3:$O$7,MATCH(G169,'G-7 Rivers Data'!$N$3:$N$7,0)),"")</f>
        <v/>
      </c>
      <c r="M169" s="72"/>
      <c r="N169" s="195"/>
      <c r="O169" s="507" t="str">
        <f t="shared" si="13"/>
        <v/>
      </c>
      <c r="P169" s="521" t="str">
        <f t="shared" si="14"/>
        <v/>
      </c>
      <c r="Q169" s="564" t="str">
        <f>IFERROR(IF(P169="Check Data ⚠","Check Data ⚠",VLOOKUP(P169,'G-4 Temporal multipliers'!$A$4:$C$37,3,FALSE)),"")</f>
        <v/>
      </c>
      <c r="R169" s="498" t="str">
        <f>IF(C169="","",VLOOKUP(C169,'G-7 Rivers Data'!$B$4:$G$8,4,FALSE))</f>
        <v/>
      </c>
      <c r="S169" s="507" t="str">
        <f t="shared" si="15"/>
        <v/>
      </c>
      <c r="T169" s="540" t="str">
        <f t="shared" si="16"/>
        <v/>
      </c>
      <c r="U169" s="499" t="str">
        <f t="shared" si="17"/>
        <v/>
      </c>
      <c r="V169" s="71"/>
      <c r="W169" s="499" t="str">
        <f>IF(V169="","",IF(VLOOKUP(V169,'G-7 Rivers Data'!$AA$4:$AB$7,2,FALSE)=0,"Spatial Data Missing ⚠",VLOOKUP(V169,'G-7 Rivers Data'!$AA$4:$AB$7,2,FALSE)))</f>
        <v/>
      </c>
      <c r="X169" s="155"/>
      <c r="Y169" s="499" t="str">
        <f>IF(X169="","",IF(VLOOKUP(X169,'G-7 Rivers Data'!$AD$4:$AE$8,2,FALSE)=0,"Enrcoachment Data Missing ⚠",VLOOKUP(X169,'G-7 Rivers Data'!$AD$4:$AE$8,2,FALSE)))</f>
        <v/>
      </c>
      <c r="Z169" s="154"/>
      <c r="AA169" s="524" t="str">
        <f>IF(Z169="","",VLOOKUP(Z169,'G-7 Rivers Data'!$AO$4:$AP$7,2,FALSE))</f>
        <v/>
      </c>
      <c r="AB169" s="545" t="str">
        <f t="shared" si="18"/>
        <v/>
      </c>
      <c r="AC169" s="149"/>
      <c r="AD169" s="150"/>
      <c r="AK169" s="31" t="str">
        <f>IFERROR(INDEX('G-7 Rivers Data'!$AZ$3:$AZ$7,MATCH(C169,'G-7 Rivers Data'!$AY$3:$AY$7,0)),"")</f>
        <v/>
      </c>
    </row>
    <row r="170" spans="2:37" ht="13.8" x14ac:dyDescent="0.25">
      <c r="B170" s="141">
        <v>159</v>
      </c>
      <c r="C170" s="666"/>
      <c r="D170" s="172"/>
      <c r="E170" s="498" t="str">
        <f>IF(C170="","",VLOOKUP(C170,'G-7 Rivers Data'!$B$2:$Z$9,2,FALSE))</f>
        <v/>
      </c>
      <c r="F170" s="499" t="str">
        <f>IFERROR(VLOOKUP(E170,'G-7 Rivers Data'!$C$4:$D$8,2,FALSE),"")</f>
        <v/>
      </c>
      <c r="G170" s="145"/>
      <c r="H170" s="499" t="str">
        <f>IFERROR(INDEX('G-7 Rivers Data'!$H$4:$L$8,MATCH(C170,'G-7 Rivers Data'!$B$4:$B$8,0),MATCH(G170,'G-7 Rivers Data'!$H$3:$L$3,0)),"")</f>
        <v/>
      </c>
      <c r="I170" s="145"/>
      <c r="J170" s="540" t="str">
        <f>IF(I170="","",IF(VLOOKUP(I170,'G-7 Rivers Data'!$AG$4:$AI$9,2,FALSE)=0,"Spatial Data Missing ⚠",VLOOKUP(I170,'G-7 Rivers Data'!$AG$4:$AI$9,2,FALSE)))</f>
        <v/>
      </c>
      <c r="K170" s="499" t="str">
        <f>IF(I170="","",IF(VLOOKUP(I170,'G-7 Rivers Data'!$AG$4:$AI$9,3,FALSE)=0,"Spatial Data Missing ⚠",VLOOKUP(I170,'G-7 Rivers Data'!$AG$4:$AI$9,3,FALSE)))</f>
        <v/>
      </c>
      <c r="L170" s="635" t="str">
        <f>IFERROR(INDEX('G-7 Rivers Data'!$O$3:$O$7,MATCH(G170,'G-7 Rivers Data'!$N$3:$N$7,0)),"")</f>
        <v/>
      </c>
      <c r="M170" s="72"/>
      <c r="N170" s="195"/>
      <c r="O170" s="507" t="str">
        <f t="shared" si="13"/>
        <v/>
      </c>
      <c r="P170" s="521" t="str">
        <f t="shared" si="14"/>
        <v/>
      </c>
      <c r="Q170" s="564" t="str">
        <f>IFERROR(IF(P170="Check Data ⚠","Check Data ⚠",VLOOKUP(P170,'G-4 Temporal multipliers'!$A$4:$C$37,3,FALSE)),"")</f>
        <v/>
      </c>
      <c r="R170" s="498" t="str">
        <f>IF(C170="","",VLOOKUP(C170,'G-7 Rivers Data'!$B$4:$G$8,4,FALSE))</f>
        <v/>
      </c>
      <c r="S170" s="507" t="str">
        <f t="shared" si="15"/>
        <v/>
      </c>
      <c r="T170" s="540" t="str">
        <f t="shared" si="16"/>
        <v/>
      </c>
      <c r="U170" s="499" t="str">
        <f t="shared" si="17"/>
        <v/>
      </c>
      <c r="V170" s="71"/>
      <c r="W170" s="499" t="str">
        <f>IF(V170="","",IF(VLOOKUP(V170,'G-7 Rivers Data'!$AA$4:$AB$7,2,FALSE)=0,"Spatial Data Missing ⚠",VLOOKUP(V170,'G-7 Rivers Data'!$AA$4:$AB$7,2,FALSE)))</f>
        <v/>
      </c>
      <c r="X170" s="155"/>
      <c r="Y170" s="499" t="str">
        <f>IF(X170="","",IF(VLOOKUP(X170,'G-7 Rivers Data'!$AD$4:$AE$8,2,FALSE)=0,"Enrcoachment Data Missing ⚠",VLOOKUP(X170,'G-7 Rivers Data'!$AD$4:$AE$8,2,FALSE)))</f>
        <v/>
      </c>
      <c r="Z170" s="154"/>
      <c r="AA170" s="524" t="str">
        <f>IF(Z170="","",VLOOKUP(Z170,'G-7 Rivers Data'!$AO$4:$AP$7,2,FALSE))</f>
        <v/>
      </c>
      <c r="AB170" s="545" t="str">
        <f t="shared" si="18"/>
        <v/>
      </c>
      <c r="AC170" s="149"/>
      <c r="AD170" s="150"/>
      <c r="AK170" s="31" t="str">
        <f>IFERROR(INDEX('G-7 Rivers Data'!$AZ$3:$AZ$7,MATCH(C170,'G-7 Rivers Data'!$AY$3:$AY$7,0)),"")</f>
        <v/>
      </c>
    </row>
    <row r="171" spans="2:37" ht="13.8" x14ac:dyDescent="0.25">
      <c r="B171" s="141">
        <v>160</v>
      </c>
      <c r="C171" s="666"/>
      <c r="D171" s="172"/>
      <c r="E171" s="498" t="str">
        <f>IF(C171="","",VLOOKUP(C171,'G-7 Rivers Data'!$B$2:$Z$9,2,FALSE))</f>
        <v/>
      </c>
      <c r="F171" s="499" t="str">
        <f>IFERROR(VLOOKUP(E171,'G-7 Rivers Data'!$C$4:$D$8,2,FALSE),"")</f>
        <v/>
      </c>
      <c r="G171" s="145"/>
      <c r="H171" s="499" t="str">
        <f>IFERROR(INDEX('G-7 Rivers Data'!$H$4:$L$8,MATCH(C171,'G-7 Rivers Data'!$B$4:$B$8,0),MATCH(G171,'G-7 Rivers Data'!$H$3:$L$3,0)),"")</f>
        <v/>
      </c>
      <c r="I171" s="145"/>
      <c r="J171" s="540" t="str">
        <f>IF(I171="","",IF(VLOOKUP(I171,'G-7 Rivers Data'!$AG$4:$AI$9,2,FALSE)=0,"Spatial Data Missing ⚠",VLOOKUP(I171,'G-7 Rivers Data'!$AG$4:$AI$9,2,FALSE)))</f>
        <v/>
      </c>
      <c r="K171" s="499" t="str">
        <f>IF(I171="","",IF(VLOOKUP(I171,'G-7 Rivers Data'!$AG$4:$AI$9,3,FALSE)=0,"Spatial Data Missing ⚠",VLOOKUP(I171,'G-7 Rivers Data'!$AG$4:$AI$9,3,FALSE)))</f>
        <v/>
      </c>
      <c r="L171" s="635" t="str">
        <f>IFERROR(INDEX('G-7 Rivers Data'!$O$3:$O$7,MATCH(G171,'G-7 Rivers Data'!$N$3:$N$7,0)),"")</f>
        <v/>
      </c>
      <c r="M171" s="72"/>
      <c r="N171" s="195"/>
      <c r="O171" s="507" t="str">
        <f t="shared" si="13"/>
        <v/>
      </c>
      <c r="P171" s="521" t="str">
        <f t="shared" si="14"/>
        <v/>
      </c>
      <c r="Q171" s="564" t="str">
        <f>IFERROR(IF(P171="Check Data ⚠","Check Data ⚠",VLOOKUP(P171,'G-4 Temporal multipliers'!$A$4:$C$37,3,FALSE)),"")</f>
        <v/>
      </c>
      <c r="R171" s="498" t="str">
        <f>IF(C171="","",VLOOKUP(C171,'G-7 Rivers Data'!$B$4:$G$8,4,FALSE))</f>
        <v/>
      </c>
      <c r="S171" s="507" t="str">
        <f t="shared" si="15"/>
        <v/>
      </c>
      <c r="T171" s="540" t="str">
        <f t="shared" si="16"/>
        <v/>
      </c>
      <c r="U171" s="499" t="str">
        <f t="shared" si="17"/>
        <v/>
      </c>
      <c r="V171" s="71"/>
      <c r="W171" s="499" t="str">
        <f>IF(V171="","",IF(VLOOKUP(V171,'G-7 Rivers Data'!$AA$4:$AB$7,2,FALSE)=0,"Spatial Data Missing ⚠",VLOOKUP(V171,'G-7 Rivers Data'!$AA$4:$AB$7,2,FALSE)))</f>
        <v/>
      </c>
      <c r="X171" s="155"/>
      <c r="Y171" s="499" t="str">
        <f>IF(X171="","",IF(VLOOKUP(X171,'G-7 Rivers Data'!$AD$4:$AE$8,2,FALSE)=0,"Enrcoachment Data Missing ⚠",VLOOKUP(X171,'G-7 Rivers Data'!$AD$4:$AE$8,2,FALSE)))</f>
        <v/>
      </c>
      <c r="Z171" s="154"/>
      <c r="AA171" s="524" t="str">
        <f>IF(Z171="","",VLOOKUP(Z171,'G-7 Rivers Data'!$AO$4:$AP$7,2,FALSE))</f>
        <v/>
      </c>
      <c r="AB171" s="545" t="str">
        <f t="shared" si="18"/>
        <v/>
      </c>
      <c r="AC171" s="149"/>
      <c r="AD171" s="150"/>
      <c r="AK171" s="31" t="str">
        <f>IFERROR(INDEX('G-7 Rivers Data'!$AZ$3:$AZ$7,MATCH(C171,'G-7 Rivers Data'!$AY$3:$AY$7,0)),"")</f>
        <v/>
      </c>
    </row>
    <row r="172" spans="2:37" ht="13.8" x14ac:dyDescent="0.25">
      <c r="B172" s="141">
        <v>161</v>
      </c>
      <c r="C172" s="666"/>
      <c r="D172" s="172"/>
      <c r="E172" s="498" t="str">
        <f>IF(C172="","",VLOOKUP(C172,'G-7 Rivers Data'!$B$2:$Z$9,2,FALSE))</f>
        <v/>
      </c>
      <c r="F172" s="499" t="str">
        <f>IFERROR(VLOOKUP(E172,'G-7 Rivers Data'!$C$4:$D$8,2,FALSE),"")</f>
        <v/>
      </c>
      <c r="G172" s="145"/>
      <c r="H172" s="499" t="str">
        <f>IFERROR(INDEX('G-7 Rivers Data'!$H$4:$L$8,MATCH(C172,'G-7 Rivers Data'!$B$4:$B$8,0),MATCH(G172,'G-7 Rivers Data'!$H$3:$L$3,0)),"")</f>
        <v/>
      </c>
      <c r="I172" s="145"/>
      <c r="J172" s="540" t="str">
        <f>IF(I172="","",IF(VLOOKUP(I172,'G-7 Rivers Data'!$AG$4:$AI$9,2,FALSE)=0,"Spatial Data Missing ⚠",VLOOKUP(I172,'G-7 Rivers Data'!$AG$4:$AI$9,2,FALSE)))</f>
        <v/>
      </c>
      <c r="K172" s="499" t="str">
        <f>IF(I172="","",IF(VLOOKUP(I172,'G-7 Rivers Data'!$AG$4:$AI$9,3,FALSE)=0,"Spatial Data Missing ⚠",VLOOKUP(I172,'G-7 Rivers Data'!$AG$4:$AI$9,3,FALSE)))</f>
        <v/>
      </c>
      <c r="L172" s="635" t="str">
        <f>IFERROR(INDEX('G-7 Rivers Data'!$O$3:$O$7,MATCH(G172,'G-7 Rivers Data'!$N$3:$N$7,0)),"")</f>
        <v/>
      </c>
      <c r="M172" s="72"/>
      <c r="N172" s="195"/>
      <c r="O172" s="507" t="str">
        <f t="shared" si="13"/>
        <v/>
      </c>
      <c r="P172" s="521" t="str">
        <f t="shared" si="14"/>
        <v/>
      </c>
      <c r="Q172" s="564" t="str">
        <f>IFERROR(IF(P172="Check Data ⚠","Check Data ⚠",VLOOKUP(P172,'G-4 Temporal multipliers'!$A$4:$C$37,3,FALSE)),"")</f>
        <v/>
      </c>
      <c r="R172" s="498" t="str">
        <f>IF(C172="","",VLOOKUP(C172,'G-7 Rivers Data'!$B$4:$G$8,4,FALSE))</f>
        <v/>
      </c>
      <c r="S172" s="507" t="str">
        <f t="shared" si="15"/>
        <v/>
      </c>
      <c r="T172" s="540" t="str">
        <f t="shared" si="16"/>
        <v/>
      </c>
      <c r="U172" s="499" t="str">
        <f t="shared" si="17"/>
        <v/>
      </c>
      <c r="V172" s="71"/>
      <c r="W172" s="499" t="str">
        <f>IF(V172="","",IF(VLOOKUP(V172,'G-7 Rivers Data'!$AA$4:$AB$7,2,FALSE)=0,"Spatial Data Missing ⚠",VLOOKUP(V172,'G-7 Rivers Data'!$AA$4:$AB$7,2,FALSE)))</f>
        <v/>
      </c>
      <c r="X172" s="155"/>
      <c r="Y172" s="499" t="str">
        <f>IF(X172="","",IF(VLOOKUP(X172,'G-7 Rivers Data'!$AD$4:$AE$8,2,FALSE)=0,"Enrcoachment Data Missing ⚠",VLOOKUP(X172,'G-7 Rivers Data'!$AD$4:$AE$8,2,FALSE)))</f>
        <v/>
      </c>
      <c r="Z172" s="154"/>
      <c r="AA172" s="524" t="str">
        <f>IF(Z172="","",VLOOKUP(Z172,'G-7 Rivers Data'!$AO$4:$AP$7,2,FALSE))</f>
        <v/>
      </c>
      <c r="AB172" s="545" t="str">
        <f t="shared" si="18"/>
        <v/>
      </c>
      <c r="AC172" s="149"/>
      <c r="AD172" s="150"/>
      <c r="AK172" s="31" t="str">
        <f>IFERROR(INDEX('G-7 Rivers Data'!$AZ$3:$AZ$7,MATCH(C172,'G-7 Rivers Data'!$AY$3:$AY$7,0)),"")</f>
        <v/>
      </c>
    </row>
    <row r="173" spans="2:37" ht="13.8" x14ac:dyDescent="0.25">
      <c r="B173" s="141">
        <v>162</v>
      </c>
      <c r="C173" s="666"/>
      <c r="D173" s="172"/>
      <c r="E173" s="498" t="str">
        <f>IF(C173="","",VLOOKUP(C173,'G-7 Rivers Data'!$B$2:$Z$9,2,FALSE))</f>
        <v/>
      </c>
      <c r="F173" s="499" t="str">
        <f>IFERROR(VLOOKUP(E173,'G-7 Rivers Data'!$C$4:$D$8,2,FALSE),"")</f>
        <v/>
      </c>
      <c r="G173" s="145"/>
      <c r="H173" s="499" t="str">
        <f>IFERROR(INDEX('G-7 Rivers Data'!$H$4:$L$8,MATCH(C173,'G-7 Rivers Data'!$B$4:$B$8,0),MATCH(G173,'G-7 Rivers Data'!$H$3:$L$3,0)),"")</f>
        <v/>
      </c>
      <c r="I173" s="145"/>
      <c r="J173" s="540" t="str">
        <f>IF(I173="","",IF(VLOOKUP(I173,'G-7 Rivers Data'!$AG$4:$AI$9,2,FALSE)=0,"Spatial Data Missing ⚠",VLOOKUP(I173,'G-7 Rivers Data'!$AG$4:$AI$9,2,FALSE)))</f>
        <v/>
      </c>
      <c r="K173" s="499" t="str">
        <f>IF(I173="","",IF(VLOOKUP(I173,'G-7 Rivers Data'!$AG$4:$AI$9,3,FALSE)=0,"Spatial Data Missing ⚠",VLOOKUP(I173,'G-7 Rivers Data'!$AG$4:$AI$9,3,FALSE)))</f>
        <v/>
      </c>
      <c r="L173" s="635" t="str">
        <f>IFERROR(INDEX('G-7 Rivers Data'!$O$3:$O$7,MATCH(G173,'G-7 Rivers Data'!$N$3:$N$7,0)),"")</f>
        <v/>
      </c>
      <c r="M173" s="72"/>
      <c r="N173" s="195"/>
      <c r="O173" s="507" t="str">
        <f t="shared" si="13"/>
        <v/>
      </c>
      <c r="P173" s="521" t="str">
        <f t="shared" si="14"/>
        <v/>
      </c>
      <c r="Q173" s="564" t="str">
        <f>IFERROR(IF(P173="Check Data ⚠","Check Data ⚠",VLOOKUP(P173,'G-4 Temporal multipliers'!$A$4:$C$37,3,FALSE)),"")</f>
        <v/>
      </c>
      <c r="R173" s="498" t="str">
        <f>IF(C173="","",VLOOKUP(C173,'G-7 Rivers Data'!$B$4:$G$8,4,FALSE))</f>
        <v/>
      </c>
      <c r="S173" s="507" t="str">
        <f t="shared" si="15"/>
        <v/>
      </c>
      <c r="T173" s="540" t="str">
        <f t="shared" si="16"/>
        <v/>
      </c>
      <c r="U173" s="499" t="str">
        <f t="shared" si="17"/>
        <v/>
      </c>
      <c r="V173" s="71"/>
      <c r="W173" s="499" t="str">
        <f>IF(V173="","",IF(VLOOKUP(V173,'G-7 Rivers Data'!$AA$4:$AB$7,2,FALSE)=0,"Spatial Data Missing ⚠",VLOOKUP(V173,'G-7 Rivers Data'!$AA$4:$AB$7,2,FALSE)))</f>
        <v/>
      </c>
      <c r="X173" s="155"/>
      <c r="Y173" s="499" t="str">
        <f>IF(X173="","",IF(VLOOKUP(X173,'G-7 Rivers Data'!$AD$4:$AE$8,2,FALSE)=0,"Enrcoachment Data Missing ⚠",VLOOKUP(X173,'G-7 Rivers Data'!$AD$4:$AE$8,2,FALSE)))</f>
        <v/>
      </c>
      <c r="Z173" s="154"/>
      <c r="AA173" s="524" t="str">
        <f>IF(Z173="","",VLOOKUP(Z173,'G-7 Rivers Data'!$AO$4:$AP$7,2,FALSE))</f>
        <v/>
      </c>
      <c r="AB173" s="545" t="str">
        <f t="shared" si="18"/>
        <v/>
      </c>
      <c r="AC173" s="149"/>
      <c r="AD173" s="150"/>
      <c r="AK173" s="31" t="str">
        <f>IFERROR(INDEX('G-7 Rivers Data'!$AZ$3:$AZ$7,MATCH(C173,'G-7 Rivers Data'!$AY$3:$AY$7,0)),"")</f>
        <v/>
      </c>
    </row>
    <row r="174" spans="2:37" ht="13.8" x14ac:dyDescent="0.25">
      <c r="B174" s="141">
        <v>163</v>
      </c>
      <c r="C174" s="666"/>
      <c r="D174" s="172"/>
      <c r="E174" s="498" t="str">
        <f>IF(C174="","",VLOOKUP(C174,'G-7 Rivers Data'!$B$2:$Z$9,2,FALSE))</f>
        <v/>
      </c>
      <c r="F174" s="499" t="str">
        <f>IFERROR(VLOOKUP(E174,'G-7 Rivers Data'!$C$4:$D$8,2,FALSE),"")</f>
        <v/>
      </c>
      <c r="G174" s="145"/>
      <c r="H174" s="499" t="str">
        <f>IFERROR(INDEX('G-7 Rivers Data'!$H$4:$L$8,MATCH(C174,'G-7 Rivers Data'!$B$4:$B$8,0),MATCH(G174,'G-7 Rivers Data'!$H$3:$L$3,0)),"")</f>
        <v/>
      </c>
      <c r="I174" s="145"/>
      <c r="J174" s="540" t="str">
        <f>IF(I174="","",IF(VLOOKUP(I174,'G-7 Rivers Data'!$AG$4:$AI$9,2,FALSE)=0,"Spatial Data Missing ⚠",VLOOKUP(I174,'G-7 Rivers Data'!$AG$4:$AI$9,2,FALSE)))</f>
        <v/>
      </c>
      <c r="K174" s="499" t="str">
        <f>IF(I174="","",IF(VLOOKUP(I174,'G-7 Rivers Data'!$AG$4:$AI$9,3,FALSE)=0,"Spatial Data Missing ⚠",VLOOKUP(I174,'G-7 Rivers Data'!$AG$4:$AI$9,3,FALSE)))</f>
        <v/>
      </c>
      <c r="L174" s="635" t="str">
        <f>IFERROR(INDEX('G-7 Rivers Data'!$O$3:$O$7,MATCH(G174,'G-7 Rivers Data'!$N$3:$N$7,0)),"")</f>
        <v/>
      </c>
      <c r="M174" s="72"/>
      <c r="N174" s="195"/>
      <c r="O174" s="507" t="str">
        <f t="shared" si="13"/>
        <v/>
      </c>
      <c r="P174" s="521" t="str">
        <f t="shared" si="14"/>
        <v/>
      </c>
      <c r="Q174" s="564" t="str">
        <f>IFERROR(IF(P174="Check Data ⚠","Check Data ⚠",VLOOKUP(P174,'G-4 Temporal multipliers'!$A$4:$C$37,3,FALSE)),"")</f>
        <v/>
      </c>
      <c r="R174" s="498" t="str">
        <f>IF(C174="","",VLOOKUP(C174,'G-7 Rivers Data'!$B$4:$G$8,4,FALSE))</f>
        <v/>
      </c>
      <c r="S174" s="507" t="str">
        <f t="shared" si="15"/>
        <v/>
      </c>
      <c r="T174" s="540" t="str">
        <f t="shared" si="16"/>
        <v/>
      </c>
      <c r="U174" s="499" t="str">
        <f t="shared" si="17"/>
        <v/>
      </c>
      <c r="V174" s="71"/>
      <c r="W174" s="499" t="str">
        <f>IF(V174="","",IF(VLOOKUP(V174,'G-7 Rivers Data'!$AA$4:$AB$7,2,FALSE)=0,"Spatial Data Missing ⚠",VLOOKUP(V174,'G-7 Rivers Data'!$AA$4:$AB$7,2,FALSE)))</f>
        <v/>
      </c>
      <c r="X174" s="155"/>
      <c r="Y174" s="499" t="str">
        <f>IF(X174="","",IF(VLOOKUP(X174,'G-7 Rivers Data'!$AD$4:$AE$8,2,FALSE)=0,"Enrcoachment Data Missing ⚠",VLOOKUP(X174,'G-7 Rivers Data'!$AD$4:$AE$8,2,FALSE)))</f>
        <v/>
      </c>
      <c r="Z174" s="154"/>
      <c r="AA174" s="524" t="str">
        <f>IF(Z174="","",VLOOKUP(Z174,'G-7 Rivers Data'!$AO$4:$AP$7,2,FALSE))</f>
        <v/>
      </c>
      <c r="AB174" s="545" t="str">
        <f t="shared" si="18"/>
        <v/>
      </c>
      <c r="AC174" s="149"/>
      <c r="AD174" s="150"/>
      <c r="AK174" s="31" t="str">
        <f>IFERROR(INDEX('G-7 Rivers Data'!$AZ$3:$AZ$7,MATCH(C174,'G-7 Rivers Data'!$AY$3:$AY$7,0)),"")</f>
        <v/>
      </c>
    </row>
    <row r="175" spans="2:37" ht="13.8" x14ac:dyDescent="0.25">
      <c r="B175" s="141">
        <v>164</v>
      </c>
      <c r="C175" s="666"/>
      <c r="D175" s="172"/>
      <c r="E175" s="498" t="str">
        <f>IF(C175="","",VLOOKUP(C175,'G-7 Rivers Data'!$B$2:$Z$9,2,FALSE))</f>
        <v/>
      </c>
      <c r="F175" s="499" t="str">
        <f>IFERROR(VLOOKUP(E175,'G-7 Rivers Data'!$C$4:$D$8,2,FALSE),"")</f>
        <v/>
      </c>
      <c r="G175" s="145"/>
      <c r="H175" s="499" t="str">
        <f>IFERROR(INDEX('G-7 Rivers Data'!$H$4:$L$8,MATCH(C175,'G-7 Rivers Data'!$B$4:$B$8,0),MATCH(G175,'G-7 Rivers Data'!$H$3:$L$3,0)),"")</f>
        <v/>
      </c>
      <c r="I175" s="145"/>
      <c r="J175" s="540" t="str">
        <f>IF(I175="","",IF(VLOOKUP(I175,'G-7 Rivers Data'!$AG$4:$AI$9,2,FALSE)=0,"Spatial Data Missing ⚠",VLOOKUP(I175,'G-7 Rivers Data'!$AG$4:$AI$9,2,FALSE)))</f>
        <v/>
      </c>
      <c r="K175" s="499" t="str">
        <f>IF(I175="","",IF(VLOOKUP(I175,'G-7 Rivers Data'!$AG$4:$AI$9,3,FALSE)=0,"Spatial Data Missing ⚠",VLOOKUP(I175,'G-7 Rivers Data'!$AG$4:$AI$9,3,FALSE)))</f>
        <v/>
      </c>
      <c r="L175" s="635" t="str">
        <f>IFERROR(INDEX('G-7 Rivers Data'!$O$3:$O$7,MATCH(G175,'G-7 Rivers Data'!$N$3:$N$7,0)),"")</f>
        <v/>
      </c>
      <c r="M175" s="72"/>
      <c r="N175" s="195"/>
      <c r="O175" s="507" t="str">
        <f t="shared" si="13"/>
        <v/>
      </c>
      <c r="P175" s="521" t="str">
        <f t="shared" si="14"/>
        <v/>
      </c>
      <c r="Q175" s="564" t="str">
        <f>IFERROR(IF(P175="Check Data ⚠","Check Data ⚠",VLOOKUP(P175,'G-4 Temporal multipliers'!$A$4:$C$37,3,FALSE)),"")</f>
        <v/>
      </c>
      <c r="R175" s="498" t="str">
        <f>IF(C175="","",VLOOKUP(C175,'G-7 Rivers Data'!$B$4:$G$8,4,FALSE))</f>
        <v/>
      </c>
      <c r="S175" s="507" t="str">
        <f t="shared" si="15"/>
        <v/>
      </c>
      <c r="T175" s="540" t="str">
        <f t="shared" si="16"/>
        <v/>
      </c>
      <c r="U175" s="499" t="str">
        <f t="shared" si="17"/>
        <v/>
      </c>
      <c r="V175" s="71"/>
      <c r="W175" s="499" t="str">
        <f>IF(V175="","",IF(VLOOKUP(V175,'G-7 Rivers Data'!$AA$4:$AB$7,2,FALSE)=0,"Spatial Data Missing ⚠",VLOOKUP(V175,'G-7 Rivers Data'!$AA$4:$AB$7,2,FALSE)))</f>
        <v/>
      </c>
      <c r="X175" s="155"/>
      <c r="Y175" s="499" t="str">
        <f>IF(X175="","",IF(VLOOKUP(X175,'G-7 Rivers Data'!$AD$4:$AE$8,2,FALSE)=0,"Enrcoachment Data Missing ⚠",VLOOKUP(X175,'G-7 Rivers Data'!$AD$4:$AE$8,2,FALSE)))</f>
        <v/>
      </c>
      <c r="Z175" s="154"/>
      <c r="AA175" s="524" t="str">
        <f>IF(Z175="","",VLOOKUP(Z175,'G-7 Rivers Data'!$AO$4:$AP$7,2,FALSE))</f>
        <v/>
      </c>
      <c r="AB175" s="545" t="str">
        <f t="shared" si="18"/>
        <v/>
      </c>
      <c r="AC175" s="149"/>
      <c r="AD175" s="150"/>
      <c r="AK175" s="31" t="str">
        <f>IFERROR(INDEX('G-7 Rivers Data'!$AZ$3:$AZ$7,MATCH(C175,'G-7 Rivers Data'!$AY$3:$AY$7,0)),"")</f>
        <v/>
      </c>
    </row>
    <row r="176" spans="2:37" ht="13.8" x14ac:dyDescent="0.25">
      <c r="B176" s="141">
        <v>165</v>
      </c>
      <c r="C176" s="666"/>
      <c r="D176" s="172"/>
      <c r="E176" s="498" t="str">
        <f>IF(C176="","",VLOOKUP(C176,'G-7 Rivers Data'!$B$2:$Z$9,2,FALSE))</f>
        <v/>
      </c>
      <c r="F176" s="499" t="str">
        <f>IFERROR(VLOOKUP(E176,'G-7 Rivers Data'!$C$4:$D$8,2,FALSE),"")</f>
        <v/>
      </c>
      <c r="G176" s="145"/>
      <c r="H176" s="499" t="str">
        <f>IFERROR(INDEX('G-7 Rivers Data'!$H$4:$L$8,MATCH(C176,'G-7 Rivers Data'!$B$4:$B$8,0),MATCH(G176,'G-7 Rivers Data'!$H$3:$L$3,0)),"")</f>
        <v/>
      </c>
      <c r="I176" s="145"/>
      <c r="J176" s="540" t="str">
        <f>IF(I176="","",IF(VLOOKUP(I176,'G-7 Rivers Data'!$AG$4:$AI$9,2,FALSE)=0,"Spatial Data Missing ⚠",VLOOKUP(I176,'G-7 Rivers Data'!$AG$4:$AI$9,2,FALSE)))</f>
        <v/>
      </c>
      <c r="K176" s="499" t="str">
        <f>IF(I176="","",IF(VLOOKUP(I176,'G-7 Rivers Data'!$AG$4:$AI$9,3,FALSE)=0,"Spatial Data Missing ⚠",VLOOKUP(I176,'G-7 Rivers Data'!$AG$4:$AI$9,3,FALSE)))</f>
        <v/>
      </c>
      <c r="L176" s="635" t="str">
        <f>IFERROR(INDEX('G-7 Rivers Data'!$O$3:$O$7,MATCH(G176,'G-7 Rivers Data'!$N$3:$N$7,0)),"")</f>
        <v/>
      </c>
      <c r="M176" s="72"/>
      <c r="N176" s="195"/>
      <c r="O176" s="507" t="str">
        <f t="shared" si="13"/>
        <v/>
      </c>
      <c r="P176" s="521" t="str">
        <f t="shared" si="14"/>
        <v/>
      </c>
      <c r="Q176" s="564" t="str">
        <f>IFERROR(IF(P176="Check Data ⚠","Check Data ⚠",VLOOKUP(P176,'G-4 Temporal multipliers'!$A$4:$C$37,3,FALSE)),"")</f>
        <v/>
      </c>
      <c r="R176" s="498" t="str">
        <f>IF(C176="","",VLOOKUP(C176,'G-7 Rivers Data'!$B$4:$G$8,4,FALSE))</f>
        <v/>
      </c>
      <c r="S176" s="507" t="str">
        <f t="shared" si="15"/>
        <v/>
      </c>
      <c r="T176" s="540" t="str">
        <f t="shared" si="16"/>
        <v/>
      </c>
      <c r="U176" s="499" t="str">
        <f t="shared" si="17"/>
        <v/>
      </c>
      <c r="V176" s="71"/>
      <c r="W176" s="499" t="str">
        <f>IF(V176="","",IF(VLOOKUP(V176,'G-7 Rivers Data'!$AA$4:$AB$7,2,FALSE)=0,"Spatial Data Missing ⚠",VLOOKUP(V176,'G-7 Rivers Data'!$AA$4:$AB$7,2,FALSE)))</f>
        <v/>
      </c>
      <c r="X176" s="155"/>
      <c r="Y176" s="499" t="str">
        <f>IF(X176="","",IF(VLOOKUP(X176,'G-7 Rivers Data'!$AD$4:$AE$8,2,FALSE)=0,"Enrcoachment Data Missing ⚠",VLOOKUP(X176,'G-7 Rivers Data'!$AD$4:$AE$8,2,FALSE)))</f>
        <v/>
      </c>
      <c r="Z176" s="154"/>
      <c r="AA176" s="524" t="str">
        <f>IF(Z176="","",VLOOKUP(Z176,'G-7 Rivers Data'!$AO$4:$AP$7,2,FALSE))</f>
        <v/>
      </c>
      <c r="AB176" s="545" t="str">
        <f t="shared" si="18"/>
        <v/>
      </c>
      <c r="AC176" s="149"/>
      <c r="AD176" s="150"/>
      <c r="AK176" s="31" t="str">
        <f>IFERROR(INDEX('G-7 Rivers Data'!$AZ$3:$AZ$7,MATCH(C176,'G-7 Rivers Data'!$AY$3:$AY$7,0)),"")</f>
        <v/>
      </c>
    </row>
    <row r="177" spans="2:37" ht="13.8" x14ac:dyDescent="0.25">
      <c r="B177" s="141">
        <v>166</v>
      </c>
      <c r="C177" s="666"/>
      <c r="D177" s="172"/>
      <c r="E177" s="498" t="str">
        <f>IF(C177="","",VLOOKUP(C177,'G-7 Rivers Data'!$B$2:$Z$9,2,FALSE))</f>
        <v/>
      </c>
      <c r="F177" s="499" t="str">
        <f>IFERROR(VLOOKUP(E177,'G-7 Rivers Data'!$C$4:$D$8,2,FALSE),"")</f>
        <v/>
      </c>
      <c r="G177" s="145"/>
      <c r="H177" s="499" t="str">
        <f>IFERROR(INDEX('G-7 Rivers Data'!$H$4:$L$8,MATCH(C177,'G-7 Rivers Data'!$B$4:$B$8,0),MATCH(G177,'G-7 Rivers Data'!$H$3:$L$3,0)),"")</f>
        <v/>
      </c>
      <c r="I177" s="145"/>
      <c r="J177" s="540" t="str">
        <f>IF(I177="","",IF(VLOOKUP(I177,'G-7 Rivers Data'!$AG$4:$AI$9,2,FALSE)=0,"Spatial Data Missing ⚠",VLOOKUP(I177,'G-7 Rivers Data'!$AG$4:$AI$9,2,FALSE)))</f>
        <v/>
      </c>
      <c r="K177" s="499" t="str">
        <f>IF(I177="","",IF(VLOOKUP(I177,'G-7 Rivers Data'!$AG$4:$AI$9,3,FALSE)=0,"Spatial Data Missing ⚠",VLOOKUP(I177,'G-7 Rivers Data'!$AG$4:$AI$9,3,FALSE)))</f>
        <v/>
      </c>
      <c r="L177" s="635" t="str">
        <f>IFERROR(INDEX('G-7 Rivers Data'!$O$3:$O$7,MATCH(G177,'G-7 Rivers Data'!$N$3:$N$7,0)),"")</f>
        <v/>
      </c>
      <c r="M177" s="72"/>
      <c r="N177" s="195"/>
      <c r="O177" s="507" t="str">
        <f t="shared" si="13"/>
        <v/>
      </c>
      <c r="P177" s="521" t="str">
        <f t="shared" si="14"/>
        <v/>
      </c>
      <c r="Q177" s="564" t="str">
        <f>IFERROR(IF(P177="Check Data ⚠","Check Data ⚠",VLOOKUP(P177,'G-4 Temporal multipliers'!$A$4:$C$37,3,FALSE)),"")</f>
        <v/>
      </c>
      <c r="R177" s="498" t="str">
        <f>IF(C177="","",VLOOKUP(C177,'G-7 Rivers Data'!$B$4:$G$8,4,FALSE))</f>
        <v/>
      </c>
      <c r="S177" s="507" t="str">
        <f t="shared" si="15"/>
        <v/>
      </c>
      <c r="T177" s="540" t="str">
        <f t="shared" si="16"/>
        <v/>
      </c>
      <c r="U177" s="499" t="str">
        <f t="shared" si="17"/>
        <v/>
      </c>
      <c r="V177" s="71"/>
      <c r="W177" s="499" t="str">
        <f>IF(V177="","",IF(VLOOKUP(V177,'G-7 Rivers Data'!$AA$4:$AB$7,2,FALSE)=0,"Spatial Data Missing ⚠",VLOOKUP(V177,'G-7 Rivers Data'!$AA$4:$AB$7,2,FALSE)))</f>
        <v/>
      </c>
      <c r="X177" s="155"/>
      <c r="Y177" s="499" t="str">
        <f>IF(X177="","",IF(VLOOKUP(X177,'G-7 Rivers Data'!$AD$4:$AE$8,2,FALSE)=0,"Enrcoachment Data Missing ⚠",VLOOKUP(X177,'G-7 Rivers Data'!$AD$4:$AE$8,2,FALSE)))</f>
        <v/>
      </c>
      <c r="Z177" s="154"/>
      <c r="AA177" s="524" t="str">
        <f>IF(Z177="","",VLOOKUP(Z177,'G-7 Rivers Data'!$AO$4:$AP$7,2,FALSE))</f>
        <v/>
      </c>
      <c r="AB177" s="545" t="str">
        <f t="shared" si="18"/>
        <v/>
      </c>
      <c r="AC177" s="149"/>
      <c r="AD177" s="150"/>
      <c r="AK177" s="31" t="str">
        <f>IFERROR(INDEX('G-7 Rivers Data'!$AZ$3:$AZ$7,MATCH(C177,'G-7 Rivers Data'!$AY$3:$AY$7,0)),"")</f>
        <v/>
      </c>
    </row>
    <row r="178" spans="2:37" ht="13.8" x14ac:dyDescent="0.25">
      <c r="B178" s="141">
        <v>167</v>
      </c>
      <c r="C178" s="666"/>
      <c r="D178" s="172"/>
      <c r="E178" s="498" t="str">
        <f>IF(C178="","",VLOOKUP(C178,'G-7 Rivers Data'!$B$2:$Z$9,2,FALSE))</f>
        <v/>
      </c>
      <c r="F178" s="499" t="str">
        <f>IFERROR(VLOOKUP(E178,'G-7 Rivers Data'!$C$4:$D$8,2,FALSE),"")</f>
        <v/>
      </c>
      <c r="G178" s="145"/>
      <c r="H178" s="499" t="str">
        <f>IFERROR(INDEX('G-7 Rivers Data'!$H$4:$L$8,MATCH(C178,'G-7 Rivers Data'!$B$4:$B$8,0),MATCH(G178,'G-7 Rivers Data'!$H$3:$L$3,0)),"")</f>
        <v/>
      </c>
      <c r="I178" s="145"/>
      <c r="J178" s="540" t="str">
        <f>IF(I178="","",IF(VLOOKUP(I178,'G-7 Rivers Data'!$AG$4:$AI$9,2,FALSE)=0,"Spatial Data Missing ⚠",VLOOKUP(I178,'G-7 Rivers Data'!$AG$4:$AI$9,2,FALSE)))</f>
        <v/>
      </c>
      <c r="K178" s="499" t="str">
        <f>IF(I178="","",IF(VLOOKUP(I178,'G-7 Rivers Data'!$AG$4:$AI$9,3,FALSE)=0,"Spatial Data Missing ⚠",VLOOKUP(I178,'G-7 Rivers Data'!$AG$4:$AI$9,3,FALSE)))</f>
        <v/>
      </c>
      <c r="L178" s="635" t="str">
        <f>IFERROR(INDEX('G-7 Rivers Data'!$O$3:$O$7,MATCH(G178,'G-7 Rivers Data'!$N$3:$N$7,0)),"")</f>
        <v/>
      </c>
      <c r="M178" s="72"/>
      <c r="N178" s="195"/>
      <c r="O178" s="507" t="str">
        <f t="shared" si="13"/>
        <v/>
      </c>
      <c r="P178" s="521" t="str">
        <f t="shared" si="14"/>
        <v/>
      </c>
      <c r="Q178" s="564" t="str">
        <f>IFERROR(IF(P178="Check Data ⚠","Check Data ⚠",VLOOKUP(P178,'G-4 Temporal multipliers'!$A$4:$C$37,3,FALSE)),"")</f>
        <v/>
      </c>
      <c r="R178" s="498" t="str">
        <f>IF(C178="","",VLOOKUP(C178,'G-7 Rivers Data'!$B$4:$G$8,4,FALSE))</f>
        <v/>
      </c>
      <c r="S178" s="507" t="str">
        <f t="shared" si="15"/>
        <v/>
      </c>
      <c r="T178" s="540" t="str">
        <f t="shared" si="16"/>
        <v/>
      </c>
      <c r="U178" s="499" t="str">
        <f t="shared" si="17"/>
        <v/>
      </c>
      <c r="V178" s="71"/>
      <c r="W178" s="499" t="str">
        <f>IF(V178="","",IF(VLOOKUP(V178,'G-7 Rivers Data'!$AA$4:$AB$7,2,FALSE)=0,"Spatial Data Missing ⚠",VLOOKUP(V178,'G-7 Rivers Data'!$AA$4:$AB$7,2,FALSE)))</f>
        <v/>
      </c>
      <c r="X178" s="155"/>
      <c r="Y178" s="499" t="str">
        <f>IF(X178="","",IF(VLOOKUP(X178,'G-7 Rivers Data'!$AD$4:$AE$8,2,FALSE)=0,"Enrcoachment Data Missing ⚠",VLOOKUP(X178,'G-7 Rivers Data'!$AD$4:$AE$8,2,FALSE)))</f>
        <v/>
      </c>
      <c r="Z178" s="154"/>
      <c r="AA178" s="524" t="str">
        <f>IF(Z178="","",VLOOKUP(Z178,'G-7 Rivers Data'!$AO$4:$AP$7,2,FALSE))</f>
        <v/>
      </c>
      <c r="AB178" s="545" t="str">
        <f t="shared" si="18"/>
        <v/>
      </c>
      <c r="AC178" s="149"/>
      <c r="AD178" s="150"/>
      <c r="AK178" s="31" t="str">
        <f>IFERROR(INDEX('G-7 Rivers Data'!$AZ$3:$AZ$7,MATCH(C178,'G-7 Rivers Data'!$AY$3:$AY$7,0)),"")</f>
        <v/>
      </c>
    </row>
    <row r="179" spans="2:37" ht="13.8" x14ac:dyDescent="0.25">
      <c r="B179" s="141">
        <v>168</v>
      </c>
      <c r="C179" s="666"/>
      <c r="D179" s="172"/>
      <c r="E179" s="498" t="str">
        <f>IF(C179="","",VLOOKUP(C179,'G-7 Rivers Data'!$B$2:$Z$9,2,FALSE))</f>
        <v/>
      </c>
      <c r="F179" s="499" t="str">
        <f>IFERROR(VLOOKUP(E179,'G-7 Rivers Data'!$C$4:$D$8,2,FALSE),"")</f>
        <v/>
      </c>
      <c r="G179" s="145"/>
      <c r="H179" s="499" t="str">
        <f>IFERROR(INDEX('G-7 Rivers Data'!$H$4:$L$8,MATCH(C179,'G-7 Rivers Data'!$B$4:$B$8,0),MATCH(G179,'G-7 Rivers Data'!$H$3:$L$3,0)),"")</f>
        <v/>
      </c>
      <c r="I179" s="145"/>
      <c r="J179" s="540" t="str">
        <f>IF(I179="","",IF(VLOOKUP(I179,'G-7 Rivers Data'!$AG$4:$AI$9,2,FALSE)=0,"Spatial Data Missing ⚠",VLOOKUP(I179,'G-7 Rivers Data'!$AG$4:$AI$9,2,FALSE)))</f>
        <v/>
      </c>
      <c r="K179" s="499" t="str">
        <f>IF(I179="","",IF(VLOOKUP(I179,'G-7 Rivers Data'!$AG$4:$AI$9,3,FALSE)=0,"Spatial Data Missing ⚠",VLOOKUP(I179,'G-7 Rivers Data'!$AG$4:$AI$9,3,FALSE)))</f>
        <v/>
      </c>
      <c r="L179" s="635" t="str">
        <f>IFERROR(INDEX('G-7 Rivers Data'!$O$3:$O$7,MATCH(G179,'G-7 Rivers Data'!$N$3:$N$7,0)),"")</f>
        <v/>
      </c>
      <c r="M179" s="72"/>
      <c r="N179" s="195"/>
      <c r="O179" s="507" t="str">
        <f t="shared" si="13"/>
        <v/>
      </c>
      <c r="P179" s="521" t="str">
        <f t="shared" si="14"/>
        <v/>
      </c>
      <c r="Q179" s="564" t="str">
        <f>IFERROR(IF(P179="Check Data ⚠","Check Data ⚠",VLOOKUP(P179,'G-4 Temporal multipliers'!$A$4:$C$37,3,FALSE)),"")</f>
        <v/>
      </c>
      <c r="R179" s="498" t="str">
        <f>IF(C179="","",VLOOKUP(C179,'G-7 Rivers Data'!$B$4:$G$8,4,FALSE))</f>
        <v/>
      </c>
      <c r="S179" s="507" t="str">
        <f t="shared" si="15"/>
        <v/>
      </c>
      <c r="T179" s="540" t="str">
        <f t="shared" si="16"/>
        <v/>
      </c>
      <c r="U179" s="499" t="str">
        <f t="shared" si="17"/>
        <v/>
      </c>
      <c r="V179" s="71"/>
      <c r="W179" s="499" t="str">
        <f>IF(V179="","",IF(VLOOKUP(V179,'G-7 Rivers Data'!$AA$4:$AB$7,2,FALSE)=0,"Spatial Data Missing ⚠",VLOOKUP(V179,'G-7 Rivers Data'!$AA$4:$AB$7,2,FALSE)))</f>
        <v/>
      </c>
      <c r="X179" s="155"/>
      <c r="Y179" s="499" t="str">
        <f>IF(X179="","",IF(VLOOKUP(X179,'G-7 Rivers Data'!$AD$4:$AE$8,2,FALSE)=0,"Enrcoachment Data Missing ⚠",VLOOKUP(X179,'G-7 Rivers Data'!$AD$4:$AE$8,2,FALSE)))</f>
        <v/>
      </c>
      <c r="Z179" s="154"/>
      <c r="AA179" s="524" t="str">
        <f>IF(Z179="","",VLOOKUP(Z179,'G-7 Rivers Data'!$AO$4:$AP$7,2,FALSE))</f>
        <v/>
      </c>
      <c r="AB179" s="545" t="str">
        <f t="shared" si="18"/>
        <v/>
      </c>
      <c r="AC179" s="149"/>
      <c r="AD179" s="150"/>
      <c r="AK179" s="31" t="str">
        <f>IFERROR(INDEX('G-7 Rivers Data'!$AZ$3:$AZ$7,MATCH(C179,'G-7 Rivers Data'!$AY$3:$AY$7,0)),"")</f>
        <v/>
      </c>
    </row>
    <row r="180" spans="2:37" ht="13.8" x14ac:dyDescent="0.25">
      <c r="B180" s="141">
        <v>169</v>
      </c>
      <c r="C180" s="666"/>
      <c r="D180" s="172"/>
      <c r="E180" s="498" t="str">
        <f>IF(C180="","",VLOOKUP(C180,'G-7 Rivers Data'!$B$2:$Z$9,2,FALSE))</f>
        <v/>
      </c>
      <c r="F180" s="499" t="str">
        <f>IFERROR(VLOOKUP(E180,'G-7 Rivers Data'!$C$4:$D$8,2,FALSE),"")</f>
        <v/>
      </c>
      <c r="G180" s="145"/>
      <c r="H180" s="499" t="str">
        <f>IFERROR(INDEX('G-7 Rivers Data'!$H$4:$L$8,MATCH(C180,'G-7 Rivers Data'!$B$4:$B$8,0),MATCH(G180,'G-7 Rivers Data'!$H$3:$L$3,0)),"")</f>
        <v/>
      </c>
      <c r="I180" s="145"/>
      <c r="J180" s="540" t="str">
        <f>IF(I180="","",IF(VLOOKUP(I180,'G-7 Rivers Data'!$AG$4:$AI$9,2,FALSE)=0,"Spatial Data Missing ⚠",VLOOKUP(I180,'G-7 Rivers Data'!$AG$4:$AI$9,2,FALSE)))</f>
        <v/>
      </c>
      <c r="K180" s="499" t="str">
        <f>IF(I180="","",IF(VLOOKUP(I180,'G-7 Rivers Data'!$AG$4:$AI$9,3,FALSE)=0,"Spatial Data Missing ⚠",VLOOKUP(I180,'G-7 Rivers Data'!$AG$4:$AI$9,3,FALSE)))</f>
        <v/>
      </c>
      <c r="L180" s="635" t="str">
        <f>IFERROR(INDEX('G-7 Rivers Data'!$O$3:$O$7,MATCH(G180,'G-7 Rivers Data'!$N$3:$N$7,0)),"")</f>
        <v/>
      </c>
      <c r="M180" s="72"/>
      <c r="N180" s="195"/>
      <c r="O180" s="507" t="str">
        <f t="shared" si="13"/>
        <v/>
      </c>
      <c r="P180" s="521" t="str">
        <f t="shared" si="14"/>
        <v/>
      </c>
      <c r="Q180" s="564" t="str">
        <f>IFERROR(IF(P180="Check Data ⚠","Check Data ⚠",VLOOKUP(P180,'G-4 Temporal multipliers'!$A$4:$C$37,3,FALSE)),"")</f>
        <v/>
      </c>
      <c r="R180" s="498" t="str">
        <f>IF(C180="","",VLOOKUP(C180,'G-7 Rivers Data'!$B$4:$G$8,4,FALSE))</f>
        <v/>
      </c>
      <c r="S180" s="507" t="str">
        <f t="shared" si="15"/>
        <v/>
      </c>
      <c r="T180" s="540" t="str">
        <f t="shared" si="16"/>
        <v/>
      </c>
      <c r="U180" s="499" t="str">
        <f t="shared" si="17"/>
        <v/>
      </c>
      <c r="V180" s="71"/>
      <c r="W180" s="499" t="str">
        <f>IF(V180="","",IF(VLOOKUP(V180,'G-7 Rivers Data'!$AA$4:$AB$7,2,FALSE)=0,"Spatial Data Missing ⚠",VLOOKUP(V180,'G-7 Rivers Data'!$AA$4:$AB$7,2,FALSE)))</f>
        <v/>
      </c>
      <c r="X180" s="155"/>
      <c r="Y180" s="499" t="str">
        <f>IF(X180="","",IF(VLOOKUP(X180,'G-7 Rivers Data'!$AD$4:$AE$8,2,FALSE)=0,"Enrcoachment Data Missing ⚠",VLOOKUP(X180,'G-7 Rivers Data'!$AD$4:$AE$8,2,FALSE)))</f>
        <v/>
      </c>
      <c r="Z180" s="154"/>
      <c r="AA180" s="524" t="str">
        <f>IF(Z180="","",VLOOKUP(Z180,'G-7 Rivers Data'!$AO$4:$AP$7,2,FALSE))</f>
        <v/>
      </c>
      <c r="AB180" s="545" t="str">
        <f t="shared" si="18"/>
        <v/>
      </c>
      <c r="AC180" s="149"/>
      <c r="AD180" s="150"/>
      <c r="AK180" s="31" t="str">
        <f>IFERROR(INDEX('G-7 Rivers Data'!$AZ$3:$AZ$7,MATCH(C180,'G-7 Rivers Data'!$AY$3:$AY$7,0)),"")</f>
        <v/>
      </c>
    </row>
    <row r="181" spans="2:37" ht="13.8" x14ac:dyDescent="0.25">
      <c r="B181" s="141">
        <v>170</v>
      </c>
      <c r="C181" s="666"/>
      <c r="D181" s="172"/>
      <c r="E181" s="498" t="str">
        <f>IF(C181="","",VLOOKUP(C181,'G-7 Rivers Data'!$B$2:$Z$9,2,FALSE))</f>
        <v/>
      </c>
      <c r="F181" s="499" t="str">
        <f>IFERROR(VLOOKUP(E181,'G-7 Rivers Data'!$C$4:$D$8,2,FALSE),"")</f>
        <v/>
      </c>
      <c r="G181" s="145"/>
      <c r="H181" s="499" t="str">
        <f>IFERROR(INDEX('G-7 Rivers Data'!$H$4:$L$8,MATCH(C181,'G-7 Rivers Data'!$B$4:$B$8,0),MATCH(G181,'G-7 Rivers Data'!$H$3:$L$3,0)),"")</f>
        <v/>
      </c>
      <c r="I181" s="145"/>
      <c r="J181" s="540" t="str">
        <f>IF(I181="","",IF(VLOOKUP(I181,'G-7 Rivers Data'!$AG$4:$AI$9,2,FALSE)=0,"Spatial Data Missing ⚠",VLOOKUP(I181,'G-7 Rivers Data'!$AG$4:$AI$9,2,FALSE)))</f>
        <v/>
      </c>
      <c r="K181" s="499" t="str">
        <f>IF(I181="","",IF(VLOOKUP(I181,'G-7 Rivers Data'!$AG$4:$AI$9,3,FALSE)=0,"Spatial Data Missing ⚠",VLOOKUP(I181,'G-7 Rivers Data'!$AG$4:$AI$9,3,FALSE)))</f>
        <v/>
      </c>
      <c r="L181" s="635" t="str">
        <f>IFERROR(INDEX('G-7 Rivers Data'!$O$3:$O$7,MATCH(G181,'G-7 Rivers Data'!$N$3:$N$7,0)),"")</f>
        <v/>
      </c>
      <c r="M181" s="72"/>
      <c r="N181" s="195"/>
      <c r="O181" s="507" t="str">
        <f t="shared" si="13"/>
        <v/>
      </c>
      <c r="P181" s="521" t="str">
        <f t="shared" si="14"/>
        <v/>
      </c>
      <c r="Q181" s="564" t="str">
        <f>IFERROR(IF(P181="Check Data ⚠","Check Data ⚠",VLOOKUP(P181,'G-4 Temporal multipliers'!$A$4:$C$37,3,FALSE)),"")</f>
        <v/>
      </c>
      <c r="R181" s="498" t="str">
        <f>IF(C181="","",VLOOKUP(C181,'G-7 Rivers Data'!$B$4:$G$8,4,FALSE))</f>
        <v/>
      </c>
      <c r="S181" s="507" t="str">
        <f t="shared" si="15"/>
        <v/>
      </c>
      <c r="T181" s="540" t="str">
        <f t="shared" si="16"/>
        <v/>
      </c>
      <c r="U181" s="499" t="str">
        <f t="shared" si="17"/>
        <v/>
      </c>
      <c r="V181" s="71"/>
      <c r="W181" s="499" t="str">
        <f>IF(V181="","",IF(VLOOKUP(V181,'G-7 Rivers Data'!$AA$4:$AB$7,2,FALSE)=0,"Spatial Data Missing ⚠",VLOOKUP(V181,'G-7 Rivers Data'!$AA$4:$AB$7,2,FALSE)))</f>
        <v/>
      </c>
      <c r="X181" s="155"/>
      <c r="Y181" s="499" t="str">
        <f>IF(X181="","",IF(VLOOKUP(X181,'G-7 Rivers Data'!$AD$4:$AE$8,2,FALSE)=0,"Enrcoachment Data Missing ⚠",VLOOKUP(X181,'G-7 Rivers Data'!$AD$4:$AE$8,2,FALSE)))</f>
        <v/>
      </c>
      <c r="Z181" s="154"/>
      <c r="AA181" s="524" t="str">
        <f>IF(Z181="","",VLOOKUP(Z181,'G-7 Rivers Data'!$AO$4:$AP$7,2,FALSE))</f>
        <v/>
      </c>
      <c r="AB181" s="545" t="str">
        <f t="shared" si="18"/>
        <v/>
      </c>
      <c r="AC181" s="149"/>
      <c r="AD181" s="150"/>
      <c r="AK181" s="31" t="str">
        <f>IFERROR(INDEX('G-7 Rivers Data'!$AZ$3:$AZ$7,MATCH(C181,'G-7 Rivers Data'!$AY$3:$AY$7,0)),"")</f>
        <v/>
      </c>
    </row>
    <row r="182" spans="2:37" ht="13.8" x14ac:dyDescent="0.25">
      <c r="B182" s="141">
        <v>171</v>
      </c>
      <c r="C182" s="666"/>
      <c r="D182" s="172"/>
      <c r="E182" s="498" t="str">
        <f>IF(C182="","",VLOOKUP(C182,'G-7 Rivers Data'!$B$2:$Z$9,2,FALSE))</f>
        <v/>
      </c>
      <c r="F182" s="499" t="str">
        <f>IFERROR(VLOOKUP(E182,'G-7 Rivers Data'!$C$4:$D$8,2,FALSE),"")</f>
        <v/>
      </c>
      <c r="G182" s="145"/>
      <c r="H182" s="499" t="str">
        <f>IFERROR(INDEX('G-7 Rivers Data'!$H$4:$L$8,MATCH(C182,'G-7 Rivers Data'!$B$4:$B$8,0),MATCH(G182,'G-7 Rivers Data'!$H$3:$L$3,0)),"")</f>
        <v/>
      </c>
      <c r="I182" s="145"/>
      <c r="J182" s="540" t="str">
        <f>IF(I182="","",IF(VLOOKUP(I182,'G-7 Rivers Data'!$AG$4:$AI$9,2,FALSE)=0,"Spatial Data Missing ⚠",VLOOKUP(I182,'G-7 Rivers Data'!$AG$4:$AI$9,2,FALSE)))</f>
        <v/>
      </c>
      <c r="K182" s="499" t="str">
        <f>IF(I182="","",IF(VLOOKUP(I182,'G-7 Rivers Data'!$AG$4:$AI$9,3,FALSE)=0,"Spatial Data Missing ⚠",VLOOKUP(I182,'G-7 Rivers Data'!$AG$4:$AI$9,3,FALSE)))</f>
        <v/>
      </c>
      <c r="L182" s="635" t="str">
        <f>IFERROR(INDEX('G-7 Rivers Data'!$O$3:$O$7,MATCH(G182,'G-7 Rivers Data'!$N$3:$N$7,0)),"")</f>
        <v/>
      </c>
      <c r="M182" s="72"/>
      <c r="N182" s="195"/>
      <c r="O182" s="507" t="str">
        <f t="shared" si="13"/>
        <v/>
      </c>
      <c r="P182" s="521" t="str">
        <f t="shared" si="14"/>
        <v/>
      </c>
      <c r="Q182" s="564" t="str">
        <f>IFERROR(IF(P182="Check Data ⚠","Check Data ⚠",VLOOKUP(P182,'G-4 Temporal multipliers'!$A$4:$C$37,3,FALSE)),"")</f>
        <v/>
      </c>
      <c r="R182" s="498" t="str">
        <f>IF(C182="","",VLOOKUP(C182,'G-7 Rivers Data'!$B$4:$G$8,4,FALSE))</f>
        <v/>
      </c>
      <c r="S182" s="507" t="str">
        <f t="shared" si="15"/>
        <v/>
      </c>
      <c r="T182" s="540" t="str">
        <f t="shared" si="16"/>
        <v/>
      </c>
      <c r="U182" s="499" t="str">
        <f t="shared" si="17"/>
        <v/>
      </c>
      <c r="V182" s="71"/>
      <c r="W182" s="499" t="str">
        <f>IF(V182="","",IF(VLOOKUP(V182,'G-7 Rivers Data'!$AA$4:$AB$7,2,FALSE)=0,"Spatial Data Missing ⚠",VLOOKUP(V182,'G-7 Rivers Data'!$AA$4:$AB$7,2,FALSE)))</f>
        <v/>
      </c>
      <c r="X182" s="155"/>
      <c r="Y182" s="499" t="str">
        <f>IF(X182="","",IF(VLOOKUP(X182,'G-7 Rivers Data'!$AD$4:$AE$8,2,FALSE)=0,"Enrcoachment Data Missing ⚠",VLOOKUP(X182,'G-7 Rivers Data'!$AD$4:$AE$8,2,FALSE)))</f>
        <v/>
      </c>
      <c r="Z182" s="154"/>
      <c r="AA182" s="524" t="str">
        <f>IF(Z182="","",VLOOKUP(Z182,'G-7 Rivers Data'!$AO$4:$AP$7,2,FALSE))</f>
        <v/>
      </c>
      <c r="AB182" s="545" t="str">
        <f t="shared" si="18"/>
        <v/>
      </c>
      <c r="AC182" s="149"/>
      <c r="AD182" s="150"/>
      <c r="AK182" s="31" t="str">
        <f>IFERROR(INDEX('G-7 Rivers Data'!$AZ$3:$AZ$7,MATCH(C182,'G-7 Rivers Data'!$AY$3:$AY$7,0)),"")</f>
        <v/>
      </c>
    </row>
    <row r="183" spans="2:37" ht="13.8" x14ac:dyDescent="0.25">
      <c r="B183" s="141">
        <v>172</v>
      </c>
      <c r="C183" s="666"/>
      <c r="D183" s="172"/>
      <c r="E183" s="498" t="str">
        <f>IF(C183="","",VLOOKUP(C183,'G-7 Rivers Data'!$B$2:$Z$9,2,FALSE))</f>
        <v/>
      </c>
      <c r="F183" s="499" t="str">
        <f>IFERROR(VLOOKUP(E183,'G-7 Rivers Data'!$C$4:$D$8,2,FALSE),"")</f>
        <v/>
      </c>
      <c r="G183" s="145"/>
      <c r="H183" s="499" t="str">
        <f>IFERROR(INDEX('G-7 Rivers Data'!$H$4:$L$8,MATCH(C183,'G-7 Rivers Data'!$B$4:$B$8,0),MATCH(G183,'G-7 Rivers Data'!$H$3:$L$3,0)),"")</f>
        <v/>
      </c>
      <c r="I183" s="145"/>
      <c r="J183" s="540" t="str">
        <f>IF(I183="","",IF(VLOOKUP(I183,'G-7 Rivers Data'!$AG$4:$AI$9,2,FALSE)=0,"Spatial Data Missing ⚠",VLOOKUP(I183,'G-7 Rivers Data'!$AG$4:$AI$9,2,FALSE)))</f>
        <v/>
      </c>
      <c r="K183" s="499" t="str">
        <f>IF(I183="","",IF(VLOOKUP(I183,'G-7 Rivers Data'!$AG$4:$AI$9,3,FALSE)=0,"Spatial Data Missing ⚠",VLOOKUP(I183,'G-7 Rivers Data'!$AG$4:$AI$9,3,FALSE)))</f>
        <v/>
      </c>
      <c r="L183" s="635" t="str">
        <f>IFERROR(INDEX('G-7 Rivers Data'!$O$3:$O$7,MATCH(G183,'G-7 Rivers Data'!$N$3:$N$7,0)),"")</f>
        <v/>
      </c>
      <c r="M183" s="72"/>
      <c r="N183" s="195"/>
      <c r="O183" s="507" t="str">
        <f t="shared" si="13"/>
        <v/>
      </c>
      <c r="P183" s="521" t="str">
        <f t="shared" si="14"/>
        <v/>
      </c>
      <c r="Q183" s="564" t="str">
        <f>IFERROR(IF(P183="Check Data ⚠","Check Data ⚠",VLOOKUP(P183,'G-4 Temporal multipliers'!$A$4:$C$37,3,FALSE)),"")</f>
        <v/>
      </c>
      <c r="R183" s="498" t="str">
        <f>IF(C183="","",VLOOKUP(C183,'G-7 Rivers Data'!$B$4:$G$8,4,FALSE))</f>
        <v/>
      </c>
      <c r="S183" s="507" t="str">
        <f t="shared" si="15"/>
        <v/>
      </c>
      <c r="T183" s="540" t="str">
        <f t="shared" si="16"/>
        <v/>
      </c>
      <c r="U183" s="499" t="str">
        <f t="shared" si="17"/>
        <v/>
      </c>
      <c r="V183" s="71"/>
      <c r="W183" s="499" t="str">
        <f>IF(V183="","",IF(VLOOKUP(V183,'G-7 Rivers Data'!$AA$4:$AB$7,2,FALSE)=0,"Spatial Data Missing ⚠",VLOOKUP(V183,'G-7 Rivers Data'!$AA$4:$AB$7,2,FALSE)))</f>
        <v/>
      </c>
      <c r="X183" s="155"/>
      <c r="Y183" s="499" t="str">
        <f>IF(X183="","",IF(VLOOKUP(X183,'G-7 Rivers Data'!$AD$4:$AE$8,2,FALSE)=0,"Enrcoachment Data Missing ⚠",VLOOKUP(X183,'G-7 Rivers Data'!$AD$4:$AE$8,2,FALSE)))</f>
        <v/>
      </c>
      <c r="Z183" s="154"/>
      <c r="AA183" s="524" t="str">
        <f>IF(Z183="","",VLOOKUP(Z183,'G-7 Rivers Data'!$AO$4:$AP$7,2,FALSE))</f>
        <v/>
      </c>
      <c r="AB183" s="545" t="str">
        <f t="shared" si="18"/>
        <v/>
      </c>
      <c r="AC183" s="149"/>
      <c r="AD183" s="150"/>
      <c r="AK183" s="31" t="str">
        <f>IFERROR(INDEX('G-7 Rivers Data'!$AZ$3:$AZ$7,MATCH(C183,'G-7 Rivers Data'!$AY$3:$AY$7,0)),"")</f>
        <v/>
      </c>
    </row>
    <row r="184" spans="2:37" ht="13.8" x14ac:dyDescent="0.25">
      <c r="B184" s="141">
        <v>173</v>
      </c>
      <c r="C184" s="666"/>
      <c r="D184" s="172"/>
      <c r="E184" s="498" t="str">
        <f>IF(C184="","",VLOOKUP(C184,'G-7 Rivers Data'!$B$2:$Z$9,2,FALSE))</f>
        <v/>
      </c>
      <c r="F184" s="499" t="str">
        <f>IFERROR(VLOOKUP(E184,'G-7 Rivers Data'!$C$4:$D$8,2,FALSE),"")</f>
        <v/>
      </c>
      <c r="G184" s="145"/>
      <c r="H184" s="499" t="str">
        <f>IFERROR(INDEX('G-7 Rivers Data'!$H$4:$L$8,MATCH(C184,'G-7 Rivers Data'!$B$4:$B$8,0),MATCH(G184,'G-7 Rivers Data'!$H$3:$L$3,0)),"")</f>
        <v/>
      </c>
      <c r="I184" s="145"/>
      <c r="J184" s="540" t="str">
        <f>IF(I184="","",IF(VLOOKUP(I184,'G-7 Rivers Data'!$AG$4:$AI$9,2,FALSE)=0,"Spatial Data Missing ⚠",VLOOKUP(I184,'G-7 Rivers Data'!$AG$4:$AI$9,2,FALSE)))</f>
        <v/>
      </c>
      <c r="K184" s="499" t="str">
        <f>IF(I184="","",IF(VLOOKUP(I184,'G-7 Rivers Data'!$AG$4:$AI$9,3,FALSE)=0,"Spatial Data Missing ⚠",VLOOKUP(I184,'G-7 Rivers Data'!$AG$4:$AI$9,3,FALSE)))</f>
        <v/>
      </c>
      <c r="L184" s="635" t="str">
        <f>IFERROR(INDEX('G-7 Rivers Data'!$O$3:$O$7,MATCH(G184,'G-7 Rivers Data'!$N$3:$N$7,0)),"")</f>
        <v/>
      </c>
      <c r="M184" s="72"/>
      <c r="N184" s="195"/>
      <c r="O184" s="507" t="str">
        <f t="shared" si="13"/>
        <v/>
      </c>
      <c r="P184" s="521" t="str">
        <f t="shared" si="14"/>
        <v/>
      </c>
      <c r="Q184" s="564" t="str">
        <f>IFERROR(IF(P184="Check Data ⚠","Check Data ⚠",VLOOKUP(P184,'G-4 Temporal multipliers'!$A$4:$C$37,3,FALSE)),"")</f>
        <v/>
      </c>
      <c r="R184" s="498" t="str">
        <f>IF(C184="","",VLOOKUP(C184,'G-7 Rivers Data'!$B$4:$G$8,4,FALSE))</f>
        <v/>
      </c>
      <c r="S184" s="507" t="str">
        <f t="shared" si="15"/>
        <v/>
      </c>
      <c r="T184" s="540" t="str">
        <f t="shared" si="16"/>
        <v/>
      </c>
      <c r="U184" s="499" t="str">
        <f t="shared" si="17"/>
        <v/>
      </c>
      <c r="V184" s="71"/>
      <c r="W184" s="499" t="str">
        <f>IF(V184="","",IF(VLOOKUP(V184,'G-7 Rivers Data'!$AA$4:$AB$7,2,FALSE)=0,"Spatial Data Missing ⚠",VLOOKUP(V184,'G-7 Rivers Data'!$AA$4:$AB$7,2,FALSE)))</f>
        <v/>
      </c>
      <c r="X184" s="155"/>
      <c r="Y184" s="499" t="str">
        <f>IF(X184="","",IF(VLOOKUP(X184,'G-7 Rivers Data'!$AD$4:$AE$8,2,FALSE)=0,"Enrcoachment Data Missing ⚠",VLOOKUP(X184,'G-7 Rivers Data'!$AD$4:$AE$8,2,FALSE)))</f>
        <v/>
      </c>
      <c r="Z184" s="154"/>
      <c r="AA184" s="524" t="str">
        <f>IF(Z184="","",VLOOKUP(Z184,'G-7 Rivers Data'!$AO$4:$AP$7,2,FALSE))</f>
        <v/>
      </c>
      <c r="AB184" s="545" t="str">
        <f t="shared" si="18"/>
        <v/>
      </c>
      <c r="AC184" s="149"/>
      <c r="AD184" s="150"/>
      <c r="AK184" s="31" t="str">
        <f>IFERROR(INDEX('G-7 Rivers Data'!$AZ$3:$AZ$7,MATCH(C184,'G-7 Rivers Data'!$AY$3:$AY$7,0)),"")</f>
        <v/>
      </c>
    </row>
    <row r="185" spans="2:37" ht="13.8" x14ac:dyDescent="0.25">
      <c r="B185" s="141">
        <v>174</v>
      </c>
      <c r="C185" s="666"/>
      <c r="D185" s="172"/>
      <c r="E185" s="498" t="str">
        <f>IF(C185="","",VLOOKUP(C185,'G-7 Rivers Data'!$B$2:$Z$9,2,FALSE))</f>
        <v/>
      </c>
      <c r="F185" s="499" t="str">
        <f>IFERROR(VLOOKUP(E185,'G-7 Rivers Data'!$C$4:$D$8,2,FALSE),"")</f>
        <v/>
      </c>
      <c r="G185" s="145"/>
      <c r="H185" s="499" t="str">
        <f>IFERROR(INDEX('G-7 Rivers Data'!$H$4:$L$8,MATCH(C185,'G-7 Rivers Data'!$B$4:$B$8,0),MATCH(G185,'G-7 Rivers Data'!$H$3:$L$3,0)),"")</f>
        <v/>
      </c>
      <c r="I185" s="145"/>
      <c r="J185" s="540" t="str">
        <f>IF(I185="","",IF(VLOOKUP(I185,'G-7 Rivers Data'!$AG$4:$AI$9,2,FALSE)=0,"Spatial Data Missing ⚠",VLOOKUP(I185,'G-7 Rivers Data'!$AG$4:$AI$9,2,FALSE)))</f>
        <v/>
      </c>
      <c r="K185" s="499" t="str">
        <f>IF(I185="","",IF(VLOOKUP(I185,'G-7 Rivers Data'!$AG$4:$AI$9,3,FALSE)=0,"Spatial Data Missing ⚠",VLOOKUP(I185,'G-7 Rivers Data'!$AG$4:$AI$9,3,FALSE)))</f>
        <v/>
      </c>
      <c r="L185" s="635" t="str">
        <f>IFERROR(INDEX('G-7 Rivers Data'!$O$3:$O$7,MATCH(G185,'G-7 Rivers Data'!$N$3:$N$7,0)),"")</f>
        <v/>
      </c>
      <c r="M185" s="72"/>
      <c r="N185" s="195"/>
      <c r="O185" s="507" t="str">
        <f t="shared" si="13"/>
        <v/>
      </c>
      <c r="P185" s="521" t="str">
        <f t="shared" si="14"/>
        <v/>
      </c>
      <c r="Q185" s="564" t="str">
        <f>IFERROR(IF(P185="Check Data ⚠","Check Data ⚠",VLOOKUP(P185,'G-4 Temporal multipliers'!$A$4:$C$37,3,FALSE)),"")</f>
        <v/>
      </c>
      <c r="R185" s="498" t="str">
        <f>IF(C185="","",VLOOKUP(C185,'G-7 Rivers Data'!$B$4:$G$8,4,FALSE))</f>
        <v/>
      </c>
      <c r="S185" s="507" t="str">
        <f t="shared" si="15"/>
        <v/>
      </c>
      <c r="T185" s="540" t="str">
        <f t="shared" si="16"/>
        <v/>
      </c>
      <c r="U185" s="499" t="str">
        <f t="shared" si="17"/>
        <v/>
      </c>
      <c r="V185" s="71"/>
      <c r="W185" s="499" t="str">
        <f>IF(V185="","",IF(VLOOKUP(V185,'G-7 Rivers Data'!$AA$4:$AB$7,2,FALSE)=0,"Spatial Data Missing ⚠",VLOOKUP(V185,'G-7 Rivers Data'!$AA$4:$AB$7,2,FALSE)))</f>
        <v/>
      </c>
      <c r="X185" s="155"/>
      <c r="Y185" s="499" t="str">
        <f>IF(X185="","",IF(VLOOKUP(X185,'G-7 Rivers Data'!$AD$4:$AE$8,2,FALSE)=0,"Enrcoachment Data Missing ⚠",VLOOKUP(X185,'G-7 Rivers Data'!$AD$4:$AE$8,2,FALSE)))</f>
        <v/>
      </c>
      <c r="Z185" s="154"/>
      <c r="AA185" s="524" t="str">
        <f>IF(Z185="","",VLOOKUP(Z185,'G-7 Rivers Data'!$AO$4:$AP$7,2,FALSE))</f>
        <v/>
      </c>
      <c r="AB185" s="545" t="str">
        <f t="shared" si="18"/>
        <v/>
      </c>
      <c r="AC185" s="149"/>
      <c r="AD185" s="150"/>
      <c r="AK185" s="31" t="str">
        <f>IFERROR(INDEX('G-7 Rivers Data'!$AZ$3:$AZ$7,MATCH(C185,'G-7 Rivers Data'!$AY$3:$AY$7,0)),"")</f>
        <v/>
      </c>
    </row>
    <row r="186" spans="2:37" ht="13.8" x14ac:dyDescent="0.25">
      <c r="B186" s="141">
        <v>175</v>
      </c>
      <c r="C186" s="666"/>
      <c r="D186" s="172"/>
      <c r="E186" s="498" t="str">
        <f>IF(C186="","",VLOOKUP(C186,'G-7 Rivers Data'!$B$2:$Z$9,2,FALSE))</f>
        <v/>
      </c>
      <c r="F186" s="499" t="str">
        <f>IFERROR(VLOOKUP(E186,'G-7 Rivers Data'!$C$4:$D$8,2,FALSE),"")</f>
        <v/>
      </c>
      <c r="G186" s="145"/>
      <c r="H186" s="499" t="str">
        <f>IFERROR(INDEX('G-7 Rivers Data'!$H$4:$L$8,MATCH(C186,'G-7 Rivers Data'!$B$4:$B$8,0),MATCH(G186,'G-7 Rivers Data'!$H$3:$L$3,0)),"")</f>
        <v/>
      </c>
      <c r="I186" s="145"/>
      <c r="J186" s="540" t="str">
        <f>IF(I186="","",IF(VLOOKUP(I186,'G-7 Rivers Data'!$AG$4:$AI$9,2,FALSE)=0,"Spatial Data Missing ⚠",VLOOKUP(I186,'G-7 Rivers Data'!$AG$4:$AI$9,2,FALSE)))</f>
        <v/>
      </c>
      <c r="K186" s="499" t="str">
        <f>IF(I186="","",IF(VLOOKUP(I186,'G-7 Rivers Data'!$AG$4:$AI$9,3,FALSE)=0,"Spatial Data Missing ⚠",VLOOKUP(I186,'G-7 Rivers Data'!$AG$4:$AI$9,3,FALSE)))</f>
        <v/>
      </c>
      <c r="L186" s="635" t="str">
        <f>IFERROR(INDEX('G-7 Rivers Data'!$O$3:$O$7,MATCH(G186,'G-7 Rivers Data'!$N$3:$N$7,0)),"")</f>
        <v/>
      </c>
      <c r="M186" s="72"/>
      <c r="N186" s="195"/>
      <c r="O186" s="507" t="str">
        <f t="shared" si="13"/>
        <v/>
      </c>
      <c r="P186" s="521" t="str">
        <f t="shared" si="14"/>
        <v/>
      </c>
      <c r="Q186" s="564" t="str">
        <f>IFERROR(IF(P186="Check Data ⚠","Check Data ⚠",VLOOKUP(P186,'G-4 Temporal multipliers'!$A$4:$C$37,3,FALSE)),"")</f>
        <v/>
      </c>
      <c r="R186" s="498" t="str">
        <f>IF(C186="","",VLOOKUP(C186,'G-7 Rivers Data'!$B$4:$G$8,4,FALSE))</f>
        <v/>
      </c>
      <c r="S186" s="507" t="str">
        <f t="shared" si="15"/>
        <v/>
      </c>
      <c r="T186" s="540" t="str">
        <f t="shared" si="16"/>
        <v/>
      </c>
      <c r="U186" s="499" t="str">
        <f t="shared" si="17"/>
        <v/>
      </c>
      <c r="V186" s="71"/>
      <c r="W186" s="499" t="str">
        <f>IF(V186="","",IF(VLOOKUP(V186,'G-7 Rivers Data'!$AA$4:$AB$7,2,FALSE)=0,"Spatial Data Missing ⚠",VLOOKUP(V186,'G-7 Rivers Data'!$AA$4:$AB$7,2,FALSE)))</f>
        <v/>
      </c>
      <c r="X186" s="155"/>
      <c r="Y186" s="499" t="str">
        <f>IF(X186="","",IF(VLOOKUP(X186,'G-7 Rivers Data'!$AD$4:$AE$8,2,FALSE)=0,"Enrcoachment Data Missing ⚠",VLOOKUP(X186,'G-7 Rivers Data'!$AD$4:$AE$8,2,FALSE)))</f>
        <v/>
      </c>
      <c r="Z186" s="154"/>
      <c r="AA186" s="524" t="str">
        <f>IF(Z186="","",VLOOKUP(Z186,'G-7 Rivers Data'!$AO$4:$AP$7,2,FALSE))</f>
        <v/>
      </c>
      <c r="AB186" s="545" t="str">
        <f t="shared" si="18"/>
        <v/>
      </c>
      <c r="AC186" s="149"/>
      <c r="AD186" s="150"/>
      <c r="AK186" s="31" t="str">
        <f>IFERROR(INDEX('G-7 Rivers Data'!$AZ$3:$AZ$7,MATCH(C186,'G-7 Rivers Data'!$AY$3:$AY$7,0)),"")</f>
        <v/>
      </c>
    </row>
    <row r="187" spans="2:37" ht="13.8" x14ac:dyDescent="0.25">
      <c r="B187" s="141">
        <v>176</v>
      </c>
      <c r="C187" s="666"/>
      <c r="D187" s="172"/>
      <c r="E187" s="498" t="str">
        <f>IF(C187="","",VLOOKUP(C187,'G-7 Rivers Data'!$B$2:$Z$9,2,FALSE))</f>
        <v/>
      </c>
      <c r="F187" s="499" t="str">
        <f>IFERROR(VLOOKUP(E187,'G-7 Rivers Data'!$C$4:$D$8,2,FALSE),"")</f>
        <v/>
      </c>
      <c r="G187" s="145"/>
      <c r="H187" s="499" t="str">
        <f>IFERROR(INDEX('G-7 Rivers Data'!$H$4:$L$8,MATCH(C187,'G-7 Rivers Data'!$B$4:$B$8,0),MATCH(G187,'G-7 Rivers Data'!$H$3:$L$3,0)),"")</f>
        <v/>
      </c>
      <c r="I187" s="145"/>
      <c r="J187" s="540" t="str">
        <f>IF(I187="","",IF(VLOOKUP(I187,'G-7 Rivers Data'!$AG$4:$AI$9,2,FALSE)=0,"Spatial Data Missing ⚠",VLOOKUP(I187,'G-7 Rivers Data'!$AG$4:$AI$9,2,FALSE)))</f>
        <v/>
      </c>
      <c r="K187" s="499" t="str">
        <f>IF(I187="","",IF(VLOOKUP(I187,'G-7 Rivers Data'!$AG$4:$AI$9,3,FALSE)=0,"Spatial Data Missing ⚠",VLOOKUP(I187,'G-7 Rivers Data'!$AG$4:$AI$9,3,FALSE)))</f>
        <v/>
      </c>
      <c r="L187" s="635" t="str">
        <f>IFERROR(INDEX('G-7 Rivers Data'!$O$3:$O$7,MATCH(G187,'G-7 Rivers Data'!$N$3:$N$7,0)),"")</f>
        <v/>
      </c>
      <c r="M187" s="72"/>
      <c r="N187" s="195"/>
      <c r="O187" s="507" t="str">
        <f t="shared" si="13"/>
        <v/>
      </c>
      <c r="P187" s="521" t="str">
        <f t="shared" si="14"/>
        <v/>
      </c>
      <c r="Q187" s="564" t="str">
        <f>IFERROR(IF(P187="Check Data ⚠","Check Data ⚠",VLOOKUP(P187,'G-4 Temporal multipliers'!$A$4:$C$37,3,FALSE)),"")</f>
        <v/>
      </c>
      <c r="R187" s="498" t="str">
        <f>IF(C187="","",VLOOKUP(C187,'G-7 Rivers Data'!$B$4:$G$8,4,FALSE))</f>
        <v/>
      </c>
      <c r="S187" s="507" t="str">
        <f t="shared" si="15"/>
        <v/>
      </c>
      <c r="T187" s="540" t="str">
        <f t="shared" si="16"/>
        <v/>
      </c>
      <c r="U187" s="499" t="str">
        <f t="shared" si="17"/>
        <v/>
      </c>
      <c r="V187" s="71"/>
      <c r="W187" s="499" t="str">
        <f>IF(V187="","",IF(VLOOKUP(V187,'G-7 Rivers Data'!$AA$4:$AB$7,2,FALSE)=0,"Spatial Data Missing ⚠",VLOOKUP(V187,'G-7 Rivers Data'!$AA$4:$AB$7,2,FALSE)))</f>
        <v/>
      </c>
      <c r="X187" s="155"/>
      <c r="Y187" s="499" t="str">
        <f>IF(X187="","",IF(VLOOKUP(X187,'G-7 Rivers Data'!$AD$4:$AE$8,2,FALSE)=0,"Enrcoachment Data Missing ⚠",VLOOKUP(X187,'G-7 Rivers Data'!$AD$4:$AE$8,2,FALSE)))</f>
        <v/>
      </c>
      <c r="Z187" s="154"/>
      <c r="AA187" s="524" t="str">
        <f>IF(Z187="","",VLOOKUP(Z187,'G-7 Rivers Data'!$AO$4:$AP$7,2,FALSE))</f>
        <v/>
      </c>
      <c r="AB187" s="545" t="str">
        <f t="shared" si="18"/>
        <v/>
      </c>
      <c r="AC187" s="149"/>
      <c r="AD187" s="150"/>
      <c r="AK187" s="31" t="str">
        <f>IFERROR(INDEX('G-7 Rivers Data'!$AZ$3:$AZ$7,MATCH(C187,'G-7 Rivers Data'!$AY$3:$AY$7,0)),"")</f>
        <v/>
      </c>
    </row>
    <row r="188" spans="2:37" ht="13.8" x14ac:dyDescent="0.25">
      <c r="B188" s="141">
        <v>177</v>
      </c>
      <c r="C188" s="666"/>
      <c r="D188" s="172"/>
      <c r="E188" s="498" t="str">
        <f>IF(C188="","",VLOOKUP(C188,'G-7 Rivers Data'!$B$2:$Z$9,2,FALSE))</f>
        <v/>
      </c>
      <c r="F188" s="499" t="str">
        <f>IFERROR(VLOOKUP(E188,'G-7 Rivers Data'!$C$4:$D$8,2,FALSE),"")</f>
        <v/>
      </c>
      <c r="G188" s="145"/>
      <c r="H188" s="499" t="str">
        <f>IFERROR(INDEX('G-7 Rivers Data'!$H$4:$L$8,MATCH(C188,'G-7 Rivers Data'!$B$4:$B$8,0),MATCH(G188,'G-7 Rivers Data'!$H$3:$L$3,0)),"")</f>
        <v/>
      </c>
      <c r="I188" s="145"/>
      <c r="J188" s="540" t="str">
        <f>IF(I188="","",IF(VLOOKUP(I188,'G-7 Rivers Data'!$AG$4:$AI$9,2,FALSE)=0,"Spatial Data Missing ⚠",VLOOKUP(I188,'G-7 Rivers Data'!$AG$4:$AI$9,2,FALSE)))</f>
        <v/>
      </c>
      <c r="K188" s="499" t="str">
        <f>IF(I188="","",IF(VLOOKUP(I188,'G-7 Rivers Data'!$AG$4:$AI$9,3,FALSE)=0,"Spatial Data Missing ⚠",VLOOKUP(I188,'G-7 Rivers Data'!$AG$4:$AI$9,3,FALSE)))</f>
        <v/>
      </c>
      <c r="L188" s="635" t="str">
        <f>IFERROR(INDEX('G-7 Rivers Data'!$O$3:$O$7,MATCH(G188,'G-7 Rivers Data'!$N$3:$N$7,0)),"")</f>
        <v/>
      </c>
      <c r="M188" s="72"/>
      <c r="N188" s="195"/>
      <c r="O188" s="507" t="str">
        <f t="shared" si="13"/>
        <v/>
      </c>
      <c r="P188" s="521" t="str">
        <f t="shared" si="14"/>
        <v/>
      </c>
      <c r="Q188" s="564" t="str">
        <f>IFERROR(IF(P188="Check Data ⚠","Check Data ⚠",VLOOKUP(P188,'G-4 Temporal multipliers'!$A$4:$C$37,3,FALSE)),"")</f>
        <v/>
      </c>
      <c r="R188" s="498" t="str">
        <f>IF(C188="","",VLOOKUP(C188,'G-7 Rivers Data'!$B$4:$G$8,4,FALSE))</f>
        <v/>
      </c>
      <c r="S188" s="507" t="str">
        <f t="shared" si="15"/>
        <v/>
      </c>
      <c r="T188" s="540" t="str">
        <f t="shared" si="16"/>
        <v/>
      </c>
      <c r="U188" s="499" t="str">
        <f t="shared" si="17"/>
        <v/>
      </c>
      <c r="V188" s="71"/>
      <c r="W188" s="499" t="str">
        <f>IF(V188="","",IF(VLOOKUP(V188,'G-7 Rivers Data'!$AA$4:$AB$7,2,FALSE)=0,"Spatial Data Missing ⚠",VLOOKUP(V188,'G-7 Rivers Data'!$AA$4:$AB$7,2,FALSE)))</f>
        <v/>
      </c>
      <c r="X188" s="155"/>
      <c r="Y188" s="499" t="str">
        <f>IF(X188="","",IF(VLOOKUP(X188,'G-7 Rivers Data'!$AD$4:$AE$8,2,FALSE)=0,"Enrcoachment Data Missing ⚠",VLOOKUP(X188,'G-7 Rivers Data'!$AD$4:$AE$8,2,FALSE)))</f>
        <v/>
      </c>
      <c r="Z188" s="154"/>
      <c r="AA188" s="524" t="str">
        <f>IF(Z188="","",VLOOKUP(Z188,'G-7 Rivers Data'!$AO$4:$AP$7,2,FALSE))</f>
        <v/>
      </c>
      <c r="AB188" s="545" t="str">
        <f t="shared" si="18"/>
        <v/>
      </c>
      <c r="AC188" s="149"/>
      <c r="AD188" s="150"/>
      <c r="AK188" s="31" t="str">
        <f>IFERROR(INDEX('G-7 Rivers Data'!$AZ$3:$AZ$7,MATCH(C188,'G-7 Rivers Data'!$AY$3:$AY$7,0)),"")</f>
        <v/>
      </c>
    </row>
    <row r="189" spans="2:37" ht="13.8" x14ac:dyDescent="0.25">
      <c r="B189" s="141">
        <v>178</v>
      </c>
      <c r="C189" s="666"/>
      <c r="D189" s="172"/>
      <c r="E189" s="498" t="str">
        <f>IF(C189="","",VLOOKUP(C189,'G-7 Rivers Data'!$B$2:$Z$9,2,FALSE))</f>
        <v/>
      </c>
      <c r="F189" s="499" t="str">
        <f>IFERROR(VLOOKUP(E189,'G-7 Rivers Data'!$C$4:$D$8,2,FALSE),"")</f>
        <v/>
      </c>
      <c r="G189" s="145"/>
      <c r="H189" s="499" t="str">
        <f>IFERROR(INDEX('G-7 Rivers Data'!$H$4:$L$8,MATCH(C189,'G-7 Rivers Data'!$B$4:$B$8,0),MATCH(G189,'G-7 Rivers Data'!$H$3:$L$3,0)),"")</f>
        <v/>
      </c>
      <c r="I189" s="145"/>
      <c r="J189" s="540" t="str">
        <f>IF(I189="","",IF(VLOOKUP(I189,'G-7 Rivers Data'!$AG$4:$AI$9,2,FALSE)=0,"Spatial Data Missing ⚠",VLOOKUP(I189,'G-7 Rivers Data'!$AG$4:$AI$9,2,FALSE)))</f>
        <v/>
      </c>
      <c r="K189" s="499" t="str">
        <f>IF(I189="","",IF(VLOOKUP(I189,'G-7 Rivers Data'!$AG$4:$AI$9,3,FALSE)=0,"Spatial Data Missing ⚠",VLOOKUP(I189,'G-7 Rivers Data'!$AG$4:$AI$9,3,FALSE)))</f>
        <v/>
      </c>
      <c r="L189" s="635" t="str">
        <f>IFERROR(INDEX('G-7 Rivers Data'!$O$3:$O$7,MATCH(G189,'G-7 Rivers Data'!$N$3:$N$7,0)),"")</f>
        <v/>
      </c>
      <c r="M189" s="72"/>
      <c r="N189" s="195"/>
      <c r="O189" s="507" t="str">
        <f t="shared" si="13"/>
        <v/>
      </c>
      <c r="P189" s="521" t="str">
        <f t="shared" si="14"/>
        <v/>
      </c>
      <c r="Q189" s="564" t="str">
        <f>IFERROR(IF(P189="Check Data ⚠","Check Data ⚠",VLOOKUP(P189,'G-4 Temporal multipliers'!$A$4:$C$37,3,FALSE)),"")</f>
        <v/>
      </c>
      <c r="R189" s="498" t="str">
        <f>IF(C189="","",VLOOKUP(C189,'G-7 Rivers Data'!$B$4:$G$8,4,FALSE))</f>
        <v/>
      </c>
      <c r="S189" s="507" t="str">
        <f t="shared" si="15"/>
        <v/>
      </c>
      <c r="T189" s="540" t="str">
        <f t="shared" si="16"/>
        <v/>
      </c>
      <c r="U189" s="499" t="str">
        <f t="shared" si="17"/>
        <v/>
      </c>
      <c r="V189" s="71"/>
      <c r="W189" s="499" t="str">
        <f>IF(V189="","",IF(VLOOKUP(V189,'G-7 Rivers Data'!$AA$4:$AB$7,2,FALSE)=0,"Spatial Data Missing ⚠",VLOOKUP(V189,'G-7 Rivers Data'!$AA$4:$AB$7,2,FALSE)))</f>
        <v/>
      </c>
      <c r="X189" s="155"/>
      <c r="Y189" s="499" t="str">
        <f>IF(X189="","",IF(VLOOKUP(X189,'G-7 Rivers Data'!$AD$4:$AE$8,2,FALSE)=0,"Enrcoachment Data Missing ⚠",VLOOKUP(X189,'G-7 Rivers Data'!$AD$4:$AE$8,2,FALSE)))</f>
        <v/>
      </c>
      <c r="Z189" s="154"/>
      <c r="AA189" s="524" t="str">
        <f>IF(Z189="","",VLOOKUP(Z189,'G-7 Rivers Data'!$AO$4:$AP$7,2,FALSE))</f>
        <v/>
      </c>
      <c r="AB189" s="545" t="str">
        <f t="shared" si="18"/>
        <v/>
      </c>
      <c r="AC189" s="149"/>
      <c r="AD189" s="150"/>
      <c r="AK189" s="31" t="str">
        <f>IFERROR(INDEX('G-7 Rivers Data'!$AZ$3:$AZ$7,MATCH(C189,'G-7 Rivers Data'!$AY$3:$AY$7,0)),"")</f>
        <v/>
      </c>
    </row>
    <row r="190" spans="2:37" ht="13.8" x14ac:dyDescent="0.25">
      <c r="B190" s="141">
        <v>179</v>
      </c>
      <c r="C190" s="666"/>
      <c r="D190" s="172"/>
      <c r="E190" s="498" t="str">
        <f>IF(C190="","",VLOOKUP(C190,'G-7 Rivers Data'!$B$2:$Z$9,2,FALSE))</f>
        <v/>
      </c>
      <c r="F190" s="499" t="str">
        <f>IFERROR(VLOOKUP(E190,'G-7 Rivers Data'!$C$4:$D$8,2,FALSE),"")</f>
        <v/>
      </c>
      <c r="G190" s="145"/>
      <c r="H190" s="499" t="str">
        <f>IFERROR(INDEX('G-7 Rivers Data'!$H$4:$L$8,MATCH(C190,'G-7 Rivers Data'!$B$4:$B$8,0),MATCH(G190,'G-7 Rivers Data'!$H$3:$L$3,0)),"")</f>
        <v/>
      </c>
      <c r="I190" s="145"/>
      <c r="J190" s="540" t="str">
        <f>IF(I190="","",IF(VLOOKUP(I190,'G-7 Rivers Data'!$AG$4:$AI$9,2,FALSE)=0,"Spatial Data Missing ⚠",VLOOKUP(I190,'G-7 Rivers Data'!$AG$4:$AI$9,2,FALSE)))</f>
        <v/>
      </c>
      <c r="K190" s="499" t="str">
        <f>IF(I190="","",IF(VLOOKUP(I190,'G-7 Rivers Data'!$AG$4:$AI$9,3,FALSE)=0,"Spatial Data Missing ⚠",VLOOKUP(I190,'G-7 Rivers Data'!$AG$4:$AI$9,3,FALSE)))</f>
        <v/>
      </c>
      <c r="L190" s="635" t="str">
        <f>IFERROR(INDEX('G-7 Rivers Data'!$O$3:$O$7,MATCH(G190,'G-7 Rivers Data'!$N$3:$N$7,0)),"")</f>
        <v/>
      </c>
      <c r="M190" s="72"/>
      <c r="N190" s="195"/>
      <c r="O190" s="507" t="str">
        <f t="shared" si="13"/>
        <v/>
      </c>
      <c r="P190" s="521" t="str">
        <f t="shared" si="14"/>
        <v/>
      </c>
      <c r="Q190" s="564" t="str">
        <f>IFERROR(IF(P190="Check Data ⚠","Check Data ⚠",VLOOKUP(P190,'G-4 Temporal multipliers'!$A$4:$C$37,3,FALSE)),"")</f>
        <v/>
      </c>
      <c r="R190" s="498" t="str">
        <f>IF(C190="","",VLOOKUP(C190,'G-7 Rivers Data'!$B$4:$G$8,4,FALSE))</f>
        <v/>
      </c>
      <c r="S190" s="507" t="str">
        <f t="shared" si="15"/>
        <v/>
      </c>
      <c r="T190" s="540" t="str">
        <f t="shared" si="16"/>
        <v/>
      </c>
      <c r="U190" s="499" t="str">
        <f t="shared" si="17"/>
        <v/>
      </c>
      <c r="V190" s="71"/>
      <c r="W190" s="499" t="str">
        <f>IF(V190="","",IF(VLOOKUP(V190,'G-7 Rivers Data'!$AA$4:$AB$7,2,FALSE)=0,"Spatial Data Missing ⚠",VLOOKUP(V190,'G-7 Rivers Data'!$AA$4:$AB$7,2,FALSE)))</f>
        <v/>
      </c>
      <c r="X190" s="155"/>
      <c r="Y190" s="499" t="str">
        <f>IF(X190="","",IF(VLOOKUP(X190,'G-7 Rivers Data'!$AD$4:$AE$8,2,FALSE)=0,"Enrcoachment Data Missing ⚠",VLOOKUP(X190,'G-7 Rivers Data'!$AD$4:$AE$8,2,FALSE)))</f>
        <v/>
      </c>
      <c r="Z190" s="154"/>
      <c r="AA190" s="524" t="str">
        <f>IF(Z190="","",VLOOKUP(Z190,'G-7 Rivers Data'!$AO$4:$AP$7,2,FALSE))</f>
        <v/>
      </c>
      <c r="AB190" s="545" t="str">
        <f t="shared" si="18"/>
        <v/>
      </c>
      <c r="AC190" s="149"/>
      <c r="AD190" s="150"/>
      <c r="AK190" s="31" t="str">
        <f>IFERROR(INDEX('G-7 Rivers Data'!$AZ$3:$AZ$7,MATCH(C190,'G-7 Rivers Data'!$AY$3:$AY$7,0)),"")</f>
        <v/>
      </c>
    </row>
    <row r="191" spans="2:37" ht="13.8" x14ac:dyDescent="0.25">
      <c r="B191" s="141">
        <v>180</v>
      </c>
      <c r="C191" s="666"/>
      <c r="D191" s="172"/>
      <c r="E191" s="498" t="str">
        <f>IF(C191="","",VLOOKUP(C191,'G-7 Rivers Data'!$B$2:$Z$9,2,FALSE))</f>
        <v/>
      </c>
      <c r="F191" s="499" t="str">
        <f>IFERROR(VLOOKUP(E191,'G-7 Rivers Data'!$C$4:$D$8,2,FALSE),"")</f>
        <v/>
      </c>
      <c r="G191" s="145"/>
      <c r="H191" s="499" t="str">
        <f>IFERROR(INDEX('G-7 Rivers Data'!$H$4:$L$8,MATCH(C191,'G-7 Rivers Data'!$B$4:$B$8,0),MATCH(G191,'G-7 Rivers Data'!$H$3:$L$3,0)),"")</f>
        <v/>
      </c>
      <c r="I191" s="145"/>
      <c r="J191" s="540" t="str">
        <f>IF(I191="","",IF(VLOOKUP(I191,'G-7 Rivers Data'!$AG$4:$AI$9,2,FALSE)=0,"Spatial Data Missing ⚠",VLOOKUP(I191,'G-7 Rivers Data'!$AG$4:$AI$9,2,FALSE)))</f>
        <v/>
      </c>
      <c r="K191" s="499" t="str">
        <f>IF(I191="","",IF(VLOOKUP(I191,'G-7 Rivers Data'!$AG$4:$AI$9,3,FALSE)=0,"Spatial Data Missing ⚠",VLOOKUP(I191,'G-7 Rivers Data'!$AG$4:$AI$9,3,FALSE)))</f>
        <v/>
      </c>
      <c r="L191" s="635" t="str">
        <f>IFERROR(INDEX('G-7 Rivers Data'!$O$3:$O$7,MATCH(G191,'G-7 Rivers Data'!$N$3:$N$7,0)),"")</f>
        <v/>
      </c>
      <c r="M191" s="72"/>
      <c r="N191" s="195"/>
      <c r="O191" s="507" t="str">
        <f t="shared" si="13"/>
        <v/>
      </c>
      <c r="P191" s="521" t="str">
        <f t="shared" si="14"/>
        <v/>
      </c>
      <c r="Q191" s="564" t="str">
        <f>IFERROR(IF(P191="Check Data ⚠","Check Data ⚠",VLOOKUP(P191,'G-4 Temporal multipliers'!$A$4:$C$37,3,FALSE)),"")</f>
        <v/>
      </c>
      <c r="R191" s="498" t="str">
        <f>IF(C191="","",VLOOKUP(C191,'G-7 Rivers Data'!$B$4:$G$8,4,FALSE))</f>
        <v/>
      </c>
      <c r="S191" s="507" t="str">
        <f t="shared" si="15"/>
        <v/>
      </c>
      <c r="T191" s="540" t="str">
        <f t="shared" si="16"/>
        <v/>
      </c>
      <c r="U191" s="499" t="str">
        <f t="shared" si="17"/>
        <v/>
      </c>
      <c r="V191" s="71"/>
      <c r="W191" s="499" t="str">
        <f>IF(V191="","",IF(VLOOKUP(V191,'G-7 Rivers Data'!$AA$4:$AB$7,2,FALSE)=0,"Spatial Data Missing ⚠",VLOOKUP(V191,'G-7 Rivers Data'!$AA$4:$AB$7,2,FALSE)))</f>
        <v/>
      </c>
      <c r="X191" s="155"/>
      <c r="Y191" s="499" t="str">
        <f>IF(X191="","",IF(VLOOKUP(X191,'G-7 Rivers Data'!$AD$4:$AE$8,2,FALSE)=0,"Enrcoachment Data Missing ⚠",VLOOKUP(X191,'G-7 Rivers Data'!$AD$4:$AE$8,2,FALSE)))</f>
        <v/>
      </c>
      <c r="Z191" s="154"/>
      <c r="AA191" s="524" t="str">
        <f>IF(Z191="","",VLOOKUP(Z191,'G-7 Rivers Data'!$AO$4:$AP$7,2,FALSE))</f>
        <v/>
      </c>
      <c r="AB191" s="545" t="str">
        <f t="shared" si="18"/>
        <v/>
      </c>
      <c r="AC191" s="149"/>
      <c r="AD191" s="150"/>
      <c r="AK191" s="31" t="str">
        <f>IFERROR(INDEX('G-7 Rivers Data'!$AZ$3:$AZ$7,MATCH(C191,'G-7 Rivers Data'!$AY$3:$AY$7,0)),"")</f>
        <v/>
      </c>
    </row>
    <row r="192" spans="2:37" ht="13.8" x14ac:dyDescent="0.25">
      <c r="B192" s="141">
        <v>181</v>
      </c>
      <c r="C192" s="666"/>
      <c r="D192" s="172"/>
      <c r="E192" s="498" t="str">
        <f>IF(C192="","",VLOOKUP(C192,'G-7 Rivers Data'!$B$2:$Z$9,2,FALSE))</f>
        <v/>
      </c>
      <c r="F192" s="499" t="str">
        <f>IFERROR(VLOOKUP(E192,'G-7 Rivers Data'!$C$4:$D$8,2,FALSE),"")</f>
        <v/>
      </c>
      <c r="G192" s="145"/>
      <c r="H192" s="499" t="str">
        <f>IFERROR(INDEX('G-7 Rivers Data'!$H$4:$L$8,MATCH(C192,'G-7 Rivers Data'!$B$4:$B$8,0),MATCH(G192,'G-7 Rivers Data'!$H$3:$L$3,0)),"")</f>
        <v/>
      </c>
      <c r="I192" s="145"/>
      <c r="J192" s="540" t="str">
        <f>IF(I192="","",IF(VLOOKUP(I192,'G-7 Rivers Data'!$AG$4:$AI$9,2,FALSE)=0,"Spatial Data Missing ⚠",VLOOKUP(I192,'G-7 Rivers Data'!$AG$4:$AI$9,2,FALSE)))</f>
        <v/>
      </c>
      <c r="K192" s="499" t="str">
        <f>IF(I192="","",IF(VLOOKUP(I192,'G-7 Rivers Data'!$AG$4:$AI$9,3,FALSE)=0,"Spatial Data Missing ⚠",VLOOKUP(I192,'G-7 Rivers Data'!$AG$4:$AI$9,3,FALSE)))</f>
        <v/>
      </c>
      <c r="L192" s="635" t="str">
        <f>IFERROR(INDEX('G-7 Rivers Data'!$O$3:$O$7,MATCH(G192,'G-7 Rivers Data'!$N$3:$N$7,0)),"")</f>
        <v/>
      </c>
      <c r="M192" s="72"/>
      <c r="N192" s="195"/>
      <c r="O192" s="507" t="str">
        <f t="shared" si="13"/>
        <v/>
      </c>
      <c r="P192" s="521" t="str">
        <f t="shared" si="14"/>
        <v/>
      </c>
      <c r="Q192" s="564" t="str">
        <f>IFERROR(IF(P192="Check Data ⚠","Check Data ⚠",VLOOKUP(P192,'G-4 Temporal multipliers'!$A$4:$C$37,3,FALSE)),"")</f>
        <v/>
      </c>
      <c r="R192" s="498" t="str">
        <f>IF(C192="","",VLOOKUP(C192,'G-7 Rivers Data'!$B$4:$G$8,4,FALSE))</f>
        <v/>
      </c>
      <c r="S192" s="507" t="str">
        <f t="shared" si="15"/>
        <v/>
      </c>
      <c r="T192" s="540" t="str">
        <f t="shared" si="16"/>
        <v/>
      </c>
      <c r="U192" s="499" t="str">
        <f t="shared" si="17"/>
        <v/>
      </c>
      <c r="V192" s="71"/>
      <c r="W192" s="499" t="str">
        <f>IF(V192="","",IF(VLOOKUP(V192,'G-7 Rivers Data'!$AA$4:$AB$7,2,FALSE)=0,"Spatial Data Missing ⚠",VLOOKUP(V192,'G-7 Rivers Data'!$AA$4:$AB$7,2,FALSE)))</f>
        <v/>
      </c>
      <c r="X192" s="155"/>
      <c r="Y192" s="499" t="str">
        <f>IF(X192="","",IF(VLOOKUP(X192,'G-7 Rivers Data'!$AD$4:$AE$8,2,FALSE)=0,"Enrcoachment Data Missing ⚠",VLOOKUP(X192,'G-7 Rivers Data'!$AD$4:$AE$8,2,FALSE)))</f>
        <v/>
      </c>
      <c r="Z192" s="154"/>
      <c r="AA192" s="524" t="str">
        <f>IF(Z192="","",VLOOKUP(Z192,'G-7 Rivers Data'!$AO$4:$AP$7,2,FALSE))</f>
        <v/>
      </c>
      <c r="AB192" s="545" t="str">
        <f t="shared" si="18"/>
        <v/>
      </c>
      <c r="AC192" s="149"/>
      <c r="AD192" s="150"/>
      <c r="AK192" s="31" t="str">
        <f>IFERROR(INDEX('G-7 Rivers Data'!$AZ$3:$AZ$7,MATCH(C192,'G-7 Rivers Data'!$AY$3:$AY$7,0)),"")</f>
        <v/>
      </c>
    </row>
    <row r="193" spans="2:37" ht="13.8" x14ac:dyDescent="0.25">
      <c r="B193" s="141">
        <v>182</v>
      </c>
      <c r="C193" s="666"/>
      <c r="D193" s="172"/>
      <c r="E193" s="498" t="str">
        <f>IF(C193="","",VLOOKUP(C193,'G-7 Rivers Data'!$B$2:$Z$9,2,FALSE))</f>
        <v/>
      </c>
      <c r="F193" s="499" t="str">
        <f>IFERROR(VLOOKUP(E193,'G-7 Rivers Data'!$C$4:$D$8,2,FALSE),"")</f>
        <v/>
      </c>
      <c r="G193" s="145"/>
      <c r="H193" s="499" t="str">
        <f>IFERROR(INDEX('G-7 Rivers Data'!$H$4:$L$8,MATCH(C193,'G-7 Rivers Data'!$B$4:$B$8,0),MATCH(G193,'G-7 Rivers Data'!$H$3:$L$3,0)),"")</f>
        <v/>
      </c>
      <c r="I193" s="145"/>
      <c r="J193" s="540" t="str">
        <f>IF(I193="","",IF(VLOOKUP(I193,'G-7 Rivers Data'!$AG$4:$AI$9,2,FALSE)=0,"Spatial Data Missing ⚠",VLOOKUP(I193,'G-7 Rivers Data'!$AG$4:$AI$9,2,FALSE)))</f>
        <v/>
      </c>
      <c r="K193" s="499" t="str">
        <f>IF(I193="","",IF(VLOOKUP(I193,'G-7 Rivers Data'!$AG$4:$AI$9,3,FALSE)=0,"Spatial Data Missing ⚠",VLOOKUP(I193,'G-7 Rivers Data'!$AG$4:$AI$9,3,FALSE)))</f>
        <v/>
      </c>
      <c r="L193" s="635" t="str">
        <f>IFERROR(INDEX('G-7 Rivers Data'!$O$3:$O$7,MATCH(G193,'G-7 Rivers Data'!$N$3:$N$7,0)),"")</f>
        <v/>
      </c>
      <c r="M193" s="72"/>
      <c r="N193" s="195"/>
      <c r="O193" s="507" t="str">
        <f t="shared" si="13"/>
        <v/>
      </c>
      <c r="P193" s="521" t="str">
        <f t="shared" si="14"/>
        <v/>
      </c>
      <c r="Q193" s="564" t="str">
        <f>IFERROR(IF(P193="Check Data ⚠","Check Data ⚠",VLOOKUP(P193,'G-4 Temporal multipliers'!$A$4:$C$37,3,FALSE)),"")</f>
        <v/>
      </c>
      <c r="R193" s="498" t="str">
        <f>IF(C193="","",VLOOKUP(C193,'G-7 Rivers Data'!$B$4:$G$8,4,FALSE))</f>
        <v/>
      </c>
      <c r="S193" s="507" t="str">
        <f t="shared" si="15"/>
        <v/>
      </c>
      <c r="T193" s="540" t="str">
        <f t="shared" si="16"/>
        <v/>
      </c>
      <c r="U193" s="499" t="str">
        <f t="shared" si="17"/>
        <v/>
      </c>
      <c r="V193" s="71"/>
      <c r="W193" s="499" t="str">
        <f>IF(V193="","",IF(VLOOKUP(V193,'G-7 Rivers Data'!$AA$4:$AB$7,2,FALSE)=0,"Spatial Data Missing ⚠",VLOOKUP(V193,'G-7 Rivers Data'!$AA$4:$AB$7,2,FALSE)))</f>
        <v/>
      </c>
      <c r="X193" s="155"/>
      <c r="Y193" s="499" t="str">
        <f>IF(X193="","",IF(VLOOKUP(X193,'G-7 Rivers Data'!$AD$4:$AE$8,2,FALSE)=0,"Enrcoachment Data Missing ⚠",VLOOKUP(X193,'G-7 Rivers Data'!$AD$4:$AE$8,2,FALSE)))</f>
        <v/>
      </c>
      <c r="Z193" s="154"/>
      <c r="AA193" s="524" t="str">
        <f>IF(Z193="","",VLOOKUP(Z193,'G-7 Rivers Data'!$AO$4:$AP$7,2,FALSE))</f>
        <v/>
      </c>
      <c r="AB193" s="545" t="str">
        <f t="shared" si="18"/>
        <v/>
      </c>
      <c r="AC193" s="149"/>
      <c r="AD193" s="150"/>
      <c r="AK193" s="31" t="str">
        <f>IFERROR(INDEX('G-7 Rivers Data'!$AZ$3:$AZ$7,MATCH(C193,'G-7 Rivers Data'!$AY$3:$AY$7,0)),"")</f>
        <v/>
      </c>
    </row>
    <row r="194" spans="2:37" ht="13.8" x14ac:dyDescent="0.25">
      <c r="B194" s="141">
        <v>183</v>
      </c>
      <c r="C194" s="666"/>
      <c r="D194" s="172"/>
      <c r="E194" s="498" t="str">
        <f>IF(C194="","",VLOOKUP(C194,'G-7 Rivers Data'!$B$2:$Z$9,2,FALSE))</f>
        <v/>
      </c>
      <c r="F194" s="499" t="str">
        <f>IFERROR(VLOOKUP(E194,'G-7 Rivers Data'!$C$4:$D$8,2,FALSE),"")</f>
        <v/>
      </c>
      <c r="G194" s="145"/>
      <c r="H194" s="499" t="str">
        <f>IFERROR(INDEX('G-7 Rivers Data'!$H$4:$L$8,MATCH(C194,'G-7 Rivers Data'!$B$4:$B$8,0),MATCH(G194,'G-7 Rivers Data'!$H$3:$L$3,0)),"")</f>
        <v/>
      </c>
      <c r="I194" s="145"/>
      <c r="J194" s="540" t="str">
        <f>IF(I194="","",IF(VLOOKUP(I194,'G-7 Rivers Data'!$AG$4:$AI$9,2,FALSE)=0,"Spatial Data Missing ⚠",VLOOKUP(I194,'G-7 Rivers Data'!$AG$4:$AI$9,2,FALSE)))</f>
        <v/>
      </c>
      <c r="K194" s="499" t="str">
        <f>IF(I194="","",IF(VLOOKUP(I194,'G-7 Rivers Data'!$AG$4:$AI$9,3,FALSE)=0,"Spatial Data Missing ⚠",VLOOKUP(I194,'G-7 Rivers Data'!$AG$4:$AI$9,3,FALSE)))</f>
        <v/>
      </c>
      <c r="L194" s="635" t="str">
        <f>IFERROR(INDEX('G-7 Rivers Data'!$O$3:$O$7,MATCH(G194,'G-7 Rivers Data'!$N$3:$N$7,0)),"")</f>
        <v/>
      </c>
      <c r="M194" s="72"/>
      <c r="N194" s="195"/>
      <c r="O194" s="507" t="str">
        <f t="shared" si="13"/>
        <v/>
      </c>
      <c r="P194" s="521" t="str">
        <f t="shared" si="14"/>
        <v/>
      </c>
      <c r="Q194" s="564" t="str">
        <f>IFERROR(IF(P194="Check Data ⚠","Check Data ⚠",VLOOKUP(P194,'G-4 Temporal multipliers'!$A$4:$C$37,3,FALSE)),"")</f>
        <v/>
      </c>
      <c r="R194" s="498" t="str">
        <f>IF(C194="","",VLOOKUP(C194,'G-7 Rivers Data'!$B$4:$G$8,4,FALSE))</f>
        <v/>
      </c>
      <c r="S194" s="507" t="str">
        <f t="shared" si="15"/>
        <v/>
      </c>
      <c r="T194" s="540" t="str">
        <f t="shared" si="16"/>
        <v/>
      </c>
      <c r="U194" s="499" t="str">
        <f t="shared" si="17"/>
        <v/>
      </c>
      <c r="V194" s="71"/>
      <c r="W194" s="499" t="str">
        <f>IF(V194="","",IF(VLOOKUP(V194,'G-7 Rivers Data'!$AA$4:$AB$7,2,FALSE)=0,"Spatial Data Missing ⚠",VLOOKUP(V194,'G-7 Rivers Data'!$AA$4:$AB$7,2,FALSE)))</f>
        <v/>
      </c>
      <c r="X194" s="155"/>
      <c r="Y194" s="499" t="str">
        <f>IF(X194="","",IF(VLOOKUP(X194,'G-7 Rivers Data'!$AD$4:$AE$8,2,FALSE)=0,"Enrcoachment Data Missing ⚠",VLOOKUP(X194,'G-7 Rivers Data'!$AD$4:$AE$8,2,FALSE)))</f>
        <v/>
      </c>
      <c r="Z194" s="154"/>
      <c r="AA194" s="524" t="str">
        <f>IF(Z194="","",VLOOKUP(Z194,'G-7 Rivers Data'!$AO$4:$AP$7,2,FALSE))</f>
        <v/>
      </c>
      <c r="AB194" s="545" t="str">
        <f t="shared" si="18"/>
        <v/>
      </c>
      <c r="AC194" s="149"/>
      <c r="AD194" s="150"/>
      <c r="AK194" s="31" t="str">
        <f>IFERROR(INDEX('G-7 Rivers Data'!$AZ$3:$AZ$7,MATCH(C194,'G-7 Rivers Data'!$AY$3:$AY$7,0)),"")</f>
        <v/>
      </c>
    </row>
    <row r="195" spans="2:37" ht="13.8" x14ac:dyDescent="0.25">
      <c r="B195" s="141">
        <v>184</v>
      </c>
      <c r="C195" s="666"/>
      <c r="D195" s="172"/>
      <c r="E195" s="498" t="str">
        <f>IF(C195="","",VLOOKUP(C195,'G-7 Rivers Data'!$B$2:$Z$9,2,FALSE))</f>
        <v/>
      </c>
      <c r="F195" s="499" t="str">
        <f>IFERROR(VLOOKUP(E195,'G-7 Rivers Data'!$C$4:$D$8,2,FALSE),"")</f>
        <v/>
      </c>
      <c r="G195" s="145"/>
      <c r="H195" s="499" t="str">
        <f>IFERROR(INDEX('G-7 Rivers Data'!$H$4:$L$8,MATCH(C195,'G-7 Rivers Data'!$B$4:$B$8,0),MATCH(G195,'G-7 Rivers Data'!$H$3:$L$3,0)),"")</f>
        <v/>
      </c>
      <c r="I195" s="145"/>
      <c r="J195" s="540" t="str">
        <f>IF(I195="","",IF(VLOOKUP(I195,'G-7 Rivers Data'!$AG$4:$AI$9,2,FALSE)=0,"Spatial Data Missing ⚠",VLOOKUP(I195,'G-7 Rivers Data'!$AG$4:$AI$9,2,FALSE)))</f>
        <v/>
      </c>
      <c r="K195" s="499" t="str">
        <f>IF(I195="","",IF(VLOOKUP(I195,'G-7 Rivers Data'!$AG$4:$AI$9,3,FALSE)=0,"Spatial Data Missing ⚠",VLOOKUP(I195,'G-7 Rivers Data'!$AG$4:$AI$9,3,FALSE)))</f>
        <v/>
      </c>
      <c r="L195" s="635" t="str">
        <f>IFERROR(INDEX('G-7 Rivers Data'!$O$3:$O$7,MATCH(G195,'G-7 Rivers Data'!$N$3:$N$7,0)),"")</f>
        <v/>
      </c>
      <c r="M195" s="72"/>
      <c r="N195" s="195"/>
      <c r="O195" s="507" t="str">
        <f t="shared" si="13"/>
        <v/>
      </c>
      <c r="P195" s="521" t="str">
        <f t="shared" si="14"/>
        <v/>
      </c>
      <c r="Q195" s="564" t="str">
        <f>IFERROR(IF(P195="Check Data ⚠","Check Data ⚠",VLOOKUP(P195,'G-4 Temporal multipliers'!$A$4:$C$37,3,FALSE)),"")</f>
        <v/>
      </c>
      <c r="R195" s="498" t="str">
        <f>IF(C195="","",VLOOKUP(C195,'G-7 Rivers Data'!$B$4:$G$8,4,FALSE))</f>
        <v/>
      </c>
      <c r="S195" s="507" t="str">
        <f t="shared" si="15"/>
        <v/>
      </c>
      <c r="T195" s="540" t="str">
        <f t="shared" si="16"/>
        <v/>
      </c>
      <c r="U195" s="499" t="str">
        <f t="shared" si="17"/>
        <v/>
      </c>
      <c r="V195" s="71"/>
      <c r="W195" s="499" t="str">
        <f>IF(V195="","",IF(VLOOKUP(V195,'G-7 Rivers Data'!$AA$4:$AB$7,2,FALSE)=0,"Spatial Data Missing ⚠",VLOOKUP(V195,'G-7 Rivers Data'!$AA$4:$AB$7,2,FALSE)))</f>
        <v/>
      </c>
      <c r="X195" s="155"/>
      <c r="Y195" s="499" t="str">
        <f>IF(X195="","",IF(VLOOKUP(X195,'G-7 Rivers Data'!$AD$4:$AE$8,2,FALSE)=0,"Enrcoachment Data Missing ⚠",VLOOKUP(X195,'G-7 Rivers Data'!$AD$4:$AE$8,2,FALSE)))</f>
        <v/>
      </c>
      <c r="Z195" s="154"/>
      <c r="AA195" s="524" t="str">
        <f>IF(Z195="","",VLOOKUP(Z195,'G-7 Rivers Data'!$AO$4:$AP$7,2,FALSE))</f>
        <v/>
      </c>
      <c r="AB195" s="545" t="str">
        <f t="shared" si="18"/>
        <v/>
      </c>
      <c r="AC195" s="149"/>
      <c r="AD195" s="150"/>
      <c r="AK195" s="31" t="str">
        <f>IFERROR(INDEX('G-7 Rivers Data'!$AZ$3:$AZ$7,MATCH(C195,'G-7 Rivers Data'!$AY$3:$AY$7,0)),"")</f>
        <v/>
      </c>
    </row>
    <row r="196" spans="2:37" ht="13.8" x14ac:dyDescent="0.25">
      <c r="B196" s="141">
        <v>185</v>
      </c>
      <c r="C196" s="666"/>
      <c r="D196" s="172"/>
      <c r="E196" s="498" t="str">
        <f>IF(C196="","",VLOOKUP(C196,'G-7 Rivers Data'!$B$2:$Z$9,2,FALSE))</f>
        <v/>
      </c>
      <c r="F196" s="499" t="str">
        <f>IFERROR(VLOOKUP(E196,'G-7 Rivers Data'!$C$4:$D$8,2,FALSE),"")</f>
        <v/>
      </c>
      <c r="G196" s="145"/>
      <c r="H196" s="499" t="str">
        <f>IFERROR(INDEX('G-7 Rivers Data'!$H$4:$L$8,MATCH(C196,'G-7 Rivers Data'!$B$4:$B$8,0),MATCH(G196,'G-7 Rivers Data'!$H$3:$L$3,0)),"")</f>
        <v/>
      </c>
      <c r="I196" s="145"/>
      <c r="J196" s="540" t="str">
        <f>IF(I196="","",IF(VLOOKUP(I196,'G-7 Rivers Data'!$AG$4:$AI$9,2,FALSE)=0,"Spatial Data Missing ⚠",VLOOKUP(I196,'G-7 Rivers Data'!$AG$4:$AI$9,2,FALSE)))</f>
        <v/>
      </c>
      <c r="K196" s="499" t="str">
        <f>IF(I196="","",IF(VLOOKUP(I196,'G-7 Rivers Data'!$AG$4:$AI$9,3,FALSE)=0,"Spatial Data Missing ⚠",VLOOKUP(I196,'G-7 Rivers Data'!$AG$4:$AI$9,3,FALSE)))</f>
        <v/>
      </c>
      <c r="L196" s="635" t="str">
        <f>IFERROR(INDEX('G-7 Rivers Data'!$O$3:$O$7,MATCH(G196,'G-7 Rivers Data'!$N$3:$N$7,0)),"")</f>
        <v/>
      </c>
      <c r="M196" s="72"/>
      <c r="N196" s="195"/>
      <c r="O196" s="507" t="str">
        <f t="shared" si="13"/>
        <v/>
      </c>
      <c r="P196" s="521" t="str">
        <f t="shared" si="14"/>
        <v/>
      </c>
      <c r="Q196" s="564" t="str">
        <f>IFERROR(IF(P196="Check Data ⚠","Check Data ⚠",VLOOKUP(P196,'G-4 Temporal multipliers'!$A$4:$C$37,3,FALSE)),"")</f>
        <v/>
      </c>
      <c r="R196" s="498" t="str">
        <f>IF(C196="","",VLOOKUP(C196,'G-7 Rivers Data'!$B$4:$G$8,4,FALSE))</f>
        <v/>
      </c>
      <c r="S196" s="507" t="str">
        <f t="shared" si="15"/>
        <v/>
      </c>
      <c r="T196" s="540" t="str">
        <f t="shared" si="16"/>
        <v/>
      </c>
      <c r="U196" s="499" t="str">
        <f t="shared" si="17"/>
        <v/>
      </c>
      <c r="V196" s="71"/>
      <c r="W196" s="499" t="str">
        <f>IF(V196="","",IF(VLOOKUP(V196,'G-7 Rivers Data'!$AA$4:$AB$7,2,FALSE)=0,"Spatial Data Missing ⚠",VLOOKUP(V196,'G-7 Rivers Data'!$AA$4:$AB$7,2,FALSE)))</f>
        <v/>
      </c>
      <c r="X196" s="155"/>
      <c r="Y196" s="499" t="str">
        <f>IF(X196="","",IF(VLOOKUP(X196,'G-7 Rivers Data'!$AD$4:$AE$8,2,FALSE)=0,"Enrcoachment Data Missing ⚠",VLOOKUP(X196,'G-7 Rivers Data'!$AD$4:$AE$8,2,FALSE)))</f>
        <v/>
      </c>
      <c r="Z196" s="154"/>
      <c r="AA196" s="524" t="str">
        <f>IF(Z196="","",VLOOKUP(Z196,'G-7 Rivers Data'!$AO$4:$AP$7,2,FALSE))</f>
        <v/>
      </c>
      <c r="AB196" s="545" t="str">
        <f t="shared" si="18"/>
        <v/>
      </c>
      <c r="AC196" s="149"/>
      <c r="AD196" s="150"/>
      <c r="AK196" s="31" t="str">
        <f>IFERROR(INDEX('G-7 Rivers Data'!$AZ$3:$AZ$7,MATCH(C196,'G-7 Rivers Data'!$AY$3:$AY$7,0)),"")</f>
        <v/>
      </c>
    </row>
    <row r="197" spans="2:37" ht="13.8" x14ac:dyDescent="0.25">
      <c r="B197" s="141">
        <v>186</v>
      </c>
      <c r="C197" s="666"/>
      <c r="D197" s="172"/>
      <c r="E197" s="498" t="str">
        <f>IF(C197="","",VLOOKUP(C197,'G-7 Rivers Data'!$B$2:$Z$9,2,FALSE))</f>
        <v/>
      </c>
      <c r="F197" s="499" t="str">
        <f>IFERROR(VLOOKUP(E197,'G-7 Rivers Data'!$C$4:$D$8,2,FALSE),"")</f>
        <v/>
      </c>
      <c r="G197" s="145"/>
      <c r="H197" s="499" t="str">
        <f>IFERROR(INDEX('G-7 Rivers Data'!$H$4:$L$8,MATCH(C197,'G-7 Rivers Data'!$B$4:$B$8,0),MATCH(G197,'G-7 Rivers Data'!$H$3:$L$3,0)),"")</f>
        <v/>
      </c>
      <c r="I197" s="145"/>
      <c r="J197" s="540" t="str">
        <f>IF(I197="","",IF(VLOOKUP(I197,'G-7 Rivers Data'!$AG$4:$AI$9,2,FALSE)=0,"Spatial Data Missing ⚠",VLOOKUP(I197,'G-7 Rivers Data'!$AG$4:$AI$9,2,FALSE)))</f>
        <v/>
      </c>
      <c r="K197" s="499" t="str">
        <f>IF(I197="","",IF(VLOOKUP(I197,'G-7 Rivers Data'!$AG$4:$AI$9,3,FALSE)=0,"Spatial Data Missing ⚠",VLOOKUP(I197,'G-7 Rivers Data'!$AG$4:$AI$9,3,FALSE)))</f>
        <v/>
      </c>
      <c r="L197" s="635" t="str">
        <f>IFERROR(INDEX('G-7 Rivers Data'!$O$3:$O$7,MATCH(G197,'G-7 Rivers Data'!$N$3:$N$7,0)),"")</f>
        <v/>
      </c>
      <c r="M197" s="72"/>
      <c r="N197" s="195"/>
      <c r="O197" s="507" t="str">
        <f t="shared" si="13"/>
        <v/>
      </c>
      <c r="P197" s="521" t="str">
        <f t="shared" si="14"/>
        <v/>
      </c>
      <c r="Q197" s="564" t="str">
        <f>IFERROR(IF(P197="Check Data ⚠","Check Data ⚠",VLOOKUP(P197,'G-4 Temporal multipliers'!$A$4:$C$37,3,FALSE)),"")</f>
        <v/>
      </c>
      <c r="R197" s="498" t="str">
        <f>IF(C197="","",VLOOKUP(C197,'G-7 Rivers Data'!$B$4:$G$8,4,FALSE))</f>
        <v/>
      </c>
      <c r="S197" s="507" t="str">
        <f t="shared" si="15"/>
        <v/>
      </c>
      <c r="T197" s="540" t="str">
        <f t="shared" si="16"/>
        <v/>
      </c>
      <c r="U197" s="499" t="str">
        <f t="shared" si="17"/>
        <v/>
      </c>
      <c r="V197" s="71"/>
      <c r="W197" s="499" t="str">
        <f>IF(V197="","",IF(VLOOKUP(V197,'G-7 Rivers Data'!$AA$4:$AB$7,2,FALSE)=0,"Spatial Data Missing ⚠",VLOOKUP(V197,'G-7 Rivers Data'!$AA$4:$AB$7,2,FALSE)))</f>
        <v/>
      </c>
      <c r="X197" s="155"/>
      <c r="Y197" s="499" t="str">
        <f>IF(X197="","",IF(VLOOKUP(X197,'G-7 Rivers Data'!$AD$4:$AE$8,2,FALSE)=0,"Enrcoachment Data Missing ⚠",VLOOKUP(X197,'G-7 Rivers Data'!$AD$4:$AE$8,2,FALSE)))</f>
        <v/>
      </c>
      <c r="Z197" s="154"/>
      <c r="AA197" s="524" t="str">
        <f>IF(Z197="","",VLOOKUP(Z197,'G-7 Rivers Data'!$AO$4:$AP$7,2,FALSE))</f>
        <v/>
      </c>
      <c r="AB197" s="545" t="str">
        <f t="shared" si="18"/>
        <v/>
      </c>
      <c r="AC197" s="149"/>
      <c r="AD197" s="150"/>
      <c r="AK197" s="31" t="str">
        <f>IFERROR(INDEX('G-7 Rivers Data'!$AZ$3:$AZ$7,MATCH(C197,'G-7 Rivers Data'!$AY$3:$AY$7,0)),"")</f>
        <v/>
      </c>
    </row>
    <row r="198" spans="2:37" ht="13.8" x14ac:dyDescent="0.25">
      <c r="B198" s="141">
        <v>187</v>
      </c>
      <c r="C198" s="666"/>
      <c r="D198" s="172"/>
      <c r="E198" s="498" t="str">
        <f>IF(C198="","",VLOOKUP(C198,'G-7 Rivers Data'!$B$2:$Z$9,2,FALSE))</f>
        <v/>
      </c>
      <c r="F198" s="499" t="str">
        <f>IFERROR(VLOOKUP(E198,'G-7 Rivers Data'!$C$4:$D$8,2,FALSE),"")</f>
        <v/>
      </c>
      <c r="G198" s="145"/>
      <c r="H198" s="499" t="str">
        <f>IFERROR(INDEX('G-7 Rivers Data'!$H$4:$L$8,MATCH(C198,'G-7 Rivers Data'!$B$4:$B$8,0),MATCH(G198,'G-7 Rivers Data'!$H$3:$L$3,0)),"")</f>
        <v/>
      </c>
      <c r="I198" s="145"/>
      <c r="J198" s="540" t="str">
        <f>IF(I198="","",IF(VLOOKUP(I198,'G-7 Rivers Data'!$AG$4:$AI$9,2,FALSE)=0,"Spatial Data Missing ⚠",VLOOKUP(I198,'G-7 Rivers Data'!$AG$4:$AI$9,2,FALSE)))</f>
        <v/>
      </c>
      <c r="K198" s="499" t="str">
        <f>IF(I198="","",IF(VLOOKUP(I198,'G-7 Rivers Data'!$AG$4:$AI$9,3,FALSE)=0,"Spatial Data Missing ⚠",VLOOKUP(I198,'G-7 Rivers Data'!$AG$4:$AI$9,3,FALSE)))</f>
        <v/>
      </c>
      <c r="L198" s="635" t="str">
        <f>IFERROR(INDEX('G-7 Rivers Data'!$O$3:$O$7,MATCH(G198,'G-7 Rivers Data'!$N$3:$N$7,0)),"")</f>
        <v/>
      </c>
      <c r="M198" s="72"/>
      <c r="N198" s="195"/>
      <c r="O198" s="507" t="str">
        <f t="shared" si="13"/>
        <v/>
      </c>
      <c r="P198" s="521" t="str">
        <f t="shared" si="14"/>
        <v/>
      </c>
      <c r="Q198" s="564" t="str">
        <f>IFERROR(IF(P198="Check Data ⚠","Check Data ⚠",VLOOKUP(P198,'G-4 Temporal multipliers'!$A$4:$C$37,3,FALSE)),"")</f>
        <v/>
      </c>
      <c r="R198" s="498" t="str">
        <f>IF(C198="","",VLOOKUP(C198,'G-7 Rivers Data'!$B$4:$G$8,4,FALSE))</f>
        <v/>
      </c>
      <c r="S198" s="507" t="str">
        <f t="shared" si="15"/>
        <v/>
      </c>
      <c r="T198" s="540" t="str">
        <f t="shared" si="16"/>
        <v/>
      </c>
      <c r="U198" s="499" t="str">
        <f t="shared" si="17"/>
        <v/>
      </c>
      <c r="V198" s="71"/>
      <c r="W198" s="499" t="str">
        <f>IF(V198="","",IF(VLOOKUP(V198,'G-7 Rivers Data'!$AA$4:$AB$7,2,FALSE)=0,"Spatial Data Missing ⚠",VLOOKUP(V198,'G-7 Rivers Data'!$AA$4:$AB$7,2,FALSE)))</f>
        <v/>
      </c>
      <c r="X198" s="155"/>
      <c r="Y198" s="499" t="str">
        <f>IF(X198="","",IF(VLOOKUP(X198,'G-7 Rivers Data'!$AD$4:$AE$8,2,FALSE)=0,"Enrcoachment Data Missing ⚠",VLOOKUP(X198,'G-7 Rivers Data'!$AD$4:$AE$8,2,FALSE)))</f>
        <v/>
      </c>
      <c r="Z198" s="154"/>
      <c r="AA198" s="524" t="str">
        <f>IF(Z198="","",VLOOKUP(Z198,'G-7 Rivers Data'!$AO$4:$AP$7,2,FALSE))</f>
        <v/>
      </c>
      <c r="AB198" s="545" t="str">
        <f t="shared" si="18"/>
        <v/>
      </c>
      <c r="AC198" s="149"/>
      <c r="AD198" s="150"/>
      <c r="AK198" s="31" t="str">
        <f>IFERROR(INDEX('G-7 Rivers Data'!$AZ$3:$AZ$7,MATCH(C198,'G-7 Rivers Data'!$AY$3:$AY$7,0)),"")</f>
        <v/>
      </c>
    </row>
    <row r="199" spans="2:37" ht="13.8" x14ac:dyDescent="0.25">
      <c r="B199" s="141">
        <v>188</v>
      </c>
      <c r="C199" s="666"/>
      <c r="D199" s="172"/>
      <c r="E199" s="498" t="str">
        <f>IF(C199="","",VLOOKUP(C199,'G-7 Rivers Data'!$B$2:$Z$9,2,FALSE))</f>
        <v/>
      </c>
      <c r="F199" s="499" t="str">
        <f>IFERROR(VLOOKUP(E199,'G-7 Rivers Data'!$C$4:$D$8,2,FALSE),"")</f>
        <v/>
      </c>
      <c r="G199" s="145"/>
      <c r="H199" s="499" t="str">
        <f>IFERROR(INDEX('G-7 Rivers Data'!$H$4:$L$8,MATCH(C199,'G-7 Rivers Data'!$B$4:$B$8,0),MATCH(G199,'G-7 Rivers Data'!$H$3:$L$3,0)),"")</f>
        <v/>
      </c>
      <c r="I199" s="145"/>
      <c r="J199" s="540" t="str">
        <f>IF(I199="","",IF(VLOOKUP(I199,'G-7 Rivers Data'!$AG$4:$AI$9,2,FALSE)=0,"Spatial Data Missing ⚠",VLOOKUP(I199,'G-7 Rivers Data'!$AG$4:$AI$9,2,FALSE)))</f>
        <v/>
      </c>
      <c r="K199" s="499" t="str">
        <f>IF(I199="","",IF(VLOOKUP(I199,'G-7 Rivers Data'!$AG$4:$AI$9,3,FALSE)=0,"Spatial Data Missing ⚠",VLOOKUP(I199,'G-7 Rivers Data'!$AG$4:$AI$9,3,FALSE)))</f>
        <v/>
      </c>
      <c r="L199" s="635" t="str">
        <f>IFERROR(INDEX('G-7 Rivers Data'!$O$3:$O$7,MATCH(G199,'G-7 Rivers Data'!$N$3:$N$7,0)),"")</f>
        <v/>
      </c>
      <c r="M199" s="72"/>
      <c r="N199" s="195"/>
      <c r="O199" s="507" t="str">
        <f t="shared" si="13"/>
        <v/>
      </c>
      <c r="P199" s="521" t="str">
        <f t="shared" si="14"/>
        <v/>
      </c>
      <c r="Q199" s="564" t="str">
        <f>IFERROR(IF(P199="Check Data ⚠","Check Data ⚠",VLOOKUP(P199,'G-4 Temporal multipliers'!$A$4:$C$37,3,FALSE)),"")</f>
        <v/>
      </c>
      <c r="R199" s="498" t="str">
        <f>IF(C199="","",VLOOKUP(C199,'G-7 Rivers Data'!$B$4:$G$8,4,FALSE))</f>
        <v/>
      </c>
      <c r="S199" s="507" t="str">
        <f t="shared" si="15"/>
        <v/>
      </c>
      <c r="T199" s="540" t="str">
        <f t="shared" si="16"/>
        <v/>
      </c>
      <c r="U199" s="499" t="str">
        <f t="shared" si="17"/>
        <v/>
      </c>
      <c r="V199" s="71"/>
      <c r="W199" s="499" t="str">
        <f>IF(V199="","",IF(VLOOKUP(V199,'G-7 Rivers Data'!$AA$4:$AB$7,2,FALSE)=0,"Spatial Data Missing ⚠",VLOOKUP(V199,'G-7 Rivers Data'!$AA$4:$AB$7,2,FALSE)))</f>
        <v/>
      </c>
      <c r="X199" s="155"/>
      <c r="Y199" s="499" t="str">
        <f>IF(X199="","",IF(VLOOKUP(X199,'G-7 Rivers Data'!$AD$4:$AE$8,2,FALSE)=0,"Enrcoachment Data Missing ⚠",VLOOKUP(X199,'G-7 Rivers Data'!$AD$4:$AE$8,2,FALSE)))</f>
        <v/>
      </c>
      <c r="Z199" s="154"/>
      <c r="AA199" s="524" t="str">
        <f>IF(Z199="","",VLOOKUP(Z199,'G-7 Rivers Data'!$AO$4:$AP$7,2,FALSE))</f>
        <v/>
      </c>
      <c r="AB199" s="545" t="str">
        <f t="shared" si="18"/>
        <v/>
      </c>
      <c r="AC199" s="149"/>
      <c r="AD199" s="150"/>
      <c r="AK199" s="31" t="str">
        <f>IFERROR(INDEX('G-7 Rivers Data'!$AZ$3:$AZ$7,MATCH(C199,'G-7 Rivers Data'!$AY$3:$AY$7,0)),"")</f>
        <v/>
      </c>
    </row>
    <row r="200" spans="2:37" ht="13.8" x14ac:dyDescent="0.25">
      <c r="B200" s="141">
        <v>189</v>
      </c>
      <c r="C200" s="666"/>
      <c r="D200" s="172"/>
      <c r="E200" s="498" t="str">
        <f>IF(C200="","",VLOOKUP(C200,'G-7 Rivers Data'!$B$2:$Z$9,2,FALSE))</f>
        <v/>
      </c>
      <c r="F200" s="499" t="str">
        <f>IFERROR(VLOOKUP(E200,'G-7 Rivers Data'!$C$4:$D$8,2,FALSE),"")</f>
        <v/>
      </c>
      <c r="G200" s="145"/>
      <c r="H200" s="499" t="str">
        <f>IFERROR(INDEX('G-7 Rivers Data'!$H$4:$L$8,MATCH(C200,'G-7 Rivers Data'!$B$4:$B$8,0),MATCH(G200,'G-7 Rivers Data'!$H$3:$L$3,0)),"")</f>
        <v/>
      </c>
      <c r="I200" s="145"/>
      <c r="J200" s="540" t="str">
        <f>IF(I200="","",IF(VLOOKUP(I200,'G-7 Rivers Data'!$AG$4:$AI$9,2,FALSE)=0,"Spatial Data Missing ⚠",VLOOKUP(I200,'G-7 Rivers Data'!$AG$4:$AI$9,2,FALSE)))</f>
        <v/>
      </c>
      <c r="K200" s="499" t="str">
        <f>IF(I200="","",IF(VLOOKUP(I200,'G-7 Rivers Data'!$AG$4:$AI$9,3,FALSE)=0,"Spatial Data Missing ⚠",VLOOKUP(I200,'G-7 Rivers Data'!$AG$4:$AI$9,3,FALSE)))</f>
        <v/>
      </c>
      <c r="L200" s="635" t="str">
        <f>IFERROR(INDEX('G-7 Rivers Data'!$O$3:$O$7,MATCH(G200,'G-7 Rivers Data'!$N$3:$N$7,0)),"")</f>
        <v/>
      </c>
      <c r="M200" s="72"/>
      <c r="N200" s="195"/>
      <c r="O200" s="507" t="str">
        <f t="shared" si="13"/>
        <v/>
      </c>
      <c r="P200" s="521" t="str">
        <f t="shared" si="14"/>
        <v/>
      </c>
      <c r="Q200" s="564" t="str">
        <f>IFERROR(IF(P200="Check Data ⚠","Check Data ⚠",VLOOKUP(P200,'G-4 Temporal multipliers'!$A$4:$C$37,3,FALSE)),"")</f>
        <v/>
      </c>
      <c r="R200" s="498" t="str">
        <f>IF(C200="","",VLOOKUP(C200,'G-7 Rivers Data'!$B$4:$G$8,4,FALSE))</f>
        <v/>
      </c>
      <c r="S200" s="507" t="str">
        <f t="shared" si="15"/>
        <v/>
      </c>
      <c r="T200" s="540" t="str">
        <f t="shared" si="16"/>
        <v/>
      </c>
      <c r="U200" s="499" t="str">
        <f t="shared" si="17"/>
        <v/>
      </c>
      <c r="V200" s="71"/>
      <c r="W200" s="499" t="str">
        <f>IF(V200="","",IF(VLOOKUP(V200,'G-7 Rivers Data'!$AA$4:$AB$7,2,FALSE)=0,"Spatial Data Missing ⚠",VLOOKUP(V200,'G-7 Rivers Data'!$AA$4:$AB$7,2,FALSE)))</f>
        <v/>
      </c>
      <c r="X200" s="155"/>
      <c r="Y200" s="499" t="str">
        <f>IF(X200="","",IF(VLOOKUP(X200,'G-7 Rivers Data'!$AD$4:$AE$8,2,FALSE)=0,"Enrcoachment Data Missing ⚠",VLOOKUP(X200,'G-7 Rivers Data'!$AD$4:$AE$8,2,FALSE)))</f>
        <v/>
      </c>
      <c r="Z200" s="154"/>
      <c r="AA200" s="524" t="str">
        <f>IF(Z200="","",VLOOKUP(Z200,'G-7 Rivers Data'!$AO$4:$AP$7,2,FALSE))</f>
        <v/>
      </c>
      <c r="AB200" s="545" t="str">
        <f t="shared" si="18"/>
        <v/>
      </c>
      <c r="AC200" s="149"/>
      <c r="AD200" s="150"/>
      <c r="AK200" s="31" t="str">
        <f>IFERROR(INDEX('G-7 Rivers Data'!$AZ$3:$AZ$7,MATCH(C200,'G-7 Rivers Data'!$AY$3:$AY$7,0)),"")</f>
        <v/>
      </c>
    </row>
    <row r="201" spans="2:37" ht="13.8" x14ac:dyDescent="0.25">
      <c r="B201" s="141">
        <v>190</v>
      </c>
      <c r="C201" s="666"/>
      <c r="D201" s="172"/>
      <c r="E201" s="498" t="str">
        <f>IF(C201="","",VLOOKUP(C201,'G-7 Rivers Data'!$B$2:$Z$9,2,FALSE))</f>
        <v/>
      </c>
      <c r="F201" s="499" t="str">
        <f>IFERROR(VLOOKUP(E201,'G-7 Rivers Data'!$C$4:$D$8,2,FALSE),"")</f>
        <v/>
      </c>
      <c r="G201" s="145"/>
      <c r="H201" s="499" t="str">
        <f>IFERROR(INDEX('G-7 Rivers Data'!$H$4:$L$8,MATCH(C201,'G-7 Rivers Data'!$B$4:$B$8,0),MATCH(G201,'G-7 Rivers Data'!$H$3:$L$3,0)),"")</f>
        <v/>
      </c>
      <c r="I201" s="145"/>
      <c r="J201" s="540" t="str">
        <f>IF(I201="","",IF(VLOOKUP(I201,'G-7 Rivers Data'!$AG$4:$AI$9,2,FALSE)=0,"Spatial Data Missing ⚠",VLOOKUP(I201,'G-7 Rivers Data'!$AG$4:$AI$9,2,FALSE)))</f>
        <v/>
      </c>
      <c r="K201" s="499" t="str">
        <f>IF(I201="","",IF(VLOOKUP(I201,'G-7 Rivers Data'!$AG$4:$AI$9,3,FALSE)=0,"Spatial Data Missing ⚠",VLOOKUP(I201,'G-7 Rivers Data'!$AG$4:$AI$9,3,FALSE)))</f>
        <v/>
      </c>
      <c r="L201" s="635" t="str">
        <f>IFERROR(INDEX('G-7 Rivers Data'!$O$3:$O$7,MATCH(G201,'G-7 Rivers Data'!$N$3:$N$7,0)),"")</f>
        <v/>
      </c>
      <c r="M201" s="72"/>
      <c r="N201" s="195"/>
      <c r="O201" s="507" t="str">
        <f t="shared" si="13"/>
        <v/>
      </c>
      <c r="P201" s="521" t="str">
        <f t="shared" si="14"/>
        <v/>
      </c>
      <c r="Q201" s="564" t="str">
        <f>IFERROR(IF(P201="Check Data ⚠","Check Data ⚠",VLOOKUP(P201,'G-4 Temporal multipliers'!$A$4:$C$37,3,FALSE)),"")</f>
        <v/>
      </c>
      <c r="R201" s="498" t="str">
        <f>IF(C201="","",VLOOKUP(C201,'G-7 Rivers Data'!$B$4:$G$8,4,FALSE))</f>
        <v/>
      </c>
      <c r="S201" s="507" t="str">
        <f t="shared" si="15"/>
        <v/>
      </c>
      <c r="T201" s="540" t="str">
        <f t="shared" si="16"/>
        <v/>
      </c>
      <c r="U201" s="499" t="str">
        <f t="shared" si="17"/>
        <v/>
      </c>
      <c r="V201" s="71"/>
      <c r="W201" s="499" t="str">
        <f>IF(V201="","",IF(VLOOKUP(V201,'G-7 Rivers Data'!$AA$4:$AB$7,2,FALSE)=0,"Spatial Data Missing ⚠",VLOOKUP(V201,'G-7 Rivers Data'!$AA$4:$AB$7,2,FALSE)))</f>
        <v/>
      </c>
      <c r="X201" s="155"/>
      <c r="Y201" s="499" t="str">
        <f>IF(X201="","",IF(VLOOKUP(X201,'G-7 Rivers Data'!$AD$4:$AE$8,2,FALSE)=0,"Enrcoachment Data Missing ⚠",VLOOKUP(X201,'G-7 Rivers Data'!$AD$4:$AE$8,2,FALSE)))</f>
        <v/>
      </c>
      <c r="Z201" s="154"/>
      <c r="AA201" s="524" t="str">
        <f>IF(Z201="","",VLOOKUP(Z201,'G-7 Rivers Data'!$AO$4:$AP$7,2,FALSE))</f>
        <v/>
      </c>
      <c r="AB201" s="545" t="str">
        <f t="shared" si="18"/>
        <v/>
      </c>
      <c r="AC201" s="149"/>
      <c r="AD201" s="150"/>
      <c r="AK201" s="31" t="str">
        <f>IFERROR(INDEX('G-7 Rivers Data'!$AZ$3:$AZ$7,MATCH(C201,'G-7 Rivers Data'!$AY$3:$AY$7,0)),"")</f>
        <v/>
      </c>
    </row>
    <row r="202" spans="2:37" ht="13.8" x14ac:dyDescent="0.25">
      <c r="B202" s="141">
        <v>191</v>
      </c>
      <c r="C202" s="666"/>
      <c r="D202" s="172"/>
      <c r="E202" s="498" t="str">
        <f>IF(C202="","",VLOOKUP(C202,'G-7 Rivers Data'!$B$2:$Z$9,2,FALSE))</f>
        <v/>
      </c>
      <c r="F202" s="499" t="str">
        <f>IFERROR(VLOOKUP(E202,'G-7 Rivers Data'!$C$4:$D$8,2,FALSE),"")</f>
        <v/>
      </c>
      <c r="G202" s="145"/>
      <c r="H202" s="499" t="str">
        <f>IFERROR(INDEX('G-7 Rivers Data'!$H$4:$L$8,MATCH(C202,'G-7 Rivers Data'!$B$4:$B$8,0),MATCH(G202,'G-7 Rivers Data'!$H$3:$L$3,0)),"")</f>
        <v/>
      </c>
      <c r="I202" s="145"/>
      <c r="J202" s="540" t="str">
        <f>IF(I202="","",IF(VLOOKUP(I202,'G-7 Rivers Data'!$AG$4:$AI$9,2,FALSE)=0,"Spatial Data Missing ⚠",VLOOKUP(I202,'G-7 Rivers Data'!$AG$4:$AI$9,2,FALSE)))</f>
        <v/>
      </c>
      <c r="K202" s="499" t="str">
        <f>IF(I202="","",IF(VLOOKUP(I202,'G-7 Rivers Data'!$AG$4:$AI$9,3,FALSE)=0,"Spatial Data Missing ⚠",VLOOKUP(I202,'G-7 Rivers Data'!$AG$4:$AI$9,3,FALSE)))</f>
        <v/>
      </c>
      <c r="L202" s="635" t="str">
        <f>IFERROR(INDEX('G-7 Rivers Data'!$O$3:$O$7,MATCH(G202,'G-7 Rivers Data'!$N$3:$N$7,0)),"")</f>
        <v/>
      </c>
      <c r="M202" s="72"/>
      <c r="N202" s="195"/>
      <c r="O202" s="507" t="str">
        <f t="shared" si="13"/>
        <v/>
      </c>
      <c r="P202" s="521" t="str">
        <f t="shared" si="14"/>
        <v/>
      </c>
      <c r="Q202" s="564" t="str">
        <f>IFERROR(IF(P202="Check Data ⚠","Check Data ⚠",VLOOKUP(P202,'G-4 Temporal multipliers'!$A$4:$C$37,3,FALSE)),"")</f>
        <v/>
      </c>
      <c r="R202" s="498" t="str">
        <f>IF(C202="","",VLOOKUP(C202,'G-7 Rivers Data'!$B$4:$G$8,4,FALSE))</f>
        <v/>
      </c>
      <c r="S202" s="507" t="str">
        <f t="shared" si="15"/>
        <v/>
      </c>
      <c r="T202" s="540" t="str">
        <f t="shared" si="16"/>
        <v/>
      </c>
      <c r="U202" s="499" t="str">
        <f t="shared" si="17"/>
        <v/>
      </c>
      <c r="V202" s="71"/>
      <c r="W202" s="499" t="str">
        <f>IF(V202="","",IF(VLOOKUP(V202,'G-7 Rivers Data'!$AA$4:$AB$7,2,FALSE)=0,"Spatial Data Missing ⚠",VLOOKUP(V202,'G-7 Rivers Data'!$AA$4:$AB$7,2,FALSE)))</f>
        <v/>
      </c>
      <c r="X202" s="155"/>
      <c r="Y202" s="499" t="str">
        <f>IF(X202="","",IF(VLOOKUP(X202,'G-7 Rivers Data'!$AD$4:$AE$8,2,FALSE)=0,"Enrcoachment Data Missing ⚠",VLOOKUP(X202,'G-7 Rivers Data'!$AD$4:$AE$8,2,FALSE)))</f>
        <v/>
      </c>
      <c r="Z202" s="154"/>
      <c r="AA202" s="524" t="str">
        <f>IF(Z202="","",VLOOKUP(Z202,'G-7 Rivers Data'!$AO$4:$AP$7,2,FALSE))</f>
        <v/>
      </c>
      <c r="AB202" s="545" t="str">
        <f t="shared" si="18"/>
        <v/>
      </c>
      <c r="AC202" s="149"/>
      <c r="AD202" s="150"/>
      <c r="AK202" s="31" t="str">
        <f>IFERROR(INDEX('G-7 Rivers Data'!$AZ$3:$AZ$7,MATCH(C202,'G-7 Rivers Data'!$AY$3:$AY$7,0)),"")</f>
        <v/>
      </c>
    </row>
    <row r="203" spans="2:37" ht="13.8" x14ac:dyDescent="0.25">
      <c r="B203" s="141">
        <v>192</v>
      </c>
      <c r="C203" s="666"/>
      <c r="D203" s="172"/>
      <c r="E203" s="498" t="str">
        <f>IF(C203="","",VLOOKUP(C203,'G-7 Rivers Data'!$B$2:$Z$9,2,FALSE))</f>
        <v/>
      </c>
      <c r="F203" s="499" t="str">
        <f>IFERROR(VLOOKUP(E203,'G-7 Rivers Data'!$C$4:$D$8,2,FALSE),"")</f>
        <v/>
      </c>
      <c r="G203" s="145"/>
      <c r="H203" s="499" t="str">
        <f>IFERROR(INDEX('G-7 Rivers Data'!$H$4:$L$8,MATCH(C203,'G-7 Rivers Data'!$B$4:$B$8,0),MATCH(G203,'G-7 Rivers Data'!$H$3:$L$3,0)),"")</f>
        <v/>
      </c>
      <c r="I203" s="145"/>
      <c r="J203" s="540" t="str">
        <f>IF(I203="","",IF(VLOOKUP(I203,'G-7 Rivers Data'!$AG$4:$AI$9,2,FALSE)=0,"Spatial Data Missing ⚠",VLOOKUP(I203,'G-7 Rivers Data'!$AG$4:$AI$9,2,FALSE)))</f>
        <v/>
      </c>
      <c r="K203" s="499" t="str">
        <f>IF(I203="","",IF(VLOOKUP(I203,'G-7 Rivers Data'!$AG$4:$AI$9,3,FALSE)=0,"Spatial Data Missing ⚠",VLOOKUP(I203,'G-7 Rivers Data'!$AG$4:$AI$9,3,FALSE)))</f>
        <v/>
      </c>
      <c r="L203" s="635" t="str">
        <f>IFERROR(INDEX('G-7 Rivers Data'!$O$3:$O$7,MATCH(G203,'G-7 Rivers Data'!$N$3:$N$7,0)),"")</f>
        <v/>
      </c>
      <c r="M203" s="72"/>
      <c r="N203" s="195"/>
      <c r="O203" s="507" t="str">
        <f t="shared" si="13"/>
        <v/>
      </c>
      <c r="P203" s="521" t="str">
        <f t="shared" si="14"/>
        <v/>
      </c>
      <c r="Q203" s="564" t="str">
        <f>IFERROR(IF(P203="Check Data ⚠","Check Data ⚠",VLOOKUP(P203,'G-4 Temporal multipliers'!$A$4:$C$37,3,FALSE)),"")</f>
        <v/>
      </c>
      <c r="R203" s="498" t="str">
        <f>IF(C203="","",VLOOKUP(C203,'G-7 Rivers Data'!$B$4:$G$8,4,FALSE))</f>
        <v/>
      </c>
      <c r="S203" s="507" t="str">
        <f t="shared" si="15"/>
        <v/>
      </c>
      <c r="T203" s="540" t="str">
        <f t="shared" si="16"/>
        <v/>
      </c>
      <c r="U203" s="499" t="str">
        <f t="shared" si="17"/>
        <v/>
      </c>
      <c r="V203" s="71"/>
      <c r="W203" s="499" t="str">
        <f>IF(V203="","",IF(VLOOKUP(V203,'G-7 Rivers Data'!$AA$4:$AB$7,2,FALSE)=0,"Spatial Data Missing ⚠",VLOOKUP(V203,'G-7 Rivers Data'!$AA$4:$AB$7,2,FALSE)))</f>
        <v/>
      </c>
      <c r="X203" s="155"/>
      <c r="Y203" s="499" t="str">
        <f>IF(X203="","",IF(VLOOKUP(X203,'G-7 Rivers Data'!$AD$4:$AE$8,2,FALSE)=0,"Enrcoachment Data Missing ⚠",VLOOKUP(X203,'G-7 Rivers Data'!$AD$4:$AE$8,2,FALSE)))</f>
        <v/>
      </c>
      <c r="Z203" s="154"/>
      <c r="AA203" s="524" t="str">
        <f>IF(Z203="","",VLOOKUP(Z203,'G-7 Rivers Data'!$AO$4:$AP$7,2,FALSE))</f>
        <v/>
      </c>
      <c r="AB203" s="545" t="str">
        <f t="shared" si="18"/>
        <v/>
      </c>
      <c r="AC203" s="149"/>
      <c r="AD203" s="150"/>
      <c r="AK203" s="31" t="str">
        <f>IFERROR(INDEX('G-7 Rivers Data'!$AZ$3:$AZ$7,MATCH(C203,'G-7 Rivers Data'!$AY$3:$AY$7,0)),"")</f>
        <v/>
      </c>
    </row>
    <row r="204" spans="2:37" ht="13.8" x14ac:dyDescent="0.25">
      <c r="B204" s="141">
        <v>193</v>
      </c>
      <c r="C204" s="666"/>
      <c r="D204" s="172"/>
      <c r="E204" s="498" t="str">
        <f>IF(C204="","",VLOOKUP(C204,'G-7 Rivers Data'!$B$2:$Z$9,2,FALSE))</f>
        <v/>
      </c>
      <c r="F204" s="499" t="str">
        <f>IFERROR(VLOOKUP(E204,'G-7 Rivers Data'!$C$4:$D$8,2,FALSE),"")</f>
        <v/>
      </c>
      <c r="G204" s="145"/>
      <c r="H204" s="499" t="str">
        <f>IFERROR(INDEX('G-7 Rivers Data'!$H$4:$L$8,MATCH(C204,'G-7 Rivers Data'!$B$4:$B$8,0),MATCH(G204,'G-7 Rivers Data'!$H$3:$L$3,0)),"")</f>
        <v/>
      </c>
      <c r="I204" s="145"/>
      <c r="J204" s="540" t="str">
        <f>IF(I204="","",IF(VLOOKUP(I204,'G-7 Rivers Data'!$AG$4:$AI$9,2,FALSE)=0,"Spatial Data Missing ⚠",VLOOKUP(I204,'G-7 Rivers Data'!$AG$4:$AI$9,2,FALSE)))</f>
        <v/>
      </c>
      <c r="K204" s="499" t="str">
        <f>IF(I204="","",IF(VLOOKUP(I204,'G-7 Rivers Data'!$AG$4:$AI$9,3,FALSE)=0,"Spatial Data Missing ⚠",VLOOKUP(I204,'G-7 Rivers Data'!$AG$4:$AI$9,3,FALSE)))</f>
        <v/>
      </c>
      <c r="L204" s="635" t="str">
        <f>IFERROR(INDEX('G-7 Rivers Data'!$O$3:$O$7,MATCH(G204,'G-7 Rivers Data'!$N$3:$N$7,0)),"")</f>
        <v/>
      </c>
      <c r="M204" s="72"/>
      <c r="N204" s="195"/>
      <c r="O204" s="507" t="str">
        <f t="shared" si="13"/>
        <v/>
      </c>
      <c r="P204" s="521" t="str">
        <f t="shared" si="14"/>
        <v/>
      </c>
      <c r="Q204" s="564" t="str">
        <f>IFERROR(IF(P204="Check Data ⚠","Check Data ⚠",VLOOKUP(P204,'G-4 Temporal multipliers'!$A$4:$C$37,3,FALSE)),"")</f>
        <v/>
      </c>
      <c r="R204" s="498" t="str">
        <f>IF(C204="","",VLOOKUP(C204,'G-7 Rivers Data'!$B$4:$G$8,4,FALSE))</f>
        <v/>
      </c>
      <c r="S204" s="507" t="str">
        <f t="shared" si="15"/>
        <v/>
      </c>
      <c r="T204" s="540" t="str">
        <f t="shared" si="16"/>
        <v/>
      </c>
      <c r="U204" s="499" t="str">
        <f t="shared" si="17"/>
        <v/>
      </c>
      <c r="V204" s="71"/>
      <c r="W204" s="499" t="str">
        <f>IF(V204="","",IF(VLOOKUP(V204,'G-7 Rivers Data'!$AA$4:$AB$7,2,FALSE)=0,"Spatial Data Missing ⚠",VLOOKUP(V204,'G-7 Rivers Data'!$AA$4:$AB$7,2,FALSE)))</f>
        <v/>
      </c>
      <c r="X204" s="155"/>
      <c r="Y204" s="499" t="str">
        <f>IF(X204="","",IF(VLOOKUP(X204,'G-7 Rivers Data'!$AD$4:$AE$8,2,FALSE)=0,"Enrcoachment Data Missing ⚠",VLOOKUP(X204,'G-7 Rivers Data'!$AD$4:$AE$8,2,FALSE)))</f>
        <v/>
      </c>
      <c r="Z204" s="154"/>
      <c r="AA204" s="524" t="str">
        <f>IF(Z204="","",VLOOKUP(Z204,'G-7 Rivers Data'!$AO$4:$AP$7,2,FALSE))</f>
        <v/>
      </c>
      <c r="AB204" s="545" t="str">
        <f t="shared" si="18"/>
        <v/>
      </c>
      <c r="AC204" s="149"/>
      <c r="AD204" s="150"/>
      <c r="AK204" s="31" t="str">
        <f>IFERROR(INDEX('G-7 Rivers Data'!$AZ$3:$AZ$7,MATCH(C204,'G-7 Rivers Data'!$AY$3:$AY$7,0)),"")</f>
        <v/>
      </c>
    </row>
    <row r="205" spans="2:37" ht="13.8" x14ac:dyDescent="0.25">
      <c r="B205" s="141">
        <v>194</v>
      </c>
      <c r="C205" s="666"/>
      <c r="D205" s="172"/>
      <c r="E205" s="498" t="str">
        <f>IF(C205="","",VLOOKUP(C205,'G-7 Rivers Data'!$B$2:$Z$9,2,FALSE))</f>
        <v/>
      </c>
      <c r="F205" s="499" t="str">
        <f>IFERROR(VLOOKUP(E205,'G-7 Rivers Data'!$C$4:$D$8,2,FALSE),"")</f>
        <v/>
      </c>
      <c r="G205" s="145"/>
      <c r="H205" s="499" t="str">
        <f>IFERROR(INDEX('G-7 Rivers Data'!$H$4:$L$8,MATCH(C205,'G-7 Rivers Data'!$B$4:$B$8,0),MATCH(G205,'G-7 Rivers Data'!$H$3:$L$3,0)),"")</f>
        <v/>
      </c>
      <c r="I205" s="145"/>
      <c r="J205" s="540" t="str">
        <f>IF(I205="","",IF(VLOOKUP(I205,'G-7 Rivers Data'!$AG$4:$AI$9,2,FALSE)=0,"Spatial Data Missing ⚠",VLOOKUP(I205,'G-7 Rivers Data'!$AG$4:$AI$9,2,FALSE)))</f>
        <v/>
      </c>
      <c r="K205" s="499" t="str">
        <f>IF(I205="","",IF(VLOOKUP(I205,'G-7 Rivers Data'!$AG$4:$AI$9,3,FALSE)=0,"Spatial Data Missing ⚠",VLOOKUP(I205,'G-7 Rivers Data'!$AG$4:$AI$9,3,FALSE)))</f>
        <v/>
      </c>
      <c r="L205" s="635" t="str">
        <f>IFERROR(INDEX('G-7 Rivers Data'!$O$3:$O$7,MATCH(G205,'G-7 Rivers Data'!$N$3:$N$7,0)),"")</f>
        <v/>
      </c>
      <c r="M205" s="72"/>
      <c r="N205" s="195"/>
      <c r="O205" s="507"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1" t="str">
        <f t="shared" ref="P205:P259" si="20">IF(LEFT(O205,5)="Error ▲","Check Data ⚠",IF(L205="","",IF(M205="30+",0,IF(N205="30+","30+ ⚠",IF(L205+N205&gt;30,"30+ ⚠",IF(L205+N205-M205&gt;0,L205+N205-M205,IF(L205-M205&lt;0,0,L205+N205-M205)))))))</f>
        <v/>
      </c>
      <c r="Q205" s="564" t="str">
        <f>IFERROR(IF(P205="Check Data ⚠","Check Data ⚠",VLOOKUP(P205,'G-4 Temporal multipliers'!$A$4:$C$37,3,FALSE)),"")</f>
        <v/>
      </c>
      <c r="R205" s="498" t="str">
        <f>IF(C205="","",VLOOKUP(C205,'G-7 Rivers Data'!$B$4:$G$8,4,FALSE))</f>
        <v/>
      </c>
      <c r="S205" s="507" t="str">
        <f t="shared" ref="S205:S259" si="21">IF(C205="","",IF(P205="Check Data ⚠","Check Data ⚠",IF(G205="","",IF($O205="Check details - Is there evidence that habitat has reached target condition? ⚠","No - Low Difficulty - only applicable if all habitat created before losses ⚠","Standard difficulty applied"))))</f>
        <v/>
      </c>
      <c r="T205" s="540" t="str">
        <f t="shared" ref="T205:T259" si="22">(IF(AND(S205="Standard difficulty applied",L205&gt;M205),R205,IF(AND(S205="No - Low Difficulty - only applicable if all habitat created before losses ⚠",M205&gt;=L205),"Low",R205)))</f>
        <v/>
      </c>
      <c r="U205" s="499" t="str">
        <f t="shared" ref="U205:U259" si="23">IF(C205="","",VLOOKUP(R205,Difficulty,2,FALSE))</f>
        <v/>
      </c>
      <c r="V205" s="71"/>
      <c r="W205" s="499" t="str">
        <f>IF(V205="","",IF(VLOOKUP(V205,'G-7 Rivers Data'!$AA$4:$AB$7,2,FALSE)=0,"Spatial Data Missing ⚠",VLOOKUP(V205,'G-7 Rivers Data'!$AA$4:$AB$7,2,FALSE)))</f>
        <v/>
      </c>
      <c r="X205" s="155"/>
      <c r="Y205" s="499" t="str">
        <f>IF(X205="","",IF(VLOOKUP(X205,'G-7 Rivers Data'!$AD$4:$AE$8,2,FALSE)=0,"Enrcoachment Data Missing ⚠",VLOOKUP(X205,'G-7 Rivers Data'!$AD$4:$AE$8,2,FALSE)))</f>
        <v/>
      </c>
      <c r="Z205" s="154"/>
      <c r="AA205" s="524" t="str">
        <f>IF(Z205="","",VLOOKUP(Z205,'G-7 Rivers Data'!$AO$4:$AP$7,2,FALSE))</f>
        <v/>
      </c>
      <c r="AB205" s="545" t="str">
        <f t="shared" ref="AB205:AB259" si="24">IFERROR(D205*F205*H205*K205*Q205*U205*W205*Y205*AA205,"")</f>
        <v/>
      </c>
      <c r="AC205" s="149"/>
      <c r="AD205" s="150"/>
      <c r="AK205" s="31" t="str">
        <f>IFERROR(INDEX('G-7 Rivers Data'!$AZ$3:$AZ$7,MATCH(C205,'G-7 Rivers Data'!$AY$3:$AY$7,0)),"")</f>
        <v/>
      </c>
    </row>
    <row r="206" spans="2:37" ht="13.8" x14ac:dyDescent="0.25">
      <c r="B206" s="141">
        <v>195</v>
      </c>
      <c r="C206" s="666"/>
      <c r="D206" s="172"/>
      <c r="E206" s="498" t="str">
        <f>IF(C206="","",VLOOKUP(C206,'G-7 Rivers Data'!$B$2:$Z$9,2,FALSE))</f>
        <v/>
      </c>
      <c r="F206" s="499" t="str">
        <f>IFERROR(VLOOKUP(E206,'G-7 Rivers Data'!$C$4:$D$8,2,FALSE),"")</f>
        <v/>
      </c>
      <c r="G206" s="145"/>
      <c r="H206" s="499" t="str">
        <f>IFERROR(INDEX('G-7 Rivers Data'!$H$4:$L$8,MATCH(C206,'G-7 Rivers Data'!$B$4:$B$8,0),MATCH(G206,'G-7 Rivers Data'!$H$3:$L$3,0)),"")</f>
        <v/>
      </c>
      <c r="I206" s="145"/>
      <c r="J206" s="540" t="str">
        <f>IF(I206="","",IF(VLOOKUP(I206,'G-7 Rivers Data'!$AG$4:$AI$9,2,FALSE)=0,"Spatial Data Missing ⚠",VLOOKUP(I206,'G-7 Rivers Data'!$AG$4:$AI$9,2,FALSE)))</f>
        <v/>
      </c>
      <c r="K206" s="499" t="str">
        <f>IF(I206="","",IF(VLOOKUP(I206,'G-7 Rivers Data'!$AG$4:$AI$9,3,FALSE)=0,"Spatial Data Missing ⚠",VLOOKUP(I206,'G-7 Rivers Data'!$AG$4:$AI$9,3,FALSE)))</f>
        <v/>
      </c>
      <c r="L206" s="635" t="str">
        <f>IFERROR(INDEX('G-7 Rivers Data'!$O$3:$O$7,MATCH(G206,'G-7 Rivers Data'!$N$3:$N$7,0)),"")</f>
        <v/>
      </c>
      <c r="M206" s="72"/>
      <c r="N206" s="195"/>
      <c r="O206" s="507" t="str">
        <f t="shared" si="19"/>
        <v/>
      </c>
      <c r="P206" s="521" t="str">
        <f t="shared" si="20"/>
        <v/>
      </c>
      <c r="Q206" s="564" t="str">
        <f>IFERROR(IF(P206="Check Data ⚠","Check Data ⚠",VLOOKUP(P206,'G-4 Temporal multipliers'!$A$4:$C$37,3,FALSE)),"")</f>
        <v/>
      </c>
      <c r="R206" s="498" t="str">
        <f>IF(C206="","",VLOOKUP(C206,'G-7 Rivers Data'!$B$4:$G$8,4,FALSE))</f>
        <v/>
      </c>
      <c r="S206" s="507" t="str">
        <f t="shared" si="21"/>
        <v/>
      </c>
      <c r="T206" s="540" t="str">
        <f t="shared" si="22"/>
        <v/>
      </c>
      <c r="U206" s="499" t="str">
        <f t="shared" si="23"/>
        <v/>
      </c>
      <c r="V206" s="71"/>
      <c r="W206" s="499" t="str">
        <f>IF(V206="","",IF(VLOOKUP(V206,'G-7 Rivers Data'!$AA$4:$AB$7,2,FALSE)=0,"Spatial Data Missing ⚠",VLOOKUP(V206,'G-7 Rivers Data'!$AA$4:$AB$7,2,FALSE)))</f>
        <v/>
      </c>
      <c r="X206" s="155"/>
      <c r="Y206" s="499" t="str">
        <f>IF(X206="","",IF(VLOOKUP(X206,'G-7 Rivers Data'!$AD$4:$AE$8,2,FALSE)=0,"Enrcoachment Data Missing ⚠",VLOOKUP(X206,'G-7 Rivers Data'!$AD$4:$AE$8,2,FALSE)))</f>
        <v/>
      </c>
      <c r="Z206" s="154"/>
      <c r="AA206" s="524" t="str">
        <f>IF(Z206="","",VLOOKUP(Z206,'G-7 Rivers Data'!$AO$4:$AP$7,2,FALSE))</f>
        <v/>
      </c>
      <c r="AB206" s="545" t="str">
        <f t="shared" si="24"/>
        <v/>
      </c>
      <c r="AC206" s="149"/>
      <c r="AD206" s="150"/>
      <c r="AK206" s="31" t="str">
        <f>IFERROR(INDEX('G-7 Rivers Data'!$AZ$3:$AZ$7,MATCH(C206,'G-7 Rivers Data'!$AY$3:$AY$7,0)),"")</f>
        <v/>
      </c>
    </row>
    <row r="207" spans="2:37" ht="13.8" x14ac:dyDescent="0.25">
      <c r="B207" s="141">
        <v>196</v>
      </c>
      <c r="C207" s="666"/>
      <c r="D207" s="172"/>
      <c r="E207" s="498" t="str">
        <f>IF(C207="","",VLOOKUP(C207,'G-7 Rivers Data'!$B$2:$Z$9,2,FALSE))</f>
        <v/>
      </c>
      <c r="F207" s="499" t="str">
        <f>IFERROR(VLOOKUP(E207,'G-7 Rivers Data'!$C$4:$D$8,2,FALSE),"")</f>
        <v/>
      </c>
      <c r="G207" s="145"/>
      <c r="H207" s="499" t="str">
        <f>IFERROR(INDEX('G-7 Rivers Data'!$H$4:$L$8,MATCH(C207,'G-7 Rivers Data'!$B$4:$B$8,0),MATCH(G207,'G-7 Rivers Data'!$H$3:$L$3,0)),"")</f>
        <v/>
      </c>
      <c r="I207" s="145"/>
      <c r="J207" s="540" t="str">
        <f>IF(I207="","",IF(VLOOKUP(I207,'G-7 Rivers Data'!$AG$4:$AI$9,2,FALSE)=0,"Spatial Data Missing ⚠",VLOOKUP(I207,'G-7 Rivers Data'!$AG$4:$AI$9,2,FALSE)))</f>
        <v/>
      </c>
      <c r="K207" s="499" t="str">
        <f>IF(I207="","",IF(VLOOKUP(I207,'G-7 Rivers Data'!$AG$4:$AI$9,3,FALSE)=0,"Spatial Data Missing ⚠",VLOOKUP(I207,'G-7 Rivers Data'!$AG$4:$AI$9,3,FALSE)))</f>
        <v/>
      </c>
      <c r="L207" s="635" t="str">
        <f>IFERROR(INDEX('G-7 Rivers Data'!$O$3:$O$7,MATCH(G207,'G-7 Rivers Data'!$N$3:$N$7,0)),"")</f>
        <v/>
      </c>
      <c r="M207" s="72"/>
      <c r="N207" s="195"/>
      <c r="O207" s="507" t="str">
        <f t="shared" si="19"/>
        <v/>
      </c>
      <c r="P207" s="521" t="str">
        <f t="shared" si="20"/>
        <v/>
      </c>
      <c r="Q207" s="564" t="str">
        <f>IFERROR(IF(P207="Check Data ⚠","Check Data ⚠",VLOOKUP(P207,'G-4 Temporal multipliers'!$A$4:$C$37,3,FALSE)),"")</f>
        <v/>
      </c>
      <c r="R207" s="498" t="str">
        <f>IF(C207="","",VLOOKUP(C207,'G-7 Rivers Data'!$B$4:$G$8,4,FALSE))</f>
        <v/>
      </c>
      <c r="S207" s="507" t="str">
        <f t="shared" si="21"/>
        <v/>
      </c>
      <c r="T207" s="540" t="str">
        <f t="shared" si="22"/>
        <v/>
      </c>
      <c r="U207" s="499" t="str">
        <f t="shared" si="23"/>
        <v/>
      </c>
      <c r="V207" s="71"/>
      <c r="W207" s="499" t="str">
        <f>IF(V207="","",IF(VLOOKUP(V207,'G-7 Rivers Data'!$AA$4:$AB$7,2,FALSE)=0,"Spatial Data Missing ⚠",VLOOKUP(V207,'G-7 Rivers Data'!$AA$4:$AB$7,2,FALSE)))</f>
        <v/>
      </c>
      <c r="X207" s="155"/>
      <c r="Y207" s="499" t="str">
        <f>IF(X207="","",IF(VLOOKUP(X207,'G-7 Rivers Data'!$AD$4:$AE$8,2,FALSE)=0,"Enrcoachment Data Missing ⚠",VLOOKUP(X207,'G-7 Rivers Data'!$AD$4:$AE$8,2,FALSE)))</f>
        <v/>
      </c>
      <c r="Z207" s="154"/>
      <c r="AA207" s="524" t="str">
        <f>IF(Z207="","",VLOOKUP(Z207,'G-7 Rivers Data'!$AO$4:$AP$7,2,FALSE))</f>
        <v/>
      </c>
      <c r="AB207" s="545" t="str">
        <f t="shared" si="24"/>
        <v/>
      </c>
      <c r="AC207" s="149"/>
      <c r="AD207" s="150"/>
      <c r="AK207" s="31" t="str">
        <f>IFERROR(INDEX('G-7 Rivers Data'!$AZ$3:$AZ$7,MATCH(C207,'G-7 Rivers Data'!$AY$3:$AY$7,0)),"")</f>
        <v/>
      </c>
    </row>
    <row r="208" spans="2:37" ht="13.8" x14ac:dyDescent="0.25">
      <c r="B208" s="141">
        <v>197</v>
      </c>
      <c r="C208" s="666"/>
      <c r="D208" s="172"/>
      <c r="E208" s="498" t="str">
        <f>IF(C208="","",VLOOKUP(C208,'G-7 Rivers Data'!$B$2:$Z$9,2,FALSE))</f>
        <v/>
      </c>
      <c r="F208" s="499" t="str">
        <f>IFERROR(VLOOKUP(E208,'G-7 Rivers Data'!$C$4:$D$8,2,FALSE),"")</f>
        <v/>
      </c>
      <c r="G208" s="145"/>
      <c r="H208" s="499" t="str">
        <f>IFERROR(INDEX('G-7 Rivers Data'!$H$4:$L$8,MATCH(C208,'G-7 Rivers Data'!$B$4:$B$8,0),MATCH(G208,'G-7 Rivers Data'!$H$3:$L$3,0)),"")</f>
        <v/>
      </c>
      <c r="I208" s="145"/>
      <c r="J208" s="540" t="str">
        <f>IF(I208="","",IF(VLOOKUP(I208,'G-7 Rivers Data'!$AG$4:$AI$9,2,FALSE)=0,"Spatial Data Missing ⚠",VLOOKUP(I208,'G-7 Rivers Data'!$AG$4:$AI$9,2,FALSE)))</f>
        <v/>
      </c>
      <c r="K208" s="499" t="str">
        <f>IF(I208="","",IF(VLOOKUP(I208,'G-7 Rivers Data'!$AG$4:$AI$9,3,FALSE)=0,"Spatial Data Missing ⚠",VLOOKUP(I208,'G-7 Rivers Data'!$AG$4:$AI$9,3,FALSE)))</f>
        <v/>
      </c>
      <c r="L208" s="635" t="str">
        <f>IFERROR(INDEX('G-7 Rivers Data'!$O$3:$O$7,MATCH(G208,'G-7 Rivers Data'!$N$3:$N$7,0)),"")</f>
        <v/>
      </c>
      <c r="M208" s="72"/>
      <c r="N208" s="195"/>
      <c r="O208" s="507" t="str">
        <f t="shared" si="19"/>
        <v/>
      </c>
      <c r="P208" s="521" t="str">
        <f t="shared" si="20"/>
        <v/>
      </c>
      <c r="Q208" s="564" t="str">
        <f>IFERROR(IF(P208="Check Data ⚠","Check Data ⚠",VLOOKUP(P208,'G-4 Temporal multipliers'!$A$4:$C$37,3,FALSE)),"")</f>
        <v/>
      </c>
      <c r="R208" s="498" t="str">
        <f>IF(C208="","",VLOOKUP(C208,'G-7 Rivers Data'!$B$4:$G$8,4,FALSE))</f>
        <v/>
      </c>
      <c r="S208" s="507" t="str">
        <f t="shared" si="21"/>
        <v/>
      </c>
      <c r="T208" s="540" t="str">
        <f t="shared" si="22"/>
        <v/>
      </c>
      <c r="U208" s="499" t="str">
        <f t="shared" si="23"/>
        <v/>
      </c>
      <c r="V208" s="71"/>
      <c r="W208" s="499" t="str">
        <f>IF(V208="","",IF(VLOOKUP(V208,'G-7 Rivers Data'!$AA$4:$AB$7,2,FALSE)=0,"Spatial Data Missing ⚠",VLOOKUP(V208,'G-7 Rivers Data'!$AA$4:$AB$7,2,FALSE)))</f>
        <v/>
      </c>
      <c r="X208" s="155"/>
      <c r="Y208" s="499" t="str">
        <f>IF(X208="","",IF(VLOOKUP(X208,'G-7 Rivers Data'!$AD$4:$AE$8,2,FALSE)=0,"Enrcoachment Data Missing ⚠",VLOOKUP(X208,'G-7 Rivers Data'!$AD$4:$AE$8,2,FALSE)))</f>
        <v/>
      </c>
      <c r="Z208" s="154"/>
      <c r="AA208" s="524" t="str">
        <f>IF(Z208="","",VLOOKUP(Z208,'G-7 Rivers Data'!$AO$4:$AP$7,2,FALSE))</f>
        <v/>
      </c>
      <c r="AB208" s="545" t="str">
        <f t="shared" si="24"/>
        <v/>
      </c>
      <c r="AC208" s="149"/>
      <c r="AD208" s="150"/>
      <c r="AK208" s="31" t="str">
        <f>IFERROR(INDEX('G-7 Rivers Data'!$AZ$3:$AZ$7,MATCH(C208,'G-7 Rivers Data'!$AY$3:$AY$7,0)),"")</f>
        <v/>
      </c>
    </row>
    <row r="209" spans="2:37" ht="13.8" x14ac:dyDescent="0.25">
      <c r="B209" s="141">
        <v>198</v>
      </c>
      <c r="C209" s="666"/>
      <c r="D209" s="172"/>
      <c r="E209" s="498" t="str">
        <f>IF(C209="","",VLOOKUP(C209,'G-7 Rivers Data'!$B$2:$Z$9,2,FALSE))</f>
        <v/>
      </c>
      <c r="F209" s="499" t="str">
        <f>IFERROR(VLOOKUP(E209,'G-7 Rivers Data'!$C$4:$D$8,2,FALSE),"")</f>
        <v/>
      </c>
      <c r="G209" s="145"/>
      <c r="H209" s="499" t="str">
        <f>IFERROR(INDEX('G-7 Rivers Data'!$H$4:$L$8,MATCH(C209,'G-7 Rivers Data'!$B$4:$B$8,0),MATCH(G209,'G-7 Rivers Data'!$H$3:$L$3,0)),"")</f>
        <v/>
      </c>
      <c r="I209" s="145"/>
      <c r="J209" s="540" t="str">
        <f>IF(I209="","",IF(VLOOKUP(I209,'G-7 Rivers Data'!$AG$4:$AI$9,2,FALSE)=0,"Spatial Data Missing ⚠",VLOOKUP(I209,'G-7 Rivers Data'!$AG$4:$AI$9,2,FALSE)))</f>
        <v/>
      </c>
      <c r="K209" s="499" t="str">
        <f>IF(I209="","",IF(VLOOKUP(I209,'G-7 Rivers Data'!$AG$4:$AI$9,3,FALSE)=0,"Spatial Data Missing ⚠",VLOOKUP(I209,'G-7 Rivers Data'!$AG$4:$AI$9,3,FALSE)))</f>
        <v/>
      </c>
      <c r="L209" s="635" t="str">
        <f>IFERROR(INDEX('G-7 Rivers Data'!$O$3:$O$7,MATCH(G209,'G-7 Rivers Data'!$N$3:$N$7,0)),"")</f>
        <v/>
      </c>
      <c r="M209" s="72"/>
      <c r="N209" s="195"/>
      <c r="O209" s="507" t="str">
        <f t="shared" si="19"/>
        <v/>
      </c>
      <c r="P209" s="521" t="str">
        <f t="shared" si="20"/>
        <v/>
      </c>
      <c r="Q209" s="564" t="str">
        <f>IFERROR(IF(P209="Check Data ⚠","Check Data ⚠",VLOOKUP(P209,'G-4 Temporal multipliers'!$A$4:$C$37,3,FALSE)),"")</f>
        <v/>
      </c>
      <c r="R209" s="498" t="str">
        <f>IF(C209="","",VLOOKUP(C209,'G-7 Rivers Data'!$B$4:$G$8,4,FALSE))</f>
        <v/>
      </c>
      <c r="S209" s="507" t="str">
        <f t="shared" si="21"/>
        <v/>
      </c>
      <c r="T209" s="540" t="str">
        <f t="shared" si="22"/>
        <v/>
      </c>
      <c r="U209" s="499" t="str">
        <f t="shared" si="23"/>
        <v/>
      </c>
      <c r="V209" s="71"/>
      <c r="W209" s="499" t="str">
        <f>IF(V209="","",IF(VLOOKUP(V209,'G-7 Rivers Data'!$AA$4:$AB$7,2,FALSE)=0,"Spatial Data Missing ⚠",VLOOKUP(V209,'G-7 Rivers Data'!$AA$4:$AB$7,2,FALSE)))</f>
        <v/>
      </c>
      <c r="X209" s="155"/>
      <c r="Y209" s="499" t="str">
        <f>IF(X209="","",IF(VLOOKUP(X209,'G-7 Rivers Data'!$AD$4:$AE$8,2,FALSE)=0,"Enrcoachment Data Missing ⚠",VLOOKUP(X209,'G-7 Rivers Data'!$AD$4:$AE$8,2,FALSE)))</f>
        <v/>
      </c>
      <c r="Z209" s="154"/>
      <c r="AA209" s="524" t="str">
        <f>IF(Z209="","",VLOOKUP(Z209,'G-7 Rivers Data'!$AO$4:$AP$7,2,FALSE))</f>
        <v/>
      </c>
      <c r="AB209" s="545" t="str">
        <f t="shared" si="24"/>
        <v/>
      </c>
      <c r="AC209" s="149"/>
      <c r="AD209" s="150"/>
      <c r="AK209" s="31" t="str">
        <f>IFERROR(INDEX('G-7 Rivers Data'!$AZ$3:$AZ$7,MATCH(C209,'G-7 Rivers Data'!$AY$3:$AY$7,0)),"")</f>
        <v/>
      </c>
    </row>
    <row r="210" spans="2:37" ht="13.8" x14ac:dyDescent="0.25">
      <c r="B210" s="141">
        <v>199</v>
      </c>
      <c r="C210" s="666"/>
      <c r="D210" s="172"/>
      <c r="E210" s="498" t="str">
        <f>IF(C210="","",VLOOKUP(C210,'G-7 Rivers Data'!$B$2:$Z$9,2,FALSE))</f>
        <v/>
      </c>
      <c r="F210" s="499" t="str">
        <f>IFERROR(VLOOKUP(E210,'G-7 Rivers Data'!$C$4:$D$8,2,FALSE),"")</f>
        <v/>
      </c>
      <c r="G210" s="145"/>
      <c r="H210" s="499" t="str">
        <f>IFERROR(INDEX('G-7 Rivers Data'!$H$4:$L$8,MATCH(C210,'G-7 Rivers Data'!$B$4:$B$8,0),MATCH(G210,'G-7 Rivers Data'!$H$3:$L$3,0)),"")</f>
        <v/>
      </c>
      <c r="I210" s="145"/>
      <c r="J210" s="540" t="str">
        <f>IF(I210="","",IF(VLOOKUP(I210,'G-7 Rivers Data'!$AG$4:$AI$9,2,FALSE)=0,"Spatial Data Missing ⚠",VLOOKUP(I210,'G-7 Rivers Data'!$AG$4:$AI$9,2,FALSE)))</f>
        <v/>
      </c>
      <c r="K210" s="499" t="str">
        <f>IF(I210="","",IF(VLOOKUP(I210,'G-7 Rivers Data'!$AG$4:$AI$9,3,FALSE)=0,"Spatial Data Missing ⚠",VLOOKUP(I210,'G-7 Rivers Data'!$AG$4:$AI$9,3,FALSE)))</f>
        <v/>
      </c>
      <c r="L210" s="635" t="str">
        <f>IFERROR(INDEX('G-7 Rivers Data'!$O$3:$O$7,MATCH(G210,'G-7 Rivers Data'!$N$3:$N$7,0)),"")</f>
        <v/>
      </c>
      <c r="M210" s="72"/>
      <c r="N210" s="195"/>
      <c r="O210" s="507" t="str">
        <f t="shared" si="19"/>
        <v/>
      </c>
      <c r="P210" s="521" t="str">
        <f t="shared" si="20"/>
        <v/>
      </c>
      <c r="Q210" s="564" t="str">
        <f>IFERROR(IF(P210="Check Data ⚠","Check Data ⚠",VLOOKUP(P210,'G-4 Temporal multipliers'!$A$4:$C$37,3,FALSE)),"")</f>
        <v/>
      </c>
      <c r="R210" s="498" t="str">
        <f>IF(C210="","",VLOOKUP(C210,'G-7 Rivers Data'!$B$4:$G$8,4,FALSE))</f>
        <v/>
      </c>
      <c r="S210" s="507" t="str">
        <f t="shared" si="21"/>
        <v/>
      </c>
      <c r="T210" s="540" t="str">
        <f t="shared" si="22"/>
        <v/>
      </c>
      <c r="U210" s="499" t="str">
        <f t="shared" si="23"/>
        <v/>
      </c>
      <c r="V210" s="71"/>
      <c r="W210" s="499" t="str">
        <f>IF(V210="","",IF(VLOOKUP(V210,'G-7 Rivers Data'!$AA$4:$AB$7,2,FALSE)=0,"Spatial Data Missing ⚠",VLOOKUP(V210,'G-7 Rivers Data'!$AA$4:$AB$7,2,FALSE)))</f>
        <v/>
      </c>
      <c r="X210" s="155"/>
      <c r="Y210" s="499" t="str">
        <f>IF(X210="","",IF(VLOOKUP(X210,'G-7 Rivers Data'!$AD$4:$AE$8,2,FALSE)=0,"Enrcoachment Data Missing ⚠",VLOOKUP(X210,'G-7 Rivers Data'!$AD$4:$AE$8,2,FALSE)))</f>
        <v/>
      </c>
      <c r="Z210" s="154"/>
      <c r="AA210" s="524" t="str">
        <f>IF(Z210="","",VLOOKUP(Z210,'G-7 Rivers Data'!$AO$4:$AP$7,2,FALSE))</f>
        <v/>
      </c>
      <c r="AB210" s="545" t="str">
        <f t="shared" si="24"/>
        <v/>
      </c>
      <c r="AC210" s="149"/>
      <c r="AD210" s="150"/>
      <c r="AK210" s="31" t="str">
        <f>IFERROR(INDEX('G-7 Rivers Data'!$AZ$3:$AZ$7,MATCH(C210,'G-7 Rivers Data'!$AY$3:$AY$7,0)),"")</f>
        <v/>
      </c>
    </row>
    <row r="211" spans="2:37" ht="13.8" x14ac:dyDescent="0.25">
      <c r="B211" s="141">
        <v>200</v>
      </c>
      <c r="C211" s="666"/>
      <c r="D211" s="172"/>
      <c r="E211" s="498" t="str">
        <f>IF(C211="","",VLOOKUP(C211,'G-7 Rivers Data'!$B$2:$Z$9,2,FALSE))</f>
        <v/>
      </c>
      <c r="F211" s="499" t="str">
        <f>IFERROR(VLOOKUP(E211,'G-7 Rivers Data'!$C$4:$D$8,2,FALSE),"")</f>
        <v/>
      </c>
      <c r="G211" s="145"/>
      <c r="H211" s="499" t="str">
        <f>IFERROR(INDEX('G-7 Rivers Data'!$H$4:$L$8,MATCH(C211,'G-7 Rivers Data'!$B$4:$B$8,0),MATCH(G211,'G-7 Rivers Data'!$H$3:$L$3,0)),"")</f>
        <v/>
      </c>
      <c r="I211" s="145"/>
      <c r="J211" s="540" t="str">
        <f>IF(I211="","",IF(VLOOKUP(I211,'G-7 Rivers Data'!$AG$4:$AI$9,2,FALSE)=0,"Spatial Data Missing ⚠",VLOOKUP(I211,'G-7 Rivers Data'!$AG$4:$AI$9,2,FALSE)))</f>
        <v/>
      </c>
      <c r="K211" s="499" t="str">
        <f>IF(I211="","",IF(VLOOKUP(I211,'G-7 Rivers Data'!$AG$4:$AI$9,3,FALSE)=0,"Spatial Data Missing ⚠",VLOOKUP(I211,'G-7 Rivers Data'!$AG$4:$AI$9,3,FALSE)))</f>
        <v/>
      </c>
      <c r="L211" s="635" t="str">
        <f>IFERROR(INDEX('G-7 Rivers Data'!$O$3:$O$7,MATCH(G211,'G-7 Rivers Data'!$N$3:$N$7,0)),"")</f>
        <v/>
      </c>
      <c r="M211" s="72"/>
      <c r="N211" s="195"/>
      <c r="O211" s="507" t="str">
        <f t="shared" si="19"/>
        <v/>
      </c>
      <c r="P211" s="521" t="str">
        <f t="shared" si="20"/>
        <v/>
      </c>
      <c r="Q211" s="564" t="str">
        <f>IFERROR(IF(P211="Check Data ⚠","Check Data ⚠",VLOOKUP(P211,'G-4 Temporal multipliers'!$A$4:$C$37,3,FALSE)),"")</f>
        <v/>
      </c>
      <c r="R211" s="498" t="str">
        <f>IF(C211="","",VLOOKUP(C211,'G-7 Rivers Data'!$B$4:$G$8,4,FALSE))</f>
        <v/>
      </c>
      <c r="S211" s="507" t="str">
        <f t="shared" si="21"/>
        <v/>
      </c>
      <c r="T211" s="540" t="str">
        <f t="shared" si="22"/>
        <v/>
      </c>
      <c r="U211" s="499" t="str">
        <f t="shared" si="23"/>
        <v/>
      </c>
      <c r="V211" s="71"/>
      <c r="W211" s="499" t="str">
        <f>IF(V211="","",IF(VLOOKUP(V211,'G-7 Rivers Data'!$AA$4:$AB$7,2,FALSE)=0,"Spatial Data Missing ⚠",VLOOKUP(V211,'G-7 Rivers Data'!$AA$4:$AB$7,2,FALSE)))</f>
        <v/>
      </c>
      <c r="X211" s="155"/>
      <c r="Y211" s="499" t="str">
        <f>IF(X211="","",IF(VLOOKUP(X211,'G-7 Rivers Data'!$AD$4:$AE$8,2,FALSE)=0,"Enrcoachment Data Missing ⚠",VLOOKUP(X211,'G-7 Rivers Data'!$AD$4:$AE$8,2,FALSE)))</f>
        <v/>
      </c>
      <c r="Z211" s="154"/>
      <c r="AA211" s="524" t="str">
        <f>IF(Z211="","",VLOOKUP(Z211,'G-7 Rivers Data'!$AO$4:$AP$7,2,FALSE))</f>
        <v/>
      </c>
      <c r="AB211" s="545" t="str">
        <f t="shared" si="24"/>
        <v/>
      </c>
      <c r="AC211" s="149"/>
      <c r="AD211" s="150"/>
      <c r="AK211" s="31" t="str">
        <f>IFERROR(INDEX('G-7 Rivers Data'!$AZ$3:$AZ$7,MATCH(C211,'G-7 Rivers Data'!$AY$3:$AY$7,0)),"")</f>
        <v/>
      </c>
    </row>
    <row r="212" spans="2:37" ht="13.8" x14ac:dyDescent="0.25">
      <c r="B212" s="141">
        <v>201</v>
      </c>
      <c r="C212" s="666"/>
      <c r="D212" s="172"/>
      <c r="E212" s="498" t="str">
        <f>IF(C212="","",VLOOKUP(C212,'G-7 Rivers Data'!$B$2:$Z$9,2,FALSE))</f>
        <v/>
      </c>
      <c r="F212" s="499" t="str">
        <f>IFERROR(VLOOKUP(E212,'G-7 Rivers Data'!$C$4:$D$8,2,FALSE),"")</f>
        <v/>
      </c>
      <c r="G212" s="145"/>
      <c r="H212" s="499" t="str">
        <f>IFERROR(INDEX('G-7 Rivers Data'!$H$4:$L$8,MATCH(C212,'G-7 Rivers Data'!$B$4:$B$8,0),MATCH(G212,'G-7 Rivers Data'!$H$3:$L$3,0)),"")</f>
        <v/>
      </c>
      <c r="I212" s="145"/>
      <c r="J212" s="540" t="str">
        <f>IF(I212="","",IF(VLOOKUP(I212,'G-7 Rivers Data'!$AG$4:$AI$9,2,FALSE)=0,"Spatial Data Missing ⚠",VLOOKUP(I212,'G-7 Rivers Data'!$AG$4:$AI$9,2,FALSE)))</f>
        <v/>
      </c>
      <c r="K212" s="499" t="str">
        <f>IF(I212="","",IF(VLOOKUP(I212,'G-7 Rivers Data'!$AG$4:$AI$9,3,FALSE)=0,"Spatial Data Missing ⚠",VLOOKUP(I212,'G-7 Rivers Data'!$AG$4:$AI$9,3,FALSE)))</f>
        <v/>
      </c>
      <c r="L212" s="635" t="str">
        <f>IFERROR(INDEX('G-7 Rivers Data'!$O$3:$O$7,MATCH(G212,'G-7 Rivers Data'!$N$3:$N$7,0)),"")</f>
        <v/>
      </c>
      <c r="M212" s="72"/>
      <c r="N212" s="195"/>
      <c r="O212" s="507" t="str">
        <f t="shared" si="19"/>
        <v/>
      </c>
      <c r="P212" s="521" t="str">
        <f t="shared" si="20"/>
        <v/>
      </c>
      <c r="Q212" s="564" t="str">
        <f>IFERROR(IF(P212="Check Data ⚠","Check Data ⚠",VLOOKUP(P212,'G-4 Temporal multipliers'!$A$4:$C$37,3,FALSE)),"")</f>
        <v/>
      </c>
      <c r="R212" s="498" t="str">
        <f>IF(C212="","",VLOOKUP(C212,'G-7 Rivers Data'!$B$4:$G$8,4,FALSE))</f>
        <v/>
      </c>
      <c r="S212" s="507" t="str">
        <f t="shared" si="21"/>
        <v/>
      </c>
      <c r="T212" s="540" t="str">
        <f t="shared" si="22"/>
        <v/>
      </c>
      <c r="U212" s="499" t="str">
        <f t="shared" si="23"/>
        <v/>
      </c>
      <c r="V212" s="71"/>
      <c r="W212" s="499" t="str">
        <f>IF(V212="","",IF(VLOOKUP(V212,'G-7 Rivers Data'!$AA$4:$AB$7,2,FALSE)=0,"Spatial Data Missing ⚠",VLOOKUP(V212,'G-7 Rivers Data'!$AA$4:$AB$7,2,FALSE)))</f>
        <v/>
      </c>
      <c r="X212" s="155"/>
      <c r="Y212" s="499" t="str">
        <f>IF(X212="","",IF(VLOOKUP(X212,'G-7 Rivers Data'!$AD$4:$AE$8,2,FALSE)=0,"Enrcoachment Data Missing ⚠",VLOOKUP(X212,'G-7 Rivers Data'!$AD$4:$AE$8,2,FALSE)))</f>
        <v/>
      </c>
      <c r="Z212" s="154"/>
      <c r="AA212" s="524" t="str">
        <f>IF(Z212="","",VLOOKUP(Z212,'G-7 Rivers Data'!$AO$4:$AP$7,2,FALSE))</f>
        <v/>
      </c>
      <c r="AB212" s="545" t="str">
        <f t="shared" si="24"/>
        <v/>
      </c>
      <c r="AC212" s="149"/>
      <c r="AD212" s="150"/>
      <c r="AK212" s="31" t="str">
        <f>IFERROR(INDEX('G-7 Rivers Data'!$AZ$3:$AZ$7,MATCH(C212,'G-7 Rivers Data'!$AY$3:$AY$7,0)),"")</f>
        <v/>
      </c>
    </row>
    <row r="213" spans="2:37" ht="13.8" x14ac:dyDescent="0.25">
      <c r="B213" s="141">
        <v>202</v>
      </c>
      <c r="C213" s="666"/>
      <c r="D213" s="172"/>
      <c r="E213" s="498" t="str">
        <f>IF(C213="","",VLOOKUP(C213,'G-7 Rivers Data'!$B$2:$Z$9,2,FALSE))</f>
        <v/>
      </c>
      <c r="F213" s="499" t="str">
        <f>IFERROR(VLOOKUP(E213,'G-7 Rivers Data'!$C$4:$D$8,2,FALSE),"")</f>
        <v/>
      </c>
      <c r="G213" s="145"/>
      <c r="H213" s="499" t="str">
        <f>IFERROR(INDEX('G-7 Rivers Data'!$H$4:$L$8,MATCH(C213,'G-7 Rivers Data'!$B$4:$B$8,0),MATCH(G213,'G-7 Rivers Data'!$H$3:$L$3,0)),"")</f>
        <v/>
      </c>
      <c r="I213" s="145"/>
      <c r="J213" s="540" t="str">
        <f>IF(I213="","",IF(VLOOKUP(I213,'G-7 Rivers Data'!$AG$4:$AI$9,2,FALSE)=0,"Spatial Data Missing ⚠",VLOOKUP(I213,'G-7 Rivers Data'!$AG$4:$AI$9,2,FALSE)))</f>
        <v/>
      </c>
      <c r="K213" s="499" t="str">
        <f>IF(I213="","",IF(VLOOKUP(I213,'G-7 Rivers Data'!$AG$4:$AI$9,3,FALSE)=0,"Spatial Data Missing ⚠",VLOOKUP(I213,'G-7 Rivers Data'!$AG$4:$AI$9,3,FALSE)))</f>
        <v/>
      </c>
      <c r="L213" s="635" t="str">
        <f>IFERROR(INDEX('G-7 Rivers Data'!$O$3:$O$7,MATCH(G213,'G-7 Rivers Data'!$N$3:$N$7,0)),"")</f>
        <v/>
      </c>
      <c r="M213" s="72"/>
      <c r="N213" s="195"/>
      <c r="O213" s="507" t="str">
        <f t="shared" si="19"/>
        <v/>
      </c>
      <c r="P213" s="521" t="str">
        <f t="shared" si="20"/>
        <v/>
      </c>
      <c r="Q213" s="564" t="str">
        <f>IFERROR(IF(P213="Check Data ⚠","Check Data ⚠",VLOOKUP(P213,'G-4 Temporal multipliers'!$A$4:$C$37,3,FALSE)),"")</f>
        <v/>
      </c>
      <c r="R213" s="498" t="str">
        <f>IF(C213="","",VLOOKUP(C213,'G-7 Rivers Data'!$B$4:$G$8,4,FALSE))</f>
        <v/>
      </c>
      <c r="S213" s="507" t="str">
        <f t="shared" si="21"/>
        <v/>
      </c>
      <c r="T213" s="540" t="str">
        <f t="shared" si="22"/>
        <v/>
      </c>
      <c r="U213" s="499" t="str">
        <f t="shared" si="23"/>
        <v/>
      </c>
      <c r="V213" s="71"/>
      <c r="W213" s="499" t="str">
        <f>IF(V213="","",IF(VLOOKUP(V213,'G-7 Rivers Data'!$AA$4:$AB$7,2,FALSE)=0,"Spatial Data Missing ⚠",VLOOKUP(V213,'G-7 Rivers Data'!$AA$4:$AB$7,2,FALSE)))</f>
        <v/>
      </c>
      <c r="X213" s="155"/>
      <c r="Y213" s="499" t="str">
        <f>IF(X213="","",IF(VLOOKUP(X213,'G-7 Rivers Data'!$AD$4:$AE$8,2,FALSE)=0,"Enrcoachment Data Missing ⚠",VLOOKUP(X213,'G-7 Rivers Data'!$AD$4:$AE$8,2,FALSE)))</f>
        <v/>
      </c>
      <c r="Z213" s="154"/>
      <c r="AA213" s="524" t="str">
        <f>IF(Z213="","",VLOOKUP(Z213,'G-7 Rivers Data'!$AO$4:$AP$7,2,FALSE))</f>
        <v/>
      </c>
      <c r="AB213" s="545" t="str">
        <f t="shared" si="24"/>
        <v/>
      </c>
      <c r="AC213" s="149"/>
      <c r="AD213" s="150"/>
      <c r="AK213" s="31" t="str">
        <f>IFERROR(INDEX('G-7 Rivers Data'!$AZ$3:$AZ$7,MATCH(C213,'G-7 Rivers Data'!$AY$3:$AY$7,0)),"")</f>
        <v/>
      </c>
    </row>
    <row r="214" spans="2:37" ht="13.8" x14ac:dyDescent="0.25">
      <c r="B214" s="141">
        <v>203</v>
      </c>
      <c r="C214" s="666"/>
      <c r="D214" s="172"/>
      <c r="E214" s="498" t="str">
        <f>IF(C214="","",VLOOKUP(C214,'G-7 Rivers Data'!$B$2:$Z$9,2,FALSE))</f>
        <v/>
      </c>
      <c r="F214" s="499" t="str">
        <f>IFERROR(VLOOKUP(E214,'G-7 Rivers Data'!$C$4:$D$8,2,FALSE),"")</f>
        <v/>
      </c>
      <c r="G214" s="145"/>
      <c r="H214" s="499" t="str">
        <f>IFERROR(INDEX('G-7 Rivers Data'!$H$4:$L$8,MATCH(C214,'G-7 Rivers Data'!$B$4:$B$8,0),MATCH(G214,'G-7 Rivers Data'!$H$3:$L$3,0)),"")</f>
        <v/>
      </c>
      <c r="I214" s="145"/>
      <c r="J214" s="540" t="str">
        <f>IF(I214="","",IF(VLOOKUP(I214,'G-7 Rivers Data'!$AG$4:$AI$9,2,FALSE)=0,"Spatial Data Missing ⚠",VLOOKUP(I214,'G-7 Rivers Data'!$AG$4:$AI$9,2,FALSE)))</f>
        <v/>
      </c>
      <c r="K214" s="499" t="str">
        <f>IF(I214="","",IF(VLOOKUP(I214,'G-7 Rivers Data'!$AG$4:$AI$9,3,FALSE)=0,"Spatial Data Missing ⚠",VLOOKUP(I214,'G-7 Rivers Data'!$AG$4:$AI$9,3,FALSE)))</f>
        <v/>
      </c>
      <c r="L214" s="635" t="str">
        <f>IFERROR(INDEX('G-7 Rivers Data'!$O$3:$O$7,MATCH(G214,'G-7 Rivers Data'!$N$3:$N$7,0)),"")</f>
        <v/>
      </c>
      <c r="M214" s="72"/>
      <c r="N214" s="195"/>
      <c r="O214" s="507" t="str">
        <f t="shared" si="19"/>
        <v/>
      </c>
      <c r="P214" s="521" t="str">
        <f t="shared" si="20"/>
        <v/>
      </c>
      <c r="Q214" s="564" t="str">
        <f>IFERROR(IF(P214="Check Data ⚠","Check Data ⚠",VLOOKUP(P214,'G-4 Temporal multipliers'!$A$4:$C$37,3,FALSE)),"")</f>
        <v/>
      </c>
      <c r="R214" s="498" t="str">
        <f>IF(C214="","",VLOOKUP(C214,'G-7 Rivers Data'!$B$4:$G$8,4,FALSE))</f>
        <v/>
      </c>
      <c r="S214" s="507" t="str">
        <f t="shared" si="21"/>
        <v/>
      </c>
      <c r="T214" s="540" t="str">
        <f t="shared" si="22"/>
        <v/>
      </c>
      <c r="U214" s="499" t="str">
        <f t="shared" si="23"/>
        <v/>
      </c>
      <c r="V214" s="71"/>
      <c r="W214" s="499" t="str">
        <f>IF(V214="","",IF(VLOOKUP(V214,'G-7 Rivers Data'!$AA$4:$AB$7,2,FALSE)=0,"Spatial Data Missing ⚠",VLOOKUP(V214,'G-7 Rivers Data'!$AA$4:$AB$7,2,FALSE)))</f>
        <v/>
      </c>
      <c r="X214" s="155"/>
      <c r="Y214" s="499" t="str">
        <f>IF(X214="","",IF(VLOOKUP(X214,'G-7 Rivers Data'!$AD$4:$AE$8,2,FALSE)=0,"Enrcoachment Data Missing ⚠",VLOOKUP(X214,'G-7 Rivers Data'!$AD$4:$AE$8,2,FALSE)))</f>
        <v/>
      </c>
      <c r="Z214" s="154"/>
      <c r="AA214" s="524" t="str">
        <f>IF(Z214="","",VLOOKUP(Z214,'G-7 Rivers Data'!$AO$4:$AP$7,2,FALSE))</f>
        <v/>
      </c>
      <c r="AB214" s="545" t="str">
        <f t="shared" si="24"/>
        <v/>
      </c>
      <c r="AC214" s="149"/>
      <c r="AD214" s="150"/>
      <c r="AK214" s="31" t="str">
        <f>IFERROR(INDEX('G-7 Rivers Data'!$AZ$3:$AZ$7,MATCH(C214,'G-7 Rivers Data'!$AY$3:$AY$7,0)),"")</f>
        <v/>
      </c>
    </row>
    <row r="215" spans="2:37" ht="13.8" x14ac:dyDescent="0.25">
      <c r="B215" s="141">
        <v>204</v>
      </c>
      <c r="C215" s="666"/>
      <c r="D215" s="172"/>
      <c r="E215" s="498" t="str">
        <f>IF(C215="","",VLOOKUP(C215,'G-7 Rivers Data'!$B$2:$Z$9,2,FALSE))</f>
        <v/>
      </c>
      <c r="F215" s="499" t="str">
        <f>IFERROR(VLOOKUP(E215,'G-7 Rivers Data'!$C$4:$D$8,2,FALSE),"")</f>
        <v/>
      </c>
      <c r="G215" s="145"/>
      <c r="H215" s="499" t="str">
        <f>IFERROR(INDEX('G-7 Rivers Data'!$H$4:$L$8,MATCH(C215,'G-7 Rivers Data'!$B$4:$B$8,0),MATCH(G215,'G-7 Rivers Data'!$H$3:$L$3,0)),"")</f>
        <v/>
      </c>
      <c r="I215" s="145"/>
      <c r="J215" s="540" t="str">
        <f>IF(I215="","",IF(VLOOKUP(I215,'G-7 Rivers Data'!$AG$4:$AI$9,2,FALSE)=0,"Spatial Data Missing ⚠",VLOOKUP(I215,'G-7 Rivers Data'!$AG$4:$AI$9,2,FALSE)))</f>
        <v/>
      </c>
      <c r="K215" s="499" t="str">
        <f>IF(I215="","",IF(VLOOKUP(I215,'G-7 Rivers Data'!$AG$4:$AI$9,3,FALSE)=0,"Spatial Data Missing ⚠",VLOOKUP(I215,'G-7 Rivers Data'!$AG$4:$AI$9,3,FALSE)))</f>
        <v/>
      </c>
      <c r="L215" s="635" t="str">
        <f>IFERROR(INDEX('G-7 Rivers Data'!$O$3:$O$7,MATCH(G215,'G-7 Rivers Data'!$N$3:$N$7,0)),"")</f>
        <v/>
      </c>
      <c r="M215" s="72"/>
      <c r="N215" s="195"/>
      <c r="O215" s="507" t="str">
        <f t="shared" si="19"/>
        <v/>
      </c>
      <c r="P215" s="521" t="str">
        <f t="shared" si="20"/>
        <v/>
      </c>
      <c r="Q215" s="564" t="str">
        <f>IFERROR(IF(P215="Check Data ⚠","Check Data ⚠",VLOOKUP(P215,'G-4 Temporal multipliers'!$A$4:$C$37,3,FALSE)),"")</f>
        <v/>
      </c>
      <c r="R215" s="498" t="str">
        <f>IF(C215="","",VLOOKUP(C215,'G-7 Rivers Data'!$B$4:$G$8,4,FALSE))</f>
        <v/>
      </c>
      <c r="S215" s="507" t="str">
        <f t="shared" si="21"/>
        <v/>
      </c>
      <c r="T215" s="540" t="str">
        <f t="shared" si="22"/>
        <v/>
      </c>
      <c r="U215" s="499" t="str">
        <f t="shared" si="23"/>
        <v/>
      </c>
      <c r="V215" s="71"/>
      <c r="W215" s="499" t="str">
        <f>IF(V215="","",IF(VLOOKUP(V215,'G-7 Rivers Data'!$AA$4:$AB$7,2,FALSE)=0,"Spatial Data Missing ⚠",VLOOKUP(V215,'G-7 Rivers Data'!$AA$4:$AB$7,2,FALSE)))</f>
        <v/>
      </c>
      <c r="X215" s="155"/>
      <c r="Y215" s="499" t="str">
        <f>IF(X215="","",IF(VLOOKUP(X215,'G-7 Rivers Data'!$AD$4:$AE$8,2,FALSE)=0,"Enrcoachment Data Missing ⚠",VLOOKUP(X215,'G-7 Rivers Data'!$AD$4:$AE$8,2,FALSE)))</f>
        <v/>
      </c>
      <c r="Z215" s="154"/>
      <c r="AA215" s="524" t="str">
        <f>IF(Z215="","",VLOOKUP(Z215,'G-7 Rivers Data'!$AO$4:$AP$7,2,FALSE))</f>
        <v/>
      </c>
      <c r="AB215" s="545" t="str">
        <f t="shared" si="24"/>
        <v/>
      </c>
      <c r="AC215" s="149"/>
      <c r="AD215" s="150"/>
      <c r="AK215" s="31" t="str">
        <f>IFERROR(INDEX('G-7 Rivers Data'!$AZ$3:$AZ$7,MATCH(C215,'G-7 Rivers Data'!$AY$3:$AY$7,0)),"")</f>
        <v/>
      </c>
    </row>
    <row r="216" spans="2:37" ht="13.8" x14ac:dyDescent="0.25">
      <c r="B216" s="141">
        <v>205</v>
      </c>
      <c r="C216" s="666"/>
      <c r="D216" s="172"/>
      <c r="E216" s="498" t="str">
        <f>IF(C216="","",VLOOKUP(C216,'G-7 Rivers Data'!$B$2:$Z$9,2,FALSE))</f>
        <v/>
      </c>
      <c r="F216" s="499" t="str">
        <f>IFERROR(VLOOKUP(E216,'G-7 Rivers Data'!$C$4:$D$8,2,FALSE),"")</f>
        <v/>
      </c>
      <c r="G216" s="145"/>
      <c r="H216" s="499" t="str">
        <f>IFERROR(INDEX('G-7 Rivers Data'!$H$4:$L$8,MATCH(C216,'G-7 Rivers Data'!$B$4:$B$8,0),MATCH(G216,'G-7 Rivers Data'!$H$3:$L$3,0)),"")</f>
        <v/>
      </c>
      <c r="I216" s="145"/>
      <c r="J216" s="540" t="str">
        <f>IF(I216="","",IF(VLOOKUP(I216,'G-7 Rivers Data'!$AG$4:$AI$9,2,FALSE)=0,"Spatial Data Missing ⚠",VLOOKUP(I216,'G-7 Rivers Data'!$AG$4:$AI$9,2,FALSE)))</f>
        <v/>
      </c>
      <c r="K216" s="499" t="str">
        <f>IF(I216="","",IF(VLOOKUP(I216,'G-7 Rivers Data'!$AG$4:$AI$9,3,FALSE)=0,"Spatial Data Missing ⚠",VLOOKUP(I216,'G-7 Rivers Data'!$AG$4:$AI$9,3,FALSE)))</f>
        <v/>
      </c>
      <c r="L216" s="635" t="str">
        <f>IFERROR(INDEX('G-7 Rivers Data'!$O$3:$O$7,MATCH(G216,'G-7 Rivers Data'!$N$3:$N$7,0)),"")</f>
        <v/>
      </c>
      <c r="M216" s="72"/>
      <c r="N216" s="195"/>
      <c r="O216" s="507" t="str">
        <f t="shared" si="19"/>
        <v/>
      </c>
      <c r="P216" s="521" t="str">
        <f t="shared" si="20"/>
        <v/>
      </c>
      <c r="Q216" s="564" t="str">
        <f>IFERROR(IF(P216="Check Data ⚠","Check Data ⚠",VLOOKUP(P216,'G-4 Temporal multipliers'!$A$4:$C$37,3,FALSE)),"")</f>
        <v/>
      </c>
      <c r="R216" s="498" t="str">
        <f>IF(C216="","",VLOOKUP(C216,'G-7 Rivers Data'!$B$4:$G$8,4,FALSE))</f>
        <v/>
      </c>
      <c r="S216" s="507" t="str">
        <f t="shared" si="21"/>
        <v/>
      </c>
      <c r="T216" s="540" t="str">
        <f t="shared" si="22"/>
        <v/>
      </c>
      <c r="U216" s="499" t="str">
        <f t="shared" si="23"/>
        <v/>
      </c>
      <c r="V216" s="71"/>
      <c r="W216" s="499" t="str">
        <f>IF(V216="","",IF(VLOOKUP(V216,'G-7 Rivers Data'!$AA$4:$AB$7,2,FALSE)=0,"Spatial Data Missing ⚠",VLOOKUP(V216,'G-7 Rivers Data'!$AA$4:$AB$7,2,FALSE)))</f>
        <v/>
      </c>
      <c r="X216" s="155"/>
      <c r="Y216" s="499" t="str">
        <f>IF(X216="","",IF(VLOOKUP(X216,'G-7 Rivers Data'!$AD$4:$AE$8,2,FALSE)=0,"Enrcoachment Data Missing ⚠",VLOOKUP(X216,'G-7 Rivers Data'!$AD$4:$AE$8,2,FALSE)))</f>
        <v/>
      </c>
      <c r="Z216" s="154"/>
      <c r="AA216" s="524" t="str">
        <f>IF(Z216="","",VLOOKUP(Z216,'G-7 Rivers Data'!$AO$4:$AP$7,2,FALSE))</f>
        <v/>
      </c>
      <c r="AB216" s="545" t="str">
        <f t="shared" si="24"/>
        <v/>
      </c>
      <c r="AC216" s="149"/>
      <c r="AD216" s="150"/>
      <c r="AK216" s="31" t="str">
        <f>IFERROR(INDEX('G-7 Rivers Data'!$AZ$3:$AZ$7,MATCH(C216,'G-7 Rivers Data'!$AY$3:$AY$7,0)),"")</f>
        <v/>
      </c>
    </row>
    <row r="217" spans="2:37" ht="13.8" x14ac:dyDescent="0.25">
      <c r="B217" s="141">
        <v>206</v>
      </c>
      <c r="C217" s="666"/>
      <c r="D217" s="172"/>
      <c r="E217" s="498" t="str">
        <f>IF(C217="","",VLOOKUP(C217,'G-7 Rivers Data'!$B$2:$Z$9,2,FALSE))</f>
        <v/>
      </c>
      <c r="F217" s="499" t="str">
        <f>IFERROR(VLOOKUP(E217,'G-7 Rivers Data'!$C$4:$D$8,2,FALSE),"")</f>
        <v/>
      </c>
      <c r="G217" s="145"/>
      <c r="H217" s="499" t="str">
        <f>IFERROR(INDEX('G-7 Rivers Data'!$H$4:$L$8,MATCH(C217,'G-7 Rivers Data'!$B$4:$B$8,0),MATCH(G217,'G-7 Rivers Data'!$H$3:$L$3,0)),"")</f>
        <v/>
      </c>
      <c r="I217" s="145"/>
      <c r="J217" s="540" t="str">
        <f>IF(I217="","",IF(VLOOKUP(I217,'G-7 Rivers Data'!$AG$4:$AI$9,2,FALSE)=0,"Spatial Data Missing ⚠",VLOOKUP(I217,'G-7 Rivers Data'!$AG$4:$AI$9,2,FALSE)))</f>
        <v/>
      </c>
      <c r="K217" s="499" t="str">
        <f>IF(I217="","",IF(VLOOKUP(I217,'G-7 Rivers Data'!$AG$4:$AI$9,3,FALSE)=0,"Spatial Data Missing ⚠",VLOOKUP(I217,'G-7 Rivers Data'!$AG$4:$AI$9,3,FALSE)))</f>
        <v/>
      </c>
      <c r="L217" s="635" t="str">
        <f>IFERROR(INDEX('G-7 Rivers Data'!$O$3:$O$7,MATCH(G217,'G-7 Rivers Data'!$N$3:$N$7,0)),"")</f>
        <v/>
      </c>
      <c r="M217" s="72"/>
      <c r="N217" s="195"/>
      <c r="O217" s="507" t="str">
        <f t="shared" si="19"/>
        <v/>
      </c>
      <c r="P217" s="521" t="str">
        <f t="shared" si="20"/>
        <v/>
      </c>
      <c r="Q217" s="564" t="str">
        <f>IFERROR(IF(P217="Check Data ⚠","Check Data ⚠",VLOOKUP(P217,'G-4 Temporal multipliers'!$A$4:$C$37,3,FALSE)),"")</f>
        <v/>
      </c>
      <c r="R217" s="498" t="str">
        <f>IF(C217="","",VLOOKUP(C217,'G-7 Rivers Data'!$B$4:$G$8,4,FALSE))</f>
        <v/>
      </c>
      <c r="S217" s="507" t="str">
        <f t="shared" si="21"/>
        <v/>
      </c>
      <c r="T217" s="540" t="str">
        <f t="shared" si="22"/>
        <v/>
      </c>
      <c r="U217" s="499" t="str">
        <f t="shared" si="23"/>
        <v/>
      </c>
      <c r="V217" s="71"/>
      <c r="W217" s="499" t="str">
        <f>IF(V217="","",IF(VLOOKUP(V217,'G-7 Rivers Data'!$AA$4:$AB$7,2,FALSE)=0,"Spatial Data Missing ⚠",VLOOKUP(V217,'G-7 Rivers Data'!$AA$4:$AB$7,2,FALSE)))</f>
        <v/>
      </c>
      <c r="X217" s="155"/>
      <c r="Y217" s="499" t="str">
        <f>IF(X217="","",IF(VLOOKUP(X217,'G-7 Rivers Data'!$AD$4:$AE$8,2,FALSE)=0,"Enrcoachment Data Missing ⚠",VLOOKUP(X217,'G-7 Rivers Data'!$AD$4:$AE$8,2,FALSE)))</f>
        <v/>
      </c>
      <c r="Z217" s="154"/>
      <c r="AA217" s="524" t="str">
        <f>IF(Z217="","",VLOOKUP(Z217,'G-7 Rivers Data'!$AO$4:$AP$7,2,FALSE))</f>
        <v/>
      </c>
      <c r="AB217" s="545" t="str">
        <f t="shared" si="24"/>
        <v/>
      </c>
      <c r="AC217" s="149"/>
      <c r="AD217" s="150"/>
      <c r="AK217" s="31" t="str">
        <f>IFERROR(INDEX('G-7 Rivers Data'!$AZ$3:$AZ$7,MATCH(C217,'G-7 Rivers Data'!$AY$3:$AY$7,0)),"")</f>
        <v/>
      </c>
    </row>
    <row r="218" spans="2:37" ht="13.8" x14ac:dyDescent="0.25">
      <c r="B218" s="141">
        <v>207</v>
      </c>
      <c r="C218" s="666"/>
      <c r="D218" s="172"/>
      <c r="E218" s="498" t="str">
        <f>IF(C218="","",VLOOKUP(C218,'G-7 Rivers Data'!$B$2:$Z$9,2,FALSE))</f>
        <v/>
      </c>
      <c r="F218" s="499" t="str">
        <f>IFERROR(VLOOKUP(E218,'G-7 Rivers Data'!$C$4:$D$8,2,FALSE),"")</f>
        <v/>
      </c>
      <c r="G218" s="145"/>
      <c r="H218" s="499" t="str">
        <f>IFERROR(INDEX('G-7 Rivers Data'!$H$4:$L$8,MATCH(C218,'G-7 Rivers Data'!$B$4:$B$8,0),MATCH(G218,'G-7 Rivers Data'!$H$3:$L$3,0)),"")</f>
        <v/>
      </c>
      <c r="I218" s="145"/>
      <c r="J218" s="540" t="str">
        <f>IF(I218="","",IF(VLOOKUP(I218,'G-7 Rivers Data'!$AG$4:$AI$9,2,FALSE)=0,"Spatial Data Missing ⚠",VLOOKUP(I218,'G-7 Rivers Data'!$AG$4:$AI$9,2,FALSE)))</f>
        <v/>
      </c>
      <c r="K218" s="499" t="str">
        <f>IF(I218="","",IF(VLOOKUP(I218,'G-7 Rivers Data'!$AG$4:$AI$9,3,FALSE)=0,"Spatial Data Missing ⚠",VLOOKUP(I218,'G-7 Rivers Data'!$AG$4:$AI$9,3,FALSE)))</f>
        <v/>
      </c>
      <c r="L218" s="635" t="str">
        <f>IFERROR(INDEX('G-7 Rivers Data'!$O$3:$O$7,MATCH(G218,'G-7 Rivers Data'!$N$3:$N$7,0)),"")</f>
        <v/>
      </c>
      <c r="M218" s="72"/>
      <c r="N218" s="195"/>
      <c r="O218" s="507" t="str">
        <f t="shared" si="19"/>
        <v/>
      </c>
      <c r="P218" s="521" t="str">
        <f t="shared" si="20"/>
        <v/>
      </c>
      <c r="Q218" s="564" t="str">
        <f>IFERROR(IF(P218="Check Data ⚠","Check Data ⚠",VLOOKUP(P218,'G-4 Temporal multipliers'!$A$4:$C$37,3,FALSE)),"")</f>
        <v/>
      </c>
      <c r="R218" s="498" t="str">
        <f>IF(C218="","",VLOOKUP(C218,'G-7 Rivers Data'!$B$4:$G$8,4,FALSE))</f>
        <v/>
      </c>
      <c r="S218" s="507" t="str">
        <f t="shared" si="21"/>
        <v/>
      </c>
      <c r="T218" s="540" t="str">
        <f t="shared" si="22"/>
        <v/>
      </c>
      <c r="U218" s="499" t="str">
        <f t="shared" si="23"/>
        <v/>
      </c>
      <c r="V218" s="71"/>
      <c r="W218" s="499" t="str">
        <f>IF(V218="","",IF(VLOOKUP(V218,'G-7 Rivers Data'!$AA$4:$AB$7,2,FALSE)=0,"Spatial Data Missing ⚠",VLOOKUP(V218,'G-7 Rivers Data'!$AA$4:$AB$7,2,FALSE)))</f>
        <v/>
      </c>
      <c r="X218" s="155"/>
      <c r="Y218" s="499" t="str">
        <f>IF(X218="","",IF(VLOOKUP(X218,'G-7 Rivers Data'!$AD$4:$AE$8,2,FALSE)=0,"Enrcoachment Data Missing ⚠",VLOOKUP(X218,'G-7 Rivers Data'!$AD$4:$AE$8,2,FALSE)))</f>
        <v/>
      </c>
      <c r="Z218" s="154"/>
      <c r="AA218" s="524" t="str">
        <f>IF(Z218="","",VLOOKUP(Z218,'G-7 Rivers Data'!$AO$4:$AP$7,2,FALSE))</f>
        <v/>
      </c>
      <c r="AB218" s="545" t="str">
        <f t="shared" si="24"/>
        <v/>
      </c>
      <c r="AC218" s="149"/>
      <c r="AD218" s="150"/>
      <c r="AK218" s="31" t="str">
        <f>IFERROR(INDEX('G-7 Rivers Data'!$AZ$3:$AZ$7,MATCH(C218,'G-7 Rivers Data'!$AY$3:$AY$7,0)),"")</f>
        <v/>
      </c>
    </row>
    <row r="219" spans="2:37" ht="13.8" x14ac:dyDescent="0.25">
      <c r="B219" s="141">
        <v>208</v>
      </c>
      <c r="C219" s="666"/>
      <c r="D219" s="172"/>
      <c r="E219" s="498" t="str">
        <f>IF(C219="","",VLOOKUP(C219,'G-7 Rivers Data'!$B$2:$Z$9,2,FALSE))</f>
        <v/>
      </c>
      <c r="F219" s="499" t="str">
        <f>IFERROR(VLOOKUP(E219,'G-7 Rivers Data'!$C$4:$D$8,2,FALSE),"")</f>
        <v/>
      </c>
      <c r="G219" s="145"/>
      <c r="H219" s="499" t="str">
        <f>IFERROR(INDEX('G-7 Rivers Data'!$H$4:$L$8,MATCH(C219,'G-7 Rivers Data'!$B$4:$B$8,0),MATCH(G219,'G-7 Rivers Data'!$H$3:$L$3,0)),"")</f>
        <v/>
      </c>
      <c r="I219" s="145"/>
      <c r="J219" s="540" t="str">
        <f>IF(I219="","",IF(VLOOKUP(I219,'G-7 Rivers Data'!$AG$4:$AI$9,2,FALSE)=0,"Spatial Data Missing ⚠",VLOOKUP(I219,'G-7 Rivers Data'!$AG$4:$AI$9,2,FALSE)))</f>
        <v/>
      </c>
      <c r="K219" s="499" t="str">
        <f>IF(I219="","",IF(VLOOKUP(I219,'G-7 Rivers Data'!$AG$4:$AI$9,3,FALSE)=0,"Spatial Data Missing ⚠",VLOOKUP(I219,'G-7 Rivers Data'!$AG$4:$AI$9,3,FALSE)))</f>
        <v/>
      </c>
      <c r="L219" s="635" t="str">
        <f>IFERROR(INDEX('G-7 Rivers Data'!$O$3:$O$7,MATCH(G219,'G-7 Rivers Data'!$N$3:$N$7,0)),"")</f>
        <v/>
      </c>
      <c r="M219" s="72"/>
      <c r="N219" s="195"/>
      <c r="O219" s="507" t="str">
        <f t="shared" si="19"/>
        <v/>
      </c>
      <c r="P219" s="521" t="str">
        <f t="shared" si="20"/>
        <v/>
      </c>
      <c r="Q219" s="564" t="str">
        <f>IFERROR(IF(P219="Check Data ⚠","Check Data ⚠",VLOOKUP(P219,'G-4 Temporal multipliers'!$A$4:$C$37,3,FALSE)),"")</f>
        <v/>
      </c>
      <c r="R219" s="498" t="str">
        <f>IF(C219="","",VLOOKUP(C219,'G-7 Rivers Data'!$B$4:$G$8,4,FALSE))</f>
        <v/>
      </c>
      <c r="S219" s="507" t="str">
        <f t="shared" si="21"/>
        <v/>
      </c>
      <c r="T219" s="540" t="str">
        <f t="shared" si="22"/>
        <v/>
      </c>
      <c r="U219" s="499" t="str">
        <f t="shared" si="23"/>
        <v/>
      </c>
      <c r="V219" s="71"/>
      <c r="W219" s="499" t="str">
        <f>IF(V219="","",IF(VLOOKUP(V219,'G-7 Rivers Data'!$AA$4:$AB$7,2,FALSE)=0,"Spatial Data Missing ⚠",VLOOKUP(V219,'G-7 Rivers Data'!$AA$4:$AB$7,2,FALSE)))</f>
        <v/>
      </c>
      <c r="X219" s="155"/>
      <c r="Y219" s="499" t="str">
        <f>IF(X219="","",IF(VLOOKUP(X219,'G-7 Rivers Data'!$AD$4:$AE$8,2,FALSE)=0,"Enrcoachment Data Missing ⚠",VLOOKUP(X219,'G-7 Rivers Data'!$AD$4:$AE$8,2,FALSE)))</f>
        <v/>
      </c>
      <c r="Z219" s="154"/>
      <c r="AA219" s="524" t="str">
        <f>IF(Z219="","",VLOOKUP(Z219,'G-7 Rivers Data'!$AO$4:$AP$7,2,FALSE))</f>
        <v/>
      </c>
      <c r="AB219" s="545" t="str">
        <f t="shared" si="24"/>
        <v/>
      </c>
      <c r="AC219" s="149"/>
      <c r="AD219" s="150"/>
      <c r="AK219" s="31" t="str">
        <f>IFERROR(INDEX('G-7 Rivers Data'!$AZ$3:$AZ$7,MATCH(C219,'G-7 Rivers Data'!$AY$3:$AY$7,0)),"")</f>
        <v/>
      </c>
    </row>
    <row r="220" spans="2:37" ht="13.8" x14ac:dyDescent="0.25">
      <c r="B220" s="141">
        <v>209</v>
      </c>
      <c r="C220" s="666"/>
      <c r="D220" s="172"/>
      <c r="E220" s="498" t="str">
        <f>IF(C220="","",VLOOKUP(C220,'G-7 Rivers Data'!$B$2:$Z$9,2,FALSE))</f>
        <v/>
      </c>
      <c r="F220" s="499" t="str">
        <f>IFERROR(VLOOKUP(E220,'G-7 Rivers Data'!$C$4:$D$8,2,FALSE),"")</f>
        <v/>
      </c>
      <c r="G220" s="145"/>
      <c r="H220" s="499" t="str">
        <f>IFERROR(INDEX('G-7 Rivers Data'!$H$4:$L$8,MATCH(C220,'G-7 Rivers Data'!$B$4:$B$8,0),MATCH(G220,'G-7 Rivers Data'!$H$3:$L$3,0)),"")</f>
        <v/>
      </c>
      <c r="I220" s="145"/>
      <c r="J220" s="540" t="str">
        <f>IF(I220="","",IF(VLOOKUP(I220,'G-7 Rivers Data'!$AG$4:$AI$9,2,FALSE)=0,"Spatial Data Missing ⚠",VLOOKUP(I220,'G-7 Rivers Data'!$AG$4:$AI$9,2,FALSE)))</f>
        <v/>
      </c>
      <c r="K220" s="499" t="str">
        <f>IF(I220="","",IF(VLOOKUP(I220,'G-7 Rivers Data'!$AG$4:$AI$9,3,FALSE)=0,"Spatial Data Missing ⚠",VLOOKUP(I220,'G-7 Rivers Data'!$AG$4:$AI$9,3,FALSE)))</f>
        <v/>
      </c>
      <c r="L220" s="635" t="str">
        <f>IFERROR(INDEX('G-7 Rivers Data'!$O$3:$O$7,MATCH(G220,'G-7 Rivers Data'!$N$3:$N$7,0)),"")</f>
        <v/>
      </c>
      <c r="M220" s="72"/>
      <c r="N220" s="195"/>
      <c r="O220" s="507" t="str">
        <f t="shared" si="19"/>
        <v/>
      </c>
      <c r="P220" s="521" t="str">
        <f t="shared" si="20"/>
        <v/>
      </c>
      <c r="Q220" s="564" t="str">
        <f>IFERROR(IF(P220="Check Data ⚠","Check Data ⚠",VLOOKUP(P220,'G-4 Temporal multipliers'!$A$4:$C$37,3,FALSE)),"")</f>
        <v/>
      </c>
      <c r="R220" s="498" t="str">
        <f>IF(C220="","",VLOOKUP(C220,'G-7 Rivers Data'!$B$4:$G$8,4,FALSE))</f>
        <v/>
      </c>
      <c r="S220" s="507" t="str">
        <f t="shared" si="21"/>
        <v/>
      </c>
      <c r="T220" s="540" t="str">
        <f t="shared" si="22"/>
        <v/>
      </c>
      <c r="U220" s="499" t="str">
        <f t="shared" si="23"/>
        <v/>
      </c>
      <c r="V220" s="71"/>
      <c r="W220" s="499" t="str">
        <f>IF(V220="","",IF(VLOOKUP(V220,'G-7 Rivers Data'!$AA$4:$AB$7,2,FALSE)=0,"Spatial Data Missing ⚠",VLOOKUP(V220,'G-7 Rivers Data'!$AA$4:$AB$7,2,FALSE)))</f>
        <v/>
      </c>
      <c r="X220" s="155"/>
      <c r="Y220" s="499" t="str">
        <f>IF(X220="","",IF(VLOOKUP(X220,'G-7 Rivers Data'!$AD$4:$AE$8,2,FALSE)=0,"Enrcoachment Data Missing ⚠",VLOOKUP(X220,'G-7 Rivers Data'!$AD$4:$AE$8,2,FALSE)))</f>
        <v/>
      </c>
      <c r="Z220" s="154"/>
      <c r="AA220" s="524" t="str">
        <f>IF(Z220="","",VLOOKUP(Z220,'G-7 Rivers Data'!$AO$4:$AP$7,2,FALSE))</f>
        <v/>
      </c>
      <c r="AB220" s="545" t="str">
        <f t="shared" si="24"/>
        <v/>
      </c>
      <c r="AC220" s="149"/>
      <c r="AD220" s="150"/>
      <c r="AK220" s="31" t="str">
        <f>IFERROR(INDEX('G-7 Rivers Data'!$AZ$3:$AZ$7,MATCH(C220,'G-7 Rivers Data'!$AY$3:$AY$7,0)),"")</f>
        <v/>
      </c>
    </row>
    <row r="221" spans="2:37" ht="13.8" x14ac:dyDescent="0.25">
      <c r="B221" s="141">
        <v>210</v>
      </c>
      <c r="C221" s="666"/>
      <c r="D221" s="172"/>
      <c r="E221" s="498" t="str">
        <f>IF(C221="","",VLOOKUP(C221,'G-7 Rivers Data'!$B$2:$Z$9,2,FALSE))</f>
        <v/>
      </c>
      <c r="F221" s="499" t="str">
        <f>IFERROR(VLOOKUP(E221,'G-7 Rivers Data'!$C$4:$D$8,2,FALSE),"")</f>
        <v/>
      </c>
      <c r="G221" s="145"/>
      <c r="H221" s="499" t="str">
        <f>IFERROR(INDEX('G-7 Rivers Data'!$H$4:$L$8,MATCH(C221,'G-7 Rivers Data'!$B$4:$B$8,0),MATCH(G221,'G-7 Rivers Data'!$H$3:$L$3,0)),"")</f>
        <v/>
      </c>
      <c r="I221" s="145"/>
      <c r="J221" s="540" t="str">
        <f>IF(I221="","",IF(VLOOKUP(I221,'G-7 Rivers Data'!$AG$4:$AI$9,2,FALSE)=0,"Spatial Data Missing ⚠",VLOOKUP(I221,'G-7 Rivers Data'!$AG$4:$AI$9,2,FALSE)))</f>
        <v/>
      </c>
      <c r="K221" s="499" t="str">
        <f>IF(I221="","",IF(VLOOKUP(I221,'G-7 Rivers Data'!$AG$4:$AI$9,3,FALSE)=0,"Spatial Data Missing ⚠",VLOOKUP(I221,'G-7 Rivers Data'!$AG$4:$AI$9,3,FALSE)))</f>
        <v/>
      </c>
      <c r="L221" s="635" t="str">
        <f>IFERROR(INDEX('G-7 Rivers Data'!$O$3:$O$7,MATCH(G221,'G-7 Rivers Data'!$N$3:$N$7,0)),"")</f>
        <v/>
      </c>
      <c r="M221" s="72"/>
      <c r="N221" s="195"/>
      <c r="O221" s="507" t="str">
        <f t="shared" si="19"/>
        <v/>
      </c>
      <c r="P221" s="521" t="str">
        <f t="shared" si="20"/>
        <v/>
      </c>
      <c r="Q221" s="564" t="str">
        <f>IFERROR(IF(P221="Check Data ⚠","Check Data ⚠",VLOOKUP(P221,'G-4 Temporal multipliers'!$A$4:$C$37,3,FALSE)),"")</f>
        <v/>
      </c>
      <c r="R221" s="498" t="str">
        <f>IF(C221="","",VLOOKUP(C221,'G-7 Rivers Data'!$B$4:$G$8,4,FALSE))</f>
        <v/>
      </c>
      <c r="S221" s="507" t="str">
        <f t="shared" si="21"/>
        <v/>
      </c>
      <c r="T221" s="540" t="str">
        <f t="shared" si="22"/>
        <v/>
      </c>
      <c r="U221" s="499" t="str">
        <f t="shared" si="23"/>
        <v/>
      </c>
      <c r="V221" s="71"/>
      <c r="W221" s="499" t="str">
        <f>IF(V221="","",IF(VLOOKUP(V221,'G-7 Rivers Data'!$AA$4:$AB$7,2,FALSE)=0,"Spatial Data Missing ⚠",VLOOKUP(V221,'G-7 Rivers Data'!$AA$4:$AB$7,2,FALSE)))</f>
        <v/>
      </c>
      <c r="X221" s="155"/>
      <c r="Y221" s="499" t="str">
        <f>IF(X221="","",IF(VLOOKUP(X221,'G-7 Rivers Data'!$AD$4:$AE$8,2,FALSE)=0,"Enrcoachment Data Missing ⚠",VLOOKUP(X221,'G-7 Rivers Data'!$AD$4:$AE$8,2,FALSE)))</f>
        <v/>
      </c>
      <c r="Z221" s="154"/>
      <c r="AA221" s="524" t="str">
        <f>IF(Z221="","",VLOOKUP(Z221,'G-7 Rivers Data'!$AO$4:$AP$7,2,FALSE))</f>
        <v/>
      </c>
      <c r="AB221" s="545" t="str">
        <f t="shared" si="24"/>
        <v/>
      </c>
      <c r="AC221" s="149"/>
      <c r="AD221" s="150"/>
      <c r="AK221" s="31" t="str">
        <f>IFERROR(INDEX('G-7 Rivers Data'!$AZ$3:$AZ$7,MATCH(C221,'G-7 Rivers Data'!$AY$3:$AY$7,0)),"")</f>
        <v/>
      </c>
    </row>
    <row r="222" spans="2:37" ht="13.8" x14ac:dyDescent="0.25">
      <c r="B222" s="141">
        <v>211</v>
      </c>
      <c r="C222" s="666"/>
      <c r="D222" s="172"/>
      <c r="E222" s="498" t="str">
        <f>IF(C222="","",VLOOKUP(C222,'G-7 Rivers Data'!$B$2:$Z$9,2,FALSE))</f>
        <v/>
      </c>
      <c r="F222" s="499" t="str">
        <f>IFERROR(VLOOKUP(E222,'G-7 Rivers Data'!$C$4:$D$8,2,FALSE),"")</f>
        <v/>
      </c>
      <c r="G222" s="145"/>
      <c r="H222" s="499" t="str">
        <f>IFERROR(INDEX('G-7 Rivers Data'!$H$4:$L$8,MATCH(C222,'G-7 Rivers Data'!$B$4:$B$8,0),MATCH(G222,'G-7 Rivers Data'!$H$3:$L$3,0)),"")</f>
        <v/>
      </c>
      <c r="I222" s="145"/>
      <c r="J222" s="540" t="str">
        <f>IF(I222="","",IF(VLOOKUP(I222,'G-7 Rivers Data'!$AG$4:$AI$9,2,FALSE)=0,"Spatial Data Missing ⚠",VLOOKUP(I222,'G-7 Rivers Data'!$AG$4:$AI$9,2,FALSE)))</f>
        <v/>
      </c>
      <c r="K222" s="499" t="str">
        <f>IF(I222="","",IF(VLOOKUP(I222,'G-7 Rivers Data'!$AG$4:$AI$9,3,FALSE)=0,"Spatial Data Missing ⚠",VLOOKUP(I222,'G-7 Rivers Data'!$AG$4:$AI$9,3,FALSE)))</f>
        <v/>
      </c>
      <c r="L222" s="635" t="str">
        <f>IFERROR(INDEX('G-7 Rivers Data'!$O$3:$O$7,MATCH(G222,'G-7 Rivers Data'!$N$3:$N$7,0)),"")</f>
        <v/>
      </c>
      <c r="M222" s="72"/>
      <c r="N222" s="195"/>
      <c r="O222" s="507" t="str">
        <f t="shared" si="19"/>
        <v/>
      </c>
      <c r="P222" s="521" t="str">
        <f t="shared" si="20"/>
        <v/>
      </c>
      <c r="Q222" s="564" t="str">
        <f>IFERROR(IF(P222="Check Data ⚠","Check Data ⚠",VLOOKUP(P222,'G-4 Temporal multipliers'!$A$4:$C$37,3,FALSE)),"")</f>
        <v/>
      </c>
      <c r="R222" s="498" t="str">
        <f>IF(C222="","",VLOOKUP(C222,'G-7 Rivers Data'!$B$4:$G$8,4,FALSE))</f>
        <v/>
      </c>
      <c r="S222" s="507" t="str">
        <f t="shared" si="21"/>
        <v/>
      </c>
      <c r="T222" s="540" t="str">
        <f t="shared" si="22"/>
        <v/>
      </c>
      <c r="U222" s="499" t="str">
        <f t="shared" si="23"/>
        <v/>
      </c>
      <c r="V222" s="71"/>
      <c r="W222" s="499" t="str">
        <f>IF(V222="","",IF(VLOOKUP(V222,'G-7 Rivers Data'!$AA$4:$AB$7,2,FALSE)=0,"Spatial Data Missing ⚠",VLOOKUP(V222,'G-7 Rivers Data'!$AA$4:$AB$7,2,FALSE)))</f>
        <v/>
      </c>
      <c r="X222" s="155"/>
      <c r="Y222" s="499" t="str">
        <f>IF(X222="","",IF(VLOOKUP(X222,'G-7 Rivers Data'!$AD$4:$AE$8,2,FALSE)=0,"Enrcoachment Data Missing ⚠",VLOOKUP(X222,'G-7 Rivers Data'!$AD$4:$AE$8,2,FALSE)))</f>
        <v/>
      </c>
      <c r="Z222" s="154"/>
      <c r="AA222" s="524" t="str">
        <f>IF(Z222="","",VLOOKUP(Z222,'G-7 Rivers Data'!$AO$4:$AP$7,2,FALSE))</f>
        <v/>
      </c>
      <c r="AB222" s="545" t="str">
        <f t="shared" si="24"/>
        <v/>
      </c>
      <c r="AC222" s="149"/>
      <c r="AD222" s="150"/>
      <c r="AK222" s="31" t="str">
        <f>IFERROR(INDEX('G-7 Rivers Data'!$AZ$3:$AZ$7,MATCH(C222,'G-7 Rivers Data'!$AY$3:$AY$7,0)),"")</f>
        <v/>
      </c>
    </row>
    <row r="223" spans="2:37" ht="13.8" x14ac:dyDescent="0.25">
      <c r="B223" s="141">
        <v>212</v>
      </c>
      <c r="C223" s="666"/>
      <c r="D223" s="172"/>
      <c r="E223" s="498" t="str">
        <f>IF(C223="","",VLOOKUP(C223,'G-7 Rivers Data'!$B$2:$Z$9,2,FALSE))</f>
        <v/>
      </c>
      <c r="F223" s="499" t="str">
        <f>IFERROR(VLOOKUP(E223,'G-7 Rivers Data'!$C$4:$D$8,2,FALSE),"")</f>
        <v/>
      </c>
      <c r="G223" s="145"/>
      <c r="H223" s="499" t="str">
        <f>IFERROR(INDEX('G-7 Rivers Data'!$H$4:$L$8,MATCH(C223,'G-7 Rivers Data'!$B$4:$B$8,0),MATCH(G223,'G-7 Rivers Data'!$H$3:$L$3,0)),"")</f>
        <v/>
      </c>
      <c r="I223" s="145"/>
      <c r="J223" s="540" t="str">
        <f>IF(I223="","",IF(VLOOKUP(I223,'G-7 Rivers Data'!$AG$4:$AI$9,2,FALSE)=0,"Spatial Data Missing ⚠",VLOOKUP(I223,'G-7 Rivers Data'!$AG$4:$AI$9,2,FALSE)))</f>
        <v/>
      </c>
      <c r="K223" s="499" t="str">
        <f>IF(I223="","",IF(VLOOKUP(I223,'G-7 Rivers Data'!$AG$4:$AI$9,3,FALSE)=0,"Spatial Data Missing ⚠",VLOOKUP(I223,'G-7 Rivers Data'!$AG$4:$AI$9,3,FALSE)))</f>
        <v/>
      </c>
      <c r="L223" s="635" t="str">
        <f>IFERROR(INDEX('G-7 Rivers Data'!$O$3:$O$7,MATCH(G223,'G-7 Rivers Data'!$N$3:$N$7,0)),"")</f>
        <v/>
      </c>
      <c r="M223" s="72"/>
      <c r="N223" s="195"/>
      <c r="O223" s="507" t="str">
        <f t="shared" si="19"/>
        <v/>
      </c>
      <c r="P223" s="521" t="str">
        <f t="shared" si="20"/>
        <v/>
      </c>
      <c r="Q223" s="564" t="str">
        <f>IFERROR(IF(P223="Check Data ⚠","Check Data ⚠",VLOOKUP(P223,'G-4 Temporal multipliers'!$A$4:$C$37,3,FALSE)),"")</f>
        <v/>
      </c>
      <c r="R223" s="498" t="str">
        <f>IF(C223="","",VLOOKUP(C223,'G-7 Rivers Data'!$B$4:$G$8,4,FALSE))</f>
        <v/>
      </c>
      <c r="S223" s="507" t="str">
        <f t="shared" si="21"/>
        <v/>
      </c>
      <c r="T223" s="540" t="str">
        <f t="shared" si="22"/>
        <v/>
      </c>
      <c r="U223" s="499" t="str">
        <f t="shared" si="23"/>
        <v/>
      </c>
      <c r="V223" s="71"/>
      <c r="W223" s="499" t="str">
        <f>IF(V223="","",IF(VLOOKUP(V223,'G-7 Rivers Data'!$AA$4:$AB$7,2,FALSE)=0,"Spatial Data Missing ⚠",VLOOKUP(V223,'G-7 Rivers Data'!$AA$4:$AB$7,2,FALSE)))</f>
        <v/>
      </c>
      <c r="X223" s="155"/>
      <c r="Y223" s="499" t="str">
        <f>IF(X223="","",IF(VLOOKUP(X223,'G-7 Rivers Data'!$AD$4:$AE$8,2,FALSE)=0,"Enrcoachment Data Missing ⚠",VLOOKUP(X223,'G-7 Rivers Data'!$AD$4:$AE$8,2,FALSE)))</f>
        <v/>
      </c>
      <c r="Z223" s="154"/>
      <c r="AA223" s="524" t="str">
        <f>IF(Z223="","",VLOOKUP(Z223,'G-7 Rivers Data'!$AO$4:$AP$7,2,FALSE))</f>
        <v/>
      </c>
      <c r="AB223" s="545" t="str">
        <f t="shared" si="24"/>
        <v/>
      </c>
      <c r="AC223" s="149"/>
      <c r="AD223" s="150"/>
      <c r="AK223" s="31" t="str">
        <f>IFERROR(INDEX('G-7 Rivers Data'!$AZ$3:$AZ$7,MATCH(C223,'G-7 Rivers Data'!$AY$3:$AY$7,0)),"")</f>
        <v/>
      </c>
    </row>
    <row r="224" spans="2:37" ht="13.8" x14ac:dyDescent="0.25">
      <c r="B224" s="141">
        <v>213</v>
      </c>
      <c r="C224" s="666"/>
      <c r="D224" s="172"/>
      <c r="E224" s="498" t="str">
        <f>IF(C224="","",VLOOKUP(C224,'G-7 Rivers Data'!$B$2:$Z$9,2,FALSE))</f>
        <v/>
      </c>
      <c r="F224" s="499" t="str">
        <f>IFERROR(VLOOKUP(E224,'G-7 Rivers Data'!$C$4:$D$8,2,FALSE),"")</f>
        <v/>
      </c>
      <c r="G224" s="145"/>
      <c r="H224" s="499" t="str">
        <f>IFERROR(INDEX('G-7 Rivers Data'!$H$4:$L$8,MATCH(C224,'G-7 Rivers Data'!$B$4:$B$8,0),MATCH(G224,'G-7 Rivers Data'!$H$3:$L$3,0)),"")</f>
        <v/>
      </c>
      <c r="I224" s="145"/>
      <c r="J224" s="540" t="str">
        <f>IF(I224="","",IF(VLOOKUP(I224,'G-7 Rivers Data'!$AG$4:$AI$9,2,FALSE)=0,"Spatial Data Missing ⚠",VLOOKUP(I224,'G-7 Rivers Data'!$AG$4:$AI$9,2,FALSE)))</f>
        <v/>
      </c>
      <c r="K224" s="499" t="str">
        <f>IF(I224="","",IF(VLOOKUP(I224,'G-7 Rivers Data'!$AG$4:$AI$9,3,FALSE)=0,"Spatial Data Missing ⚠",VLOOKUP(I224,'G-7 Rivers Data'!$AG$4:$AI$9,3,FALSE)))</f>
        <v/>
      </c>
      <c r="L224" s="635" t="str">
        <f>IFERROR(INDEX('G-7 Rivers Data'!$O$3:$O$7,MATCH(G224,'G-7 Rivers Data'!$N$3:$N$7,0)),"")</f>
        <v/>
      </c>
      <c r="M224" s="72"/>
      <c r="N224" s="195"/>
      <c r="O224" s="507" t="str">
        <f t="shared" si="19"/>
        <v/>
      </c>
      <c r="P224" s="521" t="str">
        <f t="shared" si="20"/>
        <v/>
      </c>
      <c r="Q224" s="564" t="str">
        <f>IFERROR(IF(P224="Check Data ⚠","Check Data ⚠",VLOOKUP(P224,'G-4 Temporal multipliers'!$A$4:$C$37,3,FALSE)),"")</f>
        <v/>
      </c>
      <c r="R224" s="498" t="str">
        <f>IF(C224="","",VLOOKUP(C224,'G-7 Rivers Data'!$B$4:$G$8,4,FALSE))</f>
        <v/>
      </c>
      <c r="S224" s="507" t="str">
        <f t="shared" si="21"/>
        <v/>
      </c>
      <c r="T224" s="540" t="str">
        <f t="shared" si="22"/>
        <v/>
      </c>
      <c r="U224" s="499" t="str">
        <f t="shared" si="23"/>
        <v/>
      </c>
      <c r="V224" s="71"/>
      <c r="W224" s="499" t="str">
        <f>IF(V224="","",IF(VLOOKUP(V224,'G-7 Rivers Data'!$AA$4:$AB$7,2,FALSE)=0,"Spatial Data Missing ⚠",VLOOKUP(V224,'G-7 Rivers Data'!$AA$4:$AB$7,2,FALSE)))</f>
        <v/>
      </c>
      <c r="X224" s="155"/>
      <c r="Y224" s="499" t="str">
        <f>IF(X224="","",IF(VLOOKUP(X224,'G-7 Rivers Data'!$AD$4:$AE$8,2,FALSE)=0,"Enrcoachment Data Missing ⚠",VLOOKUP(X224,'G-7 Rivers Data'!$AD$4:$AE$8,2,FALSE)))</f>
        <v/>
      </c>
      <c r="Z224" s="154"/>
      <c r="AA224" s="524" t="str">
        <f>IF(Z224="","",VLOOKUP(Z224,'G-7 Rivers Data'!$AO$4:$AP$7,2,FALSE))</f>
        <v/>
      </c>
      <c r="AB224" s="545" t="str">
        <f t="shared" si="24"/>
        <v/>
      </c>
      <c r="AC224" s="149"/>
      <c r="AD224" s="150"/>
      <c r="AK224" s="31" t="str">
        <f>IFERROR(INDEX('G-7 Rivers Data'!$AZ$3:$AZ$7,MATCH(C224,'G-7 Rivers Data'!$AY$3:$AY$7,0)),"")</f>
        <v/>
      </c>
    </row>
    <row r="225" spans="2:37" ht="13.8" x14ac:dyDescent="0.25">
      <c r="B225" s="141">
        <v>214</v>
      </c>
      <c r="C225" s="666"/>
      <c r="D225" s="172"/>
      <c r="E225" s="498" t="str">
        <f>IF(C225="","",VLOOKUP(C225,'G-7 Rivers Data'!$B$2:$Z$9,2,FALSE))</f>
        <v/>
      </c>
      <c r="F225" s="499" t="str">
        <f>IFERROR(VLOOKUP(E225,'G-7 Rivers Data'!$C$4:$D$8,2,FALSE),"")</f>
        <v/>
      </c>
      <c r="G225" s="145"/>
      <c r="H225" s="499" t="str">
        <f>IFERROR(INDEX('G-7 Rivers Data'!$H$4:$L$8,MATCH(C225,'G-7 Rivers Data'!$B$4:$B$8,0),MATCH(G225,'G-7 Rivers Data'!$H$3:$L$3,0)),"")</f>
        <v/>
      </c>
      <c r="I225" s="145"/>
      <c r="J225" s="540" t="str">
        <f>IF(I225="","",IF(VLOOKUP(I225,'G-7 Rivers Data'!$AG$4:$AI$9,2,FALSE)=0,"Spatial Data Missing ⚠",VLOOKUP(I225,'G-7 Rivers Data'!$AG$4:$AI$9,2,FALSE)))</f>
        <v/>
      </c>
      <c r="K225" s="499" t="str">
        <f>IF(I225="","",IF(VLOOKUP(I225,'G-7 Rivers Data'!$AG$4:$AI$9,3,FALSE)=0,"Spatial Data Missing ⚠",VLOOKUP(I225,'G-7 Rivers Data'!$AG$4:$AI$9,3,FALSE)))</f>
        <v/>
      </c>
      <c r="L225" s="635" t="str">
        <f>IFERROR(INDEX('G-7 Rivers Data'!$O$3:$O$7,MATCH(G225,'G-7 Rivers Data'!$N$3:$N$7,0)),"")</f>
        <v/>
      </c>
      <c r="M225" s="72"/>
      <c r="N225" s="195"/>
      <c r="O225" s="507" t="str">
        <f t="shared" si="19"/>
        <v/>
      </c>
      <c r="P225" s="521" t="str">
        <f t="shared" si="20"/>
        <v/>
      </c>
      <c r="Q225" s="564" t="str">
        <f>IFERROR(IF(P225="Check Data ⚠","Check Data ⚠",VLOOKUP(P225,'G-4 Temporal multipliers'!$A$4:$C$37,3,FALSE)),"")</f>
        <v/>
      </c>
      <c r="R225" s="498" t="str">
        <f>IF(C225="","",VLOOKUP(C225,'G-7 Rivers Data'!$B$4:$G$8,4,FALSE))</f>
        <v/>
      </c>
      <c r="S225" s="507" t="str">
        <f t="shared" si="21"/>
        <v/>
      </c>
      <c r="T225" s="540" t="str">
        <f t="shared" si="22"/>
        <v/>
      </c>
      <c r="U225" s="499" t="str">
        <f t="shared" si="23"/>
        <v/>
      </c>
      <c r="V225" s="71"/>
      <c r="W225" s="499" t="str">
        <f>IF(V225="","",IF(VLOOKUP(V225,'G-7 Rivers Data'!$AA$4:$AB$7,2,FALSE)=0,"Spatial Data Missing ⚠",VLOOKUP(V225,'G-7 Rivers Data'!$AA$4:$AB$7,2,FALSE)))</f>
        <v/>
      </c>
      <c r="X225" s="155"/>
      <c r="Y225" s="499" t="str">
        <f>IF(X225="","",IF(VLOOKUP(X225,'G-7 Rivers Data'!$AD$4:$AE$8,2,FALSE)=0,"Enrcoachment Data Missing ⚠",VLOOKUP(X225,'G-7 Rivers Data'!$AD$4:$AE$8,2,FALSE)))</f>
        <v/>
      </c>
      <c r="Z225" s="154"/>
      <c r="AA225" s="524" t="str">
        <f>IF(Z225="","",VLOOKUP(Z225,'G-7 Rivers Data'!$AO$4:$AP$7,2,FALSE))</f>
        <v/>
      </c>
      <c r="AB225" s="545" t="str">
        <f t="shared" si="24"/>
        <v/>
      </c>
      <c r="AC225" s="149"/>
      <c r="AD225" s="150"/>
      <c r="AK225" s="31" t="str">
        <f>IFERROR(INDEX('G-7 Rivers Data'!$AZ$3:$AZ$7,MATCH(C225,'G-7 Rivers Data'!$AY$3:$AY$7,0)),"")</f>
        <v/>
      </c>
    </row>
    <row r="226" spans="2:37" ht="13.8" x14ac:dyDescent="0.25">
      <c r="B226" s="141">
        <v>215</v>
      </c>
      <c r="C226" s="666"/>
      <c r="D226" s="172"/>
      <c r="E226" s="498" t="str">
        <f>IF(C226="","",VLOOKUP(C226,'G-7 Rivers Data'!$B$2:$Z$9,2,FALSE))</f>
        <v/>
      </c>
      <c r="F226" s="499" t="str">
        <f>IFERROR(VLOOKUP(E226,'G-7 Rivers Data'!$C$4:$D$8,2,FALSE),"")</f>
        <v/>
      </c>
      <c r="G226" s="145"/>
      <c r="H226" s="499" t="str">
        <f>IFERROR(INDEX('G-7 Rivers Data'!$H$4:$L$8,MATCH(C226,'G-7 Rivers Data'!$B$4:$B$8,0),MATCH(G226,'G-7 Rivers Data'!$H$3:$L$3,0)),"")</f>
        <v/>
      </c>
      <c r="I226" s="145"/>
      <c r="J226" s="540" t="str">
        <f>IF(I226="","",IF(VLOOKUP(I226,'G-7 Rivers Data'!$AG$4:$AI$9,2,FALSE)=0,"Spatial Data Missing ⚠",VLOOKUP(I226,'G-7 Rivers Data'!$AG$4:$AI$9,2,FALSE)))</f>
        <v/>
      </c>
      <c r="K226" s="499" t="str">
        <f>IF(I226="","",IF(VLOOKUP(I226,'G-7 Rivers Data'!$AG$4:$AI$9,3,FALSE)=0,"Spatial Data Missing ⚠",VLOOKUP(I226,'G-7 Rivers Data'!$AG$4:$AI$9,3,FALSE)))</f>
        <v/>
      </c>
      <c r="L226" s="635" t="str">
        <f>IFERROR(INDEX('G-7 Rivers Data'!$O$3:$O$7,MATCH(G226,'G-7 Rivers Data'!$N$3:$N$7,0)),"")</f>
        <v/>
      </c>
      <c r="M226" s="72"/>
      <c r="N226" s="195"/>
      <c r="O226" s="507" t="str">
        <f t="shared" si="19"/>
        <v/>
      </c>
      <c r="P226" s="521" t="str">
        <f t="shared" si="20"/>
        <v/>
      </c>
      <c r="Q226" s="564" t="str">
        <f>IFERROR(IF(P226="Check Data ⚠","Check Data ⚠",VLOOKUP(P226,'G-4 Temporal multipliers'!$A$4:$C$37,3,FALSE)),"")</f>
        <v/>
      </c>
      <c r="R226" s="498" t="str">
        <f>IF(C226="","",VLOOKUP(C226,'G-7 Rivers Data'!$B$4:$G$8,4,FALSE))</f>
        <v/>
      </c>
      <c r="S226" s="507" t="str">
        <f t="shared" si="21"/>
        <v/>
      </c>
      <c r="T226" s="540" t="str">
        <f t="shared" si="22"/>
        <v/>
      </c>
      <c r="U226" s="499" t="str">
        <f t="shared" si="23"/>
        <v/>
      </c>
      <c r="V226" s="71"/>
      <c r="W226" s="499" t="str">
        <f>IF(V226="","",IF(VLOOKUP(V226,'G-7 Rivers Data'!$AA$4:$AB$7,2,FALSE)=0,"Spatial Data Missing ⚠",VLOOKUP(V226,'G-7 Rivers Data'!$AA$4:$AB$7,2,FALSE)))</f>
        <v/>
      </c>
      <c r="X226" s="155"/>
      <c r="Y226" s="499" t="str">
        <f>IF(X226="","",IF(VLOOKUP(X226,'G-7 Rivers Data'!$AD$4:$AE$8,2,FALSE)=0,"Enrcoachment Data Missing ⚠",VLOOKUP(X226,'G-7 Rivers Data'!$AD$4:$AE$8,2,FALSE)))</f>
        <v/>
      </c>
      <c r="Z226" s="154"/>
      <c r="AA226" s="524" t="str">
        <f>IF(Z226="","",VLOOKUP(Z226,'G-7 Rivers Data'!$AO$4:$AP$7,2,FALSE))</f>
        <v/>
      </c>
      <c r="AB226" s="545" t="str">
        <f t="shared" si="24"/>
        <v/>
      </c>
      <c r="AC226" s="149"/>
      <c r="AD226" s="150"/>
      <c r="AK226" s="31" t="str">
        <f>IFERROR(INDEX('G-7 Rivers Data'!$AZ$3:$AZ$7,MATCH(C226,'G-7 Rivers Data'!$AY$3:$AY$7,0)),"")</f>
        <v/>
      </c>
    </row>
    <row r="227" spans="2:37" ht="13.8" x14ac:dyDescent="0.25">
      <c r="B227" s="141">
        <v>216</v>
      </c>
      <c r="C227" s="666"/>
      <c r="D227" s="172"/>
      <c r="E227" s="498" t="str">
        <f>IF(C227="","",VLOOKUP(C227,'G-7 Rivers Data'!$B$2:$Z$9,2,FALSE))</f>
        <v/>
      </c>
      <c r="F227" s="499" t="str">
        <f>IFERROR(VLOOKUP(E227,'G-7 Rivers Data'!$C$4:$D$8,2,FALSE),"")</f>
        <v/>
      </c>
      <c r="G227" s="145"/>
      <c r="H227" s="499" t="str">
        <f>IFERROR(INDEX('G-7 Rivers Data'!$H$4:$L$8,MATCH(C227,'G-7 Rivers Data'!$B$4:$B$8,0),MATCH(G227,'G-7 Rivers Data'!$H$3:$L$3,0)),"")</f>
        <v/>
      </c>
      <c r="I227" s="145"/>
      <c r="J227" s="540" t="str">
        <f>IF(I227="","",IF(VLOOKUP(I227,'G-7 Rivers Data'!$AG$4:$AI$9,2,FALSE)=0,"Spatial Data Missing ⚠",VLOOKUP(I227,'G-7 Rivers Data'!$AG$4:$AI$9,2,FALSE)))</f>
        <v/>
      </c>
      <c r="K227" s="499" t="str">
        <f>IF(I227="","",IF(VLOOKUP(I227,'G-7 Rivers Data'!$AG$4:$AI$9,3,FALSE)=0,"Spatial Data Missing ⚠",VLOOKUP(I227,'G-7 Rivers Data'!$AG$4:$AI$9,3,FALSE)))</f>
        <v/>
      </c>
      <c r="L227" s="635" t="str">
        <f>IFERROR(INDEX('G-7 Rivers Data'!$O$3:$O$7,MATCH(G227,'G-7 Rivers Data'!$N$3:$N$7,0)),"")</f>
        <v/>
      </c>
      <c r="M227" s="72"/>
      <c r="N227" s="195"/>
      <c r="O227" s="507" t="str">
        <f t="shared" si="19"/>
        <v/>
      </c>
      <c r="P227" s="521" t="str">
        <f t="shared" si="20"/>
        <v/>
      </c>
      <c r="Q227" s="564" t="str">
        <f>IFERROR(IF(P227="Check Data ⚠","Check Data ⚠",VLOOKUP(P227,'G-4 Temporal multipliers'!$A$4:$C$37,3,FALSE)),"")</f>
        <v/>
      </c>
      <c r="R227" s="498" t="str">
        <f>IF(C227="","",VLOOKUP(C227,'G-7 Rivers Data'!$B$4:$G$8,4,FALSE))</f>
        <v/>
      </c>
      <c r="S227" s="507" t="str">
        <f t="shared" si="21"/>
        <v/>
      </c>
      <c r="T227" s="540" t="str">
        <f t="shared" si="22"/>
        <v/>
      </c>
      <c r="U227" s="499" t="str">
        <f t="shared" si="23"/>
        <v/>
      </c>
      <c r="V227" s="71"/>
      <c r="W227" s="499" t="str">
        <f>IF(V227="","",IF(VLOOKUP(V227,'G-7 Rivers Data'!$AA$4:$AB$7,2,FALSE)=0,"Spatial Data Missing ⚠",VLOOKUP(V227,'G-7 Rivers Data'!$AA$4:$AB$7,2,FALSE)))</f>
        <v/>
      </c>
      <c r="X227" s="155"/>
      <c r="Y227" s="499" t="str">
        <f>IF(X227="","",IF(VLOOKUP(X227,'G-7 Rivers Data'!$AD$4:$AE$8,2,FALSE)=0,"Enrcoachment Data Missing ⚠",VLOOKUP(X227,'G-7 Rivers Data'!$AD$4:$AE$8,2,FALSE)))</f>
        <v/>
      </c>
      <c r="Z227" s="154"/>
      <c r="AA227" s="524" t="str">
        <f>IF(Z227="","",VLOOKUP(Z227,'G-7 Rivers Data'!$AO$4:$AP$7,2,FALSE))</f>
        <v/>
      </c>
      <c r="AB227" s="545" t="str">
        <f t="shared" si="24"/>
        <v/>
      </c>
      <c r="AC227" s="149"/>
      <c r="AD227" s="150"/>
      <c r="AK227" s="31" t="str">
        <f>IFERROR(INDEX('G-7 Rivers Data'!$AZ$3:$AZ$7,MATCH(C227,'G-7 Rivers Data'!$AY$3:$AY$7,0)),"")</f>
        <v/>
      </c>
    </row>
    <row r="228" spans="2:37" ht="13.8" x14ac:dyDescent="0.25">
      <c r="B228" s="141">
        <v>217</v>
      </c>
      <c r="C228" s="666"/>
      <c r="D228" s="172"/>
      <c r="E228" s="498" t="str">
        <f>IF(C228="","",VLOOKUP(C228,'G-7 Rivers Data'!$B$2:$Z$9,2,FALSE))</f>
        <v/>
      </c>
      <c r="F228" s="499" t="str">
        <f>IFERROR(VLOOKUP(E228,'G-7 Rivers Data'!$C$4:$D$8,2,FALSE),"")</f>
        <v/>
      </c>
      <c r="G228" s="145"/>
      <c r="H228" s="499" t="str">
        <f>IFERROR(INDEX('G-7 Rivers Data'!$H$4:$L$8,MATCH(C228,'G-7 Rivers Data'!$B$4:$B$8,0),MATCH(G228,'G-7 Rivers Data'!$H$3:$L$3,0)),"")</f>
        <v/>
      </c>
      <c r="I228" s="145"/>
      <c r="J228" s="540" t="str">
        <f>IF(I228="","",IF(VLOOKUP(I228,'G-7 Rivers Data'!$AG$4:$AI$9,2,FALSE)=0,"Spatial Data Missing ⚠",VLOOKUP(I228,'G-7 Rivers Data'!$AG$4:$AI$9,2,FALSE)))</f>
        <v/>
      </c>
      <c r="K228" s="499" t="str">
        <f>IF(I228="","",IF(VLOOKUP(I228,'G-7 Rivers Data'!$AG$4:$AI$9,3,FALSE)=0,"Spatial Data Missing ⚠",VLOOKUP(I228,'G-7 Rivers Data'!$AG$4:$AI$9,3,FALSE)))</f>
        <v/>
      </c>
      <c r="L228" s="635" t="str">
        <f>IFERROR(INDEX('G-7 Rivers Data'!$O$3:$O$7,MATCH(G228,'G-7 Rivers Data'!$N$3:$N$7,0)),"")</f>
        <v/>
      </c>
      <c r="M228" s="72"/>
      <c r="N228" s="195"/>
      <c r="O228" s="507" t="str">
        <f t="shared" si="19"/>
        <v/>
      </c>
      <c r="P228" s="521" t="str">
        <f t="shared" si="20"/>
        <v/>
      </c>
      <c r="Q228" s="564" t="str">
        <f>IFERROR(IF(P228="Check Data ⚠","Check Data ⚠",VLOOKUP(P228,'G-4 Temporal multipliers'!$A$4:$C$37,3,FALSE)),"")</f>
        <v/>
      </c>
      <c r="R228" s="498" t="str">
        <f>IF(C228="","",VLOOKUP(C228,'G-7 Rivers Data'!$B$4:$G$8,4,FALSE))</f>
        <v/>
      </c>
      <c r="S228" s="507" t="str">
        <f t="shared" si="21"/>
        <v/>
      </c>
      <c r="T228" s="540" t="str">
        <f t="shared" si="22"/>
        <v/>
      </c>
      <c r="U228" s="499" t="str">
        <f t="shared" si="23"/>
        <v/>
      </c>
      <c r="V228" s="71"/>
      <c r="W228" s="499" t="str">
        <f>IF(V228="","",IF(VLOOKUP(V228,'G-7 Rivers Data'!$AA$4:$AB$7,2,FALSE)=0,"Spatial Data Missing ⚠",VLOOKUP(V228,'G-7 Rivers Data'!$AA$4:$AB$7,2,FALSE)))</f>
        <v/>
      </c>
      <c r="X228" s="155"/>
      <c r="Y228" s="499" t="str">
        <f>IF(X228="","",IF(VLOOKUP(X228,'G-7 Rivers Data'!$AD$4:$AE$8,2,FALSE)=0,"Enrcoachment Data Missing ⚠",VLOOKUP(X228,'G-7 Rivers Data'!$AD$4:$AE$8,2,FALSE)))</f>
        <v/>
      </c>
      <c r="Z228" s="154"/>
      <c r="AA228" s="524" t="str">
        <f>IF(Z228="","",VLOOKUP(Z228,'G-7 Rivers Data'!$AO$4:$AP$7,2,FALSE))</f>
        <v/>
      </c>
      <c r="AB228" s="545" t="str">
        <f t="shared" si="24"/>
        <v/>
      </c>
      <c r="AC228" s="149"/>
      <c r="AD228" s="150"/>
      <c r="AK228" s="31" t="str">
        <f>IFERROR(INDEX('G-7 Rivers Data'!$AZ$3:$AZ$7,MATCH(C228,'G-7 Rivers Data'!$AY$3:$AY$7,0)),"")</f>
        <v/>
      </c>
    </row>
    <row r="229" spans="2:37" ht="13.8" x14ac:dyDescent="0.25">
      <c r="B229" s="141">
        <v>218</v>
      </c>
      <c r="C229" s="666"/>
      <c r="D229" s="172"/>
      <c r="E229" s="498" t="str">
        <f>IF(C229="","",VLOOKUP(C229,'G-7 Rivers Data'!$B$2:$Z$9,2,FALSE))</f>
        <v/>
      </c>
      <c r="F229" s="499" t="str">
        <f>IFERROR(VLOOKUP(E229,'G-7 Rivers Data'!$C$4:$D$8,2,FALSE),"")</f>
        <v/>
      </c>
      <c r="G229" s="145"/>
      <c r="H229" s="499" t="str">
        <f>IFERROR(INDEX('G-7 Rivers Data'!$H$4:$L$8,MATCH(C229,'G-7 Rivers Data'!$B$4:$B$8,0),MATCH(G229,'G-7 Rivers Data'!$H$3:$L$3,0)),"")</f>
        <v/>
      </c>
      <c r="I229" s="145"/>
      <c r="J229" s="540" t="str">
        <f>IF(I229="","",IF(VLOOKUP(I229,'G-7 Rivers Data'!$AG$4:$AI$9,2,FALSE)=0,"Spatial Data Missing ⚠",VLOOKUP(I229,'G-7 Rivers Data'!$AG$4:$AI$9,2,FALSE)))</f>
        <v/>
      </c>
      <c r="K229" s="499" t="str">
        <f>IF(I229="","",IF(VLOOKUP(I229,'G-7 Rivers Data'!$AG$4:$AI$9,3,FALSE)=0,"Spatial Data Missing ⚠",VLOOKUP(I229,'G-7 Rivers Data'!$AG$4:$AI$9,3,FALSE)))</f>
        <v/>
      </c>
      <c r="L229" s="635" t="str">
        <f>IFERROR(INDEX('G-7 Rivers Data'!$O$3:$O$7,MATCH(G229,'G-7 Rivers Data'!$N$3:$N$7,0)),"")</f>
        <v/>
      </c>
      <c r="M229" s="72"/>
      <c r="N229" s="195"/>
      <c r="O229" s="507" t="str">
        <f t="shared" si="19"/>
        <v/>
      </c>
      <c r="P229" s="521" t="str">
        <f t="shared" si="20"/>
        <v/>
      </c>
      <c r="Q229" s="564" t="str">
        <f>IFERROR(IF(P229="Check Data ⚠","Check Data ⚠",VLOOKUP(P229,'G-4 Temporal multipliers'!$A$4:$C$37,3,FALSE)),"")</f>
        <v/>
      </c>
      <c r="R229" s="498" t="str">
        <f>IF(C229="","",VLOOKUP(C229,'G-7 Rivers Data'!$B$4:$G$8,4,FALSE))</f>
        <v/>
      </c>
      <c r="S229" s="507" t="str">
        <f t="shared" si="21"/>
        <v/>
      </c>
      <c r="T229" s="540" t="str">
        <f t="shared" si="22"/>
        <v/>
      </c>
      <c r="U229" s="499" t="str">
        <f t="shared" si="23"/>
        <v/>
      </c>
      <c r="V229" s="71"/>
      <c r="W229" s="499" t="str">
        <f>IF(V229="","",IF(VLOOKUP(V229,'G-7 Rivers Data'!$AA$4:$AB$7,2,FALSE)=0,"Spatial Data Missing ⚠",VLOOKUP(V229,'G-7 Rivers Data'!$AA$4:$AB$7,2,FALSE)))</f>
        <v/>
      </c>
      <c r="X229" s="155"/>
      <c r="Y229" s="499" t="str">
        <f>IF(X229="","",IF(VLOOKUP(X229,'G-7 Rivers Data'!$AD$4:$AE$8,2,FALSE)=0,"Enrcoachment Data Missing ⚠",VLOOKUP(X229,'G-7 Rivers Data'!$AD$4:$AE$8,2,FALSE)))</f>
        <v/>
      </c>
      <c r="Z229" s="154"/>
      <c r="AA229" s="524" t="str">
        <f>IF(Z229="","",VLOOKUP(Z229,'G-7 Rivers Data'!$AO$4:$AP$7,2,FALSE))</f>
        <v/>
      </c>
      <c r="AB229" s="545" t="str">
        <f t="shared" si="24"/>
        <v/>
      </c>
      <c r="AC229" s="149"/>
      <c r="AD229" s="150"/>
      <c r="AK229" s="31" t="str">
        <f>IFERROR(INDEX('G-7 Rivers Data'!$AZ$3:$AZ$7,MATCH(C229,'G-7 Rivers Data'!$AY$3:$AY$7,0)),"")</f>
        <v/>
      </c>
    </row>
    <row r="230" spans="2:37" ht="13.8" x14ac:dyDescent="0.25">
      <c r="B230" s="141">
        <v>219</v>
      </c>
      <c r="C230" s="666"/>
      <c r="D230" s="172"/>
      <c r="E230" s="498" t="str">
        <f>IF(C230="","",VLOOKUP(C230,'G-7 Rivers Data'!$B$2:$Z$9,2,FALSE))</f>
        <v/>
      </c>
      <c r="F230" s="499" t="str">
        <f>IFERROR(VLOOKUP(E230,'G-7 Rivers Data'!$C$4:$D$8,2,FALSE),"")</f>
        <v/>
      </c>
      <c r="G230" s="145"/>
      <c r="H230" s="499" t="str">
        <f>IFERROR(INDEX('G-7 Rivers Data'!$H$4:$L$8,MATCH(C230,'G-7 Rivers Data'!$B$4:$B$8,0),MATCH(G230,'G-7 Rivers Data'!$H$3:$L$3,0)),"")</f>
        <v/>
      </c>
      <c r="I230" s="145"/>
      <c r="J230" s="540" t="str">
        <f>IF(I230="","",IF(VLOOKUP(I230,'G-7 Rivers Data'!$AG$4:$AI$9,2,FALSE)=0,"Spatial Data Missing ⚠",VLOOKUP(I230,'G-7 Rivers Data'!$AG$4:$AI$9,2,FALSE)))</f>
        <v/>
      </c>
      <c r="K230" s="499" t="str">
        <f>IF(I230="","",IF(VLOOKUP(I230,'G-7 Rivers Data'!$AG$4:$AI$9,3,FALSE)=0,"Spatial Data Missing ⚠",VLOOKUP(I230,'G-7 Rivers Data'!$AG$4:$AI$9,3,FALSE)))</f>
        <v/>
      </c>
      <c r="L230" s="635" t="str">
        <f>IFERROR(INDEX('G-7 Rivers Data'!$O$3:$O$7,MATCH(G230,'G-7 Rivers Data'!$N$3:$N$7,0)),"")</f>
        <v/>
      </c>
      <c r="M230" s="72"/>
      <c r="N230" s="195"/>
      <c r="O230" s="507" t="str">
        <f t="shared" si="19"/>
        <v/>
      </c>
      <c r="P230" s="521" t="str">
        <f t="shared" si="20"/>
        <v/>
      </c>
      <c r="Q230" s="564" t="str">
        <f>IFERROR(IF(P230="Check Data ⚠","Check Data ⚠",VLOOKUP(P230,'G-4 Temporal multipliers'!$A$4:$C$37,3,FALSE)),"")</f>
        <v/>
      </c>
      <c r="R230" s="498" t="str">
        <f>IF(C230="","",VLOOKUP(C230,'G-7 Rivers Data'!$B$4:$G$8,4,FALSE))</f>
        <v/>
      </c>
      <c r="S230" s="507" t="str">
        <f t="shared" si="21"/>
        <v/>
      </c>
      <c r="T230" s="540" t="str">
        <f t="shared" si="22"/>
        <v/>
      </c>
      <c r="U230" s="499" t="str">
        <f t="shared" si="23"/>
        <v/>
      </c>
      <c r="V230" s="71"/>
      <c r="W230" s="499" t="str">
        <f>IF(V230="","",IF(VLOOKUP(V230,'G-7 Rivers Data'!$AA$4:$AB$7,2,FALSE)=0,"Spatial Data Missing ⚠",VLOOKUP(V230,'G-7 Rivers Data'!$AA$4:$AB$7,2,FALSE)))</f>
        <v/>
      </c>
      <c r="X230" s="155"/>
      <c r="Y230" s="499" t="str">
        <f>IF(X230="","",IF(VLOOKUP(X230,'G-7 Rivers Data'!$AD$4:$AE$8,2,FALSE)=0,"Enrcoachment Data Missing ⚠",VLOOKUP(X230,'G-7 Rivers Data'!$AD$4:$AE$8,2,FALSE)))</f>
        <v/>
      </c>
      <c r="Z230" s="154"/>
      <c r="AA230" s="524" t="str">
        <f>IF(Z230="","",VLOOKUP(Z230,'G-7 Rivers Data'!$AO$4:$AP$7,2,FALSE))</f>
        <v/>
      </c>
      <c r="AB230" s="545" t="str">
        <f t="shared" si="24"/>
        <v/>
      </c>
      <c r="AC230" s="149"/>
      <c r="AD230" s="150"/>
      <c r="AK230" s="31" t="str">
        <f>IFERROR(INDEX('G-7 Rivers Data'!$AZ$3:$AZ$7,MATCH(C230,'G-7 Rivers Data'!$AY$3:$AY$7,0)),"")</f>
        <v/>
      </c>
    </row>
    <row r="231" spans="2:37" ht="13.8" x14ac:dyDescent="0.25">
      <c r="B231" s="141">
        <v>220</v>
      </c>
      <c r="C231" s="666"/>
      <c r="D231" s="172"/>
      <c r="E231" s="498" t="str">
        <f>IF(C231="","",VLOOKUP(C231,'G-7 Rivers Data'!$B$2:$Z$9,2,FALSE))</f>
        <v/>
      </c>
      <c r="F231" s="499" t="str">
        <f>IFERROR(VLOOKUP(E231,'G-7 Rivers Data'!$C$4:$D$8,2,FALSE),"")</f>
        <v/>
      </c>
      <c r="G231" s="145"/>
      <c r="H231" s="499" t="str">
        <f>IFERROR(INDEX('G-7 Rivers Data'!$H$4:$L$8,MATCH(C231,'G-7 Rivers Data'!$B$4:$B$8,0),MATCH(G231,'G-7 Rivers Data'!$H$3:$L$3,0)),"")</f>
        <v/>
      </c>
      <c r="I231" s="145"/>
      <c r="J231" s="540" t="str">
        <f>IF(I231="","",IF(VLOOKUP(I231,'G-7 Rivers Data'!$AG$4:$AI$9,2,FALSE)=0,"Spatial Data Missing ⚠",VLOOKUP(I231,'G-7 Rivers Data'!$AG$4:$AI$9,2,FALSE)))</f>
        <v/>
      </c>
      <c r="K231" s="499" t="str">
        <f>IF(I231="","",IF(VLOOKUP(I231,'G-7 Rivers Data'!$AG$4:$AI$9,3,FALSE)=0,"Spatial Data Missing ⚠",VLOOKUP(I231,'G-7 Rivers Data'!$AG$4:$AI$9,3,FALSE)))</f>
        <v/>
      </c>
      <c r="L231" s="635" t="str">
        <f>IFERROR(INDEX('G-7 Rivers Data'!$O$3:$O$7,MATCH(G231,'G-7 Rivers Data'!$N$3:$N$7,0)),"")</f>
        <v/>
      </c>
      <c r="M231" s="72"/>
      <c r="N231" s="195"/>
      <c r="O231" s="507" t="str">
        <f t="shared" si="19"/>
        <v/>
      </c>
      <c r="P231" s="521" t="str">
        <f t="shared" si="20"/>
        <v/>
      </c>
      <c r="Q231" s="564" t="str">
        <f>IFERROR(IF(P231="Check Data ⚠","Check Data ⚠",VLOOKUP(P231,'G-4 Temporal multipliers'!$A$4:$C$37,3,FALSE)),"")</f>
        <v/>
      </c>
      <c r="R231" s="498" t="str">
        <f>IF(C231="","",VLOOKUP(C231,'G-7 Rivers Data'!$B$4:$G$8,4,FALSE))</f>
        <v/>
      </c>
      <c r="S231" s="507" t="str">
        <f t="shared" si="21"/>
        <v/>
      </c>
      <c r="T231" s="540" t="str">
        <f t="shared" si="22"/>
        <v/>
      </c>
      <c r="U231" s="499" t="str">
        <f t="shared" si="23"/>
        <v/>
      </c>
      <c r="V231" s="71"/>
      <c r="W231" s="499" t="str">
        <f>IF(V231="","",IF(VLOOKUP(V231,'G-7 Rivers Data'!$AA$4:$AB$7,2,FALSE)=0,"Spatial Data Missing ⚠",VLOOKUP(V231,'G-7 Rivers Data'!$AA$4:$AB$7,2,FALSE)))</f>
        <v/>
      </c>
      <c r="X231" s="155"/>
      <c r="Y231" s="499" t="str">
        <f>IF(X231="","",IF(VLOOKUP(X231,'G-7 Rivers Data'!$AD$4:$AE$8,2,FALSE)=0,"Enrcoachment Data Missing ⚠",VLOOKUP(X231,'G-7 Rivers Data'!$AD$4:$AE$8,2,FALSE)))</f>
        <v/>
      </c>
      <c r="Z231" s="154"/>
      <c r="AA231" s="524" t="str">
        <f>IF(Z231="","",VLOOKUP(Z231,'G-7 Rivers Data'!$AO$4:$AP$7,2,FALSE))</f>
        <v/>
      </c>
      <c r="AB231" s="545" t="str">
        <f t="shared" si="24"/>
        <v/>
      </c>
      <c r="AC231" s="149"/>
      <c r="AD231" s="150"/>
      <c r="AK231" s="31" t="str">
        <f>IFERROR(INDEX('G-7 Rivers Data'!$AZ$3:$AZ$7,MATCH(C231,'G-7 Rivers Data'!$AY$3:$AY$7,0)),"")</f>
        <v/>
      </c>
    </row>
    <row r="232" spans="2:37" ht="13.8" x14ac:dyDescent="0.25">
      <c r="B232" s="141">
        <v>221</v>
      </c>
      <c r="C232" s="666"/>
      <c r="D232" s="172"/>
      <c r="E232" s="498" t="str">
        <f>IF(C232="","",VLOOKUP(C232,'G-7 Rivers Data'!$B$2:$Z$9,2,FALSE))</f>
        <v/>
      </c>
      <c r="F232" s="499" t="str">
        <f>IFERROR(VLOOKUP(E232,'G-7 Rivers Data'!$C$4:$D$8,2,FALSE),"")</f>
        <v/>
      </c>
      <c r="G232" s="145"/>
      <c r="H232" s="499" t="str">
        <f>IFERROR(INDEX('G-7 Rivers Data'!$H$4:$L$8,MATCH(C232,'G-7 Rivers Data'!$B$4:$B$8,0),MATCH(G232,'G-7 Rivers Data'!$H$3:$L$3,0)),"")</f>
        <v/>
      </c>
      <c r="I232" s="145"/>
      <c r="J232" s="540" t="str">
        <f>IF(I232="","",IF(VLOOKUP(I232,'G-7 Rivers Data'!$AG$4:$AI$9,2,FALSE)=0,"Spatial Data Missing ⚠",VLOOKUP(I232,'G-7 Rivers Data'!$AG$4:$AI$9,2,FALSE)))</f>
        <v/>
      </c>
      <c r="K232" s="499" t="str">
        <f>IF(I232="","",IF(VLOOKUP(I232,'G-7 Rivers Data'!$AG$4:$AI$9,3,FALSE)=0,"Spatial Data Missing ⚠",VLOOKUP(I232,'G-7 Rivers Data'!$AG$4:$AI$9,3,FALSE)))</f>
        <v/>
      </c>
      <c r="L232" s="635" t="str">
        <f>IFERROR(INDEX('G-7 Rivers Data'!$O$3:$O$7,MATCH(G232,'G-7 Rivers Data'!$N$3:$N$7,0)),"")</f>
        <v/>
      </c>
      <c r="M232" s="72"/>
      <c r="N232" s="195"/>
      <c r="O232" s="507" t="str">
        <f t="shared" si="19"/>
        <v/>
      </c>
      <c r="P232" s="521" t="str">
        <f t="shared" si="20"/>
        <v/>
      </c>
      <c r="Q232" s="564" t="str">
        <f>IFERROR(IF(P232="Check Data ⚠","Check Data ⚠",VLOOKUP(P232,'G-4 Temporal multipliers'!$A$4:$C$37,3,FALSE)),"")</f>
        <v/>
      </c>
      <c r="R232" s="498" t="str">
        <f>IF(C232="","",VLOOKUP(C232,'G-7 Rivers Data'!$B$4:$G$8,4,FALSE))</f>
        <v/>
      </c>
      <c r="S232" s="507" t="str">
        <f t="shared" si="21"/>
        <v/>
      </c>
      <c r="T232" s="540" t="str">
        <f t="shared" si="22"/>
        <v/>
      </c>
      <c r="U232" s="499" t="str">
        <f t="shared" si="23"/>
        <v/>
      </c>
      <c r="V232" s="71"/>
      <c r="W232" s="499" t="str">
        <f>IF(V232="","",IF(VLOOKUP(V232,'G-7 Rivers Data'!$AA$4:$AB$7,2,FALSE)=0,"Spatial Data Missing ⚠",VLOOKUP(V232,'G-7 Rivers Data'!$AA$4:$AB$7,2,FALSE)))</f>
        <v/>
      </c>
      <c r="X232" s="155"/>
      <c r="Y232" s="499" t="str">
        <f>IF(X232="","",IF(VLOOKUP(X232,'G-7 Rivers Data'!$AD$4:$AE$8,2,FALSE)=0,"Enrcoachment Data Missing ⚠",VLOOKUP(X232,'G-7 Rivers Data'!$AD$4:$AE$8,2,FALSE)))</f>
        <v/>
      </c>
      <c r="Z232" s="154"/>
      <c r="AA232" s="524" t="str">
        <f>IF(Z232="","",VLOOKUP(Z232,'G-7 Rivers Data'!$AO$4:$AP$7,2,FALSE))</f>
        <v/>
      </c>
      <c r="AB232" s="545" t="str">
        <f t="shared" si="24"/>
        <v/>
      </c>
      <c r="AC232" s="149"/>
      <c r="AD232" s="150"/>
      <c r="AK232" s="31" t="str">
        <f>IFERROR(INDEX('G-7 Rivers Data'!$AZ$3:$AZ$7,MATCH(C232,'G-7 Rivers Data'!$AY$3:$AY$7,0)),"")</f>
        <v/>
      </c>
    </row>
    <row r="233" spans="2:37" ht="13.8" x14ac:dyDescent="0.25">
      <c r="B233" s="141">
        <v>222</v>
      </c>
      <c r="C233" s="666"/>
      <c r="D233" s="172"/>
      <c r="E233" s="498" t="str">
        <f>IF(C233="","",VLOOKUP(C233,'G-7 Rivers Data'!$B$2:$Z$9,2,FALSE))</f>
        <v/>
      </c>
      <c r="F233" s="499" t="str">
        <f>IFERROR(VLOOKUP(E233,'G-7 Rivers Data'!$C$4:$D$8,2,FALSE),"")</f>
        <v/>
      </c>
      <c r="G233" s="145"/>
      <c r="H233" s="499" t="str">
        <f>IFERROR(INDEX('G-7 Rivers Data'!$H$4:$L$8,MATCH(C233,'G-7 Rivers Data'!$B$4:$B$8,0),MATCH(G233,'G-7 Rivers Data'!$H$3:$L$3,0)),"")</f>
        <v/>
      </c>
      <c r="I233" s="145"/>
      <c r="J233" s="540" t="str">
        <f>IF(I233="","",IF(VLOOKUP(I233,'G-7 Rivers Data'!$AG$4:$AI$9,2,FALSE)=0,"Spatial Data Missing ⚠",VLOOKUP(I233,'G-7 Rivers Data'!$AG$4:$AI$9,2,FALSE)))</f>
        <v/>
      </c>
      <c r="K233" s="499" t="str">
        <f>IF(I233="","",IF(VLOOKUP(I233,'G-7 Rivers Data'!$AG$4:$AI$9,3,FALSE)=0,"Spatial Data Missing ⚠",VLOOKUP(I233,'G-7 Rivers Data'!$AG$4:$AI$9,3,FALSE)))</f>
        <v/>
      </c>
      <c r="L233" s="635" t="str">
        <f>IFERROR(INDEX('G-7 Rivers Data'!$O$3:$O$7,MATCH(G233,'G-7 Rivers Data'!$N$3:$N$7,0)),"")</f>
        <v/>
      </c>
      <c r="M233" s="72"/>
      <c r="N233" s="195"/>
      <c r="O233" s="507" t="str">
        <f t="shared" si="19"/>
        <v/>
      </c>
      <c r="P233" s="521" t="str">
        <f t="shared" si="20"/>
        <v/>
      </c>
      <c r="Q233" s="564" t="str">
        <f>IFERROR(IF(P233="Check Data ⚠","Check Data ⚠",VLOOKUP(P233,'G-4 Temporal multipliers'!$A$4:$C$37,3,FALSE)),"")</f>
        <v/>
      </c>
      <c r="R233" s="498" t="str">
        <f>IF(C233="","",VLOOKUP(C233,'G-7 Rivers Data'!$B$4:$G$8,4,FALSE))</f>
        <v/>
      </c>
      <c r="S233" s="507" t="str">
        <f t="shared" si="21"/>
        <v/>
      </c>
      <c r="T233" s="540" t="str">
        <f t="shared" si="22"/>
        <v/>
      </c>
      <c r="U233" s="499" t="str">
        <f t="shared" si="23"/>
        <v/>
      </c>
      <c r="V233" s="71"/>
      <c r="W233" s="499" t="str">
        <f>IF(V233="","",IF(VLOOKUP(V233,'G-7 Rivers Data'!$AA$4:$AB$7,2,FALSE)=0,"Spatial Data Missing ⚠",VLOOKUP(V233,'G-7 Rivers Data'!$AA$4:$AB$7,2,FALSE)))</f>
        <v/>
      </c>
      <c r="X233" s="155"/>
      <c r="Y233" s="499" t="str">
        <f>IF(X233="","",IF(VLOOKUP(X233,'G-7 Rivers Data'!$AD$4:$AE$8,2,FALSE)=0,"Enrcoachment Data Missing ⚠",VLOOKUP(X233,'G-7 Rivers Data'!$AD$4:$AE$8,2,FALSE)))</f>
        <v/>
      </c>
      <c r="Z233" s="154"/>
      <c r="AA233" s="524" t="str">
        <f>IF(Z233="","",VLOOKUP(Z233,'G-7 Rivers Data'!$AO$4:$AP$7,2,FALSE))</f>
        <v/>
      </c>
      <c r="AB233" s="545" t="str">
        <f t="shared" si="24"/>
        <v/>
      </c>
      <c r="AC233" s="149"/>
      <c r="AD233" s="150"/>
      <c r="AK233" s="31" t="str">
        <f>IFERROR(INDEX('G-7 Rivers Data'!$AZ$3:$AZ$7,MATCH(C233,'G-7 Rivers Data'!$AY$3:$AY$7,0)),"")</f>
        <v/>
      </c>
    </row>
    <row r="234" spans="2:37" ht="13.8" x14ac:dyDescent="0.25">
      <c r="B234" s="141">
        <v>223</v>
      </c>
      <c r="C234" s="666"/>
      <c r="D234" s="172"/>
      <c r="E234" s="498" t="str">
        <f>IF(C234="","",VLOOKUP(C234,'G-7 Rivers Data'!$B$2:$Z$9,2,FALSE))</f>
        <v/>
      </c>
      <c r="F234" s="499" t="str">
        <f>IFERROR(VLOOKUP(E234,'G-7 Rivers Data'!$C$4:$D$8,2,FALSE),"")</f>
        <v/>
      </c>
      <c r="G234" s="145"/>
      <c r="H234" s="499" t="str">
        <f>IFERROR(INDEX('G-7 Rivers Data'!$H$4:$L$8,MATCH(C234,'G-7 Rivers Data'!$B$4:$B$8,0),MATCH(G234,'G-7 Rivers Data'!$H$3:$L$3,0)),"")</f>
        <v/>
      </c>
      <c r="I234" s="145"/>
      <c r="J234" s="540" t="str">
        <f>IF(I234="","",IF(VLOOKUP(I234,'G-7 Rivers Data'!$AG$4:$AI$9,2,FALSE)=0,"Spatial Data Missing ⚠",VLOOKUP(I234,'G-7 Rivers Data'!$AG$4:$AI$9,2,FALSE)))</f>
        <v/>
      </c>
      <c r="K234" s="499" t="str">
        <f>IF(I234="","",IF(VLOOKUP(I234,'G-7 Rivers Data'!$AG$4:$AI$9,3,FALSE)=0,"Spatial Data Missing ⚠",VLOOKUP(I234,'G-7 Rivers Data'!$AG$4:$AI$9,3,FALSE)))</f>
        <v/>
      </c>
      <c r="L234" s="635" t="str">
        <f>IFERROR(INDEX('G-7 Rivers Data'!$O$3:$O$7,MATCH(G234,'G-7 Rivers Data'!$N$3:$N$7,0)),"")</f>
        <v/>
      </c>
      <c r="M234" s="72"/>
      <c r="N234" s="195"/>
      <c r="O234" s="507" t="str">
        <f t="shared" si="19"/>
        <v/>
      </c>
      <c r="P234" s="521" t="str">
        <f t="shared" si="20"/>
        <v/>
      </c>
      <c r="Q234" s="564" t="str">
        <f>IFERROR(IF(P234="Check Data ⚠","Check Data ⚠",VLOOKUP(P234,'G-4 Temporal multipliers'!$A$4:$C$37,3,FALSE)),"")</f>
        <v/>
      </c>
      <c r="R234" s="498" t="str">
        <f>IF(C234="","",VLOOKUP(C234,'G-7 Rivers Data'!$B$4:$G$8,4,FALSE))</f>
        <v/>
      </c>
      <c r="S234" s="507" t="str">
        <f t="shared" si="21"/>
        <v/>
      </c>
      <c r="T234" s="540" t="str">
        <f t="shared" si="22"/>
        <v/>
      </c>
      <c r="U234" s="499" t="str">
        <f t="shared" si="23"/>
        <v/>
      </c>
      <c r="V234" s="71"/>
      <c r="W234" s="499" t="str">
        <f>IF(V234="","",IF(VLOOKUP(V234,'G-7 Rivers Data'!$AA$4:$AB$7,2,FALSE)=0,"Spatial Data Missing ⚠",VLOOKUP(V234,'G-7 Rivers Data'!$AA$4:$AB$7,2,FALSE)))</f>
        <v/>
      </c>
      <c r="X234" s="155"/>
      <c r="Y234" s="499" t="str">
        <f>IF(X234="","",IF(VLOOKUP(X234,'G-7 Rivers Data'!$AD$4:$AE$8,2,FALSE)=0,"Enrcoachment Data Missing ⚠",VLOOKUP(X234,'G-7 Rivers Data'!$AD$4:$AE$8,2,FALSE)))</f>
        <v/>
      </c>
      <c r="Z234" s="154"/>
      <c r="AA234" s="524" t="str">
        <f>IF(Z234="","",VLOOKUP(Z234,'G-7 Rivers Data'!$AO$4:$AP$7,2,FALSE))</f>
        <v/>
      </c>
      <c r="AB234" s="545" t="str">
        <f t="shared" si="24"/>
        <v/>
      </c>
      <c r="AC234" s="149"/>
      <c r="AD234" s="150"/>
      <c r="AK234" s="31" t="str">
        <f>IFERROR(INDEX('G-7 Rivers Data'!$AZ$3:$AZ$7,MATCH(C234,'G-7 Rivers Data'!$AY$3:$AY$7,0)),"")</f>
        <v/>
      </c>
    </row>
    <row r="235" spans="2:37" ht="13.8" x14ac:dyDescent="0.25">
      <c r="B235" s="141">
        <v>224</v>
      </c>
      <c r="C235" s="666"/>
      <c r="D235" s="172"/>
      <c r="E235" s="498" t="str">
        <f>IF(C235="","",VLOOKUP(C235,'G-7 Rivers Data'!$B$2:$Z$9,2,FALSE))</f>
        <v/>
      </c>
      <c r="F235" s="499" t="str">
        <f>IFERROR(VLOOKUP(E235,'G-7 Rivers Data'!$C$4:$D$8,2,FALSE),"")</f>
        <v/>
      </c>
      <c r="G235" s="145"/>
      <c r="H235" s="499" t="str">
        <f>IFERROR(INDEX('G-7 Rivers Data'!$H$4:$L$8,MATCH(C235,'G-7 Rivers Data'!$B$4:$B$8,0),MATCH(G235,'G-7 Rivers Data'!$H$3:$L$3,0)),"")</f>
        <v/>
      </c>
      <c r="I235" s="145"/>
      <c r="J235" s="540" t="str">
        <f>IF(I235="","",IF(VLOOKUP(I235,'G-7 Rivers Data'!$AG$4:$AI$9,2,FALSE)=0,"Spatial Data Missing ⚠",VLOOKUP(I235,'G-7 Rivers Data'!$AG$4:$AI$9,2,FALSE)))</f>
        <v/>
      </c>
      <c r="K235" s="499" t="str">
        <f>IF(I235="","",IF(VLOOKUP(I235,'G-7 Rivers Data'!$AG$4:$AI$9,3,FALSE)=0,"Spatial Data Missing ⚠",VLOOKUP(I235,'G-7 Rivers Data'!$AG$4:$AI$9,3,FALSE)))</f>
        <v/>
      </c>
      <c r="L235" s="635" t="str">
        <f>IFERROR(INDEX('G-7 Rivers Data'!$O$3:$O$7,MATCH(G235,'G-7 Rivers Data'!$N$3:$N$7,0)),"")</f>
        <v/>
      </c>
      <c r="M235" s="72"/>
      <c r="N235" s="195"/>
      <c r="O235" s="507" t="str">
        <f t="shared" si="19"/>
        <v/>
      </c>
      <c r="P235" s="521" t="str">
        <f t="shared" si="20"/>
        <v/>
      </c>
      <c r="Q235" s="564" t="str">
        <f>IFERROR(IF(P235="Check Data ⚠","Check Data ⚠",VLOOKUP(P235,'G-4 Temporal multipliers'!$A$4:$C$37,3,FALSE)),"")</f>
        <v/>
      </c>
      <c r="R235" s="498" t="str">
        <f>IF(C235="","",VLOOKUP(C235,'G-7 Rivers Data'!$B$4:$G$8,4,FALSE))</f>
        <v/>
      </c>
      <c r="S235" s="507" t="str">
        <f t="shared" si="21"/>
        <v/>
      </c>
      <c r="T235" s="540" t="str">
        <f t="shared" si="22"/>
        <v/>
      </c>
      <c r="U235" s="499" t="str">
        <f t="shared" si="23"/>
        <v/>
      </c>
      <c r="V235" s="71"/>
      <c r="W235" s="499" t="str">
        <f>IF(V235="","",IF(VLOOKUP(V235,'G-7 Rivers Data'!$AA$4:$AB$7,2,FALSE)=0,"Spatial Data Missing ⚠",VLOOKUP(V235,'G-7 Rivers Data'!$AA$4:$AB$7,2,FALSE)))</f>
        <v/>
      </c>
      <c r="X235" s="155"/>
      <c r="Y235" s="499" t="str">
        <f>IF(X235="","",IF(VLOOKUP(X235,'G-7 Rivers Data'!$AD$4:$AE$8,2,FALSE)=0,"Enrcoachment Data Missing ⚠",VLOOKUP(X235,'G-7 Rivers Data'!$AD$4:$AE$8,2,FALSE)))</f>
        <v/>
      </c>
      <c r="Z235" s="154"/>
      <c r="AA235" s="524" t="str">
        <f>IF(Z235="","",VLOOKUP(Z235,'G-7 Rivers Data'!$AO$4:$AP$7,2,FALSE))</f>
        <v/>
      </c>
      <c r="AB235" s="545" t="str">
        <f t="shared" si="24"/>
        <v/>
      </c>
      <c r="AC235" s="149"/>
      <c r="AD235" s="150"/>
      <c r="AK235" s="31" t="str">
        <f>IFERROR(INDEX('G-7 Rivers Data'!$AZ$3:$AZ$7,MATCH(C235,'G-7 Rivers Data'!$AY$3:$AY$7,0)),"")</f>
        <v/>
      </c>
    </row>
    <row r="236" spans="2:37" ht="13.8" x14ac:dyDescent="0.25">
      <c r="B236" s="141">
        <v>225</v>
      </c>
      <c r="C236" s="666"/>
      <c r="D236" s="172"/>
      <c r="E236" s="498" t="str">
        <f>IF(C236="","",VLOOKUP(C236,'G-7 Rivers Data'!$B$2:$Z$9,2,FALSE))</f>
        <v/>
      </c>
      <c r="F236" s="499" t="str">
        <f>IFERROR(VLOOKUP(E236,'G-7 Rivers Data'!$C$4:$D$8,2,FALSE),"")</f>
        <v/>
      </c>
      <c r="G236" s="145"/>
      <c r="H236" s="499" t="str">
        <f>IFERROR(INDEX('G-7 Rivers Data'!$H$4:$L$8,MATCH(C236,'G-7 Rivers Data'!$B$4:$B$8,0),MATCH(G236,'G-7 Rivers Data'!$H$3:$L$3,0)),"")</f>
        <v/>
      </c>
      <c r="I236" s="145"/>
      <c r="J236" s="540" t="str">
        <f>IF(I236="","",IF(VLOOKUP(I236,'G-7 Rivers Data'!$AG$4:$AI$9,2,FALSE)=0,"Spatial Data Missing ⚠",VLOOKUP(I236,'G-7 Rivers Data'!$AG$4:$AI$9,2,FALSE)))</f>
        <v/>
      </c>
      <c r="K236" s="499" t="str">
        <f>IF(I236="","",IF(VLOOKUP(I236,'G-7 Rivers Data'!$AG$4:$AI$9,3,FALSE)=0,"Spatial Data Missing ⚠",VLOOKUP(I236,'G-7 Rivers Data'!$AG$4:$AI$9,3,FALSE)))</f>
        <v/>
      </c>
      <c r="L236" s="635" t="str">
        <f>IFERROR(INDEX('G-7 Rivers Data'!$O$3:$O$7,MATCH(G236,'G-7 Rivers Data'!$N$3:$N$7,0)),"")</f>
        <v/>
      </c>
      <c r="M236" s="72"/>
      <c r="N236" s="195"/>
      <c r="O236" s="507" t="str">
        <f t="shared" si="19"/>
        <v/>
      </c>
      <c r="P236" s="521" t="str">
        <f t="shared" si="20"/>
        <v/>
      </c>
      <c r="Q236" s="564" t="str">
        <f>IFERROR(IF(P236="Check Data ⚠","Check Data ⚠",VLOOKUP(P236,'G-4 Temporal multipliers'!$A$4:$C$37,3,FALSE)),"")</f>
        <v/>
      </c>
      <c r="R236" s="498" t="str">
        <f>IF(C236="","",VLOOKUP(C236,'G-7 Rivers Data'!$B$4:$G$8,4,FALSE))</f>
        <v/>
      </c>
      <c r="S236" s="507" t="str">
        <f t="shared" si="21"/>
        <v/>
      </c>
      <c r="T236" s="540" t="str">
        <f t="shared" si="22"/>
        <v/>
      </c>
      <c r="U236" s="499" t="str">
        <f t="shared" si="23"/>
        <v/>
      </c>
      <c r="V236" s="71"/>
      <c r="W236" s="499" t="str">
        <f>IF(V236="","",IF(VLOOKUP(V236,'G-7 Rivers Data'!$AA$4:$AB$7,2,FALSE)=0,"Spatial Data Missing ⚠",VLOOKUP(V236,'G-7 Rivers Data'!$AA$4:$AB$7,2,FALSE)))</f>
        <v/>
      </c>
      <c r="X236" s="155"/>
      <c r="Y236" s="499" t="str">
        <f>IF(X236="","",IF(VLOOKUP(X236,'G-7 Rivers Data'!$AD$4:$AE$8,2,FALSE)=0,"Enrcoachment Data Missing ⚠",VLOOKUP(X236,'G-7 Rivers Data'!$AD$4:$AE$8,2,FALSE)))</f>
        <v/>
      </c>
      <c r="Z236" s="154"/>
      <c r="AA236" s="524" t="str">
        <f>IF(Z236="","",VLOOKUP(Z236,'G-7 Rivers Data'!$AO$4:$AP$7,2,FALSE))</f>
        <v/>
      </c>
      <c r="AB236" s="545" t="str">
        <f t="shared" si="24"/>
        <v/>
      </c>
      <c r="AC236" s="149"/>
      <c r="AD236" s="150"/>
      <c r="AK236" s="31" t="str">
        <f>IFERROR(INDEX('G-7 Rivers Data'!$AZ$3:$AZ$7,MATCH(C236,'G-7 Rivers Data'!$AY$3:$AY$7,0)),"")</f>
        <v/>
      </c>
    </row>
    <row r="237" spans="2:37" ht="13.8" x14ac:dyDescent="0.25">
      <c r="B237" s="141">
        <v>226</v>
      </c>
      <c r="C237" s="666"/>
      <c r="D237" s="172"/>
      <c r="E237" s="498" t="str">
        <f>IF(C237="","",VLOOKUP(C237,'G-7 Rivers Data'!$B$2:$Z$9,2,FALSE))</f>
        <v/>
      </c>
      <c r="F237" s="499" t="str">
        <f>IFERROR(VLOOKUP(E237,'G-7 Rivers Data'!$C$4:$D$8,2,FALSE),"")</f>
        <v/>
      </c>
      <c r="G237" s="145"/>
      <c r="H237" s="499" t="str">
        <f>IFERROR(INDEX('G-7 Rivers Data'!$H$4:$L$8,MATCH(C237,'G-7 Rivers Data'!$B$4:$B$8,0),MATCH(G237,'G-7 Rivers Data'!$H$3:$L$3,0)),"")</f>
        <v/>
      </c>
      <c r="I237" s="145"/>
      <c r="J237" s="540" t="str">
        <f>IF(I237="","",IF(VLOOKUP(I237,'G-7 Rivers Data'!$AG$4:$AI$9,2,FALSE)=0,"Spatial Data Missing ⚠",VLOOKUP(I237,'G-7 Rivers Data'!$AG$4:$AI$9,2,FALSE)))</f>
        <v/>
      </c>
      <c r="K237" s="499" t="str">
        <f>IF(I237="","",IF(VLOOKUP(I237,'G-7 Rivers Data'!$AG$4:$AI$9,3,FALSE)=0,"Spatial Data Missing ⚠",VLOOKUP(I237,'G-7 Rivers Data'!$AG$4:$AI$9,3,FALSE)))</f>
        <v/>
      </c>
      <c r="L237" s="635" t="str">
        <f>IFERROR(INDEX('G-7 Rivers Data'!$O$3:$O$7,MATCH(G237,'G-7 Rivers Data'!$N$3:$N$7,0)),"")</f>
        <v/>
      </c>
      <c r="M237" s="72"/>
      <c r="N237" s="195"/>
      <c r="O237" s="507" t="str">
        <f t="shared" si="19"/>
        <v/>
      </c>
      <c r="P237" s="521" t="str">
        <f t="shared" si="20"/>
        <v/>
      </c>
      <c r="Q237" s="564" t="str">
        <f>IFERROR(IF(P237="Check Data ⚠","Check Data ⚠",VLOOKUP(P237,'G-4 Temporal multipliers'!$A$4:$C$37,3,FALSE)),"")</f>
        <v/>
      </c>
      <c r="R237" s="498" t="str">
        <f>IF(C237="","",VLOOKUP(C237,'G-7 Rivers Data'!$B$4:$G$8,4,FALSE))</f>
        <v/>
      </c>
      <c r="S237" s="507" t="str">
        <f t="shared" si="21"/>
        <v/>
      </c>
      <c r="T237" s="540" t="str">
        <f t="shared" si="22"/>
        <v/>
      </c>
      <c r="U237" s="499" t="str">
        <f t="shared" si="23"/>
        <v/>
      </c>
      <c r="V237" s="71"/>
      <c r="W237" s="499" t="str">
        <f>IF(V237="","",IF(VLOOKUP(V237,'G-7 Rivers Data'!$AA$4:$AB$7,2,FALSE)=0,"Spatial Data Missing ⚠",VLOOKUP(V237,'G-7 Rivers Data'!$AA$4:$AB$7,2,FALSE)))</f>
        <v/>
      </c>
      <c r="X237" s="155"/>
      <c r="Y237" s="499" t="str">
        <f>IF(X237="","",IF(VLOOKUP(X237,'G-7 Rivers Data'!$AD$4:$AE$8,2,FALSE)=0,"Enrcoachment Data Missing ⚠",VLOOKUP(X237,'G-7 Rivers Data'!$AD$4:$AE$8,2,FALSE)))</f>
        <v/>
      </c>
      <c r="Z237" s="154"/>
      <c r="AA237" s="524" t="str">
        <f>IF(Z237="","",VLOOKUP(Z237,'G-7 Rivers Data'!$AO$4:$AP$7,2,FALSE))</f>
        <v/>
      </c>
      <c r="AB237" s="545" t="str">
        <f t="shared" si="24"/>
        <v/>
      </c>
      <c r="AC237" s="149"/>
      <c r="AD237" s="150"/>
      <c r="AK237" s="31" t="str">
        <f>IFERROR(INDEX('G-7 Rivers Data'!$AZ$3:$AZ$7,MATCH(C237,'G-7 Rivers Data'!$AY$3:$AY$7,0)),"")</f>
        <v/>
      </c>
    </row>
    <row r="238" spans="2:37" ht="13.8" x14ac:dyDescent="0.25">
      <c r="B238" s="141">
        <v>227</v>
      </c>
      <c r="C238" s="666"/>
      <c r="D238" s="172"/>
      <c r="E238" s="498" t="str">
        <f>IF(C238="","",VLOOKUP(C238,'G-7 Rivers Data'!$B$2:$Z$9,2,FALSE))</f>
        <v/>
      </c>
      <c r="F238" s="499" t="str">
        <f>IFERROR(VLOOKUP(E238,'G-7 Rivers Data'!$C$4:$D$8,2,FALSE),"")</f>
        <v/>
      </c>
      <c r="G238" s="145"/>
      <c r="H238" s="499" t="str">
        <f>IFERROR(INDEX('G-7 Rivers Data'!$H$4:$L$8,MATCH(C238,'G-7 Rivers Data'!$B$4:$B$8,0),MATCH(G238,'G-7 Rivers Data'!$H$3:$L$3,0)),"")</f>
        <v/>
      </c>
      <c r="I238" s="145"/>
      <c r="J238" s="540" t="str">
        <f>IF(I238="","",IF(VLOOKUP(I238,'G-7 Rivers Data'!$AG$4:$AI$9,2,FALSE)=0,"Spatial Data Missing ⚠",VLOOKUP(I238,'G-7 Rivers Data'!$AG$4:$AI$9,2,FALSE)))</f>
        <v/>
      </c>
      <c r="K238" s="499" t="str">
        <f>IF(I238="","",IF(VLOOKUP(I238,'G-7 Rivers Data'!$AG$4:$AI$9,3,FALSE)=0,"Spatial Data Missing ⚠",VLOOKUP(I238,'G-7 Rivers Data'!$AG$4:$AI$9,3,FALSE)))</f>
        <v/>
      </c>
      <c r="L238" s="635" t="str">
        <f>IFERROR(INDEX('G-7 Rivers Data'!$O$3:$O$7,MATCH(G238,'G-7 Rivers Data'!$N$3:$N$7,0)),"")</f>
        <v/>
      </c>
      <c r="M238" s="72"/>
      <c r="N238" s="195"/>
      <c r="O238" s="507" t="str">
        <f t="shared" si="19"/>
        <v/>
      </c>
      <c r="P238" s="521" t="str">
        <f t="shared" si="20"/>
        <v/>
      </c>
      <c r="Q238" s="564" t="str">
        <f>IFERROR(IF(P238="Check Data ⚠","Check Data ⚠",VLOOKUP(P238,'G-4 Temporal multipliers'!$A$4:$C$37,3,FALSE)),"")</f>
        <v/>
      </c>
      <c r="R238" s="498" t="str">
        <f>IF(C238="","",VLOOKUP(C238,'G-7 Rivers Data'!$B$4:$G$8,4,FALSE))</f>
        <v/>
      </c>
      <c r="S238" s="507" t="str">
        <f t="shared" si="21"/>
        <v/>
      </c>
      <c r="T238" s="540" t="str">
        <f t="shared" si="22"/>
        <v/>
      </c>
      <c r="U238" s="499" t="str">
        <f t="shared" si="23"/>
        <v/>
      </c>
      <c r="V238" s="71"/>
      <c r="W238" s="499" t="str">
        <f>IF(V238="","",IF(VLOOKUP(V238,'G-7 Rivers Data'!$AA$4:$AB$7,2,FALSE)=0,"Spatial Data Missing ⚠",VLOOKUP(V238,'G-7 Rivers Data'!$AA$4:$AB$7,2,FALSE)))</f>
        <v/>
      </c>
      <c r="X238" s="155"/>
      <c r="Y238" s="499" t="str">
        <f>IF(X238="","",IF(VLOOKUP(X238,'G-7 Rivers Data'!$AD$4:$AE$8,2,FALSE)=0,"Enrcoachment Data Missing ⚠",VLOOKUP(X238,'G-7 Rivers Data'!$AD$4:$AE$8,2,FALSE)))</f>
        <v/>
      </c>
      <c r="Z238" s="154"/>
      <c r="AA238" s="524" t="str">
        <f>IF(Z238="","",VLOOKUP(Z238,'G-7 Rivers Data'!$AO$4:$AP$7,2,FALSE))</f>
        <v/>
      </c>
      <c r="AB238" s="545" t="str">
        <f t="shared" si="24"/>
        <v/>
      </c>
      <c r="AC238" s="149"/>
      <c r="AD238" s="150"/>
      <c r="AK238" s="31" t="str">
        <f>IFERROR(INDEX('G-7 Rivers Data'!$AZ$3:$AZ$7,MATCH(C238,'G-7 Rivers Data'!$AY$3:$AY$7,0)),"")</f>
        <v/>
      </c>
    </row>
    <row r="239" spans="2:37" ht="13.8" x14ac:dyDescent="0.25">
      <c r="B239" s="141">
        <v>228</v>
      </c>
      <c r="C239" s="666"/>
      <c r="D239" s="172"/>
      <c r="E239" s="498" t="str">
        <f>IF(C239="","",VLOOKUP(C239,'G-7 Rivers Data'!$B$2:$Z$9,2,FALSE))</f>
        <v/>
      </c>
      <c r="F239" s="499" t="str">
        <f>IFERROR(VLOOKUP(E239,'G-7 Rivers Data'!$C$4:$D$8,2,FALSE),"")</f>
        <v/>
      </c>
      <c r="G239" s="145"/>
      <c r="H239" s="499" t="str">
        <f>IFERROR(INDEX('G-7 Rivers Data'!$H$4:$L$8,MATCH(C239,'G-7 Rivers Data'!$B$4:$B$8,0),MATCH(G239,'G-7 Rivers Data'!$H$3:$L$3,0)),"")</f>
        <v/>
      </c>
      <c r="I239" s="145"/>
      <c r="J239" s="540" t="str">
        <f>IF(I239="","",IF(VLOOKUP(I239,'G-7 Rivers Data'!$AG$4:$AI$9,2,FALSE)=0,"Spatial Data Missing ⚠",VLOOKUP(I239,'G-7 Rivers Data'!$AG$4:$AI$9,2,FALSE)))</f>
        <v/>
      </c>
      <c r="K239" s="499" t="str">
        <f>IF(I239="","",IF(VLOOKUP(I239,'G-7 Rivers Data'!$AG$4:$AI$9,3,FALSE)=0,"Spatial Data Missing ⚠",VLOOKUP(I239,'G-7 Rivers Data'!$AG$4:$AI$9,3,FALSE)))</f>
        <v/>
      </c>
      <c r="L239" s="635" t="str">
        <f>IFERROR(INDEX('G-7 Rivers Data'!$O$3:$O$7,MATCH(G239,'G-7 Rivers Data'!$N$3:$N$7,0)),"")</f>
        <v/>
      </c>
      <c r="M239" s="72"/>
      <c r="N239" s="195"/>
      <c r="O239" s="507" t="str">
        <f t="shared" si="19"/>
        <v/>
      </c>
      <c r="P239" s="521" t="str">
        <f t="shared" si="20"/>
        <v/>
      </c>
      <c r="Q239" s="564" t="str">
        <f>IFERROR(IF(P239="Check Data ⚠","Check Data ⚠",VLOOKUP(P239,'G-4 Temporal multipliers'!$A$4:$C$37,3,FALSE)),"")</f>
        <v/>
      </c>
      <c r="R239" s="498" t="str">
        <f>IF(C239="","",VLOOKUP(C239,'G-7 Rivers Data'!$B$4:$G$8,4,FALSE))</f>
        <v/>
      </c>
      <c r="S239" s="507" t="str">
        <f t="shared" si="21"/>
        <v/>
      </c>
      <c r="T239" s="540" t="str">
        <f t="shared" si="22"/>
        <v/>
      </c>
      <c r="U239" s="499" t="str">
        <f t="shared" si="23"/>
        <v/>
      </c>
      <c r="V239" s="71"/>
      <c r="W239" s="499" t="str">
        <f>IF(V239="","",IF(VLOOKUP(V239,'G-7 Rivers Data'!$AA$4:$AB$7,2,FALSE)=0,"Spatial Data Missing ⚠",VLOOKUP(V239,'G-7 Rivers Data'!$AA$4:$AB$7,2,FALSE)))</f>
        <v/>
      </c>
      <c r="X239" s="155"/>
      <c r="Y239" s="499" t="str">
        <f>IF(X239="","",IF(VLOOKUP(X239,'G-7 Rivers Data'!$AD$4:$AE$8,2,FALSE)=0,"Enrcoachment Data Missing ⚠",VLOOKUP(X239,'G-7 Rivers Data'!$AD$4:$AE$8,2,FALSE)))</f>
        <v/>
      </c>
      <c r="Z239" s="154"/>
      <c r="AA239" s="524" t="str">
        <f>IF(Z239="","",VLOOKUP(Z239,'G-7 Rivers Data'!$AO$4:$AP$7,2,FALSE))</f>
        <v/>
      </c>
      <c r="AB239" s="545" t="str">
        <f t="shared" si="24"/>
        <v/>
      </c>
      <c r="AC239" s="149"/>
      <c r="AD239" s="150"/>
      <c r="AK239" s="31" t="str">
        <f>IFERROR(INDEX('G-7 Rivers Data'!$AZ$3:$AZ$7,MATCH(C239,'G-7 Rivers Data'!$AY$3:$AY$7,0)),"")</f>
        <v/>
      </c>
    </row>
    <row r="240" spans="2:37" ht="13.8" x14ac:dyDescent="0.25">
      <c r="B240" s="141">
        <v>229</v>
      </c>
      <c r="C240" s="666"/>
      <c r="D240" s="172"/>
      <c r="E240" s="498" t="str">
        <f>IF(C240="","",VLOOKUP(C240,'G-7 Rivers Data'!$B$2:$Z$9,2,FALSE))</f>
        <v/>
      </c>
      <c r="F240" s="499" t="str">
        <f>IFERROR(VLOOKUP(E240,'G-7 Rivers Data'!$C$4:$D$8,2,FALSE),"")</f>
        <v/>
      </c>
      <c r="G240" s="145"/>
      <c r="H240" s="499" t="str">
        <f>IFERROR(INDEX('G-7 Rivers Data'!$H$4:$L$8,MATCH(C240,'G-7 Rivers Data'!$B$4:$B$8,0),MATCH(G240,'G-7 Rivers Data'!$H$3:$L$3,0)),"")</f>
        <v/>
      </c>
      <c r="I240" s="145"/>
      <c r="J240" s="540" t="str">
        <f>IF(I240="","",IF(VLOOKUP(I240,'G-7 Rivers Data'!$AG$4:$AI$9,2,FALSE)=0,"Spatial Data Missing ⚠",VLOOKUP(I240,'G-7 Rivers Data'!$AG$4:$AI$9,2,FALSE)))</f>
        <v/>
      </c>
      <c r="K240" s="499" t="str">
        <f>IF(I240="","",IF(VLOOKUP(I240,'G-7 Rivers Data'!$AG$4:$AI$9,3,FALSE)=0,"Spatial Data Missing ⚠",VLOOKUP(I240,'G-7 Rivers Data'!$AG$4:$AI$9,3,FALSE)))</f>
        <v/>
      </c>
      <c r="L240" s="635" t="str">
        <f>IFERROR(INDEX('G-7 Rivers Data'!$O$3:$O$7,MATCH(G240,'G-7 Rivers Data'!$N$3:$N$7,0)),"")</f>
        <v/>
      </c>
      <c r="M240" s="72"/>
      <c r="N240" s="195"/>
      <c r="O240" s="507" t="str">
        <f t="shared" si="19"/>
        <v/>
      </c>
      <c r="P240" s="521" t="str">
        <f t="shared" si="20"/>
        <v/>
      </c>
      <c r="Q240" s="564" t="str">
        <f>IFERROR(IF(P240="Check Data ⚠","Check Data ⚠",VLOOKUP(P240,'G-4 Temporal multipliers'!$A$4:$C$37,3,FALSE)),"")</f>
        <v/>
      </c>
      <c r="R240" s="498" t="str">
        <f>IF(C240="","",VLOOKUP(C240,'G-7 Rivers Data'!$B$4:$G$8,4,FALSE))</f>
        <v/>
      </c>
      <c r="S240" s="507" t="str">
        <f t="shared" si="21"/>
        <v/>
      </c>
      <c r="T240" s="540" t="str">
        <f t="shared" si="22"/>
        <v/>
      </c>
      <c r="U240" s="499" t="str">
        <f t="shared" si="23"/>
        <v/>
      </c>
      <c r="V240" s="71"/>
      <c r="W240" s="499" t="str">
        <f>IF(V240="","",IF(VLOOKUP(V240,'G-7 Rivers Data'!$AA$4:$AB$7,2,FALSE)=0,"Spatial Data Missing ⚠",VLOOKUP(V240,'G-7 Rivers Data'!$AA$4:$AB$7,2,FALSE)))</f>
        <v/>
      </c>
      <c r="X240" s="155"/>
      <c r="Y240" s="499" t="str">
        <f>IF(X240="","",IF(VLOOKUP(X240,'G-7 Rivers Data'!$AD$4:$AE$8,2,FALSE)=0,"Enrcoachment Data Missing ⚠",VLOOKUP(X240,'G-7 Rivers Data'!$AD$4:$AE$8,2,FALSE)))</f>
        <v/>
      </c>
      <c r="Z240" s="154"/>
      <c r="AA240" s="524" t="str">
        <f>IF(Z240="","",VLOOKUP(Z240,'G-7 Rivers Data'!$AO$4:$AP$7,2,FALSE))</f>
        <v/>
      </c>
      <c r="AB240" s="545" t="str">
        <f t="shared" si="24"/>
        <v/>
      </c>
      <c r="AC240" s="149"/>
      <c r="AD240" s="150"/>
      <c r="AK240" s="31" t="str">
        <f>IFERROR(INDEX('G-7 Rivers Data'!$AZ$3:$AZ$7,MATCH(C240,'G-7 Rivers Data'!$AY$3:$AY$7,0)),"")</f>
        <v/>
      </c>
    </row>
    <row r="241" spans="2:37" ht="13.8" x14ac:dyDescent="0.25">
      <c r="B241" s="141">
        <v>230</v>
      </c>
      <c r="C241" s="666"/>
      <c r="D241" s="172"/>
      <c r="E241" s="498" t="str">
        <f>IF(C241="","",VLOOKUP(C241,'G-7 Rivers Data'!$B$2:$Z$9,2,FALSE))</f>
        <v/>
      </c>
      <c r="F241" s="499" t="str">
        <f>IFERROR(VLOOKUP(E241,'G-7 Rivers Data'!$C$4:$D$8,2,FALSE),"")</f>
        <v/>
      </c>
      <c r="G241" s="145"/>
      <c r="H241" s="499" t="str">
        <f>IFERROR(INDEX('G-7 Rivers Data'!$H$4:$L$8,MATCH(C241,'G-7 Rivers Data'!$B$4:$B$8,0),MATCH(G241,'G-7 Rivers Data'!$H$3:$L$3,0)),"")</f>
        <v/>
      </c>
      <c r="I241" s="145"/>
      <c r="J241" s="540" t="str">
        <f>IF(I241="","",IF(VLOOKUP(I241,'G-7 Rivers Data'!$AG$4:$AI$9,2,FALSE)=0,"Spatial Data Missing ⚠",VLOOKUP(I241,'G-7 Rivers Data'!$AG$4:$AI$9,2,FALSE)))</f>
        <v/>
      </c>
      <c r="K241" s="499" t="str">
        <f>IF(I241="","",IF(VLOOKUP(I241,'G-7 Rivers Data'!$AG$4:$AI$9,3,FALSE)=0,"Spatial Data Missing ⚠",VLOOKUP(I241,'G-7 Rivers Data'!$AG$4:$AI$9,3,FALSE)))</f>
        <v/>
      </c>
      <c r="L241" s="635" t="str">
        <f>IFERROR(INDEX('G-7 Rivers Data'!$O$3:$O$7,MATCH(G241,'G-7 Rivers Data'!$N$3:$N$7,0)),"")</f>
        <v/>
      </c>
      <c r="M241" s="72"/>
      <c r="N241" s="195"/>
      <c r="O241" s="507" t="str">
        <f t="shared" si="19"/>
        <v/>
      </c>
      <c r="P241" s="521" t="str">
        <f t="shared" si="20"/>
        <v/>
      </c>
      <c r="Q241" s="564" t="str">
        <f>IFERROR(IF(P241="Check Data ⚠","Check Data ⚠",VLOOKUP(P241,'G-4 Temporal multipliers'!$A$4:$C$37,3,FALSE)),"")</f>
        <v/>
      </c>
      <c r="R241" s="498" t="str">
        <f>IF(C241="","",VLOOKUP(C241,'G-7 Rivers Data'!$B$4:$G$8,4,FALSE))</f>
        <v/>
      </c>
      <c r="S241" s="507" t="str">
        <f t="shared" si="21"/>
        <v/>
      </c>
      <c r="T241" s="540" t="str">
        <f t="shared" si="22"/>
        <v/>
      </c>
      <c r="U241" s="499" t="str">
        <f t="shared" si="23"/>
        <v/>
      </c>
      <c r="V241" s="71"/>
      <c r="W241" s="499" t="str">
        <f>IF(V241="","",IF(VLOOKUP(V241,'G-7 Rivers Data'!$AA$4:$AB$7,2,FALSE)=0,"Spatial Data Missing ⚠",VLOOKUP(V241,'G-7 Rivers Data'!$AA$4:$AB$7,2,FALSE)))</f>
        <v/>
      </c>
      <c r="X241" s="155"/>
      <c r="Y241" s="499" t="str">
        <f>IF(X241="","",IF(VLOOKUP(X241,'G-7 Rivers Data'!$AD$4:$AE$8,2,FALSE)=0,"Enrcoachment Data Missing ⚠",VLOOKUP(X241,'G-7 Rivers Data'!$AD$4:$AE$8,2,FALSE)))</f>
        <v/>
      </c>
      <c r="Z241" s="154"/>
      <c r="AA241" s="524" t="str">
        <f>IF(Z241="","",VLOOKUP(Z241,'G-7 Rivers Data'!$AO$4:$AP$7,2,FALSE))</f>
        <v/>
      </c>
      <c r="AB241" s="545" t="str">
        <f t="shared" si="24"/>
        <v/>
      </c>
      <c r="AC241" s="149"/>
      <c r="AD241" s="150"/>
      <c r="AK241" s="31" t="str">
        <f>IFERROR(INDEX('G-7 Rivers Data'!$AZ$3:$AZ$7,MATCH(C241,'G-7 Rivers Data'!$AY$3:$AY$7,0)),"")</f>
        <v/>
      </c>
    </row>
    <row r="242" spans="2:37" ht="13.8" x14ac:dyDescent="0.25">
      <c r="B242" s="141">
        <v>231</v>
      </c>
      <c r="C242" s="666"/>
      <c r="D242" s="172"/>
      <c r="E242" s="498" t="str">
        <f>IF(C242="","",VLOOKUP(C242,'G-7 Rivers Data'!$B$2:$Z$9,2,FALSE))</f>
        <v/>
      </c>
      <c r="F242" s="499" t="str">
        <f>IFERROR(VLOOKUP(E242,'G-7 Rivers Data'!$C$4:$D$8,2,FALSE),"")</f>
        <v/>
      </c>
      <c r="G242" s="145"/>
      <c r="H242" s="499" t="str">
        <f>IFERROR(INDEX('G-7 Rivers Data'!$H$4:$L$8,MATCH(C242,'G-7 Rivers Data'!$B$4:$B$8,0),MATCH(G242,'G-7 Rivers Data'!$H$3:$L$3,0)),"")</f>
        <v/>
      </c>
      <c r="I242" s="145"/>
      <c r="J242" s="540" t="str">
        <f>IF(I242="","",IF(VLOOKUP(I242,'G-7 Rivers Data'!$AG$4:$AI$9,2,FALSE)=0,"Spatial Data Missing ⚠",VLOOKUP(I242,'G-7 Rivers Data'!$AG$4:$AI$9,2,FALSE)))</f>
        <v/>
      </c>
      <c r="K242" s="499" t="str">
        <f>IF(I242="","",IF(VLOOKUP(I242,'G-7 Rivers Data'!$AG$4:$AI$9,3,FALSE)=0,"Spatial Data Missing ⚠",VLOOKUP(I242,'G-7 Rivers Data'!$AG$4:$AI$9,3,FALSE)))</f>
        <v/>
      </c>
      <c r="L242" s="635" t="str">
        <f>IFERROR(INDEX('G-7 Rivers Data'!$O$3:$O$7,MATCH(G242,'G-7 Rivers Data'!$N$3:$N$7,0)),"")</f>
        <v/>
      </c>
      <c r="M242" s="72"/>
      <c r="N242" s="195"/>
      <c r="O242" s="507" t="str">
        <f t="shared" si="19"/>
        <v/>
      </c>
      <c r="P242" s="521" t="str">
        <f t="shared" si="20"/>
        <v/>
      </c>
      <c r="Q242" s="564" t="str">
        <f>IFERROR(IF(P242="Check Data ⚠","Check Data ⚠",VLOOKUP(P242,'G-4 Temporal multipliers'!$A$4:$C$37,3,FALSE)),"")</f>
        <v/>
      </c>
      <c r="R242" s="498" t="str">
        <f>IF(C242="","",VLOOKUP(C242,'G-7 Rivers Data'!$B$4:$G$8,4,FALSE))</f>
        <v/>
      </c>
      <c r="S242" s="507" t="str">
        <f t="shared" si="21"/>
        <v/>
      </c>
      <c r="T242" s="540" t="str">
        <f t="shared" si="22"/>
        <v/>
      </c>
      <c r="U242" s="499" t="str">
        <f t="shared" si="23"/>
        <v/>
      </c>
      <c r="V242" s="71"/>
      <c r="W242" s="499" t="str">
        <f>IF(V242="","",IF(VLOOKUP(V242,'G-7 Rivers Data'!$AA$4:$AB$7,2,FALSE)=0,"Spatial Data Missing ⚠",VLOOKUP(V242,'G-7 Rivers Data'!$AA$4:$AB$7,2,FALSE)))</f>
        <v/>
      </c>
      <c r="X242" s="155"/>
      <c r="Y242" s="499" t="str">
        <f>IF(X242="","",IF(VLOOKUP(X242,'G-7 Rivers Data'!$AD$4:$AE$8,2,FALSE)=0,"Enrcoachment Data Missing ⚠",VLOOKUP(X242,'G-7 Rivers Data'!$AD$4:$AE$8,2,FALSE)))</f>
        <v/>
      </c>
      <c r="Z242" s="154"/>
      <c r="AA242" s="524" t="str">
        <f>IF(Z242="","",VLOOKUP(Z242,'G-7 Rivers Data'!$AO$4:$AP$7,2,FALSE))</f>
        <v/>
      </c>
      <c r="AB242" s="545" t="str">
        <f t="shared" si="24"/>
        <v/>
      </c>
      <c r="AC242" s="149"/>
      <c r="AD242" s="150"/>
      <c r="AK242" s="31" t="str">
        <f>IFERROR(INDEX('G-7 Rivers Data'!$AZ$3:$AZ$7,MATCH(C242,'G-7 Rivers Data'!$AY$3:$AY$7,0)),"")</f>
        <v/>
      </c>
    </row>
    <row r="243" spans="2:37" ht="13.8" x14ac:dyDescent="0.25">
      <c r="B243" s="141">
        <v>232</v>
      </c>
      <c r="C243" s="666"/>
      <c r="D243" s="172"/>
      <c r="E243" s="498" t="str">
        <f>IF(C243="","",VLOOKUP(C243,'G-7 Rivers Data'!$B$2:$Z$9,2,FALSE))</f>
        <v/>
      </c>
      <c r="F243" s="499" t="str">
        <f>IFERROR(VLOOKUP(E243,'G-7 Rivers Data'!$C$4:$D$8,2,FALSE),"")</f>
        <v/>
      </c>
      <c r="G243" s="145"/>
      <c r="H243" s="499" t="str">
        <f>IFERROR(INDEX('G-7 Rivers Data'!$H$4:$L$8,MATCH(C243,'G-7 Rivers Data'!$B$4:$B$8,0),MATCH(G243,'G-7 Rivers Data'!$H$3:$L$3,0)),"")</f>
        <v/>
      </c>
      <c r="I243" s="145"/>
      <c r="J243" s="540" t="str">
        <f>IF(I243="","",IF(VLOOKUP(I243,'G-7 Rivers Data'!$AG$4:$AI$9,2,FALSE)=0,"Spatial Data Missing ⚠",VLOOKUP(I243,'G-7 Rivers Data'!$AG$4:$AI$9,2,FALSE)))</f>
        <v/>
      </c>
      <c r="K243" s="499" t="str">
        <f>IF(I243="","",IF(VLOOKUP(I243,'G-7 Rivers Data'!$AG$4:$AI$9,3,FALSE)=0,"Spatial Data Missing ⚠",VLOOKUP(I243,'G-7 Rivers Data'!$AG$4:$AI$9,3,FALSE)))</f>
        <v/>
      </c>
      <c r="L243" s="635" t="str">
        <f>IFERROR(INDEX('G-7 Rivers Data'!$O$3:$O$7,MATCH(G243,'G-7 Rivers Data'!$N$3:$N$7,0)),"")</f>
        <v/>
      </c>
      <c r="M243" s="72"/>
      <c r="N243" s="195"/>
      <c r="O243" s="507" t="str">
        <f t="shared" si="19"/>
        <v/>
      </c>
      <c r="P243" s="521" t="str">
        <f t="shared" si="20"/>
        <v/>
      </c>
      <c r="Q243" s="564" t="str">
        <f>IFERROR(IF(P243="Check Data ⚠","Check Data ⚠",VLOOKUP(P243,'G-4 Temporal multipliers'!$A$4:$C$37,3,FALSE)),"")</f>
        <v/>
      </c>
      <c r="R243" s="498" t="str">
        <f>IF(C243="","",VLOOKUP(C243,'G-7 Rivers Data'!$B$4:$G$8,4,FALSE))</f>
        <v/>
      </c>
      <c r="S243" s="507" t="str">
        <f t="shared" si="21"/>
        <v/>
      </c>
      <c r="T243" s="540" t="str">
        <f t="shared" si="22"/>
        <v/>
      </c>
      <c r="U243" s="499" t="str">
        <f t="shared" si="23"/>
        <v/>
      </c>
      <c r="V243" s="71"/>
      <c r="W243" s="499" t="str">
        <f>IF(V243="","",IF(VLOOKUP(V243,'G-7 Rivers Data'!$AA$4:$AB$7,2,FALSE)=0,"Spatial Data Missing ⚠",VLOOKUP(V243,'G-7 Rivers Data'!$AA$4:$AB$7,2,FALSE)))</f>
        <v/>
      </c>
      <c r="X243" s="155"/>
      <c r="Y243" s="499" t="str">
        <f>IF(X243="","",IF(VLOOKUP(X243,'G-7 Rivers Data'!$AD$4:$AE$8,2,FALSE)=0,"Enrcoachment Data Missing ⚠",VLOOKUP(X243,'G-7 Rivers Data'!$AD$4:$AE$8,2,FALSE)))</f>
        <v/>
      </c>
      <c r="Z243" s="154"/>
      <c r="AA243" s="524" t="str">
        <f>IF(Z243="","",VLOOKUP(Z243,'G-7 Rivers Data'!$AO$4:$AP$7,2,FALSE))</f>
        <v/>
      </c>
      <c r="AB243" s="545" t="str">
        <f t="shared" si="24"/>
        <v/>
      </c>
      <c r="AC243" s="149"/>
      <c r="AD243" s="150"/>
      <c r="AK243" s="31" t="str">
        <f>IFERROR(INDEX('G-7 Rivers Data'!$AZ$3:$AZ$7,MATCH(C243,'G-7 Rivers Data'!$AY$3:$AY$7,0)),"")</f>
        <v/>
      </c>
    </row>
    <row r="244" spans="2:37" ht="13.8" x14ac:dyDescent="0.25">
      <c r="B244" s="141">
        <v>233</v>
      </c>
      <c r="C244" s="666"/>
      <c r="D244" s="172"/>
      <c r="E244" s="498" t="str">
        <f>IF(C244="","",VLOOKUP(C244,'G-7 Rivers Data'!$B$2:$Z$9,2,FALSE))</f>
        <v/>
      </c>
      <c r="F244" s="499" t="str">
        <f>IFERROR(VLOOKUP(E244,'G-7 Rivers Data'!$C$4:$D$8,2,FALSE),"")</f>
        <v/>
      </c>
      <c r="G244" s="145"/>
      <c r="H244" s="499" t="str">
        <f>IFERROR(INDEX('G-7 Rivers Data'!$H$4:$L$8,MATCH(C244,'G-7 Rivers Data'!$B$4:$B$8,0),MATCH(G244,'G-7 Rivers Data'!$H$3:$L$3,0)),"")</f>
        <v/>
      </c>
      <c r="I244" s="145"/>
      <c r="J244" s="540" t="str">
        <f>IF(I244="","",IF(VLOOKUP(I244,'G-7 Rivers Data'!$AG$4:$AI$9,2,FALSE)=0,"Spatial Data Missing ⚠",VLOOKUP(I244,'G-7 Rivers Data'!$AG$4:$AI$9,2,FALSE)))</f>
        <v/>
      </c>
      <c r="K244" s="499" t="str">
        <f>IF(I244="","",IF(VLOOKUP(I244,'G-7 Rivers Data'!$AG$4:$AI$9,3,FALSE)=0,"Spatial Data Missing ⚠",VLOOKUP(I244,'G-7 Rivers Data'!$AG$4:$AI$9,3,FALSE)))</f>
        <v/>
      </c>
      <c r="L244" s="635" t="str">
        <f>IFERROR(INDEX('G-7 Rivers Data'!$O$3:$O$7,MATCH(G244,'G-7 Rivers Data'!$N$3:$N$7,0)),"")</f>
        <v/>
      </c>
      <c r="M244" s="72"/>
      <c r="N244" s="195"/>
      <c r="O244" s="507" t="str">
        <f t="shared" si="19"/>
        <v/>
      </c>
      <c r="P244" s="521" t="str">
        <f t="shared" si="20"/>
        <v/>
      </c>
      <c r="Q244" s="564" t="str">
        <f>IFERROR(IF(P244="Check Data ⚠","Check Data ⚠",VLOOKUP(P244,'G-4 Temporal multipliers'!$A$4:$C$37,3,FALSE)),"")</f>
        <v/>
      </c>
      <c r="R244" s="498" t="str">
        <f>IF(C244="","",VLOOKUP(C244,'G-7 Rivers Data'!$B$4:$G$8,4,FALSE))</f>
        <v/>
      </c>
      <c r="S244" s="507" t="str">
        <f t="shared" si="21"/>
        <v/>
      </c>
      <c r="T244" s="540" t="str">
        <f t="shared" si="22"/>
        <v/>
      </c>
      <c r="U244" s="499" t="str">
        <f t="shared" si="23"/>
        <v/>
      </c>
      <c r="V244" s="71"/>
      <c r="W244" s="499" t="str">
        <f>IF(V244="","",IF(VLOOKUP(V244,'G-7 Rivers Data'!$AA$4:$AB$7,2,FALSE)=0,"Spatial Data Missing ⚠",VLOOKUP(V244,'G-7 Rivers Data'!$AA$4:$AB$7,2,FALSE)))</f>
        <v/>
      </c>
      <c r="X244" s="155"/>
      <c r="Y244" s="499" t="str">
        <f>IF(X244="","",IF(VLOOKUP(X244,'G-7 Rivers Data'!$AD$4:$AE$8,2,FALSE)=0,"Enrcoachment Data Missing ⚠",VLOOKUP(X244,'G-7 Rivers Data'!$AD$4:$AE$8,2,FALSE)))</f>
        <v/>
      </c>
      <c r="Z244" s="154"/>
      <c r="AA244" s="524" t="str">
        <f>IF(Z244="","",VLOOKUP(Z244,'G-7 Rivers Data'!$AO$4:$AP$7,2,FALSE))</f>
        <v/>
      </c>
      <c r="AB244" s="545" t="str">
        <f t="shared" si="24"/>
        <v/>
      </c>
      <c r="AC244" s="149"/>
      <c r="AD244" s="150"/>
      <c r="AK244" s="31" t="str">
        <f>IFERROR(INDEX('G-7 Rivers Data'!$AZ$3:$AZ$7,MATCH(C244,'G-7 Rivers Data'!$AY$3:$AY$7,0)),"")</f>
        <v/>
      </c>
    </row>
    <row r="245" spans="2:37" ht="13.8" x14ac:dyDescent="0.25">
      <c r="B245" s="141">
        <v>234</v>
      </c>
      <c r="C245" s="666"/>
      <c r="D245" s="172"/>
      <c r="E245" s="498" t="str">
        <f>IF(C245="","",VLOOKUP(C245,'G-7 Rivers Data'!$B$2:$Z$9,2,FALSE))</f>
        <v/>
      </c>
      <c r="F245" s="499" t="str">
        <f>IFERROR(VLOOKUP(E245,'G-7 Rivers Data'!$C$4:$D$8,2,FALSE),"")</f>
        <v/>
      </c>
      <c r="G245" s="145"/>
      <c r="H245" s="499" t="str">
        <f>IFERROR(INDEX('G-7 Rivers Data'!$H$4:$L$8,MATCH(C245,'G-7 Rivers Data'!$B$4:$B$8,0),MATCH(G245,'G-7 Rivers Data'!$H$3:$L$3,0)),"")</f>
        <v/>
      </c>
      <c r="I245" s="145"/>
      <c r="J245" s="540" t="str">
        <f>IF(I245="","",IF(VLOOKUP(I245,'G-7 Rivers Data'!$AG$4:$AI$9,2,FALSE)=0,"Spatial Data Missing ⚠",VLOOKUP(I245,'G-7 Rivers Data'!$AG$4:$AI$9,2,FALSE)))</f>
        <v/>
      </c>
      <c r="K245" s="499" t="str">
        <f>IF(I245="","",IF(VLOOKUP(I245,'G-7 Rivers Data'!$AG$4:$AI$9,3,FALSE)=0,"Spatial Data Missing ⚠",VLOOKUP(I245,'G-7 Rivers Data'!$AG$4:$AI$9,3,FALSE)))</f>
        <v/>
      </c>
      <c r="L245" s="635" t="str">
        <f>IFERROR(INDEX('G-7 Rivers Data'!$O$3:$O$7,MATCH(G245,'G-7 Rivers Data'!$N$3:$N$7,0)),"")</f>
        <v/>
      </c>
      <c r="M245" s="72"/>
      <c r="N245" s="195"/>
      <c r="O245" s="507" t="str">
        <f t="shared" si="19"/>
        <v/>
      </c>
      <c r="P245" s="521" t="str">
        <f t="shared" si="20"/>
        <v/>
      </c>
      <c r="Q245" s="564" t="str">
        <f>IFERROR(IF(P245="Check Data ⚠","Check Data ⚠",VLOOKUP(P245,'G-4 Temporal multipliers'!$A$4:$C$37,3,FALSE)),"")</f>
        <v/>
      </c>
      <c r="R245" s="498" t="str">
        <f>IF(C245="","",VLOOKUP(C245,'G-7 Rivers Data'!$B$4:$G$8,4,FALSE))</f>
        <v/>
      </c>
      <c r="S245" s="507" t="str">
        <f t="shared" si="21"/>
        <v/>
      </c>
      <c r="T245" s="540" t="str">
        <f t="shared" si="22"/>
        <v/>
      </c>
      <c r="U245" s="499" t="str">
        <f t="shared" si="23"/>
        <v/>
      </c>
      <c r="V245" s="71"/>
      <c r="W245" s="499" t="str">
        <f>IF(V245="","",IF(VLOOKUP(V245,'G-7 Rivers Data'!$AA$4:$AB$7,2,FALSE)=0,"Spatial Data Missing ⚠",VLOOKUP(V245,'G-7 Rivers Data'!$AA$4:$AB$7,2,FALSE)))</f>
        <v/>
      </c>
      <c r="X245" s="155"/>
      <c r="Y245" s="499" t="str">
        <f>IF(X245="","",IF(VLOOKUP(X245,'G-7 Rivers Data'!$AD$4:$AE$8,2,FALSE)=0,"Enrcoachment Data Missing ⚠",VLOOKUP(X245,'G-7 Rivers Data'!$AD$4:$AE$8,2,FALSE)))</f>
        <v/>
      </c>
      <c r="Z245" s="154"/>
      <c r="AA245" s="524" t="str">
        <f>IF(Z245="","",VLOOKUP(Z245,'G-7 Rivers Data'!$AO$4:$AP$7,2,FALSE))</f>
        <v/>
      </c>
      <c r="AB245" s="545" t="str">
        <f t="shared" si="24"/>
        <v/>
      </c>
      <c r="AC245" s="149"/>
      <c r="AD245" s="150"/>
      <c r="AK245" s="31" t="str">
        <f>IFERROR(INDEX('G-7 Rivers Data'!$AZ$3:$AZ$7,MATCH(C245,'G-7 Rivers Data'!$AY$3:$AY$7,0)),"")</f>
        <v/>
      </c>
    </row>
    <row r="246" spans="2:37" ht="13.8" x14ac:dyDescent="0.25">
      <c r="B246" s="141">
        <v>235</v>
      </c>
      <c r="C246" s="666"/>
      <c r="D246" s="172"/>
      <c r="E246" s="498" t="str">
        <f>IF(C246="","",VLOOKUP(C246,'G-7 Rivers Data'!$B$2:$Z$9,2,FALSE))</f>
        <v/>
      </c>
      <c r="F246" s="499" t="str">
        <f>IFERROR(VLOOKUP(E246,'G-7 Rivers Data'!$C$4:$D$8,2,FALSE),"")</f>
        <v/>
      </c>
      <c r="G246" s="145"/>
      <c r="H246" s="499" t="str">
        <f>IFERROR(INDEX('G-7 Rivers Data'!$H$4:$L$8,MATCH(C246,'G-7 Rivers Data'!$B$4:$B$8,0),MATCH(G246,'G-7 Rivers Data'!$H$3:$L$3,0)),"")</f>
        <v/>
      </c>
      <c r="I246" s="145"/>
      <c r="J246" s="540" t="str">
        <f>IF(I246="","",IF(VLOOKUP(I246,'G-7 Rivers Data'!$AG$4:$AI$9,2,FALSE)=0,"Spatial Data Missing ⚠",VLOOKUP(I246,'G-7 Rivers Data'!$AG$4:$AI$9,2,FALSE)))</f>
        <v/>
      </c>
      <c r="K246" s="499" t="str">
        <f>IF(I246="","",IF(VLOOKUP(I246,'G-7 Rivers Data'!$AG$4:$AI$9,3,FALSE)=0,"Spatial Data Missing ⚠",VLOOKUP(I246,'G-7 Rivers Data'!$AG$4:$AI$9,3,FALSE)))</f>
        <v/>
      </c>
      <c r="L246" s="635" t="str">
        <f>IFERROR(INDEX('G-7 Rivers Data'!$O$3:$O$7,MATCH(G246,'G-7 Rivers Data'!$N$3:$N$7,0)),"")</f>
        <v/>
      </c>
      <c r="M246" s="72"/>
      <c r="N246" s="195"/>
      <c r="O246" s="507" t="str">
        <f t="shared" si="19"/>
        <v/>
      </c>
      <c r="P246" s="521" t="str">
        <f t="shared" si="20"/>
        <v/>
      </c>
      <c r="Q246" s="564" t="str">
        <f>IFERROR(IF(P246="Check Data ⚠","Check Data ⚠",VLOOKUP(P246,'G-4 Temporal multipliers'!$A$4:$C$37,3,FALSE)),"")</f>
        <v/>
      </c>
      <c r="R246" s="498" t="str">
        <f>IF(C246="","",VLOOKUP(C246,'G-7 Rivers Data'!$B$4:$G$8,4,FALSE))</f>
        <v/>
      </c>
      <c r="S246" s="507" t="str">
        <f t="shared" si="21"/>
        <v/>
      </c>
      <c r="T246" s="540" t="str">
        <f t="shared" si="22"/>
        <v/>
      </c>
      <c r="U246" s="499" t="str">
        <f t="shared" si="23"/>
        <v/>
      </c>
      <c r="V246" s="71"/>
      <c r="W246" s="499" t="str">
        <f>IF(V246="","",IF(VLOOKUP(V246,'G-7 Rivers Data'!$AA$4:$AB$7,2,FALSE)=0,"Spatial Data Missing ⚠",VLOOKUP(V246,'G-7 Rivers Data'!$AA$4:$AB$7,2,FALSE)))</f>
        <v/>
      </c>
      <c r="X246" s="155"/>
      <c r="Y246" s="499" t="str">
        <f>IF(X246="","",IF(VLOOKUP(X246,'G-7 Rivers Data'!$AD$4:$AE$8,2,FALSE)=0,"Enrcoachment Data Missing ⚠",VLOOKUP(X246,'G-7 Rivers Data'!$AD$4:$AE$8,2,FALSE)))</f>
        <v/>
      </c>
      <c r="Z246" s="154"/>
      <c r="AA246" s="524" t="str">
        <f>IF(Z246="","",VLOOKUP(Z246,'G-7 Rivers Data'!$AO$4:$AP$7,2,FALSE))</f>
        <v/>
      </c>
      <c r="AB246" s="545" t="str">
        <f t="shared" si="24"/>
        <v/>
      </c>
      <c r="AC246" s="149"/>
      <c r="AD246" s="150"/>
      <c r="AK246" s="31" t="str">
        <f>IFERROR(INDEX('G-7 Rivers Data'!$AZ$3:$AZ$7,MATCH(C246,'G-7 Rivers Data'!$AY$3:$AY$7,0)),"")</f>
        <v/>
      </c>
    </row>
    <row r="247" spans="2:37" ht="13.8" x14ac:dyDescent="0.25">
      <c r="B247" s="141">
        <v>236</v>
      </c>
      <c r="C247" s="666"/>
      <c r="D247" s="172"/>
      <c r="E247" s="498" t="str">
        <f>IF(C247="","",VLOOKUP(C247,'G-7 Rivers Data'!$B$2:$Z$9,2,FALSE))</f>
        <v/>
      </c>
      <c r="F247" s="499" t="str">
        <f>IFERROR(VLOOKUP(E247,'G-7 Rivers Data'!$C$4:$D$8,2,FALSE),"")</f>
        <v/>
      </c>
      <c r="G247" s="145"/>
      <c r="H247" s="499" t="str">
        <f>IFERROR(INDEX('G-7 Rivers Data'!$H$4:$L$8,MATCH(C247,'G-7 Rivers Data'!$B$4:$B$8,0),MATCH(G247,'G-7 Rivers Data'!$H$3:$L$3,0)),"")</f>
        <v/>
      </c>
      <c r="I247" s="145"/>
      <c r="J247" s="540" t="str">
        <f>IF(I247="","",IF(VLOOKUP(I247,'G-7 Rivers Data'!$AG$4:$AI$9,2,FALSE)=0,"Spatial Data Missing ⚠",VLOOKUP(I247,'G-7 Rivers Data'!$AG$4:$AI$9,2,FALSE)))</f>
        <v/>
      </c>
      <c r="K247" s="499" t="str">
        <f>IF(I247="","",IF(VLOOKUP(I247,'G-7 Rivers Data'!$AG$4:$AI$9,3,FALSE)=0,"Spatial Data Missing ⚠",VLOOKUP(I247,'G-7 Rivers Data'!$AG$4:$AI$9,3,FALSE)))</f>
        <v/>
      </c>
      <c r="L247" s="635" t="str">
        <f>IFERROR(INDEX('G-7 Rivers Data'!$O$3:$O$7,MATCH(G247,'G-7 Rivers Data'!$N$3:$N$7,0)),"")</f>
        <v/>
      </c>
      <c r="M247" s="72"/>
      <c r="N247" s="195"/>
      <c r="O247" s="507" t="str">
        <f t="shared" si="19"/>
        <v/>
      </c>
      <c r="P247" s="521" t="str">
        <f t="shared" si="20"/>
        <v/>
      </c>
      <c r="Q247" s="564" t="str">
        <f>IFERROR(IF(P247="Check Data ⚠","Check Data ⚠",VLOOKUP(P247,'G-4 Temporal multipliers'!$A$4:$C$37,3,FALSE)),"")</f>
        <v/>
      </c>
      <c r="R247" s="498" t="str">
        <f>IF(C247="","",VLOOKUP(C247,'G-7 Rivers Data'!$B$4:$G$8,4,FALSE))</f>
        <v/>
      </c>
      <c r="S247" s="507" t="str">
        <f t="shared" si="21"/>
        <v/>
      </c>
      <c r="T247" s="540" t="str">
        <f t="shared" si="22"/>
        <v/>
      </c>
      <c r="U247" s="499" t="str">
        <f t="shared" si="23"/>
        <v/>
      </c>
      <c r="V247" s="71"/>
      <c r="W247" s="499" t="str">
        <f>IF(V247="","",IF(VLOOKUP(V247,'G-7 Rivers Data'!$AA$4:$AB$7,2,FALSE)=0,"Spatial Data Missing ⚠",VLOOKUP(V247,'G-7 Rivers Data'!$AA$4:$AB$7,2,FALSE)))</f>
        <v/>
      </c>
      <c r="X247" s="155"/>
      <c r="Y247" s="499" t="str">
        <f>IF(X247="","",IF(VLOOKUP(X247,'G-7 Rivers Data'!$AD$4:$AE$8,2,FALSE)=0,"Enrcoachment Data Missing ⚠",VLOOKUP(X247,'G-7 Rivers Data'!$AD$4:$AE$8,2,FALSE)))</f>
        <v/>
      </c>
      <c r="Z247" s="154"/>
      <c r="AA247" s="524" t="str">
        <f>IF(Z247="","",VLOOKUP(Z247,'G-7 Rivers Data'!$AO$4:$AP$7,2,FALSE))</f>
        <v/>
      </c>
      <c r="AB247" s="545" t="str">
        <f t="shared" si="24"/>
        <v/>
      </c>
      <c r="AC247" s="149"/>
      <c r="AD247" s="150"/>
      <c r="AK247" s="31" t="str">
        <f>IFERROR(INDEX('G-7 Rivers Data'!$AZ$3:$AZ$7,MATCH(C247,'G-7 Rivers Data'!$AY$3:$AY$7,0)),"")</f>
        <v/>
      </c>
    </row>
    <row r="248" spans="2:37" ht="13.8" x14ac:dyDescent="0.25">
      <c r="B248" s="141">
        <v>237</v>
      </c>
      <c r="C248" s="666"/>
      <c r="D248" s="172"/>
      <c r="E248" s="498" t="str">
        <f>IF(C248="","",VLOOKUP(C248,'G-7 Rivers Data'!$B$2:$Z$9,2,FALSE))</f>
        <v/>
      </c>
      <c r="F248" s="499" t="str">
        <f>IFERROR(VLOOKUP(E248,'G-7 Rivers Data'!$C$4:$D$8,2,FALSE),"")</f>
        <v/>
      </c>
      <c r="G248" s="145"/>
      <c r="H248" s="499" t="str">
        <f>IFERROR(INDEX('G-7 Rivers Data'!$H$4:$L$8,MATCH(C248,'G-7 Rivers Data'!$B$4:$B$8,0),MATCH(G248,'G-7 Rivers Data'!$H$3:$L$3,0)),"")</f>
        <v/>
      </c>
      <c r="I248" s="145"/>
      <c r="J248" s="540" t="str">
        <f>IF(I248="","",IF(VLOOKUP(I248,'G-7 Rivers Data'!$AG$4:$AI$9,2,FALSE)=0,"Spatial Data Missing ⚠",VLOOKUP(I248,'G-7 Rivers Data'!$AG$4:$AI$9,2,FALSE)))</f>
        <v/>
      </c>
      <c r="K248" s="499" t="str">
        <f>IF(I248="","",IF(VLOOKUP(I248,'G-7 Rivers Data'!$AG$4:$AI$9,3,FALSE)=0,"Spatial Data Missing ⚠",VLOOKUP(I248,'G-7 Rivers Data'!$AG$4:$AI$9,3,FALSE)))</f>
        <v/>
      </c>
      <c r="L248" s="635" t="str">
        <f>IFERROR(INDEX('G-7 Rivers Data'!$O$3:$O$7,MATCH(G248,'G-7 Rivers Data'!$N$3:$N$7,0)),"")</f>
        <v/>
      </c>
      <c r="M248" s="72"/>
      <c r="N248" s="195"/>
      <c r="O248" s="507" t="str">
        <f t="shared" si="19"/>
        <v/>
      </c>
      <c r="P248" s="521" t="str">
        <f t="shared" si="20"/>
        <v/>
      </c>
      <c r="Q248" s="564" t="str">
        <f>IFERROR(IF(P248="Check Data ⚠","Check Data ⚠",VLOOKUP(P248,'G-4 Temporal multipliers'!$A$4:$C$37,3,FALSE)),"")</f>
        <v/>
      </c>
      <c r="R248" s="498" t="str">
        <f>IF(C248="","",VLOOKUP(C248,'G-7 Rivers Data'!$B$4:$G$8,4,FALSE))</f>
        <v/>
      </c>
      <c r="S248" s="507" t="str">
        <f t="shared" si="21"/>
        <v/>
      </c>
      <c r="T248" s="540" t="str">
        <f t="shared" si="22"/>
        <v/>
      </c>
      <c r="U248" s="499" t="str">
        <f t="shared" si="23"/>
        <v/>
      </c>
      <c r="V248" s="71"/>
      <c r="W248" s="499" t="str">
        <f>IF(V248="","",IF(VLOOKUP(V248,'G-7 Rivers Data'!$AA$4:$AB$7,2,FALSE)=0,"Spatial Data Missing ⚠",VLOOKUP(V248,'G-7 Rivers Data'!$AA$4:$AB$7,2,FALSE)))</f>
        <v/>
      </c>
      <c r="X248" s="155"/>
      <c r="Y248" s="499" t="str">
        <f>IF(X248="","",IF(VLOOKUP(X248,'G-7 Rivers Data'!$AD$4:$AE$8,2,FALSE)=0,"Enrcoachment Data Missing ⚠",VLOOKUP(X248,'G-7 Rivers Data'!$AD$4:$AE$8,2,FALSE)))</f>
        <v/>
      </c>
      <c r="Z248" s="154"/>
      <c r="AA248" s="524" t="str">
        <f>IF(Z248="","",VLOOKUP(Z248,'G-7 Rivers Data'!$AO$4:$AP$7,2,FALSE))</f>
        <v/>
      </c>
      <c r="AB248" s="545" t="str">
        <f t="shared" si="24"/>
        <v/>
      </c>
      <c r="AC248" s="149"/>
      <c r="AD248" s="150"/>
      <c r="AK248" s="31" t="str">
        <f>IFERROR(INDEX('G-7 Rivers Data'!$AZ$3:$AZ$7,MATCH(C248,'G-7 Rivers Data'!$AY$3:$AY$7,0)),"")</f>
        <v/>
      </c>
    </row>
    <row r="249" spans="2:37" ht="13.8" x14ac:dyDescent="0.25">
      <c r="B249" s="141">
        <v>238</v>
      </c>
      <c r="C249" s="666"/>
      <c r="D249" s="172"/>
      <c r="E249" s="498" t="str">
        <f>IF(C249="","",VLOOKUP(C249,'G-7 Rivers Data'!$B$2:$Z$9,2,FALSE))</f>
        <v/>
      </c>
      <c r="F249" s="499" t="str">
        <f>IFERROR(VLOOKUP(E249,'G-7 Rivers Data'!$C$4:$D$8,2,FALSE),"")</f>
        <v/>
      </c>
      <c r="G249" s="145"/>
      <c r="H249" s="499" t="str">
        <f>IFERROR(INDEX('G-7 Rivers Data'!$H$4:$L$8,MATCH(C249,'G-7 Rivers Data'!$B$4:$B$8,0),MATCH(G249,'G-7 Rivers Data'!$H$3:$L$3,0)),"")</f>
        <v/>
      </c>
      <c r="I249" s="145"/>
      <c r="J249" s="540" t="str">
        <f>IF(I249="","",IF(VLOOKUP(I249,'G-7 Rivers Data'!$AG$4:$AI$9,2,FALSE)=0,"Spatial Data Missing ⚠",VLOOKUP(I249,'G-7 Rivers Data'!$AG$4:$AI$9,2,FALSE)))</f>
        <v/>
      </c>
      <c r="K249" s="499" t="str">
        <f>IF(I249="","",IF(VLOOKUP(I249,'G-7 Rivers Data'!$AG$4:$AI$9,3,FALSE)=0,"Spatial Data Missing ⚠",VLOOKUP(I249,'G-7 Rivers Data'!$AG$4:$AI$9,3,FALSE)))</f>
        <v/>
      </c>
      <c r="L249" s="635" t="str">
        <f>IFERROR(INDEX('G-7 Rivers Data'!$O$3:$O$7,MATCH(G249,'G-7 Rivers Data'!$N$3:$N$7,0)),"")</f>
        <v/>
      </c>
      <c r="M249" s="72"/>
      <c r="N249" s="195"/>
      <c r="O249" s="507" t="str">
        <f t="shared" si="19"/>
        <v/>
      </c>
      <c r="P249" s="521" t="str">
        <f t="shared" si="20"/>
        <v/>
      </c>
      <c r="Q249" s="564" t="str">
        <f>IFERROR(IF(P249="Check Data ⚠","Check Data ⚠",VLOOKUP(P249,'G-4 Temporal multipliers'!$A$4:$C$37,3,FALSE)),"")</f>
        <v/>
      </c>
      <c r="R249" s="498" t="str">
        <f>IF(C249="","",VLOOKUP(C249,'G-7 Rivers Data'!$B$4:$G$8,4,FALSE))</f>
        <v/>
      </c>
      <c r="S249" s="507" t="str">
        <f t="shared" si="21"/>
        <v/>
      </c>
      <c r="T249" s="540" t="str">
        <f t="shared" si="22"/>
        <v/>
      </c>
      <c r="U249" s="499" t="str">
        <f t="shared" si="23"/>
        <v/>
      </c>
      <c r="V249" s="71"/>
      <c r="W249" s="499" t="str">
        <f>IF(V249="","",IF(VLOOKUP(V249,'G-7 Rivers Data'!$AA$4:$AB$7,2,FALSE)=0,"Spatial Data Missing ⚠",VLOOKUP(V249,'G-7 Rivers Data'!$AA$4:$AB$7,2,FALSE)))</f>
        <v/>
      </c>
      <c r="X249" s="155"/>
      <c r="Y249" s="499" t="str">
        <f>IF(X249="","",IF(VLOOKUP(X249,'G-7 Rivers Data'!$AD$4:$AE$8,2,FALSE)=0,"Enrcoachment Data Missing ⚠",VLOOKUP(X249,'G-7 Rivers Data'!$AD$4:$AE$8,2,FALSE)))</f>
        <v/>
      </c>
      <c r="Z249" s="154"/>
      <c r="AA249" s="524" t="str">
        <f>IF(Z249="","",VLOOKUP(Z249,'G-7 Rivers Data'!$AO$4:$AP$7,2,FALSE))</f>
        <v/>
      </c>
      <c r="AB249" s="545" t="str">
        <f t="shared" si="24"/>
        <v/>
      </c>
      <c r="AC249" s="149"/>
      <c r="AD249" s="150"/>
      <c r="AK249" s="31" t="str">
        <f>IFERROR(INDEX('G-7 Rivers Data'!$AZ$3:$AZ$7,MATCH(C249,'G-7 Rivers Data'!$AY$3:$AY$7,0)),"")</f>
        <v/>
      </c>
    </row>
    <row r="250" spans="2:37" ht="13.8" x14ac:dyDescent="0.25">
      <c r="B250" s="141">
        <v>239</v>
      </c>
      <c r="C250" s="666"/>
      <c r="D250" s="172"/>
      <c r="E250" s="498" t="str">
        <f>IF(C250="","",VLOOKUP(C250,'G-7 Rivers Data'!$B$2:$Z$9,2,FALSE))</f>
        <v/>
      </c>
      <c r="F250" s="499" t="str">
        <f>IFERROR(VLOOKUP(E250,'G-7 Rivers Data'!$C$4:$D$8,2,FALSE),"")</f>
        <v/>
      </c>
      <c r="G250" s="145"/>
      <c r="H250" s="499" t="str">
        <f>IFERROR(INDEX('G-7 Rivers Data'!$H$4:$L$8,MATCH(C250,'G-7 Rivers Data'!$B$4:$B$8,0),MATCH(G250,'G-7 Rivers Data'!$H$3:$L$3,0)),"")</f>
        <v/>
      </c>
      <c r="I250" s="145"/>
      <c r="J250" s="540" t="str">
        <f>IF(I250="","",IF(VLOOKUP(I250,'G-7 Rivers Data'!$AG$4:$AI$9,2,FALSE)=0,"Spatial Data Missing ⚠",VLOOKUP(I250,'G-7 Rivers Data'!$AG$4:$AI$9,2,FALSE)))</f>
        <v/>
      </c>
      <c r="K250" s="499" t="str">
        <f>IF(I250="","",IF(VLOOKUP(I250,'G-7 Rivers Data'!$AG$4:$AI$9,3,FALSE)=0,"Spatial Data Missing ⚠",VLOOKUP(I250,'G-7 Rivers Data'!$AG$4:$AI$9,3,FALSE)))</f>
        <v/>
      </c>
      <c r="L250" s="635" t="str">
        <f>IFERROR(INDEX('G-7 Rivers Data'!$O$3:$O$7,MATCH(G250,'G-7 Rivers Data'!$N$3:$N$7,0)),"")</f>
        <v/>
      </c>
      <c r="M250" s="72"/>
      <c r="N250" s="195"/>
      <c r="O250" s="507" t="str">
        <f t="shared" si="19"/>
        <v/>
      </c>
      <c r="P250" s="521" t="str">
        <f t="shared" si="20"/>
        <v/>
      </c>
      <c r="Q250" s="564" t="str">
        <f>IFERROR(IF(P250="Check Data ⚠","Check Data ⚠",VLOOKUP(P250,'G-4 Temporal multipliers'!$A$4:$C$37,3,FALSE)),"")</f>
        <v/>
      </c>
      <c r="R250" s="498" t="str">
        <f>IF(C250="","",VLOOKUP(C250,'G-7 Rivers Data'!$B$4:$G$8,4,FALSE))</f>
        <v/>
      </c>
      <c r="S250" s="507" t="str">
        <f t="shared" si="21"/>
        <v/>
      </c>
      <c r="T250" s="540" t="str">
        <f t="shared" si="22"/>
        <v/>
      </c>
      <c r="U250" s="499" t="str">
        <f t="shared" si="23"/>
        <v/>
      </c>
      <c r="V250" s="71"/>
      <c r="W250" s="499" t="str">
        <f>IF(V250="","",IF(VLOOKUP(V250,'G-7 Rivers Data'!$AA$4:$AB$7,2,FALSE)=0,"Spatial Data Missing ⚠",VLOOKUP(V250,'G-7 Rivers Data'!$AA$4:$AB$7,2,FALSE)))</f>
        <v/>
      </c>
      <c r="X250" s="155"/>
      <c r="Y250" s="499" t="str">
        <f>IF(X250="","",IF(VLOOKUP(X250,'G-7 Rivers Data'!$AD$4:$AE$8,2,FALSE)=0,"Enrcoachment Data Missing ⚠",VLOOKUP(X250,'G-7 Rivers Data'!$AD$4:$AE$8,2,FALSE)))</f>
        <v/>
      </c>
      <c r="Z250" s="154"/>
      <c r="AA250" s="524" t="str">
        <f>IF(Z250="","",VLOOKUP(Z250,'G-7 Rivers Data'!$AO$4:$AP$7,2,FALSE))</f>
        <v/>
      </c>
      <c r="AB250" s="545" t="str">
        <f t="shared" si="24"/>
        <v/>
      </c>
      <c r="AC250" s="149"/>
      <c r="AD250" s="150"/>
      <c r="AK250" s="31" t="str">
        <f>IFERROR(INDEX('G-7 Rivers Data'!$AZ$3:$AZ$7,MATCH(C250,'G-7 Rivers Data'!$AY$3:$AY$7,0)),"")</f>
        <v/>
      </c>
    </row>
    <row r="251" spans="2:37" ht="13.8" x14ac:dyDescent="0.25">
      <c r="B251" s="141">
        <v>240</v>
      </c>
      <c r="C251" s="666"/>
      <c r="D251" s="172"/>
      <c r="E251" s="498" t="str">
        <f>IF(C251="","",VLOOKUP(C251,'G-7 Rivers Data'!$B$2:$Z$9,2,FALSE))</f>
        <v/>
      </c>
      <c r="F251" s="499" t="str">
        <f>IFERROR(VLOOKUP(E251,'G-7 Rivers Data'!$C$4:$D$8,2,FALSE),"")</f>
        <v/>
      </c>
      <c r="G251" s="145"/>
      <c r="H251" s="499" t="str">
        <f>IFERROR(INDEX('G-7 Rivers Data'!$H$4:$L$8,MATCH(C251,'G-7 Rivers Data'!$B$4:$B$8,0),MATCH(G251,'G-7 Rivers Data'!$H$3:$L$3,0)),"")</f>
        <v/>
      </c>
      <c r="I251" s="145"/>
      <c r="J251" s="540" t="str">
        <f>IF(I251="","",IF(VLOOKUP(I251,'G-7 Rivers Data'!$AG$4:$AI$9,2,FALSE)=0,"Spatial Data Missing ⚠",VLOOKUP(I251,'G-7 Rivers Data'!$AG$4:$AI$9,2,FALSE)))</f>
        <v/>
      </c>
      <c r="K251" s="499" t="str">
        <f>IF(I251="","",IF(VLOOKUP(I251,'G-7 Rivers Data'!$AG$4:$AI$9,3,FALSE)=0,"Spatial Data Missing ⚠",VLOOKUP(I251,'G-7 Rivers Data'!$AG$4:$AI$9,3,FALSE)))</f>
        <v/>
      </c>
      <c r="L251" s="635" t="str">
        <f>IFERROR(INDEX('G-7 Rivers Data'!$O$3:$O$7,MATCH(G251,'G-7 Rivers Data'!$N$3:$N$7,0)),"")</f>
        <v/>
      </c>
      <c r="M251" s="72"/>
      <c r="N251" s="195"/>
      <c r="O251" s="507" t="str">
        <f t="shared" si="19"/>
        <v/>
      </c>
      <c r="P251" s="521" t="str">
        <f t="shared" si="20"/>
        <v/>
      </c>
      <c r="Q251" s="564" t="str">
        <f>IFERROR(IF(P251="Check Data ⚠","Check Data ⚠",VLOOKUP(P251,'G-4 Temporal multipliers'!$A$4:$C$37,3,FALSE)),"")</f>
        <v/>
      </c>
      <c r="R251" s="498" t="str">
        <f>IF(C251="","",VLOOKUP(C251,'G-7 Rivers Data'!$B$4:$G$8,4,FALSE))</f>
        <v/>
      </c>
      <c r="S251" s="507" t="str">
        <f t="shared" si="21"/>
        <v/>
      </c>
      <c r="T251" s="540" t="str">
        <f t="shared" si="22"/>
        <v/>
      </c>
      <c r="U251" s="499" t="str">
        <f t="shared" si="23"/>
        <v/>
      </c>
      <c r="V251" s="71"/>
      <c r="W251" s="499" t="str">
        <f>IF(V251="","",IF(VLOOKUP(V251,'G-7 Rivers Data'!$AA$4:$AB$7,2,FALSE)=0,"Spatial Data Missing ⚠",VLOOKUP(V251,'G-7 Rivers Data'!$AA$4:$AB$7,2,FALSE)))</f>
        <v/>
      </c>
      <c r="X251" s="155"/>
      <c r="Y251" s="499" t="str">
        <f>IF(X251="","",IF(VLOOKUP(X251,'G-7 Rivers Data'!$AD$4:$AE$8,2,FALSE)=0,"Enrcoachment Data Missing ⚠",VLOOKUP(X251,'G-7 Rivers Data'!$AD$4:$AE$8,2,FALSE)))</f>
        <v/>
      </c>
      <c r="Z251" s="154"/>
      <c r="AA251" s="524" t="str">
        <f>IF(Z251="","",VLOOKUP(Z251,'G-7 Rivers Data'!$AO$4:$AP$7,2,FALSE))</f>
        <v/>
      </c>
      <c r="AB251" s="545" t="str">
        <f t="shared" si="24"/>
        <v/>
      </c>
      <c r="AC251" s="149"/>
      <c r="AD251" s="150"/>
      <c r="AK251" s="31" t="str">
        <f>IFERROR(INDEX('G-7 Rivers Data'!$AZ$3:$AZ$7,MATCH(C251,'G-7 Rivers Data'!$AY$3:$AY$7,0)),"")</f>
        <v/>
      </c>
    </row>
    <row r="252" spans="2:37" ht="13.8" x14ac:dyDescent="0.25">
      <c r="B252" s="141">
        <v>241</v>
      </c>
      <c r="C252" s="666"/>
      <c r="D252" s="172"/>
      <c r="E252" s="498" t="str">
        <f>IF(C252="","",VLOOKUP(C252,'G-7 Rivers Data'!$B$2:$Z$9,2,FALSE))</f>
        <v/>
      </c>
      <c r="F252" s="499" t="str">
        <f>IFERROR(VLOOKUP(E252,'G-7 Rivers Data'!$C$4:$D$8,2,FALSE),"")</f>
        <v/>
      </c>
      <c r="G252" s="145"/>
      <c r="H252" s="499" t="str">
        <f>IFERROR(INDEX('G-7 Rivers Data'!$H$4:$L$8,MATCH(C252,'G-7 Rivers Data'!$B$4:$B$8,0),MATCH(G252,'G-7 Rivers Data'!$H$3:$L$3,0)),"")</f>
        <v/>
      </c>
      <c r="I252" s="145"/>
      <c r="J252" s="540" t="str">
        <f>IF(I252="","",IF(VLOOKUP(I252,'G-7 Rivers Data'!$AG$4:$AI$9,2,FALSE)=0,"Spatial Data Missing ⚠",VLOOKUP(I252,'G-7 Rivers Data'!$AG$4:$AI$9,2,FALSE)))</f>
        <v/>
      </c>
      <c r="K252" s="499" t="str">
        <f>IF(I252="","",IF(VLOOKUP(I252,'G-7 Rivers Data'!$AG$4:$AI$9,3,FALSE)=0,"Spatial Data Missing ⚠",VLOOKUP(I252,'G-7 Rivers Data'!$AG$4:$AI$9,3,FALSE)))</f>
        <v/>
      </c>
      <c r="L252" s="635" t="str">
        <f>IFERROR(INDEX('G-7 Rivers Data'!$O$3:$O$7,MATCH(G252,'G-7 Rivers Data'!$N$3:$N$7,0)),"")</f>
        <v/>
      </c>
      <c r="M252" s="72"/>
      <c r="N252" s="195"/>
      <c r="O252" s="507" t="str">
        <f t="shared" si="19"/>
        <v/>
      </c>
      <c r="P252" s="521" t="str">
        <f t="shared" si="20"/>
        <v/>
      </c>
      <c r="Q252" s="564" t="str">
        <f>IFERROR(IF(P252="Check Data ⚠","Check Data ⚠",VLOOKUP(P252,'G-4 Temporal multipliers'!$A$4:$C$37,3,FALSE)),"")</f>
        <v/>
      </c>
      <c r="R252" s="498" t="str">
        <f>IF(C252="","",VLOOKUP(C252,'G-7 Rivers Data'!$B$4:$G$8,4,FALSE))</f>
        <v/>
      </c>
      <c r="S252" s="507" t="str">
        <f t="shared" si="21"/>
        <v/>
      </c>
      <c r="T252" s="540" t="str">
        <f t="shared" si="22"/>
        <v/>
      </c>
      <c r="U252" s="499" t="str">
        <f t="shared" si="23"/>
        <v/>
      </c>
      <c r="V252" s="71"/>
      <c r="W252" s="499" t="str">
        <f>IF(V252="","",IF(VLOOKUP(V252,'G-7 Rivers Data'!$AA$4:$AB$7,2,FALSE)=0,"Spatial Data Missing ⚠",VLOOKUP(V252,'G-7 Rivers Data'!$AA$4:$AB$7,2,FALSE)))</f>
        <v/>
      </c>
      <c r="X252" s="155"/>
      <c r="Y252" s="499" t="str">
        <f>IF(X252="","",IF(VLOOKUP(X252,'G-7 Rivers Data'!$AD$4:$AE$8,2,FALSE)=0,"Enrcoachment Data Missing ⚠",VLOOKUP(X252,'G-7 Rivers Data'!$AD$4:$AE$8,2,FALSE)))</f>
        <v/>
      </c>
      <c r="Z252" s="154"/>
      <c r="AA252" s="524" t="str">
        <f>IF(Z252="","",VLOOKUP(Z252,'G-7 Rivers Data'!$AO$4:$AP$7,2,FALSE))</f>
        <v/>
      </c>
      <c r="AB252" s="545" t="str">
        <f t="shared" si="24"/>
        <v/>
      </c>
      <c r="AC252" s="149"/>
      <c r="AD252" s="150"/>
      <c r="AK252" s="31" t="str">
        <f>IFERROR(INDEX('G-7 Rivers Data'!$AZ$3:$AZ$7,MATCH(C252,'G-7 Rivers Data'!$AY$3:$AY$7,0)),"")</f>
        <v/>
      </c>
    </row>
    <row r="253" spans="2:37" ht="13.8" x14ac:dyDescent="0.25">
      <c r="B253" s="141">
        <v>242</v>
      </c>
      <c r="C253" s="666"/>
      <c r="D253" s="172"/>
      <c r="E253" s="498" t="str">
        <f>IF(C253="","",VLOOKUP(C253,'G-7 Rivers Data'!$B$2:$Z$9,2,FALSE))</f>
        <v/>
      </c>
      <c r="F253" s="499" t="str">
        <f>IFERROR(VLOOKUP(E253,'G-7 Rivers Data'!$C$4:$D$8,2,FALSE),"")</f>
        <v/>
      </c>
      <c r="G253" s="145"/>
      <c r="H253" s="499" t="str">
        <f>IFERROR(INDEX('G-7 Rivers Data'!$H$4:$L$8,MATCH(C253,'G-7 Rivers Data'!$B$4:$B$8,0),MATCH(G253,'G-7 Rivers Data'!$H$3:$L$3,0)),"")</f>
        <v/>
      </c>
      <c r="I253" s="145"/>
      <c r="J253" s="540" t="str">
        <f>IF(I253="","",IF(VLOOKUP(I253,'G-7 Rivers Data'!$AG$4:$AI$9,2,FALSE)=0,"Spatial Data Missing ⚠",VLOOKUP(I253,'G-7 Rivers Data'!$AG$4:$AI$9,2,FALSE)))</f>
        <v/>
      </c>
      <c r="K253" s="499" t="str">
        <f>IF(I253="","",IF(VLOOKUP(I253,'G-7 Rivers Data'!$AG$4:$AI$9,3,FALSE)=0,"Spatial Data Missing ⚠",VLOOKUP(I253,'G-7 Rivers Data'!$AG$4:$AI$9,3,FALSE)))</f>
        <v/>
      </c>
      <c r="L253" s="635" t="str">
        <f>IFERROR(INDEX('G-7 Rivers Data'!$O$3:$O$7,MATCH(G253,'G-7 Rivers Data'!$N$3:$N$7,0)),"")</f>
        <v/>
      </c>
      <c r="M253" s="72"/>
      <c r="N253" s="195"/>
      <c r="O253" s="507" t="str">
        <f t="shared" si="19"/>
        <v/>
      </c>
      <c r="P253" s="521" t="str">
        <f t="shared" si="20"/>
        <v/>
      </c>
      <c r="Q253" s="564" t="str">
        <f>IFERROR(IF(P253="Check Data ⚠","Check Data ⚠",VLOOKUP(P253,'G-4 Temporal multipliers'!$A$4:$C$37,3,FALSE)),"")</f>
        <v/>
      </c>
      <c r="R253" s="498" t="str">
        <f>IF(C253="","",VLOOKUP(C253,'G-7 Rivers Data'!$B$4:$G$8,4,FALSE))</f>
        <v/>
      </c>
      <c r="S253" s="507" t="str">
        <f t="shared" si="21"/>
        <v/>
      </c>
      <c r="T253" s="540" t="str">
        <f t="shared" si="22"/>
        <v/>
      </c>
      <c r="U253" s="499" t="str">
        <f t="shared" si="23"/>
        <v/>
      </c>
      <c r="V253" s="71"/>
      <c r="W253" s="499" t="str">
        <f>IF(V253="","",IF(VLOOKUP(V253,'G-7 Rivers Data'!$AA$4:$AB$7,2,FALSE)=0,"Spatial Data Missing ⚠",VLOOKUP(V253,'G-7 Rivers Data'!$AA$4:$AB$7,2,FALSE)))</f>
        <v/>
      </c>
      <c r="X253" s="155"/>
      <c r="Y253" s="499" t="str">
        <f>IF(X253="","",IF(VLOOKUP(X253,'G-7 Rivers Data'!$AD$4:$AE$8,2,FALSE)=0,"Enrcoachment Data Missing ⚠",VLOOKUP(X253,'G-7 Rivers Data'!$AD$4:$AE$8,2,FALSE)))</f>
        <v/>
      </c>
      <c r="Z253" s="154"/>
      <c r="AA253" s="524" t="str">
        <f>IF(Z253="","",VLOOKUP(Z253,'G-7 Rivers Data'!$AO$4:$AP$7,2,FALSE))</f>
        <v/>
      </c>
      <c r="AB253" s="545" t="str">
        <f t="shared" si="24"/>
        <v/>
      </c>
      <c r="AC253" s="149"/>
      <c r="AD253" s="150"/>
      <c r="AK253" s="31" t="str">
        <f>IFERROR(INDEX('G-7 Rivers Data'!$AZ$3:$AZ$7,MATCH(C253,'G-7 Rivers Data'!$AY$3:$AY$7,0)),"")</f>
        <v/>
      </c>
    </row>
    <row r="254" spans="2:37" ht="13.8" x14ac:dyDescent="0.25">
      <c r="B254" s="141">
        <v>243</v>
      </c>
      <c r="C254" s="666"/>
      <c r="D254" s="172"/>
      <c r="E254" s="498" t="str">
        <f>IF(C254="","",VLOOKUP(C254,'G-7 Rivers Data'!$B$2:$Z$9,2,FALSE))</f>
        <v/>
      </c>
      <c r="F254" s="499" t="str">
        <f>IFERROR(VLOOKUP(E254,'G-7 Rivers Data'!$C$4:$D$8,2,FALSE),"")</f>
        <v/>
      </c>
      <c r="G254" s="145"/>
      <c r="H254" s="499" t="str">
        <f>IFERROR(INDEX('G-7 Rivers Data'!$H$4:$L$8,MATCH(C254,'G-7 Rivers Data'!$B$4:$B$8,0),MATCH(G254,'G-7 Rivers Data'!$H$3:$L$3,0)),"")</f>
        <v/>
      </c>
      <c r="I254" s="145"/>
      <c r="J254" s="540" t="str">
        <f>IF(I254="","",IF(VLOOKUP(I254,'G-7 Rivers Data'!$AG$4:$AI$9,2,FALSE)=0,"Spatial Data Missing ⚠",VLOOKUP(I254,'G-7 Rivers Data'!$AG$4:$AI$9,2,FALSE)))</f>
        <v/>
      </c>
      <c r="K254" s="499" t="str">
        <f>IF(I254="","",IF(VLOOKUP(I254,'G-7 Rivers Data'!$AG$4:$AI$9,3,FALSE)=0,"Spatial Data Missing ⚠",VLOOKUP(I254,'G-7 Rivers Data'!$AG$4:$AI$9,3,FALSE)))</f>
        <v/>
      </c>
      <c r="L254" s="635" t="str">
        <f>IFERROR(INDEX('G-7 Rivers Data'!$O$3:$O$7,MATCH(G254,'G-7 Rivers Data'!$N$3:$N$7,0)),"")</f>
        <v/>
      </c>
      <c r="M254" s="72"/>
      <c r="N254" s="195"/>
      <c r="O254" s="507" t="str">
        <f t="shared" si="19"/>
        <v/>
      </c>
      <c r="P254" s="521" t="str">
        <f t="shared" si="20"/>
        <v/>
      </c>
      <c r="Q254" s="564" t="str">
        <f>IFERROR(IF(P254="Check Data ⚠","Check Data ⚠",VLOOKUP(P254,'G-4 Temporal multipliers'!$A$4:$C$37,3,FALSE)),"")</f>
        <v/>
      </c>
      <c r="R254" s="498" t="str">
        <f>IF(C254="","",VLOOKUP(C254,'G-7 Rivers Data'!$B$4:$G$8,4,FALSE))</f>
        <v/>
      </c>
      <c r="S254" s="507" t="str">
        <f t="shared" si="21"/>
        <v/>
      </c>
      <c r="T254" s="540" t="str">
        <f t="shared" si="22"/>
        <v/>
      </c>
      <c r="U254" s="499" t="str">
        <f t="shared" si="23"/>
        <v/>
      </c>
      <c r="V254" s="71"/>
      <c r="W254" s="499" t="str">
        <f>IF(V254="","",IF(VLOOKUP(V254,'G-7 Rivers Data'!$AA$4:$AB$7,2,FALSE)=0,"Spatial Data Missing ⚠",VLOOKUP(V254,'G-7 Rivers Data'!$AA$4:$AB$7,2,FALSE)))</f>
        <v/>
      </c>
      <c r="X254" s="155"/>
      <c r="Y254" s="499" t="str">
        <f>IF(X254="","",IF(VLOOKUP(X254,'G-7 Rivers Data'!$AD$4:$AE$8,2,FALSE)=0,"Enrcoachment Data Missing ⚠",VLOOKUP(X254,'G-7 Rivers Data'!$AD$4:$AE$8,2,FALSE)))</f>
        <v/>
      </c>
      <c r="Z254" s="154"/>
      <c r="AA254" s="524" t="str">
        <f>IF(Z254="","",VLOOKUP(Z254,'G-7 Rivers Data'!$AO$4:$AP$7,2,FALSE))</f>
        <v/>
      </c>
      <c r="AB254" s="545" t="str">
        <f t="shared" si="24"/>
        <v/>
      </c>
      <c r="AC254" s="149"/>
      <c r="AD254" s="150"/>
      <c r="AK254" s="31" t="str">
        <f>IFERROR(INDEX('G-7 Rivers Data'!$AZ$3:$AZ$7,MATCH(C254,'G-7 Rivers Data'!$AY$3:$AY$7,0)),"")</f>
        <v/>
      </c>
    </row>
    <row r="255" spans="2:37" ht="13.8" x14ac:dyDescent="0.25">
      <c r="B255" s="141">
        <v>244</v>
      </c>
      <c r="C255" s="666"/>
      <c r="D255" s="172"/>
      <c r="E255" s="498" t="str">
        <f>IF(C255="","",VLOOKUP(C255,'G-7 Rivers Data'!$B$2:$Z$9,2,FALSE))</f>
        <v/>
      </c>
      <c r="F255" s="499" t="str">
        <f>IFERROR(VLOOKUP(E255,'G-7 Rivers Data'!$C$4:$D$8,2,FALSE),"")</f>
        <v/>
      </c>
      <c r="G255" s="145"/>
      <c r="H255" s="499" t="str">
        <f>IFERROR(INDEX('G-7 Rivers Data'!$H$4:$L$8,MATCH(C255,'G-7 Rivers Data'!$B$4:$B$8,0),MATCH(G255,'G-7 Rivers Data'!$H$3:$L$3,0)),"")</f>
        <v/>
      </c>
      <c r="I255" s="145"/>
      <c r="J255" s="540" t="str">
        <f>IF(I255="","",IF(VLOOKUP(I255,'G-7 Rivers Data'!$AG$4:$AI$9,2,FALSE)=0,"Spatial Data Missing ⚠",VLOOKUP(I255,'G-7 Rivers Data'!$AG$4:$AI$9,2,FALSE)))</f>
        <v/>
      </c>
      <c r="K255" s="499" t="str">
        <f>IF(I255="","",IF(VLOOKUP(I255,'G-7 Rivers Data'!$AG$4:$AI$9,3,FALSE)=0,"Spatial Data Missing ⚠",VLOOKUP(I255,'G-7 Rivers Data'!$AG$4:$AI$9,3,FALSE)))</f>
        <v/>
      </c>
      <c r="L255" s="635" t="str">
        <f>IFERROR(INDEX('G-7 Rivers Data'!$O$3:$O$7,MATCH(G255,'G-7 Rivers Data'!$N$3:$N$7,0)),"")</f>
        <v/>
      </c>
      <c r="M255" s="72"/>
      <c r="N255" s="195"/>
      <c r="O255" s="507" t="str">
        <f t="shared" si="19"/>
        <v/>
      </c>
      <c r="P255" s="521" t="str">
        <f t="shared" si="20"/>
        <v/>
      </c>
      <c r="Q255" s="564" t="str">
        <f>IFERROR(IF(P255="Check Data ⚠","Check Data ⚠",VLOOKUP(P255,'G-4 Temporal multipliers'!$A$4:$C$37,3,FALSE)),"")</f>
        <v/>
      </c>
      <c r="R255" s="498" t="str">
        <f>IF(C255="","",VLOOKUP(C255,'G-7 Rivers Data'!$B$4:$G$8,4,FALSE))</f>
        <v/>
      </c>
      <c r="S255" s="507" t="str">
        <f t="shared" si="21"/>
        <v/>
      </c>
      <c r="T255" s="540" t="str">
        <f t="shared" si="22"/>
        <v/>
      </c>
      <c r="U255" s="499" t="str">
        <f t="shared" si="23"/>
        <v/>
      </c>
      <c r="V255" s="71"/>
      <c r="W255" s="499" t="str">
        <f>IF(V255="","",IF(VLOOKUP(V255,'G-7 Rivers Data'!$AA$4:$AB$7,2,FALSE)=0,"Spatial Data Missing ⚠",VLOOKUP(V255,'G-7 Rivers Data'!$AA$4:$AB$7,2,FALSE)))</f>
        <v/>
      </c>
      <c r="X255" s="155"/>
      <c r="Y255" s="499" t="str">
        <f>IF(X255="","",IF(VLOOKUP(X255,'G-7 Rivers Data'!$AD$4:$AE$8,2,FALSE)=0,"Enrcoachment Data Missing ⚠",VLOOKUP(X255,'G-7 Rivers Data'!$AD$4:$AE$8,2,FALSE)))</f>
        <v/>
      </c>
      <c r="Z255" s="154"/>
      <c r="AA255" s="524" t="str">
        <f>IF(Z255="","",VLOOKUP(Z255,'G-7 Rivers Data'!$AO$4:$AP$7,2,FALSE))</f>
        <v/>
      </c>
      <c r="AB255" s="545" t="str">
        <f t="shared" si="24"/>
        <v/>
      </c>
      <c r="AC255" s="149"/>
      <c r="AD255" s="150"/>
      <c r="AK255" s="31" t="str">
        <f>IFERROR(INDEX('G-7 Rivers Data'!$AZ$3:$AZ$7,MATCH(C255,'G-7 Rivers Data'!$AY$3:$AY$7,0)),"")</f>
        <v/>
      </c>
    </row>
    <row r="256" spans="2:37" ht="13.8" x14ac:dyDescent="0.25">
      <c r="B256" s="141">
        <v>245</v>
      </c>
      <c r="C256" s="666"/>
      <c r="D256" s="172"/>
      <c r="E256" s="498" t="str">
        <f>IF(C256="","",VLOOKUP(C256,'G-7 Rivers Data'!$B$2:$Z$9,2,FALSE))</f>
        <v/>
      </c>
      <c r="F256" s="499" t="str">
        <f>IFERROR(VLOOKUP(E256,'G-7 Rivers Data'!$C$4:$D$8,2,FALSE),"")</f>
        <v/>
      </c>
      <c r="G256" s="145"/>
      <c r="H256" s="499" t="str">
        <f>IFERROR(INDEX('G-7 Rivers Data'!$H$4:$L$8,MATCH(C256,'G-7 Rivers Data'!$B$4:$B$8,0),MATCH(G256,'G-7 Rivers Data'!$H$3:$L$3,0)),"")</f>
        <v/>
      </c>
      <c r="I256" s="145"/>
      <c r="J256" s="540" t="str">
        <f>IF(I256="","",IF(VLOOKUP(I256,'G-7 Rivers Data'!$AG$4:$AI$9,2,FALSE)=0,"Spatial Data Missing ⚠",VLOOKUP(I256,'G-7 Rivers Data'!$AG$4:$AI$9,2,FALSE)))</f>
        <v/>
      </c>
      <c r="K256" s="499" t="str">
        <f>IF(I256="","",IF(VLOOKUP(I256,'G-7 Rivers Data'!$AG$4:$AI$9,3,FALSE)=0,"Spatial Data Missing ⚠",VLOOKUP(I256,'G-7 Rivers Data'!$AG$4:$AI$9,3,FALSE)))</f>
        <v/>
      </c>
      <c r="L256" s="635" t="str">
        <f>IFERROR(INDEX('G-7 Rivers Data'!$O$3:$O$7,MATCH(G256,'G-7 Rivers Data'!$N$3:$N$7,0)),"")</f>
        <v/>
      </c>
      <c r="M256" s="72"/>
      <c r="N256" s="195"/>
      <c r="O256" s="507" t="str">
        <f t="shared" si="19"/>
        <v/>
      </c>
      <c r="P256" s="521" t="str">
        <f t="shared" si="20"/>
        <v/>
      </c>
      <c r="Q256" s="564" t="str">
        <f>IFERROR(IF(P256="Check Data ⚠","Check Data ⚠",VLOOKUP(P256,'G-4 Temporal multipliers'!$A$4:$C$37,3,FALSE)),"")</f>
        <v/>
      </c>
      <c r="R256" s="498" t="str">
        <f>IF(C256="","",VLOOKUP(C256,'G-7 Rivers Data'!$B$4:$G$8,4,FALSE))</f>
        <v/>
      </c>
      <c r="S256" s="507" t="str">
        <f t="shared" si="21"/>
        <v/>
      </c>
      <c r="T256" s="540" t="str">
        <f t="shared" si="22"/>
        <v/>
      </c>
      <c r="U256" s="499" t="str">
        <f t="shared" si="23"/>
        <v/>
      </c>
      <c r="V256" s="71"/>
      <c r="W256" s="499" t="str">
        <f>IF(V256="","",IF(VLOOKUP(V256,'G-7 Rivers Data'!$AA$4:$AB$7,2,FALSE)=0,"Spatial Data Missing ⚠",VLOOKUP(V256,'G-7 Rivers Data'!$AA$4:$AB$7,2,FALSE)))</f>
        <v/>
      </c>
      <c r="X256" s="155"/>
      <c r="Y256" s="499" t="str">
        <f>IF(X256="","",IF(VLOOKUP(X256,'G-7 Rivers Data'!$AD$4:$AE$8,2,FALSE)=0,"Enrcoachment Data Missing ⚠",VLOOKUP(X256,'G-7 Rivers Data'!$AD$4:$AE$8,2,FALSE)))</f>
        <v/>
      </c>
      <c r="Z256" s="154"/>
      <c r="AA256" s="524" t="str">
        <f>IF(Z256="","",VLOOKUP(Z256,'G-7 Rivers Data'!$AO$4:$AP$7,2,FALSE))</f>
        <v/>
      </c>
      <c r="AB256" s="545" t="str">
        <f t="shared" si="24"/>
        <v/>
      </c>
      <c r="AC256" s="149"/>
      <c r="AD256" s="150"/>
      <c r="AK256" s="31" t="str">
        <f>IFERROR(INDEX('G-7 Rivers Data'!$AZ$3:$AZ$7,MATCH(C256,'G-7 Rivers Data'!$AY$3:$AY$7,0)),"")</f>
        <v/>
      </c>
    </row>
    <row r="257" spans="2:37" ht="13.8" x14ac:dyDescent="0.25">
      <c r="B257" s="141">
        <v>246</v>
      </c>
      <c r="C257" s="666"/>
      <c r="D257" s="172"/>
      <c r="E257" s="498" t="str">
        <f>IF(C257="","",VLOOKUP(C257,'G-7 Rivers Data'!$B$2:$Z$9,2,FALSE))</f>
        <v/>
      </c>
      <c r="F257" s="499" t="str">
        <f>IFERROR(VLOOKUP(E257,'G-7 Rivers Data'!$C$4:$D$8,2,FALSE),"")</f>
        <v/>
      </c>
      <c r="G257" s="145"/>
      <c r="H257" s="499" t="str">
        <f>IFERROR(INDEX('G-7 Rivers Data'!$H$4:$L$8,MATCH(C257,'G-7 Rivers Data'!$B$4:$B$8,0),MATCH(G257,'G-7 Rivers Data'!$H$3:$L$3,0)),"")</f>
        <v/>
      </c>
      <c r="I257" s="145"/>
      <c r="J257" s="540" t="str">
        <f>IF(I257="","",IF(VLOOKUP(I257,'G-7 Rivers Data'!$AG$4:$AI$9,2,FALSE)=0,"Spatial Data Missing ⚠",VLOOKUP(I257,'G-7 Rivers Data'!$AG$4:$AI$9,2,FALSE)))</f>
        <v/>
      </c>
      <c r="K257" s="499" t="str">
        <f>IF(I257="","",IF(VLOOKUP(I257,'G-7 Rivers Data'!$AG$4:$AI$9,3,FALSE)=0,"Spatial Data Missing ⚠",VLOOKUP(I257,'G-7 Rivers Data'!$AG$4:$AI$9,3,FALSE)))</f>
        <v/>
      </c>
      <c r="L257" s="635" t="str">
        <f>IFERROR(INDEX('G-7 Rivers Data'!$O$3:$O$7,MATCH(G257,'G-7 Rivers Data'!$N$3:$N$7,0)),"")</f>
        <v/>
      </c>
      <c r="M257" s="72"/>
      <c r="N257" s="195"/>
      <c r="O257" s="507" t="str">
        <f t="shared" si="19"/>
        <v/>
      </c>
      <c r="P257" s="521" t="str">
        <f t="shared" si="20"/>
        <v/>
      </c>
      <c r="Q257" s="564" t="str">
        <f>IFERROR(IF(P257="Check Data ⚠","Check Data ⚠",VLOOKUP(P257,'G-4 Temporal multipliers'!$A$4:$C$37,3,FALSE)),"")</f>
        <v/>
      </c>
      <c r="R257" s="498" t="str">
        <f>IF(C257="","",VLOOKUP(C257,'G-7 Rivers Data'!$B$4:$G$8,4,FALSE))</f>
        <v/>
      </c>
      <c r="S257" s="507" t="str">
        <f t="shared" si="21"/>
        <v/>
      </c>
      <c r="T257" s="540" t="str">
        <f t="shared" si="22"/>
        <v/>
      </c>
      <c r="U257" s="499" t="str">
        <f t="shared" si="23"/>
        <v/>
      </c>
      <c r="V257" s="71"/>
      <c r="W257" s="499" t="str">
        <f>IF(V257="","",IF(VLOOKUP(V257,'G-7 Rivers Data'!$AA$4:$AB$7,2,FALSE)=0,"Spatial Data Missing ⚠",VLOOKUP(V257,'G-7 Rivers Data'!$AA$4:$AB$7,2,FALSE)))</f>
        <v/>
      </c>
      <c r="X257" s="155"/>
      <c r="Y257" s="499" t="str">
        <f>IF(X257="","",IF(VLOOKUP(X257,'G-7 Rivers Data'!$AD$4:$AE$8,2,FALSE)=0,"Enrcoachment Data Missing ⚠",VLOOKUP(X257,'G-7 Rivers Data'!$AD$4:$AE$8,2,FALSE)))</f>
        <v/>
      </c>
      <c r="Z257" s="154"/>
      <c r="AA257" s="524" t="str">
        <f>IF(Z257="","",VLOOKUP(Z257,'G-7 Rivers Data'!$AO$4:$AP$7,2,FALSE))</f>
        <v/>
      </c>
      <c r="AB257" s="545" t="str">
        <f t="shared" si="24"/>
        <v/>
      </c>
      <c r="AC257" s="149"/>
      <c r="AD257" s="150"/>
      <c r="AK257" s="31" t="str">
        <f>IFERROR(INDEX('G-7 Rivers Data'!$AZ$3:$AZ$7,MATCH(C257,'G-7 Rivers Data'!$AY$3:$AY$7,0)),"")</f>
        <v/>
      </c>
    </row>
    <row r="258" spans="2:37" ht="13.8" x14ac:dyDescent="0.25">
      <c r="B258" s="141">
        <v>247</v>
      </c>
      <c r="C258" s="666"/>
      <c r="D258" s="172"/>
      <c r="E258" s="498" t="str">
        <f>IF(C258="","",VLOOKUP(C258,'G-7 Rivers Data'!$B$2:$Z$9,2,FALSE))</f>
        <v/>
      </c>
      <c r="F258" s="499" t="str">
        <f>IFERROR(VLOOKUP(E258,'G-7 Rivers Data'!$C$4:$D$8,2,FALSE),"")</f>
        <v/>
      </c>
      <c r="G258" s="145"/>
      <c r="H258" s="499" t="str">
        <f>IFERROR(INDEX('G-7 Rivers Data'!$H$4:$L$8,MATCH(C258,'G-7 Rivers Data'!$B$4:$B$8,0),MATCH(G258,'G-7 Rivers Data'!$H$3:$L$3,0)),"")</f>
        <v/>
      </c>
      <c r="I258" s="145"/>
      <c r="J258" s="540" t="str">
        <f>IF(I258="","",IF(VLOOKUP(I258,'G-7 Rivers Data'!$AG$4:$AI$9,2,FALSE)=0,"Spatial Data Missing ⚠",VLOOKUP(I258,'G-7 Rivers Data'!$AG$4:$AI$9,2,FALSE)))</f>
        <v/>
      </c>
      <c r="K258" s="499" t="str">
        <f>IF(I258="","",IF(VLOOKUP(I258,'G-7 Rivers Data'!$AG$4:$AI$9,3,FALSE)=0,"Spatial Data Missing ⚠",VLOOKUP(I258,'G-7 Rivers Data'!$AG$4:$AI$9,3,FALSE)))</f>
        <v/>
      </c>
      <c r="L258" s="635" t="str">
        <f>IFERROR(INDEX('G-7 Rivers Data'!$O$3:$O$7,MATCH(G258,'G-7 Rivers Data'!$N$3:$N$7,0)),"")</f>
        <v/>
      </c>
      <c r="M258" s="72"/>
      <c r="N258" s="195"/>
      <c r="O258" s="507" t="str">
        <f t="shared" si="19"/>
        <v/>
      </c>
      <c r="P258" s="521" t="str">
        <f>IF(LEFT(O258,5)="Error ▲","Check Data ⚠",IF(L258="","",IF(M258="30+",0,IF(N258="30+","30+ ⚠",IF(L258+N258&gt;30,"30+ ⚠",IF(L258+N258-M258&gt;0,L258+N258-M258,IF(L258-M258&lt;0,0,L258+N258-M258)))))))</f>
        <v/>
      </c>
      <c r="Q258" s="564" t="str">
        <f>IFERROR(IF(P258="Check Data ⚠","Check Data ⚠",VLOOKUP(P258,'G-4 Temporal multipliers'!$A$4:$C$37,3,FALSE)),"")</f>
        <v/>
      </c>
      <c r="R258" s="498" t="str">
        <f>IF(C258="","",VLOOKUP(C258,'G-7 Rivers Data'!$B$4:$G$8,4,FALSE))</f>
        <v/>
      </c>
      <c r="S258" s="507" t="str">
        <f t="shared" si="21"/>
        <v/>
      </c>
      <c r="T258" s="540" t="str">
        <f>(IF(AND(S258="Standard difficulty applied",L258&gt;M258),R258,IF(AND(S258="No - Low Difficulty - only applicable if all habitat created before losses ⚠",M258&gt;=L258),"Low",R258)))</f>
        <v/>
      </c>
      <c r="U258" s="499" t="str">
        <f t="shared" si="23"/>
        <v/>
      </c>
      <c r="V258" s="71"/>
      <c r="W258" s="499" t="str">
        <f>IF(V258="","",IF(VLOOKUP(V258,'G-7 Rivers Data'!$AA$4:$AB$7,2,FALSE)=0,"Spatial Data Missing ⚠",VLOOKUP(V258,'G-7 Rivers Data'!$AA$4:$AB$7,2,FALSE)))</f>
        <v/>
      </c>
      <c r="X258" s="155"/>
      <c r="Y258" s="499" t="str">
        <f>IF(X258="","",IF(VLOOKUP(X258,'G-7 Rivers Data'!$AD$4:$AE$8,2,FALSE)=0,"Enrcoachment Data Missing ⚠",VLOOKUP(X258,'G-7 Rivers Data'!$AD$4:$AE$8,2,FALSE)))</f>
        <v/>
      </c>
      <c r="Z258" s="154"/>
      <c r="AA258" s="524" t="str">
        <f>IF(Z258="","",VLOOKUP(Z258,'G-7 Rivers Data'!$AO$4:$AP$7,2,FALSE))</f>
        <v/>
      </c>
      <c r="AB258" s="545" t="str">
        <f t="shared" si="24"/>
        <v/>
      </c>
      <c r="AC258" s="149"/>
      <c r="AD258" s="150"/>
      <c r="AK258" s="31" t="str">
        <f>IFERROR(INDEX('G-7 Rivers Data'!$AZ$3:$AZ$7,MATCH(C258,'G-7 Rivers Data'!$AY$3:$AY$7,0)),"")</f>
        <v/>
      </c>
    </row>
    <row r="259" spans="2:37" ht="14.4" thickBot="1" x14ac:dyDescent="0.3">
      <c r="B259" s="158">
        <v>248</v>
      </c>
      <c r="C259" s="667"/>
      <c r="D259" s="160"/>
      <c r="E259" s="500" t="str">
        <f>IF(C259="","",VLOOKUP(C259,'G-7 Rivers Data'!$B$2:$Z$9,2,FALSE))</f>
        <v/>
      </c>
      <c r="F259" s="501" t="str">
        <f>IFERROR(VLOOKUP(E259,'G-7 Rivers Data'!$C$4:$D$8,2,FALSE),"")</f>
        <v/>
      </c>
      <c r="G259" s="161"/>
      <c r="H259" s="501" t="str">
        <f>IFERROR(INDEX('G-7 Rivers Data'!$H$4:$L$8,MATCH(C259,'G-7 Rivers Data'!$B$4:$B$8,0),MATCH(G259,'G-7 Rivers Data'!$H$3:$L$3,0)),"")</f>
        <v/>
      </c>
      <c r="I259" s="161"/>
      <c r="J259" s="540" t="str">
        <f>IF(I259="","",IF(VLOOKUP(I259,'G-7 Rivers Data'!$AG$4:$AI$9,2,FALSE)=0,"Spatial Data Missing ⚠",VLOOKUP(I259,'G-7 Rivers Data'!$AG$4:$AI$9,2,FALSE)))</f>
        <v/>
      </c>
      <c r="K259" s="499" t="str">
        <f>IF(I259="","",IF(VLOOKUP(I259,'G-7 Rivers Data'!$AG$4:$AI$9,3,FALSE)=0,"Spatial Data Missing ⚠",VLOOKUP(I259,'G-7 Rivers Data'!$AG$4:$AI$9,3,FALSE)))</f>
        <v/>
      </c>
      <c r="L259" s="636" t="str">
        <f>IFERROR(INDEX('G-7 Rivers Data'!$O$3:$O$7,MATCH(G259,'G-7 Rivers Data'!$N$3:$N$7,0)),"")</f>
        <v/>
      </c>
      <c r="M259" s="72"/>
      <c r="N259" s="206"/>
      <c r="O259" s="507" t="str">
        <f t="shared" si="19"/>
        <v/>
      </c>
      <c r="P259" s="521" t="str">
        <f t="shared" si="20"/>
        <v/>
      </c>
      <c r="Q259" s="564" t="str">
        <f>IFERROR(IF(P259="Check Data ⚠","Check Data ⚠",VLOOKUP(P259,'G-4 Temporal multipliers'!$A$4:$C$37,3,FALSE)),"")</f>
        <v/>
      </c>
      <c r="R259" s="500" t="str">
        <f>IF(C259="","",VLOOKUP(C259,'G-7 Rivers Data'!$B$4:$G$8,4,FALSE))</f>
        <v/>
      </c>
      <c r="S259" s="507" t="str">
        <f t="shared" si="21"/>
        <v/>
      </c>
      <c r="T259" s="540" t="str">
        <f t="shared" si="22"/>
        <v/>
      </c>
      <c r="U259" s="501" t="str">
        <f t="shared" si="23"/>
        <v/>
      </c>
      <c r="V259" s="452"/>
      <c r="W259" s="499" t="str">
        <f>IF(V259="","",IF(VLOOKUP(V259,'G-7 Rivers Data'!$AA$4:$AB$7,2,FALSE)=0,"Spatial Data Missing ⚠",VLOOKUP(V259,'G-7 Rivers Data'!$AA$4:$AB$7,2,FALSE)))</f>
        <v/>
      </c>
      <c r="X259" s="273"/>
      <c r="Y259" s="499" t="str">
        <f>IF(X259="","",IF(VLOOKUP(X259,'G-7 Rivers Data'!$AD$4:$AE$8,2,FALSE)=0,"Enrcoachment Data Missing ⚠",VLOOKUP(X259,'G-7 Rivers Data'!$AD$4:$AE$8,2,FALSE)))</f>
        <v/>
      </c>
      <c r="Z259" s="161"/>
      <c r="AA259" s="501" t="str">
        <f>IF(Z259="","",VLOOKUP(Z259,'G-7 Rivers Data'!$AO$4:$AP$7,2,FALSE))</f>
        <v/>
      </c>
      <c r="AB259" s="546" t="str">
        <f t="shared" si="24"/>
        <v/>
      </c>
      <c r="AC259" s="163"/>
      <c r="AD259" s="164"/>
      <c r="AK259" s="31" t="str">
        <f>IFERROR(INDEX('G-7 Rivers Data'!$AZ$3:$AZ$7,MATCH(C259,'G-7 Rivers Data'!$AY$3:$AY$7,0)),"")</f>
        <v/>
      </c>
    </row>
    <row r="260" spans="2:37" ht="14.4" thickBot="1" x14ac:dyDescent="0.3">
      <c r="B260" s="46"/>
      <c r="C260" s="277"/>
      <c r="D260" s="503">
        <f>SUM(D12:D259)</f>
        <v>0</v>
      </c>
      <c r="E260" s="46"/>
      <c r="F260" s="46"/>
      <c r="G260" s="46"/>
      <c r="H260" s="46"/>
      <c r="I260" s="46"/>
      <c r="J260" s="46"/>
      <c r="K260" s="46"/>
      <c r="L260" s="46"/>
      <c r="M260" s="46"/>
      <c r="N260" s="46"/>
      <c r="O260" s="46"/>
      <c r="P260" s="46"/>
      <c r="Q260" s="46"/>
      <c r="R260" s="46"/>
      <c r="S260" s="46"/>
      <c r="T260" s="46"/>
      <c r="U260" s="46"/>
      <c r="V260" s="46"/>
      <c r="W260" s="46"/>
      <c r="X260" s="46"/>
      <c r="Y260" s="46"/>
      <c r="Z260" s="1024"/>
      <c r="AA260" s="1026"/>
      <c r="AB260" s="503">
        <f>SUM(AB12:AB259)</f>
        <v>0</v>
      </c>
      <c r="AC260" s="46"/>
      <c r="AD260" s="46"/>
    </row>
    <row r="261" spans="2:37" ht="28.95" customHeight="1" x14ac:dyDescent="0.25"/>
    <row r="262" spans="2:37" ht="27" customHeight="1" x14ac:dyDescent="0.25"/>
    <row r="263" spans="2:37" ht="13.8" x14ac:dyDescent="0.25"/>
    <row r="264" spans="2:37" ht="13.8" x14ac:dyDescent="0.25"/>
    <row r="265" spans="2:37" ht="13.8" x14ac:dyDescent="0.25"/>
    <row r="266" spans="2:37" ht="13.8" x14ac:dyDescent="0.25"/>
    <row r="267" spans="2:37" ht="13.8" x14ac:dyDescent="0.25"/>
    <row r="268" spans="2:37" ht="13.8" x14ac:dyDescent="0.25"/>
    <row r="269" spans="2:37" ht="13.8" hidden="1" x14ac:dyDescent="0.25"/>
    <row r="270" spans="2:37" ht="13.8" hidden="1" x14ac:dyDescent="0.25"/>
    <row r="271" spans="2:37" ht="13.8" hidden="1" x14ac:dyDescent="0.25"/>
    <row r="272" spans="2:37" ht="13.8" hidden="1" x14ac:dyDescent="0.25"/>
    <row r="273" ht="13.8" hidden="1" x14ac:dyDescent="0.25"/>
    <row r="274" ht="13.8" hidden="1" x14ac:dyDescent="0.25"/>
    <row r="275" ht="13.8" hidden="1" x14ac:dyDescent="0.25"/>
    <row r="1048576" ht="13.8" x14ac:dyDescent="0.25"/>
  </sheetData>
  <sheetProtection algorithmName="SHA-512" hashValue="3E84xxZkwAQ0zjFuxAe/A7hNxWEfeHWtbF409I3v6ZNWMjd4OUhSMqqLPeijwMyst4ad4bR/gJRtxw1rlzZKHw==" saltValue="+d3YxuEOQdtxWl3abYc2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5">
    <mergeCell ref="Z260:AA260"/>
    <mergeCell ref="AC10:AD10"/>
    <mergeCell ref="B2:D2"/>
    <mergeCell ref="B3:D4"/>
    <mergeCell ref="X10:Y10"/>
    <mergeCell ref="L10:Q10"/>
    <mergeCell ref="V10:W10"/>
    <mergeCell ref="I10:K10"/>
    <mergeCell ref="R10:U10"/>
    <mergeCell ref="Z10:AA10"/>
    <mergeCell ref="C10:D10"/>
    <mergeCell ref="E10:F10"/>
    <mergeCell ref="G10:H10"/>
    <mergeCell ref="AB10:AB11"/>
    <mergeCell ref="L2:Q5"/>
  </mergeCells>
  <conditionalFormatting sqref="H12:H259">
    <cfRule type="beginsWith" dxfId="22" priority="7" operator="beginsWith" text="Not Possible">
      <formula>LEFT(H12,LEN("Not Possible"))="Not Possible"</formula>
    </cfRule>
  </conditionalFormatting>
  <conditionalFormatting sqref="J12:K259">
    <cfRule type="containsText" dxfId="21" priority="6" operator="containsText" text="Spatial">
      <formula>NOT(ISERROR(SEARCH("Spatial",J12)))</formula>
    </cfRule>
  </conditionalFormatting>
  <conditionalFormatting sqref="O12:AB259">
    <cfRule type="containsText" dxfId="20" priority="4" operator="containsText" text="Check">
      <formula>NOT(ISERROR(SEARCH("Check",O12)))</formula>
    </cfRule>
    <cfRule type="containsText" dxfId="19" priority="5" operator="containsText" text="Error">
      <formula>NOT(ISERROR(SEARCH("Error",O12)))</formula>
    </cfRule>
  </conditionalFormatting>
  <conditionalFormatting sqref="L12:Q259">
    <cfRule type="containsText" dxfId="18" priority="3" operator="containsText" text="30+">
      <formula>NOT(ISERROR(SEARCH("30+",L12)))</formula>
    </cfRule>
  </conditionalFormatting>
  <conditionalFormatting sqref="L6:P6 L2">
    <cfRule type="containsText" dxfId="17" priority="2" operator="containsText" text="Note">
      <formula>NOT(ISERROR(SEARCH("Note",L2)))</formula>
    </cfRule>
  </conditionalFormatting>
  <conditionalFormatting sqref="W12:Y259">
    <cfRule type="containsText" dxfId="16" priority="1" operator="containsText" text="Spatial">
      <formula>NOT(ISERROR(SEARCH("Spatial",W12)))</formula>
    </cfRule>
  </conditionalFormatting>
  <dataValidations count="1">
    <dataValidation type="list" allowBlank="1" showInputMessage="1" showErrorMessage="1" sqref="G12:G259" xr:uid="{00000000-0002-0000-1A00-000000000000}">
      <formula1>INDIRECT(AK12)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A00-000001000000}">
          <x14:formula1>
            <xm:f>'G-7 Rivers Data'!$AG$4:$AG$9</xm:f>
          </x14:formula1>
          <xm:sqref>I12:I259</xm:sqref>
        </x14:dataValidation>
        <x14:dataValidation type="list" allowBlank="1" showInputMessage="1" showErrorMessage="1" xr:uid="{00000000-0002-0000-1A00-000003000000}">
          <x14:formula1>
            <xm:f>'G-7 Rivers Data'!$AD$4:$AD$7</xm:f>
          </x14:formula1>
          <xm:sqref>X12:X259</xm:sqref>
        </x14:dataValidation>
        <x14:dataValidation type="list" allowBlank="1" showInputMessage="1" showErrorMessage="1" xr:uid="{00000000-0002-0000-1A00-000004000000}">
          <x14:formula1>
            <xm:f>'G-7 Rivers Data'!$AO$4:$AO$6</xm:f>
          </x14:formula1>
          <xm:sqref>Z12:Z259</xm:sqref>
        </x14:dataValidation>
        <x14:dataValidation type="list" allowBlank="1" showInputMessage="1" showErrorMessage="1" xr:uid="{00000000-0002-0000-1A00-000005000000}">
          <x14:formula1>
            <xm:f>'G-7 Rivers Data'!$B$4:$B$8</xm:f>
          </x14:formula1>
          <xm:sqref>C12:C259</xm:sqref>
        </x14:dataValidation>
        <x14:dataValidation type="list" allowBlank="1" showInputMessage="1" showErrorMessage="1" xr:uid="{00000000-0002-0000-1A00-000006000000}">
          <x14:formula1>
            <xm:f>'G-4 Temporal multipliers'!$A$41:$A$72</xm:f>
          </x14:formula1>
          <xm:sqref>M12:N259</xm:sqref>
        </x14:dataValidation>
        <x14:dataValidation type="list" allowBlank="1" showInputMessage="1" showErrorMessage="1" xr:uid="{9FE2C034-893E-41D1-8D37-6AE30E2BE3D3}">
          <x14:formula1>
            <xm:f>'G-7 Rivers Data'!$AA$4:$AA$7</xm:f>
          </x14:formula1>
          <xm:sqref>V12:V259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F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4.109375" style="31" customWidth="1"/>
    <col min="3" max="3" width="51.109375" style="31" customWidth="1"/>
    <col min="4" max="4" width="10.44140625" style="31" customWidth="1"/>
    <col min="5" max="5" width="17.44140625" style="31" customWidth="1"/>
    <col min="6" max="6" width="17.5546875" style="31" customWidth="1"/>
    <col min="7" max="7" width="18.109375" style="31" customWidth="1"/>
    <col min="8" max="8" width="19.33203125" style="31" customWidth="1"/>
    <col min="9" max="9" width="34.5546875" style="31" customWidth="1"/>
    <col min="10" max="13" width="19.33203125" style="31" customWidth="1"/>
    <col min="14" max="14" width="56.88671875" style="31" customWidth="1"/>
    <col min="15" max="16" width="34.33203125" style="31" customWidth="1"/>
    <col min="17" max="17" width="9.6640625" style="31" customWidth="1"/>
    <col min="18" max="18" width="18.33203125" style="31" customWidth="1"/>
    <col min="19" max="19" width="13.109375" style="31" customWidth="1"/>
    <col min="20" max="20" width="12.5546875" style="31" bestFit="1" customWidth="1"/>
    <col min="21" max="21" width="12.5546875" style="31" customWidth="1"/>
    <col min="22" max="22" width="33.6640625" style="31" customWidth="1"/>
    <col min="23" max="23" width="15.44140625" style="31" customWidth="1"/>
    <col min="24" max="24" width="12.33203125" style="31" customWidth="1"/>
    <col min="25" max="25" width="18.44140625" style="31" customWidth="1"/>
    <col min="26" max="26" width="20.44140625" style="31" customWidth="1"/>
    <col min="27" max="27" width="23.109375" style="31" customWidth="1"/>
    <col min="28" max="28" width="26.88671875" style="31" customWidth="1"/>
    <col min="29" max="29" width="18.44140625" style="31" customWidth="1"/>
    <col min="30" max="30" width="15.33203125" style="31" customWidth="1"/>
    <col min="31" max="31" width="17.6640625" style="31" customWidth="1"/>
    <col min="32" max="32" width="27.109375" style="31" customWidth="1"/>
    <col min="33" max="33" width="17.44140625" style="31" customWidth="1"/>
    <col min="34" max="34" width="12.6640625" style="31" customWidth="1"/>
    <col min="35" max="35" width="16.6640625" style="31" customWidth="1"/>
    <col min="36" max="36" width="12.6640625" style="31" customWidth="1"/>
    <col min="37" max="37" width="19.5546875" style="31" customWidth="1"/>
    <col min="38" max="38" width="12.6640625" style="31" customWidth="1"/>
    <col min="39" max="39" width="24.6640625" style="31" customWidth="1"/>
    <col min="40" max="41" width="12.6640625" style="31" customWidth="1"/>
    <col min="42" max="42" width="42.109375" style="31" customWidth="1"/>
    <col min="43" max="43" width="42.44140625" style="31" customWidth="1"/>
    <col min="44" max="49" width="8.88671875" style="31" customWidth="1"/>
    <col min="50" max="50" width="8.88671875" style="31" hidden="1" customWidth="1"/>
    <col min="51" max="58" width="0" style="31" hidden="1" customWidth="1"/>
    <col min="59" max="16384" width="8.88671875" style="31" hidden="1"/>
  </cols>
  <sheetData>
    <row r="1" spans="2:50" ht="20.399999999999999" customHeight="1" thickBot="1" x14ac:dyDescent="0.3"/>
    <row r="2" spans="2:50" ht="27" customHeight="1" thickBot="1" x14ac:dyDescent="0.3">
      <c r="B2" s="744" t="str">
        <f>IF([2]Start!$F$12="","",[2]Start!$F$12)</f>
        <v/>
      </c>
      <c r="C2" s="746"/>
      <c r="R2" s="132"/>
      <c r="Y2" s="919" t="str">
        <f>IF(OR(COUNTIF($Y$12:Y259,"*30+*")&gt;0,COUNTIF($AC$12:AC259,"*30+*")&gt;0),"Note; Habitat selected has a time to target condition greater than 30 years. Non standard agreement may be required. ⚠","")</f>
        <v/>
      </c>
      <c r="Z2" s="919"/>
      <c r="AA2" s="919"/>
      <c r="AB2" s="919"/>
      <c r="AC2" s="919"/>
      <c r="AD2" s="919"/>
    </row>
    <row r="3" spans="2:50" ht="21" customHeight="1" x14ac:dyDescent="0.25">
      <c r="B3" s="1028" t="str">
        <f ca="1">MID(CELL("filename",A1),FIND("]",CELL("filename",A1))+1,256)</f>
        <v>F-3 Off Site River Enhancement</v>
      </c>
      <c r="C3" s="1029"/>
      <c r="Y3" s="919"/>
      <c r="Z3" s="919"/>
      <c r="AA3" s="919"/>
      <c r="AB3" s="919"/>
      <c r="AC3" s="919"/>
      <c r="AD3" s="919"/>
    </row>
    <row r="4" spans="2:50" ht="21" customHeight="1" thickBot="1" x14ac:dyDescent="0.3">
      <c r="B4" s="1030"/>
      <c r="C4" s="1031"/>
      <c r="Y4" s="919"/>
      <c r="Z4" s="919"/>
      <c r="AA4" s="919"/>
      <c r="AB4" s="919"/>
      <c r="AC4" s="919"/>
      <c r="AD4" s="919"/>
    </row>
    <row r="5" spans="2:50" ht="15.6" customHeight="1" x14ac:dyDescent="0.3">
      <c r="Q5" s="31" t="s">
        <v>340</v>
      </c>
      <c r="AH5" s="193"/>
      <c r="AI5" s="193"/>
      <c r="AJ5" s="193"/>
      <c r="AK5" s="193"/>
      <c r="AL5" s="193"/>
      <c r="AM5" s="193"/>
      <c r="AN5" s="193"/>
    </row>
    <row r="6" spans="2:50" ht="15" customHeight="1" x14ac:dyDescent="0.25"/>
    <row r="7" spans="2:50" ht="13.8" x14ac:dyDescent="0.25">
      <c r="C7" s="131"/>
    </row>
    <row r="8" spans="2:50" ht="14.4" thickBot="1" x14ac:dyDescent="0.3"/>
    <row r="9" spans="2:50" ht="14.4" thickBot="1" x14ac:dyDescent="0.3">
      <c r="C9" s="131"/>
      <c r="D9" s="131"/>
      <c r="E9" s="131"/>
      <c r="F9" s="131"/>
      <c r="G9" s="131"/>
      <c r="H9" s="131"/>
      <c r="I9" s="131"/>
      <c r="J9" s="131"/>
      <c r="K9" s="131"/>
      <c r="L9" s="131"/>
      <c r="M9" s="131"/>
      <c r="N9" s="951" t="s">
        <v>225</v>
      </c>
      <c r="O9" s="952"/>
      <c r="P9" s="952"/>
      <c r="Q9" s="952"/>
      <c r="R9" s="952"/>
      <c r="S9" s="952"/>
      <c r="T9" s="952"/>
      <c r="U9" s="952"/>
      <c r="V9" s="952"/>
      <c r="W9" s="952"/>
      <c r="X9" s="952"/>
      <c r="Y9" s="952"/>
      <c r="Z9" s="952"/>
      <c r="AA9" s="952"/>
      <c r="AB9" s="952"/>
      <c r="AC9" s="952"/>
      <c r="AD9" s="952"/>
      <c r="AE9" s="952"/>
      <c r="AF9" s="952"/>
      <c r="AG9" s="952"/>
      <c r="AH9" s="952"/>
      <c r="AI9" s="952"/>
      <c r="AJ9" s="952"/>
      <c r="AK9" s="952"/>
      <c r="AL9" s="952"/>
      <c r="AM9" s="952"/>
      <c r="AN9" s="953"/>
      <c r="AO9" s="450"/>
    </row>
    <row r="10" spans="2:50" s="42" customFormat="1" ht="27" customHeight="1" thickBot="1" x14ac:dyDescent="0.3">
      <c r="C10" s="1006" t="s">
        <v>247</v>
      </c>
      <c r="D10" s="1012"/>
      <c r="E10" s="1012"/>
      <c r="F10" s="1012"/>
      <c r="G10" s="1012"/>
      <c r="H10" s="1012"/>
      <c r="I10" s="1012"/>
      <c r="J10" s="1012"/>
      <c r="K10" s="1012"/>
      <c r="L10" s="1012"/>
      <c r="M10" s="1012"/>
      <c r="N10" s="1034" t="s">
        <v>341</v>
      </c>
      <c r="O10" s="1032" t="s">
        <v>249</v>
      </c>
      <c r="P10" s="1033"/>
      <c r="Q10" s="940" t="s">
        <v>294</v>
      </c>
      <c r="R10" s="940" t="s">
        <v>272</v>
      </c>
      <c r="S10" s="940"/>
      <c r="T10" s="940" t="s">
        <v>273</v>
      </c>
      <c r="U10" s="940"/>
      <c r="V10" s="967" t="s">
        <v>191</v>
      </c>
      <c r="W10" s="968"/>
      <c r="X10" s="969"/>
      <c r="Y10" s="967" t="s">
        <v>228</v>
      </c>
      <c r="Z10" s="968"/>
      <c r="AA10" s="968"/>
      <c r="AB10" s="968"/>
      <c r="AC10" s="968"/>
      <c r="AD10" s="969"/>
      <c r="AE10" s="967" t="s">
        <v>229</v>
      </c>
      <c r="AF10" s="968"/>
      <c r="AG10" s="968"/>
      <c r="AH10" s="969"/>
      <c r="AI10" s="940" t="s">
        <v>319</v>
      </c>
      <c r="AJ10" s="940"/>
      <c r="AK10" s="967" t="s">
        <v>320</v>
      </c>
      <c r="AL10" s="969"/>
      <c r="AM10" s="940" t="s">
        <v>283</v>
      </c>
      <c r="AN10" s="967"/>
      <c r="AO10" s="961" t="s">
        <v>329</v>
      </c>
      <c r="AP10" s="880" t="s">
        <v>196</v>
      </c>
      <c r="AQ10" s="878"/>
    </row>
    <row r="11" spans="2:50" ht="60" customHeight="1" thickBot="1" x14ac:dyDescent="0.3">
      <c r="B11" s="135" t="s">
        <v>254</v>
      </c>
      <c r="C11" s="136" t="s">
        <v>255</v>
      </c>
      <c r="D11" s="136" t="s">
        <v>294</v>
      </c>
      <c r="E11" s="136" t="s">
        <v>257</v>
      </c>
      <c r="F11" s="136" t="s">
        <v>258</v>
      </c>
      <c r="G11" s="136" t="s">
        <v>259</v>
      </c>
      <c r="H11" s="136" t="s">
        <v>260</v>
      </c>
      <c r="I11" s="136" t="s">
        <v>261</v>
      </c>
      <c r="J11" s="136" t="s">
        <v>191</v>
      </c>
      <c r="K11" s="136" t="s">
        <v>262</v>
      </c>
      <c r="L11" s="136" t="s">
        <v>309</v>
      </c>
      <c r="M11" s="137" t="s">
        <v>333</v>
      </c>
      <c r="N11" s="1035"/>
      <c r="O11" s="368" t="s">
        <v>310</v>
      </c>
      <c r="P11" s="359" t="s">
        <v>311</v>
      </c>
      <c r="Q11" s="1036"/>
      <c r="R11" s="368" t="s">
        <v>189</v>
      </c>
      <c r="S11" s="202" t="s">
        <v>206</v>
      </c>
      <c r="T11" s="368" t="s">
        <v>190</v>
      </c>
      <c r="U11" s="202" t="s">
        <v>206</v>
      </c>
      <c r="V11" s="368" t="s">
        <v>191</v>
      </c>
      <c r="W11" s="201" t="s">
        <v>191</v>
      </c>
      <c r="X11" s="202" t="s">
        <v>231</v>
      </c>
      <c r="Y11" s="368" t="s">
        <v>304</v>
      </c>
      <c r="Z11" s="201" t="s">
        <v>268</v>
      </c>
      <c r="AA11" s="201" t="s">
        <v>269</v>
      </c>
      <c r="AB11" s="201" t="s">
        <v>235</v>
      </c>
      <c r="AC11" s="201" t="s">
        <v>236</v>
      </c>
      <c r="AD11" s="202" t="s">
        <v>312</v>
      </c>
      <c r="AE11" s="368" t="s">
        <v>313</v>
      </c>
      <c r="AF11" s="201" t="s">
        <v>305</v>
      </c>
      <c r="AG11" s="201" t="s">
        <v>271</v>
      </c>
      <c r="AH11" s="202" t="s">
        <v>241</v>
      </c>
      <c r="AI11" s="368" t="s">
        <v>322</v>
      </c>
      <c r="AJ11" s="202" t="s">
        <v>323</v>
      </c>
      <c r="AK11" s="368" t="s">
        <v>322</v>
      </c>
      <c r="AL11" s="202" t="s">
        <v>323</v>
      </c>
      <c r="AM11" s="368" t="s">
        <v>339</v>
      </c>
      <c r="AN11" s="451" t="s">
        <v>323</v>
      </c>
      <c r="AO11" s="1027"/>
      <c r="AP11" s="141" t="s">
        <v>215</v>
      </c>
      <c r="AQ11" s="359" t="s">
        <v>216</v>
      </c>
      <c r="AX11" s="261" t="s">
        <v>200</v>
      </c>
    </row>
    <row r="12" spans="2:50" ht="13.8" x14ac:dyDescent="0.25">
      <c r="B12" s="531" t="str">
        <f>'F-1 Off Site River Baseline'!AN10</f>
        <v/>
      </c>
      <c r="C12" s="520" t="str">
        <f>IF(B12="","",VLOOKUP($B12,'F-1 Off Site River Baseline'!$C$9:$R$257,2,FALSE))</f>
        <v/>
      </c>
      <c r="D12" s="520" t="str">
        <f>IF(C12="","",VLOOKUP($B12,'F-1 Off Site River Baseline'!$C$9:$R$257,3,FALSE))</f>
        <v/>
      </c>
      <c r="E12" s="520" t="str">
        <f>IF(D12="","",VLOOKUP($B12,'F-1 Off Site River Baseline'!$C$9:$R$257,4,FALSE))</f>
        <v/>
      </c>
      <c r="F12" s="520" t="str">
        <f>IF(E12="","",VLOOKUP($B12,'F-1 Off Site River Baseline'!$C$9:$R$257,5,FALSE))</f>
        <v/>
      </c>
      <c r="G12" s="520" t="str">
        <f>IF(F12="","",VLOOKUP($B12,'F-1 Off Site River Baseline'!$C$9:$R$257,6,FALSE))</f>
        <v/>
      </c>
      <c r="H12" s="520" t="str">
        <f>IF(G12="","",VLOOKUP($B12,'F-1 Off Site River Baseline'!$C$9:$R$257,7,FALSE))</f>
        <v/>
      </c>
      <c r="I12" s="520" t="str">
        <f>IF(H12="","",VLOOKUP($B12,'F-1 Off Site River Baseline'!$C$9:$R$257,8,FALSE))</f>
        <v/>
      </c>
      <c r="J12" s="520" t="str">
        <f>IF(I12="","",VLOOKUP($B12,'F-1 Off Site River Baseline'!$C$9:$R$257,9,FALSE))</f>
        <v/>
      </c>
      <c r="K12" s="520" t="str">
        <f>IF(J12="","",VLOOKUP($B12,'F-1 Off Site River Baseline'!$C$9:$R$257,10,FALSE))</f>
        <v/>
      </c>
      <c r="L12" s="520" t="str">
        <f>IF(B12="","",VLOOKUP($B12,'C-1 Site River Baseline'!$C$9:$R$257,15,FALSE))</f>
        <v/>
      </c>
      <c r="M12" s="524" t="str">
        <f>IF(L12="","",VLOOKUP($B12,'F-1 Off Site River Baseline'!$C$9:$R$257,16,FALSE))</f>
        <v/>
      </c>
      <c r="N12" s="418" t="str">
        <f t="shared" ref="N12:N76" si="0">C12</f>
        <v/>
      </c>
      <c r="O12" s="498" t="str">
        <f>IF(B12="","",IF(S12&lt;F12,"Error Trading Down ▲",E12&amp;" - "&amp;R12))</f>
        <v/>
      </c>
      <c r="P12" s="499" t="str">
        <f>IF(C12="","",IF(AND(LEFT(C12,55)&lt;&gt;LEFT(N12,55),O12="High - High"),"Error - Not like for like ▲",IF(AND(F12=S12,H12&gt;U12),"Error - Can not reduce condition ▲",IF(AND(F12=S12,H12=U12,AJ12='F-1 Off Site River Baseline'!N10,'F-1 Off Site River Baseline'!P10=AL12),"Error - No enhancement ▲",IF(AND(C12&lt;&gt;N12,F12&lt;S12),"Lower Distinctiveness Habitat"&amp;" - "&amp;T12,G12&amp;" - "&amp;T12)))))</f>
        <v/>
      </c>
      <c r="Q12" s="505" t="str">
        <f>IF(N12="","",VLOOKUP(B12,'F-1 Off Site River Baseline'!$C$10:$AA$257,19,FALSE))</f>
        <v/>
      </c>
      <c r="R12" s="498" t="str">
        <f>IF(N12="","",VLOOKUP(N12,'G-7 Rivers Data'!$B$2:$G$8,2,FALSE))</f>
        <v/>
      </c>
      <c r="S12" s="499" t="str">
        <f>IFERROR(VLOOKUP(R12,'G-7 Rivers Data'!$C$4:$D$8,2,FALSE),"")</f>
        <v/>
      </c>
      <c r="T12" s="145"/>
      <c r="U12" s="499" t="str">
        <f>IFERROR(INDEX('G-7 Rivers Data'!$H$4:$L$8,MATCH(N12,'G-7 Rivers Data'!$B$4:$B$8,0),MATCH(T12,'G-7 Rivers Data'!$H$3:$L$3,0)),"")</f>
        <v/>
      </c>
      <c r="V12" s="154"/>
      <c r="W12" s="520" t="str">
        <f>IF(V12="","",IF(VLOOKUP(V12,'G-7 Rivers Data'!$AG$4:$AI$9,2,FALSE)=0,"Spatial Data Missing ⚠",VLOOKUP(V12,'G-7 Rivers Data'!$AG$4:$AI$9,2,FALSE)))</f>
        <v/>
      </c>
      <c r="X12" s="524" t="str">
        <f>IF(V12="","",IF(VLOOKUP(V12,'G-7 Rivers Data'!$AG$4:$AI$9,3,FALSE)=0,"Spatial Data Missing ⚠",VLOOKUP(V12,'G-7 Rivers Data'!$AG$4:$AI$9,3,FALSE)))</f>
        <v/>
      </c>
      <c r="Y12" s="537" t="str">
        <f>IFERROR(IF(OR(LEFT(P12,5)="Error ▲",LEFT(O12,5)="Error ▲"),"Check Data ⚠",IF(F12&lt;S12,'G-7 Rivers Data'!$R$3,INDEX('G-7 Rivers Data'!$U$5:$Y$9,MATCH(G12,'G-7 Rivers Data'!$T$5:$T$9,0),MATCH(T12,'G-7 Rivers Data'!$U$4:$Y$4,0)))),"")</f>
        <v/>
      </c>
      <c r="Z12" s="203"/>
      <c r="AA12" s="203"/>
      <c r="AB12" s="534" t="str">
        <f t="shared" ref="AB12:AB75" si="1">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1" t="str">
        <f t="shared" ref="AC12:AC75" si="2">IF(LEFT(AB12,5)="Error ▲","Check Data ⚠",IF(AB12="Check Data ⚠","Check Data ⚠",IF(Y12="","",IF(Z12="30+",0,IF(AA12="30+","30+ ⚠",IF(Y12+AA12&gt;30,"30+ ⚠",IF(Y12+AA12-Z12&gt;0,Y12+AA12-Z12,IF(Y12-Z12&lt;0,0,Y12+AA12-Z12))))))))</f>
        <v/>
      </c>
      <c r="AD12" s="564" t="str">
        <f>IFERROR(IF(AC12="Check Data ⚠","Check Data ⚠",VLOOKUP(AC12,'G-4 Temporal multipliers'!$A$4:$C$37,3,FALSE)),"")</f>
        <v/>
      </c>
      <c r="AE12" s="537" t="str">
        <f>IF(N12="","",VLOOKUP(N12,'G-7 Rivers Data'!$B$4:$G$8,4,FALSE))</f>
        <v/>
      </c>
      <c r="AF12" s="520" t="str">
        <f t="shared" ref="AF12:AF75" si="3">IF(N12="","",IF(AC12="Check Data ⚠","Check Data ⚠",IF(T12="","",IF($AB12="Check details - Is there evidence that habitat has reached target condition? ⚠","Low Difficulty - only applicable if all habitat created before losses ⚠","Standard difficulty applied"))))</f>
        <v/>
      </c>
      <c r="AG12" s="520" t="str">
        <f>(IF(AND(AF12="Standard difficulty applied",Y12&gt;Z12),AE12,IF(AND(AF12="Low Difficulty - only applicable if all habitat created before losses ⚠",Z12&gt;=Y12),"Low",AE12)))</f>
        <v/>
      </c>
      <c r="AH12" s="524" t="str">
        <f t="shared" ref="AH12:AH75" si="4">IF(N12="","",VLOOKUP(AE12,Difficulty,2,FALSE))</f>
        <v/>
      </c>
      <c r="AI12" s="154"/>
      <c r="AJ12" s="499" t="str">
        <f>IF(AI12="","",IF(VLOOKUP(AI12,'G-7 Rivers Data'!$AA$4:$AB$7,2,FALSE)=0,"Spatial Data Missing ⚠",VLOOKUP(AI12,'G-7 Rivers Data'!$AA$4:$AB$7,2,FALSE)))</f>
        <v/>
      </c>
      <c r="AK12" s="155"/>
      <c r="AL12" s="536" t="str">
        <f>IF(AK12="","",IF(VLOOKUP(AK12,'G-7 Rivers Data'!$AD$4:$AE$8,2,FALSE)=0,"Spatial Data Missing ⚠",VLOOKUP(AK12,'G-7 Rivers Data'!$AD$4:$AE$8,2,FALSE)))</f>
        <v/>
      </c>
      <c r="AM12" s="154"/>
      <c r="AN12" s="524" t="str">
        <f>IF(AM12="","",VLOOKUP(AM12,'G-7 Rivers Data'!$AO$4:$AP$7,2,FALSE))</f>
        <v/>
      </c>
      <c r="AO12" s="545" t="str">
        <f>IFERROR(IF(C12="","",IF(Q12&gt;D12,((((Q12*S12*U12)-(D12*F12*H12))*(AH12*AD12))+(D12*F12*H12))*(AL12*X12*AJ12*AN12),((((Q12*S12*U12)-(Q12*F12*H12))*(AH12*AD12))+(Q12*F12*H12))*(AL12*X12*AJ12*AN12))),"")</f>
        <v/>
      </c>
      <c r="AP12" s="149"/>
      <c r="AQ12" s="150"/>
      <c r="AX12" s="31" t="str">
        <f>IFERROR(INDEX('G-7 Rivers Data'!$AZ$3:$AZ$7,MATCH(N12,'G-7 Rivers Data'!$AY$3:$AY$7,0)),"")</f>
        <v/>
      </c>
    </row>
    <row r="13" spans="2:50" ht="13.8" x14ac:dyDescent="0.25">
      <c r="B13" s="531" t="str">
        <f>'F-1 Off Site River Baseline'!AN11</f>
        <v/>
      </c>
      <c r="C13" s="520" t="str">
        <f>IF(B13="","",VLOOKUP($B13,'F-1 Off Site River Baseline'!$C$9:$R$257,2,FALSE))</f>
        <v/>
      </c>
      <c r="D13" s="520" t="str">
        <f>IF(C13="","",VLOOKUP($B13,'F-1 Off Site River Baseline'!$C$9:$R$257,3,FALSE))</f>
        <v/>
      </c>
      <c r="E13" s="520" t="str">
        <f>IF(D13="","",VLOOKUP($B13,'F-1 Off Site River Baseline'!$C$9:$R$257,4,FALSE))</f>
        <v/>
      </c>
      <c r="F13" s="520" t="str">
        <f>IF(E13="","",VLOOKUP($B13,'F-1 Off Site River Baseline'!$C$9:$R$257,5,FALSE))</f>
        <v/>
      </c>
      <c r="G13" s="520" t="str">
        <f>IF(F13="","",VLOOKUP($B13,'F-1 Off Site River Baseline'!$C$9:$R$257,6,FALSE))</f>
        <v/>
      </c>
      <c r="H13" s="520" t="str">
        <f>IF(G13="","",VLOOKUP($B13,'F-1 Off Site River Baseline'!$C$9:$R$257,7,FALSE))</f>
        <v/>
      </c>
      <c r="I13" s="520" t="str">
        <f>IF(H13="","",VLOOKUP($B13,'F-1 Off Site River Baseline'!$C$9:$R$257,8,FALSE))</f>
        <v/>
      </c>
      <c r="J13" s="520" t="str">
        <f>IF(I13="","",VLOOKUP($B13,'F-1 Off Site River Baseline'!$C$9:$R$257,9,FALSE))</f>
        <v/>
      </c>
      <c r="K13" s="520" t="str">
        <f>IF(J13="","",VLOOKUP($B13,'F-1 Off Site River Baseline'!$C$9:$R$257,10,FALSE))</f>
        <v/>
      </c>
      <c r="L13" s="520" t="str">
        <f>IF(B13="","",VLOOKUP($B13,'C-1 Site River Baseline'!$C$9:$R$257,15,FALSE))</f>
        <v/>
      </c>
      <c r="M13" s="524" t="str">
        <f>IF(L13="","",VLOOKUP($B13,'F-1 Off Site River Baseline'!$C$9:$R$257,16,FALSE))</f>
        <v/>
      </c>
      <c r="N13" s="418" t="str">
        <f t="shared" si="0"/>
        <v/>
      </c>
      <c r="O13" s="498" t="str">
        <f t="shared" ref="O13:O76" si="5">IF(B13="","",IF(S13&lt;F13,"Error Trading Down ▲",E13&amp;" - "&amp;R13))</f>
        <v/>
      </c>
      <c r="P13" s="499" t="str">
        <f>IF(C13="","",IF(AND(LEFT(C13,55)&lt;&gt;LEFT(N13,55),O13="High - High"),"Error - Not like for like ▲",IF(AND(F13=S13,H13&gt;U13),"Error - Can not reduce condition ▲",IF(AND(F13=S13,H13=U13,AJ13='F-1 Off Site River Baseline'!N11,'F-1 Off Site River Baseline'!P11=AL13),"Error - No enhancement ▲",IF(AND(C13&lt;&gt;N13,F13&lt;S13),"Lower Distinctiveness Habitat"&amp;" - "&amp;T13,G13&amp;" - "&amp;T13)))))</f>
        <v/>
      </c>
      <c r="Q13" s="505" t="str">
        <f>IF(N13="","",VLOOKUP(B13,'F-1 Off Site River Baseline'!$C$10:$AA$257,19,FALSE))</f>
        <v/>
      </c>
      <c r="R13" s="498" t="str">
        <f>IF(N13="","",VLOOKUP(N13,'G-7 Rivers Data'!$B$2:$G$8,2,FALSE))</f>
        <v/>
      </c>
      <c r="S13" s="499" t="str">
        <f>IFERROR(VLOOKUP(R13,'G-7 Rivers Data'!$C$4:$D$8,2,FALSE),"")</f>
        <v/>
      </c>
      <c r="T13" s="145"/>
      <c r="U13" s="499" t="str">
        <f>IFERROR(INDEX('G-7 Rivers Data'!$H$4:$L$8,MATCH(N13,'G-7 Rivers Data'!$B$4:$B$8,0),MATCH(T13,'G-7 Rivers Data'!$H$3:$L$3,0)),"")</f>
        <v/>
      </c>
      <c r="V13" s="154"/>
      <c r="W13" s="520" t="str">
        <f>IF(V13="","",IF(VLOOKUP(V13,'G-7 Rivers Data'!$AG$4:$AI$9,2,FALSE)=0,"Spatial Data Missing ⚠",VLOOKUP(V13,'G-7 Rivers Data'!$AG$4:$AI$9,2,FALSE)))</f>
        <v/>
      </c>
      <c r="X13" s="524" t="str">
        <f>IF(V13="","",IF(VLOOKUP(V13,'G-7 Rivers Data'!$AG$4:$AI$9,3,FALSE)=0,"Spatial Data Missing ⚠",VLOOKUP(V13,'G-7 Rivers Data'!$AG$4:$AI$9,3,FALSE)))</f>
        <v/>
      </c>
      <c r="Y13" s="537" t="str">
        <f>IFERROR(IF(OR(LEFT(P13,5)="Error ▲",LEFT(O13,5)="Error ▲"),"Check Data ⚠",IF(F13&lt;S13,'G-7 Rivers Data'!$R$3,INDEX('G-7 Rivers Data'!$U$5:$Y$9,MATCH(G13,'G-7 Rivers Data'!$T$5:$T$9,0),MATCH(T13,'G-7 Rivers Data'!$U$4:$Y$4,0)))),"")</f>
        <v/>
      </c>
      <c r="Z13" s="203"/>
      <c r="AA13" s="203"/>
      <c r="AB13" s="534" t="str">
        <f t="shared" si="1"/>
        <v/>
      </c>
      <c r="AC13" s="521" t="str">
        <f t="shared" si="2"/>
        <v/>
      </c>
      <c r="AD13" s="564" t="str">
        <f>IFERROR(IF(AC13="Check Data ⚠","Check Data ⚠",VLOOKUP(AC13,'G-4 Temporal multipliers'!$A$4:$C$37,3,FALSE)),"")</f>
        <v/>
      </c>
      <c r="AE13" s="537" t="str">
        <f>IF(N13="","",VLOOKUP(N13,'G-7 Rivers Data'!$B$4:$G$8,5,FALSE))</f>
        <v/>
      </c>
      <c r="AF13" s="520" t="str">
        <f t="shared" si="3"/>
        <v/>
      </c>
      <c r="AG13" s="520" t="str">
        <f t="shared" ref="AG13:AG76" si="6">(IF(AND(AF13="Standard difficulty applied",Y13&gt;Z13),AE13,IF(AND(AF13="Low Difficulty - only applicable if all habitat created before losses ⚠",Z13&gt;=Y13),"Low",AE13)))</f>
        <v/>
      </c>
      <c r="AH13" s="524" t="str">
        <f t="shared" si="4"/>
        <v/>
      </c>
      <c r="AI13" s="145"/>
      <c r="AJ13" s="499" t="str">
        <f>IF(AI13="","",IF(VLOOKUP(AI13,'G-7 Rivers Data'!$AA$4:$AB$7,2,FALSE)=0,"Spatial Data Missing ⚠",VLOOKUP(AI13,'G-7 Rivers Data'!$AA$4:$AB$7,2,FALSE)))</f>
        <v/>
      </c>
      <c r="AK13" s="155"/>
      <c r="AL13" s="536" t="str">
        <f>IF(AK13="","",IF(VLOOKUP(AK13,'G-7 Rivers Data'!$AD$4:$AE$8,2,FALSE)=0,"Spatial Data Missing ⚠",VLOOKUP(AK13,'G-7 Rivers Data'!$AD$4:$AE$8,2,FALSE)))</f>
        <v/>
      </c>
      <c r="AM13" s="154"/>
      <c r="AN13" s="524" t="str">
        <f>IF(AM13="","",VLOOKUP(AM13,'G-7 Rivers Data'!$AO$4:$AP$7,2,FALSE))</f>
        <v/>
      </c>
      <c r="AO13" s="545" t="str">
        <f t="shared" ref="AO13:AO76" si="7">IFERROR(IF(C13="","",IF(Q13&gt;D13,((((Q13*S13*U13)-(D13*F13*H13))*(AH13*AD13))+(D13*F13*H13))*(AL13*X13*AJ13*AN13),((((Q13*S13*U13)-(Q13*F13*H13))*(AH13*AD13))+(Q13*F13*H13))*(AL13*X13*AJ13*AN13))),"")</f>
        <v/>
      </c>
      <c r="AP13" s="149"/>
      <c r="AQ13" s="150"/>
      <c r="AX13" s="31" t="str">
        <f>IFERROR(INDEX('G-7 Rivers Data'!$AZ$3:$AZ$7,MATCH(N13,'G-7 Rivers Data'!$AY$3:$AY$7,0)),"")</f>
        <v/>
      </c>
    </row>
    <row r="14" spans="2:50" ht="13.8" x14ac:dyDescent="0.25">
      <c r="B14" s="531" t="str">
        <f>'F-1 Off Site River Baseline'!AN12</f>
        <v/>
      </c>
      <c r="C14" s="520" t="str">
        <f>IF(B14="","",VLOOKUP($B14,'F-1 Off Site River Baseline'!$C$9:$R$257,2,FALSE))</f>
        <v/>
      </c>
      <c r="D14" s="520" t="str">
        <f>IF(C14="","",VLOOKUP($B14,'F-1 Off Site River Baseline'!$C$9:$R$257,3,FALSE))</f>
        <v/>
      </c>
      <c r="E14" s="520" t="str">
        <f>IF(D14="","",VLOOKUP($B14,'F-1 Off Site River Baseline'!$C$9:$R$257,4,FALSE))</f>
        <v/>
      </c>
      <c r="F14" s="520" t="str">
        <f>IF(E14="","",VLOOKUP($B14,'F-1 Off Site River Baseline'!$C$9:$R$257,5,FALSE))</f>
        <v/>
      </c>
      <c r="G14" s="520" t="str">
        <f>IF(F14="","",VLOOKUP($B14,'F-1 Off Site River Baseline'!$C$9:$R$257,6,FALSE))</f>
        <v/>
      </c>
      <c r="H14" s="520" t="str">
        <f>IF(G14="","",VLOOKUP($B14,'F-1 Off Site River Baseline'!$C$9:$R$257,7,FALSE))</f>
        <v/>
      </c>
      <c r="I14" s="520" t="str">
        <f>IF(H14="","",VLOOKUP($B14,'F-1 Off Site River Baseline'!$C$9:$R$257,8,FALSE))</f>
        <v/>
      </c>
      <c r="J14" s="520" t="str">
        <f>IF(I14="","",VLOOKUP($B14,'F-1 Off Site River Baseline'!$C$9:$R$257,9,FALSE))</f>
        <v/>
      </c>
      <c r="K14" s="520" t="str">
        <f>IF(J14="","",VLOOKUP($B14,'F-1 Off Site River Baseline'!$C$9:$R$257,10,FALSE))</f>
        <v/>
      </c>
      <c r="L14" s="520" t="str">
        <f>IF(B14="","",VLOOKUP($B14,'C-1 Site River Baseline'!$C$9:$R$257,15,FALSE))</f>
        <v/>
      </c>
      <c r="M14" s="524" t="str">
        <f>IF(L14="","",VLOOKUP($B14,'F-1 Off Site River Baseline'!$C$9:$R$257,16,FALSE))</f>
        <v/>
      </c>
      <c r="N14" s="418" t="str">
        <f t="shared" si="0"/>
        <v/>
      </c>
      <c r="O14" s="498" t="str">
        <f t="shared" si="5"/>
        <v/>
      </c>
      <c r="P14" s="499" t="str">
        <f>IF(C14="","",IF(AND(LEFT(C14,55)&lt;&gt;LEFT(N14,55),O14="High - High"),"Error - Not like for like ▲",IF(AND(F14=S14,H14&gt;U14),"Error - Can not reduce condition ▲",IF(AND(F14=S14,H14=U14,AJ14='F-1 Off Site River Baseline'!N12,'F-1 Off Site River Baseline'!P12=AL14),"Error - No enhancement ▲",IF(AND(C14&lt;&gt;N14,F14&lt;S14),"Lower Distinctiveness Habitat"&amp;" - "&amp;T14,G14&amp;" - "&amp;T14)))))</f>
        <v/>
      </c>
      <c r="Q14" s="505" t="str">
        <f>IF(N14="","",VLOOKUP(B14,'F-1 Off Site River Baseline'!$C$10:$AA$257,19,FALSE))</f>
        <v/>
      </c>
      <c r="R14" s="498" t="str">
        <f>IF(N14="","",VLOOKUP(N14,'G-7 Rivers Data'!$B$2:$G$8,2,FALSE))</f>
        <v/>
      </c>
      <c r="S14" s="499" t="str">
        <f>IFERROR(VLOOKUP(R14,'G-7 Rivers Data'!$C$4:$D$8,2,FALSE),"")</f>
        <v/>
      </c>
      <c r="T14" s="145"/>
      <c r="U14" s="499" t="str">
        <f>IFERROR(INDEX('G-7 Rivers Data'!$H$4:$L$8,MATCH(N14,'G-7 Rivers Data'!$B$4:$B$8,0),MATCH(T14,'G-7 Rivers Data'!$H$3:$L$3,0)),"")</f>
        <v/>
      </c>
      <c r="V14" s="154"/>
      <c r="W14" s="520" t="str">
        <f>IF(V14="","",IF(VLOOKUP(V14,'G-7 Rivers Data'!$AG$4:$AI$9,2,FALSE)=0,"Spatial Data Missing ⚠",VLOOKUP(V14,'G-7 Rivers Data'!$AG$4:$AI$9,2,FALSE)))</f>
        <v/>
      </c>
      <c r="X14" s="524" t="str">
        <f>IF(V14="","",IF(VLOOKUP(V14,'G-7 Rivers Data'!$AG$4:$AI$9,3,FALSE)=0,"Spatial Data Missing ⚠",VLOOKUP(V14,'G-7 Rivers Data'!$AG$4:$AI$9,3,FALSE)))</f>
        <v/>
      </c>
      <c r="Y14" s="537" t="str">
        <f>IFERROR(IF(OR(LEFT(P14,5)="Error ▲",LEFT(O14,5)="Error ▲"),"Check Data ⚠",IF(F14&lt;S14,'G-7 Rivers Data'!$R$3,INDEX('G-7 Rivers Data'!$U$5:$Y$9,MATCH(G14,'G-7 Rivers Data'!$T$5:$T$9,0),MATCH(T14,'G-7 Rivers Data'!$U$4:$Y$4,0)))),"")</f>
        <v/>
      </c>
      <c r="Z14" s="203"/>
      <c r="AA14" s="203"/>
      <c r="AB14" s="534" t="str">
        <f t="shared" si="1"/>
        <v/>
      </c>
      <c r="AC14" s="521" t="str">
        <f t="shared" si="2"/>
        <v/>
      </c>
      <c r="AD14" s="564" t="str">
        <f>IFERROR(IF(AC14="Check Data ⚠","Check Data ⚠",VLOOKUP(AC14,'G-4 Temporal multipliers'!$A$4:$C$37,3,FALSE)),"")</f>
        <v/>
      </c>
      <c r="AE14" s="537" t="str">
        <f>IF(N14="","",VLOOKUP(N14,'G-7 Rivers Data'!$B$4:$G$8,5,FALSE))</f>
        <v/>
      </c>
      <c r="AF14" s="520" t="str">
        <f t="shared" si="3"/>
        <v/>
      </c>
      <c r="AG14" s="520" t="str">
        <f t="shared" si="6"/>
        <v/>
      </c>
      <c r="AH14" s="524" t="str">
        <f t="shared" si="4"/>
        <v/>
      </c>
      <c r="AI14" s="145"/>
      <c r="AJ14" s="499" t="str">
        <f>IF(AI14="","",IF(VLOOKUP(AI14,'G-7 Rivers Data'!$AA$4:$AB$7,2,FALSE)=0,"Spatial Data Missing ⚠",VLOOKUP(AI14,'G-7 Rivers Data'!$AA$4:$AB$7,2,FALSE)))</f>
        <v/>
      </c>
      <c r="AK14" s="155"/>
      <c r="AL14" s="536" t="str">
        <f>IF(AK14="","",IF(VLOOKUP(AK14,'G-7 Rivers Data'!$AD$4:$AE$8,2,FALSE)=0,"Spatial Data Missing ⚠",VLOOKUP(AK14,'G-7 Rivers Data'!$AD$4:$AE$8,2,FALSE)))</f>
        <v/>
      </c>
      <c r="AM14" s="154"/>
      <c r="AN14" s="524" t="str">
        <f>IF(AM14="","",VLOOKUP(AM14,'G-7 Rivers Data'!$AO$4:$AP$7,2,FALSE))</f>
        <v/>
      </c>
      <c r="AO14" s="545" t="str">
        <f t="shared" si="7"/>
        <v/>
      </c>
      <c r="AP14" s="149"/>
      <c r="AQ14" s="150"/>
      <c r="AX14" s="31" t="str">
        <f>IFERROR(INDEX('G-7 Rivers Data'!$AZ$3:$AZ$7,MATCH(N14,'G-7 Rivers Data'!$AY$3:$AY$7,0)),"")</f>
        <v/>
      </c>
    </row>
    <row r="15" spans="2:50" ht="13.8" x14ac:dyDescent="0.25">
      <c r="B15" s="531" t="str">
        <f>'F-1 Off Site River Baseline'!AN13</f>
        <v/>
      </c>
      <c r="C15" s="520" t="str">
        <f>IF(B15="","",VLOOKUP($B15,'F-1 Off Site River Baseline'!$C$9:$R$257,2,FALSE))</f>
        <v/>
      </c>
      <c r="D15" s="520" t="str">
        <f>IF(C15="","",VLOOKUP($B15,'F-1 Off Site River Baseline'!$C$9:$R$257,3,FALSE))</f>
        <v/>
      </c>
      <c r="E15" s="520" t="str">
        <f>IF(D15="","",VLOOKUP($B15,'F-1 Off Site River Baseline'!$C$9:$R$257,4,FALSE))</f>
        <v/>
      </c>
      <c r="F15" s="520" t="str">
        <f>IF(E15="","",VLOOKUP($B15,'F-1 Off Site River Baseline'!$C$9:$R$257,5,FALSE))</f>
        <v/>
      </c>
      <c r="G15" s="520" t="str">
        <f>IF(F15="","",VLOOKUP($B15,'F-1 Off Site River Baseline'!$C$9:$R$257,6,FALSE))</f>
        <v/>
      </c>
      <c r="H15" s="520" t="str">
        <f>IF(G15="","",VLOOKUP($B15,'F-1 Off Site River Baseline'!$C$9:$R$257,7,FALSE))</f>
        <v/>
      </c>
      <c r="I15" s="520" t="str">
        <f>IF(H15="","",VLOOKUP($B15,'F-1 Off Site River Baseline'!$C$9:$R$257,8,FALSE))</f>
        <v/>
      </c>
      <c r="J15" s="520" t="str">
        <f>IF(I15="","",VLOOKUP($B15,'F-1 Off Site River Baseline'!$C$9:$R$257,9,FALSE))</f>
        <v/>
      </c>
      <c r="K15" s="520" t="str">
        <f>IF(J15="","",VLOOKUP($B15,'F-1 Off Site River Baseline'!$C$9:$R$257,10,FALSE))</f>
        <v/>
      </c>
      <c r="L15" s="520" t="str">
        <f>IF(B15="","",VLOOKUP($B15,'C-1 Site River Baseline'!$C$9:$R$257,15,FALSE))</f>
        <v/>
      </c>
      <c r="M15" s="524" t="str">
        <f>IF(L15="","",VLOOKUP($B15,'F-1 Off Site River Baseline'!$C$9:$R$257,16,FALSE))</f>
        <v/>
      </c>
      <c r="N15" s="418" t="str">
        <f t="shared" si="0"/>
        <v/>
      </c>
      <c r="O15" s="498" t="str">
        <f t="shared" si="5"/>
        <v/>
      </c>
      <c r="P15" s="499" t="str">
        <f>IF(C15="","",IF(AND(LEFT(C15,55)&lt;&gt;LEFT(N15,55),O15="High - High"),"Error - Not like for like ▲",IF(AND(F15=S15,H15&gt;U15),"Error - Can not reduce condition ▲",IF(AND(F15=S15,H15=U15,AJ15='F-1 Off Site River Baseline'!N13,'F-1 Off Site River Baseline'!P13=AL15),"Error - No enhancement ▲",IF(AND(C15&lt;&gt;N15,F15&lt;S15),"Lower Distinctiveness Habitat"&amp;" - "&amp;T15,G15&amp;" - "&amp;T15)))))</f>
        <v/>
      </c>
      <c r="Q15" s="505" t="str">
        <f>IF(N15="","",VLOOKUP(B15,'F-1 Off Site River Baseline'!$C$10:$AA$257,19,FALSE))</f>
        <v/>
      </c>
      <c r="R15" s="498" t="str">
        <f>IF(N15="","",VLOOKUP(N15,'G-7 Rivers Data'!$B$2:$G$8,2,FALSE))</f>
        <v/>
      </c>
      <c r="S15" s="499" t="str">
        <f>IFERROR(VLOOKUP(R15,'G-7 Rivers Data'!$C$4:$D$8,2,FALSE),"")</f>
        <v/>
      </c>
      <c r="T15" s="145"/>
      <c r="U15" s="499" t="str">
        <f>IFERROR(INDEX('G-7 Rivers Data'!$H$4:$L$8,MATCH(N15,'G-7 Rivers Data'!$B$4:$B$8,0),MATCH(T15,'G-7 Rivers Data'!$H$3:$L$3,0)),"")</f>
        <v/>
      </c>
      <c r="V15" s="154"/>
      <c r="W15" s="520" t="str">
        <f>IF(V15="","",IF(VLOOKUP(V15,'G-7 Rivers Data'!$AG$4:$AI$9,2,FALSE)=0,"Spatial Data Missing ⚠",VLOOKUP(V15,'G-7 Rivers Data'!$AG$4:$AI$9,2,FALSE)))</f>
        <v/>
      </c>
      <c r="X15" s="524" t="str">
        <f>IF(V15="","",IF(VLOOKUP(V15,'G-7 Rivers Data'!$AG$4:$AI$9,3,FALSE)=0,"Spatial Data Missing ⚠",VLOOKUP(V15,'G-7 Rivers Data'!$AG$4:$AI$9,3,FALSE)))</f>
        <v/>
      </c>
      <c r="Y15" s="537" t="str">
        <f>IFERROR(IF(OR(LEFT(P15,5)="Error ▲",LEFT(O15,5)="Error ▲"),"Check Data ⚠",IF(F15&lt;S15,'G-7 Rivers Data'!$R$3,INDEX('G-7 Rivers Data'!$U$5:$Y$9,MATCH(G15,'G-7 Rivers Data'!$T$5:$T$9,0),MATCH(T15,'G-7 Rivers Data'!$U$4:$Y$4,0)))),"")</f>
        <v/>
      </c>
      <c r="Z15" s="203"/>
      <c r="AA15" s="203"/>
      <c r="AB15" s="534" t="str">
        <f t="shared" si="1"/>
        <v/>
      </c>
      <c r="AC15" s="521" t="str">
        <f t="shared" si="2"/>
        <v/>
      </c>
      <c r="AD15" s="564" t="str">
        <f>IFERROR(IF(AC15="Check Data ⚠","Check Data ⚠",VLOOKUP(AC15,'G-4 Temporal multipliers'!$A$4:$C$37,3,FALSE)),"")</f>
        <v/>
      </c>
      <c r="AE15" s="537" t="str">
        <f>IF(N15="","",VLOOKUP(N15,'G-7 Rivers Data'!$B$4:$G$8,5,FALSE))</f>
        <v/>
      </c>
      <c r="AF15" s="520" t="str">
        <f t="shared" si="3"/>
        <v/>
      </c>
      <c r="AG15" s="520" t="str">
        <f t="shared" si="6"/>
        <v/>
      </c>
      <c r="AH15" s="524" t="str">
        <f t="shared" si="4"/>
        <v/>
      </c>
      <c r="AI15" s="145"/>
      <c r="AJ15" s="499" t="str">
        <f>IF(AI15="","",IF(VLOOKUP(AI15,'G-7 Rivers Data'!$AA$4:$AB$7,2,FALSE)=0,"Spatial Data Missing ⚠",VLOOKUP(AI15,'G-7 Rivers Data'!$AA$4:$AB$7,2,FALSE)))</f>
        <v/>
      </c>
      <c r="AK15" s="155"/>
      <c r="AL15" s="536" t="str">
        <f>IF(AK15="","",IF(VLOOKUP(AK15,'G-7 Rivers Data'!$AD$4:$AE$8,2,FALSE)=0,"Spatial Data Missing ⚠",VLOOKUP(AK15,'G-7 Rivers Data'!$AD$4:$AE$8,2,FALSE)))</f>
        <v/>
      </c>
      <c r="AM15" s="154"/>
      <c r="AN15" s="524" t="str">
        <f>IF(AM15="","",VLOOKUP(AM15,'G-7 Rivers Data'!$AO$4:$AP$7,2,FALSE))</f>
        <v/>
      </c>
      <c r="AO15" s="545" t="str">
        <f t="shared" si="7"/>
        <v/>
      </c>
      <c r="AP15" s="149"/>
      <c r="AQ15" s="150"/>
      <c r="AX15" s="31" t="str">
        <f>IFERROR(INDEX('G-7 Rivers Data'!$AZ$3:$AZ$7,MATCH(N15,'G-7 Rivers Data'!$AY$3:$AY$7,0)),"")</f>
        <v/>
      </c>
    </row>
    <row r="16" spans="2:50" ht="13.8" x14ac:dyDescent="0.25">
      <c r="B16" s="531" t="str">
        <f>'F-1 Off Site River Baseline'!AN14</f>
        <v/>
      </c>
      <c r="C16" s="520" t="str">
        <f>IF(B16="","",VLOOKUP($B16,'F-1 Off Site River Baseline'!$C$9:$R$257,2,FALSE))</f>
        <v/>
      </c>
      <c r="D16" s="520" t="str">
        <f>IF(C16="","",VLOOKUP($B16,'F-1 Off Site River Baseline'!$C$9:$R$257,3,FALSE))</f>
        <v/>
      </c>
      <c r="E16" s="520" t="str">
        <f>IF(D16="","",VLOOKUP($B16,'F-1 Off Site River Baseline'!$C$9:$R$257,4,FALSE))</f>
        <v/>
      </c>
      <c r="F16" s="520" t="str">
        <f>IF(E16="","",VLOOKUP($B16,'F-1 Off Site River Baseline'!$C$9:$R$257,5,FALSE))</f>
        <v/>
      </c>
      <c r="G16" s="520" t="str">
        <f>IF(F16="","",VLOOKUP($B16,'F-1 Off Site River Baseline'!$C$9:$R$257,6,FALSE))</f>
        <v/>
      </c>
      <c r="H16" s="520" t="str">
        <f>IF(G16="","",VLOOKUP($B16,'F-1 Off Site River Baseline'!$C$9:$R$257,7,FALSE))</f>
        <v/>
      </c>
      <c r="I16" s="520" t="str">
        <f>IF(H16="","",VLOOKUP($B16,'F-1 Off Site River Baseline'!$C$9:$R$257,8,FALSE))</f>
        <v/>
      </c>
      <c r="J16" s="520" t="str">
        <f>IF(I16="","",VLOOKUP($B16,'F-1 Off Site River Baseline'!$C$9:$R$257,9,FALSE))</f>
        <v/>
      </c>
      <c r="K16" s="520" t="str">
        <f>IF(J16="","",VLOOKUP($B16,'F-1 Off Site River Baseline'!$C$9:$R$257,10,FALSE))</f>
        <v/>
      </c>
      <c r="L16" s="520" t="str">
        <f>IF(B16="","",VLOOKUP($B16,'C-1 Site River Baseline'!$C$9:$R$257,15,FALSE))</f>
        <v/>
      </c>
      <c r="M16" s="524" t="str">
        <f>IF(L16="","",VLOOKUP($B16,'F-1 Off Site River Baseline'!$C$9:$R$257,16,FALSE))</f>
        <v/>
      </c>
      <c r="N16" s="418" t="str">
        <f t="shared" si="0"/>
        <v/>
      </c>
      <c r="O16" s="498" t="str">
        <f t="shared" si="5"/>
        <v/>
      </c>
      <c r="P16" s="499" t="str">
        <f>IF(C16="","",IF(AND(LEFT(C16,55)&lt;&gt;LEFT(N16,55),O16="High - High"),"Error - Not like for like ▲",IF(AND(F16=S16,H16&gt;U16),"Error - Can not reduce condition ▲",IF(AND(F16=S16,H16=U16,AJ16='F-1 Off Site River Baseline'!N14,'F-1 Off Site River Baseline'!P14=AL16),"Error - No enhancement ▲",IF(AND(C16&lt;&gt;N16,F16&lt;S16),"Lower Distinctiveness Habitat"&amp;" - "&amp;T16,G16&amp;" - "&amp;T16)))))</f>
        <v/>
      </c>
      <c r="Q16" s="505" t="str">
        <f>IF(N16="","",VLOOKUP(B16,'F-1 Off Site River Baseline'!$C$10:$AA$257,19,FALSE))</f>
        <v/>
      </c>
      <c r="R16" s="498" t="str">
        <f>IF(N16="","",VLOOKUP(N16,'G-7 Rivers Data'!$B$2:$G$8,2,FALSE))</f>
        <v/>
      </c>
      <c r="S16" s="499" t="str">
        <f>IFERROR(VLOOKUP(R16,'G-7 Rivers Data'!$C$4:$D$8,2,FALSE),"")</f>
        <v/>
      </c>
      <c r="T16" s="145"/>
      <c r="U16" s="499" t="str">
        <f>IFERROR(INDEX('G-7 Rivers Data'!$H$4:$L$8,MATCH(N16,'G-7 Rivers Data'!$B$4:$B$8,0),MATCH(T16,'G-7 Rivers Data'!$H$3:$L$3,0)),"")</f>
        <v/>
      </c>
      <c r="V16" s="154"/>
      <c r="W16" s="520" t="str">
        <f>IF(V16="","",IF(VLOOKUP(V16,'G-7 Rivers Data'!$AG$4:$AI$9,2,FALSE)=0,"Spatial Data Missing ⚠",VLOOKUP(V16,'G-7 Rivers Data'!$AG$4:$AI$9,2,FALSE)))</f>
        <v/>
      </c>
      <c r="X16" s="524" t="str">
        <f>IF(V16="","",IF(VLOOKUP(V16,'G-7 Rivers Data'!$AG$4:$AI$9,3,FALSE)=0,"Spatial Data Missing ⚠",VLOOKUP(V16,'G-7 Rivers Data'!$AG$4:$AI$9,3,FALSE)))</f>
        <v/>
      </c>
      <c r="Y16" s="537" t="str">
        <f>IFERROR(IF(OR(LEFT(P16,5)="Error ▲",LEFT(O16,5)="Error ▲"),"Check Data ⚠",IF(F16&lt;S16,'G-7 Rivers Data'!$R$3,INDEX('G-7 Rivers Data'!$U$5:$Y$9,MATCH(G16,'G-7 Rivers Data'!$T$5:$T$9,0),MATCH(T16,'G-7 Rivers Data'!$U$4:$Y$4,0)))),"")</f>
        <v/>
      </c>
      <c r="Z16" s="203"/>
      <c r="AA16" s="203"/>
      <c r="AB16" s="534" t="str">
        <f t="shared" si="1"/>
        <v/>
      </c>
      <c r="AC16" s="521" t="str">
        <f t="shared" si="2"/>
        <v/>
      </c>
      <c r="AD16" s="564" t="str">
        <f>IFERROR(IF(AC16="Check Data ⚠","Check Data ⚠",VLOOKUP(AC16,'G-4 Temporal multipliers'!$A$4:$C$37,3,FALSE)),"")</f>
        <v/>
      </c>
      <c r="AE16" s="537" t="str">
        <f>IF(N16="","",VLOOKUP(N16,'G-7 Rivers Data'!$B$4:$G$8,5,FALSE))</f>
        <v/>
      </c>
      <c r="AF16" s="520" t="str">
        <f t="shared" si="3"/>
        <v/>
      </c>
      <c r="AG16" s="520" t="str">
        <f t="shared" si="6"/>
        <v/>
      </c>
      <c r="AH16" s="524" t="str">
        <f t="shared" si="4"/>
        <v/>
      </c>
      <c r="AI16" s="145"/>
      <c r="AJ16" s="499" t="str">
        <f>IF(AI16="","",IF(VLOOKUP(AI16,'G-7 Rivers Data'!$AA$4:$AB$7,2,FALSE)=0,"Spatial Data Missing ⚠",VLOOKUP(AI16,'G-7 Rivers Data'!$AA$4:$AB$7,2,FALSE)))</f>
        <v/>
      </c>
      <c r="AK16" s="155"/>
      <c r="AL16" s="536" t="str">
        <f>IF(AK16="","",IF(VLOOKUP(AK16,'G-7 Rivers Data'!$AD$4:$AE$8,2,FALSE)=0,"Spatial Data Missing ⚠",VLOOKUP(AK16,'G-7 Rivers Data'!$AD$4:$AE$8,2,FALSE)))</f>
        <v/>
      </c>
      <c r="AM16" s="154"/>
      <c r="AN16" s="524" t="str">
        <f>IF(AM16="","",VLOOKUP(AM16,'G-7 Rivers Data'!$AO$4:$AP$7,2,FALSE))</f>
        <v/>
      </c>
      <c r="AO16" s="545" t="str">
        <f t="shared" si="7"/>
        <v/>
      </c>
      <c r="AP16" s="149"/>
      <c r="AQ16" s="150"/>
      <c r="AX16" s="31" t="str">
        <f>IFERROR(INDEX('G-7 Rivers Data'!$AZ$3:$AZ$7,MATCH(N16,'G-7 Rivers Data'!$AY$3:$AY$7,0)),"")</f>
        <v/>
      </c>
    </row>
    <row r="17" spans="2:50" ht="13.8" x14ac:dyDescent="0.25">
      <c r="B17" s="531" t="str">
        <f>'F-1 Off Site River Baseline'!AN15</f>
        <v/>
      </c>
      <c r="C17" s="520" t="str">
        <f>IF(B17="","",VLOOKUP($B17,'F-1 Off Site River Baseline'!$C$9:$R$257,2,FALSE))</f>
        <v/>
      </c>
      <c r="D17" s="520" t="str">
        <f>IF(C17="","",VLOOKUP($B17,'F-1 Off Site River Baseline'!$C$9:$R$257,3,FALSE))</f>
        <v/>
      </c>
      <c r="E17" s="520" t="str">
        <f>IF(D17="","",VLOOKUP($B17,'F-1 Off Site River Baseline'!$C$9:$R$257,4,FALSE))</f>
        <v/>
      </c>
      <c r="F17" s="520" t="str">
        <f>IF(E17="","",VLOOKUP($B17,'F-1 Off Site River Baseline'!$C$9:$R$257,5,FALSE))</f>
        <v/>
      </c>
      <c r="G17" s="520" t="str">
        <f>IF(F17="","",VLOOKUP($B17,'F-1 Off Site River Baseline'!$C$9:$R$257,6,FALSE))</f>
        <v/>
      </c>
      <c r="H17" s="520" t="str">
        <f>IF(G17="","",VLOOKUP($B17,'F-1 Off Site River Baseline'!$C$9:$R$257,7,FALSE))</f>
        <v/>
      </c>
      <c r="I17" s="520" t="str">
        <f>IF(H17="","",VLOOKUP($B17,'F-1 Off Site River Baseline'!$C$9:$R$257,8,FALSE))</f>
        <v/>
      </c>
      <c r="J17" s="520" t="str">
        <f>IF(I17="","",VLOOKUP($B17,'F-1 Off Site River Baseline'!$C$9:$R$257,9,FALSE))</f>
        <v/>
      </c>
      <c r="K17" s="520" t="str">
        <f>IF(J17="","",VLOOKUP($B17,'F-1 Off Site River Baseline'!$C$9:$R$257,10,FALSE))</f>
        <v/>
      </c>
      <c r="L17" s="520" t="str">
        <f>IF(B17="","",VLOOKUP($B17,'C-1 Site River Baseline'!$C$9:$R$257,15,FALSE))</f>
        <v/>
      </c>
      <c r="M17" s="524" t="str">
        <f>IF(L17="","",VLOOKUP($B17,'F-1 Off Site River Baseline'!$C$9:$R$257,16,FALSE))</f>
        <v/>
      </c>
      <c r="N17" s="418" t="str">
        <f t="shared" si="0"/>
        <v/>
      </c>
      <c r="O17" s="498" t="str">
        <f t="shared" si="5"/>
        <v/>
      </c>
      <c r="P17" s="499" t="str">
        <f>IF(C17="","",IF(AND(LEFT(C17,55)&lt;&gt;LEFT(N17,55),O17="High - High"),"Error - Not like for like ▲",IF(AND(F17=S17,H17&gt;U17),"Error - Can not reduce condition ▲",IF(AND(F17=S17,H17=U17,AJ17='F-1 Off Site River Baseline'!N15,'F-1 Off Site River Baseline'!P15=AL17),"Error - No enhancement ▲",IF(AND(C17&lt;&gt;N17,F17&lt;S17),"Lower Distinctiveness Habitat"&amp;" - "&amp;T17,G17&amp;" - "&amp;T17)))))</f>
        <v/>
      </c>
      <c r="Q17" s="505" t="str">
        <f>IF(N17="","",VLOOKUP(B17,'F-1 Off Site River Baseline'!$C$10:$AA$257,19,FALSE))</f>
        <v/>
      </c>
      <c r="R17" s="498" t="str">
        <f>IF(N17="","",VLOOKUP(N17,'G-7 Rivers Data'!$B$2:$G$8,2,FALSE))</f>
        <v/>
      </c>
      <c r="S17" s="499" t="str">
        <f>IFERROR(VLOOKUP(R17,'G-7 Rivers Data'!$C$4:$D$8,2,FALSE),"")</f>
        <v/>
      </c>
      <c r="T17" s="145"/>
      <c r="U17" s="499" t="str">
        <f>IFERROR(INDEX('G-7 Rivers Data'!$H$4:$L$8,MATCH(N17,'G-7 Rivers Data'!$B$4:$B$8,0),MATCH(T17,'G-7 Rivers Data'!$H$3:$L$3,0)),"")</f>
        <v/>
      </c>
      <c r="V17" s="154"/>
      <c r="W17" s="520" t="str">
        <f>IF(V17="","",IF(VLOOKUP(V17,'G-7 Rivers Data'!$AG$4:$AI$9,2,FALSE)=0,"Spatial Data Missing ⚠",VLOOKUP(V17,'G-7 Rivers Data'!$AG$4:$AI$9,2,FALSE)))</f>
        <v/>
      </c>
      <c r="X17" s="524" t="str">
        <f>IF(V17="","",IF(VLOOKUP(V17,'G-7 Rivers Data'!$AG$4:$AI$9,3,FALSE)=0,"Spatial Data Missing ⚠",VLOOKUP(V17,'G-7 Rivers Data'!$AG$4:$AI$9,3,FALSE)))</f>
        <v/>
      </c>
      <c r="Y17" s="537" t="str">
        <f>IFERROR(IF(OR(LEFT(P17,5)="Error ▲",LEFT(O17,5)="Error ▲"),"Check Data ⚠",IF(F17&lt;S17,'G-7 Rivers Data'!$R$3,INDEX('G-7 Rivers Data'!$U$5:$Y$9,MATCH(G17,'G-7 Rivers Data'!$T$5:$T$9,0),MATCH(T17,'G-7 Rivers Data'!$U$4:$Y$4,0)))),"")</f>
        <v/>
      </c>
      <c r="Z17" s="203"/>
      <c r="AA17" s="203"/>
      <c r="AB17" s="534" t="str">
        <f t="shared" si="1"/>
        <v/>
      </c>
      <c r="AC17" s="521" t="str">
        <f t="shared" si="2"/>
        <v/>
      </c>
      <c r="AD17" s="564" t="str">
        <f>IFERROR(IF(AC17="Check Data ⚠","Check Data ⚠",VLOOKUP(AC17,'G-4 Temporal multipliers'!$A$4:$C$37,3,FALSE)),"")</f>
        <v/>
      </c>
      <c r="AE17" s="537" t="str">
        <f>IF(N17="","",VLOOKUP(N17,'G-7 Rivers Data'!$B$4:$G$8,5,FALSE))</f>
        <v/>
      </c>
      <c r="AF17" s="520" t="str">
        <f t="shared" si="3"/>
        <v/>
      </c>
      <c r="AG17" s="520" t="str">
        <f t="shared" si="6"/>
        <v/>
      </c>
      <c r="AH17" s="524" t="str">
        <f t="shared" si="4"/>
        <v/>
      </c>
      <c r="AI17" s="145"/>
      <c r="AJ17" s="499" t="str">
        <f>IF(AI17="","",IF(VLOOKUP(AI17,'G-7 Rivers Data'!$AA$4:$AB$7,2,FALSE)=0,"Spatial Data Missing ⚠",VLOOKUP(AI17,'G-7 Rivers Data'!$AA$4:$AB$7,2,FALSE)))</f>
        <v/>
      </c>
      <c r="AK17" s="155"/>
      <c r="AL17" s="536" t="str">
        <f>IF(AK17="","",IF(VLOOKUP(AK17,'G-7 Rivers Data'!$AD$4:$AE$8,2,FALSE)=0,"Spatial Data Missing ⚠",VLOOKUP(AK17,'G-7 Rivers Data'!$AD$4:$AE$8,2,FALSE)))</f>
        <v/>
      </c>
      <c r="AM17" s="154"/>
      <c r="AN17" s="524" t="str">
        <f>IF(AM17="","",VLOOKUP(AM17,'G-7 Rivers Data'!$AO$4:$AP$7,2,FALSE))</f>
        <v/>
      </c>
      <c r="AO17" s="545" t="str">
        <f t="shared" si="7"/>
        <v/>
      </c>
      <c r="AP17" s="149"/>
      <c r="AQ17" s="150"/>
      <c r="AX17" s="31" t="str">
        <f>IFERROR(INDEX('G-7 Rivers Data'!$AZ$3:$AZ$7,MATCH(N17,'G-7 Rivers Data'!$AY$3:$AY$7,0)),"")</f>
        <v/>
      </c>
    </row>
    <row r="18" spans="2:50" ht="13.8" x14ac:dyDescent="0.25">
      <c r="B18" s="531" t="str">
        <f>'F-1 Off Site River Baseline'!AN16</f>
        <v/>
      </c>
      <c r="C18" s="520" t="str">
        <f>IF(B18="","",VLOOKUP($B18,'F-1 Off Site River Baseline'!$C$9:$R$257,2,FALSE))</f>
        <v/>
      </c>
      <c r="D18" s="520" t="str">
        <f>IF(C18="","",VLOOKUP($B18,'F-1 Off Site River Baseline'!$C$9:$R$257,3,FALSE))</f>
        <v/>
      </c>
      <c r="E18" s="520" t="str">
        <f>IF(D18="","",VLOOKUP($B18,'F-1 Off Site River Baseline'!$C$9:$R$257,4,FALSE))</f>
        <v/>
      </c>
      <c r="F18" s="520" t="str">
        <f>IF(E18="","",VLOOKUP($B18,'F-1 Off Site River Baseline'!$C$9:$R$257,5,FALSE))</f>
        <v/>
      </c>
      <c r="G18" s="520" t="str">
        <f>IF(F18="","",VLOOKUP($B18,'F-1 Off Site River Baseline'!$C$9:$R$257,6,FALSE))</f>
        <v/>
      </c>
      <c r="H18" s="520" t="str">
        <f>IF(G18="","",VLOOKUP($B18,'F-1 Off Site River Baseline'!$C$9:$R$257,7,FALSE))</f>
        <v/>
      </c>
      <c r="I18" s="520" t="str">
        <f>IF(H18="","",VLOOKUP($B18,'F-1 Off Site River Baseline'!$C$9:$R$257,8,FALSE))</f>
        <v/>
      </c>
      <c r="J18" s="520" t="str">
        <f>IF(I18="","",VLOOKUP($B18,'F-1 Off Site River Baseline'!$C$9:$R$257,9,FALSE))</f>
        <v/>
      </c>
      <c r="K18" s="520" t="str">
        <f>IF(J18="","",VLOOKUP($B18,'F-1 Off Site River Baseline'!$C$9:$R$257,10,FALSE))</f>
        <v/>
      </c>
      <c r="L18" s="520" t="str">
        <f>IF(B18="","",VLOOKUP($B18,'C-1 Site River Baseline'!$C$9:$R$257,15,FALSE))</f>
        <v/>
      </c>
      <c r="M18" s="524" t="str">
        <f>IF(L18="","",VLOOKUP($B18,'F-1 Off Site River Baseline'!$C$9:$R$257,16,FALSE))</f>
        <v/>
      </c>
      <c r="N18" s="418" t="str">
        <f t="shared" si="0"/>
        <v/>
      </c>
      <c r="O18" s="498" t="str">
        <f t="shared" si="5"/>
        <v/>
      </c>
      <c r="P18" s="499" t="str">
        <f>IF(C18="","",IF(AND(LEFT(C18,55)&lt;&gt;LEFT(N18,55),O18="High - High"),"Error - Not like for like ▲",IF(AND(F18=S18,H18&gt;U18),"Error - Can not reduce condition ▲",IF(AND(F18=S18,H18=U18,AJ18='F-1 Off Site River Baseline'!N16,'F-1 Off Site River Baseline'!P16=AL18),"Error - No enhancement ▲",IF(AND(C18&lt;&gt;N18,F18&lt;S18),"Lower Distinctiveness Habitat"&amp;" - "&amp;T18,G18&amp;" - "&amp;T18)))))</f>
        <v/>
      </c>
      <c r="Q18" s="505" t="str">
        <f>IF(N18="","",VLOOKUP(B18,'F-1 Off Site River Baseline'!$C$10:$AA$257,19,FALSE))</f>
        <v/>
      </c>
      <c r="R18" s="498" t="str">
        <f>IF(N18="","",VLOOKUP(N18,'G-7 Rivers Data'!$B$2:$G$8,2,FALSE))</f>
        <v/>
      </c>
      <c r="S18" s="499" t="str">
        <f>IFERROR(VLOOKUP(R18,'G-7 Rivers Data'!$C$4:$D$8,2,FALSE),"")</f>
        <v/>
      </c>
      <c r="T18" s="145"/>
      <c r="U18" s="499" t="str">
        <f>IFERROR(INDEX('G-7 Rivers Data'!$H$4:$L$8,MATCH(N18,'G-7 Rivers Data'!$B$4:$B$8,0),MATCH(T18,'G-7 Rivers Data'!$H$3:$L$3,0)),"")</f>
        <v/>
      </c>
      <c r="V18" s="154"/>
      <c r="W18" s="520" t="str">
        <f>IF(V18="","",IF(VLOOKUP(V18,'G-7 Rivers Data'!$AG$4:$AI$9,2,FALSE)=0,"Spatial Data Missing ⚠",VLOOKUP(V18,'G-7 Rivers Data'!$AG$4:$AI$9,2,FALSE)))</f>
        <v/>
      </c>
      <c r="X18" s="524" t="str">
        <f>IF(V18="","",IF(VLOOKUP(V18,'G-7 Rivers Data'!$AG$4:$AI$9,3,FALSE)=0,"Spatial Data Missing ⚠",VLOOKUP(V18,'G-7 Rivers Data'!$AG$4:$AI$9,3,FALSE)))</f>
        <v/>
      </c>
      <c r="Y18" s="537" t="str">
        <f>IFERROR(IF(OR(LEFT(P18,5)="Error ▲",LEFT(O18,5)="Error ▲"),"Check Data ⚠",IF(F18&lt;S18,'G-7 Rivers Data'!$R$3,INDEX('G-7 Rivers Data'!$U$5:$Y$9,MATCH(G18,'G-7 Rivers Data'!$T$5:$T$9,0),MATCH(T18,'G-7 Rivers Data'!$U$4:$Y$4,0)))),"")</f>
        <v/>
      </c>
      <c r="Z18" s="203"/>
      <c r="AA18" s="203"/>
      <c r="AB18" s="534" t="str">
        <f t="shared" si="1"/>
        <v/>
      </c>
      <c r="AC18" s="521" t="str">
        <f t="shared" si="2"/>
        <v/>
      </c>
      <c r="AD18" s="564" t="str">
        <f>IFERROR(IF(AC18="Check Data ⚠","Check Data ⚠",VLOOKUP(AC18,'G-4 Temporal multipliers'!$A$4:$C$37,3,FALSE)),"")</f>
        <v/>
      </c>
      <c r="AE18" s="537" t="str">
        <f>IF(N18="","",VLOOKUP(N18,'G-7 Rivers Data'!$B$4:$G$8,5,FALSE))</f>
        <v/>
      </c>
      <c r="AF18" s="520" t="str">
        <f t="shared" si="3"/>
        <v/>
      </c>
      <c r="AG18" s="520" t="str">
        <f t="shared" si="6"/>
        <v/>
      </c>
      <c r="AH18" s="524" t="str">
        <f t="shared" si="4"/>
        <v/>
      </c>
      <c r="AI18" s="145"/>
      <c r="AJ18" s="499" t="str">
        <f>IF(AI18="","",IF(VLOOKUP(AI18,'G-7 Rivers Data'!$AA$4:$AB$7,2,FALSE)=0,"Spatial Data Missing ⚠",VLOOKUP(AI18,'G-7 Rivers Data'!$AA$4:$AB$7,2,FALSE)))</f>
        <v/>
      </c>
      <c r="AK18" s="155"/>
      <c r="AL18" s="536" t="str">
        <f>IF(AK18="","",IF(VLOOKUP(AK18,'G-7 Rivers Data'!$AD$4:$AE$8,2,FALSE)=0,"Spatial Data Missing ⚠",VLOOKUP(AK18,'G-7 Rivers Data'!$AD$4:$AE$8,2,FALSE)))</f>
        <v/>
      </c>
      <c r="AM18" s="154"/>
      <c r="AN18" s="524" t="str">
        <f>IF(AM18="","",VLOOKUP(AM18,'G-7 Rivers Data'!$AO$4:$AP$7,2,FALSE))</f>
        <v/>
      </c>
      <c r="AO18" s="545" t="str">
        <f t="shared" si="7"/>
        <v/>
      </c>
      <c r="AP18" s="149"/>
      <c r="AQ18" s="150"/>
      <c r="AX18" s="31" t="str">
        <f>IFERROR(INDEX('G-7 Rivers Data'!$AZ$3:$AZ$7,MATCH(N18,'G-7 Rivers Data'!$AY$3:$AY$7,0)),"")</f>
        <v/>
      </c>
    </row>
    <row r="19" spans="2:50" ht="13.8" x14ac:dyDescent="0.25">
      <c r="B19" s="531" t="str">
        <f>'F-1 Off Site River Baseline'!AN17</f>
        <v/>
      </c>
      <c r="C19" s="520" t="str">
        <f>IF(B19="","",VLOOKUP($B19,'F-1 Off Site River Baseline'!$C$9:$R$257,2,FALSE))</f>
        <v/>
      </c>
      <c r="D19" s="520" t="str">
        <f>IF(C19="","",VLOOKUP($B19,'F-1 Off Site River Baseline'!$C$9:$R$257,3,FALSE))</f>
        <v/>
      </c>
      <c r="E19" s="520" t="str">
        <f>IF(D19="","",VLOOKUP($B19,'F-1 Off Site River Baseline'!$C$9:$R$257,4,FALSE))</f>
        <v/>
      </c>
      <c r="F19" s="520" t="str">
        <f>IF(E19="","",VLOOKUP($B19,'F-1 Off Site River Baseline'!$C$9:$R$257,5,FALSE))</f>
        <v/>
      </c>
      <c r="G19" s="520" t="str">
        <f>IF(F19="","",VLOOKUP($B19,'F-1 Off Site River Baseline'!$C$9:$R$257,6,FALSE))</f>
        <v/>
      </c>
      <c r="H19" s="520" t="str">
        <f>IF(G19="","",VLOOKUP($B19,'F-1 Off Site River Baseline'!$C$9:$R$257,7,FALSE))</f>
        <v/>
      </c>
      <c r="I19" s="520" t="str">
        <f>IF(H19="","",VLOOKUP($B19,'F-1 Off Site River Baseline'!$C$9:$R$257,8,FALSE))</f>
        <v/>
      </c>
      <c r="J19" s="520" t="str">
        <f>IF(I19="","",VLOOKUP($B19,'F-1 Off Site River Baseline'!$C$9:$R$257,9,FALSE))</f>
        <v/>
      </c>
      <c r="K19" s="520" t="str">
        <f>IF(J19="","",VLOOKUP($B19,'F-1 Off Site River Baseline'!$C$9:$R$257,10,FALSE))</f>
        <v/>
      </c>
      <c r="L19" s="520" t="str">
        <f>IF(B19="","",VLOOKUP($B19,'C-1 Site River Baseline'!$C$9:$R$257,15,FALSE))</f>
        <v/>
      </c>
      <c r="M19" s="524" t="str">
        <f>IF(L19="","",VLOOKUP($B19,'F-1 Off Site River Baseline'!$C$9:$R$257,16,FALSE))</f>
        <v/>
      </c>
      <c r="N19" s="418" t="str">
        <f t="shared" si="0"/>
        <v/>
      </c>
      <c r="O19" s="498" t="str">
        <f t="shared" si="5"/>
        <v/>
      </c>
      <c r="P19" s="499" t="str">
        <f>IF(C19="","",IF(AND(LEFT(C19,55)&lt;&gt;LEFT(N19,55),O19="High - High"),"Error - Not like for like ▲",IF(AND(F19=S19,H19&gt;U19),"Error - Can not reduce condition ▲",IF(AND(F19=S19,H19=U19,AJ19='F-1 Off Site River Baseline'!N17,'F-1 Off Site River Baseline'!P17=AL19),"Error - No enhancement ▲",IF(AND(C19&lt;&gt;N19,F19&lt;S19),"Lower Distinctiveness Habitat"&amp;" - "&amp;T19,G19&amp;" - "&amp;T19)))))</f>
        <v/>
      </c>
      <c r="Q19" s="505" t="str">
        <f>IF(N19="","",VLOOKUP(B19,'F-1 Off Site River Baseline'!$C$10:$AA$257,19,FALSE))</f>
        <v/>
      </c>
      <c r="R19" s="498" t="str">
        <f>IF(N19="","",VLOOKUP(N19,'G-7 Rivers Data'!$B$2:$G$8,2,FALSE))</f>
        <v/>
      </c>
      <c r="S19" s="499" t="str">
        <f>IFERROR(VLOOKUP(R19,'G-7 Rivers Data'!$C$4:$D$8,2,FALSE),"")</f>
        <v/>
      </c>
      <c r="T19" s="145"/>
      <c r="U19" s="499" t="str">
        <f>IFERROR(INDEX('G-7 Rivers Data'!$H$4:$L$8,MATCH(N19,'G-7 Rivers Data'!$B$4:$B$8,0),MATCH(T19,'G-7 Rivers Data'!$H$3:$L$3,0)),"")</f>
        <v/>
      </c>
      <c r="V19" s="154"/>
      <c r="W19" s="520" t="str">
        <f>IF(V19="","",IF(VLOOKUP(V19,'G-7 Rivers Data'!$AG$4:$AI$9,2,FALSE)=0,"Spatial Data Missing ⚠",VLOOKUP(V19,'G-7 Rivers Data'!$AG$4:$AI$9,2,FALSE)))</f>
        <v/>
      </c>
      <c r="X19" s="524" t="str">
        <f>IF(V19="","",IF(VLOOKUP(V19,'G-7 Rivers Data'!$AG$4:$AI$9,3,FALSE)=0,"Spatial Data Missing ⚠",VLOOKUP(V19,'G-7 Rivers Data'!$AG$4:$AI$9,3,FALSE)))</f>
        <v/>
      </c>
      <c r="Y19" s="537" t="str">
        <f>IFERROR(IF(OR(LEFT(P19,5)="Error ▲",LEFT(O19,5)="Error ▲"),"Check Data ⚠",IF(F19&lt;S19,'G-7 Rivers Data'!$R$3,INDEX('G-7 Rivers Data'!$U$5:$Y$9,MATCH(G19,'G-7 Rivers Data'!$T$5:$T$9,0),MATCH(T19,'G-7 Rivers Data'!$U$4:$Y$4,0)))),"")</f>
        <v/>
      </c>
      <c r="Z19" s="203"/>
      <c r="AA19" s="203"/>
      <c r="AB19" s="534" t="str">
        <f t="shared" si="1"/>
        <v/>
      </c>
      <c r="AC19" s="521" t="str">
        <f t="shared" si="2"/>
        <v/>
      </c>
      <c r="AD19" s="564" t="str">
        <f>IFERROR(IF(AC19="Check Data ⚠","Check Data ⚠",VLOOKUP(AC19,'G-4 Temporal multipliers'!$A$4:$C$37,3,FALSE)),"")</f>
        <v/>
      </c>
      <c r="AE19" s="537" t="str">
        <f>IF(N19="","",VLOOKUP(N19,'G-7 Rivers Data'!$B$4:$G$8,5,FALSE))</f>
        <v/>
      </c>
      <c r="AF19" s="520" t="str">
        <f t="shared" si="3"/>
        <v/>
      </c>
      <c r="AG19" s="520" t="str">
        <f t="shared" si="6"/>
        <v/>
      </c>
      <c r="AH19" s="524" t="str">
        <f t="shared" si="4"/>
        <v/>
      </c>
      <c r="AI19" s="145"/>
      <c r="AJ19" s="499" t="str">
        <f>IF(AI19="","",IF(VLOOKUP(AI19,'G-7 Rivers Data'!$AA$4:$AB$7,2,FALSE)=0,"Spatial Data Missing ⚠",VLOOKUP(AI19,'G-7 Rivers Data'!$AA$4:$AB$7,2,FALSE)))</f>
        <v/>
      </c>
      <c r="AK19" s="155"/>
      <c r="AL19" s="536" t="str">
        <f>IF(AK19="","",IF(VLOOKUP(AK19,'G-7 Rivers Data'!$AD$4:$AE$8,2,FALSE)=0,"Spatial Data Missing ⚠",VLOOKUP(AK19,'G-7 Rivers Data'!$AD$4:$AE$8,2,FALSE)))</f>
        <v/>
      </c>
      <c r="AM19" s="154"/>
      <c r="AN19" s="524" t="str">
        <f>IF(AM19="","",VLOOKUP(AM19,'G-7 Rivers Data'!$AO$4:$AP$7,2,FALSE))</f>
        <v/>
      </c>
      <c r="AO19" s="545" t="str">
        <f t="shared" si="7"/>
        <v/>
      </c>
      <c r="AP19" s="149"/>
      <c r="AQ19" s="150"/>
      <c r="AX19" s="31" t="str">
        <f>IFERROR(INDEX('G-7 Rivers Data'!$AZ$3:$AZ$7,MATCH(N19,'G-7 Rivers Data'!$AY$3:$AY$7,0)),"")</f>
        <v/>
      </c>
    </row>
    <row r="20" spans="2:50" ht="13.8" x14ac:dyDescent="0.25">
      <c r="B20" s="531" t="str">
        <f>'F-1 Off Site River Baseline'!AN18</f>
        <v/>
      </c>
      <c r="C20" s="520" t="str">
        <f>IF(B20="","",VLOOKUP($B20,'F-1 Off Site River Baseline'!$C$9:$R$257,2,FALSE))</f>
        <v/>
      </c>
      <c r="D20" s="520" t="str">
        <f>IF(C20="","",VLOOKUP($B20,'F-1 Off Site River Baseline'!$C$9:$R$257,3,FALSE))</f>
        <v/>
      </c>
      <c r="E20" s="520" t="str">
        <f>IF(D20="","",VLOOKUP($B20,'F-1 Off Site River Baseline'!$C$9:$R$257,4,FALSE))</f>
        <v/>
      </c>
      <c r="F20" s="520" t="str">
        <f>IF(E20="","",VLOOKUP($B20,'F-1 Off Site River Baseline'!$C$9:$R$257,5,FALSE))</f>
        <v/>
      </c>
      <c r="G20" s="520" t="str">
        <f>IF(F20="","",VLOOKUP($B20,'F-1 Off Site River Baseline'!$C$9:$R$257,6,FALSE))</f>
        <v/>
      </c>
      <c r="H20" s="520" t="str">
        <f>IF(G20="","",VLOOKUP($B20,'F-1 Off Site River Baseline'!$C$9:$R$257,7,FALSE))</f>
        <v/>
      </c>
      <c r="I20" s="520" t="str">
        <f>IF(H20="","",VLOOKUP($B20,'F-1 Off Site River Baseline'!$C$9:$R$257,8,FALSE))</f>
        <v/>
      </c>
      <c r="J20" s="520" t="str">
        <f>IF(I20="","",VLOOKUP($B20,'F-1 Off Site River Baseline'!$C$9:$R$257,9,FALSE))</f>
        <v/>
      </c>
      <c r="K20" s="520" t="str">
        <f>IF(J20="","",VLOOKUP($B20,'F-1 Off Site River Baseline'!$C$9:$R$257,10,FALSE))</f>
        <v/>
      </c>
      <c r="L20" s="520" t="str">
        <f>IF(B20="","",VLOOKUP($B20,'C-1 Site River Baseline'!$C$9:$R$257,15,FALSE))</f>
        <v/>
      </c>
      <c r="M20" s="524" t="str">
        <f>IF(L20="","",VLOOKUP($B20,'F-1 Off Site River Baseline'!$C$9:$R$257,16,FALSE))</f>
        <v/>
      </c>
      <c r="N20" s="418" t="str">
        <f t="shared" si="0"/>
        <v/>
      </c>
      <c r="O20" s="498" t="str">
        <f t="shared" si="5"/>
        <v/>
      </c>
      <c r="P20" s="499" t="str">
        <f>IF(C20="","",IF(AND(LEFT(C20,55)&lt;&gt;LEFT(N20,55),O20="High - High"),"Error - Not like for like ▲",IF(AND(F20=S20,H20&gt;U20),"Error - Can not reduce condition ▲",IF(AND(F20=S20,H20=U20,AJ20='F-1 Off Site River Baseline'!N18,'F-1 Off Site River Baseline'!P18=AL20),"Error - No enhancement ▲",IF(AND(C20&lt;&gt;N20,F20&lt;S20),"Lower Distinctiveness Habitat"&amp;" - "&amp;T20,G20&amp;" - "&amp;T20)))))</f>
        <v/>
      </c>
      <c r="Q20" s="505" t="str">
        <f>IF(N20="","",VLOOKUP(B20,'F-1 Off Site River Baseline'!$C$10:$AA$257,19,FALSE))</f>
        <v/>
      </c>
      <c r="R20" s="498" t="str">
        <f>IF(N20="","",VLOOKUP(N20,'G-7 Rivers Data'!$B$2:$G$8,2,FALSE))</f>
        <v/>
      </c>
      <c r="S20" s="499" t="str">
        <f>IFERROR(VLOOKUP(R20,'G-7 Rivers Data'!$C$4:$D$8,2,FALSE),"")</f>
        <v/>
      </c>
      <c r="T20" s="145"/>
      <c r="U20" s="499" t="str">
        <f>IFERROR(INDEX('G-7 Rivers Data'!$H$4:$L$8,MATCH(N20,'G-7 Rivers Data'!$B$4:$B$8,0),MATCH(T20,'G-7 Rivers Data'!$H$3:$L$3,0)),"")</f>
        <v/>
      </c>
      <c r="V20" s="154"/>
      <c r="W20" s="520" t="str">
        <f>IF(V20="","",IF(VLOOKUP(V20,'G-7 Rivers Data'!$AG$4:$AI$9,2,FALSE)=0,"Spatial Data Missing ⚠",VLOOKUP(V20,'G-7 Rivers Data'!$AG$4:$AI$9,2,FALSE)))</f>
        <v/>
      </c>
      <c r="X20" s="524" t="str">
        <f>IF(V20="","",IF(VLOOKUP(V20,'G-7 Rivers Data'!$AG$4:$AI$9,3,FALSE)=0,"Spatial Data Missing ⚠",VLOOKUP(V20,'G-7 Rivers Data'!$AG$4:$AI$9,3,FALSE)))</f>
        <v/>
      </c>
      <c r="Y20" s="537" t="str">
        <f>IFERROR(IF(OR(LEFT(P20,5)="Error ▲",LEFT(O20,5)="Error ▲"),"Check Data ⚠",IF(F20&lt;S20,'G-7 Rivers Data'!$R$3,INDEX('G-7 Rivers Data'!$U$5:$Y$9,MATCH(G20,'G-7 Rivers Data'!$T$5:$T$9,0),MATCH(T20,'G-7 Rivers Data'!$U$4:$Y$4,0)))),"")</f>
        <v/>
      </c>
      <c r="Z20" s="203"/>
      <c r="AA20" s="203"/>
      <c r="AB20" s="534" t="str">
        <f t="shared" si="1"/>
        <v/>
      </c>
      <c r="AC20" s="521" t="str">
        <f t="shared" si="2"/>
        <v/>
      </c>
      <c r="AD20" s="564" t="str">
        <f>IFERROR(IF(AC20="Check Data ⚠","Check Data ⚠",VLOOKUP(AC20,'G-4 Temporal multipliers'!$A$4:$C$37,3,FALSE)),"")</f>
        <v/>
      </c>
      <c r="AE20" s="537" t="str">
        <f>IF(N20="","",VLOOKUP(N20,'G-7 Rivers Data'!$B$4:$G$8,5,FALSE))</f>
        <v/>
      </c>
      <c r="AF20" s="520" t="str">
        <f t="shared" si="3"/>
        <v/>
      </c>
      <c r="AG20" s="520" t="str">
        <f t="shared" si="6"/>
        <v/>
      </c>
      <c r="AH20" s="524" t="str">
        <f t="shared" si="4"/>
        <v/>
      </c>
      <c r="AI20" s="145"/>
      <c r="AJ20" s="499" t="str">
        <f>IF(AI20="","",IF(VLOOKUP(AI20,'G-7 Rivers Data'!$AA$4:$AB$7,2,FALSE)=0,"Spatial Data Missing ⚠",VLOOKUP(AI20,'G-7 Rivers Data'!$AA$4:$AB$7,2,FALSE)))</f>
        <v/>
      </c>
      <c r="AK20" s="155"/>
      <c r="AL20" s="536" t="str">
        <f>IF(AK20="","",IF(VLOOKUP(AK20,'G-7 Rivers Data'!$AD$4:$AE$8,2,FALSE)=0,"Spatial Data Missing ⚠",VLOOKUP(AK20,'G-7 Rivers Data'!$AD$4:$AE$8,2,FALSE)))</f>
        <v/>
      </c>
      <c r="AM20" s="154"/>
      <c r="AN20" s="524" t="str">
        <f>IF(AM20="","",VLOOKUP(AM20,'G-7 Rivers Data'!$AO$4:$AP$7,2,FALSE))</f>
        <v/>
      </c>
      <c r="AO20" s="545" t="str">
        <f t="shared" si="7"/>
        <v/>
      </c>
      <c r="AP20" s="149"/>
      <c r="AQ20" s="150"/>
      <c r="AX20" s="31" t="str">
        <f>IFERROR(INDEX('G-7 Rivers Data'!$AZ$3:$AZ$7,MATCH(N20,'G-7 Rivers Data'!$AY$3:$AY$7,0)),"")</f>
        <v/>
      </c>
    </row>
    <row r="21" spans="2:50" ht="13.8" x14ac:dyDescent="0.25">
      <c r="B21" s="531" t="str">
        <f>'F-1 Off Site River Baseline'!AN19</f>
        <v/>
      </c>
      <c r="C21" s="520" t="str">
        <f>IF(B21="","",VLOOKUP($B21,'F-1 Off Site River Baseline'!$C$9:$R$257,2,FALSE))</f>
        <v/>
      </c>
      <c r="D21" s="520" t="str">
        <f>IF(C21="","",VLOOKUP($B21,'F-1 Off Site River Baseline'!$C$9:$R$257,3,FALSE))</f>
        <v/>
      </c>
      <c r="E21" s="520" t="str">
        <f>IF(D21="","",VLOOKUP($B21,'F-1 Off Site River Baseline'!$C$9:$R$257,4,FALSE))</f>
        <v/>
      </c>
      <c r="F21" s="520" t="str">
        <f>IF(E21="","",VLOOKUP($B21,'F-1 Off Site River Baseline'!$C$9:$R$257,5,FALSE))</f>
        <v/>
      </c>
      <c r="G21" s="520" t="str">
        <f>IF(F21="","",VLOOKUP($B21,'F-1 Off Site River Baseline'!$C$9:$R$257,6,FALSE))</f>
        <v/>
      </c>
      <c r="H21" s="520" t="str">
        <f>IF(G21="","",VLOOKUP($B21,'F-1 Off Site River Baseline'!$C$9:$R$257,7,FALSE))</f>
        <v/>
      </c>
      <c r="I21" s="520" t="str">
        <f>IF(H21="","",VLOOKUP($B21,'F-1 Off Site River Baseline'!$C$9:$R$257,8,FALSE))</f>
        <v/>
      </c>
      <c r="J21" s="520" t="str">
        <f>IF(I21="","",VLOOKUP($B21,'F-1 Off Site River Baseline'!$C$9:$R$257,9,FALSE))</f>
        <v/>
      </c>
      <c r="K21" s="520" t="str">
        <f>IF(J21="","",VLOOKUP($B21,'F-1 Off Site River Baseline'!$C$9:$R$257,10,FALSE))</f>
        <v/>
      </c>
      <c r="L21" s="520" t="str">
        <f>IF(B21="","",VLOOKUP($B21,'C-1 Site River Baseline'!$C$9:$R$257,15,FALSE))</f>
        <v/>
      </c>
      <c r="M21" s="524" t="str">
        <f>IF(L21="","",VLOOKUP($B21,'F-1 Off Site River Baseline'!$C$9:$R$257,16,FALSE))</f>
        <v/>
      </c>
      <c r="N21" s="418" t="str">
        <f t="shared" si="0"/>
        <v/>
      </c>
      <c r="O21" s="498" t="str">
        <f t="shared" si="5"/>
        <v/>
      </c>
      <c r="P21" s="499" t="str">
        <f>IF(C21="","",IF(AND(LEFT(C21,55)&lt;&gt;LEFT(N21,55),O21="High - High"),"Error - Not like for like ▲",IF(AND(F21=S21,H21&gt;U21),"Error - Can not reduce condition ▲",IF(AND(F21=S21,H21=U21,AJ21='F-1 Off Site River Baseline'!N19,'F-1 Off Site River Baseline'!P19=AL21),"Error - No enhancement ▲",IF(AND(C21&lt;&gt;N21,F21&lt;S21),"Lower Distinctiveness Habitat"&amp;" - "&amp;T21,G21&amp;" - "&amp;T21)))))</f>
        <v/>
      </c>
      <c r="Q21" s="505" t="str">
        <f>IF(N21="","",VLOOKUP(B21,'F-1 Off Site River Baseline'!$C$10:$AA$257,19,FALSE))</f>
        <v/>
      </c>
      <c r="R21" s="498" t="str">
        <f>IF(N21="","",VLOOKUP(N21,'G-7 Rivers Data'!$B$2:$G$8,2,FALSE))</f>
        <v/>
      </c>
      <c r="S21" s="499" t="str">
        <f>IFERROR(VLOOKUP(R21,'G-7 Rivers Data'!$C$4:$D$8,2,FALSE),"")</f>
        <v/>
      </c>
      <c r="T21" s="145"/>
      <c r="U21" s="499" t="str">
        <f>IFERROR(INDEX('G-7 Rivers Data'!$H$4:$L$8,MATCH(N21,'G-7 Rivers Data'!$B$4:$B$8,0),MATCH(T21,'G-7 Rivers Data'!$H$3:$L$3,0)),"")</f>
        <v/>
      </c>
      <c r="V21" s="154"/>
      <c r="W21" s="520" t="str">
        <f>IF(V21="","",IF(VLOOKUP(V21,'G-7 Rivers Data'!$AG$4:$AI$9,2,FALSE)=0,"Spatial Data Missing ⚠",VLOOKUP(V21,'G-7 Rivers Data'!$AG$4:$AI$9,2,FALSE)))</f>
        <v/>
      </c>
      <c r="X21" s="524" t="str">
        <f>IF(V21="","",IF(VLOOKUP(V21,'G-7 Rivers Data'!$AG$4:$AI$9,3,FALSE)=0,"Spatial Data Missing ⚠",VLOOKUP(V21,'G-7 Rivers Data'!$AG$4:$AI$9,3,FALSE)))</f>
        <v/>
      </c>
      <c r="Y21" s="537" t="str">
        <f>IFERROR(IF(OR(LEFT(P21,5)="Error ▲",LEFT(O21,5)="Error ▲"),"Check Data ⚠",IF(F21&lt;S21,'G-7 Rivers Data'!$R$3,INDEX('G-7 Rivers Data'!$U$5:$Y$9,MATCH(G21,'G-7 Rivers Data'!$T$5:$T$9,0),MATCH(T21,'G-7 Rivers Data'!$U$4:$Y$4,0)))),"")</f>
        <v/>
      </c>
      <c r="Z21" s="203"/>
      <c r="AA21" s="203"/>
      <c r="AB21" s="534" t="str">
        <f t="shared" si="1"/>
        <v/>
      </c>
      <c r="AC21" s="521" t="str">
        <f t="shared" si="2"/>
        <v/>
      </c>
      <c r="AD21" s="564" t="str">
        <f>IFERROR(IF(AC21="Check Data ⚠","Check Data ⚠",VLOOKUP(AC21,'G-4 Temporal multipliers'!$A$4:$C$37,3,FALSE)),"")</f>
        <v/>
      </c>
      <c r="AE21" s="537" t="str">
        <f>IF(N21="","",VLOOKUP(N21,'G-7 Rivers Data'!$B$4:$G$8,5,FALSE))</f>
        <v/>
      </c>
      <c r="AF21" s="520" t="str">
        <f t="shared" si="3"/>
        <v/>
      </c>
      <c r="AG21" s="520" t="str">
        <f t="shared" si="6"/>
        <v/>
      </c>
      <c r="AH21" s="524" t="str">
        <f t="shared" si="4"/>
        <v/>
      </c>
      <c r="AI21" s="145"/>
      <c r="AJ21" s="499" t="str">
        <f>IF(AI21="","",IF(VLOOKUP(AI21,'G-7 Rivers Data'!$AA$4:$AB$7,2,FALSE)=0,"Spatial Data Missing ⚠",VLOOKUP(AI21,'G-7 Rivers Data'!$AA$4:$AB$7,2,FALSE)))</f>
        <v/>
      </c>
      <c r="AK21" s="155"/>
      <c r="AL21" s="536" t="str">
        <f>IF(AK21="","",IF(VLOOKUP(AK21,'G-7 Rivers Data'!$AD$4:$AE$8,2,FALSE)=0,"Spatial Data Missing ⚠",VLOOKUP(AK21,'G-7 Rivers Data'!$AD$4:$AE$8,2,FALSE)))</f>
        <v/>
      </c>
      <c r="AM21" s="154"/>
      <c r="AN21" s="524" t="str">
        <f>IF(AM21="","",VLOOKUP(AM21,'G-7 Rivers Data'!$AO$4:$AP$7,2,FALSE))</f>
        <v/>
      </c>
      <c r="AO21" s="545" t="str">
        <f t="shared" si="7"/>
        <v/>
      </c>
      <c r="AP21" s="149"/>
      <c r="AQ21" s="150"/>
      <c r="AX21" s="31" t="str">
        <f>IFERROR(INDEX('G-7 Rivers Data'!$AZ$3:$AZ$7,MATCH(N21,'G-7 Rivers Data'!$AY$3:$AY$7,0)),"")</f>
        <v/>
      </c>
    </row>
    <row r="22" spans="2:50" ht="13.8" x14ac:dyDescent="0.25">
      <c r="B22" s="531" t="str">
        <f>'F-1 Off Site River Baseline'!AN20</f>
        <v/>
      </c>
      <c r="C22" s="520" t="str">
        <f>IF(B22="","",VLOOKUP($B22,'F-1 Off Site River Baseline'!$C$9:$R$257,2,FALSE))</f>
        <v/>
      </c>
      <c r="D22" s="520" t="str">
        <f>IF(C22="","",VLOOKUP($B22,'F-1 Off Site River Baseline'!$C$9:$R$257,3,FALSE))</f>
        <v/>
      </c>
      <c r="E22" s="520" t="str">
        <f>IF(D22="","",VLOOKUP($B22,'F-1 Off Site River Baseline'!$C$9:$R$257,4,FALSE))</f>
        <v/>
      </c>
      <c r="F22" s="520" t="str">
        <f>IF(E22="","",VLOOKUP($B22,'F-1 Off Site River Baseline'!$C$9:$R$257,5,FALSE))</f>
        <v/>
      </c>
      <c r="G22" s="520" t="str">
        <f>IF(F22="","",VLOOKUP($B22,'F-1 Off Site River Baseline'!$C$9:$R$257,6,FALSE))</f>
        <v/>
      </c>
      <c r="H22" s="520" t="str">
        <f>IF(G22="","",VLOOKUP($B22,'F-1 Off Site River Baseline'!$C$9:$R$257,7,FALSE))</f>
        <v/>
      </c>
      <c r="I22" s="520" t="str">
        <f>IF(H22="","",VLOOKUP($B22,'F-1 Off Site River Baseline'!$C$9:$R$257,8,FALSE))</f>
        <v/>
      </c>
      <c r="J22" s="520" t="str">
        <f>IF(I22="","",VLOOKUP($B22,'F-1 Off Site River Baseline'!$C$9:$R$257,9,FALSE))</f>
        <v/>
      </c>
      <c r="K22" s="520" t="str">
        <f>IF(J22="","",VLOOKUP($B22,'F-1 Off Site River Baseline'!$C$9:$R$257,10,FALSE))</f>
        <v/>
      </c>
      <c r="L22" s="520" t="str">
        <f>IF(B22="","",VLOOKUP($B22,'C-1 Site River Baseline'!$C$9:$R$257,15,FALSE))</f>
        <v/>
      </c>
      <c r="M22" s="524" t="str">
        <f>IF(L22="","",VLOOKUP($B22,'F-1 Off Site River Baseline'!$C$9:$R$257,16,FALSE))</f>
        <v/>
      </c>
      <c r="N22" s="418" t="str">
        <f t="shared" si="0"/>
        <v/>
      </c>
      <c r="O22" s="498" t="str">
        <f t="shared" si="5"/>
        <v/>
      </c>
      <c r="P22" s="499" t="str">
        <f>IF(C22="","",IF(AND(LEFT(C22,55)&lt;&gt;LEFT(N22,55),O22="High - High"),"Error - Not like for like ▲",IF(AND(F22=S22,H22&gt;U22),"Error - Can not reduce condition ▲",IF(AND(F22=S22,H22=U22,AJ22='F-1 Off Site River Baseline'!N20,'F-1 Off Site River Baseline'!P20=AL22),"Error - No enhancement ▲",IF(AND(C22&lt;&gt;N22,F22&lt;S22),"Lower Distinctiveness Habitat"&amp;" - "&amp;T22,G22&amp;" - "&amp;T22)))))</f>
        <v/>
      </c>
      <c r="Q22" s="505" t="str">
        <f>IF(N22="","",VLOOKUP(B22,'F-1 Off Site River Baseline'!$C$10:$AA$257,19,FALSE))</f>
        <v/>
      </c>
      <c r="R22" s="498" t="str">
        <f>IF(N22="","",VLOOKUP(N22,'G-7 Rivers Data'!$B$2:$G$8,2,FALSE))</f>
        <v/>
      </c>
      <c r="S22" s="499" t="str">
        <f>IFERROR(VLOOKUP(R22,'G-7 Rivers Data'!$C$4:$D$8,2,FALSE),"")</f>
        <v/>
      </c>
      <c r="T22" s="145"/>
      <c r="U22" s="499" t="str">
        <f>IFERROR(INDEX('G-7 Rivers Data'!$H$4:$L$8,MATCH(N22,'G-7 Rivers Data'!$B$4:$B$8,0),MATCH(T22,'G-7 Rivers Data'!$H$3:$L$3,0)),"")</f>
        <v/>
      </c>
      <c r="V22" s="154"/>
      <c r="W22" s="520" t="str">
        <f>IF(V22="","",IF(VLOOKUP(V22,'G-7 Rivers Data'!$AG$4:$AI$9,2,FALSE)=0,"Spatial Data Missing ⚠",VLOOKUP(V22,'G-7 Rivers Data'!$AG$4:$AI$9,2,FALSE)))</f>
        <v/>
      </c>
      <c r="X22" s="524" t="str">
        <f>IF(V22="","",IF(VLOOKUP(V22,'G-7 Rivers Data'!$AG$4:$AI$9,3,FALSE)=0,"Spatial Data Missing ⚠",VLOOKUP(V22,'G-7 Rivers Data'!$AG$4:$AI$9,3,FALSE)))</f>
        <v/>
      </c>
      <c r="Y22" s="537" t="str">
        <f>IFERROR(IF(OR(LEFT(P22,5)="Error ▲",LEFT(O22,5)="Error ▲"),"Check Data ⚠",IF(F22&lt;S22,'G-7 Rivers Data'!$R$3,INDEX('G-7 Rivers Data'!$U$5:$Y$9,MATCH(G22,'G-7 Rivers Data'!$T$5:$T$9,0),MATCH(T22,'G-7 Rivers Data'!$U$4:$Y$4,0)))),"")</f>
        <v/>
      </c>
      <c r="Z22" s="203"/>
      <c r="AA22" s="203"/>
      <c r="AB22" s="534" t="str">
        <f t="shared" si="1"/>
        <v/>
      </c>
      <c r="AC22" s="521" t="str">
        <f t="shared" si="2"/>
        <v/>
      </c>
      <c r="AD22" s="564" t="str">
        <f>IFERROR(IF(AC22="Check Data ⚠","Check Data ⚠",VLOOKUP(AC22,'G-4 Temporal multipliers'!$A$4:$C$37,3,FALSE)),"")</f>
        <v/>
      </c>
      <c r="AE22" s="537" t="str">
        <f>IF(N22="","",VLOOKUP(N22,'G-7 Rivers Data'!$B$4:$G$8,5,FALSE))</f>
        <v/>
      </c>
      <c r="AF22" s="520" t="str">
        <f t="shared" si="3"/>
        <v/>
      </c>
      <c r="AG22" s="520" t="str">
        <f t="shared" si="6"/>
        <v/>
      </c>
      <c r="AH22" s="524" t="str">
        <f t="shared" si="4"/>
        <v/>
      </c>
      <c r="AI22" s="145"/>
      <c r="AJ22" s="499" t="str">
        <f>IF(AI22="","",IF(VLOOKUP(AI22,'G-7 Rivers Data'!$AA$4:$AB$7,2,FALSE)=0,"Spatial Data Missing ⚠",VLOOKUP(AI22,'G-7 Rivers Data'!$AA$4:$AB$7,2,FALSE)))</f>
        <v/>
      </c>
      <c r="AK22" s="155"/>
      <c r="AL22" s="536" t="str">
        <f>IF(AK22="","",IF(VLOOKUP(AK22,'G-7 Rivers Data'!$AD$4:$AE$8,2,FALSE)=0,"Spatial Data Missing ⚠",VLOOKUP(AK22,'G-7 Rivers Data'!$AD$4:$AE$8,2,FALSE)))</f>
        <v/>
      </c>
      <c r="AM22" s="154"/>
      <c r="AN22" s="524" t="str">
        <f>IF(AM22="","",VLOOKUP(AM22,'G-7 Rivers Data'!$AO$4:$AP$7,2,FALSE))</f>
        <v/>
      </c>
      <c r="AO22" s="545" t="str">
        <f t="shared" si="7"/>
        <v/>
      </c>
      <c r="AP22" s="149"/>
      <c r="AQ22" s="150"/>
      <c r="AX22" s="31" t="str">
        <f>IFERROR(INDEX('G-7 Rivers Data'!$AZ$3:$AZ$7,MATCH(N22,'G-7 Rivers Data'!$AY$3:$AY$7,0)),"")</f>
        <v/>
      </c>
    </row>
    <row r="23" spans="2:50" ht="13.8" x14ac:dyDescent="0.25">
      <c r="B23" s="531" t="str">
        <f>'F-1 Off Site River Baseline'!AN21</f>
        <v/>
      </c>
      <c r="C23" s="520" t="str">
        <f>IF(B23="","",VLOOKUP($B23,'F-1 Off Site River Baseline'!$C$9:$R$257,2,FALSE))</f>
        <v/>
      </c>
      <c r="D23" s="520" t="str">
        <f>IF(C23="","",VLOOKUP($B23,'F-1 Off Site River Baseline'!$C$9:$R$257,3,FALSE))</f>
        <v/>
      </c>
      <c r="E23" s="520" t="str">
        <f>IF(D23="","",VLOOKUP($B23,'F-1 Off Site River Baseline'!$C$9:$R$257,4,FALSE))</f>
        <v/>
      </c>
      <c r="F23" s="520" t="str">
        <f>IF(E23="","",VLOOKUP($B23,'F-1 Off Site River Baseline'!$C$9:$R$257,5,FALSE))</f>
        <v/>
      </c>
      <c r="G23" s="520" t="str">
        <f>IF(F23="","",VLOOKUP($B23,'F-1 Off Site River Baseline'!$C$9:$R$257,6,FALSE))</f>
        <v/>
      </c>
      <c r="H23" s="520" t="str">
        <f>IF(G23="","",VLOOKUP($B23,'F-1 Off Site River Baseline'!$C$9:$R$257,7,FALSE))</f>
        <v/>
      </c>
      <c r="I23" s="520" t="str">
        <f>IF(H23="","",VLOOKUP($B23,'F-1 Off Site River Baseline'!$C$9:$R$257,8,FALSE))</f>
        <v/>
      </c>
      <c r="J23" s="520" t="str">
        <f>IF(I23="","",VLOOKUP($B23,'F-1 Off Site River Baseline'!$C$9:$R$257,9,FALSE))</f>
        <v/>
      </c>
      <c r="K23" s="520" t="str">
        <f>IF(J23="","",VLOOKUP($B23,'F-1 Off Site River Baseline'!$C$9:$R$257,10,FALSE))</f>
        <v/>
      </c>
      <c r="L23" s="520" t="str">
        <f>IF(B23="","",VLOOKUP($B23,'C-1 Site River Baseline'!$C$9:$R$257,15,FALSE))</f>
        <v/>
      </c>
      <c r="M23" s="524" t="str">
        <f>IF(L23="","",VLOOKUP($B23,'F-1 Off Site River Baseline'!$C$9:$R$257,16,FALSE))</f>
        <v/>
      </c>
      <c r="N23" s="418" t="str">
        <f t="shared" si="0"/>
        <v/>
      </c>
      <c r="O23" s="498" t="str">
        <f t="shared" si="5"/>
        <v/>
      </c>
      <c r="P23" s="499" t="str">
        <f>IF(C23="","",IF(AND(LEFT(C23,55)&lt;&gt;LEFT(N23,55),O23="High - High"),"Error - Not like for like ▲",IF(AND(F23=S23,H23&gt;U23),"Error - Can not reduce condition ▲",IF(AND(F23=S23,H23=U23,AJ23='F-1 Off Site River Baseline'!N21,'F-1 Off Site River Baseline'!P21=AL23),"Error - No enhancement ▲",IF(AND(C23&lt;&gt;N23,F23&lt;S23),"Lower Distinctiveness Habitat"&amp;" - "&amp;T23,G23&amp;" - "&amp;T23)))))</f>
        <v/>
      </c>
      <c r="Q23" s="505" t="str">
        <f>IF(N23="","",VLOOKUP(B23,'F-1 Off Site River Baseline'!$C$10:$AA$257,19,FALSE))</f>
        <v/>
      </c>
      <c r="R23" s="498" t="str">
        <f>IF(N23="","",VLOOKUP(N23,'G-7 Rivers Data'!$B$2:$G$8,2,FALSE))</f>
        <v/>
      </c>
      <c r="S23" s="499" t="str">
        <f>IFERROR(VLOOKUP(R23,'G-7 Rivers Data'!$C$4:$D$8,2,FALSE),"")</f>
        <v/>
      </c>
      <c r="T23" s="145"/>
      <c r="U23" s="499" t="str">
        <f>IFERROR(INDEX('G-7 Rivers Data'!$H$4:$L$8,MATCH(N23,'G-7 Rivers Data'!$B$4:$B$8,0),MATCH(T23,'G-7 Rivers Data'!$H$3:$L$3,0)),"")</f>
        <v/>
      </c>
      <c r="V23" s="154"/>
      <c r="W23" s="520" t="str">
        <f>IF(V23="","",IF(VLOOKUP(V23,'G-7 Rivers Data'!$AG$4:$AI$9,2,FALSE)=0,"Spatial Data Missing ⚠",VLOOKUP(V23,'G-7 Rivers Data'!$AG$4:$AI$9,2,FALSE)))</f>
        <v/>
      </c>
      <c r="X23" s="524" t="str">
        <f>IF(V23="","",IF(VLOOKUP(V23,'G-7 Rivers Data'!$AG$4:$AI$9,3,FALSE)=0,"Spatial Data Missing ⚠",VLOOKUP(V23,'G-7 Rivers Data'!$AG$4:$AI$9,3,FALSE)))</f>
        <v/>
      </c>
      <c r="Y23" s="537" t="str">
        <f>IFERROR(IF(OR(LEFT(P23,5)="Error ▲",LEFT(O23,5)="Error ▲"),"Check Data ⚠",IF(F23&lt;S23,'G-7 Rivers Data'!$R$3,INDEX('G-7 Rivers Data'!$U$5:$Y$9,MATCH(G23,'G-7 Rivers Data'!$T$5:$T$9,0),MATCH(T23,'G-7 Rivers Data'!$U$4:$Y$4,0)))),"")</f>
        <v/>
      </c>
      <c r="Z23" s="203"/>
      <c r="AA23" s="203"/>
      <c r="AB23" s="534" t="str">
        <f t="shared" si="1"/>
        <v/>
      </c>
      <c r="AC23" s="521" t="str">
        <f t="shared" si="2"/>
        <v/>
      </c>
      <c r="AD23" s="564" t="str">
        <f>IFERROR(IF(AC23="Check Data ⚠","Check Data ⚠",VLOOKUP(AC23,'G-4 Temporal multipliers'!$A$4:$C$37,3,FALSE)),"")</f>
        <v/>
      </c>
      <c r="AE23" s="537" t="str">
        <f>IF(N23="","",VLOOKUP(N23,'G-7 Rivers Data'!$B$4:$G$8,5,FALSE))</f>
        <v/>
      </c>
      <c r="AF23" s="520" t="str">
        <f t="shared" si="3"/>
        <v/>
      </c>
      <c r="AG23" s="520" t="str">
        <f t="shared" si="6"/>
        <v/>
      </c>
      <c r="AH23" s="524" t="str">
        <f t="shared" si="4"/>
        <v/>
      </c>
      <c r="AI23" s="145"/>
      <c r="AJ23" s="499" t="str">
        <f>IF(AI23="","",IF(VLOOKUP(AI23,'G-7 Rivers Data'!$AA$4:$AB$7,2,FALSE)=0,"Spatial Data Missing ⚠",VLOOKUP(AI23,'G-7 Rivers Data'!$AA$4:$AB$7,2,FALSE)))</f>
        <v/>
      </c>
      <c r="AK23" s="155"/>
      <c r="AL23" s="536" t="str">
        <f>IF(AK23="","",IF(VLOOKUP(AK23,'G-7 Rivers Data'!$AD$4:$AE$8,2,FALSE)=0,"Spatial Data Missing ⚠",VLOOKUP(AK23,'G-7 Rivers Data'!$AD$4:$AE$8,2,FALSE)))</f>
        <v/>
      </c>
      <c r="AM23" s="154"/>
      <c r="AN23" s="524" t="str">
        <f>IF(AM23="","",VLOOKUP(AM23,'G-7 Rivers Data'!$AO$4:$AP$7,2,FALSE))</f>
        <v/>
      </c>
      <c r="AO23" s="545" t="str">
        <f t="shared" si="7"/>
        <v/>
      </c>
      <c r="AP23" s="149"/>
      <c r="AQ23" s="150"/>
      <c r="AX23" s="31" t="str">
        <f>IFERROR(INDEX('G-7 Rivers Data'!$AZ$3:$AZ$7,MATCH(N23,'G-7 Rivers Data'!$AY$3:$AY$7,0)),"")</f>
        <v/>
      </c>
    </row>
    <row r="24" spans="2:50" ht="13.8" x14ac:dyDescent="0.25">
      <c r="B24" s="531" t="str">
        <f>'F-1 Off Site River Baseline'!AN22</f>
        <v/>
      </c>
      <c r="C24" s="520" t="str">
        <f>IF(B24="","",VLOOKUP($B24,'F-1 Off Site River Baseline'!$C$9:$R$257,2,FALSE))</f>
        <v/>
      </c>
      <c r="D24" s="520" t="str">
        <f>IF(C24="","",VLOOKUP($B24,'F-1 Off Site River Baseline'!$C$9:$R$257,3,FALSE))</f>
        <v/>
      </c>
      <c r="E24" s="520" t="str">
        <f>IF(D24="","",VLOOKUP($B24,'F-1 Off Site River Baseline'!$C$9:$R$257,4,FALSE))</f>
        <v/>
      </c>
      <c r="F24" s="520" t="str">
        <f>IF(E24="","",VLOOKUP($B24,'F-1 Off Site River Baseline'!$C$9:$R$257,5,FALSE))</f>
        <v/>
      </c>
      <c r="G24" s="520" t="str">
        <f>IF(F24="","",VLOOKUP($B24,'F-1 Off Site River Baseline'!$C$9:$R$257,6,FALSE))</f>
        <v/>
      </c>
      <c r="H24" s="520" t="str">
        <f>IF(G24="","",VLOOKUP($B24,'F-1 Off Site River Baseline'!$C$9:$R$257,7,FALSE))</f>
        <v/>
      </c>
      <c r="I24" s="520" t="str">
        <f>IF(H24="","",VLOOKUP($B24,'F-1 Off Site River Baseline'!$C$9:$R$257,8,FALSE))</f>
        <v/>
      </c>
      <c r="J24" s="520" t="str">
        <f>IF(I24="","",VLOOKUP($B24,'F-1 Off Site River Baseline'!$C$9:$R$257,9,FALSE))</f>
        <v/>
      </c>
      <c r="K24" s="520" t="str">
        <f>IF(J24="","",VLOOKUP($B24,'F-1 Off Site River Baseline'!$C$9:$R$257,10,FALSE))</f>
        <v/>
      </c>
      <c r="L24" s="520" t="str">
        <f>IF(B24="","",VLOOKUP($B24,'C-1 Site River Baseline'!$C$9:$R$257,15,FALSE))</f>
        <v/>
      </c>
      <c r="M24" s="524" t="str">
        <f>IF(L24="","",VLOOKUP($B24,'F-1 Off Site River Baseline'!$C$9:$R$257,16,FALSE))</f>
        <v/>
      </c>
      <c r="N24" s="418" t="str">
        <f t="shared" si="0"/>
        <v/>
      </c>
      <c r="O24" s="498" t="str">
        <f t="shared" si="5"/>
        <v/>
      </c>
      <c r="P24" s="499" t="str">
        <f>IF(C24="","",IF(AND(LEFT(C24,55)&lt;&gt;LEFT(N24,55),O24="High - High"),"Error - Not like for like ▲",IF(AND(F24=S24,H24&gt;U24),"Error - Can not reduce condition ▲",IF(AND(F24=S24,H24=U24,AJ24='F-1 Off Site River Baseline'!N22,'F-1 Off Site River Baseline'!P22=AL24),"Error - No enhancement ▲",IF(AND(C24&lt;&gt;N24,F24&lt;S24),"Lower Distinctiveness Habitat"&amp;" - "&amp;T24,G24&amp;" - "&amp;T24)))))</f>
        <v/>
      </c>
      <c r="Q24" s="505" t="str">
        <f>IF(N24="","",VLOOKUP(B24,'F-1 Off Site River Baseline'!$C$10:$AA$257,19,FALSE))</f>
        <v/>
      </c>
      <c r="R24" s="498" t="str">
        <f>IF(N24="","",VLOOKUP(N24,'G-7 Rivers Data'!$B$2:$G$8,2,FALSE))</f>
        <v/>
      </c>
      <c r="S24" s="499" t="str">
        <f>IFERROR(VLOOKUP(R24,'G-7 Rivers Data'!$C$4:$D$8,2,FALSE),"")</f>
        <v/>
      </c>
      <c r="T24" s="145"/>
      <c r="U24" s="499" t="str">
        <f>IFERROR(INDEX('G-7 Rivers Data'!$H$4:$L$8,MATCH(N24,'G-7 Rivers Data'!$B$4:$B$8,0),MATCH(T24,'G-7 Rivers Data'!$H$3:$L$3,0)),"")</f>
        <v/>
      </c>
      <c r="V24" s="154"/>
      <c r="W24" s="520" t="str">
        <f>IF(V24="","",IF(VLOOKUP(V24,'G-7 Rivers Data'!$AG$4:$AI$9,2,FALSE)=0,"Spatial Data Missing ⚠",VLOOKUP(V24,'G-7 Rivers Data'!$AG$4:$AI$9,2,FALSE)))</f>
        <v/>
      </c>
      <c r="X24" s="524" t="str">
        <f>IF(V24="","",IF(VLOOKUP(V24,'G-7 Rivers Data'!$AG$4:$AI$9,3,FALSE)=0,"Spatial Data Missing ⚠",VLOOKUP(V24,'G-7 Rivers Data'!$AG$4:$AI$9,3,FALSE)))</f>
        <v/>
      </c>
      <c r="Y24" s="537" t="str">
        <f>IFERROR(IF(OR(LEFT(P24,5)="Error ▲",LEFT(O24,5)="Error ▲"),"Check Data ⚠",IF(F24&lt;S24,'G-7 Rivers Data'!$R$3,INDEX('G-7 Rivers Data'!$U$5:$Y$9,MATCH(G24,'G-7 Rivers Data'!$T$5:$T$9,0),MATCH(T24,'G-7 Rivers Data'!$U$4:$Y$4,0)))),"")</f>
        <v/>
      </c>
      <c r="Z24" s="203"/>
      <c r="AA24" s="203"/>
      <c r="AB24" s="534" t="str">
        <f t="shared" si="1"/>
        <v/>
      </c>
      <c r="AC24" s="521" t="str">
        <f t="shared" si="2"/>
        <v/>
      </c>
      <c r="AD24" s="564" t="str">
        <f>IFERROR(IF(AC24="Check Data ⚠","Check Data ⚠",VLOOKUP(AC24,'G-4 Temporal multipliers'!$A$4:$C$37,3,FALSE)),"")</f>
        <v/>
      </c>
      <c r="AE24" s="537" t="str">
        <f>IF(N24="","",VLOOKUP(N24,'G-7 Rivers Data'!$B$4:$G$8,5,FALSE))</f>
        <v/>
      </c>
      <c r="AF24" s="520" t="str">
        <f t="shared" si="3"/>
        <v/>
      </c>
      <c r="AG24" s="520" t="str">
        <f t="shared" si="6"/>
        <v/>
      </c>
      <c r="AH24" s="524" t="str">
        <f t="shared" si="4"/>
        <v/>
      </c>
      <c r="AI24" s="145"/>
      <c r="AJ24" s="499" t="str">
        <f>IF(AI24="","",IF(VLOOKUP(AI24,'G-7 Rivers Data'!$AA$4:$AB$7,2,FALSE)=0,"Spatial Data Missing ⚠",VLOOKUP(AI24,'G-7 Rivers Data'!$AA$4:$AB$7,2,FALSE)))</f>
        <v/>
      </c>
      <c r="AK24" s="155"/>
      <c r="AL24" s="536" t="str">
        <f>IF(AK24="","",IF(VLOOKUP(AK24,'G-7 Rivers Data'!$AD$4:$AE$8,2,FALSE)=0,"Spatial Data Missing ⚠",VLOOKUP(AK24,'G-7 Rivers Data'!$AD$4:$AE$8,2,FALSE)))</f>
        <v/>
      </c>
      <c r="AM24" s="154"/>
      <c r="AN24" s="524" t="str">
        <f>IF(AM24="","",VLOOKUP(AM24,'G-7 Rivers Data'!$AO$4:$AP$7,2,FALSE))</f>
        <v/>
      </c>
      <c r="AO24" s="545" t="str">
        <f t="shared" si="7"/>
        <v/>
      </c>
      <c r="AP24" s="149"/>
      <c r="AQ24" s="150"/>
      <c r="AX24" s="31" t="str">
        <f>IFERROR(INDEX('G-7 Rivers Data'!$AZ$3:$AZ$7,MATCH(N24,'G-7 Rivers Data'!$AY$3:$AY$7,0)),"")</f>
        <v/>
      </c>
    </row>
    <row r="25" spans="2:50" ht="13.8" x14ac:dyDescent="0.25">
      <c r="B25" s="531" t="str">
        <f>'F-1 Off Site River Baseline'!AN23</f>
        <v/>
      </c>
      <c r="C25" s="520" t="str">
        <f>IF(B25="","",VLOOKUP($B25,'F-1 Off Site River Baseline'!$C$9:$R$257,2,FALSE))</f>
        <v/>
      </c>
      <c r="D25" s="520" t="str">
        <f>IF(C25="","",VLOOKUP($B25,'F-1 Off Site River Baseline'!$C$9:$R$257,3,FALSE))</f>
        <v/>
      </c>
      <c r="E25" s="520" t="str">
        <f>IF(D25="","",VLOOKUP($B25,'F-1 Off Site River Baseline'!$C$9:$R$257,4,FALSE))</f>
        <v/>
      </c>
      <c r="F25" s="520" t="str">
        <f>IF(E25="","",VLOOKUP($B25,'F-1 Off Site River Baseline'!$C$9:$R$257,5,FALSE))</f>
        <v/>
      </c>
      <c r="G25" s="520" t="str">
        <f>IF(F25="","",VLOOKUP($B25,'F-1 Off Site River Baseline'!$C$9:$R$257,6,FALSE))</f>
        <v/>
      </c>
      <c r="H25" s="520" t="str">
        <f>IF(G25="","",VLOOKUP($B25,'F-1 Off Site River Baseline'!$C$9:$R$257,7,FALSE))</f>
        <v/>
      </c>
      <c r="I25" s="520" t="str">
        <f>IF(H25="","",VLOOKUP($B25,'F-1 Off Site River Baseline'!$C$9:$R$257,8,FALSE))</f>
        <v/>
      </c>
      <c r="J25" s="520" t="str">
        <f>IF(I25="","",VLOOKUP($B25,'F-1 Off Site River Baseline'!$C$9:$R$257,9,FALSE))</f>
        <v/>
      </c>
      <c r="K25" s="520" t="str">
        <f>IF(J25="","",VLOOKUP($B25,'F-1 Off Site River Baseline'!$C$9:$R$257,10,FALSE))</f>
        <v/>
      </c>
      <c r="L25" s="520" t="str">
        <f>IF(B25="","",VLOOKUP($B25,'C-1 Site River Baseline'!$C$9:$R$257,15,FALSE))</f>
        <v/>
      </c>
      <c r="M25" s="524" t="str">
        <f>IF(L25="","",VLOOKUP($B25,'F-1 Off Site River Baseline'!$C$9:$R$257,16,FALSE))</f>
        <v/>
      </c>
      <c r="N25" s="418" t="str">
        <f t="shared" si="0"/>
        <v/>
      </c>
      <c r="O25" s="498" t="str">
        <f t="shared" si="5"/>
        <v/>
      </c>
      <c r="P25" s="499" t="str">
        <f>IF(C25="","",IF(AND(LEFT(C25,55)&lt;&gt;LEFT(N25,55),O25="High - High"),"Error - Not like for like ▲",IF(AND(F25=S25,H25&gt;U25),"Error - Can not reduce condition ▲",IF(AND(F25=S25,H25=U25,AJ25='F-1 Off Site River Baseline'!N23,'F-1 Off Site River Baseline'!P23=AL25),"Error - No enhancement ▲",IF(AND(C25&lt;&gt;N25,F25&lt;S25),"Lower Distinctiveness Habitat"&amp;" - "&amp;T25,G25&amp;" - "&amp;T25)))))</f>
        <v/>
      </c>
      <c r="Q25" s="505" t="str">
        <f>IF(N25="","",VLOOKUP(B25,'F-1 Off Site River Baseline'!$C$10:$AA$257,19,FALSE))</f>
        <v/>
      </c>
      <c r="R25" s="498" t="str">
        <f>IF(N25="","",VLOOKUP(N25,'G-7 Rivers Data'!$B$2:$G$8,2,FALSE))</f>
        <v/>
      </c>
      <c r="S25" s="499" t="str">
        <f>IFERROR(VLOOKUP(R25,'G-7 Rivers Data'!$C$4:$D$8,2,FALSE),"")</f>
        <v/>
      </c>
      <c r="T25" s="145"/>
      <c r="U25" s="499" t="str">
        <f>IFERROR(INDEX('G-7 Rivers Data'!$H$4:$L$8,MATCH(N25,'G-7 Rivers Data'!$B$4:$B$8,0),MATCH(T25,'G-7 Rivers Data'!$H$3:$L$3,0)),"")</f>
        <v/>
      </c>
      <c r="V25" s="154"/>
      <c r="W25" s="520" t="str">
        <f>IF(V25="","",IF(VLOOKUP(V25,'G-7 Rivers Data'!$AG$4:$AI$9,2,FALSE)=0,"Spatial Data Missing ⚠",VLOOKUP(V25,'G-7 Rivers Data'!$AG$4:$AI$9,2,FALSE)))</f>
        <v/>
      </c>
      <c r="X25" s="524" t="str">
        <f>IF(V25="","",IF(VLOOKUP(V25,'G-7 Rivers Data'!$AG$4:$AI$9,3,FALSE)=0,"Spatial Data Missing ⚠",VLOOKUP(V25,'G-7 Rivers Data'!$AG$4:$AI$9,3,FALSE)))</f>
        <v/>
      </c>
      <c r="Y25" s="537" t="str">
        <f>IFERROR(IF(OR(LEFT(P25,5)="Error ▲",LEFT(O25,5)="Error ▲"),"Check Data ⚠",IF(F25&lt;S25,'G-7 Rivers Data'!$R$3,INDEX('G-7 Rivers Data'!$U$5:$Y$9,MATCH(G25,'G-7 Rivers Data'!$T$5:$T$9,0),MATCH(T25,'G-7 Rivers Data'!$U$4:$Y$4,0)))),"")</f>
        <v/>
      </c>
      <c r="Z25" s="203"/>
      <c r="AA25" s="203"/>
      <c r="AB25" s="534" t="str">
        <f t="shared" si="1"/>
        <v/>
      </c>
      <c r="AC25" s="521" t="str">
        <f t="shared" si="2"/>
        <v/>
      </c>
      <c r="AD25" s="564" t="str">
        <f>IFERROR(IF(AC25="Check Data ⚠","Check Data ⚠",VLOOKUP(AC25,'G-4 Temporal multipliers'!$A$4:$C$37,3,FALSE)),"")</f>
        <v/>
      </c>
      <c r="AE25" s="537" t="str">
        <f>IF(N25="","",VLOOKUP(N25,'G-7 Rivers Data'!$B$4:$G$8,5,FALSE))</f>
        <v/>
      </c>
      <c r="AF25" s="520" t="str">
        <f t="shared" si="3"/>
        <v/>
      </c>
      <c r="AG25" s="520" t="str">
        <f t="shared" si="6"/>
        <v/>
      </c>
      <c r="AH25" s="524" t="str">
        <f t="shared" si="4"/>
        <v/>
      </c>
      <c r="AI25" s="145"/>
      <c r="AJ25" s="499" t="str">
        <f>IF(AI25="","",IF(VLOOKUP(AI25,'G-7 Rivers Data'!$AA$4:$AB$7,2,FALSE)=0,"Spatial Data Missing ⚠",VLOOKUP(AI25,'G-7 Rivers Data'!$AA$4:$AB$7,2,FALSE)))</f>
        <v/>
      </c>
      <c r="AK25" s="155"/>
      <c r="AL25" s="536" t="str">
        <f>IF(AK25="","",IF(VLOOKUP(AK25,'G-7 Rivers Data'!$AD$4:$AE$8,2,FALSE)=0,"Spatial Data Missing ⚠",VLOOKUP(AK25,'G-7 Rivers Data'!$AD$4:$AE$8,2,FALSE)))</f>
        <v/>
      </c>
      <c r="AM25" s="154"/>
      <c r="AN25" s="524" t="str">
        <f>IF(AM25="","",VLOOKUP(AM25,'G-7 Rivers Data'!$AO$4:$AP$7,2,FALSE))</f>
        <v/>
      </c>
      <c r="AO25" s="545" t="str">
        <f t="shared" si="7"/>
        <v/>
      </c>
      <c r="AP25" s="149"/>
      <c r="AQ25" s="150"/>
      <c r="AX25" s="31" t="str">
        <f>IFERROR(INDEX('G-7 Rivers Data'!$AZ$3:$AZ$7,MATCH(N25,'G-7 Rivers Data'!$AY$3:$AY$7,0)),"")</f>
        <v/>
      </c>
    </row>
    <row r="26" spans="2:50" ht="13.8" x14ac:dyDescent="0.25">
      <c r="B26" s="531" t="str">
        <f>'F-1 Off Site River Baseline'!AN24</f>
        <v/>
      </c>
      <c r="C26" s="520" t="str">
        <f>IF(B26="","",VLOOKUP($B26,'F-1 Off Site River Baseline'!$C$9:$R$257,2,FALSE))</f>
        <v/>
      </c>
      <c r="D26" s="520" t="str">
        <f>IF(C26="","",VLOOKUP($B26,'F-1 Off Site River Baseline'!$C$9:$R$257,3,FALSE))</f>
        <v/>
      </c>
      <c r="E26" s="520" t="str">
        <f>IF(D26="","",VLOOKUP($B26,'F-1 Off Site River Baseline'!$C$9:$R$257,4,FALSE))</f>
        <v/>
      </c>
      <c r="F26" s="520" t="str">
        <f>IF(E26="","",VLOOKUP($B26,'F-1 Off Site River Baseline'!$C$9:$R$257,5,FALSE))</f>
        <v/>
      </c>
      <c r="G26" s="520" t="str">
        <f>IF(F26="","",VLOOKUP($B26,'F-1 Off Site River Baseline'!$C$9:$R$257,6,FALSE))</f>
        <v/>
      </c>
      <c r="H26" s="520" t="str">
        <f>IF(G26="","",VLOOKUP($B26,'F-1 Off Site River Baseline'!$C$9:$R$257,7,FALSE))</f>
        <v/>
      </c>
      <c r="I26" s="520" t="str">
        <f>IF(H26="","",VLOOKUP($B26,'F-1 Off Site River Baseline'!$C$9:$R$257,8,FALSE))</f>
        <v/>
      </c>
      <c r="J26" s="520" t="str">
        <f>IF(I26="","",VLOOKUP($B26,'F-1 Off Site River Baseline'!$C$9:$R$257,9,FALSE))</f>
        <v/>
      </c>
      <c r="K26" s="520" t="str">
        <f>IF(J26="","",VLOOKUP($B26,'F-1 Off Site River Baseline'!$C$9:$R$257,10,FALSE))</f>
        <v/>
      </c>
      <c r="L26" s="520" t="str">
        <f>IF(B26="","",VLOOKUP($B26,'C-1 Site River Baseline'!$C$9:$R$257,15,FALSE))</f>
        <v/>
      </c>
      <c r="M26" s="524" t="str">
        <f>IF(L26="","",VLOOKUP($B26,'F-1 Off Site River Baseline'!$C$9:$R$257,16,FALSE))</f>
        <v/>
      </c>
      <c r="N26" s="418" t="str">
        <f t="shared" si="0"/>
        <v/>
      </c>
      <c r="O26" s="498" t="str">
        <f t="shared" si="5"/>
        <v/>
      </c>
      <c r="P26" s="499" t="str">
        <f>IF(C26="","",IF(AND(LEFT(C26,55)&lt;&gt;LEFT(N26,55),O26="High - High"),"Error - Not like for like ▲",IF(AND(F26=S26,H26&gt;U26),"Error - Can not reduce condition ▲",IF(AND(F26=S26,H26=U26,AJ26='F-1 Off Site River Baseline'!N24,'F-1 Off Site River Baseline'!P24=AL26),"Error - No enhancement ▲",IF(AND(C26&lt;&gt;N26,F26&lt;S26),"Lower Distinctiveness Habitat"&amp;" - "&amp;T26,G26&amp;" - "&amp;T26)))))</f>
        <v/>
      </c>
      <c r="Q26" s="505" t="str">
        <f>IF(N26="","",VLOOKUP(B26,'F-1 Off Site River Baseline'!$C$10:$AA$257,19,FALSE))</f>
        <v/>
      </c>
      <c r="R26" s="498" t="str">
        <f>IF(N26="","",VLOOKUP(N26,'G-7 Rivers Data'!$B$2:$G$8,2,FALSE))</f>
        <v/>
      </c>
      <c r="S26" s="499" t="str">
        <f>IFERROR(VLOOKUP(R26,'G-7 Rivers Data'!$C$4:$D$8,2,FALSE),"")</f>
        <v/>
      </c>
      <c r="T26" s="145"/>
      <c r="U26" s="499" t="str">
        <f>IFERROR(INDEX('G-7 Rivers Data'!$H$4:$L$8,MATCH(N26,'G-7 Rivers Data'!$B$4:$B$8,0),MATCH(T26,'G-7 Rivers Data'!$H$3:$L$3,0)),"")</f>
        <v/>
      </c>
      <c r="V26" s="154"/>
      <c r="W26" s="520" t="str">
        <f>IF(V26="","",IF(VLOOKUP(V26,'G-7 Rivers Data'!$AG$4:$AI$9,2,FALSE)=0,"Spatial Data Missing ⚠",VLOOKUP(V26,'G-7 Rivers Data'!$AG$4:$AI$9,2,FALSE)))</f>
        <v/>
      </c>
      <c r="X26" s="524" t="str">
        <f>IF(V26="","",IF(VLOOKUP(V26,'G-7 Rivers Data'!$AG$4:$AI$9,3,FALSE)=0,"Spatial Data Missing ⚠",VLOOKUP(V26,'G-7 Rivers Data'!$AG$4:$AI$9,3,FALSE)))</f>
        <v/>
      </c>
      <c r="Y26" s="537" t="str">
        <f>IFERROR(IF(OR(LEFT(P26,5)="Error ▲",LEFT(O26,5)="Error ▲"),"Check Data ⚠",IF(F26&lt;S26,'G-7 Rivers Data'!$R$3,INDEX('G-7 Rivers Data'!$U$5:$Y$9,MATCH(G26,'G-7 Rivers Data'!$T$5:$T$9,0),MATCH(T26,'G-7 Rivers Data'!$U$4:$Y$4,0)))),"")</f>
        <v/>
      </c>
      <c r="Z26" s="203"/>
      <c r="AA26" s="203"/>
      <c r="AB26" s="534" t="str">
        <f t="shared" si="1"/>
        <v/>
      </c>
      <c r="AC26" s="521" t="str">
        <f t="shared" si="2"/>
        <v/>
      </c>
      <c r="AD26" s="564" t="str">
        <f>IFERROR(IF(AC26="Check Data ⚠","Check Data ⚠",VLOOKUP(AC26,'G-4 Temporal multipliers'!$A$4:$C$37,3,FALSE)),"")</f>
        <v/>
      </c>
      <c r="AE26" s="537" t="str">
        <f>IF(N26="","",VLOOKUP(N26,'G-7 Rivers Data'!$B$4:$G$8,5,FALSE))</f>
        <v/>
      </c>
      <c r="AF26" s="520" t="str">
        <f t="shared" si="3"/>
        <v/>
      </c>
      <c r="AG26" s="520" t="str">
        <f t="shared" si="6"/>
        <v/>
      </c>
      <c r="AH26" s="524" t="str">
        <f t="shared" si="4"/>
        <v/>
      </c>
      <c r="AI26" s="145"/>
      <c r="AJ26" s="499" t="str">
        <f>IF(AI26="","",IF(VLOOKUP(AI26,'G-7 Rivers Data'!$AA$4:$AB$7,2,FALSE)=0,"Spatial Data Missing ⚠",VLOOKUP(AI26,'G-7 Rivers Data'!$AA$4:$AB$7,2,FALSE)))</f>
        <v/>
      </c>
      <c r="AK26" s="155"/>
      <c r="AL26" s="536" t="str">
        <f>IF(AK26="","",IF(VLOOKUP(AK26,'G-7 Rivers Data'!$AD$4:$AE$8,2,FALSE)=0,"Spatial Data Missing ⚠",VLOOKUP(AK26,'G-7 Rivers Data'!$AD$4:$AE$8,2,FALSE)))</f>
        <v/>
      </c>
      <c r="AM26" s="154"/>
      <c r="AN26" s="524" t="str">
        <f>IF(AM26="","",VLOOKUP(AM26,'G-7 Rivers Data'!$AO$4:$AP$7,2,FALSE))</f>
        <v/>
      </c>
      <c r="AO26" s="545" t="str">
        <f t="shared" si="7"/>
        <v/>
      </c>
      <c r="AP26" s="149"/>
      <c r="AQ26" s="150"/>
      <c r="AX26" s="31" t="str">
        <f>IFERROR(INDEX('G-7 Rivers Data'!$AZ$3:$AZ$7,MATCH(N26,'G-7 Rivers Data'!$AY$3:$AY$7,0)),"")</f>
        <v/>
      </c>
    </row>
    <row r="27" spans="2:50" ht="13.8" x14ac:dyDescent="0.25">
      <c r="B27" s="531" t="str">
        <f>'F-1 Off Site River Baseline'!AN25</f>
        <v/>
      </c>
      <c r="C27" s="520" t="str">
        <f>IF(B27="","",VLOOKUP($B27,'F-1 Off Site River Baseline'!$C$9:$R$257,2,FALSE))</f>
        <v/>
      </c>
      <c r="D27" s="520" t="str">
        <f>IF(C27="","",VLOOKUP($B27,'F-1 Off Site River Baseline'!$C$9:$R$257,3,FALSE))</f>
        <v/>
      </c>
      <c r="E27" s="520" t="str">
        <f>IF(D27="","",VLOOKUP($B27,'F-1 Off Site River Baseline'!$C$9:$R$257,4,FALSE))</f>
        <v/>
      </c>
      <c r="F27" s="520" t="str">
        <f>IF(E27="","",VLOOKUP($B27,'F-1 Off Site River Baseline'!$C$9:$R$257,5,FALSE))</f>
        <v/>
      </c>
      <c r="G27" s="520" t="str">
        <f>IF(F27="","",VLOOKUP($B27,'F-1 Off Site River Baseline'!$C$9:$R$257,6,FALSE))</f>
        <v/>
      </c>
      <c r="H27" s="520" t="str">
        <f>IF(G27="","",VLOOKUP($B27,'F-1 Off Site River Baseline'!$C$9:$R$257,7,FALSE))</f>
        <v/>
      </c>
      <c r="I27" s="520" t="str">
        <f>IF(H27="","",VLOOKUP($B27,'F-1 Off Site River Baseline'!$C$9:$R$257,8,FALSE))</f>
        <v/>
      </c>
      <c r="J27" s="520" t="str">
        <f>IF(I27="","",VLOOKUP($B27,'F-1 Off Site River Baseline'!$C$9:$R$257,9,FALSE))</f>
        <v/>
      </c>
      <c r="K27" s="520" t="str">
        <f>IF(J27="","",VLOOKUP($B27,'F-1 Off Site River Baseline'!$C$9:$R$257,10,FALSE))</f>
        <v/>
      </c>
      <c r="L27" s="520" t="str">
        <f>IF(B27="","",VLOOKUP($B27,'C-1 Site River Baseline'!$C$9:$R$257,15,FALSE))</f>
        <v/>
      </c>
      <c r="M27" s="524" t="str">
        <f>IF(L27="","",VLOOKUP($B27,'F-1 Off Site River Baseline'!$C$9:$R$257,16,FALSE))</f>
        <v/>
      </c>
      <c r="N27" s="418" t="str">
        <f t="shared" si="0"/>
        <v/>
      </c>
      <c r="O27" s="498" t="str">
        <f t="shared" si="5"/>
        <v/>
      </c>
      <c r="P27" s="499" t="str">
        <f>IF(C27="","",IF(AND(LEFT(C27,55)&lt;&gt;LEFT(N27,55),O27="High - High"),"Error - Not like for like ▲",IF(AND(F27=S27,H27&gt;U27),"Error - Can not reduce condition ▲",IF(AND(F27=S27,H27=U27,AJ27='F-1 Off Site River Baseline'!N25,'F-1 Off Site River Baseline'!P25=AL27),"Error - No enhancement ▲",IF(AND(C27&lt;&gt;N27,F27&lt;S27),"Lower Distinctiveness Habitat"&amp;" - "&amp;T27,G27&amp;" - "&amp;T27)))))</f>
        <v/>
      </c>
      <c r="Q27" s="505" t="str">
        <f>IF(N27="","",VLOOKUP(B27,'F-1 Off Site River Baseline'!$C$10:$AA$257,19,FALSE))</f>
        <v/>
      </c>
      <c r="R27" s="498" t="str">
        <f>IF(N27="","",VLOOKUP(N27,'G-7 Rivers Data'!$B$2:$G$8,2,FALSE))</f>
        <v/>
      </c>
      <c r="S27" s="499" t="str">
        <f>IFERROR(VLOOKUP(R27,'G-7 Rivers Data'!$C$4:$D$8,2,FALSE),"")</f>
        <v/>
      </c>
      <c r="T27" s="145"/>
      <c r="U27" s="499" t="str">
        <f>IFERROR(INDEX('G-7 Rivers Data'!$H$4:$L$8,MATCH(N27,'G-7 Rivers Data'!$B$4:$B$8,0),MATCH(T27,'G-7 Rivers Data'!$H$3:$L$3,0)),"")</f>
        <v/>
      </c>
      <c r="V27" s="154"/>
      <c r="W27" s="520" t="str">
        <f>IF(V27="","",IF(VLOOKUP(V27,'G-7 Rivers Data'!$AG$4:$AI$9,2,FALSE)=0,"Spatial Data Missing ⚠",VLOOKUP(V27,'G-7 Rivers Data'!$AG$4:$AI$9,2,FALSE)))</f>
        <v/>
      </c>
      <c r="X27" s="524" t="str">
        <f>IF(V27="","",IF(VLOOKUP(V27,'G-7 Rivers Data'!$AG$4:$AI$9,3,FALSE)=0,"Spatial Data Missing ⚠",VLOOKUP(V27,'G-7 Rivers Data'!$AG$4:$AI$9,3,FALSE)))</f>
        <v/>
      </c>
      <c r="Y27" s="537" t="str">
        <f>IFERROR(IF(OR(LEFT(P27,5)="Error ▲",LEFT(O27,5)="Error ▲"),"Check Data ⚠",IF(F27&lt;S27,'G-7 Rivers Data'!$R$3,INDEX('G-7 Rivers Data'!$U$5:$Y$9,MATCH(G27,'G-7 Rivers Data'!$T$5:$T$9,0),MATCH(T27,'G-7 Rivers Data'!$U$4:$Y$4,0)))),"")</f>
        <v/>
      </c>
      <c r="Z27" s="203"/>
      <c r="AA27" s="203"/>
      <c r="AB27" s="534" t="str">
        <f t="shared" si="1"/>
        <v/>
      </c>
      <c r="AC27" s="521" t="str">
        <f t="shared" si="2"/>
        <v/>
      </c>
      <c r="AD27" s="564" t="str">
        <f>IFERROR(IF(AC27="Check Data ⚠","Check Data ⚠",VLOOKUP(AC27,'G-4 Temporal multipliers'!$A$4:$C$37,3,FALSE)),"")</f>
        <v/>
      </c>
      <c r="AE27" s="537" t="str">
        <f>IF(N27="","",VLOOKUP(N27,'G-7 Rivers Data'!$B$4:$G$8,5,FALSE))</f>
        <v/>
      </c>
      <c r="AF27" s="520" t="str">
        <f t="shared" si="3"/>
        <v/>
      </c>
      <c r="AG27" s="520" t="str">
        <f t="shared" si="6"/>
        <v/>
      </c>
      <c r="AH27" s="524" t="str">
        <f t="shared" si="4"/>
        <v/>
      </c>
      <c r="AI27" s="145"/>
      <c r="AJ27" s="499" t="str">
        <f>IF(AI27="","",IF(VLOOKUP(AI27,'G-7 Rivers Data'!$AA$4:$AB$7,2,FALSE)=0,"Spatial Data Missing ⚠",VLOOKUP(AI27,'G-7 Rivers Data'!$AA$4:$AB$7,2,FALSE)))</f>
        <v/>
      </c>
      <c r="AK27" s="155"/>
      <c r="AL27" s="536" t="str">
        <f>IF(AK27="","",IF(VLOOKUP(AK27,'G-7 Rivers Data'!$AD$4:$AE$8,2,FALSE)=0,"Spatial Data Missing ⚠",VLOOKUP(AK27,'G-7 Rivers Data'!$AD$4:$AE$8,2,FALSE)))</f>
        <v/>
      </c>
      <c r="AM27" s="154"/>
      <c r="AN27" s="524" t="str">
        <f>IF(AM27="","",VLOOKUP(AM27,'G-7 Rivers Data'!$AO$4:$AP$7,2,FALSE))</f>
        <v/>
      </c>
      <c r="AO27" s="545" t="str">
        <f t="shared" si="7"/>
        <v/>
      </c>
      <c r="AP27" s="149"/>
      <c r="AQ27" s="150"/>
      <c r="AX27" s="31" t="str">
        <f>IFERROR(INDEX('G-7 Rivers Data'!$AZ$3:$AZ$7,MATCH(N27,'G-7 Rivers Data'!$AY$3:$AY$7,0)),"")</f>
        <v/>
      </c>
    </row>
    <row r="28" spans="2:50" ht="13.8" x14ac:dyDescent="0.25">
      <c r="B28" s="531" t="str">
        <f>'F-1 Off Site River Baseline'!AN26</f>
        <v/>
      </c>
      <c r="C28" s="520" t="str">
        <f>IF(B28="","",VLOOKUP($B28,'F-1 Off Site River Baseline'!$C$9:$R$257,2,FALSE))</f>
        <v/>
      </c>
      <c r="D28" s="520" t="str">
        <f>IF(C28="","",VLOOKUP($B28,'F-1 Off Site River Baseline'!$C$9:$R$257,3,FALSE))</f>
        <v/>
      </c>
      <c r="E28" s="520" t="str">
        <f>IF(D28="","",VLOOKUP($B28,'F-1 Off Site River Baseline'!$C$9:$R$257,4,FALSE))</f>
        <v/>
      </c>
      <c r="F28" s="520" t="str">
        <f>IF(E28="","",VLOOKUP($B28,'F-1 Off Site River Baseline'!$C$9:$R$257,5,FALSE))</f>
        <v/>
      </c>
      <c r="G28" s="520" t="str">
        <f>IF(F28="","",VLOOKUP($B28,'F-1 Off Site River Baseline'!$C$9:$R$257,6,FALSE))</f>
        <v/>
      </c>
      <c r="H28" s="520" t="str">
        <f>IF(G28="","",VLOOKUP($B28,'F-1 Off Site River Baseline'!$C$9:$R$257,7,FALSE))</f>
        <v/>
      </c>
      <c r="I28" s="520" t="str">
        <f>IF(H28="","",VLOOKUP($B28,'F-1 Off Site River Baseline'!$C$9:$R$257,8,FALSE))</f>
        <v/>
      </c>
      <c r="J28" s="520" t="str">
        <f>IF(I28="","",VLOOKUP($B28,'F-1 Off Site River Baseline'!$C$9:$R$257,9,FALSE))</f>
        <v/>
      </c>
      <c r="K28" s="520" t="str">
        <f>IF(J28="","",VLOOKUP($B28,'F-1 Off Site River Baseline'!$C$9:$R$257,10,FALSE))</f>
        <v/>
      </c>
      <c r="L28" s="520" t="str">
        <f>IF(B28="","",VLOOKUP($B28,'C-1 Site River Baseline'!$C$9:$R$257,15,FALSE))</f>
        <v/>
      </c>
      <c r="M28" s="524" t="str">
        <f>IF(L28="","",VLOOKUP($B28,'F-1 Off Site River Baseline'!$C$9:$R$257,16,FALSE))</f>
        <v/>
      </c>
      <c r="N28" s="418" t="str">
        <f t="shared" si="0"/>
        <v/>
      </c>
      <c r="O28" s="498" t="str">
        <f t="shared" si="5"/>
        <v/>
      </c>
      <c r="P28" s="499" t="str">
        <f>IF(C28="","",IF(AND(LEFT(C28,55)&lt;&gt;LEFT(N28,55),O28="High - High"),"Error - Not like for like ▲",IF(AND(F28=S28,H28&gt;U28),"Error - Can not reduce condition ▲",IF(AND(F28=S28,H28=U28,AJ28='F-1 Off Site River Baseline'!N26,'F-1 Off Site River Baseline'!P26=AL28),"Error - No enhancement ▲",IF(AND(C28&lt;&gt;N28,F28&lt;S28),"Lower Distinctiveness Habitat"&amp;" - "&amp;T28,G28&amp;" - "&amp;T28)))))</f>
        <v/>
      </c>
      <c r="Q28" s="505" t="str">
        <f>IF(N28="","",VLOOKUP(B28,'F-1 Off Site River Baseline'!$C$10:$AA$257,19,FALSE))</f>
        <v/>
      </c>
      <c r="R28" s="498" t="str">
        <f>IF(N28="","",VLOOKUP(N28,'G-7 Rivers Data'!$B$2:$G$8,2,FALSE))</f>
        <v/>
      </c>
      <c r="S28" s="499" t="str">
        <f>IFERROR(VLOOKUP(R28,'G-7 Rivers Data'!$C$4:$D$8,2,FALSE),"")</f>
        <v/>
      </c>
      <c r="T28" s="145"/>
      <c r="U28" s="499" t="str">
        <f>IFERROR(INDEX('G-7 Rivers Data'!$H$4:$L$8,MATCH(N28,'G-7 Rivers Data'!$B$4:$B$8,0),MATCH(T28,'G-7 Rivers Data'!$H$3:$L$3,0)),"")</f>
        <v/>
      </c>
      <c r="V28" s="154"/>
      <c r="W28" s="520" t="str">
        <f>IF(V28="","",IF(VLOOKUP(V28,'G-7 Rivers Data'!$AG$4:$AI$9,2,FALSE)=0,"Spatial Data Missing ⚠",VLOOKUP(V28,'G-7 Rivers Data'!$AG$4:$AI$9,2,FALSE)))</f>
        <v/>
      </c>
      <c r="X28" s="524" t="str">
        <f>IF(V28="","",IF(VLOOKUP(V28,'G-7 Rivers Data'!$AG$4:$AI$9,3,FALSE)=0,"Spatial Data Missing ⚠",VLOOKUP(V28,'G-7 Rivers Data'!$AG$4:$AI$9,3,FALSE)))</f>
        <v/>
      </c>
      <c r="Y28" s="537" t="str">
        <f>IFERROR(IF(OR(LEFT(P28,5)="Error ▲",LEFT(O28,5)="Error ▲"),"Check Data ⚠",IF(F28&lt;S28,'G-7 Rivers Data'!$R$3,INDEX('G-7 Rivers Data'!$U$5:$Y$9,MATCH(G28,'G-7 Rivers Data'!$T$5:$T$9,0),MATCH(T28,'G-7 Rivers Data'!$U$4:$Y$4,0)))),"")</f>
        <v/>
      </c>
      <c r="Z28" s="203"/>
      <c r="AA28" s="203"/>
      <c r="AB28" s="534" t="str">
        <f t="shared" si="1"/>
        <v/>
      </c>
      <c r="AC28" s="521" t="str">
        <f t="shared" si="2"/>
        <v/>
      </c>
      <c r="AD28" s="564" t="str">
        <f>IFERROR(IF(AC28="Check Data ⚠","Check Data ⚠",VLOOKUP(AC28,'G-4 Temporal multipliers'!$A$4:$C$37,3,FALSE)),"")</f>
        <v/>
      </c>
      <c r="AE28" s="537" t="str">
        <f>IF(N28="","",VLOOKUP(N28,'G-7 Rivers Data'!$B$4:$G$8,5,FALSE))</f>
        <v/>
      </c>
      <c r="AF28" s="520" t="str">
        <f t="shared" si="3"/>
        <v/>
      </c>
      <c r="AG28" s="520" t="str">
        <f t="shared" si="6"/>
        <v/>
      </c>
      <c r="AH28" s="524" t="str">
        <f t="shared" si="4"/>
        <v/>
      </c>
      <c r="AI28" s="145"/>
      <c r="AJ28" s="499" t="str">
        <f>IF(AI28="","",IF(VLOOKUP(AI28,'G-7 Rivers Data'!$AA$4:$AB$7,2,FALSE)=0,"Spatial Data Missing ⚠",VLOOKUP(AI28,'G-7 Rivers Data'!$AA$4:$AB$7,2,FALSE)))</f>
        <v/>
      </c>
      <c r="AK28" s="155"/>
      <c r="AL28" s="536" t="str">
        <f>IF(AK28="","",IF(VLOOKUP(AK28,'G-7 Rivers Data'!$AD$4:$AE$8,2,FALSE)=0,"Spatial Data Missing ⚠",VLOOKUP(AK28,'G-7 Rivers Data'!$AD$4:$AE$8,2,FALSE)))</f>
        <v/>
      </c>
      <c r="AM28" s="154"/>
      <c r="AN28" s="524" t="str">
        <f>IF(AM28="","",VLOOKUP(AM28,'G-7 Rivers Data'!$AO$4:$AP$7,2,FALSE))</f>
        <v/>
      </c>
      <c r="AO28" s="545" t="str">
        <f t="shared" si="7"/>
        <v/>
      </c>
      <c r="AP28" s="149"/>
      <c r="AQ28" s="150"/>
      <c r="AX28" s="31" t="str">
        <f>IFERROR(INDEX('G-7 Rivers Data'!$AZ$3:$AZ$7,MATCH(N28,'G-7 Rivers Data'!$AY$3:$AY$7,0)),"")</f>
        <v/>
      </c>
    </row>
    <row r="29" spans="2:50" ht="13.8" x14ac:dyDescent="0.25">
      <c r="B29" s="531" t="str">
        <f>'F-1 Off Site River Baseline'!AN27</f>
        <v/>
      </c>
      <c r="C29" s="520" t="str">
        <f>IF(B29="","",VLOOKUP($B29,'F-1 Off Site River Baseline'!$C$9:$R$257,2,FALSE))</f>
        <v/>
      </c>
      <c r="D29" s="520" t="str">
        <f>IF(C29="","",VLOOKUP($B29,'F-1 Off Site River Baseline'!$C$9:$R$257,3,FALSE))</f>
        <v/>
      </c>
      <c r="E29" s="520" t="str">
        <f>IF(D29="","",VLOOKUP($B29,'F-1 Off Site River Baseline'!$C$9:$R$257,4,FALSE))</f>
        <v/>
      </c>
      <c r="F29" s="520" t="str">
        <f>IF(E29="","",VLOOKUP($B29,'F-1 Off Site River Baseline'!$C$9:$R$257,5,FALSE))</f>
        <v/>
      </c>
      <c r="G29" s="520" t="str">
        <f>IF(F29="","",VLOOKUP($B29,'F-1 Off Site River Baseline'!$C$9:$R$257,6,FALSE))</f>
        <v/>
      </c>
      <c r="H29" s="520" t="str">
        <f>IF(G29="","",VLOOKUP($B29,'F-1 Off Site River Baseline'!$C$9:$R$257,7,FALSE))</f>
        <v/>
      </c>
      <c r="I29" s="520" t="str">
        <f>IF(H29="","",VLOOKUP($B29,'F-1 Off Site River Baseline'!$C$9:$R$257,8,FALSE))</f>
        <v/>
      </c>
      <c r="J29" s="520" t="str">
        <f>IF(I29="","",VLOOKUP($B29,'F-1 Off Site River Baseline'!$C$9:$R$257,9,FALSE))</f>
        <v/>
      </c>
      <c r="K29" s="520" t="str">
        <f>IF(J29="","",VLOOKUP($B29,'F-1 Off Site River Baseline'!$C$9:$R$257,10,FALSE))</f>
        <v/>
      </c>
      <c r="L29" s="520" t="str">
        <f>IF(B29="","",VLOOKUP($B29,'C-1 Site River Baseline'!$C$9:$R$257,15,FALSE))</f>
        <v/>
      </c>
      <c r="M29" s="524" t="str">
        <f>IF(L29="","",VLOOKUP($B29,'F-1 Off Site River Baseline'!$C$9:$R$257,16,FALSE))</f>
        <v/>
      </c>
      <c r="N29" s="418" t="str">
        <f t="shared" si="0"/>
        <v/>
      </c>
      <c r="O29" s="498" t="str">
        <f t="shared" si="5"/>
        <v/>
      </c>
      <c r="P29" s="499" t="str">
        <f>IF(C29="","",IF(AND(LEFT(C29,55)&lt;&gt;LEFT(N29,55),O29="High - High"),"Error - Not like for like ▲",IF(AND(F29=S29,H29&gt;U29),"Error - Can not reduce condition ▲",IF(AND(F29=S29,H29=U29,AJ29='F-1 Off Site River Baseline'!N27,'F-1 Off Site River Baseline'!P27=AL29),"Error - No enhancement ▲",IF(AND(C29&lt;&gt;N29,F29&lt;S29),"Lower Distinctiveness Habitat"&amp;" - "&amp;T29,G29&amp;" - "&amp;T29)))))</f>
        <v/>
      </c>
      <c r="Q29" s="505" t="str">
        <f>IF(N29="","",VLOOKUP(B29,'F-1 Off Site River Baseline'!$C$10:$AA$257,19,FALSE))</f>
        <v/>
      </c>
      <c r="R29" s="498" t="str">
        <f>IF(N29="","",VLOOKUP(N29,'G-7 Rivers Data'!$B$2:$G$8,2,FALSE))</f>
        <v/>
      </c>
      <c r="S29" s="499" t="str">
        <f>IFERROR(VLOOKUP(R29,'G-7 Rivers Data'!$C$4:$D$8,2,FALSE),"")</f>
        <v/>
      </c>
      <c r="T29" s="145"/>
      <c r="U29" s="499" t="str">
        <f>IFERROR(INDEX('G-7 Rivers Data'!$H$4:$L$8,MATCH(N29,'G-7 Rivers Data'!$B$4:$B$8,0),MATCH(T29,'G-7 Rivers Data'!$H$3:$L$3,0)),"")</f>
        <v/>
      </c>
      <c r="V29" s="154"/>
      <c r="W29" s="520" t="str">
        <f>IF(V29="","",IF(VLOOKUP(V29,'G-7 Rivers Data'!$AG$4:$AI$9,2,FALSE)=0,"Spatial Data Missing ⚠",VLOOKUP(V29,'G-7 Rivers Data'!$AG$4:$AI$9,2,FALSE)))</f>
        <v/>
      </c>
      <c r="X29" s="524" t="str">
        <f>IF(V29="","",IF(VLOOKUP(V29,'G-7 Rivers Data'!$AG$4:$AI$9,3,FALSE)=0,"Spatial Data Missing ⚠",VLOOKUP(V29,'G-7 Rivers Data'!$AG$4:$AI$9,3,FALSE)))</f>
        <v/>
      </c>
      <c r="Y29" s="537" t="str">
        <f>IFERROR(IF(OR(LEFT(P29,5)="Error ▲",LEFT(O29,5)="Error ▲"),"Check Data ⚠",IF(F29&lt;S29,'G-7 Rivers Data'!$R$3,INDEX('G-7 Rivers Data'!$U$5:$Y$9,MATCH(G29,'G-7 Rivers Data'!$T$5:$T$9,0),MATCH(T29,'G-7 Rivers Data'!$U$4:$Y$4,0)))),"")</f>
        <v/>
      </c>
      <c r="Z29" s="203"/>
      <c r="AA29" s="203"/>
      <c r="AB29" s="534" t="str">
        <f t="shared" si="1"/>
        <v/>
      </c>
      <c r="AC29" s="521" t="str">
        <f t="shared" si="2"/>
        <v/>
      </c>
      <c r="AD29" s="564" t="str">
        <f>IFERROR(IF(AC29="Check Data ⚠","Check Data ⚠",VLOOKUP(AC29,'G-4 Temporal multipliers'!$A$4:$C$37,3,FALSE)),"")</f>
        <v/>
      </c>
      <c r="AE29" s="537" t="str">
        <f>IF(N29="","",VLOOKUP(N29,'G-7 Rivers Data'!$B$4:$G$8,5,FALSE))</f>
        <v/>
      </c>
      <c r="AF29" s="520" t="str">
        <f t="shared" si="3"/>
        <v/>
      </c>
      <c r="AG29" s="520" t="str">
        <f t="shared" si="6"/>
        <v/>
      </c>
      <c r="AH29" s="524" t="str">
        <f t="shared" si="4"/>
        <v/>
      </c>
      <c r="AI29" s="145"/>
      <c r="AJ29" s="499" t="str">
        <f>IF(AI29="","",IF(VLOOKUP(AI29,'G-7 Rivers Data'!$AA$4:$AB$7,2,FALSE)=0,"Spatial Data Missing ⚠",VLOOKUP(AI29,'G-7 Rivers Data'!$AA$4:$AB$7,2,FALSE)))</f>
        <v/>
      </c>
      <c r="AK29" s="155"/>
      <c r="AL29" s="536" t="str">
        <f>IF(AK29="","",IF(VLOOKUP(AK29,'G-7 Rivers Data'!$AD$4:$AE$8,2,FALSE)=0,"Spatial Data Missing ⚠",VLOOKUP(AK29,'G-7 Rivers Data'!$AD$4:$AE$8,2,FALSE)))</f>
        <v/>
      </c>
      <c r="AM29" s="154"/>
      <c r="AN29" s="524" t="str">
        <f>IF(AM29="","",VLOOKUP(AM29,'G-7 Rivers Data'!$AO$4:$AP$7,2,FALSE))</f>
        <v/>
      </c>
      <c r="AO29" s="545" t="str">
        <f t="shared" si="7"/>
        <v/>
      </c>
      <c r="AP29" s="149"/>
      <c r="AQ29" s="150"/>
      <c r="AX29" s="31" t="str">
        <f>IFERROR(INDEX('G-7 Rivers Data'!$AZ$3:$AZ$7,MATCH(N29,'G-7 Rivers Data'!$AY$3:$AY$7,0)),"")</f>
        <v/>
      </c>
    </row>
    <row r="30" spans="2:50" ht="13.8" x14ac:dyDescent="0.25">
      <c r="B30" s="531" t="str">
        <f>'F-1 Off Site River Baseline'!AN28</f>
        <v/>
      </c>
      <c r="C30" s="520" t="str">
        <f>IF(B30="","",VLOOKUP($B30,'F-1 Off Site River Baseline'!$C$9:$R$257,2,FALSE))</f>
        <v/>
      </c>
      <c r="D30" s="520" t="str">
        <f>IF(C30="","",VLOOKUP($B30,'F-1 Off Site River Baseline'!$C$9:$R$257,3,FALSE))</f>
        <v/>
      </c>
      <c r="E30" s="520" t="str">
        <f>IF(D30="","",VLOOKUP($B30,'F-1 Off Site River Baseline'!$C$9:$R$257,4,FALSE))</f>
        <v/>
      </c>
      <c r="F30" s="520" t="str">
        <f>IF(E30="","",VLOOKUP($B30,'F-1 Off Site River Baseline'!$C$9:$R$257,5,FALSE))</f>
        <v/>
      </c>
      <c r="G30" s="520" t="str">
        <f>IF(F30="","",VLOOKUP($B30,'F-1 Off Site River Baseline'!$C$9:$R$257,6,FALSE))</f>
        <v/>
      </c>
      <c r="H30" s="520" t="str">
        <f>IF(G30="","",VLOOKUP($B30,'F-1 Off Site River Baseline'!$C$9:$R$257,7,FALSE))</f>
        <v/>
      </c>
      <c r="I30" s="520" t="str">
        <f>IF(H30="","",VLOOKUP($B30,'F-1 Off Site River Baseline'!$C$9:$R$257,8,FALSE))</f>
        <v/>
      </c>
      <c r="J30" s="520" t="str">
        <f>IF(I30="","",VLOOKUP($B30,'F-1 Off Site River Baseline'!$C$9:$R$257,9,FALSE))</f>
        <v/>
      </c>
      <c r="K30" s="520" t="str">
        <f>IF(J30="","",VLOOKUP($B30,'F-1 Off Site River Baseline'!$C$9:$R$257,10,FALSE))</f>
        <v/>
      </c>
      <c r="L30" s="520" t="str">
        <f>IF(B30="","",VLOOKUP($B30,'C-1 Site River Baseline'!$C$9:$R$257,15,FALSE))</f>
        <v/>
      </c>
      <c r="M30" s="524" t="str">
        <f>IF(L30="","",VLOOKUP($B30,'F-1 Off Site River Baseline'!$C$9:$R$257,16,FALSE))</f>
        <v/>
      </c>
      <c r="N30" s="418" t="str">
        <f t="shared" si="0"/>
        <v/>
      </c>
      <c r="O30" s="498" t="str">
        <f t="shared" si="5"/>
        <v/>
      </c>
      <c r="P30" s="499" t="str">
        <f>IF(C30="","",IF(AND(LEFT(C30,55)&lt;&gt;LEFT(N30,55),O30="High - High"),"Error - Not like for like ▲",IF(AND(F30=S30,H30&gt;U30),"Error - Can not reduce condition ▲",IF(AND(F30=S30,H30=U30,AJ30='F-1 Off Site River Baseline'!N28,'F-1 Off Site River Baseline'!P28=AL30),"Error - No enhancement ▲",IF(AND(C30&lt;&gt;N30,F30&lt;S30),"Lower Distinctiveness Habitat"&amp;" - "&amp;T30,G30&amp;" - "&amp;T30)))))</f>
        <v/>
      </c>
      <c r="Q30" s="505" t="str">
        <f>IF(N30="","",VLOOKUP(B30,'F-1 Off Site River Baseline'!$C$10:$AA$257,19,FALSE))</f>
        <v/>
      </c>
      <c r="R30" s="498" t="str">
        <f>IF(N30="","",VLOOKUP(N30,'G-7 Rivers Data'!$B$2:$G$8,2,FALSE))</f>
        <v/>
      </c>
      <c r="S30" s="499" t="str">
        <f>IFERROR(VLOOKUP(R30,'G-7 Rivers Data'!$C$4:$D$8,2,FALSE),"")</f>
        <v/>
      </c>
      <c r="T30" s="145"/>
      <c r="U30" s="499" t="str">
        <f>IFERROR(INDEX('G-7 Rivers Data'!$H$4:$L$8,MATCH(N30,'G-7 Rivers Data'!$B$4:$B$8,0),MATCH(T30,'G-7 Rivers Data'!$H$3:$L$3,0)),"")</f>
        <v/>
      </c>
      <c r="V30" s="154"/>
      <c r="W30" s="520" t="str">
        <f>IF(V30="","",IF(VLOOKUP(V30,'G-7 Rivers Data'!$AG$4:$AI$9,2,FALSE)=0,"Spatial Data Missing ⚠",VLOOKUP(V30,'G-7 Rivers Data'!$AG$4:$AI$9,2,FALSE)))</f>
        <v/>
      </c>
      <c r="X30" s="524" t="str">
        <f>IF(V30="","",IF(VLOOKUP(V30,'G-7 Rivers Data'!$AG$4:$AI$9,3,FALSE)=0,"Spatial Data Missing ⚠",VLOOKUP(V30,'G-7 Rivers Data'!$AG$4:$AI$9,3,FALSE)))</f>
        <v/>
      </c>
      <c r="Y30" s="537" t="str">
        <f>IFERROR(IF(OR(LEFT(P30,5)="Error ▲",LEFT(O30,5)="Error ▲"),"Check Data ⚠",IF(F30&lt;S30,'G-7 Rivers Data'!$R$3,INDEX('G-7 Rivers Data'!$U$5:$Y$9,MATCH(G30,'G-7 Rivers Data'!$T$5:$T$9,0),MATCH(T30,'G-7 Rivers Data'!$U$4:$Y$4,0)))),"")</f>
        <v/>
      </c>
      <c r="Z30" s="203"/>
      <c r="AA30" s="203"/>
      <c r="AB30" s="534" t="str">
        <f t="shared" si="1"/>
        <v/>
      </c>
      <c r="AC30" s="521" t="str">
        <f t="shared" si="2"/>
        <v/>
      </c>
      <c r="AD30" s="564" t="str">
        <f>IFERROR(IF(AC30="Check Data ⚠","Check Data ⚠",VLOOKUP(AC30,'G-4 Temporal multipliers'!$A$4:$C$37,3,FALSE)),"")</f>
        <v/>
      </c>
      <c r="AE30" s="537" t="str">
        <f>IF(N30="","",VLOOKUP(N30,'G-7 Rivers Data'!$B$4:$G$8,5,FALSE))</f>
        <v/>
      </c>
      <c r="AF30" s="520" t="str">
        <f t="shared" si="3"/>
        <v/>
      </c>
      <c r="AG30" s="520" t="str">
        <f t="shared" si="6"/>
        <v/>
      </c>
      <c r="AH30" s="524" t="str">
        <f t="shared" si="4"/>
        <v/>
      </c>
      <c r="AI30" s="145"/>
      <c r="AJ30" s="499" t="str">
        <f>IF(AI30="","",IF(VLOOKUP(AI30,'G-7 Rivers Data'!$AA$4:$AB$7,2,FALSE)=0,"Spatial Data Missing ⚠",VLOOKUP(AI30,'G-7 Rivers Data'!$AA$4:$AB$7,2,FALSE)))</f>
        <v/>
      </c>
      <c r="AK30" s="155"/>
      <c r="AL30" s="536" t="str">
        <f>IF(AK30="","",IF(VLOOKUP(AK30,'G-7 Rivers Data'!$AD$4:$AE$8,2,FALSE)=0,"Spatial Data Missing ⚠",VLOOKUP(AK30,'G-7 Rivers Data'!$AD$4:$AE$8,2,FALSE)))</f>
        <v/>
      </c>
      <c r="AM30" s="154"/>
      <c r="AN30" s="524" t="str">
        <f>IF(AM30="","",VLOOKUP(AM30,'G-7 Rivers Data'!$AO$4:$AP$7,2,FALSE))</f>
        <v/>
      </c>
      <c r="AO30" s="545" t="str">
        <f t="shared" si="7"/>
        <v/>
      </c>
      <c r="AP30" s="149"/>
      <c r="AQ30" s="150"/>
      <c r="AX30" s="31" t="str">
        <f>IFERROR(INDEX('G-7 Rivers Data'!$AZ$3:$AZ$7,MATCH(N30,'G-7 Rivers Data'!$AY$3:$AY$7,0)),"")</f>
        <v/>
      </c>
    </row>
    <row r="31" spans="2:50" ht="13.8" x14ac:dyDescent="0.25">
      <c r="B31" s="531" t="str">
        <f>'F-1 Off Site River Baseline'!AN29</f>
        <v/>
      </c>
      <c r="C31" s="520" t="str">
        <f>IF(B31="","",VLOOKUP($B31,'F-1 Off Site River Baseline'!$C$9:$R$257,2,FALSE))</f>
        <v/>
      </c>
      <c r="D31" s="520" t="str">
        <f>IF(C31="","",VLOOKUP($B31,'F-1 Off Site River Baseline'!$C$9:$R$257,3,FALSE))</f>
        <v/>
      </c>
      <c r="E31" s="520" t="str">
        <f>IF(D31="","",VLOOKUP($B31,'F-1 Off Site River Baseline'!$C$9:$R$257,4,FALSE))</f>
        <v/>
      </c>
      <c r="F31" s="520" t="str">
        <f>IF(E31="","",VLOOKUP($B31,'F-1 Off Site River Baseline'!$C$9:$R$257,5,FALSE))</f>
        <v/>
      </c>
      <c r="G31" s="520" t="str">
        <f>IF(F31="","",VLOOKUP($B31,'F-1 Off Site River Baseline'!$C$9:$R$257,6,FALSE))</f>
        <v/>
      </c>
      <c r="H31" s="520" t="str">
        <f>IF(G31="","",VLOOKUP($B31,'F-1 Off Site River Baseline'!$C$9:$R$257,7,FALSE))</f>
        <v/>
      </c>
      <c r="I31" s="520" t="str">
        <f>IF(H31="","",VLOOKUP($B31,'F-1 Off Site River Baseline'!$C$9:$R$257,8,FALSE))</f>
        <v/>
      </c>
      <c r="J31" s="520" t="str">
        <f>IF(I31="","",VLOOKUP($B31,'F-1 Off Site River Baseline'!$C$9:$R$257,9,FALSE))</f>
        <v/>
      </c>
      <c r="K31" s="520" t="str">
        <f>IF(J31="","",VLOOKUP($B31,'F-1 Off Site River Baseline'!$C$9:$R$257,10,FALSE))</f>
        <v/>
      </c>
      <c r="L31" s="520" t="str">
        <f>IF(B31="","",VLOOKUP($B31,'C-1 Site River Baseline'!$C$9:$R$257,15,FALSE))</f>
        <v/>
      </c>
      <c r="M31" s="524" t="str">
        <f>IF(L31="","",VLOOKUP($B31,'F-1 Off Site River Baseline'!$C$9:$R$257,16,FALSE))</f>
        <v/>
      </c>
      <c r="N31" s="418" t="str">
        <f t="shared" si="0"/>
        <v/>
      </c>
      <c r="O31" s="498" t="str">
        <f t="shared" si="5"/>
        <v/>
      </c>
      <c r="P31" s="499" t="str">
        <f>IF(C31="","",IF(AND(LEFT(C31,55)&lt;&gt;LEFT(N31,55),O31="High - High"),"Error - Not like for like ▲",IF(AND(F31=S31,H31&gt;U31),"Error - Can not reduce condition ▲",IF(AND(F31=S31,H31=U31,AJ31='F-1 Off Site River Baseline'!N29,'F-1 Off Site River Baseline'!P29=AL31),"Error - No enhancement ▲",IF(AND(C31&lt;&gt;N31,F31&lt;S31),"Lower Distinctiveness Habitat"&amp;" - "&amp;T31,G31&amp;" - "&amp;T31)))))</f>
        <v/>
      </c>
      <c r="Q31" s="505" t="str">
        <f>IF(N31="","",VLOOKUP(B31,'F-1 Off Site River Baseline'!$C$10:$AA$257,19,FALSE))</f>
        <v/>
      </c>
      <c r="R31" s="498" t="str">
        <f>IF(N31="","",VLOOKUP(N31,'G-7 Rivers Data'!$B$2:$G$8,2,FALSE))</f>
        <v/>
      </c>
      <c r="S31" s="499" t="str">
        <f>IFERROR(VLOOKUP(R31,'G-7 Rivers Data'!$C$4:$D$8,2,FALSE),"")</f>
        <v/>
      </c>
      <c r="T31" s="145"/>
      <c r="U31" s="499" t="str">
        <f>IFERROR(INDEX('G-7 Rivers Data'!$H$4:$L$8,MATCH(N31,'G-7 Rivers Data'!$B$4:$B$8,0),MATCH(T31,'G-7 Rivers Data'!$H$3:$L$3,0)),"")</f>
        <v/>
      </c>
      <c r="V31" s="154"/>
      <c r="W31" s="520" t="str">
        <f>IF(V31="","",IF(VLOOKUP(V31,'G-7 Rivers Data'!$AG$4:$AI$9,2,FALSE)=0,"Spatial Data Missing ⚠",VLOOKUP(V31,'G-7 Rivers Data'!$AG$4:$AI$9,2,FALSE)))</f>
        <v/>
      </c>
      <c r="X31" s="524" t="str">
        <f>IF(V31="","",IF(VLOOKUP(V31,'G-7 Rivers Data'!$AG$4:$AI$9,3,FALSE)=0,"Spatial Data Missing ⚠",VLOOKUP(V31,'G-7 Rivers Data'!$AG$4:$AI$9,3,FALSE)))</f>
        <v/>
      </c>
      <c r="Y31" s="537" t="str">
        <f>IFERROR(IF(OR(LEFT(P31,5)="Error ▲",LEFT(O31,5)="Error ▲"),"Check Data ⚠",IF(F31&lt;S31,'G-7 Rivers Data'!$R$3,INDEX('G-7 Rivers Data'!$U$5:$Y$9,MATCH(G31,'G-7 Rivers Data'!$T$5:$T$9,0),MATCH(T31,'G-7 Rivers Data'!$U$4:$Y$4,0)))),"")</f>
        <v/>
      </c>
      <c r="Z31" s="203"/>
      <c r="AA31" s="203"/>
      <c r="AB31" s="534" t="str">
        <f t="shared" si="1"/>
        <v/>
      </c>
      <c r="AC31" s="521" t="str">
        <f t="shared" si="2"/>
        <v/>
      </c>
      <c r="AD31" s="564" t="str">
        <f>IFERROR(IF(AC31="Check Data ⚠","Check Data ⚠",VLOOKUP(AC31,'G-4 Temporal multipliers'!$A$4:$C$37,3,FALSE)),"")</f>
        <v/>
      </c>
      <c r="AE31" s="537" t="str">
        <f>IF(N31="","",VLOOKUP(N31,'G-7 Rivers Data'!$B$4:$G$8,5,FALSE))</f>
        <v/>
      </c>
      <c r="AF31" s="520" t="str">
        <f t="shared" si="3"/>
        <v/>
      </c>
      <c r="AG31" s="520" t="str">
        <f t="shared" si="6"/>
        <v/>
      </c>
      <c r="AH31" s="524" t="str">
        <f t="shared" si="4"/>
        <v/>
      </c>
      <c r="AI31" s="145"/>
      <c r="AJ31" s="499" t="str">
        <f>IF(AI31="","",IF(VLOOKUP(AI31,'G-7 Rivers Data'!$AA$4:$AB$7,2,FALSE)=0,"Spatial Data Missing ⚠",VLOOKUP(AI31,'G-7 Rivers Data'!$AA$4:$AB$7,2,FALSE)))</f>
        <v/>
      </c>
      <c r="AK31" s="155"/>
      <c r="AL31" s="536" t="str">
        <f>IF(AK31="","",IF(VLOOKUP(AK31,'G-7 Rivers Data'!$AD$4:$AE$8,2,FALSE)=0,"Spatial Data Missing ⚠",VLOOKUP(AK31,'G-7 Rivers Data'!$AD$4:$AE$8,2,FALSE)))</f>
        <v/>
      </c>
      <c r="AM31" s="154"/>
      <c r="AN31" s="524" t="str">
        <f>IF(AM31="","",VLOOKUP(AM31,'G-7 Rivers Data'!$AO$4:$AP$7,2,FALSE))</f>
        <v/>
      </c>
      <c r="AO31" s="545" t="str">
        <f t="shared" si="7"/>
        <v/>
      </c>
      <c r="AP31" s="149"/>
      <c r="AQ31" s="150"/>
      <c r="AX31" s="31" t="str">
        <f>IFERROR(INDEX('G-7 Rivers Data'!$AZ$3:$AZ$7,MATCH(N31,'G-7 Rivers Data'!$AY$3:$AY$7,0)),"")</f>
        <v/>
      </c>
    </row>
    <row r="32" spans="2:50" ht="13.8" x14ac:dyDescent="0.25">
      <c r="B32" s="531" t="str">
        <f>'F-1 Off Site River Baseline'!AN30</f>
        <v/>
      </c>
      <c r="C32" s="520" t="str">
        <f>IF(B32="","",VLOOKUP($B32,'F-1 Off Site River Baseline'!$C$9:$R$257,2,FALSE))</f>
        <v/>
      </c>
      <c r="D32" s="520" t="str">
        <f>IF(C32="","",VLOOKUP($B32,'F-1 Off Site River Baseline'!$C$9:$R$257,3,FALSE))</f>
        <v/>
      </c>
      <c r="E32" s="520" t="str">
        <f>IF(D32="","",VLOOKUP($B32,'F-1 Off Site River Baseline'!$C$9:$R$257,4,FALSE))</f>
        <v/>
      </c>
      <c r="F32" s="520" t="str">
        <f>IF(E32="","",VLOOKUP($B32,'F-1 Off Site River Baseline'!$C$9:$R$257,5,FALSE))</f>
        <v/>
      </c>
      <c r="G32" s="520" t="str">
        <f>IF(F32="","",VLOOKUP($B32,'F-1 Off Site River Baseline'!$C$9:$R$257,6,FALSE))</f>
        <v/>
      </c>
      <c r="H32" s="520" t="str">
        <f>IF(G32="","",VLOOKUP($B32,'F-1 Off Site River Baseline'!$C$9:$R$257,7,FALSE))</f>
        <v/>
      </c>
      <c r="I32" s="520" t="str">
        <f>IF(H32="","",VLOOKUP($B32,'F-1 Off Site River Baseline'!$C$9:$R$257,8,FALSE))</f>
        <v/>
      </c>
      <c r="J32" s="520" t="str">
        <f>IF(I32="","",VLOOKUP($B32,'F-1 Off Site River Baseline'!$C$9:$R$257,9,FALSE))</f>
        <v/>
      </c>
      <c r="K32" s="520" t="str">
        <f>IF(J32="","",VLOOKUP($B32,'F-1 Off Site River Baseline'!$C$9:$R$257,10,FALSE))</f>
        <v/>
      </c>
      <c r="L32" s="520" t="str">
        <f>IF(B32="","",VLOOKUP($B32,'C-1 Site River Baseline'!$C$9:$R$257,15,FALSE))</f>
        <v/>
      </c>
      <c r="M32" s="524" t="str">
        <f>IF(L32="","",VLOOKUP($B32,'F-1 Off Site River Baseline'!$C$9:$R$257,16,FALSE))</f>
        <v/>
      </c>
      <c r="N32" s="418" t="str">
        <f t="shared" si="0"/>
        <v/>
      </c>
      <c r="O32" s="498" t="str">
        <f t="shared" si="5"/>
        <v/>
      </c>
      <c r="P32" s="499" t="str">
        <f>IF(C32="","",IF(AND(LEFT(C32,55)&lt;&gt;LEFT(N32,55),O32="High - High"),"Error - Not like for like ▲",IF(AND(F32=S32,H32&gt;U32),"Error - Can not reduce condition ▲",IF(AND(F32=S32,H32=U32,AJ32='F-1 Off Site River Baseline'!N30,'F-1 Off Site River Baseline'!P30=AL32),"Error - No enhancement ▲",IF(AND(C32&lt;&gt;N32,F32&lt;S32),"Lower Distinctiveness Habitat"&amp;" - "&amp;T32,G32&amp;" - "&amp;T32)))))</f>
        <v/>
      </c>
      <c r="Q32" s="505" t="str">
        <f>IF(N32="","",VLOOKUP(B32,'F-1 Off Site River Baseline'!$C$10:$AA$257,19,FALSE))</f>
        <v/>
      </c>
      <c r="R32" s="498" t="str">
        <f>IF(N32="","",VLOOKUP(N32,'G-7 Rivers Data'!$B$2:$G$8,2,FALSE))</f>
        <v/>
      </c>
      <c r="S32" s="499" t="str">
        <f>IFERROR(VLOOKUP(R32,'G-7 Rivers Data'!$C$4:$D$8,2,FALSE),"")</f>
        <v/>
      </c>
      <c r="T32" s="145"/>
      <c r="U32" s="499" t="str">
        <f>IFERROR(INDEX('G-7 Rivers Data'!$H$4:$L$8,MATCH(N32,'G-7 Rivers Data'!$B$4:$B$8,0),MATCH(T32,'G-7 Rivers Data'!$H$3:$L$3,0)),"")</f>
        <v/>
      </c>
      <c r="V32" s="154"/>
      <c r="W32" s="520" t="str">
        <f>IF(V32="","",IF(VLOOKUP(V32,'G-7 Rivers Data'!$AG$4:$AI$9,2,FALSE)=0,"Spatial Data Missing ⚠",VLOOKUP(V32,'G-7 Rivers Data'!$AG$4:$AI$9,2,FALSE)))</f>
        <v/>
      </c>
      <c r="X32" s="524" t="str">
        <f>IF(V32="","",IF(VLOOKUP(V32,'G-7 Rivers Data'!$AG$4:$AI$9,3,FALSE)=0,"Spatial Data Missing ⚠",VLOOKUP(V32,'G-7 Rivers Data'!$AG$4:$AI$9,3,FALSE)))</f>
        <v/>
      </c>
      <c r="Y32" s="537" t="str">
        <f>IFERROR(IF(OR(LEFT(P32,5)="Error ▲",LEFT(O32,5)="Error ▲"),"Check Data ⚠",IF(F32&lt;S32,'G-7 Rivers Data'!$R$3,INDEX('G-7 Rivers Data'!$U$5:$Y$9,MATCH(G32,'G-7 Rivers Data'!$T$5:$T$9,0),MATCH(T32,'G-7 Rivers Data'!$U$4:$Y$4,0)))),"")</f>
        <v/>
      </c>
      <c r="Z32" s="203"/>
      <c r="AA32" s="203"/>
      <c r="AB32" s="534" t="str">
        <f t="shared" si="1"/>
        <v/>
      </c>
      <c r="AC32" s="521" t="str">
        <f t="shared" si="2"/>
        <v/>
      </c>
      <c r="AD32" s="564" t="str">
        <f>IFERROR(IF(AC32="Check Data ⚠","Check Data ⚠",VLOOKUP(AC32,'G-4 Temporal multipliers'!$A$4:$C$37,3,FALSE)),"")</f>
        <v/>
      </c>
      <c r="AE32" s="537" t="str">
        <f>IF(N32="","",VLOOKUP(N32,'G-7 Rivers Data'!$B$4:$G$8,5,FALSE))</f>
        <v/>
      </c>
      <c r="AF32" s="520" t="str">
        <f t="shared" si="3"/>
        <v/>
      </c>
      <c r="AG32" s="520" t="str">
        <f t="shared" si="6"/>
        <v/>
      </c>
      <c r="AH32" s="524" t="str">
        <f t="shared" si="4"/>
        <v/>
      </c>
      <c r="AI32" s="145"/>
      <c r="AJ32" s="499" t="str">
        <f>IF(AI32="","",IF(VLOOKUP(AI32,'G-7 Rivers Data'!$AA$4:$AB$7,2,FALSE)=0,"Spatial Data Missing ⚠",VLOOKUP(AI32,'G-7 Rivers Data'!$AA$4:$AB$7,2,FALSE)))</f>
        <v/>
      </c>
      <c r="AK32" s="155"/>
      <c r="AL32" s="536" t="str">
        <f>IF(AK32="","",IF(VLOOKUP(AK32,'G-7 Rivers Data'!$AD$4:$AE$8,2,FALSE)=0,"Spatial Data Missing ⚠",VLOOKUP(AK32,'G-7 Rivers Data'!$AD$4:$AE$8,2,FALSE)))</f>
        <v/>
      </c>
      <c r="AM32" s="154"/>
      <c r="AN32" s="524" t="str">
        <f>IF(AM32="","",VLOOKUP(AM32,'G-7 Rivers Data'!$AO$4:$AP$7,2,FALSE))</f>
        <v/>
      </c>
      <c r="AO32" s="545" t="str">
        <f t="shared" si="7"/>
        <v/>
      </c>
      <c r="AP32" s="149"/>
      <c r="AQ32" s="150"/>
      <c r="AX32" s="31" t="str">
        <f>IFERROR(INDEX('G-7 Rivers Data'!$AZ$3:$AZ$7,MATCH(N32,'G-7 Rivers Data'!$AY$3:$AY$7,0)),"")</f>
        <v/>
      </c>
    </row>
    <row r="33" spans="2:50" ht="13.8" x14ac:dyDescent="0.25">
      <c r="B33" s="531" t="str">
        <f>'F-1 Off Site River Baseline'!AN31</f>
        <v/>
      </c>
      <c r="C33" s="520" t="str">
        <f>IF(B33="","",VLOOKUP($B33,'F-1 Off Site River Baseline'!$C$9:$R$257,2,FALSE))</f>
        <v/>
      </c>
      <c r="D33" s="520" t="str">
        <f>IF(C33="","",VLOOKUP($B33,'F-1 Off Site River Baseline'!$C$9:$R$257,3,FALSE))</f>
        <v/>
      </c>
      <c r="E33" s="520" t="str">
        <f>IF(D33="","",VLOOKUP($B33,'F-1 Off Site River Baseline'!$C$9:$R$257,4,FALSE))</f>
        <v/>
      </c>
      <c r="F33" s="520" t="str">
        <f>IF(E33="","",VLOOKUP($B33,'F-1 Off Site River Baseline'!$C$9:$R$257,5,FALSE))</f>
        <v/>
      </c>
      <c r="G33" s="520" t="str">
        <f>IF(F33="","",VLOOKUP($B33,'F-1 Off Site River Baseline'!$C$9:$R$257,6,FALSE))</f>
        <v/>
      </c>
      <c r="H33" s="520" t="str">
        <f>IF(G33="","",VLOOKUP($B33,'F-1 Off Site River Baseline'!$C$9:$R$257,7,FALSE))</f>
        <v/>
      </c>
      <c r="I33" s="520" t="str">
        <f>IF(H33="","",VLOOKUP($B33,'F-1 Off Site River Baseline'!$C$9:$R$257,8,FALSE))</f>
        <v/>
      </c>
      <c r="J33" s="520" t="str">
        <f>IF(I33="","",VLOOKUP($B33,'F-1 Off Site River Baseline'!$C$9:$R$257,9,FALSE))</f>
        <v/>
      </c>
      <c r="K33" s="520" t="str">
        <f>IF(J33="","",VLOOKUP($B33,'F-1 Off Site River Baseline'!$C$9:$R$257,10,FALSE))</f>
        <v/>
      </c>
      <c r="L33" s="520" t="str">
        <f>IF(B33="","",VLOOKUP($B33,'C-1 Site River Baseline'!$C$9:$R$257,15,FALSE))</f>
        <v/>
      </c>
      <c r="M33" s="524" t="str">
        <f>IF(L33="","",VLOOKUP($B33,'F-1 Off Site River Baseline'!$C$9:$R$257,16,FALSE))</f>
        <v/>
      </c>
      <c r="N33" s="418" t="str">
        <f t="shared" si="0"/>
        <v/>
      </c>
      <c r="O33" s="498" t="str">
        <f t="shared" si="5"/>
        <v/>
      </c>
      <c r="P33" s="499" t="str">
        <f>IF(C33="","",IF(AND(LEFT(C33,55)&lt;&gt;LEFT(N33,55),O33="High - High"),"Error - Not like for like ▲",IF(AND(F33=S33,H33&gt;U33),"Error - Can not reduce condition ▲",IF(AND(F33=S33,H33=U33,AJ33='F-1 Off Site River Baseline'!N31,'F-1 Off Site River Baseline'!P31=AL33),"Error - No enhancement ▲",IF(AND(C33&lt;&gt;N33,F33&lt;S33),"Lower Distinctiveness Habitat"&amp;" - "&amp;T33,G33&amp;" - "&amp;T33)))))</f>
        <v/>
      </c>
      <c r="Q33" s="505" t="str">
        <f>IF(N33="","",VLOOKUP(B33,'F-1 Off Site River Baseline'!$C$10:$AA$257,19,FALSE))</f>
        <v/>
      </c>
      <c r="R33" s="498" t="str">
        <f>IF(N33="","",VLOOKUP(N33,'G-7 Rivers Data'!$B$2:$G$8,2,FALSE))</f>
        <v/>
      </c>
      <c r="S33" s="499" t="str">
        <f>IFERROR(VLOOKUP(R33,'G-7 Rivers Data'!$C$4:$D$8,2,FALSE),"")</f>
        <v/>
      </c>
      <c r="T33" s="145"/>
      <c r="U33" s="499" t="str">
        <f>IFERROR(INDEX('G-7 Rivers Data'!$H$4:$L$8,MATCH(N33,'G-7 Rivers Data'!$B$4:$B$8,0),MATCH(T33,'G-7 Rivers Data'!$H$3:$L$3,0)),"")</f>
        <v/>
      </c>
      <c r="V33" s="154"/>
      <c r="W33" s="520" t="str">
        <f>IF(V33="","",IF(VLOOKUP(V33,'G-7 Rivers Data'!$AG$4:$AI$9,2,FALSE)=0,"Spatial Data Missing ⚠",VLOOKUP(V33,'G-7 Rivers Data'!$AG$4:$AI$9,2,FALSE)))</f>
        <v/>
      </c>
      <c r="X33" s="524" t="str">
        <f>IF(V33="","",IF(VLOOKUP(V33,'G-7 Rivers Data'!$AG$4:$AI$9,3,FALSE)=0,"Spatial Data Missing ⚠",VLOOKUP(V33,'G-7 Rivers Data'!$AG$4:$AI$9,3,FALSE)))</f>
        <v/>
      </c>
      <c r="Y33" s="537" t="str">
        <f>IFERROR(IF(OR(LEFT(P33,5)="Error ▲",LEFT(O33,5)="Error ▲"),"Check Data ⚠",IF(F33&lt;S33,'G-7 Rivers Data'!$R$3,INDEX('G-7 Rivers Data'!$U$5:$Y$9,MATCH(G33,'G-7 Rivers Data'!$T$5:$T$9,0),MATCH(T33,'G-7 Rivers Data'!$U$4:$Y$4,0)))),"")</f>
        <v/>
      </c>
      <c r="Z33" s="203"/>
      <c r="AA33" s="203"/>
      <c r="AB33" s="534" t="str">
        <f t="shared" si="1"/>
        <v/>
      </c>
      <c r="AC33" s="521" t="str">
        <f t="shared" si="2"/>
        <v/>
      </c>
      <c r="AD33" s="564" t="str">
        <f>IFERROR(IF(AC33="Check Data ⚠","Check Data ⚠",VLOOKUP(AC33,'G-4 Temporal multipliers'!$A$4:$C$37,3,FALSE)),"")</f>
        <v/>
      </c>
      <c r="AE33" s="537" t="str">
        <f>IF(N33="","",VLOOKUP(N33,'G-7 Rivers Data'!$B$4:$G$8,5,FALSE))</f>
        <v/>
      </c>
      <c r="AF33" s="520" t="str">
        <f t="shared" si="3"/>
        <v/>
      </c>
      <c r="AG33" s="520" t="str">
        <f t="shared" si="6"/>
        <v/>
      </c>
      <c r="AH33" s="524" t="str">
        <f t="shared" si="4"/>
        <v/>
      </c>
      <c r="AI33" s="145"/>
      <c r="AJ33" s="499" t="str">
        <f>IF(AI33="","",IF(VLOOKUP(AI33,'G-7 Rivers Data'!$AA$4:$AB$7,2,FALSE)=0,"Spatial Data Missing ⚠",VLOOKUP(AI33,'G-7 Rivers Data'!$AA$4:$AB$7,2,FALSE)))</f>
        <v/>
      </c>
      <c r="AK33" s="155"/>
      <c r="AL33" s="536" t="str">
        <f>IF(AK33="","",IF(VLOOKUP(AK33,'G-7 Rivers Data'!$AD$4:$AE$8,2,FALSE)=0,"Spatial Data Missing ⚠",VLOOKUP(AK33,'G-7 Rivers Data'!$AD$4:$AE$8,2,FALSE)))</f>
        <v/>
      </c>
      <c r="AM33" s="154"/>
      <c r="AN33" s="524" t="str">
        <f>IF(AM33="","",VLOOKUP(AM33,'G-7 Rivers Data'!$AO$4:$AP$7,2,FALSE))</f>
        <v/>
      </c>
      <c r="AO33" s="545" t="str">
        <f t="shared" si="7"/>
        <v/>
      </c>
      <c r="AP33" s="149"/>
      <c r="AQ33" s="150"/>
      <c r="AX33" s="31" t="str">
        <f>IFERROR(INDEX('G-7 Rivers Data'!$AZ$3:$AZ$7,MATCH(N33,'G-7 Rivers Data'!$AY$3:$AY$7,0)),"")</f>
        <v/>
      </c>
    </row>
    <row r="34" spans="2:50" ht="13.8" x14ac:dyDescent="0.25">
      <c r="B34" s="531" t="str">
        <f>'F-1 Off Site River Baseline'!AN32</f>
        <v/>
      </c>
      <c r="C34" s="520" t="str">
        <f>IF(B34="","",VLOOKUP($B34,'F-1 Off Site River Baseline'!$C$9:$R$257,2,FALSE))</f>
        <v/>
      </c>
      <c r="D34" s="520" t="str">
        <f>IF(C34="","",VLOOKUP($B34,'F-1 Off Site River Baseline'!$C$9:$R$257,3,FALSE))</f>
        <v/>
      </c>
      <c r="E34" s="520" t="str">
        <f>IF(D34="","",VLOOKUP($B34,'F-1 Off Site River Baseline'!$C$9:$R$257,4,FALSE))</f>
        <v/>
      </c>
      <c r="F34" s="520" t="str">
        <f>IF(E34="","",VLOOKUP($B34,'F-1 Off Site River Baseline'!$C$9:$R$257,5,FALSE))</f>
        <v/>
      </c>
      <c r="G34" s="520" t="str">
        <f>IF(F34="","",VLOOKUP($B34,'F-1 Off Site River Baseline'!$C$9:$R$257,6,FALSE))</f>
        <v/>
      </c>
      <c r="H34" s="520" t="str">
        <f>IF(G34="","",VLOOKUP($B34,'F-1 Off Site River Baseline'!$C$9:$R$257,7,FALSE))</f>
        <v/>
      </c>
      <c r="I34" s="520" t="str">
        <f>IF(H34="","",VLOOKUP($B34,'F-1 Off Site River Baseline'!$C$9:$R$257,8,FALSE))</f>
        <v/>
      </c>
      <c r="J34" s="520" t="str">
        <f>IF(I34="","",VLOOKUP($B34,'F-1 Off Site River Baseline'!$C$9:$R$257,9,FALSE))</f>
        <v/>
      </c>
      <c r="K34" s="520" t="str">
        <f>IF(J34="","",VLOOKUP($B34,'F-1 Off Site River Baseline'!$C$9:$R$257,10,FALSE))</f>
        <v/>
      </c>
      <c r="L34" s="520" t="str">
        <f>IF(B34="","",VLOOKUP($B34,'C-1 Site River Baseline'!$C$9:$R$257,15,FALSE))</f>
        <v/>
      </c>
      <c r="M34" s="524" t="str">
        <f>IF(L34="","",VLOOKUP($B34,'F-1 Off Site River Baseline'!$C$9:$R$257,16,FALSE))</f>
        <v/>
      </c>
      <c r="N34" s="418" t="str">
        <f t="shared" si="0"/>
        <v/>
      </c>
      <c r="O34" s="498" t="str">
        <f t="shared" si="5"/>
        <v/>
      </c>
      <c r="P34" s="499" t="str">
        <f>IF(C34="","",IF(AND(LEFT(C34,55)&lt;&gt;LEFT(N34,55),O34="High - High"),"Error - Not like for like ▲",IF(AND(F34=S34,H34&gt;U34),"Error - Can not reduce condition ▲",IF(AND(F34=S34,H34=U34,AJ34='F-1 Off Site River Baseline'!N32,'F-1 Off Site River Baseline'!P32=AL34),"Error - No enhancement ▲",IF(AND(C34&lt;&gt;N34,F34&lt;S34),"Lower Distinctiveness Habitat"&amp;" - "&amp;T34,G34&amp;" - "&amp;T34)))))</f>
        <v/>
      </c>
      <c r="Q34" s="505" t="str">
        <f>IF(N34="","",VLOOKUP(B34,'F-1 Off Site River Baseline'!$C$10:$AA$257,19,FALSE))</f>
        <v/>
      </c>
      <c r="R34" s="498" t="str">
        <f>IF(N34="","",VLOOKUP(N34,'G-7 Rivers Data'!$B$2:$G$8,2,FALSE))</f>
        <v/>
      </c>
      <c r="S34" s="499" t="str">
        <f>IFERROR(VLOOKUP(R34,'G-7 Rivers Data'!$C$4:$D$8,2,FALSE),"")</f>
        <v/>
      </c>
      <c r="T34" s="145"/>
      <c r="U34" s="499" t="str">
        <f>IFERROR(INDEX('G-7 Rivers Data'!$H$4:$L$8,MATCH(N34,'G-7 Rivers Data'!$B$4:$B$8,0),MATCH(T34,'G-7 Rivers Data'!$H$3:$L$3,0)),"")</f>
        <v/>
      </c>
      <c r="V34" s="154"/>
      <c r="W34" s="520" t="str">
        <f>IF(V34="","",IF(VLOOKUP(V34,'G-7 Rivers Data'!$AG$4:$AI$9,2,FALSE)=0,"Spatial Data Missing ⚠",VLOOKUP(V34,'G-7 Rivers Data'!$AG$4:$AI$9,2,FALSE)))</f>
        <v/>
      </c>
      <c r="X34" s="524" t="str">
        <f>IF(V34="","",IF(VLOOKUP(V34,'G-7 Rivers Data'!$AG$4:$AI$9,3,FALSE)=0,"Spatial Data Missing ⚠",VLOOKUP(V34,'G-7 Rivers Data'!$AG$4:$AI$9,3,FALSE)))</f>
        <v/>
      </c>
      <c r="Y34" s="537" t="str">
        <f>IFERROR(IF(OR(LEFT(P34,5)="Error ▲",LEFT(O34,5)="Error ▲"),"Check Data ⚠",IF(F34&lt;S34,'G-7 Rivers Data'!$R$3,INDEX('G-7 Rivers Data'!$U$5:$Y$9,MATCH(G34,'G-7 Rivers Data'!$T$5:$T$9,0),MATCH(T34,'G-7 Rivers Data'!$U$4:$Y$4,0)))),"")</f>
        <v/>
      </c>
      <c r="Z34" s="203"/>
      <c r="AA34" s="203"/>
      <c r="AB34" s="534" t="str">
        <f t="shared" si="1"/>
        <v/>
      </c>
      <c r="AC34" s="521" t="str">
        <f t="shared" si="2"/>
        <v/>
      </c>
      <c r="AD34" s="564" t="str">
        <f>IFERROR(IF(AC34="Check Data ⚠","Check Data ⚠",VLOOKUP(AC34,'G-4 Temporal multipliers'!$A$4:$C$37,3,FALSE)),"")</f>
        <v/>
      </c>
      <c r="AE34" s="537" t="str">
        <f>IF(N34="","",VLOOKUP(N34,'G-7 Rivers Data'!$B$4:$G$8,5,FALSE))</f>
        <v/>
      </c>
      <c r="AF34" s="520" t="str">
        <f t="shared" si="3"/>
        <v/>
      </c>
      <c r="AG34" s="520" t="str">
        <f t="shared" si="6"/>
        <v/>
      </c>
      <c r="AH34" s="524" t="str">
        <f t="shared" si="4"/>
        <v/>
      </c>
      <c r="AI34" s="145"/>
      <c r="AJ34" s="499" t="str">
        <f>IF(AI34="","",IF(VLOOKUP(AI34,'G-7 Rivers Data'!$AA$4:$AB$7,2,FALSE)=0,"Spatial Data Missing ⚠",VLOOKUP(AI34,'G-7 Rivers Data'!$AA$4:$AB$7,2,FALSE)))</f>
        <v/>
      </c>
      <c r="AK34" s="155"/>
      <c r="AL34" s="536" t="str">
        <f>IF(AK34="","",IF(VLOOKUP(AK34,'G-7 Rivers Data'!$AD$4:$AE$8,2,FALSE)=0,"Spatial Data Missing ⚠",VLOOKUP(AK34,'G-7 Rivers Data'!$AD$4:$AE$8,2,FALSE)))</f>
        <v/>
      </c>
      <c r="AM34" s="154"/>
      <c r="AN34" s="524" t="str">
        <f>IF(AM34="","",VLOOKUP(AM34,'G-7 Rivers Data'!$AO$4:$AP$7,2,FALSE))</f>
        <v/>
      </c>
      <c r="AO34" s="545" t="str">
        <f t="shared" si="7"/>
        <v/>
      </c>
      <c r="AP34" s="149"/>
      <c r="AQ34" s="150"/>
      <c r="AX34" s="31" t="str">
        <f>IFERROR(INDEX('G-7 Rivers Data'!$AZ$3:$AZ$7,MATCH(N34,'G-7 Rivers Data'!$AY$3:$AY$7,0)),"")</f>
        <v/>
      </c>
    </row>
    <row r="35" spans="2:50" ht="13.8" x14ac:dyDescent="0.25">
      <c r="B35" s="531" t="str">
        <f>'F-1 Off Site River Baseline'!AN33</f>
        <v/>
      </c>
      <c r="C35" s="520" t="str">
        <f>IF(B35="","",VLOOKUP($B35,'F-1 Off Site River Baseline'!$C$9:$R$257,2,FALSE))</f>
        <v/>
      </c>
      <c r="D35" s="520" t="str">
        <f>IF(C35="","",VLOOKUP($B35,'F-1 Off Site River Baseline'!$C$9:$R$257,3,FALSE))</f>
        <v/>
      </c>
      <c r="E35" s="520" t="str">
        <f>IF(D35="","",VLOOKUP($B35,'F-1 Off Site River Baseline'!$C$9:$R$257,4,FALSE))</f>
        <v/>
      </c>
      <c r="F35" s="520" t="str">
        <f>IF(E35="","",VLOOKUP($B35,'F-1 Off Site River Baseline'!$C$9:$R$257,5,FALSE))</f>
        <v/>
      </c>
      <c r="G35" s="520" t="str">
        <f>IF(F35="","",VLOOKUP($B35,'F-1 Off Site River Baseline'!$C$9:$R$257,6,FALSE))</f>
        <v/>
      </c>
      <c r="H35" s="520" t="str">
        <f>IF(G35="","",VLOOKUP($B35,'F-1 Off Site River Baseline'!$C$9:$R$257,7,FALSE))</f>
        <v/>
      </c>
      <c r="I35" s="520" t="str">
        <f>IF(H35="","",VLOOKUP($B35,'F-1 Off Site River Baseline'!$C$9:$R$257,8,FALSE))</f>
        <v/>
      </c>
      <c r="J35" s="520" t="str">
        <f>IF(I35="","",VLOOKUP($B35,'F-1 Off Site River Baseline'!$C$9:$R$257,9,FALSE))</f>
        <v/>
      </c>
      <c r="K35" s="520" t="str">
        <f>IF(J35="","",VLOOKUP($B35,'F-1 Off Site River Baseline'!$C$9:$R$257,10,FALSE))</f>
        <v/>
      </c>
      <c r="L35" s="520" t="str">
        <f>IF(B35="","",VLOOKUP($B35,'C-1 Site River Baseline'!$C$9:$R$257,15,FALSE))</f>
        <v/>
      </c>
      <c r="M35" s="524" t="str">
        <f>IF(L35="","",VLOOKUP($B35,'F-1 Off Site River Baseline'!$C$9:$R$257,16,FALSE))</f>
        <v/>
      </c>
      <c r="N35" s="418" t="str">
        <f t="shared" si="0"/>
        <v/>
      </c>
      <c r="O35" s="498" t="str">
        <f t="shared" si="5"/>
        <v/>
      </c>
      <c r="P35" s="499" t="str">
        <f>IF(C35="","",IF(AND(LEFT(C35,55)&lt;&gt;LEFT(N35,55),O35="High - High"),"Error - Not like for like ▲",IF(AND(F35=S35,H35&gt;U35),"Error - Can not reduce condition ▲",IF(AND(F35=S35,H35=U35,AJ35='F-1 Off Site River Baseline'!N33,'F-1 Off Site River Baseline'!P33=AL35),"Error - No enhancement ▲",IF(AND(C35&lt;&gt;N35,F35&lt;S35),"Lower Distinctiveness Habitat"&amp;" - "&amp;T35,G35&amp;" - "&amp;T35)))))</f>
        <v/>
      </c>
      <c r="Q35" s="505" t="str">
        <f>IF(N35="","",VLOOKUP(B35,'F-1 Off Site River Baseline'!$C$10:$AA$257,19,FALSE))</f>
        <v/>
      </c>
      <c r="R35" s="498" t="str">
        <f>IF(N35="","",VLOOKUP(N35,'G-7 Rivers Data'!$B$2:$G$8,2,FALSE))</f>
        <v/>
      </c>
      <c r="S35" s="499" t="str">
        <f>IFERROR(VLOOKUP(R35,'G-7 Rivers Data'!$C$4:$D$8,2,FALSE),"")</f>
        <v/>
      </c>
      <c r="T35" s="145"/>
      <c r="U35" s="499" t="str">
        <f>IFERROR(INDEX('G-7 Rivers Data'!$H$4:$L$8,MATCH(N35,'G-7 Rivers Data'!$B$4:$B$8,0),MATCH(T35,'G-7 Rivers Data'!$H$3:$L$3,0)),"")</f>
        <v/>
      </c>
      <c r="V35" s="154"/>
      <c r="W35" s="520" t="str">
        <f>IF(V35="","",IF(VLOOKUP(V35,'G-7 Rivers Data'!$AG$4:$AI$9,2,FALSE)=0,"Spatial Data Missing ⚠",VLOOKUP(V35,'G-7 Rivers Data'!$AG$4:$AI$9,2,FALSE)))</f>
        <v/>
      </c>
      <c r="X35" s="524" t="str">
        <f>IF(V35="","",IF(VLOOKUP(V35,'G-7 Rivers Data'!$AG$4:$AI$9,3,FALSE)=0,"Spatial Data Missing ⚠",VLOOKUP(V35,'G-7 Rivers Data'!$AG$4:$AI$9,3,FALSE)))</f>
        <v/>
      </c>
      <c r="Y35" s="537" t="str">
        <f>IFERROR(IF(OR(LEFT(P35,5)="Error ▲",LEFT(O35,5)="Error ▲"),"Check Data ⚠",IF(F35&lt;S35,'G-7 Rivers Data'!$R$3,INDEX('G-7 Rivers Data'!$U$5:$Y$9,MATCH(G35,'G-7 Rivers Data'!$T$5:$T$9,0),MATCH(T35,'G-7 Rivers Data'!$U$4:$Y$4,0)))),"")</f>
        <v/>
      </c>
      <c r="Z35" s="203"/>
      <c r="AA35" s="203"/>
      <c r="AB35" s="534" t="str">
        <f t="shared" si="1"/>
        <v/>
      </c>
      <c r="AC35" s="521" t="str">
        <f t="shared" si="2"/>
        <v/>
      </c>
      <c r="AD35" s="564" t="str">
        <f>IFERROR(IF(AC35="Check Data ⚠","Check Data ⚠",VLOOKUP(AC35,'G-4 Temporal multipliers'!$A$4:$C$37,3,FALSE)),"")</f>
        <v/>
      </c>
      <c r="AE35" s="537" t="str">
        <f>IF(N35="","",VLOOKUP(N35,'G-7 Rivers Data'!$B$4:$G$8,5,FALSE))</f>
        <v/>
      </c>
      <c r="AF35" s="520" t="str">
        <f t="shared" si="3"/>
        <v/>
      </c>
      <c r="AG35" s="520" t="str">
        <f t="shared" si="6"/>
        <v/>
      </c>
      <c r="AH35" s="524" t="str">
        <f t="shared" si="4"/>
        <v/>
      </c>
      <c r="AI35" s="145"/>
      <c r="AJ35" s="499" t="str">
        <f>IF(AI35="","",IF(VLOOKUP(AI35,'G-7 Rivers Data'!$AA$4:$AB$7,2,FALSE)=0,"Spatial Data Missing ⚠",VLOOKUP(AI35,'G-7 Rivers Data'!$AA$4:$AB$7,2,FALSE)))</f>
        <v/>
      </c>
      <c r="AK35" s="155"/>
      <c r="AL35" s="536" t="str">
        <f>IF(AK35="","",IF(VLOOKUP(AK35,'G-7 Rivers Data'!$AD$4:$AE$8,2,FALSE)=0,"Spatial Data Missing ⚠",VLOOKUP(AK35,'G-7 Rivers Data'!$AD$4:$AE$8,2,FALSE)))</f>
        <v/>
      </c>
      <c r="AM35" s="154"/>
      <c r="AN35" s="524" t="str">
        <f>IF(AM35="","",VLOOKUP(AM35,'G-7 Rivers Data'!$AO$4:$AP$7,2,FALSE))</f>
        <v/>
      </c>
      <c r="AO35" s="545" t="str">
        <f t="shared" si="7"/>
        <v/>
      </c>
      <c r="AP35" s="149"/>
      <c r="AQ35" s="150"/>
      <c r="AX35" s="31" t="str">
        <f>IFERROR(INDEX('G-7 Rivers Data'!$AZ$3:$AZ$7,MATCH(N35,'G-7 Rivers Data'!$AY$3:$AY$7,0)),"")</f>
        <v/>
      </c>
    </row>
    <row r="36" spans="2:50" ht="13.8" x14ac:dyDescent="0.25">
      <c r="B36" s="531" t="str">
        <f>'F-1 Off Site River Baseline'!AN34</f>
        <v/>
      </c>
      <c r="C36" s="520" t="str">
        <f>IF(B36="","",VLOOKUP($B36,'F-1 Off Site River Baseline'!$C$9:$R$257,2,FALSE))</f>
        <v/>
      </c>
      <c r="D36" s="520" t="str">
        <f>IF(C36="","",VLOOKUP($B36,'F-1 Off Site River Baseline'!$C$9:$R$257,3,FALSE))</f>
        <v/>
      </c>
      <c r="E36" s="520" t="str">
        <f>IF(D36="","",VLOOKUP($B36,'F-1 Off Site River Baseline'!$C$9:$R$257,4,FALSE))</f>
        <v/>
      </c>
      <c r="F36" s="520" t="str">
        <f>IF(E36="","",VLOOKUP($B36,'F-1 Off Site River Baseline'!$C$9:$R$257,5,FALSE))</f>
        <v/>
      </c>
      <c r="G36" s="520" t="str">
        <f>IF(F36="","",VLOOKUP($B36,'F-1 Off Site River Baseline'!$C$9:$R$257,6,FALSE))</f>
        <v/>
      </c>
      <c r="H36" s="520" t="str">
        <f>IF(G36="","",VLOOKUP($B36,'F-1 Off Site River Baseline'!$C$9:$R$257,7,FALSE))</f>
        <v/>
      </c>
      <c r="I36" s="520" t="str">
        <f>IF(H36="","",VLOOKUP($B36,'F-1 Off Site River Baseline'!$C$9:$R$257,8,FALSE))</f>
        <v/>
      </c>
      <c r="J36" s="520" t="str">
        <f>IF(I36="","",VLOOKUP($B36,'F-1 Off Site River Baseline'!$C$9:$R$257,9,FALSE))</f>
        <v/>
      </c>
      <c r="K36" s="520" t="str">
        <f>IF(J36="","",VLOOKUP($B36,'F-1 Off Site River Baseline'!$C$9:$R$257,10,FALSE))</f>
        <v/>
      </c>
      <c r="L36" s="520" t="str">
        <f>IF(B36="","",VLOOKUP($B36,'C-1 Site River Baseline'!$C$9:$R$257,15,FALSE))</f>
        <v/>
      </c>
      <c r="M36" s="524" t="str">
        <f>IF(L36="","",VLOOKUP($B36,'F-1 Off Site River Baseline'!$C$9:$R$257,16,FALSE))</f>
        <v/>
      </c>
      <c r="N36" s="418" t="str">
        <f t="shared" si="0"/>
        <v/>
      </c>
      <c r="O36" s="498" t="str">
        <f t="shared" si="5"/>
        <v/>
      </c>
      <c r="P36" s="499" t="str">
        <f>IF(C36="","",IF(AND(LEFT(C36,55)&lt;&gt;LEFT(N36,55),O36="High - High"),"Error - Not like for like ▲",IF(AND(F36=S36,H36&gt;U36),"Error - Can not reduce condition ▲",IF(AND(F36=S36,H36=U36,AJ36='F-1 Off Site River Baseline'!N34,'F-1 Off Site River Baseline'!P34=AL36),"Error - No enhancement ▲",IF(AND(C36&lt;&gt;N36,F36&lt;S36),"Lower Distinctiveness Habitat"&amp;" - "&amp;T36,G36&amp;" - "&amp;T36)))))</f>
        <v/>
      </c>
      <c r="Q36" s="505" t="str">
        <f>IF(N36="","",VLOOKUP(B36,'F-1 Off Site River Baseline'!$C$10:$AA$257,19,FALSE))</f>
        <v/>
      </c>
      <c r="R36" s="498" t="str">
        <f>IF(N36="","",VLOOKUP(N36,'G-7 Rivers Data'!$B$2:$G$8,2,FALSE))</f>
        <v/>
      </c>
      <c r="S36" s="499" t="str">
        <f>IFERROR(VLOOKUP(R36,'G-7 Rivers Data'!$C$4:$D$8,2,FALSE),"")</f>
        <v/>
      </c>
      <c r="T36" s="145"/>
      <c r="U36" s="499" t="str">
        <f>IFERROR(INDEX('G-7 Rivers Data'!$H$4:$L$8,MATCH(N36,'G-7 Rivers Data'!$B$4:$B$8,0),MATCH(T36,'G-7 Rivers Data'!$H$3:$L$3,0)),"")</f>
        <v/>
      </c>
      <c r="V36" s="154"/>
      <c r="W36" s="520" t="str">
        <f>IF(V36="","",IF(VLOOKUP(V36,'G-7 Rivers Data'!$AG$4:$AI$9,2,FALSE)=0,"Spatial Data Missing ⚠",VLOOKUP(V36,'G-7 Rivers Data'!$AG$4:$AI$9,2,FALSE)))</f>
        <v/>
      </c>
      <c r="X36" s="524" t="str">
        <f>IF(V36="","",IF(VLOOKUP(V36,'G-7 Rivers Data'!$AG$4:$AI$9,3,FALSE)=0,"Spatial Data Missing ⚠",VLOOKUP(V36,'G-7 Rivers Data'!$AG$4:$AI$9,3,FALSE)))</f>
        <v/>
      </c>
      <c r="Y36" s="537" t="str">
        <f>IFERROR(IF(OR(LEFT(P36,5)="Error ▲",LEFT(O36,5)="Error ▲"),"Check Data ⚠",IF(F36&lt;S36,'G-7 Rivers Data'!$R$3,INDEX('G-7 Rivers Data'!$U$5:$Y$9,MATCH(G36,'G-7 Rivers Data'!$T$5:$T$9,0),MATCH(T36,'G-7 Rivers Data'!$U$4:$Y$4,0)))),"")</f>
        <v/>
      </c>
      <c r="Z36" s="203"/>
      <c r="AA36" s="203"/>
      <c r="AB36" s="534" t="str">
        <f t="shared" si="1"/>
        <v/>
      </c>
      <c r="AC36" s="521" t="str">
        <f t="shared" si="2"/>
        <v/>
      </c>
      <c r="AD36" s="564" t="str">
        <f>IFERROR(IF(AC36="Check Data ⚠","Check Data ⚠",VLOOKUP(AC36,'G-4 Temporal multipliers'!$A$4:$C$37,3,FALSE)),"")</f>
        <v/>
      </c>
      <c r="AE36" s="537" t="str">
        <f>IF(N36="","",VLOOKUP(N36,'G-7 Rivers Data'!$B$4:$G$8,5,FALSE))</f>
        <v/>
      </c>
      <c r="AF36" s="520" t="str">
        <f t="shared" si="3"/>
        <v/>
      </c>
      <c r="AG36" s="520" t="str">
        <f t="shared" si="6"/>
        <v/>
      </c>
      <c r="AH36" s="524" t="str">
        <f t="shared" si="4"/>
        <v/>
      </c>
      <c r="AI36" s="145"/>
      <c r="AJ36" s="499" t="str">
        <f>IF(AI36="","",IF(VLOOKUP(AI36,'G-7 Rivers Data'!$AA$4:$AB$7,2,FALSE)=0,"Spatial Data Missing ⚠",VLOOKUP(AI36,'G-7 Rivers Data'!$AA$4:$AB$7,2,FALSE)))</f>
        <v/>
      </c>
      <c r="AK36" s="155"/>
      <c r="AL36" s="536" t="str">
        <f>IF(AK36="","",IF(VLOOKUP(AK36,'G-7 Rivers Data'!$AD$4:$AE$8,2,FALSE)=0,"Spatial Data Missing ⚠",VLOOKUP(AK36,'G-7 Rivers Data'!$AD$4:$AE$8,2,FALSE)))</f>
        <v/>
      </c>
      <c r="AM36" s="154"/>
      <c r="AN36" s="524" t="str">
        <f>IF(AM36="","",VLOOKUP(AM36,'G-7 Rivers Data'!$AO$4:$AP$7,2,FALSE))</f>
        <v/>
      </c>
      <c r="AO36" s="545" t="str">
        <f t="shared" si="7"/>
        <v/>
      </c>
      <c r="AP36" s="149"/>
      <c r="AQ36" s="150"/>
      <c r="AX36" s="31" t="str">
        <f>IFERROR(INDEX('G-7 Rivers Data'!$AZ$3:$AZ$7,MATCH(N36,'G-7 Rivers Data'!$AY$3:$AY$7,0)),"")</f>
        <v/>
      </c>
    </row>
    <row r="37" spans="2:50" ht="13.8" x14ac:dyDescent="0.25">
      <c r="B37" s="531" t="str">
        <f>'F-1 Off Site River Baseline'!AN35</f>
        <v/>
      </c>
      <c r="C37" s="520" t="str">
        <f>IF(B37="","",VLOOKUP($B37,'F-1 Off Site River Baseline'!$C$9:$R$257,2,FALSE))</f>
        <v/>
      </c>
      <c r="D37" s="520" t="str">
        <f>IF(C37="","",VLOOKUP($B37,'F-1 Off Site River Baseline'!$C$9:$R$257,3,FALSE))</f>
        <v/>
      </c>
      <c r="E37" s="520" t="str">
        <f>IF(D37="","",VLOOKUP($B37,'F-1 Off Site River Baseline'!$C$9:$R$257,4,FALSE))</f>
        <v/>
      </c>
      <c r="F37" s="520" t="str">
        <f>IF(E37="","",VLOOKUP($B37,'F-1 Off Site River Baseline'!$C$9:$R$257,5,FALSE))</f>
        <v/>
      </c>
      <c r="G37" s="520" t="str">
        <f>IF(F37="","",VLOOKUP($B37,'F-1 Off Site River Baseline'!$C$9:$R$257,6,FALSE))</f>
        <v/>
      </c>
      <c r="H37" s="520" t="str">
        <f>IF(G37="","",VLOOKUP($B37,'F-1 Off Site River Baseline'!$C$9:$R$257,7,FALSE))</f>
        <v/>
      </c>
      <c r="I37" s="520" t="str">
        <f>IF(H37="","",VLOOKUP($B37,'F-1 Off Site River Baseline'!$C$9:$R$257,8,FALSE))</f>
        <v/>
      </c>
      <c r="J37" s="520" t="str">
        <f>IF(I37="","",VLOOKUP($B37,'F-1 Off Site River Baseline'!$C$9:$R$257,9,FALSE))</f>
        <v/>
      </c>
      <c r="K37" s="520" t="str">
        <f>IF(J37="","",VLOOKUP($B37,'F-1 Off Site River Baseline'!$C$9:$R$257,10,FALSE))</f>
        <v/>
      </c>
      <c r="L37" s="520" t="str">
        <f>IF(B37="","",VLOOKUP($B37,'C-1 Site River Baseline'!$C$9:$R$257,15,FALSE))</f>
        <v/>
      </c>
      <c r="M37" s="524" t="str">
        <f>IF(L37="","",VLOOKUP($B37,'F-1 Off Site River Baseline'!$C$9:$R$257,16,FALSE))</f>
        <v/>
      </c>
      <c r="N37" s="418" t="str">
        <f t="shared" si="0"/>
        <v/>
      </c>
      <c r="O37" s="498" t="str">
        <f t="shared" si="5"/>
        <v/>
      </c>
      <c r="P37" s="499" t="str">
        <f>IF(C37="","",IF(AND(LEFT(C37,55)&lt;&gt;LEFT(N37,55),O37="High - High"),"Error - Not like for like ▲",IF(AND(F37=S37,H37&gt;U37),"Error - Can not reduce condition ▲",IF(AND(F37=S37,H37=U37,AJ37='F-1 Off Site River Baseline'!N35,'F-1 Off Site River Baseline'!P35=AL37),"Error - No enhancement ▲",IF(AND(C37&lt;&gt;N37,F37&lt;S37),"Lower Distinctiveness Habitat"&amp;" - "&amp;T37,G37&amp;" - "&amp;T37)))))</f>
        <v/>
      </c>
      <c r="Q37" s="505" t="str">
        <f>IF(N37="","",VLOOKUP(B37,'F-1 Off Site River Baseline'!$C$10:$AA$257,19,FALSE))</f>
        <v/>
      </c>
      <c r="R37" s="498" t="str">
        <f>IF(N37="","",VLOOKUP(N37,'G-7 Rivers Data'!$B$2:$G$8,2,FALSE))</f>
        <v/>
      </c>
      <c r="S37" s="499" t="str">
        <f>IFERROR(VLOOKUP(R37,'G-7 Rivers Data'!$C$4:$D$8,2,FALSE),"")</f>
        <v/>
      </c>
      <c r="T37" s="145"/>
      <c r="U37" s="499" t="str">
        <f>IFERROR(INDEX('G-7 Rivers Data'!$H$4:$L$8,MATCH(N37,'G-7 Rivers Data'!$B$4:$B$8,0),MATCH(T37,'G-7 Rivers Data'!$H$3:$L$3,0)),"")</f>
        <v/>
      </c>
      <c r="V37" s="154"/>
      <c r="W37" s="520" t="str">
        <f>IF(V37="","",IF(VLOOKUP(V37,'G-7 Rivers Data'!$AG$4:$AI$9,2,FALSE)=0,"Spatial Data Missing ⚠",VLOOKUP(V37,'G-7 Rivers Data'!$AG$4:$AI$9,2,FALSE)))</f>
        <v/>
      </c>
      <c r="X37" s="524" t="str">
        <f>IF(V37="","",IF(VLOOKUP(V37,'G-7 Rivers Data'!$AG$4:$AI$9,3,FALSE)=0,"Spatial Data Missing ⚠",VLOOKUP(V37,'G-7 Rivers Data'!$AG$4:$AI$9,3,FALSE)))</f>
        <v/>
      </c>
      <c r="Y37" s="537" t="str">
        <f>IFERROR(IF(OR(LEFT(P37,5)="Error ▲",LEFT(O37,5)="Error ▲"),"Check Data ⚠",IF(F37&lt;S37,'G-7 Rivers Data'!$R$3,INDEX('G-7 Rivers Data'!$U$5:$Y$9,MATCH(G37,'G-7 Rivers Data'!$T$5:$T$9,0),MATCH(T37,'G-7 Rivers Data'!$U$4:$Y$4,0)))),"")</f>
        <v/>
      </c>
      <c r="Z37" s="203"/>
      <c r="AA37" s="203"/>
      <c r="AB37" s="534" t="str">
        <f t="shared" si="1"/>
        <v/>
      </c>
      <c r="AC37" s="521" t="str">
        <f t="shared" si="2"/>
        <v/>
      </c>
      <c r="AD37" s="564" t="str">
        <f>IFERROR(IF(AC37="Check Data ⚠","Check Data ⚠",VLOOKUP(AC37,'G-4 Temporal multipliers'!$A$4:$C$37,3,FALSE)),"")</f>
        <v/>
      </c>
      <c r="AE37" s="537" t="str">
        <f>IF(N37="","",VLOOKUP(N37,'G-7 Rivers Data'!$B$4:$G$8,5,FALSE))</f>
        <v/>
      </c>
      <c r="AF37" s="520" t="str">
        <f t="shared" si="3"/>
        <v/>
      </c>
      <c r="AG37" s="520" t="str">
        <f t="shared" si="6"/>
        <v/>
      </c>
      <c r="AH37" s="524" t="str">
        <f t="shared" si="4"/>
        <v/>
      </c>
      <c r="AI37" s="145"/>
      <c r="AJ37" s="499" t="str">
        <f>IF(AI37="","",IF(VLOOKUP(AI37,'G-7 Rivers Data'!$AA$4:$AB$7,2,FALSE)=0,"Spatial Data Missing ⚠",VLOOKUP(AI37,'G-7 Rivers Data'!$AA$4:$AB$7,2,FALSE)))</f>
        <v/>
      </c>
      <c r="AK37" s="155"/>
      <c r="AL37" s="536" t="str">
        <f>IF(AK37="","",IF(VLOOKUP(AK37,'G-7 Rivers Data'!$AD$4:$AE$8,2,FALSE)=0,"Spatial Data Missing ⚠",VLOOKUP(AK37,'G-7 Rivers Data'!$AD$4:$AE$8,2,FALSE)))</f>
        <v/>
      </c>
      <c r="AM37" s="154"/>
      <c r="AN37" s="524" t="str">
        <f>IF(AM37="","",VLOOKUP(AM37,'G-7 Rivers Data'!$AO$4:$AP$7,2,FALSE))</f>
        <v/>
      </c>
      <c r="AO37" s="545" t="str">
        <f t="shared" si="7"/>
        <v/>
      </c>
      <c r="AP37" s="149"/>
      <c r="AQ37" s="150"/>
      <c r="AX37" s="31" t="str">
        <f>IFERROR(INDEX('G-7 Rivers Data'!$AZ$3:$AZ$7,MATCH(N37,'G-7 Rivers Data'!$AY$3:$AY$7,0)),"")</f>
        <v/>
      </c>
    </row>
    <row r="38" spans="2:50" ht="13.8" x14ac:dyDescent="0.25">
      <c r="B38" s="531" t="str">
        <f>'F-1 Off Site River Baseline'!AN36</f>
        <v/>
      </c>
      <c r="C38" s="520" t="str">
        <f>IF(B38="","",VLOOKUP($B38,'F-1 Off Site River Baseline'!$C$9:$R$257,2,FALSE))</f>
        <v/>
      </c>
      <c r="D38" s="520" t="str">
        <f>IF(C38="","",VLOOKUP($B38,'F-1 Off Site River Baseline'!$C$9:$R$257,3,FALSE))</f>
        <v/>
      </c>
      <c r="E38" s="520" t="str">
        <f>IF(D38="","",VLOOKUP($B38,'F-1 Off Site River Baseline'!$C$9:$R$257,4,FALSE))</f>
        <v/>
      </c>
      <c r="F38" s="520" t="str">
        <f>IF(E38="","",VLOOKUP($B38,'F-1 Off Site River Baseline'!$C$9:$R$257,5,FALSE))</f>
        <v/>
      </c>
      <c r="G38" s="520" t="str">
        <f>IF(F38="","",VLOOKUP($B38,'F-1 Off Site River Baseline'!$C$9:$R$257,6,FALSE))</f>
        <v/>
      </c>
      <c r="H38" s="520" t="str">
        <f>IF(G38="","",VLOOKUP($B38,'F-1 Off Site River Baseline'!$C$9:$R$257,7,FALSE))</f>
        <v/>
      </c>
      <c r="I38" s="520" t="str">
        <f>IF(H38="","",VLOOKUP($B38,'F-1 Off Site River Baseline'!$C$9:$R$257,8,FALSE))</f>
        <v/>
      </c>
      <c r="J38" s="520" t="str">
        <f>IF(I38="","",VLOOKUP($B38,'F-1 Off Site River Baseline'!$C$9:$R$257,9,FALSE))</f>
        <v/>
      </c>
      <c r="K38" s="520" t="str">
        <f>IF(J38="","",VLOOKUP($B38,'F-1 Off Site River Baseline'!$C$9:$R$257,10,FALSE))</f>
        <v/>
      </c>
      <c r="L38" s="520" t="str">
        <f>IF(B38="","",VLOOKUP($B38,'C-1 Site River Baseline'!$C$9:$R$257,15,FALSE))</f>
        <v/>
      </c>
      <c r="M38" s="524" t="str">
        <f>IF(L38="","",VLOOKUP($B38,'F-1 Off Site River Baseline'!$C$9:$R$257,16,FALSE))</f>
        <v/>
      </c>
      <c r="N38" s="418" t="str">
        <f t="shared" si="0"/>
        <v/>
      </c>
      <c r="O38" s="498" t="str">
        <f t="shared" si="5"/>
        <v/>
      </c>
      <c r="P38" s="499" t="str">
        <f>IF(C38="","",IF(AND(LEFT(C38,55)&lt;&gt;LEFT(N38,55),O38="High - High"),"Error - Not like for like ▲",IF(AND(F38=S38,H38&gt;U38),"Error - Can not reduce condition ▲",IF(AND(F38=S38,H38=U38,AJ38='F-1 Off Site River Baseline'!N36,'F-1 Off Site River Baseline'!P36=AL38),"Error - No enhancement ▲",IF(AND(C38&lt;&gt;N38,F38&lt;S38),"Lower Distinctiveness Habitat"&amp;" - "&amp;T38,G38&amp;" - "&amp;T38)))))</f>
        <v/>
      </c>
      <c r="Q38" s="505" t="str">
        <f>IF(N38="","",VLOOKUP(B38,'F-1 Off Site River Baseline'!$C$10:$AA$257,19,FALSE))</f>
        <v/>
      </c>
      <c r="R38" s="498" t="str">
        <f>IF(N38="","",VLOOKUP(N38,'G-7 Rivers Data'!$B$2:$G$8,2,FALSE))</f>
        <v/>
      </c>
      <c r="S38" s="499" t="str">
        <f>IFERROR(VLOOKUP(R38,'G-7 Rivers Data'!$C$4:$D$8,2,FALSE),"")</f>
        <v/>
      </c>
      <c r="T38" s="145"/>
      <c r="U38" s="499" t="str">
        <f>IFERROR(INDEX('G-7 Rivers Data'!$H$4:$L$8,MATCH(N38,'G-7 Rivers Data'!$B$4:$B$8,0),MATCH(T38,'G-7 Rivers Data'!$H$3:$L$3,0)),"")</f>
        <v/>
      </c>
      <c r="V38" s="154"/>
      <c r="W38" s="520" t="str">
        <f>IF(V38="","",IF(VLOOKUP(V38,'G-7 Rivers Data'!$AG$4:$AI$9,2,FALSE)=0,"Spatial Data Missing ⚠",VLOOKUP(V38,'G-7 Rivers Data'!$AG$4:$AI$9,2,FALSE)))</f>
        <v/>
      </c>
      <c r="X38" s="524" t="str">
        <f>IF(V38="","",IF(VLOOKUP(V38,'G-7 Rivers Data'!$AG$4:$AI$9,3,FALSE)=0,"Spatial Data Missing ⚠",VLOOKUP(V38,'G-7 Rivers Data'!$AG$4:$AI$9,3,FALSE)))</f>
        <v/>
      </c>
      <c r="Y38" s="537" t="str">
        <f>IFERROR(IF(OR(LEFT(P38,5)="Error ▲",LEFT(O38,5)="Error ▲"),"Check Data ⚠",IF(F38&lt;S38,'G-7 Rivers Data'!$R$3,INDEX('G-7 Rivers Data'!$U$5:$Y$9,MATCH(G38,'G-7 Rivers Data'!$T$5:$T$9,0),MATCH(T38,'G-7 Rivers Data'!$U$4:$Y$4,0)))),"")</f>
        <v/>
      </c>
      <c r="Z38" s="203"/>
      <c r="AA38" s="203"/>
      <c r="AB38" s="534" t="str">
        <f t="shared" si="1"/>
        <v/>
      </c>
      <c r="AC38" s="521" t="str">
        <f t="shared" si="2"/>
        <v/>
      </c>
      <c r="AD38" s="564" t="str">
        <f>IFERROR(IF(AC38="Check Data ⚠","Check Data ⚠",VLOOKUP(AC38,'G-4 Temporal multipliers'!$A$4:$C$37,3,FALSE)),"")</f>
        <v/>
      </c>
      <c r="AE38" s="537" t="str">
        <f>IF(N38="","",VLOOKUP(N38,'G-7 Rivers Data'!$B$4:$G$8,5,FALSE))</f>
        <v/>
      </c>
      <c r="AF38" s="520" t="str">
        <f t="shared" si="3"/>
        <v/>
      </c>
      <c r="AG38" s="520" t="str">
        <f t="shared" si="6"/>
        <v/>
      </c>
      <c r="AH38" s="524" t="str">
        <f t="shared" si="4"/>
        <v/>
      </c>
      <c r="AI38" s="145"/>
      <c r="AJ38" s="499" t="str">
        <f>IF(AI38="","",IF(VLOOKUP(AI38,'G-7 Rivers Data'!$AA$4:$AB$7,2,FALSE)=0,"Spatial Data Missing ⚠",VLOOKUP(AI38,'G-7 Rivers Data'!$AA$4:$AB$7,2,FALSE)))</f>
        <v/>
      </c>
      <c r="AK38" s="155"/>
      <c r="AL38" s="536" t="str">
        <f>IF(AK38="","",IF(VLOOKUP(AK38,'G-7 Rivers Data'!$AD$4:$AE$8,2,FALSE)=0,"Spatial Data Missing ⚠",VLOOKUP(AK38,'G-7 Rivers Data'!$AD$4:$AE$8,2,FALSE)))</f>
        <v/>
      </c>
      <c r="AM38" s="154"/>
      <c r="AN38" s="524" t="str">
        <f>IF(AM38="","",VLOOKUP(AM38,'G-7 Rivers Data'!$AO$4:$AP$7,2,FALSE))</f>
        <v/>
      </c>
      <c r="AO38" s="545" t="str">
        <f t="shared" si="7"/>
        <v/>
      </c>
      <c r="AP38" s="149"/>
      <c r="AQ38" s="150"/>
      <c r="AX38" s="31" t="str">
        <f>IFERROR(INDEX('G-7 Rivers Data'!$AZ$3:$AZ$7,MATCH(N38,'G-7 Rivers Data'!$AY$3:$AY$7,0)),"")</f>
        <v/>
      </c>
    </row>
    <row r="39" spans="2:50" ht="13.8" x14ac:dyDescent="0.25">
      <c r="B39" s="531" t="str">
        <f>'F-1 Off Site River Baseline'!AN37</f>
        <v/>
      </c>
      <c r="C39" s="520" t="str">
        <f>IF(B39="","",VLOOKUP($B39,'F-1 Off Site River Baseline'!$C$9:$R$257,2,FALSE))</f>
        <v/>
      </c>
      <c r="D39" s="520" t="str">
        <f>IF(C39="","",VLOOKUP($B39,'F-1 Off Site River Baseline'!$C$9:$R$257,3,FALSE))</f>
        <v/>
      </c>
      <c r="E39" s="520" t="str">
        <f>IF(D39="","",VLOOKUP($B39,'F-1 Off Site River Baseline'!$C$9:$R$257,4,FALSE))</f>
        <v/>
      </c>
      <c r="F39" s="520" t="str">
        <f>IF(E39="","",VLOOKUP($B39,'F-1 Off Site River Baseline'!$C$9:$R$257,5,FALSE))</f>
        <v/>
      </c>
      <c r="G39" s="520" t="str">
        <f>IF(F39="","",VLOOKUP($B39,'F-1 Off Site River Baseline'!$C$9:$R$257,6,FALSE))</f>
        <v/>
      </c>
      <c r="H39" s="520" t="str">
        <f>IF(G39="","",VLOOKUP($B39,'F-1 Off Site River Baseline'!$C$9:$R$257,7,FALSE))</f>
        <v/>
      </c>
      <c r="I39" s="520" t="str">
        <f>IF(H39="","",VLOOKUP($B39,'F-1 Off Site River Baseline'!$C$9:$R$257,8,FALSE))</f>
        <v/>
      </c>
      <c r="J39" s="520" t="str">
        <f>IF(I39="","",VLOOKUP($B39,'F-1 Off Site River Baseline'!$C$9:$R$257,9,FALSE))</f>
        <v/>
      </c>
      <c r="K39" s="520" t="str">
        <f>IF(J39="","",VLOOKUP($B39,'F-1 Off Site River Baseline'!$C$9:$R$257,10,FALSE))</f>
        <v/>
      </c>
      <c r="L39" s="520" t="str">
        <f>IF(B39="","",VLOOKUP($B39,'C-1 Site River Baseline'!$C$9:$R$257,15,FALSE))</f>
        <v/>
      </c>
      <c r="M39" s="524" t="str">
        <f>IF(L39="","",VLOOKUP($B39,'F-1 Off Site River Baseline'!$C$9:$R$257,16,FALSE))</f>
        <v/>
      </c>
      <c r="N39" s="418" t="str">
        <f t="shared" si="0"/>
        <v/>
      </c>
      <c r="O39" s="498" t="str">
        <f t="shared" si="5"/>
        <v/>
      </c>
      <c r="P39" s="499" t="str">
        <f>IF(C39="","",IF(AND(LEFT(C39,55)&lt;&gt;LEFT(N39,55),O39="High - High"),"Error - Not like for like ▲",IF(AND(F39=S39,H39&gt;U39),"Error - Can not reduce condition ▲",IF(AND(F39=S39,H39=U39,AJ39='F-1 Off Site River Baseline'!N37,'F-1 Off Site River Baseline'!P37=AL39),"Error - No enhancement ▲",IF(AND(C39&lt;&gt;N39,F39&lt;S39),"Lower Distinctiveness Habitat"&amp;" - "&amp;T39,G39&amp;" - "&amp;T39)))))</f>
        <v/>
      </c>
      <c r="Q39" s="505" t="str">
        <f>IF(N39="","",VLOOKUP(B39,'F-1 Off Site River Baseline'!$C$10:$AA$257,19,FALSE))</f>
        <v/>
      </c>
      <c r="R39" s="498" t="str">
        <f>IF(N39="","",VLOOKUP(N39,'G-7 Rivers Data'!$B$2:$G$8,2,FALSE))</f>
        <v/>
      </c>
      <c r="S39" s="499" t="str">
        <f>IFERROR(VLOOKUP(R39,'G-7 Rivers Data'!$C$4:$D$8,2,FALSE),"")</f>
        <v/>
      </c>
      <c r="T39" s="145"/>
      <c r="U39" s="499" t="str">
        <f>IFERROR(INDEX('G-7 Rivers Data'!$H$4:$L$8,MATCH(N39,'G-7 Rivers Data'!$B$4:$B$8,0),MATCH(T39,'G-7 Rivers Data'!$H$3:$L$3,0)),"")</f>
        <v/>
      </c>
      <c r="V39" s="154"/>
      <c r="W39" s="520" t="str">
        <f>IF(V39="","",IF(VLOOKUP(V39,'G-7 Rivers Data'!$AG$4:$AI$9,2,FALSE)=0,"Spatial Data Missing ⚠",VLOOKUP(V39,'G-7 Rivers Data'!$AG$4:$AI$9,2,FALSE)))</f>
        <v/>
      </c>
      <c r="X39" s="524" t="str">
        <f>IF(V39="","",IF(VLOOKUP(V39,'G-7 Rivers Data'!$AG$4:$AI$9,3,FALSE)=0,"Spatial Data Missing ⚠",VLOOKUP(V39,'G-7 Rivers Data'!$AG$4:$AI$9,3,FALSE)))</f>
        <v/>
      </c>
      <c r="Y39" s="537" t="str">
        <f>IFERROR(IF(OR(LEFT(P39,5)="Error ▲",LEFT(O39,5)="Error ▲"),"Check Data ⚠",IF(F39&lt;S39,'G-7 Rivers Data'!$R$3,INDEX('G-7 Rivers Data'!$U$5:$Y$9,MATCH(G39,'G-7 Rivers Data'!$T$5:$T$9,0),MATCH(T39,'G-7 Rivers Data'!$U$4:$Y$4,0)))),"")</f>
        <v/>
      </c>
      <c r="Z39" s="203"/>
      <c r="AA39" s="203"/>
      <c r="AB39" s="534" t="str">
        <f t="shared" si="1"/>
        <v/>
      </c>
      <c r="AC39" s="521" t="str">
        <f t="shared" si="2"/>
        <v/>
      </c>
      <c r="AD39" s="564" t="str">
        <f>IFERROR(IF(AC39="Check Data ⚠","Check Data ⚠",VLOOKUP(AC39,'G-4 Temporal multipliers'!$A$4:$C$37,3,FALSE)),"")</f>
        <v/>
      </c>
      <c r="AE39" s="537" t="str">
        <f>IF(N39="","",VLOOKUP(N39,'G-7 Rivers Data'!$B$4:$G$8,5,FALSE))</f>
        <v/>
      </c>
      <c r="AF39" s="520" t="str">
        <f t="shared" si="3"/>
        <v/>
      </c>
      <c r="AG39" s="520" t="str">
        <f t="shared" si="6"/>
        <v/>
      </c>
      <c r="AH39" s="524" t="str">
        <f t="shared" si="4"/>
        <v/>
      </c>
      <c r="AI39" s="145"/>
      <c r="AJ39" s="499" t="str">
        <f>IF(AI39="","",IF(VLOOKUP(AI39,'G-7 Rivers Data'!$AA$4:$AB$7,2,FALSE)=0,"Spatial Data Missing ⚠",VLOOKUP(AI39,'G-7 Rivers Data'!$AA$4:$AB$7,2,FALSE)))</f>
        <v/>
      </c>
      <c r="AK39" s="155"/>
      <c r="AL39" s="536" t="str">
        <f>IF(AK39="","",IF(VLOOKUP(AK39,'G-7 Rivers Data'!$AD$4:$AE$8,2,FALSE)=0,"Spatial Data Missing ⚠",VLOOKUP(AK39,'G-7 Rivers Data'!$AD$4:$AE$8,2,FALSE)))</f>
        <v/>
      </c>
      <c r="AM39" s="154"/>
      <c r="AN39" s="524" t="str">
        <f>IF(AM39="","",VLOOKUP(AM39,'G-7 Rivers Data'!$AO$4:$AP$7,2,FALSE))</f>
        <v/>
      </c>
      <c r="AO39" s="545" t="str">
        <f t="shared" si="7"/>
        <v/>
      </c>
      <c r="AP39" s="149"/>
      <c r="AQ39" s="150"/>
      <c r="AX39" s="31" t="str">
        <f>IFERROR(INDEX('G-7 Rivers Data'!$AZ$3:$AZ$7,MATCH(N39,'G-7 Rivers Data'!$AY$3:$AY$7,0)),"")</f>
        <v/>
      </c>
    </row>
    <row r="40" spans="2:50" ht="13.8" x14ac:dyDescent="0.25">
      <c r="B40" s="531" t="str">
        <f>'F-1 Off Site River Baseline'!AN38</f>
        <v/>
      </c>
      <c r="C40" s="520" t="str">
        <f>IF(B40="","",VLOOKUP($B40,'F-1 Off Site River Baseline'!$C$9:$R$257,2,FALSE))</f>
        <v/>
      </c>
      <c r="D40" s="520" t="str">
        <f>IF(C40="","",VLOOKUP($B40,'F-1 Off Site River Baseline'!$C$9:$R$257,3,FALSE))</f>
        <v/>
      </c>
      <c r="E40" s="520" t="str">
        <f>IF(D40="","",VLOOKUP($B40,'F-1 Off Site River Baseline'!$C$9:$R$257,4,FALSE))</f>
        <v/>
      </c>
      <c r="F40" s="520" t="str">
        <f>IF(E40="","",VLOOKUP($B40,'F-1 Off Site River Baseline'!$C$9:$R$257,5,FALSE))</f>
        <v/>
      </c>
      <c r="G40" s="520" t="str">
        <f>IF(F40="","",VLOOKUP($B40,'F-1 Off Site River Baseline'!$C$9:$R$257,6,FALSE))</f>
        <v/>
      </c>
      <c r="H40" s="520" t="str">
        <f>IF(G40="","",VLOOKUP($B40,'F-1 Off Site River Baseline'!$C$9:$R$257,7,FALSE))</f>
        <v/>
      </c>
      <c r="I40" s="520" t="str">
        <f>IF(H40="","",VLOOKUP($B40,'F-1 Off Site River Baseline'!$C$9:$R$257,8,FALSE))</f>
        <v/>
      </c>
      <c r="J40" s="520" t="str">
        <f>IF(I40="","",VLOOKUP($B40,'F-1 Off Site River Baseline'!$C$9:$R$257,9,FALSE))</f>
        <v/>
      </c>
      <c r="K40" s="520" t="str">
        <f>IF(J40="","",VLOOKUP($B40,'F-1 Off Site River Baseline'!$C$9:$R$257,10,FALSE))</f>
        <v/>
      </c>
      <c r="L40" s="520" t="str">
        <f>IF(B40="","",VLOOKUP($B40,'C-1 Site River Baseline'!$C$9:$R$257,15,FALSE))</f>
        <v/>
      </c>
      <c r="M40" s="524" t="str">
        <f>IF(L40="","",VLOOKUP($B40,'F-1 Off Site River Baseline'!$C$9:$R$257,16,FALSE))</f>
        <v/>
      </c>
      <c r="N40" s="418" t="str">
        <f t="shared" si="0"/>
        <v/>
      </c>
      <c r="O40" s="498" t="str">
        <f t="shared" si="5"/>
        <v/>
      </c>
      <c r="P40" s="499" t="str">
        <f>IF(C40="","",IF(AND(LEFT(C40,55)&lt;&gt;LEFT(N40,55),O40="High - High"),"Error - Not like for like ▲",IF(AND(F40=S40,H40&gt;U40),"Error - Can not reduce condition ▲",IF(AND(F40=S40,H40=U40,AJ40='F-1 Off Site River Baseline'!N38,'F-1 Off Site River Baseline'!P38=AL40),"Error - No enhancement ▲",IF(AND(C40&lt;&gt;N40,F40&lt;S40),"Lower Distinctiveness Habitat"&amp;" - "&amp;T40,G40&amp;" - "&amp;T40)))))</f>
        <v/>
      </c>
      <c r="Q40" s="505" t="str">
        <f>IF(N40="","",VLOOKUP(B40,'F-1 Off Site River Baseline'!$C$10:$AA$257,19,FALSE))</f>
        <v/>
      </c>
      <c r="R40" s="498" t="str">
        <f>IF(N40="","",VLOOKUP(N40,'G-7 Rivers Data'!$B$2:$G$8,2,FALSE))</f>
        <v/>
      </c>
      <c r="S40" s="499" t="str">
        <f>IFERROR(VLOOKUP(R40,'G-7 Rivers Data'!$C$4:$D$8,2,FALSE),"")</f>
        <v/>
      </c>
      <c r="T40" s="145"/>
      <c r="U40" s="499" t="str">
        <f>IFERROR(INDEX('G-7 Rivers Data'!$H$4:$L$8,MATCH(N40,'G-7 Rivers Data'!$B$4:$B$8,0),MATCH(T40,'G-7 Rivers Data'!$H$3:$L$3,0)),"")</f>
        <v/>
      </c>
      <c r="V40" s="154"/>
      <c r="W40" s="520" t="str">
        <f>IF(V40="","",IF(VLOOKUP(V40,'G-7 Rivers Data'!$AG$4:$AI$9,2,FALSE)=0,"Spatial Data Missing ⚠",VLOOKUP(V40,'G-7 Rivers Data'!$AG$4:$AI$9,2,FALSE)))</f>
        <v/>
      </c>
      <c r="X40" s="524" t="str">
        <f>IF(V40="","",IF(VLOOKUP(V40,'G-7 Rivers Data'!$AG$4:$AI$9,3,FALSE)=0,"Spatial Data Missing ⚠",VLOOKUP(V40,'G-7 Rivers Data'!$AG$4:$AI$9,3,FALSE)))</f>
        <v/>
      </c>
      <c r="Y40" s="537" t="str">
        <f>IFERROR(IF(OR(LEFT(P40,5)="Error ▲",LEFT(O40,5)="Error ▲"),"Check Data ⚠",IF(F40&lt;S40,'G-7 Rivers Data'!$R$3,INDEX('G-7 Rivers Data'!$U$5:$Y$9,MATCH(G40,'G-7 Rivers Data'!$T$5:$T$9,0),MATCH(T40,'G-7 Rivers Data'!$U$4:$Y$4,0)))),"")</f>
        <v/>
      </c>
      <c r="Z40" s="203"/>
      <c r="AA40" s="203"/>
      <c r="AB40" s="534" t="str">
        <f t="shared" si="1"/>
        <v/>
      </c>
      <c r="AC40" s="521" t="str">
        <f t="shared" si="2"/>
        <v/>
      </c>
      <c r="AD40" s="564" t="str">
        <f>IFERROR(IF(AC40="Check Data ⚠","Check Data ⚠",VLOOKUP(AC40,'G-4 Temporal multipliers'!$A$4:$C$37,3,FALSE)),"")</f>
        <v/>
      </c>
      <c r="AE40" s="537" t="str">
        <f>IF(N40="","",VLOOKUP(N40,'G-7 Rivers Data'!$B$4:$G$8,5,FALSE))</f>
        <v/>
      </c>
      <c r="AF40" s="520" t="str">
        <f t="shared" si="3"/>
        <v/>
      </c>
      <c r="AG40" s="520" t="str">
        <f t="shared" si="6"/>
        <v/>
      </c>
      <c r="AH40" s="524" t="str">
        <f t="shared" si="4"/>
        <v/>
      </c>
      <c r="AI40" s="145"/>
      <c r="AJ40" s="499" t="str">
        <f>IF(AI40="","",IF(VLOOKUP(AI40,'G-7 Rivers Data'!$AA$4:$AB$7,2,FALSE)=0,"Spatial Data Missing ⚠",VLOOKUP(AI40,'G-7 Rivers Data'!$AA$4:$AB$7,2,FALSE)))</f>
        <v/>
      </c>
      <c r="AK40" s="155"/>
      <c r="AL40" s="536" t="str">
        <f>IF(AK40="","",IF(VLOOKUP(AK40,'G-7 Rivers Data'!$AD$4:$AE$8,2,FALSE)=0,"Spatial Data Missing ⚠",VLOOKUP(AK40,'G-7 Rivers Data'!$AD$4:$AE$8,2,FALSE)))</f>
        <v/>
      </c>
      <c r="AM40" s="154"/>
      <c r="AN40" s="524" t="str">
        <f>IF(AM40="","",VLOOKUP(AM40,'G-7 Rivers Data'!$AO$4:$AP$7,2,FALSE))</f>
        <v/>
      </c>
      <c r="AO40" s="545" t="str">
        <f t="shared" si="7"/>
        <v/>
      </c>
      <c r="AP40" s="149"/>
      <c r="AQ40" s="150"/>
      <c r="AX40" s="31" t="str">
        <f>IFERROR(INDEX('G-7 Rivers Data'!$AZ$3:$AZ$7,MATCH(N40,'G-7 Rivers Data'!$AY$3:$AY$7,0)),"")</f>
        <v/>
      </c>
    </row>
    <row r="41" spans="2:50" ht="13.8" x14ac:dyDescent="0.25">
      <c r="B41" s="531" t="str">
        <f>'F-1 Off Site River Baseline'!AN39</f>
        <v/>
      </c>
      <c r="C41" s="520" t="str">
        <f>IF(B41="","",VLOOKUP($B41,'F-1 Off Site River Baseline'!$C$9:$R$257,2,FALSE))</f>
        <v/>
      </c>
      <c r="D41" s="520" t="str">
        <f>IF(C41="","",VLOOKUP($B41,'F-1 Off Site River Baseline'!$C$9:$R$257,3,FALSE))</f>
        <v/>
      </c>
      <c r="E41" s="520" t="str">
        <f>IF(D41="","",VLOOKUP($B41,'F-1 Off Site River Baseline'!$C$9:$R$257,4,FALSE))</f>
        <v/>
      </c>
      <c r="F41" s="520" t="str">
        <f>IF(E41="","",VLOOKUP($B41,'F-1 Off Site River Baseline'!$C$9:$R$257,5,FALSE))</f>
        <v/>
      </c>
      <c r="G41" s="520" t="str">
        <f>IF(F41="","",VLOOKUP($B41,'F-1 Off Site River Baseline'!$C$9:$R$257,6,FALSE))</f>
        <v/>
      </c>
      <c r="H41" s="520" t="str">
        <f>IF(G41="","",VLOOKUP($B41,'F-1 Off Site River Baseline'!$C$9:$R$257,7,FALSE))</f>
        <v/>
      </c>
      <c r="I41" s="520" t="str">
        <f>IF(H41="","",VLOOKUP($B41,'F-1 Off Site River Baseline'!$C$9:$R$257,8,FALSE))</f>
        <v/>
      </c>
      <c r="J41" s="520" t="str">
        <f>IF(I41="","",VLOOKUP($B41,'F-1 Off Site River Baseline'!$C$9:$R$257,9,FALSE))</f>
        <v/>
      </c>
      <c r="K41" s="520" t="str">
        <f>IF(J41="","",VLOOKUP($B41,'F-1 Off Site River Baseline'!$C$9:$R$257,10,FALSE))</f>
        <v/>
      </c>
      <c r="L41" s="520" t="str">
        <f>IF(B41="","",VLOOKUP($B41,'C-1 Site River Baseline'!$C$9:$R$257,15,FALSE))</f>
        <v/>
      </c>
      <c r="M41" s="524" t="str">
        <f>IF(L41="","",VLOOKUP($B41,'F-1 Off Site River Baseline'!$C$9:$R$257,16,FALSE))</f>
        <v/>
      </c>
      <c r="N41" s="418" t="str">
        <f t="shared" si="0"/>
        <v/>
      </c>
      <c r="O41" s="498" t="str">
        <f t="shared" si="5"/>
        <v/>
      </c>
      <c r="P41" s="499" t="str">
        <f>IF(C41="","",IF(AND(LEFT(C41,55)&lt;&gt;LEFT(N41,55),O41="High - High"),"Error - Not like for like ▲",IF(AND(F41=S41,H41&gt;U41),"Error - Can not reduce condition ▲",IF(AND(F41=S41,H41=U41,AJ41='F-1 Off Site River Baseline'!N39,'F-1 Off Site River Baseline'!P39=AL41),"Error - No enhancement ▲",IF(AND(C41&lt;&gt;N41,F41&lt;S41),"Lower Distinctiveness Habitat"&amp;" - "&amp;T41,G41&amp;" - "&amp;T41)))))</f>
        <v/>
      </c>
      <c r="Q41" s="505" t="str">
        <f>IF(N41="","",VLOOKUP(B41,'F-1 Off Site River Baseline'!$C$10:$AA$257,19,FALSE))</f>
        <v/>
      </c>
      <c r="R41" s="498" t="str">
        <f>IF(N41="","",VLOOKUP(N41,'G-7 Rivers Data'!$B$2:$G$8,2,FALSE))</f>
        <v/>
      </c>
      <c r="S41" s="499" t="str">
        <f>IFERROR(VLOOKUP(R41,'G-7 Rivers Data'!$C$4:$D$8,2,FALSE),"")</f>
        <v/>
      </c>
      <c r="T41" s="145"/>
      <c r="U41" s="499" t="str">
        <f>IFERROR(INDEX('G-7 Rivers Data'!$H$4:$L$8,MATCH(N41,'G-7 Rivers Data'!$B$4:$B$8,0),MATCH(T41,'G-7 Rivers Data'!$H$3:$L$3,0)),"")</f>
        <v/>
      </c>
      <c r="V41" s="154"/>
      <c r="W41" s="520" t="str">
        <f>IF(V41="","",IF(VLOOKUP(V41,'G-7 Rivers Data'!$AG$4:$AI$9,2,FALSE)=0,"Spatial Data Missing ⚠",VLOOKUP(V41,'G-7 Rivers Data'!$AG$4:$AI$9,2,FALSE)))</f>
        <v/>
      </c>
      <c r="X41" s="524" t="str">
        <f>IF(V41="","",IF(VLOOKUP(V41,'G-7 Rivers Data'!$AG$4:$AI$9,3,FALSE)=0,"Spatial Data Missing ⚠",VLOOKUP(V41,'G-7 Rivers Data'!$AG$4:$AI$9,3,FALSE)))</f>
        <v/>
      </c>
      <c r="Y41" s="537" t="str">
        <f>IFERROR(IF(OR(LEFT(P41,5)="Error ▲",LEFT(O41,5)="Error ▲"),"Check Data ⚠",IF(F41&lt;S41,'G-7 Rivers Data'!$R$3,INDEX('G-7 Rivers Data'!$U$5:$Y$9,MATCH(G41,'G-7 Rivers Data'!$T$5:$T$9,0),MATCH(T41,'G-7 Rivers Data'!$U$4:$Y$4,0)))),"")</f>
        <v/>
      </c>
      <c r="Z41" s="203"/>
      <c r="AA41" s="203"/>
      <c r="AB41" s="534" t="str">
        <f t="shared" si="1"/>
        <v/>
      </c>
      <c r="AC41" s="521" t="str">
        <f t="shared" si="2"/>
        <v/>
      </c>
      <c r="AD41" s="564" t="str">
        <f>IFERROR(IF(AC41="Check Data ⚠","Check Data ⚠",VLOOKUP(AC41,'G-4 Temporal multipliers'!$A$4:$C$37,3,FALSE)),"")</f>
        <v/>
      </c>
      <c r="AE41" s="537" t="str">
        <f>IF(N41="","",VLOOKUP(N41,'G-7 Rivers Data'!$B$4:$G$8,5,FALSE))</f>
        <v/>
      </c>
      <c r="AF41" s="520" t="str">
        <f t="shared" si="3"/>
        <v/>
      </c>
      <c r="AG41" s="520" t="str">
        <f t="shared" si="6"/>
        <v/>
      </c>
      <c r="AH41" s="524" t="str">
        <f t="shared" si="4"/>
        <v/>
      </c>
      <c r="AI41" s="145"/>
      <c r="AJ41" s="499" t="str">
        <f>IF(AI41="","",IF(VLOOKUP(AI41,'G-7 Rivers Data'!$AA$4:$AB$7,2,FALSE)=0,"Spatial Data Missing ⚠",VLOOKUP(AI41,'G-7 Rivers Data'!$AA$4:$AB$7,2,FALSE)))</f>
        <v/>
      </c>
      <c r="AK41" s="155"/>
      <c r="AL41" s="536" t="str">
        <f>IF(AK41="","",IF(VLOOKUP(AK41,'G-7 Rivers Data'!$AD$4:$AE$8,2,FALSE)=0,"Spatial Data Missing ⚠",VLOOKUP(AK41,'G-7 Rivers Data'!$AD$4:$AE$8,2,FALSE)))</f>
        <v/>
      </c>
      <c r="AM41" s="154"/>
      <c r="AN41" s="524" t="str">
        <f>IF(AM41="","",VLOOKUP(AM41,'G-7 Rivers Data'!$AO$4:$AP$7,2,FALSE))</f>
        <v/>
      </c>
      <c r="AO41" s="545" t="str">
        <f t="shared" si="7"/>
        <v/>
      </c>
      <c r="AP41" s="149"/>
      <c r="AQ41" s="150"/>
      <c r="AX41" s="31" t="str">
        <f>IFERROR(INDEX('G-7 Rivers Data'!$AZ$3:$AZ$7,MATCH(N41,'G-7 Rivers Data'!$AY$3:$AY$7,0)),"")</f>
        <v/>
      </c>
    </row>
    <row r="42" spans="2:50" ht="13.8" x14ac:dyDescent="0.25">
      <c r="B42" s="531" t="str">
        <f>'F-1 Off Site River Baseline'!AN40</f>
        <v/>
      </c>
      <c r="C42" s="520" t="str">
        <f>IF(B42="","",VLOOKUP($B42,'F-1 Off Site River Baseline'!$C$9:$R$257,2,FALSE))</f>
        <v/>
      </c>
      <c r="D42" s="520" t="str">
        <f>IF(C42="","",VLOOKUP($B42,'F-1 Off Site River Baseline'!$C$9:$R$257,3,FALSE))</f>
        <v/>
      </c>
      <c r="E42" s="520" t="str">
        <f>IF(D42="","",VLOOKUP($B42,'F-1 Off Site River Baseline'!$C$9:$R$257,4,FALSE))</f>
        <v/>
      </c>
      <c r="F42" s="520" t="str">
        <f>IF(E42="","",VLOOKUP($B42,'F-1 Off Site River Baseline'!$C$9:$R$257,5,FALSE))</f>
        <v/>
      </c>
      <c r="G42" s="520" t="str">
        <f>IF(F42="","",VLOOKUP($B42,'F-1 Off Site River Baseline'!$C$9:$R$257,6,FALSE))</f>
        <v/>
      </c>
      <c r="H42" s="520" t="str">
        <f>IF(G42="","",VLOOKUP($B42,'F-1 Off Site River Baseline'!$C$9:$R$257,7,FALSE))</f>
        <v/>
      </c>
      <c r="I42" s="520" t="str">
        <f>IF(H42="","",VLOOKUP($B42,'F-1 Off Site River Baseline'!$C$9:$R$257,8,FALSE))</f>
        <v/>
      </c>
      <c r="J42" s="520" t="str">
        <f>IF(I42="","",VLOOKUP($B42,'F-1 Off Site River Baseline'!$C$9:$R$257,9,FALSE))</f>
        <v/>
      </c>
      <c r="K42" s="520" t="str">
        <f>IF(J42="","",VLOOKUP($B42,'F-1 Off Site River Baseline'!$C$9:$R$257,10,FALSE))</f>
        <v/>
      </c>
      <c r="L42" s="520" t="str">
        <f>IF(B42="","",VLOOKUP($B42,'C-1 Site River Baseline'!$C$9:$R$257,15,FALSE))</f>
        <v/>
      </c>
      <c r="M42" s="524" t="str">
        <f>IF(L42="","",VLOOKUP($B42,'F-1 Off Site River Baseline'!$C$9:$R$257,16,FALSE))</f>
        <v/>
      </c>
      <c r="N42" s="418" t="str">
        <f t="shared" si="0"/>
        <v/>
      </c>
      <c r="O42" s="498" t="str">
        <f t="shared" si="5"/>
        <v/>
      </c>
      <c r="P42" s="499" t="str">
        <f>IF(C42="","",IF(AND(LEFT(C42,55)&lt;&gt;LEFT(N42,55),O42="High - High"),"Error - Not like for like ▲",IF(AND(F42=S42,H42&gt;U42),"Error - Can not reduce condition ▲",IF(AND(F42=S42,H42=U42,AJ42='F-1 Off Site River Baseline'!N40,'F-1 Off Site River Baseline'!P40=AL42),"Error - No enhancement ▲",IF(AND(C42&lt;&gt;N42,F42&lt;S42),"Lower Distinctiveness Habitat"&amp;" - "&amp;T42,G42&amp;" - "&amp;T42)))))</f>
        <v/>
      </c>
      <c r="Q42" s="505" t="str">
        <f>IF(N42="","",VLOOKUP(B42,'F-1 Off Site River Baseline'!$C$10:$AA$257,19,FALSE))</f>
        <v/>
      </c>
      <c r="R42" s="498" t="str">
        <f>IF(N42="","",VLOOKUP(N42,'G-7 Rivers Data'!$B$2:$G$8,2,FALSE))</f>
        <v/>
      </c>
      <c r="S42" s="499" t="str">
        <f>IFERROR(VLOOKUP(R42,'G-7 Rivers Data'!$C$4:$D$8,2,FALSE),"")</f>
        <v/>
      </c>
      <c r="T42" s="145"/>
      <c r="U42" s="499" t="str">
        <f>IFERROR(INDEX('G-7 Rivers Data'!$H$4:$L$8,MATCH(N42,'G-7 Rivers Data'!$B$4:$B$8,0),MATCH(T42,'G-7 Rivers Data'!$H$3:$L$3,0)),"")</f>
        <v/>
      </c>
      <c r="V42" s="154"/>
      <c r="W42" s="520" t="str">
        <f>IF(V42="","",IF(VLOOKUP(V42,'G-7 Rivers Data'!$AG$4:$AI$9,2,FALSE)=0,"Spatial Data Missing ⚠",VLOOKUP(V42,'G-7 Rivers Data'!$AG$4:$AI$9,2,FALSE)))</f>
        <v/>
      </c>
      <c r="X42" s="524" t="str">
        <f>IF(V42="","",IF(VLOOKUP(V42,'G-7 Rivers Data'!$AG$4:$AI$9,3,FALSE)=0,"Spatial Data Missing ⚠",VLOOKUP(V42,'G-7 Rivers Data'!$AG$4:$AI$9,3,FALSE)))</f>
        <v/>
      </c>
      <c r="Y42" s="537" t="str">
        <f>IFERROR(IF(OR(LEFT(P42,5)="Error ▲",LEFT(O42,5)="Error ▲"),"Check Data ⚠",IF(F42&lt;S42,'G-7 Rivers Data'!$R$3,INDEX('G-7 Rivers Data'!$U$5:$Y$9,MATCH(G42,'G-7 Rivers Data'!$T$5:$T$9,0),MATCH(T42,'G-7 Rivers Data'!$U$4:$Y$4,0)))),"")</f>
        <v/>
      </c>
      <c r="Z42" s="203"/>
      <c r="AA42" s="203"/>
      <c r="AB42" s="534" t="str">
        <f t="shared" si="1"/>
        <v/>
      </c>
      <c r="AC42" s="521" t="str">
        <f t="shared" si="2"/>
        <v/>
      </c>
      <c r="AD42" s="564" t="str">
        <f>IFERROR(IF(AC42="Check Data ⚠","Check Data ⚠",VLOOKUP(AC42,'G-4 Temporal multipliers'!$A$4:$C$37,3,FALSE)),"")</f>
        <v/>
      </c>
      <c r="AE42" s="537" t="str">
        <f>IF(N42="","",VLOOKUP(N42,'G-7 Rivers Data'!$B$4:$G$8,5,FALSE))</f>
        <v/>
      </c>
      <c r="AF42" s="520" t="str">
        <f t="shared" si="3"/>
        <v/>
      </c>
      <c r="AG42" s="520" t="str">
        <f t="shared" si="6"/>
        <v/>
      </c>
      <c r="AH42" s="524" t="str">
        <f t="shared" si="4"/>
        <v/>
      </c>
      <c r="AI42" s="145"/>
      <c r="AJ42" s="499" t="str">
        <f>IF(AI42="","",IF(VLOOKUP(AI42,'G-7 Rivers Data'!$AA$4:$AB$7,2,FALSE)=0,"Spatial Data Missing ⚠",VLOOKUP(AI42,'G-7 Rivers Data'!$AA$4:$AB$7,2,FALSE)))</f>
        <v/>
      </c>
      <c r="AK42" s="155"/>
      <c r="AL42" s="536" t="str">
        <f>IF(AK42="","",IF(VLOOKUP(AK42,'G-7 Rivers Data'!$AD$4:$AE$8,2,FALSE)=0,"Spatial Data Missing ⚠",VLOOKUP(AK42,'G-7 Rivers Data'!$AD$4:$AE$8,2,FALSE)))</f>
        <v/>
      </c>
      <c r="AM42" s="154"/>
      <c r="AN42" s="524" t="str">
        <f>IF(AM42="","",VLOOKUP(AM42,'G-7 Rivers Data'!$AO$4:$AP$7,2,FALSE))</f>
        <v/>
      </c>
      <c r="AO42" s="545" t="str">
        <f t="shared" si="7"/>
        <v/>
      </c>
      <c r="AP42" s="149"/>
      <c r="AQ42" s="150"/>
      <c r="AX42" s="31" t="str">
        <f>IFERROR(INDEX('G-7 Rivers Data'!$AZ$3:$AZ$7,MATCH(N42,'G-7 Rivers Data'!$AY$3:$AY$7,0)),"")</f>
        <v/>
      </c>
    </row>
    <row r="43" spans="2:50" ht="13.8" x14ac:dyDescent="0.25">
      <c r="B43" s="531" t="str">
        <f>'F-1 Off Site River Baseline'!AN41</f>
        <v/>
      </c>
      <c r="C43" s="520" t="str">
        <f>IF(B43="","",VLOOKUP($B43,'F-1 Off Site River Baseline'!$C$9:$R$257,2,FALSE))</f>
        <v/>
      </c>
      <c r="D43" s="520" t="str">
        <f>IF(C43="","",VLOOKUP($B43,'F-1 Off Site River Baseline'!$C$9:$R$257,3,FALSE))</f>
        <v/>
      </c>
      <c r="E43" s="520" t="str">
        <f>IF(D43="","",VLOOKUP($B43,'F-1 Off Site River Baseline'!$C$9:$R$257,4,FALSE))</f>
        <v/>
      </c>
      <c r="F43" s="520" t="str">
        <f>IF(E43="","",VLOOKUP($B43,'F-1 Off Site River Baseline'!$C$9:$R$257,5,FALSE))</f>
        <v/>
      </c>
      <c r="G43" s="520" t="str">
        <f>IF(F43="","",VLOOKUP($B43,'F-1 Off Site River Baseline'!$C$9:$R$257,6,FALSE))</f>
        <v/>
      </c>
      <c r="H43" s="520" t="str">
        <f>IF(G43="","",VLOOKUP($B43,'F-1 Off Site River Baseline'!$C$9:$R$257,7,FALSE))</f>
        <v/>
      </c>
      <c r="I43" s="520" t="str">
        <f>IF(H43="","",VLOOKUP($B43,'F-1 Off Site River Baseline'!$C$9:$R$257,8,FALSE))</f>
        <v/>
      </c>
      <c r="J43" s="520" t="str">
        <f>IF(I43="","",VLOOKUP($B43,'F-1 Off Site River Baseline'!$C$9:$R$257,9,FALSE))</f>
        <v/>
      </c>
      <c r="K43" s="520" t="str">
        <f>IF(J43="","",VLOOKUP($B43,'F-1 Off Site River Baseline'!$C$9:$R$257,10,FALSE))</f>
        <v/>
      </c>
      <c r="L43" s="520" t="str">
        <f>IF(B43="","",VLOOKUP($B43,'C-1 Site River Baseline'!$C$9:$R$257,15,FALSE))</f>
        <v/>
      </c>
      <c r="M43" s="524" t="str">
        <f>IF(L43="","",VLOOKUP($B43,'F-1 Off Site River Baseline'!$C$9:$R$257,16,FALSE))</f>
        <v/>
      </c>
      <c r="N43" s="418" t="str">
        <f t="shared" si="0"/>
        <v/>
      </c>
      <c r="O43" s="498" t="str">
        <f t="shared" si="5"/>
        <v/>
      </c>
      <c r="P43" s="499" t="str">
        <f>IF(C43="","",IF(AND(LEFT(C43,55)&lt;&gt;LEFT(N43,55),O43="High - High"),"Error - Not like for like ▲",IF(AND(F43=S43,H43&gt;U43),"Error - Can not reduce condition ▲",IF(AND(F43=S43,H43=U43,AJ43='F-1 Off Site River Baseline'!N41,'F-1 Off Site River Baseline'!P41=AL43),"Error - No enhancement ▲",IF(AND(C43&lt;&gt;N43,F43&lt;S43),"Lower Distinctiveness Habitat"&amp;" - "&amp;T43,G43&amp;" - "&amp;T43)))))</f>
        <v/>
      </c>
      <c r="Q43" s="505" t="str">
        <f>IF(N43="","",VLOOKUP(B43,'F-1 Off Site River Baseline'!$C$10:$AA$257,19,FALSE))</f>
        <v/>
      </c>
      <c r="R43" s="498" t="str">
        <f>IF(N43="","",VLOOKUP(N43,'G-7 Rivers Data'!$B$2:$G$8,2,FALSE))</f>
        <v/>
      </c>
      <c r="S43" s="499" t="str">
        <f>IFERROR(VLOOKUP(R43,'G-7 Rivers Data'!$C$4:$D$8,2,FALSE),"")</f>
        <v/>
      </c>
      <c r="T43" s="145"/>
      <c r="U43" s="499" t="str">
        <f>IFERROR(INDEX('G-7 Rivers Data'!$H$4:$L$8,MATCH(N43,'G-7 Rivers Data'!$B$4:$B$8,0),MATCH(T43,'G-7 Rivers Data'!$H$3:$L$3,0)),"")</f>
        <v/>
      </c>
      <c r="V43" s="154"/>
      <c r="W43" s="520" t="str">
        <f>IF(V43="","",IF(VLOOKUP(V43,'G-7 Rivers Data'!$AG$4:$AI$9,2,FALSE)=0,"Spatial Data Missing ⚠",VLOOKUP(V43,'G-7 Rivers Data'!$AG$4:$AI$9,2,FALSE)))</f>
        <v/>
      </c>
      <c r="X43" s="524" t="str">
        <f>IF(V43="","",IF(VLOOKUP(V43,'G-7 Rivers Data'!$AG$4:$AI$9,3,FALSE)=0,"Spatial Data Missing ⚠",VLOOKUP(V43,'G-7 Rivers Data'!$AG$4:$AI$9,3,FALSE)))</f>
        <v/>
      </c>
      <c r="Y43" s="537" t="str">
        <f>IFERROR(IF(OR(LEFT(P43,5)="Error ▲",LEFT(O43,5)="Error ▲"),"Check Data ⚠",IF(F43&lt;S43,'G-7 Rivers Data'!$R$3,INDEX('G-7 Rivers Data'!$U$5:$Y$9,MATCH(G43,'G-7 Rivers Data'!$T$5:$T$9,0),MATCH(T43,'G-7 Rivers Data'!$U$4:$Y$4,0)))),"")</f>
        <v/>
      </c>
      <c r="Z43" s="203"/>
      <c r="AA43" s="203"/>
      <c r="AB43" s="534" t="str">
        <f t="shared" si="1"/>
        <v/>
      </c>
      <c r="AC43" s="521" t="str">
        <f t="shared" si="2"/>
        <v/>
      </c>
      <c r="AD43" s="564" t="str">
        <f>IFERROR(IF(AC43="Check Data ⚠","Check Data ⚠",VLOOKUP(AC43,'G-4 Temporal multipliers'!$A$4:$C$37,3,FALSE)),"")</f>
        <v/>
      </c>
      <c r="AE43" s="537" t="str">
        <f>IF(N43="","",VLOOKUP(N43,'G-7 Rivers Data'!$B$4:$G$8,5,FALSE))</f>
        <v/>
      </c>
      <c r="AF43" s="520" t="str">
        <f t="shared" si="3"/>
        <v/>
      </c>
      <c r="AG43" s="520" t="str">
        <f t="shared" si="6"/>
        <v/>
      </c>
      <c r="AH43" s="524" t="str">
        <f t="shared" si="4"/>
        <v/>
      </c>
      <c r="AI43" s="145"/>
      <c r="AJ43" s="499" t="str">
        <f>IF(AI43="","",IF(VLOOKUP(AI43,'G-7 Rivers Data'!$AA$4:$AB$7,2,FALSE)=0,"Spatial Data Missing ⚠",VLOOKUP(AI43,'G-7 Rivers Data'!$AA$4:$AB$7,2,FALSE)))</f>
        <v/>
      </c>
      <c r="AK43" s="155"/>
      <c r="AL43" s="536" t="str">
        <f>IF(AK43="","",IF(VLOOKUP(AK43,'G-7 Rivers Data'!$AD$4:$AE$8,2,FALSE)=0,"Spatial Data Missing ⚠",VLOOKUP(AK43,'G-7 Rivers Data'!$AD$4:$AE$8,2,FALSE)))</f>
        <v/>
      </c>
      <c r="AM43" s="154"/>
      <c r="AN43" s="524" t="str">
        <f>IF(AM43="","",VLOOKUP(AM43,'G-7 Rivers Data'!$AO$4:$AP$7,2,FALSE))</f>
        <v/>
      </c>
      <c r="AO43" s="545" t="str">
        <f t="shared" si="7"/>
        <v/>
      </c>
      <c r="AP43" s="149"/>
      <c r="AQ43" s="150"/>
      <c r="AX43" s="31" t="str">
        <f>IFERROR(INDEX('G-7 Rivers Data'!$AZ$3:$AZ$7,MATCH(N43,'G-7 Rivers Data'!$AY$3:$AY$7,0)),"")</f>
        <v/>
      </c>
    </row>
    <row r="44" spans="2:50" ht="13.8" x14ac:dyDescent="0.25">
      <c r="B44" s="531" t="str">
        <f>'F-1 Off Site River Baseline'!AN42</f>
        <v/>
      </c>
      <c r="C44" s="520" t="str">
        <f>IF(B44="","",VLOOKUP($B44,'F-1 Off Site River Baseline'!$C$9:$R$257,2,FALSE))</f>
        <v/>
      </c>
      <c r="D44" s="520" t="str">
        <f>IF(C44="","",VLOOKUP($B44,'F-1 Off Site River Baseline'!$C$9:$R$257,3,FALSE))</f>
        <v/>
      </c>
      <c r="E44" s="520" t="str">
        <f>IF(D44="","",VLOOKUP($B44,'F-1 Off Site River Baseline'!$C$9:$R$257,4,FALSE))</f>
        <v/>
      </c>
      <c r="F44" s="520" t="str">
        <f>IF(E44="","",VLOOKUP($B44,'F-1 Off Site River Baseline'!$C$9:$R$257,5,FALSE))</f>
        <v/>
      </c>
      <c r="G44" s="520" t="str">
        <f>IF(F44="","",VLOOKUP($B44,'F-1 Off Site River Baseline'!$C$9:$R$257,6,FALSE))</f>
        <v/>
      </c>
      <c r="H44" s="520" t="str">
        <f>IF(G44="","",VLOOKUP($B44,'F-1 Off Site River Baseline'!$C$9:$R$257,7,FALSE))</f>
        <v/>
      </c>
      <c r="I44" s="520" t="str">
        <f>IF(H44="","",VLOOKUP($B44,'F-1 Off Site River Baseline'!$C$9:$R$257,8,FALSE))</f>
        <v/>
      </c>
      <c r="J44" s="520" t="str">
        <f>IF(I44="","",VLOOKUP($B44,'F-1 Off Site River Baseline'!$C$9:$R$257,9,FALSE))</f>
        <v/>
      </c>
      <c r="K44" s="520" t="str">
        <f>IF(J44="","",VLOOKUP($B44,'F-1 Off Site River Baseline'!$C$9:$R$257,10,FALSE))</f>
        <v/>
      </c>
      <c r="L44" s="520" t="str">
        <f>IF(B44="","",VLOOKUP($B44,'C-1 Site River Baseline'!$C$9:$R$257,15,FALSE))</f>
        <v/>
      </c>
      <c r="M44" s="524" t="str">
        <f>IF(L44="","",VLOOKUP($B44,'F-1 Off Site River Baseline'!$C$9:$R$257,16,FALSE))</f>
        <v/>
      </c>
      <c r="N44" s="418" t="str">
        <f t="shared" si="0"/>
        <v/>
      </c>
      <c r="O44" s="498" t="str">
        <f t="shared" si="5"/>
        <v/>
      </c>
      <c r="P44" s="499" t="str">
        <f>IF(C44="","",IF(AND(LEFT(C44,55)&lt;&gt;LEFT(N44,55),O44="High - High"),"Error - Not like for like ▲",IF(AND(F44=S44,H44&gt;U44),"Error - Can not reduce condition ▲",IF(AND(F44=S44,H44=U44,AJ44='F-1 Off Site River Baseline'!N42,'F-1 Off Site River Baseline'!P42=AL44),"Error - No enhancement ▲",IF(AND(C44&lt;&gt;N44,F44&lt;S44),"Lower Distinctiveness Habitat"&amp;" - "&amp;T44,G44&amp;" - "&amp;T44)))))</f>
        <v/>
      </c>
      <c r="Q44" s="505" t="str">
        <f>IF(N44="","",VLOOKUP(B44,'F-1 Off Site River Baseline'!$C$10:$AA$257,19,FALSE))</f>
        <v/>
      </c>
      <c r="R44" s="498" t="str">
        <f>IF(N44="","",VLOOKUP(N44,'G-7 Rivers Data'!$B$2:$G$8,2,FALSE))</f>
        <v/>
      </c>
      <c r="S44" s="499" t="str">
        <f>IFERROR(VLOOKUP(R44,'G-7 Rivers Data'!$C$4:$D$8,2,FALSE),"")</f>
        <v/>
      </c>
      <c r="T44" s="145"/>
      <c r="U44" s="499" t="str">
        <f>IFERROR(INDEX('G-7 Rivers Data'!$H$4:$L$8,MATCH(N44,'G-7 Rivers Data'!$B$4:$B$8,0),MATCH(T44,'G-7 Rivers Data'!$H$3:$L$3,0)),"")</f>
        <v/>
      </c>
      <c r="V44" s="154"/>
      <c r="W44" s="520" t="str">
        <f>IF(V44="","",IF(VLOOKUP(V44,'G-7 Rivers Data'!$AG$4:$AI$9,2,FALSE)=0,"Spatial Data Missing ⚠",VLOOKUP(V44,'G-7 Rivers Data'!$AG$4:$AI$9,2,FALSE)))</f>
        <v/>
      </c>
      <c r="X44" s="524" t="str">
        <f>IF(V44="","",IF(VLOOKUP(V44,'G-7 Rivers Data'!$AG$4:$AI$9,3,FALSE)=0,"Spatial Data Missing ⚠",VLOOKUP(V44,'G-7 Rivers Data'!$AG$4:$AI$9,3,FALSE)))</f>
        <v/>
      </c>
      <c r="Y44" s="537" t="str">
        <f>IFERROR(IF(OR(LEFT(P44,5)="Error ▲",LEFT(O44,5)="Error ▲"),"Check Data ⚠",IF(F44&lt;S44,'G-7 Rivers Data'!$R$3,INDEX('G-7 Rivers Data'!$U$5:$Y$9,MATCH(G44,'G-7 Rivers Data'!$T$5:$T$9,0),MATCH(T44,'G-7 Rivers Data'!$U$4:$Y$4,0)))),"")</f>
        <v/>
      </c>
      <c r="Z44" s="203"/>
      <c r="AA44" s="203"/>
      <c r="AB44" s="534" t="str">
        <f t="shared" si="1"/>
        <v/>
      </c>
      <c r="AC44" s="521" t="str">
        <f t="shared" si="2"/>
        <v/>
      </c>
      <c r="AD44" s="564" t="str">
        <f>IFERROR(IF(AC44="Check Data ⚠","Check Data ⚠",VLOOKUP(AC44,'G-4 Temporal multipliers'!$A$4:$C$37,3,FALSE)),"")</f>
        <v/>
      </c>
      <c r="AE44" s="537" t="str">
        <f>IF(N44="","",VLOOKUP(N44,'G-7 Rivers Data'!$B$4:$G$8,5,FALSE))</f>
        <v/>
      </c>
      <c r="AF44" s="520" t="str">
        <f t="shared" si="3"/>
        <v/>
      </c>
      <c r="AG44" s="520" t="str">
        <f t="shared" si="6"/>
        <v/>
      </c>
      <c r="AH44" s="524" t="str">
        <f t="shared" si="4"/>
        <v/>
      </c>
      <c r="AI44" s="145"/>
      <c r="AJ44" s="499" t="str">
        <f>IF(AI44="","",IF(VLOOKUP(AI44,'G-7 Rivers Data'!$AA$4:$AB$7,2,FALSE)=0,"Spatial Data Missing ⚠",VLOOKUP(AI44,'G-7 Rivers Data'!$AA$4:$AB$7,2,FALSE)))</f>
        <v/>
      </c>
      <c r="AK44" s="155"/>
      <c r="AL44" s="536" t="str">
        <f>IF(AK44="","",IF(VLOOKUP(AK44,'G-7 Rivers Data'!$AD$4:$AE$8,2,FALSE)=0,"Spatial Data Missing ⚠",VLOOKUP(AK44,'G-7 Rivers Data'!$AD$4:$AE$8,2,FALSE)))</f>
        <v/>
      </c>
      <c r="AM44" s="154"/>
      <c r="AN44" s="524" t="str">
        <f>IF(AM44="","",VLOOKUP(AM44,'G-7 Rivers Data'!$AO$4:$AP$7,2,FALSE))</f>
        <v/>
      </c>
      <c r="AO44" s="545" t="str">
        <f t="shared" si="7"/>
        <v/>
      </c>
      <c r="AP44" s="149"/>
      <c r="AQ44" s="150"/>
      <c r="AX44" s="31" t="str">
        <f>IFERROR(INDEX('G-7 Rivers Data'!$AZ$3:$AZ$7,MATCH(N44,'G-7 Rivers Data'!$AY$3:$AY$7,0)),"")</f>
        <v/>
      </c>
    </row>
    <row r="45" spans="2:50" ht="13.8" x14ac:dyDescent="0.25">
      <c r="B45" s="531" t="str">
        <f>'F-1 Off Site River Baseline'!AN43</f>
        <v/>
      </c>
      <c r="C45" s="520" t="str">
        <f>IF(B45="","",VLOOKUP($B45,'F-1 Off Site River Baseline'!$C$9:$R$257,2,FALSE))</f>
        <v/>
      </c>
      <c r="D45" s="520" t="str">
        <f>IF(C45="","",VLOOKUP($B45,'F-1 Off Site River Baseline'!$C$9:$R$257,3,FALSE))</f>
        <v/>
      </c>
      <c r="E45" s="520" t="str">
        <f>IF(D45="","",VLOOKUP($B45,'F-1 Off Site River Baseline'!$C$9:$R$257,4,FALSE))</f>
        <v/>
      </c>
      <c r="F45" s="520" t="str">
        <f>IF(E45="","",VLOOKUP($B45,'F-1 Off Site River Baseline'!$C$9:$R$257,5,FALSE))</f>
        <v/>
      </c>
      <c r="G45" s="520" t="str">
        <f>IF(F45="","",VLOOKUP($B45,'F-1 Off Site River Baseline'!$C$9:$R$257,6,FALSE))</f>
        <v/>
      </c>
      <c r="H45" s="520" t="str">
        <f>IF(G45="","",VLOOKUP($B45,'F-1 Off Site River Baseline'!$C$9:$R$257,7,FALSE))</f>
        <v/>
      </c>
      <c r="I45" s="520" t="str">
        <f>IF(H45="","",VLOOKUP($B45,'F-1 Off Site River Baseline'!$C$9:$R$257,8,FALSE))</f>
        <v/>
      </c>
      <c r="J45" s="520" t="str">
        <f>IF(I45="","",VLOOKUP($B45,'F-1 Off Site River Baseline'!$C$9:$R$257,9,FALSE))</f>
        <v/>
      </c>
      <c r="K45" s="520" t="str">
        <f>IF(J45="","",VLOOKUP($B45,'F-1 Off Site River Baseline'!$C$9:$R$257,10,FALSE))</f>
        <v/>
      </c>
      <c r="L45" s="520" t="str">
        <f>IF(B45="","",VLOOKUP($B45,'C-1 Site River Baseline'!$C$9:$R$257,15,FALSE))</f>
        <v/>
      </c>
      <c r="M45" s="524" t="str">
        <f>IF(L45="","",VLOOKUP($B45,'F-1 Off Site River Baseline'!$C$9:$R$257,16,FALSE))</f>
        <v/>
      </c>
      <c r="N45" s="418" t="str">
        <f t="shared" si="0"/>
        <v/>
      </c>
      <c r="O45" s="498" t="str">
        <f t="shared" si="5"/>
        <v/>
      </c>
      <c r="P45" s="499" t="str">
        <f>IF(C45="","",IF(AND(LEFT(C45,55)&lt;&gt;LEFT(N45,55),O45="High - High"),"Error - Not like for like ▲",IF(AND(F45=S45,H45&gt;U45),"Error - Can not reduce condition ▲",IF(AND(F45=S45,H45=U45,AJ45='F-1 Off Site River Baseline'!N43,'F-1 Off Site River Baseline'!P43=AL45),"Error - No enhancement ▲",IF(AND(C45&lt;&gt;N45,F45&lt;S45),"Lower Distinctiveness Habitat"&amp;" - "&amp;T45,G45&amp;" - "&amp;T45)))))</f>
        <v/>
      </c>
      <c r="Q45" s="505" t="str">
        <f>IF(N45="","",VLOOKUP(B45,'F-1 Off Site River Baseline'!$C$10:$AA$257,19,FALSE))</f>
        <v/>
      </c>
      <c r="R45" s="498" t="str">
        <f>IF(N45="","",VLOOKUP(N45,'G-7 Rivers Data'!$B$2:$G$8,2,FALSE))</f>
        <v/>
      </c>
      <c r="S45" s="499" t="str">
        <f>IFERROR(VLOOKUP(R45,'G-7 Rivers Data'!$C$4:$D$8,2,FALSE),"")</f>
        <v/>
      </c>
      <c r="T45" s="145"/>
      <c r="U45" s="499" t="str">
        <f>IFERROR(INDEX('G-7 Rivers Data'!$H$4:$L$8,MATCH(N45,'G-7 Rivers Data'!$B$4:$B$8,0),MATCH(T45,'G-7 Rivers Data'!$H$3:$L$3,0)),"")</f>
        <v/>
      </c>
      <c r="V45" s="154"/>
      <c r="W45" s="520" t="str">
        <f>IF(V45="","",IF(VLOOKUP(V45,'G-7 Rivers Data'!$AG$4:$AI$9,2,FALSE)=0,"Spatial Data Missing ⚠",VLOOKUP(V45,'G-7 Rivers Data'!$AG$4:$AI$9,2,FALSE)))</f>
        <v/>
      </c>
      <c r="X45" s="524" t="str">
        <f>IF(V45="","",IF(VLOOKUP(V45,'G-7 Rivers Data'!$AG$4:$AI$9,3,FALSE)=0,"Spatial Data Missing ⚠",VLOOKUP(V45,'G-7 Rivers Data'!$AG$4:$AI$9,3,FALSE)))</f>
        <v/>
      </c>
      <c r="Y45" s="537" t="str">
        <f>IFERROR(IF(OR(LEFT(P45,5)="Error ▲",LEFT(O45,5)="Error ▲"),"Check Data ⚠",IF(F45&lt;S45,'G-7 Rivers Data'!$R$3,INDEX('G-7 Rivers Data'!$U$5:$Y$9,MATCH(G45,'G-7 Rivers Data'!$T$5:$T$9,0),MATCH(T45,'G-7 Rivers Data'!$U$4:$Y$4,0)))),"")</f>
        <v/>
      </c>
      <c r="Z45" s="203"/>
      <c r="AA45" s="203"/>
      <c r="AB45" s="534" t="str">
        <f t="shared" si="1"/>
        <v/>
      </c>
      <c r="AC45" s="521" t="str">
        <f t="shared" si="2"/>
        <v/>
      </c>
      <c r="AD45" s="564" t="str">
        <f>IFERROR(IF(AC45="Check Data ⚠","Check Data ⚠",VLOOKUP(AC45,'G-4 Temporal multipliers'!$A$4:$C$37,3,FALSE)),"")</f>
        <v/>
      </c>
      <c r="AE45" s="537" t="str">
        <f>IF(N45="","",VLOOKUP(N45,'G-7 Rivers Data'!$B$4:$G$8,5,FALSE))</f>
        <v/>
      </c>
      <c r="AF45" s="520" t="str">
        <f t="shared" si="3"/>
        <v/>
      </c>
      <c r="AG45" s="520" t="str">
        <f t="shared" si="6"/>
        <v/>
      </c>
      <c r="AH45" s="524" t="str">
        <f t="shared" si="4"/>
        <v/>
      </c>
      <c r="AI45" s="145"/>
      <c r="AJ45" s="499" t="str">
        <f>IF(AI45="","",IF(VLOOKUP(AI45,'G-7 Rivers Data'!$AA$4:$AB$7,2,FALSE)=0,"Spatial Data Missing ⚠",VLOOKUP(AI45,'G-7 Rivers Data'!$AA$4:$AB$7,2,FALSE)))</f>
        <v/>
      </c>
      <c r="AK45" s="155"/>
      <c r="AL45" s="536" t="str">
        <f>IF(AK45="","",IF(VLOOKUP(AK45,'G-7 Rivers Data'!$AD$4:$AE$8,2,FALSE)=0,"Spatial Data Missing ⚠",VLOOKUP(AK45,'G-7 Rivers Data'!$AD$4:$AE$8,2,FALSE)))</f>
        <v/>
      </c>
      <c r="AM45" s="154"/>
      <c r="AN45" s="524" t="str">
        <f>IF(AM45="","",VLOOKUP(AM45,'G-7 Rivers Data'!$AO$4:$AP$7,2,FALSE))</f>
        <v/>
      </c>
      <c r="AO45" s="545" t="str">
        <f t="shared" si="7"/>
        <v/>
      </c>
      <c r="AP45" s="149"/>
      <c r="AQ45" s="150"/>
      <c r="AX45" s="31" t="str">
        <f>IFERROR(INDEX('G-7 Rivers Data'!$AZ$3:$AZ$7,MATCH(N45,'G-7 Rivers Data'!$AY$3:$AY$7,0)),"")</f>
        <v/>
      </c>
    </row>
    <row r="46" spans="2:50" ht="13.8" x14ac:dyDescent="0.25">
      <c r="B46" s="531" t="str">
        <f>'F-1 Off Site River Baseline'!AN44</f>
        <v/>
      </c>
      <c r="C46" s="520" t="str">
        <f>IF(B46="","",VLOOKUP($B46,'F-1 Off Site River Baseline'!$C$9:$R$257,2,FALSE))</f>
        <v/>
      </c>
      <c r="D46" s="520" t="str">
        <f>IF(C46="","",VLOOKUP($B46,'F-1 Off Site River Baseline'!$C$9:$R$257,3,FALSE))</f>
        <v/>
      </c>
      <c r="E46" s="520" t="str">
        <f>IF(D46="","",VLOOKUP($B46,'F-1 Off Site River Baseline'!$C$9:$R$257,4,FALSE))</f>
        <v/>
      </c>
      <c r="F46" s="520" t="str">
        <f>IF(E46="","",VLOOKUP($B46,'F-1 Off Site River Baseline'!$C$9:$R$257,5,FALSE))</f>
        <v/>
      </c>
      <c r="G46" s="520" t="str">
        <f>IF(F46="","",VLOOKUP($B46,'F-1 Off Site River Baseline'!$C$9:$R$257,6,FALSE))</f>
        <v/>
      </c>
      <c r="H46" s="520" t="str">
        <f>IF(G46="","",VLOOKUP($B46,'F-1 Off Site River Baseline'!$C$9:$R$257,7,FALSE))</f>
        <v/>
      </c>
      <c r="I46" s="520" t="str">
        <f>IF(H46="","",VLOOKUP($B46,'F-1 Off Site River Baseline'!$C$9:$R$257,8,FALSE))</f>
        <v/>
      </c>
      <c r="J46" s="520" t="str">
        <f>IF(I46="","",VLOOKUP($B46,'F-1 Off Site River Baseline'!$C$9:$R$257,9,FALSE))</f>
        <v/>
      </c>
      <c r="K46" s="520" t="str">
        <f>IF(J46="","",VLOOKUP($B46,'F-1 Off Site River Baseline'!$C$9:$R$257,10,FALSE))</f>
        <v/>
      </c>
      <c r="L46" s="520" t="str">
        <f>IF(B46="","",VLOOKUP($B46,'C-1 Site River Baseline'!$C$9:$R$257,15,FALSE))</f>
        <v/>
      </c>
      <c r="M46" s="524" t="str">
        <f>IF(L46="","",VLOOKUP($B46,'F-1 Off Site River Baseline'!$C$9:$R$257,16,FALSE))</f>
        <v/>
      </c>
      <c r="N46" s="418" t="str">
        <f t="shared" si="0"/>
        <v/>
      </c>
      <c r="O46" s="498" t="str">
        <f t="shared" si="5"/>
        <v/>
      </c>
      <c r="P46" s="499" t="str">
        <f>IF(C46="","",IF(AND(LEFT(C46,55)&lt;&gt;LEFT(N46,55),O46="High - High"),"Error - Not like for like ▲",IF(AND(F46=S46,H46&gt;U46),"Error - Can not reduce condition ▲",IF(AND(F46=S46,H46=U46,AJ46='F-1 Off Site River Baseline'!N44,'F-1 Off Site River Baseline'!P44=AL46),"Error - No enhancement ▲",IF(AND(C46&lt;&gt;N46,F46&lt;S46),"Lower Distinctiveness Habitat"&amp;" - "&amp;T46,G46&amp;" - "&amp;T46)))))</f>
        <v/>
      </c>
      <c r="Q46" s="505" t="str">
        <f>IF(N46="","",VLOOKUP(B46,'F-1 Off Site River Baseline'!$C$10:$AA$257,19,FALSE))</f>
        <v/>
      </c>
      <c r="R46" s="498" t="str">
        <f>IF(N46="","",VLOOKUP(N46,'G-7 Rivers Data'!$B$2:$G$8,2,FALSE))</f>
        <v/>
      </c>
      <c r="S46" s="499" t="str">
        <f>IFERROR(VLOOKUP(R46,'G-7 Rivers Data'!$C$4:$D$8,2,FALSE),"")</f>
        <v/>
      </c>
      <c r="T46" s="145"/>
      <c r="U46" s="499" t="str">
        <f>IFERROR(INDEX('G-7 Rivers Data'!$H$4:$L$8,MATCH(N46,'G-7 Rivers Data'!$B$4:$B$8,0),MATCH(T46,'G-7 Rivers Data'!$H$3:$L$3,0)),"")</f>
        <v/>
      </c>
      <c r="V46" s="154"/>
      <c r="W46" s="520" t="str">
        <f>IF(V46="","",IF(VLOOKUP(V46,'G-7 Rivers Data'!$AG$4:$AI$9,2,FALSE)=0,"Spatial Data Missing ⚠",VLOOKUP(V46,'G-7 Rivers Data'!$AG$4:$AI$9,2,FALSE)))</f>
        <v/>
      </c>
      <c r="X46" s="524" t="str">
        <f>IF(V46="","",IF(VLOOKUP(V46,'G-7 Rivers Data'!$AG$4:$AI$9,3,FALSE)=0,"Spatial Data Missing ⚠",VLOOKUP(V46,'G-7 Rivers Data'!$AG$4:$AI$9,3,FALSE)))</f>
        <v/>
      </c>
      <c r="Y46" s="537" t="str">
        <f>IFERROR(IF(OR(LEFT(P46,5)="Error ▲",LEFT(O46,5)="Error ▲"),"Check Data ⚠",IF(F46&lt;S46,'G-7 Rivers Data'!$R$3,INDEX('G-7 Rivers Data'!$U$5:$Y$9,MATCH(G46,'G-7 Rivers Data'!$T$5:$T$9,0),MATCH(T46,'G-7 Rivers Data'!$U$4:$Y$4,0)))),"")</f>
        <v/>
      </c>
      <c r="Z46" s="203"/>
      <c r="AA46" s="203"/>
      <c r="AB46" s="534" t="str">
        <f t="shared" si="1"/>
        <v/>
      </c>
      <c r="AC46" s="521" t="str">
        <f t="shared" si="2"/>
        <v/>
      </c>
      <c r="AD46" s="564" t="str">
        <f>IFERROR(IF(AC46="Check Data ⚠","Check Data ⚠",VLOOKUP(AC46,'G-4 Temporal multipliers'!$A$4:$C$37,3,FALSE)),"")</f>
        <v/>
      </c>
      <c r="AE46" s="537" t="str">
        <f>IF(N46="","",VLOOKUP(N46,'G-7 Rivers Data'!$B$4:$G$8,5,FALSE))</f>
        <v/>
      </c>
      <c r="AF46" s="520" t="str">
        <f t="shared" si="3"/>
        <v/>
      </c>
      <c r="AG46" s="520" t="str">
        <f t="shared" si="6"/>
        <v/>
      </c>
      <c r="AH46" s="524" t="str">
        <f t="shared" si="4"/>
        <v/>
      </c>
      <c r="AI46" s="145"/>
      <c r="AJ46" s="499" t="str">
        <f>IF(AI46="","",IF(VLOOKUP(AI46,'G-7 Rivers Data'!$AA$4:$AB$7,2,FALSE)=0,"Spatial Data Missing ⚠",VLOOKUP(AI46,'G-7 Rivers Data'!$AA$4:$AB$7,2,FALSE)))</f>
        <v/>
      </c>
      <c r="AK46" s="155"/>
      <c r="AL46" s="536" t="str">
        <f>IF(AK46="","",IF(VLOOKUP(AK46,'G-7 Rivers Data'!$AD$4:$AE$8,2,FALSE)=0,"Spatial Data Missing ⚠",VLOOKUP(AK46,'G-7 Rivers Data'!$AD$4:$AE$8,2,FALSE)))</f>
        <v/>
      </c>
      <c r="AM46" s="154"/>
      <c r="AN46" s="524" t="str">
        <f>IF(AM46="","",VLOOKUP(AM46,'G-7 Rivers Data'!$AO$4:$AP$7,2,FALSE))</f>
        <v/>
      </c>
      <c r="AO46" s="545" t="str">
        <f t="shared" si="7"/>
        <v/>
      </c>
      <c r="AP46" s="149"/>
      <c r="AQ46" s="150"/>
      <c r="AX46" s="31" t="str">
        <f>IFERROR(INDEX('G-7 Rivers Data'!$AZ$3:$AZ$7,MATCH(N46,'G-7 Rivers Data'!$AY$3:$AY$7,0)),"")</f>
        <v/>
      </c>
    </row>
    <row r="47" spans="2:50" ht="13.8" x14ac:dyDescent="0.25">
      <c r="B47" s="531" t="str">
        <f>'F-1 Off Site River Baseline'!AN45</f>
        <v/>
      </c>
      <c r="C47" s="520" t="str">
        <f>IF(B47="","",VLOOKUP($B47,'F-1 Off Site River Baseline'!$C$9:$R$257,2,FALSE))</f>
        <v/>
      </c>
      <c r="D47" s="520" t="str">
        <f>IF(C47="","",VLOOKUP($B47,'F-1 Off Site River Baseline'!$C$9:$R$257,3,FALSE))</f>
        <v/>
      </c>
      <c r="E47" s="520" t="str">
        <f>IF(D47="","",VLOOKUP($B47,'F-1 Off Site River Baseline'!$C$9:$R$257,4,FALSE))</f>
        <v/>
      </c>
      <c r="F47" s="520" t="str">
        <f>IF(E47="","",VLOOKUP($B47,'F-1 Off Site River Baseline'!$C$9:$R$257,5,FALSE))</f>
        <v/>
      </c>
      <c r="G47" s="520" t="str">
        <f>IF(F47="","",VLOOKUP($B47,'F-1 Off Site River Baseline'!$C$9:$R$257,6,FALSE))</f>
        <v/>
      </c>
      <c r="H47" s="520" t="str">
        <f>IF(G47="","",VLOOKUP($B47,'F-1 Off Site River Baseline'!$C$9:$R$257,7,FALSE))</f>
        <v/>
      </c>
      <c r="I47" s="520" t="str">
        <f>IF(H47="","",VLOOKUP($B47,'F-1 Off Site River Baseline'!$C$9:$R$257,8,FALSE))</f>
        <v/>
      </c>
      <c r="J47" s="520" t="str">
        <f>IF(I47="","",VLOOKUP($B47,'F-1 Off Site River Baseline'!$C$9:$R$257,9,FALSE))</f>
        <v/>
      </c>
      <c r="K47" s="520" t="str">
        <f>IF(J47="","",VLOOKUP($B47,'F-1 Off Site River Baseline'!$C$9:$R$257,10,FALSE))</f>
        <v/>
      </c>
      <c r="L47" s="520" t="str">
        <f>IF(B47="","",VLOOKUP($B47,'C-1 Site River Baseline'!$C$9:$R$257,15,FALSE))</f>
        <v/>
      </c>
      <c r="M47" s="524" t="str">
        <f>IF(L47="","",VLOOKUP($B47,'F-1 Off Site River Baseline'!$C$9:$R$257,16,FALSE))</f>
        <v/>
      </c>
      <c r="N47" s="418" t="str">
        <f t="shared" si="0"/>
        <v/>
      </c>
      <c r="O47" s="498" t="str">
        <f t="shared" si="5"/>
        <v/>
      </c>
      <c r="P47" s="499" t="str">
        <f>IF(C47="","",IF(AND(LEFT(C47,55)&lt;&gt;LEFT(N47,55),O47="High - High"),"Error - Not like for like ▲",IF(AND(F47=S47,H47&gt;U47),"Error - Can not reduce condition ▲",IF(AND(F47=S47,H47=U47,AJ47='F-1 Off Site River Baseline'!N45,'F-1 Off Site River Baseline'!P45=AL47),"Error - No enhancement ▲",IF(AND(C47&lt;&gt;N47,F47&lt;S47),"Lower Distinctiveness Habitat"&amp;" - "&amp;T47,G47&amp;" - "&amp;T47)))))</f>
        <v/>
      </c>
      <c r="Q47" s="505" t="str">
        <f>IF(N47="","",VLOOKUP(B47,'F-1 Off Site River Baseline'!$C$10:$AA$257,19,FALSE))</f>
        <v/>
      </c>
      <c r="R47" s="498" t="str">
        <f>IF(N47="","",VLOOKUP(N47,'G-7 Rivers Data'!$B$2:$G$8,2,FALSE))</f>
        <v/>
      </c>
      <c r="S47" s="499" t="str">
        <f>IFERROR(VLOOKUP(R47,'G-7 Rivers Data'!$C$4:$D$8,2,FALSE),"")</f>
        <v/>
      </c>
      <c r="T47" s="145"/>
      <c r="U47" s="499" t="str">
        <f>IFERROR(INDEX('G-7 Rivers Data'!$H$4:$L$8,MATCH(N47,'G-7 Rivers Data'!$B$4:$B$8,0),MATCH(T47,'G-7 Rivers Data'!$H$3:$L$3,0)),"")</f>
        <v/>
      </c>
      <c r="V47" s="154"/>
      <c r="W47" s="520" t="str">
        <f>IF(V47="","",IF(VLOOKUP(V47,'G-7 Rivers Data'!$AG$4:$AI$9,2,FALSE)=0,"Spatial Data Missing ⚠",VLOOKUP(V47,'G-7 Rivers Data'!$AG$4:$AI$9,2,FALSE)))</f>
        <v/>
      </c>
      <c r="X47" s="524" t="str">
        <f>IF(V47="","",IF(VLOOKUP(V47,'G-7 Rivers Data'!$AG$4:$AI$9,3,FALSE)=0,"Spatial Data Missing ⚠",VLOOKUP(V47,'G-7 Rivers Data'!$AG$4:$AI$9,3,FALSE)))</f>
        <v/>
      </c>
      <c r="Y47" s="537" t="str">
        <f>IFERROR(IF(OR(LEFT(P47,5)="Error ▲",LEFT(O47,5)="Error ▲"),"Check Data ⚠",IF(F47&lt;S47,'G-7 Rivers Data'!$R$3,INDEX('G-7 Rivers Data'!$U$5:$Y$9,MATCH(G47,'G-7 Rivers Data'!$T$5:$T$9,0),MATCH(T47,'G-7 Rivers Data'!$U$4:$Y$4,0)))),"")</f>
        <v/>
      </c>
      <c r="Z47" s="203"/>
      <c r="AA47" s="203"/>
      <c r="AB47" s="534" t="str">
        <f t="shared" si="1"/>
        <v/>
      </c>
      <c r="AC47" s="521" t="str">
        <f t="shared" si="2"/>
        <v/>
      </c>
      <c r="AD47" s="564" t="str">
        <f>IFERROR(IF(AC47="Check Data ⚠","Check Data ⚠",VLOOKUP(AC47,'G-4 Temporal multipliers'!$A$4:$C$37,3,FALSE)),"")</f>
        <v/>
      </c>
      <c r="AE47" s="537" t="str">
        <f>IF(N47="","",VLOOKUP(N47,'G-7 Rivers Data'!$B$4:$G$8,5,FALSE))</f>
        <v/>
      </c>
      <c r="AF47" s="520" t="str">
        <f t="shared" si="3"/>
        <v/>
      </c>
      <c r="AG47" s="520" t="str">
        <f t="shared" si="6"/>
        <v/>
      </c>
      <c r="AH47" s="524" t="str">
        <f t="shared" si="4"/>
        <v/>
      </c>
      <c r="AI47" s="145"/>
      <c r="AJ47" s="499" t="str">
        <f>IF(AI47="","",IF(VLOOKUP(AI47,'G-7 Rivers Data'!$AA$4:$AB$7,2,FALSE)=0,"Spatial Data Missing ⚠",VLOOKUP(AI47,'G-7 Rivers Data'!$AA$4:$AB$7,2,FALSE)))</f>
        <v/>
      </c>
      <c r="AK47" s="155"/>
      <c r="AL47" s="536" t="str">
        <f>IF(AK47="","",IF(VLOOKUP(AK47,'G-7 Rivers Data'!$AD$4:$AE$8,2,FALSE)=0,"Spatial Data Missing ⚠",VLOOKUP(AK47,'G-7 Rivers Data'!$AD$4:$AE$8,2,FALSE)))</f>
        <v/>
      </c>
      <c r="AM47" s="154"/>
      <c r="AN47" s="524" t="str">
        <f>IF(AM47="","",VLOOKUP(AM47,'G-7 Rivers Data'!$AO$4:$AP$7,2,FALSE))</f>
        <v/>
      </c>
      <c r="AO47" s="545" t="str">
        <f t="shared" si="7"/>
        <v/>
      </c>
      <c r="AP47" s="149"/>
      <c r="AQ47" s="150"/>
      <c r="AX47" s="31" t="str">
        <f>IFERROR(INDEX('G-7 Rivers Data'!$AZ$3:$AZ$7,MATCH(N47,'G-7 Rivers Data'!$AY$3:$AY$7,0)),"")</f>
        <v/>
      </c>
    </row>
    <row r="48" spans="2:50" ht="13.8" x14ac:dyDescent="0.25">
      <c r="B48" s="531" t="str">
        <f>'F-1 Off Site River Baseline'!AN46</f>
        <v/>
      </c>
      <c r="C48" s="520" t="str">
        <f>IF(B48="","",VLOOKUP($B48,'F-1 Off Site River Baseline'!$C$9:$R$257,2,FALSE))</f>
        <v/>
      </c>
      <c r="D48" s="520" t="str">
        <f>IF(C48="","",VLOOKUP($B48,'F-1 Off Site River Baseline'!$C$9:$R$257,3,FALSE))</f>
        <v/>
      </c>
      <c r="E48" s="520" t="str">
        <f>IF(D48="","",VLOOKUP($B48,'F-1 Off Site River Baseline'!$C$9:$R$257,4,FALSE))</f>
        <v/>
      </c>
      <c r="F48" s="520" t="str">
        <f>IF(E48="","",VLOOKUP($B48,'F-1 Off Site River Baseline'!$C$9:$R$257,5,FALSE))</f>
        <v/>
      </c>
      <c r="G48" s="520" t="str">
        <f>IF(F48="","",VLOOKUP($B48,'F-1 Off Site River Baseline'!$C$9:$R$257,6,FALSE))</f>
        <v/>
      </c>
      <c r="H48" s="520" t="str">
        <f>IF(G48="","",VLOOKUP($B48,'F-1 Off Site River Baseline'!$C$9:$R$257,7,FALSE))</f>
        <v/>
      </c>
      <c r="I48" s="520" t="str">
        <f>IF(H48="","",VLOOKUP($B48,'F-1 Off Site River Baseline'!$C$9:$R$257,8,FALSE))</f>
        <v/>
      </c>
      <c r="J48" s="520" t="str">
        <f>IF(I48="","",VLOOKUP($B48,'F-1 Off Site River Baseline'!$C$9:$R$257,9,FALSE))</f>
        <v/>
      </c>
      <c r="K48" s="520" t="str">
        <f>IF(J48="","",VLOOKUP($B48,'F-1 Off Site River Baseline'!$C$9:$R$257,10,FALSE))</f>
        <v/>
      </c>
      <c r="L48" s="520" t="str">
        <f>IF(B48="","",VLOOKUP($B48,'C-1 Site River Baseline'!$C$9:$R$257,15,FALSE))</f>
        <v/>
      </c>
      <c r="M48" s="524" t="str">
        <f>IF(L48="","",VLOOKUP($B48,'F-1 Off Site River Baseline'!$C$9:$R$257,16,FALSE))</f>
        <v/>
      </c>
      <c r="N48" s="418" t="str">
        <f t="shared" si="0"/>
        <v/>
      </c>
      <c r="O48" s="498" t="str">
        <f t="shared" si="5"/>
        <v/>
      </c>
      <c r="P48" s="499" t="str">
        <f>IF(C48="","",IF(AND(LEFT(C48,55)&lt;&gt;LEFT(N48,55),O48="High - High"),"Error - Not like for like ▲",IF(AND(F48=S48,H48&gt;U48),"Error - Can not reduce condition ▲",IF(AND(F48=S48,H48=U48,AJ48='F-1 Off Site River Baseline'!N46,'F-1 Off Site River Baseline'!P46=AL48),"Error - No enhancement ▲",IF(AND(C48&lt;&gt;N48,F48&lt;S48),"Lower Distinctiveness Habitat"&amp;" - "&amp;T48,G48&amp;" - "&amp;T48)))))</f>
        <v/>
      </c>
      <c r="Q48" s="505" t="str">
        <f>IF(N48="","",VLOOKUP(B48,'F-1 Off Site River Baseline'!$C$10:$AA$257,19,FALSE))</f>
        <v/>
      </c>
      <c r="R48" s="498" t="str">
        <f>IF(N48="","",VLOOKUP(N48,'G-7 Rivers Data'!$B$2:$G$8,2,FALSE))</f>
        <v/>
      </c>
      <c r="S48" s="499" t="str">
        <f>IFERROR(VLOOKUP(R48,'G-7 Rivers Data'!$C$4:$D$8,2,FALSE),"")</f>
        <v/>
      </c>
      <c r="T48" s="145"/>
      <c r="U48" s="499" t="str">
        <f>IFERROR(INDEX('G-7 Rivers Data'!$H$4:$L$8,MATCH(N48,'G-7 Rivers Data'!$B$4:$B$8,0),MATCH(T48,'G-7 Rivers Data'!$H$3:$L$3,0)),"")</f>
        <v/>
      </c>
      <c r="V48" s="154"/>
      <c r="W48" s="520" t="str">
        <f>IF(V48="","",IF(VLOOKUP(V48,'G-7 Rivers Data'!$AG$4:$AI$9,2,FALSE)=0,"Spatial Data Missing ⚠",VLOOKUP(V48,'G-7 Rivers Data'!$AG$4:$AI$9,2,FALSE)))</f>
        <v/>
      </c>
      <c r="X48" s="524" t="str">
        <f>IF(V48="","",IF(VLOOKUP(V48,'G-7 Rivers Data'!$AG$4:$AI$9,3,FALSE)=0,"Spatial Data Missing ⚠",VLOOKUP(V48,'G-7 Rivers Data'!$AG$4:$AI$9,3,FALSE)))</f>
        <v/>
      </c>
      <c r="Y48" s="537" t="str">
        <f>IFERROR(IF(OR(LEFT(P48,5)="Error ▲",LEFT(O48,5)="Error ▲"),"Check Data ⚠",IF(F48&lt;S48,'G-7 Rivers Data'!$R$3,INDEX('G-7 Rivers Data'!$U$5:$Y$9,MATCH(G48,'G-7 Rivers Data'!$T$5:$T$9,0),MATCH(T48,'G-7 Rivers Data'!$U$4:$Y$4,0)))),"")</f>
        <v/>
      </c>
      <c r="Z48" s="203"/>
      <c r="AA48" s="203"/>
      <c r="AB48" s="534" t="str">
        <f t="shared" si="1"/>
        <v/>
      </c>
      <c r="AC48" s="521" t="str">
        <f t="shared" si="2"/>
        <v/>
      </c>
      <c r="AD48" s="564" t="str">
        <f>IFERROR(IF(AC48="Check Data ⚠","Check Data ⚠",VLOOKUP(AC48,'G-4 Temporal multipliers'!$A$4:$C$37,3,FALSE)),"")</f>
        <v/>
      </c>
      <c r="AE48" s="537" t="str">
        <f>IF(N48="","",VLOOKUP(N48,'G-7 Rivers Data'!$B$4:$G$8,5,FALSE))</f>
        <v/>
      </c>
      <c r="AF48" s="520" t="str">
        <f t="shared" si="3"/>
        <v/>
      </c>
      <c r="AG48" s="520" t="str">
        <f t="shared" si="6"/>
        <v/>
      </c>
      <c r="AH48" s="524" t="str">
        <f t="shared" si="4"/>
        <v/>
      </c>
      <c r="AI48" s="145"/>
      <c r="AJ48" s="499" t="str">
        <f>IF(AI48="","",IF(VLOOKUP(AI48,'G-7 Rivers Data'!$AA$4:$AB$7,2,FALSE)=0,"Spatial Data Missing ⚠",VLOOKUP(AI48,'G-7 Rivers Data'!$AA$4:$AB$7,2,FALSE)))</f>
        <v/>
      </c>
      <c r="AK48" s="155"/>
      <c r="AL48" s="536" t="str">
        <f>IF(AK48="","",IF(VLOOKUP(AK48,'G-7 Rivers Data'!$AD$4:$AE$8,2,FALSE)=0,"Spatial Data Missing ⚠",VLOOKUP(AK48,'G-7 Rivers Data'!$AD$4:$AE$8,2,FALSE)))</f>
        <v/>
      </c>
      <c r="AM48" s="154"/>
      <c r="AN48" s="524" t="str">
        <f>IF(AM48="","",VLOOKUP(AM48,'G-7 Rivers Data'!$AO$4:$AP$7,2,FALSE))</f>
        <v/>
      </c>
      <c r="AO48" s="545" t="str">
        <f t="shared" si="7"/>
        <v/>
      </c>
      <c r="AP48" s="149"/>
      <c r="AQ48" s="150"/>
      <c r="AX48" s="31" t="str">
        <f>IFERROR(INDEX('G-7 Rivers Data'!$AZ$3:$AZ$7,MATCH(N48,'G-7 Rivers Data'!$AY$3:$AY$7,0)),"")</f>
        <v/>
      </c>
    </row>
    <row r="49" spans="2:50" ht="13.8" x14ac:dyDescent="0.25">
      <c r="B49" s="531" t="str">
        <f>'F-1 Off Site River Baseline'!AN47</f>
        <v/>
      </c>
      <c r="C49" s="520" t="str">
        <f>IF(B49="","",VLOOKUP($B49,'F-1 Off Site River Baseline'!$C$9:$R$257,2,FALSE))</f>
        <v/>
      </c>
      <c r="D49" s="520" t="str">
        <f>IF(C49="","",VLOOKUP($B49,'F-1 Off Site River Baseline'!$C$9:$R$257,3,FALSE))</f>
        <v/>
      </c>
      <c r="E49" s="520" t="str">
        <f>IF(D49="","",VLOOKUP($B49,'F-1 Off Site River Baseline'!$C$9:$R$257,4,FALSE))</f>
        <v/>
      </c>
      <c r="F49" s="520" t="str">
        <f>IF(E49="","",VLOOKUP($B49,'F-1 Off Site River Baseline'!$C$9:$R$257,5,FALSE))</f>
        <v/>
      </c>
      <c r="G49" s="520" t="str">
        <f>IF(F49="","",VLOOKUP($B49,'F-1 Off Site River Baseline'!$C$9:$R$257,6,FALSE))</f>
        <v/>
      </c>
      <c r="H49" s="520" t="str">
        <f>IF(G49="","",VLOOKUP($B49,'F-1 Off Site River Baseline'!$C$9:$R$257,7,FALSE))</f>
        <v/>
      </c>
      <c r="I49" s="520" t="str">
        <f>IF(H49="","",VLOOKUP($B49,'F-1 Off Site River Baseline'!$C$9:$R$257,8,FALSE))</f>
        <v/>
      </c>
      <c r="J49" s="520" t="str">
        <f>IF(I49="","",VLOOKUP($B49,'F-1 Off Site River Baseline'!$C$9:$R$257,9,FALSE))</f>
        <v/>
      </c>
      <c r="K49" s="520" t="str">
        <f>IF(J49="","",VLOOKUP($B49,'F-1 Off Site River Baseline'!$C$9:$R$257,10,FALSE))</f>
        <v/>
      </c>
      <c r="L49" s="520" t="str">
        <f>IF(B49="","",VLOOKUP($B49,'C-1 Site River Baseline'!$C$9:$R$257,15,FALSE))</f>
        <v/>
      </c>
      <c r="M49" s="524" t="str">
        <f>IF(L49="","",VLOOKUP($B49,'F-1 Off Site River Baseline'!$C$9:$R$257,16,FALSE))</f>
        <v/>
      </c>
      <c r="N49" s="418" t="str">
        <f t="shared" si="0"/>
        <v/>
      </c>
      <c r="O49" s="498" t="str">
        <f t="shared" si="5"/>
        <v/>
      </c>
      <c r="P49" s="499" t="str">
        <f>IF(C49="","",IF(AND(LEFT(C49,55)&lt;&gt;LEFT(N49,55),O49="High - High"),"Error - Not like for like ▲",IF(AND(F49=S49,H49&gt;U49),"Error - Can not reduce condition ▲",IF(AND(F49=S49,H49=U49,AJ49='F-1 Off Site River Baseline'!N47,'F-1 Off Site River Baseline'!P47=AL49),"Error - No enhancement ▲",IF(AND(C49&lt;&gt;N49,F49&lt;S49),"Lower Distinctiveness Habitat"&amp;" - "&amp;T49,G49&amp;" - "&amp;T49)))))</f>
        <v/>
      </c>
      <c r="Q49" s="505" t="str">
        <f>IF(N49="","",VLOOKUP(B49,'F-1 Off Site River Baseline'!$C$10:$AA$257,19,FALSE))</f>
        <v/>
      </c>
      <c r="R49" s="498" t="str">
        <f>IF(N49="","",VLOOKUP(N49,'G-7 Rivers Data'!$B$2:$G$8,2,FALSE))</f>
        <v/>
      </c>
      <c r="S49" s="499" t="str">
        <f>IFERROR(VLOOKUP(R49,'G-7 Rivers Data'!$C$4:$D$8,2,FALSE),"")</f>
        <v/>
      </c>
      <c r="T49" s="145"/>
      <c r="U49" s="499" t="str">
        <f>IFERROR(INDEX('G-7 Rivers Data'!$H$4:$L$8,MATCH(N49,'G-7 Rivers Data'!$B$4:$B$8,0),MATCH(T49,'G-7 Rivers Data'!$H$3:$L$3,0)),"")</f>
        <v/>
      </c>
      <c r="V49" s="154"/>
      <c r="W49" s="520" t="str">
        <f>IF(V49="","",IF(VLOOKUP(V49,'G-7 Rivers Data'!$AG$4:$AI$9,2,FALSE)=0,"Spatial Data Missing ⚠",VLOOKUP(V49,'G-7 Rivers Data'!$AG$4:$AI$9,2,FALSE)))</f>
        <v/>
      </c>
      <c r="X49" s="524" t="str">
        <f>IF(V49="","",IF(VLOOKUP(V49,'G-7 Rivers Data'!$AG$4:$AI$9,3,FALSE)=0,"Spatial Data Missing ⚠",VLOOKUP(V49,'G-7 Rivers Data'!$AG$4:$AI$9,3,FALSE)))</f>
        <v/>
      </c>
      <c r="Y49" s="537" t="str">
        <f>IFERROR(IF(OR(LEFT(P49,5)="Error ▲",LEFT(O49,5)="Error ▲"),"Check Data ⚠",IF(F49&lt;S49,'G-7 Rivers Data'!$R$3,INDEX('G-7 Rivers Data'!$U$5:$Y$9,MATCH(G49,'G-7 Rivers Data'!$T$5:$T$9,0),MATCH(T49,'G-7 Rivers Data'!$U$4:$Y$4,0)))),"")</f>
        <v/>
      </c>
      <c r="Z49" s="203"/>
      <c r="AA49" s="203"/>
      <c r="AB49" s="534" t="str">
        <f t="shared" si="1"/>
        <v/>
      </c>
      <c r="AC49" s="521" t="str">
        <f t="shared" si="2"/>
        <v/>
      </c>
      <c r="AD49" s="564" t="str">
        <f>IFERROR(IF(AC49="Check Data ⚠","Check Data ⚠",VLOOKUP(AC49,'G-4 Temporal multipliers'!$A$4:$C$37,3,FALSE)),"")</f>
        <v/>
      </c>
      <c r="AE49" s="537" t="str">
        <f>IF(N49="","",VLOOKUP(N49,'G-7 Rivers Data'!$B$4:$G$8,5,FALSE))</f>
        <v/>
      </c>
      <c r="AF49" s="520" t="str">
        <f t="shared" si="3"/>
        <v/>
      </c>
      <c r="AG49" s="520" t="str">
        <f t="shared" si="6"/>
        <v/>
      </c>
      <c r="AH49" s="524" t="str">
        <f t="shared" si="4"/>
        <v/>
      </c>
      <c r="AI49" s="145"/>
      <c r="AJ49" s="499" t="str">
        <f>IF(AI49="","",IF(VLOOKUP(AI49,'G-7 Rivers Data'!$AA$4:$AB$7,2,FALSE)=0,"Spatial Data Missing ⚠",VLOOKUP(AI49,'G-7 Rivers Data'!$AA$4:$AB$7,2,FALSE)))</f>
        <v/>
      </c>
      <c r="AK49" s="155"/>
      <c r="AL49" s="536" t="str">
        <f>IF(AK49="","",IF(VLOOKUP(AK49,'G-7 Rivers Data'!$AD$4:$AE$8,2,FALSE)=0,"Spatial Data Missing ⚠",VLOOKUP(AK49,'G-7 Rivers Data'!$AD$4:$AE$8,2,FALSE)))</f>
        <v/>
      </c>
      <c r="AM49" s="154"/>
      <c r="AN49" s="524" t="str">
        <f>IF(AM49="","",VLOOKUP(AM49,'G-7 Rivers Data'!$AO$4:$AP$7,2,FALSE))</f>
        <v/>
      </c>
      <c r="AO49" s="545" t="str">
        <f t="shared" si="7"/>
        <v/>
      </c>
      <c r="AP49" s="149"/>
      <c r="AQ49" s="150"/>
      <c r="AX49" s="31" t="str">
        <f>IFERROR(INDEX('G-7 Rivers Data'!$AZ$3:$AZ$7,MATCH(N49,'G-7 Rivers Data'!$AY$3:$AY$7,0)),"")</f>
        <v/>
      </c>
    </row>
    <row r="50" spans="2:50" ht="13.8" x14ac:dyDescent="0.25">
      <c r="B50" s="531" t="str">
        <f>'F-1 Off Site River Baseline'!AN48</f>
        <v/>
      </c>
      <c r="C50" s="520" t="str">
        <f>IF(B50="","",VLOOKUP($B50,'F-1 Off Site River Baseline'!$C$9:$R$257,2,FALSE))</f>
        <v/>
      </c>
      <c r="D50" s="520" t="str">
        <f>IF(C50="","",VLOOKUP($B50,'F-1 Off Site River Baseline'!$C$9:$R$257,3,FALSE))</f>
        <v/>
      </c>
      <c r="E50" s="520" t="str">
        <f>IF(D50="","",VLOOKUP($B50,'F-1 Off Site River Baseline'!$C$9:$R$257,4,FALSE))</f>
        <v/>
      </c>
      <c r="F50" s="520" t="str">
        <f>IF(E50="","",VLOOKUP($B50,'F-1 Off Site River Baseline'!$C$9:$R$257,5,FALSE))</f>
        <v/>
      </c>
      <c r="G50" s="520" t="str">
        <f>IF(F50="","",VLOOKUP($B50,'F-1 Off Site River Baseline'!$C$9:$R$257,6,FALSE))</f>
        <v/>
      </c>
      <c r="H50" s="520" t="str">
        <f>IF(G50="","",VLOOKUP($B50,'F-1 Off Site River Baseline'!$C$9:$R$257,7,FALSE))</f>
        <v/>
      </c>
      <c r="I50" s="520" t="str">
        <f>IF(H50="","",VLOOKUP($B50,'F-1 Off Site River Baseline'!$C$9:$R$257,8,FALSE))</f>
        <v/>
      </c>
      <c r="J50" s="520" t="str">
        <f>IF(I50="","",VLOOKUP($B50,'F-1 Off Site River Baseline'!$C$9:$R$257,9,FALSE))</f>
        <v/>
      </c>
      <c r="K50" s="520" t="str">
        <f>IF(J50="","",VLOOKUP($B50,'F-1 Off Site River Baseline'!$C$9:$R$257,10,FALSE))</f>
        <v/>
      </c>
      <c r="L50" s="520" t="str">
        <f>IF(B50="","",VLOOKUP($B50,'C-1 Site River Baseline'!$C$9:$R$257,15,FALSE))</f>
        <v/>
      </c>
      <c r="M50" s="524" t="str">
        <f>IF(L50="","",VLOOKUP($B50,'F-1 Off Site River Baseline'!$C$9:$R$257,16,FALSE))</f>
        <v/>
      </c>
      <c r="N50" s="418" t="str">
        <f t="shared" si="0"/>
        <v/>
      </c>
      <c r="O50" s="498" t="str">
        <f t="shared" si="5"/>
        <v/>
      </c>
      <c r="P50" s="499" t="str">
        <f>IF(C50="","",IF(AND(LEFT(C50,55)&lt;&gt;LEFT(N50,55),O50="High - High"),"Error - Not like for like ▲",IF(AND(F50=S50,H50&gt;U50),"Error - Can not reduce condition ▲",IF(AND(F50=S50,H50=U50,AJ50='F-1 Off Site River Baseline'!N48,'F-1 Off Site River Baseline'!P48=AL50),"Error - No enhancement ▲",IF(AND(C50&lt;&gt;N50,F50&lt;S50),"Lower Distinctiveness Habitat"&amp;" - "&amp;T50,G50&amp;" - "&amp;T50)))))</f>
        <v/>
      </c>
      <c r="Q50" s="505" t="str">
        <f>IF(N50="","",VLOOKUP(B50,'F-1 Off Site River Baseline'!$C$10:$AA$257,19,FALSE))</f>
        <v/>
      </c>
      <c r="R50" s="498" t="str">
        <f>IF(N50="","",VLOOKUP(N50,'G-7 Rivers Data'!$B$2:$G$8,2,FALSE))</f>
        <v/>
      </c>
      <c r="S50" s="499" t="str">
        <f>IFERROR(VLOOKUP(R50,'G-7 Rivers Data'!$C$4:$D$8,2,FALSE),"")</f>
        <v/>
      </c>
      <c r="T50" s="145"/>
      <c r="U50" s="499" t="str">
        <f>IFERROR(INDEX('G-7 Rivers Data'!$H$4:$L$8,MATCH(N50,'G-7 Rivers Data'!$B$4:$B$8,0),MATCH(T50,'G-7 Rivers Data'!$H$3:$L$3,0)),"")</f>
        <v/>
      </c>
      <c r="V50" s="154"/>
      <c r="W50" s="520" t="str">
        <f>IF(V50="","",IF(VLOOKUP(V50,'G-7 Rivers Data'!$AG$4:$AI$9,2,FALSE)=0,"Spatial Data Missing ⚠",VLOOKUP(V50,'G-7 Rivers Data'!$AG$4:$AI$9,2,FALSE)))</f>
        <v/>
      </c>
      <c r="X50" s="524" t="str">
        <f>IF(V50="","",IF(VLOOKUP(V50,'G-7 Rivers Data'!$AG$4:$AI$9,3,FALSE)=0,"Spatial Data Missing ⚠",VLOOKUP(V50,'G-7 Rivers Data'!$AG$4:$AI$9,3,FALSE)))</f>
        <v/>
      </c>
      <c r="Y50" s="537" t="str">
        <f>IFERROR(IF(OR(LEFT(P50,5)="Error ▲",LEFT(O50,5)="Error ▲"),"Check Data ⚠",IF(F50&lt;S50,'G-7 Rivers Data'!$R$3,INDEX('G-7 Rivers Data'!$U$5:$Y$9,MATCH(G50,'G-7 Rivers Data'!$T$5:$T$9,0),MATCH(T50,'G-7 Rivers Data'!$U$4:$Y$4,0)))),"")</f>
        <v/>
      </c>
      <c r="Z50" s="203"/>
      <c r="AA50" s="203"/>
      <c r="AB50" s="534" t="str">
        <f t="shared" si="1"/>
        <v/>
      </c>
      <c r="AC50" s="521" t="str">
        <f t="shared" si="2"/>
        <v/>
      </c>
      <c r="AD50" s="564" t="str">
        <f>IFERROR(IF(AC50="Check Data ⚠","Check Data ⚠",VLOOKUP(AC50,'G-4 Temporal multipliers'!$A$4:$C$37,3,FALSE)),"")</f>
        <v/>
      </c>
      <c r="AE50" s="537" t="str">
        <f>IF(N50="","",VLOOKUP(N50,'G-7 Rivers Data'!$B$4:$G$8,5,FALSE))</f>
        <v/>
      </c>
      <c r="AF50" s="520" t="str">
        <f t="shared" si="3"/>
        <v/>
      </c>
      <c r="AG50" s="520" t="str">
        <f t="shared" si="6"/>
        <v/>
      </c>
      <c r="AH50" s="524" t="str">
        <f t="shared" si="4"/>
        <v/>
      </c>
      <c r="AI50" s="145"/>
      <c r="AJ50" s="499" t="str">
        <f>IF(AI50="","",IF(VLOOKUP(AI50,'G-7 Rivers Data'!$AA$4:$AB$7,2,FALSE)=0,"Spatial Data Missing ⚠",VLOOKUP(AI50,'G-7 Rivers Data'!$AA$4:$AB$7,2,FALSE)))</f>
        <v/>
      </c>
      <c r="AK50" s="155"/>
      <c r="AL50" s="536" t="str">
        <f>IF(AK50="","",IF(VLOOKUP(AK50,'G-7 Rivers Data'!$AD$4:$AE$8,2,FALSE)=0,"Spatial Data Missing ⚠",VLOOKUP(AK50,'G-7 Rivers Data'!$AD$4:$AE$8,2,FALSE)))</f>
        <v/>
      </c>
      <c r="AM50" s="154"/>
      <c r="AN50" s="524" t="str">
        <f>IF(AM50="","",VLOOKUP(AM50,'G-7 Rivers Data'!$AO$4:$AP$7,2,FALSE))</f>
        <v/>
      </c>
      <c r="AO50" s="545" t="str">
        <f t="shared" si="7"/>
        <v/>
      </c>
      <c r="AP50" s="149"/>
      <c r="AQ50" s="150"/>
      <c r="AX50" s="31" t="str">
        <f>IFERROR(INDEX('G-7 Rivers Data'!$AZ$3:$AZ$7,MATCH(N50,'G-7 Rivers Data'!$AY$3:$AY$7,0)),"")</f>
        <v/>
      </c>
    </row>
    <row r="51" spans="2:50" ht="13.8" x14ac:dyDescent="0.25">
      <c r="B51" s="531" t="str">
        <f>'F-1 Off Site River Baseline'!AN49</f>
        <v/>
      </c>
      <c r="C51" s="520" t="str">
        <f>IF(B51="","",VLOOKUP($B51,'F-1 Off Site River Baseline'!$C$9:$R$257,2,FALSE))</f>
        <v/>
      </c>
      <c r="D51" s="520" t="str">
        <f>IF(C51="","",VLOOKUP($B51,'F-1 Off Site River Baseline'!$C$9:$R$257,3,FALSE))</f>
        <v/>
      </c>
      <c r="E51" s="520" t="str">
        <f>IF(D51="","",VLOOKUP($B51,'F-1 Off Site River Baseline'!$C$9:$R$257,4,FALSE))</f>
        <v/>
      </c>
      <c r="F51" s="520" t="str">
        <f>IF(E51="","",VLOOKUP($B51,'F-1 Off Site River Baseline'!$C$9:$R$257,5,FALSE))</f>
        <v/>
      </c>
      <c r="G51" s="520" t="str">
        <f>IF(F51="","",VLOOKUP($B51,'F-1 Off Site River Baseline'!$C$9:$R$257,6,FALSE))</f>
        <v/>
      </c>
      <c r="H51" s="520" t="str">
        <f>IF(G51="","",VLOOKUP($B51,'F-1 Off Site River Baseline'!$C$9:$R$257,7,FALSE))</f>
        <v/>
      </c>
      <c r="I51" s="520" t="str">
        <f>IF(H51="","",VLOOKUP($B51,'F-1 Off Site River Baseline'!$C$9:$R$257,8,FALSE))</f>
        <v/>
      </c>
      <c r="J51" s="520" t="str">
        <f>IF(I51="","",VLOOKUP($B51,'F-1 Off Site River Baseline'!$C$9:$R$257,9,FALSE))</f>
        <v/>
      </c>
      <c r="K51" s="520" t="str">
        <f>IF(J51="","",VLOOKUP($B51,'F-1 Off Site River Baseline'!$C$9:$R$257,10,FALSE))</f>
        <v/>
      </c>
      <c r="L51" s="520" t="str">
        <f>IF(B51="","",VLOOKUP($B51,'C-1 Site River Baseline'!$C$9:$R$257,15,FALSE))</f>
        <v/>
      </c>
      <c r="M51" s="524" t="str">
        <f>IF(L51="","",VLOOKUP($B51,'F-1 Off Site River Baseline'!$C$9:$R$257,16,FALSE))</f>
        <v/>
      </c>
      <c r="N51" s="418" t="str">
        <f t="shared" si="0"/>
        <v/>
      </c>
      <c r="O51" s="498" t="str">
        <f t="shared" si="5"/>
        <v/>
      </c>
      <c r="P51" s="499" t="str">
        <f>IF(C51="","",IF(AND(LEFT(C51,55)&lt;&gt;LEFT(N51,55),O51="High - High"),"Error - Not like for like ▲",IF(AND(F51=S51,H51&gt;U51),"Error - Can not reduce condition ▲",IF(AND(F51=S51,H51=U51,AJ51='F-1 Off Site River Baseline'!N49,'F-1 Off Site River Baseline'!P49=AL51),"Error - No enhancement ▲",IF(AND(C51&lt;&gt;N51,F51&lt;S51),"Lower Distinctiveness Habitat"&amp;" - "&amp;T51,G51&amp;" - "&amp;T51)))))</f>
        <v/>
      </c>
      <c r="Q51" s="505" t="str">
        <f>IF(N51="","",VLOOKUP(B51,'F-1 Off Site River Baseline'!$C$10:$AA$257,19,FALSE))</f>
        <v/>
      </c>
      <c r="R51" s="498" t="str">
        <f>IF(N51="","",VLOOKUP(N51,'G-7 Rivers Data'!$B$2:$G$8,2,FALSE))</f>
        <v/>
      </c>
      <c r="S51" s="499" t="str">
        <f>IFERROR(VLOOKUP(R51,'G-7 Rivers Data'!$C$4:$D$8,2,FALSE),"")</f>
        <v/>
      </c>
      <c r="T51" s="145"/>
      <c r="U51" s="499" t="str">
        <f>IFERROR(INDEX('G-7 Rivers Data'!$H$4:$L$8,MATCH(N51,'G-7 Rivers Data'!$B$4:$B$8,0),MATCH(T51,'G-7 Rivers Data'!$H$3:$L$3,0)),"")</f>
        <v/>
      </c>
      <c r="V51" s="154"/>
      <c r="W51" s="520" t="str">
        <f>IF(V51="","",IF(VLOOKUP(V51,'G-7 Rivers Data'!$AG$4:$AI$9,2,FALSE)=0,"Spatial Data Missing ⚠",VLOOKUP(V51,'G-7 Rivers Data'!$AG$4:$AI$9,2,FALSE)))</f>
        <v/>
      </c>
      <c r="X51" s="524" t="str">
        <f>IF(V51="","",IF(VLOOKUP(V51,'G-7 Rivers Data'!$AG$4:$AI$9,3,FALSE)=0,"Spatial Data Missing ⚠",VLOOKUP(V51,'G-7 Rivers Data'!$AG$4:$AI$9,3,FALSE)))</f>
        <v/>
      </c>
      <c r="Y51" s="537" t="str">
        <f>IFERROR(IF(OR(LEFT(P51,5)="Error ▲",LEFT(O51,5)="Error ▲"),"Check Data ⚠",IF(F51&lt;S51,'G-7 Rivers Data'!$R$3,INDEX('G-7 Rivers Data'!$U$5:$Y$9,MATCH(G51,'G-7 Rivers Data'!$T$5:$T$9,0),MATCH(T51,'G-7 Rivers Data'!$U$4:$Y$4,0)))),"")</f>
        <v/>
      </c>
      <c r="Z51" s="203"/>
      <c r="AA51" s="203"/>
      <c r="AB51" s="534" t="str">
        <f t="shared" si="1"/>
        <v/>
      </c>
      <c r="AC51" s="521" t="str">
        <f t="shared" si="2"/>
        <v/>
      </c>
      <c r="AD51" s="564" t="str">
        <f>IFERROR(IF(AC51="Check Data ⚠","Check Data ⚠",VLOOKUP(AC51,'G-4 Temporal multipliers'!$A$4:$C$37,3,FALSE)),"")</f>
        <v/>
      </c>
      <c r="AE51" s="537" t="str">
        <f>IF(N51="","",VLOOKUP(N51,'G-7 Rivers Data'!$B$4:$G$8,5,FALSE))</f>
        <v/>
      </c>
      <c r="AF51" s="520" t="str">
        <f t="shared" si="3"/>
        <v/>
      </c>
      <c r="AG51" s="520" t="str">
        <f t="shared" si="6"/>
        <v/>
      </c>
      <c r="AH51" s="524" t="str">
        <f t="shared" si="4"/>
        <v/>
      </c>
      <c r="AI51" s="145"/>
      <c r="AJ51" s="499" t="str">
        <f>IF(AI51="","",IF(VLOOKUP(AI51,'G-7 Rivers Data'!$AA$4:$AB$7,2,FALSE)=0,"Spatial Data Missing ⚠",VLOOKUP(AI51,'G-7 Rivers Data'!$AA$4:$AB$7,2,FALSE)))</f>
        <v/>
      </c>
      <c r="AK51" s="155"/>
      <c r="AL51" s="536" t="str">
        <f>IF(AK51="","",IF(VLOOKUP(AK51,'G-7 Rivers Data'!$AD$4:$AE$8,2,FALSE)=0,"Spatial Data Missing ⚠",VLOOKUP(AK51,'G-7 Rivers Data'!$AD$4:$AE$8,2,FALSE)))</f>
        <v/>
      </c>
      <c r="AM51" s="154"/>
      <c r="AN51" s="524" t="str">
        <f>IF(AM51="","",VLOOKUP(AM51,'G-7 Rivers Data'!$AO$4:$AP$7,2,FALSE))</f>
        <v/>
      </c>
      <c r="AO51" s="545" t="str">
        <f t="shared" si="7"/>
        <v/>
      </c>
      <c r="AP51" s="149"/>
      <c r="AQ51" s="150"/>
      <c r="AX51" s="31" t="str">
        <f>IFERROR(INDEX('G-7 Rivers Data'!$AZ$3:$AZ$7,MATCH(N51,'G-7 Rivers Data'!$AY$3:$AY$7,0)),"")</f>
        <v/>
      </c>
    </row>
    <row r="52" spans="2:50" ht="13.8" x14ac:dyDescent="0.25">
      <c r="B52" s="531" t="str">
        <f>'F-1 Off Site River Baseline'!AN50</f>
        <v/>
      </c>
      <c r="C52" s="520" t="str">
        <f>IF(B52="","",VLOOKUP($B52,'F-1 Off Site River Baseline'!$C$9:$R$257,2,FALSE))</f>
        <v/>
      </c>
      <c r="D52" s="520" t="str">
        <f>IF(C52="","",VLOOKUP($B52,'F-1 Off Site River Baseline'!$C$9:$R$257,3,FALSE))</f>
        <v/>
      </c>
      <c r="E52" s="520" t="str">
        <f>IF(D52="","",VLOOKUP($B52,'F-1 Off Site River Baseline'!$C$9:$R$257,4,FALSE))</f>
        <v/>
      </c>
      <c r="F52" s="520" t="str">
        <f>IF(E52="","",VLOOKUP($B52,'F-1 Off Site River Baseline'!$C$9:$R$257,5,FALSE))</f>
        <v/>
      </c>
      <c r="G52" s="520" t="str">
        <f>IF(F52="","",VLOOKUP($B52,'F-1 Off Site River Baseline'!$C$9:$R$257,6,FALSE))</f>
        <v/>
      </c>
      <c r="H52" s="520" t="str">
        <f>IF(G52="","",VLOOKUP($B52,'F-1 Off Site River Baseline'!$C$9:$R$257,7,FALSE))</f>
        <v/>
      </c>
      <c r="I52" s="520" t="str">
        <f>IF(H52="","",VLOOKUP($B52,'F-1 Off Site River Baseline'!$C$9:$R$257,8,FALSE))</f>
        <v/>
      </c>
      <c r="J52" s="520" t="str">
        <f>IF(I52="","",VLOOKUP($B52,'F-1 Off Site River Baseline'!$C$9:$R$257,9,FALSE))</f>
        <v/>
      </c>
      <c r="K52" s="520" t="str">
        <f>IF(J52="","",VLOOKUP($B52,'F-1 Off Site River Baseline'!$C$9:$R$257,10,FALSE))</f>
        <v/>
      </c>
      <c r="L52" s="520" t="str">
        <f>IF(B52="","",VLOOKUP($B52,'C-1 Site River Baseline'!$C$9:$R$257,15,FALSE))</f>
        <v/>
      </c>
      <c r="M52" s="524" t="str">
        <f>IF(L52="","",VLOOKUP($B52,'F-1 Off Site River Baseline'!$C$9:$R$257,16,FALSE))</f>
        <v/>
      </c>
      <c r="N52" s="418" t="str">
        <f t="shared" si="0"/>
        <v/>
      </c>
      <c r="O52" s="498" t="str">
        <f t="shared" si="5"/>
        <v/>
      </c>
      <c r="P52" s="499" t="str">
        <f>IF(C52="","",IF(AND(LEFT(C52,55)&lt;&gt;LEFT(N52,55),O52="High - High"),"Error - Not like for like ▲",IF(AND(F52=S52,H52&gt;U52),"Error - Can not reduce condition ▲",IF(AND(F52=S52,H52=U52,AJ52='F-1 Off Site River Baseline'!N50,'F-1 Off Site River Baseline'!P50=AL52),"Error - No enhancement ▲",IF(AND(C52&lt;&gt;N52,F52&lt;S52),"Lower Distinctiveness Habitat"&amp;" - "&amp;T52,G52&amp;" - "&amp;T52)))))</f>
        <v/>
      </c>
      <c r="Q52" s="505" t="str">
        <f>IF(N52="","",VLOOKUP(B52,'F-1 Off Site River Baseline'!$C$10:$AA$257,19,FALSE))</f>
        <v/>
      </c>
      <c r="R52" s="498" t="str">
        <f>IF(N52="","",VLOOKUP(N52,'G-7 Rivers Data'!$B$2:$G$8,2,FALSE))</f>
        <v/>
      </c>
      <c r="S52" s="499" t="str">
        <f>IFERROR(VLOOKUP(R52,'G-7 Rivers Data'!$C$4:$D$8,2,FALSE),"")</f>
        <v/>
      </c>
      <c r="T52" s="145"/>
      <c r="U52" s="499" t="str">
        <f>IFERROR(INDEX('G-7 Rivers Data'!$H$4:$L$8,MATCH(N52,'G-7 Rivers Data'!$B$4:$B$8,0),MATCH(T52,'G-7 Rivers Data'!$H$3:$L$3,0)),"")</f>
        <v/>
      </c>
      <c r="V52" s="154"/>
      <c r="W52" s="520" t="str">
        <f>IF(V52="","",IF(VLOOKUP(V52,'G-7 Rivers Data'!$AG$4:$AI$9,2,FALSE)=0,"Spatial Data Missing ⚠",VLOOKUP(V52,'G-7 Rivers Data'!$AG$4:$AI$9,2,FALSE)))</f>
        <v/>
      </c>
      <c r="X52" s="524" t="str">
        <f>IF(V52="","",IF(VLOOKUP(V52,'G-7 Rivers Data'!$AG$4:$AI$9,3,FALSE)=0,"Spatial Data Missing ⚠",VLOOKUP(V52,'G-7 Rivers Data'!$AG$4:$AI$9,3,FALSE)))</f>
        <v/>
      </c>
      <c r="Y52" s="537" t="str">
        <f>IFERROR(IF(OR(LEFT(P52,5)="Error ▲",LEFT(O52,5)="Error ▲"),"Check Data ⚠",IF(F52&lt;S52,'G-7 Rivers Data'!$R$3,INDEX('G-7 Rivers Data'!$U$5:$Y$9,MATCH(G52,'G-7 Rivers Data'!$T$5:$T$9,0),MATCH(T52,'G-7 Rivers Data'!$U$4:$Y$4,0)))),"")</f>
        <v/>
      </c>
      <c r="Z52" s="203"/>
      <c r="AA52" s="203"/>
      <c r="AB52" s="534" t="str">
        <f t="shared" si="1"/>
        <v/>
      </c>
      <c r="AC52" s="521" t="str">
        <f t="shared" si="2"/>
        <v/>
      </c>
      <c r="AD52" s="564" t="str">
        <f>IFERROR(IF(AC52="Check Data ⚠","Check Data ⚠",VLOOKUP(AC52,'G-4 Temporal multipliers'!$A$4:$C$37,3,FALSE)),"")</f>
        <v/>
      </c>
      <c r="AE52" s="537" t="str">
        <f>IF(N52="","",VLOOKUP(N52,'G-7 Rivers Data'!$B$4:$G$8,5,FALSE))</f>
        <v/>
      </c>
      <c r="AF52" s="520" t="str">
        <f t="shared" si="3"/>
        <v/>
      </c>
      <c r="AG52" s="520" t="str">
        <f t="shared" si="6"/>
        <v/>
      </c>
      <c r="AH52" s="524" t="str">
        <f t="shared" si="4"/>
        <v/>
      </c>
      <c r="AI52" s="145"/>
      <c r="AJ52" s="499" t="str">
        <f>IF(AI52="","",IF(VLOOKUP(AI52,'G-7 Rivers Data'!$AA$4:$AB$7,2,FALSE)=0,"Spatial Data Missing ⚠",VLOOKUP(AI52,'G-7 Rivers Data'!$AA$4:$AB$7,2,FALSE)))</f>
        <v/>
      </c>
      <c r="AK52" s="155"/>
      <c r="AL52" s="536" t="str">
        <f>IF(AK52="","",IF(VLOOKUP(AK52,'G-7 Rivers Data'!$AD$4:$AE$8,2,FALSE)=0,"Spatial Data Missing ⚠",VLOOKUP(AK52,'G-7 Rivers Data'!$AD$4:$AE$8,2,FALSE)))</f>
        <v/>
      </c>
      <c r="AM52" s="154"/>
      <c r="AN52" s="524" t="str">
        <f>IF(AM52="","",VLOOKUP(AM52,'G-7 Rivers Data'!$AO$4:$AP$7,2,FALSE))</f>
        <v/>
      </c>
      <c r="AO52" s="545" t="str">
        <f t="shared" si="7"/>
        <v/>
      </c>
      <c r="AP52" s="149"/>
      <c r="AQ52" s="150"/>
      <c r="AX52" s="31" t="str">
        <f>IFERROR(INDEX('G-7 Rivers Data'!$AZ$3:$AZ$7,MATCH(N52,'G-7 Rivers Data'!$AY$3:$AY$7,0)),"")</f>
        <v/>
      </c>
    </row>
    <row r="53" spans="2:50" ht="13.8" x14ac:dyDescent="0.25">
      <c r="B53" s="531" t="str">
        <f>'F-1 Off Site River Baseline'!AN51</f>
        <v/>
      </c>
      <c r="C53" s="520" t="str">
        <f>IF(B53="","",VLOOKUP($B53,'F-1 Off Site River Baseline'!$C$9:$R$257,2,FALSE))</f>
        <v/>
      </c>
      <c r="D53" s="520" t="str">
        <f>IF(C53="","",VLOOKUP($B53,'F-1 Off Site River Baseline'!$C$9:$R$257,3,FALSE))</f>
        <v/>
      </c>
      <c r="E53" s="520" t="str">
        <f>IF(D53="","",VLOOKUP($B53,'F-1 Off Site River Baseline'!$C$9:$R$257,4,FALSE))</f>
        <v/>
      </c>
      <c r="F53" s="520" t="str">
        <f>IF(E53="","",VLOOKUP($B53,'F-1 Off Site River Baseline'!$C$9:$R$257,5,FALSE))</f>
        <v/>
      </c>
      <c r="G53" s="520" t="str">
        <f>IF(F53="","",VLOOKUP($B53,'F-1 Off Site River Baseline'!$C$9:$R$257,6,FALSE))</f>
        <v/>
      </c>
      <c r="H53" s="520" t="str">
        <f>IF(G53="","",VLOOKUP($B53,'F-1 Off Site River Baseline'!$C$9:$R$257,7,FALSE))</f>
        <v/>
      </c>
      <c r="I53" s="520" t="str">
        <f>IF(H53="","",VLOOKUP($B53,'F-1 Off Site River Baseline'!$C$9:$R$257,8,FALSE))</f>
        <v/>
      </c>
      <c r="J53" s="520" t="str">
        <f>IF(I53="","",VLOOKUP($B53,'F-1 Off Site River Baseline'!$C$9:$R$257,9,FALSE))</f>
        <v/>
      </c>
      <c r="K53" s="520" t="str">
        <f>IF(J53="","",VLOOKUP($B53,'F-1 Off Site River Baseline'!$C$9:$R$257,10,FALSE))</f>
        <v/>
      </c>
      <c r="L53" s="520" t="str">
        <f>IF(B53="","",VLOOKUP($B53,'C-1 Site River Baseline'!$C$9:$R$257,15,FALSE))</f>
        <v/>
      </c>
      <c r="M53" s="524" t="str">
        <f>IF(L53="","",VLOOKUP($B53,'F-1 Off Site River Baseline'!$C$9:$R$257,16,FALSE))</f>
        <v/>
      </c>
      <c r="N53" s="418" t="str">
        <f t="shared" si="0"/>
        <v/>
      </c>
      <c r="O53" s="498" t="str">
        <f t="shared" si="5"/>
        <v/>
      </c>
      <c r="P53" s="499" t="str">
        <f>IF(C53="","",IF(AND(LEFT(C53,55)&lt;&gt;LEFT(N53,55),O53="High - High"),"Error - Not like for like ▲",IF(AND(F53=S53,H53&gt;U53),"Error - Can not reduce condition ▲",IF(AND(F53=S53,H53=U53,AJ53='F-1 Off Site River Baseline'!N51,'F-1 Off Site River Baseline'!P51=AL53),"Error - No enhancement ▲",IF(AND(C53&lt;&gt;N53,F53&lt;S53),"Lower Distinctiveness Habitat"&amp;" - "&amp;T53,G53&amp;" - "&amp;T53)))))</f>
        <v/>
      </c>
      <c r="Q53" s="505" t="str">
        <f>IF(N53="","",VLOOKUP(B53,'F-1 Off Site River Baseline'!$C$10:$AA$257,19,FALSE))</f>
        <v/>
      </c>
      <c r="R53" s="498" t="str">
        <f>IF(N53="","",VLOOKUP(N53,'G-7 Rivers Data'!$B$2:$G$8,2,FALSE))</f>
        <v/>
      </c>
      <c r="S53" s="499" t="str">
        <f>IFERROR(VLOOKUP(R53,'G-7 Rivers Data'!$C$4:$D$8,2,FALSE),"")</f>
        <v/>
      </c>
      <c r="T53" s="145"/>
      <c r="U53" s="499" t="str">
        <f>IFERROR(INDEX('G-7 Rivers Data'!$H$4:$L$8,MATCH(N53,'G-7 Rivers Data'!$B$4:$B$8,0),MATCH(T53,'G-7 Rivers Data'!$H$3:$L$3,0)),"")</f>
        <v/>
      </c>
      <c r="V53" s="154"/>
      <c r="W53" s="520" t="str">
        <f>IF(V53="","",IF(VLOOKUP(V53,'G-7 Rivers Data'!$AG$4:$AI$9,2,FALSE)=0,"Spatial Data Missing ⚠",VLOOKUP(V53,'G-7 Rivers Data'!$AG$4:$AI$9,2,FALSE)))</f>
        <v/>
      </c>
      <c r="X53" s="524" t="str">
        <f>IF(V53="","",IF(VLOOKUP(V53,'G-7 Rivers Data'!$AG$4:$AI$9,3,FALSE)=0,"Spatial Data Missing ⚠",VLOOKUP(V53,'G-7 Rivers Data'!$AG$4:$AI$9,3,FALSE)))</f>
        <v/>
      </c>
      <c r="Y53" s="537" t="str">
        <f>IFERROR(IF(OR(LEFT(P53,5)="Error ▲",LEFT(O53,5)="Error ▲"),"Check Data ⚠",IF(F53&lt;S53,'G-7 Rivers Data'!$R$3,INDEX('G-7 Rivers Data'!$U$5:$Y$9,MATCH(G53,'G-7 Rivers Data'!$T$5:$T$9,0),MATCH(T53,'G-7 Rivers Data'!$U$4:$Y$4,0)))),"")</f>
        <v/>
      </c>
      <c r="Z53" s="203"/>
      <c r="AA53" s="203"/>
      <c r="AB53" s="534" t="str">
        <f t="shared" si="1"/>
        <v/>
      </c>
      <c r="AC53" s="521" t="str">
        <f t="shared" si="2"/>
        <v/>
      </c>
      <c r="AD53" s="564" t="str">
        <f>IFERROR(IF(AC53="Check Data ⚠","Check Data ⚠",VLOOKUP(AC53,'G-4 Temporal multipliers'!$A$4:$C$37,3,FALSE)),"")</f>
        <v/>
      </c>
      <c r="AE53" s="537" t="str">
        <f>IF(N53="","",VLOOKUP(N53,'G-7 Rivers Data'!$B$4:$G$8,5,FALSE))</f>
        <v/>
      </c>
      <c r="AF53" s="520" t="str">
        <f t="shared" si="3"/>
        <v/>
      </c>
      <c r="AG53" s="520" t="str">
        <f t="shared" si="6"/>
        <v/>
      </c>
      <c r="AH53" s="524" t="str">
        <f t="shared" si="4"/>
        <v/>
      </c>
      <c r="AI53" s="145"/>
      <c r="AJ53" s="499" t="str">
        <f>IF(AI53="","",IF(VLOOKUP(AI53,'G-7 Rivers Data'!$AA$4:$AB$7,2,FALSE)=0,"Spatial Data Missing ⚠",VLOOKUP(AI53,'G-7 Rivers Data'!$AA$4:$AB$7,2,FALSE)))</f>
        <v/>
      </c>
      <c r="AK53" s="155"/>
      <c r="AL53" s="536" t="str">
        <f>IF(AK53="","",IF(VLOOKUP(AK53,'G-7 Rivers Data'!$AD$4:$AE$8,2,FALSE)=0,"Spatial Data Missing ⚠",VLOOKUP(AK53,'G-7 Rivers Data'!$AD$4:$AE$8,2,FALSE)))</f>
        <v/>
      </c>
      <c r="AM53" s="154"/>
      <c r="AN53" s="524" t="str">
        <f>IF(AM53="","",VLOOKUP(AM53,'G-7 Rivers Data'!$AO$4:$AP$7,2,FALSE))</f>
        <v/>
      </c>
      <c r="AO53" s="545" t="str">
        <f t="shared" si="7"/>
        <v/>
      </c>
      <c r="AP53" s="149"/>
      <c r="AQ53" s="150"/>
      <c r="AX53" s="31" t="str">
        <f>IFERROR(INDEX('G-7 Rivers Data'!$AZ$3:$AZ$7,MATCH(N53,'G-7 Rivers Data'!$AY$3:$AY$7,0)),"")</f>
        <v/>
      </c>
    </row>
    <row r="54" spans="2:50" ht="13.8" x14ac:dyDescent="0.25">
      <c r="B54" s="531" t="str">
        <f>'F-1 Off Site River Baseline'!AN52</f>
        <v/>
      </c>
      <c r="C54" s="520" t="str">
        <f>IF(B54="","",VLOOKUP($B54,'F-1 Off Site River Baseline'!$C$9:$R$257,2,FALSE))</f>
        <v/>
      </c>
      <c r="D54" s="520" t="str">
        <f>IF(C54="","",VLOOKUP($B54,'F-1 Off Site River Baseline'!$C$9:$R$257,3,FALSE))</f>
        <v/>
      </c>
      <c r="E54" s="520" t="str">
        <f>IF(D54="","",VLOOKUP($B54,'F-1 Off Site River Baseline'!$C$9:$R$257,4,FALSE))</f>
        <v/>
      </c>
      <c r="F54" s="520" t="str">
        <f>IF(E54="","",VLOOKUP($B54,'F-1 Off Site River Baseline'!$C$9:$R$257,5,FALSE))</f>
        <v/>
      </c>
      <c r="G54" s="520" t="str">
        <f>IF(F54="","",VLOOKUP($B54,'F-1 Off Site River Baseline'!$C$9:$R$257,6,FALSE))</f>
        <v/>
      </c>
      <c r="H54" s="520" t="str">
        <f>IF(G54="","",VLOOKUP($B54,'F-1 Off Site River Baseline'!$C$9:$R$257,7,FALSE))</f>
        <v/>
      </c>
      <c r="I54" s="520" t="str">
        <f>IF(H54="","",VLOOKUP($B54,'F-1 Off Site River Baseline'!$C$9:$R$257,8,FALSE))</f>
        <v/>
      </c>
      <c r="J54" s="520" t="str">
        <f>IF(I54="","",VLOOKUP($B54,'F-1 Off Site River Baseline'!$C$9:$R$257,9,FALSE))</f>
        <v/>
      </c>
      <c r="K54" s="520" t="str">
        <f>IF(J54="","",VLOOKUP($B54,'F-1 Off Site River Baseline'!$C$9:$R$257,10,FALSE))</f>
        <v/>
      </c>
      <c r="L54" s="520" t="str">
        <f>IF(B54="","",VLOOKUP($B54,'C-1 Site River Baseline'!$C$9:$R$257,15,FALSE))</f>
        <v/>
      </c>
      <c r="M54" s="524" t="str">
        <f>IF(L54="","",VLOOKUP($B54,'F-1 Off Site River Baseline'!$C$9:$R$257,16,FALSE))</f>
        <v/>
      </c>
      <c r="N54" s="418" t="str">
        <f t="shared" si="0"/>
        <v/>
      </c>
      <c r="O54" s="498" t="str">
        <f t="shared" si="5"/>
        <v/>
      </c>
      <c r="P54" s="499" t="str">
        <f>IF(C54="","",IF(AND(LEFT(C54,55)&lt;&gt;LEFT(N54,55),O54="High - High"),"Error - Not like for like ▲",IF(AND(F54=S54,H54&gt;U54),"Error - Can not reduce condition ▲",IF(AND(F54=S54,H54=U54,AJ54='F-1 Off Site River Baseline'!N52,'F-1 Off Site River Baseline'!P52=AL54),"Error - No enhancement ▲",IF(AND(C54&lt;&gt;N54,F54&lt;S54),"Lower Distinctiveness Habitat"&amp;" - "&amp;T54,G54&amp;" - "&amp;T54)))))</f>
        <v/>
      </c>
      <c r="Q54" s="505" t="str">
        <f>IF(N54="","",VLOOKUP(B54,'F-1 Off Site River Baseline'!$C$10:$AA$257,19,FALSE))</f>
        <v/>
      </c>
      <c r="R54" s="498" t="str">
        <f>IF(N54="","",VLOOKUP(N54,'G-7 Rivers Data'!$B$2:$G$8,2,FALSE))</f>
        <v/>
      </c>
      <c r="S54" s="499" t="str">
        <f>IFERROR(VLOOKUP(R54,'G-7 Rivers Data'!$C$4:$D$8,2,FALSE),"")</f>
        <v/>
      </c>
      <c r="T54" s="145"/>
      <c r="U54" s="499" t="str">
        <f>IFERROR(INDEX('G-7 Rivers Data'!$H$4:$L$8,MATCH(N54,'G-7 Rivers Data'!$B$4:$B$8,0),MATCH(T54,'G-7 Rivers Data'!$H$3:$L$3,0)),"")</f>
        <v/>
      </c>
      <c r="V54" s="154"/>
      <c r="W54" s="520" t="str">
        <f>IF(V54="","",IF(VLOOKUP(V54,'G-7 Rivers Data'!$AG$4:$AI$9,2,FALSE)=0,"Spatial Data Missing ⚠",VLOOKUP(V54,'G-7 Rivers Data'!$AG$4:$AI$9,2,FALSE)))</f>
        <v/>
      </c>
      <c r="X54" s="524" t="str">
        <f>IF(V54="","",IF(VLOOKUP(V54,'G-7 Rivers Data'!$AG$4:$AI$9,3,FALSE)=0,"Spatial Data Missing ⚠",VLOOKUP(V54,'G-7 Rivers Data'!$AG$4:$AI$9,3,FALSE)))</f>
        <v/>
      </c>
      <c r="Y54" s="537" t="str">
        <f>IFERROR(IF(OR(LEFT(P54,5)="Error ▲",LEFT(O54,5)="Error ▲"),"Check Data ⚠",IF(F54&lt;S54,'G-7 Rivers Data'!$R$3,INDEX('G-7 Rivers Data'!$U$5:$Y$9,MATCH(G54,'G-7 Rivers Data'!$T$5:$T$9,0),MATCH(T54,'G-7 Rivers Data'!$U$4:$Y$4,0)))),"")</f>
        <v/>
      </c>
      <c r="Z54" s="203"/>
      <c r="AA54" s="203"/>
      <c r="AB54" s="534" t="str">
        <f t="shared" si="1"/>
        <v/>
      </c>
      <c r="AC54" s="521" t="str">
        <f t="shared" si="2"/>
        <v/>
      </c>
      <c r="AD54" s="564" t="str">
        <f>IFERROR(IF(AC54="Check Data ⚠","Check Data ⚠",VLOOKUP(AC54,'G-4 Temporal multipliers'!$A$4:$C$37,3,FALSE)),"")</f>
        <v/>
      </c>
      <c r="AE54" s="537" t="str">
        <f>IF(N54="","",VLOOKUP(N54,'G-7 Rivers Data'!$B$4:$G$8,5,FALSE))</f>
        <v/>
      </c>
      <c r="AF54" s="520" t="str">
        <f t="shared" si="3"/>
        <v/>
      </c>
      <c r="AG54" s="520" t="str">
        <f t="shared" si="6"/>
        <v/>
      </c>
      <c r="AH54" s="524" t="str">
        <f t="shared" si="4"/>
        <v/>
      </c>
      <c r="AI54" s="145"/>
      <c r="AJ54" s="499" t="str">
        <f>IF(AI54="","",IF(VLOOKUP(AI54,'G-7 Rivers Data'!$AA$4:$AB$7,2,FALSE)=0,"Spatial Data Missing ⚠",VLOOKUP(AI54,'G-7 Rivers Data'!$AA$4:$AB$7,2,FALSE)))</f>
        <v/>
      </c>
      <c r="AK54" s="155"/>
      <c r="AL54" s="536" t="str">
        <f>IF(AK54="","",IF(VLOOKUP(AK54,'G-7 Rivers Data'!$AD$4:$AE$8,2,FALSE)=0,"Spatial Data Missing ⚠",VLOOKUP(AK54,'G-7 Rivers Data'!$AD$4:$AE$8,2,FALSE)))</f>
        <v/>
      </c>
      <c r="AM54" s="154"/>
      <c r="AN54" s="524" t="str">
        <f>IF(AM54="","",VLOOKUP(AM54,'G-7 Rivers Data'!$AO$4:$AP$7,2,FALSE))</f>
        <v/>
      </c>
      <c r="AO54" s="545" t="str">
        <f t="shared" si="7"/>
        <v/>
      </c>
      <c r="AP54" s="149"/>
      <c r="AQ54" s="150"/>
      <c r="AX54" s="31" t="str">
        <f>IFERROR(INDEX('G-7 Rivers Data'!$AZ$3:$AZ$7,MATCH(N54,'G-7 Rivers Data'!$AY$3:$AY$7,0)),"")</f>
        <v/>
      </c>
    </row>
    <row r="55" spans="2:50" ht="13.8" x14ac:dyDescent="0.25">
      <c r="B55" s="531" t="str">
        <f>'F-1 Off Site River Baseline'!AN53</f>
        <v/>
      </c>
      <c r="C55" s="520" t="str">
        <f>IF(B55="","",VLOOKUP($B55,'F-1 Off Site River Baseline'!$C$9:$R$257,2,FALSE))</f>
        <v/>
      </c>
      <c r="D55" s="520" t="str">
        <f>IF(C55="","",VLOOKUP($B55,'F-1 Off Site River Baseline'!$C$9:$R$257,3,FALSE))</f>
        <v/>
      </c>
      <c r="E55" s="520" t="str">
        <f>IF(D55="","",VLOOKUP($B55,'F-1 Off Site River Baseline'!$C$9:$R$257,4,FALSE))</f>
        <v/>
      </c>
      <c r="F55" s="520" t="str">
        <f>IF(E55="","",VLOOKUP($B55,'F-1 Off Site River Baseline'!$C$9:$R$257,5,FALSE))</f>
        <v/>
      </c>
      <c r="G55" s="520" t="str">
        <f>IF(F55="","",VLOOKUP($B55,'F-1 Off Site River Baseline'!$C$9:$R$257,6,FALSE))</f>
        <v/>
      </c>
      <c r="H55" s="520" t="str">
        <f>IF(G55="","",VLOOKUP($B55,'F-1 Off Site River Baseline'!$C$9:$R$257,7,FALSE))</f>
        <v/>
      </c>
      <c r="I55" s="520" t="str">
        <f>IF(H55="","",VLOOKUP($B55,'F-1 Off Site River Baseline'!$C$9:$R$257,8,FALSE))</f>
        <v/>
      </c>
      <c r="J55" s="520" t="str">
        <f>IF(I55="","",VLOOKUP($B55,'F-1 Off Site River Baseline'!$C$9:$R$257,9,FALSE))</f>
        <v/>
      </c>
      <c r="K55" s="520" t="str">
        <f>IF(J55="","",VLOOKUP($B55,'F-1 Off Site River Baseline'!$C$9:$R$257,10,FALSE))</f>
        <v/>
      </c>
      <c r="L55" s="520" t="str">
        <f>IF(B55="","",VLOOKUP($B55,'C-1 Site River Baseline'!$C$9:$R$257,15,FALSE))</f>
        <v/>
      </c>
      <c r="M55" s="524" t="str">
        <f>IF(L55="","",VLOOKUP($B55,'F-1 Off Site River Baseline'!$C$9:$R$257,16,FALSE))</f>
        <v/>
      </c>
      <c r="N55" s="418" t="str">
        <f t="shared" si="0"/>
        <v/>
      </c>
      <c r="O55" s="498" t="str">
        <f t="shared" si="5"/>
        <v/>
      </c>
      <c r="P55" s="499" t="str">
        <f>IF(C55="","",IF(AND(LEFT(C55,55)&lt;&gt;LEFT(N55,55),O55="High - High"),"Error - Not like for like ▲",IF(AND(F55=S55,H55&gt;U55),"Error - Can not reduce condition ▲",IF(AND(F55=S55,H55=U55,AJ55='F-1 Off Site River Baseline'!N53,'F-1 Off Site River Baseline'!P53=AL55),"Error - No enhancement ▲",IF(AND(C55&lt;&gt;N55,F55&lt;S55),"Lower Distinctiveness Habitat"&amp;" - "&amp;T55,G55&amp;" - "&amp;T55)))))</f>
        <v/>
      </c>
      <c r="Q55" s="505" t="str">
        <f>IF(N55="","",VLOOKUP(B55,'F-1 Off Site River Baseline'!$C$10:$AA$257,19,FALSE))</f>
        <v/>
      </c>
      <c r="R55" s="498" t="str">
        <f>IF(N55="","",VLOOKUP(N55,'G-7 Rivers Data'!$B$2:$G$8,2,FALSE))</f>
        <v/>
      </c>
      <c r="S55" s="499" t="str">
        <f>IFERROR(VLOOKUP(R55,'G-7 Rivers Data'!$C$4:$D$8,2,FALSE),"")</f>
        <v/>
      </c>
      <c r="T55" s="145"/>
      <c r="U55" s="499" t="str">
        <f>IFERROR(INDEX('G-7 Rivers Data'!$H$4:$L$8,MATCH(N55,'G-7 Rivers Data'!$B$4:$B$8,0),MATCH(T55,'G-7 Rivers Data'!$H$3:$L$3,0)),"")</f>
        <v/>
      </c>
      <c r="V55" s="154"/>
      <c r="W55" s="520" t="str">
        <f>IF(V55="","",IF(VLOOKUP(V55,'G-7 Rivers Data'!$AG$4:$AI$9,2,FALSE)=0,"Spatial Data Missing ⚠",VLOOKUP(V55,'G-7 Rivers Data'!$AG$4:$AI$9,2,FALSE)))</f>
        <v/>
      </c>
      <c r="X55" s="524" t="str">
        <f>IF(V55="","",IF(VLOOKUP(V55,'G-7 Rivers Data'!$AG$4:$AI$9,3,FALSE)=0,"Spatial Data Missing ⚠",VLOOKUP(V55,'G-7 Rivers Data'!$AG$4:$AI$9,3,FALSE)))</f>
        <v/>
      </c>
      <c r="Y55" s="537" t="str">
        <f>IFERROR(IF(OR(LEFT(P55,5)="Error ▲",LEFT(O55,5)="Error ▲"),"Check Data ⚠",IF(F55&lt;S55,'G-7 Rivers Data'!$R$3,INDEX('G-7 Rivers Data'!$U$5:$Y$9,MATCH(G55,'G-7 Rivers Data'!$T$5:$T$9,0),MATCH(T55,'G-7 Rivers Data'!$U$4:$Y$4,0)))),"")</f>
        <v/>
      </c>
      <c r="Z55" s="203"/>
      <c r="AA55" s="203"/>
      <c r="AB55" s="534" t="str">
        <f t="shared" si="1"/>
        <v/>
      </c>
      <c r="AC55" s="521" t="str">
        <f t="shared" si="2"/>
        <v/>
      </c>
      <c r="AD55" s="564" t="str">
        <f>IFERROR(IF(AC55="Check Data ⚠","Check Data ⚠",VLOOKUP(AC55,'G-4 Temporal multipliers'!$A$4:$C$37,3,FALSE)),"")</f>
        <v/>
      </c>
      <c r="AE55" s="537" t="str">
        <f>IF(N55="","",VLOOKUP(N55,'G-7 Rivers Data'!$B$4:$G$8,5,FALSE))</f>
        <v/>
      </c>
      <c r="AF55" s="520" t="str">
        <f t="shared" si="3"/>
        <v/>
      </c>
      <c r="AG55" s="520" t="str">
        <f t="shared" si="6"/>
        <v/>
      </c>
      <c r="AH55" s="524" t="str">
        <f t="shared" si="4"/>
        <v/>
      </c>
      <c r="AI55" s="145"/>
      <c r="AJ55" s="499" t="str">
        <f>IF(AI55="","",IF(VLOOKUP(AI55,'G-7 Rivers Data'!$AA$4:$AB$7,2,FALSE)=0,"Spatial Data Missing ⚠",VLOOKUP(AI55,'G-7 Rivers Data'!$AA$4:$AB$7,2,FALSE)))</f>
        <v/>
      </c>
      <c r="AK55" s="155"/>
      <c r="AL55" s="536" t="str">
        <f>IF(AK55="","",IF(VLOOKUP(AK55,'G-7 Rivers Data'!$AD$4:$AE$8,2,FALSE)=0,"Spatial Data Missing ⚠",VLOOKUP(AK55,'G-7 Rivers Data'!$AD$4:$AE$8,2,FALSE)))</f>
        <v/>
      </c>
      <c r="AM55" s="154"/>
      <c r="AN55" s="524" t="str">
        <f>IF(AM55="","",VLOOKUP(AM55,'G-7 Rivers Data'!$AO$4:$AP$7,2,FALSE))</f>
        <v/>
      </c>
      <c r="AO55" s="545" t="str">
        <f t="shared" si="7"/>
        <v/>
      </c>
      <c r="AP55" s="149"/>
      <c r="AQ55" s="150"/>
      <c r="AX55" s="31" t="str">
        <f>IFERROR(INDEX('G-7 Rivers Data'!$AZ$3:$AZ$7,MATCH(N55,'G-7 Rivers Data'!$AY$3:$AY$7,0)),"")</f>
        <v/>
      </c>
    </row>
    <row r="56" spans="2:50" ht="13.8" x14ac:dyDescent="0.25">
      <c r="B56" s="531" t="str">
        <f>'F-1 Off Site River Baseline'!AN54</f>
        <v/>
      </c>
      <c r="C56" s="520" t="str">
        <f>IF(B56="","",VLOOKUP($B56,'F-1 Off Site River Baseline'!$C$9:$R$257,2,FALSE))</f>
        <v/>
      </c>
      <c r="D56" s="520" t="str">
        <f>IF(C56="","",VLOOKUP($B56,'F-1 Off Site River Baseline'!$C$9:$R$257,3,FALSE))</f>
        <v/>
      </c>
      <c r="E56" s="520" t="str">
        <f>IF(D56="","",VLOOKUP($B56,'F-1 Off Site River Baseline'!$C$9:$R$257,4,FALSE))</f>
        <v/>
      </c>
      <c r="F56" s="520" t="str">
        <f>IF(E56="","",VLOOKUP($B56,'F-1 Off Site River Baseline'!$C$9:$R$257,5,FALSE))</f>
        <v/>
      </c>
      <c r="G56" s="520" t="str">
        <f>IF(F56="","",VLOOKUP($B56,'F-1 Off Site River Baseline'!$C$9:$R$257,6,FALSE))</f>
        <v/>
      </c>
      <c r="H56" s="520" t="str">
        <f>IF(G56="","",VLOOKUP($B56,'F-1 Off Site River Baseline'!$C$9:$R$257,7,FALSE))</f>
        <v/>
      </c>
      <c r="I56" s="520" t="str">
        <f>IF(H56="","",VLOOKUP($B56,'F-1 Off Site River Baseline'!$C$9:$R$257,8,FALSE))</f>
        <v/>
      </c>
      <c r="J56" s="520" t="str">
        <f>IF(I56="","",VLOOKUP($B56,'F-1 Off Site River Baseline'!$C$9:$R$257,9,FALSE))</f>
        <v/>
      </c>
      <c r="K56" s="520" t="str">
        <f>IF(J56="","",VLOOKUP($B56,'F-1 Off Site River Baseline'!$C$9:$R$257,10,FALSE))</f>
        <v/>
      </c>
      <c r="L56" s="520" t="str">
        <f>IF(B56="","",VLOOKUP($B56,'C-1 Site River Baseline'!$C$9:$R$257,15,FALSE))</f>
        <v/>
      </c>
      <c r="M56" s="524" t="str">
        <f>IF(L56="","",VLOOKUP($B56,'F-1 Off Site River Baseline'!$C$9:$R$257,16,FALSE))</f>
        <v/>
      </c>
      <c r="N56" s="418" t="str">
        <f t="shared" si="0"/>
        <v/>
      </c>
      <c r="O56" s="498" t="str">
        <f t="shared" si="5"/>
        <v/>
      </c>
      <c r="P56" s="499" t="str">
        <f>IF(C56="","",IF(AND(LEFT(C56,55)&lt;&gt;LEFT(N56,55),O56="High - High"),"Error - Not like for like ▲",IF(AND(F56=S56,H56&gt;U56),"Error - Can not reduce condition ▲",IF(AND(F56=S56,H56=U56,AJ56='F-1 Off Site River Baseline'!N54,'F-1 Off Site River Baseline'!P54=AL56),"Error - No enhancement ▲",IF(AND(C56&lt;&gt;N56,F56&lt;S56),"Lower Distinctiveness Habitat"&amp;" - "&amp;T56,G56&amp;" - "&amp;T56)))))</f>
        <v/>
      </c>
      <c r="Q56" s="505" t="str">
        <f>IF(N56="","",VLOOKUP(B56,'F-1 Off Site River Baseline'!$C$10:$AA$257,19,FALSE))</f>
        <v/>
      </c>
      <c r="R56" s="498" t="str">
        <f>IF(N56="","",VLOOKUP(N56,'G-7 Rivers Data'!$B$2:$G$8,2,FALSE))</f>
        <v/>
      </c>
      <c r="S56" s="499" t="str">
        <f>IFERROR(VLOOKUP(R56,'G-7 Rivers Data'!$C$4:$D$8,2,FALSE),"")</f>
        <v/>
      </c>
      <c r="T56" s="145"/>
      <c r="U56" s="499" t="str">
        <f>IFERROR(INDEX('G-7 Rivers Data'!$H$4:$L$8,MATCH(N56,'G-7 Rivers Data'!$B$4:$B$8,0),MATCH(T56,'G-7 Rivers Data'!$H$3:$L$3,0)),"")</f>
        <v/>
      </c>
      <c r="V56" s="154"/>
      <c r="W56" s="520" t="str">
        <f>IF(V56="","",IF(VLOOKUP(V56,'G-7 Rivers Data'!$AG$4:$AI$9,2,FALSE)=0,"Spatial Data Missing ⚠",VLOOKUP(V56,'G-7 Rivers Data'!$AG$4:$AI$9,2,FALSE)))</f>
        <v/>
      </c>
      <c r="X56" s="524" t="str">
        <f>IF(V56="","",IF(VLOOKUP(V56,'G-7 Rivers Data'!$AG$4:$AI$9,3,FALSE)=0,"Spatial Data Missing ⚠",VLOOKUP(V56,'G-7 Rivers Data'!$AG$4:$AI$9,3,FALSE)))</f>
        <v/>
      </c>
      <c r="Y56" s="537" t="str">
        <f>IFERROR(IF(OR(LEFT(P56,5)="Error ▲",LEFT(O56,5)="Error ▲"),"Check Data ⚠",IF(F56&lt;S56,'G-7 Rivers Data'!$R$3,INDEX('G-7 Rivers Data'!$U$5:$Y$9,MATCH(G56,'G-7 Rivers Data'!$T$5:$T$9,0),MATCH(T56,'G-7 Rivers Data'!$U$4:$Y$4,0)))),"")</f>
        <v/>
      </c>
      <c r="Z56" s="203"/>
      <c r="AA56" s="203"/>
      <c r="AB56" s="534" t="str">
        <f t="shared" si="1"/>
        <v/>
      </c>
      <c r="AC56" s="521" t="str">
        <f t="shared" si="2"/>
        <v/>
      </c>
      <c r="AD56" s="564" t="str">
        <f>IFERROR(IF(AC56="Check Data ⚠","Check Data ⚠",VLOOKUP(AC56,'G-4 Temporal multipliers'!$A$4:$C$37,3,FALSE)),"")</f>
        <v/>
      </c>
      <c r="AE56" s="537" t="str">
        <f>IF(N56="","",VLOOKUP(N56,'G-7 Rivers Data'!$B$4:$G$8,5,FALSE))</f>
        <v/>
      </c>
      <c r="AF56" s="520" t="str">
        <f t="shared" si="3"/>
        <v/>
      </c>
      <c r="AG56" s="520" t="str">
        <f t="shared" si="6"/>
        <v/>
      </c>
      <c r="AH56" s="524" t="str">
        <f t="shared" si="4"/>
        <v/>
      </c>
      <c r="AI56" s="145"/>
      <c r="AJ56" s="499" t="str">
        <f>IF(AI56="","",IF(VLOOKUP(AI56,'G-7 Rivers Data'!$AA$4:$AB$7,2,FALSE)=0,"Spatial Data Missing ⚠",VLOOKUP(AI56,'G-7 Rivers Data'!$AA$4:$AB$7,2,FALSE)))</f>
        <v/>
      </c>
      <c r="AK56" s="155"/>
      <c r="AL56" s="536" t="str">
        <f>IF(AK56="","",IF(VLOOKUP(AK56,'G-7 Rivers Data'!$AD$4:$AE$8,2,FALSE)=0,"Spatial Data Missing ⚠",VLOOKUP(AK56,'G-7 Rivers Data'!$AD$4:$AE$8,2,FALSE)))</f>
        <v/>
      </c>
      <c r="AM56" s="154"/>
      <c r="AN56" s="524" t="str">
        <f>IF(AM56="","",VLOOKUP(AM56,'G-7 Rivers Data'!$AO$4:$AP$7,2,FALSE))</f>
        <v/>
      </c>
      <c r="AO56" s="545" t="str">
        <f t="shared" si="7"/>
        <v/>
      </c>
      <c r="AP56" s="149"/>
      <c r="AQ56" s="150"/>
      <c r="AX56" s="31" t="str">
        <f>IFERROR(INDEX('G-7 Rivers Data'!$AZ$3:$AZ$7,MATCH(N56,'G-7 Rivers Data'!$AY$3:$AY$7,0)),"")</f>
        <v/>
      </c>
    </row>
    <row r="57" spans="2:50" ht="13.8" x14ac:dyDescent="0.25">
      <c r="B57" s="531" t="str">
        <f>'F-1 Off Site River Baseline'!AN55</f>
        <v/>
      </c>
      <c r="C57" s="520" t="str">
        <f>IF(B57="","",VLOOKUP($B57,'F-1 Off Site River Baseline'!$C$9:$R$257,2,FALSE))</f>
        <v/>
      </c>
      <c r="D57" s="520" t="str">
        <f>IF(C57="","",VLOOKUP($B57,'F-1 Off Site River Baseline'!$C$9:$R$257,3,FALSE))</f>
        <v/>
      </c>
      <c r="E57" s="520" t="str">
        <f>IF(D57="","",VLOOKUP($B57,'F-1 Off Site River Baseline'!$C$9:$R$257,4,FALSE))</f>
        <v/>
      </c>
      <c r="F57" s="520" t="str">
        <f>IF(E57="","",VLOOKUP($B57,'F-1 Off Site River Baseline'!$C$9:$R$257,5,FALSE))</f>
        <v/>
      </c>
      <c r="G57" s="520" t="str">
        <f>IF(F57="","",VLOOKUP($B57,'F-1 Off Site River Baseline'!$C$9:$R$257,6,FALSE))</f>
        <v/>
      </c>
      <c r="H57" s="520" t="str">
        <f>IF(G57="","",VLOOKUP($B57,'F-1 Off Site River Baseline'!$C$9:$R$257,7,FALSE))</f>
        <v/>
      </c>
      <c r="I57" s="520" t="str">
        <f>IF(H57="","",VLOOKUP($B57,'F-1 Off Site River Baseline'!$C$9:$R$257,8,FALSE))</f>
        <v/>
      </c>
      <c r="J57" s="520" t="str">
        <f>IF(I57="","",VLOOKUP($B57,'F-1 Off Site River Baseline'!$C$9:$R$257,9,FALSE))</f>
        <v/>
      </c>
      <c r="K57" s="520" t="str">
        <f>IF(J57="","",VLOOKUP($B57,'F-1 Off Site River Baseline'!$C$9:$R$257,10,FALSE))</f>
        <v/>
      </c>
      <c r="L57" s="520" t="str">
        <f>IF(B57="","",VLOOKUP($B57,'C-1 Site River Baseline'!$C$9:$R$257,15,FALSE))</f>
        <v/>
      </c>
      <c r="M57" s="524" t="str">
        <f>IF(L57="","",VLOOKUP($B57,'F-1 Off Site River Baseline'!$C$9:$R$257,16,FALSE))</f>
        <v/>
      </c>
      <c r="N57" s="418" t="str">
        <f t="shared" si="0"/>
        <v/>
      </c>
      <c r="O57" s="498" t="str">
        <f t="shared" si="5"/>
        <v/>
      </c>
      <c r="P57" s="499" t="str">
        <f>IF(C57="","",IF(AND(LEFT(C57,55)&lt;&gt;LEFT(N57,55),O57="High - High"),"Error - Not like for like ▲",IF(AND(F57=S57,H57&gt;U57),"Error - Can not reduce condition ▲",IF(AND(F57=S57,H57=U57,AJ57='F-1 Off Site River Baseline'!N55,'F-1 Off Site River Baseline'!P55=AL57),"Error - No enhancement ▲",IF(AND(C57&lt;&gt;N57,F57&lt;S57),"Lower Distinctiveness Habitat"&amp;" - "&amp;T57,G57&amp;" - "&amp;T57)))))</f>
        <v/>
      </c>
      <c r="Q57" s="505" t="str">
        <f>IF(N57="","",VLOOKUP(B57,'F-1 Off Site River Baseline'!$C$10:$AA$257,19,FALSE))</f>
        <v/>
      </c>
      <c r="R57" s="498" t="str">
        <f>IF(N57="","",VLOOKUP(N57,'G-7 Rivers Data'!$B$2:$G$8,2,FALSE))</f>
        <v/>
      </c>
      <c r="S57" s="499" t="str">
        <f>IFERROR(VLOOKUP(R57,'G-7 Rivers Data'!$C$4:$D$8,2,FALSE),"")</f>
        <v/>
      </c>
      <c r="T57" s="145"/>
      <c r="U57" s="499" t="str">
        <f>IFERROR(INDEX('G-7 Rivers Data'!$H$4:$L$8,MATCH(N57,'G-7 Rivers Data'!$B$4:$B$8,0),MATCH(T57,'G-7 Rivers Data'!$H$3:$L$3,0)),"")</f>
        <v/>
      </c>
      <c r="V57" s="154"/>
      <c r="W57" s="520" t="str">
        <f>IF(V57="","",IF(VLOOKUP(V57,'G-7 Rivers Data'!$AG$4:$AI$9,2,FALSE)=0,"Spatial Data Missing ⚠",VLOOKUP(V57,'G-7 Rivers Data'!$AG$4:$AI$9,2,FALSE)))</f>
        <v/>
      </c>
      <c r="X57" s="524" t="str">
        <f>IF(V57="","",IF(VLOOKUP(V57,'G-7 Rivers Data'!$AG$4:$AI$9,3,FALSE)=0,"Spatial Data Missing ⚠",VLOOKUP(V57,'G-7 Rivers Data'!$AG$4:$AI$9,3,FALSE)))</f>
        <v/>
      </c>
      <c r="Y57" s="537" t="str">
        <f>IFERROR(IF(OR(LEFT(P57,5)="Error ▲",LEFT(O57,5)="Error ▲"),"Check Data ⚠",IF(F57&lt;S57,'G-7 Rivers Data'!$R$3,INDEX('G-7 Rivers Data'!$U$5:$Y$9,MATCH(G57,'G-7 Rivers Data'!$T$5:$T$9,0),MATCH(T57,'G-7 Rivers Data'!$U$4:$Y$4,0)))),"")</f>
        <v/>
      </c>
      <c r="Z57" s="203"/>
      <c r="AA57" s="203"/>
      <c r="AB57" s="534" t="str">
        <f t="shared" si="1"/>
        <v/>
      </c>
      <c r="AC57" s="521" t="str">
        <f t="shared" si="2"/>
        <v/>
      </c>
      <c r="AD57" s="564" t="str">
        <f>IFERROR(IF(AC57="Check Data ⚠","Check Data ⚠",VLOOKUP(AC57,'G-4 Temporal multipliers'!$A$4:$C$37,3,FALSE)),"")</f>
        <v/>
      </c>
      <c r="AE57" s="537" t="str">
        <f>IF(N57="","",VLOOKUP(N57,'G-7 Rivers Data'!$B$4:$G$8,5,FALSE))</f>
        <v/>
      </c>
      <c r="AF57" s="520" t="str">
        <f t="shared" si="3"/>
        <v/>
      </c>
      <c r="AG57" s="520" t="str">
        <f t="shared" si="6"/>
        <v/>
      </c>
      <c r="AH57" s="524" t="str">
        <f t="shared" si="4"/>
        <v/>
      </c>
      <c r="AI57" s="145"/>
      <c r="AJ57" s="499" t="str">
        <f>IF(AI57="","",IF(VLOOKUP(AI57,'G-7 Rivers Data'!$AA$4:$AB$7,2,FALSE)=0,"Spatial Data Missing ⚠",VLOOKUP(AI57,'G-7 Rivers Data'!$AA$4:$AB$7,2,FALSE)))</f>
        <v/>
      </c>
      <c r="AK57" s="155"/>
      <c r="AL57" s="536" t="str">
        <f>IF(AK57="","",IF(VLOOKUP(AK57,'G-7 Rivers Data'!$AD$4:$AE$8,2,FALSE)=0,"Spatial Data Missing ⚠",VLOOKUP(AK57,'G-7 Rivers Data'!$AD$4:$AE$8,2,FALSE)))</f>
        <v/>
      </c>
      <c r="AM57" s="154"/>
      <c r="AN57" s="524" t="str">
        <f>IF(AM57="","",VLOOKUP(AM57,'G-7 Rivers Data'!$AO$4:$AP$7,2,FALSE))</f>
        <v/>
      </c>
      <c r="AO57" s="545" t="str">
        <f t="shared" si="7"/>
        <v/>
      </c>
      <c r="AP57" s="149"/>
      <c r="AQ57" s="150"/>
      <c r="AX57" s="31" t="str">
        <f>IFERROR(INDEX('G-7 Rivers Data'!$AZ$3:$AZ$7,MATCH(N57,'G-7 Rivers Data'!$AY$3:$AY$7,0)),"")</f>
        <v/>
      </c>
    </row>
    <row r="58" spans="2:50" ht="13.8" x14ac:dyDescent="0.25">
      <c r="B58" s="531" t="str">
        <f>'F-1 Off Site River Baseline'!AN56</f>
        <v/>
      </c>
      <c r="C58" s="520" t="str">
        <f>IF(B58="","",VLOOKUP($B58,'F-1 Off Site River Baseline'!$C$9:$R$257,2,FALSE))</f>
        <v/>
      </c>
      <c r="D58" s="520" t="str">
        <f>IF(C58="","",VLOOKUP($B58,'F-1 Off Site River Baseline'!$C$9:$R$257,3,FALSE))</f>
        <v/>
      </c>
      <c r="E58" s="520" t="str">
        <f>IF(D58="","",VLOOKUP($B58,'F-1 Off Site River Baseline'!$C$9:$R$257,4,FALSE))</f>
        <v/>
      </c>
      <c r="F58" s="520" t="str">
        <f>IF(E58="","",VLOOKUP($B58,'F-1 Off Site River Baseline'!$C$9:$R$257,5,FALSE))</f>
        <v/>
      </c>
      <c r="G58" s="520" t="str">
        <f>IF(F58="","",VLOOKUP($B58,'F-1 Off Site River Baseline'!$C$9:$R$257,6,FALSE))</f>
        <v/>
      </c>
      <c r="H58" s="520" t="str">
        <f>IF(G58="","",VLOOKUP($B58,'F-1 Off Site River Baseline'!$C$9:$R$257,7,FALSE))</f>
        <v/>
      </c>
      <c r="I58" s="520" t="str">
        <f>IF(H58="","",VLOOKUP($B58,'F-1 Off Site River Baseline'!$C$9:$R$257,8,FALSE))</f>
        <v/>
      </c>
      <c r="J58" s="520" t="str">
        <f>IF(I58="","",VLOOKUP($B58,'F-1 Off Site River Baseline'!$C$9:$R$257,9,FALSE))</f>
        <v/>
      </c>
      <c r="K58" s="520" t="str">
        <f>IF(J58="","",VLOOKUP($B58,'F-1 Off Site River Baseline'!$C$9:$R$257,10,FALSE))</f>
        <v/>
      </c>
      <c r="L58" s="520" t="str">
        <f>IF(B58="","",VLOOKUP($B58,'C-1 Site River Baseline'!$C$9:$R$257,15,FALSE))</f>
        <v/>
      </c>
      <c r="M58" s="524" t="str">
        <f>IF(L58="","",VLOOKUP($B58,'F-1 Off Site River Baseline'!$C$9:$R$257,16,FALSE))</f>
        <v/>
      </c>
      <c r="N58" s="418" t="str">
        <f t="shared" si="0"/>
        <v/>
      </c>
      <c r="O58" s="498" t="str">
        <f t="shared" si="5"/>
        <v/>
      </c>
      <c r="P58" s="499" t="str">
        <f>IF(C58="","",IF(AND(LEFT(C58,55)&lt;&gt;LEFT(N58,55),O58="High - High"),"Error - Not like for like ▲",IF(AND(F58=S58,H58&gt;U58),"Error - Can not reduce condition ▲",IF(AND(F58=S58,H58=U58,AJ58='F-1 Off Site River Baseline'!N56,'F-1 Off Site River Baseline'!P56=AL58),"Error - No enhancement ▲",IF(AND(C58&lt;&gt;N58,F58&lt;S58),"Lower Distinctiveness Habitat"&amp;" - "&amp;T58,G58&amp;" - "&amp;T58)))))</f>
        <v/>
      </c>
      <c r="Q58" s="505" t="str">
        <f>IF(N58="","",VLOOKUP(B58,'F-1 Off Site River Baseline'!$C$10:$AA$257,19,FALSE))</f>
        <v/>
      </c>
      <c r="R58" s="498" t="str">
        <f>IF(N58="","",VLOOKUP(N58,'G-7 Rivers Data'!$B$2:$G$8,2,FALSE))</f>
        <v/>
      </c>
      <c r="S58" s="499" t="str">
        <f>IFERROR(VLOOKUP(R58,'G-7 Rivers Data'!$C$4:$D$8,2,FALSE),"")</f>
        <v/>
      </c>
      <c r="T58" s="145"/>
      <c r="U58" s="499" t="str">
        <f>IFERROR(INDEX('G-7 Rivers Data'!$H$4:$L$8,MATCH(N58,'G-7 Rivers Data'!$B$4:$B$8,0),MATCH(T58,'G-7 Rivers Data'!$H$3:$L$3,0)),"")</f>
        <v/>
      </c>
      <c r="V58" s="154"/>
      <c r="W58" s="520" t="str">
        <f>IF(V58="","",IF(VLOOKUP(V58,'G-7 Rivers Data'!$AG$4:$AI$9,2,FALSE)=0,"Spatial Data Missing ⚠",VLOOKUP(V58,'G-7 Rivers Data'!$AG$4:$AI$9,2,FALSE)))</f>
        <v/>
      </c>
      <c r="X58" s="524" t="str">
        <f>IF(V58="","",IF(VLOOKUP(V58,'G-7 Rivers Data'!$AG$4:$AI$9,3,FALSE)=0,"Spatial Data Missing ⚠",VLOOKUP(V58,'G-7 Rivers Data'!$AG$4:$AI$9,3,FALSE)))</f>
        <v/>
      </c>
      <c r="Y58" s="537" t="str">
        <f>IFERROR(IF(OR(LEFT(P58,5)="Error ▲",LEFT(O58,5)="Error ▲"),"Check Data ⚠",IF(F58&lt;S58,'G-7 Rivers Data'!$R$3,INDEX('G-7 Rivers Data'!$U$5:$Y$9,MATCH(G58,'G-7 Rivers Data'!$T$5:$T$9,0),MATCH(T58,'G-7 Rivers Data'!$U$4:$Y$4,0)))),"")</f>
        <v/>
      </c>
      <c r="Z58" s="203"/>
      <c r="AA58" s="203"/>
      <c r="AB58" s="534" t="str">
        <f t="shared" si="1"/>
        <v/>
      </c>
      <c r="AC58" s="521" t="str">
        <f t="shared" si="2"/>
        <v/>
      </c>
      <c r="AD58" s="564" t="str">
        <f>IFERROR(IF(AC58="Check Data ⚠","Check Data ⚠",VLOOKUP(AC58,'G-4 Temporal multipliers'!$A$4:$C$37,3,FALSE)),"")</f>
        <v/>
      </c>
      <c r="AE58" s="537" t="str">
        <f>IF(N58="","",VLOOKUP(N58,'G-7 Rivers Data'!$B$4:$G$8,5,FALSE))</f>
        <v/>
      </c>
      <c r="AF58" s="520" t="str">
        <f t="shared" si="3"/>
        <v/>
      </c>
      <c r="AG58" s="520" t="str">
        <f t="shared" si="6"/>
        <v/>
      </c>
      <c r="AH58" s="524" t="str">
        <f t="shared" si="4"/>
        <v/>
      </c>
      <c r="AI58" s="145"/>
      <c r="AJ58" s="499" t="str">
        <f>IF(AI58="","",IF(VLOOKUP(AI58,'G-7 Rivers Data'!$AA$4:$AB$7,2,FALSE)=0,"Spatial Data Missing ⚠",VLOOKUP(AI58,'G-7 Rivers Data'!$AA$4:$AB$7,2,FALSE)))</f>
        <v/>
      </c>
      <c r="AK58" s="155"/>
      <c r="AL58" s="536" t="str">
        <f>IF(AK58="","",IF(VLOOKUP(AK58,'G-7 Rivers Data'!$AD$4:$AE$8,2,FALSE)=0,"Spatial Data Missing ⚠",VLOOKUP(AK58,'G-7 Rivers Data'!$AD$4:$AE$8,2,FALSE)))</f>
        <v/>
      </c>
      <c r="AM58" s="154"/>
      <c r="AN58" s="524" t="str">
        <f>IF(AM58="","",VLOOKUP(AM58,'G-7 Rivers Data'!$AO$4:$AP$7,2,FALSE))</f>
        <v/>
      </c>
      <c r="AO58" s="545" t="str">
        <f t="shared" si="7"/>
        <v/>
      </c>
      <c r="AP58" s="149"/>
      <c r="AQ58" s="150"/>
      <c r="AX58" s="31" t="str">
        <f>IFERROR(INDEX('G-7 Rivers Data'!$AZ$3:$AZ$7,MATCH(N58,'G-7 Rivers Data'!$AY$3:$AY$7,0)),"")</f>
        <v/>
      </c>
    </row>
    <row r="59" spans="2:50" ht="13.8" x14ac:dyDescent="0.25">
      <c r="B59" s="531" t="str">
        <f>'F-1 Off Site River Baseline'!AN57</f>
        <v/>
      </c>
      <c r="C59" s="520" t="str">
        <f>IF(B59="","",VLOOKUP($B59,'F-1 Off Site River Baseline'!$C$9:$R$257,2,FALSE))</f>
        <v/>
      </c>
      <c r="D59" s="520" t="str">
        <f>IF(C59="","",VLOOKUP($B59,'F-1 Off Site River Baseline'!$C$9:$R$257,3,FALSE))</f>
        <v/>
      </c>
      <c r="E59" s="520" t="str">
        <f>IF(D59="","",VLOOKUP($B59,'F-1 Off Site River Baseline'!$C$9:$R$257,4,FALSE))</f>
        <v/>
      </c>
      <c r="F59" s="520" t="str">
        <f>IF(E59="","",VLOOKUP($B59,'F-1 Off Site River Baseline'!$C$9:$R$257,5,FALSE))</f>
        <v/>
      </c>
      <c r="G59" s="520" t="str">
        <f>IF(F59="","",VLOOKUP($B59,'F-1 Off Site River Baseline'!$C$9:$R$257,6,FALSE))</f>
        <v/>
      </c>
      <c r="H59" s="520" t="str">
        <f>IF(G59="","",VLOOKUP($B59,'F-1 Off Site River Baseline'!$C$9:$R$257,7,FALSE))</f>
        <v/>
      </c>
      <c r="I59" s="520" t="str">
        <f>IF(H59="","",VLOOKUP($B59,'F-1 Off Site River Baseline'!$C$9:$R$257,8,FALSE))</f>
        <v/>
      </c>
      <c r="J59" s="520" t="str">
        <f>IF(I59="","",VLOOKUP($B59,'F-1 Off Site River Baseline'!$C$9:$R$257,9,FALSE))</f>
        <v/>
      </c>
      <c r="K59" s="520" t="str">
        <f>IF(J59="","",VLOOKUP($B59,'F-1 Off Site River Baseline'!$C$9:$R$257,10,FALSE))</f>
        <v/>
      </c>
      <c r="L59" s="520" t="str">
        <f>IF(B59="","",VLOOKUP($B59,'C-1 Site River Baseline'!$C$9:$R$257,15,FALSE))</f>
        <v/>
      </c>
      <c r="M59" s="524" t="str">
        <f>IF(L59="","",VLOOKUP($B59,'F-1 Off Site River Baseline'!$C$9:$R$257,16,FALSE))</f>
        <v/>
      </c>
      <c r="N59" s="418" t="str">
        <f t="shared" si="0"/>
        <v/>
      </c>
      <c r="O59" s="498" t="str">
        <f t="shared" si="5"/>
        <v/>
      </c>
      <c r="P59" s="499" t="str">
        <f>IF(C59="","",IF(AND(LEFT(C59,55)&lt;&gt;LEFT(N59,55),O59="High - High"),"Error - Not like for like ▲",IF(AND(F59=S59,H59&gt;U59),"Error - Can not reduce condition ▲",IF(AND(F59=S59,H59=U59,AJ59='F-1 Off Site River Baseline'!N57,'F-1 Off Site River Baseline'!P57=AL59),"Error - No enhancement ▲",IF(AND(C59&lt;&gt;N59,F59&lt;S59),"Lower Distinctiveness Habitat"&amp;" - "&amp;T59,G59&amp;" - "&amp;T59)))))</f>
        <v/>
      </c>
      <c r="Q59" s="505" t="str">
        <f>IF(N59="","",VLOOKUP(B59,'F-1 Off Site River Baseline'!$C$10:$AA$257,19,FALSE))</f>
        <v/>
      </c>
      <c r="R59" s="498" t="str">
        <f>IF(N59="","",VLOOKUP(N59,'G-7 Rivers Data'!$B$2:$G$8,2,FALSE))</f>
        <v/>
      </c>
      <c r="S59" s="499" t="str">
        <f>IFERROR(VLOOKUP(R59,'G-7 Rivers Data'!$C$4:$D$8,2,FALSE),"")</f>
        <v/>
      </c>
      <c r="T59" s="145"/>
      <c r="U59" s="499" t="str">
        <f>IFERROR(INDEX('G-7 Rivers Data'!$H$4:$L$8,MATCH(N59,'G-7 Rivers Data'!$B$4:$B$8,0),MATCH(T59,'G-7 Rivers Data'!$H$3:$L$3,0)),"")</f>
        <v/>
      </c>
      <c r="V59" s="154"/>
      <c r="W59" s="520" t="str">
        <f>IF(V59="","",IF(VLOOKUP(V59,'G-7 Rivers Data'!$AG$4:$AI$9,2,FALSE)=0,"Spatial Data Missing ⚠",VLOOKUP(V59,'G-7 Rivers Data'!$AG$4:$AI$9,2,FALSE)))</f>
        <v/>
      </c>
      <c r="X59" s="524" t="str">
        <f>IF(V59="","",IF(VLOOKUP(V59,'G-7 Rivers Data'!$AG$4:$AI$9,3,FALSE)=0,"Spatial Data Missing ⚠",VLOOKUP(V59,'G-7 Rivers Data'!$AG$4:$AI$9,3,FALSE)))</f>
        <v/>
      </c>
      <c r="Y59" s="537" t="str">
        <f>IFERROR(IF(OR(LEFT(P59,5)="Error ▲",LEFT(O59,5)="Error ▲"),"Check Data ⚠",IF(F59&lt;S59,'G-7 Rivers Data'!$R$3,INDEX('G-7 Rivers Data'!$U$5:$Y$9,MATCH(G59,'G-7 Rivers Data'!$T$5:$T$9,0),MATCH(T59,'G-7 Rivers Data'!$U$4:$Y$4,0)))),"")</f>
        <v/>
      </c>
      <c r="Z59" s="203"/>
      <c r="AA59" s="203"/>
      <c r="AB59" s="534" t="str">
        <f t="shared" si="1"/>
        <v/>
      </c>
      <c r="AC59" s="521" t="str">
        <f t="shared" si="2"/>
        <v/>
      </c>
      <c r="AD59" s="564" t="str">
        <f>IFERROR(IF(AC59="Check Data ⚠","Check Data ⚠",VLOOKUP(AC59,'G-4 Temporal multipliers'!$A$4:$C$37,3,FALSE)),"")</f>
        <v/>
      </c>
      <c r="AE59" s="537" t="str">
        <f>IF(N59="","",VLOOKUP(N59,'G-7 Rivers Data'!$B$4:$G$8,5,FALSE))</f>
        <v/>
      </c>
      <c r="AF59" s="520" t="str">
        <f t="shared" si="3"/>
        <v/>
      </c>
      <c r="AG59" s="520" t="str">
        <f t="shared" si="6"/>
        <v/>
      </c>
      <c r="AH59" s="524" t="str">
        <f t="shared" si="4"/>
        <v/>
      </c>
      <c r="AI59" s="145"/>
      <c r="AJ59" s="499" t="str">
        <f>IF(AI59="","",IF(VLOOKUP(AI59,'G-7 Rivers Data'!$AA$4:$AB$7,2,FALSE)=0,"Spatial Data Missing ⚠",VLOOKUP(AI59,'G-7 Rivers Data'!$AA$4:$AB$7,2,FALSE)))</f>
        <v/>
      </c>
      <c r="AK59" s="155"/>
      <c r="AL59" s="536" t="str">
        <f>IF(AK59="","",IF(VLOOKUP(AK59,'G-7 Rivers Data'!$AD$4:$AE$8,2,FALSE)=0,"Spatial Data Missing ⚠",VLOOKUP(AK59,'G-7 Rivers Data'!$AD$4:$AE$8,2,FALSE)))</f>
        <v/>
      </c>
      <c r="AM59" s="154"/>
      <c r="AN59" s="524" t="str">
        <f>IF(AM59="","",VLOOKUP(AM59,'G-7 Rivers Data'!$AO$4:$AP$7,2,FALSE))</f>
        <v/>
      </c>
      <c r="AO59" s="545" t="str">
        <f t="shared" si="7"/>
        <v/>
      </c>
      <c r="AP59" s="149"/>
      <c r="AQ59" s="150"/>
      <c r="AX59" s="31" t="str">
        <f>IFERROR(INDEX('G-7 Rivers Data'!$AZ$3:$AZ$7,MATCH(N59,'G-7 Rivers Data'!$AY$3:$AY$7,0)),"")</f>
        <v/>
      </c>
    </row>
    <row r="60" spans="2:50" ht="13.8" x14ac:dyDescent="0.25">
      <c r="B60" s="531" t="str">
        <f>'F-1 Off Site River Baseline'!AN58</f>
        <v/>
      </c>
      <c r="C60" s="520" t="str">
        <f>IF(B60="","",VLOOKUP($B60,'F-1 Off Site River Baseline'!$C$9:$R$257,2,FALSE))</f>
        <v/>
      </c>
      <c r="D60" s="520" t="str">
        <f>IF(C60="","",VLOOKUP($B60,'F-1 Off Site River Baseline'!$C$9:$R$257,3,FALSE))</f>
        <v/>
      </c>
      <c r="E60" s="520" t="str">
        <f>IF(D60="","",VLOOKUP($B60,'F-1 Off Site River Baseline'!$C$9:$R$257,4,FALSE))</f>
        <v/>
      </c>
      <c r="F60" s="520" t="str">
        <f>IF(E60="","",VLOOKUP($B60,'F-1 Off Site River Baseline'!$C$9:$R$257,5,FALSE))</f>
        <v/>
      </c>
      <c r="G60" s="520" t="str">
        <f>IF(F60="","",VLOOKUP($B60,'F-1 Off Site River Baseline'!$C$9:$R$257,6,FALSE))</f>
        <v/>
      </c>
      <c r="H60" s="520" t="str">
        <f>IF(G60="","",VLOOKUP($B60,'F-1 Off Site River Baseline'!$C$9:$R$257,7,FALSE))</f>
        <v/>
      </c>
      <c r="I60" s="520" t="str">
        <f>IF(H60="","",VLOOKUP($B60,'F-1 Off Site River Baseline'!$C$9:$R$257,8,FALSE))</f>
        <v/>
      </c>
      <c r="J60" s="520" t="str">
        <f>IF(I60="","",VLOOKUP($B60,'F-1 Off Site River Baseline'!$C$9:$R$257,9,FALSE))</f>
        <v/>
      </c>
      <c r="K60" s="520" t="str">
        <f>IF(J60="","",VLOOKUP($B60,'F-1 Off Site River Baseline'!$C$9:$R$257,10,FALSE))</f>
        <v/>
      </c>
      <c r="L60" s="520" t="str">
        <f>IF(B60="","",VLOOKUP($B60,'C-1 Site River Baseline'!$C$9:$R$257,15,FALSE))</f>
        <v/>
      </c>
      <c r="M60" s="524" t="str">
        <f>IF(L60="","",VLOOKUP($B60,'F-1 Off Site River Baseline'!$C$9:$R$257,16,FALSE))</f>
        <v/>
      </c>
      <c r="N60" s="418" t="str">
        <f t="shared" si="0"/>
        <v/>
      </c>
      <c r="O60" s="498" t="str">
        <f t="shared" si="5"/>
        <v/>
      </c>
      <c r="P60" s="499" t="str">
        <f>IF(C60="","",IF(AND(LEFT(C60,55)&lt;&gt;LEFT(N60,55),O60="High - High"),"Error - Not like for like ▲",IF(AND(F60=S60,H60&gt;U60),"Error - Can not reduce condition ▲",IF(AND(F60=S60,H60=U60,AJ60='F-1 Off Site River Baseline'!N58,'F-1 Off Site River Baseline'!P58=AL60),"Error - No enhancement ▲",IF(AND(C60&lt;&gt;N60,F60&lt;S60),"Lower Distinctiveness Habitat"&amp;" - "&amp;T60,G60&amp;" - "&amp;T60)))))</f>
        <v/>
      </c>
      <c r="Q60" s="505" t="str">
        <f>IF(N60="","",VLOOKUP(B60,'F-1 Off Site River Baseline'!$C$10:$AA$257,19,FALSE))</f>
        <v/>
      </c>
      <c r="R60" s="498" t="str">
        <f>IF(N60="","",VLOOKUP(N60,'G-7 Rivers Data'!$B$2:$G$8,2,FALSE))</f>
        <v/>
      </c>
      <c r="S60" s="499" t="str">
        <f>IFERROR(VLOOKUP(R60,'G-7 Rivers Data'!$C$4:$D$8,2,FALSE),"")</f>
        <v/>
      </c>
      <c r="T60" s="145"/>
      <c r="U60" s="499" t="str">
        <f>IFERROR(INDEX('G-7 Rivers Data'!$H$4:$L$8,MATCH(N60,'G-7 Rivers Data'!$B$4:$B$8,0),MATCH(T60,'G-7 Rivers Data'!$H$3:$L$3,0)),"")</f>
        <v/>
      </c>
      <c r="V60" s="154"/>
      <c r="W60" s="520" t="str">
        <f>IF(V60="","",IF(VLOOKUP(V60,'G-7 Rivers Data'!$AG$4:$AI$9,2,FALSE)=0,"Spatial Data Missing ⚠",VLOOKUP(V60,'G-7 Rivers Data'!$AG$4:$AI$9,2,FALSE)))</f>
        <v/>
      </c>
      <c r="X60" s="524" t="str">
        <f>IF(V60="","",IF(VLOOKUP(V60,'G-7 Rivers Data'!$AG$4:$AI$9,3,FALSE)=0,"Spatial Data Missing ⚠",VLOOKUP(V60,'G-7 Rivers Data'!$AG$4:$AI$9,3,FALSE)))</f>
        <v/>
      </c>
      <c r="Y60" s="537" t="str">
        <f>IFERROR(IF(OR(LEFT(P60,5)="Error ▲",LEFT(O60,5)="Error ▲"),"Check Data ⚠",IF(F60&lt;S60,'G-7 Rivers Data'!$R$3,INDEX('G-7 Rivers Data'!$U$5:$Y$9,MATCH(G60,'G-7 Rivers Data'!$T$5:$T$9,0),MATCH(T60,'G-7 Rivers Data'!$U$4:$Y$4,0)))),"")</f>
        <v/>
      </c>
      <c r="Z60" s="203"/>
      <c r="AA60" s="203"/>
      <c r="AB60" s="534" t="str">
        <f t="shared" si="1"/>
        <v/>
      </c>
      <c r="AC60" s="521" t="str">
        <f t="shared" si="2"/>
        <v/>
      </c>
      <c r="AD60" s="564" t="str">
        <f>IFERROR(IF(AC60="Check Data ⚠","Check Data ⚠",VLOOKUP(AC60,'G-4 Temporal multipliers'!$A$4:$C$37,3,FALSE)),"")</f>
        <v/>
      </c>
      <c r="AE60" s="537" t="str">
        <f>IF(N60="","",VLOOKUP(N60,'G-7 Rivers Data'!$B$4:$G$8,5,FALSE))</f>
        <v/>
      </c>
      <c r="AF60" s="520" t="str">
        <f t="shared" si="3"/>
        <v/>
      </c>
      <c r="AG60" s="520" t="str">
        <f t="shared" si="6"/>
        <v/>
      </c>
      <c r="AH60" s="524" t="str">
        <f t="shared" si="4"/>
        <v/>
      </c>
      <c r="AI60" s="145"/>
      <c r="AJ60" s="499" t="str">
        <f>IF(AI60="","",IF(VLOOKUP(AI60,'G-7 Rivers Data'!$AA$4:$AB$7,2,FALSE)=0,"Spatial Data Missing ⚠",VLOOKUP(AI60,'G-7 Rivers Data'!$AA$4:$AB$7,2,FALSE)))</f>
        <v/>
      </c>
      <c r="AK60" s="155"/>
      <c r="AL60" s="536" t="str">
        <f>IF(AK60="","",IF(VLOOKUP(AK60,'G-7 Rivers Data'!$AD$4:$AE$8,2,FALSE)=0,"Spatial Data Missing ⚠",VLOOKUP(AK60,'G-7 Rivers Data'!$AD$4:$AE$8,2,FALSE)))</f>
        <v/>
      </c>
      <c r="AM60" s="154"/>
      <c r="AN60" s="524" t="str">
        <f>IF(AM60="","",VLOOKUP(AM60,'G-7 Rivers Data'!$AO$4:$AP$7,2,FALSE))</f>
        <v/>
      </c>
      <c r="AO60" s="545" t="str">
        <f t="shared" si="7"/>
        <v/>
      </c>
      <c r="AP60" s="149"/>
      <c r="AQ60" s="150"/>
      <c r="AX60" s="31" t="str">
        <f>IFERROR(INDEX('G-7 Rivers Data'!$AZ$3:$AZ$7,MATCH(N60,'G-7 Rivers Data'!$AY$3:$AY$7,0)),"")</f>
        <v/>
      </c>
    </row>
    <row r="61" spans="2:50" ht="13.8" x14ac:dyDescent="0.25">
      <c r="B61" s="531" t="str">
        <f>'F-1 Off Site River Baseline'!AN59</f>
        <v/>
      </c>
      <c r="C61" s="520" t="str">
        <f>IF(B61="","",VLOOKUP($B61,'F-1 Off Site River Baseline'!$C$9:$R$257,2,FALSE))</f>
        <v/>
      </c>
      <c r="D61" s="520" t="str">
        <f>IF(C61="","",VLOOKUP($B61,'F-1 Off Site River Baseline'!$C$9:$R$257,3,FALSE))</f>
        <v/>
      </c>
      <c r="E61" s="520" t="str">
        <f>IF(D61="","",VLOOKUP($B61,'F-1 Off Site River Baseline'!$C$9:$R$257,4,FALSE))</f>
        <v/>
      </c>
      <c r="F61" s="520" t="str">
        <f>IF(E61="","",VLOOKUP($B61,'F-1 Off Site River Baseline'!$C$9:$R$257,5,FALSE))</f>
        <v/>
      </c>
      <c r="G61" s="520" t="str">
        <f>IF(F61="","",VLOOKUP($B61,'F-1 Off Site River Baseline'!$C$9:$R$257,6,FALSE))</f>
        <v/>
      </c>
      <c r="H61" s="520" t="str">
        <f>IF(G61="","",VLOOKUP($B61,'F-1 Off Site River Baseline'!$C$9:$R$257,7,FALSE))</f>
        <v/>
      </c>
      <c r="I61" s="520" t="str">
        <f>IF(H61="","",VLOOKUP($B61,'F-1 Off Site River Baseline'!$C$9:$R$257,8,FALSE))</f>
        <v/>
      </c>
      <c r="J61" s="520" t="str">
        <f>IF(I61="","",VLOOKUP($B61,'F-1 Off Site River Baseline'!$C$9:$R$257,9,FALSE))</f>
        <v/>
      </c>
      <c r="K61" s="520" t="str">
        <f>IF(J61="","",VLOOKUP($B61,'F-1 Off Site River Baseline'!$C$9:$R$257,10,FALSE))</f>
        <v/>
      </c>
      <c r="L61" s="520" t="str">
        <f>IF(B61="","",VLOOKUP($B61,'C-1 Site River Baseline'!$C$9:$R$257,15,FALSE))</f>
        <v/>
      </c>
      <c r="M61" s="524" t="str">
        <f>IF(L61="","",VLOOKUP($B61,'F-1 Off Site River Baseline'!$C$9:$R$257,16,FALSE))</f>
        <v/>
      </c>
      <c r="N61" s="418" t="str">
        <f t="shared" si="0"/>
        <v/>
      </c>
      <c r="O61" s="498" t="str">
        <f t="shared" si="5"/>
        <v/>
      </c>
      <c r="P61" s="499" t="str">
        <f>IF(C61="","",IF(AND(LEFT(C61,55)&lt;&gt;LEFT(N61,55),O61="High - High"),"Error - Not like for like ▲",IF(AND(F61=S61,H61&gt;U61),"Error - Can not reduce condition ▲",IF(AND(F61=S61,H61=U61,AJ61='F-1 Off Site River Baseline'!N59,'F-1 Off Site River Baseline'!P59=AL61),"Error - No enhancement ▲",IF(AND(C61&lt;&gt;N61,F61&lt;S61),"Lower Distinctiveness Habitat"&amp;" - "&amp;T61,G61&amp;" - "&amp;T61)))))</f>
        <v/>
      </c>
      <c r="Q61" s="505" t="str">
        <f>IF(N61="","",VLOOKUP(B61,'F-1 Off Site River Baseline'!$C$10:$AA$257,19,FALSE))</f>
        <v/>
      </c>
      <c r="R61" s="498" t="str">
        <f>IF(N61="","",VLOOKUP(N61,'G-7 Rivers Data'!$B$2:$G$8,2,FALSE))</f>
        <v/>
      </c>
      <c r="S61" s="499" t="str">
        <f>IFERROR(VLOOKUP(R61,'G-7 Rivers Data'!$C$4:$D$8,2,FALSE),"")</f>
        <v/>
      </c>
      <c r="T61" s="145"/>
      <c r="U61" s="499" t="str">
        <f>IFERROR(INDEX('G-7 Rivers Data'!$H$4:$L$8,MATCH(N61,'G-7 Rivers Data'!$B$4:$B$8,0),MATCH(T61,'G-7 Rivers Data'!$H$3:$L$3,0)),"")</f>
        <v/>
      </c>
      <c r="V61" s="154"/>
      <c r="W61" s="520" t="str">
        <f>IF(V61="","",IF(VLOOKUP(V61,'G-7 Rivers Data'!$AG$4:$AI$9,2,FALSE)=0,"Spatial Data Missing ⚠",VLOOKUP(V61,'G-7 Rivers Data'!$AG$4:$AI$9,2,FALSE)))</f>
        <v/>
      </c>
      <c r="X61" s="524" t="str">
        <f>IF(V61="","",IF(VLOOKUP(V61,'G-7 Rivers Data'!$AG$4:$AI$9,3,FALSE)=0,"Spatial Data Missing ⚠",VLOOKUP(V61,'G-7 Rivers Data'!$AG$4:$AI$9,3,FALSE)))</f>
        <v/>
      </c>
      <c r="Y61" s="537" t="str">
        <f>IFERROR(IF(OR(LEFT(P61,5)="Error ▲",LEFT(O61,5)="Error ▲"),"Check Data ⚠",IF(F61&lt;S61,'G-7 Rivers Data'!$R$3,INDEX('G-7 Rivers Data'!$U$5:$Y$9,MATCH(G61,'G-7 Rivers Data'!$T$5:$T$9,0),MATCH(T61,'G-7 Rivers Data'!$U$4:$Y$4,0)))),"")</f>
        <v/>
      </c>
      <c r="Z61" s="203"/>
      <c r="AA61" s="203"/>
      <c r="AB61" s="534" t="str">
        <f t="shared" si="1"/>
        <v/>
      </c>
      <c r="AC61" s="521" t="str">
        <f t="shared" si="2"/>
        <v/>
      </c>
      <c r="AD61" s="564" t="str">
        <f>IFERROR(IF(AC61="Check Data ⚠","Check Data ⚠",VLOOKUP(AC61,'G-4 Temporal multipliers'!$A$4:$C$37,3,FALSE)),"")</f>
        <v/>
      </c>
      <c r="AE61" s="537" t="str">
        <f>IF(N61="","",VLOOKUP(N61,'G-7 Rivers Data'!$B$4:$G$8,5,FALSE))</f>
        <v/>
      </c>
      <c r="AF61" s="520" t="str">
        <f t="shared" si="3"/>
        <v/>
      </c>
      <c r="AG61" s="520" t="str">
        <f t="shared" si="6"/>
        <v/>
      </c>
      <c r="AH61" s="524" t="str">
        <f t="shared" si="4"/>
        <v/>
      </c>
      <c r="AI61" s="145"/>
      <c r="AJ61" s="499" t="str">
        <f>IF(AI61="","",IF(VLOOKUP(AI61,'G-7 Rivers Data'!$AA$4:$AB$7,2,FALSE)=0,"Spatial Data Missing ⚠",VLOOKUP(AI61,'G-7 Rivers Data'!$AA$4:$AB$7,2,FALSE)))</f>
        <v/>
      </c>
      <c r="AK61" s="155"/>
      <c r="AL61" s="536" t="str">
        <f>IF(AK61="","",IF(VLOOKUP(AK61,'G-7 Rivers Data'!$AD$4:$AE$8,2,FALSE)=0,"Spatial Data Missing ⚠",VLOOKUP(AK61,'G-7 Rivers Data'!$AD$4:$AE$8,2,FALSE)))</f>
        <v/>
      </c>
      <c r="AM61" s="154"/>
      <c r="AN61" s="524" t="str">
        <f>IF(AM61="","",VLOOKUP(AM61,'G-7 Rivers Data'!$AO$4:$AP$7,2,FALSE))</f>
        <v/>
      </c>
      <c r="AO61" s="545" t="str">
        <f t="shared" si="7"/>
        <v/>
      </c>
      <c r="AP61" s="149"/>
      <c r="AQ61" s="150"/>
      <c r="AX61" s="31" t="str">
        <f>IFERROR(INDEX('G-7 Rivers Data'!$AZ$3:$AZ$7,MATCH(N61,'G-7 Rivers Data'!$AY$3:$AY$7,0)),"")</f>
        <v/>
      </c>
    </row>
    <row r="62" spans="2:50" ht="13.8" x14ac:dyDescent="0.25">
      <c r="B62" s="531" t="str">
        <f>'F-1 Off Site River Baseline'!AN60</f>
        <v/>
      </c>
      <c r="C62" s="520" t="str">
        <f>IF(B62="","",VLOOKUP($B62,'F-1 Off Site River Baseline'!$C$9:$R$257,2,FALSE))</f>
        <v/>
      </c>
      <c r="D62" s="520" t="str">
        <f>IF(C62="","",VLOOKUP($B62,'F-1 Off Site River Baseline'!$C$9:$R$257,3,FALSE))</f>
        <v/>
      </c>
      <c r="E62" s="520" t="str">
        <f>IF(D62="","",VLOOKUP($B62,'F-1 Off Site River Baseline'!$C$9:$R$257,4,FALSE))</f>
        <v/>
      </c>
      <c r="F62" s="520" t="str">
        <f>IF(E62="","",VLOOKUP($B62,'F-1 Off Site River Baseline'!$C$9:$R$257,5,FALSE))</f>
        <v/>
      </c>
      <c r="G62" s="520" t="str">
        <f>IF(F62="","",VLOOKUP($B62,'F-1 Off Site River Baseline'!$C$9:$R$257,6,FALSE))</f>
        <v/>
      </c>
      <c r="H62" s="520" t="str">
        <f>IF(G62="","",VLOOKUP($B62,'F-1 Off Site River Baseline'!$C$9:$R$257,7,FALSE))</f>
        <v/>
      </c>
      <c r="I62" s="520" t="str">
        <f>IF(H62="","",VLOOKUP($B62,'F-1 Off Site River Baseline'!$C$9:$R$257,8,FALSE))</f>
        <v/>
      </c>
      <c r="J62" s="520" t="str">
        <f>IF(I62="","",VLOOKUP($B62,'F-1 Off Site River Baseline'!$C$9:$R$257,9,FALSE))</f>
        <v/>
      </c>
      <c r="K62" s="520" t="str">
        <f>IF(J62="","",VLOOKUP($B62,'F-1 Off Site River Baseline'!$C$9:$R$257,10,FALSE))</f>
        <v/>
      </c>
      <c r="L62" s="520" t="str">
        <f>IF(B62="","",VLOOKUP($B62,'C-1 Site River Baseline'!$C$9:$R$257,15,FALSE))</f>
        <v/>
      </c>
      <c r="M62" s="524" t="str">
        <f>IF(L62="","",VLOOKUP($B62,'F-1 Off Site River Baseline'!$C$9:$R$257,16,FALSE))</f>
        <v/>
      </c>
      <c r="N62" s="418" t="str">
        <f t="shared" si="0"/>
        <v/>
      </c>
      <c r="O62" s="498" t="str">
        <f t="shared" si="5"/>
        <v/>
      </c>
      <c r="P62" s="499" t="str">
        <f>IF(C62="","",IF(AND(LEFT(C62,55)&lt;&gt;LEFT(N62,55),O62="High - High"),"Error - Not like for like ▲",IF(AND(F62=S62,H62&gt;U62),"Error - Can not reduce condition ▲",IF(AND(F62=S62,H62=U62,AJ62='F-1 Off Site River Baseline'!N60,'F-1 Off Site River Baseline'!P60=AL62),"Error - No enhancement ▲",IF(AND(C62&lt;&gt;N62,F62&lt;S62),"Lower Distinctiveness Habitat"&amp;" - "&amp;T62,G62&amp;" - "&amp;T62)))))</f>
        <v/>
      </c>
      <c r="Q62" s="505" t="str">
        <f>IF(N62="","",VLOOKUP(B62,'F-1 Off Site River Baseline'!$C$10:$AA$257,19,FALSE))</f>
        <v/>
      </c>
      <c r="R62" s="498" t="str">
        <f>IF(N62="","",VLOOKUP(N62,'G-7 Rivers Data'!$B$2:$G$8,2,FALSE))</f>
        <v/>
      </c>
      <c r="S62" s="499" t="str">
        <f>IFERROR(VLOOKUP(R62,'G-7 Rivers Data'!$C$4:$D$8,2,FALSE),"")</f>
        <v/>
      </c>
      <c r="T62" s="145"/>
      <c r="U62" s="499" t="str">
        <f>IFERROR(INDEX('G-7 Rivers Data'!$H$4:$L$8,MATCH(N62,'G-7 Rivers Data'!$B$4:$B$8,0),MATCH(T62,'G-7 Rivers Data'!$H$3:$L$3,0)),"")</f>
        <v/>
      </c>
      <c r="V62" s="154"/>
      <c r="W62" s="520" t="str">
        <f>IF(V62="","",IF(VLOOKUP(V62,'G-7 Rivers Data'!$AG$4:$AI$9,2,FALSE)=0,"Spatial Data Missing ⚠",VLOOKUP(V62,'G-7 Rivers Data'!$AG$4:$AI$9,2,FALSE)))</f>
        <v/>
      </c>
      <c r="X62" s="524" t="str">
        <f>IF(V62="","",IF(VLOOKUP(V62,'G-7 Rivers Data'!$AG$4:$AI$9,3,FALSE)=0,"Spatial Data Missing ⚠",VLOOKUP(V62,'G-7 Rivers Data'!$AG$4:$AI$9,3,FALSE)))</f>
        <v/>
      </c>
      <c r="Y62" s="537" t="str">
        <f>IFERROR(IF(OR(LEFT(P62,5)="Error ▲",LEFT(O62,5)="Error ▲"),"Check Data ⚠",IF(F62&lt;S62,'G-7 Rivers Data'!$R$3,INDEX('G-7 Rivers Data'!$U$5:$Y$9,MATCH(G62,'G-7 Rivers Data'!$T$5:$T$9,0),MATCH(T62,'G-7 Rivers Data'!$U$4:$Y$4,0)))),"")</f>
        <v/>
      </c>
      <c r="Z62" s="203"/>
      <c r="AA62" s="203"/>
      <c r="AB62" s="534" t="str">
        <f t="shared" si="1"/>
        <v/>
      </c>
      <c r="AC62" s="521" t="str">
        <f t="shared" si="2"/>
        <v/>
      </c>
      <c r="AD62" s="564" t="str">
        <f>IFERROR(IF(AC62="Check Data ⚠","Check Data ⚠",VLOOKUP(AC62,'G-4 Temporal multipliers'!$A$4:$C$37,3,FALSE)),"")</f>
        <v/>
      </c>
      <c r="AE62" s="537" t="str">
        <f>IF(N62="","",VLOOKUP(N62,'G-7 Rivers Data'!$B$4:$G$8,5,FALSE))</f>
        <v/>
      </c>
      <c r="AF62" s="520" t="str">
        <f t="shared" si="3"/>
        <v/>
      </c>
      <c r="AG62" s="520" t="str">
        <f t="shared" si="6"/>
        <v/>
      </c>
      <c r="AH62" s="524" t="str">
        <f t="shared" si="4"/>
        <v/>
      </c>
      <c r="AI62" s="145"/>
      <c r="AJ62" s="499" t="str">
        <f>IF(AI62="","",IF(VLOOKUP(AI62,'G-7 Rivers Data'!$AA$4:$AB$7,2,FALSE)=0,"Spatial Data Missing ⚠",VLOOKUP(AI62,'G-7 Rivers Data'!$AA$4:$AB$7,2,FALSE)))</f>
        <v/>
      </c>
      <c r="AK62" s="155"/>
      <c r="AL62" s="536" t="str">
        <f>IF(AK62="","",IF(VLOOKUP(AK62,'G-7 Rivers Data'!$AD$4:$AE$8,2,FALSE)=0,"Spatial Data Missing ⚠",VLOOKUP(AK62,'G-7 Rivers Data'!$AD$4:$AE$8,2,FALSE)))</f>
        <v/>
      </c>
      <c r="AM62" s="154"/>
      <c r="AN62" s="524" t="str">
        <f>IF(AM62="","",VLOOKUP(AM62,'G-7 Rivers Data'!$AO$4:$AP$7,2,FALSE))</f>
        <v/>
      </c>
      <c r="AO62" s="545" t="str">
        <f t="shared" si="7"/>
        <v/>
      </c>
      <c r="AP62" s="149"/>
      <c r="AQ62" s="150"/>
      <c r="AX62" s="31" t="str">
        <f>IFERROR(INDEX('G-7 Rivers Data'!$AZ$3:$AZ$7,MATCH(N62,'G-7 Rivers Data'!$AY$3:$AY$7,0)),"")</f>
        <v/>
      </c>
    </row>
    <row r="63" spans="2:50" ht="13.8" x14ac:dyDescent="0.25">
      <c r="B63" s="531" t="str">
        <f>'F-1 Off Site River Baseline'!AN61</f>
        <v/>
      </c>
      <c r="C63" s="520" t="str">
        <f>IF(B63="","",VLOOKUP($B63,'F-1 Off Site River Baseline'!$C$9:$R$257,2,FALSE))</f>
        <v/>
      </c>
      <c r="D63" s="520" t="str">
        <f>IF(C63="","",VLOOKUP($B63,'F-1 Off Site River Baseline'!$C$9:$R$257,3,FALSE))</f>
        <v/>
      </c>
      <c r="E63" s="520" t="str">
        <f>IF(D63="","",VLOOKUP($B63,'F-1 Off Site River Baseline'!$C$9:$R$257,4,FALSE))</f>
        <v/>
      </c>
      <c r="F63" s="520" t="str">
        <f>IF(E63="","",VLOOKUP($B63,'F-1 Off Site River Baseline'!$C$9:$R$257,5,FALSE))</f>
        <v/>
      </c>
      <c r="G63" s="520" t="str">
        <f>IF(F63="","",VLOOKUP($B63,'F-1 Off Site River Baseline'!$C$9:$R$257,6,FALSE))</f>
        <v/>
      </c>
      <c r="H63" s="520" t="str">
        <f>IF(G63="","",VLOOKUP($B63,'F-1 Off Site River Baseline'!$C$9:$R$257,7,FALSE))</f>
        <v/>
      </c>
      <c r="I63" s="520" t="str">
        <f>IF(H63="","",VLOOKUP($B63,'F-1 Off Site River Baseline'!$C$9:$R$257,8,FALSE))</f>
        <v/>
      </c>
      <c r="J63" s="520" t="str">
        <f>IF(I63="","",VLOOKUP($B63,'F-1 Off Site River Baseline'!$C$9:$R$257,9,FALSE))</f>
        <v/>
      </c>
      <c r="K63" s="520" t="str">
        <f>IF(J63="","",VLOOKUP($B63,'F-1 Off Site River Baseline'!$C$9:$R$257,10,FALSE))</f>
        <v/>
      </c>
      <c r="L63" s="520" t="str">
        <f>IF(B63="","",VLOOKUP($B63,'C-1 Site River Baseline'!$C$9:$R$257,15,FALSE))</f>
        <v/>
      </c>
      <c r="M63" s="524" t="str">
        <f>IF(L63="","",VLOOKUP($B63,'F-1 Off Site River Baseline'!$C$9:$R$257,16,FALSE))</f>
        <v/>
      </c>
      <c r="N63" s="418" t="str">
        <f t="shared" si="0"/>
        <v/>
      </c>
      <c r="O63" s="498" t="str">
        <f t="shared" si="5"/>
        <v/>
      </c>
      <c r="P63" s="499" t="str">
        <f>IF(C63="","",IF(AND(LEFT(C63,55)&lt;&gt;LEFT(N63,55),O63="High - High"),"Error - Not like for like ▲",IF(AND(F63=S63,H63&gt;U63),"Error - Can not reduce condition ▲",IF(AND(F63=S63,H63=U63,AJ63='F-1 Off Site River Baseline'!N61,'F-1 Off Site River Baseline'!P61=AL63),"Error - No enhancement ▲",IF(AND(C63&lt;&gt;N63,F63&lt;S63),"Lower Distinctiveness Habitat"&amp;" - "&amp;T63,G63&amp;" - "&amp;T63)))))</f>
        <v/>
      </c>
      <c r="Q63" s="505" t="str">
        <f>IF(N63="","",VLOOKUP(B63,'F-1 Off Site River Baseline'!$C$10:$AA$257,19,FALSE))</f>
        <v/>
      </c>
      <c r="R63" s="498" t="str">
        <f>IF(N63="","",VLOOKUP(N63,'G-7 Rivers Data'!$B$2:$G$8,2,FALSE))</f>
        <v/>
      </c>
      <c r="S63" s="499" t="str">
        <f>IFERROR(VLOOKUP(R63,'G-7 Rivers Data'!$C$4:$D$8,2,FALSE),"")</f>
        <v/>
      </c>
      <c r="T63" s="145"/>
      <c r="U63" s="499" t="str">
        <f>IFERROR(INDEX('G-7 Rivers Data'!$H$4:$L$8,MATCH(N63,'G-7 Rivers Data'!$B$4:$B$8,0),MATCH(T63,'G-7 Rivers Data'!$H$3:$L$3,0)),"")</f>
        <v/>
      </c>
      <c r="V63" s="154"/>
      <c r="W63" s="520" t="str">
        <f>IF(V63="","",IF(VLOOKUP(V63,'G-7 Rivers Data'!$AG$4:$AI$9,2,FALSE)=0,"Spatial Data Missing ⚠",VLOOKUP(V63,'G-7 Rivers Data'!$AG$4:$AI$9,2,FALSE)))</f>
        <v/>
      </c>
      <c r="X63" s="524" t="str">
        <f>IF(V63="","",IF(VLOOKUP(V63,'G-7 Rivers Data'!$AG$4:$AI$9,3,FALSE)=0,"Spatial Data Missing ⚠",VLOOKUP(V63,'G-7 Rivers Data'!$AG$4:$AI$9,3,FALSE)))</f>
        <v/>
      </c>
      <c r="Y63" s="537" t="str">
        <f>IFERROR(IF(OR(LEFT(P63,5)="Error ▲",LEFT(O63,5)="Error ▲"),"Check Data ⚠",IF(F63&lt;S63,'G-7 Rivers Data'!$R$3,INDEX('G-7 Rivers Data'!$U$5:$Y$9,MATCH(G63,'G-7 Rivers Data'!$T$5:$T$9,0),MATCH(T63,'G-7 Rivers Data'!$U$4:$Y$4,0)))),"")</f>
        <v/>
      </c>
      <c r="Z63" s="203"/>
      <c r="AA63" s="203"/>
      <c r="AB63" s="534" t="str">
        <f t="shared" si="1"/>
        <v/>
      </c>
      <c r="AC63" s="521" t="str">
        <f t="shared" si="2"/>
        <v/>
      </c>
      <c r="AD63" s="564" t="str">
        <f>IFERROR(IF(AC63="Check Data ⚠","Check Data ⚠",VLOOKUP(AC63,'G-4 Temporal multipliers'!$A$4:$C$37,3,FALSE)),"")</f>
        <v/>
      </c>
      <c r="AE63" s="537" t="str">
        <f>IF(N63="","",VLOOKUP(N63,'G-7 Rivers Data'!$B$4:$G$8,5,FALSE))</f>
        <v/>
      </c>
      <c r="AF63" s="520" t="str">
        <f t="shared" si="3"/>
        <v/>
      </c>
      <c r="AG63" s="520" t="str">
        <f t="shared" si="6"/>
        <v/>
      </c>
      <c r="AH63" s="524" t="str">
        <f t="shared" si="4"/>
        <v/>
      </c>
      <c r="AI63" s="145"/>
      <c r="AJ63" s="499" t="str">
        <f>IF(AI63="","",IF(VLOOKUP(AI63,'G-7 Rivers Data'!$AA$4:$AB$7,2,FALSE)=0,"Spatial Data Missing ⚠",VLOOKUP(AI63,'G-7 Rivers Data'!$AA$4:$AB$7,2,FALSE)))</f>
        <v/>
      </c>
      <c r="AK63" s="155"/>
      <c r="AL63" s="536" t="str">
        <f>IF(AK63="","",IF(VLOOKUP(AK63,'G-7 Rivers Data'!$AD$4:$AE$8,2,FALSE)=0,"Spatial Data Missing ⚠",VLOOKUP(AK63,'G-7 Rivers Data'!$AD$4:$AE$8,2,FALSE)))</f>
        <v/>
      </c>
      <c r="AM63" s="154"/>
      <c r="AN63" s="524" t="str">
        <f>IF(AM63="","",VLOOKUP(AM63,'G-7 Rivers Data'!$AO$4:$AP$7,2,FALSE))</f>
        <v/>
      </c>
      <c r="AO63" s="545" t="str">
        <f t="shared" si="7"/>
        <v/>
      </c>
      <c r="AP63" s="149"/>
      <c r="AQ63" s="150"/>
      <c r="AX63" s="31" t="str">
        <f>IFERROR(INDEX('G-7 Rivers Data'!$AZ$3:$AZ$7,MATCH(N63,'G-7 Rivers Data'!$AY$3:$AY$7,0)),"")</f>
        <v/>
      </c>
    </row>
    <row r="64" spans="2:50" ht="13.8" x14ac:dyDescent="0.25">
      <c r="B64" s="531" t="str">
        <f>'F-1 Off Site River Baseline'!AN62</f>
        <v/>
      </c>
      <c r="C64" s="520" t="str">
        <f>IF(B64="","",VLOOKUP($B64,'F-1 Off Site River Baseline'!$C$9:$R$257,2,FALSE))</f>
        <v/>
      </c>
      <c r="D64" s="520" t="str">
        <f>IF(C64="","",VLOOKUP($B64,'F-1 Off Site River Baseline'!$C$9:$R$257,3,FALSE))</f>
        <v/>
      </c>
      <c r="E64" s="520" t="str">
        <f>IF(D64="","",VLOOKUP($B64,'F-1 Off Site River Baseline'!$C$9:$R$257,4,FALSE))</f>
        <v/>
      </c>
      <c r="F64" s="520" t="str">
        <f>IF(E64="","",VLOOKUP($B64,'F-1 Off Site River Baseline'!$C$9:$R$257,5,FALSE))</f>
        <v/>
      </c>
      <c r="G64" s="520" t="str">
        <f>IF(F64="","",VLOOKUP($B64,'F-1 Off Site River Baseline'!$C$9:$R$257,6,FALSE))</f>
        <v/>
      </c>
      <c r="H64" s="520" t="str">
        <f>IF(G64="","",VLOOKUP($B64,'F-1 Off Site River Baseline'!$C$9:$R$257,7,FALSE))</f>
        <v/>
      </c>
      <c r="I64" s="520" t="str">
        <f>IF(H64="","",VLOOKUP($B64,'F-1 Off Site River Baseline'!$C$9:$R$257,8,FALSE))</f>
        <v/>
      </c>
      <c r="J64" s="520" t="str">
        <f>IF(I64="","",VLOOKUP($B64,'F-1 Off Site River Baseline'!$C$9:$R$257,9,FALSE))</f>
        <v/>
      </c>
      <c r="K64" s="520" t="str">
        <f>IF(J64="","",VLOOKUP($B64,'F-1 Off Site River Baseline'!$C$9:$R$257,10,FALSE))</f>
        <v/>
      </c>
      <c r="L64" s="520" t="str">
        <f>IF(B64="","",VLOOKUP($B64,'C-1 Site River Baseline'!$C$9:$R$257,15,FALSE))</f>
        <v/>
      </c>
      <c r="M64" s="524" t="str">
        <f>IF(L64="","",VLOOKUP($B64,'F-1 Off Site River Baseline'!$C$9:$R$257,16,FALSE))</f>
        <v/>
      </c>
      <c r="N64" s="418" t="str">
        <f t="shared" si="0"/>
        <v/>
      </c>
      <c r="O64" s="498" t="str">
        <f t="shared" si="5"/>
        <v/>
      </c>
      <c r="P64" s="499" t="str">
        <f>IF(C64="","",IF(AND(LEFT(C64,55)&lt;&gt;LEFT(N64,55),O64="High - High"),"Error - Not like for like ▲",IF(AND(F64=S64,H64&gt;U64),"Error - Can not reduce condition ▲",IF(AND(F64=S64,H64=U64,AJ64='F-1 Off Site River Baseline'!N62,'F-1 Off Site River Baseline'!P62=AL64),"Error - No enhancement ▲",IF(AND(C64&lt;&gt;N64,F64&lt;S64),"Lower Distinctiveness Habitat"&amp;" - "&amp;T64,G64&amp;" - "&amp;T64)))))</f>
        <v/>
      </c>
      <c r="Q64" s="505" t="str">
        <f>IF(N64="","",VLOOKUP(B64,'F-1 Off Site River Baseline'!$C$10:$AA$257,19,FALSE))</f>
        <v/>
      </c>
      <c r="R64" s="498" t="str">
        <f>IF(N64="","",VLOOKUP(N64,'G-7 Rivers Data'!$B$2:$G$8,2,FALSE))</f>
        <v/>
      </c>
      <c r="S64" s="499" t="str">
        <f>IFERROR(VLOOKUP(R64,'G-7 Rivers Data'!$C$4:$D$8,2,FALSE),"")</f>
        <v/>
      </c>
      <c r="T64" s="145"/>
      <c r="U64" s="499" t="str">
        <f>IFERROR(INDEX('G-7 Rivers Data'!$H$4:$L$8,MATCH(N64,'G-7 Rivers Data'!$B$4:$B$8,0),MATCH(T64,'G-7 Rivers Data'!$H$3:$L$3,0)),"")</f>
        <v/>
      </c>
      <c r="V64" s="154"/>
      <c r="W64" s="520" t="str">
        <f>IF(V64="","",IF(VLOOKUP(V64,'G-7 Rivers Data'!$AG$4:$AI$9,2,FALSE)=0,"Spatial Data Missing ⚠",VLOOKUP(V64,'G-7 Rivers Data'!$AG$4:$AI$9,2,FALSE)))</f>
        <v/>
      </c>
      <c r="X64" s="524" t="str">
        <f>IF(V64="","",IF(VLOOKUP(V64,'G-7 Rivers Data'!$AG$4:$AI$9,3,FALSE)=0,"Spatial Data Missing ⚠",VLOOKUP(V64,'G-7 Rivers Data'!$AG$4:$AI$9,3,FALSE)))</f>
        <v/>
      </c>
      <c r="Y64" s="537" t="str">
        <f>IFERROR(IF(OR(LEFT(P64,5)="Error ▲",LEFT(O64,5)="Error ▲"),"Check Data ⚠",IF(F64&lt;S64,'G-7 Rivers Data'!$R$3,INDEX('G-7 Rivers Data'!$U$5:$Y$9,MATCH(G64,'G-7 Rivers Data'!$T$5:$T$9,0),MATCH(T64,'G-7 Rivers Data'!$U$4:$Y$4,0)))),"")</f>
        <v/>
      </c>
      <c r="Z64" s="203"/>
      <c r="AA64" s="203"/>
      <c r="AB64" s="534" t="str">
        <f t="shared" si="1"/>
        <v/>
      </c>
      <c r="AC64" s="521" t="str">
        <f t="shared" si="2"/>
        <v/>
      </c>
      <c r="AD64" s="564" t="str">
        <f>IFERROR(IF(AC64="Check Data ⚠","Check Data ⚠",VLOOKUP(AC64,'G-4 Temporal multipliers'!$A$4:$C$37,3,FALSE)),"")</f>
        <v/>
      </c>
      <c r="AE64" s="537" t="str">
        <f>IF(N64="","",VLOOKUP(N64,'G-7 Rivers Data'!$B$4:$G$8,5,FALSE))</f>
        <v/>
      </c>
      <c r="AF64" s="520" t="str">
        <f t="shared" si="3"/>
        <v/>
      </c>
      <c r="AG64" s="520" t="str">
        <f t="shared" si="6"/>
        <v/>
      </c>
      <c r="AH64" s="524" t="str">
        <f t="shared" si="4"/>
        <v/>
      </c>
      <c r="AI64" s="145"/>
      <c r="AJ64" s="499" t="str">
        <f>IF(AI64="","",IF(VLOOKUP(AI64,'G-7 Rivers Data'!$AA$4:$AB$7,2,FALSE)=0,"Spatial Data Missing ⚠",VLOOKUP(AI64,'G-7 Rivers Data'!$AA$4:$AB$7,2,FALSE)))</f>
        <v/>
      </c>
      <c r="AK64" s="155"/>
      <c r="AL64" s="536" t="str">
        <f>IF(AK64="","",IF(VLOOKUP(AK64,'G-7 Rivers Data'!$AD$4:$AE$8,2,FALSE)=0,"Spatial Data Missing ⚠",VLOOKUP(AK64,'G-7 Rivers Data'!$AD$4:$AE$8,2,FALSE)))</f>
        <v/>
      </c>
      <c r="AM64" s="154"/>
      <c r="AN64" s="524" t="str">
        <f>IF(AM64="","",VLOOKUP(AM64,'G-7 Rivers Data'!$AO$4:$AP$7,2,FALSE))</f>
        <v/>
      </c>
      <c r="AO64" s="545" t="str">
        <f t="shared" si="7"/>
        <v/>
      </c>
      <c r="AP64" s="149"/>
      <c r="AQ64" s="150"/>
      <c r="AX64" s="31" t="str">
        <f>IFERROR(INDEX('G-7 Rivers Data'!$AZ$3:$AZ$7,MATCH(N64,'G-7 Rivers Data'!$AY$3:$AY$7,0)),"")</f>
        <v/>
      </c>
    </row>
    <row r="65" spans="2:50" ht="13.8" x14ac:dyDescent="0.25">
      <c r="B65" s="531" t="str">
        <f>'F-1 Off Site River Baseline'!AN63</f>
        <v/>
      </c>
      <c r="C65" s="520" t="str">
        <f>IF(B65="","",VLOOKUP($B65,'F-1 Off Site River Baseline'!$C$9:$R$257,2,FALSE))</f>
        <v/>
      </c>
      <c r="D65" s="520" t="str">
        <f>IF(C65="","",VLOOKUP($B65,'F-1 Off Site River Baseline'!$C$9:$R$257,3,FALSE))</f>
        <v/>
      </c>
      <c r="E65" s="520" t="str">
        <f>IF(D65="","",VLOOKUP($B65,'F-1 Off Site River Baseline'!$C$9:$R$257,4,FALSE))</f>
        <v/>
      </c>
      <c r="F65" s="520" t="str">
        <f>IF(E65="","",VLOOKUP($B65,'F-1 Off Site River Baseline'!$C$9:$R$257,5,FALSE))</f>
        <v/>
      </c>
      <c r="G65" s="520" t="str">
        <f>IF(F65="","",VLOOKUP($B65,'F-1 Off Site River Baseline'!$C$9:$R$257,6,FALSE))</f>
        <v/>
      </c>
      <c r="H65" s="520" t="str">
        <f>IF(G65="","",VLOOKUP($B65,'F-1 Off Site River Baseline'!$C$9:$R$257,7,FALSE))</f>
        <v/>
      </c>
      <c r="I65" s="520" t="str">
        <f>IF(H65="","",VLOOKUP($B65,'F-1 Off Site River Baseline'!$C$9:$R$257,8,FALSE))</f>
        <v/>
      </c>
      <c r="J65" s="520" t="str">
        <f>IF(I65="","",VLOOKUP($B65,'F-1 Off Site River Baseline'!$C$9:$R$257,9,FALSE))</f>
        <v/>
      </c>
      <c r="K65" s="520" t="str">
        <f>IF(J65="","",VLOOKUP($B65,'F-1 Off Site River Baseline'!$C$9:$R$257,10,FALSE))</f>
        <v/>
      </c>
      <c r="L65" s="520" t="str">
        <f>IF(B65="","",VLOOKUP($B65,'C-1 Site River Baseline'!$C$9:$R$257,15,FALSE))</f>
        <v/>
      </c>
      <c r="M65" s="524" t="str">
        <f>IF(L65="","",VLOOKUP($B65,'F-1 Off Site River Baseline'!$C$9:$R$257,16,FALSE))</f>
        <v/>
      </c>
      <c r="N65" s="418" t="str">
        <f t="shared" si="0"/>
        <v/>
      </c>
      <c r="O65" s="498" t="str">
        <f t="shared" si="5"/>
        <v/>
      </c>
      <c r="P65" s="499" t="str">
        <f>IF(C65="","",IF(AND(LEFT(C65,55)&lt;&gt;LEFT(N65,55),O65="High - High"),"Error - Not like for like ▲",IF(AND(F65=S65,H65&gt;U65),"Error - Can not reduce condition ▲",IF(AND(F65=S65,H65=U65,AJ65='F-1 Off Site River Baseline'!N63,'F-1 Off Site River Baseline'!P63=AL65),"Error - No enhancement ▲",IF(AND(C65&lt;&gt;N65,F65&lt;S65),"Lower Distinctiveness Habitat"&amp;" - "&amp;T65,G65&amp;" - "&amp;T65)))))</f>
        <v/>
      </c>
      <c r="Q65" s="505" t="str">
        <f>IF(N65="","",VLOOKUP(B65,'F-1 Off Site River Baseline'!$C$10:$AA$257,19,FALSE))</f>
        <v/>
      </c>
      <c r="R65" s="498" t="str">
        <f>IF(N65="","",VLOOKUP(N65,'G-7 Rivers Data'!$B$2:$G$8,2,FALSE))</f>
        <v/>
      </c>
      <c r="S65" s="499" t="str">
        <f>IFERROR(VLOOKUP(R65,'G-7 Rivers Data'!$C$4:$D$8,2,FALSE),"")</f>
        <v/>
      </c>
      <c r="T65" s="145"/>
      <c r="U65" s="499" t="str">
        <f>IFERROR(INDEX('G-7 Rivers Data'!$H$4:$L$8,MATCH(N65,'G-7 Rivers Data'!$B$4:$B$8,0),MATCH(T65,'G-7 Rivers Data'!$H$3:$L$3,0)),"")</f>
        <v/>
      </c>
      <c r="V65" s="154"/>
      <c r="W65" s="520" t="str">
        <f>IF(V65="","",IF(VLOOKUP(V65,'G-7 Rivers Data'!$AG$4:$AI$9,2,FALSE)=0,"Spatial Data Missing ⚠",VLOOKUP(V65,'G-7 Rivers Data'!$AG$4:$AI$9,2,FALSE)))</f>
        <v/>
      </c>
      <c r="X65" s="524" t="str">
        <f>IF(V65="","",IF(VLOOKUP(V65,'G-7 Rivers Data'!$AG$4:$AI$9,3,FALSE)=0,"Spatial Data Missing ⚠",VLOOKUP(V65,'G-7 Rivers Data'!$AG$4:$AI$9,3,FALSE)))</f>
        <v/>
      </c>
      <c r="Y65" s="537" t="str">
        <f>IFERROR(IF(OR(LEFT(P65,5)="Error ▲",LEFT(O65,5)="Error ▲"),"Check Data ⚠",IF(F65&lt;S65,'G-7 Rivers Data'!$R$3,INDEX('G-7 Rivers Data'!$U$5:$Y$9,MATCH(G65,'G-7 Rivers Data'!$T$5:$T$9,0),MATCH(T65,'G-7 Rivers Data'!$U$4:$Y$4,0)))),"")</f>
        <v/>
      </c>
      <c r="Z65" s="203"/>
      <c r="AA65" s="203"/>
      <c r="AB65" s="534" t="str">
        <f t="shared" si="1"/>
        <v/>
      </c>
      <c r="AC65" s="521" t="str">
        <f t="shared" si="2"/>
        <v/>
      </c>
      <c r="AD65" s="564" t="str">
        <f>IFERROR(IF(AC65="Check Data ⚠","Check Data ⚠",VLOOKUP(AC65,'G-4 Temporal multipliers'!$A$4:$C$37,3,FALSE)),"")</f>
        <v/>
      </c>
      <c r="AE65" s="537" t="str">
        <f>IF(N65="","",VLOOKUP(N65,'G-7 Rivers Data'!$B$4:$G$8,5,FALSE))</f>
        <v/>
      </c>
      <c r="AF65" s="520" t="str">
        <f t="shared" si="3"/>
        <v/>
      </c>
      <c r="AG65" s="520" t="str">
        <f t="shared" si="6"/>
        <v/>
      </c>
      <c r="AH65" s="524" t="str">
        <f t="shared" si="4"/>
        <v/>
      </c>
      <c r="AI65" s="145"/>
      <c r="AJ65" s="499" t="str">
        <f>IF(AI65="","",IF(VLOOKUP(AI65,'G-7 Rivers Data'!$AA$4:$AB$7,2,FALSE)=0,"Spatial Data Missing ⚠",VLOOKUP(AI65,'G-7 Rivers Data'!$AA$4:$AB$7,2,FALSE)))</f>
        <v/>
      </c>
      <c r="AK65" s="155"/>
      <c r="AL65" s="536" t="str">
        <f>IF(AK65="","",IF(VLOOKUP(AK65,'G-7 Rivers Data'!$AD$4:$AE$8,2,FALSE)=0,"Spatial Data Missing ⚠",VLOOKUP(AK65,'G-7 Rivers Data'!$AD$4:$AE$8,2,FALSE)))</f>
        <v/>
      </c>
      <c r="AM65" s="154"/>
      <c r="AN65" s="524" t="str">
        <f>IF(AM65="","",VLOOKUP(AM65,'G-7 Rivers Data'!$AO$4:$AP$7,2,FALSE))</f>
        <v/>
      </c>
      <c r="AO65" s="545" t="str">
        <f t="shared" si="7"/>
        <v/>
      </c>
      <c r="AP65" s="149"/>
      <c r="AQ65" s="150"/>
      <c r="AX65" s="31" t="str">
        <f>IFERROR(INDEX('G-7 Rivers Data'!$AZ$3:$AZ$7,MATCH(N65,'G-7 Rivers Data'!$AY$3:$AY$7,0)),"")</f>
        <v/>
      </c>
    </row>
    <row r="66" spans="2:50" ht="13.8" x14ac:dyDescent="0.25">
      <c r="B66" s="531" t="str">
        <f>'F-1 Off Site River Baseline'!AN64</f>
        <v/>
      </c>
      <c r="C66" s="520" t="str">
        <f>IF(B66="","",VLOOKUP($B66,'F-1 Off Site River Baseline'!$C$9:$R$257,2,FALSE))</f>
        <v/>
      </c>
      <c r="D66" s="520" t="str">
        <f>IF(C66="","",VLOOKUP($B66,'F-1 Off Site River Baseline'!$C$9:$R$257,3,FALSE))</f>
        <v/>
      </c>
      <c r="E66" s="520" t="str">
        <f>IF(D66="","",VLOOKUP($B66,'F-1 Off Site River Baseline'!$C$9:$R$257,4,FALSE))</f>
        <v/>
      </c>
      <c r="F66" s="520" t="str">
        <f>IF(E66="","",VLOOKUP($B66,'F-1 Off Site River Baseline'!$C$9:$R$257,5,FALSE))</f>
        <v/>
      </c>
      <c r="G66" s="520" t="str">
        <f>IF(F66="","",VLOOKUP($B66,'F-1 Off Site River Baseline'!$C$9:$R$257,6,FALSE))</f>
        <v/>
      </c>
      <c r="H66" s="520" t="str">
        <f>IF(G66="","",VLOOKUP($B66,'F-1 Off Site River Baseline'!$C$9:$R$257,7,FALSE))</f>
        <v/>
      </c>
      <c r="I66" s="520" t="str">
        <f>IF(H66="","",VLOOKUP($B66,'F-1 Off Site River Baseline'!$C$9:$R$257,8,FALSE))</f>
        <v/>
      </c>
      <c r="J66" s="520" t="str">
        <f>IF(I66="","",VLOOKUP($B66,'F-1 Off Site River Baseline'!$C$9:$R$257,9,FALSE))</f>
        <v/>
      </c>
      <c r="K66" s="520" t="str">
        <f>IF(J66="","",VLOOKUP($B66,'F-1 Off Site River Baseline'!$C$9:$R$257,10,FALSE))</f>
        <v/>
      </c>
      <c r="L66" s="520" t="str">
        <f>IF(B66="","",VLOOKUP($B66,'C-1 Site River Baseline'!$C$9:$R$257,15,FALSE))</f>
        <v/>
      </c>
      <c r="M66" s="524" t="str">
        <f>IF(L66="","",VLOOKUP($B66,'F-1 Off Site River Baseline'!$C$9:$R$257,16,FALSE))</f>
        <v/>
      </c>
      <c r="N66" s="418" t="str">
        <f t="shared" si="0"/>
        <v/>
      </c>
      <c r="O66" s="498" t="str">
        <f t="shared" si="5"/>
        <v/>
      </c>
      <c r="P66" s="499" t="str">
        <f>IF(C66="","",IF(AND(LEFT(C66,55)&lt;&gt;LEFT(N66,55),O66="High - High"),"Error - Not like for like ▲",IF(AND(F66=S66,H66&gt;U66),"Error - Can not reduce condition ▲",IF(AND(F66=S66,H66=U66,AJ66='F-1 Off Site River Baseline'!N64,'F-1 Off Site River Baseline'!P64=AL66),"Error - No enhancement ▲",IF(AND(C66&lt;&gt;N66,F66&lt;S66),"Lower Distinctiveness Habitat"&amp;" - "&amp;T66,G66&amp;" - "&amp;T66)))))</f>
        <v/>
      </c>
      <c r="Q66" s="505" t="str">
        <f>IF(N66="","",VLOOKUP(B66,'F-1 Off Site River Baseline'!$C$10:$AA$257,19,FALSE))</f>
        <v/>
      </c>
      <c r="R66" s="498" t="str">
        <f>IF(N66="","",VLOOKUP(N66,'G-7 Rivers Data'!$B$2:$G$8,2,FALSE))</f>
        <v/>
      </c>
      <c r="S66" s="499" t="str">
        <f>IFERROR(VLOOKUP(R66,'G-7 Rivers Data'!$C$4:$D$8,2,FALSE),"")</f>
        <v/>
      </c>
      <c r="T66" s="145"/>
      <c r="U66" s="499" t="str">
        <f>IFERROR(INDEX('G-7 Rivers Data'!$H$4:$L$8,MATCH(N66,'G-7 Rivers Data'!$B$4:$B$8,0),MATCH(T66,'G-7 Rivers Data'!$H$3:$L$3,0)),"")</f>
        <v/>
      </c>
      <c r="V66" s="154"/>
      <c r="W66" s="520" t="str">
        <f>IF(V66="","",IF(VLOOKUP(V66,'G-7 Rivers Data'!$AG$4:$AI$9,2,FALSE)=0,"Spatial Data Missing ⚠",VLOOKUP(V66,'G-7 Rivers Data'!$AG$4:$AI$9,2,FALSE)))</f>
        <v/>
      </c>
      <c r="X66" s="524" t="str">
        <f>IF(V66="","",IF(VLOOKUP(V66,'G-7 Rivers Data'!$AG$4:$AI$9,3,FALSE)=0,"Spatial Data Missing ⚠",VLOOKUP(V66,'G-7 Rivers Data'!$AG$4:$AI$9,3,FALSE)))</f>
        <v/>
      </c>
      <c r="Y66" s="537" t="str">
        <f>IFERROR(IF(OR(LEFT(P66,5)="Error ▲",LEFT(O66,5)="Error ▲"),"Check Data ⚠",IF(F66&lt;S66,'G-7 Rivers Data'!$R$3,INDEX('G-7 Rivers Data'!$U$5:$Y$9,MATCH(G66,'G-7 Rivers Data'!$T$5:$T$9,0),MATCH(T66,'G-7 Rivers Data'!$U$4:$Y$4,0)))),"")</f>
        <v/>
      </c>
      <c r="Z66" s="203"/>
      <c r="AA66" s="203"/>
      <c r="AB66" s="534" t="str">
        <f t="shared" si="1"/>
        <v/>
      </c>
      <c r="AC66" s="521" t="str">
        <f t="shared" si="2"/>
        <v/>
      </c>
      <c r="AD66" s="564" t="str">
        <f>IFERROR(IF(AC66="Check Data ⚠","Check Data ⚠",VLOOKUP(AC66,'G-4 Temporal multipliers'!$A$4:$C$37,3,FALSE)),"")</f>
        <v/>
      </c>
      <c r="AE66" s="537" t="str">
        <f>IF(N66="","",VLOOKUP(N66,'G-7 Rivers Data'!$B$4:$G$8,5,FALSE))</f>
        <v/>
      </c>
      <c r="AF66" s="520" t="str">
        <f t="shared" si="3"/>
        <v/>
      </c>
      <c r="AG66" s="520" t="str">
        <f t="shared" si="6"/>
        <v/>
      </c>
      <c r="AH66" s="524" t="str">
        <f t="shared" si="4"/>
        <v/>
      </c>
      <c r="AI66" s="145"/>
      <c r="AJ66" s="499" t="str">
        <f>IF(AI66="","",IF(VLOOKUP(AI66,'G-7 Rivers Data'!$AA$4:$AB$7,2,FALSE)=0,"Spatial Data Missing ⚠",VLOOKUP(AI66,'G-7 Rivers Data'!$AA$4:$AB$7,2,FALSE)))</f>
        <v/>
      </c>
      <c r="AK66" s="155"/>
      <c r="AL66" s="536" t="str">
        <f>IF(AK66="","",IF(VLOOKUP(AK66,'G-7 Rivers Data'!$AD$4:$AE$8,2,FALSE)=0,"Spatial Data Missing ⚠",VLOOKUP(AK66,'G-7 Rivers Data'!$AD$4:$AE$8,2,FALSE)))</f>
        <v/>
      </c>
      <c r="AM66" s="154"/>
      <c r="AN66" s="524" t="str">
        <f>IF(AM66="","",VLOOKUP(AM66,'G-7 Rivers Data'!$AO$4:$AP$7,2,FALSE))</f>
        <v/>
      </c>
      <c r="AO66" s="545" t="str">
        <f t="shared" si="7"/>
        <v/>
      </c>
      <c r="AP66" s="149"/>
      <c r="AQ66" s="150"/>
      <c r="AX66" s="31" t="str">
        <f>IFERROR(INDEX('G-7 Rivers Data'!$AZ$3:$AZ$7,MATCH(N66,'G-7 Rivers Data'!$AY$3:$AY$7,0)),"")</f>
        <v/>
      </c>
    </row>
    <row r="67" spans="2:50" ht="13.8" x14ac:dyDescent="0.25">
      <c r="B67" s="531" t="str">
        <f>'F-1 Off Site River Baseline'!AN65</f>
        <v/>
      </c>
      <c r="C67" s="520" t="str">
        <f>IF(B67="","",VLOOKUP($B67,'F-1 Off Site River Baseline'!$C$9:$R$257,2,FALSE))</f>
        <v/>
      </c>
      <c r="D67" s="520" t="str">
        <f>IF(C67="","",VLOOKUP($B67,'F-1 Off Site River Baseline'!$C$9:$R$257,3,FALSE))</f>
        <v/>
      </c>
      <c r="E67" s="520" t="str">
        <f>IF(D67="","",VLOOKUP($B67,'F-1 Off Site River Baseline'!$C$9:$R$257,4,FALSE))</f>
        <v/>
      </c>
      <c r="F67" s="520" t="str">
        <f>IF(E67="","",VLOOKUP($B67,'F-1 Off Site River Baseline'!$C$9:$R$257,5,FALSE))</f>
        <v/>
      </c>
      <c r="G67" s="520" t="str">
        <f>IF(F67="","",VLOOKUP($B67,'F-1 Off Site River Baseline'!$C$9:$R$257,6,FALSE))</f>
        <v/>
      </c>
      <c r="H67" s="520" t="str">
        <f>IF(G67="","",VLOOKUP($B67,'F-1 Off Site River Baseline'!$C$9:$R$257,7,FALSE))</f>
        <v/>
      </c>
      <c r="I67" s="520" t="str">
        <f>IF(H67="","",VLOOKUP($B67,'F-1 Off Site River Baseline'!$C$9:$R$257,8,FALSE))</f>
        <v/>
      </c>
      <c r="J67" s="520" t="str">
        <f>IF(I67="","",VLOOKUP($B67,'F-1 Off Site River Baseline'!$C$9:$R$257,9,FALSE))</f>
        <v/>
      </c>
      <c r="K67" s="520" t="str">
        <f>IF(J67="","",VLOOKUP($B67,'F-1 Off Site River Baseline'!$C$9:$R$257,10,FALSE))</f>
        <v/>
      </c>
      <c r="L67" s="520" t="str">
        <f>IF(B67="","",VLOOKUP($B67,'C-1 Site River Baseline'!$C$9:$R$257,15,FALSE))</f>
        <v/>
      </c>
      <c r="M67" s="524" t="str">
        <f>IF(L67="","",VLOOKUP($B67,'F-1 Off Site River Baseline'!$C$9:$R$257,16,FALSE))</f>
        <v/>
      </c>
      <c r="N67" s="418" t="str">
        <f t="shared" si="0"/>
        <v/>
      </c>
      <c r="O67" s="498" t="str">
        <f t="shared" si="5"/>
        <v/>
      </c>
      <c r="P67" s="499" t="str">
        <f>IF(C67="","",IF(AND(LEFT(C67,55)&lt;&gt;LEFT(N67,55),O67="High - High"),"Error - Not like for like ▲",IF(AND(F67=S67,H67&gt;U67),"Error - Can not reduce condition ▲",IF(AND(F67=S67,H67=U67,AJ67='F-1 Off Site River Baseline'!N65,'F-1 Off Site River Baseline'!P65=AL67),"Error - No enhancement ▲",IF(AND(C67&lt;&gt;N67,F67&lt;S67),"Lower Distinctiveness Habitat"&amp;" - "&amp;T67,G67&amp;" - "&amp;T67)))))</f>
        <v/>
      </c>
      <c r="Q67" s="505" t="str">
        <f>IF(N67="","",VLOOKUP(B67,'F-1 Off Site River Baseline'!$C$10:$AA$257,19,FALSE))</f>
        <v/>
      </c>
      <c r="R67" s="498" t="str">
        <f>IF(N67="","",VLOOKUP(N67,'G-7 Rivers Data'!$B$2:$G$8,2,FALSE))</f>
        <v/>
      </c>
      <c r="S67" s="499" t="str">
        <f>IFERROR(VLOOKUP(R67,'G-7 Rivers Data'!$C$4:$D$8,2,FALSE),"")</f>
        <v/>
      </c>
      <c r="T67" s="145"/>
      <c r="U67" s="499" t="str">
        <f>IFERROR(INDEX('G-7 Rivers Data'!$H$4:$L$8,MATCH(N67,'G-7 Rivers Data'!$B$4:$B$8,0),MATCH(T67,'G-7 Rivers Data'!$H$3:$L$3,0)),"")</f>
        <v/>
      </c>
      <c r="V67" s="154"/>
      <c r="W67" s="520" t="str">
        <f>IF(V67="","",IF(VLOOKUP(V67,'G-7 Rivers Data'!$AG$4:$AI$9,2,FALSE)=0,"Spatial Data Missing ⚠",VLOOKUP(V67,'G-7 Rivers Data'!$AG$4:$AI$9,2,FALSE)))</f>
        <v/>
      </c>
      <c r="X67" s="524" t="str">
        <f>IF(V67="","",IF(VLOOKUP(V67,'G-7 Rivers Data'!$AG$4:$AI$9,3,FALSE)=0,"Spatial Data Missing ⚠",VLOOKUP(V67,'G-7 Rivers Data'!$AG$4:$AI$9,3,FALSE)))</f>
        <v/>
      </c>
      <c r="Y67" s="537" t="str">
        <f>IFERROR(IF(OR(LEFT(P67,5)="Error ▲",LEFT(O67,5)="Error ▲"),"Check Data ⚠",IF(F67&lt;S67,'G-7 Rivers Data'!$R$3,INDEX('G-7 Rivers Data'!$U$5:$Y$9,MATCH(G67,'G-7 Rivers Data'!$T$5:$T$9,0),MATCH(T67,'G-7 Rivers Data'!$U$4:$Y$4,0)))),"")</f>
        <v/>
      </c>
      <c r="Z67" s="203"/>
      <c r="AA67" s="203"/>
      <c r="AB67" s="534" t="str">
        <f t="shared" si="1"/>
        <v/>
      </c>
      <c r="AC67" s="521" t="str">
        <f t="shared" si="2"/>
        <v/>
      </c>
      <c r="AD67" s="564" t="str">
        <f>IFERROR(IF(AC67="Check Data ⚠","Check Data ⚠",VLOOKUP(AC67,'G-4 Temporal multipliers'!$A$4:$C$37,3,FALSE)),"")</f>
        <v/>
      </c>
      <c r="AE67" s="537" t="str">
        <f>IF(N67="","",VLOOKUP(N67,'G-7 Rivers Data'!$B$4:$G$8,5,FALSE))</f>
        <v/>
      </c>
      <c r="AF67" s="520" t="str">
        <f t="shared" si="3"/>
        <v/>
      </c>
      <c r="AG67" s="520" t="str">
        <f t="shared" si="6"/>
        <v/>
      </c>
      <c r="AH67" s="524" t="str">
        <f t="shared" si="4"/>
        <v/>
      </c>
      <c r="AI67" s="145"/>
      <c r="AJ67" s="499" t="str">
        <f>IF(AI67="","",IF(VLOOKUP(AI67,'G-7 Rivers Data'!$AA$4:$AB$7,2,FALSE)=0,"Spatial Data Missing ⚠",VLOOKUP(AI67,'G-7 Rivers Data'!$AA$4:$AB$7,2,FALSE)))</f>
        <v/>
      </c>
      <c r="AK67" s="155"/>
      <c r="AL67" s="536" t="str">
        <f>IF(AK67="","",IF(VLOOKUP(AK67,'G-7 Rivers Data'!$AD$4:$AE$8,2,FALSE)=0,"Spatial Data Missing ⚠",VLOOKUP(AK67,'G-7 Rivers Data'!$AD$4:$AE$8,2,FALSE)))</f>
        <v/>
      </c>
      <c r="AM67" s="154"/>
      <c r="AN67" s="524" t="str">
        <f>IF(AM67="","",VLOOKUP(AM67,'G-7 Rivers Data'!$AO$4:$AP$7,2,FALSE))</f>
        <v/>
      </c>
      <c r="AO67" s="545" t="str">
        <f t="shared" si="7"/>
        <v/>
      </c>
      <c r="AP67" s="149"/>
      <c r="AQ67" s="150"/>
      <c r="AX67" s="31" t="str">
        <f>IFERROR(INDEX('G-7 Rivers Data'!$AZ$3:$AZ$7,MATCH(N67,'G-7 Rivers Data'!$AY$3:$AY$7,0)),"")</f>
        <v/>
      </c>
    </row>
    <row r="68" spans="2:50" ht="13.8" x14ac:dyDescent="0.25">
      <c r="B68" s="531" t="str">
        <f>'F-1 Off Site River Baseline'!AN66</f>
        <v/>
      </c>
      <c r="C68" s="520" t="str">
        <f>IF(B68="","",VLOOKUP($B68,'F-1 Off Site River Baseline'!$C$9:$R$257,2,FALSE))</f>
        <v/>
      </c>
      <c r="D68" s="520" t="str">
        <f>IF(C68="","",VLOOKUP($B68,'F-1 Off Site River Baseline'!$C$9:$R$257,3,FALSE))</f>
        <v/>
      </c>
      <c r="E68" s="520" t="str">
        <f>IF(D68="","",VLOOKUP($B68,'F-1 Off Site River Baseline'!$C$9:$R$257,4,FALSE))</f>
        <v/>
      </c>
      <c r="F68" s="520" t="str">
        <f>IF(E68="","",VLOOKUP($B68,'F-1 Off Site River Baseline'!$C$9:$R$257,5,FALSE))</f>
        <v/>
      </c>
      <c r="G68" s="520" t="str">
        <f>IF(F68="","",VLOOKUP($B68,'F-1 Off Site River Baseline'!$C$9:$R$257,6,FALSE))</f>
        <v/>
      </c>
      <c r="H68" s="520" t="str">
        <f>IF(G68="","",VLOOKUP($B68,'F-1 Off Site River Baseline'!$C$9:$R$257,7,FALSE))</f>
        <v/>
      </c>
      <c r="I68" s="520" t="str">
        <f>IF(H68="","",VLOOKUP($B68,'F-1 Off Site River Baseline'!$C$9:$R$257,8,FALSE))</f>
        <v/>
      </c>
      <c r="J68" s="520" t="str">
        <f>IF(I68="","",VLOOKUP($B68,'F-1 Off Site River Baseline'!$C$9:$R$257,9,FALSE))</f>
        <v/>
      </c>
      <c r="K68" s="520" t="str">
        <f>IF(J68="","",VLOOKUP($B68,'F-1 Off Site River Baseline'!$C$9:$R$257,10,FALSE))</f>
        <v/>
      </c>
      <c r="L68" s="520" t="str">
        <f>IF(B68="","",VLOOKUP($B68,'C-1 Site River Baseline'!$C$9:$R$257,15,FALSE))</f>
        <v/>
      </c>
      <c r="M68" s="524" t="str">
        <f>IF(L68="","",VLOOKUP($B68,'F-1 Off Site River Baseline'!$C$9:$R$257,16,FALSE))</f>
        <v/>
      </c>
      <c r="N68" s="418" t="str">
        <f t="shared" si="0"/>
        <v/>
      </c>
      <c r="O68" s="498" t="str">
        <f t="shared" si="5"/>
        <v/>
      </c>
      <c r="P68" s="499" t="str">
        <f>IF(C68="","",IF(AND(LEFT(C68,55)&lt;&gt;LEFT(N68,55),O68="High - High"),"Error - Not like for like ▲",IF(AND(F68=S68,H68&gt;U68),"Error - Can not reduce condition ▲",IF(AND(F68=S68,H68=U68,AJ68='F-1 Off Site River Baseline'!N66,'F-1 Off Site River Baseline'!P66=AL68),"Error - No enhancement ▲",IF(AND(C68&lt;&gt;N68,F68&lt;S68),"Lower Distinctiveness Habitat"&amp;" - "&amp;T68,G68&amp;" - "&amp;T68)))))</f>
        <v/>
      </c>
      <c r="Q68" s="505" t="str">
        <f>IF(N68="","",VLOOKUP(B68,'F-1 Off Site River Baseline'!$C$10:$AA$257,19,FALSE))</f>
        <v/>
      </c>
      <c r="R68" s="498" t="str">
        <f>IF(N68="","",VLOOKUP(N68,'G-7 Rivers Data'!$B$2:$G$8,2,FALSE))</f>
        <v/>
      </c>
      <c r="S68" s="499" t="str">
        <f>IFERROR(VLOOKUP(R68,'G-7 Rivers Data'!$C$4:$D$8,2,FALSE),"")</f>
        <v/>
      </c>
      <c r="T68" s="145"/>
      <c r="U68" s="499" t="str">
        <f>IFERROR(INDEX('G-7 Rivers Data'!$H$4:$L$8,MATCH(N68,'G-7 Rivers Data'!$B$4:$B$8,0),MATCH(T68,'G-7 Rivers Data'!$H$3:$L$3,0)),"")</f>
        <v/>
      </c>
      <c r="V68" s="154"/>
      <c r="W68" s="520" t="str">
        <f>IF(V68="","",IF(VLOOKUP(V68,'G-7 Rivers Data'!$AG$4:$AI$9,2,FALSE)=0,"Spatial Data Missing ⚠",VLOOKUP(V68,'G-7 Rivers Data'!$AG$4:$AI$9,2,FALSE)))</f>
        <v/>
      </c>
      <c r="X68" s="524" t="str">
        <f>IF(V68="","",IF(VLOOKUP(V68,'G-7 Rivers Data'!$AG$4:$AI$9,3,FALSE)=0,"Spatial Data Missing ⚠",VLOOKUP(V68,'G-7 Rivers Data'!$AG$4:$AI$9,3,FALSE)))</f>
        <v/>
      </c>
      <c r="Y68" s="537" t="str">
        <f>IFERROR(IF(OR(LEFT(P68,5)="Error ▲",LEFT(O68,5)="Error ▲"),"Check Data ⚠",IF(F68&lt;S68,'G-7 Rivers Data'!$R$3,INDEX('G-7 Rivers Data'!$U$5:$Y$9,MATCH(G68,'G-7 Rivers Data'!$T$5:$T$9,0),MATCH(T68,'G-7 Rivers Data'!$U$4:$Y$4,0)))),"")</f>
        <v/>
      </c>
      <c r="Z68" s="203"/>
      <c r="AA68" s="203"/>
      <c r="AB68" s="534" t="str">
        <f t="shared" si="1"/>
        <v/>
      </c>
      <c r="AC68" s="521" t="str">
        <f t="shared" si="2"/>
        <v/>
      </c>
      <c r="AD68" s="564" t="str">
        <f>IFERROR(IF(AC68="Check Data ⚠","Check Data ⚠",VLOOKUP(AC68,'G-4 Temporal multipliers'!$A$4:$C$37,3,FALSE)),"")</f>
        <v/>
      </c>
      <c r="AE68" s="537" t="str">
        <f>IF(N68="","",VLOOKUP(N68,'G-7 Rivers Data'!$B$4:$G$8,5,FALSE))</f>
        <v/>
      </c>
      <c r="AF68" s="520" t="str">
        <f t="shared" si="3"/>
        <v/>
      </c>
      <c r="AG68" s="520" t="str">
        <f t="shared" si="6"/>
        <v/>
      </c>
      <c r="AH68" s="524" t="str">
        <f t="shared" si="4"/>
        <v/>
      </c>
      <c r="AI68" s="145"/>
      <c r="AJ68" s="499" t="str">
        <f>IF(AI68="","",IF(VLOOKUP(AI68,'G-7 Rivers Data'!$AA$4:$AB$7,2,FALSE)=0,"Spatial Data Missing ⚠",VLOOKUP(AI68,'G-7 Rivers Data'!$AA$4:$AB$7,2,FALSE)))</f>
        <v/>
      </c>
      <c r="AK68" s="155"/>
      <c r="AL68" s="536" t="str">
        <f>IF(AK68="","",IF(VLOOKUP(AK68,'G-7 Rivers Data'!$AD$4:$AE$8,2,FALSE)=0,"Spatial Data Missing ⚠",VLOOKUP(AK68,'G-7 Rivers Data'!$AD$4:$AE$8,2,FALSE)))</f>
        <v/>
      </c>
      <c r="AM68" s="154"/>
      <c r="AN68" s="524" t="str">
        <f>IF(AM68="","",VLOOKUP(AM68,'G-7 Rivers Data'!$AO$4:$AP$7,2,FALSE))</f>
        <v/>
      </c>
      <c r="AO68" s="545" t="str">
        <f t="shared" si="7"/>
        <v/>
      </c>
      <c r="AP68" s="149"/>
      <c r="AQ68" s="150"/>
      <c r="AX68" s="31" t="str">
        <f>IFERROR(INDEX('G-7 Rivers Data'!$AZ$3:$AZ$7,MATCH(N68,'G-7 Rivers Data'!$AY$3:$AY$7,0)),"")</f>
        <v/>
      </c>
    </row>
    <row r="69" spans="2:50" ht="13.8" x14ac:dyDescent="0.25">
      <c r="B69" s="531" t="str">
        <f>'F-1 Off Site River Baseline'!AN67</f>
        <v/>
      </c>
      <c r="C69" s="520" t="str">
        <f>IF(B69="","",VLOOKUP($B69,'F-1 Off Site River Baseline'!$C$9:$R$257,2,FALSE))</f>
        <v/>
      </c>
      <c r="D69" s="520" t="str">
        <f>IF(C69="","",VLOOKUP($B69,'F-1 Off Site River Baseline'!$C$9:$R$257,3,FALSE))</f>
        <v/>
      </c>
      <c r="E69" s="520" t="str">
        <f>IF(D69="","",VLOOKUP($B69,'F-1 Off Site River Baseline'!$C$9:$R$257,4,FALSE))</f>
        <v/>
      </c>
      <c r="F69" s="520" t="str">
        <f>IF(E69="","",VLOOKUP($B69,'F-1 Off Site River Baseline'!$C$9:$R$257,5,FALSE))</f>
        <v/>
      </c>
      <c r="G69" s="520" t="str">
        <f>IF(F69="","",VLOOKUP($B69,'F-1 Off Site River Baseline'!$C$9:$R$257,6,FALSE))</f>
        <v/>
      </c>
      <c r="H69" s="520" t="str">
        <f>IF(G69="","",VLOOKUP($B69,'F-1 Off Site River Baseline'!$C$9:$R$257,7,FALSE))</f>
        <v/>
      </c>
      <c r="I69" s="520" t="str">
        <f>IF(H69="","",VLOOKUP($B69,'F-1 Off Site River Baseline'!$C$9:$R$257,8,FALSE))</f>
        <v/>
      </c>
      <c r="J69" s="520" t="str">
        <f>IF(I69="","",VLOOKUP($B69,'F-1 Off Site River Baseline'!$C$9:$R$257,9,FALSE))</f>
        <v/>
      </c>
      <c r="K69" s="520" t="str">
        <f>IF(J69="","",VLOOKUP($B69,'F-1 Off Site River Baseline'!$C$9:$R$257,10,FALSE))</f>
        <v/>
      </c>
      <c r="L69" s="520" t="str">
        <f>IF(B69="","",VLOOKUP($B69,'C-1 Site River Baseline'!$C$9:$R$257,15,FALSE))</f>
        <v/>
      </c>
      <c r="M69" s="524" t="str">
        <f>IF(L69="","",VLOOKUP($B69,'F-1 Off Site River Baseline'!$C$9:$R$257,16,FALSE))</f>
        <v/>
      </c>
      <c r="N69" s="418" t="str">
        <f t="shared" si="0"/>
        <v/>
      </c>
      <c r="O69" s="498" t="str">
        <f t="shared" si="5"/>
        <v/>
      </c>
      <c r="P69" s="499" t="str">
        <f>IF(C69="","",IF(AND(LEFT(C69,55)&lt;&gt;LEFT(N69,55),O69="High - High"),"Error - Not like for like ▲",IF(AND(F69=S69,H69&gt;U69),"Error - Can not reduce condition ▲",IF(AND(F69=S69,H69=U69,AJ69='F-1 Off Site River Baseline'!N67,'F-1 Off Site River Baseline'!P67=AL69),"Error - No enhancement ▲",IF(AND(C69&lt;&gt;N69,F69&lt;S69),"Lower Distinctiveness Habitat"&amp;" - "&amp;T69,G69&amp;" - "&amp;T69)))))</f>
        <v/>
      </c>
      <c r="Q69" s="505" t="str">
        <f>IF(N69="","",VLOOKUP(B69,'F-1 Off Site River Baseline'!$C$10:$AA$257,19,FALSE))</f>
        <v/>
      </c>
      <c r="R69" s="498" t="str">
        <f>IF(N69="","",VLOOKUP(N69,'G-7 Rivers Data'!$B$2:$G$8,2,FALSE))</f>
        <v/>
      </c>
      <c r="S69" s="499" t="str">
        <f>IFERROR(VLOOKUP(R69,'G-7 Rivers Data'!$C$4:$D$8,2,FALSE),"")</f>
        <v/>
      </c>
      <c r="T69" s="145"/>
      <c r="U69" s="499" t="str">
        <f>IFERROR(INDEX('G-7 Rivers Data'!$H$4:$L$8,MATCH(N69,'G-7 Rivers Data'!$B$4:$B$8,0),MATCH(T69,'G-7 Rivers Data'!$H$3:$L$3,0)),"")</f>
        <v/>
      </c>
      <c r="V69" s="154"/>
      <c r="W69" s="520" t="str">
        <f>IF(V69="","",IF(VLOOKUP(V69,'G-7 Rivers Data'!$AG$4:$AI$9,2,FALSE)=0,"Spatial Data Missing ⚠",VLOOKUP(V69,'G-7 Rivers Data'!$AG$4:$AI$9,2,FALSE)))</f>
        <v/>
      </c>
      <c r="X69" s="524" t="str">
        <f>IF(V69="","",IF(VLOOKUP(V69,'G-7 Rivers Data'!$AG$4:$AI$9,3,FALSE)=0,"Spatial Data Missing ⚠",VLOOKUP(V69,'G-7 Rivers Data'!$AG$4:$AI$9,3,FALSE)))</f>
        <v/>
      </c>
      <c r="Y69" s="537" t="str">
        <f>IFERROR(IF(OR(LEFT(P69,5)="Error ▲",LEFT(O69,5)="Error ▲"),"Check Data ⚠",IF(F69&lt;S69,'G-7 Rivers Data'!$R$3,INDEX('G-7 Rivers Data'!$U$5:$Y$9,MATCH(G69,'G-7 Rivers Data'!$T$5:$T$9,0),MATCH(T69,'G-7 Rivers Data'!$U$4:$Y$4,0)))),"")</f>
        <v/>
      </c>
      <c r="Z69" s="203"/>
      <c r="AA69" s="203"/>
      <c r="AB69" s="534" t="str">
        <f t="shared" si="1"/>
        <v/>
      </c>
      <c r="AC69" s="521" t="str">
        <f t="shared" si="2"/>
        <v/>
      </c>
      <c r="AD69" s="564" t="str">
        <f>IFERROR(IF(AC69="Check Data ⚠","Check Data ⚠",VLOOKUP(AC69,'G-4 Temporal multipliers'!$A$4:$C$37,3,FALSE)),"")</f>
        <v/>
      </c>
      <c r="AE69" s="537" t="str">
        <f>IF(N69="","",VLOOKUP(N69,'G-7 Rivers Data'!$B$4:$G$8,5,FALSE))</f>
        <v/>
      </c>
      <c r="AF69" s="520" t="str">
        <f t="shared" si="3"/>
        <v/>
      </c>
      <c r="AG69" s="520" t="str">
        <f t="shared" si="6"/>
        <v/>
      </c>
      <c r="AH69" s="524" t="str">
        <f t="shared" si="4"/>
        <v/>
      </c>
      <c r="AI69" s="145"/>
      <c r="AJ69" s="499" t="str">
        <f>IF(AI69="","",IF(VLOOKUP(AI69,'G-7 Rivers Data'!$AA$4:$AB$7,2,FALSE)=0,"Spatial Data Missing ⚠",VLOOKUP(AI69,'G-7 Rivers Data'!$AA$4:$AB$7,2,FALSE)))</f>
        <v/>
      </c>
      <c r="AK69" s="155"/>
      <c r="AL69" s="536" t="str">
        <f>IF(AK69="","",IF(VLOOKUP(AK69,'G-7 Rivers Data'!$AD$4:$AE$8,2,FALSE)=0,"Spatial Data Missing ⚠",VLOOKUP(AK69,'G-7 Rivers Data'!$AD$4:$AE$8,2,FALSE)))</f>
        <v/>
      </c>
      <c r="AM69" s="154"/>
      <c r="AN69" s="524" t="str">
        <f>IF(AM69="","",VLOOKUP(AM69,'G-7 Rivers Data'!$AO$4:$AP$7,2,FALSE))</f>
        <v/>
      </c>
      <c r="AO69" s="545" t="str">
        <f t="shared" si="7"/>
        <v/>
      </c>
      <c r="AP69" s="149"/>
      <c r="AQ69" s="150"/>
      <c r="AX69" s="31" t="str">
        <f>IFERROR(INDEX('G-7 Rivers Data'!$AZ$3:$AZ$7,MATCH(N69,'G-7 Rivers Data'!$AY$3:$AY$7,0)),"")</f>
        <v/>
      </c>
    </row>
    <row r="70" spans="2:50" ht="13.8" x14ac:dyDescent="0.25">
      <c r="B70" s="531" t="str">
        <f>'F-1 Off Site River Baseline'!AN68</f>
        <v/>
      </c>
      <c r="C70" s="520" t="str">
        <f>IF(B70="","",VLOOKUP($B70,'F-1 Off Site River Baseline'!$C$9:$R$257,2,FALSE))</f>
        <v/>
      </c>
      <c r="D70" s="520" t="str">
        <f>IF(C70="","",VLOOKUP($B70,'F-1 Off Site River Baseline'!$C$9:$R$257,3,FALSE))</f>
        <v/>
      </c>
      <c r="E70" s="520" t="str">
        <f>IF(D70="","",VLOOKUP($B70,'F-1 Off Site River Baseline'!$C$9:$R$257,4,FALSE))</f>
        <v/>
      </c>
      <c r="F70" s="520" t="str">
        <f>IF(E70="","",VLOOKUP($B70,'F-1 Off Site River Baseline'!$C$9:$R$257,5,FALSE))</f>
        <v/>
      </c>
      <c r="G70" s="520" t="str">
        <f>IF(F70="","",VLOOKUP($B70,'F-1 Off Site River Baseline'!$C$9:$R$257,6,FALSE))</f>
        <v/>
      </c>
      <c r="H70" s="520" t="str">
        <f>IF(G70="","",VLOOKUP($B70,'F-1 Off Site River Baseline'!$C$9:$R$257,7,FALSE))</f>
        <v/>
      </c>
      <c r="I70" s="520" t="str">
        <f>IF(H70="","",VLOOKUP($B70,'F-1 Off Site River Baseline'!$C$9:$R$257,8,FALSE))</f>
        <v/>
      </c>
      <c r="J70" s="520" t="str">
        <f>IF(I70="","",VLOOKUP($B70,'F-1 Off Site River Baseline'!$C$9:$R$257,9,FALSE))</f>
        <v/>
      </c>
      <c r="K70" s="520" t="str">
        <f>IF(J70="","",VLOOKUP($B70,'F-1 Off Site River Baseline'!$C$9:$R$257,10,FALSE))</f>
        <v/>
      </c>
      <c r="L70" s="520" t="str">
        <f>IF(B70="","",VLOOKUP($B70,'C-1 Site River Baseline'!$C$9:$R$257,15,FALSE))</f>
        <v/>
      </c>
      <c r="M70" s="524" t="str">
        <f>IF(L70="","",VLOOKUP($B70,'F-1 Off Site River Baseline'!$C$9:$R$257,16,FALSE))</f>
        <v/>
      </c>
      <c r="N70" s="418" t="str">
        <f t="shared" si="0"/>
        <v/>
      </c>
      <c r="O70" s="498" t="str">
        <f t="shared" si="5"/>
        <v/>
      </c>
      <c r="P70" s="499" t="str">
        <f>IF(C70="","",IF(AND(LEFT(C70,55)&lt;&gt;LEFT(N70,55),O70="High - High"),"Error - Not like for like ▲",IF(AND(F70=S70,H70&gt;U70),"Error - Can not reduce condition ▲",IF(AND(F70=S70,H70=U70,AJ70='F-1 Off Site River Baseline'!N68,'F-1 Off Site River Baseline'!P68=AL70),"Error - No enhancement ▲",IF(AND(C70&lt;&gt;N70,F70&lt;S70),"Lower Distinctiveness Habitat"&amp;" - "&amp;T70,G70&amp;" - "&amp;T70)))))</f>
        <v/>
      </c>
      <c r="Q70" s="505" t="str">
        <f>IF(N70="","",VLOOKUP(B70,'F-1 Off Site River Baseline'!$C$10:$AA$257,19,FALSE))</f>
        <v/>
      </c>
      <c r="R70" s="498" t="str">
        <f>IF(N70="","",VLOOKUP(N70,'G-7 Rivers Data'!$B$2:$G$8,2,FALSE))</f>
        <v/>
      </c>
      <c r="S70" s="499" t="str">
        <f>IFERROR(VLOOKUP(R70,'G-7 Rivers Data'!$C$4:$D$8,2,FALSE),"")</f>
        <v/>
      </c>
      <c r="T70" s="145"/>
      <c r="U70" s="499" t="str">
        <f>IFERROR(INDEX('G-7 Rivers Data'!$H$4:$L$8,MATCH(N70,'G-7 Rivers Data'!$B$4:$B$8,0),MATCH(T70,'G-7 Rivers Data'!$H$3:$L$3,0)),"")</f>
        <v/>
      </c>
      <c r="V70" s="154"/>
      <c r="W70" s="520" t="str">
        <f>IF(V70="","",IF(VLOOKUP(V70,'G-7 Rivers Data'!$AG$4:$AI$9,2,FALSE)=0,"Spatial Data Missing ⚠",VLOOKUP(V70,'G-7 Rivers Data'!$AG$4:$AI$9,2,FALSE)))</f>
        <v/>
      </c>
      <c r="X70" s="524" t="str">
        <f>IF(V70="","",IF(VLOOKUP(V70,'G-7 Rivers Data'!$AG$4:$AI$9,3,FALSE)=0,"Spatial Data Missing ⚠",VLOOKUP(V70,'G-7 Rivers Data'!$AG$4:$AI$9,3,FALSE)))</f>
        <v/>
      </c>
      <c r="Y70" s="537" t="str">
        <f>IFERROR(IF(OR(LEFT(P70,5)="Error ▲",LEFT(O70,5)="Error ▲"),"Check Data ⚠",IF(F70&lt;S70,'G-7 Rivers Data'!$R$3,INDEX('G-7 Rivers Data'!$U$5:$Y$9,MATCH(G70,'G-7 Rivers Data'!$T$5:$T$9,0),MATCH(T70,'G-7 Rivers Data'!$U$4:$Y$4,0)))),"")</f>
        <v/>
      </c>
      <c r="Z70" s="203"/>
      <c r="AA70" s="203"/>
      <c r="AB70" s="534" t="str">
        <f t="shared" si="1"/>
        <v/>
      </c>
      <c r="AC70" s="521" t="str">
        <f t="shared" si="2"/>
        <v/>
      </c>
      <c r="AD70" s="564" t="str">
        <f>IFERROR(IF(AC70="Check Data ⚠","Check Data ⚠",VLOOKUP(AC70,'G-4 Temporal multipliers'!$A$4:$C$37,3,FALSE)),"")</f>
        <v/>
      </c>
      <c r="AE70" s="537" t="str">
        <f>IF(N70="","",VLOOKUP(N70,'G-7 Rivers Data'!$B$4:$G$8,5,FALSE))</f>
        <v/>
      </c>
      <c r="AF70" s="520" t="str">
        <f t="shared" si="3"/>
        <v/>
      </c>
      <c r="AG70" s="520" t="str">
        <f t="shared" si="6"/>
        <v/>
      </c>
      <c r="AH70" s="524" t="str">
        <f t="shared" si="4"/>
        <v/>
      </c>
      <c r="AI70" s="145"/>
      <c r="AJ70" s="499" t="str">
        <f>IF(AI70="","",IF(VLOOKUP(AI70,'G-7 Rivers Data'!$AA$4:$AB$7,2,FALSE)=0,"Spatial Data Missing ⚠",VLOOKUP(AI70,'G-7 Rivers Data'!$AA$4:$AB$7,2,FALSE)))</f>
        <v/>
      </c>
      <c r="AK70" s="155"/>
      <c r="AL70" s="536" t="str">
        <f>IF(AK70="","",IF(VLOOKUP(AK70,'G-7 Rivers Data'!$AD$4:$AE$8,2,FALSE)=0,"Spatial Data Missing ⚠",VLOOKUP(AK70,'G-7 Rivers Data'!$AD$4:$AE$8,2,FALSE)))</f>
        <v/>
      </c>
      <c r="AM70" s="154"/>
      <c r="AN70" s="524" t="str">
        <f>IF(AM70="","",VLOOKUP(AM70,'G-7 Rivers Data'!$AO$4:$AP$7,2,FALSE))</f>
        <v/>
      </c>
      <c r="AO70" s="545" t="str">
        <f t="shared" si="7"/>
        <v/>
      </c>
      <c r="AP70" s="149"/>
      <c r="AQ70" s="150"/>
      <c r="AX70" s="31" t="str">
        <f>IFERROR(INDEX('G-7 Rivers Data'!$AZ$3:$AZ$7,MATCH(N70,'G-7 Rivers Data'!$AY$3:$AY$7,0)),"")</f>
        <v/>
      </c>
    </row>
    <row r="71" spans="2:50" ht="13.8" x14ac:dyDescent="0.25">
      <c r="B71" s="531" t="str">
        <f>'F-1 Off Site River Baseline'!AN69</f>
        <v/>
      </c>
      <c r="C71" s="520" t="str">
        <f>IF(B71="","",VLOOKUP($B71,'F-1 Off Site River Baseline'!$C$9:$R$257,2,FALSE))</f>
        <v/>
      </c>
      <c r="D71" s="520" t="str">
        <f>IF(C71="","",VLOOKUP($B71,'F-1 Off Site River Baseline'!$C$9:$R$257,3,FALSE))</f>
        <v/>
      </c>
      <c r="E71" s="520" t="str">
        <f>IF(D71="","",VLOOKUP($B71,'F-1 Off Site River Baseline'!$C$9:$R$257,4,FALSE))</f>
        <v/>
      </c>
      <c r="F71" s="520" t="str">
        <f>IF(E71="","",VLOOKUP($B71,'F-1 Off Site River Baseline'!$C$9:$R$257,5,FALSE))</f>
        <v/>
      </c>
      <c r="G71" s="520" t="str">
        <f>IF(F71="","",VLOOKUP($B71,'F-1 Off Site River Baseline'!$C$9:$R$257,6,FALSE))</f>
        <v/>
      </c>
      <c r="H71" s="520" t="str">
        <f>IF(G71="","",VLOOKUP($B71,'F-1 Off Site River Baseline'!$C$9:$R$257,7,FALSE))</f>
        <v/>
      </c>
      <c r="I71" s="520" t="str">
        <f>IF(H71="","",VLOOKUP($B71,'F-1 Off Site River Baseline'!$C$9:$R$257,8,FALSE))</f>
        <v/>
      </c>
      <c r="J71" s="520" t="str">
        <f>IF(I71="","",VLOOKUP($B71,'F-1 Off Site River Baseline'!$C$9:$R$257,9,FALSE))</f>
        <v/>
      </c>
      <c r="K71" s="520" t="str">
        <f>IF(J71="","",VLOOKUP($B71,'F-1 Off Site River Baseline'!$C$9:$R$257,10,FALSE))</f>
        <v/>
      </c>
      <c r="L71" s="520" t="str">
        <f>IF(B71="","",VLOOKUP($B71,'C-1 Site River Baseline'!$C$9:$R$257,15,FALSE))</f>
        <v/>
      </c>
      <c r="M71" s="524" t="str">
        <f>IF(L71="","",VLOOKUP($B71,'F-1 Off Site River Baseline'!$C$9:$R$257,16,FALSE))</f>
        <v/>
      </c>
      <c r="N71" s="418" t="str">
        <f t="shared" si="0"/>
        <v/>
      </c>
      <c r="O71" s="498" t="str">
        <f t="shared" si="5"/>
        <v/>
      </c>
      <c r="P71" s="499" t="str">
        <f>IF(C71="","",IF(AND(LEFT(C71,55)&lt;&gt;LEFT(N71,55),O71="High - High"),"Error - Not like for like ▲",IF(AND(F71=S71,H71&gt;U71),"Error - Can not reduce condition ▲",IF(AND(F71=S71,H71=U71,AJ71='F-1 Off Site River Baseline'!N69,'F-1 Off Site River Baseline'!P69=AL71),"Error - No enhancement ▲",IF(AND(C71&lt;&gt;N71,F71&lt;S71),"Lower Distinctiveness Habitat"&amp;" - "&amp;T71,G71&amp;" - "&amp;T71)))))</f>
        <v/>
      </c>
      <c r="Q71" s="505" t="str">
        <f>IF(N71="","",VLOOKUP(B71,'F-1 Off Site River Baseline'!$C$10:$AA$257,19,FALSE))</f>
        <v/>
      </c>
      <c r="R71" s="498" t="str">
        <f>IF(N71="","",VLOOKUP(N71,'G-7 Rivers Data'!$B$2:$G$8,2,FALSE))</f>
        <v/>
      </c>
      <c r="S71" s="499" t="str">
        <f>IFERROR(VLOOKUP(R71,'G-7 Rivers Data'!$C$4:$D$8,2,FALSE),"")</f>
        <v/>
      </c>
      <c r="T71" s="145"/>
      <c r="U71" s="499" t="str">
        <f>IFERROR(INDEX('G-7 Rivers Data'!$H$4:$L$8,MATCH(N71,'G-7 Rivers Data'!$B$4:$B$8,0),MATCH(T71,'G-7 Rivers Data'!$H$3:$L$3,0)),"")</f>
        <v/>
      </c>
      <c r="V71" s="154"/>
      <c r="W71" s="520" t="str">
        <f>IF(V71="","",IF(VLOOKUP(V71,'G-7 Rivers Data'!$AG$4:$AI$9,2,FALSE)=0,"Spatial Data Missing ⚠",VLOOKUP(V71,'G-7 Rivers Data'!$AG$4:$AI$9,2,FALSE)))</f>
        <v/>
      </c>
      <c r="X71" s="524" t="str">
        <f>IF(V71="","",IF(VLOOKUP(V71,'G-7 Rivers Data'!$AG$4:$AI$9,3,FALSE)=0,"Spatial Data Missing ⚠",VLOOKUP(V71,'G-7 Rivers Data'!$AG$4:$AI$9,3,FALSE)))</f>
        <v/>
      </c>
      <c r="Y71" s="537" t="str">
        <f>IFERROR(IF(OR(LEFT(P71,5)="Error ▲",LEFT(O71,5)="Error ▲"),"Check Data ⚠",IF(F71&lt;S71,'G-7 Rivers Data'!$R$3,INDEX('G-7 Rivers Data'!$U$5:$Y$9,MATCH(G71,'G-7 Rivers Data'!$T$5:$T$9,0),MATCH(T71,'G-7 Rivers Data'!$U$4:$Y$4,0)))),"")</f>
        <v/>
      </c>
      <c r="Z71" s="203"/>
      <c r="AA71" s="203"/>
      <c r="AB71" s="534" t="str">
        <f t="shared" si="1"/>
        <v/>
      </c>
      <c r="AC71" s="521" t="str">
        <f t="shared" si="2"/>
        <v/>
      </c>
      <c r="AD71" s="564" t="str">
        <f>IFERROR(IF(AC71="Check Data ⚠","Check Data ⚠",VLOOKUP(AC71,'G-4 Temporal multipliers'!$A$4:$C$37,3,FALSE)),"")</f>
        <v/>
      </c>
      <c r="AE71" s="537" t="str">
        <f>IF(N71="","",VLOOKUP(N71,'G-7 Rivers Data'!$B$4:$G$8,5,FALSE))</f>
        <v/>
      </c>
      <c r="AF71" s="520" t="str">
        <f t="shared" si="3"/>
        <v/>
      </c>
      <c r="AG71" s="520" t="str">
        <f t="shared" si="6"/>
        <v/>
      </c>
      <c r="AH71" s="524" t="str">
        <f t="shared" si="4"/>
        <v/>
      </c>
      <c r="AI71" s="145"/>
      <c r="AJ71" s="499" t="str">
        <f>IF(AI71="","",IF(VLOOKUP(AI71,'G-7 Rivers Data'!$AA$4:$AB$7,2,FALSE)=0,"Spatial Data Missing ⚠",VLOOKUP(AI71,'G-7 Rivers Data'!$AA$4:$AB$7,2,FALSE)))</f>
        <v/>
      </c>
      <c r="AK71" s="155"/>
      <c r="AL71" s="536" t="str">
        <f>IF(AK71="","",IF(VLOOKUP(AK71,'G-7 Rivers Data'!$AD$4:$AE$8,2,FALSE)=0,"Spatial Data Missing ⚠",VLOOKUP(AK71,'G-7 Rivers Data'!$AD$4:$AE$8,2,FALSE)))</f>
        <v/>
      </c>
      <c r="AM71" s="154"/>
      <c r="AN71" s="524" t="str">
        <f>IF(AM71="","",VLOOKUP(AM71,'G-7 Rivers Data'!$AO$4:$AP$7,2,FALSE))</f>
        <v/>
      </c>
      <c r="AO71" s="545" t="str">
        <f t="shared" si="7"/>
        <v/>
      </c>
      <c r="AP71" s="149"/>
      <c r="AQ71" s="150"/>
      <c r="AX71" s="31" t="str">
        <f>IFERROR(INDEX('G-7 Rivers Data'!$AZ$3:$AZ$7,MATCH(N71,'G-7 Rivers Data'!$AY$3:$AY$7,0)),"")</f>
        <v/>
      </c>
    </row>
    <row r="72" spans="2:50" ht="13.8" x14ac:dyDescent="0.25">
      <c r="B72" s="531" t="str">
        <f>'F-1 Off Site River Baseline'!AN70</f>
        <v/>
      </c>
      <c r="C72" s="520" t="str">
        <f>IF(B72="","",VLOOKUP($B72,'F-1 Off Site River Baseline'!$C$9:$R$257,2,FALSE))</f>
        <v/>
      </c>
      <c r="D72" s="520" t="str">
        <f>IF(C72="","",VLOOKUP($B72,'F-1 Off Site River Baseline'!$C$9:$R$257,3,FALSE))</f>
        <v/>
      </c>
      <c r="E72" s="520" t="str">
        <f>IF(D72="","",VLOOKUP($B72,'F-1 Off Site River Baseline'!$C$9:$R$257,4,FALSE))</f>
        <v/>
      </c>
      <c r="F72" s="520" t="str">
        <f>IF(E72="","",VLOOKUP($B72,'F-1 Off Site River Baseline'!$C$9:$R$257,5,FALSE))</f>
        <v/>
      </c>
      <c r="G72" s="520" t="str">
        <f>IF(F72="","",VLOOKUP($B72,'F-1 Off Site River Baseline'!$C$9:$R$257,6,FALSE))</f>
        <v/>
      </c>
      <c r="H72" s="520" t="str">
        <f>IF(G72="","",VLOOKUP($B72,'F-1 Off Site River Baseline'!$C$9:$R$257,7,FALSE))</f>
        <v/>
      </c>
      <c r="I72" s="520" t="str">
        <f>IF(H72="","",VLOOKUP($B72,'F-1 Off Site River Baseline'!$C$9:$R$257,8,FALSE))</f>
        <v/>
      </c>
      <c r="J72" s="520" t="str">
        <f>IF(I72="","",VLOOKUP($B72,'F-1 Off Site River Baseline'!$C$9:$R$257,9,FALSE))</f>
        <v/>
      </c>
      <c r="K72" s="520" t="str">
        <f>IF(J72="","",VLOOKUP($B72,'F-1 Off Site River Baseline'!$C$9:$R$257,10,FALSE))</f>
        <v/>
      </c>
      <c r="L72" s="520" t="str">
        <f>IF(B72="","",VLOOKUP($B72,'C-1 Site River Baseline'!$C$9:$R$257,15,FALSE))</f>
        <v/>
      </c>
      <c r="M72" s="524" t="str">
        <f>IF(L72="","",VLOOKUP($B72,'F-1 Off Site River Baseline'!$C$9:$R$257,16,FALSE))</f>
        <v/>
      </c>
      <c r="N72" s="418" t="str">
        <f t="shared" si="0"/>
        <v/>
      </c>
      <c r="O72" s="498" t="str">
        <f t="shared" si="5"/>
        <v/>
      </c>
      <c r="P72" s="499" t="str">
        <f>IF(C72="","",IF(AND(LEFT(C72,55)&lt;&gt;LEFT(N72,55),O72="High - High"),"Error - Not like for like ▲",IF(AND(F72=S72,H72&gt;U72),"Error - Can not reduce condition ▲",IF(AND(F72=S72,H72=U72,AJ72='F-1 Off Site River Baseline'!N70,'F-1 Off Site River Baseline'!P70=AL72),"Error - No enhancement ▲",IF(AND(C72&lt;&gt;N72,F72&lt;S72),"Lower Distinctiveness Habitat"&amp;" - "&amp;T72,G72&amp;" - "&amp;T72)))))</f>
        <v/>
      </c>
      <c r="Q72" s="505" t="str">
        <f>IF(N72="","",VLOOKUP(B72,'F-1 Off Site River Baseline'!$C$10:$AA$257,19,FALSE))</f>
        <v/>
      </c>
      <c r="R72" s="498" t="str">
        <f>IF(N72="","",VLOOKUP(N72,'G-7 Rivers Data'!$B$2:$G$8,2,FALSE))</f>
        <v/>
      </c>
      <c r="S72" s="499" t="str">
        <f>IFERROR(VLOOKUP(R72,'G-7 Rivers Data'!$C$4:$D$8,2,FALSE),"")</f>
        <v/>
      </c>
      <c r="T72" s="145"/>
      <c r="U72" s="499" t="str">
        <f>IFERROR(INDEX('G-7 Rivers Data'!$H$4:$L$8,MATCH(N72,'G-7 Rivers Data'!$B$4:$B$8,0),MATCH(T72,'G-7 Rivers Data'!$H$3:$L$3,0)),"")</f>
        <v/>
      </c>
      <c r="V72" s="154"/>
      <c r="W72" s="520" t="str">
        <f>IF(V72="","",IF(VLOOKUP(V72,'G-7 Rivers Data'!$AG$4:$AI$9,2,FALSE)=0,"Spatial Data Missing ⚠",VLOOKUP(V72,'G-7 Rivers Data'!$AG$4:$AI$9,2,FALSE)))</f>
        <v/>
      </c>
      <c r="X72" s="524" t="str">
        <f>IF(V72="","",IF(VLOOKUP(V72,'G-7 Rivers Data'!$AG$4:$AI$9,3,FALSE)=0,"Spatial Data Missing ⚠",VLOOKUP(V72,'G-7 Rivers Data'!$AG$4:$AI$9,3,FALSE)))</f>
        <v/>
      </c>
      <c r="Y72" s="537" t="str">
        <f>IFERROR(IF(OR(LEFT(P72,5)="Error ▲",LEFT(O72,5)="Error ▲"),"Check Data ⚠",IF(F72&lt;S72,'G-7 Rivers Data'!$R$3,INDEX('G-7 Rivers Data'!$U$5:$Y$9,MATCH(G72,'G-7 Rivers Data'!$T$5:$T$9,0),MATCH(T72,'G-7 Rivers Data'!$U$4:$Y$4,0)))),"")</f>
        <v/>
      </c>
      <c r="Z72" s="203"/>
      <c r="AA72" s="203"/>
      <c r="AB72" s="534" t="str">
        <f t="shared" si="1"/>
        <v/>
      </c>
      <c r="AC72" s="521" t="str">
        <f t="shared" si="2"/>
        <v/>
      </c>
      <c r="AD72" s="564" t="str">
        <f>IFERROR(IF(AC72="Check Data ⚠","Check Data ⚠",VLOOKUP(AC72,'G-4 Temporal multipliers'!$A$4:$C$37,3,FALSE)),"")</f>
        <v/>
      </c>
      <c r="AE72" s="537" t="str">
        <f>IF(N72="","",VLOOKUP(N72,'G-7 Rivers Data'!$B$4:$G$8,5,FALSE))</f>
        <v/>
      </c>
      <c r="AF72" s="520" t="str">
        <f t="shared" si="3"/>
        <v/>
      </c>
      <c r="AG72" s="520" t="str">
        <f t="shared" si="6"/>
        <v/>
      </c>
      <c r="AH72" s="524" t="str">
        <f t="shared" si="4"/>
        <v/>
      </c>
      <c r="AI72" s="145"/>
      <c r="AJ72" s="499" t="str">
        <f>IF(AI72="","",IF(VLOOKUP(AI72,'G-7 Rivers Data'!$AA$4:$AB$7,2,FALSE)=0,"Spatial Data Missing ⚠",VLOOKUP(AI72,'G-7 Rivers Data'!$AA$4:$AB$7,2,FALSE)))</f>
        <v/>
      </c>
      <c r="AK72" s="155"/>
      <c r="AL72" s="536" t="str">
        <f>IF(AK72="","",IF(VLOOKUP(AK72,'G-7 Rivers Data'!$AD$4:$AE$8,2,FALSE)=0,"Spatial Data Missing ⚠",VLOOKUP(AK72,'G-7 Rivers Data'!$AD$4:$AE$8,2,FALSE)))</f>
        <v/>
      </c>
      <c r="AM72" s="154"/>
      <c r="AN72" s="524" t="str">
        <f>IF(AM72="","",VLOOKUP(AM72,'G-7 Rivers Data'!$AO$4:$AP$7,2,FALSE))</f>
        <v/>
      </c>
      <c r="AO72" s="545" t="str">
        <f t="shared" si="7"/>
        <v/>
      </c>
      <c r="AP72" s="149"/>
      <c r="AQ72" s="150"/>
      <c r="AX72" s="31" t="str">
        <f>IFERROR(INDEX('G-7 Rivers Data'!$AZ$3:$AZ$7,MATCH(N72,'G-7 Rivers Data'!$AY$3:$AY$7,0)),"")</f>
        <v/>
      </c>
    </row>
    <row r="73" spans="2:50" ht="13.8" x14ac:dyDescent="0.25">
      <c r="B73" s="531" t="str">
        <f>'F-1 Off Site River Baseline'!AN71</f>
        <v/>
      </c>
      <c r="C73" s="520" t="str">
        <f>IF(B73="","",VLOOKUP($B73,'F-1 Off Site River Baseline'!$C$9:$R$257,2,FALSE))</f>
        <v/>
      </c>
      <c r="D73" s="520" t="str">
        <f>IF(C73="","",VLOOKUP($B73,'F-1 Off Site River Baseline'!$C$9:$R$257,3,FALSE))</f>
        <v/>
      </c>
      <c r="E73" s="520" t="str">
        <f>IF(D73="","",VLOOKUP($B73,'F-1 Off Site River Baseline'!$C$9:$R$257,4,FALSE))</f>
        <v/>
      </c>
      <c r="F73" s="520" t="str">
        <f>IF(E73="","",VLOOKUP($B73,'F-1 Off Site River Baseline'!$C$9:$R$257,5,FALSE))</f>
        <v/>
      </c>
      <c r="G73" s="520" t="str">
        <f>IF(F73="","",VLOOKUP($B73,'F-1 Off Site River Baseline'!$C$9:$R$257,6,FALSE))</f>
        <v/>
      </c>
      <c r="H73" s="520" t="str">
        <f>IF(G73="","",VLOOKUP($B73,'F-1 Off Site River Baseline'!$C$9:$R$257,7,FALSE))</f>
        <v/>
      </c>
      <c r="I73" s="520" t="str">
        <f>IF(H73="","",VLOOKUP($B73,'F-1 Off Site River Baseline'!$C$9:$R$257,8,FALSE))</f>
        <v/>
      </c>
      <c r="J73" s="520" t="str">
        <f>IF(I73="","",VLOOKUP($B73,'F-1 Off Site River Baseline'!$C$9:$R$257,9,FALSE))</f>
        <v/>
      </c>
      <c r="K73" s="520" t="str">
        <f>IF(J73="","",VLOOKUP($B73,'F-1 Off Site River Baseline'!$C$9:$R$257,10,FALSE))</f>
        <v/>
      </c>
      <c r="L73" s="520" t="str">
        <f>IF(B73="","",VLOOKUP($B73,'C-1 Site River Baseline'!$C$9:$R$257,15,FALSE))</f>
        <v/>
      </c>
      <c r="M73" s="524" t="str">
        <f>IF(L73="","",VLOOKUP($B73,'F-1 Off Site River Baseline'!$C$9:$R$257,16,FALSE))</f>
        <v/>
      </c>
      <c r="N73" s="418" t="str">
        <f t="shared" si="0"/>
        <v/>
      </c>
      <c r="O73" s="498" t="str">
        <f t="shared" si="5"/>
        <v/>
      </c>
      <c r="P73" s="499" t="str">
        <f>IF(C73="","",IF(AND(LEFT(C73,55)&lt;&gt;LEFT(N73,55),O73="High - High"),"Error - Not like for like ▲",IF(AND(F73=S73,H73&gt;U73),"Error - Can not reduce condition ▲",IF(AND(F73=S73,H73=U73,AJ73='F-1 Off Site River Baseline'!N71,'F-1 Off Site River Baseline'!P71=AL73),"Error - No enhancement ▲",IF(AND(C73&lt;&gt;N73,F73&lt;S73),"Lower Distinctiveness Habitat"&amp;" - "&amp;T73,G73&amp;" - "&amp;T73)))))</f>
        <v/>
      </c>
      <c r="Q73" s="505" t="str">
        <f>IF(N73="","",VLOOKUP(B73,'F-1 Off Site River Baseline'!$C$10:$AA$257,19,FALSE))</f>
        <v/>
      </c>
      <c r="R73" s="498" t="str">
        <f>IF(N73="","",VLOOKUP(N73,'G-7 Rivers Data'!$B$2:$G$8,2,FALSE))</f>
        <v/>
      </c>
      <c r="S73" s="499" t="str">
        <f>IFERROR(VLOOKUP(R73,'G-7 Rivers Data'!$C$4:$D$8,2,FALSE),"")</f>
        <v/>
      </c>
      <c r="T73" s="145"/>
      <c r="U73" s="499" t="str">
        <f>IFERROR(INDEX('G-7 Rivers Data'!$H$4:$L$8,MATCH(N73,'G-7 Rivers Data'!$B$4:$B$8,0),MATCH(T73,'G-7 Rivers Data'!$H$3:$L$3,0)),"")</f>
        <v/>
      </c>
      <c r="V73" s="154"/>
      <c r="W73" s="520" t="str">
        <f>IF(V73="","",IF(VLOOKUP(V73,'G-7 Rivers Data'!$AG$4:$AI$9,2,FALSE)=0,"Spatial Data Missing ⚠",VLOOKUP(V73,'G-7 Rivers Data'!$AG$4:$AI$9,2,FALSE)))</f>
        <v/>
      </c>
      <c r="X73" s="524" t="str">
        <f>IF(V73="","",IF(VLOOKUP(V73,'G-7 Rivers Data'!$AG$4:$AI$9,3,FALSE)=0,"Spatial Data Missing ⚠",VLOOKUP(V73,'G-7 Rivers Data'!$AG$4:$AI$9,3,FALSE)))</f>
        <v/>
      </c>
      <c r="Y73" s="537" t="str">
        <f>IFERROR(IF(OR(LEFT(P73,5)="Error ▲",LEFT(O73,5)="Error ▲"),"Check Data ⚠",IF(F73&lt;S73,'G-7 Rivers Data'!$R$3,INDEX('G-7 Rivers Data'!$U$5:$Y$9,MATCH(G73,'G-7 Rivers Data'!$T$5:$T$9,0),MATCH(T73,'G-7 Rivers Data'!$U$4:$Y$4,0)))),"")</f>
        <v/>
      </c>
      <c r="Z73" s="203"/>
      <c r="AA73" s="203"/>
      <c r="AB73" s="534" t="str">
        <f t="shared" si="1"/>
        <v/>
      </c>
      <c r="AC73" s="521" t="str">
        <f t="shared" si="2"/>
        <v/>
      </c>
      <c r="AD73" s="564" t="str">
        <f>IFERROR(IF(AC73="Check Data ⚠","Check Data ⚠",VLOOKUP(AC73,'G-4 Temporal multipliers'!$A$4:$C$37,3,FALSE)),"")</f>
        <v/>
      </c>
      <c r="AE73" s="537" t="str">
        <f>IF(N73="","",VLOOKUP(N73,'G-7 Rivers Data'!$B$4:$G$8,5,FALSE))</f>
        <v/>
      </c>
      <c r="AF73" s="520" t="str">
        <f t="shared" si="3"/>
        <v/>
      </c>
      <c r="AG73" s="520" t="str">
        <f t="shared" si="6"/>
        <v/>
      </c>
      <c r="AH73" s="524" t="str">
        <f t="shared" si="4"/>
        <v/>
      </c>
      <c r="AI73" s="145"/>
      <c r="AJ73" s="499" t="str">
        <f>IF(AI73="","",IF(VLOOKUP(AI73,'G-7 Rivers Data'!$AA$4:$AB$7,2,FALSE)=0,"Spatial Data Missing ⚠",VLOOKUP(AI73,'G-7 Rivers Data'!$AA$4:$AB$7,2,FALSE)))</f>
        <v/>
      </c>
      <c r="AK73" s="155"/>
      <c r="AL73" s="536" t="str">
        <f>IF(AK73="","",IF(VLOOKUP(AK73,'G-7 Rivers Data'!$AD$4:$AE$8,2,FALSE)=0,"Spatial Data Missing ⚠",VLOOKUP(AK73,'G-7 Rivers Data'!$AD$4:$AE$8,2,FALSE)))</f>
        <v/>
      </c>
      <c r="AM73" s="154"/>
      <c r="AN73" s="524" t="str">
        <f>IF(AM73="","",VLOOKUP(AM73,'G-7 Rivers Data'!$AO$4:$AP$7,2,FALSE))</f>
        <v/>
      </c>
      <c r="AO73" s="545" t="str">
        <f t="shared" si="7"/>
        <v/>
      </c>
      <c r="AP73" s="149"/>
      <c r="AQ73" s="150"/>
      <c r="AX73" s="31" t="str">
        <f>IFERROR(INDEX('G-7 Rivers Data'!$AZ$3:$AZ$7,MATCH(N73,'G-7 Rivers Data'!$AY$3:$AY$7,0)),"")</f>
        <v/>
      </c>
    </row>
    <row r="74" spans="2:50" ht="13.8" x14ac:dyDescent="0.25">
      <c r="B74" s="531" t="str">
        <f>'F-1 Off Site River Baseline'!AN72</f>
        <v/>
      </c>
      <c r="C74" s="520" t="str">
        <f>IF(B74="","",VLOOKUP($B74,'F-1 Off Site River Baseline'!$C$9:$R$257,2,FALSE))</f>
        <v/>
      </c>
      <c r="D74" s="520" t="str">
        <f>IF(C74="","",VLOOKUP($B74,'F-1 Off Site River Baseline'!$C$9:$R$257,3,FALSE))</f>
        <v/>
      </c>
      <c r="E74" s="520" t="str">
        <f>IF(D74="","",VLOOKUP($B74,'F-1 Off Site River Baseline'!$C$9:$R$257,4,FALSE))</f>
        <v/>
      </c>
      <c r="F74" s="520" t="str">
        <f>IF(E74="","",VLOOKUP($B74,'F-1 Off Site River Baseline'!$C$9:$R$257,5,FALSE))</f>
        <v/>
      </c>
      <c r="G74" s="520" t="str">
        <f>IF(F74="","",VLOOKUP($B74,'F-1 Off Site River Baseline'!$C$9:$R$257,6,FALSE))</f>
        <v/>
      </c>
      <c r="H74" s="520" t="str">
        <f>IF(G74="","",VLOOKUP($B74,'F-1 Off Site River Baseline'!$C$9:$R$257,7,FALSE))</f>
        <v/>
      </c>
      <c r="I74" s="520" t="str">
        <f>IF(H74="","",VLOOKUP($B74,'F-1 Off Site River Baseline'!$C$9:$R$257,8,FALSE))</f>
        <v/>
      </c>
      <c r="J74" s="520" t="str">
        <f>IF(I74="","",VLOOKUP($B74,'F-1 Off Site River Baseline'!$C$9:$R$257,9,FALSE))</f>
        <v/>
      </c>
      <c r="K74" s="520" t="str">
        <f>IF(J74="","",VLOOKUP($B74,'F-1 Off Site River Baseline'!$C$9:$R$257,10,FALSE))</f>
        <v/>
      </c>
      <c r="L74" s="520" t="str">
        <f>IF(B74="","",VLOOKUP($B74,'C-1 Site River Baseline'!$C$9:$R$257,15,FALSE))</f>
        <v/>
      </c>
      <c r="M74" s="524" t="str">
        <f>IF(L74="","",VLOOKUP($B74,'F-1 Off Site River Baseline'!$C$9:$R$257,16,FALSE))</f>
        <v/>
      </c>
      <c r="N74" s="418" t="str">
        <f t="shared" si="0"/>
        <v/>
      </c>
      <c r="O74" s="498" t="str">
        <f t="shared" si="5"/>
        <v/>
      </c>
      <c r="P74" s="499" t="str">
        <f>IF(C74="","",IF(AND(LEFT(C74,55)&lt;&gt;LEFT(N74,55),O74="High - High"),"Error - Not like for like ▲",IF(AND(F74=S74,H74&gt;U74),"Error - Can not reduce condition ▲",IF(AND(F74=S74,H74=U74,AJ74='F-1 Off Site River Baseline'!N72,'F-1 Off Site River Baseline'!P72=AL74),"Error - No enhancement ▲",IF(AND(C74&lt;&gt;N74,F74&lt;S74),"Lower Distinctiveness Habitat"&amp;" - "&amp;T74,G74&amp;" - "&amp;T74)))))</f>
        <v/>
      </c>
      <c r="Q74" s="505" t="str">
        <f>IF(N74="","",VLOOKUP(B74,'F-1 Off Site River Baseline'!$C$10:$AA$257,19,FALSE))</f>
        <v/>
      </c>
      <c r="R74" s="498" t="str">
        <f>IF(N74="","",VLOOKUP(N74,'G-7 Rivers Data'!$B$2:$G$8,2,FALSE))</f>
        <v/>
      </c>
      <c r="S74" s="499" t="str">
        <f>IFERROR(VLOOKUP(R74,'G-7 Rivers Data'!$C$4:$D$8,2,FALSE),"")</f>
        <v/>
      </c>
      <c r="T74" s="145"/>
      <c r="U74" s="499" t="str">
        <f>IFERROR(INDEX('G-7 Rivers Data'!$H$4:$L$8,MATCH(N74,'G-7 Rivers Data'!$B$4:$B$8,0),MATCH(T74,'G-7 Rivers Data'!$H$3:$L$3,0)),"")</f>
        <v/>
      </c>
      <c r="V74" s="154"/>
      <c r="W74" s="520" t="str">
        <f>IF(V74="","",IF(VLOOKUP(V74,'G-7 Rivers Data'!$AG$4:$AI$9,2,FALSE)=0,"Spatial Data Missing ⚠",VLOOKUP(V74,'G-7 Rivers Data'!$AG$4:$AI$9,2,FALSE)))</f>
        <v/>
      </c>
      <c r="X74" s="524" t="str">
        <f>IF(V74="","",IF(VLOOKUP(V74,'G-7 Rivers Data'!$AG$4:$AI$9,3,FALSE)=0,"Spatial Data Missing ⚠",VLOOKUP(V74,'G-7 Rivers Data'!$AG$4:$AI$9,3,FALSE)))</f>
        <v/>
      </c>
      <c r="Y74" s="537" t="str">
        <f>IFERROR(IF(OR(LEFT(P74,5)="Error ▲",LEFT(O74,5)="Error ▲"),"Check Data ⚠",IF(F74&lt;S74,'G-7 Rivers Data'!$R$3,INDEX('G-7 Rivers Data'!$U$5:$Y$9,MATCH(G74,'G-7 Rivers Data'!$T$5:$T$9,0),MATCH(T74,'G-7 Rivers Data'!$U$4:$Y$4,0)))),"")</f>
        <v/>
      </c>
      <c r="Z74" s="203"/>
      <c r="AA74" s="203"/>
      <c r="AB74" s="534" t="str">
        <f t="shared" si="1"/>
        <v/>
      </c>
      <c r="AC74" s="521" t="str">
        <f t="shared" si="2"/>
        <v/>
      </c>
      <c r="AD74" s="564" t="str">
        <f>IFERROR(IF(AC74="Check Data ⚠","Check Data ⚠",VLOOKUP(AC74,'G-4 Temporal multipliers'!$A$4:$C$37,3,FALSE)),"")</f>
        <v/>
      </c>
      <c r="AE74" s="537" t="str">
        <f>IF(N74="","",VLOOKUP(N74,'G-7 Rivers Data'!$B$4:$G$8,5,FALSE))</f>
        <v/>
      </c>
      <c r="AF74" s="520" t="str">
        <f t="shared" si="3"/>
        <v/>
      </c>
      <c r="AG74" s="520" t="str">
        <f t="shared" si="6"/>
        <v/>
      </c>
      <c r="AH74" s="524" t="str">
        <f t="shared" si="4"/>
        <v/>
      </c>
      <c r="AI74" s="145"/>
      <c r="AJ74" s="499" t="str">
        <f>IF(AI74="","",IF(VLOOKUP(AI74,'G-7 Rivers Data'!$AA$4:$AB$7,2,FALSE)=0,"Spatial Data Missing ⚠",VLOOKUP(AI74,'G-7 Rivers Data'!$AA$4:$AB$7,2,FALSE)))</f>
        <v/>
      </c>
      <c r="AK74" s="155"/>
      <c r="AL74" s="536" t="str">
        <f>IF(AK74="","",IF(VLOOKUP(AK74,'G-7 Rivers Data'!$AD$4:$AE$8,2,FALSE)=0,"Spatial Data Missing ⚠",VLOOKUP(AK74,'G-7 Rivers Data'!$AD$4:$AE$8,2,FALSE)))</f>
        <v/>
      </c>
      <c r="AM74" s="154"/>
      <c r="AN74" s="524" t="str">
        <f>IF(AM74="","",VLOOKUP(AM74,'G-7 Rivers Data'!$AO$4:$AP$7,2,FALSE))</f>
        <v/>
      </c>
      <c r="AO74" s="545" t="str">
        <f t="shared" si="7"/>
        <v/>
      </c>
      <c r="AP74" s="149"/>
      <c r="AQ74" s="150"/>
      <c r="AX74" s="31" t="str">
        <f>IFERROR(INDEX('G-7 Rivers Data'!$AZ$3:$AZ$7,MATCH(N74,'G-7 Rivers Data'!$AY$3:$AY$7,0)),"")</f>
        <v/>
      </c>
    </row>
    <row r="75" spans="2:50" ht="13.8" x14ac:dyDescent="0.25">
      <c r="B75" s="531" t="str">
        <f>'F-1 Off Site River Baseline'!AN73</f>
        <v/>
      </c>
      <c r="C75" s="520" t="str">
        <f>IF(B75="","",VLOOKUP($B75,'F-1 Off Site River Baseline'!$C$9:$R$257,2,FALSE))</f>
        <v/>
      </c>
      <c r="D75" s="520" t="str">
        <f>IF(C75="","",VLOOKUP($B75,'F-1 Off Site River Baseline'!$C$9:$R$257,3,FALSE))</f>
        <v/>
      </c>
      <c r="E75" s="520" t="str">
        <f>IF(D75="","",VLOOKUP($B75,'F-1 Off Site River Baseline'!$C$9:$R$257,4,FALSE))</f>
        <v/>
      </c>
      <c r="F75" s="520" t="str">
        <f>IF(E75="","",VLOOKUP($B75,'F-1 Off Site River Baseline'!$C$9:$R$257,5,FALSE))</f>
        <v/>
      </c>
      <c r="G75" s="520" t="str">
        <f>IF(F75="","",VLOOKUP($B75,'F-1 Off Site River Baseline'!$C$9:$R$257,6,FALSE))</f>
        <v/>
      </c>
      <c r="H75" s="520" t="str">
        <f>IF(G75="","",VLOOKUP($B75,'F-1 Off Site River Baseline'!$C$9:$R$257,7,FALSE))</f>
        <v/>
      </c>
      <c r="I75" s="520" t="str">
        <f>IF(H75="","",VLOOKUP($B75,'F-1 Off Site River Baseline'!$C$9:$R$257,8,FALSE))</f>
        <v/>
      </c>
      <c r="J75" s="520" t="str">
        <f>IF(I75="","",VLOOKUP($B75,'F-1 Off Site River Baseline'!$C$9:$R$257,9,FALSE))</f>
        <v/>
      </c>
      <c r="K75" s="520" t="str">
        <f>IF(J75="","",VLOOKUP($B75,'F-1 Off Site River Baseline'!$C$9:$R$257,10,FALSE))</f>
        <v/>
      </c>
      <c r="L75" s="520" t="str">
        <f>IF(B75="","",VLOOKUP($B75,'C-1 Site River Baseline'!$C$9:$R$257,15,FALSE))</f>
        <v/>
      </c>
      <c r="M75" s="524" t="str">
        <f>IF(L75="","",VLOOKUP($B75,'F-1 Off Site River Baseline'!$C$9:$R$257,16,FALSE))</f>
        <v/>
      </c>
      <c r="N75" s="418" t="str">
        <f t="shared" si="0"/>
        <v/>
      </c>
      <c r="O75" s="498" t="str">
        <f t="shared" si="5"/>
        <v/>
      </c>
      <c r="P75" s="499" t="str">
        <f>IF(C75="","",IF(AND(LEFT(C75,55)&lt;&gt;LEFT(N75,55),O75="High - High"),"Error - Not like for like ▲",IF(AND(F75=S75,H75&gt;U75),"Error - Can not reduce condition ▲",IF(AND(F75=S75,H75=U75,AJ75='F-1 Off Site River Baseline'!N73,'F-1 Off Site River Baseline'!P73=AL75),"Error - No enhancement ▲",IF(AND(C75&lt;&gt;N75,F75&lt;S75),"Lower Distinctiveness Habitat"&amp;" - "&amp;T75,G75&amp;" - "&amp;T75)))))</f>
        <v/>
      </c>
      <c r="Q75" s="505" t="str">
        <f>IF(N75="","",VLOOKUP(B75,'F-1 Off Site River Baseline'!$C$10:$AA$257,19,FALSE))</f>
        <v/>
      </c>
      <c r="R75" s="498" t="str">
        <f>IF(N75="","",VLOOKUP(N75,'G-7 Rivers Data'!$B$2:$G$8,2,FALSE))</f>
        <v/>
      </c>
      <c r="S75" s="499" t="str">
        <f>IFERROR(VLOOKUP(R75,'G-7 Rivers Data'!$C$4:$D$8,2,FALSE),"")</f>
        <v/>
      </c>
      <c r="T75" s="145"/>
      <c r="U75" s="499" t="str">
        <f>IFERROR(INDEX('G-7 Rivers Data'!$H$4:$L$8,MATCH(N75,'G-7 Rivers Data'!$B$4:$B$8,0),MATCH(T75,'G-7 Rivers Data'!$H$3:$L$3,0)),"")</f>
        <v/>
      </c>
      <c r="V75" s="154"/>
      <c r="W75" s="520" t="str">
        <f>IF(V75="","",IF(VLOOKUP(V75,'G-7 Rivers Data'!$AG$4:$AI$9,2,FALSE)=0,"Spatial Data Missing ⚠",VLOOKUP(V75,'G-7 Rivers Data'!$AG$4:$AI$9,2,FALSE)))</f>
        <v/>
      </c>
      <c r="X75" s="524" t="str">
        <f>IF(V75="","",IF(VLOOKUP(V75,'G-7 Rivers Data'!$AG$4:$AI$9,3,FALSE)=0,"Spatial Data Missing ⚠",VLOOKUP(V75,'G-7 Rivers Data'!$AG$4:$AI$9,3,FALSE)))</f>
        <v/>
      </c>
      <c r="Y75" s="537" t="str">
        <f>IFERROR(IF(OR(LEFT(P75,5)="Error ▲",LEFT(O75,5)="Error ▲"),"Check Data ⚠",IF(F75&lt;S75,'G-7 Rivers Data'!$R$3,INDEX('G-7 Rivers Data'!$U$5:$Y$9,MATCH(G75,'G-7 Rivers Data'!$T$5:$T$9,0),MATCH(T75,'G-7 Rivers Data'!$U$4:$Y$4,0)))),"")</f>
        <v/>
      </c>
      <c r="Z75" s="203"/>
      <c r="AA75" s="203"/>
      <c r="AB75" s="534" t="str">
        <f t="shared" si="1"/>
        <v/>
      </c>
      <c r="AC75" s="521" t="str">
        <f t="shared" si="2"/>
        <v/>
      </c>
      <c r="AD75" s="564" t="str">
        <f>IFERROR(IF(AC75="Check Data ⚠","Check Data ⚠",VLOOKUP(AC75,'G-4 Temporal multipliers'!$A$4:$C$37,3,FALSE)),"")</f>
        <v/>
      </c>
      <c r="AE75" s="537" t="str">
        <f>IF(N75="","",VLOOKUP(N75,'G-7 Rivers Data'!$B$4:$G$8,5,FALSE))</f>
        <v/>
      </c>
      <c r="AF75" s="520" t="str">
        <f t="shared" si="3"/>
        <v/>
      </c>
      <c r="AG75" s="520" t="str">
        <f t="shared" si="6"/>
        <v/>
      </c>
      <c r="AH75" s="524" t="str">
        <f t="shared" si="4"/>
        <v/>
      </c>
      <c r="AI75" s="145"/>
      <c r="AJ75" s="499" t="str">
        <f>IF(AI75="","",IF(VLOOKUP(AI75,'G-7 Rivers Data'!$AA$4:$AB$7,2,FALSE)=0,"Spatial Data Missing ⚠",VLOOKUP(AI75,'G-7 Rivers Data'!$AA$4:$AB$7,2,FALSE)))</f>
        <v/>
      </c>
      <c r="AK75" s="155"/>
      <c r="AL75" s="536" t="str">
        <f>IF(AK75="","",IF(VLOOKUP(AK75,'G-7 Rivers Data'!$AD$4:$AE$8,2,FALSE)=0,"Spatial Data Missing ⚠",VLOOKUP(AK75,'G-7 Rivers Data'!$AD$4:$AE$8,2,FALSE)))</f>
        <v/>
      </c>
      <c r="AM75" s="154"/>
      <c r="AN75" s="524" t="str">
        <f>IF(AM75="","",VLOOKUP(AM75,'G-7 Rivers Data'!$AO$4:$AP$7,2,FALSE))</f>
        <v/>
      </c>
      <c r="AO75" s="545" t="str">
        <f t="shared" si="7"/>
        <v/>
      </c>
      <c r="AP75" s="149"/>
      <c r="AQ75" s="150"/>
      <c r="AX75" s="31" t="str">
        <f>IFERROR(INDEX('G-7 Rivers Data'!$AZ$3:$AZ$7,MATCH(N75,'G-7 Rivers Data'!$AY$3:$AY$7,0)),"")</f>
        <v/>
      </c>
    </row>
    <row r="76" spans="2:50" ht="13.8" x14ac:dyDescent="0.25">
      <c r="B76" s="531" t="str">
        <f>'F-1 Off Site River Baseline'!AN74</f>
        <v/>
      </c>
      <c r="C76" s="520" t="str">
        <f>IF(B76="","",VLOOKUP($B76,'F-1 Off Site River Baseline'!$C$9:$R$257,2,FALSE))</f>
        <v/>
      </c>
      <c r="D76" s="520" t="str">
        <f>IF(C76="","",VLOOKUP($B76,'F-1 Off Site River Baseline'!$C$9:$R$257,3,FALSE))</f>
        <v/>
      </c>
      <c r="E76" s="520" t="str">
        <f>IF(D76="","",VLOOKUP($B76,'F-1 Off Site River Baseline'!$C$9:$R$257,4,FALSE))</f>
        <v/>
      </c>
      <c r="F76" s="520" t="str">
        <f>IF(E76="","",VLOOKUP($B76,'F-1 Off Site River Baseline'!$C$9:$R$257,5,FALSE))</f>
        <v/>
      </c>
      <c r="G76" s="520" t="str">
        <f>IF(F76="","",VLOOKUP($B76,'F-1 Off Site River Baseline'!$C$9:$R$257,6,FALSE))</f>
        <v/>
      </c>
      <c r="H76" s="520" t="str">
        <f>IF(G76="","",VLOOKUP($B76,'F-1 Off Site River Baseline'!$C$9:$R$257,7,FALSE))</f>
        <v/>
      </c>
      <c r="I76" s="520" t="str">
        <f>IF(H76="","",VLOOKUP($B76,'F-1 Off Site River Baseline'!$C$9:$R$257,8,FALSE))</f>
        <v/>
      </c>
      <c r="J76" s="520" t="str">
        <f>IF(I76="","",VLOOKUP($B76,'F-1 Off Site River Baseline'!$C$9:$R$257,9,FALSE))</f>
        <v/>
      </c>
      <c r="K76" s="520" t="str">
        <f>IF(J76="","",VLOOKUP($B76,'F-1 Off Site River Baseline'!$C$9:$R$257,10,FALSE))</f>
        <v/>
      </c>
      <c r="L76" s="520" t="str">
        <f>IF(B76="","",VLOOKUP($B76,'C-1 Site River Baseline'!$C$9:$R$257,15,FALSE))</f>
        <v/>
      </c>
      <c r="M76" s="524" t="str">
        <f>IF(L76="","",VLOOKUP($B76,'F-1 Off Site River Baseline'!$C$9:$R$257,16,FALSE))</f>
        <v/>
      </c>
      <c r="N76" s="418" t="str">
        <f t="shared" si="0"/>
        <v/>
      </c>
      <c r="O76" s="498" t="str">
        <f t="shared" si="5"/>
        <v/>
      </c>
      <c r="P76" s="499" t="str">
        <f>IF(C76="","",IF(AND(LEFT(C76,55)&lt;&gt;LEFT(N76,55),O76="High - High"),"Error - Not like for like ▲",IF(AND(F76=S76,H76&gt;U76),"Error - Can not reduce condition ▲",IF(AND(F76=S76,H76=U76,AJ76='F-1 Off Site River Baseline'!N74,'F-1 Off Site River Baseline'!P74=AL76),"Error - No enhancement ▲",IF(AND(C76&lt;&gt;N76,F76&lt;S76),"Lower Distinctiveness Habitat"&amp;" - "&amp;T76,G76&amp;" - "&amp;T76)))))</f>
        <v/>
      </c>
      <c r="Q76" s="505" t="str">
        <f>IF(N76="","",VLOOKUP(B76,'F-1 Off Site River Baseline'!$C$10:$AA$257,19,FALSE))</f>
        <v/>
      </c>
      <c r="R76" s="498" t="str">
        <f>IF(N76="","",VLOOKUP(N76,'G-7 Rivers Data'!$B$2:$G$8,2,FALSE))</f>
        <v/>
      </c>
      <c r="S76" s="499" t="str">
        <f>IFERROR(VLOOKUP(R76,'G-7 Rivers Data'!$C$4:$D$8,2,FALSE),"")</f>
        <v/>
      </c>
      <c r="T76" s="145"/>
      <c r="U76" s="499" t="str">
        <f>IFERROR(INDEX('G-7 Rivers Data'!$H$4:$L$8,MATCH(N76,'G-7 Rivers Data'!$B$4:$B$8,0),MATCH(T76,'G-7 Rivers Data'!$H$3:$L$3,0)),"")</f>
        <v/>
      </c>
      <c r="V76" s="154"/>
      <c r="W76" s="520" t="str">
        <f>IF(V76="","",IF(VLOOKUP(V76,'G-7 Rivers Data'!$AG$4:$AI$9,2,FALSE)=0,"Spatial Data Missing ⚠",VLOOKUP(V76,'G-7 Rivers Data'!$AG$4:$AI$9,2,FALSE)))</f>
        <v/>
      </c>
      <c r="X76" s="524" t="str">
        <f>IF(V76="","",IF(VLOOKUP(V76,'G-7 Rivers Data'!$AG$4:$AI$9,3,FALSE)=0,"Spatial Data Missing ⚠",VLOOKUP(V76,'G-7 Rivers Data'!$AG$4:$AI$9,3,FALSE)))</f>
        <v/>
      </c>
      <c r="Y76" s="537" t="str">
        <f>IFERROR(IF(OR(LEFT(P76,5)="Error ▲",LEFT(O76,5)="Error ▲"),"Check Data ⚠",IF(F76&lt;S76,'G-7 Rivers Data'!$R$3,INDEX('G-7 Rivers Data'!$U$5:$Y$9,MATCH(G76,'G-7 Rivers Data'!$T$5:$T$9,0),MATCH(T76,'G-7 Rivers Data'!$U$4:$Y$4,0)))),"")</f>
        <v/>
      </c>
      <c r="Z76" s="203"/>
      <c r="AA76" s="203"/>
      <c r="AB76" s="534" t="str">
        <f t="shared" ref="AB76:AB139" si="8">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521" t="str">
        <f t="shared" ref="AC76:AC139" si="9">IF(LEFT(AB76,5)="Error ▲","Check Data ⚠",IF(AB76="Check Data ⚠","Check Data ⚠",IF(Y76="","",IF(Z76="30+",0,IF(AA76="30+","30+ ⚠",IF(Y76+AA76&gt;30,"30+ ⚠",IF(Y76+AA76-Z76&gt;0,Y76+AA76-Z76,IF(Y76-Z76&lt;0,0,Y76+AA76-Z76))))))))</f>
        <v/>
      </c>
      <c r="AD76" s="564" t="str">
        <f>IFERROR(IF(AC76="Check Data ⚠","Check Data ⚠",VLOOKUP(AC76,'G-4 Temporal multipliers'!$A$4:$C$37,3,FALSE)),"")</f>
        <v/>
      </c>
      <c r="AE76" s="537" t="str">
        <f>IF(N76="","",VLOOKUP(N76,'G-7 Rivers Data'!$B$4:$G$8,5,FALSE))</f>
        <v/>
      </c>
      <c r="AF76" s="520" t="str">
        <f t="shared" ref="AF76:AF139" si="10">IF(N76="","",IF(AC76="Check Data ⚠","Check Data ⚠",IF(T76="","",IF($AB76="Check details - Is there evidence that habitat has reached target condition? ⚠","Low Difficulty - only applicable if all habitat created before losses ⚠","Standard difficulty applied"))))</f>
        <v/>
      </c>
      <c r="AG76" s="520" t="str">
        <f t="shared" si="6"/>
        <v/>
      </c>
      <c r="AH76" s="524" t="str">
        <f t="shared" ref="AH76:AH139" si="11">IF(N76="","",VLOOKUP(AE76,Difficulty,2,FALSE))</f>
        <v/>
      </c>
      <c r="AI76" s="145"/>
      <c r="AJ76" s="499" t="str">
        <f>IF(AI76="","",IF(VLOOKUP(AI76,'G-7 Rivers Data'!$AA$4:$AB$7,2,FALSE)=0,"Spatial Data Missing ⚠",VLOOKUP(AI76,'G-7 Rivers Data'!$AA$4:$AB$7,2,FALSE)))</f>
        <v/>
      </c>
      <c r="AK76" s="155"/>
      <c r="AL76" s="536" t="str">
        <f>IF(AK76="","",IF(VLOOKUP(AK76,'G-7 Rivers Data'!$AD$4:$AE$8,2,FALSE)=0,"Spatial Data Missing ⚠",VLOOKUP(AK76,'G-7 Rivers Data'!$AD$4:$AE$8,2,FALSE)))</f>
        <v/>
      </c>
      <c r="AM76" s="154"/>
      <c r="AN76" s="524" t="str">
        <f>IF(AM76="","",VLOOKUP(AM76,'G-7 Rivers Data'!$AO$4:$AP$7,2,FALSE))</f>
        <v/>
      </c>
      <c r="AO76" s="545" t="str">
        <f t="shared" si="7"/>
        <v/>
      </c>
      <c r="AP76" s="149"/>
      <c r="AQ76" s="150"/>
      <c r="AX76" s="31" t="str">
        <f>IFERROR(INDEX('G-7 Rivers Data'!$AZ$3:$AZ$7,MATCH(N76,'G-7 Rivers Data'!$AY$3:$AY$7,0)),"")</f>
        <v/>
      </c>
    </row>
    <row r="77" spans="2:50" ht="13.8" x14ac:dyDescent="0.25">
      <c r="B77" s="531" t="str">
        <f>'F-1 Off Site River Baseline'!AN75</f>
        <v/>
      </c>
      <c r="C77" s="520" t="str">
        <f>IF(B77="","",VLOOKUP($B77,'F-1 Off Site River Baseline'!$C$9:$R$257,2,FALSE))</f>
        <v/>
      </c>
      <c r="D77" s="520" t="str">
        <f>IF(C77="","",VLOOKUP($B77,'F-1 Off Site River Baseline'!$C$9:$R$257,3,FALSE))</f>
        <v/>
      </c>
      <c r="E77" s="520" t="str">
        <f>IF(D77="","",VLOOKUP($B77,'F-1 Off Site River Baseline'!$C$9:$R$257,4,FALSE))</f>
        <v/>
      </c>
      <c r="F77" s="520" t="str">
        <f>IF(E77="","",VLOOKUP($B77,'F-1 Off Site River Baseline'!$C$9:$R$257,5,FALSE))</f>
        <v/>
      </c>
      <c r="G77" s="520" t="str">
        <f>IF(F77="","",VLOOKUP($B77,'F-1 Off Site River Baseline'!$C$9:$R$257,6,FALSE))</f>
        <v/>
      </c>
      <c r="H77" s="520" t="str">
        <f>IF(G77="","",VLOOKUP($B77,'F-1 Off Site River Baseline'!$C$9:$R$257,7,FALSE))</f>
        <v/>
      </c>
      <c r="I77" s="520" t="str">
        <f>IF(H77="","",VLOOKUP($B77,'F-1 Off Site River Baseline'!$C$9:$R$257,8,FALSE))</f>
        <v/>
      </c>
      <c r="J77" s="520" t="str">
        <f>IF(I77="","",VLOOKUP($B77,'F-1 Off Site River Baseline'!$C$9:$R$257,9,FALSE))</f>
        <v/>
      </c>
      <c r="K77" s="520" t="str">
        <f>IF(J77="","",VLOOKUP($B77,'F-1 Off Site River Baseline'!$C$9:$R$257,10,FALSE))</f>
        <v/>
      </c>
      <c r="L77" s="520" t="str">
        <f>IF(B77="","",VLOOKUP($B77,'C-1 Site River Baseline'!$C$9:$R$257,15,FALSE))</f>
        <v/>
      </c>
      <c r="M77" s="524" t="str">
        <f>IF(L77="","",VLOOKUP($B77,'F-1 Off Site River Baseline'!$C$9:$R$257,16,FALSE))</f>
        <v/>
      </c>
      <c r="N77" s="418" t="str">
        <f t="shared" ref="N77:N140" si="12">C77</f>
        <v/>
      </c>
      <c r="O77" s="498" t="str">
        <f t="shared" ref="O77:O140" si="13">IF(B77="","",IF(S77&lt;F77,"Error Trading Down ▲",E77&amp;" - "&amp;R77))</f>
        <v/>
      </c>
      <c r="P77" s="499" t="str">
        <f>IF(C77="","",IF(AND(LEFT(C77,55)&lt;&gt;LEFT(N77,55),O77="High - High"),"Error - Not like for like ▲",IF(AND(F77=S77,H77&gt;U77),"Error - Can not reduce condition ▲",IF(AND(F77=S77,H77=U77,AJ77='F-1 Off Site River Baseline'!N75,'F-1 Off Site River Baseline'!P75=AL77),"Error - No enhancement ▲",IF(AND(C77&lt;&gt;N77,F77&lt;S77),"Lower Distinctiveness Habitat"&amp;" - "&amp;T77,G77&amp;" - "&amp;T77)))))</f>
        <v/>
      </c>
      <c r="Q77" s="505" t="str">
        <f>IF(N77="","",VLOOKUP(B77,'F-1 Off Site River Baseline'!$C$10:$AA$257,19,FALSE))</f>
        <v/>
      </c>
      <c r="R77" s="498" t="str">
        <f>IF(N77="","",VLOOKUP(N77,'G-7 Rivers Data'!$B$2:$G$8,2,FALSE))</f>
        <v/>
      </c>
      <c r="S77" s="499" t="str">
        <f>IFERROR(VLOOKUP(R77,'G-7 Rivers Data'!$C$4:$D$8,2,FALSE),"")</f>
        <v/>
      </c>
      <c r="T77" s="145"/>
      <c r="U77" s="499" t="str">
        <f>IFERROR(INDEX('G-7 Rivers Data'!$H$4:$L$8,MATCH(N77,'G-7 Rivers Data'!$B$4:$B$8,0),MATCH(T77,'G-7 Rivers Data'!$H$3:$L$3,0)),"")</f>
        <v/>
      </c>
      <c r="V77" s="154"/>
      <c r="W77" s="520" t="str">
        <f>IF(V77="","",IF(VLOOKUP(V77,'G-7 Rivers Data'!$AG$4:$AI$9,2,FALSE)=0,"Spatial Data Missing ⚠",VLOOKUP(V77,'G-7 Rivers Data'!$AG$4:$AI$9,2,FALSE)))</f>
        <v/>
      </c>
      <c r="X77" s="524" t="str">
        <f>IF(V77="","",IF(VLOOKUP(V77,'G-7 Rivers Data'!$AG$4:$AI$9,3,FALSE)=0,"Spatial Data Missing ⚠",VLOOKUP(V77,'G-7 Rivers Data'!$AG$4:$AI$9,3,FALSE)))</f>
        <v/>
      </c>
      <c r="Y77" s="537" t="str">
        <f>IFERROR(IF(OR(LEFT(P77,5)="Error ▲",LEFT(O77,5)="Error ▲"),"Check Data ⚠",IF(F77&lt;S77,'G-7 Rivers Data'!$R$3,INDEX('G-7 Rivers Data'!$U$5:$Y$9,MATCH(G77,'G-7 Rivers Data'!$T$5:$T$9,0),MATCH(T77,'G-7 Rivers Data'!$U$4:$Y$4,0)))),"")</f>
        <v/>
      </c>
      <c r="Z77" s="203"/>
      <c r="AA77" s="203"/>
      <c r="AB77" s="534" t="str">
        <f t="shared" si="8"/>
        <v/>
      </c>
      <c r="AC77" s="521" t="str">
        <f t="shared" si="9"/>
        <v/>
      </c>
      <c r="AD77" s="564" t="str">
        <f>IFERROR(IF(AC77="Check Data ⚠","Check Data ⚠",VLOOKUP(AC77,'G-4 Temporal multipliers'!$A$4:$C$37,3,FALSE)),"")</f>
        <v/>
      </c>
      <c r="AE77" s="537" t="str">
        <f>IF(N77="","",VLOOKUP(N77,'G-7 Rivers Data'!$B$4:$G$8,5,FALSE))</f>
        <v/>
      </c>
      <c r="AF77" s="520" t="str">
        <f t="shared" si="10"/>
        <v/>
      </c>
      <c r="AG77" s="520" t="str">
        <f t="shared" ref="AG77:AG140" si="14">(IF(AND(AF77="Standard difficulty applied",Y77&gt;Z77),AE77,IF(AND(AF77="Low Difficulty - only applicable if all habitat created before losses ⚠",Z77&gt;=Y77),"Low",AE77)))</f>
        <v/>
      </c>
      <c r="AH77" s="524" t="str">
        <f t="shared" si="11"/>
        <v/>
      </c>
      <c r="AI77" s="145"/>
      <c r="AJ77" s="499" t="str">
        <f>IF(AI77="","",IF(VLOOKUP(AI77,'G-7 Rivers Data'!$AA$4:$AB$7,2,FALSE)=0,"Spatial Data Missing ⚠",VLOOKUP(AI77,'G-7 Rivers Data'!$AA$4:$AB$7,2,FALSE)))</f>
        <v/>
      </c>
      <c r="AK77" s="155"/>
      <c r="AL77" s="536" t="str">
        <f>IF(AK77="","",IF(VLOOKUP(AK77,'G-7 Rivers Data'!$AD$4:$AE$8,2,FALSE)=0,"Spatial Data Missing ⚠",VLOOKUP(AK77,'G-7 Rivers Data'!$AD$4:$AE$8,2,FALSE)))</f>
        <v/>
      </c>
      <c r="AM77" s="154"/>
      <c r="AN77" s="524" t="str">
        <f>IF(AM77="","",VLOOKUP(AM77,'G-7 Rivers Data'!$AO$4:$AP$7,2,FALSE))</f>
        <v/>
      </c>
      <c r="AO77" s="545" t="str">
        <f t="shared" ref="AO77:AO140" si="15">IFERROR(IF(C77="","",IF(Q77&gt;D77,((((Q77*S77*U77)-(D77*F77*H77))*(AH77*AD77))+(D77*F77*H77))*(AL77*X77*AJ77*AN77),((((Q77*S77*U77)-(Q77*F77*H77))*(AH77*AD77))+(Q77*F77*H77))*(AL77*X77*AJ77*AN77))),"")</f>
        <v/>
      </c>
      <c r="AP77" s="149"/>
      <c r="AQ77" s="150"/>
      <c r="AX77" s="31" t="str">
        <f>IFERROR(INDEX('G-7 Rivers Data'!$AZ$3:$AZ$7,MATCH(N77,'G-7 Rivers Data'!$AY$3:$AY$7,0)),"")</f>
        <v/>
      </c>
    </row>
    <row r="78" spans="2:50" ht="13.8" x14ac:dyDescent="0.25">
      <c r="B78" s="531" t="str">
        <f>'F-1 Off Site River Baseline'!AN76</f>
        <v/>
      </c>
      <c r="C78" s="520" t="str">
        <f>IF(B78="","",VLOOKUP($B78,'F-1 Off Site River Baseline'!$C$9:$R$257,2,FALSE))</f>
        <v/>
      </c>
      <c r="D78" s="520" t="str">
        <f>IF(C78="","",VLOOKUP($B78,'F-1 Off Site River Baseline'!$C$9:$R$257,3,FALSE))</f>
        <v/>
      </c>
      <c r="E78" s="520" t="str">
        <f>IF(D78="","",VLOOKUP($B78,'F-1 Off Site River Baseline'!$C$9:$R$257,4,FALSE))</f>
        <v/>
      </c>
      <c r="F78" s="520" t="str">
        <f>IF(E78="","",VLOOKUP($B78,'F-1 Off Site River Baseline'!$C$9:$R$257,5,FALSE))</f>
        <v/>
      </c>
      <c r="G78" s="520" t="str">
        <f>IF(F78="","",VLOOKUP($B78,'F-1 Off Site River Baseline'!$C$9:$R$257,6,FALSE))</f>
        <v/>
      </c>
      <c r="H78" s="520" t="str">
        <f>IF(G78="","",VLOOKUP($B78,'F-1 Off Site River Baseline'!$C$9:$R$257,7,FALSE))</f>
        <v/>
      </c>
      <c r="I78" s="520" t="str">
        <f>IF(H78="","",VLOOKUP($B78,'F-1 Off Site River Baseline'!$C$9:$R$257,8,FALSE))</f>
        <v/>
      </c>
      <c r="J78" s="520" t="str">
        <f>IF(I78="","",VLOOKUP($B78,'F-1 Off Site River Baseline'!$C$9:$R$257,9,FALSE))</f>
        <v/>
      </c>
      <c r="K78" s="520" t="str">
        <f>IF(J78="","",VLOOKUP($B78,'F-1 Off Site River Baseline'!$C$9:$R$257,10,FALSE))</f>
        <v/>
      </c>
      <c r="L78" s="520" t="str">
        <f>IF(B78="","",VLOOKUP($B78,'C-1 Site River Baseline'!$C$9:$R$257,15,FALSE))</f>
        <v/>
      </c>
      <c r="M78" s="524" t="str">
        <f>IF(L78="","",VLOOKUP($B78,'F-1 Off Site River Baseline'!$C$9:$R$257,16,FALSE))</f>
        <v/>
      </c>
      <c r="N78" s="418" t="str">
        <f t="shared" si="12"/>
        <v/>
      </c>
      <c r="O78" s="498" t="str">
        <f t="shared" si="13"/>
        <v/>
      </c>
      <c r="P78" s="499" t="str">
        <f>IF(C78="","",IF(AND(LEFT(C78,55)&lt;&gt;LEFT(N78,55),O78="High - High"),"Error - Not like for like ▲",IF(AND(F78=S78,H78&gt;U78),"Error - Can not reduce condition ▲",IF(AND(F78=S78,H78=U78,AJ78='F-1 Off Site River Baseline'!N76,'F-1 Off Site River Baseline'!P76=AL78),"Error - No enhancement ▲",IF(AND(C78&lt;&gt;N78,F78&lt;S78),"Lower Distinctiveness Habitat"&amp;" - "&amp;T78,G78&amp;" - "&amp;T78)))))</f>
        <v/>
      </c>
      <c r="Q78" s="505" t="str">
        <f>IF(N78="","",VLOOKUP(B78,'F-1 Off Site River Baseline'!$C$10:$AA$257,19,FALSE))</f>
        <v/>
      </c>
      <c r="R78" s="498" t="str">
        <f>IF(N78="","",VLOOKUP(N78,'G-7 Rivers Data'!$B$2:$G$8,2,FALSE))</f>
        <v/>
      </c>
      <c r="S78" s="499" t="str">
        <f>IFERROR(VLOOKUP(R78,'G-7 Rivers Data'!$C$4:$D$8,2,FALSE),"")</f>
        <v/>
      </c>
      <c r="T78" s="145"/>
      <c r="U78" s="499" t="str">
        <f>IFERROR(INDEX('G-7 Rivers Data'!$H$4:$L$8,MATCH(N78,'G-7 Rivers Data'!$B$4:$B$8,0),MATCH(T78,'G-7 Rivers Data'!$H$3:$L$3,0)),"")</f>
        <v/>
      </c>
      <c r="V78" s="154"/>
      <c r="W78" s="520" t="str">
        <f>IF(V78="","",IF(VLOOKUP(V78,'G-7 Rivers Data'!$AG$4:$AI$9,2,FALSE)=0,"Spatial Data Missing ⚠",VLOOKUP(V78,'G-7 Rivers Data'!$AG$4:$AI$9,2,FALSE)))</f>
        <v/>
      </c>
      <c r="X78" s="524" t="str">
        <f>IF(V78="","",IF(VLOOKUP(V78,'G-7 Rivers Data'!$AG$4:$AI$9,3,FALSE)=0,"Spatial Data Missing ⚠",VLOOKUP(V78,'G-7 Rivers Data'!$AG$4:$AI$9,3,FALSE)))</f>
        <v/>
      </c>
      <c r="Y78" s="537" t="str">
        <f>IFERROR(IF(OR(LEFT(P78,5)="Error ▲",LEFT(O78,5)="Error ▲"),"Check Data ⚠",IF(F78&lt;S78,'G-7 Rivers Data'!$R$3,INDEX('G-7 Rivers Data'!$U$5:$Y$9,MATCH(G78,'G-7 Rivers Data'!$T$5:$T$9,0),MATCH(T78,'G-7 Rivers Data'!$U$4:$Y$4,0)))),"")</f>
        <v/>
      </c>
      <c r="Z78" s="203"/>
      <c r="AA78" s="203"/>
      <c r="AB78" s="534" t="str">
        <f t="shared" si="8"/>
        <v/>
      </c>
      <c r="AC78" s="521" t="str">
        <f t="shared" si="9"/>
        <v/>
      </c>
      <c r="AD78" s="564" t="str">
        <f>IFERROR(IF(AC78="Check Data ⚠","Check Data ⚠",VLOOKUP(AC78,'G-4 Temporal multipliers'!$A$4:$C$37,3,FALSE)),"")</f>
        <v/>
      </c>
      <c r="AE78" s="537" t="str">
        <f>IF(N78="","",VLOOKUP(N78,'G-7 Rivers Data'!$B$4:$G$8,5,FALSE))</f>
        <v/>
      </c>
      <c r="AF78" s="520" t="str">
        <f t="shared" si="10"/>
        <v/>
      </c>
      <c r="AG78" s="520" t="str">
        <f t="shared" si="14"/>
        <v/>
      </c>
      <c r="AH78" s="524" t="str">
        <f t="shared" si="11"/>
        <v/>
      </c>
      <c r="AI78" s="145"/>
      <c r="AJ78" s="499" t="str">
        <f>IF(AI78="","",IF(VLOOKUP(AI78,'G-7 Rivers Data'!$AA$4:$AB$7,2,FALSE)=0,"Spatial Data Missing ⚠",VLOOKUP(AI78,'G-7 Rivers Data'!$AA$4:$AB$7,2,FALSE)))</f>
        <v/>
      </c>
      <c r="AK78" s="155"/>
      <c r="AL78" s="536" t="str">
        <f>IF(AK78="","",IF(VLOOKUP(AK78,'G-7 Rivers Data'!$AD$4:$AE$8,2,FALSE)=0,"Spatial Data Missing ⚠",VLOOKUP(AK78,'G-7 Rivers Data'!$AD$4:$AE$8,2,FALSE)))</f>
        <v/>
      </c>
      <c r="AM78" s="154"/>
      <c r="AN78" s="524" t="str">
        <f>IF(AM78="","",VLOOKUP(AM78,'G-7 Rivers Data'!$AO$4:$AP$7,2,FALSE))</f>
        <v/>
      </c>
      <c r="AO78" s="545" t="str">
        <f t="shared" si="15"/>
        <v/>
      </c>
      <c r="AP78" s="149"/>
      <c r="AQ78" s="150"/>
      <c r="AX78" s="31" t="str">
        <f>IFERROR(INDEX('G-7 Rivers Data'!$AZ$3:$AZ$7,MATCH(N78,'G-7 Rivers Data'!$AY$3:$AY$7,0)),"")</f>
        <v/>
      </c>
    </row>
    <row r="79" spans="2:50" ht="13.8" x14ac:dyDescent="0.25">
      <c r="B79" s="531" t="str">
        <f>'F-1 Off Site River Baseline'!AN77</f>
        <v/>
      </c>
      <c r="C79" s="520" t="str">
        <f>IF(B79="","",VLOOKUP($B79,'F-1 Off Site River Baseline'!$C$9:$R$257,2,FALSE))</f>
        <v/>
      </c>
      <c r="D79" s="520" t="str">
        <f>IF(C79="","",VLOOKUP($B79,'F-1 Off Site River Baseline'!$C$9:$R$257,3,FALSE))</f>
        <v/>
      </c>
      <c r="E79" s="520" t="str">
        <f>IF(D79="","",VLOOKUP($B79,'F-1 Off Site River Baseline'!$C$9:$R$257,4,FALSE))</f>
        <v/>
      </c>
      <c r="F79" s="520" t="str">
        <f>IF(E79="","",VLOOKUP($B79,'F-1 Off Site River Baseline'!$C$9:$R$257,5,FALSE))</f>
        <v/>
      </c>
      <c r="G79" s="520" t="str">
        <f>IF(F79="","",VLOOKUP($B79,'F-1 Off Site River Baseline'!$C$9:$R$257,6,FALSE))</f>
        <v/>
      </c>
      <c r="H79" s="520" t="str">
        <f>IF(G79="","",VLOOKUP($B79,'F-1 Off Site River Baseline'!$C$9:$R$257,7,FALSE))</f>
        <v/>
      </c>
      <c r="I79" s="520" t="str">
        <f>IF(H79="","",VLOOKUP($B79,'F-1 Off Site River Baseline'!$C$9:$R$257,8,FALSE))</f>
        <v/>
      </c>
      <c r="J79" s="520" t="str">
        <f>IF(I79="","",VLOOKUP($B79,'F-1 Off Site River Baseline'!$C$9:$R$257,9,FALSE))</f>
        <v/>
      </c>
      <c r="K79" s="520" t="str">
        <f>IF(J79="","",VLOOKUP($B79,'F-1 Off Site River Baseline'!$C$9:$R$257,10,FALSE))</f>
        <v/>
      </c>
      <c r="L79" s="520" t="str">
        <f>IF(B79="","",VLOOKUP($B79,'C-1 Site River Baseline'!$C$9:$R$257,15,FALSE))</f>
        <v/>
      </c>
      <c r="M79" s="524" t="str">
        <f>IF(L79="","",VLOOKUP($B79,'F-1 Off Site River Baseline'!$C$9:$R$257,16,FALSE))</f>
        <v/>
      </c>
      <c r="N79" s="418" t="str">
        <f t="shared" si="12"/>
        <v/>
      </c>
      <c r="O79" s="498" t="str">
        <f t="shared" si="13"/>
        <v/>
      </c>
      <c r="P79" s="499" t="str">
        <f>IF(C79="","",IF(AND(LEFT(C79,55)&lt;&gt;LEFT(N79,55),O79="High - High"),"Error - Not like for like ▲",IF(AND(F79=S79,H79&gt;U79),"Error - Can not reduce condition ▲",IF(AND(F79=S79,H79=U79,AJ79='F-1 Off Site River Baseline'!N77,'F-1 Off Site River Baseline'!P77=AL79),"Error - No enhancement ▲",IF(AND(C79&lt;&gt;N79,F79&lt;S79),"Lower Distinctiveness Habitat"&amp;" - "&amp;T79,G79&amp;" - "&amp;T79)))))</f>
        <v/>
      </c>
      <c r="Q79" s="505" t="str">
        <f>IF(N79="","",VLOOKUP(B79,'F-1 Off Site River Baseline'!$C$10:$AA$257,19,FALSE))</f>
        <v/>
      </c>
      <c r="R79" s="498" t="str">
        <f>IF(N79="","",VLOOKUP(N79,'G-7 Rivers Data'!$B$2:$G$8,2,FALSE))</f>
        <v/>
      </c>
      <c r="S79" s="499" t="str">
        <f>IFERROR(VLOOKUP(R79,'G-7 Rivers Data'!$C$4:$D$8,2,FALSE),"")</f>
        <v/>
      </c>
      <c r="T79" s="145"/>
      <c r="U79" s="499" t="str">
        <f>IFERROR(INDEX('G-7 Rivers Data'!$H$4:$L$8,MATCH(N79,'G-7 Rivers Data'!$B$4:$B$8,0),MATCH(T79,'G-7 Rivers Data'!$H$3:$L$3,0)),"")</f>
        <v/>
      </c>
      <c r="V79" s="154"/>
      <c r="W79" s="520" t="str">
        <f>IF(V79="","",IF(VLOOKUP(V79,'G-7 Rivers Data'!$AG$4:$AI$9,2,FALSE)=0,"Spatial Data Missing ⚠",VLOOKUP(V79,'G-7 Rivers Data'!$AG$4:$AI$9,2,FALSE)))</f>
        <v/>
      </c>
      <c r="X79" s="524" t="str">
        <f>IF(V79="","",IF(VLOOKUP(V79,'G-7 Rivers Data'!$AG$4:$AI$9,3,FALSE)=0,"Spatial Data Missing ⚠",VLOOKUP(V79,'G-7 Rivers Data'!$AG$4:$AI$9,3,FALSE)))</f>
        <v/>
      </c>
      <c r="Y79" s="537" t="str">
        <f>IFERROR(IF(OR(LEFT(P79,5)="Error ▲",LEFT(O79,5)="Error ▲"),"Check Data ⚠",IF(F79&lt;S79,'G-7 Rivers Data'!$R$3,INDEX('G-7 Rivers Data'!$U$5:$Y$9,MATCH(G79,'G-7 Rivers Data'!$T$5:$T$9,0),MATCH(T79,'G-7 Rivers Data'!$U$4:$Y$4,0)))),"")</f>
        <v/>
      </c>
      <c r="Z79" s="203"/>
      <c r="AA79" s="203"/>
      <c r="AB79" s="534" t="str">
        <f t="shared" si="8"/>
        <v/>
      </c>
      <c r="AC79" s="521" t="str">
        <f t="shared" si="9"/>
        <v/>
      </c>
      <c r="AD79" s="564" t="str">
        <f>IFERROR(IF(AC79="Check Data ⚠","Check Data ⚠",VLOOKUP(AC79,'G-4 Temporal multipliers'!$A$4:$C$37,3,FALSE)),"")</f>
        <v/>
      </c>
      <c r="AE79" s="537" t="str">
        <f>IF(N79="","",VLOOKUP(N79,'G-7 Rivers Data'!$B$4:$G$8,5,FALSE))</f>
        <v/>
      </c>
      <c r="AF79" s="520" t="str">
        <f t="shared" si="10"/>
        <v/>
      </c>
      <c r="AG79" s="520" t="str">
        <f t="shared" si="14"/>
        <v/>
      </c>
      <c r="AH79" s="524" t="str">
        <f t="shared" si="11"/>
        <v/>
      </c>
      <c r="AI79" s="145"/>
      <c r="AJ79" s="499" t="str">
        <f>IF(AI79="","",IF(VLOOKUP(AI79,'G-7 Rivers Data'!$AA$4:$AB$7,2,FALSE)=0,"Spatial Data Missing ⚠",VLOOKUP(AI79,'G-7 Rivers Data'!$AA$4:$AB$7,2,FALSE)))</f>
        <v/>
      </c>
      <c r="AK79" s="155"/>
      <c r="AL79" s="536" t="str">
        <f>IF(AK79="","",IF(VLOOKUP(AK79,'G-7 Rivers Data'!$AD$4:$AE$8,2,FALSE)=0,"Spatial Data Missing ⚠",VLOOKUP(AK79,'G-7 Rivers Data'!$AD$4:$AE$8,2,FALSE)))</f>
        <v/>
      </c>
      <c r="AM79" s="154"/>
      <c r="AN79" s="524" t="str">
        <f>IF(AM79="","",VLOOKUP(AM79,'G-7 Rivers Data'!$AO$4:$AP$7,2,FALSE))</f>
        <v/>
      </c>
      <c r="AO79" s="545" t="str">
        <f t="shared" si="15"/>
        <v/>
      </c>
      <c r="AP79" s="149"/>
      <c r="AQ79" s="150"/>
      <c r="AX79" s="31" t="str">
        <f>IFERROR(INDEX('G-7 Rivers Data'!$AZ$3:$AZ$7,MATCH(N79,'G-7 Rivers Data'!$AY$3:$AY$7,0)),"")</f>
        <v/>
      </c>
    </row>
    <row r="80" spans="2:50" ht="13.8" x14ac:dyDescent="0.25">
      <c r="B80" s="531" t="str">
        <f>'F-1 Off Site River Baseline'!AN78</f>
        <v/>
      </c>
      <c r="C80" s="520" t="str">
        <f>IF(B80="","",VLOOKUP($B80,'F-1 Off Site River Baseline'!$C$9:$R$257,2,FALSE))</f>
        <v/>
      </c>
      <c r="D80" s="520" t="str">
        <f>IF(C80="","",VLOOKUP($B80,'F-1 Off Site River Baseline'!$C$9:$R$257,3,FALSE))</f>
        <v/>
      </c>
      <c r="E80" s="520" t="str">
        <f>IF(D80="","",VLOOKUP($B80,'F-1 Off Site River Baseline'!$C$9:$R$257,4,FALSE))</f>
        <v/>
      </c>
      <c r="F80" s="520" t="str">
        <f>IF(E80="","",VLOOKUP($B80,'F-1 Off Site River Baseline'!$C$9:$R$257,5,FALSE))</f>
        <v/>
      </c>
      <c r="G80" s="520" t="str">
        <f>IF(F80="","",VLOOKUP($B80,'F-1 Off Site River Baseline'!$C$9:$R$257,6,FALSE))</f>
        <v/>
      </c>
      <c r="H80" s="520" t="str">
        <f>IF(G80="","",VLOOKUP($B80,'F-1 Off Site River Baseline'!$C$9:$R$257,7,FALSE))</f>
        <v/>
      </c>
      <c r="I80" s="520" t="str">
        <f>IF(H80="","",VLOOKUP($B80,'F-1 Off Site River Baseline'!$C$9:$R$257,8,FALSE))</f>
        <v/>
      </c>
      <c r="J80" s="520" t="str">
        <f>IF(I80="","",VLOOKUP($B80,'F-1 Off Site River Baseline'!$C$9:$R$257,9,FALSE))</f>
        <v/>
      </c>
      <c r="K80" s="520" t="str">
        <f>IF(J80="","",VLOOKUP($B80,'F-1 Off Site River Baseline'!$C$9:$R$257,10,FALSE))</f>
        <v/>
      </c>
      <c r="L80" s="520" t="str">
        <f>IF(B80="","",VLOOKUP($B80,'C-1 Site River Baseline'!$C$9:$R$257,15,FALSE))</f>
        <v/>
      </c>
      <c r="M80" s="524" t="str">
        <f>IF(L80="","",VLOOKUP($B80,'F-1 Off Site River Baseline'!$C$9:$R$257,16,FALSE))</f>
        <v/>
      </c>
      <c r="N80" s="418" t="str">
        <f t="shared" si="12"/>
        <v/>
      </c>
      <c r="O80" s="498" t="str">
        <f t="shared" si="13"/>
        <v/>
      </c>
      <c r="P80" s="499" t="str">
        <f>IF(C80="","",IF(AND(LEFT(C80,55)&lt;&gt;LEFT(N80,55),O80="High - High"),"Error - Not like for like ▲",IF(AND(F80=S80,H80&gt;U80),"Error - Can not reduce condition ▲",IF(AND(F80=S80,H80=U80,AJ80='F-1 Off Site River Baseline'!N78,'F-1 Off Site River Baseline'!P78=AL80),"Error - No enhancement ▲",IF(AND(C80&lt;&gt;N80,F80&lt;S80),"Lower Distinctiveness Habitat"&amp;" - "&amp;T80,G80&amp;" - "&amp;T80)))))</f>
        <v/>
      </c>
      <c r="Q80" s="505" t="str">
        <f>IF(N80="","",VLOOKUP(B80,'F-1 Off Site River Baseline'!$C$10:$AA$257,19,FALSE))</f>
        <v/>
      </c>
      <c r="R80" s="498" t="str">
        <f>IF(N80="","",VLOOKUP(N80,'G-7 Rivers Data'!$B$2:$G$8,2,FALSE))</f>
        <v/>
      </c>
      <c r="S80" s="499" t="str">
        <f>IFERROR(VLOOKUP(R80,'G-7 Rivers Data'!$C$4:$D$8,2,FALSE),"")</f>
        <v/>
      </c>
      <c r="T80" s="145"/>
      <c r="U80" s="499" t="str">
        <f>IFERROR(INDEX('G-7 Rivers Data'!$H$4:$L$8,MATCH(N80,'G-7 Rivers Data'!$B$4:$B$8,0),MATCH(T80,'G-7 Rivers Data'!$H$3:$L$3,0)),"")</f>
        <v/>
      </c>
      <c r="V80" s="154"/>
      <c r="W80" s="520" t="str">
        <f>IF(V80="","",IF(VLOOKUP(V80,'G-7 Rivers Data'!$AG$4:$AI$9,2,FALSE)=0,"Spatial Data Missing ⚠",VLOOKUP(V80,'G-7 Rivers Data'!$AG$4:$AI$9,2,FALSE)))</f>
        <v/>
      </c>
      <c r="X80" s="524" t="str">
        <f>IF(V80="","",IF(VLOOKUP(V80,'G-7 Rivers Data'!$AG$4:$AI$9,3,FALSE)=0,"Spatial Data Missing ⚠",VLOOKUP(V80,'G-7 Rivers Data'!$AG$4:$AI$9,3,FALSE)))</f>
        <v/>
      </c>
      <c r="Y80" s="537" t="str">
        <f>IFERROR(IF(OR(LEFT(P80,5)="Error ▲",LEFT(O80,5)="Error ▲"),"Check Data ⚠",IF(F80&lt;S80,'G-7 Rivers Data'!$R$3,INDEX('G-7 Rivers Data'!$U$5:$Y$9,MATCH(G80,'G-7 Rivers Data'!$T$5:$T$9,0),MATCH(T80,'G-7 Rivers Data'!$U$4:$Y$4,0)))),"")</f>
        <v/>
      </c>
      <c r="Z80" s="203"/>
      <c r="AA80" s="203"/>
      <c r="AB80" s="534" t="str">
        <f t="shared" si="8"/>
        <v/>
      </c>
      <c r="AC80" s="521" t="str">
        <f t="shared" si="9"/>
        <v/>
      </c>
      <c r="AD80" s="564" t="str">
        <f>IFERROR(IF(AC80="Check Data ⚠","Check Data ⚠",VLOOKUP(AC80,'G-4 Temporal multipliers'!$A$4:$C$37,3,FALSE)),"")</f>
        <v/>
      </c>
      <c r="AE80" s="537" t="str">
        <f>IF(N80="","",VLOOKUP(N80,'G-7 Rivers Data'!$B$4:$G$8,5,FALSE))</f>
        <v/>
      </c>
      <c r="AF80" s="520" t="str">
        <f t="shared" si="10"/>
        <v/>
      </c>
      <c r="AG80" s="520" t="str">
        <f t="shared" si="14"/>
        <v/>
      </c>
      <c r="AH80" s="524" t="str">
        <f t="shared" si="11"/>
        <v/>
      </c>
      <c r="AI80" s="145"/>
      <c r="AJ80" s="499" t="str">
        <f>IF(AI80="","",IF(VLOOKUP(AI80,'G-7 Rivers Data'!$AA$4:$AB$7,2,FALSE)=0,"Spatial Data Missing ⚠",VLOOKUP(AI80,'G-7 Rivers Data'!$AA$4:$AB$7,2,FALSE)))</f>
        <v/>
      </c>
      <c r="AK80" s="155"/>
      <c r="AL80" s="536" t="str">
        <f>IF(AK80="","",IF(VLOOKUP(AK80,'G-7 Rivers Data'!$AD$4:$AE$8,2,FALSE)=0,"Spatial Data Missing ⚠",VLOOKUP(AK80,'G-7 Rivers Data'!$AD$4:$AE$8,2,FALSE)))</f>
        <v/>
      </c>
      <c r="AM80" s="154"/>
      <c r="AN80" s="524" t="str">
        <f>IF(AM80="","",VLOOKUP(AM80,'G-7 Rivers Data'!$AO$4:$AP$7,2,FALSE))</f>
        <v/>
      </c>
      <c r="AO80" s="545" t="str">
        <f t="shared" si="15"/>
        <v/>
      </c>
      <c r="AP80" s="149"/>
      <c r="AQ80" s="150"/>
      <c r="AX80" s="31" t="str">
        <f>IFERROR(INDEX('G-7 Rivers Data'!$AZ$3:$AZ$7,MATCH(N80,'G-7 Rivers Data'!$AY$3:$AY$7,0)),"")</f>
        <v/>
      </c>
    </row>
    <row r="81" spans="2:50" ht="13.8" x14ac:dyDescent="0.25">
      <c r="B81" s="531" t="str">
        <f>'F-1 Off Site River Baseline'!AN79</f>
        <v/>
      </c>
      <c r="C81" s="520" t="str">
        <f>IF(B81="","",VLOOKUP($B81,'F-1 Off Site River Baseline'!$C$9:$R$257,2,FALSE))</f>
        <v/>
      </c>
      <c r="D81" s="520" t="str">
        <f>IF(C81="","",VLOOKUP($B81,'F-1 Off Site River Baseline'!$C$9:$R$257,3,FALSE))</f>
        <v/>
      </c>
      <c r="E81" s="520" t="str">
        <f>IF(D81="","",VLOOKUP($B81,'F-1 Off Site River Baseline'!$C$9:$R$257,4,FALSE))</f>
        <v/>
      </c>
      <c r="F81" s="520" t="str">
        <f>IF(E81="","",VLOOKUP($B81,'F-1 Off Site River Baseline'!$C$9:$R$257,5,FALSE))</f>
        <v/>
      </c>
      <c r="G81" s="520" t="str">
        <f>IF(F81="","",VLOOKUP($B81,'F-1 Off Site River Baseline'!$C$9:$R$257,6,FALSE))</f>
        <v/>
      </c>
      <c r="H81" s="520" t="str">
        <f>IF(G81="","",VLOOKUP($B81,'F-1 Off Site River Baseline'!$C$9:$R$257,7,FALSE))</f>
        <v/>
      </c>
      <c r="I81" s="520" t="str">
        <f>IF(H81="","",VLOOKUP($B81,'F-1 Off Site River Baseline'!$C$9:$R$257,8,FALSE))</f>
        <v/>
      </c>
      <c r="J81" s="520" t="str">
        <f>IF(I81="","",VLOOKUP($B81,'F-1 Off Site River Baseline'!$C$9:$R$257,9,FALSE))</f>
        <v/>
      </c>
      <c r="K81" s="520" t="str">
        <f>IF(J81="","",VLOOKUP($B81,'F-1 Off Site River Baseline'!$C$9:$R$257,10,FALSE))</f>
        <v/>
      </c>
      <c r="L81" s="520" t="str">
        <f>IF(B81="","",VLOOKUP($B81,'C-1 Site River Baseline'!$C$9:$R$257,15,FALSE))</f>
        <v/>
      </c>
      <c r="M81" s="524" t="str">
        <f>IF(L81="","",VLOOKUP($B81,'F-1 Off Site River Baseline'!$C$9:$R$257,16,FALSE))</f>
        <v/>
      </c>
      <c r="N81" s="418" t="str">
        <f t="shared" si="12"/>
        <v/>
      </c>
      <c r="O81" s="498" t="str">
        <f t="shared" si="13"/>
        <v/>
      </c>
      <c r="P81" s="499" t="str">
        <f>IF(C81="","",IF(AND(LEFT(C81,55)&lt;&gt;LEFT(N81,55),O81="High - High"),"Error - Not like for like ▲",IF(AND(F81=S81,H81&gt;U81),"Error - Can not reduce condition ▲",IF(AND(F81=S81,H81=U81,AJ81='F-1 Off Site River Baseline'!N79,'F-1 Off Site River Baseline'!P79=AL81),"Error - No enhancement ▲",IF(AND(C81&lt;&gt;N81,F81&lt;S81),"Lower Distinctiveness Habitat"&amp;" - "&amp;T81,G81&amp;" - "&amp;T81)))))</f>
        <v/>
      </c>
      <c r="Q81" s="505" t="str">
        <f>IF(N81="","",VLOOKUP(B81,'F-1 Off Site River Baseline'!$C$10:$AA$257,19,FALSE))</f>
        <v/>
      </c>
      <c r="R81" s="498" t="str">
        <f>IF(N81="","",VLOOKUP(N81,'G-7 Rivers Data'!$B$2:$G$8,2,FALSE))</f>
        <v/>
      </c>
      <c r="S81" s="499" t="str">
        <f>IFERROR(VLOOKUP(R81,'G-7 Rivers Data'!$C$4:$D$8,2,FALSE),"")</f>
        <v/>
      </c>
      <c r="T81" s="145"/>
      <c r="U81" s="499" t="str">
        <f>IFERROR(INDEX('G-7 Rivers Data'!$H$4:$L$8,MATCH(N81,'G-7 Rivers Data'!$B$4:$B$8,0),MATCH(T81,'G-7 Rivers Data'!$H$3:$L$3,0)),"")</f>
        <v/>
      </c>
      <c r="V81" s="154"/>
      <c r="W81" s="520" t="str">
        <f>IF(V81="","",IF(VLOOKUP(V81,'G-7 Rivers Data'!$AG$4:$AI$9,2,FALSE)=0,"Spatial Data Missing ⚠",VLOOKUP(V81,'G-7 Rivers Data'!$AG$4:$AI$9,2,FALSE)))</f>
        <v/>
      </c>
      <c r="X81" s="524" t="str">
        <f>IF(V81="","",IF(VLOOKUP(V81,'G-7 Rivers Data'!$AG$4:$AI$9,3,FALSE)=0,"Spatial Data Missing ⚠",VLOOKUP(V81,'G-7 Rivers Data'!$AG$4:$AI$9,3,FALSE)))</f>
        <v/>
      </c>
      <c r="Y81" s="537" t="str">
        <f>IFERROR(IF(OR(LEFT(P81,5)="Error ▲",LEFT(O81,5)="Error ▲"),"Check Data ⚠",IF(F81&lt;S81,'G-7 Rivers Data'!$R$3,INDEX('G-7 Rivers Data'!$U$5:$Y$9,MATCH(G81,'G-7 Rivers Data'!$T$5:$T$9,0),MATCH(T81,'G-7 Rivers Data'!$U$4:$Y$4,0)))),"")</f>
        <v/>
      </c>
      <c r="Z81" s="203"/>
      <c r="AA81" s="203"/>
      <c r="AB81" s="534" t="str">
        <f t="shared" si="8"/>
        <v/>
      </c>
      <c r="AC81" s="521" t="str">
        <f t="shared" si="9"/>
        <v/>
      </c>
      <c r="AD81" s="564" t="str">
        <f>IFERROR(IF(AC81="Check Data ⚠","Check Data ⚠",VLOOKUP(AC81,'G-4 Temporal multipliers'!$A$4:$C$37,3,FALSE)),"")</f>
        <v/>
      </c>
      <c r="AE81" s="537" t="str">
        <f>IF(N81="","",VLOOKUP(N81,'G-7 Rivers Data'!$B$4:$G$8,5,FALSE))</f>
        <v/>
      </c>
      <c r="AF81" s="520" t="str">
        <f t="shared" si="10"/>
        <v/>
      </c>
      <c r="AG81" s="520" t="str">
        <f t="shared" si="14"/>
        <v/>
      </c>
      <c r="AH81" s="524" t="str">
        <f t="shared" si="11"/>
        <v/>
      </c>
      <c r="AI81" s="145"/>
      <c r="AJ81" s="499" t="str">
        <f>IF(AI81="","",IF(VLOOKUP(AI81,'G-7 Rivers Data'!$AA$4:$AB$7,2,FALSE)=0,"Spatial Data Missing ⚠",VLOOKUP(AI81,'G-7 Rivers Data'!$AA$4:$AB$7,2,FALSE)))</f>
        <v/>
      </c>
      <c r="AK81" s="155"/>
      <c r="AL81" s="536" t="str">
        <f>IF(AK81="","",IF(VLOOKUP(AK81,'G-7 Rivers Data'!$AD$4:$AE$8,2,FALSE)=0,"Spatial Data Missing ⚠",VLOOKUP(AK81,'G-7 Rivers Data'!$AD$4:$AE$8,2,FALSE)))</f>
        <v/>
      </c>
      <c r="AM81" s="154"/>
      <c r="AN81" s="524" t="str">
        <f>IF(AM81="","",VLOOKUP(AM81,'G-7 Rivers Data'!$AO$4:$AP$7,2,FALSE))</f>
        <v/>
      </c>
      <c r="AO81" s="545" t="str">
        <f t="shared" si="15"/>
        <v/>
      </c>
      <c r="AP81" s="149"/>
      <c r="AQ81" s="150"/>
      <c r="AX81" s="31" t="str">
        <f>IFERROR(INDEX('G-7 Rivers Data'!$AZ$3:$AZ$7,MATCH(N81,'G-7 Rivers Data'!$AY$3:$AY$7,0)),"")</f>
        <v/>
      </c>
    </row>
    <row r="82" spans="2:50" ht="13.8" x14ac:dyDescent="0.25">
      <c r="B82" s="531" t="str">
        <f>'F-1 Off Site River Baseline'!AN80</f>
        <v/>
      </c>
      <c r="C82" s="520" t="str">
        <f>IF(B82="","",VLOOKUP($B82,'F-1 Off Site River Baseline'!$C$9:$R$257,2,FALSE))</f>
        <v/>
      </c>
      <c r="D82" s="520" t="str">
        <f>IF(C82="","",VLOOKUP($B82,'F-1 Off Site River Baseline'!$C$9:$R$257,3,FALSE))</f>
        <v/>
      </c>
      <c r="E82" s="520" t="str">
        <f>IF(D82="","",VLOOKUP($B82,'F-1 Off Site River Baseline'!$C$9:$R$257,4,FALSE))</f>
        <v/>
      </c>
      <c r="F82" s="520" t="str">
        <f>IF(E82="","",VLOOKUP($B82,'F-1 Off Site River Baseline'!$C$9:$R$257,5,FALSE))</f>
        <v/>
      </c>
      <c r="G82" s="520" t="str">
        <f>IF(F82="","",VLOOKUP($B82,'F-1 Off Site River Baseline'!$C$9:$R$257,6,FALSE))</f>
        <v/>
      </c>
      <c r="H82" s="520" t="str">
        <f>IF(G82="","",VLOOKUP($B82,'F-1 Off Site River Baseline'!$C$9:$R$257,7,FALSE))</f>
        <v/>
      </c>
      <c r="I82" s="520" t="str">
        <f>IF(H82="","",VLOOKUP($B82,'F-1 Off Site River Baseline'!$C$9:$R$257,8,FALSE))</f>
        <v/>
      </c>
      <c r="J82" s="520" t="str">
        <f>IF(I82="","",VLOOKUP($B82,'F-1 Off Site River Baseline'!$C$9:$R$257,9,FALSE))</f>
        <v/>
      </c>
      <c r="K82" s="520" t="str">
        <f>IF(J82="","",VLOOKUP($B82,'F-1 Off Site River Baseline'!$C$9:$R$257,10,FALSE))</f>
        <v/>
      </c>
      <c r="L82" s="520" t="str">
        <f>IF(B82="","",VLOOKUP($B82,'C-1 Site River Baseline'!$C$9:$R$257,15,FALSE))</f>
        <v/>
      </c>
      <c r="M82" s="524" t="str">
        <f>IF(L82="","",VLOOKUP($B82,'F-1 Off Site River Baseline'!$C$9:$R$257,16,FALSE))</f>
        <v/>
      </c>
      <c r="N82" s="418" t="str">
        <f t="shared" si="12"/>
        <v/>
      </c>
      <c r="O82" s="498" t="str">
        <f t="shared" si="13"/>
        <v/>
      </c>
      <c r="P82" s="499" t="str">
        <f>IF(C82="","",IF(AND(LEFT(C82,55)&lt;&gt;LEFT(N82,55),O82="High - High"),"Error - Not like for like ▲",IF(AND(F82=S82,H82&gt;U82),"Error - Can not reduce condition ▲",IF(AND(F82=S82,H82=U82,AJ82='F-1 Off Site River Baseline'!N80,'F-1 Off Site River Baseline'!P80=AL82),"Error - No enhancement ▲",IF(AND(C82&lt;&gt;N82,F82&lt;S82),"Lower Distinctiveness Habitat"&amp;" - "&amp;T82,G82&amp;" - "&amp;T82)))))</f>
        <v/>
      </c>
      <c r="Q82" s="505" t="str">
        <f>IF(N82="","",VLOOKUP(B82,'F-1 Off Site River Baseline'!$C$10:$AA$257,19,FALSE))</f>
        <v/>
      </c>
      <c r="R82" s="498" t="str">
        <f>IF(N82="","",VLOOKUP(N82,'G-7 Rivers Data'!$B$2:$G$8,2,FALSE))</f>
        <v/>
      </c>
      <c r="S82" s="499" t="str">
        <f>IFERROR(VLOOKUP(R82,'G-7 Rivers Data'!$C$4:$D$8,2,FALSE),"")</f>
        <v/>
      </c>
      <c r="T82" s="145"/>
      <c r="U82" s="499" t="str">
        <f>IFERROR(INDEX('G-7 Rivers Data'!$H$4:$L$8,MATCH(N82,'G-7 Rivers Data'!$B$4:$B$8,0),MATCH(T82,'G-7 Rivers Data'!$H$3:$L$3,0)),"")</f>
        <v/>
      </c>
      <c r="V82" s="154"/>
      <c r="W82" s="520" t="str">
        <f>IF(V82="","",IF(VLOOKUP(V82,'G-7 Rivers Data'!$AG$4:$AI$9,2,FALSE)=0,"Spatial Data Missing ⚠",VLOOKUP(V82,'G-7 Rivers Data'!$AG$4:$AI$9,2,FALSE)))</f>
        <v/>
      </c>
      <c r="X82" s="524" t="str">
        <f>IF(V82="","",IF(VLOOKUP(V82,'G-7 Rivers Data'!$AG$4:$AI$9,3,FALSE)=0,"Spatial Data Missing ⚠",VLOOKUP(V82,'G-7 Rivers Data'!$AG$4:$AI$9,3,FALSE)))</f>
        <v/>
      </c>
      <c r="Y82" s="537" t="str">
        <f>IFERROR(IF(OR(LEFT(P82,5)="Error ▲",LEFT(O82,5)="Error ▲"),"Check Data ⚠",IF(F82&lt;S82,'G-7 Rivers Data'!$R$3,INDEX('G-7 Rivers Data'!$U$5:$Y$9,MATCH(G82,'G-7 Rivers Data'!$T$5:$T$9,0),MATCH(T82,'G-7 Rivers Data'!$U$4:$Y$4,0)))),"")</f>
        <v/>
      </c>
      <c r="Z82" s="203"/>
      <c r="AA82" s="203"/>
      <c r="AB82" s="534" t="str">
        <f t="shared" si="8"/>
        <v/>
      </c>
      <c r="AC82" s="521" t="str">
        <f t="shared" si="9"/>
        <v/>
      </c>
      <c r="AD82" s="564" t="str">
        <f>IFERROR(IF(AC82="Check Data ⚠","Check Data ⚠",VLOOKUP(AC82,'G-4 Temporal multipliers'!$A$4:$C$37,3,FALSE)),"")</f>
        <v/>
      </c>
      <c r="AE82" s="537" t="str">
        <f>IF(N82="","",VLOOKUP(N82,'G-7 Rivers Data'!$B$4:$G$8,5,FALSE))</f>
        <v/>
      </c>
      <c r="AF82" s="520" t="str">
        <f t="shared" si="10"/>
        <v/>
      </c>
      <c r="AG82" s="520" t="str">
        <f t="shared" si="14"/>
        <v/>
      </c>
      <c r="AH82" s="524" t="str">
        <f t="shared" si="11"/>
        <v/>
      </c>
      <c r="AI82" s="145"/>
      <c r="AJ82" s="499" t="str">
        <f>IF(AI82="","",IF(VLOOKUP(AI82,'G-7 Rivers Data'!$AA$4:$AB$7,2,FALSE)=0,"Spatial Data Missing ⚠",VLOOKUP(AI82,'G-7 Rivers Data'!$AA$4:$AB$7,2,FALSE)))</f>
        <v/>
      </c>
      <c r="AK82" s="155"/>
      <c r="AL82" s="536" t="str">
        <f>IF(AK82="","",IF(VLOOKUP(AK82,'G-7 Rivers Data'!$AD$4:$AE$8,2,FALSE)=0,"Spatial Data Missing ⚠",VLOOKUP(AK82,'G-7 Rivers Data'!$AD$4:$AE$8,2,FALSE)))</f>
        <v/>
      </c>
      <c r="AM82" s="154"/>
      <c r="AN82" s="524" t="str">
        <f>IF(AM82="","",VLOOKUP(AM82,'G-7 Rivers Data'!$AO$4:$AP$7,2,FALSE))</f>
        <v/>
      </c>
      <c r="AO82" s="545" t="str">
        <f t="shared" si="15"/>
        <v/>
      </c>
      <c r="AP82" s="149"/>
      <c r="AQ82" s="150"/>
      <c r="AX82" s="31" t="str">
        <f>IFERROR(INDEX('G-7 Rivers Data'!$AZ$3:$AZ$7,MATCH(N82,'G-7 Rivers Data'!$AY$3:$AY$7,0)),"")</f>
        <v/>
      </c>
    </row>
    <row r="83" spans="2:50" ht="13.8" x14ac:dyDescent="0.25">
      <c r="B83" s="531" t="str">
        <f>'F-1 Off Site River Baseline'!AN81</f>
        <v/>
      </c>
      <c r="C83" s="520" t="str">
        <f>IF(B83="","",VLOOKUP($B83,'F-1 Off Site River Baseline'!$C$9:$R$257,2,FALSE))</f>
        <v/>
      </c>
      <c r="D83" s="520" t="str">
        <f>IF(C83="","",VLOOKUP($B83,'F-1 Off Site River Baseline'!$C$9:$R$257,3,FALSE))</f>
        <v/>
      </c>
      <c r="E83" s="520" t="str">
        <f>IF(D83="","",VLOOKUP($B83,'F-1 Off Site River Baseline'!$C$9:$R$257,4,FALSE))</f>
        <v/>
      </c>
      <c r="F83" s="520" t="str">
        <f>IF(E83="","",VLOOKUP($B83,'F-1 Off Site River Baseline'!$C$9:$R$257,5,FALSE))</f>
        <v/>
      </c>
      <c r="G83" s="520" t="str">
        <f>IF(F83="","",VLOOKUP($B83,'F-1 Off Site River Baseline'!$C$9:$R$257,6,FALSE))</f>
        <v/>
      </c>
      <c r="H83" s="520" t="str">
        <f>IF(G83="","",VLOOKUP($B83,'F-1 Off Site River Baseline'!$C$9:$R$257,7,FALSE))</f>
        <v/>
      </c>
      <c r="I83" s="520" t="str">
        <f>IF(H83="","",VLOOKUP($B83,'F-1 Off Site River Baseline'!$C$9:$R$257,8,FALSE))</f>
        <v/>
      </c>
      <c r="J83" s="520" t="str">
        <f>IF(I83="","",VLOOKUP($B83,'F-1 Off Site River Baseline'!$C$9:$R$257,9,FALSE))</f>
        <v/>
      </c>
      <c r="K83" s="520" t="str">
        <f>IF(J83="","",VLOOKUP($B83,'F-1 Off Site River Baseline'!$C$9:$R$257,10,FALSE))</f>
        <v/>
      </c>
      <c r="L83" s="520" t="str">
        <f>IF(B83="","",VLOOKUP($B83,'C-1 Site River Baseline'!$C$9:$R$257,15,FALSE))</f>
        <v/>
      </c>
      <c r="M83" s="524" t="str">
        <f>IF(L83="","",VLOOKUP($B83,'F-1 Off Site River Baseline'!$C$9:$R$257,16,FALSE))</f>
        <v/>
      </c>
      <c r="N83" s="418" t="str">
        <f t="shared" si="12"/>
        <v/>
      </c>
      <c r="O83" s="498" t="str">
        <f t="shared" si="13"/>
        <v/>
      </c>
      <c r="P83" s="499" t="str">
        <f>IF(C83="","",IF(AND(LEFT(C83,55)&lt;&gt;LEFT(N83,55),O83="High - High"),"Error - Not like for like ▲",IF(AND(F83=S83,H83&gt;U83),"Error - Can not reduce condition ▲",IF(AND(F83=S83,H83=U83,AJ83='F-1 Off Site River Baseline'!N81,'F-1 Off Site River Baseline'!P81=AL83),"Error - No enhancement ▲",IF(AND(C83&lt;&gt;N83,F83&lt;S83),"Lower Distinctiveness Habitat"&amp;" - "&amp;T83,G83&amp;" - "&amp;T83)))))</f>
        <v/>
      </c>
      <c r="Q83" s="505" t="str">
        <f>IF(N83="","",VLOOKUP(B83,'F-1 Off Site River Baseline'!$C$10:$AA$257,19,FALSE))</f>
        <v/>
      </c>
      <c r="R83" s="498" t="str">
        <f>IF(N83="","",VLOOKUP(N83,'G-7 Rivers Data'!$B$2:$G$8,2,FALSE))</f>
        <v/>
      </c>
      <c r="S83" s="499" t="str">
        <f>IFERROR(VLOOKUP(R83,'G-7 Rivers Data'!$C$4:$D$8,2,FALSE),"")</f>
        <v/>
      </c>
      <c r="T83" s="145"/>
      <c r="U83" s="499" t="str">
        <f>IFERROR(INDEX('G-7 Rivers Data'!$H$4:$L$8,MATCH(N83,'G-7 Rivers Data'!$B$4:$B$8,0),MATCH(T83,'G-7 Rivers Data'!$H$3:$L$3,0)),"")</f>
        <v/>
      </c>
      <c r="V83" s="154"/>
      <c r="W83" s="520" t="str">
        <f>IF(V83="","",IF(VLOOKUP(V83,'G-7 Rivers Data'!$AG$4:$AI$9,2,FALSE)=0,"Spatial Data Missing ⚠",VLOOKUP(V83,'G-7 Rivers Data'!$AG$4:$AI$9,2,FALSE)))</f>
        <v/>
      </c>
      <c r="X83" s="524" t="str">
        <f>IF(V83="","",IF(VLOOKUP(V83,'G-7 Rivers Data'!$AG$4:$AI$9,3,FALSE)=0,"Spatial Data Missing ⚠",VLOOKUP(V83,'G-7 Rivers Data'!$AG$4:$AI$9,3,FALSE)))</f>
        <v/>
      </c>
      <c r="Y83" s="537" t="str">
        <f>IFERROR(IF(OR(LEFT(P83,5)="Error ▲",LEFT(O83,5)="Error ▲"),"Check Data ⚠",IF(F83&lt;S83,'G-7 Rivers Data'!$R$3,INDEX('G-7 Rivers Data'!$U$5:$Y$9,MATCH(G83,'G-7 Rivers Data'!$T$5:$T$9,0),MATCH(T83,'G-7 Rivers Data'!$U$4:$Y$4,0)))),"")</f>
        <v/>
      </c>
      <c r="Z83" s="203"/>
      <c r="AA83" s="203"/>
      <c r="AB83" s="534" t="str">
        <f t="shared" si="8"/>
        <v/>
      </c>
      <c r="AC83" s="521" t="str">
        <f t="shared" si="9"/>
        <v/>
      </c>
      <c r="AD83" s="564" t="str">
        <f>IFERROR(IF(AC83="Check Data ⚠","Check Data ⚠",VLOOKUP(AC83,'G-4 Temporal multipliers'!$A$4:$C$37,3,FALSE)),"")</f>
        <v/>
      </c>
      <c r="AE83" s="537" t="str">
        <f>IF(N83="","",VLOOKUP(N83,'G-7 Rivers Data'!$B$4:$G$8,5,FALSE))</f>
        <v/>
      </c>
      <c r="AF83" s="520" t="str">
        <f t="shared" si="10"/>
        <v/>
      </c>
      <c r="AG83" s="520" t="str">
        <f t="shared" si="14"/>
        <v/>
      </c>
      <c r="AH83" s="524" t="str">
        <f t="shared" si="11"/>
        <v/>
      </c>
      <c r="AI83" s="145"/>
      <c r="AJ83" s="499" t="str">
        <f>IF(AI83="","",IF(VLOOKUP(AI83,'G-7 Rivers Data'!$AA$4:$AB$7,2,FALSE)=0,"Spatial Data Missing ⚠",VLOOKUP(AI83,'G-7 Rivers Data'!$AA$4:$AB$7,2,FALSE)))</f>
        <v/>
      </c>
      <c r="AK83" s="155"/>
      <c r="AL83" s="536" t="str">
        <f>IF(AK83="","",IF(VLOOKUP(AK83,'G-7 Rivers Data'!$AD$4:$AE$8,2,FALSE)=0,"Spatial Data Missing ⚠",VLOOKUP(AK83,'G-7 Rivers Data'!$AD$4:$AE$8,2,FALSE)))</f>
        <v/>
      </c>
      <c r="AM83" s="154"/>
      <c r="AN83" s="524" t="str">
        <f>IF(AM83="","",VLOOKUP(AM83,'G-7 Rivers Data'!$AO$4:$AP$7,2,FALSE))</f>
        <v/>
      </c>
      <c r="AO83" s="545" t="str">
        <f t="shared" si="15"/>
        <v/>
      </c>
      <c r="AP83" s="149"/>
      <c r="AQ83" s="150"/>
      <c r="AX83" s="31" t="str">
        <f>IFERROR(INDEX('G-7 Rivers Data'!$AZ$3:$AZ$7,MATCH(N83,'G-7 Rivers Data'!$AY$3:$AY$7,0)),"")</f>
        <v/>
      </c>
    </row>
    <row r="84" spans="2:50" ht="13.8" x14ac:dyDescent="0.25">
      <c r="B84" s="531" t="str">
        <f>'F-1 Off Site River Baseline'!AN82</f>
        <v/>
      </c>
      <c r="C84" s="520" t="str">
        <f>IF(B84="","",VLOOKUP($B84,'F-1 Off Site River Baseline'!$C$9:$R$257,2,FALSE))</f>
        <v/>
      </c>
      <c r="D84" s="520" t="str">
        <f>IF(C84="","",VLOOKUP($B84,'F-1 Off Site River Baseline'!$C$9:$R$257,3,FALSE))</f>
        <v/>
      </c>
      <c r="E84" s="520" t="str">
        <f>IF(D84="","",VLOOKUP($B84,'F-1 Off Site River Baseline'!$C$9:$R$257,4,FALSE))</f>
        <v/>
      </c>
      <c r="F84" s="520" t="str">
        <f>IF(E84="","",VLOOKUP($B84,'F-1 Off Site River Baseline'!$C$9:$R$257,5,FALSE))</f>
        <v/>
      </c>
      <c r="G84" s="520" t="str">
        <f>IF(F84="","",VLOOKUP($B84,'F-1 Off Site River Baseline'!$C$9:$R$257,6,FALSE))</f>
        <v/>
      </c>
      <c r="H84" s="520" t="str">
        <f>IF(G84="","",VLOOKUP($B84,'F-1 Off Site River Baseline'!$C$9:$R$257,7,FALSE))</f>
        <v/>
      </c>
      <c r="I84" s="520" t="str">
        <f>IF(H84="","",VLOOKUP($B84,'F-1 Off Site River Baseline'!$C$9:$R$257,8,FALSE))</f>
        <v/>
      </c>
      <c r="J84" s="520" t="str">
        <f>IF(I84="","",VLOOKUP($B84,'F-1 Off Site River Baseline'!$C$9:$R$257,9,FALSE))</f>
        <v/>
      </c>
      <c r="K84" s="520" t="str">
        <f>IF(J84="","",VLOOKUP($B84,'F-1 Off Site River Baseline'!$C$9:$R$257,10,FALSE))</f>
        <v/>
      </c>
      <c r="L84" s="520" t="str">
        <f>IF(B84="","",VLOOKUP($B84,'C-1 Site River Baseline'!$C$9:$R$257,15,FALSE))</f>
        <v/>
      </c>
      <c r="M84" s="524" t="str">
        <f>IF(L84="","",VLOOKUP($B84,'F-1 Off Site River Baseline'!$C$9:$R$257,16,FALSE))</f>
        <v/>
      </c>
      <c r="N84" s="418" t="str">
        <f t="shared" si="12"/>
        <v/>
      </c>
      <c r="O84" s="498" t="str">
        <f t="shared" si="13"/>
        <v/>
      </c>
      <c r="P84" s="499" t="str">
        <f>IF(C84="","",IF(AND(LEFT(C84,55)&lt;&gt;LEFT(N84,55),O84="High - High"),"Error - Not like for like ▲",IF(AND(F84=S84,H84&gt;U84),"Error - Can not reduce condition ▲",IF(AND(F84=S84,H84=U84,AJ84='F-1 Off Site River Baseline'!N82,'F-1 Off Site River Baseline'!P82=AL84),"Error - No enhancement ▲",IF(AND(C84&lt;&gt;N84,F84&lt;S84),"Lower Distinctiveness Habitat"&amp;" - "&amp;T84,G84&amp;" - "&amp;T84)))))</f>
        <v/>
      </c>
      <c r="Q84" s="505" t="str">
        <f>IF(N84="","",VLOOKUP(B84,'F-1 Off Site River Baseline'!$C$10:$AA$257,19,FALSE))</f>
        <v/>
      </c>
      <c r="R84" s="498" t="str">
        <f>IF(N84="","",VLOOKUP(N84,'G-7 Rivers Data'!$B$2:$G$8,2,FALSE))</f>
        <v/>
      </c>
      <c r="S84" s="499" t="str">
        <f>IFERROR(VLOOKUP(R84,'G-7 Rivers Data'!$C$4:$D$8,2,FALSE),"")</f>
        <v/>
      </c>
      <c r="T84" s="145"/>
      <c r="U84" s="499" t="str">
        <f>IFERROR(INDEX('G-7 Rivers Data'!$H$4:$L$8,MATCH(N84,'G-7 Rivers Data'!$B$4:$B$8,0),MATCH(T84,'G-7 Rivers Data'!$H$3:$L$3,0)),"")</f>
        <v/>
      </c>
      <c r="V84" s="154"/>
      <c r="W84" s="520" t="str">
        <f>IF(V84="","",IF(VLOOKUP(V84,'G-7 Rivers Data'!$AG$4:$AI$9,2,FALSE)=0,"Spatial Data Missing ⚠",VLOOKUP(V84,'G-7 Rivers Data'!$AG$4:$AI$9,2,FALSE)))</f>
        <v/>
      </c>
      <c r="X84" s="524" t="str">
        <f>IF(V84="","",IF(VLOOKUP(V84,'G-7 Rivers Data'!$AG$4:$AI$9,3,FALSE)=0,"Spatial Data Missing ⚠",VLOOKUP(V84,'G-7 Rivers Data'!$AG$4:$AI$9,3,FALSE)))</f>
        <v/>
      </c>
      <c r="Y84" s="537" t="str">
        <f>IFERROR(IF(OR(LEFT(P84,5)="Error ▲",LEFT(O84,5)="Error ▲"),"Check Data ⚠",IF(F84&lt;S84,'G-7 Rivers Data'!$R$3,INDEX('G-7 Rivers Data'!$U$5:$Y$9,MATCH(G84,'G-7 Rivers Data'!$T$5:$T$9,0),MATCH(T84,'G-7 Rivers Data'!$U$4:$Y$4,0)))),"")</f>
        <v/>
      </c>
      <c r="Z84" s="203"/>
      <c r="AA84" s="203"/>
      <c r="AB84" s="534" t="str">
        <f t="shared" si="8"/>
        <v/>
      </c>
      <c r="AC84" s="521" t="str">
        <f t="shared" si="9"/>
        <v/>
      </c>
      <c r="AD84" s="564" t="str">
        <f>IFERROR(IF(AC84="Check Data ⚠","Check Data ⚠",VLOOKUP(AC84,'G-4 Temporal multipliers'!$A$4:$C$37,3,FALSE)),"")</f>
        <v/>
      </c>
      <c r="AE84" s="537" t="str">
        <f>IF(N84="","",VLOOKUP(N84,'G-7 Rivers Data'!$B$4:$G$8,5,FALSE))</f>
        <v/>
      </c>
      <c r="AF84" s="520" t="str">
        <f t="shared" si="10"/>
        <v/>
      </c>
      <c r="AG84" s="520" t="str">
        <f t="shared" si="14"/>
        <v/>
      </c>
      <c r="AH84" s="524" t="str">
        <f t="shared" si="11"/>
        <v/>
      </c>
      <c r="AI84" s="145"/>
      <c r="AJ84" s="499" t="str">
        <f>IF(AI84="","",IF(VLOOKUP(AI84,'G-7 Rivers Data'!$AA$4:$AB$7,2,FALSE)=0,"Spatial Data Missing ⚠",VLOOKUP(AI84,'G-7 Rivers Data'!$AA$4:$AB$7,2,FALSE)))</f>
        <v/>
      </c>
      <c r="AK84" s="155"/>
      <c r="AL84" s="536" t="str">
        <f>IF(AK84="","",IF(VLOOKUP(AK84,'G-7 Rivers Data'!$AD$4:$AE$8,2,FALSE)=0,"Spatial Data Missing ⚠",VLOOKUP(AK84,'G-7 Rivers Data'!$AD$4:$AE$8,2,FALSE)))</f>
        <v/>
      </c>
      <c r="AM84" s="154"/>
      <c r="AN84" s="524" t="str">
        <f>IF(AM84="","",VLOOKUP(AM84,'G-7 Rivers Data'!$AO$4:$AP$7,2,FALSE))</f>
        <v/>
      </c>
      <c r="AO84" s="545" t="str">
        <f t="shared" si="15"/>
        <v/>
      </c>
      <c r="AP84" s="149"/>
      <c r="AQ84" s="150"/>
      <c r="AX84" s="31" t="str">
        <f>IFERROR(INDEX('G-7 Rivers Data'!$AZ$3:$AZ$7,MATCH(N84,'G-7 Rivers Data'!$AY$3:$AY$7,0)),"")</f>
        <v/>
      </c>
    </row>
    <row r="85" spans="2:50" ht="13.8" x14ac:dyDescent="0.25">
      <c r="B85" s="531" t="str">
        <f>'F-1 Off Site River Baseline'!AN83</f>
        <v/>
      </c>
      <c r="C85" s="520" t="str">
        <f>IF(B85="","",VLOOKUP($B85,'F-1 Off Site River Baseline'!$C$9:$R$257,2,FALSE))</f>
        <v/>
      </c>
      <c r="D85" s="520" t="str">
        <f>IF(C85="","",VLOOKUP($B85,'F-1 Off Site River Baseline'!$C$9:$R$257,3,FALSE))</f>
        <v/>
      </c>
      <c r="E85" s="520" t="str">
        <f>IF(D85="","",VLOOKUP($B85,'F-1 Off Site River Baseline'!$C$9:$R$257,4,FALSE))</f>
        <v/>
      </c>
      <c r="F85" s="520" t="str">
        <f>IF(E85="","",VLOOKUP($B85,'F-1 Off Site River Baseline'!$C$9:$R$257,5,FALSE))</f>
        <v/>
      </c>
      <c r="G85" s="520" t="str">
        <f>IF(F85="","",VLOOKUP($B85,'F-1 Off Site River Baseline'!$C$9:$R$257,6,FALSE))</f>
        <v/>
      </c>
      <c r="H85" s="520" t="str">
        <f>IF(G85="","",VLOOKUP($B85,'F-1 Off Site River Baseline'!$C$9:$R$257,7,FALSE))</f>
        <v/>
      </c>
      <c r="I85" s="520" t="str">
        <f>IF(H85="","",VLOOKUP($B85,'F-1 Off Site River Baseline'!$C$9:$R$257,8,FALSE))</f>
        <v/>
      </c>
      <c r="J85" s="520" t="str">
        <f>IF(I85="","",VLOOKUP($B85,'F-1 Off Site River Baseline'!$C$9:$R$257,9,FALSE))</f>
        <v/>
      </c>
      <c r="K85" s="520" t="str">
        <f>IF(J85="","",VLOOKUP($B85,'F-1 Off Site River Baseline'!$C$9:$R$257,10,FALSE))</f>
        <v/>
      </c>
      <c r="L85" s="520" t="str">
        <f>IF(B85="","",VLOOKUP($B85,'C-1 Site River Baseline'!$C$9:$R$257,15,FALSE))</f>
        <v/>
      </c>
      <c r="M85" s="524" t="str">
        <f>IF(L85="","",VLOOKUP($B85,'F-1 Off Site River Baseline'!$C$9:$R$257,16,FALSE))</f>
        <v/>
      </c>
      <c r="N85" s="418" t="str">
        <f t="shared" si="12"/>
        <v/>
      </c>
      <c r="O85" s="498" t="str">
        <f t="shared" si="13"/>
        <v/>
      </c>
      <c r="P85" s="499" t="str">
        <f>IF(C85="","",IF(AND(LEFT(C85,55)&lt;&gt;LEFT(N85,55),O85="High - High"),"Error - Not like for like ▲",IF(AND(F85=S85,H85&gt;U85),"Error - Can not reduce condition ▲",IF(AND(F85=S85,H85=U85,AJ85='F-1 Off Site River Baseline'!N83,'F-1 Off Site River Baseline'!P83=AL85),"Error - No enhancement ▲",IF(AND(C85&lt;&gt;N85,F85&lt;S85),"Lower Distinctiveness Habitat"&amp;" - "&amp;T85,G85&amp;" - "&amp;T85)))))</f>
        <v/>
      </c>
      <c r="Q85" s="505" t="str">
        <f>IF(N85="","",VLOOKUP(B85,'F-1 Off Site River Baseline'!$C$10:$AA$257,19,FALSE))</f>
        <v/>
      </c>
      <c r="R85" s="498" t="str">
        <f>IF(N85="","",VLOOKUP(N85,'G-7 Rivers Data'!$B$2:$G$8,2,FALSE))</f>
        <v/>
      </c>
      <c r="S85" s="499" t="str">
        <f>IFERROR(VLOOKUP(R85,'G-7 Rivers Data'!$C$4:$D$8,2,FALSE),"")</f>
        <v/>
      </c>
      <c r="T85" s="145"/>
      <c r="U85" s="499" t="str">
        <f>IFERROR(INDEX('G-7 Rivers Data'!$H$4:$L$8,MATCH(N85,'G-7 Rivers Data'!$B$4:$B$8,0),MATCH(T85,'G-7 Rivers Data'!$H$3:$L$3,0)),"")</f>
        <v/>
      </c>
      <c r="V85" s="154"/>
      <c r="W85" s="520" t="str">
        <f>IF(V85="","",IF(VLOOKUP(V85,'G-7 Rivers Data'!$AG$4:$AI$9,2,FALSE)=0,"Spatial Data Missing ⚠",VLOOKUP(V85,'G-7 Rivers Data'!$AG$4:$AI$9,2,FALSE)))</f>
        <v/>
      </c>
      <c r="X85" s="524" t="str">
        <f>IF(V85="","",IF(VLOOKUP(V85,'G-7 Rivers Data'!$AG$4:$AI$9,3,FALSE)=0,"Spatial Data Missing ⚠",VLOOKUP(V85,'G-7 Rivers Data'!$AG$4:$AI$9,3,FALSE)))</f>
        <v/>
      </c>
      <c r="Y85" s="537" t="str">
        <f>IFERROR(IF(OR(LEFT(P85,5)="Error ▲",LEFT(O85,5)="Error ▲"),"Check Data ⚠",IF(F85&lt;S85,'G-7 Rivers Data'!$R$3,INDEX('G-7 Rivers Data'!$U$5:$Y$9,MATCH(G85,'G-7 Rivers Data'!$T$5:$T$9,0),MATCH(T85,'G-7 Rivers Data'!$U$4:$Y$4,0)))),"")</f>
        <v/>
      </c>
      <c r="Z85" s="203"/>
      <c r="AA85" s="203"/>
      <c r="AB85" s="534" t="str">
        <f t="shared" si="8"/>
        <v/>
      </c>
      <c r="AC85" s="521" t="str">
        <f t="shared" si="9"/>
        <v/>
      </c>
      <c r="AD85" s="564" t="str">
        <f>IFERROR(IF(AC85="Check Data ⚠","Check Data ⚠",VLOOKUP(AC85,'G-4 Temporal multipliers'!$A$4:$C$37,3,FALSE)),"")</f>
        <v/>
      </c>
      <c r="AE85" s="537" t="str">
        <f>IF(N85="","",VLOOKUP(N85,'G-7 Rivers Data'!$B$4:$G$8,5,FALSE))</f>
        <v/>
      </c>
      <c r="AF85" s="520" t="str">
        <f t="shared" si="10"/>
        <v/>
      </c>
      <c r="AG85" s="520" t="str">
        <f t="shared" si="14"/>
        <v/>
      </c>
      <c r="AH85" s="524" t="str">
        <f t="shared" si="11"/>
        <v/>
      </c>
      <c r="AI85" s="145"/>
      <c r="AJ85" s="499" t="str">
        <f>IF(AI85="","",IF(VLOOKUP(AI85,'G-7 Rivers Data'!$AA$4:$AB$7,2,FALSE)=0,"Spatial Data Missing ⚠",VLOOKUP(AI85,'G-7 Rivers Data'!$AA$4:$AB$7,2,FALSE)))</f>
        <v/>
      </c>
      <c r="AK85" s="155"/>
      <c r="AL85" s="536" t="str">
        <f>IF(AK85="","",IF(VLOOKUP(AK85,'G-7 Rivers Data'!$AD$4:$AE$8,2,FALSE)=0,"Spatial Data Missing ⚠",VLOOKUP(AK85,'G-7 Rivers Data'!$AD$4:$AE$8,2,FALSE)))</f>
        <v/>
      </c>
      <c r="AM85" s="154"/>
      <c r="AN85" s="524" t="str">
        <f>IF(AM85="","",VLOOKUP(AM85,'G-7 Rivers Data'!$AO$4:$AP$7,2,FALSE))</f>
        <v/>
      </c>
      <c r="AO85" s="545" t="str">
        <f t="shared" si="15"/>
        <v/>
      </c>
      <c r="AP85" s="149"/>
      <c r="AQ85" s="150"/>
      <c r="AX85" s="31" t="str">
        <f>IFERROR(INDEX('G-7 Rivers Data'!$AZ$3:$AZ$7,MATCH(N85,'G-7 Rivers Data'!$AY$3:$AY$7,0)),"")</f>
        <v/>
      </c>
    </row>
    <row r="86" spans="2:50" ht="13.8" x14ac:dyDescent="0.25">
      <c r="B86" s="531" t="str">
        <f>'F-1 Off Site River Baseline'!AN84</f>
        <v/>
      </c>
      <c r="C86" s="520" t="str">
        <f>IF(B86="","",VLOOKUP($B86,'F-1 Off Site River Baseline'!$C$9:$R$257,2,FALSE))</f>
        <v/>
      </c>
      <c r="D86" s="520" t="str">
        <f>IF(C86="","",VLOOKUP($B86,'F-1 Off Site River Baseline'!$C$9:$R$257,3,FALSE))</f>
        <v/>
      </c>
      <c r="E86" s="520" t="str">
        <f>IF(D86="","",VLOOKUP($B86,'F-1 Off Site River Baseline'!$C$9:$R$257,4,FALSE))</f>
        <v/>
      </c>
      <c r="F86" s="520" t="str">
        <f>IF(E86="","",VLOOKUP($B86,'F-1 Off Site River Baseline'!$C$9:$R$257,5,FALSE))</f>
        <v/>
      </c>
      <c r="G86" s="520" t="str">
        <f>IF(F86="","",VLOOKUP($B86,'F-1 Off Site River Baseline'!$C$9:$R$257,6,FALSE))</f>
        <v/>
      </c>
      <c r="H86" s="520" t="str">
        <f>IF(G86="","",VLOOKUP($B86,'F-1 Off Site River Baseline'!$C$9:$R$257,7,FALSE))</f>
        <v/>
      </c>
      <c r="I86" s="520" t="str">
        <f>IF(H86="","",VLOOKUP($B86,'F-1 Off Site River Baseline'!$C$9:$R$257,8,FALSE))</f>
        <v/>
      </c>
      <c r="J86" s="520" t="str">
        <f>IF(I86="","",VLOOKUP($B86,'F-1 Off Site River Baseline'!$C$9:$R$257,9,FALSE))</f>
        <v/>
      </c>
      <c r="K86" s="520" t="str">
        <f>IF(J86="","",VLOOKUP($B86,'F-1 Off Site River Baseline'!$C$9:$R$257,10,FALSE))</f>
        <v/>
      </c>
      <c r="L86" s="520" t="str">
        <f>IF(B86="","",VLOOKUP($B86,'C-1 Site River Baseline'!$C$9:$R$257,15,FALSE))</f>
        <v/>
      </c>
      <c r="M86" s="524" t="str">
        <f>IF(L86="","",VLOOKUP($B86,'F-1 Off Site River Baseline'!$C$9:$R$257,16,FALSE))</f>
        <v/>
      </c>
      <c r="N86" s="418" t="str">
        <f t="shared" si="12"/>
        <v/>
      </c>
      <c r="O86" s="498" t="str">
        <f t="shared" si="13"/>
        <v/>
      </c>
      <c r="P86" s="499" t="str">
        <f>IF(C86="","",IF(AND(LEFT(C86,55)&lt;&gt;LEFT(N86,55),O86="High - High"),"Error - Not like for like ▲",IF(AND(F86=S86,H86&gt;U86),"Error - Can not reduce condition ▲",IF(AND(F86=S86,H86=U86,AJ86='F-1 Off Site River Baseline'!N84,'F-1 Off Site River Baseline'!P84=AL86),"Error - No enhancement ▲",IF(AND(C86&lt;&gt;N86,F86&lt;S86),"Lower Distinctiveness Habitat"&amp;" - "&amp;T86,G86&amp;" - "&amp;T86)))))</f>
        <v/>
      </c>
      <c r="Q86" s="505" t="str">
        <f>IF(N86="","",VLOOKUP(B86,'F-1 Off Site River Baseline'!$C$10:$AA$257,19,FALSE))</f>
        <v/>
      </c>
      <c r="R86" s="498" t="str">
        <f>IF(N86="","",VLOOKUP(N86,'G-7 Rivers Data'!$B$2:$G$8,2,FALSE))</f>
        <v/>
      </c>
      <c r="S86" s="499" t="str">
        <f>IFERROR(VLOOKUP(R86,'G-7 Rivers Data'!$C$4:$D$8,2,FALSE),"")</f>
        <v/>
      </c>
      <c r="T86" s="145"/>
      <c r="U86" s="499" t="str">
        <f>IFERROR(INDEX('G-7 Rivers Data'!$H$4:$L$8,MATCH(N86,'G-7 Rivers Data'!$B$4:$B$8,0),MATCH(T86,'G-7 Rivers Data'!$H$3:$L$3,0)),"")</f>
        <v/>
      </c>
      <c r="V86" s="154"/>
      <c r="W86" s="520" t="str">
        <f>IF(V86="","",IF(VLOOKUP(V86,'G-7 Rivers Data'!$AG$4:$AI$9,2,FALSE)=0,"Spatial Data Missing ⚠",VLOOKUP(V86,'G-7 Rivers Data'!$AG$4:$AI$9,2,FALSE)))</f>
        <v/>
      </c>
      <c r="X86" s="524" t="str">
        <f>IF(V86="","",IF(VLOOKUP(V86,'G-7 Rivers Data'!$AG$4:$AI$9,3,FALSE)=0,"Spatial Data Missing ⚠",VLOOKUP(V86,'G-7 Rivers Data'!$AG$4:$AI$9,3,FALSE)))</f>
        <v/>
      </c>
      <c r="Y86" s="537" t="str">
        <f>IFERROR(IF(OR(LEFT(P86,5)="Error ▲",LEFT(O86,5)="Error ▲"),"Check Data ⚠",IF(F86&lt;S86,'G-7 Rivers Data'!$R$3,INDEX('G-7 Rivers Data'!$U$5:$Y$9,MATCH(G86,'G-7 Rivers Data'!$T$5:$T$9,0),MATCH(T86,'G-7 Rivers Data'!$U$4:$Y$4,0)))),"")</f>
        <v/>
      </c>
      <c r="Z86" s="203"/>
      <c r="AA86" s="203"/>
      <c r="AB86" s="534" t="str">
        <f t="shared" si="8"/>
        <v/>
      </c>
      <c r="AC86" s="521" t="str">
        <f t="shared" si="9"/>
        <v/>
      </c>
      <c r="AD86" s="564" t="str">
        <f>IFERROR(IF(AC86="Check Data ⚠","Check Data ⚠",VLOOKUP(AC86,'G-4 Temporal multipliers'!$A$4:$C$37,3,FALSE)),"")</f>
        <v/>
      </c>
      <c r="AE86" s="537" t="str">
        <f>IF(N86="","",VLOOKUP(N86,'G-7 Rivers Data'!$B$4:$G$8,5,FALSE))</f>
        <v/>
      </c>
      <c r="AF86" s="520" t="str">
        <f t="shared" si="10"/>
        <v/>
      </c>
      <c r="AG86" s="520" t="str">
        <f t="shared" si="14"/>
        <v/>
      </c>
      <c r="AH86" s="524" t="str">
        <f t="shared" si="11"/>
        <v/>
      </c>
      <c r="AI86" s="145"/>
      <c r="AJ86" s="499" t="str">
        <f>IF(AI86="","",IF(VLOOKUP(AI86,'G-7 Rivers Data'!$AA$4:$AB$7,2,FALSE)=0,"Spatial Data Missing ⚠",VLOOKUP(AI86,'G-7 Rivers Data'!$AA$4:$AB$7,2,FALSE)))</f>
        <v/>
      </c>
      <c r="AK86" s="155"/>
      <c r="AL86" s="536" t="str">
        <f>IF(AK86="","",IF(VLOOKUP(AK86,'G-7 Rivers Data'!$AD$4:$AE$8,2,FALSE)=0,"Spatial Data Missing ⚠",VLOOKUP(AK86,'G-7 Rivers Data'!$AD$4:$AE$8,2,FALSE)))</f>
        <v/>
      </c>
      <c r="AM86" s="154"/>
      <c r="AN86" s="524" t="str">
        <f>IF(AM86="","",VLOOKUP(AM86,'G-7 Rivers Data'!$AO$4:$AP$7,2,FALSE))</f>
        <v/>
      </c>
      <c r="AO86" s="545" t="str">
        <f t="shared" si="15"/>
        <v/>
      </c>
      <c r="AP86" s="149"/>
      <c r="AQ86" s="150"/>
      <c r="AX86" s="31" t="str">
        <f>IFERROR(INDEX('G-7 Rivers Data'!$AZ$3:$AZ$7,MATCH(N86,'G-7 Rivers Data'!$AY$3:$AY$7,0)),"")</f>
        <v/>
      </c>
    </row>
    <row r="87" spans="2:50" ht="13.8" x14ac:dyDescent="0.25">
      <c r="B87" s="531" t="str">
        <f>'F-1 Off Site River Baseline'!AN85</f>
        <v/>
      </c>
      <c r="C87" s="520" t="str">
        <f>IF(B87="","",VLOOKUP($B87,'F-1 Off Site River Baseline'!$C$9:$R$257,2,FALSE))</f>
        <v/>
      </c>
      <c r="D87" s="520" t="str">
        <f>IF(C87="","",VLOOKUP($B87,'F-1 Off Site River Baseline'!$C$9:$R$257,3,FALSE))</f>
        <v/>
      </c>
      <c r="E87" s="520" t="str">
        <f>IF(D87="","",VLOOKUP($B87,'F-1 Off Site River Baseline'!$C$9:$R$257,4,FALSE))</f>
        <v/>
      </c>
      <c r="F87" s="520" t="str">
        <f>IF(E87="","",VLOOKUP($B87,'F-1 Off Site River Baseline'!$C$9:$R$257,5,FALSE))</f>
        <v/>
      </c>
      <c r="G87" s="520" t="str">
        <f>IF(F87="","",VLOOKUP($B87,'F-1 Off Site River Baseline'!$C$9:$R$257,6,FALSE))</f>
        <v/>
      </c>
      <c r="H87" s="520" t="str">
        <f>IF(G87="","",VLOOKUP($B87,'F-1 Off Site River Baseline'!$C$9:$R$257,7,FALSE))</f>
        <v/>
      </c>
      <c r="I87" s="520" t="str">
        <f>IF(H87="","",VLOOKUP($B87,'F-1 Off Site River Baseline'!$C$9:$R$257,8,FALSE))</f>
        <v/>
      </c>
      <c r="J87" s="520" t="str">
        <f>IF(I87="","",VLOOKUP($B87,'F-1 Off Site River Baseline'!$C$9:$R$257,9,FALSE))</f>
        <v/>
      </c>
      <c r="K87" s="520" t="str">
        <f>IF(J87="","",VLOOKUP($B87,'F-1 Off Site River Baseline'!$C$9:$R$257,10,FALSE))</f>
        <v/>
      </c>
      <c r="L87" s="520" t="str">
        <f>IF(B87="","",VLOOKUP($B87,'C-1 Site River Baseline'!$C$9:$R$257,15,FALSE))</f>
        <v/>
      </c>
      <c r="M87" s="524" t="str">
        <f>IF(L87="","",VLOOKUP($B87,'F-1 Off Site River Baseline'!$C$9:$R$257,16,FALSE))</f>
        <v/>
      </c>
      <c r="N87" s="418" t="str">
        <f t="shared" si="12"/>
        <v/>
      </c>
      <c r="O87" s="498" t="str">
        <f t="shared" si="13"/>
        <v/>
      </c>
      <c r="P87" s="499" t="str">
        <f>IF(C87="","",IF(AND(LEFT(C87,55)&lt;&gt;LEFT(N87,55),O87="High - High"),"Error - Not like for like ▲",IF(AND(F87=S87,H87&gt;U87),"Error - Can not reduce condition ▲",IF(AND(F87=S87,H87=U87,AJ87='F-1 Off Site River Baseline'!N85,'F-1 Off Site River Baseline'!P85=AL87),"Error - No enhancement ▲",IF(AND(C87&lt;&gt;N87,F87&lt;S87),"Lower Distinctiveness Habitat"&amp;" - "&amp;T87,G87&amp;" - "&amp;T87)))))</f>
        <v/>
      </c>
      <c r="Q87" s="505" t="str">
        <f>IF(N87="","",VLOOKUP(B87,'F-1 Off Site River Baseline'!$C$10:$AA$257,19,FALSE))</f>
        <v/>
      </c>
      <c r="R87" s="498" t="str">
        <f>IF(N87="","",VLOOKUP(N87,'G-7 Rivers Data'!$B$2:$G$8,2,FALSE))</f>
        <v/>
      </c>
      <c r="S87" s="499" t="str">
        <f>IFERROR(VLOOKUP(R87,'G-7 Rivers Data'!$C$4:$D$8,2,FALSE),"")</f>
        <v/>
      </c>
      <c r="T87" s="145"/>
      <c r="U87" s="499" t="str">
        <f>IFERROR(INDEX('G-7 Rivers Data'!$H$4:$L$8,MATCH(N87,'G-7 Rivers Data'!$B$4:$B$8,0),MATCH(T87,'G-7 Rivers Data'!$H$3:$L$3,0)),"")</f>
        <v/>
      </c>
      <c r="V87" s="154"/>
      <c r="W87" s="520" t="str">
        <f>IF(V87="","",IF(VLOOKUP(V87,'G-7 Rivers Data'!$AG$4:$AI$9,2,FALSE)=0,"Spatial Data Missing ⚠",VLOOKUP(V87,'G-7 Rivers Data'!$AG$4:$AI$9,2,FALSE)))</f>
        <v/>
      </c>
      <c r="X87" s="524" t="str">
        <f>IF(V87="","",IF(VLOOKUP(V87,'G-7 Rivers Data'!$AG$4:$AI$9,3,FALSE)=0,"Spatial Data Missing ⚠",VLOOKUP(V87,'G-7 Rivers Data'!$AG$4:$AI$9,3,FALSE)))</f>
        <v/>
      </c>
      <c r="Y87" s="537" t="str">
        <f>IFERROR(IF(OR(LEFT(P87,5)="Error ▲",LEFT(O87,5)="Error ▲"),"Check Data ⚠",IF(F87&lt;S87,'G-7 Rivers Data'!$R$3,INDEX('G-7 Rivers Data'!$U$5:$Y$9,MATCH(G87,'G-7 Rivers Data'!$T$5:$T$9,0),MATCH(T87,'G-7 Rivers Data'!$U$4:$Y$4,0)))),"")</f>
        <v/>
      </c>
      <c r="Z87" s="203"/>
      <c r="AA87" s="203"/>
      <c r="AB87" s="534" t="str">
        <f t="shared" si="8"/>
        <v/>
      </c>
      <c r="AC87" s="521" t="str">
        <f t="shared" si="9"/>
        <v/>
      </c>
      <c r="AD87" s="564" t="str">
        <f>IFERROR(IF(AC87="Check Data ⚠","Check Data ⚠",VLOOKUP(AC87,'G-4 Temporal multipliers'!$A$4:$C$37,3,FALSE)),"")</f>
        <v/>
      </c>
      <c r="AE87" s="537" t="str">
        <f>IF(N87="","",VLOOKUP(N87,'G-7 Rivers Data'!$B$4:$G$8,5,FALSE))</f>
        <v/>
      </c>
      <c r="AF87" s="520" t="str">
        <f t="shared" si="10"/>
        <v/>
      </c>
      <c r="AG87" s="520" t="str">
        <f t="shared" si="14"/>
        <v/>
      </c>
      <c r="AH87" s="524" t="str">
        <f t="shared" si="11"/>
        <v/>
      </c>
      <c r="AI87" s="145"/>
      <c r="AJ87" s="499" t="str">
        <f>IF(AI87="","",IF(VLOOKUP(AI87,'G-7 Rivers Data'!$AA$4:$AB$7,2,FALSE)=0,"Spatial Data Missing ⚠",VLOOKUP(AI87,'G-7 Rivers Data'!$AA$4:$AB$7,2,FALSE)))</f>
        <v/>
      </c>
      <c r="AK87" s="155"/>
      <c r="AL87" s="536" t="str">
        <f>IF(AK87="","",IF(VLOOKUP(AK87,'G-7 Rivers Data'!$AD$4:$AE$8,2,FALSE)=0,"Spatial Data Missing ⚠",VLOOKUP(AK87,'G-7 Rivers Data'!$AD$4:$AE$8,2,FALSE)))</f>
        <v/>
      </c>
      <c r="AM87" s="154"/>
      <c r="AN87" s="524" t="str">
        <f>IF(AM87="","",VLOOKUP(AM87,'G-7 Rivers Data'!$AO$4:$AP$7,2,FALSE))</f>
        <v/>
      </c>
      <c r="AO87" s="545" t="str">
        <f t="shared" si="15"/>
        <v/>
      </c>
      <c r="AP87" s="149"/>
      <c r="AQ87" s="150"/>
      <c r="AX87" s="31" t="str">
        <f>IFERROR(INDEX('G-7 Rivers Data'!$AZ$3:$AZ$7,MATCH(N87,'G-7 Rivers Data'!$AY$3:$AY$7,0)),"")</f>
        <v/>
      </c>
    </row>
    <row r="88" spans="2:50" ht="13.8" x14ac:dyDescent="0.25">
      <c r="B88" s="531" t="str">
        <f>'F-1 Off Site River Baseline'!AN86</f>
        <v/>
      </c>
      <c r="C88" s="520" t="str">
        <f>IF(B88="","",VLOOKUP($B88,'F-1 Off Site River Baseline'!$C$9:$R$257,2,FALSE))</f>
        <v/>
      </c>
      <c r="D88" s="520" t="str">
        <f>IF(C88="","",VLOOKUP($B88,'F-1 Off Site River Baseline'!$C$9:$R$257,3,FALSE))</f>
        <v/>
      </c>
      <c r="E88" s="520" t="str">
        <f>IF(D88="","",VLOOKUP($B88,'F-1 Off Site River Baseline'!$C$9:$R$257,4,FALSE))</f>
        <v/>
      </c>
      <c r="F88" s="520" t="str">
        <f>IF(E88="","",VLOOKUP($B88,'F-1 Off Site River Baseline'!$C$9:$R$257,5,FALSE))</f>
        <v/>
      </c>
      <c r="G88" s="520" t="str">
        <f>IF(F88="","",VLOOKUP($B88,'F-1 Off Site River Baseline'!$C$9:$R$257,6,FALSE))</f>
        <v/>
      </c>
      <c r="H88" s="520" t="str">
        <f>IF(G88="","",VLOOKUP($B88,'F-1 Off Site River Baseline'!$C$9:$R$257,7,FALSE))</f>
        <v/>
      </c>
      <c r="I88" s="520" t="str">
        <f>IF(H88="","",VLOOKUP($B88,'F-1 Off Site River Baseline'!$C$9:$R$257,8,FALSE))</f>
        <v/>
      </c>
      <c r="J88" s="520" t="str">
        <f>IF(I88="","",VLOOKUP($B88,'F-1 Off Site River Baseline'!$C$9:$R$257,9,FALSE))</f>
        <v/>
      </c>
      <c r="K88" s="520" t="str">
        <f>IF(J88="","",VLOOKUP($B88,'F-1 Off Site River Baseline'!$C$9:$R$257,10,FALSE))</f>
        <v/>
      </c>
      <c r="L88" s="520" t="str">
        <f>IF(B88="","",VLOOKUP($B88,'C-1 Site River Baseline'!$C$9:$R$257,15,FALSE))</f>
        <v/>
      </c>
      <c r="M88" s="524" t="str">
        <f>IF(L88="","",VLOOKUP($B88,'F-1 Off Site River Baseline'!$C$9:$R$257,16,FALSE))</f>
        <v/>
      </c>
      <c r="N88" s="418" t="str">
        <f t="shared" si="12"/>
        <v/>
      </c>
      <c r="O88" s="498" t="str">
        <f t="shared" si="13"/>
        <v/>
      </c>
      <c r="P88" s="499" t="str">
        <f>IF(C88="","",IF(AND(LEFT(C88,55)&lt;&gt;LEFT(N88,55),O88="High - High"),"Error - Not like for like ▲",IF(AND(F88=S88,H88&gt;U88),"Error - Can not reduce condition ▲",IF(AND(F88=S88,H88=U88,AJ88='F-1 Off Site River Baseline'!N86,'F-1 Off Site River Baseline'!P86=AL88),"Error - No enhancement ▲",IF(AND(C88&lt;&gt;N88,F88&lt;S88),"Lower Distinctiveness Habitat"&amp;" - "&amp;T88,G88&amp;" - "&amp;T88)))))</f>
        <v/>
      </c>
      <c r="Q88" s="505" t="str">
        <f>IF(N88="","",VLOOKUP(B88,'F-1 Off Site River Baseline'!$C$10:$AA$257,19,FALSE))</f>
        <v/>
      </c>
      <c r="R88" s="498" t="str">
        <f>IF(N88="","",VLOOKUP(N88,'G-7 Rivers Data'!$B$2:$G$8,2,FALSE))</f>
        <v/>
      </c>
      <c r="S88" s="499" t="str">
        <f>IFERROR(VLOOKUP(R88,'G-7 Rivers Data'!$C$4:$D$8,2,FALSE),"")</f>
        <v/>
      </c>
      <c r="T88" s="145"/>
      <c r="U88" s="499" t="str">
        <f>IFERROR(INDEX('G-7 Rivers Data'!$H$4:$L$8,MATCH(N88,'G-7 Rivers Data'!$B$4:$B$8,0),MATCH(T88,'G-7 Rivers Data'!$H$3:$L$3,0)),"")</f>
        <v/>
      </c>
      <c r="V88" s="154"/>
      <c r="W88" s="520" t="str">
        <f>IF(V88="","",IF(VLOOKUP(V88,'G-7 Rivers Data'!$AG$4:$AI$9,2,FALSE)=0,"Spatial Data Missing ⚠",VLOOKUP(V88,'G-7 Rivers Data'!$AG$4:$AI$9,2,FALSE)))</f>
        <v/>
      </c>
      <c r="X88" s="524" t="str">
        <f>IF(V88="","",IF(VLOOKUP(V88,'G-7 Rivers Data'!$AG$4:$AI$9,3,FALSE)=0,"Spatial Data Missing ⚠",VLOOKUP(V88,'G-7 Rivers Data'!$AG$4:$AI$9,3,FALSE)))</f>
        <v/>
      </c>
      <c r="Y88" s="537" t="str">
        <f>IFERROR(IF(OR(LEFT(P88,5)="Error ▲",LEFT(O88,5)="Error ▲"),"Check Data ⚠",IF(F88&lt;S88,'G-7 Rivers Data'!$R$3,INDEX('G-7 Rivers Data'!$U$5:$Y$9,MATCH(G88,'G-7 Rivers Data'!$T$5:$T$9,0),MATCH(T88,'G-7 Rivers Data'!$U$4:$Y$4,0)))),"")</f>
        <v/>
      </c>
      <c r="Z88" s="203"/>
      <c r="AA88" s="203"/>
      <c r="AB88" s="534" t="str">
        <f t="shared" si="8"/>
        <v/>
      </c>
      <c r="AC88" s="521" t="str">
        <f t="shared" si="9"/>
        <v/>
      </c>
      <c r="AD88" s="564" t="str">
        <f>IFERROR(IF(AC88="Check Data ⚠","Check Data ⚠",VLOOKUP(AC88,'G-4 Temporal multipliers'!$A$4:$C$37,3,FALSE)),"")</f>
        <v/>
      </c>
      <c r="AE88" s="537" t="str">
        <f>IF(N88="","",VLOOKUP(N88,'G-7 Rivers Data'!$B$4:$G$8,5,FALSE))</f>
        <v/>
      </c>
      <c r="AF88" s="520" t="str">
        <f t="shared" si="10"/>
        <v/>
      </c>
      <c r="AG88" s="520" t="str">
        <f t="shared" si="14"/>
        <v/>
      </c>
      <c r="AH88" s="524" t="str">
        <f t="shared" si="11"/>
        <v/>
      </c>
      <c r="AI88" s="145"/>
      <c r="AJ88" s="499" t="str">
        <f>IF(AI88="","",IF(VLOOKUP(AI88,'G-7 Rivers Data'!$AA$4:$AB$7,2,FALSE)=0,"Spatial Data Missing ⚠",VLOOKUP(AI88,'G-7 Rivers Data'!$AA$4:$AB$7,2,FALSE)))</f>
        <v/>
      </c>
      <c r="AK88" s="155"/>
      <c r="AL88" s="536" t="str">
        <f>IF(AK88="","",IF(VLOOKUP(AK88,'G-7 Rivers Data'!$AD$4:$AE$8,2,FALSE)=0,"Spatial Data Missing ⚠",VLOOKUP(AK88,'G-7 Rivers Data'!$AD$4:$AE$8,2,FALSE)))</f>
        <v/>
      </c>
      <c r="AM88" s="154"/>
      <c r="AN88" s="524" t="str">
        <f>IF(AM88="","",VLOOKUP(AM88,'G-7 Rivers Data'!$AO$4:$AP$7,2,FALSE))</f>
        <v/>
      </c>
      <c r="AO88" s="545" t="str">
        <f t="shared" si="15"/>
        <v/>
      </c>
      <c r="AP88" s="149"/>
      <c r="AQ88" s="150"/>
      <c r="AX88" s="31" t="str">
        <f>IFERROR(INDEX('G-7 Rivers Data'!$AZ$3:$AZ$7,MATCH(N88,'G-7 Rivers Data'!$AY$3:$AY$7,0)),"")</f>
        <v/>
      </c>
    </row>
    <row r="89" spans="2:50" ht="13.8" x14ac:dyDescent="0.25">
      <c r="B89" s="531" t="str">
        <f>'F-1 Off Site River Baseline'!AN87</f>
        <v/>
      </c>
      <c r="C89" s="520" t="str">
        <f>IF(B89="","",VLOOKUP($B89,'F-1 Off Site River Baseline'!$C$9:$R$257,2,FALSE))</f>
        <v/>
      </c>
      <c r="D89" s="520" t="str">
        <f>IF(C89="","",VLOOKUP($B89,'F-1 Off Site River Baseline'!$C$9:$R$257,3,FALSE))</f>
        <v/>
      </c>
      <c r="E89" s="520" t="str">
        <f>IF(D89="","",VLOOKUP($B89,'F-1 Off Site River Baseline'!$C$9:$R$257,4,FALSE))</f>
        <v/>
      </c>
      <c r="F89" s="520" t="str">
        <f>IF(E89="","",VLOOKUP($B89,'F-1 Off Site River Baseline'!$C$9:$R$257,5,FALSE))</f>
        <v/>
      </c>
      <c r="G89" s="520" t="str">
        <f>IF(F89="","",VLOOKUP($B89,'F-1 Off Site River Baseline'!$C$9:$R$257,6,FALSE))</f>
        <v/>
      </c>
      <c r="H89" s="520" t="str">
        <f>IF(G89="","",VLOOKUP($B89,'F-1 Off Site River Baseline'!$C$9:$R$257,7,FALSE))</f>
        <v/>
      </c>
      <c r="I89" s="520" t="str">
        <f>IF(H89="","",VLOOKUP($B89,'F-1 Off Site River Baseline'!$C$9:$R$257,8,FALSE))</f>
        <v/>
      </c>
      <c r="J89" s="520" t="str">
        <f>IF(I89="","",VLOOKUP($B89,'F-1 Off Site River Baseline'!$C$9:$R$257,9,FALSE))</f>
        <v/>
      </c>
      <c r="K89" s="520" t="str">
        <f>IF(J89="","",VLOOKUP($B89,'F-1 Off Site River Baseline'!$C$9:$R$257,10,FALSE))</f>
        <v/>
      </c>
      <c r="L89" s="520" t="str">
        <f>IF(B89="","",VLOOKUP($B89,'C-1 Site River Baseline'!$C$9:$R$257,15,FALSE))</f>
        <v/>
      </c>
      <c r="M89" s="524" t="str">
        <f>IF(L89="","",VLOOKUP($B89,'F-1 Off Site River Baseline'!$C$9:$R$257,16,FALSE))</f>
        <v/>
      </c>
      <c r="N89" s="418" t="str">
        <f t="shared" si="12"/>
        <v/>
      </c>
      <c r="O89" s="498" t="str">
        <f t="shared" si="13"/>
        <v/>
      </c>
      <c r="P89" s="499" t="str">
        <f>IF(C89="","",IF(AND(LEFT(C89,55)&lt;&gt;LEFT(N89,55),O89="High - High"),"Error - Not like for like ▲",IF(AND(F89=S89,H89&gt;U89),"Error - Can not reduce condition ▲",IF(AND(F89=S89,H89=U89,AJ89='F-1 Off Site River Baseline'!N87,'F-1 Off Site River Baseline'!P87=AL89),"Error - No enhancement ▲",IF(AND(C89&lt;&gt;N89,F89&lt;S89),"Lower Distinctiveness Habitat"&amp;" - "&amp;T89,G89&amp;" - "&amp;T89)))))</f>
        <v/>
      </c>
      <c r="Q89" s="505" t="str">
        <f>IF(N89="","",VLOOKUP(B89,'F-1 Off Site River Baseline'!$C$10:$AA$257,19,FALSE))</f>
        <v/>
      </c>
      <c r="R89" s="498" t="str">
        <f>IF(N89="","",VLOOKUP(N89,'G-7 Rivers Data'!$B$2:$G$8,2,FALSE))</f>
        <v/>
      </c>
      <c r="S89" s="499" t="str">
        <f>IFERROR(VLOOKUP(R89,'G-7 Rivers Data'!$C$4:$D$8,2,FALSE),"")</f>
        <v/>
      </c>
      <c r="T89" s="145"/>
      <c r="U89" s="499" t="str">
        <f>IFERROR(INDEX('G-7 Rivers Data'!$H$4:$L$8,MATCH(N89,'G-7 Rivers Data'!$B$4:$B$8,0),MATCH(T89,'G-7 Rivers Data'!$H$3:$L$3,0)),"")</f>
        <v/>
      </c>
      <c r="V89" s="154"/>
      <c r="W89" s="520" t="str">
        <f>IF(V89="","",IF(VLOOKUP(V89,'G-7 Rivers Data'!$AG$4:$AI$9,2,FALSE)=0,"Spatial Data Missing ⚠",VLOOKUP(V89,'G-7 Rivers Data'!$AG$4:$AI$9,2,FALSE)))</f>
        <v/>
      </c>
      <c r="X89" s="524" t="str">
        <f>IF(V89="","",IF(VLOOKUP(V89,'G-7 Rivers Data'!$AG$4:$AI$9,3,FALSE)=0,"Spatial Data Missing ⚠",VLOOKUP(V89,'G-7 Rivers Data'!$AG$4:$AI$9,3,FALSE)))</f>
        <v/>
      </c>
      <c r="Y89" s="537" t="str">
        <f>IFERROR(IF(OR(LEFT(P89,5)="Error ▲",LEFT(O89,5)="Error ▲"),"Check Data ⚠",IF(F89&lt;S89,'G-7 Rivers Data'!$R$3,INDEX('G-7 Rivers Data'!$U$5:$Y$9,MATCH(G89,'G-7 Rivers Data'!$T$5:$T$9,0),MATCH(T89,'G-7 Rivers Data'!$U$4:$Y$4,0)))),"")</f>
        <v/>
      </c>
      <c r="Z89" s="203"/>
      <c r="AA89" s="203"/>
      <c r="AB89" s="534" t="str">
        <f t="shared" si="8"/>
        <v/>
      </c>
      <c r="AC89" s="521" t="str">
        <f t="shared" si="9"/>
        <v/>
      </c>
      <c r="AD89" s="564" t="str">
        <f>IFERROR(IF(AC89="Check Data ⚠","Check Data ⚠",VLOOKUP(AC89,'G-4 Temporal multipliers'!$A$4:$C$37,3,FALSE)),"")</f>
        <v/>
      </c>
      <c r="AE89" s="537" t="str">
        <f>IF(N89="","",VLOOKUP(N89,'G-7 Rivers Data'!$B$4:$G$8,5,FALSE))</f>
        <v/>
      </c>
      <c r="AF89" s="520" t="str">
        <f t="shared" si="10"/>
        <v/>
      </c>
      <c r="AG89" s="520" t="str">
        <f t="shared" si="14"/>
        <v/>
      </c>
      <c r="AH89" s="524" t="str">
        <f t="shared" si="11"/>
        <v/>
      </c>
      <c r="AI89" s="145"/>
      <c r="AJ89" s="499" t="str">
        <f>IF(AI89="","",IF(VLOOKUP(AI89,'G-7 Rivers Data'!$AA$4:$AB$7,2,FALSE)=0,"Spatial Data Missing ⚠",VLOOKUP(AI89,'G-7 Rivers Data'!$AA$4:$AB$7,2,FALSE)))</f>
        <v/>
      </c>
      <c r="AK89" s="155"/>
      <c r="AL89" s="536" t="str">
        <f>IF(AK89="","",IF(VLOOKUP(AK89,'G-7 Rivers Data'!$AD$4:$AE$8,2,FALSE)=0,"Spatial Data Missing ⚠",VLOOKUP(AK89,'G-7 Rivers Data'!$AD$4:$AE$8,2,FALSE)))</f>
        <v/>
      </c>
      <c r="AM89" s="154"/>
      <c r="AN89" s="524" t="str">
        <f>IF(AM89="","",VLOOKUP(AM89,'G-7 Rivers Data'!$AO$4:$AP$7,2,FALSE))</f>
        <v/>
      </c>
      <c r="AO89" s="545" t="str">
        <f t="shared" si="15"/>
        <v/>
      </c>
      <c r="AP89" s="149"/>
      <c r="AQ89" s="150"/>
      <c r="AX89" s="31" t="str">
        <f>IFERROR(INDEX('G-7 Rivers Data'!$AZ$3:$AZ$7,MATCH(N89,'G-7 Rivers Data'!$AY$3:$AY$7,0)),"")</f>
        <v/>
      </c>
    </row>
    <row r="90" spans="2:50" ht="13.8" x14ac:dyDescent="0.25">
      <c r="B90" s="531" t="str">
        <f>'F-1 Off Site River Baseline'!AN88</f>
        <v/>
      </c>
      <c r="C90" s="520" t="str">
        <f>IF(B90="","",VLOOKUP($B90,'F-1 Off Site River Baseline'!$C$9:$R$257,2,FALSE))</f>
        <v/>
      </c>
      <c r="D90" s="520" t="str">
        <f>IF(C90="","",VLOOKUP($B90,'F-1 Off Site River Baseline'!$C$9:$R$257,3,FALSE))</f>
        <v/>
      </c>
      <c r="E90" s="520" t="str">
        <f>IF(D90="","",VLOOKUP($B90,'F-1 Off Site River Baseline'!$C$9:$R$257,4,FALSE))</f>
        <v/>
      </c>
      <c r="F90" s="520" t="str">
        <f>IF(E90="","",VLOOKUP($B90,'F-1 Off Site River Baseline'!$C$9:$R$257,5,FALSE))</f>
        <v/>
      </c>
      <c r="G90" s="520" t="str">
        <f>IF(F90="","",VLOOKUP($B90,'F-1 Off Site River Baseline'!$C$9:$R$257,6,FALSE))</f>
        <v/>
      </c>
      <c r="H90" s="520" t="str">
        <f>IF(G90="","",VLOOKUP($B90,'F-1 Off Site River Baseline'!$C$9:$R$257,7,FALSE))</f>
        <v/>
      </c>
      <c r="I90" s="520" t="str">
        <f>IF(H90="","",VLOOKUP($B90,'F-1 Off Site River Baseline'!$C$9:$R$257,8,FALSE))</f>
        <v/>
      </c>
      <c r="J90" s="520" t="str">
        <f>IF(I90="","",VLOOKUP($B90,'F-1 Off Site River Baseline'!$C$9:$R$257,9,FALSE))</f>
        <v/>
      </c>
      <c r="K90" s="520" t="str">
        <f>IF(J90="","",VLOOKUP($B90,'F-1 Off Site River Baseline'!$C$9:$R$257,10,FALSE))</f>
        <v/>
      </c>
      <c r="L90" s="520" t="str">
        <f>IF(B90="","",VLOOKUP($B90,'C-1 Site River Baseline'!$C$9:$R$257,15,FALSE))</f>
        <v/>
      </c>
      <c r="M90" s="524" t="str">
        <f>IF(L90="","",VLOOKUP($B90,'F-1 Off Site River Baseline'!$C$9:$R$257,16,FALSE))</f>
        <v/>
      </c>
      <c r="N90" s="418" t="str">
        <f t="shared" si="12"/>
        <v/>
      </c>
      <c r="O90" s="498" t="str">
        <f t="shared" si="13"/>
        <v/>
      </c>
      <c r="P90" s="499" t="str">
        <f>IF(C90="","",IF(AND(LEFT(C90,55)&lt;&gt;LEFT(N90,55),O90="High - High"),"Error - Not like for like ▲",IF(AND(F90=S90,H90&gt;U90),"Error - Can not reduce condition ▲",IF(AND(F90=S90,H90=U90,AJ90='F-1 Off Site River Baseline'!N88,'F-1 Off Site River Baseline'!P88=AL90),"Error - No enhancement ▲",IF(AND(C90&lt;&gt;N90,F90&lt;S90),"Lower Distinctiveness Habitat"&amp;" - "&amp;T90,G90&amp;" - "&amp;T90)))))</f>
        <v/>
      </c>
      <c r="Q90" s="505" t="str">
        <f>IF(N90="","",VLOOKUP(B90,'F-1 Off Site River Baseline'!$C$10:$AA$257,19,FALSE))</f>
        <v/>
      </c>
      <c r="R90" s="498" t="str">
        <f>IF(N90="","",VLOOKUP(N90,'G-7 Rivers Data'!$B$2:$G$8,2,FALSE))</f>
        <v/>
      </c>
      <c r="S90" s="499" t="str">
        <f>IFERROR(VLOOKUP(R90,'G-7 Rivers Data'!$C$4:$D$8,2,FALSE),"")</f>
        <v/>
      </c>
      <c r="T90" s="145"/>
      <c r="U90" s="499" t="str">
        <f>IFERROR(INDEX('G-7 Rivers Data'!$H$4:$L$8,MATCH(N90,'G-7 Rivers Data'!$B$4:$B$8,0),MATCH(T90,'G-7 Rivers Data'!$H$3:$L$3,0)),"")</f>
        <v/>
      </c>
      <c r="V90" s="154"/>
      <c r="W90" s="520" t="str">
        <f>IF(V90="","",IF(VLOOKUP(V90,'G-7 Rivers Data'!$AG$4:$AI$9,2,FALSE)=0,"Spatial Data Missing ⚠",VLOOKUP(V90,'G-7 Rivers Data'!$AG$4:$AI$9,2,FALSE)))</f>
        <v/>
      </c>
      <c r="X90" s="524" t="str">
        <f>IF(V90="","",IF(VLOOKUP(V90,'G-7 Rivers Data'!$AG$4:$AI$9,3,FALSE)=0,"Spatial Data Missing ⚠",VLOOKUP(V90,'G-7 Rivers Data'!$AG$4:$AI$9,3,FALSE)))</f>
        <v/>
      </c>
      <c r="Y90" s="537" t="str">
        <f>IFERROR(IF(OR(LEFT(P90,5)="Error ▲",LEFT(O90,5)="Error ▲"),"Check Data ⚠",IF(F90&lt;S90,'G-7 Rivers Data'!$R$3,INDEX('G-7 Rivers Data'!$U$5:$Y$9,MATCH(G90,'G-7 Rivers Data'!$T$5:$T$9,0),MATCH(T90,'G-7 Rivers Data'!$U$4:$Y$4,0)))),"")</f>
        <v/>
      </c>
      <c r="Z90" s="203"/>
      <c r="AA90" s="203"/>
      <c r="AB90" s="534" t="str">
        <f t="shared" si="8"/>
        <v/>
      </c>
      <c r="AC90" s="521" t="str">
        <f t="shared" si="9"/>
        <v/>
      </c>
      <c r="AD90" s="564" t="str">
        <f>IFERROR(IF(AC90="Check Data ⚠","Check Data ⚠",VLOOKUP(AC90,'G-4 Temporal multipliers'!$A$4:$C$37,3,FALSE)),"")</f>
        <v/>
      </c>
      <c r="AE90" s="537" t="str">
        <f>IF(N90="","",VLOOKUP(N90,'G-7 Rivers Data'!$B$4:$G$8,5,FALSE))</f>
        <v/>
      </c>
      <c r="AF90" s="520" t="str">
        <f t="shared" si="10"/>
        <v/>
      </c>
      <c r="AG90" s="520" t="str">
        <f t="shared" si="14"/>
        <v/>
      </c>
      <c r="AH90" s="524" t="str">
        <f t="shared" si="11"/>
        <v/>
      </c>
      <c r="AI90" s="145"/>
      <c r="AJ90" s="499" t="str">
        <f>IF(AI90="","",IF(VLOOKUP(AI90,'G-7 Rivers Data'!$AA$4:$AB$7,2,FALSE)=0,"Spatial Data Missing ⚠",VLOOKUP(AI90,'G-7 Rivers Data'!$AA$4:$AB$7,2,FALSE)))</f>
        <v/>
      </c>
      <c r="AK90" s="155"/>
      <c r="AL90" s="536" t="str">
        <f>IF(AK90="","",IF(VLOOKUP(AK90,'G-7 Rivers Data'!$AD$4:$AE$8,2,FALSE)=0,"Spatial Data Missing ⚠",VLOOKUP(AK90,'G-7 Rivers Data'!$AD$4:$AE$8,2,FALSE)))</f>
        <v/>
      </c>
      <c r="AM90" s="154"/>
      <c r="AN90" s="524" t="str">
        <f>IF(AM90="","",VLOOKUP(AM90,'G-7 Rivers Data'!$AO$4:$AP$7,2,FALSE))</f>
        <v/>
      </c>
      <c r="AO90" s="545" t="str">
        <f t="shared" si="15"/>
        <v/>
      </c>
      <c r="AP90" s="149"/>
      <c r="AQ90" s="150"/>
      <c r="AX90" s="31" t="str">
        <f>IFERROR(INDEX('G-7 Rivers Data'!$AZ$3:$AZ$7,MATCH(N90,'G-7 Rivers Data'!$AY$3:$AY$7,0)),"")</f>
        <v/>
      </c>
    </row>
    <row r="91" spans="2:50" ht="13.8" x14ac:dyDescent="0.25">
      <c r="B91" s="531" t="str">
        <f>'F-1 Off Site River Baseline'!AN89</f>
        <v/>
      </c>
      <c r="C91" s="520" t="str">
        <f>IF(B91="","",VLOOKUP($B91,'F-1 Off Site River Baseline'!$C$9:$R$257,2,FALSE))</f>
        <v/>
      </c>
      <c r="D91" s="520" t="str">
        <f>IF(C91="","",VLOOKUP($B91,'F-1 Off Site River Baseline'!$C$9:$R$257,3,FALSE))</f>
        <v/>
      </c>
      <c r="E91" s="520" t="str">
        <f>IF(D91="","",VLOOKUP($B91,'F-1 Off Site River Baseline'!$C$9:$R$257,4,FALSE))</f>
        <v/>
      </c>
      <c r="F91" s="520" t="str">
        <f>IF(E91="","",VLOOKUP($B91,'F-1 Off Site River Baseline'!$C$9:$R$257,5,FALSE))</f>
        <v/>
      </c>
      <c r="G91" s="520" t="str">
        <f>IF(F91="","",VLOOKUP($B91,'F-1 Off Site River Baseline'!$C$9:$R$257,6,FALSE))</f>
        <v/>
      </c>
      <c r="H91" s="520" t="str">
        <f>IF(G91="","",VLOOKUP($B91,'F-1 Off Site River Baseline'!$C$9:$R$257,7,FALSE))</f>
        <v/>
      </c>
      <c r="I91" s="520" t="str">
        <f>IF(H91="","",VLOOKUP($B91,'F-1 Off Site River Baseline'!$C$9:$R$257,8,FALSE))</f>
        <v/>
      </c>
      <c r="J91" s="520" t="str">
        <f>IF(I91="","",VLOOKUP($B91,'F-1 Off Site River Baseline'!$C$9:$R$257,9,FALSE))</f>
        <v/>
      </c>
      <c r="K91" s="520" t="str">
        <f>IF(J91="","",VLOOKUP($B91,'F-1 Off Site River Baseline'!$C$9:$R$257,10,FALSE))</f>
        <v/>
      </c>
      <c r="L91" s="520" t="str">
        <f>IF(B91="","",VLOOKUP($B91,'C-1 Site River Baseline'!$C$9:$R$257,15,FALSE))</f>
        <v/>
      </c>
      <c r="M91" s="524" t="str">
        <f>IF(L91="","",VLOOKUP($B91,'F-1 Off Site River Baseline'!$C$9:$R$257,16,FALSE))</f>
        <v/>
      </c>
      <c r="N91" s="418" t="str">
        <f t="shared" si="12"/>
        <v/>
      </c>
      <c r="O91" s="498" t="str">
        <f t="shared" si="13"/>
        <v/>
      </c>
      <c r="P91" s="499" t="str">
        <f>IF(C91="","",IF(AND(LEFT(C91,55)&lt;&gt;LEFT(N91,55),O91="High - High"),"Error - Not like for like ▲",IF(AND(F91=S91,H91&gt;U91),"Error - Can not reduce condition ▲",IF(AND(F91=S91,H91=U91,AJ91='F-1 Off Site River Baseline'!N89,'F-1 Off Site River Baseline'!P89=AL91),"Error - No enhancement ▲",IF(AND(C91&lt;&gt;N91,F91&lt;S91),"Lower Distinctiveness Habitat"&amp;" - "&amp;T91,G91&amp;" - "&amp;T91)))))</f>
        <v/>
      </c>
      <c r="Q91" s="505" t="str">
        <f>IF(N91="","",VLOOKUP(B91,'F-1 Off Site River Baseline'!$C$10:$AA$257,19,FALSE))</f>
        <v/>
      </c>
      <c r="R91" s="498" t="str">
        <f>IF(N91="","",VLOOKUP(N91,'G-7 Rivers Data'!$B$2:$G$8,2,FALSE))</f>
        <v/>
      </c>
      <c r="S91" s="499" t="str">
        <f>IFERROR(VLOOKUP(R91,'G-7 Rivers Data'!$C$4:$D$8,2,FALSE),"")</f>
        <v/>
      </c>
      <c r="T91" s="145"/>
      <c r="U91" s="499" t="str">
        <f>IFERROR(INDEX('G-7 Rivers Data'!$H$4:$L$8,MATCH(N91,'G-7 Rivers Data'!$B$4:$B$8,0),MATCH(T91,'G-7 Rivers Data'!$H$3:$L$3,0)),"")</f>
        <v/>
      </c>
      <c r="V91" s="154"/>
      <c r="W91" s="520" t="str">
        <f>IF(V91="","",IF(VLOOKUP(V91,'G-7 Rivers Data'!$AG$4:$AI$9,2,FALSE)=0,"Spatial Data Missing ⚠",VLOOKUP(V91,'G-7 Rivers Data'!$AG$4:$AI$9,2,FALSE)))</f>
        <v/>
      </c>
      <c r="X91" s="524" t="str">
        <f>IF(V91="","",IF(VLOOKUP(V91,'G-7 Rivers Data'!$AG$4:$AI$9,3,FALSE)=0,"Spatial Data Missing ⚠",VLOOKUP(V91,'G-7 Rivers Data'!$AG$4:$AI$9,3,FALSE)))</f>
        <v/>
      </c>
      <c r="Y91" s="537" t="str">
        <f>IFERROR(IF(OR(LEFT(P91,5)="Error ▲",LEFT(O91,5)="Error ▲"),"Check Data ⚠",IF(F91&lt;S91,'G-7 Rivers Data'!$R$3,INDEX('G-7 Rivers Data'!$U$5:$Y$9,MATCH(G91,'G-7 Rivers Data'!$T$5:$T$9,0),MATCH(T91,'G-7 Rivers Data'!$U$4:$Y$4,0)))),"")</f>
        <v/>
      </c>
      <c r="Z91" s="203"/>
      <c r="AA91" s="203"/>
      <c r="AB91" s="534" t="str">
        <f t="shared" si="8"/>
        <v/>
      </c>
      <c r="AC91" s="521" t="str">
        <f t="shared" si="9"/>
        <v/>
      </c>
      <c r="AD91" s="564" t="str">
        <f>IFERROR(IF(AC91="Check Data ⚠","Check Data ⚠",VLOOKUP(AC91,'G-4 Temporal multipliers'!$A$4:$C$37,3,FALSE)),"")</f>
        <v/>
      </c>
      <c r="AE91" s="537" t="str">
        <f>IF(N91="","",VLOOKUP(N91,'G-7 Rivers Data'!$B$4:$G$8,5,FALSE))</f>
        <v/>
      </c>
      <c r="AF91" s="520" t="str">
        <f t="shared" si="10"/>
        <v/>
      </c>
      <c r="AG91" s="520" t="str">
        <f t="shared" si="14"/>
        <v/>
      </c>
      <c r="AH91" s="524" t="str">
        <f t="shared" si="11"/>
        <v/>
      </c>
      <c r="AI91" s="145"/>
      <c r="AJ91" s="499" t="str">
        <f>IF(AI91="","",IF(VLOOKUP(AI91,'G-7 Rivers Data'!$AA$4:$AB$7,2,FALSE)=0,"Spatial Data Missing ⚠",VLOOKUP(AI91,'G-7 Rivers Data'!$AA$4:$AB$7,2,FALSE)))</f>
        <v/>
      </c>
      <c r="AK91" s="155"/>
      <c r="AL91" s="536" t="str">
        <f>IF(AK91="","",IF(VLOOKUP(AK91,'G-7 Rivers Data'!$AD$4:$AE$8,2,FALSE)=0,"Spatial Data Missing ⚠",VLOOKUP(AK91,'G-7 Rivers Data'!$AD$4:$AE$8,2,FALSE)))</f>
        <v/>
      </c>
      <c r="AM91" s="154"/>
      <c r="AN91" s="524" t="str">
        <f>IF(AM91="","",VLOOKUP(AM91,'G-7 Rivers Data'!$AO$4:$AP$7,2,FALSE))</f>
        <v/>
      </c>
      <c r="AO91" s="545" t="str">
        <f t="shared" si="15"/>
        <v/>
      </c>
      <c r="AP91" s="149"/>
      <c r="AQ91" s="150"/>
      <c r="AX91" s="31" t="str">
        <f>IFERROR(INDEX('G-7 Rivers Data'!$AZ$3:$AZ$7,MATCH(N91,'G-7 Rivers Data'!$AY$3:$AY$7,0)),"")</f>
        <v/>
      </c>
    </row>
    <row r="92" spans="2:50" ht="13.8" x14ac:dyDescent="0.25">
      <c r="B92" s="531" t="str">
        <f>'F-1 Off Site River Baseline'!AN90</f>
        <v/>
      </c>
      <c r="C92" s="520" t="str">
        <f>IF(B92="","",VLOOKUP($B92,'F-1 Off Site River Baseline'!$C$9:$R$257,2,FALSE))</f>
        <v/>
      </c>
      <c r="D92" s="520" t="str">
        <f>IF(C92="","",VLOOKUP($B92,'F-1 Off Site River Baseline'!$C$9:$R$257,3,FALSE))</f>
        <v/>
      </c>
      <c r="E92" s="520" t="str">
        <f>IF(D92="","",VLOOKUP($B92,'F-1 Off Site River Baseline'!$C$9:$R$257,4,FALSE))</f>
        <v/>
      </c>
      <c r="F92" s="520" t="str">
        <f>IF(E92="","",VLOOKUP($B92,'F-1 Off Site River Baseline'!$C$9:$R$257,5,FALSE))</f>
        <v/>
      </c>
      <c r="G92" s="520" t="str">
        <f>IF(F92="","",VLOOKUP($B92,'F-1 Off Site River Baseline'!$C$9:$R$257,6,FALSE))</f>
        <v/>
      </c>
      <c r="H92" s="520" t="str">
        <f>IF(G92="","",VLOOKUP($B92,'F-1 Off Site River Baseline'!$C$9:$R$257,7,FALSE))</f>
        <v/>
      </c>
      <c r="I92" s="520" t="str">
        <f>IF(H92="","",VLOOKUP($B92,'F-1 Off Site River Baseline'!$C$9:$R$257,8,FALSE))</f>
        <v/>
      </c>
      <c r="J92" s="520" t="str">
        <f>IF(I92="","",VLOOKUP($B92,'F-1 Off Site River Baseline'!$C$9:$R$257,9,FALSE))</f>
        <v/>
      </c>
      <c r="K92" s="520" t="str">
        <f>IF(J92="","",VLOOKUP($B92,'F-1 Off Site River Baseline'!$C$9:$R$257,10,FALSE))</f>
        <v/>
      </c>
      <c r="L92" s="520" t="str">
        <f>IF(B92="","",VLOOKUP($B92,'C-1 Site River Baseline'!$C$9:$R$257,15,FALSE))</f>
        <v/>
      </c>
      <c r="M92" s="524" t="str">
        <f>IF(L92="","",VLOOKUP($B92,'F-1 Off Site River Baseline'!$C$9:$R$257,16,FALSE))</f>
        <v/>
      </c>
      <c r="N92" s="418" t="str">
        <f t="shared" si="12"/>
        <v/>
      </c>
      <c r="O92" s="498" t="str">
        <f t="shared" si="13"/>
        <v/>
      </c>
      <c r="P92" s="499" t="str">
        <f>IF(C92="","",IF(AND(LEFT(C92,55)&lt;&gt;LEFT(N92,55),O92="High - High"),"Error - Not like for like ▲",IF(AND(F92=S92,H92&gt;U92),"Error - Can not reduce condition ▲",IF(AND(F92=S92,H92=U92,AJ92='F-1 Off Site River Baseline'!N90,'F-1 Off Site River Baseline'!P90=AL92),"Error - No enhancement ▲",IF(AND(C92&lt;&gt;N92,F92&lt;S92),"Lower Distinctiveness Habitat"&amp;" - "&amp;T92,G92&amp;" - "&amp;T92)))))</f>
        <v/>
      </c>
      <c r="Q92" s="505" t="str">
        <f>IF(N92="","",VLOOKUP(B92,'F-1 Off Site River Baseline'!$C$10:$AA$257,19,FALSE))</f>
        <v/>
      </c>
      <c r="R92" s="498" t="str">
        <f>IF(N92="","",VLOOKUP(N92,'G-7 Rivers Data'!$B$2:$G$8,2,FALSE))</f>
        <v/>
      </c>
      <c r="S92" s="499" t="str">
        <f>IFERROR(VLOOKUP(R92,'G-7 Rivers Data'!$C$4:$D$8,2,FALSE),"")</f>
        <v/>
      </c>
      <c r="T92" s="145"/>
      <c r="U92" s="499" t="str">
        <f>IFERROR(INDEX('G-7 Rivers Data'!$H$4:$L$8,MATCH(N92,'G-7 Rivers Data'!$B$4:$B$8,0),MATCH(T92,'G-7 Rivers Data'!$H$3:$L$3,0)),"")</f>
        <v/>
      </c>
      <c r="V92" s="154"/>
      <c r="W92" s="520" t="str">
        <f>IF(V92="","",IF(VLOOKUP(V92,'G-7 Rivers Data'!$AG$4:$AI$9,2,FALSE)=0,"Spatial Data Missing ⚠",VLOOKUP(V92,'G-7 Rivers Data'!$AG$4:$AI$9,2,FALSE)))</f>
        <v/>
      </c>
      <c r="X92" s="524" t="str">
        <f>IF(V92="","",IF(VLOOKUP(V92,'G-7 Rivers Data'!$AG$4:$AI$9,3,FALSE)=0,"Spatial Data Missing ⚠",VLOOKUP(V92,'G-7 Rivers Data'!$AG$4:$AI$9,3,FALSE)))</f>
        <v/>
      </c>
      <c r="Y92" s="537" t="str">
        <f>IFERROR(IF(OR(LEFT(P92,5)="Error ▲",LEFT(O92,5)="Error ▲"),"Check Data ⚠",IF(F92&lt;S92,'G-7 Rivers Data'!$R$3,INDEX('G-7 Rivers Data'!$U$5:$Y$9,MATCH(G92,'G-7 Rivers Data'!$T$5:$T$9,0),MATCH(T92,'G-7 Rivers Data'!$U$4:$Y$4,0)))),"")</f>
        <v/>
      </c>
      <c r="Z92" s="203"/>
      <c r="AA92" s="203"/>
      <c r="AB92" s="534" t="str">
        <f t="shared" si="8"/>
        <v/>
      </c>
      <c r="AC92" s="521" t="str">
        <f t="shared" si="9"/>
        <v/>
      </c>
      <c r="AD92" s="564" t="str">
        <f>IFERROR(IF(AC92="Check Data ⚠","Check Data ⚠",VLOOKUP(AC92,'G-4 Temporal multipliers'!$A$4:$C$37,3,FALSE)),"")</f>
        <v/>
      </c>
      <c r="AE92" s="537" t="str">
        <f>IF(N92="","",VLOOKUP(N92,'G-7 Rivers Data'!$B$4:$G$8,5,FALSE))</f>
        <v/>
      </c>
      <c r="AF92" s="520" t="str">
        <f t="shared" si="10"/>
        <v/>
      </c>
      <c r="AG92" s="520" t="str">
        <f t="shared" si="14"/>
        <v/>
      </c>
      <c r="AH92" s="524" t="str">
        <f t="shared" si="11"/>
        <v/>
      </c>
      <c r="AI92" s="145"/>
      <c r="AJ92" s="499" t="str">
        <f>IF(AI92="","",IF(VLOOKUP(AI92,'G-7 Rivers Data'!$AA$4:$AB$7,2,FALSE)=0,"Spatial Data Missing ⚠",VLOOKUP(AI92,'G-7 Rivers Data'!$AA$4:$AB$7,2,FALSE)))</f>
        <v/>
      </c>
      <c r="AK92" s="155"/>
      <c r="AL92" s="536" t="str">
        <f>IF(AK92="","",IF(VLOOKUP(AK92,'G-7 Rivers Data'!$AD$4:$AE$8,2,FALSE)=0,"Spatial Data Missing ⚠",VLOOKUP(AK92,'G-7 Rivers Data'!$AD$4:$AE$8,2,FALSE)))</f>
        <v/>
      </c>
      <c r="AM92" s="154"/>
      <c r="AN92" s="524" t="str">
        <f>IF(AM92="","",VLOOKUP(AM92,'G-7 Rivers Data'!$AO$4:$AP$7,2,FALSE))</f>
        <v/>
      </c>
      <c r="AO92" s="545" t="str">
        <f t="shared" si="15"/>
        <v/>
      </c>
      <c r="AP92" s="149"/>
      <c r="AQ92" s="150"/>
      <c r="AX92" s="31" t="str">
        <f>IFERROR(INDEX('G-7 Rivers Data'!$AZ$3:$AZ$7,MATCH(N92,'G-7 Rivers Data'!$AY$3:$AY$7,0)),"")</f>
        <v/>
      </c>
    </row>
    <row r="93" spans="2:50" ht="13.8" x14ac:dyDescent="0.25">
      <c r="B93" s="531" t="str">
        <f>'F-1 Off Site River Baseline'!AN91</f>
        <v/>
      </c>
      <c r="C93" s="520" t="str">
        <f>IF(B93="","",VLOOKUP($B93,'F-1 Off Site River Baseline'!$C$9:$R$257,2,FALSE))</f>
        <v/>
      </c>
      <c r="D93" s="520" t="str">
        <f>IF(C93="","",VLOOKUP($B93,'F-1 Off Site River Baseline'!$C$9:$R$257,3,FALSE))</f>
        <v/>
      </c>
      <c r="E93" s="520" t="str">
        <f>IF(D93="","",VLOOKUP($B93,'F-1 Off Site River Baseline'!$C$9:$R$257,4,FALSE))</f>
        <v/>
      </c>
      <c r="F93" s="520" t="str">
        <f>IF(E93="","",VLOOKUP($B93,'F-1 Off Site River Baseline'!$C$9:$R$257,5,FALSE))</f>
        <v/>
      </c>
      <c r="G93" s="520" t="str">
        <f>IF(F93="","",VLOOKUP($B93,'F-1 Off Site River Baseline'!$C$9:$R$257,6,FALSE))</f>
        <v/>
      </c>
      <c r="H93" s="520" t="str">
        <f>IF(G93="","",VLOOKUP($B93,'F-1 Off Site River Baseline'!$C$9:$R$257,7,FALSE))</f>
        <v/>
      </c>
      <c r="I93" s="520" t="str">
        <f>IF(H93="","",VLOOKUP($B93,'F-1 Off Site River Baseline'!$C$9:$R$257,8,FALSE))</f>
        <v/>
      </c>
      <c r="J93" s="520" t="str">
        <f>IF(I93="","",VLOOKUP($B93,'F-1 Off Site River Baseline'!$C$9:$R$257,9,FALSE))</f>
        <v/>
      </c>
      <c r="K93" s="520" t="str">
        <f>IF(J93="","",VLOOKUP($B93,'F-1 Off Site River Baseline'!$C$9:$R$257,10,FALSE))</f>
        <v/>
      </c>
      <c r="L93" s="520" t="str">
        <f>IF(B93="","",VLOOKUP($B93,'C-1 Site River Baseline'!$C$9:$R$257,15,FALSE))</f>
        <v/>
      </c>
      <c r="M93" s="524" t="str">
        <f>IF(L93="","",VLOOKUP($B93,'F-1 Off Site River Baseline'!$C$9:$R$257,16,FALSE))</f>
        <v/>
      </c>
      <c r="N93" s="418" t="str">
        <f t="shared" si="12"/>
        <v/>
      </c>
      <c r="O93" s="498" t="str">
        <f t="shared" si="13"/>
        <v/>
      </c>
      <c r="P93" s="499" t="str">
        <f>IF(C93="","",IF(AND(LEFT(C93,55)&lt;&gt;LEFT(N93,55),O93="High - High"),"Error - Not like for like ▲",IF(AND(F93=S93,H93&gt;U93),"Error - Can not reduce condition ▲",IF(AND(F93=S93,H93=U93,AJ93='F-1 Off Site River Baseline'!N91,'F-1 Off Site River Baseline'!P91=AL93),"Error - No enhancement ▲",IF(AND(C93&lt;&gt;N93,F93&lt;S93),"Lower Distinctiveness Habitat"&amp;" - "&amp;T93,G93&amp;" - "&amp;T93)))))</f>
        <v/>
      </c>
      <c r="Q93" s="505" t="str">
        <f>IF(N93="","",VLOOKUP(B93,'F-1 Off Site River Baseline'!$C$10:$AA$257,19,FALSE))</f>
        <v/>
      </c>
      <c r="R93" s="498" t="str">
        <f>IF(N93="","",VLOOKUP(N93,'G-7 Rivers Data'!$B$2:$G$8,2,FALSE))</f>
        <v/>
      </c>
      <c r="S93" s="499" t="str">
        <f>IFERROR(VLOOKUP(R93,'G-7 Rivers Data'!$C$4:$D$8,2,FALSE),"")</f>
        <v/>
      </c>
      <c r="T93" s="145"/>
      <c r="U93" s="499" t="str">
        <f>IFERROR(INDEX('G-7 Rivers Data'!$H$4:$L$8,MATCH(N93,'G-7 Rivers Data'!$B$4:$B$8,0),MATCH(T93,'G-7 Rivers Data'!$H$3:$L$3,0)),"")</f>
        <v/>
      </c>
      <c r="V93" s="154"/>
      <c r="W93" s="520" t="str">
        <f>IF(V93="","",IF(VLOOKUP(V93,'G-7 Rivers Data'!$AG$4:$AI$9,2,FALSE)=0,"Spatial Data Missing ⚠",VLOOKUP(V93,'G-7 Rivers Data'!$AG$4:$AI$9,2,FALSE)))</f>
        <v/>
      </c>
      <c r="X93" s="524" t="str">
        <f>IF(V93="","",IF(VLOOKUP(V93,'G-7 Rivers Data'!$AG$4:$AI$9,3,FALSE)=0,"Spatial Data Missing ⚠",VLOOKUP(V93,'G-7 Rivers Data'!$AG$4:$AI$9,3,FALSE)))</f>
        <v/>
      </c>
      <c r="Y93" s="537" t="str">
        <f>IFERROR(IF(OR(LEFT(P93,5)="Error ▲",LEFT(O93,5)="Error ▲"),"Check Data ⚠",IF(F93&lt;S93,'G-7 Rivers Data'!$R$3,INDEX('G-7 Rivers Data'!$U$5:$Y$9,MATCH(G93,'G-7 Rivers Data'!$T$5:$T$9,0),MATCH(T93,'G-7 Rivers Data'!$U$4:$Y$4,0)))),"")</f>
        <v/>
      </c>
      <c r="Z93" s="203"/>
      <c r="AA93" s="203"/>
      <c r="AB93" s="534" t="str">
        <f t="shared" si="8"/>
        <v/>
      </c>
      <c r="AC93" s="521" t="str">
        <f t="shared" si="9"/>
        <v/>
      </c>
      <c r="AD93" s="564" t="str">
        <f>IFERROR(IF(AC93="Check Data ⚠","Check Data ⚠",VLOOKUP(AC93,'G-4 Temporal multipliers'!$A$4:$C$37,3,FALSE)),"")</f>
        <v/>
      </c>
      <c r="AE93" s="537" t="str">
        <f>IF(N93="","",VLOOKUP(N93,'G-7 Rivers Data'!$B$4:$G$8,5,FALSE))</f>
        <v/>
      </c>
      <c r="AF93" s="520" t="str">
        <f t="shared" si="10"/>
        <v/>
      </c>
      <c r="AG93" s="520" t="str">
        <f t="shared" si="14"/>
        <v/>
      </c>
      <c r="AH93" s="524" t="str">
        <f t="shared" si="11"/>
        <v/>
      </c>
      <c r="AI93" s="145"/>
      <c r="AJ93" s="499" t="str">
        <f>IF(AI93="","",IF(VLOOKUP(AI93,'G-7 Rivers Data'!$AA$4:$AB$7,2,FALSE)=0,"Spatial Data Missing ⚠",VLOOKUP(AI93,'G-7 Rivers Data'!$AA$4:$AB$7,2,FALSE)))</f>
        <v/>
      </c>
      <c r="AK93" s="155"/>
      <c r="AL93" s="536" t="str">
        <f>IF(AK93="","",IF(VLOOKUP(AK93,'G-7 Rivers Data'!$AD$4:$AE$8,2,FALSE)=0,"Spatial Data Missing ⚠",VLOOKUP(AK93,'G-7 Rivers Data'!$AD$4:$AE$8,2,FALSE)))</f>
        <v/>
      </c>
      <c r="AM93" s="154"/>
      <c r="AN93" s="524" t="str">
        <f>IF(AM93="","",VLOOKUP(AM93,'G-7 Rivers Data'!$AO$4:$AP$7,2,FALSE))</f>
        <v/>
      </c>
      <c r="AO93" s="545" t="str">
        <f t="shared" si="15"/>
        <v/>
      </c>
      <c r="AP93" s="149"/>
      <c r="AQ93" s="150"/>
      <c r="AX93" s="31" t="str">
        <f>IFERROR(INDEX('G-7 Rivers Data'!$AZ$3:$AZ$7,MATCH(N93,'G-7 Rivers Data'!$AY$3:$AY$7,0)),"")</f>
        <v/>
      </c>
    </row>
    <row r="94" spans="2:50" ht="13.8" x14ac:dyDescent="0.25">
      <c r="B94" s="531" t="str">
        <f>'F-1 Off Site River Baseline'!AN92</f>
        <v/>
      </c>
      <c r="C94" s="520" t="str">
        <f>IF(B94="","",VLOOKUP($B94,'F-1 Off Site River Baseline'!$C$9:$R$257,2,FALSE))</f>
        <v/>
      </c>
      <c r="D94" s="520" t="str">
        <f>IF(C94="","",VLOOKUP($B94,'F-1 Off Site River Baseline'!$C$9:$R$257,3,FALSE))</f>
        <v/>
      </c>
      <c r="E94" s="520" t="str">
        <f>IF(D94="","",VLOOKUP($B94,'F-1 Off Site River Baseline'!$C$9:$R$257,4,FALSE))</f>
        <v/>
      </c>
      <c r="F94" s="520" t="str">
        <f>IF(E94="","",VLOOKUP($B94,'F-1 Off Site River Baseline'!$C$9:$R$257,5,FALSE))</f>
        <v/>
      </c>
      <c r="G94" s="520" t="str">
        <f>IF(F94="","",VLOOKUP($B94,'F-1 Off Site River Baseline'!$C$9:$R$257,6,FALSE))</f>
        <v/>
      </c>
      <c r="H94" s="520" t="str">
        <f>IF(G94="","",VLOOKUP($B94,'F-1 Off Site River Baseline'!$C$9:$R$257,7,FALSE))</f>
        <v/>
      </c>
      <c r="I94" s="520" t="str">
        <f>IF(H94="","",VLOOKUP($B94,'F-1 Off Site River Baseline'!$C$9:$R$257,8,FALSE))</f>
        <v/>
      </c>
      <c r="J94" s="520" t="str">
        <f>IF(I94="","",VLOOKUP($B94,'F-1 Off Site River Baseline'!$C$9:$R$257,9,FALSE))</f>
        <v/>
      </c>
      <c r="K94" s="520" t="str">
        <f>IF(J94="","",VLOOKUP($B94,'F-1 Off Site River Baseline'!$C$9:$R$257,10,FALSE))</f>
        <v/>
      </c>
      <c r="L94" s="520" t="str">
        <f>IF(B94="","",VLOOKUP($B94,'C-1 Site River Baseline'!$C$9:$R$257,15,FALSE))</f>
        <v/>
      </c>
      <c r="M94" s="524" t="str">
        <f>IF(L94="","",VLOOKUP($B94,'F-1 Off Site River Baseline'!$C$9:$R$257,16,FALSE))</f>
        <v/>
      </c>
      <c r="N94" s="418" t="str">
        <f t="shared" si="12"/>
        <v/>
      </c>
      <c r="O94" s="498" t="str">
        <f t="shared" si="13"/>
        <v/>
      </c>
      <c r="P94" s="499" t="str">
        <f>IF(C94="","",IF(AND(LEFT(C94,55)&lt;&gt;LEFT(N94,55),O94="High - High"),"Error - Not like for like ▲",IF(AND(F94=S94,H94&gt;U94),"Error - Can not reduce condition ▲",IF(AND(F94=S94,H94=U94,AJ94='F-1 Off Site River Baseline'!N92,'F-1 Off Site River Baseline'!P92=AL94),"Error - No enhancement ▲",IF(AND(C94&lt;&gt;N94,F94&lt;S94),"Lower Distinctiveness Habitat"&amp;" - "&amp;T94,G94&amp;" - "&amp;T94)))))</f>
        <v/>
      </c>
      <c r="Q94" s="505" t="str">
        <f>IF(N94="","",VLOOKUP(B94,'F-1 Off Site River Baseline'!$C$10:$AA$257,19,FALSE))</f>
        <v/>
      </c>
      <c r="R94" s="498" t="str">
        <f>IF(N94="","",VLOOKUP(N94,'G-7 Rivers Data'!$B$2:$G$8,2,FALSE))</f>
        <v/>
      </c>
      <c r="S94" s="499" t="str">
        <f>IFERROR(VLOOKUP(R94,'G-7 Rivers Data'!$C$4:$D$8,2,FALSE),"")</f>
        <v/>
      </c>
      <c r="T94" s="145"/>
      <c r="U94" s="499" t="str">
        <f>IFERROR(INDEX('G-7 Rivers Data'!$H$4:$L$8,MATCH(N94,'G-7 Rivers Data'!$B$4:$B$8,0),MATCH(T94,'G-7 Rivers Data'!$H$3:$L$3,0)),"")</f>
        <v/>
      </c>
      <c r="V94" s="154"/>
      <c r="W94" s="520" t="str">
        <f>IF(V94="","",IF(VLOOKUP(V94,'G-7 Rivers Data'!$AG$4:$AI$9,2,FALSE)=0,"Spatial Data Missing ⚠",VLOOKUP(V94,'G-7 Rivers Data'!$AG$4:$AI$9,2,FALSE)))</f>
        <v/>
      </c>
      <c r="X94" s="524" t="str">
        <f>IF(V94="","",IF(VLOOKUP(V94,'G-7 Rivers Data'!$AG$4:$AI$9,3,FALSE)=0,"Spatial Data Missing ⚠",VLOOKUP(V94,'G-7 Rivers Data'!$AG$4:$AI$9,3,FALSE)))</f>
        <v/>
      </c>
      <c r="Y94" s="537" t="str">
        <f>IFERROR(IF(OR(LEFT(P94,5)="Error ▲",LEFT(O94,5)="Error ▲"),"Check Data ⚠",IF(F94&lt;S94,'G-7 Rivers Data'!$R$3,INDEX('G-7 Rivers Data'!$U$5:$Y$9,MATCH(G94,'G-7 Rivers Data'!$T$5:$T$9,0),MATCH(T94,'G-7 Rivers Data'!$U$4:$Y$4,0)))),"")</f>
        <v/>
      </c>
      <c r="Z94" s="203"/>
      <c r="AA94" s="203"/>
      <c r="AB94" s="534" t="str">
        <f t="shared" si="8"/>
        <v/>
      </c>
      <c r="AC94" s="521" t="str">
        <f t="shared" si="9"/>
        <v/>
      </c>
      <c r="AD94" s="564" t="str">
        <f>IFERROR(IF(AC94="Check Data ⚠","Check Data ⚠",VLOOKUP(AC94,'G-4 Temporal multipliers'!$A$4:$C$37,3,FALSE)),"")</f>
        <v/>
      </c>
      <c r="AE94" s="537" t="str">
        <f>IF(N94="","",VLOOKUP(N94,'G-7 Rivers Data'!$B$4:$G$8,5,FALSE))</f>
        <v/>
      </c>
      <c r="AF94" s="520" t="str">
        <f t="shared" si="10"/>
        <v/>
      </c>
      <c r="AG94" s="520" t="str">
        <f t="shared" si="14"/>
        <v/>
      </c>
      <c r="AH94" s="524" t="str">
        <f t="shared" si="11"/>
        <v/>
      </c>
      <c r="AI94" s="145"/>
      <c r="AJ94" s="499" t="str">
        <f>IF(AI94="","",IF(VLOOKUP(AI94,'G-7 Rivers Data'!$AA$4:$AB$7,2,FALSE)=0,"Spatial Data Missing ⚠",VLOOKUP(AI94,'G-7 Rivers Data'!$AA$4:$AB$7,2,FALSE)))</f>
        <v/>
      </c>
      <c r="AK94" s="155"/>
      <c r="AL94" s="536" t="str">
        <f>IF(AK94="","",IF(VLOOKUP(AK94,'G-7 Rivers Data'!$AD$4:$AE$8,2,FALSE)=0,"Spatial Data Missing ⚠",VLOOKUP(AK94,'G-7 Rivers Data'!$AD$4:$AE$8,2,FALSE)))</f>
        <v/>
      </c>
      <c r="AM94" s="154"/>
      <c r="AN94" s="524" t="str">
        <f>IF(AM94="","",VLOOKUP(AM94,'G-7 Rivers Data'!$AO$4:$AP$7,2,FALSE))</f>
        <v/>
      </c>
      <c r="AO94" s="545" t="str">
        <f t="shared" si="15"/>
        <v/>
      </c>
      <c r="AP94" s="149"/>
      <c r="AQ94" s="150"/>
      <c r="AX94" s="31" t="str">
        <f>IFERROR(INDEX('G-7 Rivers Data'!$AZ$3:$AZ$7,MATCH(N94,'G-7 Rivers Data'!$AY$3:$AY$7,0)),"")</f>
        <v/>
      </c>
    </row>
    <row r="95" spans="2:50" ht="13.8" x14ac:dyDescent="0.25">
      <c r="B95" s="531" t="str">
        <f>'F-1 Off Site River Baseline'!AN93</f>
        <v/>
      </c>
      <c r="C95" s="520" t="str">
        <f>IF(B95="","",VLOOKUP($B95,'F-1 Off Site River Baseline'!$C$9:$R$257,2,FALSE))</f>
        <v/>
      </c>
      <c r="D95" s="520" t="str">
        <f>IF(C95="","",VLOOKUP($B95,'F-1 Off Site River Baseline'!$C$9:$R$257,3,FALSE))</f>
        <v/>
      </c>
      <c r="E95" s="520" t="str">
        <f>IF(D95="","",VLOOKUP($B95,'F-1 Off Site River Baseline'!$C$9:$R$257,4,FALSE))</f>
        <v/>
      </c>
      <c r="F95" s="520" t="str">
        <f>IF(E95="","",VLOOKUP($B95,'F-1 Off Site River Baseline'!$C$9:$R$257,5,FALSE))</f>
        <v/>
      </c>
      <c r="G95" s="520" t="str">
        <f>IF(F95="","",VLOOKUP($B95,'F-1 Off Site River Baseline'!$C$9:$R$257,6,FALSE))</f>
        <v/>
      </c>
      <c r="H95" s="520" t="str">
        <f>IF(G95="","",VLOOKUP($B95,'F-1 Off Site River Baseline'!$C$9:$R$257,7,FALSE))</f>
        <v/>
      </c>
      <c r="I95" s="520" t="str">
        <f>IF(H95="","",VLOOKUP($B95,'F-1 Off Site River Baseline'!$C$9:$R$257,8,FALSE))</f>
        <v/>
      </c>
      <c r="J95" s="520" t="str">
        <f>IF(I95="","",VLOOKUP($B95,'F-1 Off Site River Baseline'!$C$9:$R$257,9,FALSE))</f>
        <v/>
      </c>
      <c r="K95" s="520" t="str">
        <f>IF(J95="","",VLOOKUP($B95,'F-1 Off Site River Baseline'!$C$9:$R$257,10,FALSE))</f>
        <v/>
      </c>
      <c r="L95" s="520" t="str">
        <f>IF(B95="","",VLOOKUP($B95,'C-1 Site River Baseline'!$C$9:$R$257,15,FALSE))</f>
        <v/>
      </c>
      <c r="M95" s="524" t="str">
        <f>IF(L95="","",VLOOKUP($B95,'F-1 Off Site River Baseline'!$C$9:$R$257,16,FALSE))</f>
        <v/>
      </c>
      <c r="N95" s="418" t="str">
        <f t="shared" si="12"/>
        <v/>
      </c>
      <c r="O95" s="498" t="str">
        <f t="shared" si="13"/>
        <v/>
      </c>
      <c r="P95" s="499" t="str">
        <f>IF(C95="","",IF(AND(LEFT(C95,55)&lt;&gt;LEFT(N95,55),O95="High - High"),"Error - Not like for like ▲",IF(AND(F95=S95,H95&gt;U95),"Error - Can not reduce condition ▲",IF(AND(F95=S95,H95=U95,AJ95='F-1 Off Site River Baseline'!N93,'F-1 Off Site River Baseline'!P93=AL95),"Error - No enhancement ▲",IF(AND(C95&lt;&gt;N95,F95&lt;S95),"Lower Distinctiveness Habitat"&amp;" - "&amp;T95,G95&amp;" - "&amp;T95)))))</f>
        <v/>
      </c>
      <c r="Q95" s="505" t="str">
        <f>IF(N95="","",VLOOKUP(B95,'F-1 Off Site River Baseline'!$C$10:$AA$257,19,FALSE))</f>
        <v/>
      </c>
      <c r="R95" s="498" t="str">
        <f>IF(N95="","",VLOOKUP(N95,'G-7 Rivers Data'!$B$2:$G$8,2,FALSE))</f>
        <v/>
      </c>
      <c r="S95" s="499" t="str">
        <f>IFERROR(VLOOKUP(R95,'G-7 Rivers Data'!$C$4:$D$8,2,FALSE),"")</f>
        <v/>
      </c>
      <c r="T95" s="145"/>
      <c r="U95" s="499" t="str">
        <f>IFERROR(INDEX('G-7 Rivers Data'!$H$4:$L$8,MATCH(N95,'G-7 Rivers Data'!$B$4:$B$8,0),MATCH(T95,'G-7 Rivers Data'!$H$3:$L$3,0)),"")</f>
        <v/>
      </c>
      <c r="V95" s="154"/>
      <c r="W95" s="520" t="str">
        <f>IF(V95="","",IF(VLOOKUP(V95,'G-7 Rivers Data'!$AG$4:$AI$9,2,FALSE)=0,"Spatial Data Missing ⚠",VLOOKUP(V95,'G-7 Rivers Data'!$AG$4:$AI$9,2,FALSE)))</f>
        <v/>
      </c>
      <c r="X95" s="524" t="str">
        <f>IF(V95="","",IF(VLOOKUP(V95,'G-7 Rivers Data'!$AG$4:$AI$9,3,FALSE)=0,"Spatial Data Missing ⚠",VLOOKUP(V95,'G-7 Rivers Data'!$AG$4:$AI$9,3,FALSE)))</f>
        <v/>
      </c>
      <c r="Y95" s="537" t="str">
        <f>IFERROR(IF(OR(LEFT(P95,5)="Error ▲",LEFT(O95,5)="Error ▲"),"Check Data ⚠",IF(F95&lt;S95,'G-7 Rivers Data'!$R$3,INDEX('G-7 Rivers Data'!$U$5:$Y$9,MATCH(G95,'G-7 Rivers Data'!$T$5:$T$9,0),MATCH(T95,'G-7 Rivers Data'!$U$4:$Y$4,0)))),"")</f>
        <v/>
      </c>
      <c r="Z95" s="203"/>
      <c r="AA95" s="203"/>
      <c r="AB95" s="534" t="str">
        <f t="shared" si="8"/>
        <v/>
      </c>
      <c r="AC95" s="521" t="str">
        <f t="shared" si="9"/>
        <v/>
      </c>
      <c r="AD95" s="564" t="str">
        <f>IFERROR(IF(AC95="Check Data ⚠","Check Data ⚠",VLOOKUP(AC95,'G-4 Temporal multipliers'!$A$4:$C$37,3,FALSE)),"")</f>
        <v/>
      </c>
      <c r="AE95" s="537" t="str">
        <f>IF(N95="","",VLOOKUP(N95,'G-7 Rivers Data'!$B$4:$G$8,5,FALSE))</f>
        <v/>
      </c>
      <c r="AF95" s="520" t="str">
        <f t="shared" si="10"/>
        <v/>
      </c>
      <c r="AG95" s="520" t="str">
        <f t="shared" si="14"/>
        <v/>
      </c>
      <c r="AH95" s="524" t="str">
        <f t="shared" si="11"/>
        <v/>
      </c>
      <c r="AI95" s="145"/>
      <c r="AJ95" s="499" t="str">
        <f>IF(AI95="","",IF(VLOOKUP(AI95,'G-7 Rivers Data'!$AA$4:$AB$7,2,FALSE)=0,"Spatial Data Missing ⚠",VLOOKUP(AI95,'G-7 Rivers Data'!$AA$4:$AB$7,2,FALSE)))</f>
        <v/>
      </c>
      <c r="AK95" s="155"/>
      <c r="AL95" s="536" t="str">
        <f>IF(AK95="","",IF(VLOOKUP(AK95,'G-7 Rivers Data'!$AD$4:$AE$8,2,FALSE)=0,"Spatial Data Missing ⚠",VLOOKUP(AK95,'G-7 Rivers Data'!$AD$4:$AE$8,2,FALSE)))</f>
        <v/>
      </c>
      <c r="AM95" s="154"/>
      <c r="AN95" s="524" t="str">
        <f>IF(AM95="","",VLOOKUP(AM95,'G-7 Rivers Data'!$AO$4:$AP$7,2,FALSE))</f>
        <v/>
      </c>
      <c r="AO95" s="545" t="str">
        <f t="shared" si="15"/>
        <v/>
      </c>
      <c r="AP95" s="149"/>
      <c r="AQ95" s="150"/>
      <c r="AX95" s="31" t="str">
        <f>IFERROR(INDEX('G-7 Rivers Data'!$AZ$3:$AZ$7,MATCH(N95,'G-7 Rivers Data'!$AY$3:$AY$7,0)),"")</f>
        <v/>
      </c>
    </row>
    <row r="96" spans="2:50" ht="13.8" x14ac:dyDescent="0.25">
      <c r="B96" s="531" t="str">
        <f>'F-1 Off Site River Baseline'!AN94</f>
        <v/>
      </c>
      <c r="C96" s="520" t="str">
        <f>IF(B96="","",VLOOKUP($B96,'F-1 Off Site River Baseline'!$C$9:$R$257,2,FALSE))</f>
        <v/>
      </c>
      <c r="D96" s="520" t="str">
        <f>IF(C96="","",VLOOKUP($B96,'F-1 Off Site River Baseline'!$C$9:$R$257,3,FALSE))</f>
        <v/>
      </c>
      <c r="E96" s="520" t="str">
        <f>IF(D96="","",VLOOKUP($B96,'F-1 Off Site River Baseline'!$C$9:$R$257,4,FALSE))</f>
        <v/>
      </c>
      <c r="F96" s="520" t="str">
        <f>IF(E96="","",VLOOKUP($B96,'F-1 Off Site River Baseline'!$C$9:$R$257,5,FALSE))</f>
        <v/>
      </c>
      <c r="G96" s="520" t="str">
        <f>IF(F96="","",VLOOKUP($B96,'F-1 Off Site River Baseline'!$C$9:$R$257,6,FALSE))</f>
        <v/>
      </c>
      <c r="H96" s="520" t="str">
        <f>IF(G96="","",VLOOKUP($B96,'F-1 Off Site River Baseline'!$C$9:$R$257,7,FALSE))</f>
        <v/>
      </c>
      <c r="I96" s="520" t="str">
        <f>IF(H96="","",VLOOKUP($B96,'F-1 Off Site River Baseline'!$C$9:$R$257,8,FALSE))</f>
        <v/>
      </c>
      <c r="J96" s="520" t="str">
        <f>IF(I96="","",VLOOKUP($B96,'F-1 Off Site River Baseline'!$C$9:$R$257,9,FALSE))</f>
        <v/>
      </c>
      <c r="K96" s="520" t="str">
        <f>IF(J96="","",VLOOKUP($B96,'F-1 Off Site River Baseline'!$C$9:$R$257,10,FALSE))</f>
        <v/>
      </c>
      <c r="L96" s="520" t="str">
        <f>IF(B96="","",VLOOKUP($B96,'C-1 Site River Baseline'!$C$9:$R$257,15,FALSE))</f>
        <v/>
      </c>
      <c r="M96" s="524" t="str">
        <f>IF(L96="","",VLOOKUP($B96,'F-1 Off Site River Baseline'!$C$9:$R$257,16,FALSE))</f>
        <v/>
      </c>
      <c r="N96" s="418" t="str">
        <f t="shared" si="12"/>
        <v/>
      </c>
      <c r="O96" s="498" t="str">
        <f t="shared" si="13"/>
        <v/>
      </c>
      <c r="P96" s="499" t="str">
        <f>IF(C96="","",IF(AND(LEFT(C96,55)&lt;&gt;LEFT(N96,55),O96="High - High"),"Error - Not like for like ▲",IF(AND(F96=S96,H96&gt;U96),"Error - Can not reduce condition ▲",IF(AND(F96=S96,H96=U96,AJ96='F-1 Off Site River Baseline'!N94,'F-1 Off Site River Baseline'!P94=AL96),"Error - No enhancement ▲",IF(AND(C96&lt;&gt;N96,F96&lt;S96),"Lower Distinctiveness Habitat"&amp;" - "&amp;T96,G96&amp;" - "&amp;T96)))))</f>
        <v/>
      </c>
      <c r="Q96" s="505" t="str">
        <f>IF(N96="","",VLOOKUP(B96,'F-1 Off Site River Baseline'!$C$10:$AA$257,19,FALSE))</f>
        <v/>
      </c>
      <c r="R96" s="498" t="str">
        <f>IF(N96="","",VLOOKUP(N96,'G-7 Rivers Data'!$B$2:$G$8,2,FALSE))</f>
        <v/>
      </c>
      <c r="S96" s="499" t="str">
        <f>IFERROR(VLOOKUP(R96,'G-7 Rivers Data'!$C$4:$D$8,2,FALSE),"")</f>
        <v/>
      </c>
      <c r="T96" s="145"/>
      <c r="U96" s="499" t="str">
        <f>IFERROR(INDEX('G-7 Rivers Data'!$H$4:$L$8,MATCH(N96,'G-7 Rivers Data'!$B$4:$B$8,0),MATCH(T96,'G-7 Rivers Data'!$H$3:$L$3,0)),"")</f>
        <v/>
      </c>
      <c r="V96" s="154"/>
      <c r="W96" s="520" t="str">
        <f>IF(V96="","",IF(VLOOKUP(V96,'G-7 Rivers Data'!$AG$4:$AI$9,2,FALSE)=0,"Spatial Data Missing ⚠",VLOOKUP(V96,'G-7 Rivers Data'!$AG$4:$AI$9,2,FALSE)))</f>
        <v/>
      </c>
      <c r="X96" s="524" t="str">
        <f>IF(V96="","",IF(VLOOKUP(V96,'G-7 Rivers Data'!$AG$4:$AI$9,3,FALSE)=0,"Spatial Data Missing ⚠",VLOOKUP(V96,'G-7 Rivers Data'!$AG$4:$AI$9,3,FALSE)))</f>
        <v/>
      </c>
      <c r="Y96" s="537" t="str">
        <f>IFERROR(IF(OR(LEFT(P96,5)="Error ▲",LEFT(O96,5)="Error ▲"),"Check Data ⚠",IF(F96&lt;S96,'G-7 Rivers Data'!$R$3,INDEX('G-7 Rivers Data'!$U$5:$Y$9,MATCH(G96,'G-7 Rivers Data'!$T$5:$T$9,0),MATCH(T96,'G-7 Rivers Data'!$U$4:$Y$4,0)))),"")</f>
        <v/>
      </c>
      <c r="Z96" s="203"/>
      <c r="AA96" s="203"/>
      <c r="AB96" s="534" t="str">
        <f t="shared" si="8"/>
        <v/>
      </c>
      <c r="AC96" s="521" t="str">
        <f t="shared" si="9"/>
        <v/>
      </c>
      <c r="AD96" s="564" t="str">
        <f>IFERROR(IF(AC96="Check Data ⚠","Check Data ⚠",VLOOKUP(AC96,'G-4 Temporal multipliers'!$A$4:$C$37,3,FALSE)),"")</f>
        <v/>
      </c>
      <c r="AE96" s="537" t="str">
        <f>IF(N96="","",VLOOKUP(N96,'G-7 Rivers Data'!$B$4:$G$8,5,FALSE))</f>
        <v/>
      </c>
      <c r="AF96" s="520" t="str">
        <f t="shared" si="10"/>
        <v/>
      </c>
      <c r="AG96" s="520" t="str">
        <f t="shared" si="14"/>
        <v/>
      </c>
      <c r="AH96" s="524" t="str">
        <f t="shared" si="11"/>
        <v/>
      </c>
      <c r="AI96" s="145"/>
      <c r="AJ96" s="499" t="str">
        <f>IF(AI96="","",IF(VLOOKUP(AI96,'G-7 Rivers Data'!$AA$4:$AB$7,2,FALSE)=0,"Spatial Data Missing ⚠",VLOOKUP(AI96,'G-7 Rivers Data'!$AA$4:$AB$7,2,FALSE)))</f>
        <v/>
      </c>
      <c r="AK96" s="155"/>
      <c r="AL96" s="536" t="str">
        <f>IF(AK96="","",IF(VLOOKUP(AK96,'G-7 Rivers Data'!$AD$4:$AE$8,2,FALSE)=0,"Spatial Data Missing ⚠",VLOOKUP(AK96,'G-7 Rivers Data'!$AD$4:$AE$8,2,FALSE)))</f>
        <v/>
      </c>
      <c r="AM96" s="154"/>
      <c r="AN96" s="524" t="str">
        <f>IF(AM96="","",VLOOKUP(AM96,'G-7 Rivers Data'!$AO$4:$AP$7,2,FALSE))</f>
        <v/>
      </c>
      <c r="AO96" s="545" t="str">
        <f t="shared" si="15"/>
        <v/>
      </c>
      <c r="AP96" s="149"/>
      <c r="AQ96" s="150"/>
      <c r="AX96" s="31" t="str">
        <f>IFERROR(INDEX('G-7 Rivers Data'!$AZ$3:$AZ$7,MATCH(N96,'G-7 Rivers Data'!$AY$3:$AY$7,0)),"")</f>
        <v/>
      </c>
    </row>
    <row r="97" spans="2:50" ht="13.8" x14ac:dyDescent="0.25">
      <c r="B97" s="531" t="str">
        <f>'F-1 Off Site River Baseline'!AN95</f>
        <v/>
      </c>
      <c r="C97" s="520" t="str">
        <f>IF(B97="","",VLOOKUP($B97,'F-1 Off Site River Baseline'!$C$9:$R$257,2,FALSE))</f>
        <v/>
      </c>
      <c r="D97" s="520" t="str">
        <f>IF(C97="","",VLOOKUP($B97,'F-1 Off Site River Baseline'!$C$9:$R$257,3,FALSE))</f>
        <v/>
      </c>
      <c r="E97" s="520" t="str">
        <f>IF(D97="","",VLOOKUP($B97,'F-1 Off Site River Baseline'!$C$9:$R$257,4,FALSE))</f>
        <v/>
      </c>
      <c r="F97" s="520" t="str">
        <f>IF(E97="","",VLOOKUP($B97,'F-1 Off Site River Baseline'!$C$9:$R$257,5,FALSE))</f>
        <v/>
      </c>
      <c r="G97" s="520" t="str">
        <f>IF(F97="","",VLOOKUP($B97,'F-1 Off Site River Baseline'!$C$9:$R$257,6,FALSE))</f>
        <v/>
      </c>
      <c r="H97" s="520" t="str">
        <f>IF(G97="","",VLOOKUP($B97,'F-1 Off Site River Baseline'!$C$9:$R$257,7,FALSE))</f>
        <v/>
      </c>
      <c r="I97" s="520" t="str">
        <f>IF(H97="","",VLOOKUP($B97,'F-1 Off Site River Baseline'!$C$9:$R$257,8,FALSE))</f>
        <v/>
      </c>
      <c r="J97" s="520" t="str">
        <f>IF(I97="","",VLOOKUP($B97,'F-1 Off Site River Baseline'!$C$9:$R$257,9,FALSE))</f>
        <v/>
      </c>
      <c r="K97" s="520" t="str">
        <f>IF(J97="","",VLOOKUP($B97,'F-1 Off Site River Baseline'!$C$9:$R$257,10,FALSE))</f>
        <v/>
      </c>
      <c r="L97" s="520" t="str">
        <f>IF(B97="","",VLOOKUP($B97,'C-1 Site River Baseline'!$C$9:$R$257,15,FALSE))</f>
        <v/>
      </c>
      <c r="M97" s="524" t="str">
        <f>IF(L97="","",VLOOKUP($B97,'F-1 Off Site River Baseline'!$C$9:$R$257,16,FALSE))</f>
        <v/>
      </c>
      <c r="N97" s="418" t="str">
        <f t="shared" si="12"/>
        <v/>
      </c>
      <c r="O97" s="498" t="str">
        <f t="shared" si="13"/>
        <v/>
      </c>
      <c r="P97" s="499" t="str">
        <f>IF(C97="","",IF(AND(LEFT(C97,55)&lt;&gt;LEFT(N97,55),O97="High - High"),"Error - Not like for like ▲",IF(AND(F97=S97,H97&gt;U97),"Error - Can not reduce condition ▲",IF(AND(F97=S97,H97=U97,AJ97='F-1 Off Site River Baseline'!N95,'F-1 Off Site River Baseline'!P95=AL97),"Error - No enhancement ▲",IF(AND(C97&lt;&gt;N97,F97&lt;S97),"Lower Distinctiveness Habitat"&amp;" - "&amp;T97,G97&amp;" - "&amp;T97)))))</f>
        <v/>
      </c>
      <c r="Q97" s="505" t="str">
        <f>IF(N97="","",VLOOKUP(B97,'F-1 Off Site River Baseline'!$C$10:$AA$257,19,FALSE))</f>
        <v/>
      </c>
      <c r="R97" s="498" t="str">
        <f>IF(N97="","",VLOOKUP(N97,'G-7 Rivers Data'!$B$2:$G$8,2,FALSE))</f>
        <v/>
      </c>
      <c r="S97" s="499" t="str">
        <f>IFERROR(VLOOKUP(R97,'G-7 Rivers Data'!$C$4:$D$8,2,FALSE),"")</f>
        <v/>
      </c>
      <c r="T97" s="145"/>
      <c r="U97" s="499" t="str">
        <f>IFERROR(INDEX('G-7 Rivers Data'!$H$4:$L$8,MATCH(N97,'G-7 Rivers Data'!$B$4:$B$8,0),MATCH(T97,'G-7 Rivers Data'!$H$3:$L$3,0)),"")</f>
        <v/>
      </c>
      <c r="V97" s="154"/>
      <c r="W97" s="520" t="str">
        <f>IF(V97="","",IF(VLOOKUP(V97,'G-7 Rivers Data'!$AG$4:$AI$9,2,FALSE)=0,"Spatial Data Missing ⚠",VLOOKUP(V97,'G-7 Rivers Data'!$AG$4:$AI$9,2,FALSE)))</f>
        <v/>
      </c>
      <c r="X97" s="524" t="str">
        <f>IF(V97="","",IF(VLOOKUP(V97,'G-7 Rivers Data'!$AG$4:$AI$9,3,FALSE)=0,"Spatial Data Missing ⚠",VLOOKUP(V97,'G-7 Rivers Data'!$AG$4:$AI$9,3,FALSE)))</f>
        <v/>
      </c>
      <c r="Y97" s="537" t="str">
        <f>IFERROR(IF(OR(LEFT(P97,5)="Error ▲",LEFT(O97,5)="Error ▲"),"Check Data ⚠",IF(F97&lt;S97,'G-7 Rivers Data'!$R$3,INDEX('G-7 Rivers Data'!$U$5:$Y$9,MATCH(G97,'G-7 Rivers Data'!$T$5:$T$9,0),MATCH(T97,'G-7 Rivers Data'!$U$4:$Y$4,0)))),"")</f>
        <v/>
      </c>
      <c r="Z97" s="203"/>
      <c r="AA97" s="203"/>
      <c r="AB97" s="534" t="str">
        <f t="shared" si="8"/>
        <v/>
      </c>
      <c r="AC97" s="521" t="str">
        <f t="shared" si="9"/>
        <v/>
      </c>
      <c r="AD97" s="564" t="str">
        <f>IFERROR(IF(AC97="Check Data ⚠","Check Data ⚠",VLOOKUP(AC97,'G-4 Temporal multipliers'!$A$4:$C$37,3,FALSE)),"")</f>
        <v/>
      </c>
      <c r="AE97" s="537" t="str">
        <f>IF(N97="","",VLOOKUP(N97,'G-7 Rivers Data'!$B$4:$G$8,5,FALSE))</f>
        <v/>
      </c>
      <c r="AF97" s="520" t="str">
        <f t="shared" si="10"/>
        <v/>
      </c>
      <c r="AG97" s="520" t="str">
        <f t="shared" si="14"/>
        <v/>
      </c>
      <c r="AH97" s="524" t="str">
        <f t="shared" si="11"/>
        <v/>
      </c>
      <c r="AI97" s="145"/>
      <c r="AJ97" s="499" t="str">
        <f>IF(AI97="","",IF(VLOOKUP(AI97,'G-7 Rivers Data'!$AA$4:$AB$7,2,FALSE)=0,"Spatial Data Missing ⚠",VLOOKUP(AI97,'G-7 Rivers Data'!$AA$4:$AB$7,2,FALSE)))</f>
        <v/>
      </c>
      <c r="AK97" s="155"/>
      <c r="AL97" s="536" t="str">
        <f>IF(AK97="","",IF(VLOOKUP(AK97,'G-7 Rivers Data'!$AD$4:$AE$8,2,FALSE)=0,"Spatial Data Missing ⚠",VLOOKUP(AK97,'G-7 Rivers Data'!$AD$4:$AE$8,2,FALSE)))</f>
        <v/>
      </c>
      <c r="AM97" s="154"/>
      <c r="AN97" s="524" t="str">
        <f>IF(AM97="","",VLOOKUP(AM97,'G-7 Rivers Data'!$AO$4:$AP$7,2,FALSE))</f>
        <v/>
      </c>
      <c r="AO97" s="545" t="str">
        <f t="shared" si="15"/>
        <v/>
      </c>
      <c r="AP97" s="149"/>
      <c r="AQ97" s="150"/>
      <c r="AX97" s="31" t="str">
        <f>IFERROR(INDEX('G-7 Rivers Data'!$AZ$3:$AZ$7,MATCH(N97,'G-7 Rivers Data'!$AY$3:$AY$7,0)),"")</f>
        <v/>
      </c>
    </row>
    <row r="98" spans="2:50" ht="13.8" x14ac:dyDescent="0.25">
      <c r="B98" s="531" t="str">
        <f>'F-1 Off Site River Baseline'!AN96</f>
        <v/>
      </c>
      <c r="C98" s="520" t="str">
        <f>IF(B98="","",VLOOKUP($B98,'F-1 Off Site River Baseline'!$C$9:$R$257,2,FALSE))</f>
        <v/>
      </c>
      <c r="D98" s="520" t="str">
        <f>IF(C98="","",VLOOKUP($B98,'F-1 Off Site River Baseline'!$C$9:$R$257,3,FALSE))</f>
        <v/>
      </c>
      <c r="E98" s="520" t="str">
        <f>IF(D98="","",VLOOKUP($B98,'F-1 Off Site River Baseline'!$C$9:$R$257,4,FALSE))</f>
        <v/>
      </c>
      <c r="F98" s="520" t="str">
        <f>IF(E98="","",VLOOKUP($B98,'F-1 Off Site River Baseline'!$C$9:$R$257,5,FALSE))</f>
        <v/>
      </c>
      <c r="G98" s="520" t="str">
        <f>IF(F98="","",VLOOKUP($B98,'F-1 Off Site River Baseline'!$C$9:$R$257,6,FALSE))</f>
        <v/>
      </c>
      <c r="H98" s="520" t="str">
        <f>IF(G98="","",VLOOKUP($B98,'F-1 Off Site River Baseline'!$C$9:$R$257,7,FALSE))</f>
        <v/>
      </c>
      <c r="I98" s="520" t="str">
        <f>IF(H98="","",VLOOKUP($B98,'F-1 Off Site River Baseline'!$C$9:$R$257,8,FALSE))</f>
        <v/>
      </c>
      <c r="J98" s="520" t="str">
        <f>IF(I98="","",VLOOKUP($B98,'F-1 Off Site River Baseline'!$C$9:$R$257,9,FALSE))</f>
        <v/>
      </c>
      <c r="K98" s="520" t="str">
        <f>IF(J98="","",VLOOKUP($B98,'F-1 Off Site River Baseline'!$C$9:$R$257,10,FALSE))</f>
        <v/>
      </c>
      <c r="L98" s="520" t="str">
        <f>IF(B98="","",VLOOKUP($B98,'C-1 Site River Baseline'!$C$9:$R$257,15,FALSE))</f>
        <v/>
      </c>
      <c r="M98" s="524" t="str">
        <f>IF(L98="","",VLOOKUP($B98,'F-1 Off Site River Baseline'!$C$9:$R$257,16,FALSE))</f>
        <v/>
      </c>
      <c r="N98" s="418" t="str">
        <f t="shared" si="12"/>
        <v/>
      </c>
      <c r="O98" s="498" t="str">
        <f t="shared" si="13"/>
        <v/>
      </c>
      <c r="P98" s="499" t="str">
        <f>IF(C98="","",IF(AND(LEFT(C98,55)&lt;&gt;LEFT(N98,55),O98="High - High"),"Error - Not like for like ▲",IF(AND(F98=S98,H98&gt;U98),"Error - Can not reduce condition ▲",IF(AND(F98=S98,H98=U98,AJ98='F-1 Off Site River Baseline'!N96,'F-1 Off Site River Baseline'!P96=AL98),"Error - No enhancement ▲",IF(AND(C98&lt;&gt;N98,F98&lt;S98),"Lower Distinctiveness Habitat"&amp;" - "&amp;T98,G98&amp;" - "&amp;T98)))))</f>
        <v/>
      </c>
      <c r="Q98" s="505" t="str">
        <f>IF(N98="","",VLOOKUP(B98,'F-1 Off Site River Baseline'!$C$10:$AA$257,19,FALSE))</f>
        <v/>
      </c>
      <c r="R98" s="498" t="str">
        <f>IF(N98="","",VLOOKUP(N98,'G-7 Rivers Data'!$B$2:$G$8,2,FALSE))</f>
        <v/>
      </c>
      <c r="S98" s="499" t="str">
        <f>IFERROR(VLOOKUP(R98,'G-7 Rivers Data'!$C$4:$D$8,2,FALSE),"")</f>
        <v/>
      </c>
      <c r="T98" s="145"/>
      <c r="U98" s="499" t="str">
        <f>IFERROR(INDEX('G-7 Rivers Data'!$H$4:$L$8,MATCH(N98,'G-7 Rivers Data'!$B$4:$B$8,0),MATCH(T98,'G-7 Rivers Data'!$H$3:$L$3,0)),"")</f>
        <v/>
      </c>
      <c r="V98" s="154"/>
      <c r="W98" s="520" t="str">
        <f>IF(V98="","",IF(VLOOKUP(V98,'G-7 Rivers Data'!$AG$4:$AI$9,2,FALSE)=0,"Spatial Data Missing ⚠",VLOOKUP(V98,'G-7 Rivers Data'!$AG$4:$AI$9,2,FALSE)))</f>
        <v/>
      </c>
      <c r="X98" s="524" t="str">
        <f>IF(V98="","",IF(VLOOKUP(V98,'G-7 Rivers Data'!$AG$4:$AI$9,3,FALSE)=0,"Spatial Data Missing ⚠",VLOOKUP(V98,'G-7 Rivers Data'!$AG$4:$AI$9,3,FALSE)))</f>
        <v/>
      </c>
      <c r="Y98" s="537" t="str">
        <f>IFERROR(IF(OR(LEFT(P98,5)="Error ▲",LEFT(O98,5)="Error ▲"),"Check Data ⚠",IF(F98&lt;S98,'G-7 Rivers Data'!$R$3,INDEX('G-7 Rivers Data'!$U$5:$Y$9,MATCH(G98,'G-7 Rivers Data'!$T$5:$T$9,0),MATCH(T98,'G-7 Rivers Data'!$U$4:$Y$4,0)))),"")</f>
        <v/>
      </c>
      <c r="Z98" s="203"/>
      <c r="AA98" s="203"/>
      <c r="AB98" s="534" t="str">
        <f t="shared" si="8"/>
        <v/>
      </c>
      <c r="AC98" s="521" t="str">
        <f t="shared" si="9"/>
        <v/>
      </c>
      <c r="AD98" s="564" t="str">
        <f>IFERROR(IF(AC98="Check Data ⚠","Check Data ⚠",VLOOKUP(AC98,'G-4 Temporal multipliers'!$A$4:$C$37,3,FALSE)),"")</f>
        <v/>
      </c>
      <c r="AE98" s="537" t="str">
        <f>IF(N98="","",VLOOKUP(N98,'G-7 Rivers Data'!$B$4:$G$8,5,FALSE))</f>
        <v/>
      </c>
      <c r="AF98" s="520" t="str">
        <f t="shared" si="10"/>
        <v/>
      </c>
      <c r="AG98" s="520" t="str">
        <f t="shared" si="14"/>
        <v/>
      </c>
      <c r="AH98" s="524" t="str">
        <f t="shared" si="11"/>
        <v/>
      </c>
      <c r="AI98" s="145"/>
      <c r="AJ98" s="499" t="str">
        <f>IF(AI98="","",IF(VLOOKUP(AI98,'G-7 Rivers Data'!$AA$4:$AB$7,2,FALSE)=0,"Spatial Data Missing ⚠",VLOOKUP(AI98,'G-7 Rivers Data'!$AA$4:$AB$7,2,FALSE)))</f>
        <v/>
      </c>
      <c r="AK98" s="155"/>
      <c r="AL98" s="536" t="str">
        <f>IF(AK98="","",IF(VLOOKUP(AK98,'G-7 Rivers Data'!$AD$4:$AE$8,2,FALSE)=0,"Spatial Data Missing ⚠",VLOOKUP(AK98,'G-7 Rivers Data'!$AD$4:$AE$8,2,FALSE)))</f>
        <v/>
      </c>
      <c r="AM98" s="154"/>
      <c r="AN98" s="524" t="str">
        <f>IF(AM98="","",VLOOKUP(AM98,'G-7 Rivers Data'!$AO$4:$AP$7,2,FALSE))</f>
        <v/>
      </c>
      <c r="AO98" s="545" t="str">
        <f t="shared" si="15"/>
        <v/>
      </c>
      <c r="AP98" s="149"/>
      <c r="AQ98" s="150"/>
      <c r="AX98" s="31" t="str">
        <f>IFERROR(INDEX('G-7 Rivers Data'!$AZ$3:$AZ$7,MATCH(N98,'G-7 Rivers Data'!$AY$3:$AY$7,0)),"")</f>
        <v/>
      </c>
    </row>
    <row r="99" spans="2:50" ht="13.8" x14ac:dyDescent="0.25">
      <c r="B99" s="531" t="str">
        <f>'F-1 Off Site River Baseline'!AN97</f>
        <v/>
      </c>
      <c r="C99" s="520" t="str">
        <f>IF(B99="","",VLOOKUP($B99,'F-1 Off Site River Baseline'!$C$9:$R$257,2,FALSE))</f>
        <v/>
      </c>
      <c r="D99" s="520" t="str">
        <f>IF(C99="","",VLOOKUP($B99,'F-1 Off Site River Baseline'!$C$9:$R$257,3,FALSE))</f>
        <v/>
      </c>
      <c r="E99" s="520" t="str">
        <f>IF(D99="","",VLOOKUP($B99,'F-1 Off Site River Baseline'!$C$9:$R$257,4,FALSE))</f>
        <v/>
      </c>
      <c r="F99" s="520" t="str">
        <f>IF(E99="","",VLOOKUP($B99,'F-1 Off Site River Baseline'!$C$9:$R$257,5,FALSE))</f>
        <v/>
      </c>
      <c r="G99" s="520" t="str">
        <f>IF(F99="","",VLOOKUP($B99,'F-1 Off Site River Baseline'!$C$9:$R$257,6,FALSE))</f>
        <v/>
      </c>
      <c r="H99" s="520" t="str">
        <f>IF(G99="","",VLOOKUP($B99,'F-1 Off Site River Baseline'!$C$9:$R$257,7,FALSE))</f>
        <v/>
      </c>
      <c r="I99" s="520" t="str">
        <f>IF(H99="","",VLOOKUP($B99,'F-1 Off Site River Baseline'!$C$9:$R$257,8,FALSE))</f>
        <v/>
      </c>
      <c r="J99" s="520" t="str">
        <f>IF(I99="","",VLOOKUP($B99,'F-1 Off Site River Baseline'!$C$9:$R$257,9,FALSE))</f>
        <v/>
      </c>
      <c r="K99" s="520" t="str">
        <f>IF(J99="","",VLOOKUP($B99,'F-1 Off Site River Baseline'!$C$9:$R$257,10,FALSE))</f>
        <v/>
      </c>
      <c r="L99" s="520" t="str">
        <f>IF(B99="","",VLOOKUP($B99,'C-1 Site River Baseline'!$C$9:$R$257,15,FALSE))</f>
        <v/>
      </c>
      <c r="M99" s="524" t="str">
        <f>IF(L99="","",VLOOKUP($B99,'F-1 Off Site River Baseline'!$C$9:$R$257,16,FALSE))</f>
        <v/>
      </c>
      <c r="N99" s="418" t="str">
        <f t="shared" si="12"/>
        <v/>
      </c>
      <c r="O99" s="498" t="str">
        <f t="shared" si="13"/>
        <v/>
      </c>
      <c r="P99" s="499" t="str">
        <f>IF(C99="","",IF(AND(LEFT(C99,55)&lt;&gt;LEFT(N99,55),O99="High - High"),"Error - Not like for like ▲",IF(AND(F99=S99,H99&gt;U99),"Error - Can not reduce condition ▲",IF(AND(F99=S99,H99=U99,AJ99='F-1 Off Site River Baseline'!N97,'F-1 Off Site River Baseline'!P97=AL99),"Error - No enhancement ▲",IF(AND(C99&lt;&gt;N99,F99&lt;S99),"Lower Distinctiveness Habitat"&amp;" - "&amp;T99,G99&amp;" - "&amp;T99)))))</f>
        <v/>
      </c>
      <c r="Q99" s="505" t="str">
        <f>IF(N99="","",VLOOKUP(B99,'F-1 Off Site River Baseline'!$C$10:$AA$257,19,FALSE))</f>
        <v/>
      </c>
      <c r="R99" s="498" t="str">
        <f>IF(N99="","",VLOOKUP(N99,'G-7 Rivers Data'!$B$2:$G$8,2,FALSE))</f>
        <v/>
      </c>
      <c r="S99" s="499" t="str">
        <f>IFERROR(VLOOKUP(R99,'G-7 Rivers Data'!$C$4:$D$8,2,FALSE),"")</f>
        <v/>
      </c>
      <c r="T99" s="145"/>
      <c r="U99" s="499" t="str">
        <f>IFERROR(INDEX('G-7 Rivers Data'!$H$4:$L$8,MATCH(N99,'G-7 Rivers Data'!$B$4:$B$8,0),MATCH(T99,'G-7 Rivers Data'!$H$3:$L$3,0)),"")</f>
        <v/>
      </c>
      <c r="V99" s="154"/>
      <c r="W99" s="520" t="str">
        <f>IF(V99="","",IF(VLOOKUP(V99,'G-7 Rivers Data'!$AG$4:$AI$9,2,FALSE)=0,"Spatial Data Missing ⚠",VLOOKUP(V99,'G-7 Rivers Data'!$AG$4:$AI$9,2,FALSE)))</f>
        <v/>
      </c>
      <c r="X99" s="524" t="str">
        <f>IF(V99="","",IF(VLOOKUP(V99,'G-7 Rivers Data'!$AG$4:$AI$9,3,FALSE)=0,"Spatial Data Missing ⚠",VLOOKUP(V99,'G-7 Rivers Data'!$AG$4:$AI$9,3,FALSE)))</f>
        <v/>
      </c>
      <c r="Y99" s="537" t="str">
        <f>IFERROR(IF(OR(LEFT(P99,5)="Error ▲",LEFT(O99,5)="Error ▲"),"Check Data ⚠",IF(F99&lt;S99,'G-7 Rivers Data'!$R$3,INDEX('G-7 Rivers Data'!$U$5:$Y$9,MATCH(G99,'G-7 Rivers Data'!$T$5:$T$9,0),MATCH(T99,'G-7 Rivers Data'!$U$4:$Y$4,0)))),"")</f>
        <v/>
      </c>
      <c r="Z99" s="203"/>
      <c r="AA99" s="203"/>
      <c r="AB99" s="534" t="str">
        <f t="shared" si="8"/>
        <v/>
      </c>
      <c r="AC99" s="521" t="str">
        <f t="shared" si="9"/>
        <v/>
      </c>
      <c r="AD99" s="564" t="str">
        <f>IFERROR(IF(AC99="Check Data ⚠","Check Data ⚠",VLOOKUP(AC99,'G-4 Temporal multipliers'!$A$4:$C$37,3,FALSE)),"")</f>
        <v/>
      </c>
      <c r="AE99" s="537" t="str">
        <f>IF(N99="","",VLOOKUP(N99,'G-7 Rivers Data'!$B$4:$G$8,5,FALSE))</f>
        <v/>
      </c>
      <c r="AF99" s="520" t="str">
        <f t="shared" si="10"/>
        <v/>
      </c>
      <c r="AG99" s="520" t="str">
        <f t="shared" si="14"/>
        <v/>
      </c>
      <c r="AH99" s="524" t="str">
        <f t="shared" si="11"/>
        <v/>
      </c>
      <c r="AI99" s="145"/>
      <c r="AJ99" s="499" t="str">
        <f>IF(AI99="","",IF(VLOOKUP(AI99,'G-7 Rivers Data'!$AA$4:$AB$7,2,FALSE)=0,"Spatial Data Missing ⚠",VLOOKUP(AI99,'G-7 Rivers Data'!$AA$4:$AB$7,2,FALSE)))</f>
        <v/>
      </c>
      <c r="AK99" s="155"/>
      <c r="AL99" s="536" t="str">
        <f>IF(AK99="","",IF(VLOOKUP(AK99,'G-7 Rivers Data'!$AD$4:$AE$8,2,FALSE)=0,"Spatial Data Missing ⚠",VLOOKUP(AK99,'G-7 Rivers Data'!$AD$4:$AE$8,2,FALSE)))</f>
        <v/>
      </c>
      <c r="AM99" s="154"/>
      <c r="AN99" s="524" t="str">
        <f>IF(AM99="","",VLOOKUP(AM99,'G-7 Rivers Data'!$AO$4:$AP$7,2,FALSE))</f>
        <v/>
      </c>
      <c r="AO99" s="545" t="str">
        <f t="shared" si="15"/>
        <v/>
      </c>
      <c r="AP99" s="149"/>
      <c r="AQ99" s="150"/>
      <c r="AX99" s="31" t="str">
        <f>IFERROR(INDEX('G-7 Rivers Data'!$AZ$3:$AZ$7,MATCH(N99,'G-7 Rivers Data'!$AY$3:$AY$7,0)),"")</f>
        <v/>
      </c>
    </row>
    <row r="100" spans="2:50" ht="13.8" x14ac:dyDescent="0.25">
      <c r="B100" s="531" t="str">
        <f>'F-1 Off Site River Baseline'!AN98</f>
        <v/>
      </c>
      <c r="C100" s="520" t="str">
        <f>IF(B100="","",VLOOKUP($B100,'F-1 Off Site River Baseline'!$C$9:$R$257,2,FALSE))</f>
        <v/>
      </c>
      <c r="D100" s="520" t="str">
        <f>IF(C100="","",VLOOKUP($B100,'F-1 Off Site River Baseline'!$C$9:$R$257,3,FALSE))</f>
        <v/>
      </c>
      <c r="E100" s="520" t="str">
        <f>IF(D100="","",VLOOKUP($B100,'F-1 Off Site River Baseline'!$C$9:$R$257,4,FALSE))</f>
        <v/>
      </c>
      <c r="F100" s="520" t="str">
        <f>IF(E100="","",VLOOKUP($B100,'F-1 Off Site River Baseline'!$C$9:$R$257,5,FALSE))</f>
        <v/>
      </c>
      <c r="G100" s="520" t="str">
        <f>IF(F100="","",VLOOKUP($B100,'F-1 Off Site River Baseline'!$C$9:$R$257,6,FALSE))</f>
        <v/>
      </c>
      <c r="H100" s="520" t="str">
        <f>IF(G100="","",VLOOKUP($B100,'F-1 Off Site River Baseline'!$C$9:$R$257,7,FALSE))</f>
        <v/>
      </c>
      <c r="I100" s="520" t="str">
        <f>IF(H100="","",VLOOKUP($B100,'F-1 Off Site River Baseline'!$C$9:$R$257,8,FALSE))</f>
        <v/>
      </c>
      <c r="J100" s="520" t="str">
        <f>IF(I100="","",VLOOKUP($B100,'F-1 Off Site River Baseline'!$C$9:$R$257,9,FALSE))</f>
        <v/>
      </c>
      <c r="K100" s="520" t="str">
        <f>IF(J100="","",VLOOKUP($B100,'F-1 Off Site River Baseline'!$C$9:$R$257,10,FALSE))</f>
        <v/>
      </c>
      <c r="L100" s="520" t="str">
        <f>IF(B100="","",VLOOKUP($B100,'C-1 Site River Baseline'!$C$9:$R$257,15,FALSE))</f>
        <v/>
      </c>
      <c r="M100" s="524" t="str">
        <f>IF(L100="","",VLOOKUP($B100,'F-1 Off Site River Baseline'!$C$9:$R$257,16,FALSE))</f>
        <v/>
      </c>
      <c r="N100" s="418" t="str">
        <f t="shared" si="12"/>
        <v/>
      </c>
      <c r="O100" s="498" t="str">
        <f t="shared" si="13"/>
        <v/>
      </c>
      <c r="P100" s="499" t="str">
        <f>IF(C100="","",IF(AND(LEFT(C100,55)&lt;&gt;LEFT(N100,55),O100="High - High"),"Error - Not like for like ▲",IF(AND(F100=S100,H100&gt;U100),"Error - Can not reduce condition ▲",IF(AND(F100=S100,H100=U100,AJ100='F-1 Off Site River Baseline'!N98,'F-1 Off Site River Baseline'!P98=AL100),"Error - No enhancement ▲",IF(AND(C100&lt;&gt;N100,F100&lt;S100),"Lower Distinctiveness Habitat"&amp;" - "&amp;T100,G100&amp;" - "&amp;T100)))))</f>
        <v/>
      </c>
      <c r="Q100" s="505" t="str">
        <f>IF(N100="","",VLOOKUP(B100,'F-1 Off Site River Baseline'!$C$10:$AA$257,19,FALSE))</f>
        <v/>
      </c>
      <c r="R100" s="498" t="str">
        <f>IF(N100="","",VLOOKUP(N100,'G-7 Rivers Data'!$B$2:$G$8,2,FALSE))</f>
        <v/>
      </c>
      <c r="S100" s="499" t="str">
        <f>IFERROR(VLOOKUP(R100,'G-7 Rivers Data'!$C$4:$D$8,2,FALSE),"")</f>
        <v/>
      </c>
      <c r="T100" s="145"/>
      <c r="U100" s="499" t="str">
        <f>IFERROR(INDEX('G-7 Rivers Data'!$H$4:$L$8,MATCH(N100,'G-7 Rivers Data'!$B$4:$B$8,0),MATCH(T100,'G-7 Rivers Data'!$H$3:$L$3,0)),"")</f>
        <v/>
      </c>
      <c r="V100" s="154"/>
      <c r="W100" s="520" t="str">
        <f>IF(V100="","",IF(VLOOKUP(V100,'G-7 Rivers Data'!$AG$4:$AI$9,2,FALSE)=0,"Spatial Data Missing ⚠",VLOOKUP(V100,'G-7 Rivers Data'!$AG$4:$AI$9,2,FALSE)))</f>
        <v/>
      </c>
      <c r="X100" s="524" t="str">
        <f>IF(V100="","",IF(VLOOKUP(V100,'G-7 Rivers Data'!$AG$4:$AI$9,3,FALSE)=0,"Spatial Data Missing ⚠",VLOOKUP(V100,'G-7 Rivers Data'!$AG$4:$AI$9,3,FALSE)))</f>
        <v/>
      </c>
      <c r="Y100" s="537" t="str">
        <f>IFERROR(IF(OR(LEFT(P100,5)="Error ▲",LEFT(O100,5)="Error ▲"),"Check Data ⚠",IF(F100&lt;S100,'G-7 Rivers Data'!$R$3,INDEX('G-7 Rivers Data'!$U$5:$Y$9,MATCH(G100,'G-7 Rivers Data'!$T$5:$T$9,0),MATCH(T100,'G-7 Rivers Data'!$U$4:$Y$4,0)))),"")</f>
        <v/>
      </c>
      <c r="Z100" s="203"/>
      <c r="AA100" s="203"/>
      <c r="AB100" s="534" t="str">
        <f t="shared" si="8"/>
        <v/>
      </c>
      <c r="AC100" s="521" t="str">
        <f t="shared" si="9"/>
        <v/>
      </c>
      <c r="AD100" s="564" t="str">
        <f>IFERROR(IF(AC100="Check Data ⚠","Check Data ⚠",VLOOKUP(AC100,'G-4 Temporal multipliers'!$A$4:$C$37,3,FALSE)),"")</f>
        <v/>
      </c>
      <c r="AE100" s="537" t="str">
        <f>IF(N100="","",VLOOKUP(N100,'G-7 Rivers Data'!$B$4:$G$8,5,FALSE))</f>
        <v/>
      </c>
      <c r="AF100" s="520" t="str">
        <f t="shared" si="10"/>
        <v/>
      </c>
      <c r="AG100" s="520" t="str">
        <f t="shared" si="14"/>
        <v/>
      </c>
      <c r="AH100" s="524" t="str">
        <f t="shared" si="11"/>
        <v/>
      </c>
      <c r="AI100" s="145"/>
      <c r="AJ100" s="499" t="str">
        <f>IF(AI100="","",IF(VLOOKUP(AI100,'G-7 Rivers Data'!$AA$4:$AB$7,2,FALSE)=0,"Spatial Data Missing ⚠",VLOOKUP(AI100,'G-7 Rivers Data'!$AA$4:$AB$7,2,FALSE)))</f>
        <v/>
      </c>
      <c r="AK100" s="155"/>
      <c r="AL100" s="536" t="str">
        <f>IF(AK100="","",IF(VLOOKUP(AK100,'G-7 Rivers Data'!$AD$4:$AE$8,2,FALSE)=0,"Spatial Data Missing ⚠",VLOOKUP(AK100,'G-7 Rivers Data'!$AD$4:$AE$8,2,FALSE)))</f>
        <v/>
      </c>
      <c r="AM100" s="154"/>
      <c r="AN100" s="524" t="str">
        <f>IF(AM100="","",VLOOKUP(AM100,'G-7 Rivers Data'!$AO$4:$AP$7,2,FALSE))</f>
        <v/>
      </c>
      <c r="AO100" s="545" t="str">
        <f t="shared" si="15"/>
        <v/>
      </c>
      <c r="AP100" s="149"/>
      <c r="AQ100" s="150"/>
      <c r="AX100" s="31" t="str">
        <f>IFERROR(INDEX('G-7 Rivers Data'!$AZ$3:$AZ$7,MATCH(N100,'G-7 Rivers Data'!$AY$3:$AY$7,0)),"")</f>
        <v/>
      </c>
    </row>
    <row r="101" spans="2:50" ht="13.8" x14ac:dyDescent="0.25">
      <c r="B101" s="531" t="str">
        <f>'F-1 Off Site River Baseline'!AN99</f>
        <v/>
      </c>
      <c r="C101" s="520" t="str">
        <f>IF(B101="","",VLOOKUP($B101,'F-1 Off Site River Baseline'!$C$9:$R$257,2,FALSE))</f>
        <v/>
      </c>
      <c r="D101" s="520" t="str">
        <f>IF(C101="","",VLOOKUP($B101,'F-1 Off Site River Baseline'!$C$9:$R$257,3,FALSE))</f>
        <v/>
      </c>
      <c r="E101" s="520" t="str">
        <f>IF(D101="","",VLOOKUP($B101,'F-1 Off Site River Baseline'!$C$9:$R$257,4,FALSE))</f>
        <v/>
      </c>
      <c r="F101" s="520" t="str">
        <f>IF(E101="","",VLOOKUP($B101,'F-1 Off Site River Baseline'!$C$9:$R$257,5,FALSE))</f>
        <v/>
      </c>
      <c r="G101" s="520" t="str">
        <f>IF(F101="","",VLOOKUP($B101,'F-1 Off Site River Baseline'!$C$9:$R$257,6,FALSE))</f>
        <v/>
      </c>
      <c r="H101" s="520" t="str">
        <f>IF(G101="","",VLOOKUP($B101,'F-1 Off Site River Baseline'!$C$9:$R$257,7,FALSE))</f>
        <v/>
      </c>
      <c r="I101" s="520" t="str">
        <f>IF(H101="","",VLOOKUP($B101,'F-1 Off Site River Baseline'!$C$9:$R$257,8,FALSE))</f>
        <v/>
      </c>
      <c r="J101" s="520" t="str">
        <f>IF(I101="","",VLOOKUP($B101,'F-1 Off Site River Baseline'!$C$9:$R$257,9,FALSE))</f>
        <v/>
      </c>
      <c r="K101" s="520" t="str">
        <f>IF(J101="","",VLOOKUP($B101,'F-1 Off Site River Baseline'!$C$9:$R$257,10,FALSE))</f>
        <v/>
      </c>
      <c r="L101" s="520" t="str">
        <f>IF(B101="","",VLOOKUP($B101,'C-1 Site River Baseline'!$C$9:$R$257,15,FALSE))</f>
        <v/>
      </c>
      <c r="M101" s="524" t="str">
        <f>IF(L101="","",VLOOKUP($B101,'F-1 Off Site River Baseline'!$C$9:$R$257,16,FALSE))</f>
        <v/>
      </c>
      <c r="N101" s="418" t="str">
        <f t="shared" si="12"/>
        <v/>
      </c>
      <c r="O101" s="498" t="str">
        <f t="shared" si="13"/>
        <v/>
      </c>
      <c r="P101" s="499" t="str">
        <f>IF(C101="","",IF(AND(LEFT(C101,55)&lt;&gt;LEFT(N101,55),O101="High - High"),"Error - Not like for like ▲",IF(AND(F101=S101,H101&gt;U101),"Error - Can not reduce condition ▲",IF(AND(F101=S101,H101=U101,AJ101='F-1 Off Site River Baseline'!N99,'F-1 Off Site River Baseline'!P99=AL101),"Error - No enhancement ▲",IF(AND(C101&lt;&gt;N101,F101&lt;S101),"Lower Distinctiveness Habitat"&amp;" - "&amp;T101,G101&amp;" - "&amp;T101)))))</f>
        <v/>
      </c>
      <c r="Q101" s="505" t="str">
        <f>IF(N101="","",VLOOKUP(B101,'F-1 Off Site River Baseline'!$C$10:$AA$257,19,FALSE))</f>
        <v/>
      </c>
      <c r="R101" s="498" t="str">
        <f>IF(N101="","",VLOOKUP(N101,'G-7 Rivers Data'!$B$2:$G$8,2,FALSE))</f>
        <v/>
      </c>
      <c r="S101" s="499" t="str">
        <f>IFERROR(VLOOKUP(R101,'G-7 Rivers Data'!$C$4:$D$8,2,FALSE),"")</f>
        <v/>
      </c>
      <c r="T101" s="145"/>
      <c r="U101" s="499" t="str">
        <f>IFERROR(INDEX('G-7 Rivers Data'!$H$4:$L$8,MATCH(N101,'G-7 Rivers Data'!$B$4:$B$8,0),MATCH(T101,'G-7 Rivers Data'!$H$3:$L$3,0)),"")</f>
        <v/>
      </c>
      <c r="V101" s="154"/>
      <c r="W101" s="520" t="str">
        <f>IF(V101="","",IF(VLOOKUP(V101,'G-7 Rivers Data'!$AG$4:$AI$9,2,FALSE)=0,"Spatial Data Missing ⚠",VLOOKUP(V101,'G-7 Rivers Data'!$AG$4:$AI$9,2,FALSE)))</f>
        <v/>
      </c>
      <c r="X101" s="524" t="str">
        <f>IF(V101="","",IF(VLOOKUP(V101,'G-7 Rivers Data'!$AG$4:$AI$9,3,FALSE)=0,"Spatial Data Missing ⚠",VLOOKUP(V101,'G-7 Rivers Data'!$AG$4:$AI$9,3,FALSE)))</f>
        <v/>
      </c>
      <c r="Y101" s="537" t="str">
        <f>IFERROR(IF(OR(LEFT(P101,5)="Error ▲",LEFT(O101,5)="Error ▲"),"Check Data ⚠",IF(F101&lt;S101,'G-7 Rivers Data'!$R$3,INDEX('G-7 Rivers Data'!$U$5:$Y$9,MATCH(G101,'G-7 Rivers Data'!$T$5:$T$9,0),MATCH(T101,'G-7 Rivers Data'!$U$4:$Y$4,0)))),"")</f>
        <v/>
      </c>
      <c r="Z101" s="203"/>
      <c r="AA101" s="203"/>
      <c r="AB101" s="534" t="str">
        <f t="shared" si="8"/>
        <v/>
      </c>
      <c r="AC101" s="521" t="str">
        <f t="shared" si="9"/>
        <v/>
      </c>
      <c r="AD101" s="564" t="str">
        <f>IFERROR(IF(AC101="Check Data ⚠","Check Data ⚠",VLOOKUP(AC101,'G-4 Temporal multipliers'!$A$4:$C$37,3,FALSE)),"")</f>
        <v/>
      </c>
      <c r="AE101" s="537" t="str">
        <f>IF(N101="","",VLOOKUP(N101,'G-7 Rivers Data'!$B$4:$G$8,5,FALSE))</f>
        <v/>
      </c>
      <c r="AF101" s="520" t="str">
        <f t="shared" si="10"/>
        <v/>
      </c>
      <c r="AG101" s="520" t="str">
        <f t="shared" si="14"/>
        <v/>
      </c>
      <c r="AH101" s="524" t="str">
        <f t="shared" si="11"/>
        <v/>
      </c>
      <c r="AI101" s="145"/>
      <c r="AJ101" s="499" t="str">
        <f>IF(AI101="","",IF(VLOOKUP(AI101,'G-7 Rivers Data'!$AA$4:$AB$7,2,FALSE)=0,"Spatial Data Missing ⚠",VLOOKUP(AI101,'G-7 Rivers Data'!$AA$4:$AB$7,2,FALSE)))</f>
        <v/>
      </c>
      <c r="AK101" s="155"/>
      <c r="AL101" s="536" t="str">
        <f>IF(AK101="","",IF(VLOOKUP(AK101,'G-7 Rivers Data'!$AD$4:$AE$8,2,FALSE)=0,"Spatial Data Missing ⚠",VLOOKUP(AK101,'G-7 Rivers Data'!$AD$4:$AE$8,2,FALSE)))</f>
        <v/>
      </c>
      <c r="AM101" s="154"/>
      <c r="AN101" s="524" t="str">
        <f>IF(AM101="","",VLOOKUP(AM101,'G-7 Rivers Data'!$AO$4:$AP$7,2,FALSE))</f>
        <v/>
      </c>
      <c r="AO101" s="545" t="str">
        <f t="shared" si="15"/>
        <v/>
      </c>
      <c r="AP101" s="149"/>
      <c r="AQ101" s="150"/>
      <c r="AX101" s="31" t="str">
        <f>IFERROR(INDEX('G-7 Rivers Data'!$AZ$3:$AZ$7,MATCH(N101,'G-7 Rivers Data'!$AY$3:$AY$7,0)),"")</f>
        <v/>
      </c>
    </row>
    <row r="102" spans="2:50" ht="13.8" x14ac:dyDescent="0.25">
      <c r="B102" s="531" t="str">
        <f>'F-1 Off Site River Baseline'!AN100</f>
        <v/>
      </c>
      <c r="C102" s="520" t="str">
        <f>IF(B102="","",VLOOKUP($B102,'F-1 Off Site River Baseline'!$C$9:$R$257,2,FALSE))</f>
        <v/>
      </c>
      <c r="D102" s="520" t="str">
        <f>IF(C102="","",VLOOKUP($B102,'F-1 Off Site River Baseline'!$C$9:$R$257,3,FALSE))</f>
        <v/>
      </c>
      <c r="E102" s="520" t="str">
        <f>IF(D102="","",VLOOKUP($B102,'F-1 Off Site River Baseline'!$C$9:$R$257,4,FALSE))</f>
        <v/>
      </c>
      <c r="F102" s="520" t="str">
        <f>IF(E102="","",VLOOKUP($B102,'F-1 Off Site River Baseline'!$C$9:$R$257,5,FALSE))</f>
        <v/>
      </c>
      <c r="G102" s="520" t="str">
        <f>IF(F102="","",VLOOKUP($B102,'F-1 Off Site River Baseline'!$C$9:$R$257,6,FALSE))</f>
        <v/>
      </c>
      <c r="H102" s="520" t="str">
        <f>IF(G102="","",VLOOKUP($B102,'F-1 Off Site River Baseline'!$C$9:$R$257,7,FALSE))</f>
        <v/>
      </c>
      <c r="I102" s="520" t="str">
        <f>IF(H102="","",VLOOKUP($B102,'F-1 Off Site River Baseline'!$C$9:$R$257,8,FALSE))</f>
        <v/>
      </c>
      <c r="J102" s="520" t="str">
        <f>IF(I102="","",VLOOKUP($B102,'F-1 Off Site River Baseline'!$C$9:$R$257,9,FALSE))</f>
        <v/>
      </c>
      <c r="K102" s="520" t="str">
        <f>IF(J102="","",VLOOKUP($B102,'F-1 Off Site River Baseline'!$C$9:$R$257,10,FALSE))</f>
        <v/>
      </c>
      <c r="L102" s="520" t="str">
        <f>IF(B102="","",VLOOKUP($B102,'C-1 Site River Baseline'!$C$9:$R$257,15,FALSE))</f>
        <v/>
      </c>
      <c r="M102" s="524" t="str">
        <f>IF(L102="","",VLOOKUP($B102,'F-1 Off Site River Baseline'!$C$9:$R$257,16,FALSE))</f>
        <v/>
      </c>
      <c r="N102" s="418" t="str">
        <f t="shared" si="12"/>
        <v/>
      </c>
      <c r="O102" s="498" t="str">
        <f t="shared" si="13"/>
        <v/>
      </c>
      <c r="P102" s="499" t="str">
        <f>IF(C102="","",IF(AND(LEFT(C102,55)&lt;&gt;LEFT(N102,55),O102="High - High"),"Error - Not like for like ▲",IF(AND(F102=S102,H102&gt;U102),"Error - Can not reduce condition ▲",IF(AND(F102=S102,H102=U102,AJ102='F-1 Off Site River Baseline'!N100,'F-1 Off Site River Baseline'!P100=AL102),"Error - No enhancement ▲",IF(AND(C102&lt;&gt;N102,F102&lt;S102),"Lower Distinctiveness Habitat"&amp;" - "&amp;T102,G102&amp;" - "&amp;T102)))))</f>
        <v/>
      </c>
      <c r="Q102" s="505" t="str">
        <f>IF(N102="","",VLOOKUP(B102,'F-1 Off Site River Baseline'!$C$10:$AA$257,19,FALSE))</f>
        <v/>
      </c>
      <c r="R102" s="498" t="str">
        <f>IF(N102="","",VLOOKUP(N102,'G-7 Rivers Data'!$B$2:$G$8,2,FALSE))</f>
        <v/>
      </c>
      <c r="S102" s="499" t="str">
        <f>IFERROR(VLOOKUP(R102,'G-7 Rivers Data'!$C$4:$D$8,2,FALSE),"")</f>
        <v/>
      </c>
      <c r="T102" s="145"/>
      <c r="U102" s="499" t="str">
        <f>IFERROR(INDEX('G-7 Rivers Data'!$H$4:$L$8,MATCH(N102,'G-7 Rivers Data'!$B$4:$B$8,0),MATCH(T102,'G-7 Rivers Data'!$H$3:$L$3,0)),"")</f>
        <v/>
      </c>
      <c r="V102" s="154"/>
      <c r="W102" s="520" t="str">
        <f>IF(V102="","",IF(VLOOKUP(V102,'G-7 Rivers Data'!$AG$4:$AI$9,2,FALSE)=0,"Spatial Data Missing ⚠",VLOOKUP(V102,'G-7 Rivers Data'!$AG$4:$AI$9,2,FALSE)))</f>
        <v/>
      </c>
      <c r="X102" s="524" t="str">
        <f>IF(V102="","",IF(VLOOKUP(V102,'G-7 Rivers Data'!$AG$4:$AI$9,3,FALSE)=0,"Spatial Data Missing ⚠",VLOOKUP(V102,'G-7 Rivers Data'!$AG$4:$AI$9,3,FALSE)))</f>
        <v/>
      </c>
      <c r="Y102" s="537" t="str">
        <f>IFERROR(IF(OR(LEFT(P102,5)="Error ▲",LEFT(O102,5)="Error ▲"),"Check Data ⚠",IF(F102&lt;S102,'G-7 Rivers Data'!$R$3,INDEX('G-7 Rivers Data'!$U$5:$Y$9,MATCH(G102,'G-7 Rivers Data'!$T$5:$T$9,0),MATCH(T102,'G-7 Rivers Data'!$U$4:$Y$4,0)))),"")</f>
        <v/>
      </c>
      <c r="Z102" s="203"/>
      <c r="AA102" s="203"/>
      <c r="AB102" s="534" t="str">
        <f t="shared" si="8"/>
        <v/>
      </c>
      <c r="AC102" s="521" t="str">
        <f t="shared" si="9"/>
        <v/>
      </c>
      <c r="AD102" s="564" t="str">
        <f>IFERROR(IF(AC102="Check Data ⚠","Check Data ⚠",VLOOKUP(AC102,'G-4 Temporal multipliers'!$A$4:$C$37,3,FALSE)),"")</f>
        <v/>
      </c>
      <c r="AE102" s="537" t="str">
        <f>IF(N102="","",VLOOKUP(N102,'G-7 Rivers Data'!$B$4:$G$8,5,FALSE))</f>
        <v/>
      </c>
      <c r="AF102" s="520" t="str">
        <f t="shared" si="10"/>
        <v/>
      </c>
      <c r="AG102" s="520" t="str">
        <f t="shared" si="14"/>
        <v/>
      </c>
      <c r="AH102" s="524" t="str">
        <f t="shared" si="11"/>
        <v/>
      </c>
      <c r="AI102" s="145"/>
      <c r="AJ102" s="499" t="str">
        <f>IF(AI102="","",IF(VLOOKUP(AI102,'G-7 Rivers Data'!$AA$4:$AB$7,2,FALSE)=0,"Spatial Data Missing ⚠",VLOOKUP(AI102,'G-7 Rivers Data'!$AA$4:$AB$7,2,FALSE)))</f>
        <v/>
      </c>
      <c r="AK102" s="155"/>
      <c r="AL102" s="536" t="str">
        <f>IF(AK102="","",IF(VLOOKUP(AK102,'G-7 Rivers Data'!$AD$4:$AE$8,2,FALSE)=0,"Spatial Data Missing ⚠",VLOOKUP(AK102,'G-7 Rivers Data'!$AD$4:$AE$8,2,FALSE)))</f>
        <v/>
      </c>
      <c r="AM102" s="154"/>
      <c r="AN102" s="524" t="str">
        <f>IF(AM102="","",VLOOKUP(AM102,'G-7 Rivers Data'!$AO$4:$AP$7,2,FALSE))</f>
        <v/>
      </c>
      <c r="AO102" s="545" t="str">
        <f t="shared" si="15"/>
        <v/>
      </c>
      <c r="AP102" s="149"/>
      <c r="AQ102" s="150"/>
      <c r="AX102" s="31" t="str">
        <f>IFERROR(INDEX('G-7 Rivers Data'!$AZ$3:$AZ$7,MATCH(N102,'G-7 Rivers Data'!$AY$3:$AY$7,0)),"")</f>
        <v/>
      </c>
    </row>
    <row r="103" spans="2:50" ht="13.8" x14ac:dyDescent="0.25">
      <c r="B103" s="531" t="str">
        <f>'F-1 Off Site River Baseline'!AN101</f>
        <v/>
      </c>
      <c r="C103" s="520" t="str">
        <f>IF(B103="","",VLOOKUP($B103,'F-1 Off Site River Baseline'!$C$9:$R$257,2,FALSE))</f>
        <v/>
      </c>
      <c r="D103" s="520" t="str">
        <f>IF(C103="","",VLOOKUP($B103,'F-1 Off Site River Baseline'!$C$9:$R$257,3,FALSE))</f>
        <v/>
      </c>
      <c r="E103" s="520" t="str">
        <f>IF(D103="","",VLOOKUP($B103,'F-1 Off Site River Baseline'!$C$9:$R$257,4,FALSE))</f>
        <v/>
      </c>
      <c r="F103" s="520" t="str">
        <f>IF(E103="","",VLOOKUP($B103,'F-1 Off Site River Baseline'!$C$9:$R$257,5,FALSE))</f>
        <v/>
      </c>
      <c r="G103" s="520" t="str">
        <f>IF(F103="","",VLOOKUP($B103,'F-1 Off Site River Baseline'!$C$9:$R$257,6,FALSE))</f>
        <v/>
      </c>
      <c r="H103" s="520" t="str">
        <f>IF(G103="","",VLOOKUP($B103,'F-1 Off Site River Baseline'!$C$9:$R$257,7,FALSE))</f>
        <v/>
      </c>
      <c r="I103" s="520" t="str">
        <f>IF(H103="","",VLOOKUP($B103,'F-1 Off Site River Baseline'!$C$9:$R$257,8,FALSE))</f>
        <v/>
      </c>
      <c r="J103" s="520" t="str">
        <f>IF(I103="","",VLOOKUP($B103,'F-1 Off Site River Baseline'!$C$9:$R$257,9,FALSE))</f>
        <v/>
      </c>
      <c r="K103" s="520" t="str">
        <f>IF(J103="","",VLOOKUP($B103,'F-1 Off Site River Baseline'!$C$9:$R$257,10,FALSE))</f>
        <v/>
      </c>
      <c r="L103" s="520" t="str">
        <f>IF(B103="","",VLOOKUP($B103,'C-1 Site River Baseline'!$C$9:$R$257,15,FALSE))</f>
        <v/>
      </c>
      <c r="M103" s="524" t="str">
        <f>IF(L103="","",VLOOKUP($B103,'F-1 Off Site River Baseline'!$C$9:$R$257,16,FALSE))</f>
        <v/>
      </c>
      <c r="N103" s="418" t="str">
        <f t="shared" si="12"/>
        <v/>
      </c>
      <c r="O103" s="498" t="str">
        <f t="shared" si="13"/>
        <v/>
      </c>
      <c r="P103" s="499" t="str">
        <f>IF(C103="","",IF(AND(LEFT(C103,55)&lt;&gt;LEFT(N103,55),O103="High - High"),"Error - Not like for like ▲",IF(AND(F103=S103,H103&gt;U103),"Error - Can not reduce condition ▲",IF(AND(F103=S103,H103=U103,AJ103='F-1 Off Site River Baseline'!N101,'F-1 Off Site River Baseline'!P101=AL103),"Error - No enhancement ▲",IF(AND(C103&lt;&gt;N103,F103&lt;S103),"Lower Distinctiveness Habitat"&amp;" - "&amp;T103,G103&amp;" - "&amp;T103)))))</f>
        <v/>
      </c>
      <c r="Q103" s="505" t="str">
        <f>IF(N103="","",VLOOKUP(B103,'F-1 Off Site River Baseline'!$C$10:$AA$257,19,FALSE))</f>
        <v/>
      </c>
      <c r="R103" s="498" t="str">
        <f>IF(N103="","",VLOOKUP(N103,'G-7 Rivers Data'!$B$2:$G$8,2,FALSE))</f>
        <v/>
      </c>
      <c r="S103" s="499" t="str">
        <f>IFERROR(VLOOKUP(R103,'G-7 Rivers Data'!$C$4:$D$8,2,FALSE),"")</f>
        <v/>
      </c>
      <c r="T103" s="145"/>
      <c r="U103" s="499" t="str">
        <f>IFERROR(INDEX('G-7 Rivers Data'!$H$4:$L$8,MATCH(N103,'G-7 Rivers Data'!$B$4:$B$8,0),MATCH(T103,'G-7 Rivers Data'!$H$3:$L$3,0)),"")</f>
        <v/>
      </c>
      <c r="V103" s="154"/>
      <c r="W103" s="520" t="str">
        <f>IF(V103="","",IF(VLOOKUP(V103,'G-7 Rivers Data'!$AG$4:$AI$9,2,FALSE)=0,"Spatial Data Missing ⚠",VLOOKUP(V103,'G-7 Rivers Data'!$AG$4:$AI$9,2,FALSE)))</f>
        <v/>
      </c>
      <c r="X103" s="524" t="str">
        <f>IF(V103="","",IF(VLOOKUP(V103,'G-7 Rivers Data'!$AG$4:$AI$9,3,FALSE)=0,"Spatial Data Missing ⚠",VLOOKUP(V103,'G-7 Rivers Data'!$AG$4:$AI$9,3,FALSE)))</f>
        <v/>
      </c>
      <c r="Y103" s="537" t="str">
        <f>IFERROR(IF(OR(LEFT(P103,5)="Error ▲",LEFT(O103,5)="Error ▲"),"Check Data ⚠",IF(F103&lt;S103,'G-7 Rivers Data'!$R$3,INDEX('G-7 Rivers Data'!$U$5:$Y$9,MATCH(G103,'G-7 Rivers Data'!$T$5:$T$9,0),MATCH(T103,'G-7 Rivers Data'!$U$4:$Y$4,0)))),"")</f>
        <v/>
      </c>
      <c r="Z103" s="203"/>
      <c r="AA103" s="203"/>
      <c r="AB103" s="534" t="str">
        <f t="shared" si="8"/>
        <v/>
      </c>
      <c r="AC103" s="521" t="str">
        <f t="shared" si="9"/>
        <v/>
      </c>
      <c r="AD103" s="564" t="str">
        <f>IFERROR(IF(AC103="Check Data ⚠","Check Data ⚠",VLOOKUP(AC103,'G-4 Temporal multipliers'!$A$4:$C$37,3,FALSE)),"")</f>
        <v/>
      </c>
      <c r="AE103" s="537" t="str">
        <f>IF(N103="","",VLOOKUP(N103,'G-7 Rivers Data'!$B$4:$G$8,5,FALSE))</f>
        <v/>
      </c>
      <c r="AF103" s="520" t="str">
        <f t="shared" si="10"/>
        <v/>
      </c>
      <c r="AG103" s="520" t="str">
        <f t="shared" si="14"/>
        <v/>
      </c>
      <c r="AH103" s="524" t="str">
        <f t="shared" si="11"/>
        <v/>
      </c>
      <c r="AI103" s="145"/>
      <c r="AJ103" s="499" t="str">
        <f>IF(AI103="","",IF(VLOOKUP(AI103,'G-7 Rivers Data'!$AA$4:$AB$7,2,FALSE)=0,"Spatial Data Missing ⚠",VLOOKUP(AI103,'G-7 Rivers Data'!$AA$4:$AB$7,2,FALSE)))</f>
        <v/>
      </c>
      <c r="AK103" s="155"/>
      <c r="AL103" s="536" t="str">
        <f>IF(AK103="","",IF(VLOOKUP(AK103,'G-7 Rivers Data'!$AD$4:$AE$8,2,FALSE)=0,"Spatial Data Missing ⚠",VLOOKUP(AK103,'G-7 Rivers Data'!$AD$4:$AE$8,2,FALSE)))</f>
        <v/>
      </c>
      <c r="AM103" s="154"/>
      <c r="AN103" s="524" t="str">
        <f>IF(AM103="","",VLOOKUP(AM103,'G-7 Rivers Data'!$AO$4:$AP$7,2,FALSE))</f>
        <v/>
      </c>
      <c r="AO103" s="545" t="str">
        <f t="shared" si="15"/>
        <v/>
      </c>
      <c r="AP103" s="149"/>
      <c r="AQ103" s="150"/>
      <c r="AX103" s="31" t="str">
        <f>IFERROR(INDEX('G-7 Rivers Data'!$AZ$3:$AZ$7,MATCH(N103,'G-7 Rivers Data'!$AY$3:$AY$7,0)),"")</f>
        <v/>
      </c>
    </row>
    <row r="104" spans="2:50" ht="13.8" x14ac:dyDescent="0.25">
      <c r="B104" s="531" t="str">
        <f>'F-1 Off Site River Baseline'!AN102</f>
        <v/>
      </c>
      <c r="C104" s="520" t="str">
        <f>IF(B104="","",VLOOKUP($B104,'F-1 Off Site River Baseline'!$C$9:$R$257,2,FALSE))</f>
        <v/>
      </c>
      <c r="D104" s="520" t="str">
        <f>IF(C104="","",VLOOKUP($B104,'F-1 Off Site River Baseline'!$C$9:$R$257,3,FALSE))</f>
        <v/>
      </c>
      <c r="E104" s="520" t="str">
        <f>IF(D104="","",VLOOKUP($B104,'F-1 Off Site River Baseline'!$C$9:$R$257,4,FALSE))</f>
        <v/>
      </c>
      <c r="F104" s="520" t="str">
        <f>IF(E104="","",VLOOKUP($B104,'F-1 Off Site River Baseline'!$C$9:$R$257,5,FALSE))</f>
        <v/>
      </c>
      <c r="G104" s="520" t="str">
        <f>IF(F104="","",VLOOKUP($B104,'F-1 Off Site River Baseline'!$C$9:$R$257,6,FALSE))</f>
        <v/>
      </c>
      <c r="H104" s="520" t="str">
        <f>IF(G104="","",VLOOKUP($B104,'F-1 Off Site River Baseline'!$C$9:$R$257,7,FALSE))</f>
        <v/>
      </c>
      <c r="I104" s="520" t="str">
        <f>IF(H104="","",VLOOKUP($B104,'F-1 Off Site River Baseline'!$C$9:$R$257,8,FALSE))</f>
        <v/>
      </c>
      <c r="J104" s="520" t="str">
        <f>IF(I104="","",VLOOKUP($B104,'F-1 Off Site River Baseline'!$C$9:$R$257,9,FALSE))</f>
        <v/>
      </c>
      <c r="K104" s="520" t="str">
        <f>IF(J104="","",VLOOKUP($B104,'F-1 Off Site River Baseline'!$C$9:$R$257,10,FALSE))</f>
        <v/>
      </c>
      <c r="L104" s="520" t="str">
        <f>IF(B104="","",VLOOKUP($B104,'C-1 Site River Baseline'!$C$9:$R$257,15,FALSE))</f>
        <v/>
      </c>
      <c r="M104" s="524" t="str">
        <f>IF(L104="","",VLOOKUP($B104,'F-1 Off Site River Baseline'!$C$9:$R$257,16,FALSE))</f>
        <v/>
      </c>
      <c r="N104" s="418" t="str">
        <f t="shared" si="12"/>
        <v/>
      </c>
      <c r="O104" s="498" t="str">
        <f t="shared" si="13"/>
        <v/>
      </c>
      <c r="P104" s="499" t="str">
        <f>IF(C104="","",IF(AND(LEFT(C104,55)&lt;&gt;LEFT(N104,55),O104="High - High"),"Error - Not like for like ▲",IF(AND(F104=S104,H104&gt;U104),"Error - Can not reduce condition ▲",IF(AND(F104=S104,H104=U104,AJ104='F-1 Off Site River Baseline'!N102,'F-1 Off Site River Baseline'!P102=AL104),"Error - No enhancement ▲",IF(AND(C104&lt;&gt;N104,F104&lt;S104),"Lower Distinctiveness Habitat"&amp;" - "&amp;T104,G104&amp;" - "&amp;T104)))))</f>
        <v/>
      </c>
      <c r="Q104" s="505" t="str">
        <f>IF(N104="","",VLOOKUP(B104,'F-1 Off Site River Baseline'!$C$10:$AA$257,19,FALSE))</f>
        <v/>
      </c>
      <c r="R104" s="498" t="str">
        <f>IF(N104="","",VLOOKUP(N104,'G-7 Rivers Data'!$B$2:$G$8,2,FALSE))</f>
        <v/>
      </c>
      <c r="S104" s="499" t="str">
        <f>IFERROR(VLOOKUP(R104,'G-7 Rivers Data'!$C$4:$D$8,2,FALSE),"")</f>
        <v/>
      </c>
      <c r="T104" s="145"/>
      <c r="U104" s="499" t="str">
        <f>IFERROR(INDEX('G-7 Rivers Data'!$H$4:$L$8,MATCH(N104,'G-7 Rivers Data'!$B$4:$B$8,0),MATCH(T104,'G-7 Rivers Data'!$H$3:$L$3,0)),"")</f>
        <v/>
      </c>
      <c r="V104" s="154"/>
      <c r="W104" s="520" t="str">
        <f>IF(V104="","",IF(VLOOKUP(V104,'G-7 Rivers Data'!$AG$4:$AI$9,2,FALSE)=0,"Spatial Data Missing ⚠",VLOOKUP(V104,'G-7 Rivers Data'!$AG$4:$AI$9,2,FALSE)))</f>
        <v/>
      </c>
      <c r="X104" s="524" t="str">
        <f>IF(V104="","",IF(VLOOKUP(V104,'G-7 Rivers Data'!$AG$4:$AI$9,3,FALSE)=0,"Spatial Data Missing ⚠",VLOOKUP(V104,'G-7 Rivers Data'!$AG$4:$AI$9,3,FALSE)))</f>
        <v/>
      </c>
      <c r="Y104" s="537" t="str">
        <f>IFERROR(IF(OR(LEFT(P104,5)="Error ▲",LEFT(O104,5)="Error ▲"),"Check Data ⚠",IF(F104&lt;S104,'G-7 Rivers Data'!$R$3,INDEX('G-7 Rivers Data'!$U$5:$Y$9,MATCH(G104,'G-7 Rivers Data'!$T$5:$T$9,0),MATCH(T104,'G-7 Rivers Data'!$U$4:$Y$4,0)))),"")</f>
        <v/>
      </c>
      <c r="Z104" s="203"/>
      <c r="AA104" s="203"/>
      <c r="AB104" s="534" t="str">
        <f t="shared" si="8"/>
        <v/>
      </c>
      <c r="AC104" s="521" t="str">
        <f t="shared" si="9"/>
        <v/>
      </c>
      <c r="AD104" s="564" t="str">
        <f>IFERROR(IF(AC104="Check Data ⚠","Check Data ⚠",VLOOKUP(AC104,'G-4 Temporal multipliers'!$A$4:$C$37,3,FALSE)),"")</f>
        <v/>
      </c>
      <c r="AE104" s="537" t="str">
        <f>IF(N104="","",VLOOKUP(N104,'G-7 Rivers Data'!$B$4:$G$8,5,FALSE))</f>
        <v/>
      </c>
      <c r="AF104" s="520" t="str">
        <f t="shared" si="10"/>
        <v/>
      </c>
      <c r="AG104" s="520" t="str">
        <f t="shared" si="14"/>
        <v/>
      </c>
      <c r="AH104" s="524" t="str">
        <f t="shared" si="11"/>
        <v/>
      </c>
      <c r="AI104" s="145"/>
      <c r="AJ104" s="499" t="str">
        <f>IF(AI104="","",IF(VLOOKUP(AI104,'G-7 Rivers Data'!$AA$4:$AB$7,2,FALSE)=0,"Spatial Data Missing ⚠",VLOOKUP(AI104,'G-7 Rivers Data'!$AA$4:$AB$7,2,FALSE)))</f>
        <v/>
      </c>
      <c r="AK104" s="155"/>
      <c r="AL104" s="536" t="str">
        <f>IF(AK104="","",IF(VLOOKUP(AK104,'G-7 Rivers Data'!$AD$4:$AE$8,2,FALSE)=0,"Spatial Data Missing ⚠",VLOOKUP(AK104,'G-7 Rivers Data'!$AD$4:$AE$8,2,FALSE)))</f>
        <v/>
      </c>
      <c r="AM104" s="154"/>
      <c r="AN104" s="524" t="str">
        <f>IF(AM104="","",VLOOKUP(AM104,'G-7 Rivers Data'!$AO$4:$AP$7,2,FALSE))</f>
        <v/>
      </c>
      <c r="AO104" s="545" t="str">
        <f t="shared" si="15"/>
        <v/>
      </c>
      <c r="AP104" s="149"/>
      <c r="AQ104" s="150"/>
      <c r="AX104" s="31" t="str">
        <f>IFERROR(INDEX('G-7 Rivers Data'!$AZ$3:$AZ$7,MATCH(N104,'G-7 Rivers Data'!$AY$3:$AY$7,0)),"")</f>
        <v/>
      </c>
    </row>
    <row r="105" spans="2:50" ht="13.8" x14ac:dyDescent="0.25">
      <c r="B105" s="531" t="str">
        <f>'F-1 Off Site River Baseline'!AN103</f>
        <v/>
      </c>
      <c r="C105" s="520" t="str">
        <f>IF(B105="","",VLOOKUP($B105,'F-1 Off Site River Baseline'!$C$9:$R$257,2,FALSE))</f>
        <v/>
      </c>
      <c r="D105" s="520" t="str">
        <f>IF(C105="","",VLOOKUP($B105,'F-1 Off Site River Baseline'!$C$9:$R$257,3,FALSE))</f>
        <v/>
      </c>
      <c r="E105" s="520" t="str">
        <f>IF(D105="","",VLOOKUP($B105,'F-1 Off Site River Baseline'!$C$9:$R$257,4,FALSE))</f>
        <v/>
      </c>
      <c r="F105" s="520" t="str">
        <f>IF(E105="","",VLOOKUP($B105,'F-1 Off Site River Baseline'!$C$9:$R$257,5,FALSE))</f>
        <v/>
      </c>
      <c r="G105" s="520" t="str">
        <f>IF(F105="","",VLOOKUP($B105,'F-1 Off Site River Baseline'!$C$9:$R$257,6,FALSE))</f>
        <v/>
      </c>
      <c r="H105" s="520" t="str">
        <f>IF(G105="","",VLOOKUP($B105,'F-1 Off Site River Baseline'!$C$9:$R$257,7,FALSE))</f>
        <v/>
      </c>
      <c r="I105" s="520" t="str">
        <f>IF(H105="","",VLOOKUP($B105,'F-1 Off Site River Baseline'!$C$9:$R$257,8,FALSE))</f>
        <v/>
      </c>
      <c r="J105" s="520" t="str">
        <f>IF(I105="","",VLOOKUP($B105,'F-1 Off Site River Baseline'!$C$9:$R$257,9,FALSE))</f>
        <v/>
      </c>
      <c r="K105" s="520" t="str">
        <f>IF(J105="","",VLOOKUP($B105,'F-1 Off Site River Baseline'!$C$9:$R$257,10,FALSE))</f>
        <v/>
      </c>
      <c r="L105" s="520" t="str">
        <f>IF(B105="","",VLOOKUP($B105,'C-1 Site River Baseline'!$C$9:$R$257,15,FALSE))</f>
        <v/>
      </c>
      <c r="M105" s="524" t="str">
        <f>IF(L105="","",VLOOKUP($B105,'F-1 Off Site River Baseline'!$C$9:$R$257,16,FALSE))</f>
        <v/>
      </c>
      <c r="N105" s="418" t="str">
        <f t="shared" si="12"/>
        <v/>
      </c>
      <c r="O105" s="498" t="str">
        <f t="shared" si="13"/>
        <v/>
      </c>
      <c r="P105" s="499" t="str">
        <f>IF(C105="","",IF(AND(LEFT(C105,55)&lt;&gt;LEFT(N105,55),O105="High - High"),"Error - Not like for like ▲",IF(AND(F105=S105,H105&gt;U105),"Error - Can not reduce condition ▲",IF(AND(F105=S105,H105=U105,AJ105='F-1 Off Site River Baseline'!N103,'F-1 Off Site River Baseline'!P103=AL105),"Error - No enhancement ▲",IF(AND(C105&lt;&gt;N105,F105&lt;S105),"Lower Distinctiveness Habitat"&amp;" - "&amp;T105,G105&amp;" - "&amp;T105)))))</f>
        <v/>
      </c>
      <c r="Q105" s="505" t="str">
        <f>IF(N105="","",VLOOKUP(B105,'F-1 Off Site River Baseline'!$C$10:$AA$257,19,FALSE))</f>
        <v/>
      </c>
      <c r="R105" s="498" t="str">
        <f>IF(N105="","",VLOOKUP(N105,'G-7 Rivers Data'!$B$2:$G$8,2,FALSE))</f>
        <v/>
      </c>
      <c r="S105" s="499" t="str">
        <f>IFERROR(VLOOKUP(R105,'G-7 Rivers Data'!$C$4:$D$8,2,FALSE),"")</f>
        <v/>
      </c>
      <c r="T105" s="145"/>
      <c r="U105" s="499" t="str">
        <f>IFERROR(INDEX('G-7 Rivers Data'!$H$4:$L$8,MATCH(N105,'G-7 Rivers Data'!$B$4:$B$8,0),MATCH(T105,'G-7 Rivers Data'!$H$3:$L$3,0)),"")</f>
        <v/>
      </c>
      <c r="V105" s="154"/>
      <c r="W105" s="520" t="str">
        <f>IF(V105="","",IF(VLOOKUP(V105,'G-7 Rivers Data'!$AG$4:$AI$9,2,FALSE)=0,"Spatial Data Missing ⚠",VLOOKUP(V105,'G-7 Rivers Data'!$AG$4:$AI$9,2,FALSE)))</f>
        <v/>
      </c>
      <c r="X105" s="524" t="str">
        <f>IF(V105="","",IF(VLOOKUP(V105,'G-7 Rivers Data'!$AG$4:$AI$9,3,FALSE)=0,"Spatial Data Missing ⚠",VLOOKUP(V105,'G-7 Rivers Data'!$AG$4:$AI$9,3,FALSE)))</f>
        <v/>
      </c>
      <c r="Y105" s="537" t="str">
        <f>IFERROR(IF(OR(LEFT(P105,5)="Error ▲",LEFT(O105,5)="Error ▲"),"Check Data ⚠",IF(F105&lt;S105,'G-7 Rivers Data'!$R$3,INDEX('G-7 Rivers Data'!$U$5:$Y$9,MATCH(G105,'G-7 Rivers Data'!$T$5:$T$9,0),MATCH(T105,'G-7 Rivers Data'!$U$4:$Y$4,0)))),"")</f>
        <v/>
      </c>
      <c r="Z105" s="203"/>
      <c r="AA105" s="203"/>
      <c r="AB105" s="534" t="str">
        <f t="shared" si="8"/>
        <v/>
      </c>
      <c r="AC105" s="521" t="str">
        <f t="shared" si="9"/>
        <v/>
      </c>
      <c r="AD105" s="564" t="str">
        <f>IFERROR(IF(AC105="Check Data ⚠","Check Data ⚠",VLOOKUP(AC105,'G-4 Temporal multipliers'!$A$4:$C$37,3,FALSE)),"")</f>
        <v/>
      </c>
      <c r="AE105" s="537" t="str">
        <f>IF(N105="","",VLOOKUP(N105,'G-7 Rivers Data'!$B$4:$G$8,5,FALSE))</f>
        <v/>
      </c>
      <c r="AF105" s="520" t="str">
        <f t="shared" si="10"/>
        <v/>
      </c>
      <c r="AG105" s="520" t="str">
        <f t="shared" si="14"/>
        <v/>
      </c>
      <c r="AH105" s="524" t="str">
        <f t="shared" si="11"/>
        <v/>
      </c>
      <c r="AI105" s="145"/>
      <c r="AJ105" s="499" t="str">
        <f>IF(AI105="","",IF(VLOOKUP(AI105,'G-7 Rivers Data'!$AA$4:$AB$7,2,FALSE)=0,"Spatial Data Missing ⚠",VLOOKUP(AI105,'G-7 Rivers Data'!$AA$4:$AB$7,2,FALSE)))</f>
        <v/>
      </c>
      <c r="AK105" s="155"/>
      <c r="AL105" s="536" t="str">
        <f>IF(AK105="","",IF(VLOOKUP(AK105,'G-7 Rivers Data'!$AD$4:$AE$8,2,FALSE)=0,"Spatial Data Missing ⚠",VLOOKUP(AK105,'G-7 Rivers Data'!$AD$4:$AE$8,2,FALSE)))</f>
        <v/>
      </c>
      <c r="AM105" s="154"/>
      <c r="AN105" s="524" t="str">
        <f>IF(AM105="","",VLOOKUP(AM105,'G-7 Rivers Data'!$AO$4:$AP$7,2,FALSE))</f>
        <v/>
      </c>
      <c r="AO105" s="545" t="str">
        <f t="shared" si="15"/>
        <v/>
      </c>
      <c r="AP105" s="149"/>
      <c r="AQ105" s="150"/>
      <c r="AX105" s="31" t="str">
        <f>IFERROR(INDEX('G-7 Rivers Data'!$AZ$3:$AZ$7,MATCH(N105,'G-7 Rivers Data'!$AY$3:$AY$7,0)),"")</f>
        <v/>
      </c>
    </row>
    <row r="106" spans="2:50" ht="13.8" x14ac:dyDescent="0.25">
      <c r="B106" s="531" t="str">
        <f>'F-1 Off Site River Baseline'!AN104</f>
        <v/>
      </c>
      <c r="C106" s="520" t="str">
        <f>IF(B106="","",VLOOKUP($B106,'F-1 Off Site River Baseline'!$C$9:$R$257,2,FALSE))</f>
        <v/>
      </c>
      <c r="D106" s="520" t="str">
        <f>IF(C106="","",VLOOKUP($B106,'F-1 Off Site River Baseline'!$C$9:$R$257,3,FALSE))</f>
        <v/>
      </c>
      <c r="E106" s="520" t="str">
        <f>IF(D106="","",VLOOKUP($B106,'F-1 Off Site River Baseline'!$C$9:$R$257,4,FALSE))</f>
        <v/>
      </c>
      <c r="F106" s="520" t="str">
        <f>IF(E106="","",VLOOKUP($B106,'F-1 Off Site River Baseline'!$C$9:$R$257,5,FALSE))</f>
        <v/>
      </c>
      <c r="G106" s="520" t="str">
        <f>IF(F106="","",VLOOKUP($B106,'F-1 Off Site River Baseline'!$C$9:$R$257,6,FALSE))</f>
        <v/>
      </c>
      <c r="H106" s="520" t="str">
        <f>IF(G106="","",VLOOKUP($B106,'F-1 Off Site River Baseline'!$C$9:$R$257,7,FALSE))</f>
        <v/>
      </c>
      <c r="I106" s="520" t="str">
        <f>IF(H106="","",VLOOKUP($B106,'F-1 Off Site River Baseline'!$C$9:$R$257,8,FALSE))</f>
        <v/>
      </c>
      <c r="J106" s="520" t="str">
        <f>IF(I106="","",VLOOKUP($B106,'F-1 Off Site River Baseline'!$C$9:$R$257,9,FALSE))</f>
        <v/>
      </c>
      <c r="K106" s="520" t="str">
        <f>IF(J106="","",VLOOKUP($B106,'F-1 Off Site River Baseline'!$C$9:$R$257,10,FALSE))</f>
        <v/>
      </c>
      <c r="L106" s="520" t="str">
        <f>IF(B106="","",VLOOKUP($B106,'C-1 Site River Baseline'!$C$9:$R$257,15,FALSE))</f>
        <v/>
      </c>
      <c r="M106" s="524" t="str">
        <f>IF(L106="","",VLOOKUP($B106,'F-1 Off Site River Baseline'!$C$9:$R$257,16,FALSE))</f>
        <v/>
      </c>
      <c r="N106" s="418" t="str">
        <f t="shared" si="12"/>
        <v/>
      </c>
      <c r="O106" s="498" t="str">
        <f t="shared" si="13"/>
        <v/>
      </c>
      <c r="P106" s="499" t="str">
        <f>IF(C106="","",IF(AND(LEFT(C106,55)&lt;&gt;LEFT(N106,55),O106="High - High"),"Error - Not like for like ▲",IF(AND(F106=S106,H106&gt;U106),"Error - Can not reduce condition ▲",IF(AND(F106=S106,H106=U106,AJ106='F-1 Off Site River Baseline'!N104,'F-1 Off Site River Baseline'!P104=AL106),"Error - No enhancement ▲",IF(AND(C106&lt;&gt;N106,F106&lt;S106),"Lower Distinctiveness Habitat"&amp;" - "&amp;T106,G106&amp;" - "&amp;T106)))))</f>
        <v/>
      </c>
      <c r="Q106" s="505" t="str">
        <f>IF(N106="","",VLOOKUP(B106,'F-1 Off Site River Baseline'!$C$10:$AA$257,19,FALSE))</f>
        <v/>
      </c>
      <c r="R106" s="498" t="str">
        <f>IF(N106="","",VLOOKUP(N106,'G-7 Rivers Data'!$B$2:$G$8,2,FALSE))</f>
        <v/>
      </c>
      <c r="S106" s="499" t="str">
        <f>IFERROR(VLOOKUP(R106,'G-7 Rivers Data'!$C$4:$D$8,2,FALSE),"")</f>
        <v/>
      </c>
      <c r="T106" s="145"/>
      <c r="U106" s="499" t="str">
        <f>IFERROR(INDEX('G-7 Rivers Data'!$H$4:$L$8,MATCH(N106,'G-7 Rivers Data'!$B$4:$B$8,0),MATCH(T106,'G-7 Rivers Data'!$H$3:$L$3,0)),"")</f>
        <v/>
      </c>
      <c r="V106" s="154"/>
      <c r="W106" s="520" t="str">
        <f>IF(V106="","",IF(VLOOKUP(V106,'G-7 Rivers Data'!$AG$4:$AI$9,2,FALSE)=0,"Spatial Data Missing ⚠",VLOOKUP(V106,'G-7 Rivers Data'!$AG$4:$AI$9,2,FALSE)))</f>
        <v/>
      </c>
      <c r="X106" s="524" t="str">
        <f>IF(V106="","",IF(VLOOKUP(V106,'G-7 Rivers Data'!$AG$4:$AI$9,3,FALSE)=0,"Spatial Data Missing ⚠",VLOOKUP(V106,'G-7 Rivers Data'!$AG$4:$AI$9,3,FALSE)))</f>
        <v/>
      </c>
      <c r="Y106" s="537" t="str">
        <f>IFERROR(IF(OR(LEFT(P106,5)="Error ▲",LEFT(O106,5)="Error ▲"),"Check Data ⚠",IF(F106&lt;S106,'G-7 Rivers Data'!$R$3,INDEX('G-7 Rivers Data'!$U$5:$Y$9,MATCH(G106,'G-7 Rivers Data'!$T$5:$T$9,0),MATCH(T106,'G-7 Rivers Data'!$U$4:$Y$4,0)))),"")</f>
        <v/>
      </c>
      <c r="Z106" s="203"/>
      <c r="AA106" s="203"/>
      <c r="AB106" s="534" t="str">
        <f t="shared" si="8"/>
        <v/>
      </c>
      <c r="AC106" s="521" t="str">
        <f t="shared" si="9"/>
        <v/>
      </c>
      <c r="AD106" s="564" t="str">
        <f>IFERROR(IF(AC106="Check Data ⚠","Check Data ⚠",VLOOKUP(AC106,'G-4 Temporal multipliers'!$A$4:$C$37,3,FALSE)),"")</f>
        <v/>
      </c>
      <c r="AE106" s="537" t="str">
        <f>IF(N106="","",VLOOKUP(N106,'G-7 Rivers Data'!$B$4:$G$8,5,FALSE))</f>
        <v/>
      </c>
      <c r="AF106" s="520" t="str">
        <f t="shared" si="10"/>
        <v/>
      </c>
      <c r="AG106" s="520" t="str">
        <f t="shared" si="14"/>
        <v/>
      </c>
      <c r="AH106" s="524" t="str">
        <f t="shared" si="11"/>
        <v/>
      </c>
      <c r="AI106" s="145"/>
      <c r="AJ106" s="499" t="str">
        <f>IF(AI106="","",IF(VLOOKUP(AI106,'G-7 Rivers Data'!$AA$4:$AB$7,2,FALSE)=0,"Spatial Data Missing ⚠",VLOOKUP(AI106,'G-7 Rivers Data'!$AA$4:$AB$7,2,FALSE)))</f>
        <v/>
      </c>
      <c r="AK106" s="155"/>
      <c r="AL106" s="536" t="str">
        <f>IF(AK106="","",IF(VLOOKUP(AK106,'G-7 Rivers Data'!$AD$4:$AE$8,2,FALSE)=0,"Spatial Data Missing ⚠",VLOOKUP(AK106,'G-7 Rivers Data'!$AD$4:$AE$8,2,FALSE)))</f>
        <v/>
      </c>
      <c r="AM106" s="154"/>
      <c r="AN106" s="524" t="str">
        <f>IF(AM106="","",VLOOKUP(AM106,'G-7 Rivers Data'!$AO$4:$AP$7,2,FALSE))</f>
        <v/>
      </c>
      <c r="AO106" s="545" t="str">
        <f t="shared" si="15"/>
        <v/>
      </c>
      <c r="AP106" s="149"/>
      <c r="AQ106" s="150"/>
      <c r="AX106" s="31" t="str">
        <f>IFERROR(INDEX('G-7 Rivers Data'!$AZ$3:$AZ$7,MATCH(N106,'G-7 Rivers Data'!$AY$3:$AY$7,0)),"")</f>
        <v/>
      </c>
    </row>
    <row r="107" spans="2:50" ht="13.8" x14ac:dyDescent="0.25">
      <c r="B107" s="531" t="str">
        <f>'F-1 Off Site River Baseline'!AN105</f>
        <v/>
      </c>
      <c r="C107" s="520" t="str">
        <f>IF(B107="","",VLOOKUP($B107,'F-1 Off Site River Baseline'!$C$9:$R$257,2,FALSE))</f>
        <v/>
      </c>
      <c r="D107" s="520" t="str">
        <f>IF(C107="","",VLOOKUP($B107,'F-1 Off Site River Baseline'!$C$9:$R$257,3,FALSE))</f>
        <v/>
      </c>
      <c r="E107" s="520" t="str">
        <f>IF(D107="","",VLOOKUP($B107,'F-1 Off Site River Baseline'!$C$9:$R$257,4,FALSE))</f>
        <v/>
      </c>
      <c r="F107" s="520" t="str">
        <f>IF(E107="","",VLOOKUP($B107,'F-1 Off Site River Baseline'!$C$9:$R$257,5,FALSE))</f>
        <v/>
      </c>
      <c r="G107" s="520" t="str">
        <f>IF(F107="","",VLOOKUP($B107,'F-1 Off Site River Baseline'!$C$9:$R$257,6,FALSE))</f>
        <v/>
      </c>
      <c r="H107" s="520" t="str">
        <f>IF(G107="","",VLOOKUP($B107,'F-1 Off Site River Baseline'!$C$9:$R$257,7,FALSE))</f>
        <v/>
      </c>
      <c r="I107" s="520" t="str">
        <f>IF(H107="","",VLOOKUP($B107,'F-1 Off Site River Baseline'!$C$9:$R$257,8,FALSE))</f>
        <v/>
      </c>
      <c r="J107" s="520" t="str">
        <f>IF(I107="","",VLOOKUP($B107,'F-1 Off Site River Baseline'!$C$9:$R$257,9,FALSE))</f>
        <v/>
      </c>
      <c r="K107" s="520" t="str">
        <f>IF(J107="","",VLOOKUP($B107,'F-1 Off Site River Baseline'!$C$9:$R$257,10,FALSE))</f>
        <v/>
      </c>
      <c r="L107" s="520" t="str">
        <f>IF(B107="","",VLOOKUP($B107,'C-1 Site River Baseline'!$C$9:$R$257,15,FALSE))</f>
        <v/>
      </c>
      <c r="M107" s="524" t="str">
        <f>IF(L107="","",VLOOKUP($B107,'F-1 Off Site River Baseline'!$C$9:$R$257,16,FALSE))</f>
        <v/>
      </c>
      <c r="N107" s="418" t="str">
        <f t="shared" si="12"/>
        <v/>
      </c>
      <c r="O107" s="498" t="str">
        <f t="shared" si="13"/>
        <v/>
      </c>
      <c r="P107" s="499" t="str">
        <f>IF(C107="","",IF(AND(LEFT(C107,55)&lt;&gt;LEFT(N107,55),O107="High - High"),"Error - Not like for like ▲",IF(AND(F107=S107,H107&gt;U107),"Error - Can not reduce condition ▲",IF(AND(F107=S107,H107=U107,AJ107='F-1 Off Site River Baseline'!N105,'F-1 Off Site River Baseline'!P105=AL107),"Error - No enhancement ▲",IF(AND(C107&lt;&gt;N107,F107&lt;S107),"Lower Distinctiveness Habitat"&amp;" - "&amp;T107,G107&amp;" - "&amp;T107)))))</f>
        <v/>
      </c>
      <c r="Q107" s="505" t="str">
        <f>IF(N107="","",VLOOKUP(B107,'F-1 Off Site River Baseline'!$C$10:$AA$257,19,FALSE))</f>
        <v/>
      </c>
      <c r="R107" s="498" t="str">
        <f>IF(N107="","",VLOOKUP(N107,'G-7 Rivers Data'!$B$2:$G$8,2,FALSE))</f>
        <v/>
      </c>
      <c r="S107" s="499" t="str">
        <f>IFERROR(VLOOKUP(R107,'G-7 Rivers Data'!$C$4:$D$8,2,FALSE),"")</f>
        <v/>
      </c>
      <c r="T107" s="145"/>
      <c r="U107" s="499" t="str">
        <f>IFERROR(INDEX('G-7 Rivers Data'!$H$4:$L$8,MATCH(N107,'G-7 Rivers Data'!$B$4:$B$8,0),MATCH(T107,'G-7 Rivers Data'!$H$3:$L$3,0)),"")</f>
        <v/>
      </c>
      <c r="V107" s="154"/>
      <c r="W107" s="520" t="str">
        <f>IF(V107="","",IF(VLOOKUP(V107,'G-7 Rivers Data'!$AG$4:$AI$9,2,FALSE)=0,"Spatial Data Missing ⚠",VLOOKUP(V107,'G-7 Rivers Data'!$AG$4:$AI$9,2,FALSE)))</f>
        <v/>
      </c>
      <c r="X107" s="524" t="str">
        <f>IF(V107="","",IF(VLOOKUP(V107,'G-7 Rivers Data'!$AG$4:$AI$9,3,FALSE)=0,"Spatial Data Missing ⚠",VLOOKUP(V107,'G-7 Rivers Data'!$AG$4:$AI$9,3,FALSE)))</f>
        <v/>
      </c>
      <c r="Y107" s="537" t="str">
        <f>IFERROR(IF(OR(LEFT(P107,5)="Error ▲",LEFT(O107,5)="Error ▲"),"Check Data ⚠",IF(F107&lt;S107,'G-7 Rivers Data'!$R$3,INDEX('G-7 Rivers Data'!$U$5:$Y$9,MATCH(G107,'G-7 Rivers Data'!$T$5:$T$9,0),MATCH(T107,'G-7 Rivers Data'!$U$4:$Y$4,0)))),"")</f>
        <v/>
      </c>
      <c r="Z107" s="203"/>
      <c r="AA107" s="203"/>
      <c r="AB107" s="534" t="str">
        <f t="shared" si="8"/>
        <v/>
      </c>
      <c r="AC107" s="521" t="str">
        <f t="shared" si="9"/>
        <v/>
      </c>
      <c r="AD107" s="564" t="str">
        <f>IFERROR(IF(AC107="Check Data ⚠","Check Data ⚠",VLOOKUP(AC107,'G-4 Temporal multipliers'!$A$4:$C$37,3,FALSE)),"")</f>
        <v/>
      </c>
      <c r="AE107" s="537" t="str">
        <f>IF(N107="","",VLOOKUP(N107,'G-7 Rivers Data'!$B$4:$G$8,5,FALSE))</f>
        <v/>
      </c>
      <c r="AF107" s="520" t="str">
        <f t="shared" si="10"/>
        <v/>
      </c>
      <c r="AG107" s="520" t="str">
        <f t="shared" si="14"/>
        <v/>
      </c>
      <c r="AH107" s="524" t="str">
        <f t="shared" si="11"/>
        <v/>
      </c>
      <c r="AI107" s="145"/>
      <c r="AJ107" s="499" t="str">
        <f>IF(AI107="","",IF(VLOOKUP(AI107,'G-7 Rivers Data'!$AA$4:$AB$7,2,FALSE)=0,"Spatial Data Missing ⚠",VLOOKUP(AI107,'G-7 Rivers Data'!$AA$4:$AB$7,2,FALSE)))</f>
        <v/>
      </c>
      <c r="AK107" s="155"/>
      <c r="AL107" s="536" t="str">
        <f>IF(AK107="","",IF(VLOOKUP(AK107,'G-7 Rivers Data'!$AD$4:$AE$8,2,FALSE)=0,"Spatial Data Missing ⚠",VLOOKUP(AK107,'G-7 Rivers Data'!$AD$4:$AE$8,2,FALSE)))</f>
        <v/>
      </c>
      <c r="AM107" s="154"/>
      <c r="AN107" s="524" t="str">
        <f>IF(AM107="","",VLOOKUP(AM107,'G-7 Rivers Data'!$AO$4:$AP$7,2,FALSE))</f>
        <v/>
      </c>
      <c r="AO107" s="545" t="str">
        <f t="shared" si="15"/>
        <v/>
      </c>
      <c r="AP107" s="149"/>
      <c r="AQ107" s="150"/>
      <c r="AX107" s="31" t="str">
        <f>IFERROR(INDEX('G-7 Rivers Data'!$AZ$3:$AZ$7,MATCH(N107,'G-7 Rivers Data'!$AY$3:$AY$7,0)),"")</f>
        <v/>
      </c>
    </row>
    <row r="108" spans="2:50" ht="13.8" x14ac:dyDescent="0.25">
      <c r="B108" s="531" t="str">
        <f>'F-1 Off Site River Baseline'!AN106</f>
        <v/>
      </c>
      <c r="C108" s="520" t="str">
        <f>IF(B108="","",VLOOKUP($B108,'F-1 Off Site River Baseline'!$C$9:$R$257,2,FALSE))</f>
        <v/>
      </c>
      <c r="D108" s="520" t="str">
        <f>IF(C108="","",VLOOKUP($B108,'F-1 Off Site River Baseline'!$C$9:$R$257,3,FALSE))</f>
        <v/>
      </c>
      <c r="E108" s="520" t="str">
        <f>IF(D108="","",VLOOKUP($B108,'F-1 Off Site River Baseline'!$C$9:$R$257,4,FALSE))</f>
        <v/>
      </c>
      <c r="F108" s="520" t="str">
        <f>IF(E108="","",VLOOKUP($B108,'F-1 Off Site River Baseline'!$C$9:$R$257,5,FALSE))</f>
        <v/>
      </c>
      <c r="G108" s="520" t="str">
        <f>IF(F108="","",VLOOKUP($B108,'F-1 Off Site River Baseline'!$C$9:$R$257,6,FALSE))</f>
        <v/>
      </c>
      <c r="H108" s="520" t="str">
        <f>IF(G108="","",VLOOKUP($B108,'F-1 Off Site River Baseline'!$C$9:$R$257,7,FALSE))</f>
        <v/>
      </c>
      <c r="I108" s="520" t="str">
        <f>IF(H108="","",VLOOKUP($B108,'F-1 Off Site River Baseline'!$C$9:$R$257,8,FALSE))</f>
        <v/>
      </c>
      <c r="J108" s="520" t="str">
        <f>IF(I108="","",VLOOKUP($B108,'F-1 Off Site River Baseline'!$C$9:$R$257,9,FALSE))</f>
        <v/>
      </c>
      <c r="K108" s="520" t="str">
        <f>IF(J108="","",VLOOKUP($B108,'F-1 Off Site River Baseline'!$C$9:$R$257,10,FALSE))</f>
        <v/>
      </c>
      <c r="L108" s="520" t="str">
        <f>IF(B108="","",VLOOKUP($B108,'C-1 Site River Baseline'!$C$9:$R$257,15,FALSE))</f>
        <v/>
      </c>
      <c r="M108" s="524" t="str">
        <f>IF(L108="","",VLOOKUP($B108,'F-1 Off Site River Baseline'!$C$9:$R$257,16,FALSE))</f>
        <v/>
      </c>
      <c r="N108" s="418" t="str">
        <f t="shared" si="12"/>
        <v/>
      </c>
      <c r="O108" s="498" t="str">
        <f t="shared" si="13"/>
        <v/>
      </c>
      <c r="P108" s="499" t="str">
        <f>IF(C108="","",IF(AND(LEFT(C108,55)&lt;&gt;LEFT(N108,55),O108="High - High"),"Error - Not like for like ▲",IF(AND(F108=S108,H108&gt;U108),"Error - Can not reduce condition ▲",IF(AND(F108=S108,H108=U108,AJ108='F-1 Off Site River Baseline'!N106,'F-1 Off Site River Baseline'!P106=AL108),"Error - No enhancement ▲",IF(AND(C108&lt;&gt;N108,F108&lt;S108),"Lower Distinctiveness Habitat"&amp;" - "&amp;T108,G108&amp;" - "&amp;T108)))))</f>
        <v/>
      </c>
      <c r="Q108" s="505" t="str">
        <f>IF(N108="","",VLOOKUP(B108,'F-1 Off Site River Baseline'!$C$10:$AA$257,19,FALSE))</f>
        <v/>
      </c>
      <c r="R108" s="498" t="str">
        <f>IF(N108="","",VLOOKUP(N108,'G-7 Rivers Data'!$B$2:$G$8,2,FALSE))</f>
        <v/>
      </c>
      <c r="S108" s="499" t="str">
        <f>IFERROR(VLOOKUP(R108,'G-7 Rivers Data'!$C$4:$D$8,2,FALSE),"")</f>
        <v/>
      </c>
      <c r="T108" s="145"/>
      <c r="U108" s="499" t="str">
        <f>IFERROR(INDEX('G-7 Rivers Data'!$H$4:$L$8,MATCH(N108,'G-7 Rivers Data'!$B$4:$B$8,0),MATCH(T108,'G-7 Rivers Data'!$H$3:$L$3,0)),"")</f>
        <v/>
      </c>
      <c r="V108" s="154"/>
      <c r="W108" s="520" t="str">
        <f>IF(V108="","",IF(VLOOKUP(V108,'G-7 Rivers Data'!$AG$4:$AI$9,2,FALSE)=0,"Spatial Data Missing ⚠",VLOOKUP(V108,'G-7 Rivers Data'!$AG$4:$AI$9,2,FALSE)))</f>
        <v/>
      </c>
      <c r="X108" s="524" t="str">
        <f>IF(V108="","",IF(VLOOKUP(V108,'G-7 Rivers Data'!$AG$4:$AI$9,3,FALSE)=0,"Spatial Data Missing ⚠",VLOOKUP(V108,'G-7 Rivers Data'!$AG$4:$AI$9,3,FALSE)))</f>
        <v/>
      </c>
      <c r="Y108" s="537" t="str">
        <f>IFERROR(IF(OR(LEFT(P108,5)="Error ▲",LEFT(O108,5)="Error ▲"),"Check Data ⚠",IF(F108&lt;S108,'G-7 Rivers Data'!$R$3,INDEX('G-7 Rivers Data'!$U$5:$Y$9,MATCH(G108,'G-7 Rivers Data'!$T$5:$T$9,0),MATCH(T108,'G-7 Rivers Data'!$U$4:$Y$4,0)))),"")</f>
        <v/>
      </c>
      <c r="Z108" s="203"/>
      <c r="AA108" s="203"/>
      <c r="AB108" s="534" t="str">
        <f t="shared" si="8"/>
        <v/>
      </c>
      <c r="AC108" s="521" t="str">
        <f t="shared" si="9"/>
        <v/>
      </c>
      <c r="AD108" s="564" t="str">
        <f>IFERROR(IF(AC108="Check Data ⚠","Check Data ⚠",VLOOKUP(AC108,'G-4 Temporal multipliers'!$A$4:$C$37,3,FALSE)),"")</f>
        <v/>
      </c>
      <c r="AE108" s="537" t="str">
        <f>IF(N108="","",VLOOKUP(N108,'G-7 Rivers Data'!$B$4:$G$8,5,FALSE))</f>
        <v/>
      </c>
      <c r="AF108" s="520" t="str">
        <f t="shared" si="10"/>
        <v/>
      </c>
      <c r="AG108" s="520" t="str">
        <f t="shared" si="14"/>
        <v/>
      </c>
      <c r="AH108" s="524" t="str">
        <f t="shared" si="11"/>
        <v/>
      </c>
      <c r="AI108" s="145"/>
      <c r="AJ108" s="499" t="str">
        <f>IF(AI108="","",IF(VLOOKUP(AI108,'G-7 Rivers Data'!$AA$4:$AB$7,2,FALSE)=0,"Spatial Data Missing ⚠",VLOOKUP(AI108,'G-7 Rivers Data'!$AA$4:$AB$7,2,FALSE)))</f>
        <v/>
      </c>
      <c r="AK108" s="155"/>
      <c r="AL108" s="536" t="str">
        <f>IF(AK108="","",IF(VLOOKUP(AK108,'G-7 Rivers Data'!$AD$4:$AE$8,2,FALSE)=0,"Spatial Data Missing ⚠",VLOOKUP(AK108,'G-7 Rivers Data'!$AD$4:$AE$8,2,FALSE)))</f>
        <v/>
      </c>
      <c r="AM108" s="154"/>
      <c r="AN108" s="524" t="str">
        <f>IF(AM108="","",VLOOKUP(AM108,'G-7 Rivers Data'!$AO$4:$AP$7,2,FALSE))</f>
        <v/>
      </c>
      <c r="AO108" s="545" t="str">
        <f t="shared" si="15"/>
        <v/>
      </c>
      <c r="AP108" s="149"/>
      <c r="AQ108" s="150"/>
      <c r="AX108" s="31" t="str">
        <f>IFERROR(INDEX('G-7 Rivers Data'!$AZ$3:$AZ$7,MATCH(N108,'G-7 Rivers Data'!$AY$3:$AY$7,0)),"")</f>
        <v/>
      </c>
    </row>
    <row r="109" spans="2:50" ht="13.8" x14ac:dyDescent="0.25">
      <c r="B109" s="531" t="str">
        <f>'F-1 Off Site River Baseline'!AN107</f>
        <v/>
      </c>
      <c r="C109" s="520" t="str">
        <f>IF(B109="","",VLOOKUP($B109,'F-1 Off Site River Baseline'!$C$9:$R$257,2,FALSE))</f>
        <v/>
      </c>
      <c r="D109" s="520" t="str">
        <f>IF(C109="","",VLOOKUP($B109,'F-1 Off Site River Baseline'!$C$9:$R$257,3,FALSE))</f>
        <v/>
      </c>
      <c r="E109" s="520" t="str">
        <f>IF(D109="","",VLOOKUP($B109,'F-1 Off Site River Baseline'!$C$9:$R$257,4,FALSE))</f>
        <v/>
      </c>
      <c r="F109" s="520" t="str">
        <f>IF(E109="","",VLOOKUP($B109,'F-1 Off Site River Baseline'!$C$9:$R$257,5,FALSE))</f>
        <v/>
      </c>
      <c r="G109" s="520" t="str">
        <f>IF(F109="","",VLOOKUP($B109,'F-1 Off Site River Baseline'!$C$9:$R$257,6,FALSE))</f>
        <v/>
      </c>
      <c r="H109" s="520" t="str">
        <f>IF(G109="","",VLOOKUP($B109,'F-1 Off Site River Baseline'!$C$9:$R$257,7,FALSE))</f>
        <v/>
      </c>
      <c r="I109" s="520" t="str">
        <f>IF(H109="","",VLOOKUP($B109,'F-1 Off Site River Baseline'!$C$9:$R$257,8,FALSE))</f>
        <v/>
      </c>
      <c r="J109" s="520" t="str">
        <f>IF(I109="","",VLOOKUP($B109,'F-1 Off Site River Baseline'!$C$9:$R$257,9,FALSE))</f>
        <v/>
      </c>
      <c r="K109" s="520" t="str">
        <f>IF(J109="","",VLOOKUP($B109,'F-1 Off Site River Baseline'!$C$9:$R$257,10,FALSE))</f>
        <v/>
      </c>
      <c r="L109" s="520" t="str">
        <f>IF(B109="","",VLOOKUP($B109,'C-1 Site River Baseline'!$C$9:$R$257,15,FALSE))</f>
        <v/>
      </c>
      <c r="M109" s="524" t="str">
        <f>IF(L109="","",VLOOKUP($B109,'F-1 Off Site River Baseline'!$C$9:$R$257,16,FALSE))</f>
        <v/>
      </c>
      <c r="N109" s="418" t="str">
        <f t="shared" si="12"/>
        <v/>
      </c>
      <c r="O109" s="498" t="str">
        <f t="shared" si="13"/>
        <v/>
      </c>
      <c r="P109" s="499" t="str">
        <f>IF(C109="","",IF(AND(LEFT(C109,55)&lt;&gt;LEFT(N109,55),O109="High - High"),"Error - Not like for like ▲",IF(AND(F109=S109,H109&gt;U109),"Error - Can not reduce condition ▲",IF(AND(F109=S109,H109=U109,AJ109='F-1 Off Site River Baseline'!N107,'F-1 Off Site River Baseline'!P107=AL109),"Error - No enhancement ▲",IF(AND(C109&lt;&gt;N109,F109&lt;S109),"Lower Distinctiveness Habitat"&amp;" - "&amp;T109,G109&amp;" - "&amp;T109)))))</f>
        <v/>
      </c>
      <c r="Q109" s="505" t="str">
        <f>IF(N109="","",VLOOKUP(B109,'F-1 Off Site River Baseline'!$C$10:$AA$257,19,FALSE))</f>
        <v/>
      </c>
      <c r="R109" s="498" t="str">
        <f>IF(N109="","",VLOOKUP(N109,'G-7 Rivers Data'!$B$2:$G$8,2,FALSE))</f>
        <v/>
      </c>
      <c r="S109" s="499" t="str">
        <f>IFERROR(VLOOKUP(R109,'G-7 Rivers Data'!$C$4:$D$8,2,FALSE),"")</f>
        <v/>
      </c>
      <c r="T109" s="145"/>
      <c r="U109" s="499" t="str">
        <f>IFERROR(INDEX('G-7 Rivers Data'!$H$4:$L$8,MATCH(N109,'G-7 Rivers Data'!$B$4:$B$8,0),MATCH(T109,'G-7 Rivers Data'!$H$3:$L$3,0)),"")</f>
        <v/>
      </c>
      <c r="V109" s="154"/>
      <c r="W109" s="520" t="str">
        <f>IF(V109="","",IF(VLOOKUP(V109,'G-7 Rivers Data'!$AG$4:$AI$9,2,FALSE)=0,"Spatial Data Missing ⚠",VLOOKUP(V109,'G-7 Rivers Data'!$AG$4:$AI$9,2,FALSE)))</f>
        <v/>
      </c>
      <c r="X109" s="524" t="str">
        <f>IF(V109="","",IF(VLOOKUP(V109,'G-7 Rivers Data'!$AG$4:$AI$9,3,FALSE)=0,"Spatial Data Missing ⚠",VLOOKUP(V109,'G-7 Rivers Data'!$AG$4:$AI$9,3,FALSE)))</f>
        <v/>
      </c>
      <c r="Y109" s="537" t="str">
        <f>IFERROR(IF(OR(LEFT(P109,5)="Error ▲",LEFT(O109,5)="Error ▲"),"Check Data ⚠",IF(F109&lt;S109,'G-7 Rivers Data'!$R$3,INDEX('G-7 Rivers Data'!$U$5:$Y$9,MATCH(G109,'G-7 Rivers Data'!$T$5:$T$9,0),MATCH(T109,'G-7 Rivers Data'!$U$4:$Y$4,0)))),"")</f>
        <v/>
      </c>
      <c r="Z109" s="203"/>
      <c r="AA109" s="203"/>
      <c r="AB109" s="534" t="str">
        <f t="shared" si="8"/>
        <v/>
      </c>
      <c r="AC109" s="521" t="str">
        <f t="shared" si="9"/>
        <v/>
      </c>
      <c r="AD109" s="564" t="str">
        <f>IFERROR(IF(AC109="Check Data ⚠","Check Data ⚠",VLOOKUP(AC109,'G-4 Temporal multipliers'!$A$4:$C$37,3,FALSE)),"")</f>
        <v/>
      </c>
      <c r="AE109" s="537" t="str">
        <f>IF(N109="","",VLOOKUP(N109,'G-7 Rivers Data'!$B$4:$G$8,5,FALSE))</f>
        <v/>
      </c>
      <c r="AF109" s="520" t="str">
        <f t="shared" si="10"/>
        <v/>
      </c>
      <c r="AG109" s="520" t="str">
        <f t="shared" si="14"/>
        <v/>
      </c>
      <c r="AH109" s="524" t="str">
        <f t="shared" si="11"/>
        <v/>
      </c>
      <c r="AI109" s="145"/>
      <c r="AJ109" s="499" t="str">
        <f>IF(AI109="","",IF(VLOOKUP(AI109,'G-7 Rivers Data'!$AA$4:$AB$7,2,FALSE)=0,"Spatial Data Missing ⚠",VLOOKUP(AI109,'G-7 Rivers Data'!$AA$4:$AB$7,2,FALSE)))</f>
        <v/>
      </c>
      <c r="AK109" s="155"/>
      <c r="AL109" s="536" t="str">
        <f>IF(AK109="","",IF(VLOOKUP(AK109,'G-7 Rivers Data'!$AD$4:$AE$8,2,FALSE)=0,"Spatial Data Missing ⚠",VLOOKUP(AK109,'G-7 Rivers Data'!$AD$4:$AE$8,2,FALSE)))</f>
        <v/>
      </c>
      <c r="AM109" s="154"/>
      <c r="AN109" s="524" t="str">
        <f>IF(AM109="","",VLOOKUP(AM109,'G-7 Rivers Data'!$AO$4:$AP$7,2,FALSE))</f>
        <v/>
      </c>
      <c r="AO109" s="545" t="str">
        <f t="shared" si="15"/>
        <v/>
      </c>
      <c r="AP109" s="149"/>
      <c r="AQ109" s="150"/>
      <c r="AX109" s="31" t="str">
        <f>IFERROR(INDEX('G-7 Rivers Data'!$AZ$3:$AZ$7,MATCH(N109,'G-7 Rivers Data'!$AY$3:$AY$7,0)),"")</f>
        <v/>
      </c>
    </row>
    <row r="110" spans="2:50" ht="13.8" x14ac:dyDescent="0.25">
      <c r="B110" s="531" t="str">
        <f>'F-1 Off Site River Baseline'!AN108</f>
        <v/>
      </c>
      <c r="C110" s="520" t="str">
        <f>IF(B110="","",VLOOKUP($B110,'F-1 Off Site River Baseline'!$C$9:$R$257,2,FALSE))</f>
        <v/>
      </c>
      <c r="D110" s="520" t="str">
        <f>IF(C110="","",VLOOKUP($B110,'F-1 Off Site River Baseline'!$C$9:$R$257,3,FALSE))</f>
        <v/>
      </c>
      <c r="E110" s="520" t="str">
        <f>IF(D110="","",VLOOKUP($B110,'F-1 Off Site River Baseline'!$C$9:$R$257,4,FALSE))</f>
        <v/>
      </c>
      <c r="F110" s="520" t="str">
        <f>IF(E110="","",VLOOKUP($B110,'F-1 Off Site River Baseline'!$C$9:$R$257,5,FALSE))</f>
        <v/>
      </c>
      <c r="G110" s="520" t="str">
        <f>IF(F110="","",VLOOKUP($B110,'F-1 Off Site River Baseline'!$C$9:$R$257,6,FALSE))</f>
        <v/>
      </c>
      <c r="H110" s="520" t="str">
        <f>IF(G110="","",VLOOKUP($B110,'F-1 Off Site River Baseline'!$C$9:$R$257,7,FALSE))</f>
        <v/>
      </c>
      <c r="I110" s="520" t="str">
        <f>IF(H110="","",VLOOKUP($B110,'F-1 Off Site River Baseline'!$C$9:$R$257,8,FALSE))</f>
        <v/>
      </c>
      <c r="J110" s="520" t="str">
        <f>IF(I110="","",VLOOKUP($B110,'F-1 Off Site River Baseline'!$C$9:$R$257,9,FALSE))</f>
        <v/>
      </c>
      <c r="K110" s="520" t="str">
        <f>IF(J110="","",VLOOKUP($B110,'F-1 Off Site River Baseline'!$C$9:$R$257,10,FALSE))</f>
        <v/>
      </c>
      <c r="L110" s="520" t="str">
        <f>IF(B110="","",VLOOKUP($B110,'C-1 Site River Baseline'!$C$9:$R$257,15,FALSE))</f>
        <v/>
      </c>
      <c r="M110" s="524" t="str">
        <f>IF(L110="","",VLOOKUP($B110,'F-1 Off Site River Baseline'!$C$9:$R$257,16,FALSE))</f>
        <v/>
      </c>
      <c r="N110" s="418" t="str">
        <f t="shared" si="12"/>
        <v/>
      </c>
      <c r="O110" s="498" t="str">
        <f t="shared" si="13"/>
        <v/>
      </c>
      <c r="P110" s="499" t="str">
        <f>IF(C110="","",IF(AND(LEFT(C110,55)&lt;&gt;LEFT(N110,55),O110="High - High"),"Error - Not like for like ▲",IF(AND(F110=S110,H110&gt;U110),"Error - Can not reduce condition ▲",IF(AND(F110=S110,H110=U110,AJ110='F-1 Off Site River Baseline'!N108,'F-1 Off Site River Baseline'!P108=AL110),"Error - No enhancement ▲",IF(AND(C110&lt;&gt;N110,F110&lt;S110),"Lower Distinctiveness Habitat"&amp;" - "&amp;T110,G110&amp;" - "&amp;T110)))))</f>
        <v/>
      </c>
      <c r="Q110" s="505" t="str">
        <f>IF(N110="","",VLOOKUP(B110,'F-1 Off Site River Baseline'!$C$10:$AA$257,19,FALSE))</f>
        <v/>
      </c>
      <c r="R110" s="498" t="str">
        <f>IF(N110="","",VLOOKUP(N110,'G-7 Rivers Data'!$B$2:$G$8,2,FALSE))</f>
        <v/>
      </c>
      <c r="S110" s="499" t="str">
        <f>IFERROR(VLOOKUP(R110,'G-7 Rivers Data'!$C$4:$D$8,2,FALSE),"")</f>
        <v/>
      </c>
      <c r="T110" s="145"/>
      <c r="U110" s="499" t="str">
        <f>IFERROR(INDEX('G-7 Rivers Data'!$H$4:$L$8,MATCH(N110,'G-7 Rivers Data'!$B$4:$B$8,0),MATCH(T110,'G-7 Rivers Data'!$H$3:$L$3,0)),"")</f>
        <v/>
      </c>
      <c r="V110" s="154"/>
      <c r="W110" s="520" t="str">
        <f>IF(V110="","",IF(VLOOKUP(V110,'G-7 Rivers Data'!$AG$4:$AI$9,2,FALSE)=0,"Spatial Data Missing ⚠",VLOOKUP(V110,'G-7 Rivers Data'!$AG$4:$AI$9,2,FALSE)))</f>
        <v/>
      </c>
      <c r="X110" s="524" t="str">
        <f>IF(V110="","",IF(VLOOKUP(V110,'G-7 Rivers Data'!$AG$4:$AI$9,3,FALSE)=0,"Spatial Data Missing ⚠",VLOOKUP(V110,'G-7 Rivers Data'!$AG$4:$AI$9,3,FALSE)))</f>
        <v/>
      </c>
      <c r="Y110" s="537" t="str">
        <f>IFERROR(IF(OR(LEFT(P110,5)="Error ▲",LEFT(O110,5)="Error ▲"),"Check Data ⚠",IF(F110&lt;S110,'G-7 Rivers Data'!$R$3,INDEX('G-7 Rivers Data'!$U$5:$Y$9,MATCH(G110,'G-7 Rivers Data'!$T$5:$T$9,0),MATCH(T110,'G-7 Rivers Data'!$U$4:$Y$4,0)))),"")</f>
        <v/>
      </c>
      <c r="Z110" s="203"/>
      <c r="AA110" s="203"/>
      <c r="AB110" s="534" t="str">
        <f t="shared" si="8"/>
        <v/>
      </c>
      <c r="AC110" s="521" t="str">
        <f t="shared" si="9"/>
        <v/>
      </c>
      <c r="AD110" s="564" t="str">
        <f>IFERROR(IF(AC110="Check Data ⚠","Check Data ⚠",VLOOKUP(AC110,'G-4 Temporal multipliers'!$A$4:$C$37,3,FALSE)),"")</f>
        <v/>
      </c>
      <c r="AE110" s="537" t="str">
        <f>IF(N110="","",VLOOKUP(N110,'G-7 Rivers Data'!$B$4:$G$8,5,FALSE))</f>
        <v/>
      </c>
      <c r="AF110" s="520" t="str">
        <f t="shared" si="10"/>
        <v/>
      </c>
      <c r="AG110" s="520" t="str">
        <f t="shared" si="14"/>
        <v/>
      </c>
      <c r="AH110" s="524" t="str">
        <f t="shared" si="11"/>
        <v/>
      </c>
      <c r="AI110" s="145"/>
      <c r="AJ110" s="499" t="str">
        <f>IF(AI110="","",IF(VLOOKUP(AI110,'G-7 Rivers Data'!$AA$4:$AB$7,2,FALSE)=0,"Spatial Data Missing ⚠",VLOOKUP(AI110,'G-7 Rivers Data'!$AA$4:$AB$7,2,FALSE)))</f>
        <v/>
      </c>
      <c r="AK110" s="155"/>
      <c r="AL110" s="536" t="str">
        <f>IF(AK110="","",IF(VLOOKUP(AK110,'G-7 Rivers Data'!$AD$4:$AE$8,2,FALSE)=0,"Spatial Data Missing ⚠",VLOOKUP(AK110,'G-7 Rivers Data'!$AD$4:$AE$8,2,FALSE)))</f>
        <v/>
      </c>
      <c r="AM110" s="154"/>
      <c r="AN110" s="524" t="str">
        <f>IF(AM110="","",VLOOKUP(AM110,'G-7 Rivers Data'!$AO$4:$AP$7,2,FALSE))</f>
        <v/>
      </c>
      <c r="AO110" s="545" t="str">
        <f t="shared" si="15"/>
        <v/>
      </c>
      <c r="AP110" s="149"/>
      <c r="AQ110" s="150"/>
      <c r="AX110" s="31" t="str">
        <f>IFERROR(INDEX('G-7 Rivers Data'!$AZ$3:$AZ$7,MATCH(N110,'G-7 Rivers Data'!$AY$3:$AY$7,0)),"")</f>
        <v/>
      </c>
    </row>
    <row r="111" spans="2:50" ht="13.8" x14ac:dyDescent="0.25">
      <c r="B111" s="531" t="str">
        <f>'F-1 Off Site River Baseline'!AN109</f>
        <v/>
      </c>
      <c r="C111" s="520" t="str">
        <f>IF(B111="","",VLOOKUP($B111,'F-1 Off Site River Baseline'!$C$9:$R$257,2,FALSE))</f>
        <v/>
      </c>
      <c r="D111" s="520" t="str">
        <f>IF(C111="","",VLOOKUP($B111,'F-1 Off Site River Baseline'!$C$9:$R$257,3,FALSE))</f>
        <v/>
      </c>
      <c r="E111" s="520" t="str">
        <f>IF(D111="","",VLOOKUP($B111,'F-1 Off Site River Baseline'!$C$9:$R$257,4,FALSE))</f>
        <v/>
      </c>
      <c r="F111" s="520" t="str">
        <f>IF(E111="","",VLOOKUP($B111,'F-1 Off Site River Baseline'!$C$9:$R$257,5,FALSE))</f>
        <v/>
      </c>
      <c r="G111" s="520" t="str">
        <f>IF(F111="","",VLOOKUP($B111,'F-1 Off Site River Baseline'!$C$9:$R$257,6,FALSE))</f>
        <v/>
      </c>
      <c r="H111" s="520" t="str">
        <f>IF(G111="","",VLOOKUP($B111,'F-1 Off Site River Baseline'!$C$9:$R$257,7,FALSE))</f>
        <v/>
      </c>
      <c r="I111" s="520" t="str">
        <f>IF(H111="","",VLOOKUP($B111,'F-1 Off Site River Baseline'!$C$9:$R$257,8,FALSE))</f>
        <v/>
      </c>
      <c r="J111" s="520" t="str">
        <f>IF(I111="","",VLOOKUP($B111,'F-1 Off Site River Baseline'!$C$9:$R$257,9,FALSE))</f>
        <v/>
      </c>
      <c r="K111" s="520" t="str">
        <f>IF(J111="","",VLOOKUP($B111,'F-1 Off Site River Baseline'!$C$9:$R$257,10,FALSE))</f>
        <v/>
      </c>
      <c r="L111" s="520" t="str">
        <f>IF(B111="","",VLOOKUP($B111,'C-1 Site River Baseline'!$C$9:$R$257,15,FALSE))</f>
        <v/>
      </c>
      <c r="M111" s="524" t="str">
        <f>IF(L111="","",VLOOKUP($B111,'F-1 Off Site River Baseline'!$C$9:$R$257,16,FALSE))</f>
        <v/>
      </c>
      <c r="N111" s="418" t="str">
        <f t="shared" si="12"/>
        <v/>
      </c>
      <c r="O111" s="498" t="str">
        <f t="shared" si="13"/>
        <v/>
      </c>
      <c r="P111" s="499" t="str">
        <f>IF(C111="","",IF(AND(LEFT(C111,55)&lt;&gt;LEFT(N111,55),O111="High - High"),"Error - Not like for like ▲",IF(AND(F111=S111,H111&gt;U111),"Error - Can not reduce condition ▲",IF(AND(F111=S111,H111=U111,AJ111='F-1 Off Site River Baseline'!N109,'F-1 Off Site River Baseline'!P109=AL111),"Error - No enhancement ▲",IF(AND(C111&lt;&gt;N111,F111&lt;S111),"Lower Distinctiveness Habitat"&amp;" - "&amp;T111,G111&amp;" - "&amp;T111)))))</f>
        <v/>
      </c>
      <c r="Q111" s="505" t="str">
        <f>IF(N111="","",VLOOKUP(B111,'F-1 Off Site River Baseline'!$C$10:$AA$257,19,FALSE))</f>
        <v/>
      </c>
      <c r="R111" s="498" t="str">
        <f>IF(N111="","",VLOOKUP(N111,'G-7 Rivers Data'!$B$2:$G$8,2,FALSE))</f>
        <v/>
      </c>
      <c r="S111" s="499" t="str">
        <f>IFERROR(VLOOKUP(R111,'G-7 Rivers Data'!$C$4:$D$8,2,FALSE),"")</f>
        <v/>
      </c>
      <c r="T111" s="145"/>
      <c r="U111" s="499" t="str">
        <f>IFERROR(INDEX('G-7 Rivers Data'!$H$4:$L$8,MATCH(N111,'G-7 Rivers Data'!$B$4:$B$8,0),MATCH(T111,'G-7 Rivers Data'!$H$3:$L$3,0)),"")</f>
        <v/>
      </c>
      <c r="V111" s="154"/>
      <c r="W111" s="520" t="str">
        <f>IF(V111="","",IF(VLOOKUP(V111,'G-7 Rivers Data'!$AG$4:$AI$9,2,FALSE)=0,"Spatial Data Missing ⚠",VLOOKUP(V111,'G-7 Rivers Data'!$AG$4:$AI$9,2,FALSE)))</f>
        <v/>
      </c>
      <c r="X111" s="524" t="str">
        <f>IF(V111="","",IF(VLOOKUP(V111,'G-7 Rivers Data'!$AG$4:$AI$9,3,FALSE)=0,"Spatial Data Missing ⚠",VLOOKUP(V111,'G-7 Rivers Data'!$AG$4:$AI$9,3,FALSE)))</f>
        <v/>
      </c>
      <c r="Y111" s="537" t="str">
        <f>IFERROR(IF(OR(LEFT(P111,5)="Error ▲",LEFT(O111,5)="Error ▲"),"Check Data ⚠",IF(F111&lt;S111,'G-7 Rivers Data'!$R$3,INDEX('G-7 Rivers Data'!$U$5:$Y$9,MATCH(G111,'G-7 Rivers Data'!$T$5:$T$9,0),MATCH(T111,'G-7 Rivers Data'!$U$4:$Y$4,0)))),"")</f>
        <v/>
      </c>
      <c r="Z111" s="203"/>
      <c r="AA111" s="203"/>
      <c r="AB111" s="534" t="str">
        <f t="shared" si="8"/>
        <v/>
      </c>
      <c r="AC111" s="521" t="str">
        <f t="shared" si="9"/>
        <v/>
      </c>
      <c r="AD111" s="564" t="str">
        <f>IFERROR(IF(AC111="Check Data ⚠","Check Data ⚠",VLOOKUP(AC111,'G-4 Temporal multipliers'!$A$4:$C$37,3,FALSE)),"")</f>
        <v/>
      </c>
      <c r="AE111" s="537" t="str">
        <f>IF(N111="","",VLOOKUP(N111,'G-7 Rivers Data'!$B$4:$G$8,5,FALSE))</f>
        <v/>
      </c>
      <c r="AF111" s="520" t="str">
        <f t="shared" si="10"/>
        <v/>
      </c>
      <c r="AG111" s="520" t="str">
        <f t="shared" si="14"/>
        <v/>
      </c>
      <c r="AH111" s="524" t="str">
        <f t="shared" si="11"/>
        <v/>
      </c>
      <c r="AI111" s="145"/>
      <c r="AJ111" s="499" t="str">
        <f>IF(AI111="","",IF(VLOOKUP(AI111,'G-7 Rivers Data'!$AA$4:$AB$7,2,FALSE)=0,"Spatial Data Missing ⚠",VLOOKUP(AI111,'G-7 Rivers Data'!$AA$4:$AB$7,2,FALSE)))</f>
        <v/>
      </c>
      <c r="AK111" s="155"/>
      <c r="AL111" s="536" t="str">
        <f>IF(AK111="","",IF(VLOOKUP(AK111,'G-7 Rivers Data'!$AD$4:$AE$8,2,FALSE)=0,"Spatial Data Missing ⚠",VLOOKUP(AK111,'G-7 Rivers Data'!$AD$4:$AE$8,2,FALSE)))</f>
        <v/>
      </c>
      <c r="AM111" s="154"/>
      <c r="AN111" s="524" t="str">
        <f>IF(AM111="","",VLOOKUP(AM111,'G-7 Rivers Data'!$AO$4:$AP$7,2,FALSE))</f>
        <v/>
      </c>
      <c r="AO111" s="545" t="str">
        <f t="shared" si="15"/>
        <v/>
      </c>
      <c r="AP111" s="149"/>
      <c r="AQ111" s="150"/>
      <c r="AX111" s="31" t="str">
        <f>IFERROR(INDEX('G-7 Rivers Data'!$AZ$3:$AZ$7,MATCH(N111,'G-7 Rivers Data'!$AY$3:$AY$7,0)),"")</f>
        <v/>
      </c>
    </row>
    <row r="112" spans="2:50" ht="13.8" x14ac:dyDescent="0.25">
      <c r="B112" s="531" t="str">
        <f>'F-1 Off Site River Baseline'!AN110</f>
        <v/>
      </c>
      <c r="C112" s="520" t="str">
        <f>IF(B112="","",VLOOKUP($B112,'F-1 Off Site River Baseline'!$C$9:$R$257,2,FALSE))</f>
        <v/>
      </c>
      <c r="D112" s="520" t="str">
        <f>IF(C112="","",VLOOKUP($B112,'F-1 Off Site River Baseline'!$C$9:$R$257,3,FALSE))</f>
        <v/>
      </c>
      <c r="E112" s="520" t="str">
        <f>IF(D112="","",VLOOKUP($B112,'F-1 Off Site River Baseline'!$C$9:$R$257,4,FALSE))</f>
        <v/>
      </c>
      <c r="F112" s="520" t="str">
        <f>IF(E112="","",VLOOKUP($B112,'F-1 Off Site River Baseline'!$C$9:$R$257,5,FALSE))</f>
        <v/>
      </c>
      <c r="G112" s="520" t="str">
        <f>IF(F112="","",VLOOKUP($B112,'F-1 Off Site River Baseline'!$C$9:$R$257,6,FALSE))</f>
        <v/>
      </c>
      <c r="H112" s="520" t="str">
        <f>IF(G112="","",VLOOKUP($B112,'F-1 Off Site River Baseline'!$C$9:$R$257,7,FALSE))</f>
        <v/>
      </c>
      <c r="I112" s="520" t="str">
        <f>IF(H112="","",VLOOKUP($B112,'F-1 Off Site River Baseline'!$C$9:$R$257,8,FALSE))</f>
        <v/>
      </c>
      <c r="J112" s="520" t="str">
        <f>IF(I112="","",VLOOKUP($B112,'F-1 Off Site River Baseline'!$C$9:$R$257,9,FALSE))</f>
        <v/>
      </c>
      <c r="K112" s="520" t="str">
        <f>IF(J112="","",VLOOKUP($B112,'F-1 Off Site River Baseline'!$C$9:$R$257,10,FALSE))</f>
        <v/>
      </c>
      <c r="L112" s="520" t="str">
        <f>IF(B112="","",VLOOKUP($B112,'C-1 Site River Baseline'!$C$9:$R$257,15,FALSE))</f>
        <v/>
      </c>
      <c r="M112" s="524" t="str">
        <f>IF(L112="","",VLOOKUP($B112,'F-1 Off Site River Baseline'!$C$9:$R$257,16,FALSE))</f>
        <v/>
      </c>
      <c r="N112" s="418" t="str">
        <f t="shared" si="12"/>
        <v/>
      </c>
      <c r="O112" s="498" t="str">
        <f t="shared" si="13"/>
        <v/>
      </c>
      <c r="P112" s="499" t="str">
        <f>IF(C112="","",IF(AND(LEFT(C112,55)&lt;&gt;LEFT(N112,55),O112="High - High"),"Error - Not like for like ▲",IF(AND(F112=S112,H112&gt;U112),"Error - Can not reduce condition ▲",IF(AND(F112=S112,H112=U112,AJ112='F-1 Off Site River Baseline'!N110,'F-1 Off Site River Baseline'!P110=AL112),"Error - No enhancement ▲",IF(AND(C112&lt;&gt;N112,F112&lt;S112),"Lower Distinctiveness Habitat"&amp;" - "&amp;T112,G112&amp;" - "&amp;T112)))))</f>
        <v/>
      </c>
      <c r="Q112" s="505" t="str">
        <f>IF(N112="","",VLOOKUP(B112,'F-1 Off Site River Baseline'!$C$10:$AA$257,19,FALSE))</f>
        <v/>
      </c>
      <c r="R112" s="498" t="str">
        <f>IF(N112="","",VLOOKUP(N112,'G-7 Rivers Data'!$B$2:$G$8,2,FALSE))</f>
        <v/>
      </c>
      <c r="S112" s="499" t="str">
        <f>IFERROR(VLOOKUP(R112,'G-7 Rivers Data'!$C$4:$D$8,2,FALSE),"")</f>
        <v/>
      </c>
      <c r="T112" s="145"/>
      <c r="U112" s="499" t="str">
        <f>IFERROR(INDEX('G-7 Rivers Data'!$H$4:$L$8,MATCH(N112,'G-7 Rivers Data'!$B$4:$B$8,0),MATCH(T112,'G-7 Rivers Data'!$H$3:$L$3,0)),"")</f>
        <v/>
      </c>
      <c r="V112" s="154"/>
      <c r="W112" s="520" t="str">
        <f>IF(V112="","",IF(VLOOKUP(V112,'G-7 Rivers Data'!$AG$4:$AI$9,2,FALSE)=0,"Spatial Data Missing ⚠",VLOOKUP(V112,'G-7 Rivers Data'!$AG$4:$AI$9,2,FALSE)))</f>
        <v/>
      </c>
      <c r="X112" s="524" t="str">
        <f>IF(V112="","",IF(VLOOKUP(V112,'G-7 Rivers Data'!$AG$4:$AI$9,3,FALSE)=0,"Spatial Data Missing ⚠",VLOOKUP(V112,'G-7 Rivers Data'!$AG$4:$AI$9,3,FALSE)))</f>
        <v/>
      </c>
      <c r="Y112" s="537" t="str">
        <f>IFERROR(IF(OR(LEFT(P112,5)="Error ▲",LEFT(O112,5)="Error ▲"),"Check Data ⚠",IF(F112&lt;S112,'G-7 Rivers Data'!$R$3,INDEX('G-7 Rivers Data'!$U$5:$Y$9,MATCH(G112,'G-7 Rivers Data'!$T$5:$T$9,0),MATCH(T112,'G-7 Rivers Data'!$U$4:$Y$4,0)))),"")</f>
        <v/>
      </c>
      <c r="Z112" s="203"/>
      <c r="AA112" s="203"/>
      <c r="AB112" s="534" t="str">
        <f t="shared" si="8"/>
        <v/>
      </c>
      <c r="AC112" s="521" t="str">
        <f t="shared" si="9"/>
        <v/>
      </c>
      <c r="AD112" s="564" t="str">
        <f>IFERROR(IF(AC112="Check Data ⚠","Check Data ⚠",VLOOKUP(AC112,'G-4 Temporal multipliers'!$A$4:$C$37,3,FALSE)),"")</f>
        <v/>
      </c>
      <c r="AE112" s="537" t="str">
        <f>IF(N112="","",VLOOKUP(N112,'G-7 Rivers Data'!$B$4:$G$8,5,FALSE))</f>
        <v/>
      </c>
      <c r="AF112" s="520" t="str">
        <f t="shared" si="10"/>
        <v/>
      </c>
      <c r="AG112" s="520" t="str">
        <f t="shared" si="14"/>
        <v/>
      </c>
      <c r="AH112" s="524" t="str">
        <f t="shared" si="11"/>
        <v/>
      </c>
      <c r="AI112" s="145"/>
      <c r="AJ112" s="499" t="str">
        <f>IF(AI112="","",IF(VLOOKUP(AI112,'G-7 Rivers Data'!$AA$4:$AB$7,2,FALSE)=0,"Spatial Data Missing ⚠",VLOOKUP(AI112,'G-7 Rivers Data'!$AA$4:$AB$7,2,FALSE)))</f>
        <v/>
      </c>
      <c r="AK112" s="155"/>
      <c r="AL112" s="536" t="str">
        <f>IF(AK112="","",IF(VLOOKUP(AK112,'G-7 Rivers Data'!$AD$4:$AE$8,2,FALSE)=0,"Spatial Data Missing ⚠",VLOOKUP(AK112,'G-7 Rivers Data'!$AD$4:$AE$8,2,FALSE)))</f>
        <v/>
      </c>
      <c r="AM112" s="154"/>
      <c r="AN112" s="524" t="str">
        <f>IF(AM112="","",VLOOKUP(AM112,'G-7 Rivers Data'!$AO$4:$AP$7,2,FALSE))</f>
        <v/>
      </c>
      <c r="AO112" s="545" t="str">
        <f t="shared" si="15"/>
        <v/>
      </c>
      <c r="AP112" s="149"/>
      <c r="AQ112" s="150"/>
      <c r="AX112" s="31" t="str">
        <f>IFERROR(INDEX('G-7 Rivers Data'!$AZ$3:$AZ$7,MATCH(N112,'G-7 Rivers Data'!$AY$3:$AY$7,0)),"")</f>
        <v/>
      </c>
    </row>
    <row r="113" spans="2:50" ht="13.8" x14ac:dyDescent="0.25">
      <c r="B113" s="531" t="str">
        <f>'F-1 Off Site River Baseline'!AN111</f>
        <v/>
      </c>
      <c r="C113" s="520" t="str">
        <f>IF(B113="","",VLOOKUP($B113,'F-1 Off Site River Baseline'!$C$9:$R$257,2,FALSE))</f>
        <v/>
      </c>
      <c r="D113" s="520" t="str">
        <f>IF(C113="","",VLOOKUP($B113,'F-1 Off Site River Baseline'!$C$9:$R$257,3,FALSE))</f>
        <v/>
      </c>
      <c r="E113" s="520" t="str">
        <f>IF(D113="","",VLOOKUP($B113,'F-1 Off Site River Baseline'!$C$9:$R$257,4,FALSE))</f>
        <v/>
      </c>
      <c r="F113" s="520" t="str">
        <f>IF(E113="","",VLOOKUP($B113,'F-1 Off Site River Baseline'!$C$9:$R$257,5,FALSE))</f>
        <v/>
      </c>
      <c r="G113" s="520" t="str">
        <f>IF(F113="","",VLOOKUP($B113,'F-1 Off Site River Baseline'!$C$9:$R$257,6,FALSE))</f>
        <v/>
      </c>
      <c r="H113" s="520" t="str">
        <f>IF(G113="","",VLOOKUP($B113,'F-1 Off Site River Baseline'!$C$9:$R$257,7,FALSE))</f>
        <v/>
      </c>
      <c r="I113" s="520" t="str">
        <f>IF(H113="","",VLOOKUP($B113,'F-1 Off Site River Baseline'!$C$9:$R$257,8,FALSE))</f>
        <v/>
      </c>
      <c r="J113" s="520" t="str">
        <f>IF(I113="","",VLOOKUP($B113,'F-1 Off Site River Baseline'!$C$9:$R$257,9,FALSE))</f>
        <v/>
      </c>
      <c r="K113" s="520" t="str">
        <f>IF(J113="","",VLOOKUP($B113,'F-1 Off Site River Baseline'!$C$9:$R$257,10,FALSE))</f>
        <v/>
      </c>
      <c r="L113" s="520" t="str">
        <f>IF(B113="","",VLOOKUP($B113,'C-1 Site River Baseline'!$C$9:$R$257,15,FALSE))</f>
        <v/>
      </c>
      <c r="M113" s="524" t="str">
        <f>IF(L113="","",VLOOKUP($B113,'F-1 Off Site River Baseline'!$C$9:$R$257,16,FALSE))</f>
        <v/>
      </c>
      <c r="N113" s="418" t="str">
        <f t="shared" si="12"/>
        <v/>
      </c>
      <c r="O113" s="498" t="str">
        <f t="shared" si="13"/>
        <v/>
      </c>
      <c r="P113" s="499" t="str">
        <f>IF(C113="","",IF(AND(LEFT(C113,55)&lt;&gt;LEFT(N113,55),O113="High - High"),"Error - Not like for like ▲",IF(AND(F113=S113,H113&gt;U113),"Error - Can not reduce condition ▲",IF(AND(F113=S113,H113=U113,AJ113='F-1 Off Site River Baseline'!N111,'F-1 Off Site River Baseline'!P111=AL113),"Error - No enhancement ▲",IF(AND(C113&lt;&gt;N113,F113&lt;S113),"Lower Distinctiveness Habitat"&amp;" - "&amp;T113,G113&amp;" - "&amp;T113)))))</f>
        <v/>
      </c>
      <c r="Q113" s="505" t="str">
        <f>IF(N113="","",VLOOKUP(B113,'F-1 Off Site River Baseline'!$C$10:$AA$257,19,FALSE))</f>
        <v/>
      </c>
      <c r="R113" s="498" t="str">
        <f>IF(N113="","",VLOOKUP(N113,'G-7 Rivers Data'!$B$2:$G$8,2,FALSE))</f>
        <v/>
      </c>
      <c r="S113" s="499" t="str">
        <f>IFERROR(VLOOKUP(R113,'G-7 Rivers Data'!$C$4:$D$8,2,FALSE),"")</f>
        <v/>
      </c>
      <c r="T113" s="145"/>
      <c r="U113" s="499" t="str">
        <f>IFERROR(INDEX('G-7 Rivers Data'!$H$4:$L$8,MATCH(N113,'G-7 Rivers Data'!$B$4:$B$8,0),MATCH(T113,'G-7 Rivers Data'!$H$3:$L$3,0)),"")</f>
        <v/>
      </c>
      <c r="V113" s="154"/>
      <c r="W113" s="520" t="str">
        <f>IF(V113="","",IF(VLOOKUP(V113,'G-7 Rivers Data'!$AG$4:$AI$9,2,FALSE)=0,"Spatial Data Missing ⚠",VLOOKUP(V113,'G-7 Rivers Data'!$AG$4:$AI$9,2,FALSE)))</f>
        <v/>
      </c>
      <c r="X113" s="524" t="str">
        <f>IF(V113="","",IF(VLOOKUP(V113,'G-7 Rivers Data'!$AG$4:$AI$9,3,FALSE)=0,"Spatial Data Missing ⚠",VLOOKUP(V113,'G-7 Rivers Data'!$AG$4:$AI$9,3,FALSE)))</f>
        <v/>
      </c>
      <c r="Y113" s="537" t="str">
        <f>IFERROR(IF(OR(LEFT(P113,5)="Error ▲",LEFT(O113,5)="Error ▲"),"Check Data ⚠",IF(F113&lt;S113,'G-7 Rivers Data'!$R$3,INDEX('G-7 Rivers Data'!$U$5:$Y$9,MATCH(G113,'G-7 Rivers Data'!$T$5:$T$9,0),MATCH(T113,'G-7 Rivers Data'!$U$4:$Y$4,0)))),"")</f>
        <v/>
      </c>
      <c r="Z113" s="203"/>
      <c r="AA113" s="203"/>
      <c r="AB113" s="534" t="str">
        <f t="shared" si="8"/>
        <v/>
      </c>
      <c r="AC113" s="521" t="str">
        <f t="shared" si="9"/>
        <v/>
      </c>
      <c r="AD113" s="564" t="str">
        <f>IFERROR(IF(AC113="Check Data ⚠","Check Data ⚠",VLOOKUP(AC113,'G-4 Temporal multipliers'!$A$4:$C$37,3,FALSE)),"")</f>
        <v/>
      </c>
      <c r="AE113" s="537" t="str">
        <f>IF(N113="","",VLOOKUP(N113,'G-7 Rivers Data'!$B$4:$G$8,5,FALSE))</f>
        <v/>
      </c>
      <c r="AF113" s="520" t="str">
        <f t="shared" si="10"/>
        <v/>
      </c>
      <c r="AG113" s="520" t="str">
        <f t="shared" si="14"/>
        <v/>
      </c>
      <c r="AH113" s="524" t="str">
        <f t="shared" si="11"/>
        <v/>
      </c>
      <c r="AI113" s="145"/>
      <c r="AJ113" s="499" t="str">
        <f>IF(AI113="","",IF(VLOOKUP(AI113,'G-7 Rivers Data'!$AA$4:$AB$7,2,FALSE)=0,"Spatial Data Missing ⚠",VLOOKUP(AI113,'G-7 Rivers Data'!$AA$4:$AB$7,2,FALSE)))</f>
        <v/>
      </c>
      <c r="AK113" s="155"/>
      <c r="AL113" s="536" t="str">
        <f>IF(AK113="","",IF(VLOOKUP(AK113,'G-7 Rivers Data'!$AD$4:$AE$8,2,FALSE)=0,"Spatial Data Missing ⚠",VLOOKUP(AK113,'G-7 Rivers Data'!$AD$4:$AE$8,2,FALSE)))</f>
        <v/>
      </c>
      <c r="AM113" s="154"/>
      <c r="AN113" s="524" t="str">
        <f>IF(AM113="","",VLOOKUP(AM113,'G-7 Rivers Data'!$AO$4:$AP$7,2,FALSE))</f>
        <v/>
      </c>
      <c r="AO113" s="545" t="str">
        <f t="shared" si="15"/>
        <v/>
      </c>
      <c r="AP113" s="149"/>
      <c r="AQ113" s="150"/>
      <c r="AX113" s="31" t="str">
        <f>IFERROR(INDEX('G-7 Rivers Data'!$AZ$3:$AZ$7,MATCH(N113,'G-7 Rivers Data'!$AY$3:$AY$7,0)),"")</f>
        <v/>
      </c>
    </row>
    <row r="114" spans="2:50" ht="13.8" x14ac:dyDescent="0.25">
      <c r="B114" s="531" t="str">
        <f>'F-1 Off Site River Baseline'!AN112</f>
        <v/>
      </c>
      <c r="C114" s="520" t="str">
        <f>IF(B114="","",VLOOKUP($B114,'F-1 Off Site River Baseline'!$C$9:$R$257,2,FALSE))</f>
        <v/>
      </c>
      <c r="D114" s="520" t="str">
        <f>IF(C114="","",VLOOKUP($B114,'F-1 Off Site River Baseline'!$C$9:$R$257,3,FALSE))</f>
        <v/>
      </c>
      <c r="E114" s="520" t="str">
        <f>IF(D114="","",VLOOKUP($B114,'F-1 Off Site River Baseline'!$C$9:$R$257,4,FALSE))</f>
        <v/>
      </c>
      <c r="F114" s="520" t="str">
        <f>IF(E114="","",VLOOKUP($B114,'F-1 Off Site River Baseline'!$C$9:$R$257,5,FALSE))</f>
        <v/>
      </c>
      <c r="G114" s="520" t="str">
        <f>IF(F114="","",VLOOKUP($B114,'F-1 Off Site River Baseline'!$C$9:$R$257,6,FALSE))</f>
        <v/>
      </c>
      <c r="H114" s="520" t="str">
        <f>IF(G114="","",VLOOKUP($B114,'F-1 Off Site River Baseline'!$C$9:$R$257,7,FALSE))</f>
        <v/>
      </c>
      <c r="I114" s="520" t="str">
        <f>IF(H114="","",VLOOKUP($B114,'F-1 Off Site River Baseline'!$C$9:$R$257,8,FALSE))</f>
        <v/>
      </c>
      <c r="J114" s="520" t="str">
        <f>IF(I114="","",VLOOKUP($B114,'F-1 Off Site River Baseline'!$C$9:$R$257,9,FALSE))</f>
        <v/>
      </c>
      <c r="K114" s="520" t="str">
        <f>IF(J114="","",VLOOKUP($B114,'F-1 Off Site River Baseline'!$C$9:$R$257,10,FALSE))</f>
        <v/>
      </c>
      <c r="L114" s="520" t="str">
        <f>IF(B114="","",VLOOKUP($B114,'C-1 Site River Baseline'!$C$9:$R$257,15,FALSE))</f>
        <v/>
      </c>
      <c r="M114" s="524" t="str">
        <f>IF(L114="","",VLOOKUP($B114,'F-1 Off Site River Baseline'!$C$9:$R$257,16,FALSE))</f>
        <v/>
      </c>
      <c r="N114" s="418" t="str">
        <f t="shared" si="12"/>
        <v/>
      </c>
      <c r="O114" s="498" t="str">
        <f t="shared" si="13"/>
        <v/>
      </c>
      <c r="P114" s="499" t="str">
        <f>IF(C114="","",IF(AND(LEFT(C114,55)&lt;&gt;LEFT(N114,55),O114="High - High"),"Error - Not like for like ▲",IF(AND(F114=S114,H114&gt;U114),"Error - Can not reduce condition ▲",IF(AND(F114=S114,H114=U114,AJ114='F-1 Off Site River Baseline'!N112,'F-1 Off Site River Baseline'!P112=AL114),"Error - No enhancement ▲",IF(AND(C114&lt;&gt;N114,F114&lt;S114),"Lower Distinctiveness Habitat"&amp;" - "&amp;T114,G114&amp;" - "&amp;T114)))))</f>
        <v/>
      </c>
      <c r="Q114" s="505" t="str">
        <f>IF(N114="","",VLOOKUP(B114,'F-1 Off Site River Baseline'!$C$10:$AA$257,19,FALSE))</f>
        <v/>
      </c>
      <c r="R114" s="498" t="str">
        <f>IF(N114="","",VLOOKUP(N114,'G-7 Rivers Data'!$B$2:$G$8,2,FALSE))</f>
        <v/>
      </c>
      <c r="S114" s="499" t="str">
        <f>IFERROR(VLOOKUP(R114,'G-7 Rivers Data'!$C$4:$D$8,2,FALSE),"")</f>
        <v/>
      </c>
      <c r="T114" s="145"/>
      <c r="U114" s="499" t="str">
        <f>IFERROR(INDEX('G-7 Rivers Data'!$H$4:$L$8,MATCH(N114,'G-7 Rivers Data'!$B$4:$B$8,0),MATCH(T114,'G-7 Rivers Data'!$H$3:$L$3,0)),"")</f>
        <v/>
      </c>
      <c r="V114" s="154"/>
      <c r="W114" s="520" t="str">
        <f>IF(V114="","",IF(VLOOKUP(V114,'G-7 Rivers Data'!$AG$4:$AI$9,2,FALSE)=0,"Spatial Data Missing ⚠",VLOOKUP(V114,'G-7 Rivers Data'!$AG$4:$AI$9,2,FALSE)))</f>
        <v/>
      </c>
      <c r="X114" s="524" t="str">
        <f>IF(V114="","",IF(VLOOKUP(V114,'G-7 Rivers Data'!$AG$4:$AI$9,3,FALSE)=0,"Spatial Data Missing ⚠",VLOOKUP(V114,'G-7 Rivers Data'!$AG$4:$AI$9,3,FALSE)))</f>
        <v/>
      </c>
      <c r="Y114" s="537" t="str">
        <f>IFERROR(IF(OR(LEFT(P114,5)="Error ▲",LEFT(O114,5)="Error ▲"),"Check Data ⚠",IF(F114&lt;S114,'G-7 Rivers Data'!$R$3,INDEX('G-7 Rivers Data'!$U$5:$Y$9,MATCH(G114,'G-7 Rivers Data'!$T$5:$T$9,0),MATCH(T114,'G-7 Rivers Data'!$U$4:$Y$4,0)))),"")</f>
        <v/>
      </c>
      <c r="Z114" s="203"/>
      <c r="AA114" s="203"/>
      <c r="AB114" s="534" t="str">
        <f t="shared" si="8"/>
        <v/>
      </c>
      <c r="AC114" s="521" t="str">
        <f t="shared" si="9"/>
        <v/>
      </c>
      <c r="AD114" s="564" t="str">
        <f>IFERROR(IF(AC114="Check Data ⚠","Check Data ⚠",VLOOKUP(AC114,'G-4 Temporal multipliers'!$A$4:$C$37,3,FALSE)),"")</f>
        <v/>
      </c>
      <c r="AE114" s="537" t="str">
        <f>IF(N114="","",VLOOKUP(N114,'G-7 Rivers Data'!$B$4:$G$8,5,FALSE))</f>
        <v/>
      </c>
      <c r="AF114" s="520" t="str">
        <f t="shared" si="10"/>
        <v/>
      </c>
      <c r="AG114" s="520" t="str">
        <f t="shared" si="14"/>
        <v/>
      </c>
      <c r="AH114" s="524" t="str">
        <f t="shared" si="11"/>
        <v/>
      </c>
      <c r="AI114" s="145"/>
      <c r="AJ114" s="499" t="str">
        <f>IF(AI114="","",IF(VLOOKUP(AI114,'G-7 Rivers Data'!$AA$4:$AB$7,2,FALSE)=0,"Spatial Data Missing ⚠",VLOOKUP(AI114,'G-7 Rivers Data'!$AA$4:$AB$7,2,FALSE)))</f>
        <v/>
      </c>
      <c r="AK114" s="155"/>
      <c r="AL114" s="536" t="str">
        <f>IF(AK114="","",IF(VLOOKUP(AK114,'G-7 Rivers Data'!$AD$4:$AE$8,2,FALSE)=0,"Spatial Data Missing ⚠",VLOOKUP(AK114,'G-7 Rivers Data'!$AD$4:$AE$8,2,FALSE)))</f>
        <v/>
      </c>
      <c r="AM114" s="154"/>
      <c r="AN114" s="524" t="str">
        <f>IF(AM114="","",VLOOKUP(AM114,'G-7 Rivers Data'!$AO$4:$AP$7,2,FALSE))</f>
        <v/>
      </c>
      <c r="AO114" s="545" t="str">
        <f t="shared" si="15"/>
        <v/>
      </c>
      <c r="AP114" s="149"/>
      <c r="AQ114" s="150"/>
      <c r="AX114" s="31" t="str">
        <f>IFERROR(INDEX('G-7 Rivers Data'!$AZ$3:$AZ$7,MATCH(N114,'G-7 Rivers Data'!$AY$3:$AY$7,0)),"")</f>
        <v/>
      </c>
    </row>
    <row r="115" spans="2:50" ht="13.8" x14ac:dyDescent="0.25">
      <c r="B115" s="531" t="str">
        <f>'F-1 Off Site River Baseline'!AN113</f>
        <v/>
      </c>
      <c r="C115" s="520" t="str">
        <f>IF(B115="","",VLOOKUP($B115,'F-1 Off Site River Baseline'!$C$9:$R$257,2,FALSE))</f>
        <v/>
      </c>
      <c r="D115" s="520" t="str">
        <f>IF(C115="","",VLOOKUP($B115,'F-1 Off Site River Baseline'!$C$9:$R$257,3,FALSE))</f>
        <v/>
      </c>
      <c r="E115" s="520" t="str">
        <f>IF(D115="","",VLOOKUP($B115,'F-1 Off Site River Baseline'!$C$9:$R$257,4,FALSE))</f>
        <v/>
      </c>
      <c r="F115" s="520" t="str">
        <f>IF(E115="","",VLOOKUP($B115,'F-1 Off Site River Baseline'!$C$9:$R$257,5,FALSE))</f>
        <v/>
      </c>
      <c r="G115" s="520" t="str">
        <f>IF(F115="","",VLOOKUP($B115,'F-1 Off Site River Baseline'!$C$9:$R$257,6,FALSE))</f>
        <v/>
      </c>
      <c r="H115" s="520" t="str">
        <f>IF(G115="","",VLOOKUP($B115,'F-1 Off Site River Baseline'!$C$9:$R$257,7,FALSE))</f>
        <v/>
      </c>
      <c r="I115" s="520" t="str">
        <f>IF(H115="","",VLOOKUP($B115,'F-1 Off Site River Baseline'!$C$9:$R$257,8,FALSE))</f>
        <v/>
      </c>
      <c r="J115" s="520" t="str">
        <f>IF(I115="","",VLOOKUP($B115,'F-1 Off Site River Baseline'!$C$9:$R$257,9,FALSE))</f>
        <v/>
      </c>
      <c r="K115" s="520" t="str">
        <f>IF(J115="","",VLOOKUP($B115,'F-1 Off Site River Baseline'!$C$9:$R$257,10,FALSE))</f>
        <v/>
      </c>
      <c r="L115" s="520" t="str">
        <f>IF(B115="","",VLOOKUP($B115,'C-1 Site River Baseline'!$C$9:$R$257,15,FALSE))</f>
        <v/>
      </c>
      <c r="M115" s="524" t="str">
        <f>IF(L115="","",VLOOKUP($B115,'F-1 Off Site River Baseline'!$C$9:$R$257,16,FALSE))</f>
        <v/>
      </c>
      <c r="N115" s="418" t="str">
        <f t="shared" si="12"/>
        <v/>
      </c>
      <c r="O115" s="498" t="str">
        <f t="shared" si="13"/>
        <v/>
      </c>
      <c r="P115" s="499" t="str">
        <f>IF(C115="","",IF(AND(LEFT(C115,55)&lt;&gt;LEFT(N115,55),O115="High - High"),"Error - Not like for like ▲",IF(AND(F115=S115,H115&gt;U115),"Error - Can not reduce condition ▲",IF(AND(F115=S115,H115=U115,AJ115='F-1 Off Site River Baseline'!N113,'F-1 Off Site River Baseline'!P113=AL115),"Error - No enhancement ▲",IF(AND(C115&lt;&gt;N115,F115&lt;S115),"Lower Distinctiveness Habitat"&amp;" - "&amp;T115,G115&amp;" - "&amp;T115)))))</f>
        <v/>
      </c>
      <c r="Q115" s="505" t="str">
        <f>IF(N115="","",VLOOKUP(B115,'F-1 Off Site River Baseline'!$C$10:$AA$257,19,FALSE))</f>
        <v/>
      </c>
      <c r="R115" s="498" t="str">
        <f>IF(N115="","",VLOOKUP(N115,'G-7 Rivers Data'!$B$2:$G$8,2,FALSE))</f>
        <v/>
      </c>
      <c r="S115" s="499" t="str">
        <f>IFERROR(VLOOKUP(R115,'G-7 Rivers Data'!$C$4:$D$8,2,FALSE),"")</f>
        <v/>
      </c>
      <c r="T115" s="145"/>
      <c r="U115" s="499" t="str">
        <f>IFERROR(INDEX('G-7 Rivers Data'!$H$4:$L$8,MATCH(N115,'G-7 Rivers Data'!$B$4:$B$8,0),MATCH(T115,'G-7 Rivers Data'!$H$3:$L$3,0)),"")</f>
        <v/>
      </c>
      <c r="V115" s="154"/>
      <c r="W115" s="520" t="str">
        <f>IF(V115="","",IF(VLOOKUP(V115,'G-7 Rivers Data'!$AG$4:$AI$9,2,FALSE)=0,"Spatial Data Missing ⚠",VLOOKUP(V115,'G-7 Rivers Data'!$AG$4:$AI$9,2,FALSE)))</f>
        <v/>
      </c>
      <c r="X115" s="524" t="str">
        <f>IF(V115="","",IF(VLOOKUP(V115,'G-7 Rivers Data'!$AG$4:$AI$9,3,FALSE)=0,"Spatial Data Missing ⚠",VLOOKUP(V115,'G-7 Rivers Data'!$AG$4:$AI$9,3,FALSE)))</f>
        <v/>
      </c>
      <c r="Y115" s="537" t="str">
        <f>IFERROR(IF(OR(LEFT(P115,5)="Error ▲",LEFT(O115,5)="Error ▲"),"Check Data ⚠",IF(F115&lt;S115,'G-7 Rivers Data'!$R$3,INDEX('G-7 Rivers Data'!$U$5:$Y$9,MATCH(G115,'G-7 Rivers Data'!$T$5:$T$9,0),MATCH(T115,'G-7 Rivers Data'!$U$4:$Y$4,0)))),"")</f>
        <v/>
      </c>
      <c r="Z115" s="203"/>
      <c r="AA115" s="203"/>
      <c r="AB115" s="534" t="str">
        <f t="shared" si="8"/>
        <v/>
      </c>
      <c r="AC115" s="521" t="str">
        <f t="shared" si="9"/>
        <v/>
      </c>
      <c r="AD115" s="564" t="str">
        <f>IFERROR(IF(AC115="Check Data ⚠","Check Data ⚠",VLOOKUP(AC115,'G-4 Temporal multipliers'!$A$4:$C$37,3,FALSE)),"")</f>
        <v/>
      </c>
      <c r="AE115" s="537" t="str">
        <f>IF(N115="","",VLOOKUP(N115,'G-7 Rivers Data'!$B$4:$G$8,5,FALSE))</f>
        <v/>
      </c>
      <c r="AF115" s="520" t="str">
        <f t="shared" si="10"/>
        <v/>
      </c>
      <c r="AG115" s="520" t="str">
        <f t="shared" si="14"/>
        <v/>
      </c>
      <c r="AH115" s="524" t="str">
        <f t="shared" si="11"/>
        <v/>
      </c>
      <c r="AI115" s="145"/>
      <c r="AJ115" s="499" t="str">
        <f>IF(AI115="","",IF(VLOOKUP(AI115,'G-7 Rivers Data'!$AA$4:$AB$7,2,FALSE)=0,"Spatial Data Missing ⚠",VLOOKUP(AI115,'G-7 Rivers Data'!$AA$4:$AB$7,2,FALSE)))</f>
        <v/>
      </c>
      <c r="AK115" s="155"/>
      <c r="AL115" s="536" t="str">
        <f>IF(AK115="","",IF(VLOOKUP(AK115,'G-7 Rivers Data'!$AD$4:$AE$8,2,FALSE)=0,"Spatial Data Missing ⚠",VLOOKUP(AK115,'G-7 Rivers Data'!$AD$4:$AE$8,2,FALSE)))</f>
        <v/>
      </c>
      <c r="AM115" s="154"/>
      <c r="AN115" s="524" t="str">
        <f>IF(AM115="","",VLOOKUP(AM115,'G-7 Rivers Data'!$AO$4:$AP$7,2,FALSE))</f>
        <v/>
      </c>
      <c r="AO115" s="545" t="str">
        <f t="shared" si="15"/>
        <v/>
      </c>
      <c r="AP115" s="149"/>
      <c r="AQ115" s="150"/>
      <c r="AX115" s="31" t="str">
        <f>IFERROR(INDEX('G-7 Rivers Data'!$AZ$3:$AZ$7,MATCH(N115,'G-7 Rivers Data'!$AY$3:$AY$7,0)),"")</f>
        <v/>
      </c>
    </row>
    <row r="116" spans="2:50" ht="13.8" x14ac:dyDescent="0.25">
      <c r="B116" s="531" t="str">
        <f>'F-1 Off Site River Baseline'!AN114</f>
        <v/>
      </c>
      <c r="C116" s="520" t="str">
        <f>IF(B116="","",VLOOKUP($B116,'F-1 Off Site River Baseline'!$C$9:$R$257,2,FALSE))</f>
        <v/>
      </c>
      <c r="D116" s="520" t="str">
        <f>IF(C116="","",VLOOKUP($B116,'F-1 Off Site River Baseline'!$C$9:$R$257,3,FALSE))</f>
        <v/>
      </c>
      <c r="E116" s="520" t="str">
        <f>IF(D116="","",VLOOKUP($B116,'F-1 Off Site River Baseline'!$C$9:$R$257,4,FALSE))</f>
        <v/>
      </c>
      <c r="F116" s="520" t="str">
        <f>IF(E116="","",VLOOKUP($B116,'F-1 Off Site River Baseline'!$C$9:$R$257,5,FALSE))</f>
        <v/>
      </c>
      <c r="G116" s="520" t="str">
        <f>IF(F116="","",VLOOKUP($B116,'F-1 Off Site River Baseline'!$C$9:$R$257,6,FALSE))</f>
        <v/>
      </c>
      <c r="H116" s="520" t="str">
        <f>IF(G116="","",VLOOKUP($B116,'F-1 Off Site River Baseline'!$C$9:$R$257,7,FALSE))</f>
        <v/>
      </c>
      <c r="I116" s="520" t="str">
        <f>IF(H116="","",VLOOKUP($B116,'F-1 Off Site River Baseline'!$C$9:$R$257,8,FALSE))</f>
        <v/>
      </c>
      <c r="J116" s="520" t="str">
        <f>IF(I116="","",VLOOKUP($B116,'F-1 Off Site River Baseline'!$C$9:$R$257,9,FALSE))</f>
        <v/>
      </c>
      <c r="K116" s="520" t="str">
        <f>IF(J116="","",VLOOKUP($B116,'F-1 Off Site River Baseline'!$C$9:$R$257,10,FALSE))</f>
        <v/>
      </c>
      <c r="L116" s="520" t="str">
        <f>IF(B116="","",VLOOKUP($B116,'C-1 Site River Baseline'!$C$9:$R$257,15,FALSE))</f>
        <v/>
      </c>
      <c r="M116" s="524" t="str">
        <f>IF(L116="","",VLOOKUP($B116,'F-1 Off Site River Baseline'!$C$9:$R$257,16,FALSE))</f>
        <v/>
      </c>
      <c r="N116" s="418" t="str">
        <f t="shared" si="12"/>
        <v/>
      </c>
      <c r="O116" s="498" t="str">
        <f t="shared" si="13"/>
        <v/>
      </c>
      <c r="P116" s="499" t="str">
        <f>IF(C116="","",IF(AND(LEFT(C116,55)&lt;&gt;LEFT(N116,55),O116="High - High"),"Error - Not like for like ▲",IF(AND(F116=S116,H116&gt;U116),"Error - Can not reduce condition ▲",IF(AND(F116=S116,H116=U116,AJ116='F-1 Off Site River Baseline'!N114,'F-1 Off Site River Baseline'!P114=AL116),"Error - No enhancement ▲",IF(AND(C116&lt;&gt;N116,F116&lt;S116),"Lower Distinctiveness Habitat"&amp;" - "&amp;T116,G116&amp;" - "&amp;T116)))))</f>
        <v/>
      </c>
      <c r="Q116" s="505" t="str">
        <f>IF(N116="","",VLOOKUP(B116,'F-1 Off Site River Baseline'!$C$10:$AA$257,19,FALSE))</f>
        <v/>
      </c>
      <c r="R116" s="498" t="str">
        <f>IF(N116="","",VLOOKUP(N116,'G-7 Rivers Data'!$B$2:$G$8,2,FALSE))</f>
        <v/>
      </c>
      <c r="S116" s="499" t="str">
        <f>IFERROR(VLOOKUP(R116,'G-7 Rivers Data'!$C$4:$D$8,2,FALSE),"")</f>
        <v/>
      </c>
      <c r="T116" s="145"/>
      <c r="U116" s="499" t="str">
        <f>IFERROR(INDEX('G-7 Rivers Data'!$H$4:$L$8,MATCH(N116,'G-7 Rivers Data'!$B$4:$B$8,0),MATCH(T116,'G-7 Rivers Data'!$H$3:$L$3,0)),"")</f>
        <v/>
      </c>
      <c r="V116" s="154"/>
      <c r="W116" s="520" t="str">
        <f>IF(V116="","",IF(VLOOKUP(V116,'G-7 Rivers Data'!$AG$4:$AI$9,2,FALSE)=0,"Spatial Data Missing ⚠",VLOOKUP(V116,'G-7 Rivers Data'!$AG$4:$AI$9,2,FALSE)))</f>
        <v/>
      </c>
      <c r="X116" s="524" t="str">
        <f>IF(V116="","",IF(VLOOKUP(V116,'G-7 Rivers Data'!$AG$4:$AI$9,3,FALSE)=0,"Spatial Data Missing ⚠",VLOOKUP(V116,'G-7 Rivers Data'!$AG$4:$AI$9,3,FALSE)))</f>
        <v/>
      </c>
      <c r="Y116" s="537" t="str">
        <f>IFERROR(IF(OR(LEFT(P116,5)="Error ▲",LEFT(O116,5)="Error ▲"),"Check Data ⚠",IF(F116&lt;S116,'G-7 Rivers Data'!$R$3,INDEX('G-7 Rivers Data'!$U$5:$Y$9,MATCH(G116,'G-7 Rivers Data'!$T$5:$T$9,0),MATCH(T116,'G-7 Rivers Data'!$U$4:$Y$4,0)))),"")</f>
        <v/>
      </c>
      <c r="Z116" s="203"/>
      <c r="AA116" s="203"/>
      <c r="AB116" s="534" t="str">
        <f t="shared" si="8"/>
        <v/>
      </c>
      <c r="AC116" s="521" t="str">
        <f t="shared" si="9"/>
        <v/>
      </c>
      <c r="AD116" s="564" t="str">
        <f>IFERROR(IF(AC116="Check Data ⚠","Check Data ⚠",VLOOKUP(AC116,'G-4 Temporal multipliers'!$A$4:$C$37,3,FALSE)),"")</f>
        <v/>
      </c>
      <c r="AE116" s="537" t="str">
        <f>IF(N116="","",VLOOKUP(N116,'G-7 Rivers Data'!$B$4:$G$8,5,FALSE))</f>
        <v/>
      </c>
      <c r="AF116" s="520" t="str">
        <f t="shared" si="10"/>
        <v/>
      </c>
      <c r="AG116" s="520" t="str">
        <f t="shared" si="14"/>
        <v/>
      </c>
      <c r="AH116" s="524" t="str">
        <f t="shared" si="11"/>
        <v/>
      </c>
      <c r="AI116" s="145"/>
      <c r="AJ116" s="499" t="str">
        <f>IF(AI116="","",IF(VLOOKUP(AI116,'G-7 Rivers Data'!$AA$4:$AB$7,2,FALSE)=0,"Spatial Data Missing ⚠",VLOOKUP(AI116,'G-7 Rivers Data'!$AA$4:$AB$7,2,FALSE)))</f>
        <v/>
      </c>
      <c r="AK116" s="155"/>
      <c r="AL116" s="536" t="str">
        <f>IF(AK116="","",IF(VLOOKUP(AK116,'G-7 Rivers Data'!$AD$4:$AE$8,2,FALSE)=0,"Spatial Data Missing ⚠",VLOOKUP(AK116,'G-7 Rivers Data'!$AD$4:$AE$8,2,FALSE)))</f>
        <v/>
      </c>
      <c r="AM116" s="154"/>
      <c r="AN116" s="524" t="str">
        <f>IF(AM116="","",VLOOKUP(AM116,'G-7 Rivers Data'!$AO$4:$AP$7,2,FALSE))</f>
        <v/>
      </c>
      <c r="AO116" s="545" t="str">
        <f t="shared" si="15"/>
        <v/>
      </c>
      <c r="AP116" s="149"/>
      <c r="AQ116" s="150"/>
      <c r="AX116" s="31" t="str">
        <f>IFERROR(INDEX('G-7 Rivers Data'!$AZ$3:$AZ$7,MATCH(N116,'G-7 Rivers Data'!$AY$3:$AY$7,0)),"")</f>
        <v/>
      </c>
    </row>
    <row r="117" spans="2:50" ht="13.8" x14ac:dyDescent="0.25">
      <c r="B117" s="531" t="str">
        <f>'F-1 Off Site River Baseline'!AN115</f>
        <v/>
      </c>
      <c r="C117" s="520" t="str">
        <f>IF(B117="","",VLOOKUP($B117,'F-1 Off Site River Baseline'!$C$9:$R$257,2,FALSE))</f>
        <v/>
      </c>
      <c r="D117" s="520" t="str">
        <f>IF(C117="","",VLOOKUP($B117,'F-1 Off Site River Baseline'!$C$9:$R$257,3,FALSE))</f>
        <v/>
      </c>
      <c r="E117" s="520" t="str">
        <f>IF(D117="","",VLOOKUP($B117,'F-1 Off Site River Baseline'!$C$9:$R$257,4,FALSE))</f>
        <v/>
      </c>
      <c r="F117" s="520" t="str">
        <f>IF(E117="","",VLOOKUP($B117,'F-1 Off Site River Baseline'!$C$9:$R$257,5,FALSE))</f>
        <v/>
      </c>
      <c r="G117" s="520" t="str">
        <f>IF(F117="","",VLOOKUP($B117,'F-1 Off Site River Baseline'!$C$9:$R$257,6,FALSE))</f>
        <v/>
      </c>
      <c r="H117" s="520" t="str">
        <f>IF(G117="","",VLOOKUP($B117,'F-1 Off Site River Baseline'!$C$9:$R$257,7,FALSE))</f>
        <v/>
      </c>
      <c r="I117" s="520" t="str">
        <f>IF(H117="","",VLOOKUP($B117,'F-1 Off Site River Baseline'!$C$9:$R$257,8,FALSE))</f>
        <v/>
      </c>
      <c r="J117" s="520" t="str">
        <f>IF(I117="","",VLOOKUP($B117,'F-1 Off Site River Baseline'!$C$9:$R$257,9,FALSE))</f>
        <v/>
      </c>
      <c r="K117" s="520" t="str">
        <f>IF(J117="","",VLOOKUP($B117,'F-1 Off Site River Baseline'!$C$9:$R$257,10,FALSE))</f>
        <v/>
      </c>
      <c r="L117" s="520" t="str">
        <f>IF(B117="","",VLOOKUP($B117,'C-1 Site River Baseline'!$C$9:$R$257,15,FALSE))</f>
        <v/>
      </c>
      <c r="M117" s="524" t="str">
        <f>IF(L117="","",VLOOKUP($B117,'F-1 Off Site River Baseline'!$C$9:$R$257,16,FALSE))</f>
        <v/>
      </c>
      <c r="N117" s="418" t="str">
        <f t="shared" si="12"/>
        <v/>
      </c>
      <c r="O117" s="498" t="str">
        <f t="shared" si="13"/>
        <v/>
      </c>
      <c r="P117" s="499" t="str">
        <f>IF(C117="","",IF(AND(LEFT(C117,55)&lt;&gt;LEFT(N117,55),O117="High - High"),"Error - Not like for like ▲",IF(AND(F117=S117,H117&gt;U117),"Error - Can not reduce condition ▲",IF(AND(F117=S117,H117=U117,AJ117='F-1 Off Site River Baseline'!N115,'F-1 Off Site River Baseline'!P115=AL117),"Error - No enhancement ▲",IF(AND(C117&lt;&gt;N117,F117&lt;S117),"Lower Distinctiveness Habitat"&amp;" - "&amp;T117,G117&amp;" - "&amp;T117)))))</f>
        <v/>
      </c>
      <c r="Q117" s="505" t="str">
        <f>IF(N117="","",VLOOKUP(B117,'F-1 Off Site River Baseline'!$C$10:$AA$257,19,FALSE))</f>
        <v/>
      </c>
      <c r="R117" s="498" t="str">
        <f>IF(N117="","",VLOOKUP(N117,'G-7 Rivers Data'!$B$2:$G$8,2,FALSE))</f>
        <v/>
      </c>
      <c r="S117" s="499" t="str">
        <f>IFERROR(VLOOKUP(R117,'G-7 Rivers Data'!$C$4:$D$8,2,FALSE),"")</f>
        <v/>
      </c>
      <c r="T117" s="145"/>
      <c r="U117" s="499" t="str">
        <f>IFERROR(INDEX('G-7 Rivers Data'!$H$4:$L$8,MATCH(N117,'G-7 Rivers Data'!$B$4:$B$8,0),MATCH(T117,'G-7 Rivers Data'!$H$3:$L$3,0)),"")</f>
        <v/>
      </c>
      <c r="V117" s="154"/>
      <c r="W117" s="520" t="str">
        <f>IF(V117="","",IF(VLOOKUP(V117,'G-7 Rivers Data'!$AG$4:$AI$9,2,FALSE)=0,"Spatial Data Missing ⚠",VLOOKUP(V117,'G-7 Rivers Data'!$AG$4:$AI$9,2,FALSE)))</f>
        <v/>
      </c>
      <c r="X117" s="524" t="str">
        <f>IF(V117="","",IF(VLOOKUP(V117,'G-7 Rivers Data'!$AG$4:$AI$9,3,FALSE)=0,"Spatial Data Missing ⚠",VLOOKUP(V117,'G-7 Rivers Data'!$AG$4:$AI$9,3,FALSE)))</f>
        <v/>
      </c>
      <c r="Y117" s="537" t="str">
        <f>IFERROR(IF(OR(LEFT(P117,5)="Error ▲",LEFT(O117,5)="Error ▲"),"Check Data ⚠",IF(F117&lt;S117,'G-7 Rivers Data'!$R$3,INDEX('G-7 Rivers Data'!$U$5:$Y$9,MATCH(G117,'G-7 Rivers Data'!$T$5:$T$9,0),MATCH(T117,'G-7 Rivers Data'!$U$4:$Y$4,0)))),"")</f>
        <v/>
      </c>
      <c r="Z117" s="203"/>
      <c r="AA117" s="203"/>
      <c r="AB117" s="534" t="str">
        <f t="shared" si="8"/>
        <v/>
      </c>
      <c r="AC117" s="521" t="str">
        <f t="shared" si="9"/>
        <v/>
      </c>
      <c r="AD117" s="564" t="str">
        <f>IFERROR(IF(AC117="Check Data ⚠","Check Data ⚠",VLOOKUP(AC117,'G-4 Temporal multipliers'!$A$4:$C$37,3,FALSE)),"")</f>
        <v/>
      </c>
      <c r="AE117" s="537" t="str">
        <f>IF(N117="","",VLOOKUP(N117,'G-7 Rivers Data'!$B$4:$G$8,5,FALSE))</f>
        <v/>
      </c>
      <c r="AF117" s="520" t="str">
        <f t="shared" si="10"/>
        <v/>
      </c>
      <c r="AG117" s="520" t="str">
        <f t="shared" si="14"/>
        <v/>
      </c>
      <c r="AH117" s="524" t="str">
        <f t="shared" si="11"/>
        <v/>
      </c>
      <c r="AI117" s="145"/>
      <c r="AJ117" s="499" t="str">
        <f>IF(AI117="","",IF(VLOOKUP(AI117,'G-7 Rivers Data'!$AA$4:$AB$7,2,FALSE)=0,"Spatial Data Missing ⚠",VLOOKUP(AI117,'G-7 Rivers Data'!$AA$4:$AB$7,2,FALSE)))</f>
        <v/>
      </c>
      <c r="AK117" s="155"/>
      <c r="AL117" s="536" t="str">
        <f>IF(AK117="","",IF(VLOOKUP(AK117,'G-7 Rivers Data'!$AD$4:$AE$8,2,FALSE)=0,"Spatial Data Missing ⚠",VLOOKUP(AK117,'G-7 Rivers Data'!$AD$4:$AE$8,2,FALSE)))</f>
        <v/>
      </c>
      <c r="AM117" s="154"/>
      <c r="AN117" s="524" t="str">
        <f>IF(AM117="","",VLOOKUP(AM117,'G-7 Rivers Data'!$AO$4:$AP$7,2,FALSE))</f>
        <v/>
      </c>
      <c r="AO117" s="545" t="str">
        <f t="shared" si="15"/>
        <v/>
      </c>
      <c r="AP117" s="149"/>
      <c r="AQ117" s="150"/>
      <c r="AX117" s="31" t="str">
        <f>IFERROR(INDEX('G-7 Rivers Data'!$AZ$3:$AZ$7,MATCH(N117,'G-7 Rivers Data'!$AY$3:$AY$7,0)),"")</f>
        <v/>
      </c>
    </row>
    <row r="118" spans="2:50" ht="13.8" x14ac:dyDescent="0.25">
      <c r="B118" s="531" t="str">
        <f>'F-1 Off Site River Baseline'!AN116</f>
        <v/>
      </c>
      <c r="C118" s="520" t="str">
        <f>IF(B118="","",VLOOKUP($B118,'F-1 Off Site River Baseline'!$C$9:$R$257,2,FALSE))</f>
        <v/>
      </c>
      <c r="D118" s="520" t="str">
        <f>IF(C118="","",VLOOKUP($B118,'F-1 Off Site River Baseline'!$C$9:$R$257,3,FALSE))</f>
        <v/>
      </c>
      <c r="E118" s="520" t="str">
        <f>IF(D118="","",VLOOKUP($B118,'F-1 Off Site River Baseline'!$C$9:$R$257,4,FALSE))</f>
        <v/>
      </c>
      <c r="F118" s="520" t="str">
        <f>IF(E118="","",VLOOKUP($B118,'F-1 Off Site River Baseline'!$C$9:$R$257,5,FALSE))</f>
        <v/>
      </c>
      <c r="G118" s="520" t="str">
        <f>IF(F118="","",VLOOKUP($B118,'F-1 Off Site River Baseline'!$C$9:$R$257,6,FALSE))</f>
        <v/>
      </c>
      <c r="H118" s="520" t="str">
        <f>IF(G118="","",VLOOKUP($B118,'F-1 Off Site River Baseline'!$C$9:$R$257,7,FALSE))</f>
        <v/>
      </c>
      <c r="I118" s="520" t="str">
        <f>IF(H118="","",VLOOKUP($B118,'F-1 Off Site River Baseline'!$C$9:$R$257,8,FALSE))</f>
        <v/>
      </c>
      <c r="J118" s="520" t="str">
        <f>IF(I118="","",VLOOKUP($B118,'F-1 Off Site River Baseline'!$C$9:$R$257,9,FALSE))</f>
        <v/>
      </c>
      <c r="K118" s="520" t="str">
        <f>IF(J118="","",VLOOKUP($B118,'F-1 Off Site River Baseline'!$C$9:$R$257,10,FALSE))</f>
        <v/>
      </c>
      <c r="L118" s="520" t="str">
        <f>IF(B118="","",VLOOKUP($B118,'C-1 Site River Baseline'!$C$9:$R$257,15,FALSE))</f>
        <v/>
      </c>
      <c r="M118" s="524" t="str">
        <f>IF(L118="","",VLOOKUP($B118,'F-1 Off Site River Baseline'!$C$9:$R$257,16,FALSE))</f>
        <v/>
      </c>
      <c r="N118" s="418" t="str">
        <f t="shared" si="12"/>
        <v/>
      </c>
      <c r="O118" s="498" t="str">
        <f t="shared" si="13"/>
        <v/>
      </c>
      <c r="P118" s="499" t="str">
        <f>IF(C118="","",IF(AND(LEFT(C118,55)&lt;&gt;LEFT(N118,55),O118="High - High"),"Error - Not like for like ▲",IF(AND(F118=S118,H118&gt;U118),"Error - Can not reduce condition ▲",IF(AND(F118=S118,H118=U118,AJ118='F-1 Off Site River Baseline'!N116,'F-1 Off Site River Baseline'!P116=AL118),"Error - No enhancement ▲",IF(AND(C118&lt;&gt;N118,F118&lt;S118),"Lower Distinctiveness Habitat"&amp;" - "&amp;T118,G118&amp;" - "&amp;T118)))))</f>
        <v/>
      </c>
      <c r="Q118" s="505" t="str">
        <f>IF(N118="","",VLOOKUP(B118,'F-1 Off Site River Baseline'!$C$10:$AA$257,19,FALSE))</f>
        <v/>
      </c>
      <c r="R118" s="498" t="str">
        <f>IF(N118="","",VLOOKUP(N118,'G-7 Rivers Data'!$B$2:$G$8,2,FALSE))</f>
        <v/>
      </c>
      <c r="S118" s="499" t="str">
        <f>IFERROR(VLOOKUP(R118,'G-7 Rivers Data'!$C$4:$D$8,2,FALSE),"")</f>
        <v/>
      </c>
      <c r="T118" s="145"/>
      <c r="U118" s="499" t="str">
        <f>IFERROR(INDEX('G-7 Rivers Data'!$H$4:$L$8,MATCH(N118,'G-7 Rivers Data'!$B$4:$B$8,0),MATCH(T118,'G-7 Rivers Data'!$H$3:$L$3,0)),"")</f>
        <v/>
      </c>
      <c r="V118" s="154"/>
      <c r="W118" s="520" t="str">
        <f>IF(V118="","",IF(VLOOKUP(V118,'G-7 Rivers Data'!$AG$4:$AI$9,2,FALSE)=0,"Spatial Data Missing ⚠",VLOOKUP(V118,'G-7 Rivers Data'!$AG$4:$AI$9,2,FALSE)))</f>
        <v/>
      </c>
      <c r="X118" s="524" t="str">
        <f>IF(V118="","",IF(VLOOKUP(V118,'G-7 Rivers Data'!$AG$4:$AI$9,3,FALSE)=0,"Spatial Data Missing ⚠",VLOOKUP(V118,'G-7 Rivers Data'!$AG$4:$AI$9,3,FALSE)))</f>
        <v/>
      </c>
      <c r="Y118" s="537" t="str">
        <f>IFERROR(IF(OR(LEFT(P118,5)="Error ▲",LEFT(O118,5)="Error ▲"),"Check Data ⚠",IF(F118&lt;S118,'G-7 Rivers Data'!$R$3,INDEX('G-7 Rivers Data'!$U$5:$Y$9,MATCH(G118,'G-7 Rivers Data'!$T$5:$T$9,0),MATCH(T118,'G-7 Rivers Data'!$U$4:$Y$4,0)))),"")</f>
        <v/>
      </c>
      <c r="Z118" s="203"/>
      <c r="AA118" s="203"/>
      <c r="AB118" s="534" t="str">
        <f t="shared" si="8"/>
        <v/>
      </c>
      <c r="AC118" s="521" t="str">
        <f t="shared" si="9"/>
        <v/>
      </c>
      <c r="AD118" s="564" t="str">
        <f>IFERROR(IF(AC118="Check Data ⚠","Check Data ⚠",VLOOKUP(AC118,'G-4 Temporal multipliers'!$A$4:$C$37,3,FALSE)),"")</f>
        <v/>
      </c>
      <c r="AE118" s="537" t="str">
        <f>IF(N118="","",VLOOKUP(N118,'G-7 Rivers Data'!$B$4:$G$8,5,FALSE))</f>
        <v/>
      </c>
      <c r="AF118" s="520" t="str">
        <f t="shared" si="10"/>
        <v/>
      </c>
      <c r="AG118" s="520" t="str">
        <f t="shared" si="14"/>
        <v/>
      </c>
      <c r="AH118" s="524" t="str">
        <f t="shared" si="11"/>
        <v/>
      </c>
      <c r="AI118" s="145"/>
      <c r="AJ118" s="499" t="str">
        <f>IF(AI118="","",IF(VLOOKUP(AI118,'G-7 Rivers Data'!$AA$4:$AB$7,2,FALSE)=0,"Spatial Data Missing ⚠",VLOOKUP(AI118,'G-7 Rivers Data'!$AA$4:$AB$7,2,FALSE)))</f>
        <v/>
      </c>
      <c r="AK118" s="155"/>
      <c r="AL118" s="536" t="str">
        <f>IF(AK118="","",IF(VLOOKUP(AK118,'G-7 Rivers Data'!$AD$4:$AE$8,2,FALSE)=0,"Spatial Data Missing ⚠",VLOOKUP(AK118,'G-7 Rivers Data'!$AD$4:$AE$8,2,FALSE)))</f>
        <v/>
      </c>
      <c r="AM118" s="154"/>
      <c r="AN118" s="524" t="str">
        <f>IF(AM118="","",VLOOKUP(AM118,'G-7 Rivers Data'!$AO$4:$AP$7,2,FALSE))</f>
        <v/>
      </c>
      <c r="AO118" s="545" t="str">
        <f t="shared" si="15"/>
        <v/>
      </c>
      <c r="AP118" s="149"/>
      <c r="AQ118" s="150"/>
      <c r="AX118" s="31" t="str">
        <f>IFERROR(INDEX('G-7 Rivers Data'!$AZ$3:$AZ$7,MATCH(N118,'G-7 Rivers Data'!$AY$3:$AY$7,0)),"")</f>
        <v/>
      </c>
    </row>
    <row r="119" spans="2:50" ht="13.8" x14ac:dyDescent="0.25">
      <c r="B119" s="531" t="str">
        <f>'F-1 Off Site River Baseline'!AN117</f>
        <v/>
      </c>
      <c r="C119" s="520" t="str">
        <f>IF(B119="","",VLOOKUP($B119,'F-1 Off Site River Baseline'!$C$9:$R$257,2,FALSE))</f>
        <v/>
      </c>
      <c r="D119" s="520" t="str">
        <f>IF(C119="","",VLOOKUP($B119,'F-1 Off Site River Baseline'!$C$9:$R$257,3,FALSE))</f>
        <v/>
      </c>
      <c r="E119" s="520" t="str">
        <f>IF(D119="","",VLOOKUP($B119,'F-1 Off Site River Baseline'!$C$9:$R$257,4,FALSE))</f>
        <v/>
      </c>
      <c r="F119" s="520" t="str">
        <f>IF(E119="","",VLOOKUP($B119,'F-1 Off Site River Baseline'!$C$9:$R$257,5,FALSE))</f>
        <v/>
      </c>
      <c r="G119" s="520" t="str">
        <f>IF(F119="","",VLOOKUP($B119,'F-1 Off Site River Baseline'!$C$9:$R$257,6,FALSE))</f>
        <v/>
      </c>
      <c r="H119" s="520" t="str">
        <f>IF(G119="","",VLOOKUP($B119,'F-1 Off Site River Baseline'!$C$9:$R$257,7,FALSE))</f>
        <v/>
      </c>
      <c r="I119" s="520" t="str">
        <f>IF(H119="","",VLOOKUP($B119,'F-1 Off Site River Baseline'!$C$9:$R$257,8,FALSE))</f>
        <v/>
      </c>
      <c r="J119" s="520" t="str">
        <f>IF(I119="","",VLOOKUP($B119,'F-1 Off Site River Baseline'!$C$9:$R$257,9,FALSE))</f>
        <v/>
      </c>
      <c r="K119" s="520" t="str">
        <f>IF(J119="","",VLOOKUP($B119,'F-1 Off Site River Baseline'!$C$9:$R$257,10,FALSE))</f>
        <v/>
      </c>
      <c r="L119" s="520" t="str">
        <f>IF(B119="","",VLOOKUP($B119,'C-1 Site River Baseline'!$C$9:$R$257,15,FALSE))</f>
        <v/>
      </c>
      <c r="M119" s="524" t="str">
        <f>IF(L119="","",VLOOKUP($B119,'F-1 Off Site River Baseline'!$C$9:$R$257,16,FALSE))</f>
        <v/>
      </c>
      <c r="N119" s="418" t="str">
        <f t="shared" si="12"/>
        <v/>
      </c>
      <c r="O119" s="498" t="str">
        <f t="shared" si="13"/>
        <v/>
      </c>
      <c r="P119" s="499" t="str">
        <f>IF(C119="","",IF(AND(LEFT(C119,55)&lt;&gt;LEFT(N119,55),O119="High - High"),"Error - Not like for like ▲",IF(AND(F119=S119,H119&gt;U119),"Error - Can not reduce condition ▲",IF(AND(F119=S119,H119=U119,AJ119='F-1 Off Site River Baseline'!N117,'F-1 Off Site River Baseline'!P117=AL119),"Error - No enhancement ▲",IF(AND(C119&lt;&gt;N119,F119&lt;S119),"Lower Distinctiveness Habitat"&amp;" - "&amp;T119,G119&amp;" - "&amp;T119)))))</f>
        <v/>
      </c>
      <c r="Q119" s="505" t="str">
        <f>IF(N119="","",VLOOKUP(B119,'F-1 Off Site River Baseline'!$C$10:$AA$257,19,FALSE))</f>
        <v/>
      </c>
      <c r="R119" s="498" t="str">
        <f>IF(N119="","",VLOOKUP(N119,'G-7 Rivers Data'!$B$2:$G$8,2,FALSE))</f>
        <v/>
      </c>
      <c r="S119" s="499" t="str">
        <f>IFERROR(VLOOKUP(R119,'G-7 Rivers Data'!$C$4:$D$8,2,FALSE),"")</f>
        <v/>
      </c>
      <c r="T119" s="145"/>
      <c r="U119" s="499" t="str">
        <f>IFERROR(INDEX('G-7 Rivers Data'!$H$4:$L$8,MATCH(N119,'G-7 Rivers Data'!$B$4:$B$8,0),MATCH(T119,'G-7 Rivers Data'!$H$3:$L$3,0)),"")</f>
        <v/>
      </c>
      <c r="V119" s="154"/>
      <c r="W119" s="520" t="str">
        <f>IF(V119="","",IF(VLOOKUP(V119,'G-7 Rivers Data'!$AG$4:$AI$9,2,FALSE)=0,"Spatial Data Missing ⚠",VLOOKUP(V119,'G-7 Rivers Data'!$AG$4:$AI$9,2,FALSE)))</f>
        <v/>
      </c>
      <c r="X119" s="524" t="str">
        <f>IF(V119="","",IF(VLOOKUP(V119,'G-7 Rivers Data'!$AG$4:$AI$9,3,FALSE)=0,"Spatial Data Missing ⚠",VLOOKUP(V119,'G-7 Rivers Data'!$AG$4:$AI$9,3,FALSE)))</f>
        <v/>
      </c>
      <c r="Y119" s="537" t="str">
        <f>IFERROR(IF(OR(LEFT(P119,5)="Error ▲",LEFT(O119,5)="Error ▲"),"Check Data ⚠",IF(F119&lt;S119,'G-7 Rivers Data'!$R$3,INDEX('G-7 Rivers Data'!$U$5:$Y$9,MATCH(G119,'G-7 Rivers Data'!$T$5:$T$9,0),MATCH(T119,'G-7 Rivers Data'!$U$4:$Y$4,0)))),"")</f>
        <v/>
      </c>
      <c r="Z119" s="203"/>
      <c r="AA119" s="203"/>
      <c r="AB119" s="534" t="str">
        <f t="shared" si="8"/>
        <v/>
      </c>
      <c r="AC119" s="521" t="str">
        <f t="shared" si="9"/>
        <v/>
      </c>
      <c r="AD119" s="564" t="str">
        <f>IFERROR(IF(AC119="Check Data ⚠","Check Data ⚠",VLOOKUP(AC119,'G-4 Temporal multipliers'!$A$4:$C$37,3,FALSE)),"")</f>
        <v/>
      </c>
      <c r="AE119" s="537" t="str">
        <f>IF(N119="","",VLOOKUP(N119,'G-7 Rivers Data'!$B$4:$G$8,5,FALSE))</f>
        <v/>
      </c>
      <c r="AF119" s="520" t="str">
        <f t="shared" si="10"/>
        <v/>
      </c>
      <c r="AG119" s="520" t="str">
        <f t="shared" si="14"/>
        <v/>
      </c>
      <c r="AH119" s="524" t="str">
        <f t="shared" si="11"/>
        <v/>
      </c>
      <c r="AI119" s="145"/>
      <c r="AJ119" s="499" t="str">
        <f>IF(AI119="","",IF(VLOOKUP(AI119,'G-7 Rivers Data'!$AA$4:$AB$7,2,FALSE)=0,"Spatial Data Missing ⚠",VLOOKUP(AI119,'G-7 Rivers Data'!$AA$4:$AB$7,2,FALSE)))</f>
        <v/>
      </c>
      <c r="AK119" s="155"/>
      <c r="AL119" s="536" t="str">
        <f>IF(AK119="","",IF(VLOOKUP(AK119,'G-7 Rivers Data'!$AD$4:$AE$8,2,FALSE)=0,"Spatial Data Missing ⚠",VLOOKUP(AK119,'G-7 Rivers Data'!$AD$4:$AE$8,2,FALSE)))</f>
        <v/>
      </c>
      <c r="AM119" s="154"/>
      <c r="AN119" s="524" t="str">
        <f>IF(AM119="","",VLOOKUP(AM119,'G-7 Rivers Data'!$AO$4:$AP$7,2,FALSE))</f>
        <v/>
      </c>
      <c r="AO119" s="545" t="str">
        <f t="shared" si="15"/>
        <v/>
      </c>
      <c r="AP119" s="149"/>
      <c r="AQ119" s="150"/>
      <c r="AX119" s="31" t="str">
        <f>IFERROR(INDEX('G-7 Rivers Data'!$AZ$3:$AZ$7,MATCH(N119,'G-7 Rivers Data'!$AY$3:$AY$7,0)),"")</f>
        <v/>
      </c>
    </row>
    <row r="120" spans="2:50" ht="13.8" x14ac:dyDescent="0.25">
      <c r="B120" s="531" t="str">
        <f>'F-1 Off Site River Baseline'!AN118</f>
        <v/>
      </c>
      <c r="C120" s="520" t="str">
        <f>IF(B120="","",VLOOKUP($B120,'F-1 Off Site River Baseline'!$C$9:$R$257,2,FALSE))</f>
        <v/>
      </c>
      <c r="D120" s="520" t="str">
        <f>IF(C120="","",VLOOKUP($B120,'F-1 Off Site River Baseline'!$C$9:$R$257,3,FALSE))</f>
        <v/>
      </c>
      <c r="E120" s="520" t="str">
        <f>IF(D120="","",VLOOKUP($B120,'F-1 Off Site River Baseline'!$C$9:$R$257,4,FALSE))</f>
        <v/>
      </c>
      <c r="F120" s="520" t="str">
        <f>IF(E120="","",VLOOKUP($B120,'F-1 Off Site River Baseline'!$C$9:$R$257,5,FALSE))</f>
        <v/>
      </c>
      <c r="G120" s="520" t="str">
        <f>IF(F120="","",VLOOKUP($B120,'F-1 Off Site River Baseline'!$C$9:$R$257,6,FALSE))</f>
        <v/>
      </c>
      <c r="H120" s="520" t="str">
        <f>IF(G120="","",VLOOKUP($B120,'F-1 Off Site River Baseline'!$C$9:$R$257,7,FALSE))</f>
        <v/>
      </c>
      <c r="I120" s="520" t="str">
        <f>IF(H120="","",VLOOKUP($B120,'F-1 Off Site River Baseline'!$C$9:$R$257,8,FALSE))</f>
        <v/>
      </c>
      <c r="J120" s="520" t="str">
        <f>IF(I120="","",VLOOKUP($B120,'F-1 Off Site River Baseline'!$C$9:$R$257,9,FALSE))</f>
        <v/>
      </c>
      <c r="K120" s="520" t="str">
        <f>IF(J120="","",VLOOKUP($B120,'F-1 Off Site River Baseline'!$C$9:$R$257,10,FALSE))</f>
        <v/>
      </c>
      <c r="L120" s="520" t="str">
        <f>IF(B120="","",VLOOKUP($B120,'C-1 Site River Baseline'!$C$9:$R$257,15,FALSE))</f>
        <v/>
      </c>
      <c r="M120" s="524" t="str">
        <f>IF(L120="","",VLOOKUP($B120,'F-1 Off Site River Baseline'!$C$9:$R$257,16,FALSE))</f>
        <v/>
      </c>
      <c r="N120" s="418" t="str">
        <f t="shared" si="12"/>
        <v/>
      </c>
      <c r="O120" s="498" t="str">
        <f t="shared" si="13"/>
        <v/>
      </c>
      <c r="P120" s="499" t="str">
        <f>IF(C120="","",IF(AND(LEFT(C120,55)&lt;&gt;LEFT(N120,55),O120="High - High"),"Error - Not like for like ▲",IF(AND(F120=S120,H120&gt;U120),"Error - Can not reduce condition ▲",IF(AND(F120=S120,H120=U120,AJ120='F-1 Off Site River Baseline'!N118,'F-1 Off Site River Baseline'!P118=AL120),"Error - No enhancement ▲",IF(AND(C120&lt;&gt;N120,F120&lt;S120),"Lower Distinctiveness Habitat"&amp;" - "&amp;T120,G120&amp;" - "&amp;T120)))))</f>
        <v/>
      </c>
      <c r="Q120" s="505" t="str">
        <f>IF(N120="","",VLOOKUP(B120,'F-1 Off Site River Baseline'!$C$10:$AA$257,19,FALSE))</f>
        <v/>
      </c>
      <c r="R120" s="498" t="str">
        <f>IF(N120="","",VLOOKUP(N120,'G-7 Rivers Data'!$B$2:$G$8,2,FALSE))</f>
        <v/>
      </c>
      <c r="S120" s="499" t="str">
        <f>IFERROR(VLOOKUP(R120,'G-7 Rivers Data'!$C$4:$D$8,2,FALSE),"")</f>
        <v/>
      </c>
      <c r="T120" s="145"/>
      <c r="U120" s="499" t="str">
        <f>IFERROR(INDEX('G-7 Rivers Data'!$H$4:$L$8,MATCH(N120,'G-7 Rivers Data'!$B$4:$B$8,0),MATCH(T120,'G-7 Rivers Data'!$H$3:$L$3,0)),"")</f>
        <v/>
      </c>
      <c r="V120" s="154"/>
      <c r="W120" s="520" t="str">
        <f>IF(V120="","",IF(VLOOKUP(V120,'G-7 Rivers Data'!$AG$4:$AI$9,2,FALSE)=0,"Spatial Data Missing ⚠",VLOOKUP(V120,'G-7 Rivers Data'!$AG$4:$AI$9,2,FALSE)))</f>
        <v/>
      </c>
      <c r="X120" s="524" t="str">
        <f>IF(V120="","",IF(VLOOKUP(V120,'G-7 Rivers Data'!$AG$4:$AI$9,3,FALSE)=0,"Spatial Data Missing ⚠",VLOOKUP(V120,'G-7 Rivers Data'!$AG$4:$AI$9,3,FALSE)))</f>
        <v/>
      </c>
      <c r="Y120" s="537" t="str">
        <f>IFERROR(IF(OR(LEFT(P120,5)="Error ▲",LEFT(O120,5)="Error ▲"),"Check Data ⚠",IF(F120&lt;S120,'G-7 Rivers Data'!$R$3,INDEX('G-7 Rivers Data'!$U$5:$Y$9,MATCH(G120,'G-7 Rivers Data'!$T$5:$T$9,0),MATCH(T120,'G-7 Rivers Data'!$U$4:$Y$4,0)))),"")</f>
        <v/>
      </c>
      <c r="Z120" s="203"/>
      <c r="AA120" s="203"/>
      <c r="AB120" s="534" t="str">
        <f t="shared" si="8"/>
        <v/>
      </c>
      <c r="AC120" s="521" t="str">
        <f t="shared" si="9"/>
        <v/>
      </c>
      <c r="AD120" s="564" t="str">
        <f>IFERROR(IF(AC120="Check Data ⚠","Check Data ⚠",VLOOKUP(AC120,'G-4 Temporal multipliers'!$A$4:$C$37,3,FALSE)),"")</f>
        <v/>
      </c>
      <c r="AE120" s="537" t="str">
        <f>IF(N120="","",VLOOKUP(N120,'G-7 Rivers Data'!$B$4:$G$8,5,FALSE))</f>
        <v/>
      </c>
      <c r="AF120" s="520" t="str">
        <f t="shared" si="10"/>
        <v/>
      </c>
      <c r="AG120" s="520" t="str">
        <f t="shared" si="14"/>
        <v/>
      </c>
      <c r="AH120" s="524" t="str">
        <f t="shared" si="11"/>
        <v/>
      </c>
      <c r="AI120" s="145"/>
      <c r="AJ120" s="499" t="str">
        <f>IF(AI120="","",IF(VLOOKUP(AI120,'G-7 Rivers Data'!$AA$4:$AB$7,2,FALSE)=0,"Spatial Data Missing ⚠",VLOOKUP(AI120,'G-7 Rivers Data'!$AA$4:$AB$7,2,FALSE)))</f>
        <v/>
      </c>
      <c r="AK120" s="155"/>
      <c r="AL120" s="536" t="str">
        <f>IF(AK120="","",IF(VLOOKUP(AK120,'G-7 Rivers Data'!$AD$4:$AE$8,2,FALSE)=0,"Spatial Data Missing ⚠",VLOOKUP(AK120,'G-7 Rivers Data'!$AD$4:$AE$8,2,FALSE)))</f>
        <v/>
      </c>
      <c r="AM120" s="154"/>
      <c r="AN120" s="524" t="str">
        <f>IF(AM120="","",VLOOKUP(AM120,'G-7 Rivers Data'!$AO$4:$AP$7,2,FALSE))</f>
        <v/>
      </c>
      <c r="AO120" s="545" t="str">
        <f t="shared" si="15"/>
        <v/>
      </c>
      <c r="AP120" s="149"/>
      <c r="AQ120" s="150"/>
      <c r="AX120" s="31" t="str">
        <f>IFERROR(INDEX('G-7 Rivers Data'!$AZ$3:$AZ$7,MATCH(N120,'G-7 Rivers Data'!$AY$3:$AY$7,0)),"")</f>
        <v/>
      </c>
    </row>
    <row r="121" spans="2:50" ht="13.8" x14ac:dyDescent="0.25">
      <c r="B121" s="531" t="str">
        <f>'F-1 Off Site River Baseline'!AN119</f>
        <v/>
      </c>
      <c r="C121" s="520" t="str">
        <f>IF(B121="","",VLOOKUP($B121,'F-1 Off Site River Baseline'!$C$9:$R$257,2,FALSE))</f>
        <v/>
      </c>
      <c r="D121" s="520" t="str">
        <f>IF(C121="","",VLOOKUP($B121,'F-1 Off Site River Baseline'!$C$9:$R$257,3,FALSE))</f>
        <v/>
      </c>
      <c r="E121" s="520" t="str">
        <f>IF(D121="","",VLOOKUP($B121,'F-1 Off Site River Baseline'!$C$9:$R$257,4,FALSE))</f>
        <v/>
      </c>
      <c r="F121" s="520" t="str">
        <f>IF(E121="","",VLOOKUP($B121,'F-1 Off Site River Baseline'!$C$9:$R$257,5,FALSE))</f>
        <v/>
      </c>
      <c r="G121" s="520" t="str">
        <f>IF(F121="","",VLOOKUP($B121,'F-1 Off Site River Baseline'!$C$9:$R$257,6,FALSE))</f>
        <v/>
      </c>
      <c r="H121" s="520" t="str">
        <f>IF(G121="","",VLOOKUP($B121,'F-1 Off Site River Baseline'!$C$9:$R$257,7,FALSE))</f>
        <v/>
      </c>
      <c r="I121" s="520" t="str">
        <f>IF(H121="","",VLOOKUP($B121,'F-1 Off Site River Baseline'!$C$9:$R$257,8,FALSE))</f>
        <v/>
      </c>
      <c r="J121" s="520" t="str">
        <f>IF(I121="","",VLOOKUP($B121,'F-1 Off Site River Baseline'!$C$9:$R$257,9,FALSE))</f>
        <v/>
      </c>
      <c r="K121" s="520" t="str">
        <f>IF(J121="","",VLOOKUP($B121,'F-1 Off Site River Baseline'!$C$9:$R$257,10,FALSE))</f>
        <v/>
      </c>
      <c r="L121" s="520" t="str">
        <f>IF(B121="","",VLOOKUP($B121,'C-1 Site River Baseline'!$C$9:$R$257,15,FALSE))</f>
        <v/>
      </c>
      <c r="M121" s="524" t="str">
        <f>IF(L121="","",VLOOKUP($B121,'F-1 Off Site River Baseline'!$C$9:$R$257,16,FALSE))</f>
        <v/>
      </c>
      <c r="N121" s="418" t="str">
        <f t="shared" si="12"/>
        <v/>
      </c>
      <c r="O121" s="498" t="str">
        <f t="shared" si="13"/>
        <v/>
      </c>
      <c r="P121" s="499" t="str">
        <f>IF(C121="","",IF(AND(LEFT(C121,55)&lt;&gt;LEFT(N121,55),O121="High - High"),"Error - Not like for like ▲",IF(AND(F121=S121,H121&gt;U121),"Error - Can not reduce condition ▲",IF(AND(F121=S121,H121=U121,AJ121='F-1 Off Site River Baseline'!N119,'F-1 Off Site River Baseline'!P119=AL121),"Error - No enhancement ▲",IF(AND(C121&lt;&gt;N121,F121&lt;S121),"Lower Distinctiveness Habitat"&amp;" - "&amp;T121,G121&amp;" - "&amp;T121)))))</f>
        <v/>
      </c>
      <c r="Q121" s="505" t="str">
        <f>IF(N121="","",VLOOKUP(B121,'F-1 Off Site River Baseline'!$C$10:$AA$257,19,FALSE))</f>
        <v/>
      </c>
      <c r="R121" s="498" t="str">
        <f>IF(N121="","",VLOOKUP(N121,'G-7 Rivers Data'!$B$2:$G$8,2,FALSE))</f>
        <v/>
      </c>
      <c r="S121" s="499" t="str">
        <f>IFERROR(VLOOKUP(R121,'G-7 Rivers Data'!$C$4:$D$8,2,FALSE),"")</f>
        <v/>
      </c>
      <c r="T121" s="145"/>
      <c r="U121" s="499" t="str">
        <f>IFERROR(INDEX('G-7 Rivers Data'!$H$4:$L$8,MATCH(N121,'G-7 Rivers Data'!$B$4:$B$8,0),MATCH(T121,'G-7 Rivers Data'!$H$3:$L$3,0)),"")</f>
        <v/>
      </c>
      <c r="V121" s="154"/>
      <c r="W121" s="520" t="str">
        <f>IF(V121="","",IF(VLOOKUP(V121,'G-7 Rivers Data'!$AG$4:$AI$9,2,FALSE)=0,"Spatial Data Missing ⚠",VLOOKUP(V121,'G-7 Rivers Data'!$AG$4:$AI$9,2,FALSE)))</f>
        <v/>
      </c>
      <c r="X121" s="524" t="str">
        <f>IF(V121="","",IF(VLOOKUP(V121,'G-7 Rivers Data'!$AG$4:$AI$9,3,FALSE)=0,"Spatial Data Missing ⚠",VLOOKUP(V121,'G-7 Rivers Data'!$AG$4:$AI$9,3,FALSE)))</f>
        <v/>
      </c>
      <c r="Y121" s="537" t="str">
        <f>IFERROR(IF(OR(LEFT(P121,5)="Error ▲",LEFT(O121,5)="Error ▲"),"Check Data ⚠",IF(F121&lt;S121,'G-7 Rivers Data'!$R$3,INDEX('G-7 Rivers Data'!$U$5:$Y$9,MATCH(G121,'G-7 Rivers Data'!$T$5:$T$9,0),MATCH(T121,'G-7 Rivers Data'!$U$4:$Y$4,0)))),"")</f>
        <v/>
      </c>
      <c r="Z121" s="203"/>
      <c r="AA121" s="203"/>
      <c r="AB121" s="534" t="str">
        <f t="shared" si="8"/>
        <v/>
      </c>
      <c r="AC121" s="521" t="str">
        <f t="shared" si="9"/>
        <v/>
      </c>
      <c r="AD121" s="564" t="str">
        <f>IFERROR(IF(AC121="Check Data ⚠","Check Data ⚠",VLOOKUP(AC121,'G-4 Temporal multipliers'!$A$4:$C$37,3,FALSE)),"")</f>
        <v/>
      </c>
      <c r="AE121" s="537" t="str">
        <f>IF(N121="","",VLOOKUP(N121,'G-7 Rivers Data'!$B$4:$G$8,5,FALSE))</f>
        <v/>
      </c>
      <c r="AF121" s="520" t="str">
        <f t="shared" si="10"/>
        <v/>
      </c>
      <c r="AG121" s="520" t="str">
        <f t="shared" si="14"/>
        <v/>
      </c>
      <c r="AH121" s="524" t="str">
        <f t="shared" si="11"/>
        <v/>
      </c>
      <c r="AI121" s="145"/>
      <c r="AJ121" s="499" t="str">
        <f>IF(AI121="","",IF(VLOOKUP(AI121,'G-7 Rivers Data'!$AA$4:$AB$7,2,FALSE)=0,"Spatial Data Missing ⚠",VLOOKUP(AI121,'G-7 Rivers Data'!$AA$4:$AB$7,2,FALSE)))</f>
        <v/>
      </c>
      <c r="AK121" s="155"/>
      <c r="AL121" s="536" t="str">
        <f>IF(AK121="","",IF(VLOOKUP(AK121,'G-7 Rivers Data'!$AD$4:$AE$8,2,FALSE)=0,"Spatial Data Missing ⚠",VLOOKUP(AK121,'G-7 Rivers Data'!$AD$4:$AE$8,2,FALSE)))</f>
        <v/>
      </c>
      <c r="AM121" s="154"/>
      <c r="AN121" s="524" t="str">
        <f>IF(AM121="","",VLOOKUP(AM121,'G-7 Rivers Data'!$AO$4:$AP$7,2,FALSE))</f>
        <v/>
      </c>
      <c r="AO121" s="545" t="str">
        <f t="shared" si="15"/>
        <v/>
      </c>
      <c r="AP121" s="149"/>
      <c r="AQ121" s="150"/>
      <c r="AX121" s="31" t="str">
        <f>IFERROR(INDEX('G-7 Rivers Data'!$AZ$3:$AZ$7,MATCH(N121,'G-7 Rivers Data'!$AY$3:$AY$7,0)),"")</f>
        <v/>
      </c>
    </row>
    <row r="122" spans="2:50" ht="13.8" x14ac:dyDescent="0.25">
      <c r="B122" s="531" t="str">
        <f>'F-1 Off Site River Baseline'!AN120</f>
        <v/>
      </c>
      <c r="C122" s="520" t="str">
        <f>IF(B122="","",VLOOKUP($B122,'F-1 Off Site River Baseline'!$C$9:$R$257,2,FALSE))</f>
        <v/>
      </c>
      <c r="D122" s="520" t="str">
        <f>IF(C122="","",VLOOKUP($B122,'F-1 Off Site River Baseline'!$C$9:$R$257,3,FALSE))</f>
        <v/>
      </c>
      <c r="E122" s="520" t="str">
        <f>IF(D122="","",VLOOKUP($B122,'F-1 Off Site River Baseline'!$C$9:$R$257,4,FALSE))</f>
        <v/>
      </c>
      <c r="F122" s="520" t="str">
        <f>IF(E122="","",VLOOKUP($B122,'F-1 Off Site River Baseline'!$C$9:$R$257,5,FALSE))</f>
        <v/>
      </c>
      <c r="G122" s="520" t="str">
        <f>IF(F122="","",VLOOKUP($B122,'F-1 Off Site River Baseline'!$C$9:$R$257,6,FALSE))</f>
        <v/>
      </c>
      <c r="H122" s="520" t="str">
        <f>IF(G122="","",VLOOKUP($B122,'F-1 Off Site River Baseline'!$C$9:$R$257,7,FALSE))</f>
        <v/>
      </c>
      <c r="I122" s="520" t="str">
        <f>IF(H122="","",VLOOKUP($B122,'F-1 Off Site River Baseline'!$C$9:$R$257,8,FALSE))</f>
        <v/>
      </c>
      <c r="J122" s="520" t="str">
        <f>IF(I122="","",VLOOKUP($B122,'F-1 Off Site River Baseline'!$C$9:$R$257,9,FALSE))</f>
        <v/>
      </c>
      <c r="K122" s="520" t="str">
        <f>IF(J122="","",VLOOKUP($B122,'F-1 Off Site River Baseline'!$C$9:$R$257,10,FALSE))</f>
        <v/>
      </c>
      <c r="L122" s="520" t="str">
        <f>IF(B122="","",VLOOKUP($B122,'C-1 Site River Baseline'!$C$9:$R$257,15,FALSE))</f>
        <v/>
      </c>
      <c r="M122" s="524" t="str">
        <f>IF(L122="","",VLOOKUP($B122,'F-1 Off Site River Baseline'!$C$9:$R$257,16,FALSE))</f>
        <v/>
      </c>
      <c r="N122" s="418" t="str">
        <f t="shared" si="12"/>
        <v/>
      </c>
      <c r="O122" s="498" t="str">
        <f t="shared" si="13"/>
        <v/>
      </c>
      <c r="P122" s="499" t="str">
        <f>IF(C122="","",IF(AND(LEFT(C122,55)&lt;&gt;LEFT(N122,55),O122="High - High"),"Error - Not like for like ▲",IF(AND(F122=S122,H122&gt;U122),"Error - Can not reduce condition ▲",IF(AND(F122=S122,H122=U122,AJ122='F-1 Off Site River Baseline'!N120,'F-1 Off Site River Baseline'!P120=AL122),"Error - No enhancement ▲",IF(AND(C122&lt;&gt;N122,F122&lt;S122),"Lower Distinctiveness Habitat"&amp;" - "&amp;T122,G122&amp;" - "&amp;T122)))))</f>
        <v/>
      </c>
      <c r="Q122" s="505" t="str">
        <f>IF(N122="","",VLOOKUP(B122,'F-1 Off Site River Baseline'!$C$10:$AA$257,19,FALSE))</f>
        <v/>
      </c>
      <c r="R122" s="498" t="str">
        <f>IF(N122="","",VLOOKUP(N122,'G-7 Rivers Data'!$B$2:$G$8,2,FALSE))</f>
        <v/>
      </c>
      <c r="S122" s="499" t="str">
        <f>IFERROR(VLOOKUP(R122,'G-7 Rivers Data'!$C$4:$D$8,2,FALSE),"")</f>
        <v/>
      </c>
      <c r="T122" s="145"/>
      <c r="U122" s="499" t="str">
        <f>IFERROR(INDEX('G-7 Rivers Data'!$H$4:$L$8,MATCH(N122,'G-7 Rivers Data'!$B$4:$B$8,0),MATCH(T122,'G-7 Rivers Data'!$H$3:$L$3,0)),"")</f>
        <v/>
      </c>
      <c r="V122" s="154"/>
      <c r="W122" s="520" t="str">
        <f>IF(V122="","",IF(VLOOKUP(V122,'G-7 Rivers Data'!$AG$4:$AI$9,2,FALSE)=0,"Spatial Data Missing ⚠",VLOOKUP(V122,'G-7 Rivers Data'!$AG$4:$AI$9,2,FALSE)))</f>
        <v/>
      </c>
      <c r="X122" s="524" t="str">
        <f>IF(V122="","",IF(VLOOKUP(V122,'G-7 Rivers Data'!$AG$4:$AI$9,3,FALSE)=0,"Spatial Data Missing ⚠",VLOOKUP(V122,'G-7 Rivers Data'!$AG$4:$AI$9,3,FALSE)))</f>
        <v/>
      </c>
      <c r="Y122" s="537" t="str">
        <f>IFERROR(IF(OR(LEFT(P122,5)="Error ▲",LEFT(O122,5)="Error ▲"),"Check Data ⚠",IF(F122&lt;S122,'G-7 Rivers Data'!$R$3,INDEX('G-7 Rivers Data'!$U$5:$Y$9,MATCH(G122,'G-7 Rivers Data'!$T$5:$T$9,0),MATCH(T122,'G-7 Rivers Data'!$U$4:$Y$4,0)))),"")</f>
        <v/>
      </c>
      <c r="Z122" s="203"/>
      <c r="AA122" s="203"/>
      <c r="AB122" s="534" t="str">
        <f t="shared" si="8"/>
        <v/>
      </c>
      <c r="AC122" s="521" t="str">
        <f t="shared" si="9"/>
        <v/>
      </c>
      <c r="AD122" s="564" t="str">
        <f>IFERROR(IF(AC122="Check Data ⚠","Check Data ⚠",VLOOKUP(AC122,'G-4 Temporal multipliers'!$A$4:$C$37,3,FALSE)),"")</f>
        <v/>
      </c>
      <c r="AE122" s="537" t="str">
        <f>IF(N122="","",VLOOKUP(N122,'G-7 Rivers Data'!$B$4:$G$8,5,FALSE))</f>
        <v/>
      </c>
      <c r="AF122" s="520" t="str">
        <f t="shared" si="10"/>
        <v/>
      </c>
      <c r="AG122" s="520" t="str">
        <f t="shared" si="14"/>
        <v/>
      </c>
      <c r="AH122" s="524" t="str">
        <f t="shared" si="11"/>
        <v/>
      </c>
      <c r="AI122" s="145"/>
      <c r="AJ122" s="499" t="str">
        <f>IF(AI122="","",IF(VLOOKUP(AI122,'G-7 Rivers Data'!$AA$4:$AB$7,2,FALSE)=0,"Spatial Data Missing ⚠",VLOOKUP(AI122,'G-7 Rivers Data'!$AA$4:$AB$7,2,FALSE)))</f>
        <v/>
      </c>
      <c r="AK122" s="155"/>
      <c r="AL122" s="536" t="str">
        <f>IF(AK122="","",IF(VLOOKUP(AK122,'G-7 Rivers Data'!$AD$4:$AE$8,2,FALSE)=0,"Spatial Data Missing ⚠",VLOOKUP(AK122,'G-7 Rivers Data'!$AD$4:$AE$8,2,FALSE)))</f>
        <v/>
      </c>
      <c r="AM122" s="154"/>
      <c r="AN122" s="524" t="str">
        <f>IF(AM122="","",VLOOKUP(AM122,'G-7 Rivers Data'!$AO$4:$AP$7,2,FALSE))</f>
        <v/>
      </c>
      <c r="AO122" s="545" t="str">
        <f t="shared" si="15"/>
        <v/>
      </c>
      <c r="AP122" s="149"/>
      <c r="AQ122" s="150"/>
      <c r="AX122" s="31" t="str">
        <f>IFERROR(INDEX('G-7 Rivers Data'!$AZ$3:$AZ$7,MATCH(N122,'G-7 Rivers Data'!$AY$3:$AY$7,0)),"")</f>
        <v/>
      </c>
    </row>
    <row r="123" spans="2:50" ht="13.8" x14ac:dyDescent="0.25">
      <c r="B123" s="531" t="str">
        <f>'F-1 Off Site River Baseline'!AN121</f>
        <v/>
      </c>
      <c r="C123" s="520" t="str">
        <f>IF(B123="","",VLOOKUP($B123,'F-1 Off Site River Baseline'!$C$9:$R$257,2,FALSE))</f>
        <v/>
      </c>
      <c r="D123" s="520" t="str">
        <f>IF(C123="","",VLOOKUP($B123,'F-1 Off Site River Baseline'!$C$9:$R$257,3,FALSE))</f>
        <v/>
      </c>
      <c r="E123" s="520" t="str">
        <f>IF(D123="","",VLOOKUP($B123,'F-1 Off Site River Baseline'!$C$9:$R$257,4,FALSE))</f>
        <v/>
      </c>
      <c r="F123" s="520" t="str">
        <f>IF(E123="","",VLOOKUP($B123,'F-1 Off Site River Baseline'!$C$9:$R$257,5,FALSE))</f>
        <v/>
      </c>
      <c r="G123" s="520" t="str">
        <f>IF(F123="","",VLOOKUP($B123,'F-1 Off Site River Baseline'!$C$9:$R$257,6,FALSE))</f>
        <v/>
      </c>
      <c r="H123" s="520" t="str">
        <f>IF(G123="","",VLOOKUP($B123,'F-1 Off Site River Baseline'!$C$9:$R$257,7,FALSE))</f>
        <v/>
      </c>
      <c r="I123" s="520" t="str">
        <f>IF(H123="","",VLOOKUP($B123,'F-1 Off Site River Baseline'!$C$9:$R$257,8,FALSE))</f>
        <v/>
      </c>
      <c r="J123" s="520" t="str">
        <f>IF(I123="","",VLOOKUP($B123,'F-1 Off Site River Baseline'!$C$9:$R$257,9,FALSE))</f>
        <v/>
      </c>
      <c r="K123" s="520" t="str">
        <f>IF(J123="","",VLOOKUP($B123,'F-1 Off Site River Baseline'!$C$9:$R$257,10,FALSE))</f>
        <v/>
      </c>
      <c r="L123" s="520" t="str">
        <f>IF(B123="","",VLOOKUP($B123,'C-1 Site River Baseline'!$C$9:$R$257,15,FALSE))</f>
        <v/>
      </c>
      <c r="M123" s="524" t="str">
        <f>IF(L123="","",VLOOKUP($B123,'F-1 Off Site River Baseline'!$C$9:$R$257,16,FALSE))</f>
        <v/>
      </c>
      <c r="N123" s="418" t="str">
        <f t="shared" si="12"/>
        <v/>
      </c>
      <c r="O123" s="498" t="str">
        <f t="shared" si="13"/>
        <v/>
      </c>
      <c r="P123" s="499" t="str">
        <f>IF(C123="","",IF(AND(LEFT(C123,55)&lt;&gt;LEFT(N123,55),O123="High - High"),"Error - Not like for like ▲",IF(AND(F123=S123,H123&gt;U123),"Error - Can not reduce condition ▲",IF(AND(F123=S123,H123=U123,AJ123='F-1 Off Site River Baseline'!N121,'F-1 Off Site River Baseline'!P121=AL123),"Error - No enhancement ▲",IF(AND(C123&lt;&gt;N123,F123&lt;S123),"Lower Distinctiveness Habitat"&amp;" - "&amp;T123,G123&amp;" - "&amp;T123)))))</f>
        <v/>
      </c>
      <c r="Q123" s="505" t="str">
        <f>IF(N123="","",VLOOKUP(B123,'F-1 Off Site River Baseline'!$C$10:$AA$257,19,FALSE))</f>
        <v/>
      </c>
      <c r="R123" s="498" t="str">
        <f>IF(N123="","",VLOOKUP(N123,'G-7 Rivers Data'!$B$2:$G$8,2,FALSE))</f>
        <v/>
      </c>
      <c r="S123" s="499" t="str">
        <f>IFERROR(VLOOKUP(R123,'G-7 Rivers Data'!$C$4:$D$8,2,FALSE),"")</f>
        <v/>
      </c>
      <c r="T123" s="145"/>
      <c r="U123" s="499" t="str">
        <f>IFERROR(INDEX('G-7 Rivers Data'!$H$4:$L$8,MATCH(N123,'G-7 Rivers Data'!$B$4:$B$8,0),MATCH(T123,'G-7 Rivers Data'!$H$3:$L$3,0)),"")</f>
        <v/>
      </c>
      <c r="V123" s="154"/>
      <c r="W123" s="520" t="str">
        <f>IF(V123="","",IF(VLOOKUP(V123,'G-7 Rivers Data'!$AG$4:$AI$9,2,FALSE)=0,"Spatial Data Missing ⚠",VLOOKUP(V123,'G-7 Rivers Data'!$AG$4:$AI$9,2,FALSE)))</f>
        <v/>
      </c>
      <c r="X123" s="524" t="str">
        <f>IF(V123="","",IF(VLOOKUP(V123,'G-7 Rivers Data'!$AG$4:$AI$9,3,FALSE)=0,"Spatial Data Missing ⚠",VLOOKUP(V123,'G-7 Rivers Data'!$AG$4:$AI$9,3,FALSE)))</f>
        <v/>
      </c>
      <c r="Y123" s="537" t="str">
        <f>IFERROR(IF(OR(LEFT(P123,5)="Error ▲",LEFT(O123,5)="Error ▲"),"Check Data ⚠",IF(F123&lt;S123,'G-7 Rivers Data'!$R$3,INDEX('G-7 Rivers Data'!$U$5:$Y$9,MATCH(G123,'G-7 Rivers Data'!$T$5:$T$9,0),MATCH(T123,'G-7 Rivers Data'!$U$4:$Y$4,0)))),"")</f>
        <v/>
      </c>
      <c r="Z123" s="203"/>
      <c r="AA123" s="203"/>
      <c r="AB123" s="534" t="str">
        <f t="shared" si="8"/>
        <v/>
      </c>
      <c r="AC123" s="521" t="str">
        <f t="shared" si="9"/>
        <v/>
      </c>
      <c r="AD123" s="564" t="str">
        <f>IFERROR(IF(AC123="Check Data ⚠","Check Data ⚠",VLOOKUP(AC123,'G-4 Temporal multipliers'!$A$4:$C$37,3,FALSE)),"")</f>
        <v/>
      </c>
      <c r="AE123" s="537" t="str">
        <f>IF(N123="","",VLOOKUP(N123,'G-7 Rivers Data'!$B$4:$G$8,5,FALSE))</f>
        <v/>
      </c>
      <c r="AF123" s="520" t="str">
        <f t="shared" si="10"/>
        <v/>
      </c>
      <c r="AG123" s="520" t="str">
        <f t="shared" si="14"/>
        <v/>
      </c>
      <c r="AH123" s="524" t="str">
        <f t="shared" si="11"/>
        <v/>
      </c>
      <c r="AI123" s="145"/>
      <c r="AJ123" s="499" t="str">
        <f>IF(AI123="","",IF(VLOOKUP(AI123,'G-7 Rivers Data'!$AA$4:$AB$7,2,FALSE)=0,"Spatial Data Missing ⚠",VLOOKUP(AI123,'G-7 Rivers Data'!$AA$4:$AB$7,2,FALSE)))</f>
        <v/>
      </c>
      <c r="AK123" s="155"/>
      <c r="AL123" s="536" t="str">
        <f>IF(AK123="","",IF(VLOOKUP(AK123,'G-7 Rivers Data'!$AD$4:$AE$8,2,FALSE)=0,"Spatial Data Missing ⚠",VLOOKUP(AK123,'G-7 Rivers Data'!$AD$4:$AE$8,2,FALSE)))</f>
        <v/>
      </c>
      <c r="AM123" s="154"/>
      <c r="AN123" s="524" t="str">
        <f>IF(AM123="","",VLOOKUP(AM123,'G-7 Rivers Data'!$AO$4:$AP$7,2,FALSE))</f>
        <v/>
      </c>
      <c r="AO123" s="545" t="str">
        <f t="shared" si="15"/>
        <v/>
      </c>
      <c r="AP123" s="149"/>
      <c r="AQ123" s="150"/>
      <c r="AX123" s="31" t="str">
        <f>IFERROR(INDEX('G-7 Rivers Data'!$AZ$3:$AZ$7,MATCH(N123,'G-7 Rivers Data'!$AY$3:$AY$7,0)),"")</f>
        <v/>
      </c>
    </row>
    <row r="124" spans="2:50" ht="13.8" x14ac:dyDescent="0.25">
      <c r="B124" s="531" t="str">
        <f>'F-1 Off Site River Baseline'!AN122</f>
        <v/>
      </c>
      <c r="C124" s="520" t="str">
        <f>IF(B124="","",VLOOKUP($B124,'F-1 Off Site River Baseline'!$C$9:$R$257,2,FALSE))</f>
        <v/>
      </c>
      <c r="D124" s="520" t="str">
        <f>IF(C124="","",VLOOKUP($B124,'F-1 Off Site River Baseline'!$C$9:$R$257,3,FALSE))</f>
        <v/>
      </c>
      <c r="E124" s="520" t="str">
        <f>IF(D124="","",VLOOKUP($B124,'F-1 Off Site River Baseline'!$C$9:$R$257,4,FALSE))</f>
        <v/>
      </c>
      <c r="F124" s="520" t="str">
        <f>IF(E124="","",VLOOKUP($B124,'F-1 Off Site River Baseline'!$C$9:$R$257,5,FALSE))</f>
        <v/>
      </c>
      <c r="G124" s="520" t="str">
        <f>IF(F124="","",VLOOKUP($B124,'F-1 Off Site River Baseline'!$C$9:$R$257,6,FALSE))</f>
        <v/>
      </c>
      <c r="H124" s="520" t="str">
        <f>IF(G124="","",VLOOKUP($B124,'F-1 Off Site River Baseline'!$C$9:$R$257,7,FALSE))</f>
        <v/>
      </c>
      <c r="I124" s="520" t="str">
        <f>IF(H124="","",VLOOKUP($B124,'F-1 Off Site River Baseline'!$C$9:$R$257,8,FALSE))</f>
        <v/>
      </c>
      <c r="J124" s="520" t="str">
        <f>IF(I124="","",VLOOKUP($B124,'F-1 Off Site River Baseline'!$C$9:$R$257,9,FALSE))</f>
        <v/>
      </c>
      <c r="K124" s="520" t="str">
        <f>IF(J124="","",VLOOKUP($B124,'F-1 Off Site River Baseline'!$C$9:$R$257,10,FALSE))</f>
        <v/>
      </c>
      <c r="L124" s="520" t="str">
        <f>IF(B124="","",VLOOKUP($B124,'C-1 Site River Baseline'!$C$9:$R$257,15,FALSE))</f>
        <v/>
      </c>
      <c r="M124" s="524" t="str">
        <f>IF(L124="","",VLOOKUP($B124,'F-1 Off Site River Baseline'!$C$9:$R$257,16,FALSE))</f>
        <v/>
      </c>
      <c r="N124" s="418" t="str">
        <f t="shared" si="12"/>
        <v/>
      </c>
      <c r="O124" s="498" t="str">
        <f t="shared" si="13"/>
        <v/>
      </c>
      <c r="P124" s="499" t="str">
        <f>IF(C124="","",IF(AND(LEFT(C124,55)&lt;&gt;LEFT(N124,55),O124="High - High"),"Error - Not like for like ▲",IF(AND(F124=S124,H124&gt;U124),"Error - Can not reduce condition ▲",IF(AND(F124=S124,H124=U124,AJ124='F-1 Off Site River Baseline'!N122,'F-1 Off Site River Baseline'!P122=AL124),"Error - No enhancement ▲",IF(AND(C124&lt;&gt;N124,F124&lt;S124),"Lower Distinctiveness Habitat"&amp;" - "&amp;T124,G124&amp;" - "&amp;T124)))))</f>
        <v/>
      </c>
      <c r="Q124" s="505" t="str">
        <f>IF(N124="","",VLOOKUP(B124,'F-1 Off Site River Baseline'!$C$10:$AA$257,19,FALSE))</f>
        <v/>
      </c>
      <c r="R124" s="498" t="str">
        <f>IF(N124="","",VLOOKUP(N124,'G-7 Rivers Data'!$B$2:$G$8,2,FALSE))</f>
        <v/>
      </c>
      <c r="S124" s="499" t="str">
        <f>IFERROR(VLOOKUP(R124,'G-7 Rivers Data'!$C$4:$D$8,2,FALSE),"")</f>
        <v/>
      </c>
      <c r="T124" s="145"/>
      <c r="U124" s="499" t="str">
        <f>IFERROR(INDEX('G-7 Rivers Data'!$H$4:$L$8,MATCH(N124,'G-7 Rivers Data'!$B$4:$B$8,0),MATCH(T124,'G-7 Rivers Data'!$H$3:$L$3,0)),"")</f>
        <v/>
      </c>
      <c r="V124" s="154"/>
      <c r="W124" s="520" t="str">
        <f>IF(V124="","",IF(VLOOKUP(V124,'G-7 Rivers Data'!$AG$4:$AI$9,2,FALSE)=0,"Spatial Data Missing ⚠",VLOOKUP(V124,'G-7 Rivers Data'!$AG$4:$AI$9,2,FALSE)))</f>
        <v/>
      </c>
      <c r="X124" s="524" t="str">
        <f>IF(V124="","",IF(VLOOKUP(V124,'G-7 Rivers Data'!$AG$4:$AI$9,3,FALSE)=0,"Spatial Data Missing ⚠",VLOOKUP(V124,'G-7 Rivers Data'!$AG$4:$AI$9,3,FALSE)))</f>
        <v/>
      </c>
      <c r="Y124" s="537" t="str">
        <f>IFERROR(IF(OR(LEFT(P124,5)="Error ▲",LEFT(O124,5)="Error ▲"),"Check Data ⚠",IF(F124&lt;S124,'G-7 Rivers Data'!$R$3,INDEX('G-7 Rivers Data'!$U$5:$Y$9,MATCH(G124,'G-7 Rivers Data'!$T$5:$T$9,0),MATCH(T124,'G-7 Rivers Data'!$U$4:$Y$4,0)))),"")</f>
        <v/>
      </c>
      <c r="Z124" s="203"/>
      <c r="AA124" s="203"/>
      <c r="AB124" s="534" t="str">
        <f t="shared" si="8"/>
        <v/>
      </c>
      <c r="AC124" s="521" t="str">
        <f t="shared" si="9"/>
        <v/>
      </c>
      <c r="AD124" s="564" t="str">
        <f>IFERROR(IF(AC124="Check Data ⚠","Check Data ⚠",VLOOKUP(AC124,'G-4 Temporal multipliers'!$A$4:$C$37,3,FALSE)),"")</f>
        <v/>
      </c>
      <c r="AE124" s="537" t="str">
        <f>IF(N124="","",VLOOKUP(N124,'G-7 Rivers Data'!$B$4:$G$8,5,FALSE))</f>
        <v/>
      </c>
      <c r="AF124" s="520" t="str">
        <f t="shared" si="10"/>
        <v/>
      </c>
      <c r="AG124" s="520" t="str">
        <f t="shared" si="14"/>
        <v/>
      </c>
      <c r="AH124" s="524" t="str">
        <f t="shared" si="11"/>
        <v/>
      </c>
      <c r="AI124" s="145"/>
      <c r="AJ124" s="499" t="str">
        <f>IF(AI124="","",IF(VLOOKUP(AI124,'G-7 Rivers Data'!$AA$4:$AB$7,2,FALSE)=0,"Spatial Data Missing ⚠",VLOOKUP(AI124,'G-7 Rivers Data'!$AA$4:$AB$7,2,FALSE)))</f>
        <v/>
      </c>
      <c r="AK124" s="155"/>
      <c r="AL124" s="536" t="str">
        <f>IF(AK124="","",IF(VLOOKUP(AK124,'G-7 Rivers Data'!$AD$4:$AE$8,2,FALSE)=0,"Spatial Data Missing ⚠",VLOOKUP(AK124,'G-7 Rivers Data'!$AD$4:$AE$8,2,FALSE)))</f>
        <v/>
      </c>
      <c r="AM124" s="154"/>
      <c r="AN124" s="524" t="str">
        <f>IF(AM124="","",VLOOKUP(AM124,'G-7 Rivers Data'!$AO$4:$AP$7,2,FALSE))</f>
        <v/>
      </c>
      <c r="AO124" s="545" t="str">
        <f t="shared" si="15"/>
        <v/>
      </c>
      <c r="AP124" s="149"/>
      <c r="AQ124" s="150"/>
      <c r="AX124" s="31" t="str">
        <f>IFERROR(INDEX('G-7 Rivers Data'!$AZ$3:$AZ$7,MATCH(N124,'G-7 Rivers Data'!$AY$3:$AY$7,0)),"")</f>
        <v/>
      </c>
    </row>
    <row r="125" spans="2:50" ht="13.8" x14ac:dyDescent="0.25">
      <c r="B125" s="531" t="str">
        <f>'F-1 Off Site River Baseline'!AN123</f>
        <v/>
      </c>
      <c r="C125" s="520" t="str">
        <f>IF(B125="","",VLOOKUP($B125,'F-1 Off Site River Baseline'!$C$9:$R$257,2,FALSE))</f>
        <v/>
      </c>
      <c r="D125" s="520" t="str">
        <f>IF(C125="","",VLOOKUP($B125,'F-1 Off Site River Baseline'!$C$9:$R$257,3,FALSE))</f>
        <v/>
      </c>
      <c r="E125" s="520" t="str">
        <f>IF(D125="","",VLOOKUP($B125,'F-1 Off Site River Baseline'!$C$9:$R$257,4,FALSE))</f>
        <v/>
      </c>
      <c r="F125" s="520" t="str">
        <f>IF(E125="","",VLOOKUP($B125,'F-1 Off Site River Baseline'!$C$9:$R$257,5,FALSE))</f>
        <v/>
      </c>
      <c r="G125" s="520" t="str">
        <f>IF(F125="","",VLOOKUP($B125,'F-1 Off Site River Baseline'!$C$9:$R$257,6,FALSE))</f>
        <v/>
      </c>
      <c r="H125" s="520" t="str">
        <f>IF(G125="","",VLOOKUP($B125,'F-1 Off Site River Baseline'!$C$9:$R$257,7,FALSE))</f>
        <v/>
      </c>
      <c r="I125" s="520" t="str">
        <f>IF(H125="","",VLOOKUP($B125,'F-1 Off Site River Baseline'!$C$9:$R$257,8,FALSE))</f>
        <v/>
      </c>
      <c r="J125" s="520" t="str">
        <f>IF(I125="","",VLOOKUP($B125,'F-1 Off Site River Baseline'!$C$9:$R$257,9,FALSE))</f>
        <v/>
      </c>
      <c r="K125" s="520" t="str">
        <f>IF(J125="","",VLOOKUP($B125,'F-1 Off Site River Baseline'!$C$9:$R$257,10,FALSE))</f>
        <v/>
      </c>
      <c r="L125" s="520" t="str">
        <f>IF(B125="","",VLOOKUP($B125,'C-1 Site River Baseline'!$C$9:$R$257,15,FALSE))</f>
        <v/>
      </c>
      <c r="M125" s="524" t="str">
        <f>IF(L125="","",VLOOKUP($B125,'F-1 Off Site River Baseline'!$C$9:$R$257,16,FALSE))</f>
        <v/>
      </c>
      <c r="N125" s="418" t="str">
        <f t="shared" si="12"/>
        <v/>
      </c>
      <c r="O125" s="498" t="str">
        <f t="shared" si="13"/>
        <v/>
      </c>
      <c r="P125" s="499" t="str">
        <f>IF(C125="","",IF(AND(LEFT(C125,55)&lt;&gt;LEFT(N125,55),O125="High - High"),"Error - Not like for like ▲",IF(AND(F125=S125,H125&gt;U125),"Error - Can not reduce condition ▲",IF(AND(F125=S125,H125=U125,AJ125='F-1 Off Site River Baseline'!N123,'F-1 Off Site River Baseline'!P123=AL125),"Error - No enhancement ▲",IF(AND(C125&lt;&gt;N125,F125&lt;S125),"Lower Distinctiveness Habitat"&amp;" - "&amp;T125,G125&amp;" - "&amp;T125)))))</f>
        <v/>
      </c>
      <c r="Q125" s="505" t="str">
        <f>IF(N125="","",VLOOKUP(B125,'F-1 Off Site River Baseline'!$C$10:$AA$257,19,FALSE))</f>
        <v/>
      </c>
      <c r="R125" s="498" t="str">
        <f>IF(N125="","",VLOOKUP(N125,'G-7 Rivers Data'!$B$2:$G$8,2,FALSE))</f>
        <v/>
      </c>
      <c r="S125" s="499" t="str">
        <f>IFERROR(VLOOKUP(R125,'G-7 Rivers Data'!$C$4:$D$8,2,FALSE),"")</f>
        <v/>
      </c>
      <c r="T125" s="145"/>
      <c r="U125" s="499" t="str">
        <f>IFERROR(INDEX('G-7 Rivers Data'!$H$4:$L$8,MATCH(N125,'G-7 Rivers Data'!$B$4:$B$8,0),MATCH(T125,'G-7 Rivers Data'!$H$3:$L$3,0)),"")</f>
        <v/>
      </c>
      <c r="V125" s="154"/>
      <c r="W125" s="520" t="str">
        <f>IF(V125="","",IF(VLOOKUP(V125,'G-7 Rivers Data'!$AG$4:$AI$9,2,FALSE)=0,"Spatial Data Missing ⚠",VLOOKUP(V125,'G-7 Rivers Data'!$AG$4:$AI$9,2,FALSE)))</f>
        <v/>
      </c>
      <c r="X125" s="524" t="str">
        <f>IF(V125="","",IF(VLOOKUP(V125,'G-7 Rivers Data'!$AG$4:$AI$9,3,FALSE)=0,"Spatial Data Missing ⚠",VLOOKUP(V125,'G-7 Rivers Data'!$AG$4:$AI$9,3,FALSE)))</f>
        <v/>
      </c>
      <c r="Y125" s="537" t="str">
        <f>IFERROR(IF(OR(LEFT(P125,5)="Error ▲",LEFT(O125,5)="Error ▲"),"Check Data ⚠",IF(F125&lt;S125,'G-7 Rivers Data'!$R$3,INDEX('G-7 Rivers Data'!$U$5:$Y$9,MATCH(G125,'G-7 Rivers Data'!$T$5:$T$9,0),MATCH(T125,'G-7 Rivers Data'!$U$4:$Y$4,0)))),"")</f>
        <v/>
      </c>
      <c r="Z125" s="203"/>
      <c r="AA125" s="203"/>
      <c r="AB125" s="534" t="str">
        <f t="shared" si="8"/>
        <v/>
      </c>
      <c r="AC125" s="521" t="str">
        <f t="shared" si="9"/>
        <v/>
      </c>
      <c r="AD125" s="564" t="str">
        <f>IFERROR(IF(AC125="Check Data ⚠","Check Data ⚠",VLOOKUP(AC125,'G-4 Temporal multipliers'!$A$4:$C$37,3,FALSE)),"")</f>
        <v/>
      </c>
      <c r="AE125" s="537" t="str">
        <f>IF(N125="","",VLOOKUP(N125,'G-7 Rivers Data'!$B$4:$G$8,5,FALSE))</f>
        <v/>
      </c>
      <c r="AF125" s="520" t="str">
        <f t="shared" si="10"/>
        <v/>
      </c>
      <c r="AG125" s="520" t="str">
        <f t="shared" si="14"/>
        <v/>
      </c>
      <c r="AH125" s="524" t="str">
        <f t="shared" si="11"/>
        <v/>
      </c>
      <c r="AI125" s="145"/>
      <c r="AJ125" s="499" t="str">
        <f>IF(AI125="","",IF(VLOOKUP(AI125,'G-7 Rivers Data'!$AA$4:$AB$7,2,FALSE)=0,"Spatial Data Missing ⚠",VLOOKUP(AI125,'G-7 Rivers Data'!$AA$4:$AB$7,2,FALSE)))</f>
        <v/>
      </c>
      <c r="AK125" s="155"/>
      <c r="AL125" s="536" t="str">
        <f>IF(AK125="","",IF(VLOOKUP(AK125,'G-7 Rivers Data'!$AD$4:$AE$8,2,FALSE)=0,"Spatial Data Missing ⚠",VLOOKUP(AK125,'G-7 Rivers Data'!$AD$4:$AE$8,2,FALSE)))</f>
        <v/>
      </c>
      <c r="AM125" s="154"/>
      <c r="AN125" s="524" t="str">
        <f>IF(AM125="","",VLOOKUP(AM125,'G-7 Rivers Data'!$AO$4:$AP$7,2,FALSE))</f>
        <v/>
      </c>
      <c r="AO125" s="545" t="str">
        <f t="shared" si="15"/>
        <v/>
      </c>
      <c r="AP125" s="149"/>
      <c r="AQ125" s="150"/>
      <c r="AX125" s="31" t="str">
        <f>IFERROR(INDEX('G-7 Rivers Data'!$AZ$3:$AZ$7,MATCH(N125,'G-7 Rivers Data'!$AY$3:$AY$7,0)),"")</f>
        <v/>
      </c>
    </row>
    <row r="126" spans="2:50" ht="13.8" x14ac:dyDescent="0.25">
      <c r="B126" s="531" t="str">
        <f>'F-1 Off Site River Baseline'!AN124</f>
        <v/>
      </c>
      <c r="C126" s="520" t="str">
        <f>IF(B126="","",VLOOKUP($B126,'F-1 Off Site River Baseline'!$C$9:$R$257,2,FALSE))</f>
        <v/>
      </c>
      <c r="D126" s="520" t="str">
        <f>IF(C126="","",VLOOKUP($B126,'F-1 Off Site River Baseline'!$C$9:$R$257,3,FALSE))</f>
        <v/>
      </c>
      <c r="E126" s="520" t="str">
        <f>IF(D126="","",VLOOKUP($B126,'F-1 Off Site River Baseline'!$C$9:$R$257,4,FALSE))</f>
        <v/>
      </c>
      <c r="F126" s="520" t="str">
        <f>IF(E126="","",VLOOKUP($B126,'F-1 Off Site River Baseline'!$C$9:$R$257,5,FALSE))</f>
        <v/>
      </c>
      <c r="G126" s="520" t="str">
        <f>IF(F126="","",VLOOKUP($B126,'F-1 Off Site River Baseline'!$C$9:$R$257,6,FALSE))</f>
        <v/>
      </c>
      <c r="H126" s="520" t="str">
        <f>IF(G126="","",VLOOKUP($B126,'F-1 Off Site River Baseline'!$C$9:$R$257,7,FALSE))</f>
        <v/>
      </c>
      <c r="I126" s="520" t="str">
        <f>IF(H126="","",VLOOKUP($B126,'F-1 Off Site River Baseline'!$C$9:$R$257,8,FALSE))</f>
        <v/>
      </c>
      <c r="J126" s="520" t="str">
        <f>IF(I126="","",VLOOKUP($B126,'F-1 Off Site River Baseline'!$C$9:$R$257,9,FALSE))</f>
        <v/>
      </c>
      <c r="K126" s="520" t="str">
        <f>IF(J126="","",VLOOKUP($B126,'F-1 Off Site River Baseline'!$C$9:$R$257,10,FALSE))</f>
        <v/>
      </c>
      <c r="L126" s="520" t="str">
        <f>IF(B126="","",VLOOKUP($B126,'C-1 Site River Baseline'!$C$9:$R$257,15,FALSE))</f>
        <v/>
      </c>
      <c r="M126" s="524" t="str">
        <f>IF(L126="","",VLOOKUP($B126,'F-1 Off Site River Baseline'!$C$9:$R$257,16,FALSE))</f>
        <v/>
      </c>
      <c r="N126" s="418" t="str">
        <f t="shared" si="12"/>
        <v/>
      </c>
      <c r="O126" s="498" t="str">
        <f t="shared" si="13"/>
        <v/>
      </c>
      <c r="P126" s="499" t="str">
        <f>IF(C126="","",IF(AND(LEFT(C126,55)&lt;&gt;LEFT(N126,55),O126="High - High"),"Error - Not like for like ▲",IF(AND(F126=S126,H126&gt;U126),"Error - Can not reduce condition ▲",IF(AND(F126=S126,H126=U126,AJ126='F-1 Off Site River Baseline'!N124,'F-1 Off Site River Baseline'!P124=AL126),"Error - No enhancement ▲",IF(AND(C126&lt;&gt;N126,F126&lt;S126),"Lower Distinctiveness Habitat"&amp;" - "&amp;T126,G126&amp;" - "&amp;T126)))))</f>
        <v/>
      </c>
      <c r="Q126" s="505" t="str">
        <f>IF(N126="","",VLOOKUP(B126,'F-1 Off Site River Baseline'!$C$10:$AA$257,19,FALSE))</f>
        <v/>
      </c>
      <c r="R126" s="498" t="str">
        <f>IF(N126="","",VLOOKUP(N126,'G-7 Rivers Data'!$B$2:$G$8,2,FALSE))</f>
        <v/>
      </c>
      <c r="S126" s="499" t="str">
        <f>IFERROR(VLOOKUP(R126,'G-7 Rivers Data'!$C$4:$D$8,2,FALSE),"")</f>
        <v/>
      </c>
      <c r="T126" s="145"/>
      <c r="U126" s="499" t="str">
        <f>IFERROR(INDEX('G-7 Rivers Data'!$H$4:$L$8,MATCH(N126,'G-7 Rivers Data'!$B$4:$B$8,0),MATCH(T126,'G-7 Rivers Data'!$H$3:$L$3,0)),"")</f>
        <v/>
      </c>
      <c r="V126" s="154"/>
      <c r="W126" s="520" t="str">
        <f>IF(V126="","",IF(VLOOKUP(V126,'G-7 Rivers Data'!$AG$4:$AI$9,2,FALSE)=0,"Spatial Data Missing ⚠",VLOOKUP(V126,'G-7 Rivers Data'!$AG$4:$AI$9,2,FALSE)))</f>
        <v/>
      </c>
      <c r="X126" s="524" t="str">
        <f>IF(V126="","",IF(VLOOKUP(V126,'G-7 Rivers Data'!$AG$4:$AI$9,3,FALSE)=0,"Spatial Data Missing ⚠",VLOOKUP(V126,'G-7 Rivers Data'!$AG$4:$AI$9,3,FALSE)))</f>
        <v/>
      </c>
      <c r="Y126" s="537" t="str">
        <f>IFERROR(IF(OR(LEFT(P126,5)="Error ▲",LEFT(O126,5)="Error ▲"),"Check Data ⚠",IF(F126&lt;S126,'G-7 Rivers Data'!$R$3,INDEX('G-7 Rivers Data'!$U$5:$Y$9,MATCH(G126,'G-7 Rivers Data'!$T$5:$T$9,0),MATCH(T126,'G-7 Rivers Data'!$U$4:$Y$4,0)))),"")</f>
        <v/>
      </c>
      <c r="Z126" s="203"/>
      <c r="AA126" s="203"/>
      <c r="AB126" s="534" t="str">
        <f t="shared" si="8"/>
        <v/>
      </c>
      <c r="AC126" s="521" t="str">
        <f t="shared" si="9"/>
        <v/>
      </c>
      <c r="AD126" s="564" t="str">
        <f>IFERROR(IF(AC126="Check Data ⚠","Check Data ⚠",VLOOKUP(AC126,'G-4 Temporal multipliers'!$A$4:$C$37,3,FALSE)),"")</f>
        <v/>
      </c>
      <c r="AE126" s="537" t="str">
        <f>IF(N126="","",VLOOKUP(N126,'G-7 Rivers Data'!$B$4:$G$8,5,FALSE))</f>
        <v/>
      </c>
      <c r="AF126" s="520" t="str">
        <f t="shared" si="10"/>
        <v/>
      </c>
      <c r="AG126" s="520" t="str">
        <f t="shared" si="14"/>
        <v/>
      </c>
      <c r="AH126" s="524" t="str">
        <f t="shared" si="11"/>
        <v/>
      </c>
      <c r="AI126" s="145"/>
      <c r="AJ126" s="499" t="str">
        <f>IF(AI126="","",IF(VLOOKUP(AI126,'G-7 Rivers Data'!$AA$4:$AB$7,2,FALSE)=0,"Spatial Data Missing ⚠",VLOOKUP(AI126,'G-7 Rivers Data'!$AA$4:$AB$7,2,FALSE)))</f>
        <v/>
      </c>
      <c r="AK126" s="155"/>
      <c r="AL126" s="536" t="str">
        <f>IF(AK126="","",IF(VLOOKUP(AK126,'G-7 Rivers Data'!$AD$4:$AE$8,2,FALSE)=0,"Spatial Data Missing ⚠",VLOOKUP(AK126,'G-7 Rivers Data'!$AD$4:$AE$8,2,FALSE)))</f>
        <v/>
      </c>
      <c r="AM126" s="154"/>
      <c r="AN126" s="524" t="str">
        <f>IF(AM126="","",VLOOKUP(AM126,'G-7 Rivers Data'!$AO$4:$AP$7,2,FALSE))</f>
        <v/>
      </c>
      <c r="AO126" s="545" t="str">
        <f t="shared" si="15"/>
        <v/>
      </c>
      <c r="AP126" s="149"/>
      <c r="AQ126" s="150"/>
      <c r="AX126" s="31" t="str">
        <f>IFERROR(INDEX('G-7 Rivers Data'!$AZ$3:$AZ$7,MATCH(N126,'G-7 Rivers Data'!$AY$3:$AY$7,0)),"")</f>
        <v/>
      </c>
    </row>
    <row r="127" spans="2:50" ht="13.8" x14ac:dyDescent="0.25">
      <c r="B127" s="531" t="str">
        <f>'F-1 Off Site River Baseline'!AN125</f>
        <v/>
      </c>
      <c r="C127" s="520" t="str">
        <f>IF(B127="","",VLOOKUP($B127,'F-1 Off Site River Baseline'!$C$9:$R$257,2,FALSE))</f>
        <v/>
      </c>
      <c r="D127" s="520" t="str">
        <f>IF(C127="","",VLOOKUP($B127,'F-1 Off Site River Baseline'!$C$9:$R$257,3,FALSE))</f>
        <v/>
      </c>
      <c r="E127" s="520" t="str">
        <f>IF(D127="","",VLOOKUP($B127,'F-1 Off Site River Baseline'!$C$9:$R$257,4,FALSE))</f>
        <v/>
      </c>
      <c r="F127" s="520" t="str">
        <f>IF(E127="","",VLOOKUP($B127,'F-1 Off Site River Baseline'!$C$9:$R$257,5,FALSE))</f>
        <v/>
      </c>
      <c r="G127" s="520" t="str">
        <f>IF(F127="","",VLOOKUP($B127,'F-1 Off Site River Baseline'!$C$9:$R$257,6,FALSE))</f>
        <v/>
      </c>
      <c r="H127" s="520" t="str">
        <f>IF(G127="","",VLOOKUP($B127,'F-1 Off Site River Baseline'!$C$9:$R$257,7,FALSE))</f>
        <v/>
      </c>
      <c r="I127" s="520" t="str">
        <f>IF(H127="","",VLOOKUP($B127,'F-1 Off Site River Baseline'!$C$9:$R$257,8,FALSE))</f>
        <v/>
      </c>
      <c r="J127" s="520" t="str">
        <f>IF(I127="","",VLOOKUP($B127,'F-1 Off Site River Baseline'!$C$9:$R$257,9,FALSE))</f>
        <v/>
      </c>
      <c r="K127" s="520" t="str">
        <f>IF(J127="","",VLOOKUP($B127,'F-1 Off Site River Baseline'!$C$9:$R$257,10,FALSE))</f>
        <v/>
      </c>
      <c r="L127" s="520" t="str">
        <f>IF(B127="","",VLOOKUP($B127,'C-1 Site River Baseline'!$C$9:$R$257,15,FALSE))</f>
        <v/>
      </c>
      <c r="M127" s="524" t="str">
        <f>IF(L127="","",VLOOKUP($B127,'F-1 Off Site River Baseline'!$C$9:$R$257,16,FALSE))</f>
        <v/>
      </c>
      <c r="N127" s="418" t="str">
        <f t="shared" si="12"/>
        <v/>
      </c>
      <c r="O127" s="498" t="str">
        <f t="shared" si="13"/>
        <v/>
      </c>
      <c r="P127" s="499" t="str">
        <f>IF(C127="","",IF(AND(LEFT(C127,55)&lt;&gt;LEFT(N127,55),O127="High - High"),"Error - Not like for like ▲",IF(AND(F127=S127,H127&gt;U127),"Error - Can not reduce condition ▲",IF(AND(F127=S127,H127=U127,AJ127='F-1 Off Site River Baseline'!N125,'F-1 Off Site River Baseline'!P125=AL127),"Error - No enhancement ▲",IF(AND(C127&lt;&gt;N127,F127&lt;S127),"Lower Distinctiveness Habitat"&amp;" - "&amp;T127,G127&amp;" - "&amp;T127)))))</f>
        <v/>
      </c>
      <c r="Q127" s="505" t="str">
        <f>IF(N127="","",VLOOKUP(B127,'F-1 Off Site River Baseline'!$C$10:$AA$257,19,FALSE))</f>
        <v/>
      </c>
      <c r="R127" s="498" t="str">
        <f>IF(N127="","",VLOOKUP(N127,'G-7 Rivers Data'!$B$2:$G$8,2,FALSE))</f>
        <v/>
      </c>
      <c r="S127" s="499" t="str">
        <f>IFERROR(VLOOKUP(R127,'G-7 Rivers Data'!$C$4:$D$8,2,FALSE),"")</f>
        <v/>
      </c>
      <c r="T127" s="145"/>
      <c r="U127" s="499" t="str">
        <f>IFERROR(INDEX('G-7 Rivers Data'!$H$4:$L$8,MATCH(N127,'G-7 Rivers Data'!$B$4:$B$8,0),MATCH(T127,'G-7 Rivers Data'!$H$3:$L$3,0)),"")</f>
        <v/>
      </c>
      <c r="V127" s="154"/>
      <c r="W127" s="520" t="str">
        <f>IF(V127="","",IF(VLOOKUP(V127,'G-7 Rivers Data'!$AG$4:$AI$9,2,FALSE)=0,"Spatial Data Missing ⚠",VLOOKUP(V127,'G-7 Rivers Data'!$AG$4:$AI$9,2,FALSE)))</f>
        <v/>
      </c>
      <c r="X127" s="524" t="str">
        <f>IF(V127="","",IF(VLOOKUP(V127,'G-7 Rivers Data'!$AG$4:$AI$9,3,FALSE)=0,"Spatial Data Missing ⚠",VLOOKUP(V127,'G-7 Rivers Data'!$AG$4:$AI$9,3,FALSE)))</f>
        <v/>
      </c>
      <c r="Y127" s="537" t="str">
        <f>IFERROR(IF(OR(LEFT(P127,5)="Error ▲",LEFT(O127,5)="Error ▲"),"Check Data ⚠",IF(F127&lt;S127,'G-7 Rivers Data'!$R$3,INDEX('G-7 Rivers Data'!$U$5:$Y$9,MATCH(G127,'G-7 Rivers Data'!$T$5:$T$9,0),MATCH(T127,'G-7 Rivers Data'!$U$4:$Y$4,0)))),"")</f>
        <v/>
      </c>
      <c r="Z127" s="203"/>
      <c r="AA127" s="203"/>
      <c r="AB127" s="534" t="str">
        <f t="shared" si="8"/>
        <v/>
      </c>
      <c r="AC127" s="521" t="str">
        <f t="shared" si="9"/>
        <v/>
      </c>
      <c r="AD127" s="564" t="str">
        <f>IFERROR(IF(AC127="Check Data ⚠","Check Data ⚠",VLOOKUP(AC127,'G-4 Temporal multipliers'!$A$4:$C$37,3,FALSE)),"")</f>
        <v/>
      </c>
      <c r="AE127" s="537" t="str">
        <f>IF(N127="","",VLOOKUP(N127,'G-7 Rivers Data'!$B$4:$G$8,5,FALSE))</f>
        <v/>
      </c>
      <c r="AF127" s="520" t="str">
        <f t="shared" si="10"/>
        <v/>
      </c>
      <c r="AG127" s="520" t="str">
        <f t="shared" si="14"/>
        <v/>
      </c>
      <c r="AH127" s="524" t="str">
        <f t="shared" si="11"/>
        <v/>
      </c>
      <c r="AI127" s="145"/>
      <c r="AJ127" s="499" t="str">
        <f>IF(AI127="","",IF(VLOOKUP(AI127,'G-7 Rivers Data'!$AA$4:$AB$7,2,FALSE)=0,"Spatial Data Missing ⚠",VLOOKUP(AI127,'G-7 Rivers Data'!$AA$4:$AB$7,2,FALSE)))</f>
        <v/>
      </c>
      <c r="AK127" s="155"/>
      <c r="AL127" s="536" t="str">
        <f>IF(AK127="","",IF(VLOOKUP(AK127,'G-7 Rivers Data'!$AD$4:$AE$8,2,FALSE)=0,"Spatial Data Missing ⚠",VLOOKUP(AK127,'G-7 Rivers Data'!$AD$4:$AE$8,2,FALSE)))</f>
        <v/>
      </c>
      <c r="AM127" s="154"/>
      <c r="AN127" s="524" t="str">
        <f>IF(AM127="","",VLOOKUP(AM127,'G-7 Rivers Data'!$AO$4:$AP$7,2,FALSE))</f>
        <v/>
      </c>
      <c r="AO127" s="545" t="str">
        <f t="shared" si="15"/>
        <v/>
      </c>
      <c r="AP127" s="149"/>
      <c r="AQ127" s="150"/>
      <c r="AX127" s="31" t="str">
        <f>IFERROR(INDEX('G-7 Rivers Data'!$AZ$3:$AZ$7,MATCH(N127,'G-7 Rivers Data'!$AY$3:$AY$7,0)),"")</f>
        <v/>
      </c>
    </row>
    <row r="128" spans="2:50" ht="13.8" x14ac:dyDescent="0.25">
      <c r="B128" s="531" t="str">
        <f>'F-1 Off Site River Baseline'!AN126</f>
        <v/>
      </c>
      <c r="C128" s="520" t="str">
        <f>IF(B128="","",VLOOKUP($B128,'F-1 Off Site River Baseline'!$C$9:$R$257,2,FALSE))</f>
        <v/>
      </c>
      <c r="D128" s="520" t="str">
        <f>IF(C128="","",VLOOKUP($B128,'F-1 Off Site River Baseline'!$C$9:$R$257,3,FALSE))</f>
        <v/>
      </c>
      <c r="E128" s="520" t="str">
        <f>IF(D128="","",VLOOKUP($B128,'F-1 Off Site River Baseline'!$C$9:$R$257,4,FALSE))</f>
        <v/>
      </c>
      <c r="F128" s="520" t="str">
        <f>IF(E128="","",VLOOKUP($B128,'F-1 Off Site River Baseline'!$C$9:$R$257,5,FALSE))</f>
        <v/>
      </c>
      <c r="G128" s="520" t="str">
        <f>IF(F128="","",VLOOKUP($B128,'F-1 Off Site River Baseline'!$C$9:$R$257,6,FALSE))</f>
        <v/>
      </c>
      <c r="H128" s="520" t="str">
        <f>IF(G128="","",VLOOKUP($B128,'F-1 Off Site River Baseline'!$C$9:$R$257,7,FALSE))</f>
        <v/>
      </c>
      <c r="I128" s="520" t="str">
        <f>IF(H128="","",VLOOKUP($B128,'F-1 Off Site River Baseline'!$C$9:$R$257,8,FALSE))</f>
        <v/>
      </c>
      <c r="J128" s="520" t="str">
        <f>IF(I128="","",VLOOKUP($B128,'F-1 Off Site River Baseline'!$C$9:$R$257,9,FALSE))</f>
        <v/>
      </c>
      <c r="K128" s="520" t="str">
        <f>IF(J128="","",VLOOKUP($B128,'F-1 Off Site River Baseline'!$C$9:$R$257,10,FALSE))</f>
        <v/>
      </c>
      <c r="L128" s="520" t="str">
        <f>IF(B128="","",VLOOKUP($B128,'C-1 Site River Baseline'!$C$9:$R$257,15,FALSE))</f>
        <v/>
      </c>
      <c r="M128" s="524" t="str">
        <f>IF(L128="","",VLOOKUP($B128,'F-1 Off Site River Baseline'!$C$9:$R$257,16,FALSE))</f>
        <v/>
      </c>
      <c r="N128" s="418" t="str">
        <f t="shared" si="12"/>
        <v/>
      </c>
      <c r="O128" s="498" t="str">
        <f t="shared" si="13"/>
        <v/>
      </c>
      <c r="P128" s="499" t="str">
        <f>IF(C128="","",IF(AND(LEFT(C128,55)&lt;&gt;LEFT(N128,55),O128="High - High"),"Error - Not like for like ▲",IF(AND(F128=S128,H128&gt;U128),"Error - Can not reduce condition ▲",IF(AND(F128=S128,H128=U128,AJ128='F-1 Off Site River Baseline'!N126,'F-1 Off Site River Baseline'!P126=AL128),"Error - No enhancement ▲",IF(AND(C128&lt;&gt;N128,F128&lt;S128),"Lower Distinctiveness Habitat"&amp;" - "&amp;T128,G128&amp;" - "&amp;T128)))))</f>
        <v/>
      </c>
      <c r="Q128" s="505" t="str">
        <f>IF(N128="","",VLOOKUP(B128,'F-1 Off Site River Baseline'!$C$10:$AA$257,19,FALSE))</f>
        <v/>
      </c>
      <c r="R128" s="498" t="str">
        <f>IF(N128="","",VLOOKUP(N128,'G-7 Rivers Data'!$B$2:$G$8,2,FALSE))</f>
        <v/>
      </c>
      <c r="S128" s="499" t="str">
        <f>IFERROR(VLOOKUP(R128,'G-7 Rivers Data'!$C$4:$D$8,2,FALSE),"")</f>
        <v/>
      </c>
      <c r="T128" s="145"/>
      <c r="U128" s="499" t="str">
        <f>IFERROR(INDEX('G-7 Rivers Data'!$H$4:$L$8,MATCH(N128,'G-7 Rivers Data'!$B$4:$B$8,0),MATCH(T128,'G-7 Rivers Data'!$H$3:$L$3,0)),"")</f>
        <v/>
      </c>
      <c r="V128" s="154"/>
      <c r="W128" s="520" t="str">
        <f>IF(V128="","",IF(VLOOKUP(V128,'G-7 Rivers Data'!$AG$4:$AI$9,2,FALSE)=0,"Spatial Data Missing ⚠",VLOOKUP(V128,'G-7 Rivers Data'!$AG$4:$AI$9,2,FALSE)))</f>
        <v/>
      </c>
      <c r="X128" s="524" t="str">
        <f>IF(V128="","",IF(VLOOKUP(V128,'G-7 Rivers Data'!$AG$4:$AI$9,3,FALSE)=0,"Spatial Data Missing ⚠",VLOOKUP(V128,'G-7 Rivers Data'!$AG$4:$AI$9,3,FALSE)))</f>
        <v/>
      </c>
      <c r="Y128" s="537" t="str">
        <f>IFERROR(IF(OR(LEFT(P128,5)="Error ▲",LEFT(O128,5)="Error ▲"),"Check Data ⚠",IF(F128&lt;S128,'G-7 Rivers Data'!$R$3,INDEX('G-7 Rivers Data'!$U$5:$Y$9,MATCH(G128,'G-7 Rivers Data'!$T$5:$T$9,0),MATCH(T128,'G-7 Rivers Data'!$U$4:$Y$4,0)))),"")</f>
        <v/>
      </c>
      <c r="Z128" s="203"/>
      <c r="AA128" s="203"/>
      <c r="AB128" s="534" t="str">
        <f t="shared" si="8"/>
        <v/>
      </c>
      <c r="AC128" s="521" t="str">
        <f t="shared" si="9"/>
        <v/>
      </c>
      <c r="AD128" s="564" t="str">
        <f>IFERROR(IF(AC128="Check Data ⚠","Check Data ⚠",VLOOKUP(AC128,'G-4 Temporal multipliers'!$A$4:$C$37,3,FALSE)),"")</f>
        <v/>
      </c>
      <c r="AE128" s="537" t="str">
        <f>IF(N128="","",VLOOKUP(N128,'G-7 Rivers Data'!$B$4:$G$8,5,FALSE))</f>
        <v/>
      </c>
      <c r="AF128" s="520" t="str">
        <f t="shared" si="10"/>
        <v/>
      </c>
      <c r="AG128" s="520" t="str">
        <f t="shared" si="14"/>
        <v/>
      </c>
      <c r="AH128" s="524" t="str">
        <f t="shared" si="11"/>
        <v/>
      </c>
      <c r="AI128" s="145"/>
      <c r="AJ128" s="499" t="str">
        <f>IF(AI128="","",IF(VLOOKUP(AI128,'G-7 Rivers Data'!$AA$4:$AB$7,2,FALSE)=0,"Spatial Data Missing ⚠",VLOOKUP(AI128,'G-7 Rivers Data'!$AA$4:$AB$7,2,FALSE)))</f>
        <v/>
      </c>
      <c r="AK128" s="155"/>
      <c r="AL128" s="536" t="str">
        <f>IF(AK128="","",IF(VLOOKUP(AK128,'G-7 Rivers Data'!$AD$4:$AE$8,2,FALSE)=0,"Spatial Data Missing ⚠",VLOOKUP(AK128,'G-7 Rivers Data'!$AD$4:$AE$8,2,FALSE)))</f>
        <v/>
      </c>
      <c r="AM128" s="154"/>
      <c r="AN128" s="524" t="str">
        <f>IF(AM128="","",VLOOKUP(AM128,'G-7 Rivers Data'!$AO$4:$AP$7,2,FALSE))</f>
        <v/>
      </c>
      <c r="AO128" s="545" t="str">
        <f t="shared" si="15"/>
        <v/>
      </c>
      <c r="AP128" s="149"/>
      <c r="AQ128" s="150"/>
      <c r="AX128" s="31" t="str">
        <f>IFERROR(INDEX('G-7 Rivers Data'!$AZ$3:$AZ$7,MATCH(N128,'G-7 Rivers Data'!$AY$3:$AY$7,0)),"")</f>
        <v/>
      </c>
    </row>
    <row r="129" spans="2:50" ht="13.8" x14ac:dyDescent="0.25">
      <c r="B129" s="531" t="str">
        <f>'F-1 Off Site River Baseline'!AN127</f>
        <v/>
      </c>
      <c r="C129" s="520" t="str">
        <f>IF(B129="","",VLOOKUP($B129,'F-1 Off Site River Baseline'!$C$9:$R$257,2,FALSE))</f>
        <v/>
      </c>
      <c r="D129" s="520" t="str">
        <f>IF(C129="","",VLOOKUP($B129,'F-1 Off Site River Baseline'!$C$9:$R$257,3,FALSE))</f>
        <v/>
      </c>
      <c r="E129" s="520" t="str">
        <f>IF(D129="","",VLOOKUP($B129,'F-1 Off Site River Baseline'!$C$9:$R$257,4,FALSE))</f>
        <v/>
      </c>
      <c r="F129" s="520" t="str">
        <f>IF(E129="","",VLOOKUP($B129,'F-1 Off Site River Baseline'!$C$9:$R$257,5,FALSE))</f>
        <v/>
      </c>
      <c r="G129" s="520" t="str">
        <f>IF(F129="","",VLOOKUP($B129,'F-1 Off Site River Baseline'!$C$9:$R$257,6,FALSE))</f>
        <v/>
      </c>
      <c r="H129" s="520" t="str">
        <f>IF(G129="","",VLOOKUP($B129,'F-1 Off Site River Baseline'!$C$9:$R$257,7,FALSE))</f>
        <v/>
      </c>
      <c r="I129" s="520" t="str">
        <f>IF(H129="","",VLOOKUP($B129,'F-1 Off Site River Baseline'!$C$9:$R$257,8,FALSE))</f>
        <v/>
      </c>
      <c r="J129" s="520" t="str">
        <f>IF(I129="","",VLOOKUP($B129,'F-1 Off Site River Baseline'!$C$9:$R$257,9,FALSE))</f>
        <v/>
      </c>
      <c r="K129" s="520" t="str">
        <f>IF(J129="","",VLOOKUP($B129,'F-1 Off Site River Baseline'!$C$9:$R$257,10,FALSE))</f>
        <v/>
      </c>
      <c r="L129" s="520" t="str">
        <f>IF(B129="","",VLOOKUP($B129,'C-1 Site River Baseline'!$C$9:$R$257,15,FALSE))</f>
        <v/>
      </c>
      <c r="M129" s="524" t="str">
        <f>IF(L129="","",VLOOKUP($B129,'F-1 Off Site River Baseline'!$C$9:$R$257,16,FALSE))</f>
        <v/>
      </c>
      <c r="N129" s="418" t="str">
        <f t="shared" si="12"/>
        <v/>
      </c>
      <c r="O129" s="498" t="str">
        <f t="shared" si="13"/>
        <v/>
      </c>
      <c r="P129" s="499" t="str">
        <f>IF(C129="","",IF(AND(LEFT(C129,55)&lt;&gt;LEFT(N129,55),O129="High - High"),"Error - Not like for like ▲",IF(AND(F129=S129,H129&gt;U129),"Error - Can not reduce condition ▲",IF(AND(F129=S129,H129=U129,AJ129='F-1 Off Site River Baseline'!N127,'F-1 Off Site River Baseline'!P127=AL129),"Error - No enhancement ▲",IF(AND(C129&lt;&gt;N129,F129&lt;S129),"Lower Distinctiveness Habitat"&amp;" - "&amp;T129,G129&amp;" - "&amp;T129)))))</f>
        <v/>
      </c>
      <c r="Q129" s="505" t="str">
        <f>IF(N129="","",VLOOKUP(B129,'F-1 Off Site River Baseline'!$C$10:$AA$257,19,FALSE))</f>
        <v/>
      </c>
      <c r="R129" s="498" t="str">
        <f>IF(N129="","",VLOOKUP(N129,'G-7 Rivers Data'!$B$2:$G$8,2,FALSE))</f>
        <v/>
      </c>
      <c r="S129" s="499" t="str">
        <f>IFERROR(VLOOKUP(R129,'G-7 Rivers Data'!$C$4:$D$8,2,FALSE),"")</f>
        <v/>
      </c>
      <c r="T129" s="145"/>
      <c r="U129" s="499" t="str">
        <f>IFERROR(INDEX('G-7 Rivers Data'!$H$4:$L$8,MATCH(N129,'G-7 Rivers Data'!$B$4:$B$8,0),MATCH(T129,'G-7 Rivers Data'!$H$3:$L$3,0)),"")</f>
        <v/>
      </c>
      <c r="V129" s="154"/>
      <c r="W129" s="520" t="str">
        <f>IF(V129="","",IF(VLOOKUP(V129,'G-7 Rivers Data'!$AG$4:$AI$9,2,FALSE)=0,"Spatial Data Missing ⚠",VLOOKUP(V129,'G-7 Rivers Data'!$AG$4:$AI$9,2,FALSE)))</f>
        <v/>
      </c>
      <c r="X129" s="524" t="str">
        <f>IF(V129="","",IF(VLOOKUP(V129,'G-7 Rivers Data'!$AG$4:$AI$9,3,FALSE)=0,"Spatial Data Missing ⚠",VLOOKUP(V129,'G-7 Rivers Data'!$AG$4:$AI$9,3,FALSE)))</f>
        <v/>
      </c>
      <c r="Y129" s="537" t="str">
        <f>IFERROR(IF(OR(LEFT(P129,5)="Error ▲",LEFT(O129,5)="Error ▲"),"Check Data ⚠",IF(F129&lt;S129,'G-7 Rivers Data'!$R$3,INDEX('G-7 Rivers Data'!$U$5:$Y$9,MATCH(G129,'G-7 Rivers Data'!$T$5:$T$9,0),MATCH(T129,'G-7 Rivers Data'!$U$4:$Y$4,0)))),"")</f>
        <v/>
      </c>
      <c r="Z129" s="203"/>
      <c r="AA129" s="203"/>
      <c r="AB129" s="534" t="str">
        <f t="shared" si="8"/>
        <v/>
      </c>
      <c r="AC129" s="521" t="str">
        <f t="shared" si="9"/>
        <v/>
      </c>
      <c r="AD129" s="564" t="str">
        <f>IFERROR(IF(AC129="Check Data ⚠","Check Data ⚠",VLOOKUP(AC129,'G-4 Temporal multipliers'!$A$4:$C$37,3,FALSE)),"")</f>
        <v/>
      </c>
      <c r="AE129" s="537" t="str">
        <f>IF(N129="","",VLOOKUP(N129,'G-7 Rivers Data'!$B$4:$G$8,5,FALSE))</f>
        <v/>
      </c>
      <c r="AF129" s="520" t="str">
        <f t="shared" si="10"/>
        <v/>
      </c>
      <c r="AG129" s="520" t="str">
        <f t="shared" si="14"/>
        <v/>
      </c>
      <c r="AH129" s="524" t="str">
        <f t="shared" si="11"/>
        <v/>
      </c>
      <c r="AI129" s="145"/>
      <c r="AJ129" s="499" t="str">
        <f>IF(AI129="","",IF(VLOOKUP(AI129,'G-7 Rivers Data'!$AA$4:$AB$7,2,FALSE)=0,"Spatial Data Missing ⚠",VLOOKUP(AI129,'G-7 Rivers Data'!$AA$4:$AB$7,2,FALSE)))</f>
        <v/>
      </c>
      <c r="AK129" s="155"/>
      <c r="AL129" s="536" t="str">
        <f>IF(AK129="","",IF(VLOOKUP(AK129,'G-7 Rivers Data'!$AD$4:$AE$8,2,FALSE)=0,"Spatial Data Missing ⚠",VLOOKUP(AK129,'G-7 Rivers Data'!$AD$4:$AE$8,2,FALSE)))</f>
        <v/>
      </c>
      <c r="AM129" s="154"/>
      <c r="AN129" s="524" t="str">
        <f>IF(AM129="","",VLOOKUP(AM129,'G-7 Rivers Data'!$AO$4:$AP$7,2,FALSE))</f>
        <v/>
      </c>
      <c r="AO129" s="545" t="str">
        <f t="shared" si="15"/>
        <v/>
      </c>
      <c r="AP129" s="149"/>
      <c r="AQ129" s="150"/>
      <c r="AX129" s="31" t="str">
        <f>IFERROR(INDEX('G-7 Rivers Data'!$AZ$3:$AZ$7,MATCH(N129,'G-7 Rivers Data'!$AY$3:$AY$7,0)),"")</f>
        <v/>
      </c>
    </row>
    <row r="130" spans="2:50" ht="13.8" x14ac:dyDescent="0.25">
      <c r="B130" s="531" t="str">
        <f>'F-1 Off Site River Baseline'!AN128</f>
        <v/>
      </c>
      <c r="C130" s="520" t="str">
        <f>IF(B130="","",VLOOKUP($B130,'F-1 Off Site River Baseline'!$C$9:$R$257,2,FALSE))</f>
        <v/>
      </c>
      <c r="D130" s="520" t="str">
        <f>IF(C130="","",VLOOKUP($B130,'F-1 Off Site River Baseline'!$C$9:$R$257,3,FALSE))</f>
        <v/>
      </c>
      <c r="E130" s="520" t="str">
        <f>IF(D130="","",VLOOKUP($B130,'F-1 Off Site River Baseline'!$C$9:$R$257,4,FALSE))</f>
        <v/>
      </c>
      <c r="F130" s="520" t="str">
        <f>IF(E130="","",VLOOKUP($B130,'F-1 Off Site River Baseline'!$C$9:$R$257,5,FALSE))</f>
        <v/>
      </c>
      <c r="G130" s="520" t="str">
        <f>IF(F130="","",VLOOKUP($B130,'F-1 Off Site River Baseline'!$C$9:$R$257,6,FALSE))</f>
        <v/>
      </c>
      <c r="H130" s="520" t="str">
        <f>IF(G130="","",VLOOKUP($B130,'F-1 Off Site River Baseline'!$C$9:$R$257,7,FALSE))</f>
        <v/>
      </c>
      <c r="I130" s="520" t="str">
        <f>IF(H130="","",VLOOKUP($B130,'F-1 Off Site River Baseline'!$C$9:$R$257,8,FALSE))</f>
        <v/>
      </c>
      <c r="J130" s="520" t="str">
        <f>IF(I130="","",VLOOKUP($B130,'F-1 Off Site River Baseline'!$C$9:$R$257,9,FALSE))</f>
        <v/>
      </c>
      <c r="K130" s="520" t="str">
        <f>IF(J130="","",VLOOKUP($B130,'F-1 Off Site River Baseline'!$C$9:$R$257,10,FALSE))</f>
        <v/>
      </c>
      <c r="L130" s="520" t="str">
        <f>IF(B130="","",VLOOKUP($B130,'C-1 Site River Baseline'!$C$9:$R$257,15,FALSE))</f>
        <v/>
      </c>
      <c r="M130" s="524" t="str">
        <f>IF(L130="","",VLOOKUP($B130,'F-1 Off Site River Baseline'!$C$9:$R$257,16,FALSE))</f>
        <v/>
      </c>
      <c r="N130" s="418" t="str">
        <f t="shared" si="12"/>
        <v/>
      </c>
      <c r="O130" s="498" t="str">
        <f t="shared" si="13"/>
        <v/>
      </c>
      <c r="P130" s="499" t="str">
        <f>IF(C130="","",IF(AND(LEFT(C130,55)&lt;&gt;LEFT(N130,55),O130="High - High"),"Error - Not like for like ▲",IF(AND(F130=S130,H130&gt;U130),"Error - Can not reduce condition ▲",IF(AND(F130=S130,H130=U130,AJ130='F-1 Off Site River Baseline'!N128,'F-1 Off Site River Baseline'!P128=AL130),"Error - No enhancement ▲",IF(AND(C130&lt;&gt;N130,F130&lt;S130),"Lower Distinctiveness Habitat"&amp;" - "&amp;T130,G130&amp;" - "&amp;T130)))))</f>
        <v/>
      </c>
      <c r="Q130" s="505" t="str">
        <f>IF(N130="","",VLOOKUP(B130,'F-1 Off Site River Baseline'!$C$10:$AA$257,19,FALSE))</f>
        <v/>
      </c>
      <c r="R130" s="498" t="str">
        <f>IF(N130="","",VLOOKUP(N130,'G-7 Rivers Data'!$B$2:$G$8,2,FALSE))</f>
        <v/>
      </c>
      <c r="S130" s="499" t="str">
        <f>IFERROR(VLOOKUP(R130,'G-7 Rivers Data'!$C$4:$D$8,2,FALSE),"")</f>
        <v/>
      </c>
      <c r="T130" s="145"/>
      <c r="U130" s="499" t="str">
        <f>IFERROR(INDEX('G-7 Rivers Data'!$H$4:$L$8,MATCH(N130,'G-7 Rivers Data'!$B$4:$B$8,0),MATCH(T130,'G-7 Rivers Data'!$H$3:$L$3,0)),"")</f>
        <v/>
      </c>
      <c r="V130" s="154"/>
      <c r="W130" s="520" t="str">
        <f>IF(V130="","",IF(VLOOKUP(V130,'G-7 Rivers Data'!$AG$4:$AI$9,2,FALSE)=0,"Spatial Data Missing ⚠",VLOOKUP(V130,'G-7 Rivers Data'!$AG$4:$AI$9,2,FALSE)))</f>
        <v/>
      </c>
      <c r="X130" s="524" t="str">
        <f>IF(V130="","",IF(VLOOKUP(V130,'G-7 Rivers Data'!$AG$4:$AI$9,3,FALSE)=0,"Spatial Data Missing ⚠",VLOOKUP(V130,'G-7 Rivers Data'!$AG$4:$AI$9,3,FALSE)))</f>
        <v/>
      </c>
      <c r="Y130" s="537" t="str">
        <f>IFERROR(IF(OR(LEFT(P130,5)="Error ▲",LEFT(O130,5)="Error ▲"),"Check Data ⚠",IF(F130&lt;S130,'G-7 Rivers Data'!$R$3,INDEX('G-7 Rivers Data'!$U$5:$Y$9,MATCH(G130,'G-7 Rivers Data'!$T$5:$T$9,0),MATCH(T130,'G-7 Rivers Data'!$U$4:$Y$4,0)))),"")</f>
        <v/>
      </c>
      <c r="Z130" s="203"/>
      <c r="AA130" s="203"/>
      <c r="AB130" s="534" t="str">
        <f t="shared" si="8"/>
        <v/>
      </c>
      <c r="AC130" s="521" t="str">
        <f t="shared" si="9"/>
        <v/>
      </c>
      <c r="AD130" s="564" t="str">
        <f>IFERROR(IF(AC130="Check Data ⚠","Check Data ⚠",VLOOKUP(AC130,'G-4 Temporal multipliers'!$A$4:$C$37,3,FALSE)),"")</f>
        <v/>
      </c>
      <c r="AE130" s="537" t="str">
        <f>IF(N130="","",VLOOKUP(N130,'G-7 Rivers Data'!$B$4:$G$8,5,FALSE))</f>
        <v/>
      </c>
      <c r="AF130" s="520" t="str">
        <f t="shared" si="10"/>
        <v/>
      </c>
      <c r="AG130" s="520" t="str">
        <f t="shared" si="14"/>
        <v/>
      </c>
      <c r="AH130" s="524" t="str">
        <f t="shared" si="11"/>
        <v/>
      </c>
      <c r="AI130" s="145"/>
      <c r="AJ130" s="499" t="str">
        <f>IF(AI130="","",IF(VLOOKUP(AI130,'G-7 Rivers Data'!$AA$4:$AB$7,2,FALSE)=0,"Spatial Data Missing ⚠",VLOOKUP(AI130,'G-7 Rivers Data'!$AA$4:$AB$7,2,FALSE)))</f>
        <v/>
      </c>
      <c r="AK130" s="155"/>
      <c r="AL130" s="536" t="str">
        <f>IF(AK130="","",IF(VLOOKUP(AK130,'G-7 Rivers Data'!$AD$4:$AE$8,2,FALSE)=0,"Spatial Data Missing ⚠",VLOOKUP(AK130,'G-7 Rivers Data'!$AD$4:$AE$8,2,FALSE)))</f>
        <v/>
      </c>
      <c r="AM130" s="154"/>
      <c r="AN130" s="524" t="str">
        <f>IF(AM130="","",VLOOKUP(AM130,'G-7 Rivers Data'!$AO$4:$AP$7,2,FALSE))</f>
        <v/>
      </c>
      <c r="AO130" s="545" t="str">
        <f t="shared" si="15"/>
        <v/>
      </c>
      <c r="AP130" s="149"/>
      <c r="AQ130" s="150"/>
      <c r="AX130" s="31" t="str">
        <f>IFERROR(INDEX('G-7 Rivers Data'!$AZ$3:$AZ$7,MATCH(N130,'G-7 Rivers Data'!$AY$3:$AY$7,0)),"")</f>
        <v/>
      </c>
    </row>
    <row r="131" spans="2:50" ht="13.8" x14ac:dyDescent="0.25">
      <c r="B131" s="531" t="str">
        <f>'F-1 Off Site River Baseline'!AN129</f>
        <v/>
      </c>
      <c r="C131" s="520" t="str">
        <f>IF(B131="","",VLOOKUP($B131,'F-1 Off Site River Baseline'!$C$9:$R$257,2,FALSE))</f>
        <v/>
      </c>
      <c r="D131" s="520" t="str">
        <f>IF(C131="","",VLOOKUP($B131,'F-1 Off Site River Baseline'!$C$9:$R$257,3,FALSE))</f>
        <v/>
      </c>
      <c r="E131" s="520" t="str">
        <f>IF(D131="","",VLOOKUP($B131,'F-1 Off Site River Baseline'!$C$9:$R$257,4,FALSE))</f>
        <v/>
      </c>
      <c r="F131" s="520" t="str">
        <f>IF(E131="","",VLOOKUP($B131,'F-1 Off Site River Baseline'!$C$9:$R$257,5,FALSE))</f>
        <v/>
      </c>
      <c r="G131" s="520" t="str">
        <f>IF(F131="","",VLOOKUP($B131,'F-1 Off Site River Baseline'!$C$9:$R$257,6,FALSE))</f>
        <v/>
      </c>
      <c r="H131" s="520" t="str">
        <f>IF(G131="","",VLOOKUP($B131,'F-1 Off Site River Baseline'!$C$9:$R$257,7,FALSE))</f>
        <v/>
      </c>
      <c r="I131" s="520" t="str">
        <f>IF(H131="","",VLOOKUP($B131,'F-1 Off Site River Baseline'!$C$9:$R$257,8,FALSE))</f>
        <v/>
      </c>
      <c r="J131" s="520" t="str">
        <f>IF(I131="","",VLOOKUP($B131,'F-1 Off Site River Baseline'!$C$9:$R$257,9,FALSE))</f>
        <v/>
      </c>
      <c r="K131" s="520" t="str">
        <f>IF(J131="","",VLOOKUP($B131,'F-1 Off Site River Baseline'!$C$9:$R$257,10,FALSE))</f>
        <v/>
      </c>
      <c r="L131" s="520" t="str">
        <f>IF(B131="","",VLOOKUP($B131,'C-1 Site River Baseline'!$C$9:$R$257,15,FALSE))</f>
        <v/>
      </c>
      <c r="M131" s="524" t="str">
        <f>IF(L131="","",VLOOKUP($B131,'F-1 Off Site River Baseline'!$C$9:$R$257,16,FALSE))</f>
        <v/>
      </c>
      <c r="N131" s="418" t="str">
        <f t="shared" si="12"/>
        <v/>
      </c>
      <c r="O131" s="498" t="str">
        <f t="shared" si="13"/>
        <v/>
      </c>
      <c r="P131" s="499" t="str">
        <f>IF(C131="","",IF(AND(LEFT(C131,55)&lt;&gt;LEFT(N131,55),O131="High - High"),"Error - Not like for like ▲",IF(AND(F131=S131,H131&gt;U131),"Error - Can not reduce condition ▲",IF(AND(F131=S131,H131=U131,AJ131='F-1 Off Site River Baseline'!N129,'F-1 Off Site River Baseline'!P129=AL131),"Error - No enhancement ▲",IF(AND(C131&lt;&gt;N131,F131&lt;S131),"Lower Distinctiveness Habitat"&amp;" - "&amp;T131,G131&amp;" - "&amp;T131)))))</f>
        <v/>
      </c>
      <c r="Q131" s="505" t="str">
        <f>IF(N131="","",VLOOKUP(B131,'F-1 Off Site River Baseline'!$C$10:$AA$257,19,FALSE))</f>
        <v/>
      </c>
      <c r="R131" s="498" t="str">
        <f>IF(N131="","",VLOOKUP(N131,'G-7 Rivers Data'!$B$2:$G$8,2,FALSE))</f>
        <v/>
      </c>
      <c r="S131" s="499" t="str">
        <f>IFERROR(VLOOKUP(R131,'G-7 Rivers Data'!$C$4:$D$8,2,FALSE),"")</f>
        <v/>
      </c>
      <c r="T131" s="145"/>
      <c r="U131" s="499" t="str">
        <f>IFERROR(INDEX('G-7 Rivers Data'!$H$4:$L$8,MATCH(N131,'G-7 Rivers Data'!$B$4:$B$8,0),MATCH(T131,'G-7 Rivers Data'!$H$3:$L$3,0)),"")</f>
        <v/>
      </c>
      <c r="V131" s="154"/>
      <c r="W131" s="520" t="str">
        <f>IF(V131="","",IF(VLOOKUP(V131,'G-7 Rivers Data'!$AG$4:$AI$9,2,FALSE)=0,"Spatial Data Missing ⚠",VLOOKUP(V131,'G-7 Rivers Data'!$AG$4:$AI$9,2,FALSE)))</f>
        <v/>
      </c>
      <c r="X131" s="524" t="str">
        <f>IF(V131="","",IF(VLOOKUP(V131,'G-7 Rivers Data'!$AG$4:$AI$9,3,FALSE)=0,"Spatial Data Missing ⚠",VLOOKUP(V131,'G-7 Rivers Data'!$AG$4:$AI$9,3,FALSE)))</f>
        <v/>
      </c>
      <c r="Y131" s="537" t="str">
        <f>IFERROR(IF(OR(LEFT(P131,5)="Error ▲",LEFT(O131,5)="Error ▲"),"Check Data ⚠",IF(F131&lt;S131,'G-7 Rivers Data'!$R$3,INDEX('G-7 Rivers Data'!$U$5:$Y$9,MATCH(G131,'G-7 Rivers Data'!$T$5:$T$9,0),MATCH(T131,'G-7 Rivers Data'!$U$4:$Y$4,0)))),"")</f>
        <v/>
      </c>
      <c r="Z131" s="203"/>
      <c r="AA131" s="203"/>
      <c r="AB131" s="534" t="str">
        <f t="shared" si="8"/>
        <v/>
      </c>
      <c r="AC131" s="521" t="str">
        <f t="shared" si="9"/>
        <v/>
      </c>
      <c r="AD131" s="564" t="str">
        <f>IFERROR(IF(AC131="Check Data ⚠","Check Data ⚠",VLOOKUP(AC131,'G-4 Temporal multipliers'!$A$4:$C$37,3,FALSE)),"")</f>
        <v/>
      </c>
      <c r="AE131" s="537" t="str">
        <f>IF(N131="","",VLOOKUP(N131,'G-7 Rivers Data'!$B$4:$G$8,5,FALSE))</f>
        <v/>
      </c>
      <c r="AF131" s="520" t="str">
        <f t="shared" si="10"/>
        <v/>
      </c>
      <c r="AG131" s="520" t="str">
        <f t="shared" si="14"/>
        <v/>
      </c>
      <c r="AH131" s="524" t="str">
        <f t="shared" si="11"/>
        <v/>
      </c>
      <c r="AI131" s="145"/>
      <c r="AJ131" s="499" t="str">
        <f>IF(AI131="","",IF(VLOOKUP(AI131,'G-7 Rivers Data'!$AA$4:$AB$7,2,FALSE)=0,"Spatial Data Missing ⚠",VLOOKUP(AI131,'G-7 Rivers Data'!$AA$4:$AB$7,2,FALSE)))</f>
        <v/>
      </c>
      <c r="AK131" s="155"/>
      <c r="AL131" s="536" t="str">
        <f>IF(AK131="","",IF(VLOOKUP(AK131,'G-7 Rivers Data'!$AD$4:$AE$8,2,FALSE)=0,"Spatial Data Missing ⚠",VLOOKUP(AK131,'G-7 Rivers Data'!$AD$4:$AE$8,2,FALSE)))</f>
        <v/>
      </c>
      <c r="AM131" s="154"/>
      <c r="AN131" s="524" t="str">
        <f>IF(AM131="","",VLOOKUP(AM131,'G-7 Rivers Data'!$AO$4:$AP$7,2,FALSE))</f>
        <v/>
      </c>
      <c r="AO131" s="545" t="str">
        <f t="shared" si="15"/>
        <v/>
      </c>
      <c r="AP131" s="149"/>
      <c r="AQ131" s="150"/>
      <c r="AX131" s="31" t="str">
        <f>IFERROR(INDEX('G-7 Rivers Data'!$AZ$3:$AZ$7,MATCH(N131,'G-7 Rivers Data'!$AY$3:$AY$7,0)),"")</f>
        <v/>
      </c>
    </row>
    <row r="132" spans="2:50" ht="13.8" x14ac:dyDescent="0.25">
      <c r="B132" s="531" t="str">
        <f>'F-1 Off Site River Baseline'!AN130</f>
        <v/>
      </c>
      <c r="C132" s="520" t="str">
        <f>IF(B132="","",VLOOKUP($B132,'F-1 Off Site River Baseline'!$C$9:$R$257,2,FALSE))</f>
        <v/>
      </c>
      <c r="D132" s="520" t="str">
        <f>IF(C132="","",VLOOKUP($B132,'F-1 Off Site River Baseline'!$C$9:$R$257,3,FALSE))</f>
        <v/>
      </c>
      <c r="E132" s="520" t="str">
        <f>IF(D132="","",VLOOKUP($B132,'F-1 Off Site River Baseline'!$C$9:$R$257,4,FALSE))</f>
        <v/>
      </c>
      <c r="F132" s="520" t="str">
        <f>IF(E132="","",VLOOKUP($B132,'F-1 Off Site River Baseline'!$C$9:$R$257,5,FALSE))</f>
        <v/>
      </c>
      <c r="G132" s="520" t="str">
        <f>IF(F132="","",VLOOKUP($B132,'F-1 Off Site River Baseline'!$C$9:$R$257,6,FALSE))</f>
        <v/>
      </c>
      <c r="H132" s="520" t="str">
        <f>IF(G132="","",VLOOKUP($B132,'F-1 Off Site River Baseline'!$C$9:$R$257,7,FALSE))</f>
        <v/>
      </c>
      <c r="I132" s="520" t="str">
        <f>IF(H132="","",VLOOKUP($B132,'F-1 Off Site River Baseline'!$C$9:$R$257,8,FALSE))</f>
        <v/>
      </c>
      <c r="J132" s="520" t="str">
        <f>IF(I132="","",VLOOKUP($B132,'F-1 Off Site River Baseline'!$C$9:$R$257,9,FALSE))</f>
        <v/>
      </c>
      <c r="K132" s="520" t="str">
        <f>IF(J132="","",VLOOKUP($B132,'F-1 Off Site River Baseline'!$C$9:$R$257,10,FALSE))</f>
        <v/>
      </c>
      <c r="L132" s="520" t="str">
        <f>IF(B132="","",VLOOKUP($B132,'C-1 Site River Baseline'!$C$9:$R$257,15,FALSE))</f>
        <v/>
      </c>
      <c r="M132" s="524" t="str">
        <f>IF(L132="","",VLOOKUP($B132,'F-1 Off Site River Baseline'!$C$9:$R$257,16,FALSE))</f>
        <v/>
      </c>
      <c r="N132" s="418" t="str">
        <f t="shared" si="12"/>
        <v/>
      </c>
      <c r="O132" s="498" t="str">
        <f t="shared" si="13"/>
        <v/>
      </c>
      <c r="P132" s="499" t="str">
        <f>IF(C132="","",IF(AND(LEFT(C132,55)&lt;&gt;LEFT(N132,55),O132="High - High"),"Error - Not like for like ▲",IF(AND(F132=S132,H132&gt;U132),"Error - Can not reduce condition ▲",IF(AND(F132=S132,H132=U132,AJ132='F-1 Off Site River Baseline'!N130,'F-1 Off Site River Baseline'!P130=AL132),"Error - No enhancement ▲",IF(AND(C132&lt;&gt;N132,F132&lt;S132),"Lower Distinctiveness Habitat"&amp;" - "&amp;T132,G132&amp;" - "&amp;T132)))))</f>
        <v/>
      </c>
      <c r="Q132" s="505" t="str">
        <f>IF(N132="","",VLOOKUP(B132,'F-1 Off Site River Baseline'!$C$10:$AA$257,19,FALSE))</f>
        <v/>
      </c>
      <c r="R132" s="498" t="str">
        <f>IF(N132="","",VLOOKUP(N132,'G-7 Rivers Data'!$B$2:$G$8,2,FALSE))</f>
        <v/>
      </c>
      <c r="S132" s="499" t="str">
        <f>IFERROR(VLOOKUP(R132,'G-7 Rivers Data'!$C$4:$D$8,2,FALSE),"")</f>
        <v/>
      </c>
      <c r="T132" s="145"/>
      <c r="U132" s="499" t="str">
        <f>IFERROR(INDEX('G-7 Rivers Data'!$H$4:$L$8,MATCH(N132,'G-7 Rivers Data'!$B$4:$B$8,0),MATCH(T132,'G-7 Rivers Data'!$H$3:$L$3,0)),"")</f>
        <v/>
      </c>
      <c r="V132" s="154"/>
      <c r="W132" s="520" t="str">
        <f>IF(V132="","",IF(VLOOKUP(V132,'G-7 Rivers Data'!$AG$4:$AI$9,2,FALSE)=0,"Spatial Data Missing ⚠",VLOOKUP(V132,'G-7 Rivers Data'!$AG$4:$AI$9,2,FALSE)))</f>
        <v/>
      </c>
      <c r="X132" s="524" t="str">
        <f>IF(V132="","",IF(VLOOKUP(V132,'G-7 Rivers Data'!$AG$4:$AI$9,3,FALSE)=0,"Spatial Data Missing ⚠",VLOOKUP(V132,'G-7 Rivers Data'!$AG$4:$AI$9,3,FALSE)))</f>
        <v/>
      </c>
      <c r="Y132" s="537" t="str">
        <f>IFERROR(IF(OR(LEFT(P132,5)="Error ▲",LEFT(O132,5)="Error ▲"),"Check Data ⚠",IF(F132&lt;S132,'G-7 Rivers Data'!$R$3,INDEX('G-7 Rivers Data'!$U$5:$Y$9,MATCH(G132,'G-7 Rivers Data'!$T$5:$T$9,0),MATCH(T132,'G-7 Rivers Data'!$U$4:$Y$4,0)))),"")</f>
        <v/>
      </c>
      <c r="Z132" s="203"/>
      <c r="AA132" s="203"/>
      <c r="AB132" s="534" t="str">
        <f t="shared" si="8"/>
        <v/>
      </c>
      <c r="AC132" s="521" t="str">
        <f t="shared" si="9"/>
        <v/>
      </c>
      <c r="AD132" s="564" t="str">
        <f>IFERROR(IF(AC132="Check Data ⚠","Check Data ⚠",VLOOKUP(AC132,'G-4 Temporal multipliers'!$A$4:$C$37,3,FALSE)),"")</f>
        <v/>
      </c>
      <c r="AE132" s="537" t="str">
        <f>IF(N132="","",VLOOKUP(N132,'G-7 Rivers Data'!$B$4:$G$8,5,FALSE))</f>
        <v/>
      </c>
      <c r="AF132" s="520" t="str">
        <f t="shared" si="10"/>
        <v/>
      </c>
      <c r="AG132" s="520" t="str">
        <f t="shared" si="14"/>
        <v/>
      </c>
      <c r="AH132" s="524" t="str">
        <f t="shared" si="11"/>
        <v/>
      </c>
      <c r="AI132" s="145"/>
      <c r="AJ132" s="499" t="str">
        <f>IF(AI132="","",IF(VLOOKUP(AI132,'G-7 Rivers Data'!$AA$4:$AB$7,2,FALSE)=0,"Spatial Data Missing ⚠",VLOOKUP(AI132,'G-7 Rivers Data'!$AA$4:$AB$7,2,FALSE)))</f>
        <v/>
      </c>
      <c r="AK132" s="155"/>
      <c r="AL132" s="536" t="str">
        <f>IF(AK132="","",IF(VLOOKUP(AK132,'G-7 Rivers Data'!$AD$4:$AE$8,2,FALSE)=0,"Spatial Data Missing ⚠",VLOOKUP(AK132,'G-7 Rivers Data'!$AD$4:$AE$8,2,FALSE)))</f>
        <v/>
      </c>
      <c r="AM132" s="154"/>
      <c r="AN132" s="524" t="str">
        <f>IF(AM132="","",VLOOKUP(AM132,'G-7 Rivers Data'!$AO$4:$AP$7,2,FALSE))</f>
        <v/>
      </c>
      <c r="AO132" s="545" t="str">
        <f t="shared" si="15"/>
        <v/>
      </c>
      <c r="AP132" s="149"/>
      <c r="AQ132" s="150"/>
      <c r="AX132" s="31" t="str">
        <f>IFERROR(INDEX('G-7 Rivers Data'!$AZ$3:$AZ$7,MATCH(N132,'G-7 Rivers Data'!$AY$3:$AY$7,0)),"")</f>
        <v/>
      </c>
    </row>
    <row r="133" spans="2:50" ht="13.8" x14ac:dyDescent="0.25">
      <c r="B133" s="531" t="str">
        <f>'F-1 Off Site River Baseline'!AN131</f>
        <v/>
      </c>
      <c r="C133" s="520" t="str">
        <f>IF(B133="","",VLOOKUP($B133,'F-1 Off Site River Baseline'!$C$9:$R$257,2,FALSE))</f>
        <v/>
      </c>
      <c r="D133" s="520" t="str">
        <f>IF(C133="","",VLOOKUP($B133,'F-1 Off Site River Baseline'!$C$9:$R$257,3,FALSE))</f>
        <v/>
      </c>
      <c r="E133" s="520" t="str">
        <f>IF(D133="","",VLOOKUP($B133,'F-1 Off Site River Baseline'!$C$9:$R$257,4,FALSE))</f>
        <v/>
      </c>
      <c r="F133" s="520" t="str">
        <f>IF(E133="","",VLOOKUP($B133,'F-1 Off Site River Baseline'!$C$9:$R$257,5,FALSE))</f>
        <v/>
      </c>
      <c r="G133" s="520" t="str">
        <f>IF(F133="","",VLOOKUP($B133,'F-1 Off Site River Baseline'!$C$9:$R$257,6,FALSE))</f>
        <v/>
      </c>
      <c r="H133" s="520" t="str">
        <f>IF(G133="","",VLOOKUP($B133,'F-1 Off Site River Baseline'!$C$9:$R$257,7,FALSE))</f>
        <v/>
      </c>
      <c r="I133" s="520" t="str">
        <f>IF(H133="","",VLOOKUP($B133,'F-1 Off Site River Baseline'!$C$9:$R$257,8,FALSE))</f>
        <v/>
      </c>
      <c r="J133" s="520" t="str">
        <f>IF(I133="","",VLOOKUP($B133,'F-1 Off Site River Baseline'!$C$9:$R$257,9,FALSE))</f>
        <v/>
      </c>
      <c r="K133" s="520" t="str">
        <f>IF(J133="","",VLOOKUP($B133,'F-1 Off Site River Baseline'!$C$9:$R$257,10,FALSE))</f>
        <v/>
      </c>
      <c r="L133" s="520" t="str">
        <f>IF(B133="","",VLOOKUP($B133,'C-1 Site River Baseline'!$C$9:$R$257,15,FALSE))</f>
        <v/>
      </c>
      <c r="M133" s="524" t="str">
        <f>IF(L133="","",VLOOKUP($B133,'F-1 Off Site River Baseline'!$C$9:$R$257,16,FALSE))</f>
        <v/>
      </c>
      <c r="N133" s="418" t="str">
        <f t="shared" si="12"/>
        <v/>
      </c>
      <c r="O133" s="498" t="str">
        <f t="shared" si="13"/>
        <v/>
      </c>
      <c r="P133" s="499" t="str">
        <f>IF(C133="","",IF(AND(LEFT(C133,55)&lt;&gt;LEFT(N133,55),O133="High - High"),"Error - Not like for like ▲",IF(AND(F133=S133,H133&gt;U133),"Error - Can not reduce condition ▲",IF(AND(F133=S133,H133=U133,AJ133='F-1 Off Site River Baseline'!N131,'F-1 Off Site River Baseline'!P131=AL133),"Error - No enhancement ▲",IF(AND(C133&lt;&gt;N133,F133&lt;S133),"Lower Distinctiveness Habitat"&amp;" - "&amp;T133,G133&amp;" - "&amp;T133)))))</f>
        <v/>
      </c>
      <c r="Q133" s="505" t="str">
        <f>IF(N133="","",VLOOKUP(B133,'F-1 Off Site River Baseline'!$C$10:$AA$257,19,FALSE))</f>
        <v/>
      </c>
      <c r="R133" s="498" t="str">
        <f>IF(N133="","",VLOOKUP(N133,'G-7 Rivers Data'!$B$2:$G$8,2,FALSE))</f>
        <v/>
      </c>
      <c r="S133" s="499" t="str">
        <f>IFERROR(VLOOKUP(R133,'G-7 Rivers Data'!$C$4:$D$8,2,FALSE),"")</f>
        <v/>
      </c>
      <c r="T133" s="145"/>
      <c r="U133" s="499" t="str">
        <f>IFERROR(INDEX('G-7 Rivers Data'!$H$4:$L$8,MATCH(N133,'G-7 Rivers Data'!$B$4:$B$8,0),MATCH(T133,'G-7 Rivers Data'!$H$3:$L$3,0)),"")</f>
        <v/>
      </c>
      <c r="V133" s="154"/>
      <c r="W133" s="520" t="str">
        <f>IF(V133="","",IF(VLOOKUP(V133,'G-7 Rivers Data'!$AG$4:$AI$9,2,FALSE)=0,"Spatial Data Missing ⚠",VLOOKUP(V133,'G-7 Rivers Data'!$AG$4:$AI$9,2,FALSE)))</f>
        <v/>
      </c>
      <c r="X133" s="524" t="str">
        <f>IF(V133="","",IF(VLOOKUP(V133,'G-7 Rivers Data'!$AG$4:$AI$9,3,FALSE)=0,"Spatial Data Missing ⚠",VLOOKUP(V133,'G-7 Rivers Data'!$AG$4:$AI$9,3,FALSE)))</f>
        <v/>
      </c>
      <c r="Y133" s="537" t="str">
        <f>IFERROR(IF(OR(LEFT(P133,5)="Error ▲",LEFT(O133,5)="Error ▲"),"Check Data ⚠",IF(F133&lt;S133,'G-7 Rivers Data'!$R$3,INDEX('G-7 Rivers Data'!$U$5:$Y$9,MATCH(G133,'G-7 Rivers Data'!$T$5:$T$9,0),MATCH(T133,'G-7 Rivers Data'!$U$4:$Y$4,0)))),"")</f>
        <v/>
      </c>
      <c r="Z133" s="203"/>
      <c r="AA133" s="203"/>
      <c r="AB133" s="534" t="str">
        <f t="shared" si="8"/>
        <v/>
      </c>
      <c r="AC133" s="521" t="str">
        <f t="shared" si="9"/>
        <v/>
      </c>
      <c r="AD133" s="564" t="str">
        <f>IFERROR(IF(AC133="Check Data ⚠","Check Data ⚠",VLOOKUP(AC133,'G-4 Temporal multipliers'!$A$4:$C$37,3,FALSE)),"")</f>
        <v/>
      </c>
      <c r="AE133" s="537" t="str">
        <f>IF(N133="","",VLOOKUP(N133,'G-7 Rivers Data'!$B$4:$G$8,5,FALSE))</f>
        <v/>
      </c>
      <c r="AF133" s="520" t="str">
        <f t="shared" si="10"/>
        <v/>
      </c>
      <c r="AG133" s="520" t="str">
        <f t="shared" si="14"/>
        <v/>
      </c>
      <c r="AH133" s="524" t="str">
        <f t="shared" si="11"/>
        <v/>
      </c>
      <c r="AI133" s="145"/>
      <c r="AJ133" s="499" t="str">
        <f>IF(AI133="","",IF(VLOOKUP(AI133,'G-7 Rivers Data'!$AA$4:$AB$7,2,FALSE)=0,"Spatial Data Missing ⚠",VLOOKUP(AI133,'G-7 Rivers Data'!$AA$4:$AB$7,2,FALSE)))</f>
        <v/>
      </c>
      <c r="AK133" s="155"/>
      <c r="AL133" s="536" t="str">
        <f>IF(AK133="","",IF(VLOOKUP(AK133,'G-7 Rivers Data'!$AD$4:$AE$8,2,FALSE)=0,"Spatial Data Missing ⚠",VLOOKUP(AK133,'G-7 Rivers Data'!$AD$4:$AE$8,2,FALSE)))</f>
        <v/>
      </c>
      <c r="AM133" s="154"/>
      <c r="AN133" s="524" t="str">
        <f>IF(AM133="","",VLOOKUP(AM133,'G-7 Rivers Data'!$AO$4:$AP$7,2,FALSE))</f>
        <v/>
      </c>
      <c r="AO133" s="545" t="str">
        <f t="shared" si="15"/>
        <v/>
      </c>
      <c r="AP133" s="149"/>
      <c r="AQ133" s="150"/>
      <c r="AX133" s="31" t="str">
        <f>IFERROR(INDEX('G-7 Rivers Data'!$AZ$3:$AZ$7,MATCH(N133,'G-7 Rivers Data'!$AY$3:$AY$7,0)),"")</f>
        <v/>
      </c>
    </row>
    <row r="134" spans="2:50" ht="13.8" x14ac:dyDescent="0.25">
      <c r="B134" s="531" t="str">
        <f>'F-1 Off Site River Baseline'!AN132</f>
        <v/>
      </c>
      <c r="C134" s="520" t="str">
        <f>IF(B134="","",VLOOKUP($B134,'F-1 Off Site River Baseline'!$C$9:$R$257,2,FALSE))</f>
        <v/>
      </c>
      <c r="D134" s="520" t="str">
        <f>IF(C134="","",VLOOKUP($B134,'F-1 Off Site River Baseline'!$C$9:$R$257,3,FALSE))</f>
        <v/>
      </c>
      <c r="E134" s="520" t="str">
        <f>IF(D134="","",VLOOKUP($B134,'F-1 Off Site River Baseline'!$C$9:$R$257,4,FALSE))</f>
        <v/>
      </c>
      <c r="F134" s="520" t="str">
        <f>IF(E134="","",VLOOKUP($B134,'F-1 Off Site River Baseline'!$C$9:$R$257,5,FALSE))</f>
        <v/>
      </c>
      <c r="G134" s="520" t="str">
        <f>IF(F134="","",VLOOKUP($B134,'F-1 Off Site River Baseline'!$C$9:$R$257,6,FALSE))</f>
        <v/>
      </c>
      <c r="H134" s="520" t="str">
        <f>IF(G134="","",VLOOKUP($B134,'F-1 Off Site River Baseline'!$C$9:$R$257,7,FALSE))</f>
        <v/>
      </c>
      <c r="I134" s="520" t="str">
        <f>IF(H134="","",VLOOKUP($B134,'F-1 Off Site River Baseline'!$C$9:$R$257,8,FALSE))</f>
        <v/>
      </c>
      <c r="J134" s="520" t="str">
        <f>IF(I134="","",VLOOKUP($B134,'F-1 Off Site River Baseline'!$C$9:$R$257,9,FALSE))</f>
        <v/>
      </c>
      <c r="K134" s="520" t="str">
        <f>IF(J134="","",VLOOKUP($B134,'F-1 Off Site River Baseline'!$C$9:$R$257,10,FALSE))</f>
        <v/>
      </c>
      <c r="L134" s="520" t="str">
        <f>IF(B134="","",VLOOKUP($B134,'C-1 Site River Baseline'!$C$9:$R$257,15,FALSE))</f>
        <v/>
      </c>
      <c r="M134" s="524" t="str">
        <f>IF(L134="","",VLOOKUP($B134,'F-1 Off Site River Baseline'!$C$9:$R$257,16,FALSE))</f>
        <v/>
      </c>
      <c r="N134" s="418" t="str">
        <f t="shared" si="12"/>
        <v/>
      </c>
      <c r="O134" s="498" t="str">
        <f t="shared" si="13"/>
        <v/>
      </c>
      <c r="P134" s="499" t="str">
        <f>IF(C134="","",IF(AND(LEFT(C134,55)&lt;&gt;LEFT(N134,55),O134="High - High"),"Error - Not like for like ▲",IF(AND(F134=S134,H134&gt;U134),"Error - Can not reduce condition ▲",IF(AND(F134=S134,H134=U134,AJ134='F-1 Off Site River Baseline'!N132,'F-1 Off Site River Baseline'!P132=AL134),"Error - No enhancement ▲",IF(AND(C134&lt;&gt;N134,F134&lt;S134),"Lower Distinctiveness Habitat"&amp;" - "&amp;T134,G134&amp;" - "&amp;T134)))))</f>
        <v/>
      </c>
      <c r="Q134" s="505" t="str">
        <f>IF(N134="","",VLOOKUP(B134,'F-1 Off Site River Baseline'!$C$10:$AA$257,19,FALSE))</f>
        <v/>
      </c>
      <c r="R134" s="498" t="str">
        <f>IF(N134="","",VLOOKUP(N134,'G-7 Rivers Data'!$B$2:$G$8,2,FALSE))</f>
        <v/>
      </c>
      <c r="S134" s="499" t="str">
        <f>IFERROR(VLOOKUP(R134,'G-7 Rivers Data'!$C$4:$D$8,2,FALSE),"")</f>
        <v/>
      </c>
      <c r="T134" s="145"/>
      <c r="U134" s="499" t="str">
        <f>IFERROR(INDEX('G-7 Rivers Data'!$H$4:$L$8,MATCH(N134,'G-7 Rivers Data'!$B$4:$B$8,0),MATCH(T134,'G-7 Rivers Data'!$H$3:$L$3,0)),"")</f>
        <v/>
      </c>
      <c r="V134" s="154"/>
      <c r="W134" s="520" t="str">
        <f>IF(V134="","",IF(VLOOKUP(V134,'G-7 Rivers Data'!$AG$4:$AI$9,2,FALSE)=0,"Spatial Data Missing ⚠",VLOOKUP(V134,'G-7 Rivers Data'!$AG$4:$AI$9,2,FALSE)))</f>
        <v/>
      </c>
      <c r="X134" s="524" t="str">
        <f>IF(V134="","",IF(VLOOKUP(V134,'G-7 Rivers Data'!$AG$4:$AI$9,3,FALSE)=0,"Spatial Data Missing ⚠",VLOOKUP(V134,'G-7 Rivers Data'!$AG$4:$AI$9,3,FALSE)))</f>
        <v/>
      </c>
      <c r="Y134" s="537" t="str">
        <f>IFERROR(IF(OR(LEFT(P134,5)="Error ▲",LEFT(O134,5)="Error ▲"),"Check Data ⚠",IF(F134&lt;S134,'G-7 Rivers Data'!$R$3,INDEX('G-7 Rivers Data'!$U$5:$Y$9,MATCH(G134,'G-7 Rivers Data'!$T$5:$T$9,0),MATCH(T134,'G-7 Rivers Data'!$U$4:$Y$4,0)))),"")</f>
        <v/>
      </c>
      <c r="Z134" s="203"/>
      <c r="AA134" s="203"/>
      <c r="AB134" s="534" t="str">
        <f t="shared" si="8"/>
        <v/>
      </c>
      <c r="AC134" s="521" t="str">
        <f t="shared" si="9"/>
        <v/>
      </c>
      <c r="AD134" s="564" t="str">
        <f>IFERROR(IF(AC134="Check Data ⚠","Check Data ⚠",VLOOKUP(AC134,'G-4 Temporal multipliers'!$A$4:$C$37,3,FALSE)),"")</f>
        <v/>
      </c>
      <c r="AE134" s="537" t="str">
        <f>IF(N134="","",VLOOKUP(N134,'G-7 Rivers Data'!$B$4:$G$8,5,FALSE))</f>
        <v/>
      </c>
      <c r="AF134" s="520" t="str">
        <f t="shared" si="10"/>
        <v/>
      </c>
      <c r="AG134" s="520" t="str">
        <f t="shared" si="14"/>
        <v/>
      </c>
      <c r="AH134" s="524" t="str">
        <f t="shared" si="11"/>
        <v/>
      </c>
      <c r="AI134" s="145"/>
      <c r="AJ134" s="499" t="str">
        <f>IF(AI134="","",IF(VLOOKUP(AI134,'G-7 Rivers Data'!$AA$4:$AB$7,2,FALSE)=0,"Spatial Data Missing ⚠",VLOOKUP(AI134,'G-7 Rivers Data'!$AA$4:$AB$7,2,FALSE)))</f>
        <v/>
      </c>
      <c r="AK134" s="155"/>
      <c r="AL134" s="536" t="str">
        <f>IF(AK134="","",IF(VLOOKUP(AK134,'G-7 Rivers Data'!$AD$4:$AE$8,2,FALSE)=0,"Spatial Data Missing ⚠",VLOOKUP(AK134,'G-7 Rivers Data'!$AD$4:$AE$8,2,FALSE)))</f>
        <v/>
      </c>
      <c r="AM134" s="154"/>
      <c r="AN134" s="524" t="str">
        <f>IF(AM134="","",VLOOKUP(AM134,'G-7 Rivers Data'!$AO$4:$AP$7,2,FALSE))</f>
        <v/>
      </c>
      <c r="AO134" s="545" t="str">
        <f t="shared" si="15"/>
        <v/>
      </c>
      <c r="AP134" s="149"/>
      <c r="AQ134" s="150"/>
      <c r="AX134" s="31" t="str">
        <f>IFERROR(INDEX('G-7 Rivers Data'!$AZ$3:$AZ$7,MATCH(N134,'G-7 Rivers Data'!$AY$3:$AY$7,0)),"")</f>
        <v/>
      </c>
    </row>
    <row r="135" spans="2:50" ht="13.8" x14ac:dyDescent="0.25">
      <c r="B135" s="531" t="str">
        <f>'F-1 Off Site River Baseline'!AN133</f>
        <v/>
      </c>
      <c r="C135" s="520" t="str">
        <f>IF(B135="","",VLOOKUP($B135,'F-1 Off Site River Baseline'!$C$9:$R$257,2,FALSE))</f>
        <v/>
      </c>
      <c r="D135" s="520" t="str">
        <f>IF(C135="","",VLOOKUP($B135,'F-1 Off Site River Baseline'!$C$9:$R$257,3,FALSE))</f>
        <v/>
      </c>
      <c r="E135" s="520" t="str">
        <f>IF(D135="","",VLOOKUP($B135,'F-1 Off Site River Baseline'!$C$9:$R$257,4,FALSE))</f>
        <v/>
      </c>
      <c r="F135" s="520" t="str">
        <f>IF(E135="","",VLOOKUP($B135,'F-1 Off Site River Baseline'!$C$9:$R$257,5,FALSE))</f>
        <v/>
      </c>
      <c r="G135" s="520" t="str">
        <f>IF(F135="","",VLOOKUP($B135,'F-1 Off Site River Baseline'!$C$9:$R$257,6,FALSE))</f>
        <v/>
      </c>
      <c r="H135" s="520" t="str">
        <f>IF(G135="","",VLOOKUP($B135,'F-1 Off Site River Baseline'!$C$9:$R$257,7,FALSE))</f>
        <v/>
      </c>
      <c r="I135" s="520" t="str">
        <f>IF(H135="","",VLOOKUP($B135,'F-1 Off Site River Baseline'!$C$9:$R$257,8,FALSE))</f>
        <v/>
      </c>
      <c r="J135" s="520" t="str">
        <f>IF(I135="","",VLOOKUP($B135,'F-1 Off Site River Baseline'!$C$9:$R$257,9,FALSE))</f>
        <v/>
      </c>
      <c r="K135" s="520" t="str">
        <f>IF(J135="","",VLOOKUP($B135,'F-1 Off Site River Baseline'!$C$9:$R$257,10,FALSE))</f>
        <v/>
      </c>
      <c r="L135" s="520" t="str">
        <f>IF(B135="","",VLOOKUP($B135,'C-1 Site River Baseline'!$C$9:$R$257,15,FALSE))</f>
        <v/>
      </c>
      <c r="M135" s="524" t="str">
        <f>IF(L135="","",VLOOKUP($B135,'F-1 Off Site River Baseline'!$C$9:$R$257,16,FALSE))</f>
        <v/>
      </c>
      <c r="N135" s="418" t="str">
        <f t="shared" si="12"/>
        <v/>
      </c>
      <c r="O135" s="498" t="str">
        <f t="shared" si="13"/>
        <v/>
      </c>
      <c r="P135" s="499" t="str">
        <f>IF(C135="","",IF(AND(LEFT(C135,55)&lt;&gt;LEFT(N135,55),O135="High - High"),"Error - Not like for like ▲",IF(AND(F135=S135,H135&gt;U135),"Error - Can not reduce condition ▲",IF(AND(F135=S135,H135=U135,AJ135='F-1 Off Site River Baseline'!N133,'F-1 Off Site River Baseline'!P133=AL135),"Error - No enhancement ▲",IF(AND(C135&lt;&gt;N135,F135&lt;S135),"Lower Distinctiveness Habitat"&amp;" - "&amp;T135,G135&amp;" - "&amp;T135)))))</f>
        <v/>
      </c>
      <c r="Q135" s="505" t="str">
        <f>IF(N135="","",VLOOKUP(B135,'F-1 Off Site River Baseline'!$C$10:$AA$257,19,FALSE))</f>
        <v/>
      </c>
      <c r="R135" s="498" t="str">
        <f>IF(N135="","",VLOOKUP(N135,'G-7 Rivers Data'!$B$2:$G$8,2,FALSE))</f>
        <v/>
      </c>
      <c r="S135" s="499" t="str">
        <f>IFERROR(VLOOKUP(R135,'G-7 Rivers Data'!$C$4:$D$8,2,FALSE),"")</f>
        <v/>
      </c>
      <c r="T135" s="145"/>
      <c r="U135" s="499" t="str">
        <f>IFERROR(INDEX('G-7 Rivers Data'!$H$4:$L$8,MATCH(N135,'G-7 Rivers Data'!$B$4:$B$8,0),MATCH(T135,'G-7 Rivers Data'!$H$3:$L$3,0)),"")</f>
        <v/>
      </c>
      <c r="V135" s="154"/>
      <c r="W135" s="520" t="str">
        <f>IF(V135="","",IF(VLOOKUP(V135,'G-7 Rivers Data'!$AG$4:$AI$9,2,FALSE)=0,"Spatial Data Missing ⚠",VLOOKUP(V135,'G-7 Rivers Data'!$AG$4:$AI$9,2,FALSE)))</f>
        <v/>
      </c>
      <c r="X135" s="524" t="str">
        <f>IF(V135="","",IF(VLOOKUP(V135,'G-7 Rivers Data'!$AG$4:$AI$9,3,FALSE)=0,"Spatial Data Missing ⚠",VLOOKUP(V135,'G-7 Rivers Data'!$AG$4:$AI$9,3,FALSE)))</f>
        <v/>
      </c>
      <c r="Y135" s="537" t="str">
        <f>IFERROR(IF(OR(LEFT(P135,5)="Error ▲",LEFT(O135,5)="Error ▲"),"Check Data ⚠",IF(F135&lt;S135,'G-7 Rivers Data'!$R$3,INDEX('G-7 Rivers Data'!$U$5:$Y$9,MATCH(G135,'G-7 Rivers Data'!$T$5:$T$9,0),MATCH(T135,'G-7 Rivers Data'!$U$4:$Y$4,0)))),"")</f>
        <v/>
      </c>
      <c r="Z135" s="203"/>
      <c r="AA135" s="203"/>
      <c r="AB135" s="534" t="str">
        <f t="shared" si="8"/>
        <v/>
      </c>
      <c r="AC135" s="521" t="str">
        <f t="shared" si="9"/>
        <v/>
      </c>
      <c r="AD135" s="564" t="str">
        <f>IFERROR(IF(AC135="Check Data ⚠","Check Data ⚠",VLOOKUP(AC135,'G-4 Temporal multipliers'!$A$4:$C$37,3,FALSE)),"")</f>
        <v/>
      </c>
      <c r="AE135" s="537" t="str">
        <f>IF(N135="","",VLOOKUP(N135,'G-7 Rivers Data'!$B$4:$G$8,5,FALSE))</f>
        <v/>
      </c>
      <c r="AF135" s="520" t="str">
        <f t="shared" si="10"/>
        <v/>
      </c>
      <c r="AG135" s="520" t="str">
        <f t="shared" si="14"/>
        <v/>
      </c>
      <c r="AH135" s="524" t="str">
        <f t="shared" si="11"/>
        <v/>
      </c>
      <c r="AI135" s="145"/>
      <c r="AJ135" s="499" t="str">
        <f>IF(AI135="","",IF(VLOOKUP(AI135,'G-7 Rivers Data'!$AA$4:$AB$7,2,FALSE)=0,"Spatial Data Missing ⚠",VLOOKUP(AI135,'G-7 Rivers Data'!$AA$4:$AB$7,2,FALSE)))</f>
        <v/>
      </c>
      <c r="AK135" s="155"/>
      <c r="AL135" s="536" t="str">
        <f>IF(AK135="","",IF(VLOOKUP(AK135,'G-7 Rivers Data'!$AD$4:$AE$8,2,FALSE)=0,"Spatial Data Missing ⚠",VLOOKUP(AK135,'G-7 Rivers Data'!$AD$4:$AE$8,2,FALSE)))</f>
        <v/>
      </c>
      <c r="AM135" s="154"/>
      <c r="AN135" s="524" t="str">
        <f>IF(AM135="","",VLOOKUP(AM135,'G-7 Rivers Data'!$AO$4:$AP$7,2,FALSE))</f>
        <v/>
      </c>
      <c r="AO135" s="545" t="str">
        <f t="shared" si="15"/>
        <v/>
      </c>
      <c r="AP135" s="149"/>
      <c r="AQ135" s="150"/>
      <c r="AX135" s="31" t="str">
        <f>IFERROR(INDEX('G-7 Rivers Data'!$AZ$3:$AZ$7,MATCH(N135,'G-7 Rivers Data'!$AY$3:$AY$7,0)),"")</f>
        <v/>
      </c>
    </row>
    <row r="136" spans="2:50" ht="13.8" x14ac:dyDescent="0.25">
      <c r="B136" s="531" t="str">
        <f>'F-1 Off Site River Baseline'!AN134</f>
        <v/>
      </c>
      <c r="C136" s="520" t="str">
        <f>IF(B136="","",VLOOKUP($B136,'F-1 Off Site River Baseline'!$C$9:$R$257,2,FALSE))</f>
        <v/>
      </c>
      <c r="D136" s="520" t="str">
        <f>IF(C136="","",VLOOKUP($B136,'F-1 Off Site River Baseline'!$C$9:$R$257,3,FALSE))</f>
        <v/>
      </c>
      <c r="E136" s="520" t="str">
        <f>IF(D136="","",VLOOKUP($B136,'F-1 Off Site River Baseline'!$C$9:$R$257,4,FALSE))</f>
        <v/>
      </c>
      <c r="F136" s="520" t="str">
        <f>IF(E136="","",VLOOKUP($B136,'F-1 Off Site River Baseline'!$C$9:$R$257,5,FALSE))</f>
        <v/>
      </c>
      <c r="G136" s="520" t="str">
        <f>IF(F136="","",VLOOKUP($B136,'F-1 Off Site River Baseline'!$C$9:$R$257,6,FALSE))</f>
        <v/>
      </c>
      <c r="H136" s="520" t="str">
        <f>IF(G136="","",VLOOKUP($B136,'F-1 Off Site River Baseline'!$C$9:$R$257,7,FALSE))</f>
        <v/>
      </c>
      <c r="I136" s="520" t="str">
        <f>IF(H136="","",VLOOKUP($B136,'F-1 Off Site River Baseline'!$C$9:$R$257,8,FALSE))</f>
        <v/>
      </c>
      <c r="J136" s="520" t="str">
        <f>IF(I136="","",VLOOKUP($B136,'F-1 Off Site River Baseline'!$C$9:$R$257,9,FALSE))</f>
        <v/>
      </c>
      <c r="K136" s="520" t="str">
        <f>IF(J136="","",VLOOKUP($B136,'F-1 Off Site River Baseline'!$C$9:$R$257,10,FALSE))</f>
        <v/>
      </c>
      <c r="L136" s="520" t="str">
        <f>IF(B136="","",VLOOKUP($B136,'C-1 Site River Baseline'!$C$9:$R$257,15,FALSE))</f>
        <v/>
      </c>
      <c r="M136" s="524" t="str">
        <f>IF(L136="","",VLOOKUP($B136,'F-1 Off Site River Baseline'!$C$9:$R$257,16,FALSE))</f>
        <v/>
      </c>
      <c r="N136" s="418" t="str">
        <f t="shared" si="12"/>
        <v/>
      </c>
      <c r="O136" s="498" t="str">
        <f t="shared" si="13"/>
        <v/>
      </c>
      <c r="P136" s="499" t="str">
        <f>IF(C136="","",IF(AND(LEFT(C136,55)&lt;&gt;LEFT(N136,55),O136="High - High"),"Error - Not like for like ▲",IF(AND(F136=S136,H136&gt;U136),"Error - Can not reduce condition ▲",IF(AND(F136=S136,H136=U136,AJ136='F-1 Off Site River Baseline'!N134,'F-1 Off Site River Baseline'!P134=AL136),"Error - No enhancement ▲",IF(AND(C136&lt;&gt;N136,F136&lt;S136),"Lower Distinctiveness Habitat"&amp;" - "&amp;T136,G136&amp;" - "&amp;T136)))))</f>
        <v/>
      </c>
      <c r="Q136" s="505" t="str">
        <f>IF(N136="","",VLOOKUP(B136,'F-1 Off Site River Baseline'!$C$10:$AA$257,19,FALSE))</f>
        <v/>
      </c>
      <c r="R136" s="498" t="str">
        <f>IF(N136="","",VLOOKUP(N136,'G-7 Rivers Data'!$B$2:$G$8,2,FALSE))</f>
        <v/>
      </c>
      <c r="S136" s="499" t="str">
        <f>IFERROR(VLOOKUP(R136,'G-7 Rivers Data'!$C$4:$D$8,2,FALSE),"")</f>
        <v/>
      </c>
      <c r="T136" s="145"/>
      <c r="U136" s="499" t="str">
        <f>IFERROR(INDEX('G-7 Rivers Data'!$H$4:$L$8,MATCH(N136,'G-7 Rivers Data'!$B$4:$B$8,0),MATCH(T136,'G-7 Rivers Data'!$H$3:$L$3,0)),"")</f>
        <v/>
      </c>
      <c r="V136" s="154"/>
      <c r="W136" s="520" t="str">
        <f>IF(V136="","",IF(VLOOKUP(V136,'G-7 Rivers Data'!$AG$4:$AI$9,2,FALSE)=0,"Spatial Data Missing ⚠",VLOOKUP(V136,'G-7 Rivers Data'!$AG$4:$AI$9,2,FALSE)))</f>
        <v/>
      </c>
      <c r="X136" s="524" t="str">
        <f>IF(V136="","",IF(VLOOKUP(V136,'G-7 Rivers Data'!$AG$4:$AI$9,3,FALSE)=0,"Spatial Data Missing ⚠",VLOOKUP(V136,'G-7 Rivers Data'!$AG$4:$AI$9,3,FALSE)))</f>
        <v/>
      </c>
      <c r="Y136" s="537" t="str">
        <f>IFERROR(IF(OR(LEFT(P136,5)="Error ▲",LEFT(O136,5)="Error ▲"),"Check Data ⚠",IF(F136&lt;S136,'G-7 Rivers Data'!$R$3,INDEX('G-7 Rivers Data'!$U$5:$Y$9,MATCH(G136,'G-7 Rivers Data'!$T$5:$T$9,0),MATCH(T136,'G-7 Rivers Data'!$U$4:$Y$4,0)))),"")</f>
        <v/>
      </c>
      <c r="Z136" s="203"/>
      <c r="AA136" s="203"/>
      <c r="AB136" s="534" t="str">
        <f t="shared" si="8"/>
        <v/>
      </c>
      <c r="AC136" s="521" t="str">
        <f t="shared" si="9"/>
        <v/>
      </c>
      <c r="AD136" s="564" t="str">
        <f>IFERROR(IF(AC136="Check Data ⚠","Check Data ⚠",VLOOKUP(AC136,'G-4 Temporal multipliers'!$A$4:$C$37,3,FALSE)),"")</f>
        <v/>
      </c>
      <c r="AE136" s="537" t="str">
        <f>IF(N136="","",VLOOKUP(N136,'G-7 Rivers Data'!$B$4:$G$8,5,FALSE))</f>
        <v/>
      </c>
      <c r="AF136" s="520" t="str">
        <f t="shared" si="10"/>
        <v/>
      </c>
      <c r="AG136" s="520" t="str">
        <f t="shared" si="14"/>
        <v/>
      </c>
      <c r="AH136" s="524" t="str">
        <f t="shared" si="11"/>
        <v/>
      </c>
      <c r="AI136" s="145"/>
      <c r="AJ136" s="499" t="str">
        <f>IF(AI136="","",IF(VLOOKUP(AI136,'G-7 Rivers Data'!$AA$4:$AB$7,2,FALSE)=0,"Spatial Data Missing ⚠",VLOOKUP(AI136,'G-7 Rivers Data'!$AA$4:$AB$7,2,FALSE)))</f>
        <v/>
      </c>
      <c r="AK136" s="155"/>
      <c r="AL136" s="536" t="str">
        <f>IF(AK136="","",IF(VLOOKUP(AK136,'G-7 Rivers Data'!$AD$4:$AE$8,2,FALSE)=0,"Spatial Data Missing ⚠",VLOOKUP(AK136,'G-7 Rivers Data'!$AD$4:$AE$8,2,FALSE)))</f>
        <v/>
      </c>
      <c r="AM136" s="154"/>
      <c r="AN136" s="524" t="str">
        <f>IF(AM136="","",VLOOKUP(AM136,'G-7 Rivers Data'!$AO$4:$AP$7,2,FALSE))</f>
        <v/>
      </c>
      <c r="AO136" s="545" t="str">
        <f t="shared" si="15"/>
        <v/>
      </c>
      <c r="AP136" s="149"/>
      <c r="AQ136" s="150"/>
      <c r="AX136" s="31" t="str">
        <f>IFERROR(INDEX('G-7 Rivers Data'!$AZ$3:$AZ$7,MATCH(N136,'G-7 Rivers Data'!$AY$3:$AY$7,0)),"")</f>
        <v/>
      </c>
    </row>
    <row r="137" spans="2:50" ht="13.8" x14ac:dyDescent="0.25">
      <c r="B137" s="531" t="str">
        <f>'F-1 Off Site River Baseline'!AN135</f>
        <v/>
      </c>
      <c r="C137" s="520" t="str">
        <f>IF(B137="","",VLOOKUP($B137,'F-1 Off Site River Baseline'!$C$9:$R$257,2,FALSE))</f>
        <v/>
      </c>
      <c r="D137" s="520" t="str">
        <f>IF(C137="","",VLOOKUP($B137,'F-1 Off Site River Baseline'!$C$9:$R$257,3,FALSE))</f>
        <v/>
      </c>
      <c r="E137" s="520" t="str">
        <f>IF(D137="","",VLOOKUP($B137,'F-1 Off Site River Baseline'!$C$9:$R$257,4,FALSE))</f>
        <v/>
      </c>
      <c r="F137" s="520" t="str">
        <f>IF(E137="","",VLOOKUP($B137,'F-1 Off Site River Baseline'!$C$9:$R$257,5,FALSE))</f>
        <v/>
      </c>
      <c r="G137" s="520" t="str">
        <f>IF(F137="","",VLOOKUP($B137,'F-1 Off Site River Baseline'!$C$9:$R$257,6,FALSE))</f>
        <v/>
      </c>
      <c r="H137" s="520" t="str">
        <f>IF(G137="","",VLOOKUP($B137,'F-1 Off Site River Baseline'!$C$9:$R$257,7,FALSE))</f>
        <v/>
      </c>
      <c r="I137" s="520" t="str">
        <f>IF(H137="","",VLOOKUP($B137,'F-1 Off Site River Baseline'!$C$9:$R$257,8,FALSE))</f>
        <v/>
      </c>
      <c r="J137" s="520" t="str">
        <f>IF(I137="","",VLOOKUP($B137,'F-1 Off Site River Baseline'!$C$9:$R$257,9,FALSE))</f>
        <v/>
      </c>
      <c r="K137" s="520" t="str">
        <f>IF(J137="","",VLOOKUP($B137,'F-1 Off Site River Baseline'!$C$9:$R$257,10,FALSE))</f>
        <v/>
      </c>
      <c r="L137" s="520" t="str">
        <f>IF(B137="","",VLOOKUP($B137,'C-1 Site River Baseline'!$C$9:$R$257,15,FALSE))</f>
        <v/>
      </c>
      <c r="M137" s="524" t="str">
        <f>IF(L137="","",VLOOKUP($B137,'F-1 Off Site River Baseline'!$C$9:$R$257,16,FALSE))</f>
        <v/>
      </c>
      <c r="N137" s="418" t="str">
        <f t="shared" si="12"/>
        <v/>
      </c>
      <c r="O137" s="498" t="str">
        <f t="shared" si="13"/>
        <v/>
      </c>
      <c r="P137" s="499" t="str">
        <f>IF(C137="","",IF(AND(LEFT(C137,55)&lt;&gt;LEFT(N137,55),O137="High - High"),"Error - Not like for like ▲",IF(AND(F137=S137,H137&gt;U137),"Error - Can not reduce condition ▲",IF(AND(F137=S137,H137=U137,AJ137='F-1 Off Site River Baseline'!N135,'F-1 Off Site River Baseline'!P135=AL137),"Error - No enhancement ▲",IF(AND(C137&lt;&gt;N137,F137&lt;S137),"Lower Distinctiveness Habitat"&amp;" - "&amp;T137,G137&amp;" - "&amp;T137)))))</f>
        <v/>
      </c>
      <c r="Q137" s="505" t="str">
        <f>IF(N137="","",VLOOKUP(B137,'F-1 Off Site River Baseline'!$C$10:$AA$257,19,FALSE))</f>
        <v/>
      </c>
      <c r="R137" s="498" t="str">
        <f>IF(N137="","",VLOOKUP(N137,'G-7 Rivers Data'!$B$2:$G$8,2,FALSE))</f>
        <v/>
      </c>
      <c r="S137" s="499" t="str">
        <f>IFERROR(VLOOKUP(R137,'G-7 Rivers Data'!$C$4:$D$8,2,FALSE),"")</f>
        <v/>
      </c>
      <c r="T137" s="145"/>
      <c r="U137" s="499" t="str">
        <f>IFERROR(INDEX('G-7 Rivers Data'!$H$4:$L$8,MATCH(N137,'G-7 Rivers Data'!$B$4:$B$8,0),MATCH(T137,'G-7 Rivers Data'!$H$3:$L$3,0)),"")</f>
        <v/>
      </c>
      <c r="V137" s="154"/>
      <c r="W137" s="520" t="str">
        <f>IF(V137="","",IF(VLOOKUP(V137,'G-7 Rivers Data'!$AG$4:$AI$9,2,FALSE)=0,"Spatial Data Missing ⚠",VLOOKUP(V137,'G-7 Rivers Data'!$AG$4:$AI$9,2,FALSE)))</f>
        <v/>
      </c>
      <c r="X137" s="524" t="str">
        <f>IF(V137="","",IF(VLOOKUP(V137,'G-7 Rivers Data'!$AG$4:$AI$9,3,FALSE)=0,"Spatial Data Missing ⚠",VLOOKUP(V137,'G-7 Rivers Data'!$AG$4:$AI$9,3,FALSE)))</f>
        <v/>
      </c>
      <c r="Y137" s="537" t="str">
        <f>IFERROR(IF(OR(LEFT(P137,5)="Error ▲",LEFT(O137,5)="Error ▲"),"Check Data ⚠",IF(F137&lt;S137,'G-7 Rivers Data'!$R$3,INDEX('G-7 Rivers Data'!$U$5:$Y$9,MATCH(G137,'G-7 Rivers Data'!$T$5:$T$9,0),MATCH(T137,'G-7 Rivers Data'!$U$4:$Y$4,0)))),"")</f>
        <v/>
      </c>
      <c r="Z137" s="203"/>
      <c r="AA137" s="203"/>
      <c r="AB137" s="534" t="str">
        <f t="shared" si="8"/>
        <v/>
      </c>
      <c r="AC137" s="521" t="str">
        <f t="shared" si="9"/>
        <v/>
      </c>
      <c r="AD137" s="564" t="str">
        <f>IFERROR(IF(AC137="Check Data ⚠","Check Data ⚠",VLOOKUP(AC137,'G-4 Temporal multipliers'!$A$4:$C$37,3,FALSE)),"")</f>
        <v/>
      </c>
      <c r="AE137" s="537" t="str">
        <f>IF(N137="","",VLOOKUP(N137,'G-7 Rivers Data'!$B$4:$G$8,5,FALSE))</f>
        <v/>
      </c>
      <c r="AF137" s="520" t="str">
        <f t="shared" si="10"/>
        <v/>
      </c>
      <c r="AG137" s="520" t="str">
        <f t="shared" si="14"/>
        <v/>
      </c>
      <c r="AH137" s="524" t="str">
        <f t="shared" si="11"/>
        <v/>
      </c>
      <c r="AI137" s="145"/>
      <c r="AJ137" s="499" t="str">
        <f>IF(AI137="","",IF(VLOOKUP(AI137,'G-7 Rivers Data'!$AA$4:$AB$7,2,FALSE)=0,"Spatial Data Missing ⚠",VLOOKUP(AI137,'G-7 Rivers Data'!$AA$4:$AB$7,2,FALSE)))</f>
        <v/>
      </c>
      <c r="AK137" s="155"/>
      <c r="AL137" s="536" t="str">
        <f>IF(AK137="","",IF(VLOOKUP(AK137,'G-7 Rivers Data'!$AD$4:$AE$8,2,FALSE)=0,"Spatial Data Missing ⚠",VLOOKUP(AK137,'G-7 Rivers Data'!$AD$4:$AE$8,2,FALSE)))</f>
        <v/>
      </c>
      <c r="AM137" s="154"/>
      <c r="AN137" s="524" t="str">
        <f>IF(AM137="","",VLOOKUP(AM137,'G-7 Rivers Data'!$AO$4:$AP$7,2,FALSE))</f>
        <v/>
      </c>
      <c r="AO137" s="545" t="str">
        <f t="shared" si="15"/>
        <v/>
      </c>
      <c r="AP137" s="149"/>
      <c r="AQ137" s="150"/>
      <c r="AX137" s="31" t="str">
        <f>IFERROR(INDEX('G-7 Rivers Data'!$AZ$3:$AZ$7,MATCH(N137,'G-7 Rivers Data'!$AY$3:$AY$7,0)),"")</f>
        <v/>
      </c>
    </row>
    <row r="138" spans="2:50" ht="13.8" x14ac:dyDescent="0.25">
      <c r="B138" s="531" t="str">
        <f>'F-1 Off Site River Baseline'!AN136</f>
        <v/>
      </c>
      <c r="C138" s="520" t="str">
        <f>IF(B138="","",VLOOKUP($B138,'F-1 Off Site River Baseline'!$C$9:$R$257,2,FALSE))</f>
        <v/>
      </c>
      <c r="D138" s="520" t="str">
        <f>IF(C138="","",VLOOKUP($B138,'F-1 Off Site River Baseline'!$C$9:$R$257,3,FALSE))</f>
        <v/>
      </c>
      <c r="E138" s="520" t="str">
        <f>IF(D138="","",VLOOKUP($B138,'F-1 Off Site River Baseline'!$C$9:$R$257,4,FALSE))</f>
        <v/>
      </c>
      <c r="F138" s="520" t="str">
        <f>IF(E138="","",VLOOKUP($B138,'F-1 Off Site River Baseline'!$C$9:$R$257,5,FALSE))</f>
        <v/>
      </c>
      <c r="G138" s="520" t="str">
        <f>IF(F138="","",VLOOKUP($B138,'F-1 Off Site River Baseline'!$C$9:$R$257,6,FALSE))</f>
        <v/>
      </c>
      <c r="H138" s="520" t="str">
        <f>IF(G138="","",VLOOKUP($B138,'F-1 Off Site River Baseline'!$C$9:$R$257,7,FALSE))</f>
        <v/>
      </c>
      <c r="I138" s="520" t="str">
        <f>IF(H138="","",VLOOKUP($B138,'F-1 Off Site River Baseline'!$C$9:$R$257,8,FALSE))</f>
        <v/>
      </c>
      <c r="J138" s="520" t="str">
        <f>IF(I138="","",VLOOKUP($B138,'F-1 Off Site River Baseline'!$C$9:$R$257,9,FALSE))</f>
        <v/>
      </c>
      <c r="K138" s="520" t="str">
        <f>IF(J138="","",VLOOKUP($B138,'F-1 Off Site River Baseline'!$C$9:$R$257,10,FALSE))</f>
        <v/>
      </c>
      <c r="L138" s="520" t="str">
        <f>IF(B138="","",VLOOKUP($B138,'C-1 Site River Baseline'!$C$9:$R$257,15,FALSE))</f>
        <v/>
      </c>
      <c r="M138" s="524" t="str">
        <f>IF(L138="","",VLOOKUP($B138,'F-1 Off Site River Baseline'!$C$9:$R$257,16,FALSE))</f>
        <v/>
      </c>
      <c r="N138" s="418" t="str">
        <f t="shared" si="12"/>
        <v/>
      </c>
      <c r="O138" s="498" t="str">
        <f t="shared" si="13"/>
        <v/>
      </c>
      <c r="P138" s="499" t="str">
        <f>IF(C138="","",IF(AND(LEFT(C138,55)&lt;&gt;LEFT(N138,55),O138="High - High"),"Error - Not like for like ▲",IF(AND(F138=S138,H138&gt;U138),"Error - Can not reduce condition ▲",IF(AND(F138=S138,H138=U138,AJ138='F-1 Off Site River Baseline'!N136,'F-1 Off Site River Baseline'!P136=AL138),"Error - No enhancement ▲",IF(AND(C138&lt;&gt;N138,F138&lt;S138),"Lower Distinctiveness Habitat"&amp;" - "&amp;T138,G138&amp;" - "&amp;T138)))))</f>
        <v/>
      </c>
      <c r="Q138" s="505" t="str">
        <f>IF(N138="","",VLOOKUP(B138,'F-1 Off Site River Baseline'!$C$10:$AA$257,19,FALSE))</f>
        <v/>
      </c>
      <c r="R138" s="498" t="str">
        <f>IF(N138="","",VLOOKUP(N138,'G-7 Rivers Data'!$B$2:$G$8,2,FALSE))</f>
        <v/>
      </c>
      <c r="S138" s="499" t="str">
        <f>IFERROR(VLOOKUP(R138,'G-7 Rivers Data'!$C$4:$D$8,2,FALSE),"")</f>
        <v/>
      </c>
      <c r="T138" s="145"/>
      <c r="U138" s="499" t="str">
        <f>IFERROR(INDEX('G-7 Rivers Data'!$H$4:$L$8,MATCH(N138,'G-7 Rivers Data'!$B$4:$B$8,0),MATCH(T138,'G-7 Rivers Data'!$H$3:$L$3,0)),"")</f>
        <v/>
      </c>
      <c r="V138" s="154"/>
      <c r="W138" s="520" t="str">
        <f>IF(V138="","",IF(VLOOKUP(V138,'G-7 Rivers Data'!$AG$4:$AI$9,2,FALSE)=0,"Spatial Data Missing ⚠",VLOOKUP(V138,'G-7 Rivers Data'!$AG$4:$AI$9,2,FALSE)))</f>
        <v/>
      </c>
      <c r="X138" s="524" t="str">
        <f>IF(V138="","",IF(VLOOKUP(V138,'G-7 Rivers Data'!$AG$4:$AI$9,3,FALSE)=0,"Spatial Data Missing ⚠",VLOOKUP(V138,'G-7 Rivers Data'!$AG$4:$AI$9,3,FALSE)))</f>
        <v/>
      </c>
      <c r="Y138" s="537" t="str">
        <f>IFERROR(IF(OR(LEFT(P138,5)="Error ▲",LEFT(O138,5)="Error ▲"),"Check Data ⚠",IF(F138&lt;S138,'G-7 Rivers Data'!$R$3,INDEX('G-7 Rivers Data'!$U$5:$Y$9,MATCH(G138,'G-7 Rivers Data'!$T$5:$T$9,0),MATCH(T138,'G-7 Rivers Data'!$U$4:$Y$4,0)))),"")</f>
        <v/>
      </c>
      <c r="Z138" s="203"/>
      <c r="AA138" s="203"/>
      <c r="AB138" s="534" t="str">
        <f t="shared" si="8"/>
        <v/>
      </c>
      <c r="AC138" s="521" t="str">
        <f t="shared" si="9"/>
        <v/>
      </c>
      <c r="AD138" s="564" t="str">
        <f>IFERROR(IF(AC138="Check Data ⚠","Check Data ⚠",VLOOKUP(AC138,'G-4 Temporal multipliers'!$A$4:$C$37,3,FALSE)),"")</f>
        <v/>
      </c>
      <c r="AE138" s="537" t="str">
        <f>IF(N138="","",VLOOKUP(N138,'G-7 Rivers Data'!$B$4:$G$8,5,FALSE))</f>
        <v/>
      </c>
      <c r="AF138" s="520" t="str">
        <f t="shared" si="10"/>
        <v/>
      </c>
      <c r="AG138" s="520" t="str">
        <f t="shared" si="14"/>
        <v/>
      </c>
      <c r="AH138" s="524" t="str">
        <f t="shared" si="11"/>
        <v/>
      </c>
      <c r="AI138" s="145"/>
      <c r="AJ138" s="499" t="str">
        <f>IF(AI138="","",IF(VLOOKUP(AI138,'G-7 Rivers Data'!$AA$4:$AB$7,2,FALSE)=0,"Spatial Data Missing ⚠",VLOOKUP(AI138,'G-7 Rivers Data'!$AA$4:$AB$7,2,FALSE)))</f>
        <v/>
      </c>
      <c r="AK138" s="155"/>
      <c r="AL138" s="536" t="str">
        <f>IF(AK138="","",IF(VLOOKUP(AK138,'G-7 Rivers Data'!$AD$4:$AE$8,2,FALSE)=0,"Spatial Data Missing ⚠",VLOOKUP(AK138,'G-7 Rivers Data'!$AD$4:$AE$8,2,FALSE)))</f>
        <v/>
      </c>
      <c r="AM138" s="154"/>
      <c r="AN138" s="524" t="str">
        <f>IF(AM138="","",VLOOKUP(AM138,'G-7 Rivers Data'!$AO$4:$AP$7,2,FALSE))</f>
        <v/>
      </c>
      <c r="AO138" s="545" t="str">
        <f t="shared" si="15"/>
        <v/>
      </c>
      <c r="AP138" s="149"/>
      <c r="AQ138" s="150"/>
      <c r="AX138" s="31" t="str">
        <f>IFERROR(INDEX('G-7 Rivers Data'!$AZ$3:$AZ$7,MATCH(N138,'G-7 Rivers Data'!$AY$3:$AY$7,0)),"")</f>
        <v/>
      </c>
    </row>
    <row r="139" spans="2:50" ht="13.8" x14ac:dyDescent="0.25">
      <c r="B139" s="531" t="str">
        <f>'F-1 Off Site River Baseline'!AN137</f>
        <v/>
      </c>
      <c r="C139" s="520" t="str">
        <f>IF(B139="","",VLOOKUP($B139,'F-1 Off Site River Baseline'!$C$9:$R$257,2,FALSE))</f>
        <v/>
      </c>
      <c r="D139" s="520" t="str">
        <f>IF(C139="","",VLOOKUP($B139,'F-1 Off Site River Baseline'!$C$9:$R$257,3,FALSE))</f>
        <v/>
      </c>
      <c r="E139" s="520" t="str">
        <f>IF(D139="","",VLOOKUP($B139,'F-1 Off Site River Baseline'!$C$9:$R$257,4,FALSE))</f>
        <v/>
      </c>
      <c r="F139" s="520" t="str">
        <f>IF(E139="","",VLOOKUP($B139,'F-1 Off Site River Baseline'!$C$9:$R$257,5,FALSE))</f>
        <v/>
      </c>
      <c r="G139" s="520" t="str">
        <f>IF(F139="","",VLOOKUP($B139,'F-1 Off Site River Baseline'!$C$9:$R$257,6,FALSE))</f>
        <v/>
      </c>
      <c r="H139" s="520" t="str">
        <f>IF(G139="","",VLOOKUP($B139,'F-1 Off Site River Baseline'!$C$9:$R$257,7,FALSE))</f>
        <v/>
      </c>
      <c r="I139" s="520" t="str">
        <f>IF(H139="","",VLOOKUP($B139,'F-1 Off Site River Baseline'!$C$9:$R$257,8,FALSE))</f>
        <v/>
      </c>
      <c r="J139" s="520" t="str">
        <f>IF(I139="","",VLOOKUP($B139,'F-1 Off Site River Baseline'!$C$9:$R$257,9,FALSE))</f>
        <v/>
      </c>
      <c r="K139" s="520" t="str">
        <f>IF(J139="","",VLOOKUP($B139,'F-1 Off Site River Baseline'!$C$9:$R$257,10,FALSE))</f>
        <v/>
      </c>
      <c r="L139" s="520" t="str">
        <f>IF(B139="","",VLOOKUP($B139,'C-1 Site River Baseline'!$C$9:$R$257,15,FALSE))</f>
        <v/>
      </c>
      <c r="M139" s="524" t="str">
        <f>IF(L139="","",VLOOKUP($B139,'F-1 Off Site River Baseline'!$C$9:$R$257,16,FALSE))</f>
        <v/>
      </c>
      <c r="N139" s="418" t="str">
        <f t="shared" si="12"/>
        <v/>
      </c>
      <c r="O139" s="498" t="str">
        <f t="shared" si="13"/>
        <v/>
      </c>
      <c r="P139" s="499" t="str">
        <f>IF(C139="","",IF(AND(LEFT(C139,55)&lt;&gt;LEFT(N139,55),O139="High - High"),"Error - Not like for like ▲",IF(AND(F139=S139,H139&gt;U139),"Error - Can not reduce condition ▲",IF(AND(F139=S139,H139=U139,AJ139='F-1 Off Site River Baseline'!N137,'F-1 Off Site River Baseline'!P137=AL139),"Error - No enhancement ▲",IF(AND(C139&lt;&gt;N139,F139&lt;S139),"Lower Distinctiveness Habitat"&amp;" - "&amp;T139,G139&amp;" - "&amp;T139)))))</f>
        <v/>
      </c>
      <c r="Q139" s="505" t="str">
        <f>IF(N139="","",VLOOKUP(B139,'F-1 Off Site River Baseline'!$C$10:$AA$257,19,FALSE))</f>
        <v/>
      </c>
      <c r="R139" s="498" t="str">
        <f>IF(N139="","",VLOOKUP(N139,'G-7 Rivers Data'!$B$2:$G$8,2,FALSE))</f>
        <v/>
      </c>
      <c r="S139" s="499" t="str">
        <f>IFERROR(VLOOKUP(R139,'G-7 Rivers Data'!$C$4:$D$8,2,FALSE),"")</f>
        <v/>
      </c>
      <c r="T139" s="145"/>
      <c r="U139" s="499" t="str">
        <f>IFERROR(INDEX('G-7 Rivers Data'!$H$4:$L$8,MATCH(N139,'G-7 Rivers Data'!$B$4:$B$8,0),MATCH(T139,'G-7 Rivers Data'!$H$3:$L$3,0)),"")</f>
        <v/>
      </c>
      <c r="V139" s="154"/>
      <c r="W139" s="520" t="str">
        <f>IF(V139="","",IF(VLOOKUP(V139,'G-7 Rivers Data'!$AG$4:$AI$9,2,FALSE)=0,"Spatial Data Missing ⚠",VLOOKUP(V139,'G-7 Rivers Data'!$AG$4:$AI$9,2,FALSE)))</f>
        <v/>
      </c>
      <c r="X139" s="524" t="str">
        <f>IF(V139="","",IF(VLOOKUP(V139,'G-7 Rivers Data'!$AG$4:$AI$9,3,FALSE)=0,"Spatial Data Missing ⚠",VLOOKUP(V139,'G-7 Rivers Data'!$AG$4:$AI$9,3,FALSE)))</f>
        <v/>
      </c>
      <c r="Y139" s="537" t="str">
        <f>IFERROR(IF(OR(LEFT(P139,5)="Error ▲",LEFT(O139,5)="Error ▲"),"Check Data ⚠",IF(F139&lt;S139,'G-7 Rivers Data'!$R$3,INDEX('G-7 Rivers Data'!$U$5:$Y$9,MATCH(G139,'G-7 Rivers Data'!$T$5:$T$9,0),MATCH(T139,'G-7 Rivers Data'!$U$4:$Y$4,0)))),"")</f>
        <v/>
      </c>
      <c r="Z139" s="203"/>
      <c r="AA139" s="203"/>
      <c r="AB139" s="534" t="str">
        <f t="shared" si="8"/>
        <v/>
      </c>
      <c r="AC139" s="521" t="str">
        <f t="shared" si="9"/>
        <v/>
      </c>
      <c r="AD139" s="564" t="str">
        <f>IFERROR(IF(AC139="Check Data ⚠","Check Data ⚠",VLOOKUP(AC139,'G-4 Temporal multipliers'!$A$4:$C$37,3,FALSE)),"")</f>
        <v/>
      </c>
      <c r="AE139" s="537" t="str">
        <f>IF(N139="","",VLOOKUP(N139,'G-7 Rivers Data'!$B$4:$G$8,5,FALSE))</f>
        <v/>
      </c>
      <c r="AF139" s="520" t="str">
        <f t="shared" si="10"/>
        <v/>
      </c>
      <c r="AG139" s="520" t="str">
        <f t="shared" si="14"/>
        <v/>
      </c>
      <c r="AH139" s="524" t="str">
        <f t="shared" si="11"/>
        <v/>
      </c>
      <c r="AI139" s="145"/>
      <c r="AJ139" s="499" t="str">
        <f>IF(AI139="","",IF(VLOOKUP(AI139,'G-7 Rivers Data'!$AA$4:$AB$7,2,FALSE)=0,"Spatial Data Missing ⚠",VLOOKUP(AI139,'G-7 Rivers Data'!$AA$4:$AB$7,2,FALSE)))</f>
        <v/>
      </c>
      <c r="AK139" s="155"/>
      <c r="AL139" s="536" t="str">
        <f>IF(AK139="","",IF(VLOOKUP(AK139,'G-7 Rivers Data'!$AD$4:$AE$8,2,FALSE)=0,"Spatial Data Missing ⚠",VLOOKUP(AK139,'G-7 Rivers Data'!$AD$4:$AE$8,2,FALSE)))</f>
        <v/>
      </c>
      <c r="AM139" s="154"/>
      <c r="AN139" s="524" t="str">
        <f>IF(AM139="","",VLOOKUP(AM139,'G-7 Rivers Data'!$AO$4:$AP$7,2,FALSE))</f>
        <v/>
      </c>
      <c r="AO139" s="545" t="str">
        <f t="shared" si="15"/>
        <v/>
      </c>
      <c r="AP139" s="149"/>
      <c r="AQ139" s="150"/>
      <c r="AX139" s="31" t="str">
        <f>IFERROR(INDEX('G-7 Rivers Data'!$AZ$3:$AZ$7,MATCH(N139,'G-7 Rivers Data'!$AY$3:$AY$7,0)),"")</f>
        <v/>
      </c>
    </row>
    <row r="140" spans="2:50" ht="13.8" x14ac:dyDescent="0.25">
      <c r="B140" s="531" t="str">
        <f>'F-1 Off Site River Baseline'!AN138</f>
        <v/>
      </c>
      <c r="C140" s="520" t="str">
        <f>IF(B140="","",VLOOKUP($B140,'F-1 Off Site River Baseline'!$C$9:$R$257,2,FALSE))</f>
        <v/>
      </c>
      <c r="D140" s="520" t="str">
        <f>IF(C140="","",VLOOKUP($B140,'F-1 Off Site River Baseline'!$C$9:$R$257,3,FALSE))</f>
        <v/>
      </c>
      <c r="E140" s="520" t="str">
        <f>IF(D140="","",VLOOKUP($B140,'F-1 Off Site River Baseline'!$C$9:$R$257,4,FALSE))</f>
        <v/>
      </c>
      <c r="F140" s="520" t="str">
        <f>IF(E140="","",VLOOKUP($B140,'F-1 Off Site River Baseline'!$C$9:$R$257,5,FALSE))</f>
        <v/>
      </c>
      <c r="G140" s="520" t="str">
        <f>IF(F140="","",VLOOKUP($B140,'F-1 Off Site River Baseline'!$C$9:$R$257,6,FALSE))</f>
        <v/>
      </c>
      <c r="H140" s="520" t="str">
        <f>IF(G140="","",VLOOKUP($B140,'F-1 Off Site River Baseline'!$C$9:$R$257,7,FALSE))</f>
        <v/>
      </c>
      <c r="I140" s="520" t="str">
        <f>IF(H140="","",VLOOKUP($B140,'F-1 Off Site River Baseline'!$C$9:$R$257,8,FALSE))</f>
        <v/>
      </c>
      <c r="J140" s="520" t="str">
        <f>IF(I140="","",VLOOKUP($B140,'F-1 Off Site River Baseline'!$C$9:$R$257,9,FALSE))</f>
        <v/>
      </c>
      <c r="K140" s="520" t="str">
        <f>IF(J140="","",VLOOKUP($B140,'F-1 Off Site River Baseline'!$C$9:$R$257,10,FALSE))</f>
        <v/>
      </c>
      <c r="L140" s="520" t="str">
        <f>IF(B140="","",VLOOKUP($B140,'C-1 Site River Baseline'!$C$9:$R$257,15,FALSE))</f>
        <v/>
      </c>
      <c r="M140" s="524" t="str">
        <f>IF(L140="","",VLOOKUP($B140,'F-1 Off Site River Baseline'!$C$9:$R$257,16,FALSE))</f>
        <v/>
      </c>
      <c r="N140" s="418" t="str">
        <f t="shared" si="12"/>
        <v/>
      </c>
      <c r="O140" s="498" t="str">
        <f t="shared" si="13"/>
        <v/>
      </c>
      <c r="P140" s="499" t="str">
        <f>IF(C140="","",IF(AND(LEFT(C140,55)&lt;&gt;LEFT(N140,55),O140="High - High"),"Error - Not like for like ▲",IF(AND(F140=S140,H140&gt;U140),"Error - Can not reduce condition ▲",IF(AND(F140=S140,H140=U140,AJ140='F-1 Off Site River Baseline'!N138,'F-1 Off Site River Baseline'!P138=AL140),"Error - No enhancement ▲",IF(AND(C140&lt;&gt;N140,F140&lt;S140),"Lower Distinctiveness Habitat"&amp;" - "&amp;T140,G140&amp;" - "&amp;T140)))))</f>
        <v/>
      </c>
      <c r="Q140" s="505" t="str">
        <f>IF(N140="","",VLOOKUP(B140,'F-1 Off Site River Baseline'!$C$10:$AA$257,19,FALSE))</f>
        <v/>
      </c>
      <c r="R140" s="498" t="str">
        <f>IF(N140="","",VLOOKUP(N140,'G-7 Rivers Data'!$B$2:$G$8,2,FALSE))</f>
        <v/>
      </c>
      <c r="S140" s="499" t="str">
        <f>IFERROR(VLOOKUP(R140,'G-7 Rivers Data'!$C$4:$D$8,2,FALSE),"")</f>
        <v/>
      </c>
      <c r="T140" s="145"/>
      <c r="U140" s="499" t="str">
        <f>IFERROR(INDEX('G-7 Rivers Data'!$H$4:$L$8,MATCH(N140,'G-7 Rivers Data'!$B$4:$B$8,0),MATCH(T140,'G-7 Rivers Data'!$H$3:$L$3,0)),"")</f>
        <v/>
      </c>
      <c r="V140" s="154"/>
      <c r="W140" s="520" t="str">
        <f>IF(V140="","",IF(VLOOKUP(V140,'G-7 Rivers Data'!$AG$4:$AI$9,2,FALSE)=0,"Spatial Data Missing ⚠",VLOOKUP(V140,'G-7 Rivers Data'!$AG$4:$AI$9,2,FALSE)))</f>
        <v/>
      </c>
      <c r="X140" s="524" t="str">
        <f>IF(V140="","",IF(VLOOKUP(V140,'G-7 Rivers Data'!$AG$4:$AI$9,3,FALSE)=0,"Spatial Data Missing ⚠",VLOOKUP(V140,'G-7 Rivers Data'!$AG$4:$AI$9,3,FALSE)))</f>
        <v/>
      </c>
      <c r="Y140" s="537" t="str">
        <f>IFERROR(IF(OR(LEFT(P140,5)="Error ▲",LEFT(O140,5)="Error ▲"),"Check Data ⚠",IF(F140&lt;S140,'G-7 Rivers Data'!$R$3,INDEX('G-7 Rivers Data'!$U$5:$Y$9,MATCH(G140,'G-7 Rivers Data'!$T$5:$T$9,0),MATCH(T140,'G-7 Rivers Data'!$U$4:$Y$4,0)))),"")</f>
        <v/>
      </c>
      <c r="Z140" s="203"/>
      <c r="AA140" s="203"/>
      <c r="AB140" s="534" t="str">
        <f t="shared" ref="AB140:AB203" si="16">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521" t="str">
        <f t="shared" ref="AC140:AC203" si="17">IF(LEFT(AB140,5)="Error ▲","Check Data ⚠",IF(AB140="Check Data ⚠","Check Data ⚠",IF(Y140="","",IF(Z140="30+",0,IF(AA140="30+","30+ ⚠",IF(Y140+AA140&gt;30,"30+ ⚠",IF(Y140+AA140-Z140&gt;0,Y140+AA140-Z140,IF(Y140-Z140&lt;0,0,Y140+AA140-Z140))))))))</f>
        <v/>
      </c>
      <c r="AD140" s="564" t="str">
        <f>IFERROR(IF(AC140="Check Data ⚠","Check Data ⚠",VLOOKUP(AC140,'G-4 Temporal multipliers'!$A$4:$C$37,3,FALSE)),"")</f>
        <v/>
      </c>
      <c r="AE140" s="537" t="str">
        <f>IF(N140="","",VLOOKUP(N140,'G-7 Rivers Data'!$B$4:$G$8,5,FALSE))</f>
        <v/>
      </c>
      <c r="AF140" s="520" t="str">
        <f t="shared" ref="AF140:AF203" si="18">IF(N140="","",IF(AC140="Check Data ⚠","Check Data ⚠",IF(T140="","",IF($AB140="Check details - Is there evidence that habitat has reached target condition? ⚠","Low Difficulty - only applicable if all habitat created before losses ⚠","Standard difficulty applied"))))</f>
        <v/>
      </c>
      <c r="AG140" s="520" t="str">
        <f t="shared" si="14"/>
        <v/>
      </c>
      <c r="AH140" s="524" t="str">
        <f t="shared" ref="AH140:AH203" si="19">IF(N140="","",VLOOKUP(AE140,Difficulty,2,FALSE))</f>
        <v/>
      </c>
      <c r="AI140" s="145"/>
      <c r="AJ140" s="499" t="str">
        <f>IF(AI140="","",IF(VLOOKUP(AI140,'G-7 Rivers Data'!$AA$4:$AB$7,2,FALSE)=0,"Spatial Data Missing ⚠",VLOOKUP(AI140,'G-7 Rivers Data'!$AA$4:$AB$7,2,FALSE)))</f>
        <v/>
      </c>
      <c r="AK140" s="155"/>
      <c r="AL140" s="536" t="str">
        <f>IF(AK140="","",IF(VLOOKUP(AK140,'G-7 Rivers Data'!$AD$4:$AE$8,2,FALSE)=0,"Spatial Data Missing ⚠",VLOOKUP(AK140,'G-7 Rivers Data'!$AD$4:$AE$8,2,FALSE)))</f>
        <v/>
      </c>
      <c r="AM140" s="154"/>
      <c r="AN140" s="524" t="str">
        <f>IF(AM140="","",VLOOKUP(AM140,'G-7 Rivers Data'!$AO$4:$AP$7,2,FALSE))</f>
        <v/>
      </c>
      <c r="AO140" s="545" t="str">
        <f t="shared" si="15"/>
        <v/>
      </c>
      <c r="AP140" s="149"/>
      <c r="AQ140" s="150"/>
      <c r="AX140" s="31" t="str">
        <f>IFERROR(INDEX('G-7 Rivers Data'!$AZ$3:$AZ$7,MATCH(N140,'G-7 Rivers Data'!$AY$3:$AY$7,0)),"")</f>
        <v/>
      </c>
    </row>
    <row r="141" spans="2:50" ht="13.8" x14ac:dyDescent="0.25">
      <c r="B141" s="531" t="str">
        <f>'F-1 Off Site River Baseline'!AN139</f>
        <v/>
      </c>
      <c r="C141" s="520" t="str">
        <f>IF(B141="","",VLOOKUP($B141,'F-1 Off Site River Baseline'!$C$9:$R$257,2,FALSE))</f>
        <v/>
      </c>
      <c r="D141" s="520" t="str">
        <f>IF(C141="","",VLOOKUP($B141,'F-1 Off Site River Baseline'!$C$9:$R$257,3,FALSE))</f>
        <v/>
      </c>
      <c r="E141" s="520" t="str">
        <f>IF(D141="","",VLOOKUP($B141,'F-1 Off Site River Baseline'!$C$9:$R$257,4,FALSE))</f>
        <v/>
      </c>
      <c r="F141" s="520" t="str">
        <f>IF(E141="","",VLOOKUP($B141,'F-1 Off Site River Baseline'!$C$9:$R$257,5,FALSE))</f>
        <v/>
      </c>
      <c r="G141" s="520" t="str">
        <f>IF(F141="","",VLOOKUP($B141,'F-1 Off Site River Baseline'!$C$9:$R$257,6,FALSE))</f>
        <v/>
      </c>
      <c r="H141" s="520" t="str">
        <f>IF(G141="","",VLOOKUP($B141,'F-1 Off Site River Baseline'!$C$9:$R$257,7,FALSE))</f>
        <v/>
      </c>
      <c r="I141" s="520" t="str">
        <f>IF(H141="","",VLOOKUP($B141,'F-1 Off Site River Baseline'!$C$9:$R$257,8,FALSE))</f>
        <v/>
      </c>
      <c r="J141" s="520" t="str">
        <f>IF(I141="","",VLOOKUP($B141,'F-1 Off Site River Baseline'!$C$9:$R$257,9,FALSE))</f>
        <v/>
      </c>
      <c r="K141" s="520" t="str">
        <f>IF(J141="","",VLOOKUP($B141,'F-1 Off Site River Baseline'!$C$9:$R$257,10,FALSE))</f>
        <v/>
      </c>
      <c r="L141" s="520" t="str">
        <f>IF(B141="","",VLOOKUP($B141,'C-1 Site River Baseline'!$C$9:$R$257,15,FALSE))</f>
        <v/>
      </c>
      <c r="M141" s="524" t="str">
        <f>IF(L141="","",VLOOKUP($B141,'F-1 Off Site River Baseline'!$C$9:$R$257,16,FALSE))</f>
        <v/>
      </c>
      <c r="N141" s="418" t="str">
        <f t="shared" ref="N141:N204" si="20">C141</f>
        <v/>
      </c>
      <c r="O141" s="498" t="str">
        <f t="shared" ref="O141:O204" si="21">IF(B141="","",IF(S141&lt;F141,"Error Trading Down ▲",E141&amp;" - "&amp;R141))</f>
        <v/>
      </c>
      <c r="P141" s="499" t="str">
        <f>IF(C141="","",IF(AND(LEFT(C141,55)&lt;&gt;LEFT(N141,55),O141="High - High"),"Error - Not like for like ▲",IF(AND(F141=S141,H141&gt;U141),"Error - Can not reduce condition ▲",IF(AND(F141=S141,H141=U141,AJ141='F-1 Off Site River Baseline'!N139,'F-1 Off Site River Baseline'!P139=AL141),"Error - No enhancement ▲",IF(AND(C141&lt;&gt;N141,F141&lt;S141),"Lower Distinctiveness Habitat"&amp;" - "&amp;T141,G141&amp;" - "&amp;T141)))))</f>
        <v/>
      </c>
      <c r="Q141" s="505" t="str">
        <f>IF(N141="","",VLOOKUP(B141,'F-1 Off Site River Baseline'!$C$10:$AA$257,19,FALSE))</f>
        <v/>
      </c>
      <c r="R141" s="498" t="str">
        <f>IF(N141="","",VLOOKUP(N141,'G-7 Rivers Data'!$B$2:$G$8,2,FALSE))</f>
        <v/>
      </c>
      <c r="S141" s="499" t="str">
        <f>IFERROR(VLOOKUP(R141,'G-7 Rivers Data'!$C$4:$D$8,2,FALSE),"")</f>
        <v/>
      </c>
      <c r="T141" s="145"/>
      <c r="U141" s="499" t="str">
        <f>IFERROR(INDEX('G-7 Rivers Data'!$H$4:$L$8,MATCH(N141,'G-7 Rivers Data'!$B$4:$B$8,0),MATCH(T141,'G-7 Rivers Data'!$H$3:$L$3,0)),"")</f>
        <v/>
      </c>
      <c r="V141" s="154"/>
      <c r="W141" s="520" t="str">
        <f>IF(V141="","",IF(VLOOKUP(V141,'G-7 Rivers Data'!$AG$4:$AI$9,2,FALSE)=0,"Spatial Data Missing ⚠",VLOOKUP(V141,'G-7 Rivers Data'!$AG$4:$AI$9,2,FALSE)))</f>
        <v/>
      </c>
      <c r="X141" s="524" t="str">
        <f>IF(V141="","",IF(VLOOKUP(V141,'G-7 Rivers Data'!$AG$4:$AI$9,3,FALSE)=0,"Spatial Data Missing ⚠",VLOOKUP(V141,'G-7 Rivers Data'!$AG$4:$AI$9,3,FALSE)))</f>
        <v/>
      </c>
      <c r="Y141" s="537" t="str">
        <f>IFERROR(IF(OR(LEFT(P141,5)="Error ▲",LEFT(O141,5)="Error ▲"),"Check Data ⚠",IF(F141&lt;S141,'G-7 Rivers Data'!$R$3,INDEX('G-7 Rivers Data'!$U$5:$Y$9,MATCH(G141,'G-7 Rivers Data'!$T$5:$T$9,0),MATCH(T141,'G-7 Rivers Data'!$U$4:$Y$4,0)))),"")</f>
        <v/>
      </c>
      <c r="Z141" s="203"/>
      <c r="AA141" s="203"/>
      <c r="AB141" s="534" t="str">
        <f t="shared" si="16"/>
        <v/>
      </c>
      <c r="AC141" s="521" t="str">
        <f t="shared" si="17"/>
        <v/>
      </c>
      <c r="AD141" s="564" t="str">
        <f>IFERROR(IF(AC141="Check Data ⚠","Check Data ⚠",VLOOKUP(AC141,'G-4 Temporal multipliers'!$A$4:$C$37,3,FALSE)),"")</f>
        <v/>
      </c>
      <c r="AE141" s="537" t="str">
        <f>IF(N141="","",VLOOKUP(N141,'G-7 Rivers Data'!$B$4:$G$8,5,FALSE))</f>
        <v/>
      </c>
      <c r="AF141" s="520" t="str">
        <f t="shared" si="18"/>
        <v/>
      </c>
      <c r="AG141" s="520" t="str">
        <f t="shared" ref="AG141:AG204" si="22">(IF(AND(AF141="Standard difficulty applied",Y141&gt;Z141),AE141,IF(AND(AF141="Low Difficulty - only applicable if all habitat created before losses ⚠",Z141&gt;=Y141),"Low",AE141)))</f>
        <v/>
      </c>
      <c r="AH141" s="524" t="str">
        <f t="shared" si="19"/>
        <v/>
      </c>
      <c r="AI141" s="145"/>
      <c r="AJ141" s="499" t="str">
        <f>IF(AI141="","",IF(VLOOKUP(AI141,'G-7 Rivers Data'!$AA$4:$AB$7,2,FALSE)=0,"Spatial Data Missing ⚠",VLOOKUP(AI141,'G-7 Rivers Data'!$AA$4:$AB$7,2,FALSE)))</f>
        <v/>
      </c>
      <c r="AK141" s="155"/>
      <c r="AL141" s="536" t="str">
        <f>IF(AK141="","",IF(VLOOKUP(AK141,'G-7 Rivers Data'!$AD$4:$AE$8,2,FALSE)=0,"Spatial Data Missing ⚠",VLOOKUP(AK141,'G-7 Rivers Data'!$AD$4:$AE$8,2,FALSE)))</f>
        <v/>
      </c>
      <c r="AM141" s="154"/>
      <c r="AN141" s="524" t="str">
        <f>IF(AM141="","",VLOOKUP(AM141,'G-7 Rivers Data'!$AO$4:$AP$7,2,FALSE))</f>
        <v/>
      </c>
      <c r="AO141" s="545" t="str">
        <f t="shared" ref="AO141:AO204" si="23">IFERROR(IF(C141="","",IF(Q141&gt;D141,((((Q141*S141*U141)-(D141*F141*H141))*(AH141*AD141))+(D141*F141*H141))*(AL141*X141*AJ141*AN141),((((Q141*S141*U141)-(Q141*F141*H141))*(AH141*AD141))+(Q141*F141*H141))*(AL141*X141*AJ141*AN141))),"")</f>
        <v/>
      </c>
      <c r="AP141" s="149"/>
      <c r="AQ141" s="150"/>
      <c r="AX141" s="31" t="str">
        <f>IFERROR(INDEX('G-7 Rivers Data'!$AZ$3:$AZ$7,MATCH(N141,'G-7 Rivers Data'!$AY$3:$AY$7,0)),"")</f>
        <v/>
      </c>
    </row>
    <row r="142" spans="2:50" ht="13.8" x14ac:dyDescent="0.25">
      <c r="B142" s="531" t="str">
        <f>'F-1 Off Site River Baseline'!AN140</f>
        <v/>
      </c>
      <c r="C142" s="520" t="str">
        <f>IF(B142="","",VLOOKUP($B142,'F-1 Off Site River Baseline'!$C$9:$R$257,2,FALSE))</f>
        <v/>
      </c>
      <c r="D142" s="520" t="str">
        <f>IF(C142="","",VLOOKUP($B142,'F-1 Off Site River Baseline'!$C$9:$R$257,3,FALSE))</f>
        <v/>
      </c>
      <c r="E142" s="520" t="str">
        <f>IF(D142="","",VLOOKUP($B142,'F-1 Off Site River Baseline'!$C$9:$R$257,4,FALSE))</f>
        <v/>
      </c>
      <c r="F142" s="520" t="str">
        <f>IF(E142="","",VLOOKUP($B142,'F-1 Off Site River Baseline'!$C$9:$R$257,5,FALSE))</f>
        <v/>
      </c>
      <c r="G142" s="520" t="str">
        <f>IF(F142="","",VLOOKUP($B142,'F-1 Off Site River Baseline'!$C$9:$R$257,6,FALSE))</f>
        <v/>
      </c>
      <c r="H142" s="520" t="str">
        <f>IF(G142="","",VLOOKUP($B142,'F-1 Off Site River Baseline'!$C$9:$R$257,7,FALSE))</f>
        <v/>
      </c>
      <c r="I142" s="520" t="str">
        <f>IF(H142="","",VLOOKUP($B142,'F-1 Off Site River Baseline'!$C$9:$R$257,8,FALSE))</f>
        <v/>
      </c>
      <c r="J142" s="520" t="str">
        <f>IF(I142="","",VLOOKUP($B142,'F-1 Off Site River Baseline'!$C$9:$R$257,9,FALSE))</f>
        <v/>
      </c>
      <c r="K142" s="520" t="str">
        <f>IF(J142="","",VLOOKUP($B142,'F-1 Off Site River Baseline'!$C$9:$R$257,10,FALSE))</f>
        <v/>
      </c>
      <c r="L142" s="520" t="str">
        <f>IF(B142="","",VLOOKUP($B142,'C-1 Site River Baseline'!$C$9:$R$257,15,FALSE))</f>
        <v/>
      </c>
      <c r="M142" s="524" t="str">
        <f>IF(L142="","",VLOOKUP($B142,'F-1 Off Site River Baseline'!$C$9:$R$257,16,FALSE))</f>
        <v/>
      </c>
      <c r="N142" s="418" t="str">
        <f t="shared" si="20"/>
        <v/>
      </c>
      <c r="O142" s="498" t="str">
        <f t="shared" si="21"/>
        <v/>
      </c>
      <c r="P142" s="499" t="str">
        <f>IF(C142="","",IF(AND(LEFT(C142,55)&lt;&gt;LEFT(N142,55),O142="High - High"),"Error - Not like for like ▲",IF(AND(F142=S142,H142&gt;U142),"Error - Can not reduce condition ▲",IF(AND(F142=S142,H142=U142,AJ142='F-1 Off Site River Baseline'!N140,'F-1 Off Site River Baseline'!P140=AL142),"Error - No enhancement ▲",IF(AND(C142&lt;&gt;N142,F142&lt;S142),"Lower Distinctiveness Habitat"&amp;" - "&amp;T142,G142&amp;" - "&amp;T142)))))</f>
        <v/>
      </c>
      <c r="Q142" s="505" t="str">
        <f>IF(N142="","",VLOOKUP(B142,'F-1 Off Site River Baseline'!$C$10:$AA$257,19,FALSE))</f>
        <v/>
      </c>
      <c r="R142" s="498" t="str">
        <f>IF(N142="","",VLOOKUP(N142,'G-7 Rivers Data'!$B$2:$G$8,2,FALSE))</f>
        <v/>
      </c>
      <c r="S142" s="499" t="str">
        <f>IFERROR(VLOOKUP(R142,'G-7 Rivers Data'!$C$4:$D$8,2,FALSE),"")</f>
        <v/>
      </c>
      <c r="T142" s="145"/>
      <c r="U142" s="499" t="str">
        <f>IFERROR(INDEX('G-7 Rivers Data'!$H$4:$L$8,MATCH(N142,'G-7 Rivers Data'!$B$4:$B$8,0),MATCH(T142,'G-7 Rivers Data'!$H$3:$L$3,0)),"")</f>
        <v/>
      </c>
      <c r="V142" s="154"/>
      <c r="W142" s="520" t="str">
        <f>IF(V142="","",IF(VLOOKUP(V142,'G-7 Rivers Data'!$AG$4:$AI$9,2,FALSE)=0,"Spatial Data Missing ⚠",VLOOKUP(V142,'G-7 Rivers Data'!$AG$4:$AI$9,2,FALSE)))</f>
        <v/>
      </c>
      <c r="X142" s="524" t="str">
        <f>IF(V142="","",IF(VLOOKUP(V142,'G-7 Rivers Data'!$AG$4:$AI$9,3,FALSE)=0,"Spatial Data Missing ⚠",VLOOKUP(V142,'G-7 Rivers Data'!$AG$4:$AI$9,3,FALSE)))</f>
        <v/>
      </c>
      <c r="Y142" s="537" t="str">
        <f>IFERROR(IF(OR(LEFT(P142,5)="Error ▲",LEFT(O142,5)="Error ▲"),"Check Data ⚠",IF(F142&lt;S142,'G-7 Rivers Data'!$R$3,INDEX('G-7 Rivers Data'!$U$5:$Y$9,MATCH(G142,'G-7 Rivers Data'!$T$5:$T$9,0),MATCH(T142,'G-7 Rivers Data'!$U$4:$Y$4,0)))),"")</f>
        <v/>
      </c>
      <c r="Z142" s="203"/>
      <c r="AA142" s="203"/>
      <c r="AB142" s="534" t="str">
        <f t="shared" si="16"/>
        <v/>
      </c>
      <c r="AC142" s="521" t="str">
        <f t="shared" si="17"/>
        <v/>
      </c>
      <c r="AD142" s="564" t="str">
        <f>IFERROR(IF(AC142="Check Data ⚠","Check Data ⚠",VLOOKUP(AC142,'G-4 Temporal multipliers'!$A$4:$C$37,3,FALSE)),"")</f>
        <v/>
      </c>
      <c r="AE142" s="537" t="str">
        <f>IF(N142="","",VLOOKUP(N142,'G-7 Rivers Data'!$B$4:$G$8,5,FALSE))</f>
        <v/>
      </c>
      <c r="AF142" s="520" t="str">
        <f t="shared" si="18"/>
        <v/>
      </c>
      <c r="AG142" s="520" t="str">
        <f t="shared" si="22"/>
        <v/>
      </c>
      <c r="AH142" s="524" t="str">
        <f t="shared" si="19"/>
        <v/>
      </c>
      <c r="AI142" s="145"/>
      <c r="AJ142" s="499" t="str">
        <f>IF(AI142="","",IF(VLOOKUP(AI142,'G-7 Rivers Data'!$AA$4:$AB$7,2,FALSE)=0,"Spatial Data Missing ⚠",VLOOKUP(AI142,'G-7 Rivers Data'!$AA$4:$AB$7,2,FALSE)))</f>
        <v/>
      </c>
      <c r="AK142" s="155"/>
      <c r="AL142" s="536" t="str">
        <f>IF(AK142="","",IF(VLOOKUP(AK142,'G-7 Rivers Data'!$AD$4:$AE$8,2,FALSE)=0,"Spatial Data Missing ⚠",VLOOKUP(AK142,'G-7 Rivers Data'!$AD$4:$AE$8,2,FALSE)))</f>
        <v/>
      </c>
      <c r="AM142" s="154"/>
      <c r="AN142" s="524" t="str">
        <f>IF(AM142="","",VLOOKUP(AM142,'G-7 Rivers Data'!$AO$4:$AP$7,2,FALSE))</f>
        <v/>
      </c>
      <c r="AO142" s="545" t="str">
        <f t="shared" si="23"/>
        <v/>
      </c>
      <c r="AP142" s="149"/>
      <c r="AQ142" s="150"/>
      <c r="AX142" s="31" t="str">
        <f>IFERROR(INDEX('G-7 Rivers Data'!$AZ$3:$AZ$7,MATCH(N142,'G-7 Rivers Data'!$AY$3:$AY$7,0)),"")</f>
        <v/>
      </c>
    </row>
    <row r="143" spans="2:50" ht="13.8" x14ac:dyDescent="0.25">
      <c r="B143" s="531" t="str">
        <f>'F-1 Off Site River Baseline'!AN141</f>
        <v/>
      </c>
      <c r="C143" s="520" t="str">
        <f>IF(B143="","",VLOOKUP($B143,'F-1 Off Site River Baseline'!$C$9:$R$257,2,FALSE))</f>
        <v/>
      </c>
      <c r="D143" s="520" t="str">
        <f>IF(C143="","",VLOOKUP($B143,'F-1 Off Site River Baseline'!$C$9:$R$257,3,FALSE))</f>
        <v/>
      </c>
      <c r="E143" s="520" t="str">
        <f>IF(D143="","",VLOOKUP($B143,'F-1 Off Site River Baseline'!$C$9:$R$257,4,FALSE))</f>
        <v/>
      </c>
      <c r="F143" s="520" t="str">
        <f>IF(E143="","",VLOOKUP($B143,'F-1 Off Site River Baseline'!$C$9:$R$257,5,FALSE))</f>
        <v/>
      </c>
      <c r="G143" s="520" t="str">
        <f>IF(F143="","",VLOOKUP($B143,'F-1 Off Site River Baseline'!$C$9:$R$257,6,FALSE))</f>
        <v/>
      </c>
      <c r="H143" s="520" t="str">
        <f>IF(G143="","",VLOOKUP($B143,'F-1 Off Site River Baseline'!$C$9:$R$257,7,FALSE))</f>
        <v/>
      </c>
      <c r="I143" s="520" t="str">
        <f>IF(H143="","",VLOOKUP($B143,'F-1 Off Site River Baseline'!$C$9:$R$257,8,FALSE))</f>
        <v/>
      </c>
      <c r="J143" s="520" t="str">
        <f>IF(I143="","",VLOOKUP($B143,'F-1 Off Site River Baseline'!$C$9:$R$257,9,FALSE))</f>
        <v/>
      </c>
      <c r="K143" s="520" t="str">
        <f>IF(J143="","",VLOOKUP($B143,'F-1 Off Site River Baseline'!$C$9:$R$257,10,FALSE))</f>
        <v/>
      </c>
      <c r="L143" s="520" t="str">
        <f>IF(B143="","",VLOOKUP($B143,'C-1 Site River Baseline'!$C$9:$R$257,15,FALSE))</f>
        <v/>
      </c>
      <c r="M143" s="524" t="str">
        <f>IF(L143="","",VLOOKUP($B143,'F-1 Off Site River Baseline'!$C$9:$R$257,16,FALSE))</f>
        <v/>
      </c>
      <c r="N143" s="418" t="str">
        <f t="shared" si="20"/>
        <v/>
      </c>
      <c r="O143" s="498" t="str">
        <f t="shared" si="21"/>
        <v/>
      </c>
      <c r="P143" s="499" t="str">
        <f>IF(C143="","",IF(AND(LEFT(C143,55)&lt;&gt;LEFT(N143,55),O143="High - High"),"Error - Not like for like ▲",IF(AND(F143=S143,H143&gt;U143),"Error - Can not reduce condition ▲",IF(AND(F143=S143,H143=U143,AJ143='F-1 Off Site River Baseline'!N141,'F-1 Off Site River Baseline'!P141=AL143),"Error - No enhancement ▲",IF(AND(C143&lt;&gt;N143,F143&lt;S143),"Lower Distinctiveness Habitat"&amp;" - "&amp;T143,G143&amp;" - "&amp;T143)))))</f>
        <v/>
      </c>
      <c r="Q143" s="505" t="str">
        <f>IF(N143="","",VLOOKUP(B143,'F-1 Off Site River Baseline'!$C$10:$AA$257,19,FALSE))</f>
        <v/>
      </c>
      <c r="R143" s="498" t="str">
        <f>IF(N143="","",VLOOKUP(N143,'G-7 Rivers Data'!$B$2:$G$8,2,FALSE))</f>
        <v/>
      </c>
      <c r="S143" s="499" t="str">
        <f>IFERROR(VLOOKUP(R143,'G-7 Rivers Data'!$C$4:$D$8,2,FALSE),"")</f>
        <v/>
      </c>
      <c r="T143" s="145"/>
      <c r="U143" s="499" t="str">
        <f>IFERROR(INDEX('G-7 Rivers Data'!$H$4:$L$8,MATCH(N143,'G-7 Rivers Data'!$B$4:$B$8,0),MATCH(T143,'G-7 Rivers Data'!$H$3:$L$3,0)),"")</f>
        <v/>
      </c>
      <c r="V143" s="154"/>
      <c r="W143" s="520" t="str">
        <f>IF(V143="","",IF(VLOOKUP(V143,'G-7 Rivers Data'!$AG$4:$AI$9,2,FALSE)=0,"Spatial Data Missing ⚠",VLOOKUP(V143,'G-7 Rivers Data'!$AG$4:$AI$9,2,FALSE)))</f>
        <v/>
      </c>
      <c r="X143" s="524" t="str">
        <f>IF(V143="","",IF(VLOOKUP(V143,'G-7 Rivers Data'!$AG$4:$AI$9,3,FALSE)=0,"Spatial Data Missing ⚠",VLOOKUP(V143,'G-7 Rivers Data'!$AG$4:$AI$9,3,FALSE)))</f>
        <v/>
      </c>
      <c r="Y143" s="537" t="str">
        <f>IFERROR(IF(OR(LEFT(P143,5)="Error ▲",LEFT(O143,5)="Error ▲"),"Check Data ⚠",IF(F143&lt;S143,'G-7 Rivers Data'!$R$3,INDEX('G-7 Rivers Data'!$U$5:$Y$9,MATCH(G143,'G-7 Rivers Data'!$T$5:$T$9,0),MATCH(T143,'G-7 Rivers Data'!$U$4:$Y$4,0)))),"")</f>
        <v/>
      </c>
      <c r="Z143" s="203"/>
      <c r="AA143" s="203"/>
      <c r="AB143" s="534" t="str">
        <f t="shared" si="16"/>
        <v/>
      </c>
      <c r="AC143" s="521" t="str">
        <f t="shared" si="17"/>
        <v/>
      </c>
      <c r="AD143" s="564" t="str">
        <f>IFERROR(IF(AC143="Check Data ⚠","Check Data ⚠",VLOOKUP(AC143,'G-4 Temporal multipliers'!$A$4:$C$37,3,FALSE)),"")</f>
        <v/>
      </c>
      <c r="AE143" s="537" t="str">
        <f>IF(N143="","",VLOOKUP(N143,'G-7 Rivers Data'!$B$4:$G$8,5,FALSE))</f>
        <v/>
      </c>
      <c r="AF143" s="520" t="str">
        <f t="shared" si="18"/>
        <v/>
      </c>
      <c r="AG143" s="520" t="str">
        <f t="shared" si="22"/>
        <v/>
      </c>
      <c r="AH143" s="524" t="str">
        <f t="shared" si="19"/>
        <v/>
      </c>
      <c r="AI143" s="145"/>
      <c r="AJ143" s="499" t="str">
        <f>IF(AI143="","",IF(VLOOKUP(AI143,'G-7 Rivers Data'!$AA$4:$AB$7,2,FALSE)=0,"Spatial Data Missing ⚠",VLOOKUP(AI143,'G-7 Rivers Data'!$AA$4:$AB$7,2,FALSE)))</f>
        <v/>
      </c>
      <c r="AK143" s="155"/>
      <c r="AL143" s="536" t="str">
        <f>IF(AK143="","",IF(VLOOKUP(AK143,'G-7 Rivers Data'!$AD$4:$AE$8,2,FALSE)=0,"Spatial Data Missing ⚠",VLOOKUP(AK143,'G-7 Rivers Data'!$AD$4:$AE$8,2,FALSE)))</f>
        <v/>
      </c>
      <c r="AM143" s="154"/>
      <c r="AN143" s="524" t="str">
        <f>IF(AM143="","",VLOOKUP(AM143,'G-7 Rivers Data'!$AO$4:$AP$7,2,FALSE))</f>
        <v/>
      </c>
      <c r="AO143" s="545" t="str">
        <f t="shared" si="23"/>
        <v/>
      </c>
      <c r="AP143" s="149"/>
      <c r="AQ143" s="150"/>
      <c r="AX143" s="31" t="str">
        <f>IFERROR(INDEX('G-7 Rivers Data'!$AZ$3:$AZ$7,MATCH(N143,'G-7 Rivers Data'!$AY$3:$AY$7,0)),"")</f>
        <v/>
      </c>
    </row>
    <row r="144" spans="2:50" ht="13.8" x14ac:dyDescent="0.25">
      <c r="B144" s="531" t="str">
        <f>'F-1 Off Site River Baseline'!AN142</f>
        <v/>
      </c>
      <c r="C144" s="520" t="str">
        <f>IF(B144="","",VLOOKUP($B144,'F-1 Off Site River Baseline'!$C$9:$R$257,2,FALSE))</f>
        <v/>
      </c>
      <c r="D144" s="520" t="str">
        <f>IF(C144="","",VLOOKUP($B144,'F-1 Off Site River Baseline'!$C$9:$R$257,3,FALSE))</f>
        <v/>
      </c>
      <c r="E144" s="520" t="str">
        <f>IF(D144="","",VLOOKUP($B144,'F-1 Off Site River Baseline'!$C$9:$R$257,4,FALSE))</f>
        <v/>
      </c>
      <c r="F144" s="520" t="str">
        <f>IF(E144="","",VLOOKUP($B144,'F-1 Off Site River Baseline'!$C$9:$R$257,5,FALSE))</f>
        <v/>
      </c>
      <c r="G144" s="520" t="str">
        <f>IF(F144="","",VLOOKUP($B144,'F-1 Off Site River Baseline'!$C$9:$R$257,6,FALSE))</f>
        <v/>
      </c>
      <c r="H144" s="520" t="str">
        <f>IF(G144="","",VLOOKUP($B144,'F-1 Off Site River Baseline'!$C$9:$R$257,7,FALSE))</f>
        <v/>
      </c>
      <c r="I144" s="520" t="str">
        <f>IF(H144="","",VLOOKUP($B144,'F-1 Off Site River Baseline'!$C$9:$R$257,8,FALSE))</f>
        <v/>
      </c>
      <c r="J144" s="520" t="str">
        <f>IF(I144="","",VLOOKUP($B144,'F-1 Off Site River Baseline'!$C$9:$R$257,9,FALSE))</f>
        <v/>
      </c>
      <c r="K144" s="520" t="str">
        <f>IF(J144="","",VLOOKUP($B144,'F-1 Off Site River Baseline'!$C$9:$R$257,10,FALSE))</f>
        <v/>
      </c>
      <c r="L144" s="520" t="str">
        <f>IF(B144="","",VLOOKUP($B144,'C-1 Site River Baseline'!$C$9:$R$257,15,FALSE))</f>
        <v/>
      </c>
      <c r="M144" s="524" t="str">
        <f>IF(L144="","",VLOOKUP($B144,'F-1 Off Site River Baseline'!$C$9:$R$257,16,FALSE))</f>
        <v/>
      </c>
      <c r="N144" s="418" t="str">
        <f t="shared" si="20"/>
        <v/>
      </c>
      <c r="O144" s="498" t="str">
        <f t="shared" si="21"/>
        <v/>
      </c>
      <c r="P144" s="499" t="str">
        <f>IF(C144="","",IF(AND(LEFT(C144,55)&lt;&gt;LEFT(N144,55),O144="High - High"),"Error - Not like for like ▲",IF(AND(F144=S144,H144&gt;U144),"Error - Can not reduce condition ▲",IF(AND(F144=S144,H144=U144,AJ144='F-1 Off Site River Baseline'!N142,'F-1 Off Site River Baseline'!P142=AL144),"Error - No enhancement ▲",IF(AND(C144&lt;&gt;N144,F144&lt;S144),"Lower Distinctiveness Habitat"&amp;" - "&amp;T144,G144&amp;" - "&amp;T144)))))</f>
        <v/>
      </c>
      <c r="Q144" s="505" t="str">
        <f>IF(N144="","",VLOOKUP(B144,'F-1 Off Site River Baseline'!$C$10:$AA$257,19,FALSE))</f>
        <v/>
      </c>
      <c r="R144" s="498" t="str">
        <f>IF(N144="","",VLOOKUP(N144,'G-7 Rivers Data'!$B$2:$G$8,2,FALSE))</f>
        <v/>
      </c>
      <c r="S144" s="499" t="str">
        <f>IFERROR(VLOOKUP(R144,'G-7 Rivers Data'!$C$4:$D$8,2,FALSE),"")</f>
        <v/>
      </c>
      <c r="T144" s="145"/>
      <c r="U144" s="499" t="str">
        <f>IFERROR(INDEX('G-7 Rivers Data'!$H$4:$L$8,MATCH(N144,'G-7 Rivers Data'!$B$4:$B$8,0),MATCH(T144,'G-7 Rivers Data'!$H$3:$L$3,0)),"")</f>
        <v/>
      </c>
      <c r="V144" s="154"/>
      <c r="W144" s="520" t="str">
        <f>IF(V144="","",IF(VLOOKUP(V144,'G-7 Rivers Data'!$AG$4:$AI$9,2,FALSE)=0,"Spatial Data Missing ⚠",VLOOKUP(V144,'G-7 Rivers Data'!$AG$4:$AI$9,2,FALSE)))</f>
        <v/>
      </c>
      <c r="X144" s="524" t="str">
        <f>IF(V144="","",IF(VLOOKUP(V144,'G-7 Rivers Data'!$AG$4:$AI$9,3,FALSE)=0,"Spatial Data Missing ⚠",VLOOKUP(V144,'G-7 Rivers Data'!$AG$4:$AI$9,3,FALSE)))</f>
        <v/>
      </c>
      <c r="Y144" s="537" t="str">
        <f>IFERROR(IF(OR(LEFT(P144,5)="Error ▲",LEFT(O144,5)="Error ▲"),"Check Data ⚠",IF(F144&lt;S144,'G-7 Rivers Data'!$R$3,INDEX('G-7 Rivers Data'!$U$5:$Y$9,MATCH(G144,'G-7 Rivers Data'!$T$5:$T$9,0),MATCH(T144,'G-7 Rivers Data'!$U$4:$Y$4,0)))),"")</f>
        <v/>
      </c>
      <c r="Z144" s="203"/>
      <c r="AA144" s="203"/>
      <c r="AB144" s="534" t="str">
        <f t="shared" si="16"/>
        <v/>
      </c>
      <c r="AC144" s="521" t="str">
        <f t="shared" si="17"/>
        <v/>
      </c>
      <c r="AD144" s="564" t="str">
        <f>IFERROR(IF(AC144="Check Data ⚠","Check Data ⚠",VLOOKUP(AC144,'G-4 Temporal multipliers'!$A$4:$C$37,3,FALSE)),"")</f>
        <v/>
      </c>
      <c r="AE144" s="537" t="str">
        <f>IF(N144="","",VLOOKUP(N144,'G-7 Rivers Data'!$B$4:$G$8,5,FALSE))</f>
        <v/>
      </c>
      <c r="AF144" s="520" t="str">
        <f t="shared" si="18"/>
        <v/>
      </c>
      <c r="AG144" s="520" t="str">
        <f t="shared" si="22"/>
        <v/>
      </c>
      <c r="AH144" s="524" t="str">
        <f t="shared" si="19"/>
        <v/>
      </c>
      <c r="AI144" s="145"/>
      <c r="AJ144" s="499" t="str">
        <f>IF(AI144="","",IF(VLOOKUP(AI144,'G-7 Rivers Data'!$AA$4:$AB$7,2,FALSE)=0,"Spatial Data Missing ⚠",VLOOKUP(AI144,'G-7 Rivers Data'!$AA$4:$AB$7,2,FALSE)))</f>
        <v/>
      </c>
      <c r="AK144" s="155"/>
      <c r="AL144" s="536" t="str">
        <f>IF(AK144="","",IF(VLOOKUP(AK144,'G-7 Rivers Data'!$AD$4:$AE$8,2,FALSE)=0,"Spatial Data Missing ⚠",VLOOKUP(AK144,'G-7 Rivers Data'!$AD$4:$AE$8,2,FALSE)))</f>
        <v/>
      </c>
      <c r="AM144" s="154"/>
      <c r="AN144" s="524" t="str">
        <f>IF(AM144="","",VLOOKUP(AM144,'G-7 Rivers Data'!$AO$4:$AP$7,2,FALSE))</f>
        <v/>
      </c>
      <c r="AO144" s="545" t="str">
        <f t="shared" si="23"/>
        <v/>
      </c>
      <c r="AP144" s="149"/>
      <c r="AQ144" s="150"/>
      <c r="AX144" s="31" t="str">
        <f>IFERROR(INDEX('G-7 Rivers Data'!$AZ$3:$AZ$7,MATCH(N144,'G-7 Rivers Data'!$AY$3:$AY$7,0)),"")</f>
        <v/>
      </c>
    </row>
    <row r="145" spans="2:50" ht="13.8" x14ac:dyDescent="0.25">
      <c r="B145" s="531" t="str">
        <f>'F-1 Off Site River Baseline'!AN143</f>
        <v/>
      </c>
      <c r="C145" s="520" t="str">
        <f>IF(B145="","",VLOOKUP($B145,'F-1 Off Site River Baseline'!$C$9:$R$257,2,FALSE))</f>
        <v/>
      </c>
      <c r="D145" s="520" t="str">
        <f>IF(C145="","",VLOOKUP($B145,'F-1 Off Site River Baseline'!$C$9:$R$257,3,FALSE))</f>
        <v/>
      </c>
      <c r="E145" s="520" t="str">
        <f>IF(D145="","",VLOOKUP($B145,'F-1 Off Site River Baseline'!$C$9:$R$257,4,FALSE))</f>
        <v/>
      </c>
      <c r="F145" s="520" t="str">
        <f>IF(E145="","",VLOOKUP($B145,'F-1 Off Site River Baseline'!$C$9:$R$257,5,FALSE))</f>
        <v/>
      </c>
      <c r="G145" s="520" t="str">
        <f>IF(F145="","",VLOOKUP($B145,'F-1 Off Site River Baseline'!$C$9:$R$257,6,FALSE))</f>
        <v/>
      </c>
      <c r="H145" s="520" t="str">
        <f>IF(G145="","",VLOOKUP($B145,'F-1 Off Site River Baseline'!$C$9:$R$257,7,FALSE))</f>
        <v/>
      </c>
      <c r="I145" s="520" t="str">
        <f>IF(H145="","",VLOOKUP($B145,'F-1 Off Site River Baseline'!$C$9:$R$257,8,FALSE))</f>
        <v/>
      </c>
      <c r="J145" s="520" t="str">
        <f>IF(I145="","",VLOOKUP($B145,'F-1 Off Site River Baseline'!$C$9:$R$257,9,FALSE))</f>
        <v/>
      </c>
      <c r="K145" s="520" t="str">
        <f>IF(J145="","",VLOOKUP($B145,'F-1 Off Site River Baseline'!$C$9:$R$257,10,FALSE))</f>
        <v/>
      </c>
      <c r="L145" s="520" t="str">
        <f>IF(B145="","",VLOOKUP($B145,'C-1 Site River Baseline'!$C$9:$R$257,15,FALSE))</f>
        <v/>
      </c>
      <c r="M145" s="524" t="str">
        <f>IF(L145="","",VLOOKUP($B145,'F-1 Off Site River Baseline'!$C$9:$R$257,16,FALSE))</f>
        <v/>
      </c>
      <c r="N145" s="418" t="str">
        <f t="shared" si="20"/>
        <v/>
      </c>
      <c r="O145" s="498" t="str">
        <f t="shared" si="21"/>
        <v/>
      </c>
      <c r="P145" s="499" t="str">
        <f>IF(C145="","",IF(AND(LEFT(C145,55)&lt;&gt;LEFT(N145,55),O145="High - High"),"Error - Not like for like ▲",IF(AND(F145=S145,H145&gt;U145),"Error - Can not reduce condition ▲",IF(AND(F145=S145,H145=U145,AJ145='F-1 Off Site River Baseline'!N143,'F-1 Off Site River Baseline'!P143=AL145),"Error - No enhancement ▲",IF(AND(C145&lt;&gt;N145,F145&lt;S145),"Lower Distinctiveness Habitat"&amp;" - "&amp;T145,G145&amp;" - "&amp;T145)))))</f>
        <v/>
      </c>
      <c r="Q145" s="505" t="str">
        <f>IF(N145="","",VLOOKUP(B145,'F-1 Off Site River Baseline'!$C$10:$AA$257,19,FALSE))</f>
        <v/>
      </c>
      <c r="R145" s="498" t="str">
        <f>IF(N145="","",VLOOKUP(N145,'G-7 Rivers Data'!$B$2:$G$8,2,FALSE))</f>
        <v/>
      </c>
      <c r="S145" s="499" t="str">
        <f>IFERROR(VLOOKUP(R145,'G-7 Rivers Data'!$C$4:$D$8,2,FALSE),"")</f>
        <v/>
      </c>
      <c r="T145" s="145"/>
      <c r="U145" s="499" t="str">
        <f>IFERROR(INDEX('G-7 Rivers Data'!$H$4:$L$8,MATCH(N145,'G-7 Rivers Data'!$B$4:$B$8,0),MATCH(T145,'G-7 Rivers Data'!$H$3:$L$3,0)),"")</f>
        <v/>
      </c>
      <c r="V145" s="154"/>
      <c r="W145" s="520" t="str">
        <f>IF(V145="","",IF(VLOOKUP(V145,'G-7 Rivers Data'!$AG$4:$AI$9,2,FALSE)=0,"Spatial Data Missing ⚠",VLOOKUP(V145,'G-7 Rivers Data'!$AG$4:$AI$9,2,FALSE)))</f>
        <v/>
      </c>
      <c r="X145" s="524" t="str">
        <f>IF(V145="","",IF(VLOOKUP(V145,'G-7 Rivers Data'!$AG$4:$AI$9,3,FALSE)=0,"Spatial Data Missing ⚠",VLOOKUP(V145,'G-7 Rivers Data'!$AG$4:$AI$9,3,FALSE)))</f>
        <v/>
      </c>
      <c r="Y145" s="537" t="str">
        <f>IFERROR(IF(OR(LEFT(P145,5)="Error ▲",LEFT(O145,5)="Error ▲"),"Check Data ⚠",IF(F145&lt;S145,'G-7 Rivers Data'!$R$3,INDEX('G-7 Rivers Data'!$U$5:$Y$9,MATCH(G145,'G-7 Rivers Data'!$T$5:$T$9,0),MATCH(T145,'G-7 Rivers Data'!$U$4:$Y$4,0)))),"")</f>
        <v/>
      </c>
      <c r="Z145" s="203"/>
      <c r="AA145" s="203"/>
      <c r="AB145" s="534" t="str">
        <f t="shared" si="16"/>
        <v/>
      </c>
      <c r="AC145" s="521" t="str">
        <f t="shared" si="17"/>
        <v/>
      </c>
      <c r="AD145" s="564" t="str">
        <f>IFERROR(IF(AC145="Check Data ⚠","Check Data ⚠",VLOOKUP(AC145,'G-4 Temporal multipliers'!$A$4:$C$37,3,FALSE)),"")</f>
        <v/>
      </c>
      <c r="AE145" s="537" t="str">
        <f>IF(N145="","",VLOOKUP(N145,'G-7 Rivers Data'!$B$4:$G$8,5,FALSE))</f>
        <v/>
      </c>
      <c r="AF145" s="520" t="str">
        <f t="shared" si="18"/>
        <v/>
      </c>
      <c r="AG145" s="520" t="str">
        <f t="shared" si="22"/>
        <v/>
      </c>
      <c r="AH145" s="524" t="str">
        <f t="shared" si="19"/>
        <v/>
      </c>
      <c r="AI145" s="145"/>
      <c r="AJ145" s="499" t="str">
        <f>IF(AI145="","",IF(VLOOKUP(AI145,'G-7 Rivers Data'!$AA$4:$AB$7,2,FALSE)=0,"Spatial Data Missing ⚠",VLOOKUP(AI145,'G-7 Rivers Data'!$AA$4:$AB$7,2,FALSE)))</f>
        <v/>
      </c>
      <c r="AK145" s="155"/>
      <c r="AL145" s="536" t="str">
        <f>IF(AK145="","",IF(VLOOKUP(AK145,'G-7 Rivers Data'!$AD$4:$AE$8,2,FALSE)=0,"Spatial Data Missing ⚠",VLOOKUP(AK145,'G-7 Rivers Data'!$AD$4:$AE$8,2,FALSE)))</f>
        <v/>
      </c>
      <c r="AM145" s="154"/>
      <c r="AN145" s="524" t="str">
        <f>IF(AM145="","",VLOOKUP(AM145,'G-7 Rivers Data'!$AO$4:$AP$7,2,FALSE))</f>
        <v/>
      </c>
      <c r="AO145" s="545" t="str">
        <f t="shared" si="23"/>
        <v/>
      </c>
      <c r="AP145" s="149"/>
      <c r="AQ145" s="150"/>
      <c r="AX145" s="31" t="str">
        <f>IFERROR(INDEX('G-7 Rivers Data'!$AZ$3:$AZ$7,MATCH(N145,'G-7 Rivers Data'!$AY$3:$AY$7,0)),"")</f>
        <v/>
      </c>
    </row>
    <row r="146" spans="2:50" ht="13.8" x14ac:dyDescent="0.25">
      <c r="B146" s="531" t="str">
        <f>'F-1 Off Site River Baseline'!AN144</f>
        <v/>
      </c>
      <c r="C146" s="520" t="str">
        <f>IF(B146="","",VLOOKUP($B146,'F-1 Off Site River Baseline'!$C$9:$R$257,2,FALSE))</f>
        <v/>
      </c>
      <c r="D146" s="520" t="str">
        <f>IF(C146="","",VLOOKUP($B146,'F-1 Off Site River Baseline'!$C$9:$R$257,3,FALSE))</f>
        <v/>
      </c>
      <c r="E146" s="520" t="str">
        <f>IF(D146="","",VLOOKUP($B146,'F-1 Off Site River Baseline'!$C$9:$R$257,4,FALSE))</f>
        <v/>
      </c>
      <c r="F146" s="520" t="str">
        <f>IF(E146="","",VLOOKUP($B146,'F-1 Off Site River Baseline'!$C$9:$R$257,5,FALSE))</f>
        <v/>
      </c>
      <c r="G146" s="520" t="str">
        <f>IF(F146="","",VLOOKUP($B146,'F-1 Off Site River Baseline'!$C$9:$R$257,6,FALSE))</f>
        <v/>
      </c>
      <c r="H146" s="520" t="str">
        <f>IF(G146="","",VLOOKUP($B146,'F-1 Off Site River Baseline'!$C$9:$R$257,7,FALSE))</f>
        <v/>
      </c>
      <c r="I146" s="520" t="str">
        <f>IF(H146="","",VLOOKUP($B146,'F-1 Off Site River Baseline'!$C$9:$R$257,8,FALSE))</f>
        <v/>
      </c>
      <c r="J146" s="520" t="str">
        <f>IF(I146="","",VLOOKUP($B146,'F-1 Off Site River Baseline'!$C$9:$R$257,9,FALSE))</f>
        <v/>
      </c>
      <c r="K146" s="520" t="str">
        <f>IF(J146="","",VLOOKUP($B146,'F-1 Off Site River Baseline'!$C$9:$R$257,10,FALSE))</f>
        <v/>
      </c>
      <c r="L146" s="520" t="str">
        <f>IF(B146="","",VLOOKUP($B146,'C-1 Site River Baseline'!$C$9:$R$257,15,FALSE))</f>
        <v/>
      </c>
      <c r="M146" s="524" t="str">
        <f>IF(L146="","",VLOOKUP($B146,'F-1 Off Site River Baseline'!$C$9:$R$257,16,FALSE))</f>
        <v/>
      </c>
      <c r="N146" s="418" t="str">
        <f t="shared" si="20"/>
        <v/>
      </c>
      <c r="O146" s="498" t="str">
        <f t="shared" si="21"/>
        <v/>
      </c>
      <c r="P146" s="499" t="str">
        <f>IF(C146="","",IF(AND(LEFT(C146,55)&lt;&gt;LEFT(N146,55),O146="High - High"),"Error - Not like for like ▲",IF(AND(F146=S146,H146&gt;U146),"Error - Can not reduce condition ▲",IF(AND(F146=S146,H146=U146,AJ146='F-1 Off Site River Baseline'!N144,'F-1 Off Site River Baseline'!P144=AL146),"Error - No enhancement ▲",IF(AND(C146&lt;&gt;N146,F146&lt;S146),"Lower Distinctiveness Habitat"&amp;" - "&amp;T146,G146&amp;" - "&amp;T146)))))</f>
        <v/>
      </c>
      <c r="Q146" s="505" t="str">
        <f>IF(N146="","",VLOOKUP(B146,'F-1 Off Site River Baseline'!$C$10:$AA$257,19,FALSE))</f>
        <v/>
      </c>
      <c r="R146" s="498" t="str">
        <f>IF(N146="","",VLOOKUP(N146,'G-7 Rivers Data'!$B$2:$G$8,2,FALSE))</f>
        <v/>
      </c>
      <c r="S146" s="499" t="str">
        <f>IFERROR(VLOOKUP(R146,'G-7 Rivers Data'!$C$4:$D$8,2,FALSE),"")</f>
        <v/>
      </c>
      <c r="T146" s="145"/>
      <c r="U146" s="499" t="str">
        <f>IFERROR(INDEX('G-7 Rivers Data'!$H$4:$L$8,MATCH(N146,'G-7 Rivers Data'!$B$4:$B$8,0),MATCH(T146,'G-7 Rivers Data'!$H$3:$L$3,0)),"")</f>
        <v/>
      </c>
      <c r="V146" s="154"/>
      <c r="W146" s="520" t="str">
        <f>IF(V146="","",IF(VLOOKUP(V146,'G-7 Rivers Data'!$AG$4:$AI$9,2,FALSE)=0,"Spatial Data Missing ⚠",VLOOKUP(V146,'G-7 Rivers Data'!$AG$4:$AI$9,2,FALSE)))</f>
        <v/>
      </c>
      <c r="X146" s="524" t="str">
        <f>IF(V146="","",IF(VLOOKUP(V146,'G-7 Rivers Data'!$AG$4:$AI$9,3,FALSE)=0,"Spatial Data Missing ⚠",VLOOKUP(V146,'G-7 Rivers Data'!$AG$4:$AI$9,3,FALSE)))</f>
        <v/>
      </c>
      <c r="Y146" s="537" t="str">
        <f>IFERROR(IF(OR(LEFT(P146,5)="Error ▲",LEFT(O146,5)="Error ▲"),"Check Data ⚠",IF(F146&lt;S146,'G-7 Rivers Data'!$R$3,INDEX('G-7 Rivers Data'!$U$5:$Y$9,MATCH(G146,'G-7 Rivers Data'!$T$5:$T$9,0),MATCH(T146,'G-7 Rivers Data'!$U$4:$Y$4,0)))),"")</f>
        <v/>
      </c>
      <c r="Z146" s="203"/>
      <c r="AA146" s="203"/>
      <c r="AB146" s="534" t="str">
        <f t="shared" si="16"/>
        <v/>
      </c>
      <c r="AC146" s="521" t="str">
        <f t="shared" si="17"/>
        <v/>
      </c>
      <c r="AD146" s="564" t="str">
        <f>IFERROR(IF(AC146="Check Data ⚠","Check Data ⚠",VLOOKUP(AC146,'G-4 Temporal multipliers'!$A$4:$C$37,3,FALSE)),"")</f>
        <v/>
      </c>
      <c r="AE146" s="537" t="str">
        <f>IF(N146="","",VLOOKUP(N146,'G-7 Rivers Data'!$B$4:$G$8,5,FALSE))</f>
        <v/>
      </c>
      <c r="AF146" s="520" t="str">
        <f t="shared" si="18"/>
        <v/>
      </c>
      <c r="AG146" s="520" t="str">
        <f t="shared" si="22"/>
        <v/>
      </c>
      <c r="AH146" s="524" t="str">
        <f t="shared" si="19"/>
        <v/>
      </c>
      <c r="AI146" s="145"/>
      <c r="AJ146" s="499" t="str">
        <f>IF(AI146="","",IF(VLOOKUP(AI146,'G-7 Rivers Data'!$AA$4:$AB$7,2,FALSE)=0,"Spatial Data Missing ⚠",VLOOKUP(AI146,'G-7 Rivers Data'!$AA$4:$AB$7,2,FALSE)))</f>
        <v/>
      </c>
      <c r="AK146" s="155"/>
      <c r="AL146" s="536" t="str">
        <f>IF(AK146="","",IF(VLOOKUP(AK146,'G-7 Rivers Data'!$AD$4:$AE$8,2,FALSE)=0,"Spatial Data Missing ⚠",VLOOKUP(AK146,'G-7 Rivers Data'!$AD$4:$AE$8,2,FALSE)))</f>
        <v/>
      </c>
      <c r="AM146" s="154"/>
      <c r="AN146" s="524" t="str">
        <f>IF(AM146="","",VLOOKUP(AM146,'G-7 Rivers Data'!$AO$4:$AP$7,2,FALSE))</f>
        <v/>
      </c>
      <c r="AO146" s="545" t="str">
        <f t="shared" si="23"/>
        <v/>
      </c>
      <c r="AP146" s="149"/>
      <c r="AQ146" s="150"/>
      <c r="AX146" s="31" t="str">
        <f>IFERROR(INDEX('G-7 Rivers Data'!$AZ$3:$AZ$7,MATCH(N146,'G-7 Rivers Data'!$AY$3:$AY$7,0)),"")</f>
        <v/>
      </c>
    </row>
    <row r="147" spans="2:50" ht="13.8" x14ac:dyDescent="0.25">
      <c r="B147" s="531" t="str">
        <f>'F-1 Off Site River Baseline'!AN145</f>
        <v/>
      </c>
      <c r="C147" s="520" t="str">
        <f>IF(B147="","",VLOOKUP($B147,'F-1 Off Site River Baseline'!$C$9:$R$257,2,FALSE))</f>
        <v/>
      </c>
      <c r="D147" s="520" t="str">
        <f>IF(C147="","",VLOOKUP($B147,'F-1 Off Site River Baseline'!$C$9:$R$257,3,FALSE))</f>
        <v/>
      </c>
      <c r="E147" s="520" t="str">
        <f>IF(D147="","",VLOOKUP($B147,'F-1 Off Site River Baseline'!$C$9:$R$257,4,FALSE))</f>
        <v/>
      </c>
      <c r="F147" s="520" t="str">
        <f>IF(E147="","",VLOOKUP($B147,'F-1 Off Site River Baseline'!$C$9:$R$257,5,FALSE))</f>
        <v/>
      </c>
      <c r="G147" s="520" t="str">
        <f>IF(F147="","",VLOOKUP($B147,'F-1 Off Site River Baseline'!$C$9:$R$257,6,FALSE))</f>
        <v/>
      </c>
      <c r="H147" s="520" t="str">
        <f>IF(G147="","",VLOOKUP($B147,'F-1 Off Site River Baseline'!$C$9:$R$257,7,FALSE))</f>
        <v/>
      </c>
      <c r="I147" s="520" t="str">
        <f>IF(H147="","",VLOOKUP($B147,'F-1 Off Site River Baseline'!$C$9:$R$257,8,FALSE))</f>
        <v/>
      </c>
      <c r="J147" s="520" t="str">
        <f>IF(I147="","",VLOOKUP($B147,'F-1 Off Site River Baseline'!$C$9:$R$257,9,FALSE))</f>
        <v/>
      </c>
      <c r="K147" s="520" t="str">
        <f>IF(J147="","",VLOOKUP($B147,'F-1 Off Site River Baseline'!$C$9:$R$257,10,FALSE))</f>
        <v/>
      </c>
      <c r="L147" s="520" t="str">
        <f>IF(B147="","",VLOOKUP($B147,'C-1 Site River Baseline'!$C$9:$R$257,15,FALSE))</f>
        <v/>
      </c>
      <c r="M147" s="524" t="str">
        <f>IF(L147="","",VLOOKUP($B147,'F-1 Off Site River Baseline'!$C$9:$R$257,16,FALSE))</f>
        <v/>
      </c>
      <c r="N147" s="418" t="str">
        <f t="shared" si="20"/>
        <v/>
      </c>
      <c r="O147" s="498" t="str">
        <f t="shared" si="21"/>
        <v/>
      </c>
      <c r="P147" s="499" t="str">
        <f>IF(C147="","",IF(AND(LEFT(C147,55)&lt;&gt;LEFT(N147,55),O147="High - High"),"Error - Not like for like ▲",IF(AND(F147=S147,H147&gt;U147),"Error - Can not reduce condition ▲",IF(AND(F147=S147,H147=U147,AJ147='F-1 Off Site River Baseline'!N145,'F-1 Off Site River Baseline'!P145=AL147),"Error - No enhancement ▲",IF(AND(C147&lt;&gt;N147,F147&lt;S147),"Lower Distinctiveness Habitat"&amp;" - "&amp;T147,G147&amp;" - "&amp;T147)))))</f>
        <v/>
      </c>
      <c r="Q147" s="505" t="str">
        <f>IF(N147="","",VLOOKUP(B147,'F-1 Off Site River Baseline'!$C$10:$AA$257,19,FALSE))</f>
        <v/>
      </c>
      <c r="R147" s="498" t="str">
        <f>IF(N147="","",VLOOKUP(N147,'G-7 Rivers Data'!$B$2:$G$8,2,FALSE))</f>
        <v/>
      </c>
      <c r="S147" s="499" t="str">
        <f>IFERROR(VLOOKUP(R147,'G-7 Rivers Data'!$C$4:$D$8,2,FALSE),"")</f>
        <v/>
      </c>
      <c r="T147" s="145"/>
      <c r="U147" s="499" t="str">
        <f>IFERROR(INDEX('G-7 Rivers Data'!$H$4:$L$8,MATCH(N147,'G-7 Rivers Data'!$B$4:$B$8,0),MATCH(T147,'G-7 Rivers Data'!$H$3:$L$3,0)),"")</f>
        <v/>
      </c>
      <c r="V147" s="154"/>
      <c r="W147" s="520" t="str">
        <f>IF(V147="","",IF(VLOOKUP(V147,'G-7 Rivers Data'!$AG$4:$AI$9,2,FALSE)=0,"Spatial Data Missing ⚠",VLOOKUP(V147,'G-7 Rivers Data'!$AG$4:$AI$9,2,FALSE)))</f>
        <v/>
      </c>
      <c r="X147" s="524" t="str">
        <f>IF(V147="","",IF(VLOOKUP(V147,'G-7 Rivers Data'!$AG$4:$AI$9,3,FALSE)=0,"Spatial Data Missing ⚠",VLOOKUP(V147,'G-7 Rivers Data'!$AG$4:$AI$9,3,FALSE)))</f>
        <v/>
      </c>
      <c r="Y147" s="537" t="str">
        <f>IFERROR(IF(OR(LEFT(P147,5)="Error ▲",LEFT(O147,5)="Error ▲"),"Check Data ⚠",IF(F147&lt;S147,'G-7 Rivers Data'!$R$3,INDEX('G-7 Rivers Data'!$U$5:$Y$9,MATCH(G147,'G-7 Rivers Data'!$T$5:$T$9,0),MATCH(T147,'G-7 Rivers Data'!$U$4:$Y$4,0)))),"")</f>
        <v/>
      </c>
      <c r="Z147" s="203"/>
      <c r="AA147" s="203"/>
      <c r="AB147" s="534" t="str">
        <f t="shared" si="16"/>
        <v/>
      </c>
      <c r="AC147" s="521" t="str">
        <f t="shared" si="17"/>
        <v/>
      </c>
      <c r="AD147" s="564" t="str">
        <f>IFERROR(IF(AC147="Check Data ⚠","Check Data ⚠",VLOOKUP(AC147,'G-4 Temporal multipliers'!$A$4:$C$37,3,FALSE)),"")</f>
        <v/>
      </c>
      <c r="AE147" s="537" t="str">
        <f>IF(N147="","",VLOOKUP(N147,'G-7 Rivers Data'!$B$4:$G$8,5,FALSE))</f>
        <v/>
      </c>
      <c r="AF147" s="520" t="str">
        <f t="shared" si="18"/>
        <v/>
      </c>
      <c r="AG147" s="520" t="str">
        <f t="shared" si="22"/>
        <v/>
      </c>
      <c r="AH147" s="524" t="str">
        <f t="shared" si="19"/>
        <v/>
      </c>
      <c r="AI147" s="145"/>
      <c r="AJ147" s="499" t="str">
        <f>IF(AI147="","",IF(VLOOKUP(AI147,'G-7 Rivers Data'!$AA$4:$AB$7,2,FALSE)=0,"Spatial Data Missing ⚠",VLOOKUP(AI147,'G-7 Rivers Data'!$AA$4:$AB$7,2,FALSE)))</f>
        <v/>
      </c>
      <c r="AK147" s="155"/>
      <c r="AL147" s="536" t="str">
        <f>IF(AK147="","",IF(VLOOKUP(AK147,'G-7 Rivers Data'!$AD$4:$AE$8,2,FALSE)=0,"Spatial Data Missing ⚠",VLOOKUP(AK147,'G-7 Rivers Data'!$AD$4:$AE$8,2,FALSE)))</f>
        <v/>
      </c>
      <c r="AM147" s="154"/>
      <c r="AN147" s="524" t="str">
        <f>IF(AM147="","",VLOOKUP(AM147,'G-7 Rivers Data'!$AO$4:$AP$7,2,FALSE))</f>
        <v/>
      </c>
      <c r="AO147" s="545" t="str">
        <f t="shared" si="23"/>
        <v/>
      </c>
      <c r="AP147" s="149"/>
      <c r="AQ147" s="150"/>
      <c r="AX147" s="31" t="str">
        <f>IFERROR(INDEX('G-7 Rivers Data'!$AZ$3:$AZ$7,MATCH(N147,'G-7 Rivers Data'!$AY$3:$AY$7,0)),"")</f>
        <v/>
      </c>
    </row>
    <row r="148" spans="2:50" ht="13.8" x14ac:dyDescent="0.25">
      <c r="B148" s="531" t="str">
        <f>'F-1 Off Site River Baseline'!AN146</f>
        <v/>
      </c>
      <c r="C148" s="520" t="str">
        <f>IF(B148="","",VLOOKUP($B148,'F-1 Off Site River Baseline'!$C$9:$R$257,2,FALSE))</f>
        <v/>
      </c>
      <c r="D148" s="520" t="str">
        <f>IF(C148="","",VLOOKUP($B148,'F-1 Off Site River Baseline'!$C$9:$R$257,3,FALSE))</f>
        <v/>
      </c>
      <c r="E148" s="520" t="str">
        <f>IF(D148="","",VLOOKUP($B148,'F-1 Off Site River Baseline'!$C$9:$R$257,4,FALSE))</f>
        <v/>
      </c>
      <c r="F148" s="520" t="str">
        <f>IF(E148="","",VLOOKUP($B148,'F-1 Off Site River Baseline'!$C$9:$R$257,5,FALSE))</f>
        <v/>
      </c>
      <c r="G148" s="520" t="str">
        <f>IF(F148="","",VLOOKUP($B148,'F-1 Off Site River Baseline'!$C$9:$R$257,6,FALSE))</f>
        <v/>
      </c>
      <c r="H148" s="520" t="str">
        <f>IF(G148="","",VLOOKUP($B148,'F-1 Off Site River Baseline'!$C$9:$R$257,7,FALSE))</f>
        <v/>
      </c>
      <c r="I148" s="520" t="str">
        <f>IF(H148="","",VLOOKUP($B148,'F-1 Off Site River Baseline'!$C$9:$R$257,8,FALSE))</f>
        <v/>
      </c>
      <c r="J148" s="520" t="str">
        <f>IF(I148="","",VLOOKUP($B148,'F-1 Off Site River Baseline'!$C$9:$R$257,9,FALSE))</f>
        <v/>
      </c>
      <c r="K148" s="520" t="str">
        <f>IF(J148="","",VLOOKUP($B148,'F-1 Off Site River Baseline'!$C$9:$R$257,10,FALSE))</f>
        <v/>
      </c>
      <c r="L148" s="520" t="str">
        <f>IF(B148="","",VLOOKUP($B148,'C-1 Site River Baseline'!$C$9:$R$257,15,FALSE))</f>
        <v/>
      </c>
      <c r="M148" s="524" t="str">
        <f>IF(L148="","",VLOOKUP($B148,'F-1 Off Site River Baseline'!$C$9:$R$257,16,FALSE))</f>
        <v/>
      </c>
      <c r="N148" s="418" t="str">
        <f t="shared" si="20"/>
        <v/>
      </c>
      <c r="O148" s="498" t="str">
        <f t="shared" si="21"/>
        <v/>
      </c>
      <c r="P148" s="499" t="str">
        <f>IF(C148="","",IF(AND(LEFT(C148,55)&lt;&gt;LEFT(N148,55),O148="High - High"),"Error - Not like for like ▲",IF(AND(F148=S148,H148&gt;U148),"Error - Can not reduce condition ▲",IF(AND(F148=S148,H148=U148,AJ148='F-1 Off Site River Baseline'!N146,'F-1 Off Site River Baseline'!P146=AL148),"Error - No enhancement ▲",IF(AND(C148&lt;&gt;N148,F148&lt;S148),"Lower Distinctiveness Habitat"&amp;" - "&amp;T148,G148&amp;" - "&amp;T148)))))</f>
        <v/>
      </c>
      <c r="Q148" s="505" t="str">
        <f>IF(N148="","",VLOOKUP(B148,'F-1 Off Site River Baseline'!$C$10:$AA$257,19,FALSE))</f>
        <v/>
      </c>
      <c r="R148" s="498" t="str">
        <f>IF(N148="","",VLOOKUP(N148,'G-7 Rivers Data'!$B$2:$G$8,2,FALSE))</f>
        <v/>
      </c>
      <c r="S148" s="499" t="str">
        <f>IFERROR(VLOOKUP(R148,'G-7 Rivers Data'!$C$4:$D$8,2,FALSE),"")</f>
        <v/>
      </c>
      <c r="T148" s="145"/>
      <c r="U148" s="499" t="str">
        <f>IFERROR(INDEX('G-7 Rivers Data'!$H$4:$L$8,MATCH(N148,'G-7 Rivers Data'!$B$4:$B$8,0),MATCH(T148,'G-7 Rivers Data'!$H$3:$L$3,0)),"")</f>
        <v/>
      </c>
      <c r="V148" s="154"/>
      <c r="W148" s="520" t="str">
        <f>IF(V148="","",IF(VLOOKUP(V148,'G-7 Rivers Data'!$AG$4:$AI$9,2,FALSE)=0,"Spatial Data Missing ⚠",VLOOKUP(V148,'G-7 Rivers Data'!$AG$4:$AI$9,2,FALSE)))</f>
        <v/>
      </c>
      <c r="X148" s="524" t="str">
        <f>IF(V148="","",IF(VLOOKUP(V148,'G-7 Rivers Data'!$AG$4:$AI$9,3,FALSE)=0,"Spatial Data Missing ⚠",VLOOKUP(V148,'G-7 Rivers Data'!$AG$4:$AI$9,3,FALSE)))</f>
        <v/>
      </c>
      <c r="Y148" s="537" t="str">
        <f>IFERROR(IF(OR(LEFT(P148,5)="Error ▲",LEFT(O148,5)="Error ▲"),"Check Data ⚠",IF(F148&lt;S148,'G-7 Rivers Data'!$R$3,INDEX('G-7 Rivers Data'!$U$5:$Y$9,MATCH(G148,'G-7 Rivers Data'!$T$5:$T$9,0),MATCH(T148,'G-7 Rivers Data'!$U$4:$Y$4,0)))),"")</f>
        <v/>
      </c>
      <c r="Z148" s="203"/>
      <c r="AA148" s="203"/>
      <c r="AB148" s="534" t="str">
        <f t="shared" si="16"/>
        <v/>
      </c>
      <c r="AC148" s="521" t="str">
        <f t="shared" si="17"/>
        <v/>
      </c>
      <c r="AD148" s="564" t="str">
        <f>IFERROR(IF(AC148="Check Data ⚠","Check Data ⚠",VLOOKUP(AC148,'G-4 Temporal multipliers'!$A$4:$C$37,3,FALSE)),"")</f>
        <v/>
      </c>
      <c r="AE148" s="537" t="str">
        <f>IF(N148="","",VLOOKUP(N148,'G-7 Rivers Data'!$B$4:$G$8,5,FALSE))</f>
        <v/>
      </c>
      <c r="AF148" s="520" t="str">
        <f t="shared" si="18"/>
        <v/>
      </c>
      <c r="AG148" s="520" t="str">
        <f t="shared" si="22"/>
        <v/>
      </c>
      <c r="AH148" s="524" t="str">
        <f t="shared" si="19"/>
        <v/>
      </c>
      <c r="AI148" s="145"/>
      <c r="AJ148" s="499" t="str">
        <f>IF(AI148="","",IF(VLOOKUP(AI148,'G-7 Rivers Data'!$AA$4:$AB$7,2,FALSE)=0,"Spatial Data Missing ⚠",VLOOKUP(AI148,'G-7 Rivers Data'!$AA$4:$AB$7,2,FALSE)))</f>
        <v/>
      </c>
      <c r="AK148" s="155"/>
      <c r="AL148" s="536" t="str">
        <f>IF(AK148="","",IF(VLOOKUP(AK148,'G-7 Rivers Data'!$AD$4:$AE$8,2,FALSE)=0,"Spatial Data Missing ⚠",VLOOKUP(AK148,'G-7 Rivers Data'!$AD$4:$AE$8,2,FALSE)))</f>
        <v/>
      </c>
      <c r="AM148" s="154"/>
      <c r="AN148" s="524" t="str">
        <f>IF(AM148="","",VLOOKUP(AM148,'G-7 Rivers Data'!$AO$4:$AP$7,2,FALSE))</f>
        <v/>
      </c>
      <c r="AO148" s="545" t="str">
        <f t="shared" si="23"/>
        <v/>
      </c>
      <c r="AP148" s="149"/>
      <c r="AQ148" s="150"/>
      <c r="AX148" s="31" t="str">
        <f>IFERROR(INDEX('G-7 Rivers Data'!$AZ$3:$AZ$7,MATCH(N148,'G-7 Rivers Data'!$AY$3:$AY$7,0)),"")</f>
        <v/>
      </c>
    </row>
    <row r="149" spans="2:50" ht="13.8" x14ac:dyDescent="0.25">
      <c r="B149" s="531" t="str">
        <f>'F-1 Off Site River Baseline'!AN147</f>
        <v/>
      </c>
      <c r="C149" s="520" t="str">
        <f>IF(B149="","",VLOOKUP($B149,'F-1 Off Site River Baseline'!$C$9:$R$257,2,FALSE))</f>
        <v/>
      </c>
      <c r="D149" s="520" t="str">
        <f>IF(C149="","",VLOOKUP($B149,'F-1 Off Site River Baseline'!$C$9:$R$257,3,FALSE))</f>
        <v/>
      </c>
      <c r="E149" s="520" t="str">
        <f>IF(D149="","",VLOOKUP($B149,'F-1 Off Site River Baseline'!$C$9:$R$257,4,FALSE))</f>
        <v/>
      </c>
      <c r="F149" s="520" t="str">
        <f>IF(E149="","",VLOOKUP($B149,'F-1 Off Site River Baseline'!$C$9:$R$257,5,FALSE))</f>
        <v/>
      </c>
      <c r="G149" s="520" t="str">
        <f>IF(F149="","",VLOOKUP($B149,'F-1 Off Site River Baseline'!$C$9:$R$257,6,FALSE))</f>
        <v/>
      </c>
      <c r="H149" s="520" t="str">
        <f>IF(G149="","",VLOOKUP($B149,'F-1 Off Site River Baseline'!$C$9:$R$257,7,FALSE))</f>
        <v/>
      </c>
      <c r="I149" s="520" t="str">
        <f>IF(H149="","",VLOOKUP($B149,'F-1 Off Site River Baseline'!$C$9:$R$257,8,FALSE))</f>
        <v/>
      </c>
      <c r="J149" s="520" t="str">
        <f>IF(I149="","",VLOOKUP($B149,'F-1 Off Site River Baseline'!$C$9:$R$257,9,FALSE))</f>
        <v/>
      </c>
      <c r="K149" s="520" t="str">
        <f>IF(J149="","",VLOOKUP($B149,'F-1 Off Site River Baseline'!$C$9:$R$257,10,FALSE))</f>
        <v/>
      </c>
      <c r="L149" s="520" t="str">
        <f>IF(B149="","",VLOOKUP($B149,'C-1 Site River Baseline'!$C$9:$R$257,15,FALSE))</f>
        <v/>
      </c>
      <c r="M149" s="524" t="str">
        <f>IF(L149="","",VLOOKUP($B149,'F-1 Off Site River Baseline'!$C$9:$R$257,16,FALSE))</f>
        <v/>
      </c>
      <c r="N149" s="418" t="str">
        <f t="shared" si="20"/>
        <v/>
      </c>
      <c r="O149" s="498" t="str">
        <f t="shared" si="21"/>
        <v/>
      </c>
      <c r="P149" s="499" t="str">
        <f>IF(C149="","",IF(AND(LEFT(C149,55)&lt;&gt;LEFT(N149,55),O149="High - High"),"Error - Not like for like ▲",IF(AND(F149=S149,H149&gt;U149),"Error - Can not reduce condition ▲",IF(AND(F149=S149,H149=U149,AJ149='F-1 Off Site River Baseline'!N147,'F-1 Off Site River Baseline'!P147=AL149),"Error - No enhancement ▲",IF(AND(C149&lt;&gt;N149,F149&lt;S149),"Lower Distinctiveness Habitat"&amp;" - "&amp;T149,G149&amp;" - "&amp;T149)))))</f>
        <v/>
      </c>
      <c r="Q149" s="505" t="str">
        <f>IF(N149="","",VLOOKUP(B149,'F-1 Off Site River Baseline'!$C$10:$AA$257,19,FALSE))</f>
        <v/>
      </c>
      <c r="R149" s="498" t="str">
        <f>IF(N149="","",VLOOKUP(N149,'G-7 Rivers Data'!$B$2:$G$8,2,FALSE))</f>
        <v/>
      </c>
      <c r="S149" s="499" t="str">
        <f>IFERROR(VLOOKUP(R149,'G-7 Rivers Data'!$C$4:$D$8,2,FALSE),"")</f>
        <v/>
      </c>
      <c r="T149" s="145"/>
      <c r="U149" s="499" t="str">
        <f>IFERROR(INDEX('G-7 Rivers Data'!$H$4:$L$8,MATCH(N149,'G-7 Rivers Data'!$B$4:$B$8,0),MATCH(T149,'G-7 Rivers Data'!$H$3:$L$3,0)),"")</f>
        <v/>
      </c>
      <c r="V149" s="154"/>
      <c r="W149" s="520" t="str">
        <f>IF(V149="","",IF(VLOOKUP(V149,'G-7 Rivers Data'!$AG$4:$AI$9,2,FALSE)=0,"Spatial Data Missing ⚠",VLOOKUP(V149,'G-7 Rivers Data'!$AG$4:$AI$9,2,FALSE)))</f>
        <v/>
      </c>
      <c r="X149" s="524" t="str">
        <f>IF(V149="","",IF(VLOOKUP(V149,'G-7 Rivers Data'!$AG$4:$AI$9,3,FALSE)=0,"Spatial Data Missing ⚠",VLOOKUP(V149,'G-7 Rivers Data'!$AG$4:$AI$9,3,FALSE)))</f>
        <v/>
      </c>
      <c r="Y149" s="537" t="str">
        <f>IFERROR(IF(OR(LEFT(P149,5)="Error ▲",LEFT(O149,5)="Error ▲"),"Check Data ⚠",IF(F149&lt;S149,'G-7 Rivers Data'!$R$3,INDEX('G-7 Rivers Data'!$U$5:$Y$9,MATCH(G149,'G-7 Rivers Data'!$T$5:$T$9,0),MATCH(T149,'G-7 Rivers Data'!$U$4:$Y$4,0)))),"")</f>
        <v/>
      </c>
      <c r="Z149" s="203"/>
      <c r="AA149" s="203"/>
      <c r="AB149" s="534" t="str">
        <f t="shared" si="16"/>
        <v/>
      </c>
      <c r="AC149" s="521" t="str">
        <f t="shared" si="17"/>
        <v/>
      </c>
      <c r="AD149" s="564" t="str">
        <f>IFERROR(IF(AC149="Check Data ⚠","Check Data ⚠",VLOOKUP(AC149,'G-4 Temporal multipliers'!$A$4:$C$37,3,FALSE)),"")</f>
        <v/>
      </c>
      <c r="AE149" s="537" t="str">
        <f>IF(N149="","",VLOOKUP(N149,'G-7 Rivers Data'!$B$4:$G$8,5,FALSE))</f>
        <v/>
      </c>
      <c r="AF149" s="520" t="str">
        <f t="shared" si="18"/>
        <v/>
      </c>
      <c r="AG149" s="520" t="str">
        <f t="shared" si="22"/>
        <v/>
      </c>
      <c r="AH149" s="524" t="str">
        <f t="shared" si="19"/>
        <v/>
      </c>
      <c r="AI149" s="145"/>
      <c r="AJ149" s="499" t="str">
        <f>IF(AI149="","",IF(VLOOKUP(AI149,'G-7 Rivers Data'!$AA$4:$AB$7,2,FALSE)=0,"Spatial Data Missing ⚠",VLOOKUP(AI149,'G-7 Rivers Data'!$AA$4:$AB$7,2,FALSE)))</f>
        <v/>
      </c>
      <c r="AK149" s="155"/>
      <c r="AL149" s="536" t="str">
        <f>IF(AK149="","",IF(VLOOKUP(AK149,'G-7 Rivers Data'!$AD$4:$AE$8,2,FALSE)=0,"Spatial Data Missing ⚠",VLOOKUP(AK149,'G-7 Rivers Data'!$AD$4:$AE$8,2,FALSE)))</f>
        <v/>
      </c>
      <c r="AM149" s="154"/>
      <c r="AN149" s="524" t="str">
        <f>IF(AM149="","",VLOOKUP(AM149,'G-7 Rivers Data'!$AO$4:$AP$7,2,FALSE))</f>
        <v/>
      </c>
      <c r="AO149" s="545" t="str">
        <f t="shared" si="23"/>
        <v/>
      </c>
      <c r="AP149" s="149"/>
      <c r="AQ149" s="150"/>
      <c r="AX149" s="31" t="str">
        <f>IFERROR(INDEX('G-7 Rivers Data'!$AZ$3:$AZ$7,MATCH(N149,'G-7 Rivers Data'!$AY$3:$AY$7,0)),"")</f>
        <v/>
      </c>
    </row>
    <row r="150" spans="2:50" ht="13.8" x14ac:dyDescent="0.25">
      <c r="B150" s="531" t="str">
        <f>'F-1 Off Site River Baseline'!AN148</f>
        <v/>
      </c>
      <c r="C150" s="520" t="str">
        <f>IF(B150="","",VLOOKUP($B150,'F-1 Off Site River Baseline'!$C$9:$R$257,2,FALSE))</f>
        <v/>
      </c>
      <c r="D150" s="520" t="str">
        <f>IF(C150="","",VLOOKUP($B150,'F-1 Off Site River Baseline'!$C$9:$R$257,3,FALSE))</f>
        <v/>
      </c>
      <c r="E150" s="520" t="str">
        <f>IF(D150="","",VLOOKUP($B150,'F-1 Off Site River Baseline'!$C$9:$R$257,4,FALSE))</f>
        <v/>
      </c>
      <c r="F150" s="520" t="str">
        <f>IF(E150="","",VLOOKUP($B150,'F-1 Off Site River Baseline'!$C$9:$R$257,5,FALSE))</f>
        <v/>
      </c>
      <c r="G150" s="520" t="str">
        <f>IF(F150="","",VLOOKUP($B150,'F-1 Off Site River Baseline'!$C$9:$R$257,6,FALSE))</f>
        <v/>
      </c>
      <c r="H150" s="520" t="str">
        <f>IF(G150="","",VLOOKUP($B150,'F-1 Off Site River Baseline'!$C$9:$R$257,7,FALSE))</f>
        <v/>
      </c>
      <c r="I150" s="520" t="str">
        <f>IF(H150="","",VLOOKUP($B150,'F-1 Off Site River Baseline'!$C$9:$R$257,8,FALSE))</f>
        <v/>
      </c>
      <c r="J150" s="520" t="str">
        <f>IF(I150="","",VLOOKUP($B150,'F-1 Off Site River Baseline'!$C$9:$R$257,9,FALSE))</f>
        <v/>
      </c>
      <c r="K150" s="520" t="str">
        <f>IF(J150="","",VLOOKUP($B150,'F-1 Off Site River Baseline'!$C$9:$R$257,10,FALSE))</f>
        <v/>
      </c>
      <c r="L150" s="520" t="str">
        <f>IF(B150="","",VLOOKUP($B150,'C-1 Site River Baseline'!$C$9:$R$257,15,FALSE))</f>
        <v/>
      </c>
      <c r="M150" s="524" t="str">
        <f>IF(L150="","",VLOOKUP($B150,'F-1 Off Site River Baseline'!$C$9:$R$257,16,FALSE))</f>
        <v/>
      </c>
      <c r="N150" s="418" t="str">
        <f t="shared" si="20"/>
        <v/>
      </c>
      <c r="O150" s="498" t="str">
        <f t="shared" si="21"/>
        <v/>
      </c>
      <c r="P150" s="499" t="str">
        <f>IF(C150="","",IF(AND(LEFT(C150,55)&lt;&gt;LEFT(N150,55),O150="High - High"),"Error - Not like for like ▲",IF(AND(F150=S150,H150&gt;U150),"Error - Can not reduce condition ▲",IF(AND(F150=S150,H150=U150,AJ150='F-1 Off Site River Baseline'!N148,'F-1 Off Site River Baseline'!P148=AL150),"Error - No enhancement ▲",IF(AND(C150&lt;&gt;N150,F150&lt;S150),"Lower Distinctiveness Habitat"&amp;" - "&amp;T150,G150&amp;" - "&amp;T150)))))</f>
        <v/>
      </c>
      <c r="Q150" s="505" t="str">
        <f>IF(N150="","",VLOOKUP(B150,'F-1 Off Site River Baseline'!$C$10:$AA$257,19,FALSE))</f>
        <v/>
      </c>
      <c r="R150" s="498" t="str">
        <f>IF(N150="","",VLOOKUP(N150,'G-7 Rivers Data'!$B$2:$G$8,2,FALSE))</f>
        <v/>
      </c>
      <c r="S150" s="499" t="str">
        <f>IFERROR(VLOOKUP(R150,'G-7 Rivers Data'!$C$4:$D$8,2,FALSE),"")</f>
        <v/>
      </c>
      <c r="T150" s="145"/>
      <c r="U150" s="499" t="str">
        <f>IFERROR(INDEX('G-7 Rivers Data'!$H$4:$L$8,MATCH(N150,'G-7 Rivers Data'!$B$4:$B$8,0),MATCH(T150,'G-7 Rivers Data'!$H$3:$L$3,0)),"")</f>
        <v/>
      </c>
      <c r="V150" s="154"/>
      <c r="W150" s="520" t="str">
        <f>IF(V150="","",IF(VLOOKUP(V150,'G-7 Rivers Data'!$AG$4:$AI$9,2,FALSE)=0,"Spatial Data Missing ⚠",VLOOKUP(V150,'G-7 Rivers Data'!$AG$4:$AI$9,2,FALSE)))</f>
        <v/>
      </c>
      <c r="X150" s="524" t="str">
        <f>IF(V150="","",IF(VLOOKUP(V150,'G-7 Rivers Data'!$AG$4:$AI$9,3,FALSE)=0,"Spatial Data Missing ⚠",VLOOKUP(V150,'G-7 Rivers Data'!$AG$4:$AI$9,3,FALSE)))</f>
        <v/>
      </c>
      <c r="Y150" s="537" t="str">
        <f>IFERROR(IF(OR(LEFT(P150,5)="Error ▲",LEFT(O150,5)="Error ▲"),"Check Data ⚠",IF(F150&lt;S150,'G-7 Rivers Data'!$R$3,INDEX('G-7 Rivers Data'!$U$5:$Y$9,MATCH(G150,'G-7 Rivers Data'!$T$5:$T$9,0),MATCH(T150,'G-7 Rivers Data'!$U$4:$Y$4,0)))),"")</f>
        <v/>
      </c>
      <c r="Z150" s="203"/>
      <c r="AA150" s="203"/>
      <c r="AB150" s="534" t="str">
        <f t="shared" si="16"/>
        <v/>
      </c>
      <c r="AC150" s="521" t="str">
        <f t="shared" si="17"/>
        <v/>
      </c>
      <c r="AD150" s="564" t="str">
        <f>IFERROR(IF(AC150="Check Data ⚠","Check Data ⚠",VLOOKUP(AC150,'G-4 Temporal multipliers'!$A$4:$C$37,3,FALSE)),"")</f>
        <v/>
      </c>
      <c r="AE150" s="537" t="str">
        <f>IF(N150="","",VLOOKUP(N150,'G-7 Rivers Data'!$B$4:$G$8,5,FALSE))</f>
        <v/>
      </c>
      <c r="AF150" s="520" t="str">
        <f t="shared" si="18"/>
        <v/>
      </c>
      <c r="AG150" s="520" t="str">
        <f t="shared" si="22"/>
        <v/>
      </c>
      <c r="AH150" s="524" t="str">
        <f t="shared" si="19"/>
        <v/>
      </c>
      <c r="AI150" s="145"/>
      <c r="AJ150" s="499" t="str">
        <f>IF(AI150="","",IF(VLOOKUP(AI150,'G-7 Rivers Data'!$AA$4:$AB$7,2,FALSE)=0,"Spatial Data Missing ⚠",VLOOKUP(AI150,'G-7 Rivers Data'!$AA$4:$AB$7,2,FALSE)))</f>
        <v/>
      </c>
      <c r="AK150" s="155"/>
      <c r="AL150" s="536" t="str">
        <f>IF(AK150="","",IF(VLOOKUP(AK150,'G-7 Rivers Data'!$AD$4:$AE$8,2,FALSE)=0,"Spatial Data Missing ⚠",VLOOKUP(AK150,'G-7 Rivers Data'!$AD$4:$AE$8,2,FALSE)))</f>
        <v/>
      </c>
      <c r="AM150" s="154"/>
      <c r="AN150" s="524" t="str">
        <f>IF(AM150="","",VLOOKUP(AM150,'G-7 Rivers Data'!$AO$4:$AP$7,2,FALSE))</f>
        <v/>
      </c>
      <c r="AO150" s="545" t="str">
        <f t="shared" si="23"/>
        <v/>
      </c>
      <c r="AP150" s="149"/>
      <c r="AQ150" s="150"/>
      <c r="AX150" s="31" t="str">
        <f>IFERROR(INDEX('G-7 Rivers Data'!$AZ$3:$AZ$7,MATCH(N150,'G-7 Rivers Data'!$AY$3:$AY$7,0)),"")</f>
        <v/>
      </c>
    </row>
    <row r="151" spans="2:50" ht="13.8" x14ac:dyDescent="0.25">
      <c r="B151" s="531" t="str">
        <f>'F-1 Off Site River Baseline'!AN149</f>
        <v/>
      </c>
      <c r="C151" s="520" t="str">
        <f>IF(B151="","",VLOOKUP($B151,'F-1 Off Site River Baseline'!$C$9:$R$257,2,FALSE))</f>
        <v/>
      </c>
      <c r="D151" s="520" t="str">
        <f>IF(C151="","",VLOOKUP($B151,'F-1 Off Site River Baseline'!$C$9:$R$257,3,FALSE))</f>
        <v/>
      </c>
      <c r="E151" s="520" t="str">
        <f>IF(D151="","",VLOOKUP($B151,'F-1 Off Site River Baseline'!$C$9:$R$257,4,FALSE))</f>
        <v/>
      </c>
      <c r="F151" s="520" t="str">
        <f>IF(E151="","",VLOOKUP($B151,'F-1 Off Site River Baseline'!$C$9:$R$257,5,FALSE))</f>
        <v/>
      </c>
      <c r="G151" s="520" t="str">
        <f>IF(F151="","",VLOOKUP($B151,'F-1 Off Site River Baseline'!$C$9:$R$257,6,FALSE))</f>
        <v/>
      </c>
      <c r="H151" s="520" t="str">
        <f>IF(G151="","",VLOOKUP($B151,'F-1 Off Site River Baseline'!$C$9:$R$257,7,FALSE))</f>
        <v/>
      </c>
      <c r="I151" s="520" t="str">
        <f>IF(H151="","",VLOOKUP($B151,'F-1 Off Site River Baseline'!$C$9:$R$257,8,FALSE))</f>
        <v/>
      </c>
      <c r="J151" s="520" t="str">
        <f>IF(I151="","",VLOOKUP($B151,'F-1 Off Site River Baseline'!$C$9:$R$257,9,FALSE))</f>
        <v/>
      </c>
      <c r="K151" s="520" t="str">
        <f>IF(J151="","",VLOOKUP($B151,'F-1 Off Site River Baseline'!$C$9:$R$257,10,FALSE))</f>
        <v/>
      </c>
      <c r="L151" s="520" t="str">
        <f>IF(B151="","",VLOOKUP($B151,'C-1 Site River Baseline'!$C$9:$R$257,15,FALSE))</f>
        <v/>
      </c>
      <c r="M151" s="524" t="str">
        <f>IF(L151="","",VLOOKUP($B151,'F-1 Off Site River Baseline'!$C$9:$R$257,16,FALSE))</f>
        <v/>
      </c>
      <c r="N151" s="418" t="str">
        <f t="shared" si="20"/>
        <v/>
      </c>
      <c r="O151" s="498" t="str">
        <f t="shared" si="21"/>
        <v/>
      </c>
      <c r="P151" s="499" t="str">
        <f>IF(C151="","",IF(AND(LEFT(C151,55)&lt;&gt;LEFT(N151,55),O151="High - High"),"Error - Not like for like ▲",IF(AND(F151=S151,H151&gt;U151),"Error - Can not reduce condition ▲",IF(AND(F151=S151,H151=U151,AJ151='F-1 Off Site River Baseline'!N149,'F-1 Off Site River Baseline'!P149=AL151),"Error - No enhancement ▲",IF(AND(C151&lt;&gt;N151,F151&lt;S151),"Lower Distinctiveness Habitat"&amp;" - "&amp;T151,G151&amp;" - "&amp;T151)))))</f>
        <v/>
      </c>
      <c r="Q151" s="505" t="str">
        <f>IF(N151="","",VLOOKUP(B151,'F-1 Off Site River Baseline'!$C$10:$AA$257,19,FALSE))</f>
        <v/>
      </c>
      <c r="R151" s="498" t="str">
        <f>IF(N151="","",VLOOKUP(N151,'G-7 Rivers Data'!$B$2:$G$8,2,FALSE))</f>
        <v/>
      </c>
      <c r="S151" s="499" t="str">
        <f>IFERROR(VLOOKUP(R151,'G-7 Rivers Data'!$C$4:$D$8,2,FALSE),"")</f>
        <v/>
      </c>
      <c r="T151" s="145"/>
      <c r="U151" s="499" t="str">
        <f>IFERROR(INDEX('G-7 Rivers Data'!$H$4:$L$8,MATCH(N151,'G-7 Rivers Data'!$B$4:$B$8,0),MATCH(T151,'G-7 Rivers Data'!$H$3:$L$3,0)),"")</f>
        <v/>
      </c>
      <c r="V151" s="154"/>
      <c r="W151" s="520" t="str">
        <f>IF(V151="","",IF(VLOOKUP(V151,'G-7 Rivers Data'!$AG$4:$AI$9,2,FALSE)=0,"Spatial Data Missing ⚠",VLOOKUP(V151,'G-7 Rivers Data'!$AG$4:$AI$9,2,FALSE)))</f>
        <v/>
      </c>
      <c r="X151" s="524" t="str">
        <f>IF(V151="","",IF(VLOOKUP(V151,'G-7 Rivers Data'!$AG$4:$AI$9,3,FALSE)=0,"Spatial Data Missing ⚠",VLOOKUP(V151,'G-7 Rivers Data'!$AG$4:$AI$9,3,FALSE)))</f>
        <v/>
      </c>
      <c r="Y151" s="537" t="str">
        <f>IFERROR(IF(OR(LEFT(P151,5)="Error ▲",LEFT(O151,5)="Error ▲"),"Check Data ⚠",IF(F151&lt;S151,'G-7 Rivers Data'!$R$3,INDEX('G-7 Rivers Data'!$U$5:$Y$9,MATCH(G151,'G-7 Rivers Data'!$T$5:$T$9,0),MATCH(T151,'G-7 Rivers Data'!$U$4:$Y$4,0)))),"")</f>
        <v/>
      </c>
      <c r="Z151" s="203"/>
      <c r="AA151" s="203"/>
      <c r="AB151" s="534" t="str">
        <f t="shared" si="16"/>
        <v/>
      </c>
      <c r="AC151" s="521" t="str">
        <f t="shared" si="17"/>
        <v/>
      </c>
      <c r="AD151" s="564" t="str">
        <f>IFERROR(IF(AC151="Check Data ⚠","Check Data ⚠",VLOOKUP(AC151,'G-4 Temporal multipliers'!$A$4:$C$37,3,FALSE)),"")</f>
        <v/>
      </c>
      <c r="AE151" s="537" t="str">
        <f>IF(N151="","",VLOOKUP(N151,'G-7 Rivers Data'!$B$4:$G$8,5,FALSE))</f>
        <v/>
      </c>
      <c r="AF151" s="520" t="str">
        <f t="shared" si="18"/>
        <v/>
      </c>
      <c r="AG151" s="520" t="str">
        <f t="shared" si="22"/>
        <v/>
      </c>
      <c r="AH151" s="524" t="str">
        <f t="shared" si="19"/>
        <v/>
      </c>
      <c r="AI151" s="145"/>
      <c r="AJ151" s="499" t="str">
        <f>IF(AI151="","",IF(VLOOKUP(AI151,'G-7 Rivers Data'!$AA$4:$AB$7,2,FALSE)=0,"Spatial Data Missing ⚠",VLOOKUP(AI151,'G-7 Rivers Data'!$AA$4:$AB$7,2,FALSE)))</f>
        <v/>
      </c>
      <c r="AK151" s="155"/>
      <c r="AL151" s="536" t="str">
        <f>IF(AK151="","",IF(VLOOKUP(AK151,'G-7 Rivers Data'!$AD$4:$AE$8,2,FALSE)=0,"Spatial Data Missing ⚠",VLOOKUP(AK151,'G-7 Rivers Data'!$AD$4:$AE$8,2,FALSE)))</f>
        <v/>
      </c>
      <c r="AM151" s="154"/>
      <c r="AN151" s="524" t="str">
        <f>IF(AM151="","",VLOOKUP(AM151,'G-7 Rivers Data'!$AO$4:$AP$7,2,FALSE))</f>
        <v/>
      </c>
      <c r="AO151" s="545" t="str">
        <f t="shared" si="23"/>
        <v/>
      </c>
      <c r="AP151" s="149"/>
      <c r="AQ151" s="150"/>
      <c r="AX151" s="31" t="str">
        <f>IFERROR(INDEX('G-7 Rivers Data'!$AZ$3:$AZ$7,MATCH(N151,'G-7 Rivers Data'!$AY$3:$AY$7,0)),"")</f>
        <v/>
      </c>
    </row>
    <row r="152" spans="2:50" ht="13.8" x14ac:dyDescent="0.25">
      <c r="B152" s="531" t="str">
        <f>'F-1 Off Site River Baseline'!AN150</f>
        <v/>
      </c>
      <c r="C152" s="520" t="str">
        <f>IF(B152="","",VLOOKUP($B152,'F-1 Off Site River Baseline'!$C$9:$R$257,2,FALSE))</f>
        <v/>
      </c>
      <c r="D152" s="520" t="str">
        <f>IF(C152="","",VLOOKUP($B152,'F-1 Off Site River Baseline'!$C$9:$R$257,3,FALSE))</f>
        <v/>
      </c>
      <c r="E152" s="520" t="str">
        <f>IF(D152="","",VLOOKUP($B152,'F-1 Off Site River Baseline'!$C$9:$R$257,4,FALSE))</f>
        <v/>
      </c>
      <c r="F152" s="520" t="str">
        <f>IF(E152="","",VLOOKUP($B152,'F-1 Off Site River Baseline'!$C$9:$R$257,5,FALSE))</f>
        <v/>
      </c>
      <c r="G152" s="520" t="str">
        <f>IF(F152="","",VLOOKUP($B152,'F-1 Off Site River Baseline'!$C$9:$R$257,6,FALSE))</f>
        <v/>
      </c>
      <c r="H152" s="520" t="str">
        <f>IF(G152="","",VLOOKUP($B152,'F-1 Off Site River Baseline'!$C$9:$R$257,7,FALSE))</f>
        <v/>
      </c>
      <c r="I152" s="520" t="str">
        <f>IF(H152="","",VLOOKUP($B152,'F-1 Off Site River Baseline'!$C$9:$R$257,8,FALSE))</f>
        <v/>
      </c>
      <c r="J152" s="520" t="str">
        <f>IF(I152="","",VLOOKUP($B152,'F-1 Off Site River Baseline'!$C$9:$R$257,9,FALSE))</f>
        <v/>
      </c>
      <c r="K152" s="520" t="str">
        <f>IF(J152="","",VLOOKUP($B152,'F-1 Off Site River Baseline'!$C$9:$R$257,10,FALSE))</f>
        <v/>
      </c>
      <c r="L152" s="520" t="str">
        <f>IF(B152="","",VLOOKUP($B152,'C-1 Site River Baseline'!$C$9:$R$257,15,FALSE))</f>
        <v/>
      </c>
      <c r="M152" s="524" t="str">
        <f>IF(L152="","",VLOOKUP($B152,'F-1 Off Site River Baseline'!$C$9:$R$257,16,FALSE))</f>
        <v/>
      </c>
      <c r="N152" s="418" t="str">
        <f t="shared" si="20"/>
        <v/>
      </c>
      <c r="O152" s="498" t="str">
        <f t="shared" si="21"/>
        <v/>
      </c>
      <c r="P152" s="499" t="str">
        <f>IF(C152="","",IF(AND(LEFT(C152,55)&lt;&gt;LEFT(N152,55),O152="High - High"),"Error - Not like for like ▲",IF(AND(F152=S152,H152&gt;U152),"Error - Can not reduce condition ▲",IF(AND(F152=S152,H152=U152,AJ152='F-1 Off Site River Baseline'!N150,'F-1 Off Site River Baseline'!P150=AL152),"Error - No enhancement ▲",IF(AND(C152&lt;&gt;N152,F152&lt;S152),"Lower Distinctiveness Habitat"&amp;" - "&amp;T152,G152&amp;" - "&amp;T152)))))</f>
        <v/>
      </c>
      <c r="Q152" s="505" t="str">
        <f>IF(N152="","",VLOOKUP(B152,'F-1 Off Site River Baseline'!$C$10:$AA$257,19,FALSE))</f>
        <v/>
      </c>
      <c r="R152" s="498" t="str">
        <f>IF(N152="","",VLOOKUP(N152,'G-7 Rivers Data'!$B$2:$G$8,2,FALSE))</f>
        <v/>
      </c>
      <c r="S152" s="499" t="str">
        <f>IFERROR(VLOOKUP(R152,'G-7 Rivers Data'!$C$4:$D$8,2,FALSE),"")</f>
        <v/>
      </c>
      <c r="T152" s="145"/>
      <c r="U152" s="499" t="str">
        <f>IFERROR(INDEX('G-7 Rivers Data'!$H$4:$L$8,MATCH(N152,'G-7 Rivers Data'!$B$4:$B$8,0),MATCH(T152,'G-7 Rivers Data'!$H$3:$L$3,0)),"")</f>
        <v/>
      </c>
      <c r="V152" s="154"/>
      <c r="W152" s="520" t="str">
        <f>IF(V152="","",IF(VLOOKUP(V152,'G-7 Rivers Data'!$AG$4:$AI$9,2,FALSE)=0,"Spatial Data Missing ⚠",VLOOKUP(V152,'G-7 Rivers Data'!$AG$4:$AI$9,2,FALSE)))</f>
        <v/>
      </c>
      <c r="X152" s="524" t="str">
        <f>IF(V152="","",IF(VLOOKUP(V152,'G-7 Rivers Data'!$AG$4:$AI$9,3,FALSE)=0,"Spatial Data Missing ⚠",VLOOKUP(V152,'G-7 Rivers Data'!$AG$4:$AI$9,3,FALSE)))</f>
        <v/>
      </c>
      <c r="Y152" s="537" t="str">
        <f>IFERROR(IF(OR(LEFT(P152,5)="Error ▲",LEFT(O152,5)="Error ▲"),"Check Data ⚠",IF(F152&lt;S152,'G-7 Rivers Data'!$R$3,INDEX('G-7 Rivers Data'!$U$5:$Y$9,MATCH(G152,'G-7 Rivers Data'!$T$5:$T$9,0),MATCH(T152,'G-7 Rivers Data'!$U$4:$Y$4,0)))),"")</f>
        <v/>
      </c>
      <c r="Z152" s="203"/>
      <c r="AA152" s="203"/>
      <c r="AB152" s="534" t="str">
        <f t="shared" si="16"/>
        <v/>
      </c>
      <c r="AC152" s="521" t="str">
        <f t="shared" si="17"/>
        <v/>
      </c>
      <c r="AD152" s="564" t="str">
        <f>IFERROR(IF(AC152="Check Data ⚠","Check Data ⚠",VLOOKUP(AC152,'G-4 Temporal multipliers'!$A$4:$C$37,3,FALSE)),"")</f>
        <v/>
      </c>
      <c r="AE152" s="537" t="str">
        <f>IF(N152="","",VLOOKUP(N152,'G-7 Rivers Data'!$B$4:$G$8,5,FALSE))</f>
        <v/>
      </c>
      <c r="AF152" s="520" t="str">
        <f t="shared" si="18"/>
        <v/>
      </c>
      <c r="AG152" s="520" t="str">
        <f t="shared" si="22"/>
        <v/>
      </c>
      <c r="AH152" s="524" t="str">
        <f t="shared" si="19"/>
        <v/>
      </c>
      <c r="AI152" s="145"/>
      <c r="AJ152" s="499" t="str">
        <f>IF(AI152="","",IF(VLOOKUP(AI152,'G-7 Rivers Data'!$AA$4:$AB$7,2,FALSE)=0,"Spatial Data Missing ⚠",VLOOKUP(AI152,'G-7 Rivers Data'!$AA$4:$AB$7,2,FALSE)))</f>
        <v/>
      </c>
      <c r="AK152" s="155"/>
      <c r="AL152" s="536" t="str">
        <f>IF(AK152="","",IF(VLOOKUP(AK152,'G-7 Rivers Data'!$AD$4:$AE$8,2,FALSE)=0,"Spatial Data Missing ⚠",VLOOKUP(AK152,'G-7 Rivers Data'!$AD$4:$AE$8,2,FALSE)))</f>
        <v/>
      </c>
      <c r="AM152" s="154"/>
      <c r="AN152" s="524" t="str">
        <f>IF(AM152="","",VLOOKUP(AM152,'G-7 Rivers Data'!$AO$4:$AP$7,2,FALSE))</f>
        <v/>
      </c>
      <c r="AO152" s="545" t="str">
        <f t="shared" si="23"/>
        <v/>
      </c>
      <c r="AP152" s="149"/>
      <c r="AQ152" s="150"/>
      <c r="AX152" s="31" t="str">
        <f>IFERROR(INDEX('G-7 Rivers Data'!$AZ$3:$AZ$7,MATCH(N152,'G-7 Rivers Data'!$AY$3:$AY$7,0)),"")</f>
        <v/>
      </c>
    </row>
    <row r="153" spans="2:50" ht="13.8" x14ac:dyDescent="0.25">
      <c r="B153" s="531" t="str">
        <f>'F-1 Off Site River Baseline'!AN151</f>
        <v/>
      </c>
      <c r="C153" s="520" t="str">
        <f>IF(B153="","",VLOOKUP($B153,'F-1 Off Site River Baseline'!$C$9:$R$257,2,FALSE))</f>
        <v/>
      </c>
      <c r="D153" s="520" t="str">
        <f>IF(C153="","",VLOOKUP($B153,'F-1 Off Site River Baseline'!$C$9:$R$257,3,FALSE))</f>
        <v/>
      </c>
      <c r="E153" s="520" t="str">
        <f>IF(D153="","",VLOOKUP($B153,'F-1 Off Site River Baseline'!$C$9:$R$257,4,FALSE))</f>
        <v/>
      </c>
      <c r="F153" s="520" t="str">
        <f>IF(E153="","",VLOOKUP($B153,'F-1 Off Site River Baseline'!$C$9:$R$257,5,FALSE))</f>
        <v/>
      </c>
      <c r="G153" s="520" t="str">
        <f>IF(F153="","",VLOOKUP($B153,'F-1 Off Site River Baseline'!$C$9:$R$257,6,FALSE))</f>
        <v/>
      </c>
      <c r="H153" s="520" t="str">
        <f>IF(G153="","",VLOOKUP($B153,'F-1 Off Site River Baseline'!$C$9:$R$257,7,FALSE))</f>
        <v/>
      </c>
      <c r="I153" s="520" t="str">
        <f>IF(H153="","",VLOOKUP($B153,'F-1 Off Site River Baseline'!$C$9:$R$257,8,FALSE))</f>
        <v/>
      </c>
      <c r="J153" s="520" t="str">
        <f>IF(I153="","",VLOOKUP($B153,'F-1 Off Site River Baseline'!$C$9:$R$257,9,FALSE))</f>
        <v/>
      </c>
      <c r="K153" s="520" t="str">
        <f>IF(J153="","",VLOOKUP($B153,'F-1 Off Site River Baseline'!$C$9:$R$257,10,FALSE))</f>
        <v/>
      </c>
      <c r="L153" s="520" t="str">
        <f>IF(B153="","",VLOOKUP($B153,'C-1 Site River Baseline'!$C$9:$R$257,15,FALSE))</f>
        <v/>
      </c>
      <c r="M153" s="524" t="str">
        <f>IF(L153="","",VLOOKUP($B153,'F-1 Off Site River Baseline'!$C$9:$R$257,16,FALSE))</f>
        <v/>
      </c>
      <c r="N153" s="418" t="str">
        <f t="shared" si="20"/>
        <v/>
      </c>
      <c r="O153" s="498" t="str">
        <f t="shared" si="21"/>
        <v/>
      </c>
      <c r="P153" s="499" t="str">
        <f>IF(C153="","",IF(AND(LEFT(C153,55)&lt;&gt;LEFT(N153,55),O153="High - High"),"Error - Not like for like ▲",IF(AND(F153=S153,H153&gt;U153),"Error - Can not reduce condition ▲",IF(AND(F153=S153,H153=U153,AJ153='F-1 Off Site River Baseline'!N151,'F-1 Off Site River Baseline'!P151=AL153),"Error - No enhancement ▲",IF(AND(C153&lt;&gt;N153,F153&lt;S153),"Lower Distinctiveness Habitat"&amp;" - "&amp;T153,G153&amp;" - "&amp;T153)))))</f>
        <v/>
      </c>
      <c r="Q153" s="505" t="str">
        <f>IF(N153="","",VLOOKUP(B153,'F-1 Off Site River Baseline'!$C$10:$AA$257,19,FALSE))</f>
        <v/>
      </c>
      <c r="R153" s="498" t="str">
        <f>IF(N153="","",VLOOKUP(N153,'G-7 Rivers Data'!$B$2:$G$8,2,FALSE))</f>
        <v/>
      </c>
      <c r="S153" s="499" t="str">
        <f>IFERROR(VLOOKUP(R153,'G-7 Rivers Data'!$C$4:$D$8,2,FALSE),"")</f>
        <v/>
      </c>
      <c r="T153" s="145"/>
      <c r="U153" s="499" t="str">
        <f>IFERROR(INDEX('G-7 Rivers Data'!$H$4:$L$8,MATCH(N153,'G-7 Rivers Data'!$B$4:$B$8,0),MATCH(T153,'G-7 Rivers Data'!$H$3:$L$3,0)),"")</f>
        <v/>
      </c>
      <c r="V153" s="154"/>
      <c r="W153" s="520" t="str">
        <f>IF(V153="","",IF(VLOOKUP(V153,'G-7 Rivers Data'!$AG$4:$AI$9,2,FALSE)=0,"Spatial Data Missing ⚠",VLOOKUP(V153,'G-7 Rivers Data'!$AG$4:$AI$9,2,FALSE)))</f>
        <v/>
      </c>
      <c r="X153" s="524" t="str">
        <f>IF(V153="","",IF(VLOOKUP(V153,'G-7 Rivers Data'!$AG$4:$AI$9,3,FALSE)=0,"Spatial Data Missing ⚠",VLOOKUP(V153,'G-7 Rivers Data'!$AG$4:$AI$9,3,FALSE)))</f>
        <v/>
      </c>
      <c r="Y153" s="537" t="str">
        <f>IFERROR(IF(OR(LEFT(P153,5)="Error ▲",LEFT(O153,5)="Error ▲"),"Check Data ⚠",IF(F153&lt;S153,'G-7 Rivers Data'!$R$3,INDEX('G-7 Rivers Data'!$U$5:$Y$9,MATCH(G153,'G-7 Rivers Data'!$T$5:$T$9,0),MATCH(T153,'G-7 Rivers Data'!$U$4:$Y$4,0)))),"")</f>
        <v/>
      </c>
      <c r="Z153" s="203"/>
      <c r="AA153" s="203"/>
      <c r="AB153" s="534" t="str">
        <f t="shared" si="16"/>
        <v/>
      </c>
      <c r="AC153" s="521" t="str">
        <f t="shared" si="17"/>
        <v/>
      </c>
      <c r="AD153" s="564" t="str">
        <f>IFERROR(IF(AC153="Check Data ⚠","Check Data ⚠",VLOOKUP(AC153,'G-4 Temporal multipliers'!$A$4:$C$37,3,FALSE)),"")</f>
        <v/>
      </c>
      <c r="AE153" s="537" t="str">
        <f>IF(N153="","",VLOOKUP(N153,'G-7 Rivers Data'!$B$4:$G$8,5,FALSE))</f>
        <v/>
      </c>
      <c r="AF153" s="520" t="str">
        <f t="shared" si="18"/>
        <v/>
      </c>
      <c r="AG153" s="520" t="str">
        <f t="shared" si="22"/>
        <v/>
      </c>
      <c r="AH153" s="524" t="str">
        <f t="shared" si="19"/>
        <v/>
      </c>
      <c r="AI153" s="145"/>
      <c r="AJ153" s="499" t="str">
        <f>IF(AI153="","",IF(VLOOKUP(AI153,'G-7 Rivers Data'!$AA$4:$AB$7,2,FALSE)=0,"Spatial Data Missing ⚠",VLOOKUP(AI153,'G-7 Rivers Data'!$AA$4:$AB$7,2,FALSE)))</f>
        <v/>
      </c>
      <c r="AK153" s="155"/>
      <c r="AL153" s="536" t="str">
        <f>IF(AK153="","",IF(VLOOKUP(AK153,'G-7 Rivers Data'!$AD$4:$AE$8,2,FALSE)=0,"Spatial Data Missing ⚠",VLOOKUP(AK153,'G-7 Rivers Data'!$AD$4:$AE$8,2,FALSE)))</f>
        <v/>
      </c>
      <c r="AM153" s="154"/>
      <c r="AN153" s="524" t="str">
        <f>IF(AM153="","",VLOOKUP(AM153,'G-7 Rivers Data'!$AO$4:$AP$7,2,FALSE))</f>
        <v/>
      </c>
      <c r="AO153" s="545" t="str">
        <f t="shared" si="23"/>
        <v/>
      </c>
      <c r="AP153" s="149"/>
      <c r="AQ153" s="150"/>
      <c r="AX153" s="31" t="str">
        <f>IFERROR(INDEX('G-7 Rivers Data'!$AZ$3:$AZ$7,MATCH(N153,'G-7 Rivers Data'!$AY$3:$AY$7,0)),"")</f>
        <v/>
      </c>
    </row>
    <row r="154" spans="2:50" ht="13.8" x14ac:dyDescent="0.25">
      <c r="B154" s="531" t="str">
        <f>'F-1 Off Site River Baseline'!AN152</f>
        <v/>
      </c>
      <c r="C154" s="520" t="str">
        <f>IF(B154="","",VLOOKUP($B154,'F-1 Off Site River Baseline'!$C$9:$R$257,2,FALSE))</f>
        <v/>
      </c>
      <c r="D154" s="520" t="str">
        <f>IF(C154="","",VLOOKUP($B154,'F-1 Off Site River Baseline'!$C$9:$R$257,3,FALSE))</f>
        <v/>
      </c>
      <c r="E154" s="520" t="str">
        <f>IF(D154="","",VLOOKUP($B154,'F-1 Off Site River Baseline'!$C$9:$R$257,4,FALSE))</f>
        <v/>
      </c>
      <c r="F154" s="520" t="str">
        <f>IF(E154="","",VLOOKUP($B154,'F-1 Off Site River Baseline'!$C$9:$R$257,5,FALSE))</f>
        <v/>
      </c>
      <c r="G154" s="520" t="str">
        <f>IF(F154="","",VLOOKUP($B154,'F-1 Off Site River Baseline'!$C$9:$R$257,6,FALSE))</f>
        <v/>
      </c>
      <c r="H154" s="520" t="str">
        <f>IF(G154="","",VLOOKUP($B154,'F-1 Off Site River Baseline'!$C$9:$R$257,7,FALSE))</f>
        <v/>
      </c>
      <c r="I154" s="520" t="str">
        <f>IF(H154="","",VLOOKUP($B154,'F-1 Off Site River Baseline'!$C$9:$R$257,8,FALSE))</f>
        <v/>
      </c>
      <c r="J154" s="520" t="str">
        <f>IF(I154="","",VLOOKUP($B154,'F-1 Off Site River Baseline'!$C$9:$R$257,9,FALSE))</f>
        <v/>
      </c>
      <c r="K154" s="520" t="str">
        <f>IF(J154="","",VLOOKUP($B154,'F-1 Off Site River Baseline'!$C$9:$R$257,10,FALSE))</f>
        <v/>
      </c>
      <c r="L154" s="520" t="str">
        <f>IF(B154="","",VLOOKUP($B154,'C-1 Site River Baseline'!$C$9:$R$257,15,FALSE))</f>
        <v/>
      </c>
      <c r="M154" s="524" t="str">
        <f>IF(L154="","",VLOOKUP($B154,'F-1 Off Site River Baseline'!$C$9:$R$257,16,FALSE))</f>
        <v/>
      </c>
      <c r="N154" s="418" t="str">
        <f t="shared" si="20"/>
        <v/>
      </c>
      <c r="O154" s="498" t="str">
        <f t="shared" si="21"/>
        <v/>
      </c>
      <c r="P154" s="499" t="str">
        <f>IF(C154="","",IF(AND(LEFT(C154,55)&lt;&gt;LEFT(N154,55),O154="High - High"),"Error - Not like for like ▲",IF(AND(F154=S154,H154&gt;U154),"Error - Can not reduce condition ▲",IF(AND(F154=S154,H154=U154,AJ154='F-1 Off Site River Baseline'!N152,'F-1 Off Site River Baseline'!P152=AL154),"Error - No enhancement ▲",IF(AND(C154&lt;&gt;N154,F154&lt;S154),"Lower Distinctiveness Habitat"&amp;" - "&amp;T154,G154&amp;" - "&amp;T154)))))</f>
        <v/>
      </c>
      <c r="Q154" s="505" t="str">
        <f>IF(N154="","",VLOOKUP(B154,'F-1 Off Site River Baseline'!$C$10:$AA$257,19,FALSE))</f>
        <v/>
      </c>
      <c r="R154" s="498" t="str">
        <f>IF(N154="","",VLOOKUP(N154,'G-7 Rivers Data'!$B$2:$G$8,2,FALSE))</f>
        <v/>
      </c>
      <c r="S154" s="499" t="str">
        <f>IFERROR(VLOOKUP(R154,'G-7 Rivers Data'!$C$4:$D$8,2,FALSE),"")</f>
        <v/>
      </c>
      <c r="T154" s="145"/>
      <c r="U154" s="499" t="str">
        <f>IFERROR(INDEX('G-7 Rivers Data'!$H$4:$L$8,MATCH(N154,'G-7 Rivers Data'!$B$4:$B$8,0),MATCH(T154,'G-7 Rivers Data'!$H$3:$L$3,0)),"")</f>
        <v/>
      </c>
      <c r="V154" s="154"/>
      <c r="W154" s="520" t="str">
        <f>IF(V154="","",IF(VLOOKUP(V154,'G-7 Rivers Data'!$AG$4:$AI$9,2,FALSE)=0,"Spatial Data Missing ⚠",VLOOKUP(V154,'G-7 Rivers Data'!$AG$4:$AI$9,2,FALSE)))</f>
        <v/>
      </c>
      <c r="X154" s="524" t="str">
        <f>IF(V154="","",IF(VLOOKUP(V154,'G-7 Rivers Data'!$AG$4:$AI$9,3,FALSE)=0,"Spatial Data Missing ⚠",VLOOKUP(V154,'G-7 Rivers Data'!$AG$4:$AI$9,3,FALSE)))</f>
        <v/>
      </c>
      <c r="Y154" s="537" t="str">
        <f>IFERROR(IF(OR(LEFT(P154,5)="Error ▲",LEFT(O154,5)="Error ▲"),"Check Data ⚠",IF(F154&lt;S154,'G-7 Rivers Data'!$R$3,INDEX('G-7 Rivers Data'!$U$5:$Y$9,MATCH(G154,'G-7 Rivers Data'!$T$5:$T$9,0),MATCH(T154,'G-7 Rivers Data'!$U$4:$Y$4,0)))),"")</f>
        <v/>
      </c>
      <c r="Z154" s="203"/>
      <c r="AA154" s="203"/>
      <c r="AB154" s="534" t="str">
        <f t="shared" si="16"/>
        <v/>
      </c>
      <c r="AC154" s="521" t="str">
        <f t="shared" si="17"/>
        <v/>
      </c>
      <c r="AD154" s="564" t="str">
        <f>IFERROR(IF(AC154="Check Data ⚠","Check Data ⚠",VLOOKUP(AC154,'G-4 Temporal multipliers'!$A$4:$C$37,3,FALSE)),"")</f>
        <v/>
      </c>
      <c r="AE154" s="537" t="str">
        <f>IF(N154="","",VLOOKUP(N154,'G-7 Rivers Data'!$B$4:$G$8,5,FALSE))</f>
        <v/>
      </c>
      <c r="AF154" s="520" t="str">
        <f t="shared" si="18"/>
        <v/>
      </c>
      <c r="AG154" s="520" t="str">
        <f t="shared" si="22"/>
        <v/>
      </c>
      <c r="AH154" s="524" t="str">
        <f t="shared" si="19"/>
        <v/>
      </c>
      <c r="AI154" s="145"/>
      <c r="AJ154" s="499" t="str">
        <f>IF(AI154="","",IF(VLOOKUP(AI154,'G-7 Rivers Data'!$AA$4:$AB$7,2,FALSE)=0,"Spatial Data Missing ⚠",VLOOKUP(AI154,'G-7 Rivers Data'!$AA$4:$AB$7,2,FALSE)))</f>
        <v/>
      </c>
      <c r="AK154" s="155"/>
      <c r="AL154" s="536" t="str">
        <f>IF(AK154="","",IF(VLOOKUP(AK154,'G-7 Rivers Data'!$AD$4:$AE$8,2,FALSE)=0,"Spatial Data Missing ⚠",VLOOKUP(AK154,'G-7 Rivers Data'!$AD$4:$AE$8,2,FALSE)))</f>
        <v/>
      </c>
      <c r="AM154" s="154"/>
      <c r="AN154" s="524" t="str">
        <f>IF(AM154="","",VLOOKUP(AM154,'G-7 Rivers Data'!$AO$4:$AP$7,2,FALSE))</f>
        <v/>
      </c>
      <c r="AO154" s="545" t="str">
        <f t="shared" si="23"/>
        <v/>
      </c>
      <c r="AP154" s="149"/>
      <c r="AQ154" s="150"/>
      <c r="AX154" s="31" t="str">
        <f>IFERROR(INDEX('G-7 Rivers Data'!$AZ$3:$AZ$7,MATCH(N154,'G-7 Rivers Data'!$AY$3:$AY$7,0)),"")</f>
        <v/>
      </c>
    </row>
    <row r="155" spans="2:50" ht="13.8" x14ac:dyDescent="0.25">
      <c r="B155" s="531" t="str">
        <f>'F-1 Off Site River Baseline'!AN153</f>
        <v/>
      </c>
      <c r="C155" s="520" t="str">
        <f>IF(B155="","",VLOOKUP($B155,'F-1 Off Site River Baseline'!$C$9:$R$257,2,FALSE))</f>
        <v/>
      </c>
      <c r="D155" s="520" t="str">
        <f>IF(C155="","",VLOOKUP($B155,'F-1 Off Site River Baseline'!$C$9:$R$257,3,FALSE))</f>
        <v/>
      </c>
      <c r="E155" s="520" t="str">
        <f>IF(D155="","",VLOOKUP($B155,'F-1 Off Site River Baseline'!$C$9:$R$257,4,FALSE))</f>
        <v/>
      </c>
      <c r="F155" s="520" t="str">
        <f>IF(E155="","",VLOOKUP($B155,'F-1 Off Site River Baseline'!$C$9:$R$257,5,FALSE))</f>
        <v/>
      </c>
      <c r="G155" s="520" t="str">
        <f>IF(F155="","",VLOOKUP($B155,'F-1 Off Site River Baseline'!$C$9:$R$257,6,FALSE))</f>
        <v/>
      </c>
      <c r="H155" s="520" t="str">
        <f>IF(G155="","",VLOOKUP($B155,'F-1 Off Site River Baseline'!$C$9:$R$257,7,FALSE))</f>
        <v/>
      </c>
      <c r="I155" s="520" t="str">
        <f>IF(H155="","",VLOOKUP($B155,'F-1 Off Site River Baseline'!$C$9:$R$257,8,FALSE))</f>
        <v/>
      </c>
      <c r="J155" s="520" t="str">
        <f>IF(I155="","",VLOOKUP($B155,'F-1 Off Site River Baseline'!$C$9:$R$257,9,FALSE))</f>
        <v/>
      </c>
      <c r="K155" s="520" t="str">
        <f>IF(J155="","",VLOOKUP($B155,'F-1 Off Site River Baseline'!$C$9:$R$257,10,FALSE))</f>
        <v/>
      </c>
      <c r="L155" s="520" t="str">
        <f>IF(B155="","",VLOOKUP($B155,'C-1 Site River Baseline'!$C$9:$R$257,15,FALSE))</f>
        <v/>
      </c>
      <c r="M155" s="524" t="str">
        <f>IF(L155="","",VLOOKUP($B155,'F-1 Off Site River Baseline'!$C$9:$R$257,16,FALSE))</f>
        <v/>
      </c>
      <c r="N155" s="418" t="str">
        <f t="shared" si="20"/>
        <v/>
      </c>
      <c r="O155" s="498" t="str">
        <f t="shared" si="21"/>
        <v/>
      </c>
      <c r="P155" s="499" t="str">
        <f>IF(C155="","",IF(AND(LEFT(C155,55)&lt;&gt;LEFT(N155,55),O155="High - High"),"Error - Not like for like ▲",IF(AND(F155=S155,H155&gt;U155),"Error - Can not reduce condition ▲",IF(AND(F155=S155,H155=U155,AJ155='F-1 Off Site River Baseline'!N153,'F-1 Off Site River Baseline'!P153=AL155),"Error - No enhancement ▲",IF(AND(C155&lt;&gt;N155,F155&lt;S155),"Lower Distinctiveness Habitat"&amp;" - "&amp;T155,G155&amp;" - "&amp;T155)))))</f>
        <v/>
      </c>
      <c r="Q155" s="505" t="str">
        <f>IF(N155="","",VLOOKUP(B155,'F-1 Off Site River Baseline'!$C$10:$AA$257,19,FALSE))</f>
        <v/>
      </c>
      <c r="R155" s="498" t="str">
        <f>IF(N155="","",VLOOKUP(N155,'G-7 Rivers Data'!$B$2:$G$8,2,FALSE))</f>
        <v/>
      </c>
      <c r="S155" s="499" t="str">
        <f>IFERROR(VLOOKUP(R155,'G-7 Rivers Data'!$C$4:$D$8,2,FALSE),"")</f>
        <v/>
      </c>
      <c r="T155" s="145"/>
      <c r="U155" s="499" t="str">
        <f>IFERROR(INDEX('G-7 Rivers Data'!$H$4:$L$8,MATCH(N155,'G-7 Rivers Data'!$B$4:$B$8,0),MATCH(T155,'G-7 Rivers Data'!$H$3:$L$3,0)),"")</f>
        <v/>
      </c>
      <c r="V155" s="154"/>
      <c r="W155" s="520" t="str">
        <f>IF(V155="","",IF(VLOOKUP(V155,'G-7 Rivers Data'!$AG$4:$AI$9,2,FALSE)=0,"Spatial Data Missing ⚠",VLOOKUP(V155,'G-7 Rivers Data'!$AG$4:$AI$9,2,FALSE)))</f>
        <v/>
      </c>
      <c r="X155" s="524" t="str">
        <f>IF(V155="","",IF(VLOOKUP(V155,'G-7 Rivers Data'!$AG$4:$AI$9,3,FALSE)=0,"Spatial Data Missing ⚠",VLOOKUP(V155,'G-7 Rivers Data'!$AG$4:$AI$9,3,FALSE)))</f>
        <v/>
      </c>
      <c r="Y155" s="537" t="str">
        <f>IFERROR(IF(OR(LEFT(P155,5)="Error ▲",LEFT(O155,5)="Error ▲"),"Check Data ⚠",IF(F155&lt;S155,'G-7 Rivers Data'!$R$3,INDEX('G-7 Rivers Data'!$U$5:$Y$9,MATCH(G155,'G-7 Rivers Data'!$T$5:$T$9,0),MATCH(T155,'G-7 Rivers Data'!$U$4:$Y$4,0)))),"")</f>
        <v/>
      </c>
      <c r="Z155" s="203"/>
      <c r="AA155" s="203"/>
      <c r="AB155" s="534" t="str">
        <f t="shared" si="16"/>
        <v/>
      </c>
      <c r="AC155" s="521" t="str">
        <f t="shared" si="17"/>
        <v/>
      </c>
      <c r="AD155" s="564" t="str">
        <f>IFERROR(IF(AC155="Check Data ⚠","Check Data ⚠",VLOOKUP(AC155,'G-4 Temporal multipliers'!$A$4:$C$37,3,FALSE)),"")</f>
        <v/>
      </c>
      <c r="AE155" s="537" t="str">
        <f>IF(N155="","",VLOOKUP(N155,'G-7 Rivers Data'!$B$4:$G$8,5,FALSE))</f>
        <v/>
      </c>
      <c r="AF155" s="520" t="str">
        <f t="shared" si="18"/>
        <v/>
      </c>
      <c r="AG155" s="520" t="str">
        <f t="shared" si="22"/>
        <v/>
      </c>
      <c r="AH155" s="524" t="str">
        <f t="shared" si="19"/>
        <v/>
      </c>
      <c r="AI155" s="145"/>
      <c r="AJ155" s="499" t="str">
        <f>IF(AI155="","",IF(VLOOKUP(AI155,'G-7 Rivers Data'!$AA$4:$AB$7,2,FALSE)=0,"Spatial Data Missing ⚠",VLOOKUP(AI155,'G-7 Rivers Data'!$AA$4:$AB$7,2,FALSE)))</f>
        <v/>
      </c>
      <c r="AK155" s="155"/>
      <c r="AL155" s="536" t="str">
        <f>IF(AK155="","",IF(VLOOKUP(AK155,'G-7 Rivers Data'!$AD$4:$AE$8,2,FALSE)=0,"Spatial Data Missing ⚠",VLOOKUP(AK155,'G-7 Rivers Data'!$AD$4:$AE$8,2,FALSE)))</f>
        <v/>
      </c>
      <c r="AM155" s="154"/>
      <c r="AN155" s="524" t="str">
        <f>IF(AM155="","",VLOOKUP(AM155,'G-7 Rivers Data'!$AO$4:$AP$7,2,FALSE))</f>
        <v/>
      </c>
      <c r="AO155" s="545" t="str">
        <f t="shared" si="23"/>
        <v/>
      </c>
      <c r="AP155" s="149"/>
      <c r="AQ155" s="150"/>
      <c r="AX155" s="31" t="str">
        <f>IFERROR(INDEX('G-7 Rivers Data'!$AZ$3:$AZ$7,MATCH(N155,'G-7 Rivers Data'!$AY$3:$AY$7,0)),"")</f>
        <v/>
      </c>
    </row>
    <row r="156" spans="2:50" ht="13.8" x14ac:dyDescent="0.25">
      <c r="B156" s="531" t="str">
        <f>'F-1 Off Site River Baseline'!AN154</f>
        <v/>
      </c>
      <c r="C156" s="520" t="str">
        <f>IF(B156="","",VLOOKUP($B156,'F-1 Off Site River Baseline'!$C$9:$R$257,2,FALSE))</f>
        <v/>
      </c>
      <c r="D156" s="520" t="str">
        <f>IF(C156="","",VLOOKUP($B156,'F-1 Off Site River Baseline'!$C$9:$R$257,3,FALSE))</f>
        <v/>
      </c>
      <c r="E156" s="520" t="str">
        <f>IF(D156="","",VLOOKUP($B156,'F-1 Off Site River Baseline'!$C$9:$R$257,4,FALSE))</f>
        <v/>
      </c>
      <c r="F156" s="520" t="str">
        <f>IF(E156="","",VLOOKUP($B156,'F-1 Off Site River Baseline'!$C$9:$R$257,5,FALSE))</f>
        <v/>
      </c>
      <c r="G156" s="520" t="str">
        <f>IF(F156="","",VLOOKUP($B156,'F-1 Off Site River Baseline'!$C$9:$R$257,6,FALSE))</f>
        <v/>
      </c>
      <c r="H156" s="520" t="str">
        <f>IF(G156="","",VLOOKUP($B156,'F-1 Off Site River Baseline'!$C$9:$R$257,7,FALSE))</f>
        <v/>
      </c>
      <c r="I156" s="520" t="str">
        <f>IF(H156="","",VLOOKUP($B156,'F-1 Off Site River Baseline'!$C$9:$R$257,8,FALSE))</f>
        <v/>
      </c>
      <c r="J156" s="520" t="str">
        <f>IF(I156="","",VLOOKUP($B156,'F-1 Off Site River Baseline'!$C$9:$R$257,9,FALSE))</f>
        <v/>
      </c>
      <c r="K156" s="520" t="str">
        <f>IF(J156="","",VLOOKUP($B156,'F-1 Off Site River Baseline'!$C$9:$R$257,10,FALSE))</f>
        <v/>
      </c>
      <c r="L156" s="520" t="str">
        <f>IF(B156="","",VLOOKUP($B156,'C-1 Site River Baseline'!$C$9:$R$257,15,FALSE))</f>
        <v/>
      </c>
      <c r="M156" s="524" t="str">
        <f>IF(L156="","",VLOOKUP($B156,'F-1 Off Site River Baseline'!$C$9:$R$257,16,FALSE))</f>
        <v/>
      </c>
      <c r="N156" s="418" t="str">
        <f t="shared" si="20"/>
        <v/>
      </c>
      <c r="O156" s="498" t="str">
        <f t="shared" si="21"/>
        <v/>
      </c>
      <c r="P156" s="499" t="str">
        <f>IF(C156="","",IF(AND(LEFT(C156,55)&lt;&gt;LEFT(N156,55),O156="High - High"),"Error - Not like for like ▲",IF(AND(F156=S156,H156&gt;U156),"Error - Can not reduce condition ▲",IF(AND(F156=S156,H156=U156,AJ156='F-1 Off Site River Baseline'!N154,'F-1 Off Site River Baseline'!P154=AL156),"Error - No enhancement ▲",IF(AND(C156&lt;&gt;N156,F156&lt;S156),"Lower Distinctiveness Habitat"&amp;" - "&amp;T156,G156&amp;" - "&amp;T156)))))</f>
        <v/>
      </c>
      <c r="Q156" s="505" t="str">
        <f>IF(N156="","",VLOOKUP(B156,'F-1 Off Site River Baseline'!$C$10:$AA$257,19,FALSE))</f>
        <v/>
      </c>
      <c r="R156" s="498" t="str">
        <f>IF(N156="","",VLOOKUP(N156,'G-7 Rivers Data'!$B$2:$G$8,2,FALSE))</f>
        <v/>
      </c>
      <c r="S156" s="499" t="str">
        <f>IFERROR(VLOOKUP(R156,'G-7 Rivers Data'!$C$4:$D$8,2,FALSE),"")</f>
        <v/>
      </c>
      <c r="T156" s="145"/>
      <c r="U156" s="499" t="str">
        <f>IFERROR(INDEX('G-7 Rivers Data'!$H$4:$L$8,MATCH(N156,'G-7 Rivers Data'!$B$4:$B$8,0),MATCH(T156,'G-7 Rivers Data'!$H$3:$L$3,0)),"")</f>
        <v/>
      </c>
      <c r="V156" s="154"/>
      <c r="W156" s="520" t="str">
        <f>IF(V156="","",IF(VLOOKUP(V156,'G-7 Rivers Data'!$AG$4:$AI$9,2,FALSE)=0,"Spatial Data Missing ⚠",VLOOKUP(V156,'G-7 Rivers Data'!$AG$4:$AI$9,2,FALSE)))</f>
        <v/>
      </c>
      <c r="X156" s="524" t="str">
        <f>IF(V156="","",IF(VLOOKUP(V156,'G-7 Rivers Data'!$AG$4:$AI$9,3,FALSE)=0,"Spatial Data Missing ⚠",VLOOKUP(V156,'G-7 Rivers Data'!$AG$4:$AI$9,3,FALSE)))</f>
        <v/>
      </c>
      <c r="Y156" s="537" t="str">
        <f>IFERROR(IF(OR(LEFT(P156,5)="Error ▲",LEFT(O156,5)="Error ▲"),"Check Data ⚠",IF(F156&lt;S156,'G-7 Rivers Data'!$R$3,INDEX('G-7 Rivers Data'!$U$5:$Y$9,MATCH(G156,'G-7 Rivers Data'!$T$5:$T$9,0),MATCH(T156,'G-7 Rivers Data'!$U$4:$Y$4,0)))),"")</f>
        <v/>
      </c>
      <c r="Z156" s="203"/>
      <c r="AA156" s="203"/>
      <c r="AB156" s="534" t="str">
        <f t="shared" si="16"/>
        <v/>
      </c>
      <c r="AC156" s="521" t="str">
        <f t="shared" si="17"/>
        <v/>
      </c>
      <c r="AD156" s="564" t="str">
        <f>IFERROR(IF(AC156="Check Data ⚠","Check Data ⚠",VLOOKUP(AC156,'G-4 Temporal multipliers'!$A$4:$C$37,3,FALSE)),"")</f>
        <v/>
      </c>
      <c r="AE156" s="537" t="str">
        <f>IF(N156="","",VLOOKUP(N156,'G-7 Rivers Data'!$B$4:$G$8,5,FALSE))</f>
        <v/>
      </c>
      <c r="AF156" s="520" t="str">
        <f t="shared" si="18"/>
        <v/>
      </c>
      <c r="AG156" s="520" t="str">
        <f t="shared" si="22"/>
        <v/>
      </c>
      <c r="AH156" s="524" t="str">
        <f t="shared" si="19"/>
        <v/>
      </c>
      <c r="AI156" s="145"/>
      <c r="AJ156" s="499" t="str">
        <f>IF(AI156="","",IF(VLOOKUP(AI156,'G-7 Rivers Data'!$AA$4:$AB$7,2,FALSE)=0,"Spatial Data Missing ⚠",VLOOKUP(AI156,'G-7 Rivers Data'!$AA$4:$AB$7,2,FALSE)))</f>
        <v/>
      </c>
      <c r="AK156" s="155"/>
      <c r="AL156" s="536" t="str">
        <f>IF(AK156="","",IF(VLOOKUP(AK156,'G-7 Rivers Data'!$AD$4:$AE$8,2,FALSE)=0,"Spatial Data Missing ⚠",VLOOKUP(AK156,'G-7 Rivers Data'!$AD$4:$AE$8,2,FALSE)))</f>
        <v/>
      </c>
      <c r="AM156" s="154"/>
      <c r="AN156" s="524" t="str">
        <f>IF(AM156="","",VLOOKUP(AM156,'G-7 Rivers Data'!$AO$4:$AP$7,2,FALSE))</f>
        <v/>
      </c>
      <c r="AO156" s="545" t="str">
        <f t="shared" si="23"/>
        <v/>
      </c>
      <c r="AP156" s="149"/>
      <c r="AQ156" s="150"/>
      <c r="AX156" s="31" t="str">
        <f>IFERROR(INDEX('G-7 Rivers Data'!$AZ$3:$AZ$7,MATCH(N156,'G-7 Rivers Data'!$AY$3:$AY$7,0)),"")</f>
        <v/>
      </c>
    </row>
    <row r="157" spans="2:50" ht="13.8" x14ac:dyDescent="0.25">
      <c r="B157" s="531" t="str">
        <f>'F-1 Off Site River Baseline'!AN155</f>
        <v/>
      </c>
      <c r="C157" s="520" t="str">
        <f>IF(B157="","",VLOOKUP($B157,'F-1 Off Site River Baseline'!$C$9:$R$257,2,FALSE))</f>
        <v/>
      </c>
      <c r="D157" s="520" t="str">
        <f>IF(C157="","",VLOOKUP($B157,'F-1 Off Site River Baseline'!$C$9:$R$257,3,FALSE))</f>
        <v/>
      </c>
      <c r="E157" s="520" t="str">
        <f>IF(D157="","",VLOOKUP($B157,'F-1 Off Site River Baseline'!$C$9:$R$257,4,FALSE))</f>
        <v/>
      </c>
      <c r="F157" s="520" t="str">
        <f>IF(E157="","",VLOOKUP($B157,'F-1 Off Site River Baseline'!$C$9:$R$257,5,FALSE))</f>
        <v/>
      </c>
      <c r="G157" s="520" t="str">
        <f>IF(F157="","",VLOOKUP($B157,'F-1 Off Site River Baseline'!$C$9:$R$257,6,FALSE))</f>
        <v/>
      </c>
      <c r="H157" s="520" t="str">
        <f>IF(G157="","",VLOOKUP($B157,'F-1 Off Site River Baseline'!$C$9:$R$257,7,FALSE))</f>
        <v/>
      </c>
      <c r="I157" s="520" t="str">
        <f>IF(H157="","",VLOOKUP($B157,'F-1 Off Site River Baseline'!$C$9:$R$257,8,FALSE))</f>
        <v/>
      </c>
      <c r="J157" s="520" t="str">
        <f>IF(I157="","",VLOOKUP($B157,'F-1 Off Site River Baseline'!$C$9:$R$257,9,FALSE))</f>
        <v/>
      </c>
      <c r="K157" s="520" t="str">
        <f>IF(J157="","",VLOOKUP($B157,'F-1 Off Site River Baseline'!$C$9:$R$257,10,FALSE))</f>
        <v/>
      </c>
      <c r="L157" s="520" t="str">
        <f>IF(B157="","",VLOOKUP($B157,'C-1 Site River Baseline'!$C$9:$R$257,15,FALSE))</f>
        <v/>
      </c>
      <c r="M157" s="524" t="str">
        <f>IF(L157="","",VLOOKUP($B157,'F-1 Off Site River Baseline'!$C$9:$R$257,16,FALSE))</f>
        <v/>
      </c>
      <c r="N157" s="418" t="str">
        <f t="shared" si="20"/>
        <v/>
      </c>
      <c r="O157" s="498" t="str">
        <f t="shared" si="21"/>
        <v/>
      </c>
      <c r="P157" s="499" t="str">
        <f>IF(C157="","",IF(AND(LEFT(C157,55)&lt;&gt;LEFT(N157,55),O157="High - High"),"Error - Not like for like ▲",IF(AND(F157=S157,H157&gt;U157),"Error - Can not reduce condition ▲",IF(AND(F157=S157,H157=U157,AJ157='F-1 Off Site River Baseline'!N155,'F-1 Off Site River Baseline'!P155=AL157),"Error - No enhancement ▲",IF(AND(C157&lt;&gt;N157,F157&lt;S157),"Lower Distinctiveness Habitat"&amp;" - "&amp;T157,G157&amp;" - "&amp;T157)))))</f>
        <v/>
      </c>
      <c r="Q157" s="505" t="str">
        <f>IF(N157="","",VLOOKUP(B157,'F-1 Off Site River Baseline'!$C$10:$AA$257,19,FALSE))</f>
        <v/>
      </c>
      <c r="R157" s="498" t="str">
        <f>IF(N157="","",VLOOKUP(N157,'G-7 Rivers Data'!$B$2:$G$8,2,FALSE))</f>
        <v/>
      </c>
      <c r="S157" s="499" t="str">
        <f>IFERROR(VLOOKUP(R157,'G-7 Rivers Data'!$C$4:$D$8,2,FALSE),"")</f>
        <v/>
      </c>
      <c r="T157" s="145"/>
      <c r="U157" s="499" t="str">
        <f>IFERROR(INDEX('G-7 Rivers Data'!$H$4:$L$8,MATCH(N157,'G-7 Rivers Data'!$B$4:$B$8,0),MATCH(T157,'G-7 Rivers Data'!$H$3:$L$3,0)),"")</f>
        <v/>
      </c>
      <c r="V157" s="154"/>
      <c r="W157" s="520" t="str">
        <f>IF(V157="","",IF(VLOOKUP(V157,'G-7 Rivers Data'!$AG$4:$AI$9,2,FALSE)=0,"Spatial Data Missing ⚠",VLOOKUP(V157,'G-7 Rivers Data'!$AG$4:$AI$9,2,FALSE)))</f>
        <v/>
      </c>
      <c r="X157" s="524" t="str">
        <f>IF(V157="","",IF(VLOOKUP(V157,'G-7 Rivers Data'!$AG$4:$AI$9,3,FALSE)=0,"Spatial Data Missing ⚠",VLOOKUP(V157,'G-7 Rivers Data'!$AG$4:$AI$9,3,FALSE)))</f>
        <v/>
      </c>
      <c r="Y157" s="537" t="str">
        <f>IFERROR(IF(OR(LEFT(P157,5)="Error ▲",LEFT(O157,5)="Error ▲"),"Check Data ⚠",IF(F157&lt;S157,'G-7 Rivers Data'!$R$3,INDEX('G-7 Rivers Data'!$U$5:$Y$9,MATCH(G157,'G-7 Rivers Data'!$T$5:$T$9,0),MATCH(T157,'G-7 Rivers Data'!$U$4:$Y$4,0)))),"")</f>
        <v/>
      </c>
      <c r="Z157" s="203"/>
      <c r="AA157" s="203"/>
      <c r="AB157" s="534" t="str">
        <f t="shared" si="16"/>
        <v/>
      </c>
      <c r="AC157" s="521" t="str">
        <f t="shared" si="17"/>
        <v/>
      </c>
      <c r="AD157" s="564" t="str">
        <f>IFERROR(IF(AC157="Check Data ⚠","Check Data ⚠",VLOOKUP(AC157,'G-4 Temporal multipliers'!$A$4:$C$37,3,FALSE)),"")</f>
        <v/>
      </c>
      <c r="AE157" s="537" t="str">
        <f>IF(N157="","",VLOOKUP(N157,'G-7 Rivers Data'!$B$4:$G$8,5,FALSE))</f>
        <v/>
      </c>
      <c r="AF157" s="520" t="str">
        <f t="shared" si="18"/>
        <v/>
      </c>
      <c r="AG157" s="520" t="str">
        <f t="shared" si="22"/>
        <v/>
      </c>
      <c r="AH157" s="524" t="str">
        <f t="shared" si="19"/>
        <v/>
      </c>
      <c r="AI157" s="145"/>
      <c r="AJ157" s="499" t="str">
        <f>IF(AI157="","",IF(VLOOKUP(AI157,'G-7 Rivers Data'!$AA$4:$AB$7,2,FALSE)=0,"Spatial Data Missing ⚠",VLOOKUP(AI157,'G-7 Rivers Data'!$AA$4:$AB$7,2,FALSE)))</f>
        <v/>
      </c>
      <c r="AK157" s="155"/>
      <c r="AL157" s="536" t="str">
        <f>IF(AK157="","",IF(VLOOKUP(AK157,'G-7 Rivers Data'!$AD$4:$AE$8,2,FALSE)=0,"Spatial Data Missing ⚠",VLOOKUP(AK157,'G-7 Rivers Data'!$AD$4:$AE$8,2,FALSE)))</f>
        <v/>
      </c>
      <c r="AM157" s="154"/>
      <c r="AN157" s="524" t="str">
        <f>IF(AM157="","",VLOOKUP(AM157,'G-7 Rivers Data'!$AO$4:$AP$7,2,FALSE))</f>
        <v/>
      </c>
      <c r="AO157" s="545" t="str">
        <f t="shared" si="23"/>
        <v/>
      </c>
      <c r="AP157" s="149"/>
      <c r="AQ157" s="150"/>
      <c r="AX157" s="31" t="str">
        <f>IFERROR(INDEX('G-7 Rivers Data'!$AZ$3:$AZ$7,MATCH(N157,'G-7 Rivers Data'!$AY$3:$AY$7,0)),"")</f>
        <v/>
      </c>
    </row>
    <row r="158" spans="2:50" ht="13.8" x14ac:dyDescent="0.25">
      <c r="B158" s="531" t="str">
        <f>'F-1 Off Site River Baseline'!AN156</f>
        <v/>
      </c>
      <c r="C158" s="520" t="str">
        <f>IF(B158="","",VLOOKUP($B158,'F-1 Off Site River Baseline'!$C$9:$R$257,2,FALSE))</f>
        <v/>
      </c>
      <c r="D158" s="520" t="str">
        <f>IF(C158="","",VLOOKUP($B158,'F-1 Off Site River Baseline'!$C$9:$R$257,3,FALSE))</f>
        <v/>
      </c>
      <c r="E158" s="520" t="str">
        <f>IF(D158="","",VLOOKUP($B158,'F-1 Off Site River Baseline'!$C$9:$R$257,4,FALSE))</f>
        <v/>
      </c>
      <c r="F158" s="520" t="str">
        <f>IF(E158="","",VLOOKUP($B158,'F-1 Off Site River Baseline'!$C$9:$R$257,5,FALSE))</f>
        <v/>
      </c>
      <c r="G158" s="520" t="str">
        <f>IF(F158="","",VLOOKUP($B158,'F-1 Off Site River Baseline'!$C$9:$R$257,6,FALSE))</f>
        <v/>
      </c>
      <c r="H158" s="520" t="str">
        <f>IF(G158="","",VLOOKUP($B158,'F-1 Off Site River Baseline'!$C$9:$R$257,7,FALSE))</f>
        <v/>
      </c>
      <c r="I158" s="520" t="str">
        <f>IF(H158="","",VLOOKUP($B158,'F-1 Off Site River Baseline'!$C$9:$R$257,8,FALSE))</f>
        <v/>
      </c>
      <c r="J158" s="520" t="str">
        <f>IF(I158="","",VLOOKUP($B158,'F-1 Off Site River Baseline'!$C$9:$R$257,9,FALSE))</f>
        <v/>
      </c>
      <c r="K158" s="520" t="str">
        <f>IF(J158="","",VLOOKUP($B158,'F-1 Off Site River Baseline'!$C$9:$R$257,10,FALSE))</f>
        <v/>
      </c>
      <c r="L158" s="520" t="str">
        <f>IF(B158="","",VLOOKUP($B158,'C-1 Site River Baseline'!$C$9:$R$257,15,FALSE))</f>
        <v/>
      </c>
      <c r="M158" s="524" t="str">
        <f>IF(L158="","",VLOOKUP($B158,'F-1 Off Site River Baseline'!$C$9:$R$257,16,FALSE))</f>
        <v/>
      </c>
      <c r="N158" s="418" t="str">
        <f t="shared" si="20"/>
        <v/>
      </c>
      <c r="O158" s="498" t="str">
        <f t="shared" si="21"/>
        <v/>
      </c>
      <c r="P158" s="499" t="str">
        <f>IF(C158="","",IF(AND(LEFT(C158,55)&lt;&gt;LEFT(N158,55),O158="High - High"),"Error - Not like for like ▲",IF(AND(F158=S158,H158&gt;U158),"Error - Can not reduce condition ▲",IF(AND(F158=S158,H158=U158,AJ158='F-1 Off Site River Baseline'!N156,'F-1 Off Site River Baseline'!P156=AL158),"Error - No enhancement ▲",IF(AND(C158&lt;&gt;N158,F158&lt;S158),"Lower Distinctiveness Habitat"&amp;" - "&amp;T158,G158&amp;" - "&amp;T158)))))</f>
        <v/>
      </c>
      <c r="Q158" s="505" t="str">
        <f>IF(N158="","",VLOOKUP(B158,'F-1 Off Site River Baseline'!$C$10:$AA$257,19,FALSE))</f>
        <v/>
      </c>
      <c r="R158" s="498" t="str">
        <f>IF(N158="","",VLOOKUP(N158,'G-7 Rivers Data'!$B$2:$G$8,2,FALSE))</f>
        <v/>
      </c>
      <c r="S158" s="499" t="str">
        <f>IFERROR(VLOOKUP(R158,'G-7 Rivers Data'!$C$4:$D$8,2,FALSE),"")</f>
        <v/>
      </c>
      <c r="T158" s="145"/>
      <c r="U158" s="499" t="str">
        <f>IFERROR(INDEX('G-7 Rivers Data'!$H$4:$L$8,MATCH(N158,'G-7 Rivers Data'!$B$4:$B$8,0),MATCH(T158,'G-7 Rivers Data'!$H$3:$L$3,0)),"")</f>
        <v/>
      </c>
      <c r="V158" s="154"/>
      <c r="W158" s="520" t="str">
        <f>IF(V158="","",IF(VLOOKUP(V158,'G-7 Rivers Data'!$AG$4:$AI$9,2,FALSE)=0,"Spatial Data Missing ⚠",VLOOKUP(V158,'G-7 Rivers Data'!$AG$4:$AI$9,2,FALSE)))</f>
        <v/>
      </c>
      <c r="X158" s="524" t="str">
        <f>IF(V158="","",IF(VLOOKUP(V158,'G-7 Rivers Data'!$AG$4:$AI$9,3,FALSE)=0,"Spatial Data Missing ⚠",VLOOKUP(V158,'G-7 Rivers Data'!$AG$4:$AI$9,3,FALSE)))</f>
        <v/>
      </c>
      <c r="Y158" s="537" t="str">
        <f>IFERROR(IF(OR(LEFT(P158,5)="Error ▲",LEFT(O158,5)="Error ▲"),"Check Data ⚠",IF(F158&lt;S158,'G-7 Rivers Data'!$R$3,INDEX('G-7 Rivers Data'!$U$5:$Y$9,MATCH(G158,'G-7 Rivers Data'!$T$5:$T$9,0),MATCH(T158,'G-7 Rivers Data'!$U$4:$Y$4,0)))),"")</f>
        <v/>
      </c>
      <c r="Z158" s="203"/>
      <c r="AA158" s="203"/>
      <c r="AB158" s="534" t="str">
        <f t="shared" si="16"/>
        <v/>
      </c>
      <c r="AC158" s="521" t="str">
        <f t="shared" si="17"/>
        <v/>
      </c>
      <c r="AD158" s="564" t="str">
        <f>IFERROR(IF(AC158="Check Data ⚠","Check Data ⚠",VLOOKUP(AC158,'G-4 Temporal multipliers'!$A$4:$C$37,3,FALSE)),"")</f>
        <v/>
      </c>
      <c r="AE158" s="537" t="str">
        <f>IF(N158="","",VLOOKUP(N158,'G-7 Rivers Data'!$B$4:$G$8,5,FALSE))</f>
        <v/>
      </c>
      <c r="AF158" s="520" t="str">
        <f t="shared" si="18"/>
        <v/>
      </c>
      <c r="AG158" s="520" t="str">
        <f t="shared" si="22"/>
        <v/>
      </c>
      <c r="AH158" s="524" t="str">
        <f t="shared" si="19"/>
        <v/>
      </c>
      <c r="AI158" s="145"/>
      <c r="AJ158" s="499" t="str">
        <f>IF(AI158="","",IF(VLOOKUP(AI158,'G-7 Rivers Data'!$AA$4:$AB$7,2,FALSE)=0,"Spatial Data Missing ⚠",VLOOKUP(AI158,'G-7 Rivers Data'!$AA$4:$AB$7,2,FALSE)))</f>
        <v/>
      </c>
      <c r="AK158" s="155"/>
      <c r="AL158" s="536" t="str">
        <f>IF(AK158="","",IF(VLOOKUP(AK158,'G-7 Rivers Data'!$AD$4:$AE$8,2,FALSE)=0,"Spatial Data Missing ⚠",VLOOKUP(AK158,'G-7 Rivers Data'!$AD$4:$AE$8,2,FALSE)))</f>
        <v/>
      </c>
      <c r="AM158" s="154"/>
      <c r="AN158" s="524" t="str">
        <f>IF(AM158="","",VLOOKUP(AM158,'G-7 Rivers Data'!$AO$4:$AP$7,2,FALSE))</f>
        <v/>
      </c>
      <c r="AO158" s="545" t="str">
        <f t="shared" si="23"/>
        <v/>
      </c>
      <c r="AP158" s="149"/>
      <c r="AQ158" s="150"/>
      <c r="AX158" s="31" t="str">
        <f>IFERROR(INDEX('G-7 Rivers Data'!$AZ$3:$AZ$7,MATCH(N158,'G-7 Rivers Data'!$AY$3:$AY$7,0)),"")</f>
        <v/>
      </c>
    </row>
    <row r="159" spans="2:50" ht="13.8" x14ac:dyDescent="0.25">
      <c r="B159" s="531" t="str">
        <f>'F-1 Off Site River Baseline'!AN157</f>
        <v/>
      </c>
      <c r="C159" s="520" t="str">
        <f>IF(B159="","",VLOOKUP($B159,'F-1 Off Site River Baseline'!$C$9:$R$257,2,FALSE))</f>
        <v/>
      </c>
      <c r="D159" s="520" t="str">
        <f>IF(C159="","",VLOOKUP($B159,'F-1 Off Site River Baseline'!$C$9:$R$257,3,FALSE))</f>
        <v/>
      </c>
      <c r="E159" s="520" t="str">
        <f>IF(D159="","",VLOOKUP($B159,'F-1 Off Site River Baseline'!$C$9:$R$257,4,FALSE))</f>
        <v/>
      </c>
      <c r="F159" s="520" t="str">
        <f>IF(E159="","",VLOOKUP($B159,'F-1 Off Site River Baseline'!$C$9:$R$257,5,FALSE))</f>
        <v/>
      </c>
      <c r="G159" s="520" t="str">
        <f>IF(F159="","",VLOOKUP($B159,'F-1 Off Site River Baseline'!$C$9:$R$257,6,FALSE))</f>
        <v/>
      </c>
      <c r="H159" s="520" t="str">
        <f>IF(G159="","",VLOOKUP($B159,'F-1 Off Site River Baseline'!$C$9:$R$257,7,FALSE))</f>
        <v/>
      </c>
      <c r="I159" s="520" t="str">
        <f>IF(H159="","",VLOOKUP($B159,'F-1 Off Site River Baseline'!$C$9:$R$257,8,FALSE))</f>
        <v/>
      </c>
      <c r="J159" s="520" t="str">
        <f>IF(I159="","",VLOOKUP($B159,'F-1 Off Site River Baseline'!$C$9:$R$257,9,FALSE))</f>
        <v/>
      </c>
      <c r="K159" s="520" t="str">
        <f>IF(J159="","",VLOOKUP($B159,'F-1 Off Site River Baseline'!$C$9:$R$257,10,FALSE))</f>
        <v/>
      </c>
      <c r="L159" s="520" t="str">
        <f>IF(B159="","",VLOOKUP($B159,'C-1 Site River Baseline'!$C$9:$R$257,15,FALSE))</f>
        <v/>
      </c>
      <c r="M159" s="524" t="str">
        <f>IF(L159="","",VLOOKUP($B159,'F-1 Off Site River Baseline'!$C$9:$R$257,16,FALSE))</f>
        <v/>
      </c>
      <c r="N159" s="418" t="str">
        <f t="shared" si="20"/>
        <v/>
      </c>
      <c r="O159" s="498" t="str">
        <f t="shared" si="21"/>
        <v/>
      </c>
      <c r="P159" s="499" t="str">
        <f>IF(C159="","",IF(AND(LEFT(C159,55)&lt;&gt;LEFT(N159,55),O159="High - High"),"Error - Not like for like ▲",IF(AND(F159=S159,H159&gt;U159),"Error - Can not reduce condition ▲",IF(AND(F159=S159,H159=U159,AJ159='F-1 Off Site River Baseline'!N157,'F-1 Off Site River Baseline'!P157=AL159),"Error - No enhancement ▲",IF(AND(C159&lt;&gt;N159,F159&lt;S159),"Lower Distinctiveness Habitat"&amp;" - "&amp;T159,G159&amp;" - "&amp;T159)))))</f>
        <v/>
      </c>
      <c r="Q159" s="505" t="str">
        <f>IF(N159="","",VLOOKUP(B159,'F-1 Off Site River Baseline'!$C$10:$AA$257,19,FALSE))</f>
        <v/>
      </c>
      <c r="R159" s="498" t="str">
        <f>IF(N159="","",VLOOKUP(N159,'G-7 Rivers Data'!$B$2:$G$8,2,FALSE))</f>
        <v/>
      </c>
      <c r="S159" s="499" t="str">
        <f>IFERROR(VLOOKUP(R159,'G-7 Rivers Data'!$C$4:$D$8,2,FALSE),"")</f>
        <v/>
      </c>
      <c r="T159" s="145"/>
      <c r="U159" s="499" t="str">
        <f>IFERROR(INDEX('G-7 Rivers Data'!$H$4:$L$8,MATCH(N159,'G-7 Rivers Data'!$B$4:$B$8,0),MATCH(T159,'G-7 Rivers Data'!$H$3:$L$3,0)),"")</f>
        <v/>
      </c>
      <c r="V159" s="154"/>
      <c r="W159" s="520" t="str">
        <f>IF(V159="","",IF(VLOOKUP(V159,'G-7 Rivers Data'!$AG$4:$AI$9,2,FALSE)=0,"Spatial Data Missing ⚠",VLOOKUP(V159,'G-7 Rivers Data'!$AG$4:$AI$9,2,FALSE)))</f>
        <v/>
      </c>
      <c r="X159" s="524" t="str">
        <f>IF(V159="","",IF(VLOOKUP(V159,'G-7 Rivers Data'!$AG$4:$AI$9,3,FALSE)=0,"Spatial Data Missing ⚠",VLOOKUP(V159,'G-7 Rivers Data'!$AG$4:$AI$9,3,FALSE)))</f>
        <v/>
      </c>
      <c r="Y159" s="537" t="str">
        <f>IFERROR(IF(OR(LEFT(P159,5)="Error ▲",LEFT(O159,5)="Error ▲"),"Check Data ⚠",IF(F159&lt;S159,'G-7 Rivers Data'!$R$3,INDEX('G-7 Rivers Data'!$U$5:$Y$9,MATCH(G159,'G-7 Rivers Data'!$T$5:$T$9,0),MATCH(T159,'G-7 Rivers Data'!$U$4:$Y$4,0)))),"")</f>
        <v/>
      </c>
      <c r="Z159" s="203"/>
      <c r="AA159" s="203"/>
      <c r="AB159" s="534" t="str">
        <f t="shared" si="16"/>
        <v/>
      </c>
      <c r="AC159" s="521" t="str">
        <f t="shared" si="17"/>
        <v/>
      </c>
      <c r="AD159" s="564" t="str">
        <f>IFERROR(IF(AC159="Check Data ⚠","Check Data ⚠",VLOOKUP(AC159,'G-4 Temporal multipliers'!$A$4:$C$37,3,FALSE)),"")</f>
        <v/>
      </c>
      <c r="AE159" s="537" t="str">
        <f>IF(N159="","",VLOOKUP(N159,'G-7 Rivers Data'!$B$4:$G$8,5,FALSE))</f>
        <v/>
      </c>
      <c r="AF159" s="520" t="str">
        <f t="shared" si="18"/>
        <v/>
      </c>
      <c r="AG159" s="520" t="str">
        <f t="shared" si="22"/>
        <v/>
      </c>
      <c r="AH159" s="524" t="str">
        <f t="shared" si="19"/>
        <v/>
      </c>
      <c r="AI159" s="145"/>
      <c r="AJ159" s="499" t="str">
        <f>IF(AI159="","",IF(VLOOKUP(AI159,'G-7 Rivers Data'!$AA$4:$AB$7,2,FALSE)=0,"Spatial Data Missing ⚠",VLOOKUP(AI159,'G-7 Rivers Data'!$AA$4:$AB$7,2,FALSE)))</f>
        <v/>
      </c>
      <c r="AK159" s="155"/>
      <c r="AL159" s="536" t="str">
        <f>IF(AK159="","",IF(VLOOKUP(AK159,'G-7 Rivers Data'!$AD$4:$AE$8,2,FALSE)=0,"Spatial Data Missing ⚠",VLOOKUP(AK159,'G-7 Rivers Data'!$AD$4:$AE$8,2,FALSE)))</f>
        <v/>
      </c>
      <c r="AM159" s="154"/>
      <c r="AN159" s="524" t="str">
        <f>IF(AM159="","",VLOOKUP(AM159,'G-7 Rivers Data'!$AO$4:$AP$7,2,FALSE))</f>
        <v/>
      </c>
      <c r="AO159" s="545" t="str">
        <f t="shared" si="23"/>
        <v/>
      </c>
      <c r="AP159" s="149"/>
      <c r="AQ159" s="150"/>
      <c r="AX159" s="31" t="str">
        <f>IFERROR(INDEX('G-7 Rivers Data'!$AZ$3:$AZ$7,MATCH(N159,'G-7 Rivers Data'!$AY$3:$AY$7,0)),"")</f>
        <v/>
      </c>
    </row>
    <row r="160" spans="2:50" ht="13.8" x14ac:dyDescent="0.25">
      <c r="B160" s="531" t="str">
        <f>'F-1 Off Site River Baseline'!AN158</f>
        <v/>
      </c>
      <c r="C160" s="520" t="str">
        <f>IF(B160="","",VLOOKUP($B160,'F-1 Off Site River Baseline'!$C$9:$R$257,2,FALSE))</f>
        <v/>
      </c>
      <c r="D160" s="520" t="str">
        <f>IF(C160="","",VLOOKUP($B160,'F-1 Off Site River Baseline'!$C$9:$R$257,3,FALSE))</f>
        <v/>
      </c>
      <c r="E160" s="520" t="str">
        <f>IF(D160="","",VLOOKUP($B160,'F-1 Off Site River Baseline'!$C$9:$R$257,4,FALSE))</f>
        <v/>
      </c>
      <c r="F160" s="520" t="str">
        <f>IF(E160="","",VLOOKUP($B160,'F-1 Off Site River Baseline'!$C$9:$R$257,5,FALSE))</f>
        <v/>
      </c>
      <c r="G160" s="520" t="str">
        <f>IF(F160="","",VLOOKUP($B160,'F-1 Off Site River Baseline'!$C$9:$R$257,6,FALSE))</f>
        <v/>
      </c>
      <c r="H160" s="520" t="str">
        <f>IF(G160="","",VLOOKUP($B160,'F-1 Off Site River Baseline'!$C$9:$R$257,7,FALSE))</f>
        <v/>
      </c>
      <c r="I160" s="520" t="str">
        <f>IF(H160="","",VLOOKUP($B160,'F-1 Off Site River Baseline'!$C$9:$R$257,8,FALSE))</f>
        <v/>
      </c>
      <c r="J160" s="520" t="str">
        <f>IF(I160="","",VLOOKUP($B160,'F-1 Off Site River Baseline'!$C$9:$R$257,9,FALSE))</f>
        <v/>
      </c>
      <c r="K160" s="520" t="str">
        <f>IF(J160="","",VLOOKUP($B160,'F-1 Off Site River Baseline'!$C$9:$R$257,10,FALSE))</f>
        <v/>
      </c>
      <c r="L160" s="520" t="str">
        <f>IF(B160="","",VLOOKUP($B160,'C-1 Site River Baseline'!$C$9:$R$257,15,FALSE))</f>
        <v/>
      </c>
      <c r="M160" s="524" t="str">
        <f>IF(L160="","",VLOOKUP($B160,'F-1 Off Site River Baseline'!$C$9:$R$257,16,FALSE))</f>
        <v/>
      </c>
      <c r="N160" s="418" t="str">
        <f t="shared" si="20"/>
        <v/>
      </c>
      <c r="O160" s="498" t="str">
        <f t="shared" si="21"/>
        <v/>
      </c>
      <c r="P160" s="499" t="str">
        <f>IF(C160="","",IF(AND(LEFT(C160,55)&lt;&gt;LEFT(N160,55),O160="High - High"),"Error - Not like for like ▲",IF(AND(F160=S160,H160&gt;U160),"Error - Can not reduce condition ▲",IF(AND(F160=S160,H160=U160,AJ160='F-1 Off Site River Baseline'!N158,'F-1 Off Site River Baseline'!P158=AL160),"Error - No enhancement ▲",IF(AND(C160&lt;&gt;N160,F160&lt;S160),"Lower Distinctiveness Habitat"&amp;" - "&amp;T160,G160&amp;" - "&amp;T160)))))</f>
        <v/>
      </c>
      <c r="Q160" s="505" t="str">
        <f>IF(N160="","",VLOOKUP(B160,'F-1 Off Site River Baseline'!$C$10:$AA$257,19,FALSE))</f>
        <v/>
      </c>
      <c r="R160" s="498" t="str">
        <f>IF(N160="","",VLOOKUP(N160,'G-7 Rivers Data'!$B$2:$G$8,2,FALSE))</f>
        <v/>
      </c>
      <c r="S160" s="499" t="str">
        <f>IFERROR(VLOOKUP(R160,'G-7 Rivers Data'!$C$4:$D$8,2,FALSE),"")</f>
        <v/>
      </c>
      <c r="T160" s="145"/>
      <c r="U160" s="499" t="str">
        <f>IFERROR(INDEX('G-7 Rivers Data'!$H$4:$L$8,MATCH(N160,'G-7 Rivers Data'!$B$4:$B$8,0),MATCH(T160,'G-7 Rivers Data'!$H$3:$L$3,0)),"")</f>
        <v/>
      </c>
      <c r="V160" s="154"/>
      <c r="W160" s="520" t="str">
        <f>IF(V160="","",IF(VLOOKUP(V160,'G-7 Rivers Data'!$AG$4:$AI$9,2,FALSE)=0,"Spatial Data Missing ⚠",VLOOKUP(V160,'G-7 Rivers Data'!$AG$4:$AI$9,2,FALSE)))</f>
        <v/>
      </c>
      <c r="X160" s="524" t="str">
        <f>IF(V160="","",IF(VLOOKUP(V160,'G-7 Rivers Data'!$AG$4:$AI$9,3,FALSE)=0,"Spatial Data Missing ⚠",VLOOKUP(V160,'G-7 Rivers Data'!$AG$4:$AI$9,3,FALSE)))</f>
        <v/>
      </c>
      <c r="Y160" s="537" t="str">
        <f>IFERROR(IF(OR(LEFT(P160,5)="Error ▲",LEFT(O160,5)="Error ▲"),"Check Data ⚠",IF(F160&lt;S160,'G-7 Rivers Data'!$R$3,INDEX('G-7 Rivers Data'!$U$5:$Y$9,MATCH(G160,'G-7 Rivers Data'!$T$5:$T$9,0),MATCH(T160,'G-7 Rivers Data'!$U$4:$Y$4,0)))),"")</f>
        <v/>
      </c>
      <c r="Z160" s="203"/>
      <c r="AA160" s="203"/>
      <c r="AB160" s="534" t="str">
        <f t="shared" si="16"/>
        <v/>
      </c>
      <c r="AC160" s="521" t="str">
        <f t="shared" si="17"/>
        <v/>
      </c>
      <c r="AD160" s="564" t="str">
        <f>IFERROR(IF(AC160="Check Data ⚠","Check Data ⚠",VLOOKUP(AC160,'G-4 Temporal multipliers'!$A$4:$C$37,3,FALSE)),"")</f>
        <v/>
      </c>
      <c r="AE160" s="537" t="str">
        <f>IF(N160="","",VLOOKUP(N160,'G-7 Rivers Data'!$B$4:$G$8,5,FALSE))</f>
        <v/>
      </c>
      <c r="AF160" s="520" t="str">
        <f t="shared" si="18"/>
        <v/>
      </c>
      <c r="AG160" s="520" t="str">
        <f t="shared" si="22"/>
        <v/>
      </c>
      <c r="AH160" s="524" t="str">
        <f t="shared" si="19"/>
        <v/>
      </c>
      <c r="AI160" s="145"/>
      <c r="AJ160" s="499" t="str">
        <f>IF(AI160="","",IF(VLOOKUP(AI160,'G-7 Rivers Data'!$AA$4:$AB$7,2,FALSE)=0,"Spatial Data Missing ⚠",VLOOKUP(AI160,'G-7 Rivers Data'!$AA$4:$AB$7,2,FALSE)))</f>
        <v/>
      </c>
      <c r="AK160" s="155"/>
      <c r="AL160" s="536" t="str">
        <f>IF(AK160="","",IF(VLOOKUP(AK160,'G-7 Rivers Data'!$AD$4:$AE$8,2,FALSE)=0,"Spatial Data Missing ⚠",VLOOKUP(AK160,'G-7 Rivers Data'!$AD$4:$AE$8,2,FALSE)))</f>
        <v/>
      </c>
      <c r="AM160" s="154"/>
      <c r="AN160" s="524" t="str">
        <f>IF(AM160="","",VLOOKUP(AM160,'G-7 Rivers Data'!$AO$4:$AP$7,2,FALSE))</f>
        <v/>
      </c>
      <c r="AO160" s="545" t="str">
        <f t="shared" si="23"/>
        <v/>
      </c>
      <c r="AP160" s="149"/>
      <c r="AQ160" s="150"/>
      <c r="AX160" s="31" t="str">
        <f>IFERROR(INDEX('G-7 Rivers Data'!$AZ$3:$AZ$7,MATCH(N160,'G-7 Rivers Data'!$AY$3:$AY$7,0)),"")</f>
        <v/>
      </c>
    </row>
    <row r="161" spans="2:50" ht="13.8" x14ac:dyDescent="0.25">
      <c r="B161" s="531" t="str">
        <f>'F-1 Off Site River Baseline'!AN159</f>
        <v/>
      </c>
      <c r="C161" s="520" t="str">
        <f>IF(B161="","",VLOOKUP($B161,'F-1 Off Site River Baseline'!$C$9:$R$257,2,FALSE))</f>
        <v/>
      </c>
      <c r="D161" s="520" t="str">
        <f>IF(C161="","",VLOOKUP($B161,'F-1 Off Site River Baseline'!$C$9:$R$257,3,FALSE))</f>
        <v/>
      </c>
      <c r="E161" s="520" t="str">
        <f>IF(D161="","",VLOOKUP($B161,'F-1 Off Site River Baseline'!$C$9:$R$257,4,FALSE))</f>
        <v/>
      </c>
      <c r="F161" s="520" t="str">
        <f>IF(E161="","",VLOOKUP($B161,'F-1 Off Site River Baseline'!$C$9:$R$257,5,FALSE))</f>
        <v/>
      </c>
      <c r="G161" s="520" t="str">
        <f>IF(F161="","",VLOOKUP($B161,'F-1 Off Site River Baseline'!$C$9:$R$257,6,FALSE))</f>
        <v/>
      </c>
      <c r="H161" s="520" t="str">
        <f>IF(G161="","",VLOOKUP($B161,'F-1 Off Site River Baseline'!$C$9:$R$257,7,FALSE))</f>
        <v/>
      </c>
      <c r="I161" s="520" t="str">
        <f>IF(H161="","",VLOOKUP($B161,'F-1 Off Site River Baseline'!$C$9:$R$257,8,FALSE))</f>
        <v/>
      </c>
      <c r="J161" s="520" t="str">
        <f>IF(I161="","",VLOOKUP($B161,'F-1 Off Site River Baseline'!$C$9:$R$257,9,FALSE))</f>
        <v/>
      </c>
      <c r="K161" s="520" t="str">
        <f>IF(J161="","",VLOOKUP($B161,'F-1 Off Site River Baseline'!$C$9:$R$257,10,FALSE))</f>
        <v/>
      </c>
      <c r="L161" s="520" t="str">
        <f>IF(B161="","",VLOOKUP($B161,'C-1 Site River Baseline'!$C$9:$R$257,15,FALSE))</f>
        <v/>
      </c>
      <c r="M161" s="524" t="str">
        <f>IF(L161="","",VLOOKUP($B161,'F-1 Off Site River Baseline'!$C$9:$R$257,16,FALSE))</f>
        <v/>
      </c>
      <c r="N161" s="418" t="str">
        <f t="shared" si="20"/>
        <v/>
      </c>
      <c r="O161" s="498" t="str">
        <f t="shared" si="21"/>
        <v/>
      </c>
      <c r="P161" s="499" t="str">
        <f>IF(C161="","",IF(AND(LEFT(C161,55)&lt;&gt;LEFT(N161,55),O161="High - High"),"Error - Not like for like ▲",IF(AND(F161=S161,H161&gt;U161),"Error - Can not reduce condition ▲",IF(AND(F161=S161,H161=U161,AJ161='F-1 Off Site River Baseline'!N159,'F-1 Off Site River Baseline'!P159=AL161),"Error - No enhancement ▲",IF(AND(C161&lt;&gt;N161,F161&lt;S161),"Lower Distinctiveness Habitat"&amp;" - "&amp;T161,G161&amp;" - "&amp;T161)))))</f>
        <v/>
      </c>
      <c r="Q161" s="505" t="str">
        <f>IF(N161="","",VLOOKUP(B161,'F-1 Off Site River Baseline'!$C$10:$AA$257,19,FALSE))</f>
        <v/>
      </c>
      <c r="R161" s="498" t="str">
        <f>IF(N161="","",VLOOKUP(N161,'G-7 Rivers Data'!$B$2:$G$8,2,FALSE))</f>
        <v/>
      </c>
      <c r="S161" s="499" t="str">
        <f>IFERROR(VLOOKUP(R161,'G-7 Rivers Data'!$C$4:$D$8,2,FALSE),"")</f>
        <v/>
      </c>
      <c r="T161" s="145"/>
      <c r="U161" s="499" t="str">
        <f>IFERROR(INDEX('G-7 Rivers Data'!$H$4:$L$8,MATCH(N161,'G-7 Rivers Data'!$B$4:$B$8,0),MATCH(T161,'G-7 Rivers Data'!$H$3:$L$3,0)),"")</f>
        <v/>
      </c>
      <c r="V161" s="154"/>
      <c r="W161" s="520" t="str">
        <f>IF(V161="","",IF(VLOOKUP(V161,'G-7 Rivers Data'!$AG$4:$AI$9,2,FALSE)=0,"Spatial Data Missing ⚠",VLOOKUP(V161,'G-7 Rivers Data'!$AG$4:$AI$9,2,FALSE)))</f>
        <v/>
      </c>
      <c r="X161" s="524" t="str">
        <f>IF(V161="","",IF(VLOOKUP(V161,'G-7 Rivers Data'!$AG$4:$AI$9,3,FALSE)=0,"Spatial Data Missing ⚠",VLOOKUP(V161,'G-7 Rivers Data'!$AG$4:$AI$9,3,FALSE)))</f>
        <v/>
      </c>
      <c r="Y161" s="537" t="str">
        <f>IFERROR(IF(OR(LEFT(P161,5)="Error ▲",LEFT(O161,5)="Error ▲"),"Check Data ⚠",IF(F161&lt;S161,'G-7 Rivers Data'!$R$3,INDEX('G-7 Rivers Data'!$U$5:$Y$9,MATCH(G161,'G-7 Rivers Data'!$T$5:$T$9,0),MATCH(T161,'G-7 Rivers Data'!$U$4:$Y$4,0)))),"")</f>
        <v/>
      </c>
      <c r="Z161" s="203"/>
      <c r="AA161" s="203"/>
      <c r="AB161" s="534" t="str">
        <f t="shared" si="16"/>
        <v/>
      </c>
      <c r="AC161" s="521" t="str">
        <f t="shared" si="17"/>
        <v/>
      </c>
      <c r="AD161" s="564" t="str">
        <f>IFERROR(IF(AC161="Check Data ⚠","Check Data ⚠",VLOOKUP(AC161,'G-4 Temporal multipliers'!$A$4:$C$37,3,FALSE)),"")</f>
        <v/>
      </c>
      <c r="AE161" s="537" t="str">
        <f>IF(N161="","",VLOOKUP(N161,'G-7 Rivers Data'!$B$4:$G$8,5,FALSE))</f>
        <v/>
      </c>
      <c r="AF161" s="520" t="str">
        <f t="shared" si="18"/>
        <v/>
      </c>
      <c r="AG161" s="520" t="str">
        <f t="shared" si="22"/>
        <v/>
      </c>
      <c r="AH161" s="524" t="str">
        <f t="shared" si="19"/>
        <v/>
      </c>
      <c r="AI161" s="145"/>
      <c r="AJ161" s="499" t="str">
        <f>IF(AI161="","",IF(VLOOKUP(AI161,'G-7 Rivers Data'!$AA$4:$AB$7,2,FALSE)=0,"Spatial Data Missing ⚠",VLOOKUP(AI161,'G-7 Rivers Data'!$AA$4:$AB$7,2,FALSE)))</f>
        <v/>
      </c>
      <c r="AK161" s="155"/>
      <c r="AL161" s="536" t="str">
        <f>IF(AK161="","",IF(VLOOKUP(AK161,'G-7 Rivers Data'!$AD$4:$AE$8,2,FALSE)=0,"Spatial Data Missing ⚠",VLOOKUP(AK161,'G-7 Rivers Data'!$AD$4:$AE$8,2,FALSE)))</f>
        <v/>
      </c>
      <c r="AM161" s="154"/>
      <c r="AN161" s="524" t="str">
        <f>IF(AM161="","",VLOOKUP(AM161,'G-7 Rivers Data'!$AO$4:$AP$7,2,FALSE))</f>
        <v/>
      </c>
      <c r="AO161" s="545" t="str">
        <f t="shared" si="23"/>
        <v/>
      </c>
      <c r="AP161" s="149"/>
      <c r="AQ161" s="150"/>
      <c r="AX161" s="31" t="str">
        <f>IFERROR(INDEX('G-7 Rivers Data'!$AZ$3:$AZ$7,MATCH(N161,'G-7 Rivers Data'!$AY$3:$AY$7,0)),"")</f>
        <v/>
      </c>
    </row>
    <row r="162" spans="2:50" ht="13.8" x14ac:dyDescent="0.25">
      <c r="B162" s="531" t="str">
        <f>'F-1 Off Site River Baseline'!AN160</f>
        <v/>
      </c>
      <c r="C162" s="520" t="str">
        <f>IF(B162="","",VLOOKUP($B162,'F-1 Off Site River Baseline'!$C$9:$R$257,2,FALSE))</f>
        <v/>
      </c>
      <c r="D162" s="520" t="str">
        <f>IF(C162="","",VLOOKUP($B162,'F-1 Off Site River Baseline'!$C$9:$R$257,3,FALSE))</f>
        <v/>
      </c>
      <c r="E162" s="520" t="str">
        <f>IF(D162="","",VLOOKUP($B162,'F-1 Off Site River Baseline'!$C$9:$R$257,4,FALSE))</f>
        <v/>
      </c>
      <c r="F162" s="520" t="str">
        <f>IF(E162="","",VLOOKUP($B162,'F-1 Off Site River Baseline'!$C$9:$R$257,5,FALSE))</f>
        <v/>
      </c>
      <c r="G162" s="520" t="str">
        <f>IF(F162="","",VLOOKUP($B162,'F-1 Off Site River Baseline'!$C$9:$R$257,6,FALSE))</f>
        <v/>
      </c>
      <c r="H162" s="520" t="str">
        <f>IF(G162="","",VLOOKUP($B162,'F-1 Off Site River Baseline'!$C$9:$R$257,7,FALSE))</f>
        <v/>
      </c>
      <c r="I162" s="520" t="str">
        <f>IF(H162="","",VLOOKUP($B162,'F-1 Off Site River Baseline'!$C$9:$R$257,8,FALSE))</f>
        <v/>
      </c>
      <c r="J162" s="520" t="str">
        <f>IF(I162="","",VLOOKUP($B162,'F-1 Off Site River Baseline'!$C$9:$R$257,9,FALSE))</f>
        <v/>
      </c>
      <c r="K162" s="520" t="str">
        <f>IF(J162="","",VLOOKUP($B162,'F-1 Off Site River Baseline'!$C$9:$R$257,10,FALSE))</f>
        <v/>
      </c>
      <c r="L162" s="520" t="str">
        <f>IF(B162="","",VLOOKUP($B162,'C-1 Site River Baseline'!$C$9:$R$257,15,FALSE))</f>
        <v/>
      </c>
      <c r="M162" s="524" t="str">
        <f>IF(L162="","",VLOOKUP($B162,'F-1 Off Site River Baseline'!$C$9:$R$257,16,FALSE))</f>
        <v/>
      </c>
      <c r="N162" s="418" t="str">
        <f t="shared" si="20"/>
        <v/>
      </c>
      <c r="O162" s="498" t="str">
        <f t="shared" si="21"/>
        <v/>
      </c>
      <c r="P162" s="499" t="str">
        <f>IF(C162="","",IF(AND(LEFT(C162,55)&lt;&gt;LEFT(N162,55),O162="High - High"),"Error - Not like for like ▲",IF(AND(F162=S162,H162&gt;U162),"Error - Can not reduce condition ▲",IF(AND(F162=S162,H162=U162,AJ162='F-1 Off Site River Baseline'!N160,'F-1 Off Site River Baseline'!P160=AL162),"Error - No enhancement ▲",IF(AND(C162&lt;&gt;N162,F162&lt;S162),"Lower Distinctiveness Habitat"&amp;" - "&amp;T162,G162&amp;" - "&amp;T162)))))</f>
        <v/>
      </c>
      <c r="Q162" s="505" t="str">
        <f>IF(N162="","",VLOOKUP(B162,'F-1 Off Site River Baseline'!$C$10:$AA$257,19,FALSE))</f>
        <v/>
      </c>
      <c r="R162" s="498" t="str">
        <f>IF(N162="","",VLOOKUP(N162,'G-7 Rivers Data'!$B$2:$G$8,2,FALSE))</f>
        <v/>
      </c>
      <c r="S162" s="499" t="str">
        <f>IFERROR(VLOOKUP(R162,'G-7 Rivers Data'!$C$4:$D$8,2,FALSE),"")</f>
        <v/>
      </c>
      <c r="T162" s="145"/>
      <c r="U162" s="499" t="str">
        <f>IFERROR(INDEX('G-7 Rivers Data'!$H$4:$L$8,MATCH(N162,'G-7 Rivers Data'!$B$4:$B$8,0),MATCH(T162,'G-7 Rivers Data'!$H$3:$L$3,0)),"")</f>
        <v/>
      </c>
      <c r="V162" s="154"/>
      <c r="W162" s="520" t="str">
        <f>IF(V162="","",IF(VLOOKUP(V162,'G-7 Rivers Data'!$AG$4:$AI$9,2,FALSE)=0,"Spatial Data Missing ⚠",VLOOKUP(V162,'G-7 Rivers Data'!$AG$4:$AI$9,2,FALSE)))</f>
        <v/>
      </c>
      <c r="X162" s="524" t="str">
        <f>IF(V162="","",IF(VLOOKUP(V162,'G-7 Rivers Data'!$AG$4:$AI$9,3,FALSE)=0,"Spatial Data Missing ⚠",VLOOKUP(V162,'G-7 Rivers Data'!$AG$4:$AI$9,3,FALSE)))</f>
        <v/>
      </c>
      <c r="Y162" s="537" t="str">
        <f>IFERROR(IF(OR(LEFT(P162,5)="Error ▲",LEFT(O162,5)="Error ▲"),"Check Data ⚠",IF(F162&lt;S162,'G-7 Rivers Data'!$R$3,INDEX('G-7 Rivers Data'!$U$5:$Y$9,MATCH(G162,'G-7 Rivers Data'!$T$5:$T$9,0),MATCH(T162,'G-7 Rivers Data'!$U$4:$Y$4,0)))),"")</f>
        <v/>
      </c>
      <c r="Z162" s="203"/>
      <c r="AA162" s="203"/>
      <c r="AB162" s="534" t="str">
        <f t="shared" si="16"/>
        <v/>
      </c>
      <c r="AC162" s="521" t="str">
        <f t="shared" si="17"/>
        <v/>
      </c>
      <c r="AD162" s="564" t="str">
        <f>IFERROR(IF(AC162="Check Data ⚠","Check Data ⚠",VLOOKUP(AC162,'G-4 Temporal multipliers'!$A$4:$C$37,3,FALSE)),"")</f>
        <v/>
      </c>
      <c r="AE162" s="537" t="str">
        <f>IF(N162="","",VLOOKUP(N162,'G-7 Rivers Data'!$B$4:$G$8,5,FALSE))</f>
        <v/>
      </c>
      <c r="AF162" s="520" t="str">
        <f t="shared" si="18"/>
        <v/>
      </c>
      <c r="AG162" s="520" t="str">
        <f t="shared" si="22"/>
        <v/>
      </c>
      <c r="AH162" s="524" t="str">
        <f t="shared" si="19"/>
        <v/>
      </c>
      <c r="AI162" s="145"/>
      <c r="AJ162" s="499" t="str">
        <f>IF(AI162="","",IF(VLOOKUP(AI162,'G-7 Rivers Data'!$AA$4:$AB$7,2,FALSE)=0,"Spatial Data Missing ⚠",VLOOKUP(AI162,'G-7 Rivers Data'!$AA$4:$AB$7,2,FALSE)))</f>
        <v/>
      </c>
      <c r="AK162" s="155"/>
      <c r="AL162" s="536" t="str">
        <f>IF(AK162="","",IF(VLOOKUP(AK162,'G-7 Rivers Data'!$AD$4:$AE$8,2,FALSE)=0,"Spatial Data Missing ⚠",VLOOKUP(AK162,'G-7 Rivers Data'!$AD$4:$AE$8,2,FALSE)))</f>
        <v/>
      </c>
      <c r="AM162" s="154"/>
      <c r="AN162" s="524" t="str">
        <f>IF(AM162="","",VLOOKUP(AM162,'G-7 Rivers Data'!$AO$4:$AP$7,2,FALSE))</f>
        <v/>
      </c>
      <c r="AO162" s="545" t="str">
        <f t="shared" si="23"/>
        <v/>
      </c>
      <c r="AP162" s="149"/>
      <c r="AQ162" s="150"/>
      <c r="AX162" s="31" t="str">
        <f>IFERROR(INDEX('G-7 Rivers Data'!$AZ$3:$AZ$7,MATCH(N162,'G-7 Rivers Data'!$AY$3:$AY$7,0)),"")</f>
        <v/>
      </c>
    </row>
    <row r="163" spans="2:50" ht="13.8" x14ac:dyDescent="0.25">
      <c r="B163" s="531" t="str">
        <f>'F-1 Off Site River Baseline'!AN161</f>
        <v/>
      </c>
      <c r="C163" s="520" t="str">
        <f>IF(B163="","",VLOOKUP($B163,'F-1 Off Site River Baseline'!$C$9:$R$257,2,FALSE))</f>
        <v/>
      </c>
      <c r="D163" s="520" t="str">
        <f>IF(C163="","",VLOOKUP($B163,'F-1 Off Site River Baseline'!$C$9:$R$257,3,FALSE))</f>
        <v/>
      </c>
      <c r="E163" s="520" t="str">
        <f>IF(D163="","",VLOOKUP($B163,'F-1 Off Site River Baseline'!$C$9:$R$257,4,FALSE))</f>
        <v/>
      </c>
      <c r="F163" s="520" t="str">
        <f>IF(E163="","",VLOOKUP($B163,'F-1 Off Site River Baseline'!$C$9:$R$257,5,FALSE))</f>
        <v/>
      </c>
      <c r="G163" s="520" t="str">
        <f>IF(F163="","",VLOOKUP($B163,'F-1 Off Site River Baseline'!$C$9:$R$257,6,FALSE))</f>
        <v/>
      </c>
      <c r="H163" s="520" t="str">
        <f>IF(G163="","",VLOOKUP($B163,'F-1 Off Site River Baseline'!$C$9:$R$257,7,FALSE))</f>
        <v/>
      </c>
      <c r="I163" s="520" t="str">
        <f>IF(H163="","",VLOOKUP($B163,'F-1 Off Site River Baseline'!$C$9:$R$257,8,FALSE))</f>
        <v/>
      </c>
      <c r="J163" s="520" t="str">
        <f>IF(I163="","",VLOOKUP($B163,'F-1 Off Site River Baseline'!$C$9:$R$257,9,FALSE))</f>
        <v/>
      </c>
      <c r="K163" s="520" t="str">
        <f>IF(J163="","",VLOOKUP($B163,'F-1 Off Site River Baseline'!$C$9:$R$257,10,FALSE))</f>
        <v/>
      </c>
      <c r="L163" s="520" t="str">
        <f>IF(B163="","",VLOOKUP($B163,'C-1 Site River Baseline'!$C$9:$R$257,15,FALSE))</f>
        <v/>
      </c>
      <c r="M163" s="524" t="str">
        <f>IF(L163="","",VLOOKUP($B163,'F-1 Off Site River Baseline'!$C$9:$R$257,16,FALSE))</f>
        <v/>
      </c>
      <c r="N163" s="418" t="str">
        <f t="shared" si="20"/>
        <v/>
      </c>
      <c r="O163" s="498" t="str">
        <f t="shared" si="21"/>
        <v/>
      </c>
      <c r="P163" s="499" t="str">
        <f>IF(C163="","",IF(AND(LEFT(C163,55)&lt;&gt;LEFT(N163,55),O163="High - High"),"Error - Not like for like ▲",IF(AND(F163=S163,H163&gt;U163),"Error - Can not reduce condition ▲",IF(AND(F163=S163,H163=U163,AJ163='F-1 Off Site River Baseline'!N161,'F-1 Off Site River Baseline'!P161=AL163),"Error - No enhancement ▲",IF(AND(C163&lt;&gt;N163,F163&lt;S163),"Lower Distinctiveness Habitat"&amp;" - "&amp;T163,G163&amp;" - "&amp;T163)))))</f>
        <v/>
      </c>
      <c r="Q163" s="505" t="str">
        <f>IF(N163="","",VLOOKUP(B163,'F-1 Off Site River Baseline'!$C$10:$AA$257,19,FALSE))</f>
        <v/>
      </c>
      <c r="R163" s="498" t="str">
        <f>IF(N163="","",VLOOKUP(N163,'G-7 Rivers Data'!$B$2:$G$8,2,FALSE))</f>
        <v/>
      </c>
      <c r="S163" s="499" t="str">
        <f>IFERROR(VLOOKUP(R163,'G-7 Rivers Data'!$C$4:$D$8,2,FALSE),"")</f>
        <v/>
      </c>
      <c r="T163" s="145"/>
      <c r="U163" s="499" t="str">
        <f>IFERROR(INDEX('G-7 Rivers Data'!$H$4:$L$8,MATCH(N163,'G-7 Rivers Data'!$B$4:$B$8,0),MATCH(T163,'G-7 Rivers Data'!$H$3:$L$3,0)),"")</f>
        <v/>
      </c>
      <c r="V163" s="154"/>
      <c r="W163" s="520" t="str">
        <f>IF(V163="","",IF(VLOOKUP(V163,'G-7 Rivers Data'!$AG$4:$AI$9,2,FALSE)=0,"Spatial Data Missing ⚠",VLOOKUP(V163,'G-7 Rivers Data'!$AG$4:$AI$9,2,FALSE)))</f>
        <v/>
      </c>
      <c r="X163" s="524" t="str">
        <f>IF(V163="","",IF(VLOOKUP(V163,'G-7 Rivers Data'!$AG$4:$AI$9,3,FALSE)=0,"Spatial Data Missing ⚠",VLOOKUP(V163,'G-7 Rivers Data'!$AG$4:$AI$9,3,FALSE)))</f>
        <v/>
      </c>
      <c r="Y163" s="537" t="str">
        <f>IFERROR(IF(OR(LEFT(P163,5)="Error ▲",LEFT(O163,5)="Error ▲"),"Check Data ⚠",IF(F163&lt;S163,'G-7 Rivers Data'!$R$3,INDEX('G-7 Rivers Data'!$U$5:$Y$9,MATCH(G163,'G-7 Rivers Data'!$T$5:$T$9,0),MATCH(T163,'G-7 Rivers Data'!$U$4:$Y$4,0)))),"")</f>
        <v/>
      </c>
      <c r="Z163" s="203"/>
      <c r="AA163" s="203"/>
      <c r="AB163" s="534" t="str">
        <f t="shared" si="16"/>
        <v/>
      </c>
      <c r="AC163" s="521" t="str">
        <f t="shared" si="17"/>
        <v/>
      </c>
      <c r="AD163" s="564" t="str">
        <f>IFERROR(IF(AC163="Check Data ⚠","Check Data ⚠",VLOOKUP(AC163,'G-4 Temporal multipliers'!$A$4:$C$37,3,FALSE)),"")</f>
        <v/>
      </c>
      <c r="AE163" s="537" t="str">
        <f>IF(N163="","",VLOOKUP(N163,'G-7 Rivers Data'!$B$4:$G$8,5,FALSE))</f>
        <v/>
      </c>
      <c r="AF163" s="520" t="str">
        <f t="shared" si="18"/>
        <v/>
      </c>
      <c r="AG163" s="520" t="str">
        <f t="shared" si="22"/>
        <v/>
      </c>
      <c r="AH163" s="524" t="str">
        <f t="shared" si="19"/>
        <v/>
      </c>
      <c r="AI163" s="145"/>
      <c r="AJ163" s="499" t="str">
        <f>IF(AI163="","",IF(VLOOKUP(AI163,'G-7 Rivers Data'!$AA$4:$AB$7,2,FALSE)=0,"Spatial Data Missing ⚠",VLOOKUP(AI163,'G-7 Rivers Data'!$AA$4:$AB$7,2,FALSE)))</f>
        <v/>
      </c>
      <c r="AK163" s="155"/>
      <c r="AL163" s="536" t="str">
        <f>IF(AK163="","",IF(VLOOKUP(AK163,'G-7 Rivers Data'!$AD$4:$AE$8,2,FALSE)=0,"Spatial Data Missing ⚠",VLOOKUP(AK163,'G-7 Rivers Data'!$AD$4:$AE$8,2,FALSE)))</f>
        <v/>
      </c>
      <c r="AM163" s="154"/>
      <c r="AN163" s="524" t="str">
        <f>IF(AM163="","",VLOOKUP(AM163,'G-7 Rivers Data'!$AO$4:$AP$7,2,FALSE))</f>
        <v/>
      </c>
      <c r="AO163" s="545" t="str">
        <f t="shared" si="23"/>
        <v/>
      </c>
      <c r="AP163" s="149"/>
      <c r="AQ163" s="150"/>
      <c r="AX163" s="31" t="str">
        <f>IFERROR(INDEX('G-7 Rivers Data'!$AZ$3:$AZ$7,MATCH(N163,'G-7 Rivers Data'!$AY$3:$AY$7,0)),"")</f>
        <v/>
      </c>
    </row>
    <row r="164" spans="2:50" ht="13.8" x14ac:dyDescent="0.25">
      <c r="B164" s="531" t="str">
        <f>'F-1 Off Site River Baseline'!AN162</f>
        <v/>
      </c>
      <c r="C164" s="520" t="str">
        <f>IF(B164="","",VLOOKUP($B164,'F-1 Off Site River Baseline'!$C$9:$R$257,2,FALSE))</f>
        <v/>
      </c>
      <c r="D164" s="520" t="str">
        <f>IF(C164="","",VLOOKUP($B164,'F-1 Off Site River Baseline'!$C$9:$R$257,3,FALSE))</f>
        <v/>
      </c>
      <c r="E164" s="520" t="str">
        <f>IF(D164="","",VLOOKUP($B164,'F-1 Off Site River Baseline'!$C$9:$R$257,4,FALSE))</f>
        <v/>
      </c>
      <c r="F164" s="520" t="str">
        <f>IF(E164="","",VLOOKUP($B164,'F-1 Off Site River Baseline'!$C$9:$R$257,5,FALSE))</f>
        <v/>
      </c>
      <c r="G164" s="520" t="str">
        <f>IF(F164="","",VLOOKUP($B164,'F-1 Off Site River Baseline'!$C$9:$R$257,6,FALSE))</f>
        <v/>
      </c>
      <c r="H164" s="520" t="str">
        <f>IF(G164="","",VLOOKUP($B164,'F-1 Off Site River Baseline'!$C$9:$R$257,7,FALSE))</f>
        <v/>
      </c>
      <c r="I164" s="520" t="str">
        <f>IF(H164="","",VLOOKUP($B164,'F-1 Off Site River Baseline'!$C$9:$R$257,8,FALSE))</f>
        <v/>
      </c>
      <c r="J164" s="520" t="str">
        <f>IF(I164="","",VLOOKUP($B164,'F-1 Off Site River Baseline'!$C$9:$R$257,9,FALSE))</f>
        <v/>
      </c>
      <c r="K164" s="520" t="str">
        <f>IF(J164="","",VLOOKUP($B164,'F-1 Off Site River Baseline'!$C$9:$R$257,10,FALSE))</f>
        <v/>
      </c>
      <c r="L164" s="520" t="str">
        <f>IF(B164="","",VLOOKUP($B164,'C-1 Site River Baseline'!$C$9:$R$257,15,FALSE))</f>
        <v/>
      </c>
      <c r="M164" s="524" t="str">
        <f>IF(L164="","",VLOOKUP($B164,'F-1 Off Site River Baseline'!$C$9:$R$257,16,FALSE))</f>
        <v/>
      </c>
      <c r="N164" s="418" t="str">
        <f t="shared" si="20"/>
        <v/>
      </c>
      <c r="O164" s="498" t="str">
        <f t="shared" si="21"/>
        <v/>
      </c>
      <c r="P164" s="499" t="str">
        <f>IF(C164="","",IF(AND(LEFT(C164,55)&lt;&gt;LEFT(N164,55),O164="High - High"),"Error - Not like for like ▲",IF(AND(F164=S164,H164&gt;U164),"Error - Can not reduce condition ▲",IF(AND(F164=S164,H164=U164,AJ164='F-1 Off Site River Baseline'!N162,'F-1 Off Site River Baseline'!P162=AL164),"Error - No enhancement ▲",IF(AND(C164&lt;&gt;N164,F164&lt;S164),"Lower Distinctiveness Habitat"&amp;" - "&amp;T164,G164&amp;" - "&amp;T164)))))</f>
        <v/>
      </c>
      <c r="Q164" s="505" t="str">
        <f>IF(N164="","",VLOOKUP(B164,'F-1 Off Site River Baseline'!$C$10:$AA$257,19,FALSE))</f>
        <v/>
      </c>
      <c r="R164" s="498" t="str">
        <f>IF(N164="","",VLOOKUP(N164,'G-7 Rivers Data'!$B$2:$G$8,2,FALSE))</f>
        <v/>
      </c>
      <c r="S164" s="499" t="str">
        <f>IFERROR(VLOOKUP(R164,'G-7 Rivers Data'!$C$4:$D$8,2,FALSE),"")</f>
        <v/>
      </c>
      <c r="T164" s="145"/>
      <c r="U164" s="499" t="str">
        <f>IFERROR(INDEX('G-7 Rivers Data'!$H$4:$L$8,MATCH(N164,'G-7 Rivers Data'!$B$4:$B$8,0),MATCH(T164,'G-7 Rivers Data'!$H$3:$L$3,0)),"")</f>
        <v/>
      </c>
      <c r="V164" s="154"/>
      <c r="W164" s="520" t="str">
        <f>IF(V164="","",IF(VLOOKUP(V164,'G-7 Rivers Data'!$AG$4:$AI$9,2,FALSE)=0,"Spatial Data Missing ⚠",VLOOKUP(V164,'G-7 Rivers Data'!$AG$4:$AI$9,2,FALSE)))</f>
        <v/>
      </c>
      <c r="X164" s="524" t="str">
        <f>IF(V164="","",IF(VLOOKUP(V164,'G-7 Rivers Data'!$AG$4:$AI$9,3,FALSE)=0,"Spatial Data Missing ⚠",VLOOKUP(V164,'G-7 Rivers Data'!$AG$4:$AI$9,3,FALSE)))</f>
        <v/>
      </c>
      <c r="Y164" s="537" t="str">
        <f>IFERROR(IF(OR(LEFT(P164,5)="Error ▲",LEFT(O164,5)="Error ▲"),"Check Data ⚠",IF(F164&lt;S164,'G-7 Rivers Data'!$R$3,INDEX('G-7 Rivers Data'!$U$5:$Y$9,MATCH(G164,'G-7 Rivers Data'!$T$5:$T$9,0),MATCH(T164,'G-7 Rivers Data'!$U$4:$Y$4,0)))),"")</f>
        <v/>
      </c>
      <c r="Z164" s="203"/>
      <c r="AA164" s="203"/>
      <c r="AB164" s="534" t="str">
        <f t="shared" si="16"/>
        <v/>
      </c>
      <c r="AC164" s="521" t="str">
        <f t="shared" si="17"/>
        <v/>
      </c>
      <c r="AD164" s="564" t="str">
        <f>IFERROR(IF(AC164="Check Data ⚠","Check Data ⚠",VLOOKUP(AC164,'G-4 Temporal multipliers'!$A$4:$C$37,3,FALSE)),"")</f>
        <v/>
      </c>
      <c r="AE164" s="537" t="str">
        <f>IF(N164="","",VLOOKUP(N164,'G-7 Rivers Data'!$B$4:$G$8,5,FALSE))</f>
        <v/>
      </c>
      <c r="AF164" s="520" t="str">
        <f t="shared" si="18"/>
        <v/>
      </c>
      <c r="AG164" s="520" t="str">
        <f t="shared" si="22"/>
        <v/>
      </c>
      <c r="AH164" s="524" t="str">
        <f t="shared" si="19"/>
        <v/>
      </c>
      <c r="AI164" s="145"/>
      <c r="AJ164" s="499" t="str">
        <f>IF(AI164="","",IF(VLOOKUP(AI164,'G-7 Rivers Data'!$AA$4:$AB$7,2,FALSE)=0,"Spatial Data Missing ⚠",VLOOKUP(AI164,'G-7 Rivers Data'!$AA$4:$AB$7,2,FALSE)))</f>
        <v/>
      </c>
      <c r="AK164" s="155"/>
      <c r="AL164" s="536" t="str">
        <f>IF(AK164="","",IF(VLOOKUP(AK164,'G-7 Rivers Data'!$AD$4:$AE$8,2,FALSE)=0,"Spatial Data Missing ⚠",VLOOKUP(AK164,'G-7 Rivers Data'!$AD$4:$AE$8,2,FALSE)))</f>
        <v/>
      </c>
      <c r="AM164" s="154"/>
      <c r="AN164" s="524" t="str">
        <f>IF(AM164="","",VLOOKUP(AM164,'G-7 Rivers Data'!$AO$4:$AP$7,2,FALSE))</f>
        <v/>
      </c>
      <c r="AO164" s="545" t="str">
        <f t="shared" si="23"/>
        <v/>
      </c>
      <c r="AP164" s="149"/>
      <c r="AQ164" s="150"/>
      <c r="AX164" s="31" t="str">
        <f>IFERROR(INDEX('G-7 Rivers Data'!$AZ$3:$AZ$7,MATCH(N164,'G-7 Rivers Data'!$AY$3:$AY$7,0)),"")</f>
        <v/>
      </c>
    </row>
    <row r="165" spans="2:50" ht="13.8" x14ac:dyDescent="0.25">
      <c r="B165" s="531" t="str">
        <f>'F-1 Off Site River Baseline'!AN163</f>
        <v/>
      </c>
      <c r="C165" s="520" t="str">
        <f>IF(B165="","",VLOOKUP($B165,'F-1 Off Site River Baseline'!$C$9:$R$257,2,FALSE))</f>
        <v/>
      </c>
      <c r="D165" s="520" t="str">
        <f>IF(C165="","",VLOOKUP($B165,'F-1 Off Site River Baseline'!$C$9:$R$257,3,FALSE))</f>
        <v/>
      </c>
      <c r="E165" s="520" t="str">
        <f>IF(D165="","",VLOOKUP($B165,'F-1 Off Site River Baseline'!$C$9:$R$257,4,FALSE))</f>
        <v/>
      </c>
      <c r="F165" s="520" t="str">
        <f>IF(E165="","",VLOOKUP($B165,'F-1 Off Site River Baseline'!$C$9:$R$257,5,FALSE))</f>
        <v/>
      </c>
      <c r="G165" s="520" t="str">
        <f>IF(F165="","",VLOOKUP($B165,'F-1 Off Site River Baseline'!$C$9:$R$257,6,FALSE))</f>
        <v/>
      </c>
      <c r="H165" s="520" t="str">
        <f>IF(G165="","",VLOOKUP($B165,'F-1 Off Site River Baseline'!$C$9:$R$257,7,FALSE))</f>
        <v/>
      </c>
      <c r="I165" s="520" t="str">
        <f>IF(H165="","",VLOOKUP($B165,'F-1 Off Site River Baseline'!$C$9:$R$257,8,FALSE))</f>
        <v/>
      </c>
      <c r="J165" s="520" t="str">
        <f>IF(I165="","",VLOOKUP($B165,'F-1 Off Site River Baseline'!$C$9:$R$257,9,FALSE))</f>
        <v/>
      </c>
      <c r="K165" s="520" t="str">
        <f>IF(J165="","",VLOOKUP($B165,'F-1 Off Site River Baseline'!$C$9:$R$257,10,FALSE))</f>
        <v/>
      </c>
      <c r="L165" s="520" t="str">
        <f>IF(B165="","",VLOOKUP($B165,'C-1 Site River Baseline'!$C$9:$R$257,15,FALSE))</f>
        <v/>
      </c>
      <c r="M165" s="524" t="str">
        <f>IF(L165="","",VLOOKUP($B165,'F-1 Off Site River Baseline'!$C$9:$R$257,16,FALSE))</f>
        <v/>
      </c>
      <c r="N165" s="418" t="str">
        <f t="shared" si="20"/>
        <v/>
      </c>
      <c r="O165" s="498" t="str">
        <f t="shared" si="21"/>
        <v/>
      </c>
      <c r="P165" s="499" t="str">
        <f>IF(C165="","",IF(AND(LEFT(C165,55)&lt;&gt;LEFT(N165,55),O165="High - High"),"Error - Not like for like ▲",IF(AND(F165=S165,H165&gt;U165),"Error - Can not reduce condition ▲",IF(AND(F165=S165,H165=U165,AJ165='F-1 Off Site River Baseline'!N163,'F-1 Off Site River Baseline'!P163=AL165),"Error - No enhancement ▲",IF(AND(C165&lt;&gt;N165,F165&lt;S165),"Lower Distinctiveness Habitat"&amp;" - "&amp;T165,G165&amp;" - "&amp;T165)))))</f>
        <v/>
      </c>
      <c r="Q165" s="505" t="str">
        <f>IF(N165="","",VLOOKUP(B165,'F-1 Off Site River Baseline'!$C$10:$AA$257,19,FALSE))</f>
        <v/>
      </c>
      <c r="R165" s="498" t="str">
        <f>IF(N165="","",VLOOKUP(N165,'G-7 Rivers Data'!$B$2:$G$8,2,FALSE))</f>
        <v/>
      </c>
      <c r="S165" s="499" t="str">
        <f>IFERROR(VLOOKUP(R165,'G-7 Rivers Data'!$C$4:$D$8,2,FALSE),"")</f>
        <v/>
      </c>
      <c r="T165" s="145"/>
      <c r="U165" s="499" t="str">
        <f>IFERROR(INDEX('G-7 Rivers Data'!$H$4:$L$8,MATCH(N165,'G-7 Rivers Data'!$B$4:$B$8,0),MATCH(T165,'G-7 Rivers Data'!$H$3:$L$3,0)),"")</f>
        <v/>
      </c>
      <c r="V165" s="154"/>
      <c r="W165" s="520" t="str">
        <f>IF(V165="","",IF(VLOOKUP(V165,'G-7 Rivers Data'!$AG$4:$AI$9,2,FALSE)=0,"Spatial Data Missing ⚠",VLOOKUP(V165,'G-7 Rivers Data'!$AG$4:$AI$9,2,FALSE)))</f>
        <v/>
      </c>
      <c r="X165" s="524" t="str">
        <f>IF(V165="","",IF(VLOOKUP(V165,'G-7 Rivers Data'!$AG$4:$AI$9,3,FALSE)=0,"Spatial Data Missing ⚠",VLOOKUP(V165,'G-7 Rivers Data'!$AG$4:$AI$9,3,FALSE)))</f>
        <v/>
      </c>
      <c r="Y165" s="537" t="str">
        <f>IFERROR(IF(OR(LEFT(P165,5)="Error ▲",LEFT(O165,5)="Error ▲"),"Check Data ⚠",IF(F165&lt;S165,'G-7 Rivers Data'!$R$3,INDEX('G-7 Rivers Data'!$U$5:$Y$9,MATCH(G165,'G-7 Rivers Data'!$T$5:$T$9,0),MATCH(T165,'G-7 Rivers Data'!$U$4:$Y$4,0)))),"")</f>
        <v/>
      </c>
      <c r="Z165" s="203"/>
      <c r="AA165" s="203"/>
      <c r="AB165" s="534" t="str">
        <f t="shared" si="16"/>
        <v/>
      </c>
      <c r="AC165" s="521" t="str">
        <f t="shared" si="17"/>
        <v/>
      </c>
      <c r="AD165" s="564" t="str">
        <f>IFERROR(IF(AC165="Check Data ⚠","Check Data ⚠",VLOOKUP(AC165,'G-4 Temporal multipliers'!$A$4:$C$37,3,FALSE)),"")</f>
        <v/>
      </c>
      <c r="AE165" s="537" t="str">
        <f>IF(N165="","",VLOOKUP(N165,'G-7 Rivers Data'!$B$4:$G$8,5,FALSE))</f>
        <v/>
      </c>
      <c r="AF165" s="520" t="str">
        <f t="shared" si="18"/>
        <v/>
      </c>
      <c r="AG165" s="520" t="str">
        <f t="shared" si="22"/>
        <v/>
      </c>
      <c r="AH165" s="524" t="str">
        <f t="shared" si="19"/>
        <v/>
      </c>
      <c r="AI165" s="145"/>
      <c r="AJ165" s="499" t="str">
        <f>IF(AI165="","",IF(VLOOKUP(AI165,'G-7 Rivers Data'!$AA$4:$AB$7,2,FALSE)=0,"Spatial Data Missing ⚠",VLOOKUP(AI165,'G-7 Rivers Data'!$AA$4:$AB$7,2,FALSE)))</f>
        <v/>
      </c>
      <c r="AK165" s="155"/>
      <c r="AL165" s="536" t="str">
        <f>IF(AK165="","",IF(VLOOKUP(AK165,'G-7 Rivers Data'!$AD$4:$AE$8,2,FALSE)=0,"Spatial Data Missing ⚠",VLOOKUP(AK165,'G-7 Rivers Data'!$AD$4:$AE$8,2,FALSE)))</f>
        <v/>
      </c>
      <c r="AM165" s="154"/>
      <c r="AN165" s="524" t="str">
        <f>IF(AM165="","",VLOOKUP(AM165,'G-7 Rivers Data'!$AO$4:$AP$7,2,FALSE))</f>
        <v/>
      </c>
      <c r="AO165" s="545" t="str">
        <f t="shared" si="23"/>
        <v/>
      </c>
      <c r="AP165" s="149"/>
      <c r="AQ165" s="150"/>
      <c r="AX165" s="31" t="str">
        <f>IFERROR(INDEX('G-7 Rivers Data'!$AZ$3:$AZ$7,MATCH(N165,'G-7 Rivers Data'!$AY$3:$AY$7,0)),"")</f>
        <v/>
      </c>
    </row>
    <row r="166" spans="2:50" ht="13.8" x14ac:dyDescent="0.25">
      <c r="B166" s="531" t="str">
        <f>'F-1 Off Site River Baseline'!AN164</f>
        <v/>
      </c>
      <c r="C166" s="520" t="str">
        <f>IF(B166="","",VLOOKUP($B166,'F-1 Off Site River Baseline'!$C$9:$R$257,2,FALSE))</f>
        <v/>
      </c>
      <c r="D166" s="520" t="str">
        <f>IF(C166="","",VLOOKUP($B166,'F-1 Off Site River Baseline'!$C$9:$R$257,3,FALSE))</f>
        <v/>
      </c>
      <c r="E166" s="520" t="str">
        <f>IF(D166="","",VLOOKUP($B166,'F-1 Off Site River Baseline'!$C$9:$R$257,4,FALSE))</f>
        <v/>
      </c>
      <c r="F166" s="520" t="str">
        <f>IF(E166="","",VLOOKUP($B166,'F-1 Off Site River Baseline'!$C$9:$R$257,5,FALSE))</f>
        <v/>
      </c>
      <c r="G166" s="520" t="str">
        <f>IF(F166="","",VLOOKUP($B166,'F-1 Off Site River Baseline'!$C$9:$R$257,6,FALSE))</f>
        <v/>
      </c>
      <c r="H166" s="520" t="str">
        <f>IF(G166="","",VLOOKUP($B166,'F-1 Off Site River Baseline'!$C$9:$R$257,7,FALSE))</f>
        <v/>
      </c>
      <c r="I166" s="520" t="str">
        <f>IF(H166="","",VLOOKUP($B166,'F-1 Off Site River Baseline'!$C$9:$R$257,8,FALSE))</f>
        <v/>
      </c>
      <c r="J166" s="520" t="str">
        <f>IF(I166="","",VLOOKUP($B166,'F-1 Off Site River Baseline'!$C$9:$R$257,9,FALSE))</f>
        <v/>
      </c>
      <c r="K166" s="520" t="str">
        <f>IF(J166="","",VLOOKUP($B166,'F-1 Off Site River Baseline'!$C$9:$R$257,10,FALSE))</f>
        <v/>
      </c>
      <c r="L166" s="520" t="str">
        <f>IF(B166="","",VLOOKUP($B166,'C-1 Site River Baseline'!$C$9:$R$257,15,FALSE))</f>
        <v/>
      </c>
      <c r="M166" s="524" t="str">
        <f>IF(L166="","",VLOOKUP($B166,'F-1 Off Site River Baseline'!$C$9:$R$257,16,FALSE))</f>
        <v/>
      </c>
      <c r="N166" s="418" t="str">
        <f t="shared" si="20"/>
        <v/>
      </c>
      <c r="O166" s="498" t="str">
        <f t="shared" si="21"/>
        <v/>
      </c>
      <c r="P166" s="499" t="str">
        <f>IF(C166="","",IF(AND(LEFT(C166,55)&lt;&gt;LEFT(N166,55),O166="High - High"),"Error - Not like for like ▲",IF(AND(F166=S166,H166&gt;U166),"Error - Can not reduce condition ▲",IF(AND(F166=S166,H166=U166,AJ166='F-1 Off Site River Baseline'!N164,'F-1 Off Site River Baseline'!P164=AL166),"Error - No enhancement ▲",IF(AND(C166&lt;&gt;N166,F166&lt;S166),"Lower Distinctiveness Habitat"&amp;" - "&amp;T166,G166&amp;" - "&amp;T166)))))</f>
        <v/>
      </c>
      <c r="Q166" s="505" t="str">
        <f>IF(N166="","",VLOOKUP(B166,'F-1 Off Site River Baseline'!$C$10:$AA$257,19,FALSE))</f>
        <v/>
      </c>
      <c r="R166" s="498" t="str">
        <f>IF(N166="","",VLOOKUP(N166,'G-7 Rivers Data'!$B$2:$G$8,2,FALSE))</f>
        <v/>
      </c>
      <c r="S166" s="499" t="str">
        <f>IFERROR(VLOOKUP(R166,'G-7 Rivers Data'!$C$4:$D$8,2,FALSE),"")</f>
        <v/>
      </c>
      <c r="T166" s="145"/>
      <c r="U166" s="499" t="str">
        <f>IFERROR(INDEX('G-7 Rivers Data'!$H$4:$L$8,MATCH(N166,'G-7 Rivers Data'!$B$4:$B$8,0),MATCH(T166,'G-7 Rivers Data'!$H$3:$L$3,0)),"")</f>
        <v/>
      </c>
      <c r="V166" s="154"/>
      <c r="W166" s="520" t="str">
        <f>IF(V166="","",IF(VLOOKUP(V166,'G-7 Rivers Data'!$AG$4:$AI$9,2,FALSE)=0,"Spatial Data Missing ⚠",VLOOKUP(V166,'G-7 Rivers Data'!$AG$4:$AI$9,2,FALSE)))</f>
        <v/>
      </c>
      <c r="X166" s="524" t="str">
        <f>IF(V166="","",IF(VLOOKUP(V166,'G-7 Rivers Data'!$AG$4:$AI$9,3,FALSE)=0,"Spatial Data Missing ⚠",VLOOKUP(V166,'G-7 Rivers Data'!$AG$4:$AI$9,3,FALSE)))</f>
        <v/>
      </c>
      <c r="Y166" s="537" t="str">
        <f>IFERROR(IF(OR(LEFT(P166,5)="Error ▲",LEFT(O166,5)="Error ▲"),"Check Data ⚠",IF(F166&lt;S166,'G-7 Rivers Data'!$R$3,INDEX('G-7 Rivers Data'!$U$5:$Y$9,MATCH(G166,'G-7 Rivers Data'!$T$5:$T$9,0),MATCH(T166,'G-7 Rivers Data'!$U$4:$Y$4,0)))),"")</f>
        <v/>
      </c>
      <c r="Z166" s="203"/>
      <c r="AA166" s="203"/>
      <c r="AB166" s="534" t="str">
        <f t="shared" si="16"/>
        <v/>
      </c>
      <c r="AC166" s="521" t="str">
        <f t="shared" si="17"/>
        <v/>
      </c>
      <c r="AD166" s="564" t="str">
        <f>IFERROR(IF(AC166="Check Data ⚠","Check Data ⚠",VLOOKUP(AC166,'G-4 Temporal multipliers'!$A$4:$C$37,3,FALSE)),"")</f>
        <v/>
      </c>
      <c r="AE166" s="537" t="str">
        <f>IF(N166="","",VLOOKUP(N166,'G-7 Rivers Data'!$B$4:$G$8,5,FALSE))</f>
        <v/>
      </c>
      <c r="AF166" s="520" t="str">
        <f t="shared" si="18"/>
        <v/>
      </c>
      <c r="AG166" s="520" t="str">
        <f t="shared" si="22"/>
        <v/>
      </c>
      <c r="AH166" s="524" t="str">
        <f t="shared" si="19"/>
        <v/>
      </c>
      <c r="AI166" s="145"/>
      <c r="AJ166" s="499" t="str">
        <f>IF(AI166="","",IF(VLOOKUP(AI166,'G-7 Rivers Data'!$AA$4:$AB$7,2,FALSE)=0,"Spatial Data Missing ⚠",VLOOKUP(AI166,'G-7 Rivers Data'!$AA$4:$AB$7,2,FALSE)))</f>
        <v/>
      </c>
      <c r="AK166" s="155"/>
      <c r="AL166" s="536" t="str">
        <f>IF(AK166="","",IF(VLOOKUP(AK166,'G-7 Rivers Data'!$AD$4:$AE$8,2,FALSE)=0,"Spatial Data Missing ⚠",VLOOKUP(AK166,'G-7 Rivers Data'!$AD$4:$AE$8,2,FALSE)))</f>
        <v/>
      </c>
      <c r="AM166" s="154"/>
      <c r="AN166" s="524" t="str">
        <f>IF(AM166="","",VLOOKUP(AM166,'G-7 Rivers Data'!$AO$4:$AP$7,2,FALSE))</f>
        <v/>
      </c>
      <c r="AO166" s="545" t="str">
        <f t="shared" si="23"/>
        <v/>
      </c>
      <c r="AP166" s="149"/>
      <c r="AQ166" s="150"/>
      <c r="AX166" s="31" t="str">
        <f>IFERROR(INDEX('G-7 Rivers Data'!$AZ$3:$AZ$7,MATCH(N166,'G-7 Rivers Data'!$AY$3:$AY$7,0)),"")</f>
        <v/>
      </c>
    </row>
    <row r="167" spans="2:50" ht="13.8" x14ac:dyDescent="0.25">
      <c r="B167" s="531" t="str">
        <f>'F-1 Off Site River Baseline'!AN165</f>
        <v/>
      </c>
      <c r="C167" s="520" t="str">
        <f>IF(B167="","",VLOOKUP($B167,'F-1 Off Site River Baseline'!$C$9:$R$257,2,FALSE))</f>
        <v/>
      </c>
      <c r="D167" s="520" t="str">
        <f>IF(C167="","",VLOOKUP($B167,'F-1 Off Site River Baseline'!$C$9:$R$257,3,FALSE))</f>
        <v/>
      </c>
      <c r="E167" s="520" t="str">
        <f>IF(D167="","",VLOOKUP($B167,'F-1 Off Site River Baseline'!$C$9:$R$257,4,FALSE))</f>
        <v/>
      </c>
      <c r="F167" s="520" t="str">
        <f>IF(E167="","",VLOOKUP($B167,'F-1 Off Site River Baseline'!$C$9:$R$257,5,FALSE))</f>
        <v/>
      </c>
      <c r="G167" s="520" t="str">
        <f>IF(F167="","",VLOOKUP($B167,'F-1 Off Site River Baseline'!$C$9:$R$257,6,FALSE))</f>
        <v/>
      </c>
      <c r="H167" s="520" t="str">
        <f>IF(G167="","",VLOOKUP($B167,'F-1 Off Site River Baseline'!$C$9:$R$257,7,FALSE))</f>
        <v/>
      </c>
      <c r="I167" s="520" t="str">
        <f>IF(H167="","",VLOOKUP($B167,'F-1 Off Site River Baseline'!$C$9:$R$257,8,FALSE))</f>
        <v/>
      </c>
      <c r="J167" s="520" t="str">
        <f>IF(I167="","",VLOOKUP($B167,'F-1 Off Site River Baseline'!$C$9:$R$257,9,FALSE))</f>
        <v/>
      </c>
      <c r="K167" s="520" t="str">
        <f>IF(J167="","",VLOOKUP($B167,'F-1 Off Site River Baseline'!$C$9:$R$257,10,FALSE))</f>
        <v/>
      </c>
      <c r="L167" s="520" t="str">
        <f>IF(B167="","",VLOOKUP($B167,'C-1 Site River Baseline'!$C$9:$R$257,15,FALSE))</f>
        <v/>
      </c>
      <c r="M167" s="524" t="str">
        <f>IF(L167="","",VLOOKUP($B167,'F-1 Off Site River Baseline'!$C$9:$R$257,16,FALSE))</f>
        <v/>
      </c>
      <c r="N167" s="418" t="str">
        <f t="shared" si="20"/>
        <v/>
      </c>
      <c r="O167" s="498" t="str">
        <f t="shared" si="21"/>
        <v/>
      </c>
      <c r="P167" s="499" t="str">
        <f>IF(C167="","",IF(AND(LEFT(C167,55)&lt;&gt;LEFT(N167,55),O167="High - High"),"Error - Not like for like ▲",IF(AND(F167=S167,H167&gt;U167),"Error - Can not reduce condition ▲",IF(AND(F167=S167,H167=U167,AJ167='F-1 Off Site River Baseline'!N165,'F-1 Off Site River Baseline'!P165=AL167),"Error - No enhancement ▲",IF(AND(C167&lt;&gt;N167,F167&lt;S167),"Lower Distinctiveness Habitat"&amp;" - "&amp;T167,G167&amp;" - "&amp;T167)))))</f>
        <v/>
      </c>
      <c r="Q167" s="505" t="str">
        <f>IF(N167="","",VLOOKUP(B167,'F-1 Off Site River Baseline'!$C$10:$AA$257,19,FALSE))</f>
        <v/>
      </c>
      <c r="R167" s="498" t="str">
        <f>IF(N167="","",VLOOKUP(N167,'G-7 Rivers Data'!$B$2:$G$8,2,FALSE))</f>
        <v/>
      </c>
      <c r="S167" s="499" t="str">
        <f>IFERROR(VLOOKUP(R167,'G-7 Rivers Data'!$C$4:$D$8,2,FALSE),"")</f>
        <v/>
      </c>
      <c r="T167" s="145"/>
      <c r="U167" s="499" t="str">
        <f>IFERROR(INDEX('G-7 Rivers Data'!$H$4:$L$8,MATCH(N167,'G-7 Rivers Data'!$B$4:$B$8,0),MATCH(T167,'G-7 Rivers Data'!$H$3:$L$3,0)),"")</f>
        <v/>
      </c>
      <c r="V167" s="154"/>
      <c r="W167" s="520" t="str">
        <f>IF(V167="","",IF(VLOOKUP(V167,'G-7 Rivers Data'!$AG$4:$AI$9,2,FALSE)=0,"Spatial Data Missing ⚠",VLOOKUP(V167,'G-7 Rivers Data'!$AG$4:$AI$9,2,FALSE)))</f>
        <v/>
      </c>
      <c r="X167" s="524" t="str">
        <f>IF(V167="","",IF(VLOOKUP(V167,'G-7 Rivers Data'!$AG$4:$AI$9,3,FALSE)=0,"Spatial Data Missing ⚠",VLOOKUP(V167,'G-7 Rivers Data'!$AG$4:$AI$9,3,FALSE)))</f>
        <v/>
      </c>
      <c r="Y167" s="537" t="str">
        <f>IFERROR(IF(OR(LEFT(P167,5)="Error ▲",LEFT(O167,5)="Error ▲"),"Check Data ⚠",IF(F167&lt;S167,'G-7 Rivers Data'!$R$3,INDEX('G-7 Rivers Data'!$U$5:$Y$9,MATCH(G167,'G-7 Rivers Data'!$T$5:$T$9,0),MATCH(T167,'G-7 Rivers Data'!$U$4:$Y$4,0)))),"")</f>
        <v/>
      </c>
      <c r="Z167" s="203"/>
      <c r="AA167" s="203"/>
      <c r="AB167" s="534" t="str">
        <f t="shared" si="16"/>
        <v/>
      </c>
      <c r="AC167" s="521" t="str">
        <f t="shared" si="17"/>
        <v/>
      </c>
      <c r="AD167" s="564" t="str">
        <f>IFERROR(IF(AC167="Check Data ⚠","Check Data ⚠",VLOOKUP(AC167,'G-4 Temporal multipliers'!$A$4:$C$37,3,FALSE)),"")</f>
        <v/>
      </c>
      <c r="AE167" s="537" t="str">
        <f>IF(N167="","",VLOOKUP(N167,'G-7 Rivers Data'!$B$4:$G$8,5,FALSE))</f>
        <v/>
      </c>
      <c r="AF167" s="520" t="str">
        <f t="shared" si="18"/>
        <v/>
      </c>
      <c r="AG167" s="520" t="str">
        <f t="shared" si="22"/>
        <v/>
      </c>
      <c r="AH167" s="524" t="str">
        <f t="shared" si="19"/>
        <v/>
      </c>
      <c r="AI167" s="145"/>
      <c r="AJ167" s="499" t="str">
        <f>IF(AI167="","",IF(VLOOKUP(AI167,'G-7 Rivers Data'!$AA$4:$AB$7,2,FALSE)=0,"Spatial Data Missing ⚠",VLOOKUP(AI167,'G-7 Rivers Data'!$AA$4:$AB$7,2,FALSE)))</f>
        <v/>
      </c>
      <c r="AK167" s="155"/>
      <c r="AL167" s="536" t="str">
        <f>IF(AK167="","",IF(VLOOKUP(AK167,'G-7 Rivers Data'!$AD$4:$AE$8,2,FALSE)=0,"Spatial Data Missing ⚠",VLOOKUP(AK167,'G-7 Rivers Data'!$AD$4:$AE$8,2,FALSE)))</f>
        <v/>
      </c>
      <c r="AM167" s="154"/>
      <c r="AN167" s="524" t="str">
        <f>IF(AM167="","",VLOOKUP(AM167,'G-7 Rivers Data'!$AO$4:$AP$7,2,FALSE))</f>
        <v/>
      </c>
      <c r="AO167" s="545" t="str">
        <f t="shared" si="23"/>
        <v/>
      </c>
      <c r="AP167" s="149"/>
      <c r="AQ167" s="150"/>
      <c r="AX167" s="31" t="str">
        <f>IFERROR(INDEX('G-7 Rivers Data'!$AZ$3:$AZ$7,MATCH(N167,'G-7 Rivers Data'!$AY$3:$AY$7,0)),"")</f>
        <v/>
      </c>
    </row>
    <row r="168" spans="2:50" ht="13.8" x14ac:dyDescent="0.25">
      <c r="B168" s="531" t="str">
        <f>'F-1 Off Site River Baseline'!AN166</f>
        <v/>
      </c>
      <c r="C168" s="520" t="str">
        <f>IF(B168="","",VLOOKUP($B168,'F-1 Off Site River Baseline'!$C$9:$R$257,2,FALSE))</f>
        <v/>
      </c>
      <c r="D168" s="520" t="str">
        <f>IF(C168="","",VLOOKUP($B168,'F-1 Off Site River Baseline'!$C$9:$R$257,3,FALSE))</f>
        <v/>
      </c>
      <c r="E168" s="520" t="str">
        <f>IF(D168="","",VLOOKUP($B168,'F-1 Off Site River Baseline'!$C$9:$R$257,4,FALSE))</f>
        <v/>
      </c>
      <c r="F168" s="520" t="str">
        <f>IF(E168="","",VLOOKUP($B168,'F-1 Off Site River Baseline'!$C$9:$R$257,5,FALSE))</f>
        <v/>
      </c>
      <c r="G168" s="520" t="str">
        <f>IF(F168="","",VLOOKUP($B168,'F-1 Off Site River Baseline'!$C$9:$R$257,6,FALSE))</f>
        <v/>
      </c>
      <c r="H168" s="520" t="str">
        <f>IF(G168="","",VLOOKUP($B168,'F-1 Off Site River Baseline'!$C$9:$R$257,7,FALSE))</f>
        <v/>
      </c>
      <c r="I168" s="520" t="str">
        <f>IF(H168="","",VLOOKUP($B168,'F-1 Off Site River Baseline'!$C$9:$R$257,8,FALSE))</f>
        <v/>
      </c>
      <c r="J168" s="520" t="str">
        <f>IF(I168="","",VLOOKUP($B168,'F-1 Off Site River Baseline'!$C$9:$R$257,9,FALSE))</f>
        <v/>
      </c>
      <c r="K168" s="520" t="str">
        <f>IF(J168="","",VLOOKUP($B168,'F-1 Off Site River Baseline'!$C$9:$R$257,10,FALSE))</f>
        <v/>
      </c>
      <c r="L168" s="520" t="str">
        <f>IF(B168="","",VLOOKUP($B168,'C-1 Site River Baseline'!$C$9:$R$257,15,FALSE))</f>
        <v/>
      </c>
      <c r="M168" s="524" t="str">
        <f>IF(L168="","",VLOOKUP($B168,'F-1 Off Site River Baseline'!$C$9:$R$257,16,FALSE))</f>
        <v/>
      </c>
      <c r="N168" s="418" t="str">
        <f t="shared" si="20"/>
        <v/>
      </c>
      <c r="O168" s="498" t="str">
        <f t="shared" si="21"/>
        <v/>
      </c>
      <c r="P168" s="499" t="str">
        <f>IF(C168="","",IF(AND(LEFT(C168,55)&lt;&gt;LEFT(N168,55),O168="High - High"),"Error - Not like for like ▲",IF(AND(F168=S168,H168&gt;U168),"Error - Can not reduce condition ▲",IF(AND(F168=S168,H168=U168,AJ168='F-1 Off Site River Baseline'!N166,'F-1 Off Site River Baseline'!P166=AL168),"Error - No enhancement ▲",IF(AND(C168&lt;&gt;N168,F168&lt;S168),"Lower Distinctiveness Habitat"&amp;" - "&amp;T168,G168&amp;" - "&amp;T168)))))</f>
        <v/>
      </c>
      <c r="Q168" s="505" t="str">
        <f>IF(N168="","",VLOOKUP(B168,'F-1 Off Site River Baseline'!$C$10:$AA$257,19,FALSE))</f>
        <v/>
      </c>
      <c r="R168" s="498" t="str">
        <f>IF(N168="","",VLOOKUP(N168,'G-7 Rivers Data'!$B$2:$G$8,2,FALSE))</f>
        <v/>
      </c>
      <c r="S168" s="499" t="str">
        <f>IFERROR(VLOOKUP(R168,'G-7 Rivers Data'!$C$4:$D$8,2,FALSE),"")</f>
        <v/>
      </c>
      <c r="T168" s="145"/>
      <c r="U168" s="499" t="str">
        <f>IFERROR(INDEX('G-7 Rivers Data'!$H$4:$L$8,MATCH(N168,'G-7 Rivers Data'!$B$4:$B$8,0),MATCH(T168,'G-7 Rivers Data'!$H$3:$L$3,0)),"")</f>
        <v/>
      </c>
      <c r="V168" s="154"/>
      <c r="W168" s="520" t="str">
        <f>IF(V168="","",IF(VLOOKUP(V168,'G-7 Rivers Data'!$AG$4:$AI$9,2,FALSE)=0,"Spatial Data Missing ⚠",VLOOKUP(V168,'G-7 Rivers Data'!$AG$4:$AI$9,2,FALSE)))</f>
        <v/>
      </c>
      <c r="X168" s="524" t="str">
        <f>IF(V168="","",IF(VLOOKUP(V168,'G-7 Rivers Data'!$AG$4:$AI$9,3,FALSE)=0,"Spatial Data Missing ⚠",VLOOKUP(V168,'G-7 Rivers Data'!$AG$4:$AI$9,3,FALSE)))</f>
        <v/>
      </c>
      <c r="Y168" s="537" t="str">
        <f>IFERROR(IF(OR(LEFT(P168,5)="Error ▲",LEFT(O168,5)="Error ▲"),"Check Data ⚠",IF(F168&lt;S168,'G-7 Rivers Data'!$R$3,INDEX('G-7 Rivers Data'!$U$5:$Y$9,MATCH(G168,'G-7 Rivers Data'!$T$5:$T$9,0),MATCH(T168,'G-7 Rivers Data'!$U$4:$Y$4,0)))),"")</f>
        <v/>
      </c>
      <c r="Z168" s="203"/>
      <c r="AA168" s="203"/>
      <c r="AB168" s="534" t="str">
        <f t="shared" si="16"/>
        <v/>
      </c>
      <c r="AC168" s="521" t="str">
        <f t="shared" si="17"/>
        <v/>
      </c>
      <c r="AD168" s="564" t="str">
        <f>IFERROR(IF(AC168="Check Data ⚠","Check Data ⚠",VLOOKUP(AC168,'G-4 Temporal multipliers'!$A$4:$C$37,3,FALSE)),"")</f>
        <v/>
      </c>
      <c r="AE168" s="537" t="str">
        <f>IF(N168="","",VLOOKUP(N168,'G-7 Rivers Data'!$B$4:$G$8,5,FALSE))</f>
        <v/>
      </c>
      <c r="AF168" s="520" t="str">
        <f t="shared" si="18"/>
        <v/>
      </c>
      <c r="AG168" s="520" t="str">
        <f t="shared" si="22"/>
        <v/>
      </c>
      <c r="AH168" s="524" t="str">
        <f t="shared" si="19"/>
        <v/>
      </c>
      <c r="AI168" s="145"/>
      <c r="AJ168" s="499" t="str">
        <f>IF(AI168="","",IF(VLOOKUP(AI168,'G-7 Rivers Data'!$AA$4:$AB$7,2,FALSE)=0,"Spatial Data Missing ⚠",VLOOKUP(AI168,'G-7 Rivers Data'!$AA$4:$AB$7,2,FALSE)))</f>
        <v/>
      </c>
      <c r="AK168" s="155"/>
      <c r="AL168" s="536" t="str">
        <f>IF(AK168="","",IF(VLOOKUP(AK168,'G-7 Rivers Data'!$AD$4:$AE$8,2,FALSE)=0,"Spatial Data Missing ⚠",VLOOKUP(AK168,'G-7 Rivers Data'!$AD$4:$AE$8,2,FALSE)))</f>
        <v/>
      </c>
      <c r="AM168" s="154"/>
      <c r="AN168" s="524" t="str">
        <f>IF(AM168="","",VLOOKUP(AM168,'G-7 Rivers Data'!$AO$4:$AP$7,2,FALSE))</f>
        <v/>
      </c>
      <c r="AO168" s="545" t="str">
        <f t="shared" si="23"/>
        <v/>
      </c>
      <c r="AP168" s="149"/>
      <c r="AQ168" s="150"/>
      <c r="AX168" s="31" t="str">
        <f>IFERROR(INDEX('G-7 Rivers Data'!$AZ$3:$AZ$7,MATCH(N168,'G-7 Rivers Data'!$AY$3:$AY$7,0)),"")</f>
        <v/>
      </c>
    </row>
    <row r="169" spans="2:50" ht="13.8" x14ac:dyDescent="0.25">
      <c r="B169" s="531" t="str">
        <f>'F-1 Off Site River Baseline'!AN167</f>
        <v/>
      </c>
      <c r="C169" s="520" t="str">
        <f>IF(B169="","",VLOOKUP($B169,'F-1 Off Site River Baseline'!$C$9:$R$257,2,FALSE))</f>
        <v/>
      </c>
      <c r="D169" s="520" t="str">
        <f>IF(C169="","",VLOOKUP($B169,'F-1 Off Site River Baseline'!$C$9:$R$257,3,FALSE))</f>
        <v/>
      </c>
      <c r="E169" s="520" t="str">
        <f>IF(D169="","",VLOOKUP($B169,'F-1 Off Site River Baseline'!$C$9:$R$257,4,FALSE))</f>
        <v/>
      </c>
      <c r="F169" s="520" t="str">
        <f>IF(E169="","",VLOOKUP($B169,'F-1 Off Site River Baseline'!$C$9:$R$257,5,FALSE))</f>
        <v/>
      </c>
      <c r="G169" s="520" t="str">
        <f>IF(F169="","",VLOOKUP($B169,'F-1 Off Site River Baseline'!$C$9:$R$257,6,FALSE))</f>
        <v/>
      </c>
      <c r="H169" s="520" t="str">
        <f>IF(G169="","",VLOOKUP($B169,'F-1 Off Site River Baseline'!$C$9:$R$257,7,FALSE))</f>
        <v/>
      </c>
      <c r="I169" s="520" t="str">
        <f>IF(H169="","",VLOOKUP($B169,'F-1 Off Site River Baseline'!$C$9:$R$257,8,FALSE))</f>
        <v/>
      </c>
      <c r="J169" s="520" t="str">
        <f>IF(I169="","",VLOOKUP($B169,'F-1 Off Site River Baseline'!$C$9:$R$257,9,FALSE))</f>
        <v/>
      </c>
      <c r="K169" s="520" t="str">
        <f>IF(J169="","",VLOOKUP($B169,'F-1 Off Site River Baseline'!$C$9:$R$257,10,FALSE))</f>
        <v/>
      </c>
      <c r="L169" s="520" t="str">
        <f>IF(B169="","",VLOOKUP($B169,'C-1 Site River Baseline'!$C$9:$R$257,15,FALSE))</f>
        <v/>
      </c>
      <c r="M169" s="524" t="str">
        <f>IF(L169="","",VLOOKUP($B169,'F-1 Off Site River Baseline'!$C$9:$R$257,16,FALSE))</f>
        <v/>
      </c>
      <c r="N169" s="418" t="str">
        <f t="shared" si="20"/>
        <v/>
      </c>
      <c r="O169" s="498" t="str">
        <f t="shared" si="21"/>
        <v/>
      </c>
      <c r="P169" s="499" t="str">
        <f>IF(C169="","",IF(AND(LEFT(C169,55)&lt;&gt;LEFT(N169,55),O169="High - High"),"Error - Not like for like ▲",IF(AND(F169=S169,H169&gt;U169),"Error - Can not reduce condition ▲",IF(AND(F169=S169,H169=U169,AJ169='F-1 Off Site River Baseline'!N167,'F-1 Off Site River Baseline'!P167=AL169),"Error - No enhancement ▲",IF(AND(C169&lt;&gt;N169,F169&lt;S169),"Lower Distinctiveness Habitat"&amp;" - "&amp;T169,G169&amp;" - "&amp;T169)))))</f>
        <v/>
      </c>
      <c r="Q169" s="505" t="str">
        <f>IF(N169="","",VLOOKUP(B169,'F-1 Off Site River Baseline'!$C$10:$AA$257,19,FALSE))</f>
        <v/>
      </c>
      <c r="R169" s="498" t="str">
        <f>IF(N169="","",VLOOKUP(N169,'G-7 Rivers Data'!$B$2:$G$8,2,FALSE))</f>
        <v/>
      </c>
      <c r="S169" s="499" t="str">
        <f>IFERROR(VLOOKUP(R169,'G-7 Rivers Data'!$C$4:$D$8,2,FALSE),"")</f>
        <v/>
      </c>
      <c r="T169" s="145"/>
      <c r="U169" s="499" t="str">
        <f>IFERROR(INDEX('G-7 Rivers Data'!$H$4:$L$8,MATCH(N169,'G-7 Rivers Data'!$B$4:$B$8,0),MATCH(T169,'G-7 Rivers Data'!$H$3:$L$3,0)),"")</f>
        <v/>
      </c>
      <c r="V169" s="154"/>
      <c r="W169" s="520" t="str">
        <f>IF(V169="","",IF(VLOOKUP(V169,'G-7 Rivers Data'!$AG$4:$AI$9,2,FALSE)=0,"Spatial Data Missing ⚠",VLOOKUP(V169,'G-7 Rivers Data'!$AG$4:$AI$9,2,FALSE)))</f>
        <v/>
      </c>
      <c r="X169" s="524" t="str">
        <f>IF(V169="","",IF(VLOOKUP(V169,'G-7 Rivers Data'!$AG$4:$AI$9,3,FALSE)=0,"Spatial Data Missing ⚠",VLOOKUP(V169,'G-7 Rivers Data'!$AG$4:$AI$9,3,FALSE)))</f>
        <v/>
      </c>
      <c r="Y169" s="537" t="str">
        <f>IFERROR(IF(OR(LEFT(P169,5)="Error ▲",LEFT(O169,5)="Error ▲"),"Check Data ⚠",IF(F169&lt;S169,'G-7 Rivers Data'!$R$3,INDEX('G-7 Rivers Data'!$U$5:$Y$9,MATCH(G169,'G-7 Rivers Data'!$T$5:$T$9,0),MATCH(T169,'G-7 Rivers Data'!$U$4:$Y$4,0)))),"")</f>
        <v/>
      </c>
      <c r="Z169" s="203"/>
      <c r="AA169" s="203"/>
      <c r="AB169" s="534" t="str">
        <f t="shared" si="16"/>
        <v/>
      </c>
      <c r="AC169" s="521" t="str">
        <f t="shared" si="17"/>
        <v/>
      </c>
      <c r="AD169" s="564" t="str">
        <f>IFERROR(IF(AC169="Check Data ⚠","Check Data ⚠",VLOOKUP(AC169,'G-4 Temporal multipliers'!$A$4:$C$37,3,FALSE)),"")</f>
        <v/>
      </c>
      <c r="AE169" s="537" t="str">
        <f>IF(N169="","",VLOOKUP(N169,'G-7 Rivers Data'!$B$4:$G$8,5,FALSE))</f>
        <v/>
      </c>
      <c r="AF169" s="520" t="str">
        <f t="shared" si="18"/>
        <v/>
      </c>
      <c r="AG169" s="520" t="str">
        <f t="shared" si="22"/>
        <v/>
      </c>
      <c r="AH169" s="524" t="str">
        <f t="shared" si="19"/>
        <v/>
      </c>
      <c r="AI169" s="145"/>
      <c r="AJ169" s="499" t="str">
        <f>IF(AI169="","",IF(VLOOKUP(AI169,'G-7 Rivers Data'!$AA$4:$AB$7,2,FALSE)=0,"Spatial Data Missing ⚠",VLOOKUP(AI169,'G-7 Rivers Data'!$AA$4:$AB$7,2,FALSE)))</f>
        <v/>
      </c>
      <c r="AK169" s="155"/>
      <c r="AL169" s="536" t="str">
        <f>IF(AK169="","",IF(VLOOKUP(AK169,'G-7 Rivers Data'!$AD$4:$AE$8,2,FALSE)=0,"Spatial Data Missing ⚠",VLOOKUP(AK169,'G-7 Rivers Data'!$AD$4:$AE$8,2,FALSE)))</f>
        <v/>
      </c>
      <c r="AM169" s="154"/>
      <c r="AN169" s="524" t="str">
        <f>IF(AM169="","",VLOOKUP(AM169,'G-7 Rivers Data'!$AO$4:$AP$7,2,FALSE))</f>
        <v/>
      </c>
      <c r="AO169" s="545" t="str">
        <f t="shared" si="23"/>
        <v/>
      </c>
      <c r="AP169" s="149"/>
      <c r="AQ169" s="150"/>
      <c r="AX169" s="31" t="str">
        <f>IFERROR(INDEX('G-7 Rivers Data'!$AZ$3:$AZ$7,MATCH(N169,'G-7 Rivers Data'!$AY$3:$AY$7,0)),"")</f>
        <v/>
      </c>
    </row>
    <row r="170" spans="2:50" ht="13.8" x14ac:dyDescent="0.25">
      <c r="B170" s="531" t="str">
        <f>'F-1 Off Site River Baseline'!AN168</f>
        <v/>
      </c>
      <c r="C170" s="520" t="str">
        <f>IF(B170="","",VLOOKUP($B170,'F-1 Off Site River Baseline'!$C$9:$R$257,2,FALSE))</f>
        <v/>
      </c>
      <c r="D170" s="520" t="str">
        <f>IF(C170="","",VLOOKUP($B170,'F-1 Off Site River Baseline'!$C$9:$R$257,3,FALSE))</f>
        <v/>
      </c>
      <c r="E170" s="520" t="str">
        <f>IF(D170="","",VLOOKUP($B170,'F-1 Off Site River Baseline'!$C$9:$R$257,4,FALSE))</f>
        <v/>
      </c>
      <c r="F170" s="520" t="str">
        <f>IF(E170="","",VLOOKUP($B170,'F-1 Off Site River Baseline'!$C$9:$R$257,5,FALSE))</f>
        <v/>
      </c>
      <c r="G170" s="520" t="str">
        <f>IF(F170="","",VLOOKUP($B170,'F-1 Off Site River Baseline'!$C$9:$R$257,6,FALSE))</f>
        <v/>
      </c>
      <c r="H170" s="520" t="str">
        <f>IF(G170="","",VLOOKUP($B170,'F-1 Off Site River Baseline'!$C$9:$R$257,7,FALSE))</f>
        <v/>
      </c>
      <c r="I170" s="520" t="str">
        <f>IF(H170="","",VLOOKUP($B170,'F-1 Off Site River Baseline'!$C$9:$R$257,8,FALSE))</f>
        <v/>
      </c>
      <c r="J170" s="520" t="str">
        <f>IF(I170="","",VLOOKUP($B170,'F-1 Off Site River Baseline'!$C$9:$R$257,9,FALSE))</f>
        <v/>
      </c>
      <c r="K170" s="520" t="str">
        <f>IF(J170="","",VLOOKUP($B170,'F-1 Off Site River Baseline'!$C$9:$R$257,10,FALSE))</f>
        <v/>
      </c>
      <c r="L170" s="520" t="str">
        <f>IF(B170="","",VLOOKUP($B170,'C-1 Site River Baseline'!$C$9:$R$257,15,FALSE))</f>
        <v/>
      </c>
      <c r="M170" s="524" t="str">
        <f>IF(L170="","",VLOOKUP($B170,'F-1 Off Site River Baseline'!$C$9:$R$257,16,FALSE))</f>
        <v/>
      </c>
      <c r="N170" s="418" t="str">
        <f t="shared" si="20"/>
        <v/>
      </c>
      <c r="O170" s="498" t="str">
        <f t="shared" si="21"/>
        <v/>
      </c>
      <c r="P170" s="499" t="str">
        <f>IF(C170="","",IF(AND(LEFT(C170,55)&lt;&gt;LEFT(N170,55),O170="High - High"),"Error - Not like for like ▲",IF(AND(F170=S170,H170&gt;U170),"Error - Can not reduce condition ▲",IF(AND(F170=S170,H170=U170,AJ170='F-1 Off Site River Baseline'!N168,'F-1 Off Site River Baseline'!P168=AL170),"Error - No enhancement ▲",IF(AND(C170&lt;&gt;N170,F170&lt;S170),"Lower Distinctiveness Habitat"&amp;" - "&amp;T170,G170&amp;" - "&amp;T170)))))</f>
        <v/>
      </c>
      <c r="Q170" s="505" t="str">
        <f>IF(N170="","",VLOOKUP(B170,'F-1 Off Site River Baseline'!$C$10:$AA$257,19,FALSE))</f>
        <v/>
      </c>
      <c r="R170" s="498" t="str">
        <f>IF(N170="","",VLOOKUP(N170,'G-7 Rivers Data'!$B$2:$G$8,2,FALSE))</f>
        <v/>
      </c>
      <c r="S170" s="499" t="str">
        <f>IFERROR(VLOOKUP(R170,'G-7 Rivers Data'!$C$4:$D$8,2,FALSE),"")</f>
        <v/>
      </c>
      <c r="T170" s="145"/>
      <c r="U170" s="499" t="str">
        <f>IFERROR(INDEX('G-7 Rivers Data'!$H$4:$L$8,MATCH(N170,'G-7 Rivers Data'!$B$4:$B$8,0),MATCH(T170,'G-7 Rivers Data'!$H$3:$L$3,0)),"")</f>
        <v/>
      </c>
      <c r="V170" s="154"/>
      <c r="W170" s="520" t="str">
        <f>IF(V170="","",IF(VLOOKUP(V170,'G-7 Rivers Data'!$AG$4:$AI$9,2,FALSE)=0,"Spatial Data Missing ⚠",VLOOKUP(V170,'G-7 Rivers Data'!$AG$4:$AI$9,2,FALSE)))</f>
        <v/>
      </c>
      <c r="X170" s="524" t="str">
        <f>IF(V170="","",IF(VLOOKUP(V170,'G-7 Rivers Data'!$AG$4:$AI$9,3,FALSE)=0,"Spatial Data Missing ⚠",VLOOKUP(V170,'G-7 Rivers Data'!$AG$4:$AI$9,3,FALSE)))</f>
        <v/>
      </c>
      <c r="Y170" s="537" t="str">
        <f>IFERROR(IF(OR(LEFT(P170,5)="Error ▲",LEFT(O170,5)="Error ▲"),"Check Data ⚠",IF(F170&lt;S170,'G-7 Rivers Data'!$R$3,INDEX('G-7 Rivers Data'!$U$5:$Y$9,MATCH(G170,'G-7 Rivers Data'!$T$5:$T$9,0),MATCH(T170,'G-7 Rivers Data'!$U$4:$Y$4,0)))),"")</f>
        <v/>
      </c>
      <c r="Z170" s="203"/>
      <c r="AA170" s="203"/>
      <c r="AB170" s="534" t="str">
        <f t="shared" si="16"/>
        <v/>
      </c>
      <c r="AC170" s="521" t="str">
        <f t="shared" si="17"/>
        <v/>
      </c>
      <c r="AD170" s="564" t="str">
        <f>IFERROR(IF(AC170="Check Data ⚠","Check Data ⚠",VLOOKUP(AC170,'G-4 Temporal multipliers'!$A$4:$C$37,3,FALSE)),"")</f>
        <v/>
      </c>
      <c r="AE170" s="537" t="str">
        <f>IF(N170="","",VLOOKUP(N170,'G-7 Rivers Data'!$B$4:$G$8,5,FALSE))</f>
        <v/>
      </c>
      <c r="AF170" s="520" t="str">
        <f t="shared" si="18"/>
        <v/>
      </c>
      <c r="AG170" s="520" t="str">
        <f t="shared" si="22"/>
        <v/>
      </c>
      <c r="AH170" s="524" t="str">
        <f t="shared" si="19"/>
        <v/>
      </c>
      <c r="AI170" s="145"/>
      <c r="AJ170" s="499" t="str">
        <f>IF(AI170="","",IF(VLOOKUP(AI170,'G-7 Rivers Data'!$AA$4:$AB$7,2,FALSE)=0,"Spatial Data Missing ⚠",VLOOKUP(AI170,'G-7 Rivers Data'!$AA$4:$AB$7,2,FALSE)))</f>
        <v/>
      </c>
      <c r="AK170" s="155"/>
      <c r="AL170" s="536" t="str">
        <f>IF(AK170="","",IF(VLOOKUP(AK170,'G-7 Rivers Data'!$AD$4:$AE$8,2,FALSE)=0,"Spatial Data Missing ⚠",VLOOKUP(AK170,'G-7 Rivers Data'!$AD$4:$AE$8,2,FALSE)))</f>
        <v/>
      </c>
      <c r="AM170" s="154"/>
      <c r="AN170" s="524" t="str">
        <f>IF(AM170="","",VLOOKUP(AM170,'G-7 Rivers Data'!$AO$4:$AP$7,2,FALSE))</f>
        <v/>
      </c>
      <c r="AO170" s="545" t="str">
        <f t="shared" si="23"/>
        <v/>
      </c>
      <c r="AP170" s="149"/>
      <c r="AQ170" s="150"/>
      <c r="AX170" s="31" t="str">
        <f>IFERROR(INDEX('G-7 Rivers Data'!$AZ$3:$AZ$7,MATCH(N170,'G-7 Rivers Data'!$AY$3:$AY$7,0)),"")</f>
        <v/>
      </c>
    </row>
    <row r="171" spans="2:50" ht="13.8" x14ac:dyDescent="0.25">
      <c r="B171" s="531" t="str">
        <f>'F-1 Off Site River Baseline'!AN169</f>
        <v/>
      </c>
      <c r="C171" s="520" t="str">
        <f>IF(B171="","",VLOOKUP($B171,'F-1 Off Site River Baseline'!$C$9:$R$257,2,FALSE))</f>
        <v/>
      </c>
      <c r="D171" s="520" t="str">
        <f>IF(C171="","",VLOOKUP($B171,'F-1 Off Site River Baseline'!$C$9:$R$257,3,FALSE))</f>
        <v/>
      </c>
      <c r="E171" s="520" t="str">
        <f>IF(D171="","",VLOOKUP($B171,'F-1 Off Site River Baseline'!$C$9:$R$257,4,FALSE))</f>
        <v/>
      </c>
      <c r="F171" s="520" t="str">
        <f>IF(E171="","",VLOOKUP($B171,'F-1 Off Site River Baseline'!$C$9:$R$257,5,FALSE))</f>
        <v/>
      </c>
      <c r="G171" s="520" t="str">
        <f>IF(F171="","",VLOOKUP($B171,'F-1 Off Site River Baseline'!$C$9:$R$257,6,FALSE))</f>
        <v/>
      </c>
      <c r="H171" s="520" t="str">
        <f>IF(G171="","",VLOOKUP($B171,'F-1 Off Site River Baseline'!$C$9:$R$257,7,FALSE))</f>
        <v/>
      </c>
      <c r="I171" s="520" t="str">
        <f>IF(H171="","",VLOOKUP($B171,'F-1 Off Site River Baseline'!$C$9:$R$257,8,FALSE))</f>
        <v/>
      </c>
      <c r="J171" s="520" t="str">
        <f>IF(I171="","",VLOOKUP($B171,'F-1 Off Site River Baseline'!$C$9:$R$257,9,FALSE))</f>
        <v/>
      </c>
      <c r="K171" s="520" t="str">
        <f>IF(J171="","",VLOOKUP($B171,'F-1 Off Site River Baseline'!$C$9:$R$257,10,FALSE))</f>
        <v/>
      </c>
      <c r="L171" s="520" t="str">
        <f>IF(B171="","",VLOOKUP($B171,'C-1 Site River Baseline'!$C$9:$R$257,15,FALSE))</f>
        <v/>
      </c>
      <c r="M171" s="524" t="str">
        <f>IF(L171="","",VLOOKUP($B171,'F-1 Off Site River Baseline'!$C$9:$R$257,16,FALSE))</f>
        <v/>
      </c>
      <c r="N171" s="418" t="str">
        <f t="shared" si="20"/>
        <v/>
      </c>
      <c r="O171" s="498" t="str">
        <f t="shared" si="21"/>
        <v/>
      </c>
      <c r="P171" s="499" t="str">
        <f>IF(C171="","",IF(AND(LEFT(C171,55)&lt;&gt;LEFT(N171,55),O171="High - High"),"Error - Not like for like ▲",IF(AND(F171=S171,H171&gt;U171),"Error - Can not reduce condition ▲",IF(AND(F171=S171,H171=U171,AJ171='F-1 Off Site River Baseline'!N169,'F-1 Off Site River Baseline'!P169=AL171),"Error - No enhancement ▲",IF(AND(C171&lt;&gt;N171,F171&lt;S171),"Lower Distinctiveness Habitat"&amp;" - "&amp;T171,G171&amp;" - "&amp;T171)))))</f>
        <v/>
      </c>
      <c r="Q171" s="505" t="str">
        <f>IF(N171="","",VLOOKUP(B171,'F-1 Off Site River Baseline'!$C$10:$AA$257,19,FALSE))</f>
        <v/>
      </c>
      <c r="R171" s="498" t="str">
        <f>IF(N171="","",VLOOKUP(N171,'G-7 Rivers Data'!$B$2:$G$8,2,FALSE))</f>
        <v/>
      </c>
      <c r="S171" s="499" t="str">
        <f>IFERROR(VLOOKUP(R171,'G-7 Rivers Data'!$C$4:$D$8,2,FALSE),"")</f>
        <v/>
      </c>
      <c r="T171" s="145"/>
      <c r="U171" s="499" t="str">
        <f>IFERROR(INDEX('G-7 Rivers Data'!$H$4:$L$8,MATCH(N171,'G-7 Rivers Data'!$B$4:$B$8,0),MATCH(T171,'G-7 Rivers Data'!$H$3:$L$3,0)),"")</f>
        <v/>
      </c>
      <c r="V171" s="154"/>
      <c r="W171" s="520" t="str">
        <f>IF(V171="","",IF(VLOOKUP(V171,'G-7 Rivers Data'!$AG$4:$AI$9,2,FALSE)=0,"Spatial Data Missing ⚠",VLOOKUP(V171,'G-7 Rivers Data'!$AG$4:$AI$9,2,FALSE)))</f>
        <v/>
      </c>
      <c r="X171" s="524" t="str">
        <f>IF(V171="","",IF(VLOOKUP(V171,'G-7 Rivers Data'!$AG$4:$AI$9,3,FALSE)=0,"Spatial Data Missing ⚠",VLOOKUP(V171,'G-7 Rivers Data'!$AG$4:$AI$9,3,FALSE)))</f>
        <v/>
      </c>
      <c r="Y171" s="537" t="str">
        <f>IFERROR(IF(OR(LEFT(P171,5)="Error ▲",LEFT(O171,5)="Error ▲"),"Check Data ⚠",IF(F171&lt;S171,'G-7 Rivers Data'!$R$3,INDEX('G-7 Rivers Data'!$U$5:$Y$9,MATCH(G171,'G-7 Rivers Data'!$T$5:$T$9,0),MATCH(T171,'G-7 Rivers Data'!$U$4:$Y$4,0)))),"")</f>
        <v/>
      </c>
      <c r="Z171" s="203"/>
      <c r="AA171" s="203"/>
      <c r="AB171" s="534" t="str">
        <f t="shared" si="16"/>
        <v/>
      </c>
      <c r="AC171" s="521" t="str">
        <f t="shared" si="17"/>
        <v/>
      </c>
      <c r="AD171" s="564" t="str">
        <f>IFERROR(IF(AC171="Check Data ⚠","Check Data ⚠",VLOOKUP(AC171,'G-4 Temporal multipliers'!$A$4:$C$37,3,FALSE)),"")</f>
        <v/>
      </c>
      <c r="AE171" s="537" t="str">
        <f>IF(N171="","",VLOOKUP(N171,'G-7 Rivers Data'!$B$4:$G$8,5,FALSE))</f>
        <v/>
      </c>
      <c r="AF171" s="520" t="str">
        <f t="shared" si="18"/>
        <v/>
      </c>
      <c r="AG171" s="520" t="str">
        <f t="shared" si="22"/>
        <v/>
      </c>
      <c r="AH171" s="524" t="str">
        <f t="shared" si="19"/>
        <v/>
      </c>
      <c r="AI171" s="145"/>
      <c r="AJ171" s="499" t="str">
        <f>IF(AI171="","",IF(VLOOKUP(AI171,'G-7 Rivers Data'!$AA$4:$AB$7,2,FALSE)=0,"Spatial Data Missing ⚠",VLOOKUP(AI171,'G-7 Rivers Data'!$AA$4:$AB$7,2,FALSE)))</f>
        <v/>
      </c>
      <c r="AK171" s="155"/>
      <c r="AL171" s="536" t="str">
        <f>IF(AK171="","",IF(VLOOKUP(AK171,'G-7 Rivers Data'!$AD$4:$AE$8,2,FALSE)=0,"Spatial Data Missing ⚠",VLOOKUP(AK171,'G-7 Rivers Data'!$AD$4:$AE$8,2,FALSE)))</f>
        <v/>
      </c>
      <c r="AM171" s="154"/>
      <c r="AN171" s="524" t="str">
        <f>IF(AM171="","",VLOOKUP(AM171,'G-7 Rivers Data'!$AO$4:$AP$7,2,FALSE))</f>
        <v/>
      </c>
      <c r="AO171" s="545" t="str">
        <f t="shared" si="23"/>
        <v/>
      </c>
      <c r="AP171" s="149"/>
      <c r="AQ171" s="150"/>
      <c r="AX171" s="31" t="str">
        <f>IFERROR(INDEX('G-7 Rivers Data'!$AZ$3:$AZ$7,MATCH(N171,'G-7 Rivers Data'!$AY$3:$AY$7,0)),"")</f>
        <v/>
      </c>
    </row>
    <row r="172" spans="2:50" ht="13.8" x14ac:dyDescent="0.25">
      <c r="B172" s="531" t="str">
        <f>'F-1 Off Site River Baseline'!AN170</f>
        <v/>
      </c>
      <c r="C172" s="520" t="str">
        <f>IF(B172="","",VLOOKUP($B172,'F-1 Off Site River Baseline'!$C$9:$R$257,2,FALSE))</f>
        <v/>
      </c>
      <c r="D172" s="520" t="str">
        <f>IF(C172="","",VLOOKUP($B172,'F-1 Off Site River Baseline'!$C$9:$R$257,3,FALSE))</f>
        <v/>
      </c>
      <c r="E172" s="520" t="str">
        <f>IF(D172="","",VLOOKUP($B172,'F-1 Off Site River Baseline'!$C$9:$R$257,4,FALSE))</f>
        <v/>
      </c>
      <c r="F172" s="520" t="str">
        <f>IF(E172="","",VLOOKUP($B172,'F-1 Off Site River Baseline'!$C$9:$R$257,5,FALSE))</f>
        <v/>
      </c>
      <c r="G172" s="520" t="str">
        <f>IF(F172="","",VLOOKUP($B172,'F-1 Off Site River Baseline'!$C$9:$R$257,6,FALSE))</f>
        <v/>
      </c>
      <c r="H172" s="520" t="str">
        <f>IF(G172="","",VLOOKUP($B172,'F-1 Off Site River Baseline'!$C$9:$R$257,7,FALSE))</f>
        <v/>
      </c>
      <c r="I172" s="520" t="str">
        <f>IF(H172="","",VLOOKUP($B172,'F-1 Off Site River Baseline'!$C$9:$R$257,8,FALSE))</f>
        <v/>
      </c>
      <c r="J172" s="520" t="str">
        <f>IF(I172="","",VLOOKUP($B172,'F-1 Off Site River Baseline'!$C$9:$R$257,9,FALSE))</f>
        <v/>
      </c>
      <c r="K172" s="520" t="str">
        <f>IF(J172="","",VLOOKUP($B172,'F-1 Off Site River Baseline'!$C$9:$R$257,10,FALSE))</f>
        <v/>
      </c>
      <c r="L172" s="520" t="str">
        <f>IF(B172="","",VLOOKUP($B172,'C-1 Site River Baseline'!$C$9:$R$257,15,FALSE))</f>
        <v/>
      </c>
      <c r="M172" s="524" t="str">
        <f>IF(L172="","",VLOOKUP($B172,'F-1 Off Site River Baseline'!$C$9:$R$257,16,FALSE))</f>
        <v/>
      </c>
      <c r="N172" s="418" t="str">
        <f t="shared" si="20"/>
        <v/>
      </c>
      <c r="O172" s="498" t="str">
        <f t="shared" si="21"/>
        <v/>
      </c>
      <c r="P172" s="499" t="str">
        <f>IF(C172="","",IF(AND(LEFT(C172,55)&lt;&gt;LEFT(N172,55),O172="High - High"),"Error - Not like for like ▲",IF(AND(F172=S172,H172&gt;U172),"Error - Can not reduce condition ▲",IF(AND(F172=S172,H172=U172,AJ172='F-1 Off Site River Baseline'!N170,'F-1 Off Site River Baseline'!P170=AL172),"Error - No enhancement ▲",IF(AND(C172&lt;&gt;N172,F172&lt;S172),"Lower Distinctiveness Habitat"&amp;" - "&amp;T172,G172&amp;" - "&amp;T172)))))</f>
        <v/>
      </c>
      <c r="Q172" s="505" t="str">
        <f>IF(N172="","",VLOOKUP(B172,'F-1 Off Site River Baseline'!$C$10:$AA$257,19,FALSE))</f>
        <v/>
      </c>
      <c r="R172" s="498" t="str">
        <f>IF(N172="","",VLOOKUP(N172,'G-7 Rivers Data'!$B$2:$G$8,2,FALSE))</f>
        <v/>
      </c>
      <c r="S172" s="499" t="str">
        <f>IFERROR(VLOOKUP(R172,'G-7 Rivers Data'!$C$4:$D$8,2,FALSE),"")</f>
        <v/>
      </c>
      <c r="T172" s="145"/>
      <c r="U172" s="499" t="str">
        <f>IFERROR(INDEX('G-7 Rivers Data'!$H$4:$L$8,MATCH(N172,'G-7 Rivers Data'!$B$4:$B$8,0),MATCH(T172,'G-7 Rivers Data'!$H$3:$L$3,0)),"")</f>
        <v/>
      </c>
      <c r="V172" s="154"/>
      <c r="W172" s="520" t="str">
        <f>IF(V172="","",IF(VLOOKUP(V172,'G-7 Rivers Data'!$AG$4:$AI$9,2,FALSE)=0,"Spatial Data Missing ⚠",VLOOKUP(V172,'G-7 Rivers Data'!$AG$4:$AI$9,2,FALSE)))</f>
        <v/>
      </c>
      <c r="X172" s="524" t="str">
        <f>IF(V172="","",IF(VLOOKUP(V172,'G-7 Rivers Data'!$AG$4:$AI$9,3,FALSE)=0,"Spatial Data Missing ⚠",VLOOKUP(V172,'G-7 Rivers Data'!$AG$4:$AI$9,3,FALSE)))</f>
        <v/>
      </c>
      <c r="Y172" s="537" t="str">
        <f>IFERROR(IF(OR(LEFT(P172,5)="Error ▲",LEFT(O172,5)="Error ▲"),"Check Data ⚠",IF(F172&lt;S172,'G-7 Rivers Data'!$R$3,INDEX('G-7 Rivers Data'!$U$5:$Y$9,MATCH(G172,'G-7 Rivers Data'!$T$5:$T$9,0),MATCH(T172,'G-7 Rivers Data'!$U$4:$Y$4,0)))),"")</f>
        <v/>
      </c>
      <c r="Z172" s="203"/>
      <c r="AA172" s="203"/>
      <c r="AB172" s="534" t="str">
        <f t="shared" si="16"/>
        <v/>
      </c>
      <c r="AC172" s="521" t="str">
        <f t="shared" si="17"/>
        <v/>
      </c>
      <c r="AD172" s="564" t="str">
        <f>IFERROR(IF(AC172="Check Data ⚠","Check Data ⚠",VLOOKUP(AC172,'G-4 Temporal multipliers'!$A$4:$C$37,3,FALSE)),"")</f>
        <v/>
      </c>
      <c r="AE172" s="537" t="str">
        <f>IF(N172="","",VLOOKUP(N172,'G-7 Rivers Data'!$B$4:$G$8,5,FALSE))</f>
        <v/>
      </c>
      <c r="AF172" s="520" t="str">
        <f t="shared" si="18"/>
        <v/>
      </c>
      <c r="AG172" s="520" t="str">
        <f t="shared" si="22"/>
        <v/>
      </c>
      <c r="AH172" s="524" t="str">
        <f t="shared" si="19"/>
        <v/>
      </c>
      <c r="AI172" s="145"/>
      <c r="AJ172" s="499" t="str">
        <f>IF(AI172="","",IF(VLOOKUP(AI172,'G-7 Rivers Data'!$AA$4:$AB$7,2,FALSE)=0,"Spatial Data Missing ⚠",VLOOKUP(AI172,'G-7 Rivers Data'!$AA$4:$AB$7,2,FALSE)))</f>
        <v/>
      </c>
      <c r="AK172" s="155"/>
      <c r="AL172" s="536" t="str">
        <f>IF(AK172="","",IF(VLOOKUP(AK172,'G-7 Rivers Data'!$AD$4:$AE$8,2,FALSE)=0,"Spatial Data Missing ⚠",VLOOKUP(AK172,'G-7 Rivers Data'!$AD$4:$AE$8,2,FALSE)))</f>
        <v/>
      </c>
      <c r="AM172" s="154"/>
      <c r="AN172" s="524" t="str">
        <f>IF(AM172="","",VLOOKUP(AM172,'G-7 Rivers Data'!$AO$4:$AP$7,2,FALSE))</f>
        <v/>
      </c>
      <c r="AO172" s="545" t="str">
        <f t="shared" si="23"/>
        <v/>
      </c>
      <c r="AP172" s="149"/>
      <c r="AQ172" s="150"/>
      <c r="AX172" s="31" t="str">
        <f>IFERROR(INDEX('G-7 Rivers Data'!$AZ$3:$AZ$7,MATCH(N172,'G-7 Rivers Data'!$AY$3:$AY$7,0)),"")</f>
        <v/>
      </c>
    </row>
    <row r="173" spans="2:50" ht="13.8" x14ac:dyDescent="0.25">
      <c r="B173" s="531" t="str">
        <f>'F-1 Off Site River Baseline'!AN171</f>
        <v/>
      </c>
      <c r="C173" s="520" t="str">
        <f>IF(B173="","",VLOOKUP($B173,'F-1 Off Site River Baseline'!$C$9:$R$257,2,FALSE))</f>
        <v/>
      </c>
      <c r="D173" s="520" t="str">
        <f>IF(C173="","",VLOOKUP($B173,'F-1 Off Site River Baseline'!$C$9:$R$257,3,FALSE))</f>
        <v/>
      </c>
      <c r="E173" s="520" t="str">
        <f>IF(D173="","",VLOOKUP($B173,'F-1 Off Site River Baseline'!$C$9:$R$257,4,FALSE))</f>
        <v/>
      </c>
      <c r="F173" s="520" t="str">
        <f>IF(E173="","",VLOOKUP($B173,'F-1 Off Site River Baseline'!$C$9:$R$257,5,FALSE))</f>
        <v/>
      </c>
      <c r="G173" s="520" t="str">
        <f>IF(F173="","",VLOOKUP($B173,'F-1 Off Site River Baseline'!$C$9:$R$257,6,FALSE))</f>
        <v/>
      </c>
      <c r="H173" s="520" t="str">
        <f>IF(G173="","",VLOOKUP($B173,'F-1 Off Site River Baseline'!$C$9:$R$257,7,FALSE))</f>
        <v/>
      </c>
      <c r="I173" s="520" t="str">
        <f>IF(H173="","",VLOOKUP($B173,'F-1 Off Site River Baseline'!$C$9:$R$257,8,FALSE))</f>
        <v/>
      </c>
      <c r="J173" s="520" t="str">
        <f>IF(I173="","",VLOOKUP($B173,'F-1 Off Site River Baseline'!$C$9:$R$257,9,FALSE))</f>
        <v/>
      </c>
      <c r="K173" s="520" t="str">
        <f>IF(J173="","",VLOOKUP($B173,'F-1 Off Site River Baseline'!$C$9:$R$257,10,FALSE))</f>
        <v/>
      </c>
      <c r="L173" s="520" t="str">
        <f>IF(B173="","",VLOOKUP($B173,'C-1 Site River Baseline'!$C$9:$R$257,15,FALSE))</f>
        <v/>
      </c>
      <c r="M173" s="524" t="str">
        <f>IF(L173="","",VLOOKUP($B173,'F-1 Off Site River Baseline'!$C$9:$R$257,16,FALSE))</f>
        <v/>
      </c>
      <c r="N173" s="418" t="str">
        <f t="shared" si="20"/>
        <v/>
      </c>
      <c r="O173" s="498" t="str">
        <f t="shared" si="21"/>
        <v/>
      </c>
      <c r="P173" s="499" t="str">
        <f>IF(C173="","",IF(AND(LEFT(C173,55)&lt;&gt;LEFT(N173,55),O173="High - High"),"Error - Not like for like ▲",IF(AND(F173=S173,H173&gt;U173),"Error - Can not reduce condition ▲",IF(AND(F173=S173,H173=U173,AJ173='F-1 Off Site River Baseline'!N171,'F-1 Off Site River Baseline'!P171=AL173),"Error - No enhancement ▲",IF(AND(C173&lt;&gt;N173,F173&lt;S173),"Lower Distinctiveness Habitat"&amp;" - "&amp;T173,G173&amp;" - "&amp;T173)))))</f>
        <v/>
      </c>
      <c r="Q173" s="505" t="str">
        <f>IF(N173="","",VLOOKUP(B173,'F-1 Off Site River Baseline'!$C$10:$AA$257,19,FALSE))</f>
        <v/>
      </c>
      <c r="R173" s="498" t="str">
        <f>IF(N173="","",VLOOKUP(N173,'G-7 Rivers Data'!$B$2:$G$8,2,FALSE))</f>
        <v/>
      </c>
      <c r="S173" s="499" t="str">
        <f>IFERROR(VLOOKUP(R173,'G-7 Rivers Data'!$C$4:$D$8,2,FALSE),"")</f>
        <v/>
      </c>
      <c r="T173" s="145"/>
      <c r="U173" s="499" t="str">
        <f>IFERROR(INDEX('G-7 Rivers Data'!$H$4:$L$8,MATCH(N173,'G-7 Rivers Data'!$B$4:$B$8,0),MATCH(T173,'G-7 Rivers Data'!$H$3:$L$3,0)),"")</f>
        <v/>
      </c>
      <c r="V173" s="154"/>
      <c r="W173" s="520" t="str">
        <f>IF(V173="","",IF(VLOOKUP(V173,'G-7 Rivers Data'!$AG$4:$AI$9,2,FALSE)=0,"Spatial Data Missing ⚠",VLOOKUP(V173,'G-7 Rivers Data'!$AG$4:$AI$9,2,FALSE)))</f>
        <v/>
      </c>
      <c r="X173" s="524" t="str">
        <f>IF(V173="","",IF(VLOOKUP(V173,'G-7 Rivers Data'!$AG$4:$AI$9,3,FALSE)=0,"Spatial Data Missing ⚠",VLOOKUP(V173,'G-7 Rivers Data'!$AG$4:$AI$9,3,FALSE)))</f>
        <v/>
      </c>
      <c r="Y173" s="537" t="str">
        <f>IFERROR(IF(OR(LEFT(P173,5)="Error ▲",LEFT(O173,5)="Error ▲"),"Check Data ⚠",IF(F173&lt;S173,'G-7 Rivers Data'!$R$3,INDEX('G-7 Rivers Data'!$U$5:$Y$9,MATCH(G173,'G-7 Rivers Data'!$T$5:$T$9,0),MATCH(T173,'G-7 Rivers Data'!$U$4:$Y$4,0)))),"")</f>
        <v/>
      </c>
      <c r="Z173" s="203"/>
      <c r="AA173" s="203"/>
      <c r="AB173" s="534" t="str">
        <f t="shared" si="16"/>
        <v/>
      </c>
      <c r="AC173" s="521" t="str">
        <f t="shared" si="17"/>
        <v/>
      </c>
      <c r="AD173" s="564" t="str">
        <f>IFERROR(IF(AC173="Check Data ⚠","Check Data ⚠",VLOOKUP(AC173,'G-4 Temporal multipliers'!$A$4:$C$37,3,FALSE)),"")</f>
        <v/>
      </c>
      <c r="AE173" s="537" t="str">
        <f>IF(N173="","",VLOOKUP(N173,'G-7 Rivers Data'!$B$4:$G$8,5,FALSE))</f>
        <v/>
      </c>
      <c r="AF173" s="520" t="str">
        <f t="shared" si="18"/>
        <v/>
      </c>
      <c r="AG173" s="520" t="str">
        <f t="shared" si="22"/>
        <v/>
      </c>
      <c r="AH173" s="524" t="str">
        <f t="shared" si="19"/>
        <v/>
      </c>
      <c r="AI173" s="145"/>
      <c r="AJ173" s="499" t="str">
        <f>IF(AI173="","",IF(VLOOKUP(AI173,'G-7 Rivers Data'!$AA$4:$AB$7,2,FALSE)=0,"Spatial Data Missing ⚠",VLOOKUP(AI173,'G-7 Rivers Data'!$AA$4:$AB$7,2,FALSE)))</f>
        <v/>
      </c>
      <c r="AK173" s="155"/>
      <c r="AL173" s="536" t="str">
        <f>IF(AK173="","",IF(VLOOKUP(AK173,'G-7 Rivers Data'!$AD$4:$AE$8,2,FALSE)=0,"Spatial Data Missing ⚠",VLOOKUP(AK173,'G-7 Rivers Data'!$AD$4:$AE$8,2,FALSE)))</f>
        <v/>
      </c>
      <c r="AM173" s="154"/>
      <c r="AN173" s="524" t="str">
        <f>IF(AM173="","",VLOOKUP(AM173,'G-7 Rivers Data'!$AO$4:$AP$7,2,FALSE))</f>
        <v/>
      </c>
      <c r="AO173" s="545" t="str">
        <f t="shared" si="23"/>
        <v/>
      </c>
      <c r="AP173" s="149"/>
      <c r="AQ173" s="150"/>
      <c r="AX173" s="31" t="str">
        <f>IFERROR(INDEX('G-7 Rivers Data'!$AZ$3:$AZ$7,MATCH(N173,'G-7 Rivers Data'!$AY$3:$AY$7,0)),"")</f>
        <v/>
      </c>
    </row>
    <row r="174" spans="2:50" ht="13.8" x14ac:dyDescent="0.25">
      <c r="B174" s="531" t="str">
        <f>'F-1 Off Site River Baseline'!AN172</f>
        <v/>
      </c>
      <c r="C174" s="520" t="str">
        <f>IF(B174="","",VLOOKUP($B174,'F-1 Off Site River Baseline'!$C$9:$R$257,2,FALSE))</f>
        <v/>
      </c>
      <c r="D174" s="520" t="str">
        <f>IF(C174="","",VLOOKUP($B174,'F-1 Off Site River Baseline'!$C$9:$R$257,3,FALSE))</f>
        <v/>
      </c>
      <c r="E174" s="520" t="str">
        <f>IF(D174="","",VLOOKUP($B174,'F-1 Off Site River Baseline'!$C$9:$R$257,4,FALSE))</f>
        <v/>
      </c>
      <c r="F174" s="520" t="str">
        <f>IF(E174="","",VLOOKUP($B174,'F-1 Off Site River Baseline'!$C$9:$R$257,5,FALSE))</f>
        <v/>
      </c>
      <c r="G174" s="520" t="str">
        <f>IF(F174="","",VLOOKUP($B174,'F-1 Off Site River Baseline'!$C$9:$R$257,6,FALSE))</f>
        <v/>
      </c>
      <c r="H174" s="520" t="str">
        <f>IF(G174="","",VLOOKUP($B174,'F-1 Off Site River Baseline'!$C$9:$R$257,7,FALSE))</f>
        <v/>
      </c>
      <c r="I174" s="520" t="str">
        <f>IF(H174="","",VLOOKUP($B174,'F-1 Off Site River Baseline'!$C$9:$R$257,8,FALSE))</f>
        <v/>
      </c>
      <c r="J174" s="520" t="str">
        <f>IF(I174="","",VLOOKUP($B174,'F-1 Off Site River Baseline'!$C$9:$R$257,9,FALSE))</f>
        <v/>
      </c>
      <c r="K174" s="520" t="str">
        <f>IF(J174="","",VLOOKUP($B174,'F-1 Off Site River Baseline'!$C$9:$R$257,10,FALSE))</f>
        <v/>
      </c>
      <c r="L174" s="520" t="str">
        <f>IF(B174="","",VLOOKUP($B174,'C-1 Site River Baseline'!$C$9:$R$257,15,FALSE))</f>
        <v/>
      </c>
      <c r="M174" s="524" t="str">
        <f>IF(L174="","",VLOOKUP($B174,'F-1 Off Site River Baseline'!$C$9:$R$257,16,FALSE))</f>
        <v/>
      </c>
      <c r="N174" s="418" t="str">
        <f t="shared" si="20"/>
        <v/>
      </c>
      <c r="O174" s="498" t="str">
        <f t="shared" si="21"/>
        <v/>
      </c>
      <c r="P174" s="499" t="str">
        <f>IF(C174="","",IF(AND(LEFT(C174,55)&lt;&gt;LEFT(N174,55),O174="High - High"),"Error - Not like for like ▲",IF(AND(F174=S174,H174&gt;U174),"Error - Can not reduce condition ▲",IF(AND(F174=S174,H174=U174,AJ174='F-1 Off Site River Baseline'!N172,'F-1 Off Site River Baseline'!P172=AL174),"Error - No enhancement ▲",IF(AND(C174&lt;&gt;N174,F174&lt;S174),"Lower Distinctiveness Habitat"&amp;" - "&amp;T174,G174&amp;" - "&amp;T174)))))</f>
        <v/>
      </c>
      <c r="Q174" s="505" t="str">
        <f>IF(N174="","",VLOOKUP(B174,'F-1 Off Site River Baseline'!$C$10:$AA$257,19,FALSE))</f>
        <v/>
      </c>
      <c r="R174" s="498" t="str">
        <f>IF(N174="","",VLOOKUP(N174,'G-7 Rivers Data'!$B$2:$G$8,2,FALSE))</f>
        <v/>
      </c>
      <c r="S174" s="499" t="str">
        <f>IFERROR(VLOOKUP(R174,'G-7 Rivers Data'!$C$4:$D$8,2,FALSE),"")</f>
        <v/>
      </c>
      <c r="T174" s="145"/>
      <c r="U174" s="499" t="str">
        <f>IFERROR(INDEX('G-7 Rivers Data'!$H$4:$L$8,MATCH(N174,'G-7 Rivers Data'!$B$4:$B$8,0),MATCH(T174,'G-7 Rivers Data'!$H$3:$L$3,0)),"")</f>
        <v/>
      </c>
      <c r="V174" s="154"/>
      <c r="W174" s="520" t="str">
        <f>IF(V174="","",IF(VLOOKUP(V174,'G-7 Rivers Data'!$AG$4:$AI$9,2,FALSE)=0,"Spatial Data Missing ⚠",VLOOKUP(V174,'G-7 Rivers Data'!$AG$4:$AI$9,2,FALSE)))</f>
        <v/>
      </c>
      <c r="X174" s="524" t="str">
        <f>IF(V174="","",IF(VLOOKUP(V174,'G-7 Rivers Data'!$AG$4:$AI$9,3,FALSE)=0,"Spatial Data Missing ⚠",VLOOKUP(V174,'G-7 Rivers Data'!$AG$4:$AI$9,3,FALSE)))</f>
        <v/>
      </c>
      <c r="Y174" s="537" t="str">
        <f>IFERROR(IF(OR(LEFT(P174,5)="Error ▲",LEFT(O174,5)="Error ▲"),"Check Data ⚠",IF(F174&lt;S174,'G-7 Rivers Data'!$R$3,INDEX('G-7 Rivers Data'!$U$5:$Y$9,MATCH(G174,'G-7 Rivers Data'!$T$5:$T$9,0),MATCH(T174,'G-7 Rivers Data'!$U$4:$Y$4,0)))),"")</f>
        <v/>
      </c>
      <c r="Z174" s="203"/>
      <c r="AA174" s="203"/>
      <c r="AB174" s="534" t="str">
        <f t="shared" si="16"/>
        <v/>
      </c>
      <c r="AC174" s="521" t="str">
        <f t="shared" si="17"/>
        <v/>
      </c>
      <c r="AD174" s="564" t="str">
        <f>IFERROR(IF(AC174="Check Data ⚠","Check Data ⚠",VLOOKUP(AC174,'G-4 Temporal multipliers'!$A$4:$C$37,3,FALSE)),"")</f>
        <v/>
      </c>
      <c r="AE174" s="537" t="str">
        <f>IF(N174="","",VLOOKUP(N174,'G-7 Rivers Data'!$B$4:$G$8,5,FALSE))</f>
        <v/>
      </c>
      <c r="AF174" s="520" t="str">
        <f t="shared" si="18"/>
        <v/>
      </c>
      <c r="AG174" s="520" t="str">
        <f t="shared" si="22"/>
        <v/>
      </c>
      <c r="AH174" s="524" t="str">
        <f t="shared" si="19"/>
        <v/>
      </c>
      <c r="AI174" s="145"/>
      <c r="AJ174" s="499" t="str">
        <f>IF(AI174="","",IF(VLOOKUP(AI174,'G-7 Rivers Data'!$AA$4:$AB$7,2,FALSE)=0,"Spatial Data Missing ⚠",VLOOKUP(AI174,'G-7 Rivers Data'!$AA$4:$AB$7,2,FALSE)))</f>
        <v/>
      </c>
      <c r="AK174" s="155"/>
      <c r="AL174" s="536" t="str">
        <f>IF(AK174="","",IF(VLOOKUP(AK174,'G-7 Rivers Data'!$AD$4:$AE$8,2,FALSE)=0,"Spatial Data Missing ⚠",VLOOKUP(AK174,'G-7 Rivers Data'!$AD$4:$AE$8,2,FALSE)))</f>
        <v/>
      </c>
      <c r="AM174" s="154"/>
      <c r="AN174" s="524" t="str">
        <f>IF(AM174="","",VLOOKUP(AM174,'G-7 Rivers Data'!$AO$4:$AP$7,2,FALSE))</f>
        <v/>
      </c>
      <c r="AO174" s="545" t="str">
        <f t="shared" si="23"/>
        <v/>
      </c>
      <c r="AP174" s="149"/>
      <c r="AQ174" s="150"/>
      <c r="AX174" s="31" t="str">
        <f>IFERROR(INDEX('G-7 Rivers Data'!$AZ$3:$AZ$7,MATCH(N174,'G-7 Rivers Data'!$AY$3:$AY$7,0)),"")</f>
        <v/>
      </c>
    </row>
    <row r="175" spans="2:50" ht="13.8" x14ac:dyDescent="0.25">
      <c r="B175" s="531" t="str">
        <f>'F-1 Off Site River Baseline'!AN173</f>
        <v/>
      </c>
      <c r="C175" s="520" t="str">
        <f>IF(B175="","",VLOOKUP($B175,'F-1 Off Site River Baseline'!$C$9:$R$257,2,FALSE))</f>
        <v/>
      </c>
      <c r="D175" s="520" t="str">
        <f>IF(C175="","",VLOOKUP($B175,'F-1 Off Site River Baseline'!$C$9:$R$257,3,FALSE))</f>
        <v/>
      </c>
      <c r="E175" s="520" t="str">
        <f>IF(D175="","",VLOOKUP($B175,'F-1 Off Site River Baseline'!$C$9:$R$257,4,FALSE))</f>
        <v/>
      </c>
      <c r="F175" s="520" t="str">
        <f>IF(E175="","",VLOOKUP($B175,'F-1 Off Site River Baseline'!$C$9:$R$257,5,FALSE))</f>
        <v/>
      </c>
      <c r="G175" s="520" t="str">
        <f>IF(F175="","",VLOOKUP($B175,'F-1 Off Site River Baseline'!$C$9:$R$257,6,FALSE))</f>
        <v/>
      </c>
      <c r="H175" s="520" t="str">
        <f>IF(G175="","",VLOOKUP($B175,'F-1 Off Site River Baseline'!$C$9:$R$257,7,FALSE))</f>
        <v/>
      </c>
      <c r="I175" s="520" t="str">
        <f>IF(H175="","",VLOOKUP($B175,'F-1 Off Site River Baseline'!$C$9:$R$257,8,FALSE))</f>
        <v/>
      </c>
      <c r="J175" s="520" t="str">
        <f>IF(I175="","",VLOOKUP($B175,'F-1 Off Site River Baseline'!$C$9:$R$257,9,FALSE))</f>
        <v/>
      </c>
      <c r="K175" s="520" t="str">
        <f>IF(J175="","",VLOOKUP($B175,'F-1 Off Site River Baseline'!$C$9:$R$257,10,FALSE))</f>
        <v/>
      </c>
      <c r="L175" s="520" t="str">
        <f>IF(B175="","",VLOOKUP($B175,'C-1 Site River Baseline'!$C$9:$R$257,15,FALSE))</f>
        <v/>
      </c>
      <c r="M175" s="524" t="str">
        <f>IF(L175="","",VLOOKUP($B175,'F-1 Off Site River Baseline'!$C$9:$R$257,16,FALSE))</f>
        <v/>
      </c>
      <c r="N175" s="418" t="str">
        <f t="shared" si="20"/>
        <v/>
      </c>
      <c r="O175" s="498" t="str">
        <f t="shared" si="21"/>
        <v/>
      </c>
      <c r="P175" s="499" t="str">
        <f>IF(C175="","",IF(AND(LEFT(C175,55)&lt;&gt;LEFT(N175,55),O175="High - High"),"Error - Not like for like ▲",IF(AND(F175=S175,H175&gt;U175),"Error - Can not reduce condition ▲",IF(AND(F175=S175,H175=U175,AJ175='F-1 Off Site River Baseline'!N173,'F-1 Off Site River Baseline'!P173=AL175),"Error - No enhancement ▲",IF(AND(C175&lt;&gt;N175,F175&lt;S175),"Lower Distinctiveness Habitat"&amp;" - "&amp;T175,G175&amp;" - "&amp;T175)))))</f>
        <v/>
      </c>
      <c r="Q175" s="505" t="str">
        <f>IF(N175="","",VLOOKUP(B175,'F-1 Off Site River Baseline'!$C$10:$AA$257,19,FALSE))</f>
        <v/>
      </c>
      <c r="R175" s="498" t="str">
        <f>IF(N175="","",VLOOKUP(N175,'G-7 Rivers Data'!$B$2:$G$8,2,FALSE))</f>
        <v/>
      </c>
      <c r="S175" s="499" t="str">
        <f>IFERROR(VLOOKUP(R175,'G-7 Rivers Data'!$C$4:$D$8,2,FALSE),"")</f>
        <v/>
      </c>
      <c r="T175" s="145"/>
      <c r="U175" s="499" t="str">
        <f>IFERROR(INDEX('G-7 Rivers Data'!$H$4:$L$8,MATCH(N175,'G-7 Rivers Data'!$B$4:$B$8,0),MATCH(T175,'G-7 Rivers Data'!$H$3:$L$3,0)),"")</f>
        <v/>
      </c>
      <c r="V175" s="154"/>
      <c r="W175" s="520" t="str">
        <f>IF(V175="","",IF(VLOOKUP(V175,'G-7 Rivers Data'!$AG$4:$AI$9,2,FALSE)=0,"Spatial Data Missing ⚠",VLOOKUP(V175,'G-7 Rivers Data'!$AG$4:$AI$9,2,FALSE)))</f>
        <v/>
      </c>
      <c r="X175" s="524" t="str">
        <f>IF(V175="","",IF(VLOOKUP(V175,'G-7 Rivers Data'!$AG$4:$AI$9,3,FALSE)=0,"Spatial Data Missing ⚠",VLOOKUP(V175,'G-7 Rivers Data'!$AG$4:$AI$9,3,FALSE)))</f>
        <v/>
      </c>
      <c r="Y175" s="537" t="str">
        <f>IFERROR(IF(OR(LEFT(P175,5)="Error ▲",LEFT(O175,5)="Error ▲"),"Check Data ⚠",IF(F175&lt;S175,'G-7 Rivers Data'!$R$3,INDEX('G-7 Rivers Data'!$U$5:$Y$9,MATCH(G175,'G-7 Rivers Data'!$T$5:$T$9,0),MATCH(T175,'G-7 Rivers Data'!$U$4:$Y$4,0)))),"")</f>
        <v/>
      </c>
      <c r="Z175" s="203"/>
      <c r="AA175" s="203"/>
      <c r="AB175" s="534" t="str">
        <f t="shared" si="16"/>
        <v/>
      </c>
      <c r="AC175" s="521" t="str">
        <f t="shared" si="17"/>
        <v/>
      </c>
      <c r="AD175" s="564" t="str">
        <f>IFERROR(IF(AC175="Check Data ⚠","Check Data ⚠",VLOOKUP(AC175,'G-4 Temporal multipliers'!$A$4:$C$37,3,FALSE)),"")</f>
        <v/>
      </c>
      <c r="AE175" s="537" t="str">
        <f>IF(N175="","",VLOOKUP(N175,'G-7 Rivers Data'!$B$4:$G$8,5,FALSE))</f>
        <v/>
      </c>
      <c r="AF175" s="520" t="str">
        <f t="shared" si="18"/>
        <v/>
      </c>
      <c r="AG175" s="520" t="str">
        <f t="shared" si="22"/>
        <v/>
      </c>
      <c r="AH175" s="524" t="str">
        <f t="shared" si="19"/>
        <v/>
      </c>
      <c r="AI175" s="145"/>
      <c r="AJ175" s="499" t="str">
        <f>IF(AI175="","",IF(VLOOKUP(AI175,'G-7 Rivers Data'!$AA$4:$AB$7,2,FALSE)=0,"Spatial Data Missing ⚠",VLOOKUP(AI175,'G-7 Rivers Data'!$AA$4:$AB$7,2,FALSE)))</f>
        <v/>
      </c>
      <c r="AK175" s="155"/>
      <c r="AL175" s="536" t="str">
        <f>IF(AK175="","",IF(VLOOKUP(AK175,'G-7 Rivers Data'!$AD$4:$AE$8,2,FALSE)=0,"Spatial Data Missing ⚠",VLOOKUP(AK175,'G-7 Rivers Data'!$AD$4:$AE$8,2,FALSE)))</f>
        <v/>
      </c>
      <c r="AM175" s="154"/>
      <c r="AN175" s="524" t="str">
        <f>IF(AM175="","",VLOOKUP(AM175,'G-7 Rivers Data'!$AO$4:$AP$7,2,FALSE))</f>
        <v/>
      </c>
      <c r="AO175" s="545" t="str">
        <f t="shared" si="23"/>
        <v/>
      </c>
      <c r="AP175" s="149"/>
      <c r="AQ175" s="150"/>
      <c r="AX175" s="31" t="str">
        <f>IFERROR(INDEX('G-7 Rivers Data'!$AZ$3:$AZ$7,MATCH(N175,'G-7 Rivers Data'!$AY$3:$AY$7,0)),"")</f>
        <v/>
      </c>
    </row>
    <row r="176" spans="2:50" ht="13.8" x14ac:dyDescent="0.25">
      <c r="B176" s="531" t="str">
        <f>'F-1 Off Site River Baseline'!AN174</f>
        <v/>
      </c>
      <c r="C176" s="520" t="str">
        <f>IF(B176="","",VLOOKUP($B176,'F-1 Off Site River Baseline'!$C$9:$R$257,2,FALSE))</f>
        <v/>
      </c>
      <c r="D176" s="520" t="str">
        <f>IF(C176="","",VLOOKUP($B176,'F-1 Off Site River Baseline'!$C$9:$R$257,3,FALSE))</f>
        <v/>
      </c>
      <c r="E176" s="520" t="str">
        <f>IF(D176="","",VLOOKUP($B176,'F-1 Off Site River Baseline'!$C$9:$R$257,4,FALSE))</f>
        <v/>
      </c>
      <c r="F176" s="520" t="str">
        <f>IF(E176="","",VLOOKUP($B176,'F-1 Off Site River Baseline'!$C$9:$R$257,5,FALSE))</f>
        <v/>
      </c>
      <c r="G176" s="520" t="str">
        <f>IF(F176="","",VLOOKUP($B176,'F-1 Off Site River Baseline'!$C$9:$R$257,6,FALSE))</f>
        <v/>
      </c>
      <c r="H176" s="520" t="str">
        <f>IF(G176="","",VLOOKUP($B176,'F-1 Off Site River Baseline'!$C$9:$R$257,7,FALSE))</f>
        <v/>
      </c>
      <c r="I176" s="520" t="str">
        <f>IF(H176="","",VLOOKUP($B176,'F-1 Off Site River Baseline'!$C$9:$R$257,8,FALSE))</f>
        <v/>
      </c>
      <c r="J176" s="520" t="str">
        <f>IF(I176="","",VLOOKUP($B176,'F-1 Off Site River Baseline'!$C$9:$R$257,9,FALSE))</f>
        <v/>
      </c>
      <c r="K176" s="520" t="str">
        <f>IF(J176="","",VLOOKUP($B176,'F-1 Off Site River Baseline'!$C$9:$R$257,10,FALSE))</f>
        <v/>
      </c>
      <c r="L176" s="520" t="str">
        <f>IF(B176="","",VLOOKUP($B176,'C-1 Site River Baseline'!$C$9:$R$257,15,FALSE))</f>
        <v/>
      </c>
      <c r="M176" s="524" t="str">
        <f>IF(L176="","",VLOOKUP($B176,'F-1 Off Site River Baseline'!$C$9:$R$257,16,FALSE))</f>
        <v/>
      </c>
      <c r="N176" s="418" t="str">
        <f t="shared" si="20"/>
        <v/>
      </c>
      <c r="O176" s="498" t="str">
        <f t="shared" si="21"/>
        <v/>
      </c>
      <c r="P176" s="499" t="str">
        <f>IF(C176="","",IF(AND(LEFT(C176,55)&lt;&gt;LEFT(N176,55),O176="High - High"),"Error - Not like for like ▲",IF(AND(F176=S176,H176&gt;U176),"Error - Can not reduce condition ▲",IF(AND(F176=S176,H176=U176,AJ176='F-1 Off Site River Baseline'!N174,'F-1 Off Site River Baseline'!P174=AL176),"Error - No enhancement ▲",IF(AND(C176&lt;&gt;N176,F176&lt;S176),"Lower Distinctiveness Habitat"&amp;" - "&amp;T176,G176&amp;" - "&amp;T176)))))</f>
        <v/>
      </c>
      <c r="Q176" s="505" t="str">
        <f>IF(N176="","",VLOOKUP(B176,'F-1 Off Site River Baseline'!$C$10:$AA$257,19,FALSE))</f>
        <v/>
      </c>
      <c r="R176" s="498" t="str">
        <f>IF(N176="","",VLOOKUP(N176,'G-7 Rivers Data'!$B$2:$G$8,2,FALSE))</f>
        <v/>
      </c>
      <c r="S176" s="499" t="str">
        <f>IFERROR(VLOOKUP(R176,'G-7 Rivers Data'!$C$4:$D$8,2,FALSE),"")</f>
        <v/>
      </c>
      <c r="T176" s="145"/>
      <c r="U176" s="499" t="str">
        <f>IFERROR(INDEX('G-7 Rivers Data'!$H$4:$L$8,MATCH(N176,'G-7 Rivers Data'!$B$4:$B$8,0),MATCH(T176,'G-7 Rivers Data'!$H$3:$L$3,0)),"")</f>
        <v/>
      </c>
      <c r="V176" s="154"/>
      <c r="W176" s="520" t="str">
        <f>IF(V176="","",IF(VLOOKUP(V176,'G-7 Rivers Data'!$AG$4:$AI$9,2,FALSE)=0,"Spatial Data Missing ⚠",VLOOKUP(V176,'G-7 Rivers Data'!$AG$4:$AI$9,2,FALSE)))</f>
        <v/>
      </c>
      <c r="X176" s="524" t="str">
        <f>IF(V176="","",IF(VLOOKUP(V176,'G-7 Rivers Data'!$AG$4:$AI$9,3,FALSE)=0,"Spatial Data Missing ⚠",VLOOKUP(V176,'G-7 Rivers Data'!$AG$4:$AI$9,3,FALSE)))</f>
        <v/>
      </c>
      <c r="Y176" s="537" t="str">
        <f>IFERROR(IF(OR(LEFT(P176,5)="Error ▲",LEFT(O176,5)="Error ▲"),"Check Data ⚠",IF(F176&lt;S176,'G-7 Rivers Data'!$R$3,INDEX('G-7 Rivers Data'!$U$5:$Y$9,MATCH(G176,'G-7 Rivers Data'!$T$5:$T$9,0),MATCH(T176,'G-7 Rivers Data'!$U$4:$Y$4,0)))),"")</f>
        <v/>
      </c>
      <c r="Z176" s="203"/>
      <c r="AA176" s="203"/>
      <c r="AB176" s="534" t="str">
        <f t="shared" si="16"/>
        <v/>
      </c>
      <c r="AC176" s="521" t="str">
        <f t="shared" si="17"/>
        <v/>
      </c>
      <c r="AD176" s="564" t="str">
        <f>IFERROR(IF(AC176="Check Data ⚠","Check Data ⚠",VLOOKUP(AC176,'G-4 Temporal multipliers'!$A$4:$C$37,3,FALSE)),"")</f>
        <v/>
      </c>
      <c r="AE176" s="537" t="str">
        <f>IF(N176="","",VLOOKUP(N176,'G-7 Rivers Data'!$B$4:$G$8,5,FALSE))</f>
        <v/>
      </c>
      <c r="AF176" s="520" t="str">
        <f t="shared" si="18"/>
        <v/>
      </c>
      <c r="AG176" s="520" t="str">
        <f t="shared" si="22"/>
        <v/>
      </c>
      <c r="AH176" s="524" t="str">
        <f t="shared" si="19"/>
        <v/>
      </c>
      <c r="AI176" s="145"/>
      <c r="AJ176" s="499" t="str">
        <f>IF(AI176="","",IF(VLOOKUP(AI176,'G-7 Rivers Data'!$AA$4:$AB$7,2,FALSE)=0,"Spatial Data Missing ⚠",VLOOKUP(AI176,'G-7 Rivers Data'!$AA$4:$AB$7,2,FALSE)))</f>
        <v/>
      </c>
      <c r="AK176" s="155"/>
      <c r="AL176" s="536" t="str">
        <f>IF(AK176="","",IF(VLOOKUP(AK176,'G-7 Rivers Data'!$AD$4:$AE$8,2,FALSE)=0,"Spatial Data Missing ⚠",VLOOKUP(AK176,'G-7 Rivers Data'!$AD$4:$AE$8,2,FALSE)))</f>
        <v/>
      </c>
      <c r="AM176" s="154"/>
      <c r="AN176" s="524" t="str">
        <f>IF(AM176="","",VLOOKUP(AM176,'G-7 Rivers Data'!$AO$4:$AP$7,2,FALSE))</f>
        <v/>
      </c>
      <c r="AO176" s="545" t="str">
        <f t="shared" si="23"/>
        <v/>
      </c>
      <c r="AP176" s="149"/>
      <c r="AQ176" s="150"/>
      <c r="AX176" s="31" t="str">
        <f>IFERROR(INDEX('G-7 Rivers Data'!$AZ$3:$AZ$7,MATCH(N176,'G-7 Rivers Data'!$AY$3:$AY$7,0)),"")</f>
        <v/>
      </c>
    </row>
    <row r="177" spans="2:50" ht="13.8" x14ac:dyDescent="0.25">
      <c r="B177" s="531" t="str">
        <f>'F-1 Off Site River Baseline'!AN175</f>
        <v/>
      </c>
      <c r="C177" s="520" t="str">
        <f>IF(B177="","",VLOOKUP($B177,'F-1 Off Site River Baseline'!$C$9:$R$257,2,FALSE))</f>
        <v/>
      </c>
      <c r="D177" s="520" t="str">
        <f>IF(C177="","",VLOOKUP($B177,'F-1 Off Site River Baseline'!$C$9:$R$257,3,FALSE))</f>
        <v/>
      </c>
      <c r="E177" s="520" t="str">
        <f>IF(D177="","",VLOOKUP($B177,'F-1 Off Site River Baseline'!$C$9:$R$257,4,FALSE))</f>
        <v/>
      </c>
      <c r="F177" s="520" t="str">
        <f>IF(E177="","",VLOOKUP($B177,'F-1 Off Site River Baseline'!$C$9:$R$257,5,FALSE))</f>
        <v/>
      </c>
      <c r="G177" s="520" t="str">
        <f>IF(F177="","",VLOOKUP($B177,'F-1 Off Site River Baseline'!$C$9:$R$257,6,FALSE))</f>
        <v/>
      </c>
      <c r="H177" s="520" t="str">
        <f>IF(G177="","",VLOOKUP($B177,'F-1 Off Site River Baseline'!$C$9:$R$257,7,FALSE))</f>
        <v/>
      </c>
      <c r="I177" s="520" t="str">
        <f>IF(H177="","",VLOOKUP($B177,'F-1 Off Site River Baseline'!$C$9:$R$257,8,FALSE))</f>
        <v/>
      </c>
      <c r="J177" s="520" t="str">
        <f>IF(I177="","",VLOOKUP($B177,'F-1 Off Site River Baseline'!$C$9:$R$257,9,FALSE))</f>
        <v/>
      </c>
      <c r="K177" s="520" t="str">
        <f>IF(J177="","",VLOOKUP($B177,'F-1 Off Site River Baseline'!$C$9:$R$257,10,FALSE))</f>
        <v/>
      </c>
      <c r="L177" s="520" t="str">
        <f>IF(B177="","",VLOOKUP($B177,'C-1 Site River Baseline'!$C$9:$R$257,15,FALSE))</f>
        <v/>
      </c>
      <c r="M177" s="524" t="str">
        <f>IF(L177="","",VLOOKUP($B177,'F-1 Off Site River Baseline'!$C$9:$R$257,16,FALSE))</f>
        <v/>
      </c>
      <c r="N177" s="418" t="str">
        <f t="shared" si="20"/>
        <v/>
      </c>
      <c r="O177" s="498" t="str">
        <f t="shared" si="21"/>
        <v/>
      </c>
      <c r="P177" s="499" t="str">
        <f>IF(C177="","",IF(AND(LEFT(C177,55)&lt;&gt;LEFT(N177,55),O177="High - High"),"Error - Not like for like ▲",IF(AND(F177=S177,H177&gt;U177),"Error - Can not reduce condition ▲",IF(AND(F177=S177,H177=U177,AJ177='F-1 Off Site River Baseline'!N175,'F-1 Off Site River Baseline'!P175=AL177),"Error - No enhancement ▲",IF(AND(C177&lt;&gt;N177,F177&lt;S177),"Lower Distinctiveness Habitat"&amp;" - "&amp;T177,G177&amp;" - "&amp;T177)))))</f>
        <v/>
      </c>
      <c r="Q177" s="505" t="str">
        <f>IF(N177="","",VLOOKUP(B177,'F-1 Off Site River Baseline'!$C$10:$AA$257,19,FALSE))</f>
        <v/>
      </c>
      <c r="R177" s="498" t="str">
        <f>IF(N177="","",VLOOKUP(N177,'G-7 Rivers Data'!$B$2:$G$8,2,FALSE))</f>
        <v/>
      </c>
      <c r="S177" s="499" t="str">
        <f>IFERROR(VLOOKUP(R177,'G-7 Rivers Data'!$C$4:$D$8,2,FALSE),"")</f>
        <v/>
      </c>
      <c r="T177" s="145"/>
      <c r="U177" s="499" t="str">
        <f>IFERROR(INDEX('G-7 Rivers Data'!$H$4:$L$8,MATCH(N177,'G-7 Rivers Data'!$B$4:$B$8,0),MATCH(T177,'G-7 Rivers Data'!$H$3:$L$3,0)),"")</f>
        <v/>
      </c>
      <c r="V177" s="154"/>
      <c r="W177" s="520" t="str">
        <f>IF(V177="","",IF(VLOOKUP(V177,'G-7 Rivers Data'!$AG$4:$AI$9,2,FALSE)=0,"Spatial Data Missing ⚠",VLOOKUP(V177,'G-7 Rivers Data'!$AG$4:$AI$9,2,FALSE)))</f>
        <v/>
      </c>
      <c r="X177" s="524" t="str">
        <f>IF(V177="","",IF(VLOOKUP(V177,'G-7 Rivers Data'!$AG$4:$AI$9,3,FALSE)=0,"Spatial Data Missing ⚠",VLOOKUP(V177,'G-7 Rivers Data'!$AG$4:$AI$9,3,FALSE)))</f>
        <v/>
      </c>
      <c r="Y177" s="537" t="str">
        <f>IFERROR(IF(OR(LEFT(P177,5)="Error ▲",LEFT(O177,5)="Error ▲"),"Check Data ⚠",IF(F177&lt;S177,'G-7 Rivers Data'!$R$3,INDEX('G-7 Rivers Data'!$U$5:$Y$9,MATCH(G177,'G-7 Rivers Data'!$T$5:$T$9,0),MATCH(T177,'G-7 Rivers Data'!$U$4:$Y$4,0)))),"")</f>
        <v/>
      </c>
      <c r="Z177" s="203"/>
      <c r="AA177" s="203"/>
      <c r="AB177" s="534" t="str">
        <f t="shared" si="16"/>
        <v/>
      </c>
      <c r="AC177" s="521" t="str">
        <f t="shared" si="17"/>
        <v/>
      </c>
      <c r="AD177" s="564" t="str">
        <f>IFERROR(IF(AC177="Check Data ⚠","Check Data ⚠",VLOOKUP(AC177,'G-4 Temporal multipliers'!$A$4:$C$37,3,FALSE)),"")</f>
        <v/>
      </c>
      <c r="AE177" s="537" t="str">
        <f>IF(N177="","",VLOOKUP(N177,'G-7 Rivers Data'!$B$4:$G$8,5,FALSE))</f>
        <v/>
      </c>
      <c r="AF177" s="520" t="str">
        <f t="shared" si="18"/>
        <v/>
      </c>
      <c r="AG177" s="520" t="str">
        <f t="shared" si="22"/>
        <v/>
      </c>
      <c r="AH177" s="524" t="str">
        <f t="shared" si="19"/>
        <v/>
      </c>
      <c r="AI177" s="145"/>
      <c r="AJ177" s="499" t="str">
        <f>IF(AI177="","",IF(VLOOKUP(AI177,'G-7 Rivers Data'!$AA$4:$AB$7,2,FALSE)=0,"Spatial Data Missing ⚠",VLOOKUP(AI177,'G-7 Rivers Data'!$AA$4:$AB$7,2,FALSE)))</f>
        <v/>
      </c>
      <c r="AK177" s="155"/>
      <c r="AL177" s="536" t="str">
        <f>IF(AK177="","",IF(VLOOKUP(AK177,'G-7 Rivers Data'!$AD$4:$AE$8,2,FALSE)=0,"Spatial Data Missing ⚠",VLOOKUP(AK177,'G-7 Rivers Data'!$AD$4:$AE$8,2,FALSE)))</f>
        <v/>
      </c>
      <c r="AM177" s="154"/>
      <c r="AN177" s="524" t="str">
        <f>IF(AM177="","",VLOOKUP(AM177,'G-7 Rivers Data'!$AO$4:$AP$7,2,FALSE))</f>
        <v/>
      </c>
      <c r="AO177" s="545" t="str">
        <f t="shared" si="23"/>
        <v/>
      </c>
      <c r="AP177" s="149"/>
      <c r="AQ177" s="150"/>
      <c r="AX177" s="31" t="str">
        <f>IFERROR(INDEX('G-7 Rivers Data'!$AZ$3:$AZ$7,MATCH(N177,'G-7 Rivers Data'!$AY$3:$AY$7,0)),"")</f>
        <v/>
      </c>
    </row>
    <row r="178" spans="2:50" ht="13.8" x14ac:dyDescent="0.25">
      <c r="B178" s="531" t="str">
        <f>'F-1 Off Site River Baseline'!AN176</f>
        <v/>
      </c>
      <c r="C178" s="520" t="str">
        <f>IF(B178="","",VLOOKUP($B178,'F-1 Off Site River Baseline'!$C$9:$R$257,2,FALSE))</f>
        <v/>
      </c>
      <c r="D178" s="520" t="str">
        <f>IF(C178="","",VLOOKUP($B178,'F-1 Off Site River Baseline'!$C$9:$R$257,3,FALSE))</f>
        <v/>
      </c>
      <c r="E178" s="520" t="str">
        <f>IF(D178="","",VLOOKUP($B178,'F-1 Off Site River Baseline'!$C$9:$R$257,4,FALSE))</f>
        <v/>
      </c>
      <c r="F178" s="520" t="str">
        <f>IF(E178="","",VLOOKUP($B178,'F-1 Off Site River Baseline'!$C$9:$R$257,5,FALSE))</f>
        <v/>
      </c>
      <c r="G178" s="520" t="str">
        <f>IF(F178="","",VLOOKUP($B178,'F-1 Off Site River Baseline'!$C$9:$R$257,6,FALSE))</f>
        <v/>
      </c>
      <c r="H178" s="520" t="str">
        <f>IF(G178="","",VLOOKUP($B178,'F-1 Off Site River Baseline'!$C$9:$R$257,7,FALSE))</f>
        <v/>
      </c>
      <c r="I178" s="520" t="str">
        <f>IF(H178="","",VLOOKUP($B178,'F-1 Off Site River Baseline'!$C$9:$R$257,8,FALSE))</f>
        <v/>
      </c>
      <c r="J178" s="520" t="str">
        <f>IF(I178="","",VLOOKUP($B178,'F-1 Off Site River Baseline'!$C$9:$R$257,9,FALSE))</f>
        <v/>
      </c>
      <c r="K178" s="520" t="str">
        <f>IF(J178="","",VLOOKUP($B178,'F-1 Off Site River Baseline'!$C$9:$R$257,10,FALSE))</f>
        <v/>
      </c>
      <c r="L178" s="520" t="str">
        <f>IF(B178="","",VLOOKUP($B178,'C-1 Site River Baseline'!$C$9:$R$257,15,FALSE))</f>
        <v/>
      </c>
      <c r="M178" s="524" t="str">
        <f>IF(L178="","",VLOOKUP($B178,'F-1 Off Site River Baseline'!$C$9:$R$257,16,FALSE))</f>
        <v/>
      </c>
      <c r="N178" s="418" t="str">
        <f t="shared" si="20"/>
        <v/>
      </c>
      <c r="O178" s="498" t="str">
        <f t="shared" si="21"/>
        <v/>
      </c>
      <c r="P178" s="499" t="str">
        <f>IF(C178="","",IF(AND(LEFT(C178,55)&lt;&gt;LEFT(N178,55),O178="High - High"),"Error - Not like for like ▲",IF(AND(F178=S178,H178&gt;U178),"Error - Can not reduce condition ▲",IF(AND(F178=S178,H178=U178,AJ178='F-1 Off Site River Baseline'!N176,'F-1 Off Site River Baseline'!P176=AL178),"Error - No enhancement ▲",IF(AND(C178&lt;&gt;N178,F178&lt;S178),"Lower Distinctiveness Habitat"&amp;" - "&amp;T178,G178&amp;" - "&amp;T178)))))</f>
        <v/>
      </c>
      <c r="Q178" s="505" t="str">
        <f>IF(N178="","",VLOOKUP(B178,'F-1 Off Site River Baseline'!$C$10:$AA$257,19,FALSE))</f>
        <v/>
      </c>
      <c r="R178" s="498" t="str">
        <f>IF(N178="","",VLOOKUP(N178,'G-7 Rivers Data'!$B$2:$G$8,2,FALSE))</f>
        <v/>
      </c>
      <c r="S178" s="499" t="str">
        <f>IFERROR(VLOOKUP(R178,'G-7 Rivers Data'!$C$4:$D$8,2,FALSE),"")</f>
        <v/>
      </c>
      <c r="T178" s="145"/>
      <c r="U178" s="499" t="str">
        <f>IFERROR(INDEX('G-7 Rivers Data'!$H$4:$L$8,MATCH(N178,'G-7 Rivers Data'!$B$4:$B$8,0),MATCH(T178,'G-7 Rivers Data'!$H$3:$L$3,0)),"")</f>
        <v/>
      </c>
      <c r="V178" s="154"/>
      <c r="W178" s="520" t="str">
        <f>IF(V178="","",IF(VLOOKUP(V178,'G-7 Rivers Data'!$AG$4:$AI$9,2,FALSE)=0,"Spatial Data Missing ⚠",VLOOKUP(V178,'G-7 Rivers Data'!$AG$4:$AI$9,2,FALSE)))</f>
        <v/>
      </c>
      <c r="X178" s="524" t="str">
        <f>IF(V178="","",IF(VLOOKUP(V178,'G-7 Rivers Data'!$AG$4:$AI$9,3,FALSE)=0,"Spatial Data Missing ⚠",VLOOKUP(V178,'G-7 Rivers Data'!$AG$4:$AI$9,3,FALSE)))</f>
        <v/>
      </c>
      <c r="Y178" s="537" t="str">
        <f>IFERROR(IF(OR(LEFT(P178,5)="Error ▲",LEFT(O178,5)="Error ▲"),"Check Data ⚠",IF(F178&lt;S178,'G-7 Rivers Data'!$R$3,INDEX('G-7 Rivers Data'!$U$5:$Y$9,MATCH(G178,'G-7 Rivers Data'!$T$5:$T$9,0),MATCH(T178,'G-7 Rivers Data'!$U$4:$Y$4,0)))),"")</f>
        <v/>
      </c>
      <c r="Z178" s="203"/>
      <c r="AA178" s="203"/>
      <c r="AB178" s="534" t="str">
        <f t="shared" si="16"/>
        <v/>
      </c>
      <c r="AC178" s="521" t="str">
        <f t="shared" si="17"/>
        <v/>
      </c>
      <c r="AD178" s="564" t="str">
        <f>IFERROR(IF(AC178="Check Data ⚠","Check Data ⚠",VLOOKUP(AC178,'G-4 Temporal multipliers'!$A$4:$C$37,3,FALSE)),"")</f>
        <v/>
      </c>
      <c r="AE178" s="537" t="str">
        <f>IF(N178="","",VLOOKUP(N178,'G-7 Rivers Data'!$B$4:$G$8,5,FALSE))</f>
        <v/>
      </c>
      <c r="AF178" s="520" t="str">
        <f t="shared" si="18"/>
        <v/>
      </c>
      <c r="AG178" s="520" t="str">
        <f t="shared" si="22"/>
        <v/>
      </c>
      <c r="AH178" s="524" t="str">
        <f t="shared" si="19"/>
        <v/>
      </c>
      <c r="AI178" s="145"/>
      <c r="AJ178" s="499" t="str">
        <f>IF(AI178="","",IF(VLOOKUP(AI178,'G-7 Rivers Data'!$AA$4:$AB$7,2,FALSE)=0,"Spatial Data Missing ⚠",VLOOKUP(AI178,'G-7 Rivers Data'!$AA$4:$AB$7,2,FALSE)))</f>
        <v/>
      </c>
      <c r="AK178" s="155"/>
      <c r="AL178" s="536" t="str">
        <f>IF(AK178="","",IF(VLOOKUP(AK178,'G-7 Rivers Data'!$AD$4:$AE$8,2,FALSE)=0,"Spatial Data Missing ⚠",VLOOKUP(AK178,'G-7 Rivers Data'!$AD$4:$AE$8,2,FALSE)))</f>
        <v/>
      </c>
      <c r="AM178" s="154"/>
      <c r="AN178" s="524" t="str">
        <f>IF(AM178="","",VLOOKUP(AM178,'G-7 Rivers Data'!$AO$4:$AP$7,2,FALSE))</f>
        <v/>
      </c>
      <c r="AO178" s="545" t="str">
        <f t="shared" si="23"/>
        <v/>
      </c>
      <c r="AP178" s="149"/>
      <c r="AQ178" s="150"/>
      <c r="AX178" s="31" t="str">
        <f>IFERROR(INDEX('G-7 Rivers Data'!$AZ$3:$AZ$7,MATCH(N178,'G-7 Rivers Data'!$AY$3:$AY$7,0)),"")</f>
        <v/>
      </c>
    </row>
    <row r="179" spans="2:50" ht="13.8" x14ac:dyDescent="0.25">
      <c r="B179" s="531" t="str">
        <f>'F-1 Off Site River Baseline'!AN177</f>
        <v/>
      </c>
      <c r="C179" s="520" t="str">
        <f>IF(B179="","",VLOOKUP($B179,'F-1 Off Site River Baseline'!$C$9:$R$257,2,FALSE))</f>
        <v/>
      </c>
      <c r="D179" s="520" t="str">
        <f>IF(C179="","",VLOOKUP($B179,'F-1 Off Site River Baseline'!$C$9:$R$257,3,FALSE))</f>
        <v/>
      </c>
      <c r="E179" s="520" t="str">
        <f>IF(D179="","",VLOOKUP($B179,'F-1 Off Site River Baseline'!$C$9:$R$257,4,FALSE))</f>
        <v/>
      </c>
      <c r="F179" s="520" t="str">
        <f>IF(E179="","",VLOOKUP($B179,'F-1 Off Site River Baseline'!$C$9:$R$257,5,FALSE))</f>
        <v/>
      </c>
      <c r="G179" s="520" t="str">
        <f>IF(F179="","",VLOOKUP($B179,'F-1 Off Site River Baseline'!$C$9:$R$257,6,FALSE))</f>
        <v/>
      </c>
      <c r="H179" s="520" t="str">
        <f>IF(G179="","",VLOOKUP($B179,'F-1 Off Site River Baseline'!$C$9:$R$257,7,FALSE))</f>
        <v/>
      </c>
      <c r="I179" s="520" t="str">
        <f>IF(H179="","",VLOOKUP($B179,'F-1 Off Site River Baseline'!$C$9:$R$257,8,FALSE))</f>
        <v/>
      </c>
      <c r="J179" s="520" t="str">
        <f>IF(I179="","",VLOOKUP($B179,'F-1 Off Site River Baseline'!$C$9:$R$257,9,FALSE))</f>
        <v/>
      </c>
      <c r="K179" s="520" t="str">
        <f>IF(J179="","",VLOOKUP($B179,'F-1 Off Site River Baseline'!$C$9:$R$257,10,FALSE))</f>
        <v/>
      </c>
      <c r="L179" s="520" t="str">
        <f>IF(B179="","",VLOOKUP($B179,'C-1 Site River Baseline'!$C$9:$R$257,15,FALSE))</f>
        <v/>
      </c>
      <c r="M179" s="524" t="str">
        <f>IF(L179="","",VLOOKUP($B179,'F-1 Off Site River Baseline'!$C$9:$R$257,16,FALSE))</f>
        <v/>
      </c>
      <c r="N179" s="418" t="str">
        <f t="shared" si="20"/>
        <v/>
      </c>
      <c r="O179" s="498" t="str">
        <f t="shared" si="21"/>
        <v/>
      </c>
      <c r="P179" s="499" t="str">
        <f>IF(C179="","",IF(AND(LEFT(C179,55)&lt;&gt;LEFT(N179,55),O179="High - High"),"Error - Not like for like ▲",IF(AND(F179=S179,H179&gt;U179),"Error - Can not reduce condition ▲",IF(AND(F179=S179,H179=U179,AJ179='F-1 Off Site River Baseline'!N177,'F-1 Off Site River Baseline'!P177=AL179),"Error - No enhancement ▲",IF(AND(C179&lt;&gt;N179,F179&lt;S179),"Lower Distinctiveness Habitat"&amp;" - "&amp;T179,G179&amp;" - "&amp;T179)))))</f>
        <v/>
      </c>
      <c r="Q179" s="505" t="str">
        <f>IF(N179="","",VLOOKUP(B179,'F-1 Off Site River Baseline'!$C$10:$AA$257,19,FALSE))</f>
        <v/>
      </c>
      <c r="R179" s="498" t="str">
        <f>IF(N179="","",VLOOKUP(N179,'G-7 Rivers Data'!$B$2:$G$8,2,FALSE))</f>
        <v/>
      </c>
      <c r="S179" s="499" t="str">
        <f>IFERROR(VLOOKUP(R179,'G-7 Rivers Data'!$C$4:$D$8,2,FALSE),"")</f>
        <v/>
      </c>
      <c r="T179" s="145"/>
      <c r="U179" s="499" t="str">
        <f>IFERROR(INDEX('G-7 Rivers Data'!$H$4:$L$8,MATCH(N179,'G-7 Rivers Data'!$B$4:$B$8,0),MATCH(T179,'G-7 Rivers Data'!$H$3:$L$3,0)),"")</f>
        <v/>
      </c>
      <c r="V179" s="154"/>
      <c r="W179" s="520" t="str">
        <f>IF(V179="","",IF(VLOOKUP(V179,'G-7 Rivers Data'!$AG$4:$AI$9,2,FALSE)=0,"Spatial Data Missing ⚠",VLOOKUP(V179,'G-7 Rivers Data'!$AG$4:$AI$9,2,FALSE)))</f>
        <v/>
      </c>
      <c r="X179" s="524" t="str">
        <f>IF(V179="","",IF(VLOOKUP(V179,'G-7 Rivers Data'!$AG$4:$AI$9,3,FALSE)=0,"Spatial Data Missing ⚠",VLOOKUP(V179,'G-7 Rivers Data'!$AG$4:$AI$9,3,FALSE)))</f>
        <v/>
      </c>
      <c r="Y179" s="537" t="str">
        <f>IFERROR(IF(OR(LEFT(P179,5)="Error ▲",LEFT(O179,5)="Error ▲"),"Check Data ⚠",IF(F179&lt;S179,'G-7 Rivers Data'!$R$3,INDEX('G-7 Rivers Data'!$U$5:$Y$9,MATCH(G179,'G-7 Rivers Data'!$T$5:$T$9,0),MATCH(T179,'G-7 Rivers Data'!$U$4:$Y$4,0)))),"")</f>
        <v/>
      </c>
      <c r="Z179" s="203"/>
      <c r="AA179" s="203"/>
      <c r="AB179" s="534" t="str">
        <f t="shared" si="16"/>
        <v/>
      </c>
      <c r="AC179" s="521" t="str">
        <f t="shared" si="17"/>
        <v/>
      </c>
      <c r="AD179" s="564" t="str">
        <f>IFERROR(IF(AC179="Check Data ⚠","Check Data ⚠",VLOOKUP(AC179,'G-4 Temporal multipliers'!$A$4:$C$37,3,FALSE)),"")</f>
        <v/>
      </c>
      <c r="AE179" s="537" t="str">
        <f>IF(N179="","",VLOOKUP(N179,'G-7 Rivers Data'!$B$4:$G$8,5,FALSE))</f>
        <v/>
      </c>
      <c r="AF179" s="520" t="str">
        <f t="shared" si="18"/>
        <v/>
      </c>
      <c r="AG179" s="520" t="str">
        <f t="shared" si="22"/>
        <v/>
      </c>
      <c r="AH179" s="524" t="str">
        <f t="shared" si="19"/>
        <v/>
      </c>
      <c r="AI179" s="145"/>
      <c r="AJ179" s="499" t="str">
        <f>IF(AI179="","",IF(VLOOKUP(AI179,'G-7 Rivers Data'!$AA$4:$AB$7,2,FALSE)=0,"Spatial Data Missing ⚠",VLOOKUP(AI179,'G-7 Rivers Data'!$AA$4:$AB$7,2,FALSE)))</f>
        <v/>
      </c>
      <c r="AK179" s="155"/>
      <c r="AL179" s="536" t="str">
        <f>IF(AK179="","",IF(VLOOKUP(AK179,'G-7 Rivers Data'!$AD$4:$AE$8,2,FALSE)=0,"Spatial Data Missing ⚠",VLOOKUP(AK179,'G-7 Rivers Data'!$AD$4:$AE$8,2,FALSE)))</f>
        <v/>
      </c>
      <c r="AM179" s="154"/>
      <c r="AN179" s="524" t="str">
        <f>IF(AM179="","",VLOOKUP(AM179,'G-7 Rivers Data'!$AO$4:$AP$7,2,FALSE))</f>
        <v/>
      </c>
      <c r="AO179" s="545" t="str">
        <f t="shared" si="23"/>
        <v/>
      </c>
      <c r="AP179" s="149"/>
      <c r="AQ179" s="150"/>
      <c r="AX179" s="31" t="str">
        <f>IFERROR(INDEX('G-7 Rivers Data'!$AZ$3:$AZ$7,MATCH(N179,'G-7 Rivers Data'!$AY$3:$AY$7,0)),"")</f>
        <v/>
      </c>
    </row>
    <row r="180" spans="2:50" ht="13.8" x14ac:dyDescent="0.25">
      <c r="B180" s="531" t="str">
        <f>'F-1 Off Site River Baseline'!AN178</f>
        <v/>
      </c>
      <c r="C180" s="520" t="str">
        <f>IF(B180="","",VLOOKUP($B180,'F-1 Off Site River Baseline'!$C$9:$R$257,2,FALSE))</f>
        <v/>
      </c>
      <c r="D180" s="520" t="str">
        <f>IF(C180="","",VLOOKUP($B180,'F-1 Off Site River Baseline'!$C$9:$R$257,3,FALSE))</f>
        <v/>
      </c>
      <c r="E180" s="520" t="str">
        <f>IF(D180="","",VLOOKUP($B180,'F-1 Off Site River Baseline'!$C$9:$R$257,4,FALSE))</f>
        <v/>
      </c>
      <c r="F180" s="520" t="str">
        <f>IF(E180="","",VLOOKUP($B180,'F-1 Off Site River Baseline'!$C$9:$R$257,5,FALSE))</f>
        <v/>
      </c>
      <c r="G180" s="520" t="str">
        <f>IF(F180="","",VLOOKUP($B180,'F-1 Off Site River Baseline'!$C$9:$R$257,6,FALSE))</f>
        <v/>
      </c>
      <c r="H180" s="520" t="str">
        <f>IF(G180="","",VLOOKUP($B180,'F-1 Off Site River Baseline'!$C$9:$R$257,7,FALSE))</f>
        <v/>
      </c>
      <c r="I180" s="520" t="str">
        <f>IF(H180="","",VLOOKUP($B180,'F-1 Off Site River Baseline'!$C$9:$R$257,8,FALSE))</f>
        <v/>
      </c>
      <c r="J180" s="520" t="str">
        <f>IF(I180="","",VLOOKUP($B180,'F-1 Off Site River Baseline'!$C$9:$R$257,9,FALSE))</f>
        <v/>
      </c>
      <c r="K180" s="520" t="str">
        <f>IF(J180="","",VLOOKUP($B180,'F-1 Off Site River Baseline'!$C$9:$R$257,10,FALSE))</f>
        <v/>
      </c>
      <c r="L180" s="520" t="str">
        <f>IF(B180="","",VLOOKUP($B180,'C-1 Site River Baseline'!$C$9:$R$257,15,FALSE))</f>
        <v/>
      </c>
      <c r="M180" s="524" t="str">
        <f>IF(L180="","",VLOOKUP($B180,'F-1 Off Site River Baseline'!$C$9:$R$257,16,FALSE))</f>
        <v/>
      </c>
      <c r="N180" s="418" t="str">
        <f t="shared" si="20"/>
        <v/>
      </c>
      <c r="O180" s="498" t="str">
        <f t="shared" si="21"/>
        <v/>
      </c>
      <c r="P180" s="499" t="str">
        <f>IF(C180="","",IF(AND(LEFT(C180,55)&lt;&gt;LEFT(N180,55),O180="High - High"),"Error - Not like for like ▲",IF(AND(F180=S180,H180&gt;U180),"Error - Can not reduce condition ▲",IF(AND(F180=S180,H180=U180,AJ180='F-1 Off Site River Baseline'!N178,'F-1 Off Site River Baseline'!P178=AL180),"Error - No enhancement ▲",IF(AND(C180&lt;&gt;N180,F180&lt;S180),"Lower Distinctiveness Habitat"&amp;" - "&amp;T180,G180&amp;" - "&amp;T180)))))</f>
        <v/>
      </c>
      <c r="Q180" s="505" t="str">
        <f>IF(N180="","",VLOOKUP(B180,'F-1 Off Site River Baseline'!$C$10:$AA$257,19,FALSE))</f>
        <v/>
      </c>
      <c r="R180" s="498" t="str">
        <f>IF(N180="","",VLOOKUP(N180,'G-7 Rivers Data'!$B$2:$G$8,2,FALSE))</f>
        <v/>
      </c>
      <c r="S180" s="499" t="str">
        <f>IFERROR(VLOOKUP(R180,'G-7 Rivers Data'!$C$4:$D$8,2,FALSE),"")</f>
        <v/>
      </c>
      <c r="T180" s="145"/>
      <c r="U180" s="499" t="str">
        <f>IFERROR(INDEX('G-7 Rivers Data'!$H$4:$L$8,MATCH(N180,'G-7 Rivers Data'!$B$4:$B$8,0),MATCH(T180,'G-7 Rivers Data'!$H$3:$L$3,0)),"")</f>
        <v/>
      </c>
      <c r="V180" s="154"/>
      <c r="W180" s="520" t="str">
        <f>IF(V180="","",IF(VLOOKUP(V180,'G-7 Rivers Data'!$AG$4:$AI$9,2,FALSE)=0,"Spatial Data Missing ⚠",VLOOKUP(V180,'G-7 Rivers Data'!$AG$4:$AI$9,2,FALSE)))</f>
        <v/>
      </c>
      <c r="X180" s="524" t="str">
        <f>IF(V180="","",IF(VLOOKUP(V180,'G-7 Rivers Data'!$AG$4:$AI$9,3,FALSE)=0,"Spatial Data Missing ⚠",VLOOKUP(V180,'G-7 Rivers Data'!$AG$4:$AI$9,3,FALSE)))</f>
        <v/>
      </c>
      <c r="Y180" s="537" t="str">
        <f>IFERROR(IF(OR(LEFT(P180,5)="Error ▲",LEFT(O180,5)="Error ▲"),"Check Data ⚠",IF(F180&lt;S180,'G-7 Rivers Data'!$R$3,INDEX('G-7 Rivers Data'!$U$5:$Y$9,MATCH(G180,'G-7 Rivers Data'!$T$5:$T$9,0),MATCH(T180,'G-7 Rivers Data'!$U$4:$Y$4,0)))),"")</f>
        <v/>
      </c>
      <c r="Z180" s="203"/>
      <c r="AA180" s="203"/>
      <c r="AB180" s="534" t="str">
        <f t="shared" si="16"/>
        <v/>
      </c>
      <c r="AC180" s="521" t="str">
        <f t="shared" si="17"/>
        <v/>
      </c>
      <c r="AD180" s="564" t="str">
        <f>IFERROR(IF(AC180="Check Data ⚠","Check Data ⚠",VLOOKUP(AC180,'G-4 Temporal multipliers'!$A$4:$C$37,3,FALSE)),"")</f>
        <v/>
      </c>
      <c r="AE180" s="537" t="str">
        <f>IF(N180="","",VLOOKUP(N180,'G-7 Rivers Data'!$B$4:$G$8,5,FALSE))</f>
        <v/>
      </c>
      <c r="AF180" s="520" t="str">
        <f t="shared" si="18"/>
        <v/>
      </c>
      <c r="AG180" s="520" t="str">
        <f t="shared" si="22"/>
        <v/>
      </c>
      <c r="AH180" s="524" t="str">
        <f t="shared" si="19"/>
        <v/>
      </c>
      <c r="AI180" s="145"/>
      <c r="AJ180" s="499" t="str">
        <f>IF(AI180="","",IF(VLOOKUP(AI180,'G-7 Rivers Data'!$AA$4:$AB$7,2,FALSE)=0,"Spatial Data Missing ⚠",VLOOKUP(AI180,'G-7 Rivers Data'!$AA$4:$AB$7,2,FALSE)))</f>
        <v/>
      </c>
      <c r="AK180" s="155"/>
      <c r="AL180" s="536" t="str">
        <f>IF(AK180="","",IF(VLOOKUP(AK180,'G-7 Rivers Data'!$AD$4:$AE$8,2,FALSE)=0,"Spatial Data Missing ⚠",VLOOKUP(AK180,'G-7 Rivers Data'!$AD$4:$AE$8,2,FALSE)))</f>
        <v/>
      </c>
      <c r="AM180" s="154"/>
      <c r="AN180" s="524" t="str">
        <f>IF(AM180="","",VLOOKUP(AM180,'G-7 Rivers Data'!$AO$4:$AP$7,2,FALSE))</f>
        <v/>
      </c>
      <c r="AO180" s="545" t="str">
        <f t="shared" si="23"/>
        <v/>
      </c>
      <c r="AP180" s="149"/>
      <c r="AQ180" s="150"/>
      <c r="AX180" s="31" t="str">
        <f>IFERROR(INDEX('G-7 Rivers Data'!$AZ$3:$AZ$7,MATCH(N180,'G-7 Rivers Data'!$AY$3:$AY$7,0)),"")</f>
        <v/>
      </c>
    </row>
    <row r="181" spans="2:50" ht="13.8" x14ac:dyDescent="0.25">
      <c r="B181" s="531" t="str">
        <f>'F-1 Off Site River Baseline'!AN179</f>
        <v/>
      </c>
      <c r="C181" s="520" t="str">
        <f>IF(B181="","",VLOOKUP($B181,'F-1 Off Site River Baseline'!$C$9:$R$257,2,FALSE))</f>
        <v/>
      </c>
      <c r="D181" s="520" t="str">
        <f>IF(C181="","",VLOOKUP($B181,'F-1 Off Site River Baseline'!$C$9:$R$257,3,FALSE))</f>
        <v/>
      </c>
      <c r="E181" s="520" t="str">
        <f>IF(D181="","",VLOOKUP($B181,'F-1 Off Site River Baseline'!$C$9:$R$257,4,FALSE))</f>
        <v/>
      </c>
      <c r="F181" s="520" t="str">
        <f>IF(E181="","",VLOOKUP($B181,'F-1 Off Site River Baseline'!$C$9:$R$257,5,FALSE))</f>
        <v/>
      </c>
      <c r="G181" s="520" t="str">
        <f>IF(F181="","",VLOOKUP($B181,'F-1 Off Site River Baseline'!$C$9:$R$257,6,FALSE))</f>
        <v/>
      </c>
      <c r="H181" s="520" t="str">
        <f>IF(G181="","",VLOOKUP($B181,'F-1 Off Site River Baseline'!$C$9:$R$257,7,FALSE))</f>
        <v/>
      </c>
      <c r="I181" s="520" t="str">
        <f>IF(H181="","",VLOOKUP($B181,'F-1 Off Site River Baseline'!$C$9:$R$257,8,FALSE))</f>
        <v/>
      </c>
      <c r="J181" s="520" t="str">
        <f>IF(I181="","",VLOOKUP($B181,'F-1 Off Site River Baseline'!$C$9:$R$257,9,FALSE))</f>
        <v/>
      </c>
      <c r="K181" s="520" t="str">
        <f>IF(J181="","",VLOOKUP($B181,'F-1 Off Site River Baseline'!$C$9:$R$257,10,FALSE))</f>
        <v/>
      </c>
      <c r="L181" s="520" t="str">
        <f>IF(B181="","",VLOOKUP($B181,'C-1 Site River Baseline'!$C$9:$R$257,15,FALSE))</f>
        <v/>
      </c>
      <c r="M181" s="524" t="str">
        <f>IF(L181="","",VLOOKUP($B181,'F-1 Off Site River Baseline'!$C$9:$R$257,16,FALSE))</f>
        <v/>
      </c>
      <c r="N181" s="418" t="str">
        <f t="shared" si="20"/>
        <v/>
      </c>
      <c r="O181" s="498" t="str">
        <f t="shared" si="21"/>
        <v/>
      </c>
      <c r="P181" s="499" t="str">
        <f>IF(C181="","",IF(AND(LEFT(C181,55)&lt;&gt;LEFT(N181,55),O181="High - High"),"Error - Not like for like ▲",IF(AND(F181=S181,H181&gt;U181),"Error - Can not reduce condition ▲",IF(AND(F181=S181,H181=U181,AJ181='F-1 Off Site River Baseline'!N179,'F-1 Off Site River Baseline'!P179=AL181),"Error - No enhancement ▲",IF(AND(C181&lt;&gt;N181,F181&lt;S181),"Lower Distinctiveness Habitat"&amp;" - "&amp;T181,G181&amp;" - "&amp;T181)))))</f>
        <v/>
      </c>
      <c r="Q181" s="505" t="str">
        <f>IF(N181="","",VLOOKUP(B181,'F-1 Off Site River Baseline'!$C$10:$AA$257,19,FALSE))</f>
        <v/>
      </c>
      <c r="R181" s="498" t="str">
        <f>IF(N181="","",VLOOKUP(N181,'G-7 Rivers Data'!$B$2:$G$8,2,FALSE))</f>
        <v/>
      </c>
      <c r="S181" s="499" t="str">
        <f>IFERROR(VLOOKUP(R181,'G-7 Rivers Data'!$C$4:$D$8,2,FALSE),"")</f>
        <v/>
      </c>
      <c r="T181" s="145"/>
      <c r="U181" s="499" t="str">
        <f>IFERROR(INDEX('G-7 Rivers Data'!$H$4:$L$8,MATCH(N181,'G-7 Rivers Data'!$B$4:$B$8,0),MATCH(T181,'G-7 Rivers Data'!$H$3:$L$3,0)),"")</f>
        <v/>
      </c>
      <c r="V181" s="154"/>
      <c r="W181" s="520" t="str">
        <f>IF(V181="","",IF(VLOOKUP(V181,'G-7 Rivers Data'!$AG$4:$AI$9,2,FALSE)=0,"Spatial Data Missing ⚠",VLOOKUP(V181,'G-7 Rivers Data'!$AG$4:$AI$9,2,FALSE)))</f>
        <v/>
      </c>
      <c r="X181" s="524" t="str">
        <f>IF(V181="","",IF(VLOOKUP(V181,'G-7 Rivers Data'!$AG$4:$AI$9,3,FALSE)=0,"Spatial Data Missing ⚠",VLOOKUP(V181,'G-7 Rivers Data'!$AG$4:$AI$9,3,FALSE)))</f>
        <v/>
      </c>
      <c r="Y181" s="537" t="str">
        <f>IFERROR(IF(OR(LEFT(P181,5)="Error ▲",LEFT(O181,5)="Error ▲"),"Check Data ⚠",IF(F181&lt;S181,'G-7 Rivers Data'!$R$3,INDEX('G-7 Rivers Data'!$U$5:$Y$9,MATCH(G181,'G-7 Rivers Data'!$T$5:$T$9,0),MATCH(T181,'G-7 Rivers Data'!$U$4:$Y$4,0)))),"")</f>
        <v/>
      </c>
      <c r="Z181" s="203"/>
      <c r="AA181" s="203"/>
      <c r="AB181" s="534" t="str">
        <f t="shared" si="16"/>
        <v/>
      </c>
      <c r="AC181" s="521" t="str">
        <f t="shared" si="17"/>
        <v/>
      </c>
      <c r="AD181" s="564" t="str">
        <f>IFERROR(IF(AC181="Check Data ⚠","Check Data ⚠",VLOOKUP(AC181,'G-4 Temporal multipliers'!$A$4:$C$37,3,FALSE)),"")</f>
        <v/>
      </c>
      <c r="AE181" s="537" t="str">
        <f>IF(N181="","",VLOOKUP(N181,'G-7 Rivers Data'!$B$4:$G$8,5,FALSE))</f>
        <v/>
      </c>
      <c r="AF181" s="520" t="str">
        <f t="shared" si="18"/>
        <v/>
      </c>
      <c r="AG181" s="520" t="str">
        <f t="shared" si="22"/>
        <v/>
      </c>
      <c r="AH181" s="524" t="str">
        <f t="shared" si="19"/>
        <v/>
      </c>
      <c r="AI181" s="145"/>
      <c r="AJ181" s="499" t="str">
        <f>IF(AI181="","",IF(VLOOKUP(AI181,'G-7 Rivers Data'!$AA$4:$AB$7,2,FALSE)=0,"Spatial Data Missing ⚠",VLOOKUP(AI181,'G-7 Rivers Data'!$AA$4:$AB$7,2,FALSE)))</f>
        <v/>
      </c>
      <c r="AK181" s="155"/>
      <c r="AL181" s="536" t="str">
        <f>IF(AK181="","",IF(VLOOKUP(AK181,'G-7 Rivers Data'!$AD$4:$AE$8,2,FALSE)=0,"Spatial Data Missing ⚠",VLOOKUP(AK181,'G-7 Rivers Data'!$AD$4:$AE$8,2,FALSE)))</f>
        <v/>
      </c>
      <c r="AM181" s="154"/>
      <c r="AN181" s="524" t="str">
        <f>IF(AM181="","",VLOOKUP(AM181,'G-7 Rivers Data'!$AO$4:$AP$7,2,FALSE))</f>
        <v/>
      </c>
      <c r="AO181" s="545" t="str">
        <f t="shared" si="23"/>
        <v/>
      </c>
      <c r="AP181" s="149"/>
      <c r="AQ181" s="150"/>
      <c r="AX181" s="31" t="str">
        <f>IFERROR(INDEX('G-7 Rivers Data'!$AZ$3:$AZ$7,MATCH(N181,'G-7 Rivers Data'!$AY$3:$AY$7,0)),"")</f>
        <v/>
      </c>
    </row>
    <row r="182" spans="2:50" ht="13.8" x14ac:dyDescent="0.25">
      <c r="B182" s="531" t="str">
        <f>'F-1 Off Site River Baseline'!AN180</f>
        <v/>
      </c>
      <c r="C182" s="520" t="str">
        <f>IF(B182="","",VLOOKUP($B182,'F-1 Off Site River Baseline'!$C$9:$R$257,2,FALSE))</f>
        <v/>
      </c>
      <c r="D182" s="520" t="str">
        <f>IF(C182="","",VLOOKUP($B182,'F-1 Off Site River Baseline'!$C$9:$R$257,3,FALSE))</f>
        <v/>
      </c>
      <c r="E182" s="520" t="str">
        <f>IF(D182="","",VLOOKUP($B182,'F-1 Off Site River Baseline'!$C$9:$R$257,4,FALSE))</f>
        <v/>
      </c>
      <c r="F182" s="520" t="str">
        <f>IF(E182="","",VLOOKUP($B182,'F-1 Off Site River Baseline'!$C$9:$R$257,5,FALSE))</f>
        <v/>
      </c>
      <c r="G182" s="520" t="str">
        <f>IF(F182="","",VLOOKUP($B182,'F-1 Off Site River Baseline'!$C$9:$R$257,6,FALSE))</f>
        <v/>
      </c>
      <c r="H182" s="520" t="str">
        <f>IF(G182="","",VLOOKUP($B182,'F-1 Off Site River Baseline'!$C$9:$R$257,7,FALSE))</f>
        <v/>
      </c>
      <c r="I182" s="520" t="str">
        <f>IF(H182="","",VLOOKUP($B182,'F-1 Off Site River Baseline'!$C$9:$R$257,8,FALSE))</f>
        <v/>
      </c>
      <c r="J182" s="520" t="str">
        <f>IF(I182="","",VLOOKUP($B182,'F-1 Off Site River Baseline'!$C$9:$R$257,9,FALSE))</f>
        <v/>
      </c>
      <c r="K182" s="520" t="str">
        <f>IF(J182="","",VLOOKUP($B182,'F-1 Off Site River Baseline'!$C$9:$R$257,10,FALSE))</f>
        <v/>
      </c>
      <c r="L182" s="520" t="str">
        <f>IF(B182="","",VLOOKUP($B182,'C-1 Site River Baseline'!$C$9:$R$257,15,FALSE))</f>
        <v/>
      </c>
      <c r="M182" s="524" t="str">
        <f>IF(L182="","",VLOOKUP($B182,'F-1 Off Site River Baseline'!$C$9:$R$257,16,FALSE))</f>
        <v/>
      </c>
      <c r="N182" s="418" t="str">
        <f t="shared" si="20"/>
        <v/>
      </c>
      <c r="O182" s="498" t="str">
        <f t="shared" si="21"/>
        <v/>
      </c>
      <c r="P182" s="499" t="str">
        <f>IF(C182="","",IF(AND(LEFT(C182,55)&lt;&gt;LEFT(N182,55),O182="High - High"),"Error - Not like for like ▲",IF(AND(F182=S182,H182&gt;U182),"Error - Can not reduce condition ▲",IF(AND(F182=S182,H182=U182,AJ182='F-1 Off Site River Baseline'!N180,'F-1 Off Site River Baseline'!P180=AL182),"Error - No enhancement ▲",IF(AND(C182&lt;&gt;N182,F182&lt;S182),"Lower Distinctiveness Habitat"&amp;" - "&amp;T182,G182&amp;" - "&amp;T182)))))</f>
        <v/>
      </c>
      <c r="Q182" s="505" t="str">
        <f>IF(N182="","",VLOOKUP(B182,'F-1 Off Site River Baseline'!$C$10:$AA$257,19,FALSE))</f>
        <v/>
      </c>
      <c r="R182" s="498" t="str">
        <f>IF(N182="","",VLOOKUP(N182,'G-7 Rivers Data'!$B$2:$G$8,2,FALSE))</f>
        <v/>
      </c>
      <c r="S182" s="499" t="str">
        <f>IFERROR(VLOOKUP(R182,'G-7 Rivers Data'!$C$4:$D$8,2,FALSE),"")</f>
        <v/>
      </c>
      <c r="T182" s="145"/>
      <c r="U182" s="499" t="str">
        <f>IFERROR(INDEX('G-7 Rivers Data'!$H$4:$L$8,MATCH(N182,'G-7 Rivers Data'!$B$4:$B$8,0),MATCH(T182,'G-7 Rivers Data'!$H$3:$L$3,0)),"")</f>
        <v/>
      </c>
      <c r="V182" s="154"/>
      <c r="W182" s="520" t="str">
        <f>IF(V182="","",IF(VLOOKUP(V182,'G-7 Rivers Data'!$AG$4:$AI$9,2,FALSE)=0,"Spatial Data Missing ⚠",VLOOKUP(V182,'G-7 Rivers Data'!$AG$4:$AI$9,2,FALSE)))</f>
        <v/>
      </c>
      <c r="X182" s="524" t="str">
        <f>IF(V182="","",IF(VLOOKUP(V182,'G-7 Rivers Data'!$AG$4:$AI$9,3,FALSE)=0,"Spatial Data Missing ⚠",VLOOKUP(V182,'G-7 Rivers Data'!$AG$4:$AI$9,3,FALSE)))</f>
        <v/>
      </c>
      <c r="Y182" s="537" t="str">
        <f>IFERROR(IF(OR(LEFT(P182,5)="Error ▲",LEFT(O182,5)="Error ▲"),"Check Data ⚠",IF(F182&lt;S182,'G-7 Rivers Data'!$R$3,INDEX('G-7 Rivers Data'!$U$5:$Y$9,MATCH(G182,'G-7 Rivers Data'!$T$5:$T$9,0),MATCH(T182,'G-7 Rivers Data'!$U$4:$Y$4,0)))),"")</f>
        <v/>
      </c>
      <c r="Z182" s="203"/>
      <c r="AA182" s="203"/>
      <c r="AB182" s="534" t="str">
        <f t="shared" si="16"/>
        <v/>
      </c>
      <c r="AC182" s="521" t="str">
        <f t="shared" si="17"/>
        <v/>
      </c>
      <c r="AD182" s="564" t="str">
        <f>IFERROR(IF(AC182="Check Data ⚠","Check Data ⚠",VLOOKUP(AC182,'G-4 Temporal multipliers'!$A$4:$C$37,3,FALSE)),"")</f>
        <v/>
      </c>
      <c r="AE182" s="537" t="str">
        <f>IF(N182="","",VLOOKUP(N182,'G-7 Rivers Data'!$B$4:$G$8,5,FALSE))</f>
        <v/>
      </c>
      <c r="AF182" s="520" t="str">
        <f t="shared" si="18"/>
        <v/>
      </c>
      <c r="AG182" s="520" t="str">
        <f t="shared" si="22"/>
        <v/>
      </c>
      <c r="AH182" s="524" t="str">
        <f t="shared" si="19"/>
        <v/>
      </c>
      <c r="AI182" s="145"/>
      <c r="AJ182" s="499" t="str">
        <f>IF(AI182="","",IF(VLOOKUP(AI182,'G-7 Rivers Data'!$AA$4:$AB$7,2,FALSE)=0,"Spatial Data Missing ⚠",VLOOKUP(AI182,'G-7 Rivers Data'!$AA$4:$AB$7,2,FALSE)))</f>
        <v/>
      </c>
      <c r="AK182" s="155"/>
      <c r="AL182" s="536" t="str">
        <f>IF(AK182="","",IF(VLOOKUP(AK182,'G-7 Rivers Data'!$AD$4:$AE$8,2,FALSE)=0,"Spatial Data Missing ⚠",VLOOKUP(AK182,'G-7 Rivers Data'!$AD$4:$AE$8,2,FALSE)))</f>
        <v/>
      </c>
      <c r="AM182" s="154"/>
      <c r="AN182" s="524" t="str">
        <f>IF(AM182="","",VLOOKUP(AM182,'G-7 Rivers Data'!$AO$4:$AP$7,2,FALSE))</f>
        <v/>
      </c>
      <c r="AO182" s="545" t="str">
        <f t="shared" si="23"/>
        <v/>
      </c>
      <c r="AP182" s="149"/>
      <c r="AQ182" s="150"/>
      <c r="AX182" s="31" t="str">
        <f>IFERROR(INDEX('G-7 Rivers Data'!$AZ$3:$AZ$7,MATCH(N182,'G-7 Rivers Data'!$AY$3:$AY$7,0)),"")</f>
        <v/>
      </c>
    </row>
    <row r="183" spans="2:50" ht="13.8" x14ac:dyDescent="0.25">
      <c r="B183" s="531" t="str">
        <f>'F-1 Off Site River Baseline'!AN181</f>
        <v/>
      </c>
      <c r="C183" s="520" t="str">
        <f>IF(B183="","",VLOOKUP($B183,'F-1 Off Site River Baseline'!$C$9:$R$257,2,FALSE))</f>
        <v/>
      </c>
      <c r="D183" s="520" t="str">
        <f>IF(C183="","",VLOOKUP($B183,'F-1 Off Site River Baseline'!$C$9:$R$257,3,FALSE))</f>
        <v/>
      </c>
      <c r="E183" s="520" t="str">
        <f>IF(D183="","",VLOOKUP($B183,'F-1 Off Site River Baseline'!$C$9:$R$257,4,FALSE))</f>
        <v/>
      </c>
      <c r="F183" s="520" t="str">
        <f>IF(E183="","",VLOOKUP($B183,'F-1 Off Site River Baseline'!$C$9:$R$257,5,FALSE))</f>
        <v/>
      </c>
      <c r="G183" s="520" t="str">
        <f>IF(F183="","",VLOOKUP($B183,'F-1 Off Site River Baseline'!$C$9:$R$257,6,FALSE))</f>
        <v/>
      </c>
      <c r="H183" s="520" t="str">
        <f>IF(G183="","",VLOOKUP($B183,'F-1 Off Site River Baseline'!$C$9:$R$257,7,FALSE))</f>
        <v/>
      </c>
      <c r="I183" s="520" t="str">
        <f>IF(H183="","",VLOOKUP($B183,'F-1 Off Site River Baseline'!$C$9:$R$257,8,FALSE))</f>
        <v/>
      </c>
      <c r="J183" s="520" t="str">
        <f>IF(I183="","",VLOOKUP($B183,'F-1 Off Site River Baseline'!$C$9:$R$257,9,FALSE))</f>
        <v/>
      </c>
      <c r="K183" s="520" t="str">
        <f>IF(J183="","",VLOOKUP($B183,'F-1 Off Site River Baseline'!$C$9:$R$257,10,FALSE))</f>
        <v/>
      </c>
      <c r="L183" s="520" t="str">
        <f>IF(B183="","",VLOOKUP($B183,'C-1 Site River Baseline'!$C$9:$R$257,15,FALSE))</f>
        <v/>
      </c>
      <c r="M183" s="524" t="str">
        <f>IF(L183="","",VLOOKUP($B183,'F-1 Off Site River Baseline'!$C$9:$R$257,16,FALSE))</f>
        <v/>
      </c>
      <c r="N183" s="418" t="str">
        <f t="shared" si="20"/>
        <v/>
      </c>
      <c r="O183" s="498" t="str">
        <f t="shared" si="21"/>
        <v/>
      </c>
      <c r="P183" s="499" t="str">
        <f>IF(C183="","",IF(AND(LEFT(C183,55)&lt;&gt;LEFT(N183,55),O183="High - High"),"Error - Not like for like ▲",IF(AND(F183=S183,H183&gt;U183),"Error - Can not reduce condition ▲",IF(AND(F183=S183,H183=U183,AJ183='F-1 Off Site River Baseline'!N181,'F-1 Off Site River Baseline'!P181=AL183),"Error - No enhancement ▲",IF(AND(C183&lt;&gt;N183,F183&lt;S183),"Lower Distinctiveness Habitat"&amp;" - "&amp;T183,G183&amp;" - "&amp;T183)))))</f>
        <v/>
      </c>
      <c r="Q183" s="505" t="str">
        <f>IF(N183="","",VLOOKUP(B183,'F-1 Off Site River Baseline'!$C$10:$AA$257,19,FALSE))</f>
        <v/>
      </c>
      <c r="R183" s="498" t="str">
        <f>IF(N183="","",VLOOKUP(N183,'G-7 Rivers Data'!$B$2:$G$8,2,FALSE))</f>
        <v/>
      </c>
      <c r="S183" s="499" t="str">
        <f>IFERROR(VLOOKUP(R183,'G-7 Rivers Data'!$C$4:$D$8,2,FALSE),"")</f>
        <v/>
      </c>
      <c r="T183" s="145"/>
      <c r="U183" s="499" t="str">
        <f>IFERROR(INDEX('G-7 Rivers Data'!$H$4:$L$8,MATCH(N183,'G-7 Rivers Data'!$B$4:$B$8,0),MATCH(T183,'G-7 Rivers Data'!$H$3:$L$3,0)),"")</f>
        <v/>
      </c>
      <c r="V183" s="154"/>
      <c r="W183" s="520" t="str">
        <f>IF(V183="","",IF(VLOOKUP(V183,'G-7 Rivers Data'!$AG$4:$AI$9,2,FALSE)=0,"Spatial Data Missing ⚠",VLOOKUP(V183,'G-7 Rivers Data'!$AG$4:$AI$9,2,FALSE)))</f>
        <v/>
      </c>
      <c r="X183" s="524" t="str">
        <f>IF(V183="","",IF(VLOOKUP(V183,'G-7 Rivers Data'!$AG$4:$AI$9,3,FALSE)=0,"Spatial Data Missing ⚠",VLOOKUP(V183,'G-7 Rivers Data'!$AG$4:$AI$9,3,FALSE)))</f>
        <v/>
      </c>
      <c r="Y183" s="537" t="str">
        <f>IFERROR(IF(OR(LEFT(P183,5)="Error ▲",LEFT(O183,5)="Error ▲"),"Check Data ⚠",IF(F183&lt;S183,'G-7 Rivers Data'!$R$3,INDEX('G-7 Rivers Data'!$U$5:$Y$9,MATCH(G183,'G-7 Rivers Data'!$T$5:$T$9,0),MATCH(T183,'G-7 Rivers Data'!$U$4:$Y$4,0)))),"")</f>
        <v/>
      </c>
      <c r="Z183" s="203"/>
      <c r="AA183" s="203"/>
      <c r="AB183" s="534" t="str">
        <f t="shared" si="16"/>
        <v/>
      </c>
      <c r="AC183" s="521" t="str">
        <f t="shared" si="17"/>
        <v/>
      </c>
      <c r="AD183" s="564" t="str">
        <f>IFERROR(IF(AC183="Check Data ⚠","Check Data ⚠",VLOOKUP(AC183,'G-4 Temporal multipliers'!$A$4:$C$37,3,FALSE)),"")</f>
        <v/>
      </c>
      <c r="AE183" s="537" t="str">
        <f>IF(N183="","",VLOOKUP(N183,'G-7 Rivers Data'!$B$4:$G$8,5,FALSE))</f>
        <v/>
      </c>
      <c r="AF183" s="520" t="str">
        <f t="shared" si="18"/>
        <v/>
      </c>
      <c r="AG183" s="520" t="str">
        <f t="shared" si="22"/>
        <v/>
      </c>
      <c r="AH183" s="524" t="str">
        <f t="shared" si="19"/>
        <v/>
      </c>
      <c r="AI183" s="145"/>
      <c r="AJ183" s="499" t="str">
        <f>IF(AI183="","",IF(VLOOKUP(AI183,'G-7 Rivers Data'!$AA$4:$AB$7,2,FALSE)=0,"Spatial Data Missing ⚠",VLOOKUP(AI183,'G-7 Rivers Data'!$AA$4:$AB$7,2,FALSE)))</f>
        <v/>
      </c>
      <c r="AK183" s="155"/>
      <c r="AL183" s="536" t="str">
        <f>IF(AK183="","",IF(VLOOKUP(AK183,'G-7 Rivers Data'!$AD$4:$AE$8,2,FALSE)=0,"Spatial Data Missing ⚠",VLOOKUP(AK183,'G-7 Rivers Data'!$AD$4:$AE$8,2,FALSE)))</f>
        <v/>
      </c>
      <c r="AM183" s="154"/>
      <c r="AN183" s="524" t="str">
        <f>IF(AM183="","",VLOOKUP(AM183,'G-7 Rivers Data'!$AO$4:$AP$7,2,FALSE))</f>
        <v/>
      </c>
      <c r="AO183" s="545" t="str">
        <f t="shared" si="23"/>
        <v/>
      </c>
      <c r="AP183" s="149"/>
      <c r="AQ183" s="150"/>
      <c r="AX183" s="31" t="str">
        <f>IFERROR(INDEX('G-7 Rivers Data'!$AZ$3:$AZ$7,MATCH(N183,'G-7 Rivers Data'!$AY$3:$AY$7,0)),"")</f>
        <v/>
      </c>
    </row>
    <row r="184" spans="2:50" ht="13.8" x14ac:dyDescent="0.25">
      <c r="B184" s="531" t="str">
        <f>'F-1 Off Site River Baseline'!AN182</f>
        <v/>
      </c>
      <c r="C184" s="520" t="str">
        <f>IF(B184="","",VLOOKUP($B184,'F-1 Off Site River Baseline'!$C$9:$R$257,2,FALSE))</f>
        <v/>
      </c>
      <c r="D184" s="520" t="str">
        <f>IF(C184="","",VLOOKUP($B184,'F-1 Off Site River Baseline'!$C$9:$R$257,3,FALSE))</f>
        <v/>
      </c>
      <c r="E184" s="520" t="str">
        <f>IF(D184="","",VLOOKUP($B184,'F-1 Off Site River Baseline'!$C$9:$R$257,4,FALSE))</f>
        <v/>
      </c>
      <c r="F184" s="520" t="str">
        <f>IF(E184="","",VLOOKUP($B184,'F-1 Off Site River Baseline'!$C$9:$R$257,5,FALSE))</f>
        <v/>
      </c>
      <c r="G184" s="520" t="str">
        <f>IF(F184="","",VLOOKUP($B184,'F-1 Off Site River Baseline'!$C$9:$R$257,6,FALSE))</f>
        <v/>
      </c>
      <c r="H184" s="520" t="str">
        <f>IF(G184="","",VLOOKUP($B184,'F-1 Off Site River Baseline'!$C$9:$R$257,7,FALSE))</f>
        <v/>
      </c>
      <c r="I184" s="520" t="str">
        <f>IF(H184="","",VLOOKUP($B184,'F-1 Off Site River Baseline'!$C$9:$R$257,8,FALSE))</f>
        <v/>
      </c>
      <c r="J184" s="520" t="str">
        <f>IF(I184="","",VLOOKUP($B184,'F-1 Off Site River Baseline'!$C$9:$R$257,9,FALSE))</f>
        <v/>
      </c>
      <c r="K184" s="520" t="str">
        <f>IF(J184="","",VLOOKUP($B184,'F-1 Off Site River Baseline'!$C$9:$R$257,10,FALSE))</f>
        <v/>
      </c>
      <c r="L184" s="520" t="str">
        <f>IF(B184="","",VLOOKUP($B184,'C-1 Site River Baseline'!$C$9:$R$257,15,FALSE))</f>
        <v/>
      </c>
      <c r="M184" s="524" t="str">
        <f>IF(L184="","",VLOOKUP($B184,'F-1 Off Site River Baseline'!$C$9:$R$257,16,FALSE))</f>
        <v/>
      </c>
      <c r="N184" s="418" t="str">
        <f t="shared" si="20"/>
        <v/>
      </c>
      <c r="O184" s="498" t="str">
        <f t="shared" si="21"/>
        <v/>
      </c>
      <c r="P184" s="499" t="str">
        <f>IF(C184="","",IF(AND(LEFT(C184,55)&lt;&gt;LEFT(N184,55),O184="High - High"),"Error - Not like for like ▲",IF(AND(F184=S184,H184&gt;U184),"Error - Can not reduce condition ▲",IF(AND(F184=S184,H184=U184,AJ184='F-1 Off Site River Baseline'!N182,'F-1 Off Site River Baseline'!P182=AL184),"Error - No enhancement ▲",IF(AND(C184&lt;&gt;N184,F184&lt;S184),"Lower Distinctiveness Habitat"&amp;" - "&amp;T184,G184&amp;" - "&amp;T184)))))</f>
        <v/>
      </c>
      <c r="Q184" s="505" t="str">
        <f>IF(N184="","",VLOOKUP(B184,'F-1 Off Site River Baseline'!$C$10:$AA$257,19,FALSE))</f>
        <v/>
      </c>
      <c r="R184" s="498" t="str">
        <f>IF(N184="","",VLOOKUP(N184,'G-7 Rivers Data'!$B$2:$G$8,2,FALSE))</f>
        <v/>
      </c>
      <c r="S184" s="499" t="str">
        <f>IFERROR(VLOOKUP(R184,'G-7 Rivers Data'!$C$4:$D$8,2,FALSE),"")</f>
        <v/>
      </c>
      <c r="T184" s="145"/>
      <c r="U184" s="499" t="str">
        <f>IFERROR(INDEX('G-7 Rivers Data'!$H$4:$L$8,MATCH(N184,'G-7 Rivers Data'!$B$4:$B$8,0),MATCH(T184,'G-7 Rivers Data'!$H$3:$L$3,0)),"")</f>
        <v/>
      </c>
      <c r="V184" s="154"/>
      <c r="W184" s="520" t="str">
        <f>IF(V184="","",IF(VLOOKUP(V184,'G-7 Rivers Data'!$AG$4:$AI$9,2,FALSE)=0,"Spatial Data Missing ⚠",VLOOKUP(V184,'G-7 Rivers Data'!$AG$4:$AI$9,2,FALSE)))</f>
        <v/>
      </c>
      <c r="X184" s="524" t="str">
        <f>IF(V184="","",IF(VLOOKUP(V184,'G-7 Rivers Data'!$AG$4:$AI$9,3,FALSE)=0,"Spatial Data Missing ⚠",VLOOKUP(V184,'G-7 Rivers Data'!$AG$4:$AI$9,3,FALSE)))</f>
        <v/>
      </c>
      <c r="Y184" s="537" t="str">
        <f>IFERROR(IF(OR(LEFT(P184,5)="Error ▲",LEFT(O184,5)="Error ▲"),"Check Data ⚠",IF(F184&lt;S184,'G-7 Rivers Data'!$R$3,INDEX('G-7 Rivers Data'!$U$5:$Y$9,MATCH(G184,'G-7 Rivers Data'!$T$5:$T$9,0),MATCH(T184,'G-7 Rivers Data'!$U$4:$Y$4,0)))),"")</f>
        <v/>
      </c>
      <c r="Z184" s="203"/>
      <c r="AA184" s="203"/>
      <c r="AB184" s="534" t="str">
        <f t="shared" si="16"/>
        <v/>
      </c>
      <c r="AC184" s="521" t="str">
        <f t="shared" si="17"/>
        <v/>
      </c>
      <c r="AD184" s="564" t="str">
        <f>IFERROR(IF(AC184="Check Data ⚠","Check Data ⚠",VLOOKUP(AC184,'G-4 Temporal multipliers'!$A$4:$C$37,3,FALSE)),"")</f>
        <v/>
      </c>
      <c r="AE184" s="537" t="str">
        <f>IF(N184="","",VLOOKUP(N184,'G-7 Rivers Data'!$B$4:$G$8,5,FALSE))</f>
        <v/>
      </c>
      <c r="AF184" s="520" t="str">
        <f t="shared" si="18"/>
        <v/>
      </c>
      <c r="AG184" s="520" t="str">
        <f t="shared" si="22"/>
        <v/>
      </c>
      <c r="AH184" s="524" t="str">
        <f t="shared" si="19"/>
        <v/>
      </c>
      <c r="AI184" s="145"/>
      <c r="AJ184" s="499" t="str">
        <f>IF(AI184="","",IF(VLOOKUP(AI184,'G-7 Rivers Data'!$AA$4:$AB$7,2,FALSE)=0,"Spatial Data Missing ⚠",VLOOKUP(AI184,'G-7 Rivers Data'!$AA$4:$AB$7,2,FALSE)))</f>
        <v/>
      </c>
      <c r="AK184" s="155"/>
      <c r="AL184" s="536" t="str">
        <f>IF(AK184="","",IF(VLOOKUP(AK184,'G-7 Rivers Data'!$AD$4:$AE$8,2,FALSE)=0,"Spatial Data Missing ⚠",VLOOKUP(AK184,'G-7 Rivers Data'!$AD$4:$AE$8,2,FALSE)))</f>
        <v/>
      </c>
      <c r="AM184" s="154"/>
      <c r="AN184" s="524" t="str">
        <f>IF(AM184="","",VLOOKUP(AM184,'G-7 Rivers Data'!$AO$4:$AP$7,2,FALSE))</f>
        <v/>
      </c>
      <c r="AO184" s="545" t="str">
        <f t="shared" si="23"/>
        <v/>
      </c>
      <c r="AP184" s="149"/>
      <c r="AQ184" s="150"/>
      <c r="AX184" s="31" t="str">
        <f>IFERROR(INDEX('G-7 Rivers Data'!$AZ$3:$AZ$7,MATCH(N184,'G-7 Rivers Data'!$AY$3:$AY$7,0)),"")</f>
        <v/>
      </c>
    </row>
    <row r="185" spans="2:50" ht="13.8" x14ac:dyDescent="0.25">
      <c r="B185" s="531" t="str">
        <f>'F-1 Off Site River Baseline'!AN183</f>
        <v/>
      </c>
      <c r="C185" s="520" t="str">
        <f>IF(B185="","",VLOOKUP($B185,'F-1 Off Site River Baseline'!$C$9:$R$257,2,FALSE))</f>
        <v/>
      </c>
      <c r="D185" s="520" t="str">
        <f>IF(C185="","",VLOOKUP($B185,'F-1 Off Site River Baseline'!$C$9:$R$257,3,FALSE))</f>
        <v/>
      </c>
      <c r="E185" s="520" t="str">
        <f>IF(D185="","",VLOOKUP($B185,'F-1 Off Site River Baseline'!$C$9:$R$257,4,FALSE))</f>
        <v/>
      </c>
      <c r="F185" s="520" t="str">
        <f>IF(E185="","",VLOOKUP($B185,'F-1 Off Site River Baseline'!$C$9:$R$257,5,FALSE))</f>
        <v/>
      </c>
      <c r="G185" s="520" t="str">
        <f>IF(F185="","",VLOOKUP($B185,'F-1 Off Site River Baseline'!$C$9:$R$257,6,FALSE))</f>
        <v/>
      </c>
      <c r="H185" s="520" t="str">
        <f>IF(G185="","",VLOOKUP($B185,'F-1 Off Site River Baseline'!$C$9:$R$257,7,FALSE))</f>
        <v/>
      </c>
      <c r="I185" s="520" t="str">
        <f>IF(H185="","",VLOOKUP($B185,'F-1 Off Site River Baseline'!$C$9:$R$257,8,FALSE))</f>
        <v/>
      </c>
      <c r="J185" s="520" t="str">
        <f>IF(I185="","",VLOOKUP($B185,'F-1 Off Site River Baseline'!$C$9:$R$257,9,FALSE))</f>
        <v/>
      </c>
      <c r="K185" s="520" t="str">
        <f>IF(J185="","",VLOOKUP($B185,'F-1 Off Site River Baseline'!$C$9:$R$257,10,FALSE))</f>
        <v/>
      </c>
      <c r="L185" s="520" t="str">
        <f>IF(B185="","",VLOOKUP($B185,'C-1 Site River Baseline'!$C$9:$R$257,15,FALSE))</f>
        <v/>
      </c>
      <c r="M185" s="524" t="str">
        <f>IF(L185="","",VLOOKUP($B185,'F-1 Off Site River Baseline'!$C$9:$R$257,16,FALSE))</f>
        <v/>
      </c>
      <c r="N185" s="418" t="str">
        <f t="shared" si="20"/>
        <v/>
      </c>
      <c r="O185" s="498" t="str">
        <f t="shared" si="21"/>
        <v/>
      </c>
      <c r="P185" s="499" t="str">
        <f>IF(C185="","",IF(AND(LEFT(C185,55)&lt;&gt;LEFT(N185,55),O185="High - High"),"Error - Not like for like ▲",IF(AND(F185=S185,H185&gt;U185),"Error - Can not reduce condition ▲",IF(AND(F185=S185,H185=U185,AJ185='F-1 Off Site River Baseline'!N183,'F-1 Off Site River Baseline'!P183=AL185),"Error - No enhancement ▲",IF(AND(C185&lt;&gt;N185,F185&lt;S185),"Lower Distinctiveness Habitat"&amp;" - "&amp;T185,G185&amp;" - "&amp;T185)))))</f>
        <v/>
      </c>
      <c r="Q185" s="505" t="str">
        <f>IF(N185="","",VLOOKUP(B185,'F-1 Off Site River Baseline'!$C$10:$AA$257,19,FALSE))</f>
        <v/>
      </c>
      <c r="R185" s="498" t="str">
        <f>IF(N185="","",VLOOKUP(N185,'G-7 Rivers Data'!$B$2:$G$8,2,FALSE))</f>
        <v/>
      </c>
      <c r="S185" s="499" t="str">
        <f>IFERROR(VLOOKUP(R185,'G-7 Rivers Data'!$C$4:$D$8,2,FALSE),"")</f>
        <v/>
      </c>
      <c r="T185" s="145"/>
      <c r="U185" s="499" t="str">
        <f>IFERROR(INDEX('G-7 Rivers Data'!$H$4:$L$8,MATCH(N185,'G-7 Rivers Data'!$B$4:$B$8,0),MATCH(T185,'G-7 Rivers Data'!$H$3:$L$3,0)),"")</f>
        <v/>
      </c>
      <c r="V185" s="154"/>
      <c r="W185" s="520" t="str">
        <f>IF(V185="","",IF(VLOOKUP(V185,'G-7 Rivers Data'!$AG$4:$AI$9,2,FALSE)=0,"Spatial Data Missing ⚠",VLOOKUP(V185,'G-7 Rivers Data'!$AG$4:$AI$9,2,FALSE)))</f>
        <v/>
      </c>
      <c r="X185" s="524" t="str">
        <f>IF(V185="","",IF(VLOOKUP(V185,'G-7 Rivers Data'!$AG$4:$AI$9,3,FALSE)=0,"Spatial Data Missing ⚠",VLOOKUP(V185,'G-7 Rivers Data'!$AG$4:$AI$9,3,FALSE)))</f>
        <v/>
      </c>
      <c r="Y185" s="537" t="str">
        <f>IFERROR(IF(OR(LEFT(P185,5)="Error ▲",LEFT(O185,5)="Error ▲"),"Check Data ⚠",IF(F185&lt;S185,'G-7 Rivers Data'!$R$3,INDEX('G-7 Rivers Data'!$U$5:$Y$9,MATCH(G185,'G-7 Rivers Data'!$T$5:$T$9,0),MATCH(T185,'G-7 Rivers Data'!$U$4:$Y$4,0)))),"")</f>
        <v/>
      </c>
      <c r="Z185" s="203"/>
      <c r="AA185" s="203"/>
      <c r="AB185" s="534" t="str">
        <f t="shared" si="16"/>
        <v/>
      </c>
      <c r="AC185" s="521" t="str">
        <f t="shared" si="17"/>
        <v/>
      </c>
      <c r="AD185" s="564" t="str">
        <f>IFERROR(IF(AC185="Check Data ⚠","Check Data ⚠",VLOOKUP(AC185,'G-4 Temporal multipliers'!$A$4:$C$37,3,FALSE)),"")</f>
        <v/>
      </c>
      <c r="AE185" s="537" t="str">
        <f>IF(N185="","",VLOOKUP(N185,'G-7 Rivers Data'!$B$4:$G$8,5,FALSE))</f>
        <v/>
      </c>
      <c r="AF185" s="520" t="str">
        <f t="shared" si="18"/>
        <v/>
      </c>
      <c r="AG185" s="520" t="str">
        <f t="shared" si="22"/>
        <v/>
      </c>
      <c r="AH185" s="524" t="str">
        <f t="shared" si="19"/>
        <v/>
      </c>
      <c r="AI185" s="145"/>
      <c r="AJ185" s="499" t="str">
        <f>IF(AI185="","",IF(VLOOKUP(AI185,'G-7 Rivers Data'!$AA$4:$AB$7,2,FALSE)=0,"Spatial Data Missing ⚠",VLOOKUP(AI185,'G-7 Rivers Data'!$AA$4:$AB$7,2,FALSE)))</f>
        <v/>
      </c>
      <c r="AK185" s="155"/>
      <c r="AL185" s="536" t="str">
        <f>IF(AK185="","",IF(VLOOKUP(AK185,'G-7 Rivers Data'!$AD$4:$AE$8,2,FALSE)=0,"Spatial Data Missing ⚠",VLOOKUP(AK185,'G-7 Rivers Data'!$AD$4:$AE$8,2,FALSE)))</f>
        <v/>
      </c>
      <c r="AM185" s="154"/>
      <c r="AN185" s="524" t="str">
        <f>IF(AM185="","",VLOOKUP(AM185,'G-7 Rivers Data'!$AO$4:$AP$7,2,FALSE))</f>
        <v/>
      </c>
      <c r="AO185" s="545" t="str">
        <f t="shared" si="23"/>
        <v/>
      </c>
      <c r="AP185" s="149"/>
      <c r="AQ185" s="150"/>
      <c r="AX185" s="31" t="str">
        <f>IFERROR(INDEX('G-7 Rivers Data'!$AZ$3:$AZ$7,MATCH(N185,'G-7 Rivers Data'!$AY$3:$AY$7,0)),"")</f>
        <v/>
      </c>
    </row>
    <row r="186" spans="2:50" ht="13.8" x14ac:dyDescent="0.25">
      <c r="B186" s="531" t="str">
        <f>'F-1 Off Site River Baseline'!AN184</f>
        <v/>
      </c>
      <c r="C186" s="520" t="str">
        <f>IF(B186="","",VLOOKUP($B186,'F-1 Off Site River Baseline'!$C$9:$R$257,2,FALSE))</f>
        <v/>
      </c>
      <c r="D186" s="520" t="str">
        <f>IF(C186="","",VLOOKUP($B186,'F-1 Off Site River Baseline'!$C$9:$R$257,3,FALSE))</f>
        <v/>
      </c>
      <c r="E186" s="520" t="str">
        <f>IF(D186="","",VLOOKUP($B186,'F-1 Off Site River Baseline'!$C$9:$R$257,4,FALSE))</f>
        <v/>
      </c>
      <c r="F186" s="520" t="str">
        <f>IF(E186="","",VLOOKUP($B186,'F-1 Off Site River Baseline'!$C$9:$R$257,5,FALSE))</f>
        <v/>
      </c>
      <c r="G186" s="520" t="str">
        <f>IF(F186="","",VLOOKUP($B186,'F-1 Off Site River Baseline'!$C$9:$R$257,6,FALSE))</f>
        <v/>
      </c>
      <c r="H186" s="520" t="str">
        <f>IF(G186="","",VLOOKUP($B186,'F-1 Off Site River Baseline'!$C$9:$R$257,7,FALSE))</f>
        <v/>
      </c>
      <c r="I186" s="520" t="str">
        <f>IF(H186="","",VLOOKUP($B186,'F-1 Off Site River Baseline'!$C$9:$R$257,8,FALSE))</f>
        <v/>
      </c>
      <c r="J186" s="520" t="str">
        <f>IF(I186="","",VLOOKUP($B186,'F-1 Off Site River Baseline'!$C$9:$R$257,9,FALSE))</f>
        <v/>
      </c>
      <c r="K186" s="520" t="str">
        <f>IF(J186="","",VLOOKUP($B186,'F-1 Off Site River Baseline'!$C$9:$R$257,10,FALSE))</f>
        <v/>
      </c>
      <c r="L186" s="520" t="str">
        <f>IF(B186="","",VLOOKUP($B186,'C-1 Site River Baseline'!$C$9:$R$257,15,FALSE))</f>
        <v/>
      </c>
      <c r="M186" s="524" t="str">
        <f>IF(L186="","",VLOOKUP($B186,'F-1 Off Site River Baseline'!$C$9:$R$257,16,FALSE))</f>
        <v/>
      </c>
      <c r="N186" s="418" t="str">
        <f t="shared" si="20"/>
        <v/>
      </c>
      <c r="O186" s="498" t="str">
        <f t="shared" si="21"/>
        <v/>
      </c>
      <c r="P186" s="499" t="str">
        <f>IF(C186="","",IF(AND(LEFT(C186,55)&lt;&gt;LEFT(N186,55),O186="High - High"),"Error - Not like for like ▲",IF(AND(F186=S186,H186&gt;U186),"Error - Can not reduce condition ▲",IF(AND(F186=S186,H186=U186,AJ186='F-1 Off Site River Baseline'!N184,'F-1 Off Site River Baseline'!P184=AL186),"Error - No enhancement ▲",IF(AND(C186&lt;&gt;N186,F186&lt;S186),"Lower Distinctiveness Habitat"&amp;" - "&amp;T186,G186&amp;" - "&amp;T186)))))</f>
        <v/>
      </c>
      <c r="Q186" s="505" t="str">
        <f>IF(N186="","",VLOOKUP(B186,'F-1 Off Site River Baseline'!$C$10:$AA$257,19,FALSE))</f>
        <v/>
      </c>
      <c r="R186" s="498" t="str">
        <f>IF(N186="","",VLOOKUP(N186,'G-7 Rivers Data'!$B$2:$G$8,2,FALSE))</f>
        <v/>
      </c>
      <c r="S186" s="499" t="str">
        <f>IFERROR(VLOOKUP(R186,'G-7 Rivers Data'!$C$4:$D$8,2,FALSE),"")</f>
        <v/>
      </c>
      <c r="T186" s="145"/>
      <c r="U186" s="499" t="str">
        <f>IFERROR(INDEX('G-7 Rivers Data'!$H$4:$L$8,MATCH(N186,'G-7 Rivers Data'!$B$4:$B$8,0),MATCH(T186,'G-7 Rivers Data'!$H$3:$L$3,0)),"")</f>
        <v/>
      </c>
      <c r="V186" s="154"/>
      <c r="W186" s="520" t="str">
        <f>IF(V186="","",IF(VLOOKUP(V186,'G-7 Rivers Data'!$AG$4:$AI$9,2,FALSE)=0,"Spatial Data Missing ⚠",VLOOKUP(V186,'G-7 Rivers Data'!$AG$4:$AI$9,2,FALSE)))</f>
        <v/>
      </c>
      <c r="X186" s="524" t="str">
        <f>IF(V186="","",IF(VLOOKUP(V186,'G-7 Rivers Data'!$AG$4:$AI$9,3,FALSE)=0,"Spatial Data Missing ⚠",VLOOKUP(V186,'G-7 Rivers Data'!$AG$4:$AI$9,3,FALSE)))</f>
        <v/>
      </c>
      <c r="Y186" s="537" t="str">
        <f>IFERROR(IF(OR(LEFT(P186,5)="Error ▲",LEFT(O186,5)="Error ▲"),"Check Data ⚠",IF(F186&lt;S186,'G-7 Rivers Data'!$R$3,INDEX('G-7 Rivers Data'!$U$5:$Y$9,MATCH(G186,'G-7 Rivers Data'!$T$5:$T$9,0),MATCH(T186,'G-7 Rivers Data'!$U$4:$Y$4,0)))),"")</f>
        <v/>
      </c>
      <c r="Z186" s="203"/>
      <c r="AA186" s="203"/>
      <c r="AB186" s="534" t="str">
        <f t="shared" si="16"/>
        <v/>
      </c>
      <c r="AC186" s="521" t="str">
        <f t="shared" si="17"/>
        <v/>
      </c>
      <c r="AD186" s="564" t="str">
        <f>IFERROR(IF(AC186="Check Data ⚠","Check Data ⚠",VLOOKUP(AC186,'G-4 Temporal multipliers'!$A$4:$C$37,3,FALSE)),"")</f>
        <v/>
      </c>
      <c r="AE186" s="537" t="str">
        <f>IF(N186="","",VLOOKUP(N186,'G-7 Rivers Data'!$B$4:$G$8,5,FALSE))</f>
        <v/>
      </c>
      <c r="AF186" s="520" t="str">
        <f t="shared" si="18"/>
        <v/>
      </c>
      <c r="AG186" s="520" t="str">
        <f t="shared" si="22"/>
        <v/>
      </c>
      <c r="AH186" s="524" t="str">
        <f t="shared" si="19"/>
        <v/>
      </c>
      <c r="AI186" s="145"/>
      <c r="AJ186" s="499" t="str">
        <f>IF(AI186="","",IF(VLOOKUP(AI186,'G-7 Rivers Data'!$AA$4:$AB$7,2,FALSE)=0,"Spatial Data Missing ⚠",VLOOKUP(AI186,'G-7 Rivers Data'!$AA$4:$AB$7,2,FALSE)))</f>
        <v/>
      </c>
      <c r="AK186" s="155"/>
      <c r="AL186" s="536" t="str">
        <f>IF(AK186="","",IF(VLOOKUP(AK186,'G-7 Rivers Data'!$AD$4:$AE$8,2,FALSE)=0,"Spatial Data Missing ⚠",VLOOKUP(AK186,'G-7 Rivers Data'!$AD$4:$AE$8,2,FALSE)))</f>
        <v/>
      </c>
      <c r="AM186" s="154"/>
      <c r="AN186" s="524" t="str">
        <f>IF(AM186="","",VLOOKUP(AM186,'G-7 Rivers Data'!$AO$4:$AP$7,2,FALSE))</f>
        <v/>
      </c>
      <c r="AO186" s="545" t="str">
        <f t="shared" si="23"/>
        <v/>
      </c>
      <c r="AP186" s="149"/>
      <c r="AQ186" s="150"/>
      <c r="AX186" s="31" t="str">
        <f>IFERROR(INDEX('G-7 Rivers Data'!$AZ$3:$AZ$7,MATCH(N186,'G-7 Rivers Data'!$AY$3:$AY$7,0)),"")</f>
        <v/>
      </c>
    </row>
    <row r="187" spans="2:50" ht="13.8" x14ac:dyDescent="0.25">
      <c r="B187" s="531" t="str">
        <f>'F-1 Off Site River Baseline'!AN185</f>
        <v/>
      </c>
      <c r="C187" s="520" t="str">
        <f>IF(B187="","",VLOOKUP($B187,'F-1 Off Site River Baseline'!$C$9:$R$257,2,FALSE))</f>
        <v/>
      </c>
      <c r="D187" s="520" t="str">
        <f>IF(C187="","",VLOOKUP($B187,'F-1 Off Site River Baseline'!$C$9:$R$257,3,FALSE))</f>
        <v/>
      </c>
      <c r="E187" s="520" t="str">
        <f>IF(D187="","",VLOOKUP($B187,'F-1 Off Site River Baseline'!$C$9:$R$257,4,FALSE))</f>
        <v/>
      </c>
      <c r="F187" s="520" t="str">
        <f>IF(E187="","",VLOOKUP($B187,'F-1 Off Site River Baseline'!$C$9:$R$257,5,FALSE))</f>
        <v/>
      </c>
      <c r="G187" s="520" t="str">
        <f>IF(F187="","",VLOOKUP($B187,'F-1 Off Site River Baseline'!$C$9:$R$257,6,FALSE))</f>
        <v/>
      </c>
      <c r="H187" s="520" t="str">
        <f>IF(G187="","",VLOOKUP($B187,'F-1 Off Site River Baseline'!$C$9:$R$257,7,FALSE))</f>
        <v/>
      </c>
      <c r="I187" s="520" t="str">
        <f>IF(H187="","",VLOOKUP($B187,'F-1 Off Site River Baseline'!$C$9:$R$257,8,FALSE))</f>
        <v/>
      </c>
      <c r="J187" s="520" t="str">
        <f>IF(I187="","",VLOOKUP($B187,'F-1 Off Site River Baseline'!$C$9:$R$257,9,FALSE))</f>
        <v/>
      </c>
      <c r="K187" s="520" t="str">
        <f>IF(J187="","",VLOOKUP($B187,'F-1 Off Site River Baseline'!$C$9:$R$257,10,FALSE))</f>
        <v/>
      </c>
      <c r="L187" s="520" t="str">
        <f>IF(B187="","",VLOOKUP($B187,'C-1 Site River Baseline'!$C$9:$R$257,15,FALSE))</f>
        <v/>
      </c>
      <c r="M187" s="524" t="str">
        <f>IF(L187="","",VLOOKUP($B187,'F-1 Off Site River Baseline'!$C$9:$R$257,16,FALSE))</f>
        <v/>
      </c>
      <c r="N187" s="418" t="str">
        <f t="shared" si="20"/>
        <v/>
      </c>
      <c r="O187" s="498" t="str">
        <f t="shared" si="21"/>
        <v/>
      </c>
      <c r="P187" s="499" t="str">
        <f>IF(C187="","",IF(AND(LEFT(C187,55)&lt;&gt;LEFT(N187,55),O187="High - High"),"Error - Not like for like ▲",IF(AND(F187=S187,H187&gt;U187),"Error - Can not reduce condition ▲",IF(AND(F187=S187,H187=U187,AJ187='F-1 Off Site River Baseline'!N185,'F-1 Off Site River Baseline'!P185=AL187),"Error - No enhancement ▲",IF(AND(C187&lt;&gt;N187,F187&lt;S187),"Lower Distinctiveness Habitat"&amp;" - "&amp;T187,G187&amp;" - "&amp;T187)))))</f>
        <v/>
      </c>
      <c r="Q187" s="505" t="str">
        <f>IF(N187="","",VLOOKUP(B187,'F-1 Off Site River Baseline'!$C$10:$AA$257,19,FALSE))</f>
        <v/>
      </c>
      <c r="R187" s="498" t="str">
        <f>IF(N187="","",VLOOKUP(N187,'G-7 Rivers Data'!$B$2:$G$8,2,FALSE))</f>
        <v/>
      </c>
      <c r="S187" s="499" t="str">
        <f>IFERROR(VLOOKUP(R187,'G-7 Rivers Data'!$C$4:$D$8,2,FALSE),"")</f>
        <v/>
      </c>
      <c r="T187" s="145"/>
      <c r="U187" s="499" t="str">
        <f>IFERROR(INDEX('G-7 Rivers Data'!$H$4:$L$8,MATCH(N187,'G-7 Rivers Data'!$B$4:$B$8,0),MATCH(T187,'G-7 Rivers Data'!$H$3:$L$3,0)),"")</f>
        <v/>
      </c>
      <c r="V187" s="154"/>
      <c r="W187" s="520" t="str">
        <f>IF(V187="","",IF(VLOOKUP(V187,'G-7 Rivers Data'!$AG$4:$AI$9,2,FALSE)=0,"Spatial Data Missing ⚠",VLOOKUP(V187,'G-7 Rivers Data'!$AG$4:$AI$9,2,FALSE)))</f>
        <v/>
      </c>
      <c r="X187" s="524" t="str">
        <f>IF(V187="","",IF(VLOOKUP(V187,'G-7 Rivers Data'!$AG$4:$AI$9,3,FALSE)=0,"Spatial Data Missing ⚠",VLOOKUP(V187,'G-7 Rivers Data'!$AG$4:$AI$9,3,FALSE)))</f>
        <v/>
      </c>
      <c r="Y187" s="537" t="str">
        <f>IFERROR(IF(OR(LEFT(P187,5)="Error ▲",LEFT(O187,5)="Error ▲"),"Check Data ⚠",IF(F187&lt;S187,'G-7 Rivers Data'!$R$3,INDEX('G-7 Rivers Data'!$U$5:$Y$9,MATCH(G187,'G-7 Rivers Data'!$T$5:$T$9,0),MATCH(T187,'G-7 Rivers Data'!$U$4:$Y$4,0)))),"")</f>
        <v/>
      </c>
      <c r="Z187" s="203"/>
      <c r="AA187" s="203"/>
      <c r="AB187" s="534" t="str">
        <f t="shared" si="16"/>
        <v/>
      </c>
      <c r="AC187" s="521" t="str">
        <f t="shared" si="17"/>
        <v/>
      </c>
      <c r="AD187" s="564" t="str">
        <f>IFERROR(IF(AC187="Check Data ⚠","Check Data ⚠",VLOOKUP(AC187,'G-4 Temporal multipliers'!$A$4:$C$37,3,FALSE)),"")</f>
        <v/>
      </c>
      <c r="AE187" s="537" t="str">
        <f>IF(N187="","",VLOOKUP(N187,'G-7 Rivers Data'!$B$4:$G$8,5,FALSE))</f>
        <v/>
      </c>
      <c r="AF187" s="520" t="str">
        <f t="shared" si="18"/>
        <v/>
      </c>
      <c r="AG187" s="520" t="str">
        <f t="shared" si="22"/>
        <v/>
      </c>
      <c r="AH187" s="524" t="str">
        <f t="shared" si="19"/>
        <v/>
      </c>
      <c r="AI187" s="145"/>
      <c r="AJ187" s="499" t="str">
        <f>IF(AI187="","",IF(VLOOKUP(AI187,'G-7 Rivers Data'!$AA$4:$AB$7,2,FALSE)=0,"Spatial Data Missing ⚠",VLOOKUP(AI187,'G-7 Rivers Data'!$AA$4:$AB$7,2,FALSE)))</f>
        <v/>
      </c>
      <c r="AK187" s="155"/>
      <c r="AL187" s="536" t="str">
        <f>IF(AK187="","",IF(VLOOKUP(AK187,'G-7 Rivers Data'!$AD$4:$AE$8,2,FALSE)=0,"Spatial Data Missing ⚠",VLOOKUP(AK187,'G-7 Rivers Data'!$AD$4:$AE$8,2,FALSE)))</f>
        <v/>
      </c>
      <c r="AM187" s="154"/>
      <c r="AN187" s="524" t="str">
        <f>IF(AM187="","",VLOOKUP(AM187,'G-7 Rivers Data'!$AO$4:$AP$7,2,FALSE))</f>
        <v/>
      </c>
      <c r="AO187" s="545" t="str">
        <f t="shared" si="23"/>
        <v/>
      </c>
      <c r="AP187" s="149"/>
      <c r="AQ187" s="150"/>
      <c r="AX187" s="31" t="str">
        <f>IFERROR(INDEX('G-7 Rivers Data'!$AZ$3:$AZ$7,MATCH(N187,'G-7 Rivers Data'!$AY$3:$AY$7,0)),"")</f>
        <v/>
      </c>
    </row>
    <row r="188" spans="2:50" ht="13.8" x14ac:dyDescent="0.25">
      <c r="B188" s="531" t="str">
        <f>'F-1 Off Site River Baseline'!AN186</f>
        <v/>
      </c>
      <c r="C188" s="520" t="str">
        <f>IF(B188="","",VLOOKUP($B188,'F-1 Off Site River Baseline'!$C$9:$R$257,2,FALSE))</f>
        <v/>
      </c>
      <c r="D188" s="520" t="str">
        <f>IF(C188="","",VLOOKUP($B188,'F-1 Off Site River Baseline'!$C$9:$R$257,3,FALSE))</f>
        <v/>
      </c>
      <c r="E188" s="520" t="str">
        <f>IF(D188="","",VLOOKUP($B188,'F-1 Off Site River Baseline'!$C$9:$R$257,4,FALSE))</f>
        <v/>
      </c>
      <c r="F188" s="520" t="str">
        <f>IF(E188="","",VLOOKUP($B188,'F-1 Off Site River Baseline'!$C$9:$R$257,5,FALSE))</f>
        <v/>
      </c>
      <c r="G188" s="520" t="str">
        <f>IF(F188="","",VLOOKUP($B188,'F-1 Off Site River Baseline'!$C$9:$R$257,6,FALSE))</f>
        <v/>
      </c>
      <c r="H188" s="520" t="str">
        <f>IF(G188="","",VLOOKUP($B188,'F-1 Off Site River Baseline'!$C$9:$R$257,7,FALSE))</f>
        <v/>
      </c>
      <c r="I188" s="520" t="str">
        <f>IF(H188="","",VLOOKUP($B188,'F-1 Off Site River Baseline'!$C$9:$R$257,8,FALSE))</f>
        <v/>
      </c>
      <c r="J188" s="520" t="str">
        <f>IF(I188="","",VLOOKUP($B188,'F-1 Off Site River Baseline'!$C$9:$R$257,9,FALSE))</f>
        <v/>
      </c>
      <c r="K188" s="520" t="str">
        <f>IF(J188="","",VLOOKUP($B188,'F-1 Off Site River Baseline'!$C$9:$R$257,10,FALSE))</f>
        <v/>
      </c>
      <c r="L188" s="520" t="str">
        <f>IF(B188="","",VLOOKUP($B188,'C-1 Site River Baseline'!$C$9:$R$257,15,FALSE))</f>
        <v/>
      </c>
      <c r="M188" s="524" t="str">
        <f>IF(L188="","",VLOOKUP($B188,'F-1 Off Site River Baseline'!$C$9:$R$257,16,FALSE))</f>
        <v/>
      </c>
      <c r="N188" s="418" t="str">
        <f t="shared" si="20"/>
        <v/>
      </c>
      <c r="O188" s="498" t="str">
        <f t="shared" si="21"/>
        <v/>
      </c>
      <c r="P188" s="499" t="str">
        <f>IF(C188="","",IF(AND(LEFT(C188,55)&lt;&gt;LEFT(N188,55),O188="High - High"),"Error - Not like for like ▲",IF(AND(F188=S188,H188&gt;U188),"Error - Can not reduce condition ▲",IF(AND(F188=S188,H188=U188,AJ188='F-1 Off Site River Baseline'!N186,'F-1 Off Site River Baseline'!P186=AL188),"Error - No enhancement ▲",IF(AND(C188&lt;&gt;N188,F188&lt;S188),"Lower Distinctiveness Habitat"&amp;" - "&amp;T188,G188&amp;" - "&amp;T188)))))</f>
        <v/>
      </c>
      <c r="Q188" s="505" t="str">
        <f>IF(N188="","",VLOOKUP(B188,'F-1 Off Site River Baseline'!$C$10:$AA$257,19,FALSE))</f>
        <v/>
      </c>
      <c r="R188" s="498" t="str">
        <f>IF(N188="","",VLOOKUP(N188,'G-7 Rivers Data'!$B$2:$G$8,2,FALSE))</f>
        <v/>
      </c>
      <c r="S188" s="499" t="str">
        <f>IFERROR(VLOOKUP(R188,'G-7 Rivers Data'!$C$4:$D$8,2,FALSE),"")</f>
        <v/>
      </c>
      <c r="T188" s="145"/>
      <c r="U188" s="499" t="str">
        <f>IFERROR(INDEX('G-7 Rivers Data'!$H$4:$L$8,MATCH(N188,'G-7 Rivers Data'!$B$4:$B$8,0),MATCH(T188,'G-7 Rivers Data'!$H$3:$L$3,0)),"")</f>
        <v/>
      </c>
      <c r="V188" s="154"/>
      <c r="W188" s="520" t="str">
        <f>IF(V188="","",IF(VLOOKUP(V188,'G-7 Rivers Data'!$AG$4:$AI$9,2,FALSE)=0,"Spatial Data Missing ⚠",VLOOKUP(V188,'G-7 Rivers Data'!$AG$4:$AI$9,2,FALSE)))</f>
        <v/>
      </c>
      <c r="X188" s="524" t="str">
        <f>IF(V188="","",IF(VLOOKUP(V188,'G-7 Rivers Data'!$AG$4:$AI$9,3,FALSE)=0,"Spatial Data Missing ⚠",VLOOKUP(V188,'G-7 Rivers Data'!$AG$4:$AI$9,3,FALSE)))</f>
        <v/>
      </c>
      <c r="Y188" s="537" t="str">
        <f>IFERROR(IF(OR(LEFT(P188,5)="Error ▲",LEFT(O188,5)="Error ▲"),"Check Data ⚠",IF(F188&lt;S188,'G-7 Rivers Data'!$R$3,INDEX('G-7 Rivers Data'!$U$5:$Y$9,MATCH(G188,'G-7 Rivers Data'!$T$5:$T$9,0),MATCH(T188,'G-7 Rivers Data'!$U$4:$Y$4,0)))),"")</f>
        <v/>
      </c>
      <c r="Z188" s="203"/>
      <c r="AA188" s="203"/>
      <c r="AB188" s="534" t="str">
        <f t="shared" si="16"/>
        <v/>
      </c>
      <c r="AC188" s="521" t="str">
        <f t="shared" si="17"/>
        <v/>
      </c>
      <c r="AD188" s="564" t="str">
        <f>IFERROR(IF(AC188="Check Data ⚠","Check Data ⚠",VLOOKUP(AC188,'G-4 Temporal multipliers'!$A$4:$C$37,3,FALSE)),"")</f>
        <v/>
      </c>
      <c r="AE188" s="537" t="str">
        <f>IF(N188="","",VLOOKUP(N188,'G-7 Rivers Data'!$B$4:$G$8,5,FALSE))</f>
        <v/>
      </c>
      <c r="AF188" s="520" t="str">
        <f t="shared" si="18"/>
        <v/>
      </c>
      <c r="AG188" s="520" t="str">
        <f t="shared" si="22"/>
        <v/>
      </c>
      <c r="AH188" s="524" t="str">
        <f t="shared" si="19"/>
        <v/>
      </c>
      <c r="AI188" s="145"/>
      <c r="AJ188" s="499" t="str">
        <f>IF(AI188="","",IF(VLOOKUP(AI188,'G-7 Rivers Data'!$AA$4:$AB$7,2,FALSE)=0,"Spatial Data Missing ⚠",VLOOKUP(AI188,'G-7 Rivers Data'!$AA$4:$AB$7,2,FALSE)))</f>
        <v/>
      </c>
      <c r="AK188" s="155"/>
      <c r="AL188" s="536" t="str">
        <f>IF(AK188="","",IF(VLOOKUP(AK188,'G-7 Rivers Data'!$AD$4:$AE$8,2,FALSE)=0,"Spatial Data Missing ⚠",VLOOKUP(AK188,'G-7 Rivers Data'!$AD$4:$AE$8,2,FALSE)))</f>
        <v/>
      </c>
      <c r="AM188" s="154"/>
      <c r="AN188" s="524" t="str">
        <f>IF(AM188="","",VLOOKUP(AM188,'G-7 Rivers Data'!$AO$4:$AP$7,2,FALSE))</f>
        <v/>
      </c>
      <c r="AO188" s="545" t="str">
        <f t="shared" si="23"/>
        <v/>
      </c>
      <c r="AP188" s="149"/>
      <c r="AQ188" s="150"/>
      <c r="AX188" s="31" t="str">
        <f>IFERROR(INDEX('G-7 Rivers Data'!$AZ$3:$AZ$7,MATCH(N188,'G-7 Rivers Data'!$AY$3:$AY$7,0)),"")</f>
        <v/>
      </c>
    </row>
    <row r="189" spans="2:50" ht="13.8" x14ac:dyDescent="0.25">
      <c r="B189" s="531" t="str">
        <f>'F-1 Off Site River Baseline'!AN187</f>
        <v/>
      </c>
      <c r="C189" s="520" t="str">
        <f>IF(B189="","",VLOOKUP($B189,'F-1 Off Site River Baseline'!$C$9:$R$257,2,FALSE))</f>
        <v/>
      </c>
      <c r="D189" s="520" t="str">
        <f>IF(C189="","",VLOOKUP($B189,'F-1 Off Site River Baseline'!$C$9:$R$257,3,FALSE))</f>
        <v/>
      </c>
      <c r="E189" s="520" t="str">
        <f>IF(D189="","",VLOOKUP($B189,'F-1 Off Site River Baseline'!$C$9:$R$257,4,FALSE))</f>
        <v/>
      </c>
      <c r="F189" s="520" t="str">
        <f>IF(E189="","",VLOOKUP($B189,'F-1 Off Site River Baseline'!$C$9:$R$257,5,FALSE))</f>
        <v/>
      </c>
      <c r="G189" s="520" t="str">
        <f>IF(F189="","",VLOOKUP($B189,'F-1 Off Site River Baseline'!$C$9:$R$257,6,FALSE))</f>
        <v/>
      </c>
      <c r="H189" s="520" t="str">
        <f>IF(G189="","",VLOOKUP($B189,'F-1 Off Site River Baseline'!$C$9:$R$257,7,FALSE))</f>
        <v/>
      </c>
      <c r="I189" s="520" t="str">
        <f>IF(H189="","",VLOOKUP($B189,'F-1 Off Site River Baseline'!$C$9:$R$257,8,FALSE))</f>
        <v/>
      </c>
      <c r="J189" s="520" t="str">
        <f>IF(I189="","",VLOOKUP($B189,'F-1 Off Site River Baseline'!$C$9:$R$257,9,FALSE))</f>
        <v/>
      </c>
      <c r="K189" s="520" t="str">
        <f>IF(J189="","",VLOOKUP($B189,'F-1 Off Site River Baseline'!$C$9:$R$257,10,FALSE))</f>
        <v/>
      </c>
      <c r="L189" s="520" t="str">
        <f>IF(B189="","",VLOOKUP($B189,'C-1 Site River Baseline'!$C$9:$R$257,15,FALSE))</f>
        <v/>
      </c>
      <c r="M189" s="524" t="str">
        <f>IF(L189="","",VLOOKUP($B189,'F-1 Off Site River Baseline'!$C$9:$R$257,16,FALSE))</f>
        <v/>
      </c>
      <c r="N189" s="418" t="str">
        <f t="shared" si="20"/>
        <v/>
      </c>
      <c r="O189" s="498" t="str">
        <f t="shared" si="21"/>
        <v/>
      </c>
      <c r="P189" s="499" t="str">
        <f>IF(C189="","",IF(AND(LEFT(C189,55)&lt;&gt;LEFT(N189,55),O189="High - High"),"Error - Not like for like ▲",IF(AND(F189=S189,H189&gt;U189),"Error - Can not reduce condition ▲",IF(AND(F189=S189,H189=U189,AJ189='F-1 Off Site River Baseline'!N187,'F-1 Off Site River Baseline'!P187=AL189),"Error - No enhancement ▲",IF(AND(C189&lt;&gt;N189,F189&lt;S189),"Lower Distinctiveness Habitat"&amp;" - "&amp;T189,G189&amp;" - "&amp;T189)))))</f>
        <v/>
      </c>
      <c r="Q189" s="505" t="str">
        <f>IF(N189="","",VLOOKUP(B189,'F-1 Off Site River Baseline'!$C$10:$AA$257,19,FALSE))</f>
        <v/>
      </c>
      <c r="R189" s="498" t="str">
        <f>IF(N189="","",VLOOKUP(N189,'G-7 Rivers Data'!$B$2:$G$8,2,FALSE))</f>
        <v/>
      </c>
      <c r="S189" s="499" t="str">
        <f>IFERROR(VLOOKUP(R189,'G-7 Rivers Data'!$C$4:$D$8,2,FALSE),"")</f>
        <v/>
      </c>
      <c r="T189" s="145"/>
      <c r="U189" s="499" t="str">
        <f>IFERROR(INDEX('G-7 Rivers Data'!$H$4:$L$8,MATCH(N189,'G-7 Rivers Data'!$B$4:$B$8,0),MATCH(T189,'G-7 Rivers Data'!$H$3:$L$3,0)),"")</f>
        <v/>
      </c>
      <c r="V189" s="154"/>
      <c r="W189" s="520" t="str">
        <f>IF(V189="","",IF(VLOOKUP(V189,'G-7 Rivers Data'!$AG$4:$AI$9,2,FALSE)=0,"Spatial Data Missing ⚠",VLOOKUP(V189,'G-7 Rivers Data'!$AG$4:$AI$9,2,FALSE)))</f>
        <v/>
      </c>
      <c r="X189" s="524" t="str">
        <f>IF(V189="","",IF(VLOOKUP(V189,'G-7 Rivers Data'!$AG$4:$AI$9,3,FALSE)=0,"Spatial Data Missing ⚠",VLOOKUP(V189,'G-7 Rivers Data'!$AG$4:$AI$9,3,FALSE)))</f>
        <v/>
      </c>
      <c r="Y189" s="537" t="str">
        <f>IFERROR(IF(OR(LEFT(P189,5)="Error ▲",LEFT(O189,5)="Error ▲"),"Check Data ⚠",IF(F189&lt;S189,'G-7 Rivers Data'!$R$3,INDEX('G-7 Rivers Data'!$U$5:$Y$9,MATCH(G189,'G-7 Rivers Data'!$T$5:$T$9,0),MATCH(T189,'G-7 Rivers Data'!$U$4:$Y$4,0)))),"")</f>
        <v/>
      </c>
      <c r="Z189" s="203"/>
      <c r="AA189" s="203"/>
      <c r="AB189" s="534" t="str">
        <f t="shared" si="16"/>
        <v/>
      </c>
      <c r="AC189" s="521" t="str">
        <f t="shared" si="17"/>
        <v/>
      </c>
      <c r="AD189" s="564" t="str">
        <f>IFERROR(IF(AC189="Check Data ⚠","Check Data ⚠",VLOOKUP(AC189,'G-4 Temporal multipliers'!$A$4:$C$37,3,FALSE)),"")</f>
        <v/>
      </c>
      <c r="AE189" s="537" t="str">
        <f>IF(N189="","",VLOOKUP(N189,'G-7 Rivers Data'!$B$4:$G$8,5,FALSE))</f>
        <v/>
      </c>
      <c r="AF189" s="520" t="str">
        <f t="shared" si="18"/>
        <v/>
      </c>
      <c r="AG189" s="520" t="str">
        <f t="shared" si="22"/>
        <v/>
      </c>
      <c r="AH189" s="524" t="str">
        <f t="shared" si="19"/>
        <v/>
      </c>
      <c r="AI189" s="145"/>
      <c r="AJ189" s="499" t="str">
        <f>IF(AI189="","",IF(VLOOKUP(AI189,'G-7 Rivers Data'!$AA$4:$AB$7,2,FALSE)=0,"Spatial Data Missing ⚠",VLOOKUP(AI189,'G-7 Rivers Data'!$AA$4:$AB$7,2,FALSE)))</f>
        <v/>
      </c>
      <c r="AK189" s="155"/>
      <c r="AL189" s="536" t="str">
        <f>IF(AK189="","",IF(VLOOKUP(AK189,'G-7 Rivers Data'!$AD$4:$AE$8,2,FALSE)=0,"Spatial Data Missing ⚠",VLOOKUP(AK189,'G-7 Rivers Data'!$AD$4:$AE$8,2,FALSE)))</f>
        <v/>
      </c>
      <c r="AM189" s="154"/>
      <c r="AN189" s="524" t="str">
        <f>IF(AM189="","",VLOOKUP(AM189,'G-7 Rivers Data'!$AO$4:$AP$7,2,FALSE))</f>
        <v/>
      </c>
      <c r="AO189" s="545" t="str">
        <f t="shared" si="23"/>
        <v/>
      </c>
      <c r="AP189" s="149"/>
      <c r="AQ189" s="150"/>
      <c r="AX189" s="31" t="str">
        <f>IFERROR(INDEX('G-7 Rivers Data'!$AZ$3:$AZ$7,MATCH(N189,'G-7 Rivers Data'!$AY$3:$AY$7,0)),"")</f>
        <v/>
      </c>
    </row>
    <row r="190" spans="2:50" ht="13.8" x14ac:dyDescent="0.25">
      <c r="B190" s="531" t="str">
        <f>'F-1 Off Site River Baseline'!AN188</f>
        <v/>
      </c>
      <c r="C190" s="520" t="str">
        <f>IF(B190="","",VLOOKUP($B190,'F-1 Off Site River Baseline'!$C$9:$R$257,2,FALSE))</f>
        <v/>
      </c>
      <c r="D190" s="520" t="str">
        <f>IF(C190="","",VLOOKUP($B190,'F-1 Off Site River Baseline'!$C$9:$R$257,3,FALSE))</f>
        <v/>
      </c>
      <c r="E190" s="520" t="str">
        <f>IF(D190="","",VLOOKUP($B190,'F-1 Off Site River Baseline'!$C$9:$R$257,4,FALSE))</f>
        <v/>
      </c>
      <c r="F190" s="520" t="str">
        <f>IF(E190="","",VLOOKUP($B190,'F-1 Off Site River Baseline'!$C$9:$R$257,5,FALSE))</f>
        <v/>
      </c>
      <c r="G190" s="520" t="str">
        <f>IF(F190="","",VLOOKUP($B190,'F-1 Off Site River Baseline'!$C$9:$R$257,6,FALSE))</f>
        <v/>
      </c>
      <c r="H190" s="520" t="str">
        <f>IF(G190="","",VLOOKUP($B190,'F-1 Off Site River Baseline'!$C$9:$R$257,7,FALSE))</f>
        <v/>
      </c>
      <c r="I190" s="520" t="str">
        <f>IF(H190="","",VLOOKUP($B190,'F-1 Off Site River Baseline'!$C$9:$R$257,8,FALSE))</f>
        <v/>
      </c>
      <c r="J190" s="520" t="str">
        <f>IF(I190="","",VLOOKUP($B190,'F-1 Off Site River Baseline'!$C$9:$R$257,9,FALSE))</f>
        <v/>
      </c>
      <c r="K190" s="520" t="str">
        <f>IF(J190="","",VLOOKUP($B190,'F-1 Off Site River Baseline'!$C$9:$R$257,10,FALSE))</f>
        <v/>
      </c>
      <c r="L190" s="520" t="str">
        <f>IF(B190="","",VLOOKUP($B190,'C-1 Site River Baseline'!$C$9:$R$257,15,FALSE))</f>
        <v/>
      </c>
      <c r="M190" s="524" t="str">
        <f>IF(L190="","",VLOOKUP($B190,'F-1 Off Site River Baseline'!$C$9:$R$257,16,FALSE))</f>
        <v/>
      </c>
      <c r="N190" s="418" t="str">
        <f t="shared" si="20"/>
        <v/>
      </c>
      <c r="O190" s="498" t="str">
        <f t="shared" si="21"/>
        <v/>
      </c>
      <c r="P190" s="499" t="str">
        <f>IF(C190="","",IF(AND(LEFT(C190,55)&lt;&gt;LEFT(N190,55),O190="High - High"),"Error - Not like for like ▲",IF(AND(F190=S190,H190&gt;U190),"Error - Can not reduce condition ▲",IF(AND(F190=S190,H190=U190,AJ190='F-1 Off Site River Baseline'!N188,'F-1 Off Site River Baseline'!P188=AL190),"Error - No enhancement ▲",IF(AND(C190&lt;&gt;N190,F190&lt;S190),"Lower Distinctiveness Habitat"&amp;" - "&amp;T190,G190&amp;" - "&amp;T190)))))</f>
        <v/>
      </c>
      <c r="Q190" s="505" t="str">
        <f>IF(N190="","",VLOOKUP(B190,'F-1 Off Site River Baseline'!$C$10:$AA$257,19,FALSE))</f>
        <v/>
      </c>
      <c r="R190" s="498" t="str">
        <f>IF(N190="","",VLOOKUP(N190,'G-7 Rivers Data'!$B$2:$G$8,2,FALSE))</f>
        <v/>
      </c>
      <c r="S190" s="499" t="str">
        <f>IFERROR(VLOOKUP(R190,'G-7 Rivers Data'!$C$4:$D$8,2,FALSE),"")</f>
        <v/>
      </c>
      <c r="T190" s="145"/>
      <c r="U190" s="499" t="str">
        <f>IFERROR(INDEX('G-7 Rivers Data'!$H$4:$L$8,MATCH(N190,'G-7 Rivers Data'!$B$4:$B$8,0),MATCH(T190,'G-7 Rivers Data'!$H$3:$L$3,0)),"")</f>
        <v/>
      </c>
      <c r="V190" s="154"/>
      <c r="W190" s="520" t="str">
        <f>IF(V190="","",IF(VLOOKUP(V190,'G-7 Rivers Data'!$AG$4:$AI$9,2,FALSE)=0,"Spatial Data Missing ⚠",VLOOKUP(V190,'G-7 Rivers Data'!$AG$4:$AI$9,2,FALSE)))</f>
        <v/>
      </c>
      <c r="X190" s="524" t="str">
        <f>IF(V190="","",IF(VLOOKUP(V190,'G-7 Rivers Data'!$AG$4:$AI$9,3,FALSE)=0,"Spatial Data Missing ⚠",VLOOKUP(V190,'G-7 Rivers Data'!$AG$4:$AI$9,3,FALSE)))</f>
        <v/>
      </c>
      <c r="Y190" s="537" t="str">
        <f>IFERROR(IF(OR(LEFT(P190,5)="Error ▲",LEFT(O190,5)="Error ▲"),"Check Data ⚠",IF(F190&lt;S190,'G-7 Rivers Data'!$R$3,INDEX('G-7 Rivers Data'!$U$5:$Y$9,MATCH(G190,'G-7 Rivers Data'!$T$5:$T$9,0),MATCH(T190,'G-7 Rivers Data'!$U$4:$Y$4,0)))),"")</f>
        <v/>
      </c>
      <c r="Z190" s="203"/>
      <c r="AA190" s="203"/>
      <c r="AB190" s="534" t="str">
        <f t="shared" si="16"/>
        <v/>
      </c>
      <c r="AC190" s="521" t="str">
        <f t="shared" si="17"/>
        <v/>
      </c>
      <c r="AD190" s="564" t="str">
        <f>IFERROR(IF(AC190="Check Data ⚠","Check Data ⚠",VLOOKUP(AC190,'G-4 Temporal multipliers'!$A$4:$C$37,3,FALSE)),"")</f>
        <v/>
      </c>
      <c r="AE190" s="537" t="str">
        <f>IF(N190="","",VLOOKUP(N190,'G-7 Rivers Data'!$B$4:$G$8,5,FALSE))</f>
        <v/>
      </c>
      <c r="AF190" s="520" t="str">
        <f t="shared" si="18"/>
        <v/>
      </c>
      <c r="AG190" s="520" t="str">
        <f t="shared" si="22"/>
        <v/>
      </c>
      <c r="AH190" s="524" t="str">
        <f t="shared" si="19"/>
        <v/>
      </c>
      <c r="AI190" s="145"/>
      <c r="AJ190" s="499" t="str">
        <f>IF(AI190="","",IF(VLOOKUP(AI190,'G-7 Rivers Data'!$AA$4:$AB$7,2,FALSE)=0,"Spatial Data Missing ⚠",VLOOKUP(AI190,'G-7 Rivers Data'!$AA$4:$AB$7,2,FALSE)))</f>
        <v/>
      </c>
      <c r="AK190" s="155"/>
      <c r="AL190" s="536" t="str">
        <f>IF(AK190="","",IF(VLOOKUP(AK190,'G-7 Rivers Data'!$AD$4:$AE$8,2,FALSE)=0,"Spatial Data Missing ⚠",VLOOKUP(AK190,'G-7 Rivers Data'!$AD$4:$AE$8,2,FALSE)))</f>
        <v/>
      </c>
      <c r="AM190" s="154"/>
      <c r="AN190" s="524" t="str">
        <f>IF(AM190="","",VLOOKUP(AM190,'G-7 Rivers Data'!$AO$4:$AP$7,2,FALSE))</f>
        <v/>
      </c>
      <c r="AO190" s="545" t="str">
        <f t="shared" si="23"/>
        <v/>
      </c>
      <c r="AP190" s="149"/>
      <c r="AQ190" s="150"/>
      <c r="AX190" s="31" t="str">
        <f>IFERROR(INDEX('G-7 Rivers Data'!$AZ$3:$AZ$7,MATCH(N190,'G-7 Rivers Data'!$AY$3:$AY$7,0)),"")</f>
        <v/>
      </c>
    </row>
    <row r="191" spans="2:50" ht="13.8" x14ac:dyDescent="0.25">
      <c r="B191" s="531" t="str">
        <f>'F-1 Off Site River Baseline'!AN189</f>
        <v/>
      </c>
      <c r="C191" s="520" t="str">
        <f>IF(B191="","",VLOOKUP($B191,'F-1 Off Site River Baseline'!$C$9:$R$257,2,FALSE))</f>
        <v/>
      </c>
      <c r="D191" s="520" t="str">
        <f>IF(C191="","",VLOOKUP($B191,'F-1 Off Site River Baseline'!$C$9:$R$257,3,FALSE))</f>
        <v/>
      </c>
      <c r="E191" s="520" t="str">
        <f>IF(D191="","",VLOOKUP($B191,'F-1 Off Site River Baseline'!$C$9:$R$257,4,FALSE))</f>
        <v/>
      </c>
      <c r="F191" s="520" t="str">
        <f>IF(E191="","",VLOOKUP($B191,'F-1 Off Site River Baseline'!$C$9:$R$257,5,FALSE))</f>
        <v/>
      </c>
      <c r="G191" s="520" t="str">
        <f>IF(F191="","",VLOOKUP($B191,'F-1 Off Site River Baseline'!$C$9:$R$257,6,FALSE))</f>
        <v/>
      </c>
      <c r="H191" s="520" t="str">
        <f>IF(G191="","",VLOOKUP($B191,'F-1 Off Site River Baseline'!$C$9:$R$257,7,FALSE))</f>
        <v/>
      </c>
      <c r="I191" s="520" t="str">
        <f>IF(H191="","",VLOOKUP($B191,'F-1 Off Site River Baseline'!$C$9:$R$257,8,FALSE))</f>
        <v/>
      </c>
      <c r="J191" s="520" t="str">
        <f>IF(I191="","",VLOOKUP($B191,'F-1 Off Site River Baseline'!$C$9:$R$257,9,FALSE))</f>
        <v/>
      </c>
      <c r="K191" s="520" t="str">
        <f>IF(J191="","",VLOOKUP($B191,'F-1 Off Site River Baseline'!$C$9:$R$257,10,FALSE))</f>
        <v/>
      </c>
      <c r="L191" s="520" t="str">
        <f>IF(B191="","",VLOOKUP($B191,'C-1 Site River Baseline'!$C$9:$R$257,15,FALSE))</f>
        <v/>
      </c>
      <c r="M191" s="524" t="str">
        <f>IF(L191="","",VLOOKUP($B191,'F-1 Off Site River Baseline'!$C$9:$R$257,16,FALSE))</f>
        <v/>
      </c>
      <c r="N191" s="418" t="str">
        <f t="shared" si="20"/>
        <v/>
      </c>
      <c r="O191" s="498" t="str">
        <f t="shared" si="21"/>
        <v/>
      </c>
      <c r="P191" s="499" t="str">
        <f>IF(C191="","",IF(AND(LEFT(C191,55)&lt;&gt;LEFT(N191,55),O191="High - High"),"Error - Not like for like ▲",IF(AND(F191=S191,H191&gt;U191),"Error - Can not reduce condition ▲",IF(AND(F191=S191,H191=U191,AJ191='F-1 Off Site River Baseline'!N189,'F-1 Off Site River Baseline'!P189=AL191),"Error - No enhancement ▲",IF(AND(C191&lt;&gt;N191,F191&lt;S191),"Lower Distinctiveness Habitat"&amp;" - "&amp;T191,G191&amp;" - "&amp;T191)))))</f>
        <v/>
      </c>
      <c r="Q191" s="505" t="str">
        <f>IF(N191="","",VLOOKUP(B191,'F-1 Off Site River Baseline'!$C$10:$AA$257,19,FALSE))</f>
        <v/>
      </c>
      <c r="R191" s="498" t="str">
        <f>IF(N191="","",VLOOKUP(N191,'G-7 Rivers Data'!$B$2:$G$8,2,FALSE))</f>
        <v/>
      </c>
      <c r="S191" s="499" t="str">
        <f>IFERROR(VLOOKUP(R191,'G-7 Rivers Data'!$C$4:$D$8,2,FALSE),"")</f>
        <v/>
      </c>
      <c r="T191" s="145"/>
      <c r="U191" s="499" t="str">
        <f>IFERROR(INDEX('G-7 Rivers Data'!$H$4:$L$8,MATCH(N191,'G-7 Rivers Data'!$B$4:$B$8,0),MATCH(T191,'G-7 Rivers Data'!$H$3:$L$3,0)),"")</f>
        <v/>
      </c>
      <c r="V191" s="154"/>
      <c r="W191" s="520" t="str">
        <f>IF(V191="","",IF(VLOOKUP(V191,'G-7 Rivers Data'!$AG$4:$AI$9,2,FALSE)=0,"Spatial Data Missing ⚠",VLOOKUP(V191,'G-7 Rivers Data'!$AG$4:$AI$9,2,FALSE)))</f>
        <v/>
      </c>
      <c r="X191" s="524" t="str">
        <f>IF(V191="","",IF(VLOOKUP(V191,'G-7 Rivers Data'!$AG$4:$AI$9,3,FALSE)=0,"Spatial Data Missing ⚠",VLOOKUP(V191,'G-7 Rivers Data'!$AG$4:$AI$9,3,FALSE)))</f>
        <v/>
      </c>
      <c r="Y191" s="537" t="str">
        <f>IFERROR(IF(OR(LEFT(P191,5)="Error ▲",LEFT(O191,5)="Error ▲"),"Check Data ⚠",IF(F191&lt;S191,'G-7 Rivers Data'!$R$3,INDEX('G-7 Rivers Data'!$U$5:$Y$9,MATCH(G191,'G-7 Rivers Data'!$T$5:$T$9,0),MATCH(T191,'G-7 Rivers Data'!$U$4:$Y$4,0)))),"")</f>
        <v/>
      </c>
      <c r="Z191" s="203"/>
      <c r="AA191" s="203"/>
      <c r="AB191" s="534" t="str">
        <f t="shared" si="16"/>
        <v/>
      </c>
      <c r="AC191" s="521" t="str">
        <f t="shared" si="17"/>
        <v/>
      </c>
      <c r="AD191" s="564" t="str">
        <f>IFERROR(IF(AC191="Check Data ⚠","Check Data ⚠",VLOOKUP(AC191,'G-4 Temporal multipliers'!$A$4:$C$37,3,FALSE)),"")</f>
        <v/>
      </c>
      <c r="AE191" s="537" t="str">
        <f>IF(N191="","",VLOOKUP(N191,'G-7 Rivers Data'!$B$4:$G$8,5,FALSE))</f>
        <v/>
      </c>
      <c r="AF191" s="520" t="str">
        <f t="shared" si="18"/>
        <v/>
      </c>
      <c r="AG191" s="520" t="str">
        <f t="shared" si="22"/>
        <v/>
      </c>
      <c r="AH191" s="524" t="str">
        <f t="shared" si="19"/>
        <v/>
      </c>
      <c r="AI191" s="145"/>
      <c r="AJ191" s="499" t="str">
        <f>IF(AI191="","",IF(VLOOKUP(AI191,'G-7 Rivers Data'!$AA$4:$AB$7,2,FALSE)=0,"Spatial Data Missing ⚠",VLOOKUP(AI191,'G-7 Rivers Data'!$AA$4:$AB$7,2,FALSE)))</f>
        <v/>
      </c>
      <c r="AK191" s="155"/>
      <c r="AL191" s="536" t="str">
        <f>IF(AK191="","",IF(VLOOKUP(AK191,'G-7 Rivers Data'!$AD$4:$AE$8,2,FALSE)=0,"Spatial Data Missing ⚠",VLOOKUP(AK191,'G-7 Rivers Data'!$AD$4:$AE$8,2,FALSE)))</f>
        <v/>
      </c>
      <c r="AM191" s="154"/>
      <c r="AN191" s="524" t="str">
        <f>IF(AM191="","",VLOOKUP(AM191,'G-7 Rivers Data'!$AO$4:$AP$7,2,FALSE))</f>
        <v/>
      </c>
      <c r="AO191" s="545" t="str">
        <f t="shared" si="23"/>
        <v/>
      </c>
      <c r="AP191" s="149"/>
      <c r="AQ191" s="150"/>
      <c r="AX191" s="31" t="str">
        <f>IFERROR(INDEX('G-7 Rivers Data'!$AZ$3:$AZ$7,MATCH(N191,'G-7 Rivers Data'!$AY$3:$AY$7,0)),"")</f>
        <v/>
      </c>
    </row>
    <row r="192" spans="2:50" ht="13.8" x14ac:dyDescent="0.25">
      <c r="B192" s="531" t="str">
        <f>'F-1 Off Site River Baseline'!AN190</f>
        <v/>
      </c>
      <c r="C192" s="520" t="str">
        <f>IF(B192="","",VLOOKUP($B192,'F-1 Off Site River Baseline'!$C$9:$R$257,2,FALSE))</f>
        <v/>
      </c>
      <c r="D192" s="520" t="str">
        <f>IF(C192="","",VLOOKUP($B192,'F-1 Off Site River Baseline'!$C$9:$R$257,3,FALSE))</f>
        <v/>
      </c>
      <c r="E192" s="520" t="str">
        <f>IF(D192="","",VLOOKUP($B192,'F-1 Off Site River Baseline'!$C$9:$R$257,4,FALSE))</f>
        <v/>
      </c>
      <c r="F192" s="520" t="str">
        <f>IF(E192="","",VLOOKUP($B192,'F-1 Off Site River Baseline'!$C$9:$R$257,5,FALSE))</f>
        <v/>
      </c>
      <c r="G192" s="520" t="str">
        <f>IF(F192="","",VLOOKUP($B192,'F-1 Off Site River Baseline'!$C$9:$R$257,6,FALSE))</f>
        <v/>
      </c>
      <c r="H192" s="520" t="str">
        <f>IF(G192="","",VLOOKUP($B192,'F-1 Off Site River Baseline'!$C$9:$R$257,7,FALSE))</f>
        <v/>
      </c>
      <c r="I192" s="520" t="str">
        <f>IF(H192="","",VLOOKUP($B192,'F-1 Off Site River Baseline'!$C$9:$R$257,8,FALSE))</f>
        <v/>
      </c>
      <c r="J192" s="520" t="str">
        <f>IF(I192="","",VLOOKUP($B192,'F-1 Off Site River Baseline'!$C$9:$R$257,9,FALSE))</f>
        <v/>
      </c>
      <c r="K192" s="520" t="str">
        <f>IF(J192="","",VLOOKUP($B192,'F-1 Off Site River Baseline'!$C$9:$R$257,10,FALSE))</f>
        <v/>
      </c>
      <c r="L192" s="520" t="str">
        <f>IF(B192="","",VLOOKUP($B192,'C-1 Site River Baseline'!$C$9:$R$257,15,FALSE))</f>
        <v/>
      </c>
      <c r="M192" s="524" t="str">
        <f>IF(L192="","",VLOOKUP($B192,'F-1 Off Site River Baseline'!$C$9:$R$257,16,FALSE))</f>
        <v/>
      </c>
      <c r="N192" s="418" t="str">
        <f t="shared" si="20"/>
        <v/>
      </c>
      <c r="O192" s="498" t="str">
        <f t="shared" si="21"/>
        <v/>
      </c>
      <c r="P192" s="499" t="str">
        <f>IF(C192="","",IF(AND(LEFT(C192,55)&lt;&gt;LEFT(N192,55),O192="High - High"),"Error - Not like for like ▲",IF(AND(F192=S192,H192&gt;U192),"Error - Can not reduce condition ▲",IF(AND(F192=S192,H192=U192,AJ192='F-1 Off Site River Baseline'!N190,'F-1 Off Site River Baseline'!P190=AL192),"Error - No enhancement ▲",IF(AND(C192&lt;&gt;N192,F192&lt;S192),"Lower Distinctiveness Habitat"&amp;" - "&amp;T192,G192&amp;" - "&amp;T192)))))</f>
        <v/>
      </c>
      <c r="Q192" s="505" t="str">
        <f>IF(N192="","",VLOOKUP(B192,'F-1 Off Site River Baseline'!$C$10:$AA$257,19,FALSE))</f>
        <v/>
      </c>
      <c r="R192" s="498" t="str">
        <f>IF(N192="","",VLOOKUP(N192,'G-7 Rivers Data'!$B$2:$G$8,2,FALSE))</f>
        <v/>
      </c>
      <c r="S192" s="499" t="str">
        <f>IFERROR(VLOOKUP(R192,'G-7 Rivers Data'!$C$4:$D$8,2,FALSE),"")</f>
        <v/>
      </c>
      <c r="T192" s="145"/>
      <c r="U192" s="499" t="str">
        <f>IFERROR(INDEX('G-7 Rivers Data'!$H$4:$L$8,MATCH(N192,'G-7 Rivers Data'!$B$4:$B$8,0),MATCH(T192,'G-7 Rivers Data'!$H$3:$L$3,0)),"")</f>
        <v/>
      </c>
      <c r="V192" s="154"/>
      <c r="W192" s="520" t="str">
        <f>IF(V192="","",IF(VLOOKUP(V192,'G-7 Rivers Data'!$AG$4:$AI$9,2,FALSE)=0,"Spatial Data Missing ⚠",VLOOKUP(V192,'G-7 Rivers Data'!$AG$4:$AI$9,2,FALSE)))</f>
        <v/>
      </c>
      <c r="X192" s="524" t="str">
        <f>IF(V192="","",IF(VLOOKUP(V192,'G-7 Rivers Data'!$AG$4:$AI$9,3,FALSE)=0,"Spatial Data Missing ⚠",VLOOKUP(V192,'G-7 Rivers Data'!$AG$4:$AI$9,3,FALSE)))</f>
        <v/>
      </c>
      <c r="Y192" s="537" t="str">
        <f>IFERROR(IF(OR(LEFT(P192,5)="Error ▲",LEFT(O192,5)="Error ▲"),"Check Data ⚠",IF(F192&lt;S192,'G-7 Rivers Data'!$R$3,INDEX('G-7 Rivers Data'!$U$5:$Y$9,MATCH(G192,'G-7 Rivers Data'!$T$5:$T$9,0),MATCH(T192,'G-7 Rivers Data'!$U$4:$Y$4,0)))),"")</f>
        <v/>
      </c>
      <c r="Z192" s="203"/>
      <c r="AA192" s="203"/>
      <c r="AB192" s="534" t="str">
        <f t="shared" si="16"/>
        <v/>
      </c>
      <c r="AC192" s="521" t="str">
        <f t="shared" si="17"/>
        <v/>
      </c>
      <c r="AD192" s="564" t="str">
        <f>IFERROR(IF(AC192="Check Data ⚠","Check Data ⚠",VLOOKUP(AC192,'G-4 Temporal multipliers'!$A$4:$C$37,3,FALSE)),"")</f>
        <v/>
      </c>
      <c r="AE192" s="537" t="str">
        <f>IF(N192="","",VLOOKUP(N192,'G-7 Rivers Data'!$B$4:$G$8,5,FALSE))</f>
        <v/>
      </c>
      <c r="AF192" s="520" t="str">
        <f t="shared" si="18"/>
        <v/>
      </c>
      <c r="AG192" s="520" t="str">
        <f t="shared" si="22"/>
        <v/>
      </c>
      <c r="AH192" s="524" t="str">
        <f t="shared" si="19"/>
        <v/>
      </c>
      <c r="AI192" s="145"/>
      <c r="AJ192" s="499" t="str">
        <f>IF(AI192="","",IF(VLOOKUP(AI192,'G-7 Rivers Data'!$AA$4:$AB$7,2,FALSE)=0,"Spatial Data Missing ⚠",VLOOKUP(AI192,'G-7 Rivers Data'!$AA$4:$AB$7,2,FALSE)))</f>
        <v/>
      </c>
      <c r="AK192" s="155"/>
      <c r="AL192" s="536" t="str">
        <f>IF(AK192="","",IF(VLOOKUP(AK192,'G-7 Rivers Data'!$AD$4:$AE$8,2,FALSE)=0,"Spatial Data Missing ⚠",VLOOKUP(AK192,'G-7 Rivers Data'!$AD$4:$AE$8,2,FALSE)))</f>
        <v/>
      </c>
      <c r="AM192" s="154"/>
      <c r="AN192" s="524" t="str">
        <f>IF(AM192="","",VLOOKUP(AM192,'G-7 Rivers Data'!$AO$4:$AP$7,2,FALSE))</f>
        <v/>
      </c>
      <c r="AO192" s="545" t="str">
        <f t="shared" si="23"/>
        <v/>
      </c>
      <c r="AP192" s="149"/>
      <c r="AQ192" s="150"/>
      <c r="AX192" s="31" t="str">
        <f>IFERROR(INDEX('G-7 Rivers Data'!$AZ$3:$AZ$7,MATCH(N192,'G-7 Rivers Data'!$AY$3:$AY$7,0)),"")</f>
        <v/>
      </c>
    </row>
    <row r="193" spans="2:50" ht="13.8" x14ac:dyDescent="0.25">
      <c r="B193" s="531" t="str">
        <f>'F-1 Off Site River Baseline'!AN191</f>
        <v/>
      </c>
      <c r="C193" s="520" t="str">
        <f>IF(B193="","",VLOOKUP($B193,'F-1 Off Site River Baseline'!$C$9:$R$257,2,FALSE))</f>
        <v/>
      </c>
      <c r="D193" s="520" t="str">
        <f>IF(C193="","",VLOOKUP($B193,'F-1 Off Site River Baseline'!$C$9:$R$257,3,FALSE))</f>
        <v/>
      </c>
      <c r="E193" s="520" t="str">
        <f>IF(D193="","",VLOOKUP($B193,'F-1 Off Site River Baseline'!$C$9:$R$257,4,FALSE))</f>
        <v/>
      </c>
      <c r="F193" s="520" t="str">
        <f>IF(E193="","",VLOOKUP($B193,'F-1 Off Site River Baseline'!$C$9:$R$257,5,FALSE))</f>
        <v/>
      </c>
      <c r="G193" s="520" t="str">
        <f>IF(F193="","",VLOOKUP($B193,'F-1 Off Site River Baseline'!$C$9:$R$257,6,FALSE))</f>
        <v/>
      </c>
      <c r="H193" s="520" t="str">
        <f>IF(G193="","",VLOOKUP($B193,'F-1 Off Site River Baseline'!$C$9:$R$257,7,FALSE))</f>
        <v/>
      </c>
      <c r="I193" s="520" t="str">
        <f>IF(H193="","",VLOOKUP($B193,'F-1 Off Site River Baseline'!$C$9:$R$257,8,FALSE))</f>
        <v/>
      </c>
      <c r="J193" s="520" t="str">
        <f>IF(I193="","",VLOOKUP($B193,'F-1 Off Site River Baseline'!$C$9:$R$257,9,FALSE))</f>
        <v/>
      </c>
      <c r="K193" s="520" t="str">
        <f>IF(J193="","",VLOOKUP($B193,'F-1 Off Site River Baseline'!$C$9:$R$257,10,FALSE))</f>
        <v/>
      </c>
      <c r="L193" s="520" t="str">
        <f>IF(B193="","",VLOOKUP($B193,'C-1 Site River Baseline'!$C$9:$R$257,15,FALSE))</f>
        <v/>
      </c>
      <c r="M193" s="524" t="str">
        <f>IF(L193="","",VLOOKUP($B193,'F-1 Off Site River Baseline'!$C$9:$R$257,16,FALSE))</f>
        <v/>
      </c>
      <c r="N193" s="418" t="str">
        <f t="shared" si="20"/>
        <v/>
      </c>
      <c r="O193" s="498" t="str">
        <f t="shared" si="21"/>
        <v/>
      </c>
      <c r="P193" s="499" t="str">
        <f>IF(C193="","",IF(AND(LEFT(C193,55)&lt;&gt;LEFT(N193,55),O193="High - High"),"Error - Not like for like ▲",IF(AND(F193=S193,H193&gt;U193),"Error - Can not reduce condition ▲",IF(AND(F193=S193,H193=U193,AJ193='F-1 Off Site River Baseline'!N191,'F-1 Off Site River Baseline'!P191=AL193),"Error - No enhancement ▲",IF(AND(C193&lt;&gt;N193,F193&lt;S193),"Lower Distinctiveness Habitat"&amp;" - "&amp;T193,G193&amp;" - "&amp;T193)))))</f>
        <v/>
      </c>
      <c r="Q193" s="505" t="str">
        <f>IF(N193="","",VLOOKUP(B193,'F-1 Off Site River Baseline'!$C$10:$AA$257,19,FALSE))</f>
        <v/>
      </c>
      <c r="R193" s="498" t="str">
        <f>IF(N193="","",VLOOKUP(N193,'G-7 Rivers Data'!$B$2:$G$8,2,FALSE))</f>
        <v/>
      </c>
      <c r="S193" s="499" t="str">
        <f>IFERROR(VLOOKUP(R193,'G-7 Rivers Data'!$C$4:$D$8,2,FALSE),"")</f>
        <v/>
      </c>
      <c r="T193" s="145"/>
      <c r="U193" s="499" t="str">
        <f>IFERROR(INDEX('G-7 Rivers Data'!$H$4:$L$8,MATCH(N193,'G-7 Rivers Data'!$B$4:$B$8,0),MATCH(T193,'G-7 Rivers Data'!$H$3:$L$3,0)),"")</f>
        <v/>
      </c>
      <c r="V193" s="154"/>
      <c r="W193" s="520" t="str">
        <f>IF(V193="","",IF(VLOOKUP(V193,'G-7 Rivers Data'!$AG$4:$AI$9,2,FALSE)=0,"Spatial Data Missing ⚠",VLOOKUP(V193,'G-7 Rivers Data'!$AG$4:$AI$9,2,FALSE)))</f>
        <v/>
      </c>
      <c r="X193" s="524" t="str">
        <f>IF(V193="","",IF(VLOOKUP(V193,'G-7 Rivers Data'!$AG$4:$AI$9,3,FALSE)=0,"Spatial Data Missing ⚠",VLOOKUP(V193,'G-7 Rivers Data'!$AG$4:$AI$9,3,FALSE)))</f>
        <v/>
      </c>
      <c r="Y193" s="537" t="str">
        <f>IFERROR(IF(OR(LEFT(P193,5)="Error ▲",LEFT(O193,5)="Error ▲"),"Check Data ⚠",IF(F193&lt;S193,'G-7 Rivers Data'!$R$3,INDEX('G-7 Rivers Data'!$U$5:$Y$9,MATCH(G193,'G-7 Rivers Data'!$T$5:$T$9,0),MATCH(T193,'G-7 Rivers Data'!$U$4:$Y$4,0)))),"")</f>
        <v/>
      </c>
      <c r="Z193" s="203"/>
      <c r="AA193" s="203"/>
      <c r="AB193" s="534" t="str">
        <f t="shared" si="16"/>
        <v/>
      </c>
      <c r="AC193" s="521" t="str">
        <f t="shared" si="17"/>
        <v/>
      </c>
      <c r="AD193" s="564" t="str">
        <f>IFERROR(IF(AC193="Check Data ⚠","Check Data ⚠",VLOOKUP(AC193,'G-4 Temporal multipliers'!$A$4:$C$37,3,FALSE)),"")</f>
        <v/>
      </c>
      <c r="AE193" s="537" t="str">
        <f>IF(N193="","",VLOOKUP(N193,'G-7 Rivers Data'!$B$4:$G$8,5,FALSE))</f>
        <v/>
      </c>
      <c r="AF193" s="520" t="str">
        <f t="shared" si="18"/>
        <v/>
      </c>
      <c r="AG193" s="520" t="str">
        <f t="shared" si="22"/>
        <v/>
      </c>
      <c r="AH193" s="524" t="str">
        <f t="shared" si="19"/>
        <v/>
      </c>
      <c r="AI193" s="145"/>
      <c r="AJ193" s="499" t="str">
        <f>IF(AI193="","",IF(VLOOKUP(AI193,'G-7 Rivers Data'!$AA$4:$AB$7,2,FALSE)=0,"Spatial Data Missing ⚠",VLOOKUP(AI193,'G-7 Rivers Data'!$AA$4:$AB$7,2,FALSE)))</f>
        <v/>
      </c>
      <c r="AK193" s="155"/>
      <c r="AL193" s="536" t="str">
        <f>IF(AK193="","",IF(VLOOKUP(AK193,'G-7 Rivers Data'!$AD$4:$AE$8,2,FALSE)=0,"Spatial Data Missing ⚠",VLOOKUP(AK193,'G-7 Rivers Data'!$AD$4:$AE$8,2,FALSE)))</f>
        <v/>
      </c>
      <c r="AM193" s="154"/>
      <c r="AN193" s="524" t="str">
        <f>IF(AM193="","",VLOOKUP(AM193,'G-7 Rivers Data'!$AO$4:$AP$7,2,FALSE))</f>
        <v/>
      </c>
      <c r="AO193" s="545" t="str">
        <f t="shared" si="23"/>
        <v/>
      </c>
      <c r="AP193" s="149"/>
      <c r="AQ193" s="150"/>
      <c r="AX193" s="31" t="str">
        <f>IFERROR(INDEX('G-7 Rivers Data'!$AZ$3:$AZ$7,MATCH(N193,'G-7 Rivers Data'!$AY$3:$AY$7,0)),"")</f>
        <v/>
      </c>
    </row>
    <row r="194" spans="2:50" ht="13.8" x14ac:dyDescent="0.25">
      <c r="B194" s="531" t="str">
        <f>'F-1 Off Site River Baseline'!AN192</f>
        <v/>
      </c>
      <c r="C194" s="520" t="str">
        <f>IF(B194="","",VLOOKUP($B194,'F-1 Off Site River Baseline'!$C$9:$R$257,2,FALSE))</f>
        <v/>
      </c>
      <c r="D194" s="520" t="str">
        <f>IF(C194="","",VLOOKUP($B194,'F-1 Off Site River Baseline'!$C$9:$R$257,3,FALSE))</f>
        <v/>
      </c>
      <c r="E194" s="520" t="str">
        <f>IF(D194="","",VLOOKUP($B194,'F-1 Off Site River Baseline'!$C$9:$R$257,4,FALSE))</f>
        <v/>
      </c>
      <c r="F194" s="520" t="str">
        <f>IF(E194="","",VLOOKUP($B194,'F-1 Off Site River Baseline'!$C$9:$R$257,5,FALSE))</f>
        <v/>
      </c>
      <c r="G194" s="520" t="str">
        <f>IF(F194="","",VLOOKUP($B194,'F-1 Off Site River Baseline'!$C$9:$R$257,6,FALSE))</f>
        <v/>
      </c>
      <c r="H194" s="520" t="str">
        <f>IF(G194="","",VLOOKUP($B194,'F-1 Off Site River Baseline'!$C$9:$R$257,7,FALSE))</f>
        <v/>
      </c>
      <c r="I194" s="520" t="str">
        <f>IF(H194="","",VLOOKUP($B194,'F-1 Off Site River Baseline'!$C$9:$R$257,8,FALSE))</f>
        <v/>
      </c>
      <c r="J194" s="520" t="str">
        <f>IF(I194="","",VLOOKUP($B194,'F-1 Off Site River Baseline'!$C$9:$R$257,9,FALSE))</f>
        <v/>
      </c>
      <c r="K194" s="520" t="str">
        <f>IF(J194="","",VLOOKUP($B194,'F-1 Off Site River Baseline'!$C$9:$R$257,10,FALSE))</f>
        <v/>
      </c>
      <c r="L194" s="520" t="str">
        <f>IF(B194="","",VLOOKUP($B194,'C-1 Site River Baseline'!$C$9:$R$257,15,FALSE))</f>
        <v/>
      </c>
      <c r="M194" s="524" t="str">
        <f>IF(L194="","",VLOOKUP($B194,'F-1 Off Site River Baseline'!$C$9:$R$257,16,FALSE))</f>
        <v/>
      </c>
      <c r="N194" s="418" t="str">
        <f t="shared" si="20"/>
        <v/>
      </c>
      <c r="O194" s="498" t="str">
        <f t="shared" si="21"/>
        <v/>
      </c>
      <c r="P194" s="499" t="str">
        <f>IF(C194="","",IF(AND(LEFT(C194,55)&lt;&gt;LEFT(N194,55),O194="High - High"),"Error - Not like for like ▲",IF(AND(F194=S194,H194&gt;U194),"Error - Can not reduce condition ▲",IF(AND(F194=S194,H194=U194,AJ194='F-1 Off Site River Baseline'!N192,'F-1 Off Site River Baseline'!P192=AL194),"Error - No enhancement ▲",IF(AND(C194&lt;&gt;N194,F194&lt;S194),"Lower Distinctiveness Habitat"&amp;" - "&amp;T194,G194&amp;" - "&amp;T194)))))</f>
        <v/>
      </c>
      <c r="Q194" s="505" t="str">
        <f>IF(N194="","",VLOOKUP(B194,'F-1 Off Site River Baseline'!$C$10:$AA$257,19,FALSE))</f>
        <v/>
      </c>
      <c r="R194" s="498" t="str">
        <f>IF(N194="","",VLOOKUP(N194,'G-7 Rivers Data'!$B$2:$G$8,2,FALSE))</f>
        <v/>
      </c>
      <c r="S194" s="499" t="str">
        <f>IFERROR(VLOOKUP(R194,'G-7 Rivers Data'!$C$4:$D$8,2,FALSE),"")</f>
        <v/>
      </c>
      <c r="T194" s="145"/>
      <c r="U194" s="499" t="str">
        <f>IFERROR(INDEX('G-7 Rivers Data'!$H$4:$L$8,MATCH(N194,'G-7 Rivers Data'!$B$4:$B$8,0),MATCH(T194,'G-7 Rivers Data'!$H$3:$L$3,0)),"")</f>
        <v/>
      </c>
      <c r="V194" s="154"/>
      <c r="W194" s="520" t="str">
        <f>IF(V194="","",IF(VLOOKUP(V194,'G-7 Rivers Data'!$AG$4:$AI$9,2,FALSE)=0,"Spatial Data Missing ⚠",VLOOKUP(V194,'G-7 Rivers Data'!$AG$4:$AI$9,2,FALSE)))</f>
        <v/>
      </c>
      <c r="X194" s="524" t="str">
        <f>IF(V194="","",IF(VLOOKUP(V194,'G-7 Rivers Data'!$AG$4:$AI$9,3,FALSE)=0,"Spatial Data Missing ⚠",VLOOKUP(V194,'G-7 Rivers Data'!$AG$4:$AI$9,3,FALSE)))</f>
        <v/>
      </c>
      <c r="Y194" s="537" t="str">
        <f>IFERROR(IF(OR(LEFT(P194,5)="Error ▲",LEFT(O194,5)="Error ▲"),"Check Data ⚠",IF(F194&lt;S194,'G-7 Rivers Data'!$R$3,INDEX('G-7 Rivers Data'!$U$5:$Y$9,MATCH(G194,'G-7 Rivers Data'!$T$5:$T$9,0),MATCH(T194,'G-7 Rivers Data'!$U$4:$Y$4,0)))),"")</f>
        <v/>
      </c>
      <c r="Z194" s="203"/>
      <c r="AA194" s="203"/>
      <c r="AB194" s="534" t="str">
        <f t="shared" si="16"/>
        <v/>
      </c>
      <c r="AC194" s="521" t="str">
        <f t="shared" si="17"/>
        <v/>
      </c>
      <c r="AD194" s="564" t="str">
        <f>IFERROR(IF(AC194="Check Data ⚠","Check Data ⚠",VLOOKUP(AC194,'G-4 Temporal multipliers'!$A$4:$C$37,3,FALSE)),"")</f>
        <v/>
      </c>
      <c r="AE194" s="537" t="str">
        <f>IF(N194="","",VLOOKUP(N194,'G-7 Rivers Data'!$B$4:$G$8,5,FALSE))</f>
        <v/>
      </c>
      <c r="AF194" s="520" t="str">
        <f t="shared" si="18"/>
        <v/>
      </c>
      <c r="AG194" s="520" t="str">
        <f t="shared" si="22"/>
        <v/>
      </c>
      <c r="AH194" s="524" t="str">
        <f t="shared" si="19"/>
        <v/>
      </c>
      <c r="AI194" s="145"/>
      <c r="AJ194" s="499" t="str">
        <f>IF(AI194="","",IF(VLOOKUP(AI194,'G-7 Rivers Data'!$AA$4:$AB$7,2,FALSE)=0,"Spatial Data Missing ⚠",VLOOKUP(AI194,'G-7 Rivers Data'!$AA$4:$AB$7,2,FALSE)))</f>
        <v/>
      </c>
      <c r="AK194" s="155"/>
      <c r="AL194" s="536" t="str">
        <f>IF(AK194="","",IF(VLOOKUP(AK194,'G-7 Rivers Data'!$AD$4:$AE$8,2,FALSE)=0,"Spatial Data Missing ⚠",VLOOKUP(AK194,'G-7 Rivers Data'!$AD$4:$AE$8,2,FALSE)))</f>
        <v/>
      </c>
      <c r="AM194" s="154"/>
      <c r="AN194" s="524" t="str">
        <f>IF(AM194="","",VLOOKUP(AM194,'G-7 Rivers Data'!$AO$4:$AP$7,2,FALSE))</f>
        <v/>
      </c>
      <c r="AO194" s="545" t="str">
        <f t="shared" si="23"/>
        <v/>
      </c>
      <c r="AP194" s="149"/>
      <c r="AQ194" s="150"/>
      <c r="AX194" s="31" t="str">
        <f>IFERROR(INDEX('G-7 Rivers Data'!$AZ$3:$AZ$7,MATCH(N194,'G-7 Rivers Data'!$AY$3:$AY$7,0)),"")</f>
        <v/>
      </c>
    </row>
    <row r="195" spans="2:50" ht="13.8" x14ac:dyDescent="0.25">
      <c r="B195" s="531" t="str">
        <f>'F-1 Off Site River Baseline'!AN193</f>
        <v/>
      </c>
      <c r="C195" s="520" t="str">
        <f>IF(B195="","",VLOOKUP($B195,'F-1 Off Site River Baseline'!$C$9:$R$257,2,FALSE))</f>
        <v/>
      </c>
      <c r="D195" s="520" t="str">
        <f>IF(C195="","",VLOOKUP($B195,'F-1 Off Site River Baseline'!$C$9:$R$257,3,FALSE))</f>
        <v/>
      </c>
      <c r="E195" s="520" t="str">
        <f>IF(D195="","",VLOOKUP($B195,'F-1 Off Site River Baseline'!$C$9:$R$257,4,FALSE))</f>
        <v/>
      </c>
      <c r="F195" s="520" t="str">
        <f>IF(E195="","",VLOOKUP($B195,'F-1 Off Site River Baseline'!$C$9:$R$257,5,FALSE))</f>
        <v/>
      </c>
      <c r="G195" s="520" t="str">
        <f>IF(F195="","",VLOOKUP($B195,'F-1 Off Site River Baseline'!$C$9:$R$257,6,FALSE))</f>
        <v/>
      </c>
      <c r="H195" s="520" t="str">
        <f>IF(G195="","",VLOOKUP($B195,'F-1 Off Site River Baseline'!$C$9:$R$257,7,FALSE))</f>
        <v/>
      </c>
      <c r="I195" s="520" t="str">
        <f>IF(H195="","",VLOOKUP($B195,'F-1 Off Site River Baseline'!$C$9:$R$257,8,FALSE))</f>
        <v/>
      </c>
      <c r="J195" s="520" t="str">
        <f>IF(I195="","",VLOOKUP($B195,'F-1 Off Site River Baseline'!$C$9:$R$257,9,FALSE))</f>
        <v/>
      </c>
      <c r="K195" s="520" t="str">
        <f>IF(J195="","",VLOOKUP($B195,'F-1 Off Site River Baseline'!$C$9:$R$257,10,FALSE))</f>
        <v/>
      </c>
      <c r="L195" s="520" t="str">
        <f>IF(B195="","",VLOOKUP($B195,'C-1 Site River Baseline'!$C$9:$R$257,15,FALSE))</f>
        <v/>
      </c>
      <c r="M195" s="524" t="str">
        <f>IF(L195="","",VLOOKUP($B195,'F-1 Off Site River Baseline'!$C$9:$R$257,16,FALSE))</f>
        <v/>
      </c>
      <c r="N195" s="418" t="str">
        <f t="shared" si="20"/>
        <v/>
      </c>
      <c r="O195" s="498" t="str">
        <f t="shared" si="21"/>
        <v/>
      </c>
      <c r="P195" s="499" t="str">
        <f>IF(C195="","",IF(AND(LEFT(C195,55)&lt;&gt;LEFT(N195,55),O195="High - High"),"Error - Not like for like ▲",IF(AND(F195=S195,H195&gt;U195),"Error - Can not reduce condition ▲",IF(AND(F195=S195,H195=U195,AJ195='F-1 Off Site River Baseline'!N193,'F-1 Off Site River Baseline'!P193=AL195),"Error - No enhancement ▲",IF(AND(C195&lt;&gt;N195,F195&lt;S195),"Lower Distinctiveness Habitat"&amp;" - "&amp;T195,G195&amp;" - "&amp;T195)))))</f>
        <v/>
      </c>
      <c r="Q195" s="505" t="str">
        <f>IF(N195="","",VLOOKUP(B195,'F-1 Off Site River Baseline'!$C$10:$AA$257,19,FALSE))</f>
        <v/>
      </c>
      <c r="R195" s="498" t="str">
        <f>IF(N195="","",VLOOKUP(N195,'G-7 Rivers Data'!$B$2:$G$8,2,FALSE))</f>
        <v/>
      </c>
      <c r="S195" s="499" t="str">
        <f>IFERROR(VLOOKUP(R195,'G-7 Rivers Data'!$C$4:$D$8,2,FALSE),"")</f>
        <v/>
      </c>
      <c r="T195" s="145"/>
      <c r="U195" s="499" t="str">
        <f>IFERROR(INDEX('G-7 Rivers Data'!$H$4:$L$8,MATCH(N195,'G-7 Rivers Data'!$B$4:$B$8,0),MATCH(T195,'G-7 Rivers Data'!$H$3:$L$3,0)),"")</f>
        <v/>
      </c>
      <c r="V195" s="154"/>
      <c r="W195" s="520" t="str">
        <f>IF(V195="","",IF(VLOOKUP(V195,'G-7 Rivers Data'!$AG$4:$AI$9,2,FALSE)=0,"Spatial Data Missing ⚠",VLOOKUP(V195,'G-7 Rivers Data'!$AG$4:$AI$9,2,FALSE)))</f>
        <v/>
      </c>
      <c r="X195" s="524" t="str">
        <f>IF(V195="","",IF(VLOOKUP(V195,'G-7 Rivers Data'!$AG$4:$AI$9,3,FALSE)=0,"Spatial Data Missing ⚠",VLOOKUP(V195,'G-7 Rivers Data'!$AG$4:$AI$9,3,FALSE)))</f>
        <v/>
      </c>
      <c r="Y195" s="537" t="str">
        <f>IFERROR(IF(OR(LEFT(P195,5)="Error ▲",LEFT(O195,5)="Error ▲"),"Check Data ⚠",IF(F195&lt;S195,'G-7 Rivers Data'!$R$3,INDEX('G-7 Rivers Data'!$U$5:$Y$9,MATCH(G195,'G-7 Rivers Data'!$T$5:$T$9,0),MATCH(T195,'G-7 Rivers Data'!$U$4:$Y$4,0)))),"")</f>
        <v/>
      </c>
      <c r="Z195" s="203"/>
      <c r="AA195" s="203"/>
      <c r="AB195" s="534" t="str">
        <f t="shared" si="16"/>
        <v/>
      </c>
      <c r="AC195" s="521" t="str">
        <f t="shared" si="17"/>
        <v/>
      </c>
      <c r="AD195" s="564" t="str">
        <f>IFERROR(IF(AC195="Check Data ⚠","Check Data ⚠",VLOOKUP(AC195,'G-4 Temporal multipliers'!$A$4:$C$37,3,FALSE)),"")</f>
        <v/>
      </c>
      <c r="AE195" s="537" t="str">
        <f>IF(N195="","",VLOOKUP(N195,'G-7 Rivers Data'!$B$4:$G$8,5,FALSE))</f>
        <v/>
      </c>
      <c r="AF195" s="520" t="str">
        <f t="shared" si="18"/>
        <v/>
      </c>
      <c r="AG195" s="520" t="str">
        <f t="shared" si="22"/>
        <v/>
      </c>
      <c r="AH195" s="524" t="str">
        <f t="shared" si="19"/>
        <v/>
      </c>
      <c r="AI195" s="145"/>
      <c r="AJ195" s="499" t="str">
        <f>IF(AI195="","",IF(VLOOKUP(AI195,'G-7 Rivers Data'!$AA$4:$AB$7,2,FALSE)=0,"Spatial Data Missing ⚠",VLOOKUP(AI195,'G-7 Rivers Data'!$AA$4:$AB$7,2,FALSE)))</f>
        <v/>
      </c>
      <c r="AK195" s="155"/>
      <c r="AL195" s="536" t="str">
        <f>IF(AK195="","",IF(VLOOKUP(AK195,'G-7 Rivers Data'!$AD$4:$AE$8,2,FALSE)=0,"Spatial Data Missing ⚠",VLOOKUP(AK195,'G-7 Rivers Data'!$AD$4:$AE$8,2,FALSE)))</f>
        <v/>
      </c>
      <c r="AM195" s="154"/>
      <c r="AN195" s="524" t="str">
        <f>IF(AM195="","",VLOOKUP(AM195,'G-7 Rivers Data'!$AO$4:$AP$7,2,FALSE))</f>
        <v/>
      </c>
      <c r="AO195" s="545" t="str">
        <f t="shared" si="23"/>
        <v/>
      </c>
      <c r="AP195" s="149"/>
      <c r="AQ195" s="150"/>
      <c r="AX195" s="31" t="str">
        <f>IFERROR(INDEX('G-7 Rivers Data'!$AZ$3:$AZ$7,MATCH(N195,'G-7 Rivers Data'!$AY$3:$AY$7,0)),"")</f>
        <v/>
      </c>
    </row>
    <row r="196" spans="2:50" ht="13.8" x14ac:dyDescent="0.25">
      <c r="B196" s="531" t="str">
        <f>'F-1 Off Site River Baseline'!AN194</f>
        <v/>
      </c>
      <c r="C196" s="520" t="str">
        <f>IF(B196="","",VLOOKUP($B196,'F-1 Off Site River Baseline'!$C$9:$R$257,2,FALSE))</f>
        <v/>
      </c>
      <c r="D196" s="520" t="str">
        <f>IF(C196="","",VLOOKUP($B196,'F-1 Off Site River Baseline'!$C$9:$R$257,3,FALSE))</f>
        <v/>
      </c>
      <c r="E196" s="520" t="str">
        <f>IF(D196="","",VLOOKUP($B196,'F-1 Off Site River Baseline'!$C$9:$R$257,4,FALSE))</f>
        <v/>
      </c>
      <c r="F196" s="520" t="str">
        <f>IF(E196="","",VLOOKUP($B196,'F-1 Off Site River Baseline'!$C$9:$R$257,5,FALSE))</f>
        <v/>
      </c>
      <c r="G196" s="520" t="str">
        <f>IF(F196="","",VLOOKUP($B196,'F-1 Off Site River Baseline'!$C$9:$R$257,6,FALSE))</f>
        <v/>
      </c>
      <c r="H196" s="520" t="str">
        <f>IF(G196="","",VLOOKUP($B196,'F-1 Off Site River Baseline'!$C$9:$R$257,7,FALSE))</f>
        <v/>
      </c>
      <c r="I196" s="520" t="str">
        <f>IF(H196="","",VLOOKUP($B196,'F-1 Off Site River Baseline'!$C$9:$R$257,8,FALSE))</f>
        <v/>
      </c>
      <c r="J196" s="520" t="str">
        <f>IF(I196="","",VLOOKUP($B196,'F-1 Off Site River Baseline'!$C$9:$R$257,9,FALSE))</f>
        <v/>
      </c>
      <c r="K196" s="520" t="str">
        <f>IF(J196="","",VLOOKUP($B196,'F-1 Off Site River Baseline'!$C$9:$R$257,10,FALSE))</f>
        <v/>
      </c>
      <c r="L196" s="520" t="str">
        <f>IF(B196="","",VLOOKUP($B196,'C-1 Site River Baseline'!$C$9:$R$257,15,FALSE))</f>
        <v/>
      </c>
      <c r="M196" s="524" t="str">
        <f>IF(L196="","",VLOOKUP($B196,'F-1 Off Site River Baseline'!$C$9:$R$257,16,FALSE))</f>
        <v/>
      </c>
      <c r="N196" s="418" t="str">
        <f t="shared" si="20"/>
        <v/>
      </c>
      <c r="O196" s="498" t="str">
        <f t="shared" si="21"/>
        <v/>
      </c>
      <c r="P196" s="499" t="str">
        <f>IF(C196="","",IF(AND(LEFT(C196,55)&lt;&gt;LEFT(N196,55),O196="High - High"),"Error - Not like for like ▲",IF(AND(F196=S196,H196&gt;U196),"Error - Can not reduce condition ▲",IF(AND(F196=S196,H196=U196,AJ196='F-1 Off Site River Baseline'!N194,'F-1 Off Site River Baseline'!P194=AL196),"Error - No enhancement ▲",IF(AND(C196&lt;&gt;N196,F196&lt;S196),"Lower Distinctiveness Habitat"&amp;" - "&amp;T196,G196&amp;" - "&amp;T196)))))</f>
        <v/>
      </c>
      <c r="Q196" s="505" t="str">
        <f>IF(N196="","",VLOOKUP(B196,'F-1 Off Site River Baseline'!$C$10:$AA$257,19,FALSE))</f>
        <v/>
      </c>
      <c r="R196" s="498" t="str">
        <f>IF(N196="","",VLOOKUP(N196,'G-7 Rivers Data'!$B$2:$G$8,2,FALSE))</f>
        <v/>
      </c>
      <c r="S196" s="499" t="str">
        <f>IFERROR(VLOOKUP(R196,'G-7 Rivers Data'!$C$4:$D$8,2,FALSE),"")</f>
        <v/>
      </c>
      <c r="T196" s="145"/>
      <c r="U196" s="499" t="str">
        <f>IFERROR(INDEX('G-7 Rivers Data'!$H$4:$L$8,MATCH(N196,'G-7 Rivers Data'!$B$4:$B$8,0),MATCH(T196,'G-7 Rivers Data'!$H$3:$L$3,0)),"")</f>
        <v/>
      </c>
      <c r="V196" s="154"/>
      <c r="W196" s="520" t="str">
        <f>IF(V196="","",IF(VLOOKUP(V196,'G-7 Rivers Data'!$AG$4:$AI$9,2,FALSE)=0,"Spatial Data Missing ⚠",VLOOKUP(V196,'G-7 Rivers Data'!$AG$4:$AI$9,2,FALSE)))</f>
        <v/>
      </c>
      <c r="X196" s="524" t="str">
        <f>IF(V196="","",IF(VLOOKUP(V196,'G-7 Rivers Data'!$AG$4:$AI$9,3,FALSE)=0,"Spatial Data Missing ⚠",VLOOKUP(V196,'G-7 Rivers Data'!$AG$4:$AI$9,3,FALSE)))</f>
        <v/>
      </c>
      <c r="Y196" s="537" t="str">
        <f>IFERROR(IF(OR(LEFT(P196,5)="Error ▲",LEFT(O196,5)="Error ▲"),"Check Data ⚠",IF(F196&lt;S196,'G-7 Rivers Data'!$R$3,INDEX('G-7 Rivers Data'!$U$5:$Y$9,MATCH(G196,'G-7 Rivers Data'!$T$5:$T$9,0),MATCH(T196,'G-7 Rivers Data'!$U$4:$Y$4,0)))),"")</f>
        <v/>
      </c>
      <c r="Z196" s="203"/>
      <c r="AA196" s="203"/>
      <c r="AB196" s="534" t="str">
        <f t="shared" si="16"/>
        <v/>
      </c>
      <c r="AC196" s="521" t="str">
        <f t="shared" si="17"/>
        <v/>
      </c>
      <c r="AD196" s="564" t="str">
        <f>IFERROR(IF(AC196="Check Data ⚠","Check Data ⚠",VLOOKUP(AC196,'G-4 Temporal multipliers'!$A$4:$C$37,3,FALSE)),"")</f>
        <v/>
      </c>
      <c r="AE196" s="537" t="str">
        <f>IF(N196="","",VLOOKUP(N196,'G-7 Rivers Data'!$B$4:$G$8,5,FALSE))</f>
        <v/>
      </c>
      <c r="AF196" s="520" t="str">
        <f t="shared" si="18"/>
        <v/>
      </c>
      <c r="AG196" s="520" t="str">
        <f t="shared" si="22"/>
        <v/>
      </c>
      <c r="AH196" s="524" t="str">
        <f t="shared" si="19"/>
        <v/>
      </c>
      <c r="AI196" s="145"/>
      <c r="AJ196" s="499" t="str">
        <f>IF(AI196="","",IF(VLOOKUP(AI196,'G-7 Rivers Data'!$AA$4:$AB$7,2,FALSE)=0,"Spatial Data Missing ⚠",VLOOKUP(AI196,'G-7 Rivers Data'!$AA$4:$AB$7,2,FALSE)))</f>
        <v/>
      </c>
      <c r="AK196" s="155"/>
      <c r="AL196" s="536" t="str">
        <f>IF(AK196="","",IF(VLOOKUP(AK196,'G-7 Rivers Data'!$AD$4:$AE$8,2,FALSE)=0,"Spatial Data Missing ⚠",VLOOKUP(AK196,'G-7 Rivers Data'!$AD$4:$AE$8,2,FALSE)))</f>
        <v/>
      </c>
      <c r="AM196" s="154"/>
      <c r="AN196" s="524" t="str">
        <f>IF(AM196="","",VLOOKUP(AM196,'G-7 Rivers Data'!$AO$4:$AP$7,2,FALSE))</f>
        <v/>
      </c>
      <c r="AO196" s="545" t="str">
        <f t="shared" si="23"/>
        <v/>
      </c>
      <c r="AP196" s="149"/>
      <c r="AQ196" s="150"/>
      <c r="AX196" s="31" t="str">
        <f>IFERROR(INDEX('G-7 Rivers Data'!$AZ$3:$AZ$7,MATCH(N196,'G-7 Rivers Data'!$AY$3:$AY$7,0)),"")</f>
        <v/>
      </c>
    </row>
    <row r="197" spans="2:50" ht="13.8" x14ac:dyDescent="0.25">
      <c r="B197" s="531" t="str">
        <f>'F-1 Off Site River Baseline'!AN195</f>
        <v/>
      </c>
      <c r="C197" s="520" t="str">
        <f>IF(B197="","",VLOOKUP($B197,'F-1 Off Site River Baseline'!$C$9:$R$257,2,FALSE))</f>
        <v/>
      </c>
      <c r="D197" s="520" t="str">
        <f>IF(C197="","",VLOOKUP($B197,'F-1 Off Site River Baseline'!$C$9:$R$257,3,FALSE))</f>
        <v/>
      </c>
      <c r="E197" s="520" t="str">
        <f>IF(D197="","",VLOOKUP($B197,'F-1 Off Site River Baseline'!$C$9:$R$257,4,FALSE))</f>
        <v/>
      </c>
      <c r="F197" s="520" t="str">
        <f>IF(E197="","",VLOOKUP($B197,'F-1 Off Site River Baseline'!$C$9:$R$257,5,FALSE))</f>
        <v/>
      </c>
      <c r="G197" s="520" t="str">
        <f>IF(F197="","",VLOOKUP($B197,'F-1 Off Site River Baseline'!$C$9:$R$257,6,FALSE))</f>
        <v/>
      </c>
      <c r="H197" s="520" t="str">
        <f>IF(G197="","",VLOOKUP($B197,'F-1 Off Site River Baseline'!$C$9:$R$257,7,FALSE))</f>
        <v/>
      </c>
      <c r="I197" s="520" t="str">
        <f>IF(H197="","",VLOOKUP($B197,'F-1 Off Site River Baseline'!$C$9:$R$257,8,FALSE))</f>
        <v/>
      </c>
      <c r="J197" s="520" t="str">
        <f>IF(I197="","",VLOOKUP($B197,'F-1 Off Site River Baseline'!$C$9:$R$257,9,FALSE))</f>
        <v/>
      </c>
      <c r="K197" s="520" t="str">
        <f>IF(J197="","",VLOOKUP($B197,'F-1 Off Site River Baseline'!$C$9:$R$257,10,FALSE))</f>
        <v/>
      </c>
      <c r="L197" s="520" t="str">
        <f>IF(B197="","",VLOOKUP($B197,'C-1 Site River Baseline'!$C$9:$R$257,15,FALSE))</f>
        <v/>
      </c>
      <c r="M197" s="524" t="str">
        <f>IF(L197="","",VLOOKUP($B197,'F-1 Off Site River Baseline'!$C$9:$R$257,16,FALSE))</f>
        <v/>
      </c>
      <c r="N197" s="418" t="str">
        <f t="shared" si="20"/>
        <v/>
      </c>
      <c r="O197" s="498" t="str">
        <f t="shared" si="21"/>
        <v/>
      </c>
      <c r="P197" s="499" t="str">
        <f>IF(C197="","",IF(AND(LEFT(C197,55)&lt;&gt;LEFT(N197,55),O197="High - High"),"Error - Not like for like ▲",IF(AND(F197=S197,H197&gt;U197),"Error - Can not reduce condition ▲",IF(AND(F197=S197,H197=U197,AJ197='F-1 Off Site River Baseline'!N195,'F-1 Off Site River Baseline'!P195=AL197),"Error - No enhancement ▲",IF(AND(C197&lt;&gt;N197,F197&lt;S197),"Lower Distinctiveness Habitat"&amp;" - "&amp;T197,G197&amp;" - "&amp;T197)))))</f>
        <v/>
      </c>
      <c r="Q197" s="505" t="str">
        <f>IF(N197="","",VLOOKUP(B197,'F-1 Off Site River Baseline'!$C$10:$AA$257,19,FALSE))</f>
        <v/>
      </c>
      <c r="R197" s="498" t="str">
        <f>IF(N197="","",VLOOKUP(N197,'G-7 Rivers Data'!$B$2:$G$8,2,FALSE))</f>
        <v/>
      </c>
      <c r="S197" s="499" t="str">
        <f>IFERROR(VLOOKUP(R197,'G-7 Rivers Data'!$C$4:$D$8,2,FALSE),"")</f>
        <v/>
      </c>
      <c r="T197" s="145"/>
      <c r="U197" s="499" t="str">
        <f>IFERROR(INDEX('G-7 Rivers Data'!$H$4:$L$8,MATCH(N197,'G-7 Rivers Data'!$B$4:$B$8,0),MATCH(T197,'G-7 Rivers Data'!$H$3:$L$3,0)),"")</f>
        <v/>
      </c>
      <c r="V197" s="154"/>
      <c r="W197" s="520" t="str">
        <f>IF(V197="","",IF(VLOOKUP(V197,'G-7 Rivers Data'!$AG$4:$AI$9,2,FALSE)=0,"Spatial Data Missing ⚠",VLOOKUP(V197,'G-7 Rivers Data'!$AG$4:$AI$9,2,FALSE)))</f>
        <v/>
      </c>
      <c r="X197" s="524" t="str">
        <f>IF(V197="","",IF(VLOOKUP(V197,'G-7 Rivers Data'!$AG$4:$AI$9,3,FALSE)=0,"Spatial Data Missing ⚠",VLOOKUP(V197,'G-7 Rivers Data'!$AG$4:$AI$9,3,FALSE)))</f>
        <v/>
      </c>
      <c r="Y197" s="537" t="str">
        <f>IFERROR(IF(OR(LEFT(P197,5)="Error ▲",LEFT(O197,5)="Error ▲"),"Check Data ⚠",IF(F197&lt;S197,'G-7 Rivers Data'!$R$3,INDEX('G-7 Rivers Data'!$U$5:$Y$9,MATCH(G197,'G-7 Rivers Data'!$T$5:$T$9,0),MATCH(T197,'G-7 Rivers Data'!$U$4:$Y$4,0)))),"")</f>
        <v/>
      </c>
      <c r="Z197" s="203"/>
      <c r="AA197" s="203"/>
      <c r="AB197" s="534" t="str">
        <f t="shared" si="16"/>
        <v/>
      </c>
      <c r="AC197" s="521" t="str">
        <f t="shared" si="17"/>
        <v/>
      </c>
      <c r="AD197" s="564" t="str">
        <f>IFERROR(IF(AC197="Check Data ⚠","Check Data ⚠",VLOOKUP(AC197,'G-4 Temporal multipliers'!$A$4:$C$37,3,FALSE)),"")</f>
        <v/>
      </c>
      <c r="AE197" s="537" t="str">
        <f>IF(N197="","",VLOOKUP(N197,'G-7 Rivers Data'!$B$4:$G$8,5,FALSE))</f>
        <v/>
      </c>
      <c r="AF197" s="520" t="str">
        <f t="shared" si="18"/>
        <v/>
      </c>
      <c r="AG197" s="520" t="str">
        <f t="shared" si="22"/>
        <v/>
      </c>
      <c r="AH197" s="524" t="str">
        <f t="shared" si="19"/>
        <v/>
      </c>
      <c r="AI197" s="145"/>
      <c r="AJ197" s="499" t="str">
        <f>IF(AI197="","",IF(VLOOKUP(AI197,'G-7 Rivers Data'!$AA$4:$AB$7,2,FALSE)=0,"Spatial Data Missing ⚠",VLOOKUP(AI197,'G-7 Rivers Data'!$AA$4:$AB$7,2,FALSE)))</f>
        <v/>
      </c>
      <c r="AK197" s="155"/>
      <c r="AL197" s="536" t="str">
        <f>IF(AK197="","",IF(VLOOKUP(AK197,'G-7 Rivers Data'!$AD$4:$AE$8,2,FALSE)=0,"Spatial Data Missing ⚠",VLOOKUP(AK197,'G-7 Rivers Data'!$AD$4:$AE$8,2,FALSE)))</f>
        <v/>
      </c>
      <c r="AM197" s="154"/>
      <c r="AN197" s="524" t="str">
        <f>IF(AM197="","",VLOOKUP(AM197,'G-7 Rivers Data'!$AO$4:$AP$7,2,FALSE))</f>
        <v/>
      </c>
      <c r="AO197" s="545" t="str">
        <f t="shared" si="23"/>
        <v/>
      </c>
      <c r="AP197" s="149"/>
      <c r="AQ197" s="150"/>
      <c r="AX197" s="31" t="str">
        <f>IFERROR(INDEX('G-7 Rivers Data'!$AZ$3:$AZ$7,MATCH(N197,'G-7 Rivers Data'!$AY$3:$AY$7,0)),"")</f>
        <v/>
      </c>
    </row>
    <row r="198" spans="2:50" ht="13.8" x14ac:dyDescent="0.25">
      <c r="B198" s="531" t="str">
        <f>'F-1 Off Site River Baseline'!AN196</f>
        <v/>
      </c>
      <c r="C198" s="520" t="str">
        <f>IF(B198="","",VLOOKUP($B198,'F-1 Off Site River Baseline'!$C$9:$R$257,2,FALSE))</f>
        <v/>
      </c>
      <c r="D198" s="520" t="str">
        <f>IF(C198="","",VLOOKUP($B198,'F-1 Off Site River Baseline'!$C$9:$R$257,3,FALSE))</f>
        <v/>
      </c>
      <c r="E198" s="520" t="str">
        <f>IF(D198="","",VLOOKUP($B198,'F-1 Off Site River Baseline'!$C$9:$R$257,4,FALSE))</f>
        <v/>
      </c>
      <c r="F198" s="520" t="str">
        <f>IF(E198="","",VLOOKUP($B198,'F-1 Off Site River Baseline'!$C$9:$R$257,5,FALSE))</f>
        <v/>
      </c>
      <c r="G198" s="520" t="str">
        <f>IF(F198="","",VLOOKUP($B198,'F-1 Off Site River Baseline'!$C$9:$R$257,6,FALSE))</f>
        <v/>
      </c>
      <c r="H198" s="520" t="str">
        <f>IF(G198="","",VLOOKUP($B198,'F-1 Off Site River Baseline'!$C$9:$R$257,7,FALSE))</f>
        <v/>
      </c>
      <c r="I198" s="520" t="str">
        <f>IF(H198="","",VLOOKUP($B198,'F-1 Off Site River Baseline'!$C$9:$R$257,8,FALSE))</f>
        <v/>
      </c>
      <c r="J198" s="520" t="str">
        <f>IF(I198="","",VLOOKUP($B198,'F-1 Off Site River Baseline'!$C$9:$R$257,9,FALSE))</f>
        <v/>
      </c>
      <c r="K198" s="520" t="str">
        <f>IF(J198="","",VLOOKUP($B198,'F-1 Off Site River Baseline'!$C$9:$R$257,10,FALSE))</f>
        <v/>
      </c>
      <c r="L198" s="520" t="str">
        <f>IF(B198="","",VLOOKUP($B198,'C-1 Site River Baseline'!$C$9:$R$257,15,FALSE))</f>
        <v/>
      </c>
      <c r="M198" s="524" t="str">
        <f>IF(L198="","",VLOOKUP($B198,'F-1 Off Site River Baseline'!$C$9:$R$257,16,FALSE))</f>
        <v/>
      </c>
      <c r="N198" s="418" t="str">
        <f t="shared" si="20"/>
        <v/>
      </c>
      <c r="O198" s="498" t="str">
        <f t="shared" si="21"/>
        <v/>
      </c>
      <c r="P198" s="499" t="str">
        <f>IF(C198="","",IF(AND(LEFT(C198,55)&lt;&gt;LEFT(N198,55),O198="High - High"),"Error - Not like for like ▲",IF(AND(F198=S198,H198&gt;U198),"Error - Can not reduce condition ▲",IF(AND(F198=S198,H198=U198,AJ198='F-1 Off Site River Baseline'!N196,'F-1 Off Site River Baseline'!P196=AL198),"Error - No enhancement ▲",IF(AND(C198&lt;&gt;N198,F198&lt;S198),"Lower Distinctiveness Habitat"&amp;" - "&amp;T198,G198&amp;" - "&amp;T198)))))</f>
        <v/>
      </c>
      <c r="Q198" s="505" t="str">
        <f>IF(N198="","",VLOOKUP(B198,'F-1 Off Site River Baseline'!$C$10:$AA$257,19,FALSE))</f>
        <v/>
      </c>
      <c r="R198" s="498" t="str">
        <f>IF(N198="","",VLOOKUP(N198,'G-7 Rivers Data'!$B$2:$G$8,2,FALSE))</f>
        <v/>
      </c>
      <c r="S198" s="499" t="str">
        <f>IFERROR(VLOOKUP(R198,'G-7 Rivers Data'!$C$4:$D$8,2,FALSE),"")</f>
        <v/>
      </c>
      <c r="T198" s="145"/>
      <c r="U198" s="499" t="str">
        <f>IFERROR(INDEX('G-7 Rivers Data'!$H$4:$L$8,MATCH(N198,'G-7 Rivers Data'!$B$4:$B$8,0),MATCH(T198,'G-7 Rivers Data'!$H$3:$L$3,0)),"")</f>
        <v/>
      </c>
      <c r="V198" s="154"/>
      <c r="W198" s="520" t="str">
        <f>IF(V198="","",IF(VLOOKUP(V198,'G-7 Rivers Data'!$AG$4:$AI$9,2,FALSE)=0,"Spatial Data Missing ⚠",VLOOKUP(V198,'G-7 Rivers Data'!$AG$4:$AI$9,2,FALSE)))</f>
        <v/>
      </c>
      <c r="X198" s="524" t="str">
        <f>IF(V198="","",IF(VLOOKUP(V198,'G-7 Rivers Data'!$AG$4:$AI$9,3,FALSE)=0,"Spatial Data Missing ⚠",VLOOKUP(V198,'G-7 Rivers Data'!$AG$4:$AI$9,3,FALSE)))</f>
        <v/>
      </c>
      <c r="Y198" s="537" t="str">
        <f>IFERROR(IF(OR(LEFT(P198,5)="Error ▲",LEFT(O198,5)="Error ▲"),"Check Data ⚠",IF(F198&lt;S198,'G-7 Rivers Data'!$R$3,INDEX('G-7 Rivers Data'!$U$5:$Y$9,MATCH(G198,'G-7 Rivers Data'!$T$5:$T$9,0),MATCH(T198,'G-7 Rivers Data'!$U$4:$Y$4,0)))),"")</f>
        <v/>
      </c>
      <c r="Z198" s="203"/>
      <c r="AA198" s="203"/>
      <c r="AB198" s="534" t="str">
        <f t="shared" si="16"/>
        <v/>
      </c>
      <c r="AC198" s="521" t="str">
        <f t="shared" si="17"/>
        <v/>
      </c>
      <c r="AD198" s="564" t="str">
        <f>IFERROR(IF(AC198="Check Data ⚠","Check Data ⚠",VLOOKUP(AC198,'G-4 Temporal multipliers'!$A$4:$C$37,3,FALSE)),"")</f>
        <v/>
      </c>
      <c r="AE198" s="537" t="str">
        <f>IF(N198="","",VLOOKUP(N198,'G-7 Rivers Data'!$B$4:$G$8,5,FALSE))</f>
        <v/>
      </c>
      <c r="AF198" s="520" t="str">
        <f t="shared" si="18"/>
        <v/>
      </c>
      <c r="AG198" s="520" t="str">
        <f t="shared" si="22"/>
        <v/>
      </c>
      <c r="AH198" s="524" t="str">
        <f t="shared" si="19"/>
        <v/>
      </c>
      <c r="AI198" s="145"/>
      <c r="AJ198" s="499" t="str">
        <f>IF(AI198="","",IF(VLOOKUP(AI198,'G-7 Rivers Data'!$AA$4:$AB$7,2,FALSE)=0,"Spatial Data Missing ⚠",VLOOKUP(AI198,'G-7 Rivers Data'!$AA$4:$AB$7,2,FALSE)))</f>
        <v/>
      </c>
      <c r="AK198" s="155"/>
      <c r="AL198" s="536" t="str">
        <f>IF(AK198="","",IF(VLOOKUP(AK198,'G-7 Rivers Data'!$AD$4:$AE$8,2,FALSE)=0,"Spatial Data Missing ⚠",VLOOKUP(AK198,'G-7 Rivers Data'!$AD$4:$AE$8,2,FALSE)))</f>
        <v/>
      </c>
      <c r="AM198" s="154"/>
      <c r="AN198" s="524" t="str">
        <f>IF(AM198="","",VLOOKUP(AM198,'G-7 Rivers Data'!$AO$4:$AP$7,2,FALSE))</f>
        <v/>
      </c>
      <c r="AO198" s="545" t="str">
        <f t="shared" si="23"/>
        <v/>
      </c>
      <c r="AP198" s="149"/>
      <c r="AQ198" s="150"/>
      <c r="AX198" s="31" t="str">
        <f>IFERROR(INDEX('G-7 Rivers Data'!$AZ$3:$AZ$7,MATCH(N198,'G-7 Rivers Data'!$AY$3:$AY$7,0)),"")</f>
        <v/>
      </c>
    </row>
    <row r="199" spans="2:50" ht="13.8" x14ac:dyDescent="0.25">
      <c r="B199" s="531" t="str">
        <f>'F-1 Off Site River Baseline'!AN197</f>
        <v/>
      </c>
      <c r="C199" s="520" t="str">
        <f>IF(B199="","",VLOOKUP($B199,'F-1 Off Site River Baseline'!$C$9:$R$257,2,FALSE))</f>
        <v/>
      </c>
      <c r="D199" s="520" t="str">
        <f>IF(C199="","",VLOOKUP($B199,'F-1 Off Site River Baseline'!$C$9:$R$257,3,FALSE))</f>
        <v/>
      </c>
      <c r="E199" s="520" t="str">
        <f>IF(D199="","",VLOOKUP($B199,'F-1 Off Site River Baseline'!$C$9:$R$257,4,FALSE))</f>
        <v/>
      </c>
      <c r="F199" s="520" t="str">
        <f>IF(E199="","",VLOOKUP($B199,'F-1 Off Site River Baseline'!$C$9:$R$257,5,FALSE))</f>
        <v/>
      </c>
      <c r="G199" s="520" t="str">
        <f>IF(F199="","",VLOOKUP($B199,'F-1 Off Site River Baseline'!$C$9:$R$257,6,FALSE))</f>
        <v/>
      </c>
      <c r="H199" s="520" t="str">
        <f>IF(G199="","",VLOOKUP($B199,'F-1 Off Site River Baseline'!$C$9:$R$257,7,FALSE))</f>
        <v/>
      </c>
      <c r="I199" s="520" t="str">
        <f>IF(H199="","",VLOOKUP($B199,'F-1 Off Site River Baseline'!$C$9:$R$257,8,FALSE))</f>
        <v/>
      </c>
      <c r="J199" s="520" t="str">
        <f>IF(I199="","",VLOOKUP($B199,'F-1 Off Site River Baseline'!$C$9:$R$257,9,FALSE))</f>
        <v/>
      </c>
      <c r="K199" s="520" t="str">
        <f>IF(J199="","",VLOOKUP($B199,'F-1 Off Site River Baseline'!$C$9:$R$257,10,FALSE))</f>
        <v/>
      </c>
      <c r="L199" s="520" t="str">
        <f>IF(B199="","",VLOOKUP($B199,'C-1 Site River Baseline'!$C$9:$R$257,15,FALSE))</f>
        <v/>
      </c>
      <c r="M199" s="524" t="str">
        <f>IF(L199="","",VLOOKUP($B199,'F-1 Off Site River Baseline'!$C$9:$R$257,16,FALSE))</f>
        <v/>
      </c>
      <c r="N199" s="418" t="str">
        <f t="shared" si="20"/>
        <v/>
      </c>
      <c r="O199" s="498" t="str">
        <f t="shared" si="21"/>
        <v/>
      </c>
      <c r="P199" s="499" t="str">
        <f>IF(C199="","",IF(AND(LEFT(C199,55)&lt;&gt;LEFT(N199,55),O199="High - High"),"Error - Not like for like ▲",IF(AND(F199=S199,H199&gt;U199),"Error - Can not reduce condition ▲",IF(AND(F199=S199,H199=U199,AJ199='F-1 Off Site River Baseline'!N197,'F-1 Off Site River Baseline'!P197=AL199),"Error - No enhancement ▲",IF(AND(C199&lt;&gt;N199,F199&lt;S199),"Lower Distinctiveness Habitat"&amp;" - "&amp;T199,G199&amp;" - "&amp;T199)))))</f>
        <v/>
      </c>
      <c r="Q199" s="505" t="str">
        <f>IF(N199="","",VLOOKUP(B199,'F-1 Off Site River Baseline'!$C$10:$AA$257,19,FALSE))</f>
        <v/>
      </c>
      <c r="R199" s="498" t="str">
        <f>IF(N199="","",VLOOKUP(N199,'G-7 Rivers Data'!$B$2:$G$8,2,FALSE))</f>
        <v/>
      </c>
      <c r="S199" s="499" t="str">
        <f>IFERROR(VLOOKUP(R199,'G-7 Rivers Data'!$C$4:$D$8,2,FALSE),"")</f>
        <v/>
      </c>
      <c r="T199" s="145"/>
      <c r="U199" s="499" t="str">
        <f>IFERROR(INDEX('G-7 Rivers Data'!$H$4:$L$8,MATCH(N199,'G-7 Rivers Data'!$B$4:$B$8,0),MATCH(T199,'G-7 Rivers Data'!$H$3:$L$3,0)),"")</f>
        <v/>
      </c>
      <c r="V199" s="154"/>
      <c r="W199" s="520" t="str">
        <f>IF(V199="","",IF(VLOOKUP(V199,'G-7 Rivers Data'!$AG$4:$AI$9,2,FALSE)=0,"Spatial Data Missing ⚠",VLOOKUP(V199,'G-7 Rivers Data'!$AG$4:$AI$9,2,FALSE)))</f>
        <v/>
      </c>
      <c r="X199" s="524" t="str">
        <f>IF(V199="","",IF(VLOOKUP(V199,'G-7 Rivers Data'!$AG$4:$AI$9,3,FALSE)=0,"Spatial Data Missing ⚠",VLOOKUP(V199,'G-7 Rivers Data'!$AG$4:$AI$9,3,FALSE)))</f>
        <v/>
      </c>
      <c r="Y199" s="537" t="str">
        <f>IFERROR(IF(OR(LEFT(P199,5)="Error ▲",LEFT(O199,5)="Error ▲"),"Check Data ⚠",IF(F199&lt;S199,'G-7 Rivers Data'!$R$3,INDEX('G-7 Rivers Data'!$U$5:$Y$9,MATCH(G199,'G-7 Rivers Data'!$T$5:$T$9,0),MATCH(T199,'G-7 Rivers Data'!$U$4:$Y$4,0)))),"")</f>
        <v/>
      </c>
      <c r="Z199" s="203"/>
      <c r="AA199" s="203"/>
      <c r="AB199" s="534" t="str">
        <f t="shared" si="16"/>
        <v/>
      </c>
      <c r="AC199" s="521" t="str">
        <f t="shared" si="17"/>
        <v/>
      </c>
      <c r="AD199" s="564" t="str">
        <f>IFERROR(IF(AC199="Check Data ⚠","Check Data ⚠",VLOOKUP(AC199,'G-4 Temporal multipliers'!$A$4:$C$37,3,FALSE)),"")</f>
        <v/>
      </c>
      <c r="AE199" s="537" t="str">
        <f>IF(N199="","",VLOOKUP(N199,'G-7 Rivers Data'!$B$4:$G$8,5,FALSE))</f>
        <v/>
      </c>
      <c r="AF199" s="520" t="str">
        <f t="shared" si="18"/>
        <v/>
      </c>
      <c r="AG199" s="520" t="str">
        <f t="shared" si="22"/>
        <v/>
      </c>
      <c r="AH199" s="524" t="str">
        <f t="shared" si="19"/>
        <v/>
      </c>
      <c r="AI199" s="145"/>
      <c r="AJ199" s="499" t="str">
        <f>IF(AI199="","",IF(VLOOKUP(AI199,'G-7 Rivers Data'!$AA$4:$AB$7,2,FALSE)=0,"Spatial Data Missing ⚠",VLOOKUP(AI199,'G-7 Rivers Data'!$AA$4:$AB$7,2,FALSE)))</f>
        <v/>
      </c>
      <c r="AK199" s="155"/>
      <c r="AL199" s="536" t="str">
        <f>IF(AK199="","",IF(VLOOKUP(AK199,'G-7 Rivers Data'!$AD$4:$AE$8,2,FALSE)=0,"Spatial Data Missing ⚠",VLOOKUP(AK199,'G-7 Rivers Data'!$AD$4:$AE$8,2,FALSE)))</f>
        <v/>
      </c>
      <c r="AM199" s="154"/>
      <c r="AN199" s="524" t="str">
        <f>IF(AM199="","",VLOOKUP(AM199,'G-7 Rivers Data'!$AO$4:$AP$7,2,FALSE))</f>
        <v/>
      </c>
      <c r="AO199" s="545" t="str">
        <f t="shared" si="23"/>
        <v/>
      </c>
      <c r="AP199" s="149"/>
      <c r="AQ199" s="150"/>
      <c r="AX199" s="31" t="str">
        <f>IFERROR(INDEX('G-7 Rivers Data'!$AZ$3:$AZ$7,MATCH(N199,'G-7 Rivers Data'!$AY$3:$AY$7,0)),"")</f>
        <v/>
      </c>
    </row>
    <row r="200" spans="2:50" ht="13.8" x14ac:dyDescent="0.25">
      <c r="B200" s="531" t="str">
        <f>'F-1 Off Site River Baseline'!AN198</f>
        <v/>
      </c>
      <c r="C200" s="520" t="str">
        <f>IF(B200="","",VLOOKUP($B200,'F-1 Off Site River Baseline'!$C$9:$R$257,2,FALSE))</f>
        <v/>
      </c>
      <c r="D200" s="520" t="str">
        <f>IF(C200="","",VLOOKUP($B200,'F-1 Off Site River Baseline'!$C$9:$R$257,3,FALSE))</f>
        <v/>
      </c>
      <c r="E200" s="520" t="str">
        <f>IF(D200="","",VLOOKUP($B200,'F-1 Off Site River Baseline'!$C$9:$R$257,4,FALSE))</f>
        <v/>
      </c>
      <c r="F200" s="520" t="str">
        <f>IF(E200="","",VLOOKUP($B200,'F-1 Off Site River Baseline'!$C$9:$R$257,5,FALSE))</f>
        <v/>
      </c>
      <c r="G200" s="520" t="str">
        <f>IF(F200="","",VLOOKUP($B200,'F-1 Off Site River Baseline'!$C$9:$R$257,6,FALSE))</f>
        <v/>
      </c>
      <c r="H200" s="520" t="str">
        <f>IF(G200="","",VLOOKUP($B200,'F-1 Off Site River Baseline'!$C$9:$R$257,7,FALSE))</f>
        <v/>
      </c>
      <c r="I200" s="520" t="str">
        <f>IF(H200="","",VLOOKUP($B200,'F-1 Off Site River Baseline'!$C$9:$R$257,8,FALSE))</f>
        <v/>
      </c>
      <c r="J200" s="520" t="str">
        <f>IF(I200="","",VLOOKUP($B200,'F-1 Off Site River Baseline'!$C$9:$R$257,9,FALSE))</f>
        <v/>
      </c>
      <c r="K200" s="520" t="str">
        <f>IF(J200="","",VLOOKUP($B200,'F-1 Off Site River Baseline'!$C$9:$R$257,10,FALSE))</f>
        <v/>
      </c>
      <c r="L200" s="520" t="str">
        <f>IF(B200="","",VLOOKUP($B200,'C-1 Site River Baseline'!$C$9:$R$257,15,FALSE))</f>
        <v/>
      </c>
      <c r="M200" s="524" t="str">
        <f>IF(L200="","",VLOOKUP($B200,'F-1 Off Site River Baseline'!$C$9:$R$257,16,FALSE))</f>
        <v/>
      </c>
      <c r="N200" s="418" t="str">
        <f t="shared" si="20"/>
        <v/>
      </c>
      <c r="O200" s="498" t="str">
        <f t="shared" si="21"/>
        <v/>
      </c>
      <c r="P200" s="499" t="str">
        <f>IF(C200="","",IF(AND(LEFT(C200,55)&lt;&gt;LEFT(N200,55),O200="High - High"),"Error - Not like for like ▲",IF(AND(F200=S200,H200&gt;U200),"Error - Can not reduce condition ▲",IF(AND(F200=S200,H200=U200,AJ200='F-1 Off Site River Baseline'!N198,'F-1 Off Site River Baseline'!P198=AL200),"Error - No enhancement ▲",IF(AND(C200&lt;&gt;N200,F200&lt;S200),"Lower Distinctiveness Habitat"&amp;" - "&amp;T200,G200&amp;" - "&amp;T200)))))</f>
        <v/>
      </c>
      <c r="Q200" s="505" t="str">
        <f>IF(N200="","",VLOOKUP(B200,'F-1 Off Site River Baseline'!$C$10:$AA$257,19,FALSE))</f>
        <v/>
      </c>
      <c r="R200" s="498" t="str">
        <f>IF(N200="","",VLOOKUP(N200,'G-7 Rivers Data'!$B$2:$G$8,2,FALSE))</f>
        <v/>
      </c>
      <c r="S200" s="499" t="str">
        <f>IFERROR(VLOOKUP(R200,'G-7 Rivers Data'!$C$4:$D$8,2,FALSE),"")</f>
        <v/>
      </c>
      <c r="T200" s="145"/>
      <c r="U200" s="499" t="str">
        <f>IFERROR(INDEX('G-7 Rivers Data'!$H$4:$L$8,MATCH(N200,'G-7 Rivers Data'!$B$4:$B$8,0),MATCH(T200,'G-7 Rivers Data'!$H$3:$L$3,0)),"")</f>
        <v/>
      </c>
      <c r="V200" s="154"/>
      <c r="W200" s="520" t="str">
        <f>IF(V200="","",IF(VLOOKUP(V200,'G-7 Rivers Data'!$AG$4:$AI$9,2,FALSE)=0,"Spatial Data Missing ⚠",VLOOKUP(V200,'G-7 Rivers Data'!$AG$4:$AI$9,2,FALSE)))</f>
        <v/>
      </c>
      <c r="X200" s="524" t="str">
        <f>IF(V200="","",IF(VLOOKUP(V200,'G-7 Rivers Data'!$AG$4:$AI$9,3,FALSE)=0,"Spatial Data Missing ⚠",VLOOKUP(V200,'G-7 Rivers Data'!$AG$4:$AI$9,3,FALSE)))</f>
        <v/>
      </c>
      <c r="Y200" s="537" t="str">
        <f>IFERROR(IF(OR(LEFT(P200,5)="Error ▲",LEFT(O200,5)="Error ▲"),"Check Data ⚠",IF(F200&lt;S200,'G-7 Rivers Data'!$R$3,INDEX('G-7 Rivers Data'!$U$5:$Y$9,MATCH(G200,'G-7 Rivers Data'!$T$5:$T$9,0),MATCH(T200,'G-7 Rivers Data'!$U$4:$Y$4,0)))),"")</f>
        <v/>
      </c>
      <c r="Z200" s="203"/>
      <c r="AA200" s="203"/>
      <c r="AB200" s="534" t="str">
        <f t="shared" si="16"/>
        <v/>
      </c>
      <c r="AC200" s="521" t="str">
        <f t="shared" si="17"/>
        <v/>
      </c>
      <c r="AD200" s="564" t="str">
        <f>IFERROR(IF(AC200="Check Data ⚠","Check Data ⚠",VLOOKUP(AC200,'G-4 Temporal multipliers'!$A$4:$C$37,3,FALSE)),"")</f>
        <v/>
      </c>
      <c r="AE200" s="537" t="str">
        <f>IF(N200="","",VLOOKUP(N200,'G-7 Rivers Data'!$B$4:$G$8,5,FALSE))</f>
        <v/>
      </c>
      <c r="AF200" s="520" t="str">
        <f t="shared" si="18"/>
        <v/>
      </c>
      <c r="AG200" s="520" t="str">
        <f t="shared" si="22"/>
        <v/>
      </c>
      <c r="AH200" s="524" t="str">
        <f t="shared" si="19"/>
        <v/>
      </c>
      <c r="AI200" s="145"/>
      <c r="AJ200" s="499" t="str">
        <f>IF(AI200="","",IF(VLOOKUP(AI200,'G-7 Rivers Data'!$AA$4:$AB$7,2,FALSE)=0,"Spatial Data Missing ⚠",VLOOKUP(AI200,'G-7 Rivers Data'!$AA$4:$AB$7,2,FALSE)))</f>
        <v/>
      </c>
      <c r="AK200" s="155"/>
      <c r="AL200" s="536" t="str">
        <f>IF(AK200="","",IF(VLOOKUP(AK200,'G-7 Rivers Data'!$AD$4:$AE$8,2,FALSE)=0,"Spatial Data Missing ⚠",VLOOKUP(AK200,'G-7 Rivers Data'!$AD$4:$AE$8,2,FALSE)))</f>
        <v/>
      </c>
      <c r="AM200" s="154"/>
      <c r="AN200" s="524" t="str">
        <f>IF(AM200="","",VLOOKUP(AM200,'G-7 Rivers Data'!$AO$4:$AP$7,2,FALSE))</f>
        <v/>
      </c>
      <c r="AO200" s="545" t="str">
        <f t="shared" si="23"/>
        <v/>
      </c>
      <c r="AP200" s="149"/>
      <c r="AQ200" s="150"/>
      <c r="AX200" s="31" t="str">
        <f>IFERROR(INDEX('G-7 Rivers Data'!$AZ$3:$AZ$7,MATCH(N200,'G-7 Rivers Data'!$AY$3:$AY$7,0)),"")</f>
        <v/>
      </c>
    </row>
    <row r="201" spans="2:50" ht="13.8" x14ac:dyDescent="0.25">
      <c r="B201" s="531" t="str">
        <f>'F-1 Off Site River Baseline'!AN199</f>
        <v/>
      </c>
      <c r="C201" s="520" t="str">
        <f>IF(B201="","",VLOOKUP($B201,'F-1 Off Site River Baseline'!$C$9:$R$257,2,FALSE))</f>
        <v/>
      </c>
      <c r="D201" s="520" t="str">
        <f>IF(C201="","",VLOOKUP($B201,'F-1 Off Site River Baseline'!$C$9:$R$257,3,FALSE))</f>
        <v/>
      </c>
      <c r="E201" s="520" t="str">
        <f>IF(D201="","",VLOOKUP($B201,'F-1 Off Site River Baseline'!$C$9:$R$257,4,FALSE))</f>
        <v/>
      </c>
      <c r="F201" s="520" t="str">
        <f>IF(E201="","",VLOOKUP($B201,'F-1 Off Site River Baseline'!$C$9:$R$257,5,FALSE))</f>
        <v/>
      </c>
      <c r="G201" s="520" t="str">
        <f>IF(F201="","",VLOOKUP($B201,'F-1 Off Site River Baseline'!$C$9:$R$257,6,FALSE))</f>
        <v/>
      </c>
      <c r="H201" s="520" t="str">
        <f>IF(G201="","",VLOOKUP($B201,'F-1 Off Site River Baseline'!$C$9:$R$257,7,FALSE))</f>
        <v/>
      </c>
      <c r="I201" s="520" t="str">
        <f>IF(H201="","",VLOOKUP($B201,'F-1 Off Site River Baseline'!$C$9:$R$257,8,FALSE))</f>
        <v/>
      </c>
      <c r="J201" s="520" t="str">
        <f>IF(I201="","",VLOOKUP($B201,'F-1 Off Site River Baseline'!$C$9:$R$257,9,FALSE))</f>
        <v/>
      </c>
      <c r="K201" s="520" t="str">
        <f>IF(J201="","",VLOOKUP($B201,'F-1 Off Site River Baseline'!$C$9:$R$257,10,FALSE))</f>
        <v/>
      </c>
      <c r="L201" s="520" t="str">
        <f>IF(B201="","",VLOOKUP($B201,'C-1 Site River Baseline'!$C$9:$R$257,15,FALSE))</f>
        <v/>
      </c>
      <c r="M201" s="524" t="str">
        <f>IF(L201="","",VLOOKUP($B201,'F-1 Off Site River Baseline'!$C$9:$R$257,16,FALSE))</f>
        <v/>
      </c>
      <c r="N201" s="418" t="str">
        <f t="shared" si="20"/>
        <v/>
      </c>
      <c r="O201" s="498" t="str">
        <f t="shared" si="21"/>
        <v/>
      </c>
      <c r="P201" s="499" t="str">
        <f>IF(C201="","",IF(AND(LEFT(C201,55)&lt;&gt;LEFT(N201,55),O201="High - High"),"Error - Not like for like ▲",IF(AND(F201=S201,H201&gt;U201),"Error - Can not reduce condition ▲",IF(AND(F201=S201,H201=U201,AJ201='F-1 Off Site River Baseline'!N199,'F-1 Off Site River Baseline'!P199=AL201),"Error - No enhancement ▲",IF(AND(C201&lt;&gt;N201,F201&lt;S201),"Lower Distinctiveness Habitat"&amp;" - "&amp;T201,G201&amp;" - "&amp;T201)))))</f>
        <v/>
      </c>
      <c r="Q201" s="505" t="str">
        <f>IF(N201="","",VLOOKUP(B201,'F-1 Off Site River Baseline'!$C$10:$AA$257,19,FALSE))</f>
        <v/>
      </c>
      <c r="R201" s="498" t="str">
        <f>IF(N201="","",VLOOKUP(N201,'G-7 Rivers Data'!$B$2:$G$8,2,FALSE))</f>
        <v/>
      </c>
      <c r="S201" s="499" t="str">
        <f>IFERROR(VLOOKUP(R201,'G-7 Rivers Data'!$C$4:$D$8,2,FALSE),"")</f>
        <v/>
      </c>
      <c r="T201" s="145"/>
      <c r="U201" s="499" t="str">
        <f>IFERROR(INDEX('G-7 Rivers Data'!$H$4:$L$8,MATCH(N201,'G-7 Rivers Data'!$B$4:$B$8,0),MATCH(T201,'G-7 Rivers Data'!$H$3:$L$3,0)),"")</f>
        <v/>
      </c>
      <c r="V201" s="154"/>
      <c r="W201" s="520" t="str">
        <f>IF(V201="","",IF(VLOOKUP(V201,'G-7 Rivers Data'!$AG$4:$AI$9,2,FALSE)=0,"Spatial Data Missing ⚠",VLOOKUP(V201,'G-7 Rivers Data'!$AG$4:$AI$9,2,FALSE)))</f>
        <v/>
      </c>
      <c r="X201" s="524" t="str">
        <f>IF(V201="","",IF(VLOOKUP(V201,'G-7 Rivers Data'!$AG$4:$AI$9,3,FALSE)=0,"Spatial Data Missing ⚠",VLOOKUP(V201,'G-7 Rivers Data'!$AG$4:$AI$9,3,FALSE)))</f>
        <v/>
      </c>
      <c r="Y201" s="537" t="str">
        <f>IFERROR(IF(OR(LEFT(P201,5)="Error ▲",LEFT(O201,5)="Error ▲"),"Check Data ⚠",IF(F201&lt;S201,'G-7 Rivers Data'!$R$3,INDEX('G-7 Rivers Data'!$U$5:$Y$9,MATCH(G201,'G-7 Rivers Data'!$T$5:$T$9,0),MATCH(T201,'G-7 Rivers Data'!$U$4:$Y$4,0)))),"")</f>
        <v/>
      </c>
      <c r="Z201" s="203"/>
      <c r="AA201" s="203"/>
      <c r="AB201" s="534" t="str">
        <f t="shared" si="16"/>
        <v/>
      </c>
      <c r="AC201" s="521" t="str">
        <f t="shared" si="17"/>
        <v/>
      </c>
      <c r="AD201" s="564" t="str">
        <f>IFERROR(IF(AC201="Check Data ⚠","Check Data ⚠",VLOOKUP(AC201,'G-4 Temporal multipliers'!$A$4:$C$37,3,FALSE)),"")</f>
        <v/>
      </c>
      <c r="AE201" s="537" t="str">
        <f>IF(N201="","",VLOOKUP(N201,'G-7 Rivers Data'!$B$4:$G$8,5,FALSE))</f>
        <v/>
      </c>
      <c r="AF201" s="520" t="str">
        <f t="shared" si="18"/>
        <v/>
      </c>
      <c r="AG201" s="520" t="str">
        <f t="shared" si="22"/>
        <v/>
      </c>
      <c r="AH201" s="524" t="str">
        <f t="shared" si="19"/>
        <v/>
      </c>
      <c r="AI201" s="145"/>
      <c r="AJ201" s="499" t="str">
        <f>IF(AI201="","",IF(VLOOKUP(AI201,'G-7 Rivers Data'!$AA$4:$AB$7,2,FALSE)=0,"Spatial Data Missing ⚠",VLOOKUP(AI201,'G-7 Rivers Data'!$AA$4:$AB$7,2,FALSE)))</f>
        <v/>
      </c>
      <c r="AK201" s="155"/>
      <c r="AL201" s="536" t="str">
        <f>IF(AK201="","",IF(VLOOKUP(AK201,'G-7 Rivers Data'!$AD$4:$AE$8,2,FALSE)=0,"Spatial Data Missing ⚠",VLOOKUP(AK201,'G-7 Rivers Data'!$AD$4:$AE$8,2,FALSE)))</f>
        <v/>
      </c>
      <c r="AM201" s="154"/>
      <c r="AN201" s="524" t="str">
        <f>IF(AM201="","",VLOOKUP(AM201,'G-7 Rivers Data'!$AO$4:$AP$7,2,FALSE))</f>
        <v/>
      </c>
      <c r="AO201" s="545" t="str">
        <f t="shared" si="23"/>
        <v/>
      </c>
      <c r="AP201" s="149"/>
      <c r="AQ201" s="150"/>
      <c r="AX201" s="31" t="str">
        <f>IFERROR(INDEX('G-7 Rivers Data'!$AZ$3:$AZ$7,MATCH(N201,'G-7 Rivers Data'!$AY$3:$AY$7,0)),"")</f>
        <v/>
      </c>
    </row>
    <row r="202" spans="2:50" ht="13.8" x14ac:dyDescent="0.25">
      <c r="B202" s="531" t="str">
        <f>'F-1 Off Site River Baseline'!AN200</f>
        <v/>
      </c>
      <c r="C202" s="520" t="str">
        <f>IF(B202="","",VLOOKUP($B202,'F-1 Off Site River Baseline'!$C$9:$R$257,2,FALSE))</f>
        <v/>
      </c>
      <c r="D202" s="520" t="str">
        <f>IF(C202="","",VLOOKUP($B202,'F-1 Off Site River Baseline'!$C$9:$R$257,3,FALSE))</f>
        <v/>
      </c>
      <c r="E202" s="520" t="str">
        <f>IF(D202="","",VLOOKUP($B202,'F-1 Off Site River Baseline'!$C$9:$R$257,4,FALSE))</f>
        <v/>
      </c>
      <c r="F202" s="520" t="str">
        <f>IF(E202="","",VLOOKUP($B202,'F-1 Off Site River Baseline'!$C$9:$R$257,5,FALSE))</f>
        <v/>
      </c>
      <c r="G202" s="520" t="str">
        <f>IF(F202="","",VLOOKUP($B202,'F-1 Off Site River Baseline'!$C$9:$R$257,6,FALSE))</f>
        <v/>
      </c>
      <c r="H202" s="520" t="str">
        <f>IF(G202="","",VLOOKUP($B202,'F-1 Off Site River Baseline'!$C$9:$R$257,7,FALSE))</f>
        <v/>
      </c>
      <c r="I202" s="520" t="str">
        <f>IF(H202="","",VLOOKUP($B202,'F-1 Off Site River Baseline'!$C$9:$R$257,8,FALSE))</f>
        <v/>
      </c>
      <c r="J202" s="520" t="str">
        <f>IF(I202="","",VLOOKUP($B202,'F-1 Off Site River Baseline'!$C$9:$R$257,9,FALSE))</f>
        <v/>
      </c>
      <c r="K202" s="520" t="str">
        <f>IF(J202="","",VLOOKUP($B202,'F-1 Off Site River Baseline'!$C$9:$R$257,10,FALSE))</f>
        <v/>
      </c>
      <c r="L202" s="520" t="str">
        <f>IF(B202="","",VLOOKUP($B202,'C-1 Site River Baseline'!$C$9:$R$257,15,FALSE))</f>
        <v/>
      </c>
      <c r="M202" s="524" t="str">
        <f>IF(L202="","",VLOOKUP($B202,'F-1 Off Site River Baseline'!$C$9:$R$257,16,FALSE))</f>
        <v/>
      </c>
      <c r="N202" s="418" t="str">
        <f t="shared" si="20"/>
        <v/>
      </c>
      <c r="O202" s="498" t="str">
        <f t="shared" si="21"/>
        <v/>
      </c>
      <c r="P202" s="499" t="str">
        <f>IF(C202="","",IF(AND(LEFT(C202,55)&lt;&gt;LEFT(N202,55),O202="High - High"),"Error - Not like for like ▲",IF(AND(F202=S202,H202&gt;U202),"Error - Can not reduce condition ▲",IF(AND(F202=S202,H202=U202,AJ202='F-1 Off Site River Baseline'!N200,'F-1 Off Site River Baseline'!P200=AL202),"Error - No enhancement ▲",IF(AND(C202&lt;&gt;N202,F202&lt;S202),"Lower Distinctiveness Habitat"&amp;" - "&amp;T202,G202&amp;" - "&amp;T202)))))</f>
        <v/>
      </c>
      <c r="Q202" s="505" t="str">
        <f>IF(N202="","",VLOOKUP(B202,'F-1 Off Site River Baseline'!$C$10:$AA$257,19,FALSE))</f>
        <v/>
      </c>
      <c r="R202" s="498" t="str">
        <f>IF(N202="","",VLOOKUP(N202,'G-7 Rivers Data'!$B$2:$G$8,2,FALSE))</f>
        <v/>
      </c>
      <c r="S202" s="499" t="str">
        <f>IFERROR(VLOOKUP(R202,'G-7 Rivers Data'!$C$4:$D$8,2,FALSE),"")</f>
        <v/>
      </c>
      <c r="T202" s="145"/>
      <c r="U202" s="499" t="str">
        <f>IFERROR(INDEX('G-7 Rivers Data'!$H$4:$L$8,MATCH(N202,'G-7 Rivers Data'!$B$4:$B$8,0),MATCH(T202,'G-7 Rivers Data'!$H$3:$L$3,0)),"")</f>
        <v/>
      </c>
      <c r="V202" s="154"/>
      <c r="W202" s="520" t="str">
        <f>IF(V202="","",IF(VLOOKUP(V202,'G-7 Rivers Data'!$AG$4:$AI$9,2,FALSE)=0,"Spatial Data Missing ⚠",VLOOKUP(V202,'G-7 Rivers Data'!$AG$4:$AI$9,2,FALSE)))</f>
        <v/>
      </c>
      <c r="X202" s="524" t="str">
        <f>IF(V202="","",IF(VLOOKUP(V202,'G-7 Rivers Data'!$AG$4:$AI$9,3,FALSE)=0,"Spatial Data Missing ⚠",VLOOKUP(V202,'G-7 Rivers Data'!$AG$4:$AI$9,3,FALSE)))</f>
        <v/>
      </c>
      <c r="Y202" s="537" t="str">
        <f>IFERROR(IF(OR(LEFT(P202,5)="Error ▲",LEFT(O202,5)="Error ▲"),"Check Data ⚠",IF(F202&lt;S202,'G-7 Rivers Data'!$R$3,INDEX('G-7 Rivers Data'!$U$5:$Y$9,MATCH(G202,'G-7 Rivers Data'!$T$5:$T$9,0),MATCH(T202,'G-7 Rivers Data'!$U$4:$Y$4,0)))),"")</f>
        <v/>
      </c>
      <c r="Z202" s="203"/>
      <c r="AA202" s="203"/>
      <c r="AB202" s="534" t="str">
        <f t="shared" si="16"/>
        <v/>
      </c>
      <c r="AC202" s="521" t="str">
        <f t="shared" si="17"/>
        <v/>
      </c>
      <c r="AD202" s="564" t="str">
        <f>IFERROR(IF(AC202="Check Data ⚠","Check Data ⚠",VLOOKUP(AC202,'G-4 Temporal multipliers'!$A$4:$C$37,3,FALSE)),"")</f>
        <v/>
      </c>
      <c r="AE202" s="537" t="str">
        <f>IF(N202="","",VLOOKUP(N202,'G-7 Rivers Data'!$B$4:$G$8,5,FALSE))</f>
        <v/>
      </c>
      <c r="AF202" s="520" t="str">
        <f t="shared" si="18"/>
        <v/>
      </c>
      <c r="AG202" s="520" t="str">
        <f t="shared" si="22"/>
        <v/>
      </c>
      <c r="AH202" s="524" t="str">
        <f t="shared" si="19"/>
        <v/>
      </c>
      <c r="AI202" s="145"/>
      <c r="AJ202" s="499" t="str">
        <f>IF(AI202="","",IF(VLOOKUP(AI202,'G-7 Rivers Data'!$AA$4:$AB$7,2,FALSE)=0,"Spatial Data Missing ⚠",VLOOKUP(AI202,'G-7 Rivers Data'!$AA$4:$AB$7,2,FALSE)))</f>
        <v/>
      </c>
      <c r="AK202" s="155"/>
      <c r="AL202" s="536" t="str">
        <f>IF(AK202="","",IF(VLOOKUP(AK202,'G-7 Rivers Data'!$AD$4:$AE$8,2,FALSE)=0,"Spatial Data Missing ⚠",VLOOKUP(AK202,'G-7 Rivers Data'!$AD$4:$AE$8,2,FALSE)))</f>
        <v/>
      </c>
      <c r="AM202" s="154"/>
      <c r="AN202" s="524" t="str">
        <f>IF(AM202="","",VLOOKUP(AM202,'G-7 Rivers Data'!$AO$4:$AP$7,2,FALSE))</f>
        <v/>
      </c>
      <c r="AO202" s="545" t="str">
        <f t="shared" si="23"/>
        <v/>
      </c>
      <c r="AP202" s="149"/>
      <c r="AQ202" s="150"/>
      <c r="AX202" s="31" t="str">
        <f>IFERROR(INDEX('G-7 Rivers Data'!$AZ$3:$AZ$7,MATCH(N202,'G-7 Rivers Data'!$AY$3:$AY$7,0)),"")</f>
        <v/>
      </c>
    </row>
    <row r="203" spans="2:50" ht="13.8" x14ac:dyDescent="0.25">
      <c r="B203" s="531" t="str">
        <f>'F-1 Off Site River Baseline'!AN201</f>
        <v/>
      </c>
      <c r="C203" s="520" t="str">
        <f>IF(B203="","",VLOOKUP($B203,'F-1 Off Site River Baseline'!$C$9:$R$257,2,FALSE))</f>
        <v/>
      </c>
      <c r="D203" s="520" t="str">
        <f>IF(C203="","",VLOOKUP($B203,'F-1 Off Site River Baseline'!$C$9:$R$257,3,FALSE))</f>
        <v/>
      </c>
      <c r="E203" s="520" t="str">
        <f>IF(D203="","",VLOOKUP($B203,'F-1 Off Site River Baseline'!$C$9:$R$257,4,FALSE))</f>
        <v/>
      </c>
      <c r="F203" s="520" t="str">
        <f>IF(E203="","",VLOOKUP($B203,'F-1 Off Site River Baseline'!$C$9:$R$257,5,FALSE))</f>
        <v/>
      </c>
      <c r="G203" s="520" t="str">
        <f>IF(F203="","",VLOOKUP($B203,'F-1 Off Site River Baseline'!$C$9:$R$257,6,FALSE))</f>
        <v/>
      </c>
      <c r="H203" s="520" t="str">
        <f>IF(G203="","",VLOOKUP($B203,'F-1 Off Site River Baseline'!$C$9:$R$257,7,FALSE))</f>
        <v/>
      </c>
      <c r="I203" s="520" t="str">
        <f>IF(H203="","",VLOOKUP($B203,'F-1 Off Site River Baseline'!$C$9:$R$257,8,FALSE))</f>
        <v/>
      </c>
      <c r="J203" s="520" t="str">
        <f>IF(I203="","",VLOOKUP($B203,'F-1 Off Site River Baseline'!$C$9:$R$257,9,FALSE))</f>
        <v/>
      </c>
      <c r="K203" s="520" t="str">
        <f>IF(J203="","",VLOOKUP($B203,'F-1 Off Site River Baseline'!$C$9:$R$257,10,FALSE))</f>
        <v/>
      </c>
      <c r="L203" s="520" t="str">
        <f>IF(B203="","",VLOOKUP($B203,'C-1 Site River Baseline'!$C$9:$R$257,15,FALSE))</f>
        <v/>
      </c>
      <c r="M203" s="524" t="str">
        <f>IF(L203="","",VLOOKUP($B203,'F-1 Off Site River Baseline'!$C$9:$R$257,16,FALSE))</f>
        <v/>
      </c>
      <c r="N203" s="418" t="str">
        <f t="shared" si="20"/>
        <v/>
      </c>
      <c r="O203" s="498" t="str">
        <f t="shared" si="21"/>
        <v/>
      </c>
      <c r="P203" s="499" t="str">
        <f>IF(C203="","",IF(AND(LEFT(C203,55)&lt;&gt;LEFT(N203,55),O203="High - High"),"Error - Not like for like ▲",IF(AND(F203=S203,H203&gt;U203),"Error - Can not reduce condition ▲",IF(AND(F203=S203,H203=U203,AJ203='F-1 Off Site River Baseline'!N201,'F-1 Off Site River Baseline'!P201=AL203),"Error - No enhancement ▲",IF(AND(C203&lt;&gt;N203,F203&lt;S203),"Lower Distinctiveness Habitat"&amp;" - "&amp;T203,G203&amp;" - "&amp;T203)))))</f>
        <v/>
      </c>
      <c r="Q203" s="505" t="str">
        <f>IF(N203="","",VLOOKUP(B203,'F-1 Off Site River Baseline'!$C$10:$AA$257,19,FALSE))</f>
        <v/>
      </c>
      <c r="R203" s="498" t="str">
        <f>IF(N203="","",VLOOKUP(N203,'G-7 Rivers Data'!$B$2:$G$8,2,FALSE))</f>
        <v/>
      </c>
      <c r="S203" s="499" t="str">
        <f>IFERROR(VLOOKUP(R203,'G-7 Rivers Data'!$C$4:$D$8,2,FALSE),"")</f>
        <v/>
      </c>
      <c r="T203" s="145"/>
      <c r="U203" s="499" t="str">
        <f>IFERROR(INDEX('G-7 Rivers Data'!$H$4:$L$8,MATCH(N203,'G-7 Rivers Data'!$B$4:$B$8,0),MATCH(T203,'G-7 Rivers Data'!$H$3:$L$3,0)),"")</f>
        <v/>
      </c>
      <c r="V203" s="154"/>
      <c r="W203" s="520" t="str">
        <f>IF(V203="","",IF(VLOOKUP(V203,'G-7 Rivers Data'!$AG$4:$AI$9,2,FALSE)=0,"Spatial Data Missing ⚠",VLOOKUP(V203,'G-7 Rivers Data'!$AG$4:$AI$9,2,FALSE)))</f>
        <v/>
      </c>
      <c r="X203" s="524" t="str">
        <f>IF(V203="","",IF(VLOOKUP(V203,'G-7 Rivers Data'!$AG$4:$AI$9,3,FALSE)=0,"Spatial Data Missing ⚠",VLOOKUP(V203,'G-7 Rivers Data'!$AG$4:$AI$9,3,FALSE)))</f>
        <v/>
      </c>
      <c r="Y203" s="537" t="str">
        <f>IFERROR(IF(OR(LEFT(P203,5)="Error ▲",LEFT(O203,5)="Error ▲"),"Check Data ⚠",IF(F203&lt;S203,'G-7 Rivers Data'!$R$3,INDEX('G-7 Rivers Data'!$U$5:$Y$9,MATCH(G203,'G-7 Rivers Data'!$T$5:$T$9,0),MATCH(T203,'G-7 Rivers Data'!$U$4:$Y$4,0)))),"")</f>
        <v/>
      </c>
      <c r="Z203" s="203"/>
      <c r="AA203" s="203"/>
      <c r="AB203" s="534" t="str">
        <f t="shared" si="16"/>
        <v/>
      </c>
      <c r="AC203" s="521" t="str">
        <f t="shared" si="17"/>
        <v/>
      </c>
      <c r="AD203" s="564" t="str">
        <f>IFERROR(IF(AC203="Check Data ⚠","Check Data ⚠",VLOOKUP(AC203,'G-4 Temporal multipliers'!$A$4:$C$37,3,FALSE)),"")</f>
        <v/>
      </c>
      <c r="AE203" s="537" t="str">
        <f>IF(N203="","",VLOOKUP(N203,'G-7 Rivers Data'!$B$4:$G$8,5,FALSE))</f>
        <v/>
      </c>
      <c r="AF203" s="520" t="str">
        <f t="shared" si="18"/>
        <v/>
      </c>
      <c r="AG203" s="520" t="str">
        <f t="shared" si="22"/>
        <v/>
      </c>
      <c r="AH203" s="524" t="str">
        <f t="shared" si="19"/>
        <v/>
      </c>
      <c r="AI203" s="145"/>
      <c r="AJ203" s="499" t="str">
        <f>IF(AI203="","",IF(VLOOKUP(AI203,'G-7 Rivers Data'!$AA$4:$AB$7,2,FALSE)=0,"Spatial Data Missing ⚠",VLOOKUP(AI203,'G-7 Rivers Data'!$AA$4:$AB$7,2,FALSE)))</f>
        <v/>
      </c>
      <c r="AK203" s="155"/>
      <c r="AL203" s="536" t="str">
        <f>IF(AK203="","",IF(VLOOKUP(AK203,'G-7 Rivers Data'!$AD$4:$AE$8,2,FALSE)=0,"Spatial Data Missing ⚠",VLOOKUP(AK203,'G-7 Rivers Data'!$AD$4:$AE$8,2,FALSE)))</f>
        <v/>
      </c>
      <c r="AM203" s="154"/>
      <c r="AN203" s="524" t="str">
        <f>IF(AM203="","",VLOOKUP(AM203,'G-7 Rivers Data'!$AO$4:$AP$7,2,FALSE))</f>
        <v/>
      </c>
      <c r="AO203" s="545" t="str">
        <f t="shared" si="23"/>
        <v/>
      </c>
      <c r="AP203" s="149"/>
      <c r="AQ203" s="150"/>
      <c r="AX203" s="31" t="str">
        <f>IFERROR(INDEX('G-7 Rivers Data'!$AZ$3:$AZ$7,MATCH(N203,'G-7 Rivers Data'!$AY$3:$AY$7,0)),"")</f>
        <v/>
      </c>
    </row>
    <row r="204" spans="2:50" ht="13.8" x14ac:dyDescent="0.25">
      <c r="B204" s="531" t="str">
        <f>'F-1 Off Site River Baseline'!AN202</f>
        <v/>
      </c>
      <c r="C204" s="520" t="str">
        <f>IF(B204="","",VLOOKUP($B204,'F-1 Off Site River Baseline'!$C$9:$R$257,2,FALSE))</f>
        <v/>
      </c>
      <c r="D204" s="520" t="str">
        <f>IF(C204="","",VLOOKUP($B204,'F-1 Off Site River Baseline'!$C$9:$R$257,3,FALSE))</f>
        <v/>
      </c>
      <c r="E204" s="520" t="str">
        <f>IF(D204="","",VLOOKUP($B204,'F-1 Off Site River Baseline'!$C$9:$R$257,4,FALSE))</f>
        <v/>
      </c>
      <c r="F204" s="520" t="str">
        <f>IF(E204="","",VLOOKUP($B204,'F-1 Off Site River Baseline'!$C$9:$R$257,5,FALSE))</f>
        <v/>
      </c>
      <c r="G204" s="520" t="str">
        <f>IF(F204="","",VLOOKUP($B204,'F-1 Off Site River Baseline'!$C$9:$R$257,6,FALSE))</f>
        <v/>
      </c>
      <c r="H204" s="520" t="str">
        <f>IF(G204="","",VLOOKUP($B204,'F-1 Off Site River Baseline'!$C$9:$R$257,7,FALSE))</f>
        <v/>
      </c>
      <c r="I204" s="520" t="str">
        <f>IF(H204="","",VLOOKUP($B204,'F-1 Off Site River Baseline'!$C$9:$R$257,8,FALSE))</f>
        <v/>
      </c>
      <c r="J204" s="520" t="str">
        <f>IF(I204="","",VLOOKUP($B204,'F-1 Off Site River Baseline'!$C$9:$R$257,9,FALSE))</f>
        <v/>
      </c>
      <c r="K204" s="520" t="str">
        <f>IF(J204="","",VLOOKUP($B204,'F-1 Off Site River Baseline'!$C$9:$R$257,10,FALSE))</f>
        <v/>
      </c>
      <c r="L204" s="520" t="str">
        <f>IF(B204="","",VLOOKUP($B204,'C-1 Site River Baseline'!$C$9:$R$257,15,FALSE))</f>
        <v/>
      </c>
      <c r="M204" s="524" t="str">
        <f>IF(L204="","",VLOOKUP($B204,'F-1 Off Site River Baseline'!$C$9:$R$257,16,FALSE))</f>
        <v/>
      </c>
      <c r="N204" s="418" t="str">
        <f t="shared" si="20"/>
        <v/>
      </c>
      <c r="O204" s="498" t="str">
        <f t="shared" si="21"/>
        <v/>
      </c>
      <c r="P204" s="499" t="str">
        <f>IF(C204="","",IF(AND(LEFT(C204,55)&lt;&gt;LEFT(N204,55),O204="High - High"),"Error - Not like for like ▲",IF(AND(F204=S204,H204&gt;U204),"Error - Can not reduce condition ▲",IF(AND(F204=S204,H204=U204,AJ204='F-1 Off Site River Baseline'!N202,'F-1 Off Site River Baseline'!P202=AL204),"Error - No enhancement ▲",IF(AND(C204&lt;&gt;N204,F204&lt;S204),"Lower Distinctiveness Habitat"&amp;" - "&amp;T204,G204&amp;" - "&amp;T204)))))</f>
        <v/>
      </c>
      <c r="Q204" s="505" t="str">
        <f>IF(N204="","",VLOOKUP(B204,'F-1 Off Site River Baseline'!$C$10:$AA$257,19,FALSE))</f>
        <v/>
      </c>
      <c r="R204" s="498" t="str">
        <f>IF(N204="","",VLOOKUP(N204,'G-7 Rivers Data'!$B$2:$G$8,2,FALSE))</f>
        <v/>
      </c>
      <c r="S204" s="499" t="str">
        <f>IFERROR(VLOOKUP(R204,'G-7 Rivers Data'!$C$4:$D$8,2,FALSE),"")</f>
        <v/>
      </c>
      <c r="T204" s="145"/>
      <c r="U204" s="499" t="str">
        <f>IFERROR(INDEX('G-7 Rivers Data'!$H$4:$L$8,MATCH(N204,'G-7 Rivers Data'!$B$4:$B$8,0),MATCH(T204,'G-7 Rivers Data'!$H$3:$L$3,0)),"")</f>
        <v/>
      </c>
      <c r="V204" s="154"/>
      <c r="W204" s="520" t="str">
        <f>IF(V204="","",IF(VLOOKUP(V204,'G-7 Rivers Data'!$AG$4:$AI$9,2,FALSE)=0,"Spatial Data Missing ⚠",VLOOKUP(V204,'G-7 Rivers Data'!$AG$4:$AI$9,2,FALSE)))</f>
        <v/>
      </c>
      <c r="X204" s="524" t="str">
        <f>IF(V204="","",IF(VLOOKUP(V204,'G-7 Rivers Data'!$AG$4:$AI$9,3,FALSE)=0,"Spatial Data Missing ⚠",VLOOKUP(V204,'G-7 Rivers Data'!$AG$4:$AI$9,3,FALSE)))</f>
        <v/>
      </c>
      <c r="Y204" s="537" t="str">
        <f>IFERROR(IF(OR(LEFT(P204,5)="Error ▲",LEFT(O204,5)="Error ▲"),"Check Data ⚠",IF(F204&lt;S204,'G-7 Rivers Data'!$R$3,INDEX('G-7 Rivers Data'!$U$5:$Y$9,MATCH(G204,'G-7 Rivers Data'!$T$5:$T$9,0),MATCH(T204,'G-7 Rivers Data'!$U$4:$Y$4,0)))),"")</f>
        <v/>
      </c>
      <c r="Z204" s="203"/>
      <c r="AA204" s="203"/>
      <c r="AB204" s="534" t="str">
        <f t="shared" ref="AB204:AB256" si="24">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521" t="str">
        <f t="shared" ref="AC204:AC256" si="25">IF(LEFT(AB204,5)="Error ▲","Check Data ⚠",IF(AB204="Check Data ⚠","Check Data ⚠",IF(Y204="","",IF(Z204="30+",0,IF(AA204="30+","30+ ⚠",IF(Y204+AA204&gt;30,"30+ ⚠",IF(Y204+AA204-Z204&gt;0,Y204+AA204-Z204,IF(Y204-Z204&lt;0,0,Y204+AA204-Z204))))))))</f>
        <v/>
      </c>
      <c r="AD204" s="564" t="str">
        <f>IFERROR(IF(AC204="Check Data ⚠","Check Data ⚠",VLOOKUP(AC204,'G-4 Temporal multipliers'!$A$4:$C$37,3,FALSE)),"")</f>
        <v/>
      </c>
      <c r="AE204" s="537" t="str">
        <f>IF(N204="","",VLOOKUP(N204,'G-7 Rivers Data'!$B$4:$G$8,5,FALSE))</f>
        <v/>
      </c>
      <c r="AF204" s="520" t="str">
        <f t="shared" ref="AF204:AF256" si="26">IF(N204="","",IF(AC204="Check Data ⚠","Check Data ⚠",IF(T204="","",IF($AB204="Check details - Is there evidence that habitat has reached target condition? ⚠","Low Difficulty - only applicable if all habitat created before losses ⚠","Standard difficulty applied"))))</f>
        <v/>
      </c>
      <c r="AG204" s="520" t="str">
        <f t="shared" si="22"/>
        <v/>
      </c>
      <c r="AH204" s="524" t="str">
        <f t="shared" ref="AH204:AH257" si="27">IF(N204="","",VLOOKUP(AE204,Difficulty,2,FALSE))</f>
        <v/>
      </c>
      <c r="AI204" s="145"/>
      <c r="AJ204" s="499" t="str">
        <f>IF(AI204="","",IF(VLOOKUP(AI204,'G-7 Rivers Data'!$AA$4:$AB$7,2,FALSE)=0,"Spatial Data Missing ⚠",VLOOKUP(AI204,'G-7 Rivers Data'!$AA$4:$AB$7,2,FALSE)))</f>
        <v/>
      </c>
      <c r="AK204" s="155"/>
      <c r="AL204" s="536" t="str">
        <f>IF(AK204="","",IF(VLOOKUP(AK204,'G-7 Rivers Data'!$AD$4:$AE$8,2,FALSE)=0,"Spatial Data Missing ⚠",VLOOKUP(AK204,'G-7 Rivers Data'!$AD$4:$AE$8,2,FALSE)))</f>
        <v/>
      </c>
      <c r="AM204" s="154"/>
      <c r="AN204" s="524" t="str">
        <f>IF(AM204="","",VLOOKUP(AM204,'G-7 Rivers Data'!$AO$4:$AP$7,2,FALSE))</f>
        <v/>
      </c>
      <c r="AO204" s="545" t="str">
        <f t="shared" si="23"/>
        <v/>
      </c>
      <c r="AP204" s="149"/>
      <c r="AQ204" s="150"/>
      <c r="AX204" s="31" t="str">
        <f>IFERROR(INDEX('G-7 Rivers Data'!$AZ$3:$AZ$7,MATCH(N204,'G-7 Rivers Data'!$AY$3:$AY$7,0)),"")</f>
        <v/>
      </c>
    </row>
    <row r="205" spans="2:50" ht="13.8" x14ac:dyDescent="0.25">
      <c r="B205" s="531" t="str">
        <f>'F-1 Off Site River Baseline'!AN203</f>
        <v/>
      </c>
      <c r="C205" s="520" t="str">
        <f>IF(B205="","",VLOOKUP($B205,'F-1 Off Site River Baseline'!$C$9:$R$257,2,FALSE))</f>
        <v/>
      </c>
      <c r="D205" s="520" t="str">
        <f>IF(C205="","",VLOOKUP($B205,'F-1 Off Site River Baseline'!$C$9:$R$257,3,FALSE))</f>
        <v/>
      </c>
      <c r="E205" s="520" t="str">
        <f>IF(D205="","",VLOOKUP($B205,'F-1 Off Site River Baseline'!$C$9:$R$257,4,FALSE))</f>
        <v/>
      </c>
      <c r="F205" s="520" t="str">
        <f>IF(E205="","",VLOOKUP($B205,'F-1 Off Site River Baseline'!$C$9:$R$257,5,FALSE))</f>
        <v/>
      </c>
      <c r="G205" s="520" t="str">
        <f>IF(F205="","",VLOOKUP($B205,'F-1 Off Site River Baseline'!$C$9:$R$257,6,FALSE))</f>
        <v/>
      </c>
      <c r="H205" s="520" t="str">
        <f>IF(G205="","",VLOOKUP($B205,'F-1 Off Site River Baseline'!$C$9:$R$257,7,FALSE))</f>
        <v/>
      </c>
      <c r="I205" s="520" t="str">
        <f>IF(H205="","",VLOOKUP($B205,'F-1 Off Site River Baseline'!$C$9:$R$257,8,FALSE))</f>
        <v/>
      </c>
      <c r="J205" s="520" t="str">
        <f>IF(I205="","",VLOOKUP($B205,'F-1 Off Site River Baseline'!$C$9:$R$257,9,FALSE))</f>
        <v/>
      </c>
      <c r="K205" s="520" t="str">
        <f>IF(J205="","",VLOOKUP($B205,'F-1 Off Site River Baseline'!$C$9:$R$257,10,FALSE))</f>
        <v/>
      </c>
      <c r="L205" s="520" t="str">
        <f>IF(B205="","",VLOOKUP($B205,'C-1 Site River Baseline'!$C$9:$R$257,15,FALSE))</f>
        <v/>
      </c>
      <c r="M205" s="524" t="str">
        <f>IF(L205="","",VLOOKUP($B205,'F-1 Off Site River Baseline'!$C$9:$R$257,16,FALSE))</f>
        <v/>
      </c>
      <c r="N205" s="418" t="str">
        <f t="shared" ref="N205:N257" si="28">C205</f>
        <v/>
      </c>
      <c r="O205" s="498" t="str">
        <f t="shared" ref="O205:O257" si="29">IF(B205="","",IF(S205&lt;F205,"Error Trading Down ▲",E205&amp;" - "&amp;R205))</f>
        <v/>
      </c>
      <c r="P205" s="499" t="str">
        <f>IF(C205="","",IF(AND(LEFT(C205,55)&lt;&gt;LEFT(N205,55),O205="High - High"),"Error - Not like for like ▲",IF(AND(F205=S205,H205&gt;U205),"Error - Can not reduce condition ▲",IF(AND(F205=S205,H205=U205,AJ205='F-1 Off Site River Baseline'!N203,'F-1 Off Site River Baseline'!P203=AL205),"Error - No enhancement ▲",IF(AND(C205&lt;&gt;N205,F205&lt;S205),"Lower Distinctiveness Habitat"&amp;" - "&amp;T205,G205&amp;" - "&amp;T205)))))</f>
        <v/>
      </c>
      <c r="Q205" s="505" t="str">
        <f>IF(N205="","",VLOOKUP(B205,'F-1 Off Site River Baseline'!$C$10:$AA$257,19,FALSE))</f>
        <v/>
      </c>
      <c r="R205" s="498" t="str">
        <f>IF(N205="","",VLOOKUP(N205,'G-7 Rivers Data'!$B$2:$G$8,2,FALSE))</f>
        <v/>
      </c>
      <c r="S205" s="499" t="str">
        <f>IFERROR(VLOOKUP(R205,'G-7 Rivers Data'!$C$4:$D$8,2,FALSE),"")</f>
        <v/>
      </c>
      <c r="T205" s="145"/>
      <c r="U205" s="499" t="str">
        <f>IFERROR(INDEX('G-7 Rivers Data'!$H$4:$L$8,MATCH(N205,'G-7 Rivers Data'!$B$4:$B$8,0),MATCH(T205,'G-7 Rivers Data'!$H$3:$L$3,0)),"")</f>
        <v/>
      </c>
      <c r="V205" s="154"/>
      <c r="W205" s="520" t="str">
        <f>IF(V205="","",IF(VLOOKUP(V205,'G-7 Rivers Data'!$AG$4:$AI$9,2,FALSE)=0,"Spatial Data Missing ⚠",VLOOKUP(V205,'G-7 Rivers Data'!$AG$4:$AI$9,2,FALSE)))</f>
        <v/>
      </c>
      <c r="X205" s="524" t="str">
        <f>IF(V205="","",IF(VLOOKUP(V205,'G-7 Rivers Data'!$AG$4:$AI$9,3,FALSE)=0,"Spatial Data Missing ⚠",VLOOKUP(V205,'G-7 Rivers Data'!$AG$4:$AI$9,3,FALSE)))</f>
        <v/>
      </c>
      <c r="Y205" s="537" t="str">
        <f>IFERROR(IF(OR(LEFT(P205,5)="Error ▲",LEFT(O205,5)="Error ▲"),"Check Data ⚠",IF(F205&lt;S205,'G-7 Rivers Data'!$R$3,INDEX('G-7 Rivers Data'!$U$5:$Y$9,MATCH(G205,'G-7 Rivers Data'!$T$5:$T$9,0),MATCH(T205,'G-7 Rivers Data'!$U$4:$Y$4,0)))),"")</f>
        <v/>
      </c>
      <c r="Z205" s="203"/>
      <c r="AA205" s="203"/>
      <c r="AB205" s="534" t="str">
        <f t="shared" si="24"/>
        <v/>
      </c>
      <c r="AC205" s="521" t="str">
        <f t="shared" si="25"/>
        <v/>
      </c>
      <c r="AD205" s="564" t="str">
        <f>IFERROR(IF(AC205="Check Data ⚠","Check Data ⚠",VLOOKUP(AC205,'G-4 Temporal multipliers'!$A$4:$C$37,3,FALSE)),"")</f>
        <v/>
      </c>
      <c r="AE205" s="537" t="str">
        <f>IF(N205="","",VLOOKUP(N205,'G-7 Rivers Data'!$B$4:$G$8,5,FALSE))</f>
        <v/>
      </c>
      <c r="AF205" s="520" t="str">
        <f t="shared" si="26"/>
        <v/>
      </c>
      <c r="AG205" s="520" t="str">
        <f t="shared" ref="AG205:AG257" si="30">(IF(AND(AF205="Standard difficulty applied",Y205&gt;Z205),AE205,IF(AND(AF205="Low Difficulty - only applicable if all habitat created before losses ⚠",Z205&gt;=Y205),"Low",AE205)))</f>
        <v/>
      </c>
      <c r="AH205" s="524" t="str">
        <f t="shared" si="27"/>
        <v/>
      </c>
      <c r="AI205" s="145"/>
      <c r="AJ205" s="499" t="str">
        <f>IF(AI205="","",IF(VLOOKUP(AI205,'G-7 Rivers Data'!$AA$4:$AB$7,2,FALSE)=0,"Spatial Data Missing ⚠",VLOOKUP(AI205,'G-7 Rivers Data'!$AA$4:$AB$7,2,FALSE)))</f>
        <v/>
      </c>
      <c r="AK205" s="155"/>
      <c r="AL205" s="536" t="str">
        <f>IF(AK205="","",IF(VLOOKUP(AK205,'G-7 Rivers Data'!$AD$4:$AE$8,2,FALSE)=0,"Spatial Data Missing ⚠",VLOOKUP(AK205,'G-7 Rivers Data'!$AD$4:$AE$8,2,FALSE)))</f>
        <v/>
      </c>
      <c r="AM205" s="154"/>
      <c r="AN205" s="524" t="str">
        <f>IF(AM205="","",VLOOKUP(AM205,'G-7 Rivers Data'!$AO$4:$AP$7,2,FALSE))</f>
        <v/>
      </c>
      <c r="AO205" s="545" t="str">
        <f t="shared" ref="AO205:AO257" si="31">IFERROR(IF(C205="","",IF(Q205&gt;D205,((((Q205*S205*U205)-(D205*F205*H205))*(AH205*AD205))+(D205*F205*H205))*(AL205*X205*AJ205*AN205),((((Q205*S205*U205)-(Q205*F205*H205))*(AH205*AD205))+(Q205*F205*H205))*(AL205*X205*AJ205*AN205))),"")</f>
        <v/>
      </c>
      <c r="AP205" s="149"/>
      <c r="AQ205" s="150"/>
      <c r="AX205" s="31" t="str">
        <f>IFERROR(INDEX('G-7 Rivers Data'!$AZ$3:$AZ$7,MATCH(N205,'G-7 Rivers Data'!$AY$3:$AY$7,0)),"")</f>
        <v/>
      </c>
    </row>
    <row r="206" spans="2:50" ht="13.8" x14ac:dyDescent="0.25">
      <c r="B206" s="531" t="str">
        <f>'F-1 Off Site River Baseline'!AN204</f>
        <v/>
      </c>
      <c r="C206" s="520" t="str">
        <f>IF(B206="","",VLOOKUP($B206,'F-1 Off Site River Baseline'!$C$9:$R$257,2,FALSE))</f>
        <v/>
      </c>
      <c r="D206" s="520" t="str">
        <f>IF(C206="","",VLOOKUP($B206,'F-1 Off Site River Baseline'!$C$9:$R$257,3,FALSE))</f>
        <v/>
      </c>
      <c r="E206" s="520" t="str">
        <f>IF(D206="","",VLOOKUP($B206,'F-1 Off Site River Baseline'!$C$9:$R$257,4,FALSE))</f>
        <v/>
      </c>
      <c r="F206" s="520" t="str">
        <f>IF(E206="","",VLOOKUP($B206,'F-1 Off Site River Baseline'!$C$9:$R$257,5,FALSE))</f>
        <v/>
      </c>
      <c r="G206" s="520" t="str">
        <f>IF(F206="","",VLOOKUP($B206,'F-1 Off Site River Baseline'!$C$9:$R$257,6,FALSE))</f>
        <v/>
      </c>
      <c r="H206" s="520" t="str">
        <f>IF(G206="","",VLOOKUP($B206,'F-1 Off Site River Baseline'!$C$9:$R$257,7,FALSE))</f>
        <v/>
      </c>
      <c r="I206" s="520" t="str">
        <f>IF(H206="","",VLOOKUP($B206,'F-1 Off Site River Baseline'!$C$9:$R$257,8,FALSE))</f>
        <v/>
      </c>
      <c r="J206" s="520" t="str">
        <f>IF(I206="","",VLOOKUP($B206,'F-1 Off Site River Baseline'!$C$9:$R$257,9,FALSE))</f>
        <v/>
      </c>
      <c r="K206" s="520" t="str">
        <f>IF(J206="","",VLOOKUP($B206,'F-1 Off Site River Baseline'!$C$9:$R$257,10,FALSE))</f>
        <v/>
      </c>
      <c r="L206" s="520" t="str">
        <f>IF(B206="","",VLOOKUP($B206,'C-1 Site River Baseline'!$C$9:$R$257,15,FALSE))</f>
        <v/>
      </c>
      <c r="M206" s="524" t="str">
        <f>IF(L206="","",VLOOKUP($B206,'F-1 Off Site River Baseline'!$C$9:$R$257,16,FALSE))</f>
        <v/>
      </c>
      <c r="N206" s="418" t="str">
        <f t="shared" si="28"/>
        <v/>
      </c>
      <c r="O206" s="498" t="str">
        <f t="shared" si="29"/>
        <v/>
      </c>
      <c r="P206" s="499" t="str">
        <f>IF(C206="","",IF(AND(LEFT(C206,55)&lt;&gt;LEFT(N206,55),O206="High - High"),"Error - Not like for like ▲",IF(AND(F206=S206,H206&gt;U206),"Error - Can not reduce condition ▲",IF(AND(F206=S206,H206=U206,AJ206='F-1 Off Site River Baseline'!N204,'F-1 Off Site River Baseline'!P204=AL206),"Error - No enhancement ▲",IF(AND(C206&lt;&gt;N206,F206&lt;S206),"Lower Distinctiveness Habitat"&amp;" - "&amp;T206,G206&amp;" - "&amp;T206)))))</f>
        <v/>
      </c>
      <c r="Q206" s="505" t="str">
        <f>IF(N206="","",VLOOKUP(B206,'F-1 Off Site River Baseline'!$C$10:$AA$257,19,FALSE))</f>
        <v/>
      </c>
      <c r="R206" s="498" t="str">
        <f>IF(N206="","",VLOOKUP(N206,'G-7 Rivers Data'!$B$2:$G$8,2,FALSE))</f>
        <v/>
      </c>
      <c r="S206" s="499" t="str">
        <f>IFERROR(VLOOKUP(R206,'G-7 Rivers Data'!$C$4:$D$8,2,FALSE),"")</f>
        <v/>
      </c>
      <c r="T206" s="145"/>
      <c r="U206" s="499" t="str">
        <f>IFERROR(INDEX('G-7 Rivers Data'!$H$4:$L$8,MATCH(N206,'G-7 Rivers Data'!$B$4:$B$8,0),MATCH(T206,'G-7 Rivers Data'!$H$3:$L$3,0)),"")</f>
        <v/>
      </c>
      <c r="V206" s="154"/>
      <c r="W206" s="520" t="str">
        <f>IF(V206="","",IF(VLOOKUP(V206,'G-7 Rivers Data'!$AG$4:$AI$9,2,FALSE)=0,"Spatial Data Missing ⚠",VLOOKUP(V206,'G-7 Rivers Data'!$AG$4:$AI$9,2,FALSE)))</f>
        <v/>
      </c>
      <c r="X206" s="524" t="str">
        <f>IF(V206="","",IF(VLOOKUP(V206,'G-7 Rivers Data'!$AG$4:$AI$9,3,FALSE)=0,"Spatial Data Missing ⚠",VLOOKUP(V206,'G-7 Rivers Data'!$AG$4:$AI$9,3,FALSE)))</f>
        <v/>
      </c>
      <c r="Y206" s="537" t="str">
        <f>IFERROR(IF(OR(LEFT(P206,5)="Error ▲",LEFT(O206,5)="Error ▲"),"Check Data ⚠",IF(F206&lt;S206,'G-7 Rivers Data'!$R$3,INDEX('G-7 Rivers Data'!$U$5:$Y$9,MATCH(G206,'G-7 Rivers Data'!$T$5:$T$9,0),MATCH(T206,'G-7 Rivers Data'!$U$4:$Y$4,0)))),"")</f>
        <v/>
      </c>
      <c r="Z206" s="203"/>
      <c r="AA206" s="203"/>
      <c r="AB206" s="534" t="str">
        <f t="shared" si="24"/>
        <v/>
      </c>
      <c r="AC206" s="521" t="str">
        <f t="shared" si="25"/>
        <v/>
      </c>
      <c r="AD206" s="564" t="str">
        <f>IFERROR(IF(AC206="Check Data ⚠","Check Data ⚠",VLOOKUP(AC206,'G-4 Temporal multipliers'!$A$4:$C$37,3,FALSE)),"")</f>
        <v/>
      </c>
      <c r="AE206" s="537" t="str">
        <f>IF(N206="","",VLOOKUP(N206,'G-7 Rivers Data'!$B$4:$G$8,5,FALSE))</f>
        <v/>
      </c>
      <c r="AF206" s="520" t="str">
        <f t="shared" si="26"/>
        <v/>
      </c>
      <c r="AG206" s="520" t="str">
        <f t="shared" si="30"/>
        <v/>
      </c>
      <c r="AH206" s="524" t="str">
        <f t="shared" si="27"/>
        <v/>
      </c>
      <c r="AI206" s="145"/>
      <c r="AJ206" s="499" t="str">
        <f>IF(AI206="","",IF(VLOOKUP(AI206,'G-7 Rivers Data'!$AA$4:$AB$7,2,FALSE)=0,"Spatial Data Missing ⚠",VLOOKUP(AI206,'G-7 Rivers Data'!$AA$4:$AB$7,2,FALSE)))</f>
        <v/>
      </c>
      <c r="AK206" s="155"/>
      <c r="AL206" s="536" t="str">
        <f>IF(AK206="","",IF(VLOOKUP(AK206,'G-7 Rivers Data'!$AD$4:$AE$8,2,FALSE)=0,"Spatial Data Missing ⚠",VLOOKUP(AK206,'G-7 Rivers Data'!$AD$4:$AE$8,2,FALSE)))</f>
        <v/>
      </c>
      <c r="AM206" s="154"/>
      <c r="AN206" s="524" t="str">
        <f>IF(AM206="","",VLOOKUP(AM206,'G-7 Rivers Data'!$AO$4:$AP$7,2,FALSE))</f>
        <v/>
      </c>
      <c r="AO206" s="545" t="str">
        <f t="shared" si="31"/>
        <v/>
      </c>
      <c r="AP206" s="149"/>
      <c r="AQ206" s="150"/>
      <c r="AX206" s="31" t="str">
        <f>IFERROR(INDEX('G-7 Rivers Data'!$AZ$3:$AZ$7,MATCH(N206,'G-7 Rivers Data'!$AY$3:$AY$7,0)),"")</f>
        <v/>
      </c>
    </row>
    <row r="207" spans="2:50" ht="13.8" x14ac:dyDescent="0.25">
      <c r="B207" s="531" t="str">
        <f>'F-1 Off Site River Baseline'!AN205</f>
        <v/>
      </c>
      <c r="C207" s="520" t="str">
        <f>IF(B207="","",VLOOKUP($B207,'F-1 Off Site River Baseline'!$C$9:$R$257,2,FALSE))</f>
        <v/>
      </c>
      <c r="D207" s="520" t="str">
        <f>IF(C207="","",VLOOKUP($B207,'F-1 Off Site River Baseline'!$C$9:$R$257,3,FALSE))</f>
        <v/>
      </c>
      <c r="E207" s="520" t="str">
        <f>IF(D207="","",VLOOKUP($B207,'F-1 Off Site River Baseline'!$C$9:$R$257,4,FALSE))</f>
        <v/>
      </c>
      <c r="F207" s="520" t="str">
        <f>IF(E207="","",VLOOKUP($B207,'F-1 Off Site River Baseline'!$C$9:$R$257,5,FALSE))</f>
        <v/>
      </c>
      <c r="G207" s="520" t="str">
        <f>IF(F207="","",VLOOKUP($B207,'F-1 Off Site River Baseline'!$C$9:$R$257,6,FALSE))</f>
        <v/>
      </c>
      <c r="H207" s="520" t="str">
        <f>IF(G207="","",VLOOKUP($B207,'F-1 Off Site River Baseline'!$C$9:$R$257,7,FALSE))</f>
        <v/>
      </c>
      <c r="I207" s="520" t="str">
        <f>IF(H207="","",VLOOKUP($B207,'F-1 Off Site River Baseline'!$C$9:$R$257,8,FALSE))</f>
        <v/>
      </c>
      <c r="J207" s="520" t="str">
        <f>IF(I207="","",VLOOKUP($B207,'F-1 Off Site River Baseline'!$C$9:$R$257,9,FALSE))</f>
        <v/>
      </c>
      <c r="K207" s="520" t="str">
        <f>IF(J207="","",VLOOKUP($B207,'F-1 Off Site River Baseline'!$C$9:$R$257,10,FALSE))</f>
        <v/>
      </c>
      <c r="L207" s="520" t="str">
        <f>IF(B207="","",VLOOKUP($B207,'C-1 Site River Baseline'!$C$9:$R$257,15,FALSE))</f>
        <v/>
      </c>
      <c r="M207" s="524" t="str">
        <f>IF(L207="","",VLOOKUP($B207,'F-1 Off Site River Baseline'!$C$9:$R$257,16,FALSE))</f>
        <v/>
      </c>
      <c r="N207" s="418" t="str">
        <f t="shared" si="28"/>
        <v/>
      </c>
      <c r="O207" s="498" t="str">
        <f t="shared" si="29"/>
        <v/>
      </c>
      <c r="P207" s="499" t="str">
        <f>IF(C207="","",IF(AND(LEFT(C207,55)&lt;&gt;LEFT(N207,55),O207="High - High"),"Error - Not like for like ▲",IF(AND(F207=S207,H207&gt;U207),"Error - Can not reduce condition ▲",IF(AND(F207=S207,H207=U207,AJ207='F-1 Off Site River Baseline'!N205,'F-1 Off Site River Baseline'!P205=AL207),"Error - No enhancement ▲",IF(AND(C207&lt;&gt;N207,F207&lt;S207),"Lower Distinctiveness Habitat"&amp;" - "&amp;T207,G207&amp;" - "&amp;T207)))))</f>
        <v/>
      </c>
      <c r="Q207" s="505" t="str">
        <f>IF(N207="","",VLOOKUP(B207,'F-1 Off Site River Baseline'!$C$10:$AA$257,19,FALSE))</f>
        <v/>
      </c>
      <c r="R207" s="498" t="str">
        <f>IF(N207="","",VLOOKUP(N207,'G-7 Rivers Data'!$B$2:$G$8,2,FALSE))</f>
        <v/>
      </c>
      <c r="S207" s="499" t="str">
        <f>IFERROR(VLOOKUP(R207,'G-7 Rivers Data'!$C$4:$D$8,2,FALSE),"")</f>
        <v/>
      </c>
      <c r="T207" s="145"/>
      <c r="U207" s="499" t="str">
        <f>IFERROR(INDEX('G-7 Rivers Data'!$H$4:$L$8,MATCH(N207,'G-7 Rivers Data'!$B$4:$B$8,0),MATCH(T207,'G-7 Rivers Data'!$H$3:$L$3,0)),"")</f>
        <v/>
      </c>
      <c r="V207" s="154"/>
      <c r="W207" s="520" t="str">
        <f>IF(V207="","",IF(VLOOKUP(V207,'G-7 Rivers Data'!$AG$4:$AI$9,2,FALSE)=0,"Spatial Data Missing ⚠",VLOOKUP(V207,'G-7 Rivers Data'!$AG$4:$AI$9,2,FALSE)))</f>
        <v/>
      </c>
      <c r="X207" s="524" t="str">
        <f>IF(V207="","",IF(VLOOKUP(V207,'G-7 Rivers Data'!$AG$4:$AI$9,3,FALSE)=0,"Spatial Data Missing ⚠",VLOOKUP(V207,'G-7 Rivers Data'!$AG$4:$AI$9,3,FALSE)))</f>
        <v/>
      </c>
      <c r="Y207" s="537" t="str">
        <f>IFERROR(IF(OR(LEFT(P207,5)="Error ▲",LEFT(O207,5)="Error ▲"),"Check Data ⚠",IF(F207&lt;S207,'G-7 Rivers Data'!$R$3,INDEX('G-7 Rivers Data'!$U$5:$Y$9,MATCH(G207,'G-7 Rivers Data'!$T$5:$T$9,0),MATCH(T207,'G-7 Rivers Data'!$U$4:$Y$4,0)))),"")</f>
        <v/>
      </c>
      <c r="Z207" s="203"/>
      <c r="AA207" s="203"/>
      <c r="AB207" s="534" t="str">
        <f t="shared" si="24"/>
        <v/>
      </c>
      <c r="AC207" s="521" t="str">
        <f t="shared" si="25"/>
        <v/>
      </c>
      <c r="AD207" s="564" t="str">
        <f>IFERROR(IF(AC207="Check Data ⚠","Check Data ⚠",VLOOKUP(AC207,'G-4 Temporal multipliers'!$A$4:$C$37,3,FALSE)),"")</f>
        <v/>
      </c>
      <c r="AE207" s="537" t="str">
        <f>IF(N207="","",VLOOKUP(N207,'G-7 Rivers Data'!$B$4:$G$8,5,FALSE))</f>
        <v/>
      </c>
      <c r="AF207" s="520" t="str">
        <f t="shared" si="26"/>
        <v/>
      </c>
      <c r="AG207" s="520" t="str">
        <f t="shared" si="30"/>
        <v/>
      </c>
      <c r="AH207" s="524" t="str">
        <f t="shared" si="27"/>
        <v/>
      </c>
      <c r="AI207" s="145"/>
      <c r="AJ207" s="499" t="str">
        <f>IF(AI207="","",IF(VLOOKUP(AI207,'G-7 Rivers Data'!$AA$4:$AB$7,2,FALSE)=0,"Spatial Data Missing ⚠",VLOOKUP(AI207,'G-7 Rivers Data'!$AA$4:$AB$7,2,FALSE)))</f>
        <v/>
      </c>
      <c r="AK207" s="155"/>
      <c r="AL207" s="536" t="str">
        <f>IF(AK207="","",IF(VLOOKUP(AK207,'G-7 Rivers Data'!$AD$4:$AE$8,2,FALSE)=0,"Spatial Data Missing ⚠",VLOOKUP(AK207,'G-7 Rivers Data'!$AD$4:$AE$8,2,FALSE)))</f>
        <v/>
      </c>
      <c r="AM207" s="154"/>
      <c r="AN207" s="524" t="str">
        <f>IF(AM207="","",VLOOKUP(AM207,'G-7 Rivers Data'!$AO$4:$AP$7,2,FALSE))</f>
        <v/>
      </c>
      <c r="AO207" s="545" t="str">
        <f t="shared" si="31"/>
        <v/>
      </c>
      <c r="AP207" s="149"/>
      <c r="AQ207" s="150"/>
      <c r="AX207" s="31" t="str">
        <f>IFERROR(INDEX('G-7 Rivers Data'!$AZ$3:$AZ$7,MATCH(N207,'G-7 Rivers Data'!$AY$3:$AY$7,0)),"")</f>
        <v/>
      </c>
    </row>
    <row r="208" spans="2:50" ht="13.8" x14ac:dyDescent="0.25">
      <c r="B208" s="531" t="str">
        <f>'F-1 Off Site River Baseline'!AN206</f>
        <v/>
      </c>
      <c r="C208" s="520" t="str">
        <f>IF(B208="","",VLOOKUP($B208,'F-1 Off Site River Baseline'!$C$9:$R$257,2,FALSE))</f>
        <v/>
      </c>
      <c r="D208" s="520" t="str">
        <f>IF(C208="","",VLOOKUP($B208,'F-1 Off Site River Baseline'!$C$9:$R$257,3,FALSE))</f>
        <v/>
      </c>
      <c r="E208" s="520" t="str">
        <f>IF(D208="","",VLOOKUP($B208,'F-1 Off Site River Baseline'!$C$9:$R$257,4,FALSE))</f>
        <v/>
      </c>
      <c r="F208" s="520" t="str">
        <f>IF(E208="","",VLOOKUP($B208,'F-1 Off Site River Baseline'!$C$9:$R$257,5,FALSE))</f>
        <v/>
      </c>
      <c r="G208" s="520" t="str">
        <f>IF(F208="","",VLOOKUP($B208,'F-1 Off Site River Baseline'!$C$9:$R$257,6,FALSE))</f>
        <v/>
      </c>
      <c r="H208" s="520" t="str">
        <f>IF(G208="","",VLOOKUP($B208,'F-1 Off Site River Baseline'!$C$9:$R$257,7,FALSE))</f>
        <v/>
      </c>
      <c r="I208" s="520" t="str">
        <f>IF(H208="","",VLOOKUP($B208,'F-1 Off Site River Baseline'!$C$9:$R$257,8,FALSE))</f>
        <v/>
      </c>
      <c r="J208" s="520" t="str">
        <f>IF(I208="","",VLOOKUP($B208,'F-1 Off Site River Baseline'!$C$9:$R$257,9,FALSE))</f>
        <v/>
      </c>
      <c r="K208" s="520" t="str">
        <f>IF(J208="","",VLOOKUP($B208,'F-1 Off Site River Baseline'!$C$9:$R$257,10,FALSE))</f>
        <v/>
      </c>
      <c r="L208" s="520" t="str">
        <f>IF(B208="","",VLOOKUP($B208,'C-1 Site River Baseline'!$C$9:$R$257,15,FALSE))</f>
        <v/>
      </c>
      <c r="M208" s="524" t="str">
        <f>IF(L208="","",VLOOKUP($B208,'F-1 Off Site River Baseline'!$C$9:$R$257,16,FALSE))</f>
        <v/>
      </c>
      <c r="N208" s="418" t="str">
        <f t="shared" si="28"/>
        <v/>
      </c>
      <c r="O208" s="498" t="str">
        <f t="shared" si="29"/>
        <v/>
      </c>
      <c r="P208" s="499" t="str">
        <f>IF(C208="","",IF(AND(LEFT(C208,55)&lt;&gt;LEFT(N208,55),O208="High - High"),"Error - Not like for like ▲",IF(AND(F208=S208,H208&gt;U208),"Error - Can not reduce condition ▲",IF(AND(F208=S208,H208=U208,AJ208='F-1 Off Site River Baseline'!N206,'F-1 Off Site River Baseline'!P206=AL208),"Error - No enhancement ▲",IF(AND(C208&lt;&gt;N208,F208&lt;S208),"Lower Distinctiveness Habitat"&amp;" - "&amp;T208,G208&amp;" - "&amp;T208)))))</f>
        <v/>
      </c>
      <c r="Q208" s="505" t="str">
        <f>IF(N208="","",VLOOKUP(B208,'F-1 Off Site River Baseline'!$C$10:$AA$257,19,FALSE))</f>
        <v/>
      </c>
      <c r="R208" s="498" t="str">
        <f>IF(N208="","",VLOOKUP(N208,'G-7 Rivers Data'!$B$2:$G$8,2,FALSE))</f>
        <v/>
      </c>
      <c r="S208" s="499" t="str">
        <f>IFERROR(VLOOKUP(R208,'G-7 Rivers Data'!$C$4:$D$8,2,FALSE),"")</f>
        <v/>
      </c>
      <c r="T208" s="145"/>
      <c r="U208" s="499" t="str">
        <f>IFERROR(INDEX('G-7 Rivers Data'!$H$4:$L$8,MATCH(N208,'G-7 Rivers Data'!$B$4:$B$8,0),MATCH(T208,'G-7 Rivers Data'!$H$3:$L$3,0)),"")</f>
        <v/>
      </c>
      <c r="V208" s="154"/>
      <c r="W208" s="520" t="str">
        <f>IF(V208="","",IF(VLOOKUP(V208,'G-7 Rivers Data'!$AG$4:$AI$9,2,FALSE)=0,"Spatial Data Missing ⚠",VLOOKUP(V208,'G-7 Rivers Data'!$AG$4:$AI$9,2,FALSE)))</f>
        <v/>
      </c>
      <c r="X208" s="524" t="str">
        <f>IF(V208="","",IF(VLOOKUP(V208,'G-7 Rivers Data'!$AG$4:$AI$9,3,FALSE)=0,"Spatial Data Missing ⚠",VLOOKUP(V208,'G-7 Rivers Data'!$AG$4:$AI$9,3,FALSE)))</f>
        <v/>
      </c>
      <c r="Y208" s="537" t="str">
        <f>IFERROR(IF(OR(LEFT(P208,5)="Error ▲",LEFT(O208,5)="Error ▲"),"Check Data ⚠",IF(F208&lt;S208,'G-7 Rivers Data'!$R$3,INDEX('G-7 Rivers Data'!$U$5:$Y$9,MATCH(G208,'G-7 Rivers Data'!$T$5:$T$9,0),MATCH(T208,'G-7 Rivers Data'!$U$4:$Y$4,0)))),"")</f>
        <v/>
      </c>
      <c r="Z208" s="203"/>
      <c r="AA208" s="203"/>
      <c r="AB208" s="534" t="str">
        <f t="shared" si="24"/>
        <v/>
      </c>
      <c r="AC208" s="521" t="str">
        <f t="shared" si="25"/>
        <v/>
      </c>
      <c r="AD208" s="564" t="str">
        <f>IFERROR(IF(AC208="Check Data ⚠","Check Data ⚠",VLOOKUP(AC208,'G-4 Temporal multipliers'!$A$4:$C$37,3,FALSE)),"")</f>
        <v/>
      </c>
      <c r="AE208" s="537" t="str">
        <f>IF(N208="","",VLOOKUP(N208,'G-7 Rivers Data'!$B$4:$G$8,5,FALSE))</f>
        <v/>
      </c>
      <c r="AF208" s="520" t="str">
        <f t="shared" si="26"/>
        <v/>
      </c>
      <c r="AG208" s="520" t="str">
        <f t="shared" si="30"/>
        <v/>
      </c>
      <c r="AH208" s="524" t="str">
        <f t="shared" si="27"/>
        <v/>
      </c>
      <c r="AI208" s="145"/>
      <c r="AJ208" s="499" t="str">
        <f>IF(AI208="","",IF(VLOOKUP(AI208,'G-7 Rivers Data'!$AA$4:$AB$7,2,FALSE)=0,"Spatial Data Missing ⚠",VLOOKUP(AI208,'G-7 Rivers Data'!$AA$4:$AB$7,2,FALSE)))</f>
        <v/>
      </c>
      <c r="AK208" s="155"/>
      <c r="AL208" s="536" t="str">
        <f>IF(AK208="","",IF(VLOOKUP(AK208,'G-7 Rivers Data'!$AD$4:$AE$8,2,FALSE)=0,"Spatial Data Missing ⚠",VLOOKUP(AK208,'G-7 Rivers Data'!$AD$4:$AE$8,2,FALSE)))</f>
        <v/>
      </c>
      <c r="AM208" s="154"/>
      <c r="AN208" s="524" t="str">
        <f>IF(AM208="","",VLOOKUP(AM208,'G-7 Rivers Data'!$AO$4:$AP$7,2,FALSE))</f>
        <v/>
      </c>
      <c r="AO208" s="545" t="str">
        <f t="shared" si="31"/>
        <v/>
      </c>
      <c r="AP208" s="149"/>
      <c r="AQ208" s="150"/>
      <c r="AX208" s="31" t="str">
        <f>IFERROR(INDEX('G-7 Rivers Data'!$AZ$3:$AZ$7,MATCH(N208,'G-7 Rivers Data'!$AY$3:$AY$7,0)),"")</f>
        <v/>
      </c>
    </row>
    <row r="209" spans="2:50" ht="13.8" x14ac:dyDescent="0.25">
      <c r="B209" s="531" t="str">
        <f>'F-1 Off Site River Baseline'!AN207</f>
        <v/>
      </c>
      <c r="C209" s="520" t="str">
        <f>IF(B209="","",VLOOKUP($B209,'F-1 Off Site River Baseline'!$C$9:$R$257,2,FALSE))</f>
        <v/>
      </c>
      <c r="D209" s="520" t="str">
        <f>IF(C209="","",VLOOKUP($B209,'F-1 Off Site River Baseline'!$C$9:$R$257,3,FALSE))</f>
        <v/>
      </c>
      <c r="E209" s="520" t="str">
        <f>IF(D209="","",VLOOKUP($B209,'F-1 Off Site River Baseline'!$C$9:$R$257,4,FALSE))</f>
        <v/>
      </c>
      <c r="F209" s="520" t="str">
        <f>IF(E209="","",VLOOKUP($B209,'F-1 Off Site River Baseline'!$C$9:$R$257,5,FALSE))</f>
        <v/>
      </c>
      <c r="G209" s="520" t="str">
        <f>IF(F209="","",VLOOKUP($B209,'F-1 Off Site River Baseline'!$C$9:$R$257,6,FALSE))</f>
        <v/>
      </c>
      <c r="H209" s="520" t="str">
        <f>IF(G209="","",VLOOKUP($B209,'F-1 Off Site River Baseline'!$C$9:$R$257,7,FALSE))</f>
        <v/>
      </c>
      <c r="I209" s="520" t="str">
        <f>IF(H209="","",VLOOKUP($B209,'F-1 Off Site River Baseline'!$C$9:$R$257,8,FALSE))</f>
        <v/>
      </c>
      <c r="J209" s="520" t="str">
        <f>IF(I209="","",VLOOKUP($B209,'F-1 Off Site River Baseline'!$C$9:$R$257,9,FALSE))</f>
        <v/>
      </c>
      <c r="K209" s="520" t="str">
        <f>IF(J209="","",VLOOKUP($B209,'F-1 Off Site River Baseline'!$C$9:$R$257,10,FALSE))</f>
        <v/>
      </c>
      <c r="L209" s="520" t="str">
        <f>IF(B209="","",VLOOKUP($B209,'C-1 Site River Baseline'!$C$9:$R$257,15,FALSE))</f>
        <v/>
      </c>
      <c r="M209" s="524" t="str">
        <f>IF(L209="","",VLOOKUP($B209,'F-1 Off Site River Baseline'!$C$9:$R$257,16,FALSE))</f>
        <v/>
      </c>
      <c r="N209" s="418" t="str">
        <f t="shared" si="28"/>
        <v/>
      </c>
      <c r="O209" s="498" t="str">
        <f t="shared" si="29"/>
        <v/>
      </c>
      <c r="P209" s="499" t="str">
        <f>IF(C209="","",IF(AND(LEFT(C209,55)&lt;&gt;LEFT(N209,55),O209="High - High"),"Error - Not like for like ▲",IF(AND(F209=S209,H209&gt;U209),"Error - Can not reduce condition ▲",IF(AND(F209=S209,H209=U209,AJ209='F-1 Off Site River Baseline'!N207,'F-1 Off Site River Baseline'!P207=AL209),"Error - No enhancement ▲",IF(AND(C209&lt;&gt;N209,F209&lt;S209),"Lower Distinctiveness Habitat"&amp;" - "&amp;T209,G209&amp;" - "&amp;T209)))))</f>
        <v/>
      </c>
      <c r="Q209" s="505" t="str">
        <f>IF(N209="","",VLOOKUP(B209,'F-1 Off Site River Baseline'!$C$10:$AA$257,19,FALSE))</f>
        <v/>
      </c>
      <c r="R209" s="498" t="str">
        <f>IF(N209="","",VLOOKUP(N209,'G-7 Rivers Data'!$B$2:$G$8,2,FALSE))</f>
        <v/>
      </c>
      <c r="S209" s="499" t="str">
        <f>IFERROR(VLOOKUP(R209,'G-7 Rivers Data'!$C$4:$D$8,2,FALSE),"")</f>
        <v/>
      </c>
      <c r="T209" s="145"/>
      <c r="U209" s="499" t="str">
        <f>IFERROR(INDEX('G-7 Rivers Data'!$H$4:$L$8,MATCH(N209,'G-7 Rivers Data'!$B$4:$B$8,0),MATCH(T209,'G-7 Rivers Data'!$H$3:$L$3,0)),"")</f>
        <v/>
      </c>
      <c r="V209" s="154"/>
      <c r="W209" s="520" t="str">
        <f>IF(V209="","",IF(VLOOKUP(V209,'G-7 Rivers Data'!$AG$4:$AI$9,2,FALSE)=0,"Spatial Data Missing ⚠",VLOOKUP(V209,'G-7 Rivers Data'!$AG$4:$AI$9,2,FALSE)))</f>
        <v/>
      </c>
      <c r="X209" s="524" t="str">
        <f>IF(V209="","",IF(VLOOKUP(V209,'G-7 Rivers Data'!$AG$4:$AI$9,3,FALSE)=0,"Spatial Data Missing ⚠",VLOOKUP(V209,'G-7 Rivers Data'!$AG$4:$AI$9,3,FALSE)))</f>
        <v/>
      </c>
      <c r="Y209" s="537" t="str">
        <f>IFERROR(IF(OR(LEFT(P209,5)="Error ▲",LEFT(O209,5)="Error ▲"),"Check Data ⚠",IF(F209&lt;S209,'G-7 Rivers Data'!$R$3,INDEX('G-7 Rivers Data'!$U$5:$Y$9,MATCH(G209,'G-7 Rivers Data'!$T$5:$T$9,0),MATCH(T209,'G-7 Rivers Data'!$U$4:$Y$4,0)))),"")</f>
        <v/>
      </c>
      <c r="Z209" s="203"/>
      <c r="AA209" s="203"/>
      <c r="AB209" s="534" t="str">
        <f t="shared" si="24"/>
        <v/>
      </c>
      <c r="AC209" s="521" t="str">
        <f t="shared" si="25"/>
        <v/>
      </c>
      <c r="AD209" s="564" t="str">
        <f>IFERROR(IF(AC209="Check Data ⚠","Check Data ⚠",VLOOKUP(AC209,'G-4 Temporal multipliers'!$A$4:$C$37,3,FALSE)),"")</f>
        <v/>
      </c>
      <c r="AE209" s="537" t="str">
        <f>IF(N209="","",VLOOKUP(N209,'G-7 Rivers Data'!$B$4:$G$8,5,FALSE))</f>
        <v/>
      </c>
      <c r="AF209" s="520" t="str">
        <f t="shared" si="26"/>
        <v/>
      </c>
      <c r="AG209" s="520" t="str">
        <f t="shared" si="30"/>
        <v/>
      </c>
      <c r="AH209" s="524" t="str">
        <f t="shared" si="27"/>
        <v/>
      </c>
      <c r="AI209" s="145"/>
      <c r="AJ209" s="499" t="str">
        <f>IF(AI209="","",IF(VLOOKUP(AI209,'G-7 Rivers Data'!$AA$4:$AB$7,2,FALSE)=0,"Spatial Data Missing ⚠",VLOOKUP(AI209,'G-7 Rivers Data'!$AA$4:$AB$7,2,FALSE)))</f>
        <v/>
      </c>
      <c r="AK209" s="155"/>
      <c r="AL209" s="536" t="str">
        <f>IF(AK209="","",IF(VLOOKUP(AK209,'G-7 Rivers Data'!$AD$4:$AE$8,2,FALSE)=0,"Spatial Data Missing ⚠",VLOOKUP(AK209,'G-7 Rivers Data'!$AD$4:$AE$8,2,FALSE)))</f>
        <v/>
      </c>
      <c r="AM209" s="154"/>
      <c r="AN209" s="524" t="str">
        <f>IF(AM209="","",VLOOKUP(AM209,'G-7 Rivers Data'!$AO$4:$AP$7,2,FALSE))</f>
        <v/>
      </c>
      <c r="AO209" s="545" t="str">
        <f t="shared" si="31"/>
        <v/>
      </c>
      <c r="AP209" s="149"/>
      <c r="AQ209" s="150"/>
      <c r="AX209" s="31" t="str">
        <f>IFERROR(INDEX('G-7 Rivers Data'!$AZ$3:$AZ$7,MATCH(N209,'G-7 Rivers Data'!$AY$3:$AY$7,0)),"")</f>
        <v/>
      </c>
    </row>
    <row r="210" spans="2:50" ht="13.8" x14ac:dyDescent="0.25">
      <c r="B210" s="531" t="str">
        <f>'F-1 Off Site River Baseline'!AN208</f>
        <v/>
      </c>
      <c r="C210" s="520" t="str">
        <f>IF(B210="","",VLOOKUP($B210,'F-1 Off Site River Baseline'!$C$9:$R$257,2,FALSE))</f>
        <v/>
      </c>
      <c r="D210" s="520" t="str">
        <f>IF(C210="","",VLOOKUP($B210,'F-1 Off Site River Baseline'!$C$9:$R$257,3,FALSE))</f>
        <v/>
      </c>
      <c r="E210" s="520" t="str">
        <f>IF(D210="","",VLOOKUP($B210,'F-1 Off Site River Baseline'!$C$9:$R$257,4,FALSE))</f>
        <v/>
      </c>
      <c r="F210" s="520" t="str">
        <f>IF(E210="","",VLOOKUP($B210,'F-1 Off Site River Baseline'!$C$9:$R$257,5,FALSE))</f>
        <v/>
      </c>
      <c r="G210" s="520" t="str">
        <f>IF(F210="","",VLOOKUP($B210,'F-1 Off Site River Baseline'!$C$9:$R$257,6,FALSE))</f>
        <v/>
      </c>
      <c r="H210" s="520" t="str">
        <f>IF(G210="","",VLOOKUP($B210,'F-1 Off Site River Baseline'!$C$9:$R$257,7,FALSE))</f>
        <v/>
      </c>
      <c r="I210" s="520" t="str">
        <f>IF(H210="","",VLOOKUP($B210,'F-1 Off Site River Baseline'!$C$9:$R$257,8,FALSE))</f>
        <v/>
      </c>
      <c r="J210" s="520" t="str">
        <f>IF(I210="","",VLOOKUP($B210,'F-1 Off Site River Baseline'!$C$9:$R$257,9,FALSE))</f>
        <v/>
      </c>
      <c r="K210" s="520" t="str">
        <f>IF(J210="","",VLOOKUP($B210,'F-1 Off Site River Baseline'!$C$9:$R$257,10,FALSE))</f>
        <v/>
      </c>
      <c r="L210" s="520" t="str">
        <f>IF(B210="","",VLOOKUP($B210,'C-1 Site River Baseline'!$C$9:$R$257,15,FALSE))</f>
        <v/>
      </c>
      <c r="M210" s="524" t="str">
        <f>IF(L210="","",VLOOKUP($B210,'F-1 Off Site River Baseline'!$C$9:$R$257,16,FALSE))</f>
        <v/>
      </c>
      <c r="N210" s="418" t="str">
        <f t="shared" si="28"/>
        <v/>
      </c>
      <c r="O210" s="498" t="str">
        <f t="shared" si="29"/>
        <v/>
      </c>
      <c r="P210" s="499" t="str">
        <f>IF(C210="","",IF(AND(LEFT(C210,55)&lt;&gt;LEFT(N210,55),O210="High - High"),"Error - Not like for like ▲",IF(AND(F210=S210,H210&gt;U210),"Error - Can not reduce condition ▲",IF(AND(F210=S210,H210=U210,AJ210='F-1 Off Site River Baseline'!N208,'F-1 Off Site River Baseline'!P208=AL210),"Error - No enhancement ▲",IF(AND(C210&lt;&gt;N210,F210&lt;S210),"Lower Distinctiveness Habitat"&amp;" - "&amp;T210,G210&amp;" - "&amp;T210)))))</f>
        <v/>
      </c>
      <c r="Q210" s="505" t="str">
        <f>IF(N210="","",VLOOKUP(B210,'F-1 Off Site River Baseline'!$C$10:$AA$257,19,FALSE))</f>
        <v/>
      </c>
      <c r="R210" s="498" t="str">
        <f>IF(N210="","",VLOOKUP(N210,'G-7 Rivers Data'!$B$2:$G$8,2,FALSE))</f>
        <v/>
      </c>
      <c r="S210" s="499" t="str">
        <f>IFERROR(VLOOKUP(R210,'G-7 Rivers Data'!$C$4:$D$8,2,FALSE),"")</f>
        <v/>
      </c>
      <c r="T210" s="145"/>
      <c r="U210" s="499" t="str">
        <f>IFERROR(INDEX('G-7 Rivers Data'!$H$4:$L$8,MATCH(N210,'G-7 Rivers Data'!$B$4:$B$8,0),MATCH(T210,'G-7 Rivers Data'!$H$3:$L$3,0)),"")</f>
        <v/>
      </c>
      <c r="V210" s="154"/>
      <c r="W210" s="520" t="str">
        <f>IF(V210="","",IF(VLOOKUP(V210,'G-7 Rivers Data'!$AG$4:$AI$9,2,FALSE)=0,"Spatial Data Missing ⚠",VLOOKUP(V210,'G-7 Rivers Data'!$AG$4:$AI$9,2,FALSE)))</f>
        <v/>
      </c>
      <c r="X210" s="524" t="str">
        <f>IF(V210="","",IF(VLOOKUP(V210,'G-7 Rivers Data'!$AG$4:$AI$9,3,FALSE)=0,"Spatial Data Missing ⚠",VLOOKUP(V210,'G-7 Rivers Data'!$AG$4:$AI$9,3,FALSE)))</f>
        <v/>
      </c>
      <c r="Y210" s="537" t="str">
        <f>IFERROR(IF(OR(LEFT(P210,5)="Error ▲",LEFT(O210,5)="Error ▲"),"Check Data ⚠",IF(F210&lt;S210,'G-7 Rivers Data'!$R$3,INDEX('G-7 Rivers Data'!$U$5:$Y$9,MATCH(G210,'G-7 Rivers Data'!$T$5:$T$9,0),MATCH(T210,'G-7 Rivers Data'!$U$4:$Y$4,0)))),"")</f>
        <v/>
      </c>
      <c r="Z210" s="203"/>
      <c r="AA210" s="203"/>
      <c r="AB210" s="534" t="str">
        <f t="shared" si="24"/>
        <v/>
      </c>
      <c r="AC210" s="521" t="str">
        <f t="shared" si="25"/>
        <v/>
      </c>
      <c r="AD210" s="564" t="str">
        <f>IFERROR(IF(AC210="Check Data ⚠","Check Data ⚠",VLOOKUP(AC210,'G-4 Temporal multipliers'!$A$4:$C$37,3,FALSE)),"")</f>
        <v/>
      </c>
      <c r="AE210" s="537" t="str">
        <f>IF(N210="","",VLOOKUP(N210,'G-7 Rivers Data'!$B$4:$G$8,5,FALSE))</f>
        <v/>
      </c>
      <c r="AF210" s="520" t="str">
        <f t="shared" si="26"/>
        <v/>
      </c>
      <c r="AG210" s="520" t="str">
        <f t="shared" si="30"/>
        <v/>
      </c>
      <c r="AH210" s="524" t="str">
        <f t="shared" si="27"/>
        <v/>
      </c>
      <c r="AI210" s="145"/>
      <c r="AJ210" s="499" t="str">
        <f>IF(AI210="","",IF(VLOOKUP(AI210,'G-7 Rivers Data'!$AA$4:$AB$7,2,FALSE)=0,"Spatial Data Missing ⚠",VLOOKUP(AI210,'G-7 Rivers Data'!$AA$4:$AB$7,2,FALSE)))</f>
        <v/>
      </c>
      <c r="AK210" s="155"/>
      <c r="AL210" s="536" t="str">
        <f>IF(AK210="","",IF(VLOOKUP(AK210,'G-7 Rivers Data'!$AD$4:$AE$8,2,FALSE)=0,"Spatial Data Missing ⚠",VLOOKUP(AK210,'G-7 Rivers Data'!$AD$4:$AE$8,2,FALSE)))</f>
        <v/>
      </c>
      <c r="AM210" s="154"/>
      <c r="AN210" s="524" t="str">
        <f>IF(AM210="","",VLOOKUP(AM210,'G-7 Rivers Data'!$AO$4:$AP$7,2,FALSE))</f>
        <v/>
      </c>
      <c r="AO210" s="545" t="str">
        <f t="shared" si="31"/>
        <v/>
      </c>
      <c r="AP210" s="149"/>
      <c r="AQ210" s="150"/>
      <c r="AX210" s="31" t="str">
        <f>IFERROR(INDEX('G-7 Rivers Data'!$AZ$3:$AZ$7,MATCH(N210,'G-7 Rivers Data'!$AY$3:$AY$7,0)),"")</f>
        <v/>
      </c>
    </row>
    <row r="211" spans="2:50" ht="13.8" x14ac:dyDescent="0.25">
      <c r="B211" s="531" t="str">
        <f>'F-1 Off Site River Baseline'!AN209</f>
        <v/>
      </c>
      <c r="C211" s="520" t="str">
        <f>IF(B211="","",VLOOKUP($B211,'F-1 Off Site River Baseline'!$C$9:$R$257,2,FALSE))</f>
        <v/>
      </c>
      <c r="D211" s="520" t="str">
        <f>IF(C211="","",VLOOKUP($B211,'F-1 Off Site River Baseline'!$C$9:$R$257,3,FALSE))</f>
        <v/>
      </c>
      <c r="E211" s="520" t="str">
        <f>IF(D211="","",VLOOKUP($B211,'F-1 Off Site River Baseline'!$C$9:$R$257,4,FALSE))</f>
        <v/>
      </c>
      <c r="F211" s="520" t="str">
        <f>IF(E211="","",VLOOKUP($B211,'F-1 Off Site River Baseline'!$C$9:$R$257,5,FALSE))</f>
        <v/>
      </c>
      <c r="G211" s="520" t="str">
        <f>IF(F211="","",VLOOKUP($B211,'F-1 Off Site River Baseline'!$C$9:$R$257,6,FALSE))</f>
        <v/>
      </c>
      <c r="H211" s="520" t="str">
        <f>IF(G211="","",VLOOKUP($B211,'F-1 Off Site River Baseline'!$C$9:$R$257,7,FALSE))</f>
        <v/>
      </c>
      <c r="I211" s="520" t="str">
        <f>IF(H211="","",VLOOKUP($B211,'F-1 Off Site River Baseline'!$C$9:$R$257,8,FALSE))</f>
        <v/>
      </c>
      <c r="J211" s="520" t="str">
        <f>IF(I211="","",VLOOKUP($B211,'F-1 Off Site River Baseline'!$C$9:$R$257,9,FALSE))</f>
        <v/>
      </c>
      <c r="K211" s="520" t="str">
        <f>IF(J211="","",VLOOKUP($B211,'F-1 Off Site River Baseline'!$C$9:$R$257,10,FALSE))</f>
        <v/>
      </c>
      <c r="L211" s="520" t="str">
        <f>IF(B211="","",VLOOKUP($B211,'C-1 Site River Baseline'!$C$9:$R$257,15,FALSE))</f>
        <v/>
      </c>
      <c r="M211" s="524" t="str">
        <f>IF(L211="","",VLOOKUP($B211,'F-1 Off Site River Baseline'!$C$9:$R$257,16,FALSE))</f>
        <v/>
      </c>
      <c r="N211" s="418" t="str">
        <f t="shared" si="28"/>
        <v/>
      </c>
      <c r="O211" s="498" t="str">
        <f t="shared" si="29"/>
        <v/>
      </c>
      <c r="P211" s="499" t="str">
        <f>IF(C211="","",IF(AND(LEFT(C211,55)&lt;&gt;LEFT(N211,55),O211="High - High"),"Error - Not like for like ▲",IF(AND(F211=S211,H211&gt;U211),"Error - Can not reduce condition ▲",IF(AND(F211=S211,H211=U211,AJ211='F-1 Off Site River Baseline'!N209,'F-1 Off Site River Baseline'!P209=AL211),"Error - No enhancement ▲",IF(AND(C211&lt;&gt;N211,F211&lt;S211),"Lower Distinctiveness Habitat"&amp;" - "&amp;T211,G211&amp;" - "&amp;T211)))))</f>
        <v/>
      </c>
      <c r="Q211" s="505" t="str">
        <f>IF(N211="","",VLOOKUP(B211,'F-1 Off Site River Baseline'!$C$10:$AA$257,19,FALSE))</f>
        <v/>
      </c>
      <c r="R211" s="498" t="str">
        <f>IF(N211="","",VLOOKUP(N211,'G-7 Rivers Data'!$B$2:$G$8,2,FALSE))</f>
        <v/>
      </c>
      <c r="S211" s="499" t="str">
        <f>IFERROR(VLOOKUP(R211,'G-7 Rivers Data'!$C$4:$D$8,2,FALSE),"")</f>
        <v/>
      </c>
      <c r="T211" s="145"/>
      <c r="U211" s="499" t="str">
        <f>IFERROR(INDEX('G-7 Rivers Data'!$H$4:$L$8,MATCH(N211,'G-7 Rivers Data'!$B$4:$B$8,0),MATCH(T211,'G-7 Rivers Data'!$H$3:$L$3,0)),"")</f>
        <v/>
      </c>
      <c r="V211" s="154"/>
      <c r="W211" s="520" t="str">
        <f>IF(V211="","",IF(VLOOKUP(V211,'G-7 Rivers Data'!$AG$4:$AI$9,2,FALSE)=0,"Spatial Data Missing ⚠",VLOOKUP(V211,'G-7 Rivers Data'!$AG$4:$AI$9,2,FALSE)))</f>
        <v/>
      </c>
      <c r="X211" s="524" t="str">
        <f>IF(V211="","",IF(VLOOKUP(V211,'G-7 Rivers Data'!$AG$4:$AI$9,3,FALSE)=0,"Spatial Data Missing ⚠",VLOOKUP(V211,'G-7 Rivers Data'!$AG$4:$AI$9,3,FALSE)))</f>
        <v/>
      </c>
      <c r="Y211" s="537" t="str">
        <f>IFERROR(IF(OR(LEFT(P211,5)="Error ▲",LEFT(O211,5)="Error ▲"),"Check Data ⚠",IF(F211&lt;S211,'G-7 Rivers Data'!$R$3,INDEX('G-7 Rivers Data'!$U$5:$Y$9,MATCH(G211,'G-7 Rivers Data'!$T$5:$T$9,0),MATCH(T211,'G-7 Rivers Data'!$U$4:$Y$4,0)))),"")</f>
        <v/>
      </c>
      <c r="Z211" s="203"/>
      <c r="AA211" s="203"/>
      <c r="AB211" s="534" t="str">
        <f t="shared" si="24"/>
        <v/>
      </c>
      <c r="AC211" s="521" t="str">
        <f t="shared" si="25"/>
        <v/>
      </c>
      <c r="AD211" s="564" t="str">
        <f>IFERROR(IF(AC211="Check Data ⚠","Check Data ⚠",VLOOKUP(AC211,'G-4 Temporal multipliers'!$A$4:$C$37,3,FALSE)),"")</f>
        <v/>
      </c>
      <c r="AE211" s="537" t="str">
        <f>IF(N211="","",VLOOKUP(N211,'G-7 Rivers Data'!$B$4:$G$8,5,FALSE))</f>
        <v/>
      </c>
      <c r="AF211" s="520" t="str">
        <f t="shared" si="26"/>
        <v/>
      </c>
      <c r="AG211" s="520" t="str">
        <f t="shared" si="30"/>
        <v/>
      </c>
      <c r="AH211" s="524" t="str">
        <f t="shared" si="27"/>
        <v/>
      </c>
      <c r="AI211" s="145"/>
      <c r="AJ211" s="499" t="str">
        <f>IF(AI211="","",IF(VLOOKUP(AI211,'G-7 Rivers Data'!$AA$4:$AB$7,2,FALSE)=0,"Spatial Data Missing ⚠",VLOOKUP(AI211,'G-7 Rivers Data'!$AA$4:$AB$7,2,FALSE)))</f>
        <v/>
      </c>
      <c r="AK211" s="155"/>
      <c r="AL211" s="536" t="str">
        <f>IF(AK211="","",IF(VLOOKUP(AK211,'G-7 Rivers Data'!$AD$4:$AE$8,2,FALSE)=0,"Spatial Data Missing ⚠",VLOOKUP(AK211,'G-7 Rivers Data'!$AD$4:$AE$8,2,FALSE)))</f>
        <v/>
      </c>
      <c r="AM211" s="154"/>
      <c r="AN211" s="524" t="str">
        <f>IF(AM211="","",VLOOKUP(AM211,'G-7 Rivers Data'!$AO$4:$AP$7,2,FALSE))</f>
        <v/>
      </c>
      <c r="AO211" s="545" t="str">
        <f t="shared" si="31"/>
        <v/>
      </c>
      <c r="AP211" s="149"/>
      <c r="AQ211" s="150"/>
      <c r="AX211" s="31" t="str">
        <f>IFERROR(INDEX('G-7 Rivers Data'!$AZ$3:$AZ$7,MATCH(N211,'G-7 Rivers Data'!$AY$3:$AY$7,0)),"")</f>
        <v/>
      </c>
    </row>
    <row r="212" spans="2:50" ht="13.8" x14ac:dyDescent="0.25">
      <c r="B212" s="531" t="str">
        <f>'F-1 Off Site River Baseline'!AN210</f>
        <v/>
      </c>
      <c r="C212" s="520" t="str">
        <f>IF(B212="","",VLOOKUP($B212,'F-1 Off Site River Baseline'!$C$9:$R$257,2,FALSE))</f>
        <v/>
      </c>
      <c r="D212" s="520" t="str">
        <f>IF(C212="","",VLOOKUP($B212,'F-1 Off Site River Baseline'!$C$9:$R$257,3,FALSE))</f>
        <v/>
      </c>
      <c r="E212" s="520" t="str">
        <f>IF(D212="","",VLOOKUP($B212,'F-1 Off Site River Baseline'!$C$9:$R$257,4,FALSE))</f>
        <v/>
      </c>
      <c r="F212" s="520" t="str">
        <f>IF(E212="","",VLOOKUP($B212,'F-1 Off Site River Baseline'!$C$9:$R$257,5,FALSE))</f>
        <v/>
      </c>
      <c r="G212" s="520" t="str">
        <f>IF(F212="","",VLOOKUP($B212,'F-1 Off Site River Baseline'!$C$9:$R$257,6,FALSE))</f>
        <v/>
      </c>
      <c r="H212" s="520" t="str">
        <f>IF(G212="","",VLOOKUP($B212,'F-1 Off Site River Baseline'!$C$9:$R$257,7,FALSE))</f>
        <v/>
      </c>
      <c r="I212" s="520" t="str">
        <f>IF(H212="","",VLOOKUP($B212,'F-1 Off Site River Baseline'!$C$9:$R$257,8,FALSE))</f>
        <v/>
      </c>
      <c r="J212" s="520" t="str">
        <f>IF(I212="","",VLOOKUP($B212,'F-1 Off Site River Baseline'!$C$9:$R$257,9,FALSE))</f>
        <v/>
      </c>
      <c r="K212" s="520" t="str">
        <f>IF(J212="","",VLOOKUP($B212,'F-1 Off Site River Baseline'!$C$9:$R$257,10,FALSE))</f>
        <v/>
      </c>
      <c r="L212" s="520" t="str">
        <f>IF(B212="","",VLOOKUP($B212,'C-1 Site River Baseline'!$C$9:$R$257,15,FALSE))</f>
        <v/>
      </c>
      <c r="M212" s="524" t="str">
        <f>IF(L212="","",VLOOKUP($B212,'F-1 Off Site River Baseline'!$C$9:$R$257,16,FALSE))</f>
        <v/>
      </c>
      <c r="N212" s="418" t="str">
        <f t="shared" si="28"/>
        <v/>
      </c>
      <c r="O212" s="498" t="str">
        <f t="shared" si="29"/>
        <v/>
      </c>
      <c r="P212" s="499" t="str">
        <f>IF(C212="","",IF(AND(LEFT(C212,55)&lt;&gt;LEFT(N212,55),O212="High - High"),"Error - Not like for like ▲",IF(AND(F212=S212,H212&gt;U212),"Error - Can not reduce condition ▲",IF(AND(F212=S212,H212=U212,AJ212='F-1 Off Site River Baseline'!N210,'F-1 Off Site River Baseline'!P210=AL212),"Error - No enhancement ▲",IF(AND(C212&lt;&gt;N212,F212&lt;S212),"Lower Distinctiveness Habitat"&amp;" - "&amp;T212,G212&amp;" - "&amp;T212)))))</f>
        <v/>
      </c>
      <c r="Q212" s="505" t="str">
        <f>IF(N212="","",VLOOKUP(B212,'F-1 Off Site River Baseline'!$C$10:$AA$257,19,FALSE))</f>
        <v/>
      </c>
      <c r="R212" s="498" t="str">
        <f>IF(N212="","",VLOOKUP(N212,'G-7 Rivers Data'!$B$2:$G$8,2,FALSE))</f>
        <v/>
      </c>
      <c r="S212" s="499" t="str">
        <f>IFERROR(VLOOKUP(R212,'G-7 Rivers Data'!$C$4:$D$8,2,FALSE),"")</f>
        <v/>
      </c>
      <c r="T212" s="145"/>
      <c r="U212" s="499" t="str">
        <f>IFERROR(INDEX('G-7 Rivers Data'!$H$4:$L$8,MATCH(N212,'G-7 Rivers Data'!$B$4:$B$8,0),MATCH(T212,'G-7 Rivers Data'!$H$3:$L$3,0)),"")</f>
        <v/>
      </c>
      <c r="V212" s="154"/>
      <c r="W212" s="520" t="str">
        <f>IF(V212="","",IF(VLOOKUP(V212,'G-7 Rivers Data'!$AG$4:$AI$9,2,FALSE)=0,"Spatial Data Missing ⚠",VLOOKUP(V212,'G-7 Rivers Data'!$AG$4:$AI$9,2,FALSE)))</f>
        <v/>
      </c>
      <c r="X212" s="524" t="str">
        <f>IF(V212="","",IF(VLOOKUP(V212,'G-7 Rivers Data'!$AG$4:$AI$9,3,FALSE)=0,"Spatial Data Missing ⚠",VLOOKUP(V212,'G-7 Rivers Data'!$AG$4:$AI$9,3,FALSE)))</f>
        <v/>
      </c>
      <c r="Y212" s="537" t="str">
        <f>IFERROR(IF(OR(LEFT(P212,5)="Error ▲",LEFT(O212,5)="Error ▲"),"Check Data ⚠",IF(F212&lt;S212,'G-7 Rivers Data'!$R$3,INDEX('G-7 Rivers Data'!$U$5:$Y$9,MATCH(G212,'G-7 Rivers Data'!$T$5:$T$9,0),MATCH(T212,'G-7 Rivers Data'!$U$4:$Y$4,0)))),"")</f>
        <v/>
      </c>
      <c r="Z212" s="203"/>
      <c r="AA212" s="203"/>
      <c r="AB212" s="534" t="str">
        <f t="shared" si="24"/>
        <v/>
      </c>
      <c r="AC212" s="521" t="str">
        <f t="shared" si="25"/>
        <v/>
      </c>
      <c r="AD212" s="564" t="str">
        <f>IFERROR(IF(AC212="Check Data ⚠","Check Data ⚠",VLOOKUP(AC212,'G-4 Temporal multipliers'!$A$4:$C$37,3,FALSE)),"")</f>
        <v/>
      </c>
      <c r="AE212" s="537" t="str">
        <f>IF(N212="","",VLOOKUP(N212,'G-7 Rivers Data'!$B$4:$G$8,5,FALSE))</f>
        <v/>
      </c>
      <c r="AF212" s="520" t="str">
        <f t="shared" si="26"/>
        <v/>
      </c>
      <c r="AG212" s="520" t="str">
        <f t="shared" si="30"/>
        <v/>
      </c>
      <c r="AH212" s="524" t="str">
        <f t="shared" si="27"/>
        <v/>
      </c>
      <c r="AI212" s="145"/>
      <c r="AJ212" s="499" t="str">
        <f>IF(AI212="","",IF(VLOOKUP(AI212,'G-7 Rivers Data'!$AA$4:$AB$7,2,FALSE)=0,"Spatial Data Missing ⚠",VLOOKUP(AI212,'G-7 Rivers Data'!$AA$4:$AB$7,2,FALSE)))</f>
        <v/>
      </c>
      <c r="AK212" s="155"/>
      <c r="AL212" s="536" t="str">
        <f>IF(AK212="","",IF(VLOOKUP(AK212,'G-7 Rivers Data'!$AD$4:$AE$8,2,FALSE)=0,"Spatial Data Missing ⚠",VLOOKUP(AK212,'G-7 Rivers Data'!$AD$4:$AE$8,2,FALSE)))</f>
        <v/>
      </c>
      <c r="AM212" s="154"/>
      <c r="AN212" s="524" t="str">
        <f>IF(AM212="","",VLOOKUP(AM212,'G-7 Rivers Data'!$AO$4:$AP$7,2,FALSE))</f>
        <v/>
      </c>
      <c r="AO212" s="545" t="str">
        <f t="shared" si="31"/>
        <v/>
      </c>
      <c r="AP212" s="149"/>
      <c r="AQ212" s="150"/>
      <c r="AX212" s="31" t="str">
        <f>IFERROR(INDEX('G-7 Rivers Data'!$AZ$3:$AZ$7,MATCH(N212,'G-7 Rivers Data'!$AY$3:$AY$7,0)),"")</f>
        <v/>
      </c>
    </row>
    <row r="213" spans="2:50" ht="13.8" x14ac:dyDescent="0.25">
      <c r="B213" s="531" t="str">
        <f>'F-1 Off Site River Baseline'!AN211</f>
        <v/>
      </c>
      <c r="C213" s="520" t="str">
        <f>IF(B213="","",VLOOKUP($B213,'F-1 Off Site River Baseline'!$C$9:$R$257,2,FALSE))</f>
        <v/>
      </c>
      <c r="D213" s="520" t="str">
        <f>IF(C213="","",VLOOKUP($B213,'F-1 Off Site River Baseline'!$C$9:$R$257,3,FALSE))</f>
        <v/>
      </c>
      <c r="E213" s="520" t="str">
        <f>IF(D213="","",VLOOKUP($B213,'F-1 Off Site River Baseline'!$C$9:$R$257,4,FALSE))</f>
        <v/>
      </c>
      <c r="F213" s="520" t="str">
        <f>IF(E213="","",VLOOKUP($B213,'F-1 Off Site River Baseline'!$C$9:$R$257,5,FALSE))</f>
        <v/>
      </c>
      <c r="G213" s="520" t="str">
        <f>IF(F213="","",VLOOKUP($B213,'F-1 Off Site River Baseline'!$C$9:$R$257,6,FALSE))</f>
        <v/>
      </c>
      <c r="H213" s="520" t="str">
        <f>IF(G213="","",VLOOKUP($B213,'F-1 Off Site River Baseline'!$C$9:$R$257,7,FALSE))</f>
        <v/>
      </c>
      <c r="I213" s="520" t="str">
        <f>IF(H213="","",VLOOKUP($B213,'F-1 Off Site River Baseline'!$C$9:$R$257,8,FALSE))</f>
        <v/>
      </c>
      <c r="J213" s="520" t="str">
        <f>IF(I213="","",VLOOKUP($B213,'F-1 Off Site River Baseline'!$C$9:$R$257,9,FALSE))</f>
        <v/>
      </c>
      <c r="K213" s="520" t="str">
        <f>IF(J213="","",VLOOKUP($B213,'F-1 Off Site River Baseline'!$C$9:$R$257,10,FALSE))</f>
        <v/>
      </c>
      <c r="L213" s="520" t="str">
        <f>IF(B213="","",VLOOKUP($B213,'C-1 Site River Baseline'!$C$9:$R$257,15,FALSE))</f>
        <v/>
      </c>
      <c r="M213" s="524" t="str">
        <f>IF(L213="","",VLOOKUP($B213,'F-1 Off Site River Baseline'!$C$9:$R$257,16,FALSE))</f>
        <v/>
      </c>
      <c r="N213" s="418" t="str">
        <f t="shared" si="28"/>
        <v/>
      </c>
      <c r="O213" s="498" t="str">
        <f t="shared" si="29"/>
        <v/>
      </c>
      <c r="P213" s="499" t="str">
        <f>IF(C213="","",IF(AND(LEFT(C213,55)&lt;&gt;LEFT(N213,55),O213="High - High"),"Error - Not like for like ▲",IF(AND(F213=S213,H213&gt;U213),"Error - Can not reduce condition ▲",IF(AND(F213=S213,H213=U213,AJ213='F-1 Off Site River Baseline'!N211,'F-1 Off Site River Baseline'!P211=AL213),"Error - No enhancement ▲",IF(AND(C213&lt;&gt;N213,F213&lt;S213),"Lower Distinctiveness Habitat"&amp;" - "&amp;T213,G213&amp;" - "&amp;T213)))))</f>
        <v/>
      </c>
      <c r="Q213" s="505" t="str">
        <f>IF(N213="","",VLOOKUP(B213,'F-1 Off Site River Baseline'!$C$10:$AA$257,19,FALSE))</f>
        <v/>
      </c>
      <c r="R213" s="498" t="str">
        <f>IF(N213="","",VLOOKUP(N213,'G-7 Rivers Data'!$B$2:$G$8,2,FALSE))</f>
        <v/>
      </c>
      <c r="S213" s="499" t="str">
        <f>IFERROR(VLOOKUP(R213,'G-7 Rivers Data'!$C$4:$D$8,2,FALSE),"")</f>
        <v/>
      </c>
      <c r="T213" s="145"/>
      <c r="U213" s="499" t="str">
        <f>IFERROR(INDEX('G-7 Rivers Data'!$H$4:$L$8,MATCH(N213,'G-7 Rivers Data'!$B$4:$B$8,0),MATCH(T213,'G-7 Rivers Data'!$H$3:$L$3,0)),"")</f>
        <v/>
      </c>
      <c r="V213" s="154"/>
      <c r="W213" s="520" t="str">
        <f>IF(V213="","",IF(VLOOKUP(V213,'G-7 Rivers Data'!$AG$4:$AI$9,2,FALSE)=0,"Spatial Data Missing ⚠",VLOOKUP(V213,'G-7 Rivers Data'!$AG$4:$AI$9,2,FALSE)))</f>
        <v/>
      </c>
      <c r="X213" s="524" t="str">
        <f>IF(V213="","",IF(VLOOKUP(V213,'G-7 Rivers Data'!$AG$4:$AI$9,3,FALSE)=0,"Spatial Data Missing ⚠",VLOOKUP(V213,'G-7 Rivers Data'!$AG$4:$AI$9,3,FALSE)))</f>
        <v/>
      </c>
      <c r="Y213" s="537" t="str">
        <f>IFERROR(IF(OR(LEFT(P213,5)="Error ▲",LEFT(O213,5)="Error ▲"),"Check Data ⚠",IF(F213&lt;S213,'G-7 Rivers Data'!$R$3,INDEX('G-7 Rivers Data'!$U$5:$Y$9,MATCH(G213,'G-7 Rivers Data'!$T$5:$T$9,0),MATCH(T213,'G-7 Rivers Data'!$U$4:$Y$4,0)))),"")</f>
        <v/>
      </c>
      <c r="Z213" s="203"/>
      <c r="AA213" s="203"/>
      <c r="AB213" s="534" t="str">
        <f t="shared" si="24"/>
        <v/>
      </c>
      <c r="AC213" s="521" t="str">
        <f t="shared" si="25"/>
        <v/>
      </c>
      <c r="AD213" s="564" t="str">
        <f>IFERROR(IF(AC213="Check Data ⚠","Check Data ⚠",VLOOKUP(AC213,'G-4 Temporal multipliers'!$A$4:$C$37,3,FALSE)),"")</f>
        <v/>
      </c>
      <c r="AE213" s="537" t="str">
        <f>IF(N213="","",VLOOKUP(N213,'G-7 Rivers Data'!$B$4:$G$8,5,FALSE))</f>
        <v/>
      </c>
      <c r="AF213" s="520" t="str">
        <f t="shared" si="26"/>
        <v/>
      </c>
      <c r="AG213" s="520" t="str">
        <f t="shared" si="30"/>
        <v/>
      </c>
      <c r="AH213" s="524" t="str">
        <f t="shared" si="27"/>
        <v/>
      </c>
      <c r="AI213" s="145"/>
      <c r="AJ213" s="499" t="str">
        <f>IF(AI213="","",IF(VLOOKUP(AI213,'G-7 Rivers Data'!$AA$4:$AB$7,2,FALSE)=0,"Spatial Data Missing ⚠",VLOOKUP(AI213,'G-7 Rivers Data'!$AA$4:$AB$7,2,FALSE)))</f>
        <v/>
      </c>
      <c r="AK213" s="155"/>
      <c r="AL213" s="536" t="str">
        <f>IF(AK213="","",IF(VLOOKUP(AK213,'G-7 Rivers Data'!$AD$4:$AE$8,2,FALSE)=0,"Spatial Data Missing ⚠",VLOOKUP(AK213,'G-7 Rivers Data'!$AD$4:$AE$8,2,FALSE)))</f>
        <v/>
      </c>
      <c r="AM213" s="154"/>
      <c r="AN213" s="524" t="str">
        <f>IF(AM213="","",VLOOKUP(AM213,'G-7 Rivers Data'!$AO$4:$AP$7,2,FALSE))</f>
        <v/>
      </c>
      <c r="AO213" s="545" t="str">
        <f t="shared" si="31"/>
        <v/>
      </c>
      <c r="AP213" s="149"/>
      <c r="AQ213" s="150"/>
      <c r="AX213" s="31" t="str">
        <f>IFERROR(INDEX('G-7 Rivers Data'!$AZ$3:$AZ$7,MATCH(N213,'G-7 Rivers Data'!$AY$3:$AY$7,0)),"")</f>
        <v/>
      </c>
    </row>
    <row r="214" spans="2:50" ht="13.8" x14ac:dyDescent="0.25">
      <c r="B214" s="531" t="str">
        <f>'F-1 Off Site River Baseline'!AN212</f>
        <v/>
      </c>
      <c r="C214" s="520" t="str">
        <f>IF(B214="","",VLOOKUP($B214,'F-1 Off Site River Baseline'!$C$9:$R$257,2,FALSE))</f>
        <v/>
      </c>
      <c r="D214" s="520" t="str">
        <f>IF(C214="","",VLOOKUP($B214,'F-1 Off Site River Baseline'!$C$9:$R$257,3,FALSE))</f>
        <v/>
      </c>
      <c r="E214" s="520" t="str">
        <f>IF(D214="","",VLOOKUP($B214,'F-1 Off Site River Baseline'!$C$9:$R$257,4,FALSE))</f>
        <v/>
      </c>
      <c r="F214" s="520" t="str">
        <f>IF(E214="","",VLOOKUP($B214,'F-1 Off Site River Baseline'!$C$9:$R$257,5,FALSE))</f>
        <v/>
      </c>
      <c r="G214" s="520" t="str">
        <f>IF(F214="","",VLOOKUP($B214,'F-1 Off Site River Baseline'!$C$9:$R$257,6,FALSE))</f>
        <v/>
      </c>
      <c r="H214" s="520" t="str">
        <f>IF(G214="","",VLOOKUP($B214,'F-1 Off Site River Baseline'!$C$9:$R$257,7,FALSE))</f>
        <v/>
      </c>
      <c r="I214" s="520" t="str">
        <f>IF(H214="","",VLOOKUP($B214,'F-1 Off Site River Baseline'!$C$9:$R$257,8,FALSE))</f>
        <v/>
      </c>
      <c r="J214" s="520" t="str">
        <f>IF(I214="","",VLOOKUP($B214,'F-1 Off Site River Baseline'!$C$9:$R$257,9,FALSE))</f>
        <v/>
      </c>
      <c r="K214" s="520" t="str">
        <f>IF(J214="","",VLOOKUP($B214,'F-1 Off Site River Baseline'!$C$9:$R$257,10,FALSE))</f>
        <v/>
      </c>
      <c r="L214" s="520" t="str">
        <f>IF(B214="","",VLOOKUP($B214,'C-1 Site River Baseline'!$C$9:$R$257,15,FALSE))</f>
        <v/>
      </c>
      <c r="M214" s="524" t="str">
        <f>IF(L214="","",VLOOKUP($B214,'F-1 Off Site River Baseline'!$C$9:$R$257,16,FALSE))</f>
        <v/>
      </c>
      <c r="N214" s="418" t="str">
        <f t="shared" si="28"/>
        <v/>
      </c>
      <c r="O214" s="498" t="str">
        <f t="shared" si="29"/>
        <v/>
      </c>
      <c r="P214" s="499" t="str">
        <f>IF(C214="","",IF(AND(LEFT(C214,55)&lt;&gt;LEFT(N214,55),O214="High - High"),"Error - Not like for like ▲",IF(AND(F214=S214,H214&gt;U214),"Error - Can not reduce condition ▲",IF(AND(F214=S214,H214=U214,AJ214='F-1 Off Site River Baseline'!N212,'F-1 Off Site River Baseline'!P212=AL214),"Error - No enhancement ▲",IF(AND(C214&lt;&gt;N214,F214&lt;S214),"Lower Distinctiveness Habitat"&amp;" - "&amp;T214,G214&amp;" - "&amp;T214)))))</f>
        <v/>
      </c>
      <c r="Q214" s="505" t="str">
        <f>IF(N214="","",VLOOKUP(B214,'F-1 Off Site River Baseline'!$C$10:$AA$257,19,FALSE))</f>
        <v/>
      </c>
      <c r="R214" s="498" t="str">
        <f>IF(N214="","",VLOOKUP(N214,'G-7 Rivers Data'!$B$2:$G$8,2,FALSE))</f>
        <v/>
      </c>
      <c r="S214" s="499" t="str">
        <f>IFERROR(VLOOKUP(R214,'G-7 Rivers Data'!$C$4:$D$8,2,FALSE),"")</f>
        <v/>
      </c>
      <c r="T214" s="145"/>
      <c r="U214" s="499" t="str">
        <f>IFERROR(INDEX('G-7 Rivers Data'!$H$4:$L$8,MATCH(N214,'G-7 Rivers Data'!$B$4:$B$8,0),MATCH(T214,'G-7 Rivers Data'!$H$3:$L$3,0)),"")</f>
        <v/>
      </c>
      <c r="V214" s="154"/>
      <c r="W214" s="520" t="str">
        <f>IF(V214="","",IF(VLOOKUP(V214,'G-7 Rivers Data'!$AG$4:$AI$9,2,FALSE)=0,"Spatial Data Missing ⚠",VLOOKUP(V214,'G-7 Rivers Data'!$AG$4:$AI$9,2,FALSE)))</f>
        <v/>
      </c>
      <c r="X214" s="524" t="str">
        <f>IF(V214="","",IF(VLOOKUP(V214,'G-7 Rivers Data'!$AG$4:$AI$9,3,FALSE)=0,"Spatial Data Missing ⚠",VLOOKUP(V214,'G-7 Rivers Data'!$AG$4:$AI$9,3,FALSE)))</f>
        <v/>
      </c>
      <c r="Y214" s="537" t="str">
        <f>IFERROR(IF(OR(LEFT(P214,5)="Error ▲",LEFT(O214,5)="Error ▲"),"Check Data ⚠",IF(F214&lt;S214,'G-7 Rivers Data'!$R$3,INDEX('G-7 Rivers Data'!$U$5:$Y$9,MATCH(G214,'G-7 Rivers Data'!$T$5:$T$9,0),MATCH(T214,'G-7 Rivers Data'!$U$4:$Y$4,0)))),"")</f>
        <v/>
      </c>
      <c r="Z214" s="203"/>
      <c r="AA214" s="203"/>
      <c r="AB214" s="534" t="str">
        <f t="shared" si="24"/>
        <v/>
      </c>
      <c r="AC214" s="521" t="str">
        <f t="shared" si="25"/>
        <v/>
      </c>
      <c r="AD214" s="564" t="str">
        <f>IFERROR(IF(AC214="Check Data ⚠","Check Data ⚠",VLOOKUP(AC214,'G-4 Temporal multipliers'!$A$4:$C$37,3,FALSE)),"")</f>
        <v/>
      </c>
      <c r="AE214" s="537" t="str">
        <f>IF(N214="","",VLOOKUP(N214,'G-7 Rivers Data'!$B$4:$G$8,5,FALSE))</f>
        <v/>
      </c>
      <c r="AF214" s="520" t="str">
        <f t="shared" si="26"/>
        <v/>
      </c>
      <c r="AG214" s="520" t="str">
        <f t="shared" si="30"/>
        <v/>
      </c>
      <c r="AH214" s="524" t="str">
        <f t="shared" si="27"/>
        <v/>
      </c>
      <c r="AI214" s="145"/>
      <c r="AJ214" s="499" t="str">
        <f>IF(AI214="","",IF(VLOOKUP(AI214,'G-7 Rivers Data'!$AA$4:$AB$7,2,FALSE)=0,"Spatial Data Missing ⚠",VLOOKUP(AI214,'G-7 Rivers Data'!$AA$4:$AB$7,2,FALSE)))</f>
        <v/>
      </c>
      <c r="AK214" s="155"/>
      <c r="AL214" s="536" t="str">
        <f>IF(AK214="","",IF(VLOOKUP(AK214,'G-7 Rivers Data'!$AD$4:$AE$8,2,FALSE)=0,"Spatial Data Missing ⚠",VLOOKUP(AK214,'G-7 Rivers Data'!$AD$4:$AE$8,2,FALSE)))</f>
        <v/>
      </c>
      <c r="AM214" s="154"/>
      <c r="AN214" s="524" t="str">
        <f>IF(AM214="","",VLOOKUP(AM214,'G-7 Rivers Data'!$AO$4:$AP$7,2,FALSE))</f>
        <v/>
      </c>
      <c r="AO214" s="545" t="str">
        <f t="shared" si="31"/>
        <v/>
      </c>
      <c r="AP214" s="149"/>
      <c r="AQ214" s="150"/>
      <c r="AX214" s="31" t="str">
        <f>IFERROR(INDEX('G-7 Rivers Data'!$AZ$3:$AZ$7,MATCH(N214,'G-7 Rivers Data'!$AY$3:$AY$7,0)),"")</f>
        <v/>
      </c>
    </row>
    <row r="215" spans="2:50" ht="13.8" x14ac:dyDescent="0.25">
      <c r="B215" s="531" t="str">
        <f>'F-1 Off Site River Baseline'!AN213</f>
        <v/>
      </c>
      <c r="C215" s="520" t="str">
        <f>IF(B215="","",VLOOKUP($B215,'F-1 Off Site River Baseline'!$C$9:$R$257,2,FALSE))</f>
        <v/>
      </c>
      <c r="D215" s="520" t="str">
        <f>IF(C215="","",VLOOKUP($B215,'F-1 Off Site River Baseline'!$C$9:$R$257,3,FALSE))</f>
        <v/>
      </c>
      <c r="E215" s="520" t="str">
        <f>IF(D215="","",VLOOKUP($B215,'F-1 Off Site River Baseline'!$C$9:$R$257,4,FALSE))</f>
        <v/>
      </c>
      <c r="F215" s="520" t="str">
        <f>IF(E215="","",VLOOKUP($B215,'F-1 Off Site River Baseline'!$C$9:$R$257,5,FALSE))</f>
        <v/>
      </c>
      <c r="G215" s="520" t="str">
        <f>IF(F215="","",VLOOKUP($B215,'F-1 Off Site River Baseline'!$C$9:$R$257,6,FALSE))</f>
        <v/>
      </c>
      <c r="H215" s="520" t="str">
        <f>IF(G215="","",VLOOKUP($B215,'F-1 Off Site River Baseline'!$C$9:$R$257,7,FALSE))</f>
        <v/>
      </c>
      <c r="I215" s="520" t="str">
        <f>IF(H215="","",VLOOKUP($B215,'F-1 Off Site River Baseline'!$C$9:$R$257,8,FALSE))</f>
        <v/>
      </c>
      <c r="J215" s="520" t="str">
        <f>IF(I215="","",VLOOKUP($B215,'F-1 Off Site River Baseline'!$C$9:$R$257,9,FALSE))</f>
        <v/>
      </c>
      <c r="K215" s="520" t="str">
        <f>IF(J215="","",VLOOKUP($B215,'F-1 Off Site River Baseline'!$C$9:$R$257,10,FALSE))</f>
        <v/>
      </c>
      <c r="L215" s="520" t="str">
        <f>IF(B215="","",VLOOKUP($B215,'C-1 Site River Baseline'!$C$9:$R$257,15,FALSE))</f>
        <v/>
      </c>
      <c r="M215" s="524" t="str">
        <f>IF(L215="","",VLOOKUP($B215,'F-1 Off Site River Baseline'!$C$9:$R$257,16,FALSE))</f>
        <v/>
      </c>
      <c r="N215" s="418" t="str">
        <f t="shared" si="28"/>
        <v/>
      </c>
      <c r="O215" s="498" t="str">
        <f t="shared" si="29"/>
        <v/>
      </c>
      <c r="P215" s="499" t="str">
        <f>IF(C215="","",IF(AND(LEFT(C215,55)&lt;&gt;LEFT(N215,55),O215="High - High"),"Error - Not like for like ▲",IF(AND(F215=S215,H215&gt;U215),"Error - Can not reduce condition ▲",IF(AND(F215=S215,H215=U215,AJ215='F-1 Off Site River Baseline'!N213,'F-1 Off Site River Baseline'!P213=AL215),"Error - No enhancement ▲",IF(AND(C215&lt;&gt;N215,F215&lt;S215),"Lower Distinctiveness Habitat"&amp;" - "&amp;T215,G215&amp;" - "&amp;T215)))))</f>
        <v/>
      </c>
      <c r="Q215" s="505" t="str">
        <f>IF(N215="","",VLOOKUP(B215,'F-1 Off Site River Baseline'!$C$10:$AA$257,19,FALSE))</f>
        <v/>
      </c>
      <c r="R215" s="498" t="str">
        <f>IF(N215="","",VLOOKUP(N215,'G-7 Rivers Data'!$B$2:$G$8,2,FALSE))</f>
        <v/>
      </c>
      <c r="S215" s="499" t="str">
        <f>IFERROR(VLOOKUP(R215,'G-7 Rivers Data'!$C$4:$D$8,2,FALSE),"")</f>
        <v/>
      </c>
      <c r="T215" s="145"/>
      <c r="U215" s="499" t="str">
        <f>IFERROR(INDEX('G-7 Rivers Data'!$H$4:$L$8,MATCH(N215,'G-7 Rivers Data'!$B$4:$B$8,0),MATCH(T215,'G-7 Rivers Data'!$H$3:$L$3,0)),"")</f>
        <v/>
      </c>
      <c r="V215" s="154"/>
      <c r="W215" s="520" t="str">
        <f>IF(V215="","",IF(VLOOKUP(V215,'G-7 Rivers Data'!$AG$4:$AI$9,2,FALSE)=0,"Spatial Data Missing ⚠",VLOOKUP(V215,'G-7 Rivers Data'!$AG$4:$AI$9,2,FALSE)))</f>
        <v/>
      </c>
      <c r="X215" s="524" t="str">
        <f>IF(V215="","",IF(VLOOKUP(V215,'G-7 Rivers Data'!$AG$4:$AI$9,3,FALSE)=0,"Spatial Data Missing ⚠",VLOOKUP(V215,'G-7 Rivers Data'!$AG$4:$AI$9,3,FALSE)))</f>
        <v/>
      </c>
      <c r="Y215" s="537" t="str">
        <f>IFERROR(IF(OR(LEFT(P215,5)="Error ▲",LEFT(O215,5)="Error ▲"),"Check Data ⚠",IF(F215&lt;S215,'G-7 Rivers Data'!$R$3,INDEX('G-7 Rivers Data'!$U$5:$Y$9,MATCH(G215,'G-7 Rivers Data'!$T$5:$T$9,0),MATCH(T215,'G-7 Rivers Data'!$U$4:$Y$4,0)))),"")</f>
        <v/>
      </c>
      <c r="Z215" s="203"/>
      <c r="AA215" s="203"/>
      <c r="AB215" s="534" t="str">
        <f t="shared" si="24"/>
        <v/>
      </c>
      <c r="AC215" s="521" t="str">
        <f t="shared" si="25"/>
        <v/>
      </c>
      <c r="AD215" s="564" t="str">
        <f>IFERROR(IF(AC215="Check Data ⚠","Check Data ⚠",VLOOKUP(AC215,'G-4 Temporal multipliers'!$A$4:$C$37,3,FALSE)),"")</f>
        <v/>
      </c>
      <c r="AE215" s="537" t="str">
        <f>IF(N215="","",VLOOKUP(N215,'G-7 Rivers Data'!$B$4:$G$8,5,FALSE))</f>
        <v/>
      </c>
      <c r="AF215" s="520" t="str">
        <f t="shared" si="26"/>
        <v/>
      </c>
      <c r="AG215" s="520" t="str">
        <f t="shared" si="30"/>
        <v/>
      </c>
      <c r="AH215" s="524" t="str">
        <f t="shared" si="27"/>
        <v/>
      </c>
      <c r="AI215" s="145"/>
      <c r="AJ215" s="499" t="str">
        <f>IF(AI215="","",IF(VLOOKUP(AI215,'G-7 Rivers Data'!$AA$4:$AB$7,2,FALSE)=0,"Spatial Data Missing ⚠",VLOOKUP(AI215,'G-7 Rivers Data'!$AA$4:$AB$7,2,FALSE)))</f>
        <v/>
      </c>
      <c r="AK215" s="155"/>
      <c r="AL215" s="536" t="str">
        <f>IF(AK215="","",IF(VLOOKUP(AK215,'G-7 Rivers Data'!$AD$4:$AE$8,2,FALSE)=0,"Spatial Data Missing ⚠",VLOOKUP(AK215,'G-7 Rivers Data'!$AD$4:$AE$8,2,FALSE)))</f>
        <v/>
      </c>
      <c r="AM215" s="154"/>
      <c r="AN215" s="524" t="str">
        <f>IF(AM215="","",VLOOKUP(AM215,'G-7 Rivers Data'!$AO$4:$AP$7,2,FALSE))</f>
        <v/>
      </c>
      <c r="AO215" s="545" t="str">
        <f t="shared" si="31"/>
        <v/>
      </c>
      <c r="AP215" s="149"/>
      <c r="AQ215" s="150"/>
      <c r="AX215" s="31" t="str">
        <f>IFERROR(INDEX('G-7 Rivers Data'!$AZ$3:$AZ$7,MATCH(N215,'G-7 Rivers Data'!$AY$3:$AY$7,0)),"")</f>
        <v/>
      </c>
    </row>
    <row r="216" spans="2:50" ht="13.8" x14ac:dyDescent="0.25">
      <c r="B216" s="531" t="str">
        <f>'F-1 Off Site River Baseline'!AN214</f>
        <v/>
      </c>
      <c r="C216" s="520" t="str">
        <f>IF(B216="","",VLOOKUP($B216,'F-1 Off Site River Baseline'!$C$9:$R$257,2,FALSE))</f>
        <v/>
      </c>
      <c r="D216" s="520" t="str">
        <f>IF(C216="","",VLOOKUP($B216,'F-1 Off Site River Baseline'!$C$9:$R$257,3,FALSE))</f>
        <v/>
      </c>
      <c r="E216" s="520" t="str">
        <f>IF(D216="","",VLOOKUP($B216,'F-1 Off Site River Baseline'!$C$9:$R$257,4,FALSE))</f>
        <v/>
      </c>
      <c r="F216" s="520" t="str">
        <f>IF(E216="","",VLOOKUP($B216,'F-1 Off Site River Baseline'!$C$9:$R$257,5,FALSE))</f>
        <v/>
      </c>
      <c r="G216" s="520" t="str">
        <f>IF(F216="","",VLOOKUP($B216,'F-1 Off Site River Baseline'!$C$9:$R$257,6,FALSE))</f>
        <v/>
      </c>
      <c r="H216" s="520" t="str">
        <f>IF(G216="","",VLOOKUP($B216,'F-1 Off Site River Baseline'!$C$9:$R$257,7,FALSE))</f>
        <v/>
      </c>
      <c r="I216" s="520" t="str">
        <f>IF(H216="","",VLOOKUP($B216,'F-1 Off Site River Baseline'!$C$9:$R$257,8,FALSE))</f>
        <v/>
      </c>
      <c r="J216" s="520" t="str">
        <f>IF(I216="","",VLOOKUP($B216,'F-1 Off Site River Baseline'!$C$9:$R$257,9,FALSE))</f>
        <v/>
      </c>
      <c r="K216" s="520" t="str">
        <f>IF(J216="","",VLOOKUP($B216,'F-1 Off Site River Baseline'!$C$9:$R$257,10,FALSE))</f>
        <v/>
      </c>
      <c r="L216" s="520" t="str">
        <f>IF(B216="","",VLOOKUP($B216,'C-1 Site River Baseline'!$C$9:$R$257,15,FALSE))</f>
        <v/>
      </c>
      <c r="M216" s="524" t="str">
        <f>IF(L216="","",VLOOKUP($B216,'F-1 Off Site River Baseline'!$C$9:$R$257,16,FALSE))</f>
        <v/>
      </c>
      <c r="N216" s="418" t="str">
        <f t="shared" si="28"/>
        <v/>
      </c>
      <c r="O216" s="498" t="str">
        <f t="shared" si="29"/>
        <v/>
      </c>
      <c r="P216" s="499" t="str">
        <f>IF(C216="","",IF(AND(LEFT(C216,55)&lt;&gt;LEFT(N216,55),O216="High - High"),"Error - Not like for like ▲",IF(AND(F216=S216,H216&gt;U216),"Error - Can not reduce condition ▲",IF(AND(F216=S216,H216=U216,AJ216='F-1 Off Site River Baseline'!N214,'F-1 Off Site River Baseline'!P214=AL216),"Error - No enhancement ▲",IF(AND(C216&lt;&gt;N216,F216&lt;S216),"Lower Distinctiveness Habitat"&amp;" - "&amp;T216,G216&amp;" - "&amp;T216)))))</f>
        <v/>
      </c>
      <c r="Q216" s="505" t="str">
        <f>IF(N216="","",VLOOKUP(B216,'F-1 Off Site River Baseline'!$C$10:$AA$257,19,FALSE))</f>
        <v/>
      </c>
      <c r="R216" s="498" t="str">
        <f>IF(N216="","",VLOOKUP(N216,'G-7 Rivers Data'!$B$2:$G$8,2,FALSE))</f>
        <v/>
      </c>
      <c r="S216" s="499" t="str">
        <f>IFERROR(VLOOKUP(R216,'G-7 Rivers Data'!$C$4:$D$8,2,FALSE),"")</f>
        <v/>
      </c>
      <c r="T216" s="145"/>
      <c r="U216" s="499" t="str">
        <f>IFERROR(INDEX('G-7 Rivers Data'!$H$4:$L$8,MATCH(N216,'G-7 Rivers Data'!$B$4:$B$8,0),MATCH(T216,'G-7 Rivers Data'!$H$3:$L$3,0)),"")</f>
        <v/>
      </c>
      <c r="V216" s="154"/>
      <c r="W216" s="520" t="str">
        <f>IF(V216="","",IF(VLOOKUP(V216,'G-7 Rivers Data'!$AG$4:$AI$9,2,FALSE)=0,"Spatial Data Missing ⚠",VLOOKUP(V216,'G-7 Rivers Data'!$AG$4:$AI$9,2,FALSE)))</f>
        <v/>
      </c>
      <c r="X216" s="524" t="str">
        <f>IF(V216="","",IF(VLOOKUP(V216,'G-7 Rivers Data'!$AG$4:$AI$9,3,FALSE)=0,"Spatial Data Missing ⚠",VLOOKUP(V216,'G-7 Rivers Data'!$AG$4:$AI$9,3,FALSE)))</f>
        <v/>
      </c>
      <c r="Y216" s="537" t="str">
        <f>IFERROR(IF(OR(LEFT(P216,5)="Error ▲",LEFT(O216,5)="Error ▲"),"Check Data ⚠",IF(F216&lt;S216,'G-7 Rivers Data'!$R$3,INDEX('G-7 Rivers Data'!$U$5:$Y$9,MATCH(G216,'G-7 Rivers Data'!$T$5:$T$9,0),MATCH(T216,'G-7 Rivers Data'!$U$4:$Y$4,0)))),"")</f>
        <v/>
      </c>
      <c r="Z216" s="203"/>
      <c r="AA216" s="203"/>
      <c r="AB216" s="534" t="str">
        <f t="shared" si="24"/>
        <v/>
      </c>
      <c r="AC216" s="521" t="str">
        <f t="shared" si="25"/>
        <v/>
      </c>
      <c r="AD216" s="564" t="str">
        <f>IFERROR(IF(AC216="Check Data ⚠","Check Data ⚠",VLOOKUP(AC216,'G-4 Temporal multipliers'!$A$4:$C$37,3,FALSE)),"")</f>
        <v/>
      </c>
      <c r="AE216" s="537" t="str">
        <f>IF(N216="","",VLOOKUP(N216,'G-7 Rivers Data'!$B$4:$G$8,5,FALSE))</f>
        <v/>
      </c>
      <c r="AF216" s="520" t="str">
        <f t="shared" si="26"/>
        <v/>
      </c>
      <c r="AG216" s="520" t="str">
        <f t="shared" si="30"/>
        <v/>
      </c>
      <c r="AH216" s="524" t="str">
        <f t="shared" si="27"/>
        <v/>
      </c>
      <c r="AI216" s="145"/>
      <c r="AJ216" s="499" t="str">
        <f>IF(AI216="","",IF(VLOOKUP(AI216,'G-7 Rivers Data'!$AA$4:$AB$7,2,FALSE)=0,"Spatial Data Missing ⚠",VLOOKUP(AI216,'G-7 Rivers Data'!$AA$4:$AB$7,2,FALSE)))</f>
        <v/>
      </c>
      <c r="AK216" s="155"/>
      <c r="AL216" s="536" t="str">
        <f>IF(AK216="","",IF(VLOOKUP(AK216,'G-7 Rivers Data'!$AD$4:$AE$8,2,FALSE)=0,"Spatial Data Missing ⚠",VLOOKUP(AK216,'G-7 Rivers Data'!$AD$4:$AE$8,2,FALSE)))</f>
        <v/>
      </c>
      <c r="AM216" s="154"/>
      <c r="AN216" s="524" t="str">
        <f>IF(AM216="","",VLOOKUP(AM216,'G-7 Rivers Data'!$AO$4:$AP$7,2,FALSE))</f>
        <v/>
      </c>
      <c r="AO216" s="545" t="str">
        <f t="shared" si="31"/>
        <v/>
      </c>
      <c r="AP216" s="149"/>
      <c r="AQ216" s="150"/>
      <c r="AX216" s="31" t="str">
        <f>IFERROR(INDEX('G-7 Rivers Data'!$AZ$3:$AZ$7,MATCH(N216,'G-7 Rivers Data'!$AY$3:$AY$7,0)),"")</f>
        <v/>
      </c>
    </row>
    <row r="217" spans="2:50" ht="13.8" x14ac:dyDescent="0.25">
      <c r="B217" s="531" t="str">
        <f>'F-1 Off Site River Baseline'!AN215</f>
        <v/>
      </c>
      <c r="C217" s="520" t="str">
        <f>IF(B217="","",VLOOKUP($B217,'F-1 Off Site River Baseline'!$C$9:$R$257,2,FALSE))</f>
        <v/>
      </c>
      <c r="D217" s="520" t="str">
        <f>IF(C217="","",VLOOKUP($B217,'F-1 Off Site River Baseline'!$C$9:$R$257,3,FALSE))</f>
        <v/>
      </c>
      <c r="E217" s="520" t="str">
        <f>IF(D217="","",VLOOKUP($B217,'F-1 Off Site River Baseline'!$C$9:$R$257,4,FALSE))</f>
        <v/>
      </c>
      <c r="F217" s="520" t="str">
        <f>IF(E217="","",VLOOKUP($B217,'F-1 Off Site River Baseline'!$C$9:$R$257,5,FALSE))</f>
        <v/>
      </c>
      <c r="G217" s="520" t="str">
        <f>IF(F217="","",VLOOKUP($B217,'F-1 Off Site River Baseline'!$C$9:$R$257,6,FALSE))</f>
        <v/>
      </c>
      <c r="H217" s="520" t="str">
        <f>IF(G217="","",VLOOKUP($B217,'F-1 Off Site River Baseline'!$C$9:$R$257,7,FALSE))</f>
        <v/>
      </c>
      <c r="I217" s="520" t="str">
        <f>IF(H217="","",VLOOKUP($B217,'F-1 Off Site River Baseline'!$C$9:$R$257,8,FALSE))</f>
        <v/>
      </c>
      <c r="J217" s="520" t="str">
        <f>IF(I217="","",VLOOKUP($B217,'F-1 Off Site River Baseline'!$C$9:$R$257,9,FALSE))</f>
        <v/>
      </c>
      <c r="K217" s="520" t="str">
        <f>IF(J217="","",VLOOKUP($B217,'F-1 Off Site River Baseline'!$C$9:$R$257,10,FALSE))</f>
        <v/>
      </c>
      <c r="L217" s="520" t="str">
        <f>IF(B217="","",VLOOKUP($B217,'C-1 Site River Baseline'!$C$9:$R$257,15,FALSE))</f>
        <v/>
      </c>
      <c r="M217" s="524" t="str">
        <f>IF(L217="","",VLOOKUP($B217,'F-1 Off Site River Baseline'!$C$9:$R$257,16,FALSE))</f>
        <v/>
      </c>
      <c r="N217" s="418" t="str">
        <f t="shared" si="28"/>
        <v/>
      </c>
      <c r="O217" s="498" t="str">
        <f t="shared" si="29"/>
        <v/>
      </c>
      <c r="P217" s="499" t="str">
        <f>IF(C217="","",IF(AND(LEFT(C217,55)&lt;&gt;LEFT(N217,55),O217="High - High"),"Error - Not like for like ▲",IF(AND(F217=S217,H217&gt;U217),"Error - Can not reduce condition ▲",IF(AND(F217=S217,H217=U217,AJ217='F-1 Off Site River Baseline'!N215,'F-1 Off Site River Baseline'!P215=AL217),"Error - No enhancement ▲",IF(AND(C217&lt;&gt;N217,F217&lt;S217),"Lower Distinctiveness Habitat"&amp;" - "&amp;T217,G217&amp;" - "&amp;T217)))))</f>
        <v/>
      </c>
      <c r="Q217" s="505" t="str">
        <f>IF(N217="","",VLOOKUP(B217,'F-1 Off Site River Baseline'!$C$10:$AA$257,19,FALSE))</f>
        <v/>
      </c>
      <c r="R217" s="498" t="str">
        <f>IF(N217="","",VLOOKUP(N217,'G-7 Rivers Data'!$B$2:$G$8,2,FALSE))</f>
        <v/>
      </c>
      <c r="S217" s="499" t="str">
        <f>IFERROR(VLOOKUP(R217,'G-7 Rivers Data'!$C$4:$D$8,2,FALSE),"")</f>
        <v/>
      </c>
      <c r="T217" s="145"/>
      <c r="U217" s="499" t="str">
        <f>IFERROR(INDEX('G-7 Rivers Data'!$H$4:$L$8,MATCH(N217,'G-7 Rivers Data'!$B$4:$B$8,0),MATCH(T217,'G-7 Rivers Data'!$H$3:$L$3,0)),"")</f>
        <v/>
      </c>
      <c r="V217" s="154"/>
      <c r="W217" s="520" t="str">
        <f>IF(V217="","",IF(VLOOKUP(V217,'G-7 Rivers Data'!$AG$4:$AI$9,2,FALSE)=0,"Spatial Data Missing ⚠",VLOOKUP(V217,'G-7 Rivers Data'!$AG$4:$AI$9,2,FALSE)))</f>
        <v/>
      </c>
      <c r="X217" s="524" t="str">
        <f>IF(V217="","",IF(VLOOKUP(V217,'G-7 Rivers Data'!$AG$4:$AI$9,3,FALSE)=0,"Spatial Data Missing ⚠",VLOOKUP(V217,'G-7 Rivers Data'!$AG$4:$AI$9,3,FALSE)))</f>
        <v/>
      </c>
      <c r="Y217" s="537" t="str">
        <f>IFERROR(IF(OR(LEFT(P217,5)="Error ▲",LEFT(O217,5)="Error ▲"),"Check Data ⚠",IF(F217&lt;S217,'G-7 Rivers Data'!$R$3,INDEX('G-7 Rivers Data'!$U$5:$Y$9,MATCH(G217,'G-7 Rivers Data'!$T$5:$T$9,0),MATCH(T217,'G-7 Rivers Data'!$U$4:$Y$4,0)))),"")</f>
        <v/>
      </c>
      <c r="Z217" s="203"/>
      <c r="AA217" s="203"/>
      <c r="AB217" s="534" t="str">
        <f t="shared" si="24"/>
        <v/>
      </c>
      <c r="AC217" s="521" t="str">
        <f t="shared" si="25"/>
        <v/>
      </c>
      <c r="AD217" s="564" t="str">
        <f>IFERROR(IF(AC217="Check Data ⚠","Check Data ⚠",VLOOKUP(AC217,'G-4 Temporal multipliers'!$A$4:$C$37,3,FALSE)),"")</f>
        <v/>
      </c>
      <c r="AE217" s="537" t="str">
        <f>IF(N217="","",VLOOKUP(N217,'G-7 Rivers Data'!$B$4:$G$8,5,FALSE))</f>
        <v/>
      </c>
      <c r="AF217" s="520" t="str">
        <f t="shared" si="26"/>
        <v/>
      </c>
      <c r="AG217" s="520" t="str">
        <f t="shared" si="30"/>
        <v/>
      </c>
      <c r="AH217" s="524" t="str">
        <f t="shared" si="27"/>
        <v/>
      </c>
      <c r="AI217" s="145"/>
      <c r="AJ217" s="499" t="str">
        <f>IF(AI217="","",IF(VLOOKUP(AI217,'G-7 Rivers Data'!$AA$4:$AB$7,2,FALSE)=0,"Spatial Data Missing ⚠",VLOOKUP(AI217,'G-7 Rivers Data'!$AA$4:$AB$7,2,FALSE)))</f>
        <v/>
      </c>
      <c r="AK217" s="155"/>
      <c r="AL217" s="536" t="str">
        <f>IF(AK217="","",IF(VLOOKUP(AK217,'G-7 Rivers Data'!$AD$4:$AE$8,2,FALSE)=0,"Spatial Data Missing ⚠",VLOOKUP(AK217,'G-7 Rivers Data'!$AD$4:$AE$8,2,FALSE)))</f>
        <v/>
      </c>
      <c r="AM217" s="154"/>
      <c r="AN217" s="524" t="str">
        <f>IF(AM217="","",VLOOKUP(AM217,'G-7 Rivers Data'!$AO$4:$AP$7,2,FALSE))</f>
        <v/>
      </c>
      <c r="AO217" s="545" t="str">
        <f t="shared" si="31"/>
        <v/>
      </c>
      <c r="AP217" s="149"/>
      <c r="AQ217" s="150"/>
      <c r="AX217" s="31" t="str">
        <f>IFERROR(INDEX('G-7 Rivers Data'!$AZ$3:$AZ$7,MATCH(N217,'G-7 Rivers Data'!$AY$3:$AY$7,0)),"")</f>
        <v/>
      </c>
    </row>
    <row r="218" spans="2:50" ht="13.8" x14ac:dyDescent="0.25">
      <c r="B218" s="531" t="str">
        <f>'F-1 Off Site River Baseline'!AN216</f>
        <v/>
      </c>
      <c r="C218" s="520" t="str">
        <f>IF(B218="","",VLOOKUP($B218,'F-1 Off Site River Baseline'!$C$9:$R$257,2,FALSE))</f>
        <v/>
      </c>
      <c r="D218" s="520" t="str">
        <f>IF(C218="","",VLOOKUP($B218,'F-1 Off Site River Baseline'!$C$9:$R$257,3,FALSE))</f>
        <v/>
      </c>
      <c r="E218" s="520" t="str">
        <f>IF(D218="","",VLOOKUP($B218,'F-1 Off Site River Baseline'!$C$9:$R$257,4,FALSE))</f>
        <v/>
      </c>
      <c r="F218" s="520" t="str">
        <f>IF(E218="","",VLOOKUP($B218,'F-1 Off Site River Baseline'!$C$9:$R$257,5,FALSE))</f>
        <v/>
      </c>
      <c r="G218" s="520" t="str">
        <f>IF(F218="","",VLOOKUP($B218,'F-1 Off Site River Baseline'!$C$9:$R$257,6,FALSE))</f>
        <v/>
      </c>
      <c r="H218" s="520" t="str">
        <f>IF(G218="","",VLOOKUP($B218,'F-1 Off Site River Baseline'!$C$9:$R$257,7,FALSE))</f>
        <v/>
      </c>
      <c r="I218" s="520" t="str">
        <f>IF(H218="","",VLOOKUP($B218,'F-1 Off Site River Baseline'!$C$9:$R$257,8,FALSE))</f>
        <v/>
      </c>
      <c r="J218" s="520" t="str">
        <f>IF(I218="","",VLOOKUP($B218,'F-1 Off Site River Baseline'!$C$9:$R$257,9,FALSE))</f>
        <v/>
      </c>
      <c r="K218" s="520" t="str">
        <f>IF(J218="","",VLOOKUP($B218,'F-1 Off Site River Baseline'!$C$9:$R$257,10,FALSE))</f>
        <v/>
      </c>
      <c r="L218" s="520" t="str">
        <f>IF(B218="","",VLOOKUP($B218,'C-1 Site River Baseline'!$C$9:$R$257,15,FALSE))</f>
        <v/>
      </c>
      <c r="M218" s="524" t="str">
        <f>IF(L218="","",VLOOKUP($B218,'F-1 Off Site River Baseline'!$C$9:$R$257,16,FALSE))</f>
        <v/>
      </c>
      <c r="N218" s="418" t="str">
        <f t="shared" si="28"/>
        <v/>
      </c>
      <c r="O218" s="498" t="str">
        <f t="shared" si="29"/>
        <v/>
      </c>
      <c r="P218" s="499" t="str">
        <f>IF(C218="","",IF(AND(LEFT(C218,55)&lt;&gt;LEFT(N218,55),O218="High - High"),"Error - Not like for like ▲",IF(AND(F218=S218,H218&gt;U218),"Error - Can not reduce condition ▲",IF(AND(F218=S218,H218=U218,AJ218='F-1 Off Site River Baseline'!N216,'F-1 Off Site River Baseline'!P216=AL218),"Error - No enhancement ▲",IF(AND(C218&lt;&gt;N218,F218&lt;S218),"Lower Distinctiveness Habitat"&amp;" - "&amp;T218,G218&amp;" - "&amp;T218)))))</f>
        <v/>
      </c>
      <c r="Q218" s="505" t="str">
        <f>IF(N218="","",VLOOKUP(B218,'F-1 Off Site River Baseline'!$C$10:$AA$257,19,FALSE))</f>
        <v/>
      </c>
      <c r="R218" s="498" t="str">
        <f>IF(N218="","",VLOOKUP(N218,'G-7 Rivers Data'!$B$2:$G$8,2,FALSE))</f>
        <v/>
      </c>
      <c r="S218" s="499" t="str">
        <f>IFERROR(VLOOKUP(R218,'G-7 Rivers Data'!$C$4:$D$8,2,FALSE),"")</f>
        <v/>
      </c>
      <c r="T218" s="145"/>
      <c r="U218" s="499" t="str">
        <f>IFERROR(INDEX('G-7 Rivers Data'!$H$4:$L$8,MATCH(N218,'G-7 Rivers Data'!$B$4:$B$8,0),MATCH(T218,'G-7 Rivers Data'!$H$3:$L$3,0)),"")</f>
        <v/>
      </c>
      <c r="V218" s="154"/>
      <c r="W218" s="520" t="str">
        <f>IF(V218="","",IF(VLOOKUP(V218,'G-7 Rivers Data'!$AG$4:$AI$9,2,FALSE)=0,"Spatial Data Missing ⚠",VLOOKUP(V218,'G-7 Rivers Data'!$AG$4:$AI$9,2,FALSE)))</f>
        <v/>
      </c>
      <c r="X218" s="524" t="str">
        <f>IF(V218="","",IF(VLOOKUP(V218,'G-7 Rivers Data'!$AG$4:$AI$9,3,FALSE)=0,"Spatial Data Missing ⚠",VLOOKUP(V218,'G-7 Rivers Data'!$AG$4:$AI$9,3,FALSE)))</f>
        <v/>
      </c>
      <c r="Y218" s="537" t="str">
        <f>IFERROR(IF(OR(LEFT(P218,5)="Error ▲",LEFT(O218,5)="Error ▲"),"Check Data ⚠",IF(F218&lt;S218,'G-7 Rivers Data'!$R$3,INDEX('G-7 Rivers Data'!$U$5:$Y$9,MATCH(G218,'G-7 Rivers Data'!$T$5:$T$9,0),MATCH(T218,'G-7 Rivers Data'!$U$4:$Y$4,0)))),"")</f>
        <v/>
      </c>
      <c r="Z218" s="203"/>
      <c r="AA218" s="203"/>
      <c r="AB218" s="534" t="str">
        <f t="shared" si="24"/>
        <v/>
      </c>
      <c r="AC218" s="521" t="str">
        <f t="shared" si="25"/>
        <v/>
      </c>
      <c r="AD218" s="564" t="str">
        <f>IFERROR(IF(AC218="Check Data ⚠","Check Data ⚠",VLOOKUP(AC218,'G-4 Temporal multipliers'!$A$4:$C$37,3,FALSE)),"")</f>
        <v/>
      </c>
      <c r="AE218" s="537" t="str">
        <f>IF(N218="","",VLOOKUP(N218,'G-7 Rivers Data'!$B$4:$G$8,5,FALSE))</f>
        <v/>
      </c>
      <c r="AF218" s="520" t="str">
        <f t="shared" si="26"/>
        <v/>
      </c>
      <c r="AG218" s="520" t="str">
        <f t="shared" si="30"/>
        <v/>
      </c>
      <c r="AH218" s="524" t="str">
        <f t="shared" si="27"/>
        <v/>
      </c>
      <c r="AI218" s="145"/>
      <c r="AJ218" s="499" t="str">
        <f>IF(AI218="","",IF(VLOOKUP(AI218,'G-7 Rivers Data'!$AA$4:$AB$7,2,FALSE)=0,"Spatial Data Missing ⚠",VLOOKUP(AI218,'G-7 Rivers Data'!$AA$4:$AB$7,2,FALSE)))</f>
        <v/>
      </c>
      <c r="AK218" s="155"/>
      <c r="AL218" s="536" t="str">
        <f>IF(AK218="","",IF(VLOOKUP(AK218,'G-7 Rivers Data'!$AD$4:$AE$8,2,FALSE)=0,"Spatial Data Missing ⚠",VLOOKUP(AK218,'G-7 Rivers Data'!$AD$4:$AE$8,2,FALSE)))</f>
        <v/>
      </c>
      <c r="AM218" s="154"/>
      <c r="AN218" s="524" t="str">
        <f>IF(AM218="","",VLOOKUP(AM218,'G-7 Rivers Data'!$AO$4:$AP$7,2,FALSE))</f>
        <v/>
      </c>
      <c r="AO218" s="545" t="str">
        <f t="shared" si="31"/>
        <v/>
      </c>
      <c r="AP218" s="149"/>
      <c r="AQ218" s="150"/>
      <c r="AX218" s="31" t="str">
        <f>IFERROR(INDEX('G-7 Rivers Data'!$AZ$3:$AZ$7,MATCH(N218,'G-7 Rivers Data'!$AY$3:$AY$7,0)),"")</f>
        <v/>
      </c>
    </row>
    <row r="219" spans="2:50" ht="13.8" x14ac:dyDescent="0.25">
      <c r="B219" s="531" t="str">
        <f>'F-1 Off Site River Baseline'!AN217</f>
        <v/>
      </c>
      <c r="C219" s="520" t="str">
        <f>IF(B219="","",VLOOKUP($B219,'F-1 Off Site River Baseline'!$C$9:$R$257,2,FALSE))</f>
        <v/>
      </c>
      <c r="D219" s="520" t="str">
        <f>IF(C219="","",VLOOKUP($B219,'F-1 Off Site River Baseline'!$C$9:$R$257,3,FALSE))</f>
        <v/>
      </c>
      <c r="E219" s="520" t="str">
        <f>IF(D219="","",VLOOKUP($B219,'F-1 Off Site River Baseline'!$C$9:$R$257,4,FALSE))</f>
        <v/>
      </c>
      <c r="F219" s="520" t="str">
        <f>IF(E219="","",VLOOKUP($B219,'F-1 Off Site River Baseline'!$C$9:$R$257,5,FALSE))</f>
        <v/>
      </c>
      <c r="G219" s="520" t="str">
        <f>IF(F219="","",VLOOKUP($B219,'F-1 Off Site River Baseline'!$C$9:$R$257,6,FALSE))</f>
        <v/>
      </c>
      <c r="H219" s="520" t="str">
        <f>IF(G219="","",VLOOKUP($B219,'F-1 Off Site River Baseline'!$C$9:$R$257,7,FALSE))</f>
        <v/>
      </c>
      <c r="I219" s="520" t="str">
        <f>IF(H219="","",VLOOKUP($B219,'F-1 Off Site River Baseline'!$C$9:$R$257,8,FALSE))</f>
        <v/>
      </c>
      <c r="J219" s="520" t="str">
        <f>IF(I219="","",VLOOKUP($B219,'F-1 Off Site River Baseline'!$C$9:$R$257,9,FALSE))</f>
        <v/>
      </c>
      <c r="K219" s="520" t="str">
        <f>IF(J219="","",VLOOKUP($B219,'F-1 Off Site River Baseline'!$C$9:$R$257,10,FALSE))</f>
        <v/>
      </c>
      <c r="L219" s="520" t="str">
        <f>IF(B219="","",VLOOKUP($B219,'C-1 Site River Baseline'!$C$9:$R$257,15,FALSE))</f>
        <v/>
      </c>
      <c r="M219" s="524" t="str">
        <f>IF(L219="","",VLOOKUP($B219,'F-1 Off Site River Baseline'!$C$9:$R$257,16,FALSE))</f>
        <v/>
      </c>
      <c r="N219" s="418" t="str">
        <f t="shared" si="28"/>
        <v/>
      </c>
      <c r="O219" s="498" t="str">
        <f t="shared" si="29"/>
        <v/>
      </c>
      <c r="P219" s="499" t="str">
        <f>IF(C219="","",IF(AND(LEFT(C219,55)&lt;&gt;LEFT(N219,55),O219="High - High"),"Error - Not like for like ▲",IF(AND(F219=S219,H219&gt;U219),"Error - Can not reduce condition ▲",IF(AND(F219=S219,H219=U219,AJ219='F-1 Off Site River Baseline'!N217,'F-1 Off Site River Baseline'!P217=AL219),"Error - No enhancement ▲",IF(AND(C219&lt;&gt;N219,F219&lt;S219),"Lower Distinctiveness Habitat"&amp;" - "&amp;T219,G219&amp;" - "&amp;T219)))))</f>
        <v/>
      </c>
      <c r="Q219" s="505" t="str">
        <f>IF(N219="","",VLOOKUP(B219,'F-1 Off Site River Baseline'!$C$10:$AA$257,19,FALSE))</f>
        <v/>
      </c>
      <c r="R219" s="498" t="str">
        <f>IF(N219="","",VLOOKUP(N219,'G-7 Rivers Data'!$B$2:$G$8,2,FALSE))</f>
        <v/>
      </c>
      <c r="S219" s="499" t="str">
        <f>IFERROR(VLOOKUP(R219,'G-7 Rivers Data'!$C$4:$D$8,2,FALSE),"")</f>
        <v/>
      </c>
      <c r="T219" s="145"/>
      <c r="U219" s="499" t="str">
        <f>IFERROR(INDEX('G-7 Rivers Data'!$H$4:$L$8,MATCH(N219,'G-7 Rivers Data'!$B$4:$B$8,0),MATCH(T219,'G-7 Rivers Data'!$H$3:$L$3,0)),"")</f>
        <v/>
      </c>
      <c r="V219" s="154"/>
      <c r="W219" s="520" t="str">
        <f>IF(V219="","",IF(VLOOKUP(V219,'G-7 Rivers Data'!$AG$4:$AI$9,2,FALSE)=0,"Spatial Data Missing ⚠",VLOOKUP(V219,'G-7 Rivers Data'!$AG$4:$AI$9,2,FALSE)))</f>
        <v/>
      </c>
      <c r="X219" s="524" t="str">
        <f>IF(V219="","",IF(VLOOKUP(V219,'G-7 Rivers Data'!$AG$4:$AI$9,3,FALSE)=0,"Spatial Data Missing ⚠",VLOOKUP(V219,'G-7 Rivers Data'!$AG$4:$AI$9,3,FALSE)))</f>
        <v/>
      </c>
      <c r="Y219" s="537" t="str">
        <f>IFERROR(IF(OR(LEFT(P219,5)="Error ▲",LEFT(O219,5)="Error ▲"),"Check Data ⚠",IF(F219&lt;S219,'G-7 Rivers Data'!$R$3,INDEX('G-7 Rivers Data'!$U$5:$Y$9,MATCH(G219,'G-7 Rivers Data'!$T$5:$T$9,0),MATCH(T219,'G-7 Rivers Data'!$U$4:$Y$4,0)))),"")</f>
        <v/>
      </c>
      <c r="Z219" s="203"/>
      <c r="AA219" s="203"/>
      <c r="AB219" s="534" t="str">
        <f t="shared" si="24"/>
        <v/>
      </c>
      <c r="AC219" s="521" t="str">
        <f t="shared" si="25"/>
        <v/>
      </c>
      <c r="AD219" s="564" t="str">
        <f>IFERROR(IF(AC219="Check Data ⚠","Check Data ⚠",VLOOKUP(AC219,'G-4 Temporal multipliers'!$A$4:$C$37,3,FALSE)),"")</f>
        <v/>
      </c>
      <c r="AE219" s="537" t="str">
        <f>IF(N219="","",VLOOKUP(N219,'G-7 Rivers Data'!$B$4:$G$8,5,FALSE))</f>
        <v/>
      </c>
      <c r="AF219" s="520" t="str">
        <f t="shared" si="26"/>
        <v/>
      </c>
      <c r="AG219" s="520" t="str">
        <f t="shared" si="30"/>
        <v/>
      </c>
      <c r="AH219" s="524" t="str">
        <f t="shared" si="27"/>
        <v/>
      </c>
      <c r="AI219" s="145"/>
      <c r="AJ219" s="499" t="str">
        <f>IF(AI219="","",IF(VLOOKUP(AI219,'G-7 Rivers Data'!$AA$4:$AB$7,2,FALSE)=0,"Spatial Data Missing ⚠",VLOOKUP(AI219,'G-7 Rivers Data'!$AA$4:$AB$7,2,FALSE)))</f>
        <v/>
      </c>
      <c r="AK219" s="155"/>
      <c r="AL219" s="536" t="str">
        <f>IF(AK219="","",IF(VLOOKUP(AK219,'G-7 Rivers Data'!$AD$4:$AE$8,2,FALSE)=0,"Spatial Data Missing ⚠",VLOOKUP(AK219,'G-7 Rivers Data'!$AD$4:$AE$8,2,FALSE)))</f>
        <v/>
      </c>
      <c r="AM219" s="154"/>
      <c r="AN219" s="524" t="str">
        <f>IF(AM219="","",VLOOKUP(AM219,'G-7 Rivers Data'!$AO$4:$AP$7,2,FALSE))</f>
        <v/>
      </c>
      <c r="AO219" s="545" t="str">
        <f t="shared" si="31"/>
        <v/>
      </c>
      <c r="AP219" s="149"/>
      <c r="AQ219" s="150"/>
      <c r="AX219" s="31" t="str">
        <f>IFERROR(INDEX('G-7 Rivers Data'!$AZ$3:$AZ$7,MATCH(N219,'G-7 Rivers Data'!$AY$3:$AY$7,0)),"")</f>
        <v/>
      </c>
    </row>
    <row r="220" spans="2:50" ht="13.8" x14ac:dyDescent="0.25">
      <c r="B220" s="531" t="str">
        <f>'F-1 Off Site River Baseline'!AN218</f>
        <v/>
      </c>
      <c r="C220" s="520" t="str">
        <f>IF(B220="","",VLOOKUP($B220,'F-1 Off Site River Baseline'!$C$9:$R$257,2,FALSE))</f>
        <v/>
      </c>
      <c r="D220" s="520" t="str">
        <f>IF(C220="","",VLOOKUP($B220,'F-1 Off Site River Baseline'!$C$9:$R$257,3,FALSE))</f>
        <v/>
      </c>
      <c r="E220" s="520" t="str">
        <f>IF(D220="","",VLOOKUP($B220,'F-1 Off Site River Baseline'!$C$9:$R$257,4,FALSE))</f>
        <v/>
      </c>
      <c r="F220" s="520" t="str">
        <f>IF(E220="","",VLOOKUP($B220,'F-1 Off Site River Baseline'!$C$9:$R$257,5,FALSE))</f>
        <v/>
      </c>
      <c r="G220" s="520" t="str">
        <f>IF(F220="","",VLOOKUP($B220,'F-1 Off Site River Baseline'!$C$9:$R$257,6,FALSE))</f>
        <v/>
      </c>
      <c r="H220" s="520" t="str">
        <f>IF(G220="","",VLOOKUP($B220,'F-1 Off Site River Baseline'!$C$9:$R$257,7,FALSE))</f>
        <v/>
      </c>
      <c r="I220" s="520" t="str">
        <f>IF(H220="","",VLOOKUP($B220,'F-1 Off Site River Baseline'!$C$9:$R$257,8,FALSE))</f>
        <v/>
      </c>
      <c r="J220" s="520" t="str">
        <f>IF(I220="","",VLOOKUP($B220,'F-1 Off Site River Baseline'!$C$9:$R$257,9,FALSE))</f>
        <v/>
      </c>
      <c r="K220" s="520" t="str">
        <f>IF(J220="","",VLOOKUP($B220,'F-1 Off Site River Baseline'!$C$9:$R$257,10,FALSE))</f>
        <v/>
      </c>
      <c r="L220" s="520" t="str">
        <f>IF(B220="","",VLOOKUP($B220,'C-1 Site River Baseline'!$C$9:$R$257,15,FALSE))</f>
        <v/>
      </c>
      <c r="M220" s="524" t="str">
        <f>IF(L220="","",VLOOKUP($B220,'F-1 Off Site River Baseline'!$C$9:$R$257,16,FALSE))</f>
        <v/>
      </c>
      <c r="N220" s="418" t="str">
        <f t="shared" si="28"/>
        <v/>
      </c>
      <c r="O220" s="498" t="str">
        <f t="shared" si="29"/>
        <v/>
      </c>
      <c r="P220" s="499" t="str">
        <f>IF(C220="","",IF(AND(LEFT(C220,55)&lt;&gt;LEFT(N220,55),O220="High - High"),"Error - Not like for like ▲",IF(AND(F220=S220,H220&gt;U220),"Error - Can not reduce condition ▲",IF(AND(F220=S220,H220=U220,AJ220='F-1 Off Site River Baseline'!N218,'F-1 Off Site River Baseline'!P218=AL220),"Error - No enhancement ▲",IF(AND(C220&lt;&gt;N220,F220&lt;S220),"Lower Distinctiveness Habitat"&amp;" - "&amp;T220,G220&amp;" - "&amp;T220)))))</f>
        <v/>
      </c>
      <c r="Q220" s="505" t="str">
        <f>IF(N220="","",VLOOKUP(B220,'F-1 Off Site River Baseline'!$C$10:$AA$257,19,FALSE))</f>
        <v/>
      </c>
      <c r="R220" s="498" t="str">
        <f>IF(N220="","",VLOOKUP(N220,'G-7 Rivers Data'!$B$2:$G$8,2,FALSE))</f>
        <v/>
      </c>
      <c r="S220" s="499" t="str">
        <f>IFERROR(VLOOKUP(R220,'G-7 Rivers Data'!$C$4:$D$8,2,FALSE),"")</f>
        <v/>
      </c>
      <c r="T220" s="145"/>
      <c r="U220" s="499" t="str">
        <f>IFERROR(INDEX('G-7 Rivers Data'!$H$4:$L$8,MATCH(N220,'G-7 Rivers Data'!$B$4:$B$8,0),MATCH(T220,'G-7 Rivers Data'!$H$3:$L$3,0)),"")</f>
        <v/>
      </c>
      <c r="V220" s="154"/>
      <c r="W220" s="520" t="str">
        <f>IF(V220="","",IF(VLOOKUP(V220,'G-7 Rivers Data'!$AG$4:$AI$9,2,FALSE)=0,"Spatial Data Missing ⚠",VLOOKUP(V220,'G-7 Rivers Data'!$AG$4:$AI$9,2,FALSE)))</f>
        <v/>
      </c>
      <c r="X220" s="524" t="str">
        <f>IF(V220="","",IF(VLOOKUP(V220,'G-7 Rivers Data'!$AG$4:$AI$9,3,FALSE)=0,"Spatial Data Missing ⚠",VLOOKUP(V220,'G-7 Rivers Data'!$AG$4:$AI$9,3,FALSE)))</f>
        <v/>
      </c>
      <c r="Y220" s="537" t="str">
        <f>IFERROR(IF(OR(LEFT(P220,5)="Error ▲",LEFT(O220,5)="Error ▲"),"Check Data ⚠",IF(F220&lt;S220,'G-7 Rivers Data'!$R$3,INDEX('G-7 Rivers Data'!$U$5:$Y$9,MATCH(G220,'G-7 Rivers Data'!$T$5:$T$9,0),MATCH(T220,'G-7 Rivers Data'!$U$4:$Y$4,0)))),"")</f>
        <v/>
      </c>
      <c r="Z220" s="203"/>
      <c r="AA220" s="203"/>
      <c r="AB220" s="534" t="str">
        <f t="shared" si="24"/>
        <v/>
      </c>
      <c r="AC220" s="521" t="str">
        <f t="shared" si="25"/>
        <v/>
      </c>
      <c r="AD220" s="564" t="str">
        <f>IFERROR(IF(AC220="Check Data ⚠","Check Data ⚠",VLOOKUP(AC220,'G-4 Temporal multipliers'!$A$4:$C$37,3,FALSE)),"")</f>
        <v/>
      </c>
      <c r="AE220" s="537" t="str">
        <f>IF(N220="","",VLOOKUP(N220,'G-7 Rivers Data'!$B$4:$G$8,5,FALSE))</f>
        <v/>
      </c>
      <c r="AF220" s="520" t="str">
        <f t="shared" si="26"/>
        <v/>
      </c>
      <c r="AG220" s="520" t="str">
        <f t="shared" si="30"/>
        <v/>
      </c>
      <c r="AH220" s="524" t="str">
        <f t="shared" si="27"/>
        <v/>
      </c>
      <c r="AI220" s="145"/>
      <c r="AJ220" s="499" t="str">
        <f>IF(AI220="","",IF(VLOOKUP(AI220,'G-7 Rivers Data'!$AA$4:$AB$7,2,FALSE)=0,"Spatial Data Missing ⚠",VLOOKUP(AI220,'G-7 Rivers Data'!$AA$4:$AB$7,2,FALSE)))</f>
        <v/>
      </c>
      <c r="AK220" s="155"/>
      <c r="AL220" s="536" t="str">
        <f>IF(AK220="","",IF(VLOOKUP(AK220,'G-7 Rivers Data'!$AD$4:$AE$8,2,FALSE)=0,"Spatial Data Missing ⚠",VLOOKUP(AK220,'G-7 Rivers Data'!$AD$4:$AE$8,2,FALSE)))</f>
        <v/>
      </c>
      <c r="AM220" s="154"/>
      <c r="AN220" s="524" t="str">
        <f>IF(AM220="","",VLOOKUP(AM220,'G-7 Rivers Data'!$AO$4:$AP$7,2,FALSE))</f>
        <v/>
      </c>
      <c r="AO220" s="545" t="str">
        <f t="shared" si="31"/>
        <v/>
      </c>
      <c r="AP220" s="149"/>
      <c r="AQ220" s="150"/>
      <c r="AX220" s="31" t="str">
        <f>IFERROR(INDEX('G-7 Rivers Data'!$AZ$3:$AZ$7,MATCH(N220,'G-7 Rivers Data'!$AY$3:$AY$7,0)),"")</f>
        <v/>
      </c>
    </row>
    <row r="221" spans="2:50" ht="13.8" x14ac:dyDescent="0.25">
      <c r="B221" s="531" t="str">
        <f>'F-1 Off Site River Baseline'!AN219</f>
        <v/>
      </c>
      <c r="C221" s="520" t="str">
        <f>IF(B221="","",VLOOKUP($B221,'F-1 Off Site River Baseline'!$C$9:$R$257,2,FALSE))</f>
        <v/>
      </c>
      <c r="D221" s="520" t="str">
        <f>IF(C221="","",VLOOKUP($B221,'F-1 Off Site River Baseline'!$C$9:$R$257,3,FALSE))</f>
        <v/>
      </c>
      <c r="E221" s="520" t="str">
        <f>IF(D221="","",VLOOKUP($B221,'F-1 Off Site River Baseline'!$C$9:$R$257,4,FALSE))</f>
        <v/>
      </c>
      <c r="F221" s="520" t="str">
        <f>IF(E221="","",VLOOKUP($B221,'F-1 Off Site River Baseline'!$C$9:$R$257,5,FALSE))</f>
        <v/>
      </c>
      <c r="G221" s="520" t="str">
        <f>IF(F221="","",VLOOKUP($B221,'F-1 Off Site River Baseline'!$C$9:$R$257,6,FALSE))</f>
        <v/>
      </c>
      <c r="H221" s="520" t="str">
        <f>IF(G221="","",VLOOKUP($B221,'F-1 Off Site River Baseline'!$C$9:$R$257,7,FALSE))</f>
        <v/>
      </c>
      <c r="I221" s="520" t="str">
        <f>IF(H221="","",VLOOKUP($B221,'F-1 Off Site River Baseline'!$C$9:$R$257,8,FALSE))</f>
        <v/>
      </c>
      <c r="J221" s="520" t="str">
        <f>IF(I221="","",VLOOKUP($B221,'F-1 Off Site River Baseline'!$C$9:$R$257,9,FALSE))</f>
        <v/>
      </c>
      <c r="K221" s="520" t="str">
        <f>IF(J221="","",VLOOKUP($B221,'F-1 Off Site River Baseline'!$C$9:$R$257,10,FALSE))</f>
        <v/>
      </c>
      <c r="L221" s="520" t="str">
        <f>IF(B221="","",VLOOKUP($B221,'C-1 Site River Baseline'!$C$9:$R$257,15,FALSE))</f>
        <v/>
      </c>
      <c r="M221" s="524" t="str">
        <f>IF(L221="","",VLOOKUP($B221,'F-1 Off Site River Baseline'!$C$9:$R$257,16,FALSE))</f>
        <v/>
      </c>
      <c r="N221" s="418" t="str">
        <f t="shared" si="28"/>
        <v/>
      </c>
      <c r="O221" s="498" t="str">
        <f t="shared" si="29"/>
        <v/>
      </c>
      <c r="P221" s="499" t="str">
        <f>IF(C221="","",IF(AND(LEFT(C221,55)&lt;&gt;LEFT(N221,55),O221="High - High"),"Error - Not like for like ▲",IF(AND(F221=S221,H221&gt;U221),"Error - Can not reduce condition ▲",IF(AND(F221=S221,H221=U221,AJ221='F-1 Off Site River Baseline'!N219,'F-1 Off Site River Baseline'!P219=AL221),"Error - No enhancement ▲",IF(AND(C221&lt;&gt;N221,F221&lt;S221),"Lower Distinctiveness Habitat"&amp;" - "&amp;T221,G221&amp;" - "&amp;T221)))))</f>
        <v/>
      </c>
      <c r="Q221" s="505" t="str">
        <f>IF(N221="","",VLOOKUP(B221,'F-1 Off Site River Baseline'!$C$10:$AA$257,19,FALSE))</f>
        <v/>
      </c>
      <c r="R221" s="498" t="str">
        <f>IF(N221="","",VLOOKUP(N221,'G-7 Rivers Data'!$B$2:$G$8,2,FALSE))</f>
        <v/>
      </c>
      <c r="S221" s="499" t="str">
        <f>IFERROR(VLOOKUP(R221,'G-7 Rivers Data'!$C$4:$D$8,2,FALSE),"")</f>
        <v/>
      </c>
      <c r="T221" s="145"/>
      <c r="U221" s="499" t="str">
        <f>IFERROR(INDEX('G-7 Rivers Data'!$H$4:$L$8,MATCH(N221,'G-7 Rivers Data'!$B$4:$B$8,0),MATCH(T221,'G-7 Rivers Data'!$H$3:$L$3,0)),"")</f>
        <v/>
      </c>
      <c r="V221" s="154"/>
      <c r="W221" s="520" t="str">
        <f>IF(V221="","",IF(VLOOKUP(V221,'G-7 Rivers Data'!$AG$4:$AI$9,2,FALSE)=0,"Spatial Data Missing ⚠",VLOOKUP(V221,'G-7 Rivers Data'!$AG$4:$AI$9,2,FALSE)))</f>
        <v/>
      </c>
      <c r="X221" s="524" t="str">
        <f>IF(V221="","",IF(VLOOKUP(V221,'G-7 Rivers Data'!$AG$4:$AI$9,3,FALSE)=0,"Spatial Data Missing ⚠",VLOOKUP(V221,'G-7 Rivers Data'!$AG$4:$AI$9,3,FALSE)))</f>
        <v/>
      </c>
      <c r="Y221" s="537" t="str">
        <f>IFERROR(IF(OR(LEFT(P221,5)="Error ▲",LEFT(O221,5)="Error ▲"),"Check Data ⚠",IF(F221&lt;S221,'G-7 Rivers Data'!$R$3,INDEX('G-7 Rivers Data'!$U$5:$Y$9,MATCH(G221,'G-7 Rivers Data'!$T$5:$T$9,0),MATCH(T221,'G-7 Rivers Data'!$U$4:$Y$4,0)))),"")</f>
        <v/>
      </c>
      <c r="Z221" s="203"/>
      <c r="AA221" s="203"/>
      <c r="AB221" s="534" t="str">
        <f t="shared" si="24"/>
        <v/>
      </c>
      <c r="AC221" s="521" t="str">
        <f t="shared" si="25"/>
        <v/>
      </c>
      <c r="AD221" s="564" t="str">
        <f>IFERROR(IF(AC221="Check Data ⚠","Check Data ⚠",VLOOKUP(AC221,'G-4 Temporal multipliers'!$A$4:$C$37,3,FALSE)),"")</f>
        <v/>
      </c>
      <c r="AE221" s="537" t="str">
        <f>IF(N221="","",VLOOKUP(N221,'G-7 Rivers Data'!$B$4:$G$8,5,FALSE))</f>
        <v/>
      </c>
      <c r="AF221" s="520" t="str">
        <f t="shared" si="26"/>
        <v/>
      </c>
      <c r="AG221" s="520" t="str">
        <f t="shared" si="30"/>
        <v/>
      </c>
      <c r="AH221" s="524" t="str">
        <f t="shared" si="27"/>
        <v/>
      </c>
      <c r="AI221" s="145"/>
      <c r="AJ221" s="499" t="str">
        <f>IF(AI221="","",IF(VLOOKUP(AI221,'G-7 Rivers Data'!$AA$4:$AB$7,2,FALSE)=0,"Spatial Data Missing ⚠",VLOOKUP(AI221,'G-7 Rivers Data'!$AA$4:$AB$7,2,FALSE)))</f>
        <v/>
      </c>
      <c r="AK221" s="155"/>
      <c r="AL221" s="536" t="str">
        <f>IF(AK221="","",IF(VLOOKUP(AK221,'G-7 Rivers Data'!$AD$4:$AE$8,2,FALSE)=0,"Spatial Data Missing ⚠",VLOOKUP(AK221,'G-7 Rivers Data'!$AD$4:$AE$8,2,FALSE)))</f>
        <v/>
      </c>
      <c r="AM221" s="154"/>
      <c r="AN221" s="524" t="str">
        <f>IF(AM221="","",VLOOKUP(AM221,'G-7 Rivers Data'!$AO$4:$AP$7,2,FALSE))</f>
        <v/>
      </c>
      <c r="AO221" s="545" t="str">
        <f t="shared" si="31"/>
        <v/>
      </c>
      <c r="AP221" s="149"/>
      <c r="AQ221" s="150"/>
      <c r="AX221" s="31" t="str">
        <f>IFERROR(INDEX('G-7 Rivers Data'!$AZ$3:$AZ$7,MATCH(N221,'G-7 Rivers Data'!$AY$3:$AY$7,0)),"")</f>
        <v/>
      </c>
    </row>
    <row r="222" spans="2:50" ht="13.8" x14ac:dyDescent="0.25">
      <c r="B222" s="531" t="str">
        <f>'F-1 Off Site River Baseline'!AN220</f>
        <v/>
      </c>
      <c r="C222" s="520" t="str">
        <f>IF(B222="","",VLOOKUP($B222,'F-1 Off Site River Baseline'!$C$9:$R$257,2,FALSE))</f>
        <v/>
      </c>
      <c r="D222" s="520" t="str">
        <f>IF(C222="","",VLOOKUP($B222,'F-1 Off Site River Baseline'!$C$9:$R$257,3,FALSE))</f>
        <v/>
      </c>
      <c r="E222" s="520" t="str">
        <f>IF(D222="","",VLOOKUP($B222,'F-1 Off Site River Baseline'!$C$9:$R$257,4,FALSE))</f>
        <v/>
      </c>
      <c r="F222" s="520" t="str">
        <f>IF(E222="","",VLOOKUP($B222,'F-1 Off Site River Baseline'!$C$9:$R$257,5,FALSE))</f>
        <v/>
      </c>
      <c r="G222" s="520" t="str">
        <f>IF(F222="","",VLOOKUP($B222,'F-1 Off Site River Baseline'!$C$9:$R$257,6,FALSE))</f>
        <v/>
      </c>
      <c r="H222" s="520" t="str">
        <f>IF(G222="","",VLOOKUP($B222,'F-1 Off Site River Baseline'!$C$9:$R$257,7,FALSE))</f>
        <v/>
      </c>
      <c r="I222" s="520" t="str">
        <f>IF(H222="","",VLOOKUP($B222,'F-1 Off Site River Baseline'!$C$9:$R$257,8,FALSE))</f>
        <v/>
      </c>
      <c r="J222" s="520" t="str">
        <f>IF(I222="","",VLOOKUP($B222,'F-1 Off Site River Baseline'!$C$9:$R$257,9,FALSE))</f>
        <v/>
      </c>
      <c r="K222" s="520" t="str">
        <f>IF(J222="","",VLOOKUP($B222,'F-1 Off Site River Baseline'!$C$9:$R$257,10,FALSE))</f>
        <v/>
      </c>
      <c r="L222" s="520" t="str">
        <f>IF(B222="","",VLOOKUP($B222,'C-1 Site River Baseline'!$C$9:$R$257,15,FALSE))</f>
        <v/>
      </c>
      <c r="M222" s="524" t="str">
        <f>IF(L222="","",VLOOKUP($B222,'F-1 Off Site River Baseline'!$C$9:$R$257,16,FALSE))</f>
        <v/>
      </c>
      <c r="N222" s="418" t="str">
        <f t="shared" si="28"/>
        <v/>
      </c>
      <c r="O222" s="498" t="str">
        <f t="shared" si="29"/>
        <v/>
      </c>
      <c r="P222" s="499" t="str">
        <f>IF(C222="","",IF(AND(LEFT(C222,55)&lt;&gt;LEFT(N222,55),O222="High - High"),"Error - Not like for like ▲",IF(AND(F222=S222,H222&gt;U222),"Error - Can not reduce condition ▲",IF(AND(F222=S222,H222=U222,AJ222='F-1 Off Site River Baseline'!N220,'F-1 Off Site River Baseline'!P220=AL222),"Error - No enhancement ▲",IF(AND(C222&lt;&gt;N222,F222&lt;S222),"Lower Distinctiveness Habitat"&amp;" - "&amp;T222,G222&amp;" - "&amp;T222)))))</f>
        <v/>
      </c>
      <c r="Q222" s="505" t="str">
        <f>IF(N222="","",VLOOKUP(B222,'F-1 Off Site River Baseline'!$C$10:$AA$257,19,FALSE))</f>
        <v/>
      </c>
      <c r="R222" s="498" t="str">
        <f>IF(N222="","",VLOOKUP(N222,'G-7 Rivers Data'!$B$2:$G$8,2,FALSE))</f>
        <v/>
      </c>
      <c r="S222" s="499" t="str">
        <f>IFERROR(VLOOKUP(R222,'G-7 Rivers Data'!$C$4:$D$8,2,FALSE),"")</f>
        <v/>
      </c>
      <c r="T222" s="145"/>
      <c r="U222" s="499" t="str">
        <f>IFERROR(INDEX('G-7 Rivers Data'!$H$4:$L$8,MATCH(N222,'G-7 Rivers Data'!$B$4:$B$8,0),MATCH(T222,'G-7 Rivers Data'!$H$3:$L$3,0)),"")</f>
        <v/>
      </c>
      <c r="V222" s="154"/>
      <c r="W222" s="520" t="str">
        <f>IF(V222="","",IF(VLOOKUP(V222,'G-7 Rivers Data'!$AG$4:$AI$9,2,FALSE)=0,"Spatial Data Missing ⚠",VLOOKUP(V222,'G-7 Rivers Data'!$AG$4:$AI$9,2,FALSE)))</f>
        <v/>
      </c>
      <c r="X222" s="524" t="str">
        <f>IF(V222="","",IF(VLOOKUP(V222,'G-7 Rivers Data'!$AG$4:$AI$9,3,FALSE)=0,"Spatial Data Missing ⚠",VLOOKUP(V222,'G-7 Rivers Data'!$AG$4:$AI$9,3,FALSE)))</f>
        <v/>
      </c>
      <c r="Y222" s="537" t="str">
        <f>IFERROR(IF(OR(LEFT(P222,5)="Error ▲",LEFT(O222,5)="Error ▲"),"Check Data ⚠",IF(F222&lt;S222,'G-7 Rivers Data'!$R$3,INDEX('G-7 Rivers Data'!$U$5:$Y$9,MATCH(G222,'G-7 Rivers Data'!$T$5:$T$9,0),MATCH(T222,'G-7 Rivers Data'!$U$4:$Y$4,0)))),"")</f>
        <v/>
      </c>
      <c r="Z222" s="203"/>
      <c r="AA222" s="203"/>
      <c r="AB222" s="534" t="str">
        <f t="shared" si="24"/>
        <v/>
      </c>
      <c r="AC222" s="521" t="str">
        <f t="shared" si="25"/>
        <v/>
      </c>
      <c r="AD222" s="564" t="str">
        <f>IFERROR(IF(AC222="Check Data ⚠","Check Data ⚠",VLOOKUP(AC222,'G-4 Temporal multipliers'!$A$4:$C$37,3,FALSE)),"")</f>
        <v/>
      </c>
      <c r="AE222" s="537" t="str">
        <f>IF(N222="","",VLOOKUP(N222,'G-7 Rivers Data'!$B$4:$G$8,5,FALSE))</f>
        <v/>
      </c>
      <c r="AF222" s="520" t="str">
        <f t="shared" si="26"/>
        <v/>
      </c>
      <c r="AG222" s="520" t="str">
        <f t="shared" si="30"/>
        <v/>
      </c>
      <c r="AH222" s="524" t="str">
        <f t="shared" si="27"/>
        <v/>
      </c>
      <c r="AI222" s="145"/>
      <c r="AJ222" s="499" t="str">
        <f>IF(AI222="","",IF(VLOOKUP(AI222,'G-7 Rivers Data'!$AA$4:$AB$7,2,FALSE)=0,"Spatial Data Missing ⚠",VLOOKUP(AI222,'G-7 Rivers Data'!$AA$4:$AB$7,2,FALSE)))</f>
        <v/>
      </c>
      <c r="AK222" s="155"/>
      <c r="AL222" s="536" t="str">
        <f>IF(AK222="","",IF(VLOOKUP(AK222,'G-7 Rivers Data'!$AD$4:$AE$8,2,FALSE)=0,"Spatial Data Missing ⚠",VLOOKUP(AK222,'G-7 Rivers Data'!$AD$4:$AE$8,2,FALSE)))</f>
        <v/>
      </c>
      <c r="AM222" s="154"/>
      <c r="AN222" s="524" t="str">
        <f>IF(AM222="","",VLOOKUP(AM222,'G-7 Rivers Data'!$AO$4:$AP$7,2,FALSE))</f>
        <v/>
      </c>
      <c r="AO222" s="545" t="str">
        <f t="shared" si="31"/>
        <v/>
      </c>
      <c r="AP222" s="149"/>
      <c r="AQ222" s="150"/>
      <c r="AX222" s="31" t="str">
        <f>IFERROR(INDEX('G-7 Rivers Data'!$AZ$3:$AZ$7,MATCH(N222,'G-7 Rivers Data'!$AY$3:$AY$7,0)),"")</f>
        <v/>
      </c>
    </row>
    <row r="223" spans="2:50" ht="13.8" x14ac:dyDescent="0.25">
      <c r="B223" s="531" t="str">
        <f>'F-1 Off Site River Baseline'!AN221</f>
        <v/>
      </c>
      <c r="C223" s="520" t="str">
        <f>IF(B223="","",VLOOKUP($B223,'F-1 Off Site River Baseline'!$C$9:$R$257,2,FALSE))</f>
        <v/>
      </c>
      <c r="D223" s="520" t="str">
        <f>IF(C223="","",VLOOKUP($B223,'F-1 Off Site River Baseline'!$C$9:$R$257,3,FALSE))</f>
        <v/>
      </c>
      <c r="E223" s="520" t="str">
        <f>IF(D223="","",VLOOKUP($B223,'F-1 Off Site River Baseline'!$C$9:$R$257,4,FALSE))</f>
        <v/>
      </c>
      <c r="F223" s="520" t="str">
        <f>IF(E223="","",VLOOKUP($B223,'F-1 Off Site River Baseline'!$C$9:$R$257,5,FALSE))</f>
        <v/>
      </c>
      <c r="G223" s="520" t="str">
        <f>IF(F223="","",VLOOKUP($B223,'F-1 Off Site River Baseline'!$C$9:$R$257,6,FALSE))</f>
        <v/>
      </c>
      <c r="H223" s="520" t="str">
        <f>IF(G223="","",VLOOKUP($B223,'F-1 Off Site River Baseline'!$C$9:$R$257,7,FALSE))</f>
        <v/>
      </c>
      <c r="I223" s="520" t="str">
        <f>IF(H223="","",VLOOKUP($B223,'F-1 Off Site River Baseline'!$C$9:$R$257,8,FALSE))</f>
        <v/>
      </c>
      <c r="J223" s="520" t="str">
        <f>IF(I223="","",VLOOKUP($B223,'F-1 Off Site River Baseline'!$C$9:$R$257,9,FALSE))</f>
        <v/>
      </c>
      <c r="K223" s="520" t="str">
        <f>IF(J223="","",VLOOKUP($B223,'F-1 Off Site River Baseline'!$C$9:$R$257,10,FALSE))</f>
        <v/>
      </c>
      <c r="L223" s="520" t="str">
        <f>IF(B223="","",VLOOKUP($B223,'C-1 Site River Baseline'!$C$9:$R$257,15,FALSE))</f>
        <v/>
      </c>
      <c r="M223" s="524" t="str">
        <f>IF(L223="","",VLOOKUP($B223,'F-1 Off Site River Baseline'!$C$9:$R$257,16,FALSE))</f>
        <v/>
      </c>
      <c r="N223" s="418" t="str">
        <f t="shared" si="28"/>
        <v/>
      </c>
      <c r="O223" s="498" t="str">
        <f t="shared" si="29"/>
        <v/>
      </c>
      <c r="P223" s="499" t="str">
        <f>IF(C223="","",IF(AND(LEFT(C223,55)&lt;&gt;LEFT(N223,55),O223="High - High"),"Error - Not like for like ▲",IF(AND(F223=S223,H223&gt;U223),"Error - Can not reduce condition ▲",IF(AND(F223=S223,H223=U223,AJ223='F-1 Off Site River Baseline'!N221,'F-1 Off Site River Baseline'!P221=AL223),"Error - No enhancement ▲",IF(AND(C223&lt;&gt;N223,F223&lt;S223),"Lower Distinctiveness Habitat"&amp;" - "&amp;T223,G223&amp;" - "&amp;T223)))))</f>
        <v/>
      </c>
      <c r="Q223" s="505" t="str">
        <f>IF(N223="","",VLOOKUP(B223,'F-1 Off Site River Baseline'!$C$10:$AA$257,19,FALSE))</f>
        <v/>
      </c>
      <c r="R223" s="498" t="str">
        <f>IF(N223="","",VLOOKUP(N223,'G-7 Rivers Data'!$B$2:$G$8,2,FALSE))</f>
        <v/>
      </c>
      <c r="S223" s="499" t="str">
        <f>IFERROR(VLOOKUP(R223,'G-7 Rivers Data'!$C$4:$D$8,2,FALSE),"")</f>
        <v/>
      </c>
      <c r="T223" s="145"/>
      <c r="U223" s="499" t="str">
        <f>IFERROR(INDEX('G-7 Rivers Data'!$H$4:$L$8,MATCH(N223,'G-7 Rivers Data'!$B$4:$B$8,0),MATCH(T223,'G-7 Rivers Data'!$H$3:$L$3,0)),"")</f>
        <v/>
      </c>
      <c r="V223" s="154"/>
      <c r="W223" s="520" t="str">
        <f>IF(V223="","",IF(VLOOKUP(V223,'G-7 Rivers Data'!$AG$4:$AI$9,2,FALSE)=0,"Spatial Data Missing ⚠",VLOOKUP(V223,'G-7 Rivers Data'!$AG$4:$AI$9,2,FALSE)))</f>
        <v/>
      </c>
      <c r="X223" s="524" t="str">
        <f>IF(V223="","",IF(VLOOKUP(V223,'G-7 Rivers Data'!$AG$4:$AI$9,3,FALSE)=0,"Spatial Data Missing ⚠",VLOOKUP(V223,'G-7 Rivers Data'!$AG$4:$AI$9,3,FALSE)))</f>
        <v/>
      </c>
      <c r="Y223" s="537" t="str">
        <f>IFERROR(IF(OR(LEFT(P223,5)="Error ▲",LEFT(O223,5)="Error ▲"),"Check Data ⚠",IF(F223&lt;S223,'G-7 Rivers Data'!$R$3,INDEX('G-7 Rivers Data'!$U$5:$Y$9,MATCH(G223,'G-7 Rivers Data'!$T$5:$T$9,0),MATCH(T223,'G-7 Rivers Data'!$U$4:$Y$4,0)))),"")</f>
        <v/>
      </c>
      <c r="Z223" s="203"/>
      <c r="AA223" s="203"/>
      <c r="AB223" s="534" t="str">
        <f t="shared" si="24"/>
        <v/>
      </c>
      <c r="AC223" s="521" t="str">
        <f t="shared" si="25"/>
        <v/>
      </c>
      <c r="AD223" s="564" t="str">
        <f>IFERROR(IF(AC223="Check Data ⚠","Check Data ⚠",VLOOKUP(AC223,'G-4 Temporal multipliers'!$A$4:$C$37,3,FALSE)),"")</f>
        <v/>
      </c>
      <c r="AE223" s="537" t="str">
        <f>IF(N223="","",VLOOKUP(N223,'G-7 Rivers Data'!$B$4:$G$8,5,FALSE))</f>
        <v/>
      </c>
      <c r="AF223" s="520" t="str">
        <f t="shared" si="26"/>
        <v/>
      </c>
      <c r="AG223" s="520" t="str">
        <f t="shared" si="30"/>
        <v/>
      </c>
      <c r="AH223" s="524" t="str">
        <f t="shared" si="27"/>
        <v/>
      </c>
      <c r="AI223" s="145"/>
      <c r="AJ223" s="499" t="str">
        <f>IF(AI223="","",IF(VLOOKUP(AI223,'G-7 Rivers Data'!$AA$4:$AB$7,2,FALSE)=0,"Spatial Data Missing ⚠",VLOOKUP(AI223,'G-7 Rivers Data'!$AA$4:$AB$7,2,FALSE)))</f>
        <v/>
      </c>
      <c r="AK223" s="155"/>
      <c r="AL223" s="536" t="str">
        <f>IF(AK223="","",IF(VLOOKUP(AK223,'G-7 Rivers Data'!$AD$4:$AE$8,2,FALSE)=0,"Spatial Data Missing ⚠",VLOOKUP(AK223,'G-7 Rivers Data'!$AD$4:$AE$8,2,FALSE)))</f>
        <v/>
      </c>
      <c r="AM223" s="154"/>
      <c r="AN223" s="524" t="str">
        <f>IF(AM223="","",VLOOKUP(AM223,'G-7 Rivers Data'!$AO$4:$AP$7,2,FALSE))</f>
        <v/>
      </c>
      <c r="AO223" s="545" t="str">
        <f t="shared" si="31"/>
        <v/>
      </c>
      <c r="AP223" s="149"/>
      <c r="AQ223" s="150"/>
      <c r="AX223" s="31" t="str">
        <f>IFERROR(INDEX('G-7 Rivers Data'!$AZ$3:$AZ$7,MATCH(N223,'G-7 Rivers Data'!$AY$3:$AY$7,0)),"")</f>
        <v/>
      </c>
    </row>
    <row r="224" spans="2:50" ht="13.8" x14ac:dyDescent="0.25">
      <c r="B224" s="531" t="str">
        <f>'F-1 Off Site River Baseline'!AN222</f>
        <v/>
      </c>
      <c r="C224" s="520" t="str">
        <f>IF(B224="","",VLOOKUP($B224,'F-1 Off Site River Baseline'!$C$9:$R$257,2,FALSE))</f>
        <v/>
      </c>
      <c r="D224" s="520" t="str">
        <f>IF(C224="","",VLOOKUP($B224,'F-1 Off Site River Baseline'!$C$9:$R$257,3,FALSE))</f>
        <v/>
      </c>
      <c r="E224" s="520" t="str">
        <f>IF(D224="","",VLOOKUP($B224,'F-1 Off Site River Baseline'!$C$9:$R$257,4,FALSE))</f>
        <v/>
      </c>
      <c r="F224" s="520" t="str">
        <f>IF(E224="","",VLOOKUP($B224,'F-1 Off Site River Baseline'!$C$9:$R$257,5,FALSE))</f>
        <v/>
      </c>
      <c r="G224" s="520" t="str">
        <f>IF(F224="","",VLOOKUP($B224,'F-1 Off Site River Baseline'!$C$9:$R$257,6,FALSE))</f>
        <v/>
      </c>
      <c r="H224" s="520" t="str">
        <f>IF(G224="","",VLOOKUP($B224,'F-1 Off Site River Baseline'!$C$9:$R$257,7,FALSE))</f>
        <v/>
      </c>
      <c r="I224" s="520" t="str">
        <f>IF(H224="","",VLOOKUP($B224,'F-1 Off Site River Baseline'!$C$9:$R$257,8,FALSE))</f>
        <v/>
      </c>
      <c r="J224" s="520" t="str">
        <f>IF(I224="","",VLOOKUP($B224,'F-1 Off Site River Baseline'!$C$9:$R$257,9,FALSE))</f>
        <v/>
      </c>
      <c r="K224" s="520" t="str">
        <f>IF(J224="","",VLOOKUP($B224,'F-1 Off Site River Baseline'!$C$9:$R$257,10,FALSE))</f>
        <v/>
      </c>
      <c r="L224" s="520" t="str">
        <f>IF(B224="","",VLOOKUP($B224,'C-1 Site River Baseline'!$C$9:$R$257,15,FALSE))</f>
        <v/>
      </c>
      <c r="M224" s="524" t="str">
        <f>IF(L224="","",VLOOKUP($B224,'F-1 Off Site River Baseline'!$C$9:$R$257,16,FALSE))</f>
        <v/>
      </c>
      <c r="N224" s="418" t="str">
        <f t="shared" si="28"/>
        <v/>
      </c>
      <c r="O224" s="498" t="str">
        <f t="shared" si="29"/>
        <v/>
      </c>
      <c r="P224" s="499" t="str">
        <f>IF(C224="","",IF(AND(LEFT(C224,55)&lt;&gt;LEFT(N224,55),O224="High - High"),"Error - Not like for like ▲",IF(AND(F224=S224,H224&gt;U224),"Error - Can not reduce condition ▲",IF(AND(F224=S224,H224=U224,AJ224='F-1 Off Site River Baseline'!N222,'F-1 Off Site River Baseline'!P222=AL224),"Error - No enhancement ▲",IF(AND(C224&lt;&gt;N224,F224&lt;S224),"Lower Distinctiveness Habitat"&amp;" - "&amp;T224,G224&amp;" - "&amp;T224)))))</f>
        <v/>
      </c>
      <c r="Q224" s="505" t="str">
        <f>IF(N224="","",VLOOKUP(B224,'F-1 Off Site River Baseline'!$C$10:$AA$257,19,FALSE))</f>
        <v/>
      </c>
      <c r="R224" s="498" t="str">
        <f>IF(N224="","",VLOOKUP(N224,'G-7 Rivers Data'!$B$2:$G$8,2,FALSE))</f>
        <v/>
      </c>
      <c r="S224" s="499" t="str">
        <f>IFERROR(VLOOKUP(R224,'G-7 Rivers Data'!$C$4:$D$8,2,FALSE),"")</f>
        <v/>
      </c>
      <c r="T224" s="145"/>
      <c r="U224" s="499" t="str">
        <f>IFERROR(INDEX('G-7 Rivers Data'!$H$4:$L$8,MATCH(N224,'G-7 Rivers Data'!$B$4:$B$8,0),MATCH(T224,'G-7 Rivers Data'!$H$3:$L$3,0)),"")</f>
        <v/>
      </c>
      <c r="V224" s="154"/>
      <c r="W224" s="520" t="str">
        <f>IF(V224="","",IF(VLOOKUP(V224,'G-7 Rivers Data'!$AG$4:$AI$9,2,FALSE)=0,"Spatial Data Missing ⚠",VLOOKUP(V224,'G-7 Rivers Data'!$AG$4:$AI$9,2,FALSE)))</f>
        <v/>
      </c>
      <c r="X224" s="524" t="str">
        <f>IF(V224="","",IF(VLOOKUP(V224,'G-7 Rivers Data'!$AG$4:$AI$9,3,FALSE)=0,"Spatial Data Missing ⚠",VLOOKUP(V224,'G-7 Rivers Data'!$AG$4:$AI$9,3,FALSE)))</f>
        <v/>
      </c>
      <c r="Y224" s="537" t="str">
        <f>IFERROR(IF(OR(LEFT(P224,5)="Error ▲",LEFT(O224,5)="Error ▲"),"Check Data ⚠",IF(F224&lt;S224,'G-7 Rivers Data'!$R$3,INDEX('G-7 Rivers Data'!$U$5:$Y$9,MATCH(G224,'G-7 Rivers Data'!$T$5:$T$9,0),MATCH(T224,'G-7 Rivers Data'!$U$4:$Y$4,0)))),"")</f>
        <v/>
      </c>
      <c r="Z224" s="203"/>
      <c r="AA224" s="203"/>
      <c r="AB224" s="534" t="str">
        <f t="shared" si="24"/>
        <v/>
      </c>
      <c r="AC224" s="521" t="str">
        <f t="shared" si="25"/>
        <v/>
      </c>
      <c r="AD224" s="564" t="str">
        <f>IFERROR(IF(AC224="Check Data ⚠","Check Data ⚠",VLOOKUP(AC224,'G-4 Temporal multipliers'!$A$4:$C$37,3,FALSE)),"")</f>
        <v/>
      </c>
      <c r="AE224" s="537" t="str">
        <f>IF(N224="","",VLOOKUP(N224,'G-7 Rivers Data'!$B$4:$G$8,5,FALSE))</f>
        <v/>
      </c>
      <c r="AF224" s="520" t="str">
        <f t="shared" si="26"/>
        <v/>
      </c>
      <c r="AG224" s="520" t="str">
        <f t="shared" si="30"/>
        <v/>
      </c>
      <c r="AH224" s="524" t="str">
        <f t="shared" si="27"/>
        <v/>
      </c>
      <c r="AI224" s="145"/>
      <c r="AJ224" s="499" t="str">
        <f>IF(AI224="","",IF(VLOOKUP(AI224,'G-7 Rivers Data'!$AA$4:$AB$7,2,FALSE)=0,"Spatial Data Missing ⚠",VLOOKUP(AI224,'G-7 Rivers Data'!$AA$4:$AB$7,2,FALSE)))</f>
        <v/>
      </c>
      <c r="AK224" s="155"/>
      <c r="AL224" s="536" t="str">
        <f>IF(AK224="","",IF(VLOOKUP(AK224,'G-7 Rivers Data'!$AD$4:$AE$8,2,FALSE)=0,"Spatial Data Missing ⚠",VLOOKUP(AK224,'G-7 Rivers Data'!$AD$4:$AE$8,2,FALSE)))</f>
        <v/>
      </c>
      <c r="AM224" s="154"/>
      <c r="AN224" s="524" t="str">
        <f>IF(AM224="","",VLOOKUP(AM224,'G-7 Rivers Data'!$AO$4:$AP$7,2,FALSE))</f>
        <v/>
      </c>
      <c r="AO224" s="545" t="str">
        <f t="shared" si="31"/>
        <v/>
      </c>
      <c r="AP224" s="149"/>
      <c r="AQ224" s="150"/>
      <c r="AX224" s="31" t="str">
        <f>IFERROR(INDEX('G-7 Rivers Data'!$AZ$3:$AZ$7,MATCH(N224,'G-7 Rivers Data'!$AY$3:$AY$7,0)),"")</f>
        <v/>
      </c>
    </row>
    <row r="225" spans="2:50" ht="13.8" x14ac:dyDescent="0.25">
      <c r="B225" s="531" t="str">
        <f>'F-1 Off Site River Baseline'!AN223</f>
        <v/>
      </c>
      <c r="C225" s="520" t="str">
        <f>IF(B225="","",VLOOKUP($B225,'F-1 Off Site River Baseline'!$C$9:$R$257,2,FALSE))</f>
        <v/>
      </c>
      <c r="D225" s="520" t="str">
        <f>IF(C225="","",VLOOKUP($B225,'F-1 Off Site River Baseline'!$C$9:$R$257,3,FALSE))</f>
        <v/>
      </c>
      <c r="E225" s="520" t="str">
        <f>IF(D225="","",VLOOKUP($B225,'F-1 Off Site River Baseline'!$C$9:$R$257,4,FALSE))</f>
        <v/>
      </c>
      <c r="F225" s="520" t="str">
        <f>IF(E225="","",VLOOKUP($B225,'F-1 Off Site River Baseline'!$C$9:$R$257,5,FALSE))</f>
        <v/>
      </c>
      <c r="G225" s="520" t="str">
        <f>IF(F225="","",VLOOKUP($B225,'F-1 Off Site River Baseline'!$C$9:$R$257,6,FALSE))</f>
        <v/>
      </c>
      <c r="H225" s="520" t="str">
        <f>IF(G225="","",VLOOKUP($B225,'F-1 Off Site River Baseline'!$C$9:$R$257,7,FALSE))</f>
        <v/>
      </c>
      <c r="I225" s="520" t="str">
        <f>IF(H225="","",VLOOKUP($B225,'F-1 Off Site River Baseline'!$C$9:$R$257,8,FALSE))</f>
        <v/>
      </c>
      <c r="J225" s="520" t="str">
        <f>IF(I225="","",VLOOKUP($B225,'F-1 Off Site River Baseline'!$C$9:$R$257,9,FALSE))</f>
        <v/>
      </c>
      <c r="K225" s="520" t="str">
        <f>IF(J225="","",VLOOKUP($B225,'F-1 Off Site River Baseline'!$C$9:$R$257,10,FALSE))</f>
        <v/>
      </c>
      <c r="L225" s="520" t="str">
        <f>IF(B225="","",VLOOKUP($B225,'C-1 Site River Baseline'!$C$9:$R$257,15,FALSE))</f>
        <v/>
      </c>
      <c r="M225" s="524" t="str">
        <f>IF(L225="","",VLOOKUP($B225,'F-1 Off Site River Baseline'!$C$9:$R$257,16,FALSE))</f>
        <v/>
      </c>
      <c r="N225" s="418" t="str">
        <f t="shared" si="28"/>
        <v/>
      </c>
      <c r="O225" s="498" t="str">
        <f t="shared" si="29"/>
        <v/>
      </c>
      <c r="P225" s="499" t="str">
        <f>IF(C225="","",IF(AND(LEFT(C225,55)&lt;&gt;LEFT(N225,55),O225="High - High"),"Error - Not like for like ▲",IF(AND(F225=S225,H225&gt;U225),"Error - Can not reduce condition ▲",IF(AND(F225=S225,H225=U225,AJ225='F-1 Off Site River Baseline'!N223,'F-1 Off Site River Baseline'!P223=AL225),"Error - No enhancement ▲",IF(AND(C225&lt;&gt;N225,F225&lt;S225),"Lower Distinctiveness Habitat"&amp;" - "&amp;T225,G225&amp;" - "&amp;T225)))))</f>
        <v/>
      </c>
      <c r="Q225" s="505" t="str">
        <f>IF(N225="","",VLOOKUP(B225,'F-1 Off Site River Baseline'!$C$10:$AA$257,19,FALSE))</f>
        <v/>
      </c>
      <c r="R225" s="498" t="str">
        <f>IF(N225="","",VLOOKUP(N225,'G-7 Rivers Data'!$B$2:$G$8,2,FALSE))</f>
        <v/>
      </c>
      <c r="S225" s="499" t="str">
        <f>IFERROR(VLOOKUP(R225,'G-7 Rivers Data'!$C$4:$D$8,2,FALSE),"")</f>
        <v/>
      </c>
      <c r="T225" s="145"/>
      <c r="U225" s="499" t="str">
        <f>IFERROR(INDEX('G-7 Rivers Data'!$H$4:$L$8,MATCH(N225,'G-7 Rivers Data'!$B$4:$B$8,0),MATCH(T225,'G-7 Rivers Data'!$H$3:$L$3,0)),"")</f>
        <v/>
      </c>
      <c r="V225" s="154"/>
      <c r="W225" s="520" t="str">
        <f>IF(V225="","",IF(VLOOKUP(V225,'G-7 Rivers Data'!$AG$4:$AI$9,2,FALSE)=0,"Spatial Data Missing ⚠",VLOOKUP(V225,'G-7 Rivers Data'!$AG$4:$AI$9,2,FALSE)))</f>
        <v/>
      </c>
      <c r="X225" s="524" t="str">
        <f>IF(V225="","",IF(VLOOKUP(V225,'G-7 Rivers Data'!$AG$4:$AI$9,3,FALSE)=0,"Spatial Data Missing ⚠",VLOOKUP(V225,'G-7 Rivers Data'!$AG$4:$AI$9,3,FALSE)))</f>
        <v/>
      </c>
      <c r="Y225" s="537" t="str">
        <f>IFERROR(IF(OR(LEFT(P225,5)="Error ▲",LEFT(O225,5)="Error ▲"),"Check Data ⚠",IF(F225&lt;S225,'G-7 Rivers Data'!$R$3,INDEX('G-7 Rivers Data'!$U$5:$Y$9,MATCH(G225,'G-7 Rivers Data'!$T$5:$T$9,0),MATCH(T225,'G-7 Rivers Data'!$U$4:$Y$4,0)))),"")</f>
        <v/>
      </c>
      <c r="Z225" s="203"/>
      <c r="AA225" s="203"/>
      <c r="AB225" s="534" t="str">
        <f t="shared" si="24"/>
        <v/>
      </c>
      <c r="AC225" s="521" t="str">
        <f t="shared" si="25"/>
        <v/>
      </c>
      <c r="AD225" s="564" t="str">
        <f>IFERROR(IF(AC225="Check Data ⚠","Check Data ⚠",VLOOKUP(AC225,'G-4 Temporal multipliers'!$A$4:$C$37,3,FALSE)),"")</f>
        <v/>
      </c>
      <c r="AE225" s="537" t="str">
        <f>IF(N225="","",VLOOKUP(N225,'G-7 Rivers Data'!$B$4:$G$8,5,FALSE))</f>
        <v/>
      </c>
      <c r="AF225" s="520" t="str">
        <f t="shared" si="26"/>
        <v/>
      </c>
      <c r="AG225" s="520" t="str">
        <f t="shared" si="30"/>
        <v/>
      </c>
      <c r="AH225" s="524" t="str">
        <f t="shared" si="27"/>
        <v/>
      </c>
      <c r="AI225" s="145"/>
      <c r="AJ225" s="499" t="str">
        <f>IF(AI225="","",IF(VLOOKUP(AI225,'G-7 Rivers Data'!$AA$4:$AB$7,2,FALSE)=0,"Spatial Data Missing ⚠",VLOOKUP(AI225,'G-7 Rivers Data'!$AA$4:$AB$7,2,FALSE)))</f>
        <v/>
      </c>
      <c r="AK225" s="155"/>
      <c r="AL225" s="536" t="str">
        <f>IF(AK225="","",IF(VLOOKUP(AK225,'G-7 Rivers Data'!$AD$4:$AE$8,2,FALSE)=0,"Spatial Data Missing ⚠",VLOOKUP(AK225,'G-7 Rivers Data'!$AD$4:$AE$8,2,FALSE)))</f>
        <v/>
      </c>
      <c r="AM225" s="154"/>
      <c r="AN225" s="524" t="str">
        <f>IF(AM225="","",VLOOKUP(AM225,'G-7 Rivers Data'!$AO$4:$AP$7,2,FALSE))</f>
        <v/>
      </c>
      <c r="AO225" s="545" t="str">
        <f t="shared" si="31"/>
        <v/>
      </c>
      <c r="AP225" s="149"/>
      <c r="AQ225" s="150"/>
      <c r="AX225" s="31" t="str">
        <f>IFERROR(INDEX('G-7 Rivers Data'!$AZ$3:$AZ$7,MATCH(N225,'G-7 Rivers Data'!$AY$3:$AY$7,0)),"")</f>
        <v/>
      </c>
    </row>
    <row r="226" spans="2:50" ht="13.8" x14ac:dyDescent="0.25">
      <c r="B226" s="531" t="str">
        <f>'F-1 Off Site River Baseline'!AN224</f>
        <v/>
      </c>
      <c r="C226" s="520" t="str">
        <f>IF(B226="","",VLOOKUP($B226,'F-1 Off Site River Baseline'!$C$9:$R$257,2,FALSE))</f>
        <v/>
      </c>
      <c r="D226" s="520" t="str">
        <f>IF(C226="","",VLOOKUP($B226,'F-1 Off Site River Baseline'!$C$9:$R$257,3,FALSE))</f>
        <v/>
      </c>
      <c r="E226" s="520" t="str">
        <f>IF(D226="","",VLOOKUP($B226,'F-1 Off Site River Baseline'!$C$9:$R$257,4,FALSE))</f>
        <v/>
      </c>
      <c r="F226" s="520" t="str">
        <f>IF(E226="","",VLOOKUP($B226,'F-1 Off Site River Baseline'!$C$9:$R$257,5,FALSE))</f>
        <v/>
      </c>
      <c r="G226" s="520" t="str">
        <f>IF(F226="","",VLOOKUP($B226,'F-1 Off Site River Baseline'!$C$9:$R$257,6,FALSE))</f>
        <v/>
      </c>
      <c r="H226" s="520" t="str">
        <f>IF(G226="","",VLOOKUP($B226,'F-1 Off Site River Baseline'!$C$9:$R$257,7,FALSE))</f>
        <v/>
      </c>
      <c r="I226" s="520" t="str">
        <f>IF(H226="","",VLOOKUP($B226,'F-1 Off Site River Baseline'!$C$9:$R$257,8,FALSE))</f>
        <v/>
      </c>
      <c r="J226" s="520" t="str">
        <f>IF(I226="","",VLOOKUP($B226,'F-1 Off Site River Baseline'!$C$9:$R$257,9,FALSE))</f>
        <v/>
      </c>
      <c r="K226" s="520" t="str">
        <f>IF(J226="","",VLOOKUP($B226,'F-1 Off Site River Baseline'!$C$9:$R$257,10,FALSE))</f>
        <v/>
      </c>
      <c r="L226" s="520" t="str">
        <f>IF(B226="","",VLOOKUP($B226,'C-1 Site River Baseline'!$C$9:$R$257,15,FALSE))</f>
        <v/>
      </c>
      <c r="M226" s="524" t="str">
        <f>IF(L226="","",VLOOKUP($B226,'F-1 Off Site River Baseline'!$C$9:$R$257,16,FALSE))</f>
        <v/>
      </c>
      <c r="N226" s="418" t="str">
        <f t="shared" si="28"/>
        <v/>
      </c>
      <c r="O226" s="498" t="str">
        <f t="shared" si="29"/>
        <v/>
      </c>
      <c r="P226" s="499" t="str">
        <f>IF(C226="","",IF(AND(LEFT(C226,55)&lt;&gt;LEFT(N226,55),O226="High - High"),"Error - Not like for like ▲",IF(AND(F226=S226,H226&gt;U226),"Error - Can not reduce condition ▲",IF(AND(F226=S226,H226=U226,AJ226='F-1 Off Site River Baseline'!N224,'F-1 Off Site River Baseline'!P224=AL226),"Error - No enhancement ▲",IF(AND(C226&lt;&gt;N226,F226&lt;S226),"Lower Distinctiveness Habitat"&amp;" - "&amp;T226,G226&amp;" - "&amp;T226)))))</f>
        <v/>
      </c>
      <c r="Q226" s="505" t="str">
        <f>IF(N226="","",VLOOKUP(B226,'F-1 Off Site River Baseline'!$C$10:$AA$257,19,FALSE))</f>
        <v/>
      </c>
      <c r="R226" s="498" t="str">
        <f>IF(N226="","",VLOOKUP(N226,'G-7 Rivers Data'!$B$2:$G$8,2,FALSE))</f>
        <v/>
      </c>
      <c r="S226" s="499" t="str">
        <f>IFERROR(VLOOKUP(R226,'G-7 Rivers Data'!$C$4:$D$8,2,FALSE),"")</f>
        <v/>
      </c>
      <c r="T226" s="145"/>
      <c r="U226" s="499" t="str">
        <f>IFERROR(INDEX('G-7 Rivers Data'!$H$4:$L$8,MATCH(N226,'G-7 Rivers Data'!$B$4:$B$8,0),MATCH(T226,'G-7 Rivers Data'!$H$3:$L$3,0)),"")</f>
        <v/>
      </c>
      <c r="V226" s="154"/>
      <c r="W226" s="520" t="str">
        <f>IF(V226="","",IF(VLOOKUP(V226,'G-7 Rivers Data'!$AG$4:$AI$9,2,FALSE)=0,"Spatial Data Missing ⚠",VLOOKUP(V226,'G-7 Rivers Data'!$AG$4:$AI$9,2,FALSE)))</f>
        <v/>
      </c>
      <c r="X226" s="524" t="str">
        <f>IF(V226="","",IF(VLOOKUP(V226,'G-7 Rivers Data'!$AG$4:$AI$9,3,FALSE)=0,"Spatial Data Missing ⚠",VLOOKUP(V226,'G-7 Rivers Data'!$AG$4:$AI$9,3,FALSE)))</f>
        <v/>
      </c>
      <c r="Y226" s="537" t="str">
        <f>IFERROR(IF(OR(LEFT(P226,5)="Error ▲",LEFT(O226,5)="Error ▲"),"Check Data ⚠",IF(F226&lt;S226,'G-7 Rivers Data'!$R$3,INDEX('G-7 Rivers Data'!$U$5:$Y$9,MATCH(G226,'G-7 Rivers Data'!$T$5:$T$9,0),MATCH(T226,'G-7 Rivers Data'!$U$4:$Y$4,0)))),"")</f>
        <v/>
      </c>
      <c r="Z226" s="203"/>
      <c r="AA226" s="203"/>
      <c r="AB226" s="534" t="str">
        <f t="shared" si="24"/>
        <v/>
      </c>
      <c r="AC226" s="521" t="str">
        <f t="shared" si="25"/>
        <v/>
      </c>
      <c r="AD226" s="564" t="str">
        <f>IFERROR(IF(AC226="Check Data ⚠","Check Data ⚠",VLOOKUP(AC226,'G-4 Temporal multipliers'!$A$4:$C$37,3,FALSE)),"")</f>
        <v/>
      </c>
      <c r="AE226" s="537" t="str">
        <f>IF(N226="","",VLOOKUP(N226,'G-7 Rivers Data'!$B$4:$G$8,5,FALSE))</f>
        <v/>
      </c>
      <c r="AF226" s="520" t="str">
        <f t="shared" si="26"/>
        <v/>
      </c>
      <c r="AG226" s="520" t="str">
        <f t="shared" si="30"/>
        <v/>
      </c>
      <c r="AH226" s="524" t="str">
        <f t="shared" si="27"/>
        <v/>
      </c>
      <c r="AI226" s="145"/>
      <c r="AJ226" s="499" t="str">
        <f>IF(AI226="","",IF(VLOOKUP(AI226,'G-7 Rivers Data'!$AA$4:$AB$7,2,FALSE)=0,"Spatial Data Missing ⚠",VLOOKUP(AI226,'G-7 Rivers Data'!$AA$4:$AB$7,2,FALSE)))</f>
        <v/>
      </c>
      <c r="AK226" s="155"/>
      <c r="AL226" s="536" t="str">
        <f>IF(AK226="","",IF(VLOOKUP(AK226,'G-7 Rivers Data'!$AD$4:$AE$8,2,FALSE)=0,"Spatial Data Missing ⚠",VLOOKUP(AK226,'G-7 Rivers Data'!$AD$4:$AE$8,2,FALSE)))</f>
        <v/>
      </c>
      <c r="AM226" s="154"/>
      <c r="AN226" s="524" t="str">
        <f>IF(AM226="","",VLOOKUP(AM226,'G-7 Rivers Data'!$AO$4:$AP$7,2,FALSE))</f>
        <v/>
      </c>
      <c r="AO226" s="545" t="str">
        <f t="shared" si="31"/>
        <v/>
      </c>
      <c r="AP226" s="149"/>
      <c r="AQ226" s="150"/>
      <c r="AX226" s="31" t="str">
        <f>IFERROR(INDEX('G-7 Rivers Data'!$AZ$3:$AZ$7,MATCH(N226,'G-7 Rivers Data'!$AY$3:$AY$7,0)),"")</f>
        <v/>
      </c>
    </row>
    <row r="227" spans="2:50" ht="13.8" x14ac:dyDescent="0.25">
      <c r="B227" s="531" t="str">
        <f>'F-1 Off Site River Baseline'!AN225</f>
        <v/>
      </c>
      <c r="C227" s="520" t="str">
        <f>IF(B227="","",VLOOKUP($B227,'F-1 Off Site River Baseline'!$C$9:$R$257,2,FALSE))</f>
        <v/>
      </c>
      <c r="D227" s="520" t="str">
        <f>IF(C227="","",VLOOKUP($B227,'F-1 Off Site River Baseline'!$C$9:$R$257,3,FALSE))</f>
        <v/>
      </c>
      <c r="E227" s="520" t="str">
        <f>IF(D227="","",VLOOKUP($B227,'F-1 Off Site River Baseline'!$C$9:$R$257,4,FALSE))</f>
        <v/>
      </c>
      <c r="F227" s="520" t="str">
        <f>IF(E227="","",VLOOKUP($B227,'F-1 Off Site River Baseline'!$C$9:$R$257,5,FALSE))</f>
        <v/>
      </c>
      <c r="G227" s="520" t="str">
        <f>IF(F227="","",VLOOKUP($B227,'F-1 Off Site River Baseline'!$C$9:$R$257,6,FALSE))</f>
        <v/>
      </c>
      <c r="H227" s="520" t="str">
        <f>IF(G227="","",VLOOKUP($B227,'F-1 Off Site River Baseline'!$C$9:$R$257,7,FALSE))</f>
        <v/>
      </c>
      <c r="I227" s="520" t="str">
        <f>IF(H227="","",VLOOKUP($B227,'F-1 Off Site River Baseline'!$C$9:$R$257,8,FALSE))</f>
        <v/>
      </c>
      <c r="J227" s="520" t="str">
        <f>IF(I227="","",VLOOKUP($B227,'F-1 Off Site River Baseline'!$C$9:$R$257,9,FALSE))</f>
        <v/>
      </c>
      <c r="K227" s="520" t="str">
        <f>IF(J227="","",VLOOKUP($B227,'F-1 Off Site River Baseline'!$C$9:$R$257,10,FALSE))</f>
        <v/>
      </c>
      <c r="L227" s="520" t="str">
        <f>IF(B227="","",VLOOKUP($B227,'C-1 Site River Baseline'!$C$9:$R$257,15,FALSE))</f>
        <v/>
      </c>
      <c r="M227" s="524" t="str">
        <f>IF(L227="","",VLOOKUP($B227,'F-1 Off Site River Baseline'!$C$9:$R$257,16,FALSE))</f>
        <v/>
      </c>
      <c r="N227" s="418" t="str">
        <f t="shared" si="28"/>
        <v/>
      </c>
      <c r="O227" s="498" t="str">
        <f t="shared" si="29"/>
        <v/>
      </c>
      <c r="P227" s="499" t="str">
        <f>IF(C227="","",IF(AND(LEFT(C227,55)&lt;&gt;LEFT(N227,55),O227="High - High"),"Error - Not like for like ▲",IF(AND(F227=S227,H227&gt;U227),"Error - Can not reduce condition ▲",IF(AND(F227=S227,H227=U227,AJ227='F-1 Off Site River Baseline'!N225,'F-1 Off Site River Baseline'!P225=AL227),"Error - No enhancement ▲",IF(AND(C227&lt;&gt;N227,F227&lt;S227),"Lower Distinctiveness Habitat"&amp;" - "&amp;T227,G227&amp;" - "&amp;T227)))))</f>
        <v/>
      </c>
      <c r="Q227" s="505" t="str">
        <f>IF(N227="","",VLOOKUP(B227,'F-1 Off Site River Baseline'!$C$10:$AA$257,19,FALSE))</f>
        <v/>
      </c>
      <c r="R227" s="498" t="str">
        <f>IF(N227="","",VLOOKUP(N227,'G-7 Rivers Data'!$B$2:$G$8,2,FALSE))</f>
        <v/>
      </c>
      <c r="S227" s="499" t="str">
        <f>IFERROR(VLOOKUP(R227,'G-7 Rivers Data'!$C$4:$D$8,2,FALSE),"")</f>
        <v/>
      </c>
      <c r="T227" s="145"/>
      <c r="U227" s="499" t="str">
        <f>IFERROR(INDEX('G-7 Rivers Data'!$H$4:$L$8,MATCH(N227,'G-7 Rivers Data'!$B$4:$B$8,0),MATCH(T227,'G-7 Rivers Data'!$H$3:$L$3,0)),"")</f>
        <v/>
      </c>
      <c r="V227" s="154"/>
      <c r="W227" s="520" t="str">
        <f>IF(V227="","",IF(VLOOKUP(V227,'G-7 Rivers Data'!$AG$4:$AI$9,2,FALSE)=0,"Spatial Data Missing ⚠",VLOOKUP(V227,'G-7 Rivers Data'!$AG$4:$AI$9,2,FALSE)))</f>
        <v/>
      </c>
      <c r="X227" s="524" t="str">
        <f>IF(V227="","",IF(VLOOKUP(V227,'G-7 Rivers Data'!$AG$4:$AI$9,3,FALSE)=0,"Spatial Data Missing ⚠",VLOOKUP(V227,'G-7 Rivers Data'!$AG$4:$AI$9,3,FALSE)))</f>
        <v/>
      </c>
      <c r="Y227" s="537" t="str">
        <f>IFERROR(IF(OR(LEFT(P227,5)="Error ▲",LEFT(O227,5)="Error ▲"),"Check Data ⚠",IF(F227&lt;S227,'G-7 Rivers Data'!$R$3,INDEX('G-7 Rivers Data'!$U$5:$Y$9,MATCH(G227,'G-7 Rivers Data'!$T$5:$T$9,0),MATCH(T227,'G-7 Rivers Data'!$U$4:$Y$4,0)))),"")</f>
        <v/>
      </c>
      <c r="Z227" s="203"/>
      <c r="AA227" s="203"/>
      <c r="AB227" s="534" t="str">
        <f t="shared" si="24"/>
        <v/>
      </c>
      <c r="AC227" s="521" t="str">
        <f t="shared" si="25"/>
        <v/>
      </c>
      <c r="AD227" s="564" t="str">
        <f>IFERROR(IF(AC227="Check Data ⚠","Check Data ⚠",VLOOKUP(AC227,'G-4 Temporal multipliers'!$A$4:$C$37,3,FALSE)),"")</f>
        <v/>
      </c>
      <c r="AE227" s="537" t="str">
        <f>IF(N227="","",VLOOKUP(N227,'G-7 Rivers Data'!$B$4:$G$8,5,FALSE))</f>
        <v/>
      </c>
      <c r="AF227" s="520" t="str">
        <f t="shared" si="26"/>
        <v/>
      </c>
      <c r="AG227" s="520" t="str">
        <f t="shared" si="30"/>
        <v/>
      </c>
      <c r="AH227" s="524" t="str">
        <f t="shared" si="27"/>
        <v/>
      </c>
      <c r="AI227" s="145"/>
      <c r="AJ227" s="499" t="str">
        <f>IF(AI227="","",IF(VLOOKUP(AI227,'G-7 Rivers Data'!$AA$4:$AB$7,2,FALSE)=0,"Spatial Data Missing ⚠",VLOOKUP(AI227,'G-7 Rivers Data'!$AA$4:$AB$7,2,FALSE)))</f>
        <v/>
      </c>
      <c r="AK227" s="155"/>
      <c r="AL227" s="536" t="str">
        <f>IF(AK227="","",IF(VLOOKUP(AK227,'G-7 Rivers Data'!$AD$4:$AE$8,2,FALSE)=0,"Spatial Data Missing ⚠",VLOOKUP(AK227,'G-7 Rivers Data'!$AD$4:$AE$8,2,FALSE)))</f>
        <v/>
      </c>
      <c r="AM227" s="154"/>
      <c r="AN227" s="524" t="str">
        <f>IF(AM227="","",VLOOKUP(AM227,'G-7 Rivers Data'!$AO$4:$AP$7,2,FALSE))</f>
        <v/>
      </c>
      <c r="AO227" s="545" t="str">
        <f t="shared" si="31"/>
        <v/>
      </c>
      <c r="AP227" s="149"/>
      <c r="AQ227" s="150"/>
      <c r="AX227" s="31" t="str">
        <f>IFERROR(INDEX('G-7 Rivers Data'!$AZ$3:$AZ$7,MATCH(N227,'G-7 Rivers Data'!$AY$3:$AY$7,0)),"")</f>
        <v/>
      </c>
    </row>
    <row r="228" spans="2:50" ht="13.8" x14ac:dyDescent="0.25">
      <c r="B228" s="531" t="str">
        <f>'F-1 Off Site River Baseline'!AN226</f>
        <v/>
      </c>
      <c r="C228" s="520" t="str">
        <f>IF(B228="","",VLOOKUP($B228,'F-1 Off Site River Baseline'!$C$9:$R$257,2,FALSE))</f>
        <v/>
      </c>
      <c r="D228" s="520" t="str">
        <f>IF(C228="","",VLOOKUP($B228,'F-1 Off Site River Baseline'!$C$9:$R$257,3,FALSE))</f>
        <v/>
      </c>
      <c r="E228" s="520" t="str">
        <f>IF(D228="","",VLOOKUP($B228,'F-1 Off Site River Baseline'!$C$9:$R$257,4,FALSE))</f>
        <v/>
      </c>
      <c r="F228" s="520" t="str">
        <f>IF(E228="","",VLOOKUP($B228,'F-1 Off Site River Baseline'!$C$9:$R$257,5,FALSE))</f>
        <v/>
      </c>
      <c r="G228" s="520" t="str">
        <f>IF(F228="","",VLOOKUP($B228,'F-1 Off Site River Baseline'!$C$9:$R$257,6,FALSE))</f>
        <v/>
      </c>
      <c r="H228" s="520" t="str">
        <f>IF(G228="","",VLOOKUP($B228,'F-1 Off Site River Baseline'!$C$9:$R$257,7,FALSE))</f>
        <v/>
      </c>
      <c r="I228" s="520" t="str">
        <f>IF(H228="","",VLOOKUP($B228,'F-1 Off Site River Baseline'!$C$9:$R$257,8,FALSE))</f>
        <v/>
      </c>
      <c r="J228" s="520" t="str">
        <f>IF(I228="","",VLOOKUP($B228,'F-1 Off Site River Baseline'!$C$9:$R$257,9,FALSE))</f>
        <v/>
      </c>
      <c r="K228" s="520" t="str">
        <f>IF(J228="","",VLOOKUP($B228,'F-1 Off Site River Baseline'!$C$9:$R$257,10,FALSE))</f>
        <v/>
      </c>
      <c r="L228" s="520" t="str">
        <f>IF(B228="","",VLOOKUP($B228,'C-1 Site River Baseline'!$C$9:$R$257,15,FALSE))</f>
        <v/>
      </c>
      <c r="M228" s="524" t="str">
        <f>IF(L228="","",VLOOKUP($B228,'F-1 Off Site River Baseline'!$C$9:$R$257,16,FALSE))</f>
        <v/>
      </c>
      <c r="N228" s="418" t="str">
        <f t="shared" si="28"/>
        <v/>
      </c>
      <c r="O228" s="498" t="str">
        <f t="shared" si="29"/>
        <v/>
      </c>
      <c r="P228" s="499" t="str">
        <f>IF(C228="","",IF(AND(LEFT(C228,55)&lt;&gt;LEFT(N228,55),O228="High - High"),"Error - Not like for like ▲",IF(AND(F228=S228,H228&gt;U228),"Error - Can not reduce condition ▲",IF(AND(F228=S228,H228=U228,AJ228='F-1 Off Site River Baseline'!N226,'F-1 Off Site River Baseline'!P226=AL228),"Error - No enhancement ▲",IF(AND(C228&lt;&gt;N228,F228&lt;S228),"Lower Distinctiveness Habitat"&amp;" - "&amp;T228,G228&amp;" - "&amp;T228)))))</f>
        <v/>
      </c>
      <c r="Q228" s="505" t="str">
        <f>IF(N228="","",VLOOKUP(B228,'F-1 Off Site River Baseline'!$C$10:$AA$257,19,FALSE))</f>
        <v/>
      </c>
      <c r="R228" s="498" t="str">
        <f>IF(N228="","",VLOOKUP(N228,'G-7 Rivers Data'!$B$2:$G$8,2,FALSE))</f>
        <v/>
      </c>
      <c r="S228" s="499" t="str">
        <f>IFERROR(VLOOKUP(R228,'G-7 Rivers Data'!$C$4:$D$8,2,FALSE),"")</f>
        <v/>
      </c>
      <c r="T228" s="145"/>
      <c r="U228" s="499" t="str">
        <f>IFERROR(INDEX('G-7 Rivers Data'!$H$4:$L$8,MATCH(N228,'G-7 Rivers Data'!$B$4:$B$8,0),MATCH(T228,'G-7 Rivers Data'!$H$3:$L$3,0)),"")</f>
        <v/>
      </c>
      <c r="V228" s="154"/>
      <c r="W228" s="520" t="str">
        <f>IF(V228="","",IF(VLOOKUP(V228,'G-7 Rivers Data'!$AG$4:$AI$9,2,FALSE)=0,"Spatial Data Missing ⚠",VLOOKUP(V228,'G-7 Rivers Data'!$AG$4:$AI$9,2,FALSE)))</f>
        <v/>
      </c>
      <c r="X228" s="524" t="str">
        <f>IF(V228="","",IF(VLOOKUP(V228,'G-7 Rivers Data'!$AG$4:$AI$9,3,FALSE)=0,"Spatial Data Missing ⚠",VLOOKUP(V228,'G-7 Rivers Data'!$AG$4:$AI$9,3,FALSE)))</f>
        <v/>
      </c>
      <c r="Y228" s="537" t="str">
        <f>IFERROR(IF(OR(LEFT(P228,5)="Error ▲",LEFT(O228,5)="Error ▲"),"Check Data ⚠",IF(F228&lt;S228,'G-7 Rivers Data'!$R$3,INDEX('G-7 Rivers Data'!$U$5:$Y$9,MATCH(G228,'G-7 Rivers Data'!$T$5:$T$9,0),MATCH(T228,'G-7 Rivers Data'!$U$4:$Y$4,0)))),"")</f>
        <v/>
      </c>
      <c r="Z228" s="203"/>
      <c r="AA228" s="203"/>
      <c r="AB228" s="534" t="str">
        <f t="shared" si="24"/>
        <v/>
      </c>
      <c r="AC228" s="521" t="str">
        <f t="shared" si="25"/>
        <v/>
      </c>
      <c r="AD228" s="564" t="str">
        <f>IFERROR(IF(AC228="Check Data ⚠","Check Data ⚠",VLOOKUP(AC228,'G-4 Temporal multipliers'!$A$4:$C$37,3,FALSE)),"")</f>
        <v/>
      </c>
      <c r="AE228" s="537" t="str">
        <f>IF(N228="","",VLOOKUP(N228,'G-7 Rivers Data'!$B$4:$G$8,5,FALSE))</f>
        <v/>
      </c>
      <c r="AF228" s="520" t="str">
        <f t="shared" si="26"/>
        <v/>
      </c>
      <c r="AG228" s="520" t="str">
        <f t="shared" si="30"/>
        <v/>
      </c>
      <c r="AH228" s="524" t="str">
        <f t="shared" si="27"/>
        <v/>
      </c>
      <c r="AI228" s="145"/>
      <c r="AJ228" s="499" t="str">
        <f>IF(AI228="","",IF(VLOOKUP(AI228,'G-7 Rivers Data'!$AA$4:$AB$7,2,FALSE)=0,"Spatial Data Missing ⚠",VLOOKUP(AI228,'G-7 Rivers Data'!$AA$4:$AB$7,2,FALSE)))</f>
        <v/>
      </c>
      <c r="AK228" s="155"/>
      <c r="AL228" s="536" t="str">
        <f>IF(AK228="","",IF(VLOOKUP(AK228,'G-7 Rivers Data'!$AD$4:$AE$8,2,FALSE)=0,"Spatial Data Missing ⚠",VLOOKUP(AK228,'G-7 Rivers Data'!$AD$4:$AE$8,2,FALSE)))</f>
        <v/>
      </c>
      <c r="AM228" s="154"/>
      <c r="AN228" s="524" t="str">
        <f>IF(AM228="","",VLOOKUP(AM228,'G-7 Rivers Data'!$AO$4:$AP$7,2,FALSE))</f>
        <v/>
      </c>
      <c r="AO228" s="545" t="str">
        <f t="shared" si="31"/>
        <v/>
      </c>
      <c r="AP228" s="149"/>
      <c r="AQ228" s="150"/>
      <c r="AX228" s="31" t="str">
        <f>IFERROR(INDEX('G-7 Rivers Data'!$AZ$3:$AZ$7,MATCH(N228,'G-7 Rivers Data'!$AY$3:$AY$7,0)),"")</f>
        <v/>
      </c>
    </row>
    <row r="229" spans="2:50" ht="13.8" x14ac:dyDescent="0.25">
      <c r="B229" s="531" t="str">
        <f>'F-1 Off Site River Baseline'!AN227</f>
        <v/>
      </c>
      <c r="C229" s="520" t="str">
        <f>IF(B229="","",VLOOKUP($B229,'F-1 Off Site River Baseline'!$C$9:$R$257,2,FALSE))</f>
        <v/>
      </c>
      <c r="D229" s="520" t="str">
        <f>IF(C229="","",VLOOKUP($B229,'F-1 Off Site River Baseline'!$C$9:$R$257,3,FALSE))</f>
        <v/>
      </c>
      <c r="E229" s="520" t="str">
        <f>IF(D229="","",VLOOKUP($B229,'F-1 Off Site River Baseline'!$C$9:$R$257,4,FALSE))</f>
        <v/>
      </c>
      <c r="F229" s="520" t="str">
        <f>IF(E229="","",VLOOKUP($B229,'F-1 Off Site River Baseline'!$C$9:$R$257,5,FALSE))</f>
        <v/>
      </c>
      <c r="G229" s="520" t="str">
        <f>IF(F229="","",VLOOKUP($B229,'F-1 Off Site River Baseline'!$C$9:$R$257,6,FALSE))</f>
        <v/>
      </c>
      <c r="H229" s="520" t="str">
        <f>IF(G229="","",VLOOKUP($B229,'F-1 Off Site River Baseline'!$C$9:$R$257,7,FALSE))</f>
        <v/>
      </c>
      <c r="I229" s="520" t="str">
        <f>IF(H229="","",VLOOKUP($B229,'F-1 Off Site River Baseline'!$C$9:$R$257,8,FALSE))</f>
        <v/>
      </c>
      <c r="J229" s="520" t="str">
        <f>IF(I229="","",VLOOKUP($B229,'F-1 Off Site River Baseline'!$C$9:$R$257,9,FALSE))</f>
        <v/>
      </c>
      <c r="K229" s="520" t="str">
        <f>IF(J229="","",VLOOKUP($B229,'F-1 Off Site River Baseline'!$C$9:$R$257,10,FALSE))</f>
        <v/>
      </c>
      <c r="L229" s="520" t="str">
        <f>IF(B229="","",VLOOKUP($B229,'C-1 Site River Baseline'!$C$9:$R$257,15,FALSE))</f>
        <v/>
      </c>
      <c r="M229" s="524" t="str">
        <f>IF(L229="","",VLOOKUP($B229,'F-1 Off Site River Baseline'!$C$9:$R$257,16,FALSE))</f>
        <v/>
      </c>
      <c r="N229" s="418" t="str">
        <f t="shared" si="28"/>
        <v/>
      </c>
      <c r="O229" s="498" t="str">
        <f t="shared" si="29"/>
        <v/>
      </c>
      <c r="P229" s="499" t="str">
        <f>IF(C229="","",IF(AND(LEFT(C229,55)&lt;&gt;LEFT(N229,55),O229="High - High"),"Error - Not like for like ▲",IF(AND(F229=S229,H229&gt;U229),"Error - Can not reduce condition ▲",IF(AND(F229=S229,H229=U229,AJ229='F-1 Off Site River Baseline'!N227,'F-1 Off Site River Baseline'!P227=AL229),"Error - No enhancement ▲",IF(AND(C229&lt;&gt;N229,F229&lt;S229),"Lower Distinctiveness Habitat"&amp;" - "&amp;T229,G229&amp;" - "&amp;T229)))))</f>
        <v/>
      </c>
      <c r="Q229" s="505" t="str">
        <f>IF(N229="","",VLOOKUP(B229,'F-1 Off Site River Baseline'!$C$10:$AA$257,19,FALSE))</f>
        <v/>
      </c>
      <c r="R229" s="498" t="str">
        <f>IF(N229="","",VLOOKUP(N229,'G-7 Rivers Data'!$B$2:$G$8,2,FALSE))</f>
        <v/>
      </c>
      <c r="S229" s="499" t="str">
        <f>IFERROR(VLOOKUP(R229,'G-7 Rivers Data'!$C$4:$D$8,2,FALSE),"")</f>
        <v/>
      </c>
      <c r="T229" s="145"/>
      <c r="U229" s="499" t="str">
        <f>IFERROR(INDEX('G-7 Rivers Data'!$H$4:$L$8,MATCH(N229,'G-7 Rivers Data'!$B$4:$B$8,0),MATCH(T229,'G-7 Rivers Data'!$H$3:$L$3,0)),"")</f>
        <v/>
      </c>
      <c r="V229" s="154"/>
      <c r="W229" s="520" t="str">
        <f>IF(V229="","",IF(VLOOKUP(V229,'G-7 Rivers Data'!$AG$4:$AI$9,2,FALSE)=0,"Spatial Data Missing ⚠",VLOOKUP(V229,'G-7 Rivers Data'!$AG$4:$AI$9,2,FALSE)))</f>
        <v/>
      </c>
      <c r="X229" s="524" t="str">
        <f>IF(V229="","",IF(VLOOKUP(V229,'G-7 Rivers Data'!$AG$4:$AI$9,3,FALSE)=0,"Spatial Data Missing ⚠",VLOOKUP(V229,'G-7 Rivers Data'!$AG$4:$AI$9,3,FALSE)))</f>
        <v/>
      </c>
      <c r="Y229" s="537" t="str">
        <f>IFERROR(IF(OR(LEFT(P229,5)="Error ▲",LEFT(O229,5)="Error ▲"),"Check Data ⚠",IF(F229&lt;S229,'G-7 Rivers Data'!$R$3,INDEX('G-7 Rivers Data'!$U$5:$Y$9,MATCH(G229,'G-7 Rivers Data'!$T$5:$T$9,0),MATCH(T229,'G-7 Rivers Data'!$U$4:$Y$4,0)))),"")</f>
        <v/>
      </c>
      <c r="Z229" s="203"/>
      <c r="AA229" s="203"/>
      <c r="AB229" s="534" t="str">
        <f t="shared" si="24"/>
        <v/>
      </c>
      <c r="AC229" s="521" t="str">
        <f t="shared" si="25"/>
        <v/>
      </c>
      <c r="AD229" s="564" t="str">
        <f>IFERROR(IF(AC229="Check Data ⚠","Check Data ⚠",VLOOKUP(AC229,'G-4 Temporal multipliers'!$A$4:$C$37,3,FALSE)),"")</f>
        <v/>
      </c>
      <c r="AE229" s="537" t="str">
        <f>IF(N229="","",VLOOKUP(N229,'G-7 Rivers Data'!$B$4:$G$8,5,FALSE))</f>
        <v/>
      </c>
      <c r="AF229" s="520" t="str">
        <f t="shared" si="26"/>
        <v/>
      </c>
      <c r="AG229" s="520" t="str">
        <f t="shared" si="30"/>
        <v/>
      </c>
      <c r="AH229" s="524" t="str">
        <f t="shared" si="27"/>
        <v/>
      </c>
      <c r="AI229" s="145"/>
      <c r="AJ229" s="499" t="str">
        <f>IF(AI229="","",IF(VLOOKUP(AI229,'G-7 Rivers Data'!$AA$4:$AB$7,2,FALSE)=0,"Spatial Data Missing ⚠",VLOOKUP(AI229,'G-7 Rivers Data'!$AA$4:$AB$7,2,FALSE)))</f>
        <v/>
      </c>
      <c r="AK229" s="155"/>
      <c r="AL229" s="536" t="str">
        <f>IF(AK229="","",IF(VLOOKUP(AK229,'G-7 Rivers Data'!$AD$4:$AE$8,2,FALSE)=0,"Spatial Data Missing ⚠",VLOOKUP(AK229,'G-7 Rivers Data'!$AD$4:$AE$8,2,FALSE)))</f>
        <v/>
      </c>
      <c r="AM229" s="154"/>
      <c r="AN229" s="524" t="str">
        <f>IF(AM229="","",VLOOKUP(AM229,'G-7 Rivers Data'!$AO$4:$AP$7,2,FALSE))</f>
        <v/>
      </c>
      <c r="AO229" s="545" t="str">
        <f t="shared" si="31"/>
        <v/>
      </c>
      <c r="AP229" s="149"/>
      <c r="AQ229" s="150"/>
      <c r="AX229" s="31" t="str">
        <f>IFERROR(INDEX('G-7 Rivers Data'!$AZ$3:$AZ$7,MATCH(N229,'G-7 Rivers Data'!$AY$3:$AY$7,0)),"")</f>
        <v/>
      </c>
    </row>
    <row r="230" spans="2:50" ht="13.8" x14ac:dyDescent="0.25">
      <c r="B230" s="531" t="str">
        <f>'F-1 Off Site River Baseline'!AN228</f>
        <v/>
      </c>
      <c r="C230" s="520" t="str">
        <f>IF(B230="","",VLOOKUP($B230,'F-1 Off Site River Baseline'!$C$9:$R$257,2,FALSE))</f>
        <v/>
      </c>
      <c r="D230" s="520" t="str">
        <f>IF(C230="","",VLOOKUP($B230,'F-1 Off Site River Baseline'!$C$9:$R$257,3,FALSE))</f>
        <v/>
      </c>
      <c r="E230" s="520" t="str">
        <f>IF(D230="","",VLOOKUP($B230,'F-1 Off Site River Baseline'!$C$9:$R$257,4,FALSE))</f>
        <v/>
      </c>
      <c r="F230" s="520" t="str">
        <f>IF(E230="","",VLOOKUP($B230,'F-1 Off Site River Baseline'!$C$9:$R$257,5,FALSE))</f>
        <v/>
      </c>
      <c r="G230" s="520" t="str">
        <f>IF(F230="","",VLOOKUP($B230,'F-1 Off Site River Baseline'!$C$9:$R$257,6,FALSE))</f>
        <v/>
      </c>
      <c r="H230" s="520" t="str">
        <f>IF(G230="","",VLOOKUP($B230,'F-1 Off Site River Baseline'!$C$9:$R$257,7,FALSE))</f>
        <v/>
      </c>
      <c r="I230" s="520" t="str">
        <f>IF(H230="","",VLOOKUP($B230,'F-1 Off Site River Baseline'!$C$9:$R$257,8,FALSE))</f>
        <v/>
      </c>
      <c r="J230" s="520" t="str">
        <f>IF(I230="","",VLOOKUP($B230,'F-1 Off Site River Baseline'!$C$9:$R$257,9,FALSE))</f>
        <v/>
      </c>
      <c r="K230" s="520" t="str">
        <f>IF(J230="","",VLOOKUP($B230,'F-1 Off Site River Baseline'!$C$9:$R$257,10,FALSE))</f>
        <v/>
      </c>
      <c r="L230" s="520" t="str">
        <f>IF(B230="","",VLOOKUP($B230,'C-1 Site River Baseline'!$C$9:$R$257,15,FALSE))</f>
        <v/>
      </c>
      <c r="M230" s="524" t="str">
        <f>IF(L230="","",VLOOKUP($B230,'F-1 Off Site River Baseline'!$C$9:$R$257,16,FALSE))</f>
        <v/>
      </c>
      <c r="N230" s="418" t="str">
        <f t="shared" si="28"/>
        <v/>
      </c>
      <c r="O230" s="498" t="str">
        <f t="shared" si="29"/>
        <v/>
      </c>
      <c r="P230" s="499" t="str">
        <f>IF(C230="","",IF(AND(LEFT(C230,55)&lt;&gt;LEFT(N230,55),O230="High - High"),"Error - Not like for like ▲",IF(AND(F230=S230,H230&gt;U230),"Error - Can not reduce condition ▲",IF(AND(F230=S230,H230=U230,AJ230='F-1 Off Site River Baseline'!N228,'F-1 Off Site River Baseline'!P228=AL230),"Error - No enhancement ▲",IF(AND(C230&lt;&gt;N230,F230&lt;S230),"Lower Distinctiveness Habitat"&amp;" - "&amp;T230,G230&amp;" - "&amp;T230)))))</f>
        <v/>
      </c>
      <c r="Q230" s="505" t="str">
        <f>IF(N230="","",VLOOKUP(B230,'F-1 Off Site River Baseline'!$C$10:$AA$257,19,FALSE))</f>
        <v/>
      </c>
      <c r="R230" s="498" t="str">
        <f>IF(N230="","",VLOOKUP(N230,'G-7 Rivers Data'!$B$2:$G$8,2,FALSE))</f>
        <v/>
      </c>
      <c r="S230" s="499" t="str">
        <f>IFERROR(VLOOKUP(R230,'G-7 Rivers Data'!$C$4:$D$8,2,FALSE),"")</f>
        <v/>
      </c>
      <c r="T230" s="145"/>
      <c r="U230" s="499" t="str">
        <f>IFERROR(INDEX('G-7 Rivers Data'!$H$4:$L$8,MATCH(N230,'G-7 Rivers Data'!$B$4:$B$8,0),MATCH(T230,'G-7 Rivers Data'!$H$3:$L$3,0)),"")</f>
        <v/>
      </c>
      <c r="V230" s="154"/>
      <c r="W230" s="520" t="str">
        <f>IF(V230="","",IF(VLOOKUP(V230,'G-7 Rivers Data'!$AG$4:$AI$9,2,FALSE)=0,"Spatial Data Missing ⚠",VLOOKUP(V230,'G-7 Rivers Data'!$AG$4:$AI$9,2,FALSE)))</f>
        <v/>
      </c>
      <c r="X230" s="524" t="str">
        <f>IF(V230="","",IF(VLOOKUP(V230,'G-7 Rivers Data'!$AG$4:$AI$9,3,FALSE)=0,"Spatial Data Missing ⚠",VLOOKUP(V230,'G-7 Rivers Data'!$AG$4:$AI$9,3,FALSE)))</f>
        <v/>
      </c>
      <c r="Y230" s="537" t="str">
        <f>IFERROR(IF(OR(LEFT(P230,5)="Error ▲",LEFT(O230,5)="Error ▲"),"Check Data ⚠",IF(F230&lt;S230,'G-7 Rivers Data'!$R$3,INDEX('G-7 Rivers Data'!$U$5:$Y$9,MATCH(G230,'G-7 Rivers Data'!$T$5:$T$9,0),MATCH(T230,'G-7 Rivers Data'!$U$4:$Y$4,0)))),"")</f>
        <v/>
      </c>
      <c r="Z230" s="203"/>
      <c r="AA230" s="203"/>
      <c r="AB230" s="534" t="str">
        <f t="shared" si="24"/>
        <v/>
      </c>
      <c r="AC230" s="521" t="str">
        <f t="shared" si="25"/>
        <v/>
      </c>
      <c r="AD230" s="564" t="str">
        <f>IFERROR(IF(AC230="Check Data ⚠","Check Data ⚠",VLOOKUP(AC230,'G-4 Temporal multipliers'!$A$4:$C$37,3,FALSE)),"")</f>
        <v/>
      </c>
      <c r="AE230" s="537" t="str">
        <f>IF(N230="","",VLOOKUP(N230,'G-7 Rivers Data'!$B$4:$G$8,5,FALSE))</f>
        <v/>
      </c>
      <c r="AF230" s="520" t="str">
        <f t="shared" si="26"/>
        <v/>
      </c>
      <c r="AG230" s="520" t="str">
        <f t="shared" si="30"/>
        <v/>
      </c>
      <c r="AH230" s="524" t="str">
        <f t="shared" si="27"/>
        <v/>
      </c>
      <c r="AI230" s="145"/>
      <c r="AJ230" s="499" t="str">
        <f>IF(AI230="","",IF(VLOOKUP(AI230,'G-7 Rivers Data'!$AA$4:$AB$7,2,FALSE)=0,"Spatial Data Missing ⚠",VLOOKUP(AI230,'G-7 Rivers Data'!$AA$4:$AB$7,2,FALSE)))</f>
        <v/>
      </c>
      <c r="AK230" s="155"/>
      <c r="AL230" s="536" t="str">
        <f>IF(AK230="","",IF(VLOOKUP(AK230,'G-7 Rivers Data'!$AD$4:$AE$8,2,FALSE)=0,"Spatial Data Missing ⚠",VLOOKUP(AK230,'G-7 Rivers Data'!$AD$4:$AE$8,2,FALSE)))</f>
        <v/>
      </c>
      <c r="AM230" s="154"/>
      <c r="AN230" s="524" t="str">
        <f>IF(AM230="","",VLOOKUP(AM230,'G-7 Rivers Data'!$AO$4:$AP$7,2,FALSE))</f>
        <v/>
      </c>
      <c r="AO230" s="545" t="str">
        <f t="shared" si="31"/>
        <v/>
      </c>
      <c r="AP230" s="149"/>
      <c r="AQ230" s="150"/>
      <c r="AX230" s="31" t="str">
        <f>IFERROR(INDEX('G-7 Rivers Data'!$AZ$3:$AZ$7,MATCH(N230,'G-7 Rivers Data'!$AY$3:$AY$7,0)),"")</f>
        <v/>
      </c>
    </row>
    <row r="231" spans="2:50" ht="13.8" x14ac:dyDescent="0.25">
      <c r="B231" s="531" t="str">
        <f>'F-1 Off Site River Baseline'!AN229</f>
        <v/>
      </c>
      <c r="C231" s="520" t="str">
        <f>IF(B231="","",VLOOKUP($B231,'F-1 Off Site River Baseline'!$C$9:$R$257,2,FALSE))</f>
        <v/>
      </c>
      <c r="D231" s="520" t="str">
        <f>IF(C231="","",VLOOKUP($B231,'F-1 Off Site River Baseline'!$C$9:$R$257,3,FALSE))</f>
        <v/>
      </c>
      <c r="E231" s="520" t="str">
        <f>IF(D231="","",VLOOKUP($B231,'F-1 Off Site River Baseline'!$C$9:$R$257,4,FALSE))</f>
        <v/>
      </c>
      <c r="F231" s="520" t="str">
        <f>IF(E231="","",VLOOKUP($B231,'F-1 Off Site River Baseline'!$C$9:$R$257,5,FALSE))</f>
        <v/>
      </c>
      <c r="G231" s="520" t="str">
        <f>IF(F231="","",VLOOKUP($B231,'F-1 Off Site River Baseline'!$C$9:$R$257,6,FALSE))</f>
        <v/>
      </c>
      <c r="H231" s="520" t="str">
        <f>IF(G231="","",VLOOKUP($B231,'F-1 Off Site River Baseline'!$C$9:$R$257,7,FALSE))</f>
        <v/>
      </c>
      <c r="I231" s="520" t="str">
        <f>IF(H231="","",VLOOKUP($B231,'F-1 Off Site River Baseline'!$C$9:$R$257,8,FALSE))</f>
        <v/>
      </c>
      <c r="J231" s="520" t="str">
        <f>IF(I231="","",VLOOKUP($B231,'F-1 Off Site River Baseline'!$C$9:$R$257,9,FALSE))</f>
        <v/>
      </c>
      <c r="K231" s="520" t="str">
        <f>IF(J231="","",VLOOKUP($B231,'F-1 Off Site River Baseline'!$C$9:$R$257,10,FALSE))</f>
        <v/>
      </c>
      <c r="L231" s="520" t="str">
        <f>IF(B231="","",VLOOKUP($B231,'C-1 Site River Baseline'!$C$9:$R$257,15,FALSE))</f>
        <v/>
      </c>
      <c r="M231" s="524" t="str">
        <f>IF(L231="","",VLOOKUP($B231,'F-1 Off Site River Baseline'!$C$9:$R$257,16,FALSE))</f>
        <v/>
      </c>
      <c r="N231" s="418" t="str">
        <f t="shared" si="28"/>
        <v/>
      </c>
      <c r="O231" s="498" t="str">
        <f t="shared" si="29"/>
        <v/>
      </c>
      <c r="P231" s="499" t="str">
        <f>IF(C231="","",IF(AND(LEFT(C231,55)&lt;&gt;LEFT(N231,55),O231="High - High"),"Error - Not like for like ▲",IF(AND(F231=S231,H231&gt;U231),"Error - Can not reduce condition ▲",IF(AND(F231=S231,H231=U231,AJ231='F-1 Off Site River Baseline'!N229,'F-1 Off Site River Baseline'!P229=AL231),"Error - No enhancement ▲",IF(AND(C231&lt;&gt;N231,F231&lt;S231),"Lower Distinctiveness Habitat"&amp;" - "&amp;T231,G231&amp;" - "&amp;T231)))))</f>
        <v/>
      </c>
      <c r="Q231" s="505" t="str">
        <f>IF(N231="","",VLOOKUP(B231,'F-1 Off Site River Baseline'!$C$10:$AA$257,19,FALSE))</f>
        <v/>
      </c>
      <c r="R231" s="498" t="str">
        <f>IF(N231="","",VLOOKUP(N231,'G-7 Rivers Data'!$B$2:$G$8,2,FALSE))</f>
        <v/>
      </c>
      <c r="S231" s="499" t="str">
        <f>IFERROR(VLOOKUP(R231,'G-7 Rivers Data'!$C$4:$D$8,2,FALSE),"")</f>
        <v/>
      </c>
      <c r="T231" s="145"/>
      <c r="U231" s="499" t="str">
        <f>IFERROR(INDEX('G-7 Rivers Data'!$H$4:$L$8,MATCH(N231,'G-7 Rivers Data'!$B$4:$B$8,0),MATCH(T231,'G-7 Rivers Data'!$H$3:$L$3,0)),"")</f>
        <v/>
      </c>
      <c r="V231" s="154"/>
      <c r="W231" s="520" t="str">
        <f>IF(V231="","",IF(VLOOKUP(V231,'G-7 Rivers Data'!$AG$4:$AI$9,2,FALSE)=0,"Spatial Data Missing ⚠",VLOOKUP(V231,'G-7 Rivers Data'!$AG$4:$AI$9,2,FALSE)))</f>
        <v/>
      </c>
      <c r="X231" s="524" t="str">
        <f>IF(V231="","",IF(VLOOKUP(V231,'G-7 Rivers Data'!$AG$4:$AI$9,3,FALSE)=0,"Spatial Data Missing ⚠",VLOOKUP(V231,'G-7 Rivers Data'!$AG$4:$AI$9,3,FALSE)))</f>
        <v/>
      </c>
      <c r="Y231" s="537" t="str">
        <f>IFERROR(IF(OR(LEFT(P231,5)="Error ▲",LEFT(O231,5)="Error ▲"),"Check Data ⚠",IF(F231&lt;S231,'G-7 Rivers Data'!$R$3,INDEX('G-7 Rivers Data'!$U$5:$Y$9,MATCH(G231,'G-7 Rivers Data'!$T$5:$T$9,0),MATCH(T231,'G-7 Rivers Data'!$U$4:$Y$4,0)))),"")</f>
        <v/>
      </c>
      <c r="Z231" s="203"/>
      <c r="AA231" s="203"/>
      <c r="AB231" s="534" t="str">
        <f t="shared" si="24"/>
        <v/>
      </c>
      <c r="AC231" s="521" t="str">
        <f t="shared" si="25"/>
        <v/>
      </c>
      <c r="AD231" s="564" t="str">
        <f>IFERROR(IF(AC231="Check Data ⚠","Check Data ⚠",VLOOKUP(AC231,'G-4 Temporal multipliers'!$A$4:$C$37,3,FALSE)),"")</f>
        <v/>
      </c>
      <c r="AE231" s="537" t="str">
        <f>IF(N231="","",VLOOKUP(N231,'G-7 Rivers Data'!$B$4:$G$8,5,FALSE))</f>
        <v/>
      </c>
      <c r="AF231" s="520" t="str">
        <f t="shared" si="26"/>
        <v/>
      </c>
      <c r="AG231" s="520" t="str">
        <f t="shared" si="30"/>
        <v/>
      </c>
      <c r="AH231" s="524" t="str">
        <f t="shared" si="27"/>
        <v/>
      </c>
      <c r="AI231" s="145"/>
      <c r="AJ231" s="499" t="str">
        <f>IF(AI231="","",IF(VLOOKUP(AI231,'G-7 Rivers Data'!$AA$4:$AB$7,2,FALSE)=0,"Spatial Data Missing ⚠",VLOOKUP(AI231,'G-7 Rivers Data'!$AA$4:$AB$7,2,FALSE)))</f>
        <v/>
      </c>
      <c r="AK231" s="155"/>
      <c r="AL231" s="536" t="str">
        <f>IF(AK231="","",IF(VLOOKUP(AK231,'G-7 Rivers Data'!$AD$4:$AE$8,2,FALSE)=0,"Spatial Data Missing ⚠",VLOOKUP(AK231,'G-7 Rivers Data'!$AD$4:$AE$8,2,FALSE)))</f>
        <v/>
      </c>
      <c r="AM231" s="154"/>
      <c r="AN231" s="524" t="str">
        <f>IF(AM231="","",VLOOKUP(AM231,'G-7 Rivers Data'!$AO$4:$AP$7,2,FALSE))</f>
        <v/>
      </c>
      <c r="AO231" s="545" t="str">
        <f t="shared" si="31"/>
        <v/>
      </c>
      <c r="AP231" s="149"/>
      <c r="AQ231" s="150"/>
      <c r="AX231" s="31" t="str">
        <f>IFERROR(INDEX('G-7 Rivers Data'!$AZ$3:$AZ$7,MATCH(N231,'G-7 Rivers Data'!$AY$3:$AY$7,0)),"")</f>
        <v/>
      </c>
    </row>
    <row r="232" spans="2:50" ht="13.8" x14ac:dyDescent="0.25">
      <c r="B232" s="531" t="str">
        <f>'F-1 Off Site River Baseline'!AN230</f>
        <v/>
      </c>
      <c r="C232" s="520" t="str">
        <f>IF(B232="","",VLOOKUP($B232,'F-1 Off Site River Baseline'!$C$9:$R$257,2,FALSE))</f>
        <v/>
      </c>
      <c r="D232" s="520" t="str">
        <f>IF(C232="","",VLOOKUP($B232,'F-1 Off Site River Baseline'!$C$9:$R$257,3,FALSE))</f>
        <v/>
      </c>
      <c r="E232" s="520" t="str">
        <f>IF(D232="","",VLOOKUP($B232,'F-1 Off Site River Baseline'!$C$9:$R$257,4,FALSE))</f>
        <v/>
      </c>
      <c r="F232" s="520" t="str">
        <f>IF(E232="","",VLOOKUP($B232,'F-1 Off Site River Baseline'!$C$9:$R$257,5,FALSE))</f>
        <v/>
      </c>
      <c r="G232" s="520" t="str">
        <f>IF(F232="","",VLOOKUP($B232,'F-1 Off Site River Baseline'!$C$9:$R$257,6,FALSE))</f>
        <v/>
      </c>
      <c r="H232" s="520" t="str">
        <f>IF(G232="","",VLOOKUP($B232,'F-1 Off Site River Baseline'!$C$9:$R$257,7,FALSE))</f>
        <v/>
      </c>
      <c r="I232" s="520" t="str">
        <f>IF(H232="","",VLOOKUP($B232,'F-1 Off Site River Baseline'!$C$9:$R$257,8,FALSE))</f>
        <v/>
      </c>
      <c r="J232" s="520" t="str">
        <f>IF(I232="","",VLOOKUP($B232,'F-1 Off Site River Baseline'!$C$9:$R$257,9,FALSE))</f>
        <v/>
      </c>
      <c r="K232" s="520" t="str">
        <f>IF(J232="","",VLOOKUP($B232,'F-1 Off Site River Baseline'!$C$9:$R$257,10,FALSE))</f>
        <v/>
      </c>
      <c r="L232" s="520" t="str">
        <f>IF(B232="","",VLOOKUP($B232,'C-1 Site River Baseline'!$C$9:$R$257,15,FALSE))</f>
        <v/>
      </c>
      <c r="M232" s="524" t="str">
        <f>IF(L232="","",VLOOKUP($B232,'F-1 Off Site River Baseline'!$C$9:$R$257,16,FALSE))</f>
        <v/>
      </c>
      <c r="N232" s="418" t="str">
        <f t="shared" si="28"/>
        <v/>
      </c>
      <c r="O232" s="498" t="str">
        <f t="shared" si="29"/>
        <v/>
      </c>
      <c r="P232" s="499" t="str">
        <f>IF(C232="","",IF(AND(LEFT(C232,55)&lt;&gt;LEFT(N232,55),O232="High - High"),"Error - Not like for like ▲",IF(AND(F232=S232,H232&gt;U232),"Error - Can not reduce condition ▲",IF(AND(F232=S232,H232=U232,AJ232='F-1 Off Site River Baseline'!N230,'F-1 Off Site River Baseline'!P230=AL232),"Error - No enhancement ▲",IF(AND(C232&lt;&gt;N232,F232&lt;S232),"Lower Distinctiveness Habitat"&amp;" - "&amp;T232,G232&amp;" - "&amp;T232)))))</f>
        <v/>
      </c>
      <c r="Q232" s="505" t="str">
        <f>IF(N232="","",VLOOKUP(B232,'F-1 Off Site River Baseline'!$C$10:$AA$257,19,FALSE))</f>
        <v/>
      </c>
      <c r="R232" s="498" t="str">
        <f>IF(N232="","",VLOOKUP(N232,'G-7 Rivers Data'!$B$2:$G$8,2,FALSE))</f>
        <v/>
      </c>
      <c r="S232" s="499" t="str">
        <f>IFERROR(VLOOKUP(R232,'G-7 Rivers Data'!$C$4:$D$8,2,FALSE),"")</f>
        <v/>
      </c>
      <c r="T232" s="145"/>
      <c r="U232" s="499" t="str">
        <f>IFERROR(INDEX('G-7 Rivers Data'!$H$4:$L$8,MATCH(N232,'G-7 Rivers Data'!$B$4:$B$8,0),MATCH(T232,'G-7 Rivers Data'!$H$3:$L$3,0)),"")</f>
        <v/>
      </c>
      <c r="V232" s="154"/>
      <c r="W232" s="520" t="str">
        <f>IF(V232="","",IF(VLOOKUP(V232,'G-7 Rivers Data'!$AG$4:$AI$9,2,FALSE)=0,"Spatial Data Missing ⚠",VLOOKUP(V232,'G-7 Rivers Data'!$AG$4:$AI$9,2,FALSE)))</f>
        <v/>
      </c>
      <c r="X232" s="524" t="str">
        <f>IF(V232="","",IF(VLOOKUP(V232,'G-7 Rivers Data'!$AG$4:$AI$9,3,FALSE)=0,"Spatial Data Missing ⚠",VLOOKUP(V232,'G-7 Rivers Data'!$AG$4:$AI$9,3,FALSE)))</f>
        <v/>
      </c>
      <c r="Y232" s="537" t="str">
        <f>IFERROR(IF(OR(LEFT(P232,5)="Error ▲",LEFT(O232,5)="Error ▲"),"Check Data ⚠",IF(F232&lt;S232,'G-7 Rivers Data'!$R$3,INDEX('G-7 Rivers Data'!$U$5:$Y$9,MATCH(G232,'G-7 Rivers Data'!$T$5:$T$9,0),MATCH(T232,'G-7 Rivers Data'!$U$4:$Y$4,0)))),"")</f>
        <v/>
      </c>
      <c r="Z232" s="203"/>
      <c r="AA232" s="203"/>
      <c r="AB232" s="534" t="str">
        <f t="shared" si="24"/>
        <v/>
      </c>
      <c r="AC232" s="521" t="str">
        <f t="shared" si="25"/>
        <v/>
      </c>
      <c r="AD232" s="564" t="str">
        <f>IFERROR(IF(AC232="Check Data ⚠","Check Data ⚠",VLOOKUP(AC232,'G-4 Temporal multipliers'!$A$4:$C$37,3,FALSE)),"")</f>
        <v/>
      </c>
      <c r="AE232" s="537" t="str">
        <f>IF(N232="","",VLOOKUP(N232,'G-7 Rivers Data'!$B$4:$G$8,5,FALSE))</f>
        <v/>
      </c>
      <c r="AF232" s="520" t="str">
        <f t="shared" si="26"/>
        <v/>
      </c>
      <c r="AG232" s="520" t="str">
        <f t="shared" si="30"/>
        <v/>
      </c>
      <c r="AH232" s="524" t="str">
        <f t="shared" si="27"/>
        <v/>
      </c>
      <c r="AI232" s="145"/>
      <c r="AJ232" s="499" t="str">
        <f>IF(AI232="","",IF(VLOOKUP(AI232,'G-7 Rivers Data'!$AA$4:$AB$7,2,FALSE)=0,"Spatial Data Missing ⚠",VLOOKUP(AI232,'G-7 Rivers Data'!$AA$4:$AB$7,2,FALSE)))</f>
        <v/>
      </c>
      <c r="AK232" s="155"/>
      <c r="AL232" s="536" t="str">
        <f>IF(AK232="","",IF(VLOOKUP(AK232,'G-7 Rivers Data'!$AD$4:$AE$8,2,FALSE)=0,"Spatial Data Missing ⚠",VLOOKUP(AK232,'G-7 Rivers Data'!$AD$4:$AE$8,2,FALSE)))</f>
        <v/>
      </c>
      <c r="AM232" s="154"/>
      <c r="AN232" s="524" t="str">
        <f>IF(AM232="","",VLOOKUP(AM232,'G-7 Rivers Data'!$AO$4:$AP$7,2,FALSE))</f>
        <v/>
      </c>
      <c r="AO232" s="545" t="str">
        <f t="shared" si="31"/>
        <v/>
      </c>
      <c r="AP232" s="149"/>
      <c r="AQ232" s="150"/>
      <c r="AX232" s="31" t="str">
        <f>IFERROR(INDEX('G-7 Rivers Data'!$AZ$3:$AZ$7,MATCH(N232,'G-7 Rivers Data'!$AY$3:$AY$7,0)),"")</f>
        <v/>
      </c>
    </row>
    <row r="233" spans="2:50" ht="13.8" x14ac:dyDescent="0.25">
      <c r="B233" s="531" t="str">
        <f>'F-1 Off Site River Baseline'!AN231</f>
        <v/>
      </c>
      <c r="C233" s="520" t="str">
        <f>IF(B233="","",VLOOKUP($B233,'F-1 Off Site River Baseline'!$C$9:$R$257,2,FALSE))</f>
        <v/>
      </c>
      <c r="D233" s="520" t="str">
        <f>IF(C233="","",VLOOKUP($B233,'F-1 Off Site River Baseline'!$C$9:$R$257,3,FALSE))</f>
        <v/>
      </c>
      <c r="E233" s="520" t="str">
        <f>IF(D233="","",VLOOKUP($B233,'F-1 Off Site River Baseline'!$C$9:$R$257,4,FALSE))</f>
        <v/>
      </c>
      <c r="F233" s="520" t="str">
        <f>IF(E233="","",VLOOKUP($B233,'F-1 Off Site River Baseline'!$C$9:$R$257,5,FALSE))</f>
        <v/>
      </c>
      <c r="G233" s="520" t="str">
        <f>IF(F233="","",VLOOKUP($B233,'F-1 Off Site River Baseline'!$C$9:$R$257,6,FALSE))</f>
        <v/>
      </c>
      <c r="H233" s="520" t="str">
        <f>IF(G233="","",VLOOKUP($B233,'F-1 Off Site River Baseline'!$C$9:$R$257,7,FALSE))</f>
        <v/>
      </c>
      <c r="I233" s="520" t="str">
        <f>IF(H233="","",VLOOKUP($B233,'F-1 Off Site River Baseline'!$C$9:$R$257,8,FALSE))</f>
        <v/>
      </c>
      <c r="J233" s="520" t="str">
        <f>IF(I233="","",VLOOKUP($B233,'F-1 Off Site River Baseline'!$C$9:$R$257,9,FALSE))</f>
        <v/>
      </c>
      <c r="K233" s="520" t="str">
        <f>IF(J233="","",VLOOKUP($B233,'F-1 Off Site River Baseline'!$C$9:$R$257,10,FALSE))</f>
        <v/>
      </c>
      <c r="L233" s="520" t="str">
        <f>IF(B233="","",VLOOKUP($B233,'C-1 Site River Baseline'!$C$9:$R$257,15,FALSE))</f>
        <v/>
      </c>
      <c r="M233" s="524" t="str">
        <f>IF(L233="","",VLOOKUP($B233,'F-1 Off Site River Baseline'!$C$9:$R$257,16,FALSE))</f>
        <v/>
      </c>
      <c r="N233" s="418" t="str">
        <f t="shared" si="28"/>
        <v/>
      </c>
      <c r="O233" s="498" t="str">
        <f t="shared" si="29"/>
        <v/>
      </c>
      <c r="P233" s="499" t="str">
        <f>IF(C233="","",IF(AND(LEFT(C233,55)&lt;&gt;LEFT(N233,55),O233="High - High"),"Error - Not like for like ▲",IF(AND(F233=S233,H233&gt;U233),"Error - Can not reduce condition ▲",IF(AND(F233=S233,H233=U233,AJ233='F-1 Off Site River Baseline'!N231,'F-1 Off Site River Baseline'!P231=AL233),"Error - No enhancement ▲",IF(AND(C233&lt;&gt;N233,F233&lt;S233),"Lower Distinctiveness Habitat"&amp;" - "&amp;T233,G233&amp;" - "&amp;T233)))))</f>
        <v/>
      </c>
      <c r="Q233" s="505" t="str">
        <f>IF(N233="","",VLOOKUP(B233,'F-1 Off Site River Baseline'!$C$10:$AA$257,19,FALSE))</f>
        <v/>
      </c>
      <c r="R233" s="498" t="str">
        <f>IF(N233="","",VLOOKUP(N233,'G-7 Rivers Data'!$B$2:$G$8,2,FALSE))</f>
        <v/>
      </c>
      <c r="S233" s="499" t="str">
        <f>IFERROR(VLOOKUP(R233,'G-7 Rivers Data'!$C$4:$D$8,2,FALSE),"")</f>
        <v/>
      </c>
      <c r="T233" s="145"/>
      <c r="U233" s="499" t="str">
        <f>IFERROR(INDEX('G-7 Rivers Data'!$H$4:$L$8,MATCH(N233,'G-7 Rivers Data'!$B$4:$B$8,0),MATCH(T233,'G-7 Rivers Data'!$H$3:$L$3,0)),"")</f>
        <v/>
      </c>
      <c r="V233" s="154"/>
      <c r="W233" s="520" t="str">
        <f>IF(V233="","",IF(VLOOKUP(V233,'G-7 Rivers Data'!$AG$4:$AI$9,2,FALSE)=0,"Spatial Data Missing ⚠",VLOOKUP(V233,'G-7 Rivers Data'!$AG$4:$AI$9,2,FALSE)))</f>
        <v/>
      </c>
      <c r="X233" s="524" t="str">
        <f>IF(V233="","",IF(VLOOKUP(V233,'G-7 Rivers Data'!$AG$4:$AI$9,3,FALSE)=0,"Spatial Data Missing ⚠",VLOOKUP(V233,'G-7 Rivers Data'!$AG$4:$AI$9,3,FALSE)))</f>
        <v/>
      </c>
      <c r="Y233" s="537" t="str">
        <f>IFERROR(IF(OR(LEFT(P233,5)="Error ▲",LEFT(O233,5)="Error ▲"),"Check Data ⚠",IF(F233&lt;S233,'G-7 Rivers Data'!$R$3,INDEX('G-7 Rivers Data'!$U$5:$Y$9,MATCH(G233,'G-7 Rivers Data'!$T$5:$T$9,0),MATCH(T233,'G-7 Rivers Data'!$U$4:$Y$4,0)))),"")</f>
        <v/>
      </c>
      <c r="Z233" s="203"/>
      <c r="AA233" s="203"/>
      <c r="AB233" s="534" t="str">
        <f t="shared" si="24"/>
        <v/>
      </c>
      <c r="AC233" s="521" t="str">
        <f t="shared" si="25"/>
        <v/>
      </c>
      <c r="AD233" s="564" t="str">
        <f>IFERROR(IF(AC233="Check Data ⚠","Check Data ⚠",VLOOKUP(AC233,'G-4 Temporal multipliers'!$A$4:$C$37,3,FALSE)),"")</f>
        <v/>
      </c>
      <c r="AE233" s="537" t="str">
        <f>IF(N233="","",VLOOKUP(N233,'G-7 Rivers Data'!$B$4:$G$8,5,FALSE))</f>
        <v/>
      </c>
      <c r="AF233" s="520" t="str">
        <f t="shared" si="26"/>
        <v/>
      </c>
      <c r="AG233" s="520" t="str">
        <f t="shared" si="30"/>
        <v/>
      </c>
      <c r="AH233" s="524" t="str">
        <f t="shared" si="27"/>
        <v/>
      </c>
      <c r="AI233" s="145"/>
      <c r="AJ233" s="499" t="str">
        <f>IF(AI233="","",IF(VLOOKUP(AI233,'G-7 Rivers Data'!$AA$4:$AB$7,2,FALSE)=0,"Spatial Data Missing ⚠",VLOOKUP(AI233,'G-7 Rivers Data'!$AA$4:$AB$7,2,FALSE)))</f>
        <v/>
      </c>
      <c r="AK233" s="155"/>
      <c r="AL233" s="536" t="str">
        <f>IF(AK233="","",IF(VLOOKUP(AK233,'G-7 Rivers Data'!$AD$4:$AE$8,2,FALSE)=0,"Spatial Data Missing ⚠",VLOOKUP(AK233,'G-7 Rivers Data'!$AD$4:$AE$8,2,FALSE)))</f>
        <v/>
      </c>
      <c r="AM233" s="154"/>
      <c r="AN233" s="524" t="str">
        <f>IF(AM233="","",VLOOKUP(AM233,'G-7 Rivers Data'!$AO$4:$AP$7,2,FALSE))</f>
        <v/>
      </c>
      <c r="AO233" s="545" t="str">
        <f t="shared" si="31"/>
        <v/>
      </c>
      <c r="AP233" s="149"/>
      <c r="AQ233" s="150"/>
      <c r="AX233" s="31" t="str">
        <f>IFERROR(INDEX('G-7 Rivers Data'!$AZ$3:$AZ$7,MATCH(N233,'G-7 Rivers Data'!$AY$3:$AY$7,0)),"")</f>
        <v/>
      </c>
    </row>
    <row r="234" spans="2:50" ht="13.8" x14ac:dyDescent="0.25">
      <c r="B234" s="531" t="str">
        <f>'F-1 Off Site River Baseline'!AN232</f>
        <v/>
      </c>
      <c r="C234" s="520" t="str">
        <f>IF(B234="","",VLOOKUP($B234,'F-1 Off Site River Baseline'!$C$9:$R$257,2,FALSE))</f>
        <v/>
      </c>
      <c r="D234" s="520" t="str">
        <f>IF(C234="","",VLOOKUP($B234,'F-1 Off Site River Baseline'!$C$9:$R$257,3,FALSE))</f>
        <v/>
      </c>
      <c r="E234" s="520" t="str">
        <f>IF(D234="","",VLOOKUP($B234,'F-1 Off Site River Baseline'!$C$9:$R$257,4,FALSE))</f>
        <v/>
      </c>
      <c r="F234" s="520" t="str">
        <f>IF(E234="","",VLOOKUP($B234,'F-1 Off Site River Baseline'!$C$9:$R$257,5,FALSE))</f>
        <v/>
      </c>
      <c r="G234" s="520" t="str">
        <f>IF(F234="","",VLOOKUP($B234,'F-1 Off Site River Baseline'!$C$9:$R$257,6,FALSE))</f>
        <v/>
      </c>
      <c r="H234" s="520" t="str">
        <f>IF(G234="","",VLOOKUP($B234,'F-1 Off Site River Baseline'!$C$9:$R$257,7,FALSE))</f>
        <v/>
      </c>
      <c r="I234" s="520" t="str">
        <f>IF(H234="","",VLOOKUP($B234,'F-1 Off Site River Baseline'!$C$9:$R$257,8,FALSE))</f>
        <v/>
      </c>
      <c r="J234" s="520" t="str">
        <f>IF(I234="","",VLOOKUP($B234,'F-1 Off Site River Baseline'!$C$9:$R$257,9,FALSE))</f>
        <v/>
      </c>
      <c r="K234" s="520" t="str">
        <f>IF(J234="","",VLOOKUP($B234,'F-1 Off Site River Baseline'!$C$9:$R$257,10,FALSE))</f>
        <v/>
      </c>
      <c r="L234" s="520" t="str">
        <f>IF(B234="","",VLOOKUP($B234,'C-1 Site River Baseline'!$C$9:$R$257,15,FALSE))</f>
        <v/>
      </c>
      <c r="M234" s="524" t="str">
        <f>IF(L234="","",VLOOKUP($B234,'F-1 Off Site River Baseline'!$C$9:$R$257,16,FALSE))</f>
        <v/>
      </c>
      <c r="N234" s="418" t="str">
        <f t="shared" si="28"/>
        <v/>
      </c>
      <c r="O234" s="498" t="str">
        <f t="shared" si="29"/>
        <v/>
      </c>
      <c r="P234" s="499" t="str">
        <f>IF(C234="","",IF(AND(LEFT(C234,55)&lt;&gt;LEFT(N234,55),O234="High - High"),"Error - Not like for like ▲",IF(AND(F234=S234,H234&gt;U234),"Error - Can not reduce condition ▲",IF(AND(F234=S234,H234=U234,AJ234='F-1 Off Site River Baseline'!N232,'F-1 Off Site River Baseline'!P232=AL234),"Error - No enhancement ▲",IF(AND(C234&lt;&gt;N234,F234&lt;S234),"Lower Distinctiveness Habitat"&amp;" - "&amp;T234,G234&amp;" - "&amp;T234)))))</f>
        <v/>
      </c>
      <c r="Q234" s="505" t="str">
        <f>IF(N234="","",VLOOKUP(B234,'F-1 Off Site River Baseline'!$C$10:$AA$257,19,FALSE))</f>
        <v/>
      </c>
      <c r="R234" s="498" t="str">
        <f>IF(N234="","",VLOOKUP(N234,'G-7 Rivers Data'!$B$2:$G$8,2,FALSE))</f>
        <v/>
      </c>
      <c r="S234" s="499" t="str">
        <f>IFERROR(VLOOKUP(R234,'G-7 Rivers Data'!$C$4:$D$8,2,FALSE),"")</f>
        <v/>
      </c>
      <c r="T234" s="145"/>
      <c r="U234" s="499" t="str">
        <f>IFERROR(INDEX('G-7 Rivers Data'!$H$4:$L$8,MATCH(N234,'G-7 Rivers Data'!$B$4:$B$8,0),MATCH(T234,'G-7 Rivers Data'!$H$3:$L$3,0)),"")</f>
        <v/>
      </c>
      <c r="V234" s="154"/>
      <c r="W234" s="520" t="str">
        <f>IF(V234="","",IF(VLOOKUP(V234,'G-7 Rivers Data'!$AG$4:$AI$9,2,FALSE)=0,"Spatial Data Missing ⚠",VLOOKUP(V234,'G-7 Rivers Data'!$AG$4:$AI$9,2,FALSE)))</f>
        <v/>
      </c>
      <c r="X234" s="524" t="str">
        <f>IF(V234="","",IF(VLOOKUP(V234,'G-7 Rivers Data'!$AG$4:$AI$9,3,FALSE)=0,"Spatial Data Missing ⚠",VLOOKUP(V234,'G-7 Rivers Data'!$AG$4:$AI$9,3,FALSE)))</f>
        <v/>
      </c>
      <c r="Y234" s="537" t="str">
        <f>IFERROR(IF(OR(LEFT(P234,5)="Error ▲",LEFT(O234,5)="Error ▲"),"Check Data ⚠",IF(F234&lt;S234,'G-7 Rivers Data'!$R$3,INDEX('G-7 Rivers Data'!$U$5:$Y$9,MATCH(G234,'G-7 Rivers Data'!$T$5:$T$9,0),MATCH(T234,'G-7 Rivers Data'!$U$4:$Y$4,0)))),"")</f>
        <v/>
      </c>
      <c r="Z234" s="203"/>
      <c r="AA234" s="203"/>
      <c r="AB234" s="534" t="str">
        <f t="shared" si="24"/>
        <v/>
      </c>
      <c r="AC234" s="521" t="str">
        <f t="shared" si="25"/>
        <v/>
      </c>
      <c r="AD234" s="564" t="str">
        <f>IFERROR(IF(AC234="Check Data ⚠","Check Data ⚠",VLOOKUP(AC234,'G-4 Temporal multipliers'!$A$4:$C$37,3,FALSE)),"")</f>
        <v/>
      </c>
      <c r="AE234" s="537" t="str">
        <f>IF(N234="","",VLOOKUP(N234,'G-7 Rivers Data'!$B$4:$G$8,5,FALSE))</f>
        <v/>
      </c>
      <c r="AF234" s="520" t="str">
        <f t="shared" si="26"/>
        <v/>
      </c>
      <c r="AG234" s="520" t="str">
        <f t="shared" si="30"/>
        <v/>
      </c>
      <c r="AH234" s="524" t="str">
        <f t="shared" si="27"/>
        <v/>
      </c>
      <c r="AI234" s="145"/>
      <c r="AJ234" s="499" t="str">
        <f>IF(AI234="","",IF(VLOOKUP(AI234,'G-7 Rivers Data'!$AA$4:$AB$7,2,FALSE)=0,"Spatial Data Missing ⚠",VLOOKUP(AI234,'G-7 Rivers Data'!$AA$4:$AB$7,2,FALSE)))</f>
        <v/>
      </c>
      <c r="AK234" s="155"/>
      <c r="AL234" s="536" t="str">
        <f>IF(AK234="","",IF(VLOOKUP(AK234,'G-7 Rivers Data'!$AD$4:$AE$8,2,FALSE)=0,"Spatial Data Missing ⚠",VLOOKUP(AK234,'G-7 Rivers Data'!$AD$4:$AE$8,2,FALSE)))</f>
        <v/>
      </c>
      <c r="AM234" s="154"/>
      <c r="AN234" s="524" t="str">
        <f>IF(AM234="","",VLOOKUP(AM234,'G-7 Rivers Data'!$AO$4:$AP$7,2,FALSE))</f>
        <v/>
      </c>
      <c r="AO234" s="545" t="str">
        <f t="shared" si="31"/>
        <v/>
      </c>
      <c r="AP234" s="149"/>
      <c r="AQ234" s="150"/>
      <c r="AX234" s="31" t="str">
        <f>IFERROR(INDEX('G-7 Rivers Data'!$AZ$3:$AZ$7,MATCH(N234,'G-7 Rivers Data'!$AY$3:$AY$7,0)),"")</f>
        <v/>
      </c>
    </row>
    <row r="235" spans="2:50" ht="13.8" x14ac:dyDescent="0.25">
      <c r="B235" s="531" t="str">
        <f>'F-1 Off Site River Baseline'!AN233</f>
        <v/>
      </c>
      <c r="C235" s="520" t="str">
        <f>IF(B235="","",VLOOKUP($B235,'F-1 Off Site River Baseline'!$C$9:$R$257,2,FALSE))</f>
        <v/>
      </c>
      <c r="D235" s="520" t="str">
        <f>IF(C235="","",VLOOKUP($B235,'F-1 Off Site River Baseline'!$C$9:$R$257,3,FALSE))</f>
        <v/>
      </c>
      <c r="E235" s="520" t="str">
        <f>IF(D235="","",VLOOKUP($B235,'F-1 Off Site River Baseline'!$C$9:$R$257,4,FALSE))</f>
        <v/>
      </c>
      <c r="F235" s="520" t="str">
        <f>IF(E235="","",VLOOKUP($B235,'F-1 Off Site River Baseline'!$C$9:$R$257,5,FALSE))</f>
        <v/>
      </c>
      <c r="G235" s="520" t="str">
        <f>IF(F235="","",VLOOKUP($B235,'F-1 Off Site River Baseline'!$C$9:$R$257,6,FALSE))</f>
        <v/>
      </c>
      <c r="H235" s="520" t="str">
        <f>IF(G235="","",VLOOKUP($B235,'F-1 Off Site River Baseline'!$C$9:$R$257,7,FALSE))</f>
        <v/>
      </c>
      <c r="I235" s="520" t="str">
        <f>IF(H235="","",VLOOKUP($B235,'F-1 Off Site River Baseline'!$C$9:$R$257,8,FALSE))</f>
        <v/>
      </c>
      <c r="J235" s="520" t="str">
        <f>IF(I235="","",VLOOKUP($B235,'F-1 Off Site River Baseline'!$C$9:$R$257,9,FALSE))</f>
        <v/>
      </c>
      <c r="K235" s="520" t="str">
        <f>IF(J235="","",VLOOKUP($B235,'F-1 Off Site River Baseline'!$C$9:$R$257,10,FALSE))</f>
        <v/>
      </c>
      <c r="L235" s="520" t="str">
        <f>IF(B235="","",VLOOKUP($B235,'C-1 Site River Baseline'!$C$9:$R$257,15,FALSE))</f>
        <v/>
      </c>
      <c r="M235" s="524" t="str">
        <f>IF(L235="","",VLOOKUP($B235,'F-1 Off Site River Baseline'!$C$9:$R$257,16,FALSE))</f>
        <v/>
      </c>
      <c r="N235" s="418" t="str">
        <f t="shared" si="28"/>
        <v/>
      </c>
      <c r="O235" s="498" t="str">
        <f t="shared" si="29"/>
        <v/>
      </c>
      <c r="P235" s="499" t="str">
        <f>IF(C235="","",IF(AND(LEFT(C235,55)&lt;&gt;LEFT(N235,55),O235="High - High"),"Error - Not like for like ▲",IF(AND(F235=S235,H235&gt;U235),"Error - Can not reduce condition ▲",IF(AND(F235=S235,H235=U235,AJ235='F-1 Off Site River Baseline'!N233,'F-1 Off Site River Baseline'!P233=AL235),"Error - No enhancement ▲",IF(AND(C235&lt;&gt;N235,F235&lt;S235),"Lower Distinctiveness Habitat"&amp;" - "&amp;T235,G235&amp;" - "&amp;T235)))))</f>
        <v/>
      </c>
      <c r="Q235" s="505" t="str">
        <f>IF(N235="","",VLOOKUP(B235,'F-1 Off Site River Baseline'!$C$10:$AA$257,19,FALSE))</f>
        <v/>
      </c>
      <c r="R235" s="498" t="str">
        <f>IF(N235="","",VLOOKUP(N235,'G-7 Rivers Data'!$B$2:$G$8,2,FALSE))</f>
        <v/>
      </c>
      <c r="S235" s="499" t="str">
        <f>IFERROR(VLOOKUP(R235,'G-7 Rivers Data'!$C$4:$D$8,2,FALSE),"")</f>
        <v/>
      </c>
      <c r="T235" s="145"/>
      <c r="U235" s="499" t="str">
        <f>IFERROR(INDEX('G-7 Rivers Data'!$H$4:$L$8,MATCH(N235,'G-7 Rivers Data'!$B$4:$B$8,0),MATCH(T235,'G-7 Rivers Data'!$H$3:$L$3,0)),"")</f>
        <v/>
      </c>
      <c r="V235" s="154"/>
      <c r="W235" s="520" t="str">
        <f>IF(V235="","",IF(VLOOKUP(V235,'G-7 Rivers Data'!$AG$4:$AI$9,2,FALSE)=0,"Spatial Data Missing ⚠",VLOOKUP(V235,'G-7 Rivers Data'!$AG$4:$AI$9,2,FALSE)))</f>
        <v/>
      </c>
      <c r="X235" s="524" t="str">
        <f>IF(V235="","",IF(VLOOKUP(V235,'G-7 Rivers Data'!$AG$4:$AI$9,3,FALSE)=0,"Spatial Data Missing ⚠",VLOOKUP(V235,'G-7 Rivers Data'!$AG$4:$AI$9,3,FALSE)))</f>
        <v/>
      </c>
      <c r="Y235" s="537" t="str">
        <f>IFERROR(IF(OR(LEFT(P235,5)="Error ▲",LEFT(O235,5)="Error ▲"),"Check Data ⚠",IF(F235&lt;S235,'G-7 Rivers Data'!$R$3,INDEX('G-7 Rivers Data'!$U$5:$Y$9,MATCH(G235,'G-7 Rivers Data'!$T$5:$T$9,0),MATCH(T235,'G-7 Rivers Data'!$U$4:$Y$4,0)))),"")</f>
        <v/>
      </c>
      <c r="Z235" s="203"/>
      <c r="AA235" s="203"/>
      <c r="AB235" s="534" t="str">
        <f t="shared" si="24"/>
        <v/>
      </c>
      <c r="AC235" s="521" t="str">
        <f t="shared" si="25"/>
        <v/>
      </c>
      <c r="AD235" s="564" t="str">
        <f>IFERROR(IF(AC235="Check Data ⚠","Check Data ⚠",VLOOKUP(AC235,'G-4 Temporal multipliers'!$A$4:$C$37,3,FALSE)),"")</f>
        <v/>
      </c>
      <c r="AE235" s="537" t="str">
        <f>IF(N235="","",VLOOKUP(N235,'G-7 Rivers Data'!$B$4:$G$8,5,FALSE))</f>
        <v/>
      </c>
      <c r="AF235" s="520" t="str">
        <f t="shared" si="26"/>
        <v/>
      </c>
      <c r="AG235" s="520" t="str">
        <f t="shared" si="30"/>
        <v/>
      </c>
      <c r="AH235" s="524" t="str">
        <f t="shared" si="27"/>
        <v/>
      </c>
      <c r="AI235" s="145"/>
      <c r="AJ235" s="499" t="str">
        <f>IF(AI235="","",IF(VLOOKUP(AI235,'G-7 Rivers Data'!$AA$4:$AB$7,2,FALSE)=0,"Spatial Data Missing ⚠",VLOOKUP(AI235,'G-7 Rivers Data'!$AA$4:$AB$7,2,FALSE)))</f>
        <v/>
      </c>
      <c r="AK235" s="155"/>
      <c r="AL235" s="536" t="str">
        <f>IF(AK235="","",IF(VLOOKUP(AK235,'G-7 Rivers Data'!$AD$4:$AE$8,2,FALSE)=0,"Spatial Data Missing ⚠",VLOOKUP(AK235,'G-7 Rivers Data'!$AD$4:$AE$8,2,FALSE)))</f>
        <v/>
      </c>
      <c r="AM235" s="154"/>
      <c r="AN235" s="524" t="str">
        <f>IF(AM235="","",VLOOKUP(AM235,'G-7 Rivers Data'!$AO$4:$AP$7,2,FALSE))</f>
        <v/>
      </c>
      <c r="AO235" s="545" t="str">
        <f t="shared" si="31"/>
        <v/>
      </c>
      <c r="AP235" s="149"/>
      <c r="AQ235" s="150"/>
      <c r="AX235" s="31" t="str">
        <f>IFERROR(INDEX('G-7 Rivers Data'!$AZ$3:$AZ$7,MATCH(N235,'G-7 Rivers Data'!$AY$3:$AY$7,0)),"")</f>
        <v/>
      </c>
    </row>
    <row r="236" spans="2:50" ht="13.8" x14ac:dyDescent="0.25">
      <c r="B236" s="531" t="str">
        <f>'F-1 Off Site River Baseline'!AN234</f>
        <v/>
      </c>
      <c r="C236" s="520" t="str">
        <f>IF(B236="","",VLOOKUP($B236,'F-1 Off Site River Baseline'!$C$9:$R$257,2,FALSE))</f>
        <v/>
      </c>
      <c r="D236" s="520" t="str">
        <f>IF(C236="","",VLOOKUP($B236,'F-1 Off Site River Baseline'!$C$9:$R$257,3,FALSE))</f>
        <v/>
      </c>
      <c r="E236" s="520" t="str">
        <f>IF(D236="","",VLOOKUP($B236,'F-1 Off Site River Baseline'!$C$9:$R$257,4,FALSE))</f>
        <v/>
      </c>
      <c r="F236" s="520" t="str">
        <f>IF(E236="","",VLOOKUP($B236,'F-1 Off Site River Baseline'!$C$9:$R$257,5,FALSE))</f>
        <v/>
      </c>
      <c r="G236" s="520" t="str">
        <f>IF(F236="","",VLOOKUP($B236,'F-1 Off Site River Baseline'!$C$9:$R$257,6,FALSE))</f>
        <v/>
      </c>
      <c r="H236" s="520" t="str">
        <f>IF(G236="","",VLOOKUP($B236,'F-1 Off Site River Baseline'!$C$9:$R$257,7,FALSE))</f>
        <v/>
      </c>
      <c r="I236" s="520" t="str">
        <f>IF(H236="","",VLOOKUP($B236,'F-1 Off Site River Baseline'!$C$9:$R$257,8,FALSE))</f>
        <v/>
      </c>
      <c r="J236" s="520" t="str">
        <f>IF(I236="","",VLOOKUP($B236,'F-1 Off Site River Baseline'!$C$9:$R$257,9,FALSE))</f>
        <v/>
      </c>
      <c r="K236" s="520" t="str">
        <f>IF(J236="","",VLOOKUP($B236,'F-1 Off Site River Baseline'!$C$9:$R$257,10,FALSE))</f>
        <v/>
      </c>
      <c r="L236" s="520" t="str">
        <f>IF(B236="","",VLOOKUP($B236,'C-1 Site River Baseline'!$C$9:$R$257,15,FALSE))</f>
        <v/>
      </c>
      <c r="M236" s="524" t="str">
        <f>IF(L236="","",VLOOKUP($B236,'F-1 Off Site River Baseline'!$C$9:$R$257,16,FALSE))</f>
        <v/>
      </c>
      <c r="N236" s="418" t="str">
        <f t="shared" si="28"/>
        <v/>
      </c>
      <c r="O236" s="498" t="str">
        <f t="shared" si="29"/>
        <v/>
      </c>
      <c r="P236" s="499" t="str">
        <f>IF(C236="","",IF(AND(LEFT(C236,55)&lt;&gt;LEFT(N236,55),O236="High - High"),"Error - Not like for like ▲",IF(AND(F236=S236,H236&gt;U236),"Error - Can not reduce condition ▲",IF(AND(F236=S236,H236=U236,AJ236='F-1 Off Site River Baseline'!N234,'F-1 Off Site River Baseline'!P234=AL236),"Error - No enhancement ▲",IF(AND(C236&lt;&gt;N236,F236&lt;S236),"Lower Distinctiveness Habitat"&amp;" - "&amp;T236,G236&amp;" - "&amp;T236)))))</f>
        <v/>
      </c>
      <c r="Q236" s="505" t="str">
        <f>IF(N236="","",VLOOKUP(B236,'F-1 Off Site River Baseline'!$C$10:$AA$257,19,FALSE))</f>
        <v/>
      </c>
      <c r="R236" s="498" t="str">
        <f>IF(N236="","",VLOOKUP(N236,'G-7 Rivers Data'!$B$2:$G$8,2,FALSE))</f>
        <v/>
      </c>
      <c r="S236" s="499" t="str">
        <f>IFERROR(VLOOKUP(R236,'G-7 Rivers Data'!$C$4:$D$8,2,FALSE),"")</f>
        <v/>
      </c>
      <c r="T236" s="145"/>
      <c r="U236" s="499" t="str">
        <f>IFERROR(INDEX('G-7 Rivers Data'!$H$4:$L$8,MATCH(N236,'G-7 Rivers Data'!$B$4:$B$8,0),MATCH(T236,'G-7 Rivers Data'!$H$3:$L$3,0)),"")</f>
        <v/>
      </c>
      <c r="V236" s="154"/>
      <c r="W236" s="520" t="str">
        <f>IF(V236="","",IF(VLOOKUP(V236,'G-7 Rivers Data'!$AG$4:$AI$9,2,FALSE)=0,"Spatial Data Missing ⚠",VLOOKUP(V236,'G-7 Rivers Data'!$AG$4:$AI$9,2,FALSE)))</f>
        <v/>
      </c>
      <c r="X236" s="524" t="str">
        <f>IF(V236="","",IF(VLOOKUP(V236,'G-7 Rivers Data'!$AG$4:$AI$9,3,FALSE)=0,"Spatial Data Missing ⚠",VLOOKUP(V236,'G-7 Rivers Data'!$AG$4:$AI$9,3,FALSE)))</f>
        <v/>
      </c>
      <c r="Y236" s="537" t="str">
        <f>IFERROR(IF(OR(LEFT(P236,5)="Error ▲",LEFT(O236,5)="Error ▲"),"Check Data ⚠",IF(F236&lt;S236,'G-7 Rivers Data'!$R$3,INDEX('G-7 Rivers Data'!$U$5:$Y$9,MATCH(G236,'G-7 Rivers Data'!$T$5:$T$9,0),MATCH(T236,'G-7 Rivers Data'!$U$4:$Y$4,0)))),"")</f>
        <v/>
      </c>
      <c r="Z236" s="203"/>
      <c r="AA236" s="203"/>
      <c r="AB236" s="534" t="str">
        <f t="shared" si="24"/>
        <v/>
      </c>
      <c r="AC236" s="521" t="str">
        <f t="shared" si="25"/>
        <v/>
      </c>
      <c r="AD236" s="564" t="str">
        <f>IFERROR(IF(AC236="Check Data ⚠","Check Data ⚠",VLOOKUP(AC236,'G-4 Temporal multipliers'!$A$4:$C$37,3,FALSE)),"")</f>
        <v/>
      </c>
      <c r="AE236" s="537" t="str">
        <f>IF(N236="","",VLOOKUP(N236,'G-7 Rivers Data'!$B$4:$G$8,5,FALSE))</f>
        <v/>
      </c>
      <c r="AF236" s="520" t="str">
        <f t="shared" si="26"/>
        <v/>
      </c>
      <c r="AG236" s="520" t="str">
        <f t="shared" si="30"/>
        <v/>
      </c>
      <c r="AH236" s="524" t="str">
        <f t="shared" si="27"/>
        <v/>
      </c>
      <c r="AI236" s="145"/>
      <c r="AJ236" s="499" t="str">
        <f>IF(AI236="","",IF(VLOOKUP(AI236,'G-7 Rivers Data'!$AA$4:$AB$7,2,FALSE)=0,"Spatial Data Missing ⚠",VLOOKUP(AI236,'G-7 Rivers Data'!$AA$4:$AB$7,2,FALSE)))</f>
        <v/>
      </c>
      <c r="AK236" s="155"/>
      <c r="AL236" s="536" t="str">
        <f>IF(AK236="","",IF(VLOOKUP(AK236,'G-7 Rivers Data'!$AD$4:$AE$8,2,FALSE)=0,"Spatial Data Missing ⚠",VLOOKUP(AK236,'G-7 Rivers Data'!$AD$4:$AE$8,2,FALSE)))</f>
        <v/>
      </c>
      <c r="AM236" s="154"/>
      <c r="AN236" s="524" t="str">
        <f>IF(AM236="","",VLOOKUP(AM236,'G-7 Rivers Data'!$AO$4:$AP$7,2,FALSE))</f>
        <v/>
      </c>
      <c r="AO236" s="545" t="str">
        <f t="shared" si="31"/>
        <v/>
      </c>
      <c r="AP236" s="149"/>
      <c r="AQ236" s="150"/>
      <c r="AX236" s="31" t="str">
        <f>IFERROR(INDEX('G-7 Rivers Data'!$AZ$3:$AZ$7,MATCH(N236,'G-7 Rivers Data'!$AY$3:$AY$7,0)),"")</f>
        <v/>
      </c>
    </row>
    <row r="237" spans="2:50" ht="13.8" x14ac:dyDescent="0.25">
      <c r="B237" s="531" t="str">
        <f>'F-1 Off Site River Baseline'!AN235</f>
        <v/>
      </c>
      <c r="C237" s="520" t="str">
        <f>IF(B237="","",VLOOKUP($B237,'F-1 Off Site River Baseline'!$C$9:$R$257,2,FALSE))</f>
        <v/>
      </c>
      <c r="D237" s="520" t="str">
        <f>IF(C237="","",VLOOKUP($B237,'F-1 Off Site River Baseline'!$C$9:$R$257,3,FALSE))</f>
        <v/>
      </c>
      <c r="E237" s="520" t="str">
        <f>IF(D237="","",VLOOKUP($B237,'F-1 Off Site River Baseline'!$C$9:$R$257,4,FALSE))</f>
        <v/>
      </c>
      <c r="F237" s="520" t="str">
        <f>IF(E237="","",VLOOKUP($B237,'F-1 Off Site River Baseline'!$C$9:$R$257,5,FALSE))</f>
        <v/>
      </c>
      <c r="G237" s="520" t="str">
        <f>IF(F237="","",VLOOKUP($B237,'F-1 Off Site River Baseline'!$C$9:$R$257,6,FALSE))</f>
        <v/>
      </c>
      <c r="H237" s="520" t="str">
        <f>IF(G237="","",VLOOKUP($B237,'F-1 Off Site River Baseline'!$C$9:$R$257,7,FALSE))</f>
        <v/>
      </c>
      <c r="I237" s="520" t="str">
        <f>IF(H237="","",VLOOKUP($B237,'F-1 Off Site River Baseline'!$C$9:$R$257,8,FALSE))</f>
        <v/>
      </c>
      <c r="J237" s="520" t="str">
        <f>IF(I237="","",VLOOKUP($B237,'F-1 Off Site River Baseline'!$C$9:$R$257,9,FALSE))</f>
        <v/>
      </c>
      <c r="K237" s="520" t="str">
        <f>IF(J237="","",VLOOKUP($B237,'F-1 Off Site River Baseline'!$C$9:$R$257,10,FALSE))</f>
        <v/>
      </c>
      <c r="L237" s="520" t="str">
        <f>IF(B237="","",VLOOKUP($B237,'C-1 Site River Baseline'!$C$9:$R$257,15,FALSE))</f>
        <v/>
      </c>
      <c r="M237" s="524" t="str">
        <f>IF(L237="","",VLOOKUP($B237,'F-1 Off Site River Baseline'!$C$9:$R$257,16,FALSE))</f>
        <v/>
      </c>
      <c r="N237" s="418" t="str">
        <f t="shared" si="28"/>
        <v/>
      </c>
      <c r="O237" s="498" t="str">
        <f t="shared" si="29"/>
        <v/>
      </c>
      <c r="P237" s="499" t="str">
        <f>IF(C237="","",IF(AND(LEFT(C237,55)&lt;&gt;LEFT(N237,55),O237="High - High"),"Error - Not like for like ▲",IF(AND(F237=S237,H237&gt;U237),"Error - Can not reduce condition ▲",IF(AND(F237=S237,H237=U237,AJ237='F-1 Off Site River Baseline'!N235,'F-1 Off Site River Baseline'!P235=AL237),"Error - No enhancement ▲",IF(AND(C237&lt;&gt;N237,F237&lt;S237),"Lower Distinctiveness Habitat"&amp;" - "&amp;T237,G237&amp;" - "&amp;T237)))))</f>
        <v/>
      </c>
      <c r="Q237" s="505" t="str">
        <f>IF(N237="","",VLOOKUP(B237,'F-1 Off Site River Baseline'!$C$10:$AA$257,19,FALSE))</f>
        <v/>
      </c>
      <c r="R237" s="498" t="str">
        <f>IF(N237="","",VLOOKUP(N237,'G-7 Rivers Data'!$B$2:$G$8,2,FALSE))</f>
        <v/>
      </c>
      <c r="S237" s="499" t="str">
        <f>IFERROR(VLOOKUP(R237,'G-7 Rivers Data'!$C$4:$D$8,2,FALSE),"")</f>
        <v/>
      </c>
      <c r="T237" s="145"/>
      <c r="U237" s="499" t="str">
        <f>IFERROR(INDEX('G-7 Rivers Data'!$H$4:$L$8,MATCH(N237,'G-7 Rivers Data'!$B$4:$B$8,0),MATCH(T237,'G-7 Rivers Data'!$H$3:$L$3,0)),"")</f>
        <v/>
      </c>
      <c r="V237" s="154"/>
      <c r="W237" s="520" t="str">
        <f>IF(V237="","",IF(VLOOKUP(V237,'G-7 Rivers Data'!$AG$4:$AI$9,2,FALSE)=0,"Spatial Data Missing ⚠",VLOOKUP(V237,'G-7 Rivers Data'!$AG$4:$AI$9,2,FALSE)))</f>
        <v/>
      </c>
      <c r="X237" s="524" t="str">
        <f>IF(V237="","",IF(VLOOKUP(V237,'G-7 Rivers Data'!$AG$4:$AI$9,3,FALSE)=0,"Spatial Data Missing ⚠",VLOOKUP(V237,'G-7 Rivers Data'!$AG$4:$AI$9,3,FALSE)))</f>
        <v/>
      </c>
      <c r="Y237" s="537" t="str">
        <f>IFERROR(IF(OR(LEFT(P237,5)="Error ▲",LEFT(O237,5)="Error ▲"),"Check Data ⚠",IF(F237&lt;S237,'G-7 Rivers Data'!$R$3,INDEX('G-7 Rivers Data'!$U$5:$Y$9,MATCH(G237,'G-7 Rivers Data'!$T$5:$T$9,0),MATCH(T237,'G-7 Rivers Data'!$U$4:$Y$4,0)))),"")</f>
        <v/>
      </c>
      <c r="Z237" s="203"/>
      <c r="AA237" s="203"/>
      <c r="AB237" s="534" t="str">
        <f t="shared" si="24"/>
        <v/>
      </c>
      <c r="AC237" s="521" t="str">
        <f t="shared" si="25"/>
        <v/>
      </c>
      <c r="AD237" s="564" t="str">
        <f>IFERROR(IF(AC237="Check Data ⚠","Check Data ⚠",VLOOKUP(AC237,'G-4 Temporal multipliers'!$A$4:$C$37,3,FALSE)),"")</f>
        <v/>
      </c>
      <c r="AE237" s="537" t="str">
        <f>IF(N237="","",VLOOKUP(N237,'G-7 Rivers Data'!$B$4:$G$8,5,FALSE))</f>
        <v/>
      </c>
      <c r="AF237" s="520" t="str">
        <f t="shared" si="26"/>
        <v/>
      </c>
      <c r="AG237" s="520" t="str">
        <f t="shared" si="30"/>
        <v/>
      </c>
      <c r="AH237" s="524" t="str">
        <f t="shared" si="27"/>
        <v/>
      </c>
      <c r="AI237" s="145"/>
      <c r="AJ237" s="499" t="str">
        <f>IF(AI237="","",IF(VLOOKUP(AI237,'G-7 Rivers Data'!$AA$4:$AB$7,2,FALSE)=0,"Spatial Data Missing ⚠",VLOOKUP(AI237,'G-7 Rivers Data'!$AA$4:$AB$7,2,FALSE)))</f>
        <v/>
      </c>
      <c r="AK237" s="155"/>
      <c r="AL237" s="536" t="str">
        <f>IF(AK237="","",IF(VLOOKUP(AK237,'G-7 Rivers Data'!$AD$4:$AE$8,2,FALSE)=0,"Spatial Data Missing ⚠",VLOOKUP(AK237,'G-7 Rivers Data'!$AD$4:$AE$8,2,FALSE)))</f>
        <v/>
      </c>
      <c r="AM237" s="154"/>
      <c r="AN237" s="524" t="str">
        <f>IF(AM237="","",VLOOKUP(AM237,'G-7 Rivers Data'!$AO$4:$AP$7,2,FALSE))</f>
        <v/>
      </c>
      <c r="AO237" s="545" t="str">
        <f t="shared" si="31"/>
        <v/>
      </c>
      <c r="AP237" s="149"/>
      <c r="AQ237" s="150"/>
      <c r="AX237" s="31" t="str">
        <f>IFERROR(INDEX('G-7 Rivers Data'!$AZ$3:$AZ$7,MATCH(N237,'G-7 Rivers Data'!$AY$3:$AY$7,0)),"")</f>
        <v/>
      </c>
    </row>
    <row r="238" spans="2:50" ht="13.8" x14ac:dyDescent="0.25">
      <c r="B238" s="531" t="str">
        <f>'F-1 Off Site River Baseline'!AN236</f>
        <v/>
      </c>
      <c r="C238" s="520" t="str">
        <f>IF(B238="","",VLOOKUP($B238,'F-1 Off Site River Baseline'!$C$9:$R$257,2,FALSE))</f>
        <v/>
      </c>
      <c r="D238" s="520" t="str">
        <f>IF(C238="","",VLOOKUP($B238,'F-1 Off Site River Baseline'!$C$9:$R$257,3,FALSE))</f>
        <v/>
      </c>
      <c r="E238" s="520" t="str">
        <f>IF(D238="","",VLOOKUP($B238,'F-1 Off Site River Baseline'!$C$9:$R$257,4,FALSE))</f>
        <v/>
      </c>
      <c r="F238" s="520" t="str">
        <f>IF(E238="","",VLOOKUP($B238,'F-1 Off Site River Baseline'!$C$9:$R$257,5,FALSE))</f>
        <v/>
      </c>
      <c r="G238" s="520" t="str">
        <f>IF(F238="","",VLOOKUP($B238,'F-1 Off Site River Baseline'!$C$9:$R$257,6,FALSE))</f>
        <v/>
      </c>
      <c r="H238" s="520" t="str">
        <f>IF(G238="","",VLOOKUP($B238,'F-1 Off Site River Baseline'!$C$9:$R$257,7,FALSE))</f>
        <v/>
      </c>
      <c r="I238" s="520" t="str">
        <f>IF(H238="","",VLOOKUP($B238,'F-1 Off Site River Baseline'!$C$9:$R$257,8,FALSE))</f>
        <v/>
      </c>
      <c r="J238" s="520" t="str">
        <f>IF(I238="","",VLOOKUP($B238,'F-1 Off Site River Baseline'!$C$9:$R$257,9,FALSE))</f>
        <v/>
      </c>
      <c r="K238" s="520" t="str">
        <f>IF(J238="","",VLOOKUP($B238,'F-1 Off Site River Baseline'!$C$9:$R$257,10,FALSE))</f>
        <v/>
      </c>
      <c r="L238" s="520" t="str">
        <f>IF(B238="","",VLOOKUP($B238,'C-1 Site River Baseline'!$C$9:$R$257,15,FALSE))</f>
        <v/>
      </c>
      <c r="M238" s="524" t="str">
        <f>IF(L238="","",VLOOKUP($B238,'F-1 Off Site River Baseline'!$C$9:$R$257,16,FALSE))</f>
        <v/>
      </c>
      <c r="N238" s="418" t="str">
        <f t="shared" si="28"/>
        <v/>
      </c>
      <c r="O238" s="498" t="str">
        <f t="shared" si="29"/>
        <v/>
      </c>
      <c r="P238" s="499" t="str">
        <f>IF(C238="","",IF(AND(LEFT(C238,55)&lt;&gt;LEFT(N238,55),O238="High - High"),"Error - Not like for like ▲",IF(AND(F238=S238,H238&gt;U238),"Error - Can not reduce condition ▲",IF(AND(F238=S238,H238=U238,AJ238='F-1 Off Site River Baseline'!N236,'F-1 Off Site River Baseline'!P236=AL238),"Error - No enhancement ▲",IF(AND(C238&lt;&gt;N238,F238&lt;S238),"Lower Distinctiveness Habitat"&amp;" - "&amp;T238,G238&amp;" - "&amp;T238)))))</f>
        <v/>
      </c>
      <c r="Q238" s="505" t="str">
        <f>IF(N238="","",VLOOKUP(B238,'F-1 Off Site River Baseline'!$C$10:$AA$257,19,FALSE))</f>
        <v/>
      </c>
      <c r="R238" s="498" t="str">
        <f>IF(N238="","",VLOOKUP(N238,'G-7 Rivers Data'!$B$2:$G$8,2,FALSE))</f>
        <v/>
      </c>
      <c r="S238" s="499" t="str">
        <f>IFERROR(VLOOKUP(R238,'G-7 Rivers Data'!$C$4:$D$8,2,FALSE),"")</f>
        <v/>
      </c>
      <c r="T238" s="145"/>
      <c r="U238" s="499" t="str">
        <f>IFERROR(INDEX('G-7 Rivers Data'!$H$4:$L$8,MATCH(N238,'G-7 Rivers Data'!$B$4:$B$8,0),MATCH(T238,'G-7 Rivers Data'!$H$3:$L$3,0)),"")</f>
        <v/>
      </c>
      <c r="V238" s="154"/>
      <c r="W238" s="520" t="str">
        <f>IF(V238="","",IF(VLOOKUP(V238,'G-7 Rivers Data'!$AG$4:$AI$9,2,FALSE)=0,"Spatial Data Missing ⚠",VLOOKUP(V238,'G-7 Rivers Data'!$AG$4:$AI$9,2,FALSE)))</f>
        <v/>
      </c>
      <c r="X238" s="524" t="str">
        <f>IF(V238="","",IF(VLOOKUP(V238,'G-7 Rivers Data'!$AG$4:$AI$9,3,FALSE)=0,"Spatial Data Missing ⚠",VLOOKUP(V238,'G-7 Rivers Data'!$AG$4:$AI$9,3,FALSE)))</f>
        <v/>
      </c>
      <c r="Y238" s="537" t="str">
        <f>IFERROR(IF(OR(LEFT(P238,5)="Error ▲",LEFT(O238,5)="Error ▲"),"Check Data ⚠",IF(F238&lt;S238,'G-7 Rivers Data'!$R$3,INDEX('G-7 Rivers Data'!$U$5:$Y$9,MATCH(G238,'G-7 Rivers Data'!$T$5:$T$9,0),MATCH(T238,'G-7 Rivers Data'!$U$4:$Y$4,0)))),"")</f>
        <v/>
      </c>
      <c r="Z238" s="203"/>
      <c r="AA238" s="203"/>
      <c r="AB238" s="534" t="str">
        <f t="shared" si="24"/>
        <v/>
      </c>
      <c r="AC238" s="521" t="str">
        <f t="shared" si="25"/>
        <v/>
      </c>
      <c r="AD238" s="564" t="str">
        <f>IFERROR(IF(AC238="Check Data ⚠","Check Data ⚠",VLOOKUP(AC238,'G-4 Temporal multipliers'!$A$4:$C$37,3,FALSE)),"")</f>
        <v/>
      </c>
      <c r="AE238" s="537" t="str">
        <f>IF(N238="","",VLOOKUP(N238,'G-7 Rivers Data'!$B$4:$G$8,5,FALSE))</f>
        <v/>
      </c>
      <c r="AF238" s="520" t="str">
        <f t="shared" si="26"/>
        <v/>
      </c>
      <c r="AG238" s="520" t="str">
        <f t="shared" si="30"/>
        <v/>
      </c>
      <c r="AH238" s="524" t="str">
        <f t="shared" si="27"/>
        <v/>
      </c>
      <c r="AI238" s="145"/>
      <c r="AJ238" s="499" t="str">
        <f>IF(AI238="","",IF(VLOOKUP(AI238,'G-7 Rivers Data'!$AA$4:$AB$7,2,FALSE)=0,"Spatial Data Missing ⚠",VLOOKUP(AI238,'G-7 Rivers Data'!$AA$4:$AB$7,2,FALSE)))</f>
        <v/>
      </c>
      <c r="AK238" s="155"/>
      <c r="AL238" s="536" t="str">
        <f>IF(AK238="","",IF(VLOOKUP(AK238,'G-7 Rivers Data'!$AD$4:$AE$8,2,FALSE)=0,"Spatial Data Missing ⚠",VLOOKUP(AK238,'G-7 Rivers Data'!$AD$4:$AE$8,2,FALSE)))</f>
        <v/>
      </c>
      <c r="AM238" s="154"/>
      <c r="AN238" s="524" t="str">
        <f>IF(AM238="","",VLOOKUP(AM238,'G-7 Rivers Data'!$AO$4:$AP$7,2,FALSE))</f>
        <v/>
      </c>
      <c r="AO238" s="545" t="str">
        <f t="shared" si="31"/>
        <v/>
      </c>
      <c r="AP238" s="149"/>
      <c r="AQ238" s="150"/>
      <c r="AX238" s="31" t="str">
        <f>IFERROR(INDEX('G-7 Rivers Data'!$AZ$3:$AZ$7,MATCH(N238,'G-7 Rivers Data'!$AY$3:$AY$7,0)),"")</f>
        <v/>
      </c>
    </row>
    <row r="239" spans="2:50" ht="13.8" x14ac:dyDescent="0.25">
      <c r="B239" s="531" t="str">
        <f>'F-1 Off Site River Baseline'!AN237</f>
        <v/>
      </c>
      <c r="C239" s="520" t="str">
        <f>IF(B239="","",VLOOKUP($B239,'F-1 Off Site River Baseline'!$C$9:$R$257,2,FALSE))</f>
        <v/>
      </c>
      <c r="D239" s="520" t="str">
        <f>IF(C239="","",VLOOKUP($B239,'F-1 Off Site River Baseline'!$C$9:$R$257,3,FALSE))</f>
        <v/>
      </c>
      <c r="E239" s="520" t="str">
        <f>IF(D239="","",VLOOKUP($B239,'F-1 Off Site River Baseline'!$C$9:$R$257,4,FALSE))</f>
        <v/>
      </c>
      <c r="F239" s="520" t="str">
        <f>IF(E239="","",VLOOKUP($B239,'F-1 Off Site River Baseline'!$C$9:$R$257,5,FALSE))</f>
        <v/>
      </c>
      <c r="G239" s="520" t="str">
        <f>IF(F239="","",VLOOKUP($B239,'F-1 Off Site River Baseline'!$C$9:$R$257,6,FALSE))</f>
        <v/>
      </c>
      <c r="H239" s="520" t="str">
        <f>IF(G239="","",VLOOKUP($B239,'F-1 Off Site River Baseline'!$C$9:$R$257,7,FALSE))</f>
        <v/>
      </c>
      <c r="I239" s="520" t="str">
        <f>IF(H239="","",VLOOKUP($B239,'F-1 Off Site River Baseline'!$C$9:$R$257,8,FALSE))</f>
        <v/>
      </c>
      <c r="J239" s="520" t="str">
        <f>IF(I239="","",VLOOKUP($B239,'F-1 Off Site River Baseline'!$C$9:$R$257,9,FALSE))</f>
        <v/>
      </c>
      <c r="K239" s="520" t="str">
        <f>IF(J239="","",VLOOKUP($B239,'F-1 Off Site River Baseline'!$C$9:$R$257,10,FALSE))</f>
        <v/>
      </c>
      <c r="L239" s="520" t="str">
        <f>IF(B239="","",VLOOKUP($B239,'C-1 Site River Baseline'!$C$9:$R$257,15,FALSE))</f>
        <v/>
      </c>
      <c r="M239" s="524" t="str">
        <f>IF(L239="","",VLOOKUP($B239,'F-1 Off Site River Baseline'!$C$9:$R$257,16,FALSE))</f>
        <v/>
      </c>
      <c r="N239" s="418" t="str">
        <f t="shared" si="28"/>
        <v/>
      </c>
      <c r="O239" s="498" t="str">
        <f t="shared" si="29"/>
        <v/>
      </c>
      <c r="P239" s="499" t="str">
        <f>IF(C239="","",IF(AND(LEFT(C239,55)&lt;&gt;LEFT(N239,55),O239="High - High"),"Error - Not like for like ▲",IF(AND(F239=S239,H239&gt;U239),"Error - Can not reduce condition ▲",IF(AND(F239=S239,H239=U239,AJ239='F-1 Off Site River Baseline'!N237,'F-1 Off Site River Baseline'!P237=AL239),"Error - No enhancement ▲",IF(AND(C239&lt;&gt;N239,F239&lt;S239),"Lower Distinctiveness Habitat"&amp;" - "&amp;T239,G239&amp;" - "&amp;T239)))))</f>
        <v/>
      </c>
      <c r="Q239" s="505" t="str">
        <f>IF(N239="","",VLOOKUP(B239,'F-1 Off Site River Baseline'!$C$10:$AA$257,19,FALSE))</f>
        <v/>
      </c>
      <c r="R239" s="498" t="str">
        <f>IF(N239="","",VLOOKUP(N239,'G-7 Rivers Data'!$B$2:$G$8,2,FALSE))</f>
        <v/>
      </c>
      <c r="S239" s="499" t="str">
        <f>IFERROR(VLOOKUP(R239,'G-7 Rivers Data'!$C$4:$D$8,2,FALSE),"")</f>
        <v/>
      </c>
      <c r="T239" s="145"/>
      <c r="U239" s="499" t="str">
        <f>IFERROR(INDEX('G-7 Rivers Data'!$H$4:$L$8,MATCH(N239,'G-7 Rivers Data'!$B$4:$B$8,0),MATCH(T239,'G-7 Rivers Data'!$H$3:$L$3,0)),"")</f>
        <v/>
      </c>
      <c r="V239" s="154"/>
      <c r="W239" s="520" t="str">
        <f>IF(V239="","",IF(VLOOKUP(V239,'G-7 Rivers Data'!$AG$4:$AI$9,2,FALSE)=0,"Spatial Data Missing ⚠",VLOOKUP(V239,'G-7 Rivers Data'!$AG$4:$AI$9,2,FALSE)))</f>
        <v/>
      </c>
      <c r="X239" s="524" t="str">
        <f>IF(V239="","",IF(VLOOKUP(V239,'G-7 Rivers Data'!$AG$4:$AI$9,3,FALSE)=0,"Spatial Data Missing ⚠",VLOOKUP(V239,'G-7 Rivers Data'!$AG$4:$AI$9,3,FALSE)))</f>
        <v/>
      </c>
      <c r="Y239" s="537" t="str">
        <f>IFERROR(IF(OR(LEFT(P239,5)="Error ▲",LEFT(O239,5)="Error ▲"),"Check Data ⚠",IF(F239&lt;S239,'G-7 Rivers Data'!$R$3,INDEX('G-7 Rivers Data'!$U$5:$Y$9,MATCH(G239,'G-7 Rivers Data'!$T$5:$T$9,0),MATCH(T239,'G-7 Rivers Data'!$U$4:$Y$4,0)))),"")</f>
        <v/>
      </c>
      <c r="Z239" s="203"/>
      <c r="AA239" s="203"/>
      <c r="AB239" s="534" t="str">
        <f t="shared" si="24"/>
        <v/>
      </c>
      <c r="AC239" s="521" t="str">
        <f t="shared" si="25"/>
        <v/>
      </c>
      <c r="AD239" s="564" t="str">
        <f>IFERROR(IF(AC239="Check Data ⚠","Check Data ⚠",VLOOKUP(AC239,'G-4 Temporal multipliers'!$A$4:$C$37,3,FALSE)),"")</f>
        <v/>
      </c>
      <c r="AE239" s="537" t="str">
        <f>IF(N239="","",VLOOKUP(N239,'G-7 Rivers Data'!$B$4:$G$8,5,FALSE))</f>
        <v/>
      </c>
      <c r="AF239" s="520" t="str">
        <f t="shared" si="26"/>
        <v/>
      </c>
      <c r="AG239" s="520" t="str">
        <f t="shared" si="30"/>
        <v/>
      </c>
      <c r="AH239" s="524" t="str">
        <f t="shared" si="27"/>
        <v/>
      </c>
      <c r="AI239" s="145"/>
      <c r="AJ239" s="499" t="str">
        <f>IF(AI239="","",IF(VLOOKUP(AI239,'G-7 Rivers Data'!$AA$4:$AB$7,2,FALSE)=0,"Spatial Data Missing ⚠",VLOOKUP(AI239,'G-7 Rivers Data'!$AA$4:$AB$7,2,FALSE)))</f>
        <v/>
      </c>
      <c r="AK239" s="155"/>
      <c r="AL239" s="536" t="str">
        <f>IF(AK239="","",IF(VLOOKUP(AK239,'G-7 Rivers Data'!$AD$4:$AE$8,2,FALSE)=0,"Spatial Data Missing ⚠",VLOOKUP(AK239,'G-7 Rivers Data'!$AD$4:$AE$8,2,FALSE)))</f>
        <v/>
      </c>
      <c r="AM239" s="154"/>
      <c r="AN239" s="524" t="str">
        <f>IF(AM239="","",VLOOKUP(AM239,'G-7 Rivers Data'!$AO$4:$AP$7,2,FALSE))</f>
        <v/>
      </c>
      <c r="AO239" s="545" t="str">
        <f t="shared" si="31"/>
        <v/>
      </c>
      <c r="AP239" s="149"/>
      <c r="AQ239" s="150"/>
      <c r="AX239" s="31" t="str">
        <f>IFERROR(INDEX('G-7 Rivers Data'!$AZ$3:$AZ$7,MATCH(N239,'G-7 Rivers Data'!$AY$3:$AY$7,0)),"")</f>
        <v/>
      </c>
    </row>
    <row r="240" spans="2:50" ht="13.8" x14ac:dyDescent="0.25">
      <c r="B240" s="531" t="str">
        <f>'F-1 Off Site River Baseline'!AN238</f>
        <v/>
      </c>
      <c r="C240" s="520" t="str">
        <f>IF(B240="","",VLOOKUP($B240,'F-1 Off Site River Baseline'!$C$9:$R$257,2,FALSE))</f>
        <v/>
      </c>
      <c r="D240" s="520" t="str">
        <f>IF(C240="","",VLOOKUP($B240,'F-1 Off Site River Baseline'!$C$9:$R$257,3,FALSE))</f>
        <v/>
      </c>
      <c r="E240" s="520" t="str">
        <f>IF(D240="","",VLOOKUP($B240,'F-1 Off Site River Baseline'!$C$9:$R$257,4,FALSE))</f>
        <v/>
      </c>
      <c r="F240" s="520" t="str">
        <f>IF(E240="","",VLOOKUP($B240,'F-1 Off Site River Baseline'!$C$9:$R$257,5,FALSE))</f>
        <v/>
      </c>
      <c r="G240" s="520" t="str">
        <f>IF(F240="","",VLOOKUP($B240,'F-1 Off Site River Baseline'!$C$9:$R$257,6,FALSE))</f>
        <v/>
      </c>
      <c r="H240" s="520" t="str">
        <f>IF(G240="","",VLOOKUP($B240,'F-1 Off Site River Baseline'!$C$9:$R$257,7,FALSE))</f>
        <v/>
      </c>
      <c r="I240" s="520" t="str">
        <f>IF(H240="","",VLOOKUP($B240,'F-1 Off Site River Baseline'!$C$9:$R$257,8,FALSE))</f>
        <v/>
      </c>
      <c r="J240" s="520" t="str">
        <f>IF(I240="","",VLOOKUP($B240,'F-1 Off Site River Baseline'!$C$9:$R$257,9,FALSE))</f>
        <v/>
      </c>
      <c r="K240" s="520" t="str">
        <f>IF(J240="","",VLOOKUP($B240,'F-1 Off Site River Baseline'!$C$9:$R$257,10,FALSE))</f>
        <v/>
      </c>
      <c r="L240" s="520" t="str">
        <f>IF(B240="","",VLOOKUP($B240,'C-1 Site River Baseline'!$C$9:$R$257,15,FALSE))</f>
        <v/>
      </c>
      <c r="M240" s="524" t="str">
        <f>IF(L240="","",VLOOKUP($B240,'F-1 Off Site River Baseline'!$C$9:$R$257,16,FALSE))</f>
        <v/>
      </c>
      <c r="N240" s="418" t="str">
        <f t="shared" si="28"/>
        <v/>
      </c>
      <c r="O240" s="498" t="str">
        <f t="shared" si="29"/>
        <v/>
      </c>
      <c r="P240" s="499" t="str">
        <f>IF(C240="","",IF(AND(LEFT(C240,55)&lt;&gt;LEFT(N240,55),O240="High - High"),"Error - Not like for like ▲",IF(AND(F240=S240,H240&gt;U240),"Error - Can not reduce condition ▲",IF(AND(F240=S240,H240=U240,AJ240='F-1 Off Site River Baseline'!N238,'F-1 Off Site River Baseline'!P238=AL240),"Error - No enhancement ▲",IF(AND(C240&lt;&gt;N240,F240&lt;S240),"Lower Distinctiveness Habitat"&amp;" - "&amp;T240,G240&amp;" - "&amp;T240)))))</f>
        <v/>
      </c>
      <c r="Q240" s="505" t="str">
        <f>IF(N240="","",VLOOKUP(B240,'F-1 Off Site River Baseline'!$C$10:$AA$257,19,FALSE))</f>
        <v/>
      </c>
      <c r="R240" s="498" t="str">
        <f>IF(N240="","",VLOOKUP(N240,'G-7 Rivers Data'!$B$2:$G$8,2,FALSE))</f>
        <v/>
      </c>
      <c r="S240" s="499" t="str">
        <f>IFERROR(VLOOKUP(R240,'G-7 Rivers Data'!$C$4:$D$8,2,FALSE),"")</f>
        <v/>
      </c>
      <c r="T240" s="145"/>
      <c r="U240" s="499" t="str">
        <f>IFERROR(INDEX('G-7 Rivers Data'!$H$4:$L$8,MATCH(N240,'G-7 Rivers Data'!$B$4:$B$8,0),MATCH(T240,'G-7 Rivers Data'!$H$3:$L$3,0)),"")</f>
        <v/>
      </c>
      <c r="V240" s="154"/>
      <c r="W240" s="520" t="str">
        <f>IF(V240="","",IF(VLOOKUP(V240,'G-7 Rivers Data'!$AG$4:$AI$9,2,FALSE)=0,"Spatial Data Missing ⚠",VLOOKUP(V240,'G-7 Rivers Data'!$AG$4:$AI$9,2,FALSE)))</f>
        <v/>
      </c>
      <c r="X240" s="524" t="str">
        <f>IF(V240="","",IF(VLOOKUP(V240,'G-7 Rivers Data'!$AG$4:$AI$9,3,FALSE)=0,"Spatial Data Missing ⚠",VLOOKUP(V240,'G-7 Rivers Data'!$AG$4:$AI$9,3,FALSE)))</f>
        <v/>
      </c>
      <c r="Y240" s="537" t="str">
        <f>IFERROR(IF(OR(LEFT(P240,5)="Error ▲",LEFT(O240,5)="Error ▲"),"Check Data ⚠",IF(F240&lt;S240,'G-7 Rivers Data'!$R$3,INDEX('G-7 Rivers Data'!$U$5:$Y$9,MATCH(G240,'G-7 Rivers Data'!$T$5:$T$9,0),MATCH(T240,'G-7 Rivers Data'!$U$4:$Y$4,0)))),"")</f>
        <v/>
      </c>
      <c r="Z240" s="203"/>
      <c r="AA240" s="203"/>
      <c r="AB240" s="534" t="str">
        <f t="shared" si="24"/>
        <v/>
      </c>
      <c r="AC240" s="521" t="str">
        <f t="shared" si="25"/>
        <v/>
      </c>
      <c r="AD240" s="564" t="str">
        <f>IFERROR(IF(AC240="Check Data ⚠","Check Data ⚠",VLOOKUP(AC240,'G-4 Temporal multipliers'!$A$4:$C$37,3,FALSE)),"")</f>
        <v/>
      </c>
      <c r="AE240" s="537" t="str">
        <f>IF(N240="","",VLOOKUP(N240,'G-7 Rivers Data'!$B$4:$G$8,5,FALSE))</f>
        <v/>
      </c>
      <c r="AF240" s="520" t="str">
        <f t="shared" si="26"/>
        <v/>
      </c>
      <c r="AG240" s="520" t="str">
        <f t="shared" si="30"/>
        <v/>
      </c>
      <c r="AH240" s="524" t="str">
        <f t="shared" si="27"/>
        <v/>
      </c>
      <c r="AI240" s="145"/>
      <c r="AJ240" s="499" t="str">
        <f>IF(AI240="","",IF(VLOOKUP(AI240,'G-7 Rivers Data'!$AA$4:$AB$7,2,FALSE)=0,"Spatial Data Missing ⚠",VLOOKUP(AI240,'G-7 Rivers Data'!$AA$4:$AB$7,2,FALSE)))</f>
        <v/>
      </c>
      <c r="AK240" s="155"/>
      <c r="AL240" s="536" t="str">
        <f>IF(AK240="","",IF(VLOOKUP(AK240,'G-7 Rivers Data'!$AD$4:$AE$8,2,FALSE)=0,"Spatial Data Missing ⚠",VLOOKUP(AK240,'G-7 Rivers Data'!$AD$4:$AE$8,2,FALSE)))</f>
        <v/>
      </c>
      <c r="AM240" s="154"/>
      <c r="AN240" s="524" t="str">
        <f>IF(AM240="","",VLOOKUP(AM240,'G-7 Rivers Data'!$AO$4:$AP$7,2,FALSE))</f>
        <v/>
      </c>
      <c r="AO240" s="545" t="str">
        <f t="shared" si="31"/>
        <v/>
      </c>
      <c r="AP240" s="149"/>
      <c r="AQ240" s="150"/>
      <c r="AX240" s="31" t="str">
        <f>IFERROR(INDEX('G-7 Rivers Data'!$AZ$3:$AZ$7,MATCH(N240,'G-7 Rivers Data'!$AY$3:$AY$7,0)),"")</f>
        <v/>
      </c>
    </row>
    <row r="241" spans="2:50" ht="13.8" x14ac:dyDescent="0.25">
      <c r="B241" s="531" t="str">
        <f>'F-1 Off Site River Baseline'!AN239</f>
        <v/>
      </c>
      <c r="C241" s="520" t="str">
        <f>IF(B241="","",VLOOKUP($B241,'F-1 Off Site River Baseline'!$C$9:$R$257,2,FALSE))</f>
        <v/>
      </c>
      <c r="D241" s="520" t="str">
        <f>IF(C241="","",VLOOKUP($B241,'F-1 Off Site River Baseline'!$C$9:$R$257,3,FALSE))</f>
        <v/>
      </c>
      <c r="E241" s="520" t="str">
        <f>IF(D241="","",VLOOKUP($B241,'F-1 Off Site River Baseline'!$C$9:$R$257,4,FALSE))</f>
        <v/>
      </c>
      <c r="F241" s="520" t="str">
        <f>IF(E241="","",VLOOKUP($B241,'F-1 Off Site River Baseline'!$C$9:$R$257,5,FALSE))</f>
        <v/>
      </c>
      <c r="G241" s="520" t="str">
        <f>IF(F241="","",VLOOKUP($B241,'F-1 Off Site River Baseline'!$C$9:$R$257,6,FALSE))</f>
        <v/>
      </c>
      <c r="H241" s="520" t="str">
        <f>IF(G241="","",VLOOKUP($B241,'F-1 Off Site River Baseline'!$C$9:$R$257,7,FALSE))</f>
        <v/>
      </c>
      <c r="I241" s="520" t="str">
        <f>IF(H241="","",VLOOKUP($B241,'F-1 Off Site River Baseline'!$C$9:$R$257,8,FALSE))</f>
        <v/>
      </c>
      <c r="J241" s="520" t="str">
        <f>IF(I241="","",VLOOKUP($B241,'F-1 Off Site River Baseline'!$C$9:$R$257,9,FALSE))</f>
        <v/>
      </c>
      <c r="K241" s="520" t="str">
        <f>IF(J241="","",VLOOKUP($B241,'F-1 Off Site River Baseline'!$C$9:$R$257,10,FALSE))</f>
        <v/>
      </c>
      <c r="L241" s="520" t="str">
        <f>IF(B241="","",VLOOKUP($B241,'C-1 Site River Baseline'!$C$9:$R$257,15,FALSE))</f>
        <v/>
      </c>
      <c r="M241" s="524" t="str">
        <f>IF(L241="","",VLOOKUP($B241,'F-1 Off Site River Baseline'!$C$9:$R$257,16,FALSE))</f>
        <v/>
      </c>
      <c r="N241" s="418" t="str">
        <f t="shared" si="28"/>
        <v/>
      </c>
      <c r="O241" s="498" t="str">
        <f t="shared" si="29"/>
        <v/>
      </c>
      <c r="P241" s="499" t="str">
        <f>IF(C241="","",IF(AND(LEFT(C241,55)&lt;&gt;LEFT(N241,55),O241="High - High"),"Error - Not like for like ▲",IF(AND(F241=S241,H241&gt;U241),"Error - Can not reduce condition ▲",IF(AND(F241=S241,H241=U241,AJ241='F-1 Off Site River Baseline'!N239,'F-1 Off Site River Baseline'!P239=AL241),"Error - No enhancement ▲",IF(AND(C241&lt;&gt;N241,F241&lt;S241),"Lower Distinctiveness Habitat"&amp;" - "&amp;T241,G241&amp;" - "&amp;T241)))))</f>
        <v/>
      </c>
      <c r="Q241" s="505" t="str">
        <f>IF(N241="","",VLOOKUP(B241,'F-1 Off Site River Baseline'!$C$10:$AA$257,19,FALSE))</f>
        <v/>
      </c>
      <c r="R241" s="498" t="str">
        <f>IF(N241="","",VLOOKUP(N241,'G-7 Rivers Data'!$B$2:$G$8,2,FALSE))</f>
        <v/>
      </c>
      <c r="S241" s="499" t="str">
        <f>IFERROR(VLOOKUP(R241,'G-7 Rivers Data'!$C$4:$D$8,2,FALSE),"")</f>
        <v/>
      </c>
      <c r="T241" s="145"/>
      <c r="U241" s="499" t="str">
        <f>IFERROR(INDEX('G-7 Rivers Data'!$H$4:$L$8,MATCH(N241,'G-7 Rivers Data'!$B$4:$B$8,0),MATCH(T241,'G-7 Rivers Data'!$H$3:$L$3,0)),"")</f>
        <v/>
      </c>
      <c r="V241" s="154"/>
      <c r="W241" s="520" t="str">
        <f>IF(V241="","",IF(VLOOKUP(V241,'G-7 Rivers Data'!$AG$4:$AI$9,2,FALSE)=0,"Spatial Data Missing ⚠",VLOOKUP(V241,'G-7 Rivers Data'!$AG$4:$AI$9,2,FALSE)))</f>
        <v/>
      </c>
      <c r="X241" s="524" t="str">
        <f>IF(V241="","",IF(VLOOKUP(V241,'G-7 Rivers Data'!$AG$4:$AI$9,3,FALSE)=0,"Spatial Data Missing ⚠",VLOOKUP(V241,'G-7 Rivers Data'!$AG$4:$AI$9,3,FALSE)))</f>
        <v/>
      </c>
      <c r="Y241" s="537" t="str">
        <f>IFERROR(IF(OR(LEFT(P241,5)="Error ▲",LEFT(O241,5)="Error ▲"),"Check Data ⚠",IF(F241&lt;S241,'G-7 Rivers Data'!$R$3,INDEX('G-7 Rivers Data'!$U$5:$Y$9,MATCH(G241,'G-7 Rivers Data'!$T$5:$T$9,0),MATCH(T241,'G-7 Rivers Data'!$U$4:$Y$4,0)))),"")</f>
        <v/>
      </c>
      <c r="Z241" s="203"/>
      <c r="AA241" s="203"/>
      <c r="AB241" s="534" t="str">
        <f t="shared" si="24"/>
        <v/>
      </c>
      <c r="AC241" s="521" t="str">
        <f t="shared" si="25"/>
        <v/>
      </c>
      <c r="AD241" s="564" t="str">
        <f>IFERROR(IF(AC241="Check Data ⚠","Check Data ⚠",VLOOKUP(AC241,'G-4 Temporal multipliers'!$A$4:$C$37,3,FALSE)),"")</f>
        <v/>
      </c>
      <c r="AE241" s="537" t="str">
        <f>IF(N241="","",VLOOKUP(N241,'G-7 Rivers Data'!$B$4:$G$8,5,FALSE))</f>
        <v/>
      </c>
      <c r="AF241" s="520" t="str">
        <f t="shared" si="26"/>
        <v/>
      </c>
      <c r="AG241" s="520" t="str">
        <f t="shared" si="30"/>
        <v/>
      </c>
      <c r="AH241" s="524" t="str">
        <f t="shared" si="27"/>
        <v/>
      </c>
      <c r="AI241" s="145"/>
      <c r="AJ241" s="499" t="str">
        <f>IF(AI241="","",IF(VLOOKUP(AI241,'G-7 Rivers Data'!$AA$4:$AB$7,2,FALSE)=0,"Spatial Data Missing ⚠",VLOOKUP(AI241,'G-7 Rivers Data'!$AA$4:$AB$7,2,FALSE)))</f>
        <v/>
      </c>
      <c r="AK241" s="155"/>
      <c r="AL241" s="536" t="str">
        <f>IF(AK241="","",IF(VLOOKUP(AK241,'G-7 Rivers Data'!$AD$4:$AE$8,2,FALSE)=0,"Spatial Data Missing ⚠",VLOOKUP(AK241,'G-7 Rivers Data'!$AD$4:$AE$8,2,FALSE)))</f>
        <v/>
      </c>
      <c r="AM241" s="154"/>
      <c r="AN241" s="524" t="str">
        <f>IF(AM241="","",VLOOKUP(AM241,'G-7 Rivers Data'!$AO$4:$AP$7,2,FALSE))</f>
        <v/>
      </c>
      <c r="AO241" s="545" t="str">
        <f t="shared" si="31"/>
        <v/>
      </c>
      <c r="AP241" s="149"/>
      <c r="AQ241" s="150"/>
      <c r="AX241" s="31" t="str">
        <f>IFERROR(INDEX('G-7 Rivers Data'!$AZ$3:$AZ$7,MATCH(N241,'G-7 Rivers Data'!$AY$3:$AY$7,0)),"")</f>
        <v/>
      </c>
    </row>
    <row r="242" spans="2:50" ht="13.8" x14ac:dyDescent="0.25">
      <c r="B242" s="531" t="str">
        <f>'F-1 Off Site River Baseline'!AN240</f>
        <v/>
      </c>
      <c r="C242" s="520" t="str">
        <f>IF(B242="","",VLOOKUP($B242,'F-1 Off Site River Baseline'!$C$9:$R$257,2,FALSE))</f>
        <v/>
      </c>
      <c r="D242" s="520" t="str">
        <f>IF(C242="","",VLOOKUP($B242,'F-1 Off Site River Baseline'!$C$9:$R$257,3,FALSE))</f>
        <v/>
      </c>
      <c r="E242" s="520" t="str">
        <f>IF(D242="","",VLOOKUP($B242,'F-1 Off Site River Baseline'!$C$9:$R$257,4,FALSE))</f>
        <v/>
      </c>
      <c r="F242" s="520" t="str">
        <f>IF(E242="","",VLOOKUP($B242,'F-1 Off Site River Baseline'!$C$9:$R$257,5,FALSE))</f>
        <v/>
      </c>
      <c r="G242" s="520" t="str">
        <f>IF(F242="","",VLOOKUP($B242,'F-1 Off Site River Baseline'!$C$9:$R$257,6,FALSE))</f>
        <v/>
      </c>
      <c r="H242" s="520" t="str">
        <f>IF(G242="","",VLOOKUP($B242,'F-1 Off Site River Baseline'!$C$9:$R$257,7,FALSE))</f>
        <v/>
      </c>
      <c r="I242" s="520" t="str">
        <f>IF(H242="","",VLOOKUP($B242,'F-1 Off Site River Baseline'!$C$9:$R$257,8,FALSE))</f>
        <v/>
      </c>
      <c r="J242" s="520" t="str">
        <f>IF(I242="","",VLOOKUP($B242,'F-1 Off Site River Baseline'!$C$9:$R$257,9,FALSE))</f>
        <v/>
      </c>
      <c r="K242" s="520" t="str">
        <f>IF(J242="","",VLOOKUP($B242,'F-1 Off Site River Baseline'!$C$9:$R$257,10,FALSE))</f>
        <v/>
      </c>
      <c r="L242" s="520" t="str">
        <f>IF(B242="","",VLOOKUP($B242,'C-1 Site River Baseline'!$C$9:$R$257,15,FALSE))</f>
        <v/>
      </c>
      <c r="M242" s="524" t="str">
        <f>IF(L242="","",VLOOKUP($B242,'F-1 Off Site River Baseline'!$C$9:$R$257,16,FALSE))</f>
        <v/>
      </c>
      <c r="N242" s="418" t="str">
        <f t="shared" si="28"/>
        <v/>
      </c>
      <c r="O242" s="498" t="str">
        <f t="shared" si="29"/>
        <v/>
      </c>
      <c r="P242" s="499" t="str">
        <f>IF(C242="","",IF(AND(LEFT(C242,55)&lt;&gt;LEFT(N242,55),O242="High - High"),"Error - Not like for like ▲",IF(AND(F242=S242,H242&gt;U242),"Error - Can not reduce condition ▲",IF(AND(F242=S242,H242=U242,AJ242='F-1 Off Site River Baseline'!N240,'F-1 Off Site River Baseline'!P240=AL242),"Error - No enhancement ▲",IF(AND(C242&lt;&gt;N242,F242&lt;S242),"Lower Distinctiveness Habitat"&amp;" - "&amp;T242,G242&amp;" - "&amp;T242)))))</f>
        <v/>
      </c>
      <c r="Q242" s="505" t="str">
        <f>IF(N242="","",VLOOKUP(B242,'F-1 Off Site River Baseline'!$C$10:$AA$257,19,FALSE))</f>
        <v/>
      </c>
      <c r="R242" s="498" t="str">
        <f>IF(N242="","",VLOOKUP(N242,'G-7 Rivers Data'!$B$2:$G$8,2,FALSE))</f>
        <v/>
      </c>
      <c r="S242" s="499" t="str">
        <f>IFERROR(VLOOKUP(R242,'G-7 Rivers Data'!$C$4:$D$8,2,FALSE),"")</f>
        <v/>
      </c>
      <c r="T242" s="145"/>
      <c r="U242" s="499" t="str">
        <f>IFERROR(INDEX('G-7 Rivers Data'!$H$4:$L$8,MATCH(N242,'G-7 Rivers Data'!$B$4:$B$8,0),MATCH(T242,'G-7 Rivers Data'!$H$3:$L$3,0)),"")</f>
        <v/>
      </c>
      <c r="V242" s="154"/>
      <c r="W242" s="520" t="str">
        <f>IF(V242="","",IF(VLOOKUP(V242,'G-7 Rivers Data'!$AG$4:$AI$9,2,FALSE)=0,"Spatial Data Missing ⚠",VLOOKUP(V242,'G-7 Rivers Data'!$AG$4:$AI$9,2,FALSE)))</f>
        <v/>
      </c>
      <c r="X242" s="524" t="str">
        <f>IF(V242="","",IF(VLOOKUP(V242,'G-7 Rivers Data'!$AG$4:$AI$9,3,FALSE)=0,"Spatial Data Missing ⚠",VLOOKUP(V242,'G-7 Rivers Data'!$AG$4:$AI$9,3,FALSE)))</f>
        <v/>
      </c>
      <c r="Y242" s="537" t="str">
        <f>IFERROR(IF(OR(LEFT(P242,5)="Error ▲",LEFT(O242,5)="Error ▲"),"Check Data ⚠",IF(F242&lt;S242,'G-7 Rivers Data'!$R$3,INDEX('G-7 Rivers Data'!$U$5:$Y$9,MATCH(G242,'G-7 Rivers Data'!$T$5:$T$9,0),MATCH(T242,'G-7 Rivers Data'!$U$4:$Y$4,0)))),"")</f>
        <v/>
      </c>
      <c r="Z242" s="203"/>
      <c r="AA242" s="203"/>
      <c r="AB242" s="534" t="str">
        <f t="shared" si="24"/>
        <v/>
      </c>
      <c r="AC242" s="521" t="str">
        <f t="shared" si="25"/>
        <v/>
      </c>
      <c r="AD242" s="564" t="str">
        <f>IFERROR(IF(AC242="Check Data ⚠","Check Data ⚠",VLOOKUP(AC242,'G-4 Temporal multipliers'!$A$4:$C$37,3,FALSE)),"")</f>
        <v/>
      </c>
      <c r="AE242" s="537" t="str">
        <f>IF(N242="","",VLOOKUP(N242,'G-7 Rivers Data'!$B$4:$G$8,5,FALSE))</f>
        <v/>
      </c>
      <c r="AF242" s="520" t="str">
        <f t="shared" si="26"/>
        <v/>
      </c>
      <c r="AG242" s="520" t="str">
        <f t="shared" si="30"/>
        <v/>
      </c>
      <c r="AH242" s="524" t="str">
        <f t="shared" si="27"/>
        <v/>
      </c>
      <c r="AI242" s="145"/>
      <c r="AJ242" s="499" t="str">
        <f>IF(AI242="","",IF(VLOOKUP(AI242,'G-7 Rivers Data'!$AA$4:$AB$7,2,FALSE)=0,"Spatial Data Missing ⚠",VLOOKUP(AI242,'G-7 Rivers Data'!$AA$4:$AB$7,2,FALSE)))</f>
        <v/>
      </c>
      <c r="AK242" s="155"/>
      <c r="AL242" s="536" t="str">
        <f>IF(AK242="","",IF(VLOOKUP(AK242,'G-7 Rivers Data'!$AD$4:$AE$8,2,FALSE)=0,"Spatial Data Missing ⚠",VLOOKUP(AK242,'G-7 Rivers Data'!$AD$4:$AE$8,2,FALSE)))</f>
        <v/>
      </c>
      <c r="AM242" s="154"/>
      <c r="AN242" s="524" t="str">
        <f>IF(AM242="","",VLOOKUP(AM242,'G-7 Rivers Data'!$AO$4:$AP$7,2,FALSE))</f>
        <v/>
      </c>
      <c r="AO242" s="545" t="str">
        <f t="shared" si="31"/>
        <v/>
      </c>
      <c r="AP242" s="149"/>
      <c r="AQ242" s="150"/>
      <c r="AX242" s="31" t="str">
        <f>IFERROR(INDEX('G-7 Rivers Data'!$AZ$3:$AZ$7,MATCH(N242,'G-7 Rivers Data'!$AY$3:$AY$7,0)),"")</f>
        <v/>
      </c>
    </row>
    <row r="243" spans="2:50" ht="13.8" x14ac:dyDescent="0.25">
      <c r="B243" s="531" t="str">
        <f>'F-1 Off Site River Baseline'!AN241</f>
        <v/>
      </c>
      <c r="C243" s="520" t="str">
        <f>IF(B243="","",VLOOKUP($B243,'F-1 Off Site River Baseline'!$C$9:$R$257,2,FALSE))</f>
        <v/>
      </c>
      <c r="D243" s="520" t="str">
        <f>IF(C243="","",VLOOKUP($B243,'F-1 Off Site River Baseline'!$C$9:$R$257,3,FALSE))</f>
        <v/>
      </c>
      <c r="E243" s="520" t="str">
        <f>IF(D243="","",VLOOKUP($B243,'F-1 Off Site River Baseline'!$C$9:$R$257,4,FALSE))</f>
        <v/>
      </c>
      <c r="F243" s="520" t="str">
        <f>IF(E243="","",VLOOKUP($B243,'F-1 Off Site River Baseline'!$C$9:$R$257,5,FALSE))</f>
        <v/>
      </c>
      <c r="G243" s="520" t="str">
        <f>IF(F243="","",VLOOKUP($B243,'F-1 Off Site River Baseline'!$C$9:$R$257,6,FALSE))</f>
        <v/>
      </c>
      <c r="H243" s="520" t="str">
        <f>IF(G243="","",VLOOKUP($B243,'F-1 Off Site River Baseline'!$C$9:$R$257,7,FALSE))</f>
        <v/>
      </c>
      <c r="I243" s="520" t="str">
        <f>IF(H243="","",VLOOKUP($B243,'F-1 Off Site River Baseline'!$C$9:$R$257,8,FALSE))</f>
        <v/>
      </c>
      <c r="J243" s="520" t="str">
        <f>IF(I243="","",VLOOKUP($B243,'F-1 Off Site River Baseline'!$C$9:$R$257,9,FALSE))</f>
        <v/>
      </c>
      <c r="K243" s="520" t="str">
        <f>IF(J243="","",VLOOKUP($B243,'F-1 Off Site River Baseline'!$C$9:$R$257,10,FALSE))</f>
        <v/>
      </c>
      <c r="L243" s="520" t="str">
        <f>IF(B243="","",VLOOKUP($B243,'C-1 Site River Baseline'!$C$9:$R$257,15,FALSE))</f>
        <v/>
      </c>
      <c r="M243" s="524" t="str">
        <f>IF(L243="","",VLOOKUP($B243,'F-1 Off Site River Baseline'!$C$9:$R$257,16,FALSE))</f>
        <v/>
      </c>
      <c r="N243" s="418" t="str">
        <f t="shared" si="28"/>
        <v/>
      </c>
      <c r="O243" s="498" t="str">
        <f t="shared" si="29"/>
        <v/>
      </c>
      <c r="P243" s="499" t="str">
        <f>IF(C243="","",IF(AND(LEFT(C243,55)&lt;&gt;LEFT(N243,55),O243="High - High"),"Error - Not like for like ▲",IF(AND(F243=S243,H243&gt;U243),"Error - Can not reduce condition ▲",IF(AND(F243=S243,H243=U243,AJ243='F-1 Off Site River Baseline'!N241,'F-1 Off Site River Baseline'!P241=AL243),"Error - No enhancement ▲",IF(AND(C243&lt;&gt;N243,F243&lt;S243),"Lower Distinctiveness Habitat"&amp;" - "&amp;T243,G243&amp;" - "&amp;T243)))))</f>
        <v/>
      </c>
      <c r="Q243" s="505" t="str">
        <f>IF(N243="","",VLOOKUP(B243,'F-1 Off Site River Baseline'!$C$10:$AA$257,19,FALSE))</f>
        <v/>
      </c>
      <c r="R243" s="498" t="str">
        <f>IF(N243="","",VLOOKUP(N243,'G-7 Rivers Data'!$B$2:$G$8,2,FALSE))</f>
        <v/>
      </c>
      <c r="S243" s="499" t="str">
        <f>IFERROR(VLOOKUP(R243,'G-7 Rivers Data'!$C$4:$D$8,2,FALSE),"")</f>
        <v/>
      </c>
      <c r="T243" s="145"/>
      <c r="U243" s="499" t="str">
        <f>IFERROR(INDEX('G-7 Rivers Data'!$H$4:$L$8,MATCH(N243,'G-7 Rivers Data'!$B$4:$B$8,0),MATCH(T243,'G-7 Rivers Data'!$H$3:$L$3,0)),"")</f>
        <v/>
      </c>
      <c r="V243" s="154"/>
      <c r="W243" s="520" t="str">
        <f>IF(V243="","",IF(VLOOKUP(V243,'G-7 Rivers Data'!$AG$4:$AI$9,2,FALSE)=0,"Spatial Data Missing ⚠",VLOOKUP(V243,'G-7 Rivers Data'!$AG$4:$AI$9,2,FALSE)))</f>
        <v/>
      </c>
      <c r="X243" s="524" t="str">
        <f>IF(V243="","",IF(VLOOKUP(V243,'G-7 Rivers Data'!$AG$4:$AI$9,3,FALSE)=0,"Spatial Data Missing ⚠",VLOOKUP(V243,'G-7 Rivers Data'!$AG$4:$AI$9,3,FALSE)))</f>
        <v/>
      </c>
      <c r="Y243" s="537" t="str">
        <f>IFERROR(IF(OR(LEFT(P243,5)="Error ▲",LEFT(O243,5)="Error ▲"),"Check Data ⚠",IF(F243&lt;S243,'G-7 Rivers Data'!$R$3,INDEX('G-7 Rivers Data'!$U$5:$Y$9,MATCH(G243,'G-7 Rivers Data'!$T$5:$T$9,0),MATCH(T243,'G-7 Rivers Data'!$U$4:$Y$4,0)))),"")</f>
        <v/>
      </c>
      <c r="Z243" s="203"/>
      <c r="AA243" s="203"/>
      <c r="AB243" s="534" t="str">
        <f t="shared" si="24"/>
        <v/>
      </c>
      <c r="AC243" s="521" t="str">
        <f t="shared" si="25"/>
        <v/>
      </c>
      <c r="AD243" s="564" t="str">
        <f>IFERROR(IF(AC243="Check Data ⚠","Check Data ⚠",VLOOKUP(AC243,'G-4 Temporal multipliers'!$A$4:$C$37,3,FALSE)),"")</f>
        <v/>
      </c>
      <c r="AE243" s="537" t="str">
        <f>IF(N243="","",VLOOKUP(N243,'G-7 Rivers Data'!$B$4:$G$8,5,FALSE))</f>
        <v/>
      </c>
      <c r="AF243" s="520" t="str">
        <f t="shared" si="26"/>
        <v/>
      </c>
      <c r="AG243" s="520" t="str">
        <f t="shared" si="30"/>
        <v/>
      </c>
      <c r="AH243" s="524" t="str">
        <f t="shared" si="27"/>
        <v/>
      </c>
      <c r="AI243" s="145"/>
      <c r="AJ243" s="499" t="str">
        <f>IF(AI243="","",IF(VLOOKUP(AI243,'G-7 Rivers Data'!$AA$4:$AB$7,2,FALSE)=0,"Spatial Data Missing ⚠",VLOOKUP(AI243,'G-7 Rivers Data'!$AA$4:$AB$7,2,FALSE)))</f>
        <v/>
      </c>
      <c r="AK243" s="155"/>
      <c r="AL243" s="536" t="str">
        <f>IF(AK243="","",IF(VLOOKUP(AK243,'G-7 Rivers Data'!$AD$4:$AE$8,2,FALSE)=0,"Spatial Data Missing ⚠",VLOOKUP(AK243,'G-7 Rivers Data'!$AD$4:$AE$8,2,FALSE)))</f>
        <v/>
      </c>
      <c r="AM243" s="154"/>
      <c r="AN243" s="524" t="str">
        <f>IF(AM243="","",VLOOKUP(AM243,'G-7 Rivers Data'!$AO$4:$AP$7,2,FALSE))</f>
        <v/>
      </c>
      <c r="AO243" s="545" t="str">
        <f t="shared" si="31"/>
        <v/>
      </c>
      <c r="AP243" s="239"/>
      <c r="AQ243" s="240"/>
      <c r="AX243" s="31" t="str">
        <f>IFERROR(INDEX('G-7 Rivers Data'!$AZ$3:$AZ$7,MATCH(N243,'G-7 Rivers Data'!$AY$3:$AY$7,0)),"")</f>
        <v/>
      </c>
    </row>
    <row r="244" spans="2:50" ht="13.8" x14ac:dyDescent="0.25">
      <c r="B244" s="531" t="str">
        <f>'F-1 Off Site River Baseline'!AN242</f>
        <v/>
      </c>
      <c r="C244" s="520" t="str">
        <f>IF(B244="","",VLOOKUP($B244,'F-1 Off Site River Baseline'!$C$9:$R$257,2,FALSE))</f>
        <v/>
      </c>
      <c r="D244" s="520" t="str">
        <f>IF(C244="","",VLOOKUP($B244,'F-1 Off Site River Baseline'!$C$9:$R$257,3,FALSE))</f>
        <v/>
      </c>
      <c r="E244" s="520" t="str">
        <f>IF(D244="","",VLOOKUP($B244,'F-1 Off Site River Baseline'!$C$9:$R$257,4,FALSE))</f>
        <v/>
      </c>
      <c r="F244" s="520" t="str">
        <f>IF(E244="","",VLOOKUP($B244,'F-1 Off Site River Baseline'!$C$9:$R$257,5,FALSE))</f>
        <v/>
      </c>
      <c r="G244" s="520" t="str">
        <f>IF(F244="","",VLOOKUP($B244,'F-1 Off Site River Baseline'!$C$9:$R$257,6,FALSE))</f>
        <v/>
      </c>
      <c r="H244" s="520" t="str">
        <f>IF(G244="","",VLOOKUP($B244,'F-1 Off Site River Baseline'!$C$9:$R$257,7,FALSE))</f>
        <v/>
      </c>
      <c r="I244" s="520" t="str">
        <f>IF(H244="","",VLOOKUP($B244,'F-1 Off Site River Baseline'!$C$9:$R$257,8,FALSE))</f>
        <v/>
      </c>
      <c r="J244" s="520" t="str">
        <f>IF(I244="","",VLOOKUP($B244,'F-1 Off Site River Baseline'!$C$9:$R$257,9,FALSE))</f>
        <v/>
      </c>
      <c r="K244" s="520" t="str">
        <f>IF(J244="","",VLOOKUP($B244,'F-1 Off Site River Baseline'!$C$9:$R$257,10,FALSE))</f>
        <v/>
      </c>
      <c r="L244" s="520" t="str">
        <f>IF(B244="","",VLOOKUP($B244,'C-1 Site River Baseline'!$C$9:$R$257,15,FALSE))</f>
        <v/>
      </c>
      <c r="M244" s="524" t="str">
        <f>IF(L244="","",VLOOKUP($B244,'F-1 Off Site River Baseline'!$C$9:$R$257,16,FALSE))</f>
        <v/>
      </c>
      <c r="N244" s="418" t="str">
        <f t="shared" si="28"/>
        <v/>
      </c>
      <c r="O244" s="498" t="str">
        <f t="shared" si="29"/>
        <v/>
      </c>
      <c r="P244" s="499" t="str">
        <f>IF(C244="","",IF(AND(LEFT(C244,55)&lt;&gt;LEFT(N244,55),O244="High - High"),"Error - Not like for like ▲",IF(AND(F244=S244,H244&gt;U244),"Error - Can not reduce condition ▲",IF(AND(F244=S244,H244=U244,AJ244='F-1 Off Site River Baseline'!N242,'F-1 Off Site River Baseline'!P242=AL244),"Error - No enhancement ▲",IF(AND(C244&lt;&gt;N244,F244&lt;S244),"Lower Distinctiveness Habitat"&amp;" - "&amp;T244,G244&amp;" - "&amp;T244)))))</f>
        <v/>
      </c>
      <c r="Q244" s="505" t="str">
        <f>IF(N244="","",VLOOKUP(B244,'F-1 Off Site River Baseline'!$C$10:$AA$257,19,FALSE))</f>
        <v/>
      </c>
      <c r="R244" s="498" t="str">
        <f>IF(N244="","",VLOOKUP(N244,'G-7 Rivers Data'!$B$2:$G$8,2,FALSE))</f>
        <v/>
      </c>
      <c r="S244" s="499" t="str">
        <f>IFERROR(VLOOKUP(R244,'G-7 Rivers Data'!$C$4:$D$8,2,FALSE),"")</f>
        <v/>
      </c>
      <c r="T244" s="145"/>
      <c r="U244" s="499" t="str">
        <f>IFERROR(INDEX('G-7 Rivers Data'!$H$4:$L$8,MATCH(N244,'G-7 Rivers Data'!$B$4:$B$8,0),MATCH(T244,'G-7 Rivers Data'!$H$3:$L$3,0)),"")</f>
        <v/>
      </c>
      <c r="V244" s="154"/>
      <c r="W244" s="520" t="str">
        <f>IF(V244="","",IF(VLOOKUP(V244,'G-7 Rivers Data'!$AG$4:$AI$9,2,FALSE)=0,"Spatial Data Missing ⚠",VLOOKUP(V244,'G-7 Rivers Data'!$AG$4:$AI$9,2,FALSE)))</f>
        <v/>
      </c>
      <c r="X244" s="524" t="str">
        <f>IF(V244="","",IF(VLOOKUP(V244,'G-7 Rivers Data'!$AG$4:$AI$9,3,FALSE)=0,"Spatial Data Missing ⚠",VLOOKUP(V244,'G-7 Rivers Data'!$AG$4:$AI$9,3,FALSE)))</f>
        <v/>
      </c>
      <c r="Y244" s="537" t="str">
        <f>IFERROR(IF(OR(LEFT(P244,5)="Error ▲",LEFT(O244,5)="Error ▲"),"Check Data ⚠",IF(F244&lt;S244,'G-7 Rivers Data'!$R$3,INDEX('G-7 Rivers Data'!$U$5:$Y$9,MATCH(G244,'G-7 Rivers Data'!$T$5:$T$9,0),MATCH(T244,'G-7 Rivers Data'!$U$4:$Y$4,0)))),"")</f>
        <v/>
      </c>
      <c r="Z244" s="203"/>
      <c r="AA244" s="203"/>
      <c r="AB244" s="534" t="str">
        <f t="shared" si="24"/>
        <v/>
      </c>
      <c r="AC244" s="521" t="str">
        <f t="shared" si="25"/>
        <v/>
      </c>
      <c r="AD244" s="564" t="str">
        <f>IFERROR(IF(AC244="Check Data ⚠","Check Data ⚠",VLOOKUP(AC244,'G-4 Temporal multipliers'!$A$4:$C$37,3,FALSE)),"")</f>
        <v/>
      </c>
      <c r="AE244" s="537" t="str">
        <f>IF(N244="","",VLOOKUP(N244,'G-7 Rivers Data'!$B$4:$G$8,5,FALSE))</f>
        <v/>
      </c>
      <c r="AF244" s="520" t="str">
        <f t="shared" si="26"/>
        <v/>
      </c>
      <c r="AG244" s="520" t="str">
        <f t="shared" si="30"/>
        <v/>
      </c>
      <c r="AH244" s="524" t="str">
        <f t="shared" si="27"/>
        <v/>
      </c>
      <c r="AI244" s="145"/>
      <c r="AJ244" s="499" t="str">
        <f>IF(AI244="","",IF(VLOOKUP(AI244,'G-7 Rivers Data'!$AA$4:$AB$7,2,FALSE)=0,"Spatial Data Missing ⚠",VLOOKUP(AI244,'G-7 Rivers Data'!$AA$4:$AB$7,2,FALSE)))</f>
        <v/>
      </c>
      <c r="AK244" s="155"/>
      <c r="AL244" s="536" t="str">
        <f>IF(AK244="","",IF(VLOOKUP(AK244,'G-7 Rivers Data'!$AD$4:$AE$8,2,FALSE)=0,"Spatial Data Missing ⚠",VLOOKUP(AK244,'G-7 Rivers Data'!$AD$4:$AE$8,2,FALSE)))</f>
        <v/>
      </c>
      <c r="AM244" s="154"/>
      <c r="AN244" s="524" t="str">
        <f>IF(AM244="","",VLOOKUP(AM244,'G-7 Rivers Data'!$AO$4:$AP$7,2,FALSE))</f>
        <v/>
      </c>
      <c r="AO244" s="545" t="str">
        <f t="shared" si="31"/>
        <v/>
      </c>
      <c r="AP244" s="239"/>
      <c r="AQ244" s="240"/>
      <c r="AX244" s="31" t="str">
        <f>IFERROR(INDEX('G-7 Rivers Data'!$AZ$3:$AZ$7,MATCH(N244,'G-7 Rivers Data'!$AY$3:$AY$7,0)),"")</f>
        <v/>
      </c>
    </row>
    <row r="245" spans="2:50" ht="13.8" x14ac:dyDescent="0.25">
      <c r="B245" s="531" t="str">
        <f>'F-1 Off Site River Baseline'!AN243</f>
        <v/>
      </c>
      <c r="C245" s="520" t="str">
        <f>IF(B245="","",VLOOKUP($B245,'F-1 Off Site River Baseline'!$C$9:$R$257,2,FALSE))</f>
        <v/>
      </c>
      <c r="D245" s="520" t="str">
        <f>IF(C245="","",VLOOKUP($B245,'F-1 Off Site River Baseline'!$C$9:$R$257,3,FALSE))</f>
        <v/>
      </c>
      <c r="E245" s="520" t="str">
        <f>IF(D245="","",VLOOKUP($B245,'F-1 Off Site River Baseline'!$C$9:$R$257,4,FALSE))</f>
        <v/>
      </c>
      <c r="F245" s="520" t="str">
        <f>IF(E245="","",VLOOKUP($B245,'F-1 Off Site River Baseline'!$C$9:$R$257,5,FALSE))</f>
        <v/>
      </c>
      <c r="G245" s="520" t="str">
        <f>IF(F245="","",VLOOKUP($B245,'F-1 Off Site River Baseline'!$C$9:$R$257,6,FALSE))</f>
        <v/>
      </c>
      <c r="H245" s="520" t="str">
        <f>IF(G245="","",VLOOKUP($B245,'F-1 Off Site River Baseline'!$C$9:$R$257,7,FALSE))</f>
        <v/>
      </c>
      <c r="I245" s="520" t="str">
        <f>IF(H245="","",VLOOKUP($B245,'F-1 Off Site River Baseline'!$C$9:$R$257,8,FALSE))</f>
        <v/>
      </c>
      <c r="J245" s="520" t="str">
        <f>IF(I245="","",VLOOKUP($B245,'F-1 Off Site River Baseline'!$C$9:$R$257,9,FALSE))</f>
        <v/>
      </c>
      <c r="K245" s="520" t="str">
        <f>IF(J245="","",VLOOKUP($B245,'F-1 Off Site River Baseline'!$C$9:$R$257,10,FALSE))</f>
        <v/>
      </c>
      <c r="L245" s="520" t="str">
        <f>IF(B245="","",VLOOKUP($B245,'C-1 Site River Baseline'!$C$9:$R$257,15,FALSE))</f>
        <v/>
      </c>
      <c r="M245" s="524" t="str">
        <f>IF(L245="","",VLOOKUP($B245,'F-1 Off Site River Baseline'!$C$9:$R$257,16,FALSE))</f>
        <v/>
      </c>
      <c r="N245" s="418" t="str">
        <f t="shared" si="28"/>
        <v/>
      </c>
      <c r="O245" s="498" t="str">
        <f t="shared" si="29"/>
        <v/>
      </c>
      <c r="P245" s="499" t="str">
        <f>IF(C245="","",IF(AND(LEFT(C245,55)&lt;&gt;LEFT(N245,55),O245="High - High"),"Error - Not like for like ▲",IF(AND(F245=S245,H245&gt;U245),"Error - Can not reduce condition ▲",IF(AND(F245=S245,H245=U245,AJ245='F-1 Off Site River Baseline'!N243,'F-1 Off Site River Baseline'!P243=AL245),"Error - No enhancement ▲",IF(AND(C245&lt;&gt;N245,F245&lt;S245),"Lower Distinctiveness Habitat"&amp;" - "&amp;T245,G245&amp;" - "&amp;T245)))))</f>
        <v/>
      </c>
      <c r="Q245" s="505" t="str">
        <f>IF(N245="","",VLOOKUP(B245,'F-1 Off Site River Baseline'!$C$10:$AA$257,19,FALSE))</f>
        <v/>
      </c>
      <c r="R245" s="498" t="str">
        <f>IF(N245="","",VLOOKUP(N245,'G-7 Rivers Data'!$B$2:$G$8,2,FALSE))</f>
        <v/>
      </c>
      <c r="S245" s="499" t="str">
        <f>IFERROR(VLOOKUP(R245,'G-7 Rivers Data'!$C$4:$D$8,2,FALSE),"")</f>
        <v/>
      </c>
      <c r="T245" s="145"/>
      <c r="U245" s="499" t="str">
        <f>IFERROR(INDEX('G-7 Rivers Data'!$H$4:$L$8,MATCH(N245,'G-7 Rivers Data'!$B$4:$B$8,0),MATCH(T245,'G-7 Rivers Data'!$H$3:$L$3,0)),"")</f>
        <v/>
      </c>
      <c r="V245" s="154"/>
      <c r="W245" s="520" t="str">
        <f>IF(V245="","",IF(VLOOKUP(V245,'G-7 Rivers Data'!$AG$4:$AI$9,2,FALSE)=0,"Spatial Data Missing ⚠",VLOOKUP(V245,'G-7 Rivers Data'!$AG$4:$AI$9,2,FALSE)))</f>
        <v/>
      </c>
      <c r="X245" s="524" t="str">
        <f>IF(V245="","",IF(VLOOKUP(V245,'G-7 Rivers Data'!$AG$4:$AI$9,3,FALSE)=0,"Spatial Data Missing ⚠",VLOOKUP(V245,'G-7 Rivers Data'!$AG$4:$AI$9,3,FALSE)))</f>
        <v/>
      </c>
      <c r="Y245" s="537" t="str">
        <f>IFERROR(IF(OR(LEFT(P245,5)="Error ▲",LEFT(O245,5)="Error ▲"),"Check Data ⚠",IF(F245&lt;S245,'G-7 Rivers Data'!$R$3,INDEX('G-7 Rivers Data'!$U$5:$Y$9,MATCH(G245,'G-7 Rivers Data'!$T$5:$T$9,0),MATCH(T245,'G-7 Rivers Data'!$U$4:$Y$4,0)))),"")</f>
        <v/>
      </c>
      <c r="Z245" s="203"/>
      <c r="AA245" s="203"/>
      <c r="AB245" s="534" t="str">
        <f t="shared" si="24"/>
        <v/>
      </c>
      <c r="AC245" s="521" t="str">
        <f t="shared" si="25"/>
        <v/>
      </c>
      <c r="AD245" s="564" t="str">
        <f>IFERROR(IF(AC245="Check Data ⚠","Check Data ⚠",VLOOKUP(AC245,'G-4 Temporal multipliers'!$A$4:$C$37,3,FALSE)),"")</f>
        <v/>
      </c>
      <c r="AE245" s="537" t="str">
        <f>IF(N245="","",VLOOKUP(N245,'G-7 Rivers Data'!$B$4:$G$8,5,FALSE))</f>
        <v/>
      </c>
      <c r="AF245" s="520" t="str">
        <f t="shared" si="26"/>
        <v/>
      </c>
      <c r="AG245" s="520" t="str">
        <f t="shared" si="30"/>
        <v/>
      </c>
      <c r="AH245" s="524" t="str">
        <f t="shared" si="27"/>
        <v/>
      </c>
      <c r="AI245" s="145"/>
      <c r="AJ245" s="499" t="str">
        <f>IF(AI245="","",IF(VLOOKUP(AI245,'G-7 Rivers Data'!$AA$4:$AB$7,2,FALSE)=0,"Spatial Data Missing ⚠",VLOOKUP(AI245,'G-7 Rivers Data'!$AA$4:$AB$7,2,FALSE)))</f>
        <v/>
      </c>
      <c r="AK245" s="155"/>
      <c r="AL245" s="536" t="str">
        <f>IF(AK245="","",IF(VLOOKUP(AK245,'G-7 Rivers Data'!$AD$4:$AE$8,2,FALSE)=0,"Spatial Data Missing ⚠",VLOOKUP(AK245,'G-7 Rivers Data'!$AD$4:$AE$8,2,FALSE)))</f>
        <v/>
      </c>
      <c r="AM245" s="154"/>
      <c r="AN245" s="524" t="str">
        <f>IF(AM245="","",VLOOKUP(AM245,'G-7 Rivers Data'!$AO$4:$AP$7,2,FALSE))</f>
        <v/>
      </c>
      <c r="AO245" s="545" t="str">
        <f t="shared" si="31"/>
        <v/>
      </c>
      <c r="AP245" s="239"/>
      <c r="AQ245" s="240"/>
      <c r="AX245" s="31" t="str">
        <f>IFERROR(INDEX('G-7 Rivers Data'!$AZ$3:$AZ$7,MATCH(N245,'G-7 Rivers Data'!$AY$3:$AY$7,0)),"")</f>
        <v/>
      </c>
    </row>
    <row r="246" spans="2:50" ht="13.8" x14ac:dyDescent="0.25">
      <c r="B246" s="531" t="str">
        <f>'F-1 Off Site River Baseline'!AN244</f>
        <v/>
      </c>
      <c r="C246" s="520" t="str">
        <f>IF(B246="","",VLOOKUP($B246,'F-1 Off Site River Baseline'!$C$9:$R$257,2,FALSE))</f>
        <v/>
      </c>
      <c r="D246" s="520" t="str">
        <f>IF(C246="","",VLOOKUP($B246,'F-1 Off Site River Baseline'!$C$9:$R$257,3,FALSE))</f>
        <v/>
      </c>
      <c r="E246" s="520" t="str">
        <f>IF(D246="","",VLOOKUP($B246,'F-1 Off Site River Baseline'!$C$9:$R$257,4,FALSE))</f>
        <v/>
      </c>
      <c r="F246" s="520" t="str">
        <f>IF(E246="","",VLOOKUP($B246,'F-1 Off Site River Baseline'!$C$9:$R$257,5,FALSE))</f>
        <v/>
      </c>
      <c r="G246" s="520" t="str">
        <f>IF(F246="","",VLOOKUP($B246,'F-1 Off Site River Baseline'!$C$9:$R$257,6,FALSE))</f>
        <v/>
      </c>
      <c r="H246" s="520" t="str">
        <f>IF(G246="","",VLOOKUP($B246,'F-1 Off Site River Baseline'!$C$9:$R$257,7,FALSE))</f>
        <v/>
      </c>
      <c r="I246" s="520" t="str">
        <f>IF(H246="","",VLOOKUP($B246,'F-1 Off Site River Baseline'!$C$9:$R$257,8,FALSE))</f>
        <v/>
      </c>
      <c r="J246" s="520" t="str">
        <f>IF(I246="","",VLOOKUP($B246,'F-1 Off Site River Baseline'!$C$9:$R$257,9,FALSE))</f>
        <v/>
      </c>
      <c r="K246" s="520" t="str">
        <f>IF(J246="","",VLOOKUP($B246,'F-1 Off Site River Baseline'!$C$9:$R$257,10,FALSE))</f>
        <v/>
      </c>
      <c r="L246" s="520" t="str">
        <f>IF(B246="","",VLOOKUP($B246,'C-1 Site River Baseline'!$C$9:$R$257,15,FALSE))</f>
        <v/>
      </c>
      <c r="M246" s="524" t="str">
        <f>IF(L246="","",VLOOKUP($B246,'F-1 Off Site River Baseline'!$C$9:$R$257,16,FALSE))</f>
        <v/>
      </c>
      <c r="N246" s="418" t="str">
        <f t="shared" si="28"/>
        <v/>
      </c>
      <c r="O246" s="498" t="str">
        <f t="shared" si="29"/>
        <v/>
      </c>
      <c r="P246" s="499" t="str">
        <f>IF(C246="","",IF(AND(LEFT(C246,55)&lt;&gt;LEFT(N246,55),O246="High - High"),"Error - Not like for like ▲",IF(AND(F246=S246,H246&gt;U246),"Error - Can not reduce condition ▲",IF(AND(F246=S246,H246=U246,AJ246='F-1 Off Site River Baseline'!N244,'F-1 Off Site River Baseline'!P244=AL246),"Error - No enhancement ▲",IF(AND(C246&lt;&gt;N246,F246&lt;S246),"Lower Distinctiveness Habitat"&amp;" - "&amp;T246,G246&amp;" - "&amp;T246)))))</f>
        <v/>
      </c>
      <c r="Q246" s="505" t="str">
        <f>IF(N246="","",VLOOKUP(B246,'F-1 Off Site River Baseline'!$C$10:$AA$257,19,FALSE))</f>
        <v/>
      </c>
      <c r="R246" s="498" t="str">
        <f>IF(N246="","",VLOOKUP(N246,'G-7 Rivers Data'!$B$2:$G$8,2,FALSE))</f>
        <v/>
      </c>
      <c r="S246" s="499" t="str">
        <f>IFERROR(VLOOKUP(R246,'G-7 Rivers Data'!$C$4:$D$8,2,FALSE),"")</f>
        <v/>
      </c>
      <c r="T246" s="145"/>
      <c r="U246" s="499" t="str">
        <f>IFERROR(INDEX('G-7 Rivers Data'!$H$4:$L$8,MATCH(N246,'G-7 Rivers Data'!$B$4:$B$8,0),MATCH(T246,'G-7 Rivers Data'!$H$3:$L$3,0)),"")</f>
        <v/>
      </c>
      <c r="V246" s="154"/>
      <c r="W246" s="520" t="str">
        <f>IF(V246="","",IF(VLOOKUP(V246,'G-7 Rivers Data'!$AG$4:$AI$9,2,FALSE)=0,"Spatial Data Missing ⚠",VLOOKUP(V246,'G-7 Rivers Data'!$AG$4:$AI$9,2,FALSE)))</f>
        <v/>
      </c>
      <c r="X246" s="524" t="str">
        <f>IF(V246="","",IF(VLOOKUP(V246,'G-7 Rivers Data'!$AG$4:$AI$9,3,FALSE)=0,"Spatial Data Missing ⚠",VLOOKUP(V246,'G-7 Rivers Data'!$AG$4:$AI$9,3,FALSE)))</f>
        <v/>
      </c>
      <c r="Y246" s="537" t="str">
        <f>IFERROR(IF(OR(LEFT(P246,5)="Error ▲",LEFT(O246,5)="Error ▲"),"Check Data ⚠",IF(F246&lt;S246,'G-7 Rivers Data'!$R$3,INDEX('G-7 Rivers Data'!$U$5:$Y$9,MATCH(G246,'G-7 Rivers Data'!$T$5:$T$9,0),MATCH(T246,'G-7 Rivers Data'!$U$4:$Y$4,0)))),"")</f>
        <v/>
      </c>
      <c r="Z246" s="203"/>
      <c r="AA246" s="203"/>
      <c r="AB246" s="534" t="str">
        <f t="shared" si="24"/>
        <v/>
      </c>
      <c r="AC246" s="521" t="str">
        <f t="shared" si="25"/>
        <v/>
      </c>
      <c r="AD246" s="564" t="str">
        <f>IFERROR(IF(AC246="Check Data ⚠","Check Data ⚠",VLOOKUP(AC246,'G-4 Temporal multipliers'!$A$4:$C$37,3,FALSE)),"")</f>
        <v/>
      </c>
      <c r="AE246" s="537" t="str">
        <f>IF(N246="","",VLOOKUP(N246,'G-7 Rivers Data'!$B$4:$G$8,5,FALSE))</f>
        <v/>
      </c>
      <c r="AF246" s="520" t="str">
        <f t="shared" si="26"/>
        <v/>
      </c>
      <c r="AG246" s="520" t="str">
        <f t="shared" si="30"/>
        <v/>
      </c>
      <c r="AH246" s="524" t="str">
        <f t="shared" si="27"/>
        <v/>
      </c>
      <c r="AI246" s="145"/>
      <c r="AJ246" s="499" t="str">
        <f>IF(AI246="","",IF(VLOOKUP(AI246,'G-7 Rivers Data'!$AA$4:$AB$7,2,FALSE)=0,"Spatial Data Missing ⚠",VLOOKUP(AI246,'G-7 Rivers Data'!$AA$4:$AB$7,2,FALSE)))</f>
        <v/>
      </c>
      <c r="AK246" s="155"/>
      <c r="AL246" s="536" t="str">
        <f>IF(AK246="","",IF(VLOOKUP(AK246,'G-7 Rivers Data'!$AD$4:$AE$8,2,FALSE)=0,"Spatial Data Missing ⚠",VLOOKUP(AK246,'G-7 Rivers Data'!$AD$4:$AE$8,2,FALSE)))</f>
        <v/>
      </c>
      <c r="AM246" s="154"/>
      <c r="AN246" s="524" t="str">
        <f>IF(AM246="","",VLOOKUP(AM246,'G-7 Rivers Data'!$AO$4:$AP$7,2,FALSE))</f>
        <v/>
      </c>
      <c r="AO246" s="545" t="str">
        <f t="shared" si="31"/>
        <v/>
      </c>
      <c r="AP246" s="239"/>
      <c r="AQ246" s="240"/>
      <c r="AX246" s="31" t="str">
        <f>IFERROR(INDEX('G-7 Rivers Data'!$AZ$3:$AZ$7,MATCH(N246,'G-7 Rivers Data'!$AY$3:$AY$7,0)),"")</f>
        <v/>
      </c>
    </row>
    <row r="247" spans="2:50" ht="13.8" x14ac:dyDescent="0.25">
      <c r="B247" s="531" t="str">
        <f>'F-1 Off Site River Baseline'!AN245</f>
        <v/>
      </c>
      <c r="C247" s="520" t="str">
        <f>IF(B247="","",VLOOKUP($B247,'F-1 Off Site River Baseline'!$C$9:$R$257,2,FALSE))</f>
        <v/>
      </c>
      <c r="D247" s="520" t="str">
        <f>IF(C247="","",VLOOKUP($B247,'F-1 Off Site River Baseline'!$C$9:$R$257,3,FALSE))</f>
        <v/>
      </c>
      <c r="E247" s="520" t="str">
        <f>IF(D247="","",VLOOKUP($B247,'F-1 Off Site River Baseline'!$C$9:$R$257,4,FALSE))</f>
        <v/>
      </c>
      <c r="F247" s="520" t="str">
        <f>IF(E247="","",VLOOKUP($B247,'F-1 Off Site River Baseline'!$C$9:$R$257,5,FALSE))</f>
        <v/>
      </c>
      <c r="G247" s="520" t="str">
        <f>IF(F247="","",VLOOKUP($B247,'F-1 Off Site River Baseline'!$C$9:$R$257,6,FALSE))</f>
        <v/>
      </c>
      <c r="H247" s="520" t="str">
        <f>IF(G247="","",VLOOKUP($B247,'F-1 Off Site River Baseline'!$C$9:$R$257,7,FALSE))</f>
        <v/>
      </c>
      <c r="I247" s="520" t="str">
        <f>IF(H247="","",VLOOKUP($B247,'F-1 Off Site River Baseline'!$C$9:$R$257,8,FALSE))</f>
        <v/>
      </c>
      <c r="J247" s="520" t="str">
        <f>IF(I247="","",VLOOKUP($B247,'F-1 Off Site River Baseline'!$C$9:$R$257,9,FALSE))</f>
        <v/>
      </c>
      <c r="K247" s="520" t="str">
        <f>IF(J247="","",VLOOKUP($B247,'F-1 Off Site River Baseline'!$C$9:$R$257,10,FALSE))</f>
        <v/>
      </c>
      <c r="L247" s="520" t="str">
        <f>IF(B247="","",VLOOKUP($B247,'C-1 Site River Baseline'!$C$9:$R$257,15,FALSE))</f>
        <v/>
      </c>
      <c r="M247" s="524" t="str">
        <f>IF(L247="","",VLOOKUP($B247,'F-1 Off Site River Baseline'!$C$9:$R$257,16,FALSE))</f>
        <v/>
      </c>
      <c r="N247" s="418" t="str">
        <f t="shared" si="28"/>
        <v/>
      </c>
      <c r="O247" s="498" t="str">
        <f t="shared" si="29"/>
        <v/>
      </c>
      <c r="P247" s="499" t="str">
        <f>IF(C247="","",IF(AND(LEFT(C247,55)&lt;&gt;LEFT(N247,55),O247="High - High"),"Error - Not like for like ▲",IF(AND(F247=S247,H247&gt;U247),"Error - Can not reduce condition ▲",IF(AND(F247=S247,H247=U247,AJ247='F-1 Off Site River Baseline'!N245,'F-1 Off Site River Baseline'!P245=AL247),"Error - No enhancement ▲",IF(AND(C247&lt;&gt;N247,F247&lt;S247),"Lower Distinctiveness Habitat"&amp;" - "&amp;T247,G247&amp;" - "&amp;T247)))))</f>
        <v/>
      </c>
      <c r="Q247" s="505" t="str">
        <f>IF(N247="","",VLOOKUP(B247,'F-1 Off Site River Baseline'!$C$10:$AA$257,19,FALSE))</f>
        <v/>
      </c>
      <c r="R247" s="498" t="str">
        <f>IF(N247="","",VLOOKUP(N247,'G-7 Rivers Data'!$B$2:$G$8,2,FALSE))</f>
        <v/>
      </c>
      <c r="S247" s="499" t="str">
        <f>IFERROR(VLOOKUP(R247,'G-7 Rivers Data'!$C$4:$D$8,2,FALSE),"")</f>
        <v/>
      </c>
      <c r="T247" s="145"/>
      <c r="U247" s="499" t="str">
        <f>IFERROR(INDEX('G-7 Rivers Data'!$H$4:$L$8,MATCH(N247,'G-7 Rivers Data'!$B$4:$B$8,0),MATCH(T247,'G-7 Rivers Data'!$H$3:$L$3,0)),"")</f>
        <v/>
      </c>
      <c r="V247" s="154"/>
      <c r="W247" s="520" t="str">
        <f>IF(V247="","",IF(VLOOKUP(V247,'G-7 Rivers Data'!$AG$4:$AI$9,2,FALSE)=0,"Spatial Data Missing ⚠",VLOOKUP(V247,'G-7 Rivers Data'!$AG$4:$AI$9,2,FALSE)))</f>
        <v/>
      </c>
      <c r="X247" s="524" t="str">
        <f>IF(V247="","",IF(VLOOKUP(V247,'G-7 Rivers Data'!$AG$4:$AI$9,3,FALSE)=0,"Spatial Data Missing ⚠",VLOOKUP(V247,'G-7 Rivers Data'!$AG$4:$AI$9,3,FALSE)))</f>
        <v/>
      </c>
      <c r="Y247" s="537" t="str">
        <f>IFERROR(IF(OR(LEFT(P247,5)="Error ▲",LEFT(O247,5)="Error ▲"),"Check Data ⚠",IF(F247&lt;S247,'G-7 Rivers Data'!$R$3,INDEX('G-7 Rivers Data'!$U$5:$Y$9,MATCH(G247,'G-7 Rivers Data'!$T$5:$T$9,0),MATCH(T247,'G-7 Rivers Data'!$U$4:$Y$4,0)))),"")</f>
        <v/>
      </c>
      <c r="Z247" s="203"/>
      <c r="AA247" s="203"/>
      <c r="AB247" s="534" t="str">
        <f t="shared" si="24"/>
        <v/>
      </c>
      <c r="AC247" s="521" t="str">
        <f t="shared" si="25"/>
        <v/>
      </c>
      <c r="AD247" s="564" t="str">
        <f>IFERROR(IF(AC247="Check Data ⚠","Check Data ⚠",VLOOKUP(AC247,'G-4 Temporal multipliers'!$A$4:$C$37,3,FALSE)),"")</f>
        <v/>
      </c>
      <c r="AE247" s="537" t="str">
        <f>IF(N247="","",VLOOKUP(N247,'G-7 Rivers Data'!$B$4:$G$8,5,FALSE))</f>
        <v/>
      </c>
      <c r="AF247" s="520" t="str">
        <f t="shared" si="26"/>
        <v/>
      </c>
      <c r="AG247" s="520" t="str">
        <f t="shared" si="30"/>
        <v/>
      </c>
      <c r="AH247" s="524" t="str">
        <f t="shared" si="27"/>
        <v/>
      </c>
      <c r="AI247" s="145"/>
      <c r="AJ247" s="499" t="str">
        <f>IF(AI247="","",IF(VLOOKUP(AI247,'G-7 Rivers Data'!$AA$4:$AB$7,2,FALSE)=0,"Spatial Data Missing ⚠",VLOOKUP(AI247,'G-7 Rivers Data'!$AA$4:$AB$7,2,FALSE)))</f>
        <v/>
      </c>
      <c r="AK247" s="155"/>
      <c r="AL247" s="536" t="str">
        <f>IF(AK247="","",IF(VLOOKUP(AK247,'G-7 Rivers Data'!$AD$4:$AE$8,2,FALSE)=0,"Spatial Data Missing ⚠",VLOOKUP(AK247,'G-7 Rivers Data'!$AD$4:$AE$8,2,FALSE)))</f>
        <v/>
      </c>
      <c r="AM247" s="154"/>
      <c r="AN247" s="524" t="str">
        <f>IF(AM247="","",VLOOKUP(AM247,'G-7 Rivers Data'!$AO$4:$AP$7,2,FALSE))</f>
        <v/>
      </c>
      <c r="AO247" s="545" t="str">
        <f t="shared" si="31"/>
        <v/>
      </c>
      <c r="AP247" s="239"/>
      <c r="AQ247" s="240"/>
      <c r="AX247" s="31" t="str">
        <f>IFERROR(INDEX('G-7 Rivers Data'!$AZ$3:$AZ$7,MATCH(N247,'G-7 Rivers Data'!$AY$3:$AY$7,0)),"")</f>
        <v/>
      </c>
    </row>
    <row r="248" spans="2:50" ht="13.8" x14ac:dyDescent="0.25">
      <c r="B248" s="531" t="str">
        <f>'F-1 Off Site River Baseline'!AN246</f>
        <v/>
      </c>
      <c r="C248" s="520" t="str">
        <f>IF(B248="","",VLOOKUP($B248,'F-1 Off Site River Baseline'!$C$9:$R$257,2,FALSE))</f>
        <v/>
      </c>
      <c r="D248" s="520" t="str">
        <f>IF(C248="","",VLOOKUP($B248,'F-1 Off Site River Baseline'!$C$9:$R$257,3,FALSE))</f>
        <v/>
      </c>
      <c r="E248" s="520" t="str">
        <f>IF(D248="","",VLOOKUP($B248,'F-1 Off Site River Baseline'!$C$9:$R$257,4,FALSE))</f>
        <v/>
      </c>
      <c r="F248" s="520" t="str">
        <f>IF(E248="","",VLOOKUP($B248,'F-1 Off Site River Baseline'!$C$9:$R$257,5,FALSE))</f>
        <v/>
      </c>
      <c r="G248" s="520" t="str">
        <f>IF(F248="","",VLOOKUP($B248,'F-1 Off Site River Baseline'!$C$9:$R$257,6,FALSE))</f>
        <v/>
      </c>
      <c r="H248" s="520" t="str">
        <f>IF(G248="","",VLOOKUP($B248,'F-1 Off Site River Baseline'!$C$9:$R$257,7,FALSE))</f>
        <v/>
      </c>
      <c r="I248" s="520" t="str">
        <f>IF(H248="","",VLOOKUP($B248,'F-1 Off Site River Baseline'!$C$9:$R$257,8,FALSE))</f>
        <v/>
      </c>
      <c r="J248" s="520" t="str">
        <f>IF(I248="","",VLOOKUP($B248,'F-1 Off Site River Baseline'!$C$9:$R$257,9,FALSE))</f>
        <v/>
      </c>
      <c r="K248" s="520" t="str">
        <f>IF(J248="","",VLOOKUP($B248,'F-1 Off Site River Baseline'!$C$9:$R$257,10,FALSE))</f>
        <v/>
      </c>
      <c r="L248" s="520" t="str">
        <f>IF(B248="","",VLOOKUP($B248,'C-1 Site River Baseline'!$C$9:$R$257,15,FALSE))</f>
        <v/>
      </c>
      <c r="M248" s="524" t="str">
        <f>IF(L248="","",VLOOKUP($B248,'F-1 Off Site River Baseline'!$C$9:$R$257,16,FALSE))</f>
        <v/>
      </c>
      <c r="N248" s="418" t="str">
        <f t="shared" si="28"/>
        <v/>
      </c>
      <c r="O248" s="498" t="str">
        <f t="shared" si="29"/>
        <v/>
      </c>
      <c r="P248" s="499" t="str">
        <f>IF(C248="","",IF(AND(LEFT(C248,55)&lt;&gt;LEFT(N248,55),O248="High - High"),"Error - Not like for like ▲",IF(AND(F248=S248,H248&gt;U248),"Error - Can not reduce condition ▲",IF(AND(F248=S248,H248=U248,AJ248='F-1 Off Site River Baseline'!N246,'F-1 Off Site River Baseline'!P246=AL248),"Error - No enhancement ▲",IF(AND(C248&lt;&gt;N248,F248&lt;S248),"Lower Distinctiveness Habitat"&amp;" - "&amp;T248,G248&amp;" - "&amp;T248)))))</f>
        <v/>
      </c>
      <c r="Q248" s="505" t="str">
        <f>IF(N248="","",VLOOKUP(B248,'F-1 Off Site River Baseline'!$C$10:$AA$257,19,FALSE))</f>
        <v/>
      </c>
      <c r="R248" s="498" t="str">
        <f>IF(N248="","",VLOOKUP(N248,'G-7 Rivers Data'!$B$2:$G$8,2,FALSE))</f>
        <v/>
      </c>
      <c r="S248" s="499" t="str">
        <f>IFERROR(VLOOKUP(R248,'G-7 Rivers Data'!$C$4:$D$8,2,FALSE),"")</f>
        <v/>
      </c>
      <c r="T248" s="145"/>
      <c r="U248" s="499" t="str">
        <f>IFERROR(INDEX('G-7 Rivers Data'!$H$4:$L$8,MATCH(N248,'G-7 Rivers Data'!$B$4:$B$8,0),MATCH(T248,'G-7 Rivers Data'!$H$3:$L$3,0)),"")</f>
        <v/>
      </c>
      <c r="V248" s="154"/>
      <c r="W248" s="520" t="str">
        <f>IF(V248="","",IF(VLOOKUP(V248,'G-7 Rivers Data'!$AG$4:$AI$9,2,FALSE)=0,"Spatial Data Missing ⚠",VLOOKUP(V248,'G-7 Rivers Data'!$AG$4:$AI$9,2,FALSE)))</f>
        <v/>
      </c>
      <c r="X248" s="524" t="str">
        <f>IF(V248="","",IF(VLOOKUP(V248,'G-7 Rivers Data'!$AG$4:$AI$9,3,FALSE)=0,"Spatial Data Missing ⚠",VLOOKUP(V248,'G-7 Rivers Data'!$AG$4:$AI$9,3,FALSE)))</f>
        <v/>
      </c>
      <c r="Y248" s="537" t="str">
        <f>IFERROR(IF(OR(LEFT(P248,5)="Error ▲",LEFT(O248,5)="Error ▲"),"Check Data ⚠",IF(F248&lt;S248,'G-7 Rivers Data'!$R$3,INDEX('G-7 Rivers Data'!$U$5:$Y$9,MATCH(G248,'G-7 Rivers Data'!$T$5:$T$9,0),MATCH(T248,'G-7 Rivers Data'!$U$4:$Y$4,0)))),"")</f>
        <v/>
      </c>
      <c r="Z248" s="203"/>
      <c r="AA248" s="203"/>
      <c r="AB248" s="534" t="str">
        <f t="shared" si="24"/>
        <v/>
      </c>
      <c r="AC248" s="521" t="str">
        <f t="shared" si="25"/>
        <v/>
      </c>
      <c r="AD248" s="564" t="str">
        <f>IFERROR(IF(AC248="Check Data ⚠","Check Data ⚠",VLOOKUP(AC248,'G-4 Temporal multipliers'!$A$4:$C$37,3,FALSE)),"")</f>
        <v/>
      </c>
      <c r="AE248" s="537" t="str">
        <f>IF(N248="","",VLOOKUP(N248,'G-7 Rivers Data'!$B$4:$G$8,5,FALSE))</f>
        <v/>
      </c>
      <c r="AF248" s="520" t="str">
        <f t="shared" si="26"/>
        <v/>
      </c>
      <c r="AG248" s="520" t="str">
        <f t="shared" si="30"/>
        <v/>
      </c>
      <c r="AH248" s="524" t="str">
        <f t="shared" si="27"/>
        <v/>
      </c>
      <c r="AI248" s="145"/>
      <c r="AJ248" s="499" t="str">
        <f>IF(AI248="","",IF(VLOOKUP(AI248,'G-7 Rivers Data'!$AA$4:$AB$7,2,FALSE)=0,"Spatial Data Missing ⚠",VLOOKUP(AI248,'G-7 Rivers Data'!$AA$4:$AB$7,2,FALSE)))</f>
        <v/>
      </c>
      <c r="AK248" s="155"/>
      <c r="AL248" s="536" t="str">
        <f>IF(AK248="","",IF(VLOOKUP(AK248,'G-7 Rivers Data'!$AD$4:$AE$8,2,FALSE)=0,"Spatial Data Missing ⚠",VLOOKUP(AK248,'G-7 Rivers Data'!$AD$4:$AE$8,2,FALSE)))</f>
        <v/>
      </c>
      <c r="AM248" s="154"/>
      <c r="AN248" s="524" t="str">
        <f>IF(AM248="","",VLOOKUP(AM248,'G-7 Rivers Data'!$AO$4:$AP$7,2,FALSE))</f>
        <v/>
      </c>
      <c r="AO248" s="545" t="str">
        <f t="shared" si="31"/>
        <v/>
      </c>
      <c r="AP248" s="239"/>
      <c r="AQ248" s="240"/>
      <c r="AX248" s="31" t="str">
        <f>IFERROR(INDEX('G-7 Rivers Data'!$AZ$3:$AZ$7,MATCH(N248,'G-7 Rivers Data'!$AY$3:$AY$7,0)),"")</f>
        <v/>
      </c>
    </row>
    <row r="249" spans="2:50" ht="13.8" x14ac:dyDescent="0.25">
      <c r="B249" s="531" t="str">
        <f>'F-1 Off Site River Baseline'!AN247</f>
        <v/>
      </c>
      <c r="C249" s="520" t="str">
        <f>IF(B249="","",VLOOKUP($B249,'F-1 Off Site River Baseline'!$C$9:$R$257,2,FALSE))</f>
        <v/>
      </c>
      <c r="D249" s="520" t="str">
        <f>IF(C249="","",VLOOKUP($B249,'F-1 Off Site River Baseline'!$C$9:$R$257,3,FALSE))</f>
        <v/>
      </c>
      <c r="E249" s="520" t="str">
        <f>IF(D249="","",VLOOKUP($B249,'F-1 Off Site River Baseline'!$C$9:$R$257,4,FALSE))</f>
        <v/>
      </c>
      <c r="F249" s="520" t="str">
        <f>IF(E249="","",VLOOKUP($B249,'F-1 Off Site River Baseline'!$C$9:$R$257,5,FALSE))</f>
        <v/>
      </c>
      <c r="G249" s="520" t="str">
        <f>IF(F249="","",VLOOKUP($B249,'F-1 Off Site River Baseline'!$C$9:$R$257,6,FALSE))</f>
        <v/>
      </c>
      <c r="H249" s="520" t="str">
        <f>IF(G249="","",VLOOKUP($B249,'F-1 Off Site River Baseline'!$C$9:$R$257,7,FALSE))</f>
        <v/>
      </c>
      <c r="I249" s="520" t="str">
        <f>IF(H249="","",VLOOKUP($B249,'F-1 Off Site River Baseline'!$C$9:$R$257,8,FALSE))</f>
        <v/>
      </c>
      <c r="J249" s="520" t="str">
        <f>IF(I249="","",VLOOKUP($B249,'F-1 Off Site River Baseline'!$C$9:$R$257,9,FALSE))</f>
        <v/>
      </c>
      <c r="K249" s="520" t="str">
        <f>IF(J249="","",VLOOKUP($B249,'F-1 Off Site River Baseline'!$C$9:$R$257,10,FALSE))</f>
        <v/>
      </c>
      <c r="L249" s="520" t="str">
        <f>IF(B249="","",VLOOKUP($B249,'C-1 Site River Baseline'!$C$9:$R$257,15,FALSE))</f>
        <v/>
      </c>
      <c r="M249" s="524" t="str">
        <f>IF(L249="","",VLOOKUP($B249,'F-1 Off Site River Baseline'!$C$9:$R$257,16,FALSE))</f>
        <v/>
      </c>
      <c r="N249" s="418" t="str">
        <f t="shared" si="28"/>
        <v/>
      </c>
      <c r="O249" s="498" t="str">
        <f t="shared" si="29"/>
        <v/>
      </c>
      <c r="P249" s="499" t="str">
        <f>IF(C249="","",IF(AND(LEFT(C249,55)&lt;&gt;LEFT(N249,55),O249="High - High"),"Error - Not like for like ▲",IF(AND(F249=S249,H249&gt;U249),"Error - Can not reduce condition ▲",IF(AND(F249=S249,H249=U249,AJ249='F-1 Off Site River Baseline'!N247,'F-1 Off Site River Baseline'!P247=AL249),"Error - No enhancement ▲",IF(AND(C249&lt;&gt;N249,F249&lt;S249),"Lower Distinctiveness Habitat"&amp;" - "&amp;T249,G249&amp;" - "&amp;T249)))))</f>
        <v/>
      </c>
      <c r="Q249" s="505" t="str">
        <f>IF(N249="","",VLOOKUP(B249,'F-1 Off Site River Baseline'!$C$10:$AA$257,19,FALSE))</f>
        <v/>
      </c>
      <c r="R249" s="498" t="str">
        <f>IF(N249="","",VLOOKUP(N249,'G-7 Rivers Data'!$B$2:$G$8,2,FALSE))</f>
        <v/>
      </c>
      <c r="S249" s="499" t="str">
        <f>IFERROR(VLOOKUP(R249,'G-7 Rivers Data'!$C$4:$D$8,2,FALSE),"")</f>
        <v/>
      </c>
      <c r="T249" s="145"/>
      <c r="U249" s="499" t="str">
        <f>IFERROR(INDEX('G-7 Rivers Data'!$H$4:$L$8,MATCH(N249,'G-7 Rivers Data'!$B$4:$B$8,0),MATCH(T249,'G-7 Rivers Data'!$H$3:$L$3,0)),"")</f>
        <v/>
      </c>
      <c r="V249" s="154"/>
      <c r="W249" s="520" t="str">
        <f>IF(V249="","",IF(VLOOKUP(V249,'G-7 Rivers Data'!$AG$4:$AI$9,2,FALSE)=0,"Spatial Data Missing ⚠",VLOOKUP(V249,'G-7 Rivers Data'!$AG$4:$AI$9,2,FALSE)))</f>
        <v/>
      </c>
      <c r="X249" s="524" t="str">
        <f>IF(V249="","",IF(VLOOKUP(V249,'G-7 Rivers Data'!$AG$4:$AI$9,3,FALSE)=0,"Spatial Data Missing ⚠",VLOOKUP(V249,'G-7 Rivers Data'!$AG$4:$AI$9,3,FALSE)))</f>
        <v/>
      </c>
      <c r="Y249" s="537" t="str">
        <f>IFERROR(IF(OR(LEFT(P249,5)="Error ▲",LEFT(O249,5)="Error ▲"),"Check Data ⚠",IF(F249&lt;S249,'G-7 Rivers Data'!$R$3,INDEX('G-7 Rivers Data'!$U$5:$Y$9,MATCH(G249,'G-7 Rivers Data'!$T$5:$T$9,0),MATCH(T249,'G-7 Rivers Data'!$U$4:$Y$4,0)))),"")</f>
        <v/>
      </c>
      <c r="Z249" s="203"/>
      <c r="AA249" s="203"/>
      <c r="AB249" s="534" t="str">
        <f t="shared" si="24"/>
        <v/>
      </c>
      <c r="AC249" s="521" t="str">
        <f t="shared" si="25"/>
        <v/>
      </c>
      <c r="AD249" s="564" t="str">
        <f>IFERROR(IF(AC249="Check Data ⚠","Check Data ⚠",VLOOKUP(AC249,'G-4 Temporal multipliers'!$A$4:$C$37,3,FALSE)),"")</f>
        <v/>
      </c>
      <c r="AE249" s="537" t="str">
        <f>IF(N249="","",VLOOKUP(N249,'G-7 Rivers Data'!$B$4:$G$8,5,FALSE))</f>
        <v/>
      </c>
      <c r="AF249" s="520" t="str">
        <f t="shared" si="26"/>
        <v/>
      </c>
      <c r="AG249" s="520" t="str">
        <f t="shared" si="30"/>
        <v/>
      </c>
      <c r="AH249" s="524" t="str">
        <f t="shared" si="27"/>
        <v/>
      </c>
      <c r="AI249" s="145"/>
      <c r="AJ249" s="499" t="str">
        <f>IF(AI249="","",IF(VLOOKUP(AI249,'G-7 Rivers Data'!$AA$4:$AB$7,2,FALSE)=0,"Spatial Data Missing ⚠",VLOOKUP(AI249,'G-7 Rivers Data'!$AA$4:$AB$7,2,FALSE)))</f>
        <v/>
      </c>
      <c r="AK249" s="155"/>
      <c r="AL249" s="536" t="str">
        <f>IF(AK249="","",IF(VLOOKUP(AK249,'G-7 Rivers Data'!$AD$4:$AE$8,2,FALSE)=0,"Spatial Data Missing ⚠",VLOOKUP(AK249,'G-7 Rivers Data'!$AD$4:$AE$8,2,FALSE)))</f>
        <v/>
      </c>
      <c r="AM249" s="154"/>
      <c r="AN249" s="524" t="str">
        <f>IF(AM249="","",VLOOKUP(AM249,'G-7 Rivers Data'!$AO$4:$AP$7,2,FALSE))</f>
        <v/>
      </c>
      <c r="AO249" s="545" t="str">
        <f t="shared" si="31"/>
        <v/>
      </c>
      <c r="AP249" s="239"/>
      <c r="AQ249" s="240"/>
      <c r="AX249" s="31" t="str">
        <f>IFERROR(INDEX('G-7 Rivers Data'!$AZ$3:$AZ$7,MATCH(N249,'G-7 Rivers Data'!$AY$3:$AY$7,0)),"")</f>
        <v/>
      </c>
    </row>
    <row r="250" spans="2:50" ht="13.8" x14ac:dyDescent="0.25">
      <c r="B250" s="531" t="str">
        <f>'F-1 Off Site River Baseline'!AN248</f>
        <v/>
      </c>
      <c r="C250" s="520" t="str">
        <f>IF(B250="","",VLOOKUP($B250,'F-1 Off Site River Baseline'!$C$9:$R$257,2,FALSE))</f>
        <v/>
      </c>
      <c r="D250" s="520" t="str">
        <f>IF(C250="","",VLOOKUP($B250,'F-1 Off Site River Baseline'!$C$9:$R$257,3,FALSE))</f>
        <v/>
      </c>
      <c r="E250" s="520" t="str">
        <f>IF(D250="","",VLOOKUP($B250,'F-1 Off Site River Baseline'!$C$9:$R$257,4,FALSE))</f>
        <v/>
      </c>
      <c r="F250" s="520" t="str">
        <f>IF(E250="","",VLOOKUP($B250,'F-1 Off Site River Baseline'!$C$9:$R$257,5,FALSE))</f>
        <v/>
      </c>
      <c r="G250" s="520" t="str">
        <f>IF(F250="","",VLOOKUP($B250,'F-1 Off Site River Baseline'!$C$9:$R$257,6,FALSE))</f>
        <v/>
      </c>
      <c r="H250" s="520" t="str">
        <f>IF(G250="","",VLOOKUP($B250,'F-1 Off Site River Baseline'!$C$9:$R$257,7,FALSE))</f>
        <v/>
      </c>
      <c r="I250" s="520" t="str">
        <f>IF(H250="","",VLOOKUP($B250,'F-1 Off Site River Baseline'!$C$9:$R$257,8,FALSE))</f>
        <v/>
      </c>
      <c r="J250" s="520" t="str">
        <f>IF(I250="","",VLOOKUP($B250,'F-1 Off Site River Baseline'!$C$9:$R$257,9,FALSE))</f>
        <v/>
      </c>
      <c r="K250" s="520" t="str">
        <f>IF(J250="","",VLOOKUP($B250,'F-1 Off Site River Baseline'!$C$9:$R$257,10,FALSE))</f>
        <v/>
      </c>
      <c r="L250" s="520" t="str">
        <f>IF(B250="","",VLOOKUP($B250,'C-1 Site River Baseline'!$C$9:$R$257,15,FALSE))</f>
        <v/>
      </c>
      <c r="M250" s="524" t="str">
        <f>IF(L250="","",VLOOKUP($B250,'F-1 Off Site River Baseline'!$C$9:$R$257,16,FALSE))</f>
        <v/>
      </c>
      <c r="N250" s="418" t="str">
        <f t="shared" si="28"/>
        <v/>
      </c>
      <c r="O250" s="498" t="str">
        <f t="shared" si="29"/>
        <v/>
      </c>
      <c r="P250" s="499" t="str">
        <f>IF(C250="","",IF(AND(LEFT(C250,55)&lt;&gt;LEFT(N250,55),O250="High - High"),"Error - Not like for like ▲",IF(AND(F250=S250,H250&gt;U250),"Error - Can not reduce condition ▲",IF(AND(F250=S250,H250=U250,AJ250='F-1 Off Site River Baseline'!N248,'F-1 Off Site River Baseline'!P248=AL250),"Error - No enhancement ▲",IF(AND(C250&lt;&gt;N250,F250&lt;S250),"Lower Distinctiveness Habitat"&amp;" - "&amp;T250,G250&amp;" - "&amp;T250)))))</f>
        <v/>
      </c>
      <c r="Q250" s="505" t="str">
        <f>IF(N250="","",VLOOKUP(B250,'F-1 Off Site River Baseline'!$C$10:$AA$257,19,FALSE))</f>
        <v/>
      </c>
      <c r="R250" s="498" t="str">
        <f>IF(N250="","",VLOOKUP(N250,'G-7 Rivers Data'!$B$2:$G$8,2,FALSE))</f>
        <v/>
      </c>
      <c r="S250" s="499" t="str">
        <f>IFERROR(VLOOKUP(R250,'G-7 Rivers Data'!$C$4:$D$8,2,FALSE),"")</f>
        <v/>
      </c>
      <c r="T250" s="145"/>
      <c r="U250" s="499" t="str">
        <f>IFERROR(INDEX('G-7 Rivers Data'!$H$4:$L$8,MATCH(N250,'G-7 Rivers Data'!$B$4:$B$8,0),MATCH(T250,'G-7 Rivers Data'!$H$3:$L$3,0)),"")</f>
        <v/>
      </c>
      <c r="V250" s="154"/>
      <c r="W250" s="520" t="str">
        <f>IF(V250="","",IF(VLOOKUP(V250,'G-7 Rivers Data'!$AG$4:$AI$9,2,FALSE)=0,"Spatial Data Missing ⚠",VLOOKUP(V250,'G-7 Rivers Data'!$AG$4:$AI$9,2,FALSE)))</f>
        <v/>
      </c>
      <c r="X250" s="524" t="str">
        <f>IF(V250="","",IF(VLOOKUP(V250,'G-7 Rivers Data'!$AG$4:$AI$9,3,FALSE)=0,"Spatial Data Missing ⚠",VLOOKUP(V250,'G-7 Rivers Data'!$AG$4:$AI$9,3,FALSE)))</f>
        <v/>
      </c>
      <c r="Y250" s="537" t="str">
        <f>IFERROR(IF(OR(LEFT(P250,5)="Error ▲",LEFT(O250,5)="Error ▲"),"Check Data ⚠",IF(F250&lt;S250,'G-7 Rivers Data'!$R$3,INDEX('G-7 Rivers Data'!$U$5:$Y$9,MATCH(G250,'G-7 Rivers Data'!$T$5:$T$9,0),MATCH(T250,'G-7 Rivers Data'!$U$4:$Y$4,0)))),"")</f>
        <v/>
      </c>
      <c r="Z250" s="203"/>
      <c r="AA250" s="203"/>
      <c r="AB250" s="534" t="str">
        <f t="shared" si="24"/>
        <v/>
      </c>
      <c r="AC250" s="521" t="str">
        <f t="shared" si="25"/>
        <v/>
      </c>
      <c r="AD250" s="564" t="str">
        <f>IFERROR(IF(AC250="Check Data ⚠","Check Data ⚠",VLOOKUP(AC250,'G-4 Temporal multipliers'!$A$4:$C$37,3,FALSE)),"")</f>
        <v/>
      </c>
      <c r="AE250" s="537" t="str">
        <f>IF(N250="","",VLOOKUP(N250,'G-7 Rivers Data'!$B$4:$G$8,5,FALSE))</f>
        <v/>
      </c>
      <c r="AF250" s="520" t="str">
        <f t="shared" si="26"/>
        <v/>
      </c>
      <c r="AG250" s="520" t="str">
        <f t="shared" si="30"/>
        <v/>
      </c>
      <c r="AH250" s="524" t="str">
        <f t="shared" si="27"/>
        <v/>
      </c>
      <c r="AI250" s="145"/>
      <c r="AJ250" s="499" t="str">
        <f>IF(AI250="","",IF(VLOOKUP(AI250,'G-7 Rivers Data'!$AA$4:$AB$7,2,FALSE)=0,"Spatial Data Missing ⚠",VLOOKUP(AI250,'G-7 Rivers Data'!$AA$4:$AB$7,2,FALSE)))</f>
        <v/>
      </c>
      <c r="AK250" s="155"/>
      <c r="AL250" s="536" t="str">
        <f>IF(AK250="","",IF(VLOOKUP(AK250,'G-7 Rivers Data'!$AD$4:$AE$8,2,FALSE)=0,"Spatial Data Missing ⚠",VLOOKUP(AK250,'G-7 Rivers Data'!$AD$4:$AE$8,2,FALSE)))</f>
        <v/>
      </c>
      <c r="AM250" s="154"/>
      <c r="AN250" s="524" t="str">
        <f>IF(AM250="","",VLOOKUP(AM250,'G-7 Rivers Data'!$AO$4:$AP$7,2,FALSE))</f>
        <v/>
      </c>
      <c r="AO250" s="545" t="str">
        <f t="shared" si="31"/>
        <v/>
      </c>
      <c r="AP250" s="239"/>
      <c r="AQ250" s="240"/>
      <c r="AX250" s="31" t="str">
        <f>IFERROR(INDEX('G-7 Rivers Data'!$AZ$3:$AZ$7,MATCH(N250,'G-7 Rivers Data'!$AY$3:$AY$7,0)),"")</f>
        <v/>
      </c>
    </row>
    <row r="251" spans="2:50" ht="13.8" x14ac:dyDescent="0.25">
      <c r="B251" s="531" t="str">
        <f>'F-1 Off Site River Baseline'!AN249</f>
        <v/>
      </c>
      <c r="C251" s="520" t="str">
        <f>IF(B251="","",VLOOKUP($B251,'F-1 Off Site River Baseline'!$C$9:$R$257,2,FALSE))</f>
        <v/>
      </c>
      <c r="D251" s="520" t="str">
        <f>IF(C251="","",VLOOKUP($B251,'F-1 Off Site River Baseline'!$C$9:$R$257,3,FALSE))</f>
        <v/>
      </c>
      <c r="E251" s="520" t="str">
        <f>IF(D251="","",VLOOKUP($B251,'F-1 Off Site River Baseline'!$C$9:$R$257,4,FALSE))</f>
        <v/>
      </c>
      <c r="F251" s="520" t="str">
        <f>IF(E251="","",VLOOKUP($B251,'F-1 Off Site River Baseline'!$C$9:$R$257,5,FALSE))</f>
        <v/>
      </c>
      <c r="G251" s="520" t="str">
        <f>IF(F251="","",VLOOKUP($B251,'F-1 Off Site River Baseline'!$C$9:$R$257,6,FALSE))</f>
        <v/>
      </c>
      <c r="H251" s="520" t="str">
        <f>IF(G251="","",VLOOKUP($B251,'F-1 Off Site River Baseline'!$C$9:$R$257,7,FALSE))</f>
        <v/>
      </c>
      <c r="I251" s="520" t="str">
        <f>IF(H251="","",VLOOKUP($B251,'F-1 Off Site River Baseline'!$C$9:$R$257,8,FALSE))</f>
        <v/>
      </c>
      <c r="J251" s="520" t="str">
        <f>IF(I251="","",VLOOKUP($B251,'F-1 Off Site River Baseline'!$C$9:$R$257,9,FALSE))</f>
        <v/>
      </c>
      <c r="K251" s="520" t="str">
        <f>IF(J251="","",VLOOKUP($B251,'F-1 Off Site River Baseline'!$C$9:$R$257,10,FALSE))</f>
        <v/>
      </c>
      <c r="L251" s="520" t="str">
        <f>IF(B251="","",VLOOKUP($B251,'C-1 Site River Baseline'!$C$9:$R$257,15,FALSE))</f>
        <v/>
      </c>
      <c r="M251" s="524" t="str">
        <f>IF(L251="","",VLOOKUP($B251,'F-1 Off Site River Baseline'!$C$9:$R$257,16,FALSE))</f>
        <v/>
      </c>
      <c r="N251" s="418" t="str">
        <f t="shared" si="28"/>
        <v/>
      </c>
      <c r="O251" s="498" t="str">
        <f t="shared" si="29"/>
        <v/>
      </c>
      <c r="P251" s="499" t="str">
        <f>IF(C251="","",IF(AND(LEFT(C251,55)&lt;&gt;LEFT(N251,55),O251="High - High"),"Error - Not like for like ▲",IF(AND(F251=S251,H251&gt;U251),"Error - Can not reduce condition ▲",IF(AND(F251=S251,H251=U251,AJ251='F-1 Off Site River Baseline'!N249,'F-1 Off Site River Baseline'!P249=AL251),"Error - No enhancement ▲",IF(AND(C251&lt;&gt;N251,F251&lt;S251),"Lower Distinctiveness Habitat"&amp;" - "&amp;T251,G251&amp;" - "&amp;T251)))))</f>
        <v/>
      </c>
      <c r="Q251" s="505" t="str">
        <f>IF(N251="","",VLOOKUP(B251,'F-1 Off Site River Baseline'!$C$10:$AA$257,19,FALSE))</f>
        <v/>
      </c>
      <c r="R251" s="498" t="str">
        <f>IF(N251="","",VLOOKUP(N251,'G-7 Rivers Data'!$B$2:$G$8,2,FALSE))</f>
        <v/>
      </c>
      <c r="S251" s="499" t="str">
        <f>IFERROR(VLOOKUP(R251,'G-7 Rivers Data'!$C$4:$D$8,2,FALSE),"")</f>
        <v/>
      </c>
      <c r="T251" s="145"/>
      <c r="U251" s="499" t="str">
        <f>IFERROR(INDEX('G-7 Rivers Data'!$H$4:$L$8,MATCH(N251,'G-7 Rivers Data'!$B$4:$B$8,0),MATCH(T251,'G-7 Rivers Data'!$H$3:$L$3,0)),"")</f>
        <v/>
      </c>
      <c r="V251" s="154"/>
      <c r="W251" s="520" t="str">
        <f>IF(V251="","",IF(VLOOKUP(V251,'G-7 Rivers Data'!$AG$4:$AI$9,2,FALSE)=0,"Spatial Data Missing ⚠",VLOOKUP(V251,'G-7 Rivers Data'!$AG$4:$AI$9,2,FALSE)))</f>
        <v/>
      </c>
      <c r="X251" s="524" t="str">
        <f>IF(V251="","",IF(VLOOKUP(V251,'G-7 Rivers Data'!$AG$4:$AI$9,3,FALSE)=0,"Spatial Data Missing ⚠",VLOOKUP(V251,'G-7 Rivers Data'!$AG$4:$AI$9,3,FALSE)))</f>
        <v/>
      </c>
      <c r="Y251" s="537" t="str">
        <f>IFERROR(IF(OR(LEFT(P251,5)="Error ▲",LEFT(O251,5)="Error ▲"),"Check Data ⚠",IF(F251&lt;S251,'G-7 Rivers Data'!$R$3,INDEX('G-7 Rivers Data'!$U$5:$Y$9,MATCH(G251,'G-7 Rivers Data'!$T$5:$T$9,0),MATCH(T251,'G-7 Rivers Data'!$U$4:$Y$4,0)))),"")</f>
        <v/>
      </c>
      <c r="Z251" s="203"/>
      <c r="AA251" s="203"/>
      <c r="AB251" s="534" t="str">
        <f t="shared" si="24"/>
        <v/>
      </c>
      <c r="AC251" s="521" t="str">
        <f t="shared" si="25"/>
        <v/>
      </c>
      <c r="AD251" s="564" t="str">
        <f>IFERROR(IF(AC251="Check Data ⚠","Check Data ⚠",VLOOKUP(AC251,'G-4 Temporal multipliers'!$A$4:$C$37,3,FALSE)),"")</f>
        <v/>
      </c>
      <c r="AE251" s="537" t="str">
        <f>IF(N251="","",VLOOKUP(N251,'G-7 Rivers Data'!$B$4:$G$8,5,FALSE))</f>
        <v/>
      </c>
      <c r="AF251" s="520" t="str">
        <f t="shared" si="26"/>
        <v/>
      </c>
      <c r="AG251" s="520" t="str">
        <f t="shared" si="30"/>
        <v/>
      </c>
      <c r="AH251" s="524" t="str">
        <f t="shared" si="27"/>
        <v/>
      </c>
      <c r="AI251" s="145"/>
      <c r="AJ251" s="499" t="str">
        <f>IF(AI251="","",IF(VLOOKUP(AI251,'G-7 Rivers Data'!$AA$4:$AB$7,2,FALSE)=0,"Spatial Data Missing ⚠",VLOOKUP(AI251,'G-7 Rivers Data'!$AA$4:$AB$7,2,FALSE)))</f>
        <v/>
      </c>
      <c r="AK251" s="155"/>
      <c r="AL251" s="536" t="str">
        <f>IF(AK251="","",IF(VLOOKUP(AK251,'G-7 Rivers Data'!$AD$4:$AE$8,2,FALSE)=0,"Spatial Data Missing ⚠",VLOOKUP(AK251,'G-7 Rivers Data'!$AD$4:$AE$8,2,FALSE)))</f>
        <v/>
      </c>
      <c r="AM251" s="154"/>
      <c r="AN251" s="524" t="str">
        <f>IF(AM251="","",VLOOKUP(AM251,'G-7 Rivers Data'!$AO$4:$AP$7,2,FALSE))</f>
        <v/>
      </c>
      <c r="AO251" s="545" t="str">
        <f t="shared" si="31"/>
        <v/>
      </c>
      <c r="AP251" s="239"/>
      <c r="AQ251" s="240"/>
      <c r="AX251" s="31" t="str">
        <f>IFERROR(INDEX('G-7 Rivers Data'!$AZ$3:$AZ$7,MATCH(N251,'G-7 Rivers Data'!$AY$3:$AY$7,0)),"")</f>
        <v/>
      </c>
    </row>
    <row r="252" spans="2:50" ht="13.8" x14ac:dyDescent="0.25">
      <c r="B252" s="531" t="str">
        <f>'F-1 Off Site River Baseline'!AN250</f>
        <v/>
      </c>
      <c r="C252" s="520" t="str">
        <f>IF(B252="","",VLOOKUP($B252,'F-1 Off Site River Baseline'!$C$9:$R$257,2,FALSE))</f>
        <v/>
      </c>
      <c r="D252" s="520" t="str">
        <f>IF(C252="","",VLOOKUP($B252,'F-1 Off Site River Baseline'!$C$9:$R$257,3,FALSE))</f>
        <v/>
      </c>
      <c r="E252" s="520" t="str">
        <f>IF(D252="","",VLOOKUP($B252,'F-1 Off Site River Baseline'!$C$9:$R$257,4,FALSE))</f>
        <v/>
      </c>
      <c r="F252" s="520" t="str">
        <f>IF(E252="","",VLOOKUP($B252,'F-1 Off Site River Baseline'!$C$9:$R$257,5,FALSE))</f>
        <v/>
      </c>
      <c r="G252" s="520" t="str">
        <f>IF(F252="","",VLOOKUP($B252,'F-1 Off Site River Baseline'!$C$9:$R$257,6,FALSE))</f>
        <v/>
      </c>
      <c r="H252" s="520" t="str">
        <f>IF(G252="","",VLOOKUP($B252,'F-1 Off Site River Baseline'!$C$9:$R$257,7,FALSE))</f>
        <v/>
      </c>
      <c r="I252" s="520" t="str">
        <f>IF(H252="","",VLOOKUP($B252,'F-1 Off Site River Baseline'!$C$9:$R$257,8,FALSE))</f>
        <v/>
      </c>
      <c r="J252" s="520" t="str">
        <f>IF(I252="","",VLOOKUP($B252,'F-1 Off Site River Baseline'!$C$9:$R$257,9,FALSE))</f>
        <v/>
      </c>
      <c r="K252" s="520" t="str">
        <f>IF(J252="","",VLOOKUP($B252,'F-1 Off Site River Baseline'!$C$9:$R$257,10,FALSE))</f>
        <v/>
      </c>
      <c r="L252" s="520" t="str">
        <f>IF(B252="","",VLOOKUP($B252,'C-1 Site River Baseline'!$C$9:$R$257,15,FALSE))</f>
        <v/>
      </c>
      <c r="M252" s="524" t="str">
        <f>IF(L252="","",VLOOKUP($B252,'F-1 Off Site River Baseline'!$C$9:$R$257,16,FALSE))</f>
        <v/>
      </c>
      <c r="N252" s="418" t="str">
        <f t="shared" si="28"/>
        <v/>
      </c>
      <c r="O252" s="498" t="str">
        <f t="shared" si="29"/>
        <v/>
      </c>
      <c r="P252" s="499" t="str">
        <f>IF(C252="","",IF(AND(LEFT(C252,55)&lt;&gt;LEFT(N252,55),O252="High - High"),"Error - Not like for like ▲",IF(AND(F252=S252,H252&gt;U252),"Error - Can not reduce condition ▲",IF(AND(F252=S252,H252=U252,AJ252='F-1 Off Site River Baseline'!N250,'F-1 Off Site River Baseline'!P250=AL252),"Error - No enhancement ▲",IF(AND(C252&lt;&gt;N252,F252&lt;S252),"Lower Distinctiveness Habitat"&amp;" - "&amp;T252,G252&amp;" - "&amp;T252)))))</f>
        <v/>
      </c>
      <c r="Q252" s="505" t="str">
        <f>IF(N252="","",VLOOKUP(B252,'F-1 Off Site River Baseline'!$C$10:$AA$257,19,FALSE))</f>
        <v/>
      </c>
      <c r="R252" s="498" t="str">
        <f>IF(N252="","",VLOOKUP(N252,'G-7 Rivers Data'!$B$2:$G$8,2,FALSE))</f>
        <v/>
      </c>
      <c r="S252" s="499" t="str">
        <f>IFERROR(VLOOKUP(R252,'G-7 Rivers Data'!$C$4:$D$8,2,FALSE),"")</f>
        <v/>
      </c>
      <c r="T252" s="145"/>
      <c r="U252" s="499" t="str">
        <f>IFERROR(INDEX('G-7 Rivers Data'!$H$4:$L$8,MATCH(N252,'G-7 Rivers Data'!$B$4:$B$8,0),MATCH(T252,'G-7 Rivers Data'!$H$3:$L$3,0)),"")</f>
        <v/>
      </c>
      <c r="V252" s="154"/>
      <c r="W252" s="520" t="str">
        <f>IF(V252="","",IF(VLOOKUP(V252,'G-7 Rivers Data'!$AG$4:$AI$9,2,FALSE)=0,"Spatial Data Missing ⚠",VLOOKUP(V252,'G-7 Rivers Data'!$AG$4:$AI$9,2,FALSE)))</f>
        <v/>
      </c>
      <c r="X252" s="524" t="str">
        <f>IF(V252="","",IF(VLOOKUP(V252,'G-7 Rivers Data'!$AG$4:$AI$9,3,FALSE)=0,"Spatial Data Missing ⚠",VLOOKUP(V252,'G-7 Rivers Data'!$AG$4:$AI$9,3,FALSE)))</f>
        <v/>
      </c>
      <c r="Y252" s="537" t="str">
        <f>IFERROR(IF(OR(LEFT(P252,5)="Error ▲",LEFT(O252,5)="Error ▲"),"Check Data ⚠",IF(F252&lt;S252,'G-7 Rivers Data'!$R$3,INDEX('G-7 Rivers Data'!$U$5:$Y$9,MATCH(G252,'G-7 Rivers Data'!$T$5:$T$9,0),MATCH(T252,'G-7 Rivers Data'!$U$4:$Y$4,0)))),"")</f>
        <v/>
      </c>
      <c r="Z252" s="203"/>
      <c r="AA252" s="203"/>
      <c r="AB252" s="534" t="str">
        <f t="shared" si="24"/>
        <v/>
      </c>
      <c r="AC252" s="521" t="str">
        <f t="shared" si="25"/>
        <v/>
      </c>
      <c r="AD252" s="564" t="str">
        <f>IFERROR(IF(AC252="Check Data ⚠","Check Data ⚠",VLOOKUP(AC252,'G-4 Temporal multipliers'!$A$4:$C$37,3,FALSE)),"")</f>
        <v/>
      </c>
      <c r="AE252" s="537" t="str">
        <f>IF(N252="","",VLOOKUP(N252,'G-7 Rivers Data'!$B$4:$G$8,5,FALSE))</f>
        <v/>
      </c>
      <c r="AF252" s="520" t="str">
        <f t="shared" si="26"/>
        <v/>
      </c>
      <c r="AG252" s="520" t="str">
        <f t="shared" si="30"/>
        <v/>
      </c>
      <c r="AH252" s="524" t="str">
        <f t="shared" si="27"/>
        <v/>
      </c>
      <c r="AI252" s="145"/>
      <c r="AJ252" s="499" t="str">
        <f>IF(AI252="","",IF(VLOOKUP(AI252,'G-7 Rivers Data'!$AA$4:$AB$7,2,FALSE)=0,"Spatial Data Missing ⚠",VLOOKUP(AI252,'G-7 Rivers Data'!$AA$4:$AB$7,2,FALSE)))</f>
        <v/>
      </c>
      <c r="AK252" s="155"/>
      <c r="AL252" s="536" t="str">
        <f>IF(AK252="","",IF(VLOOKUP(AK252,'G-7 Rivers Data'!$AD$4:$AE$8,2,FALSE)=0,"Spatial Data Missing ⚠",VLOOKUP(AK252,'G-7 Rivers Data'!$AD$4:$AE$8,2,FALSE)))</f>
        <v/>
      </c>
      <c r="AM252" s="154"/>
      <c r="AN252" s="524" t="str">
        <f>IF(AM252="","",VLOOKUP(AM252,'G-7 Rivers Data'!$AO$4:$AP$7,2,FALSE))</f>
        <v/>
      </c>
      <c r="AO252" s="545" t="str">
        <f t="shared" si="31"/>
        <v/>
      </c>
      <c r="AP252" s="239"/>
      <c r="AQ252" s="240"/>
      <c r="AX252" s="31" t="str">
        <f>IFERROR(INDEX('G-7 Rivers Data'!$AZ$3:$AZ$7,MATCH(N252,'G-7 Rivers Data'!$AY$3:$AY$7,0)),"")</f>
        <v/>
      </c>
    </row>
    <row r="253" spans="2:50" ht="13.8" x14ac:dyDescent="0.25">
      <c r="B253" s="531" t="str">
        <f>'F-1 Off Site River Baseline'!AN251</f>
        <v/>
      </c>
      <c r="C253" s="520" t="str">
        <f>IF(B253="","",VLOOKUP($B253,'F-1 Off Site River Baseline'!$C$9:$R$257,2,FALSE))</f>
        <v/>
      </c>
      <c r="D253" s="520" t="str">
        <f>IF(C253="","",VLOOKUP($B253,'F-1 Off Site River Baseline'!$C$9:$R$257,3,FALSE))</f>
        <v/>
      </c>
      <c r="E253" s="520" t="str">
        <f>IF(D253="","",VLOOKUP($B253,'F-1 Off Site River Baseline'!$C$9:$R$257,4,FALSE))</f>
        <v/>
      </c>
      <c r="F253" s="520" t="str">
        <f>IF(E253="","",VLOOKUP($B253,'F-1 Off Site River Baseline'!$C$9:$R$257,5,FALSE))</f>
        <v/>
      </c>
      <c r="G253" s="520" t="str">
        <f>IF(F253="","",VLOOKUP($B253,'F-1 Off Site River Baseline'!$C$9:$R$257,6,FALSE))</f>
        <v/>
      </c>
      <c r="H253" s="520" t="str">
        <f>IF(G253="","",VLOOKUP($B253,'F-1 Off Site River Baseline'!$C$9:$R$257,7,FALSE))</f>
        <v/>
      </c>
      <c r="I253" s="520" t="str">
        <f>IF(H253="","",VLOOKUP($B253,'F-1 Off Site River Baseline'!$C$9:$R$257,8,FALSE))</f>
        <v/>
      </c>
      <c r="J253" s="520" t="str">
        <f>IF(I253="","",VLOOKUP($B253,'F-1 Off Site River Baseline'!$C$9:$R$257,9,FALSE))</f>
        <v/>
      </c>
      <c r="K253" s="520" t="str">
        <f>IF(J253="","",VLOOKUP($B253,'F-1 Off Site River Baseline'!$C$9:$R$257,10,FALSE))</f>
        <v/>
      </c>
      <c r="L253" s="520" t="str">
        <f>IF(B253="","",VLOOKUP($B253,'C-1 Site River Baseline'!$C$9:$R$257,15,FALSE))</f>
        <v/>
      </c>
      <c r="M253" s="524" t="str">
        <f>IF(L253="","",VLOOKUP($B253,'F-1 Off Site River Baseline'!$C$9:$R$257,16,FALSE))</f>
        <v/>
      </c>
      <c r="N253" s="418" t="str">
        <f t="shared" si="28"/>
        <v/>
      </c>
      <c r="O253" s="498" t="str">
        <f t="shared" si="29"/>
        <v/>
      </c>
      <c r="P253" s="499" t="str">
        <f>IF(C253="","",IF(AND(LEFT(C253,55)&lt;&gt;LEFT(N253,55),O253="High - High"),"Error - Not like for like ▲",IF(AND(F253=S253,H253&gt;U253),"Error - Can not reduce condition ▲",IF(AND(F253=S253,H253=U253,AJ253='F-1 Off Site River Baseline'!N251,'F-1 Off Site River Baseline'!P251=AL253),"Error - No enhancement ▲",IF(AND(C253&lt;&gt;N253,F253&lt;S253),"Lower Distinctiveness Habitat"&amp;" - "&amp;T253,G253&amp;" - "&amp;T253)))))</f>
        <v/>
      </c>
      <c r="Q253" s="505" t="str">
        <f>IF(N253="","",VLOOKUP(B253,'F-1 Off Site River Baseline'!$C$10:$AA$257,19,FALSE))</f>
        <v/>
      </c>
      <c r="R253" s="498" t="str">
        <f>IF(N253="","",VLOOKUP(N253,'G-7 Rivers Data'!$B$2:$G$8,2,FALSE))</f>
        <v/>
      </c>
      <c r="S253" s="499" t="str">
        <f>IFERROR(VLOOKUP(R253,'G-7 Rivers Data'!$C$4:$D$8,2,FALSE),"")</f>
        <v/>
      </c>
      <c r="T253" s="145"/>
      <c r="U253" s="499" t="str">
        <f>IFERROR(INDEX('G-7 Rivers Data'!$H$4:$L$8,MATCH(N253,'G-7 Rivers Data'!$B$4:$B$8,0),MATCH(T253,'G-7 Rivers Data'!$H$3:$L$3,0)),"")</f>
        <v/>
      </c>
      <c r="V253" s="154"/>
      <c r="W253" s="520" t="str">
        <f>IF(V253="","",IF(VLOOKUP(V253,'G-7 Rivers Data'!$AG$4:$AI$9,2,FALSE)=0,"Spatial Data Missing ⚠",VLOOKUP(V253,'G-7 Rivers Data'!$AG$4:$AI$9,2,FALSE)))</f>
        <v/>
      </c>
      <c r="X253" s="524" t="str">
        <f>IF(V253="","",IF(VLOOKUP(V253,'G-7 Rivers Data'!$AG$4:$AI$9,3,FALSE)=0,"Spatial Data Missing ⚠",VLOOKUP(V253,'G-7 Rivers Data'!$AG$4:$AI$9,3,FALSE)))</f>
        <v/>
      </c>
      <c r="Y253" s="537" t="str">
        <f>IFERROR(IF(OR(LEFT(P253,5)="Error ▲",LEFT(O253,5)="Error ▲"),"Check Data ⚠",IF(F253&lt;S253,'G-7 Rivers Data'!$R$3,INDEX('G-7 Rivers Data'!$U$5:$Y$9,MATCH(G253,'G-7 Rivers Data'!$T$5:$T$9,0),MATCH(T253,'G-7 Rivers Data'!$U$4:$Y$4,0)))),"")</f>
        <v/>
      </c>
      <c r="Z253" s="203"/>
      <c r="AA253" s="203"/>
      <c r="AB253" s="534" t="str">
        <f t="shared" si="24"/>
        <v/>
      </c>
      <c r="AC253" s="521" t="str">
        <f t="shared" si="25"/>
        <v/>
      </c>
      <c r="AD253" s="564" t="str">
        <f>IFERROR(IF(AC253="Check Data ⚠","Check Data ⚠",VLOOKUP(AC253,'G-4 Temporal multipliers'!$A$4:$C$37,3,FALSE)),"")</f>
        <v/>
      </c>
      <c r="AE253" s="537" t="str">
        <f>IF(N253="","",VLOOKUP(N253,'G-7 Rivers Data'!$B$4:$G$8,5,FALSE))</f>
        <v/>
      </c>
      <c r="AF253" s="520" t="str">
        <f t="shared" si="26"/>
        <v/>
      </c>
      <c r="AG253" s="520" t="str">
        <f t="shared" si="30"/>
        <v/>
      </c>
      <c r="AH253" s="524" t="str">
        <f t="shared" si="27"/>
        <v/>
      </c>
      <c r="AI253" s="145"/>
      <c r="AJ253" s="499" t="str">
        <f>IF(AI253="","",IF(VLOOKUP(AI253,'G-7 Rivers Data'!$AA$4:$AB$7,2,FALSE)=0,"Spatial Data Missing ⚠",VLOOKUP(AI253,'G-7 Rivers Data'!$AA$4:$AB$7,2,FALSE)))</f>
        <v/>
      </c>
      <c r="AK253" s="155"/>
      <c r="AL253" s="536" t="str">
        <f>IF(AK253="","",IF(VLOOKUP(AK253,'G-7 Rivers Data'!$AD$4:$AE$8,2,FALSE)=0,"Spatial Data Missing ⚠",VLOOKUP(AK253,'G-7 Rivers Data'!$AD$4:$AE$8,2,FALSE)))</f>
        <v/>
      </c>
      <c r="AM253" s="154"/>
      <c r="AN253" s="524" t="str">
        <f>IF(AM253="","",VLOOKUP(AM253,'G-7 Rivers Data'!$AO$4:$AP$7,2,FALSE))</f>
        <v/>
      </c>
      <c r="AO253" s="545" t="str">
        <f t="shared" si="31"/>
        <v/>
      </c>
      <c r="AP253" s="239"/>
      <c r="AQ253" s="240"/>
      <c r="AX253" s="31" t="str">
        <f>IFERROR(INDEX('G-7 Rivers Data'!$AZ$3:$AZ$7,MATCH(N253,'G-7 Rivers Data'!$AY$3:$AY$7,0)),"")</f>
        <v/>
      </c>
    </row>
    <row r="254" spans="2:50" ht="13.8" x14ac:dyDescent="0.25">
      <c r="B254" s="531" t="str">
        <f>'F-1 Off Site River Baseline'!AN252</f>
        <v/>
      </c>
      <c r="C254" s="520" t="str">
        <f>IF(B254="","",VLOOKUP($B254,'F-1 Off Site River Baseline'!$C$9:$R$257,2,FALSE))</f>
        <v/>
      </c>
      <c r="D254" s="520" t="str">
        <f>IF(C254="","",VLOOKUP($B254,'F-1 Off Site River Baseline'!$C$9:$R$257,3,FALSE))</f>
        <v/>
      </c>
      <c r="E254" s="520" t="str">
        <f>IF(D254="","",VLOOKUP($B254,'F-1 Off Site River Baseline'!$C$9:$R$257,4,FALSE))</f>
        <v/>
      </c>
      <c r="F254" s="520" t="str">
        <f>IF(E254="","",VLOOKUP($B254,'F-1 Off Site River Baseline'!$C$9:$R$257,5,FALSE))</f>
        <v/>
      </c>
      <c r="G254" s="520" t="str">
        <f>IF(F254="","",VLOOKUP($B254,'F-1 Off Site River Baseline'!$C$9:$R$257,6,FALSE))</f>
        <v/>
      </c>
      <c r="H254" s="520" t="str">
        <f>IF(G254="","",VLOOKUP($B254,'F-1 Off Site River Baseline'!$C$9:$R$257,7,FALSE))</f>
        <v/>
      </c>
      <c r="I254" s="520" t="str">
        <f>IF(H254="","",VLOOKUP($B254,'F-1 Off Site River Baseline'!$C$9:$R$257,8,FALSE))</f>
        <v/>
      </c>
      <c r="J254" s="520" t="str">
        <f>IF(I254="","",VLOOKUP($B254,'F-1 Off Site River Baseline'!$C$9:$R$257,9,FALSE))</f>
        <v/>
      </c>
      <c r="K254" s="520" t="str">
        <f>IF(J254="","",VLOOKUP($B254,'F-1 Off Site River Baseline'!$C$9:$R$257,10,FALSE))</f>
        <v/>
      </c>
      <c r="L254" s="520" t="str">
        <f>IF(B254="","",VLOOKUP($B254,'C-1 Site River Baseline'!$C$9:$R$257,15,FALSE))</f>
        <v/>
      </c>
      <c r="M254" s="524" t="str">
        <f>IF(L254="","",VLOOKUP($B254,'F-1 Off Site River Baseline'!$C$9:$R$257,16,FALSE))</f>
        <v/>
      </c>
      <c r="N254" s="418" t="str">
        <f t="shared" si="28"/>
        <v/>
      </c>
      <c r="O254" s="498" t="str">
        <f t="shared" si="29"/>
        <v/>
      </c>
      <c r="P254" s="499" t="str">
        <f>IF(C254="","",IF(AND(LEFT(C254,55)&lt;&gt;LEFT(N254,55),O254="High - High"),"Error - Not like for like ▲",IF(AND(F254=S254,H254&gt;U254),"Error - Can not reduce condition ▲",IF(AND(F254=S254,H254=U254,AJ254='F-1 Off Site River Baseline'!N252,'F-1 Off Site River Baseline'!P252=AL254),"Error - No enhancement ▲",IF(AND(C254&lt;&gt;N254,F254&lt;S254),"Lower Distinctiveness Habitat"&amp;" - "&amp;T254,G254&amp;" - "&amp;T254)))))</f>
        <v/>
      </c>
      <c r="Q254" s="505" t="str">
        <f>IF(N254="","",VLOOKUP(B254,'F-1 Off Site River Baseline'!$C$10:$AA$257,19,FALSE))</f>
        <v/>
      </c>
      <c r="R254" s="498" t="str">
        <f>IF(N254="","",VLOOKUP(N254,'G-7 Rivers Data'!$B$2:$G$8,2,FALSE))</f>
        <v/>
      </c>
      <c r="S254" s="499" t="str">
        <f>IFERROR(VLOOKUP(R254,'G-7 Rivers Data'!$C$4:$D$8,2,FALSE),"")</f>
        <v/>
      </c>
      <c r="T254" s="145"/>
      <c r="U254" s="499" t="str">
        <f>IFERROR(INDEX('G-7 Rivers Data'!$H$4:$L$8,MATCH(N254,'G-7 Rivers Data'!$B$4:$B$8,0),MATCH(T254,'G-7 Rivers Data'!$H$3:$L$3,0)),"")</f>
        <v/>
      </c>
      <c r="V254" s="154"/>
      <c r="W254" s="520" t="str">
        <f>IF(V254="","",IF(VLOOKUP(V254,'G-7 Rivers Data'!$AG$4:$AI$9,2,FALSE)=0,"Spatial Data Missing ⚠",VLOOKUP(V254,'G-7 Rivers Data'!$AG$4:$AI$9,2,FALSE)))</f>
        <v/>
      </c>
      <c r="X254" s="524" t="str">
        <f>IF(V254="","",IF(VLOOKUP(V254,'G-7 Rivers Data'!$AG$4:$AI$9,3,FALSE)=0,"Spatial Data Missing ⚠",VLOOKUP(V254,'G-7 Rivers Data'!$AG$4:$AI$9,3,FALSE)))</f>
        <v/>
      </c>
      <c r="Y254" s="537" t="str">
        <f>IFERROR(IF(OR(LEFT(P254,5)="Error ▲",LEFT(O254,5)="Error ▲"),"Check Data ⚠",IF(F254&lt;S254,'G-7 Rivers Data'!$R$3,INDEX('G-7 Rivers Data'!$U$5:$Y$9,MATCH(G254,'G-7 Rivers Data'!$T$5:$T$9,0),MATCH(T254,'G-7 Rivers Data'!$U$4:$Y$4,0)))),"")</f>
        <v/>
      </c>
      <c r="Z254" s="203"/>
      <c r="AA254" s="203"/>
      <c r="AB254" s="534" t="str">
        <f t="shared" si="24"/>
        <v/>
      </c>
      <c r="AC254" s="521" t="str">
        <f t="shared" si="25"/>
        <v/>
      </c>
      <c r="AD254" s="564" t="str">
        <f>IFERROR(IF(AC254="Check Data ⚠","Check Data ⚠",VLOOKUP(AC254,'G-4 Temporal multipliers'!$A$4:$C$37,3,FALSE)),"")</f>
        <v/>
      </c>
      <c r="AE254" s="537" t="str">
        <f>IF(N254="","",VLOOKUP(N254,'G-7 Rivers Data'!$B$4:$G$8,5,FALSE))</f>
        <v/>
      </c>
      <c r="AF254" s="520" t="str">
        <f t="shared" si="26"/>
        <v/>
      </c>
      <c r="AG254" s="520" t="str">
        <f t="shared" si="30"/>
        <v/>
      </c>
      <c r="AH254" s="524" t="str">
        <f t="shared" si="27"/>
        <v/>
      </c>
      <c r="AI254" s="145"/>
      <c r="AJ254" s="499" t="str">
        <f>IF(AI254="","",IF(VLOOKUP(AI254,'G-7 Rivers Data'!$AA$4:$AB$7,2,FALSE)=0,"Spatial Data Missing ⚠",VLOOKUP(AI254,'G-7 Rivers Data'!$AA$4:$AB$7,2,FALSE)))</f>
        <v/>
      </c>
      <c r="AK254" s="155"/>
      <c r="AL254" s="536" t="str">
        <f>IF(AK254="","",IF(VLOOKUP(AK254,'G-7 Rivers Data'!$AD$4:$AE$8,2,FALSE)=0,"Spatial Data Missing ⚠",VLOOKUP(AK254,'G-7 Rivers Data'!$AD$4:$AE$8,2,FALSE)))</f>
        <v/>
      </c>
      <c r="AM254" s="154"/>
      <c r="AN254" s="524" t="str">
        <f>IF(AM254="","",VLOOKUP(AM254,'G-7 Rivers Data'!$AO$4:$AP$7,2,FALSE))</f>
        <v/>
      </c>
      <c r="AO254" s="545" t="str">
        <f t="shared" si="31"/>
        <v/>
      </c>
      <c r="AP254" s="239"/>
      <c r="AQ254" s="240"/>
      <c r="AX254" s="31" t="str">
        <f>IFERROR(INDEX('G-7 Rivers Data'!$AZ$3:$AZ$7,MATCH(N254,'G-7 Rivers Data'!$AY$3:$AY$7,0)),"")</f>
        <v/>
      </c>
    </row>
    <row r="255" spans="2:50" ht="13.8" x14ac:dyDescent="0.25">
      <c r="B255" s="531" t="str">
        <f>'F-1 Off Site River Baseline'!AN253</f>
        <v/>
      </c>
      <c r="C255" s="520" t="str">
        <f>IF(B255="","",VLOOKUP($B255,'F-1 Off Site River Baseline'!$C$9:$R$257,2,FALSE))</f>
        <v/>
      </c>
      <c r="D255" s="520" t="str">
        <f>IF(C255="","",VLOOKUP($B255,'F-1 Off Site River Baseline'!$C$9:$R$257,3,FALSE))</f>
        <v/>
      </c>
      <c r="E255" s="520" t="str">
        <f>IF(D255="","",VLOOKUP($B255,'F-1 Off Site River Baseline'!$C$9:$R$257,4,FALSE))</f>
        <v/>
      </c>
      <c r="F255" s="520" t="str">
        <f>IF(E255="","",VLOOKUP($B255,'F-1 Off Site River Baseline'!$C$9:$R$257,5,FALSE))</f>
        <v/>
      </c>
      <c r="G255" s="520" t="str">
        <f>IF(F255="","",VLOOKUP($B255,'F-1 Off Site River Baseline'!$C$9:$R$257,6,FALSE))</f>
        <v/>
      </c>
      <c r="H255" s="520" t="str">
        <f>IF(G255="","",VLOOKUP($B255,'F-1 Off Site River Baseline'!$C$9:$R$257,7,FALSE))</f>
        <v/>
      </c>
      <c r="I255" s="520" t="str">
        <f>IF(H255="","",VLOOKUP($B255,'F-1 Off Site River Baseline'!$C$9:$R$257,8,FALSE))</f>
        <v/>
      </c>
      <c r="J255" s="520" t="str">
        <f>IF(I255="","",VLOOKUP($B255,'F-1 Off Site River Baseline'!$C$9:$R$257,9,FALSE))</f>
        <v/>
      </c>
      <c r="K255" s="520" t="str">
        <f>IF(J255="","",VLOOKUP($B255,'F-1 Off Site River Baseline'!$C$9:$R$257,10,FALSE))</f>
        <v/>
      </c>
      <c r="L255" s="520" t="str">
        <f>IF(B255="","",VLOOKUP($B255,'C-1 Site River Baseline'!$C$9:$R$257,15,FALSE))</f>
        <v/>
      </c>
      <c r="M255" s="524" t="str">
        <f>IF(L255="","",VLOOKUP($B255,'F-1 Off Site River Baseline'!$C$9:$R$257,16,FALSE))</f>
        <v/>
      </c>
      <c r="N255" s="418" t="str">
        <f t="shared" si="28"/>
        <v/>
      </c>
      <c r="O255" s="498" t="str">
        <f t="shared" si="29"/>
        <v/>
      </c>
      <c r="P255" s="499" t="str">
        <f>IF(C255="","",IF(AND(LEFT(C255,55)&lt;&gt;LEFT(N255,55),O255="High - High"),"Error - Not like for like ▲",IF(AND(F255=S255,H255&gt;U255),"Error - Can not reduce condition ▲",IF(AND(F255=S255,H255=U255,AJ255='F-1 Off Site River Baseline'!N253,'F-1 Off Site River Baseline'!P253=AL255),"Error - No enhancement ▲",IF(AND(C255&lt;&gt;N255,F255&lt;S255),"Lower Distinctiveness Habitat"&amp;" - "&amp;T255,G255&amp;" - "&amp;T255)))))</f>
        <v/>
      </c>
      <c r="Q255" s="505" t="str">
        <f>IF(N255="","",VLOOKUP(B255,'F-1 Off Site River Baseline'!$C$10:$AA$257,19,FALSE))</f>
        <v/>
      </c>
      <c r="R255" s="498" t="str">
        <f>IF(N255="","",VLOOKUP(N255,'G-7 Rivers Data'!$B$2:$G$8,2,FALSE))</f>
        <v/>
      </c>
      <c r="S255" s="499" t="str">
        <f>IFERROR(VLOOKUP(R255,'G-7 Rivers Data'!$C$4:$D$8,2,FALSE),"")</f>
        <v/>
      </c>
      <c r="T255" s="145"/>
      <c r="U255" s="499" t="str">
        <f>IFERROR(INDEX('G-7 Rivers Data'!$H$4:$L$8,MATCH(N255,'G-7 Rivers Data'!$B$4:$B$8,0),MATCH(T255,'G-7 Rivers Data'!$H$3:$L$3,0)),"")</f>
        <v/>
      </c>
      <c r="V255" s="154"/>
      <c r="W255" s="520" t="str">
        <f>IF(V255="","",IF(VLOOKUP(V255,'G-7 Rivers Data'!$AG$4:$AI$9,2,FALSE)=0,"Spatial Data Missing ⚠",VLOOKUP(V255,'G-7 Rivers Data'!$AG$4:$AI$9,2,FALSE)))</f>
        <v/>
      </c>
      <c r="X255" s="524" t="str">
        <f>IF(V255="","",IF(VLOOKUP(V255,'G-7 Rivers Data'!$AG$4:$AI$9,3,FALSE)=0,"Spatial Data Missing ⚠",VLOOKUP(V255,'G-7 Rivers Data'!$AG$4:$AI$9,3,FALSE)))</f>
        <v/>
      </c>
      <c r="Y255" s="537" t="str">
        <f>IFERROR(IF(OR(LEFT(P255,5)="Error ▲",LEFT(O255,5)="Error ▲"),"Check Data ⚠",IF(F255&lt;S255,'G-7 Rivers Data'!$R$3,INDEX('G-7 Rivers Data'!$U$5:$Y$9,MATCH(G255,'G-7 Rivers Data'!$T$5:$T$9,0),MATCH(T255,'G-7 Rivers Data'!$U$4:$Y$4,0)))),"")</f>
        <v/>
      </c>
      <c r="Z255" s="203"/>
      <c r="AA255" s="203"/>
      <c r="AB255" s="534" t="str">
        <f t="shared" si="24"/>
        <v/>
      </c>
      <c r="AC255" s="521" t="str">
        <f t="shared" si="25"/>
        <v/>
      </c>
      <c r="AD255" s="564" t="str">
        <f>IFERROR(IF(AC255="Check Data ⚠","Check Data ⚠",VLOOKUP(AC255,'G-4 Temporal multipliers'!$A$4:$C$37,3,FALSE)),"")</f>
        <v/>
      </c>
      <c r="AE255" s="537" t="str">
        <f>IF(N255="","",VLOOKUP(N255,'G-7 Rivers Data'!$B$4:$G$8,5,FALSE))</f>
        <v/>
      </c>
      <c r="AF255" s="520" t="str">
        <f t="shared" si="26"/>
        <v/>
      </c>
      <c r="AG255" s="520" t="str">
        <f t="shared" si="30"/>
        <v/>
      </c>
      <c r="AH255" s="524" t="str">
        <f t="shared" si="27"/>
        <v/>
      </c>
      <c r="AI255" s="145"/>
      <c r="AJ255" s="499" t="str">
        <f>IF(AI255="","",IF(VLOOKUP(AI255,'G-7 Rivers Data'!$AA$4:$AB$7,2,FALSE)=0,"Spatial Data Missing ⚠",VLOOKUP(AI255,'G-7 Rivers Data'!$AA$4:$AB$7,2,FALSE)))</f>
        <v/>
      </c>
      <c r="AK255" s="155"/>
      <c r="AL255" s="536" t="str">
        <f>IF(AK255="","",IF(VLOOKUP(AK255,'G-7 Rivers Data'!$AD$4:$AE$8,2,FALSE)=0,"Spatial Data Missing ⚠",VLOOKUP(AK255,'G-7 Rivers Data'!$AD$4:$AE$8,2,FALSE)))</f>
        <v/>
      </c>
      <c r="AM255" s="154"/>
      <c r="AN255" s="524" t="str">
        <f>IF(AM255="","",VLOOKUP(AM255,'G-7 Rivers Data'!$AO$4:$AP$7,2,FALSE))</f>
        <v/>
      </c>
      <c r="AO255" s="545" t="str">
        <f t="shared" si="31"/>
        <v/>
      </c>
      <c r="AP255" s="239"/>
      <c r="AQ255" s="240"/>
      <c r="AX255" s="31" t="str">
        <f>IFERROR(INDEX('G-7 Rivers Data'!$AZ$3:$AZ$7,MATCH(N255,'G-7 Rivers Data'!$AY$3:$AY$7,0)),"")</f>
        <v/>
      </c>
    </row>
    <row r="256" spans="2:50" ht="13.8" x14ac:dyDescent="0.25">
      <c r="B256" s="531" t="str">
        <f>'F-1 Off Site River Baseline'!AN254</f>
        <v/>
      </c>
      <c r="C256" s="520" t="str">
        <f>IF(B256="","",VLOOKUP($B256,'F-1 Off Site River Baseline'!$C$9:$R$257,2,FALSE))</f>
        <v/>
      </c>
      <c r="D256" s="520" t="str">
        <f>IF(C256="","",VLOOKUP($B256,'F-1 Off Site River Baseline'!$C$9:$R$257,3,FALSE))</f>
        <v/>
      </c>
      <c r="E256" s="520" t="str">
        <f>IF(D256="","",VLOOKUP($B256,'F-1 Off Site River Baseline'!$C$9:$R$257,4,FALSE))</f>
        <v/>
      </c>
      <c r="F256" s="520" t="str">
        <f>IF(E256="","",VLOOKUP($B256,'F-1 Off Site River Baseline'!$C$9:$R$257,5,FALSE))</f>
        <v/>
      </c>
      <c r="G256" s="520" t="str">
        <f>IF(F256="","",VLOOKUP($B256,'F-1 Off Site River Baseline'!$C$9:$R$257,6,FALSE))</f>
        <v/>
      </c>
      <c r="H256" s="520" t="str">
        <f>IF(G256="","",VLOOKUP($B256,'F-1 Off Site River Baseline'!$C$9:$R$257,7,FALSE))</f>
        <v/>
      </c>
      <c r="I256" s="520" t="str">
        <f>IF(H256="","",VLOOKUP($B256,'F-1 Off Site River Baseline'!$C$9:$R$257,8,FALSE))</f>
        <v/>
      </c>
      <c r="J256" s="520" t="str">
        <f>IF(I256="","",VLOOKUP($B256,'F-1 Off Site River Baseline'!$C$9:$R$257,9,FALSE))</f>
        <v/>
      </c>
      <c r="K256" s="520" t="str">
        <f>IF(J256="","",VLOOKUP($B256,'F-1 Off Site River Baseline'!$C$9:$R$257,10,FALSE))</f>
        <v/>
      </c>
      <c r="L256" s="520" t="str">
        <f>IF(B256="","",VLOOKUP($B256,'C-1 Site River Baseline'!$C$9:$R$257,15,FALSE))</f>
        <v/>
      </c>
      <c r="M256" s="524" t="str">
        <f>IF(L256="","",VLOOKUP($B256,'F-1 Off Site River Baseline'!$C$9:$R$257,16,FALSE))</f>
        <v/>
      </c>
      <c r="N256" s="418" t="str">
        <f t="shared" si="28"/>
        <v/>
      </c>
      <c r="O256" s="498" t="str">
        <f t="shared" si="29"/>
        <v/>
      </c>
      <c r="P256" s="499" t="str">
        <f>IF(C256="","",IF(AND(LEFT(C256,55)&lt;&gt;LEFT(N256,55),O256="High - High"),"Error - Not like for like ▲",IF(AND(F256=S256,H256&gt;U256),"Error - Can not reduce condition ▲",IF(AND(F256=S256,H256=U256,AJ256='F-1 Off Site River Baseline'!N254,'F-1 Off Site River Baseline'!P254=AL256),"Error - No enhancement ▲",IF(AND(C256&lt;&gt;N256,F256&lt;S256),"Lower Distinctiveness Habitat"&amp;" - "&amp;T256,G256&amp;" - "&amp;T256)))))</f>
        <v/>
      </c>
      <c r="Q256" s="505" t="str">
        <f>IF(N256="","",VLOOKUP(B256,'F-1 Off Site River Baseline'!$C$10:$AA$257,19,FALSE))</f>
        <v/>
      </c>
      <c r="R256" s="498" t="str">
        <f>IF(N256="","",VLOOKUP(N256,'G-7 Rivers Data'!$B$2:$G$8,2,FALSE))</f>
        <v/>
      </c>
      <c r="S256" s="499" t="str">
        <f>IFERROR(VLOOKUP(R256,'G-7 Rivers Data'!$C$4:$D$8,2,FALSE),"")</f>
        <v/>
      </c>
      <c r="T256" s="145"/>
      <c r="U256" s="499" t="str">
        <f>IFERROR(INDEX('G-7 Rivers Data'!$H$4:$L$8,MATCH(N256,'G-7 Rivers Data'!$B$4:$B$8,0),MATCH(T256,'G-7 Rivers Data'!$H$3:$L$3,0)),"")</f>
        <v/>
      </c>
      <c r="V256" s="154"/>
      <c r="W256" s="520" t="str">
        <f>IF(V256="","",IF(VLOOKUP(V256,'G-7 Rivers Data'!$AG$4:$AI$9,2,FALSE)=0,"Spatial Data Missing ⚠",VLOOKUP(V256,'G-7 Rivers Data'!$AG$4:$AI$9,2,FALSE)))</f>
        <v/>
      </c>
      <c r="X256" s="524" t="str">
        <f>IF(V256="","",IF(VLOOKUP(V256,'G-7 Rivers Data'!$AG$4:$AI$9,3,FALSE)=0,"Spatial Data Missing ⚠",VLOOKUP(V256,'G-7 Rivers Data'!$AG$4:$AI$9,3,FALSE)))</f>
        <v/>
      </c>
      <c r="Y256" s="537" t="str">
        <f>IFERROR(IF(OR(LEFT(P256,5)="Error ▲",LEFT(O256,5)="Error ▲"),"Check Data ⚠",IF(F256&lt;S256,'G-7 Rivers Data'!$R$3,INDEX('G-7 Rivers Data'!$U$5:$Y$9,MATCH(G256,'G-7 Rivers Data'!$T$5:$T$9,0),MATCH(T256,'G-7 Rivers Data'!$U$4:$Y$4,0)))),"")</f>
        <v/>
      </c>
      <c r="Z256" s="203"/>
      <c r="AA256" s="203"/>
      <c r="AB256" s="534" t="str">
        <f t="shared" si="24"/>
        <v/>
      </c>
      <c r="AC256" s="521" t="str">
        <f t="shared" si="25"/>
        <v/>
      </c>
      <c r="AD256" s="564" t="str">
        <f>IFERROR(IF(AC256="Check Data ⚠","Check Data ⚠",VLOOKUP(AC256,'G-4 Temporal multipliers'!$A$4:$C$37,3,FALSE)),"")</f>
        <v/>
      </c>
      <c r="AE256" s="537" t="str">
        <f>IF(N256="","",VLOOKUP(N256,'G-7 Rivers Data'!$B$4:$G$8,5,FALSE))</f>
        <v/>
      </c>
      <c r="AF256" s="520" t="str">
        <f t="shared" si="26"/>
        <v/>
      </c>
      <c r="AG256" s="520" t="str">
        <f t="shared" si="30"/>
        <v/>
      </c>
      <c r="AH256" s="524" t="str">
        <f t="shared" si="27"/>
        <v/>
      </c>
      <c r="AI256" s="145"/>
      <c r="AJ256" s="499" t="str">
        <f>IF(AI256="","",IF(VLOOKUP(AI256,'G-7 Rivers Data'!$AA$4:$AB$7,2,FALSE)=0,"Spatial Data Missing ⚠",VLOOKUP(AI256,'G-7 Rivers Data'!$AA$4:$AB$7,2,FALSE)))</f>
        <v/>
      </c>
      <c r="AK256" s="155"/>
      <c r="AL256" s="536" t="str">
        <f>IF(AK256="","",IF(VLOOKUP(AK256,'G-7 Rivers Data'!$AD$4:$AE$8,2,FALSE)=0,"Spatial Data Missing ⚠",VLOOKUP(AK256,'G-7 Rivers Data'!$AD$4:$AE$8,2,FALSE)))</f>
        <v/>
      </c>
      <c r="AM256" s="154"/>
      <c r="AN256" s="524" t="str">
        <f>IF(AM256="","",VLOOKUP(AM256,'G-7 Rivers Data'!$AO$4:$AP$7,2,FALSE))</f>
        <v/>
      </c>
      <c r="AO256" s="545" t="str">
        <f t="shared" si="31"/>
        <v/>
      </c>
      <c r="AP256" s="239"/>
      <c r="AQ256" s="240"/>
      <c r="AX256" s="31" t="str">
        <f>IFERROR(INDEX('G-7 Rivers Data'!$AZ$3:$AZ$7,MATCH(N256,'G-7 Rivers Data'!$AY$3:$AY$7,0)),"")</f>
        <v/>
      </c>
    </row>
    <row r="257" spans="2:50" ht="14.4" thickBot="1" x14ac:dyDescent="0.3">
      <c r="B257" s="533" t="str">
        <f>'F-1 Off Site River Baseline'!AN255</f>
        <v/>
      </c>
      <c r="C257" s="534" t="str">
        <f>IF(B257="","",VLOOKUP($B257,'F-1 Off Site River Baseline'!$C$9:$R$257,2,FALSE))</f>
        <v/>
      </c>
      <c r="D257" s="534" t="str">
        <f>IF(C257="","",VLOOKUP($B257,'F-1 Off Site River Baseline'!$C$9:$R$257,3,FALSE))</f>
        <v/>
      </c>
      <c r="E257" s="534" t="str">
        <f>IF(D257="","",VLOOKUP($B257,'F-1 Off Site River Baseline'!$C$9:$R$257,4,FALSE))</f>
        <v/>
      </c>
      <c r="F257" s="534" t="str">
        <f>IF(E257="","",VLOOKUP($B257,'F-1 Off Site River Baseline'!$C$9:$R$257,5,FALSE))</f>
        <v/>
      </c>
      <c r="G257" s="534" t="str">
        <f>IF(F257="","",VLOOKUP($B257,'F-1 Off Site River Baseline'!$C$9:$R$257,6,FALSE))</f>
        <v/>
      </c>
      <c r="H257" s="534" t="str">
        <f>IF(G257="","",VLOOKUP($B257,'F-1 Off Site River Baseline'!$C$9:$R$257,7,FALSE))</f>
        <v/>
      </c>
      <c r="I257" s="534" t="str">
        <f>IF(H257="","",VLOOKUP($B257,'F-1 Off Site River Baseline'!$C$9:$R$257,8,FALSE))</f>
        <v/>
      </c>
      <c r="J257" s="534" t="str">
        <f>IF(I257="","",VLOOKUP($B257,'F-1 Off Site River Baseline'!$C$9:$R$257,9,FALSE))</f>
        <v/>
      </c>
      <c r="K257" s="534" t="str">
        <f>IF(J257="","",VLOOKUP($B257,'F-1 Off Site River Baseline'!$C$9:$R$257,10,FALSE))</f>
        <v/>
      </c>
      <c r="L257" s="534" t="str">
        <f>IF(B257="","",VLOOKUP($B257,'C-1 Site River Baseline'!$C$9:$R$257,15,FALSE))</f>
        <v/>
      </c>
      <c r="M257" s="536" t="str">
        <f>IF(L257="","",VLOOKUP($B257,'F-1 Off Site River Baseline'!$C$9:$R$257,16,FALSE))</f>
        <v/>
      </c>
      <c r="N257" s="425" t="str">
        <f t="shared" si="28"/>
        <v/>
      </c>
      <c r="O257" s="498" t="str">
        <f t="shared" si="29"/>
        <v/>
      </c>
      <c r="P257" s="499" t="str">
        <f>IF(C257="","",IF(AND(LEFT(C257,55)&lt;&gt;LEFT(N257,55),O257="High - High"),"Error - Not like for like ▲",IF(AND(F257=S257,H257&gt;U257),"Error - Can not reduce condition ▲",IF(AND(F257=S257,H257=U257,AJ257='F-1 Off Site River Baseline'!N255,'F-1 Off Site River Baseline'!P255=AL257),"Error - No enhancement ▲",IF(AND(C257&lt;&gt;N257,F257&lt;S257),"Lower Distinctiveness Habitat"&amp;" - "&amp;T257,G257&amp;" - "&amp;T257)))))</f>
        <v/>
      </c>
      <c r="Q257" s="637" t="str">
        <f>IF(N257="","",VLOOKUP(B257,'F-1 Off Site River Baseline'!$C$10:$AA$257,19,FALSE))</f>
        <v/>
      </c>
      <c r="R257" s="538" t="str">
        <f>IF(N257="","",VLOOKUP(N257,'G-7 Rivers Data'!$B$2:$G$8,2,FALSE))</f>
        <v/>
      </c>
      <c r="S257" s="536" t="str">
        <f>IFERROR(VLOOKUP(R257,'G-7 Rivers Data'!$C$4:$D$8,2,FALSE),"")</f>
        <v/>
      </c>
      <c r="T257" s="210"/>
      <c r="U257" s="536" t="str">
        <f>IFERROR(INDEX('G-7 Rivers Data'!$H$4:$L$8,MATCH(N257,'G-7 Rivers Data'!$B$4:$B$8,0),MATCH(T257,'G-7 Rivers Data'!$H$3:$L$3,0)),"")</f>
        <v/>
      </c>
      <c r="V257" s="210"/>
      <c r="W257" s="520" t="str">
        <f>IF(V257="","",IF(VLOOKUP(V257,'G-7 Rivers Data'!$AG$4:$AI$9,2,FALSE)=0,"Spatial Data Missing ⚠",VLOOKUP(V257,'G-7 Rivers Data'!$AG$4:$AI$9,2,FALSE)))</f>
        <v/>
      </c>
      <c r="X257" s="524" t="str">
        <f>IF(V257="","",IF(VLOOKUP(V257,'G-7 Rivers Data'!$AG$4:$AI$9,3,FALSE)=0,"Spatial Data Missing ⚠",VLOOKUP(V257,'G-7 Rivers Data'!$AG$4:$AI$9,3,FALSE)))</f>
        <v/>
      </c>
      <c r="Y257" s="537" t="str">
        <f>IFERROR(IF(OR(LEFT(P257,5)="Error ▲",LEFT(O257,5)="Error ▲"),"Check Data ⚠",IF(F257&lt;S257,'G-7 Rivers Data'!$R$3,INDEX('G-7 Rivers Data'!$U$5:$Y$9,MATCH(G257,'G-7 Rivers Data'!$T$5:$T$9,0),MATCH(T257,'G-7 Rivers Data'!$U$4:$Y$4,0)))),"")</f>
        <v/>
      </c>
      <c r="Z257" s="203"/>
      <c r="AA257" s="211"/>
      <c r="AB257" s="534"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521" t="str">
        <f>IF(LEFT(AB257,5)="Error ▲","Check Data ⚠",IF(AB257="Check Data ⚠","Check Data ⚠",IF(Y257="","",IF(Z257="30+",0,IF(AA257="30+","30+ ⚠",IF(Y257+AA257&gt;30,"30+ ⚠",IF(Y257+AA257-Z257&gt;0,Y257+AA257-Z257,IF(Y257-Z257&lt;0,0,Y257+AA257-Z257))))))))</f>
        <v/>
      </c>
      <c r="AD257" s="564" t="str">
        <f>IFERROR(IF(AC257="Check Data ⚠","Check Data ⚠",VLOOKUP(AC257,'G-4 Temporal multipliers'!$A$4:$C$37,3,FALSE)),"")</f>
        <v/>
      </c>
      <c r="AE257" s="538" t="str">
        <f>IF(N257="","",VLOOKUP(N257,'G-7 Rivers Data'!$B$4:$G$8,5,FALSE))</f>
        <v/>
      </c>
      <c r="AF257" s="520" t="str">
        <f>IF(N257="","",IF(AC257="Check Data ⚠","Check Data ⚠",IF(T257="","",IF($AB257="Check details - Is there evidence that habitat has reached target condition? ⚠","Low Difficulty - only applicable if all habitat created before losses ⚠","Standard difficulty applied"))))</f>
        <v/>
      </c>
      <c r="AG257" s="520" t="str">
        <f t="shared" si="30"/>
        <v/>
      </c>
      <c r="AH257" s="536" t="str">
        <f t="shared" si="27"/>
        <v/>
      </c>
      <c r="AI257" s="449"/>
      <c r="AJ257" s="499" t="str">
        <f>IF(AI257="","",IF(VLOOKUP(AI257,'G-7 Rivers Data'!$AA$4:$AB$7,2,FALSE)=0,"Spatial Data Missing ⚠",VLOOKUP(AI257,'G-7 Rivers Data'!$AA$4:$AB$7,2,FALSE)))</f>
        <v/>
      </c>
      <c r="AK257" s="422"/>
      <c r="AL257" s="536" t="str">
        <f>IF(AK257="","",IF(VLOOKUP(AK257,'G-7 Rivers Data'!$AD$4:$AE$8,2,FALSE)=0,"Spatial Data Missing ⚠",VLOOKUP(AK257,'G-7 Rivers Data'!$AD$4:$AE$8,2,FALSE)))</f>
        <v/>
      </c>
      <c r="AM257" s="210"/>
      <c r="AN257" s="536" t="str">
        <f>IF(AM257="","",VLOOKUP(AM257,'G-7 Rivers Data'!$AO$4:$AP$7,2,FALSE))</f>
        <v/>
      </c>
      <c r="AO257" s="545" t="str">
        <f t="shared" si="31"/>
        <v/>
      </c>
      <c r="AP257" s="423"/>
      <c r="AQ257" s="424"/>
      <c r="AX257" s="31" t="str">
        <f>IFERROR(INDEX('G-7 Rivers Data'!$AZ$3:$AZ$7,MATCH(N257,'G-7 Rivers Data'!$AY$3:$AY$7,0)),"")</f>
        <v/>
      </c>
    </row>
    <row r="258" spans="2:50" ht="14.4" thickBot="1" x14ac:dyDescent="0.3">
      <c r="B258" s="46"/>
      <c r="C258" s="277"/>
      <c r="D258" s="503">
        <f>SUM(D12:D257)</f>
        <v>0</v>
      </c>
      <c r="E258" s="277"/>
      <c r="F258" s="277"/>
      <c r="G258" s="277"/>
      <c r="H258" s="277"/>
      <c r="I258" s="277"/>
      <c r="J258" s="277"/>
      <c r="K258" s="277"/>
      <c r="L258" s="277"/>
      <c r="M258" s="277"/>
      <c r="N258" s="277"/>
      <c r="O258" s="277"/>
      <c r="P258" s="277"/>
      <c r="Q258" s="503">
        <f>SUM(Q12:Q257)</f>
        <v>0</v>
      </c>
      <c r="R258" s="46"/>
      <c r="S258" s="46"/>
      <c r="T258" s="46"/>
      <c r="U258" s="46"/>
      <c r="V258" s="46"/>
      <c r="W258" s="46"/>
      <c r="X258" s="46"/>
      <c r="Y258" s="46"/>
      <c r="Z258" s="46"/>
      <c r="AA258" s="46"/>
      <c r="AB258" s="46"/>
      <c r="AC258" s="46"/>
      <c r="AD258" s="46"/>
      <c r="AE258" s="46"/>
      <c r="AF258" s="46"/>
      <c r="AG258" s="46"/>
      <c r="AH258" s="46"/>
      <c r="AI258" s="46"/>
      <c r="AJ258" s="46" t="str">
        <f>IF(AI258="","",IF(VLOOKUP(AI258,'[2]G-7 Rivers Data'!$AA$4:$AB$6,2,FALSE)=0,"Spatial Data Missing",VLOOKUP(AI258,'[2]G-7 Rivers Data'!$AA$4:$AB$6,2,FALSE)))</f>
        <v/>
      </c>
      <c r="AK258" s="46"/>
      <c r="AL258" s="46"/>
      <c r="AM258" s="1014"/>
      <c r="AN258" s="1014"/>
      <c r="AO258" s="569">
        <f>SUM(AO12:AO257)</f>
        <v>0</v>
      </c>
      <c r="AP258" s="46"/>
      <c r="AQ258" s="46"/>
    </row>
    <row r="259" spans="2:50" ht="13.8" x14ac:dyDescent="0.25">
      <c r="AJ259" s="31" t="str">
        <f>IF(AI259="","",IF(VLOOKUP(AI259,'[2]G-7 Rivers Data'!$AA$4:$AB$6,2,FALSE)=0,"Spatial Data Missing",VLOOKUP(AI259,'[2]G-7 Rivers Data'!$AA$4:$AB$6,2,FALSE)))</f>
        <v/>
      </c>
      <c r="AM259" s="40"/>
    </row>
    <row r="260" spans="2:50" ht="13.8" x14ac:dyDescent="0.25"/>
    <row r="261" spans="2:50" ht="13.8" x14ac:dyDescent="0.25"/>
    <row r="262" spans="2:50" ht="13.8" x14ac:dyDescent="0.25"/>
    <row r="263" spans="2:50" ht="13.8" x14ac:dyDescent="0.25"/>
    <row r="264" spans="2:50" ht="13.8" x14ac:dyDescent="0.25"/>
    <row r="265" spans="2:50" ht="13.8" x14ac:dyDescent="0.25"/>
    <row r="266" spans="2:50" ht="13.8" x14ac:dyDescent="0.25"/>
  </sheetData>
  <sheetProtection algorithmName="SHA-512" hashValue="gQjHW6t9Zfn4MVpuMRM0Q4ud9lYR395LFpUPvhvTZ+PFct5Oqy7rIVJj2YW1KgFn+fmcvcZz5xa7RTFysWBu9w==" saltValue="c1nfWxjSG9N3zk1NBelGx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T10:U10"/>
    <mergeCell ref="AM258:AN258"/>
    <mergeCell ref="N9:AN9"/>
    <mergeCell ref="AP10:AQ10"/>
    <mergeCell ref="AO10:AO11"/>
    <mergeCell ref="B3:C4"/>
    <mergeCell ref="O10:P10"/>
    <mergeCell ref="AI10:AJ10"/>
    <mergeCell ref="AK10:AL10"/>
    <mergeCell ref="AM10:AN10"/>
    <mergeCell ref="Y2:AD4"/>
    <mergeCell ref="B2:C2"/>
    <mergeCell ref="C10:M10"/>
    <mergeCell ref="V10:X10"/>
    <mergeCell ref="Y10:AD10"/>
    <mergeCell ref="AE10:AH10"/>
    <mergeCell ref="N10:N11"/>
    <mergeCell ref="Q10:Q11"/>
    <mergeCell ref="R10:S10"/>
  </mergeCells>
  <conditionalFormatting sqref="L12:L257">
    <cfRule type="containsText" dxfId="15" priority="10" operator="containsText" text="Restore">
      <formula>NOT(ISERROR(SEARCH("Restore",L12)))</formula>
    </cfRule>
  </conditionalFormatting>
  <conditionalFormatting sqref="AO13:AO258 O12:AB257 AE12:AO257">
    <cfRule type="beginsWith" dxfId="14" priority="5" operator="beginsWith" text="No - Low">
      <formula>LEFT(O12,LEN("No - Low"))="No - Low"</formula>
    </cfRule>
    <cfRule type="containsText" dxfId="13" priority="6" operator="containsText" text="30+">
      <formula>NOT(ISERROR(SEARCH("30+",O12)))</formula>
    </cfRule>
    <cfRule type="containsText" dxfId="12" priority="7" operator="containsText" text="Spatial">
      <formula>NOT(ISERROR(SEARCH("Spatial",O12)))</formula>
    </cfRule>
    <cfRule type="containsText" dxfId="11" priority="8" operator="containsText" text="Check">
      <formula>NOT(ISERROR(SEARCH("Check",O12)))</formula>
    </cfRule>
    <cfRule type="containsText" dxfId="10" priority="9" operator="containsText" text="Error">
      <formula>NOT(ISERROR(SEARCH("Error",O12)))</formula>
    </cfRule>
  </conditionalFormatting>
  <conditionalFormatting sqref="AC12:AD257">
    <cfRule type="containsText" dxfId="9" priority="3" operator="containsText" text="Check">
      <formula>NOT(ISERROR(SEARCH("Check",AC12)))</formula>
    </cfRule>
    <cfRule type="beginsWith" dxfId="8" priority="4" operator="beginsWith" text="Error">
      <formula>LEFT(AC12,LEN("Error"))="Error"</formula>
    </cfRule>
  </conditionalFormatting>
  <conditionalFormatting sqref="Y2">
    <cfRule type="containsText" dxfId="7" priority="1" operator="containsText" text="Note">
      <formula>NOT(ISERROR(SEARCH("Note",Y2)))</formula>
    </cfRule>
  </conditionalFormatting>
  <dataValidations count="1">
    <dataValidation type="list" allowBlank="1" showInputMessage="1" showErrorMessage="1" sqref="T12:T257" xr:uid="{00000000-0002-0000-1C00-000000000000}">
      <formula1>INDIRECT(AX12)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2000000}">
          <x14:formula1>
            <xm:f>'G-7 Rivers Data'!$AG$4:$AG$9</xm:f>
          </x14:formula1>
          <xm:sqref>V12:V257</xm:sqref>
        </x14:dataValidation>
        <x14:dataValidation type="list" allowBlank="1" showInputMessage="1" showErrorMessage="1" xr:uid="{00000000-0002-0000-1C00-000004000000}">
          <x14:formula1>
            <xm:f>'G-7 Rivers Data'!$AD$4:$AD$7</xm:f>
          </x14:formula1>
          <xm:sqref>AK12:AK257</xm:sqref>
        </x14:dataValidation>
        <x14:dataValidation type="list" allowBlank="1" showInputMessage="1" showErrorMessage="1" xr:uid="{00000000-0002-0000-1C00-000005000000}">
          <x14:formula1>
            <xm:f>'G-7 Rivers Data'!$AO$4:$AO$6</xm:f>
          </x14:formula1>
          <xm:sqref>AM12:AM257</xm:sqref>
        </x14:dataValidation>
        <x14:dataValidation type="list" allowBlank="1" showInputMessage="1" showErrorMessage="1" xr:uid="{00000000-0002-0000-1C00-000006000000}">
          <x14:formula1>
            <xm:f>'G-7 Rivers Data'!$B$4:$B$8</xm:f>
          </x14:formula1>
          <xm:sqref>N12:N257</xm:sqref>
        </x14:dataValidation>
        <x14:dataValidation type="list" allowBlank="1" showInputMessage="1" showErrorMessage="1" xr:uid="{00000000-0002-0000-1C00-000007000000}">
          <x14:formula1>
            <xm:f>'G-4 Temporal multipliers'!$A$41:$A$72</xm:f>
          </x14:formula1>
          <xm:sqref>Z12:AA257</xm:sqref>
        </x14:dataValidation>
        <x14:dataValidation type="list" allowBlank="1" showInputMessage="1" showErrorMessage="1" xr:uid="{C28378F0-6EA8-4E24-813F-F4ACCB44203A}">
          <x14:formula1>
            <xm:f>'G-7 Rivers Data'!$AA$4:$AA$7</xm:f>
          </x14:formula1>
          <xm:sqref>AI12:AI257</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54"/>
  <sheetViews>
    <sheetView showGridLines="0" showRowColHeaders="0" zoomScaleNormal="100" workbookViewId="0">
      <pane xSplit="2" ySplit="2" topLeftCell="K36" activePane="bottomRight" state="frozen"/>
      <selection pane="topRight" activeCell="S28" sqref="S28"/>
      <selection pane="bottomLeft" activeCell="S28" sqref="S28"/>
      <selection pane="bottomRight"/>
    </sheetView>
  </sheetViews>
  <sheetFormatPr defaultColWidth="4.109375" defaultRowHeight="13.8" zeroHeight="1" x14ac:dyDescent="0.25"/>
  <cols>
    <col min="1" max="1" width="30.44140625" style="31" customWidth="1"/>
    <col min="2" max="2" width="77" style="31" bestFit="1" customWidth="1"/>
    <col min="3" max="3" width="26.33203125" style="31" bestFit="1" customWidth="1"/>
    <col min="4" max="4" width="13.6640625" style="31" bestFit="1" customWidth="1"/>
    <col min="5" max="5" width="19.88671875" style="31" bestFit="1" customWidth="1"/>
    <col min="6" max="6" width="25.33203125" style="31" bestFit="1" customWidth="1"/>
    <col min="7" max="7" width="19.88671875" style="31" bestFit="1" customWidth="1"/>
    <col min="8" max="8" width="82.109375" style="31" bestFit="1" customWidth="1"/>
    <col min="9" max="9" width="26.109375" style="31" customWidth="1"/>
    <col min="10" max="10" width="60.5546875" style="31" bestFit="1" customWidth="1"/>
    <col min="11" max="11" width="21.109375" style="31" bestFit="1" customWidth="1"/>
    <col min="12" max="12" width="28.33203125" style="31" bestFit="1" customWidth="1"/>
    <col min="13" max="13" width="66" style="31" customWidth="1"/>
    <col min="14" max="14" width="27.44140625" style="31" bestFit="1" customWidth="1"/>
    <col min="15" max="15" width="16.44140625" style="31" bestFit="1" customWidth="1"/>
    <col min="16" max="16" width="27.44140625" style="31" bestFit="1" customWidth="1"/>
    <col min="17" max="17" width="16.44140625" style="31" bestFit="1" customWidth="1"/>
    <col min="18" max="18" width="28.44140625" style="42" bestFit="1" customWidth="1"/>
    <col min="19" max="19" width="30.109375" style="31" bestFit="1" customWidth="1"/>
    <col min="20" max="23" width="26.109375" style="31" customWidth="1"/>
    <col min="24" max="24" width="30.109375" style="31" customWidth="1"/>
    <col min="25" max="27" width="26.109375" style="31" customWidth="1"/>
    <col min="28" max="33" width="31.33203125" style="31" customWidth="1"/>
    <col min="34" max="16383" width="4.109375" style="31"/>
    <col min="16384" max="16384" width="2.33203125" style="31" hidden="1" customWidth="1"/>
  </cols>
  <sheetData>
    <row r="1" spans="1:33" ht="57.6" customHeight="1" x14ac:dyDescent="0.4">
      <c r="D1" s="1040" t="s">
        <v>342</v>
      </c>
      <c r="E1" s="1040"/>
      <c r="F1" s="1040"/>
      <c r="G1" s="212"/>
      <c r="H1" s="212"/>
      <c r="I1" s="212"/>
      <c r="J1" s="212"/>
      <c r="V1" s="955" t="s">
        <v>343</v>
      </c>
      <c r="W1" s="1037"/>
      <c r="X1" s="957"/>
      <c r="Z1" s="955" t="s">
        <v>344</v>
      </c>
      <c r="AA1" s="957"/>
      <c r="AF1" s="1038" t="s">
        <v>345</v>
      </c>
      <c r="AG1" s="1038" t="s">
        <v>346</v>
      </c>
    </row>
    <row r="2" spans="1:33" s="117" customFormat="1" ht="41.4" customHeight="1" x14ac:dyDescent="0.25">
      <c r="B2" s="103" t="s">
        <v>347</v>
      </c>
      <c r="C2" s="213" t="s">
        <v>348</v>
      </c>
      <c r="D2" s="213" t="s">
        <v>349</v>
      </c>
      <c r="E2" s="213" t="s">
        <v>350</v>
      </c>
      <c r="F2" s="213" t="s">
        <v>351</v>
      </c>
      <c r="G2" s="213" t="s">
        <v>352</v>
      </c>
      <c r="H2" s="213" t="s">
        <v>353</v>
      </c>
      <c r="I2" s="213" t="s">
        <v>354</v>
      </c>
      <c r="J2" s="213" t="s">
        <v>355</v>
      </c>
      <c r="K2" s="213" t="s">
        <v>356</v>
      </c>
      <c r="L2" s="213" t="s">
        <v>357</v>
      </c>
      <c r="M2" s="213" t="s">
        <v>358</v>
      </c>
      <c r="N2" s="214" t="s">
        <v>359</v>
      </c>
      <c r="O2" s="214" t="s">
        <v>323</v>
      </c>
      <c r="P2" s="214" t="s">
        <v>360</v>
      </c>
      <c r="Q2" s="214" t="s">
        <v>323</v>
      </c>
      <c r="R2" s="214" t="s">
        <v>361</v>
      </c>
      <c r="S2" s="214" t="s">
        <v>362</v>
      </c>
      <c r="T2" s="31"/>
      <c r="U2" s="31"/>
      <c r="V2" s="103" t="s">
        <v>363</v>
      </c>
      <c r="W2" s="103" t="s">
        <v>364</v>
      </c>
      <c r="X2" s="103" t="s">
        <v>365</v>
      </c>
      <c r="Y2" s="31"/>
      <c r="Z2" s="103" t="s">
        <v>366</v>
      </c>
      <c r="AA2" s="103" t="s">
        <v>367</v>
      </c>
      <c r="AB2" s="31"/>
      <c r="AC2" s="31"/>
      <c r="AD2" s="103" t="s">
        <v>368</v>
      </c>
      <c r="AE2" s="31"/>
      <c r="AF2" s="1039"/>
      <c r="AG2" s="1039"/>
    </row>
    <row r="3" spans="1:33" ht="27.6" x14ac:dyDescent="0.25">
      <c r="A3" s="216" t="s">
        <v>369</v>
      </c>
      <c r="B3" s="119" t="s">
        <v>370</v>
      </c>
      <c r="C3" s="571" t="s">
        <v>371</v>
      </c>
      <c r="D3" s="544" t="s">
        <v>372</v>
      </c>
      <c r="E3" s="544"/>
      <c r="F3" s="520" t="s">
        <v>69</v>
      </c>
      <c r="G3" s="544"/>
      <c r="H3" s="520" t="s">
        <v>373</v>
      </c>
      <c r="I3" s="544"/>
      <c r="J3" s="544" t="s">
        <v>374</v>
      </c>
      <c r="K3" s="544" t="s">
        <v>23</v>
      </c>
      <c r="L3" s="544">
        <f t="shared" ref="L3:L8" si="0">IF($K3=$V$3,$W$3,IF($K3=$V$3,$W$3,IF($K3=$V$4,$W$4,IF($K3=$V$5,$W$5,IF($K3=$V$6,$W$6,IF($K3=$V$7,$W$7))))))</f>
        <v>4</v>
      </c>
      <c r="M3" s="544" t="str">
        <f>IF($K3=$V$3,$X$3,IF($K3=$V$4,$X$4,IF($K3=$V$5,$X$5,IF($K3=$V$6,$X$6,IF($K3=$V$7,$X$7)))))</f>
        <v>Same broad habitat or a higher distinctiveness habitat required (≥)</v>
      </c>
      <c r="N3" s="544" t="s">
        <v>156</v>
      </c>
      <c r="O3" s="544">
        <f t="shared" ref="O3:O33" si="1">VLOOKUP(N3,Difficulty,2,FALSE)</f>
        <v>1</v>
      </c>
      <c r="P3" s="544" t="s">
        <v>156</v>
      </c>
      <c r="Q3" s="544">
        <f t="shared" ref="Q3:Q33" si="2">VLOOKUP(P3,Difficulty,2,FALSE)</f>
        <v>1</v>
      </c>
      <c r="R3" s="520"/>
      <c r="S3" s="544"/>
      <c r="V3" s="520" t="s">
        <v>375</v>
      </c>
      <c r="W3" s="544">
        <v>8</v>
      </c>
      <c r="X3" s="622" t="s">
        <v>376</v>
      </c>
      <c r="Z3" s="544" t="s">
        <v>21</v>
      </c>
      <c r="AA3" s="544">
        <v>3</v>
      </c>
      <c r="AD3" s="215" t="s">
        <v>377</v>
      </c>
      <c r="AF3" s="217" t="s">
        <v>69</v>
      </c>
      <c r="AG3" s="217" t="s">
        <v>69</v>
      </c>
    </row>
    <row r="4" spans="1:33" x14ac:dyDescent="0.25">
      <c r="A4" s="216" t="s">
        <v>378</v>
      </c>
      <c r="B4" s="119" t="s">
        <v>379</v>
      </c>
      <c r="C4" s="571" t="s">
        <v>380</v>
      </c>
      <c r="D4" s="544" t="s">
        <v>372</v>
      </c>
      <c r="E4" s="544"/>
      <c r="F4" s="520" t="s">
        <v>69</v>
      </c>
      <c r="G4" s="544"/>
      <c r="H4" s="520" t="s">
        <v>373</v>
      </c>
      <c r="I4" s="544"/>
      <c r="J4" s="544" t="s">
        <v>374</v>
      </c>
      <c r="K4" s="544" t="s">
        <v>23</v>
      </c>
      <c r="L4" s="544">
        <f t="shared" si="0"/>
        <v>4</v>
      </c>
      <c r="M4" s="544" t="str">
        <f t="shared" ref="M4:M71" si="3">IF($K4=$V$3,$X$3,IF($K4=$V$4,$X$4,IF($K4=$V$5,$X$5,IF($K4=$V$6,$X$6,IF($K4=$V$7,$X$7)))))</f>
        <v>Same broad habitat or a higher distinctiveness habitat required (≥)</v>
      </c>
      <c r="N4" s="544" t="s">
        <v>156</v>
      </c>
      <c r="O4" s="544">
        <f t="shared" si="1"/>
        <v>1</v>
      </c>
      <c r="P4" s="544" t="s">
        <v>156</v>
      </c>
      <c r="Q4" s="544">
        <f t="shared" si="2"/>
        <v>1</v>
      </c>
      <c r="R4" s="520"/>
      <c r="S4" s="544"/>
      <c r="V4" s="544" t="s">
        <v>153</v>
      </c>
      <c r="W4" s="544">
        <v>6</v>
      </c>
      <c r="X4" s="623" t="s">
        <v>381</v>
      </c>
      <c r="Z4" s="544" t="s">
        <v>382</v>
      </c>
      <c r="AA4" s="544">
        <v>2.5</v>
      </c>
      <c r="AD4" s="215" t="s">
        <v>383</v>
      </c>
      <c r="AF4" s="217" t="s">
        <v>70</v>
      </c>
      <c r="AG4" s="217" t="s">
        <v>70</v>
      </c>
    </row>
    <row r="5" spans="1:33" ht="41.4" x14ac:dyDescent="0.25">
      <c r="A5" s="216" t="s">
        <v>384</v>
      </c>
      <c r="B5" s="119" t="s">
        <v>385</v>
      </c>
      <c r="C5" s="571" t="s">
        <v>386</v>
      </c>
      <c r="D5" s="544" t="s">
        <v>372</v>
      </c>
      <c r="E5" s="544"/>
      <c r="F5" s="520" t="s">
        <v>69</v>
      </c>
      <c r="G5" s="544"/>
      <c r="H5" s="520" t="s">
        <v>373</v>
      </c>
      <c r="I5" s="544"/>
      <c r="J5" s="544" t="s">
        <v>374</v>
      </c>
      <c r="K5" s="544" t="s">
        <v>23</v>
      </c>
      <c r="L5" s="544">
        <f t="shared" si="0"/>
        <v>4</v>
      </c>
      <c r="M5" s="544" t="str">
        <f t="shared" si="3"/>
        <v>Same broad habitat or a higher distinctiveness habitat required (≥)</v>
      </c>
      <c r="N5" s="544" t="s">
        <v>156</v>
      </c>
      <c r="O5" s="544">
        <f t="shared" si="1"/>
        <v>1</v>
      </c>
      <c r="P5" s="544" t="s">
        <v>156</v>
      </c>
      <c r="Q5" s="544">
        <f t="shared" si="2"/>
        <v>1</v>
      </c>
      <c r="R5" s="520"/>
      <c r="S5" s="544"/>
      <c r="V5" s="544" t="s">
        <v>23</v>
      </c>
      <c r="W5" s="544">
        <v>4</v>
      </c>
      <c r="X5" s="624" t="s">
        <v>155</v>
      </c>
      <c r="Z5" s="544" t="s">
        <v>20</v>
      </c>
      <c r="AA5" s="544">
        <v>2</v>
      </c>
      <c r="AF5" s="217" t="s">
        <v>71</v>
      </c>
      <c r="AG5" s="217" t="s">
        <v>387</v>
      </c>
    </row>
    <row r="6" spans="1:33" ht="27.6" x14ac:dyDescent="0.25">
      <c r="A6" s="216" t="s">
        <v>388</v>
      </c>
      <c r="B6" s="119" t="s">
        <v>389</v>
      </c>
      <c r="C6" s="544" t="s">
        <v>390</v>
      </c>
      <c r="D6" s="544" t="s">
        <v>372</v>
      </c>
      <c r="E6" s="544" t="s">
        <v>391</v>
      </c>
      <c r="F6" s="520" t="s">
        <v>69</v>
      </c>
      <c r="G6" s="544" t="s">
        <v>392</v>
      </c>
      <c r="H6" s="520" t="s">
        <v>373</v>
      </c>
      <c r="I6" s="544" t="s">
        <v>390</v>
      </c>
      <c r="J6" s="544" t="s">
        <v>374</v>
      </c>
      <c r="K6" s="544" t="s">
        <v>23</v>
      </c>
      <c r="L6" s="544">
        <f t="shared" si="0"/>
        <v>4</v>
      </c>
      <c r="M6" s="544" t="str">
        <f t="shared" si="3"/>
        <v>Same broad habitat or a higher distinctiveness habitat required (≥)</v>
      </c>
      <c r="N6" s="544" t="s">
        <v>156</v>
      </c>
      <c r="O6" s="544">
        <f t="shared" si="1"/>
        <v>1</v>
      </c>
      <c r="P6" s="544" t="s">
        <v>156</v>
      </c>
      <c r="Q6" s="544">
        <f t="shared" si="2"/>
        <v>1</v>
      </c>
      <c r="R6" s="520"/>
      <c r="S6" s="544"/>
      <c r="V6" s="544" t="s">
        <v>156</v>
      </c>
      <c r="W6" s="544">
        <v>2</v>
      </c>
      <c r="X6" s="625" t="s">
        <v>157</v>
      </c>
      <c r="Z6" s="544" t="s">
        <v>393</v>
      </c>
      <c r="AA6" s="544">
        <v>1.5</v>
      </c>
      <c r="AF6" s="217" t="s">
        <v>72</v>
      </c>
      <c r="AG6" s="217" t="s">
        <v>72</v>
      </c>
    </row>
    <row r="7" spans="1:33" x14ac:dyDescent="0.25">
      <c r="A7" s="216" t="s">
        <v>394</v>
      </c>
      <c r="B7" s="119" t="s">
        <v>395</v>
      </c>
      <c r="C7" s="544" t="s">
        <v>396</v>
      </c>
      <c r="D7" s="544" t="s">
        <v>372</v>
      </c>
      <c r="E7" s="544"/>
      <c r="F7" s="520" t="s">
        <v>69</v>
      </c>
      <c r="G7" s="544"/>
      <c r="H7" s="520" t="s">
        <v>373</v>
      </c>
      <c r="I7" s="544" t="s">
        <v>396</v>
      </c>
      <c r="J7" s="544" t="s">
        <v>394</v>
      </c>
      <c r="K7" s="544" t="s">
        <v>156</v>
      </c>
      <c r="L7" s="544">
        <f t="shared" si="0"/>
        <v>2</v>
      </c>
      <c r="M7" s="544" t="str">
        <f t="shared" si="3"/>
        <v>Same distinctiveness or better habitat required ≥</v>
      </c>
      <c r="N7" s="544" t="s">
        <v>156</v>
      </c>
      <c r="O7" s="544">
        <f t="shared" si="1"/>
        <v>1</v>
      </c>
      <c r="P7" s="544" t="s">
        <v>156</v>
      </c>
      <c r="Q7" s="544">
        <f t="shared" si="2"/>
        <v>1</v>
      </c>
      <c r="R7" s="520"/>
      <c r="S7" s="544"/>
      <c r="V7" s="544" t="s">
        <v>397</v>
      </c>
      <c r="W7" s="544">
        <v>0</v>
      </c>
      <c r="X7" s="626" t="s">
        <v>398</v>
      </c>
      <c r="Z7" s="544" t="s">
        <v>242</v>
      </c>
      <c r="AA7" s="544">
        <v>1</v>
      </c>
      <c r="AF7" s="217" t="s">
        <v>73</v>
      </c>
      <c r="AG7" s="217" t="s">
        <v>399</v>
      </c>
    </row>
    <row r="8" spans="1:33" x14ac:dyDescent="0.25">
      <c r="A8" s="216" t="s">
        <v>400</v>
      </c>
      <c r="B8" s="119" t="s">
        <v>401</v>
      </c>
      <c r="C8" s="571" t="s">
        <v>402</v>
      </c>
      <c r="D8" s="544" t="s">
        <v>372</v>
      </c>
      <c r="E8" s="544"/>
      <c r="F8" s="520" t="s">
        <v>69</v>
      </c>
      <c r="G8" s="544"/>
      <c r="H8" s="520" t="s">
        <v>373</v>
      </c>
      <c r="I8" s="544"/>
      <c r="J8" s="544" t="s">
        <v>394</v>
      </c>
      <c r="K8" s="544" t="s">
        <v>156</v>
      </c>
      <c r="L8" s="544">
        <f t="shared" si="0"/>
        <v>2</v>
      </c>
      <c r="M8" s="544" t="str">
        <f t="shared" si="3"/>
        <v>Same distinctiveness or better habitat required ≥</v>
      </c>
      <c r="N8" s="544" t="s">
        <v>156</v>
      </c>
      <c r="O8" s="544">
        <f t="shared" si="1"/>
        <v>1</v>
      </c>
      <c r="P8" s="544" t="s">
        <v>156</v>
      </c>
      <c r="Q8" s="544">
        <f t="shared" si="2"/>
        <v>1</v>
      </c>
      <c r="R8" s="520"/>
      <c r="S8" s="544"/>
      <c r="Z8" s="544" t="s">
        <v>403</v>
      </c>
      <c r="AA8" s="544">
        <v>1</v>
      </c>
      <c r="AF8" s="654" t="s">
        <v>74</v>
      </c>
      <c r="AG8" s="654" t="s">
        <v>74</v>
      </c>
    </row>
    <row r="9" spans="1:33" x14ac:dyDescent="0.25">
      <c r="A9" s="216" t="s">
        <v>404</v>
      </c>
      <c r="B9" s="119" t="s">
        <v>405</v>
      </c>
      <c r="C9" s="544" t="s">
        <v>406</v>
      </c>
      <c r="D9" s="544" t="s">
        <v>372</v>
      </c>
      <c r="E9" s="544"/>
      <c r="F9" s="520" t="s">
        <v>69</v>
      </c>
      <c r="G9" s="544"/>
      <c r="H9" s="520" t="s">
        <v>373</v>
      </c>
      <c r="I9" s="544" t="s">
        <v>406</v>
      </c>
      <c r="J9" s="544" t="s">
        <v>404</v>
      </c>
      <c r="K9" s="544" t="s">
        <v>156</v>
      </c>
      <c r="L9" s="544">
        <f t="shared" ref="L9:L48" si="4">IF(K9=$V$3,$W$3,IF(K9=$V$3,$W$3,IF(K9=$V$4,$W$4,IF(K9=$V$5,$W$5,IF(K9=$V$6,$W$6,IF(K9=$V$7,$W$7))))))</f>
        <v>2</v>
      </c>
      <c r="M9" s="544" t="str">
        <f t="shared" si="3"/>
        <v>Same distinctiveness or better habitat required ≥</v>
      </c>
      <c r="N9" s="544" t="s">
        <v>156</v>
      </c>
      <c r="O9" s="544">
        <f t="shared" si="1"/>
        <v>1</v>
      </c>
      <c r="P9" s="544" t="s">
        <v>156</v>
      </c>
      <c r="Q9" s="544">
        <f t="shared" si="2"/>
        <v>1</v>
      </c>
      <c r="R9" s="520"/>
      <c r="S9" s="544"/>
      <c r="Z9" s="544" t="s">
        <v>407</v>
      </c>
      <c r="AA9" s="544">
        <v>0</v>
      </c>
      <c r="AF9" s="217" t="s">
        <v>75</v>
      </c>
      <c r="AG9" s="217" t="s">
        <v>75</v>
      </c>
    </row>
    <row r="10" spans="1:33" x14ac:dyDescent="0.25">
      <c r="A10" s="216" t="s">
        <v>408</v>
      </c>
      <c r="B10" s="119" t="s">
        <v>409</v>
      </c>
      <c r="C10" s="544" t="s">
        <v>410</v>
      </c>
      <c r="D10" s="544" t="s">
        <v>372</v>
      </c>
      <c r="E10" s="544"/>
      <c r="F10" s="520" t="s">
        <v>69</v>
      </c>
      <c r="G10" s="544"/>
      <c r="H10" s="520" t="s">
        <v>373</v>
      </c>
      <c r="I10" s="544" t="s">
        <v>410</v>
      </c>
      <c r="J10" s="544" t="s">
        <v>408</v>
      </c>
      <c r="K10" s="544" t="s">
        <v>156</v>
      </c>
      <c r="L10" s="544">
        <f t="shared" si="4"/>
        <v>2</v>
      </c>
      <c r="M10" s="544" t="str">
        <f t="shared" si="3"/>
        <v>Same distinctiveness or better habitat required ≥</v>
      </c>
      <c r="N10" s="544" t="s">
        <v>156</v>
      </c>
      <c r="O10" s="544">
        <f t="shared" si="1"/>
        <v>1</v>
      </c>
      <c r="P10" s="544" t="s">
        <v>156</v>
      </c>
      <c r="Q10" s="544">
        <f t="shared" si="2"/>
        <v>1</v>
      </c>
      <c r="R10" s="520"/>
      <c r="S10" s="544"/>
      <c r="AF10" s="217" t="s">
        <v>76</v>
      </c>
      <c r="AG10" s="217" t="s">
        <v>411</v>
      </c>
    </row>
    <row r="11" spans="1:33" x14ac:dyDescent="0.25">
      <c r="A11" s="216" t="s">
        <v>412</v>
      </c>
      <c r="B11" s="119" t="s">
        <v>413</v>
      </c>
      <c r="C11" s="544" t="s">
        <v>414</v>
      </c>
      <c r="D11" s="544" t="s">
        <v>372</v>
      </c>
      <c r="E11" s="544"/>
      <c r="F11" s="520" t="s">
        <v>69</v>
      </c>
      <c r="G11" s="544"/>
      <c r="H11" s="520" t="s">
        <v>373</v>
      </c>
      <c r="I11" s="544" t="s">
        <v>414</v>
      </c>
      <c r="J11" s="544" t="s">
        <v>412</v>
      </c>
      <c r="K11" s="544" t="s">
        <v>156</v>
      </c>
      <c r="L11" s="544">
        <f t="shared" si="4"/>
        <v>2</v>
      </c>
      <c r="M11" s="544" t="str">
        <f t="shared" si="3"/>
        <v>Same distinctiveness or better habitat required ≥</v>
      </c>
      <c r="N11" s="544" t="s">
        <v>156</v>
      </c>
      <c r="O11" s="544">
        <f t="shared" si="1"/>
        <v>1</v>
      </c>
      <c r="P11" s="544" t="s">
        <v>156</v>
      </c>
      <c r="Q11" s="544">
        <f t="shared" si="2"/>
        <v>1</v>
      </c>
      <c r="R11" s="520"/>
      <c r="S11" s="544"/>
      <c r="AF11" s="217" t="s">
        <v>80</v>
      </c>
      <c r="AG11" s="217" t="s">
        <v>415</v>
      </c>
    </row>
    <row r="12" spans="1:33" ht="14.4" thickBot="1" x14ac:dyDescent="0.3">
      <c r="A12" s="216" t="s">
        <v>416</v>
      </c>
      <c r="B12" s="218" t="s">
        <v>417</v>
      </c>
      <c r="C12" s="526" t="s">
        <v>418</v>
      </c>
      <c r="D12" s="526" t="s">
        <v>372</v>
      </c>
      <c r="E12" s="526"/>
      <c r="F12" s="508" t="s">
        <v>69</v>
      </c>
      <c r="G12" s="526"/>
      <c r="H12" s="508" t="s">
        <v>373</v>
      </c>
      <c r="I12" s="526" t="s">
        <v>418</v>
      </c>
      <c r="J12" s="526" t="s">
        <v>416</v>
      </c>
      <c r="K12" s="526" t="s">
        <v>156</v>
      </c>
      <c r="L12" s="526">
        <f t="shared" si="4"/>
        <v>2</v>
      </c>
      <c r="M12" s="526" t="str">
        <f t="shared" si="3"/>
        <v>Same distinctiveness or better habitat required ≥</v>
      </c>
      <c r="N12" s="526" t="s">
        <v>156</v>
      </c>
      <c r="O12" s="526">
        <f t="shared" si="1"/>
        <v>1</v>
      </c>
      <c r="P12" s="526" t="s">
        <v>156</v>
      </c>
      <c r="Q12" s="526">
        <f t="shared" si="2"/>
        <v>1</v>
      </c>
      <c r="R12" s="508"/>
      <c r="S12" s="526"/>
      <c r="AF12" s="217" t="s">
        <v>79</v>
      </c>
      <c r="AG12" s="217" t="s">
        <v>419</v>
      </c>
    </row>
    <row r="13" spans="1:33" x14ac:dyDescent="0.25">
      <c r="A13" s="216" t="s">
        <v>420</v>
      </c>
      <c r="B13" s="219" t="s">
        <v>421</v>
      </c>
      <c r="C13" s="521">
        <v>21</v>
      </c>
      <c r="D13" s="521" t="s">
        <v>372</v>
      </c>
      <c r="E13" s="521"/>
      <c r="F13" s="520" t="s">
        <v>70</v>
      </c>
      <c r="G13" s="521"/>
      <c r="H13" s="507" t="s">
        <v>420</v>
      </c>
      <c r="I13" s="521"/>
      <c r="J13" s="521" t="s">
        <v>420</v>
      </c>
      <c r="K13" s="521" t="s">
        <v>153</v>
      </c>
      <c r="L13" s="521">
        <f t="shared" si="4"/>
        <v>6</v>
      </c>
      <c r="M13" s="521" t="str">
        <f t="shared" si="3"/>
        <v>Same habitat required =</v>
      </c>
      <c r="N13" s="521" t="s">
        <v>156</v>
      </c>
      <c r="O13" s="521">
        <f t="shared" si="1"/>
        <v>1</v>
      </c>
      <c r="P13" s="521" t="s">
        <v>23</v>
      </c>
      <c r="Q13" s="521">
        <f t="shared" si="2"/>
        <v>0.67</v>
      </c>
      <c r="R13" s="507"/>
      <c r="S13" s="521"/>
      <c r="AF13" s="217" t="s">
        <v>78</v>
      </c>
      <c r="AG13" s="217" t="s">
        <v>422</v>
      </c>
    </row>
    <row r="14" spans="1:33" x14ac:dyDescent="0.25">
      <c r="A14" s="216" t="s">
        <v>423</v>
      </c>
      <c r="B14" s="119" t="s">
        <v>424</v>
      </c>
      <c r="C14" s="544" t="s">
        <v>425</v>
      </c>
      <c r="D14" s="544" t="s">
        <v>372</v>
      </c>
      <c r="E14" s="544"/>
      <c r="F14" s="520" t="s">
        <v>70</v>
      </c>
      <c r="G14" s="544"/>
      <c r="H14" s="520" t="s">
        <v>426</v>
      </c>
      <c r="I14" s="544" t="s">
        <v>425</v>
      </c>
      <c r="J14" s="544" t="s">
        <v>423</v>
      </c>
      <c r="K14" s="544" t="s">
        <v>156</v>
      </c>
      <c r="L14" s="544">
        <f t="shared" si="4"/>
        <v>2</v>
      </c>
      <c r="M14" s="544" t="str">
        <f t="shared" si="3"/>
        <v>Same distinctiveness or better habitat required ≥</v>
      </c>
      <c r="N14" s="544" t="s">
        <v>156</v>
      </c>
      <c r="O14" s="544">
        <f t="shared" si="1"/>
        <v>1</v>
      </c>
      <c r="P14" s="544" t="s">
        <v>156</v>
      </c>
      <c r="Q14" s="544">
        <f t="shared" si="2"/>
        <v>1</v>
      </c>
      <c r="R14" s="520"/>
      <c r="S14" s="544"/>
      <c r="AF14" s="217" t="s">
        <v>77</v>
      </c>
      <c r="AG14" s="217" t="s">
        <v>427</v>
      </c>
    </row>
    <row r="15" spans="1:33" x14ac:dyDescent="0.25">
      <c r="A15" s="216" t="s">
        <v>428</v>
      </c>
      <c r="B15" s="119" t="s">
        <v>429</v>
      </c>
      <c r="C15" s="544" t="s">
        <v>430</v>
      </c>
      <c r="D15" s="544" t="s">
        <v>372</v>
      </c>
      <c r="E15" s="544"/>
      <c r="F15" s="520" t="s">
        <v>70</v>
      </c>
      <c r="G15" s="544"/>
      <c r="H15" s="520" t="s">
        <v>431</v>
      </c>
      <c r="I15" s="544"/>
      <c r="J15" s="544" t="s">
        <v>431</v>
      </c>
      <c r="K15" s="544" t="s">
        <v>153</v>
      </c>
      <c r="L15" s="544">
        <f t="shared" si="4"/>
        <v>6</v>
      </c>
      <c r="M15" s="544" t="str">
        <f t="shared" si="3"/>
        <v>Same habitat required =</v>
      </c>
      <c r="N15" s="544" t="s">
        <v>153</v>
      </c>
      <c r="O15" s="544">
        <f t="shared" si="1"/>
        <v>0.33</v>
      </c>
      <c r="P15" s="544" t="s">
        <v>23</v>
      </c>
      <c r="Q15" s="544">
        <f t="shared" si="2"/>
        <v>0.67</v>
      </c>
      <c r="R15" s="520"/>
      <c r="S15" s="544"/>
      <c r="AF15" s="217" t="s">
        <v>81</v>
      </c>
      <c r="AG15" s="217" t="s">
        <v>432</v>
      </c>
    </row>
    <row r="16" spans="1:33" x14ac:dyDescent="0.25">
      <c r="A16" s="216" t="s">
        <v>433</v>
      </c>
      <c r="B16" s="119" t="s">
        <v>434</v>
      </c>
      <c r="C16" s="544" t="s">
        <v>435</v>
      </c>
      <c r="D16" s="544" t="s">
        <v>372</v>
      </c>
      <c r="E16" s="544"/>
      <c r="F16" s="520" t="s">
        <v>70</v>
      </c>
      <c r="G16" s="544" t="s">
        <v>436</v>
      </c>
      <c r="H16" s="520" t="s">
        <v>437</v>
      </c>
      <c r="I16" s="544" t="s">
        <v>435</v>
      </c>
      <c r="J16" s="572" t="s">
        <v>433</v>
      </c>
      <c r="K16" s="544" t="s">
        <v>153</v>
      </c>
      <c r="L16" s="544">
        <f t="shared" si="4"/>
        <v>6</v>
      </c>
      <c r="M16" s="544" t="str">
        <f t="shared" si="3"/>
        <v>Same habitat required =</v>
      </c>
      <c r="N16" s="544" t="s">
        <v>153</v>
      </c>
      <c r="O16" s="544">
        <f t="shared" si="1"/>
        <v>0.33</v>
      </c>
      <c r="P16" s="544" t="s">
        <v>153</v>
      </c>
      <c r="Q16" s="544">
        <f t="shared" si="2"/>
        <v>0.33</v>
      </c>
      <c r="R16" s="520"/>
      <c r="S16" s="544"/>
    </row>
    <row r="17" spans="1:19" x14ac:dyDescent="0.25">
      <c r="A17" s="216" t="s">
        <v>438</v>
      </c>
      <c r="B17" s="119" t="s">
        <v>439</v>
      </c>
      <c r="C17" s="544" t="s">
        <v>440</v>
      </c>
      <c r="D17" s="544" t="s">
        <v>372</v>
      </c>
      <c r="E17" s="544" t="s">
        <v>441</v>
      </c>
      <c r="F17" s="520" t="s">
        <v>70</v>
      </c>
      <c r="G17" s="544" t="s">
        <v>442</v>
      </c>
      <c r="H17" s="520" t="s">
        <v>426</v>
      </c>
      <c r="I17" s="544" t="s">
        <v>440</v>
      </c>
      <c r="J17" s="572" t="s">
        <v>438</v>
      </c>
      <c r="K17" s="544" t="s">
        <v>375</v>
      </c>
      <c r="L17" s="544">
        <f t="shared" si="4"/>
        <v>8</v>
      </c>
      <c r="M17" s="544" t="str">
        <f t="shared" si="3"/>
        <v>Bespoke compensation likely to be required 🛠</v>
      </c>
      <c r="N17" s="544" t="s">
        <v>153</v>
      </c>
      <c r="O17" s="544">
        <f t="shared" si="1"/>
        <v>0.33</v>
      </c>
      <c r="P17" s="544" t="s">
        <v>153</v>
      </c>
      <c r="Q17" s="544">
        <f t="shared" si="2"/>
        <v>0.33</v>
      </c>
      <c r="R17" s="520"/>
      <c r="S17" s="544"/>
    </row>
    <row r="18" spans="1:19" x14ac:dyDescent="0.25">
      <c r="A18" s="216" t="s">
        <v>443</v>
      </c>
      <c r="B18" s="119" t="s">
        <v>444</v>
      </c>
      <c r="C18" s="544" t="s">
        <v>445</v>
      </c>
      <c r="D18" s="544" t="s">
        <v>372</v>
      </c>
      <c r="E18" s="544"/>
      <c r="F18" s="520" t="s">
        <v>70</v>
      </c>
      <c r="G18" s="544" t="s">
        <v>446</v>
      </c>
      <c r="H18" s="520" t="s">
        <v>447</v>
      </c>
      <c r="I18" s="544" t="s">
        <v>445</v>
      </c>
      <c r="J18" s="572" t="s">
        <v>443</v>
      </c>
      <c r="K18" s="544" t="s">
        <v>375</v>
      </c>
      <c r="L18" s="544">
        <f t="shared" si="4"/>
        <v>8</v>
      </c>
      <c r="M18" s="544" t="str">
        <f t="shared" si="3"/>
        <v>Bespoke compensation likely to be required 🛠</v>
      </c>
      <c r="N18" s="544" t="s">
        <v>153</v>
      </c>
      <c r="O18" s="544">
        <f t="shared" si="1"/>
        <v>0.33</v>
      </c>
      <c r="P18" s="544" t="s">
        <v>23</v>
      </c>
      <c r="Q18" s="544">
        <f t="shared" si="2"/>
        <v>0.67</v>
      </c>
      <c r="R18" s="520"/>
      <c r="S18" s="544"/>
    </row>
    <row r="19" spans="1:19" x14ac:dyDescent="0.25">
      <c r="A19" s="216" t="s">
        <v>448</v>
      </c>
      <c r="B19" s="119" t="s">
        <v>449</v>
      </c>
      <c r="C19" s="544" t="s">
        <v>450</v>
      </c>
      <c r="D19" s="544" t="s">
        <v>372</v>
      </c>
      <c r="E19" s="544"/>
      <c r="F19" s="520" t="s">
        <v>70</v>
      </c>
      <c r="G19" s="544" t="s">
        <v>450</v>
      </c>
      <c r="H19" s="520" t="s">
        <v>448</v>
      </c>
      <c r="I19" s="520" t="s">
        <v>451</v>
      </c>
      <c r="J19" s="573" t="s">
        <v>448</v>
      </c>
      <c r="K19" s="544" t="s">
        <v>156</v>
      </c>
      <c r="L19" s="544">
        <f t="shared" si="4"/>
        <v>2</v>
      </c>
      <c r="M19" s="574" t="str">
        <f t="shared" si="3"/>
        <v>Same distinctiveness or better habitat required ≥</v>
      </c>
      <c r="N19" s="544" t="s">
        <v>156</v>
      </c>
      <c r="O19" s="544">
        <f t="shared" si="1"/>
        <v>1</v>
      </c>
      <c r="P19" s="544" t="s">
        <v>156</v>
      </c>
      <c r="Q19" s="544">
        <f t="shared" si="2"/>
        <v>1</v>
      </c>
      <c r="R19" s="520"/>
      <c r="S19" s="544"/>
    </row>
    <row r="20" spans="1:19" x14ac:dyDescent="0.25">
      <c r="A20" s="216" t="s">
        <v>452</v>
      </c>
      <c r="B20" s="119" t="s">
        <v>453</v>
      </c>
      <c r="C20" s="544" t="s">
        <v>454</v>
      </c>
      <c r="D20" s="544" t="s">
        <v>372</v>
      </c>
      <c r="E20" s="544"/>
      <c r="F20" s="520" t="s">
        <v>70</v>
      </c>
      <c r="G20" s="544"/>
      <c r="H20" s="520" t="s">
        <v>426</v>
      </c>
      <c r="I20" s="544" t="s">
        <v>454</v>
      </c>
      <c r="J20" s="544" t="s">
        <v>452</v>
      </c>
      <c r="K20" s="544" t="s">
        <v>23</v>
      </c>
      <c r="L20" s="544">
        <f t="shared" si="4"/>
        <v>4</v>
      </c>
      <c r="M20" s="544" t="str">
        <f t="shared" si="3"/>
        <v>Same broad habitat or a higher distinctiveness habitat required (≥)</v>
      </c>
      <c r="N20" s="544" t="s">
        <v>156</v>
      </c>
      <c r="O20" s="544">
        <f t="shared" si="1"/>
        <v>1</v>
      </c>
      <c r="P20" s="544" t="s">
        <v>156</v>
      </c>
      <c r="Q20" s="544">
        <f t="shared" si="2"/>
        <v>1</v>
      </c>
      <c r="R20" s="520"/>
      <c r="S20" s="544"/>
    </row>
    <row r="21" spans="1:19" x14ac:dyDescent="0.25">
      <c r="A21" s="216" t="s">
        <v>455</v>
      </c>
      <c r="B21" s="119" t="s">
        <v>456</v>
      </c>
      <c r="C21" s="544" t="s">
        <v>457</v>
      </c>
      <c r="D21" s="544" t="s">
        <v>372</v>
      </c>
      <c r="E21" s="544"/>
      <c r="F21" s="520" t="s">
        <v>70</v>
      </c>
      <c r="G21" s="544"/>
      <c r="H21" s="520" t="s">
        <v>447</v>
      </c>
      <c r="I21" s="544" t="s">
        <v>457</v>
      </c>
      <c r="J21" s="544" t="s">
        <v>455</v>
      </c>
      <c r="K21" s="544" t="s">
        <v>23</v>
      </c>
      <c r="L21" s="544">
        <f t="shared" si="4"/>
        <v>4</v>
      </c>
      <c r="M21" s="544" t="str">
        <f t="shared" si="3"/>
        <v>Same broad habitat or a higher distinctiveness habitat required (≥)</v>
      </c>
      <c r="N21" s="544" t="s">
        <v>156</v>
      </c>
      <c r="O21" s="544">
        <f t="shared" si="1"/>
        <v>1</v>
      </c>
      <c r="P21" s="544" t="s">
        <v>156</v>
      </c>
      <c r="Q21" s="544">
        <f t="shared" si="2"/>
        <v>1</v>
      </c>
      <c r="R21" s="520"/>
      <c r="S21" s="544"/>
    </row>
    <row r="22" spans="1:19" x14ac:dyDescent="0.25">
      <c r="A22" s="216" t="s">
        <v>458</v>
      </c>
      <c r="B22" s="119" t="s">
        <v>459</v>
      </c>
      <c r="C22" s="544" t="s">
        <v>460</v>
      </c>
      <c r="D22" s="544" t="s">
        <v>372</v>
      </c>
      <c r="E22" s="544"/>
      <c r="F22" s="520" t="s">
        <v>70</v>
      </c>
      <c r="G22" s="544" t="s">
        <v>461</v>
      </c>
      <c r="H22" s="520" t="s">
        <v>462</v>
      </c>
      <c r="I22" s="520"/>
      <c r="J22" s="544" t="s">
        <v>458</v>
      </c>
      <c r="K22" s="544" t="s">
        <v>153</v>
      </c>
      <c r="L22" s="544">
        <f t="shared" si="4"/>
        <v>6</v>
      </c>
      <c r="M22" s="544" t="str">
        <f t="shared" si="3"/>
        <v>Same habitat required =</v>
      </c>
      <c r="N22" s="544" t="s">
        <v>153</v>
      </c>
      <c r="O22" s="544">
        <f t="shared" si="1"/>
        <v>0.33</v>
      </c>
      <c r="P22" s="544" t="s">
        <v>153</v>
      </c>
      <c r="Q22" s="544">
        <f t="shared" si="2"/>
        <v>0.33</v>
      </c>
      <c r="R22" s="520"/>
      <c r="S22" s="544"/>
    </row>
    <row r="23" spans="1:19" x14ac:dyDescent="0.25">
      <c r="A23" s="216" t="s">
        <v>463</v>
      </c>
      <c r="B23" s="119" t="s">
        <v>464</v>
      </c>
      <c r="C23" s="544" t="s">
        <v>465</v>
      </c>
      <c r="D23" s="544" t="s">
        <v>372</v>
      </c>
      <c r="E23" s="544"/>
      <c r="F23" s="520" t="s">
        <v>70</v>
      </c>
      <c r="G23" s="544"/>
      <c r="H23" s="520" t="s">
        <v>426</v>
      </c>
      <c r="I23" s="544" t="s">
        <v>465</v>
      </c>
      <c r="J23" s="572" t="s">
        <v>463</v>
      </c>
      <c r="K23" s="544" t="s">
        <v>23</v>
      </c>
      <c r="L23" s="544">
        <f t="shared" si="4"/>
        <v>4</v>
      </c>
      <c r="M23" s="544" t="str">
        <f t="shared" si="3"/>
        <v>Same broad habitat or a higher distinctiveness habitat required (≥)</v>
      </c>
      <c r="N23" s="544" t="s">
        <v>156</v>
      </c>
      <c r="O23" s="544">
        <f t="shared" si="1"/>
        <v>1</v>
      </c>
      <c r="P23" s="544" t="s">
        <v>156</v>
      </c>
      <c r="Q23" s="544">
        <f t="shared" si="2"/>
        <v>1</v>
      </c>
      <c r="R23" s="520"/>
      <c r="S23" s="544"/>
    </row>
    <row r="24" spans="1:19" x14ac:dyDescent="0.25">
      <c r="A24" s="216" t="s">
        <v>466</v>
      </c>
      <c r="B24" s="119" t="s">
        <v>467</v>
      </c>
      <c r="C24" s="544" t="s">
        <v>468</v>
      </c>
      <c r="D24" s="544" t="s">
        <v>372</v>
      </c>
      <c r="E24" s="544"/>
      <c r="F24" s="520" t="s">
        <v>70</v>
      </c>
      <c r="G24" s="544"/>
      <c r="H24" s="520" t="s">
        <v>437</v>
      </c>
      <c r="I24" s="544" t="s">
        <v>468</v>
      </c>
      <c r="J24" s="572" t="s">
        <v>466</v>
      </c>
      <c r="K24" s="544" t="s">
        <v>153</v>
      </c>
      <c r="L24" s="544">
        <f t="shared" si="4"/>
        <v>6</v>
      </c>
      <c r="M24" s="544" t="str">
        <f t="shared" si="3"/>
        <v>Same habitat required =</v>
      </c>
      <c r="N24" s="544" t="s">
        <v>153</v>
      </c>
      <c r="O24" s="544">
        <f t="shared" si="1"/>
        <v>0.33</v>
      </c>
      <c r="P24" s="544" t="s">
        <v>153</v>
      </c>
      <c r="Q24" s="544">
        <f t="shared" si="2"/>
        <v>0.33</v>
      </c>
      <c r="R24" s="520"/>
      <c r="S24" s="544"/>
    </row>
    <row r="25" spans="1:19" ht="14.4" thickBot="1" x14ac:dyDescent="0.3">
      <c r="A25" s="216" t="s">
        <v>469</v>
      </c>
      <c r="B25" s="218" t="s">
        <v>470</v>
      </c>
      <c r="C25" s="526" t="s">
        <v>471</v>
      </c>
      <c r="D25" s="526" t="s">
        <v>372</v>
      </c>
      <c r="E25" s="526"/>
      <c r="F25" s="508" t="s">
        <v>70</v>
      </c>
      <c r="G25" s="526"/>
      <c r="H25" s="508" t="s">
        <v>447</v>
      </c>
      <c r="I25" s="526" t="s">
        <v>471</v>
      </c>
      <c r="J25" s="575" t="s">
        <v>469</v>
      </c>
      <c r="K25" s="526" t="s">
        <v>375</v>
      </c>
      <c r="L25" s="526">
        <f t="shared" si="4"/>
        <v>8</v>
      </c>
      <c r="M25" s="526" t="str">
        <f t="shared" si="3"/>
        <v>Bespoke compensation likely to be required 🛠</v>
      </c>
      <c r="N25" s="526" t="s">
        <v>153</v>
      </c>
      <c r="O25" s="526">
        <f t="shared" si="1"/>
        <v>0.33</v>
      </c>
      <c r="P25" s="526" t="s">
        <v>23</v>
      </c>
      <c r="Q25" s="526">
        <f t="shared" si="2"/>
        <v>0.67</v>
      </c>
      <c r="R25" s="508"/>
      <c r="S25" s="526"/>
    </row>
    <row r="26" spans="1:19" x14ac:dyDescent="0.25">
      <c r="A26" s="216" t="s">
        <v>472</v>
      </c>
      <c r="B26" s="219" t="s">
        <v>473</v>
      </c>
      <c r="C26" s="521" t="s">
        <v>474</v>
      </c>
      <c r="D26" s="521" t="s">
        <v>372</v>
      </c>
      <c r="E26" s="521"/>
      <c r="F26" s="507" t="s">
        <v>71</v>
      </c>
      <c r="G26" s="521" t="s">
        <v>475</v>
      </c>
      <c r="H26" s="507" t="s">
        <v>476</v>
      </c>
      <c r="I26" s="521" t="s">
        <v>474</v>
      </c>
      <c r="J26" s="521" t="s">
        <v>472</v>
      </c>
      <c r="K26" s="521" t="s">
        <v>23</v>
      </c>
      <c r="L26" s="521">
        <f t="shared" si="4"/>
        <v>4</v>
      </c>
      <c r="M26" s="521" t="str">
        <f t="shared" si="3"/>
        <v>Same broad habitat or a higher distinctiveness habitat required (≥)</v>
      </c>
      <c r="N26" s="521" t="s">
        <v>156</v>
      </c>
      <c r="O26" s="521">
        <f t="shared" si="1"/>
        <v>1</v>
      </c>
      <c r="P26" s="521" t="s">
        <v>156</v>
      </c>
      <c r="Q26" s="521">
        <f t="shared" si="2"/>
        <v>1</v>
      </c>
      <c r="R26" s="507"/>
      <c r="S26" s="521"/>
    </row>
    <row r="27" spans="1:19" x14ac:dyDescent="0.25">
      <c r="A27" s="216" t="s">
        <v>477</v>
      </c>
      <c r="B27" s="119" t="s">
        <v>478</v>
      </c>
      <c r="C27" s="544" t="s">
        <v>479</v>
      </c>
      <c r="D27" s="544" t="s">
        <v>372</v>
      </c>
      <c r="E27" s="544"/>
      <c r="F27" s="520" t="s">
        <v>71</v>
      </c>
      <c r="G27" s="544"/>
      <c r="H27" s="520" t="s">
        <v>476</v>
      </c>
      <c r="I27" s="544" t="s">
        <v>479</v>
      </c>
      <c r="J27" s="544" t="s">
        <v>477</v>
      </c>
      <c r="K27" s="544" t="s">
        <v>23</v>
      </c>
      <c r="L27" s="544">
        <f t="shared" si="4"/>
        <v>4</v>
      </c>
      <c r="M27" s="544" t="str">
        <f t="shared" si="3"/>
        <v>Same broad habitat or a higher distinctiveness habitat required (≥)</v>
      </c>
      <c r="N27" s="544" t="s">
        <v>156</v>
      </c>
      <c r="O27" s="544">
        <f t="shared" si="1"/>
        <v>1</v>
      </c>
      <c r="P27" s="544" t="s">
        <v>156</v>
      </c>
      <c r="Q27" s="544">
        <f t="shared" si="2"/>
        <v>1</v>
      </c>
      <c r="R27" s="520"/>
      <c r="S27" s="544"/>
    </row>
    <row r="28" spans="1:19" x14ac:dyDescent="0.25">
      <c r="A28" s="216" t="s">
        <v>480</v>
      </c>
      <c r="B28" s="119" t="s">
        <v>481</v>
      </c>
      <c r="C28" s="544" t="s">
        <v>482</v>
      </c>
      <c r="D28" s="544" t="s">
        <v>372</v>
      </c>
      <c r="E28" s="544"/>
      <c r="F28" s="520" t="s">
        <v>71</v>
      </c>
      <c r="G28" s="544"/>
      <c r="H28" s="520" t="s">
        <v>476</v>
      </c>
      <c r="I28" s="544" t="s">
        <v>482</v>
      </c>
      <c r="J28" s="544" t="s">
        <v>480</v>
      </c>
      <c r="K28" s="544" t="s">
        <v>23</v>
      </c>
      <c r="L28" s="544">
        <f t="shared" si="4"/>
        <v>4</v>
      </c>
      <c r="M28" s="544" t="str">
        <f t="shared" si="3"/>
        <v>Same broad habitat or a higher distinctiveness habitat required (≥)</v>
      </c>
      <c r="N28" s="544" t="s">
        <v>156</v>
      </c>
      <c r="O28" s="544">
        <f t="shared" si="1"/>
        <v>1</v>
      </c>
      <c r="P28" s="544" t="s">
        <v>156</v>
      </c>
      <c r="Q28" s="544">
        <f t="shared" si="2"/>
        <v>1</v>
      </c>
      <c r="R28" s="520"/>
      <c r="S28" s="544"/>
    </row>
    <row r="29" spans="1:19" x14ac:dyDescent="0.25">
      <c r="A29" s="216" t="s">
        <v>483</v>
      </c>
      <c r="B29" s="119" t="s">
        <v>484</v>
      </c>
      <c r="C29" s="544" t="s">
        <v>485</v>
      </c>
      <c r="D29" s="544" t="s">
        <v>372</v>
      </c>
      <c r="E29" s="544"/>
      <c r="F29" s="520" t="s">
        <v>71</v>
      </c>
      <c r="G29" s="544"/>
      <c r="H29" s="520" t="s">
        <v>476</v>
      </c>
      <c r="I29" s="544" t="s">
        <v>485</v>
      </c>
      <c r="J29" s="544" t="s">
        <v>483</v>
      </c>
      <c r="K29" s="544" t="s">
        <v>23</v>
      </c>
      <c r="L29" s="544">
        <f t="shared" si="4"/>
        <v>4</v>
      </c>
      <c r="M29" s="544" t="str">
        <f t="shared" si="3"/>
        <v>Same broad habitat or a higher distinctiveness habitat required (≥)</v>
      </c>
      <c r="N29" s="544" t="s">
        <v>156</v>
      </c>
      <c r="O29" s="544">
        <f t="shared" si="1"/>
        <v>1</v>
      </c>
      <c r="P29" s="544" t="s">
        <v>156</v>
      </c>
      <c r="Q29" s="544">
        <f t="shared" si="2"/>
        <v>1</v>
      </c>
      <c r="R29" s="520"/>
      <c r="S29" s="544"/>
    </row>
    <row r="30" spans="1:19" x14ac:dyDescent="0.25">
      <c r="A30" s="216" t="s">
        <v>486</v>
      </c>
      <c r="B30" s="119" t="s">
        <v>487</v>
      </c>
      <c r="C30" s="544" t="s">
        <v>488</v>
      </c>
      <c r="D30" s="544" t="s">
        <v>372</v>
      </c>
      <c r="E30" s="544"/>
      <c r="F30" s="520" t="s">
        <v>71</v>
      </c>
      <c r="G30" s="544"/>
      <c r="H30" s="520" t="s">
        <v>476</v>
      </c>
      <c r="I30" s="544" t="s">
        <v>488</v>
      </c>
      <c r="J30" s="544" t="s">
        <v>486</v>
      </c>
      <c r="K30" s="544" t="s">
        <v>23</v>
      </c>
      <c r="L30" s="544">
        <f t="shared" si="4"/>
        <v>4</v>
      </c>
      <c r="M30" s="544" t="str">
        <f t="shared" si="3"/>
        <v>Same broad habitat or a higher distinctiveness habitat required (≥)</v>
      </c>
      <c r="N30" s="544" t="s">
        <v>156</v>
      </c>
      <c r="O30" s="544">
        <f t="shared" si="1"/>
        <v>1</v>
      </c>
      <c r="P30" s="544" t="s">
        <v>156</v>
      </c>
      <c r="Q30" s="544">
        <f t="shared" si="2"/>
        <v>1</v>
      </c>
      <c r="R30" s="520"/>
      <c r="S30" s="544"/>
    </row>
    <row r="31" spans="1:19" x14ac:dyDescent="0.25">
      <c r="A31" s="216" t="s">
        <v>489</v>
      </c>
      <c r="B31" s="119" t="s">
        <v>490</v>
      </c>
      <c r="C31" s="544" t="s">
        <v>491</v>
      </c>
      <c r="D31" s="544" t="s">
        <v>372</v>
      </c>
      <c r="E31" s="544" t="s">
        <v>492</v>
      </c>
      <c r="F31" s="520" t="s">
        <v>71</v>
      </c>
      <c r="G31" s="544" t="s">
        <v>493</v>
      </c>
      <c r="H31" s="520" t="s">
        <v>494</v>
      </c>
      <c r="I31" s="544" t="s">
        <v>491</v>
      </c>
      <c r="J31" s="572" t="s">
        <v>489</v>
      </c>
      <c r="K31" s="544" t="s">
        <v>153</v>
      </c>
      <c r="L31" s="544">
        <f t="shared" si="4"/>
        <v>6</v>
      </c>
      <c r="M31" s="544" t="str">
        <f t="shared" si="3"/>
        <v>Same habitat required =</v>
      </c>
      <c r="N31" s="544" t="s">
        <v>153</v>
      </c>
      <c r="O31" s="544">
        <f t="shared" si="1"/>
        <v>0.33</v>
      </c>
      <c r="P31" s="544" t="s">
        <v>23</v>
      </c>
      <c r="Q31" s="544">
        <f t="shared" si="2"/>
        <v>0.67</v>
      </c>
      <c r="R31" s="520"/>
      <c r="S31" s="544"/>
    </row>
    <row r="32" spans="1:19" ht="27.6" x14ac:dyDescent="0.25">
      <c r="A32" s="216" t="s">
        <v>495</v>
      </c>
      <c r="B32" s="119" t="s">
        <v>496</v>
      </c>
      <c r="C32" s="544" t="s">
        <v>497</v>
      </c>
      <c r="D32" s="544" t="s">
        <v>372</v>
      </c>
      <c r="E32" s="544"/>
      <c r="F32" s="520" t="s">
        <v>71</v>
      </c>
      <c r="G32" s="544"/>
      <c r="H32" s="520" t="s">
        <v>476</v>
      </c>
      <c r="I32" s="544" t="s">
        <v>497</v>
      </c>
      <c r="J32" s="544" t="s">
        <v>495</v>
      </c>
      <c r="K32" s="544" t="s">
        <v>23</v>
      </c>
      <c r="L32" s="544">
        <f t="shared" si="4"/>
        <v>4</v>
      </c>
      <c r="M32" s="544" t="str">
        <f t="shared" si="3"/>
        <v>Same broad habitat or a higher distinctiveness habitat required (≥)</v>
      </c>
      <c r="N32" s="544" t="s">
        <v>156</v>
      </c>
      <c r="O32" s="544">
        <f t="shared" si="1"/>
        <v>1</v>
      </c>
      <c r="P32" s="544" t="s">
        <v>156</v>
      </c>
      <c r="Q32" s="544">
        <f t="shared" si="2"/>
        <v>1</v>
      </c>
      <c r="R32" s="520" t="s">
        <v>498</v>
      </c>
      <c r="S32" s="544"/>
    </row>
    <row r="33" spans="1:19" x14ac:dyDescent="0.25">
      <c r="A33" s="216" t="s">
        <v>499</v>
      </c>
      <c r="B33" s="119" t="s">
        <v>500</v>
      </c>
      <c r="C33" s="544" t="s">
        <v>501</v>
      </c>
      <c r="D33" s="544" t="s">
        <v>372</v>
      </c>
      <c r="E33" s="544"/>
      <c r="F33" s="520" t="s">
        <v>71</v>
      </c>
      <c r="G33" s="544"/>
      <c r="H33" s="520" t="s">
        <v>494</v>
      </c>
      <c r="I33" s="544" t="s">
        <v>501</v>
      </c>
      <c r="J33" s="572" t="s">
        <v>499</v>
      </c>
      <c r="K33" s="544" t="s">
        <v>375</v>
      </c>
      <c r="L33" s="544">
        <f t="shared" si="4"/>
        <v>8</v>
      </c>
      <c r="M33" s="544" t="str">
        <f t="shared" si="3"/>
        <v>Bespoke compensation likely to be required 🛠</v>
      </c>
      <c r="N33" s="544" t="s">
        <v>153</v>
      </c>
      <c r="O33" s="544">
        <f t="shared" si="1"/>
        <v>0.33</v>
      </c>
      <c r="P33" s="544" t="s">
        <v>153</v>
      </c>
      <c r="Q33" s="544">
        <f t="shared" si="2"/>
        <v>0.33</v>
      </c>
      <c r="R33" s="520"/>
      <c r="S33" s="544"/>
    </row>
    <row r="34" spans="1:19" x14ac:dyDescent="0.25">
      <c r="A34" s="216" t="s">
        <v>502</v>
      </c>
      <c r="B34" s="119" t="s">
        <v>503</v>
      </c>
      <c r="C34" s="544" t="s">
        <v>504</v>
      </c>
      <c r="D34" s="544" t="s">
        <v>372</v>
      </c>
      <c r="E34" s="544"/>
      <c r="F34" s="520" t="s">
        <v>71</v>
      </c>
      <c r="G34" s="544"/>
      <c r="H34" s="520" t="s">
        <v>476</v>
      </c>
      <c r="I34" s="544" t="s">
        <v>504</v>
      </c>
      <c r="J34" s="544" t="s">
        <v>502</v>
      </c>
      <c r="K34" s="544" t="s">
        <v>156</v>
      </c>
      <c r="L34" s="544">
        <f t="shared" si="4"/>
        <v>2</v>
      </c>
      <c r="M34" s="544" t="str">
        <f t="shared" si="3"/>
        <v>Same distinctiveness or better habitat required ≥</v>
      </c>
      <c r="N34" s="544" t="s">
        <v>156</v>
      </c>
      <c r="O34" s="544">
        <f t="shared" ref="O34:O64" si="5">VLOOKUP(N34,Difficulty,2,FALSE)</f>
        <v>1</v>
      </c>
      <c r="P34" s="544" t="s">
        <v>156</v>
      </c>
      <c r="Q34" s="544">
        <f t="shared" ref="Q34:Q64" si="6">VLOOKUP(P34,Difficulty,2,FALSE)</f>
        <v>1</v>
      </c>
      <c r="R34" s="520"/>
      <c r="S34" s="544"/>
    </row>
    <row r="35" spans="1:19" x14ac:dyDescent="0.25">
      <c r="A35" s="216" t="s">
        <v>505</v>
      </c>
      <c r="B35" s="119" t="s">
        <v>506</v>
      </c>
      <c r="C35" s="544" t="s">
        <v>507</v>
      </c>
      <c r="D35" s="544" t="s">
        <v>372</v>
      </c>
      <c r="E35" s="544"/>
      <c r="F35" s="520" t="s">
        <v>71</v>
      </c>
      <c r="G35" s="544"/>
      <c r="H35" s="520" t="s">
        <v>476</v>
      </c>
      <c r="I35" s="544" t="s">
        <v>508</v>
      </c>
      <c r="J35" s="544" t="s">
        <v>509</v>
      </c>
      <c r="K35" s="544" t="s">
        <v>153</v>
      </c>
      <c r="L35" s="544">
        <f t="shared" si="4"/>
        <v>6</v>
      </c>
      <c r="M35" s="544" t="str">
        <f t="shared" si="3"/>
        <v>Same habitat required =</v>
      </c>
      <c r="N35" s="544" t="s">
        <v>23</v>
      </c>
      <c r="O35" s="544">
        <f t="shared" si="5"/>
        <v>0.67</v>
      </c>
      <c r="P35" s="544" t="s">
        <v>156</v>
      </c>
      <c r="Q35" s="544">
        <f t="shared" si="6"/>
        <v>1</v>
      </c>
      <c r="R35" s="520"/>
      <c r="S35" s="544"/>
    </row>
    <row r="36" spans="1:19" x14ac:dyDescent="0.25">
      <c r="A36" s="216" t="s">
        <v>510</v>
      </c>
      <c r="B36" s="119" t="s">
        <v>511</v>
      </c>
      <c r="C36" s="544" t="s">
        <v>512</v>
      </c>
      <c r="D36" s="544" t="s">
        <v>372</v>
      </c>
      <c r="E36" s="544"/>
      <c r="F36" s="520" t="s">
        <v>71</v>
      </c>
      <c r="G36" s="544"/>
      <c r="H36" s="520" t="s">
        <v>476</v>
      </c>
      <c r="I36" s="544" t="s">
        <v>508</v>
      </c>
      <c r="J36" s="544" t="s">
        <v>513</v>
      </c>
      <c r="K36" s="544" t="s">
        <v>156</v>
      </c>
      <c r="L36" s="544">
        <f t="shared" ref="L36" si="7">IF(K36=$V$3,$W$3,IF(K36=$V$3,$W$3,IF(K36=$V$4,$W$4,IF(K36=$V$5,$W$5,IF(K36=$V$6,$W$6,IF(K36=$V$7,$W$7))))))</f>
        <v>2</v>
      </c>
      <c r="M36" s="544" t="str">
        <f t="shared" si="3"/>
        <v>Same distinctiveness or better habitat required ≥</v>
      </c>
      <c r="N36" s="544" t="s">
        <v>156</v>
      </c>
      <c r="O36" s="544">
        <f t="shared" si="5"/>
        <v>1</v>
      </c>
      <c r="P36" s="544" t="s">
        <v>156</v>
      </c>
      <c r="Q36" s="544">
        <f t="shared" si="6"/>
        <v>1</v>
      </c>
      <c r="R36" s="520"/>
      <c r="S36" s="544"/>
    </row>
    <row r="37" spans="1:19" ht="14.4" thickBot="1" x14ac:dyDescent="0.3">
      <c r="A37" s="216" t="s">
        <v>514</v>
      </c>
      <c r="B37" s="218" t="s">
        <v>515</v>
      </c>
      <c r="C37" s="526" t="s">
        <v>516</v>
      </c>
      <c r="D37" s="526" t="s">
        <v>372</v>
      </c>
      <c r="E37" s="526"/>
      <c r="F37" s="508" t="s">
        <v>71</v>
      </c>
      <c r="G37" s="526"/>
      <c r="H37" s="508" t="s">
        <v>494</v>
      </c>
      <c r="I37" s="526" t="s">
        <v>516</v>
      </c>
      <c r="J37" s="575" t="s">
        <v>514</v>
      </c>
      <c r="K37" s="526" t="s">
        <v>153</v>
      </c>
      <c r="L37" s="526">
        <f t="shared" si="4"/>
        <v>6</v>
      </c>
      <c r="M37" s="526" t="str">
        <f t="shared" si="3"/>
        <v>Same habitat required =</v>
      </c>
      <c r="N37" s="526" t="s">
        <v>23</v>
      </c>
      <c r="O37" s="526">
        <f t="shared" si="5"/>
        <v>0.67</v>
      </c>
      <c r="P37" s="526" t="s">
        <v>23</v>
      </c>
      <c r="Q37" s="526">
        <f t="shared" si="6"/>
        <v>0.67</v>
      </c>
      <c r="R37" s="508"/>
      <c r="S37" s="526"/>
    </row>
    <row r="38" spans="1:19" x14ac:dyDescent="0.25">
      <c r="A38" s="216" t="s">
        <v>517</v>
      </c>
      <c r="B38" s="219" t="s">
        <v>518</v>
      </c>
      <c r="C38" s="521" t="s">
        <v>519</v>
      </c>
      <c r="D38" s="521" t="s">
        <v>520</v>
      </c>
      <c r="E38" s="521"/>
      <c r="F38" s="507" t="s">
        <v>72</v>
      </c>
      <c r="G38" s="521"/>
      <c r="H38" s="507" t="s">
        <v>521</v>
      </c>
      <c r="I38" s="521" t="s">
        <v>519</v>
      </c>
      <c r="J38" s="576" t="s">
        <v>517</v>
      </c>
      <c r="K38" s="521" t="s">
        <v>375</v>
      </c>
      <c r="L38" s="521">
        <f t="shared" si="4"/>
        <v>8</v>
      </c>
      <c r="M38" s="521" t="str">
        <f t="shared" si="3"/>
        <v>Bespoke compensation likely to be required 🛠</v>
      </c>
      <c r="N38" s="521" t="s">
        <v>151</v>
      </c>
      <c r="O38" s="521">
        <f t="shared" si="5"/>
        <v>0.1</v>
      </c>
      <c r="P38" s="521" t="s">
        <v>153</v>
      </c>
      <c r="Q38" s="521">
        <f t="shared" si="6"/>
        <v>0.33</v>
      </c>
      <c r="R38" s="507"/>
      <c r="S38" s="521"/>
    </row>
    <row r="39" spans="1:19" x14ac:dyDescent="0.25">
      <c r="A39" s="216" t="s">
        <v>522</v>
      </c>
      <c r="B39" s="119" t="s">
        <v>523</v>
      </c>
      <c r="C39" s="544">
        <v>362</v>
      </c>
      <c r="D39" s="544" t="s">
        <v>372</v>
      </c>
      <c r="E39" s="544"/>
      <c r="F39" s="520" t="s">
        <v>74</v>
      </c>
      <c r="G39" s="544"/>
      <c r="H39" s="520" t="s">
        <v>524</v>
      </c>
      <c r="I39" s="544"/>
      <c r="J39" s="544" t="s">
        <v>522</v>
      </c>
      <c r="K39" s="544" t="s">
        <v>156</v>
      </c>
      <c r="L39" s="544">
        <f>IF(K39=$V$3,$W$3,IF(K39=$V$3,$W$3,IF(K39=$V$4,$W$4,IF(K39=$V$5,$W$5,IF(K39=$V$6,$W$6,IF(K39=$V$7,$W$7))))))</f>
        <v>2</v>
      </c>
      <c r="M39" s="544" t="str">
        <f>IF($K39=$V$3,$X$3,IF($K39=$V$4,$X$4,IF($K39=$V$5,$X$5,IF($K39=$V$6,$X$6,IF($K39=$V$7,$X$7)))))</f>
        <v>Same distinctiveness or better habitat required ≥</v>
      </c>
      <c r="N39" s="544" t="s">
        <v>156</v>
      </c>
      <c r="O39" s="544">
        <f>VLOOKUP(N39,Difficulty,2,FALSE)</f>
        <v>1</v>
      </c>
      <c r="P39" s="544" t="s">
        <v>153</v>
      </c>
      <c r="Q39" s="544">
        <f>VLOOKUP(P39,Difficulty,2,FALSE)</f>
        <v>0.33</v>
      </c>
      <c r="R39" s="520"/>
      <c r="S39" s="544"/>
    </row>
    <row r="40" spans="1:19" x14ac:dyDescent="0.25">
      <c r="A40" s="216" t="s">
        <v>525</v>
      </c>
      <c r="B40" s="119" t="s">
        <v>526</v>
      </c>
      <c r="C40" s="544" t="s">
        <v>527</v>
      </c>
      <c r="D40" s="544" t="s">
        <v>520</v>
      </c>
      <c r="E40" s="544"/>
      <c r="F40" s="520" t="s">
        <v>72</v>
      </c>
      <c r="G40" s="544"/>
      <c r="H40" s="520" t="s">
        <v>521</v>
      </c>
      <c r="I40" s="544"/>
      <c r="J40" s="572"/>
      <c r="K40" s="544" t="s">
        <v>153</v>
      </c>
      <c r="L40" s="544">
        <f t="shared" ref="L40:L45" si="8">IF(K40=$V$3,$W$3,IF(K40=$V$3,$W$3,IF(K40=$V$4,$W$4,IF(K40=$V$5,$W$5,IF(K40=$V$6,$W$6,IF(K40=$V$7,$W$7))))))</f>
        <v>6</v>
      </c>
      <c r="M40" s="544" t="str">
        <f t="shared" si="3"/>
        <v>Same habitat required =</v>
      </c>
      <c r="N40" s="544" t="s">
        <v>153</v>
      </c>
      <c r="O40" s="544">
        <f t="shared" si="5"/>
        <v>0.33</v>
      </c>
      <c r="P40" s="544" t="s">
        <v>153</v>
      </c>
      <c r="Q40" s="544">
        <f t="shared" si="6"/>
        <v>0.33</v>
      </c>
      <c r="R40" s="520"/>
      <c r="S40" s="544"/>
    </row>
    <row r="41" spans="1:19" x14ac:dyDescent="0.25">
      <c r="A41" s="216" t="s">
        <v>528</v>
      </c>
      <c r="B41" s="119" t="s">
        <v>529</v>
      </c>
      <c r="C41" s="544" t="s">
        <v>530</v>
      </c>
      <c r="D41" s="544" t="s">
        <v>520</v>
      </c>
      <c r="E41" s="544"/>
      <c r="F41" s="520" t="s">
        <v>72</v>
      </c>
      <c r="G41" s="544"/>
      <c r="H41" s="520" t="s">
        <v>521</v>
      </c>
      <c r="I41" s="544"/>
      <c r="J41" s="572"/>
      <c r="K41" s="544" t="s">
        <v>153</v>
      </c>
      <c r="L41" s="544">
        <f t="shared" si="8"/>
        <v>6</v>
      </c>
      <c r="M41" s="544" t="str">
        <f t="shared" si="3"/>
        <v>Same habitat required =</v>
      </c>
      <c r="N41" s="544" t="s">
        <v>153</v>
      </c>
      <c r="O41" s="544">
        <f t="shared" si="5"/>
        <v>0.33</v>
      </c>
      <c r="P41" s="544" t="s">
        <v>23</v>
      </c>
      <c r="Q41" s="544">
        <f t="shared" si="6"/>
        <v>0.67</v>
      </c>
      <c r="R41" s="520"/>
      <c r="S41" s="544"/>
    </row>
    <row r="42" spans="1:19" x14ac:dyDescent="0.25">
      <c r="A42" s="216" t="s">
        <v>531</v>
      </c>
      <c r="B42" s="119" t="s">
        <v>532</v>
      </c>
      <c r="C42" s="544" t="s">
        <v>533</v>
      </c>
      <c r="D42" s="544" t="s">
        <v>520</v>
      </c>
      <c r="E42" s="544"/>
      <c r="F42" s="520" t="s">
        <v>72</v>
      </c>
      <c r="G42" s="544"/>
      <c r="H42" s="520" t="s">
        <v>521</v>
      </c>
      <c r="I42" s="544"/>
      <c r="J42" s="572"/>
      <c r="K42" s="544" t="s">
        <v>153</v>
      </c>
      <c r="L42" s="544">
        <f t="shared" si="8"/>
        <v>6</v>
      </c>
      <c r="M42" s="544" t="str">
        <f t="shared" si="3"/>
        <v>Same habitat required =</v>
      </c>
      <c r="N42" s="544" t="s">
        <v>153</v>
      </c>
      <c r="O42" s="544">
        <f t="shared" si="5"/>
        <v>0.33</v>
      </c>
      <c r="P42" s="544" t="s">
        <v>153</v>
      </c>
      <c r="Q42" s="544">
        <f t="shared" si="6"/>
        <v>0.33</v>
      </c>
      <c r="R42" s="520"/>
      <c r="S42" s="544"/>
    </row>
    <row r="43" spans="1:19" x14ac:dyDescent="0.25">
      <c r="A43" s="216" t="s">
        <v>534</v>
      </c>
      <c r="B43" s="119" t="s">
        <v>535</v>
      </c>
      <c r="C43" s="544" t="s">
        <v>536</v>
      </c>
      <c r="D43" s="544" t="s">
        <v>520</v>
      </c>
      <c r="E43" s="544"/>
      <c r="F43" s="520" t="s">
        <v>72</v>
      </c>
      <c r="G43" s="544"/>
      <c r="H43" s="520" t="s">
        <v>521</v>
      </c>
      <c r="I43" s="544"/>
      <c r="J43" s="572"/>
      <c r="K43" s="544" t="s">
        <v>153</v>
      </c>
      <c r="L43" s="544">
        <f t="shared" si="8"/>
        <v>6</v>
      </c>
      <c r="M43" s="544" t="str">
        <f t="shared" si="3"/>
        <v>Same habitat required =</v>
      </c>
      <c r="N43" s="544" t="s">
        <v>153</v>
      </c>
      <c r="O43" s="544">
        <f t="shared" si="5"/>
        <v>0.33</v>
      </c>
      <c r="P43" s="544" t="s">
        <v>153</v>
      </c>
      <c r="Q43" s="544">
        <f t="shared" si="6"/>
        <v>0.33</v>
      </c>
      <c r="R43" s="520"/>
      <c r="S43" s="544"/>
    </row>
    <row r="44" spans="1:19" x14ac:dyDescent="0.25">
      <c r="A44" s="216" t="s">
        <v>537</v>
      </c>
      <c r="B44" s="119" t="s">
        <v>538</v>
      </c>
      <c r="C44" s="544" t="s">
        <v>539</v>
      </c>
      <c r="D44" s="544" t="s">
        <v>520</v>
      </c>
      <c r="E44" s="544"/>
      <c r="F44" s="520" t="s">
        <v>72</v>
      </c>
      <c r="G44" s="544"/>
      <c r="H44" s="520" t="s">
        <v>521</v>
      </c>
      <c r="I44" s="544"/>
      <c r="J44" s="572"/>
      <c r="K44" s="544" t="s">
        <v>153</v>
      </c>
      <c r="L44" s="544">
        <f t="shared" si="8"/>
        <v>6</v>
      </c>
      <c r="M44" s="544" t="str">
        <f t="shared" si="3"/>
        <v>Same habitat required =</v>
      </c>
      <c r="N44" s="544" t="s">
        <v>153</v>
      </c>
      <c r="O44" s="544">
        <f t="shared" si="5"/>
        <v>0.33</v>
      </c>
      <c r="P44" s="544" t="s">
        <v>153</v>
      </c>
      <c r="Q44" s="544">
        <f t="shared" si="6"/>
        <v>0.33</v>
      </c>
      <c r="R44" s="520"/>
      <c r="S44" s="544"/>
    </row>
    <row r="45" spans="1:19" x14ac:dyDescent="0.25">
      <c r="A45" s="216" t="s">
        <v>540</v>
      </c>
      <c r="B45" s="119" t="s">
        <v>541</v>
      </c>
      <c r="C45" s="544" t="s">
        <v>542</v>
      </c>
      <c r="D45" s="544" t="s">
        <v>520</v>
      </c>
      <c r="E45" s="544"/>
      <c r="F45" s="520" t="s">
        <v>72</v>
      </c>
      <c r="G45" s="544"/>
      <c r="H45" s="520" t="s">
        <v>521</v>
      </c>
      <c r="I45" s="544"/>
      <c r="J45" s="572"/>
      <c r="K45" s="544" t="s">
        <v>153</v>
      </c>
      <c r="L45" s="544">
        <f t="shared" si="8"/>
        <v>6</v>
      </c>
      <c r="M45" s="544" t="str">
        <f t="shared" si="3"/>
        <v>Same habitat required =</v>
      </c>
      <c r="N45" s="544" t="s">
        <v>23</v>
      </c>
      <c r="O45" s="544">
        <f t="shared" si="5"/>
        <v>0.67</v>
      </c>
      <c r="P45" s="544" t="s">
        <v>23</v>
      </c>
      <c r="Q45" s="544">
        <f t="shared" si="6"/>
        <v>0.67</v>
      </c>
      <c r="R45" s="520"/>
      <c r="S45" s="544"/>
    </row>
    <row r="46" spans="1:19" x14ac:dyDescent="0.25">
      <c r="A46" s="216" t="s">
        <v>543</v>
      </c>
      <c r="B46" s="119" t="s">
        <v>544</v>
      </c>
      <c r="C46" s="544" t="s">
        <v>545</v>
      </c>
      <c r="D46" s="544" t="s">
        <v>520</v>
      </c>
      <c r="E46" s="544"/>
      <c r="F46" s="520" t="s">
        <v>72</v>
      </c>
      <c r="G46" s="544"/>
      <c r="H46" s="520" t="s">
        <v>521</v>
      </c>
      <c r="I46" s="544" t="s">
        <v>546</v>
      </c>
      <c r="J46" s="572"/>
      <c r="K46" s="544" t="s">
        <v>23</v>
      </c>
      <c r="L46" s="544">
        <f t="shared" si="4"/>
        <v>4</v>
      </c>
      <c r="M46" s="544" t="str">
        <f t="shared" si="3"/>
        <v>Same broad habitat or a higher distinctiveness habitat required (≥)</v>
      </c>
      <c r="N46" s="544" t="s">
        <v>156</v>
      </c>
      <c r="O46" s="544">
        <f t="shared" si="5"/>
        <v>1</v>
      </c>
      <c r="P46" s="544" t="s">
        <v>23</v>
      </c>
      <c r="Q46" s="544">
        <f t="shared" si="6"/>
        <v>0.67</v>
      </c>
      <c r="R46" s="520"/>
      <c r="S46" s="544"/>
    </row>
    <row r="47" spans="1:19" x14ac:dyDescent="0.25">
      <c r="A47" s="216" t="s">
        <v>547</v>
      </c>
      <c r="B47" s="119" t="s">
        <v>548</v>
      </c>
      <c r="C47" s="544">
        <v>108</v>
      </c>
      <c r="D47" s="544" t="s">
        <v>520</v>
      </c>
      <c r="E47" s="544"/>
      <c r="F47" s="520" t="s">
        <v>72</v>
      </c>
      <c r="G47" s="544"/>
      <c r="H47" s="520" t="s">
        <v>521</v>
      </c>
      <c r="I47" s="544"/>
      <c r="J47" s="544"/>
      <c r="K47" s="544" t="s">
        <v>23</v>
      </c>
      <c r="L47" s="544">
        <f t="shared" si="4"/>
        <v>4</v>
      </c>
      <c r="M47" s="544" t="str">
        <f t="shared" si="3"/>
        <v>Same broad habitat or a higher distinctiveness habitat required (≥)</v>
      </c>
      <c r="N47" s="544" t="s">
        <v>23</v>
      </c>
      <c r="O47" s="544">
        <f t="shared" si="5"/>
        <v>0.67</v>
      </c>
      <c r="P47" s="544" t="s">
        <v>23</v>
      </c>
      <c r="Q47" s="544">
        <f t="shared" si="6"/>
        <v>0.67</v>
      </c>
      <c r="R47" s="520"/>
      <c r="S47" s="544"/>
    </row>
    <row r="48" spans="1:19" ht="14.4" thickBot="1" x14ac:dyDescent="0.3">
      <c r="A48" s="216" t="s">
        <v>549</v>
      </c>
      <c r="B48" s="218" t="s">
        <v>550</v>
      </c>
      <c r="C48" s="544" t="s">
        <v>551</v>
      </c>
      <c r="D48" s="526" t="s">
        <v>520</v>
      </c>
      <c r="E48" s="526"/>
      <c r="F48" s="508" t="s">
        <v>72</v>
      </c>
      <c r="G48" s="526"/>
      <c r="H48" s="508" t="s">
        <v>521</v>
      </c>
      <c r="I48" s="526" t="s">
        <v>552</v>
      </c>
      <c r="J48" s="575"/>
      <c r="K48" s="526" t="s">
        <v>153</v>
      </c>
      <c r="L48" s="526">
        <f t="shared" si="4"/>
        <v>6</v>
      </c>
      <c r="M48" s="526" t="str">
        <f t="shared" si="3"/>
        <v>Same habitat required =</v>
      </c>
      <c r="N48" s="526" t="s">
        <v>23</v>
      </c>
      <c r="O48" s="526">
        <f t="shared" si="5"/>
        <v>0.67</v>
      </c>
      <c r="P48" s="526" t="s">
        <v>23</v>
      </c>
      <c r="Q48" s="526">
        <f t="shared" si="6"/>
        <v>0.67</v>
      </c>
      <c r="R48" s="508"/>
      <c r="S48" s="526"/>
    </row>
    <row r="49" spans="1:19" x14ac:dyDescent="0.25">
      <c r="A49" s="216" t="s">
        <v>553</v>
      </c>
      <c r="B49" s="219" t="s">
        <v>554</v>
      </c>
      <c r="C49" s="521" t="s">
        <v>555</v>
      </c>
      <c r="D49" s="521" t="s">
        <v>520</v>
      </c>
      <c r="E49" s="521"/>
      <c r="F49" s="507" t="s">
        <v>73</v>
      </c>
      <c r="G49" s="521"/>
      <c r="H49" s="507" t="s">
        <v>556</v>
      </c>
      <c r="I49" s="521"/>
      <c r="J49" s="576" t="s">
        <v>553</v>
      </c>
      <c r="K49" s="521" t="s">
        <v>375</v>
      </c>
      <c r="L49" s="521">
        <f t="shared" ref="L49:L76" si="9">IF(K49=$V$3,$W$3,IF(K49=$V$3,$W$3,IF(K49=$V$4,$W$4,IF(K49=$V$5,$W$5,IF(K49=$V$6,$W$6,IF(K49=$V$7,$W$7))))))</f>
        <v>8</v>
      </c>
      <c r="M49" s="521" t="str">
        <f t="shared" si="3"/>
        <v>Bespoke compensation likely to be required 🛠</v>
      </c>
      <c r="N49" s="521" t="s">
        <v>151</v>
      </c>
      <c r="O49" s="521">
        <f t="shared" si="5"/>
        <v>0.1</v>
      </c>
      <c r="P49" s="521" t="s">
        <v>23</v>
      </c>
      <c r="Q49" s="521">
        <f t="shared" si="6"/>
        <v>0.67</v>
      </c>
      <c r="R49" s="507"/>
      <c r="S49" s="521"/>
    </row>
    <row r="50" spans="1:19" x14ac:dyDescent="0.25">
      <c r="A50" s="216" t="s">
        <v>557</v>
      </c>
      <c r="B50" s="119" t="s">
        <v>558</v>
      </c>
      <c r="C50" s="544" t="s">
        <v>559</v>
      </c>
      <c r="D50" s="544" t="s">
        <v>520</v>
      </c>
      <c r="E50" s="544"/>
      <c r="F50" s="520" t="s">
        <v>73</v>
      </c>
      <c r="G50" s="544"/>
      <c r="H50" s="520" t="s">
        <v>560</v>
      </c>
      <c r="I50" s="544"/>
      <c r="J50" s="544"/>
      <c r="K50" s="544" t="s">
        <v>153</v>
      </c>
      <c r="L50" s="544">
        <f t="shared" si="9"/>
        <v>6</v>
      </c>
      <c r="M50" s="544" t="str">
        <f t="shared" si="3"/>
        <v>Same habitat required =</v>
      </c>
      <c r="N50" s="544" t="s">
        <v>151</v>
      </c>
      <c r="O50" s="544">
        <f t="shared" si="5"/>
        <v>0.1</v>
      </c>
      <c r="P50" s="544" t="s">
        <v>23</v>
      </c>
      <c r="Q50" s="544">
        <f t="shared" si="6"/>
        <v>0.67</v>
      </c>
      <c r="R50" s="520"/>
      <c r="S50" s="544"/>
    </row>
    <row r="51" spans="1:19" x14ac:dyDescent="0.25">
      <c r="A51" s="216" t="s">
        <v>561</v>
      </c>
      <c r="B51" s="119" t="s">
        <v>562</v>
      </c>
      <c r="C51" s="544" t="s">
        <v>563</v>
      </c>
      <c r="D51" s="544" t="s">
        <v>372</v>
      </c>
      <c r="E51" s="544"/>
      <c r="F51" s="520" t="s">
        <v>73</v>
      </c>
      <c r="G51" s="544"/>
      <c r="H51" s="520" t="s">
        <v>560</v>
      </c>
      <c r="I51" s="544" t="s">
        <v>555</v>
      </c>
      <c r="J51" s="572"/>
      <c r="K51" s="544" t="s">
        <v>153</v>
      </c>
      <c r="L51" s="544">
        <f t="shared" si="9"/>
        <v>6</v>
      </c>
      <c r="M51" s="544" t="str">
        <f t="shared" si="3"/>
        <v>Same habitat required =</v>
      </c>
      <c r="N51" s="544" t="s">
        <v>151</v>
      </c>
      <c r="O51" s="544">
        <f t="shared" si="5"/>
        <v>0.1</v>
      </c>
      <c r="P51" s="544" t="s">
        <v>23</v>
      </c>
      <c r="Q51" s="544">
        <f t="shared" si="6"/>
        <v>0.67</v>
      </c>
      <c r="R51" s="520"/>
      <c r="S51" s="544"/>
    </row>
    <row r="52" spans="1:19" x14ac:dyDescent="0.25">
      <c r="A52" s="216" t="s">
        <v>564</v>
      </c>
      <c r="B52" s="119" t="s">
        <v>565</v>
      </c>
      <c r="C52" s="544">
        <v>17</v>
      </c>
      <c r="D52" s="544" t="s">
        <v>372</v>
      </c>
      <c r="E52" s="544"/>
      <c r="F52" s="520" t="s">
        <v>73</v>
      </c>
      <c r="G52" s="544"/>
      <c r="H52" s="520"/>
      <c r="I52" s="544"/>
      <c r="J52" s="544" t="s">
        <v>566</v>
      </c>
      <c r="K52" s="544" t="s">
        <v>156</v>
      </c>
      <c r="L52" s="544">
        <f t="shared" si="9"/>
        <v>2</v>
      </c>
      <c r="M52" s="544" t="str">
        <f t="shared" si="3"/>
        <v>Same distinctiveness or better habitat required ≥</v>
      </c>
      <c r="N52" s="544" t="s">
        <v>156</v>
      </c>
      <c r="O52" s="544">
        <f t="shared" si="5"/>
        <v>1</v>
      </c>
      <c r="P52" s="544" t="s">
        <v>23</v>
      </c>
      <c r="Q52" s="544">
        <f t="shared" si="6"/>
        <v>0.67</v>
      </c>
      <c r="R52" s="520" t="s">
        <v>567</v>
      </c>
      <c r="S52" s="544"/>
    </row>
    <row r="53" spans="1:19" x14ac:dyDescent="0.25">
      <c r="A53" s="216" t="s">
        <v>568</v>
      </c>
      <c r="B53" s="119" t="s">
        <v>569</v>
      </c>
      <c r="C53" s="544" t="s">
        <v>570</v>
      </c>
      <c r="D53" s="544" t="s">
        <v>372</v>
      </c>
      <c r="E53" s="544" t="s">
        <v>571</v>
      </c>
      <c r="F53" s="520" t="s">
        <v>73</v>
      </c>
      <c r="G53" s="544" t="s">
        <v>572</v>
      </c>
      <c r="H53" s="520" t="s">
        <v>556</v>
      </c>
      <c r="I53" s="544" t="s">
        <v>570</v>
      </c>
      <c r="J53" s="572" t="s">
        <v>568</v>
      </c>
      <c r="K53" s="544" t="s">
        <v>153</v>
      </c>
      <c r="L53" s="544">
        <f t="shared" si="9"/>
        <v>6</v>
      </c>
      <c r="M53" s="544" t="str">
        <f t="shared" si="3"/>
        <v>Same habitat required =</v>
      </c>
      <c r="N53" s="544" t="s">
        <v>153</v>
      </c>
      <c r="O53" s="544">
        <f t="shared" si="5"/>
        <v>0.33</v>
      </c>
      <c r="P53" s="544" t="s">
        <v>156</v>
      </c>
      <c r="Q53" s="544">
        <f t="shared" si="6"/>
        <v>1</v>
      </c>
      <c r="R53" s="520"/>
      <c r="S53" s="544"/>
    </row>
    <row r="54" spans="1:19" x14ac:dyDescent="0.25">
      <c r="A54" s="216" t="s">
        <v>573</v>
      </c>
      <c r="B54" s="119" t="s">
        <v>574</v>
      </c>
      <c r="C54" s="544" t="s">
        <v>575</v>
      </c>
      <c r="D54" s="544" t="s">
        <v>372</v>
      </c>
      <c r="E54" s="544"/>
      <c r="F54" s="520" t="s">
        <v>73</v>
      </c>
      <c r="G54" s="544"/>
      <c r="H54" s="520" t="s">
        <v>556</v>
      </c>
      <c r="I54" s="544" t="s">
        <v>575</v>
      </c>
      <c r="J54" s="572" t="s">
        <v>573</v>
      </c>
      <c r="K54" s="544" t="s">
        <v>375</v>
      </c>
      <c r="L54" s="544">
        <f t="shared" si="9"/>
        <v>8</v>
      </c>
      <c r="M54" s="544" t="str">
        <f t="shared" si="3"/>
        <v>Bespoke compensation likely to be required 🛠</v>
      </c>
      <c r="N54" s="544" t="s">
        <v>151</v>
      </c>
      <c r="O54" s="544">
        <f t="shared" si="5"/>
        <v>0.1</v>
      </c>
      <c r="P54" s="544" t="s">
        <v>23</v>
      </c>
      <c r="Q54" s="544">
        <f t="shared" si="6"/>
        <v>0.67</v>
      </c>
      <c r="R54" s="520"/>
      <c r="S54" s="544"/>
    </row>
    <row r="55" spans="1:19" x14ac:dyDescent="0.25">
      <c r="A55" s="216" t="s">
        <v>576</v>
      </c>
      <c r="B55" s="119" t="s">
        <v>577</v>
      </c>
      <c r="C55" s="544" t="s">
        <v>578</v>
      </c>
      <c r="D55" s="544" t="s">
        <v>372</v>
      </c>
      <c r="E55" s="544"/>
      <c r="F55" s="520" t="s">
        <v>73</v>
      </c>
      <c r="G55" s="544" t="s">
        <v>579</v>
      </c>
      <c r="H55" s="520" t="s">
        <v>580</v>
      </c>
      <c r="I55" s="544" t="s">
        <v>578</v>
      </c>
      <c r="J55" s="572" t="s">
        <v>576</v>
      </c>
      <c r="K55" s="544" t="s">
        <v>153</v>
      </c>
      <c r="L55" s="544">
        <f t="shared" si="9"/>
        <v>6</v>
      </c>
      <c r="M55" s="544" t="str">
        <f t="shared" si="3"/>
        <v>Same habitat required =</v>
      </c>
      <c r="N55" s="544" t="s">
        <v>153</v>
      </c>
      <c r="O55" s="544">
        <f t="shared" si="5"/>
        <v>0.33</v>
      </c>
      <c r="P55" s="544" t="s">
        <v>23</v>
      </c>
      <c r="Q55" s="544">
        <f t="shared" si="6"/>
        <v>0.67</v>
      </c>
      <c r="R55" s="520"/>
      <c r="S55" s="544"/>
    </row>
    <row r="56" spans="1:19" ht="14.4" thickBot="1" x14ac:dyDescent="0.3">
      <c r="A56" s="216" t="s">
        <v>581</v>
      </c>
      <c r="B56" s="218" t="s">
        <v>582</v>
      </c>
      <c r="C56" s="526" t="s">
        <v>583</v>
      </c>
      <c r="D56" s="526" t="s">
        <v>372</v>
      </c>
      <c r="E56" s="526"/>
      <c r="F56" s="508" t="s">
        <v>73</v>
      </c>
      <c r="G56" s="526"/>
      <c r="H56" s="508" t="s">
        <v>556</v>
      </c>
      <c r="I56" s="526" t="s">
        <v>583</v>
      </c>
      <c r="J56" s="526" t="s">
        <v>581</v>
      </c>
      <c r="K56" s="526" t="s">
        <v>23</v>
      </c>
      <c r="L56" s="526">
        <f t="shared" si="9"/>
        <v>4</v>
      </c>
      <c r="M56" s="526" t="str">
        <f t="shared" si="3"/>
        <v>Same broad habitat or a higher distinctiveness habitat required (≥)</v>
      </c>
      <c r="N56" s="526" t="s">
        <v>23</v>
      </c>
      <c r="O56" s="526">
        <f t="shared" si="5"/>
        <v>0.67</v>
      </c>
      <c r="P56" s="526" t="s">
        <v>23</v>
      </c>
      <c r="Q56" s="526">
        <f t="shared" si="6"/>
        <v>0.67</v>
      </c>
      <c r="R56" s="508"/>
      <c r="S56" s="526"/>
    </row>
    <row r="57" spans="1:19" x14ac:dyDescent="0.25">
      <c r="A57" s="216" t="s">
        <v>584</v>
      </c>
      <c r="B57" s="219" t="s">
        <v>585</v>
      </c>
      <c r="C57" s="521">
        <v>910</v>
      </c>
      <c r="D57" s="521" t="s">
        <v>372</v>
      </c>
      <c r="E57" s="521"/>
      <c r="F57" s="507" t="s">
        <v>74</v>
      </c>
      <c r="G57" s="521"/>
      <c r="H57" s="507" t="s">
        <v>524</v>
      </c>
      <c r="I57" s="521"/>
      <c r="J57" s="521" t="s">
        <v>584</v>
      </c>
      <c r="K57" s="521" t="s">
        <v>156</v>
      </c>
      <c r="L57" s="521">
        <f t="shared" si="9"/>
        <v>2</v>
      </c>
      <c r="M57" s="521" t="str">
        <f t="shared" si="3"/>
        <v>Same distinctiveness or better habitat required ≥</v>
      </c>
      <c r="N57" s="521" t="s">
        <v>156</v>
      </c>
      <c r="O57" s="521">
        <f t="shared" si="5"/>
        <v>1</v>
      </c>
      <c r="P57" s="521" t="s">
        <v>156</v>
      </c>
      <c r="Q57" s="521">
        <f t="shared" si="6"/>
        <v>1</v>
      </c>
      <c r="R57" s="507"/>
      <c r="S57" s="521"/>
    </row>
    <row r="58" spans="1:19" x14ac:dyDescent="0.25">
      <c r="A58" s="216" t="s">
        <v>586</v>
      </c>
      <c r="B58" s="119" t="s">
        <v>587</v>
      </c>
      <c r="C58" s="544" t="s">
        <v>588</v>
      </c>
      <c r="D58" s="544" t="s">
        <v>372</v>
      </c>
      <c r="E58" s="544"/>
      <c r="F58" s="520" t="s">
        <v>74</v>
      </c>
      <c r="G58" s="544"/>
      <c r="H58" s="520" t="s">
        <v>524</v>
      </c>
      <c r="I58" s="544" t="s">
        <v>588</v>
      </c>
      <c r="J58" s="544" t="s">
        <v>586</v>
      </c>
      <c r="K58" s="544" t="s">
        <v>397</v>
      </c>
      <c r="L58" s="544">
        <f t="shared" si="9"/>
        <v>0</v>
      </c>
      <c r="M58" s="544" t="str">
        <f t="shared" si="3"/>
        <v>Compensation Not Required</v>
      </c>
      <c r="N58" s="544" t="s">
        <v>156</v>
      </c>
      <c r="O58" s="544">
        <f t="shared" si="5"/>
        <v>1</v>
      </c>
      <c r="P58" s="544" t="s">
        <v>156</v>
      </c>
      <c r="Q58" s="544">
        <f t="shared" si="6"/>
        <v>1</v>
      </c>
      <c r="R58" s="520"/>
      <c r="S58" s="544"/>
    </row>
    <row r="59" spans="1:19" x14ac:dyDescent="0.25">
      <c r="A59" s="216" t="s">
        <v>589</v>
      </c>
      <c r="B59" s="119" t="s">
        <v>590</v>
      </c>
      <c r="C59" s="544">
        <v>1191</v>
      </c>
      <c r="D59" s="544" t="s">
        <v>372</v>
      </c>
      <c r="E59" s="544"/>
      <c r="F59" s="520" t="s">
        <v>74</v>
      </c>
      <c r="G59" s="544"/>
      <c r="H59" s="520" t="s">
        <v>524</v>
      </c>
      <c r="I59" s="544"/>
      <c r="J59" s="544" t="s">
        <v>589</v>
      </c>
      <c r="K59" s="544" t="s">
        <v>156</v>
      </c>
      <c r="L59" s="544">
        <f t="shared" si="9"/>
        <v>2</v>
      </c>
      <c r="M59" s="544" t="str">
        <f t="shared" si="3"/>
        <v>Same distinctiveness or better habitat required ≥</v>
      </c>
      <c r="N59" s="544" t="s">
        <v>23</v>
      </c>
      <c r="O59" s="544">
        <f t="shared" si="5"/>
        <v>0.67</v>
      </c>
      <c r="P59" s="544" t="s">
        <v>156</v>
      </c>
      <c r="Q59" s="544">
        <f t="shared" si="6"/>
        <v>1</v>
      </c>
      <c r="R59" s="520"/>
      <c r="S59" s="544"/>
    </row>
    <row r="60" spans="1:19" x14ac:dyDescent="0.25">
      <c r="A60" s="216" t="s">
        <v>591</v>
      </c>
      <c r="B60" s="119" t="s">
        <v>592</v>
      </c>
      <c r="C60" s="544" t="s">
        <v>593</v>
      </c>
      <c r="D60" s="544" t="s">
        <v>372</v>
      </c>
      <c r="E60" s="544"/>
      <c r="F60" s="520" t="s">
        <v>74</v>
      </c>
      <c r="G60" s="544"/>
      <c r="H60" s="520" t="s">
        <v>524</v>
      </c>
      <c r="I60" s="544"/>
      <c r="J60" s="544"/>
      <c r="K60" s="544" t="s">
        <v>156</v>
      </c>
      <c r="L60" s="544">
        <f t="shared" si="9"/>
        <v>2</v>
      </c>
      <c r="M60" s="544" t="str">
        <f t="shared" si="3"/>
        <v>Same distinctiveness or better habitat required ≥</v>
      </c>
      <c r="N60" s="544" t="s">
        <v>156</v>
      </c>
      <c r="O60" s="544">
        <f t="shared" si="5"/>
        <v>1</v>
      </c>
      <c r="P60" s="544" t="s">
        <v>156</v>
      </c>
      <c r="Q60" s="544">
        <f t="shared" si="6"/>
        <v>1</v>
      </c>
      <c r="R60" s="520"/>
      <c r="S60" s="544"/>
    </row>
    <row r="61" spans="1:19" x14ac:dyDescent="0.25">
      <c r="A61" s="216" t="s">
        <v>594</v>
      </c>
      <c r="B61" s="119" t="s">
        <v>595</v>
      </c>
      <c r="C61" s="544" t="s">
        <v>596</v>
      </c>
      <c r="D61" s="544" t="s">
        <v>372</v>
      </c>
      <c r="E61" s="544"/>
      <c r="F61" s="520" t="s">
        <v>74</v>
      </c>
      <c r="G61" s="544"/>
      <c r="H61" s="520" t="s">
        <v>524</v>
      </c>
      <c r="I61" s="544" t="s">
        <v>596</v>
      </c>
      <c r="J61" s="544" t="s">
        <v>594</v>
      </c>
      <c r="K61" s="544" t="s">
        <v>397</v>
      </c>
      <c r="L61" s="544">
        <f t="shared" si="9"/>
        <v>0</v>
      </c>
      <c r="M61" s="544" t="str">
        <f t="shared" si="3"/>
        <v>Compensation Not Required</v>
      </c>
      <c r="N61" s="544" t="s">
        <v>156</v>
      </c>
      <c r="O61" s="544">
        <f t="shared" si="5"/>
        <v>1</v>
      </c>
      <c r="P61" s="544" t="s">
        <v>156</v>
      </c>
      <c r="Q61" s="544">
        <f t="shared" si="6"/>
        <v>1</v>
      </c>
      <c r="R61" s="520"/>
      <c r="S61" s="544"/>
    </row>
    <row r="62" spans="1:19" x14ac:dyDescent="0.25">
      <c r="A62" s="216" t="s">
        <v>597</v>
      </c>
      <c r="B62" s="119" t="s">
        <v>598</v>
      </c>
      <c r="C62" s="544">
        <v>800</v>
      </c>
      <c r="D62" s="544" t="s">
        <v>372</v>
      </c>
      <c r="E62" s="544"/>
      <c r="F62" s="520" t="s">
        <v>74</v>
      </c>
      <c r="G62" s="544"/>
      <c r="H62" s="520" t="s">
        <v>524</v>
      </c>
      <c r="I62" s="544"/>
      <c r="J62" s="544" t="s">
        <v>597</v>
      </c>
      <c r="K62" s="544" t="s">
        <v>23</v>
      </c>
      <c r="L62" s="544">
        <f t="shared" si="9"/>
        <v>4</v>
      </c>
      <c r="M62" s="544" t="str">
        <f t="shared" si="3"/>
        <v>Same broad habitat or a higher distinctiveness habitat required (≥)</v>
      </c>
      <c r="N62" s="544" t="s">
        <v>23</v>
      </c>
      <c r="O62" s="544">
        <f t="shared" si="5"/>
        <v>0.67</v>
      </c>
      <c r="P62" s="544" t="s">
        <v>156</v>
      </c>
      <c r="Q62" s="544">
        <f t="shared" si="6"/>
        <v>1</v>
      </c>
      <c r="R62" s="520"/>
      <c r="S62" s="544"/>
    </row>
    <row r="63" spans="1:19" x14ac:dyDescent="0.25">
      <c r="A63" s="216" t="s">
        <v>599</v>
      </c>
      <c r="B63" s="119" t="s">
        <v>600</v>
      </c>
      <c r="C63" s="544" t="s">
        <v>601</v>
      </c>
      <c r="D63" s="544" t="s">
        <v>372</v>
      </c>
      <c r="E63" s="544"/>
      <c r="F63" s="520" t="s">
        <v>74</v>
      </c>
      <c r="G63" s="544"/>
      <c r="H63" s="520" t="s">
        <v>524</v>
      </c>
      <c r="I63" s="544" t="s">
        <v>601</v>
      </c>
      <c r="J63" s="544" t="s">
        <v>599</v>
      </c>
      <c r="K63" s="544" t="s">
        <v>397</v>
      </c>
      <c r="L63" s="544">
        <f t="shared" si="9"/>
        <v>0</v>
      </c>
      <c r="M63" s="544" t="str">
        <f t="shared" si="3"/>
        <v>Compensation Not Required</v>
      </c>
      <c r="N63" s="544" t="s">
        <v>156</v>
      </c>
      <c r="O63" s="544">
        <f t="shared" si="5"/>
        <v>1</v>
      </c>
      <c r="P63" s="544" t="s">
        <v>23</v>
      </c>
      <c r="Q63" s="544">
        <f t="shared" si="6"/>
        <v>0.67</v>
      </c>
      <c r="R63" s="520"/>
      <c r="S63" s="544"/>
    </row>
    <row r="64" spans="1:19" x14ac:dyDescent="0.25">
      <c r="A64" s="216" t="s">
        <v>602</v>
      </c>
      <c r="B64" s="119" t="s">
        <v>603</v>
      </c>
      <c r="C64" s="544" t="s">
        <v>604</v>
      </c>
      <c r="D64" s="544" t="s">
        <v>372</v>
      </c>
      <c r="E64" s="544"/>
      <c r="F64" s="520" t="s">
        <v>74</v>
      </c>
      <c r="G64" s="544"/>
      <c r="H64" s="520" t="s">
        <v>524</v>
      </c>
      <c r="I64" s="544"/>
      <c r="J64" s="544"/>
      <c r="K64" s="544" t="s">
        <v>156</v>
      </c>
      <c r="L64" s="544">
        <f t="shared" si="9"/>
        <v>2</v>
      </c>
      <c r="M64" s="544" t="str">
        <f t="shared" si="3"/>
        <v>Same distinctiveness or better habitat required ≥</v>
      </c>
      <c r="N64" s="544" t="s">
        <v>156</v>
      </c>
      <c r="O64" s="544">
        <f t="shared" si="5"/>
        <v>1</v>
      </c>
      <c r="P64" s="544" t="s">
        <v>156</v>
      </c>
      <c r="Q64" s="544">
        <f t="shared" si="6"/>
        <v>1</v>
      </c>
      <c r="R64" s="520"/>
      <c r="S64" s="544"/>
    </row>
    <row r="65" spans="1:19" x14ac:dyDescent="0.25">
      <c r="A65" s="216" t="s">
        <v>605</v>
      </c>
      <c r="B65" s="119" t="s">
        <v>606</v>
      </c>
      <c r="C65" s="544">
        <v>1122</v>
      </c>
      <c r="D65" s="544" t="s">
        <v>372</v>
      </c>
      <c r="E65" s="544"/>
      <c r="F65" s="520" t="s">
        <v>74</v>
      </c>
      <c r="G65" s="544"/>
      <c r="H65" s="520" t="s">
        <v>524</v>
      </c>
      <c r="I65" s="544"/>
      <c r="J65" s="544" t="s">
        <v>607</v>
      </c>
      <c r="K65" s="544" t="s">
        <v>156</v>
      </c>
      <c r="L65" s="544">
        <f t="shared" si="9"/>
        <v>2</v>
      </c>
      <c r="M65" s="544" t="str">
        <f t="shared" si="3"/>
        <v>Same distinctiveness or better habitat required ≥</v>
      </c>
      <c r="N65" s="544" t="s">
        <v>23</v>
      </c>
      <c r="O65" s="544">
        <f t="shared" ref="O65:O92" si="10">VLOOKUP(N65,Difficulty,2,FALSE)</f>
        <v>0.67</v>
      </c>
      <c r="P65" s="544" t="s">
        <v>23</v>
      </c>
      <c r="Q65" s="544">
        <f t="shared" ref="Q65:Q92" si="11">VLOOKUP(P65,Difficulty,2,FALSE)</f>
        <v>0.67</v>
      </c>
      <c r="R65" s="520"/>
      <c r="S65" s="544"/>
    </row>
    <row r="66" spans="1:19" x14ac:dyDescent="0.25">
      <c r="A66" s="216" t="s">
        <v>608</v>
      </c>
      <c r="B66" s="119" t="s">
        <v>609</v>
      </c>
      <c r="C66" s="544">
        <v>1121</v>
      </c>
      <c r="D66" s="544" t="s">
        <v>372</v>
      </c>
      <c r="E66" s="544"/>
      <c r="F66" s="520" t="s">
        <v>74</v>
      </c>
      <c r="G66" s="544"/>
      <c r="H66" s="520" t="s">
        <v>524</v>
      </c>
      <c r="I66" s="544"/>
      <c r="J66" s="544" t="s">
        <v>608</v>
      </c>
      <c r="K66" s="544" t="s">
        <v>156</v>
      </c>
      <c r="L66" s="544">
        <f t="shared" si="9"/>
        <v>2</v>
      </c>
      <c r="M66" s="544" t="str">
        <f t="shared" si="3"/>
        <v>Same distinctiveness or better habitat required ≥</v>
      </c>
      <c r="N66" s="544" t="s">
        <v>23</v>
      </c>
      <c r="O66" s="544">
        <f t="shared" si="10"/>
        <v>0.67</v>
      </c>
      <c r="P66" s="544" t="s">
        <v>23</v>
      </c>
      <c r="Q66" s="544">
        <f t="shared" si="11"/>
        <v>0.67</v>
      </c>
      <c r="R66" s="520"/>
      <c r="S66" s="544"/>
    </row>
    <row r="67" spans="1:19" x14ac:dyDescent="0.25">
      <c r="A67" s="216" t="s">
        <v>610</v>
      </c>
      <c r="B67" s="119" t="s">
        <v>611</v>
      </c>
      <c r="C67" s="544">
        <v>1140</v>
      </c>
      <c r="D67" s="544" t="s">
        <v>372</v>
      </c>
      <c r="E67" s="544"/>
      <c r="F67" s="520" t="s">
        <v>74</v>
      </c>
      <c r="G67" s="544"/>
      <c r="H67" s="520" t="s">
        <v>524</v>
      </c>
      <c r="I67" s="544"/>
      <c r="J67" s="544" t="s">
        <v>610</v>
      </c>
      <c r="K67" s="544" t="s">
        <v>156</v>
      </c>
      <c r="L67" s="544">
        <f t="shared" si="9"/>
        <v>2</v>
      </c>
      <c r="M67" s="544" t="str">
        <f t="shared" si="3"/>
        <v>Same distinctiveness or better habitat required ≥</v>
      </c>
      <c r="N67" s="544" t="s">
        <v>156</v>
      </c>
      <c r="O67" s="544">
        <f t="shared" si="10"/>
        <v>1</v>
      </c>
      <c r="P67" s="544" t="s">
        <v>156</v>
      </c>
      <c r="Q67" s="544">
        <f t="shared" si="11"/>
        <v>1</v>
      </c>
      <c r="R67" s="520"/>
      <c r="S67" s="544"/>
    </row>
    <row r="68" spans="1:19" x14ac:dyDescent="0.25">
      <c r="A68" s="216" t="s">
        <v>612</v>
      </c>
      <c r="B68" s="119" t="s">
        <v>613</v>
      </c>
      <c r="C68" s="544" t="s">
        <v>614</v>
      </c>
      <c r="D68" s="544" t="s">
        <v>372</v>
      </c>
      <c r="E68" s="544"/>
      <c r="F68" s="520" t="s">
        <v>74</v>
      </c>
      <c r="G68" s="544"/>
      <c r="H68" s="520" t="s">
        <v>524</v>
      </c>
      <c r="I68" s="544"/>
      <c r="J68" s="544" t="s">
        <v>591</v>
      </c>
      <c r="K68" s="544" t="s">
        <v>23</v>
      </c>
      <c r="L68" s="544">
        <f t="shared" si="9"/>
        <v>4</v>
      </c>
      <c r="M68" s="544" t="str">
        <f t="shared" si="3"/>
        <v>Same broad habitat or a higher distinctiveness habitat required (≥)</v>
      </c>
      <c r="N68" s="544" t="s">
        <v>23</v>
      </c>
      <c r="O68" s="544">
        <f t="shared" si="10"/>
        <v>0.67</v>
      </c>
      <c r="P68" s="544" t="s">
        <v>23</v>
      </c>
      <c r="Q68" s="544">
        <f t="shared" si="11"/>
        <v>0.67</v>
      </c>
      <c r="R68" s="520"/>
      <c r="S68" s="544"/>
    </row>
    <row r="69" spans="1:19" x14ac:dyDescent="0.25">
      <c r="A69" s="216" t="s">
        <v>615</v>
      </c>
      <c r="B69" s="119" t="s">
        <v>616</v>
      </c>
      <c r="C69" s="544">
        <v>1160</v>
      </c>
      <c r="D69" s="544" t="s">
        <v>372</v>
      </c>
      <c r="E69" s="544"/>
      <c r="F69" s="520" t="s">
        <v>74</v>
      </c>
      <c r="G69" s="544"/>
      <c r="H69" s="520" t="s">
        <v>524</v>
      </c>
      <c r="I69" s="544"/>
      <c r="J69" s="544" t="s">
        <v>615</v>
      </c>
      <c r="K69" s="544" t="s">
        <v>156</v>
      </c>
      <c r="L69" s="544">
        <f t="shared" si="9"/>
        <v>2</v>
      </c>
      <c r="M69" s="544" t="str">
        <f t="shared" si="3"/>
        <v>Same distinctiveness or better habitat required ≥</v>
      </c>
      <c r="N69" s="544" t="s">
        <v>156</v>
      </c>
      <c r="O69" s="544">
        <f t="shared" si="10"/>
        <v>1</v>
      </c>
      <c r="P69" s="544" t="s">
        <v>156</v>
      </c>
      <c r="Q69" s="544">
        <f t="shared" si="11"/>
        <v>1</v>
      </c>
      <c r="R69" s="520"/>
      <c r="S69" s="544"/>
    </row>
    <row r="70" spans="1:19" x14ac:dyDescent="0.25">
      <c r="A70" s="216" t="s">
        <v>617</v>
      </c>
      <c r="B70" s="119" t="s">
        <v>618</v>
      </c>
      <c r="C70" s="544" t="s">
        <v>619</v>
      </c>
      <c r="D70" s="544" t="s">
        <v>372</v>
      </c>
      <c r="E70" s="544" t="s">
        <v>620</v>
      </c>
      <c r="F70" s="520" t="s">
        <v>74</v>
      </c>
      <c r="G70" s="544" t="s">
        <v>621</v>
      </c>
      <c r="H70" s="520" t="s">
        <v>524</v>
      </c>
      <c r="I70" s="544" t="s">
        <v>619</v>
      </c>
      <c r="J70" s="572" t="s">
        <v>617</v>
      </c>
      <c r="K70" s="544" t="s">
        <v>153</v>
      </c>
      <c r="L70" s="544">
        <f t="shared" si="9"/>
        <v>6</v>
      </c>
      <c r="M70" s="544" t="str">
        <f t="shared" si="3"/>
        <v>Same habitat required =</v>
      </c>
      <c r="N70" s="544" t="s">
        <v>23</v>
      </c>
      <c r="O70" s="544">
        <f t="shared" si="10"/>
        <v>0.67</v>
      </c>
      <c r="P70" s="544" t="s">
        <v>23</v>
      </c>
      <c r="Q70" s="544">
        <f t="shared" si="11"/>
        <v>0.67</v>
      </c>
      <c r="R70" s="520"/>
      <c r="S70" s="544"/>
    </row>
    <row r="71" spans="1:19" x14ac:dyDescent="0.25">
      <c r="A71" s="216" t="s">
        <v>622</v>
      </c>
      <c r="B71" s="119" t="s">
        <v>623</v>
      </c>
      <c r="C71" s="544">
        <v>1192</v>
      </c>
      <c r="D71" s="544" t="s">
        <v>372</v>
      </c>
      <c r="E71" s="544"/>
      <c r="F71" s="520" t="s">
        <v>74</v>
      </c>
      <c r="G71" s="544"/>
      <c r="H71" s="520" t="s">
        <v>524</v>
      </c>
      <c r="I71" s="544"/>
      <c r="J71" s="544" t="s">
        <v>622</v>
      </c>
      <c r="K71" s="544" t="s">
        <v>156</v>
      </c>
      <c r="L71" s="544">
        <f t="shared" si="9"/>
        <v>2</v>
      </c>
      <c r="M71" s="544" t="str">
        <f t="shared" si="3"/>
        <v>Same distinctiveness or better habitat required ≥</v>
      </c>
      <c r="N71" s="544" t="s">
        <v>156</v>
      </c>
      <c r="O71" s="544">
        <f t="shared" si="10"/>
        <v>1</v>
      </c>
      <c r="P71" s="544" t="s">
        <v>156</v>
      </c>
      <c r="Q71" s="544">
        <f t="shared" si="11"/>
        <v>1</v>
      </c>
      <c r="R71" s="520"/>
      <c r="S71" s="544"/>
    </row>
    <row r="72" spans="1:19" x14ac:dyDescent="0.25">
      <c r="A72" s="216" t="s">
        <v>624</v>
      </c>
      <c r="B72" s="119" t="s">
        <v>625</v>
      </c>
      <c r="C72" s="544">
        <v>1030</v>
      </c>
      <c r="D72" s="544" t="s">
        <v>372</v>
      </c>
      <c r="E72" s="544"/>
      <c r="F72" s="520" t="s">
        <v>74</v>
      </c>
      <c r="G72" s="544"/>
      <c r="H72" s="520" t="s">
        <v>524</v>
      </c>
      <c r="I72" s="544"/>
      <c r="J72" s="544" t="s">
        <v>626</v>
      </c>
      <c r="K72" s="544" t="s">
        <v>156</v>
      </c>
      <c r="L72" s="544">
        <f t="shared" si="9"/>
        <v>2</v>
      </c>
      <c r="M72" s="544" t="str">
        <f t="shared" ref="M72:M126" si="12">IF($K72=$V$3,$X$3,IF($K72=$V$4,$X$4,IF($K72=$V$5,$X$5,IF($K72=$V$6,$X$6,IF($K72=$V$7,$X$7)))))</f>
        <v>Same distinctiveness or better habitat required ≥</v>
      </c>
      <c r="N72" s="544" t="s">
        <v>23</v>
      </c>
      <c r="O72" s="544">
        <f t="shared" si="10"/>
        <v>0.67</v>
      </c>
      <c r="P72" s="544" t="s">
        <v>23</v>
      </c>
      <c r="Q72" s="544">
        <f t="shared" si="11"/>
        <v>0.67</v>
      </c>
      <c r="R72" s="520"/>
      <c r="S72" s="544"/>
    </row>
    <row r="73" spans="1:19" x14ac:dyDescent="0.25">
      <c r="A73" s="216" t="s">
        <v>627</v>
      </c>
      <c r="B73" s="119" t="s">
        <v>628</v>
      </c>
      <c r="C73" s="544" t="s">
        <v>629</v>
      </c>
      <c r="D73" s="544" t="s">
        <v>372</v>
      </c>
      <c r="E73" s="544"/>
      <c r="F73" s="520" t="s">
        <v>74</v>
      </c>
      <c r="G73" s="544"/>
      <c r="H73" s="520" t="s">
        <v>524</v>
      </c>
      <c r="I73" s="544"/>
      <c r="J73" s="544" t="s">
        <v>630</v>
      </c>
      <c r="K73" s="544" t="s">
        <v>23</v>
      </c>
      <c r="L73" s="544">
        <f t="shared" si="9"/>
        <v>4</v>
      </c>
      <c r="M73" s="544" t="str">
        <f t="shared" si="12"/>
        <v>Same broad habitat or a higher distinctiveness habitat required (≥)</v>
      </c>
      <c r="N73" s="544" t="s">
        <v>156</v>
      </c>
      <c r="O73" s="544">
        <f t="shared" si="10"/>
        <v>1</v>
      </c>
      <c r="P73" s="544" t="s">
        <v>156</v>
      </c>
      <c r="Q73" s="544">
        <f t="shared" si="11"/>
        <v>1</v>
      </c>
      <c r="R73" s="520"/>
      <c r="S73" s="544"/>
    </row>
    <row r="74" spans="1:19" x14ac:dyDescent="0.25">
      <c r="A74" s="216" t="s">
        <v>631</v>
      </c>
      <c r="B74" s="119" t="s">
        <v>632</v>
      </c>
      <c r="C74" s="544">
        <v>1190</v>
      </c>
      <c r="D74" s="544" t="s">
        <v>372</v>
      </c>
      <c r="E74" s="544"/>
      <c r="F74" s="520" t="s">
        <v>74</v>
      </c>
      <c r="G74" s="544"/>
      <c r="H74" s="520" t="s">
        <v>524</v>
      </c>
      <c r="I74" s="544"/>
      <c r="J74" s="544" t="s">
        <v>631</v>
      </c>
      <c r="K74" s="544" t="s">
        <v>156</v>
      </c>
      <c r="L74" s="544">
        <f t="shared" si="9"/>
        <v>2</v>
      </c>
      <c r="M74" s="544" t="str">
        <f t="shared" si="12"/>
        <v>Same distinctiveness or better habitat required ≥</v>
      </c>
      <c r="N74" s="544" t="s">
        <v>23</v>
      </c>
      <c r="O74" s="544">
        <f t="shared" si="10"/>
        <v>0.67</v>
      </c>
      <c r="P74" s="544" t="s">
        <v>23</v>
      </c>
      <c r="Q74" s="544">
        <f t="shared" si="11"/>
        <v>0.67</v>
      </c>
      <c r="R74" s="520"/>
      <c r="S74" s="544"/>
    </row>
    <row r="75" spans="1:19" x14ac:dyDescent="0.25">
      <c r="A75" s="216" t="s">
        <v>633</v>
      </c>
      <c r="B75" s="119" t="s">
        <v>634</v>
      </c>
      <c r="C75" s="544">
        <v>232</v>
      </c>
      <c r="D75" s="544" t="s">
        <v>372</v>
      </c>
      <c r="E75" s="544"/>
      <c r="F75" s="520" t="s">
        <v>74</v>
      </c>
      <c r="G75" s="544"/>
      <c r="H75" s="520" t="s">
        <v>524</v>
      </c>
      <c r="I75" s="544"/>
      <c r="J75" s="544" t="s">
        <v>633</v>
      </c>
      <c r="K75" s="544" t="s">
        <v>397</v>
      </c>
      <c r="L75" s="544">
        <f t="shared" si="9"/>
        <v>0</v>
      </c>
      <c r="M75" s="544" t="str">
        <f t="shared" si="12"/>
        <v>Compensation Not Required</v>
      </c>
      <c r="N75" s="544" t="s">
        <v>156</v>
      </c>
      <c r="O75" s="544">
        <f t="shared" si="10"/>
        <v>1</v>
      </c>
      <c r="P75" s="544" t="s">
        <v>156</v>
      </c>
      <c r="Q75" s="544">
        <f t="shared" si="11"/>
        <v>1</v>
      </c>
      <c r="R75" s="520"/>
      <c r="S75" s="544"/>
    </row>
    <row r="76" spans="1:19" x14ac:dyDescent="0.25">
      <c r="A76" s="216" t="s">
        <v>635</v>
      </c>
      <c r="B76" s="119" t="s">
        <v>636</v>
      </c>
      <c r="C76" s="544">
        <v>350</v>
      </c>
      <c r="D76" s="544" t="s">
        <v>372</v>
      </c>
      <c r="E76" s="544"/>
      <c r="F76" s="520" t="s">
        <v>74</v>
      </c>
      <c r="G76" s="544"/>
      <c r="H76" s="520" t="s">
        <v>524</v>
      </c>
      <c r="I76" s="544"/>
      <c r="J76" s="544" t="s">
        <v>635</v>
      </c>
      <c r="K76" s="544" t="s">
        <v>156</v>
      </c>
      <c r="L76" s="544">
        <f t="shared" si="9"/>
        <v>2</v>
      </c>
      <c r="M76" s="544" t="str">
        <f t="shared" si="12"/>
        <v>Same distinctiveness or better habitat required ≥</v>
      </c>
      <c r="N76" s="544" t="s">
        <v>156</v>
      </c>
      <c r="O76" s="544">
        <f t="shared" si="10"/>
        <v>1</v>
      </c>
      <c r="P76" s="544" t="s">
        <v>156</v>
      </c>
      <c r="Q76" s="544">
        <f t="shared" si="11"/>
        <v>1</v>
      </c>
      <c r="R76" s="520" t="s">
        <v>637</v>
      </c>
      <c r="S76" s="544"/>
    </row>
    <row r="77" spans="1:19" ht="14.4" thickBot="1" x14ac:dyDescent="0.3">
      <c r="A77" s="216" t="s">
        <v>638</v>
      </c>
      <c r="B77" s="218" t="s">
        <v>639</v>
      </c>
      <c r="C77" s="526">
        <v>231</v>
      </c>
      <c r="D77" s="526" t="s">
        <v>372</v>
      </c>
      <c r="E77" s="526"/>
      <c r="F77" s="508" t="s">
        <v>74</v>
      </c>
      <c r="G77" s="526"/>
      <c r="H77" s="508" t="s">
        <v>524</v>
      </c>
      <c r="I77" s="526"/>
      <c r="J77" s="526" t="s">
        <v>638</v>
      </c>
      <c r="K77" s="526" t="s">
        <v>156</v>
      </c>
      <c r="L77" s="526">
        <f t="shared" ref="L77:L98" si="13">IF(K77=$V$3,$W$3,IF(K77=$V$3,$W$3,IF(K77=$V$4,$W$4,IF(K77=$V$5,$W$5,IF(K77=$V$6,$W$6,IF(K77=$V$7,$W$7))))))</f>
        <v>2</v>
      </c>
      <c r="M77" s="526" t="str">
        <f t="shared" si="12"/>
        <v>Same distinctiveness or better habitat required ≥</v>
      </c>
      <c r="N77" s="526" t="s">
        <v>156</v>
      </c>
      <c r="O77" s="526">
        <f t="shared" si="10"/>
        <v>1</v>
      </c>
      <c r="P77" s="526" t="s">
        <v>156</v>
      </c>
      <c r="Q77" s="526">
        <f t="shared" si="11"/>
        <v>1</v>
      </c>
      <c r="R77" s="508"/>
      <c r="S77" s="526"/>
    </row>
    <row r="78" spans="1:19" x14ac:dyDescent="0.25">
      <c r="A78" s="216" t="s">
        <v>640</v>
      </c>
      <c r="B78" s="219" t="s">
        <v>641</v>
      </c>
      <c r="C78" s="521" t="s">
        <v>642</v>
      </c>
      <c r="D78" s="521" t="s">
        <v>372</v>
      </c>
      <c r="E78" s="521"/>
      <c r="F78" s="507" t="s">
        <v>75</v>
      </c>
      <c r="G78" s="521"/>
      <c r="H78" s="507" t="s">
        <v>643</v>
      </c>
      <c r="I78" s="521" t="s">
        <v>642</v>
      </c>
      <c r="J78" s="576" t="s">
        <v>640</v>
      </c>
      <c r="K78" s="521" t="s">
        <v>375</v>
      </c>
      <c r="L78" s="521">
        <f t="shared" si="13"/>
        <v>8</v>
      </c>
      <c r="M78" s="521" t="str">
        <f t="shared" si="12"/>
        <v>Bespoke compensation likely to be required 🛠</v>
      </c>
      <c r="N78" s="521" t="s">
        <v>151</v>
      </c>
      <c r="O78" s="521">
        <f t="shared" si="10"/>
        <v>0.1</v>
      </c>
      <c r="P78" s="521" t="s">
        <v>153</v>
      </c>
      <c r="Q78" s="521">
        <f t="shared" si="11"/>
        <v>0.33</v>
      </c>
      <c r="R78" s="507"/>
      <c r="S78" s="521"/>
    </row>
    <row r="79" spans="1:19" x14ac:dyDescent="0.25">
      <c r="A79" s="216" t="s">
        <v>644</v>
      </c>
      <c r="B79" s="119" t="s">
        <v>645</v>
      </c>
      <c r="C79" s="544">
        <v>24</v>
      </c>
      <c r="D79" s="544" t="s">
        <v>372</v>
      </c>
      <c r="E79" s="544" t="s">
        <v>646</v>
      </c>
      <c r="F79" s="520" t="s">
        <v>75</v>
      </c>
      <c r="G79" s="544" t="s">
        <v>647</v>
      </c>
      <c r="H79" s="520" t="s">
        <v>643</v>
      </c>
      <c r="I79" s="544"/>
      <c r="J79" s="577" t="s">
        <v>644</v>
      </c>
      <c r="K79" s="544" t="s">
        <v>375</v>
      </c>
      <c r="L79" s="544">
        <f t="shared" si="13"/>
        <v>8</v>
      </c>
      <c r="M79" s="544" t="str">
        <f t="shared" si="12"/>
        <v>Bespoke compensation likely to be required 🛠</v>
      </c>
      <c r="N79" s="544" t="s">
        <v>151</v>
      </c>
      <c r="O79" s="544">
        <f t="shared" si="10"/>
        <v>0.1</v>
      </c>
      <c r="P79" s="544" t="s">
        <v>153</v>
      </c>
      <c r="Q79" s="544">
        <f t="shared" si="11"/>
        <v>0.33</v>
      </c>
      <c r="R79" s="520"/>
      <c r="S79" s="544"/>
    </row>
    <row r="80" spans="1:19" x14ac:dyDescent="0.25">
      <c r="A80" s="216" t="s">
        <v>648</v>
      </c>
      <c r="B80" s="119" t="s">
        <v>649</v>
      </c>
      <c r="C80" s="544" t="s">
        <v>650</v>
      </c>
      <c r="D80" s="544" t="s">
        <v>372</v>
      </c>
      <c r="E80" s="544"/>
      <c r="F80" s="520" t="s">
        <v>75</v>
      </c>
      <c r="G80" s="544" t="s">
        <v>651</v>
      </c>
      <c r="H80" s="520" t="s">
        <v>652</v>
      </c>
      <c r="I80" s="544" t="s">
        <v>650</v>
      </c>
      <c r="J80" s="572" t="s">
        <v>653</v>
      </c>
      <c r="K80" s="544" t="s">
        <v>375</v>
      </c>
      <c r="L80" s="544">
        <f t="shared" si="13"/>
        <v>8</v>
      </c>
      <c r="M80" s="544" t="str">
        <f t="shared" si="12"/>
        <v>Bespoke compensation likely to be required 🛠</v>
      </c>
      <c r="N80" s="544" t="s">
        <v>153</v>
      </c>
      <c r="O80" s="544">
        <f t="shared" si="10"/>
        <v>0.33</v>
      </c>
      <c r="P80" s="544" t="s">
        <v>153</v>
      </c>
      <c r="Q80" s="544">
        <f t="shared" si="11"/>
        <v>0.33</v>
      </c>
      <c r="R80" s="520"/>
      <c r="S80" s="544"/>
    </row>
    <row r="81" spans="1:19" x14ac:dyDescent="0.25">
      <c r="A81" s="216" t="s">
        <v>654</v>
      </c>
      <c r="B81" s="119" t="s">
        <v>655</v>
      </c>
      <c r="C81" s="544" t="s">
        <v>656</v>
      </c>
      <c r="D81" s="544" t="s">
        <v>372</v>
      </c>
      <c r="E81" s="544"/>
      <c r="F81" s="520" t="s">
        <v>75</v>
      </c>
      <c r="G81" s="544"/>
      <c r="H81" s="520" t="s">
        <v>643</v>
      </c>
      <c r="I81" s="544" t="s">
        <v>656</v>
      </c>
      <c r="J81" s="572" t="s">
        <v>654</v>
      </c>
      <c r="K81" s="544" t="s">
        <v>375</v>
      </c>
      <c r="L81" s="544">
        <f t="shared" si="13"/>
        <v>8</v>
      </c>
      <c r="M81" s="544" t="str">
        <f t="shared" si="12"/>
        <v>Bespoke compensation likely to be required 🛠</v>
      </c>
      <c r="N81" s="544" t="s">
        <v>151</v>
      </c>
      <c r="O81" s="544">
        <f t="shared" si="10"/>
        <v>0.1</v>
      </c>
      <c r="P81" s="544" t="s">
        <v>153</v>
      </c>
      <c r="Q81" s="544">
        <f t="shared" si="11"/>
        <v>0.33</v>
      </c>
      <c r="R81" s="520"/>
      <c r="S81" s="544"/>
    </row>
    <row r="82" spans="1:19" x14ac:dyDescent="0.25">
      <c r="A82" s="216" t="s">
        <v>657</v>
      </c>
      <c r="B82" s="119" t="s">
        <v>658</v>
      </c>
      <c r="C82" s="544" t="s">
        <v>659</v>
      </c>
      <c r="D82" s="544" t="s">
        <v>372</v>
      </c>
      <c r="E82" s="544"/>
      <c r="F82" s="520" t="s">
        <v>75</v>
      </c>
      <c r="G82" s="544"/>
      <c r="H82" s="520" t="s">
        <v>652</v>
      </c>
      <c r="I82" s="544" t="s">
        <v>660</v>
      </c>
      <c r="J82" s="544" t="s">
        <v>657</v>
      </c>
      <c r="K82" s="544" t="s">
        <v>375</v>
      </c>
      <c r="L82" s="544">
        <f t="shared" si="13"/>
        <v>8</v>
      </c>
      <c r="M82" s="544" t="str">
        <f t="shared" si="12"/>
        <v>Bespoke compensation likely to be required 🛠</v>
      </c>
      <c r="N82" s="544" t="s">
        <v>151</v>
      </c>
      <c r="O82" s="544">
        <f t="shared" si="10"/>
        <v>0.1</v>
      </c>
      <c r="P82" s="544" t="s">
        <v>153</v>
      </c>
      <c r="Q82" s="544">
        <f t="shared" si="11"/>
        <v>0.33</v>
      </c>
      <c r="R82" s="520"/>
      <c r="S82" s="544"/>
    </row>
    <row r="83" spans="1:19" x14ac:dyDescent="0.25">
      <c r="A83" s="216" t="s">
        <v>661</v>
      </c>
      <c r="B83" s="119" t="s">
        <v>662</v>
      </c>
      <c r="C83" s="544" t="s">
        <v>663</v>
      </c>
      <c r="D83" s="544" t="s">
        <v>372</v>
      </c>
      <c r="E83" s="544"/>
      <c r="F83" s="520" t="s">
        <v>75</v>
      </c>
      <c r="G83" s="544"/>
      <c r="H83" s="520" t="s">
        <v>652</v>
      </c>
      <c r="I83" s="544" t="s">
        <v>663</v>
      </c>
      <c r="J83" s="572" t="s">
        <v>661</v>
      </c>
      <c r="K83" s="544" t="s">
        <v>375</v>
      </c>
      <c r="L83" s="544">
        <f t="shared" si="13"/>
        <v>8</v>
      </c>
      <c r="M83" s="544" t="str">
        <f t="shared" si="12"/>
        <v>Bespoke compensation likely to be required 🛠</v>
      </c>
      <c r="N83" s="544" t="s">
        <v>153</v>
      </c>
      <c r="O83" s="544">
        <f t="shared" si="10"/>
        <v>0.33</v>
      </c>
      <c r="P83" s="544" t="s">
        <v>153</v>
      </c>
      <c r="Q83" s="544">
        <f t="shared" si="11"/>
        <v>0.33</v>
      </c>
      <c r="R83" s="520"/>
      <c r="S83" s="544"/>
    </row>
    <row r="84" spans="1:19" x14ac:dyDescent="0.25">
      <c r="A84" s="216" t="s">
        <v>664</v>
      </c>
      <c r="B84" s="119" t="s">
        <v>665</v>
      </c>
      <c r="C84" s="544" t="s">
        <v>666</v>
      </c>
      <c r="D84" s="544" t="s">
        <v>372</v>
      </c>
      <c r="E84" s="544"/>
      <c r="F84" s="520" t="s">
        <v>75</v>
      </c>
      <c r="G84" s="544"/>
      <c r="H84" s="520" t="s">
        <v>652</v>
      </c>
      <c r="I84" s="544" t="s">
        <v>666</v>
      </c>
      <c r="J84" s="572" t="s">
        <v>664</v>
      </c>
      <c r="K84" s="544" t="s">
        <v>153</v>
      </c>
      <c r="L84" s="544">
        <f t="shared" si="13"/>
        <v>6</v>
      </c>
      <c r="M84" s="544" t="str">
        <f t="shared" si="12"/>
        <v>Same habitat required =</v>
      </c>
      <c r="N84" s="544" t="s">
        <v>23</v>
      </c>
      <c r="O84" s="544">
        <f t="shared" si="10"/>
        <v>0.67</v>
      </c>
      <c r="P84" s="544" t="s">
        <v>23</v>
      </c>
      <c r="Q84" s="544">
        <f t="shared" si="11"/>
        <v>0.67</v>
      </c>
      <c r="R84" s="520"/>
      <c r="S84" s="544"/>
    </row>
    <row r="85" spans="1:19" ht="14.4" thickBot="1" x14ac:dyDescent="0.3">
      <c r="A85" s="216" t="s">
        <v>667</v>
      </c>
      <c r="B85" s="218" t="s">
        <v>668</v>
      </c>
      <c r="C85" s="578" t="s">
        <v>669</v>
      </c>
      <c r="D85" s="526" t="s">
        <v>372</v>
      </c>
      <c r="E85" s="526"/>
      <c r="F85" s="508" t="s">
        <v>75</v>
      </c>
      <c r="G85" s="526"/>
      <c r="H85" s="508" t="s">
        <v>652</v>
      </c>
      <c r="I85" s="526"/>
      <c r="J85" s="579" t="s">
        <v>668</v>
      </c>
      <c r="K85" s="526" t="s">
        <v>375</v>
      </c>
      <c r="L85" s="526">
        <f t="shared" si="13"/>
        <v>8</v>
      </c>
      <c r="M85" s="526" t="str">
        <f t="shared" si="12"/>
        <v>Bespoke compensation likely to be required 🛠</v>
      </c>
      <c r="N85" s="526" t="s">
        <v>151</v>
      </c>
      <c r="O85" s="526">
        <f t="shared" si="10"/>
        <v>0.1</v>
      </c>
      <c r="P85" s="526" t="s">
        <v>153</v>
      </c>
      <c r="Q85" s="526">
        <f t="shared" si="11"/>
        <v>0.33</v>
      </c>
      <c r="R85" s="508"/>
      <c r="S85" s="526"/>
    </row>
    <row r="86" spans="1:19" x14ac:dyDescent="0.25">
      <c r="A86" s="216" t="s">
        <v>670</v>
      </c>
      <c r="B86" s="219" t="s">
        <v>671</v>
      </c>
      <c r="C86" s="521">
        <v>53</v>
      </c>
      <c r="D86" s="521" t="s">
        <v>372</v>
      </c>
      <c r="E86" s="521"/>
      <c r="F86" s="507" t="s">
        <v>76</v>
      </c>
      <c r="G86" s="521"/>
      <c r="H86" s="507" t="s">
        <v>672</v>
      </c>
      <c r="I86" s="521"/>
      <c r="J86" s="521" t="s">
        <v>670</v>
      </c>
      <c r="K86" s="521" t="s">
        <v>153</v>
      </c>
      <c r="L86" s="521">
        <f t="shared" si="13"/>
        <v>6</v>
      </c>
      <c r="M86" s="521" t="str">
        <f t="shared" si="12"/>
        <v>Same habitat required =</v>
      </c>
      <c r="N86" s="521" t="s">
        <v>156</v>
      </c>
      <c r="O86" s="521">
        <f t="shared" si="10"/>
        <v>1</v>
      </c>
      <c r="P86" s="521" t="s">
        <v>156</v>
      </c>
      <c r="Q86" s="521">
        <f t="shared" si="11"/>
        <v>1</v>
      </c>
      <c r="R86" s="507"/>
      <c r="S86" s="521"/>
    </row>
    <row r="87" spans="1:19" x14ac:dyDescent="0.25">
      <c r="A87" s="216" t="s">
        <v>673</v>
      </c>
      <c r="B87" s="119" t="s">
        <v>674</v>
      </c>
      <c r="C87" s="544" t="s">
        <v>675</v>
      </c>
      <c r="D87" s="544" t="s">
        <v>372</v>
      </c>
      <c r="E87" s="544"/>
      <c r="F87" s="520" t="s">
        <v>76</v>
      </c>
      <c r="G87" s="544"/>
      <c r="H87" s="520" t="s">
        <v>676</v>
      </c>
      <c r="I87" s="544" t="s">
        <v>675</v>
      </c>
      <c r="J87" s="572" t="s">
        <v>673</v>
      </c>
      <c r="K87" s="544" t="s">
        <v>153</v>
      </c>
      <c r="L87" s="544">
        <f t="shared" si="13"/>
        <v>6</v>
      </c>
      <c r="M87" s="544" t="str">
        <f t="shared" si="12"/>
        <v>Same habitat required =</v>
      </c>
      <c r="N87" s="544" t="s">
        <v>153</v>
      </c>
      <c r="O87" s="544">
        <f t="shared" si="10"/>
        <v>0.33</v>
      </c>
      <c r="P87" s="544" t="s">
        <v>153</v>
      </c>
      <c r="Q87" s="544">
        <f t="shared" si="11"/>
        <v>0.33</v>
      </c>
      <c r="R87" s="520"/>
      <c r="S87" s="544"/>
    </row>
    <row r="88" spans="1:19" x14ac:dyDescent="0.25">
      <c r="A88" s="216" t="s">
        <v>677</v>
      </c>
      <c r="B88" s="119" t="s">
        <v>678</v>
      </c>
      <c r="C88" s="544" t="s">
        <v>679</v>
      </c>
      <c r="D88" s="544" t="s">
        <v>372</v>
      </c>
      <c r="E88" s="544"/>
      <c r="F88" s="520" t="s">
        <v>76</v>
      </c>
      <c r="G88" s="544"/>
      <c r="H88" s="520" t="s">
        <v>676</v>
      </c>
      <c r="I88" s="544" t="s">
        <v>679</v>
      </c>
      <c r="J88" s="572" t="s">
        <v>677</v>
      </c>
      <c r="K88" s="544" t="s">
        <v>153</v>
      </c>
      <c r="L88" s="544">
        <f t="shared" si="13"/>
        <v>6</v>
      </c>
      <c r="M88" s="544" t="str">
        <f t="shared" si="12"/>
        <v>Same habitat required =</v>
      </c>
      <c r="N88" s="544" t="s">
        <v>153</v>
      </c>
      <c r="O88" s="544">
        <f t="shared" si="10"/>
        <v>0.33</v>
      </c>
      <c r="P88" s="544" t="s">
        <v>153</v>
      </c>
      <c r="Q88" s="544">
        <f t="shared" si="11"/>
        <v>0.33</v>
      </c>
      <c r="R88" s="520"/>
      <c r="S88" s="544"/>
    </row>
    <row r="89" spans="1:19" x14ac:dyDescent="0.25">
      <c r="A89" s="216" t="s">
        <v>680</v>
      </c>
      <c r="B89" s="119" t="s">
        <v>681</v>
      </c>
      <c r="C89" s="544" t="s">
        <v>682</v>
      </c>
      <c r="D89" s="544" t="s">
        <v>372</v>
      </c>
      <c r="E89" s="544"/>
      <c r="F89" s="520" t="s">
        <v>76</v>
      </c>
      <c r="G89" s="544" t="s">
        <v>683</v>
      </c>
      <c r="H89" s="520" t="s">
        <v>684</v>
      </c>
      <c r="I89" s="544" t="s">
        <v>682</v>
      </c>
      <c r="J89" s="572" t="s">
        <v>680</v>
      </c>
      <c r="K89" s="544" t="s">
        <v>153</v>
      </c>
      <c r="L89" s="544">
        <f t="shared" si="13"/>
        <v>6</v>
      </c>
      <c r="M89" s="544" t="str">
        <f t="shared" si="12"/>
        <v>Same habitat required =</v>
      </c>
      <c r="N89" s="544" t="s">
        <v>153</v>
      </c>
      <c r="O89" s="544">
        <f t="shared" si="10"/>
        <v>0.33</v>
      </c>
      <c r="P89" s="544" t="s">
        <v>153</v>
      </c>
      <c r="Q89" s="544">
        <f t="shared" si="11"/>
        <v>0.33</v>
      </c>
      <c r="R89" s="520"/>
      <c r="S89" s="544"/>
    </row>
    <row r="90" spans="1:19" x14ac:dyDescent="0.25">
      <c r="A90" s="216" t="s">
        <v>685</v>
      </c>
      <c r="B90" s="119" t="s">
        <v>686</v>
      </c>
      <c r="C90" s="544" t="s">
        <v>687</v>
      </c>
      <c r="D90" s="544" t="s">
        <v>372</v>
      </c>
      <c r="E90" s="544"/>
      <c r="F90" s="520" t="s">
        <v>76</v>
      </c>
      <c r="G90" s="544"/>
      <c r="H90" s="520" t="s">
        <v>684</v>
      </c>
      <c r="I90" s="544" t="s">
        <v>687</v>
      </c>
      <c r="J90" s="544" t="s">
        <v>685</v>
      </c>
      <c r="K90" s="544" t="s">
        <v>156</v>
      </c>
      <c r="L90" s="544">
        <f t="shared" si="13"/>
        <v>2</v>
      </c>
      <c r="M90" s="544" t="str">
        <f t="shared" si="12"/>
        <v>Same distinctiveness or better habitat required ≥</v>
      </c>
      <c r="N90" s="544" t="s">
        <v>156</v>
      </c>
      <c r="O90" s="544">
        <f t="shared" si="10"/>
        <v>1</v>
      </c>
      <c r="P90" s="544" t="s">
        <v>156</v>
      </c>
      <c r="Q90" s="544">
        <f t="shared" si="11"/>
        <v>1</v>
      </c>
      <c r="R90" s="520"/>
      <c r="S90" s="544"/>
    </row>
    <row r="91" spans="1:19" x14ac:dyDescent="0.25">
      <c r="A91" s="216" t="s">
        <v>688</v>
      </c>
      <c r="B91" s="119" t="s">
        <v>689</v>
      </c>
      <c r="C91" s="544" t="s">
        <v>690</v>
      </c>
      <c r="D91" s="544" t="s">
        <v>372</v>
      </c>
      <c r="E91" s="544"/>
      <c r="F91" s="520" t="s">
        <v>76</v>
      </c>
      <c r="G91" s="544"/>
      <c r="H91" s="520" t="s">
        <v>684</v>
      </c>
      <c r="I91" s="544" t="s">
        <v>690</v>
      </c>
      <c r="J91" s="544" t="s">
        <v>688</v>
      </c>
      <c r="K91" s="544" t="s">
        <v>23</v>
      </c>
      <c r="L91" s="544">
        <f t="shared" si="13"/>
        <v>4</v>
      </c>
      <c r="M91" s="544" t="str">
        <f t="shared" si="12"/>
        <v>Same broad habitat or a higher distinctiveness habitat required (≥)</v>
      </c>
      <c r="N91" s="544" t="s">
        <v>23</v>
      </c>
      <c r="O91" s="544">
        <f t="shared" si="10"/>
        <v>0.67</v>
      </c>
      <c r="P91" s="544" t="s">
        <v>23</v>
      </c>
      <c r="Q91" s="544">
        <f t="shared" si="11"/>
        <v>0.67</v>
      </c>
      <c r="R91" s="520"/>
      <c r="S91" s="544"/>
    </row>
    <row r="92" spans="1:19" x14ac:dyDescent="0.25">
      <c r="A92" s="216" t="s">
        <v>691</v>
      </c>
      <c r="B92" s="119" t="s">
        <v>692</v>
      </c>
      <c r="C92" s="544" t="s">
        <v>693</v>
      </c>
      <c r="D92" s="544" t="s">
        <v>372</v>
      </c>
      <c r="E92" s="544"/>
      <c r="F92" s="520" t="s">
        <v>76</v>
      </c>
      <c r="G92" s="544"/>
      <c r="H92" s="520" t="s">
        <v>676</v>
      </c>
      <c r="I92" s="544" t="s">
        <v>693</v>
      </c>
      <c r="J92" s="544" t="s">
        <v>691</v>
      </c>
      <c r="K92" s="544" t="s">
        <v>23</v>
      </c>
      <c r="L92" s="544">
        <f t="shared" si="13"/>
        <v>4</v>
      </c>
      <c r="M92" s="544" t="str">
        <f t="shared" si="12"/>
        <v>Same broad habitat or a higher distinctiveness habitat required (≥)</v>
      </c>
      <c r="N92" s="544" t="s">
        <v>156</v>
      </c>
      <c r="O92" s="544">
        <f t="shared" si="10"/>
        <v>1</v>
      </c>
      <c r="P92" s="544" t="s">
        <v>156</v>
      </c>
      <c r="Q92" s="544">
        <f t="shared" si="11"/>
        <v>1</v>
      </c>
      <c r="R92" s="520"/>
      <c r="S92" s="544"/>
    </row>
    <row r="93" spans="1:19" x14ac:dyDescent="0.25">
      <c r="A93" s="216" t="s">
        <v>694</v>
      </c>
      <c r="B93" s="119" t="s">
        <v>695</v>
      </c>
      <c r="C93" s="544" t="s">
        <v>696</v>
      </c>
      <c r="D93" s="544" t="s">
        <v>372</v>
      </c>
      <c r="E93" s="544"/>
      <c r="F93" s="520" t="s">
        <v>76</v>
      </c>
      <c r="G93" s="544"/>
      <c r="H93" s="520" t="s">
        <v>676</v>
      </c>
      <c r="I93" s="544" t="s">
        <v>696</v>
      </c>
      <c r="J93" s="544" t="s">
        <v>694</v>
      </c>
      <c r="K93" s="544" t="s">
        <v>23</v>
      </c>
      <c r="L93" s="544">
        <f t="shared" si="13"/>
        <v>4</v>
      </c>
      <c r="M93" s="544" t="str">
        <f t="shared" si="12"/>
        <v>Same broad habitat or a higher distinctiveness habitat required (≥)</v>
      </c>
      <c r="N93" s="544" t="s">
        <v>156</v>
      </c>
      <c r="O93" s="544">
        <f t="shared" ref="O93:O98" si="14">VLOOKUP(N93,Difficulty,2,FALSE)</f>
        <v>1</v>
      </c>
      <c r="P93" s="544" t="s">
        <v>156</v>
      </c>
      <c r="Q93" s="544">
        <f t="shared" ref="Q93:Q98" si="15">VLOOKUP(P93,Difficulty,2,FALSE)</f>
        <v>1</v>
      </c>
      <c r="R93" s="520"/>
      <c r="S93" s="544"/>
    </row>
    <row r="94" spans="1:19" x14ac:dyDescent="0.25">
      <c r="A94" s="216" t="s">
        <v>697</v>
      </c>
      <c r="B94" s="119" t="s">
        <v>698</v>
      </c>
      <c r="C94" s="544" t="s">
        <v>699</v>
      </c>
      <c r="D94" s="544" t="s">
        <v>372</v>
      </c>
      <c r="E94" s="544"/>
      <c r="F94" s="520" t="s">
        <v>76</v>
      </c>
      <c r="G94" s="544"/>
      <c r="H94" s="520" t="s">
        <v>676</v>
      </c>
      <c r="I94" s="544" t="s">
        <v>699</v>
      </c>
      <c r="J94" s="572" t="s">
        <v>697</v>
      </c>
      <c r="K94" s="544" t="s">
        <v>153</v>
      </c>
      <c r="L94" s="544">
        <f t="shared" si="13"/>
        <v>6</v>
      </c>
      <c r="M94" s="544" t="str">
        <f t="shared" si="12"/>
        <v>Same habitat required =</v>
      </c>
      <c r="N94" s="544" t="s">
        <v>23</v>
      </c>
      <c r="O94" s="544">
        <f t="shared" si="14"/>
        <v>0.67</v>
      </c>
      <c r="P94" s="544" t="s">
        <v>23</v>
      </c>
      <c r="Q94" s="544">
        <f t="shared" si="15"/>
        <v>0.67</v>
      </c>
      <c r="R94" s="520"/>
      <c r="S94" s="544"/>
    </row>
    <row r="95" spans="1:19" x14ac:dyDescent="0.25">
      <c r="A95" s="216" t="s">
        <v>700</v>
      </c>
      <c r="B95" s="119" t="s">
        <v>701</v>
      </c>
      <c r="C95" s="544" t="s">
        <v>702</v>
      </c>
      <c r="D95" s="544" t="s">
        <v>372</v>
      </c>
      <c r="E95" s="544"/>
      <c r="F95" s="520" t="s">
        <v>76</v>
      </c>
      <c r="G95" s="544"/>
      <c r="H95" s="520" t="s">
        <v>676</v>
      </c>
      <c r="I95" s="544" t="s">
        <v>702</v>
      </c>
      <c r="J95" s="572" t="s">
        <v>700</v>
      </c>
      <c r="K95" s="544" t="s">
        <v>153</v>
      </c>
      <c r="L95" s="544">
        <f t="shared" si="13"/>
        <v>6</v>
      </c>
      <c r="M95" s="544" t="str">
        <f t="shared" si="12"/>
        <v>Same habitat required =</v>
      </c>
      <c r="N95" s="544" t="s">
        <v>153</v>
      </c>
      <c r="O95" s="544">
        <f t="shared" si="14"/>
        <v>0.33</v>
      </c>
      <c r="P95" s="544" t="s">
        <v>153</v>
      </c>
      <c r="Q95" s="544">
        <f t="shared" si="15"/>
        <v>0.33</v>
      </c>
      <c r="R95" s="520"/>
      <c r="S95" s="544"/>
    </row>
    <row r="96" spans="1:19" x14ac:dyDescent="0.25">
      <c r="A96" s="216" t="s">
        <v>703</v>
      </c>
      <c r="B96" s="119" t="s">
        <v>704</v>
      </c>
      <c r="C96" s="544" t="s">
        <v>705</v>
      </c>
      <c r="D96" s="544" t="s">
        <v>372</v>
      </c>
      <c r="E96" s="544" t="s">
        <v>706</v>
      </c>
      <c r="F96" s="520" t="s">
        <v>76</v>
      </c>
      <c r="G96" s="544" t="s">
        <v>707</v>
      </c>
      <c r="H96" s="520" t="s">
        <v>676</v>
      </c>
      <c r="I96" s="544" t="s">
        <v>705</v>
      </c>
      <c r="J96" s="572" t="s">
        <v>703</v>
      </c>
      <c r="K96" s="544" t="s">
        <v>153</v>
      </c>
      <c r="L96" s="544">
        <f t="shared" si="13"/>
        <v>6</v>
      </c>
      <c r="M96" s="544" t="str">
        <f t="shared" si="12"/>
        <v>Same habitat required =</v>
      </c>
      <c r="N96" s="544" t="s">
        <v>153</v>
      </c>
      <c r="O96" s="544">
        <f t="shared" si="14"/>
        <v>0.33</v>
      </c>
      <c r="P96" s="544" t="s">
        <v>153</v>
      </c>
      <c r="Q96" s="544">
        <f t="shared" si="15"/>
        <v>0.33</v>
      </c>
      <c r="R96" s="520"/>
      <c r="S96" s="544"/>
    </row>
    <row r="97" spans="1:19" x14ac:dyDescent="0.25">
      <c r="A97" s="216" t="s">
        <v>708</v>
      </c>
      <c r="B97" s="119" t="s">
        <v>709</v>
      </c>
      <c r="C97" s="544" t="s">
        <v>710</v>
      </c>
      <c r="D97" s="544" t="s">
        <v>372</v>
      </c>
      <c r="E97" s="544"/>
      <c r="F97" s="520" t="s">
        <v>76</v>
      </c>
      <c r="G97" s="544"/>
      <c r="H97" s="520" t="s">
        <v>676</v>
      </c>
      <c r="I97" s="544" t="s">
        <v>710</v>
      </c>
      <c r="J97" s="572" t="s">
        <v>708</v>
      </c>
      <c r="K97" s="544" t="s">
        <v>153</v>
      </c>
      <c r="L97" s="544">
        <f t="shared" si="13"/>
        <v>6</v>
      </c>
      <c r="M97" s="544" t="str">
        <f t="shared" si="12"/>
        <v>Same habitat required =</v>
      </c>
      <c r="N97" s="544" t="s">
        <v>23</v>
      </c>
      <c r="O97" s="544">
        <f t="shared" si="14"/>
        <v>0.67</v>
      </c>
      <c r="P97" s="544" t="s">
        <v>23</v>
      </c>
      <c r="Q97" s="544">
        <f t="shared" si="15"/>
        <v>0.67</v>
      </c>
      <c r="R97" s="520"/>
      <c r="S97" s="544"/>
    </row>
    <row r="98" spans="1:19" ht="14.4" thickBot="1" x14ac:dyDescent="0.3">
      <c r="A98" s="216" t="s">
        <v>711</v>
      </c>
      <c r="B98" s="218" t="s">
        <v>712</v>
      </c>
      <c r="C98" s="526">
        <v>20</v>
      </c>
      <c r="D98" s="526" t="s">
        <v>372</v>
      </c>
      <c r="E98" s="526"/>
      <c r="F98" s="508" t="s">
        <v>76</v>
      </c>
      <c r="G98" s="526"/>
      <c r="H98" s="508" t="s">
        <v>672</v>
      </c>
      <c r="I98" s="526"/>
      <c r="J98" s="526" t="s">
        <v>711</v>
      </c>
      <c r="K98" s="526" t="s">
        <v>375</v>
      </c>
      <c r="L98" s="526">
        <f t="shared" si="13"/>
        <v>8</v>
      </c>
      <c r="M98" s="526" t="str">
        <f t="shared" si="12"/>
        <v>Bespoke compensation likely to be required 🛠</v>
      </c>
      <c r="N98" s="526" t="s">
        <v>151</v>
      </c>
      <c r="O98" s="526">
        <f t="shared" si="14"/>
        <v>0.1</v>
      </c>
      <c r="P98" s="526" t="s">
        <v>153</v>
      </c>
      <c r="Q98" s="526">
        <f t="shared" si="15"/>
        <v>0.33</v>
      </c>
      <c r="R98" s="508"/>
      <c r="S98" s="526"/>
    </row>
    <row r="99" spans="1:19" ht="14.4" thickBot="1" x14ac:dyDescent="0.3">
      <c r="A99" s="216" t="s">
        <v>80</v>
      </c>
      <c r="B99" s="220" t="s">
        <v>713</v>
      </c>
      <c r="C99" s="580" t="s">
        <v>714</v>
      </c>
      <c r="D99" s="581" t="s">
        <v>715</v>
      </c>
      <c r="E99" s="581" t="s">
        <v>716</v>
      </c>
      <c r="F99" s="582" t="s">
        <v>80</v>
      </c>
      <c r="G99" s="581"/>
      <c r="H99" s="582" t="s">
        <v>80</v>
      </c>
      <c r="I99" s="582"/>
      <c r="J99" s="581"/>
      <c r="K99" s="582" t="s">
        <v>153</v>
      </c>
      <c r="L99" s="582">
        <f t="shared" ref="L99" si="16">IF(K99=$V$3,$W$3,IF(K99=$V$3,$W$3,IF(K99=$V$4,$W$4,IF(K99=$V$5,$W$5,IF(K99=$V$6,$W$6,IF(K99=$V$7,$W$7))))))</f>
        <v>6</v>
      </c>
      <c r="M99" s="582" t="str">
        <f t="shared" si="12"/>
        <v>Same habitat required =</v>
      </c>
      <c r="N99" s="582" t="s">
        <v>23</v>
      </c>
      <c r="O99" s="582">
        <f t="shared" ref="O99" si="17">VLOOKUP(N99,Difficulty,2,FALSE)</f>
        <v>0.67</v>
      </c>
      <c r="P99" s="582" t="s">
        <v>23</v>
      </c>
      <c r="Q99" s="582">
        <f t="shared" ref="Q99" si="18">VLOOKUP(P99,Difficulty,2,FALSE)</f>
        <v>0.67</v>
      </c>
      <c r="R99" s="583"/>
      <c r="S99" s="582"/>
    </row>
    <row r="100" spans="1:19" x14ac:dyDescent="0.25">
      <c r="A100" s="216" t="s">
        <v>717</v>
      </c>
      <c r="B100" s="219" t="s">
        <v>718</v>
      </c>
      <c r="C100" s="584" t="s">
        <v>719</v>
      </c>
      <c r="D100" s="585" t="s">
        <v>715</v>
      </c>
      <c r="E100" s="585" t="s">
        <v>720</v>
      </c>
      <c r="F100" s="521" t="s">
        <v>79</v>
      </c>
      <c r="G100" s="585"/>
      <c r="H100" s="521" t="s">
        <v>717</v>
      </c>
      <c r="I100" s="521"/>
      <c r="J100" s="585"/>
      <c r="K100" s="521" t="s">
        <v>153</v>
      </c>
      <c r="L100" s="521">
        <f t="shared" ref="L100:L124" si="19">IF(K100=$V$3,$W$3,IF(K100=$V$3,$W$3,IF(K100=$V$4,$W$4,IF(K100=$V$5,$W$5,IF(K100=$V$6,$W$6,IF(K100=$V$7,$W$7))))))</f>
        <v>6</v>
      </c>
      <c r="M100" s="521" t="str">
        <f t="shared" si="12"/>
        <v>Same habitat required =</v>
      </c>
      <c r="N100" s="521" t="s">
        <v>153</v>
      </c>
      <c r="O100" s="521">
        <f t="shared" ref="O100:O124" si="20">VLOOKUP(N100,Difficulty,2,FALSE)</f>
        <v>0.33</v>
      </c>
      <c r="P100" s="521" t="s">
        <v>23</v>
      </c>
      <c r="Q100" s="521">
        <f t="shared" ref="Q100:Q124" si="21">VLOOKUP(P100,Difficulty,2,FALSE)</f>
        <v>0.67</v>
      </c>
      <c r="R100" s="507"/>
      <c r="S100" s="521"/>
    </row>
    <row r="101" spans="1:19" x14ac:dyDescent="0.25">
      <c r="A101" s="221" t="s">
        <v>721</v>
      </c>
      <c r="B101" s="119" t="s">
        <v>722</v>
      </c>
      <c r="C101" s="584" t="s">
        <v>723</v>
      </c>
      <c r="D101" s="586" t="s">
        <v>715</v>
      </c>
      <c r="E101" s="586" t="s">
        <v>720</v>
      </c>
      <c r="F101" s="544" t="s">
        <v>79</v>
      </c>
      <c r="G101" s="586"/>
      <c r="H101" s="572" t="s">
        <v>724</v>
      </c>
      <c r="I101" s="544"/>
      <c r="J101" s="586"/>
      <c r="K101" s="544" t="s">
        <v>375</v>
      </c>
      <c r="L101" s="544">
        <f t="shared" si="19"/>
        <v>8</v>
      </c>
      <c r="M101" s="544" t="str">
        <f t="shared" si="12"/>
        <v>Bespoke compensation likely to be required 🛠</v>
      </c>
      <c r="N101" s="544" t="s">
        <v>151</v>
      </c>
      <c r="O101" s="544">
        <f t="shared" si="20"/>
        <v>0.1</v>
      </c>
      <c r="P101" s="544" t="s">
        <v>23</v>
      </c>
      <c r="Q101" s="544">
        <f t="shared" si="21"/>
        <v>0.67</v>
      </c>
      <c r="R101" s="520"/>
      <c r="S101" s="544"/>
    </row>
    <row r="102" spans="1:19" x14ac:dyDescent="0.25">
      <c r="A102" s="216" t="s">
        <v>725</v>
      </c>
      <c r="B102" s="119" t="s">
        <v>726</v>
      </c>
      <c r="C102" s="571" t="s">
        <v>727</v>
      </c>
      <c r="D102" s="586" t="s">
        <v>715</v>
      </c>
      <c r="E102" s="586" t="s">
        <v>720</v>
      </c>
      <c r="F102" s="544" t="s">
        <v>79</v>
      </c>
      <c r="G102" s="586"/>
      <c r="H102" s="544" t="s">
        <v>725</v>
      </c>
      <c r="I102" s="544"/>
      <c r="J102" s="586"/>
      <c r="K102" s="544" t="s">
        <v>153</v>
      </c>
      <c r="L102" s="544">
        <f t="shared" si="19"/>
        <v>6</v>
      </c>
      <c r="M102" s="544" t="str">
        <f t="shared" si="12"/>
        <v>Same habitat required =</v>
      </c>
      <c r="N102" s="544" t="s">
        <v>153</v>
      </c>
      <c r="O102" s="544">
        <f t="shared" si="20"/>
        <v>0.33</v>
      </c>
      <c r="P102" s="544" t="s">
        <v>23</v>
      </c>
      <c r="Q102" s="544">
        <f t="shared" si="21"/>
        <v>0.67</v>
      </c>
      <c r="R102" s="520"/>
      <c r="S102" s="544"/>
    </row>
    <row r="103" spans="1:19" x14ac:dyDescent="0.25">
      <c r="A103" s="221" t="s">
        <v>728</v>
      </c>
      <c r="B103" s="119" t="s">
        <v>729</v>
      </c>
      <c r="C103" s="571" t="s">
        <v>730</v>
      </c>
      <c r="D103" s="586" t="s">
        <v>715</v>
      </c>
      <c r="E103" s="586" t="s">
        <v>720</v>
      </c>
      <c r="F103" s="544" t="s">
        <v>79</v>
      </c>
      <c r="G103" s="586"/>
      <c r="H103" s="572" t="s">
        <v>731</v>
      </c>
      <c r="I103" s="544"/>
      <c r="J103" s="586"/>
      <c r="K103" s="544" t="s">
        <v>375</v>
      </c>
      <c r="L103" s="544">
        <f t="shared" si="19"/>
        <v>8</v>
      </c>
      <c r="M103" s="544" t="str">
        <f t="shared" si="12"/>
        <v>Bespoke compensation likely to be required 🛠</v>
      </c>
      <c r="N103" s="544" t="s">
        <v>151</v>
      </c>
      <c r="O103" s="544">
        <f t="shared" si="20"/>
        <v>0.1</v>
      </c>
      <c r="P103" s="544" t="s">
        <v>23</v>
      </c>
      <c r="Q103" s="544">
        <f t="shared" si="21"/>
        <v>0.67</v>
      </c>
      <c r="R103" s="520"/>
      <c r="S103" s="544"/>
    </row>
    <row r="104" spans="1:19" x14ac:dyDescent="0.25">
      <c r="A104" s="216" t="s">
        <v>732</v>
      </c>
      <c r="B104" s="119" t="s">
        <v>733</v>
      </c>
      <c r="C104" s="571" t="s">
        <v>734</v>
      </c>
      <c r="D104" s="586" t="s">
        <v>715</v>
      </c>
      <c r="E104" s="586" t="s">
        <v>720</v>
      </c>
      <c r="F104" s="544" t="s">
        <v>79</v>
      </c>
      <c r="G104" s="586"/>
      <c r="H104" s="544" t="s">
        <v>732</v>
      </c>
      <c r="I104" s="544"/>
      <c r="J104" s="586"/>
      <c r="K104" s="544" t="s">
        <v>153</v>
      </c>
      <c r="L104" s="544">
        <f t="shared" si="19"/>
        <v>6</v>
      </c>
      <c r="M104" s="544" t="str">
        <f t="shared" si="12"/>
        <v>Same habitat required =</v>
      </c>
      <c r="N104" s="544" t="s">
        <v>153</v>
      </c>
      <c r="O104" s="544">
        <f t="shared" si="20"/>
        <v>0.33</v>
      </c>
      <c r="P104" s="544" t="s">
        <v>23</v>
      </c>
      <c r="Q104" s="544">
        <f t="shared" si="21"/>
        <v>0.67</v>
      </c>
      <c r="R104" s="520"/>
      <c r="S104" s="544"/>
    </row>
    <row r="105" spans="1:19" x14ac:dyDescent="0.25">
      <c r="A105" s="221" t="s">
        <v>735</v>
      </c>
      <c r="B105" s="119" t="s">
        <v>736</v>
      </c>
      <c r="C105" s="571" t="s">
        <v>737</v>
      </c>
      <c r="D105" s="586" t="s">
        <v>715</v>
      </c>
      <c r="E105" s="586" t="s">
        <v>720</v>
      </c>
      <c r="F105" s="544" t="s">
        <v>79</v>
      </c>
      <c r="G105" s="586"/>
      <c r="H105" s="572" t="s">
        <v>738</v>
      </c>
      <c r="I105" s="544"/>
      <c r="J105" s="586"/>
      <c r="K105" s="544" t="s">
        <v>375</v>
      </c>
      <c r="L105" s="544">
        <f t="shared" si="19"/>
        <v>8</v>
      </c>
      <c r="M105" s="544" t="str">
        <f t="shared" si="12"/>
        <v>Bespoke compensation likely to be required 🛠</v>
      </c>
      <c r="N105" s="544" t="s">
        <v>151</v>
      </c>
      <c r="O105" s="544">
        <f t="shared" si="20"/>
        <v>0.1</v>
      </c>
      <c r="P105" s="544" t="s">
        <v>23</v>
      </c>
      <c r="Q105" s="544">
        <f t="shared" si="21"/>
        <v>0.67</v>
      </c>
      <c r="R105" s="520"/>
      <c r="S105" s="544"/>
    </row>
    <row r="106" spans="1:19" x14ac:dyDescent="0.25">
      <c r="A106" s="216" t="s">
        <v>739</v>
      </c>
      <c r="B106" s="119" t="s">
        <v>740</v>
      </c>
      <c r="C106" s="571" t="s">
        <v>741</v>
      </c>
      <c r="D106" s="586" t="s">
        <v>715</v>
      </c>
      <c r="E106" s="586" t="s">
        <v>720</v>
      </c>
      <c r="F106" s="544" t="s">
        <v>79</v>
      </c>
      <c r="G106" s="586"/>
      <c r="H106" s="544" t="s">
        <v>739</v>
      </c>
      <c r="I106" s="544"/>
      <c r="J106" s="586"/>
      <c r="K106" s="544" t="s">
        <v>153</v>
      </c>
      <c r="L106" s="544">
        <f t="shared" si="19"/>
        <v>6</v>
      </c>
      <c r="M106" s="544" t="str">
        <f t="shared" si="12"/>
        <v>Same habitat required =</v>
      </c>
      <c r="N106" s="544" t="s">
        <v>153</v>
      </c>
      <c r="O106" s="544">
        <f t="shared" si="20"/>
        <v>0.33</v>
      </c>
      <c r="P106" s="544" t="s">
        <v>23</v>
      </c>
      <c r="Q106" s="544">
        <f t="shared" si="21"/>
        <v>0.67</v>
      </c>
      <c r="R106" s="520"/>
      <c r="S106" s="544"/>
    </row>
    <row r="107" spans="1:19" ht="14.4" thickBot="1" x14ac:dyDescent="0.3">
      <c r="A107" s="221" t="s">
        <v>742</v>
      </c>
      <c r="B107" s="218" t="s">
        <v>743</v>
      </c>
      <c r="C107" s="578" t="s">
        <v>744</v>
      </c>
      <c r="D107" s="587" t="s">
        <v>715</v>
      </c>
      <c r="E107" s="587" t="s">
        <v>720</v>
      </c>
      <c r="F107" s="526" t="s">
        <v>79</v>
      </c>
      <c r="G107" s="587"/>
      <c r="H107" s="575" t="s">
        <v>745</v>
      </c>
      <c r="I107" s="526"/>
      <c r="J107" s="587"/>
      <c r="K107" s="526" t="s">
        <v>375</v>
      </c>
      <c r="L107" s="526">
        <f t="shared" si="19"/>
        <v>8</v>
      </c>
      <c r="M107" s="526" t="str">
        <f t="shared" si="12"/>
        <v>Bespoke compensation likely to be required 🛠</v>
      </c>
      <c r="N107" s="526" t="s">
        <v>151</v>
      </c>
      <c r="O107" s="526">
        <f t="shared" si="20"/>
        <v>0.1</v>
      </c>
      <c r="P107" s="526" t="s">
        <v>23</v>
      </c>
      <c r="Q107" s="526">
        <f t="shared" si="21"/>
        <v>0.67</v>
      </c>
      <c r="R107" s="508"/>
      <c r="S107" s="526"/>
    </row>
    <row r="108" spans="1:19" x14ac:dyDescent="0.25">
      <c r="A108" s="216" t="s">
        <v>746</v>
      </c>
      <c r="B108" s="219" t="s">
        <v>747</v>
      </c>
      <c r="C108" s="584" t="s">
        <v>748</v>
      </c>
      <c r="D108" s="585" t="s">
        <v>715</v>
      </c>
      <c r="E108" s="585" t="s">
        <v>749</v>
      </c>
      <c r="F108" s="521" t="s">
        <v>78</v>
      </c>
      <c r="G108" s="585"/>
      <c r="H108" s="521" t="s">
        <v>750</v>
      </c>
      <c r="I108" s="521"/>
      <c r="J108" s="585"/>
      <c r="K108" s="521" t="s">
        <v>153</v>
      </c>
      <c r="L108" s="521">
        <f>IF(K108=$V$3,$W$3,IF(K108=$V$3,$W$3,IF(K108=$V$4,$W$4,IF(K108=$V$5,$W$5,IF(K108=$V$6,$W$6,IF(K108=$V$7,$W$7))))))</f>
        <v>6</v>
      </c>
      <c r="M108" s="521" t="str">
        <f>IF($K108=$V$3,$X$3,IF($K108=$V$4,$X$4,IF($K108=$V$5,$X$5,IF($K108=$V$6,$X$6,IF($K108=$V$7,$X$7)))))</f>
        <v>Same habitat required =</v>
      </c>
      <c r="N108" s="521" t="s">
        <v>153</v>
      </c>
      <c r="O108" s="521">
        <f>VLOOKUP(N108,Difficulty,2,FALSE)</f>
        <v>0.33</v>
      </c>
      <c r="P108" s="521" t="s">
        <v>23</v>
      </c>
      <c r="Q108" s="521">
        <f>VLOOKUP(P108,Difficulty,2,FALSE)</f>
        <v>0.67</v>
      </c>
      <c r="R108" s="507"/>
      <c r="S108" s="521"/>
    </row>
    <row r="109" spans="1:19" ht="14.4" thickBot="1" x14ac:dyDescent="0.3">
      <c r="A109" s="216" t="s">
        <v>751</v>
      </c>
      <c r="B109" s="218" t="s">
        <v>752</v>
      </c>
      <c r="C109" s="578" t="s">
        <v>753</v>
      </c>
      <c r="D109" s="587"/>
      <c r="E109" s="587"/>
      <c r="F109" s="526" t="s">
        <v>78</v>
      </c>
      <c r="G109" s="587"/>
      <c r="H109" s="526" t="s">
        <v>751</v>
      </c>
      <c r="I109" s="526"/>
      <c r="J109" s="587"/>
      <c r="K109" s="526" t="s">
        <v>156</v>
      </c>
      <c r="L109" s="526">
        <f>IF(K109=$V$3,$W$3,IF(K109=$V$3,$W$3,IF(K109=$V$4,$W$4,IF(K109=$V$5,$W$5,IF(K109=$V$6,$W$6,IF(K109=$V$7,$W$7))))))</f>
        <v>2</v>
      </c>
      <c r="M109" s="526" t="str">
        <f>IF($K109=$V$3,$X$3,IF($K109=$V$4,$X$4,IF($K109=$V$5,$X$5,IF($K109=$V$6,$X$6,IF($K109=$V$7,$X$7)))))</f>
        <v>Same distinctiveness or better habitat required ≥</v>
      </c>
      <c r="N109" s="526" t="s">
        <v>153</v>
      </c>
      <c r="O109" s="526">
        <f>VLOOKUP(N109,Difficulty,2,FALSE)</f>
        <v>0.33</v>
      </c>
      <c r="P109" s="526" t="s">
        <v>23</v>
      </c>
      <c r="Q109" s="526">
        <f t="shared" ref="Q109" si="22">VLOOKUP(P109,Difficulty,2,FALSE)</f>
        <v>0.67</v>
      </c>
      <c r="R109" s="508"/>
      <c r="S109" s="526"/>
    </row>
    <row r="110" spans="1:19" x14ac:dyDescent="0.25">
      <c r="A110" s="216" t="s">
        <v>754</v>
      </c>
      <c r="B110" s="219" t="s">
        <v>755</v>
      </c>
      <c r="C110" s="584" t="s">
        <v>756</v>
      </c>
      <c r="D110" s="585" t="s">
        <v>715</v>
      </c>
      <c r="E110" s="585" t="s">
        <v>749</v>
      </c>
      <c r="F110" s="521" t="s">
        <v>77</v>
      </c>
      <c r="G110" s="585"/>
      <c r="H110" s="521" t="s">
        <v>754</v>
      </c>
      <c r="I110" s="521"/>
      <c r="J110" s="585"/>
      <c r="K110" s="521" t="s">
        <v>23</v>
      </c>
      <c r="L110" s="521">
        <f t="shared" si="19"/>
        <v>4</v>
      </c>
      <c r="M110" s="521" t="str">
        <f t="shared" si="12"/>
        <v>Same broad habitat or a higher distinctiveness habitat required (≥)</v>
      </c>
      <c r="N110" s="521" t="s">
        <v>23</v>
      </c>
      <c r="O110" s="521">
        <f t="shared" si="20"/>
        <v>0.67</v>
      </c>
      <c r="P110" s="521" t="s">
        <v>23</v>
      </c>
      <c r="Q110" s="521">
        <f t="shared" si="21"/>
        <v>0.67</v>
      </c>
      <c r="R110" s="507"/>
      <c r="S110" s="521"/>
    </row>
    <row r="111" spans="1:19" x14ac:dyDescent="0.25">
      <c r="A111" s="216" t="s">
        <v>757</v>
      </c>
      <c r="B111" s="119" t="s">
        <v>758</v>
      </c>
      <c r="C111" s="571" t="s">
        <v>759</v>
      </c>
      <c r="D111" s="586" t="s">
        <v>715</v>
      </c>
      <c r="E111" s="586" t="s">
        <v>749</v>
      </c>
      <c r="F111" s="544" t="s">
        <v>77</v>
      </c>
      <c r="G111" s="586"/>
      <c r="H111" s="544" t="s">
        <v>757</v>
      </c>
      <c r="I111" s="544"/>
      <c r="J111" s="586"/>
      <c r="K111" s="544" t="s">
        <v>153</v>
      </c>
      <c r="L111" s="544">
        <f t="shared" si="19"/>
        <v>6</v>
      </c>
      <c r="M111" s="544" t="str">
        <f t="shared" si="12"/>
        <v>Same habitat required =</v>
      </c>
      <c r="N111" s="544" t="s">
        <v>153</v>
      </c>
      <c r="O111" s="544">
        <f t="shared" si="20"/>
        <v>0.33</v>
      </c>
      <c r="P111" s="544" t="s">
        <v>23</v>
      </c>
      <c r="Q111" s="544">
        <f t="shared" si="21"/>
        <v>0.67</v>
      </c>
      <c r="R111" s="520"/>
      <c r="S111" s="544"/>
    </row>
    <row r="112" spans="1:19" x14ac:dyDescent="0.25">
      <c r="A112" s="216" t="s">
        <v>760</v>
      </c>
      <c r="B112" s="119" t="s">
        <v>761</v>
      </c>
      <c r="C112" s="571" t="s">
        <v>762</v>
      </c>
      <c r="D112" s="586" t="s">
        <v>715</v>
      </c>
      <c r="E112" s="586" t="s">
        <v>749</v>
      </c>
      <c r="F112" s="544" t="s">
        <v>77</v>
      </c>
      <c r="G112" s="586"/>
      <c r="H112" s="544" t="s">
        <v>760</v>
      </c>
      <c r="I112" s="544"/>
      <c r="J112" s="586"/>
      <c r="K112" s="544" t="s">
        <v>153</v>
      </c>
      <c r="L112" s="544">
        <f t="shared" si="19"/>
        <v>6</v>
      </c>
      <c r="M112" s="544" t="str">
        <f t="shared" si="12"/>
        <v>Same habitat required =</v>
      </c>
      <c r="N112" s="544" t="s">
        <v>153</v>
      </c>
      <c r="O112" s="544">
        <f t="shared" si="20"/>
        <v>0.33</v>
      </c>
      <c r="P112" s="544" t="s">
        <v>23</v>
      </c>
      <c r="Q112" s="544">
        <f t="shared" si="21"/>
        <v>0.67</v>
      </c>
      <c r="R112" s="520"/>
      <c r="S112" s="544"/>
    </row>
    <row r="113" spans="1:19" x14ac:dyDescent="0.25">
      <c r="A113" s="216" t="s">
        <v>763</v>
      </c>
      <c r="B113" s="119" t="s">
        <v>764</v>
      </c>
      <c r="C113" s="571" t="s">
        <v>765</v>
      </c>
      <c r="D113" s="586" t="s">
        <v>715</v>
      </c>
      <c r="E113" s="586" t="s">
        <v>749</v>
      </c>
      <c r="F113" s="544" t="s">
        <v>77</v>
      </c>
      <c r="G113" s="586"/>
      <c r="H113" s="544" t="s">
        <v>766</v>
      </c>
      <c r="I113" s="544"/>
      <c r="J113" s="586"/>
      <c r="K113" s="544" t="s">
        <v>153</v>
      </c>
      <c r="L113" s="544">
        <f t="shared" si="19"/>
        <v>6</v>
      </c>
      <c r="M113" s="544" t="str">
        <f t="shared" si="12"/>
        <v>Same habitat required =</v>
      </c>
      <c r="N113" s="544" t="s">
        <v>153</v>
      </c>
      <c r="O113" s="544">
        <f t="shared" si="20"/>
        <v>0.33</v>
      </c>
      <c r="P113" s="544" t="s">
        <v>153</v>
      </c>
      <c r="Q113" s="544">
        <f t="shared" si="21"/>
        <v>0.33</v>
      </c>
      <c r="R113" s="520"/>
      <c r="S113" s="544"/>
    </row>
    <row r="114" spans="1:19" x14ac:dyDescent="0.25">
      <c r="A114" s="221" t="s">
        <v>767</v>
      </c>
      <c r="B114" s="119" t="s">
        <v>768</v>
      </c>
      <c r="C114" s="571" t="s">
        <v>769</v>
      </c>
      <c r="D114" s="586" t="s">
        <v>715</v>
      </c>
      <c r="E114" s="586" t="s">
        <v>749</v>
      </c>
      <c r="F114" s="544" t="s">
        <v>77</v>
      </c>
      <c r="G114" s="586"/>
      <c r="H114" s="572" t="s">
        <v>770</v>
      </c>
      <c r="I114" s="544"/>
      <c r="J114" s="586"/>
      <c r="K114" s="544" t="s">
        <v>375</v>
      </c>
      <c r="L114" s="544">
        <f t="shared" si="19"/>
        <v>8</v>
      </c>
      <c r="M114" s="544" t="str">
        <f t="shared" si="12"/>
        <v>Bespoke compensation likely to be required 🛠</v>
      </c>
      <c r="N114" s="544" t="s">
        <v>151</v>
      </c>
      <c r="O114" s="544">
        <f t="shared" si="20"/>
        <v>0.1</v>
      </c>
      <c r="P114" s="544" t="s">
        <v>153</v>
      </c>
      <c r="Q114" s="544">
        <f t="shared" si="21"/>
        <v>0.33</v>
      </c>
      <c r="R114" s="520"/>
      <c r="S114" s="544"/>
    </row>
    <row r="115" spans="1:19" x14ac:dyDescent="0.25">
      <c r="A115" s="216" t="s">
        <v>771</v>
      </c>
      <c r="B115" s="119" t="s">
        <v>772</v>
      </c>
      <c r="C115" s="571" t="s">
        <v>773</v>
      </c>
      <c r="D115" s="586"/>
      <c r="E115" s="586"/>
      <c r="F115" s="544" t="s">
        <v>77</v>
      </c>
      <c r="G115" s="586"/>
      <c r="H115" s="544" t="s">
        <v>774</v>
      </c>
      <c r="I115" s="544"/>
      <c r="J115" s="586"/>
      <c r="K115" s="544" t="s">
        <v>153</v>
      </c>
      <c r="L115" s="544">
        <f t="shared" si="19"/>
        <v>6</v>
      </c>
      <c r="M115" s="544" t="str">
        <f t="shared" si="12"/>
        <v>Same habitat required =</v>
      </c>
      <c r="N115" s="544" t="s">
        <v>153</v>
      </c>
      <c r="O115" s="544">
        <f t="shared" si="20"/>
        <v>0.33</v>
      </c>
      <c r="P115" s="544" t="s">
        <v>23</v>
      </c>
      <c r="Q115" s="544">
        <f t="shared" si="21"/>
        <v>0.67</v>
      </c>
      <c r="R115" s="520"/>
      <c r="S115" s="544"/>
    </row>
    <row r="116" spans="1:19" x14ac:dyDescent="0.25">
      <c r="A116" s="216" t="s">
        <v>775</v>
      </c>
      <c r="B116" s="119" t="s">
        <v>776</v>
      </c>
      <c r="C116" s="571" t="s">
        <v>777</v>
      </c>
      <c r="D116" s="586" t="s">
        <v>715</v>
      </c>
      <c r="E116" s="586" t="s">
        <v>749</v>
      </c>
      <c r="F116" s="544" t="s">
        <v>77</v>
      </c>
      <c r="G116" s="586"/>
      <c r="H116" s="544" t="s">
        <v>775</v>
      </c>
      <c r="I116" s="544"/>
      <c r="J116" s="586"/>
      <c r="K116" s="544" t="s">
        <v>153</v>
      </c>
      <c r="L116" s="544">
        <f t="shared" si="19"/>
        <v>6</v>
      </c>
      <c r="M116" s="544" t="str">
        <f t="shared" si="12"/>
        <v>Same habitat required =</v>
      </c>
      <c r="N116" s="544" t="s">
        <v>153</v>
      </c>
      <c r="O116" s="544">
        <f t="shared" si="20"/>
        <v>0.33</v>
      </c>
      <c r="P116" s="544" t="s">
        <v>23</v>
      </c>
      <c r="Q116" s="544">
        <f t="shared" si="21"/>
        <v>0.67</v>
      </c>
      <c r="R116" s="520"/>
      <c r="S116" s="544"/>
    </row>
    <row r="117" spans="1:19" x14ac:dyDescent="0.25">
      <c r="A117" s="216" t="s">
        <v>778</v>
      </c>
      <c r="B117" s="119" t="s">
        <v>779</v>
      </c>
      <c r="C117" s="571" t="s">
        <v>780</v>
      </c>
      <c r="D117" s="586" t="s">
        <v>715</v>
      </c>
      <c r="E117" s="586" t="s">
        <v>749</v>
      </c>
      <c r="F117" s="544" t="s">
        <v>77</v>
      </c>
      <c r="G117" s="586"/>
      <c r="H117" s="544" t="s">
        <v>778</v>
      </c>
      <c r="I117" s="544"/>
      <c r="J117" s="586"/>
      <c r="K117" s="544" t="s">
        <v>153</v>
      </c>
      <c r="L117" s="544">
        <f t="shared" si="19"/>
        <v>6</v>
      </c>
      <c r="M117" s="544" t="str">
        <f t="shared" si="12"/>
        <v>Same habitat required =</v>
      </c>
      <c r="N117" s="544" t="s">
        <v>153</v>
      </c>
      <c r="O117" s="544">
        <f t="shared" si="20"/>
        <v>0.33</v>
      </c>
      <c r="P117" s="544" t="s">
        <v>23</v>
      </c>
      <c r="Q117" s="544">
        <f t="shared" si="21"/>
        <v>0.67</v>
      </c>
      <c r="R117" s="520"/>
      <c r="S117" s="544"/>
    </row>
    <row r="118" spans="1:19" x14ac:dyDescent="0.25">
      <c r="A118" s="216" t="s">
        <v>781</v>
      </c>
      <c r="B118" s="119" t="s">
        <v>782</v>
      </c>
      <c r="C118" s="571" t="s">
        <v>783</v>
      </c>
      <c r="D118" s="586" t="s">
        <v>715</v>
      </c>
      <c r="E118" s="586" t="s">
        <v>749</v>
      </c>
      <c r="F118" s="544" t="s">
        <v>77</v>
      </c>
      <c r="G118" s="586"/>
      <c r="H118" s="544" t="s">
        <v>781</v>
      </c>
      <c r="I118" s="544"/>
      <c r="J118" s="586"/>
      <c r="K118" s="544" t="s">
        <v>156</v>
      </c>
      <c r="L118" s="544">
        <f t="shared" si="19"/>
        <v>2</v>
      </c>
      <c r="M118" s="544" t="str">
        <f t="shared" si="12"/>
        <v>Same distinctiveness or better habitat required ≥</v>
      </c>
      <c r="N118" s="544" t="s">
        <v>23</v>
      </c>
      <c r="O118" s="544">
        <f t="shared" si="20"/>
        <v>0.67</v>
      </c>
      <c r="P118" s="544" t="s">
        <v>23</v>
      </c>
      <c r="Q118" s="544">
        <f t="shared" si="21"/>
        <v>0.67</v>
      </c>
      <c r="R118" s="520"/>
      <c r="S118" s="544"/>
    </row>
    <row r="119" spans="1:19" x14ac:dyDescent="0.25">
      <c r="A119" s="216" t="s">
        <v>784</v>
      </c>
      <c r="B119" s="119" t="s">
        <v>785</v>
      </c>
      <c r="C119" s="571" t="s">
        <v>786</v>
      </c>
      <c r="D119" s="586"/>
      <c r="E119" s="586"/>
      <c r="F119" s="544" t="s">
        <v>77</v>
      </c>
      <c r="G119" s="586"/>
      <c r="H119" s="544" t="s">
        <v>784</v>
      </c>
      <c r="I119" s="544"/>
      <c r="J119" s="586"/>
      <c r="K119" s="544" t="s">
        <v>156</v>
      </c>
      <c r="L119" s="544">
        <f t="shared" si="19"/>
        <v>2</v>
      </c>
      <c r="M119" s="544" t="str">
        <f t="shared" si="12"/>
        <v>Same distinctiveness or better habitat required ≥</v>
      </c>
      <c r="N119" s="544" t="s">
        <v>153</v>
      </c>
      <c r="O119" s="544">
        <f t="shared" si="20"/>
        <v>0.33</v>
      </c>
      <c r="P119" s="544" t="s">
        <v>23</v>
      </c>
      <c r="Q119" s="544">
        <f t="shared" si="21"/>
        <v>0.67</v>
      </c>
      <c r="R119" s="520"/>
      <c r="S119" s="544"/>
    </row>
    <row r="120" spans="1:19" x14ac:dyDescent="0.25">
      <c r="A120" s="216" t="s">
        <v>787</v>
      </c>
      <c r="B120" s="119" t="s">
        <v>788</v>
      </c>
      <c r="C120" s="571" t="s">
        <v>789</v>
      </c>
      <c r="D120" s="586"/>
      <c r="E120" s="586"/>
      <c r="F120" s="544" t="s">
        <v>77</v>
      </c>
      <c r="G120" s="586"/>
      <c r="H120" s="574" t="s">
        <v>787</v>
      </c>
      <c r="I120" s="544"/>
      <c r="J120" s="586"/>
      <c r="K120" s="544" t="s">
        <v>156</v>
      </c>
      <c r="L120" s="544">
        <f t="shared" si="19"/>
        <v>2</v>
      </c>
      <c r="M120" s="544" t="str">
        <f t="shared" si="12"/>
        <v>Same distinctiveness or better habitat required ≥</v>
      </c>
      <c r="N120" s="544" t="s">
        <v>23</v>
      </c>
      <c r="O120" s="544">
        <f t="shared" si="20"/>
        <v>0.67</v>
      </c>
      <c r="P120" s="544" t="s">
        <v>23</v>
      </c>
      <c r="Q120" s="544">
        <f t="shared" si="21"/>
        <v>0.67</v>
      </c>
      <c r="R120" s="520"/>
      <c r="S120" s="544"/>
    </row>
    <row r="121" spans="1:19" x14ac:dyDescent="0.25">
      <c r="A121" s="216" t="s">
        <v>790</v>
      </c>
      <c r="B121" s="119" t="s">
        <v>791</v>
      </c>
      <c r="C121" s="571" t="s">
        <v>792</v>
      </c>
      <c r="D121" s="586" t="s">
        <v>715</v>
      </c>
      <c r="E121" s="586" t="s">
        <v>749</v>
      </c>
      <c r="F121" s="544" t="s">
        <v>77</v>
      </c>
      <c r="G121" s="586"/>
      <c r="H121" s="544" t="s">
        <v>784</v>
      </c>
      <c r="I121" s="544"/>
      <c r="J121" s="586"/>
      <c r="K121" s="544" t="s">
        <v>156</v>
      </c>
      <c r="L121" s="544">
        <f t="shared" si="19"/>
        <v>2</v>
      </c>
      <c r="M121" s="544" t="str">
        <f t="shared" si="12"/>
        <v>Same distinctiveness or better habitat required ≥</v>
      </c>
      <c r="N121" s="544" t="s">
        <v>153</v>
      </c>
      <c r="O121" s="544">
        <f t="shared" si="20"/>
        <v>0.33</v>
      </c>
      <c r="P121" s="544" t="s">
        <v>23</v>
      </c>
      <c r="Q121" s="544">
        <f t="shared" si="21"/>
        <v>0.67</v>
      </c>
      <c r="R121" s="520"/>
      <c r="S121" s="544"/>
    </row>
    <row r="122" spans="1:19" x14ac:dyDescent="0.25">
      <c r="A122" s="216" t="s">
        <v>793</v>
      </c>
      <c r="B122" s="119" t="s">
        <v>794</v>
      </c>
      <c r="C122" s="571" t="s">
        <v>795</v>
      </c>
      <c r="D122" s="586" t="s">
        <v>715</v>
      </c>
      <c r="E122" s="586" t="s">
        <v>749</v>
      </c>
      <c r="F122" s="544" t="s">
        <v>77</v>
      </c>
      <c r="G122" s="586"/>
      <c r="H122" s="544" t="s">
        <v>793</v>
      </c>
      <c r="I122" s="544"/>
      <c r="J122" s="586"/>
      <c r="K122" s="544" t="s">
        <v>156</v>
      </c>
      <c r="L122" s="544">
        <f t="shared" si="19"/>
        <v>2</v>
      </c>
      <c r="M122" s="544" t="str">
        <f t="shared" si="12"/>
        <v>Same distinctiveness or better habitat required ≥</v>
      </c>
      <c r="N122" s="544" t="s">
        <v>153</v>
      </c>
      <c r="O122" s="544">
        <f t="shared" si="20"/>
        <v>0.33</v>
      </c>
      <c r="P122" s="544" t="s">
        <v>23</v>
      </c>
      <c r="Q122" s="544">
        <f t="shared" si="21"/>
        <v>0.67</v>
      </c>
      <c r="R122" s="520"/>
      <c r="S122" s="544"/>
    </row>
    <row r="123" spans="1:19" x14ac:dyDescent="0.25">
      <c r="A123" s="216" t="s">
        <v>796</v>
      </c>
      <c r="B123" s="119" t="s">
        <v>797</v>
      </c>
      <c r="C123" s="571" t="s">
        <v>798</v>
      </c>
      <c r="D123" s="586" t="s">
        <v>715</v>
      </c>
      <c r="E123" s="586" t="s">
        <v>749</v>
      </c>
      <c r="F123" s="544" t="s">
        <v>77</v>
      </c>
      <c r="G123" s="586"/>
      <c r="H123" s="544" t="s">
        <v>796</v>
      </c>
      <c r="I123" s="544"/>
      <c r="J123" s="586"/>
      <c r="K123" s="544" t="s">
        <v>156</v>
      </c>
      <c r="L123" s="544">
        <f t="shared" si="19"/>
        <v>2</v>
      </c>
      <c r="M123" s="544" t="str">
        <f t="shared" si="12"/>
        <v>Same distinctiveness or better habitat required ≥</v>
      </c>
      <c r="N123" s="544" t="s">
        <v>153</v>
      </c>
      <c r="O123" s="544">
        <f t="shared" si="20"/>
        <v>0.33</v>
      </c>
      <c r="P123" s="544" t="s">
        <v>153</v>
      </c>
      <c r="Q123" s="544">
        <f t="shared" si="21"/>
        <v>0.33</v>
      </c>
      <c r="R123" s="520"/>
      <c r="S123" s="544"/>
    </row>
    <row r="124" spans="1:19" x14ac:dyDescent="0.25">
      <c r="A124" s="216" t="s">
        <v>799</v>
      </c>
      <c r="B124" s="119" t="s">
        <v>800</v>
      </c>
      <c r="C124" s="571" t="s">
        <v>801</v>
      </c>
      <c r="D124" s="586" t="s">
        <v>715</v>
      </c>
      <c r="E124" s="586" t="s">
        <v>749</v>
      </c>
      <c r="F124" s="544" t="s">
        <v>77</v>
      </c>
      <c r="G124" s="586"/>
      <c r="H124" s="544" t="s">
        <v>799</v>
      </c>
      <c r="I124" s="544"/>
      <c r="J124" s="586"/>
      <c r="K124" s="544" t="s">
        <v>156</v>
      </c>
      <c r="L124" s="544">
        <f t="shared" si="19"/>
        <v>2</v>
      </c>
      <c r="M124" s="544" t="str">
        <f t="shared" si="12"/>
        <v>Same distinctiveness or better habitat required ≥</v>
      </c>
      <c r="N124" s="544" t="s">
        <v>153</v>
      </c>
      <c r="O124" s="544">
        <f t="shared" si="20"/>
        <v>0.33</v>
      </c>
      <c r="P124" s="544" t="s">
        <v>23</v>
      </c>
      <c r="Q124" s="544">
        <f t="shared" si="21"/>
        <v>0.67</v>
      </c>
      <c r="R124" s="520"/>
      <c r="S124" s="544"/>
    </row>
    <row r="125" spans="1:19" x14ac:dyDescent="0.25">
      <c r="A125" s="156" t="s">
        <v>802</v>
      </c>
      <c r="B125" s="105" t="s">
        <v>803</v>
      </c>
      <c r="C125" s="571" t="s">
        <v>804</v>
      </c>
      <c r="D125" s="586" t="s">
        <v>715</v>
      </c>
      <c r="E125" s="586"/>
      <c r="F125" s="544" t="s">
        <v>77</v>
      </c>
      <c r="G125" s="586"/>
      <c r="H125" s="588" t="s">
        <v>802</v>
      </c>
      <c r="I125" s="544"/>
      <c r="J125" s="586"/>
      <c r="K125" s="544" t="s">
        <v>23</v>
      </c>
      <c r="L125" s="544">
        <f t="shared" ref="L125" si="23">IF(K125=$V$3,$W$3,IF(K125=$V$3,$W$3,IF(K125=$V$4,$W$4,IF(K125=$V$5,$W$5,IF(K125=$V$6,$W$6,IF(K125=$V$7,$W$7))))))</f>
        <v>4</v>
      </c>
      <c r="M125" s="544" t="str">
        <f t="shared" si="12"/>
        <v>Same broad habitat or a higher distinctiveness habitat required (≥)</v>
      </c>
      <c r="N125" s="544" t="s">
        <v>23</v>
      </c>
      <c r="O125" s="544">
        <f t="shared" ref="O125" si="24">VLOOKUP(N125,Difficulty,2,FALSE)</f>
        <v>0.67</v>
      </c>
      <c r="P125" s="544" t="s">
        <v>23</v>
      </c>
      <c r="Q125" s="544">
        <f t="shared" ref="Q125" si="25">VLOOKUP(P125,Difficulty,2,FALSE)</f>
        <v>0.67</v>
      </c>
      <c r="R125" s="520"/>
      <c r="S125" s="544"/>
    </row>
    <row r="126" spans="1:19" ht="14.4" thickBot="1" x14ac:dyDescent="0.3">
      <c r="A126" s="156" t="s">
        <v>805</v>
      </c>
      <c r="B126" s="222" t="s">
        <v>806</v>
      </c>
      <c r="C126" s="578" t="s">
        <v>807</v>
      </c>
      <c r="D126" s="587" t="s">
        <v>715</v>
      </c>
      <c r="E126" s="587"/>
      <c r="F126" s="526" t="s">
        <v>77</v>
      </c>
      <c r="G126" s="587"/>
      <c r="H126" s="589" t="s">
        <v>805</v>
      </c>
      <c r="I126" s="526"/>
      <c r="J126" s="587"/>
      <c r="K126" s="526" t="s">
        <v>153</v>
      </c>
      <c r="L126" s="526">
        <f t="shared" ref="L126" si="26">IF(K126=$V$3,$W$3,IF(K126=$V$3,$W$3,IF(K126=$V$4,$W$4,IF(K126=$V$5,$W$5,IF(K126=$V$6,$W$6,IF(K126=$V$7,$W$7))))))</f>
        <v>6</v>
      </c>
      <c r="M126" s="526" t="str">
        <f t="shared" si="12"/>
        <v>Same habitat required =</v>
      </c>
      <c r="N126" s="526" t="s">
        <v>153</v>
      </c>
      <c r="O126" s="526">
        <f t="shared" ref="O126" si="27">VLOOKUP(N126,Difficulty,2,FALSE)</f>
        <v>0.33</v>
      </c>
      <c r="P126" s="526" t="s">
        <v>23</v>
      </c>
      <c r="Q126" s="526">
        <f t="shared" ref="Q126" si="28">VLOOKUP(P126,Difficulty,2,FALSE)</f>
        <v>0.67</v>
      </c>
      <c r="R126" s="508"/>
      <c r="S126" s="526"/>
    </row>
    <row r="127" spans="1:19" ht="14.25" customHeight="1" x14ac:dyDescent="0.25">
      <c r="A127" s="156" t="s">
        <v>808</v>
      </c>
      <c r="B127" s="223" t="s">
        <v>809</v>
      </c>
      <c r="C127" s="584" t="s">
        <v>810</v>
      </c>
      <c r="D127" s="585" t="s">
        <v>715</v>
      </c>
      <c r="E127" s="585"/>
      <c r="F127" s="521" t="s">
        <v>81</v>
      </c>
      <c r="G127" s="585"/>
      <c r="H127" s="590" t="s">
        <v>808</v>
      </c>
      <c r="I127" s="521"/>
      <c r="J127" s="585"/>
      <c r="K127" s="521" t="s">
        <v>156</v>
      </c>
      <c r="L127" s="521">
        <f t="shared" ref="L127" si="29">IF(K127=$V$3,$W$3,IF(K127=$V$3,$W$3,IF(K127=$V$4,$W$4,IF(K127=$V$5,$W$5,IF(K127=$V$6,$W$6,IF(K127=$V$7,$W$7))))))</f>
        <v>2</v>
      </c>
      <c r="M127" s="521" t="str">
        <f t="shared" ref="M127:M128" si="30">IF($K127=$V$3,$X$3,IF($K127=$V$4,$X$4,IF($K127=$V$5,$X$5,IF($K127=$V$6,$X$6,IF($K127=$V$7,$X$7)))))</f>
        <v>Same distinctiveness or better habitat required ≥</v>
      </c>
      <c r="N127" s="521" t="s">
        <v>23</v>
      </c>
      <c r="O127" s="521">
        <f t="shared" ref="O127:O129" si="31">VLOOKUP(N127,Difficulty,2,FALSE)</f>
        <v>0.67</v>
      </c>
      <c r="P127" s="521" t="s">
        <v>23</v>
      </c>
      <c r="Q127" s="521">
        <f t="shared" ref="Q127:Q129" si="32">VLOOKUP(P127,Difficulty,2,FALSE)</f>
        <v>0.67</v>
      </c>
      <c r="R127" s="507"/>
      <c r="S127" s="521"/>
    </row>
    <row r="128" spans="1:19" x14ac:dyDescent="0.25">
      <c r="A128" s="156" t="s">
        <v>811</v>
      </c>
      <c r="B128" s="105" t="s">
        <v>812</v>
      </c>
      <c r="C128" s="571" t="s">
        <v>813</v>
      </c>
      <c r="D128" s="586" t="s">
        <v>715</v>
      </c>
      <c r="E128" s="586"/>
      <c r="F128" s="521" t="s">
        <v>81</v>
      </c>
      <c r="G128" s="586"/>
      <c r="H128" s="588" t="s">
        <v>811</v>
      </c>
      <c r="I128" s="544"/>
      <c r="J128" s="586"/>
      <c r="K128" s="521" t="s">
        <v>156</v>
      </c>
      <c r="L128" s="544">
        <f t="shared" ref="L128" si="33">IF(K128=$V$3,$W$3,IF(K128=$V$3,$W$3,IF(K128=$V$4,$W$4,IF(K128=$V$5,$W$5,IF(K128=$V$6,$W$6,IF(K128=$V$7,$W$7))))))</f>
        <v>2</v>
      </c>
      <c r="M128" s="544" t="str">
        <f t="shared" si="30"/>
        <v>Same distinctiveness or better habitat required ≥</v>
      </c>
      <c r="N128" s="544" t="s">
        <v>23</v>
      </c>
      <c r="O128" s="544">
        <f t="shared" si="31"/>
        <v>0.67</v>
      </c>
      <c r="P128" s="544" t="s">
        <v>23</v>
      </c>
      <c r="Q128" s="544">
        <f t="shared" si="32"/>
        <v>0.67</v>
      </c>
      <c r="R128" s="520"/>
      <c r="S128" s="544"/>
    </row>
    <row r="129" spans="1:19" ht="27.6" x14ac:dyDescent="0.25">
      <c r="A129" s="156" t="s">
        <v>814</v>
      </c>
      <c r="B129" s="105" t="s">
        <v>815</v>
      </c>
      <c r="C129" s="571" t="s">
        <v>816</v>
      </c>
      <c r="D129" s="586" t="s">
        <v>715</v>
      </c>
      <c r="E129" s="586"/>
      <c r="F129" s="521" t="s">
        <v>81</v>
      </c>
      <c r="G129" s="586"/>
      <c r="H129" s="588" t="s">
        <v>814</v>
      </c>
      <c r="I129" s="544"/>
      <c r="J129" s="586"/>
      <c r="K129" s="544" t="s">
        <v>23</v>
      </c>
      <c r="L129" s="544">
        <f t="shared" ref="L129" si="34">IF(K129=$V$3,$W$3,IF(K129=$V$3,$W$3,IF(K129=$V$4,$W$4,IF(K129=$V$5,$W$5,IF(K129=$V$6,$W$6,IF(K129=$V$7,$W$7))))))</f>
        <v>4</v>
      </c>
      <c r="M129" s="544" t="str">
        <f t="shared" ref="M129" si="35">IF($K129=$V$3,$X$3,IF($K129=$V$4,$X$4,IF($K129=$V$5,$X$5,IF($K129=$V$6,$X$6,IF($K129=$V$7,$X$7)))))</f>
        <v>Same broad habitat or a higher distinctiveness habitat required (≥)</v>
      </c>
      <c r="N129" s="544" t="s">
        <v>23</v>
      </c>
      <c r="O129" s="544">
        <f t="shared" si="31"/>
        <v>0.67</v>
      </c>
      <c r="P129" s="544" t="s">
        <v>23</v>
      </c>
      <c r="Q129" s="544">
        <f t="shared" si="32"/>
        <v>0.67</v>
      </c>
      <c r="R129" s="520"/>
      <c r="S129" s="544"/>
    </row>
    <row r="130" spans="1:19" x14ac:dyDescent="0.25"/>
    <row r="131" spans="1:19" x14ac:dyDescent="0.25"/>
    <row r="132" spans="1:19" x14ac:dyDescent="0.25"/>
    <row r="133" spans="1:19" x14ac:dyDescent="0.25"/>
    <row r="134" spans="1:19" x14ac:dyDescent="0.25"/>
    <row r="135" spans="1:19" x14ac:dyDescent="0.25"/>
    <row r="136" spans="1:19" x14ac:dyDescent="0.25"/>
    <row r="137" spans="1:19" x14ac:dyDescent="0.25"/>
    <row r="138" spans="1:19" x14ac:dyDescent="0.25"/>
    <row r="139" spans="1:19" x14ac:dyDescent="0.25"/>
    <row r="140" spans="1:19" x14ac:dyDescent="0.25"/>
    <row r="144" spans="1:19" x14ac:dyDescent="0.25"/>
    <row r="148" x14ac:dyDescent="0.25"/>
    <row r="149" x14ac:dyDescent="0.25"/>
    <row r="150" x14ac:dyDescent="0.25"/>
    <row r="151" x14ac:dyDescent="0.25"/>
    <row r="152" x14ac:dyDescent="0.25"/>
    <row r="153" x14ac:dyDescent="0.25"/>
    <row r="154" x14ac:dyDescent="0.25"/>
  </sheetData>
  <sheetProtection algorithmName="SHA-512" hashValue="fnVYSjH35yY7OrdaG9jxdoifJ6prZ96yjVv3IcEI4Xyx7jfAp81vjZ1+lB0ohLxi4sAK3EGVVALef+qMp1iz/A==" saltValue="3afzRnmhB0xJlQW/EjnYKw==" spinCount="100000" sheet="1" objects="1" scenarios="1"/>
  <autoFilter ref="B2:S129"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dataValidations count="1">
    <dataValidation type="list" allowBlank="1" showInputMessage="1" showErrorMessage="1" sqref="K3:K129"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N3:N129 P3:P129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2"/>
  <sheetViews>
    <sheetView showGridLines="0" showRowColHeaders="0" zoomScaleNormal="100" workbookViewId="0">
      <selection activeCell="S28" sqref="S28"/>
    </sheetView>
  </sheetViews>
  <sheetFormatPr defaultColWidth="16.44140625" defaultRowHeight="13.8" x14ac:dyDescent="0.25"/>
  <cols>
    <col min="1" max="1" width="88.88671875" style="31" bestFit="1" customWidth="1"/>
    <col min="2" max="2" width="27.6640625" style="31" customWidth="1"/>
    <col min="3" max="3" width="18.5546875" style="31" customWidth="1"/>
    <col min="4" max="4" width="62.88671875" style="31" bestFit="1" customWidth="1"/>
    <col min="5" max="35" width="16.44140625" style="31"/>
    <col min="36" max="36" width="23.6640625" style="31" customWidth="1"/>
    <col min="37" max="38" width="16.44140625" style="31"/>
    <col min="39" max="39" width="23" style="31" customWidth="1"/>
    <col min="40" max="40" width="23.44140625" style="31" customWidth="1"/>
    <col min="41" max="41" width="21.6640625" style="31" customWidth="1"/>
    <col min="42" max="42" width="23.5546875" style="31" customWidth="1"/>
    <col min="43" max="46" width="16.44140625" style="31"/>
    <col min="47" max="47" width="78.44140625" style="31" customWidth="1"/>
    <col min="48" max="48" width="24.44140625" style="31" bestFit="1" customWidth="1"/>
    <col min="49" max="49" width="16.88671875" style="31" bestFit="1" customWidth="1"/>
    <col min="50" max="50" width="23.5546875" style="31" bestFit="1" customWidth="1"/>
    <col min="51" max="51" width="28.109375" style="31" customWidth="1"/>
    <col min="52" max="52" width="29.33203125" style="31" bestFit="1" customWidth="1"/>
    <col min="53" max="53" width="26.109375" style="31" bestFit="1" customWidth="1"/>
    <col min="54" max="54" width="25.88671875" style="31" bestFit="1" customWidth="1"/>
    <col min="55" max="55" width="28.109375" style="31" bestFit="1" customWidth="1"/>
    <col min="56" max="57" width="34.6640625" style="31" bestFit="1" customWidth="1"/>
    <col min="58" max="58" width="27.109375" style="31" bestFit="1" customWidth="1"/>
    <col min="59" max="59" width="9.109375" style="31" bestFit="1" customWidth="1"/>
    <col min="60" max="16384" width="16.44140625" style="31"/>
  </cols>
  <sheetData>
    <row r="1" spans="1:59" ht="51.6" customHeight="1" x14ac:dyDescent="0.55000000000000004">
      <c r="A1" s="1045" t="s">
        <v>817</v>
      </c>
      <c r="B1" s="1045"/>
      <c r="C1" s="1045"/>
      <c r="D1" s="1045"/>
      <c r="E1" s="1045"/>
      <c r="F1" s="1045"/>
      <c r="G1" s="1045"/>
      <c r="H1" s="1045"/>
      <c r="I1" s="1045"/>
      <c r="J1" s="1045"/>
      <c r="K1" s="1045"/>
      <c r="L1" s="1045"/>
      <c r="M1" s="1045"/>
      <c r="N1" s="1045"/>
      <c r="O1" s="1045"/>
      <c r="P1" s="1045"/>
      <c r="Q1" s="1045"/>
      <c r="R1" s="1045"/>
      <c r="S1" s="1045"/>
      <c r="T1" s="1045"/>
      <c r="U1" s="1045"/>
      <c r="V1" s="1045"/>
      <c r="W1" s="1045"/>
      <c r="X1" s="1045"/>
      <c r="Y1" s="1045"/>
      <c r="Z1" s="1045"/>
      <c r="AA1" s="1045"/>
      <c r="AB1" s="1045"/>
      <c r="AC1" s="1045"/>
      <c r="AD1" s="1045"/>
      <c r="AE1" s="1045"/>
      <c r="AF1" s="1045"/>
      <c r="AG1" s="126"/>
      <c r="AJ1" s="1042" t="s">
        <v>818</v>
      </c>
      <c r="AK1" s="1043"/>
      <c r="AL1" s="1043"/>
      <c r="AM1" s="1043"/>
      <c r="AN1" s="1043"/>
      <c r="AO1" s="1043"/>
      <c r="AP1" s="1044"/>
      <c r="AU1" s="1042" t="s">
        <v>819</v>
      </c>
      <c r="AV1" s="1043"/>
      <c r="AW1" s="1043"/>
      <c r="AX1" s="1043"/>
      <c r="AY1" s="1043"/>
      <c r="AZ1" s="1043"/>
      <c r="BA1" s="1043"/>
      <c r="BB1" s="1043"/>
      <c r="BC1" s="1043"/>
      <c r="BD1" s="1043"/>
      <c r="BE1" s="1043"/>
      <c r="BF1" s="1043"/>
      <c r="BG1" s="1044"/>
    </row>
    <row r="2" spans="1:59" ht="22.8" x14ac:dyDescent="0.4">
      <c r="A2" s="101">
        <v>1</v>
      </c>
      <c r="B2" s="101">
        <v>2</v>
      </c>
      <c r="C2" s="101">
        <v>3</v>
      </c>
      <c r="D2" s="101">
        <v>4</v>
      </c>
      <c r="E2" s="101">
        <v>5</v>
      </c>
      <c r="F2" s="101">
        <v>6</v>
      </c>
      <c r="G2" s="101">
        <v>7</v>
      </c>
      <c r="H2" s="101">
        <v>8</v>
      </c>
      <c r="I2" s="101">
        <v>9</v>
      </c>
      <c r="J2" s="101">
        <v>10</v>
      </c>
      <c r="K2" s="101">
        <v>11</v>
      </c>
      <c r="L2" s="101">
        <v>12</v>
      </c>
      <c r="M2" s="101">
        <v>13</v>
      </c>
      <c r="N2" s="101">
        <v>14</v>
      </c>
      <c r="O2" s="101">
        <v>15</v>
      </c>
      <c r="P2" s="101">
        <v>16</v>
      </c>
      <c r="Q2" s="101">
        <v>17</v>
      </c>
      <c r="R2" s="101">
        <v>18</v>
      </c>
      <c r="S2" s="101">
        <v>19</v>
      </c>
      <c r="T2" s="101">
        <v>20</v>
      </c>
      <c r="U2" s="101">
        <v>21</v>
      </c>
      <c r="V2" s="101">
        <v>22</v>
      </c>
      <c r="W2" s="101">
        <v>23</v>
      </c>
      <c r="X2" s="101">
        <v>24</v>
      </c>
      <c r="Y2" s="101">
        <v>25</v>
      </c>
      <c r="Z2" s="101">
        <v>26</v>
      </c>
      <c r="AA2" s="101">
        <v>27</v>
      </c>
      <c r="AB2" s="101">
        <v>28</v>
      </c>
      <c r="AC2" s="101">
        <v>29</v>
      </c>
      <c r="AD2" s="101">
        <v>30</v>
      </c>
      <c r="AE2" s="101">
        <v>31</v>
      </c>
      <c r="AF2" s="102">
        <v>32</v>
      </c>
    </row>
    <row r="3" spans="1:59" ht="107.4" customHeight="1" x14ac:dyDescent="0.55000000000000004">
      <c r="A3" s="103" t="s">
        <v>820</v>
      </c>
      <c r="B3" s="103" t="s">
        <v>160</v>
      </c>
      <c r="C3" s="103" t="s">
        <v>189</v>
      </c>
      <c r="D3" s="103" t="s">
        <v>821</v>
      </c>
      <c r="E3" s="103" t="s">
        <v>822</v>
      </c>
      <c r="F3" s="103" t="s">
        <v>823</v>
      </c>
      <c r="G3" s="103" t="s">
        <v>824</v>
      </c>
      <c r="H3" s="103" t="s">
        <v>825</v>
      </c>
      <c r="I3" s="103" t="s">
        <v>826</v>
      </c>
      <c r="J3" s="103" t="s">
        <v>827</v>
      </c>
      <c r="K3" s="103" t="s">
        <v>828</v>
      </c>
      <c r="L3" s="103" t="s">
        <v>829</v>
      </c>
      <c r="M3" s="103" t="s">
        <v>830</v>
      </c>
      <c r="N3" s="103" t="s">
        <v>831</v>
      </c>
      <c r="O3" s="103" t="s">
        <v>832</v>
      </c>
      <c r="P3" s="103" t="s">
        <v>833</v>
      </c>
      <c r="Q3" s="103" t="s">
        <v>834</v>
      </c>
      <c r="R3" s="103" t="s">
        <v>835</v>
      </c>
      <c r="S3" s="103" t="s">
        <v>836</v>
      </c>
      <c r="T3" s="103" t="s">
        <v>837</v>
      </c>
      <c r="U3" s="103" t="s">
        <v>838</v>
      </c>
      <c r="V3" s="103" t="s">
        <v>839</v>
      </c>
      <c r="W3" s="103" t="s">
        <v>840</v>
      </c>
      <c r="X3" s="103" t="s">
        <v>841</v>
      </c>
      <c r="Y3" s="103" t="s">
        <v>842</v>
      </c>
      <c r="Z3" s="103" t="s">
        <v>843</v>
      </c>
      <c r="AA3" s="103" t="s">
        <v>844</v>
      </c>
      <c r="AB3" s="103" t="s">
        <v>845</v>
      </c>
      <c r="AC3" s="103" t="s">
        <v>846</v>
      </c>
      <c r="AD3" s="103" t="s">
        <v>847</v>
      </c>
      <c r="AE3" s="103" t="s">
        <v>848</v>
      </c>
      <c r="AF3" s="103" t="s">
        <v>849</v>
      </c>
      <c r="AJ3" s="125" t="s">
        <v>850</v>
      </c>
      <c r="AK3" s="127" t="s">
        <v>851</v>
      </c>
      <c r="AL3" s="127" t="s">
        <v>852</v>
      </c>
      <c r="AM3" s="127" t="s">
        <v>853</v>
      </c>
      <c r="AN3" s="127" t="s">
        <v>854</v>
      </c>
      <c r="AO3" s="127" t="s">
        <v>855</v>
      </c>
      <c r="AP3" s="127" t="s">
        <v>161</v>
      </c>
      <c r="AU3" s="114" t="s">
        <v>151</v>
      </c>
      <c r="AV3" s="115"/>
      <c r="AW3" s="116"/>
      <c r="AX3" s="116"/>
      <c r="AY3" s="116"/>
      <c r="AZ3" s="116"/>
      <c r="BA3" s="116"/>
      <c r="BB3" s="116"/>
      <c r="BC3" s="116"/>
      <c r="BD3" s="116"/>
      <c r="BE3" s="116"/>
      <c r="BF3" s="116"/>
      <c r="BG3" s="116"/>
    </row>
    <row r="4" spans="1:59" ht="15.6" x14ac:dyDescent="0.3">
      <c r="A4" s="104" t="str">
        <f>'G-1 All Habitats'!B3</f>
        <v>Cropland - Arable field margins cultivated annually</v>
      </c>
      <c r="B4" s="88" t="str">
        <f>'G-1 All Habitats'!F3</f>
        <v>Cropland</v>
      </c>
      <c r="C4" s="88" t="str">
        <f>'G-1 All Habitats'!K3</f>
        <v>Medium</v>
      </c>
      <c r="D4" s="88" t="str">
        <f>'G-1 All Habitats'!M3</f>
        <v>Same broad habitat or a higher distinctiveness habitat required (≥)</v>
      </c>
      <c r="E4" s="494">
        <f>IF(C4="V.High",SUMIF('A-1 Site Habitat Baseline'!$G$11:$G$258,'G-2 Habitat groups'!A4,'A-1 Site Habitat Baseline'!$S$11:$S$258)+SUMIF('A-1 Site Habitat Baseline'!$G$11:$G$258,'G-2 Habitat groups'!A4,'A-1 Site Habitat Baseline'!$T$11:$T$258),SUMIF('A-1 Site Habitat Baseline'!$G$11:$G$258,'G-2 Habitat groups'!A4,'A-1 Site Habitat Baseline'!$H$11:$H$258))</f>
        <v>0</v>
      </c>
      <c r="F4" s="494">
        <f>SUMIF('A-1 Site Habitat Baseline'!$G$11:$G$258,'G-2 Habitat groups'!A4,'A-1 Site Habitat Baseline'!$Q$11:$Q$258)</f>
        <v>0</v>
      </c>
      <c r="G4" s="494">
        <f>SUMIF('A-1 Site Habitat Baseline'!$G$11:$G$258,'G-2 Habitat groups'!A4,'A-1 Site Habitat Baseline'!$S$11:$S$258)</f>
        <v>0</v>
      </c>
      <c r="H4" s="494">
        <f>SUMIF('A-1 Site Habitat Baseline'!$G$11:$G$258,'G-2 Habitat groups'!A4,'A-1 Site Habitat Baseline'!$U$11:$U$258)</f>
        <v>0</v>
      </c>
      <c r="I4" s="494">
        <f>SUMIF('A-1 Site Habitat Baseline'!$G$11:$G$258,'G-2 Habitat groups'!A4,'A-1 Site Habitat Baseline'!$W$11:$W$258)</f>
        <v>0</v>
      </c>
      <c r="J4" s="494">
        <f>SUMIF('A-1 Site Habitat Baseline'!$G$11:$G$258,'G-2 Habitat groups'!A4,'A-1 Site Habitat Baseline'!$X$11:$X$258)</f>
        <v>0</v>
      </c>
      <c r="K4" s="494">
        <f>SUMIF('A-2 Site Habitat Creation'!$F$11:$F$256,'G-2 Habitat groups'!A4,'A-2 Site Habitat Creation'!$G$11:$G$256)</f>
        <v>0</v>
      </c>
      <c r="L4" s="494">
        <f>SUMIF('A-2 Site Habitat Creation'!$F$11:$F$256,'G-2 Habitat groups'!A4,'A-2 Site Habitat Creation'!$Y$11:$Y$256)</f>
        <v>0</v>
      </c>
      <c r="M4" s="494">
        <f>SUMIF('A-3 Site Habitat Enhancement'!$S$12:$S$257,'G-2 Habitat groups'!A4,'A-3 Site Habitat Enhancement'!$V$12:$V$257)</f>
        <v>0</v>
      </c>
      <c r="N4" s="494">
        <f>SUMIF('A-3 Site Habitat Enhancement'!$S$12:$S$257,'G-2 Habitat groups'!A4,'A-3 Site Habitat Enhancement'!$AN$12:$AN$257)</f>
        <v>0</v>
      </c>
      <c r="O4" s="494">
        <f t="shared" ref="O4:O34" si="0">G4+K4+M4</f>
        <v>0</v>
      </c>
      <c r="P4" s="494">
        <f t="shared" ref="P4:P34" si="1">H4+L4+N4</f>
        <v>0</v>
      </c>
      <c r="Q4" s="494">
        <f t="shared" ref="Q4:Q34" si="2">O4-E4</f>
        <v>0</v>
      </c>
      <c r="R4" s="494">
        <f t="shared" ref="R4:R34" si="3">P4-F4</f>
        <v>0</v>
      </c>
      <c r="S4" s="494">
        <f>IF(C4="V.High",SUMIF('D-1 Off Site Habitat Baseline'!$G$11:$G$258,'G-2 Habitat groups'!A4,'D-1 Off Site Habitat Baseline'!$S$11:$S$258)+SUMIF('D-1 Off Site Habitat Baseline'!$G$11:$G$258,'G-2 Habitat groups'!A4,'D-1 Off Site Habitat Baseline'!$T$11:$T$258),SUMIF('D-1 Off Site Habitat Baseline'!$G$11:$G$258,'G-2 Habitat groups'!A4,'D-1 Off Site Habitat Baseline'!$H$11:$H$258))</f>
        <v>0</v>
      </c>
      <c r="T4" s="494">
        <f>SUMIF('D-1 Off Site Habitat Baseline'!$G$11:$G$258,'G-2 Habitat groups'!A4,'D-1 Off Site Habitat Baseline'!$Q$11:$Q$258)</f>
        <v>0</v>
      </c>
      <c r="U4" s="652">
        <f>SUMIF('D-1 Off Site Habitat Baseline'!$G$11:$G$258,'G-2 Habitat groups'!A4,'D-1 Off Site Habitat Baseline'!$S$11:$S$258)</f>
        <v>0</v>
      </c>
      <c r="V4" s="494">
        <f>SUMIF('D-1 Off Site Habitat Baseline'!$G$11:$G$258,'G-2 Habitat groups'!A4,'D-1 Off Site Habitat Baseline'!$U$11:$U$258)</f>
        <v>0</v>
      </c>
      <c r="W4" s="494">
        <f>SUMIF('D-2 Off Site Habitat Creation'!$F$9:$F$255,'G-2 Habitat groups'!A4,'D-2 Off Site Habitat Creation'!$G$9:$G$255)</f>
        <v>0</v>
      </c>
      <c r="X4" s="494">
        <f>SUMIF('D-2 Off Site Habitat Creation'!$F$9:$F$255,'G-2 Habitat groups'!A4,'D-2 Off Site Habitat Creation'!$AA$9:$AA$255)</f>
        <v>0</v>
      </c>
      <c r="Y4" s="494">
        <f>SUMIF('D-3 Off Site Habitat Enhancment'!$S$12:$S$491,'G-2 Habitat groups'!A4,'D-3 Off Site Habitat Enhancment'!$V$12:$V$491)</f>
        <v>0</v>
      </c>
      <c r="Z4" s="494">
        <f>SUMIF('D-3 Off Site Habitat Enhancment'!$S$12:$S$491,'G-2 Habitat groups'!A4,'D-3 Off Site Habitat Enhancment'!$AP$12:$AP$491)</f>
        <v>0</v>
      </c>
      <c r="AA4" s="494">
        <f t="shared" ref="AA4:AA34" si="4">U4+W4+Y4</f>
        <v>0</v>
      </c>
      <c r="AB4" s="494">
        <f t="shared" ref="AB4:AB34" si="5">V4+X4+Z4</f>
        <v>0</v>
      </c>
      <c r="AC4" s="494">
        <f t="shared" ref="AC4:AC34" si="6">AA4-S4</f>
        <v>0</v>
      </c>
      <c r="AD4" s="494">
        <f t="shared" ref="AD4:AD34" si="7">AB4-T4</f>
        <v>0</v>
      </c>
      <c r="AE4" s="494">
        <f t="shared" ref="AE4:AE34" si="8">Q4+AC4</f>
        <v>0</v>
      </c>
      <c r="AF4" s="494">
        <f t="shared" ref="AF4:AF34" si="9">R4+AD4</f>
        <v>0</v>
      </c>
      <c r="AJ4" s="106" t="s">
        <v>69</v>
      </c>
      <c r="AK4" s="112">
        <f t="shared" ref="AK4:AK16" si="10">SUMIF($B:$B,$AJ4,E:E)</f>
        <v>0</v>
      </c>
      <c r="AL4" s="112">
        <f t="shared" ref="AL4:AL16" si="11">SUMIF($B:$B,$AJ4,F:F)</f>
        <v>0</v>
      </c>
      <c r="AM4" s="112">
        <f t="shared" ref="AM4:AM16" si="12">SUMIF($B:$B,$AJ4,O:O)</f>
        <v>0</v>
      </c>
      <c r="AN4" s="112">
        <f t="shared" ref="AN4:AN16" si="13">SUMIF($B:$B,$AJ4,P:P)</f>
        <v>0</v>
      </c>
      <c r="AO4" s="111">
        <f t="shared" ref="AO4:AO16" si="14">SUMIF($B:$B,$AJ4,Q:Q)</f>
        <v>0</v>
      </c>
      <c r="AP4" s="111">
        <f t="shared" ref="AP4:AP16" si="15">SUMIF($B:$B,$AJ4,R:R)</f>
        <v>0</v>
      </c>
      <c r="AU4" s="123" t="s">
        <v>173</v>
      </c>
      <c r="AV4" s="127" t="s">
        <v>160</v>
      </c>
      <c r="AW4" s="127" t="s">
        <v>851</v>
      </c>
      <c r="AX4" s="127" t="s">
        <v>856</v>
      </c>
      <c r="AY4" s="127" t="s">
        <v>853</v>
      </c>
      <c r="AZ4" s="127" t="s">
        <v>854</v>
      </c>
      <c r="BA4" s="127" t="s">
        <v>855</v>
      </c>
      <c r="BB4" s="127" t="s">
        <v>161</v>
      </c>
      <c r="BC4" s="127" t="s">
        <v>857</v>
      </c>
      <c r="BD4" s="127" t="s">
        <v>858</v>
      </c>
      <c r="BE4" s="127" t="s">
        <v>859</v>
      </c>
      <c r="BF4" s="127" t="s">
        <v>860</v>
      </c>
      <c r="BG4" s="127" t="s">
        <v>861</v>
      </c>
    </row>
    <row r="5" spans="1:59" ht="14.4" customHeight="1" x14ac:dyDescent="0.25">
      <c r="A5" s="104" t="str">
        <f>'G-1 All Habitats'!B4</f>
        <v>Cropland - Arable field margins game bird mix</v>
      </c>
      <c r="B5" s="88" t="str">
        <f>'G-1 All Habitats'!F4</f>
        <v>Cropland</v>
      </c>
      <c r="C5" s="88" t="str">
        <f>'G-1 All Habitats'!K4</f>
        <v>Medium</v>
      </c>
      <c r="D5" s="88" t="str">
        <f>'G-1 All Habitats'!M4</f>
        <v>Same broad habitat or a higher distinctiveness habitat required (≥)</v>
      </c>
      <c r="E5" s="494">
        <f>IF(C5="V.High",SUMIF('A-1 Site Habitat Baseline'!$G$11:$G$258,'G-2 Habitat groups'!A5,'A-1 Site Habitat Baseline'!$S$11:$S$258)+SUMIF('A-1 Site Habitat Baseline'!$G$11:$G$258,'G-2 Habitat groups'!A5,'A-1 Site Habitat Baseline'!$T$11:$T$258),SUMIF('A-1 Site Habitat Baseline'!$G$11:$G$258,'G-2 Habitat groups'!A5,'A-1 Site Habitat Baseline'!$H$11:$H$258))</f>
        <v>0</v>
      </c>
      <c r="F5" s="494">
        <f>SUMIF('A-1 Site Habitat Baseline'!$G$11:$G$258,'G-2 Habitat groups'!A5,'A-1 Site Habitat Baseline'!$Q$11:$Q$258)</f>
        <v>0</v>
      </c>
      <c r="G5" s="494">
        <f>SUMIF('A-1 Site Habitat Baseline'!$G$11:$G$258,'G-2 Habitat groups'!A5,'A-1 Site Habitat Baseline'!$S$11:$S$258)</f>
        <v>0</v>
      </c>
      <c r="H5" s="494">
        <f>SUMIF('A-1 Site Habitat Baseline'!$G$11:$G$258,'G-2 Habitat groups'!A5,'A-1 Site Habitat Baseline'!$U$11:$U$258)</f>
        <v>0</v>
      </c>
      <c r="I5" s="494">
        <f>SUMIF('A-1 Site Habitat Baseline'!$G$11:$G$258,'G-2 Habitat groups'!A5,'A-1 Site Habitat Baseline'!$W$11:$W$258)</f>
        <v>0</v>
      </c>
      <c r="J5" s="494">
        <f>SUMIF('A-1 Site Habitat Baseline'!$G$11:$G$258,'G-2 Habitat groups'!A5,'A-1 Site Habitat Baseline'!$X$11:$X$258)</f>
        <v>0</v>
      </c>
      <c r="K5" s="494">
        <f>SUMIF('A-2 Site Habitat Creation'!$F$11:$F$256,'G-2 Habitat groups'!A5,'A-2 Site Habitat Creation'!$G$11:$G$256)</f>
        <v>0</v>
      </c>
      <c r="L5" s="494">
        <f>SUMIF('A-2 Site Habitat Creation'!$F$11:$F$256,'G-2 Habitat groups'!A5,'A-2 Site Habitat Creation'!$Y$11:$Y$256)</f>
        <v>0</v>
      </c>
      <c r="M5" s="494">
        <f>SUMIF('A-3 Site Habitat Enhancement'!$S$12:$S$257,'G-2 Habitat groups'!A5,'A-3 Site Habitat Enhancement'!$V$12:$V$257)</f>
        <v>0</v>
      </c>
      <c r="N5" s="494">
        <f>SUMIF('A-3 Site Habitat Enhancement'!$S$12:$S$257,'G-2 Habitat groups'!A5,'A-3 Site Habitat Enhancement'!$AN$12:$AN$257)</f>
        <v>0</v>
      </c>
      <c r="O5" s="494">
        <f t="shared" si="0"/>
        <v>0</v>
      </c>
      <c r="P5" s="494">
        <f t="shared" si="1"/>
        <v>0</v>
      </c>
      <c r="Q5" s="494">
        <f t="shared" si="2"/>
        <v>0</v>
      </c>
      <c r="R5" s="494">
        <f t="shared" si="3"/>
        <v>0</v>
      </c>
      <c r="S5" s="494">
        <f>IF(C5="V.High",SUMIF('D-1 Off Site Habitat Baseline'!$G$11:$G$258,'G-2 Habitat groups'!A5,'D-1 Off Site Habitat Baseline'!$S$11:$S$258)+SUMIF('D-1 Off Site Habitat Baseline'!$G$11:$G$258,'G-2 Habitat groups'!A5,'D-1 Off Site Habitat Baseline'!$T$11:$T$258),SUMIF('D-1 Off Site Habitat Baseline'!$G$11:$G$258,'G-2 Habitat groups'!A5,'D-1 Off Site Habitat Baseline'!$H$11:$H$258))</f>
        <v>0</v>
      </c>
      <c r="T5" s="494">
        <f>SUMIF('D-1 Off Site Habitat Baseline'!$G$11:$G$258,'G-2 Habitat groups'!A5,'D-1 Off Site Habitat Baseline'!$Q$11:$Q$258)</f>
        <v>0</v>
      </c>
      <c r="U5" s="591">
        <f>SUMIF('D-1 Off Site Habitat Baseline'!$G$11:$G$258,'G-2 Habitat groups'!A5,'D-1 Off Site Habitat Baseline'!$S$11:$S$258)</f>
        <v>0</v>
      </c>
      <c r="V5" s="494">
        <f>SUMIF('D-1 Off Site Habitat Baseline'!$G$11:$G$258,'G-2 Habitat groups'!A5,'D-1 Off Site Habitat Baseline'!$U$11:$U$258)</f>
        <v>0</v>
      </c>
      <c r="W5" s="494">
        <f>SUMIF('D-2 Off Site Habitat Creation'!$F$9:$F$255,'G-2 Habitat groups'!A5,'D-2 Off Site Habitat Creation'!$G$9:$G$255)</f>
        <v>0</v>
      </c>
      <c r="X5" s="494">
        <f>SUMIF('D-2 Off Site Habitat Creation'!$F$9:$F$255,'G-2 Habitat groups'!A5,'D-2 Off Site Habitat Creation'!$AA$9:$AA$255)</f>
        <v>0</v>
      </c>
      <c r="Y5" s="494">
        <f>SUMIF('D-3 Off Site Habitat Enhancment'!$S$12:$S$491,'G-2 Habitat groups'!A5,'D-3 Off Site Habitat Enhancment'!$V$12:$V$491)</f>
        <v>0</v>
      </c>
      <c r="Z5" s="494">
        <f>SUMIF('D-3 Off Site Habitat Enhancment'!$S$12:$S$491,'G-2 Habitat groups'!A5,'D-3 Off Site Habitat Enhancment'!$AP$12:$AP$491)</f>
        <v>0</v>
      </c>
      <c r="AA5" s="494">
        <f t="shared" si="4"/>
        <v>0</v>
      </c>
      <c r="AB5" s="494">
        <f t="shared" si="5"/>
        <v>0</v>
      </c>
      <c r="AC5" s="494">
        <f t="shared" si="6"/>
        <v>0</v>
      </c>
      <c r="AD5" s="494">
        <f t="shared" si="7"/>
        <v>0</v>
      </c>
      <c r="AE5" s="494">
        <f t="shared" si="8"/>
        <v>0</v>
      </c>
      <c r="AF5" s="494">
        <f t="shared" si="9"/>
        <v>0</v>
      </c>
      <c r="AJ5" s="107" t="s">
        <v>70</v>
      </c>
      <c r="AK5" s="100">
        <f t="shared" si="10"/>
        <v>7.3499999999999996E-2</v>
      </c>
      <c r="AL5" s="100">
        <f t="shared" si="11"/>
        <v>0.16904999999999998</v>
      </c>
      <c r="AM5" s="100">
        <f t="shared" si="12"/>
        <v>9.7100000000000006E-2</v>
      </c>
      <c r="AN5" s="100">
        <f t="shared" si="13"/>
        <v>0.747555814819992</v>
      </c>
      <c r="AO5" s="111">
        <f t="shared" si="14"/>
        <v>2.360000000000001E-2</v>
      </c>
      <c r="AP5" s="111">
        <f t="shared" si="15"/>
        <v>0.57850581481999197</v>
      </c>
      <c r="AU5" s="119" t="s">
        <v>439</v>
      </c>
      <c r="AV5" s="88" t="s">
        <v>70</v>
      </c>
      <c r="AW5" s="494">
        <f t="shared" ref="AW5:AW8" si="16">VLOOKUP($AU5,AllHabsSummaryData,5,FALSE)</f>
        <v>0</v>
      </c>
      <c r="AX5" s="494">
        <f t="shared" ref="AX5:AX8" si="17">VLOOKUP($AU5,AllHabsSummaryData,10,FALSE)</f>
        <v>0</v>
      </c>
      <c r="AY5" s="494">
        <f t="shared" ref="AY5:AY8" si="18">VLOOKUP($AU5,AllHabsSummaryData,15,FALSE)</f>
        <v>0</v>
      </c>
      <c r="AZ5" s="494">
        <f t="shared" ref="AZ5:AZ8" si="19">VLOOKUP($AU5,AllHabsSummaryData,16,FALSE)</f>
        <v>0</v>
      </c>
      <c r="BA5" s="494">
        <f t="shared" ref="BA5:BA8" si="20">VLOOKUP($AU5,AllHabsSummaryData,17,FALSE)</f>
        <v>0</v>
      </c>
      <c r="BB5" s="494">
        <f t="shared" ref="BB5:BB8" si="21">VLOOKUP($AU5,AllHabsSummaryData,18,FALSE)</f>
        <v>0</v>
      </c>
      <c r="BC5" s="494">
        <f t="shared" ref="BC5:BC8" si="22">VLOOKUP($AU5,AllHabsSummaryData,27,FALSE)</f>
        <v>0</v>
      </c>
      <c r="BD5" s="494">
        <f t="shared" ref="BD5:BD8" si="23">VLOOKUP($AU5,AllHabsSummaryData,30,FALSE)</f>
        <v>0</v>
      </c>
      <c r="BE5" s="494">
        <f t="shared" ref="BE5:BE8" si="24">BB5+BD5</f>
        <v>0</v>
      </c>
      <c r="BF5" s="494" t="str">
        <f t="shared" ref="BF5:BF8" si="25">IF(BE5&lt;0,BE5,"")</f>
        <v/>
      </c>
      <c r="BG5" s="494">
        <f>VLOOKUP($AU5,AllHabsSummaryData,9,FALSE)</f>
        <v>0</v>
      </c>
    </row>
    <row r="6" spans="1:59" ht="14.4" customHeight="1" x14ac:dyDescent="0.25">
      <c r="A6" s="104" t="str">
        <f>'G-1 All Habitats'!B5</f>
        <v>Cropland - Arable field margins pollen &amp; nectar</v>
      </c>
      <c r="B6" s="88" t="str">
        <f>'G-1 All Habitats'!F5</f>
        <v>Cropland</v>
      </c>
      <c r="C6" s="88" t="str">
        <f>'G-1 All Habitats'!K5</f>
        <v>Medium</v>
      </c>
      <c r="D6" s="88" t="str">
        <f>'G-1 All Habitats'!M5</f>
        <v>Same broad habitat or a higher distinctiveness habitat required (≥)</v>
      </c>
      <c r="E6" s="494">
        <f>IF(C6="V.High",SUMIF('A-1 Site Habitat Baseline'!$G$11:$G$258,'G-2 Habitat groups'!A6,'A-1 Site Habitat Baseline'!$S$11:$S$258)+SUMIF('A-1 Site Habitat Baseline'!$G$11:$G$258,'G-2 Habitat groups'!A6,'A-1 Site Habitat Baseline'!$T$11:$T$258),SUMIF('A-1 Site Habitat Baseline'!$G$11:$G$258,'G-2 Habitat groups'!A6,'A-1 Site Habitat Baseline'!$H$11:$H$258))</f>
        <v>0</v>
      </c>
      <c r="F6" s="494">
        <f>SUMIF('A-1 Site Habitat Baseline'!$G$11:$G$258,'G-2 Habitat groups'!A6,'A-1 Site Habitat Baseline'!$Q$11:$Q$258)</f>
        <v>0</v>
      </c>
      <c r="G6" s="494">
        <f>SUMIF('A-1 Site Habitat Baseline'!$G$11:$G$258,'G-2 Habitat groups'!A6,'A-1 Site Habitat Baseline'!$S$11:$S$258)</f>
        <v>0</v>
      </c>
      <c r="H6" s="494">
        <f>SUMIF('A-1 Site Habitat Baseline'!$G$11:$G$258,'G-2 Habitat groups'!A6,'A-1 Site Habitat Baseline'!$U$11:$U$258)</f>
        <v>0</v>
      </c>
      <c r="I6" s="494">
        <f>SUMIF('A-1 Site Habitat Baseline'!$G$11:$G$258,'G-2 Habitat groups'!A6,'A-1 Site Habitat Baseline'!$W$11:$W$258)</f>
        <v>0</v>
      </c>
      <c r="J6" s="494">
        <f>SUMIF('A-1 Site Habitat Baseline'!$G$11:$G$258,'G-2 Habitat groups'!A6,'A-1 Site Habitat Baseline'!$X$11:$X$258)</f>
        <v>0</v>
      </c>
      <c r="K6" s="494">
        <f>SUMIF('A-2 Site Habitat Creation'!$F$11:$F$256,'G-2 Habitat groups'!A6,'A-2 Site Habitat Creation'!$G$11:$G$256)</f>
        <v>0</v>
      </c>
      <c r="L6" s="494">
        <f>SUMIF('A-2 Site Habitat Creation'!$F$11:$F$256,'G-2 Habitat groups'!A6,'A-2 Site Habitat Creation'!$Y$11:$Y$256)</f>
        <v>0</v>
      </c>
      <c r="M6" s="494">
        <f>SUMIF('A-3 Site Habitat Enhancement'!$S$12:$S$257,'G-2 Habitat groups'!A6,'A-3 Site Habitat Enhancement'!$V$12:$V$257)</f>
        <v>0</v>
      </c>
      <c r="N6" s="494">
        <f>SUMIF('A-3 Site Habitat Enhancement'!$S$12:$S$257,'G-2 Habitat groups'!A6,'A-3 Site Habitat Enhancement'!$AN$12:$AN$257)</f>
        <v>0</v>
      </c>
      <c r="O6" s="494">
        <f t="shared" si="0"/>
        <v>0</v>
      </c>
      <c r="P6" s="494">
        <f t="shared" si="1"/>
        <v>0</v>
      </c>
      <c r="Q6" s="494">
        <f t="shared" si="2"/>
        <v>0</v>
      </c>
      <c r="R6" s="494">
        <f t="shared" si="3"/>
        <v>0</v>
      </c>
      <c r="S6" s="494">
        <f>IF(C6="V.High",SUMIF('D-1 Off Site Habitat Baseline'!$G$11:$G$258,'G-2 Habitat groups'!A6,'D-1 Off Site Habitat Baseline'!$S$11:$S$258)+SUMIF('D-1 Off Site Habitat Baseline'!$G$11:$G$258,'G-2 Habitat groups'!A6,'D-1 Off Site Habitat Baseline'!$T$11:$T$258),SUMIF('D-1 Off Site Habitat Baseline'!$G$11:$G$258,'G-2 Habitat groups'!A6,'D-1 Off Site Habitat Baseline'!$H$11:$H$258))</f>
        <v>0</v>
      </c>
      <c r="T6" s="494">
        <f>SUMIF('D-1 Off Site Habitat Baseline'!$G$11:$G$258,'G-2 Habitat groups'!A6,'D-1 Off Site Habitat Baseline'!$Q$11:$Q$258)</f>
        <v>0</v>
      </c>
      <c r="U6" s="591">
        <f>SUMIF('D-1 Off Site Habitat Baseline'!$G$11:$G$258,'G-2 Habitat groups'!A6,'D-1 Off Site Habitat Baseline'!$S$11:$S$258)</f>
        <v>0</v>
      </c>
      <c r="V6" s="494">
        <f>SUMIF('D-1 Off Site Habitat Baseline'!$G$11:$G$258,'G-2 Habitat groups'!A6,'D-1 Off Site Habitat Baseline'!$U$11:$U$258)</f>
        <v>0</v>
      </c>
      <c r="W6" s="494">
        <f>SUMIF('D-2 Off Site Habitat Creation'!$F$9:$F$255,'G-2 Habitat groups'!A6,'D-2 Off Site Habitat Creation'!$G$9:$G$255)</f>
        <v>0</v>
      </c>
      <c r="X6" s="494">
        <f>SUMIF('D-2 Off Site Habitat Creation'!$F$9:$F$255,'G-2 Habitat groups'!A6,'D-2 Off Site Habitat Creation'!$AA$9:$AA$255)</f>
        <v>0</v>
      </c>
      <c r="Y6" s="494">
        <f>SUMIF('D-3 Off Site Habitat Enhancment'!$S$12:$S$491,'G-2 Habitat groups'!A6,'D-3 Off Site Habitat Enhancment'!$V$12:$V$491)</f>
        <v>0</v>
      </c>
      <c r="Z6" s="494">
        <f>SUMIF('D-3 Off Site Habitat Enhancment'!$S$12:$S$491,'G-2 Habitat groups'!A6,'D-3 Off Site Habitat Enhancment'!$AP$12:$AP$491)</f>
        <v>0</v>
      </c>
      <c r="AA6" s="494">
        <f t="shared" si="4"/>
        <v>0</v>
      </c>
      <c r="AB6" s="494">
        <f t="shared" si="5"/>
        <v>0</v>
      </c>
      <c r="AC6" s="494">
        <f t="shared" si="6"/>
        <v>0</v>
      </c>
      <c r="AD6" s="494">
        <f t="shared" si="7"/>
        <v>0</v>
      </c>
      <c r="AE6" s="494">
        <f t="shared" si="8"/>
        <v>0</v>
      </c>
      <c r="AF6" s="494">
        <f t="shared" si="9"/>
        <v>0</v>
      </c>
      <c r="AJ6" s="107" t="s">
        <v>71</v>
      </c>
      <c r="AK6" s="100">
        <f t="shared" si="10"/>
        <v>0.2011</v>
      </c>
      <c r="AL6" s="100">
        <f t="shared" si="11"/>
        <v>1.3875899999999999</v>
      </c>
      <c r="AM6" s="100">
        <f t="shared" si="12"/>
        <v>9.4899999999999998E-2</v>
      </c>
      <c r="AN6" s="100">
        <f t="shared" si="13"/>
        <v>0.73061840191984795</v>
      </c>
      <c r="AO6" s="111">
        <f t="shared" si="14"/>
        <v>-0.1062</v>
      </c>
      <c r="AP6" s="111">
        <f t="shared" si="15"/>
        <v>-0.65697159808015193</v>
      </c>
      <c r="AU6" s="119" t="s">
        <v>444</v>
      </c>
      <c r="AV6" s="88" t="s">
        <v>70</v>
      </c>
      <c r="AW6" s="494">
        <f t="shared" si="16"/>
        <v>0</v>
      </c>
      <c r="AX6" s="494">
        <f t="shared" si="17"/>
        <v>0</v>
      </c>
      <c r="AY6" s="494">
        <f t="shared" si="18"/>
        <v>0</v>
      </c>
      <c r="AZ6" s="494">
        <f t="shared" si="19"/>
        <v>0</v>
      </c>
      <c r="BA6" s="494">
        <f t="shared" si="20"/>
        <v>0</v>
      </c>
      <c r="BB6" s="494">
        <f t="shared" si="21"/>
        <v>0</v>
      </c>
      <c r="BC6" s="494">
        <f t="shared" si="22"/>
        <v>0</v>
      </c>
      <c r="BD6" s="494">
        <f t="shared" si="23"/>
        <v>0</v>
      </c>
      <c r="BE6" s="494">
        <f t="shared" si="24"/>
        <v>0</v>
      </c>
      <c r="BF6" s="494" t="str">
        <f t="shared" si="25"/>
        <v/>
      </c>
      <c r="BG6" s="586">
        <f t="shared" ref="BG6:BG24" si="26">SUMIF($A$4:$A$103,AU6,$I$4:$I$103)</f>
        <v>0</v>
      </c>
    </row>
    <row r="7" spans="1:59" ht="14.4" customHeight="1" x14ac:dyDescent="0.25">
      <c r="A7" s="104" t="str">
        <f>'G-1 All Habitats'!B6</f>
        <v>Cropland - Arable field margins tussocky</v>
      </c>
      <c r="B7" s="88" t="str">
        <f>'G-1 All Habitats'!F6</f>
        <v>Cropland</v>
      </c>
      <c r="C7" s="88" t="str">
        <f>'G-1 All Habitats'!K6</f>
        <v>Medium</v>
      </c>
      <c r="D7" s="88" t="str">
        <f>'G-1 All Habitats'!M6</f>
        <v>Same broad habitat or a higher distinctiveness habitat required (≥)</v>
      </c>
      <c r="E7" s="494">
        <f>IF(C7="V.High",SUMIF('A-1 Site Habitat Baseline'!$G$11:$G$258,'G-2 Habitat groups'!A7,'A-1 Site Habitat Baseline'!$S$11:$S$258)+SUMIF('A-1 Site Habitat Baseline'!$G$11:$G$258,'G-2 Habitat groups'!A7,'A-1 Site Habitat Baseline'!$T$11:$T$258),SUMIF('A-1 Site Habitat Baseline'!$G$11:$G$258,'G-2 Habitat groups'!A7,'A-1 Site Habitat Baseline'!$H$11:$H$258))</f>
        <v>0</v>
      </c>
      <c r="F7" s="494">
        <f>SUMIF('A-1 Site Habitat Baseline'!$G$11:$G$258,'G-2 Habitat groups'!A7,'A-1 Site Habitat Baseline'!$Q$11:$Q$258)</f>
        <v>0</v>
      </c>
      <c r="G7" s="494">
        <f>SUMIF('A-1 Site Habitat Baseline'!$G$11:$G$258,'G-2 Habitat groups'!A7,'A-1 Site Habitat Baseline'!$S$11:$S$258)</f>
        <v>0</v>
      </c>
      <c r="H7" s="494">
        <f>SUMIF('A-1 Site Habitat Baseline'!$G$11:$G$258,'G-2 Habitat groups'!A7,'A-1 Site Habitat Baseline'!$U$11:$U$258)</f>
        <v>0</v>
      </c>
      <c r="I7" s="494">
        <f>SUMIF('A-1 Site Habitat Baseline'!$G$11:$G$258,'G-2 Habitat groups'!A7,'A-1 Site Habitat Baseline'!$W$11:$W$258)</f>
        <v>0</v>
      </c>
      <c r="J7" s="494">
        <f>SUMIF('A-1 Site Habitat Baseline'!$G$11:$G$258,'G-2 Habitat groups'!A7,'A-1 Site Habitat Baseline'!$X$11:$X$258)</f>
        <v>0</v>
      </c>
      <c r="K7" s="494">
        <f>SUMIF('A-2 Site Habitat Creation'!$F$11:$F$256,'G-2 Habitat groups'!A7,'A-2 Site Habitat Creation'!$G$11:$G$256)</f>
        <v>0</v>
      </c>
      <c r="L7" s="494">
        <f>SUMIF('A-2 Site Habitat Creation'!$F$11:$F$256,'G-2 Habitat groups'!A7,'A-2 Site Habitat Creation'!$Y$11:$Y$256)</f>
        <v>0</v>
      </c>
      <c r="M7" s="494">
        <f>SUMIF('A-3 Site Habitat Enhancement'!$S$12:$S$257,'G-2 Habitat groups'!A7,'A-3 Site Habitat Enhancement'!$V$12:$V$257)</f>
        <v>0</v>
      </c>
      <c r="N7" s="494">
        <f>SUMIF('A-3 Site Habitat Enhancement'!$S$12:$S$257,'G-2 Habitat groups'!A7,'A-3 Site Habitat Enhancement'!$AN$12:$AN$257)</f>
        <v>0</v>
      </c>
      <c r="O7" s="494">
        <f t="shared" si="0"/>
        <v>0</v>
      </c>
      <c r="P7" s="494">
        <f t="shared" si="1"/>
        <v>0</v>
      </c>
      <c r="Q7" s="494">
        <f t="shared" si="2"/>
        <v>0</v>
      </c>
      <c r="R7" s="494">
        <f t="shared" si="3"/>
        <v>0</v>
      </c>
      <c r="S7" s="494">
        <f>IF(C7="V.High",SUMIF('D-1 Off Site Habitat Baseline'!$G$11:$G$258,'G-2 Habitat groups'!A7,'D-1 Off Site Habitat Baseline'!$S$11:$S$258)+SUMIF('D-1 Off Site Habitat Baseline'!$G$11:$G$258,'G-2 Habitat groups'!A7,'D-1 Off Site Habitat Baseline'!$T$11:$T$258),SUMIF('D-1 Off Site Habitat Baseline'!$G$11:$G$258,'G-2 Habitat groups'!A7,'D-1 Off Site Habitat Baseline'!$H$11:$H$258))</f>
        <v>0</v>
      </c>
      <c r="T7" s="494">
        <f>SUMIF('D-1 Off Site Habitat Baseline'!$G$11:$G$258,'G-2 Habitat groups'!A7,'D-1 Off Site Habitat Baseline'!$Q$11:$Q$258)</f>
        <v>0</v>
      </c>
      <c r="U7" s="591">
        <f>SUMIF('D-1 Off Site Habitat Baseline'!$G$11:$G$258,'G-2 Habitat groups'!A7,'D-1 Off Site Habitat Baseline'!$S$11:$S$258)</f>
        <v>0</v>
      </c>
      <c r="V7" s="494">
        <f>SUMIF('D-1 Off Site Habitat Baseline'!$G$11:$G$258,'G-2 Habitat groups'!A7,'D-1 Off Site Habitat Baseline'!$U$11:$U$258)</f>
        <v>0</v>
      </c>
      <c r="W7" s="494">
        <f>SUMIF('D-2 Off Site Habitat Creation'!$F$9:$F$255,'G-2 Habitat groups'!A7,'D-2 Off Site Habitat Creation'!$G$9:$G$255)</f>
        <v>0</v>
      </c>
      <c r="X7" s="494">
        <f>SUMIF('D-2 Off Site Habitat Creation'!$F$9:$F$255,'G-2 Habitat groups'!A7,'D-2 Off Site Habitat Creation'!$AA$9:$AA$255)</f>
        <v>0</v>
      </c>
      <c r="Y7" s="494">
        <f>SUMIF('D-3 Off Site Habitat Enhancment'!$S$12:$S$491,'G-2 Habitat groups'!A7,'D-3 Off Site Habitat Enhancment'!$V$12:$V$491)</f>
        <v>0</v>
      </c>
      <c r="Z7" s="494">
        <f>SUMIF('D-3 Off Site Habitat Enhancment'!$S$12:$S$491,'G-2 Habitat groups'!A7,'D-3 Off Site Habitat Enhancment'!$AP$12:$AP$491)</f>
        <v>0</v>
      </c>
      <c r="AA7" s="494">
        <f t="shared" si="4"/>
        <v>0</v>
      </c>
      <c r="AB7" s="494">
        <f t="shared" si="5"/>
        <v>0</v>
      </c>
      <c r="AC7" s="494">
        <f t="shared" si="6"/>
        <v>0</v>
      </c>
      <c r="AD7" s="494">
        <f t="shared" si="7"/>
        <v>0</v>
      </c>
      <c r="AE7" s="494">
        <f t="shared" si="8"/>
        <v>0</v>
      </c>
      <c r="AF7" s="494">
        <f t="shared" si="9"/>
        <v>0</v>
      </c>
      <c r="AJ7" s="107" t="s">
        <v>72</v>
      </c>
      <c r="AK7" s="100">
        <f t="shared" si="10"/>
        <v>0</v>
      </c>
      <c r="AL7" s="100">
        <f t="shared" si="11"/>
        <v>0</v>
      </c>
      <c r="AM7" s="100">
        <f t="shared" si="12"/>
        <v>0</v>
      </c>
      <c r="AN7" s="100">
        <f t="shared" si="13"/>
        <v>0</v>
      </c>
      <c r="AO7" s="111">
        <f t="shared" si="14"/>
        <v>0</v>
      </c>
      <c r="AP7" s="111">
        <f t="shared" si="15"/>
        <v>0</v>
      </c>
      <c r="AU7" s="119" t="s">
        <v>470</v>
      </c>
      <c r="AV7" s="88" t="s">
        <v>70</v>
      </c>
      <c r="AW7" s="494">
        <f t="shared" si="16"/>
        <v>0</v>
      </c>
      <c r="AX7" s="494">
        <f t="shared" si="17"/>
        <v>0</v>
      </c>
      <c r="AY7" s="494">
        <f t="shared" si="18"/>
        <v>0</v>
      </c>
      <c r="AZ7" s="494">
        <f t="shared" si="19"/>
        <v>0</v>
      </c>
      <c r="BA7" s="494">
        <f t="shared" si="20"/>
        <v>0</v>
      </c>
      <c r="BB7" s="494">
        <f t="shared" si="21"/>
        <v>0</v>
      </c>
      <c r="BC7" s="494">
        <f t="shared" si="22"/>
        <v>0</v>
      </c>
      <c r="BD7" s="494">
        <f t="shared" si="23"/>
        <v>0</v>
      </c>
      <c r="BE7" s="494">
        <f t="shared" si="24"/>
        <v>0</v>
      </c>
      <c r="BF7" s="494" t="str">
        <f t="shared" si="25"/>
        <v/>
      </c>
      <c r="BG7" s="586">
        <f t="shared" si="26"/>
        <v>0</v>
      </c>
    </row>
    <row r="8" spans="1:59" ht="14.4" customHeight="1" x14ac:dyDescent="0.25">
      <c r="A8" s="104" t="str">
        <f>'G-1 All Habitats'!B7</f>
        <v>Cropland - Cereal crops</v>
      </c>
      <c r="B8" s="88" t="str">
        <f>'G-1 All Habitats'!F7</f>
        <v>Cropland</v>
      </c>
      <c r="C8" s="88" t="str">
        <f>'G-1 All Habitats'!K7</f>
        <v>Low</v>
      </c>
      <c r="D8" s="88" t="str">
        <f>'G-1 All Habitats'!M7</f>
        <v>Same distinctiveness or better habitat required ≥</v>
      </c>
      <c r="E8" s="494">
        <f>IF(C8="V.High",SUMIF('A-1 Site Habitat Baseline'!$G$11:$G$258,'G-2 Habitat groups'!A8,'A-1 Site Habitat Baseline'!$S$11:$S$258)+SUMIF('A-1 Site Habitat Baseline'!$G$11:$G$258,'G-2 Habitat groups'!A8,'A-1 Site Habitat Baseline'!$T$11:$T$258),SUMIF('A-1 Site Habitat Baseline'!$G$11:$G$258,'G-2 Habitat groups'!A8,'A-1 Site Habitat Baseline'!$H$11:$H$258))</f>
        <v>0</v>
      </c>
      <c r="F8" s="494">
        <f>SUMIF('A-1 Site Habitat Baseline'!$G$11:$G$258,'G-2 Habitat groups'!A8,'A-1 Site Habitat Baseline'!$Q$11:$Q$258)</f>
        <v>0</v>
      </c>
      <c r="G8" s="494">
        <f>SUMIF('A-1 Site Habitat Baseline'!$G$11:$G$258,'G-2 Habitat groups'!A8,'A-1 Site Habitat Baseline'!$S$11:$S$258)</f>
        <v>0</v>
      </c>
      <c r="H8" s="494">
        <f>SUMIF('A-1 Site Habitat Baseline'!$G$11:$G$258,'G-2 Habitat groups'!A8,'A-1 Site Habitat Baseline'!$U$11:$U$258)</f>
        <v>0</v>
      </c>
      <c r="I8" s="494">
        <f>SUMIF('A-1 Site Habitat Baseline'!$G$11:$G$258,'G-2 Habitat groups'!A8,'A-1 Site Habitat Baseline'!$W$11:$W$258)</f>
        <v>0</v>
      </c>
      <c r="J8" s="494">
        <f>SUMIF('A-1 Site Habitat Baseline'!$G$11:$G$258,'G-2 Habitat groups'!A8,'A-1 Site Habitat Baseline'!$X$11:$X$258)</f>
        <v>0</v>
      </c>
      <c r="K8" s="494">
        <f>SUMIF('A-2 Site Habitat Creation'!$F$11:$F$256,'G-2 Habitat groups'!A8,'A-2 Site Habitat Creation'!$G$11:$G$256)</f>
        <v>0</v>
      </c>
      <c r="L8" s="494">
        <f>SUMIF('A-2 Site Habitat Creation'!$F$11:$F$256,'G-2 Habitat groups'!A8,'A-2 Site Habitat Creation'!$Y$11:$Y$256)</f>
        <v>0</v>
      </c>
      <c r="M8" s="494">
        <f>SUMIF('A-3 Site Habitat Enhancement'!$S$12:$S$257,'G-2 Habitat groups'!A8,'A-3 Site Habitat Enhancement'!$V$12:$V$257)</f>
        <v>0</v>
      </c>
      <c r="N8" s="494">
        <f>SUMIF('A-3 Site Habitat Enhancement'!$S$12:$S$257,'G-2 Habitat groups'!A8,'A-3 Site Habitat Enhancement'!$AN$12:$AN$257)</f>
        <v>0</v>
      </c>
      <c r="O8" s="494">
        <f t="shared" si="0"/>
        <v>0</v>
      </c>
      <c r="P8" s="494">
        <f t="shared" si="1"/>
        <v>0</v>
      </c>
      <c r="Q8" s="494">
        <f t="shared" si="2"/>
        <v>0</v>
      </c>
      <c r="R8" s="494">
        <f t="shared" si="3"/>
        <v>0</v>
      </c>
      <c r="S8" s="494">
        <f>IF(C8="V.High",SUMIF('D-1 Off Site Habitat Baseline'!$G$11:$G$258,'G-2 Habitat groups'!A8,'D-1 Off Site Habitat Baseline'!$S$11:$S$258)+SUMIF('D-1 Off Site Habitat Baseline'!$G$11:$G$258,'G-2 Habitat groups'!A8,'D-1 Off Site Habitat Baseline'!$T$11:$T$258),SUMIF('D-1 Off Site Habitat Baseline'!$G$11:$G$258,'G-2 Habitat groups'!A8,'D-1 Off Site Habitat Baseline'!$H$11:$H$258))</f>
        <v>0</v>
      </c>
      <c r="T8" s="494">
        <f>SUMIF('D-1 Off Site Habitat Baseline'!$G$11:$G$258,'G-2 Habitat groups'!A8,'D-1 Off Site Habitat Baseline'!$Q$11:$Q$258)</f>
        <v>0</v>
      </c>
      <c r="U8" s="591">
        <f>SUMIF('D-1 Off Site Habitat Baseline'!$G$11:$G$258,'G-2 Habitat groups'!A8,'D-1 Off Site Habitat Baseline'!$S$11:$S$258)</f>
        <v>0</v>
      </c>
      <c r="V8" s="494">
        <f>SUMIF('D-1 Off Site Habitat Baseline'!$G$11:$G$258,'G-2 Habitat groups'!A8,'D-1 Off Site Habitat Baseline'!$U$11:$U$258)</f>
        <v>0</v>
      </c>
      <c r="W8" s="494">
        <f>SUMIF('D-2 Off Site Habitat Creation'!$F$9:$F$255,'G-2 Habitat groups'!A8,'D-2 Off Site Habitat Creation'!$G$9:$G$255)</f>
        <v>0</v>
      </c>
      <c r="X8" s="494">
        <f>SUMIF('D-2 Off Site Habitat Creation'!$F$9:$F$255,'G-2 Habitat groups'!A8,'D-2 Off Site Habitat Creation'!$AA$9:$AA$255)</f>
        <v>0</v>
      </c>
      <c r="Y8" s="494">
        <f>SUMIF('D-3 Off Site Habitat Enhancment'!$S$12:$S$491,'G-2 Habitat groups'!A8,'D-3 Off Site Habitat Enhancment'!$V$12:$V$491)</f>
        <v>0</v>
      </c>
      <c r="Z8" s="494">
        <f>SUMIF('D-3 Off Site Habitat Enhancment'!$S$12:$S$491,'G-2 Habitat groups'!A8,'D-3 Off Site Habitat Enhancment'!$AP$12:$AP$491)</f>
        <v>0</v>
      </c>
      <c r="AA8" s="494">
        <f t="shared" si="4"/>
        <v>0</v>
      </c>
      <c r="AB8" s="494">
        <f t="shared" si="5"/>
        <v>0</v>
      </c>
      <c r="AC8" s="494">
        <f t="shared" si="6"/>
        <v>0</v>
      </c>
      <c r="AD8" s="494">
        <f t="shared" si="7"/>
        <v>0</v>
      </c>
      <c r="AE8" s="494">
        <f t="shared" si="8"/>
        <v>0</v>
      </c>
      <c r="AF8" s="494">
        <f t="shared" si="9"/>
        <v>0</v>
      </c>
      <c r="AJ8" s="108" t="s">
        <v>73</v>
      </c>
      <c r="AK8" s="100">
        <f t="shared" si="10"/>
        <v>0</v>
      </c>
      <c r="AL8" s="100">
        <f t="shared" si="11"/>
        <v>0</v>
      </c>
      <c r="AM8" s="100">
        <f t="shared" si="12"/>
        <v>0</v>
      </c>
      <c r="AN8" s="100">
        <f t="shared" si="13"/>
        <v>0</v>
      </c>
      <c r="AO8" s="111">
        <f t="shared" si="14"/>
        <v>0</v>
      </c>
      <c r="AP8" s="111">
        <f t="shared" si="15"/>
        <v>0</v>
      </c>
      <c r="AU8" s="119" t="s">
        <v>500</v>
      </c>
      <c r="AV8" s="88" t="s">
        <v>71</v>
      </c>
      <c r="AW8" s="494">
        <f t="shared" si="16"/>
        <v>0</v>
      </c>
      <c r="AX8" s="494">
        <f t="shared" si="17"/>
        <v>0</v>
      </c>
      <c r="AY8" s="494">
        <f t="shared" si="18"/>
        <v>0</v>
      </c>
      <c r="AZ8" s="494">
        <f t="shared" si="19"/>
        <v>0</v>
      </c>
      <c r="BA8" s="494">
        <f t="shared" si="20"/>
        <v>0</v>
      </c>
      <c r="BB8" s="494">
        <f t="shared" si="21"/>
        <v>0</v>
      </c>
      <c r="BC8" s="494">
        <f t="shared" si="22"/>
        <v>0</v>
      </c>
      <c r="BD8" s="494">
        <f t="shared" si="23"/>
        <v>0</v>
      </c>
      <c r="BE8" s="494">
        <f t="shared" si="24"/>
        <v>0</v>
      </c>
      <c r="BF8" s="494" t="str">
        <f t="shared" si="25"/>
        <v/>
      </c>
      <c r="BG8" s="586">
        <f t="shared" si="26"/>
        <v>0</v>
      </c>
    </row>
    <row r="9" spans="1:59" ht="14.4" customHeight="1" x14ac:dyDescent="0.25">
      <c r="A9" s="104" t="str">
        <f>'G-1 All Habitats'!B8</f>
        <v>Cropland - Cereal crops winter stubble</v>
      </c>
      <c r="B9" s="88" t="str">
        <f>'G-1 All Habitats'!F8</f>
        <v>Cropland</v>
      </c>
      <c r="C9" s="88" t="str">
        <f>'G-1 All Habitats'!K8</f>
        <v>Low</v>
      </c>
      <c r="D9" s="88" t="str">
        <f>'G-1 All Habitats'!M8</f>
        <v>Same distinctiveness or better habitat required ≥</v>
      </c>
      <c r="E9" s="494">
        <f>IF(C9="V.High",SUMIF('A-1 Site Habitat Baseline'!$G$11:$G$258,'G-2 Habitat groups'!A9,'A-1 Site Habitat Baseline'!$S$11:$S$258)+SUMIF('A-1 Site Habitat Baseline'!$G$11:$G$258,'G-2 Habitat groups'!A9,'A-1 Site Habitat Baseline'!$T$11:$T$258),SUMIF('A-1 Site Habitat Baseline'!$G$11:$G$258,'G-2 Habitat groups'!A9,'A-1 Site Habitat Baseline'!$H$11:$H$258))</f>
        <v>0</v>
      </c>
      <c r="F9" s="494">
        <f>SUMIF('A-1 Site Habitat Baseline'!$G$11:$G$258,'G-2 Habitat groups'!A9,'A-1 Site Habitat Baseline'!$Q$11:$Q$258)</f>
        <v>0</v>
      </c>
      <c r="G9" s="494">
        <f>SUMIF('A-1 Site Habitat Baseline'!$G$11:$G$258,'G-2 Habitat groups'!A9,'A-1 Site Habitat Baseline'!$S$11:$S$258)</f>
        <v>0</v>
      </c>
      <c r="H9" s="494">
        <f>SUMIF('A-1 Site Habitat Baseline'!$G$11:$G$258,'G-2 Habitat groups'!A9,'A-1 Site Habitat Baseline'!$U$11:$U$258)</f>
        <v>0</v>
      </c>
      <c r="I9" s="494">
        <f>SUMIF('A-1 Site Habitat Baseline'!$G$11:$G$258,'G-2 Habitat groups'!A9,'A-1 Site Habitat Baseline'!$W$11:$W$258)</f>
        <v>0</v>
      </c>
      <c r="J9" s="494">
        <f>SUMIF('A-1 Site Habitat Baseline'!$G$11:$G$258,'G-2 Habitat groups'!A9,'A-1 Site Habitat Baseline'!$X$11:$X$258)</f>
        <v>0</v>
      </c>
      <c r="K9" s="494">
        <f>SUMIF('A-2 Site Habitat Creation'!$F$11:$F$256,'G-2 Habitat groups'!A9,'A-2 Site Habitat Creation'!$G$11:$G$256)</f>
        <v>0</v>
      </c>
      <c r="L9" s="494">
        <f>SUMIF('A-2 Site Habitat Creation'!$F$11:$F$256,'G-2 Habitat groups'!A9,'A-2 Site Habitat Creation'!$Y$11:$Y$256)</f>
        <v>0</v>
      </c>
      <c r="M9" s="494">
        <f>SUMIF('A-3 Site Habitat Enhancement'!$S$12:$S$257,'G-2 Habitat groups'!A9,'A-3 Site Habitat Enhancement'!$V$12:$V$257)</f>
        <v>0</v>
      </c>
      <c r="N9" s="494">
        <f>SUMIF('A-3 Site Habitat Enhancement'!$S$12:$S$257,'G-2 Habitat groups'!A9,'A-3 Site Habitat Enhancement'!$AN$12:$AN$257)</f>
        <v>0</v>
      </c>
      <c r="O9" s="494">
        <f t="shared" si="0"/>
        <v>0</v>
      </c>
      <c r="P9" s="494">
        <f t="shared" si="1"/>
        <v>0</v>
      </c>
      <c r="Q9" s="494">
        <f t="shared" si="2"/>
        <v>0</v>
      </c>
      <c r="R9" s="494">
        <f t="shared" si="3"/>
        <v>0</v>
      </c>
      <c r="S9" s="494">
        <f>IF(C9="V.High",SUMIF('D-1 Off Site Habitat Baseline'!$G$11:$G$258,'G-2 Habitat groups'!A9,'D-1 Off Site Habitat Baseline'!$S$11:$S$258)+SUMIF('D-1 Off Site Habitat Baseline'!$G$11:$G$258,'G-2 Habitat groups'!A9,'D-1 Off Site Habitat Baseline'!$T$11:$T$258),SUMIF('D-1 Off Site Habitat Baseline'!$G$11:$G$258,'G-2 Habitat groups'!A9,'D-1 Off Site Habitat Baseline'!$H$11:$H$258))</f>
        <v>0</v>
      </c>
      <c r="T9" s="494">
        <f>SUMIF('D-1 Off Site Habitat Baseline'!$G$11:$G$258,'G-2 Habitat groups'!A9,'D-1 Off Site Habitat Baseline'!$Q$11:$Q$258)</f>
        <v>0</v>
      </c>
      <c r="U9" s="591">
        <f>SUMIF('D-1 Off Site Habitat Baseline'!$G$11:$G$258,'G-2 Habitat groups'!A9,'D-1 Off Site Habitat Baseline'!$S$11:$S$258)</f>
        <v>0</v>
      </c>
      <c r="V9" s="494">
        <f>SUMIF('D-1 Off Site Habitat Baseline'!$G$11:$G$258,'G-2 Habitat groups'!A9,'D-1 Off Site Habitat Baseline'!$U$11:$U$258)</f>
        <v>0</v>
      </c>
      <c r="W9" s="494">
        <f>SUMIF('D-2 Off Site Habitat Creation'!$F$9:$F$255,'G-2 Habitat groups'!A9,'D-2 Off Site Habitat Creation'!$G$9:$G$255)</f>
        <v>0</v>
      </c>
      <c r="X9" s="494">
        <f>SUMIF('D-2 Off Site Habitat Creation'!$F$9:$F$255,'G-2 Habitat groups'!A9,'D-2 Off Site Habitat Creation'!$AA$9:$AA$255)</f>
        <v>0</v>
      </c>
      <c r="Y9" s="494">
        <f>SUMIF('D-3 Off Site Habitat Enhancment'!$S$12:$S$491,'G-2 Habitat groups'!A9,'D-3 Off Site Habitat Enhancment'!$V$12:$V$491)</f>
        <v>0</v>
      </c>
      <c r="Z9" s="494">
        <f>SUMIF('D-3 Off Site Habitat Enhancment'!$S$12:$S$491,'G-2 Habitat groups'!A9,'D-3 Off Site Habitat Enhancment'!$AP$12:$AP$491)</f>
        <v>0</v>
      </c>
      <c r="AA9" s="494">
        <f t="shared" si="4"/>
        <v>0</v>
      </c>
      <c r="AB9" s="494">
        <f t="shared" si="5"/>
        <v>0</v>
      </c>
      <c r="AC9" s="494">
        <f t="shared" si="6"/>
        <v>0</v>
      </c>
      <c r="AD9" s="494">
        <f t="shared" si="7"/>
        <v>0</v>
      </c>
      <c r="AE9" s="494">
        <f t="shared" si="8"/>
        <v>0</v>
      </c>
      <c r="AF9" s="494">
        <f t="shared" si="9"/>
        <v>0</v>
      </c>
      <c r="AJ9" s="107" t="s">
        <v>74</v>
      </c>
      <c r="AK9" s="100">
        <f t="shared" si="10"/>
        <v>0.81590000000000007</v>
      </c>
      <c r="AL9" s="100">
        <f t="shared" si="11"/>
        <v>0.98807999999999996</v>
      </c>
      <c r="AM9" s="100">
        <f t="shared" si="12"/>
        <v>1.0186999999999999</v>
      </c>
      <c r="AN9" s="100">
        <f t="shared" si="13"/>
        <v>1.1944144994343999</v>
      </c>
      <c r="AO9" s="111">
        <f t="shared" si="14"/>
        <v>0.20280000000000004</v>
      </c>
      <c r="AP9" s="111">
        <f t="shared" si="15"/>
        <v>0.20633449943440002</v>
      </c>
      <c r="AU9" s="119" t="s">
        <v>518</v>
      </c>
      <c r="AV9" s="88" t="s">
        <v>72</v>
      </c>
      <c r="AW9" s="494">
        <f t="shared" ref="AW9:AW24" si="27">VLOOKUP($AU9,AllHabsSummaryData,5,FALSE)</f>
        <v>0</v>
      </c>
      <c r="AX9" s="494">
        <f t="shared" ref="AX9:AX24" si="28">VLOOKUP($AU9,AllHabsSummaryData,10,FALSE)</f>
        <v>0</v>
      </c>
      <c r="AY9" s="494">
        <f t="shared" ref="AY9:AY24" si="29">VLOOKUP($AU9,AllHabsSummaryData,15,FALSE)</f>
        <v>0</v>
      </c>
      <c r="AZ9" s="494">
        <f t="shared" ref="AZ9:AZ24" si="30">VLOOKUP($AU9,AllHabsSummaryData,16,FALSE)</f>
        <v>0</v>
      </c>
      <c r="BA9" s="494">
        <f t="shared" ref="BA9:BA24" si="31">VLOOKUP($AU9,AllHabsSummaryData,17,FALSE)</f>
        <v>0</v>
      </c>
      <c r="BB9" s="494">
        <f t="shared" ref="BB9:BB24" si="32">VLOOKUP($AU9,AllHabsSummaryData,18,FALSE)</f>
        <v>0</v>
      </c>
      <c r="BC9" s="494">
        <f t="shared" ref="BC9:BC24" si="33">VLOOKUP($AU9,AllHabsSummaryData,27,FALSE)</f>
        <v>0</v>
      </c>
      <c r="BD9" s="494">
        <f t="shared" ref="BD9:BD24" si="34">VLOOKUP($AU9,AllHabsSummaryData,30,FALSE)</f>
        <v>0</v>
      </c>
      <c r="BE9" s="494">
        <f t="shared" ref="BE9:BE24" si="35">BB9+BD9</f>
        <v>0</v>
      </c>
      <c r="BF9" s="494" t="str">
        <f t="shared" ref="BF9:BF24" si="36">IF(BE9&lt;0,BE9,"")</f>
        <v/>
      </c>
      <c r="BG9" s="586">
        <f t="shared" si="26"/>
        <v>0</v>
      </c>
    </row>
    <row r="10" spans="1:59" ht="15" customHeight="1" x14ac:dyDescent="0.25">
      <c r="A10" s="104" t="str">
        <f>'G-1 All Habitats'!B9</f>
        <v>Cropland - Horticulture</v>
      </c>
      <c r="B10" s="88" t="str">
        <f>'G-1 All Habitats'!F9</f>
        <v>Cropland</v>
      </c>
      <c r="C10" s="88" t="str">
        <f>'G-1 All Habitats'!K9</f>
        <v>Low</v>
      </c>
      <c r="D10" s="88" t="str">
        <f>'G-1 All Habitats'!M9</f>
        <v>Same distinctiveness or better habitat required ≥</v>
      </c>
      <c r="E10" s="494">
        <f>IF(C10="V.High",SUMIF('A-1 Site Habitat Baseline'!$G$11:$G$258,'G-2 Habitat groups'!A10,'A-1 Site Habitat Baseline'!$S$11:$S$258)+SUMIF('A-1 Site Habitat Baseline'!$G$11:$G$258,'G-2 Habitat groups'!A10,'A-1 Site Habitat Baseline'!$T$11:$T$258),SUMIF('A-1 Site Habitat Baseline'!$G$11:$G$258,'G-2 Habitat groups'!A10,'A-1 Site Habitat Baseline'!$H$11:$H$258))</f>
        <v>0</v>
      </c>
      <c r="F10" s="494">
        <f>SUMIF('A-1 Site Habitat Baseline'!$G$11:$G$258,'G-2 Habitat groups'!A10,'A-1 Site Habitat Baseline'!$Q$11:$Q$258)</f>
        <v>0</v>
      </c>
      <c r="G10" s="494">
        <f>SUMIF('A-1 Site Habitat Baseline'!$G$11:$G$258,'G-2 Habitat groups'!A10,'A-1 Site Habitat Baseline'!$S$11:$S$258)</f>
        <v>0</v>
      </c>
      <c r="H10" s="494">
        <f>SUMIF('A-1 Site Habitat Baseline'!$G$11:$G$258,'G-2 Habitat groups'!A10,'A-1 Site Habitat Baseline'!$U$11:$U$258)</f>
        <v>0</v>
      </c>
      <c r="I10" s="494">
        <f>SUMIF('A-1 Site Habitat Baseline'!$G$11:$G$258,'G-2 Habitat groups'!A10,'A-1 Site Habitat Baseline'!$W$11:$W$258)</f>
        <v>0</v>
      </c>
      <c r="J10" s="494">
        <f>SUMIF('A-1 Site Habitat Baseline'!$G$11:$G$258,'G-2 Habitat groups'!A10,'A-1 Site Habitat Baseline'!$X$11:$X$258)</f>
        <v>0</v>
      </c>
      <c r="K10" s="494">
        <f>SUMIF('A-2 Site Habitat Creation'!$F$11:$F$256,'G-2 Habitat groups'!A10,'A-2 Site Habitat Creation'!$G$11:$G$256)</f>
        <v>0</v>
      </c>
      <c r="L10" s="494">
        <f>SUMIF('A-2 Site Habitat Creation'!$F$11:$F$256,'G-2 Habitat groups'!A10,'A-2 Site Habitat Creation'!$Y$11:$Y$256)</f>
        <v>0</v>
      </c>
      <c r="M10" s="494">
        <f>SUMIF('A-3 Site Habitat Enhancement'!$S$12:$S$257,'G-2 Habitat groups'!A10,'A-3 Site Habitat Enhancement'!$V$12:$V$257)</f>
        <v>0</v>
      </c>
      <c r="N10" s="494">
        <f>SUMIF('A-3 Site Habitat Enhancement'!$S$12:$S$257,'G-2 Habitat groups'!A10,'A-3 Site Habitat Enhancement'!$AN$12:$AN$257)</f>
        <v>0</v>
      </c>
      <c r="O10" s="494">
        <f t="shared" si="0"/>
        <v>0</v>
      </c>
      <c r="P10" s="494">
        <f t="shared" si="1"/>
        <v>0</v>
      </c>
      <c r="Q10" s="494">
        <f t="shared" si="2"/>
        <v>0</v>
      </c>
      <c r="R10" s="494">
        <f t="shared" si="3"/>
        <v>0</v>
      </c>
      <c r="S10" s="494">
        <f>IF(C10="V.High",SUMIF('D-1 Off Site Habitat Baseline'!$G$11:$G$258,'G-2 Habitat groups'!A10,'D-1 Off Site Habitat Baseline'!$S$11:$S$258)+SUMIF('D-1 Off Site Habitat Baseline'!$G$11:$G$258,'G-2 Habitat groups'!A10,'D-1 Off Site Habitat Baseline'!$T$11:$T$258),SUMIF('D-1 Off Site Habitat Baseline'!$G$11:$G$258,'G-2 Habitat groups'!A10,'D-1 Off Site Habitat Baseline'!$H$11:$H$258))</f>
        <v>0</v>
      </c>
      <c r="T10" s="494">
        <f>SUMIF('D-1 Off Site Habitat Baseline'!$G$11:$G$258,'G-2 Habitat groups'!A10,'D-1 Off Site Habitat Baseline'!$Q$11:$Q$258)</f>
        <v>0</v>
      </c>
      <c r="U10" s="591">
        <f>SUMIF('D-1 Off Site Habitat Baseline'!$G$11:$G$258,'G-2 Habitat groups'!A10,'D-1 Off Site Habitat Baseline'!$S$11:$S$258)</f>
        <v>0</v>
      </c>
      <c r="V10" s="494">
        <f>SUMIF('D-1 Off Site Habitat Baseline'!$G$11:$G$258,'G-2 Habitat groups'!A10,'D-1 Off Site Habitat Baseline'!$U$11:$U$258)</f>
        <v>0</v>
      </c>
      <c r="W10" s="494">
        <f>SUMIF('D-2 Off Site Habitat Creation'!$F$9:$F$255,'G-2 Habitat groups'!A10,'D-2 Off Site Habitat Creation'!$G$9:$G$255)</f>
        <v>0</v>
      </c>
      <c r="X10" s="494">
        <f>SUMIF('D-2 Off Site Habitat Creation'!$F$9:$F$255,'G-2 Habitat groups'!A10,'D-2 Off Site Habitat Creation'!$AA$9:$AA$255)</f>
        <v>0</v>
      </c>
      <c r="Y10" s="494">
        <f>SUMIF('D-3 Off Site Habitat Enhancment'!$S$12:$S$491,'G-2 Habitat groups'!A10,'D-3 Off Site Habitat Enhancment'!$V$12:$V$491)</f>
        <v>0</v>
      </c>
      <c r="Z10" s="494">
        <f>SUMIF('D-3 Off Site Habitat Enhancment'!$S$12:$S$491,'G-2 Habitat groups'!A10,'D-3 Off Site Habitat Enhancment'!$AP$12:$AP$491)</f>
        <v>0</v>
      </c>
      <c r="AA10" s="494">
        <f t="shared" si="4"/>
        <v>0</v>
      </c>
      <c r="AB10" s="494">
        <f t="shared" si="5"/>
        <v>0</v>
      </c>
      <c r="AC10" s="494">
        <f t="shared" si="6"/>
        <v>0</v>
      </c>
      <c r="AD10" s="494">
        <f t="shared" si="7"/>
        <v>0</v>
      </c>
      <c r="AE10" s="494">
        <f t="shared" si="8"/>
        <v>0</v>
      </c>
      <c r="AF10" s="494">
        <f t="shared" si="9"/>
        <v>0</v>
      </c>
      <c r="AJ10" s="107" t="s">
        <v>75</v>
      </c>
      <c r="AK10" s="100">
        <f t="shared" si="10"/>
        <v>0</v>
      </c>
      <c r="AL10" s="100">
        <f t="shared" si="11"/>
        <v>0</v>
      </c>
      <c r="AM10" s="100">
        <f t="shared" si="12"/>
        <v>0</v>
      </c>
      <c r="AN10" s="100">
        <f t="shared" si="13"/>
        <v>0</v>
      </c>
      <c r="AO10" s="111">
        <f t="shared" si="14"/>
        <v>0</v>
      </c>
      <c r="AP10" s="111">
        <f t="shared" si="15"/>
        <v>0</v>
      </c>
      <c r="AU10" s="119" t="s">
        <v>554</v>
      </c>
      <c r="AV10" s="88" t="s">
        <v>73</v>
      </c>
      <c r="AW10" s="494">
        <f t="shared" si="27"/>
        <v>0</v>
      </c>
      <c r="AX10" s="494">
        <f t="shared" si="28"/>
        <v>0</v>
      </c>
      <c r="AY10" s="494">
        <f t="shared" si="29"/>
        <v>0</v>
      </c>
      <c r="AZ10" s="494">
        <f t="shared" si="30"/>
        <v>0</v>
      </c>
      <c r="BA10" s="494">
        <f t="shared" si="31"/>
        <v>0</v>
      </c>
      <c r="BB10" s="494">
        <f t="shared" si="32"/>
        <v>0</v>
      </c>
      <c r="BC10" s="494">
        <f t="shared" si="33"/>
        <v>0</v>
      </c>
      <c r="BD10" s="494">
        <f t="shared" si="34"/>
        <v>0</v>
      </c>
      <c r="BE10" s="494">
        <f t="shared" si="35"/>
        <v>0</v>
      </c>
      <c r="BF10" s="494" t="str">
        <f t="shared" si="36"/>
        <v/>
      </c>
      <c r="BG10" s="586">
        <f t="shared" si="26"/>
        <v>0</v>
      </c>
    </row>
    <row r="11" spans="1:59" ht="14.4" customHeight="1" x14ac:dyDescent="0.25">
      <c r="A11" s="104" t="str">
        <f>'G-1 All Habitats'!B10</f>
        <v>Cropland - Intensive orchards</v>
      </c>
      <c r="B11" s="88" t="str">
        <f>'G-1 All Habitats'!F10</f>
        <v>Cropland</v>
      </c>
      <c r="C11" s="88" t="str">
        <f>'G-1 All Habitats'!K10</f>
        <v>Low</v>
      </c>
      <c r="D11" s="88" t="str">
        <f>'G-1 All Habitats'!M10</f>
        <v>Same distinctiveness or better habitat required ≥</v>
      </c>
      <c r="E11" s="494">
        <f>IF(C11="V.High",SUMIF('A-1 Site Habitat Baseline'!$G$11:$G$258,'G-2 Habitat groups'!A11,'A-1 Site Habitat Baseline'!$S$11:$S$258)+SUMIF('A-1 Site Habitat Baseline'!$G$11:$G$258,'G-2 Habitat groups'!A11,'A-1 Site Habitat Baseline'!$T$11:$T$258),SUMIF('A-1 Site Habitat Baseline'!$G$11:$G$258,'G-2 Habitat groups'!A11,'A-1 Site Habitat Baseline'!$H$11:$H$258))</f>
        <v>0</v>
      </c>
      <c r="F11" s="494">
        <f>SUMIF('A-1 Site Habitat Baseline'!$G$11:$G$258,'G-2 Habitat groups'!A11,'A-1 Site Habitat Baseline'!$Q$11:$Q$258)</f>
        <v>0</v>
      </c>
      <c r="G11" s="494">
        <f>SUMIF('A-1 Site Habitat Baseline'!$G$11:$G$258,'G-2 Habitat groups'!A11,'A-1 Site Habitat Baseline'!$S$11:$S$258)</f>
        <v>0</v>
      </c>
      <c r="H11" s="494">
        <f>SUMIF('A-1 Site Habitat Baseline'!$G$11:$G$258,'G-2 Habitat groups'!A11,'A-1 Site Habitat Baseline'!$U$11:$U$258)</f>
        <v>0</v>
      </c>
      <c r="I11" s="494">
        <f>SUMIF('A-1 Site Habitat Baseline'!$G$11:$G$258,'G-2 Habitat groups'!A11,'A-1 Site Habitat Baseline'!$W$11:$W$258)</f>
        <v>0</v>
      </c>
      <c r="J11" s="494">
        <f>SUMIF('A-1 Site Habitat Baseline'!$G$11:$G$258,'G-2 Habitat groups'!A11,'A-1 Site Habitat Baseline'!$X$11:$X$258)</f>
        <v>0</v>
      </c>
      <c r="K11" s="494">
        <f>SUMIF('A-2 Site Habitat Creation'!$F$11:$F$256,'G-2 Habitat groups'!A11,'A-2 Site Habitat Creation'!$G$11:$G$256)</f>
        <v>0</v>
      </c>
      <c r="L11" s="494">
        <f>SUMIF('A-2 Site Habitat Creation'!$F$11:$F$256,'G-2 Habitat groups'!A11,'A-2 Site Habitat Creation'!$Y$11:$Y$256)</f>
        <v>0</v>
      </c>
      <c r="M11" s="494">
        <f>SUMIF('A-3 Site Habitat Enhancement'!$S$12:$S$257,'G-2 Habitat groups'!A11,'A-3 Site Habitat Enhancement'!$V$12:$V$257)</f>
        <v>0</v>
      </c>
      <c r="N11" s="494">
        <f>SUMIF('A-3 Site Habitat Enhancement'!$S$12:$S$257,'G-2 Habitat groups'!A11,'A-3 Site Habitat Enhancement'!$AN$12:$AN$257)</f>
        <v>0</v>
      </c>
      <c r="O11" s="494">
        <f t="shared" si="0"/>
        <v>0</v>
      </c>
      <c r="P11" s="494">
        <f t="shared" si="1"/>
        <v>0</v>
      </c>
      <c r="Q11" s="494">
        <f t="shared" si="2"/>
        <v>0</v>
      </c>
      <c r="R11" s="494">
        <f t="shared" si="3"/>
        <v>0</v>
      </c>
      <c r="S11" s="494">
        <f>IF(C11="V.High",SUMIF('D-1 Off Site Habitat Baseline'!$G$11:$G$258,'G-2 Habitat groups'!A11,'D-1 Off Site Habitat Baseline'!$S$11:$S$258)+SUMIF('D-1 Off Site Habitat Baseline'!$G$11:$G$258,'G-2 Habitat groups'!A11,'D-1 Off Site Habitat Baseline'!$T$11:$T$258),SUMIF('D-1 Off Site Habitat Baseline'!$G$11:$G$258,'G-2 Habitat groups'!A11,'D-1 Off Site Habitat Baseline'!$H$11:$H$258))</f>
        <v>0</v>
      </c>
      <c r="T11" s="494">
        <f>SUMIF('D-1 Off Site Habitat Baseline'!$G$11:$G$258,'G-2 Habitat groups'!A11,'D-1 Off Site Habitat Baseline'!$Q$11:$Q$258)</f>
        <v>0</v>
      </c>
      <c r="U11" s="591">
        <f>SUMIF('D-1 Off Site Habitat Baseline'!$G$11:$G$258,'G-2 Habitat groups'!A11,'D-1 Off Site Habitat Baseline'!$S$11:$S$258)</f>
        <v>0</v>
      </c>
      <c r="V11" s="494">
        <f>SUMIF('D-1 Off Site Habitat Baseline'!$G$11:$G$258,'G-2 Habitat groups'!A11,'D-1 Off Site Habitat Baseline'!$U$11:$U$258)</f>
        <v>0</v>
      </c>
      <c r="W11" s="494">
        <f>SUMIF('D-2 Off Site Habitat Creation'!$F$9:$F$255,'G-2 Habitat groups'!A11,'D-2 Off Site Habitat Creation'!$G$9:$G$255)</f>
        <v>0</v>
      </c>
      <c r="X11" s="494">
        <f>SUMIF('D-2 Off Site Habitat Creation'!$F$9:$F$255,'G-2 Habitat groups'!A11,'D-2 Off Site Habitat Creation'!$AA$9:$AA$255)</f>
        <v>0</v>
      </c>
      <c r="Y11" s="494">
        <f>SUMIF('D-3 Off Site Habitat Enhancment'!$S$12:$S$491,'G-2 Habitat groups'!A11,'D-3 Off Site Habitat Enhancment'!$V$12:$V$491)</f>
        <v>0</v>
      </c>
      <c r="Z11" s="494">
        <f>SUMIF('D-3 Off Site Habitat Enhancment'!$S$12:$S$491,'G-2 Habitat groups'!A11,'D-3 Off Site Habitat Enhancment'!$AP$12:$AP$491)</f>
        <v>0</v>
      </c>
      <c r="AA11" s="494">
        <f t="shared" si="4"/>
        <v>0</v>
      </c>
      <c r="AB11" s="494">
        <f t="shared" si="5"/>
        <v>0</v>
      </c>
      <c r="AC11" s="494">
        <f t="shared" si="6"/>
        <v>0</v>
      </c>
      <c r="AD11" s="494">
        <f t="shared" si="7"/>
        <v>0</v>
      </c>
      <c r="AE11" s="494">
        <f t="shared" si="8"/>
        <v>0</v>
      </c>
      <c r="AF11" s="494">
        <f t="shared" si="9"/>
        <v>0</v>
      </c>
      <c r="AJ11" s="109" t="s">
        <v>76</v>
      </c>
      <c r="AK11" s="100">
        <f t="shared" si="10"/>
        <v>0</v>
      </c>
      <c r="AL11" s="100">
        <f t="shared" si="11"/>
        <v>0</v>
      </c>
      <c r="AM11" s="100">
        <f t="shared" si="12"/>
        <v>0</v>
      </c>
      <c r="AN11" s="100">
        <f t="shared" si="13"/>
        <v>0</v>
      </c>
      <c r="AO11" s="111">
        <f t="shared" si="14"/>
        <v>0</v>
      </c>
      <c r="AP11" s="111">
        <f t="shared" si="15"/>
        <v>0</v>
      </c>
      <c r="AU11" s="119" t="s">
        <v>574</v>
      </c>
      <c r="AV11" s="88" t="s">
        <v>73</v>
      </c>
      <c r="AW11" s="494">
        <f t="shared" si="27"/>
        <v>0</v>
      </c>
      <c r="AX11" s="494">
        <f t="shared" si="28"/>
        <v>0</v>
      </c>
      <c r="AY11" s="494">
        <f t="shared" si="29"/>
        <v>0</v>
      </c>
      <c r="AZ11" s="494">
        <f t="shared" si="30"/>
        <v>0</v>
      </c>
      <c r="BA11" s="494">
        <f t="shared" si="31"/>
        <v>0</v>
      </c>
      <c r="BB11" s="494">
        <f t="shared" si="32"/>
        <v>0</v>
      </c>
      <c r="BC11" s="494">
        <f t="shared" si="33"/>
        <v>0</v>
      </c>
      <c r="BD11" s="494">
        <f t="shared" si="34"/>
        <v>0</v>
      </c>
      <c r="BE11" s="494">
        <f t="shared" si="35"/>
        <v>0</v>
      </c>
      <c r="BF11" s="494" t="str">
        <f t="shared" si="36"/>
        <v/>
      </c>
      <c r="BG11" s="586">
        <f t="shared" si="26"/>
        <v>0</v>
      </c>
    </row>
    <row r="12" spans="1:59" ht="14.4" customHeight="1" x14ac:dyDescent="0.25">
      <c r="A12" s="104" t="str">
        <f>'G-1 All Habitats'!B11</f>
        <v>Cropland - Non-cereal crops</v>
      </c>
      <c r="B12" s="88" t="str">
        <f>'G-1 All Habitats'!F11</f>
        <v>Cropland</v>
      </c>
      <c r="C12" s="88" t="str">
        <f>'G-1 All Habitats'!K11</f>
        <v>Low</v>
      </c>
      <c r="D12" s="88" t="str">
        <f>'G-1 All Habitats'!M11</f>
        <v>Same distinctiveness or better habitat required ≥</v>
      </c>
      <c r="E12" s="494">
        <f>IF(C12="V.High",SUMIF('A-1 Site Habitat Baseline'!$G$11:$G$258,'G-2 Habitat groups'!A12,'A-1 Site Habitat Baseline'!$S$11:$S$258)+SUMIF('A-1 Site Habitat Baseline'!$G$11:$G$258,'G-2 Habitat groups'!A12,'A-1 Site Habitat Baseline'!$T$11:$T$258),SUMIF('A-1 Site Habitat Baseline'!$G$11:$G$258,'G-2 Habitat groups'!A12,'A-1 Site Habitat Baseline'!$H$11:$H$258))</f>
        <v>0</v>
      </c>
      <c r="F12" s="494">
        <f>SUMIF('A-1 Site Habitat Baseline'!$G$11:$G$258,'G-2 Habitat groups'!A12,'A-1 Site Habitat Baseline'!$Q$11:$Q$258)</f>
        <v>0</v>
      </c>
      <c r="G12" s="494">
        <f>SUMIF('A-1 Site Habitat Baseline'!$G$11:$G$258,'G-2 Habitat groups'!A12,'A-1 Site Habitat Baseline'!$S$11:$S$258)</f>
        <v>0</v>
      </c>
      <c r="H12" s="494">
        <f>SUMIF('A-1 Site Habitat Baseline'!$G$11:$G$258,'G-2 Habitat groups'!A12,'A-1 Site Habitat Baseline'!$U$11:$U$258)</f>
        <v>0</v>
      </c>
      <c r="I12" s="494">
        <f>SUMIF('A-1 Site Habitat Baseline'!$G$11:$G$258,'G-2 Habitat groups'!A12,'A-1 Site Habitat Baseline'!$W$11:$W$258)</f>
        <v>0</v>
      </c>
      <c r="J12" s="494">
        <f>SUMIF('A-1 Site Habitat Baseline'!$G$11:$G$258,'G-2 Habitat groups'!A12,'A-1 Site Habitat Baseline'!$X$11:$X$258)</f>
        <v>0</v>
      </c>
      <c r="K12" s="494">
        <f>SUMIF('A-2 Site Habitat Creation'!$F$11:$F$256,'G-2 Habitat groups'!A12,'A-2 Site Habitat Creation'!$G$11:$G$256)</f>
        <v>0</v>
      </c>
      <c r="L12" s="494">
        <f>SUMIF('A-2 Site Habitat Creation'!$F$11:$F$256,'G-2 Habitat groups'!A12,'A-2 Site Habitat Creation'!$Y$11:$Y$256)</f>
        <v>0</v>
      </c>
      <c r="M12" s="494">
        <f>SUMIF('A-3 Site Habitat Enhancement'!$S$12:$S$257,'G-2 Habitat groups'!A12,'A-3 Site Habitat Enhancement'!$V$12:$V$257)</f>
        <v>0</v>
      </c>
      <c r="N12" s="494">
        <f>SUMIF('A-3 Site Habitat Enhancement'!$S$12:$S$257,'G-2 Habitat groups'!A12,'A-3 Site Habitat Enhancement'!$AN$12:$AN$257)</f>
        <v>0</v>
      </c>
      <c r="O12" s="494">
        <f t="shared" si="0"/>
        <v>0</v>
      </c>
      <c r="P12" s="494">
        <f t="shared" si="1"/>
        <v>0</v>
      </c>
      <c r="Q12" s="494">
        <f t="shared" si="2"/>
        <v>0</v>
      </c>
      <c r="R12" s="494">
        <f t="shared" si="3"/>
        <v>0</v>
      </c>
      <c r="S12" s="494">
        <f>IF(C12="V.High",SUMIF('D-1 Off Site Habitat Baseline'!$G$11:$G$258,'G-2 Habitat groups'!A12,'D-1 Off Site Habitat Baseline'!$S$11:$S$258)+SUMIF('D-1 Off Site Habitat Baseline'!$G$11:$G$258,'G-2 Habitat groups'!A12,'D-1 Off Site Habitat Baseline'!$T$11:$T$258),SUMIF('D-1 Off Site Habitat Baseline'!$G$11:$G$258,'G-2 Habitat groups'!A12,'D-1 Off Site Habitat Baseline'!$H$11:$H$258))</f>
        <v>0</v>
      </c>
      <c r="T12" s="494">
        <f>SUMIF('D-1 Off Site Habitat Baseline'!$G$11:$G$258,'G-2 Habitat groups'!A12,'D-1 Off Site Habitat Baseline'!$Q$11:$Q$258)</f>
        <v>0</v>
      </c>
      <c r="U12" s="591">
        <f>SUMIF('D-1 Off Site Habitat Baseline'!$G$11:$G$258,'G-2 Habitat groups'!A12,'D-1 Off Site Habitat Baseline'!$S$11:$S$258)</f>
        <v>0</v>
      </c>
      <c r="V12" s="494">
        <f>SUMIF('D-1 Off Site Habitat Baseline'!$G$11:$G$258,'G-2 Habitat groups'!A12,'D-1 Off Site Habitat Baseline'!$U$11:$U$258)</f>
        <v>0</v>
      </c>
      <c r="W12" s="494">
        <f>SUMIF('D-2 Off Site Habitat Creation'!$F$9:$F$255,'G-2 Habitat groups'!A12,'D-2 Off Site Habitat Creation'!$G$9:$G$255)</f>
        <v>0</v>
      </c>
      <c r="X12" s="494">
        <f>SUMIF('D-2 Off Site Habitat Creation'!$F$9:$F$255,'G-2 Habitat groups'!A12,'D-2 Off Site Habitat Creation'!$AA$9:$AA$255)</f>
        <v>0</v>
      </c>
      <c r="Y12" s="494">
        <f>SUMIF('D-3 Off Site Habitat Enhancment'!$S$12:$S$491,'G-2 Habitat groups'!A12,'D-3 Off Site Habitat Enhancment'!$V$12:$V$491)</f>
        <v>0</v>
      </c>
      <c r="Z12" s="494">
        <f>SUMIF('D-3 Off Site Habitat Enhancment'!$S$12:$S$491,'G-2 Habitat groups'!A12,'D-3 Off Site Habitat Enhancment'!$AP$12:$AP$491)</f>
        <v>0</v>
      </c>
      <c r="AA12" s="494">
        <f t="shared" si="4"/>
        <v>0</v>
      </c>
      <c r="AB12" s="494">
        <f t="shared" si="5"/>
        <v>0</v>
      </c>
      <c r="AC12" s="494">
        <f t="shared" si="6"/>
        <v>0</v>
      </c>
      <c r="AD12" s="494">
        <f t="shared" si="7"/>
        <v>0</v>
      </c>
      <c r="AE12" s="494">
        <f t="shared" si="8"/>
        <v>0</v>
      </c>
      <c r="AF12" s="494">
        <f t="shared" si="9"/>
        <v>0</v>
      </c>
      <c r="AJ12" s="109" t="s">
        <v>77</v>
      </c>
      <c r="AK12" s="100">
        <f t="shared" si="10"/>
        <v>0</v>
      </c>
      <c r="AL12" s="100">
        <f t="shared" si="11"/>
        <v>0</v>
      </c>
      <c r="AM12" s="100">
        <f t="shared" si="12"/>
        <v>0</v>
      </c>
      <c r="AN12" s="100">
        <f t="shared" si="13"/>
        <v>0</v>
      </c>
      <c r="AO12" s="111">
        <f t="shared" si="14"/>
        <v>0</v>
      </c>
      <c r="AP12" s="111">
        <f t="shared" si="15"/>
        <v>0</v>
      </c>
      <c r="AU12" s="119" t="s">
        <v>641</v>
      </c>
      <c r="AV12" s="88" t="s">
        <v>75</v>
      </c>
      <c r="AW12" s="494">
        <f t="shared" si="27"/>
        <v>0</v>
      </c>
      <c r="AX12" s="494">
        <f t="shared" si="28"/>
        <v>0</v>
      </c>
      <c r="AY12" s="494">
        <f t="shared" si="29"/>
        <v>0</v>
      </c>
      <c r="AZ12" s="494">
        <f t="shared" si="30"/>
        <v>0</v>
      </c>
      <c r="BA12" s="494">
        <f t="shared" si="31"/>
        <v>0</v>
      </c>
      <c r="BB12" s="494">
        <f t="shared" si="32"/>
        <v>0</v>
      </c>
      <c r="BC12" s="494">
        <f t="shared" si="33"/>
        <v>0</v>
      </c>
      <c r="BD12" s="494">
        <f t="shared" si="34"/>
        <v>0</v>
      </c>
      <c r="BE12" s="494">
        <f t="shared" si="35"/>
        <v>0</v>
      </c>
      <c r="BF12" s="494" t="str">
        <f t="shared" si="36"/>
        <v/>
      </c>
      <c r="BG12" s="586">
        <f t="shared" si="26"/>
        <v>0</v>
      </c>
    </row>
    <row r="13" spans="1:59" ht="14.4" customHeight="1" x14ac:dyDescent="0.25">
      <c r="A13" s="104" t="str">
        <f>'G-1 All Habitats'!B12</f>
        <v>Cropland - Temporary grass and clover leys</v>
      </c>
      <c r="B13" s="88" t="str">
        <f>'G-1 All Habitats'!F12</f>
        <v>Cropland</v>
      </c>
      <c r="C13" s="88" t="str">
        <f>'G-1 All Habitats'!K12</f>
        <v>Low</v>
      </c>
      <c r="D13" s="88" t="str">
        <f>'G-1 All Habitats'!M12</f>
        <v>Same distinctiveness or better habitat required ≥</v>
      </c>
      <c r="E13" s="494">
        <f>IF(C13="V.High",SUMIF('A-1 Site Habitat Baseline'!$G$11:$G$258,'G-2 Habitat groups'!A13,'A-1 Site Habitat Baseline'!$S$11:$S$258)+SUMIF('A-1 Site Habitat Baseline'!$G$11:$G$258,'G-2 Habitat groups'!A13,'A-1 Site Habitat Baseline'!$T$11:$T$258),SUMIF('A-1 Site Habitat Baseline'!$G$11:$G$258,'G-2 Habitat groups'!A13,'A-1 Site Habitat Baseline'!$H$11:$H$258))</f>
        <v>0</v>
      </c>
      <c r="F13" s="494">
        <f>SUMIF('A-1 Site Habitat Baseline'!$G$11:$G$258,'G-2 Habitat groups'!A13,'A-1 Site Habitat Baseline'!$Q$11:$Q$258)</f>
        <v>0</v>
      </c>
      <c r="G13" s="494">
        <f>SUMIF('A-1 Site Habitat Baseline'!$G$11:$G$258,'G-2 Habitat groups'!A13,'A-1 Site Habitat Baseline'!$S$11:$S$258)</f>
        <v>0</v>
      </c>
      <c r="H13" s="494">
        <f>SUMIF('A-1 Site Habitat Baseline'!$G$11:$G$258,'G-2 Habitat groups'!A13,'A-1 Site Habitat Baseline'!$U$11:$U$258)</f>
        <v>0</v>
      </c>
      <c r="I13" s="494">
        <f>SUMIF('A-1 Site Habitat Baseline'!$G$11:$G$258,'G-2 Habitat groups'!A13,'A-1 Site Habitat Baseline'!$W$11:$W$258)</f>
        <v>0</v>
      </c>
      <c r="J13" s="494">
        <f>SUMIF('A-1 Site Habitat Baseline'!$G$11:$G$258,'G-2 Habitat groups'!A13,'A-1 Site Habitat Baseline'!$X$11:$X$258)</f>
        <v>0</v>
      </c>
      <c r="K13" s="494">
        <f>SUMIF('A-2 Site Habitat Creation'!$F$11:$F$256,'G-2 Habitat groups'!A13,'A-2 Site Habitat Creation'!$G$11:$G$256)</f>
        <v>0</v>
      </c>
      <c r="L13" s="494">
        <f>SUMIF('A-2 Site Habitat Creation'!$F$11:$F$256,'G-2 Habitat groups'!A13,'A-2 Site Habitat Creation'!$Y$11:$Y$256)</f>
        <v>0</v>
      </c>
      <c r="M13" s="494">
        <f>SUMIF('A-3 Site Habitat Enhancement'!$S$12:$S$257,'G-2 Habitat groups'!A13,'A-3 Site Habitat Enhancement'!$V$12:$V$257)</f>
        <v>0</v>
      </c>
      <c r="N13" s="494">
        <f>SUMIF('A-3 Site Habitat Enhancement'!$S$12:$S$257,'G-2 Habitat groups'!A13,'A-3 Site Habitat Enhancement'!$AN$12:$AN$257)</f>
        <v>0</v>
      </c>
      <c r="O13" s="494">
        <f t="shared" si="0"/>
        <v>0</v>
      </c>
      <c r="P13" s="494">
        <f t="shared" si="1"/>
        <v>0</v>
      </c>
      <c r="Q13" s="494">
        <f t="shared" si="2"/>
        <v>0</v>
      </c>
      <c r="R13" s="494">
        <f t="shared" si="3"/>
        <v>0</v>
      </c>
      <c r="S13" s="494">
        <f>IF(C13="V.High",SUMIF('D-1 Off Site Habitat Baseline'!$G$11:$G$258,'G-2 Habitat groups'!A13,'D-1 Off Site Habitat Baseline'!$S$11:$S$258)+SUMIF('D-1 Off Site Habitat Baseline'!$G$11:$G$258,'G-2 Habitat groups'!A13,'D-1 Off Site Habitat Baseline'!$T$11:$T$258),SUMIF('D-1 Off Site Habitat Baseline'!$G$11:$G$258,'G-2 Habitat groups'!A13,'D-1 Off Site Habitat Baseline'!$H$11:$H$258))</f>
        <v>0</v>
      </c>
      <c r="T13" s="494">
        <f>SUMIF('D-1 Off Site Habitat Baseline'!$G$11:$G$258,'G-2 Habitat groups'!A13,'D-1 Off Site Habitat Baseline'!$Q$11:$Q$258)</f>
        <v>0</v>
      </c>
      <c r="U13" s="591">
        <f>SUMIF('D-1 Off Site Habitat Baseline'!$G$11:$G$258,'G-2 Habitat groups'!A13,'D-1 Off Site Habitat Baseline'!$S$11:$S$258)</f>
        <v>0</v>
      </c>
      <c r="V13" s="494">
        <f>SUMIF('D-1 Off Site Habitat Baseline'!$G$11:$G$258,'G-2 Habitat groups'!A13,'D-1 Off Site Habitat Baseline'!$U$11:$U$258)</f>
        <v>0</v>
      </c>
      <c r="W13" s="494">
        <f>SUMIF('D-2 Off Site Habitat Creation'!$F$9:$F$255,'G-2 Habitat groups'!A13,'D-2 Off Site Habitat Creation'!$G$9:$G$255)</f>
        <v>0</v>
      </c>
      <c r="X13" s="494">
        <f>SUMIF('D-2 Off Site Habitat Creation'!$F$9:$F$255,'G-2 Habitat groups'!A13,'D-2 Off Site Habitat Creation'!$AA$9:$AA$255)</f>
        <v>0</v>
      </c>
      <c r="Y13" s="494">
        <f>SUMIF('D-3 Off Site Habitat Enhancment'!$S$12:$S$491,'G-2 Habitat groups'!A13,'D-3 Off Site Habitat Enhancment'!$V$12:$V$491)</f>
        <v>0</v>
      </c>
      <c r="Z13" s="494">
        <f>SUMIF('D-3 Off Site Habitat Enhancment'!$S$12:$S$491,'G-2 Habitat groups'!A13,'D-3 Off Site Habitat Enhancment'!$AP$12:$AP$491)</f>
        <v>0</v>
      </c>
      <c r="AA13" s="494">
        <f t="shared" si="4"/>
        <v>0</v>
      </c>
      <c r="AB13" s="494">
        <f t="shared" si="5"/>
        <v>0</v>
      </c>
      <c r="AC13" s="494">
        <f t="shared" si="6"/>
        <v>0</v>
      </c>
      <c r="AD13" s="494">
        <f t="shared" si="7"/>
        <v>0</v>
      </c>
      <c r="AE13" s="494">
        <f t="shared" si="8"/>
        <v>0</v>
      </c>
      <c r="AF13" s="494">
        <f t="shared" si="9"/>
        <v>0</v>
      </c>
      <c r="AJ13" s="110" t="s">
        <v>78</v>
      </c>
      <c r="AK13" s="100">
        <f t="shared" si="10"/>
        <v>0</v>
      </c>
      <c r="AL13" s="100">
        <f t="shared" si="11"/>
        <v>0</v>
      </c>
      <c r="AM13" s="100">
        <f t="shared" si="12"/>
        <v>0</v>
      </c>
      <c r="AN13" s="100">
        <f t="shared" si="13"/>
        <v>0</v>
      </c>
      <c r="AO13" s="111">
        <f t="shared" si="14"/>
        <v>0</v>
      </c>
      <c r="AP13" s="111">
        <f t="shared" si="15"/>
        <v>0</v>
      </c>
      <c r="AU13" s="119" t="s">
        <v>645</v>
      </c>
      <c r="AV13" s="88" t="s">
        <v>75</v>
      </c>
      <c r="AW13" s="494">
        <f t="shared" si="27"/>
        <v>0</v>
      </c>
      <c r="AX13" s="494">
        <f t="shared" si="28"/>
        <v>0</v>
      </c>
      <c r="AY13" s="494">
        <f t="shared" si="29"/>
        <v>0</v>
      </c>
      <c r="AZ13" s="494">
        <f t="shared" si="30"/>
        <v>0</v>
      </c>
      <c r="BA13" s="494">
        <f t="shared" si="31"/>
        <v>0</v>
      </c>
      <c r="BB13" s="494">
        <f t="shared" si="32"/>
        <v>0</v>
      </c>
      <c r="BC13" s="494">
        <f t="shared" si="33"/>
        <v>0</v>
      </c>
      <c r="BD13" s="494">
        <f t="shared" si="34"/>
        <v>0</v>
      </c>
      <c r="BE13" s="494">
        <f t="shared" si="35"/>
        <v>0</v>
      </c>
      <c r="BF13" s="494" t="str">
        <f t="shared" si="36"/>
        <v/>
      </c>
      <c r="BG13" s="586">
        <f t="shared" si="26"/>
        <v>0</v>
      </c>
    </row>
    <row r="14" spans="1:59" ht="14.4" customHeight="1" x14ac:dyDescent="0.25">
      <c r="A14" s="104" t="str">
        <f>'G-1 All Habitats'!B13</f>
        <v>Grassland - Traditional orchards</v>
      </c>
      <c r="B14" s="88" t="str">
        <f>'G-1 All Habitats'!F13</f>
        <v>Grassland</v>
      </c>
      <c r="C14" s="88" t="str">
        <f>'G-1 All Habitats'!K13</f>
        <v>High</v>
      </c>
      <c r="D14" s="88" t="str">
        <f>'G-1 All Habitats'!M13</f>
        <v>Same habitat required =</v>
      </c>
      <c r="E14" s="494">
        <f>IF(C14="V.High",SUMIF('A-1 Site Habitat Baseline'!$G$11:$G$258,'G-2 Habitat groups'!A14,'A-1 Site Habitat Baseline'!$S$11:$S$258)+SUMIF('A-1 Site Habitat Baseline'!$G$11:$G$258,'G-2 Habitat groups'!A14,'A-1 Site Habitat Baseline'!$T$11:$T$258),SUMIF('A-1 Site Habitat Baseline'!$G$11:$G$258,'G-2 Habitat groups'!A14,'A-1 Site Habitat Baseline'!$H$11:$H$258))</f>
        <v>0</v>
      </c>
      <c r="F14" s="494">
        <f>SUMIF('A-1 Site Habitat Baseline'!$G$11:$G$258,'G-2 Habitat groups'!A14,'A-1 Site Habitat Baseline'!$Q$11:$Q$258)</f>
        <v>0</v>
      </c>
      <c r="G14" s="494">
        <f>SUMIF('A-1 Site Habitat Baseline'!$G$11:$G$258,'G-2 Habitat groups'!A14,'A-1 Site Habitat Baseline'!$S$11:$S$258)</f>
        <v>0</v>
      </c>
      <c r="H14" s="494">
        <f>SUMIF('A-1 Site Habitat Baseline'!$G$11:$G$258,'G-2 Habitat groups'!A14,'A-1 Site Habitat Baseline'!$U$11:$U$258)</f>
        <v>0</v>
      </c>
      <c r="I14" s="494">
        <f>SUMIF('A-1 Site Habitat Baseline'!$G$11:$G$258,'G-2 Habitat groups'!A14,'A-1 Site Habitat Baseline'!$W$11:$W$258)</f>
        <v>0</v>
      </c>
      <c r="J14" s="494">
        <f>SUMIF('A-1 Site Habitat Baseline'!$G$11:$G$258,'G-2 Habitat groups'!A14,'A-1 Site Habitat Baseline'!$X$11:$X$258)</f>
        <v>0</v>
      </c>
      <c r="K14" s="494">
        <f>SUMIF('A-2 Site Habitat Creation'!$F$11:$F$256,'G-2 Habitat groups'!A14,'A-2 Site Habitat Creation'!$G$11:$G$256)</f>
        <v>0</v>
      </c>
      <c r="L14" s="494">
        <f>SUMIF('A-2 Site Habitat Creation'!$F$11:$F$256,'G-2 Habitat groups'!A14,'A-2 Site Habitat Creation'!$Y$11:$Y$256)</f>
        <v>0</v>
      </c>
      <c r="M14" s="494">
        <f>SUMIF('A-3 Site Habitat Enhancement'!$S$12:$S$257,'G-2 Habitat groups'!A14,'A-3 Site Habitat Enhancement'!$V$12:$V$257)</f>
        <v>0</v>
      </c>
      <c r="N14" s="494">
        <f>SUMIF('A-3 Site Habitat Enhancement'!$S$12:$S$257,'G-2 Habitat groups'!A14,'A-3 Site Habitat Enhancement'!$AN$12:$AN$257)</f>
        <v>0</v>
      </c>
      <c r="O14" s="494">
        <f t="shared" si="0"/>
        <v>0</v>
      </c>
      <c r="P14" s="494">
        <f t="shared" si="1"/>
        <v>0</v>
      </c>
      <c r="Q14" s="494">
        <f t="shared" si="2"/>
        <v>0</v>
      </c>
      <c r="R14" s="494">
        <f t="shared" si="3"/>
        <v>0</v>
      </c>
      <c r="S14" s="494">
        <f>IF(C14="V.High",SUMIF('D-1 Off Site Habitat Baseline'!$G$11:$G$258,'G-2 Habitat groups'!A14,'D-1 Off Site Habitat Baseline'!$S$11:$S$258)+SUMIF('D-1 Off Site Habitat Baseline'!$G$11:$G$258,'G-2 Habitat groups'!A14,'D-1 Off Site Habitat Baseline'!$T$11:$T$258),SUMIF('D-1 Off Site Habitat Baseline'!$G$11:$G$258,'G-2 Habitat groups'!A14,'D-1 Off Site Habitat Baseline'!$H$11:$H$258))</f>
        <v>0</v>
      </c>
      <c r="T14" s="494">
        <f>SUMIF('D-1 Off Site Habitat Baseline'!$G$11:$G$258,'G-2 Habitat groups'!A14,'D-1 Off Site Habitat Baseline'!$Q$11:$Q$258)</f>
        <v>0</v>
      </c>
      <c r="U14" s="591">
        <f>SUMIF('D-1 Off Site Habitat Baseline'!$G$11:$G$258,'G-2 Habitat groups'!A14,'D-1 Off Site Habitat Baseline'!$S$11:$S$258)</f>
        <v>0</v>
      </c>
      <c r="V14" s="494">
        <f>SUMIF('D-1 Off Site Habitat Baseline'!$G$11:$G$258,'G-2 Habitat groups'!A14,'D-1 Off Site Habitat Baseline'!$U$11:$U$258)</f>
        <v>0</v>
      </c>
      <c r="W14" s="494">
        <f>SUMIF('D-2 Off Site Habitat Creation'!$F$9:$F$255,'G-2 Habitat groups'!A14,'D-2 Off Site Habitat Creation'!$G$9:$G$255)</f>
        <v>0</v>
      </c>
      <c r="X14" s="494">
        <f>SUMIF('D-2 Off Site Habitat Creation'!$F$9:$F$255,'G-2 Habitat groups'!A14,'D-2 Off Site Habitat Creation'!$AA$9:$AA$255)</f>
        <v>0</v>
      </c>
      <c r="Y14" s="494">
        <f>SUMIF('D-3 Off Site Habitat Enhancment'!$S$12:$S$491,'G-2 Habitat groups'!A14,'D-3 Off Site Habitat Enhancment'!$V$12:$V$491)</f>
        <v>0</v>
      </c>
      <c r="Z14" s="494">
        <f>SUMIF('D-3 Off Site Habitat Enhancment'!$S$12:$S$491,'G-2 Habitat groups'!A14,'D-3 Off Site Habitat Enhancment'!$AP$12:$AP$491)</f>
        <v>0</v>
      </c>
      <c r="AA14" s="494">
        <f t="shared" si="4"/>
        <v>0</v>
      </c>
      <c r="AB14" s="494">
        <f t="shared" si="5"/>
        <v>0</v>
      </c>
      <c r="AC14" s="494">
        <f t="shared" si="6"/>
        <v>0</v>
      </c>
      <c r="AD14" s="494">
        <f t="shared" si="7"/>
        <v>0</v>
      </c>
      <c r="AE14" s="494">
        <f t="shared" si="8"/>
        <v>0</v>
      </c>
      <c r="AF14" s="494">
        <f t="shared" si="9"/>
        <v>0</v>
      </c>
      <c r="AJ14" s="110" t="s">
        <v>79</v>
      </c>
      <c r="AK14" s="100">
        <f t="shared" si="10"/>
        <v>0</v>
      </c>
      <c r="AL14" s="100">
        <f t="shared" si="11"/>
        <v>0</v>
      </c>
      <c r="AM14" s="100">
        <f t="shared" si="12"/>
        <v>0</v>
      </c>
      <c r="AN14" s="100">
        <f t="shared" si="13"/>
        <v>0</v>
      </c>
      <c r="AO14" s="111">
        <f t="shared" si="14"/>
        <v>0</v>
      </c>
      <c r="AP14" s="111">
        <f t="shared" si="15"/>
        <v>0</v>
      </c>
      <c r="AU14" s="119" t="s">
        <v>649</v>
      </c>
      <c r="AV14" s="88" t="s">
        <v>75</v>
      </c>
      <c r="AW14" s="494">
        <f t="shared" si="27"/>
        <v>0</v>
      </c>
      <c r="AX14" s="494">
        <f t="shared" si="28"/>
        <v>0</v>
      </c>
      <c r="AY14" s="494">
        <f t="shared" si="29"/>
        <v>0</v>
      </c>
      <c r="AZ14" s="494">
        <f t="shared" si="30"/>
        <v>0</v>
      </c>
      <c r="BA14" s="494">
        <f t="shared" si="31"/>
        <v>0</v>
      </c>
      <c r="BB14" s="494">
        <f t="shared" si="32"/>
        <v>0</v>
      </c>
      <c r="BC14" s="494">
        <f t="shared" si="33"/>
        <v>0</v>
      </c>
      <c r="BD14" s="494">
        <f t="shared" si="34"/>
        <v>0</v>
      </c>
      <c r="BE14" s="494">
        <f t="shared" si="35"/>
        <v>0</v>
      </c>
      <c r="BF14" s="494" t="str">
        <f t="shared" si="36"/>
        <v/>
      </c>
      <c r="BG14" s="586">
        <f t="shared" si="26"/>
        <v>0</v>
      </c>
    </row>
    <row r="15" spans="1:59" x14ac:dyDescent="0.25">
      <c r="A15" s="104" t="str">
        <f>'G-1 All Habitats'!B14</f>
        <v>Grassland - Bracken</v>
      </c>
      <c r="B15" s="88" t="str">
        <f>'G-1 All Habitats'!F14</f>
        <v>Grassland</v>
      </c>
      <c r="C15" s="88" t="str">
        <f>'G-1 All Habitats'!K14</f>
        <v>Low</v>
      </c>
      <c r="D15" s="88" t="str">
        <f>'G-1 All Habitats'!M14</f>
        <v>Same distinctiveness or better habitat required ≥</v>
      </c>
      <c r="E15" s="494">
        <f>IF(C15="V.High",SUMIF('A-1 Site Habitat Baseline'!$G$11:$G$258,'G-2 Habitat groups'!A15,'A-1 Site Habitat Baseline'!$S$11:$S$258)+SUMIF('A-1 Site Habitat Baseline'!$G$11:$G$258,'G-2 Habitat groups'!A15,'A-1 Site Habitat Baseline'!$T$11:$T$258),SUMIF('A-1 Site Habitat Baseline'!$G$11:$G$258,'G-2 Habitat groups'!A15,'A-1 Site Habitat Baseline'!$H$11:$H$258))</f>
        <v>0</v>
      </c>
      <c r="F15" s="494">
        <f>SUMIF('A-1 Site Habitat Baseline'!$G$11:$G$258,'G-2 Habitat groups'!A15,'A-1 Site Habitat Baseline'!$Q$11:$Q$258)</f>
        <v>0</v>
      </c>
      <c r="G15" s="494">
        <f>SUMIF('A-1 Site Habitat Baseline'!$G$11:$G$258,'G-2 Habitat groups'!A15,'A-1 Site Habitat Baseline'!$S$11:$S$258)</f>
        <v>0</v>
      </c>
      <c r="H15" s="494">
        <f>SUMIF('A-1 Site Habitat Baseline'!$G$11:$G$258,'G-2 Habitat groups'!A15,'A-1 Site Habitat Baseline'!$U$11:$U$258)</f>
        <v>0</v>
      </c>
      <c r="I15" s="494">
        <f>SUMIF('A-1 Site Habitat Baseline'!$G$11:$G$258,'G-2 Habitat groups'!A15,'A-1 Site Habitat Baseline'!$W$11:$W$258)</f>
        <v>0</v>
      </c>
      <c r="J15" s="494">
        <f>SUMIF('A-1 Site Habitat Baseline'!$G$11:$G$258,'G-2 Habitat groups'!A15,'A-1 Site Habitat Baseline'!$X$11:$X$258)</f>
        <v>0</v>
      </c>
      <c r="K15" s="494">
        <f>SUMIF('A-2 Site Habitat Creation'!$F$11:$F$256,'G-2 Habitat groups'!A15,'A-2 Site Habitat Creation'!$G$11:$G$256)</f>
        <v>0</v>
      </c>
      <c r="L15" s="494">
        <f>SUMIF('A-2 Site Habitat Creation'!$F$11:$F$256,'G-2 Habitat groups'!A15,'A-2 Site Habitat Creation'!$Y$11:$Y$256)</f>
        <v>0</v>
      </c>
      <c r="M15" s="494">
        <f>SUMIF('A-3 Site Habitat Enhancement'!$S$12:$S$257,'G-2 Habitat groups'!A15,'A-3 Site Habitat Enhancement'!$V$12:$V$257)</f>
        <v>0</v>
      </c>
      <c r="N15" s="494">
        <f>SUMIF('A-3 Site Habitat Enhancement'!$S$12:$S$257,'G-2 Habitat groups'!A15,'A-3 Site Habitat Enhancement'!$AN$12:$AN$257)</f>
        <v>0</v>
      </c>
      <c r="O15" s="494">
        <f t="shared" si="0"/>
        <v>0</v>
      </c>
      <c r="P15" s="494">
        <f t="shared" si="1"/>
        <v>0</v>
      </c>
      <c r="Q15" s="494">
        <f t="shared" si="2"/>
        <v>0</v>
      </c>
      <c r="R15" s="494">
        <f t="shared" si="3"/>
        <v>0</v>
      </c>
      <c r="S15" s="494">
        <f>IF(C15="V.High",SUMIF('D-1 Off Site Habitat Baseline'!$G$11:$G$258,'G-2 Habitat groups'!A15,'D-1 Off Site Habitat Baseline'!$S$11:$S$258)+SUMIF('D-1 Off Site Habitat Baseline'!$G$11:$G$258,'G-2 Habitat groups'!A15,'D-1 Off Site Habitat Baseline'!$T$11:$T$258),SUMIF('D-1 Off Site Habitat Baseline'!$G$11:$G$258,'G-2 Habitat groups'!A15,'D-1 Off Site Habitat Baseline'!$H$11:$H$258))</f>
        <v>0</v>
      </c>
      <c r="T15" s="494">
        <f>SUMIF('D-1 Off Site Habitat Baseline'!$G$11:$G$258,'G-2 Habitat groups'!A15,'D-1 Off Site Habitat Baseline'!$Q$11:$Q$258)</f>
        <v>0</v>
      </c>
      <c r="U15" s="591">
        <f>SUMIF('D-1 Off Site Habitat Baseline'!$G$11:$G$258,'G-2 Habitat groups'!A15,'D-1 Off Site Habitat Baseline'!$S$11:$S$258)</f>
        <v>0</v>
      </c>
      <c r="V15" s="494">
        <f>SUMIF('D-1 Off Site Habitat Baseline'!$G$11:$G$258,'G-2 Habitat groups'!A15,'D-1 Off Site Habitat Baseline'!$U$11:$U$258)</f>
        <v>0</v>
      </c>
      <c r="W15" s="494">
        <f>SUMIF('D-2 Off Site Habitat Creation'!$F$9:$F$255,'G-2 Habitat groups'!A15,'D-2 Off Site Habitat Creation'!$G$9:$G$255)</f>
        <v>0</v>
      </c>
      <c r="X15" s="494">
        <f>SUMIF('D-2 Off Site Habitat Creation'!$F$9:$F$255,'G-2 Habitat groups'!A15,'D-2 Off Site Habitat Creation'!$AA$9:$AA$255)</f>
        <v>0</v>
      </c>
      <c r="Y15" s="494">
        <f>SUMIF('D-3 Off Site Habitat Enhancment'!$S$12:$S$491,'G-2 Habitat groups'!A15,'D-3 Off Site Habitat Enhancment'!$V$12:$V$491)</f>
        <v>0</v>
      </c>
      <c r="Z15" s="494">
        <f>SUMIF('D-3 Off Site Habitat Enhancment'!$S$12:$S$491,'G-2 Habitat groups'!A15,'D-3 Off Site Habitat Enhancment'!$AP$12:$AP$491)</f>
        <v>0</v>
      </c>
      <c r="AA15" s="494">
        <f t="shared" si="4"/>
        <v>0</v>
      </c>
      <c r="AB15" s="494">
        <f t="shared" si="5"/>
        <v>0</v>
      </c>
      <c r="AC15" s="494">
        <f t="shared" si="6"/>
        <v>0</v>
      </c>
      <c r="AD15" s="494">
        <f t="shared" si="7"/>
        <v>0</v>
      </c>
      <c r="AE15" s="494">
        <f t="shared" si="8"/>
        <v>0</v>
      </c>
      <c r="AF15" s="494">
        <f t="shared" si="9"/>
        <v>0</v>
      </c>
      <c r="AJ15" s="109" t="s">
        <v>80</v>
      </c>
      <c r="AK15" s="100">
        <f t="shared" si="10"/>
        <v>0</v>
      </c>
      <c r="AL15" s="100">
        <f t="shared" si="11"/>
        <v>0</v>
      </c>
      <c r="AM15" s="100">
        <f t="shared" si="12"/>
        <v>0</v>
      </c>
      <c r="AN15" s="100">
        <f t="shared" si="13"/>
        <v>0</v>
      </c>
      <c r="AO15" s="111">
        <f t="shared" si="14"/>
        <v>0</v>
      </c>
      <c r="AP15" s="111">
        <f t="shared" si="15"/>
        <v>0</v>
      </c>
      <c r="AU15" s="119" t="s">
        <v>655</v>
      </c>
      <c r="AV15" s="88" t="s">
        <v>75</v>
      </c>
      <c r="AW15" s="494">
        <f t="shared" si="27"/>
        <v>0</v>
      </c>
      <c r="AX15" s="494">
        <f t="shared" si="28"/>
        <v>0</v>
      </c>
      <c r="AY15" s="494">
        <f t="shared" si="29"/>
        <v>0</v>
      </c>
      <c r="AZ15" s="494">
        <f t="shared" si="30"/>
        <v>0</v>
      </c>
      <c r="BA15" s="494">
        <f t="shared" si="31"/>
        <v>0</v>
      </c>
      <c r="BB15" s="494">
        <f t="shared" si="32"/>
        <v>0</v>
      </c>
      <c r="BC15" s="494">
        <f t="shared" si="33"/>
        <v>0</v>
      </c>
      <c r="BD15" s="494">
        <f t="shared" si="34"/>
        <v>0</v>
      </c>
      <c r="BE15" s="494">
        <f t="shared" si="35"/>
        <v>0</v>
      </c>
      <c r="BF15" s="494" t="str">
        <f t="shared" si="36"/>
        <v/>
      </c>
      <c r="BG15" s="586">
        <f t="shared" si="26"/>
        <v>0</v>
      </c>
    </row>
    <row r="16" spans="1:59" x14ac:dyDescent="0.25">
      <c r="A16" s="104" t="str">
        <f>'G-1 All Habitats'!B15</f>
        <v>Grassland - Floodplain Wetland Mosaic (CFGM)</v>
      </c>
      <c r="B16" s="88" t="str">
        <f>'G-1 All Habitats'!F15</f>
        <v>Grassland</v>
      </c>
      <c r="C16" s="88" t="str">
        <f>'G-1 All Habitats'!K15</f>
        <v>High</v>
      </c>
      <c r="D16" s="88" t="str">
        <f>'G-1 All Habitats'!M15</f>
        <v>Same habitat required =</v>
      </c>
      <c r="E16" s="494">
        <f>IF(C16="V.High",SUMIF('A-1 Site Habitat Baseline'!$G$11:$G$258,'G-2 Habitat groups'!A16,'A-1 Site Habitat Baseline'!$S$11:$S$258)+SUMIF('A-1 Site Habitat Baseline'!$G$11:$G$258,'G-2 Habitat groups'!A16,'A-1 Site Habitat Baseline'!$T$11:$T$258),SUMIF('A-1 Site Habitat Baseline'!$G$11:$G$258,'G-2 Habitat groups'!A16,'A-1 Site Habitat Baseline'!$H$11:$H$258))</f>
        <v>0</v>
      </c>
      <c r="F16" s="494">
        <f>SUMIF('A-1 Site Habitat Baseline'!$G$11:$G$258,'G-2 Habitat groups'!A16,'A-1 Site Habitat Baseline'!$Q$11:$Q$258)</f>
        <v>0</v>
      </c>
      <c r="G16" s="494">
        <f>SUMIF('A-1 Site Habitat Baseline'!$G$11:$G$258,'G-2 Habitat groups'!A16,'A-1 Site Habitat Baseline'!$S$11:$S$258)</f>
        <v>0</v>
      </c>
      <c r="H16" s="494">
        <f>SUMIF('A-1 Site Habitat Baseline'!$G$11:$G$258,'G-2 Habitat groups'!A16,'A-1 Site Habitat Baseline'!$U$11:$U$258)</f>
        <v>0</v>
      </c>
      <c r="I16" s="494">
        <f>SUMIF('A-1 Site Habitat Baseline'!$G$11:$G$258,'G-2 Habitat groups'!A16,'A-1 Site Habitat Baseline'!$W$11:$W$258)</f>
        <v>0</v>
      </c>
      <c r="J16" s="494">
        <f>SUMIF('A-1 Site Habitat Baseline'!$G$11:$G$258,'G-2 Habitat groups'!A16,'A-1 Site Habitat Baseline'!$X$11:$X$258)</f>
        <v>0</v>
      </c>
      <c r="K16" s="494">
        <f>SUMIF('A-2 Site Habitat Creation'!$F$11:$F$256,'G-2 Habitat groups'!A16,'A-2 Site Habitat Creation'!$G$11:$G$256)</f>
        <v>0</v>
      </c>
      <c r="L16" s="494">
        <f>SUMIF('A-2 Site Habitat Creation'!$F$11:$F$256,'G-2 Habitat groups'!A16,'A-2 Site Habitat Creation'!$Y$11:$Y$256)</f>
        <v>0</v>
      </c>
      <c r="M16" s="494">
        <f>SUMIF('A-3 Site Habitat Enhancement'!$S$12:$S$257,'G-2 Habitat groups'!A16,'A-3 Site Habitat Enhancement'!$V$12:$V$257)</f>
        <v>0</v>
      </c>
      <c r="N16" s="494">
        <f>SUMIF('A-3 Site Habitat Enhancement'!$S$12:$S$257,'G-2 Habitat groups'!A16,'A-3 Site Habitat Enhancement'!$AN$12:$AN$257)</f>
        <v>0</v>
      </c>
      <c r="O16" s="494">
        <f t="shared" si="0"/>
        <v>0</v>
      </c>
      <c r="P16" s="494">
        <f t="shared" si="1"/>
        <v>0</v>
      </c>
      <c r="Q16" s="494">
        <f t="shared" si="2"/>
        <v>0</v>
      </c>
      <c r="R16" s="494">
        <f t="shared" si="3"/>
        <v>0</v>
      </c>
      <c r="S16" s="494">
        <f>IF(C16="V.High",SUMIF('D-1 Off Site Habitat Baseline'!$G$11:$G$258,'G-2 Habitat groups'!A16,'D-1 Off Site Habitat Baseline'!$S$11:$S$258)+SUMIF('D-1 Off Site Habitat Baseline'!$G$11:$G$258,'G-2 Habitat groups'!A16,'D-1 Off Site Habitat Baseline'!$T$11:$T$258),SUMIF('D-1 Off Site Habitat Baseline'!$G$11:$G$258,'G-2 Habitat groups'!A16,'D-1 Off Site Habitat Baseline'!$H$11:$H$258))</f>
        <v>0</v>
      </c>
      <c r="T16" s="494">
        <f>SUMIF('D-1 Off Site Habitat Baseline'!$G$11:$G$258,'G-2 Habitat groups'!A16,'D-1 Off Site Habitat Baseline'!$Q$11:$Q$258)</f>
        <v>0</v>
      </c>
      <c r="U16" s="591">
        <f>SUMIF('D-1 Off Site Habitat Baseline'!$G$11:$G$258,'G-2 Habitat groups'!A16,'D-1 Off Site Habitat Baseline'!$S$11:$S$258)</f>
        <v>0</v>
      </c>
      <c r="V16" s="494">
        <f>SUMIF('D-1 Off Site Habitat Baseline'!$G$11:$G$258,'G-2 Habitat groups'!A16,'D-1 Off Site Habitat Baseline'!$U$11:$U$258)</f>
        <v>0</v>
      </c>
      <c r="W16" s="494">
        <f>SUMIF('D-2 Off Site Habitat Creation'!$F$9:$F$255,'G-2 Habitat groups'!A16,'D-2 Off Site Habitat Creation'!$G$9:$G$255)</f>
        <v>0</v>
      </c>
      <c r="X16" s="494">
        <f>SUMIF('D-2 Off Site Habitat Creation'!$F$9:$F$255,'G-2 Habitat groups'!A16,'D-2 Off Site Habitat Creation'!$AA$9:$AA$255)</f>
        <v>0</v>
      </c>
      <c r="Y16" s="494">
        <f>SUMIF('D-3 Off Site Habitat Enhancment'!$S$12:$S$491,'G-2 Habitat groups'!A16,'D-3 Off Site Habitat Enhancment'!$V$12:$V$491)</f>
        <v>0</v>
      </c>
      <c r="Z16" s="494">
        <f>SUMIF('D-3 Off Site Habitat Enhancment'!$S$12:$S$491,'G-2 Habitat groups'!A16,'D-3 Off Site Habitat Enhancment'!$AP$12:$AP$491)</f>
        <v>0</v>
      </c>
      <c r="AA16" s="494">
        <f t="shared" si="4"/>
        <v>0</v>
      </c>
      <c r="AB16" s="494">
        <f t="shared" si="5"/>
        <v>0</v>
      </c>
      <c r="AC16" s="494">
        <f t="shared" si="6"/>
        <v>0</v>
      </c>
      <c r="AD16" s="494">
        <f t="shared" si="7"/>
        <v>0</v>
      </c>
      <c r="AE16" s="494">
        <f t="shared" si="8"/>
        <v>0</v>
      </c>
      <c r="AF16" s="494">
        <f t="shared" si="9"/>
        <v>0</v>
      </c>
      <c r="AJ16" s="109" t="s">
        <v>81</v>
      </c>
      <c r="AK16" s="100">
        <f t="shared" si="10"/>
        <v>0</v>
      </c>
      <c r="AL16" s="100">
        <f t="shared" si="11"/>
        <v>0</v>
      </c>
      <c r="AM16" s="100">
        <f t="shared" si="12"/>
        <v>0</v>
      </c>
      <c r="AN16" s="100">
        <f t="shared" si="13"/>
        <v>0</v>
      </c>
      <c r="AO16" s="111">
        <f t="shared" si="14"/>
        <v>0</v>
      </c>
      <c r="AP16" s="111">
        <f t="shared" si="15"/>
        <v>0</v>
      </c>
      <c r="AU16" s="119" t="s">
        <v>658</v>
      </c>
      <c r="AV16" s="88" t="s">
        <v>75</v>
      </c>
      <c r="AW16" s="494">
        <f t="shared" si="27"/>
        <v>0</v>
      </c>
      <c r="AX16" s="494">
        <f t="shared" si="28"/>
        <v>0</v>
      </c>
      <c r="AY16" s="494">
        <f t="shared" si="29"/>
        <v>0</v>
      </c>
      <c r="AZ16" s="494">
        <f t="shared" si="30"/>
        <v>0</v>
      </c>
      <c r="BA16" s="494">
        <f t="shared" si="31"/>
        <v>0</v>
      </c>
      <c r="BB16" s="494">
        <f t="shared" si="32"/>
        <v>0</v>
      </c>
      <c r="BC16" s="494">
        <f t="shared" si="33"/>
        <v>0</v>
      </c>
      <c r="BD16" s="494">
        <f t="shared" si="34"/>
        <v>0</v>
      </c>
      <c r="BE16" s="494">
        <f t="shared" si="35"/>
        <v>0</v>
      </c>
      <c r="BF16" s="494" t="str">
        <f t="shared" si="36"/>
        <v/>
      </c>
      <c r="BG16" s="586">
        <f t="shared" si="26"/>
        <v>0</v>
      </c>
    </row>
    <row r="17" spans="1:59" x14ac:dyDescent="0.25">
      <c r="A17" s="104" t="str">
        <f>'G-1 All Habitats'!B16</f>
        <v>Grassland - Lowland calcareous grassland</v>
      </c>
      <c r="B17" s="88" t="str">
        <f>'G-1 All Habitats'!F16</f>
        <v>Grassland</v>
      </c>
      <c r="C17" s="88" t="str">
        <f>'G-1 All Habitats'!K16</f>
        <v>High</v>
      </c>
      <c r="D17" s="88" t="str">
        <f>'G-1 All Habitats'!M16</f>
        <v>Same habitat required =</v>
      </c>
      <c r="E17" s="494">
        <f>IF(C17="V.High",SUMIF('A-1 Site Habitat Baseline'!$G$11:$G$258,'G-2 Habitat groups'!A17,'A-1 Site Habitat Baseline'!$S$11:$S$258)+SUMIF('A-1 Site Habitat Baseline'!$G$11:$G$258,'G-2 Habitat groups'!A17,'A-1 Site Habitat Baseline'!$T$11:$T$258),SUMIF('A-1 Site Habitat Baseline'!$G$11:$G$258,'G-2 Habitat groups'!A17,'A-1 Site Habitat Baseline'!$H$11:$H$258))</f>
        <v>0</v>
      </c>
      <c r="F17" s="494">
        <f>SUMIF('A-1 Site Habitat Baseline'!$G$11:$G$258,'G-2 Habitat groups'!A17,'A-1 Site Habitat Baseline'!$Q$11:$Q$258)</f>
        <v>0</v>
      </c>
      <c r="G17" s="494">
        <f>SUMIF('A-1 Site Habitat Baseline'!$G$11:$G$258,'G-2 Habitat groups'!A17,'A-1 Site Habitat Baseline'!$S$11:$S$258)</f>
        <v>0</v>
      </c>
      <c r="H17" s="494">
        <f>SUMIF('A-1 Site Habitat Baseline'!$G$11:$G$258,'G-2 Habitat groups'!A17,'A-1 Site Habitat Baseline'!$U$11:$U$258)</f>
        <v>0</v>
      </c>
      <c r="I17" s="494">
        <f>SUMIF('A-1 Site Habitat Baseline'!$G$11:$G$258,'G-2 Habitat groups'!A17,'A-1 Site Habitat Baseline'!$W$11:$W$258)</f>
        <v>0</v>
      </c>
      <c r="J17" s="494">
        <f>SUMIF('A-1 Site Habitat Baseline'!$G$11:$G$258,'G-2 Habitat groups'!A17,'A-1 Site Habitat Baseline'!$X$11:$X$258)</f>
        <v>0</v>
      </c>
      <c r="K17" s="494">
        <f>SUMIF('A-2 Site Habitat Creation'!$F$11:$F$256,'G-2 Habitat groups'!A17,'A-2 Site Habitat Creation'!$G$11:$G$256)</f>
        <v>0</v>
      </c>
      <c r="L17" s="494">
        <f>SUMIF('A-2 Site Habitat Creation'!$F$11:$F$256,'G-2 Habitat groups'!A17,'A-2 Site Habitat Creation'!$Y$11:$Y$256)</f>
        <v>0</v>
      </c>
      <c r="M17" s="494">
        <f>SUMIF('A-3 Site Habitat Enhancement'!$S$12:$S$257,'G-2 Habitat groups'!A17,'A-3 Site Habitat Enhancement'!$V$12:$V$257)</f>
        <v>0</v>
      </c>
      <c r="N17" s="494">
        <f>SUMIF('A-3 Site Habitat Enhancement'!$S$12:$S$257,'G-2 Habitat groups'!A17,'A-3 Site Habitat Enhancement'!$AN$12:$AN$257)</f>
        <v>0</v>
      </c>
      <c r="O17" s="494">
        <f t="shared" si="0"/>
        <v>0</v>
      </c>
      <c r="P17" s="494">
        <f t="shared" si="1"/>
        <v>0</v>
      </c>
      <c r="Q17" s="494">
        <f t="shared" si="2"/>
        <v>0</v>
      </c>
      <c r="R17" s="494">
        <f t="shared" si="3"/>
        <v>0</v>
      </c>
      <c r="S17" s="494">
        <f>IF(C17="V.High",SUMIF('D-1 Off Site Habitat Baseline'!$G$11:$G$258,'G-2 Habitat groups'!A17,'D-1 Off Site Habitat Baseline'!$S$11:$S$258)+SUMIF('D-1 Off Site Habitat Baseline'!$G$11:$G$258,'G-2 Habitat groups'!A17,'D-1 Off Site Habitat Baseline'!$T$11:$T$258),SUMIF('D-1 Off Site Habitat Baseline'!$G$11:$G$258,'G-2 Habitat groups'!A17,'D-1 Off Site Habitat Baseline'!$H$11:$H$258))</f>
        <v>0</v>
      </c>
      <c r="T17" s="494">
        <f>SUMIF('D-1 Off Site Habitat Baseline'!$G$11:$G$258,'G-2 Habitat groups'!A17,'D-1 Off Site Habitat Baseline'!$Q$11:$Q$258)</f>
        <v>0</v>
      </c>
      <c r="U17" s="591">
        <f>SUMIF('D-1 Off Site Habitat Baseline'!$G$11:$G$258,'G-2 Habitat groups'!A17,'D-1 Off Site Habitat Baseline'!$S$11:$S$258)</f>
        <v>0</v>
      </c>
      <c r="V17" s="494">
        <f>SUMIF('D-1 Off Site Habitat Baseline'!$G$11:$G$258,'G-2 Habitat groups'!A17,'D-1 Off Site Habitat Baseline'!$U$11:$U$258)</f>
        <v>0</v>
      </c>
      <c r="W17" s="494">
        <f>SUMIF('D-2 Off Site Habitat Creation'!$F$9:$F$255,'G-2 Habitat groups'!A17,'D-2 Off Site Habitat Creation'!$G$9:$G$255)</f>
        <v>0</v>
      </c>
      <c r="X17" s="494">
        <f>SUMIF('D-2 Off Site Habitat Creation'!$F$9:$F$255,'G-2 Habitat groups'!A17,'D-2 Off Site Habitat Creation'!$AA$9:$AA$255)</f>
        <v>0</v>
      </c>
      <c r="Y17" s="494">
        <f>SUMIF('D-3 Off Site Habitat Enhancment'!$S$12:$S$491,'G-2 Habitat groups'!A17,'D-3 Off Site Habitat Enhancment'!$V$12:$V$491)</f>
        <v>0</v>
      </c>
      <c r="Z17" s="494">
        <f>SUMIF('D-3 Off Site Habitat Enhancment'!$S$12:$S$491,'G-2 Habitat groups'!A17,'D-3 Off Site Habitat Enhancment'!$AP$12:$AP$491)</f>
        <v>0</v>
      </c>
      <c r="AA17" s="494">
        <f t="shared" si="4"/>
        <v>0</v>
      </c>
      <c r="AB17" s="494">
        <f t="shared" si="5"/>
        <v>0</v>
      </c>
      <c r="AC17" s="494">
        <f t="shared" si="6"/>
        <v>0</v>
      </c>
      <c r="AD17" s="494">
        <f t="shared" si="7"/>
        <v>0</v>
      </c>
      <c r="AE17" s="494">
        <f t="shared" si="8"/>
        <v>0</v>
      </c>
      <c r="AF17" s="494">
        <f t="shared" si="9"/>
        <v>0</v>
      </c>
      <c r="AU17" s="119" t="s">
        <v>662</v>
      </c>
      <c r="AV17" s="88" t="s">
        <v>75</v>
      </c>
      <c r="AW17" s="494">
        <f t="shared" si="27"/>
        <v>0</v>
      </c>
      <c r="AX17" s="494">
        <f t="shared" si="28"/>
        <v>0</v>
      </c>
      <c r="AY17" s="494">
        <f t="shared" si="29"/>
        <v>0</v>
      </c>
      <c r="AZ17" s="494">
        <f t="shared" si="30"/>
        <v>0</v>
      </c>
      <c r="BA17" s="494">
        <f t="shared" si="31"/>
        <v>0</v>
      </c>
      <c r="BB17" s="494">
        <f t="shared" si="32"/>
        <v>0</v>
      </c>
      <c r="BC17" s="494">
        <f t="shared" si="33"/>
        <v>0</v>
      </c>
      <c r="BD17" s="494">
        <f t="shared" si="34"/>
        <v>0</v>
      </c>
      <c r="BE17" s="494">
        <f t="shared" si="35"/>
        <v>0</v>
      </c>
      <c r="BF17" s="494" t="str">
        <f t="shared" si="36"/>
        <v/>
      </c>
      <c r="BG17" s="586">
        <f t="shared" si="26"/>
        <v>0</v>
      </c>
    </row>
    <row r="18" spans="1:59" x14ac:dyDescent="0.25">
      <c r="A18" s="104" t="str">
        <f>'G-1 All Habitats'!B17</f>
        <v>Grassland - Lowland dry acid grassland</v>
      </c>
      <c r="B18" s="88" t="str">
        <f>'G-1 All Habitats'!F17</f>
        <v>Grassland</v>
      </c>
      <c r="C18" s="88" t="str">
        <f>'G-1 All Habitats'!K17</f>
        <v>V.High</v>
      </c>
      <c r="D18" s="88" t="str">
        <f>'G-1 All Habitats'!M17</f>
        <v>Bespoke compensation likely to be required 🛠</v>
      </c>
      <c r="E18" s="494">
        <f>IF(C18="V.High",SUMIF('A-1 Site Habitat Baseline'!$G$11:$G$258,'G-2 Habitat groups'!A18,'A-1 Site Habitat Baseline'!$S$11:$S$258)+SUMIF('A-1 Site Habitat Baseline'!$G$11:$G$258,'G-2 Habitat groups'!A18,'A-1 Site Habitat Baseline'!$T$11:$T$258),SUMIF('A-1 Site Habitat Baseline'!$G$11:$G$258,'G-2 Habitat groups'!A18,'A-1 Site Habitat Baseline'!$H$11:$H$258))</f>
        <v>0</v>
      </c>
      <c r="F18" s="494">
        <f>SUMIF('A-1 Site Habitat Baseline'!$G$11:$G$258,'G-2 Habitat groups'!A18,'A-1 Site Habitat Baseline'!$Q$11:$Q$258)</f>
        <v>0</v>
      </c>
      <c r="G18" s="494">
        <f>SUMIF('A-1 Site Habitat Baseline'!$G$11:$G$258,'G-2 Habitat groups'!A18,'A-1 Site Habitat Baseline'!$S$11:$S$258)</f>
        <v>0</v>
      </c>
      <c r="H18" s="494">
        <f>SUMIF('A-1 Site Habitat Baseline'!$G$11:$G$258,'G-2 Habitat groups'!A18,'A-1 Site Habitat Baseline'!$U$11:$U$258)</f>
        <v>0</v>
      </c>
      <c r="I18" s="494">
        <f>SUMIF('A-1 Site Habitat Baseline'!$G$11:$G$258,'G-2 Habitat groups'!A18,'A-1 Site Habitat Baseline'!$W$11:$W$258)</f>
        <v>0</v>
      </c>
      <c r="J18" s="494">
        <f>SUMIF('A-1 Site Habitat Baseline'!$G$11:$G$258,'G-2 Habitat groups'!A18,'A-1 Site Habitat Baseline'!$X$11:$X$258)</f>
        <v>0</v>
      </c>
      <c r="K18" s="494">
        <f>SUMIF('A-2 Site Habitat Creation'!$F$11:$F$256,'G-2 Habitat groups'!A18,'A-2 Site Habitat Creation'!$G$11:$G$256)</f>
        <v>0</v>
      </c>
      <c r="L18" s="494">
        <f>SUMIF('A-2 Site Habitat Creation'!$F$11:$F$256,'G-2 Habitat groups'!A18,'A-2 Site Habitat Creation'!$Y$11:$Y$256)</f>
        <v>0</v>
      </c>
      <c r="M18" s="494">
        <f>SUMIF('A-3 Site Habitat Enhancement'!$S$12:$S$257,'G-2 Habitat groups'!A18,'A-3 Site Habitat Enhancement'!$V$12:$V$257)</f>
        <v>0</v>
      </c>
      <c r="N18" s="494">
        <f>SUMIF('A-3 Site Habitat Enhancement'!$S$12:$S$257,'G-2 Habitat groups'!A18,'A-3 Site Habitat Enhancement'!$AN$12:$AN$257)</f>
        <v>0</v>
      </c>
      <c r="O18" s="494">
        <f t="shared" si="0"/>
        <v>0</v>
      </c>
      <c r="P18" s="494">
        <f t="shared" si="1"/>
        <v>0</v>
      </c>
      <c r="Q18" s="494">
        <f t="shared" si="2"/>
        <v>0</v>
      </c>
      <c r="R18" s="494">
        <f t="shared" si="3"/>
        <v>0</v>
      </c>
      <c r="S18" s="494">
        <f>IF(C18="V.High",SUMIF('D-1 Off Site Habitat Baseline'!$G$11:$G$258,'G-2 Habitat groups'!A18,'D-1 Off Site Habitat Baseline'!$S$11:$S$258)+SUMIF('D-1 Off Site Habitat Baseline'!$G$11:$G$258,'G-2 Habitat groups'!A18,'D-1 Off Site Habitat Baseline'!$T$11:$T$258),SUMIF('D-1 Off Site Habitat Baseline'!$G$11:$G$258,'G-2 Habitat groups'!A18,'D-1 Off Site Habitat Baseline'!$H$11:$H$258))</f>
        <v>0</v>
      </c>
      <c r="T18" s="494">
        <f>SUMIF('D-1 Off Site Habitat Baseline'!$G$11:$G$258,'G-2 Habitat groups'!A18,'D-1 Off Site Habitat Baseline'!$Q$11:$Q$258)</f>
        <v>0</v>
      </c>
      <c r="U18" s="591">
        <f>SUMIF('D-1 Off Site Habitat Baseline'!$G$11:$G$258,'G-2 Habitat groups'!A18,'D-1 Off Site Habitat Baseline'!$S$11:$S$258)</f>
        <v>0</v>
      </c>
      <c r="V18" s="494">
        <f>SUMIF('D-1 Off Site Habitat Baseline'!$G$11:$G$258,'G-2 Habitat groups'!A18,'D-1 Off Site Habitat Baseline'!$U$11:$U$258)</f>
        <v>0</v>
      </c>
      <c r="W18" s="494">
        <f>SUMIF('D-2 Off Site Habitat Creation'!$F$9:$F$255,'G-2 Habitat groups'!A18,'D-2 Off Site Habitat Creation'!$G$9:$G$255)</f>
        <v>0</v>
      </c>
      <c r="X18" s="494">
        <f>SUMIF('D-2 Off Site Habitat Creation'!$F$9:$F$255,'G-2 Habitat groups'!A18,'D-2 Off Site Habitat Creation'!$AA$9:$AA$255)</f>
        <v>0</v>
      </c>
      <c r="Y18" s="494">
        <f>SUMIF('D-3 Off Site Habitat Enhancment'!$S$12:$S$491,'G-2 Habitat groups'!A18,'D-3 Off Site Habitat Enhancment'!$V$12:$V$491)</f>
        <v>0</v>
      </c>
      <c r="Z18" s="494">
        <f>SUMIF('D-3 Off Site Habitat Enhancment'!$S$12:$S$491,'G-2 Habitat groups'!A18,'D-3 Off Site Habitat Enhancment'!$AP$12:$AP$491)</f>
        <v>0</v>
      </c>
      <c r="AA18" s="494">
        <f t="shared" si="4"/>
        <v>0</v>
      </c>
      <c r="AB18" s="494">
        <f t="shared" si="5"/>
        <v>0</v>
      </c>
      <c r="AC18" s="494">
        <f t="shared" si="6"/>
        <v>0</v>
      </c>
      <c r="AD18" s="494">
        <f t="shared" si="7"/>
        <v>0</v>
      </c>
      <c r="AE18" s="494">
        <f t="shared" si="8"/>
        <v>0</v>
      </c>
      <c r="AF18" s="494">
        <f t="shared" si="9"/>
        <v>0</v>
      </c>
      <c r="AU18" s="119" t="s">
        <v>668</v>
      </c>
      <c r="AV18" s="88" t="s">
        <v>75</v>
      </c>
      <c r="AW18" s="494">
        <f t="shared" si="27"/>
        <v>0</v>
      </c>
      <c r="AX18" s="494">
        <f t="shared" si="28"/>
        <v>0</v>
      </c>
      <c r="AY18" s="494">
        <f t="shared" si="29"/>
        <v>0</v>
      </c>
      <c r="AZ18" s="494">
        <f t="shared" si="30"/>
        <v>0</v>
      </c>
      <c r="BA18" s="494">
        <f t="shared" si="31"/>
        <v>0</v>
      </c>
      <c r="BB18" s="494">
        <f t="shared" si="32"/>
        <v>0</v>
      </c>
      <c r="BC18" s="494">
        <f t="shared" si="33"/>
        <v>0</v>
      </c>
      <c r="BD18" s="494">
        <f t="shared" si="34"/>
        <v>0</v>
      </c>
      <c r="BE18" s="494">
        <f t="shared" si="35"/>
        <v>0</v>
      </c>
      <c r="BF18" s="494" t="str">
        <f t="shared" si="36"/>
        <v/>
      </c>
      <c r="BG18" s="586">
        <f t="shared" si="26"/>
        <v>0</v>
      </c>
    </row>
    <row r="19" spans="1:59" ht="31.2" x14ac:dyDescent="0.3">
      <c r="A19" s="104" t="str">
        <f>'G-1 All Habitats'!B18</f>
        <v>Grassland - Lowland meadows</v>
      </c>
      <c r="B19" s="88" t="str">
        <f>'G-1 All Habitats'!F18</f>
        <v>Grassland</v>
      </c>
      <c r="C19" s="88" t="str">
        <f>'G-1 All Habitats'!K18</f>
        <v>V.High</v>
      </c>
      <c r="D19" s="88" t="str">
        <f>'G-1 All Habitats'!M18</f>
        <v>Bespoke compensation likely to be required 🛠</v>
      </c>
      <c r="E19" s="494">
        <f>IF(C19="V.High",SUMIF('A-1 Site Habitat Baseline'!$G$11:$G$258,'G-2 Habitat groups'!A19,'A-1 Site Habitat Baseline'!$S$11:$S$258)+SUMIF('A-1 Site Habitat Baseline'!$G$11:$G$258,'G-2 Habitat groups'!A19,'A-1 Site Habitat Baseline'!$T$11:$T$258),SUMIF('A-1 Site Habitat Baseline'!$G$11:$G$258,'G-2 Habitat groups'!A19,'A-1 Site Habitat Baseline'!$H$11:$H$258))</f>
        <v>0</v>
      </c>
      <c r="F19" s="494">
        <f>SUMIF('A-1 Site Habitat Baseline'!$G$11:$G$258,'G-2 Habitat groups'!A19,'A-1 Site Habitat Baseline'!$Q$11:$Q$258)</f>
        <v>0</v>
      </c>
      <c r="G19" s="494">
        <f>SUMIF('A-1 Site Habitat Baseline'!$G$11:$G$258,'G-2 Habitat groups'!A19,'A-1 Site Habitat Baseline'!$S$11:$S$258)</f>
        <v>0</v>
      </c>
      <c r="H19" s="494">
        <f>SUMIF('A-1 Site Habitat Baseline'!$G$11:$G$258,'G-2 Habitat groups'!A19,'A-1 Site Habitat Baseline'!$U$11:$U$258)</f>
        <v>0</v>
      </c>
      <c r="I19" s="494">
        <f>SUMIF('A-1 Site Habitat Baseline'!$G$11:$G$258,'G-2 Habitat groups'!A19,'A-1 Site Habitat Baseline'!$W$11:$W$258)</f>
        <v>0</v>
      </c>
      <c r="J19" s="494">
        <f>SUMIF('A-1 Site Habitat Baseline'!$G$11:$G$258,'G-2 Habitat groups'!A19,'A-1 Site Habitat Baseline'!$X$11:$X$258)</f>
        <v>0</v>
      </c>
      <c r="K19" s="494">
        <f>SUMIF('A-2 Site Habitat Creation'!$F$11:$F$256,'G-2 Habitat groups'!A19,'A-2 Site Habitat Creation'!$G$11:$G$256)</f>
        <v>0</v>
      </c>
      <c r="L19" s="494">
        <f>SUMIF('A-2 Site Habitat Creation'!$F$11:$F$256,'G-2 Habitat groups'!A19,'A-2 Site Habitat Creation'!$Y$11:$Y$256)</f>
        <v>0</v>
      </c>
      <c r="M19" s="494">
        <f>SUMIF('A-3 Site Habitat Enhancement'!$S$12:$S$257,'G-2 Habitat groups'!A19,'A-3 Site Habitat Enhancement'!$V$12:$V$257)</f>
        <v>0</v>
      </c>
      <c r="N19" s="494">
        <f>SUMIF('A-3 Site Habitat Enhancement'!$S$12:$S$257,'G-2 Habitat groups'!A19,'A-3 Site Habitat Enhancement'!$AN$12:$AN$257)</f>
        <v>0</v>
      </c>
      <c r="O19" s="494">
        <f t="shared" si="0"/>
        <v>0</v>
      </c>
      <c r="P19" s="494">
        <f t="shared" si="1"/>
        <v>0</v>
      </c>
      <c r="Q19" s="494">
        <f t="shared" si="2"/>
        <v>0</v>
      </c>
      <c r="R19" s="494">
        <f t="shared" si="3"/>
        <v>0</v>
      </c>
      <c r="S19" s="494">
        <f>IF(C19="V.High",SUMIF('D-1 Off Site Habitat Baseline'!$G$11:$G$258,'G-2 Habitat groups'!A19,'D-1 Off Site Habitat Baseline'!$S$11:$S$258)+SUMIF('D-1 Off Site Habitat Baseline'!$G$11:$G$258,'G-2 Habitat groups'!A19,'D-1 Off Site Habitat Baseline'!$T$11:$T$258),SUMIF('D-1 Off Site Habitat Baseline'!$G$11:$G$258,'G-2 Habitat groups'!A19,'D-1 Off Site Habitat Baseline'!$H$11:$H$258))</f>
        <v>0</v>
      </c>
      <c r="T19" s="494">
        <f>SUMIF('D-1 Off Site Habitat Baseline'!$G$11:$G$258,'G-2 Habitat groups'!A19,'D-1 Off Site Habitat Baseline'!$Q$11:$Q$258)</f>
        <v>0</v>
      </c>
      <c r="U19" s="591">
        <f>SUMIF('D-1 Off Site Habitat Baseline'!$G$11:$G$258,'G-2 Habitat groups'!A19,'D-1 Off Site Habitat Baseline'!$S$11:$S$258)</f>
        <v>0</v>
      </c>
      <c r="V19" s="494">
        <f>SUMIF('D-1 Off Site Habitat Baseline'!$G$11:$G$258,'G-2 Habitat groups'!A19,'D-1 Off Site Habitat Baseline'!$U$11:$U$258)</f>
        <v>0</v>
      </c>
      <c r="W19" s="494">
        <f>SUMIF('D-2 Off Site Habitat Creation'!$F$9:$F$255,'G-2 Habitat groups'!A19,'D-2 Off Site Habitat Creation'!$G$9:$G$255)</f>
        <v>0</v>
      </c>
      <c r="X19" s="494">
        <f>SUMIF('D-2 Off Site Habitat Creation'!$F$9:$F$255,'G-2 Habitat groups'!A19,'D-2 Off Site Habitat Creation'!$AA$9:$AA$255)</f>
        <v>0</v>
      </c>
      <c r="Y19" s="494">
        <f>SUMIF('D-3 Off Site Habitat Enhancment'!$S$12:$S$491,'G-2 Habitat groups'!A19,'D-3 Off Site Habitat Enhancment'!$V$12:$V$491)</f>
        <v>0</v>
      </c>
      <c r="Z19" s="494">
        <f>SUMIF('D-3 Off Site Habitat Enhancment'!$S$12:$S$491,'G-2 Habitat groups'!A19,'D-3 Off Site Habitat Enhancment'!$AP$12:$AP$491)</f>
        <v>0</v>
      </c>
      <c r="AA19" s="494">
        <f t="shared" si="4"/>
        <v>0</v>
      </c>
      <c r="AB19" s="494">
        <f t="shared" si="5"/>
        <v>0</v>
      </c>
      <c r="AC19" s="494">
        <f t="shared" si="6"/>
        <v>0</v>
      </c>
      <c r="AD19" s="494">
        <f t="shared" si="7"/>
        <v>0</v>
      </c>
      <c r="AE19" s="494">
        <f t="shared" si="8"/>
        <v>0</v>
      </c>
      <c r="AF19" s="494">
        <f t="shared" si="9"/>
        <v>0</v>
      </c>
      <c r="AJ19" s="127" t="s">
        <v>862</v>
      </c>
      <c r="AK19" s="127" t="s">
        <v>851</v>
      </c>
      <c r="AL19" s="127" t="s">
        <v>852</v>
      </c>
      <c r="AM19" s="127" t="s">
        <v>857</v>
      </c>
      <c r="AN19" s="127" t="s">
        <v>863</v>
      </c>
      <c r="AO19" s="127" t="s">
        <v>864</v>
      </c>
      <c r="AP19" s="127" t="s">
        <v>865</v>
      </c>
      <c r="AU19" s="119" t="s">
        <v>712</v>
      </c>
      <c r="AV19" s="119" t="s">
        <v>76</v>
      </c>
      <c r="AW19" s="592">
        <f t="shared" si="27"/>
        <v>0</v>
      </c>
      <c r="AX19" s="592">
        <f t="shared" si="28"/>
        <v>0</v>
      </c>
      <c r="AY19" s="592">
        <f t="shared" si="29"/>
        <v>0</v>
      </c>
      <c r="AZ19" s="592">
        <f t="shared" si="30"/>
        <v>0</v>
      </c>
      <c r="BA19" s="592">
        <f t="shared" si="31"/>
        <v>0</v>
      </c>
      <c r="BB19" s="592">
        <f t="shared" si="32"/>
        <v>0</v>
      </c>
      <c r="BC19" s="592">
        <f t="shared" si="33"/>
        <v>0</v>
      </c>
      <c r="BD19" s="592">
        <f t="shared" si="34"/>
        <v>0</v>
      </c>
      <c r="BE19" s="592">
        <f t="shared" si="35"/>
        <v>0</v>
      </c>
      <c r="BF19" s="592" t="str">
        <f t="shared" si="36"/>
        <v/>
      </c>
      <c r="BG19" s="657">
        <f t="shared" si="26"/>
        <v>0</v>
      </c>
    </row>
    <row r="20" spans="1:59" x14ac:dyDescent="0.25">
      <c r="A20" s="104" t="str">
        <f>'G-1 All Habitats'!B19</f>
        <v>Grassland - Modified grassland</v>
      </c>
      <c r="B20" s="88" t="str">
        <f>'G-1 All Habitats'!F19</f>
        <v>Grassland</v>
      </c>
      <c r="C20" s="88" t="str">
        <f>'G-1 All Habitats'!K19</f>
        <v>Low</v>
      </c>
      <c r="D20" s="88" t="str">
        <f>'G-1 All Habitats'!M19</f>
        <v>Same distinctiveness or better habitat required ≥</v>
      </c>
      <c r="E20" s="494">
        <f>IF(C20="V.High",SUMIF('A-1 Site Habitat Baseline'!$G$11:$G$258,'G-2 Habitat groups'!A20,'A-1 Site Habitat Baseline'!$S$11:$S$258)+SUMIF('A-1 Site Habitat Baseline'!$G$11:$G$258,'G-2 Habitat groups'!A20,'A-1 Site Habitat Baseline'!$T$11:$T$258),SUMIF('A-1 Site Habitat Baseline'!$G$11:$G$258,'G-2 Habitat groups'!A20,'A-1 Site Habitat Baseline'!$H$11:$H$258))</f>
        <v>7.3499999999999996E-2</v>
      </c>
      <c r="F20" s="494">
        <f>SUMIF('A-1 Site Habitat Baseline'!$G$11:$G$258,'G-2 Habitat groups'!A20,'A-1 Site Habitat Baseline'!$Q$11:$Q$258)</f>
        <v>0.16904999999999998</v>
      </c>
      <c r="G20" s="494">
        <f>SUMIF('A-1 Site Habitat Baseline'!$G$11:$G$258,'G-2 Habitat groups'!A20,'A-1 Site Habitat Baseline'!$S$11:$S$258)</f>
        <v>0</v>
      </c>
      <c r="H20" s="494">
        <f>SUMIF('A-1 Site Habitat Baseline'!$G$11:$G$258,'G-2 Habitat groups'!A20,'A-1 Site Habitat Baseline'!$U$11:$U$258)</f>
        <v>0</v>
      </c>
      <c r="I20" s="494">
        <f>SUMIF('A-1 Site Habitat Baseline'!$G$11:$G$258,'G-2 Habitat groups'!A20,'A-1 Site Habitat Baseline'!$W$11:$W$258)</f>
        <v>7.3499999999999996E-2</v>
      </c>
      <c r="J20" s="494">
        <f>SUMIF('A-1 Site Habitat Baseline'!$G$11:$G$258,'G-2 Habitat groups'!A20,'A-1 Site Habitat Baseline'!$X$11:$X$258)</f>
        <v>0.16904999999999998</v>
      </c>
      <c r="K20" s="494">
        <f>SUMIF('A-2 Site Habitat Creation'!$F$11:$F$256,'G-2 Habitat groups'!A20,'A-2 Site Habitat Creation'!$G$11:$G$256)</f>
        <v>0</v>
      </c>
      <c r="L20" s="494">
        <f>SUMIF('A-2 Site Habitat Creation'!$F$11:$F$256,'G-2 Habitat groups'!A20,'A-2 Site Habitat Creation'!$Y$11:$Y$256)</f>
        <v>0</v>
      </c>
      <c r="M20" s="494">
        <f>SUMIF('A-3 Site Habitat Enhancement'!$S$12:$S$257,'G-2 Habitat groups'!A20,'A-3 Site Habitat Enhancement'!$V$12:$V$257)</f>
        <v>0</v>
      </c>
      <c r="N20" s="494">
        <f>SUMIF('A-3 Site Habitat Enhancement'!$S$12:$S$257,'G-2 Habitat groups'!A20,'A-3 Site Habitat Enhancement'!$AN$12:$AN$257)</f>
        <v>0</v>
      </c>
      <c r="O20" s="494">
        <f t="shared" si="0"/>
        <v>0</v>
      </c>
      <c r="P20" s="494">
        <f t="shared" si="1"/>
        <v>0</v>
      </c>
      <c r="Q20" s="494">
        <f t="shared" si="2"/>
        <v>-7.3499999999999996E-2</v>
      </c>
      <c r="R20" s="494">
        <f t="shared" si="3"/>
        <v>-0.16904999999999998</v>
      </c>
      <c r="S20" s="494">
        <f>IF(C20="V.High",SUMIF('D-1 Off Site Habitat Baseline'!$G$11:$G$258,'G-2 Habitat groups'!A20,'D-1 Off Site Habitat Baseline'!$S$11:$S$258)+SUMIF('D-1 Off Site Habitat Baseline'!$G$11:$G$258,'G-2 Habitat groups'!A20,'D-1 Off Site Habitat Baseline'!$T$11:$T$258),SUMIF('D-1 Off Site Habitat Baseline'!$G$11:$G$258,'G-2 Habitat groups'!A20,'D-1 Off Site Habitat Baseline'!$H$11:$H$258))</f>
        <v>0</v>
      </c>
      <c r="T20" s="494">
        <f>SUMIF('D-1 Off Site Habitat Baseline'!$G$11:$G$258,'G-2 Habitat groups'!A20,'D-1 Off Site Habitat Baseline'!$Q$11:$Q$258)</f>
        <v>0</v>
      </c>
      <c r="U20" s="591">
        <f>SUMIF('D-1 Off Site Habitat Baseline'!$G$11:$G$258,'G-2 Habitat groups'!A20,'D-1 Off Site Habitat Baseline'!$S$11:$S$258)</f>
        <v>0</v>
      </c>
      <c r="V20" s="494">
        <f>SUMIF('D-1 Off Site Habitat Baseline'!$G$11:$G$258,'G-2 Habitat groups'!A20,'D-1 Off Site Habitat Baseline'!$U$11:$U$258)</f>
        <v>0</v>
      </c>
      <c r="W20" s="494">
        <f>SUMIF('D-2 Off Site Habitat Creation'!$F$9:$F$255,'G-2 Habitat groups'!A20,'D-2 Off Site Habitat Creation'!$G$9:$G$255)</f>
        <v>0</v>
      </c>
      <c r="X20" s="494">
        <f>SUMIF('D-2 Off Site Habitat Creation'!$F$9:$F$255,'G-2 Habitat groups'!A20,'D-2 Off Site Habitat Creation'!$AA$9:$AA$255)</f>
        <v>0</v>
      </c>
      <c r="Y20" s="494">
        <f>SUMIF('D-3 Off Site Habitat Enhancment'!$S$12:$S$491,'G-2 Habitat groups'!A20,'D-3 Off Site Habitat Enhancment'!$V$12:$V$491)</f>
        <v>0</v>
      </c>
      <c r="Z20" s="494">
        <f>SUMIF('D-3 Off Site Habitat Enhancment'!$S$12:$S$491,'G-2 Habitat groups'!A20,'D-3 Off Site Habitat Enhancment'!$AP$12:$AP$491)</f>
        <v>0</v>
      </c>
      <c r="AA20" s="494">
        <f t="shared" si="4"/>
        <v>0</v>
      </c>
      <c r="AB20" s="494">
        <f t="shared" si="5"/>
        <v>0</v>
      </c>
      <c r="AC20" s="494">
        <f t="shared" si="6"/>
        <v>0</v>
      </c>
      <c r="AD20" s="494">
        <f t="shared" si="7"/>
        <v>0</v>
      </c>
      <c r="AE20" s="494">
        <f t="shared" si="8"/>
        <v>-7.3499999999999996E-2</v>
      </c>
      <c r="AF20" s="494">
        <f t="shared" si="9"/>
        <v>-0.16904999999999998</v>
      </c>
      <c r="AJ20" s="106" t="s">
        <v>69</v>
      </c>
      <c r="AK20" s="100">
        <f t="shared" ref="AK20:AK32" si="37">SUMIF($B:$B,$AJ20,S:S)</f>
        <v>0</v>
      </c>
      <c r="AL20" s="100">
        <f t="shared" ref="AL20:AL32" si="38">SUMIF($B:$B,$AJ20,T:T)</f>
        <v>0</v>
      </c>
      <c r="AM20" s="100">
        <f t="shared" ref="AM20:AM32" si="39">SUMIF($B:$B,$AJ20,AA:AA)</f>
        <v>0</v>
      </c>
      <c r="AN20" s="100">
        <f t="shared" ref="AN20:AN32" si="40">SUMIF($B:$B,$AJ20,AB:AB)</f>
        <v>0</v>
      </c>
      <c r="AO20" s="111">
        <f t="shared" ref="AO20:AO32" si="41">SUMIF($B:$B,$AJ20,AC:AC)</f>
        <v>0</v>
      </c>
      <c r="AP20" s="111">
        <f t="shared" ref="AP20:AP32" si="42">SUMIF($B:$B,$AJ20,AD:AD)</f>
        <v>0</v>
      </c>
      <c r="AU20" s="119" t="s">
        <v>722</v>
      </c>
      <c r="AV20" s="88" t="s">
        <v>866</v>
      </c>
      <c r="AW20" s="494">
        <f t="shared" si="27"/>
        <v>0</v>
      </c>
      <c r="AX20" s="494">
        <f t="shared" si="28"/>
        <v>0</v>
      </c>
      <c r="AY20" s="494">
        <f t="shared" si="29"/>
        <v>0</v>
      </c>
      <c r="AZ20" s="494">
        <f t="shared" si="30"/>
        <v>0</v>
      </c>
      <c r="BA20" s="494">
        <f t="shared" si="31"/>
        <v>0</v>
      </c>
      <c r="BB20" s="494">
        <f t="shared" si="32"/>
        <v>0</v>
      </c>
      <c r="BC20" s="494">
        <f t="shared" si="33"/>
        <v>0</v>
      </c>
      <c r="BD20" s="494">
        <f t="shared" si="34"/>
        <v>0</v>
      </c>
      <c r="BE20" s="494">
        <f t="shared" si="35"/>
        <v>0</v>
      </c>
      <c r="BF20" s="494" t="str">
        <f t="shared" si="36"/>
        <v/>
      </c>
      <c r="BG20" s="586">
        <f t="shared" si="26"/>
        <v>0</v>
      </c>
    </row>
    <row r="21" spans="1:59" x14ac:dyDescent="0.25">
      <c r="A21" s="104" t="str">
        <f>'G-1 All Habitats'!B20</f>
        <v>Grassland - Other lowland acid grassland</v>
      </c>
      <c r="B21" s="88" t="str">
        <f>'G-1 All Habitats'!F20</f>
        <v>Grassland</v>
      </c>
      <c r="C21" s="88" t="str">
        <f>'G-1 All Habitats'!K20</f>
        <v>Medium</v>
      </c>
      <c r="D21" s="88" t="str">
        <f>'G-1 All Habitats'!M20</f>
        <v>Same broad habitat or a higher distinctiveness habitat required (≥)</v>
      </c>
      <c r="E21" s="494">
        <f>IF(C21="V.High",SUMIF('A-1 Site Habitat Baseline'!$G$11:$G$258,'G-2 Habitat groups'!A21,'A-1 Site Habitat Baseline'!$S$11:$S$258)+SUMIF('A-1 Site Habitat Baseline'!$G$11:$G$258,'G-2 Habitat groups'!A21,'A-1 Site Habitat Baseline'!$T$11:$T$258),SUMIF('A-1 Site Habitat Baseline'!$G$11:$G$258,'G-2 Habitat groups'!A21,'A-1 Site Habitat Baseline'!$H$11:$H$258))</f>
        <v>0</v>
      </c>
      <c r="F21" s="494">
        <f>SUMIF('A-1 Site Habitat Baseline'!$G$11:$G$258,'G-2 Habitat groups'!A21,'A-1 Site Habitat Baseline'!$Q$11:$Q$258)</f>
        <v>0</v>
      </c>
      <c r="G21" s="494">
        <f>SUMIF('A-1 Site Habitat Baseline'!$G$11:$G$258,'G-2 Habitat groups'!A21,'A-1 Site Habitat Baseline'!$S$11:$S$258)</f>
        <v>0</v>
      </c>
      <c r="H21" s="494">
        <f>SUMIF('A-1 Site Habitat Baseline'!$G$11:$G$258,'G-2 Habitat groups'!A21,'A-1 Site Habitat Baseline'!$U$11:$U$258)</f>
        <v>0</v>
      </c>
      <c r="I21" s="494">
        <f>SUMIF('A-1 Site Habitat Baseline'!$G$11:$G$258,'G-2 Habitat groups'!A21,'A-1 Site Habitat Baseline'!$W$11:$W$258)</f>
        <v>0</v>
      </c>
      <c r="J21" s="494">
        <f>SUMIF('A-1 Site Habitat Baseline'!$G$11:$G$258,'G-2 Habitat groups'!A21,'A-1 Site Habitat Baseline'!$X$11:$X$258)</f>
        <v>0</v>
      </c>
      <c r="K21" s="494">
        <f>SUMIF('A-2 Site Habitat Creation'!$F$11:$F$256,'G-2 Habitat groups'!A21,'A-2 Site Habitat Creation'!$G$11:$G$256)</f>
        <v>0</v>
      </c>
      <c r="L21" s="494">
        <f>SUMIF('A-2 Site Habitat Creation'!$F$11:$F$256,'G-2 Habitat groups'!A21,'A-2 Site Habitat Creation'!$Y$11:$Y$256)</f>
        <v>0</v>
      </c>
      <c r="M21" s="494">
        <f>SUMIF('A-3 Site Habitat Enhancement'!$S$12:$S$257,'G-2 Habitat groups'!A21,'A-3 Site Habitat Enhancement'!$V$12:$V$257)</f>
        <v>0</v>
      </c>
      <c r="N21" s="494">
        <f>SUMIF('A-3 Site Habitat Enhancement'!$S$12:$S$257,'G-2 Habitat groups'!A21,'A-3 Site Habitat Enhancement'!$AN$12:$AN$257)</f>
        <v>0</v>
      </c>
      <c r="O21" s="494">
        <f t="shared" si="0"/>
        <v>0</v>
      </c>
      <c r="P21" s="494">
        <f t="shared" si="1"/>
        <v>0</v>
      </c>
      <c r="Q21" s="494">
        <f t="shared" si="2"/>
        <v>0</v>
      </c>
      <c r="R21" s="494">
        <f t="shared" si="3"/>
        <v>0</v>
      </c>
      <c r="S21" s="494">
        <f>IF(C21="V.High",SUMIF('D-1 Off Site Habitat Baseline'!$G$11:$G$258,'G-2 Habitat groups'!A21,'D-1 Off Site Habitat Baseline'!$S$11:$S$258)+SUMIF('D-1 Off Site Habitat Baseline'!$G$11:$G$258,'G-2 Habitat groups'!A21,'D-1 Off Site Habitat Baseline'!$T$11:$T$258),SUMIF('D-1 Off Site Habitat Baseline'!$G$11:$G$258,'G-2 Habitat groups'!A21,'D-1 Off Site Habitat Baseline'!$H$11:$H$258))</f>
        <v>0</v>
      </c>
      <c r="T21" s="494">
        <f>SUMIF('D-1 Off Site Habitat Baseline'!$G$11:$G$258,'G-2 Habitat groups'!A21,'D-1 Off Site Habitat Baseline'!$Q$11:$Q$258)</f>
        <v>0</v>
      </c>
      <c r="U21" s="591">
        <f>SUMIF('D-1 Off Site Habitat Baseline'!$G$11:$G$258,'G-2 Habitat groups'!A21,'D-1 Off Site Habitat Baseline'!$S$11:$S$258)</f>
        <v>0</v>
      </c>
      <c r="V21" s="494">
        <f>SUMIF('D-1 Off Site Habitat Baseline'!$G$11:$G$258,'G-2 Habitat groups'!A21,'D-1 Off Site Habitat Baseline'!$U$11:$U$258)</f>
        <v>0</v>
      </c>
      <c r="W21" s="494">
        <f>SUMIF('D-2 Off Site Habitat Creation'!$F$9:$F$255,'G-2 Habitat groups'!A21,'D-2 Off Site Habitat Creation'!$G$9:$G$255)</f>
        <v>0</v>
      </c>
      <c r="X21" s="494">
        <f>SUMIF('D-2 Off Site Habitat Creation'!$F$9:$F$255,'G-2 Habitat groups'!A21,'D-2 Off Site Habitat Creation'!$AA$9:$AA$255)</f>
        <v>0</v>
      </c>
      <c r="Y21" s="494">
        <f>SUMIF('D-3 Off Site Habitat Enhancment'!$S$12:$S$491,'G-2 Habitat groups'!A21,'D-3 Off Site Habitat Enhancment'!$V$12:$V$491)</f>
        <v>0</v>
      </c>
      <c r="Z21" s="494">
        <f>SUMIF('D-3 Off Site Habitat Enhancment'!$S$12:$S$491,'G-2 Habitat groups'!A21,'D-3 Off Site Habitat Enhancment'!$AP$12:$AP$491)</f>
        <v>0</v>
      </c>
      <c r="AA21" s="494">
        <f t="shared" si="4"/>
        <v>0</v>
      </c>
      <c r="AB21" s="494">
        <f t="shared" si="5"/>
        <v>0</v>
      </c>
      <c r="AC21" s="494">
        <f t="shared" si="6"/>
        <v>0</v>
      </c>
      <c r="AD21" s="494">
        <f t="shared" si="7"/>
        <v>0</v>
      </c>
      <c r="AE21" s="494">
        <f t="shared" si="8"/>
        <v>0</v>
      </c>
      <c r="AF21" s="494">
        <f t="shared" si="9"/>
        <v>0</v>
      </c>
      <c r="AJ21" s="107" t="s">
        <v>70</v>
      </c>
      <c r="AK21" s="100">
        <f t="shared" si="37"/>
        <v>0</v>
      </c>
      <c r="AL21" s="100">
        <f t="shared" si="38"/>
        <v>0</v>
      </c>
      <c r="AM21" s="100">
        <f t="shared" si="39"/>
        <v>0</v>
      </c>
      <c r="AN21" s="100">
        <f t="shared" si="40"/>
        <v>0</v>
      </c>
      <c r="AO21" s="111">
        <f t="shared" si="41"/>
        <v>0</v>
      </c>
      <c r="AP21" s="111">
        <f t="shared" si="42"/>
        <v>0</v>
      </c>
      <c r="AU21" s="119" t="s">
        <v>729</v>
      </c>
      <c r="AV21" s="88" t="s">
        <v>866</v>
      </c>
      <c r="AW21" s="494">
        <f t="shared" si="27"/>
        <v>0</v>
      </c>
      <c r="AX21" s="494">
        <f t="shared" si="28"/>
        <v>0</v>
      </c>
      <c r="AY21" s="494">
        <f t="shared" si="29"/>
        <v>0</v>
      </c>
      <c r="AZ21" s="494">
        <f t="shared" si="30"/>
        <v>0</v>
      </c>
      <c r="BA21" s="494">
        <f t="shared" si="31"/>
        <v>0</v>
      </c>
      <c r="BB21" s="494">
        <f t="shared" si="32"/>
        <v>0</v>
      </c>
      <c r="BC21" s="494">
        <f t="shared" si="33"/>
        <v>0</v>
      </c>
      <c r="BD21" s="494">
        <f t="shared" si="34"/>
        <v>0</v>
      </c>
      <c r="BE21" s="494">
        <f t="shared" si="35"/>
        <v>0</v>
      </c>
      <c r="BF21" s="494" t="str">
        <f t="shared" si="36"/>
        <v/>
      </c>
      <c r="BG21" s="586">
        <f t="shared" si="26"/>
        <v>0</v>
      </c>
    </row>
    <row r="22" spans="1:59" x14ac:dyDescent="0.25">
      <c r="A22" s="104" t="str">
        <f>'G-1 All Habitats'!B21</f>
        <v>Grassland - Other neutral grassland</v>
      </c>
      <c r="B22" s="88" t="str">
        <f>'G-1 All Habitats'!F21</f>
        <v>Grassland</v>
      </c>
      <c r="C22" s="88" t="str">
        <f>'G-1 All Habitats'!K21</f>
        <v>Medium</v>
      </c>
      <c r="D22" s="88" t="str">
        <f>'G-1 All Habitats'!M21</f>
        <v>Same broad habitat or a higher distinctiveness habitat required (≥)</v>
      </c>
      <c r="E22" s="494">
        <f>IF(C22="V.High",SUMIF('A-1 Site Habitat Baseline'!$G$11:$G$258,'G-2 Habitat groups'!A22,'A-1 Site Habitat Baseline'!$S$11:$S$258)+SUMIF('A-1 Site Habitat Baseline'!$G$11:$G$258,'G-2 Habitat groups'!A22,'A-1 Site Habitat Baseline'!$T$11:$T$258),SUMIF('A-1 Site Habitat Baseline'!$G$11:$G$258,'G-2 Habitat groups'!A22,'A-1 Site Habitat Baseline'!$H$11:$H$258))</f>
        <v>0</v>
      </c>
      <c r="F22" s="494">
        <f>SUMIF('A-1 Site Habitat Baseline'!$G$11:$G$258,'G-2 Habitat groups'!A22,'A-1 Site Habitat Baseline'!$Q$11:$Q$258)</f>
        <v>0</v>
      </c>
      <c r="G22" s="494">
        <f>SUMIF('A-1 Site Habitat Baseline'!$G$11:$G$258,'G-2 Habitat groups'!A22,'A-1 Site Habitat Baseline'!$S$11:$S$258)</f>
        <v>0</v>
      </c>
      <c r="H22" s="494">
        <f>SUMIF('A-1 Site Habitat Baseline'!$G$11:$G$258,'G-2 Habitat groups'!A22,'A-1 Site Habitat Baseline'!$U$11:$U$258)</f>
        <v>0</v>
      </c>
      <c r="I22" s="494">
        <f>SUMIF('A-1 Site Habitat Baseline'!$G$11:$G$258,'G-2 Habitat groups'!A22,'A-1 Site Habitat Baseline'!$W$11:$W$258)</f>
        <v>0</v>
      </c>
      <c r="J22" s="494">
        <f>SUMIF('A-1 Site Habitat Baseline'!$G$11:$G$258,'G-2 Habitat groups'!A22,'A-1 Site Habitat Baseline'!$X$11:$X$258)</f>
        <v>0</v>
      </c>
      <c r="K22" s="494">
        <f>SUMIF('A-2 Site Habitat Creation'!$F$11:$F$256,'G-2 Habitat groups'!A22,'A-2 Site Habitat Creation'!$G$11:$G$256)</f>
        <v>9.7100000000000006E-2</v>
      </c>
      <c r="L22" s="494">
        <f>SUMIF('A-2 Site Habitat Creation'!$F$11:$F$256,'G-2 Habitat groups'!A22,'A-2 Site Habitat Creation'!$Y$11:$Y$256)</f>
        <v>0.747555814819992</v>
      </c>
      <c r="M22" s="494">
        <f>SUMIF('A-3 Site Habitat Enhancement'!$S$12:$S$257,'G-2 Habitat groups'!A22,'A-3 Site Habitat Enhancement'!$V$12:$V$257)</f>
        <v>0</v>
      </c>
      <c r="N22" s="494">
        <f>SUMIF('A-3 Site Habitat Enhancement'!$S$12:$S$257,'G-2 Habitat groups'!A22,'A-3 Site Habitat Enhancement'!$AN$12:$AN$257)</f>
        <v>0</v>
      </c>
      <c r="O22" s="494">
        <f t="shared" si="0"/>
        <v>9.7100000000000006E-2</v>
      </c>
      <c r="P22" s="494">
        <f t="shared" si="1"/>
        <v>0.747555814819992</v>
      </c>
      <c r="Q22" s="494">
        <f t="shared" si="2"/>
        <v>9.7100000000000006E-2</v>
      </c>
      <c r="R22" s="494">
        <f t="shared" si="3"/>
        <v>0.747555814819992</v>
      </c>
      <c r="S22" s="494">
        <f>IF(C22="V.High",SUMIF('D-1 Off Site Habitat Baseline'!$G$11:$G$258,'G-2 Habitat groups'!A22,'D-1 Off Site Habitat Baseline'!$S$11:$S$258)+SUMIF('D-1 Off Site Habitat Baseline'!$G$11:$G$258,'G-2 Habitat groups'!A22,'D-1 Off Site Habitat Baseline'!$T$11:$T$258),SUMIF('D-1 Off Site Habitat Baseline'!$G$11:$G$258,'G-2 Habitat groups'!A22,'D-1 Off Site Habitat Baseline'!$H$11:$H$258))</f>
        <v>0</v>
      </c>
      <c r="T22" s="494">
        <f>SUMIF('D-1 Off Site Habitat Baseline'!$G$11:$G$258,'G-2 Habitat groups'!A22,'D-1 Off Site Habitat Baseline'!$Q$11:$Q$258)</f>
        <v>0</v>
      </c>
      <c r="U22" s="591">
        <f>SUMIF('D-1 Off Site Habitat Baseline'!$G$11:$G$258,'G-2 Habitat groups'!A22,'D-1 Off Site Habitat Baseline'!$S$11:$S$258)</f>
        <v>0</v>
      </c>
      <c r="V22" s="494">
        <f>SUMIF('D-1 Off Site Habitat Baseline'!$G$11:$G$258,'G-2 Habitat groups'!A22,'D-1 Off Site Habitat Baseline'!$U$11:$U$258)</f>
        <v>0</v>
      </c>
      <c r="W22" s="494">
        <f>SUMIF('D-2 Off Site Habitat Creation'!$F$9:$F$255,'G-2 Habitat groups'!A22,'D-2 Off Site Habitat Creation'!$G$9:$G$255)</f>
        <v>0</v>
      </c>
      <c r="X22" s="494">
        <f>SUMIF('D-2 Off Site Habitat Creation'!$F$9:$F$255,'G-2 Habitat groups'!A22,'D-2 Off Site Habitat Creation'!$AA$9:$AA$255)</f>
        <v>0</v>
      </c>
      <c r="Y22" s="494">
        <f>SUMIF('D-3 Off Site Habitat Enhancment'!$S$12:$S$491,'G-2 Habitat groups'!A22,'D-3 Off Site Habitat Enhancment'!$V$12:$V$491)</f>
        <v>0</v>
      </c>
      <c r="Z22" s="494">
        <f>SUMIF('D-3 Off Site Habitat Enhancment'!$S$12:$S$491,'G-2 Habitat groups'!A22,'D-3 Off Site Habitat Enhancment'!$AP$12:$AP$491)</f>
        <v>0</v>
      </c>
      <c r="AA22" s="494">
        <f t="shared" si="4"/>
        <v>0</v>
      </c>
      <c r="AB22" s="494">
        <f t="shared" si="5"/>
        <v>0</v>
      </c>
      <c r="AC22" s="494">
        <f t="shared" si="6"/>
        <v>0</v>
      </c>
      <c r="AD22" s="494">
        <f t="shared" si="7"/>
        <v>0</v>
      </c>
      <c r="AE22" s="494">
        <f t="shared" si="8"/>
        <v>9.7100000000000006E-2</v>
      </c>
      <c r="AF22" s="494">
        <f t="shared" si="9"/>
        <v>0.747555814819992</v>
      </c>
      <c r="AJ22" s="107" t="s">
        <v>71</v>
      </c>
      <c r="AK22" s="100">
        <f t="shared" si="37"/>
        <v>0</v>
      </c>
      <c r="AL22" s="100">
        <f t="shared" si="38"/>
        <v>0</v>
      </c>
      <c r="AM22" s="100">
        <f t="shared" si="39"/>
        <v>0</v>
      </c>
      <c r="AN22" s="100">
        <f t="shared" si="40"/>
        <v>0</v>
      </c>
      <c r="AO22" s="111">
        <f t="shared" si="41"/>
        <v>0</v>
      </c>
      <c r="AP22" s="111">
        <f t="shared" si="42"/>
        <v>0</v>
      </c>
      <c r="AU22" s="119" t="s">
        <v>736</v>
      </c>
      <c r="AV22" s="88" t="s">
        <v>866</v>
      </c>
      <c r="AW22" s="494">
        <f t="shared" si="27"/>
        <v>0</v>
      </c>
      <c r="AX22" s="494">
        <f t="shared" si="28"/>
        <v>0</v>
      </c>
      <c r="AY22" s="494">
        <f t="shared" si="29"/>
        <v>0</v>
      </c>
      <c r="AZ22" s="494">
        <f t="shared" si="30"/>
        <v>0</v>
      </c>
      <c r="BA22" s="494">
        <f t="shared" si="31"/>
        <v>0</v>
      </c>
      <c r="BB22" s="494">
        <f t="shared" si="32"/>
        <v>0</v>
      </c>
      <c r="BC22" s="494">
        <f t="shared" si="33"/>
        <v>0</v>
      </c>
      <c r="BD22" s="494">
        <f t="shared" si="34"/>
        <v>0</v>
      </c>
      <c r="BE22" s="494">
        <f t="shared" si="35"/>
        <v>0</v>
      </c>
      <c r="BF22" s="494" t="str">
        <f t="shared" si="36"/>
        <v/>
      </c>
      <c r="BG22" s="586">
        <f t="shared" si="26"/>
        <v>0</v>
      </c>
    </row>
    <row r="23" spans="1:59" ht="18.600000000000001" customHeight="1" x14ac:dyDescent="0.25">
      <c r="A23" s="104" t="str">
        <f>'G-1 All Habitats'!B22</f>
        <v>Grassland - Tall herb communities (H6430)</v>
      </c>
      <c r="B23" s="88" t="str">
        <f>'G-1 All Habitats'!F22</f>
        <v>Grassland</v>
      </c>
      <c r="C23" s="88" t="str">
        <f>'G-1 All Habitats'!K22</f>
        <v>High</v>
      </c>
      <c r="D23" s="88" t="str">
        <f>'G-1 All Habitats'!M22</f>
        <v>Same habitat required =</v>
      </c>
      <c r="E23" s="494">
        <f>IF(C23="V.High",SUMIF('A-1 Site Habitat Baseline'!$G$11:$G$258,'G-2 Habitat groups'!A23,'A-1 Site Habitat Baseline'!$S$11:$S$258)+SUMIF('A-1 Site Habitat Baseline'!$G$11:$G$258,'G-2 Habitat groups'!A23,'A-1 Site Habitat Baseline'!$T$11:$T$258),SUMIF('A-1 Site Habitat Baseline'!$G$11:$G$258,'G-2 Habitat groups'!A23,'A-1 Site Habitat Baseline'!$H$11:$H$258))</f>
        <v>0</v>
      </c>
      <c r="F23" s="494">
        <f>SUMIF('A-1 Site Habitat Baseline'!$G$11:$G$258,'G-2 Habitat groups'!A23,'A-1 Site Habitat Baseline'!$Q$11:$Q$258)</f>
        <v>0</v>
      </c>
      <c r="G23" s="494">
        <f>SUMIF('A-1 Site Habitat Baseline'!$G$11:$G$258,'G-2 Habitat groups'!A23,'A-1 Site Habitat Baseline'!$S$11:$S$258)</f>
        <v>0</v>
      </c>
      <c r="H23" s="494">
        <f>SUMIF('A-1 Site Habitat Baseline'!$G$11:$G$258,'G-2 Habitat groups'!A23,'A-1 Site Habitat Baseline'!$U$11:$U$258)</f>
        <v>0</v>
      </c>
      <c r="I23" s="494">
        <f>SUMIF('A-1 Site Habitat Baseline'!$G$11:$G$258,'G-2 Habitat groups'!A23,'A-1 Site Habitat Baseline'!$W$11:$W$258)</f>
        <v>0</v>
      </c>
      <c r="J23" s="494">
        <f>SUMIF('A-1 Site Habitat Baseline'!$G$11:$G$258,'G-2 Habitat groups'!A23,'A-1 Site Habitat Baseline'!$X$11:$X$258)</f>
        <v>0</v>
      </c>
      <c r="K23" s="494">
        <f>SUMIF('A-2 Site Habitat Creation'!$F$11:$F$256,'G-2 Habitat groups'!A23,'A-2 Site Habitat Creation'!$G$11:$G$256)</f>
        <v>0</v>
      </c>
      <c r="L23" s="494">
        <f>SUMIF('A-2 Site Habitat Creation'!$F$11:$F$256,'G-2 Habitat groups'!A23,'A-2 Site Habitat Creation'!$Y$11:$Y$256)</f>
        <v>0</v>
      </c>
      <c r="M23" s="494">
        <f>SUMIF('A-3 Site Habitat Enhancement'!$S$12:$S$257,'G-2 Habitat groups'!A23,'A-3 Site Habitat Enhancement'!$V$12:$V$257)</f>
        <v>0</v>
      </c>
      <c r="N23" s="494">
        <f>SUMIF('A-3 Site Habitat Enhancement'!$S$12:$S$257,'G-2 Habitat groups'!A23,'A-3 Site Habitat Enhancement'!$AN$12:$AN$257)</f>
        <v>0</v>
      </c>
      <c r="O23" s="494">
        <f t="shared" si="0"/>
        <v>0</v>
      </c>
      <c r="P23" s="494">
        <f t="shared" si="1"/>
        <v>0</v>
      </c>
      <c r="Q23" s="494">
        <f t="shared" si="2"/>
        <v>0</v>
      </c>
      <c r="R23" s="494">
        <f t="shared" si="3"/>
        <v>0</v>
      </c>
      <c r="S23" s="494">
        <f>IF(C23="V.High",SUMIF('D-1 Off Site Habitat Baseline'!$G$11:$G$258,'G-2 Habitat groups'!A23,'D-1 Off Site Habitat Baseline'!$S$11:$S$258)+SUMIF('D-1 Off Site Habitat Baseline'!$G$11:$G$258,'G-2 Habitat groups'!A23,'D-1 Off Site Habitat Baseline'!$T$11:$T$258),SUMIF('D-1 Off Site Habitat Baseline'!$G$11:$G$258,'G-2 Habitat groups'!A23,'D-1 Off Site Habitat Baseline'!$H$11:$H$258))</f>
        <v>0</v>
      </c>
      <c r="T23" s="494">
        <f>SUMIF('D-1 Off Site Habitat Baseline'!$G$11:$G$258,'G-2 Habitat groups'!A23,'D-1 Off Site Habitat Baseline'!$Q$11:$Q$258)</f>
        <v>0</v>
      </c>
      <c r="U23" s="591">
        <f>SUMIF('D-1 Off Site Habitat Baseline'!$G$11:$G$258,'G-2 Habitat groups'!A23,'D-1 Off Site Habitat Baseline'!$S$11:$S$258)</f>
        <v>0</v>
      </c>
      <c r="V23" s="494">
        <f>SUMIF('D-1 Off Site Habitat Baseline'!$G$11:$G$258,'G-2 Habitat groups'!A23,'D-1 Off Site Habitat Baseline'!$U$11:$U$258)</f>
        <v>0</v>
      </c>
      <c r="W23" s="494">
        <f>SUMIF('D-2 Off Site Habitat Creation'!$F$9:$F$255,'G-2 Habitat groups'!A23,'D-2 Off Site Habitat Creation'!$G$9:$G$255)</f>
        <v>0</v>
      </c>
      <c r="X23" s="494">
        <f>SUMIF('D-2 Off Site Habitat Creation'!$F$9:$F$255,'G-2 Habitat groups'!A23,'D-2 Off Site Habitat Creation'!$AA$9:$AA$255)</f>
        <v>0</v>
      </c>
      <c r="Y23" s="494">
        <f>SUMIF('D-3 Off Site Habitat Enhancment'!$S$12:$S$491,'G-2 Habitat groups'!A23,'D-3 Off Site Habitat Enhancment'!$V$12:$V$491)</f>
        <v>0</v>
      </c>
      <c r="Z23" s="494">
        <f>SUMIF('D-3 Off Site Habitat Enhancment'!$S$12:$S$491,'G-2 Habitat groups'!A23,'D-3 Off Site Habitat Enhancment'!$AP$12:$AP$491)</f>
        <v>0</v>
      </c>
      <c r="AA23" s="494">
        <f t="shared" si="4"/>
        <v>0</v>
      </c>
      <c r="AB23" s="494">
        <f t="shared" si="5"/>
        <v>0</v>
      </c>
      <c r="AC23" s="494">
        <f t="shared" si="6"/>
        <v>0</v>
      </c>
      <c r="AD23" s="494">
        <f t="shared" si="7"/>
        <v>0</v>
      </c>
      <c r="AE23" s="494">
        <f t="shared" si="8"/>
        <v>0</v>
      </c>
      <c r="AF23" s="494">
        <f t="shared" si="9"/>
        <v>0</v>
      </c>
      <c r="AJ23" s="107" t="s">
        <v>72</v>
      </c>
      <c r="AK23" s="100">
        <f t="shared" si="37"/>
        <v>0</v>
      </c>
      <c r="AL23" s="100">
        <f t="shared" si="38"/>
        <v>0</v>
      </c>
      <c r="AM23" s="100">
        <f t="shared" si="39"/>
        <v>0</v>
      </c>
      <c r="AN23" s="100">
        <f t="shared" si="40"/>
        <v>0</v>
      </c>
      <c r="AO23" s="111">
        <f t="shared" si="41"/>
        <v>0</v>
      </c>
      <c r="AP23" s="111">
        <f t="shared" si="42"/>
        <v>0</v>
      </c>
      <c r="AU23" s="119" t="s">
        <v>743</v>
      </c>
      <c r="AV23" s="88" t="s">
        <v>866</v>
      </c>
      <c r="AW23" s="494">
        <f t="shared" si="27"/>
        <v>0</v>
      </c>
      <c r="AX23" s="494">
        <f t="shared" si="28"/>
        <v>0</v>
      </c>
      <c r="AY23" s="494">
        <f t="shared" si="29"/>
        <v>0</v>
      </c>
      <c r="AZ23" s="494">
        <f t="shared" si="30"/>
        <v>0</v>
      </c>
      <c r="BA23" s="494">
        <f t="shared" si="31"/>
        <v>0</v>
      </c>
      <c r="BB23" s="494">
        <f t="shared" si="32"/>
        <v>0</v>
      </c>
      <c r="BC23" s="494">
        <f t="shared" si="33"/>
        <v>0</v>
      </c>
      <c r="BD23" s="494">
        <f t="shared" si="34"/>
        <v>0</v>
      </c>
      <c r="BE23" s="494">
        <f t="shared" si="35"/>
        <v>0</v>
      </c>
      <c r="BF23" s="494" t="str">
        <f t="shared" si="36"/>
        <v/>
      </c>
      <c r="BG23" s="586">
        <f t="shared" si="26"/>
        <v>0</v>
      </c>
    </row>
    <row r="24" spans="1:59" ht="18" customHeight="1" x14ac:dyDescent="0.25">
      <c r="A24" s="104" t="str">
        <f>'G-1 All Habitats'!B23</f>
        <v>Grassland - Upland acid grassland</v>
      </c>
      <c r="B24" s="88" t="str">
        <f>'G-1 All Habitats'!F23</f>
        <v>Grassland</v>
      </c>
      <c r="C24" s="88" t="str">
        <f>'G-1 All Habitats'!K23</f>
        <v>Medium</v>
      </c>
      <c r="D24" s="88" t="str">
        <f>'G-1 All Habitats'!M23</f>
        <v>Same broad habitat or a higher distinctiveness habitat required (≥)</v>
      </c>
      <c r="E24" s="494">
        <f>IF(C24="V.High",SUMIF('A-1 Site Habitat Baseline'!$G$11:$G$258,'G-2 Habitat groups'!A24,'A-1 Site Habitat Baseline'!$S$11:$S$258)+SUMIF('A-1 Site Habitat Baseline'!$G$11:$G$258,'G-2 Habitat groups'!A24,'A-1 Site Habitat Baseline'!$T$11:$T$258),SUMIF('A-1 Site Habitat Baseline'!$G$11:$G$258,'G-2 Habitat groups'!A24,'A-1 Site Habitat Baseline'!$H$11:$H$258))</f>
        <v>0</v>
      </c>
      <c r="F24" s="494">
        <f>SUMIF('A-1 Site Habitat Baseline'!$G$11:$G$258,'G-2 Habitat groups'!A24,'A-1 Site Habitat Baseline'!$Q$11:$Q$258)</f>
        <v>0</v>
      </c>
      <c r="G24" s="494">
        <f>SUMIF('A-1 Site Habitat Baseline'!$G$11:$G$258,'G-2 Habitat groups'!A24,'A-1 Site Habitat Baseline'!$S$11:$S$258)</f>
        <v>0</v>
      </c>
      <c r="H24" s="494">
        <f>SUMIF('A-1 Site Habitat Baseline'!$G$11:$G$258,'G-2 Habitat groups'!A24,'A-1 Site Habitat Baseline'!$U$11:$U$258)</f>
        <v>0</v>
      </c>
      <c r="I24" s="494">
        <f>SUMIF('A-1 Site Habitat Baseline'!$G$11:$G$258,'G-2 Habitat groups'!A24,'A-1 Site Habitat Baseline'!$W$11:$W$258)</f>
        <v>0</v>
      </c>
      <c r="J24" s="494">
        <f>SUMIF('A-1 Site Habitat Baseline'!$G$11:$G$258,'G-2 Habitat groups'!A24,'A-1 Site Habitat Baseline'!$X$11:$X$258)</f>
        <v>0</v>
      </c>
      <c r="K24" s="494">
        <f>SUMIF('A-2 Site Habitat Creation'!$F$11:$F$256,'G-2 Habitat groups'!A24,'A-2 Site Habitat Creation'!$G$11:$G$256)</f>
        <v>0</v>
      </c>
      <c r="L24" s="494">
        <f>SUMIF('A-2 Site Habitat Creation'!$F$11:$F$256,'G-2 Habitat groups'!A24,'A-2 Site Habitat Creation'!$Y$11:$Y$256)</f>
        <v>0</v>
      </c>
      <c r="M24" s="494">
        <f>SUMIF('A-3 Site Habitat Enhancement'!$S$12:$S$257,'G-2 Habitat groups'!A24,'A-3 Site Habitat Enhancement'!$V$12:$V$257)</f>
        <v>0</v>
      </c>
      <c r="N24" s="494">
        <f>SUMIF('A-3 Site Habitat Enhancement'!$S$12:$S$257,'G-2 Habitat groups'!A24,'A-3 Site Habitat Enhancement'!$AN$12:$AN$257)</f>
        <v>0</v>
      </c>
      <c r="O24" s="494">
        <f t="shared" si="0"/>
        <v>0</v>
      </c>
      <c r="P24" s="494">
        <f t="shared" si="1"/>
        <v>0</v>
      </c>
      <c r="Q24" s="494">
        <f t="shared" si="2"/>
        <v>0</v>
      </c>
      <c r="R24" s="494">
        <f t="shared" si="3"/>
        <v>0</v>
      </c>
      <c r="S24" s="494">
        <f>IF(C24="V.High",SUMIF('D-1 Off Site Habitat Baseline'!$G$11:$G$258,'G-2 Habitat groups'!A24,'D-1 Off Site Habitat Baseline'!$S$11:$S$258)+SUMIF('D-1 Off Site Habitat Baseline'!$G$11:$G$258,'G-2 Habitat groups'!A24,'D-1 Off Site Habitat Baseline'!$T$11:$T$258),SUMIF('D-1 Off Site Habitat Baseline'!$G$11:$G$258,'G-2 Habitat groups'!A24,'D-1 Off Site Habitat Baseline'!$H$11:$H$258))</f>
        <v>0</v>
      </c>
      <c r="T24" s="494">
        <f>SUMIF('D-1 Off Site Habitat Baseline'!$G$11:$G$258,'G-2 Habitat groups'!A24,'D-1 Off Site Habitat Baseline'!$Q$11:$Q$258)</f>
        <v>0</v>
      </c>
      <c r="U24" s="591">
        <f>SUMIF('D-1 Off Site Habitat Baseline'!$G$11:$G$258,'G-2 Habitat groups'!A24,'D-1 Off Site Habitat Baseline'!$S$11:$S$258)</f>
        <v>0</v>
      </c>
      <c r="V24" s="494">
        <f>SUMIF('D-1 Off Site Habitat Baseline'!$G$11:$G$258,'G-2 Habitat groups'!A24,'D-1 Off Site Habitat Baseline'!$U$11:$U$258)</f>
        <v>0</v>
      </c>
      <c r="W24" s="494">
        <f>SUMIF('D-2 Off Site Habitat Creation'!$F$9:$F$255,'G-2 Habitat groups'!A24,'D-2 Off Site Habitat Creation'!$G$9:$G$255)</f>
        <v>0</v>
      </c>
      <c r="X24" s="494">
        <f>SUMIF('D-2 Off Site Habitat Creation'!$F$9:$F$255,'G-2 Habitat groups'!A24,'D-2 Off Site Habitat Creation'!$AA$9:$AA$255)</f>
        <v>0</v>
      </c>
      <c r="Y24" s="494">
        <f>SUMIF('D-3 Off Site Habitat Enhancment'!$S$12:$S$491,'G-2 Habitat groups'!A24,'D-3 Off Site Habitat Enhancment'!$V$12:$V$491)</f>
        <v>0</v>
      </c>
      <c r="Z24" s="494">
        <f>SUMIF('D-3 Off Site Habitat Enhancment'!$S$12:$S$491,'G-2 Habitat groups'!A24,'D-3 Off Site Habitat Enhancment'!$AP$12:$AP$491)</f>
        <v>0</v>
      </c>
      <c r="AA24" s="494">
        <f t="shared" si="4"/>
        <v>0</v>
      </c>
      <c r="AB24" s="494">
        <f t="shared" si="5"/>
        <v>0</v>
      </c>
      <c r="AC24" s="494">
        <f t="shared" si="6"/>
        <v>0</v>
      </c>
      <c r="AD24" s="494">
        <f t="shared" si="7"/>
        <v>0</v>
      </c>
      <c r="AE24" s="494">
        <f t="shared" si="8"/>
        <v>0</v>
      </c>
      <c r="AF24" s="494">
        <f t="shared" si="9"/>
        <v>0</v>
      </c>
      <c r="AJ24" s="108" t="s">
        <v>73</v>
      </c>
      <c r="AK24" s="100">
        <f t="shared" si="37"/>
        <v>0</v>
      </c>
      <c r="AL24" s="100">
        <f t="shared" si="38"/>
        <v>0</v>
      </c>
      <c r="AM24" s="100">
        <f t="shared" si="39"/>
        <v>0</v>
      </c>
      <c r="AN24" s="100">
        <f t="shared" si="40"/>
        <v>0</v>
      </c>
      <c r="AO24" s="111">
        <f t="shared" si="41"/>
        <v>0</v>
      </c>
      <c r="AP24" s="111">
        <f t="shared" si="42"/>
        <v>0</v>
      </c>
      <c r="AU24" s="119" t="s">
        <v>768</v>
      </c>
      <c r="AV24" s="88" t="s">
        <v>77</v>
      </c>
      <c r="AW24" s="494">
        <f t="shared" si="27"/>
        <v>0</v>
      </c>
      <c r="AX24" s="494">
        <f t="shared" si="28"/>
        <v>0</v>
      </c>
      <c r="AY24" s="494">
        <f t="shared" si="29"/>
        <v>0</v>
      </c>
      <c r="AZ24" s="494">
        <f t="shared" si="30"/>
        <v>0</v>
      </c>
      <c r="BA24" s="494">
        <f t="shared" si="31"/>
        <v>0</v>
      </c>
      <c r="BB24" s="494">
        <f t="shared" si="32"/>
        <v>0</v>
      </c>
      <c r="BC24" s="494">
        <f t="shared" si="33"/>
        <v>0</v>
      </c>
      <c r="BD24" s="494">
        <f t="shared" si="34"/>
        <v>0</v>
      </c>
      <c r="BE24" s="494">
        <f t="shared" si="35"/>
        <v>0</v>
      </c>
      <c r="BF24" s="494" t="str">
        <f t="shared" si="36"/>
        <v/>
      </c>
      <c r="BG24" s="586">
        <f t="shared" si="26"/>
        <v>0</v>
      </c>
    </row>
    <row r="25" spans="1:59" x14ac:dyDescent="0.25">
      <c r="A25" s="104" t="str">
        <f>'G-1 All Habitats'!B24</f>
        <v>Grassland - Upland calcareous grassland</v>
      </c>
      <c r="B25" s="88" t="str">
        <f>'G-1 All Habitats'!F24</f>
        <v>Grassland</v>
      </c>
      <c r="C25" s="88" t="str">
        <f>'G-1 All Habitats'!K24</f>
        <v>High</v>
      </c>
      <c r="D25" s="88" t="str">
        <f>'G-1 All Habitats'!M24</f>
        <v>Same habitat required =</v>
      </c>
      <c r="E25" s="494">
        <f>IF(C25="V.High",SUMIF('A-1 Site Habitat Baseline'!$G$11:$G$258,'G-2 Habitat groups'!A25,'A-1 Site Habitat Baseline'!$S$11:$S$258)+SUMIF('A-1 Site Habitat Baseline'!$G$11:$G$258,'G-2 Habitat groups'!A25,'A-1 Site Habitat Baseline'!$T$11:$T$258),SUMIF('A-1 Site Habitat Baseline'!$G$11:$G$258,'G-2 Habitat groups'!A25,'A-1 Site Habitat Baseline'!$H$11:$H$258))</f>
        <v>0</v>
      </c>
      <c r="F25" s="494">
        <f>SUMIF('A-1 Site Habitat Baseline'!$G$11:$G$258,'G-2 Habitat groups'!A25,'A-1 Site Habitat Baseline'!$Q$11:$Q$258)</f>
        <v>0</v>
      </c>
      <c r="G25" s="494">
        <f>SUMIF('A-1 Site Habitat Baseline'!$G$11:$G$258,'G-2 Habitat groups'!A25,'A-1 Site Habitat Baseline'!$S$11:$S$258)</f>
        <v>0</v>
      </c>
      <c r="H25" s="494">
        <f>SUMIF('A-1 Site Habitat Baseline'!$G$11:$G$258,'G-2 Habitat groups'!A25,'A-1 Site Habitat Baseline'!$U$11:$U$258)</f>
        <v>0</v>
      </c>
      <c r="I25" s="494">
        <f>SUMIF('A-1 Site Habitat Baseline'!$G$11:$G$258,'G-2 Habitat groups'!A25,'A-1 Site Habitat Baseline'!$W$11:$W$258)</f>
        <v>0</v>
      </c>
      <c r="J25" s="494">
        <f>SUMIF('A-1 Site Habitat Baseline'!$G$11:$G$258,'G-2 Habitat groups'!A25,'A-1 Site Habitat Baseline'!$X$11:$X$258)</f>
        <v>0</v>
      </c>
      <c r="K25" s="494">
        <f>SUMIF('A-2 Site Habitat Creation'!$F$11:$F$256,'G-2 Habitat groups'!A25,'A-2 Site Habitat Creation'!$G$11:$G$256)</f>
        <v>0</v>
      </c>
      <c r="L25" s="494">
        <f>SUMIF('A-2 Site Habitat Creation'!$F$11:$F$256,'G-2 Habitat groups'!A25,'A-2 Site Habitat Creation'!$Y$11:$Y$256)</f>
        <v>0</v>
      </c>
      <c r="M25" s="494">
        <f>SUMIF('A-3 Site Habitat Enhancement'!$S$12:$S$257,'G-2 Habitat groups'!A25,'A-3 Site Habitat Enhancement'!$V$12:$V$257)</f>
        <v>0</v>
      </c>
      <c r="N25" s="494">
        <f>SUMIF('A-3 Site Habitat Enhancement'!$S$12:$S$257,'G-2 Habitat groups'!A25,'A-3 Site Habitat Enhancement'!$AN$12:$AN$257)</f>
        <v>0</v>
      </c>
      <c r="O25" s="494">
        <f t="shared" si="0"/>
        <v>0</v>
      </c>
      <c r="P25" s="494">
        <f t="shared" si="1"/>
        <v>0</v>
      </c>
      <c r="Q25" s="494">
        <f t="shared" si="2"/>
        <v>0</v>
      </c>
      <c r="R25" s="494">
        <f t="shared" si="3"/>
        <v>0</v>
      </c>
      <c r="S25" s="494">
        <f>IF(C25="V.High",SUMIF('D-1 Off Site Habitat Baseline'!$G$11:$G$258,'G-2 Habitat groups'!A25,'D-1 Off Site Habitat Baseline'!$S$11:$S$258)+SUMIF('D-1 Off Site Habitat Baseline'!$G$11:$G$258,'G-2 Habitat groups'!A25,'D-1 Off Site Habitat Baseline'!$T$11:$T$258),SUMIF('D-1 Off Site Habitat Baseline'!$G$11:$G$258,'G-2 Habitat groups'!A25,'D-1 Off Site Habitat Baseline'!$H$11:$H$258))</f>
        <v>0</v>
      </c>
      <c r="T25" s="494">
        <f>SUMIF('D-1 Off Site Habitat Baseline'!$G$11:$G$258,'G-2 Habitat groups'!A25,'D-1 Off Site Habitat Baseline'!$Q$11:$Q$258)</f>
        <v>0</v>
      </c>
      <c r="U25" s="591">
        <f>SUMIF('D-1 Off Site Habitat Baseline'!$G$11:$G$258,'G-2 Habitat groups'!A25,'D-1 Off Site Habitat Baseline'!$S$11:$S$258)</f>
        <v>0</v>
      </c>
      <c r="V25" s="494">
        <f>SUMIF('D-1 Off Site Habitat Baseline'!$G$11:$G$258,'G-2 Habitat groups'!A25,'D-1 Off Site Habitat Baseline'!$U$11:$U$258)</f>
        <v>0</v>
      </c>
      <c r="W25" s="494">
        <f>SUMIF('D-2 Off Site Habitat Creation'!$F$9:$F$255,'G-2 Habitat groups'!A25,'D-2 Off Site Habitat Creation'!$G$9:$G$255)</f>
        <v>0</v>
      </c>
      <c r="X25" s="494">
        <f>SUMIF('D-2 Off Site Habitat Creation'!$F$9:$F$255,'G-2 Habitat groups'!A25,'D-2 Off Site Habitat Creation'!$AA$9:$AA$255)</f>
        <v>0</v>
      </c>
      <c r="Y25" s="494">
        <f>SUMIF('D-3 Off Site Habitat Enhancment'!$S$12:$S$491,'G-2 Habitat groups'!A25,'D-3 Off Site Habitat Enhancment'!$V$12:$V$491)</f>
        <v>0</v>
      </c>
      <c r="Z25" s="494">
        <f>SUMIF('D-3 Off Site Habitat Enhancment'!$S$12:$S$491,'G-2 Habitat groups'!A25,'D-3 Off Site Habitat Enhancment'!$AP$12:$AP$491)</f>
        <v>0</v>
      </c>
      <c r="AA25" s="494">
        <f t="shared" si="4"/>
        <v>0</v>
      </c>
      <c r="AB25" s="494">
        <f t="shared" si="5"/>
        <v>0</v>
      </c>
      <c r="AC25" s="494">
        <f t="shared" si="6"/>
        <v>0</v>
      </c>
      <c r="AD25" s="494">
        <f t="shared" si="7"/>
        <v>0</v>
      </c>
      <c r="AE25" s="494">
        <f t="shared" si="8"/>
        <v>0</v>
      </c>
      <c r="AF25" s="494">
        <f t="shared" si="9"/>
        <v>0</v>
      </c>
      <c r="AJ25" s="107" t="s">
        <v>74</v>
      </c>
      <c r="AK25" s="100">
        <f t="shared" si="37"/>
        <v>0</v>
      </c>
      <c r="AL25" s="100">
        <f t="shared" si="38"/>
        <v>0</v>
      </c>
      <c r="AM25" s="100">
        <f t="shared" si="39"/>
        <v>0</v>
      </c>
      <c r="AN25" s="100">
        <f t="shared" si="40"/>
        <v>0</v>
      </c>
      <c r="AO25" s="111">
        <f t="shared" si="41"/>
        <v>0</v>
      </c>
      <c r="AP25" s="111">
        <f t="shared" si="42"/>
        <v>0</v>
      </c>
    </row>
    <row r="26" spans="1:59" x14ac:dyDescent="0.25">
      <c r="A26" s="104" t="str">
        <f>'G-1 All Habitats'!B25</f>
        <v>Grassland - Upland hay meadows</v>
      </c>
      <c r="B26" s="88" t="str">
        <f>'G-1 All Habitats'!F25</f>
        <v>Grassland</v>
      </c>
      <c r="C26" s="88" t="str">
        <f>'G-1 All Habitats'!K25</f>
        <v>V.High</v>
      </c>
      <c r="D26" s="88" t="str">
        <f>'G-1 All Habitats'!M25</f>
        <v>Bespoke compensation likely to be required 🛠</v>
      </c>
      <c r="E26" s="494">
        <f>IF(C26="V.High",SUMIF('A-1 Site Habitat Baseline'!$G$11:$G$258,'G-2 Habitat groups'!A26,'A-1 Site Habitat Baseline'!$S$11:$S$258)+SUMIF('A-1 Site Habitat Baseline'!$G$11:$G$258,'G-2 Habitat groups'!A26,'A-1 Site Habitat Baseline'!$T$11:$T$258),SUMIF('A-1 Site Habitat Baseline'!$G$11:$G$258,'G-2 Habitat groups'!A26,'A-1 Site Habitat Baseline'!$H$11:$H$258))</f>
        <v>0</v>
      </c>
      <c r="F26" s="494">
        <f>SUMIF('A-1 Site Habitat Baseline'!$G$11:$G$258,'G-2 Habitat groups'!A26,'A-1 Site Habitat Baseline'!$Q$11:$Q$258)</f>
        <v>0</v>
      </c>
      <c r="G26" s="494">
        <f>SUMIF('A-1 Site Habitat Baseline'!$G$11:$G$258,'G-2 Habitat groups'!A26,'A-1 Site Habitat Baseline'!$S$11:$S$258)</f>
        <v>0</v>
      </c>
      <c r="H26" s="494">
        <f>SUMIF('A-1 Site Habitat Baseline'!$G$11:$G$258,'G-2 Habitat groups'!A26,'A-1 Site Habitat Baseline'!$U$11:$U$258)</f>
        <v>0</v>
      </c>
      <c r="I26" s="494">
        <f>SUMIF('A-1 Site Habitat Baseline'!$G$11:$G$258,'G-2 Habitat groups'!A26,'A-1 Site Habitat Baseline'!$W$11:$W$258)</f>
        <v>0</v>
      </c>
      <c r="J26" s="494">
        <f>SUMIF('A-1 Site Habitat Baseline'!$G$11:$G$258,'G-2 Habitat groups'!A26,'A-1 Site Habitat Baseline'!$X$11:$X$258)</f>
        <v>0</v>
      </c>
      <c r="K26" s="494">
        <f>SUMIF('A-2 Site Habitat Creation'!$F$11:$F$256,'G-2 Habitat groups'!A26,'A-2 Site Habitat Creation'!$G$11:$G$256)</f>
        <v>0</v>
      </c>
      <c r="L26" s="494">
        <f>SUMIF('A-2 Site Habitat Creation'!$F$11:$F$256,'G-2 Habitat groups'!A26,'A-2 Site Habitat Creation'!$Y$11:$Y$256)</f>
        <v>0</v>
      </c>
      <c r="M26" s="494">
        <f>SUMIF('A-3 Site Habitat Enhancement'!$S$12:$S$257,'G-2 Habitat groups'!A26,'A-3 Site Habitat Enhancement'!$V$12:$V$257)</f>
        <v>0</v>
      </c>
      <c r="N26" s="494">
        <f>SUMIF('A-3 Site Habitat Enhancement'!$S$12:$S$257,'G-2 Habitat groups'!A26,'A-3 Site Habitat Enhancement'!$AN$12:$AN$257)</f>
        <v>0</v>
      </c>
      <c r="O26" s="494">
        <f t="shared" si="0"/>
        <v>0</v>
      </c>
      <c r="P26" s="494">
        <f t="shared" si="1"/>
        <v>0</v>
      </c>
      <c r="Q26" s="494">
        <f t="shared" si="2"/>
        <v>0</v>
      </c>
      <c r="R26" s="494">
        <f t="shared" si="3"/>
        <v>0</v>
      </c>
      <c r="S26" s="494">
        <f>IF(C26="V.High",SUMIF('D-1 Off Site Habitat Baseline'!$G$11:$G$258,'G-2 Habitat groups'!A26,'D-1 Off Site Habitat Baseline'!$S$11:$S$258)+SUMIF('D-1 Off Site Habitat Baseline'!$G$11:$G$258,'G-2 Habitat groups'!A26,'D-1 Off Site Habitat Baseline'!$T$11:$T$258),SUMIF('D-1 Off Site Habitat Baseline'!$G$11:$G$258,'G-2 Habitat groups'!A26,'D-1 Off Site Habitat Baseline'!$H$11:$H$258))</f>
        <v>0</v>
      </c>
      <c r="T26" s="494">
        <f>SUMIF('D-1 Off Site Habitat Baseline'!$G$11:$G$258,'G-2 Habitat groups'!A26,'D-1 Off Site Habitat Baseline'!$Q$11:$Q$258)</f>
        <v>0</v>
      </c>
      <c r="U26" s="591">
        <f>SUMIF('D-1 Off Site Habitat Baseline'!$G$11:$G$258,'G-2 Habitat groups'!A26,'D-1 Off Site Habitat Baseline'!$S$11:$S$258)</f>
        <v>0</v>
      </c>
      <c r="V26" s="494">
        <f>SUMIF('D-1 Off Site Habitat Baseline'!$G$11:$G$258,'G-2 Habitat groups'!A26,'D-1 Off Site Habitat Baseline'!$U$11:$U$258)</f>
        <v>0</v>
      </c>
      <c r="W26" s="494">
        <f>SUMIF('D-2 Off Site Habitat Creation'!$F$9:$F$255,'G-2 Habitat groups'!A26,'D-2 Off Site Habitat Creation'!$G$9:$G$255)</f>
        <v>0</v>
      </c>
      <c r="X26" s="494">
        <f>SUMIF('D-2 Off Site Habitat Creation'!$F$9:$F$255,'G-2 Habitat groups'!A26,'D-2 Off Site Habitat Creation'!$AA$9:$AA$255)</f>
        <v>0</v>
      </c>
      <c r="Y26" s="494">
        <f>SUMIF('D-3 Off Site Habitat Enhancment'!$S$12:$S$491,'G-2 Habitat groups'!A26,'D-3 Off Site Habitat Enhancment'!$V$12:$V$491)</f>
        <v>0</v>
      </c>
      <c r="Z26" s="494">
        <f>SUMIF('D-3 Off Site Habitat Enhancment'!$S$12:$S$491,'G-2 Habitat groups'!A26,'D-3 Off Site Habitat Enhancment'!$AP$12:$AP$491)</f>
        <v>0</v>
      </c>
      <c r="AA26" s="494">
        <f t="shared" si="4"/>
        <v>0</v>
      </c>
      <c r="AB26" s="494">
        <f t="shared" si="5"/>
        <v>0</v>
      </c>
      <c r="AC26" s="494">
        <f t="shared" si="6"/>
        <v>0</v>
      </c>
      <c r="AD26" s="494">
        <f t="shared" si="7"/>
        <v>0</v>
      </c>
      <c r="AE26" s="494">
        <f t="shared" si="8"/>
        <v>0</v>
      </c>
      <c r="AF26" s="494">
        <f t="shared" si="9"/>
        <v>0</v>
      </c>
      <c r="AJ26" s="107" t="s">
        <v>75</v>
      </c>
      <c r="AK26" s="100">
        <f t="shared" si="37"/>
        <v>0</v>
      </c>
      <c r="AL26" s="100">
        <f t="shared" si="38"/>
        <v>0</v>
      </c>
      <c r="AM26" s="100">
        <f t="shared" si="39"/>
        <v>0</v>
      </c>
      <c r="AN26" s="100">
        <f t="shared" si="40"/>
        <v>0</v>
      </c>
      <c r="AO26" s="111">
        <f t="shared" si="41"/>
        <v>0</v>
      </c>
      <c r="AP26" s="111">
        <f t="shared" si="42"/>
        <v>0</v>
      </c>
    </row>
    <row r="27" spans="1:59" ht="15.6" customHeight="1" x14ac:dyDescent="0.25">
      <c r="A27" s="104" t="str">
        <f>'G-1 All Habitats'!B26</f>
        <v>Heathland and shrub - Blackthorn scrub</v>
      </c>
      <c r="B27" s="88" t="str">
        <f>'G-1 All Habitats'!F26</f>
        <v>Heathland and shrub</v>
      </c>
      <c r="C27" s="88" t="str">
        <f>'G-1 All Habitats'!K26</f>
        <v>Medium</v>
      </c>
      <c r="D27" s="88" t="str">
        <f>'G-1 All Habitats'!M26</f>
        <v>Same broad habitat or a higher distinctiveness habitat required (≥)</v>
      </c>
      <c r="E27" s="494">
        <f>IF(C27="V.High",SUMIF('A-1 Site Habitat Baseline'!$G$11:$G$258,'G-2 Habitat groups'!A27,'A-1 Site Habitat Baseline'!$S$11:$S$258)+SUMIF('A-1 Site Habitat Baseline'!$G$11:$G$258,'G-2 Habitat groups'!A27,'A-1 Site Habitat Baseline'!$T$11:$T$258),SUMIF('A-1 Site Habitat Baseline'!$G$11:$G$258,'G-2 Habitat groups'!A27,'A-1 Site Habitat Baseline'!$H$11:$H$258))</f>
        <v>0</v>
      </c>
      <c r="F27" s="494">
        <f>SUMIF('A-1 Site Habitat Baseline'!$G$11:$G$258,'G-2 Habitat groups'!A27,'A-1 Site Habitat Baseline'!$Q$11:$Q$258)</f>
        <v>0</v>
      </c>
      <c r="G27" s="494">
        <f>SUMIF('A-1 Site Habitat Baseline'!$G$11:$G$258,'G-2 Habitat groups'!A27,'A-1 Site Habitat Baseline'!$S$11:$S$258)</f>
        <v>0</v>
      </c>
      <c r="H27" s="494">
        <f>SUMIF('A-1 Site Habitat Baseline'!$G$11:$G$258,'G-2 Habitat groups'!A27,'A-1 Site Habitat Baseline'!$U$11:$U$258)</f>
        <v>0</v>
      </c>
      <c r="I27" s="494">
        <f>SUMIF('A-1 Site Habitat Baseline'!$G$11:$G$258,'G-2 Habitat groups'!A27,'A-1 Site Habitat Baseline'!$W$11:$W$258)</f>
        <v>0</v>
      </c>
      <c r="J27" s="494">
        <f>SUMIF('A-1 Site Habitat Baseline'!$G$11:$G$258,'G-2 Habitat groups'!A27,'A-1 Site Habitat Baseline'!$X$11:$X$258)</f>
        <v>0</v>
      </c>
      <c r="K27" s="494">
        <f>SUMIF('A-2 Site Habitat Creation'!$F$11:$F$256,'G-2 Habitat groups'!A27,'A-2 Site Habitat Creation'!$G$11:$G$256)</f>
        <v>0</v>
      </c>
      <c r="L27" s="494">
        <f>SUMIF('A-2 Site Habitat Creation'!$F$11:$F$256,'G-2 Habitat groups'!A27,'A-2 Site Habitat Creation'!$Y$11:$Y$256)</f>
        <v>0</v>
      </c>
      <c r="M27" s="494">
        <f>SUMIF('A-3 Site Habitat Enhancement'!$S$12:$S$257,'G-2 Habitat groups'!A27,'A-3 Site Habitat Enhancement'!$V$12:$V$257)</f>
        <v>0</v>
      </c>
      <c r="N27" s="494">
        <f>SUMIF('A-3 Site Habitat Enhancement'!$S$12:$S$257,'G-2 Habitat groups'!A27,'A-3 Site Habitat Enhancement'!$AN$12:$AN$257)</f>
        <v>0</v>
      </c>
      <c r="O27" s="494">
        <f t="shared" si="0"/>
        <v>0</v>
      </c>
      <c r="P27" s="494">
        <f t="shared" si="1"/>
        <v>0</v>
      </c>
      <c r="Q27" s="494">
        <f t="shared" si="2"/>
        <v>0</v>
      </c>
      <c r="R27" s="494">
        <f t="shared" si="3"/>
        <v>0</v>
      </c>
      <c r="S27" s="494">
        <f>IF(C27="V.High",SUMIF('D-1 Off Site Habitat Baseline'!$G$11:$G$258,'G-2 Habitat groups'!A27,'D-1 Off Site Habitat Baseline'!$S$11:$S$258)+SUMIF('D-1 Off Site Habitat Baseline'!$G$11:$G$258,'G-2 Habitat groups'!A27,'D-1 Off Site Habitat Baseline'!$T$11:$T$258),SUMIF('D-1 Off Site Habitat Baseline'!$G$11:$G$258,'G-2 Habitat groups'!A27,'D-1 Off Site Habitat Baseline'!$H$11:$H$258))</f>
        <v>0</v>
      </c>
      <c r="T27" s="494">
        <f>SUMIF('D-1 Off Site Habitat Baseline'!$G$11:$G$258,'G-2 Habitat groups'!A27,'D-1 Off Site Habitat Baseline'!$Q$11:$Q$258)</f>
        <v>0</v>
      </c>
      <c r="U27" s="591">
        <f>SUMIF('D-1 Off Site Habitat Baseline'!$G$11:$G$258,'G-2 Habitat groups'!A27,'D-1 Off Site Habitat Baseline'!$S$11:$S$258)</f>
        <v>0</v>
      </c>
      <c r="V27" s="494">
        <f>SUMIF('D-1 Off Site Habitat Baseline'!$G$11:$G$258,'G-2 Habitat groups'!A27,'D-1 Off Site Habitat Baseline'!$U$11:$U$258)</f>
        <v>0</v>
      </c>
      <c r="W27" s="494">
        <f>SUMIF('D-2 Off Site Habitat Creation'!$F$9:$F$255,'G-2 Habitat groups'!A27,'D-2 Off Site Habitat Creation'!$G$9:$G$255)</f>
        <v>0</v>
      </c>
      <c r="X27" s="494">
        <f>SUMIF('D-2 Off Site Habitat Creation'!$F$9:$F$255,'G-2 Habitat groups'!A27,'D-2 Off Site Habitat Creation'!$AA$9:$AA$255)</f>
        <v>0</v>
      </c>
      <c r="Y27" s="494">
        <f>SUMIF('D-3 Off Site Habitat Enhancment'!$S$12:$S$491,'G-2 Habitat groups'!A27,'D-3 Off Site Habitat Enhancment'!$V$12:$V$491)</f>
        <v>0</v>
      </c>
      <c r="Z27" s="494">
        <f>SUMIF('D-3 Off Site Habitat Enhancment'!$S$12:$S$491,'G-2 Habitat groups'!A27,'D-3 Off Site Habitat Enhancment'!$AP$12:$AP$491)</f>
        <v>0</v>
      </c>
      <c r="AA27" s="494">
        <f t="shared" si="4"/>
        <v>0</v>
      </c>
      <c r="AB27" s="494">
        <f t="shared" si="5"/>
        <v>0</v>
      </c>
      <c r="AC27" s="494">
        <f t="shared" si="6"/>
        <v>0</v>
      </c>
      <c r="AD27" s="494">
        <f t="shared" si="7"/>
        <v>0</v>
      </c>
      <c r="AE27" s="494">
        <f t="shared" si="8"/>
        <v>0</v>
      </c>
      <c r="AF27" s="494">
        <f t="shared" si="9"/>
        <v>0</v>
      </c>
      <c r="AJ27" s="109" t="s">
        <v>76</v>
      </c>
      <c r="AK27" s="100">
        <f t="shared" si="37"/>
        <v>0</v>
      </c>
      <c r="AL27" s="100">
        <f t="shared" si="38"/>
        <v>0</v>
      </c>
      <c r="AM27" s="100">
        <f t="shared" si="39"/>
        <v>0</v>
      </c>
      <c r="AN27" s="100">
        <f t="shared" si="40"/>
        <v>0</v>
      </c>
      <c r="AO27" s="111">
        <f t="shared" si="41"/>
        <v>0</v>
      </c>
      <c r="AP27" s="111">
        <f t="shared" si="42"/>
        <v>0</v>
      </c>
      <c r="AU27" s="1041" t="s">
        <v>153</v>
      </c>
    </row>
    <row r="28" spans="1:59" ht="15.6" customHeight="1" x14ac:dyDescent="0.25">
      <c r="A28" s="104" t="str">
        <f>'G-1 All Habitats'!B27</f>
        <v>Heathland and shrub - Bramble scrub</v>
      </c>
      <c r="B28" s="88" t="str">
        <f>'G-1 All Habitats'!F27</f>
        <v>Heathland and shrub</v>
      </c>
      <c r="C28" s="88" t="str">
        <f>'G-1 All Habitats'!K27</f>
        <v>Medium</v>
      </c>
      <c r="D28" s="88" t="str">
        <f>'G-1 All Habitats'!M27</f>
        <v>Same broad habitat or a higher distinctiveness habitat required (≥)</v>
      </c>
      <c r="E28" s="494">
        <f>IF(C28="V.High",SUMIF('A-1 Site Habitat Baseline'!$G$11:$G$258,'G-2 Habitat groups'!A28,'A-1 Site Habitat Baseline'!$S$11:$S$258)+SUMIF('A-1 Site Habitat Baseline'!$G$11:$G$258,'G-2 Habitat groups'!A28,'A-1 Site Habitat Baseline'!$T$11:$T$258),SUMIF('A-1 Site Habitat Baseline'!$G$11:$G$258,'G-2 Habitat groups'!A28,'A-1 Site Habitat Baseline'!$H$11:$H$258))</f>
        <v>0</v>
      </c>
      <c r="F28" s="494">
        <f>SUMIF('A-1 Site Habitat Baseline'!$G$11:$G$258,'G-2 Habitat groups'!A28,'A-1 Site Habitat Baseline'!$Q$11:$Q$258)</f>
        <v>0</v>
      </c>
      <c r="G28" s="494">
        <f>SUMIF('A-1 Site Habitat Baseline'!$G$11:$G$258,'G-2 Habitat groups'!A28,'A-1 Site Habitat Baseline'!$S$11:$S$258)</f>
        <v>0</v>
      </c>
      <c r="H28" s="494">
        <f>SUMIF('A-1 Site Habitat Baseline'!$G$11:$G$258,'G-2 Habitat groups'!A28,'A-1 Site Habitat Baseline'!$U$11:$U$258)</f>
        <v>0</v>
      </c>
      <c r="I28" s="494">
        <f>SUMIF('A-1 Site Habitat Baseline'!$G$11:$G$258,'G-2 Habitat groups'!A28,'A-1 Site Habitat Baseline'!$W$11:$W$258)</f>
        <v>0</v>
      </c>
      <c r="J28" s="494">
        <f>SUMIF('A-1 Site Habitat Baseline'!$G$11:$G$258,'G-2 Habitat groups'!A28,'A-1 Site Habitat Baseline'!$X$11:$X$258)</f>
        <v>0</v>
      </c>
      <c r="K28" s="494">
        <f>SUMIF('A-2 Site Habitat Creation'!$F$11:$F$256,'G-2 Habitat groups'!A28,'A-2 Site Habitat Creation'!$G$11:$G$256)</f>
        <v>0</v>
      </c>
      <c r="L28" s="494">
        <f>SUMIF('A-2 Site Habitat Creation'!$F$11:$F$256,'G-2 Habitat groups'!A28,'A-2 Site Habitat Creation'!$Y$11:$Y$256)</f>
        <v>0</v>
      </c>
      <c r="M28" s="494">
        <f>SUMIF('A-3 Site Habitat Enhancement'!$S$12:$S$257,'G-2 Habitat groups'!A28,'A-3 Site Habitat Enhancement'!$V$12:$V$257)</f>
        <v>0</v>
      </c>
      <c r="N28" s="494">
        <f>SUMIF('A-3 Site Habitat Enhancement'!$S$12:$S$257,'G-2 Habitat groups'!A28,'A-3 Site Habitat Enhancement'!$AN$12:$AN$257)</f>
        <v>0</v>
      </c>
      <c r="O28" s="494">
        <f t="shared" si="0"/>
        <v>0</v>
      </c>
      <c r="P28" s="494">
        <f t="shared" si="1"/>
        <v>0</v>
      </c>
      <c r="Q28" s="494">
        <f t="shared" si="2"/>
        <v>0</v>
      </c>
      <c r="R28" s="494">
        <f t="shared" si="3"/>
        <v>0</v>
      </c>
      <c r="S28" s="494">
        <f>IF(C28="V.High",SUMIF('D-1 Off Site Habitat Baseline'!$G$11:$G$258,'G-2 Habitat groups'!A28,'D-1 Off Site Habitat Baseline'!$S$11:$S$258)+SUMIF('D-1 Off Site Habitat Baseline'!$G$11:$G$258,'G-2 Habitat groups'!A28,'D-1 Off Site Habitat Baseline'!$T$11:$T$258),SUMIF('D-1 Off Site Habitat Baseline'!$G$11:$G$258,'G-2 Habitat groups'!A28,'D-1 Off Site Habitat Baseline'!$H$11:$H$258))</f>
        <v>0</v>
      </c>
      <c r="T28" s="494">
        <f>SUMIF('D-1 Off Site Habitat Baseline'!$G$11:$G$258,'G-2 Habitat groups'!A28,'D-1 Off Site Habitat Baseline'!$Q$11:$Q$258)</f>
        <v>0</v>
      </c>
      <c r="U28" s="591">
        <f>SUMIF('D-1 Off Site Habitat Baseline'!$G$11:$G$258,'G-2 Habitat groups'!A28,'D-1 Off Site Habitat Baseline'!$S$11:$S$258)</f>
        <v>0</v>
      </c>
      <c r="V28" s="494">
        <f>SUMIF('D-1 Off Site Habitat Baseline'!$G$11:$G$258,'G-2 Habitat groups'!A28,'D-1 Off Site Habitat Baseline'!$U$11:$U$258)</f>
        <v>0</v>
      </c>
      <c r="W28" s="494">
        <f>SUMIF('D-2 Off Site Habitat Creation'!$F$9:$F$255,'G-2 Habitat groups'!A28,'D-2 Off Site Habitat Creation'!$G$9:$G$255)</f>
        <v>0</v>
      </c>
      <c r="X28" s="494">
        <f>SUMIF('D-2 Off Site Habitat Creation'!$F$9:$F$255,'G-2 Habitat groups'!A28,'D-2 Off Site Habitat Creation'!$AA$9:$AA$255)</f>
        <v>0</v>
      </c>
      <c r="Y28" s="494">
        <f>SUMIF('D-3 Off Site Habitat Enhancment'!$S$12:$S$491,'G-2 Habitat groups'!A28,'D-3 Off Site Habitat Enhancment'!$V$12:$V$491)</f>
        <v>0</v>
      </c>
      <c r="Z28" s="494">
        <f>SUMIF('D-3 Off Site Habitat Enhancment'!$S$12:$S$491,'G-2 Habitat groups'!A28,'D-3 Off Site Habitat Enhancment'!$AP$12:$AP$491)</f>
        <v>0</v>
      </c>
      <c r="AA28" s="494">
        <f t="shared" si="4"/>
        <v>0</v>
      </c>
      <c r="AB28" s="494">
        <f t="shared" si="5"/>
        <v>0</v>
      </c>
      <c r="AC28" s="494">
        <f t="shared" si="6"/>
        <v>0</v>
      </c>
      <c r="AD28" s="494">
        <f t="shared" si="7"/>
        <v>0</v>
      </c>
      <c r="AE28" s="494">
        <f t="shared" si="8"/>
        <v>0</v>
      </c>
      <c r="AF28" s="494">
        <f t="shared" si="9"/>
        <v>0</v>
      </c>
      <c r="AJ28" s="109" t="s">
        <v>77</v>
      </c>
      <c r="AK28" s="100">
        <f t="shared" si="37"/>
        <v>0</v>
      </c>
      <c r="AL28" s="100">
        <f t="shared" si="38"/>
        <v>0</v>
      </c>
      <c r="AM28" s="100">
        <f t="shared" si="39"/>
        <v>0</v>
      </c>
      <c r="AN28" s="100">
        <f t="shared" si="40"/>
        <v>0</v>
      </c>
      <c r="AO28" s="111">
        <f t="shared" si="41"/>
        <v>0</v>
      </c>
      <c r="AP28" s="111">
        <f t="shared" si="42"/>
        <v>0</v>
      </c>
      <c r="AU28" s="1041"/>
      <c r="AV28" s="98"/>
      <c r="AW28" s="98"/>
      <c r="AX28" s="98"/>
      <c r="AY28" s="98"/>
      <c r="AZ28" s="98"/>
      <c r="BA28" s="98"/>
      <c r="BB28" s="98"/>
      <c r="BC28" s="98"/>
      <c r="BD28" s="98"/>
      <c r="BE28" s="98"/>
      <c r="BF28" s="98"/>
    </row>
    <row r="29" spans="1:59" ht="32.25" customHeight="1" x14ac:dyDescent="0.3">
      <c r="A29" s="104" t="str">
        <f>'G-1 All Habitats'!B28</f>
        <v>Heathland and shrub - Gorse scrub</v>
      </c>
      <c r="B29" s="88" t="str">
        <f>'G-1 All Habitats'!F28</f>
        <v>Heathland and shrub</v>
      </c>
      <c r="C29" s="88" t="str">
        <f>'G-1 All Habitats'!K28</f>
        <v>Medium</v>
      </c>
      <c r="D29" s="88" t="str">
        <f>'G-1 All Habitats'!M28</f>
        <v>Same broad habitat or a higher distinctiveness habitat required (≥)</v>
      </c>
      <c r="E29" s="494">
        <f>IF(C29="V.High",SUMIF('A-1 Site Habitat Baseline'!$G$11:$G$258,'G-2 Habitat groups'!A29,'A-1 Site Habitat Baseline'!$S$11:$S$258)+SUMIF('A-1 Site Habitat Baseline'!$G$11:$G$258,'G-2 Habitat groups'!A29,'A-1 Site Habitat Baseline'!$T$11:$T$258),SUMIF('A-1 Site Habitat Baseline'!$G$11:$G$258,'G-2 Habitat groups'!A29,'A-1 Site Habitat Baseline'!$H$11:$H$258))</f>
        <v>0</v>
      </c>
      <c r="F29" s="494">
        <f>SUMIF('A-1 Site Habitat Baseline'!$G$11:$G$258,'G-2 Habitat groups'!A29,'A-1 Site Habitat Baseline'!$Q$11:$Q$258)</f>
        <v>0</v>
      </c>
      <c r="G29" s="494">
        <f>SUMIF('A-1 Site Habitat Baseline'!$G$11:$G$258,'G-2 Habitat groups'!A29,'A-1 Site Habitat Baseline'!$S$11:$S$258)</f>
        <v>0</v>
      </c>
      <c r="H29" s="494">
        <f>SUMIF('A-1 Site Habitat Baseline'!$G$11:$G$258,'G-2 Habitat groups'!A29,'A-1 Site Habitat Baseline'!$U$11:$U$258)</f>
        <v>0</v>
      </c>
      <c r="I29" s="494">
        <f>SUMIF('A-1 Site Habitat Baseline'!$G$11:$G$258,'G-2 Habitat groups'!A29,'A-1 Site Habitat Baseline'!$W$11:$W$258)</f>
        <v>0</v>
      </c>
      <c r="J29" s="494">
        <f>SUMIF('A-1 Site Habitat Baseline'!$G$11:$G$258,'G-2 Habitat groups'!A29,'A-1 Site Habitat Baseline'!$X$11:$X$258)</f>
        <v>0</v>
      </c>
      <c r="K29" s="494">
        <f>SUMIF('A-2 Site Habitat Creation'!$F$11:$F$256,'G-2 Habitat groups'!A29,'A-2 Site Habitat Creation'!$G$11:$G$256)</f>
        <v>0</v>
      </c>
      <c r="L29" s="494">
        <f>SUMIF('A-2 Site Habitat Creation'!$F$11:$F$256,'G-2 Habitat groups'!A29,'A-2 Site Habitat Creation'!$Y$11:$Y$256)</f>
        <v>0</v>
      </c>
      <c r="M29" s="494">
        <f>SUMIF('A-3 Site Habitat Enhancement'!$S$12:$S$257,'G-2 Habitat groups'!A29,'A-3 Site Habitat Enhancement'!$V$12:$V$257)</f>
        <v>0</v>
      </c>
      <c r="N29" s="494">
        <f>SUMIF('A-3 Site Habitat Enhancement'!$S$12:$S$257,'G-2 Habitat groups'!A29,'A-3 Site Habitat Enhancement'!$AN$12:$AN$257)</f>
        <v>0</v>
      </c>
      <c r="O29" s="494">
        <f t="shared" si="0"/>
        <v>0</v>
      </c>
      <c r="P29" s="494">
        <f t="shared" si="1"/>
        <v>0</v>
      </c>
      <c r="Q29" s="494">
        <f t="shared" si="2"/>
        <v>0</v>
      </c>
      <c r="R29" s="494">
        <f t="shared" si="3"/>
        <v>0</v>
      </c>
      <c r="S29" s="494">
        <f>IF(C29="V.High",SUMIF('D-1 Off Site Habitat Baseline'!$G$11:$G$258,'G-2 Habitat groups'!A29,'D-1 Off Site Habitat Baseline'!$S$11:$S$258)+SUMIF('D-1 Off Site Habitat Baseline'!$G$11:$G$258,'G-2 Habitat groups'!A29,'D-1 Off Site Habitat Baseline'!$T$11:$T$258),SUMIF('D-1 Off Site Habitat Baseline'!$G$11:$G$258,'G-2 Habitat groups'!A29,'D-1 Off Site Habitat Baseline'!$H$11:$H$258))</f>
        <v>0</v>
      </c>
      <c r="T29" s="494">
        <f>SUMIF('D-1 Off Site Habitat Baseline'!$G$11:$G$258,'G-2 Habitat groups'!A29,'D-1 Off Site Habitat Baseline'!$Q$11:$Q$258)</f>
        <v>0</v>
      </c>
      <c r="U29" s="591">
        <f>SUMIF('D-1 Off Site Habitat Baseline'!$G$11:$G$258,'G-2 Habitat groups'!A29,'D-1 Off Site Habitat Baseline'!$S$11:$S$258)</f>
        <v>0</v>
      </c>
      <c r="V29" s="494">
        <f>SUMIF('D-1 Off Site Habitat Baseline'!$G$11:$G$258,'G-2 Habitat groups'!A29,'D-1 Off Site Habitat Baseline'!$U$11:$U$258)</f>
        <v>0</v>
      </c>
      <c r="W29" s="494">
        <f>SUMIF('D-2 Off Site Habitat Creation'!$F$9:$F$255,'G-2 Habitat groups'!A29,'D-2 Off Site Habitat Creation'!$G$9:$G$255)</f>
        <v>0</v>
      </c>
      <c r="X29" s="494">
        <f>SUMIF('D-2 Off Site Habitat Creation'!$F$9:$F$255,'G-2 Habitat groups'!A29,'D-2 Off Site Habitat Creation'!$AA$9:$AA$255)</f>
        <v>0</v>
      </c>
      <c r="Y29" s="494">
        <f>SUMIF('D-3 Off Site Habitat Enhancment'!$S$12:$S$491,'G-2 Habitat groups'!A29,'D-3 Off Site Habitat Enhancment'!$V$12:$V$491)</f>
        <v>0</v>
      </c>
      <c r="Z29" s="494">
        <f>SUMIF('D-3 Off Site Habitat Enhancment'!$S$12:$S$491,'G-2 Habitat groups'!A29,'D-3 Off Site Habitat Enhancment'!$AP$12:$AP$491)</f>
        <v>0</v>
      </c>
      <c r="AA29" s="494">
        <f t="shared" si="4"/>
        <v>0</v>
      </c>
      <c r="AB29" s="494">
        <f t="shared" si="5"/>
        <v>0</v>
      </c>
      <c r="AC29" s="494">
        <f t="shared" si="6"/>
        <v>0</v>
      </c>
      <c r="AD29" s="494">
        <f t="shared" si="7"/>
        <v>0</v>
      </c>
      <c r="AE29" s="494">
        <f t="shared" si="8"/>
        <v>0</v>
      </c>
      <c r="AF29" s="494">
        <f t="shared" si="9"/>
        <v>0</v>
      </c>
      <c r="AJ29" s="109" t="s">
        <v>78</v>
      </c>
      <c r="AK29" s="112">
        <f t="shared" si="37"/>
        <v>0</v>
      </c>
      <c r="AL29" s="112">
        <f t="shared" si="38"/>
        <v>0</v>
      </c>
      <c r="AM29" s="112">
        <f t="shared" si="39"/>
        <v>0</v>
      </c>
      <c r="AN29" s="112">
        <f t="shared" si="40"/>
        <v>0</v>
      </c>
      <c r="AO29" s="111">
        <f t="shared" si="41"/>
        <v>0</v>
      </c>
      <c r="AP29" s="111">
        <f t="shared" si="42"/>
        <v>0</v>
      </c>
      <c r="AU29" s="123" t="s">
        <v>173</v>
      </c>
      <c r="AV29" s="127" t="s">
        <v>160</v>
      </c>
      <c r="AW29" s="127" t="s">
        <v>851</v>
      </c>
      <c r="AX29" s="127" t="s">
        <v>856</v>
      </c>
      <c r="AY29" s="127" t="s">
        <v>853</v>
      </c>
      <c r="AZ29" s="127" t="s">
        <v>854</v>
      </c>
      <c r="BA29" s="127" t="s">
        <v>855</v>
      </c>
      <c r="BB29" s="127" t="s">
        <v>161</v>
      </c>
      <c r="BC29" s="127" t="s">
        <v>857</v>
      </c>
      <c r="BD29" s="127" t="s">
        <v>858</v>
      </c>
      <c r="BE29" s="127" t="s">
        <v>859</v>
      </c>
      <c r="BF29" s="127" t="s">
        <v>860</v>
      </c>
    </row>
    <row r="30" spans="1:59" x14ac:dyDescent="0.25">
      <c r="A30" s="104" t="str">
        <f>'G-1 All Habitats'!B29</f>
        <v>Heathland and shrub - Hawthorn scrub</v>
      </c>
      <c r="B30" s="88" t="str">
        <f>'G-1 All Habitats'!F29</f>
        <v>Heathland and shrub</v>
      </c>
      <c r="C30" s="88" t="str">
        <f>'G-1 All Habitats'!K29</f>
        <v>Medium</v>
      </c>
      <c r="D30" s="88" t="str">
        <f>'G-1 All Habitats'!M29</f>
        <v>Same broad habitat or a higher distinctiveness habitat required (≥)</v>
      </c>
      <c r="E30" s="494">
        <f>IF(C30="V.High",SUMIF('A-1 Site Habitat Baseline'!$G$11:$G$258,'G-2 Habitat groups'!A30,'A-1 Site Habitat Baseline'!$S$11:$S$258)+SUMIF('A-1 Site Habitat Baseline'!$G$11:$G$258,'G-2 Habitat groups'!A30,'A-1 Site Habitat Baseline'!$T$11:$T$258),SUMIF('A-1 Site Habitat Baseline'!$G$11:$G$258,'G-2 Habitat groups'!A30,'A-1 Site Habitat Baseline'!$H$11:$H$258))</f>
        <v>0</v>
      </c>
      <c r="F30" s="494">
        <f>SUMIF('A-1 Site Habitat Baseline'!$G$11:$G$258,'G-2 Habitat groups'!A30,'A-1 Site Habitat Baseline'!$Q$11:$Q$258)</f>
        <v>0</v>
      </c>
      <c r="G30" s="494">
        <f>SUMIF('A-1 Site Habitat Baseline'!$G$11:$G$258,'G-2 Habitat groups'!A30,'A-1 Site Habitat Baseline'!$S$11:$S$258)</f>
        <v>0</v>
      </c>
      <c r="H30" s="494">
        <f>SUMIF('A-1 Site Habitat Baseline'!$G$11:$G$258,'G-2 Habitat groups'!A30,'A-1 Site Habitat Baseline'!$U$11:$U$258)</f>
        <v>0</v>
      </c>
      <c r="I30" s="494">
        <f>SUMIF('A-1 Site Habitat Baseline'!$G$11:$G$258,'G-2 Habitat groups'!A30,'A-1 Site Habitat Baseline'!$W$11:$W$258)</f>
        <v>0</v>
      </c>
      <c r="J30" s="494">
        <f>SUMIF('A-1 Site Habitat Baseline'!$G$11:$G$258,'G-2 Habitat groups'!A30,'A-1 Site Habitat Baseline'!$X$11:$X$258)</f>
        <v>0</v>
      </c>
      <c r="K30" s="494">
        <f>SUMIF('A-2 Site Habitat Creation'!$F$11:$F$256,'G-2 Habitat groups'!A30,'A-2 Site Habitat Creation'!$G$11:$G$256)</f>
        <v>0</v>
      </c>
      <c r="L30" s="494">
        <f>SUMIF('A-2 Site Habitat Creation'!$F$11:$F$256,'G-2 Habitat groups'!A30,'A-2 Site Habitat Creation'!$Y$11:$Y$256)</f>
        <v>0</v>
      </c>
      <c r="M30" s="494">
        <f>SUMIF('A-3 Site Habitat Enhancement'!$S$12:$S$257,'G-2 Habitat groups'!A30,'A-3 Site Habitat Enhancement'!$V$12:$V$257)</f>
        <v>0</v>
      </c>
      <c r="N30" s="494">
        <f>SUMIF('A-3 Site Habitat Enhancement'!$S$12:$S$257,'G-2 Habitat groups'!A30,'A-3 Site Habitat Enhancement'!$AN$12:$AN$257)</f>
        <v>0</v>
      </c>
      <c r="O30" s="494">
        <f t="shared" si="0"/>
        <v>0</v>
      </c>
      <c r="P30" s="494">
        <f t="shared" si="1"/>
        <v>0</v>
      </c>
      <c r="Q30" s="494">
        <f t="shared" si="2"/>
        <v>0</v>
      </c>
      <c r="R30" s="494">
        <f t="shared" si="3"/>
        <v>0</v>
      </c>
      <c r="S30" s="494">
        <f>IF(C30="V.High",SUMIF('D-1 Off Site Habitat Baseline'!$G$11:$G$258,'G-2 Habitat groups'!A30,'D-1 Off Site Habitat Baseline'!$S$11:$S$258)+SUMIF('D-1 Off Site Habitat Baseline'!$G$11:$G$258,'G-2 Habitat groups'!A30,'D-1 Off Site Habitat Baseline'!$T$11:$T$258),SUMIF('D-1 Off Site Habitat Baseline'!$G$11:$G$258,'G-2 Habitat groups'!A30,'D-1 Off Site Habitat Baseline'!$H$11:$H$258))</f>
        <v>0</v>
      </c>
      <c r="T30" s="494">
        <f>SUMIF('D-1 Off Site Habitat Baseline'!$G$11:$G$258,'G-2 Habitat groups'!A30,'D-1 Off Site Habitat Baseline'!$Q$11:$Q$258)</f>
        <v>0</v>
      </c>
      <c r="U30" s="591">
        <f>SUMIF('D-1 Off Site Habitat Baseline'!$G$11:$G$258,'G-2 Habitat groups'!A30,'D-1 Off Site Habitat Baseline'!$S$11:$S$258)</f>
        <v>0</v>
      </c>
      <c r="V30" s="494">
        <f>SUMIF('D-1 Off Site Habitat Baseline'!$G$11:$G$258,'G-2 Habitat groups'!A30,'D-1 Off Site Habitat Baseline'!$U$11:$U$258)</f>
        <v>0</v>
      </c>
      <c r="W30" s="494">
        <f>SUMIF('D-2 Off Site Habitat Creation'!$F$9:$F$255,'G-2 Habitat groups'!A30,'D-2 Off Site Habitat Creation'!$G$9:$G$255)</f>
        <v>0</v>
      </c>
      <c r="X30" s="494">
        <f>SUMIF('D-2 Off Site Habitat Creation'!$F$9:$F$255,'G-2 Habitat groups'!A30,'D-2 Off Site Habitat Creation'!$AA$9:$AA$255)</f>
        <v>0</v>
      </c>
      <c r="Y30" s="494">
        <f>SUMIF('D-3 Off Site Habitat Enhancment'!$S$12:$S$491,'G-2 Habitat groups'!A30,'D-3 Off Site Habitat Enhancment'!$V$12:$V$491)</f>
        <v>0</v>
      </c>
      <c r="Z30" s="494">
        <f>SUMIF('D-3 Off Site Habitat Enhancment'!$S$12:$S$491,'G-2 Habitat groups'!A30,'D-3 Off Site Habitat Enhancment'!$AP$12:$AP$491)</f>
        <v>0</v>
      </c>
      <c r="AA30" s="494">
        <f t="shared" si="4"/>
        <v>0</v>
      </c>
      <c r="AB30" s="494">
        <f t="shared" si="5"/>
        <v>0</v>
      </c>
      <c r="AC30" s="494">
        <f t="shared" si="6"/>
        <v>0</v>
      </c>
      <c r="AD30" s="494">
        <f t="shared" si="7"/>
        <v>0</v>
      </c>
      <c r="AE30" s="494">
        <f t="shared" si="8"/>
        <v>0</v>
      </c>
      <c r="AF30" s="494">
        <f t="shared" si="9"/>
        <v>0</v>
      </c>
      <c r="AJ30" s="109" t="s">
        <v>79</v>
      </c>
      <c r="AK30" s="112">
        <f t="shared" si="37"/>
        <v>0</v>
      </c>
      <c r="AL30" s="112">
        <f t="shared" si="38"/>
        <v>0</v>
      </c>
      <c r="AM30" s="112">
        <f t="shared" si="39"/>
        <v>0</v>
      </c>
      <c r="AN30" s="112">
        <f t="shared" si="40"/>
        <v>0</v>
      </c>
      <c r="AO30" s="111">
        <f t="shared" si="41"/>
        <v>0</v>
      </c>
      <c r="AP30" s="111">
        <f t="shared" si="42"/>
        <v>0</v>
      </c>
      <c r="AU30" s="113" t="s">
        <v>421</v>
      </c>
      <c r="AV30" s="88" t="s">
        <v>70</v>
      </c>
      <c r="AW30" s="494">
        <f t="shared" ref="AW30:AW70" si="43">VLOOKUP($AU30,AllHabsSummaryData,5,FALSE)</f>
        <v>0</v>
      </c>
      <c r="AX30" s="494">
        <f t="shared" ref="AX30:AX70" si="44">VLOOKUP($AU30,AllHabsSummaryData,10,FALSE)</f>
        <v>0</v>
      </c>
      <c r="AY30" s="494">
        <f t="shared" ref="AY30:AY70" si="45">VLOOKUP($AU30,AllHabsSummaryData,15,FALSE)</f>
        <v>0</v>
      </c>
      <c r="AZ30" s="494">
        <f t="shared" ref="AZ30:AZ70" si="46">VLOOKUP($AU30,AllHabsSummaryData,16,FALSE)</f>
        <v>0</v>
      </c>
      <c r="BA30" s="494">
        <f t="shared" ref="BA30:BA70" si="47">VLOOKUP($AU30,AllHabsSummaryData,17,FALSE)</f>
        <v>0</v>
      </c>
      <c r="BB30" s="494">
        <f t="shared" ref="BB30:BB70" si="48">VLOOKUP($AU30,AllHabsSummaryData,18,FALSE)</f>
        <v>0</v>
      </c>
      <c r="BC30" s="494">
        <f t="shared" ref="BC30:BC70" si="49">VLOOKUP($AU30,AllHabsSummaryData,27,FALSE)</f>
        <v>0</v>
      </c>
      <c r="BD30" s="494">
        <f t="shared" ref="BD30:BD70" si="50">VLOOKUP($AU30,AllHabsSummaryData,30,FALSE)</f>
        <v>0</v>
      </c>
      <c r="BE30" s="494">
        <f t="shared" ref="BE30:BE70" si="51">BB30+BD30</f>
        <v>0</v>
      </c>
      <c r="BF30" s="494" t="str">
        <f t="shared" ref="BF30:BF70" si="52">IF(BE30&lt;0,BE30,"")</f>
        <v/>
      </c>
    </row>
    <row r="31" spans="1:59" x14ac:dyDescent="0.25">
      <c r="A31" s="104" t="str">
        <f>'G-1 All Habitats'!B30</f>
        <v>Heathland and shrub - Hazel scrub</v>
      </c>
      <c r="B31" s="88" t="str">
        <f>'G-1 All Habitats'!F30</f>
        <v>Heathland and shrub</v>
      </c>
      <c r="C31" s="88" t="str">
        <f>'G-1 All Habitats'!K30</f>
        <v>Medium</v>
      </c>
      <c r="D31" s="88" t="str">
        <f>'G-1 All Habitats'!M30</f>
        <v>Same broad habitat or a higher distinctiveness habitat required (≥)</v>
      </c>
      <c r="E31" s="494">
        <f>IF(C31="V.High",SUMIF('A-1 Site Habitat Baseline'!$G$11:$G$258,'G-2 Habitat groups'!A31,'A-1 Site Habitat Baseline'!$S$11:$S$258)+SUMIF('A-1 Site Habitat Baseline'!$G$11:$G$258,'G-2 Habitat groups'!A31,'A-1 Site Habitat Baseline'!$T$11:$T$258),SUMIF('A-1 Site Habitat Baseline'!$G$11:$G$258,'G-2 Habitat groups'!A31,'A-1 Site Habitat Baseline'!$H$11:$H$258))</f>
        <v>0</v>
      </c>
      <c r="F31" s="494">
        <f>SUMIF('A-1 Site Habitat Baseline'!$G$11:$G$258,'G-2 Habitat groups'!A31,'A-1 Site Habitat Baseline'!$Q$11:$Q$258)</f>
        <v>0</v>
      </c>
      <c r="G31" s="494">
        <f>SUMIF('A-1 Site Habitat Baseline'!$G$11:$G$258,'G-2 Habitat groups'!A31,'A-1 Site Habitat Baseline'!$S$11:$S$258)</f>
        <v>0</v>
      </c>
      <c r="H31" s="494">
        <f>SUMIF('A-1 Site Habitat Baseline'!$G$11:$G$258,'G-2 Habitat groups'!A31,'A-1 Site Habitat Baseline'!$U$11:$U$258)</f>
        <v>0</v>
      </c>
      <c r="I31" s="494">
        <f>SUMIF('A-1 Site Habitat Baseline'!$G$11:$G$258,'G-2 Habitat groups'!A31,'A-1 Site Habitat Baseline'!$W$11:$W$258)</f>
        <v>0</v>
      </c>
      <c r="J31" s="494">
        <f>SUMIF('A-1 Site Habitat Baseline'!$G$11:$G$258,'G-2 Habitat groups'!A31,'A-1 Site Habitat Baseline'!$X$11:$X$258)</f>
        <v>0</v>
      </c>
      <c r="K31" s="494">
        <f>SUMIF('A-2 Site Habitat Creation'!$F$11:$F$256,'G-2 Habitat groups'!A31,'A-2 Site Habitat Creation'!$G$11:$G$256)</f>
        <v>0</v>
      </c>
      <c r="L31" s="494">
        <f>SUMIF('A-2 Site Habitat Creation'!$F$11:$F$256,'G-2 Habitat groups'!A31,'A-2 Site Habitat Creation'!$Y$11:$Y$256)</f>
        <v>0</v>
      </c>
      <c r="M31" s="494">
        <f>SUMIF('A-3 Site Habitat Enhancement'!$S$12:$S$257,'G-2 Habitat groups'!A31,'A-3 Site Habitat Enhancement'!$V$12:$V$257)</f>
        <v>0</v>
      </c>
      <c r="N31" s="494">
        <f>SUMIF('A-3 Site Habitat Enhancement'!$S$12:$S$257,'G-2 Habitat groups'!A31,'A-3 Site Habitat Enhancement'!$AN$12:$AN$257)</f>
        <v>0</v>
      </c>
      <c r="O31" s="494">
        <f t="shared" si="0"/>
        <v>0</v>
      </c>
      <c r="P31" s="494">
        <f t="shared" si="1"/>
        <v>0</v>
      </c>
      <c r="Q31" s="494">
        <f t="shared" si="2"/>
        <v>0</v>
      </c>
      <c r="R31" s="494">
        <f t="shared" si="3"/>
        <v>0</v>
      </c>
      <c r="S31" s="494">
        <f>IF(C31="V.High",SUMIF('D-1 Off Site Habitat Baseline'!$G$11:$G$258,'G-2 Habitat groups'!A31,'D-1 Off Site Habitat Baseline'!$S$11:$S$258)+SUMIF('D-1 Off Site Habitat Baseline'!$G$11:$G$258,'G-2 Habitat groups'!A31,'D-1 Off Site Habitat Baseline'!$T$11:$T$258),SUMIF('D-1 Off Site Habitat Baseline'!$G$11:$G$258,'G-2 Habitat groups'!A31,'D-1 Off Site Habitat Baseline'!$H$11:$H$258))</f>
        <v>0</v>
      </c>
      <c r="T31" s="494">
        <f>SUMIF('D-1 Off Site Habitat Baseline'!$G$11:$G$258,'G-2 Habitat groups'!A31,'D-1 Off Site Habitat Baseline'!$Q$11:$Q$258)</f>
        <v>0</v>
      </c>
      <c r="U31" s="591">
        <f>SUMIF('D-1 Off Site Habitat Baseline'!$G$11:$G$258,'G-2 Habitat groups'!A31,'D-1 Off Site Habitat Baseline'!$S$11:$S$258)</f>
        <v>0</v>
      </c>
      <c r="V31" s="494">
        <f>SUMIF('D-1 Off Site Habitat Baseline'!$G$11:$G$258,'G-2 Habitat groups'!A31,'D-1 Off Site Habitat Baseline'!$U$11:$U$258)</f>
        <v>0</v>
      </c>
      <c r="W31" s="494">
        <f>SUMIF('D-2 Off Site Habitat Creation'!$F$9:$F$255,'G-2 Habitat groups'!A31,'D-2 Off Site Habitat Creation'!$G$9:$G$255)</f>
        <v>0</v>
      </c>
      <c r="X31" s="494">
        <f>SUMIF('D-2 Off Site Habitat Creation'!$F$9:$F$255,'G-2 Habitat groups'!A31,'D-2 Off Site Habitat Creation'!$AA$9:$AA$255)</f>
        <v>0</v>
      </c>
      <c r="Y31" s="494">
        <f>SUMIF('D-3 Off Site Habitat Enhancment'!$S$12:$S$491,'G-2 Habitat groups'!A31,'D-3 Off Site Habitat Enhancment'!$V$12:$V$491)</f>
        <v>0</v>
      </c>
      <c r="Z31" s="494">
        <f>SUMIF('D-3 Off Site Habitat Enhancment'!$S$12:$S$491,'G-2 Habitat groups'!A31,'D-3 Off Site Habitat Enhancment'!$AP$12:$AP$491)</f>
        <v>0</v>
      </c>
      <c r="AA31" s="494">
        <f t="shared" si="4"/>
        <v>0</v>
      </c>
      <c r="AB31" s="494">
        <f t="shared" si="5"/>
        <v>0</v>
      </c>
      <c r="AC31" s="494">
        <f t="shared" si="6"/>
        <v>0</v>
      </c>
      <c r="AD31" s="494">
        <f t="shared" si="7"/>
        <v>0</v>
      </c>
      <c r="AE31" s="494">
        <f t="shared" si="8"/>
        <v>0</v>
      </c>
      <c r="AF31" s="494">
        <f t="shared" si="9"/>
        <v>0</v>
      </c>
      <c r="AJ31" s="109" t="s">
        <v>80</v>
      </c>
      <c r="AK31" s="100">
        <f t="shared" si="37"/>
        <v>0</v>
      </c>
      <c r="AL31" s="100">
        <f t="shared" si="38"/>
        <v>0</v>
      </c>
      <c r="AM31" s="100">
        <f t="shared" si="39"/>
        <v>0</v>
      </c>
      <c r="AN31" s="100">
        <f t="shared" si="40"/>
        <v>0</v>
      </c>
      <c r="AO31" s="111">
        <f t="shared" si="41"/>
        <v>0</v>
      </c>
      <c r="AP31" s="111">
        <f t="shared" si="42"/>
        <v>0</v>
      </c>
      <c r="AU31" s="113" t="s">
        <v>429</v>
      </c>
      <c r="AV31" s="88" t="s">
        <v>70</v>
      </c>
      <c r="AW31" s="494">
        <f t="shared" si="43"/>
        <v>0</v>
      </c>
      <c r="AX31" s="494">
        <f t="shared" si="44"/>
        <v>0</v>
      </c>
      <c r="AY31" s="494">
        <f t="shared" si="45"/>
        <v>0</v>
      </c>
      <c r="AZ31" s="494">
        <f t="shared" si="46"/>
        <v>0</v>
      </c>
      <c r="BA31" s="494">
        <f t="shared" si="47"/>
        <v>0</v>
      </c>
      <c r="BB31" s="494">
        <f t="shared" si="48"/>
        <v>0</v>
      </c>
      <c r="BC31" s="494">
        <f t="shared" si="49"/>
        <v>0</v>
      </c>
      <c r="BD31" s="494">
        <f t="shared" si="50"/>
        <v>0</v>
      </c>
      <c r="BE31" s="494">
        <f t="shared" si="51"/>
        <v>0</v>
      </c>
      <c r="BF31" s="494" t="str">
        <f t="shared" si="52"/>
        <v/>
      </c>
    </row>
    <row r="32" spans="1:59" x14ac:dyDescent="0.25">
      <c r="A32" s="104" t="str">
        <f>'G-1 All Habitats'!B31</f>
        <v>Heathland and shrub - Lowland Heathland</v>
      </c>
      <c r="B32" s="88" t="str">
        <f>'G-1 All Habitats'!F31</f>
        <v>Heathland and shrub</v>
      </c>
      <c r="C32" s="88" t="str">
        <f>'G-1 All Habitats'!K31</f>
        <v>High</v>
      </c>
      <c r="D32" s="88" t="str">
        <f>'G-1 All Habitats'!M31</f>
        <v>Same habitat required =</v>
      </c>
      <c r="E32" s="494">
        <f>IF(C32="V.High",SUMIF('A-1 Site Habitat Baseline'!$G$11:$G$258,'G-2 Habitat groups'!A32,'A-1 Site Habitat Baseline'!$S$11:$S$258)+SUMIF('A-1 Site Habitat Baseline'!$G$11:$G$258,'G-2 Habitat groups'!A32,'A-1 Site Habitat Baseline'!$T$11:$T$258),SUMIF('A-1 Site Habitat Baseline'!$G$11:$G$258,'G-2 Habitat groups'!A32,'A-1 Site Habitat Baseline'!$H$11:$H$258))</f>
        <v>0</v>
      </c>
      <c r="F32" s="494">
        <f>SUMIF('A-1 Site Habitat Baseline'!$G$11:$G$258,'G-2 Habitat groups'!A32,'A-1 Site Habitat Baseline'!$Q$11:$Q$258)</f>
        <v>0</v>
      </c>
      <c r="G32" s="494">
        <f>SUMIF('A-1 Site Habitat Baseline'!$G$11:$G$258,'G-2 Habitat groups'!A32,'A-1 Site Habitat Baseline'!$S$11:$S$258)</f>
        <v>0</v>
      </c>
      <c r="H32" s="494">
        <f>SUMIF('A-1 Site Habitat Baseline'!$G$11:$G$258,'G-2 Habitat groups'!A32,'A-1 Site Habitat Baseline'!$U$11:$U$258)</f>
        <v>0</v>
      </c>
      <c r="I32" s="494">
        <f>SUMIF('A-1 Site Habitat Baseline'!$G$11:$G$258,'G-2 Habitat groups'!A32,'A-1 Site Habitat Baseline'!$W$11:$W$258)</f>
        <v>0</v>
      </c>
      <c r="J32" s="494">
        <f>SUMIF('A-1 Site Habitat Baseline'!$G$11:$G$258,'G-2 Habitat groups'!A32,'A-1 Site Habitat Baseline'!$X$11:$X$258)</f>
        <v>0</v>
      </c>
      <c r="K32" s="494">
        <f>SUMIF('A-2 Site Habitat Creation'!$F$11:$F$256,'G-2 Habitat groups'!A32,'A-2 Site Habitat Creation'!$G$11:$G$256)</f>
        <v>0</v>
      </c>
      <c r="L32" s="494">
        <f>SUMIF('A-2 Site Habitat Creation'!$F$11:$F$256,'G-2 Habitat groups'!A32,'A-2 Site Habitat Creation'!$Y$11:$Y$256)</f>
        <v>0</v>
      </c>
      <c r="M32" s="494">
        <f>SUMIF('A-3 Site Habitat Enhancement'!$S$12:$S$257,'G-2 Habitat groups'!A32,'A-3 Site Habitat Enhancement'!$V$12:$V$257)</f>
        <v>0</v>
      </c>
      <c r="N32" s="494">
        <f>SUMIF('A-3 Site Habitat Enhancement'!$S$12:$S$257,'G-2 Habitat groups'!A32,'A-3 Site Habitat Enhancement'!$AN$12:$AN$257)</f>
        <v>0</v>
      </c>
      <c r="O32" s="494">
        <f t="shared" si="0"/>
        <v>0</v>
      </c>
      <c r="P32" s="494">
        <f t="shared" si="1"/>
        <v>0</v>
      </c>
      <c r="Q32" s="494">
        <f t="shared" si="2"/>
        <v>0</v>
      </c>
      <c r="R32" s="494">
        <f t="shared" si="3"/>
        <v>0</v>
      </c>
      <c r="S32" s="494">
        <f>IF(C32="V.High",SUMIF('D-1 Off Site Habitat Baseline'!$G$11:$G$258,'G-2 Habitat groups'!A32,'D-1 Off Site Habitat Baseline'!$S$11:$S$258)+SUMIF('D-1 Off Site Habitat Baseline'!$G$11:$G$258,'G-2 Habitat groups'!A32,'D-1 Off Site Habitat Baseline'!$T$11:$T$258),SUMIF('D-1 Off Site Habitat Baseline'!$G$11:$G$258,'G-2 Habitat groups'!A32,'D-1 Off Site Habitat Baseline'!$H$11:$H$258))</f>
        <v>0</v>
      </c>
      <c r="T32" s="494">
        <f>SUMIF('D-1 Off Site Habitat Baseline'!$G$11:$G$258,'G-2 Habitat groups'!A32,'D-1 Off Site Habitat Baseline'!$Q$11:$Q$258)</f>
        <v>0</v>
      </c>
      <c r="U32" s="591">
        <f>SUMIF('D-1 Off Site Habitat Baseline'!$G$11:$G$258,'G-2 Habitat groups'!A32,'D-1 Off Site Habitat Baseline'!$S$11:$S$258)</f>
        <v>0</v>
      </c>
      <c r="V32" s="494">
        <f>SUMIF('D-1 Off Site Habitat Baseline'!$G$11:$G$258,'G-2 Habitat groups'!A32,'D-1 Off Site Habitat Baseline'!$U$11:$U$258)</f>
        <v>0</v>
      </c>
      <c r="W32" s="494">
        <f>SUMIF('D-2 Off Site Habitat Creation'!$F$9:$F$255,'G-2 Habitat groups'!A32,'D-2 Off Site Habitat Creation'!$G$9:$G$255)</f>
        <v>0</v>
      </c>
      <c r="X32" s="494">
        <f>SUMIF('D-2 Off Site Habitat Creation'!$F$9:$F$255,'G-2 Habitat groups'!A32,'D-2 Off Site Habitat Creation'!$AA$9:$AA$255)</f>
        <v>0</v>
      </c>
      <c r="Y32" s="494">
        <f>SUMIF('D-3 Off Site Habitat Enhancment'!$S$12:$S$491,'G-2 Habitat groups'!A32,'D-3 Off Site Habitat Enhancment'!$V$12:$V$491)</f>
        <v>0</v>
      </c>
      <c r="Z32" s="494">
        <f>SUMIF('D-3 Off Site Habitat Enhancment'!$S$12:$S$491,'G-2 Habitat groups'!A32,'D-3 Off Site Habitat Enhancment'!$AP$12:$AP$491)</f>
        <v>0</v>
      </c>
      <c r="AA32" s="494">
        <f t="shared" si="4"/>
        <v>0</v>
      </c>
      <c r="AB32" s="494">
        <f t="shared" si="5"/>
        <v>0</v>
      </c>
      <c r="AC32" s="494">
        <f t="shared" si="6"/>
        <v>0</v>
      </c>
      <c r="AD32" s="494">
        <f t="shared" si="7"/>
        <v>0</v>
      </c>
      <c r="AE32" s="494">
        <f t="shared" si="8"/>
        <v>0</v>
      </c>
      <c r="AF32" s="494">
        <f t="shared" si="9"/>
        <v>0</v>
      </c>
      <c r="AJ32" s="109" t="s">
        <v>81</v>
      </c>
      <c r="AK32" s="100">
        <f t="shared" si="37"/>
        <v>0</v>
      </c>
      <c r="AL32" s="100">
        <f t="shared" si="38"/>
        <v>0</v>
      </c>
      <c r="AM32" s="100">
        <f t="shared" si="39"/>
        <v>0</v>
      </c>
      <c r="AN32" s="100">
        <f t="shared" si="40"/>
        <v>0</v>
      </c>
      <c r="AO32" s="111">
        <f t="shared" si="41"/>
        <v>0</v>
      </c>
      <c r="AP32" s="111">
        <f t="shared" si="42"/>
        <v>0</v>
      </c>
      <c r="AU32" s="113" t="s">
        <v>434</v>
      </c>
      <c r="AV32" s="88" t="s">
        <v>70</v>
      </c>
      <c r="AW32" s="494">
        <f t="shared" si="43"/>
        <v>0</v>
      </c>
      <c r="AX32" s="494">
        <f t="shared" si="44"/>
        <v>0</v>
      </c>
      <c r="AY32" s="494">
        <f t="shared" si="45"/>
        <v>0</v>
      </c>
      <c r="AZ32" s="494">
        <f t="shared" si="46"/>
        <v>0</v>
      </c>
      <c r="BA32" s="494">
        <f t="shared" si="47"/>
        <v>0</v>
      </c>
      <c r="BB32" s="494">
        <f t="shared" si="48"/>
        <v>0</v>
      </c>
      <c r="BC32" s="494">
        <f t="shared" si="49"/>
        <v>0</v>
      </c>
      <c r="BD32" s="494">
        <f t="shared" si="50"/>
        <v>0</v>
      </c>
      <c r="BE32" s="494">
        <f t="shared" si="51"/>
        <v>0</v>
      </c>
      <c r="BF32" s="494" t="str">
        <f t="shared" si="52"/>
        <v/>
      </c>
    </row>
    <row r="33" spans="1:58" x14ac:dyDescent="0.25">
      <c r="A33" s="104" t="str">
        <f>'G-1 All Habitats'!B32</f>
        <v>Heathland and shrub - Mixed scrub</v>
      </c>
      <c r="B33" s="88" t="str">
        <f>'G-1 All Habitats'!F32</f>
        <v>Heathland and shrub</v>
      </c>
      <c r="C33" s="88" t="str">
        <f>'G-1 All Habitats'!K32</f>
        <v>Medium</v>
      </c>
      <c r="D33" s="88" t="str">
        <f>'G-1 All Habitats'!M32</f>
        <v>Same broad habitat or a higher distinctiveness habitat required (≥)</v>
      </c>
      <c r="E33" s="494">
        <f>IF(C33="V.High",SUMIF('A-1 Site Habitat Baseline'!$G$11:$G$258,'G-2 Habitat groups'!A33,'A-1 Site Habitat Baseline'!$S$11:$S$258)+SUMIF('A-1 Site Habitat Baseline'!$G$11:$G$258,'G-2 Habitat groups'!A33,'A-1 Site Habitat Baseline'!$T$11:$T$258),SUMIF('A-1 Site Habitat Baseline'!$G$11:$G$258,'G-2 Habitat groups'!A33,'A-1 Site Habitat Baseline'!$H$11:$H$258))</f>
        <v>0.2011</v>
      </c>
      <c r="F33" s="494">
        <f>SUMIF('A-1 Site Habitat Baseline'!$G$11:$G$258,'G-2 Habitat groups'!A33,'A-1 Site Habitat Baseline'!$Q$11:$Q$258)</f>
        <v>1.3875899999999999</v>
      </c>
      <c r="G33" s="494">
        <f>SUMIF('A-1 Site Habitat Baseline'!$G$11:$G$258,'G-2 Habitat groups'!A33,'A-1 Site Habitat Baseline'!$S$11:$S$258)</f>
        <v>0</v>
      </c>
      <c r="H33" s="494">
        <f>SUMIF('A-1 Site Habitat Baseline'!$G$11:$G$258,'G-2 Habitat groups'!A33,'A-1 Site Habitat Baseline'!$U$11:$U$258)</f>
        <v>0</v>
      </c>
      <c r="I33" s="494">
        <f>SUMIF('A-1 Site Habitat Baseline'!$G$11:$G$258,'G-2 Habitat groups'!A33,'A-1 Site Habitat Baseline'!$W$11:$W$258)</f>
        <v>0.2011</v>
      </c>
      <c r="J33" s="494">
        <f>SUMIF('A-1 Site Habitat Baseline'!$G$11:$G$258,'G-2 Habitat groups'!A33,'A-1 Site Habitat Baseline'!$X$11:$X$258)</f>
        <v>1.3875899999999999</v>
      </c>
      <c r="K33" s="494">
        <f>SUMIF('A-2 Site Habitat Creation'!$F$11:$F$256,'G-2 Habitat groups'!A33,'A-2 Site Habitat Creation'!$G$11:$G$256)</f>
        <v>9.4899999999999998E-2</v>
      </c>
      <c r="L33" s="494">
        <f>SUMIF('A-2 Site Habitat Creation'!$F$11:$F$256,'G-2 Habitat groups'!A33,'A-2 Site Habitat Creation'!$Y$11:$Y$256)</f>
        <v>0.73061840191984795</v>
      </c>
      <c r="M33" s="494">
        <f>SUMIF('A-3 Site Habitat Enhancement'!$S$12:$S$257,'G-2 Habitat groups'!A33,'A-3 Site Habitat Enhancement'!$V$12:$V$257)</f>
        <v>0</v>
      </c>
      <c r="N33" s="494">
        <f>SUMIF('A-3 Site Habitat Enhancement'!$S$12:$S$257,'G-2 Habitat groups'!A33,'A-3 Site Habitat Enhancement'!$AN$12:$AN$257)</f>
        <v>0</v>
      </c>
      <c r="O33" s="494">
        <f t="shared" si="0"/>
        <v>9.4899999999999998E-2</v>
      </c>
      <c r="P33" s="494">
        <f t="shared" si="1"/>
        <v>0.73061840191984795</v>
      </c>
      <c r="Q33" s="494">
        <f t="shared" si="2"/>
        <v>-0.1062</v>
      </c>
      <c r="R33" s="494">
        <f t="shared" si="3"/>
        <v>-0.65697159808015193</v>
      </c>
      <c r="S33" s="494">
        <f>IF(C33="V.High",SUMIF('D-1 Off Site Habitat Baseline'!$G$11:$G$258,'G-2 Habitat groups'!A33,'D-1 Off Site Habitat Baseline'!$S$11:$S$258)+SUMIF('D-1 Off Site Habitat Baseline'!$G$11:$G$258,'G-2 Habitat groups'!A33,'D-1 Off Site Habitat Baseline'!$T$11:$T$258),SUMIF('D-1 Off Site Habitat Baseline'!$G$11:$G$258,'G-2 Habitat groups'!A33,'D-1 Off Site Habitat Baseline'!$H$11:$H$258))</f>
        <v>0</v>
      </c>
      <c r="T33" s="494">
        <f>SUMIF('D-1 Off Site Habitat Baseline'!$G$11:$G$258,'G-2 Habitat groups'!A33,'D-1 Off Site Habitat Baseline'!$Q$11:$Q$258)</f>
        <v>0</v>
      </c>
      <c r="U33" s="591">
        <f>SUMIF('D-1 Off Site Habitat Baseline'!$G$11:$G$258,'G-2 Habitat groups'!A33,'D-1 Off Site Habitat Baseline'!$S$11:$S$258)</f>
        <v>0</v>
      </c>
      <c r="V33" s="494">
        <f>SUMIF('D-1 Off Site Habitat Baseline'!$G$11:$G$258,'G-2 Habitat groups'!A33,'D-1 Off Site Habitat Baseline'!$U$11:$U$258)</f>
        <v>0</v>
      </c>
      <c r="W33" s="494">
        <f>SUMIF('D-2 Off Site Habitat Creation'!$F$9:$F$255,'G-2 Habitat groups'!A33,'D-2 Off Site Habitat Creation'!$G$9:$G$255)</f>
        <v>0</v>
      </c>
      <c r="X33" s="494">
        <f>SUMIF('D-2 Off Site Habitat Creation'!$F$9:$F$255,'G-2 Habitat groups'!A33,'D-2 Off Site Habitat Creation'!$AA$9:$AA$255)</f>
        <v>0</v>
      </c>
      <c r="Y33" s="494">
        <f>SUMIF('D-3 Off Site Habitat Enhancment'!$S$12:$S$491,'G-2 Habitat groups'!A33,'D-3 Off Site Habitat Enhancment'!$V$12:$V$491)</f>
        <v>0</v>
      </c>
      <c r="Z33" s="494">
        <f>SUMIF('D-3 Off Site Habitat Enhancment'!$S$12:$S$491,'G-2 Habitat groups'!A33,'D-3 Off Site Habitat Enhancment'!$AP$12:$AP$491)</f>
        <v>0</v>
      </c>
      <c r="AA33" s="494">
        <f t="shared" si="4"/>
        <v>0</v>
      </c>
      <c r="AB33" s="494">
        <f t="shared" si="5"/>
        <v>0</v>
      </c>
      <c r="AC33" s="494">
        <f t="shared" si="6"/>
        <v>0</v>
      </c>
      <c r="AD33" s="494">
        <f t="shared" si="7"/>
        <v>0</v>
      </c>
      <c r="AE33" s="494">
        <f t="shared" si="8"/>
        <v>-0.1062</v>
      </c>
      <c r="AF33" s="494">
        <f t="shared" si="9"/>
        <v>-0.65697159808015193</v>
      </c>
      <c r="AU33" s="113" t="s">
        <v>459</v>
      </c>
      <c r="AV33" s="88" t="s">
        <v>70</v>
      </c>
      <c r="AW33" s="494">
        <f t="shared" si="43"/>
        <v>0</v>
      </c>
      <c r="AX33" s="494">
        <f t="shared" si="44"/>
        <v>0</v>
      </c>
      <c r="AY33" s="494">
        <f t="shared" si="45"/>
        <v>0</v>
      </c>
      <c r="AZ33" s="494">
        <f t="shared" si="46"/>
        <v>0</v>
      </c>
      <c r="BA33" s="494">
        <f t="shared" si="47"/>
        <v>0</v>
      </c>
      <c r="BB33" s="494">
        <f t="shared" si="48"/>
        <v>0</v>
      </c>
      <c r="BC33" s="494">
        <f t="shared" si="49"/>
        <v>0</v>
      </c>
      <c r="BD33" s="494">
        <f t="shared" si="50"/>
        <v>0</v>
      </c>
      <c r="BE33" s="494">
        <f t="shared" si="51"/>
        <v>0</v>
      </c>
      <c r="BF33" s="494" t="str">
        <f t="shared" si="52"/>
        <v/>
      </c>
    </row>
    <row r="34" spans="1:58" x14ac:dyDescent="0.25">
      <c r="A34" s="104" t="str">
        <f>'G-1 All Habitats'!B33</f>
        <v>Heathland and shrub - Mountain heaths and willow scrub</v>
      </c>
      <c r="B34" s="88" t="str">
        <f>'G-1 All Habitats'!F33</f>
        <v>Heathland and shrub</v>
      </c>
      <c r="C34" s="88" t="str">
        <f>'G-1 All Habitats'!K33</f>
        <v>V.High</v>
      </c>
      <c r="D34" s="88" t="str">
        <f>'G-1 All Habitats'!M33</f>
        <v>Bespoke compensation likely to be required 🛠</v>
      </c>
      <c r="E34" s="494">
        <f>IF(C34="V.High",SUMIF('A-1 Site Habitat Baseline'!$G$11:$G$258,'G-2 Habitat groups'!A34,'A-1 Site Habitat Baseline'!$S$11:$S$258)+SUMIF('A-1 Site Habitat Baseline'!$G$11:$G$258,'G-2 Habitat groups'!A34,'A-1 Site Habitat Baseline'!$T$11:$T$258),SUMIF('A-1 Site Habitat Baseline'!$G$11:$G$258,'G-2 Habitat groups'!A34,'A-1 Site Habitat Baseline'!$H$11:$H$258))</f>
        <v>0</v>
      </c>
      <c r="F34" s="494">
        <f>SUMIF('A-1 Site Habitat Baseline'!$G$11:$G$258,'G-2 Habitat groups'!A34,'A-1 Site Habitat Baseline'!$Q$11:$Q$258)</f>
        <v>0</v>
      </c>
      <c r="G34" s="494">
        <f>SUMIF('A-1 Site Habitat Baseline'!$G$11:$G$258,'G-2 Habitat groups'!A34,'A-1 Site Habitat Baseline'!$S$11:$S$258)</f>
        <v>0</v>
      </c>
      <c r="H34" s="494">
        <f>SUMIF('A-1 Site Habitat Baseline'!$G$11:$G$258,'G-2 Habitat groups'!A34,'A-1 Site Habitat Baseline'!$U$11:$U$258)</f>
        <v>0</v>
      </c>
      <c r="I34" s="494">
        <f>SUMIF('A-1 Site Habitat Baseline'!$G$11:$G$258,'G-2 Habitat groups'!A34,'A-1 Site Habitat Baseline'!$W$11:$W$258)</f>
        <v>0</v>
      </c>
      <c r="J34" s="494">
        <f>SUMIF('A-1 Site Habitat Baseline'!$G$11:$G$258,'G-2 Habitat groups'!A34,'A-1 Site Habitat Baseline'!$X$11:$X$258)</f>
        <v>0</v>
      </c>
      <c r="K34" s="494">
        <f>SUMIF('A-2 Site Habitat Creation'!$F$11:$F$256,'G-2 Habitat groups'!A34,'A-2 Site Habitat Creation'!$G$11:$G$256)</f>
        <v>0</v>
      </c>
      <c r="L34" s="494">
        <f>SUMIF('A-2 Site Habitat Creation'!$F$11:$F$256,'G-2 Habitat groups'!A34,'A-2 Site Habitat Creation'!$Y$11:$Y$256)</f>
        <v>0</v>
      </c>
      <c r="M34" s="494">
        <f>SUMIF('A-3 Site Habitat Enhancement'!$S$12:$S$257,'G-2 Habitat groups'!A34,'A-3 Site Habitat Enhancement'!$V$12:$V$257)</f>
        <v>0</v>
      </c>
      <c r="N34" s="494">
        <f>SUMIF('A-3 Site Habitat Enhancement'!$S$12:$S$257,'G-2 Habitat groups'!A34,'A-3 Site Habitat Enhancement'!$AN$12:$AN$257)</f>
        <v>0</v>
      </c>
      <c r="O34" s="494">
        <f t="shared" si="0"/>
        <v>0</v>
      </c>
      <c r="P34" s="494">
        <f t="shared" si="1"/>
        <v>0</v>
      </c>
      <c r="Q34" s="494">
        <f t="shared" si="2"/>
        <v>0</v>
      </c>
      <c r="R34" s="494">
        <f t="shared" si="3"/>
        <v>0</v>
      </c>
      <c r="S34" s="494">
        <f>IF(C34="V.High",SUMIF('D-1 Off Site Habitat Baseline'!$G$11:$G$258,'G-2 Habitat groups'!A34,'D-1 Off Site Habitat Baseline'!$S$11:$S$258)+SUMIF('D-1 Off Site Habitat Baseline'!$G$11:$G$258,'G-2 Habitat groups'!A34,'D-1 Off Site Habitat Baseline'!$T$11:$T$258),SUMIF('D-1 Off Site Habitat Baseline'!$G$11:$G$258,'G-2 Habitat groups'!A34,'D-1 Off Site Habitat Baseline'!$H$11:$H$258))</f>
        <v>0</v>
      </c>
      <c r="T34" s="494">
        <f>SUMIF('D-1 Off Site Habitat Baseline'!$G$11:$G$258,'G-2 Habitat groups'!A34,'D-1 Off Site Habitat Baseline'!$Q$11:$Q$258)</f>
        <v>0</v>
      </c>
      <c r="U34" s="591">
        <f>SUMIF('D-1 Off Site Habitat Baseline'!$G$11:$G$258,'G-2 Habitat groups'!A34,'D-1 Off Site Habitat Baseline'!$S$11:$S$258)</f>
        <v>0</v>
      </c>
      <c r="V34" s="494">
        <f>SUMIF('D-1 Off Site Habitat Baseline'!$G$11:$G$258,'G-2 Habitat groups'!A34,'D-1 Off Site Habitat Baseline'!$U$11:$U$258)</f>
        <v>0</v>
      </c>
      <c r="W34" s="494">
        <f>SUMIF('D-2 Off Site Habitat Creation'!$F$9:$F$255,'G-2 Habitat groups'!A34,'D-2 Off Site Habitat Creation'!$G$9:$G$255)</f>
        <v>0</v>
      </c>
      <c r="X34" s="494">
        <f>SUMIF('D-2 Off Site Habitat Creation'!$F$9:$F$255,'G-2 Habitat groups'!A34,'D-2 Off Site Habitat Creation'!$AA$9:$AA$255)</f>
        <v>0</v>
      </c>
      <c r="Y34" s="494">
        <f>SUMIF('D-3 Off Site Habitat Enhancment'!$S$12:$S$491,'G-2 Habitat groups'!A34,'D-3 Off Site Habitat Enhancment'!$V$12:$V$491)</f>
        <v>0</v>
      </c>
      <c r="Z34" s="494">
        <f>SUMIF('D-3 Off Site Habitat Enhancment'!$S$12:$S$491,'G-2 Habitat groups'!A34,'D-3 Off Site Habitat Enhancment'!$AP$12:$AP$491)</f>
        <v>0</v>
      </c>
      <c r="AA34" s="494">
        <f t="shared" si="4"/>
        <v>0</v>
      </c>
      <c r="AB34" s="494">
        <f t="shared" si="5"/>
        <v>0</v>
      </c>
      <c r="AC34" s="494">
        <f t="shared" si="6"/>
        <v>0</v>
      </c>
      <c r="AD34" s="494">
        <f t="shared" si="7"/>
        <v>0</v>
      </c>
      <c r="AE34" s="494">
        <f t="shared" si="8"/>
        <v>0</v>
      </c>
      <c r="AF34" s="494">
        <f t="shared" si="9"/>
        <v>0</v>
      </c>
      <c r="AU34" s="113" t="s">
        <v>467</v>
      </c>
      <c r="AV34" s="88" t="s">
        <v>70</v>
      </c>
      <c r="AW34" s="494">
        <f t="shared" si="43"/>
        <v>0</v>
      </c>
      <c r="AX34" s="494">
        <f t="shared" si="44"/>
        <v>0</v>
      </c>
      <c r="AY34" s="494">
        <f t="shared" si="45"/>
        <v>0</v>
      </c>
      <c r="AZ34" s="494">
        <f t="shared" si="46"/>
        <v>0</v>
      </c>
      <c r="BA34" s="494">
        <f t="shared" si="47"/>
        <v>0</v>
      </c>
      <c r="BB34" s="494">
        <f t="shared" si="48"/>
        <v>0</v>
      </c>
      <c r="BC34" s="494">
        <f t="shared" si="49"/>
        <v>0</v>
      </c>
      <c r="BD34" s="494">
        <f t="shared" si="50"/>
        <v>0</v>
      </c>
      <c r="BE34" s="494">
        <f t="shared" si="51"/>
        <v>0</v>
      </c>
      <c r="BF34" s="494" t="str">
        <f t="shared" si="52"/>
        <v/>
      </c>
    </row>
    <row r="35" spans="1:58" x14ac:dyDescent="0.25">
      <c r="A35" s="104" t="str">
        <f>'G-1 All Habitats'!B34</f>
        <v>Heathland and shrub - Rhododendron scrub</v>
      </c>
      <c r="B35" s="88" t="str">
        <f>'G-1 All Habitats'!F34</f>
        <v>Heathland and shrub</v>
      </c>
      <c r="C35" s="88" t="str">
        <f>'G-1 All Habitats'!K34</f>
        <v>Low</v>
      </c>
      <c r="D35" s="88" t="str">
        <f>'G-1 All Habitats'!M34</f>
        <v>Same distinctiveness or better habitat required ≥</v>
      </c>
      <c r="E35" s="494">
        <f>IF(C35="V.High",SUMIF('A-1 Site Habitat Baseline'!$G$11:$G$258,'G-2 Habitat groups'!A35,'A-1 Site Habitat Baseline'!$S$11:$S$258)+SUMIF('A-1 Site Habitat Baseline'!$G$11:$G$258,'G-2 Habitat groups'!A35,'A-1 Site Habitat Baseline'!$T$11:$T$258),SUMIF('A-1 Site Habitat Baseline'!$G$11:$G$258,'G-2 Habitat groups'!A35,'A-1 Site Habitat Baseline'!$H$11:$H$258))</f>
        <v>0</v>
      </c>
      <c r="F35" s="494">
        <f>SUMIF('A-1 Site Habitat Baseline'!$G$11:$G$258,'G-2 Habitat groups'!A35,'A-1 Site Habitat Baseline'!$Q$11:$Q$258)</f>
        <v>0</v>
      </c>
      <c r="G35" s="494">
        <f>SUMIF('A-1 Site Habitat Baseline'!$G$11:$G$258,'G-2 Habitat groups'!A35,'A-1 Site Habitat Baseline'!$S$11:$S$258)</f>
        <v>0</v>
      </c>
      <c r="H35" s="494">
        <f>SUMIF('A-1 Site Habitat Baseline'!$G$11:$G$258,'G-2 Habitat groups'!A35,'A-1 Site Habitat Baseline'!$U$11:$U$258)</f>
        <v>0</v>
      </c>
      <c r="I35" s="494">
        <f>SUMIF('A-1 Site Habitat Baseline'!$G$11:$G$258,'G-2 Habitat groups'!A35,'A-1 Site Habitat Baseline'!$W$11:$W$258)</f>
        <v>0</v>
      </c>
      <c r="J35" s="494">
        <f>SUMIF('A-1 Site Habitat Baseline'!$G$11:$G$258,'G-2 Habitat groups'!A35,'A-1 Site Habitat Baseline'!$X$11:$X$258)</f>
        <v>0</v>
      </c>
      <c r="K35" s="494">
        <f>SUMIF('A-2 Site Habitat Creation'!$F$11:$F$256,'G-2 Habitat groups'!A35,'A-2 Site Habitat Creation'!$G$11:$G$256)</f>
        <v>0</v>
      </c>
      <c r="L35" s="494">
        <f>SUMIF('A-2 Site Habitat Creation'!$F$11:$F$256,'G-2 Habitat groups'!A35,'A-2 Site Habitat Creation'!$Y$11:$Y$256)</f>
        <v>0</v>
      </c>
      <c r="M35" s="494">
        <f>SUMIF('A-3 Site Habitat Enhancement'!$S$12:$S$257,'G-2 Habitat groups'!A35,'A-3 Site Habitat Enhancement'!$V$12:$V$257)</f>
        <v>0</v>
      </c>
      <c r="N35" s="494">
        <f>SUMIF('A-3 Site Habitat Enhancement'!$S$12:$S$257,'G-2 Habitat groups'!A35,'A-3 Site Habitat Enhancement'!$AN$12:$AN$257)</f>
        <v>0</v>
      </c>
      <c r="O35" s="494">
        <f t="shared" ref="O35:O66" si="53">G35+K35+M35</f>
        <v>0</v>
      </c>
      <c r="P35" s="494">
        <f t="shared" ref="P35:P66" si="54">H35+L35+N35</f>
        <v>0</v>
      </c>
      <c r="Q35" s="494">
        <f t="shared" ref="Q35:Q66" si="55">O35-E35</f>
        <v>0</v>
      </c>
      <c r="R35" s="494">
        <f t="shared" ref="R35:R66" si="56">P35-F35</f>
        <v>0</v>
      </c>
      <c r="S35" s="494">
        <f>IF(C35="V.High",SUMIF('D-1 Off Site Habitat Baseline'!$G$11:$G$258,'G-2 Habitat groups'!A35,'D-1 Off Site Habitat Baseline'!$S$11:$S$258)+SUMIF('D-1 Off Site Habitat Baseline'!$G$11:$G$258,'G-2 Habitat groups'!A35,'D-1 Off Site Habitat Baseline'!$T$11:$T$258),SUMIF('D-1 Off Site Habitat Baseline'!$G$11:$G$258,'G-2 Habitat groups'!A35,'D-1 Off Site Habitat Baseline'!$H$11:$H$258))</f>
        <v>0</v>
      </c>
      <c r="T35" s="494">
        <f>SUMIF('D-1 Off Site Habitat Baseline'!$G$11:$G$258,'G-2 Habitat groups'!A35,'D-1 Off Site Habitat Baseline'!$Q$11:$Q$258)</f>
        <v>0</v>
      </c>
      <c r="U35" s="591">
        <f>SUMIF('D-1 Off Site Habitat Baseline'!$G$11:$G$258,'G-2 Habitat groups'!A35,'D-1 Off Site Habitat Baseline'!$S$11:$S$258)</f>
        <v>0</v>
      </c>
      <c r="V35" s="494">
        <f>SUMIF('D-1 Off Site Habitat Baseline'!$G$11:$G$258,'G-2 Habitat groups'!A35,'D-1 Off Site Habitat Baseline'!$U$11:$U$258)</f>
        <v>0</v>
      </c>
      <c r="W35" s="494">
        <f>SUMIF('D-2 Off Site Habitat Creation'!$F$9:$F$255,'G-2 Habitat groups'!A35,'D-2 Off Site Habitat Creation'!$G$9:$G$255)</f>
        <v>0</v>
      </c>
      <c r="X35" s="494">
        <f>SUMIF('D-2 Off Site Habitat Creation'!$F$9:$F$255,'G-2 Habitat groups'!A35,'D-2 Off Site Habitat Creation'!$AA$9:$AA$255)</f>
        <v>0</v>
      </c>
      <c r="Y35" s="494">
        <f>SUMIF('D-3 Off Site Habitat Enhancment'!$S$12:$S$491,'G-2 Habitat groups'!A35,'D-3 Off Site Habitat Enhancment'!$V$12:$V$491)</f>
        <v>0</v>
      </c>
      <c r="Z35" s="494">
        <f>SUMIF('D-3 Off Site Habitat Enhancment'!$S$12:$S$491,'G-2 Habitat groups'!A35,'D-3 Off Site Habitat Enhancment'!$AP$12:$AP$491)</f>
        <v>0</v>
      </c>
      <c r="AA35" s="494">
        <f t="shared" ref="AA35:AA66" si="57">U35+W35+Y35</f>
        <v>0</v>
      </c>
      <c r="AB35" s="494">
        <f t="shared" ref="AB35:AB66" si="58">V35+X35+Z35</f>
        <v>0</v>
      </c>
      <c r="AC35" s="494">
        <f t="shared" ref="AC35:AC66" si="59">AA35-S35</f>
        <v>0</v>
      </c>
      <c r="AD35" s="494">
        <f t="shared" ref="AD35:AD66" si="60">AB35-T35</f>
        <v>0</v>
      </c>
      <c r="AE35" s="494">
        <f t="shared" ref="AE35:AE66" si="61">Q35+AC35</f>
        <v>0</v>
      </c>
      <c r="AF35" s="494">
        <f t="shared" ref="AF35:AF66" si="62">R35+AD35</f>
        <v>0</v>
      </c>
      <c r="AU35" s="113" t="s">
        <v>490</v>
      </c>
      <c r="AV35" s="88" t="s">
        <v>71</v>
      </c>
      <c r="AW35" s="494">
        <f t="shared" si="43"/>
        <v>0</v>
      </c>
      <c r="AX35" s="494">
        <f t="shared" si="44"/>
        <v>0</v>
      </c>
      <c r="AY35" s="494">
        <f t="shared" si="45"/>
        <v>0</v>
      </c>
      <c r="AZ35" s="494">
        <f t="shared" si="46"/>
        <v>0</v>
      </c>
      <c r="BA35" s="494">
        <f t="shared" si="47"/>
        <v>0</v>
      </c>
      <c r="BB35" s="494">
        <f t="shared" si="48"/>
        <v>0</v>
      </c>
      <c r="BC35" s="494">
        <f t="shared" si="49"/>
        <v>0</v>
      </c>
      <c r="BD35" s="494">
        <f t="shared" si="50"/>
        <v>0</v>
      </c>
      <c r="BE35" s="494">
        <f t="shared" si="51"/>
        <v>0</v>
      </c>
      <c r="BF35" s="494" t="str">
        <f t="shared" si="52"/>
        <v/>
      </c>
    </row>
    <row r="36" spans="1:58" x14ac:dyDescent="0.25">
      <c r="A36" s="104" t="str">
        <f>'G-1 All Habitats'!B35</f>
        <v>Heathland and shrub - Sea buckthorn scrub (Annex 1)</v>
      </c>
      <c r="B36" s="88" t="str">
        <f>'G-1 All Habitats'!F35</f>
        <v>Heathland and shrub</v>
      </c>
      <c r="C36" s="88" t="str">
        <f>'G-1 All Habitats'!K35</f>
        <v>High</v>
      </c>
      <c r="D36" s="88" t="str">
        <f>'G-1 All Habitats'!M35</f>
        <v>Same habitat required =</v>
      </c>
      <c r="E36" s="494">
        <f>IF(C36="V.High",SUMIF('A-1 Site Habitat Baseline'!$G$11:$G$258,'G-2 Habitat groups'!A36,'A-1 Site Habitat Baseline'!$S$11:$S$258)+SUMIF('A-1 Site Habitat Baseline'!$G$11:$G$258,'G-2 Habitat groups'!A36,'A-1 Site Habitat Baseline'!$T$11:$T$258),SUMIF('A-1 Site Habitat Baseline'!$G$11:$G$258,'G-2 Habitat groups'!A36,'A-1 Site Habitat Baseline'!$H$11:$H$258))</f>
        <v>0</v>
      </c>
      <c r="F36" s="494">
        <f>SUMIF('A-1 Site Habitat Baseline'!$G$11:$G$258,'G-2 Habitat groups'!A36,'A-1 Site Habitat Baseline'!$Q$11:$Q$258)</f>
        <v>0</v>
      </c>
      <c r="G36" s="494">
        <f>SUMIF('A-1 Site Habitat Baseline'!$G$11:$G$258,'G-2 Habitat groups'!A36,'A-1 Site Habitat Baseline'!$S$11:$S$258)</f>
        <v>0</v>
      </c>
      <c r="H36" s="494">
        <f>SUMIF('A-1 Site Habitat Baseline'!$G$11:$G$258,'G-2 Habitat groups'!A36,'A-1 Site Habitat Baseline'!$U$11:$U$258)</f>
        <v>0</v>
      </c>
      <c r="I36" s="494">
        <f>SUMIF('A-1 Site Habitat Baseline'!$G$11:$G$258,'G-2 Habitat groups'!A36,'A-1 Site Habitat Baseline'!$W$11:$W$258)</f>
        <v>0</v>
      </c>
      <c r="J36" s="494">
        <f>SUMIF('A-1 Site Habitat Baseline'!$G$11:$G$258,'G-2 Habitat groups'!A36,'A-1 Site Habitat Baseline'!$X$11:$X$258)</f>
        <v>0</v>
      </c>
      <c r="K36" s="494">
        <f>SUMIF('A-2 Site Habitat Creation'!$F$11:$F$256,'G-2 Habitat groups'!A36,'A-2 Site Habitat Creation'!$G$11:$G$256)</f>
        <v>0</v>
      </c>
      <c r="L36" s="494">
        <f>SUMIF('A-2 Site Habitat Creation'!$F$11:$F$256,'G-2 Habitat groups'!A36,'A-2 Site Habitat Creation'!$Y$11:$Y$256)</f>
        <v>0</v>
      </c>
      <c r="M36" s="494">
        <f>SUMIF('A-3 Site Habitat Enhancement'!$S$12:$S$257,'G-2 Habitat groups'!A36,'A-3 Site Habitat Enhancement'!$V$12:$V$257)</f>
        <v>0</v>
      </c>
      <c r="N36" s="494">
        <f>SUMIF('A-3 Site Habitat Enhancement'!$S$12:$S$257,'G-2 Habitat groups'!A36,'A-3 Site Habitat Enhancement'!$AN$12:$AN$257)</f>
        <v>0</v>
      </c>
      <c r="O36" s="494">
        <f t="shared" si="53"/>
        <v>0</v>
      </c>
      <c r="P36" s="494">
        <f t="shared" si="54"/>
        <v>0</v>
      </c>
      <c r="Q36" s="494">
        <f t="shared" si="55"/>
        <v>0</v>
      </c>
      <c r="R36" s="494">
        <f t="shared" si="56"/>
        <v>0</v>
      </c>
      <c r="S36" s="494">
        <f>IF(C36="V.High",SUMIF('D-1 Off Site Habitat Baseline'!$G$11:$G$258,'G-2 Habitat groups'!A36,'D-1 Off Site Habitat Baseline'!$S$11:$S$258)+SUMIF('D-1 Off Site Habitat Baseline'!$G$11:$G$258,'G-2 Habitat groups'!A36,'D-1 Off Site Habitat Baseline'!$T$11:$T$258),SUMIF('D-1 Off Site Habitat Baseline'!$G$11:$G$258,'G-2 Habitat groups'!A36,'D-1 Off Site Habitat Baseline'!$H$11:$H$258))</f>
        <v>0</v>
      </c>
      <c r="T36" s="494">
        <f>SUMIF('D-1 Off Site Habitat Baseline'!$G$11:$G$258,'G-2 Habitat groups'!A36,'D-1 Off Site Habitat Baseline'!$Q$11:$Q$258)</f>
        <v>0</v>
      </c>
      <c r="U36" s="591">
        <f>SUMIF('D-1 Off Site Habitat Baseline'!$G$11:$G$258,'G-2 Habitat groups'!A36,'D-1 Off Site Habitat Baseline'!$S$11:$S$258)</f>
        <v>0</v>
      </c>
      <c r="V36" s="494">
        <f>SUMIF('D-1 Off Site Habitat Baseline'!$G$11:$G$258,'G-2 Habitat groups'!A36,'D-1 Off Site Habitat Baseline'!$U$11:$U$258)</f>
        <v>0</v>
      </c>
      <c r="W36" s="494">
        <f>SUMIF('D-2 Off Site Habitat Creation'!$F$9:$F$255,'G-2 Habitat groups'!A36,'D-2 Off Site Habitat Creation'!$G$9:$G$255)</f>
        <v>0</v>
      </c>
      <c r="X36" s="494">
        <f>SUMIF('D-2 Off Site Habitat Creation'!$F$9:$F$255,'G-2 Habitat groups'!A36,'D-2 Off Site Habitat Creation'!$AA$9:$AA$255)</f>
        <v>0</v>
      </c>
      <c r="Y36" s="494">
        <f>SUMIF('D-3 Off Site Habitat Enhancment'!$S$12:$S$491,'G-2 Habitat groups'!A36,'D-3 Off Site Habitat Enhancment'!$V$12:$V$491)</f>
        <v>0</v>
      </c>
      <c r="Z36" s="494">
        <f>SUMIF('D-3 Off Site Habitat Enhancment'!$S$12:$S$491,'G-2 Habitat groups'!A36,'D-3 Off Site Habitat Enhancment'!$AP$12:$AP$491)</f>
        <v>0</v>
      </c>
      <c r="AA36" s="494">
        <f t="shared" si="57"/>
        <v>0</v>
      </c>
      <c r="AB36" s="494">
        <f t="shared" si="58"/>
        <v>0</v>
      </c>
      <c r="AC36" s="494">
        <f t="shared" si="59"/>
        <v>0</v>
      </c>
      <c r="AD36" s="494">
        <f t="shared" si="60"/>
        <v>0</v>
      </c>
      <c r="AE36" s="494">
        <f t="shared" si="61"/>
        <v>0</v>
      </c>
      <c r="AF36" s="494">
        <f t="shared" si="62"/>
        <v>0</v>
      </c>
      <c r="AU36" s="113" t="s">
        <v>506</v>
      </c>
      <c r="AV36" s="88" t="s">
        <v>71</v>
      </c>
      <c r="AW36" s="494">
        <f t="shared" si="43"/>
        <v>0</v>
      </c>
      <c r="AX36" s="494">
        <f t="shared" si="44"/>
        <v>0</v>
      </c>
      <c r="AY36" s="494">
        <f t="shared" si="45"/>
        <v>0</v>
      </c>
      <c r="AZ36" s="494">
        <f t="shared" si="46"/>
        <v>0</v>
      </c>
      <c r="BA36" s="494">
        <f t="shared" si="47"/>
        <v>0</v>
      </c>
      <c r="BB36" s="494">
        <f t="shared" si="48"/>
        <v>0</v>
      </c>
      <c r="BC36" s="494">
        <f t="shared" si="49"/>
        <v>0</v>
      </c>
      <c r="BD36" s="494">
        <f t="shared" si="50"/>
        <v>0</v>
      </c>
      <c r="BE36" s="494">
        <f t="shared" si="51"/>
        <v>0</v>
      </c>
      <c r="BF36" s="494" t="str">
        <f t="shared" si="52"/>
        <v/>
      </c>
    </row>
    <row r="37" spans="1:58" x14ac:dyDescent="0.25">
      <c r="A37" s="104" t="str">
        <f>'G-1 All Habitats'!B36</f>
        <v>Heathland and shrub - Sea buckthorn scrub (other)</v>
      </c>
      <c r="B37" s="88" t="str">
        <f>'G-1 All Habitats'!F36</f>
        <v>Heathland and shrub</v>
      </c>
      <c r="C37" s="88" t="str">
        <f>'G-1 All Habitats'!K36</f>
        <v>Low</v>
      </c>
      <c r="D37" s="88" t="str">
        <f>'G-1 All Habitats'!M36</f>
        <v>Same distinctiveness or better habitat required ≥</v>
      </c>
      <c r="E37" s="494">
        <f>IF(C37="V.High",SUMIF('A-1 Site Habitat Baseline'!$G$11:$G$258,'G-2 Habitat groups'!A37,'A-1 Site Habitat Baseline'!$S$11:$S$258)+SUMIF('A-1 Site Habitat Baseline'!$G$11:$G$258,'G-2 Habitat groups'!A37,'A-1 Site Habitat Baseline'!$T$11:$T$258),SUMIF('A-1 Site Habitat Baseline'!$G$11:$G$258,'G-2 Habitat groups'!A37,'A-1 Site Habitat Baseline'!$H$11:$H$258))</f>
        <v>0</v>
      </c>
      <c r="F37" s="494">
        <f>SUMIF('A-1 Site Habitat Baseline'!$G$11:$G$258,'G-2 Habitat groups'!A37,'A-1 Site Habitat Baseline'!$Q$11:$Q$258)</f>
        <v>0</v>
      </c>
      <c r="G37" s="494">
        <f>SUMIF('A-1 Site Habitat Baseline'!$G$11:$G$258,'G-2 Habitat groups'!A37,'A-1 Site Habitat Baseline'!$S$11:$S$258)</f>
        <v>0</v>
      </c>
      <c r="H37" s="494">
        <f>SUMIF('A-1 Site Habitat Baseline'!$G$11:$G$258,'G-2 Habitat groups'!A37,'A-1 Site Habitat Baseline'!$U$11:$U$258)</f>
        <v>0</v>
      </c>
      <c r="I37" s="494">
        <f>SUMIF('A-1 Site Habitat Baseline'!$G$11:$G$258,'G-2 Habitat groups'!A37,'A-1 Site Habitat Baseline'!$W$11:$W$258)</f>
        <v>0</v>
      </c>
      <c r="J37" s="494">
        <f>SUMIF('A-1 Site Habitat Baseline'!$G$11:$G$258,'G-2 Habitat groups'!A37,'A-1 Site Habitat Baseline'!$X$11:$X$258)</f>
        <v>0</v>
      </c>
      <c r="K37" s="494">
        <f>SUMIF('A-2 Site Habitat Creation'!$F$11:$F$256,'G-2 Habitat groups'!A37,'A-2 Site Habitat Creation'!$G$11:$G$256)</f>
        <v>0</v>
      </c>
      <c r="L37" s="494">
        <f>SUMIF('A-2 Site Habitat Creation'!$F$11:$F$256,'G-2 Habitat groups'!A37,'A-2 Site Habitat Creation'!$Y$11:$Y$256)</f>
        <v>0</v>
      </c>
      <c r="M37" s="494">
        <f>SUMIF('A-3 Site Habitat Enhancement'!$S$12:$S$257,'G-2 Habitat groups'!A37,'A-3 Site Habitat Enhancement'!$V$12:$V$257)</f>
        <v>0</v>
      </c>
      <c r="N37" s="494">
        <f>SUMIF('A-3 Site Habitat Enhancement'!$S$12:$S$257,'G-2 Habitat groups'!A37,'A-3 Site Habitat Enhancement'!$AN$12:$AN$257)</f>
        <v>0</v>
      </c>
      <c r="O37" s="494">
        <f t="shared" si="53"/>
        <v>0</v>
      </c>
      <c r="P37" s="494">
        <f t="shared" si="54"/>
        <v>0</v>
      </c>
      <c r="Q37" s="494">
        <f t="shared" si="55"/>
        <v>0</v>
      </c>
      <c r="R37" s="494">
        <f t="shared" si="56"/>
        <v>0</v>
      </c>
      <c r="S37" s="494">
        <f>IF(C37="V.High",SUMIF('D-1 Off Site Habitat Baseline'!$G$11:$G$258,'G-2 Habitat groups'!A37,'D-1 Off Site Habitat Baseline'!$S$11:$S$258)+SUMIF('D-1 Off Site Habitat Baseline'!$G$11:$G$258,'G-2 Habitat groups'!A37,'D-1 Off Site Habitat Baseline'!$T$11:$T$258),SUMIF('D-1 Off Site Habitat Baseline'!$G$11:$G$258,'G-2 Habitat groups'!A37,'D-1 Off Site Habitat Baseline'!$H$11:$H$258))</f>
        <v>0</v>
      </c>
      <c r="T37" s="494">
        <f>SUMIF('D-1 Off Site Habitat Baseline'!$G$11:$G$258,'G-2 Habitat groups'!A37,'D-1 Off Site Habitat Baseline'!$Q$11:$Q$258)</f>
        <v>0</v>
      </c>
      <c r="U37" s="591">
        <f>SUMIF('D-1 Off Site Habitat Baseline'!$G$11:$G$258,'G-2 Habitat groups'!A37,'D-1 Off Site Habitat Baseline'!$S$11:$S$258)</f>
        <v>0</v>
      </c>
      <c r="V37" s="494">
        <f>SUMIF('D-1 Off Site Habitat Baseline'!$G$11:$G$258,'G-2 Habitat groups'!A37,'D-1 Off Site Habitat Baseline'!$U$11:$U$258)</f>
        <v>0</v>
      </c>
      <c r="W37" s="494">
        <f>SUMIF('D-2 Off Site Habitat Creation'!$F$9:$F$255,'G-2 Habitat groups'!A37,'D-2 Off Site Habitat Creation'!$G$9:$G$255)</f>
        <v>0</v>
      </c>
      <c r="X37" s="494">
        <f>SUMIF('D-2 Off Site Habitat Creation'!$F$9:$F$255,'G-2 Habitat groups'!A37,'D-2 Off Site Habitat Creation'!$AA$9:$AA$255)</f>
        <v>0</v>
      </c>
      <c r="Y37" s="494">
        <f>SUMIF('D-3 Off Site Habitat Enhancment'!$S$12:$S$491,'G-2 Habitat groups'!A37,'D-3 Off Site Habitat Enhancment'!$V$12:$V$491)</f>
        <v>0</v>
      </c>
      <c r="Z37" s="494">
        <f>SUMIF('D-3 Off Site Habitat Enhancment'!$S$12:$S$491,'G-2 Habitat groups'!A37,'D-3 Off Site Habitat Enhancment'!$AP$12:$AP$491)</f>
        <v>0</v>
      </c>
      <c r="AA37" s="494">
        <f t="shared" si="57"/>
        <v>0</v>
      </c>
      <c r="AB37" s="494">
        <f t="shared" si="58"/>
        <v>0</v>
      </c>
      <c r="AC37" s="494">
        <f t="shared" si="59"/>
        <v>0</v>
      </c>
      <c r="AD37" s="494">
        <f t="shared" si="60"/>
        <v>0</v>
      </c>
      <c r="AE37" s="494">
        <f t="shared" si="61"/>
        <v>0</v>
      </c>
      <c r="AF37" s="494">
        <f t="shared" si="62"/>
        <v>0</v>
      </c>
      <c r="AU37" s="113" t="s">
        <v>515</v>
      </c>
      <c r="AV37" s="88" t="s">
        <v>71</v>
      </c>
      <c r="AW37" s="494">
        <f t="shared" si="43"/>
        <v>0</v>
      </c>
      <c r="AX37" s="494">
        <f t="shared" si="44"/>
        <v>0</v>
      </c>
      <c r="AY37" s="494">
        <f t="shared" si="45"/>
        <v>0</v>
      </c>
      <c r="AZ37" s="494">
        <f t="shared" si="46"/>
        <v>0</v>
      </c>
      <c r="BA37" s="494">
        <f t="shared" si="47"/>
        <v>0</v>
      </c>
      <c r="BB37" s="494">
        <f t="shared" si="48"/>
        <v>0</v>
      </c>
      <c r="BC37" s="494">
        <f t="shared" si="49"/>
        <v>0</v>
      </c>
      <c r="BD37" s="494">
        <f t="shared" si="50"/>
        <v>0</v>
      </c>
      <c r="BE37" s="494">
        <f t="shared" si="51"/>
        <v>0</v>
      </c>
      <c r="BF37" s="494" t="str">
        <f t="shared" si="52"/>
        <v/>
      </c>
    </row>
    <row r="38" spans="1:58" x14ac:dyDescent="0.25">
      <c r="A38" s="104" t="str">
        <f>'G-1 All Habitats'!B37</f>
        <v>Heathland and shrub - Upland Heathland</v>
      </c>
      <c r="B38" s="88" t="str">
        <f>'G-1 All Habitats'!F37</f>
        <v>Heathland and shrub</v>
      </c>
      <c r="C38" s="88" t="str">
        <f>'G-1 All Habitats'!K37</f>
        <v>High</v>
      </c>
      <c r="D38" s="88" t="str">
        <f>'G-1 All Habitats'!M37</f>
        <v>Same habitat required =</v>
      </c>
      <c r="E38" s="494">
        <f>IF(C38="V.High",SUMIF('A-1 Site Habitat Baseline'!$G$11:$G$258,'G-2 Habitat groups'!A38,'A-1 Site Habitat Baseline'!$S$11:$S$258)+SUMIF('A-1 Site Habitat Baseline'!$G$11:$G$258,'G-2 Habitat groups'!A38,'A-1 Site Habitat Baseline'!$T$11:$T$258),SUMIF('A-1 Site Habitat Baseline'!$G$11:$G$258,'G-2 Habitat groups'!A38,'A-1 Site Habitat Baseline'!$H$11:$H$258))</f>
        <v>0</v>
      </c>
      <c r="F38" s="494">
        <f>SUMIF('A-1 Site Habitat Baseline'!$G$11:$G$258,'G-2 Habitat groups'!A38,'A-1 Site Habitat Baseline'!$Q$11:$Q$258)</f>
        <v>0</v>
      </c>
      <c r="G38" s="494">
        <f>SUMIF('A-1 Site Habitat Baseline'!$G$11:$G$258,'G-2 Habitat groups'!A38,'A-1 Site Habitat Baseline'!$S$11:$S$258)</f>
        <v>0</v>
      </c>
      <c r="H38" s="494">
        <f>SUMIF('A-1 Site Habitat Baseline'!$G$11:$G$258,'G-2 Habitat groups'!A38,'A-1 Site Habitat Baseline'!$U$11:$U$258)</f>
        <v>0</v>
      </c>
      <c r="I38" s="494">
        <f>SUMIF('A-1 Site Habitat Baseline'!$G$11:$G$258,'G-2 Habitat groups'!A38,'A-1 Site Habitat Baseline'!$W$11:$W$258)</f>
        <v>0</v>
      </c>
      <c r="J38" s="494">
        <f>SUMIF('A-1 Site Habitat Baseline'!$G$11:$G$258,'G-2 Habitat groups'!A38,'A-1 Site Habitat Baseline'!$X$11:$X$258)</f>
        <v>0</v>
      </c>
      <c r="K38" s="494">
        <f>SUMIF('A-2 Site Habitat Creation'!$F$11:$F$256,'G-2 Habitat groups'!A38,'A-2 Site Habitat Creation'!$G$11:$G$256)</f>
        <v>0</v>
      </c>
      <c r="L38" s="494">
        <f>SUMIF('A-2 Site Habitat Creation'!$F$11:$F$256,'G-2 Habitat groups'!A38,'A-2 Site Habitat Creation'!$Y$11:$Y$256)</f>
        <v>0</v>
      </c>
      <c r="M38" s="494">
        <f>SUMIF('A-3 Site Habitat Enhancement'!$S$12:$S$257,'G-2 Habitat groups'!A38,'A-3 Site Habitat Enhancement'!$V$12:$V$257)</f>
        <v>0</v>
      </c>
      <c r="N38" s="494">
        <f>SUMIF('A-3 Site Habitat Enhancement'!$S$12:$S$257,'G-2 Habitat groups'!A38,'A-3 Site Habitat Enhancement'!$AN$12:$AN$257)</f>
        <v>0</v>
      </c>
      <c r="O38" s="494">
        <f t="shared" si="53"/>
        <v>0</v>
      </c>
      <c r="P38" s="494">
        <f t="shared" si="54"/>
        <v>0</v>
      </c>
      <c r="Q38" s="494">
        <f t="shared" si="55"/>
        <v>0</v>
      </c>
      <c r="R38" s="494">
        <f t="shared" si="56"/>
        <v>0</v>
      </c>
      <c r="S38" s="494">
        <f>IF(C38="V.High",SUMIF('D-1 Off Site Habitat Baseline'!$G$11:$G$258,'G-2 Habitat groups'!A38,'D-1 Off Site Habitat Baseline'!$S$11:$S$258)+SUMIF('D-1 Off Site Habitat Baseline'!$G$11:$G$258,'G-2 Habitat groups'!A38,'D-1 Off Site Habitat Baseline'!$T$11:$T$258),SUMIF('D-1 Off Site Habitat Baseline'!$G$11:$G$258,'G-2 Habitat groups'!A38,'D-1 Off Site Habitat Baseline'!$H$11:$H$258))</f>
        <v>0</v>
      </c>
      <c r="T38" s="494">
        <f>SUMIF('D-1 Off Site Habitat Baseline'!$G$11:$G$258,'G-2 Habitat groups'!A38,'D-1 Off Site Habitat Baseline'!$Q$11:$Q$258)</f>
        <v>0</v>
      </c>
      <c r="U38" s="591">
        <f>SUMIF('D-1 Off Site Habitat Baseline'!$G$11:$G$258,'G-2 Habitat groups'!A38,'D-1 Off Site Habitat Baseline'!$S$11:$S$258)</f>
        <v>0</v>
      </c>
      <c r="V38" s="494">
        <f>SUMIF('D-1 Off Site Habitat Baseline'!$G$11:$G$258,'G-2 Habitat groups'!A38,'D-1 Off Site Habitat Baseline'!$U$11:$U$258)</f>
        <v>0</v>
      </c>
      <c r="W38" s="494">
        <f>SUMIF('D-2 Off Site Habitat Creation'!$F$9:$F$255,'G-2 Habitat groups'!A38,'D-2 Off Site Habitat Creation'!$G$9:$G$255)</f>
        <v>0</v>
      </c>
      <c r="X38" s="494">
        <f>SUMIF('D-2 Off Site Habitat Creation'!$F$9:$F$255,'G-2 Habitat groups'!A38,'D-2 Off Site Habitat Creation'!$AA$9:$AA$255)</f>
        <v>0</v>
      </c>
      <c r="Y38" s="494">
        <f>SUMIF('D-3 Off Site Habitat Enhancment'!$S$12:$S$491,'G-2 Habitat groups'!A38,'D-3 Off Site Habitat Enhancment'!$V$12:$V$491)</f>
        <v>0</v>
      </c>
      <c r="Z38" s="494">
        <f>SUMIF('D-3 Off Site Habitat Enhancment'!$S$12:$S$491,'G-2 Habitat groups'!A38,'D-3 Off Site Habitat Enhancment'!$AP$12:$AP$491)</f>
        <v>0</v>
      </c>
      <c r="AA38" s="494">
        <f t="shared" si="57"/>
        <v>0</v>
      </c>
      <c r="AB38" s="494">
        <f t="shared" si="58"/>
        <v>0</v>
      </c>
      <c r="AC38" s="494">
        <f t="shared" si="59"/>
        <v>0</v>
      </c>
      <c r="AD38" s="494">
        <f t="shared" si="60"/>
        <v>0</v>
      </c>
      <c r="AE38" s="494">
        <f t="shared" si="61"/>
        <v>0</v>
      </c>
      <c r="AF38" s="494">
        <f t="shared" si="62"/>
        <v>0</v>
      </c>
      <c r="AU38" s="113" t="s">
        <v>526</v>
      </c>
      <c r="AV38" s="88" t="s">
        <v>72</v>
      </c>
      <c r="AW38" s="494">
        <f t="shared" si="43"/>
        <v>0</v>
      </c>
      <c r="AX38" s="494">
        <f t="shared" si="44"/>
        <v>0</v>
      </c>
      <c r="AY38" s="494">
        <f t="shared" si="45"/>
        <v>0</v>
      </c>
      <c r="AZ38" s="494">
        <f t="shared" si="46"/>
        <v>0</v>
      </c>
      <c r="BA38" s="494">
        <f t="shared" si="47"/>
        <v>0</v>
      </c>
      <c r="BB38" s="494">
        <f t="shared" si="48"/>
        <v>0</v>
      </c>
      <c r="BC38" s="494">
        <f t="shared" si="49"/>
        <v>0</v>
      </c>
      <c r="BD38" s="494">
        <f t="shared" si="50"/>
        <v>0</v>
      </c>
      <c r="BE38" s="494">
        <f t="shared" si="51"/>
        <v>0</v>
      </c>
      <c r="BF38" s="494" t="str">
        <f t="shared" si="52"/>
        <v/>
      </c>
    </row>
    <row r="39" spans="1:58" x14ac:dyDescent="0.25">
      <c r="A39" s="104" t="str">
        <f>'G-1 All Habitats'!B38</f>
        <v>Lakes - Aquifer fed naturally fluctuating water bodies</v>
      </c>
      <c r="B39" s="88" t="str">
        <f>'G-1 All Habitats'!F38</f>
        <v>Lakes</v>
      </c>
      <c r="C39" s="88" t="str">
        <f>'G-1 All Habitats'!K38</f>
        <v>V.High</v>
      </c>
      <c r="D39" s="88" t="str">
        <f>'G-1 All Habitats'!M38</f>
        <v>Bespoke compensation likely to be required 🛠</v>
      </c>
      <c r="E39" s="494">
        <f>IF(C39="V.High",SUMIF('A-1 Site Habitat Baseline'!$G$11:$G$258,'G-2 Habitat groups'!A39,'A-1 Site Habitat Baseline'!$S$11:$S$258)+SUMIF('A-1 Site Habitat Baseline'!$G$11:$G$258,'G-2 Habitat groups'!A39,'A-1 Site Habitat Baseline'!$T$11:$T$258),SUMIF('A-1 Site Habitat Baseline'!$G$11:$G$258,'G-2 Habitat groups'!A39,'A-1 Site Habitat Baseline'!$H$11:$H$258))</f>
        <v>0</v>
      </c>
      <c r="F39" s="494">
        <f>SUMIF('A-1 Site Habitat Baseline'!$G$11:$G$258,'G-2 Habitat groups'!A39,'A-1 Site Habitat Baseline'!$Q$11:$Q$258)</f>
        <v>0</v>
      </c>
      <c r="G39" s="494">
        <f>SUMIF('A-1 Site Habitat Baseline'!$G$11:$G$258,'G-2 Habitat groups'!A39,'A-1 Site Habitat Baseline'!$S$11:$S$258)</f>
        <v>0</v>
      </c>
      <c r="H39" s="494">
        <f>SUMIF('A-1 Site Habitat Baseline'!$G$11:$G$258,'G-2 Habitat groups'!A39,'A-1 Site Habitat Baseline'!$U$11:$U$258)</f>
        <v>0</v>
      </c>
      <c r="I39" s="494">
        <f>SUMIF('A-1 Site Habitat Baseline'!$G$11:$G$258,'G-2 Habitat groups'!A39,'A-1 Site Habitat Baseline'!$W$11:$W$258)</f>
        <v>0</v>
      </c>
      <c r="J39" s="494">
        <f>SUMIF('A-1 Site Habitat Baseline'!$G$11:$G$258,'G-2 Habitat groups'!A39,'A-1 Site Habitat Baseline'!$X$11:$X$258)</f>
        <v>0</v>
      </c>
      <c r="K39" s="494">
        <f>SUMIF('A-2 Site Habitat Creation'!$F$11:$F$256,'G-2 Habitat groups'!A39,'A-2 Site Habitat Creation'!$G$11:$G$256)</f>
        <v>0</v>
      </c>
      <c r="L39" s="494">
        <f>SUMIF('A-2 Site Habitat Creation'!$F$11:$F$256,'G-2 Habitat groups'!A39,'A-2 Site Habitat Creation'!$Y$11:$Y$256)</f>
        <v>0</v>
      </c>
      <c r="M39" s="494">
        <f>SUMIF('A-3 Site Habitat Enhancement'!$S$12:$S$257,'G-2 Habitat groups'!A39,'A-3 Site Habitat Enhancement'!$V$12:$V$257)</f>
        <v>0</v>
      </c>
      <c r="N39" s="494">
        <f>SUMIF('A-3 Site Habitat Enhancement'!$S$12:$S$257,'G-2 Habitat groups'!A39,'A-3 Site Habitat Enhancement'!$AN$12:$AN$257)</f>
        <v>0</v>
      </c>
      <c r="O39" s="494">
        <f t="shared" si="53"/>
        <v>0</v>
      </c>
      <c r="P39" s="494">
        <f t="shared" si="54"/>
        <v>0</v>
      </c>
      <c r="Q39" s="494">
        <f t="shared" si="55"/>
        <v>0</v>
      </c>
      <c r="R39" s="494">
        <f t="shared" si="56"/>
        <v>0</v>
      </c>
      <c r="S39" s="494">
        <f>IF(C39="V.High",SUMIF('D-1 Off Site Habitat Baseline'!$G$11:$G$258,'G-2 Habitat groups'!A39,'D-1 Off Site Habitat Baseline'!$S$11:$S$258)+SUMIF('D-1 Off Site Habitat Baseline'!$G$11:$G$258,'G-2 Habitat groups'!A39,'D-1 Off Site Habitat Baseline'!$T$11:$T$258),SUMIF('D-1 Off Site Habitat Baseline'!$G$11:$G$258,'G-2 Habitat groups'!A39,'D-1 Off Site Habitat Baseline'!$H$11:$H$258))</f>
        <v>0</v>
      </c>
      <c r="T39" s="494">
        <f>SUMIF('D-1 Off Site Habitat Baseline'!$G$11:$G$258,'G-2 Habitat groups'!A39,'D-1 Off Site Habitat Baseline'!$Q$11:$Q$258)</f>
        <v>0</v>
      </c>
      <c r="U39" s="591">
        <f>SUMIF('D-1 Off Site Habitat Baseline'!$G$11:$G$258,'G-2 Habitat groups'!A39,'D-1 Off Site Habitat Baseline'!$S$11:$S$258)</f>
        <v>0</v>
      </c>
      <c r="V39" s="494">
        <f>SUMIF('D-1 Off Site Habitat Baseline'!$G$11:$G$258,'G-2 Habitat groups'!A39,'D-1 Off Site Habitat Baseline'!$U$11:$U$258)</f>
        <v>0</v>
      </c>
      <c r="W39" s="494">
        <f>SUMIF('D-2 Off Site Habitat Creation'!$F$9:$F$255,'G-2 Habitat groups'!A39,'D-2 Off Site Habitat Creation'!$G$9:$G$255)</f>
        <v>0</v>
      </c>
      <c r="X39" s="494">
        <f>SUMIF('D-2 Off Site Habitat Creation'!$F$9:$F$255,'G-2 Habitat groups'!A39,'D-2 Off Site Habitat Creation'!$AA$9:$AA$255)</f>
        <v>0</v>
      </c>
      <c r="Y39" s="494">
        <f>SUMIF('D-3 Off Site Habitat Enhancment'!$S$12:$S$491,'G-2 Habitat groups'!A39,'D-3 Off Site Habitat Enhancment'!$V$12:$V$491)</f>
        <v>0</v>
      </c>
      <c r="Z39" s="494">
        <f>SUMIF('D-3 Off Site Habitat Enhancment'!$S$12:$S$491,'G-2 Habitat groups'!A39,'D-3 Off Site Habitat Enhancment'!$AP$12:$AP$491)</f>
        <v>0</v>
      </c>
      <c r="AA39" s="494">
        <f t="shared" si="57"/>
        <v>0</v>
      </c>
      <c r="AB39" s="494">
        <f t="shared" si="58"/>
        <v>0</v>
      </c>
      <c r="AC39" s="494">
        <f t="shared" si="59"/>
        <v>0</v>
      </c>
      <c r="AD39" s="494">
        <f t="shared" si="60"/>
        <v>0</v>
      </c>
      <c r="AE39" s="494">
        <f t="shared" si="61"/>
        <v>0</v>
      </c>
      <c r="AF39" s="494">
        <f t="shared" si="62"/>
        <v>0</v>
      </c>
      <c r="AU39" s="113" t="s">
        <v>529</v>
      </c>
      <c r="AV39" s="88" t="s">
        <v>72</v>
      </c>
      <c r="AW39" s="494">
        <f t="shared" si="43"/>
        <v>0</v>
      </c>
      <c r="AX39" s="494">
        <f t="shared" si="44"/>
        <v>0</v>
      </c>
      <c r="AY39" s="494">
        <f t="shared" si="45"/>
        <v>0</v>
      </c>
      <c r="AZ39" s="494">
        <f t="shared" si="46"/>
        <v>0</v>
      </c>
      <c r="BA39" s="494">
        <f t="shared" si="47"/>
        <v>0</v>
      </c>
      <c r="BB39" s="494">
        <f t="shared" si="48"/>
        <v>0</v>
      </c>
      <c r="BC39" s="494">
        <f t="shared" si="49"/>
        <v>0</v>
      </c>
      <c r="BD39" s="494">
        <f t="shared" si="50"/>
        <v>0</v>
      </c>
      <c r="BE39" s="494">
        <f t="shared" si="51"/>
        <v>0</v>
      </c>
      <c r="BF39" s="494" t="str">
        <f t="shared" si="52"/>
        <v/>
      </c>
    </row>
    <row r="40" spans="1:58" x14ac:dyDescent="0.25">
      <c r="A40" s="104" t="str">
        <f>'G-1 All Habitats'!B39</f>
        <v>Lakes - Ornamental lake or pond</v>
      </c>
      <c r="B40" s="88" t="str">
        <f>'G-1 All Habitats'!F39</f>
        <v>Urban</v>
      </c>
      <c r="C40" s="88" t="str">
        <f>'G-1 All Habitats'!K39</f>
        <v>Low</v>
      </c>
      <c r="D40" s="88" t="str">
        <f>'G-1 All Habitats'!M39</f>
        <v>Same distinctiveness or better habitat required ≥</v>
      </c>
      <c r="E40" s="494">
        <f>IF(C40="V.High",SUMIF('A-1 Site Habitat Baseline'!$G$11:$G$258,'G-2 Habitat groups'!A40,'A-1 Site Habitat Baseline'!$S$11:$S$258)+SUMIF('A-1 Site Habitat Baseline'!$G$11:$G$258,'G-2 Habitat groups'!A40,'A-1 Site Habitat Baseline'!$T$11:$T$258),SUMIF('A-1 Site Habitat Baseline'!$G$11:$G$258,'G-2 Habitat groups'!A40,'A-1 Site Habitat Baseline'!$H$11:$H$258))</f>
        <v>0</v>
      </c>
      <c r="F40" s="494">
        <f>SUMIF('A-1 Site Habitat Baseline'!$G$11:$G$258,'G-2 Habitat groups'!A40,'A-1 Site Habitat Baseline'!$Q$11:$Q$258)</f>
        <v>0</v>
      </c>
      <c r="G40" s="494">
        <f>SUMIF('A-1 Site Habitat Baseline'!$G$11:$G$258,'G-2 Habitat groups'!A40,'A-1 Site Habitat Baseline'!$S$11:$S$258)</f>
        <v>0</v>
      </c>
      <c r="H40" s="494">
        <f>SUMIF('A-1 Site Habitat Baseline'!$G$11:$G$258,'G-2 Habitat groups'!A40,'A-1 Site Habitat Baseline'!$U$11:$U$258)</f>
        <v>0</v>
      </c>
      <c r="I40" s="494">
        <f>SUMIF('A-1 Site Habitat Baseline'!$G$11:$G$258,'G-2 Habitat groups'!A40,'A-1 Site Habitat Baseline'!$W$11:$W$258)</f>
        <v>0</v>
      </c>
      <c r="J40" s="494">
        <f>SUMIF('A-1 Site Habitat Baseline'!$G$11:$G$258,'G-2 Habitat groups'!A40,'A-1 Site Habitat Baseline'!$X$11:$X$258)</f>
        <v>0</v>
      </c>
      <c r="K40" s="494">
        <f>SUMIF('A-2 Site Habitat Creation'!$F$11:$F$256,'G-2 Habitat groups'!A40,'A-2 Site Habitat Creation'!$G$11:$G$256)</f>
        <v>0</v>
      </c>
      <c r="L40" s="494">
        <f>SUMIF('A-2 Site Habitat Creation'!$F$11:$F$256,'G-2 Habitat groups'!A40,'A-2 Site Habitat Creation'!$Y$11:$Y$256)</f>
        <v>0</v>
      </c>
      <c r="M40" s="494">
        <f>SUMIF('A-3 Site Habitat Enhancement'!$S$12:$S$257,'G-2 Habitat groups'!A40,'A-3 Site Habitat Enhancement'!$V$12:$V$257)</f>
        <v>0</v>
      </c>
      <c r="N40" s="494">
        <f>SUMIF('A-3 Site Habitat Enhancement'!$S$12:$S$257,'G-2 Habitat groups'!A40,'A-3 Site Habitat Enhancement'!$AN$12:$AN$257)</f>
        <v>0</v>
      </c>
      <c r="O40" s="494">
        <f t="shared" si="53"/>
        <v>0</v>
      </c>
      <c r="P40" s="494">
        <f t="shared" si="54"/>
        <v>0</v>
      </c>
      <c r="Q40" s="494">
        <f t="shared" si="55"/>
        <v>0</v>
      </c>
      <c r="R40" s="494">
        <f t="shared" si="56"/>
        <v>0</v>
      </c>
      <c r="S40" s="494">
        <f>IF(C40="V.High",SUMIF('D-1 Off Site Habitat Baseline'!$G$11:$G$258,'G-2 Habitat groups'!A40,'D-1 Off Site Habitat Baseline'!$S$11:$S$258)+SUMIF('D-1 Off Site Habitat Baseline'!$G$11:$G$258,'G-2 Habitat groups'!A40,'D-1 Off Site Habitat Baseline'!$T$11:$T$258),SUMIF('D-1 Off Site Habitat Baseline'!$G$11:$G$258,'G-2 Habitat groups'!A40,'D-1 Off Site Habitat Baseline'!$H$11:$H$258))</f>
        <v>0</v>
      </c>
      <c r="T40" s="494">
        <f>SUMIF('D-1 Off Site Habitat Baseline'!$G$11:$G$258,'G-2 Habitat groups'!A40,'D-1 Off Site Habitat Baseline'!$Q$11:$Q$258)</f>
        <v>0</v>
      </c>
      <c r="U40" s="591">
        <f>SUMIF('D-1 Off Site Habitat Baseline'!$G$11:$G$258,'G-2 Habitat groups'!A40,'D-1 Off Site Habitat Baseline'!$S$11:$S$258)</f>
        <v>0</v>
      </c>
      <c r="V40" s="494">
        <f>SUMIF('D-1 Off Site Habitat Baseline'!$G$11:$G$258,'G-2 Habitat groups'!A40,'D-1 Off Site Habitat Baseline'!$U$11:$U$258)</f>
        <v>0</v>
      </c>
      <c r="W40" s="494">
        <f>SUMIF('D-2 Off Site Habitat Creation'!$F$9:$F$255,'G-2 Habitat groups'!A40,'D-2 Off Site Habitat Creation'!$G$9:$G$255)</f>
        <v>0</v>
      </c>
      <c r="X40" s="494">
        <f>SUMIF('D-2 Off Site Habitat Creation'!$F$9:$F$255,'G-2 Habitat groups'!A40,'D-2 Off Site Habitat Creation'!$AA$9:$AA$255)</f>
        <v>0</v>
      </c>
      <c r="Y40" s="494">
        <f>SUMIF('D-3 Off Site Habitat Enhancment'!$S$12:$S$491,'G-2 Habitat groups'!A40,'D-3 Off Site Habitat Enhancment'!$V$12:$V$491)</f>
        <v>0</v>
      </c>
      <c r="Z40" s="494">
        <f>SUMIF('D-3 Off Site Habitat Enhancment'!$S$12:$S$491,'G-2 Habitat groups'!A40,'D-3 Off Site Habitat Enhancment'!$AP$12:$AP$491)</f>
        <v>0</v>
      </c>
      <c r="AA40" s="494">
        <f t="shared" si="57"/>
        <v>0</v>
      </c>
      <c r="AB40" s="494">
        <f t="shared" si="58"/>
        <v>0</v>
      </c>
      <c r="AC40" s="494">
        <f t="shared" si="59"/>
        <v>0</v>
      </c>
      <c r="AD40" s="494">
        <f t="shared" si="60"/>
        <v>0</v>
      </c>
      <c r="AE40" s="494">
        <f t="shared" si="61"/>
        <v>0</v>
      </c>
      <c r="AF40" s="494">
        <f t="shared" si="62"/>
        <v>0</v>
      </c>
      <c r="AU40" s="113" t="s">
        <v>532</v>
      </c>
      <c r="AV40" s="88" t="s">
        <v>72</v>
      </c>
      <c r="AW40" s="494">
        <f t="shared" si="43"/>
        <v>0</v>
      </c>
      <c r="AX40" s="494">
        <f t="shared" si="44"/>
        <v>0</v>
      </c>
      <c r="AY40" s="494">
        <f t="shared" si="45"/>
        <v>0</v>
      </c>
      <c r="AZ40" s="494">
        <f t="shared" si="46"/>
        <v>0</v>
      </c>
      <c r="BA40" s="494">
        <f t="shared" si="47"/>
        <v>0</v>
      </c>
      <c r="BB40" s="494">
        <f t="shared" si="48"/>
        <v>0</v>
      </c>
      <c r="BC40" s="494">
        <f t="shared" si="49"/>
        <v>0</v>
      </c>
      <c r="BD40" s="494">
        <f t="shared" si="50"/>
        <v>0</v>
      </c>
      <c r="BE40" s="494">
        <f t="shared" si="51"/>
        <v>0</v>
      </c>
      <c r="BF40" s="494" t="str">
        <f t="shared" si="52"/>
        <v/>
      </c>
    </row>
    <row r="41" spans="1:58" x14ac:dyDescent="0.25">
      <c r="A41" s="104" t="str">
        <f>'G-1 All Habitats'!B40</f>
        <v>Lakes - High alkalinity lakes</v>
      </c>
      <c r="B41" s="88" t="str">
        <f>'G-1 All Habitats'!F40</f>
        <v>Lakes</v>
      </c>
      <c r="C41" s="88" t="str">
        <f>'G-1 All Habitats'!K40</f>
        <v>High</v>
      </c>
      <c r="D41" s="88" t="str">
        <f>'G-1 All Habitats'!M40</f>
        <v>Same habitat required =</v>
      </c>
      <c r="E41" s="494">
        <f>IF(C41="V.High",SUMIF('A-1 Site Habitat Baseline'!$G$11:$G$258,'G-2 Habitat groups'!A41,'A-1 Site Habitat Baseline'!$S$11:$S$258)+SUMIF('A-1 Site Habitat Baseline'!$G$11:$G$258,'G-2 Habitat groups'!A41,'A-1 Site Habitat Baseline'!$T$11:$T$258),SUMIF('A-1 Site Habitat Baseline'!$G$11:$G$258,'G-2 Habitat groups'!A41,'A-1 Site Habitat Baseline'!$H$11:$H$258))</f>
        <v>0</v>
      </c>
      <c r="F41" s="494">
        <f>SUMIF('A-1 Site Habitat Baseline'!$G$11:$G$258,'G-2 Habitat groups'!A41,'A-1 Site Habitat Baseline'!$Q$11:$Q$258)</f>
        <v>0</v>
      </c>
      <c r="G41" s="494">
        <f>SUMIF('A-1 Site Habitat Baseline'!$G$11:$G$258,'G-2 Habitat groups'!A41,'A-1 Site Habitat Baseline'!$S$11:$S$258)</f>
        <v>0</v>
      </c>
      <c r="H41" s="494">
        <f>SUMIF('A-1 Site Habitat Baseline'!$G$11:$G$258,'G-2 Habitat groups'!A41,'A-1 Site Habitat Baseline'!$U$11:$U$258)</f>
        <v>0</v>
      </c>
      <c r="I41" s="494">
        <f>SUMIF('A-1 Site Habitat Baseline'!$G$11:$G$258,'G-2 Habitat groups'!A41,'A-1 Site Habitat Baseline'!$W$11:$W$258)</f>
        <v>0</v>
      </c>
      <c r="J41" s="494">
        <f>SUMIF('A-1 Site Habitat Baseline'!$G$11:$G$258,'G-2 Habitat groups'!A41,'A-1 Site Habitat Baseline'!$X$11:$X$258)</f>
        <v>0</v>
      </c>
      <c r="K41" s="494">
        <f>SUMIF('A-2 Site Habitat Creation'!$F$11:$F$256,'G-2 Habitat groups'!A41,'A-2 Site Habitat Creation'!$G$11:$G$256)</f>
        <v>0</v>
      </c>
      <c r="L41" s="494">
        <f>SUMIF('A-2 Site Habitat Creation'!$F$11:$F$256,'G-2 Habitat groups'!A41,'A-2 Site Habitat Creation'!$Y$11:$Y$256)</f>
        <v>0</v>
      </c>
      <c r="M41" s="494">
        <f>SUMIF('A-3 Site Habitat Enhancement'!$S$12:$S$257,'G-2 Habitat groups'!A41,'A-3 Site Habitat Enhancement'!$V$12:$V$257)</f>
        <v>0</v>
      </c>
      <c r="N41" s="494">
        <f>SUMIF('A-3 Site Habitat Enhancement'!$S$12:$S$257,'G-2 Habitat groups'!A41,'A-3 Site Habitat Enhancement'!$AN$12:$AN$257)</f>
        <v>0</v>
      </c>
      <c r="O41" s="494">
        <f t="shared" si="53"/>
        <v>0</v>
      </c>
      <c r="P41" s="494">
        <f t="shared" si="54"/>
        <v>0</v>
      </c>
      <c r="Q41" s="494">
        <f t="shared" si="55"/>
        <v>0</v>
      </c>
      <c r="R41" s="494">
        <f t="shared" si="56"/>
        <v>0</v>
      </c>
      <c r="S41" s="494">
        <f>IF(C41="V.High",SUMIF('D-1 Off Site Habitat Baseline'!$G$11:$G$258,'G-2 Habitat groups'!A41,'D-1 Off Site Habitat Baseline'!$S$11:$S$258)+SUMIF('D-1 Off Site Habitat Baseline'!$G$11:$G$258,'G-2 Habitat groups'!A41,'D-1 Off Site Habitat Baseline'!$T$11:$T$258),SUMIF('D-1 Off Site Habitat Baseline'!$G$11:$G$258,'G-2 Habitat groups'!A41,'D-1 Off Site Habitat Baseline'!$H$11:$H$258))</f>
        <v>0</v>
      </c>
      <c r="T41" s="494">
        <f>SUMIF('D-1 Off Site Habitat Baseline'!$G$11:$G$258,'G-2 Habitat groups'!A41,'D-1 Off Site Habitat Baseline'!$Q$11:$Q$258)</f>
        <v>0</v>
      </c>
      <c r="U41" s="591">
        <f>SUMIF('D-1 Off Site Habitat Baseline'!$G$11:$G$258,'G-2 Habitat groups'!A41,'D-1 Off Site Habitat Baseline'!$S$11:$S$258)</f>
        <v>0</v>
      </c>
      <c r="V41" s="494">
        <f>SUMIF('D-1 Off Site Habitat Baseline'!$G$11:$G$258,'G-2 Habitat groups'!A41,'D-1 Off Site Habitat Baseline'!$U$11:$U$258)</f>
        <v>0</v>
      </c>
      <c r="W41" s="494">
        <f>SUMIF('D-2 Off Site Habitat Creation'!$F$9:$F$255,'G-2 Habitat groups'!A41,'D-2 Off Site Habitat Creation'!$G$9:$G$255)</f>
        <v>0</v>
      </c>
      <c r="X41" s="494">
        <f>SUMIF('D-2 Off Site Habitat Creation'!$F$9:$F$255,'G-2 Habitat groups'!A41,'D-2 Off Site Habitat Creation'!$AA$9:$AA$255)</f>
        <v>0</v>
      </c>
      <c r="Y41" s="494">
        <f>SUMIF('D-3 Off Site Habitat Enhancment'!$S$12:$S$491,'G-2 Habitat groups'!A41,'D-3 Off Site Habitat Enhancment'!$V$12:$V$491)</f>
        <v>0</v>
      </c>
      <c r="Z41" s="494">
        <f>SUMIF('D-3 Off Site Habitat Enhancment'!$S$12:$S$491,'G-2 Habitat groups'!A41,'D-3 Off Site Habitat Enhancment'!$AP$12:$AP$491)</f>
        <v>0</v>
      </c>
      <c r="AA41" s="494">
        <f t="shared" si="57"/>
        <v>0</v>
      </c>
      <c r="AB41" s="494">
        <f t="shared" si="58"/>
        <v>0</v>
      </c>
      <c r="AC41" s="494">
        <f t="shared" si="59"/>
        <v>0</v>
      </c>
      <c r="AD41" s="494">
        <f t="shared" si="60"/>
        <v>0</v>
      </c>
      <c r="AE41" s="494">
        <f t="shared" si="61"/>
        <v>0</v>
      </c>
      <c r="AF41" s="494">
        <f t="shared" si="62"/>
        <v>0</v>
      </c>
      <c r="AU41" s="113" t="s">
        <v>535</v>
      </c>
      <c r="AV41" s="88" t="s">
        <v>72</v>
      </c>
      <c r="AW41" s="494">
        <f t="shared" si="43"/>
        <v>0</v>
      </c>
      <c r="AX41" s="494">
        <f t="shared" si="44"/>
        <v>0</v>
      </c>
      <c r="AY41" s="494">
        <f t="shared" si="45"/>
        <v>0</v>
      </c>
      <c r="AZ41" s="494">
        <f t="shared" si="46"/>
        <v>0</v>
      </c>
      <c r="BA41" s="494">
        <f t="shared" si="47"/>
        <v>0</v>
      </c>
      <c r="BB41" s="494">
        <f t="shared" si="48"/>
        <v>0</v>
      </c>
      <c r="BC41" s="494">
        <f t="shared" si="49"/>
        <v>0</v>
      </c>
      <c r="BD41" s="494">
        <f t="shared" si="50"/>
        <v>0</v>
      </c>
      <c r="BE41" s="494">
        <f t="shared" si="51"/>
        <v>0</v>
      </c>
      <c r="BF41" s="494" t="str">
        <f t="shared" si="52"/>
        <v/>
      </c>
    </row>
    <row r="42" spans="1:58" x14ac:dyDescent="0.25">
      <c r="A42" s="104" t="str">
        <f>'G-1 All Habitats'!B41</f>
        <v>Lakes - Low alkalinity lakes</v>
      </c>
      <c r="B42" s="88" t="str">
        <f>'G-1 All Habitats'!F41</f>
        <v>Lakes</v>
      </c>
      <c r="C42" s="88" t="str">
        <f>'G-1 All Habitats'!K41</f>
        <v>High</v>
      </c>
      <c r="D42" s="88" t="str">
        <f>'G-1 All Habitats'!M41</f>
        <v>Same habitat required =</v>
      </c>
      <c r="E42" s="494">
        <f>IF(C42="V.High",SUMIF('A-1 Site Habitat Baseline'!$G$11:$G$258,'G-2 Habitat groups'!A42,'A-1 Site Habitat Baseline'!$S$11:$S$258)+SUMIF('A-1 Site Habitat Baseline'!$G$11:$G$258,'G-2 Habitat groups'!A42,'A-1 Site Habitat Baseline'!$T$11:$T$258),SUMIF('A-1 Site Habitat Baseline'!$G$11:$G$258,'G-2 Habitat groups'!A42,'A-1 Site Habitat Baseline'!$H$11:$H$258))</f>
        <v>0</v>
      </c>
      <c r="F42" s="494">
        <f>SUMIF('A-1 Site Habitat Baseline'!$G$11:$G$258,'G-2 Habitat groups'!A42,'A-1 Site Habitat Baseline'!$Q$11:$Q$258)</f>
        <v>0</v>
      </c>
      <c r="G42" s="494">
        <f>SUMIF('A-1 Site Habitat Baseline'!$G$11:$G$258,'G-2 Habitat groups'!A42,'A-1 Site Habitat Baseline'!$S$11:$S$258)</f>
        <v>0</v>
      </c>
      <c r="H42" s="494">
        <f>SUMIF('A-1 Site Habitat Baseline'!$G$11:$G$258,'G-2 Habitat groups'!A42,'A-1 Site Habitat Baseline'!$U$11:$U$258)</f>
        <v>0</v>
      </c>
      <c r="I42" s="494">
        <f>SUMIF('A-1 Site Habitat Baseline'!$G$11:$G$258,'G-2 Habitat groups'!A42,'A-1 Site Habitat Baseline'!$W$11:$W$258)</f>
        <v>0</v>
      </c>
      <c r="J42" s="494">
        <f>SUMIF('A-1 Site Habitat Baseline'!$G$11:$G$258,'G-2 Habitat groups'!A42,'A-1 Site Habitat Baseline'!$X$11:$X$258)</f>
        <v>0</v>
      </c>
      <c r="K42" s="494">
        <f>SUMIF('A-2 Site Habitat Creation'!$F$11:$F$256,'G-2 Habitat groups'!A42,'A-2 Site Habitat Creation'!$G$11:$G$256)</f>
        <v>0</v>
      </c>
      <c r="L42" s="494">
        <f>SUMIF('A-2 Site Habitat Creation'!$F$11:$F$256,'G-2 Habitat groups'!A42,'A-2 Site Habitat Creation'!$Y$11:$Y$256)</f>
        <v>0</v>
      </c>
      <c r="M42" s="494">
        <f>SUMIF('A-3 Site Habitat Enhancement'!$S$12:$S$257,'G-2 Habitat groups'!A42,'A-3 Site Habitat Enhancement'!$V$12:$V$257)</f>
        <v>0</v>
      </c>
      <c r="N42" s="494">
        <f>SUMIF('A-3 Site Habitat Enhancement'!$S$12:$S$257,'G-2 Habitat groups'!A42,'A-3 Site Habitat Enhancement'!$AN$12:$AN$257)</f>
        <v>0</v>
      </c>
      <c r="O42" s="494">
        <f t="shared" si="53"/>
        <v>0</v>
      </c>
      <c r="P42" s="494">
        <f t="shared" si="54"/>
        <v>0</v>
      </c>
      <c r="Q42" s="494">
        <f t="shared" si="55"/>
        <v>0</v>
      </c>
      <c r="R42" s="494">
        <f t="shared" si="56"/>
        <v>0</v>
      </c>
      <c r="S42" s="494">
        <f>IF(C42="V.High",SUMIF('D-1 Off Site Habitat Baseline'!$G$11:$G$258,'G-2 Habitat groups'!A42,'D-1 Off Site Habitat Baseline'!$S$11:$S$258)+SUMIF('D-1 Off Site Habitat Baseline'!$G$11:$G$258,'G-2 Habitat groups'!A42,'D-1 Off Site Habitat Baseline'!$T$11:$T$258),SUMIF('D-1 Off Site Habitat Baseline'!$G$11:$G$258,'G-2 Habitat groups'!A42,'D-1 Off Site Habitat Baseline'!$H$11:$H$258))</f>
        <v>0</v>
      </c>
      <c r="T42" s="494">
        <f>SUMIF('D-1 Off Site Habitat Baseline'!$G$11:$G$258,'G-2 Habitat groups'!A42,'D-1 Off Site Habitat Baseline'!$Q$11:$Q$258)</f>
        <v>0</v>
      </c>
      <c r="U42" s="591">
        <f>SUMIF('D-1 Off Site Habitat Baseline'!$G$11:$G$258,'G-2 Habitat groups'!A42,'D-1 Off Site Habitat Baseline'!$S$11:$S$258)</f>
        <v>0</v>
      </c>
      <c r="V42" s="494">
        <f>SUMIF('D-1 Off Site Habitat Baseline'!$G$11:$G$258,'G-2 Habitat groups'!A42,'D-1 Off Site Habitat Baseline'!$U$11:$U$258)</f>
        <v>0</v>
      </c>
      <c r="W42" s="494">
        <f>SUMIF('D-2 Off Site Habitat Creation'!$F$9:$F$255,'G-2 Habitat groups'!A42,'D-2 Off Site Habitat Creation'!$G$9:$G$255)</f>
        <v>0</v>
      </c>
      <c r="X42" s="494">
        <f>SUMIF('D-2 Off Site Habitat Creation'!$F$9:$F$255,'G-2 Habitat groups'!A42,'D-2 Off Site Habitat Creation'!$AA$9:$AA$255)</f>
        <v>0</v>
      </c>
      <c r="Y42" s="494">
        <f>SUMIF('D-3 Off Site Habitat Enhancment'!$S$12:$S$491,'G-2 Habitat groups'!A42,'D-3 Off Site Habitat Enhancment'!$V$12:$V$491)</f>
        <v>0</v>
      </c>
      <c r="Z42" s="494">
        <f>SUMIF('D-3 Off Site Habitat Enhancment'!$S$12:$S$491,'G-2 Habitat groups'!A42,'D-3 Off Site Habitat Enhancment'!$AP$12:$AP$491)</f>
        <v>0</v>
      </c>
      <c r="AA42" s="494">
        <f t="shared" si="57"/>
        <v>0</v>
      </c>
      <c r="AB42" s="494">
        <f t="shared" si="58"/>
        <v>0</v>
      </c>
      <c r="AC42" s="494">
        <f t="shared" si="59"/>
        <v>0</v>
      </c>
      <c r="AD42" s="494">
        <f t="shared" si="60"/>
        <v>0</v>
      </c>
      <c r="AE42" s="494">
        <f t="shared" si="61"/>
        <v>0</v>
      </c>
      <c r="AF42" s="494">
        <f t="shared" si="62"/>
        <v>0</v>
      </c>
      <c r="AU42" s="113" t="s">
        <v>538</v>
      </c>
      <c r="AV42" s="88" t="s">
        <v>72</v>
      </c>
      <c r="AW42" s="494">
        <f t="shared" si="43"/>
        <v>0</v>
      </c>
      <c r="AX42" s="494">
        <f t="shared" si="44"/>
        <v>0</v>
      </c>
      <c r="AY42" s="494">
        <f t="shared" si="45"/>
        <v>0</v>
      </c>
      <c r="AZ42" s="494">
        <f t="shared" si="46"/>
        <v>0</v>
      </c>
      <c r="BA42" s="494">
        <f t="shared" si="47"/>
        <v>0</v>
      </c>
      <c r="BB42" s="494">
        <f t="shared" si="48"/>
        <v>0</v>
      </c>
      <c r="BC42" s="494">
        <f t="shared" si="49"/>
        <v>0</v>
      </c>
      <c r="BD42" s="494">
        <f t="shared" si="50"/>
        <v>0</v>
      </c>
      <c r="BE42" s="494">
        <f t="shared" si="51"/>
        <v>0</v>
      </c>
      <c r="BF42" s="494" t="str">
        <f t="shared" si="52"/>
        <v/>
      </c>
    </row>
    <row r="43" spans="1:58" x14ac:dyDescent="0.25">
      <c r="A43" s="104" t="str">
        <f>'G-1 All Habitats'!B42</f>
        <v>Lakes - Marl Lakes</v>
      </c>
      <c r="B43" s="88" t="str">
        <f>'G-1 All Habitats'!F42</f>
        <v>Lakes</v>
      </c>
      <c r="C43" s="88" t="str">
        <f>'G-1 All Habitats'!K42</f>
        <v>High</v>
      </c>
      <c r="D43" s="88" t="str">
        <f>'G-1 All Habitats'!M42</f>
        <v>Same habitat required =</v>
      </c>
      <c r="E43" s="494">
        <f>IF(C43="V.High",SUMIF('A-1 Site Habitat Baseline'!$G$11:$G$258,'G-2 Habitat groups'!A43,'A-1 Site Habitat Baseline'!$S$11:$S$258)+SUMIF('A-1 Site Habitat Baseline'!$G$11:$G$258,'G-2 Habitat groups'!A43,'A-1 Site Habitat Baseline'!$T$11:$T$258),SUMIF('A-1 Site Habitat Baseline'!$G$11:$G$258,'G-2 Habitat groups'!A43,'A-1 Site Habitat Baseline'!$H$11:$H$258))</f>
        <v>0</v>
      </c>
      <c r="F43" s="494">
        <f>SUMIF('A-1 Site Habitat Baseline'!$G$11:$G$258,'G-2 Habitat groups'!A43,'A-1 Site Habitat Baseline'!$Q$11:$Q$258)</f>
        <v>0</v>
      </c>
      <c r="G43" s="494">
        <f>SUMIF('A-1 Site Habitat Baseline'!$G$11:$G$258,'G-2 Habitat groups'!A43,'A-1 Site Habitat Baseline'!$S$11:$S$258)</f>
        <v>0</v>
      </c>
      <c r="H43" s="494">
        <f>SUMIF('A-1 Site Habitat Baseline'!$G$11:$G$258,'G-2 Habitat groups'!A43,'A-1 Site Habitat Baseline'!$U$11:$U$258)</f>
        <v>0</v>
      </c>
      <c r="I43" s="494">
        <f>SUMIF('A-1 Site Habitat Baseline'!$G$11:$G$258,'G-2 Habitat groups'!A43,'A-1 Site Habitat Baseline'!$W$11:$W$258)</f>
        <v>0</v>
      </c>
      <c r="J43" s="494">
        <f>SUMIF('A-1 Site Habitat Baseline'!$G$11:$G$258,'G-2 Habitat groups'!A43,'A-1 Site Habitat Baseline'!$X$11:$X$258)</f>
        <v>0</v>
      </c>
      <c r="K43" s="494">
        <f>SUMIF('A-2 Site Habitat Creation'!$F$11:$F$256,'G-2 Habitat groups'!A43,'A-2 Site Habitat Creation'!$G$11:$G$256)</f>
        <v>0</v>
      </c>
      <c r="L43" s="494">
        <f>SUMIF('A-2 Site Habitat Creation'!$F$11:$F$256,'G-2 Habitat groups'!A43,'A-2 Site Habitat Creation'!$Y$11:$Y$256)</f>
        <v>0</v>
      </c>
      <c r="M43" s="494">
        <f>SUMIF('A-3 Site Habitat Enhancement'!$S$12:$S$257,'G-2 Habitat groups'!A43,'A-3 Site Habitat Enhancement'!$V$12:$V$257)</f>
        <v>0</v>
      </c>
      <c r="N43" s="494">
        <f>SUMIF('A-3 Site Habitat Enhancement'!$S$12:$S$257,'G-2 Habitat groups'!A43,'A-3 Site Habitat Enhancement'!$AN$12:$AN$257)</f>
        <v>0</v>
      </c>
      <c r="O43" s="494">
        <f t="shared" si="53"/>
        <v>0</v>
      </c>
      <c r="P43" s="494">
        <f t="shared" si="54"/>
        <v>0</v>
      </c>
      <c r="Q43" s="494">
        <f t="shared" si="55"/>
        <v>0</v>
      </c>
      <c r="R43" s="494">
        <f t="shared" si="56"/>
        <v>0</v>
      </c>
      <c r="S43" s="494">
        <f>IF(C43="V.High",SUMIF('D-1 Off Site Habitat Baseline'!$G$11:$G$258,'G-2 Habitat groups'!A43,'D-1 Off Site Habitat Baseline'!$S$11:$S$258)+SUMIF('D-1 Off Site Habitat Baseline'!$G$11:$G$258,'G-2 Habitat groups'!A43,'D-1 Off Site Habitat Baseline'!$T$11:$T$258),SUMIF('D-1 Off Site Habitat Baseline'!$G$11:$G$258,'G-2 Habitat groups'!A43,'D-1 Off Site Habitat Baseline'!$H$11:$H$258))</f>
        <v>0</v>
      </c>
      <c r="T43" s="494">
        <f>SUMIF('D-1 Off Site Habitat Baseline'!$G$11:$G$258,'G-2 Habitat groups'!A43,'D-1 Off Site Habitat Baseline'!$Q$11:$Q$258)</f>
        <v>0</v>
      </c>
      <c r="U43" s="591">
        <f>SUMIF('D-1 Off Site Habitat Baseline'!$G$11:$G$258,'G-2 Habitat groups'!A43,'D-1 Off Site Habitat Baseline'!$S$11:$S$258)</f>
        <v>0</v>
      </c>
      <c r="V43" s="494">
        <f>SUMIF('D-1 Off Site Habitat Baseline'!$G$11:$G$258,'G-2 Habitat groups'!A43,'D-1 Off Site Habitat Baseline'!$U$11:$U$258)</f>
        <v>0</v>
      </c>
      <c r="W43" s="494">
        <f>SUMIF('D-2 Off Site Habitat Creation'!$F$9:$F$255,'G-2 Habitat groups'!A43,'D-2 Off Site Habitat Creation'!$G$9:$G$255)</f>
        <v>0</v>
      </c>
      <c r="X43" s="494">
        <f>SUMIF('D-2 Off Site Habitat Creation'!$F$9:$F$255,'G-2 Habitat groups'!A43,'D-2 Off Site Habitat Creation'!$AA$9:$AA$255)</f>
        <v>0</v>
      </c>
      <c r="Y43" s="494">
        <f>SUMIF('D-3 Off Site Habitat Enhancment'!$S$12:$S$491,'G-2 Habitat groups'!A43,'D-3 Off Site Habitat Enhancment'!$V$12:$V$491)</f>
        <v>0</v>
      </c>
      <c r="Z43" s="494">
        <f>SUMIF('D-3 Off Site Habitat Enhancment'!$S$12:$S$491,'G-2 Habitat groups'!A43,'D-3 Off Site Habitat Enhancment'!$AP$12:$AP$491)</f>
        <v>0</v>
      </c>
      <c r="AA43" s="494">
        <f t="shared" si="57"/>
        <v>0</v>
      </c>
      <c r="AB43" s="494">
        <f t="shared" si="58"/>
        <v>0</v>
      </c>
      <c r="AC43" s="494">
        <f t="shared" si="59"/>
        <v>0</v>
      </c>
      <c r="AD43" s="494">
        <f t="shared" si="60"/>
        <v>0</v>
      </c>
      <c r="AE43" s="494">
        <f t="shared" si="61"/>
        <v>0</v>
      </c>
      <c r="AF43" s="494">
        <f t="shared" si="62"/>
        <v>0</v>
      </c>
      <c r="AU43" s="110" t="s">
        <v>541</v>
      </c>
      <c r="AV43" s="88" t="s">
        <v>72</v>
      </c>
      <c r="AW43" s="494">
        <f t="shared" si="43"/>
        <v>0</v>
      </c>
      <c r="AX43" s="494">
        <f t="shared" si="44"/>
        <v>0</v>
      </c>
      <c r="AY43" s="494">
        <f t="shared" si="45"/>
        <v>0</v>
      </c>
      <c r="AZ43" s="494">
        <f t="shared" si="46"/>
        <v>0</v>
      </c>
      <c r="BA43" s="494">
        <f t="shared" si="47"/>
        <v>0</v>
      </c>
      <c r="BB43" s="494">
        <f t="shared" si="48"/>
        <v>0</v>
      </c>
      <c r="BC43" s="494">
        <f t="shared" si="49"/>
        <v>0</v>
      </c>
      <c r="BD43" s="494">
        <f t="shared" si="50"/>
        <v>0</v>
      </c>
      <c r="BE43" s="494">
        <f t="shared" si="51"/>
        <v>0</v>
      </c>
      <c r="BF43" s="494" t="str">
        <f t="shared" si="52"/>
        <v/>
      </c>
    </row>
    <row r="44" spans="1:58" x14ac:dyDescent="0.25">
      <c r="A44" s="104" t="str">
        <f>'G-1 All Habitats'!B43</f>
        <v>Lakes - Moderate alkalinity lakes</v>
      </c>
      <c r="B44" s="88" t="str">
        <f>'G-1 All Habitats'!F43</f>
        <v>Lakes</v>
      </c>
      <c r="C44" s="88" t="str">
        <f>'G-1 All Habitats'!K43</f>
        <v>High</v>
      </c>
      <c r="D44" s="88" t="str">
        <f>'G-1 All Habitats'!M43</f>
        <v>Same habitat required =</v>
      </c>
      <c r="E44" s="494">
        <f>IF(C44="V.High",SUMIF('A-1 Site Habitat Baseline'!$G$11:$G$258,'G-2 Habitat groups'!A44,'A-1 Site Habitat Baseline'!$S$11:$S$258)+SUMIF('A-1 Site Habitat Baseline'!$G$11:$G$258,'G-2 Habitat groups'!A44,'A-1 Site Habitat Baseline'!$T$11:$T$258),SUMIF('A-1 Site Habitat Baseline'!$G$11:$G$258,'G-2 Habitat groups'!A44,'A-1 Site Habitat Baseline'!$H$11:$H$258))</f>
        <v>0</v>
      </c>
      <c r="F44" s="494">
        <f>SUMIF('A-1 Site Habitat Baseline'!$G$11:$G$258,'G-2 Habitat groups'!A44,'A-1 Site Habitat Baseline'!$Q$11:$Q$258)</f>
        <v>0</v>
      </c>
      <c r="G44" s="494">
        <f>SUMIF('A-1 Site Habitat Baseline'!$G$11:$G$258,'G-2 Habitat groups'!A44,'A-1 Site Habitat Baseline'!$S$11:$S$258)</f>
        <v>0</v>
      </c>
      <c r="H44" s="494">
        <f>SUMIF('A-1 Site Habitat Baseline'!$G$11:$G$258,'G-2 Habitat groups'!A44,'A-1 Site Habitat Baseline'!$U$11:$U$258)</f>
        <v>0</v>
      </c>
      <c r="I44" s="494">
        <f>SUMIF('A-1 Site Habitat Baseline'!$G$11:$G$258,'G-2 Habitat groups'!A44,'A-1 Site Habitat Baseline'!$W$11:$W$258)</f>
        <v>0</v>
      </c>
      <c r="J44" s="494">
        <f>SUMIF('A-1 Site Habitat Baseline'!$G$11:$G$258,'G-2 Habitat groups'!A44,'A-1 Site Habitat Baseline'!$X$11:$X$258)</f>
        <v>0</v>
      </c>
      <c r="K44" s="494">
        <f>SUMIF('A-2 Site Habitat Creation'!$F$11:$F$256,'G-2 Habitat groups'!A44,'A-2 Site Habitat Creation'!$G$11:$G$256)</f>
        <v>0</v>
      </c>
      <c r="L44" s="494">
        <f>SUMIF('A-2 Site Habitat Creation'!$F$11:$F$256,'G-2 Habitat groups'!A44,'A-2 Site Habitat Creation'!$Y$11:$Y$256)</f>
        <v>0</v>
      </c>
      <c r="M44" s="494">
        <f>SUMIF('A-3 Site Habitat Enhancement'!$S$12:$S$257,'G-2 Habitat groups'!A44,'A-3 Site Habitat Enhancement'!$V$12:$V$257)</f>
        <v>0</v>
      </c>
      <c r="N44" s="494">
        <f>SUMIF('A-3 Site Habitat Enhancement'!$S$12:$S$257,'G-2 Habitat groups'!A44,'A-3 Site Habitat Enhancement'!$AN$12:$AN$257)</f>
        <v>0</v>
      </c>
      <c r="O44" s="494">
        <f t="shared" si="53"/>
        <v>0</v>
      </c>
      <c r="P44" s="494">
        <f t="shared" si="54"/>
        <v>0</v>
      </c>
      <c r="Q44" s="494">
        <f t="shared" si="55"/>
        <v>0</v>
      </c>
      <c r="R44" s="494">
        <f t="shared" si="56"/>
        <v>0</v>
      </c>
      <c r="S44" s="494">
        <f>IF(C44="V.High",SUMIF('D-1 Off Site Habitat Baseline'!$G$11:$G$258,'G-2 Habitat groups'!A44,'D-1 Off Site Habitat Baseline'!$S$11:$S$258)+SUMIF('D-1 Off Site Habitat Baseline'!$G$11:$G$258,'G-2 Habitat groups'!A44,'D-1 Off Site Habitat Baseline'!$T$11:$T$258),SUMIF('D-1 Off Site Habitat Baseline'!$G$11:$G$258,'G-2 Habitat groups'!A44,'D-1 Off Site Habitat Baseline'!$H$11:$H$258))</f>
        <v>0</v>
      </c>
      <c r="T44" s="494">
        <f>SUMIF('D-1 Off Site Habitat Baseline'!$G$11:$G$258,'G-2 Habitat groups'!A44,'D-1 Off Site Habitat Baseline'!$Q$11:$Q$258)</f>
        <v>0</v>
      </c>
      <c r="U44" s="591">
        <f>SUMIF('D-1 Off Site Habitat Baseline'!$G$11:$G$258,'G-2 Habitat groups'!A44,'D-1 Off Site Habitat Baseline'!$S$11:$S$258)</f>
        <v>0</v>
      </c>
      <c r="V44" s="494">
        <f>SUMIF('D-1 Off Site Habitat Baseline'!$G$11:$G$258,'G-2 Habitat groups'!A44,'D-1 Off Site Habitat Baseline'!$U$11:$U$258)</f>
        <v>0</v>
      </c>
      <c r="W44" s="494">
        <f>SUMIF('D-2 Off Site Habitat Creation'!$F$9:$F$255,'G-2 Habitat groups'!A44,'D-2 Off Site Habitat Creation'!$G$9:$G$255)</f>
        <v>0</v>
      </c>
      <c r="X44" s="494">
        <f>SUMIF('D-2 Off Site Habitat Creation'!$F$9:$F$255,'G-2 Habitat groups'!A44,'D-2 Off Site Habitat Creation'!$AA$9:$AA$255)</f>
        <v>0</v>
      </c>
      <c r="Y44" s="494">
        <f>SUMIF('D-3 Off Site Habitat Enhancment'!$S$12:$S$491,'G-2 Habitat groups'!A44,'D-3 Off Site Habitat Enhancment'!$V$12:$V$491)</f>
        <v>0</v>
      </c>
      <c r="Z44" s="494">
        <f>SUMIF('D-3 Off Site Habitat Enhancment'!$S$12:$S$491,'G-2 Habitat groups'!A44,'D-3 Off Site Habitat Enhancment'!$AP$12:$AP$491)</f>
        <v>0</v>
      </c>
      <c r="AA44" s="494">
        <f t="shared" si="57"/>
        <v>0</v>
      </c>
      <c r="AB44" s="494">
        <f t="shared" si="58"/>
        <v>0</v>
      </c>
      <c r="AC44" s="494">
        <f t="shared" si="59"/>
        <v>0</v>
      </c>
      <c r="AD44" s="494">
        <f t="shared" si="60"/>
        <v>0</v>
      </c>
      <c r="AE44" s="494">
        <f t="shared" si="61"/>
        <v>0</v>
      </c>
      <c r="AF44" s="494">
        <f t="shared" si="62"/>
        <v>0</v>
      </c>
      <c r="AU44" s="113" t="s">
        <v>550</v>
      </c>
      <c r="AV44" s="88" t="s">
        <v>72</v>
      </c>
      <c r="AW44" s="494">
        <f t="shared" si="43"/>
        <v>0</v>
      </c>
      <c r="AX44" s="494">
        <f t="shared" si="44"/>
        <v>0</v>
      </c>
      <c r="AY44" s="494">
        <f t="shared" si="45"/>
        <v>0</v>
      </c>
      <c r="AZ44" s="494">
        <f t="shared" si="46"/>
        <v>0</v>
      </c>
      <c r="BA44" s="494">
        <f t="shared" si="47"/>
        <v>0</v>
      </c>
      <c r="BB44" s="494">
        <f t="shared" si="48"/>
        <v>0</v>
      </c>
      <c r="BC44" s="494">
        <f t="shared" si="49"/>
        <v>0</v>
      </c>
      <c r="BD44" s="494">
        <f t="shared" si="50"/>
        <v>0</v>
      </c>
      <c r="BE44" s="494">
        <f t="shared" si="51"/>
        <v>0</v>
      </c>
      <c r="BF44" s="494" t="str">
        <f t="shared" si="52"/>
        <v/>
      </c>
    </row>
    <row r="45" spans="1:58" x14ac:dyDescent="0.25">
      <c r="A45" s="104" t="str">
        <f>'G-1 All Habitats'!B44</f>
        <v>Lakes - Peat Lakes</v>
      </c>
      <c r="B45" s="88" t="str">
        <f>'G-1 All Habitats'!F44</f>
        <v>Lakes</v>
      </c>
      <c r="C45" s="88" t="str">
        <f>'G-1 All Habitats'!K44</f>
        <v>High</v>
      </c>
      <c r="D45" s="88" t="str">
        <f>'G-1 All Habitats'!M44</f>
        <v>Same habitat required =</v>
      </c>
      <c r="E45" s="494">
        <f>IF(C45="V.High",SUMIF('A-1 Site Habitat Baseline'!$G$11:$G$258,'G-2 Habitat groups'!A45,'A-1 Site Habitat Baseline'!$S$11:$S$258)+SUMIF('A-1 Site Habitat Baseline'!$G$11:$G$258,'G-2 Habitat groups'!A45,'A-1 Site Habitat Baseline'!$T$11:$T$258),SUMIF('A-1 Site Habitat Baseline'!$G$11:$G$258,'G-2 Habitat groups'!A45,'A-1 Site Habitat Baseline'!$H$11:$H$258))</f>
        <v>0</v>
      </c>
      <c r="F45" s="494">
        <f>SUMIF('A-1 Site Habitat Baseline'!$G$11:$G$258,'G-2 Habitat groups'!A45,'A-1 Site Habitat Baseline'!$Q$11:$Q$258)</f>
        <v>0</v>
      </c>
      <c r="G45" s="494">
        <f>SUMIF('A-1 Site Habitat Baseline'!$G$11:$G$258,'G-2 Habitat groups'!A45,'A-1 Site Habitat Baseline'!$S$11:$S$258)</f>
        <v>0</v>
      </c>
      <c r="H45" s="494">
        <f>SUMIF('A-1 Site Habitat Baseline'!$G$11:$G$258,'G-2 Habitat groups'!A45,'A-1 Site Habitat Baseline'!$U$11:$U$258)</f>
        <v>0</v>
      </c>
      <c r="I45" s="494">
        <f>SUMIF('A-1 Site Habitat Baseline'!$G$11:$G$258,'G-2 Habitat groups'!A45,'A-1 Site Habitat Baseline'!$W$11:$W$258)</f>
        <v>0</v>
      </c>
      <c r="J45" s="494">
        <f>SUMIF('A-1 Site Habitat Baseline'!$G$11:$G$258,'G-2 Habitat groups'!A45,'A-1 Site Habitat Baseline'!$X$11:$X$258)</f>
        <v>0</v>
      </c>
      <c r="K45" s="494">
        <f>SUMIF('A-2 Site Habitat Creation'!$F$11:$F$256,'G-2 Habitat groups'!A45,'A-2 Site Habitat Creation'!$G$11:$G$256)</f>
        <v>0</v>
      </c>
      <c r="L45" s="494">
        <f>SUMIF('A-2 Site Habitat Creation'!$F$11:$F$256,'G-2 Habitat groups'!A45,'A-2 Site Habitat Creation'!$Y$11:$Y$256)</f>
        <v>0</v>
      </c>
      <c r="M45" s="494">
        <f>SUMIF('A-3 Site Habitat Enhancement'!$S$12:$S$257,'G-2 Habitat groups'!A45,'A-3 Site Habitat Enhancement'!$V$12:$V$257)</f>
        <v>0</v>
      </c>
      <c r="N45" s="494">
        <f>SUMIF('A-3 Site Habitat Enhancement'!$S$12:$S$257,'G-2 Habitat groups'!A45,'A-3 Site Habitat Enhancement'!$AN$12:$AN$257)</f>
        <v>0</v>
      </c>
      <c r="O45" s="494">
        <f t="shared" si="53"/>
        <v>0</v>
      </c>
      <c r="P45" s="494">
        <f t="shared" si="54"/>
        <v>0</v>
      </c>
      <c r="Q45" s="494">
        <f t="shared" si="55"/>
        <v>0</v>
      </c>
      <c r="R45" s="494">
        <f t="shared" si="56"/>
        <v>0</v>
      </c>
      <c r="S45" s="494">
        <f>IF(C45="V.High",SUMIF('D-1 Off Site Habitat Baseline'!$G$11:$G$258,'G-2 Habitat groups'!A45,'D-1 Off Site Habitat Baseline'!$S$11:$S$258)+SUMIF('D-1 Off Site Habitat Baseline'!$G$11:$G$258,'G-2 Habitat groups'!A45,'D-1 Off Site Habitat Baseline'!$T$11:$T$258),SUMIF('D-1 Off Site Habitat Baseline'!$G$11:$G$258,'G-2 Habitat groups'!A45,'D-1 Off Site Habitat Baseline'!$H$11:$H$258))</f>
        <v>0</v>
      </c>
      <c r="T45" s="494">
        <f>SUMIF('D-1 Off Site Habitat Baseline'!$G$11:$G$258,'G-2 Habitat groups'!A45,'D-1 Off Site Habitat Baseline'!$Q$11:$Q$258)</f>
        <v>0</v>
      </c>
      <c r="U45" s="591">
        <f>SUMIF('D-1 Off Site Habitat Baseline'!$G$11:$G$258,'G-2 Habitat groups'!A45,'D-1 Off Site Habitat Baseline'!$S$11:$S$258)</f>
        <v>0</v>
      </c>
      <c r="V45" s="494">
        <f>SUMIF('D-1 Off Site Habitat Baseline'!$G$11:$G$258,'G-2 Habitat groups'!A45,'D-1 Off Site Habitat Baseline'!$U$11:$U$258)</f>
        <v>0</v>
      </c>
      <c r="W45" s="494">
        <f>SUMIF('D-2 Off Site Habitat Creation'!$F$9:$F$255,'G-2 Habitat groups'!A45,'D-2 Off Site Habitat Creation'!$G$9:$G$255)</f>
        <v>0</v>
      </c>
      <c r="X45" s="494">
        <f>SUMIF('D-2 Off Site Habitat Creation'!$F$9:$F$255,'G-2 Habitat groups'!A45,'D-2 Off Site Habitat Creation'!$AA$9:$AA$255)</f>
        <v>0</v>
      </c>
      <c r="Y45" s="494">
        <f>SUMIF('D-3 Off Site Habitat Enhancment'!$S$12:$S$491,'G-2 Habitat groups'!A45,'D-3 Off Site Habitat Enhancment'!$V$12:$V$491)</f>
        <v>0</v>
      </c>
      <c r="Z45" s="494">
        <f>SUMIF('D-3 Off Site Habitat Enhancment'!$S$12:$S$491,'G-2 Habitat groups'!A45,'D-3 Off Site Habitat Enhancment'!$AP$12:$AP$491)</f>
        <v>0</v>
      </c>
      <c r="AA45" s="494">
        <f t="shared" si="57"/>
        <v>0</v>
      </c>
      <c r="AB45" s="494">
        <f t="shared" si="58"/>
        <v>0</v>
      </c>
      <c r="AC45" s="494">
        <f t="shared" si="59"/>
        <v>0</v>
      </c>
      <c r="AD45" s="494">
        <f t="shared" si="60"/>
        <v>0</v>
      </c>
      <c r="AE45" s="494">
        <f t="shared" si="61"/>
        <v>0</v>
      </c>
      <c r="AF45" s="494">
        <f t="shared" si="62"/>
        <v>0</v>
      </c>
      <c r="AU45" s="113" t="s">
        <v>558</v>
      </c>
      <c r="AV45" s="88" t="s">
        <v>73</v>
      </c>
      <c r="AW45" s="494">
        <f t="shared" si="43"/>
        <v>0</v>
      </c>
      <c r="AX45" s="494">
        <f t="shared" si="44"/>
        <v>0</v>
      </c>
      <c r="AY45" s="494">
        <f t="shared" si="45"/>
        <v>0</v>
      </c>
      <c r="AZ45" s="494">
        <f t="shared" si="46"/>
        <v>0</v>
      </c>
      <c r="BA45" s="494">
        <f t="shared" si="47"/>
        <v>0</v>
      </c>
      <c r="BB45" s="494">
        <f t="shared" si="48"/>
        <v>0</v>
      </c>
      <c r="BC45" s="494">
        <f t="shared" si="49"/>
        <v>0</v>
      </c>
      <c r="BD45" s="494">
        <f t="shared" si="50"/>
        <v>0</v>
      </c>
      <c r="BE45" s="494">
        <f t="shared" si="51"/>
        <v>0</v>
      </c>
      <c r="BF45" s="494" t="str">
        <f t="shared" si="52"/>
        <v/>
      </c>
    </row>
    <row r="46" spans="1:58" x14ac:dyDescent="0.25">
      <c r="A46" s="104" t="str">
        <f>'G-1 All Habitats'!B45</f>
        <v>Lakes - Ponds (Priority Habitat)</v>
      </c>
      <c r="B46" s="88" t="str">
        <f>'G-1 All Habitats'!F45</f>
        <v>Lakes</v>
      </c>
      <c r="C46" s="88" t="str">
        <f>'G-1 All Habitats'!K45</f>
        <v>High</v>
      </c>
      <c r="D46" s="88" t="str">
        <f>'G-1 All Habitats'!M45</f>
        <v>Same habitat required =</v>
      </c>
      <c r="E46" s="494">
        <f>IF(C46="V.High",SUMIF('A-1 Site Habitat Baseline'!$G$11:$G$258,'G-2 Habitat groups'!A46,'A-1 Site Habitat Baseline'!$S$11:$S$258)+SUMIF('A-1 Site Habitat Baseline'!$G$11:$G$258,'G-2 Habitat groups'!A46,'A-1 Site Habitat Baseline'!$T$11:$T$258),SUMIF('A-1 Site Habitat Baseline'!$G$11:$G$258,'G-2 Habitat groups'!A46,'A-1 Site Habitat Baseline'!$H$11:$H$258))</f>
        <v>0</v>
      </c>
      <c r="F46" s="494">
        <f>SUMIF('A-1 Site Habitat Baseline'!$G$11:$G$258,'G-2 Habitat groups'!A46,'A-1 Site Habitat Baseline'!$Q$11:$Q$258)</f>
        <v>0</v>
      </c>
      <c r="G46" s="494">
        <f>SUMIF('A-1 Site Habitat Baseline'!$G$11:$G$258,'G-2 Habitat groups'!A46,'A-1 Site Habitat Baseline'!$S$11:$S$258)</f>
        <v>0</v>
      </c>
      <c r="H46" s="494">
        <f>SUMIF('A-1 Site Habitat Baseline'!$G$11:$G$258,'G-2 Habitat groups'!A46,'A-1 Site Habitat Baseline'!$U$11:$U$258)</f>
        <v>0</v>
      </c>
      <c r="I46" s="494">
        <f>SUMIF('A-1 Site Habitat Baseline'!$G$11:$G$258,'G-2 Habitat groups'!A46,'A-1 Site Habitat Baseline'!$W$11:$W$258)</f>
        <v>0</v>
      </c>
      <c r="J46" s="494">
        <f>SUMIF('A-1 Site Habitat Baseline'!$G$11:$G$258,'G-2 Habitat groups'!A46,'A-1 Site Habitat Baseline'!$X$11:$X$258)</f>
        <v>0</v>
      </c>
      <c r="K46" s="494">
        <f>SUMIF('A-2 Site Habitat Creation'!$F$11:$F$256,'G-2 Habitat groups'!A46,'A-2 Site Habitat Creation'!$G$11:$G$256)</f>
        <v>0</v>
      </c>
      <c r="L46" s="494">
        <f>SUMIF('A-2 Site Habitat Creation'!$F$11:$F$256,'G-2 Habitat groups'!A46,'A-2 Site Habitat Creation'!$Y$11:$Y$256)</f>
        <v>0</v>
      </c>
      <c r="M46" s="494">
        <f>SUMIF('A-3 Site Habitat Enhancement'!$S$12:$S$257,'G-2 Habitat groups'!A46,'A-3 Site Habitat Enhancement'!$V$12:$V$257)</f>
        <v>0</v>
      </c>
      <c r="N46" s="494">
        <f>SUMIF('A-3 Site Habitat Enhancement'!$S$12:$S$257,'G-2 Habitat groups'!A46,'A-3 Site Habitat Enhancement'!$AN$12:$AN$257)</f>
        <v>0</v>
      </c>
      <c r="O46" s="494">
        <f t="shared" si="53"/>
        <v>0</v>
      </c>
      <c r="P46" s="494">
        <f t="shared" si="54"/>
        <v>0</v>
      </c>
      <c r="Q46" s="494">
        <f t="shared" si="55"/>
        <v>0</v>
      </c>
      <c r="R46" s="494">
        <f t="shared" si="56"/>
        <v>0</v>
      </c>
      <c r="S46" s="494">
        <f>IF(C46="V.High",SUMIF('D-1 Off Site Habitat Baseline'!$G$11:$G$258,'G-2 Habitat groups'!A46,'D-1 Off Site Habitat Baseline'!$S$11:$S$258)+SUMIF('D-1 Off Site Habitat Baseline'!$G$11:$G$258,'G-2 Habitat groups'!A46,'D-1 Off Site Habitat Baseline'!$T$11:$T$258),SUMIF('D-1 Off Site Habitat Baseline'!$G$11:$G$258,'G-2 Habitat groups'!A46,'D-1 Off Site Habitat Baseline'!$H$11:$H$258))</f>
        <v>0</v>
      </c>
      <c r="T46" s="494">
        <f>SUMIF('D-1 Off Site Habitat Baseline'!$G$11:$G$258,'G-2 Habitat groups'!A46,'D-1 Off Site Habitat Baseline'!$Q$11:$Q$258)</f>
        <v>0</v>
      </c>
      <c r="U46" s="591">
        <f>SUMIF('D-1 Off Site Habitat Baseline'!$G$11:$G$258,'G-2 Habitat groups'!A46,'D-1 Off Site Habitat Baseline'!$S$11:$S$258)</f>
        <v>0</v>
      </c>
      <c r="V46" s="494">
        <f>SUMIF('D-1 Off Site Habitat Baseline'!$G$11:$G$258,'G-2 Habitat groups'!A46,'D-1 Off Site Habitat Baseline'!$U$11:$U$258)</f>
        <v>0</v>
      </c>
      <c r="W46" s="494">
        <f>SUMIF('D-2 Off Site Habitat Creation'!$F$9:$F$255,'G-2 Habitat groups'!A46,'D-2 Off Site Habitat Creation'!$G$9:$G$255)</f>
        <v>0</v>
      </c>
      <c r="X46" s="494">
        <f>SUMIF('D-2 Off Site Habitat Creation'!$F$9:$F$255,'G-2 Habitat groups'!A46,'D-2 Off Site Habitat Creation'!$AA$9:$AA$255)</f>
        <v>0</v>
      </c>
      <c r="Y46" s="494">
        <f>SUMIF('D-3 Off Site Habitat Enhancment'!$S$12:$S$491,'G-2 Habitat groups'!A46,'D-3 Off Site Habitat Enhancment'!$V$12:$V$491)</f>
        <v>0</v>
      </c>
      <c r="Z46" s="494">
        <f>SUMIF('D-3 Off Site Habitat Enhancment'!$S$12:$S$491,'G-2 Habitat groups'!A46,'D-3 Off Site Habitat Enhancment'!$AP$12:$AP$491)</f>
        <v>0</v>
      </c>
      <c r="AA46" s="494">
        <f t="shared" si="57"/>
        <v>0</v>
      </c>
      <c r="AB46" s="494">
        <f t="shared" si="58"/>
        <v>0</v>
      </c>
      <c r="AC46" s="494">
        <f t="shared" si="59"/>
        <v>0</v>
      </c>
      <c r="AD46" s="494">
        <f t="shared" si="60"/>
        <v>0</v>
      </c>
      <c r="AE46" s="494">
        <f t="shared" si="61"/>
        <v>0</v>
      </c>
      <c r="AF46" s="494">
        <f t="shared" si="62"/>
        <v>0</v>
      </c>
      <c r="AU46" s="113" t="s">
        <v>562</v>
      </c>
      <c r="AV46" s="88" t="s">
        <v>73</v>
      </c>
      <c r="AW46" s="494">
        <f t="shared" si="43"/>
        <v>0</v>
      </c>
      <c r="AX46" s="494">
        <f t="shared" si="44"/>
        <v>0</v>
      </c>
      <c r="AY46" s="494">
        <f t="shared" si="45"/>
        <v>0</v>
      </c>
      <c r="AZ46" s="494">
        <f t="shared" si="46"/>
        <v>0</v>
      </c>
      <c r="BA46" s="494">
        <f t="shared" si="47"/>
        <v>0</v>
      </c>
      <c r="BB46" s="494">
        <f t="shared" si="48"/>
        <v>0</v>
      </c>
      <c r="BC46" s="494">
        <f t="shared" si="49"/>
        <v>0</v>
      </c>
      <c r="BD46" s="494">
        <f t="shared" si="50"/>
        <v>0</v>
      </c>
      <c r="BE46" s="494">
        <f t="shared" si="51"/>
        <v>0</v>
      </c>
      <c r="BF46" s="494" t="str">
        <f t="shared" si="52"/>
        <v/>
      </c>
    </row>
    <row r="47" spans="1:58" x14ac:dyDescent="0.25">
      <c r="A47" s="104" t="str">
        <f>'G-1 All Habitats'!B46</f>
        <v>Lakes - Ponds (Non- Priority Habitat)</v>
      </c>
      <c r="B47" s="88" t="str">
        <f>'G-1 All Habitats'!F46</f>
        <v>Lakes</v>
      </c>
      <c r="C47" s="88" t="str">
        <f>'G-1 All Habitats'!K46</f>
        <v>Medium</v>
      </c>
      <c r="D47" s="88" t="str">
        <f>'G-1 All Habitats'!M46</f>
        <v>Same broad habitat or a higher distinctiveness habitat required (≥)</v>
      </c>
      <c r="E47" s="494">
        <f>IF(C47="V.High",SUMIF('A-1 Site Habitat Baseline'!$G$11:$G$258,'G-2 Habitat groups'!A47,'A-1 Site Habitat Baseline'!$S$11:$S$258)+SUMIF('A-1 Site Habitat Baseline'!$G$11:$G$258,'G-2 Habitat groups'!A47,'A-1 Site Habitat Baseline'!$T$11:$T$258),SUMIF('A-1 Site Habitat Baseline'!$G$11:$G$258,'G-2 Habitat groups'!A47,'A-1 Site Habitat Baseline'!$H$11:$H$258))</f>
        <v>0</v>
      </c>
      <c r="F47" s="494">
        <f>SUMIF('A-1 Site Habitat Baseline'!$G$11:$G$258,'G-2 Habitat groups'!A47,'A-1 Site Habitat Baseline'!$Q$11:$Q$258)</f>
        <v>0</v>
      </c>
      <c r="G47" s="494">
        <f>SUMIF('A-1 Site Habitat Baseline'!$G$11:$G$258,'G-2 Habitat groups'!A47,'A-1 Site Habitat Baseline'!$S$11:$S$258)</f>
        <v>0</v>
      </c>
      <c r="H47" s="494">
        <f>SUMIF('A-1 Site Habitat Baseline'!$G$11:$G$258,'G-2 Habitat groups'!A47,'A-1 Site Habitat Baseline'!$U$11:$U$258)</f>
        <v>0</v>
      </c>
      <c r="I47" s="494">
        <f>SUMIF('A-1 Site Habitat Baseline'!$G$11:$G$258,'G-2 Habitat groups'!A47,'A-1 Site Habitat Baseline'!$W$11:$W$258)</f>
        <v>0</v>
      </c>
      <c r="J47" s="494">
        <f>SUMIF('A-1 Site Habitat Baseline'!$G$11:$G$258,'G-2 Habitat groups'!A47,'A-1 Site Habitat Baseline'!$X$11:$X$258)</f>
        <v>0</v>
      </c>
      <c r="K47" s="494">
        <f>SUMIF('A-2 Site Habitat Creation'!$F$11:$F$256,'G-2 Habitat groups'!A47,'A-2 Site Habitat Creation'!$G$11:$G$256)</f>
        <v>0</v>
      </c>
      <c r="L47" s="494">
        <f>SUMIF('A-2 Site Habitat Creation'!$F$11:$F$256,'G-2 Habitat groups'!A47,'A-2 Site Habitat Creation'!$Y$11:$Y$256)</f>
        <v>0</v>
      </c>
      <c r="M47" s="494">
        <f>SUMIF('A-3 Site Habitat Enhancement'!$S$12:$S$257,'G-2 Habitat groups'!A47,'A-3 Site Habitat Enhancement'!$V$12:$V$257)</f>
        <v>0</v>
      </c>
      <c r="N47" s="494">
        <f>SUMIF('A-3 Site Habitat Enhancement'!$S$12:$S$257,'G-2 Habitat groups'!A47,'A-3 Site Habitat Enhancement'!$AN$12:$AN$257)</f>
        <v>0</v>
      </c>
      <c r="O47" s="494">
        <f t="shared" si="53"/>
        <v>0</v>
      </c>
      <c r="P47" s="494">
        <f t="shared" si="54"/>
        <v>0</v>
      </c>
      <c r="Q47" s="494">
        <f t="shared" si="55"/>
        <v>0</v>
      </c>
      <c r="R47" s="494">
        <f t="shared" si="56"/>
        <v>0</v>
      </c>
      <c r="S47" s="494">
        <f>IF(C47="V.High",SUMIF('D-1 Off Site Habitat Baseline'!$G$11:$G$258,'G-2 Habitat groups'!A47,'D-1 Off Site Habitat Baseline'!$S$11:$S$258)+SUMIF('D-1 Off Site Habitat Baseline'!$G$11:$G$258,'G-2 Habitat groups'!A47,'D-1 Off Site Habitat Baseline'!$T$11:$T$258),SUMIF('D-1 Off Site Habitat Baseline'!$G$11:$G$258,'G-2 Habitat groups'!A47,'D-1 Off Site Habitat Baseline'!$H$11:$H$258))</f>
        <v>0</v>
      </c>
      <c r="T47" s="494">
        <f>SUMIF('D-1 Off Site Habitat Baseline'!$G$11:$G$258,'G-2 Habitat groups'!A47,'D-1 Off Site Habitat Baseline'!$Q$11:$Q$258)</f>
        <v>0</v>
      </c>
      <c r="U47" s="591">
        <f>SUMIF('D-1 Off Site Habitat Baseline'!$G$11:$G$258,'G-2 Habitat groups'!A47,'D-1 Off Site Habitat Baseline'!$S$11:$S$258)</f>
        <v>0</v>
      </c>
      <c r="V47" s="494">
        <f>SUMIF('D-1 Off Site Habitat Baseline'!$G$11:$G$258,'G-2 Habitat groups'!A47,'D-1 Off Site Habitat Baseline'!$U$11:$U$258)</f>
        <v>0</v>
      </c>
      <c r="W47" s="494">
        <f>SUMIF('D-2 Off Site Habitat Creation'!$F$9:$F$255,'G-2 Habitat groups'!A47,'D-2 Off Site Habitat Creation'!$G$9:$G$255)</f>
        <v>0</v>
      </c>
      <c r="X47" s="494">
        <f>SUMIF('D-2 Off Site Habitat Creation'!$F$9:$F$255,'G-2 Habitat groups'!A47,'D-2 Off Site Habitat Creation'!$AA$9:$AA$255)</f>
        <v>0</v>
      </c>
      <c r="Y47" s="494">
        <f>SUMIF('D-3 Off Site Habitat Enhancment'!$S$12:$S$491,'G-2 Habitat groups'!A47,'D-3 Off Site Habitat Enhancment'!$V$12:$V$491)</f>
        <v>0</v>
      </c>
      <c r="Z47" s="494">
        <f>SUMIF('D-3 Off Site Habitat Enhancment'!$S$12:$S$491,'G-2 Habitat groups'!A47,'D-3 Off Site Habitat Enhancment'!$AP$12:$AP$491)</f>
        <v>0</v>
      </c>
      <c r="AA47" s="494">
        <f t="shared" si="57"/>
        <v>0</v>
      </c>
      <c r="AB47" s="494">
        <f t="shared" si="58"/>
        <v>0</v>
      </c>
      <c r="AC47" s="494">
        <f t="shared" si="59"/>
        <v>0</v>
      </c>
      <c r="AD47" s="494">
        <f t="shared" si="60"/>
        <v>0</v>
      </c>
      <c r="AE47" s="494">
        <f t="shared" si="61"/>
        <v>0</v>
      </c>
      <c r="AF47" s="494">
        <f t="shared" si="62"/>
        <v>0</v>
      </c>
      <c r="AU47" s="113" t="s">
        <v>569</v>
      </c>
      <c r="AV47" s="88" t="s">
        <v>73</v>
      </c>
      <c r="AW47" s="494">
        <f t="shared" si="43"/>
        <v>0</v>
      </c>
      <c r="AX47" s="494">
        <f t="shared" si="44"/>
        <v>0</v>
      </c>
      <c r="AY47" s="494">
        <f t="shared" si="45"/>
        <v>0</v>
      </c>
      <c r="AZ47" s="494">
        <f t="shared" si="46"/>
        <v>0</v>
      </c>
      <c r="BA47" s="494">
        <f t="shared" si="47"/>
        <v>0</v>
      </c>
      <c r="BB47" s="494">
        <f t="shared" si="48"/>
        <v>0</v>
      </c>
      <c r="BC47" s="494">
        <f t="shared" si="49"/>
        <v>0</v>
      </c>
      <c r="BD47" s="494">
        <f t="shared" si="50"/>
        <v>0</v>
      </c>
      <c r="BE47" s="494">
        <f t="shared" si="51"/>
        <v>0</v>
      </c>
      <c r="BF47" s="494" t="str">
        <f t="shared" si="52"/>
        <v/>
      </c>
    </row>
    <row r="48" spans="1:58" x14ac:dyDescent="0.25">
      <c r="A48" s="104" t="str">
        <f>'G-1 All Habitats'!B47</f>
        <v>Lakes - Reservoirs</v>
      </c>
      <c r="B48" s="88" t="str">
        <f>'G-1 All Habitats'!F47</f>
        <v>Lakes</v>
      </c>
      <c r="C48" s="88" t="str">
        <f>'G-1 All Habitats'!K47</f>
        <v>Medium</v>
      </c>
      <c r="D48" s="88" t="str">
        <f>'G-1 All Habitats'!M47</f>
        <v>Same broad habitat or a higher distinctiveness habitat required (≥)</v>
      </c>
      <c r="E48" s="494">
        <f>IF(C48="V.High",SUMIF('A-1 Site Habitat Baseline'!$G$11:$G$258,'G-2 Habitat groups'!A48,'A-1 Site Habitat Baseline'!$S$11:$S$258)+SUMIF('A-1 Site Habitat Baseline'!$G$11:$G$258,'G-2 Habitat groups'!A48,'A-1 Site Habitat Baseline'!$T$11:$T$258),SUMIF('A-1 Site Habitat Baseline'!$G$11:$G$258,'G-2 Habitat groups'!A48,'A-1 Site Habitat Baseline'!$H$11:$H$258))</f>
        <v>0</v>
      </c>
      <c r="F48" s="494">
        <f>SUMIF('A-1 Site Habitat Baseline'!$G$11:$G$258,'G-2 Habitat groups'!A48,'A-1 Site Habitat Baseline'!$Q$11:$Q$258)</f>
        <v>0</v>
      </c>
      <c r="G48" s="494">
        <f>SUMIF('A-1 Site Habitat Baseline'!$G$11:$G$258,'G-2 Habitat groups'!A48,'A-1 Site Habitat Baseline'!$S$11:$S$258)</f>
        <v>0</v>
      </c>
      <c r="H48" s="494">
        <f>SUMIF('A-1 Site Habitat Baseline'!$G$11:$G$258,'G-2 Habitat groups'!A48,'A-1 Site Habitat Baseline'!$U$11:$U$258)</f>
        <v>0</v>
      </c>
      <c r="I48" s="494">
        <f>SUMIF('A-1 Site Habitat Baseline'!$G$11:$G$258,'G-2 Habitat groups'!A48,'A-1 Site Habitat Baseline'!$W$11:$W$258)</f>
        <v>0</v>
      </c>
      <c r="J48" s="494">
        <f>SUMIF('A-1 Site Habitat Baseline'!$G$11:$G$258,'G-2 Habitat groups'!A48,'A-1 Site Habitat Baseline'!$X$11:$X$258)</f>
        <v>0</v>
      </c>
      <c r="K48" s="494">
        <f>SUMIF('A-2 Site Habitat Creation'!$F$11:$F$256,'G-2 Habitat groups'!A48,'A-2 Site Habitat Creation'!$G$11:$G$256)</f>
        <v>0</v>
      </c>
      <c r="L48" s="494">
        <f>SUMIF('A-2 Site Habitat Creation'!$F$11:$F$256,'G-2 Habitat groups'!A48,'A-2 Site Habitat Creation'!$Y$11:$Y$256)</f>
        <v>0</v>
      </c>
      <c r="M48" s="494">
        <f>SUMIF('A-3 Site Habitat Enhancement'!$S$12:$S$257,'G-2 Habitat groups'!A48,'A-3 Site Habitat Enhancement'!$V$12:$V$257)</f>
        <v>0</v>
      </c>
      <c r="N48" s="494">
        <f>SUMIF('A-3 Site Habitat Enhancement'!$S$12:$S$257,'G-2 Habitat groups'!A48,'A-3 Site Habitat Enhancement'!$AN$12:$AN$257)</f>
        <v>0</v>
      </c>
      <c r="O48" s="494">
        <f t="shared" si="53"/>
        <v>0</v>
      </c>
      <c r="P48" s="494">
        <f t="shared" si="54"/>
        <v>0</v>
      </c>
      <c r="Q48" s="494">
        <f t="shared" si="55"/>
        <v>0</v>
      </c>
      <c r="R48" s="494">
        <f t="shared" si="56"/>
        <v>0</v>
      </c>
      <c r="S48" s="494">
        <f>IF(C48="V.High",SUMIF('D-1 Off Site Habitat Baseline'!$G$11:$G$258,'G-2 Habitat groups'!A48,'D-1 Off Site Habitat Baseline'!$S$11:$S$258)+SUMIF('D-1 Off Site Habitat Baseline'!$G$11:$G$258,'G-2 Habitat groups'!A48,'D-1 Off Site Habitat Baseline'!$T$11:$T$258),SUMIF('D-1 Off Site Habitat Baseline'!$G$11:$G$258,'G-2 Habitat groups'!A48,'D-1 Off Site Habitat Baseline'!$H$11:$H$258))</f>
        <v>0</v>
      </c>
      <c r="T48" s="494">
        <f>SUMIF('D-1 Off Site Habitat Baseline'!$G$11:$G$258,'G-2 Habitat groups'!A48,'D-1 Off Site Habitat Baseline'!$Q$11:$Q$258)</f>
        <v>0</v>
      </c>
      <c r="U48" s="591">
        <f>SUMIF('D-1 Off Site Habitat Baseline'!$G$11:$G$258,'G-2 Habitat groups'!A48,'D-1 Off Site Habitat Baseline'!$S$11:$S$258)</f>
        <v>0</v>
      </c>
      <c r="V48" s="494">
        <f>SUMIF('D-1 Off Site Habitat Baseline'!$G$11:$G$258,'G-2 Habitat groups'!A48,'D-1 Off Site Habitat Baseline'!$U$11:$U$258)</f>
        <v>0</v>
      </c>
      <c r="W48" s="494">
        <f>SUMIF('D-2 Off Site Habitat Creation'!$F$9:$F$255,'G-2 Habitat groups'!A48,'D-2 Off Site Habitat Creation'!$G$9:$G$255)</f>
        <v>0</v>
      </c>
      <c r="X48" s="494">
        <f>SUMIF('D-2 Off Site Habitat Creation'!$F$9:$F$255,'G-2 Habitat groups'!A48,'D-2 Off Site Habitat Creation'!$AA$9:$AA$255)</f>
        <v>0</v>
      </c>
      <c r="Y48" s="494">
        <f>SUMIF('D-3 Off Site Habitat Enhancment'!$S$12:$S$491,'G-2 Habitat groups'!A48,'D-3 Off Site Habitat Enhancment'!$V$12:$V$491)</f>
        <v>0</v>
      </c>
      <c r="Z48" s="494">
        <f>SUMIF('D-3 Off Site Habitat Enhancment'!$S$12:$S$491,'G-2 Habitat groups'!A48,'D-3 Off Site Habitat Enhancment'!$AP$12:$AP$491)</f>
        <v>0</v>
      </c>
      <c r="AA48" s="494">
        <f t="shared" si="57"/>
        <v>0</v>
      </c>
      <c r="AB48" s="494">
        <f t="shared" si="58"/>
        <v>0</v>
      </c>
      <c r="AC48" s="494">
        <f t="shared" si="59"/>
        <v>0</v>
      </c>
      <c r="AD48" s="494">
        <f t="shared" si="60"/>
        <v>0</v>
      </c>
      <c r="AE48" s="494">
        <f t="shared" si="61"/>
        <v>0</v>
      </c>
      <c r="AF48" s="494">
        <f t="shared" si="62"/>
        <v>0</v>
      </c>
      <c r="AU48" s="113" t="s">
        <v>577</v>
      </c>
      <c r="AV48" s="88" t="s">
        <v>73</v>
      </c>
      <c r="AW48" s="494">
        <f t="shared" si="43"/>
        <v>0</v>
      </c>
      <c r="AX48" s="494">
        <f t="shared" si="44"/>
        <v>0</v>
      </c>
      <c r="AY48" s="494">
        <f t="shared" si="45"/>
        <v>0</v>
      </c>
      <c r="AZ48" s="494">
        <f t="shared" si="46"/>
        <v>0</v>
      </c>
      <c r="BA48" s="494">
        <f t="shared" si="47"/>
        <v>0</v>
      </c>
      <c r="BB48" s="494">
        <f t="shared" si="48"/>
        <v>0</v>
      </c>
      <c r="BC48" s="494">
        <f t="shared" si="49"/>
        <v>0</v>
      </c>
      <c r="BD48" s="494">
        <f t="shared" si="50"/>
        <v>0</v>
      </c>
      <c r="BE48" s="494">
        <f t="shared" si="51"/>
        <v>0</v>
      </c>
      <c r="BF48" s="494" t="str">
        <f t="shared" si="52"/>
        <v/>
      </c>
    </row>
    <row r="49" spans="1:58" x14ac:dyDescent="0.25">
      <c r="A49" s="104" t="str">
        <f>'G-1 All Habitats'!B48</f>
        <v>Lakes - Temporary lakes, ponds and pools</v>
      </c>
      <c r="B49" s="88" t="str">
        <f>'G-1 All Habitats'!F48</f>
        <v>Lakes</v>
      </c>
      <c r="C49" s="88" t="str">
        <f>'G-1 All Habitats'!K48</f>
        <v>High</v>
      </c>
      <c r="D49" s="88" t="str">
        <f>'G-1 All Habitats'!M48</f>
        <v>Same habitat required =</v>
      </c>
      <c r="E49" s="494">
        <f>IF(C49="V.High",SUMIF('A-1 Site Habitat Baseline'!$G$11:$G$258,'G-2 Habitat groups'!A49,'A-1 Site Habitat Baseline'!$S$11:$S$258)+SUMIF('A-1 Site Habitat Baseline'!$G$11:$G$258,'G-2 Habitat groups'!A49,'A-1 Site Habitat Baseline'!$T$11:$T$258),SUMIF('A-1 Site Habitat Baseline'!$G$11:$G$258,'G-2 Habitat groups'!A49,'A-1 Site Habitat Baseline'!$H$11:$H$258))</f>
        <v>0</v>
      </c>
      <c r="F49" s="494">
        <f>SUMIF('A-1 Site Habitat Baseline'!$G$11:$G$258,'G-2 Habitat groups'!A49,'A-1 Site Habitat Baseline'!$Q$11:$Q$258)</f>
        <v>0</v>
      </c>
      <c r="G49" s="494">
        <f>SUMIF('A-1 Site Habitat Baseline'!$G$11:$G$258,'G-2 Habitat groups'!A49,'A-1 Site Habitat Baseline'!$S$11:$S$258)</f>
        <v>0</v>
      </c>
      <c r="H49" s="494">
        <f>SUMIF('A-1 Site Habitat Baseline'!$G$11:$G$258,'G-2 Habitat groups'!A49,'A-1 Site Habitat Baseline'!$U$11:$U$258)</f>
        <v>0</v>
      </c>
      <c r="I49" s="494">
        <f>SUMIF('A-1 Site Habitat Baseline'!$G$11:$G$258,'G-2 Habitat groups'!A49,'A-1 Site Habitat Baseline'!$W$11:$W$258)</f>
        <v>0</v>
      </c>
      <c r="J49" s="494">
        <f>SUMIF('A-1 Site Habitat Baseline'!$G$11:$G$258,'G-2 Habitat groups'!A49,'A-1 Site Habitat Baseline'!$X$11:$X$258)</f>
        <v>0</v>
      </c>
      <c r="K49" s="494">
        <f>SUMIF('A-2 Site Habitat Creation'!$F$11:$F$256,'G-2 Habitat groups'!A49,'A-2 Site Habitat Creation'!$G$11:$G$256)</f>
        <v>0</v>
      </c>
      <c r="L49" s="494">
        <f>SUMIF('A-2 Site Habitat Creation'!$F$11:$F$256,'G-2 Habitat groups'!A49,'A-2 Site Habitat Creation'!$Y$11:$Y$256)</f>
        <v>0</v>
      </c>
      <c r="M49" s="494">
        <f>SUMIF('A-3 Site Habitat Enhancement'!$S$12:$S$257,'G-2 Habitat groups'!A49,'A-3 Site Habitat Enhancement'!$V$12:$V$257)</f>
        <v>0</v>
      </c>
      <c r="N49" s="494">
        <f>SUMIF('A-3 Site Habitat Enhancement'!$S$12:$S$257,'G-2 Habitat groups'!A49,'A-3 Site Habitat Enhancement'!$AN$12:$AN$257)</f>
        <v>0</v>
      </c>
      <c r="O49" s="494">
        <f t="shared" si="53"/>
        <v>0</v>
      </c>
      <c r="P49" s="494">
        <f t="shared" si="54"/>
        <v>0</v>
      </c>
      <c r="Q49" s="494">
        <f t="shared" si="55"/>
        <v>0</v>
      </c>
      <c r="R49" s="494">
        <f t="shared" si="56"/>
        <v>0</v>
      </c>
      <c r="S49" s="494">
        <f>IF(C49="V.High",SUMIF('D-1 Off Site Habitat Baseline'!$G$11:$G$258,'G-2 Habitat groups'!A49,'D-1 Off Site Habitat Baseline'!$S$11:$S$258)+SUMIF('D-1 Off Site Habitat Baseline'!$G$11:$G$258,'G-2 Habitat groups'!A49,'D-1 Off Site Habitat Baseline'!$T$11:$T$258),SUMIF('D-1 Off Site Habitat Baseline'!$G$11:$G$258,'G-2 Habitat groups'!A49,'D-1 Off Site Habitat Baseline'!$H$11:$H$258))</f>
        <v>0</v>
      </c>
      <c r="T49" s="494">
        <f>SUMIF('D-1 Off Site Habitat Baseline'!$G$11:$G$258,'G-2 Habitat groups'!A49,'D-1 Off Site Habitat Baseline'!$Q$11:$Q$258)</f>
        <v>0</v>
      </c>
      <c r="U49" s="591">
        <f>SUMIF('D-1 Off Site Habitat Baseline'!$G$11:$G$258,'G-2 Habitat groups'!A49,'D-1 Off Site Habitat Baseline'!$S$11:$S$258)</f>
        <v>0</v>
      </c>
      <c r="V49" s="494">
        <f>SUMIF('D-1 Off Site Habitat Baseline'!$G$11:$G$258,'G-2 Habitat groups'!A49,'D-1 Off Site Habitat Baseline'!$U$11:$U$258)</f>
        <v>0</v>
      </c>
      <c r="W49" s="494">
        <f>SUMIF('D-2 Off Site Habitat Creation'!$F$9:$F$255,'G-2 Habitat groups'!A49,'D-2 Off Site Habitat Creation'!$G$9:$G$255)</f>
        <v>0</v>
      </c>
      <c r="X49" s="494">
        <f>SUMIF('D-2 Off Site Habitat Creation'!$F$9:$F$255,'G-2 Habitat groups'!A49,'D-2 Off Site Habitat Creation'!$AA$9:$AA$255)</f>
        <v>0</v>
      </c>
      <c r="Y49" s="494">
        <f>SUMIF('D-3 Off Site Habitat Enhancment'!$S$12:$S$491,'G-2 Habitat groups'!A49,'D-3 Off Site Habitat Enhancment'!$V$12:$V$491)</f>
        <v>0</v>
      </c>
      <c r="Z49" s="494">
        <f>SUMIF('D-3 Off Site Habitat Enhancment'!$S$12:$S$491,'G-2 Habitat groups'!A49,'D-3 Off Site Habitat Enhancment'!$AP$12:$AP$491)</f>
        <v>0</v>
      </c>
      <c r="AA49" s="494">
        <f t="shared" si="57"/>
        <v>0</v>
      </c>
      <c r="AB49" s="494">
        <f t="shared" si="58"/>
        <v>0</v>
      </c>
      <c r="AC49" s="494">
        <f t="shared" si="59"/>
        <v>0</v>
      </c>
      <c r="AD49" s="494">
        <f t="shared" si="60"/>
        <v>0</v>
      </c>
      <c r="AE49" s="494">
        <f t="shared" si="61"/>
        <v>0</v>
      </c>
      <c r="AF49" s="494">
        <f t="shared" si="62"/>
        <v>0</v>
      </c>
      <c r="AU49" s="113" t="s">
        <v>618</v>
      </c>
      <c r="AV49" s="88" t="s">
        <v>74</v>
      </c>
      <c r="AW49" s="494">
        <f t="shared" si="43"/>
        <v>0</v>
      </c>
      <c r="AX49" s="494">
        <f t="shared" si="44"/>
        <v>0</v>
      </c>
      <c r="AY49" s="494">
        <f t="shared" si="45"/>
        <v>0</v>
      </c>
      <c r="AZ49" s="494">
        <f t="shared" si="46"/>
        <v>0</v>
      </c>
      <c r="BA49" s="494">
        <f t="shared" si="47"/>
        <v>0</v>
      </c>
      <c r="BB49" s="494">
        <f t="shared" si="48"/>
        <v>0</v>
      </c>
      <c r="BC49" s="494">
        <f t="shared" si="49"/>
        <v>0</v>
      </c>
      <c r="BD49" s="494">
        <f t="shared" si="50"/>
        <v>0</v>
      </c>
      <c r="BE49" s="494">
        <f t="shared" si="51"/>
        <v>0</v>
      </c>
      <c r="BF49" s="494" t="str">
        <f t="shared" si="52"/>
        <v/>
      </c>
    </row>
    <row r="50" spans="1:58" x14ac:dyDescent="0.25">
      <c r="A50" s="104" t="str">
        <f>'G-1 All Habitats'!B49</f>
        <v>Sparsely vegetated land - Calaminarian grasslands</v>
      </c>
      <c r="B50" s="88" t="str">
        <f>'G-1 All Habitats'!F49</f>
        <v>Sparsely vegetated land</v>
      </c>
      <c r="C50" s="88" t="str">
        <f>'G-1 All Habitats'!K49</f>
        <v>V.High</v>
      </c>
      <c r="D50" s="88" t="str">
        <f>'G-1 All Habitats'!M49</f>
        <v>Bespoke compensation likely to be required 🛠</v>
      </c>
      <c r="E50" s="494">
        <f>IF(C50="V.High",SUMIF('A-1 Site Habitat Baseline'!$G$11:$G$258,'G-2 Habitat groups'!A50,'A-1 Site Habitat Baseline'!$S$11:$S$258)+SUMIF('A-1 Site Habitat Baseline'!$G$11:$G$258,'G-2 Habitat groups'!A50,'A-1 Site Habitat Baseline'!$T$11:$T$258),SUMIF('A-1 Site Habitat Baseline'!$G$11:$G$258,'G-2 Habitat groups'!A50,'A-1 Site Habitat Baseline'!$H$11:$H$258))</f>
        <v>0</v>
      </c>
      <c r="F50" s="494">
        <f>SUMIF('A-1 Site Habitat Baseline'!$G$11:$G$258,'G-2 Habitat groups'!A50,'A-1 Site Habitat Baseline'!$Q$11:$Q$258)</f>
        <v>0</v>
      </c>
      <c r="G50" s="494">
        <f>SUMIF('A-1 Site Habitat Baseline'!$G$11:$G$258,'G-2 Habitat groups'!A50,'A-1 Site Habitat Baseline'!$S$11:$S$258)</f>
        <v>0</v>
      </c>
      <c r="H50" s="494">
        <f>SUMIF('A-1 Site Habitat Baseline'!$G$11:$G$258,'G-2 Habitat groups'!A50,'A-1 Site Habitat Baseline'!$U$11:$U$258)</f>
        <v>0</v>
      </c>
      <c r="I50" s="494">
        <f>SUMIF('A-1 Site Habitat Baseline'!$G$11:$G$258,'G-2 Habitat groups'!A50,'A-1 Site Habitat Baseline'!$W$11:$W$258)</f>
        <v>0</v>
      </c>
      <c r="J50" s="494">
        <f>SUMIF('A-1 Site Habitat Baseline'!$G$11:$G$258,'G-2 Habitat groups'!A50,'A-1 Site Habitat Baseline'!$X$11:$X$258)</f>
        <v>0</v>
      </c>
      <c r="K50" s="494">
        <f>SUMIF('A-2 Site Habitat Creation'!$F$11:$F$256,'G-2 Habitat groups'!A50,'A-2 Site Habitat Creation'!$G$11:$G$256)</f>
        <v>0</v>
      </c>
      <c r="L50" s="494">
        <f>SUMIF('A-2 Site Habitat Creation'!$F$11:$F$256,'G-2 Habitat groups'!A50,'A-2 Site Habitat Creation'!$Y$11:$Y$256)</f>
        <v>0</v>
      </c>
      <c r="M50" s="494">
        <f>SUMIF('A-3 Site Habitat Enhancement'!$S$12:$S$257,'G-2 Habitat groups'!A50,'A-3 Site Habitat Enhancement'!$V$12:$V$257)</f>
        <v>0</v>
      </c>
      <c r="N50" s="494">
        <f>SUMIF('A-3 Site Habitat Enhancement'!$S$12:$S$257,'G-2 Habitat groups'!A50,'A-3 Site Habitat Enhancement'!$AN$12:$AN$257)</f>
        <v>0</v>
      </c>
      <c r="O50" s="494">
        <f t="shared" si="53"/>
        <v>0</v>
      </c>
      <c r="P50" s="494">
        <f t="shared" si="54"/>
        <v>0</v>
      </c>
      <c r="Q50" s="494">
        <f t="shared" si="55"/>
        <v>0</v>
      </c>
      <c r="R50" s="494">
        <f t="shared" si="56"/>
        <v>0</v>
      </c>
      <c r="S50" s="494">
        <f>IF(C50="V.High",SUMIF('D-1 Off Site Habitat Baseline'!$G$11:$G$258,'G-2 Habitat groups'!A50,'D-1 Off Site Habitat Baseline'!$S$11:$S$258)+SUMIF('D-1 Off Site Habitat Baseline'!$G$11:$G$258,'G-2 Habitat groups'!A50,'D-1 Off Site Habitat Baseline'!$T$11:$T$258),SUMIF('D-1 Off Site Habitat Baseline'!$G$11:$G$258,'G-2 Habitat groups'!A50,'D-1 Off Site Habitat Baseline'!$H$11:$H$258))</f>
        <v>0</v>
      </c>
      <c r="T50" s="494">
        <f>SUMIF('D-1 Off Site Habitat Baseline'!$G$11:$G$258,'G-2 Habitat groups'!A50,'D-1 Off Site Habitat Baseline'!$Q$11:$Q$258)</f>
        <v>0</v>
      </c>
      <c r="U50" s="591">
        <f>SUMIF('D-1 Off Site Habitat Baseline'!$G$11:$G$258,'G-2 Habitat groups'!A50,'D-1 Off Site Habitat Baseline'!$S$11:$S$258)</f>
        <v>0</v>
      </c>
      <c r="V50" s="494">
        <f>SUMIF('D-1 Off Site Habitat Baseline'!$G$11:$G$258,'G-2 Habitat groups'!A50,'D-1 Off Site Habitat Baseline'!$U$11:$U$258)</f>
        <v>0</v>
      </c>
      <c r="W50" s="494">
        <f>SUMIF('D-2 Off Site Habitat Creation'!$F$9:$F$255,'G-2 Habitat groups'!A50,'D-2 Off Site Habitat Creation'!$G$9:$G$255)</f>
        <v>0</v>
      </c>
      <c r="X50" s="494">
        <f>SUMIF('D-2 Off Site Habitat Creation'!$F$9:$F$255,'G-2 Habitat groups'!A50,'D-2 Off Site Habitat Creation'!$AA$9:$AA$255)</f>
        <v>0</v>
      </c>
      <c r="Y50" s="494">
        <f>SUMIF('D-3 Off Site Habitat Enhancment'!$S$12:$S$491,'G-2 Habitat groups'!A50,'D-3 Off Site Habitat Enhancment'!$V$12:$V$491)</f>
        <v>0</v>
      </c>
      <c r="Z50" s="494">
        <f>SUMIF('D-3 Off Site Habitat Enhancment'!$S$12:$S$491,'G-2 Habitat groups'!A50,'D-3 Off Site Habitat Enhancment'!$AP$12:$AP$491)</f>
        <v>0</v>
      </c>
      <c r="AA50" s="494">
        <f t="shared" si="57"/>
        <v>0</v>
      </c>
      <c r="AB50" s="494">
        <f t="shared" si="58"/>
        <v>0</v>
      </c>
      <c r="AC50" s="494">
        <f t="shared" si="59"/>
        <v>0</v>
      </c>
      <c r="AD50" s="494">
        <f t="shared" si="60"/>
        <v>0</v>
      </c>
      <c r="AE50" s="494">
        <f t="shared" si="61"/>
        <v>0</v>
      </c>
      <c r="AF50" s="494">
        <f t="shared" si="62"/>
        <v>0</v>
      </c>
      <c r="AU50" s="113" t="s">
        <v>665</v>
      </c>
      <c r="AV50" s="88" t="s">
        <v>75</v>
      </c>
      <c r="AW50" s="494">
        <f t="shared" si="43"/>
        <v>0</v>
      </c>
      <c r="AX50" s="494">
        <f t="shared" si="44"/>
        <v>0</v>
      </c>
      <c r="AY50" s="494">
        <f t="shared" si="45"/>
        <v>0</v>
      </c>
      <c r="AZ50" s="494">
        <f t="shared" si="46"/>
        <v>0</v>
      </c>
      <c r="BA50" s="494">
        <f t="shared" si="47"/>
        <v>0</v>
      </c>
      <c r="BB50" s="494">
        <f t="shared" si="48"/>
        <v>0</v>
      </c>
      <c r="BC50" s="494">
        <f t="shared" si="49"/>
        <v>0</v>
      </c>
      <c r="BD50" s="494">
        <f t="shared" si="50"/>
        <v>0</v>
      </c>
      <c r="BE50" s="494">
        <f t="shared" si="51"/>
        <v>0</v>
      </c>
      <c r="BF50" s="494" t="str">
        <f t="shared" si="52"/>
        <v/>
      </c>
    </row>
    <row r="51" spans="1:58" x14ac:dyDescent="0.25">
      <c r="A51" s="104" t="str">
        <f>'G-1 All Habitats'!B50</f>
        <v>Sparsely vegetated land - Coastal sand dunes</v>
      </c>
      <c r="B51" s="88" t="str">
        <f>'G-1 All Habitats'!F50</f>
        <v>Sparsely vegetated land</v>
      </c>
      <c r="C51" s="88" t="str">
        <f>'G-1 All Habitats'!K50</f>
        <v>High</v>
      </c>
      <c r="D51" s="88" t="str">
        <f>'G-1 All Habitats'!M50</f>
        <v>Same habitat required =</v>
      </c>
      <c r="E51" s="494">
        <f>IF(C51="V.High",SUMIF('A-1 Site Habitat Baseline'!$G$11:$G$258,'G-2 Habitat groups'!A51,'A-1 Site Habitat Baseline'!$S$11:$S$258)+SUMIF('A-1 Site Habitat Baseline'!$G$11:$G$258,'G-2 Habitat groups'!A51,'A-1 Site Habitat Baseline'!$T$11:$T$258),SUMIF('A-1 Site Habitat Baseline'!$G$11:$G$258,'G-2 Habitat groups'!A51,'A-1 Site Habitat Baseline'!$H$11:$H$258))</f>
        <v>0</v>
      </c>
      <c r="F51" s="494">
        <f>SUMIF('A-1 Site Habitat Baseline'!$G$11:$G$258,'G-2 Habitat groups'!A51,'A-1 Site Habitat Baseline'!$Q$11:$Q$258)</f>
        <v>0</v>
      </c>
      <c r="G51" s="494">
        <f>SUMIF('A-1 Site Habitat Baseline'!$G$11:$G$258,'G-2 Habitat groups'!A51,'A-1 Site Habitat Baseline'!$S$11:$S$258)</f>
        <v>0</v>
      </c>
      <c r="H51" s="494">
        <f>SUMIF('A-1 Site Habitat Baseline'!$G$11:$G$258,'G-2 Habitat groups'!A51,'A-1 Site Habitat Baseline'!$U$11:$U$258)</f>
        <v>0</v>
      </c>
      <c r="I51" s="494">
        <f>SUMIF('A-1 Site Habitat Baseline'!$G$11:$G$258,'G-2 Habitat groups'!A51,'A-1 Site Habitat Baseline'!$W$11:$W$258)</f>
        <v>0</v>
      </c>
      <c r="J51" s="494">
        <f>SUMIF('A-1 Site Habitat Baseline'!$G$11:$G$258,'G-2 Habitat groups'!A51,'A-1 Site Habitat Baseline'!$X$11:$X$258)</f>
        <v>0</v>
      </c>
      <c r="K51" s="494">
        <f>SUMIF('A-2 Site Habitat Creation'!$F$11:$F$256,'G-2 Habitat groups'!A51,'A-2 Site Habitat Creation'!$G$11:$G$256)</f>
        <v>0</v>
      </c>
      <c r="L51" s="494">
        <f>SUMIF('A-2 Site Habitat Creation'!$F$11:$F$256,'G-2 Habitat groups'!A51,'A-2 Site Habitat Creation'!$Y$11:$Y$256)</f>
        <v>0</v>
      </c>
      <c r="M51" s="494">
        <f>SUMIF('A-3 Site Habitat Enhancement'!$S$12:$S$257,'G-2 Habitat groups'!A51,'A-3 Site Habitat Enhancement'!$V$12:$V$257)</f>
        <v>0</v>
      </c>
      <c r="N51" s="494">
        <f>SUMIF('A-3 Site Habitat Enhancement'!$S$12:$S$257,'G-2 Habitat groups'!A51,'A-3 Site Habitat Enhancement'!$AN$12:$AN$257)</f>
        <v>0</v>
      </c>
      <c r="O51" s="494">
        <f t="shared" si="53"/>
        <v>0</v>
      </c>
      <c r="P51" s="494">
        <f t="shared" si="54"/>
        <v>0</v>
      </c>
      <c r="Q51" s="494">
        <f t="shared" si="55"/>
        <v>0</v>
      </c>
      <c r="R51" s="494">
        <f t="shared" si="56"/>
        <v>0</v>
      </c>
      <c r="S51" s="494">
        <f>IF(C51="V.High",SUMIF('D-1 Off Site Habitat Baseline'!$G$11:$G$258,'G-2 Habitat groups'!A51,'D-1 Off Site Habitat Baseline'!$S$11:$S$258)+SUMIF('D-1 Off Site Habitat Baseline'!$G$11:$G$258,'G-2 Habitat groups'!A51,'D-1 Off Site Habitat Baseline'!$T$11:$T$258),SUMIF('D-1 Off Site Habitat Baseline'!$G$11:$G$258,'G-2 Habitat groups'!A51,'D-1 Off Site Habitat Baseline'!$H$11:$H$258))</f>
        <v>0</v>
      </c>
      <c r="T51" s="494">
        <f>SUMIF('D-1 Off Site Habitat Baseline'!$G$11:$G$258,'G-2 Habitat groups'!A51,'D-1 Off Site Habitat Baseline'!$Q$11:$Q$258)</f>
        <v>0</v>
      </c>
      <c r="U51" s="591">
        <f>SUMIF('D-1 Off Site Habitat Baseline'!$G$11:$G$258,'G-2 Habitat groups'!A51,'D-1 Off Site Habitat Baseline'!$S$11:$S$258)</f>
        <v>0</v>
      </c>
      <c r="V51" s="494">
        <f>SUMIF('D-1 Off Site Habitat Baseline'!$G$11:$G$258,'G-2 Habitat groups'!A51,'D-1 Off Site Habitat Baseline'!$U$11:$U$258)</f>
        <v>0</v>
      </c>
      <c r="W51" s="494">
        <f>SUMIF('D-2 Off Site Habitat Creation'!$F$9:$F$255,'G-2 Habitat groups'!A51,'D-2 Off Site Habitat Creation'!$G$9:$G$255)</f>
        <v>0</v>
      </c>
      <c r="X51" s="494">
        <f>SUMIF('D-2 Off Site Habitat Creation'!$F$9:$F$255,'G-2 Habitat groups'!A51,'D-2 Off Site Habitat Creation'!$AA$9:$AA$255)</f>
        <v>0</v>
      </c>
      <c r="Y51" s="494">
        <f>SUMIF('D-3 Off Site Habitat Enhancment'!$S$12:$S$491,'G-2 Habitat groups'!A51,'D-3 Off Site Habitat Enhancment'!$V$12:$V$491)</f>
        <v>0</v>
      </c>
      <c r="Z51" s="494">
        <f>SUMIF('D-3 Off Site Habitat Enhancment'!$S$12:$S$491,'G-2 Habitat groups'!A51,'D-3 Off Site Habitat Enhancment'!$AP$12:$AP$491)</f>
        <v>0</v>
      </c>
      <c r="AA51" s="494">
        <f t="shared" si="57"/>
        <v>0</v>
      </c>
      <c r="AB51" s="494">
        <f t="shared" si="58"/>
        <v>0</v>
      </c>
      <c r="AC51" s="494">
        <f t="shared" si="59"/>
        <v>0</v>
      </c>
      <c r="AD51" s="494">
        <f t="shared" si="60"/>
        <v>0</v>
      </c>
      <c r="AE51" s="494">
        <f t="shared" si="61"/>
        <v>0</v>
      </c>
      <c r="AF51" s="494">
        <f t="shared" si="62"/>
        <v>0</v>
      </c>
      <c r="AU51" s="88" t="s">
        <v>671</v>
      </c>
      <c r="AV51" s="88" t="s">
        <v>76</v>
      </c>
      <c r="AW51" s="494">
        <f t="shared" si="43"/>
        <v>0</v>
      </c>
      <c r="AX51" s="494">
        <f t="shared" si="44"/>
        <v>0</v>
      </c>
      <c r="AY51" s="494">
        <f t="shared" si="45"/>
        <v>0</v>
      </c>
      <c r="AZ51" s="494">
        <f t="shared" si="46"/>
        <v>0</v>
      </c>
      <c r="BA51" s="494">
        <f t="shared" si="47"/>
        <v>0</v>
      </c>
      <c r="BB51" s="494">
        <f t="shared" si="48"/>
        <v>0</v>
      </c>
      <c r="BC51" s="494">
        <f t="shared" si="49"/>
        <v>0</v>
      </c>
      <c r="BD51" s="494">
        <f t="shared" si="50"/>
        <v>0</v>
      </c>
      <c r="BE51" s="494">
        <f t="shared" si="51"/>
        <v>0</v>
      </c>
      <c r="BF51" s="494" t="str">
        <f t="shared" si="52"/>
        <v/>
      </c>
    </row>
    <row r="52" spans="1:58" x14ac:dyDescent="0.25">
      <c r="A52" s="104" t="str">
        <f>'G-1 All Habitats'!B51</f>
        <v>Sparsely vegetated land - Coastal vegetated shingle</v>
      </c>
      <c r="B52" s="88" t="str">
        <f>'G-1 All Habitats'!F51</f>
        <v>Sparsely vegetated land</v>
      </c>
      <c r="C52" s="88" t="str">
        <f>'G-1 All Habitats'!K51</f>
        <v>High</v>
      </c>
      <c r="D52" s="88" t="str">
        <f>'G-1 All Habitats'!M51</f>
        <v>Same habitat required =</v>
      </c>
      <c r="E52" s="494">
        <f>IF(C52="V.High",SUMIF('A-1 Site Habitat Baseline'!$G$11:$G$258,'G-2 Habitat groups'!A52,'A-1 Site Habitat Baseline'!$S$11:$S$258)+SUMIF('A-1 Site Habitat Baseline'!$G$11:$G$258,'G-2 Habitat groups'!A52,'A-1 Site Habitat Baseline'!$T$11:$T$258),SUMIF('A-1 Site Habitat Baseline'!$G$11:$G$258,'G-2 Habitat groups'!A52,'A-1 Site Habitat Baseline'!$H$11:$H$258))</f>
        <v>0</v>
      </c>
      <c r="F52" s="494">
        <f>SUMIF('A-1 Site Habitat Baseline'!$G$11:$G$258,'G-2 Habitat groups'!A52,'A-1 Site Habitat Baseline'!$Q$11:$Q$258)</f>
        <v>0</v>
      </c>
      <c r="G52" s="494">
        <f>SUMIF('A-1 Site Habitat Baseline'!$G$11:$G$258,'G-2 Habitat groups'!A52,'A-1 Site Habitat Baseline'!$S$11:$S$258)</f>
        <v>0</v>
      </c>
      <c r="H52" s="494">
        <f>SUMIF('A-1 Site Habitat Baseline'!$G$11:$G$258,'G-2 Habitat groups'!A52,'A-1 Site Habitat Baseline'!$U$11:$U$258)</f>
        <v>0</v>
      </c>
      <c r="I52" s="494">
        <f>SUMIF('A-1 Site Habitat Baseline'!$G$11:$G$258,'G-2 Habitat groups'!A52,'A-1 Site Habitat Baseline'!$W$11:$W$258)</f>
        <v>0</v>
      </c>
      <c r="J52" s="494">
        <f>SUMIF('A-1 Site Habitat Baseline'!$G$11:$G$258,'G-2 Habitat groups'!A52,'A-1 Site Habitat Baseline'!$X$11:$X$258)</f>
        <v>0</v>
      </c>
      <c r="K52" s="494">
        <f>SUMIF('A-2 Site Habitat Creation'!$F$11:$F$256,'G-2 Habitat groups'!A52,'A-2 Site Habitat Creation'!$G$11:$G$256)</f>
        <v>0</v>
      </c>
      <c r="L52" s="494">
        <f>SUMIF('A-2 Site Habitat Creation'!$F$11:$F$256,'G-2 Habitat groups'!A52,'A-2 Site Habitat Creation'!$Y$11:$Y$256)</f>
        <v>0</v>
      </c>
      <c r="M52" s="494">
        <f>SUMIF('A-3 Site Habitat Enhancement'!$S$12:$S$257,'G-2 Habitat groups'!A52,'A-3 Site Habitat Enhancement'!$V$12:$V$257)</f>
        <v>0</v>
      </c>
      <c r="N52" s="494">
        <f>SUMIF('A-3 Site Habitat Enhancement'!$S$12:$S$257,'G-2 Habitat groups'!A52,'A-3 Site Habitat Enhancement'!$AN$12:$AN$257)</f>
        <v>0</v>
      </c>
      <c r="O52" s="494">
        <f t="shared" si="53"/>
        <v>0</v>
      </c>
      <c r="P52" s="494">
        <f t="shared" si="54"/>
        <v>0</v>
      </c>
      <c r="Q52" s="494">
        <f t="shared" si="55"/>
        <v>0</v>
      </c>
      <c r="R52" s="494">
        <f t="shared" si="56"/>
        <v>0</v>
      </c>
      <c r="S52" s="494">
        <f>IF(C52="V.High",SUMIF('D-1 Off Site Habitat Baseline'!$G$11:$G$258,'G-2 Habitat groups'!A52,'D-1 Off Site Habitat Baseline'!$S$11:$S$258)+SUMIF('D-1 Off Site Habitat Baseline'!$G$11:$G$258,'G-2 Habitat groups'!A52,'D-1 Off Site Habitat Baseline'!$T$11:$T$258),SUMIF('D-1 Off Site Habitat Baseline'!$G$11:$G$258,'G-2 Habitat groups'!A52,'D-1 Off Site Habitat Baseline'!$H$11:$H$258))</f>
        <v>0</v>
      </c>
      <c r="T52" s="494">
        <f>SUMIF('D-1 Off Site Habitat Baseline'!$G$11:$G$258,'G-2 Habitat groups'!A52,'D-1 Off Site Habitat Baseline'!$Q$11:$Q$258)</f>
        <v>0</v>
      </c>
      <c r="U52" s="591">
        <f>SUMIF('D-1 Off Site Habitat Baseline'!$G$11:$G$258,'G-2 Habitat groups'!A52,'D-1 Off Site Habitat Baseline'!$S$11:$S$258)</f>
        <v>0</v>
      </c>
      <c r="V52" s="494">
        <f>SUMIF('D-1 Off Site Habitat Baseline'!$G$11:$G$258,'G-2 Habitat groups'!A52,'D-1 Off Site Habitat Baseline'!$U$11:$U$258)</f>
        <v>0</v>
      </c>
      <c r="W52" s="494">
        <f>SUMIF('D-2 Off Site Habitat Creation'!$F$9:$F$255,'G-2 Habitat groups'!A52,'D-2 Off Site Habitat Creation'!$G$9:$G$255)</f>
        <v>0</v>
      </c>
      <c r="X52" s="494">
        <f>SUMIF('D-2 Off Site Habitat Creation'!$F$9:$F$255,'G-2 Habitat groups'!A52,'D-2 Off Site Habitat Creation'!$AA$9:$AA$255)</f>
        <v>0</v>
      </c>
      <c r="Y52" s="494">
        <f>SUMIF('D-3 Off Site Habitat Enhancment'!$S$12:$S$491,'G-2 Habitat groups'!A52,'D-3 Off Site Habitat Enhancment'!$V$12:$V$491)</f>
        <v>0</v>
      </c>
      <c r="Z52" s="494">
        <f>SUMIF('D-3 Off Site Habitat Enhancment'!$S$12:$S$491,'G-2 Habitat groups'!A52,'D-3 Off Site Habitat Enhancment'!$AP$12:$AP$491)</f>
        <v>0</v>
      </c>
      <c r="AA52" s="494">
        <f t="shared" si="57"/>
        <v>0</v>
      </c>
      <c r="AB52" s="494">
        <f t="shared" si="58"/>
        <v>0</v>
      </c>
      <c r="AC52" s="494">
        <f t="shared" si="59"/>
        <v>0</v>
      </c>
      <c r="AD52" s="494">
        <f t="shared" si="60"/>
        <v>0</v>
      </c>
      <c r="AE52" s="494">
        <f t="shared" si="61"/>
        <v>0</v>
      </c>
      <c r="AF52" s="494">
        <f t="shared" si="62"/>
        <v>0</v>
      </c>
      <c r="AU52" s="113" t="s">
        <v>674</v>
      </c>
      <c r="AV52" s="88" t="s">
        <v>76</v>
      </c>
      <c r="AW52" s="494">
        <f t="shared" si="43"/>
        <v>0</v>
      </c>
      <c r="AX52" s="494">
        <f t="shared" si="44"/>
        <v>0</v>
      </c>
      <c r="AY52" s="494">
        <f t="shared" si="45"/>
        <v>0</v>
      </c>
      <c r="AZ52" s="494">
        <f t="shared" si="46"/>
        <v>0</v>
      </c>
      <c r="BA52" s="494">
        <f t="shared" si="47"/>
        <v>0</v>
      </c>
      <c r="BB52" s="494">
        <f t="shared" si="48"/>
        <v>0</v>
      </c>
      <c r="BC52" s="494">
        <f t="shared" si="49"/>
        <v>0</v>
      </c>
      <c r="BD52" s="494">
        <f t="shared" si="50"/>
        <v>0</v>
      </c>
      <c r="BE52" s="494">
        <f t="shared" si="51"/>
        <v>0</v>
      </c>
      <c r="BF52" s="494" t="str">
        <f t="shared" si="52"/>
        <v/>
      </c>
    </row>
    <row r="53" spans="1:58" x14ac:dyDescent="0.25">
      <c r="A53" s="104" t="str">
        <f>'G-1 All Habitats'!B52</f>
        <v>Sparsely vegetated land - Ruderal/Ephemeral</v>
      </c>
      <c r="B53" s="88" t="str">
        <f>'G-1 All Habitats'!F52</f>
        <v>Sparsely vegetated land</v>
      </c>
      <c r="C53" s="88" t="str">
        <f>'G-1 All Habitats'!K52</f>
        <v>Low</v>
      </c>
      <c r="D53" s="88" t="str">
        <f>'G-1 All Habitats'!M52</f>
        <v>Same distinctiveness or better habitat required ≥</v>
      </c>
      <c r="E53" s="494">
        <f>IF(C53="V.High",SUMIF('A-1 Site Habitat Baseline'!$G$11:$G$258,'G-2 Habitat groups'!A53,'A-1 Site Habitat Baseline'!$S$11:$S$258)+SUMIF('A-1 Site Habitat Baseline'!$G$11:$G$258,'G-2 Habitat groups'!A53,'A-1 Site Habitat Baseline'!$T$11:$T$258),SUMIF('A-1 Site Habitat Baseline'!$G$11:$G$258,'G-2 Habitat groups'!A53,'A-1 Site Habitat Baseline'!$H$11:$H$258))</f>
        <v>0</v>
      </c>
      <c r="F53" s="494">
        <f>SUMIF('A-1 Site Habitat Baseline'!$G$11:$G$258,'G-2 Habitat groups'!A53,'A-1 Site Habitat Baseline'!$Q$11:$Q$258)</f>
        <v>0</v>
      </c>
      <c r="G53" s="494">
        <f>SUMIF('A-1 Site Habitat Baseline'!$G$11:$G$258,'G-2 Habitat groups'!A53,'A-1 Site Habitat Baseline'!$S$11:$S$258)</f>
        <v>0</v>
      </c>
      <c r="H53" s="494">
        <f>SUMIF('A-1 Site Habitat Baseline'!$G$11:$G$258,'G-2 Habitat groups'!A53,'A-1 Site Habitat Baseline'!$U$11:$U$258)</f>
        <v>0</v>
      </c>
      <c r="I53" s="494">
        <f>SUMIF('A-1 Site Habitat Baseline'!$G$11:$G$258,'G-2 Habitat groups'!A53,'A-1 Site Habitat Baseline'!$W$11:$W$258)</f>
        <v>0</v>
      </c>
      <c r="J53" s="494">
        <f>SUMIF('A-1 Site Habitat Baseline'!$G$11:$G$258,'G-2 Habitat groups'!A53,'A-1 Site Habitat Baseline'!$X$11:$X$258)</f>
        <v>0</v>
      </c>
      <c r="K53" s="494">
        <f>SUMIF('A-2 Site Habitat Creation'!$F$11:$F$256,'G-2 Habitat groups'!A53,'A-2 Site Habitat Creation'!$G$11:$G$256)</f>
        <v>0</v>
      </c>
      <c r="L53" s="494">
        <f>SUMIF('A-2 Site Habitat Creation'!$F$11:$F$256,'G-2 Habitat groups'!A53,'A-2 Site Habitat Creation'!$Y$11:$Y$256)</f>
        <v>0</v>
      </c>
      <c r="M53" s="494">
        <f>SUMIF('A-3 Site Habitat Enhancement'!$S$12:$S$257,'G-2 Habitat groups'!A53,'A-3 Site Habitat Enhancement'!$V$12:$V$257)</f>
        <v>0</v>
      </c>
      <c r="N53" s="494">
        <f>SUMIF('A-3 Site Habitat Enhancement'!$S$12:$S$257,'G-2 Habitat groups'!A53,'A-3 Site Habitat Enhancement'!$AN$12:$AN$257)</f>
        <v>0</v>
      </c>
      <c r="O53" s="494">
        <f t="shared" si="53"/>
        <v>0</v>
      </c>
      <c r="P53" s="494">
        <f t="shared" si="54"/>
        <v>0</v>
      </c>
      <c r="Q53" s="494">
        <f t="shared" si="55"/>
        <v>0</v>
      </c>
      <c r="R53" s="494">
        <f t="shared" si="56"/>
        <v>0</v>
      </c>
      <c r="S53" s="494">
        <f>IF(C53="V.High",SUMIF('D-1 Off Site Habitat Baseline'!$G$11:$G$258,'G-2 Habitat groups'!A53,'D-1 Off Site Habitat Baseline'!$S$11:$S$258)+SUMIF('D-1 Off Site Habitat Baseline'!$G$11:$G$258,'G-2 Habitat groups'!A53,'D-1 Off Site Habitat Baseline'!$T$11:$T$258),SUMIF('D-1 Off Site Habitat Baseline'!$G$11:$G$258,'G-2 Habitat groups'!A53,'D-1 Off Site Habitat Baseline'!$H$11:$H$258))</f>
        <v>0</v>
      </c>
      <c r="T53" s="494">
        <f>SUMIF('D-1 Off Site Habitat Baseline'!$G$11:$G$258,'G-2 Habitat groups'!A53,'D-1 Off Site Habitat Baseline'!$Q$11:$Q$258)</f>
        <v>0</v>
      </c>
      <c r="U53" s="591">
        <f>SUMIF('D-1 Off Site Habitat Baseline'!$G$11:$G$258,'G-2 Habitat groups'!A53,'D-1 Off Site Habitat Baseline'!$S$11:$S$258)</f>
        <v>0</v>
      </c>
      <c r="V53" s="494">
        <f>SUMIF('D-1 Off Site Habitat Baseline'!$G$11:$G$258,'G-2 Habitat groups'!A53,'D-1 Off Site Habitat Baseline'!$U$11:$U$258)</f>
        <v>0</v>
      </c>
      <c r="W53" s="494">
        <f>SUMIF('D-2 Off Site Habitat Creation'!$F$9:$F$255,'G-2 Habitat groups'!A53,'D-2 Off Site Habitat Creation'!$G$9:$G$255)</f>
        <v>0</v>
      </c>
      <c r="X53" s="494">
        <f>SUMIF('D-2 Off Site Habitat Creation'!$F$9:$F$255,'G-2 Habitat groups'!A53,'D-2 Off Site Habitat Creation'!$AA$9:$AA$255)</f>
        <v>0</v>
      </c>
      <c r="Y53" s="494">
        <f>SUMIF('D-3 Off Site Habitat Enhancment'!$S$12:$S$491,'G-2 Habitat groups'!A53,'D-3 Off Site Habitat Enhancment'!$V$12:$V$491)</f>
        <v>0</v>
      </c>
      <c r="Z53" s="494">
        <f>SUMIF('D-3 Off Site Habitat Enhancment'!$S$12:$S$491,'G-2 Habitat groups'!A53,'D-3 Off Site Habitat Enhancment'!$AP$12:$AP$491)</f>
        <v>0</v>
      </c>
      <c r="AA53" s="494">
        <f t="shared" si="57"/>
        <v>0</v>
      </c>
      <c r="AB53" s="494">
        <f t="shared" si="58"/>
        <v>0</v>
      </c>
      <c r="AC53" s="494">
        <f t="shared" si="59"/>
        <v>0</v>
      </c>
      <c r="AD53" s="494">
        <f t="shared" si="60"/>
        <v>0</v>
      </c>
      <c r="AE53" s="494">
        <f t="shared" si="61"/>
        <v>0</v>
      </c>
      <c r="AF53" s="494">
        <f t="shared" si="62"/>
        <v>0</v>
      </c>
      <c r="AU53" s="113" t="s">
        <v>678</v>
      </c>
      <c r="AV53" s="88" t="s">
        <v>76</v>
      </c>
      <c r="AW53" s="494">
        <f t="shared" si="43"/>
        <v>0</v>
      </c>
      <c r="AX53" s="494">
        <f t="shared" si="44"/>
        <v>0</v>
      </c>
      <c r="AY53" s="494">
        <f t="shared" si="45"/>
        <v>0</v>
      </c>
      <c r="AZ53" s="494">
        <f t="shared" si="46"/>
        <v>0</v>
      </c>
      <c r="BA53" s="494">
        <f t="shared" si="47"/>
        <v>0</v>
      </c>
      <c r="BB53" s="494">
        <f t="shared" si="48"/>
        <v>0</v>
      </c>
      <c r="BC53" s="494">
        <f t="shared" si="49"/>
        <v>0</v>
      </c>
      <c r="BD53" s="494">
        <f t="shared" si="50"/>
        <v>0</v>
      </c>
      <c r="BE53" s="494">
        <f t="shared" si="51"/>
        <v>0</v>
      </c>
      <c r="BF53" s="494" t="str">
        <f t="shared" si="52"/>
        <v/>
      </c>
    </row>
    <row r="54" spans="1:58" x14ac:dyDescent="0.25">
      <c r="A54" s="104" t="str">
        <f>'G-1 All Habitats'!B53</f>
        <v>Sparsely vegetated land - Inland rock outcrop and scree habitats</v>
      </c>
      <c r="B54" s="88" t="str">
        <f>'G-1 All Habitats'!F53</f>
        <v>Sparsely vegetated land</v>
      </c>
      <c r="C54" s="88" t="str">
        <f>'G-1 All Habitats'!K53</f>
        <v>High</v>
      </c>
      <c r="D54" s="88" t="str">
        <f>'G-1 All Habitats'!M53</f>
        <v>Same habitat required =</v>
      </c>
      <c r="E54" s="494">
        <f>IF(C54="V.High",SUMIF('A-1 Site Habitat Baseline'!$G$11:$G$258,'G-2 Habitat groups'!A54,'A-1 Site Habitat Baseline'!$S$11:$S$258)+SUMIF('A-1 Site Habitat Baseline'!$G$11:$G$258,'G-2 Habitat groups'!A54,'A-1 Site Habitat Baseline'!$T$11:$T$258),SUMIF('A-1 Site Habitat Baseline'!$G$11:$G$258,'G-2 Habitat groups'!A54,'A-1 Site Habitat Baseline'!$H$11:$H$258))</f>
        <v>0</v>
      </c>
      <c r="F54" s="494">
        <f>SUMIF('A-1 Site Habitat Baseline'!$G$11:$G$258,'G-2 Habitat groups'!A54,'A-1 Site Habitat Baseline'!$Q$11:$Q$258)</f>
        <v>0</v>
      </c>
      <c r="G54" s="494">
        <f>SUMIF('A-1 Site Habitat Baseline'!$G$11:$G$258,'G-2 Habitat groups'!A54,'A-1 Site Habitat Baseline'!$S$11:$S$258)</f>
        <v>0</v>
      </c>
      <c r="H54" s="494">
        <f>SUMIF('A-1 Site Habitat Baseline'!$G$11:$G$258,'G-2 Habitat groups'!A54,'A-1 Site Habitat Baseline'!$U$11:$U$258)</f>
        <v>0</v>
      </c>
      <c r="I54" s="494">
        <f>SUMIF('A-1 Site Habitat Baseline'!$G$11:$G$258,'G-2 Habitat groups'!A54,'A-1 Site Habitat Baseline'!$W$11:$W$258)</f>
        <v>0</v>
      </c>
      <c r="J54" s="494">
        <f>SUMIF('A-1 Site Habitat Baseline'!$G$11:$G$258,'G-2 Habitat groups'!A54,'A-1 Site Habitat Baseline'!$X$11:$X$258)</f>
        <v>0</v>
      </c>
      <c r="K54" s="494">
        <f>SUMIF('A-2 Site Habitat Creation'!$F$11:$F$256,'G-2 Habitat groups'!A54,'A-2 Site Habitat Creation'!$G$11:$G$256)</f>
        <v>0</v>
      </c>
      <c r="L54" s="494">
        <f>SUMIF('A-2 Site Habitat Creation'!$F$11:$F$256,'G-2 Habitat groups'!A54,'A-2 Site Habitat Creation'!$Y$11:$Y$256)</f>
        <v>0</v>
      </c>
      <c r="M54" s="494">
        <f>SUMIF('A-3 Site Habitat Enhancement'!$S$12:$S$257,'G-2 Habitat groups'!A54,'A-3 Site Habitat Enhancement'!$V$12:$V$257)</f>
        <v>0</v>
      </c>
      <c r="N54" s="494">
        <f>SUMIF('A-3 Site Habitat Enhancement'!$S$12:$S$257,'G-2 Habitat groups'!A54,'A-3 Site Habitat Enhancement'!$AN$12:$AN$257)</f>
        <v>0</v>
      </c>
      <c r="O54" s="494">
        <f t="shared" si="53"/>
        <v>0</v>
      </c>
      <c r="P54" s="494">
        <f t="shared" si="54"/>
        <v>0</v>
      </c>
      <c r="Q54" s="494">
        <f t="shared" si="55"/>
        <v>0</v>
      </c>
      <c r="R54" s="494">
        <f t="shared" si="56"/>
        <v>0</v>
      </c>
      <c r="S54" s="494">
        <f>IF(C54="V.High",SUMIF('D-1 Off Site Habitat Baseline'!$G$11:$G$258,'G-2 Habitat groups'!A54,'D-1 Off Site Habitat Baseline'!$S$11:$S$258)+SUMIF('D-1 Off Site Habitat Baseline'!$G$11:$G$258,'G-2 Habitat groups'!A54,'D-1 Off Site Habitat Baseline'!$T$11:$T$258),SUMIF('D-1 Off Site Habitat Baseline'!$G$11:$G$258,'G-2 Habitat groups'!A54,'D-1 Off Site Habitat Baseline'!$H$11:$H$258))</f>
        <v>0</v>
      </c>
      <c r="T54" s="494">
        <f>SUMIF('D-1 Off Site Habitat Baseline'!$G$11:$G$258,'G-2 Habitat groups'!A54,'D-1 Off Site Habitat Baseline'!$Q$11:$Q$258)</f>
        <v>0</v>
      </c>
      <c r="U54" s="591">
        <f>SUMIF('D-1 Off Site Habitat Baseline'!$G$11:$G$258,'G-2 Habitat groups'!A54,'D-1 Off Site Habitat Baseline'!$S$11:$S$258)</f>
        <v>0</v>
      </c>
      <c r="V54" s="494">
        <f>SUMIF('D-1 Off Site Habitat Baseline'!$G$11:$G$258,'G-2 Habitat groups'!A54,'D-1 Off Site Habitat Baseline'!$U$11:$U$258)</f>
        <v>0</v>
      </c>
      <c r="W54" s="494">
        <f>SUMIF('D-2 Off Site Habitat Creation'!$F$9:$F$255,'G-2 Habitat groups'!A54,'D-2 Off Site Habitat Creation'!$G$9:$G$255)</f>
        <v>0</v>
      </c>
      <c r="X54" s="494">
        <f>SUMIF('D-2 Off Site Habitat Creation'!$F$9:$F$255,'G-2 Habitat groups'!A54,'D-2 Off Site Habitat Creation'!$AA$9:$AA$255)</f>
        <v>0</v>
      </c>
      <c r="Y54" s="494">
        <f>SUMIF('D-3 Off Site Habitat Enhancment'!$S$12:$S$491,'G-2 Habitat groups'!A54,'D-3 Off Site Habitat Enhancment'!$V$12:$V$491)</f>
        <v>0</v>
      </c>
      <c r="Z54" s="494">
        <f>SUMIF('D-3 Off Site Habitat Enhancment'!$S$12:$S$491,'G-2 Habitat groups'!A54,'D-3 Off Site Habitat Enhancment'!$AP$12:$AP$491)</f>
        <v>0</v>
      </c>
      <c r="AA54" s="494">
        <f t="shared" si="57"/>
        <v>0</v>
      </c>
      <c r="AB54" s="494">
        <f t="shared" si="58"/>
        <v>0</v>
      </c>
      <c r="AC54" s="494">
        <f t="shared" si="59"/>
        <v>0</v>
      </c>
      <c r="AD54" s="494">
        <f t="shared" si="60"/>
        <v>0</v>
      </c>
      <c r="AE54" s="494">
        <f t="shared" si="61"/>
        <v>0</v>
      </c>
      <c r="AF54" s="494">
        <f t="shared" si="62"/>
        <v>0</v>
      </c>
      <c r="AU54" s="113" t="s">
        <v>681</v>
      </c>
      <c r="AV54" s="88" t="s">
        <v>76</v>
      </c>
      <c r="AW54" s="494">
        <f t="shared" si="43"/>
        <v>0</v>
      </c>
      <c r="AX54" s="494">
        <f t="shared" si="44"/>
        <v>0</v>
      </c>
      <c r="AY54" s="494">
        <f t="shared" si="45"/>
        <v>0</v>
      </c>
      <c r="AZ54" s="494">
        <f t="shared" si="46"/>
        <v>0</v>
      </c>
      <c r="BA54" s="494">
        <f t="shared" si="47"/>
        <v>0</v>
      </c>
      <c r="BB54" s="494">
        <f t="shared" si="48"/>
        <v>0</v>
      </c>
      <c r="BC54" s="494">
        <f t="shared" si="49"/>
        <v>0</v>
      </c>
      <c r="BD54" s="494">
        <f t="shared" si="50"/>
        <v>0</v>
      </c>
      <c r="BE54" s="494">
        <f t="shared" si="51"/>
        <v>0</v>
      </c>
      <c r="BF54" s="494" t="str">
        <f t="shared" si="52"/>
        <v/>
      </c>
    </row>
    <row r="55" spans="1:58" x14ac:dyDescent="0.25">
      <c r="A55" s="104" t="str">
        <f>'G-1 All Habitats'!B54</f>
        <v>Sparsely vegetated land - Limestone pavement</v>
      </c>
      <c r="B55" s="88" t="str">
        <f>'G-1 All Habitats'!F54</f>
        <v>Sparsely vegetated land</v>
      </c>
      <c r="C55" s="88" t="str">
        <f>'G-1 All Habitats'!K54</f>
        <v>V.High</v>
      </c>
      <c r="D55" s="88" t="str">
        <f>'G-1 All Habitats'!M54</f>
        <v>Bespoke compensation likely to be required 🛠</v>
      </c>
      <c r="E55" s="494">
        <f>IF(C55="V.High",SUMIF('A-1 Site Habitat Baseline'!$G$11:$G$258,'G-2 Habitat groups'!A55,'A-1 Site Habitat Baseline'!$S$11:$S$258)+SUMIF('A-1 Site Habitat Baseline'!$G$11:$G$258,'G-2 Habitat groups'!A55,'A-1 Site Habitat Baseline'!$T$11:$T$258),SUMIF('A-1 Site Habitat Baseline'!$G$11:$G$258,'G-2 Habitat groups'!A55,'A-1 Site Habitat Baseline'!$H$11:$H$258))</f>
        <v>0</v>
      </c>
      <c r="F55" s="494">
        <f>SUMIF('A-1 Site Habitat Baseline'!$G$11:$G$258,'G-2 Habitat groups'!A55,'A-1 Site Habitat Baseline'!$Q$11:$Q$258)</f>
        <v>0</v>
      </c>
      <c r="G55" s="494">
        <f>SUMIF('A-1 Site Habitat Baseline'!$G$11:$G$258,'G-2 Habitat groups'!A55,'A-1 Site Habitat Baseline'!$S$11:$S$258)</f>
        <v>0</v>
      </c>
      <c r="H55" s="494">
        <f>SUMIF('A-1 Site Habitat Baseline'!$G$11:$G$258,'G-2 Habitat groups'!A55,'A-1 Site Habitat Baseline'!$U$11:$U$258)</f>
        <v>0</v>
      </c>
      <c r="I55" s="494">
        <f>SUMIF('A-1 Site Habitat Baseline'!$G$11:$G$258,'G-2 Habitat groups'!A55,'A-1 Site Habitat Baseline'!$W$11:$W$258)</f>
        <v>0</v>
      </c>
      <c r="J55" s="494">
        <f>SUMIF('A-1 Site Habitat Baseline'!$G$11:$G$258,'G-2 Habitat groups'!A55,'A-1 Site Habitat Baseline'!$X$11:$X$258)</f>
        <v>0</v>
      </c>
      <c r="K55" s="494">
        <f>SUMIF('A-2 Site Habitat Creation'!$F$11:$F$256,'G-2 Habitat groups'!A55,'A-2 Site Habitat Creation'!$G$11:$G$256)</f>
        <v>0</v>
      </c>
      <c r="L55" s="494">
        <f>SUMIF('A-2 Site Habitat Creation'!$F$11:$F$256,'G-2 Habitat groups'!A55,'A-2 Site Habitat Creation'!$Y$11:$Y$256)</f>
        <v>0</v>
      </c>
      <c r="M55" s="494">
        <f>SUMIF('A-3 Site Habitat Enhancement'!$S$12:$S$257,'G-2 Habitat groups'!A55,'A-3 Site Habitat Enhancement'!$V$12:$V$257)</f>
        <v>0</v>
      </c>
      <c r="N55" s="494">
        <f>SUMIF('A-3 Site Habitat Enhancement'!$S$12:$S$257,'G-2 Habitat groups'!A55,'A-3 Site Habitat Enhancement'!$AN$12:$AN$257)</f>
        <v>0</v>
      </c>
      <c r="O55" s="494">
        <f t="shared" si="53"/>
        <v>0</v>
      </c>
      <c r="P55" s="494">
        <f t="shared" si="54"/>
        <v>0</v>
      </c>
      <c r="Q55" s="494">
        <f t="shared" si="55"/>
        <v>0</v>
      </c>
      <c r="R55" s="494">
        <f t="shared" si="56"/>
        <v>0</v>
      </c>
      <c r="S55" s="494">
        <f>IF(C55="V.High",SUMIF('D-1 Off Site Habitat Baseline'!$G$11:$G$258,'G-2 Habitat groups'!A55,'D-1 Off Site Habitat Baseline'!$S$11:$S$258)+SUMIF('D-1 Off Site Habitat Baseline'!$G$11:$G$258,'G-2 Habitat groups'!A55,'D-1 Off Site Habitat Baseline'!$T$11:$T$258),SUMIF('D-1 Off Site Habitat Baseline'!$G$11:$G$258,'G-2 Habitat groups'!A55,'D-1 Off Site Habitat Baseline'!$H$11:$H$258))</f>
        <v>0</v>
      </c>
      <c r="T55" s="494">
        <f>SUMIF('D-1 Off Site Habitat Baseline'!$G$11:$G$258,'G-2 Habitat groups'!A55,'D-1 Off Site Habitat Baseline'!$Q$11:$Q$258)</f>
        <v>0</v>
      </c>
      <c r="U55" s="591">
        <f>SUMIF('D-1 Off Site Habitat Baseline'!$G$11:$G$258,'G-2 Habitat groups'!A55,'D-1 Off Site Habitat Baseline'!$S$11:$S$258)</f>
        <v>0</v>
      </c>
      <c r="V55" s="494">
        <f>SUMIF('D-1 Off Site Habitat Baseline'!$G$11:$G$258,'G-2 Habitat groups'!A55,'D-1 Off Site Habitat Baseline'!$U$11:$U$258)</f>
        <v>0</v>
      </c>
      <c r="W55" s="494">
        <f>SUMIF('D-2 Off Site Habitat Creation'!$F$9:$F$255,'G-2 Habitat groups'!A55,'D-2 Off Site Habitat Creation'!$G$9:$G$255)</f>
        <v>0</v>
      </c>
      <c r="X55" s="494">
        <f>SUMIF('D-2 Off Site Habitat Creation'!$F$9:$F$255,'G-2 Habitat groups'!A55,'D-2 Off Site Habitat Creation'!$AA$9:$AA$255)</f>
        <v>0</v>
      </c>
      <c r="Y55" s="494">
        <f>SUMIF('D-3 Off Site Habitat Enhancment'!$S$12:$S$491,'G-2 Habitat groups'!A55,'D-3 Off Site Habitat Enhancment'!$V$12:$V$491)</f>
        <v>0</v>
      </c>
      <c r="Z55" s="494">
        <f>SUMIF('D-3 Off Site Habitat Enhancment'!$S$12:$S$491,'G-2 Habitat groups'!A55,'D-3 Off Site Habitat Enhancment'!$AP$12:$AP$491)</f>
        <v>0</v>
      </c>
      <c r="AA55" s="494">
        <f t="shared" si="57"/>
        <v>0</v>
      </c>
      <c r="AB55" s="494">
        <f t="shared" si="58"/>
        <v>0</v>
      </c>
      <c r="AC55" s="494">
        <f t="shared" si="59"/>
        <v>0</v>
      </c>
      <c r="AD55" s="494">
        <f t="shared" si="60"/>
        <v>0</v>
      </c>
      <c r="AE55" s="494">
        <f t="shared" si="61"/>
        <v>0</v>
      </c>
      <c r="AF55" s="494">
        <f t="shared" si="62"/>
        <v>0</v>
      </c>
      <c r="AU55" s="113" t="s">
        <v>698</v>
      </c>
      <c r="AV55" s="88" t="s">
        <v>76</v>
      </c>
      <c r="AW55" s="494">
        <f t="shared" si="43"/>
        <v>0</v>
      </c>
      <c r="AX55" s="494">
        <f t="shared" si="44"/>
        <v>0</v>
      </c>
      <c r="AY55" s="494">
        <f t="shared" si="45"/>
        <v>0</v>
      </c>
      <c r="AZ55" s="494">
        <f t="shared" si="46"/>
        <v>0</v>
      </c>
      <c r="BA55" s="494">
        <f t="shared" si="47"/>
        <v>0</v>
      </c>
      <c r="BB55" s="494">
        <f t="shared" si="48"/>
        <v>0</v>
      </c>
      <c r="BC55" s="494">
        <f t="shared" si="49"/>
        <v>0</v>
      </c>
      <c r="BD55" s="494">
        <f t="shared" si="50"/>
        <v>0</v>
      </c>
      <c r="BE55" s="494">
        <f t="shared" si="51"/>
        <v>0</v>
      </c>
      <c r="BF55" s="494" t="str">
        <f t="shared" si="52"/>
        <v/>
      </c>
    </row>
    <row r="56" spans="1:58" x14ac:dyDescent="0.25">
      <c r="A56" s="104" t="str">
        <f>'G-1 All Habitats'!B55</f>
        <v>Sparsely vegetated land - Maritime cliff and slopes</v>
      </c>
      <c r="B56" s="88" t="str">
        <f>'G-1 All Habitats'!F55</f>
        <v>Sparsely vegetated land</v>
      </c>
      <c r="C56" s="88" t="str">
        <f>'G-1 All Habitats'!K55</f>
        <v>High</v>
      </c>
      <c r="D56" s="88" t="str">
        <f>'G-1 All Habitats'!M55</f>
        <v>Same habitat required =</v>
      </c>
      <c r="E56" s="494">
        <f>IF(C56="V.High",SUMIF('A-1 Site Habitat Baseline'!$G$11:$G$258,'G-2 Habitat groups'!A56,'A-1 Site Habitat Baseline'!$S$11:$S$258)+SUMIF('A-1 Site Habitat Baseline'!$G$11:$G$258,'G-2 Habitat groups'!A56,'A-1 Site Habitat Baseline'!$T$11:$T$258),SUMIF('A-1 Site Habitat Baseline'!$G$11:$G$258,'G-2 Habitat groups'!A56,'A-1 Site Habitat Baseline'!$H$11:$H$258))</f>
        <v>0</v>
      </c>
      <c r="F56" s="494">
        <f>SUMIF('A-1 Site Habitat Baseline'!$G$11:$G$258,'G-2 Habitat groups'!A56,'A-1 Site Habitat Baseline'!$Q$11:$Q$258)</f>
        <v>0</v>
      </c>
      <c r="G56" s="494">
        <f>SUMIF('A-1 Site Habitat Baseline'!$G$11:$G$258,'G-2 Habitat groups'!A56,'A-1 Site Habitat Baseline'!$S$11:$S$258)</f>
        <v>0</v>
      </c>
      <c r="H56" s="494">
        <f>SUMIF('A-1 Site Habitat Baseline'!$G$11:$G$258,'G-2 Habitat groups'!A56,'A-1 Site Habitat Baseline'!$U$11:$U$258)</f>
        <v>0</v>
      </c>
      <c r="I56" s="494">
        <f>SUMIF('A-1 Site Habitat Baseline'!$G$11:$G$258,'G-2 Habitat groups'!A56,'A-1 Site Habitat Baseline'!$W$11:$W$258)</f>
        <v>0</v>
      </c>
      <c r="J56" s="494">
        <f>SUMIF('A-1 Site Habitat Baseline'!$G$11:$G$258,'G-2 Habitat groups'!A56,'A-1 Site Habitat Baseline'!$X$11:$X$258)</f>
        <v>0</v>
      </c>
      <c r="K56" s="494">
        <f>SUMIF('A-2 Site Habitat Creation'!$F$11:$F$256,'G-2 Habitat groups'!A56,'A-2 Site Habitat Creation'!$G$11:$G$256)</f>
        <v>0</v>
      </c>
      <c r="L56" s="494">
        <f>SUMIF('A-2 Site Habitat Creation'!$F$11:$F$256,'G-2 Habitat groups'!A56,'A-2 Site Habitat Creation'!$Y$11:$Y$256)</f>
        <v>0</v>
      </c>
      <c r="M56" s="494">
        <f>SUMIF('A-3 Site Habitat Enhancement'!$S$12:$S$257,'G-2 Habitat groups'!A56,'A-3 Site Habitat Enhancement'!$V$12:$V$257)</f>
        <v>0</v>
      </c>
      <c r="N56" s="494">
        <f>SUMIF('A-3 Site Habitat Enhancement'!$S$12:$S$257,'G-2 Habitat groups'!A56,'A-3 Site Habitat Enhancement'!$AN$12:$AN$257)</f>
        <v>0</v>
      </c>
      <c r="O56" s="494">
        <f t="shared" si="53"/>
        <v>0</v>
      </c>
      <c r="P56" s="494">
        <f t="shared" si="54"/>
        <v>0</v>
      </c>
      <c r="Q56" s="494">
        <f t="shared" si="55"/>
        <v>0</v>
      </c>
      <c r="R56" s="494">
        <f t="shared" si="56"/>
        <v>0</v>
      </c>
      <c r="S56" s="494">
        <f>IF(C56="V.High",SUMIF('D-1 Off Site Habitat Baseline'!$G$11:$G$258,'G-2 Habitat groups'!A56,'D-1 Off Site Habitat Baseline'!$S$11:$S$258)+SUMIF('D-1 Off Site Habitat Baseline'!$G$11:$G$258,'G-2 Habitat groups'!A56,'D-1 Off Site Habitat Baseline'!$T$11:$T$258),SUMIF('D-1 Off Site Habitat Baseline'!$G$11:$G$258,'G-2 Habitat groups'!A56,'D-1 Off Site Habitat Baseline'!$H$11:$H$258))</f>
        <v>0</v>
      </c>
      <c r="T56" s="494">
        <f>SUMIF('D-1 Off Site Habitat Baseline'!$G$11:$G$258,'G-2 Habitat groups'!A56,'D-1 Off Site Habitat Baseline'!$Q$11:$Q$258)</f>
        <v>0</v>
      </c>
      <c r="U56" s="591">
        <f>SUMIF('D-1 Off Site Habitat Baseline'!$G$11:$G$258,'G-2 Habitat groups'!A56,'D-1 Off Site Habitat Baseline'!$S$11:$S$258)</f>
        <v>0</v>
      </c>
      <c r="V56" s="494">
        <f>SUMIF('D-1 Off Site Habitat Baseline'!$G$11:$G$258,'G-2 Habitat groups'!A56,'D-1 Off Site Habitat Baseline'!$U$11:$U$258)</f>
        <v>0</v>
      </c>
      <c r="W56" s="494">
        <f>SUMIF('D-2 Off Site Habitat Creation'!$F$9:$F$255,'G-2 Habitat groups'!A56,'D-2 Off Site Habitat Creation'!$G$9:$G$255)</f>
        <v>0</v>
      </c>
      <c r="X56" s="494">
        <f>SUMIF('D-2 Off Site Habitat Creation'!$F$9:$F$255,'G-2 Habitat groups'!A56,'D-2 Off Site Habitat Creation'!$AA$9:$AA$255)</f>
        <v>0</v>
      </c>
      <c r="Y56" s="494">
        <f>SUMIF('D-3 Off Site Habitat Enhancment'!$S$12:$S$491,'G-2 Habitat groups'!A56,'D-3 Off Site Habitat Enhancment'!$V$12:$V$491)</f>
        <v>0</v>
      </c>
      <c r="Z56" s="494">
        <f>SUMIF('D-3 Off Site Habitat Enhancment'!$S$12:$S$491,'G-2 Habitat groups'!A56,'D-3 Off Site Habitat Enhancment'!$AP$12:$AP$491)</f>
        <v>0</v>
      </c>
      <c r="AA56" s="494">
        <f t="shared" si="57"/>
        <v>0</v>
      </c>
      <c r="AB56" s="494">
        <f t="shared" si="58"/>
        <v>0</v>
      </c>
      <c r="AC56" s="494">
        <f t="shared" si="59"/>
        <v>0</v>
      </c>
      <c r="AD56" s="494">
        <f t="shared" si="60"/>
        <v>0</v>
      </c>
      <c r="AE56" s="494">
        <f t="shared" si="61"/>
        <v>0</v>
      </c>
      <c r="AF56" s="494">
        <f t="shared" si="62"/>
        <v>0</v>
      </c>
      <c r="AU56" s="113" t="s">
        <v>701</v>
      </c>
      <c r="AV56" s="88" t="s">
        <v>76</v>
      </c>
      <c r="AW56" s="494">
        <f t="shared" si="43"/>
        <v>0</v>
      </c>
      <c r="AX56" s="494">
        <f t="shared" si="44"/>
        <v>0</v>
      </c>
      <c r="AY56" s="494">
        <f t="shared" si="45"/>
        <v>0</v>
      </c>
      <c r="AZ56" s="494">
        <f t="shared" si="46"/>
        <v>0</v>
      </c>
      <c r="BA56" s="494">
        <f t="shared" si="47"/>
        <v>0</v>
      </c>
      <c r="BB56" s="494">
        <f t="shared" si="48"/>
        <v>0</v>
      </c>
      <c r="BC56" s="494">
        <f t="shared" si="49"/>
        <v>0</v>
      </c>
      <c r="BD56" s="494">
        <f t="shared" si="50"/>
        <v>0</v>
      </c>
      <c r="BE56" s="494">
        <f t="shared" si="51"/>
        <v>0</v>
      </c>
      <c r="BF56" s="494" t="str">
        <f t="shared" si="52"/>
        <v/>
      </c>
    </row>
    <row r="57" spans="1:58" x14ac:dyDescent="0.25">
      <c r="A57" s="104" t="str">
        <f>'G-1 All Habitats'!B56</f>
        <v>Sparsely vegetated land - Other inland rock and scree</v>
      </c>
      <c r="B57" s="88" t="str">
        <f>'G-1 All Habitats'!F56</f>
        <v>Sparsely vegetated land</v>
      </c>
      <c r="C57" s="88" t="str">
        <f>'G-1 All Habitats'!K56</f>
        <v>Medium</v>
      </c>
      <c r="D57" s="88" t="str">
        <f>'G-1 All Habitats'!M56</f>
        <v>Same broad habitat or a higher distinctiveness habitat required (≥)</v>
      </c>
      <c r="E57" s="494">
        <f>IF(C57="V.High",SUMIF('A-1 Site Habitat Baseline'!$G$11:$G$258,'G-2 Habitat groups'!A57,'A-1 Site Habitat Baseline'!$S$11:$S$258)+SUMIF('A-1 Site Habitat Baseline'!$G$11:$G$258,'G-2 Habitat groups'!A57,'A-1 Site Habitat Baseline'!$T$11:$T$258),SUMIF('A-1 Site Habitat Baseline'!$G$11:$G$258,'G-2 Habitat groups'!A57,'A-1 Site Habitat Baseline'!$H$11:$H$258))</f>
        <v>0</v>
      </c>
      <c r="F57" s="494">
        <f>SUMIF('A-1 Site Habitat Baseline'!$G$11:$G$258,'G-2 Habitat groups'!A57,'A-1 Site Habitat Baseline'!$Q$11:$Q$258)</f>
        <v>0</v>
      </c>
      <c r="G57" s="494">
        <f>SUMIF('A-1 Site Habitat Baseline'!$G$11:$G$258,'G-2 Habitat groups'!A57,'A-1 Site Habitat Baseline'!$S$11:$S$258)</f>
        <v>0</v>
      </c>
      <c r="H57" s="494">
        <f>SUMIF('A-1 Site Habitat Baseline'!$G$11:$G$258,'G-2 Habitat groups'!A57,'A-1 Site Habitat Baseline'!$U$11:$U$258)</f>
        <v>0</v>
      </c>
      <c r="I57" s="494">
        <f>SUMIF('A-1 Site Habitat Baseline'!$G$11:$G$258,'G-2 Habitat groups'!A57,'A-1 Site Habitat Baseline'!$W$11:$W$258)</f>
        <v>0</v>
      </c>
      <c r="J57" s="494">
        <f>SUMIF('A-1 Site Habitat Baseline'!$G$11:$G$258,'G-2 Habitat groups'!A57,'A-1 Site Habitat Baseline'!$X$11:$X$258)</f>
        <v>0</v>
      </c>
      <c r="K57" s="494">
        <f>SUMIF('A-2 Site Habitat Creation'!$F$11:$F$256,'G-2 Habitat groups'!A57,'A-2 Site Habitat Creation'!$G$11:$G$256)</f>
        <v>0</v>
      </c>
      <c r="L57" s="494">
        <f>SUMIF('A-2 Site Habitat Creation'!$F$11:$F$256,'G-2 Habitat groups'!A57,'A-2 Site Habitat Creation'!$Y$11:$Y$256)</f>
        <v>0</v>
      </c>
      <c r="M57" s="494">
        <f>SUMIF('A-3 Site Habitat Enhancement'!$S$12:$S$257,'G-2 Habitat groups'!A57,'A-3 Site Habitat Enhancement'!$V$12:$V$257)</f>
        <v>0</v>
      </c>
      <c r="N57" s="494">
        <f>SUMIF('A-3 Site Habitat Enhancement'!$S$12:$S$257,'G-2 Habitat groups'!A57,'A-3 Site Habitat Enhancement'!$AN$12:$AN$257)</f>
        <v>0</v>
      </c>
      <c r="O57" s="494">
        <f t="shared" si="53"/>
        <v>0</v>
      </c>
      <c r="P57" s="494">
        <f t="shared" si="54"/>
        <v>0</v>
      </c>
      <c r="Q57" s="494">
        <f t="shared" si="55"/>
        <v>0</v>
      </c>
      <c r="R57" s="494">
        <f t="shared" si="56"/>
        <v>0</v>
      </c>
      <c r="S57" s="494">
        <f>IF(C57="V.High",SUMIF('D-1 Off Site Habitat Baseline'!$G$11:$G$258,'G-2 Habitat groups'!A57,'D-1 Off Site Habitat Baseline'!$S$11:$S$258)+SUMIF('D-1 Off Site Habitat Baseline'!$G$11:$G$258,'G-2 Habitat groups'!A57,'D-1 Off Site Habitat Baseline'!$T$11:$T$258),SUMIF('D-1 Off Site Habitat Baseline'!$G$11:$G$258,'G-2 Habitat groups'!A57,'D-1 Off Site Habitat Baseline'!$H$11:$H$258))</f>
        <v>0</v>
      </c>
      <c r="T57" s="494">
        <f>SUMIF('D-1 Off Site Habitat Baseline'!$G$11:$G$258,'G-2 Habitat groups'!A57,'D-1 Off Site Habitat Baseline'!$Q$11:$Q$258)</f>
        <v>0</v>
      </c>
      <c r="U57" s="591">
        <f>SUMIF('D-1 Off Site Habitat Baseline'!$G$11:$G$258,'G-2 Habitat groups'!A57,'D-1 Off Site Habitat Baseline'!$S$11:$S$258)</f>
        <v>0</v>
      </c>
      <c r="V57" s="494">
        <f>SUMIF('D-1 Off Site Habitat Baseline'!$G$11:$G$258,'G-2 Habitat groups'!A57,'D-1 Off Site Habitat Baseline'!$U$11:$U$258)</f>
        <v>0</v>
      </c>
      <c r="W57" s="494">
        <f>SUMIF('D-2 Off Site Habitat Creation'!$F$9:$F$255,'G-2 Habitat groups'!A57,'D-2 Off Site Habitat Creation'!$G$9:$G$255)</f>
        <v>0</v>
      </c>
      <c r="X57" s="494">
        <f>SUMIF('D-2 Off Site Habitat Creation'!$F$9:$F$255,'G-2 Habitat groups'!A57,'D-2 Off Site Habitat Creation'!$AA$9:$AA$255)</f>
        <v>0</v>
      </c>
      <c r="Y57" s="494">
        <f>SUMIF('D-3 Off Site Habitat Enhancment'!$S$12:$S$491,'G-2 Habitat groups'!A57,'D-3 Off Site Habitat Enhancment'!$V$12:$V$491)</f>
        <v>0</v>
      </c>
      <c r="Z57" s="494">
        <f>SUMIF('D-3 Off Site Habitat Enhancment'!$S$12:$S$491,'G-2 Habitat groups'!A57,'D-3 Off Site Habitat Enhancment'!$AP$12:$AP$491)</f>
        <v>0</v>
      </c>
      <c r="AA57" s="494">
        <f t="shared" si="57"/>
        <v>0</v>
      </c>
      <c r="AB57" s="494">
        <f t="shared" si="58"/>
        <v>0</v>
      </c>
      <c r="AC57" s="494">
        <f t="shared" si="59"/>
        <v>0</v>
      </c>
      <c r="AD57" s="494">
        <f t="shared" si="60"/>
        <v>0</v>
      </c>
      <c r="AE57" s="494">
        <f t="shared" si="61"/>
        <v>0</v>
      </c>
      <c r="AF57" s="494">
        <f t="shared" si="62"/>
        <v>0</v>
      </c>
      <c r="AU57" s="113" t="s">
        <v>704</v>
      </c>
      <c r="AV57" s="88" t="s">
        <v>76</v>
      </c>
      <c r="AW57" s="494">
        <f t="shared" si="43"/>
        <v>0</v>
      </c>
      <c r="AX57" s="494">
        <f t="shared" si="44"/>
        <v>0</v>
      </c>
      <c r="AY57" s="494">
        <f t="shared" si="45"/>
        <v>0</v>
      </c>
      <c r="AZ57" s="494">
        <f t="shared" si="46"/>
        <v>0</v>
      </c>
      <c r="BA57" s="494">
        <f t="shared" si="47"/>
        <v>0</v>
      </c>
      <c r="BB57" s="494">
        <f t="shared" si="48"/>
        <v>0</v>
      </c>
      <c r="BC57" s="494">
        <f t="shared" si="49"/>
        <v>0</v>
      </c>
      <c r="BD57" s="494">
        <f t="shared" si="50"/>
        <v>0</v>
      </c>
      <c r="BE57" s="494">
        <f t="shared" si="51"/>
        <v>0</v>
      </c>
      <c r="BF57" s="494" t="str">
        <f t="shared" si="52"/>
        <v/>
      </c>
    </row>
    <row r="58" spans="1:58" x14ac:dyDescent="0.25">
      <c r="A58" s="104" t="str">
        <f>'G-1 All Habitats'!B57</f>
        <v>Urban - Allotments</v>
      </c>
      <c r="B58" s="88" t="str">
        <f>'G-1 All Habitats'!F57</f>
        <v>Urban</v>
      </c>
      <c r="C58" s="88" t="str">
        <f>'G-1 All Habitats'!K57</f>
        <v>Low</v>
      </c>
      <c r="D58" s="88" t="str">
        <f>'G-1 All Habitats'!M57</f>
        <v>Same distinctiveness or better habitat required ≥</v>
      </c>
      <c r="E58" s="494">
        <f>IF(C58="V.High",SUMIF('A-1 Site Habitat Baseline'!$G$11:$G$258,'G-2 Habitat groups'!A58,'A-1 Site Habitat Baseline'!$S$11:$S$258)+SUMIF('A-1 Site Habitat Baseline'!$G$11:$G$258,'G-2 Habitat groups'!A58,'A-1 Site Habitat Baseline'!$T$11:$T$258),SUMIF('A-1 Site Habitat Baseline'!$G$11:$G$258,'G-2 Habitat groups'!A58,'A-1 Site Habitat Baseline'!$H$11:$H$258))</f>
        <v>0</v>
      </c>
      <c r="F58" s="494">
        <f>SUMIF('A-1 Site Habitat Baseline'!$G$11:$G$258,'G-2 Habitat groups'!A58,'A-1 Site Habitat Baseline'!$Q$11:$Q$258)</f>
        <v>0</v>
      </c>
      <c r="G58" s="494">
        <f>SUMIF('A-1 Site Habitat Baseline'!$G$11:$G$258,'G-2 Habitat groups'!A58,'A-1 Site Habitat Baseline'!$S$11:$S$258)</f>
        <v>0</v>
      </c>
      <c r="H58" s="494">
        <f>SUMIF('A-1 Site Habitat Baseline'!$G$11:$G$258,'G-2 Habitat groups'!A58,'A-1 Site Habitat Baseline'!$U$11:$U$258)</f>
        <v>0</v>
      </c>
      <c r="I58" s="494">
        <f>SUMIF('A-1 Site Habitat Baseline'!$G$11:$G$258,'G-2 Habitat groups'!A58,'A-1 Site Habitat Baseline'!$W$11:$W$258)</f>
        <v>0</v>
      </c>
      <c r="J58" s="494">
        <f>SUMIF('A-1 Site Habitat Baseline'!$G$11:$G$258,'G-2 Habitat groups'!A58,'A-1 Site Habitat Baseline'!$X$11:$X$258)</f>
        <v>0</v>
      </c>
      <c r="K58" s="494">
        <f>SUMIF('A-2 Site Habitat Creation'!$F$11:$F$256,'G-2 Habitat groups'!A58,'A-2 Site Habitat Creation'!$G$11:$G$256)</f>
        <v>0</v>
      </c>
      <c r="L58" s="494">
        <f>SUMIF('A-2 Site Habitat Creation'!$F$11:$F$256,'G-2 Habitat groups'!A58,'A-2 Site Habitat Creation'!$Y$11:$Y$256)</f>
        <v>0</v>
      </c>
      <c r="M58" s="494">
        <f>SUMIF('A-3 Site Habitat Enhancement'!$S$12:$S$257,'G-2 Habitat groups'!A58,'A-3 Site Habitat Enhancement'!$V$12:$V$257)</f>
        <v>0</v>
      </c>
      <c r="N58" s="494">
        <f>SUMIF('A-3 Site Habitat Enhancement'!$S$12:$S$257,'G-2 Habitat groups'!A58,'A-3 Site Habitat Enhancement'!$AN$12:$AN$257)</f>
        <v>0</v>
      </c>
      <c r="O58" s="494">
        <f t="shared" si="53"/>
        <v>0</v>
      </c>
      <c r="P58" s="494">
        <f t="shared" si="54"/>
        <v>0</v>
      </c>
      <c r="Q58" s="494">
        <f t="shared" si="55"/>
        <v>0</v>
      </c>
      <c r="R58" s="494">
        <f t="shared" si="56"/>
        <v>0</v>
      </c>
      <c r="S58" s="494">
        <f>IF(C58="V.High",SUMIF('D-1 Off Site Habitat Baseline'!$G$11:$G$258,'G-2 Habitat groups'!A58,'D-1 Off Site Habitat Baseline'!$S$11:$S$258)+SUMIF('D-1 Off Site Habitat Baseline'!$G$11:$G$258,'G-2 Habitat groups'!A58,'D-1 Off Site Habitat Baseline'!$T$11:$T$258),SUMIF('D-1 Off Site Habitat Baseline'!$G$11:$G$258,'G-2 Habitat groups'!A58,'D-1 Off Site Habitat Baseline'!$H$11:$H$258))</f>
        <v>0</v>
      </c>
      <c r="T58" s="494">
        <f>SUMIF('D-1 Off Site Habitat Baseline'!$G$11:$G$258,'G-2 Habitat groups'!A58,'D-1 Off Site Habitat Baseline'!$Q$11:$Q$258)</f>
        <v>0</v>
      </c>
      <c r="U58" s="591">
        <f>SUMIF('D-1 Off Site Habitat Baseline'!$G$11:$G$258,'G-2 Habitat groups'!A58,'D-1 Off Site Habitat Baseline'!$S$11:$S$258)</f>
        <v>0</v>
      </c>
      <c r="V58" s="494">
        <f>SUMIF('D-1 Off Site Habitat Baseline'!$G$11:$G$258,'G-2 Habitat groups'!A58,'D-1 Off Site Habitat Baseline'!$U$11:$U$258)</f>
        <v>0</v>
      </c>
      <c r="W58" s="494">
        <f>SUMIF('D-2 Off Site Habitat Creation'!$F$9:$F$255,'G-2 Habitat groups'!A58,'D-2 Off Site Habitat Creation'!$G$9:$G$255)</f>
        <v>0</v>
      </c>
      <c r="X58" s="494">
        <f>SUMIF('D-2 Off Site Habitat Creation'!$F$9:$F$255,'G-2 Habitat groups'!A58,'D-2 Off Site Habitat Creation'!$AA$9:$AA$255)</f>
        <v>0</v>
      </c>
      <c r="Y58" s="494">
        <f>SUMIF('D-3 Off Site Habitat Enhancment'!$S$12:$S$491,'G-2 Habitat groups'!A58,'D-3 Off Site Habitat Enhancment'!$V$12:$V$491)</f>
        <v>0</v>
      </c>
      <c r="Z58" s="494">
        <f>SUMIF('D-3 Off Site Habitat Enhancment'!$S$12:$S$491,'G-2 Habitat groups'!A58,'D-3 Off Site Habitat Enhancment'!$AP$12:$AP$491)</f>
        <v>0</v>
      </c>
      <c r="AA58" s="494">
        <f t="shared" si="57"/>
        <v>0</v>
      </c>
      <c r="AB58" s="494">
        <f t="shared" si="58"/>
        <v>0</v>
      </c>
      <c r="AC58" s="494">
        <f t="shared" si="59"/>
        <v>0</v>
      </c>
      <c r="AD58" s="494">
        <f t="shared" si="60"/>
        <v>0</v>
      </c>
      <c r="AE58" s="494">
        <f t="shared" si="61"/>
        <v>0</v>
      </c>
      <c r="AF58" s="494">
        <f t="shared" si="62"/>
        <v>0</v>
      </c>
      <c r="AU58" s="113" t="s">
        <v>709</v>
      </c>
      <c r="AV58" s="88" t="s">
        <v>76</v>
      </c>
      <c r="AW58" s="494">
        <f t="shared" si="43"/>
        <v>0</v>
      </c>
      <c r="AX58" s="494">
        <f t="shared" si="44"/>
        <v>0</v>
      </c>
      <c r="AY58" s="494">
        <f t="shared" si="45"/>
        <v>0</v>
      </c>
      <c r="AZ58" s="494">
        <f t="shared" si="46"/>
        <v>0</v>
      </c>
      <c r="BA58" s="494">
        <f t="shared" si="47"/>
        <v>0</v>
      </c>
      <c r="BB58" s="494">
        <f t="shared" si="48"/>
        <v>0</v>
      </c>
      <c r="BC58" s="494">
        <f t="shared" si="49"/>
        <v>0</v>
      </c>
      <c r="BD58" s="494">
        <f t="shared" si="50"/>
        <v>0</v>
      </c>
      <c r="BE58" s="494">
        <f t="shared" si="51"/>
        <v>0</v>
      </c>
      <c r="BF58" s="494" t="str">
        <f t="shared" si="52"/>
        <v/>
      </c>
    </row>
    <row r="59" spans="1:58" x14ac:dyDescent="0.25">
      <c r="A59" s="104" t="str">
        <f>'G-1 All Habitats'!B58</f>
        <v>Urban - Artificial unvegetated, unsealed surface</v>
      </c>
      <c r="B59" s="88" t="str">
        <f>'G-1 All Habitats'!F58</f>
        <v>Urban</v>
      </c>
      <c r="C59" s="88" t="str">
        <f>'G-1 All Habitats'!K58</f>
        <v>V.Low</v>
      </c>
      <c r="D59" s="88" t="str">
        <f>'G-1 All Habitats'!M58</f>
        <v>Compensation Not Required</v>
      </c>
      <c r="E59" s="494">
        <f>IF(C59="V.High",SUMIF('A-1 Site Habitat Baseline'!$G$11:$G$258,'G-2 Habitat groups'!A59,'A-1 Site Habitat Baseline'!$S$11:$S$258)+SUMIF('A-1 Site Habitat Baseline'!$G$11:$G$258,'G-2 Habitat groups'!A59,'A-1 Site Habitat Baseline'!$T$11:$T$258),SUMIF('A-1 Site Habitat Baseline'!$G$11:$G$258,'G-2 Habitat groups'!A59,'A-1 Site Habitat Baseline'!$H$11:$H$258))</f>
        <v>0</v>
      </c>
      <c r="F59" s="494">
        <f>SUMIF('A-1 Site Habitat Baseline'!$G$11:$G$258,'G-2 Habitat groups'!A59,'A-1 Site Habitat Baseline'!$Q$11:$Q$258)</f>
        <v>0</v>
      </c>
      <c r="G59" s="494">
        <f>SUMIF('A-1 Site Habitat Baseline'!$G$11:$G$258,'G-2 Habitat groups'!A59,'A-1 Site Habitat Baseline'!$S$11:$S$258)</f>
        <v>0</v>
      </c>
      <c r="H59" s="494">
        <f>SUMIF('A-1 Site Habitat Baseline'!$G$11:$G$258,'G-2 Habitat groups'!A59,'A-1 Site Habitat Baseline'!$U$11:$U$258)</f>
        <v>0</v>
      </c>
      <c r="I59" s="494">
        <f>SUMIF('A-1 Site Habitat Baseline'!$G$11:$G$258,'G-2 Habitat groups'!A59,'A-1 Site Habitat Baseline'!$W$11:$W$258)</f>
        <v>0</v>
      </c>
      <c r="J59" s="494">
        <f>SUMIF('A-1 Site Habitat Baseline'!$G$11:$G$258,'G-2 Habitat groups'!A59,'A-1 Site Habitat Baseline'!$X$11:$X$258)</f>
        <v>0</v>
      </c>
      <c r="K59" s="494">
        <f>SUMIF('A-2 Site Habitat Creation'!$F$11:$F$256,'G-2 Habitat groups'!A59,'A-2 Site Habitat Creation'!$G$11:$G$256)</f>
        <v>0</v>
      </c>
      <c r="L59" s="494">
        <f>SUMIF('A-2 Site Habitat Creation'!$F$11:$F$256,'G-2 Habitat groups'!A59,'A-2 Site Habitat Creation'!$Y$11:$Y$256)</f>
        <v>0</v>
      </c>
      <c r="M59" s="494">
        <f>SUMIF('A-3 Site Habitat Enhancement'!$S$12:$S$257,'G-2 Habitat groups'!A59,'A-3 Site Habitat Enhancement'!$V$12:$V$257)</f>
        <v>0</v>
      </c>
      <c r="N59" s="494">
        <f>SUMIF('A-3 Site Habitat Enhancement'!$S$12:$S$257,'G-2 Habitat groups'!A59,'A-3 Site Habitat Enhancement'!$AN$12:$AN$257)</f>
        <v>0</v>
      </c>
      <c r="O59" s="494">
        <f t="shared" si="53"/>
        <v>0</v>
      </c>
      <c r="P59" s="494">
        <f t="shared" si="54"/>
        <v>0</v>
      </c>
      <c r="Q59" s="494">
        <f t="shared" si="55"/>
        <v>0</v>
      </c>
      <c r="R59" s="494">
        <f t="shared" si="56"/>
        <v>0</v>
      </c>
      <c r="S59" s="494">
        <f>IF(C59="V.High",SUMIF('D-1 Off Site Habitat Baseline'!$G$11:$G$258,'G-2 Habitat groups'!A59,'D-1 Off Site Habitat Baseline'!$S$11:$S$258)+SUMIF('D-1 Off Site Habitat Baseline'!$G$11:$G$258,'G-2 Habitat groups'!A59,'D-1 Off Site Habitat Baseline'!$T$11:$T$258),SUMIF('D-1 Off Site Habitat Baseline'!$G$11:$G$258,'G-2 Habitat groups'!A59,'D-1 Off Site Habitat Baseline'!$H$11:$H$258))</f>
        <v>0</v>
      </c>
      <c r="T59" s="494">
        <f>SUMIF('D-1 Off Site Habitat Baseline'!$G$11:$G$258,'G-2 Habitat groups'!A59,'D-1 Off Site Habitat Baseline'!$Q$11:$Q$258)</f>
        <v>0</v>
      </c>
      <c r="U59" s="591">
        <f>SUMIF('D-1 Off Site Habitat Baseline'!$G$11:$G$258,'G-2 Habitat groups'!A59,'D-1 Off Site Habitat Baseline'!$S$11:$S$258)</f>
        <v>0</v>
      </c>
      <c r="V59" s="494">
        <f>SUMIF('D-1 Off Site Habitat Baseline'!$G$11:$G$258,'G-2 Habitat groups'!A59,'D-1 Off Site Habitat Baseline'!$U$11:$U$258)</f>
        <v>0</v>
      </c>
      <c r="W59" s="494">
        <f>SUMIF('D-2 Off Site Habitat Creation'!$F$9:$F$255,'G-2 Habitat groups'!A59,'D-2 Off Site Habitat Creation'!$G$9:$G$255)</f>
        <v>0</v>
      </c>
      <c r="X59" s="494">
        <f>SUMIF('D-2 Off Site Habitat Creation'!$F$9:$F$255,'G-2 Habitat groups'!A59,'D-2 Off Site Habitat Creation'!$AA$9:$AA$255)</f>
        <v>0</v>
      </c>
      <c r="Y59" s="494">
        <f>SUMIF('D-3 Off Site Habitat Enhancment'!$S$12:$S$491,'G-2 Habitat groups'!A59,'D-3 Off Site Habitat Enhancment'!$V$12:$V$491)</f>
        <v>0</v>
      </c>
      <c r="Z59" s="494">
        <f>SUMIF('D-3 Off Site Habitat Enhancment'!$S$12:$S$491,'G-2 Habitat groups'!A59,'D-3 Off Site Habitat Enhancment'!$AP$12:$AP$491)</f>
        <v>0</v>
      </c>
      <c r="AA59" s="494">
        <f t="shared" si="57"/>
        <v>0</v>
      </c>
      <c r="AB59" s="494">
        <f t="shared" si="58"/>
        <v>0</v>
      </c>
      <c r="AC59" s="494">
        <f t="shared" si="59"/>
        <v>0</v>
      </c>
      <c r="AD59" s="494">
        <f t="shared" si="60"/>
        <v>0</v>
      </c>
      <c r="AE59" s="494">
        <f t="shared" si="61"/>
        <v>0</v>
      </c>
      <c r="AF59" s="494">
        <f t="shared" si="62"/>
        <v>0</v>
      </c>
      <c r="AU59" s="113" t="s">
        <v>713</v>
      </c>
      <c r="AV59" s="88" t="s">
        <v>80</v>
      </c>
      <c r="AW59" s="494">
        <f t="shared" si="43"/>
        <v>0</v>
      </c>
      <c r="AX59" s="494">
        <f t="shared" si="44"/>
        <v>0</v>
      </c>
      <c r="AY59" s="494">
        <f t="shared" si="45"/>
        <v>0</v>
      </c>
      <c r="AZ59" s="494">
        <f t="shared" si="46"/>
        <v>0</v>
      </c>
      <c r="BA59" s="494">
        <f t="shared" si="47"/>
        <v>0</v>
      </c>
      <c r="BB59" s="494">
        <f t="shared" si="48"/>
        <v>0</v>
      </c>
      <c r="BC59" s="494">
        <f t="shared" si="49"/>
        <v>0</v>
      </c>
      <c r="BD59" s="494">
        <f t="shared" si="50"/>
        <v>0</v>
      </c>
      <c r="BE59" s="494">
        <f t="shared" si="51"/>
        <v>0</v>
      </c>
      <c r="BF59" s="494" t="str">
        <f t="shared" si="52"/>
        <v/>
      </c>
    </row>
    <row r="60" spans="1:58" x14ac:dyDescent="0.25">
      <c r="A60" s="104" t="str">
        <f>'G-1 All Habitats'!B59</f>
        <v>Urban - Bioswale</v>
      </c>
      <c r="B60" s="88" t="str">
        <f>'G-1 All Habitats'!F59</f>
        <v>Urban</v>
      </c>
      <c r="C60" s="88" t="str">
        <f>'G-1 All Habitats'!K59</f>
        <v>Low</v>
      </c>
      <c r="D60" s="88" t="str">
        <f>'G-1 All Habitats'!M59</f>
        <v>Same distinctiveness or better habitat required ≥</v>
      </c>
      <c r="E60" s="494">
        <f>IF(C60="V.High",SUMIF('A-1 Site Habitat Baseline'!$G$11:$G$258,'G-2 Habitat groups'!A60,'A-1 Site Habitat Baseline'!$S$11:$S$258)+SUMIF('A-1 Site Habitat Baseline'!$G$11:$G$258,'G-2 Habitat groups'!A60,'A-1 Site Habitat Baseline'!$T$11:$T$258),SUMIF('A-1 Site Habitat Baseline'!$G$11:$G$258,'G-2 Habitat groups'!A60,'A-1 Site Habitat Baseline'!$H$11:$H$258))</f>
        <v>0</v>
      </c>
      <c r="F60" s="494">
        <f>SUMIF('A-1 Site Habitat Baseline'!$G$11:$G$258,'G-2 Habitat groups'!A60,'A-1 Site Habitat Baseline'!$Q$11:$Q$258)</f>
        <v>0</v>
      </c>
      <c r="G60" s="494">
        <f>SUMIF('A-1 Site Habitat Baseline'!$G$11:$G$258,'G-2 Habitat groups'!A60,'A-1 Site Habitat Baseline'!$S$11:$S$258)</f>
        <v>0</v>
      </c>
      <c r="H60" s="494">
        <f>SUMIF('A-1 Site Habitat Baseline'!$G$11:$G$258,'G-2 Habitat groups'!A60,'A-1 Site Habitat Baseline'!$U$11:$U$258)</f>
        <v>0</v>
      </c>
      <c r="I60" s="494">
        <f>SUMIF('A-1 Site Habitat Baseline'!$G$11:$G$258,'G-2 Habitat groups'!A60,'A-1 Site Habitat Baseline'!$W$11:$W$258)</f>
        <v>0</v>
      </c>
      <c r="J60" s="494">
        <f>SUMIF('A-1 Site Habitat Baseline'!$G$11:$G$258,'G-2 Habitat groups'!A60,'A-1 Site Habitat Baseline'!$X$11:$X$258)</f>
        <v>0</v>
      </c>
      <c r="K60" s="494">
        <f>SUMIF('A-2 Site Habitat Creation'!$F$11:$F$256,'G-2 Habitat groups'!A60,'A-2 Site Habitat Creation'!$G$11:$G$256)</f>
        <v>0</v>
      </c>
      <c r="L60" s="494">
        <f>SUMIF('A-2 Site Habitat Creation'!$F$11:$F$256,'G-2 Habitat groups'!A60,'A-2 Site Habitat Creation'!$Y$11:$Y$256)</f>
        <v>0</v>
      </c>
      <c r="M60" s="494">
        <f>SUMIF('A-3 Site Habitat Enhancement'!$S$12:$S$257,'G-2 Habitat groups'!A60,'A-3 Site Habitat Enhancement'!$V$12:$V$257)</f>
        <v>0</v>
      </c>
      <c r="N60" s="494">
        <f>SUMIF('A-3 Site Habitat Enhancement'!$S$12:$S$257,'G-2 Habitat groups'!A60,'A-3 Site Habitat Enhancement'!$AN$12:$AN$257)</f>
        <v>0</v>
      </c>
      <c r="O60" s="494">
        <f t="shared" si="53"/>
        <v>0</v>
      </c>
      <c r="P60" s="494">
        <f t="shared" si="54"/>
        <v>0</v>
      </c>
      <c r="Q60" s="494">
        <f t="shared" si="55"/>
        <v>0</v>
      </c>
      <c r="R60" s="494">
        <f t="shared" si="56"/>
        <v>0</v>
      </c>
      <c r="S60" s="494">
        <f>IF(C60="V.High",SUMIF('D-1 Off Site Habitat Baseline'!$G$11:$G$258,'G-2 Habitat groups'!A60,'D-1 Off Site Habitat Baseline'!$S$11:$S$258)+SUMIF('D-1 Off Site Habitat Baseline'!$G$11:$G$258,'G-2 Habitat groups'!A60,'D-1 Off Site Habitat Baseline'!$T$11:$T$258),SUMIF('D-1 Off Site Habitat Baseline'!$G$11:$G$258,'G-2 Habitat groups'!A60,'D-1 Off Site Habitat Baseline'!$H$11:$H$258))</f>
        <v>0</v>
      </c>
      <c r="T60" s="494">
        <f>SUMIF('D-1 Off Site Habitat Baseline'!$G$11:$G$258,'G-2 Habitat groups'!A60,'D-1 Off Site Habitat Baseline'!$Q$11:$Q$258)</f>
        <v>0</v>
      </c>
      <c r="U60" s="591">
        <f>SUMIF('D-1 Off Site Habitat Baseline'!$G$11:$G$258,'G-2 Habitat groups'!A60,'D-1 Off Site Habitat Baseline'!$S$11:$S$258)</f>
        <v>0</v>
      </c>
      <c r="V60" s="494">
        <f>SUMIF('D-1 Off Site Habitat Baseline'!$G$11:$G$258,'G-2 Habitat groups'!A60,'D-1 Off Site Habitat Baseline'!$U$11:$U$258)</f>
        <v>0</v>
      </c>
      <c r="W60" s="494">
        <f>SUMIF('D-2 Off Site Habitat Creation'!$F$9:$F$255,'G-2 Habitat groups'!A60,'D-2 Off Site Habitat Creation'!$G$9:$G$255)</f>
        <v>0</v>
      </c>
      <c r="X60" s="494">
        <f>SUMIF('D-2 Off Site Habitat Creation'!$F$9:$F$255,'G-2 Habitat groups'!A60,'D-2 Off Site Habitat Creation'!$AA$9:$AA$255)</f>
        <v>0</v>
      </c>
      <c r="Y60" s="494">
        <f>SUMIF('D-3 Off Site Habitat Enhancment'!$S$12:$S$491,'G-2 Habitat groups'!A60,'D-3 Off Site Habitat Enhancment'!$V$12:$V$491)</f>
        <v>0</v>
      </c>
      <c r="Z60" s="494">
        <f>SUMIF('D-3 Off Site Habitat Enhancment'!$S$12:$S$491,'G-2 Habitat groups'!A60,'D-3 Off Site Habitat Enhancment'!$AP$12:$AP$491)</f>
        <v>0</v>
      </c>
      <c r="AA60" s="494">
        <f t="shared" si="57"/>
        <v>0</v>
      </c>
      <c r="AB60" s="494">
        <f t="shared" si="58"/>
        <v>0</v>
      </c>
      <c r="AC60" s="494">
        <f t="shared" si="59"/>
        <v>0</v>
      </c>
      <c r="AD60" s="494">
        <f t="shared" si="60"/>
        <v>0</v>
      </c>
      <c r="AE60" s="494">
        <f t="shared" si="61"/>
        <v>0</v>
      </c>
      <c r="AF60" s="494">
        <f t="shared" si="62"/>
        <v>0</v>
      </c>
      <c r="AU60" s="118" t="s">
        <v>718</v>
      </c>
      <c r="AV60" s="88" t="s">
        <v>866</v>
      </c>
      <c r="AW60" s="494">
        <f t="shared" si="43"/>
        <v>0</v>
      </c>
      <c r="AX60" s="494">
        <f t="shared" si="44"/>
        <v>0</v>
      </c>
      <c r="AY60" s="494">
        <f t="shared" si="45"/>
        <v>0</v>
      </c>
      <c r="AZ60" s="494">
        <f t="shared" si="46"/>
        <v>0</v>
      </c>
      <c r="BA60" s="494">
        <f t="shared" si="47"/>
        <v>0</v>
      </c>
      <c r="BB60" s="494">
        <f t="shared" si="48"/>
        <v>0</v>
      </c>
      <c r="BC60" s="494">
        <f t="shared" si="49"/>
        <v>0</v>
      </c>
      <c r="BD60" s="494">
        <f t="shared" si="50"/>
        <v>0</v>
      </c>
      <c r="BE60" s="494">
        <f t="shared" si="51"/>
        <v>0</v>
      </c>
      <c r="BF60" s="494" t="str">
        <f t="shared" si="52"/>
        <v/>
      </c>
    </row>
    <row r="61" spans="1:58" x14ac:dyDescent="0.25">
      <c r="A61" s="104" t="str">
        <f>'G-1 All Habitats'!B60</f>
        <v>Urban - Intensive green roof</v>
      </c>
      <c r="B61" s="88" t="str">
        <f>'G-1 All Habitats'!F60</f>
        <v>Urban</v>
      </c>
      <c r="C61" s="88" t="str">
        <f>'G-1 All Habitats'!K60</f>
        <v>Low</v>
      </c>
      <c r="D61" s="88" t="str">
        <f>'G-1 All Habitats'!M60</f>
        <v>Same distinctiveness or better habitat required ≥</v>
      </c>
      <c r="E61" s="494">
        <f>IF(C61="V.High",SUMIF('A-1 Site Habitat Baseline'!$G$11:$G$258,'G-2 Habitat groups'!A61,'A-1 Site Habitat Baseline'!$S$11:$S$258)+SUMIF('A-1 Site Habitat Baseline'!$G$11:$G$258,'G-2 Habitat groups'!A61,'A-1 Site Habitat Baseline'!$T$11:$T$258),SUMIF('A-1 Site Habitat Baseline'!$G$11:$G$258,'G-2 Habitat groups'!A61,'A-1 Site Habitat Baseline'!$H$11:$H$258))</f>
        <v>0</v>
      </c>
      <c r="F61" s="494">
        <f>SUMIF('A-1 Site Habitat Baseline'!$G$11:$G$258,'G-2 Habitat groups'!A61,'A-1 Site Habitat Baseline'!$Q$11:$Q$258)</f>
        <v>0</v>
      </c>
      <c r="G61" s="494">
        <f>SUMIF('A-1 Site Habitat Baseline'!$G$11:$G$258,'G-2 Habitat groups'!A61,'A-1 Site Habitat Baseline'!$S$11:$S$258)</f>
        <v>0</v>
      </c>
      <c r="H61" s="494">
        <f>SUMIF('A-1 Site Habitat Baseline'!$G$11:$G$258,'G-2 Habitat groups'!A61,'A-1 Site Habitat Baseline'!$U$11:$U$258)</f>
        <v>0</v>
      </c>
      <c r="I61" s="494">
        <f>SUMIF('A-1 Site Habitat Baseline'!$G$11:$G$258,'G-2 Habitat groups'!A61,'A-1 Site Habitat Baseline'!$W$11:$W$258)</f>
        <v>0</v>
      </c>
      <c r="J61" s="494">
        <f>SUMIF('A-1 Site Habitat Baseline'!$G$11:$G$258,'G-2 Habitat groups'!A61,'A-1 Site Habitat Baseline'!$X$11:$X$258)</f>
        <v>0</v>
      </c>
      <c r="K61" s="494">
        <f>SUMIF('A-2 Site Habitat Creation'!$F$11:$F$256,'G-2 Habitat groups'!A61,'A-2 Site Habitat Creation'!$G$11:$G$256)</f>
        <v>0</v>
      </c>
      <c r="L61" s="494">
        <f>SUMIF('A-2 Site Habitat Creation'!$F$11:$F$256,'G-2 Habitat groups'!A61,'A-2 Site Habitat Creation'!$Y$11:$Y$256)</f>
        <v>0</v>
      </c>
      <c r="M61" s="494">
        <f>SUMIF('A-3 Site Habitat Enhancement'!$S$12:$S$257,'G-2 Habitat groups'!A61,'A-3 Site Habitat Enhancement'!$V$12:$V$257)</f>
        <v>0</v>
      </c>
      <c r="N61" s="494">
        <f>SUMIF('A-3 Site Habitat Enhancement'!$S$12:$S$257,'G-2 Habitat groups'!A61,'A-3 Site Habitat Enhancement'!$AN$12:$AN$257)</f>
        <v>0</v>
      </c>
      <c r="O61" s="494">
        <f t="shared" si="53"/>
        <v>0</v>
      </c>
      <c r="P61" s="494">
        <f t="shared" si="54"/>
        <v>0</v>
      </c>
      <c r="Q61" s="494">
        <f t="shared" si="55"/>
        <v>0</v>
      </c>
      <c r="R61" s="494">
        <f t="shared" si="56"/>
        <v>0</v>
      </c>
      <c r="S61" s="494">
        <f>IF(C61="V.High",SUMIF('D-1 Off Site Habitat Baseline'!$G$11:$G$258,'G-2 Habitat groups'!A61,'D-1 Off Site Habitat Baseline'!$S$11:$S$258)+SUMIF('D-1 Off Site Habitat Baseline'!$G$11:$G$258,'G-2 Habitat groups'!A61,'D-1 Off Site Habitat Baseline'!$T$11:$T$258),SUMIF('D-1 Off Site Habitat Baseline'!$G$11:$G$258,'G-2 Habitat groups'!A61,'D-1 Off Site Habitat Baseline'!$H$11:$H$258))</f>
        <v>0</v>
      </c>
      <c r="T61" s="494">
        <f>SUMIF('D-1 Off Site Habitat Baseline'!$G$11:$G$258,'G-2 Habitat groups'!A61,'D-1 Off Site Habitat Baseline'!$Q$11:$Q$258)</f>
        <v>0</v>
      </c>
      <c r="U61" s="591">
        <f>SUMIF('D-1 Off Site Habitat Baseline'!$G$11:$G$258,'G-2 Habitat groups'!A61,'D-1 Off Site Habitat Baseline'!$S$11:$S$258)</f>
        <v>0</v>
      </c>
      <c r="V61" s="494">
        <f>SUMIF('D-1 Off Site Habitat Baseline'!$G$11:$G$258,'G-2 Habitat groups'!A61,'D-1 Off Site Habitat Baseline'!$U$11:$U$258)</f>
        <v>0</v>
      </c>
      <c r="W61" s="494">
        <f>SUMIF('D-2 Off Site Habitat Creation'!$F$9:$F$255,'G-2 Habitat groups'!A61,'D-2 Off Site Habitat Creation'!$G$9:$G$255)</f>
        <v>0</v>
      </c>
      <c r="X61" s="494">
        <f>SUMIF('D-2 Off Site Habitat Creation'!$F$9:$F$255,'G-2 Habitat groups'!A61,'D-2 Off Site Habitat Creation'!$AA$9:$AA$255)</f>
        <v>0</v>
      </c>
      <c r="Y61" s="494">
        <f>SUMIF('D-3 Off Site Habitat Enhancment'!$S$12:$S$491,'G-2 Habitat groups'!A61,'D-3 Off Site Habitat Enhancment'!$V$12:$V$491)</f>
        <v>0</v>
      </c>
      <c r="Z61" s="494">
        <f>SUMIF('D-3 Off Site Habitat Enhancment'!$S$12:$S$491,'G-2 Habitat groups'!A61,'D-3 Off Site Habitat Enhancment'!$AP$12:$AP$491)</f>
        <v>0</v>
      </c>
      <c r="AA61" s="494">
        <f t="shared" si="57"/>
        <v>0</v>
      </c>
      <c r="AB61" s="494">
        <f t="shared" si="58"/>
        <v>0</v>
      </c>
      <c r="AC61" s="494">
        <f t="shared" si="59"/>
        <v>0</v>
      </c>
      <c r="AD61" s="494">
        <f t="shared" si="60"/>
        <v>0</v>
      </c>
      <c r="AE61" s="494">
        <f t="shared" si="61"/>
        <v>0</v>
      </c>
      <c r="AF61" s="494">
        <f t="shared" si="62"/>
        <v>0</v>
      </c>
      <c r="AU61" s="118" t="s">
        <v>726</v>
      </c>
      <c r="AV61" s="88" t="s">
        <v>866</v>
      </c>
      <c r="AW61" s="494">
        <f t="shared" si="43"/>
        <v>0</v>
      </c>
      <c r="AX61" s="494">
        <f t="shared" si="44"/>
        <v>0</v>
      </c>
      <c r="AY61" s="494">
        <f t="shared" si="45"/>
        <v>0</v>
      </c>
      <c r="AZ61" s="494">
        <f t="shared" si="46"/>
        <v>0</v>
      </c>
      <c r="BA61" s="494">
        <f t="shared" si="47"/>
        <v>0</v>
      </c>
      <c r="BB61" s="494">
        <f t="shared" si="48"/>
        <v>0</v>
      </c>
      <c r="BC61" s="494">
        <f t="shared" si="49"/>
        <v>0</v>
      </c>
      <c r="BD61" s="494">
        <f t="shared" si="50"/>
        <v>0</v>
      </c>
      <c r="BE61" s="494">
        <f t="shared" si="51"/>
        <v>0</v>
      </c>
      <c r="BF61" s="494" t="str">
        <f t="shared" si="52"/>
        <v/>
      </c>
    </row>
    <row r="62" spans="1:58" x14ac:dyDescent="0.25">
      <c r="A62" s="104" t="str">
        <f>'G-1 All Habitats'!B61</f>
        <v>Urban - Built linear features</v>
      </c>
      <c r="B62" s="88" t="str">
        <f>'G-1 All Habitats'!F61</f>
        <v>Urban</v>
      </c>
      <c r="C62" s="88" t="str">
        <f>'G-1 All Habitats'!K61</f>
        <v>V.Low</v>
      </c>
      <c r="D62" s="88" t="str">
        <f>'G-1 All Habitats'!M61</f>
        <v>Compensation Not Required</v>
      </c>
      <c r="E62" s="494">
        <f>IF(C62="V.High",SUMIF('A-1 Site Habitat Baseline'!$G$11:$G$258,'G-2 Habitat groups'!A62,'A-1 Site Habitat Baseline'!$S$11:$S$258)+SUMIF('A-1 Site Habitat Baseline'!$G$11:$G$258,'G-2 Habitat groups'!A62,'A-1 Site Habitat Baseline'!$T$11:$T$258),SUMIF('A-1 Site Habitat Baseline'!$G$11:$G$258,'G-2 Habitat groups'!A62,'A-1 Site Habitat Baseline'!$H$11:$H$258))</f>
        <v>0</v>
      </c>
      <c r="F62" s="494">
        <f>SUMIF('A-1 Site Habitat Baseline'!$G$11:$G$258,'G-2 Habitat groups'!A62,'A-1 Site Habitat Baseline'!$Q$11:$Q$258)</f>
        <v>0</v>
      </c>
      <c r="G62" s="494">
        <f>SUMIF('A-1 Site Habitat Baseline'!$G$11:$G$258,'G-2 Habitat groups'!A62,'A-1 Site Habitat Baseline'!$S$11:$S$258)</f>
        <v>0</v>
      </c>
      <c r="H62" s="494">
        <f>SUMIF('A-1 Site Habitat Baseline'!$G$11:$G$258,'G-2 Habitat groups'!A62,'A-1 Site Habitat Baseline'!$U$11:$U$258)</f>
        <v>0</v>
      </c>
      <c r="I62" s="494">
        <f>SUMIF('A-1 Site Habitat Baseline'!$G$11:$G$258,'G-2 Habitat groups'!A62,'A-1 Site Habitat Baseline'!$W$11:$W$258)</f>
        <v>0</v>
      </c>
      <c r="J62" s="494">
        <f>SUMIF('A-1 Site Habitat Baseline'!$G$11:$G$258,'G-2 Habitat groups'!A62,'A-1 Site Habitat Baseline'!$X$11:$X$258)</f>
        <v>0</v>
      </c>
      <c r="K62" s="494">
        <f>SUMIF('A-2 Site Habitat Creation'!$F$11:$F$256,'G-2 Habitat groups'!A62,'A-2 Site Habitat Creation'!$G$11:$G$256)</f>
        <v>0</v>
      </c>
      <c r="L62" s="494">
        <f>SUMIF('A-2 Site Habitat Creation'!$F$11:$F$256,'G-2 Habitat groups'!A62,'A-2 Site Habitat Creation'!$Y$11:$Y$256)</f>
        <v>0</v>
      </c>
      <c r="M62" s="494">
        <f>SUMIF('A-3 Site Habitat Enhancement'!$S$12:$S$257,'G-2 Habitat groups'!A62,'A-3 Site Habitat Enhancement'!$V$12:$V$257)</f>
        <v>0</v>
      </c>
      <c r="N62" s="494">
        <f>SUMIF('A-3 Site Habitat Enhancement'!$S$12:$S$257,'G-2 Habitat groups'!A62,'A-3 Site Habitat Enhancement'!$AN$12:$AN$257)</f>
        <v>0</v>
      </c>
      <c r="O62" s="494">
        <f t="shared" si="53"/>
        <v>0</v>
      </c>
      <c r="P62" s="494">
        <f t="shared" si="54"/>
        <v>0</v>
      </c>
      <c r="Q62" s="494">
        <f t="shared" si="55"/>
        <v>0</v>
      </c>
      <c r="R62" s="494">
        <f t="shared" si="56"/>
        <v>0</v>
      </c>
      <c r="S62" s="494">
        <f>IF(C62="V.High",SUMIF('D-1 Off Site Habitat Baseline'!$G$11:$G$258,'G-2 Habitat groups'!A62,'D-1 Off Site Habitat Baseline'!$S$11:$S$258)+SUMIF('D-1 Off Site Habitat Baseline'!$G$11:$G$258,'G-2 Habitat groups'!A62,'D-1 Off Site Habitat Baseline'!$T$11:$T$258),SUMIF('D-1 Off Site Habitat Baseline'!$G$11:$G$258,'G-2 Habitat groups'!A62,'D-1 Off Site Habitat Baseline'!$H$11:$H$258))</f>
        <v>0</v>
      </c>
      <c r="T62" s="494">
        <f>SUMIF('D-1 Off Site Habitat Baseline'!$G$11:$G$258,'G-2 Habitat groups'!A62,'D-1 Off Site Habitat Baseline'!$Q$11:$Q$258)</f>
        <v>0</v>
      </c>
      <c r="U62" s="591">
        <f>SUMIF('D-1 Off Site Habitat Baseline'!$G$11:$G$258,'G-2 Habitat groups'!A62,'D-1 Off Site Habitat Baseline'!$S$11:$S$258)</f>
        <v>0</v>
      </c>
      <c r="V62" s="494">
        <f>SUMIF('D-1 Off Site Habitat Baseline'!$G$11:$G$258,'G-2 Habitat groups'!A62,'D-1 Off Site Habitat Baseline'!$U$11:$U$258)</f>
        <v>0</v>
      </c>
      <c r="W62" s="494">
        <f>SUMIF('D-2 Off Site Habitat Creation'!$F$9:$F$255,'G-2 Habitat groups'!A62,'D-2 Off Site Habitat Creation'!$G$9:$G$255)</f>
        <v>0</v>
      </c>
      <c r="X62" s="494">
        <f>SUMIF('D-2 Off Site Habitat Creation'!$F$9:$F$255,'G-2 Habitat groups'!A62,'D-2 Off Site Habitat Creation'!$AA$9:$AA$255)</f>
        <v>0</v>
      </c>
      <c r="Y62" s="494">
        <f>SUMIF('D-3 Off Site Habitat Enhancment'!$S$12:$S$491,'G-2 Habitat groups'!A62,'D-3 Off Site Habitat Enhancment'!$V$12:$V$491)</f>
        <v>0</v>
      </c>
      <c r="Z62" s="494">
        <f>SUMIF('D-3 Off Site Habitat Enhancment'!$S$12:$S$491,'G-2 Habitat groups'!A62,'D-3 Off Site Habitat Enhancment'!$AP$12:$AP$491)</f>
        <v>0</v>
      </c>
      <c r="AA62" s="494">
        <f t="shared" si="57"/>
        <v>0</v>
      </c>
      <c r="AB62" s="494">
        <f t="shared" si="58"/>
        <v>0</v>
      </c>
      <c r="AC62" s="494">
        <f t="shared" si="59"/>
        <v>0</v>
      </c>
      <c r="AD62" s="494">
        <f t="shared" si="60"/>
        <v>0</v>
      </c>
      <c r="AE62" s="494">
        <f t="shared" si="61"/>
        <v>0</v>
      </c>
      <c r="AF62" s="494">
        <f t="shared" si="62"/>
        <v>0</v>
      </c>
      <c r="AU62" s="118" t="s">
        <v>733</v>
      </c>
      <c r="AV62" s="88" t="s">
        <v>866</v>
      </c>
      <c r="AW62" s="494">
        <f t="shared" si="43"/>
        <v>0</v>
      </c>
      <c r="AX62" s="494">
        <f t="shared" si="44"/>
        <v>0</v>
      </c>
      <c r="AY62" s="494">
        <f t="shared" si="45"/>
        <v>0</v>
      </c>
      <c r="AZ62" s="494">
        <f t="shared" si="46"/>
        <v>0</v>
      </c>
      <c r="BA62" s="494">
        <f t="shared" si="47"/>
        <v>0</v>
      </c>
      <c r="BB62" s="494">
        <f t="shared" si="48"/>
        <v>0</v>
      </c>
      <c r="BC62" s="494">
        <f t="shared" si="49"/>
        <v>0</v>
      </c>
      <c r="BD62" s="494">
        <f t="shared" si="50"/>
        <v>0</v>
      </c>
      <c r="BE62" s="494">
        <f t="shared" si="51"/>
        <v>0</v>
      </c>
      <c r="BF62" s="494" t="str">
        <f t="shared" si="52"/>
        <v/>
      </c>
    </row>
    <row r="63" spans="1:58" x14ac:dyDescent="0.25">
      <c r="A63" s="104" t="str">
        <f>'G-1 All Habitats'!B62</f>
        <v>Urban - Cemeteries and churchyards</v>
      </c>
      <c r="B63" s="88" t="str">
        <f>'G-1 All Habitats'!F62</f>
        <v>Urban</v>
      </c>
      <c r="C63" s="88" t="str">
        <f>'G-1 All Habitats'!K62</f>
        <v>Medium</v>
      </c>
      <c r="D63" s="88" t="str">
        <f>'G-1 All Habitats'!M62</f>
        <v>Same broad habitat or a higher distinctiveness habitat required (≥)</v>
      </c>
      <c r="E63" s="494">
        <f>IF(C63="V.High",SUMIF('A-1 Site Habitat Baseline'!$G$11:$G$258,'G-2 Habitat groups'!A63,'A-1 Site Habitat Baseline'!$S$11:$S$258)+SUMIF('A-1 Site Habitat Baseline'!$G$11:$G$258,'G-2 Habitat groups'!A63,'A-1 Site Habitat Baseline'!$T$11:$T$258),SUMIF('A-1 Site Habitat Baseline'!$G$11:$G$258,'G-2 Habitat groups'!A63,'A-1 Site Habitat Baseline'!$H$11:$H$258))</f>
        <v>0</v>
      </c>
      <c r="F63" s="494">
        <f>SUMIF('A-1 Site Habitat Baseline'!$G$11:$G$258,'G-2 Habitat groups'!A63,'A-1 Site Habitat Baseline'!$Q$11:$Q$258)</f>
        <v>0</v>
      </c>
      <c r="G63" s="494">
        <f>SUMIF('A-1 Site Habitat Baseline'!$G$11:$G$258,'G-2 Habitat groups'!A63,'A-1 Site Habitat Baseline'!$S$11:$S$258)</f>
        <v>0</v>
      </c>
      <c r="H63" s="494">
        <f>SUMIF('A-1 Site Habitat Baseline'!$G$11:$G$258,'G-2 Habitat groups'!A63,'A-1 Site Habitat Baseline'!$U$11:$U$258)</f>
        <v>0</v>
      </c>
      <c r="I63" s="494">
        <f>SUMIF('A-1 Site Habitat Baseline'!$G$11:$G$258,'G-2 Habitat groups'!A63,'A-1 Site Habitat Baseline'!$W$11:$W$258)</f>
        <v>0</v>
      </c>
      <c r="J63" s="494">
        <f>SUMIF('A-1 Site Habitat Baseline'!$G$11:$G$258,'G-2 Habitat groups'!A63,'A-1 Site Habitat Baseline'!$X$11:$X$258)</f>
        <v>0</v>
      </c>
      <c r="K63" s="494">
        <f>SUMIF('A-2 Site Habitat Creation'!$F$11:$F$256,'G-2 Habitat groups'!A63,'A-2 Site Habitat Creation'!$G$11:$G$256)</f>
        <v>0</v>
      </c>
      <c r="L63" s="494">
        <f>SUMIF('A-2 Site Habitat Creation'!$F$11:$F$256,'G-2 Habitat groups'!A63,'A-2 Site Habitat Creation'!$Y$11:$Y$256)</f>
        <v>0</v>
      </c>
      <c r="M63" s="494">
        <f>SUMIF('A-3 Site Habitat Enhancement'!$S$12:$S$257,'G-2 Habitat groups'!A63,'A-3 Site Habitat Enhancement'!$V$12:$V$257)</f>
        <v>0</v>
      </c>
      <c r="N63" s="494">
        <f>SUMIF('A-3 Site Habitat Enhancement'!$S$12:$S$257,'G-2 Habitat groups'!A63,'A-3 Site Habitat Enhancement'!$AN$12:$AN$257)</f>
        <v>0</v>
      </c>
      <c r="O63" s="494">
        <f t="shared" si="53"/>
        <v>0</v>
      </c>
      <c r="P63" s="494">
        <f t="shared" si="54"/>
        <v>0</v>
      </c>
      <c r="Q63" s="494">
        <f t="shared" si="55"/>
        <v>0</v>
      </c>
      <c r="R63" s="494">
        <f t="shared" si="56"/>
        <v>0</v>
      </c>
      <c r="S63" s="494">
        <f>IF(C63="V.High",SUMIF('D-1 Off Site Habitat Baseline'!$G$11:$G$258,'G-2 Habitat groups'!A63,'D-1 Off Site Habitat Baseline'!$S$11:$S$258)+SUMIF('D-1 Off Site Habitat Baseline'!$G$11:$G$258,'G-2 Habitat groups'!A63,'D-1 Off Site Habitat Baseline'!$T$11:$T$258),SUMIF('D-1 Off Site Habitat Baseline'!$G$11:$G$258,'G-2 Habitat groups'!A63,'D-1 Off Site Habitat Baseline'!$H$11:$H$258))</f>
        <v>0</v>
      </c>
      <c r="T63" s="494">
        <f>SUMIF('D-1 Off Site Habitat Baseline'!$G$11:$G$258,'G-2 Habitat groups'!A63,'D-1 Off Site Habitat Baseline'!$Q$11:$Q$258)</f>
        <v>0</v>
      </c>
      <c r="U63" s="591">
        <f>SUMIF('D-1 Off Site Habitat Baseline'!$G$11:$G$258,'G-2 Habitat groups'!A63,'D-1 Off Site Habitat Baseline'!$S$11:$S$258)</f>
        <v>0</v>
      </c>
      <c r="V63" s="494">
        <f>SUMIF('D-1 Off Site Habitat Baseline'!$G$11:$G$258,'G-2 Habitat groups'!A63,'D-1 Off Site Habitat Baseline'!$U$11:$U$258)</f>
        <v>0</v>
      </c>
      <c r="W63" s="494">
        <f>SUMIF('D-2 Off Site Habitat Creation'!$F$9:$F$255,'G-2 Habitat groups'!A63,'D-2 Off Site Habitat Creation'!$G$9:$G$255)</f>
        <v>0</v>
      </c>
      <c r="X63" s="494">
        <f>SUMIF('D-2 Off Site Habitat Creation'!$F$9:$F$255,'G-2 Habitat groups'!A63,'D-2 Off Site Habitat Creation'!$AA$9:$AA$255)</f>
        <v>0</v>
      </c>
      <c r="Y63" s="494">
        <f>SUMIF('D-3 Off Site Habitat Enhancment'!$S$12:$S$491,'G-2 Habitat groups'!A63,'D-3 Off Site Habitat Enhancment'!$V$12:$V$491)</f>
        <v>0</v>
      </c>
      <c r="Z63" s="494">
        <f>SUMIF('D-3 Off Site Habitat Enhancment'!$S$12:$S$491,'G-2 Habitat groups'!A63,'D-3 Off Site Habitat Enhancment'!$AP$12:$AP$491)</f>
        <v>0</v>
      </c>
      <c r="AA63" s="494">
        <f t="shared" si="57"/>
        <v>0</v>
      </c>
      <c r="AB63" s="494">
        <f t="shared" si="58"/>
        <v>0</v>
      </c>
      <c r="AC63" s="494">
        <f t="shared" si="59"/>
        <v>0</v>
      </c>
      <c r="AD63" s="494">
        <f t="shared" si="60"/>
        <v>0</v>
      </c>
      <c r="AE63" s="494">
        <f t="shared" si="61"/>
        <v>0</v>
      </c>
      <c r="AF63" s="494">
        <f t="shared" si="62"/>
        <v>0</v>
      </c>
      <c r="AU63" s="118" t="s">
        <v>740</v>
      </c>
      <c r="AV63" s="88" t="s">
        <v>866</v>
      </c>
      <c r="AW63" s="494">
        <f t="shared" si="43"/>
        <v>0</v>
      </c>
      <c r="AX63" s="494">
        <f t="shared" si="44"/>
        <v>0</v>
      </c>
      <c r="AY63" s="494">
        <f t="shared" si="45"/>
        <v>0</v>
      </c>
      <c r="AZ63" s="494">
        <f t="shared" si="46"/>
        <v>0</v>
      </c>
      <c r="BA63" s="494">
        <f t="shared" si="47"/>
        <v>0</v>
      </c>
      <c r="BB63" s="494">
        <f t="shared" si="48"/>
        <v>0</v>
      </c>
      <c r="BC63" s="494">
        <f t="shared" si="49"/>
        <v>0</v>
      </c>
      <c r="BD63" s="494">
        <f t="shared" si="50"/>
        <v>0</v>
      </c>
      <c r="BE63" s="494">
        <f t="shared" si="51"/>
        <v>0</v>
      </c>
      <c r="BF63" s="494" t="str">
        <f t="shared" si="52"/>
        <v/>
      </c>
    </row>
    <row r="64" spans="1:58" x14ac:dyDescent="0.25">
      <c r="A64" s="104" t="str">
        <f>'G-1 All Habitats'!B63</f>
        <v>Urban - Developed land; sealed surface</v>
      </c>
      <c r="B64" s="88" t="str">
        <f>'G-1 All Habitats'!F63</f>
        <v>Urban</v>
      </c>
      <c r="C64" s="88" t="str">
        <f>'G-1 All Habitats'!K63</f>
        <v>V.Low</v>
      </c>
      <c r="D64" s="88" t="str">
        <f>'G-1 All Habitats'!M63</f>
        <v>Compensation Not Required</v>
      </c>
      <c r="E64" s="494">
        <f>IF(C64="V.High",SUMIF('A-1 Site Habitat Baseline'!$G$11:$G$258,'G-2 Habitat groups'!A64,'A-1 Site Habitat Baseline'!$S$11:$S$258)+SUMIF('A-1 Site Habitat Baseline'!$G$11:$G$258,'G-2 Habitat groups'!A64,'A-1 Site Habitat Baseline'!$T$11:$T$258),SUMIF('A-1 Site Habitat Baseline'!$G$11:$G$258,'G-2 Habitat groups'!A64,'A-1 Site Habitat Baseline'!$H$11:$H$258))</f>
        <v>0.70850000000000002</v>
      </c>
      <c r="F64" s="494">
        <f>SUMIF('A-1 Site Habitat Baseline'!$G$11:$G$258,'G-2 Habitat groups'!A64,'A-1 Site Habitat Baseline'!$Q$11:$Q$258)</f>
        <v>0</v>
      </c>
      <c r="G64" s="494">
        <f>SUMIF('A-1 Site Habitat Baseline'!$G$11:$G$258,'G-2 Habitat groups'!A64,'A-1 Site Habitat Baseline'!$S$11:$S$258)</f>
        <v>0</v>
      </c>
      <c r="H64" s="494">
        <f>SUMIF('A-1 Site Habitat Baseline'!$G$11:$G$258,'G-2 Habitat groups'!A64,'A-1 Site Habitat Baseline'!$U$11:$U$258)</f>
        <v>0</v>
      </c>
      <c r="I64" s="494">
        <f>SUMIF('A-1 Site Habitat Baseline'!$G$11:$G$258,'G-2 Habitat groups'!A64,'A-1 Site Habitat Baseline'!$W$11:$W$258)</f>
        <v>0.70850000000000002</v>
      </c>
      <c r="J64" s="494">
        <f>SUMIF('A-1 Site Habitat Baseline'!$G$11:$G$258,'G-2 Habitat groups'!A64,'A-1 Site Habitat Baseline'!$X$11:$X$258)</f>
        <v>0</v>
      </c>
      <c r="K64" s="494">
        <f>SUMIF('A-2 Site Habitat Creation'!$F$11:$F$256,'G-2 Habitat groups'!A64,'A-2 Site Habitat Creation'!$G$11:$G$256)</f>
        <v>0.76100000000000001</v>
      </c>
      <c r="L64" s="494">
        <f>SUMIF('A-2 Site Habitat Creation'!$F$11:$F$256,'G-2 Habitat groups'!A64,'A-2 Site Habitat Creation'!$Y$11:$Y$256)</f>
        <v>0</v>
      </c>
      <c r="M64" s="494">
        <f>SUMIF('A-3 Site Habitat Enhancement'!$S$12:$S$257,'G-2 Habitat groups'!A64,'A-3 Site Habitat Enhancement'!$V$12:$V$257)</f>
        <v>0</v>
      </c>
      <c r="N64" s="494">
        <f>SUMIF('A-3 Site Habitat Enhancement'!$S$12:$S$257,'G-2 Habitat groups'!A64,'A-3 Site Habitat Enhancement'!$AN$12:$AN$257)</f>
        <v>0</v>
      </c>
      <c r="O64" s="494">
        <f t="shared" si="53"/>
        <v>0.76100000000000001</v>
      </c>
      <c r="P64" s="494">
        <f t="shared" si="54"/>
        <v>0</v>
      </c>
      <c r="Q64" s="494">
        <f t="shared" si="55"/>
        <v>5.2499999999999991E-2</v>
      </c>
      <c r="R64" s="494">
        <f t="shared" si="56"/>
        <v>0</v>
      </c>
      <c r="S64" s="494">
        <f>IF(C64="V.High",SUMIF('D-1 Off Site Habitat Baseline'!$G$11:$G$258,'G-2 Habitat groups'!A64,'D-1 Off Site Habitat Baseline'!$S$11:$S$258)+SUMIF('D-1 Off Site Habitat Baseline'!$G$11:$G$258,'G-2 Habitat groups'!A64,'D-1 Off Site Habitat Baseline'!$T$11:$T$258),SUMIF('D-1 Off Site Habitat Baseline'!$G$11:$G$258,'G-2 Habitat groups'!A64,'D-1 Off Site Habitat Baseline'!$H$11:$H$258))</f>
        <v>0</v>
      </c>
      <c r="T64" s="494">
        <f>SUMIF('D-1 Off Site Habitat Baseline'!$G$11:$G$258,'G-2 Habitat groups'!A64,'D-1 Off Site Habitat Baseline'!$Q$11:$Q$258)</f>
        <v>0</v>
      </c>
      <c r="U64" s="591">
        <f>SUMIF('D-1 Off Site Habitat Baseline'!$G$11:$G$258,'G-2 Habitat groups'!A64,'D-1 Off Site Habitat Baseline'!$S$11:$S$258)</f>
        <v>0</v>
      </c>
      <c r="V64" s="494">
        <f>SUMIF('D-1 Off Site Habitat Baseline'!$G$11:$G$258,'G-2 Habitat groups'!A64,'D-1 Off Site Habitat Baseline'!$U$11:$U$258)</f>
        <v>0</v>
      </c>
      <c r="W64" s="494">
        <f>SUMIF('D-2 Off Site Habitat Creation'!$F$9:$F$255,'G-2 Habitat groups'!A64,'D-2 Off Site Habitat Creation'!$G$9:$G$255)</f>
        <v>0</v>
      </c>
      <c r="X64" s="494">
        <f>SUMIF('D-2 Off Site Habitat Creation'!$F$9:$F$255,'G-2 Habitat groups'!A64,'D-2 Off Site Habitat Creation'!$AA$9:$AA$255)</f>
        <v>0</v>
      </c>
      <c r="Y64" s="494">
        <f>SUMIF('D-3 Off Site Habitat Enhancment'!$S$12:$S$491,'G-2 Habitat groups'!A64,'D-3 Off Site Habitat Enhancment'!$V$12:$V$491)</f>
        <v>0</v>
      </c>
      <c r="Z64" s="494">
        <f>SUMIF('D-3 Off Site Habitat Enhancment'!$S$12:$S$491,'G-2 Habitat groups'!A64,'D-3 Off Site Habitat Enhancment'!$AP$12:$AP$491)</f>
        <v>0</v>
      </c>
      <c r="AA64" s="494">
        <f t="shared" si="57"/>
        <v>0</v>
      </c>
      <c r="AB64" s="494">
        <f t="shared" si="58"/>
        <v>0</v>
      </c>
      <c r="AC64" s="494">
        <f t="shared" si="59"/>
        <v>0</v>
      </c>
      <c r="AD64" s="494">
        <f t="shared" si="60"/>
        <v>0</v>
      </c>
      <c r="AE64" s="494">
        <f t="shared" si="61"/>
        <v>5.2499999999999991E-2</v>
      </c>
      <c r="AF64" s="494">
        <f t="shared" si="62"/>
        <v>0</v>
      </c>
      <c r="AU64" s="118" t="s">
        <v>758</v>
      </c>
      <c r="AV64" s="88" t="s">
        <v>77</v>
      </c>
      <c r="AW64" s="494">
        <f t="shared" si="43"/>
        <v>0</v>
      </c>
      <c r="AX64" s="494">
        <f t="shared" si="44"/>
        <v>0</v>
      </c>
      <c r="AY64" s="494">
        <f t="shared" si="45"/>
        <v>0</v>
      </c>
      <c r="AZ64" s="494">
        <f t="shared" si="46"/>
        <v>0</v>
      </c>
      <c r="BA64" s="494">
        <f t="shared" si="47"/>
        <v>0</v>
      </c>
      <c r="BB64" s="494">
        <f t="shared" si="48"/>
        <v>0</v>
      </c>
      <c r="BC64" s="494">
        <f t="shared" si="49"/>
        <v>0</v>
      </c>
      <c r="BD64" s="494">
        <f t="shared" si="50"/>
        <v>0</v>
      </c>
      <c r="BE64" s="494">
        <f t="shared" si="51"/>
        <v>0</v>
      </c>
      <c r="BF64" s="494" t="str">
        <f t="shared" si="52"/>
        <v/>
      </c>
    </row>
    <row r="65" spans="1:59" x14ac:dyDescent="0.25">
      <c r="A65" s="104" t="str">
        <f>'G-1 All Habitats'!B64</f>
        <v>Urban - Other green roof</v>
      </c>
      <c r="B65" s="88" t="str">
        <f>'G-1 All Habitats'!F64</f>
        <v>Urban</v>
      </c>
      <c r="C65" s="88" t="str">
        <f>'G-1 All Habitats'!K64</f>
        <v>Low</v>
      </c>
      <c r="D65" s="88" t="str">
        <f>'G-1 All Habitats'!M64</f>
        <v>Same distinctiveness or better habitat required ≥</v>
      </c>
      <c r="E65" s="494">
        <f>IF(C65="V.High",SUMIF('A-1 Site Habitat Baseline'!$G$11:$G$258,'G-2 Habitat groups'!A65,'A-1 Site Habitat Baseline'!$S$11:$S$258)+SUMIF('A-1 Site Habitat Baseline'!$G$11:$G$258,'G-2 Habitat groups'!A65,'A-1 Site Habitat Baseline'!$T$11:$T$258),SUMIF('A-1 Site Habitat Baseline'!$G$11:$G$258,'G-2 Habitat groups'!A65,'A-1 Site Habitat Baseline'!$H$11:$H$258))</f>
        <v>0</v>
      </c>
      <c r="F65" s="494">
        <f>SUMIF('A-1 Site Habitat Baseline'!$G$11:$G$258,'G-2 Habitat groups'!A65,'A-1 Site Habitat Baseline'!$Q$11:$Q$258)</f>
        <v>0</v>
      </c>
      <c r="G65" s="494">
        <f>SUMIF('A-1 Site Habitat Baseline'!$G$11:$G$258,'G-2 Habitat groups'!A65,'A-1 Site Habitat Baseline'!$S$11:$S$258)</f>
        <v>0</v>
      </c>
      <c r="H65" s="494">
        <f>SUMIF('A-1 Site Habitat Baseline'!$G$11:$G$258,'G-2 Habitat groups'!A65,'A-1 Site Habitat Baseline'!$U$11:$U$258)</f>
        <v>0</v>
      </c>
      <c r="I65" s="494">
        <f>SUMIF('A-1 Site Habitat Baseline'!$G$11:$G$258,'G-2 Habitat groups'!A65,'A-1 Site Habitat Baseline'!$W$11:$W$258)</f>
        <v>0</v>
      </c>
      <c r="J65" s="494">
        <f>SUMIF('A-1 Site Habitat Baseline'!$G$11:$G$258,'G-2 Habitat groups'!A65,'A-1 Site Habitat Baseline'!$X$11:$X$258)</f>
        <v>0</v>
      </c>
      <c r="K65" s="494">
        <f>SUMIF('A-2 Site Habitat Creation'!$F$11:$F$256,'G-2 Habitat groups'!A65,'A-2 Site Habitat Creation'!$G$11:$G$256)</f>
        <v>0</v>
      </c>
      <c r="L65" s="494">
        <f>SUMIF('A-2 Site Habitat Creation'!$F$11:$F$256,'G-2 Habitat groups'!A65,'A-2 Site Habitat Creation'!$Y$11:$Y$256)</f>
        <v>0</v>
      </c>
      <c r="M65" s="494">
        <f>SUMIF('A-3 Site Habitat Enhancement'!$S$12:$S$257,'G-2 Habitat groups'!A65,'A-3 Site Habitat Enhancement'!$V$12:$V$257)</f>
        <v>0</v>
      </c>
      <c r="N65" s="494">
        <f>SUMIF('A-3 Site Habitat Enhancement'!$S$12:$S$257,'G-2 Habitat groups'!A65,'A-3 Site Habitat Enhancement'!$AN$12:$AN$257)</f>
        <v>0</v>
      </c>
      <c r="O65" s="494">
        <f t="shared" si="53"/>
        <v>0</v>
      </c>
      <c r="P65" s="494">
        <f t="shared" si="54"/>
        <v>0</v>
      </c>
      <c r="Q65" s="494">
        <f t="shared" si="55"/>
        <v>0</v>
      </c>
      <c r="R65" s="494">
        <f t="shared" si="56"/>
        <v>0</v>
      </c>
      <c r="S65" s="494">
        <f>IF(C65="V.High",SUMIF('D-1 Off Site Habitat Baseline'!$G$11:$G$258,'G-2 Habitat groups'!A65,'D-1 Off Site Habitat Baseline'!$S$11:$S$258)+SUMIF('D-1 Off Site Habitat Baseline'!$G$11:$G$258,'G-2 Habitat groups'!A65,'D-1 Off Site Habitat Baseline'!$T$11:$T$258),SUMIF('D-1 Off Site Habitat Baseline'!$G$11:$G$258,'G-2 Habitat groups'!A65,'D-1 Off Site Habitat Baseline'!$H$11:$H$258))</f>
        <v>0</v>
      </c>
      <c r="T65" s="494">
        <f>SUMIF('D-1 Off Site Habitat Baseline'!$G$11:$G$258,'G-2 Habitat groups'!A65,'D-1 Off Site Habitat Baseline'!$Q$11:$Q$258)</f>
        <v>0</v>
      </c>
      <c r="U65" s="591">
        <f>SUMIF('D-1 Off Site Habitat Baseline'!$G$11:$G$258,'G-2 Habitat groups'!A65,'D-1 Off Site Habitat Baseline'!$S$11:$S$258)</f>
        <v>0</v>
      </c>
      <c r="V65" s="494">
        <f>SUMIF('D-1 Off Site Habitat Baseline'!$G$11:$G$258,'G-2 Habitat groups'!A65,'D-1 Off Site Habitat Baseline'!$U$11:$U$258)</f>
        <v>0</v>
      </c>
      <c r="W65" s="494">
        <f>SUMIF('D-2 Off Site Habitat Creation'!$F$9:$F$255,'G-2 Habitat groups'!A65,'D-2 Off Site Habitat Creation'!$G$9:$G$255)</f>
        <v>0</v>
      </c>
      <c r="X65" s="494">
        <f>SUMIF('D-2 Off Site Habitat Creation'!$F$9:$F$255,'G-2 Habitat groups'!A65,'D-2 Off Site Habitat Creation'!$AA$9:$AA$255)</f>
        <v>0</v>
      </c>
      <c r="Y65" s="494">
        <f>SUMIF('D-3 Off Site Habitat Enhancment'!$S$12:$S$491,'G-2 Habitat groups'!A65,'D-3 Off Site Habitat Enhancment'!$V$12:$V$491)</f>
        <v>0</v>
      </c>
      <c r="Z65" s="494">
        <f>SUMIF('D-3 Off Site Habitat Enhancment'!$S$12:$S$491,'G-2 Habitat groups'!A65,'D-3 Off Site Habitat Enhancment'!$AP$12:$AP$491)</f>
        <v>0</v>
      </c>
      <c r="AA65" s="494">
        <f t="shared" si="57"/>
        <v>0</v>
      </c>
      <c r="AB65" s="494">
        <f t="shared" si="58"/>
        <v>0</v>
      </c>
      <c r="AC65" s="494">
        <f t="shared" si="59"/>
        <v>0</v>
      </c>
      <c r="AD65" s="494">
        <f t="shared" si="60"/>
        <v>0</v>
      </c>
      <c r="AE65" s="494">
        <f t="shared" si="61"/>
        <v>0</v>
      </c>
      <c r="AF65" s="494">
        <f t="shared" si="62"/>
        <v>0</v>
      </c>
      <c r="AU65" s="118" t="s">
        <v>761</v>
      </c>
      <c r="AV65" s="88" t="s">
        <v>77</v>
      </c>
      <c r="AW65" s="494">
        <f t="shared" si="43"/>
        <v>0</v>
      </c>
      <c r="AX65" s="494">
        <f t="shared" si="44"/>
        <v>0</v>
      </c>
      <c r="AY65" s="494">
        <f t="shared" si="45"/>
        <v>0</v>
      </c>
      <c r="AZ65" s="494">
        <f t="shared" si="46"/>
        <v>0</v>
      </c>
      <c r="BA65" s="494">
        <f t="shared" si="47"/>
        <v>0</v>
      </c>
      <c r="BB65" s="494">
        <f t="shared" si="48"/>
        <v>0</v>
      </c>
      <c r="BC65" s="494">
        <f t="shared" si="49"/>
        <v>0</v>
      </c>
      <c r="BD65" s="494">
        <f t="shared" si="50"/>
        <v>0</v>
      </c>
      <c r="BE65" s="494">
        <f t="shared" si="51"/>
        <v>0</v>
      </c>
      <c r="BF65" s="494" t="str">
        <f t="shared" si="52"/>
        <v/>
      </c>
    </row>
    <row r="66" spans="1:59" x14ac:dyDescent="0.25">
      <c r="A66" s="104" t="str">
        <f>'G-1 All Habitats'!B65</f>
        <v>Urban - Facade-bound green wall</v>
      </c>
      <c r="B66" s="88" t="str">
        <f>'G-1 All Habitats'!F65</f>
        <v>Urban</v>
      </c>
      <c r="C66" s="88" t="str">
        <f>'G-1 All Habitats'!K65</f>
        <v>Low</v>
      </c>
      <c r="D66" s="88" t="str">
        <f>'G-1 All Habitats'!M65</f>
        <v>Same distinctiveness or better habitat required ≥</v>
      </c>
      <c r="E66" s="494">
        <f>IF(C66="V.High",SUMIF('A-1 Site Habitat Baseline'!$G$11:$G$258,'G-2 Habitat groups'!A66,'A-1 Site Habitat Baseline'!$S$11:$S$258)+SUMIF('A-1 Site Habitat Baseline'!$G$11:$G$258,'G-2 Habitat groups'!A66,'A-1 Site Habitat Baseline'!$T$11:$T$258),SUMIF('A-1 Site Habitat Baseline'!$G$11:$G$258,'G-2 Habitat groups'!A66,'A-1 Site Habitat Baseline'!$H$11:$H$258))</f>
        <v>0</v>
      </c>
      <c r="F66" s="494">
        <f>SUMIF('A-1 Site Habitat Baseline'!$G$11:$G$258,'G-2 Habitat groups'!A66,'A-1 Site Habitat Baseline'!$Q$11:$Q$258)</f>
        <v>0</v>
      </c>
      <c r="G66" s="494">
        <f>SUMIF('A-1 Site Habitat Baseline'!$G$11:$G$258,'G-2 Habitat groups'!A66,'A-1 Site Habitat Baseline'!$S$11:$S$258)</f>
        <v>0</v>
      </c>
      <c r="H66" s="494">
        <f>SUMIF('A-1 Site Habitat Baseline'!$G$11:$G$258,'G-2 Habitat groups'!A66,'A-1 Site Habitat Baseline'!$U$11:$U$258)</f>
        <v>0</v>
      </c>
      <c r="I66" s="494">
        <f>SUMIF('A-1 Site Habitat Baseline'!$G$11:$G$258,'G-2 Habitat groups'!A66,'A-1 Site Habitat Baseline'!$W$11:$W$258)</f>
        <v>0</v>
      </c>
      <c r="J66" s="494">
        <f>SUMIF('A-1 Site Habitat Baseline'!$G$11:$G$258,'G-2 Habitat groups'!A66,'A-1 Site Habitat Baseline'!$X$11:$X$258)</f>
        <v>0</v>
      </c>
      <c r="K66" s="494">
        <f>SUMIF('A-2 Site Habitat Creation'!$F$11:$F$256,'G-2 Habitat groups'!A66,'A-2 Site Habitat Creation'!$G$11:$G$256)</f>
        <v>0</v>
      </c>
      <c r="L66" s="494">
        <f>SUMIF('A-2 Site Habitat Creation'!$F$11:$F$256,'G-2 Habitat groups'!A66,'A-2 Site Habitat Creation'!$Y$11:$Y$256)</f>
        <v>0</v>
      </c>
      <c r="M66" s="494">
        <f>SUMIF('A-3 Site Habitat Enhancement'!$S$12:$S$257,'G-2 Habitat groups'!A66,'A-3 Site Habitat Enhancement'!$V$12:$V$257)</f>
        <v>0</v>
      </c>
      <c r="N66" s="494">
        <f>SUMIF('A-3 Site Habitat Enhancement'!$S$12:$S$257,'G-2 Habitat groups'!A66,'A-3 Site Habitat Enhancement'!$AN$12:$AN$257)</f>
        <v>0</v>
      </c>
      <c r="O66" s="494">
        <f t="shared" si="53"/>
        <v>0</v>
      </c>
      <c r="P66" s="494">
        <f t="shared" si="54"/>
        <v>0</v>
      </c>
      <c r="Q66" s="494">
        <f t="shared" si="55"/>
        <v>0</v>
      </c>
      <c r="R66" s="494">
        <f t="shared" si="56"/>
        <v>0</v>
      </c>
      <c r="S66" s="494">
        <f>IF(C66="V.High",SUMIF('D-1 Off Site Habitat Baseline'!$G$11:$G$258,'G-2 Habitat groups'!A66,'D-1 Off Site Habitat Baseline'!$S$11:$S$258)+SUMIF('D-1 Off Site Habitat Baseline'!$G$11:$G$258,'G-2 Habitat groups'!A66,'D-1 Off Site Habitat Baseline'!$T$11:$T$258),SUMIF('D-1 Off Site Habitat Baseline'!$G$11:$G$258,'G-2 Habitat groups'!A66,'D-1 Off Site Habitat Baseline'!$H$11:$H$258))</f>
        <v>0</v>
      </c>
      <c r="T66" s="494">
        <f>SUMIF('D-1 Off Site Habitat Baseline'!$G$11:$G$258,'G-2 Habitat groups'!A66,'D-1 Off Site Habitat Baseline'!$Q$11:$Q$258)</f>
        <v>0</v>
      </c>
      <c r="U66" s="591">
        <f>SUMIF('D-1 Off Site Habitat Baseline'!$G$11:$G$258,'G-2 Habitat groups'!A66,'D-1 Off Site Habitat Baseline'!$S$11:$S$258)</f>
        <v>0</v>
      </c>
      <c r="V66" s="494">
        <f>SUMIF('D-1 Off Site Habitat Baseline'!$G$11:$G$258,'G-2 Habitat groups'!A66,'D-1 Off Site Habitat Baseline'!$U$11:$U$258)</f>
        <v>0</v>
      </c>
      <c r="W66" s="494">
        <f>SUMIF('D-2 Off Site Habitat Creation'!$F$9:$F$255,'G-2 Habitat groups'!A66,'D-2 Off Site Habitat Creation'!$G$9:$G$255)</f>
        <v>0</v>
      </c>
      <c r="X66" s="494">
        <f>SUMIF('D-2 Off Site Habitat Creation'!$F$9:$F$255,'G-2 Habitat groups'!A66,'D-2 Off Site Habitat Creation'!$AA$9:$AA$255)</f>
        <v>0</v>
      </c>
      <c r="Y66" s="494">
        <f>SUMIF('D-3 Off Site Habitat Enhancment'!$S$12:$S$491,'G-2 Habitat groups'!A66,'D-3 Off Site Habitat Enhancment'!$V$12:$V$491)</f>
        <v>0</v>
      </c>
      <c r="Z66" s="494">
        <f>SUMIF('D-3 Off Site Habitat Enhancment'!$S$12:$S$491,'G-2 Habitat groups'!A66,'D-3 Off Site Habitat Enhancment'!$AP$12:$AP$491)</f>
        <v>0</v>
      </c>
      <c r="AA66" s="494">
        <f t="shared" si="57"/>
        <v>0</v>
      </c>
      <c r="AB66" s="494">
        <f t="shared" si="58"/>
        <v>0</v>
      </c>
      <c r="AC66" s="494">
        <f t="shared" si="59"/>
        <v>0</v>
      </c>
      <c r="AD66" s="494">
        <f t="shared" si="60"/>
        <v>0</v>
      </c>
      <c r="AE66" s="494">
        <f t="shared" si="61"/>
        <v>0</v>
      </c>
      <c r="AF66" s="494">
        <f t="shared" si="62"/>
        <v>0</v>
      </c>
      <c r="AU66" s="118" t="s">
        <v>747</v>
      </c>
      <c r="AV66" s="88" t="s">
        <v>867</v>
      </c>
      <c r="AW66" s="494">
        <f t="shared" si="43"/>
        <v>0</v>
      </c>
      <c r="AX66" s="494">
        <f t="shared" si="44"/>
        <v>0</v>
      </c>
      <c r="AY66" s="494">
        <f t="shared" si="45"/>
        <v>0</v>
      </c>
      <c r="AZ66" s="494">
        <f t="shared" si="46"/>
        <v>0</v>
      </c>
      <c r="BA66" s="494">
        <f t="shared" si="47"/>
        <v>0</v>
      </c>
      <c r="BB66" s="494">
        <f t="shared" si="48"/>
        <v>0</v>
      </c>
      <c r="BC66" s="494">
        <f t="shared" si="49"/>
        <v>0</v>
      </c>
      <c r="BD66" s="494">
        <f t="shared" si="50"/>
        <v>0</v>
      </c>
      <c r="BE66" s="494">
        <f t="shared" si="51"/>
        <v>0</v>
      </c>
      <c r="BF66" s="494" t="str">
        <f t="shared" si="52"/>
        <v/>
      </c>
    </row>
    <row r="67" spans="1:59" x14ac:dyDescent="0.25">
      <c r="A67" s="104" t="str">
        <f>'G-1 All Habitats'!B66</f>
        <v>Urban - Ground based green wall</v>
      </c>
      <c r="B67" s="88" t="str">
        <f>'G-1 All Habitats'!F66</f>
        <v>Urban</v>
      </c>
      <c r="C67" s="88" t="str">
        <f>'G-1 All Habitats'!K66</f>
        <v>Low</v>
      </c>
      <c r="D67" s="88" t="str">
        <f>'G-1 All Habitats'!M66</f>
        <v>Same distinctiveness or better habitat required ≥</v>
      </c>
      <c r="E67" s="494">
        <f>IF(C67="V.High",SUMIF('A-1 Site Habitat Baseline'!$G$11:$G$258,'G-2 Habitat groups'!A67,'A-1 Site Habitat Baseline'!$S$11:$S$258)+SUMIF('A-1 Site Habitat Baseline'!$G$11:$G$258,'G-2 Habitat groups'!A67,'A-1 Site Habitat Baseline'!$T$11:$T$258),SUMIF('A-1 Site Habitat Baseline'!$G$11:$G$258,'G-2 Habitat groups'!A67,'A-1 Site Habitat Baseline'!$H$11:$H$258))</f>
        <v>0</v>
      </c>
      <c r="F67" s="494">
        <f>SUMIF('A-1 Site Habitat Baseline'!$G$11:$G$258,'G-2 Habitat groups'!A67,'A-1 Site Habitat Baseline'!$Q$11:$Q$258)</f>
        <v>0</v>
      </c>
      <c r="G67" s="494">
        <f>SUMIF('A-1 Site Habitat Baseline'!$G$11:$G$258,'G-2 Habitat groups'!A67,'A-1 Site Habitat Baseline'!$S$11:$S$258)</f>
        <v>0</v>
      </c>
      <c r="H67" s="494">
        <f>SUMIF('A-1 Site Habitat Baseline'!$G$11:$G$258,'G-2 Habitat groups'!A67,'A-1 Site Habitat Baseline'!$U$11:$U$258)</f>
        <v>0</v>
      </c>
      <c r="I67" s="494">
        <f>SUMIF('A-1 Site Habitat Baseline'!$G$11:$G$258,'G-2 Habitat groups'!A67,'A-1 Site Habitat Baseline'!$W$11:$W$258)</f>
        <v>0</v>
      </c>
      <c r="J67" s="494">
        <f>SUMIF('A-1 Site Habitat Baseline'!$G$11:$G$258,'G-2 Habitat groups'!A67,'A-1 Site Habitat Baseline'!$X$11:$X$258)</f>
        <v>0</v>
      </c>
      <c r="K67" s="494">
        <f>SUMIF('A-2 Site Habitat Creation'!$F$11:$F$256,'G-2 Habitat groups'!A67,'A-2 Site Habitat Creation'!$G$11:$G$256)</f>
        <v>0</v>
      </c>
      <c r="L67" s="494">
        <f>SUMIF('A-2 Site Habitat Creation'!$F$11:$F$256,'G-2 Habitat groups'!A67,'A-2 Site Habitat Creation'!$Y$11:$Y$256)</f>
        <v>0</v>
      </c>
      <c r="M67" s="494">
        <f>SUMIF('A-3 Site Habitat Enhancement'!$S$12:$S$257,'G-2 Habitat groups'!A67,'A-3 Site Habitat Enhancement'!$V$12:$V$257)</f>
        <v>0</v>
      </c>
      <c r="N67" s="494">
        <f>SUMIF('A-3 Site Habitat Enhancement'!$S$12:$S$257,'G-2 Habitat groups'!A67,'A-3 Site Habitat Enhancement'!$AN$12:$AN$257)</f>
        <v>0</v>
      </c>
      <c r="O67" s="494">
        <f t="shared" ref="O67:O98" si="63">G67+K67+M67</f>
        <v>0</v>
      </c>
      <c r="P67" s="494">
        <f t="shared" ref="P67:P98" si="64">H67+L67+N67</f>
        <v>0</v>
      </c>
      <c r="Q67" s="494">
        <f t="shared" ref="Q67:Q98" si="65">O67-E67</f>
        <v>0</v>
      </c>
      <c r="R67" s="494">
        <f t="shared" ref="R67:R98" si="66">P67-F67</f>
        <v>0</v>
      </c>
      <c r="S67" s="494">
        <f>IF(C67="V.High",SUMIF('D-1 Off Site Habitat Baseline'!$G$11:$G$258,'G-2 Habitat groups'!A67,'D-1 Off Site Habitat Baseline'!$S$11:$S$258)+SUMIF('D-1 Off Site Habitat Baseline'!$G$11:$G$258,'G-2 Habitat groups'!A67,'D-1 Off Site Habitat Baseline'!$T$11:$T$258),SUMIF('D-1 Off Site Habitat Baseline'!$G$11:$G$258,'G-2 Habitat groups'!A67,'D-1 Off Site Habitat Baseline'!$H$11:$H$258))</f>
        <v>0</v>
      </c>
      <c r="T67" s="494">
        <f>SUMIF('D-1 Off Site Habitat Baseline'!$G$11:$G$258,'G-2 Habitat groups'!A67,'D-1 Off Site Habitat Baseline'!$Q$11:$Q$258)</f>
        <v>0</v>
      </c>
      <c r="U67" s="591">
        <f>SUMIF('D-1 Off Site Habitat Baseline'!$G$11:$G$258,'G-2 Habitat groups'!A67,'D-1 Off Site Habitat Baseline'!$S$11:$S$258)</f>
        <v>0</v>
      </c>
      <c r="V67" s="494">
        <f>SUMIF('D-1 Off Site Habitat Baseline'!$G$11:$G$258,'G-2 Habitat groups'!A67,'D-1 Off Site Habitat Baseline'!$U$11:$U$258)</f>
        <v>0</v>
      </c>
      <c r="W67" s="494">
        <f>SUMIF('D-2 Off Site Habitat Creation'!$F$9:$F$255,'G-2 Habitat groups'!A67,'D-2 Off Site Habitat Creation'!$G$9:$G$255)</f>
        <v>0</v>
      </c>
      <c r="X67" s="494">
        <f>SUMIF('D-2 Off Site Habitat Creation'!$F$9:$F$255,'G-2 Habitat groups'!A67,'D-2 Off Site Habitat Creation'!$AA$9:$AA$255)</f>
        <v>0</v>
      </c>
      <c r="Y67" s="494">
        <f>SUMIF('D-3 Off Site Habitat Enhancment'!$S$12:$S$491,'G-2 Habitat groups'!A67,'D-3 Off Site Habitat Enhancment'!$V$12:$V$491)</f>
        <v>0</v>
      </c>
      <c r="Z67" s="494">
        <f>SUMIF('D-3 Off Site Habitat Enhancment'!$S$12:$S$491,'G-2 Habitat groups'!A67,'D-3 Off Site Habitat Enhancment'!$AP$12:$AP$491)</f>
        <v>0</v>
      </c>
      <c r="AA67" s="494">
        <f t="shared" ref="AA67:AA98" si="67">U67+W67+Y67</f>
        <v>0</v>
      </c>
      <c r="AB67" s="494">
        <f t="shared" ref="AB67:AB98" si="68">V67+X67+Z67</f>
        <v>0</v>
      </c>
      <c r="AC67" s="494">
        <f t="shared" ref="AC67:AC98" si="69">AA67-S67</f>
        <v>0</v>
      </c>
      <c r="AD67" s="494">
        <f t="shared" ref="AD67:AD98" si="70">AB67-T67</f>
        <v>0</v>
      </c>
      <c r="AE67" s="494">
        <f t="shared" ref="AE67:AE98" si="71">Q67+AC67</f>
        <v>0</v>
      </c>
      <c r="AF67" s="494">
        <f t="shared" ref="AF67:AF98" si="72">R67+AD67</f>
        <v>0</v>
      </c>
      <c r="AU67" s="119" t="s">
        <v>772</v>
      </c>
      <c r="AV67" s="88" t="s">
        <v>77</v>
      </c>
      <c r="AW67" s="494">
        <f t="shared" si="43"/>
        <v>0</v>
      </c>
      <c r="AX67" s="494">
        <f t="shared" si="44"/>
        <v>0</v>
      </c>
      <c r="AY67" s="494">
        <f t="shared" si="45"/>
        <v>0</v>
      </c>
      <c r="AZ67" s="494">
        <f t="shared" si="46"/>
        <v>0</v>
      </c>
      <c r="BA67" s="494">
        <f t="shared" si="47"/>
        <v>0</v>
      </c>
      <c r="BB67" s="494">
        <f t="shared" si="48"/>
        <v>0</v>
      </c>
      <c r="BC67" s="494">
        <f t="shared" si="49"/>
        <v>0</v>
      </c>
      <c r="BD67" s="494">
        <f t="shared" si="50"/>
        <v>0</v>
      </c>
      <c r="BE67" s="494">
        <f t="shared" si="51"/>
        <v>0</v>
      </c>
      <c r="BF67" s="494" t="str">
        <f t="shared" si="52"/>
        <v/>
      </c>
    </row>
    <row r="68" spans="1:59" x14ac:dyDescent="0.25">
      <c r="A68" s="104" t="str">
        <f>'G-1 All Habitats'!B67</f>
        <v>Urban - Ground level planters</v>
      </c>
      <c r="B68" s="88" t="str">
        <f>'G-1 All Habitats'!F67</f>
        <v>Urban</v>
      </c>
      <c r="C68" s="88" t="str">
        <f>'G-1 All Habitats'!K67</f>
        <v>Low</v>
      </c>
      <c r="D68" s="88" t="str">
        <f>'G-1 All Habitats'!M67</f>
        <v>Same distinctiveness or better habitat required ≥</v>
      </c>
      <c r="E68" s="494">
        <f>IF(C68="V.High",SUMIF('A-1 Site Habitat Baseline'!$G$11:$G$258,'G-2 Habitat groups'!A68,'A-1 Site Habitat Baseline'!$S$11:$S$258)+SUMIF('A-1 Site Habitat Baseline'!$G$11:$G$258,'G-2 Habitat groups'!A68,'A-1 Site Habitat Baseline'!$T$11:$T$258),SUMIF('A-1 Site Habitat Baseline'!$G$11:$G$258,'G-2 Habitat groups'!A68,'A-1 Site Habitat Baseline'!$H$11:$H$258))</f>
        <v>0</v>
      </c>
      <c r="F68" s="494">
        <f>SUMIF('A-1 Site Habitat Baseline'!$G$11:$G$258,'G-2 Habitat groups'!A68,'A-1 Site Habitat Baseline'!$Q$11:$Q$258)</f>
        <v>0</v>
      </c>
      <c r="G68" s="494">
        <f>SUMIF('A-1 Site Habitat Baseline'!$G$11:$G$258,'G-2 Habitat groups'!A68,'A-1 Site Habitat Baseline'!$S$11:$S$258)</f>
        <v>0</v>
      </c>
      <c r="H68" s="494">
        <f>SUMIF('A-1 Site Habitat Baseline'!$G$11:$G$258,'G-2 Habitat groups'!A68,'A-1 Site Habitat Baseline'!$U$11:$U$258)</f>
        <v>0</v>
      </c>
      <c r="I68" s="494">
        <f>SUMIF('A-1 Site Habitat Baseline'!$G$11:$G$258,'G-2 Habitat groups'!A68,'A-1 Site Habitat Baseline'!$W$11:$W$258)</f>
        <v>0</v>
      </c>
      <c r="J68" s="494">
        <f>SUMIF('A-1 Site Habitat Baseline'!$G$11:$G$258,'G-2 Habitat groups'!A68,'A-1 Site Habitat Baseline'!$X$11:$X$258)</f>
        <v>0</v>
      </c>
      <c r="K68" s="494">
        <f>SUMIF('A-2 Site Habitat Creation'!$F$11:$F$256,'G-2 Habitat groups'!A68,'A-2 Site Habitat Creation'!$G$11:$G$256)</f>
        <v>0</v>
      </c>
      <c r="L68" s="494">
        <f>SUMIF('A-2 Site Habitat Creation'!$F$11:$F$256,'G-2 Habitat groups'!A68,'A-2 Site Habitat Creation'!$Y$11:$Y$256)</f>
        <v>0</v>
      </c>
      <c r="M68" s="494">
        <f>SUMIF('A-3 Site Habitat Enhancement'!$S$12:$S$257,'G-2 Habitat groups'!A68,'A-3 Site Habitat Enhancement'!$V$12:$V$257)</f>
        <v>0</v>
      </c>
      <c r="N68" s="494">
        <f>SUMIF('A-3 Site Habitat Enhancement'!$S$12:$S$257,'G-2 Habitat groups'!A68,'A-3 Site Habitat Enhancement'!$AN$12:$AN$257)</f>
        <v>0</v>
      </c>
      <c r="O68" s="494">
        <f t="shared" si="63"/>
        <v>0</v>
      </c>
      <c r="P68" s="494">
        <f t="shared" si="64"/>
        <v>0</v>
      </c>
      <c r="Q68" s="494">
        <f t="shared" si="65"/>
        <v>0</v>
      </c>
      <c r="R68" s="494">
        <f t="shared" si="66"/>
        <v>0</v>
      </c>
      <c r="S68" s="494">
        <f>IF(C68="V.High",SUMIF('D-1 Off Site Habitat Baseline'!$G$11:$G$258,'G-2 Habitat groups'!A68,'D-1 Off Site Habitat Baseline'!$S$11:$S$258)+SUMIF('D-1 Off Site Habitat Baseline'!$G$11:$G$258,'G-2 Habitat groups'!A68,'D-1 Off Site Habitat Baseline'!$T$11:$T$258),SUMIF('D-1 Off Site Habitat Baseline'!$G$11:$G$258,'G-2 Habitat groups'!A68,'D-1 Off Site Habitat Baseline'!$H$11:$H$258))</f>
        <v>0</v>
      </c>
      <c r="T68" s="494">
        <f>SUMIF('D-1 Off Site Habitat Baseline'!$G$11:$G$258,'G-2 Habitat groups'!A68,'D-1 Off Site Habitat Baseline'!$Q$11:$Q$258)</f>
        <v>0</v>
      </c>
      <c r="U68" s="591">
        <f>SUMIF('D-1 Off Site Habitat Baseline'!$G$11:$G$258,'G-2 Habitat groups'!A68,'D-1 Off Site Habitat Baseline'!$S$11:$S$258)</f>
        <v>0</v>
      </c>
      <c r="V68" s="494">
        <f>SUMIF('D-1 Off Site Habitat Baseline'!$G$11:$G$258,'G-2 Habitat groups'!A68,'D-1 Off Site Habitat Baseline'!$U$11:$U$258)</f>
        <v>0</v>
      </c>
      <c r="W68" s="494">
        <f>SUMIF('D-2 Off Site Habitat Creation'!$F$9:$F$255,'G-2 Habitat groups'!A68,'D-2 Off Site Habitat Creation'!$G$9:$G$255)</f>
        <v>0</v>
      </c>
      <c r="X68" s="494">
        <f>SUMIF('D-2 Off Site Habitat Creation'!$F$9:$F$255,'G-2 Habitat groups'!A68,'D-2 Off Site Habitat Creation'!$AA$9:$AA$255)</f>
        <v>0</v>
      </c>
      <c r="Y68" s="494">
        <f>SUMIF('D-3 Off Site Habitat Enhancment'!$S$12:$S$491,'G-2 Habitat groups'!A68,'D-3 Off Site Habitat Enhancment'!$V$12:$V$491)</f>
        <v>0</v>
      </c>
      <c r="Z68" s="494">
        <f>SUMIF('D-3 Off Site Habitat Enhancment'!$S$12:$S$491,'G-2 Habitat groups'!A68,'D-3 Off Site Habitat Enhancment'!$AP$12:$AP$491)</f>
        <v>0</v>
      </c>
      <c r="AA68" s="494">
        <f t="shared" si="67"/>
        <v>0</v>
      </c>
      <c r="AB68" s="494">
        <f t="shared" si="68"/>
        <v>0</v>
      </c>
      <c r="AC68" s="494">
        <f t="shared" si="69"/>
        <v>0</v>
      </c>
      <c r="AD68" s="494">
        <f t="shared" si="70"/>
        <v>0</v>
      </c>
      <c r="AE68" s="494">
        <f t="shared" si="71"/>
        <v>0</v>
      </c>
      <c r="AF68" s="494">
        <f t="shared" si="72"/>
        <v>0</v>
      </c>
      <c r="AU68" s="119" t="s">
        <v>776</v>
      </c>
      <c r="AV68" s="88" t="s">
        <v>77</v>
      </c>
      <c r="AW68" s="494">
        <f t="shared" si="43"/>
        <v>0</v>
      </c>
      <c r="AX68" s="494">
        <f t="shared" si="44"/>
        <v>0</v>
      </c>
      <c r="AY68" s="494">
        <f t="shared" si="45"/>
        <v>0</v>
      </c>
      <c r="AZ68" s="494">
        <f t="shared" si="46"/>
        <v>0</v>
      </c>
      <c r="BA68" s="494">
        <f t="shared" si="47"/>
        <v>0</v>
      </c>
      <c r="BB68" s="494">
        <f t="shared" si="48"/>
        <v>0</v>
      </c>
      <c r="BC68" s="494">
        <f t="shared" si="49"/>
        <v>0</v>
      </c>
      <c r="BD68" s="494">
        <f t="shared" si="50"/>
        <v>0</v>
      </c>
      <c r="BE68" s="494">
        <f t="shared" si="51"/>
        <v>0</v>
      </c>
      <c r="BF68" s="494" t="str">
        <f t="shared" si="52"/>
        <v/>
      </c>
    </row>
    <row r="69" spans="1:59" x14ac:dyDescent="0.25">
      <c r="A69" s="104" t="str">
        <f>'G-1 All Habitats'!B68</f>
        <v>Urban - Biodiverse green roof</v>
      </c>
      <c r="B69" s="88" t="str">
        <f>'G-1 All Habitats'!F68</f>
        <v>Urban</v>
      </c>
      <c r="C69" s="88" t="str">
        <f>'G-1 All Habitats'!K68</f>
        <v>Medium</v>
      </c>
      <c r="D69" s="88" t="str">
        <f>'G-1 All Habitats'!M68</f>
        <v>Same broad habitat or a higher distinctiveness habitat required (≥)</v>
      </c>
      <c r="E69" s="494">
        <f>IF(C69="V.High",SUMIF('A-1 Site Habitat Baseline'!$G$11:$G$258,'G-2 Habitat groups'!A69,'A-1 Site Habitat Baseline'!$S$11:$S$258)+SUMIF('A-1 Site Habitat Baseline'!$G$11:$G$258,'G-2 Habitat groups'!A69,'A-1 Site Habitat Baseline'!$T$11:$T$258),SUMIF('A-1 Site Habitat Baseline'!$G$11:$G$258,'G-2 Habitat groups'!A69,'A-1 Site Habitat Baseline'!$H$11:$H$258))</f>
        <v>0</v>
      </c>
      <c r="F69" s="494">
        <f>SUMIF('A-1 Site Habitat Baseline'!$G$11:$G$258,'G-2 Habitat groups'!A69,'A-1 Site Habitat Baseline'!$Q$11:$Q$258)</f>
        <v>0</v>
      </c>
      <c r="G69" s="494">
        <f>SUMIF('A-1 Site Habitat Baseline'!$G$11:$G$258,'G-2 Habitat groups'!A69,'A-1 Site Habitat Baseline'!$S$11:$S$258)</f>
        <v>0</v>
      </c>
      <c r="H69" s="494">
        <f>SUMIF('A-1 Site Habitat Baseline'!$G$11:$G$258,'G-2 Habitat groups'!A69,'A-1 Site Habitat Baseline'!$U$11:$U$258)</f>
        <v>0</v>
      </c>
      <c r="I69" s="494">
        <f>SUMIF('A-1 Site Habitat Baseline'!$G$11:$G$258,'G-2 Habitat groups'!A69,'A-1 Site Habitat Baseline'!$W$11:$W$258)</f>
        <v>0</v>
      </c>
      <c r="J69" s="494">
        <f>SUMIF('A-1 Site Habitat Baseline'!$G$11:$G$258,'G-2 Habitat groups'!A69,'A-1 Site Habitat Baseline'!$X$11:$X$258)</f>
        <v>0</v>
      </c>
      <c r="K69" s="494">
        <f>SUMIF('A-2 Site Habitat Creation'!$F$11:$F$256,'G-2 Habitat groups'!A69,'A-2 Site Habitat Creation'!$G$11:$G$256)</f>
        <v>0</v>
      </c>
      <c r="L69" s="494">
        <f>SUMIF('A-2 Site Habitat Creation'!$F$11:$F$256,'G-2 Habitat groups'!A69,'A-2 Site Habitat Creation'!$Y$11:$Y$256)</f>
        <v>0</v>
      </c>
      <c r="M69" s="494">
        <f>SUMIF('A-3 Site Habitat Enhancement'!$S$12:$S$257,'G-2 Habitat groups'!A69,'A-3 Site Habitat Enhancement'!$V$12:$V$257)</f>
        <v>0</v>
      </c>
      <c r="N69" s="494">
        <f>SUMIF('A-3 Site Habitat Enhancement'!$S$12:$S$257,'G-2 Habitat groups'!A69,'A-3 Site Habitat Enhancement'!$AN$12:$AN$257)</f>
        <v>0</v>
      </c>
      <c r="O69" s="494">
        <f t="shared" si="63"/>
        <v>0</v>
      </c>
      <c r="P69" s="494">
        <f t="shared" si="64"/>
        <v>0</v>
      </c>
      <c r="Q69" s="494">
        <f t="shared" si="65"/>
        <v>0</v>
      </c>
      <c r="R69" s="494">
        <f t="shared" si="66"/>
        <v>0</v>
      </c>
      <c r="S69" s="494">
        <f>IF(C69="V.High",SUMIF('D-1 Off Site Habitat Baseline'!$G$11:$G$258,'G-2 Habitat groups'!A69,'D-1 Off Site Habitat Baseline'!$S$11:$S$258)+SUMIF('D-1 Off Site Habitat Baseline'!$G$11:$G$258,'G-2 Habitat groups'!A69,'D-1 Off Site Habitat Baseline'!$T$11:$T$258),SUMIF('D-1 Off Site Habitat Baseline'!$G$11:$G$258,'G-2 Habitat groups'!A69,'D-1 Off Site Habitat Baseline'!$H$11:$H$258))</f>
        <v>0</v>
      </c>
      <c r="T69" s="494">
        <f>SUMIF('D-1 Off Site Habitat Baseline'!$G$11:$G$258,'G-2 Habitat groups'!A69,'D-1 Off Site Habitat Baseline'!$Q$11:$Q$258)</f>
        <v>0</v>
      </c>
      <c r="U69" s="591">
        <f>SUMIF('D-1 Off Site Habitat Baseline'!$G$11:$G$258,'G-2 Habitat groups'!A69,'D-1 Off Site Habitat Baseline'!$S$11:$S$258)</f>
        <v>0</v>
      </c>
      <c r="V69" s="494">
        <f>SUMIF('D-1 Off Site Habitat Baseline'!$G$11:$G$258,'G-2 Habitat groups'!A69,'D-1 Off Site Habitat Baseline'!$U$11:$U$258)</f>
        <v>0</v>
      </c>
      <c r="W69" s="494">
        <f>SUMIF('D-2 Off Site Habitat Creation'!$F$9:$F$255,'G-2 Habitat groups'!A69,'D-2 Off Site Habitat Creation'!$G$9:$G$255)</f>
        <v>0</v>
      </c>
      <c r="X69" s="494">
        <f>SUMIF('D-2 Off Site Habitat Creation'!$F$9:$F$255,'G-2 Habitat groups'!A69,'D-2 Off Site Habitat Creation'!$AA$9:$AA$255)</f>
        <v>0</v>
      </c>
      <c r="Y69" s="494">
        <f>SUMIF('D-3 Off Site Habitat Enhancment'!$S$12:$S$491,'G-2 Habitat groups'!A69,'D-3 Off Site Habitat Enhancment'!$V$12:$V$491)</f>
        <v>0</v>
      </c>
      <c r="Z69" s="494">
        <f>SUMIF('D-3 Off Site Habitat Enhancment'!$S$12:$S$491,'G-2 Habitat groups'!A69,'D-3 Off Site Habitat Enhancment'!$AP$12:$AP$491)</f>
        <v>0</v>
      </c>
      <c r="AA69" s="494">
        <f t="shared" si="67"/>
        <v>0</v>
      </c>
      <c r="AB69" s="494">
        <f t="shared" si="68"/>
        <v>0</v>
      </c>
      <c r="AC69" s="494">
        <f t="shared" si="69"/>
        <v>0</v>
      </c>
      <c r="AD69" s="494">
        <f t="shared" si="70"/>
        <v>0</v>
      </c>
      <c r="AE69" s="494">
        <f t="shared" si="71"/>
        <v>0</v>
      </c>
      <c r="AF69" s="494">
        <f t="shared" si="72"/>
        <v>0</v>
      </c>
      <c r="AU69" s="118" t="s">
        <v>779</v>
      </c>
      <c r="AV69" s="88" t="s">
        <v>77</v>
      </c>
      <c r="AW69" s="494">
        <f t="shared" si="43"/>
        <v>0</v>
      </c>
      <c r="AX69" s="494">
        <f t="shared" si="44"/>
        <v>0</v>
      </c>
      <c r="AY69" s="494">
        <f t="shared" si="45"/>
        <v>0</v>
      </c>
      <c r="AZ69" s="494">
        <f t="shared" si="46"/>
        <v>0</v>
      </c>
      <c r="BA69" s="494">
        <f t="shared" si="47"/>
        <v>0</v>
      </c>
      <c r="BB69" s="494">
        <f t="shared" si="48"/>
        <v>0</v>
      </c>
      <c r="BC69" s="494">
        <f t="shared" si="49"/>
        <v>0</v>
      </c>
      <c r="BD69" s="494">
        <f t="shared" si="50"/>
        <v>0</v>
      </c>
      <c r="BE69" s="494">
        <f t="shared" si="51"/>
        <v>0</v>
      </c>
      <c r="BF69" s="494" t="str">
        <f t="shared" si="52"/>
        <v/>
      </c>
    </row>
    <row r="70" spans="1:59" x14ac:dyDescent="0.25">
      <c r="A70" s="104" t="str">
        <f>'G-1 All Habitats'!B69</f>
        <v>Urban - Introduced shrub</v>
      </c>
      <c r="B70" s="88" t="str">
        <f>'G-1 All Habitats'!F69</f>
        <v>Urban</v>
      </c>
      <c r="C70" s="88" t="str">
        <f>'G-1 All Habitats'!K69</f>
        <v>Low</v>
      </c>
      <c r="D70" s="88" t="str">
        <f>'G-1 All Habitats'!M69</f>
        <v>Same distinctiveness or better habitat required ≥</v>
      </c>
      <c r="E70" s="494">
        <f>IF(C70="V.High",SUMIF('A-1 Site Habitat Baseline'!$G$11:$G$258,'G-2 Habitat groups'!A70,'A-1 Site Habitat Baseline'!$S$11:$S$258)+SUMIF('A-1 Site Habitat Baseline'!$G$11:$G$258,'G-2 Habitat groups'!A70,'A-1 Site Habitat Baseline'!$T$11:$T$258),SUMIF('A-1 Site Habitat Baseline'!$G$11:$G$258,'G-2 Habitat groups'!A70,'A-1 Site Habitat Baseline'!$H$11:$H$258))</f>
        <v>0</v>
      </c>
      <c r="F70" s="494">
        <f>SUMIF('A-1 Site Habitat Baseline'!$G$11:$G$258,'G-2 Habitat groups'!A70,'A-1 Site Habitat Baseline'!$Q$11:$Q$258)</f>
        <v>0</v>
      </c>
      <c r="G70" s="494">
        <f>SUMIF('A-1 Site Habitat Baseline'!$G$11:$G$258,'G-2 Habitat groups'!A70,'A-1 Site Habitat Baseline'!$S$11:$S$258)</f>
        <v>0</v>
      </c>
      <c r="H70" s="494">
        <f>SUMIF('A-1 Site Habitat Baseline'!$G$11:$G$258,'G-2 Habitat groups'!A70,'A-1 Site Habitat Baseline'!$U$11:$U$258)</f>
        <v>0</v>
      </c>
      <c r="I70" s="494">
        <f>SUMIF('A-1 Site Habitat Baseline'!$G$11:$G$258,'G-2 Habitat groups'!A70,'A-1 Site Habitat Baseline'!$W$11:$W$258)</f>
        <v>0</v>
      </c>
      <c r="J70" s="494">
        <f>SUMIF('A-1 Site Habitat Baseline'!$G$11:$G$258,'G-2 Habitat groups'!A70,'A-1 Site Habitat Baseline'!$X$11:$X$258)</f>
        <v>0</v>
      </c>
      <c r="K70" s="494">
        <f>SUMIF('A-2 Site Habitat Creation'!$F$11:$F$256,'G-2 Habitat groups'!A70,'A-2 Site Habitat Creation'!$G$11:$G$256)</f>
        <v>3.0099999999999998E-2</v>
      </c>
      <c r="L70" s="494">
        <f>SUMIF('A-2 Site Habitat Creation'!$F$11:$F$256,'G-2 Habitat groups'!A70,'A-2 Site Habitat Creation'!$Y$11:$Y$256)</f>
        <v>6.680694999999999E-2</v>
      </c>
      <c r="M70" s="494">
        <f>SUMIF('A-3 Site Habitat Enhancement'!$S$12:$S$257,'G-2 Habitat groups'!A70,'A-3 Site Habitat Enhancement'!$V$12:$V$257)</f>
        <v>0</v>
      </c>
      <c r="N70" s="494">
        <f>SUMIF('A-3 Site Habitat Enhancement'!$S$12:$S$257,'G-2 Habitat groups'!A70,'A-3 Site Habitat Enhancement'!$AN$12:$AN$257)</f>
        <v>0</v>
      </c>
      <c r="O70" s="494">
        <f t="shared" si="63"/>
        <v>3.0099999999999998E-2</v>
      </c>
      <c r="P70" s="494">
        <f t="shared" si="64"/>
        <v>6.680694999999999E-2</v>
      </c>
      <c r="Q70" s="494">
        <f t="shared" si="65"/>
        <v>3.0099999999999998E-2</v>
      </c>
      <c r="R70" s="494">
        <f t="shared" si="66"/>
        <v>6.680694999999999E-2</v>
      </c>
      <c r="S70" s="494">
        <f>IF(C70="V.High",SUMIF('D-1 Off Site Habitat Baseline'!$G$11:$G$258,'G-2 Habitat groups'!A70,'D-1 Off Site Habitat Baseline'!$S$11:$S$258)+SUMIF('D-1 Off Site Habitat Baseline'!$G$11:$G$258,'G-2 Habitat groups'!A70,'D-1 Off Site Habitat Baseline'!$T$11:$T$258),SUMIF('D-1 Off Site Habitat Baseline'!$G$11:$G$258,'G-2 Habitat groups'!A70,'D-1 Off Site Habitat Baseline'!$H$11:$H$258))</f>
        <v>0</v>
      </c>
      <c r="T70" s="494">
        <f>SUMIF('D-1 Off Site Habitat Baseline'!$G$11:$G$258,'G-2 Habitat groups'!A70,'D-1 Off Site Habitat Baseline'!$Q$11:$Q$258)</f>
        <v>0</v>
      </c>
      <c r="U70" s="591">
        <f>SUMIF('D-1 Off Site Habitat Baseline'!$G$11:$G$258,'G-2 Habitat groups'!A70,'D-1 Off Site Habitat Baseline'!$S$11:$S$258)</f>
        <v>0</v>
      </c>
      <c r="V70" s="494">
        <f>SUMIF('D-1 Off Site Habitat Baseline'!$G$11:$G$258,'G-2 Habitat groups'!A70,'D-1 Off Site Habitat Baseline'!$U$11:$U$258)</f>
        <v>0</v>
      </c>
      <c r="W70" s="494">
        <f>SUMIF('D-2 Off Site Habitat Creation'!$F$9:$F$255,'G-2 Habitat groups'!A70,'D-2 Off Site Habitat Creation'!$G$9:$G$255)</f>
        <v>0</v>
      </c>
      <c r="X70" s="494">
        <f>SUMIF('D-2 Off Site Habitat Creation'!$F$9:$F$255,'G-2 Habitat groups'!A70,'D-2 Off Site Habitat Creation'!$AA$9:$AA$255)</f>
        <v>0</v>
      </c>
      <c r="Y70" s="494">
        <f>SUMIF('D-3 Off Site Habitat Enhancment'!$S$12:$S$491,'G-2 Habitat groups'!A70,'D-3 Off Site Habitat Enhancment'!$V$12:$V$491)</f>
        <v>0</v>
      </c>
      <c r="Z70" s="494">
        <f>SUMIF('D-3 Off Site Habitat Enhancment'!$S$12:$S$491,'G-2 Habitat groups'!A70,'D-3 Off Site Habitat Enhancment'!$AP$12:$AP$491)</f>
        <v>0</v>
      </c>
      <c r="AA70" s="494">
        <f t="shared" si="67"/>
        <v>0</v>
      </c>
      <c r="AB70" s="494">
        <f t="shared" si="68"/>
        <v>0</v>
      </c>
      <c r="AC70" s="494">
        <f t="shared" si="69"/>
        <v>0</v>
      </c>
      <c r="AD70" s="494">
        <f t="shared" si="70"/>
        <v>0</v>
      </c>
      <c r="AE70" s="494">
        <f t="shared" si="71"/>
        <v>3.0099999999999998E-2</v>
      </c>
      <c r="AF70" s="494">
        <f t="shared" si="72"/>
        <v>6.680694999999999E-2</v>
      </c>
      <c r="AU70" s="105" t="s">
        <v>806</v>
      </c>
      <c r="AV70" s="88" t="s">
        <v>77</v>
      </c>
      <c r="AW70" s="494">
        <f t="shared" si="43"/>
        <v>0</v>
      </c>
      <c r="AX70" s="494">
        <f t="shared" si="44"/>
        <v>0</v>
      </c>
      <c r="AY70" s="494">
        <f t="shared" si="45"/>
        <v>0</v>
      </c>
      <c r="AZ70" s="494">
        <f t="shared" si="46"/>
        <v>0</v>
      </c>
      <c r="BA70" s="494">
        <f t="shared" si="47"/>
        <v>0</v>
      </c>
      <c r="BB70" s="494">
        <f t="shared" si="48"/>
        <v>0</v>
      </c>
      <c r="BC70" s="494">
        <f t="shared" si="49"/>
        <v>0</v>
      </c>
      <c r="BD70" s="494">
        <f t="shared" si="50"/>
        <v>0</v>
      </c>
      <c r="BE70" s="494">
        <f t="shared" si="51"/>
        <v>0</v>
      </c>
      <c r="BF70" s="494" t="str">
        <f t="shared" si="52"/>
        <v/>
      </c>
    </row>
    <row r="71" spans="1:59" x14ac:dyDescent="0.25">
      <c r="A71" s="104" t="str">
        <f>'G-1 All Habitats'!B70</f>
        <v>Urban - Open Mosaic Habitats on Previously Developed Land</v>
      </c>
      <c r="B71" s="88" t="str">
        <f>'G-1 All Habitats'!F70</f>
        <v>Urban</v>
      </c>
      <c r="C71" s="88" t="str">
        <f>'G-1 All Habitats'!K70</f>
        <v>High</v>
      </c>
      <c r="D71" s="88" t="str">
        <f>'G-1 All Habitats'!M70</f>
        <v>Same habitat required =</v>
      </c>
      <c r="E71" s="494">
        <f>IF(C71="V.High",SUMIF('A-1 Site Habitat Baseline'!$G$11:$G$258,'G-2 Habitat groups'!A71,'A-1 Site Habitat Baseline'!$S$11:$S$258)+SUMIF('A-1 Site Habitat Baseline'!$G$11:$G$258,'G-2 Habitat groups'!A71,'A-1 Site Habitat Baseline'!$T$11:$T$258),SUMIF('A-1 Site Habitat Baseline'!$G$11:$G$258,'G-2 Habitat groups'!A71,'A-1 Site Habitat Baseline'!$H$11:$H$258))</f>
        <v>0</v>
      </c>
      <c r="F71" s="494">
        <f>SUMIF('A-1 Site Habitat Baseline'!$G$11:$G$258,'G-2 Habitat groups'!A71,'A-1 Site Habitat Baseline'!$Q$11:$Q$258)</f>
        <v>0</v>
      </c>
      <c r="G71" s="494">
        <f>SUMIF('A-1 Site Habitat Baseline'!$G$11:$G$258,'G-2 Habitat groups'!A71,'A-1 Site Habitat Baseline'!$S$11:$S$258)</f>
        <v>0</v>
      </c>
      <c r="H71" s="494">
        <f>SUMIF('A-1 Site Habitat Baseline'!$G$11:$G$258,'G-2 Habitat groups'!A71,'A-1 Site Habitat Baseline'!$U$11:$U$258)</f>
        <v>0</v>
      </c>
      <c r="I71" s="494">
        <f>SUMIF('A-1 Site Habitat Baseline'!$G$11:$G$258,'G-2 Habitat groups'!A71,'A-1 Site Habitat Baseline'!$W$11:$W$258)</f>
        <v>0</v>
      </c>
      <c r="J71" s="494">
        <f>SUMIF('A-1 Site Habitat Baseline'!$G$11:$G$258,'G-2 Habitat groups'!A71,'A-1 Site Habitat Baseline'!$X$11:$X$258)</f>
        <v>0</v>
      </c>
      <c r="K71" s="494">
        <f>SUMIF('A-2 Site Habitat Creation'!$F$11:$F$256,'G-2 Habitat groups'!A71,'A-2 Site Habitat Creation'!$G$11:$G$256)</f>
        <v>0</v>
      </c>
      <c r="L71" s="494">
        <f>SUMIF('A-2 Site Habitat Creation'!$F$11:$F$256,'G-2 Habitat groups'!A71,'A-2 Site Habitat Creation'!$Y$11:$Y$256)</f>
        <v>0</v>
      </c>
      <c r="M71" s="494">
        <f>SUMIF('A-3 Site Habitat Enhancement'!$S$12:$S$257,'G-2 Habitat groups'!A71,'A-3 Site Habitat Enhancement'!$V$12:$V$257)</f>
        <v>0</v>
      </c>
      <c r="N71" s="494">
        <f>SUMIF('A-3 Site Habitat Enhancement'!$S$12:$S$257,'G-2 Habitat groups'!A71,'A-3 Site Habitat Enhancement'!$AN$12:$AN$257)</f>
        <v>0</v>
      </c>
      <c r="O71" s="494">
        <f t="shared" si="63"/>
        <v>0</v>
      </c>
      <c r="P71" s="494">
        <f t="shared" si="64"/>
        <v>0</v>
      </c>
      <c r="Q71" s="494">
        <f t="shared" si="65"/>
        <v>0</v>
      </c>
      <c r="R71" s="494">
        <f t="shared" si="66"/>
        <v>0</v>
      </c>
      <c r="S71" s="494">
        <f>IF(C71="V.High",SUMIF('D-1 Off Site Habitat Baseline'!$G$11:$G$258,'G-2 Habitat groups'!A71,'D-1 Off Site Habitat Baseline'!$S$11:$S$258)+SUMIF('D-1 Off Site Habitat Baseline'!$G$11:$G$258,'G-2 Habitat groups'!A71,'D-1 Off Site Habitat Baseline'!$T$11:$T$258),SUMIF('D-1 Off Site Habitat Baseline'!$G$11:$G$258,'G-2 Habitat groups'!A71,'D-1 Off Site Habitat Baseline'!$H$11:$H$258))</f>
        <v>0</v>
      </c>
      <c r="T71" s="494">
        <f>SUMIF('D-1 Off Site Habitat Baseline'!$G$11:$G$258,'G-2 Habitat groups'!A71,'D-1 Off Site Habitat Baseline'!$Q$11:$Q$258)</f>
        <v>0</v>
      </c>
      <c r="U71" s="591">
        <f>SUMIF('D-1 Off Site Habitat Baseline'!$G$11:$G$258,'G-2 Habitat groups'!A71,'D-1 Off Site Habitat Baseline'!$S$11:$S$258)</f>
        <v>0</v>
      </c>
      <c r="V71" s="494">
        <f>SUMIF('D-1 Off Site Habitat Baseline'!$G$11:$G$258,'G-2 Habitat groups'!A71,'D-1 Off Site Habitat Baseline'!$U$11:$U$258)</f>
        <v>0</v>
      </c>
      <c r="W71" s="494">
        <f>SUMIF('D-2 Off Site Habitat Creation'!$F$9:$F$255,'G-2 Habitat groups'!A71,'D-2 Off Site Habitat Creation'!$G$9:$G$255)</f>
        <v>0</v>
      </c>
      <c r="X71" s="494">
        <f>SUMIF('D-2 Off Site Habitat Creation'!$F$9:$F$255,'G-2 Habitat groups'!A71,'D-2 Off Site Habitat Creation'!$AA$9:$AA$255)</f>
        <v>0</v>
      </c>
      <c r="Y71" s="494">
        <f>SUMIF('D-3 Off Site Habitat Enhancment'!$S$12:$S$491,'G-2 Habitat groups'!A71,'D-3 Off Site Habitat Enhancment'!$V$12:$V$491)</f>
        <v>0</v>
      </c>
      <c r="Z71" s="494">
        <f>SUMIF('D-3 Off Site Habitat Enhancment'!$S$12:$S$491,'G-2 Habitat groups'!A71,'D-3 Off Site Habitat Enhancment'!$AP$12:$AP$491)</f>
        <v>0</v>
      </c>
      <c r="AA71" s="494">
        <f t="shared" si="67"/>
        <v>0</v>
      </c>
      <c r="AB71" s="494">
        <f t="shared" si="68"/>
        <v>0</v>
      </c>
      <c r="AC71" s="494">
        <f t="shared" si="69"/>
        <v>0</v>
      </c>
      <c r="AD71" s="494">
        <f t="shared" si="70"/>
        <v>0</v>
      </c>
      <c r="AE71" s="494">
        <f t="shared" si="71"/>
        <v>0</v>
      </c>
      <c r="AF71" s="494">
        <f t="shared" si="72"/>
        <v>0</v>
      </c>
    </row>
    <row r="72" spans="1:59" x14ac:dyDescent="0.25">
      <c r="A72" s="104" t="str">
        <f>'G-1 All Habitats'!B71</f>
        <v>Urban - Rain garden</v>
      </c>
      <c r="B72" s="88" t="str">
        <f>'G-1 All Habitats'!F71</f>
        <v>Urban</v>
      </c>
      <c r="C72" s="88" t="str">
        <f>'G-1 All Habitats'!K71</f>
        <v>Low</v>
      </c>
      <c r="D72" s="88" t="str">
        <f>'G-1 All Habitats'!M71</f>
        <v>Same distinctiveness or better habitat required ≥</v>
      </c>
      <c r="E72" s="494">
        <f>IF(C72="V.High",SUMIF('A-1 Site Habitat Baseline'!$G$11:$G$258,'G-2 Habitat groups'!A72,'A-1 Site Habitat Baseline'!$S$11:$S$258)+SUMIF('A-1 Site Habitat Baseline'!$G$11:$G$258,'G-2 Habitat groups'!A72,'A-1 Site Habitat Baseline'!$T$11:$T$258),SUMIF('A-1 Site Habitat Baseline'!$G$11:$G$258,'G-2 Habitat groups'!A72,'A-1 Site Habitat Baseline'!$H$11:$H$258))</f>
        <v>0</v>
      </c>
      <c r="F72" s="494">
        <f>SUMIF('A-1 Site Habitat Baseline'!$G$11:$G$258,'G-2 Habitat groups'!A72,'A-1 Site Habitat Baseline'!$Q$11:$Q$258)</f>
        <v>0</v>
      </c>
      <c r="G72" s="494">
        <f>SUMIF('A-1 Site Habitat Baseline'!$G$11:$G$258,'G-2 Habitat groups'!A72,'A-1 Site Habitat Baseline'!$S$11:$S$258)</f>
        <v>0</v>
      </c>
      <c r="H72" s="494">
        <f>SUMIF('A-1 Site Habitat Baseline'!$G$11:$G$258,'G-2 Habitat groups'!A72,'A-1 Site Habitat Baseline'!$U$11:$U$258)</f>
        <v>0</v>
      </c>
      <c r="I72" s="494">
        <f>SUMIF('A-1 Site Habitat Baseline'!$G$11:$G$258,'G-2 Habitat groups'!A72,'A-1 Site Habitat Baseline'!$W$11:$W$258)</f>
        <v>0</v>
      </c>
      <c r="J72" s="494">
        <f>SUMIF('A-1 Site Habitat Baseline'!$G$11:$G$258,'G-2 Habitat groups'!A72,'A-1 Site Habitat Baseline'!$X$11:$X$258)</f>
        <v>0</v>
      </c>
      <c r="K72" s="494">
        <f>SUMIF('A-2 Site Habitat Creation'!$F$11:$F$256,'G-2 Habitat groups'!A72,'A-2 Site Habitat Creation'!$G$11:$G$256)</f>
        <v>0</v>
      </c>
      <c r="L72" s="494">
        <f>SUMIF('A-2 Site Habitat Creation'!$F$11:$F$256,'G-2 Habitat groups'!A72,'A-2 Site Habitat Creation'!$Y$11:$Y$256)</f>
        <v>0</v>
      </c>
      <c r="M72" s="494">
        <f>SUMIF('A-3 Site Habitat Enhancement'!$S$12:$S$257,'G-2 Habitat groups'!A72,'A-3 Site Habitat Enhancement'!$V$12:$V$257)</f>
        <v>0</v>
      </c>
      <c r="N72" s="494">
        <f>SUMIF('A-3 Site Habitat Enhancement'!$S$12:$S$257,'G-2 Habitat groups'!A72,'A-3 Site Habitat Enhancement'!$AN$12:$AN$257)</f>
        <v>0</v>
      </c>
      <c r="O72" s="494">
        <f t="shared" si="63"/>
        <v>0</v>
      </c>
      <c r="P72" s="494">
        <f t="shared" si="64"/>
        <v>0</v>
      </c>
      <c r="Q72" s="494">
        <f t="shared" si="65"/>
        <v>0</v>
      </c>
      <c r="R72" s="494">
        <f t="shared" si="66"/>
        <v>0</v>
      </c>
      <c r="S72" s="494">
        <f>IF(C72="V.High",SUMIF('D-1 Off Site Habitat Baseline'!$G$11:$G$258,'G-2 Habitat groups'!A72,'D-1 Off Site Habitat Baseline'!$S$11:$S$258)+SUMIF('D-1 Off Site Habitat Baseline'!$G$11:$G$258,'G-2 Habitat groups'!A72,'D-1 Off Site Habitat Baseline'!$T$11:$T$258),SUMIF('D-1 Off Site Habitat Baseline'!$G$11:$G$258,'G-2 Habitat groups'!A72,'D-1 Off Site Habitat Baseline'!$H$11:$H$258))</f>
        <v>0</v>
      </c>
      <c r="T72" s="494">
        <f>SUMIF('D-1 Off Site Habitat Baseline'!$G$11:$G$258,'G-2 Habitat groups'!A72,'D-1 Off Site Habitat Baseline'!$Q$11:$Q$258)</f>
        <v>0</v>
      </c>
      <c r="U72" s="591">
        <f>SUMIF('D-1 Off Site Habitat Baseline'!$G$11:$G$258,'G-2 Habitat groups'!A72,'D-1 Off Site Habitat Baseline'!$S$11:$S$258)</f>
        <v>0</v>
      </c>
      <c r="V72" s="494">
        <f>SUMIF('D-1 Off Site Habitat Baseline'!$G$11:$G$258,'G-2 Habitat groups'!A72,'D-1 Off Site Habitat Baseline'!$U$11:$U$258)</f>
        <v>0</v>
      </c>
      <c r="W72" s="494">
        <f>SUMIF('D-2 Off Site Habitat Creation'!$F$9:$F$255,'G-2 Habitat groups'!A72,'D-2 Off Site Habitat Creation'!$G$9:$G$255)</f>
        <v>0</v>
      </c>
      <c r="X72" s="494">
        <f>SUMIF('D-2 Off Site Habitat Creation'!$F$9:$F$255,'G-2 Habitat groups'!A72,'D-2 Off Site Habitat Creation'!$AA$9:$AA$255)</f>
        <v>0</v>
      </c>
      <c r="Y72" s="494">
        <f>SUMIF('D-3 Off Site Habitat Enhancment'!$S$12:$S$491,'G-2 Habitat groups'!A72,'D-3 Off Site Habitat Enhancment'!$V$12:$V$491)</f>
        <v>0</v>
      </c>
      <c r="Z72" s="494">
        <f>SUMIF('D-3 Off Site Habitat Enhancment'!$S$12:$S$491,'G-2 Habitat groups'!A72,'D-3 Off Site Habitat Enhancment'!$AP$12:$AP$491)</f>
        <v>0</v>
      </c>
      <c r="AA72" s="494">
        <f t="shared" si="67"/>
        <v>0</v>
      </c>
      <c r="AB72" s="494">
        <f t="shared" si="68"/>
        <v>0</v>
      </c>
      <c r="AC72" s="494">
        <f t="shared" si="69"/>
        <v>0</v>
      </c>
      <c r="AD72" s="494">
        <f t="shared" si="70"/>
        <v>0</v>
      </c>
      <c r="AE72" s="494">
        <f t="shared" si="71"/>
        <v>0</v>
      </c>
      <c r="AF72" s="494">
        <f t="shared" si="72"/>
        <v>0</v>
      </c>
    </row>
    <row r="73" spans="1:59" x14ac:dyDescent="0.25">
      <c r="A73" s="104" t="str">
        <f>'G-1 All Habitats'!B72</f>
        <v>Urban - Actively worked sand pit quarry or open cast mine</v>
      </c>
      <c r="B73" s="88" t="str">
        <f>'G-1 All Habitats'!F72</f>
        <v>Urban</v>
      </c>
      <c r="C73" s="88" t="str">
        <f>'G-1 All Habitats'!K72</f>
        <v>Low</v>
      </c>
      <c r="D73" s="88" t="str">
        <f>'G-1 All Habitats'!M72</f>
        <v>Same distinctiveness or better habitat required ≥</v>
      </c>
      <c r="E73" s="494">
        <f>IF(C73="V.High",SUMIF('A-1 Site Habitat Baseline'!$G$11:$G$258,'G-2 Habitat groups'!A73,'A-1 Site Habitat Baseline'!$S$11:$S$258)+SUMIF('A-1 Site Habitat Baseline'!$G$11:$G$258,'G-2 Habitat groups'!A73,'A-1 Site Habitat Baseline'!$T$11:$T$258),SUMIF('A-1 Site Habitat Baseline'!$G$11:$G$258,'G-2 Habitat groups'!A73,'A-1 Site Habitat Baseline'!$H$11:$H$258))</f>
        <v>0</v>
      </c>
      <c r="F73" s="494">
        <f>SUMIF('A-1 Site Habitat Baseline'!$G$11:$G$258,'G-2 Habitat groups'!A73,'A-1 Site Habitat Baseline'!$Q$11:$Q$258)</f>
        <v>0</v>
      </c>
      <c r="G73" s="494">
        <f>SUMIF('A-1 Site Habitat Baseline'!$G$11:$G$258,'G-2 Habitat groups'!A73,'A-1 Site Habitat Baseline'!$S$11:$S$258)</f>
        <v>0</v>
      </c>
      <c r="H73" s="494">
        <f>SUMIF('A-1 Site Habitat Baseline'!$G$11:$G$258,'G-2 Habitat groups'!A73,'A-1 Site Habitat Baseline'!$U$11:$U$258)</f>
        <v>0</v>
      </c>
      <c r="I73" s="494">
        <f>SUMIF('A-1 Site Habitat Baseline'!$G$11:$G$258,'G-2 Habitat groups'!A73,'A-1 Site Habitat Baseline'!$W$11:$W$258)</f>
        <v>0</v>
      </c>
      <c r="J73" s="494">
        <f>SUMIF('A-1 Site Habitat Baseline'!$G$11:$G$258,'G-2 Habitat groups'!A73,'A-1 Site Habitat Baseline'!$X$11:$X$258)</f>
        <v>0</v>
      </c>
      <c r="K73" s="494">
        <f>SUMIF('A-2 Site Habitat Creation'!$F$11:$F$256,'G-2 Habitat groups'!A73,'A-2 Site Habitat Creation'!$G$11:$G$256)</f>
        <v>0</v>
      </c>
      <c r="L73" s="494">
        <f>SUMIF('A-2 Site Habitat Creation'!$F$11:$F$256,'G-2 Habitat groups'!A73,'A-2 Site Habitat Creation'!$Y$11:$Y$256)</f>
        <v>0</v>
      </c>
      <c r="M73" s="494">
        <f>SUMIF('A-3 Site Habitat Enhancement'!$S$12:$S$257,'G-2 Habitat groups'!A73,'A-3 Site Habitat Enhancement'!$V$12:$V$257)</f>
        <v>0</v>
      </c>
      <c r="N73" s="494">
        <f>SUMIF('A-3 Site Habitat Enhancement'!$S$12:$S$257,'G-2 Habitat groups'!A73,'A-3 Site Habitat Enhancement'!$AN$12:$AN$257)</f>
        <v>0</v>
      </c>
      <c r="O73" s="494">
        <f t="shared" si="63"/>
        <v>0</v>
      </c>
      <c r="P73" s="494">
        <f t="shared" si="64"/>
        <v>0</v>
      </c>
      <c r="Q73" s="494">
        <f t="shared" si="65"/>
        <v>0</v>
      </c>
      <c r="R73" s="494">
        <f t="shared" si="66"/>
        <v>0</v>
      </c>
      <c r="S73" s="494">
        <f>IF(C73="V.High",SUMIF('D-1 Off Site Habitat Baseline'!$G$11:$G$258,'G-2 Habitat groups'!A73,'D-1 Off Site Habitat Baseline'!$S$11:$S$258)+SUMIF('D-1 Off Site Habitat Baseline'!$G$11:$G$258,'G-2 Habitat groups'!A73,'D-1 Off Site Habitat Baseline'!$T$11:$T$258),SUMIF('D-1 Off Site Habitat Baseline'!$G$11:$G$258,'G-2 Habitat groups'!A73,'D-1 Off Site Habitat Baseline'!$H$11:$H$258))</f>
        <v>0</v>
      </c>
      <c r="T73" s="494">
        <f>SUMIF('D-1 Off Site Habitat Baseline'!$G$11:$G$258,'G-2 Habitat groups'!A73,'D-1 Off Site Habitat Baseline'!$Q$11:$Q$258)</f>
        <v>0</v>
      </c>
      <c r="U73" s="591">
        <f>SUMIF('D-1 Off Site Habitat Baseline'!$G$11:$G$258,'G-2 Habitat groups'!A73,'D-1 Off Site Habitat Baseline'!$S$11:$S$258)</f>
        <v>0</v>
      </c>
      <c r="V73" s="494">
        <f>SUMIF('D-1 Off Site Habitat Baseline'!$G$11:$G$258,'G-2 Habitat groups'!A73,'D-1 Off Site Habitat Baseline'!$U$11:$U$258)</f>
        <v>0</v>
      </c>
      <c r="W73" s="494">
        <f>SUMIF('D-2 Off Site Habitat Creation'!$F$9:$F$255,'G-2 Habitat groups'!A73,'D-2 Off Site Habitat Creation'!$G$9:$G$255)</f>
        <v>0</v>
      </c>
      <c r="X73" s="494">
        <f>SUMIF('D-2 Off Site Habitat Creation'!$F$9:$F$255,'G-2 Habitat groups'!A73,'D-2 Off Site Habitat Creation'!$AA$9:$AA$255)</f>
        <v>0</v>
      </c>
      <c r="Y73" s="494">
        <f>SUMIF('D-3 Off Site Habitat Enhancment'!$S$12:$S$491,'G-2 Habitat groups'!A73,'D-3 Off Site Habitat Enhancment'!$V$12:$V$491)</f>
        <v>0</v>
      </c>
      <c r="Z73" s="494">
        <f>SUMIF('D-3 Off Site Habitat Enhancment'!$S$12:$S$491,'G-2 Habitat groups'!A73,'D-3 Off Site Habitat Enhancment'!$AP$12:$AP$491)</f>
        <v>0</v>
      </c>
      <c r="AA73" s="494">
        <f t="shared" si="67"/>
        <v>0</v>
      </c>
      <c r="AB73" s="494">
        <f t="shared" si="68"/>
        <v>0</v>
      </c>
      <c r="AC73" s="494">
        <f t="shared" si="69"/>
        <v>0</v>
      </c>
      <c r="AD73" s="494">
        <f t="shared" si="70"/>
        <v>0</v>
      </c>
      <c r="AE73" s="494">
        <f t="shared" si="71"/>
        <v>0</v>
      </c>
      <c r="AF73" s="494">
        <f t="shared" si="72"/>
        <v>0</v>
      </c>
    </row>
    <row r="74" spans="1:59" x14ac:dyDescent="0.25">
      <c r="A74" s="104" t="str">
        <f>'G-1 All Habitats'!B73</f>
        <v>Urban - Urban Tree</v>
      </c>
      <c r="B74" s="88" t="str">
        <f>'G-1 All Habitats'!F73</f>
        <v>Urban</v>
      </c>
      <c r="C74" s="88" t="str">
        <f>'G-1 All Habitats'!K73</f>
        <v>Medium</v>
      </c>
      <c r="D74" s="88" t="str">
        <f>'G-1 All Habitats'!M73</f>
        <v>Same broad habitat or a higher distinctiveness habitat required (≥)</v>
      </c>
      <c r="E74" s="494">
        <f>IF(C74="V.High",SUMIF('A-1 Site Habitat Baseline'!$G$11:$G$258,'G-2 Habitat groups'!A74,'A-1 Site Habitat Baseline'!$S$11:$S$258)+SUMIF('A-1 Site Habitat Baseline'!$G$11:$G$258,'G-2 Habitat groups'!A74,'A-1 Site Habitat Baseline'!$T$11:$T$258),SUMIF('A-1 Site Habitat Baseline'!$G$11:$G$258,'G-2 Habitat groups'!A74,'A-1 Site Habitat Baseline'!$H$11:$H$258))</f>
        <v>0.1074</v>
      </c>
      <c r="F74" s="494">
        <f>SUMIF('A-1 Site Habitat Baseline'!$G$11:$G$258,'G-2 Habitat groups'!A74,'A-1 Site Habitat Baseline'!$Q$11:$Q$258)</f>
        <v>0.98807999999999996</v>
      </c>
      <c r="G74" s="494">
        <f>SUMIF('A-1 Site Habitat Baseline'!$G$11:$G$258,'G-2 Habitat groups'!A74,'A-1 Site Habitat Baseline'!$S$11:$S$258)</f>
        <v>5.7599999999999998E-2</v>
      </c>
      <c r="H74" s="494">
        <f>SUMIF('A-1 Site Habitat Baseline'!$G$11:$G$258,'G-2 Habitat groups'!A74,'A-1 Site Habitat Baseline'!$U$11:$U$258)</f>
        <v>0.52991999999999995</v>
      </c>
      <c r="I74" s="494">
        <f>SUMIF('A-1 Site Habitat Baseline'!$G$11:$G$258,'G-2 Habitat groups'!A74,'A-1 Site Habitat Baseline'!$W$11:$W$258)</f>
        <v>4.9799999999999997E-2</v>
      </c>
      <c r="J74" s="494">
        <f>SUMIF('A-1 Site Habitat Baseline'!$G$11:$G$258,'G-2 Habitat groups'!A74,'A-1 Site Habitat Baseline'!$X$11:$X$258)</f>
        <v>0.45815999999999996</v>
      </c>
      <c r="K74" s="494">
        <f>SUMIF('A-2 Site Habitat Creation'!$F$11:$F$256,'G-2 Habitat groups'!A74,'A-2 Site Habitat Creation'!$G$11:$G$256)</f>
        <v>0.17</v>
      </c>
      <c r="L74" s="494">
        <f>SUMIF('A-2 Site Habitat Creation'!$F$11:$F$256,'G-2 Habitat groups'!A74,'A-2 Site Habitat Creation'!$Y$11:$Y$256)</f>
        <v>0.59768754943439995</v>
      </c>
      <c r="M74" s="494">
        <f>SUMIF('A-3 Site Habitat Enhancement'!$S$12:$S$257,'G-2 Habitat groups'!A74,'A-3 Site Habitat Enhancement'!$V$12:$V$257)</f>
        <v>0</v>
      </c>
      <c r="N74" s="494">
        <f>SUMIF('A-3 Site Habitat Enhancement'!$S$12:$S$257,'G-2 Habitat groups'!A74,'A-3 Site Habitat Enhancement'!$AN$12:$AN$257)</f>
        <v>0</v>
      </c>
      <c r="O74" s="494">
        <f t="shared" si="63"/>
        <v>0.22760000000000002</v>
      </c>
      <c r="P74" s="494">
        <f t="shared" si="64"/>
        <v>1.1276075494344</v>
      </c>
      <c r="Q74" s="494">
        <f t="shared" si="65"/>
        <v>0.12020000000000003</v>
      </c>
      <c r="R74" s="494">
        <f t="shared" si="66"/>
        <v>0.13952754943440004</v>
      </c>
      <c r="S74" s="494">
        <f>IF(C74="V.High",SUMIF('D-1 Off Site Habitat Baseline'!$G$11:$G$258,'G-2 Habitat groups'!A74,'D-1 Off Site Habitat Baseline'!$S$11:$S$258)+SUMIF('D-1 Off Site Habitat Baseline'!$G$11:$G$258,'G-2 Habitat groups'!A74,'D-1 Off Site Habitat Baseline'!$T$11:$T$258),SUMIF('D-1 Off Site Habitat Baseline'!$G$11:$G$258,'G-2 Habitat groups'!A74,'D-1 Off Site Habitat Baseline'!$H$11:$H$258))</f>
        <v>0</v>
      </c>
      <c r="T74" s="494">
        <f>SUMIF('D-1 Off Site Habitat Baseline'!$G$11:$G$258,'G-2 Habitat groups'!A74,'D-1 Off Site Habitat Baseline'!$Q$11:$Q$258)</f>
        <v>0</v>
      </c>
      <c r="U74" s="591">
        <f>SUMIF('D-1 Off Site Habitat Baseline'!$G$11:$G$258,'G-2 Habitat groups'!A74,'D-1 Off Site Habitat Baseline'!$S$11:$S$258)</f>
        <v>0</v>
      </c>
      <c r="V74" s="494">
        <f>SUMIF('D-1 Off Site Habitat Baseline'!$G$11:$G$258,'G-2 Habitat groups'!A74,'D-1 Off Site Habitat Baseline'!$U$11:$U$258)</f>
        <v>0</v>
      </c>
      <c r="W74" s="494">
        <f>SUMIF('D-2 Off Site Habitat Creation'!$F$9:$F$255,'G-2 Habitat groups'!A74,'D-2 Off Site Habitat Creation'!$G$9:$G$255)</f>
        <v>0</v>
      </c>
      <c r="X74" s="494">
        <f>SUMIF('D-2 Off Site Habitat Creation'!$F$9:$F$255,'G-2 Habitat groups'!A74,'D-2 Off Site Habitat Creation'!$AA$9:$AA$255)</f>
        <v>0</v>
      </c>
      <c r="Y74" s="494">
        <f>SUMIF('D-3 Off Site Habitat Enhancment'!$S$12:$S$491,'G-2 Habitat groups'!A74,'D-3 Off Site Habitat Enhancment'!$V$12:$V$491)</f>
        <v>0</v>
      </c>
      <c r="Z74" s="494">
        <f>SUMIF('D-3 Off Site Habitat Enhancment'!$S$12:$S$491,'G-2 Habitat groups'!A74,'D-3 Off Site Habitat Enhancment'!$AP$12:$AP$491)</f>
        <v>0</v>
      </c>
      <c r="AA74" s="494">
        <f t="shared" si="67"/>
        <v>0</v>
      </c>
      <c r="AB74" s="494">
        <f t="shared" si="68"/>
        <v>0</v>
      </c>
      <c r="AC74" s="494">
        <f t="shared" si="69"/>
        <v>0</v>
      </c>
      <c r="AD74" s="494">
        <f t="shared" si="70"/>
        <v>0</v>
      </c>
      <c r="AE74" s="494">
        <f t="shared" si="71"/>
        <v>0.12020000000000003</v>
      </c>
      <c r="AF74" s="494">
        <f t="shared" si="72"/>
        <v>0.13952754943440004</v>
      </c>
    </row>
    <row r="75" spans="1:59" ht="34.799999999999997" x14ac:dyDescent="0.55000000000000004">
      <c r="A75" s="104" t="str">
        <f>'G-1 All Habitats'!B74</f>
        <v>Urban - Sustainable urban drainage feature</v>
      </c>
      <c r="B75" s="88" t="str">
        <f>'G-1 All Habitats'!F74</f>
        <v>Urban</v>
      </c>
      <c r="C75" s="88" t="str">
        <f>'G-1 All Habitats'!K74</f>
        <v>Low</v>
      </c>
      <c r="D75" s="88" t="str">
        <f>'G-1 All Habitats'!M74</f>
        <v>Same distinctiveness or better habitat required ≥</v>
      </c>
      <c r="E75" s="494">
        <f>IF(C75="V.High",SUMIF('A-1 Site Habitat Baseline'!$G$11:$G$258,'G-2 Habitat groups'!A75,'A-1 Site Habitat Baseline'!$S$11:$S$258)+SUMIF('A-1 Site Habitat Baseline'!$G$11:$G$258,'G-2 Habitat groups'!A75,'A-1 Site Habitat Baseline'!$T$11:$T$258),SUMIF('A-1 Site Habitat Baseline'!$G$11:$G$258,'G-2 Habitat groups'!A75,'A-1 Site Habitat Baseline'!$H$11:$H$258))</f>
        <v>0</v>
      </c>
      <c r="F75" s="494">
        <f>SUMIF('A-1 Site Habitat Baseline'!$G$11:$G$258,'G-2 Habitat groups'!A75,'A-1 Site Habitat Baseline'!$Q$11:$Q$258)</f>
        <v>0</v>
      </c>
      <c r="G75" s="494">
        <f>SUMIF('A-1 Site Habitat Baseline'!$G$11:$G$258,'G-2 Habitat groups'!A75,'A-1 Site Habitat Baseline'!$S$11:$S$258)</f>
        <v>0</v>
      </c>
      <c r="H75" s="494">
        <f>SUMIF('A-1 Site Habitat Baseline'!$G$11:$G$258,'G-2 Habitat groups'!A75,'A-1 Site Habitat Baseline'!$U$11:$U$258)</f>
        <v>0</v>
      </c>
      <c r="I75" s="494">
        <f>SUMIF('A-1 Site Habitat Baseline'!$G$11:$G$258,'G-2 Habitat groups'!A75,'A-1 Site Habitat Baseline'!$W$11:$W$258)</f>
        <v>0</v>
      </c>
      <c r="J75" s="494">
        <f>SUMIF('A-1 Site Habitat Baseline'!$G$11:$G$258,'G-2 Habitat groups'!A75,'A-1 Site Habitat Baseline'!$X$11:$X$258)</f>
        <v>0</v>
      </c>
      <c r="K75" s="494">
        <f>SUMIF('A-2 Site Habitat Creation'!$F$11:$F$256,'G-2 Habitat groups'!A75,'A-2 Site Habitat Creation'!$G$11:$G$256)</f>
        <v>0</v>
      </c>
      <c r="L75" s="494">
        <f>SUMIF('A-2 Site Habitat Creation'!$F$11:$F$256,'G-2 Habitat groups'!A75,'A-2 Site Habitat Creation'!$Y$11:$Y$256)</f>
        <v>0</v>
      </c>
      <c r="M75" s="494">
        <f>SUMIF('A-3 Site Habitat Enhancement'!$S$12:$S$257,'G-2 Habitat groups'!A75,'A-3 Site Habitat Enhancement'!$V$12:$V$257)</f>
        <v>0</v>
      </c>
      <c r="N75" s="494">
        <f>SUMIF('A-3 Site Habitat Enhancement'!$S$12:$S$257,'G-2 Habitat groups'!A75,'A-3 Site Habitat Enhancement'!$AN$12:$AN$257)</f>
        <v>0</v>
      </c>
      <c r="O75" s="494">
        <f t="shared" si="63"/>
        <v>0</v>
      </c>
      <c r="P75" s="494">
        <f t="shared" si="64"/>
        <v>0</v>
      </c>
      <c r="Q75" s="494">
        <f t="shared" si="65"/>
        <v>0</v>
      </c>
      <c r="R75" s="494">
        <f t="shared" si="66"/>
        <v>0</v>
      </c>
      <c r="S75" s="494">
        <f>IF(C75="V.High",SUMIF('D-1 Off Site Habitat Baseline'!$G$11:$G$258,'G-2 Habitat groups'!A75,'D-1 Off Site Habitat Baseline'!$S$11:$S$258)+SUMIF('D-1 Off Site Habitat Baseline'!$G$11:$G$258,'G-2 Habitat groups'!A75,'D-1 Off Site Habitat Baseline'!$T$11:$T$258),SUMIF('D-1 Off Site Habitat Baseline'!$G$11:$G$258,'G-2 Habitat groups'!A75,'D-1 Off Site Habitat Baseline'!$H$11:$H$258))</f>
        <v>0</v>
      </c>
      <c r="T75" s="494">
        <f>SUMIF('D-1 Off Site Habitat Baseline'!$G$11:$G$258,'G-2 Habitat groups'!A75,'D-1 Off Site Habitat Baseline'!$Q$11:$Q$258)</f>
        <v>0</v>
      </c>
      <c r="U75" s="591">
        <f>SUMIF('D-1 Off Site Habitat Baseline'!$G$11:$G$258,'G-2 Habitat groups'!A75,'D-1 Off Site Habitat Baseline'!$S$11:$S$258)</f>
        <v>0</v>
      </c>
      <c r="V75" s="494">
        <f>SUMIF('D-1 Off Site Habitat Baseline'!$G$11:$G$258,'G-2 Habitat groups'!A75,'D-1 Off Site Habitat Baseline'!$U$11:$U$258)</f>
        <v>0</v>
      </c>
      <c r="W75" s="494">
        <f>SUMIF('D-2 Off Site Habitat Creation'!$F$9:$F$255,'G-2 Habitat groups'!A75,'D-2 Off Site Habitat Creation'!$G$9:$G$255)</f>
        <v>0</v>
      </c>
      <c r="X75" s="494">
        <f>SUMIF('D-2 Off Site Habitat Creation'!$F$9:$F$255,'G-2 Habitat groups'!A75,'D-2 Off Site Habitat Creation'!$AA$9:$AA$255)</f>
        <v>0</v>
      </c>
      <c r="Y75" s="494">
        <f>SUMIF('D-3 Off Site Habitat Enhancment'!$S$12:$S$491,'G-2 Habitat groups'!A75,'D-3 Off Site Habitat Enhancment'!$V$12:$V$491)</f>
        <v>0</v>
      </c>
      <c r="Z75" s="494">
        <f>SUMIF('D-3 Off Site Habitat Enhancment'!$S$12:$S$491,'G-2 Habitat groups'!A75,'D-3 Off Site Habitat Enhancment'!$AP$12:$AP$491)</f>
        <v>0</v>
      </c>
      <c r="AA75" s="494">
        <f t="shared" si="67"/>
        <v>0</v>
      </c>
      <c r="AB75" s="494">
        <f t="shared" si="68"/>
        <v>0</v>
      </c>
      <c r="AC75" s="494">
        <f t="shared" si="69"/>
        <v>0</v>
      </c>
      <c r="AD75" s="494">
        <f t="shared" si="70"/>
        <v>0</v>
      </c>
      <c r="AE75" s="494">
        <f t="shared" si="71"/>
        <v>0</v>
      </c>
      <c r="AF75" s="494">
        <f t="shared" si="72"/>
        <v>0</v>
      </c>
      <c r="AU75" s="360" t="s">
        <v>23</v>
      </c>
      <c r="AV75" s="99"/>
      <c r="AW75" s="99"/>
      <c r="AX75" s="99"/>
      <c r="AY75" s="99"/>
      <c r="AZ75" s="99"/>
      <c r="BA75" s="99"/>
      <c r="BB75" s="99"/>
      <c r="BC75" s="99"/>
      <c r="BD75" s="99"/>
      <c r="BE75" s="99"/>
      <c r="BF75" s="99"/>
      <c r="BG75" s="121"/>
    </row>
    <row r="76" spans="1:59" ht="33.75" customHeight="1" x14ac:dyDescent="0.3">
      <c r="A76" s="104" t="str">
        <f>'G-1 All Habitats'!B75</f>
        <v>Urban - Un-vegetated garden</v>
      </c>
      <c r="B76" s="88" t="str">
        <f>'G-1 All Habitats'!F75</f>
        <v>Urban</v>
      </c>
      <c r="C76" s="88" t="str">
        <f>'G-1 All Habitats'!K75</f>
        <v>V.Low</v>
      </c>
      <c r="D76" s="88" t="str">
        <f>'G-1 All Habitats'!M75</f>
        <v>Compensation Not Required</v>
      </c>
      <c r="E76" s="494">
        <f>IF(C76="V.High",SUMIF('A-1 Site Habitat Baseline'!$G$11:$G$258,'G-2 Habitat groups'!A76,'A-1 Site Habitat Baseline'!$S$11:$S$258)+SUMIF('A-1 Site Habitat Baseline'!$G$11:$G$258,'G-2 Habitat groups'!A76,'A-1 Site Habitat Baseline'!$T$11:$T$258),SUMIF('A-1 Site Habitat Baseline'!$G$11:$G$258,'G-2 Habitat groups'!A76,'A-1 Site Habitat Baseline'!$H$11:$H$258))</f>
        <v>0</v>
      </c>
      <c r="F76" s="494">
        <f>SUMIF('A-1 Site Habitat Baseline'!$G$11:$G$258,'G-2 Habitat groups'!A76,'A-1 Site Habitat Baseline'!$Q$11:$Q$258)</f>
        <v>0</v>
      </c>
      <c r="G76" s="494">
        <f>SUMIF('A-1 Site Habitat Baseline'!$G$11:$G$258,'G-2 Habitat groups'!A76,'A-1 Site Habitat Baseline'!$S$11:$S$258)</f>
        <v>0</v>
      </c>
      <c r="H76" s="494">
        <f>SUMIF('A-1 Site Habitat Baseline'!$G$11:$G$258,'G-2 Habitat groups'!A76,'A-1 Site Habitat Baseline'!$U$11:$U$258)</f>
        <v>0</v>
      </c>
      <c r="I76" s="494">
        <f>SUMIF('A-1 Site Habitat Baseline'!$G$11:$G$258,'G-2 Habitat groups'!A76,'A-1 Site Habitat Baseline'!$W$11:$W$258)</f>
        <v>0</v>
      </c>
      <c r="J76" s="494">
        <f>SUMIF('A-1 Site Habitat Baseline'!$G$11:$G$258,'G-2 Habitat groups'!A76,'A-1 Site Habitat Baseline'!$X$11:$X$258)</f>
        <v>0</v>
      </c>
      <c r="K76" s="494">
        <f>SUMIF('A-2 Site Habitat Creation'!$F$11:$F$256,'G-2 Habitat groups'!A76,'A-2 Site Habitat Creation'!$G$11:$G$256)</f>
        <v>0</v>
      </c>
      <c r="L76" s="494">
        <f>SUMIF('A-2 Site Habitat Creation'!$F$11:$F$256,'G-2 Habitat groups'!A76,'A-2 Site Habitat Creation'!$Y$11:$Y$256)</f>
        <v>0</v>
      </c>
      <c r="M76" s="494">
        <f>SUMIF('A-3 Site Habitat Enhancement'!$S$12:$S$257,'G-2 Habitat groups'!A76,'A-3 Site Habitat Enhancement'!$V$12:$V$257)</f>
        <v>0</v>
      </c>
      <c r="N76" s="494">
        <f>SUMIF('A-3 Site Habitat Enhancement'!$S$12:$S$257,'G-2 Habitat groups'!A76,'A-3 Site Habitat Enhancement'!$AN$12:$AN$257)</f>
        <v>0</v>
      </c>
      <c r="O76" s="494">
        <f t="shared" si="63"/>
        <v>0</v>
      </c>
      <c r="P76" s="494">
        <f t="shared" si="64"/>
        <v>0</v>
      </c>
      <c r="Q76" s="494">
        <f t="shared" si="65"/>
        <v>0</v>
      </c>
      <c r="R76" s="494">
        <f t="shared" si="66"/>
        <v>0</v>
      </c>
      <c r="S76" s="494">
        <f>IF(C76="V.High",SUMIF('D-1 Off Site Habitat Baseline'!$G$11:$G$258,'G-2 Habitat groups'!A76,'D-1 Off Site Habitat Baseline'!$S$11:$S$258)+SUMIF('D-1 Off Site Habitat Baseline'!$G$11:$G$258,'G-2 Habitat groups'!A76,'D-1 Off Site Habitat Baseline'!$T$11:$T$258),SUMIF('D-1 Off Site Habitat Baseline'!$G$11:$G$258,'G-2 Habitat groups'!A76,'D-1 Off Site Habitat Baseline'!$H$11:$H$258))</f>
        <v>0</v>
      </c>
      <c r="T76" s="494">
        <f>SUMIF('D-1 Off Site Habitat Baseline'!$G$11:$G$258,'G-2 Habitat groups'!A76,'D-1 Off Site Habitat Baseline'!$Q$11:$Q$258)</f>
        <v>0</v>
      </c>
      <c r="U76" s="591">
        <f>SUMIF('D-1 Off Site Habitat Baseline'!$G$11:$G$258,'G-2 Habitat groups'!A76,'D-1 Off Site Habitat Baseline'!$S$11:$S$258)</f>
        <v>0</v>
      </c>
      <c r="V76" s="494">
        <f>SUMIF('D-1 Off Site Habitat Baseline'!$G$11:$G$258,'G-2 Habitat groups'!A76,'D-1 Off Site Habitat Baseline'!$U$11:$U$258)</f>
        <v>0</v>
      </c>
      <c r="W76" s="494">
        <f>SUMIF('D-2 Off Site Habitat Creation'!$F$9:$F$255,'G-2 Habitat groups'!A76,'D-2 Off Site Habitat Creation'!$G$9:$G$255)</f>
        <v>0</v>
      </c>
      <c r="X76" s="494">
        <f>SUMIF('D-2 Off Site Habitat Creation'!$F$9:$F$255,'G-2 Habitat groups'!A76,'D-2 Off Site Habitat Creation'!$AA$9:$AA$255)</f>
        <v>0</v>
      </c>
      <c r="Y76" s="494">
        <f>SUMIF('D-3 Off Site Habitat Enhancment'!$S$12:$S$491,'G-2 Habitat groups'!A76,'D-3 Off Site Habitat Enhancment'!$V$12:$V$491)</f>
        <v>0</v>
      </c>
      <c r="Z76" s="494">
        <f>SUMIF('D-3 Off Site Habitat Enhancment'!$S$12:$S$491,'G-2 Habitat groups'!A76,'D-3 Off Site Habitat Enhancment'!$AP$12:$AP$491)</f>
        <v>0</v>
      </c>
      <c r="AA76" s="494">
        <f t="shared" si="67"/>
        <v>0</v>
      </c>
      <c r="AB76" s="494">
        <f t="shared" si="68"/>
        <v>0</v>
      </c>
      <c r="AC76" s="494">
        <f t="shared" si="69"/>
        <v>0</v>
      </c>
      <c r="AD76" s="494">
        <f t="shared" si="70"/>
        <v>0</v>
      </c>
      <c r="AE76" s="494">
        <f t="shared" si="71"/>
        <v>0</v>
      </c>
      <c r="AF76" s="494">
        <f t="shared" si="72"/>
        <v>0</v>
      </c>
      <c r="AU76" s="123" t="s">
        <v>173</v>
      </c>
      <c r="AV76" s="127" t="s">
        <v>160</v>
      </c>
      <c r="AW76" s="128" t="s">
        <v>851</v>
      </c>
      <c r="AX76" s="128" t="s">
        <v>856</v>
      </c>
      <c r="AY76" s="128" t="s">
        <v>853</v>
      </c>
      <c r="AZ76" s="128" t="s">
        <v>854</v>
      </c>
      <c r="BA76" s="128" t="s">
        <v>855</v>
      </c>
      <c r="BB76" s="128" t="s">
        <v>161</v>
      </c>
      <c r="BC76" s="128" t="s">
        <v>857</v>
      </c>
      <c r="BD76" s="127" t="s">
        <v>858</v>
      </c>
      <c r="BE76" s="128" t="s">
        <v>859</v>
      </c>
      <c r="BF76" s="128" t="s">
        <v>868</v>
      </c>
      <c r="BG76" s="122"/>
    </row>
    <row r="77" spans="1:59" x14ac:dyDescent="0.25">
      <c r="A77" s="104" t="str">
        <f>'G-1 All Habitats'!B76</f>
        <v>Urban - Vacant/derelict land/ bareground</v>
      </c>
      <c r="B77" s="88" t="str">
        <f>'G-1 All Habitats'!F76</f>
        <v>Urban</v>
      </c>
      <c r="C77" s="88" t="str">
        <f>'G-1 All Habitats'!K76</f>
        <v>Low</v>
      </c>
      <c r="D77" s="88" t="str">
        <f>'G-1 All Habitats'!M76</f>
        <v>Same distinctiveness or better habitat required ≥</v>
      </c>
      <c r="E77" s="494">
        <f>IF(C77="V.High",SUMIF('A-1 Site Habitat Baseline'!$G$11:$G$258,'G-2 Habitat groups'!A77,'A-1 Site Habitat Baseline'!$S$11:$S$258)+SUMIF('A-1 Site Habitat Baseline'!$G$11:$G$258,'G-2 Habitat groups'!A77,'A-1 Site Habitat Baseline'!$T$11:$T$258),SUMIF('A-1 Site Habitat Baseline'!$G$11:$G$258,'G-2 Habitat groups'!A77,'A-1 Site Habitat Baseline'!$H$11:$H$258))</f>
        <v>0</v>
      </c>
      <c r="F77" s="494">
        <f>SUMIF('A-1 Site Habitat Baseline'!$G$11:$G$258,'G-2 Habitat groups'!A77,'A-1 Site Habitat Baseline'!$Q$11:$Q$258)</f>
        <v>0</v>
      </c>
      <c r="G77" s="494">
        <f>SUMIF('A-1 Site Habitat Baseline'!$G$11:$G$258,'G-2 Habitat groups'!A77,'A-1 Site Habitat Baseline'!$S$11:$S$258)</f>
        <v>0</v>
      </c>
      <c r="H77" s="494">
        <f>SUMIF('A-1 Site Habitat Baseline'!$G$11:$G$258,'G-2 Habitat groups'!A77,'A-1 Site Habitat Baseline'!$U$11:$U$258)</f>
        <v>0</v>
      </c>
      <c r="I77" s="494">
        <f>SUMIF('A-1 Site Habitat Baseline'!$G$11:$G$258,'G-2 Habitat groups'!A77,'A-1 Site Habitat Baseline'!$W$11:$W$258)</f>
        <v>0</v>
      </c>
      <c r="J77" s="494">
        <f>SUMIF('A-1 Site Habitat Baseline'!$G$11:$G$258,'G-2 Habitat groups'!A77,'A-1 Site Habitat Baseline'!$X$11:$X$258)</f>
        <v>0</v>
      </c>
      <c r="K77" s="494">
        <f>SUMIF('A-2 Site Habitat Creation'!$F$11:$F$256,'G-2 Habitat groups'!A77,'A-2 Site Habitat Creation'!$G$11:$G$256)</f>
        <v>0</v>
      </c>
      <c r="L77" s="494">
        <f>SUMIF('A-2 Site Habitat Creation'!$F$11:$F$256,'G-2 Habitat groups'!A77,'A-2 Site Habitat Creation'!$Y$11:$Y$256)</f>
        <v>0</v>
      </c>
      <c r="M77" s="494">
        <f>SUMIF('A-3 Site Habitat Enhancement'!$S$12:$S$257,'G-2 Habitat groups'!A77,'A-3 Site Habitat Enhancement'!$V$12:$V$257)</f>
        <v>0</v>
      </c>
      <c r="N77" s="494">
        <f>SUMIF('A-3 Site Habitat Enhancement'!$S$12:$S$257,'G-2 Habitat groups'!A77,'A-3 Site Habitat Enhancement'!$AN$12:$AN$257)</f>
        <v>0</v>
      </c>
      <c r="O77" s="494">
        <f t="shared" si="63"/>
        <v>0</v>
      </c>
      <c r="P77" s="494">
        <f t="shared" si="64"/>
        <v>0</v>
      </c>
      <c r="Q77" s="494">
        <f t="shared" si="65"/>
        <v>0</v>
      </c>
      <c r="R77" s="494">
        <f t="shared" si="66"/>
        <v>0</v>
      </c>
      <c r="S77" s="494">
        <f>IF(C77="V.High",SUMIF('D-1 Off Site Habitat Baseline'!$G$11:$G$258,'G-2 Habitat groups'!A77,'D-1 Off Site Habitat Baseline'!$S$11:$S$258)+SUMIF('D-1 Off Site Habitat Baseline'!$G$11:$G$258,'G-2 Habitat groups'!A77,'D-1 Off Site Habitat Baseline'!$T$11:$T$258),SUMIF('D-1 Off Site Habitat Baseline'!$G$11:$G$258,'G-2 Habitat groups'!A77,'D-1 Off Site Habitat Baseline'!$H$11:$H$258))</f>
        <v>0</v>
      </c>
      <c r="T77" s="494">
        <f>SUMIF('D-1 Off Site Habitat Baseline'!$G$11:$G$258,'G-2 Habitat groups'!A77,'D-1 Off Site Habitat Baseline'!$Q$11:$Q$258)</f>
        <v>0</v>
      </c>
      <c r="U77" s="591">
        <f>SUMIF('D-1 Off Site Habitat Baseline'!$G$11:$G$258,'G-2 Habitat groups'!A77,'D-1 Off Site Habitat Baseline'!$S$11:$S$258)</f>
        <v>0</v>
      </c>
      <c r="V77" s="494">
        <f>SUMIF('D-1 Off Site Habitat Baseline'!$G$11:$G$258,'G-2 Habitat groups'!A77,'D-1 Off Site Habitat Baseline'!$U$11:$U$258)</f>
        <v>0</v>
      </c>
      <c r="W77" s="494">
        <f>SUMIF('D-2 Off Site Habitat Creation'!$F$9:$F$255,'G-2 Habitat groups'!A77,'D-2 Off Site Habitat Creation'!$G$9:$G$255)</f>
        <v>0</v>
      </c>
      <c r="X77" s="494">
        <f>SUMIF('D-2 Off Site Habitat Creation'!$F$9:$F$255,'G-2 Habitat groups'!A77,'D-2 Off Site Habitat Creation'!$AA$9:$AA$255)</f>
        <v>0</v>
      </c>
      <c r="Y77" s="494">
        <f>SUMIF('D-3 Off Site Habitat Enhancment'!$S$12:$S$491,'G-2 Habitat groups'!A77,'D-3 Off Site Habitat Enhancment'!$V$12:$V$491)</f>
        <v>0</v>
      </c>
      <c r="Z77" s="494">
        <f>SUMIF('D-3 Off Site Habitat Enhancment'!$S$12:$S$491,'G-2 Habitat groups'!A77,'D-3 Off Site Habitat Enhancment'!$AP$12:$AP$491)</f>
        <v>0</v>
      </c>
      <c r="AA77" s="494">
        <f t="shared" si="67"/>
        <v>0</v>
      </c>
      <c r="AB77" s="494">
        <f t="shared" si="68"/>
        <v>0</v>
      </c>
      <c r="AC77" s="494">
        <f t="shared" si="69"/>
        <v>0</v>
      </c>
      <c r="AD77" s="494">
        <f t="shared" si="70"/>
        <v>0</v>
      </c>
      <c r="AE77" s="494">
        <f t="shared" si="71"/>
        <v>0</v>
      </c>
      <c r="AF77" s="494">
        <f t="shared" si="72"/>
        <v>0</v>
      </c>
      <c r="AU77" s="104" t="s">
        <v>370</v>
      </c>
      <c r="AV77" s="88" t="s">
        <v>69</v>
      </c>
      <c r="AW77" s="494">
        <f t="shared" ref="AW77:AW79" si="73">VLOOKUP($AU77,AllHabsSummaryData,5,FALSE)</f>
        <v>0</v>
      </c>
      <c r="AX77" s="494">
        <f t="shared" ref="AX77:AX80" si="74">VLOOKUP($AU77,AllHabsSummaryData,10,FALSE)</f>
        <v>0</v>
      </c>
      <c r="AY77" s="494">
        <f t="shared" ref="AY77:AY80" si="75">VLOOKUP($AU77,AllHabsSummaryData,15,FALSE)</f>
        <v>0</v>
      </c>
      <c r="AZ77" s="494">
        <f t="shared" ref="AZ77:AZ80" si="76">VLOOKUP($AU77,AllHabsSummaryData,16,FALSE)</f>
        <v>0</v>
      </c>
      <c r="BA77" s="494">
        <f t="shared" ref="BA77:BA80" si="77">VLOOKUP($AU77,AllHabsSummaryData,17,FALSE)</f>
        <v>0</v>
      </c>
      <c r="BB77" s="494">
        <f t="shared" ref="BB77:BB80" si="78">VLOOKUP($AU77,AllHabsSummaryData,18,FALSE)</f>
        <v>0</v>
      </c>
      <c r="BC77" s="494">
        <f t="shared" ref="BC77:BC80" si="79">VLOOKUP($AU77,AllHabsSummaryData,27,FALSE)</f>
        <v>0</v>
      </c>
      <c r="BD77" s="494">
        <f t="shared" ref="BD77:BD80" si="80">VLOOKUP($AU77,AllHabsSummaryData,30,FALSE)</f>
        <v>0</v>
      </c>
      <c r="BE77" s="494">
        <f t="shared" ref="BE77" si="81">BB77+BD77</f>
        <v>0</v>
      </c>
      <c r="BF77" s="494" t="str">
        <f>IF(BE77&lt;0,BE77,"")</f>
        <v/>
      </c>
    </row>
    <row r="78" spans="1:59" x14ac:dyDescent="0.25">
      <c r="A78" s="104" t="str">
        <f>'G-1 All Habitats'!B77</f>
        <v>Urban - Vegetated garden</v>
      </c>
      <c r="B78" s="88" t="str">
        <f>'G-1 All Habitats'!F77</f>
        <v>Urban</v>
      </c>
      <c r="C78" s="88" t="str">
        <f>'G-1 All Habitats'!K77</f>
        <v>Low</v>
      </c>
      <c r="D78" s="88" t="str">
        <f>'G-1 All Habitats'!M77</f>
        <v>Same distinctiveness or better habitat required ≥</v>
      </c>
      <c r="E78" s="494">
        <f>IF(C78="V.High",SUMIF('A-1 Site Habitat Baseline'!$G$11:$G$258,'G-2 Habitat groups'!A78,'A-1 Site Habitat Baseline'!$S$11:$S$258)+SUMIF('A-1 Site Habitat Baseline'!$G$11:$G$258,'G-2 Habitat groups'!A78,'A-1 Site Habitat Baseline'!$T$11:$T$258),SUMIF('A-1 Site Habitat Baseline'!$G$11:$G$258,'G-2 Habitat groups'!A78,'A-1 Site Habitat Baseline'!$H$11:$H$258))</f>
        <v>0</v>
      </c>
      <c r="F78" s="494">
        <f>SUMIF('A-1 Site Habitat Baseline'!$G$11:$G$258,'G-2 Habitat groups'!A78,'A-1 Site Habitat Baseline'!$Q$11:$Q$258)</f>
        <v>0</v>
      </c>
      <c r="G78" s="494">
        <f>SUMIF('A-1 Site Habitat Baseline'!$G$11:$G$258,'G-2 Habitat groups'!A78,'A-1 Site Habitat Baseline'!$S$11:$S$258)</f>
        <v>0</v>
      </c>
      <c r="H78" s="494">
        <f>SUMIF('A-1 Site Habitat Baseline'!$G$11:$G$258,'G-2 Habitat groups'!A78,'A-1 Site Habitat Baseline'!$U$11:$U$258)</f>
        <v>0</v>
      </c>
      <c r="I78" s="494">
        <f>SUMIF('A-1 Site Habitat Baseline'!$G$11:$G$258,'G-2 Habitat groups'!A78,'A-1 Site Habitat Baseline'!$W$11:$W$258)</f>
        <v>0</v>
      </c>
      <c r="J78" s="494">
        <f>SUMIF('A-1 Site Habitat Baseline'!$G$11:$G$258,'G-2 Habitat groups'!A78,'A-1 Site Habitat Baseline'!$X$11:$X$258)</f>
        <v>0</v>
      </c>
      <c r="K78" s="494">
        <f>SUMIF('A-2 Site Habitat Creation'!$F$11:$F$256,'G-2 Habitat groups'!A78,'A-2 Site Habitat Creation'!$G$11:$G$256)</f>
        <v>0</v>
      </c>
      <c r="L78" s="494">
        <f>SUMIF('A-2 Site Habitat Creation'!$F$11:$F$256,'G-2 Habitat groups'!A78,'A-2 Site Habitat Creation'!$Y$11:$Y$256)</f>
        <v>0</v>
      </c>
      <c r="M78" s="494">
        <f>SUMIF('A-3 Site Habitat Enhancement'!$S$12:$S$257,'G-2 Habitat groups'!A78,'A-3 Site Habitat Enhancement'!$V$12:$V$257)</f>
        <v>0</v>
      </c>
      <c r="N78" s="494">
        <f>SUMIF('A-3 Site Habitat Enhancement'!$S$12:$S$257,'G-2 Habitat groups'!A78,'A-3 Site Habitat Enhancement'!$AN$12:$AN$257)</f>
        <v>0</v>
      </c>
      <c r="O78" s="494">
        <f t="shared" si="63"/>
        <v>0</v>
      </c>
      <c r="P78" s="494">
        <f t="shared" si="64"/>
        <v>0</v>
      </c>
      <c r="Q78" s="494">
        <f t="shared" si="65"/>
        <v>0</v>
      </c>
      <c r="R78" s="494">
        <f t="shared" si="66"/>
        <v>0</v>
      </c>
      <c r="S78" s="494">
        <f>IF(C78="V.High",SUMIF('D-1 Off Site Habitat Baseline'!$G$11:$G$258,'G-2 Habitat groups'!A78,'D-1 Off Site Habitat Baseline'!$S$11:$S$258)+SUMIF('D-1 Off Site Habitat Baseline'!$G$11:$G$258,'G-2 Habitat groups'!A78,'D-1 Off Site Habitat Baseline'!$T$11:$T$258),SUMIF('D-1 Off Site Habitat Baseline'!$G$11:$G$258,'G-2 Habitat groups'!A78,'D-1 Off Site Habitat Baseline'!$H$11:$H$258))</f>
        <v>0</v>
      </c>
      <c r="T78" s="494">
        <f>SUMIF('D-1 Off Site Habitat Baseline'!$G$11:$G$258,'G-2 Habitat groups'!A78,'D-1 Off Site Habitat Baseline'!$Q$11:$Q$258)</f>
        <v>0</v>
      </c>
      <c r="U78" s="591">
        <f>SUMIF('D-1 Off Site Habitat Baseline'!$G$11:$G$258,'G-2 Habitat groups'!A78,'D-1 Off Site Habitat Baseline'!$S$11:$S$258)</f>
        <v>0</v>
      </c>
      <c r="V78" s="494">
        <f>SUMIF('D-1 Off Site Habitat Baseline'!$G$11:$G$258,'G-2 Habitat groups'!A78,'D-1 Off Site Habitat Baseline'!$U$11:$U$258)</f>
        <v>0</v>
      </c>
      <c r="W78" s="494">
        <f>SUMIF('D-2 Off Site Habitat Creation'!$F$9:$F$255,'G-2 Habitat groups'!A78,'D-2 Off Site Habitat Creation'!$G$9:$G$255)</f>
        <v>0</v>
      </c>
      <c r="X78" s="494">
        <f>SUMIF('D-2 Off Site Habitat Creation'!$F$9:$F$255,'G-2 Habitat groups'!A78,'D-2 Off Site Habitat Creation'!$AA$9:$AA$255)</f>
        <v>0</v>
      </c>
      <c r="Y78" s="494">
        <f>SUMIF('D-3 Off Site Habitat Enhancment'!$S$12:$S$491,'G-2 Habitat groups'!A78,'D-3 Off Site Habitat Enhancment'!$V$12:$V$491)</f>
        <v>0</v>
      </c>
      <c r="Z78" s="494">
        <f>SUMIF('D-3 Off Site Habitat Enhancment'!$S$12:$S$491,'G-2 Habitat groups'!A78,'D-3 Off Site Habitat Enhancment'!$AP$12:$AP$491)</f>
        <v>0</v>
      </c>
      <c r="AA78" s="494">
        <f t="shared" si="67"/>
        <v>0</v>
      </c>
      <c r="AB78" s="494">
        <f t="shared" si="68"/>
        <v>0</v>
      </c>
      <c r="AC78" s="494">
        <f t="shared" si="69"/>
        <v>0</v>
      </c>
      <c r="AD78" s="494">
        <f t="shared" si="70"/>
        <v>0</v>
      </c>
      <c r="AE78" s="494">
        <f t="shared" si="71"/>
        <v>0</v>
      </c>
      <c r="AF78" s="494">
        <f t="shared" si="72"/>
        <v>0</v>
      </c>
      <c r="AU78" s="104" t="s">
        <v>379</v>
      </c>
      <c r="AV78" s="88" t="s">
        <v>69</v>
      </c>
      <c r="AW78" s="494">
        <f t="shared" si="73"/>
        <v>0</v>
      </c>
      <c r="AX78" s="494">
        <f t="shared" si="74"/>
        <v>0</v>
      </c>
      <c r="AY78" s="494">
        <f t="shared" si="75"/>
        <v>0</v>
      </c>
      <c r="AZ78" s="494">
        <f t="shared" si="76"/>
        <v>0</v>
      </c>
      <c r="BA78" s="494">
        <f t="shared" si="77"/>
        <v>0</v>
      </c>
      <c r="BB78" s="494">
        <f t="shared" si="78"/>
        <v>0</v>
      </c>
      <c r="BC78" s="494">
        <f t="shared" si="79"/>
        <v>0</v>
      </c>
      <c r="BD78" s="494">
        <f t="shared" si="80"/>
        <v>0</v>
      </c>
      <c r="BE78" s="494">
        <f t="shared" ref="BE78" si="82">BB78+BD78</f>
        <v>0</v>
      </c>
      <c r="BF78" s="494" t="str">
        <f t="shared" ref="BF78" si="83">IF(BE78&lt;0,BE78,"")</f>
        <v/>
      </c>
    </row>
    <row r="79" spans="1:59" x14ac:dyDescent="0.25">
      <c r="A79" s="104" t="str">
        <f>'G-1 All Habitats'!B78</f>
        <v>Wetland - Blanket bog</v>
      </c>
      <c r="B79" s="88" t="str">
        <f>'G-1 All Habitats'!F78</f>
        <v>Wetland</v>
      </c>
      <c r="C79" s="88" t="str">
        <f>'G-1 All Habitats'!K78</f>
        <v>V.High</v>
      </c>
      <c r="D79" s="88" t="str">
        <f>'G-1 All Habitats'!M78</f>
        <v>Bespoke compensation likely to be required 🛠</v>
      </c>
      <c r="E79" s="494">
        <f>IF(C79="V.High",SUMIF('A-1 Site Habitat Baseline'!$G$11:$G$258,'G-2 Habitat groups'!A79,'A-1 Site Habitat Baseline'!$S$11:$S$258)+SUMIF('A-1 Site Habitat Baseline'!$G$11:$G$258,'G-2 Habitat groups'!A79,'A-1 Site Habitat Baseline'!$T$11:$T$258),SUMIF('A-1 Site Habitat Baseline'!$G$11:$G$258,'G-2 Habitat groups'!A79,'A-1 Site Habitat Baseline'!$H$11:$H$258))</f>
        <v>0</v>
      </c>
      <c r="F79" s="494">
        <f>SUMIF('A-1 Site Habitat Baseline'!$G$11:$G$258,'G-2 Habitat groups'!A79,'A-1 Site Habitat Baseline'!$Q$11:$Q$258)</f>
        <v>0</v>
      </c>
      <c r="G79" s="494">
        <f>SUMIF('A-1 Site Habitat Baseline'!$G$11:$G$258,'G-2 Habitat groups'!A79,'A-1 Site Habitat Baseline'!$S$11:$S$258)</f>
        <v>0</v>
      </c>
      <c r="H79" s="494">
        <f>SUMIF('A-1 Site Habitat Baseline'!$G$11:$G$258,'G-2 Habitat groups'!A79,'A-1 Site Habitat Baseline'!$U$11:$U$258)</f>
        <v>0</v>
      </c>
      <c r="I79" s="494">
        <f>SUMIF('A-1 Site Habitat Baseline'!$G$11:$G$258,'G-2 Habitat groups'!A79,'A-1 Site Habitat Baseline'!$W$11:$W$258)</f>
        <v>0</v>
      </c>
      <c r="J79" s="494">
        <f>SUMIF('A-1 Site Habitat Baseline'!$G$11:$G$258,'G-2 Habitat groups'!A79,'A-1 Site Habitat Baseline'!$X$11:$X$258)</f>
        <v>0</v>
      </c>
      <c r="K79" s="494">
        <f>SUMIF('A-2 Site Habitat Creation'!$F$11:$F$256,'G-2 Habitat groups'!A79,'A-2 Site Habitat Creation'!$G$11:$G$256)</f>
        <v>0</v>
      </c>
      <c r="L79" s="494">
        <f>SUMIF('A-2 Site Habitat Creation'!$F$11:$F$256,'G-2 Habitat groups'!A79,'A-2 Site Habitat Creation'!$Y$11:$Y$256)</f>
        <v>0</v>
      </c>
      <c r="M79" s="494">
        <f>SUMIF('A-3 Site Habitat Enhancement'!$S$12:$S$257,'G-2 Habitat groups'!A79,'A-3 Site Habitat Enhancement'!$V$12:$V$257)</f>
        <v>0</v>
      </c>
      <c r="N79" s="494">
        <f>SUMIF('A-3 Site Habitat Enhancement'!$S$12:$S$257,'G-2 Habitat groups'!A79,'A-3 Site Habitat Enhancement'!$AN$12:$AN$257)</f>
        <v>0</v>
      </c>
      <c r="O79" s="494">
        <f t="shared" si="63"/>
        <v>0</v>
      </c>
      <c r="P79" s="494">
        <f t="shared" si="64"/>
        <v>0</v>
      </c>
      <c r="Q79" s="494">
        <f t="shared" si="65"/>
        <v>0</v>
      </c>
      <c r="R79" s="494">
        <f t="shared" si="66"/>
        <v>0</v>
      </c>
      <c r="S79" s="494">
        <f>IF(C79="V.High",SUMIF('D-1 Off Site Habitat Baseline'!$G$11:$G$258,'G-2 Habitat groups'!A79,'D-1 Off Site Habitat Baseline'!$S$11:$S$258)+SUMIF('D-1 Off Site Habitat Baseline'!$G$11:$G$258,'G-2 Habitat groups'!A79,'D-1 Off Site Habitat Baseline'!$T$11:$T$258),SUMIF('D-1 Off Site Habitat Baseline'!$G$11:$G$258,'G-2 Habitat groups'!A79,'D-1 Off Site Habitat Baseline'!$H$11:$H$258))</f>
        <v>0</v>
      </c>
      <c r="T79" s="494">
        <f>SUMIF('D-1 Off Site Habitat Baseline'!$G$11:$G$258,'G-2 Habitat groups'!A79,'D-1 Off Site Habitat Baseline'!$Q$11:$Q$258)</f>
        <v>0</v>
      </c>
      <c r="U79" s="591">
        <f>SUMIF('D-1 Off Site Habitat Baseline'!$G$11:$G$258,'G-2 Habitat groups'!A79,'D-1 Off Site Habitat Baseline'!$S$11:$S$258)</f>
        <v>0</v>
      </c>
      <c r="V79" s="494">
        <f>SUMIF('D-1 Off Site Habitat Baseline'!$G$11:$G$258,'G-2 Habitat groups'!A79,'D-1 Off Site Habitat Baseline'!$U$11:$U$258)</f>
        <v>0</v>
      </c>
      <c r="W79" s="494">
        <f>SUMIF('D-2 Off Site Habitat Creation'!$F$9:$F$255,'G-2 Habitat groups'!A79,'D-2 Off Site Habitat Creation'!$G$9:$G$255)</f>
        <v>0</v>
      </c>
      <c r="X79" s="494">
        <f>SUMIF('D-2 Off Site Habitat Creation'!$F$9:$F$255,'G-2 Habitat groups'!A79,'D-2 Off Site Habitat Creation'!$AA$9:$AA$255)</f>
        <v>0</v>
      </c>
      <c r="Y79" s="494">
        <f>SUMIF('D-3 Off Site Habitat Enhancment'!$S$12:$S$491,'G-2 Habitat groups'!A79,'D-3 Off Site Habitat Enhancment'!$V$12:$V$491)</f>
        <v>0</v>
      </c>
      <c r="Z79" s="494">
        <f>SUMIF('D-3 Off Site Habitat Enhancment'!$S$12:$S$491,'G-2 Habitat groups'!A79,'D-3 Off Site Habitat Enhancment'!$AP$12:$AP$491)</f>
        <v>0</v>
      </c>
      <c r="AA79" s="494">
        <f t="shared" si="67"/>
        <v>0</v>
      </c>
      <c r="AB79" s="494">
        <f t="shared" si="68"/>
        <v>0</v>
      </c>
      <c r="AC79" s="494">
        <f t="shared" si="69"/>
        <v>0</v>
      </c>
      <c r="AD79" s="494">
        <f t="shared" si="70"/>
        <v>0</v>
      </c>
      <c r="AE79" s="494">
        <f t="shared" si="71"/>
        <v>0</v>
      </c>
      <c r="AF79" s="494">
        <f t="shared" si="72"/>
        <v>0</v>
      </c>
      <c r="AU79" s="343" t="s">
        <v>385</v>
      </c>
      <c r="AV79" s="88" t="s">
        <v>69</v>
      </c>
      <c r="AW79" s="494">
        <f t="shared" si="73"/>
        <v>0</v>
      </c>
      <c r="AX79" s="494">
        <f t="shared" si="74"/>
        <v>0</v>
      </c>
      <c r="AY79" s="494">
        <f t="shared" si="75"/>
        <v>0</v>
      </c>
      <c r="AZ79" s="494">
        <f t="shared" si="76"/>
        <v>0</v>
      </c>
      <c r="BA79" s="494">
        <f t="shared" si="77"/>
        <v>0</v>
      </c>
      <c r="BB79" s="494">
        <f t="shared" si="78"/>
        <v>0</v>
      </c>
      <c r="BC79" s="494">
        <f t="shared" si="79"/>
        <v>0</v>
      </c>
      <c r="BD79" s="494">
        <f t="shared" si="80"/>
        <v>0</v>
      </c>
      <c r="BE79" s="494">
        <f t="shared" ref="BE79" si="84">BB79+BD79</f>
        <v>0</v>
      </c>
      <c r="BF79" s="494" t="str">
        <f t="shared" ref="BF79" si="85">IF(BE79&lt;0,BE79,"")</f>
        <v/>
      </c>
    </row>
    <row r="80" spans="1:59" x14ac:dyDescent="0.25">
      <c r="A80" s="104" t="str">
        <f>'G-1 All Habitats'!B79</f>
        <v>Wetland - Depressions on Peat substrates (H7150)</v>
      </c>
      <c r="B80" s="88" t="str">
        <f>'G-1 All Habitats'!F79</f>
        <v>Wetland</v>
      </c>
      <c r="C80" s="88" t="str">
        <f>'G-1 All Habitats'!K79</f>
        <v>V.High</v>
      </c>
      <c r="D80" s="88" t="str">
        <f>'G-1 All Habitats'!M79</f>
        <v>Bespoke compensation likely to be required 🛠</v>
      </c>
      <c r="E80" s="494">
        <f>IF(C80="V.High",SUMIF('A-1 Site Habitat Baseline'!$G$11:$G$258,'G-2 Habitat groups'!A80,'A-1 Site Habitat Baseline'!$S$11:$S$258)+SUMIF('A-1 Site Habitat Baseline'!$G$11:$G$258,'G-2 Habitat groups'!A80,'A-1 Site Habitat Baseline'!$T$11:$T$258),SUMIF('A-1 Site Habitat Baseline'!$G$11:$G$258,'G-2 Habitat groups'!A80,'A-1 Site Habitat Baseline'!$H$11:$H$258))</f>
        <v>0</v>
      </c>
      <c r="F80" s="494">
        <f>SUMIF('A-1 Site Habitat Baseline'!$G$11:$G$258,'G-2 Habitat groups'!A80,'A-1 Site Habitat Baseline'!$Q$11:$Q$258)</f>
        <v>0</v>
      </c>
      <c r="G80" s="494">
        <f>SUMIF('A-1 Site Habitat Baseline'!$G$11:$G$258,'G-2 Habitat groups'!A80,'A-1 Site Habitat Baseline'!$S$11:$S$258)</f>
        <v>0</v>
      </c>
      <c r="H80" s="494">
        <f>SUMIF('A-1 Site Habitat Baseline'!$G$11:$G$258,'G-2 Habitat groups'!A80,'A-1 Site Habitat Baseline'!$U$11:$U$258)</f>
        <v>0</v>
      </c>
      <c r="I80" s="494">
        <f>SUMIF('A-1 Site Habitat Baseline'!$G$11:$G$258,'G-2 Habitat groups'!A80,'A-1 Site Habitat Baseline'!$W$11:$W$258)</f>
        <v>0</v>
      </c>
      <c r="J80" s="494">
        <f>SUMIF('A-1 Site Habitat Baseline'!$G$11:$G$258,'G-2 Habitat groups'!A80,'A-1 Site Habitat Baseline'!$X$11:$X$258)</f>
        <v>0</v>
      </c>
      <c r="K80" s="494">
        <f>SUMIF('A-2 Site Habitat Creation'!$F$11:$F$256,'G-2 Habitat groups'!A80,'A-2 Site Habitat Creation'!$G$11:$G$256)</f>
        <v>0</v>
      </c>
      <c r="L80" s="494">
        <f>SUMIF('A-2 Site Habitat Creation'!$F$11:$F$256,'G-2 Habitat groups'!A80,'A-2 Site Habitat Creation'!$Y$11:$Y$256)</f>
        <v>0</v>
      </c>
      <c r="M80" s="494">
        <f>SUMIF('A-3 Site Habitat Enhancement'!$S$12:$S$257,'G-2 Habitat groups'!A80,'A-3 Site Habitat Enhancement'!$V$12:$V$257)</f>
        <v>0</v>
      </c>
      <c r="N80" s="494">
        <f>SUMIF('A-3 Site Habitat Enhancement'!$S$12:$S$257,'G-2 Habitat groups'!A80,'A-3 Site Habitat Enhancement'!$AN$12:$AN$257)</f>
        <v>0</v>
      </c>
      <c r="O80" s="494">
        <f t="shared" si="63"/>
        <v>0</v>
      </c>
      <c r="P80" s="494">
        <f t="shared" si="64"/>
        <v>0</v>
      </c>
      <c r="Q80" s="494">
        <f t="shared" si="65"/>
        <v>0</v>
      </c>
      <c r="R80" s="494">
        <f t="shared" si="66"/>
        <v>0</v>
      </c>
      <c r="S80" s="494">
        <f>IF(C80="V.High",SUMIF('D-1 Off Site Habitat Baseline'!$G$11:$G$258,'G-2 Habitat groups'!A80,'D-1 Off Site Habitat Baseline'!$S$11:$S$258)+SUMIF('D-1 Off Site Habitat Baseline'!$G$11:$G$258,'G-2 Habitat groups'!A80,'D-1 Off Site Habitat Baseline'!$T$11:$T$258),SUMIF('D-1 Off Site Habitat Baseline'!$G$11:$G$258,'G-2 Habitat groups'!A80,'D-1 Off Site Habitat Baseline'!$H$11:$H$258))</f>
        <v>0</v>
      </c>
      <c r="T80" s="494">
        <f>SUMIF('D-1 Off Site Habitat Baseline'!$G$11:$G$258,'G-2 Habitat groups'!A80,'D-1 Off Site Habitat Baseline'!$Q$11:$Q$258)</f>
        <v>0</v>
      </c>
      <c r="U80" s="591">
        <f>SUMIF('D-1 Off Site Habitat Baseline'!$G$11:$G$258,'G-2 Habitat groups'!A80,'D-1 Off Site Habitat Baseline'!$S$11:$S$258)</f>
        <v>0</v>
      </c>
      <c r="V80" s="494">
        <f>SUMIF('D-1 Off Site Habitat Baseline'!$G$11:$G$258,'G-2 Habitat groups'!A80,'D-1 Off Site Habitat Baseline'!$U$11:$U$258)</f>
        <v>0</v>
      </c>
      <c r="W80" s="494">
        <f>SUMIF('D-2 Off Site Habitat Creation'!$F$9:$F$255,'G-2 Habitat groups'!A80,'D-2 Off Site Habitat Creation'!$G$9:$G$255)</f>
        <v>0</v>
      </c>
      <c r="X80" s="494">
        <f>SUMIF('D-2 Off Site Habitat Creation'!$F$9:$F$255,'G-2 Habitat groups'!A80,'D-2 Off Site Habitat Creation'!$AA$9:$AA$255)</f>
        <v>0</v>
      </c>
      <c r="Y80" s="494">
        <f>SUMIF('D-3 Off Site Habitat Enhancment'!$S$12:$S$491,'G-2 Habitat groups'!A80,'D-3 Off Site Habitat Enhancment'!$V$12:$V$491)</f>
        <v>0</v>
      </c>
      <c r="Z80" s="494">
        <f>SUMIF('D-3 Off Site Habitat Enhancment'!$S$12:$S$491,'G-2 Habitat groups'!A80,'D-3 Off Site Habitat Enhancment'!$AP$12:$AP$491)</f>
        <v>0</v>
      </c>
      <c r="AA80" s="494">
        <f t="shared" si="67"/>
        <v>0</v>
      </c>
      <c r="AB80" s="494">
        <f t="shared" si="68"/>
        <v>0</v>
      </c>
      <c r="AC80" s="494">
        <f t="shared" si="69"/>
        <v>0</v>
      </c>
      <c r="AD80" s="494">
        <f t="shared" si="70"/>
        <v>0</v>
      </c>
      <c r="AE80" s="494">
        <f t="shared" si="71"/>
        <v>0</v>
      </c>
      <c r="AF80" s="494">
        <f t="shared" si="72"/>
        <v>0</v>
      </c>
      <c r="AU80" s="104" t="s">
        <v>389</v>
      </c>
      <c r="AV80" s="88" t="s">
        <v>69</v>
      </c>
      <c r="AW80" s="494">
        <f t="shared" ref="AW80" si="86">VLOOKUP($AU80,AllHabsSummaryData,5,FALSE)</f>
        <v>0</v>
      </c>
      <c r="AX80" s="494">
        <f t="shared" si="74"/>
        <v>0</v>
      </c>
      <c r="AY80" s="494">
        <f t="shared" si="75"/>
        <v>0</v>
      </c>
      <c r="AZ80" s="494">
        <f t="shared" si="76"/>
        <v>0</v>
      </c>
      <c r="BA80" s="494">
        <f t="shared" si="77"/>
        <v>0</v>
      </c>
      <c r="BB80" s="494">
        <f t="shared" si="78"/>
        <v>0</v>
      </c>
      <c r="BC80" s="494">
        <f t="shared" si="79"/>
        <v>0</v>
      </c>
      <c r="BD80" s="494">
        <f t="shared" si="80"/>
        <v>0</v>
      </c>
      <c r="BE80" s="494">
        <f t="shared" ref="BE80" si="87">BB80+BD80</f>
        <v>0</v>
      </c>
      <c r="BF80" s="494" t="str">
        <f t="shared" ref="BF80" si="88">IF(BE80&lt;0,BE80,"")</f>
        <v/>
      </c>
    </row>
    <row r="81" spans="1:58" x14ac:dyDescent="0.25">
      <c r="A81" s="104" t="str">
        <f>'G-1 All Habitats'!B80</f>
        <v>Wetland - Fens (upland and lowland)</v>
      </c>
      <c r="B81" s="88" t="str">
        <f>'G-1 All Habitats'!F80</f>
        <v>Wetland</v>
      </c>
      <c r="C81" s="88" t="str">
        <f>'G-1 All Habitats'!K80</f>
        <v>V.High</v>
      </c>
      <c r="D81" s="88" t="str">
        <f>'G-1 All Habitats'!M80</f>
        <v>Bespoke compensation likely to be required 🛠</v>
      </c>
      <c r="E81" s="494">
        <f>IF(C81="V.High",SUMIF('A-1 Site Habitat Baseline'!$G$11:$G$258,'G-2 Habitat groups'!A81,'A-1 Site Habitat Baseline'!$S$11:$S$258)+SUMIF('A-1 Site Habitat Baseline'!$G$11:$G$258,'G-2 Habitat groups'!A81,'A-1 Site Habitat Baseline'!$T$11:$T$258),SUMIF('A-1 Site Habitat Baseline'!$G$11:$G$258,'G-2 Habitat groups'!A81,'A-1 Site Habitat Baseline'!$H$11:$H$258))</f>
        <v>0</v>
      </c>
      <c r="F81" s="494">
        <f>SUMIF('A-1 Site Habitat Baseline'!$G$11:$G$258,'G-2 Habitat groups'!A81,'A-1 Site Habitat Baseline'!$Q$11:$Q$258)</f>
        <v>0</v>
      </c>
      <c r="G81" s="494">
        <f>SUMIF('A-1 Site Habitat Baseline'!$G$11:$G$258,'G-2 Habitat groups'!A81,'A-1 Site Habitat Baseline'!$S$11:$S$258)</f>
        <v>0</v>
      </c>
      <c r="H81" s="494">
        <f>SUMIF('A-1 Site Habitat Baseline'!$G$11:$G$258,'G-2 Habitat groups'!A81,'A-1 Site Habitat Baseline'!$U$11:$U$258)</f>
        <v>0</v>
      </c>
      <c r="I81" s="494">
        <f>SUMIF('A-1 Site Habitat Baseline'!$G$11:$G$258,'G-2 Habitat groups'!A81,'A-1 Site Habitat Baseline'!$W$11:$W$258)</f>
        <v>0</v>
      </c>
      <c r="J81" s="494">
        <f>SUMIF('A-1 Site Habitat Baseline'!$G$11:$G$258,'G-2 Habitat groups'!A81,'A-1 Site Habitat Baseline'!$X$11:$X$258)</f>
        <v>0</v>
      </c>
      <c r="K81" s="494">
        <f>SUMIF('A-2 Site Habitat Creation'!$F$11:$F$256,'G-2 Habitat groups'!A81,'A-2 Site Habitat Creation'!$G$11:$G$256)</f>
        <v>0</v>
      </c>
      <c r="L81" s="494">
        <f>SUMIF('A-2 Site Habitat Creation'!$F$11:$F$256,'G-2 Habitat groups'!A81,'A-2 Site Habitat Creation'!$Y$11:$Y$256)</f>
        <v>0</v>
      </c>
      <c r="M81" s="494">
        <f>SUMIF('A-3 Site Habitat Enhancement'!$S$12:$S$257,'G-2 Habitat groups'!A81,'A-3 Site Habitat Enhancement'!$V$12:$V$257)</f>
        <v>0</v>
      </c>
      <c r="N81" s="494">
        <f>SUMIF('A-3 Site Habitat Enhancement'!$S$12:$S$257,'G-2 Habitat groups'!A81,'A-3 Site Habitat Enhancement'!$AN$12:$AN$257)</f>
        <v>0</v>
      </c>
      <c r="O81" s="494">
        <f t="shared" si="63"/>
        <v>0</v>
      </c>
      <c r="P81" s="494">
        <f t="shared" si="64"/>
        <v>0</v>
      </c>
      <c r="Q81" s="494">
        <f t="shared" si="65"/>
        <v>0</v>
      </c>
      <c r="R81" s="494">
        <f t="shared" si="66"/>
        <v>0</v>
      </c>
      <c r="S81" s="494">
        <f>IF(C81="V.High",SUMIF('D-1 Off Site Habitat Baseline'!$G$11:$G$258,'G-2 Habitat groups'!A81,'D-1 Off Site Habitat Baseline'!$S$11:$S$258)+SUMIF('D-1 Off Site Habitat Baseline'!$G$11:$G$258,'G-2 Habitat groups'!A81,'D-1 Off Site Habitat Baseline'!$T$11:$T$258),SUMIF('D-1 Off Site Habitat Baseline'!$G$11:$G$258,'G-2 Habitat groups'!A81,'D-1 Off Site Habitat Baseline'!$H$11:$H$258))</f>
        <v>0</v>
      </c>
      <c r="T81" s="494">
        <f>SUMIF('D-1 Off Site Habitat Baseline'!$G$11:$G$258,'G-2 Habitat groups'!A81,'D-1 Off Site Habitat Baseline'!$Q$11:$Q$258)</f>
        <v>0</v>
      </c>
      <c r="U81" s="591">
        <f>SUMIF('D-1 Off Site Habitat Baseline'!$G$11:$G$258,'G-2 Habitat groups'!A81,'D-1 Off Site Habitat Baseline'!$S$11:$S$258)</f>
        <v>0</v>
      </c>
      <c r="V81" s="494">
        <f>SUMIF('D-1 Off Site Habitat Baseline'!$G$11:$G$258,'G-2 Habitat groups'!A81,'D-1 Off Site Habitat Baseline'!$U$11:$U$258)</f>
        <v>0</v>
      </c>
      <c r="W81" s="494">
        <f>SUMIF('D-2 Off Site Habitat Creation'!$F$9:$F$255,'G-2 Habitat groups'!A81,'D-2 Off Site Habitat Creation'!$G$9:$G$255)</f>
        <v>0</v>
      </c>
      <c r="X81" s="494">
        <f>SUMIF('D-2 Off Site Habitat Creation'!$F$9:$F$255,'G-2 Habitat groups'!A81,'D-2 Off Site Habitat Creation'!$AA$9:$AA$255)</f>
        <v>0</v>
      </c>
      <c r="Y81" s="494">
        <f>SUMIF('D-3 Off Site Habitat Enhancment'!$S$12:$S$491,'G-2 Habitat groups'!A81,'D-3 Off Site Habitat Enhancment'!$V$12:$V$491)</f>
        <v>0</v>
      </c>
      <c r="Z81" s="494">
        <f>SUMIF('D-3 Off Site Habitat Enhancment'!$S$12:$S$491,'G-2 Habitat groups'!A81,'D-3 Off Site Habitat Enhancment'!$AP$12:$AP$491)</f>
        <v>0</v>
      </c>
      <c r="AA81" s="494">
        <f t="shared" si="67"/>
        <v>0</v>
      </c>
      <c r="AB81" s="494">
        <f t="shared" si="68"/>
        <v>0</v>
      </c>
      <c r="AC81" s="494">
        <f t="shared" si="69"/>
        <v>0</v>
      </c>
      <c r="AD81" s="494">
        <f t="shared" si="70"/>
        <v>0</v>
      </c>
      <c r="AE81" s="494">
        <f t="shared" si="71"/>
        <v>0</v>
      </c>
      <c r="AF81" s="494">
        <f t="shared" si="72"/>
        <v>0</v>
      </c>
      <c r="AU81" s="104" t="s">
        <v>453</v>
      </c>
      <c r="AV81" s="88" t="s">
        <v>70</v>
      </c>
      <c r="AW81" s="494">
        <f t="shared" ref="AW81:AW100" si="89">VLOOKUP($AU81,AllHabsSummaryData,5,FALSE)</f>
        <v>0</v>
      </c>
      <c r="AX81" s="494">
        <f t="shared" ref="AX81:AX100" si="90">VLOOKUP($AU81,AllHabsSummaryData,10,FALSE)</f>
        <v>0</v>
      </c>
      <c r="AY81" s="494">
        <f t="shared" ref="AY81:AY100" si="91">VLOOKUP($AU81,AllHabsSummaryData,15,FALSE)</f>
        <v>0</v>
      </c>
      <c r="AZ81" s="494">
        <f t="shared" ref="AZ81:AZ100" si="92">VLOOKUP($AU81,AllHabsSummaryData,16,FALSE)</f>
        <v>0</v>
      </c>
      <c r="BA81" s="494">
        <f t="shared" ref="BA81:BA100" si="93">VLOOKUP($AU81,AllHabsSummaryData,17,FALSE)</f>
        <v>0</v>
      </c>
      <c r="BB81" s="494">
        <f t="shared" ref="BB81:BB100" si="94">VLOOKUP($AU81,AllHabsSummaryData,18,FALSE)</f>
        <v>0</v>
      </c>
      <c r="BC81" s="494">
        <f t="shared" ref="BC81:BC100" si="95">VLOOKUP($AU81,AllHabsSummaryData,27,FALSE)</f>
        <v>0</v>
      </c>
      <c r="BD81" s="494">
        <f t="shared" ref="BD81:BD100" si="96">VLOOKUP($AU81,AllHabsSummaryData,30,FALSE)</f>
        <v>0</v>
      </c>
      <c r="BE81" s="494">
        <f t="shared" ref="BE81:BE89" si="97">BB81+BD81</f>
        <v>0</v>
      </c>
      <c r="BF81" s="494" t="str">
        <f t="shared" ref="BF81:BF89" si="98">IF(BE81&lt;0,BE81,"")</f>
        <v/>
      </c>
    </row>
    <row r="82" spans="1:58" x14ac:dyDescent="0.25">
      <c r="A82" s="104" t="str">
        <f>'G-1 All Habitats'!B81</f>
        <v>Wetland - Lowland raised bog</v>
      </c>
      <c r="B82" s="88" t="str">
        <f>'G-1 All Habitats'!F81</f>
        <v>Wetland</v>
      </c>
      <c r="C82" s="88" t="str">
        <f>'G-1 All Habitats'!K81</f>
        <v>V.High</v>
      </c>
      <c r="D82" s="88" t="str">
        <f>'G-1 All Habitats'!M81</f>
        <v>Bespoke compensation likely to be required 🛠</v>
      </c>
      <c r="E82" s="494">
        <f>IF(C82="V.High",SUMIF('A-1 Site Habitat Baseline'!$G$11:$G$258,'G-2 Habitat groups'!A82,'A-1 Site Habitat Baseline'!$S$11:$S$258)+SUMIF('A-1 Site Habitat Baseline'!$G$11:$G$258,'G-2 Habitat groups'!A82,'A-1 Site Habitat Baseline'!$T$11:$T$258),SUMIF('A-1 Site Habitat Baseline'!$G$11:$G$258,'G-2 Habitat groups'!A82,'A-1 Site Habitat Baseline'!$H$11:$H$258))</f>
        <v>0</v>
      </c>
      <c r="F82" s="494">
        <f>SUMIF('A-1 Site Habitat Baseline'!$G$11:$G$258,'G-2 Habitat groups'!A82,'A-1 Site Habitat Baseline'!$Q$11:$Q$258)</f>
        <v>0</v>
      </c>
      <c r="G82" s="494">
        <f>SUMIF('A-1 Site Habitat Baseline'!$G$11:$G$258,'G-2 Habitat groups'!A82,'A-1 Site Habitat Baseline'!$S$11:$S$258)</f>
        <v>0</v>
      </c>
      <c r="H82" s="494">
        <f>SUMIF('A-1 Site Habitat Baseline'!$G$11:$G$258,'G-2 Habitat groups'!A82,'A-1 Site Habitat Baseline'!$U$11:$U$258)</f>
        <v>0</v>
      </c>
      <c r="I82" s="494">
        <f>SUMIF('A-1 Site Habitat Baseline'!$G$11:$G$258,'G-2 Habitat groups'!A82,'A-1 Site Habitat Baseline'!$W$11:$W$258)</f>
        <v>0</v>
      </c>
      <c r="J82" s="494">
        <f>SUMIF('A-1 Site Habitat Baseline'!$G$11:$G$258,'G-2 Habitat groups'!A82,'A-1 Site Habitat Baseline'!$X$11:$X$258)</f>
        <v>0</v>
      </c>
      <c r="K82" s="494">
        <f>SUMIF('A-2 Site Habitat Creation'!$F$11:$F$256,'G-2 Habitat groups'!A82,'A-2 Site Habitat Creation'!$G$11:$G$256)</f>
        <v>0</v>
      </c>
      <c r="L82" s="494">
        <f>SUMIF('A-2 Site Habitat Creation'!$F$11:$F$256,'G-2 Habitat groups'!A82,'A-2 Site Habitat Creation'!$Y$11:$Y$256)</f>
        <v>0</v>
      </c>
      <c r="M82" s="494">
        <f>SUMIF('A-3 Site Habitat Enhancement'!$S$12:$S$257,'G-2 Habitat groups'!A82,'A-3 Site Habitat Enhancement'!$V$12:$V$257)</f>
        <v>0</v>
      </c>
      <c r="N82" s="494">
        <f>SUMIF('A-3 Site Habitat Enhancement'!$S$12:$S$257,'G-2 Habitat groups'!A82,'A-3 Site Habitat Enhancement'!$AN$12:$AN$257)</f>
        <v>0</v>
      </c>
      <c r="O82" s="494">
        <f t="shared" si="63"/>
        <v>0</v>
      </c>
      <c r="P82" s="494">
        <f t="shared" si="64"/>
        <v>0</v>
      </c>
      <c r="Q82" s="494">
        <f t="shared" si="65"/>
        <v>0</v>
      </c>
      <c r="R82" s="494">
        <f t="shared" si="66"/>
        <v>0</v>
      </c>
      <c r="S82" s="494">
        <f>IF(C82="V.High",SUMIF('D-1 Off Site Habitat Baseline'!$G$11:$G$258,'G-2 Habitat groups'!A82,'D-1 Off Site Habitat Baseline'!$S$11:$S$258)+SUMIF('D-1 Off Site Habitat Baseline'!$G$11:$G$258,'G-2 Habitat groups'!A82,'D-1 Off Site Habitat Baseline'!$T$11:$T$258),SUMIF('D-1 Off Site Habitat Baseline'!$G$11:$G$258,'G-2 Habitat groups'!A82,'D-1 Off Site Habitat Baseline'!$H$11:$H$258))</f>
        <v>0</v>
      </c>
      <c r="T82" s="494">
        <f>SUMIF('D-1 Off Site Habitat Baseline'!$G$11:$G$258,'G-2 Habitat groups'!A82,'D-1 Off Site Habitat Baseline'!$Q$11:$Q$258)</f>
        <v>0</v>
      </c>
      <c r="U82" s="591">
        <f>SUMIF('D-1 Off Site Habitat Baseline'!$G$11:$G$258,'G-2 Habitat groups'!A82,'D-1 Off Site Habitat Baseline'!$S$11:$S$258)</f>
        <v>0</v>
      </c>
      <c r="V82" s="494">
        <f>SUMIF('D-1 Off Site Habitat Baseline'!$G$11:$G$258,'G-2 Habitat groups'!A82,'D-1 Off Site Habitat Baseline'!$U$11:$U$258)</f>
        <v>0</v>
      </c>
      <c r="W82" s="494">
        <f>SUMIF('D-2 Off Site Habitat Creation'!$F$9:$F$255,'G-2 Habitat groups'!A82,'D-2 Off Site Habitat Creation'!$G$9:$G$255)</f>
        <v>0</v>
      </c>
      <c r="X82" s="494">
        <f>SUMIF('D-2 Off Site Habitat Creation'!$F$9:$F$255,'G-2 Habitat groups'!A82,'D-2 Off Site Habitat Creation'!$AA$9:$AA$255)</f>
        <v>0</v>
      </c>
      <c r="Y82" s="494">
        <f>SUMIF('D-3 Off Site Habitat Enhancment'!$S$12:$S$491,'G-2 Habitat groups'!A82,'D-3 Off Site Habitat Enhancment'!$V$12:$V$491)</f>
        <v>0</v>
      </c>
      <c r="Z82" s="494">
        <f>SUMIF('D-3 Off Site Habitat Enhancment'!$S$12:$S$491,'G-2 Habitat groups'!A82,'D-3 Off Site Habitat Enhancment'!$AP$12:$AP$491)</f>
        <v>0</v>
      </c>
      <c r="AA82" s="494">
        <f t="shared" si="67"/>
        <v>0</v>
      </c>
      <c r="AB82" s="494">
        <f t="shared" si="68"/>
        <v>0</v>
      </c>
      <c r="AC82" s="494">
        <f t="shared" si="69"/>
        <v>0</v>
      </c>
      <c r="AD82" s="494">
        <f t="shared" si="70"/>
        <v>0</v>
      </c>
      <c r="AE82" s="494">
        <f t="shared" si="71"/>
        <v>0</v>
      </c>
      <c r="AF82" s="494">
        <f t="shared" si="72"/>
        <v>0</v>
      </c>
      <c r="AU82" s="104" t="s">
        <v>456</v>
      </c>
      <c r="AV82" s="88" t="s">
        <v>70</v>
      </c>
      <c r="AW82" s="494">
        <f t="shared" si="89"/>
        <v>0</v>
      </c>
      <c r="AX82" s="494">
        <f t="shared" si="90"/>
        <v>0</v>
      </c>
      <c r="AY82" s="494">
        <f t="shared" si="91"/>
        <v>9.7100000000000006E-2</v>
      </c>
      <c r="AZ82" s="494">
        <f t="shared" si="92"/>
        <v>0.747555814819992</v>
      </c>
      <c r="BA82" s="494">
        <f t="shared" si="93"/>
        <v>9.7100000000000006E-2</v>
      </c>
      <c r="BB82" s="494">
        <f t="shared" si="94"/>
        <v>0.747555814819992</v>
      </c>
      <c r="BC82" s="494">
        <f t="shared" si="95"/>
        <v>0</v>
      </c>
      <c r="BD82" s="494">
        <f t="shared" si="96"/>
        <v>0</v>
      </c>
      <c r="BE82" s="494">
        <f t="shared" si="97"/>
        <v>0.747555814819992</v>
      </c>
      <c r="BF82" s="494" t="str">
        <f t="shared" si="98"/>
        <v/>
      </c>
    </row>
    <row r="83" spans="1:58" x14ac:dyDescent="0.25">
      <c r="A83" s="104" t="str">
        <f>'G-1 All Habitats'!B82</f>
        <v>Wetland - Oceanic Valley Mire[1] (D2.1)</v>
      </c>
      <c r="B83" s="88" t="str">
        <f>'G-1 All Habitats'!F82</f>
        <v>Wetland</v>
      </c>
      <c r="C83" s="88" t="str">
        <f>'G-1 All Habitats'!K82</f>
        <v>V.High</v>
      </c>
      <c r="D83" s="88" t="str">
        <f>'G-1 All Habitats'!M82</f>
        <v>Bespoke compensation likely to be required 🛠</v>
      </c>
      <c r="E83" s="494">
        <f>IF(C83="V.High",SUMIF('A-1 Site Habitat Baseline'!$G$11:$G$258,'G-2 Habitat groups'!A83,'A-1 Site Habitat Baseline'!$S$11:$S$258)+SUMIF('A-1 Site Habitat Baseline'!$G$11:$G$258,'G-2 Habitat groups'!A83,'A-1 Site Habitat Baseline'!$T$11:$T$258),SUMIF('A-1 Site Habitat Baseline'!$G$11:$G$258,'G-2 Habitat groups'!A83,'A-1 Site Habitat Baseline'!$H$11:$H$258))</f>
        <v>0</v>
      </c>
      <c r="F83" s="494">
        <f>SUMIF('A-1 Site Habitat Baseline'!$G$11:$G$258,'G-2 Habitat groups'!A83,'A-1 Site Habitat Baseline'!$Q$11:$Q$258)</f>
        <v>0</v>
      </c>
      <c r="G83" s="494">
        <f>SUMIF('A-1 Site Habitat Baseline'!$G$11:$G$258,'G-2 Habitat groups'!A83,'A-1 Site Habitat Baseline'!$S$11:$S$258)</f>
        <v>0</v>
      </c>
      <c r="H83" s="494">
        <f>SUMIF('A-1 Site Habitat Baseline'!$G$11:$G$258,'G-2 Habitat groups'!A83,'A-1 Site Habitat Baseline'!$U$11:$U$258)</f>
        <v>0</v>
      </c>
      <c r="I83" s="494">
        <f>SUMIF('A-1 Site Habitat Baseline'!$G$11:$G$258,'G-2 Habitat groups'!A83,'A-1 Site Habitat Baseline'!$W$11:$W$258)</f>
        <v>0</v>
      </c>
      <c r="J83" s="494">
        <f>SUMIF('A-1 Site Habitat Baseline'!$G$11:$G$258,'G-2 Habitat groups'!A83,'A-1 Site Habitat Baseline'!$X$11:$X$258)</f>
        <v>0</v>
      </c>
      <c r="K83" s="494">
        <f>SUMIF('A-2 Site Habitat Creation'!$F$11:$F$256,'G-2 Habitat groups'!A83,'A-2 Site Habitat Creation'!$G$11:$G$256)</f>
        <v>0</v>
      </c>
      <c r="L83" s="494">
        <f>SUMIF('A-2 Site Habitat Creation'!$F$11:$F$256,'G-2 Habitat groups'!A83,'A-2 Site Habitat Creation'!$Y$11:$Y$256)</f>
        <v>0</v>
      </c>
      <c r="M83" s="494">
        <f>SUMIF('A-3 Site Habitat Enhancement'!$S$12:$S$257,'G-2 Habitat groups'!A83,'A-3 Site Habitat Enhancement'!$V$12:$V$257)</f>
        <v>0</v>
      </c>
      <c r="N83" s="494">
        <f>SUMIF('A-3 Site Habitat Enhancement'!$S$12:$S$257,'G-2 Habitat groups'!A83,'A-3 Site Habitat Enhancement'!$AN$12:$AN$257)</f>
        <v>0</v>
      </c>
      <c r="O83" s="494">
        <f t="shared" si="63"/>
        <v>0</v>
      </c>
      <c r="P83" s="494">
        <f t="shared" si="64"/>
        <v>0</v>
      </c>
      <c r="Q83" s="494">
        <f t="shared" si="65"/>
        <v>0</v>
      </c>
      <c r="R83" s="494">
        <f t="shared" si="66"/>
        <v>0</v>
      </c>
      <c r="S83" s="494">
        <f>IF(C83="V.High",SUMIF('D-1 Off Site Habitat Baseline'!$G$11:$G$258,'G-2 Habitat groups'!A83,'D-1 Off Site Habitat Baseline'!$S$11:$S$258)+SUMIF('D-1 Off Site Habitat Baseline'!$G$11:$G$258,'G-2 Habitat groups'!A83,'D-1 Off Site Habitat Baseline'!$T$11:$T$258),SUMIF('D-1 Off Site Habitat Baseline'!$G$11:$G$258,'G-2 Habitat groups'!A83,'D-1 Off Site Habitat Baseline'!$H$11:$H$258))</f>
        <v>0</v>
      </c>
      <c r="T83" s="494">
        <f>SUMIF('D-1 Off Site Habitat Baseline'!$G$11:$G$258,'G-2 Habitat groups'!A83,'D-1 Off Site Habitat Baseline'!$Q$11:$Q$258)</f>
        <v>0</v>
      </c>
      <c r="U83" s="591">
        <f>SUMIF('D-1 Off Site Habitat Baseline'!$G$11:$G$258,'G-2 Habitat groups'!A83,'D-1 Off Site Habitat Baseline'!$S$11:$S$258)</f>
        <v>0</v>
      </c>
      <c r="V83" s="494">
        <f>SUMIF('D-1 Off Site Habitat Baseline'!$G$11:$G$258,'G-2 Habitat groups'!A83,'D-1 Off Site Habitat Baseline'!$U$11:$U$258)</f>
        <v>0</v>
      </c>
      <c r="W83" s="494">
        <f>SUMIF('D-2 Off Site Habitat Creation'!$F$9:$F$255,'G-2 Habitat groups'!A83,'D-2 Off Site Habitat Creation'!$G$9:$G$255)</f>
        <v>0</v>
      </c>
      <c r="X83" s="494">
        <f>SUMIF('D-2 Off Site Habitat Creation'!$F$9:$F$255,'G-2 Habitat groups'!A83,'D-2 Off Site Habitat Creation'!$AA$9:$AA$255)</f>
        <v>0</v>
      </c>
      <c r="Y83" s="494">
        <f>SUMIF('D-3 Off Site Habitat Enhancment'!$S$12:$S$491,'G-2 Habitat groups'!A83,'D-3 Off Site Habitat Enhancment'!$V$12:$V$491)</f>
        <v>0</v>
      </c>
      <c r="Z83" s="494">
        <f>SUMIF('D-3 Off Site Habitat Enhancment'!$S$12:$S$491,'G-2 Habitat groups'!A83,'D-3 Off Site Habitat Enhancment'!$AP$12:$AP$491)</f>
        <v>0</v>
      </c>
      <c r="AA83" s="494">
        <f t="shared" si="67"/>
        <v>0</v>
      </c>
      <c r="AB83" s="494">
        <f t="shared" si="68"/>
        <v>0</v>
      </c>
      <c r="AC83" s="494">
        <f t="shared" si="69"/>
        <v>0</v>
      </c>
      <c r="AD83" s="494">
        <f t="shared" si="70"/>
        <v>0</v>
      </c>
      <c r="AE83" s="494">
        <f t="shared" si="71"/>
        <v>0</v>
      </c>
      <c r="AF83" s="494">
        <f t="shared" si="72"/>
        <v>0</v>
      </c>
      <c r="AU83" s="104" t="s">
        <v>464</v>
      </c>
      <c r="AV83" s="88" t="s">
        <v>70</v>
      </c>
      <c r="AW83" s="494">
        <f t="shared" si="89"/>
        <v>0</v>
      </c>
      <c r="AX83" s="494">
        <f t="shared" si="90"/>
        <v>0</v>
      </c>
      <c r="AY83" s="494">
        <f t="shared" si="91"/>
        <v>0</v>
      </c>
      <c r="AZ83" s="494">
        <f t="shared" si="92"/>
        <v>0</v>
      </c>
      <c r="BA83" s="494">
        <f t="shared" si="93"/>
        <v>0</v>
      </c>
      <c r="BB83" s="494">
        <f t="shared" si="94"/>
        <v>0</v>
      </c>
      <c r="BC83" s="494">
        <f t="shared" si="95"/>
        <v>0</v>
      </c>
      <c r="BD83" s="494">
        <f t="shared" si="96"/>
        <v>0</v>
      </c>
      <c r="BE83" s="494">
        <f t="shared" si="97"/>
        <v>0</v>
      </c>
      <c r="BF83" s="494" t="str">
        <f t="shared" si="98"/>
        <v/>
      </c>
    </row>
    <row r="84" spans="1:58" x14ac:dyDescent="0.25">
      <c r="A84" s="104" t="str">
        <f>'G-1 All Habitats'!B83</f>
        <v>Wetland - Purple moor grass and rush pastures</v>
      </c>
      <c r="B84" s="88" t="str">
        <f>'G-1 All Habitats'!F83</f>
        <v>Wetland</v>
      </c>
      <c r="C84" s="88" t="str">
        <f>'G-1 All Habitats'!K83</f>
        <v>V.High</v>
      </c>
      <c r="D84" s="88" t="str">
        <f>'G-1 All Habitats'!M83</f>
        <v>Bespoke compensation likely to be required 🛠</v>
      </c>
      <c r="E84" s="494">
        <f>IF(C84="V.High",SUMIF('A-1 Site Habitat Baseline'!$G$11:$G$258,'G-2 Habitat groups'!A84,'A-1 Site Habitat Baseline'!$S$11:$S$258)+SUMIF('A-1 Site Habitat Baseline'!$G$11:$G$258,'G-2 Habitat groups'!A84,'A-1 Site Habitat Baseline'!$T$11:$T$258),SUMIF('A-1 Site Habitat Baseline'!$G$11:$G$258,'G-2 Habitat groups'!A84,'A-1 Site Habitat Baseline'!$H$11:$H$258))</f>
        <v>0</v>
      </c>
      <c r="F84" s="494">
        <f>SUMIF('A-1 Site Habitat Baseline'!$G$11:$G$258,'G-2 Habitat groups'!A84,'A-1 Site Habitat Baseline'!$Q$11:$Q$258)</f>
        <v>0</v>
      </c>
      <c r="G84" s="494">
        <f>SUMIF('A-1 Site Habitat Baseline'!$G$11:$G$258,'G-2 Habitat groups'!A84,'A-1 Site Habitat Baseline'!$S$11:$S$258)</f>
        <v>0</v>
      </c>
      <c r="H84" s="494">
        <f>SUMIF('A-1 Site Habitat Baseline'!$G$11:$G$258,'G-2 Habitat groups'!A84,'A-1 Site Habitat Baseline'!$U$11:$U$258)</f>
        <v>0</v>
      </c>
      <c r="I84" s="494">
        <f>SUMIF('A-1 Site Habitat Baseline'!$G$11:$G$258,'G-2 Habitat groups'!A84,'A-1 Site Habitat Baseline'!$W$11:$W$258)</f>
        <v>0</v>
      </c>
      <c r="J84" s="494">
        <f>SUMIF('A-1 Site Habitat Baseline'!$G$11:$G$258,'G-2 Habitat groups'!A84,'A-1 Site Habitat Baseline'!$X$11:$X$258)</f>
        <v>0</v>
      </c>
      <c r="K84" s="494">
        <f>SUMIF('A-2 Site Habitat Creation'!$F$11:$F$256,'G-2 Habitat groups'!A84,'A-2 Site Habitat Creation'!$G$11:$G$256)</f>
        <v>0</v>
      </c>
      <c r="L84" s="494">
        <f>SUMIF('A-2 Site Habitat Creation'!$F$11:$F$256,'G-2 Habitat groups'!A84,'A-2 Site Habitat Creation'!$Y$11:$Y$256)</f>
        <v>0</v>
      </c>
      <c r="M84" s="494">
        <f>SUMIF('A-3 Site Habitat Enhancement'!$S$12:$S$257,'G-2 Habitat groups'!A84,'A-3 Site Habitat Enhancement'!$V$12:$V$257)</f>
        <v>0</v>
      </c>
      <c r="N84" s="494">
        <f>SUMIF('A-3 Site Habitat Enhancement'!$S$12:$S$257,'G-2 Habitat groups'!A84,'A-3 Site Habitat Enhancement'!$AN$12:$AN$257)</f>
        <v>0</v>
      </c>
      <c r="O84" s="494">
        <f t="shared" si="63"/>
        <v>0</v>
      </c>
      <c r="P84" s="494">
        <f t="shared" si="64"/>
        <v>0</v>
      </c>
      <c r="Q84" s="494">
        <f t="shared" si="65"/>
        <v>0</v>
      </c>
      <c r="R84" s="494">
        <f t="shared" si="66"/>
        <v>0</v>
      </c>
      <c r="S84" s="494">
        <f>IF(C84="V.High",SUMIF('D-1 Off Site Habitat Baseline'!$G$11:$G$258,'G-2 Habitat groups'!A84,'D-1 Off Site Habitat Baseline'!$S$11:$S$258)+SUMIF('D-1 Off Site Habitat Baseline'!$G$11:$G$258,'G-2 Habitat groups'!A84,'D-1 Off Site Habitat Baseline'!$T$11:$T$258),SUMIF('D-1 Off Site Habitat Baseline'!$G$11:$G$258,'G-2 Habitat groups'!A84,'D-1 Off Site Habitat Baseline'!$H$11:$H$258))</f>
        <v>0</v>
      </c>
      <c r="T84" s="494">
        <f>SUMIF('D-1 Off Site Habitat Baseline'!$G$11:$G$258,'G-2 Habitat groups'!A84,'D-1 Off Site Habitat Baseline'!$Q$11:$Q$258)</f>
        <v>0</v>
      </c>
      <c r="U84" s="591">
        <f>SUMIF('D-1 Off Site Habitat Baseline'!$G$11:$G$258,'G-2 Habitat groups'!A84,'D-1 Off Site Habitat Baseline'!$S$11:$S$258)</f>
        <v>0</v>
      </c>
      <c r="V84" s="494">
        <f>SUMIF('D-1 Off Site Habitat Baseline'!$G$11:$G$258,'G-2 Habitat groups'!A84,'D-1 Off Site Habitat Baseline'!$U$11:$U$258)</f>
        <v>0</v>
      </c>
      <c r="W84" s="494">
        <f>SUMIF('D-2 Off Site Habitat Creation'!$F$9:$F$255,'G-2 Habitat groups'!A84,'D-2 Off Site Habitat Creation'!$G$9:$G$255)</f>
        <v>0</v>
      </c>
      <c r="X84" s="494">
        <f>SUMIF('D-2 Off Site Habitat Creation'!$F$9:$F$255,'G-2 Habitat groups'!A84,'D-2 Off Site Habitat Creation'!$AA$9:$AA$255)</f>
        <v>0</v>
      </c>
      <c r="Y84" s="494">
        <f>SUMIF('D-3 Off Site Habitat Enhancment'!$S$12:$S$491,'G-2 Habitat groups'!A84,'D-3 Off Site Habitat Enhancment'!$V$12:$V$491)</f>
        <v>0</v>
      </c>
      <c r="Z84" s="494">
        <f>SUMIF('D-3 Off Site Habitat Enhancment'!$S$12:$S$491,'G-2 Habitat groups'!A84,'D-3 Off Site Habitat Enhancment'!$AP$12:$AP$491)</f>
        <v>0</v>
      </c>
      <c r="AA84" s="494">
        <f t="shared" si="67"/>
        <v>0</v>
      </c>
      <c r="AB84" s="494">
        <f t="shared" si="68"/>
        <v>0</v>
      </c>
      <c r="AC84" s="494">
        <f t="shared" si="69"/>
        <v>0</v>
      </c>
      <c r="AD84" s="494">
        <f t="shared" si="70"/>
        <v>0</v>
      </c>
      <c r="AE84" s="494">
        <f t="shared" si="71"/>
        <v>0</v>
      </c>
      <c r="AF84" s="494">
        <f t="shared" si="72"/>
        <v>0</v>
      </c>
      <c r="AU84" s="104" t="s">
        <v>473</v>
      </c>
      <c r="AV84" s="88" t="s">
        <v>71</v>
      </c>
      <c r="AW84" s="494">
        <f t="shared" si="89"/>
        <v>0</v>
      </c>
      <c r="AX84" s="494">
        <f t="shared" si="90"/>
        <v>0</v>
      </c>
      <c r="AY84" s="494">
        <f t="shared" si="91"/>
        <v>0</v>
      </c>
      <c r="AZ84" s="494">
        <f t="shared" si="92"/>
        <v>0</v>
      </c>
      <c r="BA84" s="494">
        <f t="shared" si="93"/>
        <v>0</v>
      </c>
      <c r="BB84" s="494">
        <f t="shared" si="94"/>
        <v>0</v>
      </c>
      <c r="BC84" s="494">
        <f t="shared" si="95"/>
        <v>0</v>
      </c>
      <c r="BD84" s="494">
        <f t="shared" si="96"/>
        <v>0</v>
      </c>
      <c r="BE84" s="494">
        <f t="shared" si="97"/>
        <v>0</v>
      </c>
      <c r="BF84" s="494" t="str">
        <f t="shared" si="98"/>
        <v/>
      </c>
    </row>
    <row r="85" spans="1:58" x14ac:dyDescent="0.25">
      <c r="A85" s="104" t="str">
        <f>'G-1 All Habitats'!B84</f>
        <v>Wetland - Reedbeds</v>
      </c>
      <c r="B85" s="88" t="str">
        <f>'G-1 All Habitats'!F84</f>
        <v>Wetland</v>
      </c>
      <c r="C85" s="88" t="str">
        <f>'G-1 All Habitats'!K84</f>
        <v>High</v>
      </c>
      <c r="D85" s="88" t="str">
        <f>'G-1 All Habitats'!M84</f>
        <v>Same habitat required =</v>
      </c>
      <c r="E85" s="494">
        <f>IF(C85="V.High",SUMIF('A-1 Site Habitat Baseline'!$G$11:$G$258,'G-2 Habitat groups'!A85,'A-1 Site Habitat Baseline'!$S$11:$S$258)+SUMIF('A-1 Site Habitat Baseline'!$G$11:$G$258,'G-2 Habitat groups'!A85,'A-1 Site Habitat Baseline'!$T$11:$T$258),SUMIF('A-1 Site Habitat Baseline'!$G$11:$G$258,'G-2 Habitat groups'!A85,'A-1 Site Habitat Baseline'!$H$11:$H$258))</f>
        <v>0</v>
      </c>
      <c r="F85" s="494">
        <f>SUMIF('A-1 Site Habitat Baseline'!$G$11:$G$258,'G-2 Habitat groups'!A85,'A-1 Site Habitat Baseline'!$Q$11:$Q$258)</f>
        <v>0</v>
      </c>
      <c r="G85" s="494">
        <f>SUMIF('A-1 Site Habitat Baseline'!$G$11:$G$258,'G-2 Habitat groups'!A85,'A-1 Site Habitat Baseline'!$S$11:$S$258)</f>
        <v>0</v>
      </c>
      <c r="H85" s="494">
        <f>SUMIF('A-1 Site Habitat Baseline'!$G$11:$G$258,'G-2 Habitat groups'!A85,'A-1 Site Habitat Baseline'!$U$11:$U$258)</f>
        <v>0</v>
      </c>
      <c r="I85" s="494">
        <f>SUMIF('A-1 Site Habitat Baseline'!$G$11:$G$258,'G-2 Habitat groups'!A85,'A-1 Site Habitat Baseline'!$W$11:$W$258)</f>
        <v>0</v>
      </c>
      <c r="J85" s="494">
        <f>SUMIF('A-1 Site Habitat Baseline'!$G$11:$G$258,'G-2 Habitat groups'!A85,'A-1 Site Habitat Baseline'!$X$11:$X$258)</f>
        <v>0</v>
      </c>
      <c r="K85" s="494">
        <f>SUMIF('A-2 Site Habitat Creation'!$F$11:$F$256,'G-2 Habitat groups'!A85,'A-2 Site Habitat Creation'!$G$11:$G$256)</f>
        <v>0</v>
      </c>
      <c r="L85" s="494">
        <f>SUMIF('A-2 Site Habitat Creation'!$F$11:$F$256,'G-2 Habitat groups'!A85,'A-2 Site Habitat Creation'!$Y$11:$Y$256)</f>
        <v>0</v>
      </c>
      <c r="M85" s="494">
        <f>SUMIF('A-3 Site Habitat Enhancement'!$S$12:$S$257,'G-2 Habitat groups'!A85,'A-3 Site Habitat Enhancement'!$V$12:$V$257)</f>
        <v>0</v>
      </c>
      <c r="N85" s="494">
        <f>SUMIF('A-3 Site Habitat Enhancement'!$S$12:$S$257,'G-2 Habitat groups'!A85,'A-3 Site Habitat Enhancement'!$AN$12:$AN$257)</f>
        <v>0</v>
      </c>
      <c r="O85" s="494">
        <f t="shared" si="63"/>
        <v>0</v>
      </c>
      <c r="P85" s="494">
        <f t="shared" si="64"/>
        <v>0</v>
      </c>
      <c r="Q85" s="494">
        <f t="shared" si="65"/>
        <v>0</v>
      </c>
      <c r="R85" s="494">
        <f t="shared" si="66"/>
        <v>0</v>
      </c>
      <c r="S85" s="494">
        <f>IF(C85="V.High",SUMIF('D-1 Off Site Habitat Baseline'!$G$11:$G$258,'G-2 Habitat groups'!A85,'D-1 Off Site Habitat Baseline'!$S$11:$S$258)+SUMIF('D-1 Off Site Habitat Baseline'!$G$11:$G$258,'G-2 Habitat groups'!A85,'D-1 Off Site Habitat Baseline'!$T$11:$T$258),SUMIF('D-1 Off Site Habitat Baseline'!$G$11:$G$258,'G-2 Habitat groups'!A85,'D-1 Off Site Habitat Baseline'!$H$11:$H$258))</f>
        <v>0</v>
      </c>
      <c r="T85" s="494">
        <f>SUMIF('D-1 Off Site Habitat Baseline'!$G$11:$G$258,'G-2 Habitat groups'!A85,'D-1 Off Site Habitat Baseline'!$Q$11:$Q$258)</f>
        <v>0</v>
      </c>
      <c r="U85" s="591">
        <f>SUMIF('D-1 Off Site Habitat Baseline'!$G$11:$G$258,'G-2 Habitat groups'!A85,'D-1 Off Site Habitat Baseline'!$S$11:$S$258)</f>
        <v>0</v>
      </c>
      <c r="V85" s="494">
        <f>SUMIF('D-1 Off Site Habitat Baseline'!$G$11:$G$258,'G-2 Habitat groups'!A85,'D-1 Off Site Habitat Baseline'!$U$11:$U$258)</f>
        <v>0</v>
      </c>
      <c r="W85" s="494">
        <f>SUMIF('D-2 Off Site Habitat Creation'!$F$9:$F$255,'G-2 Habitat groups'!A85,'D-2 Off Site Habitat Creation'!$G$9:$G$255)</f>
        <v>0</v>
      </c>
      <c r="X85" s="494">
        <f>SUMIF('D-2 Off Site Habitat Creation'!$F$9:$F$255,'G-2 Habitat groups'!A85,'D-2 Off Site Habitat Creation'!$AA$9:$AA$255)</f>
        <v>0</v>
      </c>
      <c r="Y85" s="494">
        <f>SUMIF('D-3 Off Site Habitat Enhancment'!$S$12:$S$491,'G-2 Habitat groups'!A85,'D-3 Off Site Habitat Enhancment'!$V$12:$V$491)</f>
        <v>0</v>
      </c>
      <c r="Z85" s="494">
        <f>SUMIF('D-3 Off Site Habitat Enhancment'!$S$12:$S$491,'G-2 Habitat groups'!A85,'D-3 Off Site Habitat Enhancment'!$AP$12:$AP$491)</f>
        <v>0</v>
      </c>
      <c r="AA85" s="494">
        <f t="shared" si="67"/>
        <v>0</v>
      </c>
      <c r="AB85" s="494">
        <f t="shared" si="68"/>
        <v>0</v>
      </c>
      <c r="AC85" s="494">
        <f t="shared" si="69"/>
        <v>0</v>
      </c>
      <c r="AD85" s="494">
        <f t="shared" si="70"/>
        <v>0</v>
      </c>
      <c r="AE85" s="494">
        <f t="shared" si="71"/>
        <v>0</v>
      </c>
      <c r="AF85" s="494">
        <f t="shared" si="72"/>
        <v>0</v>
      </c>
      <c r="AU85" s="104" t="s">
        <v>478</v>
      </c>
      <c r="AV85" s="88" t="s">
        <v>71</v>
      </c>
      <c r="AW85" s="494">
        <f t="shared" si="89"/>
        <v>0</v>
      </c>
      <c r="AX85" s="494">
        <f t="shared" si="90"/>
        <v>0</v>
      </c>
      <c r="AY85" s="494">
        <f t="shared" si="91"/>
        <v>0</v>
      </c>
      <c r="AZ85" s="494">
        <f t="shared" si="92"/>
        <v>0</v>
      </c>
      <c r="BA85" s="494">
        <f t="shared" si="93"/>
        <v>0</v>
      </c>
      <c r="BB85" s="494">
        <f t="shared" si="94"/>
        <v>0</v>
      </c>
      <c r="BC85" s="494">
        <f t="shared" si="95"/>
        <v>0</v>
      </c>
      <c r="BD85" s="494">
        <f t="shared" si="96"/>
        <v>0</v>
      </c>
      <c r="BE85" s="494">
        <f t="shared" si="97"/>
        <v>0</v>
      </c>
      <c r="BF85" s="494" t="str">
        <f t="shared" si="98"/>
        <v/>
      </c>
    </row>
    <row r="86" spans="1:58" x14ac:dyDescent="0.25">
      <c r="A86" s="104" t="str">
        <f>'G-1 All Habitats'!B85</f>
        <v>Wetland - Transition mires and quaking bogs (H7140)</v>
      </c>
      <c r="B86" s="88" t="str">
        <f>'G-1 All Habitats'!F85</f>
        <v>Wetland</v>
      </c>
      <c r="C86" s="88" t="str">
        <f>'G-1 All Habitats'!K85</f>
        <v>V.High</v>
      </c>
      <c r="D86" s="88" t="str">
        <f>'G-1 All Habitats'!M85</f>
        <v>Bespoke compensation likely to be required 🛠</v>
      </c>
      <c r="E86" s="494">
        <f>IF(C86="V.High",SUMIF('A-1 Site Habitat Baseline'!$G$11:$G$258,'G-2 Habitat groups'!A86,'A-1 Site Habitat Baseline'!$S$11:$S$258)+SUMIF('A-1 Site Habitat Baseline'!$G$11:$G$258,'G-2 Habitat groups'!A86,'A-1 Site Habitat Baseline'!$T$11:$T$258),SUMIF('A-1 Site Habitat Baseline'!$G$11:$G$258,'G-2 Habitat groups'!A86,'A-1 Site Habitat Baseline'!$H$11:$H$258))</f>
        <v>0</v>
      </c>
      <c r="F86" s="494">
        <f>SUMIF('A-1 Site Habitat Baseline'!$G$11:$G$258,'G-2 Habitat groups'!A86,'A-1 Site Habitat Baseline'!$Q$11:$Q$258)</f>
        <v>0</v>
      </c>
      <c r="G86" s="494">
        <f>SUMIF('A-1 Site Habitat Baseline'!$G$11:$G$258,'G-2 Habitat groups'!A86,'A-1 Site Habitat Baseline'!$S$11:$S$258)</f>
        <v>0</v>
      </c>
      <c r="H86" s="494">
        <f>SUMIF('A-1 Site Habitat Baseline'!$G$11:$G$258,'G-2 Habitat groups'!A86,'A-1 Site Habitat Baseline'!$U$11:$U$258)</f>
        <v>0</v>
      </c>
      <c r="I86" s="494">
        <f>SUMIF('A-1 Site Habitat Baseline'!$G$11:$G$258,'G-2 Habitat groups'!A86,'A-1 Site Habitat Baseline'!$W$11:$W$258)</f>
        <v>0</v>
      </c>
      <c r="J86" s="494">
        <f>SUMIF('A-1 Site Habitat Baseline'!$G$11:$G$258,'G-2 Habitat groups'!A86,'A-1 Site Habitat Baseline'!$X$11:$X$258)</f>
        <v>0</v>
      </c>
      <c r="K86" s="494">
        <f>SUMIF('A-2 Site Habitat Creation'!$F$11:$F$256,'G-2 Habitat groups'!A86,'A-2 Site Habitat Creation'!$G$11:$G$256)</f>
        <v>0</v>
      </c>
      <c r="L86" s="494">
        <f>SUMIF('A-2 Site Habitat Creation'!$F$11:$F$256,'G-2 Habitat groups'!A86,'A-2 Site Habitat Creation'!$Y$11:$Y$256)</f>
        <v>0</v>
      </c>
      <c r="M86" s="494">
        <f>SUMIF('A-3 Site Habitat Enhancement'!$S$12:$S$257,'G-2 Habitat groups'!A86,'A-3 Site Habitat Enhancement'!$V$12:$V$257)</f>
        <v>0</v>
      </c>
      <c r="N86" s="494">
        <f>SUMIF('A-3 Site Habitat Enhancement'!$S$12:$S$257,'G-2 Habitat groups'!A86,'A-3 Site Habitat Enhancement'!$AN$12:$AN$257)</f>
        <v>0</v>
      </c>
      <c r="O86" s="494">
        <f t="shared" si="63"/>
        <v>0</v>
      </c>
      <c r="P86" s="494">
        <f t="shared" si="64"/>
        <v>0</v>
      </c>
      <c r="Q86" s="494">
        <f t="shared" si="65"/>
        <v>0</v>
      </c>
      <c r="R86" s="494">
        <f t="shared" si="66"/>
        <v>0</v>
      </c>
      <c r="S86" s="494">
        <f>IF(C86="V.High",SUMIF('D-1 Off Site Habitat Baseline'!$G$11:$G$258,'G-2 Habitat groups'!A86,'D-1 Off Site Habitat Baseline'!$S$11:$S$258)+SUMIF('D-1 Off Site Habitat Baseline'!$G$11:$G$258,'G-2 Habitat groups'!A86,'D-1 Off Site Habitat Baseline'!$T$11:$T$258),SUMIF('D-1 Off Site Habitat Baseline'!$G$11:$G$258,'G-2 Habitat groups'!A86,'D-1 Off Site Habitat Baseline'!$H$11:$H$258))</f>
        <v>0</v>
      </c>
      <c r="T86" s="494">
        <f>SUMIF('D-1 Off Site Habitat Baseline'!$G$11:$G$258,'G-2 Habitat groups'!A86,'D-1 Off Site Habitat Baseline'!$Q$11:$Q$258)</f>
        <v>0</v>
      </c>
      <c r="U86" s="591">
        <f>SUMIF('D-1 Off Site Habitat Baseline'!$G$11:$G$258,'G-2 Habitat groups'!A86,'D-1 Off Site Habitat Baseline'!$S$11:$S$258)</f>
        <v>0</v>
      </c>
      <c r="V86" s="494">
        <f>SUMIF('D-1 Off Site Habitat Baseline'!$G$11:$G$258,'G-2 Habitat groups'!A86,'D-1 Off Site Habitat Baseline'!$U$11:$U$258)</f>
        <v>0</v>
      </c>
      <c r="W86" s="494">
        <f>SUMIF('D-2 Off Site Habitat Creation'!$F$9:$F$255,'G-2 Habitat groups'!A86,'D-2 Off Site Habitat Creation'!$G$9:$G$255)</f>
        <v>0</v>
      </c>
      <c r="X86" s="494">
        <f>SUMIF('D-2 Off Site Habitat Creation'!$F$9:$F$255,'G-2 Habitat groups'!A86,'D-2 Off Site Habitat Creation'!$AA$9:$AA$255)</f>
        <v>0</v>
      </c>
      <c r="Y86" s="494">
        <f>SUMIF('D-3 Off Site Habitat Enhancment'!$S$12:$S$491,'G-2 Habitat groups'!A86,'D-3 Off Site Habitat Enhancment'!$V$12:$V$491)</f>
        <v>0</v>
      </c>
      <c r="Z86" s="494">
        <f>SUMIF('D-3 Off Site Habitat Enhancment'!$S$12:$S$491,'G-2 Habitat groups'!A86,'D-3 Off Site Habitat Enhancment'!$AP$12:$AP$491)</f>
        <v>0</v>
      </c>
      <c r="AA86" s="494">
        <f t="shared" si="67"/>
        <v>0</v>
      </c>
      <c r="AB86" s="494">
        <f t="shared" si="68"/>
        <v>0</v>
      </c>
      <c r="AC86" s="494">
        <f t="shared" si="69"/>
        <v>0</v>
      </c>
      <c r="AD86" s="494">
        <f t="shared" si="70"/>
        <v>0</v>
      </c>
      <c r="AE86" s="494">
        <f t="shared" si="71"/>
        <v>0</v>
      </c>
      <c r="AF86" s="494">
        <f t="shared" si="72"/>
        <v>0</v>
      </c>
      <c r="AU86" s="104" t="s">
        <v>481</v>
      </c>
      <c r="AV86" s="88" t="s">
        <v>71</v>
      </c>
      <c r="AW86" s="494">
        <f t="shared" si="89"/>
        <v>0</v>
      </c>
      <c r="AX86" s="494">
        <f t="shared" si="90"/>
        <v>0</v>
      </c>
      <c r="AY86" s="494">
        <f t="shared" si="91"/>
        <v>0</v>
      </c>
      <c r="AZ86" s="494">
        <f t="shared" si="92"/>
        <v>0</v>
      </c>
      <c r="BA86" s="494">
        <f t="shared" si="93"/>
        <v>0</v>
      </c>
      <c r="BB86" s="494">
        <f t="shared" si="94"/>
        <v>0</v>
      </c>
      <c r="BC86" s="494">
        <f t="shared" si="95"/>
        <v>0</v>
      </c>
      <c r="BD86" s="494">
        <f t="shared" si="96"/>
        <v>0</v>
      </c>
      <c r="BE86" s="494">
        <f t="shared" si="97"/>
        <v>0</v>
      </c>
      <c r="BF86" s="494" t="str">
        <f t="shared" si="98"/>
        <v/>
      </c>
    </row>
    <row r="87" spans="1:58" x14ac:dyDescent="0.25">
      <c r="A87" s="104" t="str">
        <f>'G-1 All Habitats'!B86</f>
        <v>Woodland and forest - Felled</v>
      </c>
      <c r="B87" s="88" t="str">
        <f>'G-1 All Habitats'!F86</f>
        <v>Woodland and forest</v>
      </c>
      <c r="C87" s="88" t="str">
        <f>'G-1 All Habitats'!K86</f>
        <v>High</v>
      </c>
      <c r="D87" s="88" t="str">
        <f>'G-1 All Habitats'!M86</f>
        <v>Same habitat required =</v>
      </c>
      <c r="E87" s="494">
        <f>IF(C87="V.High",SUMIF('A-1 Site Habitat Baseline'!$G$11:$G$258,'G-2 Habitat groups'!A87,'A-1 Site Habitat Baseline'!$S$11:$S$258)+SUMIF('A-1 Site Habitat Baseline'!$G$11:$G$258,'G-2 Habitat groups'!A87,'A-1 Site Habitat Baseline'!$T$11:$T$258),SUMIF('A-1 Site Habitat Baseline'!$G$11:$G$258,'G-2 Habitat groups'!A87,'A-1 Site Habitat Baseline'!$H$11:$H$258))</f>
        <v>0</v>
      </c>
      <c r="F87" s="494">
        <f>SUMIF('A-1 Site Habitat Baseline'!$G$11:$G$258,'G-2 Habitat groups'!A87,'A-1 Site Habitat Baseline'!$Q$11:$Q$258)</f>
        <v>0</v>
      </c>
      <c r="G87" s="494">
        <f>SUMIF('A-1 Site Habitat Baseline'!$G$11:$G$258,'G-2 Habitat groups'!A87,'A-1 Site Habitat Baseline'!$S$11:$S$258)</f>
        <v>0</v>
      </c>
      <c r="H87" s="494">
        <f>SUMIF('A-1 Site Habitat Baseline'!$G$11:$G$258,'G-2 Habitat groups'!A87,'A-1 Site Habitat Baseline'!$U$11:$U$258)</f>
        <v>0</v>
      </c>
      <c r="I87" s="494">
        <f>SUMIF('A-1 Site Habitat Baseline'!$G$11:$G$258,'G-2 Habitat groups'!A87,'A-1 Site Habitat Baseline'!$W$11:$W$258)</f>
        <v>0</v>
      </c>
      <c r="J87" s="494">
        <f>SUMIF('A-1 Site Habitat Baseline'!$G$11:$G$258,'G-2 Habitat groups'!A87,'A-1 Site Habitat Baseline'!$X$11:$X$258)</f>
        <v>0</v>
      </c>
      <c r="K87" s="494">
        <f>SUMIF('A-2 Site Habitat Creation'!$F$11:$F$256,'G-2 Habitat groups'!A87,'A-2 Site Habitat Creation'!$G$11:$G$256)</f>
        <v>0</v>
      </c>
      <c r="L87" s="494">
        <f>SUMIF('A-2 Site Habitat Creation'!$F$11:$F$256,'G-2 Habitat groups'!A87,'A-2 Site Habitat Creation'!$Y$11:$Y$256)</f>
        <v>0</v>
      </c>
      <c r="M87" s="494">
        <f>SUMIF('A-3 Site Habitat Enhancement'!$S$12:$S$257,'G-2 Habitat groups'!A87,'A-3 Site Habitat Enhancement'!$V$12:$V$257)</f>
        <v>0</v>
      </c>
      <c r="N87" s="494">
        <f>SUMIF('A-3 Site Habitat Enhancement'!$S$12:$S$257,'G-2 Habitat groups'!A87,'A-3 Site Habitat Enhancement'!$AN$12:$AN$257)</f>
        <v>0</v>
      </c>
      <c r="O87" s="494">
        <f t="shared" si="63"/>
        <v>0</v>
      </c>
      <c r="P87" s="494">
        <f t="shared" si="64"/>
        <v>0</v>
      </c>
      <c r="Q87" s="494">
        <f t="shared" si="65"/>
        <v>0</v>
      </c>
      <c r="R87" s="494">
        <f t="shared" si="66"/>
        <v>0</v>
      </c>
      <c r="S87" s="494">
        <f>IF(C87="V.High",SUMIF('D-1 Off Site Habitat Baseline'!$G$11:$G$258,'G-2 Habitat groups'!A87,'D-1 Off Site Habitat Baseline'!$S$11:$S$258)+SUMIF('D-1 Off Site Habitat Baseline'!$G$11:$G$258,'G-2 Habitat groups'!A87,'D-1 Off Site Habitat Baseline'!$T$11:$T$258),SUMIF('D-1 Off Site Habitat Baseline'!$G$11:$G$258,'G-2 Habitat groups'!A87,'D-1 Off Site Habitat Baseline'!$H$11:$H$258))</f>
        <v>0</v>
      </c>
      <c r="T87" s="494">
        <f>SUMIF('D-1 Off Site Habitat Baseline'!$G$11:$G$258,'G-2 Habitat groups'!A87,'D-1 Off Site Habitat Baseline'!$Q$11:$Q$258)</f>
        <v>0</v>
      </c>
      <c r="U87" s="591">
        <f>SUMIF('D-1 Off Site Habitat Baseline'!$G$11:$G$258,'G-2 Habitat groups'!A87,'D-1 Off Site Habitat Baseline'!$S$11:$S$258)</f>
        <v>0</v>
      </c>
      <c r="V87" s="494">
        <f>SUMIF('D-1 Off Site Habitat Baseline'!$G$11:$G$258,'G-2 Habitat groups'!A87,'D-1 Off Site Habitat Baseline'!$U$11:$U$258)</f>
        <v>0</v>
      </c>
      <c r="W87" s="494">
        <f>SUMIF('D-2 Off Site Habitat Creation'!$F$9:$F$255,'G-2 Habitat groups'!A87,'D-2 Off Site Habitat Creation'!$G$9:$G$255)</f>
        <v>0</v>
      </c>
      <c r="X87" s="494">
        <f>SUMIF('D-2 Off Site Habitat Creation'!$F$9:$F$255,'G-2 Habitat groups'!A87,'D-2 Off Site Habitat Creation'!$AA$9:$AA$255)</f>
        <v>0</v>
      </c>
      <c r="Y87" s="494">
        <f>SUMIF('D-3 Off Site Habitat Enhancment'!$S$12:$S$491,'G-2 Habitat groups'!A87,'D-3 Off Site Habitat Enhancment'!$V$12:$V$491)</f>
        <v>0</v>
      </c>
      <c r="Z87" s="494">
        <f>SUMIF('D-3 Off Site Habitat Enhancment'!$S$12:$S$491,'G-2 Habitat groups'!A87,'D-3 Off Site Habitat Enhancment'!$AP$12:$AP$491)</f>
        <v>0</v>
      </c>
      <c r="AA87" s="494">
        <f t="shared" si="67"/>
        <v>0</v>
      </c>
      <c r="AB87" s="494">
        <f t="shared" si="68"/>
        <v>0</v>
      </c>
      <c r="AC87" s="494">
        <f t="shared" si="69"/>
        <v>0</v>
      </c>
      <c r="AD87" s="494">
        <f t="shared" si="70"/>
        <v>0</v>
      </c>
      <c r="AE87" s="494">
        <f t="shared" si="71"/>
        <v>0</v>
      </c>
      <c r="AF87" s="494">
        <f t="shared" si="72"/>
        <v>0</v>
      </c>
      <c r="AU87" s="104" t="s">
        <v>484</v>
      </c>
      <c r="AV87" s="88" t="s">
        <v>71</v>
      </c>
      <c r="AW87" s="494">
        <f t="shared" si="89"/>
        <v>0</v>
      </c>
      <c r="AX87" s="494">
        <f t="shared" si="90"/>
        <v>0</v>
      </c>
      <c r="AY87" s="494">
        <f t="shared" si="91"/>
        <v>0</v>
      </c>
      <c r="AZ87" s="494">
        <f t="shared" si="92"/>
        <v>0</v>
      </c>
      <c r="BA87" s="494">
        <f t="shared" si="93"/>
        <v>0</v>
      </c>
      <c r="BB87" s="494">
        <f t="shared" si="94"/>
        <v>0</v>
      </c>
      <c r="BC87" s="494">
        <f t="shared" si="95"/>
        <v>0</v>
      </c>
      <c r="BD87" s="494">
        <f t="shared" si="96"/>
        <v>0</v>
      </c>
      <c r="BE87" s="494">
        <f t="shared" si="97"/>
        <v>0</v>
      </c>
      <c r="BF87" s="494" t="str">
        <f t="shared" si="98"/>
        <v/>
      </c>
    </row>
    <row r="88" spans="1:58" x14ac:dyDescent="0.25">
      <c r="A88" s="104" t="str">
        <f>'G-1 All Habitats'!B87</f>
        <v>Woodland and forest - Lowland beech and yew woodland</v>
      </c>
      <c r="B88" s="88" t="str">
        <f>'G-1 All Habitats'!F87</f>
        <v>Woodland and forest</v>
      </c>
      <c r="C88" s="88" t="str">
        <f>'G-1 All Habitats'!K87</f>
        <v>High</v>
      </c>
      <c r="D88" s="88" t="str">
        <f>'G-1 All Habitats'!M87</f>
        <v>Same habitat required =</v>
      </c>
      <c r="E88" s="494">
        <f>IF(C88="V.High",SUMIF('A-1 Site Habitat Baseline'!$G$11:$G$258,'G-2 Habitat groups'!A88,'A-1 Site Habitat Baseline'!$S$11:$S$258)+SUMIF('A-1 Site Habitat Baseline'!$G$11:$G$258,'G-2 Habitat groups'!A88,'A-1 Site Habitat Baseline'!$T$11:$T$258),SUMIF('A-1 Site Habitat Baseline'!$G$11:$G$258,'G-2 Habitat groups'!A88,'A-1 Site Habitat Baseline'!$H$11:$H$258))</f>
        <v>0</v>
      </c>
      <c r="F88" s="494">
        <f>SUMIF('A-1 Site Habitat Baseline'!$G$11:$G$258,'G-2 Habitat groups'!A88,'A-1 Site Habitat Baseline'!$Q$11:$Q$258)</f>
        <v>0</v>
      </c>
      <c r="G88" s="494">
        <f>SUMIF('A-1 Site Habitat Baseline'!$G$11:$G$258,'G-2 Habitat groups'!A88,'A-1 Site Habitat Baseline'!$S$11:$S$258)</f>
        <v>0</v>
      </c>
      <c r="H88" s="494">
        <f>SUMIF('A-1 Site Habitat Baseline'!$G$11:$G$258,'G-2 Habitat groups'!A88,'A-1 Site Habitat Baseline'!$U$11:$U$258)</f>
        <v>0</v>
      </c>
      <c r="I88" s="494">
        <f>SUMIF('A-1 Site Habitat Baseline'!$G$11:$G$258,'G-2 Habitat groups'!A88,'A-1 Site Habitat Baseline'!$W$11:$W$258)</f>
        <v>0</v>
      </c>
      <c r="J88" s="494">
        <f>SUMIF('A-1 Site Habitat Baseline'!$G$11:$G$258,'G-2 Habitat groups'!A88,'A-1 Site Habitat Baseline'!$X$11:$X$258)</f>
        <v>0</v>
      </c>
      <c r="K88" s="494">
        <f>SUMIF('A-2 Site Habitat Creation'!$F$11:$F$256,'G-2 Habitat groups'!A88,'A-2 Site Habitat Creation'!$G$11:$G$256)</f>
        <v>0</v>
      </c>
      <c r="L88" s="494">
        <f>SUMIF('A-2 Site Habitat Creation'!$F$11:$F$256,'G-2 Habitat groups'!A88,'A-2 Site Habitat Creation'!$Y$11:$Y$256)</f>
        <v>0</v>
      </c>
      <c r="M88" s="494">
        <f>SUMIF('A-3 Site Habitat Enhancement'!$S$12:$S$257,'G-2 Habitat groups'!A88,'A-3 Site Habitat Enhancement'!$V$12:$V$257)</f>
        <v>0</v>
      </c>
      <c r="N88" s="494">
        <f>SUMIF('A-3 Site Habitat Enhancement'!$S$12:$S$257,'G-2 Habitat groups'!A88,'A-3 Site Habitat Enhancement'!$AN$12:$AN$257)</f>
        <v>0</v>
      </c>
      <c r="O88" s="494">
        <f t="shared" si="63"/>
        <v>0</v>
      </c>
      <c r="P88" s="494">
        <f t="shared" si="64"/>
        <v>0</v>
      </c>
      <c r="Q88" s="494">
        <f t="shared" si="65"/>
        <v>0</v>
      </c>
      <c r="R88" s="494">
        <f t="shared" si="66"/>
        <v>0</v>
      </c>
      <c r="S88" s="494">
        <f>IF(C88="V.High",SUMIF('D-1 Off Site Habitat Baseline'!$G$11:$G$258,'G-2 Habitat groups'!A88,'D-1 Off Site Habitat Baseline'!$S$11:$S$258)+SUMIF('D-1 Off Site Habitat Baseline'!$G$11:$G$258,'G-2 Habitat groups'!A88,'D-1 Off Site Habitat Baseline'!$T$11:$T$258),SUMIF('D-1 Off Site Habitat Baseline'!$G$11:$G$258,'G-2 Habitat groups'!A88,'D-1 Off Site Habitat Baseline'!$H$11:$H$258))</f>
        <v>0</v>
      </c>
      <c r="T88" s="494">
        <f>SUMIF('D-1 Off Site Habitat Baseline'!$G$11:$G$258,'G-2 Habitat groups'!A88,'D-1 Off Site Habitat Baseline'!$Q$11:$Q$258)</f>
        <v>0</v>
      </c>
      <c r="U88" s="591">
        <f>SUMIF('D-1 Off Site Habitat Baseline'!$G$11:$G$258,'G-2 Habitat groups'!A88,'D-1 Off Site Habitat Baseline'!$S$11:$S$258)</f>
        <v>0</v>
      </c>
      <c r="V88" s="494">
        <f>SUMIF('D-1 Off Site Habitat Baseline'!$G$11:$G$258,'G-2 Habitat groups'!A88,'D-1 Off Site Habitat Baseline'!$U$11:$U$258)</f>
        <v>0</v>
      </c>
      <c r="W88" s="494">
        <f>SUMIF('D-2 Off Site Habitat Creation'!$F$9:$F$255,'G-2 Habitat groups'!A88,'D-2 Off Site Habitat Creation'!$G$9:$G$255)</f>
        <v>0</v>
      </c>
      <c r="X88" s="494">
        <f>SUMIF('D-2 Off Site Habitat Creation'!$F$9:$F$255,'G-2 Habitat groups'!A88,'D-2 Off Site Habitat Creation'!$AA$9:$AA$255)</f>
        <v>0</v>
      </c>
      <c r="Y88" s="494">
        <f>SUMIF('D-3 Off Site Habitat Enhancment'!$S$12:$S$491,'G-2 Habitat groups'!A88,'D-3 Off Site Habitat Enhancment'!$V$12:$V$491)</f>
        <v>0</v>
      </c>
      <c r="Z88" s="494">
        <f>SUMIF('D-3 Off Site Habitat Enhancment'!$S$12:$S$491,'G-2 Habitat groups'!A88,'D-3 Off Site Habitat Enhancment'!$AP$12:$AP$491)</f>
        <v>0</v>
      </c>
      <c r="AA88" s="494">
        <f t="shared" si="67"/>
        <v>0</v>
      </c>
      <c r="AB88" s="494">
        <f t="shared" si="68"/>
        <v>0</v>
      </c>
      <c r="AC88" s="494">
        <f t="shared" si="69"/>
        <v>0</v>
      </c>
      <c r="AD88" s="494">
        <f t="shared" si="70"/>
        <v>0</v>
      </c>
      <c r="AE88" s="494">
        <f t="shared" si="71"/>
        <v>0</v>
      </c>
      <c r="AF88" s="494">
        <f t="shared" si="72"/>
        <v>0</v>
      </c>
      <c r="AU88" s="104" t="s">
        <v>487</v>
      </c>
      <c r="AV88" s="88" t="s">
        <v>71</v>
      </c>
      <c r="AW88" s="494">
        <f t="shared" si="89"/>
        <v>0</v>
      </c>
      <c r="AX88" s="494">
        <f t="shared" si="90"/>
        <v>0</v>
      </c>
      <c r="AY88" s="494">
        <f t="shared" si="91"/>
        <v>0</v>
      </c>
      <c r="AZ88" s="494">
        <f t="shared" si="92"/>
        <v>0</v>
      </c>
      <c r="BA88" s="494">
        <f t="shared" si="93"/>
        <v>0</v>
      </c>
      <c r="BB88" s="494">
        <f t="shared" si="94"/>
        <v>0</v>
      </c>
      <c r="BC88" s="494">
        <f t="shared" si="95"/>
        <v>0</v>
      </c>
      <c r="BD88" s="494">
        <f t="shared" si="96"/>
        <v>0</v>
      </c>
      <c r="BE88" s="494">
        <f t="shared" si="97"/>
        <v>0</v>
      </c>
      <c r="BF88" s="494" t="str">
        <f t="shared" si="98"/>
        <v/>
      </c>
    </row>
    <row r="89" spans="1:58" x14ac:dyDescent="0.25">
      <c r="A89" s="104" t="str">
        <f>'G-1 All Habitats'!B88</f>
        <v>Woodland and forest - Lowland mixed deciduous woodland</v>
      </c>
      <c r="B89" s="88" t="str">
        <f>'G-1 All Habitats'!F88</f>
        <v>Woodland and forest</v>
      </c>
      <c r="C89" s="88" t="str">
        <f>'G-1 All Habitats'!K88</f>
        <v>High</v>
      </c>
      <c r="D89" s="88" t="str">
        <f>'G-1 All Habitats'!M88</f>
        <v>Same habitat required =</v>
      </c>
      <c r="E89" s="494">
        <f>IF(C89="V.High",SUMIF('A-1 Site Habitat Baseline'!$G$11:$G$258,'G-2 Habitat groups'!A89,'A-1 Site Habitat Baseline'!$S$11:$S$258)+SUMIF('A-1 Site Habitat Baseline'!$G$11:$G$258,'G-2 Habitat groups'!A89,'A-1 Site Habitat Baseline'!$T$11:$T$258),SUMIF('A-1 Site Habitat Baseline'!$G$11:$G$258,'G-2 Habitat groups'!A89,'A-1 Site Habitat Baseline'!$H$11:$H$258))</f>
        <v>0</v>
      </c>
      <c r="F89" s="494">
        <f>SUMIF('A-1 Site Habitat Baseline'!$G$11:$G$258,'G-2 Habitat groups'!A89,'A-1 Site Habitat Baseline'!$Q$11:$Q$258)</f>
        <v>0</v>
      </c>
      <c r="G89" s="494">
        <f>SUMIF('A-1 Site Habitat Baseline'!$G$11:$G$258,'G-2 Habitat groups'!A89,'A-1 Site Habitat Baseline'!$S$11:$S$258)</f>
        <v>0</v>
      </c>
      <c r="H89" s="494">
        <f>SUMIF('A-1 Site Habitat Baseline'!$G$11:$G$258,'G-2 Habitat groups'!A89,'A-1 Site Habitat Baseline'!$U$11:$U$258)</f>
        <v>0</v>
      </c>
      <c r="I89" s="494">
        <f>SUMIF('A-1 Site Habitat Baseline'!$G$11:$G$258,'G-2 Habitat groups'!A89,'A-1 Site Habitat Baseline'!$W$11:$W$258)</f>
        <v>0</v>
      </c>
      <c r="J89" s="494">
        <f>SUMIF('A-1 Site Habitat Baseline'!$G$11:$G$258,'G-2 Habitat groups'!A89,'A-1 Site Habitat Baseline'!$X$11:$X$258)</f>
        <v>0</v>
      </c>
      <c r="K89" s="494">
        <f>SUMIF('A-2 Site Habitat Creation'!$F$11:$F$256,'G-2 Habitat groups'!A89,'A-2 Site Habitat Creation'!$G$11:$G$256)</f>
        <v>0</v>
      </c>
      <c r="L89" s="494">
        <f>SUMIF('A-2 Site Habitat Creation'!$F$11:$F$256,'G-2 Habitat groups'!A89,'A-2 Site Habitat Creation'!$Y$11:$Y$256)</f>
        <v>0</v>
      </c>
      <c r="M89" s="494">
        <f>SUMIF('A-3 Site Habitat Enhancement'!$S$12:$S$257,'G-2 Habitat groups'!A89,'A-3 Site Habitat Enhancement'!$V$12:$V$257)</f>
        <v>0</v>
      </c>
      <c r="N89" s="494">
        <f>SUMIF('A-3 Site Habitat Enhancement'!$S$12:$S$257,'G-2 Habitat groups'!A89,'A-3 Site Habitat Enhancement'!$AN$12:$AN$257)</f>
        <v>0</v>
      </c>
      <c r="O89" s="494">
        <f t="shared" si="63"/>
        <v>0</v>
      </c>
      <c r="P89" s="494">
        <f t="shared" si="64"/>
        <v>0</v>
      </c>
      <c r="Q89" s="494">
        <f t="shared" si="65"/>
        <v>0</v>
      </c>
      <c r="R89" s="494">
        <f t="shared" si="66"/>
        <v>0</v>
      </c>
      <c r="S89" s="494">
        <f>IF(C89="V.High",SUMIF('D-1 Off Site Habitat Baseline'!$G$11:$G$258,'G-2 Habitat groups'!A89,'D-1 Off Site Habitat Baseline'!$S$11:$S$258)+SUMIF('D-1 Off Site Habitat Baseline'!$G$11:$G$258,'G-2 Habitat groups'!A89,'D-1 Off Site Habitat Baseline'!$T$11:$T$258),SUMIF('D-1 Off Site Habitat Baseline'!$G$11:$G$258,'G-2 Habitat groups'!A89,'D-1 Off Site Habitat Baseline'!$H$11:$H$258))</f>
        <v>0</v>
      </c>
      <c r="T89" s="494">
        <f>SUMIF('D-1 Off Site Habitat Baseline'!$G$11:$G$258,'G-2 Habitat groups'!A89,'D-1 Off Site Habitat Baseline'!$Q$11:$Q$258)</f>
        <v>0</v>
      </c>
      <c r="U89" s="591">
        <f>SUMIF('D-1 Off Site Habitat Baseline'!$G$11:$G$258,'G-2 Habitat groups'!A89,'D-1 Off Site Habitat Baseline'!$S$11:$S$258)</f>
        <v>0</v>
      </c>
      <c r="V89" s="494">
        <f>SUMIF('D-1 Off Site Habitat Baseline'!$G$11:$G$258,'G-2 Habitat groups'!A89,'D-1 Off Site Habitat Baseline'!$U$11:$U$258)</f>
        <v>0</v>
      </c>
      <c r="W89" s="494">
        <f>SUMIF('D-2 Off Site Habitat Creation'!$F$9:$F$255,'G-2 Habitat groups'!A89,'D-2 Off Site Habitat Creation'!$G$9:$G$255)</f>
        <v>0</v>
      </c>
      <c r="X89" s="494">
        <f>SUMIF('D-2 Off Site Habitat Creation'!$F$9:$F$255,'G-2 Habitat groups'!A89,'D-2 Off Site Habitat Creation'!$AA$9:$AA$255)</f>
        <v>0</v>
      </c>
      <c r="Y89" s="494">
        <f>SUMIF('D-3 Off Site Habitat Enhancment'!$S$12:$S$491,'G-2 Habitat groups'!A89,'D-3 Off Site Habitat Enhancment'!$V$12:$V$491)</f>
        <v>0</v>
      </c>
      <c r="Z89" s="494">
        <f>SUMIF('D-3 Off Site Habitat Enhancment'!$S$12:$S$491,'G-2 Habitat groups'!A89,'D-3 Off Site Habitat Enhancment'!$AP$12:$AP$491)</f>
        <v>0</v>
      </c>
      <c r="AA89" s="494">
        <f t="shared" si="67"/>
        <v>0</v>
      </c>
      <c r="AB89" s="494">
        <f t="shared" si="68"/>
        <v>0</v>
      </c>
      <c r="AC89" s="494">
        <f t="shared" si="69"/>
        <v>0</v>
      </c>
      <c r="AD89" s="494">
        <f t="shared" si="70"/>
        <v>0</v>
      </c>
      <c r="AE89" s="494">
        <f t="shared" si="71"/>
        <v>0</v>
      </c>
      <c r="AF89" s="494">
        <f t="shared" si="72"/>
        <v>0</v>
      </c>
      <c r="AU89" s="104" t="s">
        <v>496</v>
      </c>
      <c r="AV89" s="88" t="s">
        <v>71</v>
      </c>
      <c r="AW89" s="494">
        <f t="shared" si="89"/>
        <v>0.2011</v>
      </c>
      <c r="AX89" s="494">
        <f t="shared" si="90"/>
        <v>1.3875899999999999</v>
      </c>
      <c r="AY89" s="494">
        <f t="shared" si="91"/>
        <v>9.4899999999999998E-2</v>
      </c>
      <c r="AZ89" s="494">
        <f t="shared" si="92"/>
        <v>0.73061840191984795</v>
      </c>
      <c r="BA89" s="494">
        <f t="shared" si="93"/>
        <v>-0.1062</v>
      </c>
      <c r="BB89" s="494">
        <f t="shared" si="94"/>
        <v>-0.65697159808015193</v>
      </c>
      <c r="BC89" s="494">
        <f t="shared" si="95"/>
        <v>0</v>
      </c>
      <c r="BD89" s="494">
        <f t="shared" si="96"/>
        <v>0</v>
      </c>
      <c r="BE89" s="494">
        <f t="shared" si="97"/>
        <v>-0.65697159808015193</v>
      </c>
      <c r="BF89" s="494">
        <f t="shared" si="98"/>
        <v>-0.65697159808015193</v>
      </c>
    </row>
    <row r="90" spans="1:58" x14ac:dyDescent="0.25">
      <c r="A90" s="104" t="str">
        <f>'G-1 All Habitats'!B89</f>
        <v>Woodland and forest - Native pine woodlands</v>
      </c>
      <c r="B90" s="88" t="str">
        <f>'G-1 All Habitats'!F89</f>
        <v>Woodland and forest</v>
      </c>
      <c r="C90" s="88" t="str">
        <f>'G-1 All Habitats'!K89</f>
        <v>High</v>
      </c>
      <c r="D90" s="88" t="str">
        <f>'G-1 All Habitats'!M89</f>
        <v>Same habitat required =</v>
      </c>
      <c r="E90" s="494">
        <f>IF(C90="V.High",SUMIF('A-1 Site Habitat Baseline'!$G$11:$G$258,'G-2 Habitat groups'!A90,'A-1 Site Habitat Baseline'!$S$11:$S$258)+SUMIF('A-1 Site Habitat Baseline'!$G$11:$G$258,'G-2 Habitat groups'!A90,'A-1 Site Habitat Baseline'!$T$11:$T$258),SUMIF('A-1 Site Habitat Baseline'!$G$11:$G$258,'G-2 Habitat groups'!A90,'A-1 Site Habitat Baseline'!$H$11:$H$258))</f>
        <v>0</v>
      </c>
      <c r="F90" s="494">
        <f>SUMIF('A-1 Site Habitat Baseline'!$G$11:$G$258,'G-2 Habitat groups'!A90,'A-1 Site Habitat Baseline'!$Q$11:$Q$258)</f>
        <v>0</v>
      </c>
      <c r="G90" s="494">
        <f>SUMIF('A-1 Site Habitat Baseline'!$G$11:$G$258,'G-2 Habitat groups'!A90,'A-1 Site Habitat Baseline'!$S$11:$S$258)</f>
        <v>0</v>
      </c>
      <c r="H90" s="494">
        <f>SUMIF('A-1 Site Habitat Baseline'!$G$11:$G$258,'G-2 Habitat groups'!A90,'A-1 Site Habitat Baseline'!$U$11:$U$258)</f>
        <v>0</v>
      </c>
      <c r="I90" s="494">
        <f>SUMIF('A-1 Site Habitat Baseline'!$G$11:$G$258,'G-2 Habitat groups'!A90,'A-1 Site Habitat Baseline'!$W$11:$W$258)</f>
        <v>0</v>
      </c>
      <c r="J90" s="494">
        <f>SUMIF('A-1 Site Habitat Baseline'!$G$11:$G$258,'G-2 Habitat groups'!A90,'A-1 Site Habitat Baseline'!$X$11:$X$258)</f>
        <v>0</v>
      </c>
      <c r="K90" s="494">
        <f>SUMIF('A-2 Site Habitat Creation'!$F$11:$F$256,'G-2 Habitat groups'!A90,'A-2 Site Habitat Creation'!$G$11:$G$256)</f>
        <v>0</v>
      </c>
      <c r="L90" s="494">
        <f>SUMIF('A-2 Site Habitat Creation'!$F$11:$F$256,'G-2 Habitat groups'!A90,'A-2 Site Habitat Creation'!$Y$11:$Y$256)</f>
        <v>0</v>
      </c>
      <c r="M90" s="494">
        <f>SUMIF('A-3 Site Habitat Enhancement'!$S$12:$S$257,'G-2 Habitat groups'!A90,'A-3 Site Habitat Enhancement'!$V$12:$V$257)</f>
        <v>0</v>
      </c>
      <c r="N90" s="494">
        <f>SUMIF('A-3 Site Habitat Enhancement'!$S$12:$S$257,'G-2 Habitat groups'!A90,'A-3 Site Habitat Enhancement'!$AN$12:$AN$257)</f>
        <v>0</v>
      </c>
      <c r="O90" s="494">
        <f t="shared" si="63"/>
        <v>0</v>
      </c>
      <c r="P90" s="494">
        <f t="shared" si="64"/>
        <v>0</v>
      </c>
      <c r="Q90" s="494">
        <f t="shared" si="65"/>
        <v>0</v>
      </c>
      <c r="R90" s="494">
        <f t="shared" si="66"/>
        <v>0</v>
      </c>
      <c r="S90" s="494">
        <f>IF(C90="V.High",SUMIF('D-1 Off Site Habitat Baseline'!$G$11:$G$258,'G-2 Habitat groups'!A90,'D-1 Off Site Habitat Baseline'!$S$11:$S$258)+SUMIF('D-1 Off Site Habitat Baseline'!$G$11:$G$258,'G-2 Habitat groups'!A90,'D-1 Off Site Habitat Baseline'!$T$11:$T$258),SUMIF('D-1 Off Site Habitat Baseline'!$G$11:$G$258,'G-2 Habitat groups'!A90,'D-1 Off Site Habitat Baseline'!$H$11:$H$258))</f>
        <v>0</v>
      </c>
      <c r="T90" s="494">
        <f>SUMIF('D-1 Off Site Habitat Baseline'!$G$11:$G$258,'G-2 Habitat groups'!A90,'D-1 Off Site Habitat Baseline'!$Q$11:$Q$258)</f>
        <v>0</v>
      </c>
      <c r="U90" s="591">
        <f>SUMIF('D-1 Off Site Habitat Baseline'!$G$11:$G$258,'G-2 Habitat groups'!A90,'D-1 Off Site Habitat Baseline'!$S$11:$S$258)</f>
        <v>0</v>
      </c>
      <c r="V90" s="494">
        <f>SUMIF('D-1 Off Site Habitat Baseline'!$G$11:$G$258,'G-2 Habitat groups'!A90,'D-1 Off Site Habitat Baseline'!$U$11:$U$258)</f>
        <v>0</v>
      </c>
      <c r="W90" s="494">
        <f>SUMIF('D-2 Off Site Habitat Creation'!$F$9:$F$255,'G-2 Habitat groups'!A90,'D-2 Off Site Habitat Creation'!$G$9:$G$255)</f>
        <v>0</v>
      </c>
      <c r="X90" s="494">
        <f>SUMIF('D-2 Off Site Habitat Creation'!$F$9:$F$255,'G-2 Habitat groups'!A90,'D-2 Off Site Habitat Creation'!$AA$9:$AA$255)</f>
        <v>0</v>
      </c>
      <c r="Y90" s="494">
        <f>SUMIF('D-3 Off Site Habitat Enhancment'!$S$12:$S$491,'G-2 Habitat groups'!A90,'D-3 Off Site Habitat Enhancment'!$V$12:$V$491)</f>
        <v>0</v>
      </c>
      <c r="Z90" s="494">
        <f>SUMIF('D-3 Off Site Habitat Enhancment'!$S$12:$S$491,'G-2 Habitat groups'!A90,'D-3 Off Site Habitat Enhancment'!$AP$12:$AP$491)</f>
        <v>0</v>
      </c>
      <c r="AA90" s="494">
        <f t="shared" si="67"/>
        <v>0</v>
      </c>
      <c r="AB90" s="494">
        <f t="shared" si="68"/>
        <v>0</v>
      </c>
      <c r="AC90" s="494">
        <f t="shared" si="69"/>
        <v>0</v>
      </c>
      <c r="AD90" s="494">
        <f t="shared" si="70"/>
        <v>0</v>
      </c>
      <c r="AE90" s="494">
        <f t="shared" si="71"/>
        <v>0</v>
      </c>
      <c r="AF90" s="494">
        <f t="shared" si="72"/>
        <v>0</v>
      </c>
      <c r="AU90" s="343" t="s">
        <v>544</v>
      </c>
      <c r="AV90" s="88" t="s">
        <v>72</v>
      </c>
      <c r="AW90" s="494">
        <f t="shared" si="89"/>
        <v>0</v>
      </c>
      <c r="AX90" s="494">
        <f t="shared" si="90"/>
        <v>0</v>
      </c>
      <c r="AY90" s="494">
        <f t="shared" si="91"/>
        <v>0</v>
      </c>
      <c r="AZ90" s="494">
        <f t="shared" si="92"/>
        <v>0</v>
      </c>
      <c r="BA90" s="494">
        <f t="shared" si="93"/>
        <v>0</v>
      </c>
      <c r="BB90" s="494">
        <f t="shared" si="94"/>
        <v>0</v>
      </c>
      <c r="BC90" s="494">
        <f t="shared" si="95"/>
        <v>0</v>
      </c>
      <c r="BD90" s="494">
        <f t="shared" si="96"/>
        <v>0</v>
      </c>
      <c r="BE90" s="494">
        <f t="shared" ref="BE90:BE92" si="99">BB90+BD90</f>
        <v>0</v>
      </c>
      <c r="BF90" s="494" t="str">
        <f t="shared" ref="BF90:BF92" si="100">IF(BE90&lt;0,BE90,"")</f>
        <v/>
      </c>
    </row>
    <row r="91" spans="1:58" x14ac:dyDescent="0.25">
      <c r="A91" s="104" t="str">
        <f>'G-1 All Habitats'!B90</f>
        <v>Woodland and forest - Other coniferous woodland</v>
      </c>
      <c r="B91" s="88" t="str">
        <f>'G-1 All Habitats'!F90</f>
        <v>Woodland and forest</v>
      </c>
      <c r="C91" s="88" t="str">
        <f>'G-1 All Habitats'!K90</f>
        <v>Low</v>
      </c>
      <c r="D91" s="88" t="str">
        <f>'G-1 All Habitats'!M90</f>
        <v>Same distinctiveness or better habitat required ≥</v>
      </c>
      <c r="E91" s="494">
        <f>IF(C91="V.High",SUMIF('A-1 Site Habitat Baseline'!$G$11:$G$258,'G-2 Habitat groups'!A91,'A-1 Site Habitat Baseline'!$S$11:$S$258)+SUMIF('A-1 Site Habitat Baseline'!$G$11:$G$258,'G-2 Habitat groups'!A91,'A-1 Site Habitat Baseline'!$T$11:$T$258),SUMIF('A-1 Site Habitat Baseline'!$G$11:$G$258,'G-2 Habitat groups'!A91,'A-1 Site Habitat Baseline'!$H$11:$H$258))</f>
        <v>0</v>
      </c>
      <c r="F91" s="494">
        <f>SUMIF('A-1 Site Habitat Baseline'!$G$11:$G$258,'G-2 Habitat groups'!A91,'A-1 Site Habitat Baseline'!$Q$11:$Q$258)</f>
        <v>0</v>
      </c>
      <c r="G91" s="494">
        <f>SUMIF('A-1 Site Habitat Baseline'!$G$11:$G$258,'G-2 Habitat groups'!A91,'A-1 Site Habitat Baseline'!$S$11:$S$258)</f>
        <v>0</v>
      </c>
      <c r="H91" s="494">
        <f>SUMIF('A-1 Site Habitat Baseline'!$G$11:$G$258,'G-2 Habitat groups'!A91,'A-1 Site Habitat Baseline'!$U$11:$U$258)</f>
        <v>0</v>
      </c>
      <c r="I91" s="494">
        <f>SUMIF('A-1 Site Habitat Baseline'!$G$11:$G$258,'G-2 Habitat groups'!A91,'A-1 Site Habitat Baseline'!$W$11:$W$258)</f>
        <v>0</v>
      </c>
      <c r="J91" s="494">
        <f>SUMIF('A-1 Site Habitat Baseline'!$G$11:$G$258,'G-2 Habitat groups'!A91,'A-1 Site Habitat Baseline'!$X$11:$X$258)</f>
        <v>0</v>
      </c>
      <c r="K91" s="494">
        <f>SUMIF('A-2 Site Habitat Creation'!$F$11:$F$256,'G-2 Habitat groups'!A91,'A-2 Site Habitat Creation'!$G$11:$G$256)</f>
        <v>0</v>
      </c>
      <c r="L91" s="494">
        <f>SUMIF('A-2 Site Habitat Creation'!$F$11:$F$256,'G-2 Habitat groups'!A91,'A-2 Site Habitat Creation'!$Y$11:$Y$256)</f>
        <v>0</v>
      </c>
      <c r="M91" s="494">
        <f>SUMIF('A-3 Site Habitat Enhancement'!$S$12:$S$257,'G-2 Habitat groups'!A91,'A-3 Site Habitat Enhancement'!$V$12:$V$257)</f>
        <v>0</v>
      </c>
      <c r="N91" s="494">
        <f>SUMIF('A-3 Site Habitat Enhancement'!$S$12:$S$257,'G-2 Habitat groups'!A91,'A-3 Site Habitat Enhancement'!$AN$12:$AN$257)</f>
        <v>0</v>
      </c>
      <c r="O91" s="494">
        <f t="shared" si="63"/>
        <v>0</v>
      </c>
      <c r="P91" s="494">
        <f t="shared" si="64"/>
        <v>0</v>
      </c>
      <c r="Q91" s="494">
        <f t="shared" si="65"/>
        <v>0</v>
      </c>
      <c r="R91" s="494">
        <f t="shared" si="66"/>
        <v>0</v>
      </c>
      <c r="S91" s="494">
        <f>IF(C91="V.High",SUMIF('D-1 Off Site Habitat Baseline'!$G$11:$G$258,'G-2 Habitat groups'!A91,'D-1 Off Site Habitat Baseline'!$S$11:$S$258)+SUMIF('D-1 Off Site Habitat Baseline'!$G$11:$G$258,'G-2 Habitat groups'!A91,'D-1 Off Site Habitat Baseline'!$T$11:$T$258),SUMIF('D-1 Off Site Habitat Baseline'!$G$11:$G$258,'G-2 Habitat groups'!A91,'D-1 Off Site Habitat Baseline'!$H$11:$H$258))</f>
        <v>0</v>
      </c>
      <c r="T91" s="494">
        <f>SUMIF('D-1 Off Site Habitat Baseline'!$G$11:$G$258,'G-2 Habitat groups'!A91,'D-1 Off Site Habitat Baseline'!$Q$11:$Q$258)</f>
        <v>0</v>
      </c>
      <c r="U91" s="591">
        <f>SUMIF('D-1 Off Site Habitat Baseline'!$G$11:$G$258,'G-2 Habitat groups'!A91,'D-1 Off Site Habitat Baseline'!$S$11:$S$258)</f>
        <v>0</v>
      </c>
      <c r="V91" s="494">
        <f>SUMIF('D-1 Off Site Habitat Baseline'!$G$11:$G$258,'G-2 Habitat groups'!A91,'D-1 Off Site Habitat Baseline'!$U$11:$U$258)</f>
        <v>0</v>
      </c>
      <c r="W91" s="494">
        <f>SUMIF('D-2 Off Site Habitat Creation'!$F$9:$F$255,'G-2 Habitat groups'!A91,'D-2 Off Site Habitat Creation'!$G$9:$G$255)</f>
        <v>0</v>
      </c>
      <c r="X91" s="494">
        <f>SUMIF('D-2 Off Site Habitat Creation'!$F$9:$F$255,'G-2 Habitat groups'!A91,'D-2 Off Site Habitat Creation'!$AA$9:$AA$255)</f>
        <v>0</v>
      </c>
      <c r="Y91" s="494">
        <f>SUMIF('D-3 Off Site Habitat Enhancment'!$S$12:$S$491,'G-2 Habitat groups'!A91,'D-3 Off Site Habitat Enhancment'!$V$12:$V$491)</f>
        <v>0</v>
      </c>
      <c r="Z91" s="494">
        <f>SUMIF('D-3 Off Site Habitat Enhancment'!$S$12:$S$491,'G-2 Habitat groups'!A91,'D-3 Off Site Habitat Enhancment'!$AP$12:$AP$491)</f>
        <v>0</v>
      </c>
      <c r="AA91" s="494">
        <f t="shared" si="67"/>
        <v>0</v>
      </c>
      <c r="AB91" s="494">
        <f t="shared" si="68"/>
        <v>0</v>
      </c>
      <c r="AC91" s="494">
        <f t="shared" si="69"/>
        <v>0</v>
      </c>
      <c r="AD91" s="494">
        <f t="shared" si="70"/>
        <v>0</v>
      </c>
      <c r="AE91" s="494">
        <f t="shared" si="71"/>
        <v>0</v>
      </c>
      <c r="AF91" s="494">
        <f t="shared" si="72"/>
        <v>0</v>
      </c>
      <c r="AU91" s="104" t="s">
        <v>548</v>
      </c>
      <c r="AV91" s="88" t="s">
        <v>72</v>
      </c>
      <c r="AW91" s="494">
        <f t="shared" si="89"/>
        <v>0</v>
      </c>
      <c r="AX91" s="494">
        <f t="shared" si="90"/>
        <v>0</v>
      </c>
      <c r="AY91" s="494">
        <f t="shared" si="91"/>
        <v>0</v>
      </c>
      <c r="AZ91" s="494">
        <f t="shared" si="92"/>
        <v>0</v>
      </c>
      <c r="BA91" s="494">
        <f t="shared" si="93"/>
        <v>0</v>
      </c>
      <c r="BB91" s="494">
        <f t="shared" si="94"/>
        <v>0</v>
      </c>
      <c r="BC91" s="494">
        <f t="shared" si="95"/>
        <v>0</v>
      </c>
      <c r="BD91" s="494">
        <f t="shared" si="96"/>
        <v>0</v>
      </c>
      <c r="BE91" s="494">
        <f t="shared" si="99"/>
        <v>0</v>
      </c>
      <c r="BF91" s="494" t="str">
        <f t="shared" si="100"/>
        <v/>
      </c>
    </row>
    <row r="92" spans="1:58" x14ac:dyDescent="0.25">
      <c r="A92" s="104" t="str">
        <f>'G-1 All Habitats'!B91</f>
        <v>Woodland and forest - Other Scot's Pine woodland</v>
      </c>
      <c r="B92" s="88" t="str">
        <f>'G-1 All Habitats'!F91</f>
        <v>Woodland and forest</v>
      </c>
      <c r="C92" s="88" t="str">
        <f>'G-1 All Habitats'!K91</f>
        <v>Medium</v>
      </c>
      <c r="D92" s="88" t="str">
        <f>'G-1 All Habitats'!M91</f>
        <v>Same broad habitat or a higher distinctiveness habitat required (≥)</v>
      </c>
      <c r="E92" s="494">
        <f>IF(C92="V.High",SUMIF('A-1 Site Habitat Baseline'!$G$11:$G$258,'G-2 Habitat groups'!A92,'A-1 Site Habitat Baseline'!$S$11:$S$258)+SUMIF('A-1 Site Habitat Baseline'!$G$11:$G$258,'G-2 Habitat groups'!A92,'A-1 Site Habitat Baseline'!$T$11:$T$258),SUMIF('A-1 Site Habitat Baseline'!$G$11:$G$258,'G-2 Habitat groups'!A92,'A-1 Site Habitat Baseline'!$H$11:$H$258))</f>
        <v>0</v>
      </c>
      <c r="F92" s="494">
        <f>SUMIF('A-1 Site Habitat Baseline'!$G$11:$G$258,'G-2 Habitat groups'!A92,'A-1 Site Habitat Baseline'!$Q$11:$Q$258)</f>
        <v>0</v>
      </c>
      <c r="G92" s="494">
        <f>SUMIF('A-1 Site Habitat Baseline'!$G$11:$G$258,'G-2 Habitat groups'!A92,'A-1 Site Habitat Baseline'!$S$11:$S$258)</f>
        <v>0</v>
      </c>
      <c r="H92" s="494">
        <f>SUMIF('A-1 Site Habitat Baseline'!$G$11:$G$258,'G-2 Habitat groups'!A92,'A-1 Site Habitat Baseline'!$U$11:$U$258)</f>
        <v>0</v>
      </c>
      <c r="I92" s="494">
        <f>SUMIF('A-1 Site Habitat Baseline'!$G$11:$G$258,'G-2 Habitat groups'!A92,'A-1 Site Habitat Baseline'!$W$11:$W$258)</f>
        <v>0</v>
      </c>
      <c r="J92" s="494">
        <f>SUMIF('A-1 Site Habitat Baseline'!$G$11:$G$258,'G-2 Habitat groups'!A92,'A-1 Site Habitat Baseline'!$X$11:$X$258)</f>
        <v>0</v>
      </c>
      <c r="K92" s="494">
        <f>SUMIF('A-2 Site Habitat Creation'!$F$11:$F$256,'G-2 Habitat groups'!A92,'A-2 Site Habitat Creation'!$G$11:$G$256)</f>
        <v>0</v>
      </c>
      <c r="L92" s="494">
        <f>SUMIF('A-2 Site Habitat Creation'!$F$11:$F$256,'G-2 Habitat groups'!A92,'A-2 Site Habitat Creation'!$Y$11:$Y$256)</f>
        <v>0</v>
      </c>
      <c r="M92" s="494">
        <f>SUMIF('A-3 Site Habitat Enhancement'!$S$12:$S$257,'G-2 Habitat groups'!A92,'A-3 Site Habitat Enhancement'!$V$12:$V$257)</f>
        <v>0</v>
      </c>
      <c r="N92" s="494">
        <f>SUMIF('A-3 Site Habitat Enhancement'!$S$12:$S$257,'G-2 Habitat groups'!A92,'A-3 Site Habitat Enhancement'!$AN$12:$AN$257)</f>
        <v>0</v>
      </c>
      <c r="O92" s="494">
        <f t="shared" si="63"/>
        <v>0</v>
      </c>
      <c r="P92" s="494">
        <f t="shared" si="64"/>
        <v>0</v>
      </c>
      <c r="Q92" s="494">
        <f t="shared" si="65"/>
        <v>0</v>
      </c>
      <c r="R92" s="494">
        <f t="shared" si="66"/>
        <v>0</v>
      </c>
      <c r="S92" s="494">
        <f>IF(C92="V.High",SUMIF('D-1 Off Site Habitat Baseline'!$G$11:$G$258,'G-2 Habitat groups'!A92,'D-1 Off Site Habitat Baseline'!$S$11:$S$258)+SUMIF('D-1 Off Site Habitat Baseline'!$G$11:$G$258,'G-2 Habitat groups'!A92,'D-1 Off Site Habitat Baseline'!$T$11:$T$258),SUMIF('D-1 Off Site Habitat Baseline'!$G$11:$G$258,'G-2 Habitat groups'!A92,'D-1 Off Site Habitat Baseline'!$H$11:$H$258))</f>
        <v>0</v>
      </c>
      <c r="T92" s="494">
        <f>SUMIF('D-1 Off Site Habitat Baseline'!$G$11:$G$258,'G-2 Habitat groups'!A92,'D-1 Off Site Habitat Baseline'!$Q$11:$Q$258)</f>
        <v>0</v>
      </c>
      <c r="U92" s="591">
        <f>SUMIF('D-1 Off Site Habitat Baseline'!$G$11:$G$258,'G-2 Habitat groups'!A92,'D-1 Off Site Habitat Baseline'!$S$11:$S$258)</f>
        <v>0</v>
      </c>
      <c r="V92" s="494">
        <f>SUMIF('D-1 Off Site Habitat Baseline'!$G$11:$G$258,'G-2 Habitat groups'!A92,'D-1 Off Site Habitat Baseline'!$U$11:$U$258)</f>
        <v>0</v>
      </c>
      <c r="W92" s="494">
        <f>SUMIF('D-2 Off Site Habitat Creation'!$F$9:$F$255,'G-2 Habitat groups'!A92,'D-2 Off Site Habitat Creation'!$G$9:$G$255)</f>
        <v>0</v>
      </c>
      <c r="X92" s="494">
        <f>SUMIF('D-2 Off Site Habitat Creation'!$F$9:$F$255,'G-2 Habitat groups'!A92,'D-2 Off Site Habitat Creation'!$AA$9:$AA$255)</f>
        <v>0</v>
      </c>
      <c r="Y92" s="494">
        <f>SUMIF('D-3 Off Site Habitat Enhancment'!$S$12:$S$491,'G-2 Habitat groups'!A92,'D-3 Off Site Habitat Enhancment'!$V$12:$V$491)</f>
        <v>0</v>
      </c>
      <c r="Z92" s="494">
        <f>SUMIF('D-3 Off Site Habitat Enhancment'!$S$12:$S$491,'G-2 Habitat groups'!A92,'D-3 Off Site Habitat Enhancment'!$AP$12:$AP$491)</f>
        <v>0</v>
      </c>
      <c r="AA92" s="494">
        <f t="shared" si="67"/>
        <v>0</v>
      </c>
      <c r="AB92" s="494">
        <f t="shared" si="68"/>
        <v>0</v>
      </c>
      <c r="AC92" s="494">
        <f t="shared" si="69"/>
        <v>0</v>
      </c>
      <c r="AD92" s="494">
        <f t="shared" si="70"/>
        <v>0</v>
      </c>
      <c r="AE92" s="494">
        <f t="shared" si="71"/>
        <v>0</v>
      </c>
      <c r="AF92" s="494">
        <f t="shared" si="72"/>
        <v>0</v>
      </c>
      <c r="AU92" s="104" t="s">
        <v>582</v>
      </c>
      <c r="AV92" s="88" t="s">
        <v>73</v>
      </c>
      <c r="AW92" s="494">
        <f t="shared" si="89"/>
        <v>0</v>
      </c>
      <c r="AX92" s="494">
        <f t="shared" si="90"/>
        <v>0</v>
      </c>
      <c r="AY92" s="494">
        <f t="shared" si="91"/>
        <v>0</v>
      </c>
      <c r="AZ92" s="494">
        <f t="shared" si="92"/>
        <v>0</v>
      </c>
      <c r="BA92" s="494">
        <f t="shared" si="93"/>
        <v>0</v>
      </c>
      <c r="BB92" s="494">
        <f t="shared" si="94"/>
        <v>0</v>
      </c>
      <c r="BC92" s="494">
        <f t="shared" si="95"/>
        <v>0</v>
      </c>
      <c r="BD92" s="494">
        <f t="shared" si="96"/>
        <v>0</v>
      </c>
      <c r="BE92" s="494">
        <f t="shared" si="99"/>
        <v>0</v>
      </c>
      <c r="BF92" s="494" t="str">
        <f t="shared" si="100"/>
        <v/>
      </c>
    </row>
    <row r="93" spans="1:58" x14ac:dyDescent="0.25">
      <c r="A93" s="104" t="str">
        <f>'G-1 All Habitats'!B92</f>
        <v>Woodland and forest - Other woodland; broadleaved</v>
      </c>
      <c r="B93" s="88" t="str">
        <f>'G-1 All Habitats'!F92</f>
        <v>Woodland and forest</v>
      </c>
      <c r="C93" s="88" t="str">
        <f>'G-1 All Habitats'!K92</f>
        <v>Medium</v>
      </c>
      <c r="D93" s="88" t="str">
        <f>'G-1 All Habitats'!M92</f>
        <v>Same broad habitat or a higher distinctiveness habitat required (≥)</v>
      </c>
      <c r="E93" s="494">
        <f>IF(C93="V.High",SUMIF('A-1 Site Habitat Baseline'!$G$11:$G$258,'G-2 Habitat groups'!A93,'A-1 Site Habitat Baseline'!$S$11:$S$258)+SUMIF('A-1 Site Habitat Baseline'!$G$11:$G$258,'G-2 Habitat groups'!A93,'A-1 Site Habitat Baseline'!$T$11:$T$258),SUMIF('A-1 Site Habitat Baseline'!$G$11:$G$258,'G-2 Habitat groups'!A93,'A-1 Site Habitat Baseline'!$H$11:$H$258))</f>
        <v>0</v>
      </c>
      <c r="F93" s="494">
        <f>SUMIF('A-1 Site Habitat Baseline'!$G$11:$G$258,'G-2 Habitat groups'!A93,'A-1 Site Habitat Baseline'!$Q$11:$Q$258)</f>
        <v>0</v>
      </c>
      <c r="G93" s="494">
        <f>SUMIF('A-1 Site Habitat Baseline'!$G$11:$G$258,'G-2 Habitat groups'!A93,'A-1 Site Habitat Baseline'!$S$11:$S$258)</f>
        <v>0</v>
      </c>
      <c r="H93" s="494">
        <f>SUMIF('A-1 Site Habitat Baseline'!$G$11:$G$258,'G-2 Habitat groups'!A93,'A-1 Site Habitat Baseline'!$U$11:$U$258)</f>
        <v>0</v>
      </c>
      <c r="I93" s="494">
        <f>SUMIF('A-1 Site Habitat Baseline'!$G$11:$G$258,'G-2 Habitat groups'!A93,'A-1 Site Habitat Baseline'!$W$11:$W$258)</f>
        <v>0</v>
      </c>
      <c r="J93" s="494">
        <f>SUMIF('A-1 Site Habitat Baseline'!$G$11:$G$258,'G-2 Habitat groups'!A93,'A-1 Site Habitat Baseline'!$X$11:$X$258)</f>
        <v>0</v>
      </c>
      <c r="K93" s="494">
        <f>SUMIF('A-2 Site Habitat Creation'!$F$11:$F$256,'G-2 Habitat groups'!A93,'A-2 Site Habitat Creation'!$G$11:$G$256)</f>
        <v>0</v>
      </c>
      <c r="L93" s="494">
        <f>SUMIF('A-2 Site Habitat Creation'!$F$11:$F$256,'G-2 Habitat groups'!A93,'A-2 Site Habitat Creation'!$Y$11:$Y$256)</f>
        <v>0</v>
      </c>
      <c r="M93" s="494">
        <f>SUMIF('A-3 Site Habitat Enhancement'!$S$12:$S$257,'G-2 Habitat groups'!A93,'A-3 Site Habitat Enhancement'!$V$12:$V$257)</f>
        <v>0</v>
      </c>
      <c r="N93" s="494">
        <f>SUMIF('A-3 Site Habitat Enhancement'!$S$12:$S$257,'G-2 Habitat groups'!A93,'A-3 Site Habitat Enhancement'!$AN$12:$AN$257)</f>
        <v>0</v>
      </c>
      <c r="O93" s="494">
        <f t="shared" si="63"/>
        <v>0</v>
      </c>
      <c r="P93" s="494">
        <f t="shared" si="64"/>
        <v>0</v>
      </c>
      <c r="Q93" s="494">
        <f t="shared" si="65"/>
        <v>0</v>
      </c>
      <c r="R93" s="494">
        <f t="shared" si="66"/>
        <v>0</v>
      </c>
      <c r="S93" s="494">
        <f>IF(C93="V.High",SUMIF('D-1 Off Site Habitat Baseline'!$G$11:$G$258,'G-2 Habitat groups'!A93,'D-1 Off Site Habitat Baseline'!$S$11:$S$258)+SUMIF('D-1 Off Site Habitat Baseline'!$G$11:$G$258,'G-2 Habitat groups'!A93,'D-1 Off Site Habitat Baseline'!$T$11:$T$258),SUMIF('D-1 Off Site Habitat Baseline'!$G$11:$G$258,'G-2 Habitat groups'!A93,'D-1 Off Site Habitat Baseline'!$H$11:$H$258))</f>
        <v>0</v>
      </c>
      <c r="T93" s="494">
        <f>SUMIF('D-1 Off Site Habitat Baseline'!$G$11:$G$258,'G-2 Habitat groups'!A93,'D-1 Off Site Habitat Baseline'!$Q$11:$Q$258)</f>
        <v>0</v>
      </c>
      <c r="U93" s="591">
        <f>SUMIF('D-1 Off Site Habitat Baseline'!$G$11:$G$258,'G-2 Habitat groups'!A93,'D-1 Off Site Habitat Baseline'!$S$11:$S$258)</f>
        <v>0</v>
      </c>
      <c r="V93" s="494">
        <f>SUMIF('D-1 Off Site Habitat Baseline'!$G$11:$G$258,'G-2 Habitat groups'!A93,'D-1 Off Site Habitat Baseline'!$U$11:$U$258)</f>
        <v>0</v>
      </c>
      <c r="W93" s="494">
        <f>SUMIF('D-2 Off Site Habitat Creation'!$F$9:$F$255,'G-2 Habitat groups'!A93,'D-2 Off Site Habitat Creation'!$G$9:$G$255)</f>
        <v>0</v>
      </c>
      <c r="X93" s="494">
        <f>SUMIF('D-2 Off Site Habitat Creation'!$F$9:$F$255,'G-2 Habitat groups'!A93,'D-2 Off Site Habitat Creation'!$AA$9:$AA$255)</f>
        <v>0</v>
      </c>
      <c r="Y93" s="494">
        <f>SUMIF('D-3 Off Site Habitat Enhancment'!$S$12:$S$491,'G-2 Habitat groups'!A93,'D-3 Off Site Habitat Enhancment'!$V$12:$V$491)</f>
        <v>0</v>
      </c>
      <c r="Z93" s="494">
        <f>SUMIF('D-3 Off Site Habitat Enhancment'!$S$12:$S$491,'G-2 Habitat groups'!A93,'D-3 Off Site Habitat Enhancment'!$AP$12:$AP$491)</f>
        <v>0</v>
      </c>
      <c r="AA93" s="494">
        <f t="shared" si="67"/>
        <v>0</v>
      </c>
      <c r="AB93" s="494">
        <f t="shared" si="68"/>
        <v>0</v>
      </c>
      <c r="AC93" s="494">
        <f t="shared" si="69"/>
        <v>0</v>
      </c>
      <c r="AD93" s="494">
        <f t="shared" si="70"/>
        <v>0</v>
      </c>
      <c r="AE93" s="494">
        <f t="shared" si="71"/>
        <v>0</v>
      </c>
      <c r="AF93" s="494">
        <f t="shared" si="72"/>
        <v>0</v>
      </c>
      <c r="AU93" s="104" t="s">
        <v>598</v>
      </c>
      <c r="AV93" s="88" t="s">
        <v>74</v>
      </c>
      <c r="AW93" s="494">
        <f t="shared" si="89"/>
        <v>0</v>
      </c>
      <c r="AX93" s="494">
        <f t="shared" si="90"/>
        <v>0</v>
      </c>
      <c r="AY93" s="494">
        <f t="shared" si="91"/>
        <v>0</v>
      </c>
      <c r="AZ93" s="494">
        <f t="shared" si="92"/>
        <v>0</v>
      </c>
      <c r="BA93" s="494">
        <f t="shared" si="93"/>
        <v>0</v>
      </c>
      <c r="BB93" s="494">
        <f t="shared" si="94"/>
        <v>0</v>
      </c>
      <c r="BC93" s="494">
        <f t="shared" si="95"/>
        <v>0</v>
      </c>
      <c r="BD93" s="494">
        <f t="shared" si="96"/>
        <v>0</v>
      </c>
      <c r="BE93" s="494">
        <f>BB93+BD93</f>
        <v>0</v>
      </c>
      <c r="BF93" s="494" t="str">
        <f>IF(BE93&lt;0,BE93,"")</f>
        <v/>
      </c>
    </row>
    <row r="94" spans="1:58" x14ac:dyDescent="0.25">
      <c r="A94" s="104" t="str">
        <f>'G-1 All Habitats'!B93</f>
        <v>Woodland and forest - Other woodland; mixed</v>
      </c>
      <c r="B94" s="88" t="str">
        <f>'G-1 All Habitats'!F93</f>
        <v>Woodland and forest</v>
      </c>
      <c r="C94" s="88" t="str">
        <f>'G-1 All Habitats'!K93</f>
        <v>Medium</v>
      </c>
      <c r="D94" s="88" t="str">
        <f>'G-1 All Habitats'!M93</f>
        <v>Same broad habitat or a higher distinctiveness habitat required (≥)</v>
      </c>
      <c r="E94" s="494">
        <f>IF(C94="V.High",SUMIF('A-1 Site Habitat Baseline'!$G$11:$G$258,'G-2 Habitat groups'!A94,'A-1 Site Habitat Baseline'!$S$11:$S$258)+SUMIF('A-1 Site Habitat Baseline'!$G$11:$G$258,'G-2 Habitat groups'!A94,'A-1 Site Habitat Baseline'!$T$11:$T$258),SUMIF('A-1 Site Habitat Baseline'!$G$11:$G$258,'G-2 Habitat groups'!A94,'A-1 Site Habitat Baseline'!$H$11:$H$258))</f>
        <v>0</v>
      </c>
      <c r="F94" s="494">
        <f>SUMIF('A-1 Site Habitat Baseline'!$G$11:$G$258,'G-2 Habitat groups'!A94,'A-1 Site Habitat Baseline'!$Q$11:$Q$258)</f>
        <v>0</v>
      </c>
      <c r="G94" s="494">
        <f>SUMIF('A-1 Site Habitat Baseline'!$G$11:$G$258,'G-2 Habitat groups'!A94,'A-1 Site Habitat Baseline'!$S$11:$S$258)</f>
        <v>0</v>
      </c>
      <c r="H94" s="494">
        <f>SUMIF('A-1 Site Habitat Baseline'!$G$11:$G$258,'G-2 Habitat groups'!A94,'A-1 Site Habitat Baseline'!$U$11:$U$258)</f>
        <v>0</v>
      </c>
      <c r="I94" s="494">
        <f>SUMIF('A-1 Site Habitat Baseline'!$G$11:$G$258,'G-2 Habitat groups'!A94,'A-1 Site Habitat Baseline'!$W$11:$W$258)</f>
        <v>0</v>
      </c>
      <c r="J94" s="494">
        <f>SUMIF('A-1 Site Habitat Baseline'!$G$11:$G$258,'G-2 Habitat groups'!A94,'A-1 Site Habitat Baseline'!$X$11:$X$258)</f>
        <v>0</v>
      </c>
      <c r="K94" s="494">
        <f>SUMIF('A-2 Site Habitat Creation'!$F$11:$F$256,'G-2 Habitat groups'!A94,'A-2 Site Habitat Creation'!$G$11:$G$256)</f>
        <v>0</v>
      </c>
      <c r="L94" s="494">
        <f>SUMIF('A-2 Site Habitat Creation'!$F$11:$F$256,'G-2 Habitat groups'!A94,'A-2 Site Habitat Creation'!$Y$11:$Y$256)</f>
        <v>0</v>
      </c>
      <c r="M94" s="494">
        <f>SUMIF('A-3 Site Habitat Enhancement'!$S$12:$S$257,'G-2 Habitat groups'!A94,'A-3 Site Habitat Enhancement'!$V$12:$V$257)</f>
        <v>0</v>
      </c>
      <c r="N94" s="494">
        <f>SUMIF('A-3 Site Habitat Enhancement'!$S$12:$S$257,'G-2 Habitat groups'!A94,'A-3 Site Habitat Enhancement'!$AN$12:$AN$257)</f>
        <v>0</v>
      </c>
      <c r="O94" s="494">
        <f t="shared" si="63"/>
        <v>0</v>
      </c>
      <c r="P94" s="494">
        <f t="shared" si="64"/>
        <v>0</v>
      </c>
      <c r="Q94" s="494">
        <f t="shared" si="65"/>
        <v>0</v>
      </c>
      <c r="R94" s="494">
        <f t="shared" si="66"/>
        <v>0</v>
      </c>
      <c r="S94" s="494">
        <f>IF(C94="V.High",SUMIF('D-1 Off Site Habitat Baseline'!$G$11:$G$258,'G-2 Habitat groups'!A94,'D-1 Off Site Habitat Baseline'!$S$11:$S$258)+SUMIF('D-1 Off Site Habitat Baseline'!$G$11:$G$258,'G-2 Habitat groups'!A94,'D-1 Off Site Habitat Baseline'!$T$11:$T$258),SUMIF('D-1 Off Site Habitat Baseline'!$G$11:$G$258,'G-2 Habitat groups'!A94,'D-1 Off Site Habitat Baseline'!$H$11:$H$258))</f>
        <v>0</v>
      </c>
      <c r="T94" s="494">
        <f>SUMIF('D-1 Off Site Habitat Baseline'!$G$11:$G$258,'G-2 Habitat groups'!A94,'D-1 Off Site Habitat Baseline'!$Q$11:$Q$258)</f>
        <v>0</v>
      </c>
      <c r="U94" s="591">
        <f>SUMIF('D-1 Off Site Habitat Baseline'!$G$11:$G$258,'G-2 Habitat groups'!A94,'D-1 Off Site Habitat Baseline'!$S$11:$S$258)</f>
        <v>0</v>
      </c>
      <c r="V94" s="494">
        <f>SUMIF('D-1 Off Site Habitat Baseline'!$G$11:$G$258,'G-2 Habitat groups'!A94,'D-1 Off Site Habitat Baseline'!$U$11:$U$258)</f>
        <v>0</v>
      </c>
      <c r="W94" s="494">
        <f>SUMIF('D-2 Off Site Habitat Creation'!$F$9:$F$255,'G-2 Habitat groups'!A94,'D-2 Off Site Habitat Creation'!$G$9:$G$255)</f>
        <v>0</v>
      </c>
      <c r="X94" s="494">
        <f>SUMIF('D-2 Off Site Habitat Creation'!$F$9:$F$255,'G-2 Habitat groups'!A94,'D-2 Off Site Habitat Creation'!$AA$9:$AA$255)</f>
        <v>0</v>
      </c>
      <c r="Y94" s="494">
        <f>SUMIF('D-3 Off Site Habitat Enhancment'!$S$12:$S$491,'G-2 Habitat groups'!A94,'D-3 Off Site Habitat Enhancment'!$V$12:$V$491)</f>
        <v>0</v>
      </c>
      <c r="Z94" s="494">
        <f>SUMIF('D-3 Off Site Habitat Enhancment'!$S$12:$S$491,'G-2 Habitat groups'!A94,'D-3 Off Site Habitat Enhancment'!$AP$12:$AP$491)</f>
        <v>0</v>
      </c>
      <c r="AA94" s="494">
        <f t="shared" si="67"/>
        <v>0</v>
      </c>
      <c r="AB94" s="494">
        <f t="shared" si="68"/>
        <v>0</v>
      </c>
      <c r="AC94" s="494">
        <f t="shared" si="69"/>
        <v>0</v>
      </c>
      <c r="AD94" s="494">
        <f t="shared" si="70"/>
        <v>0</v>
      </c>
      <c r="AE94" s="494">
        <f t="shared" si="71"/>
        <v>0</v>
      </c>
      <c r="AF94" s="494">
        <f t="shared" si="72"/>
        <v>0</v>
      </c>
      <c r="AU94" s="104" t="s">
        <v>613</v>
      </c>
      <c r="AV94" s="88" t="s">
        <v>74</v>
      </c>
      <c r="AW94" s="494">
        <f t="shared" si="89"/>
        <v>0</v>
      </c>
      <c r="AX94" s="494">
        <f t="shared" si="90"/>
        <v>0</v>
      </c>
      <c r="AY94" s="494">
        <f t="shared" si="91"/>
        <v>0</v>
      </c>
      <c r="AZ94" s="494">
        <f t="shared" si="92"/>
        <v>0</v>
      </c>
      <c r="BA94" s="494">
        <f t="shared" si="93"/>
        <v>0</v>
      </c>
      <c r="BB94" s="494">
        <f t="shared" si="94"/>
        <v>0</v>
      </c>
      <c r="BC94" s="494">
        <f t="shared" si="95"/>
        <v>0</v>
      </c>
      <c r="BD94" s="494">
        <f t="shared" si="96"/>
        <v>0</v>
      </c>
      <c r="BE94" s="494">
        <f>BB94+BD94</f>
        <v>0</v>
      </c>
      <c r="BF94" s="494" t="str">
        <f>IF(BE94&lt;0,BE94,"")</f>
        <v/>
      </c>
    </row>
    <row r="95" spans="1:58" x14ac:dyDescent="0.25">
      <c r="A95" s="104" t="str">
        <f>'G-1 All Habitats'!B94</f>
        <v>Woodland and forest - Upland birchwoods</v>
      </c>
      <c r="B95" s="88" t="str">
        <f>'G-1 All Habitats'!F94</f>
        <v>Woodland and forest</v>
      </c>
      <c r="C95" s="88" t="str">
        <f>'G-1 All Habitats'!K94</f>
        <v>High</v>
      </c>
      <c r="D95" s="88" t="str">
        <f>'G-1 All Habitats'!M94</f>
        <v>Same habitat required =</v>
      </c>
      <c r="E95" s="494">
        <f>IF(C95="V.High",SUMIF('A-1 Site Habitat Baseline'!$G$11:$G$258,'G-2 Habitat groups'!A95,'A-1 Site Habitat Baseline'!$S$11:$S$258)+SUMIF('A-1 Site Habitat Baseline'!$G$11:$G$258,'G-2 Habitat groups'!A95,'A-1 Site Habitat Baseline'!$T$11:$T$258),SUMIF('A-1 Site Habitat Baseline'!$G$11:$G$258,'G-2 Habitat groups'!A95,'A-1 Site Habitat Baseline'!$H$11:$H$258))</f>
        <v>0</v>
      </c>
      <c r="F95" s="494">
        <f>SUMIF('A-1 Site Habitat Baseline'!$G$11:$G$258,'G-2 Habitat groups'!A95,'A-1 Site Habitat Baseline'!$Q$11:$Q$258)</f>
        <v>0</v>
      </c>
      <c r="G95" s="494">
        <f>SUMIF('A-1 Site Habitat Baseline'!$G$11:$G$258,'G-2 Habitat groups'!A95,'A-1 Site Habitat Baseline'!$S$11:$S$258)</f>
        <v>0</v>
      </c>
      <c r="H95" s="494">
        <f>SUMIF('A-1 Site Habitat Baseline'!$G$11:$G$258,'G-2 Habitat groups'!A95,'A-1 Site Habitat Baseline'!$U$11:$U$258)</f>
        <v>0</v>
      </c>
      <c r="I95" s="494">
        <f>SUMIF('A-1 Site Habitat Baseline'!$G$11:$G$258,'G-2 Habitat groups'!A95,'A-1 Site Habitat Baseline'!$W$11:$W$258)</f>
        <v>0</v>
      </c>
      <c r="J95" s="494">
        <f>SUMIF('A-1 Site Habitat Baseline'!$G$11:$G$258,'G-2 Habitat groups'!A95,'A-1 Site Habitat Baseline'!$X$11:$X$258)</f>
        <v>0</v>
      </c>
      <c r="K95" s="494">
        <f>SUMIF('A-2 Site Habitat Creation'!$F$11:$F$256,'G-2 Habitat groups'!A95,'A-2 Site Habitat Creation'!$G$11:$G$256)</f>
        <v>0</v>
      </c>
      <c r="L95" s="494">
        <f>SUMIF('A-2 Site Habitat Creation'!$F$11:$F$256,'G-2 Habitat groups'!A95,'A-2 Site Habitat Creation'!$Y$11:$Y$256)</f>
        <v>0</v>
      </c>
      <c r="M95" s="494">
        <f>SUMIF('A-3 Site Habitat Enhancement'!$S$12:$S$257,'G-2 Habitat groups'!A95,'A-3 Site Habitat Enhancement'!$V$12:$V$257)</f>
        <v>0</v>
      </c>
      <c r="N95" s="494">
        <f>SUMIF('A-3 Site Habitat Enhancement'!$S$12:$S$257,'G-2 Habitat groups'!A95,'A-3 Site Habitat Enhancement'!$AN$12:$AN$257)</f>
        <v>0</v>
      </c>
      <c r="O95" s="494">
        <f t="shared" si="63"/>
        <v>0</v>
      </c>
      <c r="P95" s="494">
        <f t="shared" si="64"/>
        <v>0</v>
      </c>
      <c r="Q95" s="494">
        <f t="shared" si="65"/>
        <v>0</v>
      </c>
      <c r="R95" s="494">
        <f t="shared" si="66"/>
        <v>0</v>
      </c>
      <c r="S95" s="494">
        <f>IF(C95="V.High",SUMIF('D-1 Off Site Habitat Baseline'!$G$11:$G$258,'G-2 Habitat groups'!A95,'D-1 Off Site Habitat Baseline'!$S$11:$S$258)+SUMIF('D-1 Off Site Habitat Baseline'!$G$11:$G$258,'G-2 Habitat groups'!A95,'D-1 Off Site Habitat Baseline'!$T$11:$T$258),SUMIF('D-1 Off Site Habitat Baseline'!$G$11:$G$258,'G-2 Habitat groups'!A95,'D-1 Off Site Habitat Baseline'!$H$11:$H$258))</f>
        <v>0</v>
      </c>
      <c r="T95" s="494">
        <f>SUMIF('D-1 Off Site Habitat Baseline'!$G$11:$G$258,'G-2 Habitat groups'!A95,'D-1 Off Site Habitat Baseline'!$Q$11:$Q$258)</f>
        <v>0</v>
      </c>
      <c r="U95" s="591">
        <f>SUMIF('D-1 Off Site Habitat Baseline'!$G$11:$G$258,'G-2 Habitat groups'!A95,'D-1 Off Site Habitat Baseline'!$S$11:$S$258)</f>
        <v>0</v>
      </c>
      <c r="V95" s="494">
        <f>SUMIF('D-1 Off Site Habitat Baseline'!$G$11:$G$258,'G-2 Habitat groups'!A95,'D-1 Off Site Habitat Baseline'!$U$11:$U$258)</f>
        <v>0</v>
      </c>
      <c r="W95" s="494">
        <f>SUMIF('D-2 Off Site Habitat Creation'!$F$9:$F$255,'G-2 Habitat groups'!A95,'D-2 Off Site Habitat Creation'!$G$9:$G$255)</f>
        <v>0</v>
      </c>
      <c r="X95" s="494">
        <f>SUMIF('D-2 Off Site Habitat Creation'!$F$9:$F$255,'G-2 Habitat groups'!A95,'D-2 Off Site Habitat Creation'!$AA$9:$AA$255)</f>
        <v>0</v>
      </c>
      <c r="Y95" s="494">
        <f>SUMIF('D-3 Off Site Habitat Enhancment'!$S$12:$S$491,'G-2 Habitat groups'!A95,'D-3 Off Site Habitat Enhancment'!$V$12:$V$491)</f>
        <v>0</v>
      </c>
      <c r="Z95" s="494">
        <f>SUMIF('D-3 Off Site Habitat Enhancment'!$S$12:$S$491,'G-2 Habitat groups'!A95,'D-3 Off Site Habitat Enhancment'!$AP$12:$AP$491)</f>
        <v>0</v>
      </c>
      <c r="AA95" s="494">
        <f t="shared" si="67"/>
        <v>0</v>
      </c>
      <c r="AB95" s="494">
        <f t="shared" si="68"/>
        <v>0</v>
      </c>
      <c r="AC95" s="494">
        <f t="shared" si="69"/>
        <v>0</v>
      </c>
      <c r="AD95" s="494">
        <f t="shared" si="70"/>
        <v>0</v>
      </c>
      <c r="AE95" s="494">
        <f t="shared" si="71"/>
        <v>0</v>
      </c>
      <c r="AF95" s="494">
        <f t="shared" si="72"/>
        <v>0</v>
      </c>
      <c r="AU95" s="104" t="s">
        <v>689</v>
      </c>
      <c r="AV95" s="88" t="s">
        <v>76</v>
      </c>
      <c r="AW95" s="494">
        <f t="shared" si="89"/>
        <v>0</v>
      </c>
      <c r="AX95" s="494">
        <f t="shared" si="90"/>
        <v>0</v>
      </c>
      <c r="AY95" s="494">
        <f t="shared" si="91"/>
        <v>0</v>
      </c>
      <c r="AZ95" s="494">
        <f t="shared" si="92"/>
        <v>0</v>
      </c>
      <c r="BA95" s="494">
        <f t="shared" si="93"/>
        <v>0</v>
      </c>
      <c r="BB95" s="494">
        <f t="shared" si="94"/>
        <v>0</v>
      </c>
      <c r="BC95" s="494">
        <f t="shared" si="95"/>
        <v>0</v>
      </c>
      <c r="BD95" s="494">
        <f t="shared" si="96"/>
        <v>0</v>
      </c>
      <c r="BE95" s="494">
        <f>BB95+BD95</f>
        <v>0</v>
      </c>
      <c r="BF95" s="494" t="str">
        <f>IF(BE95&lt;0,BE95,"")</f>
        <v/>
      </c>
    </row>
    <row r="96" spans="1:58" x14ac:dyDescent="0.25">
      <c r="A96" s="104" t="str">
        <f>'G-1 All Habitats'!B95</f>
        <v>Woodland and forest - Upland mixed ashwoods</v>
      </c>
      <c r="B96" s="88" t="str">
        <f>'G-1 All Habitats'!F95</f>
        <v>Woodland and forest</v>
      </c>
      <c r="C96" s="88" t="str">
        <f>'G-1 All Habitats'!K95</f>
        <v>High</v>
      </c>
      <c r="D96" s="88" t="str">
        <f>'G-1 All Habitats'!M95</f>
        <v>Same habitat required =</v>
      </c>
      <c r="E96" s="494">
        <f>IF(C96="V.High",SUMIF('A-1 Site Habitat Baseline'!$G$11:$G$258,'G-2 Habitat groups'!A96,'A-1 Site Habitat Baseline'!$S$11:$S$258)+SUMIF('A-1 Site Habitat Baseline'!$G$11:$G$258,'G-2 Habitat groups'!A96,'A-1 Site Habitat Baseline'!$T$11:$T$258),SUMIF('A-1 Site Habitat Baseline'!$G$11:$G$258,'G-2 Habitat groups'!A96,'A-1 Site Habitat Baseline'!$H$11:$H$258))</f>
        <v>0</v>
      </c>
      <c r="F96" s="494">
        <f>SUMIF('A-1 Site Habitat Baseline'!$G$11:$G$258,'G-2 Habitat groups'!A96,'A-1 Site Habitat Baseline'!$Q$11:$Q$258)</f>
        <v>0</v>
      </c>
      <c r="G96" s="494">
        <f>SUMIF('A-1 Site Habitat Baseline'!$G$11:$G$258,'G-2 Habitat groups'!A96,'A-1 Site Habitat Baseline'!$S$11:$S$258)</f>
        <v>0</v>
      </c>
      <c r="H96" s="494">
        <f>SUMIF('A-1 Site Habitat Baseline'!$G$11:$G$258,'G-2 Habitat groups'!A96,'A-1 Site Habitat Baseline'!$U$11:$U$258)</f>
        <v>0</v>
      </c>
      <c r="I96" s="494">
        <f>SUMIF('A-1 Site Habitat Baseline'!$G$11:$G$258,'G-2 Habitat groups'!A96,'A-1 Site Habitat Baseline'!$W$11:$W$258)</f>
        <v>0</v>
      </c>
      <c r="J96" s="494">
        <f>SUMIF('A-1 Site Habitat Baseline'!$G$11:$G$258,'G-2 Habitat groups'!A96,'A-1 Site Habitat Baseline'!$X$11:$X$258)</f>
        <v>0</v>
      </c>
      <c r="K96" s="494">
        <f>SUMIF('A-2 Site Habitat Creation'!$F$11:$F$256,'G-2 Habitat groups'!A96,'A-2 Site Habitat Creation'!$G$11:$G$256)</f>
        <v>0</v>
      </c>
      <c r="L96" s="494">
        <f>SUMIF('A-2 Site Habitat Creation'!$F$11:$F$256,'G-2 Habitat groups'!A96,'A-2 Site Habitat Creation'!$Y$11:$Y$256)</f>
        <v>0</v>
      </c>
      <c r="M96" s="494">
        <f>SUMIF('A-3 Site Habitat Enhancement'!$S$12:$S$257,'G-2 Habitat groups'!A96,'A-3 Site Habitat Enhancement'!$V$12:$V$257)</f>
        <v>0</v>
      </c>
      <c r="N96" s="494">
        <f>SUMIF('A-3 Site Habitat Enhancement'!$S$12:$S$257,'G-2 Habitat groups'!A96,'A-3 Site Habitat Enhancement'!$AN$12:$AN$257)</f>
        <v>0</v>
      </c>
      <c r="O96" s="494">
        <f t="shared" si="63"/>
        <v>0</v>
      </c>
      <c r="P96" s="494">
        <f t="shared" si="64"/>
        <v>0</v>
      </c>
      <c r="Q96" s="494">
        <f t="shared" si="65"/>
        <v>0</v>
      </c>
      <c r="R96" s="494">
        <f t="shared" si="66"/>
        <v>0</v>
      </c>
      <c r="S96" s="494">
        <f>IF(C96="V.High",SUMIF('D-1 Off Site Habitat Baseline'!$G$11:$G$258,'G-2 Habitat groups'!A96,'D-1 Off Site Habitat Baseline'!$S$11:$S$258)+SUMIF('D-1 Off Site Habitat Baseline'!$G$11:$G$258,'G-2 Habitat groups'!A96,'D-1 Off Site Habitat Baseline'!$T$11:$T$258),SUMIF('D-1 Off Site Habitat Baseline'!$G$11:$G$258,'G-2 Habitat groups'!A96,'D-1 Off Site Habitat Baseline'!$H$11:$H$258))</f>
        <v>0</v>
      </c>
      <c r="T96" s="494">
        <f>SUMIF('D-1 Off Site Habitat Baseline'!$G$11:$G$258,'G-2 Habitat groups'!A96,'D-1 Off Site Habitat Baseline'!$Q$11:$Q$258)</f>
        <v>0</v>
      </c>
      <c r="U96" s="591">
        <f>SUMIF('D-1 Off Site Habitat Baseline'!$G$11:$G$258,'G-2 Habitat groups'!A96,'D-1 Off Site Habitat Baseline'!$S$11:$S$258)</f>
        <v>0</v>
      </c>
      <c r="V96" s="494">
        <f>SUMIF('D-1 Off Site Habitat Baseline'!$G$11:$G$258,'G-2 Habitat groups'!A96,'D-1 Off Site Habitat Baseline'!$U$11:$U$258)</f>
        <v>0</v>
      </c>
      <c r="W96" s="494">
        <f>SUMIF('D-2 Off Site Habitat Creation'!$F$9:$F$255,'G-2 Habitat groups'!A96,'D-2 Off Site Habitat Creation'!$G$9:$G$255)</f>
        <v>0</v>
      </c>
      <c r="X96" s="494">
        <f>SUMIF('D-2 Off Site Habitat Creation'!$F$9:$F$255,'G-2 Habitat groups'!A96,'D-2 Off Site Habitat Creation'!$AA$9:$AA$255)</f>
        <v>0</v>
      </c>
      <c r="Y96" s="494">
        <f>SUMIF('D-3 Off Site Habitat Enhancment'!$S$12:$S$491,'G-2 Habitat groups'!A96,'D-3 Off Site Habitat Enhancment'!$V$12:$V$491)</f>
        <v>0</v>
      </c>
      <c r="Z96" s="494">
        <f>SUMIF('D-3 Off Site Habitat Enhancment'!$S$12:$S$491,'G-2 Habitat groups'!A96,'D-3 Off Site Habitat Enhancment'!$AP$12:$AP$491)</f>
        <v>0</v>
      </c>
      <c r="AA96" s="494">
        <f t="shared" si="67"/>
        <v>0</v>
      </c>
      <c r="AB96" s="494">
        <f t="shared" si="68"/>
        <v>0</v>
      </c>
      <c r="AC96" s="494">
        <f t="shared" si="69"/>
        <v>0</v>
      </c>
      <c r="AD96" s="494">
        <f t="shared" si="70"/>
        <v>0</v>
      </c>
      <c r="AE96" s="494">
        <f t="shared" si="71"/>
        <v>0</v>
      </c>
      <c r="AF96" s="494">
        <f t="shared" si="72"/>
        <v>0</v>
      </c>
      <c r="AU96" s="104" t="s">
        <v>692</v>
      </c>
      <c r="AV96" s="88" t="s">
        <v>76</v>
      </c>
      <c r="AW96" s="494">
        <f t="shared" si="89"/>
        <v>0</v>
      </c>
      <c r="AX96" s="494">
        <f t="shared" si="90"/>
        <v>0</v>
      </c>
      <c r="AY96" s="494">
        <f t="shared" si="91"/>
        <v>0</v>
      </c>
      <c r="AZ96" s="494">
        <f t="shared" si="92"/>
        <v>0</v>
      </c>
      <c r="BA96" s="494">
        <f t="shared" si="93"/>
        <v>0</v>
      </c>
      <c r="BB96" s="494">
        <f t="shared" si="94"/>
        <v>0</v>
      </c>
      <c r="BC96" s="494">
        <f t="shared" si="95"/>
        <v>0</v>
      </c>
      <c r="BD96" s="494">
        <f t="shared" si="96"/>
        <v>0</v>
      </c>
      <c r="BE96" s="494">
        <f>BB96+BD96</f>
        <v>0</v>
      </c>
      <c r="BF96" s="494" t="str">
        <f>IF(BE96&lt;0,BE96,"")</f>
        <v/>
      </c>
    </row>
    <row r="97" spans="1:59" x14ac:dyDescent="0.25">
      <c r="A97" s="104" t="str">
        <f>'G-1 All Habitats'!B96</f>
        <v>Woodland and forest - Upland oakwood</v>
      </c>
      <c r="B97" s="88" t="str">
        <f>'G-1 All Habitats'!F96</f>
        <v>Woodland and forest</v>
      </c>
      <c r="C97" s="88" t="str">
        <f>'G-1 All Habitats'!K96</f>
        <v>High</v>
      </c>
      <c r="D97" s="88" t="str">
        <f>'G-1 All Habitats'!M96</f>
        <v>Same habitat required =</v>
      </c>
      <c r="E97" s="494">
        <f>IF(C97="V.High",SUMIF('A-1 Site Habitat Baseline'!$G$11:$G$258,'G-2 Habitat groups'!A97,'A-1 Site Habitat Baseline'!$S$11:$S$258)+SUMIF('A-1 Site Habitat Baseline'!$G$11:$G$258,'G-2 Habitat groups'!A97,'A-1 Site Habitat Baseline'!$T$11:$T$258),SUMIF('A-1 Site Habitat Baseline'!$G$11:$G$258,'G-2 Habitat groups'!A97,'A-1 Site Habitat Baseline'!$H$11:$H$258))</f>
        <v>0</v>
      </c>
      <c r="F97" s="494">
        <f>SUMIF('A-1 Site Habitat Baseline'!$G$11:$G$258,'G-2 Habitat groups'!A97,'A-1 Site Habitat Baseline'!$Q$11:$Q$258)</f>
        <v>0</v>
      </c>
      <c r="G97" s="494">
        <f>SUMIF('A-1 Site Habitat Baseline'!$G$11:$G$258,'G-2 Habitat groups'!A97,'A-1 Site Habitat Baseline'!$S$11:$S$258)</f>
        <v>0</v>
      </c>
      <c r="H97" s="494">
        <f>SUMIF('A-1 Site Habitat Baseline'!$G$11:$G$258,'G-2 Habitat groups'!A97,'A-1 Site Habitat Baseline'!$U$11:$U$258)</f>
        <v>0</v>
      </c>
      <c r="I97" s="494">
        <f>SUMIF('A-1 Site Habitat Baseline'!$G$11:$G$258,'G-2 Habitat groups'!A97,'A-1 Site Habitat Baseline'!$W$11:$W$258)</f>
        <v>0</v>
      </c>
      <c r="J97" s="494">
        <f>SUMIF('A-1 Site Habitat Baseline'!$G$11:$G$258,'G-2 Habitat groups'!A97,'A-1 Site Habitat Baseline'!$X$11:$X$258)</f>
        <v>0</v>
      </c>
      <c r="K97" s="494">
        <f>SUMIF('A-2 Site Habitat Creation'!$F$11:$F$256,'G-2 Habitat groups'!A97,'A-2 Site Habitat Creation'!$G$11:$G$256)</f>
        <v>0</v>
      </c>
      <c r="L97" s="494">
        <f>SUMIF('A-2 Site Habitat Creation'!$F$11:$F$256,'G-2 Habitat groups'!A97,'A-2 Site Habitat Creation'!$Y$11:$Y$256)</f>
        <v>0</v>
      </c>
      <c r="M97" s="494">
        <f>SUMIF('A-3 Site Habitat Enhancement'!$S$12:$S$257,'G-2 Habitat groups'!A97,'A-3 Site Habitat Enhancement'!$V$12:$V$257)</f>
        <v>0</v>
      </c>
      <c r="N97" s="494">
        <f>SUMIF('A-3 Site Habitat Enhancement'!$S$12:$S$257,'G-2 Habitat groups'!A97,'A-3 Site Habitat Enhancement'!$AN$12:$AN$257)</f>
        <v>0</v>
      </c>
      <c r="O97" s="494">
        <f t="shared" si="63"/>
        <v>0</v>
      </c>
      <c r="P97" s="494">
        <f t="shared" si="64"/>
        <v>0</v>
      </c>
      <c r="Q97" s="494">
        <f t="shared" si="65"/>
        <v>0</v>
      </c>
      <c r="R97" s="494">
        <f t="shared" si="66"/>
        <v>0</v>
      </c>
      <c r="S97" s="494">
        <f>IF(C97="V.High",SUMIF('D-1 Off Site Habitat Baseline'!$G$11:$G$258,'G-2 Habitat groups'!A97,'D-1 Off Site Habitat Baseline'!$S$11:$S$258)+SUMIF('D-1 Off Site Habitat Baseline'!$G$11:$G$258,'G-2 Habitat groups'!A97,'D-1 Off Site Habitat Baseline'!$T$11:$T$258),SUMIF('D-1 Off Site Habitat Baseline'!$G$11:$G$258,'G-2 Habitat groups'!A97,'D-1 Off Site Habitat Baseline'!$H$11:$H$258))</f>
        <v>0</v>
      </c>
      <c r="T97" s="494">
        <f>SUMIF('D-1 Off Site Habitat Baseline'!$G$11:$G$258,'G-2 Habitat groups'!A97,'D-1 Off Site Habitat Baseline'!$Q$11:$Q$258)</f>
        <v>0</v>
      </c>
      <c r="U97" s="591">
        <f>SUMIF('D-1 Off Site Habitat Baseline'!$G$11:$G$258,'G-2 Habitat groups'!A97,'D-1 Off Site Habitat Baseline'!$S$11:$S$258)</f>
        <v>0</v>
      </c>
      <c r="V97" s="494">
        <f>SUMIF('D-1 Off Site Habitat Baseline'!$G$11:$G$258,'G-2 Habitat groups'!A97,'D-1 Off Site Habitat Baseline'!$U$11:$U$258)</f>
        <v>0</v>
      </c>
      <c r="W97" s="494">
        <f>SUMIF('D-2 Off Site Habitat Creation'!$F$9:$F$255,'G-2 Habitat groups'!A97,'D-2 Off Site Habitat Creation'!$G$9:$G$255)</f>
        <v>0</v>
      </c>
      <c r="X97" s="494">
        <f>SUMIF('D-2 Off Site Habitat Creation'!$F$9:$F$255,'G-2 Habitat groups'!A97,'D-2 Off Site Habitat Creation'!$AA$9:$AA$255)</f>
        <v>0</v>
      </c>
      <c r="Y97" s="494">
        <f>SUMIF('D-3 Off Site Habitat Enhancment'!$S$12:$S$491,'G-2 Habitat groups'!A97,'D-3 Off Site Habitat Enhancment'!$V$12:$V$491)</f>
        <v>0</v>
      </c>
      <c r="Z97" s="494">
        <f>SUMIF('D-3 Off Site Habitat Enhancment'!$S$12:$S$491,'G-2 Habitat groups'!A97,'D-3 Off Site Habitat Enhancment'!$AP$12:$AP$491)</f>
        <v>0</v>
      </c>
      <c r="AA97" s="494">
        <f t="shared" si="67"/>
        <v>0</v>
      </c>
      <c r="AB97" s="494">
        <f t="shared" si="68"/>
        <v>0</v>
      </c>
      <c r="AC97" s="494">
        <f t="shared" si="69"/>
        <v>0</v>
      </c>
      <c r="AD97" s="494">
        <f t="shared" si="70"/>
        <v>0</v>
      </c>
      <c r="AE97" s="494">
        <f t="shared" si="71"/>
        <v>0</v>
      </c>
      <c r="AF97" s="494">
        <f t="shared" si="72"/>
        <v>0</v>
      </c>
      <c r="AU97" s="104" t="s">
        <v>695</v>
      </c>
      <c r="AV97" s="88" t="s">
        <v>76</v>
      </c>
      <c r="AW97" s="494">
        <f t="shared" si="89"/>
        <v>0</v>
      </c>
      <c r="AX97" s="494">
        <f t="shared" si="90"/>
        <v>0</v>
      </c>
      <c r="AY97" s="494">
        <f t="shared" si="91"/>
        <v>0</v>
      </c>
      <c r="AZ97" s="494">
        <f t="shared" si="92"/>
        <v>0</v>
      </c>
      <c r="BA97" s="494">
        <f t="shared" si="93"/>
        <v>0</v>
      </c>
      <c r="BB97" s="494">
        <f t="shared" si="94"/>
        <v>0</v>
      </c>
      <c r="BC97" s="494">
        <f t="shared" si="95"/>
        <v>0</v>
      </c>
      <c r="BD97" s="494">
        <f t="shared" si="96"/>
        <v>0</v>
      </c>
      <c r="BE97" s="494">
        <f>BB97+BD97</f>
        <v>0</v>
      </c>
      <c r="BF97" s="494" t="str">
        <f>IF(BE97&lt;0,BE97,"")</f>
        <v/>
      </c>
    </row>
    <row r="98" spans="1:59" x14ac:dyDescent="0.25">
      <c r="A98" s="104" t="str">
        <f>'G-1 All Habitats'!B97</f>
        <v>Woodland and forest - Wet woodland</v>
      </c>
      <c r="B98" s="88" t="str">
        <f>'G-1 All Habitats'!F97</f>
        <v>Woodland and forest</v>
      </c>
      <c r="C98" s="88" t="str">
        <f>'G-1 All Habitats'!K97</f>
        <v>High</v>
      </c>
      <c r="D98" s="88" t="str">
        <f>'G-1 All Habitats'!M97</f>
        <v>Same habitat required =</v>
      </c>
      <c r="E98" s="494">
        <f>IF(C98="V.High",SUMIF('A-1 Site Habitat Baseline'!$G$11:$G$258,'G-2 Habitat groups'!A98,'A-1 Site Habitat Baseline'!$S$11:$S$258)+SUMIF('A-1 Site Habitat Baseline'!$G$11:$G$258,'G-2 Habitat groups'!A98,'A-1 Site Habitat Baseline'!$T$11:$T$258),SUMIF('A-1 Site Habitat Baseline'!$G$11:$G$258,'G-2 Habitat groups'!A98,'A-1 Site Habitat Baseline'!$H$11:$H$258))</f>
        <v>0</v>
      </c>
      <c r="F98" s="494">
        <f>SUMIF('A-1 Site Habitat Baseline'!$G$11:$G$258,'G-2 Habitat groups'!A98,'A-1 Site Habitat Baseline'!$Q$11:$Q$258)</f>
        <v>0</v>
      </c>
      <c r="G98" s="494">
        <f>SUMIF('A-1 Site Habitat Baseline'!$G$11:$G$258,'G-2 Habitat groups'!A98,'A-1 Site Habitat Baseline'!$S$11:$S$258)</f>
        <v>0</v>
      </c>
      <c r="H98" s="494">
        <f>SUMIF('A-1 Site Habitat Baseline'!$G$11:$G$258,'G-2 Habitat groups'!A98,'A-1 Site Habitat Baseline'!$U$11:$U$258)</f>
        <v>0</v>
      </c>
      <c r="I98" s="494">
        <f>SUMIF('A-1 Site Habitat Baseline'!$G$11:$G$258,'G-2 Habitat groups'!A98,'A-1 Site Habitat Baseline'!$W$11:$W$258)</f>
        <v>0</v>
      </c>
      <c r="J98" s="494">
        <f>SUMIF('A-1 Site Habitat Baseline'!$G$11:$G$258,'G-2 Habitat groups'!A98,'A-1 Site Habitat Baseline'!$X$11:$X$258)</f>
        <v>0</v>
      </c>
      <c r="K98" s="494">
        <f>SUMIF('A-2 Site Habitat Creation'!$F$11:$F$256,'G-2 Habitat groups'!A98,'A-2 Site Habitat Creation'!$G$11:$G$256)</f>
        <v>0</v>
      </c>
      <c r="L98" s="494">
        <f>SUMIF('A-2 Site Habitat Creation'!$F$11:$F$256,'G-2 Habitat groups'!A98,'A-2 Site Habitat Creation'!$Y$11:$Y$256)</f>
        <v>0</v>
      </c>
      <c r="M98" s="494">
        <f>SUMIF('A-3 Site Habitat Enhancement'!$S$12:$S$257,'G-2 Habitat groups'!A98,'A-3 Site Habitat Enhancement'!$V$12:$V$257)</f>
        <v>0</v>
      </c>
      <c r="N98" s="494">
        <f>SUMIF('A-3 Site Habitat Enhancement'!$S$12:$S$257,'G-2 Habitat groups'!A98,'A-3 Site Habitat Enhancement'!$AN$12:$AN$257)</f>
        <v>0</v>
      </c>
      <c r="O98" s="494">
        <f t="shared" si="63"/>
        <v>0</v>
      </c>
      <c r="P98" s="494">
        <f t="shared" si="64"/>
        <v>0</v>
      </c>
      <c r="Q98" s="494">
        <f t="shared" si="65"/>
        <v>0</v>
      </c>
      <c r="R98" s="494">
        <f t="shared" si="66"/>
        <v>0</v>
      </c>
      <c r="S98" s="494">
        <f>IF(C98="V.High",SUMIF('D-1 Off Site Habitat Baseline'!$G$11:$G$258,'G-2 Habitat groups'!A98,'D-1 Off Site Habitat Baseline'!$S$11:$S$258)+SUMIF('D-1 Off Site Habitat Baseline'!$G$11:$G$258,'G-2 Habitat groups'!A98,'D-1 Off Site Habitat Baseline'!$T$11:$T$258),SUMIF('D-1 Off Site Habitat Baseline'!$G$11:$G$258,'G-2 Habitat groups'!A98,'D-1 Off Site Habitat Baseline'!$H$11:$H$258))</f>
        <v>0</v>
      </c>
      <c r="T98" s="494">
        <f>SUMIF('D-1 Off Site Habitat Baseline'!$G$11:$G$258,'G-2 Habitat groups'!A98,'D-1 Off Site Habitat Baseline'!$Q$11:$Q$258)</f>
        <v>0</v>
      </c>
      <c r="U98" s="591">
        <f>SUMIF('D-1 Off Site Habitat Baseline'!$G$11:$G$258,'G-2 Habitat groups'!A98,'D-1 Off Site Habitat Baseline'!$S$11:$S$258)</f>
        <v>0</v>
      </c>
      <c r="V98" s="494">
        <f>SUMIF('D-1 Off Site Habitat Baseline'!$G$11:$G$258,'G-2 Habitat groups'!A98,'D-1 Off Site Habitat Baseline'!$U$11:$U$258)</f>
        <v>0</v>
      </c>
      <c r="W98" s="494">
        <f>SUMIF('D-2 Off Site Habitat Creation'!$F$9:$F$255,'G-2 Habitat groups'!A98,'D-2 Off Site Habitat Creation'!$G$9:$G$255)</f>
        <v>0</v>
      </c>
      <c r="X98" s="494">
        <f>SUMIF('D-2 Off Site Habitat Creation'!$F$9:$F$255,'G-2 Habitat groups'!A98,'D-2 Off Site Habitat Creation'!$AA$9:$AA$255)</f>
        <v>0</v>
      </c>
      <c r="Y98" s="494">
        <f>SUMIF('D-3 Off Site Habitat Enhancment'!$S$12:$S$491,'G-2 Habitat groups'!A98,'D-3 Off Site Habitat Enhancment'!$V$12:$V$491)</f>
        <v>0</v>
      </c>
      <c r="Z98" s="494">
        <f>SUMIF('D-3 Off Site Habitat Enhancment'!$S$12:$S$491,'G-2 Habitat groups'!A98,'D-3 Off Site Habitat Enhancment'!$AP$12:$AP$491)</f>
        <v>0</v>
      </c>
      <c r="AA98" s="494">
        <f t="shared" si="67"/>
        <v>0</v>
      </c>
      <c r="AB98" s="494">
        <f t="shared" si="68"/>
        <v>0</v>
      </c>
      <c r="AC98" s="494">
        <f t="shared" si="69"/>
        <v>0</v>
      </c>
      <c r="AD98" s="494">
        <f t="shared" si="70"/>
        <v>0</v>
      </c>
      <c r="AE98" s="494">
        <f t="shared" si="71"/>
        <v>0</v>
      </c>
      <c r="AF98" s="494">
        <f t="shared" si="72"/>
        <v>0</v>
      </c>
      <c r="AU98" s="104" t="s">
        <v>755</v>
      </c>
      <c r="AV98" s="88" t="s">
        <v>77</v>
      </c>
      <c r="AW98" s="494">
        <f t="shared" si="89"/>
        <v>0</v>
      </c>
      <c r="AX98" s="494">
        <f t="shared" si="90"/>
        <v>0</v>
      </c>
      <c r="AY98" s="494">
        <f t="shared" si="91"/>
        <v>0</v>
      </c>
      <c r="AZ98" s="494">
        <f t="shared" si="92"/>
        <v>0</v>
      </c>
      <c r="BA98" s="494">
        <f t="shared" si="93"/>
        <v>0</v>
      </c>
      <c r="BB98" s="494">
        <f t="shared" si="94"/>
        <v>0</v>
      </c>
      <c r="BC98" s="494">
        <f t="shared" si="95"/>
        <v>0</v>
      </c>
      <c r="BD98" s="494">
        <f t="shared" si="96"/>
        <v>0</v>
      </c>
      <c r="BE98" s="494">
        <f t="shared" ref="BE98:BE99" si="101">BB98+BD98</f>
        <v>0</v>
      </c>
      <c r="BF98" s="494" t="str">
        <f t="shared" ref="BF98:BF99" si="102">IF(BE98&lt;0,BE98,"")</f>
        <v/>
      </c>
    </row>
    <row r="99" spans="1:59" x14ac:dyDescent="0.25">
      <c r="A99" s="104" t="str">
        <f>'G-1 All Habitats'!B98</f>
        <v>Woodland and forest - Wood-pasture and parkland</v>
      </c>
      <c r="B99" s="88" t="str">
        <f>'G-1 All Habitats'!F98</f>
        <v>Woodland and forest</v>
      </c>
      <c r="C99" s="88" t="str">
        <f>'G-1 All Habitats'!K98</f>
        <v>V.High</v>
      </c>
      <c r="D99" s="88" t="str">
        <f>'G-1 All Habitats'!M98</f>
        <v>Bespoke compensation likely to be required 🛠</v>
      </c>
      <c r="E99" s="494">
        <f>IF(C99="V.High",SUMIF('A-1 Site Habitat Baseline'!$G$11:$G$258,'G-2 Habitat groups'!A99,'A-1 Site Habitat Baseline'!$S$11:$S$258)+SUMIF('A-1 Site Habitat Baseline'!$G$11:$G$258,'G-2 Habitat groups'!A99,'A-1 Site Habitat Baseline'!$T$11:$T$258),SUMIF('A-1 Site Habitat Baseline'!$G$11:$G$258,'G-2 Habitat groups'!A99,'A-1 Site Habitat Baseline'!$H$11:$H$258))</f>
        <v>0</v>
      </c>
      <c r="F99" s="494">
        <f>SUMIF('A-1 Site Habitat Baseline'!$G$11:$G$258,'G-2 Habitat groups'!A99,'A-1 Site Habitat Baseline'!$Q$11:$Q$258)</f>
        <v>0</v>
      </c>
      <c r="G99" s="494">
        <f>SUMIF('A-1 Site Habitat Baseline'!$G$11:$G$258,'G-2 Habitat groups'!A99,'A-1 Site Habitat Baseline'!$S$11:$S$258)</f>
        <v>0</v>
      </c>
      <c r="H99" s="494">
        <f>SUMIF('A-1 Site Habitat Baseline'!$G$11:$G$258,'G-2 Habitat groups'!A99,'A-1 Site Habitat Baseline'!$U$11:$U$258)</f>
        <v>0</v>
      </c>
      <c r="I99" s="494">
        <f>SUMIF('A-1 Site Habitat Baseline'!$G$11:$G$258,'G-2 Habitat groups'!A99,'A-1 Site Habitat Baseline'!$W$11:$W$258)</f>
        <v>0</v>
      </c>
      <c r="J99" s="494">
        <f>SUMIF('A-1 Site Habitat Baseline'!$G$11:$G$258,'G-2 Habitat groups'!A99,'A-1 Site Habitat Baseline'!$X$11:$X$258)</f>
        <v>0</v>
      </c>
      <c r="K99" s="494">
        <f>SUMIF('A-2 Site Habitat Creation'!$F$11:$F$256,'G-2 Habitat groups'!A99,'A-2 Site Habitat Creation'!$G$11:$G$256)</f>
        <v>0</v>
      </c>
      <c r="L99" s="494">
        <f>SUMIF('A-2 Site Habitat Creation'!$F$11:$F$256,'G-2 Habitat groups'!A99,'A-2 Site Habitat Creation'!$Y$11:$Y$256)</f>
        <v>0</v>
      </c>
      <c r="M99" s="494">
        <f>SUMIF('A-3 Site Habitat Enhancement'!$S$12:$S$257,'G-2 Habitat groups'!A99,'A-3 Site Habitat Enhancement'!$V$12:$V$257)</f>
        <v>0</v>
      </c>
      <c r="N99" s="494">
        <f>SUMIF('A-3 Site Habitat Enhancement'!$S$12:$S$257,'G-2 Habitat groups'!A99,'A-3 Site Habitat Enhancement'!$AN$12:$AN$257)</f>
        <v>0</v>
      </c>
      <c r="O99" s="494">
        <f t="shared" ref="O99:O130" si="103">G99+K99+M99</f>
        <v>0</v>
      </c>
      <c r="P99" s="494">
        <f t="shared" ref="P99:P130" si="104">H99+L99+N99</f>
        <v>0</v>
      </c>
      <c r="Q99" s="494">
        <f t="shared" ref="Q99:Q130" si="105">O99-E99</f>
        <v>0</v>
      </c>
      <c r="R99" s="494">
        <f t="shared" ref="R99:R130" si="106">P99-F99</f>
        <v>0</v>
      </c>
      <c r="S99" s="494">
        <f>IF(C99="V.High",SUMIF('D-1 Off Site Habitat Baseline'!$G$11:$G$258,'G-2 Habitat groups'!A99,'D-1 Off Site Habitat Baseline'!$S$11:$S$258)+SUMIF('D-1 Off Site Habitat Baseline'!$G$11:$G$258,'G-2 Habitat groups'!A99,'D-1 Off Site Habitat Baseline'!$T$11:$T$258),SUMIF('D-1 Off Site Habitat Baseline'!$G$11:$G$258,'G-2 Habitat groups'!A99,'D-1 Off Site Habitat Baseline'!$H$11:$H$258))</f>
        <v>0</v>
      </c>
      <c r="T99" s="494">
        <f>SUMIF('D-1 Off Site Habitat Baseline'!$G$11:$G$258,'G-2 Habitat groups'!A99,'D-1 Off Site Habitat Baseline'!$Q$11:$Q$258)</f>
        <v>0</v>
      </c>
      <c r="U99" s="591">
        <f>SUMIF('D-1 Off Site Habitat Baseline'!$G$11:$G$258,'G-2 Habitat groups'!A99,'D-1 Off Site Habitat Baseline'!$S$11:$S$258)</f>
        <v>0</v>
      </c>
      <c r="V99" s="494">
        <f>SUMIF('D-1 Off Site Habitat Baseline'!$G$11:$G$258,'G-2 Habitat groups'!A99,'D-1 Off Site Habitat Baseline'!$U$11:$U$258)</f>
        <v>0</v>
      </c>
      <c r="W99" s="494">
        <f>SUMIF('D-2 Off Site Habitat Creation'!$F$9:$F$255,'G-2 Habitat groups'!A99,'D-2 Off Site Habitat Creation'!$G$9:$G$255)</f>
        <v>0</v>
      </c>
      <c r="X99" s="494">
        <f>SUMIF('D-2 Off Site Habitat Creation'!$F$9:$F$255,'G-2 Habitat groups'!A99,'D-2 Off Site Habitat Creation'!$AA$9:$AA$255)</f>
        <v>0</v>
      </c>
      <c r="Y99" s="494">
        <f>SUMIF('D-3 Off Site Habitat Enhancment'!$S$12:$S$491,'G-2 Habitat groups'!A99,'D-3 Off Site Habitat Enhancment'!$V$12:$V$491)</f>
        <v>0</v>
      </c>
      <c r="Z99" s="494">
        <f>SUMIF('D-3 Off Site Habitat Enhancment'!$S$12:$S$491,'G-2 Habitat groups'!A99,'D-3 Off Site Habitat Enhancment'!$AP$12:$AP$491)</f>
        <v>0</v>
      </c>
      <c r="AA99" s="494">
        <f t="shared" ref="AA99:AA131" si="107">U99+W99+Y99</f>
        <v>0</v>
      </c>
      <c r="AB99" s="494">
        <f t="shared" ref="AB99:AB131" si="108">V99+X99+Z99</f>
        <v>0</v>
      </c>
      <c r="AC99" s="494">
        <f t="shared" ref="AC99:AC130" si="109">AA99-S99</f>
        <v>0</v>
      </c>
      <c r="AD99" s="494">
        <f t="shared" ref="AD99:AD130" si="110">AB99-T99</f>
        <v>0</v>
      </c>
      <c r="AE99" s="494">
        <f t="shared" ref="AE99:AE130" si="111">Q99+AC99</f>
        <v>0</v>
      </c>
      <c r="AF99" s="494">
        <f t="shared" ref="AF99:AF130" si="112">R99+AD99</f>
        <v>0</v>
      </c>
      <c r="AU99" s="130" t="s">
        <v>803</v>
      </c>
      <c r="AV99" s="88" t="s">
        <v>77</v>
      </c>
      <c r="AW99" s="494">
        <f t="shared" si="89"/>
        <v>0</v>
      </c>
      <c r="AX99" s="494">
        <f t="shared" si="90"/>
        <v>0</v>
      </c>
      <c r="AY99" s="494">
        <f t="shared" si="91"/>
        <v>0</v>
      </c>
      <c r="AZ99" s="494">
        <f t="shared" si="92"/>
        <v>0</v>
      </c>
      <c r="BA99" s="494">
        <f t="shared" si="93"/>
        <v>0</v>
      </c>
      <c r="BB99" s="494">
        <f t="shared" si="94"/>
        <v>0</v>
      </c>
      <c r="BC99" s="494">
        <f t="shared" si="95"/>
        <v>0</v>
      </c>
      <c r="BD99" s="494">
        <f t="shared" si="96"/>
        <v>0</v>
      </c>
      <c r="BE99" s="494">
        <f t="shared" si="101"/>
        <v>0</v>
      </c>
      <c r="BF99" s="494" t="str">
        <f t="shared" si="102"/>
        <v/>
      </c>
    </row>
    <row r="100" spans="1:59" ht="27.6" x14ac:dyDescent="0.25">
      <c r="A100" s="104" t="str">
        <f>'G-1 All Habitats'!B99</f>
        <v>Coastal lagoons - Coastal lagoons</v>
      </c>
      <c r="B100" s="88" t="str">
        <f>'G-1 All Habitats'!F99</f>
        <v>Coastal lagoons</v>
      </c>
      <c r="C100" s="88" t="str">
        <f>'G-1 All Habitats'!K99</f>
        <v>High</v>
      </c>
      <c r="D100" s="88" t="str">
        <f>'G-1 All Habitats'!M99</f>
        <v>Same habitat required =</v>
      </c>
      <c r="E100" s="494">
        <f>IF(C100="V.High",SUMIF('A-1 Site Habitat Baseline'!$G$11:$G$258,'G-2 Habitat groups'!A100,'A-1 Site Habitat Baseline'!$S$11:$S$258)+SUMIF('A-1 Site Habitat Baseline'!$G$11:$G$258,'G-2 Habitat groups'!A100,'A-1 Site Habitat Baseline'!$T$11:$T$258),SUMIF('A-1 Site Habitat Baseline'!$G$11:$G$258,'G-2 Habitat groups'!A100,'A-1 Site Habitat Baseline'!$H$11:$H$258))</f>
        <v>0</v>
      </c>
      <c r="F100" s="494">
        <f>SUMIF('A-1 Site Habitat Baseline'!$G$11:$G$258,'G-2 Habitat groups'!A100,'A-1 Site Habitat Baseline'!$Q$11:$Q$258)</f>
        <v>0</v>
      </c>
      <c r="G100" s="494">
        <f>SUMIF('A-1 Site Habitat Baseline'!$G$11:$G$258,'G-2 Habitat groups'!A100,'A-1 Site Habitat Baseline'!$S$11:$S$258)</f>
        <v>0</v>
      </c>
      <c r="H100" s="494">
        <f>SUMIF('A-1 Site Habitat Baseline'!$G$11:$G$258,'G-2 Habitat groups'!A100,'A-1 Site Habitat Baseline'!$U$11:$U$258)</f>
        <v>0</v>
      </c>
      <c r="I100" s="494">
        <f>SUMIF('A-1 Site Habitat Baseline'!$G$11:$G$258,'G-2 Habitat groups'!A100,'A-1 Site Habitat Baseline'!$W$11:$W$258)</f>
        <v>0</v>
      </c>
      <c r="J100" s="494">
        <f>SUMIF('A-1 Site Habitat Baseline'!$G$11:$G$258,'G-2 Habitat groups'!A100,'A-1 Site Habitat Baseline'!$X$11:$X$258)</f>
        <v>0</v>
      </c>
      <c r="K100" s="494">
        <f>SUMIF('A-2 Site Habitat Creation'!$F$11:$F$256,'G-2 Habitat groups'!A100,'A-2 Site Habitat Creation'!$G$11:$G$256)</f>
        <v>0</v>
      </c>
      <c r="L100" s="494">
        <f>SUMIF('A-2 Site Habitat Creation'!$F$11:$F$256,'G-2 Habitat groups'!A100,'A-2 Site Habitat Creation'!$Y$11:$Y$256)</f>
        <v>0</v>
      </c>
      <c r="M100" s="494">
        <f>SUMIF('A-3 Site Habitat Enhancement'!$S$12:$S$257,'G-2 Habitat groups'!A100,'A-3 Site Habitat Enhancement'!$V$12:$V$257)</f>
        <v>0</v>
      </c>
      <c r="N100" s="494">
        <f>SUMIF('A-3 Site Habitat Enhancement'!$S$12:$S$257,'G-2 Habitat groups'!A100,'A-3 Site Habitat Enhancement'!$AN$12:$AN$257)</f>
        <v>0</v>
      </c>
      <c r="O100" s="494">
        <f t="shared" si="103"/>
        <v>0</v>
      </c>
      <c r="P100" s="494">
        <f t="shared" si="104"/>
        <v>0</v>
      </c>
      <c r="Q100" s="494">
        <f t="shared" si="105"/>
        <v>0</v>
      </c>
      <c r="R100" s="494">
        <f t="shared" si="106"/>
        <v>0</v>
      </c>
      <c r="S100" s="494">
        <f>IF(C100="V.High",SUMIF('D-1 Off Site Habitat Baseline'!$G$11:$G$258,'G-2 Habitat groups'!A100,'D-1 Off Site Habitat Baseline'!$S$11:$S$258)+SUMIF('D-1 Off Site Habitat Baseline'!$G$11:$G$258,'G-2 Habitat groups'!A100,'D-1 Off Site Habitat Baseline'!$T$11:$T$258),SUMIF('D-1 Off Site Habitat Baseline'!$G$11:$G$258,'G-2 Habitat groups'!A100,'D-1 Off Site Habitat Baseline'!$H$11:$H$258))</f>
        <v>0</v>
      </c>
      <c r="T100" s="494">
        <f>SUMIF('D-1 Off Site Habitat Baseline'!$G$11:$G$258,'G-2 Habitat groups'!A100,'D-1 Off Site Habitat Baseline'!$Q$11:$Q$258)</f>
        <v>0</v>
      </c>
      <c r="U100" s="591">
        <f>SUMIF('D-1 Off Site Habitat Baseline'!$G$11:$G$258,'G-2 Habitat groups'!A100,'D-1 Off Site Habitat Baseline'!$S$11:$S$258)</f>
        <v>0</v>
      </c>
      <c r="V100" s="494">
        <f>SUMIF('D-1 Off Site Habitat Baseline'!$G$11:$G$258,'G-2 Habitat groups'!A100,'D-1 Off Site Habitat Baseline'!$U$11:$U$258)</f>
        <v>0</v>
      </c>
      <c r="W100" s="494">
        <f>SUMIF('D-2 Off Site Habitat Creation'!$F$9:$F$255,'G-2 Habitat groups'!A100,'D-2 Off Site Habitat Creation'!$G$9:$G$255)</f>
        <v>0</v>
      </c>
      <c r="X100" s="494">
        <f>SUMIF('D-2 Off Site Habitat Creation'!$F$9:$F$255,'G-2 Habitat groups'!A100,'D-2 Off Site Habitat Creation'!$AA$9:$AA$255)</f>
        <v>0</v>
      </c>
      <c r="Y100" s="494">
        <f>SUMIF('D-3 Off Site Habitat Enhancment'!$S$12:$S$491,'G-2 Habitat groups'!A100,'D-3 Off Site Habitat Enhancment'!$V$12:$V$491)</f>
        <v>0</v>
      </c>
      <c r="Z100" s="494">
        <f>SUMIF('D-3 Off Site Habitat Enhancment'!$S$12:$S$491,'G-2 Habitat groups'!A100,'D-3 Off Site Habitat Enhancment'!$AP$12:$AP$491)</f>
        <v>0</v>
      </c>
      <c r="AA100" s="494">
        <f t="shared" si="107"/>
        <v>0</v>
      </c>
      <c r="AB100" s="494">
        <f t="shared" si="108"/>
        <v>0</v>
      </c>
      <c r="AC100" s="494">
        <f t="shared" si="109"/>
        <v>0</v>
      </c>
      <c r="AD100" s="494">
        <f t="shared" si="110"/>
        <v>0</v>
      </c>
      <c r="AE100" s="494">
        <f t="shared" si="111"/>
        <v>0</v>
      </c>
      <c r="AF100" s="494">
        <f t="shared" si="112"/>
        <v>0</v>
      </c>
      <c r="AU100" s="130" t="s">
        <v>815</v>
      </c>
      <c r="AV100" s="328" t="s">
        <v>869</v>
      </c>
      <c r="AW100" s="592">
        <f t="shared" si="89"/>
        <v>0</v>
      </c>
      <c r="AX100" s="592">
        <f t="shared" si="90"/>
        <v>0</v>
      </c>
      <c r="AY100" s="592">
        <f t="shared" si="91"/>
        <v>0</v>
      </c>
      <c r="AZ100" s="592">
        <f t="shared" si="92"/>
        <v>0</v>
      </c>
      <c r="BA100" s="592">
        <f t="shared" si="93"/>
        <v>0</v>
      </c>
      <c r="BB100" s="592">
        <f t="shared" si="94"/>
        <v>0</v>
      </c>
      <c r="BC100" s="592">
        <f t="shared" si="95"/>
        <v>0</v>
      </c>
      <c r="BD100" s="592">
        <f t="shared" si="96"/>
        <v>0</v>
      </c>
      <c r="BE100" s="592">
        <f t="shared" ref="BE100" si="113">BB100+BD100</f>
        <v>0</v>
      </c>
      <c r="BF100" s="592" t="str">
        <f t="shared" ref="BF100" si="114">IF(BE100&lt;0,BE100,"")</f>
        <v/>
      </c>
    </row>
    <row r="101" spans="1:59" x14ac:dyDescent="0.25">
      <c r="A101" s="104" t="str">
        <f>'G-1 All Habitats'!B100</f>
        <v>Rocky shore - High energy littoral rock</v>
      </c>
      <c r="B101" s="88" t="str">
        <f>'G-1 All Habitats'!F100</f>
        <v xml:space="preserve">Rocky shore </v>
      </c>
      <c r="C101" s="88" t="str">
        <f>'G-1 All Habitats'!K100</f>
        <v>High</v>
      </c>
      <c r="D101" s="88" t="str">
        <f>'G-1 All Habitats'!M100</f>
        <v>Same habitat required =</v>
      </c>
      <c r="E101" s="494">
        <f>IF(C101="V.High",SUMIF('A-1 Site Habitat Baseline'!$G$11:$G$258,'G-2 Habitat groups'!A101,'A-1 Site Habitat Baseline'!$S$11:$S$258)+SUMIF('A-1 Site Habitat Baseline'!$G$11:$G$258,'G-2 Habitat groups'!A101,'A-1 Site Habitat Baseline'!$T$11:$T$258),SUMIF('A-1 Site Habitat Baseline'!$G$11:$G$258,'G-2 Habitat groups'!A101,'A-1 Site Habitat Baseline'!$H$11:$H$258))</f>
        <v>0</v>
      </c>
      <c r="F101" s="494">
        <f>SUMIF('A-1 Site Habitat Baseline'!$G$11:$G$258,'G-2 Habitat groups'!A101,'A-1 Site Habitat Baseline'!$Q$11:$Q$258)</f>
        <v>0</v>
      </c>
      <c r="G101" s="494">
        <f>SUMIF('A-1 Site Habitat Baseline'!$G$11:$G$258,'G-2 Habitat groups'!A101,'A-1 Site Habitat Baseline'!$S$11:$S$258)</f>
        <v>0</v>
      </c>
      <c r="H101" s="494">
        <f>SUMIF('A-1 Site Habitat Baseline'!$G$11:$G$258,'G-2 Habitat groups'!A101,'A-1 Site Habitat Baseline'!$U$11:$U$258)</f>
        <v>0</v>
      </c>
      <c r="I101" s="494">
        <f>SUMIF('A-1 Site Habitat Baseline'!$G$11:$G$258,'G-2 Habitat groups'!A101,'A-1 Site Habitat Baseline'!$W$11:$W$258)</f>
        <v>0</v>
      </c>
      <c r="J101" s="494">
        <f>SUMIF('A-1 Site Habitat Baseline'!$G$11:$G$258,'G-2 Habitat groups'!A101,'A-1 Site Habitat Baseline'!$X$11:$X$258)</f>
        <v>0</v>
      </c>
      <c r="K101" s="494">
        <f>SUMIF('A-2 Site Habitat Creation'!$F$11:$F$256,'G-2 Habitat groups'!A101,'A-2 Site Habitat Creation'!$G$11:$G$256)</f>
        <v>0</v>
      </c>
      <c r="L101" s="494">
        <f>SUMIF('A-2 Site Habitat Creation'!$F$11:$F$256,'G-2 Habitat groups'!A101,'A-2 Site Habitat Creation'!$Y$11:$Y$256)</f>
        <v>0</v>
      </c>
      <c r="M101" s="494">
        <f>SUMIF('A-3 Site Habitat Enhancement'!$S$12:$S$257,'G-2 Habitat groups'!A101,'A-3 Site Habitat Enhancement'!$V$12:$V$257)</f>
        <v>0</v>
      </c>
      <c r="N101" s="494">
        <f>SUMIF('A-3 Site Habitat Enhancement'!$S$12:$S$257,'G-2 Habitat groups'!A101,'A-3 Site Habitat Enhancement'!$AN$12:$AN$257)</f>
        <v>0</v>
      </c>
      <c r="O101" s="494">
        <f t="shared" si="103"/>
        <v>0</v>
      </c>
      <c r="P101" s="494">
        <f t="shared" si="104"/>
        <v>0</v>
      </c>
      <c r="Q101" s="494">
        <f t="shared" si="105"/>
        <v>0</v>
      </c>
      <c r="R101" s="494">
        <f t="shared" si="106"/>
        <v>0</v>
      </c>
      <c r="S101" s="494">
        <f>IF(C101="V.High",SUMIF('D-1 Off Site Habitat Baseline'!$G$11:$G$258,'G-2 Habitat groups'!A101,'D-1 Off Site Habitat Baseline'!$S$11:$S$258)+SUMIF('D-1 Off Site Habitat Baseline'!$G$11:$G$258,'G-2 Habitat groups'!A101,'D-1 Off Site Habitat Baseline'!$T$11:$T$258),SUMIF('D-1 Off Site Habitat Baseline'!$G$11:$G$258,'G-2 Habitat groups'!A101,'D-1 Off Site Habitat Baseline'!$H$11:$H$258))</f>
        <v>0</v>
      </c>
      <c r="T101" s="494">
        <f>SUMIF('D-1 Off Site Habitat Baseline'!$G$11:$G$258,'G-2 Habitat groups'!A101,'D-1 Off Site Habitat Baseline'!$Q$11:$Q$258)</f>
        <v>0</v>
      </c>
      <c r="U101" s="591">
        <f>SUMIF('D-1 Off Site Habitat Baseline'!$G$11:$G$258,'G-2 Habitat groups'!A101,'D-1 Off Site Habitat Baseline'!$S$11:$S$258)</f>
        <v>0</v>
      </c>
      <c r="V101" s="494">
        <f>SUMIF('D-1 Off Site Habitat Baseline'!$G$11:$G$258,'G-2 Habitat groups'!A101,'D-1 Off Site Habitat Baseline'!$U$11:$U$258)</f>
        <v>0</v>
      </c>
      <c r="W101" s="494">
        <f>SUMIF('D-2 Off Site Habitat Creation'!$F$9:$F$255,'G-2 Habitat groups'!A101,'D-2 Off Site Habitat Creation'!$G$9:$G$255)</f>
        <v>0</v>
      </c>
      <c r="X101" s="494">
        <f>SUMIF('D-2 Off Site Habitat Creation'!$F$9:$F$255,'G-2 Habitat groups'!A101,'D-2 Off Site Habitat Creation'!$AA$9:$AA$255)</f>
        <v>0</v>
      </c>
      <c r="Y101" s="494">
        <f>SUMIF('D-3 Off Site Habitat Enhancment'!$S$12:$S$491,'G-2 Habitat groups'!A101,'D-3 Off Site Habitat Enhancment'!$V$12:$V$491)</f>
        <v>0</v>
      </c>
      <c r="Z101" s="494">
        <f>SUMIF('D-3 Off Site Habitat Enhancment'!$S$12:$S$491,'G-2 Habitat groups'!A101,'D-3 Off Site Habitat Enhancment'!$AP$12:$AP$491)</f>
        <v>0</v>
      </c>
      <c r="AA101" s="494">
        <f t="shared" si="107"/>
        <v>0</v>
      </c>
      <c r="AB101" s="494">
        <f t="shared" si="108"/>
        <v>0</v>
      </c>
      <c r="AC101" s="494">
        <f t="shared" si="109"/>
        <v>0</v>
      </c>
      <c r="AD101" s="494">
        <f t="shared" si="110"/>
        <v>0</v>
      </c>
      <c r="AE101" s="494">
        <f t="shared" si="111"/>
        <v>0</v>
      </c>
      <c r="AF101" s="494">
        <f t="shared" si="112"/>
        <v>0</v>
      </c>
    </row>
    <row r="102" spans="1:59" x14ac:dyDescent="0.25">
      <c r="A102" s="104" t="str">
        <f>'G-1 All Habitats'!B101</f>
        <v>Rocky shore - High energy littoral rock - on peat, clay or chalk</v>
      </c>
      <c r="B102" s="88" t="str">
        <f>'G-1 All Habitats'!F101</f>
        <v xml:space="preserve">Rocky shore </v>
      </c>
      <c r="C102" s="88" t="str">
        <f>'G-1 All Habitats'!K101</f>
        <v>V.High</v>
      </c>
      <c r="D102" s="88" t="str">
        <f>'G-1 All Habitats'!M101</f>
        <v>Bespoke compensation likely to be required 🛠</v>
      </c>
      <c r="E102" s="494">
        <f>IF(C102="V.High",SUMIF('A-1 Site Habitat Baseline'!$G$11:$G$258,'G-2 Habitat groups'!A102,'A-1 Site Habitat Baseline'!$S$11:$S$258)+SUMIF('A-1 Site Habitat Baseline'!$G$11:$G$258,'G-2 Habitat groups'!A102,'A-1 Site Habitat Baseline'!$T$11:$T$258),SUMIF('A-1 Site Habitat Baseline'!$G$11:$G$258,'G-2 Habitat groups'!A102,'A-1 Site Habitat Baseline'!$H$11:$H$258))</f>
        <v>0</v>
      </c>
      <c r="F102" s="494">
        <f>SUMIF('A-1 Site Habitat Baseline'!$G$11:$G$258,'G-2 Habitat groups'!A102,'A-1 Site Habitat Baseline'!$Q$11:$Q$258)</f>
        <v>0</v>
      </c>
      <c r="G102" s="494">
        <f>SUMIF('A-1 Site Habitat Baseline'!$G$11:$G$258,'G-2 Habitat groups'!A102,'A-1 Site Habitat Baseline'!$S$11:$S$258)</f>
        <v>0</v>
      </c>
      <c r="H102" s="494">
        <f>SUMIF('A-1 Site Habitat Baseline'!$G$11:$G$258,'G-2 Habitat groups'!A102,'A-1 Site Habitat Baseline'!$U$11:$U$258)</f>
        <v>0</v>
      </c>
      <c r="I102" s="494">
        <f>SUMIF('A-1 Site Habitat Baseline'!$G$11:$G$258,'G-2 Habitat groups'!A102,'A-1 Site Habitat Baseline'!$W$11:$W$258)</f>
        <v>0</v>
      </c>
      <c r="J102" s="494">
        <f>SUMIF('A-1 Site Habitat Baseline'!$G$11:$G$258,'G-2 Habitat groups'!A102,'A-1 Site Habitat Baseline'!$X$11:$X$258)</f>
        <v>0</v>
      </c>
      <c r="K102" s="494">
        <f>SUMIF('A-2 Site Habitat Creation'!$F$11:$F$256,'G-2 Habitat groups'!A102,'A-2 Site Habitat Creation'!$G$11:$G$256)</f>
        <v>0</v>
      </c>
      <c r="L102" s="494">
        <f>SUMIF('A-2 Site Habitat Creation'!$F$11:$F$256,'G-2 Habitat groups'!A102,'A-2 Site Habitat Creation'!$Y$11:$Y$256)</f>
        <v>0</v>
      </c>
      <c r="M102" s="494">
        <f>SUMIF('A-3 Site Habitat Enhancement'!$S$12:$S$257,'G-2 Habitat groups'!A102,'A-3 Site Habitat Enhancement'!$V$12:$V$257)</f>
        <v>0</v>
      </c>
      <c r="N102" s="494">
        <f>SUMIF('A-3 Site Habitat Enhancement'!$S$12:$S$257,'G-2 Habitat groups'!A102,'A-3 Site Habitat Enhancement'!$AN$12:$AN$257)</f>
        <v>0</v>
      </c>
      <c r="O102" s="494">
        <f t="shared" si="103"/>
        <v>0</v>
      </c>
      <c r="P102" s="494">
        <f t="shared" si="104"/>
        <v>0</v>
      </c>
      <c r="Q102" s="494">
        <f t="shared" si="105"/>
        <v>0</v>
      </c>
      <c r="R102" s="494">
        <f t="shared" si="106"/>
        <v>0</v>
      </c>
      <c r="S102" s="494">
        <f>IF(C102="V.High",SUMIF('D-1 Off Site Habitat Baseline'!$G$11:$G$258,'G-2 Habitat groups'!A102,'D-1 Off Site Habitat Baseline'!$S$11:$S$258)+SUMIF('D-1 Off Site Habitat Baseline'!$G$11:$G$258,'G-2 Habitat groups'!A102,'D-1 Off Site Habitat Baseline'!$T$11:$T$258),SUMIF('D-1 Off Site Habitat Baseline'!$G$11:$G$258,'G-2 Habitat groups'!A102,'D-1 Off Site Habitat Baseline'!$H$11:$H$258))</f>
        <v>0</v>
      </c>
      <c r="T102" s="494">
        <f>SUMIF('D-1 Off Site Habitat Baseline'!$G$11:$G$258,'G-2 Habitat groups'!A102,'D-1 Off Site Habitat Baseline'!$Q$11:$Q$258)</f>
        <v>0</v>
      </c>
      <c r="U102" s="591">
        <f>SUMIF('D-1 Off Site Habitat Baseline'!$G$11:$G$258,'G-2 Habitat groups'!A102,'D-1 Off Site Habitat Baseline'!$S$11:$S$258)</f>
        <v>0</v>
      </c>
      <c r="V102" s="494">
        <f>SUMIF('D-1 Off Site Habitat Baseline'!$G$11:$G$258,'G-2 Habitat groups'!A102,'D-1 Off Site Habitat Baseline'!$U$11:$U$258)</f>
        <v>0</v>
      </c>
      <c r="W102" s="494">
        <f>SUMIF('D-2 Off Site Habitat Creation'!$F$9:$F$255,'G-2 Habitat groups'!A102,'D-2 Off Site Habitat Creation'!$G$9:$G$255)</f>
        <v>0</v>
      </c>
      <c r="X102" s="494">
        <f>SUMIF('D-2 Off Site Habitat Creation'!$F$9:$F$255,'G-2 Habitat groups'!A102,'D-2 Off Site Habitat Creation'!$AA$9:$AA$255)</f>
        <v>0</v>
      </c>
      <c r="Y102" s="494">
        <f>SUMIF('D-3 Off Site Habitat Enhancment'!$S$12:$S$491,'G-2 Habitat groups'!A102,'D-3 Off Site Habitat Enhancment'!$V$12:$V$491)</f>
        <v>0</v>
      </c>
      <c r="Z102" s="494">
        <f>SUMIF('D-3 Off Site Habitat Enhancment'!$S$12:$S$491,'G-2 Habitat groups'!A102,'D-3 Off Site Habitat Enhancment'!$AP$12:$AP$491)</f>
        <v>0</v>
      </c>
      <c r="AA102" s="494">
        <f t="shared" si="107"/>
        <v>0</v>
      </c>
      <c r="AB102" s="494">
        <f t="shared" si="108"/>
        <v>0</v>
      </c>
      <c r="AC102" s="494">
        <f t="shared" si="109"/>
        <v>0</v>
      </c>
      <c r="AD102" s="494">
        <f t="shared" si="110"/>
        <v>0</v>
      </c>
      <c r="AE102" s="494">
        <f t="shared" si="111"/>
        <v>0</v>
      </c>
      <c r="AF102" s="494">
        <f t="shared" si="112"/>
        <v>0</v>
      </c>
    </row>
    <row r="103" spans="1:59" x14ac:dyDescent="0.25">
      <c r="A103" s="104" t="str">
        <f>'G-1 All Habitats'!B102</f>
        <v>Rocky shore - Moderate energy littoral rock</v>
      </c>
      <c r="B103" s="88" t="str">
        <f>'G-1 All Habitats'!F102</f>
        <v xml:space="preserve">Rocky shore </v>
      </c>
      <c r="C103" s="88" t="str">
        <f>'G-1 All Habitats'!K102</f>
        <v>High</v>
      </c>
      <c r="D103" s="88" t="str">
        <f>'G-1 All Habitats'!M102</f>
        <v>Same habitat required =</v>
      </c>
      <c r="E103" s="494">
        <f>IF(C103="V.High",SUMIF('A-1 Site Habitat Baseline'!$G$11:$G$258,'G-2 Habitat groups'!A103,'A-1 Site Habitat Baseline'!$S$11:$S$258)+SUMIF('A-1 Site Habitat Baseline'!$G$11:$G$258,'G-2 Habitat groups'!A103,'A-1 Site Habitat Baseline'!$T$11:$T$258),SUMIF('A-1 Site Habitat Baseline'!$G$11:$G$258,'G-2 Habitat groups'!A103,'A-1 Site Habitat Baseline'!$H$11:$H$258))</f>
        <v>0</v>
      </c>
      <c r="F103" s="494">
        <f>SUMIF('A-1 Site Habitat Baseline'!$G$11:$G$258,'G-2 Habitat groups'!A103,'A-1 Site Habitat Baseline'!$Q$11:$Q$258)</f>
        <v>0</v>
      </c>
      <c r="G103" s="494">
        <f>SUMIF('A-1 Site Habitat Baseline'!$G$11:$G$258,'G-2 Habitat groups'!A103,'A-1 Site Habitat Baseline'!$S$11:$S$258)</f>
        <v>0</v>
      </c>
      <c r="H103" s="494">
        <f>SUMIF('A-1 Site Habitat Baseline'!$G$11:$G$258,'G-2 Habitat groups'!A103,'A-1 Site Habitat Baseline'!$U$11:$U$258)</f>
        <v>0</v>
      </c>
      <c r="I103" s="494">
        <f>SUMIF('A-1 Site Habitat Baseline'!$G$11:$G$258,'G-2 Habitat groups'!A103,'A-1 Site Habitat Baseline'!$W$11:$W$258)</f>
        <v>0</v>
      </c>
      <c r="J103" s="494">
        <f>SUMIF('A-1 Site Habitat Baseline'!$G$11:$G$258,'G-2 Habitat groups'!A103,'A-1 Site Habitat Baseline'!$X$11:$X$258)</f>
        <v>0</v>
      </c>
      <c r="K103" s="494">
        <f>SUMIF('A-2 Site Habitat Creation'!$F$11:$F$256,'G-2 Habitat groups'!A103,'A-2 Site Habitat Creation'!$G$11:$G$256)</f>
        <v>0</v>
      </c>
      <c r="L103" s="494">
        <f>SUMIF('A-2 Site Habitat Creation'!$F$11:$F$256,'G-2 Habitat groups'!A103,'A-2 Site Habitat Creation'!$Y$11:$Y$256)</f>
        <v>0</v>
      </c>
      <c r="M103" s="494">
        <f>SUMIF('A-3 Site Habitat Enhancement'!$S$12:$S$257,'G-2 Habitat groups'!A103,'A-3 Site Habitat Enhancement'!$V$12:$V$257)</f>
        <v>0</v>
      </c>
      <c r="N103" s="494">
        <f>SUMIF('A-3 Site Habitat Enhancement'!$S$12:$S$257,'G-2 Habitat groups'!A103,'A-3 Site Habitat Enhancement'!$AN$12:$AN$257)</f>
        <v>0</v>
      </c>
      <c r="O103" s="494">
        <f t="shared" si="103"/>
        <v>0</v>
      </c>
      <c r="P103" s="494">
        <f t="shared" si="104"/>
        <v>0</v>
      </c>
      <c r="Q103" s="494">
        <f t="shared" si="105"/>
        <v>0</v>
      </c>
      <c r="R103" s="494">
        <f t="shared" si="106"/>
        <v>0</v>
      </c>
      <c r="S103" s="494">
        <f>IF(C103="V.High",SUMIF('D-1 Off Site Habitat Baseline'!$G$11:$G$258,'G-2 Habitat groups'!A103,'D-1 Off Site Habitat Baseline'!$S$11:$S$258)+SUMIF('D-1 Off Site Habitat Baseline'!$G$11:$G$258,'G-2 Habitat groups'!A103,'D-1 Off Site Habitat Baseline'!$T$11:$T$258),SUMIF('D-1 Off Site Habitat Baseline'!$G$11:$G$258,'G-2 Habitat groups'!A103,'D-1 Off Site Habitat Baseline'!$H$11:$H$258))</f>
        <v>0</v>
      </c>
      <c r="T103" s="494">
        <f>SUMIF('D-1 Off Site Habitat Baseline'!$G$11:$G$258,'G-2 Habitat groups'!A103,'D-1 Off Site Habitat Baseline'!$Q$11:$Q$258)</f>
        <v>0</v>
      </c>
      <c r="U103" s="591">
        <f>SUMIF('D-1 Off Site Habitat Baseline'!$G$11:$G$258,'G-2 Habitat groups'!A103,'D-1 Off Site Habitat Baseline'!$S$11:$S$258)</f>
        <v>0</v>
      </c>
      <c r="V103" s="494">
        <f>SUMIF('D-1 Off Site Habitat Baseline'!$G$11:$G$258,'G-2 Habitat groups'!A103,'D-1 Off Site Habitat Baseline'!$U$11:$U$258)</f>
        <v>0</v>
      </c>
      <c r="W103" s="494">
        <f>SUMIF('D-2 Off Site Habitat Creation'!$F$9:$F$255,'G-2 Habitat groups'!A103,'D-2 Off Site Habitat Creation'!$G$9:$G$255)</f>
        <v>0</v>
      </c>
      <c r="X103" s="494">
        <f>SUMIF('D-2 Off Site Habitat Creation'!$F$9:$F$255,'G-2 Habitat groups'!A103,'D-2 Off Site Habitat Creation'!$AA$9:$AA$255)</f>
        <v>0</v>
      </c>
      <c r="Y103" s="494">
        <f>SUMIF('D-3 Off Site Habitat Enhancment'!$S$12:$S$491,'G-2 Habitat groups'!A103,'D-3 Off Site Habitat Enhancment'!$V$12:$V$491)</f>
        <v>0</v>
      </c>
      <c r="Z103" s="494">
        <f>SUMIF('D-3 Off Site Habitat Enhancment'!$S$12:$S$491,'G-2 Habitat groups'!A103,'D-3 Off Site Habitat Enhancment'!$AP$12:$AP$491)</f>
        <v>0</v>
      </c>
      <c r="AA103" s="494">
        <f t="shared" si="107"/>
        <v>0</v>
      </c>
      <c r="AB103" s="494">
        <f t="shared" si="108"/>
        <v>0</v>
      </c>
      <c r="AC103" s="494">
        <f t="shared" si="109"/>
        <v>0</v>
      </c>
      <c r="AD103" s="494">
        <f t="shared" si="110"/>
        <v>0</v>
      </c>
      <c r="AE103" s="494">
        <f t="shared" si="111"/>
        <v>0</v>
      </c>
      <c r="AF103" s="494">
        <f t="shared" si="112"/>
        <v>0</v>
      </c>
    </row>
    <row r="104" spans="1:59" x14ac:dyDescent="0.25">
      <c r="A104" s="104" t="str">
        <f>'G-1 All Habitats'!B103</f>
        <v>Rocky shore - Moderate energy littoral rock - on peat, clay or chalk</v>
      </c>
      <c r="B104" s="88" t="str">
        <f>'G-1 All Habitats'!F103</f>
        <v xml:space="preserve">Rocky shore </v>
      </c>
      <c r="C104" s="88" t="str">
        <f>'G-1 All Habitats'!K103</f>
        <v>V.High</v>
      </c>
      <c r="D104" s="88" t="str">
        <f>'G-1 All Habitats'!M103</f>
        <v>Bespoke compensation likely to be required 🛠</v>
      </c>
      <c r="E104" s="494">
        <f>IF(C104="V.High",SUMIF('A-1 Site Habitat Baseline'!$G$11:$G$258,'G-2 Habitat groups'!A104,'A-1 Site Habitat Baseline'!$S$11:$S$258)+SUMIF('A-1 Site Habitat Baseline'!$G$11:$G$258,'G-2 Habitat groups'!A104,'A-1 Site Habitat Baseline'!$T$11:$T$258),SUMIF('A-1 Site Habitat Baseline'!$G$11:$G$258,'G-2 Habitat groups'!A104,'A-1 Site Habitat Baseline'!$H$11:$H$258))</f>
        <v>0</v>
      </c>
      <c r="F104" s="494">
        <f>SUMIF('A-1 Site Habitat Baseline'!$G$11:$G$258,'G-2 Habitat groups'!A104,'A-1 Site Habitat Baseline'!$Q$11:$Q$258)</f>
        <v>0</v>
      </c>
      <c r="G104" s="494">
        <f>SUMIF('A-1 Site Habitat Baseline'!$G$11:$G$258,'G-2 Habitat groups'!A104,'A-1 Site Habitat Baseline'!$S$11:$S$258)</f>
        <v>0</v>
      </c>
      <c r="H104" s="494">
        <f>SUMIF('A-1 Site Habitat Baseline'!$G$11:$G$258,'G-2 Habitat groups'!A104,'A-1 Site Habitat Baseline'!$U$11:$U$258)</f>
        <v>0</v>
      </c>
      <c r="I104" s="494">
        <f>SUMIF('A-1 Site Habitat Baseline'!$G$11:$G$258,'G-2 Habitat groups'!A104,'A-1 Site Habitat Baseline'!$W$11:$W$258)</f>
        <v>0</v>
      </c>
      <c r="J104" s="494">
        <f>SUMIF('A-1 Site Habitat Baseline'!$G$11:$G$258,'G-2 Habitat groups'!A104,'A-1 Site Habitat Baseline'!$X$11:$X$258)</f>
        <v>0</v>
      </c>
      <c r="K104" s="494">
        <f>SUMIF('A-2 Site Habitat Creation'!$F$11:$F$256,'G-2 Habitat groups'!A104,'A-2 Site Habitat Creation'!$G$11:$G$256)</f>
        <v>0</v>
      </c>
      <c r="L104" s="494">
        <f>SUMIF('A-2 Site Habitat Creation'!$F$11:$F$256,'G-2 Habitat groups'!A104,'A-2 Site Habitat Creation'!$Y$11:$Y$256)</f>
        <v>0</v>
      </c>
      <c r="M104" s="494">
        <f>SUMIF('A-3 Site Habitat Enhancement'!$S$12:$S$257,'G-2 Habitat groups'!A104,'A-3 Site Habitat Enhancement'!$V$12:$V$257)</f>
        <v>0</v>
      </c>
      <c r="N104" s="494">
        <f>SUMIF('A-3 Site Habitat Enhancement'!$S$12:$S$257,'G-2 Habitat groups'!A104,'A-3 Site Habitat Enhancement'!$AN$12:$AN$257)</f>
        <v>0</v>
      </c>
      <c r="O104" s="494">
        <f t="shared" si="103"/>
        <v>0</v>
      </c>
      <c r="P104" s="494">
        <f t="shared" si="104"/>
        <v>0</v>
      </c>
      <c r="Q104" s="494">
        <f t="shared" si="105"/>
        <v>0</v>
      </c>
      <c r="R104" s="494">
        <f t="shared" si="106"/>
        <v>0</v>
      </c>
      <c r="S104" s="494">
        <f>IF(C104="V.High",SUMIF('D-1 Off Site Habitat Baseline'!$G$11:$G$258,'G-2 Habitat groups'!A104,'D-1 Off Site Habitat Baseline'!$S$11:$S$258)+SUMIF('D-1 Off Site Habitat Baseline'!$G$11:$G$258,'G-2 Habitat groups'!A104,'D-1 Off Site Habitat Baseline'!$T$11:$T$258),SUMIF('D-1 Off Site Habitat Baseline'!$G$11:$G$258,'G-2 Habitat groups'!A104,'D-1 Off Site Habitat Baseline'!$H$11:$H$258))</f>
        <v>0</v>
      </c>
      <c r="T104" s="494">
        <f>SUMIF('D-1 Off Site Habitat Baseline'!$G$11:$G$258,'G-2 Habitat groups'!A104,'D-1 Off Site Habitat Baseline'!$Q$11:$Q$258)</f>
        <v>0</v>
      </c>
      <c r="U104" s="591">
        <f>SUMIF('D-1 Off Site Habitat Baseline'!$G$11:$G$258,'G-2 Habitat groups'!A104,'D-1 Off Site Habitat Baseline'!$S$11:$S$258)</f>
        <v>0</v>
      </c>
      <c r="V104" s="494">
        <f>SUMIF('D-1 Off Site Habitat Baseline'!$G$11:$G$258,'G-2 Habitat groups'!A104,'D-1 Off Site Habitat Baseline'!$U$11:$U$258)</f>
        <v>0</v>
      </c>
      <c r="W104" s="494">
        <f>SUMIF('D-2 Off Site Habitat Creation'!$F$9:$F$255,'G-2 Habitat groups'!A104,'D-2 Off Site Habitat Creation'!$G$9:$G$255)</f>
        <v>0</v>
      </c>
      <c r="X104" s="494">
        <f>SUMIF('D-2 Off Site Habitat Creation'!$F$9:$F$255,'G-2 Habitat groups'!A104,'D-2 Off Site Habitat Creation'!$AA$9:$AA$255)</f>
        <v>0</v>
      </c>
      <c r="Y104" s="494">
        <f>SUMIF('D-3 Off Site Habitat Enhancment'!$S$12:$S$491,'G-2 Habitat groups'!A104,'D-3 Off Site Habitat Enhancment'!$V$12:$V$491)</f>
        <v>0</v>
      </c>
      <c r="Z104" s="494">
        <f>SUMIF('D-3 Off Site Habitat Enhancment'!$S$12:$S$491,'G-2 Habitat groups'!A104,'D-3 Off Site Habitat Enhancment'!$AP$12:$AP$491)</f>
        <v>0</v>
      </c>
      <c r="AA104" s="494">
        <f t="shared" si="107"/>
        <v>0</v>
      </c>
      <c r="AB104" s="494">
        <f t="shared" si="108"/>
        <v>0</v>
      </c>
      <c r="AC104" s="494">
        <f t="shared" si="109"/>
        <v>0</v>
      </c>
      <c r="AD104" s="494">
        <f t="shared" si="110"/>
        <v>0</v>
      </c>
      <c r="AE104" s="494">
        <f t="shared" si="111"/>
        <v>0</v>
      </c>
      <c r="AF104" s="494">
        <f t="shared" si="112"/>
        <v>0</v>
      </c>
    </row>
    <row r="105" spans="1:59" x14ac:dyDescent="0.25">
      <c r="A105" s="104" t="str">
        <f>'G-1 All Habitats'!B104</f>
        <v>Rocky shore - Low energy littoral rock</v>
      </c>
      <c r="B105" s="88" t="str">
        <f>'G-1 All Habitats'!F104</f>
        <v xml:space="preserve">Rocky shore </v>
      </c>
      <c r="C105" s="88" t="str">
        <f>'G-1 All Habitats'!K104</f>
        <v>High</v>
      </c>
      <c r="D105" s="88" t="str">
        <f>'G-1 All Habitats'!M104</f>
        <v>Same habitat required =</v>
      </c>
      <c r="E105" s="494">
        <f>IF(C105="V.High",SUMIF('A-1 Site Habitat Baseline'!$G$11:$G$258,'G-2 Habitat groups'!A105,'A-1 Site Habitat Baseline'!$S$11:$S$258)+SUMIF('A-1 Site Habitat Baseline'!$G$11:$G$258,'G-2 Habitat groups'!A105,'A-1 Site Habitat Baseline'!$T$11:$T$258),SUMIF('A-1 Site Habitat Baseline'!$G$11:$G$258,'G-2 Habitat groups'!A105,'A-1 Site Habitat Baseline'!$H$11:$H$258))</f>
        <v>0</v>
      </c>
      <c r="F105" s="494">
        <f>SUMIF('A-1 Site Habitat Baseline'!$G$11:$G$258,'G-2 Habitat groups'!A105,'A-1 Site Habitat Baseline'!$Q$11:$Q$258)</f>
        <v>0</v>
      </c>
      <c r="G105" s="494">
        <f>SUMIF('A-1 Site Habitat Baseline'!$G$11:$G$258,'G-2 Habitat groups'!A105,'A-1 Site Habitat Baseline'!$S$11:$S$258)</f>
        <v>0</v>
      </c>
      <c r="H105" s="494">
        <f>SUMIF('A-1 Site Habitat Baseline'!$G$11:$G$258,'G-2 Habitat groups'!A105,'A-1 Site Habitat Baseline'!$U$11:$U$258)</f>
        <v>0</v>
      </c>
      <c r="I105" s="494">
        <f>SUMIF('A-1 Site Habitat Baseline'!$G$11:$G$258,'G-2 Habitat groups'!A105,'A-1 Site Habitat Baseline'!$W$11:$W$258)</f>
        <v>0</v>
      </c>
      <c r="J105" s="494">
        <f>SUMIF('A-1 Site Habitat Baseline'!$G$11:$G$258,'G-2 Habitat groups'!A105,'A-1 Site Habitat Baseline'!$X$11:$X$258)</f>
        <v>0</v>
      </c>
      <c r="K105" s="494">
        <f>SUMIF('A-2 Site Habitat Creation'!$F$11:$F$256,'G-2 Habitat groups'!A105,'A-2 Site Habitat Creation'!$G$11:$G$256)</f>
        <v>0</v>
      </c>
      <c r="L105" s="494">
        <f>SUMIF('A-2 Site Habitat Creation'!$F$11:$F$256,'G-2 Habitat groups'!A105,'A-2 Site Habitat Creation'!$Y$11:$Y$256)</f>
        <v>0</v>
      </c>
      <c r="M105" s="494">
        <f>SUMIF('A-3 Site Habitat Enhancement'!$S$12:$S$257,'G-2 Habitat groups'!A105,'A-3 Site Habitat Enhancement'!$V$12:$V$257)</f>
        <v>0</v>
      </c>
      <c r="N105" s="494">
        <f>SUMIF('A-3 Site Habitat Enhancement'!$S$12:$S$257,'G-2 Habitat groups'!A105,'A-3 Site Habitat Enhancement'!$AN$12:$AN$257)</f>
        <v>0</v>
      </c>
      <c r="O105" s="494">
        <f t="shared" si="103"/>
        <v>0</v>
      </c>
      <c r="P105" s="494">
        <f t="shared" si="104"/>
        <v>0</v>
      </c>
      <c r="Q105" s="494">
        <f t="shared" si="105"/>
        <v>0</v>
      </c>
      <c r="R105" s="494">
        <f t="shared" si="106"/>
        <v>0</v>
      </c>
      <c r="S105" s="494">
        <f>IF(C105="V.High",SUMIF('D-1 Off Site Habitat Baseline'!$G$11:$G$258,'G-2 Habitat groups'!A105,'D-1 Off Site Habitat Baseline'!$S$11:$S$258)+SUMIF('D-1 Off Site Habitat Baseline'!$G$11:$G$258,'G-2 Habitat groups'!A105,'D-1 Off Site Habitat Baseline'!$T$11:$T$258),SUMIF('D-1 Off Site Habitat Baseline'!$G$11:$G$258,'G-2 Habitat groups'!A105,'D-1 Off Site Habitat Baseline'!$H$11:$H$258))</f>
        <v>0</v>
      </c>
      <c r="T105" s="494">
        <f>SUMIF('D-1 Off Site Habitat Baseline'!$G$11:$G$258,'G-2 Habitat groups'!A105,'D-1 Off Site Habitat Baseline'!$Q$11:$Q$258)</f>
        <v>0</v>
      </c>
      <c r="U105" s="591">
        <f>SUMIF('D-1 Off Site Habitat Baseline'!$G$11:$G$258,'G-2 Habitat groups'!A105,'D-1 Off Site Habitat Baseline'!$S$11:$S$258)</f>
        <v>0</v>
      </c>
      <c r="V105" s="494">
        <f>SUMIF('D-1 Off Site Habitat Baseline'!$G$11:$G$258,'G-2 Habitat groups'!A105,'D-1 Off Site Habitat Baseline'!$U$11:$U$258)</f>
        <v>0</v>
      </c>
      <c r="W105" s="494">
        <f>SUMIF('D-2 Off Site Habitat Creation'!$F$9:$F$255,'G-2 Habitat groups'!A105,'D-2 Off Site Habitat Creation'!$G$9:$G$255)</f>
        <v>0</v>
      </c>
      <c r="X105" s="494">
        <f>SUMIF('D-2 Off Site Habitat Creation'!$F$9:$F$255,'G-2 Habitat groups'!A105,'D-2 Off Site Habitat Creation'!$AA$9:$AA$255)</f>
        <v>0</v>
      </c>
      <c r="Y105" s="494">
        <f>SUMIF('D-3 Off Site Habitat Enhancment'!$S$12:$S$491,'G-2 Habitat groups'!A105,'D-3 Off Site Habitat Enhancment'!$V$12:$V$491)</f>
        <v>0</v>
      </c>
      <c r="Z105" s="494">
        <f>SUMIF('D-3 Off Site Habitat Enhancment'!$S$12:$S$491,'G-2 Habitat groups'!A105,'D-3 Off Site Habitat Enhancment'!$AP$12:$AP$491)</f>
        <v>0</v>
      </c>
      <c r="AA105" s="494">
        <f t="shared" si="107"/>
        <v>0</v>
      </c>
      <c r="AB105" s="494">
        <f t="shared" si="108"/>
        <v>0</v>
      </c>
      <c r="AC105" s="494">
        <f t="shared" si="109"/>
        <v>0</v>
      </c>
      <c r="AD105" s="494">
        <f t="shared" si="110"/>
        <v>0</v>
      </c>
      <c r="AE105" s="494">
        <f t="shared" si="111"/>
        <v>0</v>
      </c>
      <c r="AF105" s="494">
        <f t="shared" si="112"/>
        <v>0</v>
      </c>
    </row>
    <row r="106" spans="1:59" x14ac:dyDescent="0.25">
      <c r="A106" s="104" t="str">
        <f>'G-1 All Habitats'!B105</f>
        <v>Rocky shore - Low energy littoral rock - on peat, clay or chalk</v>
      </c>
      <c r="B106" s="88" t="str">
        <f>'G-1 All Habitats'!F105</f>
        <v xml:space="preserve">Rocky shore </v>
      </c>
      <c r="C106" s="88" t="str">
        <f>'G-1 All Habitats'!K105</f>
        <v>V.High</v>
      </c>
      <c r="D106" s="88" t="str">
        <f>'G-1 All Habitats'!M105</f>
        <v>Bespoke compensation likely to be required 🛠</v>
      </c>
      <c r="E106" s="494">
        <f>IF(C106="V.High",SUMIF('A-1 Site Habitat Baseline'!$G$11:$G$258,'G-2 Habitat groups'!A106,'A-1 Site Habitat Baseline'!$S$11:$S$258)+SUMIF('A-1 Site Habitat Baseline'!$G$11:$G$258,'G-2 Habitat groups'!A106,'A-1 Site Habitat Baseline'!$T$11:$T$258),SUMIF('A-1 Site Habitat Baseline'!$G$11:$G$258,'G-2 Habitat groups'!A106,'A-1 Site Habitat Baseline'!$H$11:$H$258))</f>
        <v>0</v>
      </c>
      <c r="F106" s="494">
        <f>SUMIF('A-1 Site Habitat Baseline'!$G$11:$G$258,'G-2 Habitat groups'!A106,'A-1 Site Habitat Baseline'!$Q$11:$Q$258)</f>
        <v>0</v>
      </c>
      <c r="G106" s="494">
        <f>SUMIF('A-1 Site Habitat Baseline'!$G$11:$G$258,'G-2 Habitat groups'!A106,'A-1 Site Habitat Baseline'!$S$11:$S$258)</f>
        <v>0</v>
      </c>
      <c r="H106" s="494">
        <f>SUMIF('A-1 Site Habitat Baseline'!$G$11:$G$258,'G-2 Habitat groups'!A106,'A-1 Site Habitat Baseline'!$U$11:$U$258)</f>
        <v>0</v>
      </c>
      <c r="I106" s="494">
        <f>SUMIF('A-1 Site Habitat Baseline'!$G$11:$G$258,'G-2 Habitat groups'!A106,'A-1 Site Habitat Baseline'!$W$11:$W$258)</f>
        <v>0</v>
      </c>
      <c r="J106" s="494">
        <f>SUMIF('A-1 Site Habitat Baseline'!$G$11:$G$258,'G-2 Habitat groups'!A106,'A-1 Site Habitat Baseline'!$X$11:$X$258)</f>
        <v>0</v>
      </c>
      <c r="K106" s="494">
        <f>SUMIF('A-2 Site Habitat Creation'!$F$11:$F$256,'G-2 Habitat groups'!A106,'A-2 Site Habitat Creation'!$G$11:$G$256)</f>
        <v>0</v>
      </c>
      <c r="L106" s="494">
        <f>SUMIF('A-2 Site Habitat Creation'!$F$11:$F$256,'G-2 Habitat groups'!A106,'A-2 Site Habitat Creation'!$Y$11:$Y$256)</f>
        <v>0</v>
      </c>
      <c r="M106" s="494">
        <f>SUMIF('A-3 Site Habitat Enhancement'!$S$12:$S$257,'G-2 Habitat groups'!A106,'A-3 Site Habitat Enhancement'!$V$12:$V$257)</f>
        <v>0</v>
      </c>
      <c r="N106" s="494">
        <f>SUMIF('A-3 Site Habitat Enhancement'!$S$12:$S$257,'G-2 Habitat groups'!A106,'A-3 Site Habitat Enhancement'!$AN$12:$AN$257)</f>
        <v>0</v>
      </c>
      <c r="O106" s="494">
        <f t="shared" si="103"/>
        <v>0</v>
      </c>
      <c r="P106" s="494">
        <f t="shared" si="104"/>
        <v>0</v>
      </c>
      <c r="Q106" s="494">
        <f t="shared" si="105"/>
        <v>0</v>
      </c>
      <c r="R106" s="494">
        <f t="shared" si="106"/>
        <v>0</v>
      </c>
      <c r="S106" s="494">
        <f>IF(C106="V.High",SUMIF('D-1 Off Site Habitat Baseline'!$G$11:$G$258,'G-2 Habitat groups'!A106,'D-1 Off Site Habitat Baseline'!$S$11:$S$258)+SUMIF('D-1 Off Site Habitat Baseline'!$G$11:$G$258,'G-2 Habitat groups'!A106,'D-1 Off Site Habitat Baseline'!$T$11:$T$258),SUMIF('D-1 Off Site Habitat Baseline'!$G$11:$G$258,'G-2 Habitat groups'!A106,'D-1 Off Site Habitat Baseline'!$H$11:$H$258))</f>
        <v>0</v>
      </c>
      <c r="T106" s="494">
        <f>SUMIF('D-1 Off Site Habitat Baseline'!$G$11:$G$258,'G-2 Habitat groups'!A106,'D-1 Off Site Habitat Baseline'!$Q$11:$Q$258)</f>
        <v>0</v>
      </c>
      <c r="U106" s="591">
        <f>SUMIF('D-1 Off Site Habitat Baseline'!$G$11:$G$258,'G-2 Habitat groups'!A106,'D-1 Off Site Habitat Baseline'!$S$11:$S$258)</f>
        <v>0</v>
      </c>
      <c r="V106" s="494">
        <f>SUMIF('D-1 Off Site Habitat Baseline'!$G$11:$G$258,'G-2 Habitat groups'!A106,'D-1 Off Site Habitat Baseline'!$U$11:$U$258)</f>
        <v>0</v>
      </c>
      <c r="W106" s="494">
        <f>SUMIF('D-2 Off Site Habitat Creation'!$F$9:$F$255,'G-2 Habitat groups'!A106,'D-2 Off Site Habitat Creation'!$G$9:$G$255)</f>
        <v>0</v>
      </c>
      <c r="X106" s="494">
        <f>SUMIF('D-2 Off Site Habitat Creation'!$F$9:$F$255,'G-2 Habitat groups'!A106,'D-2 Off Site Habitat Creation'!$AA$9:$AA$255)</f>
        <v>0</v>
      </c>
      <c r="Y106" s="494">
        <f>SUMIF('D-3 Off Site Habitat Enhancment'!$S$12:$S$491,'G-2 Habitat groups'!A106,'D-3 Off Site Habitat Enhancment'!$V$12:$V$491)</f>
        <v>0</v>
      </c>
      <c r="Z106" s="494">
        <f>SUMIF('D-3 Off Site Habitat Enhancment'!$S$12:$S$491,'G-2 Habitat groups'!A106,'D-3 Off Site Habitat Enhancment'!$AP$12:$AP$491)</f>
        <v>0</v>
      </c>
      <c r="AA106" s="494">
        <f t="shared" si="107"/>
        <v>0</v>
      </c>
      <c r="AB106" s="494">
        <f t="shared" si="108"/>
        <v>0</v>
      </c>
      <c r="AC106" s="494">
        <f t="shared" si="109"/>
        <v>0</v>
      </c>
      <c r="AD106" s="494">
        <f t="shared" si="110"/>
        <v>0</v>
      </c>
      <c r="AE106" s="494">
        <f t="shared" si="111"/>
        <v>0</v>
      </c>
      <c r="AF106" s="494">
        <f t="shared" si="112"/>
        <v>0</v>
      </c>
    </row>
    <row r="107" spans="1:59" x14ac:dyDescent="0.25">
      <c r="A107" s="104" t="str">
        <f>'G-1 All Habitats'!B106</f>
        <v>Rocky shore - Features of littoral rock</v>
      </c>
      <c r="B107" s="88" t="str">
        <f>'G-1 All Habitats'!F106</f>
        <v xml:space="preserve">Rocky shore </v>
      </c>
      <c r="C107" s="88" t="str">
        <f>'G-1 All Habitats'!K106</f>
        <v>High</v>
      </c>
      <c r="D107" s="88" t="str">
        <f>'G-1 All Habitats'!M106</f>
        <v>Same habitat required =</v>
      </c>
      <c r="E107" s="494">
        <f>IF(C107="V.High",SUMIF('A-1 Site Habitat Baseline'!$G$11:$G$258,'G-2 Habitat groups'!A107,'A-1 Site Habitat Baseline'!$S$11:$S$258)+SUMIF('A-1 Site Habitat Baseline'!$G$11:$G$258,'G-2 Habitat groups'!A107,'A-1 Site Habitat Baseline'!$T$11:$T$258),SUMIF('A-1 Site Habitat Baseline'!$G$11:$G$258,'G-2 Habitat groups'!A107,'A-1 Site Habitat Baseline'!$H$11:$H$258))</f>
        <v>0</v>
      </c>
      <c r="F107" s="494">
        <f>SUMIF('A-1 Site Habitat Baseline'!$G$11:$G$258,'G-2 Habitat groups'!A107,'A-1 Site Habitat Baseline'!$Q$11:$Q$258)</f>
        <v>0</v>
      </c>
      <c r="G107" s="494">
        <f>SUMIF('A-1 Site Habitat Baseline'!$G$11:$G$258,'G-2 Habitat groups'!A107,'A-1 Site Habitat Baseline'!$S$11:$S$258)</f>
        <v>0</v>
      </c>
      <c r="H107" s="494">
        <f>SUMIF('A-1 Site Habitat Baseline'!$G$11:$G$258,'G-2 Habitat groups'!A107,'A-1 Site Habitat Baseline'!$U$11:$U$258)</f>
        <v>0</v>
      </c>
      <c r="I107" s="494">
        <f>SUMIF('A-1 Site Habitat Baseline'!$G$11:$G$258,'G-2 Habitat groups'!A107,'A-1 Site Habitat Baseline'!$W$11:$W$258)</f>
        <v>0</v>
      </c>
      <c r="J107" s="494">
        <f>SUMIF('A-1 Site Habitat Baseline'!$G$11:$G$258,'G-2 Habitat groups'!A107,'A-1 Site Habitat Baseline'!$X$11:$X$258)</f>
        <v>0</v>
      </c>
      <c r="K107" s="494">
        <f>SUMIF('A-2 Site Habitat Creation'!$F$11:$F$256,'G-2 Habitat groups'!A107,'A-2 Site Habitat Creation'!$G$11:$G$256)</f>
        <v>0</v>
      </c>
      <c r="L107" s="494">
        <f>SUMIF('A-2 Site Habitat Creation'!$F$11:$F$256,'G-2 Habitat groups'!A107,'A-2 Site Habitat Creation'!$Y$11:$Y$256)</f>
        <v>0</v>
      </c>
      <c r="M107" s="494">
        <f>SUMIF('A-3 Site Habitat Enhancement'!$S$12:$S$257,'G-2 Habitat groups'!A107,'A-3 Site Habitat Enhancement'!$V$12:$V$257)</f>
        <v>0</v>
      </c>
      <c r="N107" s="494">
        <f>SUMIF('A-3 Site Habitat Enhancement'!$S$12:$S$257,'G-2 Habitat groups'!A107,'A-3 Site Habitat Enhancement'!$AN$12:$AN$257)</f>
        <v>0</v>
      </c>
      <c r="O107" s="494">
        <f t="shared" si="103"/>
        <v>0</v>
      </c>
      <c r="P107" s="494">
        <f t="shared" si="104"/>
        <v>0</v>
      </c>
      <c r="Q107" s="494">
        <f t="shared" si="105"/>
        <v>0</v>
      </c>
      <c r="R107" s="494">
        <f t="shared" si="106"/>
        <v>0</v>
      </c>
      <c r="S107" s="494">
        <f>IF(C107="V.High",SUMIF('D-1 Off Site Habitat Baseline'!$G$11:$G$258,'G-2 Habitat groups'!A107,'D-1 Off Site Habitat Baseline'!$S$11:$S$258)+SUMIF('D-1 Off Site Habitat Baseline'!$G$11:$G$258,'G-2 Habitat groups'!A107,'D-1 Off Site Habitat Baseline'!$T$11:$T$258),SUMIF('D-1 Off Site Habitat Baseline'!$G$11:$G$258,'G-2 Habitat groups'!A107,'D-1 Off Site Habitat Baseline'!$H$11:$H$258))</f>
        <v>0</v>
      </c>
      <c r="T107" s="494">
        <f>SUMIF('D-1 Off Site Habitat Baseline'!$G$11:$G$258,'G-2 Habitat groups'!A107,'D-1 Off Site Habitat Baseline'!$Q$11:$Q$258)</f>
        <v>0</v>
      </c>
      <c r="U107" s="591">
        <f>SUMIF('D-1 Off Site Habitat Baseline'!$G$11:$G$258,'G-2 Habitat groups'!A107,'D-1 Off Site Habitat Baseline'!$S$11:$S$258)</f>
        <v>0</v>
      </c>
      <c r="V107" s="494">
        <f>SUMIF('D-1 Off Site Habitat Baseline'!$G$11:$G$258,'G-2 Habitat groups'!A107,'D-1 Off Site Habitat Baseline'!$U$11:$U$258)</f>
        <v>0</v>
      </c>
      <c r="W107" s="494">
        <f>SUMIF('D-2 Off Site Habitat Creation'!$F$9:$F$255,'G-2 Habitat groups'!A107,'D-2 Off Site Habitat Creation'!$G$9:$G$255)</f>
        <v>0</v>
      </c>
      <c r="X107" s="494">
        <f>SUMIF('D-2 Off Site Habitat Creation'!$F$9:$F$255,'G-2 Habitat groups'!A107,'D-2 Off Site Habitat Creation'!$AA$9:$AA$255)</f>
        <v>0</v>
      </c>
      <c r="Y107" s="494">
        <f>SUMIF('D-3 Off Site Habitat Enhancment'!$S$12:$S$491,'G-2 Habitat groups'!A107,'D-3 Off Site Habitat Enhancment'!$V$12:$V$491)</f>
        <v>0</v>
      </c>
      <c r="Z107" s="494">
        <f>SUMIF('D-3 Off Site Habitat Enhancment'!$S$12:$S$491,'G-2 Habitat groups'!A107,'D-3 Off Site Habitat Enhancment'!$AP$12:$AP$491)</f>
        <v>0</v>
      </c>
      <c r="AA107" s="494">
        <f t="shared" si="107"/>
        <v>0</v>
      </c>
      <c r="AB107" s="494">
        <f t="shared" si="108"/>
        <v>0</v>
      </c>
      <c r="AC107" s="494">
        <f t="shared" si="109"/>
        <v>0</v>
      </c>
      <c r="AD107" s="494">
        <f t="shared" si="110"/>
        <v>0</v>
      </c>
      <c r="AE107" s="494">
        <f t="shared" si="111"/>
        <v>0</v>
      </c>
      <c r="AF107" s="494">
        <f t="shared" si="112"/>
        <v>0</v>
      </c>
    </row>
    <row r="108" spans="1:59" ht="34.799999999999997" x14ac:dyDescent="0.55000000000000004">
      <c r="A108" s="104" t="str">
        <f>'G-1 All Habitats'!B107</f>
        <v>Rocky shore - Features of littoral rock - on peat, clay or chalk</v>
      </c>
      <c r="B108" s="88" t="str">
        <f>'G-1 All Habitats'!F107</f>
        <v xml:space="preserve">Rocky shore </v>
      </c>
      <c r="C108" s="88" t="str">
        <f>'G-1 All Habitats'!K107</f>
        <v>V.High</v>
      </c>
      <c r="D108" s="88" t="str">
        <f>'G-1 All Habitats'!M107</f>
        <v>Bespoke compensation likely to be required 🛠</v>
      </c>
      <c r="E108" s="494">
        <f>IF(C108="V.High",SUMIF('A-1 Site Habitat Baseline'!$G$11:$G$258,'G-2 Habitat groups'!A108,'A-1 Site Habitat Baseline'!$S$11:$S$258)+SUMIF('A-1 Site Habitat Baseline'!$G$11:$G$258,'G-2 Habitat groups'!A108,'A-1 Site Habitat Baseline'!$T$11:$T$258),SUMIF('A-1 Site Habitat Baseline'!$G$11:$G$258,'G-2 Habitat groups'!A108,'A-1 Site Habitat Baseline'!$H$11:$H$258))</f>
        <v>0</v>
      </c>
      <c r="F108" s="494">
        <f>SUMIF('A-1 Site Habitat Baseline'!$G$11:$G$258,'G-2 Habitat groups'!A108,'A-1 Site Habitat Baseline'!$Q$11:$Q$258)</f>
        <v>0</v>
      </c>
      <c r="G108" s="494">
        <f>SUMIF('A-1 Site Habitat Baseline'!$G$11:$G$258,'G-2 Habitat groups'!A108,'A-1 Site Habitat Baseline'!$S$11:$S$258)</f>
        <v>0</v>
      </c>
      <c r="H108" s="494">
        <f>SUMIF('A-1 Site Habitat Baseline'!$G$11:$G$258,'G-2 Habitat groups'!A108,'A-1 Site Habitat Baseline'!$U$11:$U$258)</f>
        <v>0</v>
      </c>
      <c r="I108" s="494">
        <f>SUMIF('A-1 Site Habitat Baseline'!$G$11:$G$258,'G-2 Habitat groups'!A108,'A-1 Site Habitat Baseline'!$W$11:$W$258)</f>
        <v>0</v>
      </c>
      <c r="J108" s="494">
        <f>SUMIF('A-1 Site Habitat Baseline'!$G$11:$G$258,'G-2 Habitat groups'!A108,'A-1 Site Habitat Baseline'!$X$11:$X$258)</f>
        <v>0</v>
      </c>
      <c r="K108" s="494">
        <f>SUMIF('A-2 Site Habitat Creation'!$F$11:$F$256,'G-2 Habitat groups'!A108,'A-2 Site Habitat Creation'!$G$11:$G$256)</f>
        <v>0</v>
      </c>
      <c r="L108" s="494">
        <f>SUMIF('A-2 Site Habitat Creation'!$F$11:$F$256,'G-2 Habitat groups'!A108,'A-2 Site Habitat Creation'!$Y$11:$Y$256)</f>
        <v>0</v>
      </c>
      <c r="M108" s="494">
        <f>SUMIF('A-3 Site Habitat Enhancement'!$S$12:$S$257,'G-2 Habitat groups'!A108,'A-3 Site Habitat Enhancement'!$V$12:$V$257)</f>
        <v>0</v>
      </c>
      <c r="N108" s="494">
        <f>SUMIF('A-3 Site Habitat Enhancement'!$S$12:$S$257,'G-2 Habitat groups'!A108,'A-3 Site Habitat Enhancement'!$AN$12:$AN$257)</f>
        <v>0</v>
      </c>
      <c r="O108" s="494">
        <f t="shared" si="103"/>
        <v>0</v>
      </c>
      <c r="P108" s="494">
        <f t="shared" si="104"/>
        <v>0</v>
      </c>
      <c r="Q108" s="494">
        <f t="shared" si="105"/>
        <v>0</v>
      </c>
      <c r="R108" s="494">
        <f t="shared" si="106"/>
        <v>0</v>
      </c>
      <c r="S108" s="494">
        <f>IF(C108="V.High",SUMIF('D-1 Off Site Habitat Baseline'!$G$11:$G$258,'G-2 Habitat groups'!A108,'D-1 Off Site Habitat Baseline'!$S$11:$S$258)+SUMIF('D-1 Off Site Habitat Baseline'!$G$11:$G$258,'G-2 Habitat groups'!A108,'D-1 Off Site Habitat Baseline'!$T$11:$T$258),SUMIF('D-1 Off Site Habitat Baseline'!$G$11:$G$258,'G-2 Habitat groups'!A108,'D-1 Off Site Habitat Baseline'!$H$11:$H$258))</f>
        <v>0</v>
      </c>
      <c r="T108" s="494">
        <f>SUMIF('D-1 Off Site Habitat Baseline'!$G$11:$G$258,'G-2 Habitat groups'!A108,'D-1 Off Site Habitat Baseline'!$Q$11:$Q$258)</f>
        <v>0</v>
      </c>
      <c r="U108" s="591">
        <f>SUMIF('D-1 Off Site Habitat Baseline'!$G$11:$G$258,'G-2 Habitat groups'!A108,'D-1 Off Site Habitat Baseline'!$S$11:$S$258)</f>
        <v>0</v>
      </c>
      <c r="V108" s="494">
        <f>SUMIF('D-1 Off Site Habitat Baseline'!$G$11:$G$258,'G-2 Habitat groups'!A108,'D-1 Off Site Habitat Baseline'!$U$11:$U$258)</f>
        <v>0</v>
      </c>
      <c r="W108" s="494">
        <f>SUMIF('D-2 Off Site Habitat Creation'!$F$9:$F$255,'G-2 Habitat groups'!A108,'D-2 Off Site Habitat Creation'!$G$9:$G$255)</f>
        <v>0</v>
      </c>
      <c r="X108" s="494">
        <f>SUMIF('D-2 Off Site Habitat Creation'!$F$9:$F$255,'G-2 Habitat groups'!A108,'D-2 Off Site Habitat Creation'!$AA$9:$AA$255)</f>
        <v>0</v>
      </c>
      <c r="Y108" s="494">
        <f>SUMIF('D-3 Off Site Habitat Enhancment'!$S$12:$S$491,'G-2 Habitat groups'!A108,'D-3 Off Site Habitat Enhancment'!$V$12:$V$491)</f>
        <v>0</v>
      </c>
      <c r="Z108" s="494">
        <f>SUMIF('D-3 Off Site Habitat Enhancment'!$S$12:$S$491,'G-2 Habitat groups'!A108,'D-3 Off Site Habitat Enhancment'!$AP$12:$AP$491)</f>
        <v>0</v>
      </c>
      <c r="AA108" s="494">
        <f t="shared" si="107"/>
        <v>0</v>
      </c>
      <c r="AB108" s="494">
        <f t="shared" si="108"/>
        <v>0</v>
      </c>
      <c r="AC108" s="494">
        <f t="shared" si="109"/>
        <v>0</v>
      </c>
      <c r="AD108" s="494">
        <f t="shared" si="110"/>
        <v>0</v>
      </c>
      <c r="AE108" s="494">
        <f t="shared" si="111"/>
        <v>0</v>
      </c>
      <c r="AF108" s="494">
        <f t="shared" si="112"/>
        <v>0</v>
      </c>
      <c r="AU108" s="360" t="s">
        <v>156</v>
      </c>
    </row>
    <row r="109" spans="1:59" ht="33" customHeight="1" x14ac:dyDescent="0.3">
      <c r="A109" s="104" t="str">
        <f>'G-1 All Habitats'!B110</f>
        <v>Intertidal sediment - Littoral coarse sediment</v>
      </c>
      <c r="B109" s="88" t="str">
        <f>'G-1 All Habitats'!F110</f>
        <v>Intertidal sediment</v>
      </c>
      <c r="C109" s="88" t="str">
        <f>'G-1 All Habitats'!K110</f>
        <v>Medium</v>
      </c>
      <c r="D109" s="88" t="str">
        <f>'G-1 All Habitats'!M110</f>
        <v>Same broad habitat or a higher distinctiveness habitat required (≥)</v>
      </c>
      <c r="E109" s="494">
        <f>IF(C109="V.High",SUMIF('A-1 Site Habitat Baseline'!$G$11:$G$258,'G-2 Habitat groups'!A109,'A-1 Site Habitat Baseline'!$S$11:$S$258)+SUMIF('A-1 Site Habitat Baseline'!$G$11:$G$258,'G-2 Habitat groups'!A109,'A-1 Site Habitat Baseline'!$T$11:$T$258),SUMIF('A-1 Site Habitat Baseline'!$G$11:$G$258,'G-2 Habitat groups'!A109,'A-1 Site Habitat Baseline'!$H$11:$H$258))</f>
        <v>0</v>
      </c>
      <c r="F109" s="494">
        <f>SUMIF('A-1 Site Habitat Baseline'!$G$11:$G$258,'G-2 Habitat groups'!A109,'A-1 Site Habitat Baseline'!$Q$11:$Q$258)</f>
        <v>0</v>
      </c>
      <c r="G109" s="494">
        <f>SUMIF('A-1 Site Habitat Baseline'!$G$11:$G$258,'G-2 Habitat groups'!A109,'A-1 Site Habitat Baseline'!$S$11:$S$258)</f>
        <v>0</v>
      </c>
      <c r="H109" s="494">
        <f>SUMIF('A-1 Site Habitat Baseline'!$G$11:$G$258,'G-2 Habitat groups'!A109,'A-1 Site Habitat Baseline'!$U$11:$U$258)</f>
        <v>0</v>
      </c>
      <c r="I109" s="494">
        <f>SUMIF('A-1 Site Habitat Baseline'!$G$11:$G$258,'G-2 Habitat groups'!A109,'A-1 Site Habitat Baseline'!$W$11:$W$258)</f>
        <v>0</v>
      </c>
      <c r="J109" s="494">
        <f>SUMIF('A-1 Site Habitat Baseline'!$G$11:$G$258,'G-2 Habitat groups'!A109,'A-1 Site Habitat Baseline'!$X$11:$X$258)</f>
        <v>0</v>
      </c>
      <c r="K109" s="494">
        <f>SUMIF('A-2 Site Habitat Creation'!$F$11:$F$256,'G-2 Habitat groups'!A109,'A-2 Site Habitat Creation'!$G$11:$G$256)</f>
        <v>0</v>
      </c>
      <c r="L109" s="494">
        <f>SUMIF('A-2 Site Habitat Creation'!$F$11:$F$256,'G-2 Habitat groups'!A109,'A-2 Site Habitat Creation'!$Y$11:$Y$256)</f>
        <v>0</v>
      </c>
      <c r="M109" s="494">
        <f>SUMIF('A-3 Site Habitat Enhancement'!$S$12:$S$257,'G-2 Habitat groups'!A109,'A-3 Site Habitat Enhancement'!$V$12:$V$257)</f>
        <v>0</v>
      </c>
      <c r="N109" s="494">
        <f>SUMIF('A-3 Site Habitat Enhancement'!$S$12:$S$257,'G-2 Habitat groups'!A109,'A-3 Site Habitat Enhancement'!$AN$12:$AN$257)</f>
        <v>0</v>
      </c>
      <c r="O109" s="494">
        <f t="shared" si="103"/>
        <v>0</v>
      </c>
      <c r="P109" s="494">
        <f t="shared" si="104"/>
        <v>0</v>
      </c>
      <c r="Q109" s="494">
        <f t="shared" si="105"/>
        <v>0</v>
      </c>
      <c r="R109" s="494">
        <f t="shared" si="106"/>
        <v>0</v>
      </c>
      <c r="S109" s="494">
        <f>IF(C109="V.High",SUMIF('D-1 Off Site Habitat Baseline'!$G$11:$G$258,'G-2 Habitat groups'!A109,'D-1 Off Site Habitat Baseline'!$S$11:$S$258)+SUMIF('D-1 Off Site Habitat Baseline'!$G$11:$G$258,'G-2 Habitat groups'!A109,'D-1 Off Site Habitat Baseline'!$T$11:$T$258),SUMIF('D-1 Off Site Habitat Baseline'!$G$11:$G$258,'G-2 Habitat groups'!A109,'D-1 Off Site Habitat Baseline'!$H$11:$H$258))</f>
        <v>0</v>
      </c>
      <c r="T109" s="494">
        <f>SUMIF('D-1 Off Site Habitat Baseline'!$G$11:$G$258,'G-2 Habitat groups'!A109,'D-1 Off Site Habitat Baseline'!$Q$11:$Q$258)</f>
        <v>0</v>
      </c>
      <c r="U109" s="591">
        <f>SUMIF('D-1 Off Site Habitat Baseline'!$G$11:$G$258,'G-2 Habitat groups'!A109,'D-1 Off Site Habitat Baseline'!$S$11:$S$258)</f>
        <v>0</v>
      </c>
      <c r="V109" s="494">
        <f>SUMIF('D-1 Off Site Habitat Baseline'!$G$11:$G$258,'G-2 Habitat groups'!A109,'D-1 Off Site Habitat Baseline'!$U$11:$U$258)</f>
        <v>0</v>
      </c>
      <c r="W109" s="494">
        <f>SUMIF('D-2 Off Site Habitat Creation'!$F$9:$F$255,'G-2 Habitat groups'!A109,'D-2 Off Site Habitat Creation'!$G$9:$G$255)</f>
        <v>0</v>
      </c>
      <c r="X109" s="494">
        <f>SUMIF('D-2 Off Site Habitat Creation'!$F$9:$F$255,'G-2 Habitat groups'!A109,'D-2 Off Site Habitat Creation'!$AA$9:$AA$255)</f>
        <v>0</v>
      </c>
      <c r="Y109" s="494">
        <f>SUMIF('D-3 Off Site Habitat Enhancment'!$S$12:$S$491,'G-2 Habitat groups'!A109,'D-3 Off Site Habitat Enhancment'!$V$12:$V$491)</f>
        <v>0</v>
      </c>
      <c r="Z109" s="494">
        <f>SUMIF('D-3 Off Site Habitat Enhancment'!$S$12:$S$491,'G-2 Habitat groups'!A109,'D-3 Off Site Habitat Enhancment'!$AP$12:$AP$491)</f>
        <v>0</v>
      </c>
      <c r="AA109" s="494">
        <f t="shared" si="107"/>
        <v>0</v>
      </c>
      <c r="AB109" s="494">
        <f t="shared" si="108"/>
        <v>0</v>
      </c>
      <c r="AC109" s="494">
        <f t="shared" si="109"/>
        <v>0</v>
      </c>
      <c r="AD109" s="494">
        <f t="shared" si="110"/>
        <v>0</v>
      </c>
      <c r="AE109" s="494">
        <f t="shared" si="111"/>
        <v>0</v>
      </c>
      <c r="AF109" s="494">
        <f t="shared" si="112"/>
        <v>0</v>
      </c>
      <c r="AU109" s="123" t="s">
        <v>173</v>
      </c>
      <c r="AV109" s="127" t="s">
        <v>160</v>
      </c>
      <c r="AW109" s="128" t="s">
        <v>851</v>
      </c>
      <c r="AX109" s="128" t="s">
        <v>856</v>
      </c>
      <c r="AY109" s="128" t="s">
        <v>853</v>
      </c>
      <c r="AZ109" s="128" t="s">
        <v>854</v>
      </c>
      <c r="BA109" s="128" t="s">
        <v>855</v>
      </c>
      <c r="BB109" s="128" t="s">
        <v>161</v>
      </c>
      <c r="BC109" s="128" t="s">
        <v>857</v>
      </c>
      <c r="BD109" s="128" t="s">
        <v>858</v>
      </c>
      <c r="BE109" s="128" t="s">
        <v>859</v>
      </c>
      <c r="BF109" s="128" t="s">
        <v>868</v>
      </c>
      <c r="BG109" s="33"/>
    </row>
    <row r="110" spans="1:59" x14ac:dyDescent="0.25">
      <c r="A110" s="104" t="str">
        <f>'G-1 All Habitats'!B111</f>
        <v>Intertidal sediment - Littoral mud</v>
      </c>
      <c r="B110" s="88" t="str">
        <f>'G-1 All Habitats'!F111</f>
        <v>Intertidal sediment</v>
      </c>
      <c r="C110" s="88" t="str">
        <f>'G-1 All Habitats'!K111</f>
        <v>High</v>
      </c>
      <c r="D110" s="88" t="str">
        <f>'G-1 All Habitats'!M111</f>
        <v>Same habitat required =</v>
      </c>
      <c r="E110" s="494">
        <f>IF(C110="V.High",SUMIF('A-1 Site Habitat Baseline'!$G$11:$G$258,'G-2 Habitat groups'!A110,'A-1 Site Habitat Baseline'!$S$11:$S$258)+SUMIF('A-1 Site Habitat Baseline'!$G$11:$G$258,'G-2 Habitat groups'!A110,'A-1 Site Habitat Baseline'!$T$11:$T$258),SUMIF('A-1 Site Habitat Baseline'!$G$11:$G$258,'G-2 Habitat groups'!A110,'A-1 Site Habitat Baseline'!$H$11:$H$258))</f>
        <v>0</v>
      </c>
      <c r="F110" s="494">
        <f>SUMIF('A-1 Site Habitat Baseline'!$G$11:$G$258,'G-2 Habitat groups'!A110,'A-1 Site Habitat Baseline'!$Q$11:$Q$258)</f>
        <v>0</v>
      </c>
      <c r="G110" s="494">
        <f>SUMIF('A-1 Site Habitat Baseline'!$G$11:$G$258,'G-2 Habitat groups'!A110,'A-1 Site Habitat Baseline'!$S$11:$S$258)</f>
        <v>0</v>
      </c>
      <c r="H110" s="494">
        <f>SUMIF('A-1 Site Habitat Baseline'!$G$11:$G$258,'G-2 Habitat groups'!A110,'A-1 Site Habitat Baseline'!$U$11:$U$258)</f>
        <v>0</v>
      </c>
      <c r="I110" s="494">
        <f>SUMIF('A-1 Site Habitat Baseline'!$G$11:$G$258,'G-2 Habitat groups'!A110,'A-1 Site Habitat Baseline'!$W$11:$W$258)</f>
        <v>0</v>
      </c>
      <c r="J110" s="494">
        <f>SUMIF('A-1 Site Habitat Baseline'!$G$11:$G$258,'G-2 Habitat groups'!A110,'A-1 Site Habitat Baseline'!$X$11:$X$258)</f>
        <v>0</v>
      </c>
      <c r="K110" s="494">
        <f>SUMIF('A-2 Site Habitat Creation'!$F$11:$F$256,'G-2 Habitat groups'!A110,'A-2 Site Habitat Creation'!$G$11:$G$256)</f>
        <v>0</v>
      </c>
      <c r="L110" s="494">
        <f>SUMIF('A-2 Site Habitat Creation'!$F$11:$F$256,'G-2 Habitat groups'!A110,'A-2 Site Habitat Creation'!$Y$11:$Y$256)</f>
        <v>0</v>
      </c>
      <c r="M110" s="494">
        <f>SUMIF('A-3 Site Habitat Enhancement'!$S$12:$S$257,'G-2 Habitat groups'!A110,'A-3 Site Habitat Enhancement'!$V$12:$V$257)</f>
        <v>0</v>
      </c>
      <c r="N110" s="494">
        <f>SUMIF('A-3 Site Habitat Enhancement'!$S$12:$S$257,'G-2 Habitat groups'!A110,'A-3 Site Habitat Enhancement'!$AN$12:$AN$257)</f>
        <v>0</v>
      </c>
      <c r="O110" s="494">
        <f t="shared" si="103"/>
        <v>0</v>
      </c>
      <c r="P110" s="494">
        <f t="shared" si="104"/>
        <v>0</v>
      </c>
      <c r="Q110" s="494">
        <f t="shared" si="105"/>
        <v>0</v>
      </c>
      <c r="R110" s="494">
        <f t="shared" si="106"/>
        <v>0</v>
      </c>
      <c r="S110" s="494">
        <f>IF(C110="V.High",SUMIF('D-1 Off Site Habitat Baseline'!$G$11:$G$258,'G-2 Habitat groups'!A110,'D-1 Off Site Habitat Baseline'!$S$11:$S$258)+SUMIF('D-1 Off Site Habitat Baseline'!$G$11:$G$258,'G-2 Habitat groups'!A110,'D-1 Off Site Habitat Baseline'!$T$11:$T$258),SUMIF('D-1 Off Site Habitat Baseline'!$G$11:$G$258,'G-2 Habitat groups'!A110,'D-1 Off Site Habitat Baseline'!$H$11:$H$258))</f>
        <v>0</v>
      </c>
      <c r="T110" s="494">
        <f>SUMIF('D-1 Off Site Habitat Baseline'!$G$11:$G$258,'G-2 Habitat groups'!A110,'D-1 Off Site Habitat Baseline'!$Q$11:$Q$258)</f>
        <v>0</v>
      </c>
      <c r="U110" s="591">
        <f>SUMIF('D-1 Off Site Habitat Baseline'!$G$11:$G$258,'G-2 Habitat groups'!A110,'D-1 Off Site Habitat Baseline'!$S$11:$S$258)</f>
        <v>0</v>
      </c>
      <c r="V110" s="494">
        <f>SUMIF('D-1 Off Site Habitat Baseline'!$G$11:$G$258,'G-2 Habitat groups'!A110,'D-1 Off Site Habitat Baseline'!$U$11:$U$258)</f>
        <v>0</v>
      </c>
      <c r="W110" s="494">
        <f>SUMIF('D-2 Off Site Habitat Creation'!$F$9:$F$255,'G-2 Habitat groups'!A110,'D-2 Off Site Habitat Creation'!$G$9:$G$255)</f>
        <v>0</v>
      </c>
      <c r="X110" s="494">
        <f>SUMIF('D-2 Off Site Habitat Creation'!$F$9:$F$255,'G-2 Habitat groups'!A110,'D-2 Off Site Habitat Creation'!$AA$9:$AA$255)</f>
        <v>0</v>
      </c>
      <c r="Y110" s="494">
        <f>SUMIF('D-3 Off Site Habitat Enhancment'!$S$12:$S$491,'G-2 Habitat groups'!A110,'D-3 Off Site Habitat Enhancment'!$V$12:$V$491)</f>
        <v>0</v>
      </c>
      <c r="Z110" s="494">
        <f>SUMIF('D-3 Off Site Habitat Enhancment'!$S$12:$S$491,'G-2 Habitat groups'!A110,'D-3 Off Site Habitat Enhancment'!$AP$12:$AP$491)</f>
        <v>0</v>
      </c>
      <c r="AA110" s="494">
        <f t="shared" si="107"/>
        <v>0</v>
      </c>
      <c r="AB110" s="494">
        <f t="shared" si="108"/>
        <v>0</v>
      </c>
      <c r="AC110" s="494">
        <f t="shared" si="109"/>
        <v>0</v>
      </c>
      <c r="AD110" s="494">
        <f t="shared" si="110"/>
        <v>0</v>
      </c>
      <c r="AE110" s="494">
        <f t="shared" si="111"/>
        <v>0</v>
      </c>
      <c r="AF110" s="494">
        <f t="shared" si="112"/>
        <v>0</v>
      </c>
      <c r="AU110" s="104" t="s">
        <v>395</v>
      </c>
      <c r="AV110" s="88" t="s">
        <v>69</v>
      </c>
      <c r="AW110" s="494">
        <f t="shared" ref="AW110:AW118" si="115">VLOOKUP($AU110,AllHabsSummaryData,5,FALSE)</f>
        <v>0</v>
      </c>
      <c r="AX110" s="494">
        <f t="shared" ref="AX110" si="116">VLOOKUP($AU110,AllHabsSummaryData,10,FALSE)</f>
        <v>0</v>
      </c>
      <c r="AY110" s="494">
        <f t="shared" ref="AY110" si="117">VLOOKUP($AU110,AllHabsSummaryData,15,FALSE)</f>
        <v>0</v>
      </c>
      <c r="AZ110" s="494">
        <f t="shared" ref="AZ110" si="118">VLOOKUP($AU110,AllHabsSummaryData,16,FALSE)</f>
        <v>0</v>
      </c>
      <c r="BA110" s="494">
        <f t="shared" ref="BA110" si="119">VLOOKUP($AU110,AllHabsSummaryData,17,FALSE)</f>
        <v>0</v>
      </c>
      <c r="BB110" s="494">
        <f t="shared" ref="BB110" si="120">VLOOKUP($AU110,AllHabsSummaryData,18,FALSE)</f>
        <v>0</v>
      </c>
      <c r="BC110" s="494">
        <f t="shared" ref="BC110" si="121">VLOOKUP($AU110,AllHabsSummaryData,27,FALSE)</f>
        <v>0</v>
      </c>
      <c r="BD110" s="494">
        <f t="shared" ref="BD110" si="122">VLOOKUP($AU110,AllHabsSummaryData,30,FALSE)</f>
        <v>0</v>
      </c>
      <c r="BE110" s="494">
        <f t="shared" ref="BE110:BE146" si="123">BB110+BD110</f>
        <v>0</v>
      </c>
      <c r="BF110" s="494" t="str">
        <f t="shared" ref="BF110:BF146" si="124">IF(BE110&lt;0,BE110,"")</f>
        <v/>
      </c>
    </row>
    <row r="111" spans="1:59" x14ac:dyDescent="0.25">
      <c r="A111" s="104" t="str">
        <f>'G-1 All Habitats'!B112</f>
        <v>Intertidal sediment - Littoral mixed sediments</v>
      </c>
      <c r="B111" s="88" t="str">
        <f>'G-1 All Habitats'!F112</f>
        <v>Intertidal sediment</v>
      </c>
      <c r="C111" s="88" t="str">
        <f>'G-1 All Habitats'!K112</f>
        <v>High</v>
      </c>
      <c r="D111" s="88" t="str">
        <f>'G-1 All Habitats'!M112</f>
        <v>Same habitat required =</v>
      </c>
      <c r="E111" s="494">
        <f>IF(C111="V.High",SUMIF('A-1 Site Habitat Baseline'!$G$11:$G$258,'G-2 Habitat groups'!A111,'A-1 Site Habitat Baseline'!$S$11:$S$258)+SUMIF('A-1 Site Habitat Baseline'!$G$11:$G$258,'G-2 Habitat groups'!A111,'A-1 Site Habitat Baseline'!$T$11:$T$258),SUMIF('A-1 Site Habitat Baseline'!$G$11:$G$258,'G-2 Habitat groups'!A111,'A-1 Site Habitat Baseline'!$H$11:$H$258))</f>
        <v>0</v>
      </c>
      <c r="F111" s="494">
        <f>SUMIF('A-1 Site Habitat Baseline'!$G$11:$G$258,'G-2 Habitat groups'!A111,'A-1 Site Habitat Baseline'!$Q$11:$Q$258)</f>
        <v>0</v>
      </c>
      <c r="G111" s="494">
        <f>SUMIF('A-1 Site Habitat Baseline'!$G$11:$G$258,'G-2 Habitat groups'!A111,'A-1 Site Habitat Baseline'!$S$11:$S$258)</f>
        <v>0</v>
      </c>
      <c r="H111" s="494">
        <f>SUMIF('A-1 Site Habitat Baseline'!$G$11:$G$258,'G-2 Habitat groups'!A111,'A-1 Site Habitat Baseline'!$U$11:$U$258)</f>
        <v>0</v>
      </c>
      <c r="I111" s="494">
        <f>SUMIF('A-1 Site Habitat Baseline'!$G$11:$G$258,'G-2 Habitat groups'!A111,'A-1 Site Habitat Baseline'!$W$11:$W$258)</f>
        <v>0</v>
      </c>
      <c r="J111" s="494">
        <f>SUMIF('A-1 Site Habitat Baseline'!$G$11:$G$258,'G-2 Habitat groups'!A111,'A-1 Site Habitat Baseline'!$X$11:$X$258)</f>
        <v>0</v>
      </c>
      <c r="K111" s="494">
        <f>SUMIF('A-2 Site Habitat Creation'!$F$11:$F$256,'G-2 Habitat groups'!A111,'A-2 Site Habitat Creation'!$G$11:$G$256)</f>
        <v>0</v>
      </c>
      <c r="L111" s="494">
        <f>SUMIF('A-2 Site Habitat Creation'!$F$11:$F$256,'G-2 Habitat groups'!A111,'A-2 Site Habitat Creation'!$Y$11:$Y$256)</f>
        <v>0</v>
      </c>
      <c r="M111" s="494">
        <f>SUMIF('A-3 Site Habitat Enhancement'!$S$12:$S$257,'G-2 Habitat groups'!A111,'A-3 Site Habitat Enhancement'!$V$12:$V$257)</f>
        <v>0</v>
      </c>
      <c r="N111" s="494">
        <f>SUMIF('A-3 Site Habitat Enhancement'!$S$12:$S$257,'G-2 Habitat groups'!A111,'A-3 Site Habitat Enhancement'!$AN$12:$AN$257)</f>
        <v>0</v>
      </c>
      <c r="O111" s="494">
        <f t="shared" si="103"/>
        <v>0</v>
      </c>
      <c r="P111" s="494">
        <f t="shared" si="104"/>
        <v>0</v>
      </c>
      <c r="Q111" s="494">
        <f t="shared" si="105"/>
        <v>0</v>
      </c>
      <c r="R111" s="494">
        <f t="shared" si="106"/>
        <v>0</v>
      </c>
      <c r="S111" s="494">
        <f>IF(C111="V.High",SUMIF('D-1 Off Site Habitat Baseline'!$G$11:$G$258,'G-2 Habitat groups'!A111,'D-1 Off Site Habitat Baseline'!$S$11:$S$258)+SUMIF('D-1 Off Site Habitat Baseline'!$G$11:$G$258,'G-2 Habitat groups'!A111,'D-1 Off Site Habitat Baseline'!$T$11:$T$258),SUMIF('D-1 Off Site Habitat Baseline'!$G$11:$G$258,'G-2 Habitat groups'!A111,'D-1 Off Site Habitat Baseline'!$H$11:$H$258))</f>
        <v>0</v>
      </c>
      <c r="T111" s="494">
        <f>SUMIF('D-1 Off Site Habitat Baseline'!$G$11:$G$258,'G-2 Habitat groups'!A111,'D-1 Off Site Habitat Baseline'!$Q$11:$Q$258)</f>
        <v>0</v>
      </c>
      <c r="U111" s="591">
        <f>SUMIF('D-1 Off Site Habitat Baseline'!$G$11:$G$258,'G-2 Habitat groups'!A111,'D-1 Off Site Habitat Baseline'!$S$11:$S$258)</f>
        <v>0</v>
      </c>
      <c r="V111" s="494">
        <f>SUMIF('D-1 Off Site Habitat Baseline'!$G$11:$G$258,'G-2 Habitat groups'!A111,'D-1 Off Site Habitat Baseline'!$U$11:$U$258)</f>
        <v>0</v>
      </c>
      <c r="W111" s="494">
        <f>SUMIF('D-2 Off Site Habitat Creation'!$F$9:$F$255,'G-2 Habitat groups'!A111,'D-2 Off Site Habitat Creation'!$G$9:$G$255)</f>
        <v>0</v>
      </c>
      <c r="X111" s="494">
        <f>SUMIF('D-2 Off Site Habitat Creation'!$F$9:$F$255,'G-2 Habitat groups'!A111,'D-2 Off Site Habitat Creation'!$AA$9:$AA$255)</f>
        <v>0</v>
      </c>
      <c r="Y111" s="494">
        <f>SUMIF('D-3 Off Site Habitat Enhancment'!$S$12:$S$491,'G-2 Habitat groups'!A111,'D-3 Off Site Habitat Enhancment'!$V$12:$V$491)</f>
        <v>0</v>
      </c>
      <c r="Z111" s="494">
        <f>SUMIF('D-3 Off Site Habitat Enhancment'!$S$12:$S$491,'G-2 Habitat groups'!A111,'D-3 Off Site Habitat Enhancment'!$AP$12:$AP$491)</f>
        <v>0</v>
      </c>
      <c r="AA111" s="494">
        <f t="shared" si="107"/>
        <v>0</v>
      </c>
      <c r="AB111" s="494">
        <f t="shared" si="108"/>
        <v>0</v>
      </c>
      <c r="AC111" s="494">
        <f t="shared" si="109"/>
        <v>0</v>
      </c>
      <c r="AD111" s="494">
        <f t="shared" si="110"/>
        <v>0</v>
      </c>
      <c r="AE111" s="494">
        <f t="shared" si="111"/>
        <v>0</v>
      </c>
      <c r="AF111" s="494">
        <f t="shared" si="112"/>
        <v>0</v>
      </c>
      <c r="AU111" s="104" t="s">
        <v>405</v>
      </c>
      <c r="AV111" s="88" t="s">
        <v>69</v>
      </c>
      <c r="AW111" s="494">
        <f t="shared" si="115"/>
        <v>0</v>
      </c>
      <c r="AX111" s="494">
        <f t="shared" ref="AX111:AX146" si="125">VLOOKUP($AU111,AllHabsSummaryData,10,FALSE)</f>
        <v>0</v>
      </c>
      <c r="AY111" s="494">
        <f t="shared" ref="AY111:AY146" si="126">VLOOKUP($AU111,AllHabsSummaryData,15,FALSE)</f>
        <v>0</v>
      </c>
      <c r="AZ111" s="494">
        <f t="shared" ref="AZ111:AZ146" si="127">VLOOKUP($AU111,AllHabsSummaryData,16,FALSE)</f>
        <v>0</v>
      </c>
      <c r="BA111" s="494">
        <f t="shared" ref="BA111:BA146" si="128">VLOOKUP($AU111,AllHabsSummaryData,17,FALSE)</f>
        <v>0</v>
      </c>
      <c r="BB111" s="494">
        <f t="shared" ref="BB111:BB146" si="129">VLOOKUP($AU111,AllHabsSummaryData,18,FALSE)</f>
        <v>0</v>
      </c>
      <c r="BC111" s="494">
        <f t="shared" ref="BC111:BC146" si="130">VLOOKUP($AU111,AllHabsSummaryData,27,FALSE)</f>
        <v>0</v>
      </c>
      <c r="BD111" s="494">
        <f t="shared" ref="BD111:BD146" si="131">VLOOKUP($AU111,AllHabsSummaryData,30,FALSE)</f>
        <v>0</v>
      </c>
      <c r="BE111" s="494">
        <f t="shared" si="123"/>
        <v>0</v>
      </c>
      <c r="BF111" s="494" t="str">
        <f t="shared" si="124"/>
        <v/>
      </c>
    </row>
    <row r="112" spans="1:59" x14ac:dyDescent="0.25">
      <c r="A112" s="104" t="str">
        <f>'G-1 All Habitats'!B108</f>
        <v>Coastal saltmarsh - Saltmarshes and saline reedbeds</v>
      </c>
      <c r="B112" s="88" t="str">
        <f>'G-1 All Habitats'!F108</f>
        <v xml:space="preserve">Coastal saltmarsh </v>
      </c>
      <c r="C112" s="88" t="str">
        <f>'G-1 All Habitats'!K108</f>
        <v>High</v>
      </c>
      <c r="D112" s="88" t="str">
        <f>'G-1 All Habitats'!M108</f>
        <v>Same habitat required =</v>
      </c>
      <c r="E112" s="494">
        <f>IF(C112="V.High",SUMIF('A-1 Site Habitat Baseline'!$G$11:$G$258,'G-2 Habitat groups'!A112,'A-1 Site Habitat Baseline'!$S$11:$S$258)+SUMIF('A-1 Site Habitat Baseline'!$G$11:$G$258,'G-2 Habitat groups'!A112,'A-1 Site Habitat Baseline'!$T$11:$T$258),SUMIF('A-1 Site Habitat Baseline'!$G$11:$G$258,'G-2 Habitat groups'!A112,'A-1 Site Habitat Baseline'!$H$11:$H$258))</f>
        <v>0</v>
      </c>
      <c r="F112" s="494">
        <f>SUMIF('A-1 Site Habitat Baseline'!$G$11:$G$258,'G-2 Habitat groups'!A112,'A-1 Site Habitat Baseline'!$Q$11:$Q$258)</f>
        <v>0</v>
      </c>
      <c r="G112" s="494">
        <f>SUMIF('A-1 Site Habitat Baseline'!$G$11:$G$258,'G-2 Habitat groups'!A112,'A-1 Site Habitat Baseline'!$S$11:$S$258)</f>
        <v>0</v>
      </c>
      <c r="H112" s="494">
        <f>SUMIF('A-1 Site Habitat Baseline'!$G$11:$G$258,'G-2 Habitat groups'!A112,'A-1 Site Habitat Baseline'!$U$11:$U$258)</f>
        <v>0</v>
      </c>
      <c r="I112" s="494">
        <f>SUMIF('A-1 Site Habitat Baseline'!$G$11:$G$258,'G-2 Habitat groups'!A112,'A-1 Site Habitat Baseline'!$W$11:$W$258)</f>
        <v>0</v>
      </c>
      <c r="J112" s="494">
        <f>SUMIF('A-1 Site Habitat Baseline'!$G$11:$G$258,'G-2 Habitat groups'!A112,'A-1 Site Habitat Baseline'!$X$11:$X$258)</f>
        <v>0</v>
      </c>
      <c r="K112" s="494">
        <f>SUMIF('A-2 Site Habitat Creation'!$F$11:$F$256,'G-2 Habitat groups'!A112,'A-2 Site Habitat Creation'!$G$11:$G$256)</f>
        <v>0</v>
      </c>
      <c r="L112" s="494">
        <f>SUMIF('A-2 Site Habitat Creation'!$F$11:$F$256,'G-2 Habitat groups'!A112,'A-2 Site Habitat Creation'!$Y$11:$Y$256)</f>
        <v>0</v>
      </c>
      <c r="M112" s="494">
        <f>SUMIF('A-3 Site Habitat Enhancement'!$S$12:$S$257,'G-2 Habitat groups'!A112,'A-3 Site Habitat Enhancement'!$V$12:$V$257)</f>
        <v>0</v>
      </c>
      <c r="N112" s="494">
        <f>SUMIF('A-3 Site Habitat Enhancement'!$S$12:$S$257,'G-2 Habitat groups'!A112,'A-3 Site Habitat Enhancement'!$AN$12:$AN$257)</f>
        <v>0</v>
      </c>
      <c r="O112" s="494">
        <f t="shared" si="103"/>
        <v>0</v>
      </c>
      <c r="P112" s="494">
        <f t="shared" si="104"/>
        <v>0</v>
      </c>
      <c r="Q112" s="494">
        <f t="shared" si="105"/>
        <v>0</v>
      </c>
      <c r="R112" s="494">
        <f t="shared" si="106"/>
        <v>0</v>
      </c>
      <c r="S112" s="494">
        <f>IF(C112="V.High",SUMIF('D-1 Off Site Habitat Baseline'!$G$11:$G$258,'G-2 Habitat groups'!A112,'D-1 Off Site Habitat Baseline'!$S$11:$S$258)+SUMIF('D-1 Off Site Habitat Baseline'!$G$11:$G$258,'G-2 Habitat groups'!A112,'D-1 Off Site Habitat Baseline'!$T$11:$T$258),SUMIF('D-1 Off Site Habitat Baseline'!$G$11:$G$258,'G-2 Habitat groups'!A112,'D-1 Off Site Habitat Baseline'!$H$11:$H$258))</f>
        <v>0</v>
      </c>
      <c r="T112" s="494">
        <f>SUMIF('D-1 Off Site Habitat Baseline'!$G$11:$G$258,'G-2 Habitat groups'!A112,'D-1 Off Site Habitat Baseline'!$Q$11:$Q$258)</f>
        <v>0</v>
      </c>
      <c r="U112" s="591">
        <f>SUMIF('D-1 Off Site Habitat Baseline'!$G$11:$G$258,'G-2 Habitat groups'!A112,'D-1 Off Site Habitat Baseline'!$S$11:$S$258)</f>
        <v>0</v>
      </c>
      <c r="V112" s="494">
        <f>SUMIF('D-1 Off Site Habitat Baseline'!$G$11:$G$258,'G-2 Habitat groups'!A112,'D-1 Off Site Habitat Baseline'!$U$11:$U$258)</f>
        <v>0</v>
      </c>
      <c r="W112" s="494">
        <f>SUMIF('D-2 Off Site Habitat Creation'!$F$9:$F$255,'G-2 Habitat groups'!A112,'D-2 Off Site Habitat Creation'!$G$9:$G$255)</f>
        <v>0</v>
      </c>
      <c r="X112" s="494">
        <f>SUMIF('D-2 Off Site Habitat Creation'!$F$9:$F$255,'G-2 Habitat groups'!A112,'D-2 Off Site Habitat Creation'!$AA$9:$AA$255)</f>
        <v>0</v>
      </c>
      <c r="Y112" s="494">
        <f>SUMIF('D-3 Off Site Habitat Enhancment'!$S$12:$S$491,'G-2 Habitat groups'!A112,'D-3 Off Site Habitat Enhancment'!$V$12:$V$491)</f>
        <v>0</v>
      </c>
      <c r="Z112" s="494">
        <f>SUMIF('D-3 Off Site Habitat Enhancment'!$S$12:$S$491,'G-2 Habitat groups'!A112,'D-3 Off Site Habitat Enhancment'!$AP$12:$AP$491)</f>
        <v>0</v>
      </c>
      <c r="AA112" s="494">
        <f t="shared" si="107"/>
        <v>0</v>
      </c>
      <c r="AB112" s="494">
        <f t="shared" si="108"/>
        <v>0</v>
      </c>
      <c r="AC112" s="494">
        <f t="shared" si="109"/>
        <v>0</v>
      </c>
      <c r="AD112" s="494">
        <f t="shared" si="110"/>
        <v>0</v>
      </c>
      <c r="AE112" s="494">
        <f t="shared" si="111"/>
        <v>0</v>
      </c>
      <c r="AF112" s="494">
        <f t="shared" si="112"/>
        <v>0</v>
      </c>
      <c r="AU112" s="104" t="s">
        <v>409</v>
      </c>
      <c r="AV112" s="88" t="s">
        <v>69</v>
      </c>
      <c r="AW112" s="494">
        <f t="shared" si="115"/>
        <v>0</v>
      </c>
      <c r="AX112" s="494">
        <f t="shared" si="125"/>
        <v>0</v>
      </c>
      <c r="AY112" s="494">
        <f t="shared" si="126"/>
        <v>0</v>
      </c>
      <c r="AZ112" s="494">
        <f t="shared" si="127"/>
        <v>0</v>
      </c>
      <c r="BA112" s="494">
        <f t="shared" si="128"/>
        <v>0</v>
      </c>
      <c r="BB112" s="494">
        <f t="shared" si="129"/>
        <v>0</v>
      </c>
      <c r="BC112" s="494">
        <f t="shared" si="130"/>
        <v>0</v>
      </c>
      <c r="BD112" s="494">
        <f t="shared" si="131"/>
        <v>0</v>
      </c>
      <c r="BE112" s="494">
        <f t="shared" si="123"/>
        <v>0</v>
      </c>
      <c r="BF112" s="494" t="str">
        <f t="shared" si="124"/>
        <v/>
      </c>
    </row>
    <row r="113" spans="1:58" x14ac:dyDescent="0.25">
      <c r="A113" s="104" t="str">
        <f>'G-1 All Habitats'!B109</f>
        <v>Coastal saltmarsh - Artificial saltmarshes and saline reedbeds</v>
      </c>
      <c r="B113" s="88" t="str">
        <f>'G-1 All Habitats'!F109</f>
        <v xml:space="preserve">Coastal saltmarsh </v>
      </c>
      <c r="C113" s="88" t="str">
        <f>'G-1 All Habitats'!K109</f>
        <v>Low</v>
      </c>
      <c r="D113" s="88" t="str">
        <f>'G-1 All Habitats'!M109</f>
        <v>Same distinctiveness or better habitat required ≥</v>
      </c>
      <c r="E113" s="494">
        <f>IF(C113="V.High",SUMIF('A-1 Site Habitat Baseline'!$G$11:$G$258,'G-2 Habitat groups'!A113,'A-1 Site Habitat Baseline'!$S$11:$S$258)+SUMIF('A-1 Site Habitat Baseline'!$G$11:$G$258,'G-2 Habitat groups'!A113,'A-1 Site Habitat Baseline'!$T$11:$T$258),SUMIF('A-1 Site Habitat Baseline'!$G$11:$G$258,'G-2 Habitat groups'!A113,'A-1 Site Habitat Baseline'!$H$11:$H$258))</f>
        <v>0</v>
      </c>
      <c r="F113" s="494">
        <f>SUMIF('A-1 Site Habitat Baseline'!$G$11:$G$258,'G-2 Habitat groups'!A113,'A-1 Site Habitat Baseline'!$Q$11:$Q$258)</f>
        <v>0</v>
      </c>
      <c r="G113" s="494">
        <f>SUMIF('A-1 Site Habitat Baseline'!$G$11:$G$258,'G-2 Habitat groups'!A113,'A-1 Site Habitat Baseline'!$S$11:$S$258)</f>
        <v>0</v>
      </c>
      <c r="H113" s="494">
        <f>SUMIF('A-1 Site Habitat Baseline'!$G$11:$G$258,'G-2 Habitat groups'!A113,'A-1 Site Habitat Baseline'!$U$11:$U$258)</f>
        <v>0</v>
      </c>
      <c r="I113" s="494">
        <f>SUMIF('A-1 Site Habitat Baseline'!$G$11:$G$258,'G-2 Habitat groups'!A113,'A-1 Site Habitat Baseline'!$W$11:$W$258)</f>
        <v>0</v>
      </c>
      <c r="J113" s="494">
        <f>SUMIF('A-1 Site Habitat Baseline'!$G$11:$G$258,'G-2 Habitat groups'!A113,'A-1 Site Habitat Baseline'!$X$11:$X$258)</f>
        <v>0</v>
      </c>
      <c r="K113" s="494">
        <f>SUMIF('A-2 Site Habitat Creation'!$F$11:$F$256,'G-2 Habitat groups'!A113,'A-2 Site Habitat Creation'!$G$11:$G$256)</f>
        <v>0</v>
      </c>
      <c r="L113" s="494">
        <f>SUMIF('A-2 Site Habitat Creation'!$F$11:$F$256,'G-2 Habitat groups'!A113,'A-2 Site Habitat Creation'!$Y$11:$Y$256)</f>
        <v>0</v>
      </c>
      <c r="M113" s="494">
        <f>SUMIF('A-3 Site Habitat Enhancement'!$S$12:$S$257,'G-2 Habitat groups'!A113,'A-3 Site Habitat Enhancement'!$V$12:$V$257)</f>
        <v>0</v>
      </c>
      <c r="N113" s="494">
        <f>SUMIF('A-3 Site Habitat Enhancement'!$S$12:$S$257,'G-2 Habitat groups'!A113,'A-3 Site Habitat Enhancement'!$AN$12:$AN$257)</f>
        <v>0</v>
      </c>
      <c r="O113" s="494">
        <f t="shared" si="103"/>
        <v>0</v>
      </c>
      <c r="P113" s="494">
        <f t="shared" si="104"/>
        <v>0</v>
      </c>
      <c r="Q113" s="494">
        <f t="shared" si="105"/>
        <v>0</v>
      </c>
      <c r="R113" s="494">
        <f t="shared" si="106"/>
        <v>0</v>
      </c>
      <c r="S113" s="494">
        <f>IF(C113="V.High",SUMIF('D-1 Off Site Habitat Baseline'!$G$11:$G$258,'G-2 Habitat groups'!A113,'D-1 Off Site Habitat Baseline'!$S$11:$S$258)+SUMIF('D-1 Off Site Habitat Baseline'!$G$11:$G$258,'G-2 Habitat groups'!A113,'D-1 Off Site Habitat Baseline'!$T$11:$T$258),SUMIF('D-1 Off Site Habitat Baseline'!$G$11:$G$258,'G-2 Habitat groups'!A113,'D-1 Off Site Habitat Baseline'!$H$11:$H$258))</f>
        <v>0</v>
      </c>
      <c r="T113" s="494">
        <f>SUMIF('D-1 Off Site Habitat Baseline'!$G$11:$G$258,'G-2 Habitat groups'!A113,'D-1 Off Site Habitat Baseline'!$Q$11:$Q$258)</f>
        <v>0</v>
      </c>
      <c r="U113" s="591">
        <f>SUMIF('D-1 Off Site Habitat Baseline'!$G$11:$G$258,'G-2 Habitat groups'!A113,'D-1 Off Site Habitat Baseline'!$S$11:$S$258)</f>
        <v>0</v>
      </c>
      <c r="V113" s="494">
        <f>SUMIF('D-1 Off Site Habitat Baseline'!$G$11:$G$258,'G-2 Habitat groups'!A113,'D-1 Off Site Habitat Baseline'!$U$11:$U$258)</f>
        <v>0</v>
      </c>
      <c r="W113" s="494">
        <f>SUMIF('D-2 Off Site Habitat Creation'!$F$9:$F$255,'G-2 Habitat groups'!A113,'D-2 Off Site Habitat Creation'!$G$9:$G$255)</f>
        <v>0</v>
      </c>
      <c r="X113" s="494">
        <f>SUMIF('D-2 Off Site Habitat Creation'!$F$9:$F$255,'G-2 Habitat groups'!A113,'D-2 Off Site Habitat Creation'!$AA$9:$AA$255)</f>
        <v>0</v>
      </c>
      <c r="Y113" s="494">
        <f>SUMIF('D-3 Off Site Habitat Enhancment'!$S$12:$S$491,'G-2 Habitat groups'!A113,'D-3 Off Site Habitat Enhancment'!$V$12:$V$491)</f>
        <v>0</v>
      </c>
      <c r="Z113" s="494">
        <f>SUMIF('D-3 Off Site Habitat Enhancment'!$S$12:$S$491,'G-2 Habitat groups'!A113,'D-3 Off Site Habitat Enhancment'!$AP$12:$AP$491)</f>
        <v>0</v>
      </c>
      <c r="AA113" s="494">
        <f t="shared" si="107"/>
        <v>0</v>
      </c>
      <c r="AB113" s="494">
        <f t="shared" si="108"/>
        <v>0</v>
      </c>
      <c r="AC113" s="494">
        <f t="shared" si="109"/>
        <v>0</v>
      </c>
      <c r="AD113" s="494">
        <f t="shared" si="110"/>
        <v>0</v>
      </c>
      <c r="AE113" s="494">
        <f t="shared" si="111"/>
        <v>0</v>
      </c>
      <c r="AF113" s="494">
        <f t="shared" si="112"/>
        <v>0</v>
      </c>
      <c r="AU113" s="104" t="s">
        <v>413</v>
      </c>
      <c r="AV113" s="88" t="s">
        <v>69</v>
      </c>
      <c r="AW113" s="494">
        <f t="shared" si="115"/>
        <v>0</v>
      </c>
      <c r="AX113" s="494">
        <f t="shared" si="125"/>
        <v>0</v>
      </c>
      <c r="AY113" s="494">
        <f t="shared" si="126"/>
        <v>0</v>
      </c>
      <c r="AZ113" s="494">
        <f t="shared" si="127"/>
        <v>0</v>
      </c>
      <c r="BA113" s="494">
        <f t="shared" si="128"/>
        <v>0</v>
      </c>
      <c r="BB113" s="494">
        <f t="shared" si="129"/>
        <v>0</v>
      </c>
      <c r="BC113" s="494">
        <f t="shared" si="130"/>
        <v>0</v>
      </c>
      <c r="BD113" s="494">
        <f t="shared" si="131"/>
        <v>0</v>
      </c>
      <c r="BE113" s="494">
        <f t="shared" si="123"/>
        <v>0</v>
      </c>
      <c r="BF113" s="494" t="str">
        <f t="shared" si="124"/>
        <v/>
      </c>
    </row>
    <row r="114" spans="1:58" x14ac:dyDescent="0.25">
      <c r="A114" s="104" t="str">
        <f>'G-1 All Habitats'!B113</f>
        <v>Intertidal sediment - Littoral seagrass</v>
      </c>
      <c r="B114" s="88" t="str">
        <f>'G-1 All Habitats'!F113</f>
        <v>Intertidal sediment</v>
      </c>
      <c r="C114" s="88" t="str">
        <f>'G-1 All Habitats'!K113</f>
        <v>High</v>
      </c>
      <c r="D114" s="88" t="str">
        <f>'G-1 All Habitats'!M113</f>
        <v>Same habitat required =</v>
      </c>
      <c r="E114" s="494">
        <f>IF(C114="V.High",SUMIF('A-1 Site Habitat Baseline'!$G$11:$G$258,'G-2 Habitat groups'!A114,'A-1 Site Habitat Baseline'!$S$11:$S$258)+SUMIF('A-1 Site Habitat Baseline'!$G$11:$G$258,'G-2 Habitat groups'!A114,'A-1 Site Habitat Baseline'!$T$11:$T$258),SUMIF('A-1 Site Habitat Baseline'!$G$11:$G$258,'G-2 Habitat groups'!A114,'A-1 Site Habitat Baseline'!$H$11:$H$258))</f>
        <v>0</v>
      </c>
      <c r="F114" s="494">
        <f>SUMIF('A-1 Site Habitat Baseline'!$G$11:$G$258,'G-2 Habitat groups'!A114,'A-1 Site Habitat Baseline'!$Q$11:$Q$258)</f>
        <v>0</v>
      </c>
      <c r="G114" s="494">
        <f>SUMIF('A-1 Site Habitat Baseline'!$G$11:$G$258,'G-2 Habitat groups'!A114,'A-1 Site Habitat Baseline'!$S$11:$S$258)</f>
        <v>0</v>
      </c>
      <c r="H114" s="494">
        <f>SUMIF('A-1 Site Habitat Baseline'!$G$11:$G$258,'G-2 Habitat groups'!A114,'A-1 Site Habitat Baseline'!$U$11:$U$258)</f>
        <v>0</v>
      </c>
      <c r="I114" s="494">
        <f>SUMIF('A-1 Site Habitat Baseline'!$G$11:$G$258,'G-2 Habitat groups'!A114,'A-1 Site Habitat Baseline'!$W$11:$W$258)</f>
        <v>0</v>
      </c>
      <c r="J114" s="494">
        <f>SUMIF('A-1 Site Habitat Baseline'!$G$11:$G$258,'G-2 Habitat groups'!A114,'A-1 Site Habitat Baseline'!$X$11:$X$258)</f>
        <v>0</v>
      </c>
      <c r="K114" s="494">
        <f>SUMIF('A-2 Site Habitat Creation'!$F$11:$F$256,'G-2 Habitat groups'!A114,'A-2 Site Habitat Creation'!$G$11:$G$256)</f>
        <v>0</v>
      </c>
      <c r="L114" s="494">
        <f>SUMIF('A-2 Site Habitat Creation'!$F$11:$F$256,'G-2 Habitat groups'!A114,'A-2 Site Habitat Creation'!$Y$11:$Y$256)</f>
        <v>0</v>
      </c>
      <c r="M114" s="494">
        <f>SUMIF('A-3 Site Habitat Enhancement'!$S$12:$S$257,'G-2 Habitat groups'!A114,'A-3 Site Habitat Enhancement'!$V$12:$V$257)</f>
        <v>0</v>
      </c>
      <c r="N114" s="494">
        <f>SUMIF('A-3 Site Habitat Enhancement'!$S$12:$S$257,'G-2 Habitat groups'!A114,'A-3 Site Habitat Enhancement'!$AN$12:$AN$257)</f>
        <v>0</v>
      </c>
      <c r="O114" s="494">
        <f t="shared" si="103"/>
        <v>0</v>
      </c>
      <c r="P114" s="494">
        <f t="shared" si="104"/>
        <v>0</v>
      </c>
      <c r="Q114" s="494">
        <f t="shared" si="105"/>
        <v>0</v>
      </c>
      <c r="R114" s="494">
        <f t="shared" si="106"/>
        <v>0</v>
      </c>
      <c r="S114" s="494">
        <f>IF(C114="V.High",SUMIF('D-1 Off Site Habitat Baseline'!$G$11:$G$258,'G-2 Habitat groups'!A114,'D-1 Off Site Habitat Baseline'!$S$11:$S$258)+SUMIF('D-1 Off Site Habitat Baseline'!$G$11:$G$258,'G-2 Habitat groups'!A114,'D-1 Off Site Habitat Baseline'!$T$11:$T$258),SUMIF('D-1 Off Site Habitat Baseline'!$G$11:$G$258,'G-2 Habitat groups'!A114,'D-1 Off Site Habitat Baseline'!$H$11:$H$258))</f>
        <v>0</v>
      </c>
      <c r="T114" s="494">
        <f>SUMIF('D-1 Off Site Habitat Baseline'!$G$11:$G$258,'G-2 Habitat groups'!A114,'D-1 Off Site Habitat Baseline'!$Q$11:$Q$258)</f>
        <v>0</v>
      </c>
      <c r="U114" s="591">
        <f>SUMIF('D-1 Off Site Habitat Baseline'!$G$11:$G$258,'G-2 Habitat groups'!A114,'D-1 Off Site Habitat Baseline'!$S$11:$S$258)</f>
        <v>0</v>
      </c>
      <c r="V114" s="494">
        <f>SUMIF('D-1 Off Site Habitat Baseline'!$G$11:$G$258,'G-2 Habitat groups'!A114,'D-1 Off Site Habitat Baseline'!$U$11:$U$258)</f>
        <v>0</v>
      </c>
      <c r="W114" s="494">
        <f>SUMIF('D-2 Off Site Habitat Creation'!$F$9:$F$255,'G-2 Habitat groups'!A114,'D-2 Off Site Habitat Creation'!$G$9:$G$255)</f>
        <v>0</v>
      </c>
      <c r="X114" s="494">
        <f>SUMIF('D-2 Off Site Habitat Creation'!$F$9:$F$255,'G-2 Habitat groups'!A114,'D-2 Off Site Habitat Creation'!$AA$9:$AA$255)</f>
        <v>0</v>
      </c>
      <c r="Y114" s="494">
        <f>SUMIF('D-3 Off Site Habitat Enhancment'!$S$12:$S$491,'G-2 Habitat groups'!A114,'D-3 Off Site Habitat Enhancment'!$V$12:$V$491)</f>
        <v>0</v>
      </c>
      <c r="Z114" s="494">
        <f>SUMIF('D-3 Off Site Habitat Enhancment'!$S$12:$S$491,'G-2 Habitat groups'!A114,'D-3 Off Site Habitat Enhancment'!$AP$12:$AP$491)</f>
        <v>0</v>
      </c>
      <c r="AA114" s="494">
        <f t="shared" si="107"/>
        <v>0</v>
      </c>
      <c r="AB114" s="494">
        <f t="shared" si="108"/>
        <v>0</v>
      </c>
      <c r="AC114" s="494">
        <f t="shared" si="109"/>
        <v>0</v>
      </c>
      <c r="AD114" s="494">
        <f t="shared" si="110"/>
        <v>0</v>
      </c>
      <c r="AE114" s="494">
        <f t="shared" si="111"/>
        <v>0</v>
      </c>
      <c r="AF114" s="494">
        <f t="shared" si="112"/>
        <v>0</v>
      </c>
      <c r="AU114" s="104" t="s">
        <v>417</v>
      </c>
      <c r="AV114" s="88" t="s">
        <v>69</v>
      </c>
      <c r="AW114" s="494">
        <f t="shared" si="115"/>
        <v>0</v>
      </c>
      <c r="AX114" s="494">
        <f t="shared" si="125"/>
        <v>0</v>
      </c>
      <c r="AY114" s="494">
        <f t="shared" si="126"/>
        <v>0</v>
      </c>
      <c r="AZ114" s="494">
        <f t="shared" si="127"/>
        <v>0</v>
      </c>
      <c r="BA114" s="494">
        <f t="shared" si="128"/>
        <v>0</v>
      </c>
      <c r="BB114" s="494">
        <f t="shared" si="129"/>
        <v>0</v>
      </c>
      <c r="BC114" s="494">
        <f t="shared" si="130"/>
        <v>0</v>
      </c>
      <c r="BD114" s="494">
        <f t="shared" si="131"/>
        <v>0</v>
      </c>
      <c r="BE114" s="494">
        <f t="shared" si="123"/>
        <v>0</v>
      </c>
      <c r="BF114" s="494" t="str">
        <f t="shared" si="124"/>
        <v/>
      </c>
    </row>
    <row r="115" spans="1:58" x14ac:dyDescent="0.25">
      <c r="A115" s="104" t="str">
        <f>'G-1 All Habitats'!B114</f>
        <v>Intertidal sediment - Littoral seagrass on peat, clay or chalk</v>
      </c>
      <c r="B115" s="88" t="str">
        <f>'G-1 All Habitats'!F114</f>
        <v>Intertidal sediment</v>
      </c>
      <c r="C115" s="88" t="str">
        <f>'G-1 All Habitats'!K114</f>
        <v>V.High</v>
      </c>
      <c r="D115" s="88" t="str">
        <f>'G-1 All Habitats'!M114</f>
        <v>Bespoke compensation likely to be required 🛠</v>
      </c>
      <c r="E115" s="494">
        <f>IF(C115="V.High",SUMIF('A-1 Site Habitat Baseline'!$G$11:$G$258,'G-2 Habitat groups'!A115,'A-1 Site Habitat Baseline'!$S$11:$S$258)+SUMIF('A-1 Site Habitat Baseline'!$G$11:$G$258,'G-2 Habitat groups'!A115,'A-1 Site Habitat Baseline'!$T$11:$T$258),SUMIF('A-1 Site Habitat Baseline'!$G$11:$G$258,'G-2 Habitat groups'!A115,'A-1 Site Habitat Baseline'!$H$11:$H$258))</f>
        <v>0</v>
      </c>
      <c r="F115" s="494">
        <f>SUMIF('A-1 Site Habitat Baseline'!$G$11:$G$258,'G-2 Habitat groups'!A115,'A-1 Site Habitat Baseline'!$Q$11:$Q$258)</f>
        <v>0</v>
      </c>
      <c r="G115" s="494">
        <f>SUMIF('A-1 Site Habitat Baseline'!$G$11:$G$258,'G-2 Habitat groups'!A115,'A-1 Site Habitat Baseline'!$S$11:$S$258)</f>
        <v>0</v>
      </c>
      <c r="H115" s="494">
        <f>SUMIF('A-1 Site Habitat Baseline'!$G$11:$G$258,'G-2 Habitat groups'!A115,'A-1 Site Habitat Baseline'!$U$11:$U$258)</f>
        <v>0</v>
      </c>
      <c r="I115" s="494">
        <f>SUMIF('A-1 Site Habitat Baseline'!$G$11:$G$258,'G-2 Habitat groups'!A115,'A-1 Site Habitat Baseline'!$W$11:$W$258)</f>
        <v>0</v>
      </c>
      <c r="J115" s="494">
        <f>SUMIF('A-1 Site Habitat Baseline'!$G$11:$G$258,'G-2 Habitat groups'!A115,'A-1 Site Habitat Baseline'!$X$11:$X$258)</f>
        <v>0</v>
      </c>
      <c r="K115" s="494">
        <f>SUMIF('A-2 Site Habitat Creation'!$F$11:$F$256,'G-2 Habitat groups'!A115,'A-2 Site Habitat Creation'!$G$11:$G$256)</f>
        <v>0</v>
      </c>
      <c r="L115" s="494">
        <f>SUMIF('A-2 Site Habitat Creation'!$F$11:$F$256,'G-2 Habitat groups'!A115,'A-2 Site Habitat Creation'!$Y$11:$Y$256)</f>
        <v>0</v>
      </c>
      <c r="M115" s="494">
        <f>SUMIF('A-3 Site Habitat Enhancement'!$S$12:$S$257,'G-2 Habitat groups'!A115,'A-3 Site Habitat Enhancement'!$V$12:$V$257)</f>
        <v>0</v>
      </c>
      <c r="N115" s="494">
        <f>SUMIF('A-3 Site Habitat Enhancement'!$S$12:$S$257,'G-2 Habitat groups'!A115,'A-3 Site Habitat Enhancement'!$AN$12:$AN$257)</f>
        <v>0</v>
      </c>
      <c r="O115" s="494">
        <f t="shared" si="103"/>
        <v>0</v>
      </c>
      <c r="P115" s="494">
        <f t="shared" si="104"/>
        <v>0</v>
      </c>
      <c r="Q115" s="494">
        <f t="shared" si="105"/>
        <v>0</v>
      </c>
      <c r="R115" s="494">
        <f t="shared" si="106"/>
        <v>0</v>
      </c>
      <c r="S115" s="494">
        <f>IF(C115="V.High",SUMIF('D-1 Off Site Habitat Baseline'!$G$11:$G$258,'G-2 Habitat groups'!A115,'D-1 Off Site Habitat Baseline'!$S$11:$S$258)+SUMIF('D-1 Off Site Habitat Baseline'!$G$11:$G$258,'G-2 Habitat groups'!A115,'D-1 Off Site Habitat Baseline'!$T$11:$T$258),SUMIF('D-1 Off Site Habitat Baseline'!$G$11:$G$258,'G-2 Habitat groups'!A115,'D-1 Off Site Habitat Baseline'!$H$11:$H$258))</f>
        <v>0</v>
      </c>
      <c r="T115" s="494">
        <f>SUMIF('D-1 Off Site Habitat Baseline'!$G$11:$G$258,'G-2 Habitat groups'!A115,'D-1 Off Site Habitat Baseline'!$Q$11:$Q$258)</f>
        <v>0</v>
      </c>
      <c r="U115" s="591">
        <f>SUMIF('D-1 Off Site Habitat Baseline'!$G$11:$G$258,'G-2 Habitat groups'!A115,'D-1 Off Site Habitat Baseline'!$S$11:$S$258)</f>
        <v>0</v>
      </c>
      <c r="V115" s="494">
        <f>SUMIF('D-1 Off Site Habitat Baseline'!$G$11:$G$258,'G-2 Habitat groups'!A115,'D-1 Off Site Habitat Baseline'!$U$11:$U$258)</f>
        <v>0</v>
      </c>
      <c r="W115" s="494">
        <f>SUMIF('D-2 Off Site Habitat Creation'!$F$9:$F$255,'G-2 Habitat groups'!A115,'D-2 Off Site Habitat Creation'!$G$9:$G$255)</f>
        <v>0</v>
      </c>
      <c r="X115" s="494">
        <f>SUMIF('D-2 Off Site Habitat Creation'!$F$9:$F$255,'G-2 Habitat groups'!A115,'D-2 Off Site Habitat Creation'!$AA$9:$AA$255)</f>
        <v>0</v>
      </c>
      <c r="Y115" s="494">
        <f>SUMIF('D-3 Off Site Habitat Enhancment'!$S$12:$S$491,'G-2 Habitat groups'!A115,'D-3 Off Site Habitat Enhancment'!$V$12:$V$491)</f>
        <v>0</v>
      </c>
      <c r="Z115" s="494">
        <f>SUMIF('D-3 Off Site Habitat Enhancment'!$S$12:$S$491,'G-2 Habitat groups'!A115,'D-3 Off Site Habitat Enhancment'!$AP$12:$AP$491)</f>
        <v>0</v>
      </c>
      <c r="AA115" s="494">
        <f t="shared" si="107"/>
        <v>0</v>
      </c>
      <c r="AB115" s="494">
        <f t="shared" si="108"/>
        <v>0</v>
      </c>
      <c r="AC115" s="494">
        <f t="shared" si="109"/>
        <v>0</v>
      </c>
      <c r="AD115" s="494">
        <f t="shared" si="110"/>
        <v>0</v>
      </c>
      <c r="AE115" s="494">
        <f t="shared" si="111"/>
        <v>0</v>
      </c>
      <c r="AF115" s="494">
        <f t="shared" si="112"/>
        <v>0</v>
      </c>
      <c r="AU115" s="104" t="s">
        <v>401</v>
      </c>
      <c r="AV115" s="88" t="s">
        <v>69</v>
      </c>
      <c r="AW115" s="494">
        <f t="shared" si="115"/>
        <v>0</v>
      </c>
      <c r="AX115" s="494">
        <f t="shared" si="125"/>
        <v>0</v>
      </c>
      <c r="AY115" s="494">
        <f t="shared" si="126"/>
        <v>0</v>
      </c>
      <c r="AZ115" s="494">
        <f t="shared" si="127"/>
        <v>0</v>
      </c>
      <c r="BA115" s="494">
        <f t="shared" si="128"/>
        <v>0</v>
      </c>
      <c r="BB115" s="494">
        <f t="shared" si="129"/>
        <v>0</v>
      </c>
      <c r="BC115" s="494">
        <f t="shared" si="130"/>
        <v>0</v>
      </c>
      <c r="BD115" s="494">
        <f t="shared" si="131"/>
        <v>0</v>
      </c>
      <c r="BE115" s="494">
        <f t="shared" si="123"/>
        <v>0</v>
      </c>
      <c r="BF115" s="494" t="str">
        <f t="shared" si="124"/>
        <v/>
      </c>
    </row>
    <row r="116" spans="1:58" x14ac:dyDescent="0.25">
      <c r="A116" s="104" t="str">
        <f>'G-1 All Habitats'!B115</f>
        <v>Intertidal sediment - Littoral biogenic reefs - Mussels</v>
      </c>
      <c r="B116" s="88" t="str">
        <f>'G-1 All Habitats'!F115</f>
        <v>Intertidal sediment</v>
      </c>
      <c r="C116" s="88" t="str">
        <f>'G-1 All Habitats'!K115</f>
        <v>High</v>
      </c>
      <c r="D116" s="88" t="str">
        <f>'G-1 All Habitats'!M115</f>
        <v>Same habitat required =</v>
      </c>
      <c r="E116" s="494">
        <f>IF(C116="V.High",SUMIF('A-1 Site Habitat Baseline'!$G$11:$G$258,'G-2 Habitat groups'!A116,'A-1 Site Habitat Baseline'!$S$11:$S$258)+SUMIF('A-1 Site Habitat Baseline'!$G$11:$G$258,'G-2 Habitat groups'!A116,'A-1 Site Habitat Baseline'!$T$11:$T$258),SUMIF('A-1 Site Habitat Baseline'!$G$11:$G$258,'G-2 Habitat groups'!A116,'A-1 Site Habitat Baseline'!$H$11:$H$258))</f>
        <v>0</v>
      </c>
      <c r="F116" s="494">
        <f>SUMIF('A-1 Site Habitat Baseline'!$G$11:$G$258,'G-2 Habitat groups'!A116,'A-1 Site Habitat Baseline'!$Q$11:$Q$258)</f>
        <v>0</v>
      </c>
      <c r="G116" s="494">
        <f>SUMIF('A-1 Site Habitat Baseline'!$G$11:$G$258,'G-2 Habitat groups'!A116,'A-1 Site Habitat Baseline'!$S$11:$S$258)</f>
        <v>0</v>
      </c>
      <c r="H116" s="494">
        <f>SUMIF('A-1 Site Habitat Baseline'!$G$11:$G$258,'G-2 Habitat groups'!A116,'A-1 Site Habitat Baseline'!$U$11:$U$258)</f>
        <v>0</v>
      </c>
      <c r="I116" s="494">
        <f>SUMIF('A-1 Site Habitat Baseline'!$G$11:$G$258,'G-2 Habitat groups'!A116,'A-1 Site Habitat Baseline'!$W$11:$W$258)</f>
        <v>0</v>
      </c>
      <c r="J116" s="494">
        <f>SUMIF('A-1 Site Habitat Baseline'!$G$11:$G$258,'G-2 Habitat groups'!A116,'A-1 Site Habitat Baseline'!$X$11:$X$258)</f>
        <v>0</v>
      </c>
      <c r="K116" s="494">
        <f>SUMIF('A-2 Site Habitat Creation'!$F$11:$F$256,'G-2 Habitat groups'!A116,'A-2 Site Habitat Creation'!$G$11:$G$256)</f>
        <v>0</v>
      </c>
      <c r="L116" s="494">
        <f>SUMIF('A-2 Site Habitat Creation'!$F$11:$F$256,'G-2 Habitat groups'!A116,'A-2 Site Habitat Creation'!$Y$11:$Y$256)</f>
        <v>0</v>
      </c>
      <c r="M116" s="494">
        <f>SUMIF('A-3 Site Habitat Enhancement'!$S$12:$S$257,'G-2 Habitat groups'!A116,'A-3 Site Habitat Enhancement'!$V$12:$V$257)</f>
        <v>0</v>
      </c>
      <c r="N116" s="494">
        <f>SUMIF('A-3 Site Habitat Enhancement'!$S$12:$S$257,'G-2 Habitat groups'!A116,'A-3 Site Habitat Enhancement'!$AN$12:$AN$257)</f>
        <v>0</v>
      </c>
      <c r="O116" s="494">
        <f t="shared" si="103"/>
        <v>0</v>
      </c>
      <c r="P116" s="494">
        <f t="shared" si="104"/>
        <v>0</v>
      </c>
      <c r="Q116" s="494">
        <f t="shared" si="105"/>
        <v>0</v>
      </c>
      <c r="R116" s="494">
        <f t="shared" si="106"/>
        <v>0</v>
      </c>
      <c r="S116" s="494">
        <f>IF(C116="V.High",SUMIF('D-1 Off Site Habitat Baseline'!$G$11:$G$258,'G-2 Habitat groups'!A116,'D-1 Off Site Habitat Baseline'!$S$11:$S$258)+SUMIF('D-1 Off Site Habitat Baseline'!$G$11:$G$258,'G-2 Habitat groups'!A116,'D-1 Off Site Habitat Baseline'!$T$11:$T$258),SUMIF('D-1 Off Site Habitat Baseline'!$G$11:$G$258,'G-2 Habitat groups'!A116,'D-1 Off Site Habitat Baseline'!$H$11:$H$258))</f>
        <v>0</v>
      </c>
      <c r="T116" s="494">
        <f>SUMIF('D-1 Off Site Habitat Baseline'!$G$11:$G$258,'G-2 Habitat groups'!A116,'D-1 Off Site Habitat Baseline'!$Q$11:$Q$258)</f>
        <v>0</v>
      </c>
      <c r="U116" s="591">
        <f>SUMIF('D-1 Off Site Habitat Baseline'!$G$11:$G$258,'G-2 Habitat groups'!A116,'D-1 Off Site Habitat Baseline'!$S$11:$S$258)</f>
        <v>0</v>
      </c>
      <c r="V116" s="494">
        <f>SUMIF('D-1 Off Site Habitat Baseline'!$G$11:$G$258,'G-2 Habitat groups'!A116,'D-1 Off Site Habitat Baseline'!$U$11:$U$258)</f>
        <v>0</v>
      </c>
      <c r="W116" s="494">
        <f>SUMIF('D-2 Off Site Habitat Creation'!$F$9:$F$255,'G-2 Habitat groups'!A116,'D-2 Off Site Habitat Creation'!$G$9:$G$255)</f>
        <v>0</v>
      </c>
      <c r="X116" s="494">
        <f>SUMIF('D-2 Off Site Habitat Creation'!$F$9:$F$255,'G-2 Habitat groups'!A116,'D-2 Off Site Habitat Creation'!$AA$9:$AA$255)</f>
        <v>0</v>
      </c>
      <c r="Y116" s="494">
        <f>SUMIF('D-3 Off Site Habitat Enhancment'!$S$12:$S$491,'G-2 Habitat groups'!A116,'D-3 Off Site Habitat Enhancment'!$V$12:$V$491)</f>
        <v>0</v>
      </c>
      <c r="Z116" s="494">
        <f>SUMIF('D-3 Off Site Habitat Enhancment'!$S$12:$S$491,'G-2 Habitat groups'!A116,'D-3 Off Site Habitat Enhancment'!$AP$12:$AP$491)</f>
        <v>0</v>
      </c>
      <c r="AA116" s="494">
        <f t="shared" si="107"/>
        <v>0</v>
      </c>
      <c r="AB116" s="494">
        <f t="shared" si="108"/>
        <v>0</v>
      </c>
      <c r="AC116" s="494">
        <f t="shared" si="109"/>
        <v>0</v>
      </c>
      <c r="AD116" s="494">
        <f t="shared" si="110"/>
        <v>0</v>
      </c>
      <c r="AE116" s="494">
        <f t="shared" si="111"/>
        <v>0</v>
      </c>
      <c r="AF116" s="494">
        <f t="shared" si="112"/>
        <v>0</v>
      </c>
      <c r="AU116" s="104" t="s">
        <v>449</v>
      </c>
      <c r="AV116" s="88" t="s">
        <v>70</v>
      </c>
      <c r="AW116" s="494">
        <f t="shared" si="115"/>
        <v>7.3499999999999996E-2</v>
      </c>
      <c r="AX116" s="494">
        <f t="shared" si="125"/>
        <v>0.16904999999999998</v>
      </c>
      <c r="AY116" s="494">
        <f t="shared" si="126"/>
        <v>0</v>
      </c>
      <c r="AZ116" s="494">
        <f t="shared" si="127"/>
        <v>0</v>
      </c>
      <c r="BA116" s="494">
        <f t="shared" si="128"/>
        <v>-7.3499999999999996E-2</v>
      </c>
      <c r="BB116" s="494">
        <f t="shared" si="129"/>
        <v>-0.16904999999999998</v>
      </c>
      <c r="BC116" s="494">
        <f t="shared" si="130"/>
        <v>0</v>
      </c>
      <c r="BD116" s="494">
        <f t="shared" si="131"/>
        <v>0</v>
      </c>
      <c r="BE116" s="494">
        <f t="shared" si="123"/>
        <v>-0.16904999999999998</v>
      </c>
      <c r="BF116" s="494">
        <f t="shared" si="124"/>
        <v>-0.16904999999999998</v>
      </c>
    </row>
    <row r="117" spans="1:58" x14ac:dyDescent="0.25">
      <c r="A117" s="104" t="str">
        <f>'G-1 All Habitats'!B116</f>
        <v>Intertidal sediment - Littoral biogenic reefs - Sabellaria</v>
      </c>
      <c r="B117" s="88" t="str">
        <f>'G-1 All Habitats'!F116</f>
        <v>Intertidal sediment</v>
      </c>
      <c r="C117" s="88" t="str">
        <f>'G-1 All Habitats'!K116</f>
        <v>High</v>
      </c>
      <c r="D117" s="88" t="str">
        <f>'G-1 All Habitats'!M116</f>
        <v>Same habitat required =</v>
      </c>
      <c r="E117" s="494">
        <f>IF(C117="V.High",SUMIF('A-1 Site Habitat Baseline'!$G$11:$G$258,'G-2 Habitat groups'!A117,'A-1 Site Habitat Baseline'!$S$11:$S$258)+SUMIF('A-1 Site Habitat Baseline'!$G$11:$G$258,'G-2 Habitat groups'!A117,'A-1 Site Habitat Baseline'!$T$11:$T$258),SUMIF('A-1 Site Habitat Baseline'!$G$11:$G$258,'G-2 Habitat groups'!A117,'A-1 Site Habitat Baseline'!$H$11:$H$258))</f>
        <v>0</v>
      </c>
      <c r="F117" s="494">
        <f>SUMIF('A-1 Site Habitat Baseline'!$G$11:$G$258,'G-2 Habitat groups'!A117,'A-1 Site Habitat Baseline'!$Q$11:$Q$258)</f>
        <v>0</v>
      </c>
      <c r="G117" s="494">
        <f>SUMIF('A-1 Site Habitat Baseline'!$G$11:$G$258,'G-2 Habitat groups'!A117,'A-1 Site Habitat Baseline'!$S$11:$S$258)</f>
        <v>0</v>
      </c>
      <c r="H117" s="494">
        <f>SUMIF('A-1 Site Habitat Baseline'!$G$11:$G$258,'G-2 Habitat groups'!A117,'A-1 Site Habitat Baseline'!$U$11:$U$258)</f>
        <v>0</v>
      </c>
      <c r="I117" s="494">
        <f>SUMIF('A-1 Site Habitat Baseline'!$G$11:$G$258,'G-2 Habitat groups'!A117,'A-1 Site Habitat Baseline'!$W$11:$W$258)</f>
        <v>0</v>
      </c>
      <c r="J117" s="494">
        <f>SUMIF('A-1 Site Habitat Baseline'!$G$11:$G$258,'G-2 Habitat groups'!A117,'A-1 Site Habitat Baseline'!$X$11:$X$258)</f>
        <v>0</v>
      </c>
      <c r="K117" s="494">
        <f>SUMIF('A-2 Site Habitat Creation'!$F$11:$F$256,'G-2 Habitat groups'!A117,'A-2 Site Habitat Creation'!$G$11:$G$256)</f>
        <v>0</v>
      </c>
      <c r="L117" s="494">
        <f>SUMIF('A-2 Site Habitat Creation'!$F$11:$F$256,'G-2 Habitat groups'!A117,'A-2 Site Habitat Creation'!$Y$11:$Y$256)</f>
        <v>0</v>
      </c>
      <c r="M117" s="494">
        <f>SUMIF('A-3 Site Habitat Enhancement'!$S$12:$S$257,'G-2 Habitat groups'!A117,'A-3 Site Habitat Enhancement'!$V$12:$V$257)</f>
        <v>0</v>
      </c>
      <c r="N117" s="494">
        <f>SUMIF('A-3 Site Habitat Enhancement'!$S$12:$S$257,'G-2 Habitat groups'!A117,'A-3 Site Habitat Enhancement'!$AN$12:$AN$257)</f>
        <v>0</v>
      </c>
      <c r="O117" s="494">
        <f t="shared" si="103"/>
        <v>0</v>
      </c>
      <c r="P117" s="494">
        <f t="shared" si="104"/>
        <v>0</v>
      </c>
      <c r="Q117" s="494">
        <f t="shared" si="105"/>
        <v>0</v>
      </c>
      <c r="R117" s="494">
        <f t="shared" si="106"/>
        <v>0</v>
      </c>
      <c r="S117" s="494">
        <f>IF(C117="V.High",SUMIF('D-1 Off Site Habitat Baseline'!$G$11:$G$258,'G-2 Habitat groups'!A117,'D-1 Off Site Habitat Baseline'!$S$11:$S$258)+SUMIF('D-1 Off Site Habitat Baseline'!$G$11:$G$258,'G-2 Habitat groups'!A117,'D-1 Off Site Habitat Baseline'!$T$11:$T$258),SUMIF('D-1 Off Site Habitat Baseline'!$G$11:$G$258,'G-2 Habitat groups'!A117,'D-1 Off Site Habitat Baseline'!$H$11:$H$258))</f>
        <v>0</v>
      </c>
      <c r="T117" s="494">
        <f>SUMIF('D-1 Off Site Habitat Baseline'!$G$11:$G$258,'G-2 Habitat groups'!A117,'D-1 Off Site Habitat Baseline'!$Q$11:$Q$258)</f>
        <v>0</v>
      </c>
      <c r="U117" s="591">
        <f>SUMIF('D-1 Off Site Habitat Baseline'!$G$11:$G$258,'G-2 Habitat groups'!A117,'D-1 Off Site Habitat Baseline'!$S$11:$S$258)</f>
        <v>0</v>
      </c>
      <c r="V117" s="494">
        <f>SUMIF('D-1 Off Site Habitat Baseline'!$G$11:$G$258,'G-2 Habitat groups'!A117,'D-1 Off Site Habitat Baseline'!$U$11:$U$258)</f>
        <v>0</v>
      </c>
      <c r="W117" s="494">
        <f>SUMIF('D-2 Off Site Habitat Creation'!$F$9:$F$255,'G-2 Habitat groups'!A117,'D-2 Off Site Habitat Creation'!$G$9:$G$255)</f>
        <v>0</v>
      </c>
      <c r="X117" s="494">
        <f>SUMIF('D-2 Off Site Habitat Creation'!$F$9:$F$255,'G-2 Habitat groups'!A117,'D-2 Off Site Habitat Creation'!$AA$9:$AA$255)</f>
        <v>0</v>
      </c>
      <c r="Y117" s="494">
        <f>SUMIF('D-3 Off Site Habitat Enhancment'!$S$12:$S$491,'G-2 Habitat groups'!A117,'D-3 Off Site Habitat Enhancment'!$V$12:$V$491)</f>
        <v>0</v>
      </c>
      <c r="Z117" s="494">
        <f>SUMIF('D-3 Off Site Habitat Enhancment'!$S$12:$S$491,'G-2 Habitat groups'!A117,'D-3 Off Site Habitat Enhancment'!$AP$12:$AP$491)</f>
        <v>0</v>
      </c>
      <c r="AA117" s="494">
        <f t="shared" si="107"/>
        <v>0</v>
      </c>
      <c r="AB117" s="494">
        <f t="shared" si="108"/>
        <v>0</v>
      </c>
      <c r="AC117" s="494">
        <f t="shared" si="109"/>
        <v>0</v>
      </c>
      <c r="AD117" s="494">
        <f t="shared" si="110"/>
        <v>0</v>
      </c>
      <c r="AE117" s="494">
        <f t="shared" si="111"/>
        <v>0</v>
      </c>
      <c r="AF117" s="494">
        <f t="shared" si="112"/>
        <v>0</v>
      </c>
      <c r="AU117" s="104" t="s">
        <v>424</v>
      </c>
      <c r="AV117" s="88" t="s">
        <v>70</v>
      </c>
      <c r="AW117" s="494">
        <f t="shared" si="115"/>
        <v>0</v>
      </c>
      <c r="AX117" s="494">
        <f t="shared" si="125"/>
        <v>0</v>
      </c>
      <c r="AY117" s="494">
        <f t="shared" si="126"/>
        <v>0</v>
      </c>
      <c r="AZ117" s="494">
        <f t="shared" si="127"/>
        <v>0</v>
      </c>
      <c r="BA117" s="494">
        <f t="shared" si="128"/>
        <v>0</v>
      </c>
      <c r="BB117" s="494">
        <f t="shared" si="129"/>
        <v>0</v>
      </c>
      <c r="BC117" s="494">
        <f t="shared" si="130"/>
        <v>0</v>
      </c>
      <c r="BD117" s="494">
        <f t="shared" si="131"/>
        <v>0</v>
      </c>
      <c r="BE117" s="494">
        <f t="shared" si="123"/>
        <v>0</v>
      </c>
      <c r="BF117" s="494" t="str">
        <f t="shared" si="124"/>
        <v/>
      </c>
    </row>
    <row r="118" spans="1:58" x14ac:dyDescent="0.25">
      <c r="A118" s="104" t="str">
        <f>'G-1 All Habitats'!B117</f>
        <v>Intertidal sediment - Features of littoral sediment</v>
      </c>
      <c r="B118" s="88" t="str">
        <f>'G-1 All Habitats'!F117</f>
        <v>Intertidal sediment</v>
      </c>
      <c r="C118" s="88" t="str">
        <f>'G-1 All Habitats'!K117</f>
        <v>High</v>
      </c>
      <c r="D118" s="88" t="str">
        <f>'G-1 All Habitats'!M117</f>
        <v>Same habitat required =</v>
      </c>
      <c r="E118" s="494">
        <f>IF(C118="V.High",SUMIF('A-1 Site Habitat Baseline'!$G$11:$G$258,'G-2 Habitat groups'!A118,'A-1 Site Habitat Baseline'!$S$11:$S$258)+SUMIF('A-1 Site Habitat Baseline'!$G$11:$G$258,'G-2 Habitat groups'!A118,'A-1 Site Habitat Baseline'!$T$11:$T$258),SUMIF('A-1 Site Habitat Baseline'!$G$11:$G$258,'G-2 Habitat groups'!A118,'A-1 Site Habitat Baseline'!$H$11:$H$258))</f>
        <v>0</v>
      </c>
      <c r="F118" s="494">
        <f>SUMIF('A-1 Site Habitat Baseline'!$G$11:$G$258,'G-2 Habitat groups'!A118,'A-1 Site Habitat Baseline'!$Q$11:$Q$258)</f>
        <v>0</v>
      </c>
      <c r="G118" s="494">
        <f>SUMIF('A-1 Site Habitat Baseline'!$G$11:$G$258,'G-2 Habitat groups'!A118,'A-1 Site Habitat Baseline'!$S$11:$S$258)</f>
        <v>0</v>
      </c>
      <c r="H118" s="494">
        <f>SUMIF('A-1 Site Habitat Baseline'!$G$11:$G$258,'G-2 Habitat groups'!A118,'A-1 Site Habitat Baseline'!$U$11:$U$258)</f>
        <v>0</v>
      </c>
      <c r="I118" s="494">
        <f>SUMIF('A-1 Site Habitat Baseline'!$G$11:$G$258,'G-2 Habitat groups'!A118,'A-1 Site Habitat Baseline'!$W$11:$W$258)</f>
        <v>0</v>
      </c>
      <c r="J118" s="494">
        <f>SUMIF('A-1 Site Habitat Baseline'!$G$11:$G$258,'G-2 Habitat groups'!A118,'A-1 Site Habitat Baseline'!$X$11:$X$258)</f>
        <v>0</v>
      </c>
      <c r="K118" s="494">
        <f>SUMIF('A-2 Site Habitat Creation'!$F$11:$F$256,'G-2 Habitat groups'!A118,'A-2 Site Habitat Creation'!$G$11:$G$256)</f>
        <v>0</v>
      </c>
      <c r="L118" s="494">
        <f>SUMIF('A-2 Site Habitat Creation'!$F$11:$F$256,'G-2 Habitat groups'!A118,'A-2 Site Habitat Creation'!$Y$11:$Y$256)</f>
        <v>0</v>
      </c>
      <c r="M118" s="494">
        <f>SUMIF('A-3 Site Habitat Enhancement'!$S$12:$S$257,'G-2 Habitat groups'!A118,'A-3 Site Habitat Enhancement'!$V$12:$V$257)</f>
        <v>0</v>
      </c>
      <c r="N118" s="494">
        <f>SUMIF('A-3 Site Habitat Enhancement'!$S$12:$S$257,'G-2 Habitat groups'!A118,'A-3 Site Habitat Enhancement'!$AN$12:$AN$257)</f>
        <v>0</v>
      </c>
      <c r="O118" s="494">
        <f t="shared" si="103"/>
        <v>0</v>
      </c>
      <c r="P118" s="494">
        <f t="shared" si="104"/>
        <v>0</v>
      </c>
      <c r="Q118" s="494">
        <f t="shared" si="105"/>
        <v>0</v>
      </c>
      <c r="R118" s="494">
        <f t="shared" si="106"/>
        <v>0</v>
      </c>
      <c r="S118" s="494">
        <f>IF(C118="V.High",SUMIF('D-1 Off Site Habitat Baseline'!$G$11:$G$258,'G-2 Habitat groups'!A118,'D-1 Off Site Habitat Baseline'!$S$11:$S$258)+SUMIF('D-1 Off Site Habitat Baseline'!$G$11:$G$258,'G-2 Habitat groups'!A118,'D-1 Off Site Habitat Baseline'!$T$11:$T$258),SUMIF('D-1 Off Site Habitat Baseline'!$G$11:$G$258,'G-2 Habitat groups'!A118,'D-1 Off Site Habitat Baseline'!$H$11:$H$258))</f>
        <v>0</v>
      </c>
      <c r="T118" s="494">
        <f>SUMIF('D-1 Off Site Habitat Baseline'!$G$11:$G$258,'G-2 Habitat groups'!A118,'D-1 Off Site Habitat Baseline'!$Q$11:$Q$258)</f>
        <v>0</v>
      </c>
      <c r="U118" s="591">
        <f>SUMIF('D-1 Off Site Habitat Baseline'!$G$11:$G$258,'G-2 Habitat groups'!A118,'D-1 Off Site Habitat Baseline'!$S$11:$S$258)</f>
        <v>0</v>
      </c>
      <c r="V118" s="494">
        <f>SUMIF('D-1 Off Site Habitat Baseline'!$G$11:$G$258,'G-2 Habitat groups'!A118,'D-1 Off Site Habitat Baseline'!$U$11:$U$258)</f>
        <v>0</v>
      </c>
      <c r="W118" s="494">
        <f>SUMIF('D-2 Off Site Habitat Creation'!$F$9:$F$255,'G-2 Habitat groups'!A118,'D-2 Off Site Habitat Creation'!$G$9:$G$255)</f>
        <v>0</v>
      </c>
      <c r="X118" s="494">
        <f>SUMIF('D-2 Off Site Habitat Creation'!$F$9:$F$255,'G-2 Habitat groups'!A118,'D-2 Off Site Habitat Creation'!$AA$9:$AA$255)</f>
        <v>0</v>
      </c>
      <c r="Y118" s="494">
        <f>SUMIF('D-3 Off Site Habitat Enhancment'!$S$12:$S$491,'G-2 Habitat groups'!A118,'D-3 Off Site Habitat Enhancment'!$V$12:$V$491)</f>
        <v>0</v>
      </c>
      <c r="Z118" s="494">
        <f>SUMIF('D-3 Off Site Habitat Enhancment'!$S$12:$S$491,'G-2 Habitat groups'!A118,'D-3 Off Site Habitat Enhancment'!$AP$12:$AP$491)</f>
        <v>0</v>
      </c>
      <c r="AA118" s="494">
        <f t="shared" si="107"/>
        <v>0</v>
      </c>
      <c r="AB118" s="494">
        <f t="shared" si="108"/>
        <v>0</v>
      </c>
      <c r="AC118" s="494">
        <f t="shared" si="109"/>
        <v>0</v>
      </c>
      <c r="AD118" s="494">
        <f t="shared" si="110"/>
        <v>0</v>
      </c>
      <c r="AE118" s="494">
        <f t="shared" si="111"/>
        <v>0</v>
      </c>
      <c r="AF118" s="494">
        <f t="shared" si="112"/>
        <v>0</v>
      </c>
      <c r="AU118" s="104" t="s">
        <v>503</v>
      </c>
      <c r="AV118" s="88" t="s">
        <v>71</v>
      </c>
      <c r="AW118" s="494">
        <f t="shared" si="115"/>
        <v>0</v>
      </c>
      <c r="AX118" s="494">
        <f t="shared" si="125"/>
        <v>0</v>
      </c>
      <c r="AY118" s="494">
        <f t="shared" si="126"/>
        <v>0</v>
      </c>
      <c r="AZ118" s="494">
        <f t="shared" si="127"/>
        <v>0</v>
      </c>
      <c r="BA118" s="494">
        <f t="shared" si="128"/>
        <v>0</v>
      </c>
      <c r="BB118" s="494">
        <f t="shared" si="129"/>
        <v>0</v>
      </c>
      <c r="BC118" s="494">
        <f t="shared" si="130"/>
        <v>0</v>
      </c>
      <c r="BD118" s="494">
        <f t="shared" si="131"/>
        <v>0</v>
      </c>
      <c r="BE118" s="494">
        <f t="shared" si="123"/>
        <v>0</v>
      </c>
      <c r="BF118" s="494" t="str">
        <f t="shared" si="124"/>
        <v/>
      </c>
    </row>
    <row r="119" spans="1:58" x14ac:dyDescent="0.25">
      <c r="A119" s="104" t="str">
        <f>'G-1 All Habitats'!B118</f>
        <v>Intertidal sediment - Artificial littoral coarse sediment</v>
      </c>
      <c r="B119" s="88" t="str">
        <f>'G-1 All Habitats'!F118</f>
        <v>Intertidal sediment</v>
      </c>
      <c r="C119" s="88" t="str">
        <f>'G-1 All Habitats'!K118</f>
        <v>Low</v>
      </c>
      <c r="D119" s="88" t="str">
        <f>'G-1 All Habitats'!M118</f>
        <v>Same distinctiveness or better habitat required ≥</v>
      </c>
      <c r="E119" s="494">
        <f>IF(C119="V.High",SUMIF('A-1 Site Habitat Baseline'!$G$11:$G$258,'G-2 Habitat groups'!A119,'A-1 Site Habitat Baseline'!$S$11:$S$258)+SUMIF('A-1 Site Habitat Baseline'!$G$11:$G$258,'G-2 Habitat groups'!A119,'A-1 Site Habitat Baseline'!$T$11:$T$258),SUMIF('A-1 Site Habitat Baseline'!$G$11:$G$258,'G-2 Habitat groups'!A119,'A-1 Site Habitat Baseline'!$H$11:$H$258))</f>
        <v>0</v>
      </c>
      <c r="F119" s="494">
        <f>SUMIF('A-1 Site Habitat Baseline'!$G$11:$G$258,'G-2 Habitat groups'!A119,'A-1 Site Habitat Baseline'!$Q$11:$Q$258)</f>
        <v>0</v>
      </c>
      <c r="G119" s="494">
        <f>SUMIF('A-1 Site Habitat Baseline'!$G$11:$G$258,'G-2 Habitat groups'!A119,'A-1 Site Habitat Baseline'!$S$11:$S$258)</f>
        <v>0</v>
      </c>
      <c r="H119" s="494">
        <f>SUMIF('A-1 Site Habitat Baseline'!$G$11:$G$258,'G-2 Habitat groups'!A119,'A-1 Site Habitat Baseline'!$U$11:$U$258)</f>
        <v>0</v>
      </c>
      <c r="I119" s="494">
        <f>SUMIF('A-1 Site Habitat Baseline'!$G$11:$G$258,'G-2 Habitat groups'!A119,'A-1 Site Habitat Baseline'!$W$11:$W$258)</f>
        <v>0</v>
      </c>
      <c r="J119" s="494">
        <f>SUMIF('A-1 Site Habitat Baseline'!$G$11:$G$258,'G-2 Habitat groups'!A119,'A-1 Site Habitat Baseline'!$X$11:$X$258)</f>
        <v>0</v>
      </c>
      <c r="K119" s="494">
        <f>SUMIF('A-2 Site Habitat Creation'!$F$11:$F$256,'G-2 Habitat groups'!A119,'A-2 Site Habitat Creation'!$G$11:$G$256)</f>
        <v>0</v>
      </c>
      <c r="L119" s="494">
        <f>SUMIF('A-2 Site Habitat Creation'!$F$11:$F$256,'G-2 Habitat groups'!A119,'A-2 Site Habitat Creation'!$Y$11:$Y$256)</f>
        <v>0</v>
      </c>
      <c r="M119" s="494">
        <f>SUMIF('A-3 Site Habitat Enhancement'!$S$12:$S$257,'G-2 Habitat groups'!A119,'A-3 Site Habitat Enhancement'!$V$12:$V$257)</f>
        <v>0</v>
      </c>
      <c r="N119" s="494">
        <f>SUMIF('A-3 Site Habitat Enhancement'!$S$12:$S$257,'G-2 Habitat groups'!A119,'A-3 Site Habitat Enhancement'!$AN$12:$AN$257)</f>
        <v>0</v>
      </c>
      <c r="O119" s="494">
        <f t="shared" si="103"/>
        <v>0</v>
      </c>
      <c r="P119" s="494">
        <f t="shared" si="104"/>
        <v>0</v>
      </c>
      <c r="Q119" s="494">
        <f t="shared" si="105"/>
        <v>0</v>
      </c>
      <c r="R119" s="494">
        <f t="shared" si="106"/>
        <v>0</v>
      </c>
      <c r="S119" s="494">
        <f>IF(C119="V.High",SUMIF('D-1 Off Site Habitat Baseline'!$G$11:$G$258,'G-2 Habitat groups'!A119,'D-1 Off Site Habitat Baseline'!$S$11:$S$258)+SUMIF('D-1 Off Site Habitat Baseline'!$G$11:$G$258,'G-2 Habitat groups'!A119,'D-1 Off Site Habitat Baseline'!$T$11:$T$258),SUMIF('D-1 Off Site Habitat Baseline'!$G$11:$G$258,'G-2 Habitat groups'!A119,'D-1 Off Site Habitat Baseline'!$H$11:$H$258))</f>
        <v>0</v>
      </c>
      <c r="T119" s="494">
        <f>SUMIF('D-1 Off Site Habitat Baseline'!$G$11:$G$258,'G-2 Habitat groups'!A119,'D-1 Off Site Habitat Baseline'!$Q$11:$Q$258)</f>
        <v>0</v>
      </c>
      <c r="U119" s="591">
        <f>SUMIF('D-1 Off Site Habitat Baseline'!$G$11:$G$258,'G-2 Habitat groups'!A119,'D-1 Off Site Habitat Baseline'!$S$11:$S$258)</f>
        <v>0</v>
      </c>
      <c r="V119" s="494">
        <f>SUMIF('D-1 Off Site Habitat Baseline'!$G$11:$G$258,'G-2 Habitat groups'!A119,'D-1 Off Site Habitat Baseline'!$U$11:$U$258)</f>
        <v>0</v>
      </c>
      <c r="W119" s="494">
        <f>SUMIF('D-2 Off Site Habitat Creation'!$F$9:$F$255,'G-2 Habitat groups'!A119,'D-2 Off Site Habitat Creation'!$G$9:$G$255)</f>
        <v>0</v>
      </c>
      <c r="X119" s="494">
        <f>SUMIF('D-2 Off Site Habitat Creation'!$F$9:$F$255,'G-2 Habitat groups'!A119,'D-2 Off Site Habitat Creation'!$AA$9:$AA$255)</f>
        <v>0</v>
      </c>
      <c r="Y119" s="494">
        <f>SUMIF('D-3 Off Site Habitat Enhancment'!$S$12:$S$491,'G-2 Habitat groups'!A119,'D-3 Off Site Habitat Enhancment'!$V$12:$V$491)</f>
        <v>0</v>
      </c>
      <c r="Z119" s="494">
        <f>SUMIF('D-3 Off Site Habitat Enhancment'!$S$12:$S$491,'G-2 Habitat groups'!A119,'D-3 Off Site Habitat Enhancment'!$AP$12:$AP$491)</f>
        <v>0</v>
      </c>
      <c r="AA119" s="494">
        <f t="shared" si="107"/>
        <v>0</v>
      </c>
      <c r="AB119" s="494">
        <f t="shared" si="108"/>
        <v>0</v>
      </c>
      <c r="AC119" s="494">
        <f t="shared" si="109"/>
        <v>0</v>
      </c>
      <c r="AD119" s="494">
        <f t="shared" si="110"/>
        <v>0</v>
      </c>
      <c r="AE119" s="494">
        <f t="shared" si="111"/>
        <v>0</v>
      </c>
      <c r="AF119" s="494">
        <f t="shared" si="112"/>
        <v>0</v>
      </c>
      <c r="AU119" s="104" t="s">
        <v>523</v>
      </c>
      <c r="AV119" s="88" t="s">
        <v>72</v>
      </c>
      <c r="AW119" s="494">
        <f>VLOOKUP($AU120,AllHabsSummaryData,5,FALSE)</f>
        <v>0</v>
      </c>
      <c r="AX119" s="494">
        <f t="shared" si="125"/>
        <v>0</v>
      </c>
      <c r="AY119" s="494">
        <f t="shared" si="126"/>
        <v>0</v>
      </c>
      <c r="AZ119" s="494">
        <f t="shared" si="127"/>
        <v>0</v>
      </c>
      <c r="BA119" s="494">
        <f t="shared" si="128"/>
        <v>0</v>
      </c>
      <c r="BB119" s="494">
        <f t="shared" si="129"/>
        <v>0</v>
      </c>
      <c r="BC119" s="494">
        <f t="shared" si="130"/>
        <v>0</v>
      </c>
      <c r="BD119" s="494">
        <f t="shared" si="131"/>
        <v>0</v>
      </c>
      <c r="BE119" s="494">
        <f t="shared" si="123"/>
        <v>0</v>
      </c>
      <c r="BF119" s="494" t="str">
        <f t="shared" si="124"/>
        <v/>
      </c>
    </row>
    <row r="120" spans="1:58" x14ac:dyDescent="0.25">
      <c r="A120" s="104" t="str">
        <f>'G-1 All Habitats'!B119</f>
        <v>Intertidal sediment - Artificial littoral mud</v>
      </c>
      <c r="B120" s="88" t="str">
        <f>'G-1 All Habitats'!F119</f>
        <v>Intertidal sediment</v>
      </c>
      <c r="C120" s="88" t="str">
        <f>'G-1 All Habitats'!K119</f>
        <v>Low</v>
      </c>
      <c r="D120" s="88" t="str">
        <f>'G-1 All Habitats'!M119</f>
        <v>Same distinctiveness or better habitat required ≥</v>
      </c>
      <c r="E120" s="494">
        <f>IF(C120="V.High",SUMIF('A-1 Site Habitat Baseline'!$G$11:$G$258,'G-2 Habitat groups'!A120,'A-1 Site Habitat Baseline'!$S$11:$S$258)+SUMIF('A-1 Site Habitat Baseline'!$G$11:$G$258,'G-2 Habitat groups'!A120,'A-1 Site Habitat Baseline'!$T$11:$T$258),SUMIF('A-1 Site Habitat Baseline'!$G$11:$G$258,'G-2 Habitat groups'!A120,'A-1 Site Habitat Baseline'!$H$11:$H$258))</f>
        <v>0</v>
      </c>
      <c r="F120" s="494">
        <f>SUMIF('A-1 Site Habitat Baseline'!$G$11:$G$258,'G-2 Habitat groups'!A120,'A-1 Site Habitat Baseline'!$Q$11:$Q$258)</f>
        <v>0</v>
      </c>
      <c r="G120" s="494">
        <f>SUMIF('A-1 Site Habitat Baseline'!$G$11:$G$258,'G-2 Habitat groups'!A120,'A-1 Site Habitat Baseline'!$S$11:$S$258)</f>
        <v>0</v>
      </c>
      <c r="H120" s="494">
        <f>SUMIF('A-1 Site Habitat Baseline'!$G$11:$G$258,'G-2 Habitat groups'!A120,'A-1 Site Habitat Baseline'!$U$11:$U$258)</f>
        <v>0</v>
      </c>
      <c r="I120" s="494">
        <f>SUMIF('A-1 Site Habitat Baseline'!$G$11:$G$258,'G-2 Habitat groups'!A120,'A-1 Site Habitat Baseline'!$W$11:$W$258)</f>
        <v>0</v>
      </c>
      <c r="J120" s="494">
        <f>SUMIF('A-1 Site Habitat Baseline'!$G$11:$G$258,'G-2 Habitat groups'!A120,'A-1 Site Habitat Baseline'!$X$11:$X$258)</f>
        <v>0</v>
      </c>
      <c r="K120" s="494">
        <f>SUMIF('A-2 Site Habitat Creation'!$F$11:$F$256,'G-2 Habitat groups'!A120,'A-2 Site Habitat Creation'!$G$11:$G$256)</f>
        <v>0</v>
      </c>
      <c r="L120" s="494">
        <f>SUMIF('A-2 Site Habitat Creation'!$F$11:$F$256,'G-2 Habitat groups'!A120,'A-2 Site Habitat Creation'!$Y$11:$Y$256)</f>
        <v>0</v>
      </c>
      <c r="M120" s="494">
        <f>SUMIF('A-3 Site Habitat Enhancement'!$S$12:$S$257,'G-2 Habitat groups'!A120,'A-3 Site Habitat Enhancement'!$V$12:$V$257)</f>
        <v>0</v>
      </c>
      <c r="N120" s="494">
        <f>SUMIF('A-3 Site Habitat Enhancement'!$S$12:$S$257,'G-2 Habitat groups'!A120,'A-3 Site Habitat Enhancement'!$AN$12:$AN$257)</f>
        <v>0</v>
      </c>
      <c r="O120" s="494">
        <f t="shared" si="103"/>
        <v>0</v>
      </c>
      <c r="P120" s="494">
        <f t="shared" si="104"/>
        <v>0</v>
      </c>
      <c r="Q120" s="494">
        <f t="shared" si="105"/>
        <v>0</v>
      </c>
      <c r="R120" s="494">
        <f t="shared" si="106"/>
        <v>0</v>
      </c>
      <c r="S120" s="494">
        <f>IF(C120="V.High",SUMIF('D-1 Off Site Habitat Baseline'!$G$11:$G$258,'G-2 Habitat groups'!A120,'D-1 Off Site Habitat Baseline'!$S$11:$S$258)+SUMIF('D-1 Off Site Habitat Baseline'!$G$11:$G$258,'G-2 Habitat groups'!A120,'D-1 Off Site Habitat Baseline'!$T$11:$T$258),SUMIF('D-1 Off Site Habitat Baseline'!$G$11:$G$258,'G-2 Habitat groups'!A120,'D-1 Off Site Habitat Baseline'!$H$11:$H$258))</f>
        <v>0</v>
      </c>
      <c r="T120" s="494">
        <f>SUMIF('D-1 Off Site Habitat Baseline'!$G$11:$G$258,'G-2 Habitat groups'!A120,'D-1 Off Site Habitat Baseline'!$Q$11:$Q$258)</f>
        <v>0</v>
      </c>
      <c r="U120" s="591">
        <f>SUMIF('D-1 Off Site Habitat Baseline'!$G$11:$G$258,'G-2 Habitat groups'!A120,'D-1 Off Site Habitat Baseline'!$S$11:$S$258)</f>
        <v>0</v>
      </c>
      <c r="V120" s="494">
        <f>SUMIF('D-1 Off Site Habitat Baseline'!$G$11:$G$258,'G-2 Habitat groups'!A120,'D-1 Off Site Habitat Baseline'!$U$11:$U$258)</f>
        <v>0</v>
      </c>
      <c r="W120" s="494">
        <f>SUMIF('D-2 Off Site Habitat Creation'!$F$9:$F$255,'G-2 Habitat groups'!A120,'D-2 Off Site Habitat Creation'!$G$9:$G$255)</f>
        <v>0</v>
      </c>
      <c r="X120" s="494">
        <f>SUMIF('D-2 Off Site Habitat Creation'!$F$9:$F$255,'G-2 Habitat groups'!A120,'D-2 Off Site Habitat Creation'!$AA$9:$AA$255)</f>
        <v>0</v>
      </c>
      <c r="Y120" s="494">
        <f>SUMIF('D-3 Off Site Habitat Enhancment'!$S$12:$S$491,'G-2 Habitat groups'!A120,'D-3 Off Site Habitat Enhancment'!$V$12:$V$491)</f>
        <v>0</v>
      </c>
      <c r="Z120" s="494">
        <f>SUMIF('D-3 Off Site Habitat Enhancment'!$S$12:$S$491,'G-2 Habitat groups'!A120,'D-3 Off Site Habitat Enhancment'!$AP$12:$AP$491)</f>
        <v>0</v>
      </c>
      <c r="AA120" s="494">
        <f t="shared" si="107"/>
        <v>0</v>
      </c>
      <c r="AB120" s="494">
        <f t="shared" si="108"/>
        <v>0</v>
      </c>
      <c r="AC120" s="494">
        <f t="shared" si="109"/>
        <v>0</v>
      </c>
      <c r="AD120" s="494">
        <f t="shared" si="110"/>
        <v>0</v>
      </c>
      <c r="AE120" s="494">
        <f t="shared" si="111"/>
        <v>0</v>
      </c>
      <c r="AF120" s="494">
        <f t="shared" si="112"/>
        <v>0</v>
      </c>
      <c r="AU120" s="104" t="s">
        <v>565</v>
      </c>
      <c r="AV120" s="88" t="s">
        <v>73</v>
      </c>
      <c r="AW120" s="494">
        <f>VLOOKUP($AU121,AllHabsSummaryData,5,FALSE)</f>
        <v>0</v>
      </c>
      <c r="AX120" s="494">
        <f t="shared" si="125"/>
        <v>0</v>
      </c>
      <c r="AY120" s="494">
        <f t="shared" si="126"/>
        <v>0</v>
      </c>
      <c r="AZ120" s="494">
        <f t="shared" si="127"/>
        <v>0</v>
      </c>
      <c r="BA120" s="494">
        <f t="shared" si="128"/>
        <v>0</v>
      </c>
      <c r="BB120" s="494">
        <f t="shared" si="129"/>
        <v>0</v>
      </c>
      <c r="BC120" s="494">
        <f t="shared" si="130"/>
        <v>0</v>
      </c>
      <c r="BD120" s="494">
        <f t="shared" si="131"/>
        <v>0</v>
      </c>
      <c r="BE120" s="494">
        <f t="shared" si="123"/>
        <v>0</v>
      </c>
      <c r="BF120" s="494" t="str">
        <f t="shared" si="124"/>
        <v/>
      </c>
    </row>
    <row r="121" spans="1:58" x14ac:dyDescent="0.25">
      <c r="A121" s="104" t="str">
        <f>'G-1 All Habitats'!B120</f>
        <v>Intertidal sediment - Artificial littoral sand</v>
      </c>
      <c r="B121" s="88" t="str">
        <f>'G-1 All Habitats'!F120</f>
        <v>Intertidal sediment</v>
      </c>
      <c r="C121" s="88" t="str">
        <f>'G-1 All Habitats'!K120</f>
        <v>Low</v>
      </c>
      <c r="D121" s="88" t="str">
        <f>'G-1 All Habitats'!M120</f>
        <v>Same distinctiveness or better habitat required ≥</v>
      </c>
      <c r="E121" s="494">
        <f>IF(C121="V.High",SUMIF('A-1 Site Habitat Baseline'!$G$11:$G$258,'G-2 Habitat groups'!A121,'A-1 Site Habitat Baseline'!$S$11:$S$258)+SUMIF('A-1 Site Habitat Baseline'!$G$11:$G$258,'G-2 Habitat groups'!A121,'A-1 Site Habitat Baseline'!$T$11:$T$258),SUMIF('A-1 Site Habitat Baseline'!$G$11:$G$258,'G-2 Habitat groups'!A121,'A-1 Site Habitat Baseline'!$H$11:$H$258))</f>
        <v>0</v>
      </c>
      <c r="F121" s="494">
        <f>SUMIF('A-1 Site Habitat Baseline'!$G$11:$G$258,'G-2 Habitat groups'!A121,'A-1 Site Habitat Baseline'!$Q$11:$Q$258)</f>
        <v>0</v>
      </c>
      <c r="G121" s="494">
        <f>SUMIF('A-1 Site Habitat Baseline'!$G$11:$G$258,'G-2 Habitat groups'!A121,'A-1 Site Habitat Baseline'!$S$11:$S$258)</f>
        <v>0</v>
      </c>
      <c r="H121" s="494">
        <f>SUMIF('A-1 Site Habitat Baseline'!$G$11:$G$258,'G-2 Habitat groups'!A121,'A-1 Site Habitat Baseline'!$U$11:$U$258)</f>
        <v>0</v>
      </c>
      <c r="I121" s="494">
        <f>SUMIF('A-1 Site Habitat Baseline'!$G$11:$G$258,'G-2 Habitat groups'!A121,'A-1 Site Habitat Baseline'!$W$11:$W$258)</f>
        <v>0</v>
      </c>
      <c r="J121" s="494">
        <f>SUMIF('A-1 Site Habitat Baseline'!$G$11:$G$258,'G-2 Habitat groups'!A121,'A-1 Site Habitat Baseline'!$X$11:$X$258)</f>
        <v>0</v>
      </c>
      <c r="K121" s="494">
        <f>SUMIF('A-2 Site Habitat Creation'!$F$11:$F$256,'G-2 Habitat groups'!A121,'A-2 Site Habitat Creation'!$G$11:$G$256)</f>
        <v>0</v>
      </c>
      <c r="L121" s="494">
        <f>SUMIF('A-2 Site Habitat Creation'!$F$11:$F$256,'G-2 Habitat groups'!A121,'A-2 Site Habitat Creation'!$Y$11:$Y$256)</f>
        <v>0</v>
      </c>
      <c r="M121" s="494">
        <f>SUMIF('A-3 Site Habitat Enhancement'!$S$12:$S$257,'G-2 Habitat groups'!A121,'A-3 Site Habitat Enhancement'!$V$12:$V$257)</f>
        <v>0</v>
      </c>
      <c r="N121" s="494">
        <f>SUMIF('A-3 Site Habitat Enhancement'!$S$12:$S$257,'G-2 Habitat groups'!A121,'A-3 Site Habitat Enhancement'!$AN$12:$AN$257)</f>
        <v>0</v>
      </c>
      <c r="O121" s="494">
        <f t="shared" si="103"/>
        <v>0</v>
      </c>
      <c r="P121" s="494">
        <f t="shared" si="104"/>
        <v>0</v>
      </c>
      <c r="Q121" s="494">
        <f t="shared" si="105"/>
        <v>0</v>
      </c>
      <c r="R121" s="494">
        <f t="shared" si="106"/>
        <v>0</v>
      </c>
      <c r="S121" s="494">
        <f>IF(C121="V.High",SUMIF('D-1 Off Site Habitat Baseline'!$G$11:$G$258,'G-2 Habitat groups'!A121,'D-1 Off Site Habitat Baseline'!$S$11:$S$258)+SUMIF('D-1 Off Site Habitat Baseline'!$G$11:$G$258,'G-2 Habitat groups'!A121,'D-1 Off Site Habitat Baseline'!$T$11:$T$258),SUMIF('D-1 Off Site Habitat Baseline'!$G$11:$G$258,'G-2 Habitat groups'!A121,'D-1 Off Site Habitat Baseline'!$H$11:$H$258))</f>
        <v>0</v>
      </c>
      <c r="T121" s="494">
        <f>SUMIF('D-1 Off Site Habitat Baseline'!$G$11:$G$258,'G-2 Habitat groups'!A121,'D-1 Off Site Habitat Baseline'!$Q$11:$Q$258)</f>
        <v>0</v>
      </c>
      <c r="U121" s="591">
        <f>SUMIF('D-1 Off Site Habitat Baseline'!$G$11:$G$258,'G-2 Habitat groups'!A121,'D-1 Off Site Habitat Baseline'!$S$11:$S$258)</f>
        <v>0</v>
      </c>
      <c r="V121" s="494">
        <f>SUMIF('D-1 Off Site Habitat Baseline'!$G$11:$G$258,'G-2 Habitat groups'!A121,'D-1 Off Site Habitat Baseline'!$U$11:$U$258)</f>
        <v>0</v>
      </c>
      <c r="W121" s="494">
        <f>SUMIF('D-2 Off Site Habitat Creation'!$F$9:$F$255,'G-2 Habitat groups'!A121,'D-2 Off Site Habitat Creation'!$G$9:$G$255)</f>
        <v>0</v>
      </c>
      <c r="X121" s="494">
        <f>SUMIF('D-2 Off Site Habitat Creation'!$F$9:$F$255,'G-2 Habitat groups'!A121,'D-2 Off Site Habitat Creation'!$AA$9:$AA$255)</f>
        <v>0</v>
      </c>
      <c r="Y121" s="494">
        <f>SUMIF('D-3 Off Site Habitat Enhancment'!$S$12:$S$491,'G-2 Habitat groups'!A121,'D-3 Off Site Habitat Enhancment'!$V$12:$V$491)</f>
        <v>0</v>
      </c>
      <c r="Z121" s="494">
        <f>SUMIF('D-3 Off Site Habitat Enhancment'!$S$12:$S$491,'G-2 Habitat groups'!A121,'D-3 Off Site Habitat Enhancment'!$AP$12:$AP$491)</f>
        <v>0</v>
      </c>
      <c r="AA121" s="494">
        <f t="shared" si="107"/>
        <v>0</v>
      </c>
      <c r="AB121" s="494">
        <f t="shared" si="108"/>
        <v>0</v>
      </c>
      <c r="AC121" s="494">
        <f t="shared" si="109"/>
        <v>0</v>
      </c>
      <c r="AD121" s="494">
        <f t="shared" si="110"/>
        <v>0</v>
      </c>
      <c r="AE121" s="494">
        <f t="shared" si="111"/>
        <v>0</v>
      </c>
      <c r="AF121" s="494">
        <f t="shared" si="112"/>
        <v>0</v>
      </c>
      <c r="AU121" s="104" t="s">
        <v>590</v>
      </c>
      <c r="AV121" s="88" t="s">
        <v>74</v>
      </c>
      <c r="AW121" s="494">
        <f t="shared" ref="AW121:AW146" si="132">VLOOKUP($AU121,AllHabsSummaryData,5,FALSE)</f>
        <v>0</v>
      </c>
      <c r="AX121" s="494">
        <f t="shared" si="125"/>
        <v>0</v>
      </c>
      <c r="AY121" s="494">
        <f t="shared" si="126"/>
        <v>0</v>
      </c>
      <c r="AZ121" s="494">
        <f t="shared" si="127"/>
        <v>0</v>
      </c>
      <c r="BA121" s="494">
        <f t="shared" si="128"/>
        <v>0</v>
      </c>
      <c r="BB121" s="494">
        <f t="shared" si="129"/>
        <v>0</v>
      </c>
      <c r="BC121" s="494">
        <f t="shared" si="130"/>
        <v>0</v>
      </c>
      <c r="BD121" s="494">
        <f t="shared" si="131"/>
        <v>0</v>
      </c>
      <c r="BE121" s="494">
        <f t="shared" si="123"/>
        <v>0</v>
      </c>
      <c r="BF121" s="494" t="str">
        <f t="shared" si="124"/>
        <v/>
      </c>
    </row>
    <row r="122" spans="1:58" x14ac:dyDescent="0.25">
      <c r="A122" s="104" t="str">
        <f>'G-1 All Habitats'!B121</f>
        <v>Intertidal sediment - Artificial littoral muddy sand</v>
      </c>
      <c r="B122" s="88" t="str">
        <f>'G-1 All Habitats'!F121</f>
        <v>Intertidal sediment</v>
      </c>
      <c r="C122" s="88" t="str">
        <f>'G-1 All Habitats'!K121</f>
        <v>Low</v>
      </c>
      <c r="D122" s="88" t="str">
        <f>'G-1 All Habitats'!M121</f>
        <v>Same distinctiveness or better habitat required ≥</v>
      </c>
      <c r="E122" s="494">
        <f>IF(C122="V.High",SUMIF('A-1 Site Habitat Baseline'!$G$11:$G$258,'G-2 Habitat groups'!A122,'A-1 Site Habitat Baseline'!$S$11:$S$258)+SUMIF('A-1 Site Habitat Baseline'!$G$11:$G$258,'G-2 Habitat groups'!A122,'A-1 Site Habitat Baseline'!$T$11:$T$258),SUMIF('A-1 Site Habitat Baseline'!$G$11:$G$258,'G-2 Habitat groups'!A122,'A-1 Site Habitat Baseline'!$H$11:$H$258))</f>
        <v>0</v>
      </c>
      <c r="F122" s="494">
        <f>SUMIF('A-1 Site Habitat Baseline'!$G$11:$G$258,'G-2 Habitat groups'!A122,'A-1 Site Habitat Baseline'!$Q$11:$Q$258)</f>
        <v>0</v>
      </c>
      <c r="G122" s="494">
        <f>SUMIF('A-1 Site Habitat Baseline'!$G$11:$G$258,'G-2 Habitat groups'!A122,'A-1 Site Habitat Baseline'!$S$11:$S$258)</f>
        <v>0</v>
      </c>
      <c r="H122" s="494">
        <f>SUMIF('A-1 Site Habitat Baseline'!$G$11:$G$258,'G-2 Habitat groups'!A122,'A-1 Site Habitat Baseline'!$U$11:$U$258)</f>
        <v>0</v>
      </c>
      <c r="I122" s="494">
        <f>SUMIF('A-1 Site Habitat Baseline'!$G$11:$G$258,'G-2 Habitat groups'!A122,'A-1 Site Habitat Baseline'!$W$11:$W$258)</f>
        <v>0</v>
      </c>
      <c r="J122" s="494">
        <f>SUMIF('A-1 Site Habitat Baseline'!$G$11:$G$258,'G-2 Habitat groups'!A122,'A-1 Site Habitat Baseline'!$X$11:$X$258)</f>
        <v>0</v>
      </c>
      <c r="K122" s="494">
        <f>SUMIF('A-2 Site Habitat Creation'!$F$11:$F$256,'G-2 Habitat groups'!A122,'A-2 Site Habitat Creation'!$G$11:$G$256)</f>
        <v>0</v>
      </c>
      <c r="L122" s="494">
        <f>SUMIF('A-2 Site Habitat Creation'!$F$11:$F$256,'G-2 Habitat groups'!A122,'A-2 Site Habitat Creation'!$Y$11:$Y$256)</f>
        <v>0</v>
      </c>
      <c r="M122" s="494">
        <f>SUMIF('A-3 Site Habitat Enhancement'!$S$12:$S$257,'G-2 Habitat groups'!A122,'A-3 Site Habitat Enhancement'!$V$12:$V$257)</f>
        <v>0</v>
      </c>
      <c r="N122" s="494">
        <f>SUMIF('A-3 Site Habitat Enhancement'!$S$12:$S$257,'G-2 Habitat groups'!A122,'A-3 Site Habitat Enhancement'!$AN$12:$AN$257)</f>
        <v>0</v>
      </c>
      <c r="O122" s="494">
        <f t="shared" si="103"/>
        <v>0</v>
      </c>
      <c r="P122" s="494">
        <f t="shared" si="104"/>
        <v>0</v>
      </c>
      <c r="Q122" s="494">
        <f t="shared" si="105"/>
        <v>0</v>
      </c>
      <c r="R122" s="494">
        <f t="shared" si="106"/>
        <v>0</v>
      </c>
      <c r="S122" s="494">
        <f>IF(C122="V.High",SUMIF('D-1 Off Site Habitat Baseline'!$G$11:$G$258,'G-2 Habitat groups'!A122,'D-1 Off Site Habitat Baseline'!$S$11:$S$258)+SUMIF('D-1 Off Site Habitat Baseline'!$G$11:$G$258,'G-2 Habitat groups'!A122,'D-1 Off Site Habitat Baseline'!$T$11:$T$258),SUMIF('D-1 Off Site Habitat Baseline'!$G$11:$G$258,'G-2 Habitat groups'!A122,'D-1 Off Site Habitat Baseline'!$H$11:$H$258))</f>
        <v>0</v>
      </c>
      <c r="T122" s="494">
        <f>SUMIF('D-1 Off Site Habitat Baseline'!$G$11:$G$258,'G-2 Habitat groups'!A122,'D-1 Off Site Habitat Baseline'!$Q$11:$Q$258)</f>
        <v>0</v>
      </c>
      <c r="U122" s="591">
        <f>SUMIF('D-1 Off Site Habitat Baseline'!$G$11:$G$258,'G-2 Habitat groups'!A122,'D-1 Off Site Habitat Baseline'!$S$11:$S$258)</f>
        <v>0</v>
      </c>
      <c r="V122" s="494">
        <f>SUMIF('D-1 Off Site Habitat Baseline'!$G$11:$G$258,'G-2 Habitat groups'!A122,'D-1 Off Site Habitat Baseline'!$U$11:$U$258)</f>
        <v>0</v>
      </c>
      <c r="W122" s="494">
        <f>SUMIF('D-2 Off Site Habitat Creation'!$F$9:$F$255,'G-2 Habitat groups'!A122,'D-2 Off Site Habitat Creation'!$G$9:$G$255)</f>
        <v>0</v>
      </c>
      <c r="X122" s="494">
        <f>SUMIF('D-2 Off Site Habitat Creation'!$F$9:$F$255,'G-2 Habitat groups'!A122,'D-2 Off Site Habitat Creation'!$AA$9:$AA$255)</f>
        <v>0</v>
      </c>
      <c r="Y122" s="494">
        <f>SUMIF('D-3 Off Site Habitat Enhancment'!$S$12:$S$491,'G-2 Habitat groups'!A122,'D-3 Off Site Habitat Enhancment'!$V$12:$V$491)</f>
        <v>0</v>
      </c>
      <c r="Z122" s="494">
        <f>SUMIF('D-3 Off Site Habitat Enhancment'!$S$12:$S$491,'G-2 Habitat groups'!A122,'D-3 Off Site Habitat Enhancment'!$AP$12:$AP$491)</f>
        <v>0</v>
      </c>
      <c r="AA122" s="494">
        <f t="shared" si="107"/>
        <v>0</v>
      </c>
      <c r="AB122" s="494">
        <f t="shared" si="108"/>
        <v>0</v>
      </c>
      <c r="AC122" s="494">
        <f t="shared" si="109"/>
        <v>0</v>
      </c>
      <c r="AD122" s="494">
        <f t="shared" si="110"/>
        <v>0</v>
      </c>
      <c r="AE122" s="494">
        <f t="shared" si="111"/>
        <v>0</v>
      </c>
      <c r="AF122" s="494">
        <f t="shared" si="112"/>
        <v>0</v>
      </c>
      <c r="AU122" s="104" t="s">
        <v>585</v>
      </c>
      <c r="AV122" s="88" t="s">
        <v>74</v>
      </c>
      <c r="AW122" s="494">
        <f t="shared" si="132"/>
        <v>0</v>
      </c>
      <c r="AX122" s="494">
        <f t="shared" si="125"/>
        <v>0</v>
      </c>
      <c r="AY122" s="494">
        <f t="shared" si="126"/>
        <v>0</v>
      </c>
      <c r="AZ122" s="494">
        <f t="shared" si="127"/>
        <v>0</v>
      </c>
      <c r="BA122" s="494">
        <f t="shared" si="128"/>
        <v>0</v>
      </c>
      <c r="BB122" s="494">
        <f t="shared" si="129"/>
        <v>0</v>
      </c>
      <c r="BC122" s="494">
        <f t="shared" si="130"/>
        <v>0</v>
      </c>
      <c r="BD122" s="494">
        <f t="shared" si="131"/>
        <v>0</v>
      </c>
      <c r="BE122" s="494">
        <f t="shared" si="123"/>
        <v>0</v>
      </c>
      <c r="BF122" s="494" t="str">
        <f t="shared" si="124"/>
        <v/>
      </c>
    </row>
    <row r="123" spans="1:58" x14ac:dyDescent="0.25">
      <c r="A123" s="104" t="str">
        <f>'G-1 All Habitats'!B122</f>
        <v>Intertidal sediment - Artificial littoral mixed sediments</v>
      </c>
      <c r="B123" s="88" t="str">
        <f>'G-1 All Habitats'!F122</f>
        <v>Intertidal sediment</v>
      </c>
      <c r="C123" s="88" t="str">
        <f>'G-1 All Habitats'!K122</f>
        <v>Low</v>
      </c>
      <c r="D123" s="88" t="str">
        <f>'G-1 All Habitats'!M122</f>
        <v>Same distinctiveness or better habitat required ≥</v>
      </c>
      <c r="E123" s="494">
        <f>IF(C123="V.High",SUMIF('A-1 Site Habitat Baseline'!$G$11:$G$258,'G-2 Habitat groups'!A123,'A-1 Site Habitat Baseline'!$S$11:$S$258)+SUMIF('A-1 Site Habitat Baseline'!$G$11:$G$258,'G-2 Habitat groups'!A123,'A-1 Site Habitat Baseline'!$T$11:$T$258),SUMIF('A-1 Site Habitat Baseline'!$G$11:$G$258,'G-2 Habitat groups'!A123,'A-1 Site Habitat Baseline'!$H$11:$H$258))</f>
        <v>0</v>
      </c>
      <c r="F123" s="494">
        <f>SUMIF('A-1 Site Habitat Baseline'!$G$11:$G$258,'G-2 Habitat groups'!A123,'A-1 Site Habitat Baseline'!$Q$11:$Q$258)</f>
        <v>0</v>
      </c>
      <c r="G123" s="494">
        <f>SUMIF('A-1 Site Habitat Baseline'!$G$11:$G$258,'G-2 Habitat groups'!A123,'A-1 Site Habitat Baseline'!$S$11:$S$258)</f>
        <v>0</v>
      </c>
      <c r="H123" s="494">
        <f>SUMIF('A-1 Site Habitat Baseline'!$G$11:$G$258,'G-2 Habitat groups'!A123,'A-1 Site Habitat Baseline'!$U$11:$U$258)</f>
        <v>0</v>
      </c>
      <c r="I123" s="494">
        <f>SUMIF('A-1 Site Habitat Baseline'!$G$11:$G$258,'G-2 Habitat groups'!A123,'A-1 Site Habitat Baseline'!$W$11:$W$258)</f>
        <v>0</v>
      </c>
      <c r="J123" s="494">
        <f>SUMIF('A-1 Site Habitat Baseline'!$G$11:$G$258,'G-2 Habitat groups'!A123,'A-1 Site Habitat Baseline'!$X$11:$X$258)</f>
        <v>0</v>
      </c>
      <c r="K123" s="494">
        <f>SUMIF('A-2 Site Habitat Creation'!$F$11:$F$256,'G-2 Habitat groups'!A123,'A-2 Site Habitat Creation'!$G$11:$G$256)</f>
        <v>0</v>
      </c>
      <c r="L123" s="494">
        <f>SUMIF('A-2 Site Habitat Creation'!$F$11:$F$256,'G-2 Habitat groups'!A123,'A-2 Site Habitat Creation'!$Y$11:$Y$256)</f>
        <v>0</v>
      </c>
      <c r="M123" s="494">
        <f>SUMIF('A-3 Site Habitat Enhancement'!$S$12:$S$257,'G-2 Habitat groups'!A123,'A-3 Site Habitat Enhancement'!$V$12:$V$257)</f>
        <v>0</v>
      </c>
      <c r="N123" s="494">
        <f>SUMIF('A-3 Site Habitat Enhancement'!$S$12:$S$257,'G-2 Habitat groups'!A123,'A-3 Site Habitat Enhancement'!$AN$12:$AN$257)</f>
        <v>0</v>
      </c>
      <c r="O123" s="494">
        <f t="shared" si="103"/>
        <v>0</v>
      </c>
      <c r="P123" s="494">
        <f t="shared" si="104"/>
        <v>0</v>
      </c>
      <c r="Q123" s="494">
        <f t="shared" si="105"/>
        <v>0</v>
      </c>
      <c r="R123" s="494">
        <f t="shared" si="106"/>
        <v>0</v>
      </c>
      <c r="S123" s="494">
        <f>IF(C123="V.High",SUMIF('D-1 Off Site Habitat Baseline'!$G$11:$G$258,'G-2 Habitat groups'!A123,'D-1 Off Site Habitat Baseline'!$S$11:$S$258)+SUMIF('D-1 Off Site Habitat Baseline'!$G$11:$G$258,'G-2 Habitat groups'!A123,'D-1 Off Site Habitat Baseline'!$T$11:$T$258),SUMIF('D-1 Off Site Habitat Baseline'!$G$11:$G$258,'G-2 Habitat groups'!A123,'D-1 Off Site Habitat Baseline'!$H$11:$H$258))</f>
        <v>0</v>
      </c>
      <c r="T123" s="494">
        <f>SUMIF('D-1 Off Site Habitat Baseline'!$G$11:$G$258,'G-2 Habitat groups'!A123,'D-1 Off Site Habitat Baseline'!$Q$11:$Q$258)</f>
        <v>0</v>
      </c>
      <c r="U123" s="591">
        <f>SUMIF('D-1 Off Site Habitat Baseline'!$G$11:$G$258,'G-2 Habitat groups'!A123,'D-1 Off Site Habitat Baseline'!$S$11:$S$258)</f>
        <v>0</v>
      </c>
      <c r="V123" s="494">
        <f>SUMIF('D-1 Off Site Habitat Baseline'!$G$11:$G$258,'G-2 Habitat groups'!A123,'D-1 Off Site Habitat Baseline'!$U$11:$U$258)</f>
        <v>0</v>
      </c>
      <c r="W123" s="494">
        <f>SUMIF('D-2 Off Site Habitat Creation'!$F$9:$F$255,'G-2 Habitat groups'!A123,'D-2 Off Site Habitat Creation'!$G$9:$G$255)</f>
        <v>0</v>
      </c>
      <c r="X123" s="494">
        <f>SUMIF('D-2 Off Site Habitat Creation'!$F$9:$F$255,'G-2 Habitat groups'!A123,'D-2 Off Site Habitat Creation'!$AA$9:$AA$255)</f>
        <v>0</v>
      </c>
      <c r="Y123" s="494">
        <f>SUMIF('D-3 Off Site Habitat Enhancment'!$S$12:$S$491,'G-2 Habitat groups'!A123,'D-3 Off Site Habitat Enhancment'!$V$12:$V$491)</f>
        <v>0</v>
      </c>
      <c r="Z123" s="494">
        <f>SUMIF('D-3 Off Site Habitat Enhancment'!$S$12:$S$491,'G-2 Habitat groups'!A123,'D-3 Off Site Habitat Enhancment'!$AP$12:$AP$491)</f>
        <v>0</v>
      </c>
      <c r="AA123" s="494">
        <f t="shared" si="107"/>
        <v>0</v>
      </c>
      <c r="AB123" s="494">
        <f t="shared" si="108"/>
        <v>0</v>
      </c>
      <c r="AC123" s="494">
        <f t="shared" si="109"/>
        <v>0</v>
      </c>
      <c r="AD123" s="494">
        <f t="shared" si="110"/>
        <v>0</v>
      </c>
      <c r="AE123" s="494">
        <f t="shared" si="111"/>
        <v>0</v>
      </c>
      <c r="AF123" s="494">
        <f t="shared" si="112"/>
        <v>0</v>
      </c>
      <c r="AU123" s="104" t="s">
        <v>606</v>
      </c>
      <c r="AV123" s="88" t="s">
        <v>74</v>
      </c>
      <c r="AW123" s="494">
        <f t="shared" si="132"/>
        <v>0</v>
      </c>
      <c r="AX123" s="494">
        <f t="shared" si="125"/>
        <v>0</v>
      </c>
      <c r="AY123" s="494">
        <f t="shared" si="126"/>
        <v>0</v>
      </c>
      <c r="AZ123" s="494">
        <f t="shared" si="127"/>
        <v>0</v>
      </c>
      <c r="BA123" s="494">
        <f t="shared" si="128"/>
        <v>0</v>
      </c>
      <c r="BB123" s="494">
        <f t="shared" si="129"/>
        <v>0</v>
      </c>
      <c r="BC123" s="494">
        <f t="shared" si="130"/>
        <v>0</v>
      </c>
      <c r="BD123" s="494">
        <f t="shared" si="131"/>
        <v>0</v>
      </c>
      <c r="BE123" s="494">
        <f t="shared" si="123"/>
        <v>0</v>
      </c>
      <c r="BF123" s="494" t="str">
        <f t="shared" si="124"/>
        <v/>
      </c>
    </row>
    <row r="124" spans="1:58" x14ac:dyDescent="0.25">
      <c r="A124" s="104" t="str">
        <f>'G-1 All Habitats'!B123</f>
        <v>Intertidal sediment - Artificial littoral seagrass</v>
      </c>
      <c r="B124" s="88" t="str">
        <f>'G-1 All Habitats'!F123</f>
        <v>Intertidal sediment</v>
      </c>
      <c r="C124" s="88" t="str">
        <f>'G-1 All Habitats'!K123</f>
        <v>Low</v>
      </c>
      <c r="D124" s="88" t="str">
        <f>'G-1 All Habitats'!M123</f>
        <v>Same distinctiveness or better habitat required ≥</v>
      </c>
      <c r="E124" s="494">
        <f>IF(C124="V.High",SUMIF('A-1 Site Habitat Baseline'!$G$11:$G$258,'G-2 Habitat groups'!A124,'A-1 Site Habitat Baseline'!$S$11:$S$258)+SUMIF('A-1 Site Habitat Baseline'!$G$11:$G$258,'G-2 Habitat groups'!A124,'A-1 Site Habitat Baseline'!$T$11:$T$258),SUMIF('A-1 Site Habitat Baseline'!$G$11:$G$258,'G-2 Habitat groups'!A124,'A-1 Site Habitat Baseline'!$H$11:$H$258))</f>
        <v>0</v>
      </c>
      <c r="F124" s="494">
        <f>SUMIF('A-1 Site Habitat Baseline'!$G$11:$G$258,'G-2 Habitat groups'!A124,'A-1 Site Habitat Baseline'!$Q$11:$Q$258)</f>
        <v>0</v>
      </c>
      <c r="G124" s="494">
        <f>SUMIF('A-1 Site Habitat Baseline'!$G$11:$G$258,'G-2 Habitat groups'!A124,'A-1 Site Habitat Baseline'!$S$11:$S$258)</f>
        <v>0</v>
      </c>
      <c r="H124" s="494">
        <f>SUMIF('A-1 Site Habitat Baseline'!$G$11:$G$258,'G-2 Habitat groups'!A124,'A-1 Site Habitat Baseline'!$U$11:$U$258)</f>
        <v>0</v>
      </c>
      <c r="I124" s="494">
        <f>SUMIF('A-1 Site Habitat Baseline'!$G$11:$G$258,'G-2 Habitat groups'!A124,'A-1 Site Habitat Baseline'!$W$11:$W$258)</f>
        <v>0</v>
      </c>
      <c r="J124" s="494">
        <f>SUMIF('A-1 Site Habitat Baseline'!$G$11:$G$258,'G-2 Habitat groups'!A124,'A-1 Site Habitat Baseline'!$X$11:$X$258)</f>
        <v>0</v>
      </c>
      <c r="K124" s="494">
        <f>SUMIF('A-2 Site Habitat Creation'!$F$11:$F$256,'G-2 Habitat groups'!A124,'A-2 Site Habitat Creation'!$G$11:$G$256)</f>
        <v>0</v>
      </c>
      <c r="L124" s="494">
        <f>SUMIF('A-2 Site Habitat Creation'!$F$11:$F$256,'G-2 Habitat groups'!A124,'A-2 Site Habitat Creation'!$Y$11:$Y$256)</f>
        <v>0</v>
      </c>
      <c r="M124" s="494">
        <f>SUMIF('A-3 Site Habitat Enhancement'!$S$12:$S$257,'G-2 Habitat groups'!A124,'A-3 Site Habitat Enhancement'!$V$12:$V$257)</f>
        <v>0</v>
      </c>
      <c r="N124" s="494">
        <f>SUMIF('A-3 Site Habitat Enhancement'!$S$12:$S$257,'G-2 Habitat groups'!A124,'A-3 Site Habitat Enhancement'!$AN$12:$AN$257)</f>
        <v>0</v>
      </c>
      <c r="O124" s="494">
        <f t="shared" si="103"/>
        <v>0</v>
      </c>
      <c r="P124" s="494">
        <f t="shared" si="104"/>
        <v>0</v>
      </c>
      <c r="Q124" s="494">
        <f t="shared" si="105"/>
        <v>0</v>
      </c>
      <c r="R124" s="494">
        <f t="shared" si="106"/>
        <v>0</v>
      </c>
      <c r="S124" s="494">
        <f>IF(C124="V.High",SUMIF('D-1 Off Site Habitat Baseline'!$G$11:$G$258,'G-2 Habitat groups'!A124,'D-1 Off Site Habitat Baseline'!$S$11:$S$258)+SUMIF('D-1 Off Site Habitat Baseline'!$G$11:$G$258,'G-2 Habitat groups'!A124,'D-1 Off Site Habitat Baseline'!$T$11:$T$258),SUMIF('D-1 Off Site Habitat Baseline'!$G$11:$G$258,'G-2 Habitat groups'!A124,'D-1 Off Site Habitat Baseline'!$H$11:$H$258))</f>
        <v>0</v>
      </c>
      <c r="T124" s="494">
        <f>SUMIF('D-1 Off Site Habitat Baseline'!$G$11:$G$258,'G-2 Habitat groups'!A124,'D-1 Off Site Habitat Baseline'!$Q$11:$Q$258)</f>
        <v>0</v>
      </c>
      <c r="U124" s="591">
        <f>SUMIF('D-1 Off Site Habitat Baseline'!$G$11:$G$258,'G-2 Habitat groups'!A124,'D-1 Off Site Habitat Baseline'!$S$11:$S$258)</f>
        <v>0</v>
      </c>
      <c r="V124" s="494">
        <f>SUMIF('D-1 Off Site Habitat Baseline'!$G$11:$G$258,'G-2 Habitat groups'!A124,'D-1 Off Site Habitat Baseline'!$U$11:$U$258)</f>
        <v>0</v>
      </c>
      <c r="W124" s="494">
        <f>SUMIF('D-2 Off Site Habitat Creation'!$F$9:$F$255,'G-2 Habitat groups'!A124,'D-2 Off Site Habitat Creation'!$G$9:$G$255)</f>
        <v>0</v>
      </c>
      <c r="X124" s="494">
        <f>SUMIF('D-2 Off Site Habitat Creation'!$F$9:$F$255,'G-2 Habitat groups'!A124,'D-2 Off Site Habitat Creation'!$AA$9:$AA$255)</f>
        <v>0</v>
      </c>
      <c r="Y124" s="494">
        <f>SUMIF('D-3 Off Site Habitat Enhancment'!$S$12:$S$491,'G-2 Habitat groups'!A124,'D-3 Off Site Habitat Enhancment'!$V$12:$V$491)</f>
        <v>0</v>
      </c>
      <c r="Z124" s="494">
        <f>SUMIF('D-3 Off Site Habitat Enhancment'!$S$12:$S$491,'G-2 Habitat groups'!A124,'D-3 Off Site Habitat Enhancment'!$AP$12:$AP$491)</f>
        <v>0</v>
      </c>
      <c r="AA124" s="494">
        <f t="shared" si="107"/>
        <v>0</v>
      </c>
      <c r="AB124" s="494">
        <f t="shared" si="108"/>
        <v>0</v>
      </c>
      <c r="AC124" s="494">
        <f t="shared" si="109"/>
        <v>0</v>
      </c>
      <c r="AD124" s="494">
        <f t="shared" si="110"/>
        <v>0</v>
      </c>
      <c r="AE124" s="494">
        <f t="shared" si="111"/>
        <v>0</v>
      </c>
      <c r="AF124" s="494">
        <f t="shared" si="112"/>
        <v>0</v>
      </c>
      <c r="AU124" s="104" t="s">
        <v>609</v>
      </c>
      <c r="AV124" s="88" t="s">
        <v>74</v>
      </c>
      <c r="AW124" s="494">
        <f t="shared" si="132"/>
        <v>0</v>
      </c>
      <c r="AX124" s="494">
        <f t="shared" si="125"/>
        <v>0</v>
      </c>
      <c r="AY124" s="494">
        <f t="shared" si="126"/>
        <v>0</v>
      </c>
      <c r="AZ124" s="494">
        <f t="shared" si="127"/>
        <v>0</v>
      </c>
      <c r="BA124" s="494">
        <f t="shared" si="128"/>
        <v>0</v>
      </c>
      <c r="BB124" s="494">
        <f t="shared" si="129"/>
        <v>0</v>
      </c>
      <c r="BC124" s="494">
        <f t="shared" si="130"/>
        <v>0</v>
      </c>
      <c r="BD124" s="494">
        <f t="shared" si="131"/>
        <v>0</v>
      </c>
      <c r="BE124" s="494">
        <f t="shared" si="123"/>
        <v>0</v>
      </c>
      <c r="BF124" s="494" t="str">
        <f t="shared" si="124"/>
        <v/>
      </c>
    </row>
    <row r="125" spans="1:58" x14ac:dyDescent="0.25">
      <c r="A125" s="104" t="str">
        <f>'G-1 All Habitats'!B124</f>
        <v>Intertidal sediment - Artificial littoral biogenic reefs</v>
      </c>
      <c r="B125" s="88" t="str">
        <f>'G-1 All Habitats'!F124</f>
        <v>Intertidal sediment</v>
      </c>
      <c r="C125" s="88" t="str">
        <f>'G-1 All Habitats'!K124</f>
        <v>Low</v>
      </c>
      <c r="D125" s="88" t="str">
        <f>'G-1 All Habitats'!M124</f>
        <v>Same distinctiveness or better habitat required ≥</v>
      </c>
      <c r="E125" s="494">
        <f>IF(C125="V.High",SUMIF('A-1 Site Habitat Baseline'!$G$11:$G$258,'G-2 Habitat groups'!A125,'A-1 Site Habitat Baseline'!$S$11:$S$258)+SUMIF('A-1 Site Habitat Baseline'!$G$11:$G$258,'G-2 Habitat groups'!A125,'A-1 Site Habitat Baseline'!$T$11:$T$258),SUMIF('A-1 Site Habitat Baseline'!$G$11:$G$258,'G-2 Habitat groups'!A125,'A-1 Site Habitat Baseline'!$H$11:$H$258))</f>
        <v>0</v>
      </c>
      <c r="F125" s="494">
        <f>SUMIF('A-1 Site Habitat Baseline'!$G$11:$G$258,'G-2 Habitat groups'!A125,'A-1 Site Habitat Baseline'!$Q$11:$Q$258)</f>
        <v>0</v>
      </c>
      <c r="G125" s="494">
        <f>SUMIF('A-1 Site Habitat Baseline'!$G$11:$G$258,'G-2 Habitat groups'!A125,'A-1 Site Habitat Baseline'!$S$11:$S$258)</f>
        <v>0</v>
      </c>
      <c r="H125" s="494">
        <f>SUMIF('A-1 Site Habitat Baseline'!$G$11:$G$258,'G-2 Habitat groups'!A125,'A-1 Site Habitat Baseline'!$U$11:$U$258)</f>
        <v>0</v>
      </c>
      <c r="I125" s="494">
        <f>SUMIF('A-1 Site Habitat Baseline'!$G$11:$G$258,'G-2 Habitat groups'!A125,'A-1 Site Habitat Baseline'!$W$11:$W$258)</f>
        <v>0</v>
      </c>
      <c r="J125" s="494">
        <f>SUMIF('A-1 Site Habitat Baseline'!$G$11:$G$258,'G-2 Habitat groups'!A125,'A-1 Site Habitat Baseline'!$X$11:$X$258)</f>
        <v>0</v>
      </c>
      <c r="K125" s="494">
        <f>SUMIF('A-2 Site Habitat Creation'!$F$11:$F$256,'G-2 Habitat groups'!A125,'A-2 Site Habitat Creation'!$G$11:$G$256)</f>
        <v>0</v>
      </c>
      <c r="L125" s="494">
        <f>SUMIF('A-2 Site Habitat Creation'!$F$11:$F$256,'G-2 Habitat groups'!A125,'A-2 Site Habitat Creation'!$Y$11:$Y$256)</f>
        <v>0</v>
      </c>
      <c r="M125" s="494">
        <f>SUMIF('A-3 Site Habitat Enhancement'!$S$12:$S$257,'G-2 Habitat groups'!A125,'A-3 Site Habitat Enhancement'!$V$12:$V$257)</f>
        <v>0</v>
      </c>
      <c r="N125" s="494">
        <f>SUMIF('A-3 Site Habitat Enhancement'!$S$12:$S$257,'G-2 Habitat groups'!A125,'A-3 Site Habitat Enhancement'!$AN$12:$AN$257)</f>
        <v>0</v>
      </c>
      <c r="O125" s="494">
        <f t="shared" si="103"/>
        <v>0</v>
      </c>
      <c r="P125" s="494">
        <f t="shared" si="104"/>
        <v>0</v>
      </c>
      <c r="Q125" s="494">
        <f t="shared" si="105"/>
        <v>0</v>
      </c>
      <c r="R125" s="494">
        <f t="shared" si="106"/>
        <v>0</v>
      </c>
      <c r="S125" s="494">
        <f>IF(C125="V.High",SUMIF('D-1 Off Site Habitat Baseline'!$G$11:$G$258,'G-2 Habitat groups'!A125,'D-1 Off Site Habitat Baseline'!$S$11:$S$258)+SUMIF('D-1 Off Site Habitat Baseline'!$G$11:$G$258,'G-2 Habitat groups'!A125,'D-1 Off Site Habitat Baseline'!$T$11:$T$258),SUMIF('D-1 Off Site Habitat Baseline'!$G$11:$G$258,'G-2 Habitat groups'!A125,'D-1 Off Site Habitat Baseline'!$H$11:$H$258))</f>
        <v>0</v>
      </c>
      <c r="T125" s="494">
        <f>SUMIF('D-1 Off Site Habitat Baseline'!$G$11:$G$258,'G-2 Habitat groups'!A125,'D-1 Off Site Habitat Baseline'!$Q$11:$Q$258)</f>
        <v>0</v>
      </c>
      <c r="U125" s="591">
        <f>SUMIF('D-1 Off Site Habitat Baseline'!$G$11:$G$258,'G-2 Habitat groups'!A125,'D-1 Off Site Habitat Baseline'!$S$11:$S$258)</f>
        <v>0</v>
      </c>
      <c r="V125" s="494">
        <f>SUMIF('D-1 Off Site Habitat Baseline'!$G$11:$G$258,'G-2 Habitat groups'!A125,'D-1 Off Site Habitat Baseline'!$U$11:$U$258)</f>
        <v>0</v>
      </c>
      <c r="W125" s="494">
        <f>SUMIF('D-2 Off Site Habitat Creation'!$F$9:$F$255,'G-2 Habitat groups'!A125,'D-2 Off Site Habitat Creation'!$G$9:$G$255)</f>
        <v>0</v>
      </c>
      <c r="X125" s="494">
        <f>SUMIF('D-2 Off Site Habitat Creation'!$F$9:$F$255,'G-2 Habitat groups'!A125,'D-2 Off Site Habitat Creation'!$AA$9:$AA$255)</f>
        <v>0</v>
      </c>
      <c r="Y125" s="494">
        <f>SUMIF('D-3 Off Site Habitat Enhancment'!$S$12:$S$491,'G-2 Habitat groups'!A125,'D-3 Off Site Habitat Enhancment'!$V$12:$V$491)</f>
        <v>0</v>
      </c>
      <c r="Z125" s="494">
        <f>SUMIF('D-3 Off Site Habitat Enhancment'!$S$12:$S$491,'G-2 Habitat groups'!A125,'D-3 Off Site Habitat Enhancment'!$AP$12:$AP$491)</f>
        <v>0</v>
      </c>
      <c r="AA125" s="494">
        <f t="shared" si="107"/>
        <v>0</v>
      </c>
      <c r="AB125" s="494">
        <f t="shared" si="108"/>
        <v>0</v>
      </c>
      <c r="AC125" s="494">
        <f t="shared" si="109"/>
        <v>0</v>
      </c>
      <c r="AD125" s="494">
        <f t="shared" si="110"/>
        <v>0</v>
      </c>
      <c r="AE125" s="494">
        <f t="shared" si="111"/>
        <v>0</v>
      </c>
      <c r="AF125" s="494">
        <f t="shared" si="112"/>
        <v>0</v>
      </c>
      <c r="AU125" s="104" t="s">
        <v>611</v>
      </c>
      <c r="AV125" s="88" t="s">
        <v>74</v>
      </c>
      <c r="AW125" s="494">
        <f t="shared" si="132"/>
        <v>0</v>
      </c>
      <c r="AX125" s="494">
        <f t="shared" si="125"/>
        <v>0</v>
      </c>
      <c r="AY125" s="494">
        <f t="shared" si="126"/>
        <v>0</v>
      </c>
      <c r="AZ125" s="494">
        <f t="shared" si="127"/>
        <v>0</v>
      </c>
      <c r="BA125" s="494">
        <f t="shared" si="128"/>
        <v>0</v>
      </c>
      <c r="BB125" s="494">
        <f t="shared" si="129"/>
        <v>0</v>
      </c>
      <c r="BC125" s="494">
        <f t="shared" si="130"/>
        <v>0</v>
      </c>
      <c r="BD125" s="494">
        <f t="shared" si="131"/>
        <v>0</v>
      </c>
      <c r="BE125" s="494">
        <f t="shared" si="123"/>
        <v>0</v>
      </c>
      <c r="BF125" s="494" t="str">
        <f t="shared" si="124"/>
        <v/>
      </c>
    </row>
    <row r="126" spans="1:58" x14ac:dyDescent="0.25">
      <c r="A126" s="104" t="str">
        <f>'G-1 All Habitats'!B125</f>
        <v>Intertidal sediment - Littoral sand</v>
      </c>
      <c r="B126" s="88" t="str">
        <f>'G-1 All Habitats'!F125</f>
        <v>Intertidal sediment</v>
      </c>
      <c r="C126" s="88" t="str">
        <f>'G-1 All Habitats'!K125</f>
        <v>Medium</v>
      </c>
      <c r="D126" s="88" t="str">
        <f>'G-1 All Habitats'!M125</f>
        <v>Same broad habitat or a higher distinctiveness habitat required (≥)</v>
      </c>
      <c r="E126" s="494">
        <f>IF(C126="V.High",SUMIF('A-1 Site Habitat Baseline'!$G$11:$G$258,'G-2 Habitat groups'!A126,'A-1 Site Habitat Baseline'!$S$11:$S$258)+SUMIF('A-1 Site Habitat Baseline'!$G$11:$G$258,'G-2 Habitat groups'!A126,'A-1 Site Habitat Baseline'!$T$11:$T$258),SUMIF('A-1 Site Habitat Baseline'!$G$11:$G$258,'G-2 Habitat groups'!A126,'A-1 Site Habitat Baseline'!$H$11:$H$258))</f>
        <v>0</v>
      </c>
      <c r="F126" s="494">
        <f>SUMIF('A-1 Site Habitat Baseline'!$G$11:$G$258,'G-2 Habitat groups'!A126,'A-1 Site Habitat Baseline'!$Q$11:$Q$258)</f>
        <v>0</v>
      </c>
      <c r="G126" s="494">
        <f>SUMIF('A-1 Site Habitat Baseline'!$G$11:$G$258,'G-2 Habitat groups'!A126,'A-1 Site Habitat Baseline'!$S$11:$S$258)</f>
        <v>0</v>
      </c>
      <c r="H126" s="494">
        <f>SUMIF('A-1 Site Habitat Baseline'!$G$11:$G$258,'G-2 Habitat groups'!A126,'A-1 Site Habitat Baseline'!$U$11:$U$258)</f>
        <v>0</v>
      </c>
      <c r="I126" s="494">
        <f>SUMIF('A-1 Site Habitat Baseline'!$G$11:$G$258,'G-2 Habitat groups'!A126,'A-1 Site Habitat Baseline'!$W$11:$W$258)</f>
        <v>0</v>
      </c>
      <c r="J126" s="494">
        <f>SUMIF('A-1 Site Habitat Baseline'!$G$11:$G$258,'G-2 Habitat groups'!A126,'A-1 Site Habitat Baseline'!$X$11:$X$258)</f>
        <v>0</v>
      </c>
      <c r="K126" s="494">
        <f>SUMIF('A-2 Site Habitat Creation'!$F$11:$F$256,'G-2 Habitat groups'!A126,'A-2 Site Habitat Creation'!$G$11:$G$256)</f>
        <v>0</v>
      </c>
      <c r="L126" s="494">
        <f>SUMIF('A-2 Site Habitat Creation'!$F$11:$F$256,'G-2 Habitat groups'!A126,'A-2 Site Habitat Creation'!$Y$11:$Y$256)</f>
        <v>0</v>
      </c>
      <c r="M126" s="494">
        <f>SUMIF('A-3 Site Habitat Enhancement'!$S$12:$S$257,'G-2 Habitat groups'!A126,'A-3 Site Habitat Enhancement'!$V$12:$V$257)</f>
        <v>0</v>
      </c>
      <c r="N126" s="494">
        <f>SUMIF('A-3 Site Habitat Enhancement'!$S$12:$S$257,'G-2 Habitat groups'!A126,'A-3 Site Habitat Enhancement'!$AN$12:$AN$257)</f>
        <v>0</v>
      </c>
      <c r="O126" s="494">
        <f t="shared" si="103"/>
        <v>0</v>
      </c>
      <c r="P126" s="494">
        <f t="shared" si="104"/>
        <v>0</v>
      </c>
      <c r="Q126" s="494">
        <f t="shared" si="105"/>
        <v>0</v>
      </c>
      <c r="R126" s="494">
        <f t="shared" si="106"/>
        <v>0</v>
      </c>
      <c r="S126" s="494">
        <f>IF(C126="V.High",SUMIF('D-1 Off Site Habitat Baseline'!$G$11:$G$258,'G-2 Habitat groups'!A126,'D-1 Off Site Habitat Baseline'!$S$11:$S$258)+SUMIF('D-1 Off Site Habitat Baseline'!$G$11:$G$258,'G-2 Habitat groups'!A126,'D-1 Off Site Habitat Baseline'!$T$11:$T$258),SUMIF('D-1 Off Site Habitat Baseline'!$G$11:$G$258,'G-2 Habitat groups'!A126,'D-1 Off Site Habitat Baseline'!$H$11:$H$258))</f>
        <v>0</v>
      </c>
      <c r="T126" s="494">
        <f>SUMIF('D-1 Off Site Habitat Baseline'!$G$11:$G$258,'G-2 Habitat groups'!A126,'D-1 Off Site Habitat Baseline'!$Q$11:$Q$258)</f>
        <v>0</v>
      </c>
      <c r="U126" s="591">
        <f>SUMIF('D-1 Off Site Habitat Baseline'!$G$11:$G$258,'G-2 Habitat groups'!A126,'D-1 Off Site Habitat Baseline'!$S$11:$S$258)</f>
        <v>0</v>
      </c>
      <c r="V126" s="494">
        <f>SUMIF('D-1 Off Site Habitat Baseline'!$G$11:$G$258,'G-2 Habitat groups'!A126,'D-1 Off Site Habitat Baseline'!$U$11:$U$258)</f>
        <v>0</v>
      </c>
      <c r="W126" s="494">
        <f>SUMIF('D-2 Off Site Habitat Creation'!$F$9:$F$255,'G-2 Habitat groups'!A126,'D-2 Off Site Habitat Creation'!$G$9:$G$255)</f>
        <v>0</v>
      </c>
      <c r="X126" s="494">
        <f>SUMIF('D-2 Off Site Habitat Creation'!$F$9:$F$255,'G-2 Habitat groups'!A126,'D-2 Off Site Habitat Creation'!$AA$9:$AA$255)</f>
        <v>0</v>
      </c>
      <c r="Y126" s="494">
        <f>SUMIF('D-3 Off Site Habitat Enhancment'!$S$12:$S$491,'G-2 Habitat groups'!A126,'D-3 Off Site Habitat Enhancment'!$V$12:$V$491)</f>
        <v>0</v>
      </c>
      <c r="Z126" s="494">
        <f>SUMIF('D-3 Off Site Habitat Enhancment'!$S$12:$S$491,'G-2 Habitat groups'!A126,'D-3 Off Site Habitat Enhancment'!$AP$12:$AP$491)</f>
        <v>0</v>
      </c>
      <c r="AA126" s="494">
        <f t="shared" si="107"/>
        <v>0</v>
      </c>
      <c r="AB126" s="494">
        <f t="shared" si="108"/>
        <v>0</v>
      </c>
      <c r="AC126" s="494">
        <f t="shared" si="109"/>
        <v>0</v>
      </c>
      <c r="AD126" s="494">
        <f t="shared" si="110"/>
        <v>0</v>
      </c>
      <c r="AE126" s="494">
        <f t="shared" si="111"/>
        <v>0</v>
      </c>
      <c r="AF126" s="494">
        <f t="shared" si="112"/>
        <v>0</v>
      </c>
      <c r="AU126" s="104" t="s">
        <v>603</v>
      </c>
      <c r="AV126" s="88" t="s">
        <v>74</v>
      </c>
      <c r="AW126" s="494">
        <f t="shared" si="132"/>
        <v>0</v>
      </c>
      <c r="AX126" s="494">
        <f t="shared" si="125"/>
        <v>0</v>
      </c>
      <c r="AY126" s="494">
        <f t="shared" si="126"/>
        <v>0</v>
      </c>
      <c r="AZ126" s="494">
        <f t="shared" si="127"/>
        <v>0</v>
      </c>
      <c r="BA126" s="494">
        <f t="shared" si="128"/>
        <v>0</v>
      </c>
      <c r="BB126" s="494">
        <f t="shared" si="129"/>
        <v>0</v>
      </c>
      <c r="BC126" s="494">
        <f t="shared" si="130"/>
        <v>0</v>
      </c>
      <c r="BD126" s="494">
        <f t="shared" si="131"/>
        <v>0</v>
      </c>
      <c r="BE126" s="494">
        <f t="shared" si="123"/>
        <v>0</v>
      </c>
      <c r="BF126" s="494" t="str">
        <f t="shared" si="124"/>
        <v/>
      </c>
    </row>
    <row r="127" spans="1:58" x14ac:dyDescent="0.25">
      <c r="A127" s="104" t="str">
        <f>'G-1 All Habitats'!B126</f>
        <v>Intertidal sediment - Littoral muddy sand</v>
      </c>
      <c r="B127" s="88" t="str">
        <f>'G-1 All Habitats'!F126</f>
        <v>Intertidal sediment</v>
      </c>
      <c r="C127" s="88" t="str">
        <f>'G-1 All Habitats'!K126</f>
        <v>High</v>
      </c>
      <c r="D127" s="88" t="str">
        <f>'G-1 All Habitats'!M126</f>
        <v>Same habitat required =</v>
      </c>
      <c r="E127" s="494">
        <f>IF(C127="V.High",SUMIF('A-1 Site Habitat Baseline'!$G$11:$G$258,'G-2 Habitat groups'!A127,'A-1 Site Habitat Baseline'!$S$11:$S$258)+SUMIF('A-1 Site Habitat Baseline'!$G$11:$G$258,'G-2 Habitat groups'!A127,'A-1 Site Habitat Baseline'!$T$11:$T$258),SUMIF('A-1 Site Habitat Baseline'!$G$11:$G$258,'G-2 Habitat groups'!A127,'A-1 Site Habitat Baseline'!$H$11:$H$258))</f>
        <v>0</v>
      </c>
      <c r="F127" s="494">
        <f>SUMIF('A-1 Site Habitat Baseline'!$G$11:$G$258,'G-2 Habitat groups'!A127,'A-1 Site Habitat Baseline'!$Q$11:$Q$258)</f>
        <v>0</v>
      </c>
      <c r="G127" s="494">
        <f>SUMIF('A-1 Site Habitat Baseline'!$G$11:$G$258,'G-2 Habitat groups'!A127,'A-1 Site Habitat Baseline'!$S$11:$S$258)</f>
        <v>0</v>
      </c>
      <c r="H127" s="494">
        <f>SUMIF('A-1 Site Habitat Baseline'!$G$11:$G$258,'G-2 Habitat groups'!A127,'A-1 Site Habitat Baseline'!$U$11:$U$258)</f>
        <v>0</v>
      </c>
      <c r="I127" s="494">
        <f>SUMIF('A-1 Site Habitat Baseline'!$G$11:$G$258,'G-2 Habitat groups'!A127,'A-1 Site Habitat Baseline'!$W$11:$W$258)</f>
        <v>0</v>
      </c>
      <c r="J127" s="494">
        <f>SUMIF('A-1 Site Habitat Baseline'!$G$11:$G$258,'G-2 Habitat groups'!A127,'A-1 Site Habitat Baseline'!$X$11:$X$258)</f>
        <v>0</v>
      </c>
      <c r="K127" s="494">
        <f>SUMIF('A-2 Site Habitat Creation'!$F$11:$F$256,'G-2 Habitat groups'!A127,'A-2 Site Habitat Creation'!$G$11:$G$256)</f>
        <v>0</v>
      </c>
      <c r="L127" s="494">
        <f>SUMIF('A-2 Site Habitat Creation'!$F$11:$F$256,'G-2 Habitat groups'!A127,'A-2 Site Habitat Creation'!$Y$11:$Y$256)</f>
        <v>0</v>
      </c>
      <c r="M127" s="494">
        <f>SUMIF('A-3 Site Habitat Enhancement'!$S$12:$S$257,'G-2 Habitat groups'!A127,'A-3 Site Habitat Enhancement'!$V$12:$V$257)</f>
        <v>0</v>
      </c>
      <c r="N127" s="494">
        <f>SUMIF('A-3 Site Habitat Enhancement'!$S$12:$S$257,'G-2 Habitat groups'!A127,'A-3 Site Habitat Enhancement'!$AN$12:$AN$257)</f>
        <v>0</v>
      </c>
      <c r="O127" s="494">
        <f t="shared" si="103"/>
        <v>0</v>
      </c>
      <c r="P127" s="494">
        <f t="shared" si="104"/>
        <v>0</v>
      </c>
      <c r="Q127" s="494">
        <f t="shared" si="105"/>
        <v>0</v>
      </c>
      <c r="R127" s="494">
        <f t="shared" si="106"/>
        <v>0</v>
      </c>
      <c r="S127" s="494">
        <f>IF(C127="V.High",SUMIF('D-1 Off Site Habitat Baseline'!$G$11:$G$258,'G-2 Habitat groups'!A127,'D-1 Off Site Habitat Baseline'!$S$11:$S$258)+SUMIF('D-1 Off Site Habitat Baseline'!$G$11:$G$258,'G-2 Habitat groups'!A127,'D-1 Off Site Habitat Baseline'!$T$11:$T$258),SUMIF('D-1 Off Site Habitat Baseline'!$G$11:$G$258,'G-2 Habitat groups'!A127,'D-1 Off Site Habitat Baseline'!$H$11:$H$258))</f>
        <v>0</v>
      </c>
      <c r="T127" s="494">
        <f>SUMIF('D-1 Off Site Habitat Baseline'!$G$11:$G$258,'G-2 Habitat groups'!A127,'D-1 Off Site Habitat Baseline'!$Q$11:$Q$258)</f>
        <v>0</v>
      </c>
      <c r="U127" s="591">
        <f>SUMIF('D-1 Off Site Habitat Baseline'!$G$11:$G$258,'G-2 Habitat groups'!A127,'D-1 Off Site Habitat Baseline'!$S$11:$S$258)</f>
        <v>0</v>
      </c>
      <c r="V127" s="494">
        <f>SUMIF('D-1 Off Site Habitat Baseline'!$G$11:$G$258,'G-2 Habitat groups'!A127,'D-1 Off Site Habitat Baseline'!$U$11:$U$258)</f>
        <v>0</v>
      </c>
      <c r="W127" s="494">
        <f>SUMIF('D-2 Off Site Habitat Creation'!$F$9:$F$255,'G-2 Habitat groups'!A127,'D-2 Off Site Habitat Creation'!$G$9:$G$255)</f>
        <v>0</v>
      </c>
      <c r="X127" s="494">
        <f>SUMIF('D-2 Off Site Habitat Creation'!$F$9:$F$255,'G-2 Habitat groups'!A127,'D-2 Off Site Habitat Creation'!$AA$9:$AA$255)</f>
        <v>0</v>
      </c>
      <c r="Y127" s="494">
        <f>SUMIF('D-3 Off Site Habitat Enhancment'!$S$12:$S$491,'G-2 Habitat groups'!A127,'D-3 Off Site Habitat Enhancment'!$V$12:$V$491)</f>
        <v>0</v>
      </c>
      <c r="Z127" s="494">
        <f>SUMIF('D-3 Off Site Habitat Enhancment'!$S$12:$S$491,'G-2 Habitat groups'!A127,'D-3 Off Site Habitat Enhancment'!$AP$12:$AP$491)</f>
        <v>0</v>
      </c>
      <c r="AA127" s="494">
        <f t="shared" si="107"/>
        <v>0</v>
      </c>
      <c r="AB127" s="494">
        <f t="shared" si="108"/>
        <v>0</v>
      </c>
      <c r="AC127" s="494">
        <f t="shared" si="109"/>
        <v>0</v>
      </c>
      <c r="AD127" s="494">
        <f t="shared" si="110"/>
        <v>0</v>
      </c>
      <c r="AE127" s="494">
        <f t="shared" si="111"/>
        <v>0</v>
      </c>
      <c r="AF127" s="494">
        <f t="shared" si="112"/>
        <v>0</v>
      </c>
      <c r="AU127" s="104" t="s">
        <v>616</v>
      </c>
      <c r="AV127" s="88" t="s">
        <v>74</v>
      </c>
      <c r="AW127" s="494">
        <f t="shared" si="132"/>
        <v>0</v>
      </c>
      <c r="AX127" s="494">
        <f t="shared" si="125"/>
        <v>0</v>
      </c>
      <c r="AY127" s="494">
        <f t="shared" si="126"/>
        <v>3.0099999999999998E-2</v>
      </c>
      <c r="AZ127" s="494">
        <f t="shared" si="127"/>
        <v>6.680694999999999E-2</v>
      </c>
      <c r="BA127" s="494">
        <f t="shared" si="128"/>
        <v>3.0099999999999998E-2</v>
      </c>
      <c r="BB127" s="494">
        <f t="shared" si="129"/>
        <v>6.680694999999999E-2</v>
      </c>
      <c r="BC127" s="494">
        <f t="shared" si="130"/>
        <v>0</v>
      </c>
      <c r="BD127" s="494">
        <f t="shared" si="131"/>
        <v>0</v>
      </c>
      <c r="BE127" s="494">
        <f t="shared" si="123"/>
        <v>6.680694999999999E-2</v>
      </c>
      <c r="BF127" s="494" t="str">
        <f t="shared" si="124"/>
        <v/>
      </c>
    </row>
    <row r="128" spans="1:58" x14ac:dyDescent="0.25">
      <c r="A128" s="104" t="str">
        <f>'G-1 All Habitats'!B127</f>
        <v>Intertidal Hard Structures - Artificial hard structures</v>
      </c>
      <c r="B128" s="88" t="str">
        <f>'G-1 All Habitats'!F127</f>
        <v>Intertidal Hard Structures</v>
      </c>
      <c r="C128" s="88" t="str">
        <f>'G-1 All Habitats'!K127</f>
        <v>Low</v>
      </c>
      <c r="D128" s="88" t="str">
        <f>'G-1 All Habitats'!M127</f>
        <v>Same distinctiveness or better habitat required ≥</v>
      </c>
      <c r="E128" s="494">
        <f>IF(C128="V.High",SUMIF('A-1 Site Habitat Baseline'!$G$11:$G$258,'G-2 Habitat groups'!A128,'A-1 Site Habitat Baseline'!$S$11:$S$258)+SUMIF('A-1 Site Habitat Baseline'!$G$11:$G$258,'G-2 Habitat groups'!A128,'A-1 Site Habitat Baseline'!$T$11:$T$258),SUMIF('A-1 Site Habitat Baseline'!$G$11:$G$258,'G-2 Habitat groups'!A128,'A-1 Site Habitat Baseline'!$H$11:$H$258))</f>
        <v>0</v>
      </c>
      <c r="F128" s="494">
        <f>SUMIF('A-1 Site Habitat Baseline'!$G$11:$G$258,'G-2 Habitat groups'!A128,'A-1 Site Habitat Baseline'!$Q$11:$Q$258)</f>
        <v>0</v>
      </c>
      <c r="G128" s="494">
        <f>SUMIF('A-1 Site Habitat Baseline'!$G$11:$G$258,'G-2 Habitat groups'!A128,'A-1 Site Habitat Baseline'!$S$11:$S$258)</f>
        <v>0</v>
      </c>
      <c r="H128" s="494">
        <f>SUMIF('A-1 Site Habitat Baseline'!$G$11:$G$258,'G-2 Habitat groups'!A128,'A-1 Site Habitat Baseline'!$U$11:$U$258)</f>
        <v>0</v>
      </c>
      <c r="I128" s="494">
        <f>SUMIF('A-1 Site Habitat Baseline'!$G$11:$G$258,'G-2 Habitat groups'!A128,'A-1 Site Habitat Baseline'!$W$11:$W$258)</f>
        <v>0</v>
      </c>
      <c r="J128" s="494">
        <f>SUMIF('A-1 Site Habitat Baseline'!$G$11:$G$258,'G-2 Habitat groups'!A128,'A-1 Site Habitat Baseline'!$X$11:$X$258)</f>
        <v>0</v>
      </c>
      <c r="K128" s="494">
        <f>SUMIF('A-2 Site Habitat Creation'!$F$11:$F$256,'G-2 Habitat groups'!A128,'A-2 Site Habitat Creation'!$G$11:$G$256)</f>
        <v>0</v>
      </c>
      <c r="L128" s="494">
        <f>SUMIF('A-2 Site Habitat Creation'!$F$11:$F$256,'G-2 Habitat groups'!A128,'A-2 Site Habitat Creation'!$Y$11:$Y$256)</f>
        <v>0</v>
      </c>
      <c r="M128" s="494">
        <f>SUMIF('A-3 Site Habitat Enhancement'!$S$12:$S$257,'G-2 Habitat groups'!A128,'A-3 Site Habitat Enhancement'!$V$12:$V$257)</f>
        <v>0</v>
      </c>
      <c r="N128" s="494">
        <f>SUMIF('A-3 Site Habitat Enhancement'!$S$12:$S$257,'G-2 Habitat groups'!A128,'A-3 Site Habitat Enhancement'!$AN$12:$AN$257)</f>
        <v>0</v>
      </c>
      <c r="O128" s="494">
        <f t="shared" si="103"/>
        <v>0</v>
      </c>
      <c r="P128" s="494">
        <f t="shared" si="104"/>
        <v>0</v>
      </c>
      <c r="Q128" s="494">
        <f t="shared" si="105"/>
        <v>0</v>
      </c>
      <c r="R128" s="494">
        <f t="shared" si="106"/>
        <v>0</v>
      </c>
      <c r="S128" s="494">
        <f>IF(C128="V.High",SUMIF('D-1 Off Site Habitat Baseline'!$G$11:$G$258,'G-2 Habitat groups'!A128,'D-1 Off Site Habitat Baseline'!$S$11:$S$258)+SUMIF('D-1 Off Site Habitat Baseline'!$G$11:$G$258,'G-2 Habitat groups'!A128,'D-1 Off Site Habitat Baseline'!$T$11:$T$258),SUMIF('D-1 Off Site Habitat Baseline'!$G$11:$G$258,'G-2 Habitat groups'!A128,'D-1 Off Site Habitat Baseline'!$H$11:$H$258))</f>
        <v>0</v>
      </c>
      <c r="T128" s="494">
        <f>SUMIF('D-1 Off Site Habitat Baseline'!$G$11:$G$258,'G-2 Habitat groups'!A128,'D-1 Off Site Habitat Baseline'!$Q$11:$Q$258)</f>
        <v>0</v>
      </c>
      <c r="U128" s="591">
        <f>SUMIF('D-1 Off Site Habitat Baseline'!$G$11:$G$258,'G-2 Habitat groups'!A128,'D-1 Off Site Habitat Baseline'!$S$11:$S$258)</f>
        <v>0</v>
      </c>
      <c r="V128" s="494">
        <f>SUMIF('D-1 Off Site Habitat Baseline'!$G$11:$G$258,'G-2 Habitat groups'!A128,'D-1 Off Site Habitat Baseline'!$U$11:$U$258)</f>
        <v>0</v>
      </c>
      <c r="W128" s="494">
        <f>SUMIF('D-2 Off Site Habitat Creation'!$F$9:$F$255,'G-2 Habitat groups'!A128,'D-2 Off Site Habitat Creation'!$G$9:$G$255)</f>
        <v>0</v>
      </c>
      <c r="X128" s="494">
        <f>SUMIF('D-2 Off Site Habitat Creation'!$F$9:$F$255,'G-2 Habitat groups'!A128,'D-2 Off Site Habitat Creation'!$AA$9:$AA$255)</f>
        <v>0</v>
      </c>
      <c r="Y128" s="494">
        <f>SUMIF('D-3 Off Site Habitat Enhancment'!$S$12:$S$491,'G-2 Habitat groups'!A128,'D-3 Off Site Habitat Enhancment'!$V$12:$V$491)</f>
        <v>0</v>
      </c>
      <c r="Z128" s="494">
        <f>SUMIF('D-3 Off Site Habitat Enhancment'!$S$12:$S$491,'G-2 Habitat groups'!A128,'D-3 Off Site Habitat Enhancment'!$AP$12:$AP$491)</f>
        <v>0</v>
      </c>
      <c r="AA128" s="494">
        <f t="shared" si="107"/>
        <v>0</v>
      </c>
      <c r="AB128" s="494">
        <f t="shared" si="108"/>
        <v>0</v>
      </c>
      <c r="AC128" s="494">
        <f t="shared" si="109"/>
        <v>0</v>
      </c>
      <c r="AD128" s="494">
        <f t="shared" si="110"/>
        <v>0</v>
      </c>
      <c r="AE128" s="494">
        <f t="shared" si="111"/>
        <v>0</v>
      </c>
      <c r="AF128" s="494">
        <f t="shared" si="112"/>
        <v>0</v>
      </c>
      <c r="AU128" s="104" t="s">
        <v>623</v>
      </c>
      <c r="AV128" s="88" t="s">
        <v>74</v>
      </c>
      <c r="AW128" s="494">
        <f t="shared" si="132"/>
        <v>0</v>
      </c>
      <c r="AX128" s="494">
        <f t="shared" si="125"/>
        <v>0</v>
      </c>
      <c r="AY128" s="494">
        <f t="shared" si="126"/>
        <v>0</v>
      </c>
      <c r="AZ128" s="494">
        <f t="shared" si="127"/>
        <v>0</v>
      </c>
      <c r="BA128" s="494">
        <f t="shared" si="128"/>
        <v>0</v>
      </c>
      <c r="BB128" s="494">
        <f t="shared" si="129"/>
        <v>0</v>
      </c>
      <c r="BC128" s="494">
        <f t="shared" si="130"/>
        <v>0</v>
      </c>
      <c r="BD128" s="494">
        <f t="shared" si="131"/>
        <v>0</v>
      </c>
      <c r="BE128" s="494">
        <f t="shared" si="123"/>
        <v>0</v>
      </c>
      <c r="BF128" s="494" t="str">
        <f t="shared" si="124"/>
        <v/>
      </c>
    </row>
    <row r="129" spans="1:58" x14ac:dyDescent="0.25">
      <c r="A129" s="104" t="str">
        <f>'G-1 All Habitats'!B128</f>
        <v>Intertidal Hard Structures - Artificial features of hard structures</v>
      </c>
      <c r="B129" s="88" t="str">
        <f>'G-1 All Habitats'!F128</f>
        <v>Intertidal Hard Structures</v>
      </c>
      <c r="C129" s="88" t="str">
        <f>'G-1 All Habitats'!K128</f>
        <v>Low</v>
      </c>
      <c r="D129" s="88" t="str">
        <f>'G-1 All Habitats'!M128</f>
        <v>Same distinctiveness or better habitat required ≥</v>
      </c>
      <c r="E129" s="494">
        <f>IF(C129="V.High",SUMIF('A-1 Site Habitat Baseline'!$G$11:$G$258,'G-2 Habitat groups'!A129,'A-1 Site Habitat Baseline'!$S$11:$S$258)+SUMIF('A-1 Site Habitat Baseline'!$G$11:$G$258,'G-2 Habitat groups'!A129,'A-1 Site Habitat Baseline'!$T$11:$T$258),SUMIF('A-1 Site Habitat Baseline'!$G$11:$G$258,'G-2 Habitat groups'!A129,'A-1 Site Habitat Baseline'!$H$11:$H$258))</f>
        <v>0</v>
      </c>
      <c r="F129" s="494">
        <f>SUMIF('A-1 Site Habitat Baseline'!$G$11:$G$258,'G-2 Habitat groups'!A129,'A-1 Site Habitat Baseline'!$Q$11:$Q$258)</f>
        <v>0</v>
      </c>
      <c r="G129" s="494">
        <f>SUMIF('A-1 Site Habitat Baseline'!$G$11:$G$258,'G-2 Habitat groups'!A129,'A-1 Site Habitat Baseline'!$S$11:$S$258)</f>
        <v>0</v>
      </c>
      <c r="H129" s="494">
        <f>SUMIF('A-1 Site Habitat Baseline'!$G$11:$G$258,'G-2 Habitat groups'!A129,'A-1 Site Habitat Baseline'!$U$11:$U$258)</f>
        <v>0</v>
      </c>
      <c r="I129" s="494">
        <f>SUMIF('A-1 Site Habitat Baseline'!$G$11:$G$258,'G-2 Habitat groups'!A129,'A-1 Site Habitat Baseline'!$W$11:$W$258)</f>
        <v>0</v>
      </c>
      <c r="J129" s="494">
        <f>SUMIF('A-1 Site Habitat Baseline'!$G$11:$G$258,'G-2 Habitat groups'!A129,'A-1 Site Habitat Baseline'!$X$11:$X$258)</f>
        <v>0</v>
      </c>
      <c r="K129" s="494">
        <f>SUMIF('A-2 Site Habitat Creation'!$F$11:$F$256,'G-2 Habitat groups'!A129,'A-2 Site Habitat Creation'!$G$11:$G$256)</f>
        <v>0</v>
      </c>
      <c r="L129" s="494">
        <f>SUMIF('A-2 Site Habitat Creation'!$F$11:$F$256,'G-2 Habitat groups'!A129,'A-2 Site Habitat Creation'!$Y$11:$Y$256)</f>
        <v>0</v>
      </c>
      <c r="M129" s="494">
        <f>SUMIF('A-3 Site Habitat Enhancement'!$S$12:$S$257,'G-2 Habitat groups'!A129,'A-3 Site Habitat Enhancement'!$V$12:$V$257)</f>
        <v>0</v>
      </c>
      <c r="N129" s="494">
        <f>SUMIF('A-3 Site Habitat Enhancement'!$S$12:$S$257,'G-2 Habitat groups'!A129,'A-3 Site Habitat Enhancement'!$AN$12:$AN$257)</f>
        <v>0</v>
      </c>
      <c r="O129" s="494">
        <f t="shared" si="103"/>
        <v>0</v>
      </c>
      <c r="P129" s="494">
        <f t="shared" si="104"/>
        <v>0</v>
      </c>
      <c r="Q129" s="494">
        <f t="shared" si="105"/>
        <v>0</v>
      </c>
      <c r="R129" s="494">
        <f t="shared" si="106"/>
        <v>0</v>
      </c>
      <c r="S129" s="494">
        <f>IF(C129="V.High",SUMIF('D-1 Off Site Habitat Baseline'!$G$11:$G$258,'G-2 Habitat groups'!A129,'D-1 Off Site Habitat Baseline'!$S$11:$S$258)+SUMIF('D-1 Off Site Habitat Baseline'!$G$11:$G$258,'G-2 Habitat groups'!A129,'D-1 Off Site Habitat Baseline'!$T$11:$T$258),SUMIF('D-1 Off Site Habitat Baseline'!$G$11:$G$258,'G-2 Habitat groups'!A129,'D-1 Off Site Habitat Baseline'!$H$11:$H$258))</f>
        <v>0</v>
      </c>
      <c r="T129" s="494">
        <f>SUMIF('D-1 Off Site Habitat Baseline'!$G$11:$G$258,'G-2 Habitat groups'!A129,'D-1 Off Site Habitat Baseline'!$Q$11:$Q$258)</f>
        <v>0</v>
      </c>
      <c r="U129" s="591">
        <f>SUMIF('D-1 Off Site Habitat Baseline'!$G$11:$G$258,'G-2 Habitat groups'!A129,'D-1 Off Site Habitat Baseline'!$S$11:$S$258)</f>
        <v>0</v>
      </c>
      <c r="V129" s="494">
        <f>SUMIF('D-1 Off Site Habitat Baseline'!$G$11:$G$258,'G-2 Habitat groups'!A129,'D-1 Off Site Habitat Baseline'!$U$11:$U$258)</f>
        <v>0</v>
      </c>
      <c r="W129" s="494">
        <f>SUMIF('D-2 Off Site Habitat Creation'!$F$9:$F$255,'G-2 Habitat groups'!A129,'D-2 Off Site Habitat Creation'!$G$9:$G$255)</f>
        <v>0</v>
      </c>
      <c r="X129" s="494">
        <f>SUMIF('D-2 Off Site Habitat Creation'!$F$9:$F$255,'G-2 Habitat groups'!A129,'D-2 Off Site Habitat Creation'!$AA$9:$AA$255)</f>
        <v>0</v>
      </c>
      <c r="Y129" s="494">
        <f>SUMIF('D-3 Off Site Habitat Enhancment'!$S$12:$S$491,'G-2 Habitat groups'!A129,'D-3 Off Site Habitat Enhancment'!$V$12:$V$491)</f>
        <v>0</v>
      </c>
      <c r="Z129" s="494">
        <f>SUMIF('D-3 Off Site Habitat Enhancment'!$S$12:$S$491,'G-2 Habitat groups'!A129,'D-3 Off Site Habitat Enhancment'!$AP$12:$AP$491)</f>
        <v>0</v>
      </c>
      <c r="AA129" s="494">
        <f t="shared" si="107"/>
        <v>0</v>
      </c>
      <c r="AB129" s="494">
        <f t="shared" si="108"/>
        <v>0</v>
      </c>
      <c r="AC129" s="494">
        <f t="shared" si="109"/>
        <v>0</v>
      </c>
      <c r="AD129" s="494">
        <f t="shared" si="110"/>
        <v>0</v>
      </c>
      <c r="AE129" s="494">
        <f t="shared" si="111"/>
        <v>0</v>
      </c>
      <c r="AF129" s="494">
        <f t="shared" si="112"/>
        <v>0</v>
      </c>
      <c r="AU129" s="104" t="s">
        <v>625</v>
      </c>
      <c r="AV129" s="88" t="s">
        <v>74</v>
      </c>
      <c r="AW129" s="494">
        <f t="shared" si="132"/>
        <v>0</v>
      </c>
      <c r="AX129" s="494">
        <f t="shared" si="125"/>
        <v>0</v>
      </c>
      <c r="AY129" s="494">
        <f t="shared" si="126"/>
        <v>0</v>
      </c>
      <c r="AZ129" s="494">
        <f t="shared" si="127"/>
        <v>0</v>
      </c>
      <c r="BA129" s="494">
        <f t="shared" si="128"/>
        <v>0</v>
      </c>
      <c r="BB129" s="494">
        <f t="shared" si="129"/>
        <v>0</v>
      </c>
      <c r="BC129" s="494">
        <f t="shared" si="130"/>
        <v>0</v>
      </c>
      <c r="BD129" s="494">
        <f t="shared" si="131"/>
        <v>0</v>
      </c>
      <c r="BE129" s="494">
        <f t="shared" si="123"/>
        <v>0</v>
      </c>
      <c r="BF129" s="494" t="str">
        <f t="shared" si="124"/>
        <v/>
      </c>
    </row>
    <row r="130" spans="1:58" x14ac:dyDescent="0.25">
      <c r="A130" s="104" t="str">
        <f>'G-1 All Habitats'!B129</f>
        <v>Intertidal Hard Structures - Artificial hard structures with Integrated Greening of Grey Infrastructure (IGGI)</v>
      </c>
      <c r="B130" s="88" t="str">
        <f>'G-1 All Habitats'!F129</f>
        <v>Intertidal Hard Structures</v>
      </c>
      <c r="C130" s="88" t="str">
        <f>'G-1 All Habitats'!K129</f>
        <v>Medium</v>
      </c>
      <c r="D130" s="88" t="str">
        <f>'G-1 All Habitats'!M129</f>
        <v>Same broad habitat or a higher distinctiveness habitat required (≥)</v>
      </c>
      <c r="E130" s="494">
        <f>IF(C130="V.High",SUMIF('A-1 Site Habitat Baseline'!$G$11:$G$258,'G-2 Habitat groups'!A130,'A-1 Site Habitat Baseline'!$S$11:$S$258)+SUMIF('A-1 Site Habitat Baseline'!$G$11:$G$258,'G-2 Habitat groups'!A130,'A-1 Site Habitat Baseline'!$T$11:$T$258),SUMIF('A-1 Site Habitat Baseline'!$G$11:$G$258,'G-2 Habitat groups'!A130,'A-1 Site Habitat Baseline'!$H$11:$H$258))</f>
        <v>0</v>
      </c>
      <c r="F130" s="494">
        <f>SUMIF('A-1 Site Habitat Baseline'!$G$11:$G$258,'G-2 Habitat groups'!A130,'A-1 Site Habitat Baseline'!$Q$11:$Q$258)</f>
        <v>0</v>
      </c>
      <c r="G130" s="494">
        <f>SUMIF('A-1 Site Habitat Baseline'!$G$11:$G$258,'G-2 Habitat groups'!A130,'A-1 Site Habitat Baseline'!$S$11:$S$258)</f>
        <v>0</v>
      </c>
      <c r="H130" s="494">
        <f>SUMIF('A-1 Site Habitat Baseline'!$G$11:$G$258,'G-2 Habitat groups'!A130,'A-1 Site Habitat Baseline'!$U$11:$U$258)</f>
        <v>0</v>
      </c>
      <c r="I130" s="494">
        <f>SUMIF('A-1 Site Habitat Baseline'!$G$11:$G$258,'G-2 Habitat groups'!A130,'A-1 Site Habitat Baseline'!$W$11:$W$258)</f>
        <v>0</v>
      </c>
      <c r="J130" s="494">
        <f>SUMIF('A-1 Site Habitat Baseline'!$G$11:$G$258,'G-2 Habitat groups'!A130,'A-1 Site Habitat Baseline'!$X$11:$X$258)</f>
        <v>0</v>
      </c>
      <c r="K130" s="494">
        <f>SUMIF('A-2 Site Habitat Creation'!$F$11:$F$256,'G-2 Habitat groups'!A130,'A-2 Site Habitat Creation'!$G$11:$G$256)</f>
        <v>0</v>
      </c>
      <c r="L130" s="494">
        <f>SUMIF('A-2 Site Habitat Creation'!$F$11:$F$256,'G-2 Habitat groups'!A130,'A-2 Site Habitat Creation'!$Y$11:$Y$256)</f>
        <v>0</v>
      </c>
      <c r="M130" s="494">
        <f>SUMIF('A-3 Site Habitat Enhancement'!$S$12:$S$257,'G-2 Habitat groups'!A130,'A-3 Site Habitat Enhancement'!$V$12:$V$257)</f>
        <v>0</v>
      </c>
      <c r="N130" s="494">
        <f>SUMIF('A-3 Site Habitat Enhancement'!$S$12:$S$257,'G-2 Habitat groups'!A130,'A-3 Site Habitat Enhancement'!$AN$12:$AN$257)</f>
        <v>0</v>
      </c>
      <c r="O130" s="494">
        <f t="shared" si="103"/>
        <v>0</v>
      </c>
      <c r="P130" s="494">
        <f t="shared" si="104"/>
        <v>0</v>
      </c>
      <c r="Q130" s="494">
        <f t="shared" si="105"/>
        <v>0</v>
      </c>
      <c r="R130" s="494">
        <f t="shared" si="106"/>
        <v>0</v>
      </c>
      <c r="S130" s="494">
        <f>IF(C130="V.High",SUMIF('D-1 Off Site Habitat Baseline'!$G$11:$G$258,'G-2 Habitat groups'!A130,'D-1 Off Site Habitat Baseline'!$S$11:$S$258)+SUMIF('D-1 Off Site Habitat Baseline'!$G$11:$G$258,'G-2 Habitat groups'!A130,'D-1 Off Site Habitat Baseline'!$T$11:$T$258),SUMIF('D-1 Off Site Habitat Baseline'!$G$11:$G$258,'G-2 Habitat groups'!A130,'D-1 Off Site Habitat Baseline'!$H$11:$H$258))</f>
        <v>0</v>
      </c>
      <c r="T130" s="494">
        <f>SUMIF('D-1 Off Site Habitat Baseline'!$G$11:$G$258,'G-2 Habitat groups'!A130,'D-1 Off Site Habitat Baseline'!$Q$11:$Q$258)</f>
        <v>0</v>
      </c>
      <c r="U130" s="591">
        <f>SUMIF('D-1 Off Site Habitat Baseline'!$G$11:$G$258,'G-2 Habitat groups'!A130,'D-1 Off Site Habitat Baseline'!$S$11:$S$258)</f>
        <v>0</v>
      </c>
      <c r="V130" s="494">
        <f>SUMIF('D-1 Off Site Habitat Baseline'!$G$11:$G$258,'G-2 Habitat groups'!A130,'D-1 Off Site Habitat Baseline'!$U$11:$U$258)</f>
        <v>0</v>
      </c>
      <c r="W130" s="494">
        <f>SUMIF('D-2 Off Site Habitat Creation'!$F$9:$F$255,'G-2 Habitat groups'!A130,'D-2 Off Site Habitat Creation'!$G$9:$G$255)</f>
        <v>0</v>
      </c>
      <c r="X130" s="494">
        <f>SUMIF('D-2 Off Site Habitat Creation'!$F$9:$F$255,'G-2 Habitat groups'!A130,'D-2 Off Site Habitat Creation'!$AA$9:$AA$255)</f>
        <v>0</v>
      </c>
      <c r="Y130" s="494">
        <f>SUMIF('D-3 Off Site Habitat Enhancment'!$S$12:$S$491,'G-2 Habitat groups'!A130,'D-3 Off Site Habitat Enhancment'!$V$12:$V$491)</f>
        <v>0</v>
      </c>
      <c r="Z130" s="494">
        <f>SUMIF('D-3 Off Site Habitat Enhancment'!$S$12:$S$491,'G-2 Habitat groups'!A130,'D-3 Off Site Habitat Enhancment'!$AP$12:$AP$491)</f>
        <v>0</v>
      </c>
      <c r="AA130" s="494">
        <f t="shared" si="107"/>
        <v>0</v>
      </c>
      <c r="AB130" s="494">
        <f t="shared" si="108"/>
        <v>0</v>
      </c>
      <c r="AC130" s="494">
        <f t="shared" si="109"/>
        <v>0</v>
      </c>
      <c r="AD130" s="494">
        <f t="shared" si="110"/>
        <v>0</v>
      </c>
      <c r="AE130" s="494">
        <f t="shared" si="111"/>
        <v>0</v>
      </c>
      <c r="AF130" s="494">
        <f t="shared" si="112"/>
        <v>0</v>
      </c>
      <c r="AU130" s="104" t="s">
        <v>628</v>
      </c>
      <c r="AV130" s="88" t="s">
        <v>74</v>
      </c>
      <c r="AW130" s="494">
        <f t="shared" si="132"/>
        <v>0.1074</v>
      </c>
      <c r="AX130" s="494">
        <f t="shared" si="125"/>
        <v>0.45815999999999996</v>
      </c>
      <c r="AY130" s="494">
        <f t="shared" si="126"/>
        <v>0.22760000000000002</v>
      </c>
      <c r="AZ130" s="494">
        <f t="shared" si="127"/>
        <v>1.1276075494344</v>
      </c>
      <c r="BA130" s="494">
        <f t="shared" si="128"/>
        <v>0.12020000000000003</v>
      </c>
      <c r="BB130" s="494">
        <f t="shared" si="129"/>
        <v>0.13952754943440004</v>
      </c>
      <c r="BC130" s="494">
        <f t="shared" si="130"/>
        <v>0</v>
      </c>
      <c r="BD130" s="494">
        <f t="shared" si="131"/>
        <v>0</v>
      </c>
      <c r="BE130" s="494">
        <f t="shared" si="123"/>
        <v>0.13952754943440004</v>
      </c>
      <c r="BF130" s="494" t="str">
        <f t="shared" si="124"/>
        <v/>
      </c>
    </row>
    <row r="131" spans="1:58" x14ac:dyDescent="0.25">
      <c r="A131" s="104">
        <f>'G-1 All Habitats'!B136</f>
        <v>0</v>
      </c>
      <c r="B131" s="88">
        <f>'G-1 All Habitats'!F130</f>
        <v>0</v>
      </c>
      <c r="C131" s="88">
        <f>'G-1 All Habitats'!K130</f>
        <v>0</v>
      </c>
      <c r="D131" s="88">
        <f>'G-1 All Habitats'!M130</f>
        <v>0</v>
      </c>
      <c r="E131" s="494">
        <f>IF(C131="V.High",SUMIF('A-1 Site Habitat Baseline'!$G$11:$G$258,'G-2 Habitat groups'!A131,'A-1 Site Habitat Baseline'!$S$11:$S$258)+SUMIF('A-1 Site Habitat Baseline'!$G$11:$G$258,'G-2 Habitat groups'!A131,'A-1 Site Habitat Baseline'!$T$11:$T$258),SUMIF('A-1 Site Habitat Baseline'!$G$11:$G$258,'G-2 Habitat groups'!A131,'A-1 Site Habitat Baseline'!$H$11:$H$258))</f>
        <v>0</v>
      </c>
      <c r="F131" s="494">
        <f>SUMIF('A-1 Site Habitat Baseline'!$G$11:$G$258,'G-2 Habitat groups'!A131,'A-1 Site Habitat Baseline'!$Q$11:$Q$258)</f>
        <v>0</v>
      </c>
      <c r="G131" s="494">
        <f>SUMIF('A-1 Site Habitat Baseline'!$G$11:$G$258,'G-2 Habitat groups'!A131,'A-1 Site Habitat Baseline'!$S$11:$S$258)</f>
        <v>0</v>
      </c>
      <c r="H131" s="494">
        <f>SUMIF('A-1 Site Habitat Baseline'!$G$11:$G$258,'G-2 Habitat groups'!A131,'A-1 Site Habitat Baseline'!$U$11:$U$258)</f>
        <v>0</v>
      </c>
      <c r="I131" s="494">
        <f>SUMIF('A-1 Site Habitat Baseline'!$G$11:$G$258,'G-2 Habitat groups'!A131,'A-1 Site Habitat Baseline'!$W$11:$W$258)</f>
        <v>0</v>
      </c>
      <c r="J131" s="494">
        <f>SUMIF('A-1 Site Habitat Baseline'!$G$11:$G$258,'G-2 Habitat groups'!A131,'A-1 Site Habitat Baseline'!$X$11:$X$258)</f>
        <v>0</v>
      </c>
      <c r="K131" s="494">
        <f>SUMIF('A-2 Site Habitat Creation'!$F$11:$F$256,'G-2 Habitat groups'!A131,'A-2 Site Habitat Creation'!$G$11:$G$256)</f>
        <v>0</v>
      </c>
      <c r="L131" s="494">
        <f>SUMIF('A-2 Site Habitat Creation'!$F$11:$F$256,'G-2 Habitat groups'!A131,'A-2 Site Habitat Creation'!$Y$11:$Y$256)</f>
        <v>0</v>
      </c>
      <c r="M131" s="494">
        <f>SUMIF('A-3 Site Habitat Enhancement'!$S$12:$S$257,'G-2 Habitat groups'!A131,'A-3 Site Habitat Enhancement'!$V$12:$V$257)</f>
        <v>0</v>
      </c>
      <c r="N131" s="494">
        <f>SUMIF('A-3 Site Habitat Enhancement'!$S$12:$S$257,'G-2 Habitat groups'!A131,'A-3 Site Habitat Enhancement'!$AN$12:$AN$257)</f>
        <v>0</v>
      </c>
      <c r="O131" s="494">
        <f t="shared" ref="O131:O136" si="133">G131+K131+M131</f>
        <v>0</v>
      </c>
      <c r="P131" s="494">
        <f t="shared" ref="P131:P136" si="134">H131+L131+N131</f>
        <v>0</v>
      </c>
      <c r="Q131" s="494">
        <f t="shared" ref="Q131:Q136" si="135">O131-E131</f>
        <v>0</v>
      </c>
      <c r="R131" s="494">
        <f t="shared" ref="R131:R136" si="136">P131-F131</f>
        <v>0</v>
      </c>
      <c r="S131" s="494">
        <f>IF(C131="V.High",SUMIF('D-1 Off Site Habitat Baseline'!$G$11:$G$258,'G-2 Habitat groups'!A131,'D-1 Off Site Habitat Baseline'!$S$11:$S$258)+SUMIF('D-1 Off Site Habitat Baseline'!$G$11:$G$258,'G-2 Habitat groups'!A131,'D-1 Off Site Habitat Baseline'!$T$11:$T$258),SUMIF('D-1 Off Site Habitat Baseline'!$G$11:$G$258,'G-2 Habitat groups'!A131,'D-1 Off Site Habitat Baseline'!$H$11:$H$258))</f>
        <v>0</v>
      </c>
      <c r="T131" s="494">
        <f>SUMIF('D-1 Off Site Habitat Baseline'!$G$11:$G$258,'G-2 Habitat groups'!A131,'D-1 Off Site Habitat Baseline'!$Q$11:$Q$258)</f>
        <v>0</v>
      </c>
      <c r="U131" s="591">
        <f>SUMIF('D-1 Off Site Habitat Baseline'!$G$11:$G$258,'G-2 Habitat groups'!A131,'D-1 Off Site Habitat Baseline'!$S$11:$S$258)</f>
        <v>0</v>
      </c>
      <c r="V131" s="494">
        <f>SUMIF('D-1 Off Site Habitat Baseline'!$G$11:$G$258,'G-2 Habitat groups'!A131,'D-1 Off Site Habitat Baseline'!$U$11:$U$258)</f>
        <v>0</v>
      </c>
      <c r="W131" s="494">
        <f>SUMIF('D-2 Off Site Habitat Creation'!$F$9:$F$255,'G-2 Habitat groups'!A131,'D-2 Off Site Habitat Creation'!$G$9:$G$255)</f>
        <v>0</v>
      </c>
      <c r="X131" s="494">
        <f>SUMIF('D-2 Off Site Habitat Creation'!$F$9:$F$255,'G-2 Habitat groups'!A131,'D-2 Off Site Habitat Creation'!$AA$9:$AA$255)</f>
        <v>0</v>
      </c>
      <c r="Y131" s="494">
        <f>SUMIF('D-3 Off Site Habitat Enhancment'!$S$12:$S$491,'G-2 Habitat groups'!A131,'D-3 Off Site Habitat Enhancment'!$V$12:$V$491)</f>
        <v>0</v>
      </c>
      <c r="Z131" s="494">
        <f>SUMIF('D-3 Off Site Habitat Enhancment'!$S$12:$S$491,'G-2 Habitat groups'!A131,'D-3 Off Site Habitat Enhancment'!$AP$12:$AP$491)</f>
        <v>0</v>
      </c>
      <c r="AA131" s="494">
        <f t="shared" si="107"/>
        <v>0</v>
      </c>
      <c r="AB131" s="494">
        <f t="shared" si="108"/>
        <v>0</v>
      </c>
      <c r="AC131" s="494">
        <f t="shared" ref="AC131:AC136" si="137">AA131-S131</f>
        <v>0</v>
      </c>
      <c r="AD131" s="494">
        <f t="shared" ref="AD131:AD136" si="138">AB131-T131</f>
        <v>0</v>
      </c>
      <c r="AE131" s="494">
        <f t="shared" ref="AE131:AE136" si="139">Q131+AC131</f>
        <v>0</v>
      </c>
      <c r="AF131" s="494">
        <f t="shared" ref="AF131:AF136" si="140">R131+AD131</f>
        <v>0</v>
      </c>
      <c r="AU131" s="104" t="s">
        <v>632</v>
      </c>
      <c r="AV131" s="88" t="s">
        <v>74</v>
      </c>
      <c r="AW131" s="494">
        <f t="shared" si="132"/>
        <v>0</v>
      </c>
      <c r="AX131" s="494">
        <f t="shared" si="125"/>
        <v>0</v>
      </c>
      <c r="AY131" s="494">
        <f t="shared" si="126"/>
        <v>0</v>
      </c>
      <c r="AZ131" s="494">
        <f t="shared" si="127"/>
        <v>0</v>
      </c>
      <c r="BA131" s="494">
        <f t="shared" si="128"/>
        <v>0</v>
      </c>
      <c r="BB131" s="494">
        <f t="shared" si="129"/>
        <v>0</v>
      </c>
      <c r="BC131" s="494">
        <f t="shared" si="130"/>
        <v>0</v>
      </c>
      <c r="BD131" s="494">
        <f t="shared" si="131"/>
        <v>0</v>
      </c>
      <c r="BE131" s="494">
        <f t="shared" si="123"/>
        <v>0</v>
      </c>
      <c r="BF131" s="494" t="str">
        <f t="shared" si="124"/>
        <v/>
      </c>
    </row>
    <row r="132" spans="1:58" x14ac:dyDescent="0.25">
      <c r="A132" s="104">
        <f>'G-1 All Habitats'!B137</f>
        <v>0</v>
      </c>
      <c r="B132" s="88">
        <f>'G-1 All Habitats'!F131</f>
        <v>0</v>
      </c>
      <c r="C132" s="88">
        <f>'G-1 All Habitats'!K131</f>
        <v>0</v>
      </c>
      <c r="D132" s="88">
        <f>'G-1 All Habitats'!M131</f>
        <v>0</v>
      </c>
      <c r="E132" s="494">
        <f>IF(C132="V.High",SUMIF('A-1 Site Habitat Baseline'!$G$11:$G$258,'G-2 Habitat groups'!A132,'A-1 Site Habitat Baseline'!$S$11:$S$258)+SUMIF('A-1 Site Habitat Baseline'!$G$11:$G$258,'G-2 Habitat groups'!A132,'A-1 Site Habitat Baseline'!$T$11:$T$258),SUMIF('A-1 Site Habitat Baseline'!$G$11:$G$258,'G-2 Habitat groups'!A132,'A-1 Site Habitat Baseline'!$H$11:$H$258))</f>
        <v>0</v>
      </c>
      <c r="F132" s="494">
        <f>SUMIF('A-1 Site Habitat Baseline'!$G$11:$G$258,'G-2 Habitat groups'!A132,'A-1 Site Habitat Baseline'!$Q$11:$Q$258)</f>
        <v>0</v>
      </c>
      <c r="G132" s="494">
        <f>SUMIF('A-1 Site Habitat Baseline'!$G$11:$G$258,'G-2 Habitat groups'!A132,'A-1 Site Habitat Baseline'!$S$11:$S$258)</f>
        <v>0</v>
      </c>
      <c r="H132" s="494">
        <f>SUMIF('A-1 Site Habitat Baseline'!$G$11:$G$258,'G-2 Habitat groups'!A132,'A-1 Site Habitat Baseline'!$U$11:$U$258)</f>
        <v>0</v>
      </c>
      <c r="I132" s="494">
        <f>SUMIF('A-1 Site Habitat Baseline'!$G$11:$G$258,'G-2 Habitat groups'!A132,'A-1 Site Habitat Baseline'!$W$11:$W$258)</f>
        <v>0</v>
      </c>
      <c r="J132" s="494">
        <f>SUMIF('A-1 Site Habitat Baseline'!$G$11:$G$258,'G-2 Habitat groups'!A132,'A-1 Site Habitat Baseline'!$X$11:$X$258)</f>
        <v>0</v>
      </c>
      <c r="K132" s="494">
        <f>SUMIF('A-2 Site Habitat Creation'!$F$11:$F$256,'G-2 Habitat groups'!A132,'A-2 Site Habitat Creation'!$G$11:$G$256)</f>
        <v>0</v>
      </c>
      <c r="L132" s="494">
        <f>SUMIF('A-2 Site Habitat Creation'!$F$11:$F$256,'G-2 Habitat groups'!A132,'A-2 Site Habitat Creation'!$Y$11:$Y$256)</f>
        <v>0</v>
      </c>
      <c r="M132" s="494">
        <f>SUMIF('A-3 Site Habitat Enhancement'!$S$12:$S$257,'G-2 Habitat groups'!A132,'A-3 Site Habitat Enhancement'!$V$12:$V$257)</f>
        <v>0</v>
      </c>
      <c r="N132" s="494">
        <f>SUMIF('A-3 Site Habitat Enhancement'!$S$12:$S$257,'G-2 Habitat groups'!A132,'A-3 Site Habitat Enhancement'!$AN$12:$AN$257)</f>
        <v>0</v>
      </c>
      <c r="O132" s="494">
        <f t="shared" si="133"/>
        <v>0</v>
      </c>
      <c r="P132" s="494">
        <f t="shared" si="134"/>
        <v>0</v>
      </c>
      <c r="Q132" s="494">
        <f t="shared" si="135"/>
        <v>0</v>
      </c>
      <c r="R132" s="494">
        <f t="shared" si="136"/>
        <v>0</v>
      </c>
      <c r="S132" s="494">
        <f>IF(C132="V.High",SUMIF('D-1 Off Site Habitat Baseline'!$G$11:$G$258,'G-2 Habitat groups'!A132,'D-1 Off Site Habitat Baseline'!$S$11:$S$258)+SUMIF('D-1 Off Site Habitat Baseline'!$G$11:$G$258,'G-2 Habitat groups'!A132,'D-1 Off Site Habitat Baseline'!$T$11:$T$258),SUMIF('D-1 Off Site Habitat Baseline'!$G$11:$G$258,'G-2 Habitat groups'!A132,'D-1 Off Site Habitat Baseline'!$H$11:$H$258))</f>
        <v>0</v>
      </c>
      <c r="T132" s="494">
        <f>SUMIF('D-1 Off Site Habitat Baseline'!$G$11:$G$258,'G-2 Habitat groups'!A132,'D-1 Off Site Habitat Baseline'!$Q$11:$Q$258)</f>
        <v>0</v>
      </c>
      <c r="U132" s="591">
        <f>SUMIF('D-1 Off Site Habitat Baseline'!$G$11:$G$258,'G-2 Habitat groups'!A132,'D-1 Off Site Habitat Baseline'!$S$11:$S$258)</f>
        <v>0</v>
      </c>
      <c r="V132" s="494">
        <f>SUMIF('D-1 Off Site Habitat Baseline'!$G$11:$G$258,'G-2 Habitat groups'!A132,'D-1 Off Site Habitat Baseline'!$U$11:$U$258)</f>
        <v>0</v>
      </c>
      <c r="W132" s="494">
        <f>SUMIF('D-2 Off Site Habitat Creation'!$F$9:$F$255,'G-2 Habitat groups'!A132,'D-2 Off Site Habitat Creation'!$G$9:$G$255)</f>
        <v>0</v>
      </c>
      <c r="X132" s="494">
        <f>SUMIF('D-2 Off Site Habitat Creation'!$F$9:$F$255,'G-2 Habitat groups'!A132,'D-2 Off Site Habitat Creation'!$AA$9:$AA$255)</f>
        <v>0</v>
      </c>
      <c r="Y132" s="494">
        <f>SUMIF('D-3 Off Site Habitat Enhancment'!$S$12:$S$491,'G-2 Habitat groups'!A132,'D-3 Off Site Habitat Enhancment'!$V$12:$V$491)</f>
        <v>0</v>
      </c>
      <c r="Z132" s="494">
        <f>SUMIF('D-3 Off Site Habitat Enhancment'!$S$12:$S$491,'G-2 Habitat groups'!A132,'D-3 Off Site Habitat Enhancment'!$AP$12:$AP$491)</f>
        <v>0</v>
      </c>
      <c r="AA132" s="494">
        <f t="shared" ref="AA132:AA136" si="141">U132+W132+Y132</f>
        <v>0</v>
      </c>
      <c r="AB132" s="494">
        <f t="shared" ref="AB132:AB136" si="142">V132+X132+Z132</f>
        <v>0</v>
      </c>
      <c r="AC132" s="494">
        <f t="shared" si="137"/>
        <v>0</v>
      </c>
      <c r="AD132" s="494">
        <f t="shared" si="138"/>
        <v>0</v>
      </c>
      <c r="AE132" s="494">
        <f t="shared" si="139"/>
        <v>0</v>
      </c>
      <c r="AF132" s="494">
        <f t="shared" si="140"/>
        <v>0</v>
      </c>
      <c r="AU132" s="104" t="s">
        <v>636</v>
      </c>
      <c r="AV132" s="88" t="s">
        <v>74</v>
      </c>
      <c r="AW132" s="494">
        <f t="shared" si="132"/>
        <v>0</v>
      </c>
      <c r="AX132" s="494">
        <f t="shared" si="125"/>
        <v>0</v>
      </c>
      <c r="AY132" s="494">
        <f t="shared" si="126"/>
        <v>0</v>
      </c>
      <c r="AZ132" s="494">
        <f t="shared" si="127"/>
        <v>0</v>
      </c>
      <c r="BA132" s="494">
        <f t="shared" si="128"/>
        <v>0</v>
      </c>
      <c r="BB132" s="494">
        <f t="shared" si="129"/>
        <v>0</v>
      </c>
      <c r="BC132" s="494">
        <f t="shared" si="130"/>
        <v>0</v>
      </c>
      <c r="BD132" s="494">
        <f t="shared" si="131"/>
        <v>0</v>
      </c>
      <c r="BE132" s="494">
        <f t="shared" si="123"/>
        <v>0</v>
      </c>
      <c r="BF132" s="494" t="str">
        <f t="shared" si="124"/>
        <v/>
      </c>
    </row>
    <row r="133" spans="1:58" x14ac:dyDescent="0.25">
      <c r="A133" s="104">
        <f>'G-1 All Habitats'!B138</f>
        <v>0</v>
      </c>
      <c r="B133" s="88">
        <f>'G-1 All Habitats'!F132</f>
        <v>0</v>
      </c>
      <c r="C133" s="88">
        <f>'G-1 All Habitats'!K132</f>
        <v>0</v>
      </c>
      <c r="D133" s="88">
        <f>'G-1 All Habitats'!M132</f>
        <v>0</v>
      </c>
      <c r="E133" s="494">
        <f>IF(C133="V.High",SUMIF('A-1 Site Habitat Baseline'!$G$11:$G$258,'G-2 Habitat groups'!A133,'A-1 Site Habitat Baseline'!$S$11:$S$258)+SUMIF('A-1 Site Habitat Baseline'!$G$11:$G$258,'G-2 Habitat groups'!A133,'A-1 Site Habitat Baseline'!$T$11:$T$258),SUMIF('A-1 Site Habitat Baseline'!$G$11:$G$258,'G-2 Habitat groups'!A133,'A-1 Site Habitat Baseline'!$H$11:$H$258))</f>
        <v>0</v>
      </c>
      <c r="F133" s="494">
        <f>SUMIF('A-1 Site Habitat Baseline'!$G$11:$G$258,'G-2 Habitat groups'!A133,'A-1 Site Habitat Baseline'!$Q$11:$Q$258)</f>
        <v>0</v>
      </c>
      <c r="G133" s="494">
        <f>SUMIF('A-1 Site Habitat Baseline'!$G$11:$G$258,'G-2 Habitat groups'!A133,'A-1 Site Habitat Baseline'!$S$11:$S$258)</f>
        <v>0</v>
      </c>
      <c r="H133" s="494">
        <f>SUMIF('A-1 Site Habitat Baseline'!$G$11:$G$258,'G-2 Habitat groups'!A133,'A-1 Site Habitat Baseline'!$U$11:$U$258)</f>
        <v>0</v>
      </c>
      <c r="I133" s="494">
        <f>SUMIF('A-1 Site Habitat Baseline'!$G$11:$G$258,'G-2 Habitat groups'!A133,'A-1 Site Habitat Baseline'!$W$11:$W$258)</f>
        <v>0</v>
      </c>
      <c r="J133" s="494">
        <f>SUMIF('A-1 Site Habitat Baseline'!$G$11:$G$258,'G-2 Habitat groups'!A133,'A-1 Site Habitat Baseline'!$X$11:$X$258)</f>
        <v>0</v>
      </c>
      <c r="K133" s="494">
        <f>SUMIF('A-2 Site Habitat Creation'!$F$11:$F$256,'G-2 Habitat groups'!A133,'A-2 Site Habitat Creation'!$G$11:$G$256)</f>
        <v>0</v>
      </c>
      <c r="L133" s="494">
        <f>SUMIF('A-2 Site Habitat Creation'!$F$11:$F$256,'G-2 Habitat groups'!A133,'A-2 Site Habitat Creation'!$Y$11:$Y$256)</f>
        <v>0</v>
      </c>
      <c r="M133" s="494">
        <f>SUMIF('A-3 Site Habitat Enhancement'!$S$12:$S$257,'G-2 Habitat groups'!A133,'A-3 Site Habitat Enhancement'!$V$12:$V$257)</f>
        <v>0</v>
      </c>
      <c r="N133" s="494">
        <f>SUMIF('A-3 Site Habitat Enhancement'!$S$12:$S$257,'G-2 Habitat groups'!A133,'A-3 Site Habitat Enhancement'!$AN$12:$AN$257)</f>
        <v>0</v>
      </c>
      <c r="O133" s="494">
        <f t="shared" si="133"/>
        <v>0</v>
      </c>
      <c r="P133" s="494">
        <f t="shared" si="134"/>
        <v>0</v>
      </c>
      <c r="Q133" s="494">
        <f t="shared" si="135"/>
        <v>0</v>
      </c>
      <c r="R133" s="494">
        <f t="shared" si="136"/>
        <v>0</v>
      </c>
      <c r="S133" s="494">
        <f>IF(C133="V.High",SUMIF('D-1 Off Site Habitat Baseline'!$G$11:$G$258,'G-2 Habitat groups'!A133,'D-1 Off Site Habitat Baseline'!$S$11:$S$258)+SUMIF('D-1 Off Site Habitat Baseline'!$G$11:$G$258,'G-2 Habitat groups'!A133,'D-1 Off Site Habitat Baseline'!$T$11:$T$258),SUMIF('D-1 Off Site Habitat Baseline'!$G$11:$G$258,'G-2 Habitat groups'!A133,'D-1 Off Site Habitat Baseline'!$H$11:$H$258))</f>
        <v>0</v>
      </c>
      <c r="T133" s="494">
        <f>SUMIF('D-1 Off Site Habitat Baseline'!$G$11:$G$258,'G-2 Habitat groups'!A133,'D-1 Off Site Habitat Baseline'!$Q$11:$Q$258)</f>
        <v>0</v>
      </c>
      <c r="U133" s="591">
        <f>SUMIF('D-1 Off Site Habitat Baseline'!$G$11:$G$258,'G-2 Habitat groups'!A133,'D-1 Off Site Habitat Baseline'!$S$11:$S$258)</f>
        <v>0</v>
      </c>
      <c r="V133" s="494">
        <f>SUMIF('D-1 Off Site Habitat Baseline'!$G$11:$G$258,'G-2 Habitat groups'!A133,'D-1 Off Site Habitat Baseline'!$U$11:$U$258)</f>
        <v>0</v>
      </c>
      <c r="W133" s="494">
        <f>SUMIF('D-2 Off Site Habitat Creation'!$F$9:$F$255,'G-2 Habitat groups'!A133,'D-2 Off Site Habitat Creation'!$G$9:$G$255)</f>
        <v>0</v>
      </c>
      <c r="X133" s="494">
        <f>SUMIF('D-2 Off Site Habitat Creation'!$F$9:$F$255,'G-2 Habitat groups'!A133,'D-2 Off Site Habitat Creation'!$AA$9:$AA$255)</f>
        <v>0</v>
      </c>
      <c r="Y133" s="494">
        <f>SUMIF('D-3 Off Site Habitat Enhancment'!$S$12:$S$491,'G-2 Habitat groups'!A133,'D-3 Off Site Habitat Enhancment'!$V$12:$V$491)</f>
        <v>0</v>
      </c>
      <c r="Z133" s="494">
        <f>SUMIF('D-3 Off Site Habitat Enhancment'!$S$12:$S$491,'G-2 Habitat groups'!A133,'D-3 Off Site Habitat Enhancment'!$AP$12:$AP$491)</f>
        <v>0</v>
      </c>
      <c r="AA133" s="494">
        <f t="shared" si="141"/>
        <v>0</v>
      </c>
      <c r="AB133" s="494">
        <f t="shared" si="142"/>
        <v>0</v>
      </c>
      <c r="AC133" s="494">
        <f t="shared" si="137"/>
        <v>0</v>
      </c>
      <c r="AD133" s="494">
        <f t="shared" si="138"/>
        <v>0</v>
      </c>
      <c r="AE133" s="494">
        <f t="shared" si="139"/>
        <v>0</v>
      </c>
      <c r="AF133" s="494">
        <f t="shared" si="140"/>
        <v>0</v>
      </c>
      <c r="AU133" s="104" t="s">
        <v>639</v>
      </c>
      <c r="AV133" s="88" t="s">
        <v>74</v>
      </c>
      <c r="AW133" s="494">
        <f t="shared" si="132"/>
        <v>0</v>
      </c>
      <c r="AX133" s="494">
        <f t="shared" si="125"/>
        <v>0</v>
      </c>
      <c r="AY133" s="494">
        <f t="shared" si="126"/>
        <v>0</v>
      </c>
      <c r="AZ133" s="494">
        <f t="shared" si="127"/>
        <v>0</v>
      </c>
      <c r="BA133" s="494">
        <f t="shared" si="128"/>
        <v>0</v>
      </c>
      <c r="BB133" s="494">
        <f t="shared" si="129"/>
        <v>0</v>
      </c>
      <c r="BC133" s="494">
        <f t="shared" si="130"/>
        <v>0</v>
      </c>
      <c r="BD133" s="494">
        <f t="shared" si="131"/>
        <v>0</v>
      </c>
      <c r="BE133" s="494">
        <f t="shared" si="123"/>
        <v>0</v>
      </c>
      <c r="BF133" s="494" t="str">
        <f t="shared" si="124"/>
        <v/>
      </c>
    </row>
    <row r="134" spans="1:58" x14ac:dyDescent="0.25">
      <c r="A134" s="104">
        <f>'G-1 All Habitats'!B139</f>
        <v>0</v>
      </c>
      <c r="B134" s="88">
        <f>'G-1 All Habitats'!F133</f>
        <v>0</v>
      </c>
      <c r="C134" s="88">
        <f>'G-1 All Habitats'!K133</f>
        <v>0</v>
      </c>
      <c r="D134" s="88">
        <f>'G-1 All Habitats'!M133</f>
        <v>0</v>
      </c>
      <c r="E134" s="494">
        <f>IF(C134="V.High",SUMIF('A-1 Site Habitat Baseline'!$G$11:$G$258,'G-2 Habitat groups'!A134,'A-1 Site Habitat Baseline'!$S$11:$S$258)+SUMIF('A-1 Site Habitat Baseline'!$G$11:$G$258,'G-2 Habitat groups'!A134,'A-1 Site Habitat Baseline'!$T$11:$T$258),SUMIF('A-1 Site Habitat Baseline'!$G$11:$G$258,'G-2 Habitat groups'!A134,'A-1 Site Habitat Baseline'!$H$11:$H$258))</f>
        <v>0</v>
      </c>
      <c r="F134" s="494">
        <f>SUMIF('A-1 Site Habitat Baseline'!$G$11:$G$258,'G-2 Habitat groups'!A134,'A-1 Site Habitat Baseline'!$Q$11:$Q$258)</f>
        <v>0</v>
      </c>
      <c r="G134" s="494">
        <f>SUMIF('A-1 Site Habitat Baseline'!$G$11:$G$258,'G-2 Habitat groups'!A134,'A-1 Site Habitat Baseline'!$S$11:$S$258)</f>
        <v>0</v>
      </c>
      <c r="H134" s="494">
        <f>SUMIF('A-1 Site Habitat Baseline'!$G$11:$G$258,'G-2 Habitat groups'!A134,'A-1 Site Habitat Baseline'!$U$11:$U$258)</f>
        <v>0</v>
      </c>
      <c r="I134" s="494">
        <f>SUMIF('A-1 Site Habitat Baseline'!$G$11:$G$258,'G-2 Habitat groups'!A134,'A-1 Site Habitat Baseline'!$W$11:$W$258)</f>
        <v>0</v>
      </c>
      <c r="J134" s="494">
        <f>SUMIF('A-1 Site Habitat Baseline'!$G$11:$G$258,'G-2 Habitat groups'!A134,'A-1 Site Habitat Baseline'!$X$11:$X$258)</f>
        <v>0</v>
      </c>
      <c r="K134" s="494">
        <f>SUMIF('A-2 Site Habitat Creation'!$F$11:$F$256,'G-2 Habitat groups'!A134,'A-2 Site Habitat Creation'!$G$11:$G$256)</f>
        <v>0</v>
      </c>
      <c r="L134" s="494">
        <f>SUMIF('A-2 Site Habitat Creation'!$F$11:$F$256,'G-2 Habitat groups'!A134,'A-2 Site Habitat Creation'!$Y$11:$Y$256)</f>
        <v>0</v>
      </c>
      <c r="M134" s="494">
        <f>SUMIF('A-3 Site Habitat Enhancement'!$S$12:$S$257,'G-2 Habitat groups'!A134,'A-3 Site Habitat Enhancement'!$V$12:$V$257)</f>
        <v>0</v>
      </c>
      <c r="N134" s="494">
        <f>SUMIF('A-3 Site Habitat Enhancement'!$S$12:$S$257,'G-2 Habitat groups'!A134,'A-3 Site Habitat Enhancement'!$AN$12:$AN$257)</f>
        <v>0</v>
      </c>
      <c r="O134" s="494">
        <f t="shared" si="133"/>
        <v>0</v>
      </c>
      <c r="P134" s="494">
        <f t="shared" si="134"/>
        <v>0</v>
      </c>
      <c r="Q134" s="494">
        <f t="shared" si="135"/>
        <v>0</v>
      </c>
      <c r="R134" s="494">
        <f t="shared" si="136"/>
        <v>0</v>
      </c>
      <c r="S134" s="494">
        <f>IF(C134="V.High",SUMIF('D-1 Off Site Habitat Baseline'!$G$11:$G$258,'G-2 Habitat groups'!A134,'D-1 Off Site Habitat Baseline'!$S$11:$S$258)+SUMIF('D-1 Off Site Habitat Baseline'!$G$11:$G$258,'G-2 Habitat groups'!A134,'D-1 Off Site Habitat Baseline'!$T$11:$T$258),SUMIF('D-1 Off Site Habitat Baseline'!$G$11:$G$258,'G-2 Habitat groups'!A134,'D-1 Off Site Habitat Baseline'!$H$11:$H$258))</f>
        <v>0</v>
      </c>
      <c r="T134" s="494">
        <f>SUMIF('D-1 Off Site Habitat Baseline'!$G$11:$G$258,'G-2 Habitat groups'!A134,'D-1 Off Site Habitat Baseline'!$Q$11:$Q$258)</f>
        <v>0</v>
      </c>
      <c r="U134" s="591">
        <f>SUMIF('D-1 Off Site Habitat Baseline'!$G$11:$G$258,'G-2 Habitat groups'!A134,'D-1 Off Site Habitat Baseline'!$S$11:$S$258)</f>
        <v>0</v>
      </c>
      <c r="V134" s="494">
        <f>SUMIF('D-1 Off Site Habitat Baseline'!$G$11:$G$258,'G-2 Habitat groups'!A134,'D-1 Off Site Habitat Baseline'!$U$11:$U$258)</f>
        <v>0</v>
      </c>
      <c r="W134" s="494">
        <f>SUMIF('D-2 Off Site Habitat Creation'!$F$9:$F$255,'G-2 Habitat groups'!A134,'D-2 Off Site Habitat Creation'!$G$9:$G$255)</f>
        <v>0</v>
      </c>
      <c r="X134" s="494">
        <f>SUMIF('D-2 Off Site Habitat Creation'!$F$9:$F$255,'G-2 Habitat groups'!A134,'D-2 Off Site Habitat Creation'!$AA$9:$AA$255)</f>
        <v>0</v>
      </c>
      <c r="Y134" s="494">
        <f>SUMIF('D-3 Off Site Habitat Enhancment'!$S$12:$S$491,'G-2 Habitat groups'!A134,'D-3 Off Site Habitat Enhancment'!$V$12:$V$491)</f>
        <v>0</v>
      </c>
      <c r="Z134" s="494">
        <f>SUMIF('D-3 Off Site Habitat Enhancment'!$S$12:$S$491,'G-2 Habitat groups'!A134,'D-3 Off Site Habitat Enhancment'!$AP$12:$AP$491)</f>
        <v>0</v>
      </c>
      <c r="AA134" s="494">
        <f t="shared" si="141"/>
        <v>0</v>
      </c>
      <c r="AB134" s="494">
        <f t="shared" si="142"/>
        <v>0</v>
      </c>
      <c r="AC134" s="494">
        <f t="shared" si="137"/>
        <v>0</v>
      </c>
      <c r="AD134" s="494">
        <f t="shared" si="138"/>
        <v>0</v>
      </c>
      <c r="AE134" s="494">
        <f t="shared" si="139"/>
        <v>0</v>
      </c>
      <c r="AF134" s="494">
        <f t="shared" si="140"/>
        <v>0</v>
      </c>
      <c r="AU134" s="124" t="s">
        <v>686</v>
      </c>
      <c r="AV134" s="88" t="s">
        <v>76</v>
      </c>
      <c r="AW134" s="494">
        <f t="shared" si="132"/>
        <v>0</v>
      </c>
      <c r="AX134" s="494">
        <f t="shared" si="125"/>
        <v>0</v>
      </c>
      <c r="AY134" s="494">
        <f t="shared" si="126"/>
        <v>0</v>
      </c>
      <c r="AZ134" s="494">
        <f t="shared" si="127"/>
        <v>0</v>
      </c>
      <c r="BA134" s="494">
        <f t="shared" si="128"/>
        <v>0</v>
      </c>
      <c r="BB134" s="494">
        <f t="shared" si="129"/>
        <v>0</v>
      </c>
      <c r="BC134" s="494">
        <f t="shared" si="130"/>
        <v>0</v>
      </c>
      <c r="BD134" s="494">
        <f t="shared" si="131"/>
        <v>0</v>
      </c>
      <c r="BE134" s="494">
        <f t="shared" si="123"/>
        <v>0</v>
      </c>
      <c r="BF134" s="494" t="str">
        <f t="shared" si="124"/>
        <v/>
      </c>
    </row>
    <row r="135" spans="1:58" x14ac:dyDescent="0.25">
      <c r="A135" s="104">
        <f>'G-1 All Habitats'!B140</f>
        <v>0</v>
      </c>
      <c r="B135" s="88">
        <f>'G-1 All Habitats'!F134</f>
        <v>0</v>
      </c>
      <c r="C135" s="88">
        <f>'G-1 All Habitats'!K134</f>
        <v>0</v>
      </c>
      <c r="D135" s="88">
        <f>'G-1 All Habitats'!M134</f>
        <v>0</v>
      </c>
      <c r="E135" s="494">
        <f>IF(C135="V.High",SUMIF('A-1 Site Habitat Baseline'!$G$11:$G$258,'G-2 Habitat groups'!A135,'A-1 Site Habitat Baseline'!$S$11:$S$258)+SUMIF('A-1 Site Habitat Baseline'!$G$11:$G$258,'G-2 Habitat groups'!A135,'A-1 Site Habitat Baseline'!$T$11:$T$258),SUMIF('A-1 Site Habitat Baseline'!$G$11:$G$258,'G-2 Habitat groups'!A135,'A-1 Site Habitat Baseline'!$H$11:$H$258))</f>
        <v>0</v>
      </c>
      <c r="F135" s="494">
        <f>SUMIF('A-1 Site Habitat Baseline'!$G$11:$G$258,'G-2 Habitat groups'!A135,'A-1 Site Habitat Baseline'!$Q$11:$Q$258)</f>
        <v>0</v>
      </c>
      <c r="G135" s="494">
        <f>SUMIF('A-1 Site Habitat Baseline'!$G$11:$G$258,'G-2 Habitat groups'!A135,'A-1 Site Habitat Baseline'!$S$11:$S$258)</f>
        <v>0</v>
      </c>
      <c r="H135" s="494">
        <f>SUMIF('A-1 Site Habitat Baseline'!$G$11:$G$258,'G-2 Habitat groups'!A135,'A-1 Site Habitat Baseline'!$U$11:$U$258)</f>
        <v>0</v>
      </c>
      <c r="I135" s="494">
        <f>SUMIF('A-1 Site Habitat Baseline'!$G$11:$G$258,'G-2 Habitat groups'!A135,'A-1 Site Habitat Baseline'!$W$11:$W$258)</f>
        <v>0</v>
      </c>
      <c r="J135" s="494">
        <f>SUMIF('A-1 Site Habitat Baseline'!$G$11:$G$258,'G-2 Habitat groups'!A135,'A-1 Site Habitat Baseline'!$X$11:$X$258)</f>
        <v>0</v>
      </c>
      <c r="K135" s="494">
        <f>SUMIF('A-2 Site Habitat Creation'!$F$11:$F$256,'G-2 Habitat groups'!A135,'A-2 Site Habitat Creation'!$G$11:$G$256)</f>
        <v>0</v>
      </c>
      <c r="L135" s="494">
        <f>SUMIF('A-2 Site Habitat Creation'!$F$11:$F$256,'G-2 Habitat groups'!A135,'A-2 Site Habitat Creation'!$Y$11:$Y$256)</f>
        <v>0</v>
      </c>
      <c r="M135" s="494">
        <f>SUMIF('A-3 Site Habitat Enhancement'!$S$12:$S$257,'G-2 Habitat groups'!A135,'A-3 Site Habitat Enhancement'!$V$12:$V$257)</f>
        <v>0</v>
      </c>
      <c r="N135" s="494">
        <f>SUMIF('A-3 Site Habitat Enhancement'!$S$12:$S$257,'G-2 Habitat groups'!A135,'A-3 Site Habitat Enhancement'!$AN$12:$AN$257)</f>
        <v>0</v>
      </c>
      <c r="O135" s="494">
        <f t="shared" si="133"/>
        <v>0</v>
      </c>
      <c r="P135" s="494">
        <f t="shared" si="134"/>
        <v>0</v>
      </c>
      <c r="Q135" s="494">
        <f t="shared" si="135"/>
        <v>0</v>
      </c>
      <c r="R135" s="494">
        <f t="shared" si="136"/>
        <v>0</v>
      </c>
      <c r="S135" s="494">
        <f>IF(C135="V.High",SUMIF('D-1 Off Site Habitat Baseline'!$G$11:$G$258,'G-2 Habitat groups'!A135,'D-1 Off Site Habitat Baseline'!$S$11:$S$258)+SUMIF('D-1 Off Site Habitat Baseline'!$G$11:$G$258,'G-2 Habitat groups'!A135,'D-1 Off Site Habitat Baseline'!$T$11:$T$258),SUMIF('D-1 Off Site Habitat Baseline'!$G$11:$G$258,'G-2 Habitat groups'!A135,'D-1 Off Site Habitat Baseline'!$H$11:$H$258))</f>
        <v>0</v>
      </c>
      <c r="T135" s="494">
        <f>SUMIF('D-1 Off Site Habitat Baseline'!$G$11:$G$258,'G-2 Habitat groups'!A135,'D-1 Off Site Habitat Baseline'!$Q$11:$Q$258)</f>
        <v>0</v>
      </c>
      <c r="U135" s="591">
        <f>SUMIF('D-1 Off Site Habitat Baseline'!$G$11:$G$258,'G-2 Habitat groups'!A135,'D-1 Off Site Habitat Baseline'!$S$11:$S$258)</f>
        <v>0</v>
      </c>
      <c r="V135" s="494">
        <f>SUMIF('D-1 Off Site Habitat Baseline'!$G$11:$G$258,'G-2 Habitat groups'!A135,'D-1 Off Site Habitat Baseline'!$U$11:$U$258)</f>
        <v>0</v>
      </c>
      <c r="W135" s="494">
        <f>SUMIF('D-2 Off Site Habitat Creation'!$F$9:$F$255,'G-2 Habitat groups'!A135,'D-2 Off Site Habitat Creation'!$G$9:$G$255)</f>
        <v>0</v>
      </c>
      <c r="X135" s="494">
        <f>SUMIF('D-2 Off Site Habitat Creation'!$F$9:$F$255,'G-2 Habitat groups'!A135,'D-2 Off Site Habitat Creation'!$AA$9:$AA$255)</f>
        <v>0</v>
      </c>
      <c r="Y135" s="494">
        <f>SUMIF('D-3 Off Site Habitat Enhancment'!$S$12:$S$491,'G-2 Habitat groups'!A135,'D-3 Off Site Habitat Enhancment'!$V$12:$V$491)</f>
        <v>0</v>
      </c>
      <c r="Z135" s="494">
        <f>SUMIF('D-3 Off Site Habitat Enhancment'!$S$12:$S$491,'G-2 Habitat groups'!A135,'D-3 Off Site Habitat Enhancment'!$AP$12:$AP$491)</f>
        <v>0</v>
      </c>
      <c r="AA135" s="494">
        <f t="shared" si="141"/>
        <v>0</v>
      </c>
      <c r="AB135" s="494">
        <f t="shared" si="142"/>
        <v>0</v>
      </c>
      <c r="AC135" s="494">
        <f t="shared" si="137"/>
        <v>0</v>
      </c>
      <c r="AD135" s="494">
        <f t="shared" si="138"/>
        <v>0</v>
      </c>
      <c r="AE135" s="494">
        <f t="shared" si="139"/>
        <v>0</v>
      </c>
      <c r="AF135" s="494">
        <f t="shared" si="140"/>
        <v>0</v>
      </c>
      <c r="AU135" s="104" t="s">
        <v>752</v>
      </c>
      <c r="AV135" s="119" t="s">
        <v>78</v>
      </c>
      <c r="AW135" s="494">
        <f t="shared" si="132"/>
        <v>0</v>
      </c>
      <c r="AX135" s="494">
        <f t="shared" si="125"/>
        <v>0</v>
      </c>
      <c r="AY135" s="494">
        <f t="shared" si="126"/>
        <v>0</v>
      </c>
      <c r="AZ135" s="494">
        <f t="shared" si="127"/>
        <v>0</v>
      </c>
      <c r="BA135" s="494">
        <f t="shared" si="128"/>
        <v>0</v>
      </c>
      <c r="BB135" s="494">
        <f t="shared" si="129"/>
        <v>0</v>
      </c>
      <c r="BC135" s="494">
        <f t="shared" si="130"/>
        <v>0</v>
      </c>
      <c r="BD135" s="494">
        <f t="shared" si="131"/>
        <v>0</v>
      </c>
      <c r="BE135" s="494">
        <f t="shared" si="123"/>
        <v>0</v>
      </c>
      <c r="BF135" s="494" t="str">
        <f t="shared" si="124"/>
        <v/>
      </c>
    </row>
    <row r="136" spans="1:58" x14ac:dyDescent="0.25">
      <c r="A136" s="104">
        <f>'G-1 All Habitats'!B141</f>
        <v>0</v>
      </c>
      <c r="B136" s="88">
        <f>'G-1 All Habitats'!F135</f>
        <v>0</v>
      </c>
      <c r="C136" s="88">
        <f>'G-1 All Habitats'!K135</f>
        <v>0</v>
      </c>
      <c r="D136" s="88">
        <f>'G-1 All Habitats'!M135</f>
        <v>0</v>
      </c>
      <c r="E136" s="494">
        <f>IF(C136="V.High",SUMIF('A-1 Site Habitat Baseline'!$G$11:$G$258,'G-2 Habitat groups'!A136,'A-1 Site Habitat Baseline'!$S$11:$S$258)+SUMIF('A-1 Site Habitat Baseline'!$G$11:$G$258,'G-2 Habitat groups'!A136,'A-1 Site Habitat Baseline'!$T$11:$T$258),SUMIF('A-1 Site Habitat Baseline'!$G$11:$G$258,'G-2 Habitat groups'!A136,'A-1 Site Habitat Baseline'!$H$11:$H$258))</f>
        <v>0</v>
      </c>
      <c r="F136" s="494">
        <f>SUMIF('A-1 Site Habitat Baseline'!$G$11:$G$258,'G-2 Habitat groups'!A136,'A-1 Site Habitat Baseline'!$Q$11:$Q$258)</f>
        <v>0</v>
      </c>
      <c r="G136" s="494">
        <f>SUMIF('A-1 Site Habitat Baseline'!$G$11:$G$258,'G-2 Habitat groups'!A136,'A-1 Site Habitat Baseline'!$S$11:$S$258)</f>
        <v>0</v>
      </c>
      <c r="H136" s="494">
        <f>SUMIF('A-1 Site Habitat Baseline'!$G$11:$G$258,'G-2 Habitat groups'!A136,'A-1 Site Habitat Baseline'!$U$11:$U$258)</f>
        <v>0</v>
      </c>
      <c r="I136" s="494">
        <f>SUMIF('A-1 Site Habitat Baseline'!$G$11:$G$258,'G-2 Habitat groups'!A136,'A-1 Site Habitat Baseline'!$W$11:$W$258)</f>
        <v>0</v>
      </c>
      <c r="J136" s="494">
        <f>SUMIF('A-1 Site Habitat Baseline'!$G$11:$G$258,'G-2 Habitat groups'!A136,'A-1 Site Habitat Baseline'!$X$11:$X$258)</f>
        <v>0</v>
      </c>
      <c r="K136" s="494">
        <f>SUMIF('A-2 Site Habitat Creation'!$F$11:$F$256,'G-2 Habitat groups'!A136,'A-2 Site Habitat Creation'!$G$11:$G$256)</f>
        <v>0</v>
      </c>
      <c r="L136" s="494">
        <f>SUMIF('A-2 Site Habitat Creation'!$F$11:$F$256,'G-2 Habitat groups'!A136,'A-2 Site Habitat Creation'!$Y$11:$Y$256)</f>
        <v>0</v>
      </c>
      <c r="M136" s="494">
        <f>SUMIF('A-3 Site Habitat Enhancement'!$S$12:$S$257,'G-2 Habitat groups'!A136,'A-3 Site Habitat Enhancement'!$V$12:$V$257)</f>
        <v>0</v>
      </c>
      <c r="N136" s="494">
        <f>SUMIF('A-3 Site Habitat Enhancement'!$S$12:$S$257,'G-2 Habitat groups'!A136,'A-3 Site Habitat Enhancement'!$AN$12:$AN$257)</f>
        <v>0</v>
      </c>
      <c r="O136" s="494">
        <f t="shared" si="133"/>
        <v>0</v>
      </c>
      <c r="P136" s="494">
        <f t="shared" si="134"/>
        <v>0</v>
      </c>
      <c r="Q136" s="494">
        <f t="shared" si="135"/>
        <v>0</v>
      </c>
      <c r="R136" s="494">
        <f t="shared" si="136"/>
        <v>0</v>
      </c>
      <c r="S136" s="494">
        <f>IF(C136="V.High",SUMIF('D-1 Off Site Habitat Baseline'!$G$11:$G$258,'G-2 Habitat groups'!A136,'D-1 Off Site Habitat Baseline'!$S$11:$S$258)+SUMIF('D-1 Off Site Habitat Baseline'!$G$11:$G$258,'G-2 Habitat groups'!A136,'D-1 Off Site Habitat Baseline'!$T$11:$T$258),SUMIF('D-1 Off Site Habitat Baseline'!$G$11:$G$258,'G-2 Habitat groups'!A136,'D-1 Off Site Habitat Baseline'!$H$11:$H$258))</f>
        <v>0</v>
      </c>
      <c r="T136" s="494">
        <f>SUMIF('D-1 Off Site Habitat Baseline'!$G$11:$G$258,'G-2 Habitat groups'!A136,'D-1 Off Site Habitat Baseline'!$Q$11:$Q$258)</f>
        <v>0</v>
      </c>
      <c r="U136" s="591">
        <f>SUMIF('D-1 Off Site Habitat Baseline'!$G$11:$G$258,'G-2 Habitat groups'!A136,'D-1 Off Site Habitat Baseline'!$S$11:$S$258)</f>
        <v>0</v>
      </c>
      <c r="V136" s="494">
        <f>SUMIF('D-1 Off Site Habitat Baseline'!$G$11:$G$258,'G-2 Habitat groups'!A136,'D-1 Off Site Habitat Baseline'!$U$11:$U$258)</f>
        <v>0</v>
      </c>
      <c r="W136" s="494">
        <f>SUMIF('D-2 Off Site Habitat Creation'!$F$9:$F$255,'G-2 Habitat groups'!A136,'D-2 Off Site Habitat Creation'!$G$9:$G$255)</f>
        <v>0</v>
      </c>
      <c r="X136" s="494">
        <f>SUMIF('D-2 Off Site Habitat Creation'!$F$9:$F$255,'G-2 Habitat groups'!A136,'D-2 Off Site Habitat Creation'!$AA$9:$AA$255)</f>
        <v>0</v>
      </c>
      <c r="Y136" s="494">
        <f>SUMIF('D-3 Off Site Habitat Enhancment'!$S$12:$S$491,'G-2 Habitat groups'!A136,'D-3 Off Site Habitat Enhancment'!$V$12:$V$491)</f>
        <v>0</v>
      </c>
      <c r="Z136" s="494">
        <f>SUMIF('D-3 Off Site Habitat Enhancment'!$S$12:$S$491,'G-2 Habitat groups'!A136,'D-3 Off Site Habitat Enhancment'!$AP$12:$AP$491)</f>
        <v>0</v>
      </c>
      <c r="AA136" s="494">
        <f t="shared" si="141"/>
        <v>0</v>
      </c>
      <c r="AB136" s="494">
        <f t="shared" si="142"/>
        <v>0</v>
      </c>
      <c r="AC136" s="494">
        <f t="shared" si="137"/>
        <v>0</v>
      </c>
      <c r="AD136" s="494">
        <f t="shared" si="138"/>
        <v>0</v>
      </c>
      <c r="AE136" s="494">
        <f t="shared" si="139"/>
        <v>0</v>
      </c>
      <c r="AF136" s="494">
        <f t="shared" si="140"/>
        <v>0</v>
      </c>
      <c r="AU136" s="104" t="s">
        <v>782</v>
      </c>
      <c r="AV136" s="88" t="s">
        <v>77</v>
      </c>
      <c r="AW136" s="494">
        <f t="shared" si="132"/>
        <v>0</v>
      </c>
      <c r="AX136" s="494">
        <f t="shared" si="125"/>
        <v>0</v>
      </c>
      <c r="AY136" s="494">
        <f t="shared" si="126"/>
        <v>0</v>
      </c>
      <c r="AZ136" s="494">
        <f t="shared" si="127"/>
        <v>0</v>
      </c>
      <c r="BA136" s="494">
        <f t="shared" si="128"/>
        <v>0</v>
      </c>
      <c r="BB136" s="494">
        <f t="shared" si="129"/>
        <v>0</v>
      </c>
      <c r="BC136" s="494">
        <f t="shared" si="130"/>
        <v>0</v>
      </c>
      <c r="BD136" s="494">
        <f t="shared" si="131"/>
        <v>0</v>
      </c>
      <c r="BE136" s="494">
        <f t="shared" si="123"/>
        <v>0</v>
      </c>
      <c r="BF136" s="494" t="str">
        <f t="shared" si="124"/>
        <v/>
      </c>
    </row>
    <row r="137" spans="1:58" x14ac:dyDescent="0.25">
      <c r="AU137" s="104" t="s">
        <v>785</v>
      </c>
      <c r="AV137" s="88" t="s">
        <v>77</v>
      </c>
      <c r="AW137" s="494">
        <f t="shared" si="132"/>
        <v>0</v>
      </c>
      <c r="AX137" s="494">
        <f t="shared" si="125"/>
        <v>0</v>
      </c>
      <c r="AY137" s="494">
        <f t="shared" si="126"/>
        <v>0</v>
      </c>
      <c r="AZ137" s="494">
        <f t="shared" si="127"/>
        <v>0</v>
      </c>
      <c r="BA137" s="494">
        <f t="shared" si="128"/>
        <v>0</v>
      </c>
      <c r="BB137" s="494">
        <f t="shared" si="129"/>
        <v>0</v>
      </c>
      <c r="BC137" s="494">
        <f t="shared" si="130"/>
        <v>0</v>
      </c>
      <c r="BD137" s="494">
        <f t="shared" si="131"/>
        <v>0</v>
      </c>
      <c r="BE137" s="494">
        <f t="shared" si="123"/>
        <v>0</v>
      </c>
      <c r="BF137" s="494" t="str">
        <f t="shared" si="124"/>
        <v/>
      </c>
    </row>
    <row r="138" spans="1:58" x14ac:dyDescent="0.25">
      <c r="AU138" s="104" t="s">
        <v>788</v>
      </c>
      <c r="AV138" s="88" t="s">
        <v>77</v>
      </c>
      <c r="AW138" s="494">
        <f t="shared" si="132"/>
        <v>0</v>
      </c>
      <c r="AX138" s="494">
        <f t="shared" si="125"/>
        <v>0</v>
      </c>
      <c r="AY138" s="494">
        <f t="shared" si="126"/>
        <v>0</v>
      </c>
      <c r="AZ138" s="494">
        <f t="shared" si="127"/>
        <v>0</v>
      </c>
      <c r="BA138" s="494">
        <f t="shared" si="128"/>
        <v>0</v>
      </c>
      <c r="BB138" s="494">
        <f t="shared" si="129"/>
        <v>0</v>
      </c>
      <c r="BC138" s="494">
        <f t="shared" si="130"/>
        <v>0</v>
      </c>
      <c r="BD138" s="494">
        <f t="shared" si="131"/>
        <v>0</v>
      </c>
      <c r="BE138" s="494">
        <f t="shared" si="123"/>
        <v>0</v>
      </c>
      <c r="BF138" s="494" t="str">
        <f t="shared" si="124"/>
        <v/>
      </c>
    </row>
    <row r="139" spans="1:58" x14ac:dyDescent="0.25">
      <c r="AU139" s="104" t="s">
        <v>791</v>
      </c>
      <c r="AV139" s="88" t="s">
        <v>77</v>
      </c>
      <c r="AW139" s="494">
        <f t="shared" si="132"/>
        <v>0</v>
      </c>
      <c r="AX139" s="494">
        <f t="shared" si="125"/>
        <v>0</v>
      </c>
      <c r="AY139" s="494">
        <f t="shared" si="126"/>
        <v>0</v>
      </c>
      <c r="AZ139" s="494">
        <f t="shared" si="127"/>
        <v>0</v>
      </c>
      <c r="BA139" s="494">
        <f t="shared" si="128"/>
        <v>0</v>
      </c>
      <c r="BB139" s="494">
        <f t="shared" si="129"/>
        <v>0</v>
      </c>
      <c r="BC139" s="494">
        <f t="shared" si="130"/>
        <v>0</v>
      </c>
      <c r="BD139" s="494">
        <f t="shared" si="131"/>
        <v>0</v>
      </c>
      <c r="BE139" s="494">
        <f t="shared" si="123"/>
        <v>0</v>
      </c>
      <c r="BF139" s="494" t="str">
        <f t="shared" si="124"/>
        <v/>
      </c>
    </row>
    <row r="140" spans="1:58" x14ac:dyDescent="0.25">
      <c r="AU140" s="104" t="s">
        <v>794</v>
      </c>
      <c r="AV140" s="88" t="s">
        <v>77</v>
      </c>
      <c r="AW140" s="494">
        <f t="shared" si="132"/>
        <v>0</v>
      </c>
      <c r="AX140" s="494">
        <f t="shared" si="125"/>
        <v>0</v>
      </c>
      <c r="AY140" s="494">
        <f t="shared" si="126"/>
        <v>0</v>
      </c>
      <c r="AZ140" s="494">
        <f t="shared" si="127"/>
        <v>0</v>
      </c>
      <c r="BA140" s="494">
        <f t="shared" si="128"/>
        <v>0</v>
      </c>
      <c r="BB140" s="494">
        <f t="shared" si="129"/>
        <v>0</v>
      </c>
      <c r="BC140" s="494">
        <f t="shared" si="130"/>
        <v>0</v>
      </c>
      <c r="BD140" s="494">
        <f t="shared" si="131"/>
        <v>0</v>
      </c>
      <c r="BE140" s="494">
        <f t="shared" si="123"/>
        <v>0</v>
      </c>
      <c r="BF140" s="494" t="str">
        <f t="shared" si="124"/>
        <v/>
      </c>
    </row>
    <row r="141" spans="1:58" ht="28.2" x14ac:dyDescent="0.5">
      <c r="A141" s="326" t="s">
        <v>96</v>
      </c>
      <c r="AU141" s="104" t="s">
        <v>797</v>
      </c>
      <c r="AV141" s="88" t="s">
        <v>77</v>
      </c>
      <c r="AW141" s="494">
        <f t="shared" si="132"/>
        <v>0</v>
      </c>
      <c r="AX141" s="494">
        <f t="shared" si="125"/>
        <v>0</v>
      </c>
      <c r="AY141" s="494">
        <f t="shared" si="126"/>
        <v>0</v>
      </c>
      <c r="AZ141" s="494">
        <f t="shared" si="127"/>
        <v>0</v>
      </c>
      <c r="BA141" s="494">
        <f t="shared" si="128"/>
        <v>0</v>
      </c>
      <c r="BB141" s="494">
        <f t="shared" si="129"/>
        <v>0</v>
      </c>
      <c r="BC141" s="494">
        <f t="shared" si="130"/>
        <v>0</v>
      </c>
      <c r="BD141" s="494">
        <f t="shared" si="131"/>
        <v>0</v>
      </c>
      <c r="BE141" s="494">
        <f t="shared" si="123"/>
        <v>0</v>
      </c>
      <c r="BF141" s="494" t="str">
        <f t="shared" si="124"/>
        <v/>
      </c>
    </row>
    <row r="142" spans="1:58" x14ac:dyDescent="0.25">
      <c r="AU142" s="104" t="s">
        <v>800</v>
      </c>
      <c r="AV142" s="88" t="s">
        <v>77</v>
      </c>
      <c r="AW142" s="494">
        <f t="shared" si="132"/>
        <v>0</v>
      </c>
      <c r="AX142" s="494">
        <f t="shared" si="125"/>
        <v>0</v>
      </c>
      <c r="AY142" s="494">
        <f t="shared" si="126"/>
        <v>0</v>
      </c>
      <c r="AZ142" s="494">
        <f t="shared" si="127"/>
        <v>0</v>
      </c>
      <c r="BA142" s="494">
        <f t="shared" si="128"/>
        <v>0</v>
      </c>
      <c r="BB142" s="494">
        <f t="shared" si="129"/>
        <v>0</v>
      </c>
      <c r="BC142" s="494">
        <f t="shared" si="130"/>
        <v>0</v>
      </c>
      <c r="BD142" s="494">
        <f t="shared" si="131"/>
        <v>0</v>
      </c>
      <c r="BE142" s="494">
        <f t="shared" si="123"/>
        <v>0</v>
      </c>
      <c r="BF142" s="494" t="str">
        <f t="shared" si="124"/>
        <v/>
      </c>
    </row>
    <row r="143" spans="1:58" x14ac:dyDescent="0.25">
      <c r="AU143" s="130" t="s">
        <v>809</v>
      </c>
      <c r="AV143" s="119" t="s">
        <v>869</v>
      </c>
      <c r="AW143" s="494">
        <f t="shared" si="132"/>
        <v>0</v>
      </c>
      <c r="AX143" s="494">
        <f t="shared" si="125"/>
        <v>0</v>
      </c>
      <c r="AY143" s="494">
        <f t="shared" si="126"/>
        <v>0</v>
      </c>
      <c r="AZ143" s="494">
        <f t="shared" si="127"/>
        <v>0</v>
      </c>
      <c r="BA143" s="494">
        <f t="shared" si="128"/>
        <v>0</v>
      </c>
      <c r="BB143" s="494">
        <f t="shared" si="129"/>
        <v>0</v>
      </c>
      <c r="BC143" s="494">
        <f t="shared" si="130"/>
        <v>0</v>
      </c>
      <c r="BD143" s="494">
        <f t="shared" si="131"/>
        <v>0</v>
      </c>
      <c r="BE143" s="494">
        <f t="shared" si="123"/>
        <v>0</v>
      </c>
      <c r="BF143" s="494" t="str">
        <f t="shared" si="124"/>
        <v/>
      </c>
    </row>
    <row r="144" spans="1:58" ht="22.8" x14ac:dyDescent="0.4">
      <c r="A144" s="101">
        <v>1</v>
      </c>
      <c r="B144" s="101">
        <v>2</v>
      </c>
      <c r="C144" s="101">
        <v>3</v>
      </c>
      <c r="D144" s="101">
        <v>4</v>
      </c>
      <c r="E144" s="101">
        <v>5</v>
      </c>
      <c r="F144" s="101">
        <v>6</v>
      </c>
      <c r="G144" s="101">
        <v>7</v>
      </c>
      <c r="H144" s="101">
        <v>8</v>
      </c>
      <c r="I144" s="101">
        <v>9</v>
      </c>
      <c r="J144" s="101">
        <v>10</v>
      </c>
      <c r="K144" s="101">
        <v>11</v>
      </c>
      <c r="L144" s="101">
        <v>12</v>
      </c>
      <c r="M144" s="101">
        <v>13</v>
      </c>
      <c r="N144" s="101">
        <v>14</v>
      </c>
      <c r="O144" s="101">
        <v>15</v>
      </c>
      <c r="P144" s="101">
        <v>16</v>
      </c>
      <c r="Q144" s="101">
        <v>17</v>
      </c>
      <c r="R144" s="101">
        <v>18</v>
      </c>
      <c r="S144" s="101">
        <v>19</v>
      </c>
      <c r="T144" s="101">
        <v>20</v>
      </c>
      <c r="U144" s="101">
        <v>21</v>
      </c>
      <c r="V144" s="101">
        <v>22</v>
      </c>
      <c r="W144" s="101">
        <v>23</v>
      </c>
      <c r="X144" s="101">
        <v>24</v>
      </c>
      <c r="Y144" s="101">
        <v>25</v>
      </c>
      <c r="Z144" s="101">
        <v>26</v>
      </c>
      <c r="AA144" s="101">
        <v>27</v>
      </c>
      <c r="AB144" s="101">
        <v>28</v>
      </c>
      <c r="AC144" s="101">
        <v>29</v>
      </c>
      <c r="AD144" s="101">
        <v>30</v>
      </c>
      <c r="AE144" s="101">
        <v>31</v>
      </c>
      <c r="AF144" s="102">
        <v>32</v>
      </c>
      <c r="AU144" s="130" t="s">
        <v>812</v>
      </c>
      <c r="AV144" s="119" t="s">
        <v>869</v>
      </c>
      <c r="AW144" s="494">
        <f t="shared" si="132"/>
        <v>0</v>
      </c>
      <c r="AX144" s="494">
        <f t="shared" si="125"/>
        <v>0</v>
      </c>
      <c r="AY144" s="494">
        <f t="shared" si="126"/>
        <v>0</v>
      </c>
      <c r="AZ144" s="494">
        <f t="shared" si="127"/>
        <v>0</v>
      </c>
      <c r="BA144" s="494">
        <f t="shared" si="128"/>
        <v>0</v>
      </c>
      <c r="BB144" s="494">
        <f t="shared" si="129"/>
        <v>0</v>
      </c>
      <c r="BC144" s="494">
        <f t="shared" si="130"/>
        <v>0</v>
      </c>
      <c r="BD144" s="494">
        <f t="shared" si="131"/>
        <v>0</v>
      </c>
      <c r="BE144" s="494">
        <f t="shared" si="123"/>
        <v>0</v>
      </c>
      <c r="BF144" s="494" t="str">
        <f t="shared" si="124"/>
        <v/>
      </c>
    </row>
    <row r="145" spans="1:59" ht="55.2" x14ac:dyDescent="0.25">
      <c r="A145" s="103" t="s">
        <v>870</v>
      </c>
      <c r="B145" s="103" t="s">
        <v>160</v>
      </c>
      <c r="C145" s="103" t="s">
        <v>871</v>
      </c>
      <c r="D145" s="103" t="s">
        <v>821</v>
      </c>
      <c r="E145" s="103" t="s">
        <v>872</v>
      </c>
      <c r="F145" s="103" t="s">
        <v>823</v>
      </c>
      <c r="G145" s="103" t="s">
        <v>873</v>
      </c>
      <c r="H145" s="103" t="s">
        <v>874</v>
      </c>
      <c r="I145" s="103" t="s">
        <v>875</v>
      </c>
      <c r="J145" s="103" t="s">
        <v>827</v>
      </c>
      <c r="K145" s="103" t="s">
        <v>876</v>
      </c>
      <c r="L145" s="103" t="s">
        <v>829</v>
      </c>
      <c r="M145" s="103" t="s">
        <v>877</v>
      </c>
      <c r="N145" s="103" t="s">
        <v>831</v>
      </c>
      <c r="O145" s="103" t="s">
        <v>878</v>
      </c>
      <c r="P145" s="103" t="s">
        <v>879</v>
      </c>
      <c r="Q145" s="103" t="s">
        <v>880</v>
      </c>
      <c r="R145" s="103" t="s">
        <v>835</v>
      </c>
      <c r="S145" s="103" t="s">
        <v>881</v>
      </c>
      <c r="T145" s="103" t="s">
        <v>882</v>
      </c>
      <c r="U145" s="103" t="s">
        <v>883</v>
      </c>
      <c r="V145" s="103" t="s">
        <v>884</v>
      </c>
      <c r="W145" s="103" t="s">
        <v>885</v>
      </c>
      <c r="X145" s="103" t="s">
        <v>886</v>
      </c>
      <c r="Y145" s="103" t="s">
        <v>887</v>
      </c>
      <c r="Z145" s="103" t="s">
        <v>888</v>
      </c>
      <c r="AA145" s="103" t="s">
        <v>889</v>
      </c>
      <c r="AB145" s="103" t="s">
        <v>890</v>
      </c>
      <c r="AC145" s="103" t="s">
        <v>891</v>
      </c>
      <c r="AD145" s="103" t="s">
        <v>892</v>
      </c>
      <c r="AE145" s="103" t="s">
        <v>893</v>
      </c>
      <c r="AF145" s="103" t="s">
        <v>849</v>
      </c>
      <c r="AU145" s="327" t="s">
        <v>511</v>
      </c>
      <c r="AV145" s="328" t="s">
        <v>71</v>
      </c>
      <c r="AW145" s="592">
        <f t="shared" si="132"/>
        <v>0</v>
      </c>
      <c r="AX145" s="592">
        <f t="shared" si="125"/>
        <v>0</v>
      </c>
      <c r="AY145" s="592">
        <f t="shared" si="126"/>
        <v>0</v>
      </c>
      <c r="AZ145" s="592">
        <f t="shared" si="127"/>
        <v>0</v>
      </c>
      <c r="BA145" s="592">
        <f t="shared" si="128"/>
        <v>0</v>
      </c>
      <c r="BB145" s="592">
        <f t="shared" si="129"/>
        <v>0</v>
      </c>
      <c r="BC145" s="592">
        <f t="shared" si="130"/>
        <v>0</v>
      </c>
      <c r="BD145" s="592">
        <f t="shared" si="131"/>
        <v>0</v>
      </c>
      <c r="BE145" s="592">
        <f t="shared" si="123"/>
        <v>0</v>
      </c>
      <c r="BF145" s="592" t="str">
        <f t="shared" si="124"/>
        <v/>
      </c>
    </row>
    <row r="146" spans="1:59" x14ac:dyDescent="0.25">
      <c r="A146" s="104" t="str">
        <f>'G-6 Hedgerow Data'!B3</f>
        <v>Native Species Rich Hedgerow with trees - Associated with bank or ditch</v>
      </c>
      <c r="B146" s="88" t="s">
        <v>894</v>
      </c>
      <c r="C146" s="88" t="str">
        <f>'G-6 Hedgerow Data'!C3</f>
        <v>V.High</v>
      </c>
      <c r="D146" s="88" t="str">
        <f>'G-6 Hedgerow Data'!AH3</f>
        <v>Like for like</v>
      </c>
      <c r="E146" s="494">
        <f>SUMIF('B-1 Site Hedge Baseline'!$D$10:$D$257,'G-2 Habitat groups'!A146,'B-1 Site Hedge Baseline'!$E$10:$E$257)</f>
        <v>0</v>
      </c>
      <c r="F146" s="494">
        <f>SUMIF('B-1 Site Hedge Baseline'!$D$10:$D$257,'G-2 Habitat groups'!A146,'B-1 Site Hedge Baseline'!$N$10:$N$257)</f>
        <v>0</v>
      </c>
      <c r="G146" s="494">
        <f>SUMIF('B-1 Site Hedge Baseline'!$D$10:$D$257,'G-2 Habitat groups'!A146,'B-1 Site Hedge Baseline'!$P$10:$P$257)</f>
        <v>0</v>
      </c>
      <c r="H146" s="494">
        <f>SUMIF('B-1 Site Hedge Baseline'!$D$10:$D$257,'G-2 Habitat groups'!A146,'B-1 Site Hedge Baseline'!$R$10:$R$257)</f>
        <v>0</v>
      </c>
      <c r="I146" s="494">
        <f>SUMIF('B-1 Site Hedge Baseline'!$D$10:$D$257,'G-2 Habitat groups'!A146,'B-1 Site Hedge Baseline'!$T$10:$T$257)</f>
        <v>0</v>
      </c>
      <c r="J146" s="494">
        <f>SUMIF('B-1 Site Hedge Baseline'!$D$10:$D$257,'G-2 Habitat groups'!A146,'B-1 Site Hedge Baseline'!$U$10:$U$257)</f>
        <v>0</v>
      </c>
      <c r="K146" s="494">
        <f>SUMIF('B-2 Site Hedge Creation'!$D$12:$D$259,'G-2 Habitat groups'!A146,'B-2 Site Hedge Creation'!$E$12:$E$259)</f>
        <v>0</v>
      </c>
      <c r="L146" s="494">
        <f>SUMIF('B-2 Site Hedge Creation'!$D$12:$D$259,'G-2 Habitat groups'!A146,'B-2 Site Hedge Creation'!$W$12:$W$259)</f>
        <v>0</v>
      </c>
      <c r="M146" s="494">
        <f>SUMIF('B-3 Site Hedge Enhancement'!$M$12:$M$257,'G-2 Habitat groups'!A146,'B-3 Site Hedge Enhancement'!$P$12:$P$257)</f>
        <v>0</v>
      </c>
      <c r="N146" s="494">
        <f>SUMIF('B-3 Site Hedge Enhancement'!$M$12:$M$257,'G-2 Habitat groups'!A146,'B-3 Site Hedge Enhancement'!$AH$12:$AH$257)</f>
        <v>0</v>
      </c>
      <c r="O146" s="494">
        <f t="shared" ref="O146:O158" si="143">G146+K146+M146</f>
        <v>0</v>
      </c>
      <c r="P146" s="494">
        <f t="shared" ref="P146:P158" si="144">H146+L146+N146</f>
        <v>0</v>
      </c>
      <c r="Q146" s="494">
        <f t="shared" ref="Q146:Q158" si="145">O146-E146</f>
        <v>0</v>
      </c>
      <c r="R146" s="494">
        <f t="shared" ref="R146:R158" si="146">P146-F146</f>
        <v>0</v>
      </c>
      <c r="S146" s="494">
        <f>SUMIF('E-1 Off Site Hedge Baseline'!$D$10:$D$257,'G-2 Habitat groups'!A146,'E-1 Off Site Hedge Baseline'!$E$10:$E$257)</f>
        <v>0</v>
      </c>
      <c r="T146" s="494">
        <f>SUMIF('E-1 Off Site Hedge Baseline'!$D$10:$D$257,'G-2 Habitat groups'!A146,'E-1 Off Site Hedge Baseline'!$N$10:$N$257)</f>
        <v>0</v>
      </c>
      <c r="U146" s="494">
        <f>SUMIF('E-1 Off Site Hedge Baseline'!$D$10:$D$257,'G-2 Habitat groups'!A146,'E-1 Off Site Hedge Baseline'!$P$10:$P$257)</f>
        <v>0</v>
      </c>
      <c r="V146" s="494">
        <f>SUMIF('E-1 Off Site Hedge Baseline'!$D$10:$D$257,'G-2 Habitat groups'!A146,'E-1 Off Site Hedge Baseline'!$R$10:$R$257)</f>
        <v>0</v>
      </c>
      <c r="W146" s="494">
        <f>SUMIF('E-2 Off Site Hedge Creation'!$D$12:$D$259,'G-2 Habitat groups'!A146,'E-2 Off Site Hedge Creation'!$R$12:$R$259)</f>
        <v>0</v>
      </c>
      <c r="X146" s="494">
        <f>SUMIF('E-2 Off Site Hedge Creation'!$D$12:$D$259,'G-2 Habitat groups'!A146,'E-2 Off Site Hedge Creation'!$Y$12:$Y$259)</f>
        <v>0</v>
      </c>
      <c r="Y146" s="494">
        <f>SUMIF('E-3 Off Site Hedge Enhancement'!$M$12:$M$259,'G-2 Habitat groups'!A146,'E-3 Off Site Hedge Enhancement'!$P$12:$P$259)</f>
        <v>0</v>
      </c>
      <c r="Z146" s="494">
        <f>SUMIF('E-3 Off Site Hedge Enhancement'!$M$12:$M$259,'G-2 Habitat groups'!A146,'E-3 Off Site Hedge Enhancement'!$AJ$12:$AJ$259)</f>
        <v>0</v>
      </c>
      <c r="AA146" s="494">
        <f>U146+W146+Y146</f>
        <v>0</v>
      </c>
      <c r="AB146" s="494">
        <f>V146+X146+Z146</f>
        <v>0</v>
      </c>
      <c r="AC146" s="494">
        <f t="shared" ref="AC146:AC158" si="147">AA146-S146</f>
        <v>0</v>
      </c>
      <c r="AD146" s="494">
        <f t="shared" ref="AD146:AD158" si="148">AB146-T146</f>
        <v>0</v>
      </c>
      <c r="AE146" s="494">
        <f t="shared" ref="AE146:AE158" si="149">Q146+AC146</f>
        <v>0</v>
      </c>
      <c r="AF146" s="494">
        <f t="shared" ref="AF146:AF158" si="150">R146+AD146</f>
        <v>0</v>
      </c>
      <c r="AU146" s="327" t="s">
        <v>592</v>
      </c>
      <c r="AV146" s="328" t="s">
        <v>74</v>
      </c>
      <c r="AW146" s="592">
        <f t="shared" si="132"/>
        <v>0</v>
      </c>
      <c r="AX146" s="592">
        <f t="shared" si="125"/>
        <v>0</v>
      </c>
      <c r="AY146" s="592">
        <f t="shared" si="126"/>
        <v>0</v>
      </c>
      <c r="AZ146" s="592">
        <f t="shared" si="127"/>
        <v>0</v>
      </c>
      <c r="BA146" s="592">
        <f t="shared" si="128"/>
        <v>0</v>
      </c>
      <c r="BB146" s="592">
        <f t="shared" si="129"/>
        <v>0</v>
      </c>
      <c r="BC146" s="592">
        <f t="shared" si="130"/>
        <v>0</v>
      </c>
      <c r="BD146" s="592">
        <f t="shared" si="131"/>
        <v>0</v>
      </c>
      <c r="BE146" s="592">
        <f t="shared" si="123"/>
        <v>0</v>
      </c>
      <c r="BF146" s="592" t="str">
        <f t="shared" si="124"/>
        <v/>
      </c>
    </row>
    <row r="147" spans="1:59" x14ac:dyDescent="0.25">
      <c r="A147" s="104" t="str">
        <f>'G-6 Hedgerow Data'!B4</f>
        <v>Native Species Rich Hedgerow with trees</v>
      </c>
      <c r="B147" s="88" t="s">
        <v>894</v>
      </c>
      <c r="C147" s="88" t="str">
        <f>'G-6 Hedgerow Data'!C4</f>
        <v>High</v>
      </c>
      <c r="D147" s="88" t="str">
        <f>'G-6 Hedgerow Data'!AH4</f>
        <v>Like for like or better</v>
      </c>
      <c r="E147" s="494">
        <f>SUMIF('B-1 Site Hedge Baseline'!$D$10:$D$257,'G-2 Habitat groups'!A147,'B-1 Site Hedge Baseline'!$E$10:$E$257)</f>
        <v>0</v>
      </c>
      <c r="F147" s="494">
        <f>SUMIF('B-1 Site Hedge Baseline'!$D$10:$D$257,'G-2 Habitat groups'!A147,'B-1 Site Hedge Baseline'!$N$10:$N$257)</f>
        <v>0</v>
      </c>
      <c r="G147" s="494">
        <f>SUMIF('B-1 Site Hedge Baseline'!$D$10:$D$257,'G-2 Habitat groups'!A147,'B-1 Site Hedge Baseline'!$P$10:$P$257)</f>
        <v>0</v>
      </c>
      <c r="H147" s="494">
        <f>SUMIF('B-1 Site Hedge Baseline'!$D$10:$D$257,'G-2 Habitat groups'!A147,'B-1 Site Hedge Baseline'!$R$10:$R$257)</f>
        <v>0</v>
      </c>
      <c r="I147" s="494">
        <f>SUMIF('B-1 Site Hedge Baseline'!$D$10:$D$257,'G-2 Habitat groups'!A147,'B-1 Site Hedge Baseline'!$T$10:$T$257)</f>
        <v>0</v>
      </c>
      <c r="J147" s="494">
        <f>SUMIF('A-1 Site Habitat Baseline'!$G$11:$G$258,'G-2 Habitat groups'!A147,'A-1 Site Habitat Baseline'!$X$11:$X$258)</f>
        <v>0</v>
      </c>
      <c r="K147" s="494">
        <f>SUMIF('B-2 Site Hedge Creation'!$D$12:$D$259,'G-2 Habitat groups'!A147,'B-2 Site Hedge Creation'!$E$12:$E$259)</f>
        <v>0</v>
      </c>
      <c r="L147" s="494">
        <f>SUMIF('B-2 Site Hedge Creation'!$D$12:$D$259,'G-2 Habitat groups'!A147,'B-2 Site Hedge Creation'!$W$12:$W$259)</f>
        <v>0</v>
      </c>
      <c r="M147" s="494">
        <f>SUMIF('B-3 Site Hedge Enhancement'!$M$12:$M$257,'G-2 Habitat groups'!A147,'B-3 Site Hedge Enhancement'!$P$12:$P$257)</f>
        <v>0</v>
      </c>
      <c r="N147" s="494">
        <f>SUMIF('B-3 Site Hedge Enhancement'!$M$12:$M$257,'G-2 Habitat groups'!A147,'B-3 Site Hedge Enhancement'!$AH$12:$AH$257)</f>
        <v>0</v>
      </c>
      <c r="O147" s="494">
        <f t="shared" si="143"/>
        <v>0</v>
      </c>
      <c r="P147" s="494">
        <f t="shared" si="144"/>
        <v>0</v>
      </c>
      <c r="Q147" s="494">
        <f t="shared" si="145"/>
        <v>0</v>
      </c>
      <c r="R147" s="494">
        <f t="shared" si="146"/>
        <v>0</v>
      </c>
      <c r="S147" s="494">
        <f>SUMIF('E-1 Off Site Hedge Baseline'!$D$10:$D$257,'G-2 Habitat groups'!A147,'E-1 Off Site Hedge Baseline'!$E$10:$E$257)</f>
        <v>0</v>
      </c>
      <c r="T147" s="494">
        <f>SUMIF('E-1 Off Site Hedge Baseline'!$D$10:$D$257,'G-2 Habitat groups'!A147,'E-1 Off Site Hedge Baseline'!$N$10:$N$257)</f>
        <v>0</v>
      </c>
      <c r="U147" s="494">
        <f>SUMIF('E-1 Off Site Hedge Baseline'!$D$10:$D$257,'G-2 Habitat groups'!A147,'E-1 Off Site Hedge Baseline'!$P$10:$P$257)</f>
        <v>0</v>
      </c>
      <c r="V147" s="494">
        <f>SUMIF('E-1 Off Site Hedge Baseline'!$D$10:$D$257,'G-2 Habitat groups'!A147,'E-1 Off Site Hedge Baseline'!$R$10:$R$257)</f>
        <v>0</v>
      </c>
      <c r="W147" s="494">
        <f>SUMIF('E-2 Off Site Hedge Creation'!$D$12:$D$259,'G-2 Habitat groups'!A147,'E-2 Off Site Hedge Creation'!$R$12:$R$259)</f>
        <v>0</v>
      </c>
      <c r="X147" s="494">
        <f>SUMIF('E-2 Off Site Hedge Creation'!$D$12:$D$259,'G-2 Habitat groups'!A147,'E-2 Off Site Hedge Creation'!$Y$12:$Y$259)</f>
        <v>0</v>
      </c>
      <c r="Y147" s="494">
        <f>SUMIF('E-3 Off Site Hedge Enhancement'!$M$12:$M$259,'G-2 Habitat groups'!A147,'E-3 Off Site Hedge Enhancement'!$P$12:$P$259)</f>
        <v>0</v>
      </c>
      <c r="Z147" s="494">
        <f>SUMIF('E-3 Off Site Hedge Enhancement'!$M$12:$M$259,'G-2 Habitat groups'!A147,'E-3 Off Site Hedge Enhancement'!$AJ$12:$AJ$259)</f>
        <v>0</v>
      </c>
      <c r="AA147" s="494">
        <f t="shared" ref="AA147:AA158" si="151">U147+W147+Y147</f>
        <v>0</v>
      </c>
      <c r="AB147" s="494">
        <f t="shared" ref="AB147:AB158" si="152">V147+X147+Z147</f>
        <v>0</v>
      </c>
      <c r="AC147" s="494">
        <f t="shared" si="147"/>
        <v>0</v>
      </c>
      <c r="AD147" s="494">
        <f t="shared" si="148"/>
        <v>0</v>
      </c>
      <c r="AE147" s="494">
        <f t="shared" si="149"/>
        <v>0</v>
      </c>
      <c r="AF147" s="494">
        <f t="shared" si="150"/>
        <v>0</v>
      </c>
    </row>
    <row r="148" spans="1:59" x14ac:dyDescent="0.25">
      <c r="A148" s="104" t="str">
        <f>'G-6 Hedgerow Data'!B5</f>
        <v>Native Species Rich Hedgerow - Associated with bank or ditch</v>
      </c>
      <c r="B148" s="88" t="s">
        <v>894</v>
      </c>
      <c r="C148" s="88" t="str">
        <f>'G-6 Hedgerow Data'!C5</f>
        <v>High</v>
      </c>
      <c r="D148" s="88" t="str">
        <f>'G-6 Hedgerow Data'!AH5</f>
        <v>Like for like or better</v>
      </c>
      <c r="E148" s="494">
        <f>SUMIF('B-1 Site Hedge Baseline'!$D$10:$D$257,'G-2 Habitat groups'!A148,'B-1 Site Hedge Baseline'!$E$10:$E$257)</f>
        <v>0</v>
      </c>
      <c r="F148" s="494">
        <f>SUMIF('B-1 Site Hedge Baseline'!$D$10:$D$257,'G-2 Habitat groups'!A148,'B-1 Site Hedge Baseline'!$N$10:$N$257)</f>
        <v>0</v>
      </c>
      <c r="G148" s="494">
        <f>SUMIF('B-1 Site Hedge Baseline'!$D$10:$D$257,'G-2 Habitat groups'!A148,'B-1 Site Hedge Baseline'!$P$10:$P$257)</f>
        <v>0</v>
      </c>
      <c r="H148" s="494">
        <f>SUMIF('B-1 Site Hedge Baseline'!$D$10:$D$257,'G-2 Habitat groups'!A148,'B-1 Site Hedge Baseline'!$R$10:$R$257)</f>
        <v>0</v>
      </c>
      <c r="I148" s="494">
        <f>SUMIF('B-1 Site Hedge Baseline'!$D$10:$D$257,'G-2 Habitat groups'!A148,'B-1 Site Hedge Baseline'!$T$10:$T$257)</f>
        <v>0</v>
      </c>
      <c r="J148" s="494">
        <f>SUMIF('A-1 Site Habitat Baseline'!$G$11:$G$258,'G-2 Habitat groups'!A148,'A-1 Site Habitat Baseline'!$X$11:$X$258)</f>
        <v>0</v>
      </c>
      <c r="K148" s="494">
        <f>SUMIF('B-2 Site Hedge Creation'!$D$12:$D$259,'G-2 Habitat groups'!A148,'B-2 Site Hedge Creation'!$E$12:$E$259)</f>
        <v>0</v>
      </c>
      <c r="L148" s="494">
        <f>SUMIF('B-2 Site Hedge Creation'!$D$12:$D$259,'G-2 Habitat groups'!A148,'B-2 Site Hedge Creation'!$W$12:$W$259)</f>
        <v>0</v>
      </c>
      <c r="M148" s="494">
        <f>SUMIF('B-3 Site Hedge Enhancement'!$M$12:$M$257,'G-2 Habitat groups'!A148,'B-3 Site Hedge Enhancement'!$P$12:$P$257)</f>
        <v>0</v>
      </c>
      <c r="N148" s="494">
        <f>SUMIF('B-3 Site Hedge Enhancement'!$M$12:$M$257,'G-2 Habitat groups'!A148,'B-3 Site Hedge Enhancement'!$AH$12:$AH$257)</f>
        <v>0</v>
      </c>
      <c r="O148" s="494">
        <f t="shared" si="143"/>
        <v>0</v>
      </c>
      <c r="P148" s="494">
        <f t="shared" si="144"/>
        <v>0</v>
      </c>
      <c r="Q148" s="494">
        <f t="shared" si="145"/>
        <v>0</v>
      </c>
      <c r="R148" s="494">
        <f t="shared" si="146"/>
        <v>0</v>
      </c>
      <c r="S148" s="494">
        <f>SUMIF('E-1 Off Site Hedge Baseline'!$D$10:$D$257,'G-2 Habitat groups'!A148,'E-1 Off Site Hedge Baseline'!$E$10:$E$257)</f>
        <v>0</v>
      </c>
      <c r="T148" s="494">
        <f>SUMIF('E-1 Off Site Hedge Baseline'!$D$10:$D$257,'G-2 Habitat groups'!A148,'E-1 Off Site Hedge Baseline'!$N$10:$N$257)</f>
        <v>0</v>
      </c>
      <c r="U148" s="494">
        <f>SUMIF('E-1 Off Site Hedge Baseline'!$D$10:$D$257,'G-2 Habitat groups'!A148,'E-1 Off Site Hedge Baseline'!$P$10:$P$257)</f>
        <v>0</v>
      </c>
      <c r="V148" s="494">
        <f>SUMIF('E-1 Off Site Hedge Baseline'!$D$10:$D$257,'G-2 Habitat groups'!A148,'E-1 Off Site Hedge Baseline'!$R$10:$R$257)</f>
        <v>0</v>
      </c>
      <c r="W148" s="494">
        <f>SUMIF('E-2 Off Site Hedge Creation'!$D$12:$D$259,'G-2 Habitat groups'!A148,'E-2 Off Site Hedge Creation'!$R$12:$R$259)</f>
        <v>0</v>
      </c>
      <c r="X148" s="494">
        <f>SUMIF('E-2 Off Site Hedge Creation'!$D$12:$D$259,'G-2 Habitat groups'!A148,'E-2 Off Site Hedge Creation'!$Y$12:$Y$259)</f>
        <v>0</v>
      </c>
      <c r="Y148" s="494">
        <f>SUMIF('E-3 Off Site Hedge Enhancement'!$M$12:$M$259,'G-2 Habitat groups'!A148,'E-3 Off Site Hedge Enhancement'!$P$12:$P$259)</f>
        <v>0</v>
      </c>
      <c r="Z148" s="494">
        <f>SUMIF('E-3 Off Site Hedge Enhancement'!$M$12:$M$259,'G-2 Habitat groups'!A148,'E-3 Off Site Hedge Enhancement'!$AJ$12:$AJ$259)</f>
        <v>0</v>
      </c>
      <c r="AA148" s="494">
        <f t="shared" si="151"/>
        <v>0</v>
      </c>
      <c r="AB148" s="494">
        <f t="shared" si="152"/>
        <v>0</v>
      </c>
      <c r="AC148" s="494">
        <f t="shared" si="147"/>
        <v>0</v>
      </c>
      <c r="AD148" s="494">
        <f t="shared" si="148"/>
        <v>0</v>
      </c>
      <c r="AE148" s="494">
        <f t="shared" si="149"/>
        <v>0</v>
      </c>
      <c r="AF148" s="494">
        <f t="shared" si="150"/>
        <v>0</v>
      </c>
    </row>
    <row r="149" spans="1:59" x14ac:dyDescent="0.25">
      <c r="A149" s="104" t="str">
        <f>'G-6 Hedgerow Data'!B6</f>
        <v>Native Hedgerow with trees - Associated with bank or ditch</v>
      </c>
      <c r="B149" s="88" t="s">
        <v>894</v>
      </c>
      <c r="C149" s="88" t="str">
        <f>'G-6 Hedgerow Data'!C6</f>
        <v>High</v>
      </c>
      <c r="D149" s="88" t="str">
        <f>'G-6 Hedgerow Data'!AH6</f>
        <v>Like for like or better</v>
      </c>
      <c r="E149" s="494">
        <f>SUMIF('B-1 Site Hedge Baseline'!$D$10:$D$257,'G-2 Habitat groups'!A149,'B-1 Site Hedge Baseline'!$E$10:$E$257)</f>
        <v>0</v>
      </c>
      <c r="F149" s="494">
        <f>SUMIF('B-1 Site Hedge Baseline'!$D$10:$D$257,'G-2 Habitat groups'!A149,'B-1 Site Hedge Baseline'!$N$10:$N$257)</f>
        <v>0</v>
      </c>
      <c r="G149" s="494">
        <f>SUMIF('B-1 Site Hedge Baseline'!$D$10:$D$257,'G-2 Habitat groups'!A149,'B-1 Site Hedge Baseline'!$P$10:$P$257)</f>
        <v>0</v>
      </c>
      <c r="H149" s="494">
        <f>SUMIF('B-1 Site Hedge Baseline'!$D$10:$D$257,'G-2 Habitat groups'!A149,'B-1 Site Hedge Baseline'!$R$10:$R$257)</f>
        <v>0</v>
      </c>
      <c r="I149" s="494">
        <f>SUMIF('B-1 Site Hedge Baseline'!$D$10:$D$257,'G-2 Habitat groups'!A149,'B-1 Site Hedge Baseline'!$T$10:$T$257)</f>
        <v>0</v>
      </c>
      <c r="J149" s="494">
        <f>SUMIF('A-1 Site Habitat Baseline'!$G$11:$G$258,'G-2 Habitat groups'!A149,'A-1 Site Habitat Baseline'!$X$11:$X$258)</f>
        <v>0</v>
      </c>
      <c r="K149" s="494">
        <f>SUMIF('B-2 Site Hedge Creation'!$D$12:$D$259,'G-2 Habitat groups'!A149,'B-2 Site Hedge Creation'!$E$12:$E$259)</f>
        <v>0</v>
      </c>
      <c r="L149" s="494">
        <f>SUMIF('B-2 Site Hedge Creation'!$D$12:$D$259,'G-2 Habitat groups'!A149,'B-2 Site Hedge Creation'!$W$12:$W$259)</f>
        <v>0</v>
      </c>
      <c r="M149" s="494">
        <f>SUMIF('B-3 Site Hedge Enhancement'!$M$12:$M$257,'G-2 Habitat groups'!A149,'B-3 Site Hedge Enhancement'!$P$12:$P$257)</f>
        <v>0</v>
      </c>
      <c r="N149" s="494">
        <f>SUMIF('B-3 Site Hedge Enhancement'!$M$12:$M$257,'G-2 Habitat groups'!A149,'B-3 Site Hedge Enhancement'!$AH$12:$AH$257)</f>
        <v>0</v>
      </c>
      <c r="O149" s="494">
        <f t="shared" si="143"/>
        <v>0</v>
      </c>
      <c r="P149" s="494">
        <f t="shared" si="144"/>
        <v>0</v>
      </c>
      <c r="Q149" s="494">
        <f t="shared" si="145"/>
        <v>0</v>
      </c>
      <c r="R149" s="494">
        <f t="shared" si="146"/>
        <v>0</v>
      </c>
      <c r="S149" s="494">
        <f>SUMIF('E-1 Off Site Hedge Baseline'!$D$10:$D$257,'G-2 Habitat groups'!A149,'E-1 Off Site Hedge Baseline'!$E$10:$E$257)</f>
        <v>0</v>
      </c>
      <c r="T149" s="494">
        <f>SUMIF('E-1 Off Site Hedge Baseline'!$D$10:$D$257,'G-2 Habitat groups'!A149,'E-1 Off Site Hedge Baseline'!$N$10:$N$257)</f>
        <v>0</v>
      </c>
      <c r="U149" s="494">
        <f>SUMIF('E-1 Off Site Hedge Baseline'!$D$10:$D$257,'G-2 Habitat groups'!A149,'E-1 Off Site Hedge Baseline'!$P$10:$P$257)</f>
        <v>0</v>
      </c>
      <c r="V149" s="494">
        <f>SUMIF('E-1 Off Site Hedge Baseline'!$D$10:$D$257,'G-2 Habitat groups'!A149,'E-1 Off Site Hedge Baseline'!$R$10:$R$257)</f>
        <v>0</v>
      </c>
      <c r="W149" s="494">
        <f>SUMIF('E-2 Off Site Hedge Creation'!$D$12:$D$259,'G-2 Habitat groups'!A149,'E-2 Off Site Hedge Creation'!$R$12:$R$259)</f>
        <v>0</v>
      </c>
      <c r="X149" s="494">
        <f>SUMIF('E-2 Off Site Hedge Creation'!$D$12:$D$259,'G-2 Habitat groups'!A149,'E-2 Off Site Hedge Creation'!$Y$12:$Y$259)</f>
        <v>0</v>
      </c>
      <c r="Y149" s="494">
        <f>SUMIF('E-3 Off Site Hedge Enhancement'!$M$12:$M$259,'G-2 Habitat groups'!A149,'E-3 Off Site Hedge Enhancement'!$P$12:$P$259)</f>
        <v>0</v>
      </c>
      <c r="Z149" s="494">
        <f>SUMIF('E-3 Off Site Hedge Enhancement'!$M$12:$M$259,'G-2 Habitat groups'!A149,'E-3 Off Site Hedge Enhancement'!$AJ$12:$AJ$259)</f>
        <v>0</v>
      </c>
      <c r="AA149" s="494">
        <f t="shared" si="151"/>
        <v>0</v>
      </c>
      <c r="AB149" s="494">
        <f t="shared" si="152"/>
        <v>0</v>
      </c>
      <c r="AC149" s="494">
        <f t="shared" si="147"/>
        <v>0</v>
      </c>
      <c r="AD149" s="494">
        <f t="shared" si="148"/>
        <v>0</v>
      </c>
      <c r="AE149" s="494">
        <f t="shared" si="149"/>
        <v>0</v>
      </c>
      <c r="AF149" s="494">
        <f t="shared" si="150"/>
        <v>0</v>
      </c>
    </row>
    <row r="150" spans="1:59" ht="34.799999999999997" x14ac:dyDescent="0.55000000000000004">
      <c r="A150" s="327" t="str">
        <f>'G-6 Hedgerow Data'!B7</f>
        <v>Native Species Rich Hedgerow</v>
      </c>
      <c r="B150" s="328" t="s">
        <v>894</v>
      </c>
      <c r="C150" s="328" t="str">
        <f>'G-6 Hedgerow Data'!C7</f>
        <v>Medium</v>
      </c>
      <c r="D150" s="328" t="str">
        <f>'G-6 Hedgerow Data'!AH7</f>
        <v>Like for like or better</v>
      </c>
      <c r="E150" s="592">
        <f>SUMIF('B-1 Site Hedge Baseline'!$D$10:$D$257,'G-2 Habitat groups'!A150,'B-1 Site Hedge Baseline'!$E$10:$E$257)</f>
        <v>0</v>
      </c>
      <c r="F150" s="592">
        <f>SUMIF('B-1 Site Hedge Baseline'!$D$10:$D$257,'G-2 Habitat groups'!A150,'B-1 Site Hedge Baseline'!$N$10:$N$257)</f>
        <v>0</v>
      </c>
      <c r="G150" s="592">
        <f>SUMIF('B-1 Site Hedge Baseline'!$D$10:$D$257,'G-2 Habitat groups'!A150,'B-1 Site Hedge Baseline'!$P$10:$P$257)</f>
        <v>0</v>
      </c>
      <c r="H150" s="592">
        <f>SUMIF('B-1 Site Hedge Baseline'!$D$10:$D$257,'G-2 Habitat groups'!A150,'B-1 Site Hedge Baseline'!$R$10:$R$257)</f>
        <v>0</v>
      </c>
      <c r="I150" s="592">
        <f>SUMIF('B-1 Site Hedge Baseline'!$D$10:$D$257,'G-2 Habitat groups'!A150,'B-1 Site Hedge Baseline'!$T$10:$T$257)</f>
        <v>0</v>
      </c>
      <c r="J150" s="592">
        <f>SUMIF('A-1 Site Habitat Baseline'!$G$11:$G$258,'G-2 Habitat groups'!A150,'A-1 Site Habitat Baseline'!$X$11:$X$258)</f>
        <v>0</v>
      </c>
      <c r="K150" s="592">
        <f>SUMIF('B-2 Site Hedge Creation'!$D$12:$D$259,'G-2 Habitat groups'!A150,'B-2 Site Hedge Creation'!$E$12:$E$259)</f>
        <v>0.11899999999999999</v>
      </c>
      <c r="L150" s="592">
        <f>SUMIF('B-2 Site Hedge Creation'!$D$12:$D$259,'G-2 Habitat groups'!A150,'B-2 Site Hedge Creation'!$W$12:$W$259)</f>
        <v>0.91616006141687989</v>
      </c>
      <c r="M150" s="592">
        <f>SUMIF('B-3 Site Hedge Enhancement'!$M$12:$M$257,'G-2 Habitat groups'!A150,'B-3 Site Hedge Enhancement'!$P$12:$P$257)</f>
        <v>0</v>
      </c>
      <c r="N150" s="592">
        <f>SUMIF('B-3 Site Hedge Enhancement'!$M$12:$M$257,'G-2 Habitat groups'!A150,'B-3 Site Hedge Enhancement'!$AH$12:$AH$257)</f>
        <v>0</v>
      </c>
      <c r="O150" s="592">
        <f t="shared" si="143"/>
        <v>0.11899999999999999</v>
      </c>
      <c r="P150" s="592">
        <f t="shared" si="144"/>
        <v>0.91616006141687989</v>
      </c>
      <c r="Q150" s="592">
        <f t="shared" si="145"/>
        <v>0.11899999999999999</v>
      </c>
      <c r="R150" s="592">
        <f t="shared" si="146"/>
        <v>0.91616006141687989</v>
      </c>
      <c r="S150" s="592">
        <f>SUMIF('E-1 Off Site Hedge Baseline'!$D$10:$D$257,'G-2 Habitat groups'!A150,'E-1 Off Site Hedge Baseline'!$E$10:$E$257)</f>
        <v>0</v>
      </c>
      <c r="T150" s="494">
        <f>SUMIF('E-1 Off Site Hedge Baseline'!$D$10:$D$257,'G-2 Habitat groups'!A150,'E-1 Off Site Hedge Baseline'!$N$10:$N$257)</f>
        <v>0</v>
      </c>
      <c r="U150" s="494">
        <f>SUMIF('E-1 Off Site Hedge Baseline'!$D$10:$D$257,'G-2 Habitat groups'!A150,'E-1 Off Site Hedge Baseline'!$P$10:$P$257)</f>
        <v>0</v>
      </c>
      <c r="V150" s="494">
        <f>SUMIF('E-1 Off Site Hedge Baseline'!$D$10:$D$257,'G-2 Habitat groups'!A150,'E-1 Off Site Hedge Baseline'!$R$10:$R$257)</f>
        <v>0</v>
      </c>
      <c r="W150" s="494">
        <f>SUMIF('E-2 Off Site Hedge Creation'!$D$12:$D$259,'G-2 Habitat groups'!A150,'E-2 Off Site Hedge Creation'!$R$12:$R$259)</f>
        <v>0</v>
      </c>
      <c r="X150" s="494">
        <f>SUMIF('E-2 Off Site Hedge Creation'!$D$12:$D$259,'G-2 Habitat groups'!A150,'E-2 Off Site Hedge Creation'!$Y$12:$Y$259)</f>
        <v>0</v>
      </c>
      <c r="Y150" s="494">
        <f>SUMIF('E-3 Off Site Hedge Enhancement'!$M$12:$M$259,'G-2 Habitat groups'!A150,'E-3 Off Site Hedge Enhancement'!$P$12:$P$259)</f>
        <v>0</v>
      </c>
      <c r="Z150" s="494">
        <f>SUMIF('E-3 Off Site Hedge Enhancement'!$M$12:$M$259,'G-2 Habitat groups'!A150,'E-3 Off Site Hedge Enhancement'!$AJ$12:$AJ$259)</f>
        <v>0</v>
      </c>
      <c r="AA150" s="592">
        <f t="shared" si="151"/>
        <v>0</v>
      </c>
      <c r="AB150" s="592">
        <f t="shared" si="152"/>
        <v>0</v>
      </c>
      <c r="AC150" s="592">
        <f t="shared" si="147"/>
        <v>0</v>
      </c>
      <c r="AD150" s="592">
        <f t="shared" si="148"/>
        <v>0</v>
      </c>
      <c r="AE150" s="592">
        <f t="shared" si="149"/>
        <v>0.11899999999999999</v>
      </c>
      <c r="AF150" s="592">
        <f t="shared" si="150"/>
        <v>0.91616006141687989</v>
      </c>
      <c r="AU150" s="360" t="s">
        <v>895</v>
      </c>
      <c r="AV150" s="99"/>
      <c r="AW150" s="99"/>
      <c r="AX150" s="99"/>
      <c r="AY150" s="99"/>
      <c r="AZ150" s="99"/>
      <c r="BA150" s="99"/>
      <c r="BB150" s="99"/>
      <c r="BC150" s="99"/>
      <c r="BD150" s="99"/>
      <c r="BE150" s="99"/>
      <c r="BF150" s="99"/>
      <c r="BG150" s="121"/>
    </row>
    <row r="151" spans="1:59" ht="31.2" x14ac:dyDescent="0.3">
      <c r="A151" s="327" t="str">
        <f>'G-6 Hedgerow Data'!B8</f>
        <v>Native Hedgerow - Associated with bank or ditch</v>
      </c>
      <c r="B151" s="328" t="s">
        <v>894</v>
      </c>
      <c r="C151" s="328" t="str">
        <f>'G-6 Hedgerow Data'!C8</f>
        <v>Medium</v>
      </c>
      <c r="D151" s="328" t="str">
        <f>'G-6 Hedgerow Data'!AH8</f>
        <v>Like for like or better</v>
      </c>
      <c r="E151" s="592">
        <f>SUMIF('B-1 Site Hedge Baseline'!$D$10:$D$257,'G-2 Habitat groups'!A151,'B-1 Site Hedge Baseline'!$E$10:$E$257)</f>
        <v>0</v>
      </c>
      <c r="F151" s="592">
        <f>SUMIF('B-1 Site Hedge Baseline'!$D$10:$D$257,'G-2 Habitat groups'!A151,'B-1 Site Hedge Baseline'!$N$10:$N$257)</f>
        <v>0</v>
      </c>
      <c r="G151" s="592">
        <f>SUMIF('B-1 Site Hedge Baseline'!$D$10:$D$257,'G-2 Habitat groups'!A151,'B-1 Site Hedge Baseline'!$P$10:$P$257)</f>
        <v>0</v>
      </c>
      <c r="H151" s="592">
        <f>SUMIF('B-1 Site Hedge Baseline'!$D$10:$D$257,'G-2 Habitat groups'!A151,'B-1 Site Hedge Baseline'!$R$10:$R$257)</f>
        <v>0</v>
      </c>
      <c r="I151" s="592">
        <f>SUMIF('B-1 Site Hedge Baseline'!$D$10:$D$257,'G-2 Habitat groups'!A151,'B-1 Site Hedge Baseline'!$T$10:$T$257)</f>
        <v>0</v>
      </c>
      <c r="J151" s="592">
        <f>SUMIF('A-1 Site Habitat Baseline'!$G$11:$G$258,'G-2 Habitat groups'!A151,'A-1 Site Habitat Baseline'!$X$11:$X$258)</f>
        <v>0</v>
      </c>
      <c r="K151" s="592">
        <f>SUMIF('B-2 Site Hedge Creation'!$D$12:$D$259,'G-2 Habitat groups'!A151,'B-2 Site Hedge Creation'!$E$12:$E$259)</f>
        <v>0</v>
      </c>
      <c r="L151" s="592">
        <f>SUMIF('B-2 Site Hedge Creation'!$D$12:$D$259,'G-2 Habitat groups'!A151,'B-2 Site Hedge Creation'!$W$12:$W$259)</f>
        <v>0</v>
      </c>
      <c r="M151" s="592">
        <f>SUMIF('B-3 Site Hedge Enhancement'!$M$12:$M$257,'G-2 Habitat groups'!A151,'B-3 Site Hedge Enhancement'!$P$12:$P$257)</f>
        <v>0</v>
      </c>
      <c r="N151" s="592">
        <f>SUMIF('B-3 Site Hedge Enhancement'!$M$12:$M$257,'G-2 Habitat groups'!A151,'B-3 Site Hedge Enhancement'!$AH$12:$AH$257)</f>
        <v>0</v>
      </c>
      <c r="O151" s="592">
        <f t="shared" si="143"/>
        <v>0</v>
      </c>
      <c r="P151" s="592">
        <f t="shared" si="144"/>
        <v>0</v>
      </c>
      <c r="Q151" s="592">
        <f t="shared" si="145"/>
        <v>0</v>
      </c>
      <c r="R151" s="592">
        <f t="shared" si="146"/>
        <v>0</v>
      </c>
      <c r="S151" s="592">
        <f>SUMIF('E-1 Off Site Hedge Baseline'!$D$10:$D$257,'G-2 Habitat groups'!A151,'E-1 Off Site Hedge Baseline'!$E$10:$E$257)</f>
        <v>0</v>
      </c>
      <c r="T151" s="494">
        <f>SUMIF('E-1 Off Site Hedge Baseline'!$D$10:$D$257,'G-2 Habitat groups'!A151,'E-1 Off Site Hedge Baseline'!$N$10:$N$257)</f>
        <v>0</v>
      </c>
      <c r="U151" s="494">
        <f>SUMIF('E-1 Off Site Hedge Baseline'!$D$10:$D$257,'G-2 Habitat groups'!A151,'E-1 Off Site Hedge Baseline'!$P$10:$P$257)</f>
        <v>0</v>
      </c>
      <c r="V151" s="494">
        <f>SUMIF('E-1 Off Site Hedge Baseline'!$D$10:$D$257,'G-2 Habitat groups'!A151,'E-1 Off Site Hedge Baseline'!$R$10:$R$257)</f>
        <v>0</v>
      </c>
      <c r="W151" s="494">
        <f>SUMIF('E-2 Off Site Hedge Creation'!$D$12:$D$259,'G-2 Habitat groups'!A151,'E-2 Off Site Hedge Creation'!$R$12:$R$259)</f>
        <v>0</v>
      </c>
      <c r="X151" s="494">
        <f>SUMIF('E-2 Off Site Hedge Creation'!$D$12:$D$259,'G-2 Habitat groups'!A151,'E-2 Off Site Hedge Creation'!$Y$12:$Y$259)</f>
        <v>0</v>
      </c>
      <c r="Y151" s="494">
        <f>SUMIF('E-3 Off Site Hedge Enhancement'!$M$12:$M$259,'G-2 Habitat groups'!A151,'E-3 Off Site Hedge Enhancement'!$P$12:$P$259)</f>
        <v>0</v>
      </c>
      <c r="Z151" s="494">
        <f>SUMIF('E-3 Off Site Hedge Enhancement'!$M$12:$M$259,'G-2 Habitat groups'!A151,'E-3 Off Site Hedge Enhancement'!$AJ$12:$AJ$259)</f>
        <v>0</v>
      </c>
      <c r="AA151" s="592">
        <f t="shared" si="151"/>
        <v>0</v>
      </c>
      <c r="AB151" s="592">
        <f t="shared" si="152"/>
        <v>0</v>
      </c>
      <c r="AC151" s="592">
        <f t="shared" si="147"/>
        <v>0</v>
      </c>
      <c r="AD151" s="592">
        <f t="shared" si="148"/>
        <v>0</v>
      </c>
      <c r="AE151" s="592">
        <f t="shared" si="149"/>
        <v>0</v>
      </c>
      <c r="AF151" s="592">
        <f t="shared" si="150"/>
        <v>0</v>
      </c>
      <c r="AU151" s="88" t="s">
        <v>173</v>
      </c>
      <c r="AV151" s="88" t="s">
        <v>160</v>
      </c>
      <c r="AW151" s="120" t="s">
        <v>851</v>
      </c>
      <c r="AX151" s="120" t="s">
        <v>856</v>
      </c>
      <c r="AY151" s="120" t="s">
        <v>853</v>
      </c>
      <c r="AZ151" s="120" t="s">
        <v>854</v>
      </c>
      <c r="BA151" s="120" t="s">
        <v>855</v>
      </c>
      <c r="BB151" s="120" t="s">
        <v>161</v>
      </c>
      <c r="BC151" s="120" t="s">
        <v>857</v>
      </c>
      <c r="BD151" s="128" t="s">
        <v>858</v>
      </c>
      <c r="BE151" s="120" t="s">
        <v>859</v>
      </c>
      <c r="BF151" s="128" t="s">
        <v>868</v>
      </c>
    </row>
    <row r="152" spans="1:59" x14ac:dyDescent="0.25">
      <c r="A152" s="104" t="str">
        <f>'G-6 Hedgerow Data'!B9</f>
        <v>Native Hedgerow with trees</v>
      </c>
      <c r="B152" s="88" t="s">
        <v>894</v>
      </c>
      <c r="C152" s="88" t="str">
        <f>'G-6 Hedgerow Data'!C9</f>
        <v>Medium</v>
      </c>
      <c r="D152" s="88" t="str">
        <f>'G-6 Hedgerow Data'!AH9</f>
        <v>Like for like or better</v>
      </c>
      <c r="E152" s="494">
        <f>SUMIF('B-1 Site Hedge Baseline'!$D$10:$D$257,'G-2 Habitat groups'!A152,'B-1 Site Hedge Baseline'!$E$10:$E$257)</f>
        <v>0</v>
      </c>
      <c r="F152" s="494">
        <f>SUMIF('B-1 Site Hedge Baseline'!$D$10:$D$257,'G-2 Habitat groups'!A152,'B-1 Site Hedge Baseline'!$N$10:$N$257)</f>
        <v>0</v>
      </c>
      <c r="G152" s="494">
        <f>SUMIF('B-1 Site Hedge Baseline'!$D$10:$D$257,'G-2 Habitat groups'!A152,'B-1 Site Hedge Baseline'!$P$10:$P$257)</f>
        <v>0</v>
      </c>
      <c r="H152" s="494">
        <f>SUMIF('B-1 Site Hedge Baseline'!$D$10:$D$257,'G-2 Habitat groups'!A152,'B-1 Site Hedge Baseline'!$R$10:$R$257)</f>
        <v>0</v>
      </c>
      <c r="I152" s="494">
        <f>SUMIF('B-1 Site Hedge Baseline'!$D$10:$D$257,'G-2 Habitat groups'!A152,'B-1 Site Hedge Baseline'!$T$10:$T$257)</f>
        <v>0</v>
      </c>
      <c r="J152" s="494">
        <f>SUMIF('A-1 Site Habitat Baseline'!$G$11:$G$258,'G-2 Habitat groups'!A152,'A-1 Site Habitat Baseline'!$X$11:$X$258)</f>
        <v>0</v>
      </c>
      <c r="K152" s="494">
        <f>SUMIF('B-2 Site Hedge Creation'!$D$12:$D$259,'G-2 Habitat groups'!A152,'B-2 Site Hedge Creation'!$E$12:$E$259)</f>
        <v>0</v>
      </c>
      <c r="L152" s="494">
        <f>SUMIF('B-2 Site Hedge Creation'!$D$12:$D$259,'G-2 Habitat groups'!A152,'B-2 Site Hedge Creation'!$W$12:$W$259)</f>
        <v>0</v>
      </c>
      <c r="M152" s="494">
        <f>SUMIF('B-3 Site Hedge Enhancement'!$M$12:$M$257,'G-2 Habitat groups'!A152,'B-3 Site Hedge Enhancement'!$P$12:$P$257)</f>
        <v>0</v>
      </c>
      <c r="N152" s="494">
        <f>SUMIF('B-3 Site Hedge Enhancement'!$M$12:$M$257,'G-2 Habitat groups'!A152,'B-3 Site Hedge Enhancement'!$AH$12:$AH$257)</f>
        <v>0</v>
      </c>
      <c r="O152" s="494">
        <f t="shared" si="143"/>
        <v>0</v>
      </c>
      <c r="P152" s="494">
        <f t="shared" si="144"/>
        <v>0</v>
      </c>
      <c r="Q152" s="494">
        <f t="shared" si="145"/>
        <v>0</v>
      </c>
      <c r="R152" s="494">
        <f t="shared" si="146"/>
        <v>0</v>
      </c>
      <c r="S152" s="494">
        <f>SUMIF('E-1 Off Site Hedge Baseline'!$D$10:$D$257,'G-2 Habitat groups'!A152,'E-1 Off Site Hedge Baseline'!$E$10:$E$257)</f>
        <v>0</v>
      </c>
      <c r="T152" s="494">
        <f>SUMIF('E-1 Off Site Hedge Baseline'!$D$10:$D$257,'G-2 Habitat groups'!A152,'E-1 Off Site Hedge Baseline'!$N$10:$N$257)</f>
        <v>0</v>
      </c>
      <c r="U152" s="494">
        <f>SUMIF('E-1 Off Site Hedge Baseline'!$D$10:$D$257,'G-2 Habitat groups'!A152,'E-1 Off Site Hedge Baseline'!$P$10:$P$257)</f>
        <v>0</v>
      </c>
      <c r="V152" s="494">
        <f>SUMIF('E-1 Off Site Hedge Baseline'!$D$10:$D$257,'G-2 Habitat groups'!A152,'E-1 Off Site Hedge Baseline'!$R$10:$R$257)</f>
        <v>0</v>
      </c>
      <c r="W152" s="494">
        <f>SUMIF('E-2 Off Site Hedge Creation'!$D$12:$D$259,'G-2 Habitat groups'!A152,'E-2 Off Site Hedge Creation'!$R$12:$R$259)</f>
        <v>0</v>
      </c>
      <c r="X152" s="494">
        <f>SUMIF('E-2 Off Site Hedge Creation'!$D$12:$D$259,'G-2 Habitat groups'!A152,'E-2 Off Site Hedge Creation'!$Y$12:$Y$259)</f>
        <v>0</v>
      </c>
      <c r="Y152" s="494">
        <f>SUMIF('E-3 Off Site Hedge Enhancement'!$M$12:$M$259,'G-2 Habitat groups'!A152,'E-3 Off Site Hedge Enhancement'!$P$12:$P$259)</f>
        <v>0</v>
      </c>
      <c r="Z152" s="494">
        <f>SUMIF('E-3 Off Site Hedge Enhancement'!$M$12:$M$259,'G-2 Habitat groups'!A152,'E-3 Off Site Hedge Enhancement'!$AJ$12:$AJ$259)</f>
        <v>0</v>
      </c>
      <c r="AA152" s="494">
        <f t="shared" si="151"/>
        <v>0</v>
      </c>
      <c r="AB152" s="494">
        <f t="shared" si="152"/>
        <v>0</v>
      </c>
      <c r="AC152" s="494">
        <f t="shared" si="147"/>
        <v>0</v>
      </c>
      <c r="AD152" s="494">
        <f t="shared" si="148"/>
        <v>0</v>
      </c>
      <c r="AE152" s="494">
        <f t="shared" si="149"/>
        <v>0</v>
      </c>
      <c r="AF152" s="494">
        <f t="shared" si="150"/>
        <v>0</v>
      </c>
      <c r="AU152" s="104" t="s">
        <v>587</v>
      </c>
      <c r="AV152" s="88" t="s">
        <v>74</v>
      </c>
      <c r="AW152" s="494">
        <f>VLOOKUP($AU152,AllHabsSummaryData,5,FALSE)</f>
        <v>0</v>
      </c>
      <c r="AX152" s="494">
        <f>VLOOKUP($AU152,AllHabsSummaryData,10,FALSE)</f>
        <v>0</v>
      </c>
      <c r="AY152" s="494">
        <f>VLOOKUP($AU152,AllHabsSummaryData,15,FALSE)</f>
        <v>0</v>
      </c>
      <c r="AZ152" s="494">
        <f>VLOOKUP($AU152,AllHabsSummaryData,16,FALSE)</f>
        <v>0</v>
      </c>
      <c r="BA152" s="494">
        <f>VLOOKUP($AU152,AllHabsSummaryData,17,FALSE)</f>
        <v>0</v>
      </c>
      <c r="BB152" s="494">
        <f>VLOOKUP($AU152,AllHabsSummaryData,18,FALSE)</f>
        <v>0</v>
      </c>
      <c r="BC152" s="494">
        <f>VLOOKUP($AU152,AllHabsSummaryData,27,FALSE)</f>
        <v>0</v>
      </c>
      <c r="BD152" s="494">
        <f>VLOOKUP($AU152,AllHabsSummaryData,30,FALSE)</f>
        <v>0</v>
      </c>
      <c r="BE152" s="494">
        <f>BB152+BD152</f>
        <v>0</v>
      </c>
      <c r="BF152" s="494" t="str">
        <f>IF(BE152&lt;0,BE152,"")</f>
        <v/>
      </c>
    </row>
    <row r="153" spans="1:59" x14ac:dyDescent="0.25">
      <c r="A153" s="104" t="str">
        <f>'G-6 Hedgerow Data'!B10</f>
        <v>Line of Trees (Ecologically Valuable)</v>
      </c>
      <c r="B153" s="88" t="s">
        <v>894</v>
      </c>
      <c r="C153" s="88" t="str">
        <f>'G-6 Hedgerow Data'!C10</f>
        <v>Medium</v>
      </c>
      <c r="D153" s="88" t="str">
        <f>'G-6 Hedgerow Data'!AH10</f>
        <v>Like for like or better</v>
      </c>
      <c r="E153" s="494">
        <f>SUMIF('B-1 Site Hedge Baseline'!$D$10:$D$257,'G-2 Habitat groups'!A153,'B-1 Site Hedge Baseline'!$E$10:$E$257)</f>
        <v>0</v>
      </c>
      <c r="F153" s="494">
        <f>SUMIF('B-1 Site Hedge Baseline'!$D$10:$D$257,'G-2 Habitat groups'!A153,'B-1 Site Hedge Baseline'!$N$10:$N$257)</f>
        <v>0</v>
      </c>
      <c r="G153" s="494">
        <f>SUMIF('B-1 Site Hedge Baseline'!$D$10:$D$257,'G-2 Habitat groups'!A153,'B-1 Site Hedge Baseline'!$P$10:$P$257)</f>
        <v>0</v>
      </c>
      <c r="H153" s="494">
        <f>SUMIF('B-1 Site Hedge Baseline'!$D$10:$D$257,'G-2 Habitat groups'!A153,'B-1 Site Hedge Baseline'!$R$10:$R$257)</f>
        <v>0</v>
      </c>
      <c r="I153" s="494">
        <f>SUMIF('B-1 Site Hedge Baseline'!$D$10:$D$257,'G-2 Habitat groups'!A153,'B-1 Site Hedge Baseline'!$T$10:$T$257)</f>
        <v>0</v>
      </c>
      <c r="J153" s="494">
        <f>SUMIF('A-1 Site Habitat Baseline'!$G$11:$G$258,'G-2 Habitat groups'!A153,'A-1 Site Habitat Baseline'!$X$11:$X$258)</f>
        <v>0</v>
      </c>
      <c r="K153" s="494">
        <f>SUMIF('B-2 Site Hedge Creation'!$D$12:$D$259,'G-2 Habitat groups'!A153,'B-2 Site Hedge Creation'!$E$12:$E$259)</f>
        <v>0</v>
      </c>
      <c r="L153" s="494">
        <f>SUMIF('B-2 Site Hedge Creation'!$D$12:$D$259,'G-2 Habitat groups'!A153,'B-2 Site Hedge Creation'!$W$12:$W$259)</f>
        <v>0</v>
      </c>
      <c r="M153" s="494">
        <f>SUMIF('B-3 Site Hedge Enhancement'!$M$12:$M$257,'G-2 Habitat groups'!A153,'B-3 Site Hedge Enhancement'!$P$12:$P$257)</f>
        <v>0</v>
      </c>
      <c r="N153" s="494">
        <f>SUMIF('B-3 Site Hedge Enhancement'!$M$12:$M$257,'G-2 Habitat groups'!A153,'B-3 Site Hedge Enhancement'!$AH$12:$AH$257)</f>
        <v>0</v>
      </c>
      <c r="O153" s="494">
        <f t="shared" si="143"/>
        <v>0</v>
      </c>
      <c r="P153" s="494">
        <f t="shared" si="144"/>
        <v>0</v>
      </c>
      <c r="Q153" s="494">
        <f t="shared" si="145"/>
        <v>0</v>
      </c>
      <c r="R153" s="494">
        <f t="shared" si="146"/>
        <v>0</v>
      </c>
      <c r="S153" s="494">
        <f>SUMIF('E-1 Off Site Hedge Baseline'!$D$10:$D$257,'G-2 Habitat groups'!A153,'E-1 Off Site Hedge Baseline'!$E$10:$E$257)</f>
        <v>0</v>
      </c>
      <c r="T153" s="494">
        <f>SUMIF('E-1 Off Site Hedge Baseline'!$D$10:$D$257,'G-2 Habitat groups'!A153,'E-1 Off Site Hedge Baseline'!$N$10:$N$257)</f>
        <v>0</v>
      </c>
      <c r="U153" s="494">
        <f>SUMIF('E-1 Off Site Hedge Baseline'!$D$10:$D$257,'G-2 Habitat groups'!A153,'E-1 Off Site Hedge Baseline'!$P$10:$P$257)</f>
        <v>0</v>
      </c>
      <c r="V153" s="494">
        <f>SUMIF('E-1 Off Site Hedge Baseline'!$D$10:$D$257,'G-2 Habitat groups'!A153,'E-1 Off Site Hedge Baseline'!$R$10:$R$257)</f>
        <v>0</v>
      </c>
      <c r="W153" s="494">
        <f>SUMIF('E-2 Off Site Hedge Creation'!$D$12:$D$259,'G-2 Habitat groups'!A153,'E-2 Off Site Hedge Creation'!$R$12:$R$259)</f>
        <v>0</v>
      </c>
      <c r="X153" s="494">
        <f>SUMIF('E-2 Off Site Hedge Creation'!$D$12:$D$259,'G-2 Habitat groups'!A153,'E-2 Off Site Hedge Creation'!$Y$12:$Y$259)</f>
        <v>0</v>
      </c>
      <c r="Y153" s="494">
        <f>SUMIF('E-3 Off Site Hedge Enhancement'!$M$12:$M$259,'G-2 Habitat groups'!A153,'E-3 Off Site Hedge Enhancement'!$P$12:$P$259)</f>
        <v>0</v>
      </c>
      <c r="Z153" s="494">
        <f>SUMIF('E-3 Off Site Hedge Enhancement'!$M$12:$M$259,'G-2 Habitat groups'!A153,'E-3 Off Site Hedge Enhancement'!$AJ$12:$AJ$259)</f>
        <v>0</v>
      </c>
      <c r="AA153" s="494">
        <f t="shared" si="151"/>
        <v>0</v>
      </c>
      <c r="AB153" s="494">
        <f t="shared" si="152"/>
        <v>0</v>
      </c>
      <c r="AC153" s="494">
        <f t="shared" si="147"/>
        <v>0</v>
      </c>
      <c r="AD153" s="494">
        <f t="shared" si="148"/>
        <v>0</v>
      </c>
      <c r="AE153" s="494">
        <f t="shared" si="149"/>
        <v>0</v>
      </c>
      <c r="AF153" s="494">
        <f t="shared" si="150"/>
        <v>0</v>
      </c>
      <c r="AU153" s="104" t="s">
        <v>595</v>
      </c>
      <c r="AV153" s="88" t="s">
        <v>74</v>
      </c>
      <c r="AW153" s="494">
        <f>VLOOKUP($AU153,AllHabsSummaryData,5,FALSE)</f>
        <v>0</v>
      </c>
      <c r="AX153" s="494">
        <f>VLOOKUP($AU153,AllHabsSummaryData,10,FALSE)</f>
        <v>0</v>
      </c>
      <c r="AY153" s="494">
        <f>VLOOKUP($AU153,AllHabsSummaryData,15,FALSE)</f>
        <v>0</v>
      </c>
      <c r="AZ153" s="494">
        <f>VLOOKUP($AU153,AllHabsSummaryData,16,FALSE)</f>
        <v>0</v>
      </c>
      <c r="BA153" s="494">
        <f>VLOOKUP($AU153,AllHabsSummaryData,17,FALSE)</f>
        <v>0</v>
      </c>
      <c r="BB153" s="494">
        <f>VLOOKUP($AU153,AllHabsSummaryData,18,FALSE)</f>
        <v>0</v>
      </c>
      <c r="BC153" s="494">
        <f>VLOOKUP($AU153,AllHabsSummaryData,27,FALSE)</f>
        <v>0</v>
      </c>
      <c r="BD153" s="494">
        <f>VLOOKUP($AU153,AllHabsSummaryData,30,FALSE)</f>
        <v>0</v>
      </c>
      <c r="BE153" s="494">
        <f>BB153+BD153</f>
        <v>0</v>
      </c>
      <c r="BF153" s="494" t="str">
        <f>IF(BE153&lt;0,BE153,"")</f>
        <v/>
      </c>
    </row>
    <row r="154" spans="1:59" x14ac:dyDescent="0.25">
      <c r="A154" s="104" t="str">
        <f>'G-6 Hedgerow Data'!B11</f>
        <v>Line of Trees (Ecologically Valuable) - with Bank or Ditch</v>
      </c>
      <c r="B154" s="88" t="s">
        <v>894</v>
      </c>
      <c r="C154" s="88" t="str">
        <f>'G-6 Hedgerow Data'!C11</f>
        <v>Medium</v>
      </c>
      <c r="D154" s="88" t="str">
        <f>'G-6 Hedgerow Data'!AH11</f>
        <v>Like for like or better</v>
      </c>
      <c r="E154" s="494">
        <f>SUMIF('B-1 Site Hedge Baseline'!$D$10:$D$257,'G-2 Habitat groups'!A154,'B-1 Site Hedge Baseline'!$E$10:$E$257)</f>
        <v>0</v>
      </c>
      <c r="F154" s="494">
        <f>SUMIF('B-1 Site Hedge Baseline'!$D$10:$D$257,'G-2 Habitat groups'!A154,'B-1 Site Hedge Baseline'!$N$10:$N$257)</f>
        <v>0</v>
      </c>
      <c r="G154" s="494">
        <f>SUMIF('B-1 Site Hedge Baseline'!$D$10:$D$257,'G-2 Habitat groups'!A154,'B-1 Site Hedge Baseline'!$P$10:$P$257)</f>
        <v>0</v>
      </c>
      <c r="H154" s="494">
        <f>SUMIF('B-1 Site Hedge Baseline'!$D$10:$D$257,'G-2 Habitat groups'!A154,'B-1 Site Hedge Baseline'!$R$10:$R$257)</f>
        <v>0</v>
      </c>
      <c r="I154" s="494">
        <f>SUMIF('B-1 Site Hedge Baseline'!$D$10:$D$257,'G-2 Habitat groups'!A154,'B-1 Site Hedge Baseline'!$T$10:$T$257)</f>
        <v>0</v>
      </c>
      <c r="J154" s="494">
        <f>SUMIF('A-1 Site Habitat Baseline'!$G$11:$G$258,'G-2 Habitat groups'!A154,'A-1 Site Habitat Baseline'!$X$11:$X$258)</f>
        <v>0</v>
      </c>
      <c r="K154" s="494">
        <f>SUMIF('B-2 Site Hedge Creation'!$D$12:$D$259,'G-2 Habitat groups'!A154,'B-2 Site Hedge Creation'!$E$12:$E$259)</f>
        <v>0</v>
      </c>
      <c r="L154" s="494">
        <f>SUMIF('B-2 Site Hedge Creation'!$D$12:$D$259,'G-2 Habitat groups'!A154,'B-2 Site Hedge Creation'!$W$12:$W$259)</f>
        <v>0</v>
      </c>
      <c r="M154" s="494">
        <f>SUMIF('B-3 Site Hedge Enhancement'!$M$12:$M$257,'G-2 Habitat groups'!A154,'B-3 Site Hedge Enhancement'!$P$12:$P$257)</f>
        <v>0</v>
      </c>
      <c r="N154" s="494">
        <f>SUMIF('B-3 Site Hedge Enhancement'!$M$12:$M$257,'G-2 Habitat groups'!A154,'B-3 Site Hedge Enhancement'!$AH$12:$AH$257)</f>
        <v>0</v>
      </c>
      <c r="O154" s="494">
        <f t="shared" si="143"/>
        <v>0</v>
      </c>
      <c r="P154" s="494">
        <f t="shared" si="144"/>
        <v>0</v>
      </c>
      <c r="Q154" s="494">
        <f t="shared" si="145"/>
        <v>0</v>
      </c>
      <c r="R154" s="494">
        <f t="shared" si="146"/>
        <v>0</v>
      </c>
      <c r="S154" s="494">
        <f>SUMIF('E-1 Off Site Hedge Baseline'!$D$10:$D$257,'G-2 Habitat groups'!A154,'E-1 Off Site Hedge Baseline'!$E$10:$E$257)</f>
        <v>0</v>
      </c>
      <c r="T154" s="494">
        <f>SUMIF('E-1 Off Site Hedge Baseline'!$D$10:$D$257,'G-2 Habitat groups'!A154,'E-1 Off Site Hedge Baseline'!$N$10:$N$257)</f>
        <v>0</v>
      </c>
      <c r="U154" s="494">
        <f>SUMIF('E-1 Off Site Hedge Baseline'!$D$10:$D$257,'G-2 Habitat groups'!A154,'E-1 Off Site Hedge Baseline'!$P$10:$P$257)</f>
        <v>0</v>
      </c>
      <c r="V154" s="494">
        <f>SUMIF('E-1 Off Site Hedge Baseline'!$D$10:$D$257,'G-2 Habitat groups'!A154,'E-1 Off Site Hedge Baseline'!$R$10:$R$257)</f>
        <v>0</v>
      </c>
      <c r="W154" s="494">
        <f>SUMIF('E-2 Off Site Hedge Creation'!$D$12:$D$259,'G-2 Habitat groups'!A154,'E-2 Off Site Hedge Creation'!$R$12:$R$259)</f>
        <v>0</v>
      </c>
      <c r="X154" s="494">
        <f>SUMIF('E-2 Off Site Hedge Creation'!$D$12:$D$259,'G-2 Habitat groups'!A154,'E-2 Off Site Hedge Creation'!$Y$12:$Y$259)</f>
        <v>0</v>
      </c>
      <c r="Y154" s="494">
        <f>SUMIF('E-3 Off Site Hedge Enhancement'!$M$12:$M$259,'G-2 Habitat groups'!A154,'E-3 Off Site Hedge Enhancement'!$P$12:$P$259)</f>
        <v>0</v>
      </c>
      <c r="Z154" s="494">
        <f>SUMIF('E-3 Off Site Hedge Enhancement'!$M$12:$M$259,'G-2 Habitat groups'!A154,'E-3 Off Site Hedge Enhancement'!$AJ$12:$AJ$259)</f>
        <v>0</v>
      </c>
      <c r="AA154" s="494">
        <f t="shared" si="151"/>
        <v>0</v>
      </c>
      <c r="AB154" s="494">
        <f t="shared" si="152"/>
        <v>0</v>
      </c>
      <c r="AC154" s="494">
        <f t="shared" si="147"/>
        <v>0</v>
      </c>
      <c r="AD154" s="494">
        <f t="shared" si="148"/>
        <v>0</v>
      </c>
      <c r="AE154" s="494">
        <f t="shared" si="149"/>
        <v>0</v>
      </c>
      <c r="AF154" s="494">
        <f t="shared" si="150"/>
        <v>0</v>
      </c>
      <c r="AU154" s="104" t="s">
        <v>600</v>
      </c>
      <c r="AV154" s="88" t="s">
        <v>74</v>
      </c>
      <c r="AW154" s="494">
        <f>VLOOKUP($AU154,AllHabsSummaryData,5,FALSE)</f>
        <v>0.70850000000000002</v>
      </c>
      <c r="AX154" s="494">
        <f>VLOOKUP($AU154,AllHabsSummaryData,10,FALSE)</f>
        <v>0</v>
      </c>
      <c r="AY154" s="494">
        <f>VLOOKUP($AU154,AllHabsSummaryData,15,FALSE)</f>
        <v>0.76100000000000001</v>
      </c>
      <c r="AZ154" s="494">
        <f>VLOOKUP($AU154,AllHabsSummaryData,16,FALSE)</f>
        <v>0</v>
      </c>
      <c r="BA154" s="494">
        <f>VLOOKUP($AU154,AllHabsSummaryData,17,FALSE)</f>
        <v>5.2499999999999991E-2</v>
      </c>
      <c r="BB154" s="494">
        <f>VLOOKUP($AU154,AllHabsSummaryData,18,FALSE)</f>
        <v>0</v>
      </c>
      <c r="BC154" s="494">
        <f>VLOOKUP($AU154,AllHabsSummaryData,27,FALSE)</f>
        <v>0</v>
      </c>
      <c r="BD154" s="494">
        <f>VLOOKUP($AU154,AllHabsSummaryData,30,FALSE)</f>
        <v>0</v>
      </c>
      <c r="BE154" s="494">
        <f>BB154+BD154</f>
        <v>0</v>
      </c>
      <c r="BF154" s="494" t="str">
        <f>IF(BE154&lt;0,BE154,"")</f>
        <v/>
      </c>
    </row>
    <row r="155" spans="1:59" x14ac:dyDescent="0.25">
      <c r="A155" s="104" t="str">
        <f>'G-6 Hedgerow Data'!B12</f>
        <v>Native Hedgerow</v>
      </c>
      <c r="B155" s="88" t="s">
        <v>894</v>
      </c>
      <c r="C155" s="88" t="str">
        <f>'G-6 Hedgerow Data'!C12</f>
        <v>Low</v>
      </c>
      <c r="D155" s="88" t="str">
        <f>'G-6 Hedgerow Data'!AH12</f>
        <v>Same distinctiveness band or better</v>
      </c>
      <c r="E155" s="494">
        <f>SUMIF('B-1 Site Hedge Baseline'!$D$10:$D$257,'G-2 Habitat groups'!A155,'B-1 Site Hedge Baseline'!$E$10:$E$257)</f>
        <v>0</v>
      </c>
      <c r="F155" s="494">
        <f>SUMIF('B-1 Site Hedge Baseline'!$D$10:$D$257,'G-2 Habitat groups'!A155,'B-1 Site Hedge Baseline'!$N$10:$N$257)</f>
        <v>0</v>
      </c>
      <c r="G155" s="494">
        <f>SUMIF('B-1 Site Hedge Baseline'!$D$10:$D$257,'G-2 Habitat groups'!A155,'B-1 Site Hedge Baseline'!$P$10:$P$257)</f>
        <v>0</v>
      </c>
      <c r="H155" s="494">
        <f>SUMIF('B-1 Site Hedge Baseline'!$D$10:$D$257,'G-2 Habitat groups'!A155,'B-1 Site Hedge Baseline'!$R$10:$R$257)</f>
        <v>0</v>
      </c>
      <c r="I155" s="494">
        <f>SUMIF('B-1 Site Hedge Baseline'!$D$10:$D$257,'G-2 Habitat groups'!A155,'B-1 Site Hedge Baseline'!$T$10:$T$257)</f>
        <v>0</v>
      </c>
      <c r="J155" s="494">
        <f>SUMIF('A-1 Site Habitat Baseline'!$G$11:$G$258,'G-2 Habitat groups'!A155,'A-1 Site Habitat Baseline'!$X$11:$X$258)</f>
        <v>0</v>
      </c>
      <c r="K155" s="494">
        <f>SUMIF('B-2 Site Hedge Creation'!$D$12:$D$259,'G-2 Habitat groups'!A155,'B-2 Site Hedge Creation'!$E$12:$E$259)</f>
        <v>0</v>
      </c>
      <c r="L155" s="494">
        <f>SUMIF('B-2 Site Hedge Creation'!$D$12:$D$259,'G-2 Habitat groups'!A155,'B-2 Site Hedge Creation'!$W$12:$W$259)</f>
        <v>0</v>
      </c>
      <c r="M155" s="494">
        <f>SUMIF('B-3 Site Hedge Enhancement'!$M$12:$M$257,'G-2 Habitat groups'!A155,'B-3 Site Hedge Enhancement'!$P$12:$P$257)</f>
        <v>0</v>
      </c>
      <c r="N155" s="494">
        <f>SUMIF('B-3 Site Hedge Enhancement'!$M$12:$M$257,'G-2 Habitat groups'!A155,'B-3 Site Hedge Enhancement'!$AH$12:$AH$257)</f>
        <v>0</v>
      </c>
      <c r="O155" s="494">
        <f t="shared" si="143"/>
        <v>0</v>
      </c>
      <c r="P155" s="494">
        <f t="shared" si="144"/>
        <v>0</v>
      </c>
      <c r="Q155" s="494">
        <f t="shared" si="145"/>
        <v>0</v>
      </c>
      <c r="R155" s="494">
        <f t="shared" si="146"/>
        <v>0</v>
      </c>
      <c r="S155" s="494">
        <f>SUMIF('E-1 Off Site Hedge Baseline'!$D$10:$D$257,'G-2 Habitat groups'!A155,'E-1 Off Site Hedge Baseline'!$E$10:$E$257)</f>
        <v>0</v>
      </c>
      <c r="T155" s="494">
        <f>SUMIF('E-1 Off Site Hedge Baseline'!$D$10:$D$257,'G-2 Habitat groups'!A155,'E-1 Off Site Hedge Baseline'!$N$10:$N$257)</f>
        <v>0</v>
      </c>
      <c r="U155" s="494">
        <f>SUMIF('E-1 Off Site Hedge Baseline'!$D$10:$D$257,'G-2 Habitat groups'!A155,'E-1 Off Site Hedge Baseline'!$P$10:$P$257)</f>
        <v>0</v>
      </c>
      <c r="V155" s="494">
        <f>SUMIF('E-1 Off Site Hedge Baseline'!$D$10:$D$257,'G-2 Habitat groups'!A155,'E-1 Off Site Hedge Baseline'!$R$10:$R$257)</f>
        <v>0</v>
      </c>
      <c r="W155" s="494">
        <f>SUMIF('E-2 Off Site Hedge Creation'!$D$12:$D$259,'G-2 Habitat groups'!A155,'E-2 Off Site Hedge Creation'!$R$12:$R$259)</f>
        <v>0</v>
      </c>
      <c r="X155" s="494">
        <f>SUMIF('E-2 Off Site Hedge Creation'!$D$12:$D$259,'G-2 Habitat groups'!A155,'E-2 Off Site Hedge Creation'!$Y$12:$Y$259)</f>
        <v>0</v>
      </c>
      <c r="Y155" s="494">
        <f>SUMIF('E-3 Off Site Hedge Enhancement'!$M$12:$M$259,'G-2 Habitat groups'!A155,'E-3 Off Site Hedge Enhancement'!$P$12:$P$259)</f>
        <v>0</v>
      </c>
      <c r="Z155" s="494">
        <f>SUMIF('E-3 Off Site Hedge Enhancement'!$M$12:$M$259,'G-2 Habitat groups'!A155,'E-3 Off Site Hedge Enhancement'!$AJ$12:$AJ$259)</f>
        <v>0</v>
      </c>
      <c r="AA155" s="494">
        <f t="shared" si="151"/>
        <v>0</v>
      </c>
      <c r="AB155" s="494">
        <f t="shared" si="152"/>
        <v>0</v>
      </c>
      <c r="AC155" s="494">
        <f t="shared" si="147"/>
        <v>0</v>
      </c>
      <c r="AD155" s="494">
        <f t="shared" si="148"/>
        <v>0</v>
      </c>
      <c r="AE155" s="494">
        <f t="shared" si="149"/>
        <v>0</v>
      </c>
      <c r="AF155" s="494">
        <f t="shared" si="150"/>
        <v>0</v>
      </c>
      <c r="AU155" s="104" t="s">
        <v>634</v>
      </c>
      <c r="AV155" s="88" t="s">
        <v>74</v>
      </c>
      <c r="AW155" s="494">
        <f>VLOOKUP($AU155,AllHabsSummaryData,5,FALSE)</f>
        <v>0</v>
      </c>
      <c r="AX155" s="494">
        <f>VLOOKUP($AU155,AllHabsSummaryData,10,FALSE)</f>
        <v>0</v>
      </c>
      <c r="AY155" s="494">
        <f>VLOOKUP($AU155,AllHabsSummaryData,15,FALSE)</f>
        <v>0</v>
      </c>
      <c r="AZ155" s="494">
        <f>VLOOKUP($AU155,AllHabsSummaryData,16,FALSE)</f>
        <v>0</v>
      </c>
      <c r="BA155" s="494">
        <f>VLOOKUP($AU155,AllHabsSummaryData,17,FALSE)</f>
        <v>0</v>
      </c>
      <c r="BB155" s="494">
        <f>VLOOKUP($AU155,AllHabsSummaryData,18,FALSE)</f>
        <v>0</v>
      </c>
      <c r="BC155" s="494">
        <f>VLOOKUP($AU155,AllHabsSummaryData,27,FALSE)</f>
        <v>0</v>
      </c>
      <c r="BD155" s="494">
        <f>VLOOKUP($AU155,AllHabsSummaryData,30,FALSE)</f>
        <v>0</v>
      </c>
      <c r="BE155" s="494">
        <f>BB155+BD155</f>
        <v>0</v>
      </c>
      <c r="BF155" s="494" t="str">
        <f>IF(BE155&lt;0,BE155,"")</f>
        <v/>
      </c>
    </row>
    <row r="156" spans="1:59" x14ac:dyDescent="0.25">
      <c r="A156" s="104" t="str">
        <f>'G-6 Hedgerow Data'!B13</f>
        <v>Line of Trees</v>
      </c>
      <c r="B156" s="88" t="s">
        <v>894</v>
      </c>
      <c r="C156" s="88" t="str">
        <f>'G-6 Hedgerow Data'!C13</f>
        <v>Low</v>
      </c>
      <c r="D156" s="88" t="str">
        <f>'G-6 Hedgerow Data'!AH13</f>
        <v>Same distinctiveness band or better</v>
      </c>
      <c r="E156" s="494">
        <f>SUMIF('B-1 Site Hedge Baseline'!$D$10:$D$257,'G-2 Habitat groups'!A156,'B-1 Site Hedge Baseline'!$E$10:$E$257)</f>
        <v>0</v>
      </c>
      <c r="F156" s="494">
        <f>SUMIF('B-1 Site Hedge Baseline'!$D$10:$D$257,'G-2 Habitat groups'!A156,'B-1 Site Hedge Baseline'!$N$10:$N$257)</f>
        <v>0</v>
      </c>
      <c r="G156" s="494">
        <f>SUMIF('B-1 Site Hedge Baseline'!$D$10:$D$257,'G-2 Habitat groups'!A156,'B-1 Site Hedge Baseline'!$P$10:$P$257)</f>
        <v>0</v>
      </c>
      <c r="H156" s="494">
        <f>SUMIF('B-1 Site Hedge Baseline'!$D$10:$D$257,'G-2 Habitat groups'!A156,'B-1 Site Hedge Baseline'!$R$10:$R$257)</f>
        <v>0</v>
      </c>
      <c r="I156" s="494">
        <f>SUMIF('B-1 Site Hedge Baseline'!$D$10:$D$257,'G-2 Habitat groups'!A156,'B-1 Site Hedge Baseline'!$T$10:$T$257)</f>
        <v>0</v>
      </c>
      <c r="J156" s="494">
        <f>SUMIF('A-1 Site Habitat Baseline'!$G$11:$G$258,'G-2 Habitat groups'!A156,'A-1 Site Habitat Baseline'!$X$11:$X$258)</f>
        <v>0</v>
      </c>
      <c r="K156" s="494">
        <f>SUMIF('B-2 Site Hedge Creation'!$D$12:$D$259,'G-2 Habitat groups'!A156,'B-2 Site Hedge Creation'!$E$12:$E$259)</f>
        <v>0</v>
      </c>
      <c r="L156" s="494">
        <f>SUMIF('B-2 Site Hedge Creation'!$D$12:$D$259,'G-2 Habitat groups'!A156,'B-2 Site Hedge Creation'!$W$12:$W$259)</f>
        <v>0</v>
      </c>
      <c r="M156" s="494">
        <f>SUMIF('B-3 Site Hedge Enhancement'!$M$12:$M$257,'G-2 Habitat groups'!A156,'B-3 Site Hedge Enhancement'!$P$12:$P$257)</f>
        <v>0</v>
      </c>
      <c r="N156" s="494">
        <f>SUMIF('B-3 Site Hedge Enhancement'!$M$12:$M$257,'G-2 Habitat groups'!A156,'B-3 Site Hedge Enhancement'!$AH$12:$AH$257)</f>
        <v>0</v>
      </c>
      <c r="O156" s="494">
        <f t="shared" si="143"/>
        <v>0</v>
      </c>
      <c r="P156" s="494">
        <f t="shared" si="144"/>
        <v>0</v>
      </c>
      <c r="Q156" s="494">
        <f t="shared" si="145"/>
        <v>0</v>
      </c>
      <c r="R156" s="494">
        <f t="shared" si="146"/>
        <v>0</v>
      </c>
      <c r="S156" s="494">
        <f>SUMIF('E-1 Off Site Hedge Baseline'!$D$10:$D$257,'G-2 Habitat groups'!A156,'E-1 Off Site Hedge Baseline'!$E$10:$E$257)</f>
        <v>0</v>
      </c>
      <c r="T156" s="494">
        <f>SUMIF('E-1 Off Site Hedge Baseline'!$D$10:$D$257,'G-2 Habitat groups'!A156,'E-1 Off Site Hedge Baseline'!$N$10:$N$257)</f>
        <v>0</v>
      </c>
      <c r="U156" s="494">
        <f>SUMIF('E-1 Off Site Hedge Baseline'!$D$10:$D$257,'G-2 Habitat groups'!A156,'E-1 Off Site Hedge Baseline'!$P$10:$P$257)</f>
        <v>0</v>
      </c>
      <c r="V156" s="494">
        <f>SUMIF('E-1 Off Site Hedge Baseline'!$D$10:$D$257,'G-2 Habitat groups'!A156,'E-1 Off Site Hedge Baseline'!$R$10:$R$257)</f>
        <v>0</v>
      </c>
      <c r="W156" s="494">
        <f>SUMIF('E-2 Off Site Hedge Creation'!$D$12:$D$259,'G-2 Habitat groups'!A156,'E-2 Off Site Hedge Creation'!$R$12:$R$259)</f>
        <v>0</v>
      </c>
      <c r="X156" s="494">
        <f>SUMIF('E-2 Off Site Hedge Creation'!$D$12:$D$259,'G-2 Habitat groups'!A156,'E-2 Off Site Hedge Creation'!$Y$12:$Y$259)</f>
        <v>0</v>
      </c>
      <c r="Y156" s="494">
        <f>SUMIF('E-3 Off Site Hedge Enhancement'!$M$12:$M$259,'G-2 Habitat groups'!A156,'E-3 Off Site Hedge Enhancement'!$P$12:$P$259)</f>
        <v>0</v>
      </c>
      <c r="Z156" s="494">
        <f>SUMIF('E-3 Off Site Hedge Enhancement'!$M$12:$M$259,'G-2 Habitat groups'!A156,'E-3 Off Site Hedge Enhancement'!$AJ$12:$AJ$259)</f>
        <v>0</v>
      </c>
      <c r="AA156" s="494">
        <f t="shared" si="151"/>
        <v>0</v>
      </c>
      <c r="AB156" s="494">
        <f t="shared" si="152"/>
        <v>0</v>
      </c>
      <c r="AC156" s="494">
        <f t="shared" si="147"/>
        <v>0</v>
      </c>
      <c r="AD156" s="494">
        <f t="shared" si="148"/>
        <v>0</v>
      </c>
      <c r="AE156" s="494">
        <f t="shared" si="149"/>
        <v>0</v>
      </c>
      <c r="AF156" s="494">
        <f t="shared" si="150"/>
        <v>0</v>
      </c>
    </row>
    <row r="157" spans="1:59" x14ac:dyDescent="0.25">
      <c r="A157" s="104" t="str">
        <f>'G-6 Hedgerow Data'!B14</f>
        <v>Line of Trees - Associated with bank or ditch</v>
      </c>
      <c r="B157" s="88" t="s">
        <v>894</v>
      </c>
      <c r="C157" s="88" t="str">
        <f>'G-6 Hedgerow Data'!C14</f>
        <v>Low</v>
      </c>
      <c r="D157" s="88" t="str">
        <f>'G-6 Hedgerow Data'!AH14</f>
        <v>Same distinctiveness band or better</v>
      </c>
      <c r="E157" s="494">
        <f>SUMIF('B-1 Site Hedge Baseline'!$D$10:$D$257,'G-2 Habitat groups'!A157,'B-1 Site Hedge Baseline'!$E$10:$E$257)</f>
        <v>0</v>
      </c>
      <c r="F157" s="494">
        <f>SUMIF('B-1 Site Hedge Baseline'!$D$10:$D$257,'G-2 Habitat groups'!A157,'B-1 Site Hedge Baseline'!$N$10:$N$257)</f>
        <v>0</v>
      </c>
      <c r="G157" s="494">
        <f>SUMIF('B-1 Site Hedge Baseline'!$D$10:$D$257,'G-2 Habitat groups'!A157,'B-1 Site Hedge Baseline'!$P$10:$P$257)</f>
        <v>0</v>
      </c>
      <c r="H157" s="494">
        <f>SUMIF('B-1 Site Hedge Baseline'!$D$10:$D$257,'G-2 Habitat groups'!A157,'B-1 Site Hedge Baseline'!$R$10:$R$257)</f>
        <v>0</v>
      </c>
      <c r="I157" s="494">
        <f>SUMIF('B-1 Site Hedge Baseline'!$D$10:$D$257,'G-2 Habitat groups'!A157,'B-1 Site Hedge Baseline'!$T$10:$T$257)</f>
        <v>0</v>
      </c>
      <c r="J157" s="494">
        <f>SUMIF('A-1 Site Habitat Baseline'!$G$11:$G$258,'G-2 Habitat groups'!A157,'A-1 Site Habitat Baseline'!$X$11:$X$258)</f>
        <v>0</v>
      </c>
      <c r="K157" s="494">
        <f>SUMIF('B-2 Site Hedge Creation'!$D$12:$D$259,'G-2 Habitat groups'!A157,'B-2 Site Hedge Creation'!$E$12:$E$259)</f>
        <v>0</v>
      </c>
      <c r="L157" s="494">
        <f>SUMIF('B-2 Site Hedge Creation'!$D$12:$D$259,'G-2 Habitat groups'!A157,'B-2 Site Hedge Creation'!$W$12:$W$259)</f>
        <v>0</v>
      </c>
      <c r="M157" s="494">
        <f>SUMIF('B-3 Site Hedge Enhancement'!$M$12:$M$257,'G-2 Habitat groups'!A157,'B-3 Site Hedge Enhancement'!$P$12:$P$257)</f>
        <v>0</v>
      </c>
      <c r="N157" s="494">
        <f>SUMIF('B-3 Site Hedge Enhancement'!$M$12:$M$257,'G-2 Habitat groups'!A157,'B-3 Site Hedge Enhancement'!$AH$12:$AH$257)</f>
        <v>0</v>
      </c>
      <c r="O157" s="494">
        <f t="shared" si="143"/>
        <v>0</v>
      </c>
      <c r="P157" s="494">
        <f t="shared" si="144"/>
        <v>0</v>
      </c>
      <c r="Q157" s="494">
        <f t="shared" si="145"/>
        <v>0</v>
      </c>
      <c r="R157" s="494">
        <f t="shared" si="146"/>
        <v>0</v>
      </c>
      <c r="S157" s="494">
        <f>SUMIF('E-1 Off Site Hedge Baseline'!$D$10:$D$257,'G-2 Habitat groups'!A157,'E-1 Off Site Hedge Baseline'!$E$10:$E$257)</f>
        <v>0</v>
      </c>
      <c r="T157" s="494">
        <f>SUMIF('E-1 Off Site Hedge Baseline'!$D$10:$D$257,'G-2 Habitat groups'!A157,'E-1 Off Site Hedge Baseline'!$N$10:$N$257)</f>
        <v>0</v>
      </c>
      <c r="U157" s="494">
        <f>SUMIF('E-1 Off Site Hedge Baseline'!$D$10:$D$257,'G-2 Habitat groups'!A157,'E-1 Off Site Hedge Baseline'!$P$10:$P$257)</f>
        <v>0</v>
      </c>
      <c r="V157" s="494">
        <f>SUMIF('E-1 Off Site Hedge Baseline'!$D$10:$D$257,'G-2 Habitat groups'!A157,'E-1 Off Site Hedge Baseline'!$R$10:$R$257)</f>
        <v>0</v>
      </c>
      <c r="W157" s="494">
        <f>SUMIF('E-2 Off Site Hedge Creation'!$D$12:$D$259,'G-2 Habitat groups'!A157,'E-2 Off Site Hedge Creation'!$R$12:$R$259)</f>
        <v>0</v>
      </c>
      <c r="X157" s="494">
        <f>SUMIF('E-2 Off Site Hedge Creation'!$D$12:$D$259,'G-2 Habitat groups'!A157,'E-2 Off Site Hedge Creation'!$Y$12:$Y$259)</f>
        <v>0</v>
      </c>
      <c r="Y157" s="494">
        <f>SUMIF('E-3 Off Site Hedge Enhancement'!$M$12:$M$259,'G-2 Habitat groups'!A157,'E-3 Off Site Hedge Enhancement'!$P$12:$P$259)</f>
        <v>0</v>
      </c>
      <c r="Z157" s="494">
        <f>SUMIF('E-3 Off Site Hedge Enhancement'!$M$12:$M$259,'G-2 Habitat groups'!A157,'E-3 Off Site Hedge Enhancement'!$AJ$12:$AJ$259)</f>
        <v>0</v>
      </c>
      <c r="AA157" s="494">
        <f t="shared" si="151"/>
        <v>0</v>
      </c>
      <c r="AB157" s="494">
        <f t="shared" si="152"/>
        <v>0</v>
      </c>
      <c r="AC157" s="494">
        <f t="shared" si="147"/>
        <v>0</v>
      </c>
      <c r="AD157" s="494">
        <f t="shared" si="148"/>
        <v>0</v>
      </c>
      <c r="AE157" s="494">
        <f t="shared" si="149"/>
        <v>0</v>
      </c>
      <c r="AF157" s="494">
        <f t="shared" si="150"/>
        <v>0</v>
      </c>
    </row>
    <row r="158" spans="1:59" x14ac:dyDescent="0.25">
      <c r="A158" s="104" t="str">
        <f>'G-6 Hedgerow Data'!B15</f>
        <v>Hedge Ornamental Non Native</v>
      </c>
      <c r="B158" s="88" t="s">
        <v>894</v>
      </c>
      <c r="C158" s="88" t="str">
        <f>'G-6 Hedgerow Data'!C15</f>
        <v>V.Low</v>
      </c>
      <c r="D158" s="88" t="str">
        <f>'G-6 Hedgerow Data'!AH15</f>
        <v>Same distinctiveness band or better</v>
      </c>
      <c r="E158" s="494">
        <f>SUMIF('B-1 Site Hedge Baseline'!$D$10:$D$257,'G-2 Habitat groups'!A158,'B-1 Site Hedge Baseline'!$E$10:$E$257)</f>
        <v>3.7999999999999999E-2</v>
      </c>
      <c r="F158" s="494">
        <f>SUMIF('B-1 Site Hedge Baseline'!$D$10:$D$257,'G-2 Habitat groups'!A158,'B-1 Site Hedge Baseline'!$N$10:$N$257)</f>
        <v>4.3699999999999996E-2</v>
      </c>
      <c r="G158" s="494">
        <f>SUMIF('B-1 Site Hedge Baseline'!$D$10:$D$257,'G-2 Habitat groups'!A158,'B-1 Site Hedge Baseline'!$P$10:$P$257)</f>
        <v>3.7999999999999999E-2</v>
      </c>
      <c r="H158" s="494">
        <f>SUMIF('B-1 Site Hedge Baseline'!$D$10:$D$257,'G-2 Habitat groups'!A158,'B-1 Site Hedge Baseline'!$R$10:$R$257)</f>
        <v>4.3699999999999996E-2</v>
      </c>
      <c r="I158" s="494">
        <f>SUMIF('B-1 Site Hedge Baseline'!$D$10:$D$257,'G-2 Habitat groups'!A158,'B-1 Site Hedge Baseline'!$T$10:$T$257)</f>
        <v>0</v>
      </c>
      <c r="J158" s="494">
        <f>SUMIF('A-1 Site Habitat Baseline'!$G$11:$G$258,'G-2 Habitat groups'!A158,'A-1 Site Habitat Baseline'!$X$11:$X$258)</f>
        <v>0</v>
      </c>
      <c r="K158" s="494">
        <f>SUMIF('B-2 Site Hedge Creation'!$D$12:$D$259,'G-2 Habitat groups'!A158,'B-2 Site Hedge Creation'!$E$12:$E$259)</f>
        <v>2.5000000000000001E-2</v>
      </c>
      <c r="L158" s="494">
        <f>SUMIF('B-2 Site Hedge Creation'!$D$12:$D$259,'G-2 Habitat groups'!A158,'B-2 Site Hedge Creation'!$W$12:$W$259)</f>
        <v>2.7743749999999998E-2</v>
      </c>
      <c r="M158" s="494">
        <f>SUMIF('B-3 Site Hedge Enhancement'!$M$12:$M$257,'G-2 Habitat groups'!A158,'B-3 Site Hedge Enhancement'!$P$12:$P$257)</f>
        <v>0</v>
      </c>
      <c r="N158" s="494">
        <f>SUMIF('B-3 Site Hedge Enhancement'!$M$12:$M$257,'G-2 Habitat groups'!A158,'B-3 Site Hedge Enhancement'!$AH$12:$AH$257)</f>
        <v>0</v>
      </c>
      <c r="O158" s="494">
        <f t="shared" si="143"/>
        <v>6.3E-2</v>
      </c>
      <c r="P158" s="494">
        <f t="shared" si="144"/>
        <v>7.144375E-2</v>
      </c>
      <c r="Q158" s="494">
        <f t="shared" si="145"/>
        <v>2.5000000000000001E-2</v>
      </c>
      <c r="R158" s="494">
        <f t="shared" si="146"/>
        <v>2.7743750000000005E-2</v>
      </c>
      <c r="S158" s="494">
        <f>SUMIF('E-1 Off Site Hedge Baseline'!$D$10:$D$257,'G-2 Habitat groups'!A158,'E-1 Off Site Hedge Baseline'!$E$10:$E$257)</f>
        <v>0</v>
      </c>
      <c r="T158" s="494">
        <f>SUMIF('E-1 Off Site Hedge Baseline'!$D$10:$D$257,'G-2 Habitat groups'!A158,'E-1 Off Site Hedge Baseline'!$N$10:$N$257)</f>
        <v>0</v>
      </c>
      <c r="U158" s="494">
        <f>SUMIF('E-1 Off Site Hedge Baseline'!$D$10:$D$257,'G-2 Habitat groups'!A158,'E-1 Off Site Hedge Baseline'!$P$10:$P$257)</f>
        <v>0</v>
      </c>
      <c r="V158" s="494">
        <f>SUMIF('E-1 Off Site Hedge Baseline'!$D$10:$D$257,'G-2 Habitat groups'!A158,'E-1 Off Site Hedge Baseline'!$R$10:$R$257)</f>
        <v>0</v>
      </c>
      <c r="W158" s="494">
        <f>SUMIF('E-2 Off Site Hedge Creation'!$D$12:$D$259,'G-2 Habitat groups'!A158,'E-2 Off Site Hedge Creation'!$R$12:$R$259)</f>
        <v>0</v>
      </c>
      <c r="X158" s="494">
        <f>SUMIF('E-2 Off Site Hedge Creation'!$D$12:$D$259,'G-2 Habitat groups'!A158,'E-2 Off Site Hedge Creation'!$Y$12:$Y$259)</f>
        <v>0</v>
      </c>
      <c r="Y158" s="494">
        <f>SUMIF('E-3 Off Site Hedge Enhancement'!$M$12:$M$259,'G-2 Habitat groups'!A158,'E-3 Off Site Hedge Enhancement'!$P$12:$P$259)</f>
        <v>0</v>
      </c>
      <c r="Z158" s="494">
        <f>SUMIF('E-3 Off Site Hedge Enhancement'!$M$12:$M$259,'G-2 Habitat groups'!A158,'E-3 Off Site Hedge Enhancement'!$AJ$12:$AJ$259)</f>
        <v>0</v>
      </c>
      <c r="AA158" s="494">
        <f t="shared" si="151"/>
        <v>0</v>
      </c>
      <c r="AB158" s="494">
        <f t="shared" si="152"/>
        <v>0</v>
      </c>
      <c r="AC158" s="494">
        <f t="shared" si="147"/>
        <v>0</v>
      </c>
      <c r="AD158" s="494">
        <f t="shared" si="148"/>
        <v>0</v>
      </c>
      <c r="AE158" s="494">
        <f t="shared" si="149"/>
        <v>2.5000000000000001E-2</v>
      </c>
      <c r="AF158" s="494">
        <f t="shared" si="150"/>
        <v>2.7743750000000005E-2</v>
      </c>
    </row>
    <row r="163" spans="1:32" ht="28.2" x14ac:dyDescent="0.5">
      <c r="A163" s="326" t="s">
        <v>136</v>
      </c>
    </row>
    <row r="166" spans="1:32" ht="22.8" x14ac:dyDescent="0.4">
      <c r="A166" s="101">
        <v>1</v>
      </c>
      <c r="B166" s="101">
        <v>2</v>
      </c>
      <c r="C166" s="101">
        <v>3</v>
      </c>
      <c r="D166" s="101">
        <v>4</v>
      </c>
      <c r="E166" s="101">
        <v>5</v>
      </c>
      <c r="F166" s="101">
        <v>6</v>
      </c>
      <c r="G166" s="101">
        <v>7</v>
      </c>
      <c r="H166" s="101">
        <v>8</v>
      </c>
      <c r="I166" s="101">
        <v>9</v>
      </c>
      <c r="J166" s="101">
        <v>10</v>
      </c>
      <c r="K166" s="101">
        <v>11</v>
      </c>
      <c r="L166" s="101">
        <v>12</v>
      </c>
      <c r="M166" s="101">
        <v>13</v>
      </c>
      <c r="N166" s="101">
        <v>14</v>
      </c>
      <c r="O166" s="101">
        <v>15</v>
      </c>
      <c r="P166" s="101">
        <v>16</v>
      </c>
      <c r="Q166" s="101">
        <v>17</v>
      </c>
      <c r="R166" s="101">
        <v>18</v>
      </c>
      <c r="S166" s="101">
        <v>19</v>
      </c>
      <c r="T166" s="101">
        <v>20</v>
      </c>
      <c r="U166" s="101">
        <v>21</v>
      </c>
      <c r="V166" s="101">
        <v>22</v>
      </c>
      <c r="W166" s="101">
        <v>23</v>
      </c>
      <c r="X166" s="101">
        <v>24</v>
      </c>
      <c r="Y166" s="101">
        <v>25</v>
      </c>
      <c r="Z166" s="101">
        <v>26</v>
      </c>
      <c r="AA166" s="101">
        <v>27</v>
      </c>
      <c r="AB166" s="101">
        <v>28</v>
      </c>
      <c r="AC166" s="101">
        <v>29</v>
      </c>
      <c r="AD166" s="101">
        <v>30</v>
      </c>
      <c r="AE166" s="101">
        <v>31</v>
      </c>
      <c r="AF166" s="102">
        <v>32</v>
      </c>
    </row>
    <row r="167" spans="1:32" ht="55.2" x14ac:dyDescent="0.25">
      <c r="A167" s="103" t="s">
        <v>896</v>
      </c>
      <c r="B167" s="103" t="s">
        <v>160</v>
      </c>
      <c r="C167" s="103" t="s">
        <v>871</v>
      </c>
      <c r="D167" s="103" t="s">
        <v>821</v>
      </c>
      <c r="E167" s="103" t="s">
        <v>872</v>
      </c>
      <c r="F167" s="103" t="s">
        <v>823</v>
      </c>
      <c r="G167" s="103" t="s">
        <v>873</v>
      </c>
      <c r="H167" s="103" t="s">
        <v>874</v>
      </c>
      <c r="I167" s="103" t="s">
        <v>875</v>
      </c>
      <c r="J167" s="103" t="s">
        <v>827</v>
      </c>
      <c r="K167" s="103" t="s">
        <v>876</v>
      </c>
      <c r="L167" s="103" t="s">
        <v>829</v>
      </c>
      <c r="M167" s="103" t="s">
        <v>877</v>
      </c>
      <c r="N167" s="103" t="s">
        <v>831</v>
      </c>
      <c r="O167" s="103" t="s">
        <v>878</v>
      </c>
      <c r="P167" s="103" t="s">
        <v>879</v>
      </c>
      <c r="Q167" s="103" t="s">
        <v>880</v>
      </c>
      <c r="R167" s="103" t="s">
        <v>835</v>
      </c>
      <c r="S167" s="103" t="s">
        <v>881</v>
      </c>
      <c r="T167" s="103" t="s">
        <v>882</v>
      </c>
      <c r="U167" s="103" t="s">
        <v>883</v>
      </c>
      <c r="V167" s="103" t="s">
        <v>884</v>
      </c>
      <c r="W167" s="103" t="s">
        <v>885</v>
      </c>
      <c r="X167" s="103" t="s">
        <v>886</v>
      </c>
      <c r="Y167" s="103" t="s">
        <v>887</v>
      </c>
      <c r="Z167" s="103" t="s">
        <v>888</v>
      </c>
      <c r="AA167" s="103" t="s">
        <v>889</v>
      </c>
      <c r="AB167" s="103" t="s">
        <v>890</v>
      </c>
      <c r="AC167" s="103" t="s">
        <v>891</v>
      </c>
      <c r="AD167" s="103" t="s">
        <v>892</v>
      </c>
      <c r="AE167" s="103" t="s">
        <v>893</v>
      </c>
      <c r="AF167" s="103" t="s">
        <v>849</v>
      </c>
    </row>
    <row r="168" spans="1:32" x14ac:dyDescent="0.25">
      <c r="A168" s="104" t="str">
        <f>'G-7 Rivers Data'!B4</f>
        <v>Priority Habitat</v>
      </c>
      <c r="B168" s="88" t="s">
        <v>897</v>
      </c>
      <c r="C168" s="88" t="str">
        <f>'G-7 Rivers Data'!C4</f>
        <v>V.High</v>
      </c>
      <c r="D168" s="88" t="str">
        <f>'G-7 Rivers Data'!AU4</f>
        <v>Loss Unacceptable</v>
      </c>
      <c r="E168" s="494">
        <f>SUMIF('C-1 Site River Baseline'!$D$10:$D$257,'G-2 Habitat groups'!A168,'C-1 Site River Baseline'!$E$10:$E$257)</f>
        <v>0</v>
      </c>
      <c r="F168" s="494">
        <f>SUMIF('C-1 Site River Baseline'!$D$10:$D$257,'G-2 Habitat groups'!A168,'C-1 Site River Baseline'!$R$10:$R$257)</f>
        <v>0</v>
      </c>
      <c r="G168" s="494">
        <f>SUMIF('C-1 Site River Baseline'!$D$10:$D$257,'G-2 Habitat groups'!A168,'C-1 Site River Baseline'!$T$10:$T$257)</f>
        <v>0</v>
      </c>
      <c r="H168" s="494">
        <f>SUMIF('C-1 Site River Baseline'!$D$10:$D$257,'G-2 Habitat groups'!A168,'C-1 Site River Baseline'!$V$10:$V$257)</f>
        <v>0</v>
      </c>
      <c r="I168" s="494">
        <f>SUMIF('C-1 Site River Baseline'!$D$10:$D$257,'G-2 Habitat groups'!A168,'C-1 Site River Baseline'!$X$10:$X$257)</f>
        <v>0</v>
      </c>
      <c r="J168" s="494">
        <f>SUMIF('C-1 Site River Baseline'!$D$10:$D$257,'G-2 Habitat groups'!A168,'C-1 Site River Baseline'!$Y$10:$Y$257)</f>
        <v>0</v>
      </c>
      <c r="K168" s="494">
        <f>SUMIF('C-2 Site River Creation'!$C$10:$C$257,'G-2 Habitat groups'!A168,'C-2 Site River Creation'!$D$10:$D$257)</f>
        <v>0</v>
      </c>
      <c r="L168" s="494">
        <f>SUMIF('C-2 Site River Creation'!$C$10:$C$257,'G-2 Habitat groups'!A168,'C-2 Site River Creation'!$Z$10:$Z$257)</f>
        <v>0</v>
      </c>
      <c r="M168" s="494">
        <f>SUMIF('C-3 Site River Enhancement'!$N$12:$N$257,'G-2 Habitat groups'!A168,'C-3 Site River Enhancement'!$Q$12:$Q$257)</f>
        <v>0</v>
      </c>
      <c r="N168" s="494">
        <f>SUMIF('C-3 Site River Enhancement'!$N$12:$N$257,'G-2 Habitat groups'!A168,'C-3 Site River Enhancement'!$AM$12:$AM$257)</f>
        <v>0</v>
      </c>
      <c r="O168" s="494">
        <f t="shared" ref="O168:O172" si="153">G168+K168+M168</f>
        <v>0</v>
      </c>
      <c r="P168" s="494">
        <f t="shared" ref="P168:P172" si="154">H168+L168+N168</f>
        <v>0</v>
      </c>
      <c r="Q168" s="494">
        <f>O168-E168</f>
        <v>0</v>
      </c>
      <c r="R168" s="494">
        <f t="shared" ref="R168:R172" si="155">P168-F168</f>
        <v>0</v>
      </c>
      <c r="S168" s="494">
        <f>SUMIF('F-1 Off Site River Baseline'!$D$10:$D$257,'G-2 Habitat groups'!A168,'F-1 Off Site River Baseline'!$E$10:$E$257)</f>
        <v>0</v>
      </c>
      <c r="T168" s="494">
        <f>SUMIF('F-1 Off Site River Baseline'!$D$10:$D$257,'G-2 Habitat groups'!A168,'F-1 Off Site River Baseline'!$R$10:$R$257)</f>
        <v>0</v>
      </c>
      <c r="U168" s="494">
        <f>SUMIF('F-1 Off Site River Baseline'!$D$10:$D$257,'G-2 Habitat groups'!A168,'F-1 Off Site River Baseline'!$T$10:$T$257)</f>
        <v>0</v>
      </c>
      <c r="V168" s="494">
        <f>SUMIF('F-1 Off Site River Baseline'!$D$10:$D$257,'G-2 Habitat groups'!A168,'F-1 Off Site River Baseline'!$V$10:$V$257)</f>
        <v>0</v>
      </c>
      <c r="W168" s="494">
        <f>SUMIF('F-2 Off Site River Creation'!$C$12:$C$259,'G-2 Habitat groups'!A168,'F-2 Off Site River Creation'!$D$12:$D$259)</f>
        <v>0</v>
      </c>
      <c r="X168" s="494">
        <f>SUMIF('F-2 Off Site River Creation'!$C$12:$C$259,'G-2 Habitat groups'!A168,'F-2 Off Site River Creation'!$AB$12:$AB$259)</f>
        <v>0</v>
      </c>
      <c r="Y168" s="494">
        <f>SUMIF('F-3 Off Site River Enhancement'!$N$12:$N$259,'G-2 Habitat groups'!A168,'F-3 Off Site River Enhancement'!$Q$12:$Q$259)</f>
        <v>0</v>
      </c>
      <c r="Z168" s="494">
        <f>SUMIF('F-3 Off Site River Enhancement'!$N$12:$N$259,'G-2 Habitat groups'!A168,'F-3 Off Site River Enhancement'!$AO$12:$AO$259)</f>
        <v>0</v>
      </c>
      <c r="AA168" s="494">
        <f>U168+W168+Y168</f>
        <v>0</v>
      </c>
      <c r="AB168" s="494">
        <f>V168+X168+Z168</f>
        <v>0</v>
      </c>
      <c r="AC168" s="494">
        <f t="shared" ref="AC168:AC172" si="156">AA168-S168</f>
        <v>0</v>
      </c>
      <c r="AD168" s="494">
        <f t="shared" ref="AD168:AD172" si="157">AB168-T168</f>
        <v>0</v>
      </c>
      <c r="AE168" s="494">
        <f t="shared" ref="AE168:AE172" si="158">Q168+AC168</f>
        <v>0</v>
      </c>
      <c r="AF168" s="494">
        <f t="shared" ref="AF168:AF172" si="159">R168+AD168</f>
        <v>0</v>
      </c>
    </row>
    <row r="169" spans="1:32" x14ac:dyDescent="0.25">
      <c r="A169" s="104" t="str">
        <f>'G-7 Rivers Data'!B5</f>
        <v>Other Rivers and Streams</v>
      </c>
      <c r="B169" s="88" t="s">
        <v>897</v>
      </c>
      <c r="C169" s="88" t="str">
        <f>'G-7 Rivers Data'!C5</f>
        <v>High</v>
      </c>
      <c r="D169" s="88" t="str">
        <f>'G-7 Rivers Data'!AU5</f>
        <v>Avoid</v>
      </c>
      <c r="E169" s="494">
        <f>SUMIF('C-1 Site River Baseline'!$D$10:$D$257,'G-2 Habitat groups'!A169,'C-1 Site River Baseline'!$E$10:$E$257)</f>
        <v>0</v>
      </c>
      <c r="F169" s="494">
        <f>SUMIF('C-1 Site River Baseline'!$D$10:$D$257,'G-2 Habitat groups'!A169,'C-1 Site River Baseline'!$R$10:$R$257)</f>
        <v>0</v>
      </c>
      <c r="G169" s="494">
        <f>SUMIF('C-1 Site River Baseline'!$D$10:$D$257,'G-2 Habitat groups'!A169,'C-1 Site River Baseline'!$T$10:$T$257)</f>
        <v>0</v>
      </c>
      <c r="H169" s="494">
        <f>SUMIF('C-1 Site River Baseline'!$D$10:$D$257,'G-2 Habitat groups'!A169,'C-1 Site River Baseline'!$V$10:$V$257)</f>
        <v>0</v>
      </c>
      <c r="I169" s="494">
        <f>SUMIF('C-1 Site River Baseline'!$D$10:$D$257,'G-2 Habitat groups'!A169,'C-1 Site River Baseline'!$X$10:$X$257)</f>
        <v>0</v>
      </c>
      <c r="J169" s="494">
        <f>SUMIF('C-1 Site River Baseline'!$D$10:$D$257,'G-2 Habitat groups'!A169,'C-1 Site River Baseline'!$Y$10:$Y$257)</f>
        <v>0</v>
      </c>
      <c r="K169" s="494">
        <f>SUMIF('C-2 Site River Creation'!$C$10:$C$257,'G-2 Habitat groups'!A169,'C-2 Site River Creation'!$D$10:$D$257)</f>
        <v>0</v>
      </c>
      <c r="L169" s="494">
        <f>SUMIF('C-2 Site River Creation'!$C$10:$C$257,'G-2 Habitat groups'!A169,'C-2 Site River Creation'!$Z$10:$Z$257)</f>
        <v>0</v>
      </c>
      <c r="M169" s="494">
        <f>SUMIF('C-3 Site River Enhancement'!$N$12:$N$257,'G-2 Habitat groups'!A169,'C-3 Site River Enhancement'!$Q$12:$Q$257)</f>
        <v>0</v>
      </c>
      <c r="N169" s="494">
        <f>SUMIF('C-3 Site River Enhancement'!$N$12:$N$257,'G-2 Habitat groups'!A169,'C-3 Site River Enhancement'!$AM$12:$AM$257)</f>
        <v>0</v>
      </c>
      <c r="O169" s="494">
        <f>G169+K169+M169</f>
        <v>0</v>
      </c>
      <c r="P169" s="494">
        <f>H169+L169+N169</f>
        <v>0</v>
      </c>
      <c r="Q169" s="494">
        <f t="shared" ref="Q169:Q172" si="160">O169-E169</f>
        <v>0</v>
      </c>
      <c r="R169" s="494">
        <f t="shared" si="155"/>
        <v>0</v>
      </c>
      <c r="S169" s="494">
        <f>SUMIF('F-1 Off Site River Baseline'!$D$10:$D$257,'G-2 Habitat groups'!A169,'F-1 Off Site River Baseline'!$E$10:$E$257)</f>
        <v>0</v>
      </c>
      <c r="T169" s="494">
        <f>SUMIF('F-1 Off Site River Baseline'!$D$10:$D$257,'G-2 Habitat groups'!A169,'F-1 Off Site River Baseline'!$R$10:$R$257)</f>
        <v>0</v>
      </c>
      <c r="U169" s="494">
        <f>SUMIF('F-1 Off Site River Baseline'!$D$10:$D$257,'G-2 Habitat groups'!A169,'F-1 Off Site River Baseline'!$T$10:$T$257)</f>
        <v>0</v>
      </c>
      <c r="V169" s="494">
        <f>SUMIF('F-1 Off Site River Baseline'!$D$10:$D$257,'G-2 Habitat groups'!A169,'F-1 Off Site River Baseline'!$V$10:$V$257)</f>
        <v>0</v>
      </c>
      <c r="W169" s="494">
        <f>SUMIF('F-2 Off Site River Creation'!$C$12:$C$259,'G-2 Habitat groups'!A169,'F-2 Off Site River Creation'!$D$12:$D$259)</f>
        <v>0</v>
      </c>
      <c r="X169" s="494">
        <f>SUMIF('F-2 Off Site River Creation'!$C$12:$C$259,'G-2 Habitat groups'!A169,'F-2 Off Site River Creation'!$AB$12:$AB$259)</f>
        <v>0</v>
      </c>
      <c r="Y169" s="494">
        <f>SUMIF('F-3 Off Site River Enhancement'!$N$12:$N$259,'G-2 Habitat groups'!A169,'F-3 Off Site River Enhancement'!$Q$12:$Q$259)</f>
        <v>0</v>
      </c>
      <c r="Z169" s="494">
        <f>SUMIF('F-3 Off Site River Enhancement'!$N$12:$N$259,'G-2 Habitat groups'!A169,'F-3 Off Site River Enhancement'!$AO$12:$AO$259)</f>
        <v>0</v>
      </c>
      <c r="AA169" s="494">
        <f t="shared" ref="AA169:AA172" si="161">U169+W169+Y169</f>
        <v>0</v>
      </c>
      <c r="AB169" s="494">
        <f t="shared" ref="AB169:AB172" si="162">V169+X169+Z169</f>
        <v>0</v>
      </c>
      <c r="AC169" s="494">
        <f t="shared" si="156"/>
        <v>0</v>
      </c>
      <c r="AD169" s="494">
        <f t="shared" si="157"/>
        <v>0</v>
      </c>
      <c r="AE169" s="494">
        <f t="shared" si="158"/>
        <v>0</v>
      </c>
      <c r="AF169" s="494">
        <f t="shared" si="159"/>
        <v>0</v>
      </c>
    </row>
    <row r="170" spans="1:32" x14ac:dyDescent="0.25">
      <c r="A170" s="104" t="str">
        <f>'G-7 Rivers Data'!B6</f>
        <v>Ditches</v>
      </c>
      <c r="B170" s="88" t="s">
        <v>897</v>
      </c>
      <c r="C170" s="88" t="str">
        <f>'G-7 Rivers Data'!C6</f>
        <v>Medium</v>
      </c>
      <c r="D170" s="88" t="str">
        <f>'G-7 Rivers Data'!AU6</f>
        <v>Avoid, Mitigate or Compensate</v>
      </c>
      <c r="E170" s="494">
        <f>SUMIF('C-1 Site River Baseline'!$D$10:$D$257,'G-2 Habitat groups'!A170,'C-1 Site River Baseline'!$E$10:$E$257)</f>
        <v>0</v>
      </c>
      <c r="F170" s="494">
        <f>SUMIF('C-1 Site River Baseline'!$D$10:$D$257,'G-2 Habitat groups'!A170,'C-1 Site River Baseline'!$R$10:$R$257)</f>
        <v>0</v>
      </c>
      <c r="G170" s="494">
        <f>SUMIF('C-1 Site River Baseline'!$D$10:$D$257,'G-2 Habitat groups'!A170,'C-1 Site River Baseline'!$T$10:$T$257)</f>
        <v>0</v>
      </c>
      <c r="H170" s="494">
        <f>SUMIF('C-1 Site River Baseline'!$D$10:$D$257,'G-2 Habitat groups'!A170,'C-1 Site River Baseline'!$V$10:$V$257)</f>
        <v>0</v>
      </c>
      <c r="I170" s="494">
        <f>SUMIF('C-1 Site River Baseline'!$D$10:$D$257,'G-2 Habitat groups'!A170,'C-1 Site River Baseline'!$X$10:$X$257)</f>
        <v>0</v>
      </c>
      <c r="J170" s="494">
        <f>SUMIF('C-1 Site River Baseline'!$D$10:$D$257,'G-2 Habitat groups'!A170,'C-1 Site River Baseline'!$Y$10:$Y$257)</f>
        <v>0</v>
      </c>
      <c r="K170" s="494">
        <f>SUMIF('C-2 Site River Creation'!$C$10:$C$257,'G-2 Habitat groups'!A170,'C-2 Site River Creation'!$D$10:$D$257)</f>
        <v>0</v>
      </c>
      <c r="L170" s="494">
        <f>SUMIF('C-2 Site River Creation'!$C$10:$C$257,'G-2 Habitat groups'!A170,'C-2 Site River Creation'!$Z$10:$Z$257)</f>
        <v>0</v>
      </c>
      <c r="M170" s="494">
        <f>SUMIF('C-3 Site River Enhancement'!$N$12:$N$257,'G-2 Habitat groups'!A170,'C-3 Site River Enhancement'!$Q$12:$Q$257)</f>
        <v>0</v>
      </c>
      <c r="N170" s="494">
        <f>SUMIF('C-3 Site River Enhancement'!$N$12:$N$257,'G-2 Habitat groups'!A170,'C-3 Site River Enhancement'!$AM$12:$AM$257)</f>
        <v>0</v>
      </c>
      <c r="O170" s="494">
        <f t="shared" si="153"/>
        <v>0</v>
      </c>
      <c r="P170" s="494">
        <f t="shared" si="154"/>
        <v>0</v>
      </c>
      <c r="Q170" s="494">
        <f t="shared" si="160"/>
        <v>0</v>
      </c>
      <c r="R170" s="494">
        <f t="shared" si="155"/>
        <v>0</v>
      </c>
      <c r="S170" s="494">
        <f>SUMIF('F-1 Off Site River Baseline'!$D$10:$D$257,'G-2 Habitat groups'!A170,'F-1 Off Site River Baseline'!$E$10:$E$257)</f>
        <v>0</v>
      </c>
      <c r="T170" s="494">
        <f>SUMIF('F-1 Off Site River Baseline'!$D$10:$D$257,'G-2 Habitat groups'!A170,'F-1 Off Site River Baseline'!$R$10:$R$257)</f>
        <v>0</v>
      </c>
      <c r="U170" s="494">
        <f>SUMIF('F-1 Off Site River Baseline'!$D$10:$D$257,'G-2 Habitat groups'!A170,'F-1 Off Site River Baseline'!$T$10:$T$257)</f>
        <v>0</v>
      </c>
      <c r="V170" s="494">
        <f>SUMIF('F-1 Off Site River Baseline'!$D$10:$D$257,'G-2 Habitat groups'!A170,'F-1 Off Site River Baseline'!$V$10:$V$257)</f>
        <v>0</v>
      </c>
      <c r="W170" s="494">
        <f>SUMIF('F-2 Off Site River Creation'!$C$12:$C$259,'G-2 Habitat groups'!A170,'F-2 Off Site River Creation'!$D$12:$D$259)</f>
        <v>0</v>
      </c>
      <c r="X170" s="494">
        <f>SUMIF('F-2 Off Site River Creation'!$C$12:$C$259,'G-2 Habitat groups'!A170,'F-2 Off Site River Creation'!$AB$12:$AB$259)</f>
        <v>0</v>
      </c>
      <c r="Y170" s="494">
        <f>SUMIF('F-3 Off Site River Enhancement'!$N$12:$N$259,'G-2 Habitat groups'!A170,'F-3 Off Site River Enhancement'!$Q$12:$Q$259)</f>
        <v>0</v>
      </c>
      <c r="Z170" s="494">
        <f>SUMIF('F-3 Off Site River Enhancement'!$N$12:$N$259,'G-2 Habitat groups'!A170,'F-3 Off Site River Enhancement'!$AO$12:$AO$259)</f>
        <v>0</v>
      </c>
      <c r="AA170" s="494">
        <f t="shared" si="161"/>
        <v>0</v>
      </c>
      <c r="AB170" s="494">
        <f t="shared" si="162"/>
        <v>0</v>
      </c>
      <c r="AC170" s="494">
        <f t="shared" si="156"/>
        <v>0</v>
      </c>
      <c r="AD170" s="494">
        <f t="shared" si="157"/>
        <v>0</v>
      </c>
      <c r="AE170" s="494">
        <f t="shared" si="158"/>
        <v>0</v>
      </c>
      <c r="AF170" s="494">
        <f t="shared" si="159"/>
        <v>0</v>
      </c>
    </row>
    <row r="171" spans="1:32" x14ac:dyDescent="0.25">
      <c r="A171" s="104" t="str">
        <f>'G-7 Rivers Data'!B7</f>
        <v>Canals</v>
      </c>
      <c r="B171" s="88" t="s">
        <v>897</v>
      </c>
      <c r="C171" s="88" t="str">
        <f>'G-7 Rivers Data'!C7</f>
        <v>Medium</v>
      </c>
      <c r="D171" s="88" t="str">
        <f>'G-7 Rivers Data'!AU6</f>
        <v>Avoid, Mitigate or Compensate</v>
      </c>
      <c r="E171" s="494">
        <f>SUMIF('C-1 Site River Baseline'!$D$10:$D$257,'G-2 Habitat groups'!A171,'C-1 Site River Baseline'!$E$10:$E$257)</f>
        <v>0</v>
      </c>
      <c r="F171" s="494">
        <f>SUMIF('C-1 Site River Baseline'!$D$10:$D$257,'G-2 Habitat groups'!A171,'C-1 Site River Baseline'!$R$10:$R$257)</f>
        <v>0</v>
      </c>
      <c r="G171" s="494">
        <f>SUMIF('C-1 Site River Baseline'!$D$10:$D$257,'G-2 Habitat groups'!A171,'C-1 Site River Baseline'!$T$10:$T$257)</f>
        <v>0</v>
      </c>
      <c r="H171" s="494">
        <f>SUMIF('C-1 Site River Baseline'!$D$10:$D$257,'G-2 Habitat groups'!A171,'C-1 Site River Baseline'!$V$10:$V$257)</f>
        <v>0</v>
      </c>
      <c r="I171" s="494">
        <f>SUMIF('C-1 Site River Baseline'!$D$10:$D$257,'G-2 Habitat groups'!A171,'C-1 Site River Baseline'!$X$10:$X$257)</f>
        <v>0</v>
      </c>
      <c r="J171" s="494">
        <f>SUMIF('C-1 Site River Baseline'!$D$10:$D$257,'G-2 Habitat groups'!A171,'C-1 Site River Baseline'!$Y$10:$Y$257)</f>
        <v>0</v>
      </c>
      <c r="K171" s="494">
        <f>SUMIF('C-2 Site River Creation'!$C$10:$C$257,'G-2 Habitat groups'!A171,'C-2 Site River Creation'!$D$10:$D$257)</f>
        <v>0</v>
      </c>
      <c r="L171" s="494">
        <f>SUMIF('C-2 Site River Creation'!$C$10:$C$257,'G-2 Habitat groups'!A171,'C-2 Site River Creation'!$Z$10:$Z$257)</f>
        <v>0</v>
      </c>
      <c r="M171" s="494">
        <f>SUMIF('C-3 Site River Enhancement'!$N$12:$N$257,'G-2 Habitat groups'!A171,'C-3 Site River Enhancement'!$Q$12:$Q$257)</f>
        <v>0</v>
      </c>
      <c r="N171" s="494">
        <f>SUMIF('C-3 Site River Enhancement'!$N$12:$N$257,'G-2 Habitat groups'!A171,'C-3 Site River Enhancement'!$AM$12:$AM$257)</f>
        <v>0</v>
      </c>
      <c r="O171" s="494">
        <f t="shared" si="153"/>
        <v>0</v>
      </c>
      <c r="P171" s="494">
        <f t="shared" si="154"/>
        <v>0</v>
      </c>
      <c r="Q171" s="494">
        <f t="shared" si="160"/>
        <v>0</v>
      </c>
      <c r="R171" s="494">
        <f t="shared" si="155"/>
        <v>0</v>
      </c>
      <c r="S171" s="494">
        <f>SUMIF('F-1 Off Site River Baseline'!$D$10:$D$257,'G-2 Habitat groups'!A171,'F-1 Off Site River Baseline'!$E$10:$E$257)</f>
        <v>0</v>
      </c>
      <c r="T171" s="494">
        <f>SUMIF('F-1 Off Site River Baseline'!$D$10:$D$257,'G-2 Habitat groups'!A171,'F-1 Off Site River Baseline'!$R$10:$R$257)</f>
        <v>0</v>
      </c>
      <c r="U171" s="494">
        <f>SUMIF('F-1 Off Site River Baseline'!$D$10:$D$257,'G-2 Habitat groups'!A171,'F-1 Off Site River Baseline'!$T$10:$T$257)</f>
        <v>0</v>
      </c>
      <c r="V171" s="494">
        <f>SUMIF('F-1 Off Site River Baseline'!$D$10:$D$257,'G-2 Habitat groups'!A171,'F-1 Off Site River Baseline'!$V$10:$V$257)</f>
        <v>0</v>
      </c>
      <c r="W171" s="494">
        <f>SUMIF('F-2 Off Site River Creation'!$C$12:$C$259,'G-2 Habitat groups'!A171,'F-2 Off Site River Creation'!$D$12:$D$259)</f>
        <v>0</v>
      </c>
      <c r="X171" s="494">
        <f>SUMIF('F-2 Off Site River Creation'!$C$12:$C$259,'G-2 Habitat groups'!A171,'F-2 Off Site River Creation'!$AB$12:$AB$259)</f>
        <v>0</v>
      </c>
      <c r="Y171" s="494">
        <f>SUMIF('F-3 Off Site River Enhancement'!$N$12:$N$259,'G-2 Habitat groups'!A171,'F-3 Off Site River Enhancement'!$Q$12:$Q$259)</f>
        <v>0</v>
      </c>
      <c r="Z171" s="494">
        <f>SUMIF('F-3 Off Site River Enhancement'!$N$12:$N$259,'G-2 Habitat groups'!A171,'F-3 Off Site River Enhancement'!$AO$12:$AO$259)</f>
        <v>0</v>
      </c>
      <c r="AA171" s="494">
        <f t="shared" si="161"/>
        <v>0</v>
      </c>
      <c r="AB171" s="494">
        <f t="shared" si="162"/>
        <v>0</v>
      </c>
      <c r="AC171" s="494">
        <f t="shared" si="156"/>
        <v>0</v>
      </c>
      <c r="AD171" s="494">
        <f t="shared" si="157"/>
        <v>0</v>
      </c>
      <c r="AE171" s="494">
        <f t="shared" si="158"/>
        <v>0</v>
      </c>
      <c r="AF171" s="494">
        <f t="shared" si="159"/>
        <v>0</v>
      </c>
    </row>
    <row r="172" spans="1:32" x14ac:dyDescent="0.25">
      <c r="A172" s="104" t="str">
        <f>'G-7 Rivers Data'!B8</f>
        <v>Culvert</v>
      </c>
      <c r="B172" s="88" t="s">
        <v>897</v>
      </c>
      <c r="C172" s="88" t="str">
        <f>'G-7 Rivers Data'!C8</f>
        <v>Low</v>
      </c>
      <c r="D172" s="88" t="str">
        <f>'G-7 Rivers Data'!AU7</f>
        <v>Mitigate or Compensate</v>
      </c>
      <c r="E172" s="494">
        <f>SUMIF('C-1 Site River Baseline'!$D$10:$D$257,'G-2 Habitat groups'!A172,'C-1 Site River Baseline'!$E$10:$E$257)</f>
        <v>0</v>
      </c>
      <c r="F172" s="494">
        <f>SUMIF('C-1 Site River Baseline'!$D$10:$D$257,'G-2 Habitat groups'!A172,'C-1 Site River Baseline'!$R$10:$R$257)</f>
        <v>0</v>
      </c>
      <c r="G172" s="494">
        <f>SUMIF('C-1 Site River Baseline'!$D$10:$D$257,'G-2 Habitat groups'!A172,'C-1 Site River Baseline'!$T$10:$T$257)</f>
        <v>0</v>
      </c>
      <c r="H172" s="494">
        <f>SUMIF('C-1 Site River Baseline'!$D$10:$D$257,'G-2 Habitat groups'!A172,'C-1 Site River Baseline'!$V$10:$V$257)</f>
        <v>0</v>
      </c>
      <c r="I172" s="494">
        <f>SUMIF('C-1 Site River Baseline'!$D$10:$D$257,'G-2 Habitat groups'!A172,'C-1 Site River Baseline'!$X$10:$X$257)</f>
        <v>0</v>
      </c>
      <c r="J172" s="494">
        <f>SUMIF('C-1 Site River Baseline'!$D$10:$D$257,'G-2 Habitat groups'!A172,'C-1 Site River Baseline'!$Y$10:$Y$257)</f>
        <v>0</v>
      </c>
      <c r="K172" s="494">
        <f>SUMIF('C-2 Site River Creation'!$C$10:$C$257,'G-2 Habitat groups'!A172,'C-2 Site River Creation'!$D$10:$D$257)</f>
        <v>0</v>
      </c>
      <c r="L172" s="494">
        <f>SUMIF('C-2 Site River Creation'!$C$10:$C$257,'G-2 Habitat groups'!A172,'C-2 Site River Creation'!$Z$10:$Z$257)</f>
        <v>0</v>
      </c>
      <c r="M172" s="494">
        <f>SUMIF('C-3 Site River Enhancement'!$N$12:$N$257,'G-2 Habitat groups'!A172,'C-3 Site River Enhancement'!$Q$12:$Q$257)</f>
        <v>0</v>
      </c>
      <c r="N172" s="494">
        <f>SUMIF('C-3 Site River Enhancement'!$N$12:$N$257,'G-2 Habitat groups'!A172,'C-3 Site River Enhancement'!$AM$12:$AM$257)</f>
        <v>0</v>
      </c>
      <c r="O172" s="592">
        <f t="shared" si="153"/>
        <v>0</v>
      </c>
      <c r="P172" s="592">
        <f t="shared" si="154"/>
        <v>0</v>
      </c>
      <c r="Q172" s="592">
        <f t="shared" si="160"/>
        <v>0</v>
      </c>
      <c r="R172" s="592">
        <f t="shared" si="155"/>
        <v>0</v>
      </c>
      <c r="S172" s="494">
        <f>SUMIF('F-1 Off Site River Baseline'!$D$10:$D$257,'G-2 Habitat groups'!A172,'F-1 Off Site River Baseline'!$E$10:$E$257)</f>
        <v>0</v>
      </c>
      <c r="T172" s="494">
        <f>SUMIF('F-1 Off Site River Baseline'!$D$10:$D$257,'G-2 Habitat groups'!A172,'F-1 Off Site River Baseline'!$R$10:$R$257)</f>
        <v>0</v>
      </c>
      <c r="U172" s="494">
        <f>SUMIF('F-1 Off Site River Baseline'!$D$10:$D$257,'G-2 Habitat groups'!A172,'F-1 Off Site River Baseline'!$T$10:$T$257)</f>
        <v>0</v>
      </c>
      <c r="V172" s="494">
        <f>SUMIF('F-1 Off Site River Baseline'!$D$10:$D$257,'G-2 Habitat groups'!A172,'F-1 Off Site River Baseline'!$V$10:$V$257)</f>
        <v>0</v>
      </c>
      <c r="W172" s="494">
        <f>SUMIF('F-2 Off Site River Creation'!$C$12:$C$259,'G-2 Habitat groups'!A172,'F-2 Off Site River Creation'!$D$12:$D$259)</f>
        <v>0</v>
      </c>
      <c r="X172" s="494">
        <f>SUMIF('F-2 Off Site River Creation'!$C$12:$C$259,'G-2 Habitat groups'!A172,'F-2 Off Site River Creation'!$AB$12:$AB$259)</f>
        <v>0</v>
      </c>
      <c r="Y172" s="494">
        <f>SUMIF('F-3 Off Site River Enhancement'!$N$12:$N$259,'G-2 Habitat groups'!A172,'F-3 Off Site River Enhancement'!$Q$12:$Q$259)</f>
        <v>0</v>
      </c>
      <c r="Z172" s="494">
        <f>SUMIF('F-3 Off Site River Enhancement'!$N$12:$N$259,'G-2 Habitat groups'!A172,'F-3 Off Site River Enhancement'!$AO$12:$AO$259)</f>
        <v>0</v>
      </c>
      <c r="AA172" s="592">
        <f t="shared" si="161"/>
        <v>0</v>
      </c>
      <c r="AB172" s="592">
        <f t="shared" si="162"/>
        <v>0</v>
      </c>
      <c r="AC172" s="592">
        <f t="shared" si="156"/>
        <v>0</v>
      </c>
      <c r="AD172" s="592">
        <f t="shared" si="157"/>
        <v>0</v>
      </c>
      <c r="AE172" s="592">
        <f t="shared" si="158"/>
        <v>0</v>
      </c>
      <c r="AF172" s="592">
        <f t="shared" si="159"/>
        <v>0</v>
      </c>
    </row>
  </sheetData>
  <sheetProtection algorithmName="SHA-512" hashValue="9KPW0W6Rapm5GU2rfeIlLvfCB5SpjBKrjBMjn8/GGmqEM5sEe9470dHLxabYjUWoGleWaUUUEPD4X+KjDJ783g==" saltValue="rX9IBgBwBhra+eymZvFRXw=="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36 AD4:AF136">
    <cfRule type="cellIs" dxfId="6" priority="16" operator="lessThan">
      <formula>0</formula>
    </cfRule>
  </conditionalFormatting>
  <conditionalFormatting sqref="R146:R158">
    <cfRule type="cellIs" dxfId="5" priority="6" operator="lessThan">
      <formula>0</formula>
    </cfRule>
  </conditionalFormatting>
  <conditionalFormatting sqref="AD146:AD158">
    <cfRule type="cellIs" dxfId="4" priority="5" operator="lessThan">
      <formula>0</formula>
    </cfRule>
  </conditionalFormatting>
  <conditionalFormatting sqref="AE146:AF158">
    <cfRule type="cellIs" dxfId="3" priority="4" operator="lessThan">
      <formula>0</formula>
    </cfRule>
  </conditionalFormatting>
  <conditionalFormatting sqref="AE168:AF172">
    <cfRule type="cellIs" dxfId="2" priority="1" operator="lessThan">
      <formula>0</formula>
    </cfRule>
  </conditionalFormatting>
  <conditionalFormatting sqref="R168:R172">
    <cfRule type="cellIs" dxfId="1" priority="3" operator="lessThan">
      <formula>0</formula>
    </cfRule>
  </conditionalFormatting>
  <conditionalFormatting sqref="AD168:AD172">
    <cfRule type="cellIs" dxfId="0" priority="2" operator="lessThan">
      <formula>0</formula>
    </cfRule>
  </conditionalFormatting>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2"/>
  <sheetViews>
    <sheetView showGridLines="0" showRowColHeaders="0" zoomScale="60" zoomScaleNormal="60" workbookViewId="0">
      <selection activeCell="S28" sqref="S28"/>
    </sheetView>
  </sheetViews>
  <sheetFormatPr defaultColWidth="0" defaultRowHeight="13.8" zeroHeight="1" x14ac:dyDescent="0.25"/>
  <cols>
    <col min="1" max="1" width="76.44140625" style="31" customWidth="1"/>
    <col min="2" max="2" width="28.88671875" style="31" bestFit="1" customWidth="1"/>
    <col min="3" max="3" width="18.5546875" style="31" bestFit="1" customWidth="1"/>
    <col min="4" max="4" width="30.5546875" style="31" bestFit="1" customWidth="1"/>
    <col min="5" max="5" width="18.5546875" style="31" bestFit="1" customWidth="1"/>
    <col min="6" max="7" width="9.109375" style="31" customWidth="1"/>
    <col min="8" max="8" width="16.33203125" style="31" hidden="1" customWidth="1"/>
    <col min="9" max="9" width="32.88671875" style="31" hidden="1" customWidth="1"/>
    <col min="10" max="10" width="8.109375" style="31" hidden="1" customWidth="1"/>
    <col min="11" max="11" width="9.109375" style="31" customWidth="1"/>
    <col min="12" max="12" width="38.5546875" style="31" customWidth="1"/>
    <col min="13" max="13" width="26.33203125" style="31" customWidth="1"/>
    <col min="14" max="14" width="12" style="31" bestFit="1" customWidth="1"/>
    <col min="15" max="15" width="9.109375" style="31" customWidth="1"/>
    <col min="16" max="16" width="11.6640625" style="31" bestFit="1" customWidth="1"/>
    <col min="17" max="17" width="9.109375" style="31" customWidth="1"/>
    <col min="18" max="18" width="18.88671875" style="31" customWidth="1"/>
    <col min="19" max="19" width="40" style="31" customWidth="1"/>
    <col min="20" max="20" width="19.44140625" style="31" customWidth="1"/>
    <col min="21" max="21" width="9.109375" style="31" customWidth="1"/>
    <col min="22" max="22" width="11.33203125" style="31" customWidth="1"/>
    <col min="23" max="23" width="12" style="31" bestFit="1" customWidth="1"/>
    <col min="24" max="24" width="14.33203125" style="31" bestFit="1" customWidth="1"/>
    <col min="25" max="25" width="17.6640625" style="31" bestFit="1" customWidth="1"/>
    <col min="26" max="26" width="10.109375" style="31" bestFit="1" customWidth="1"/>
    <col min="27" max="28" width="9.109375" style="31" customWidth="1"/>
    <col min="29" max="34" width="0" style="31" hidden="1" customWidth="1"/>
    <col min="35" max="16384" width="9.109375" style="31" hidden="1"/>
  </cols>
  <sheetData>
    <row r="1" spans="1:26" ht="36.6" customHeight="1" thickBot="1" x14ac:dyDescent="0.45">
      <c r="A1" s="826" t="s">
        <v>898</v>
      </c>
      <c r="B1" s="827"/>
      <c r="C1" s="827"/>
      <c r="D1" s="827"/>
      <c r="E1" s="828"/>
      <c r="J1" s="286"/>
      <c r="L1" s="826" t="s">
        <v>899</v>
      </c>
      <c r="M1" s="827"/>
      <c r="N1" s="828"/>
      <c r="P1" s="826" t="s">
        <v>291</v>
      </c>
      <c r="Q1" s="828"/>
    </row>
    <row r="2" spans="1:26" ht="42" customHeight="1" thickBot="1" x14ac:dyDescent="0.45">
      <c r="A2" s="287" t="s">
        <v>820</v>
      </c>
      <c r="B2" s="201" t="s">
        <v>359</v>
      </c>
      <c r="C2" s="201" t="s">
        <v>323</v>
      </c>
      <c r="D2" s="201" t="s">
        <v>360</v>
      </c>
      <c r="E2" s="287" t="s">
        <v>323</v>
      </c>
      <c r="H2" s="1049" t="s">
        <v>900</v>
      </c>
      <c r="I2" s="1050"/>
      <c r="J2" s="1051"/>
      <c r="L2" s="1046" t="s">
        <v>901</v>
      </c>
      <c r="M2" s="1047"/>
      <c r="N2" s="1048"/>
      <c r="P2" s="287" t="s">
        <v>902</v>
      </c>
      <c r="Q2" s="287" t="s">
        <v>903</v>
      </c>
      <c r="S2" s="864" t="s">
        <v>904</v>
      </c>
      <c r="T2" s="877"/>
      <c r="W2" s="826" t="s">
        <v>905</v>
      </c>
      <c r="X2" s="827"/>
      <c r="Y2" s="827"/>
      <c r="Z2" s="828"/>
    </row>
    <row r="3" spans="1:26" x14ac:dyDescent="0.25">
      <c r="A3" s="110" t="str">
        <f>'G-1 All Habitats'!B99</f>
        <v>Coastal lagoons - Coastal lagoons</v>
      </c>
      <c r="B3" s="544" t="str">
        <f>'G-1 All Habitats'!N99</f>
        <v>Medium</v>
      </c>
      <c r="C3" s="544">
        <f>'G-1 All Habitats'!O99</f>
        <v>0.67</v>
      </c>
      <c r="D3" s="544" t="str">
        <f>'G-1 All Habitats'!P99</f>
        <v>Medium</v>
      </c>
      <c r="E3" s="544">
        <f>'G-1 All Habitats'!Q99</f>
        <v>0.67</v>
      </c>
      <c r="H3" s="103" t="s">
        <v>206</v>
      </c>
      <c r="I3" s="280" t="s">
        <v>906</v>
      </c>
      <c r="J3" s="280" t="s">
        <v>907</v>
      </c>
      <c r="L3" s="280" t="s">
        <v>906</v>
      </c>
      <c r="M3" s="103" t="s">
        <v>908</v>
      </c>
      <c r="N3" s="280" t="s">
        <v>323</v>
      </c>
      <c r="P3" s="130" t="s">
        <v>156</v>
      </c>
      <c r="Q3" s="544">
        <v>1</v>
      </c>
      <c r="S3" s="287" t="s">
        <v>66</v>
      </c>
      <c r="T3" s="287" t="s">
        <v>323</v>
      </c>
      <c r="W3" s="287" t="s">
        <v>16</v>
      </c>
      <c r="X3" s="287" t="s">
        <v>909</v>
      </c>
      <c r="Y3" s="287" t="s">
        <v>910</v>
      </c>
      <c r="Z3" s="287" t="s">
        <v>911</v>
      </c>
    </row>
    <row r="4" spans="1:26" ht="41.4" x14ac:dyDescent="0.25">
      <c r="A4" s="110" t="str">
        <f>'G-1 All Habitats'!B108</f>
        <v>Coastal saltmarsh - Saltmarshes and saline reedbeds</v>
      </c>
      <c r="B4" s="544" t="str">
        <f>'G-1 All Habitats'!N108</f>
        <v>High</v>
      </c>
      <c r="C4" s="544">
        <f>'G-1 All Habitats'!O108</f>
        <v>0.33</v>
      </c>
      <c r="D4" s="544" t="str">
        <f>'G-1 All Habitats'!P108</f>
        <v>Medium</v>
      </c>
      <c r="E4" s="544">
        <f>'G-1 All Habitats'!Q108</f>
        <v>0.67</v>
      </c>
      <c r="H4" s="130" t="s">
        <v>153</v>
      </c>
      <c r="I4" s="147" t="s">
        <v>912</v>
      </c>
      <c r="J4" s="188">
        <v>1.1499999999999999</v>
      </c>
      <c r="L4" s="130" t="s">
        <v>913</v>
      </c>
      <c r="M4" s="520" t="s">
        <v>914</v>
      </c>
      <c r="N4" s="544">
        <v>1.1499999999999999</v>
      </c>
      <c r="P4" s="130" t="s">
        <v>23</v>
      </c>
      <c r="Q4" s="544">
        <v>0.67</v>
      </c>
      <c r="S4" s="130" t="s">
        <v>915</v>
      </c>
      <c r="T4" s="520">
        <v>1</v>
      </c>
      <c r="W4" s="104" t="s">
        <v>22</v>
      </c>
      <c r="X4" s="544">
        <v>0.3</v>
      </c>
      <c r="Y4" s="544">
        <f>X4*12</f>
        <v>3.5999999999999996</v>
      </c>
      <c r="Z4" s="658">
        <f>3.14*(Y4*Y4)/10000</f>
        <v>4.0694399999999997E-3</v>
      </c>
    </row>
    <row r="5" spans="1:26" ht="27.6" x14ac:dyDescent="0.25">
      <c r="A5" s="110" t="str">
        <f>'G-1 All Habitats'!B3</f>
        <v>Cropland - Arable field margins cultivated annually</v>
      </c>
      <c r="B5" s="544" t="str">
        <f>'G-1 All Habitats'!N3</f>
        <v>Low</v>
      </c>
      <c r="C5" s="544">
        <f>'G-1 All Habitats'!O3</f>
        <v>1</v>
      </c>
      <c r="D5" s="544" t="str">
        <f>'G-1 All Habitats'!P3</f>
        <v>Low</v>
      </c>
      <c r="E5" s="544">
        <f>'G-1 All Habitats'!Q3</f>
        <v>1</v>
      </c>
      <c r="H5" s="130" t="s">
        <v>23</v>
      </c>
      <c r="I5" s="147" t="s">
        <v>916</v>
      </c>
      <c r="J5" s="188">
        <v>1.1000000000000001</v>
      </c>
      <c r="L5" s="130" t="s">
        <v>917</v>
      </c>
      <c r="M5" s="520" t="s">
        <v>918</v>
      </c>
      <c r="N5" s="544">
        <v>1.1000000000000001</v>
      </c>
      <c r="P5" s="130" t="s">
        <v>153</v>
      </c>
      <c r="Q5" s="544">
        <v>0.33</v>
      </c>
      <c r="S5" s="130" t="s">
        <v>919</v>
      </c>
      <c r="T5" s="520">
        <v>0.75</v>
      </c>
      <c r="W5" s="104" t="s">
        <v>23</v>
      </c>
      <c r="X5" s="544">
        <v>0.9</v>
      </c>
      <c r="Y5" s="544">
        <f t="shared" ref="Y5:Y6" si="0">X5*12</f>
        <v>10.8</v>
      </c>
      <c r="Z5" s="658">
        <f t="shared" ref="Z5:Z6" si="1">3.14*(Y5*Y5)/10000</f>
        <v>3.6624960000000005E-2</v>
      </c>
    </row>
    <row r="6" spans="1:26" ht="27.6" x14ac:dyDescent="0.25">
      <c r="A6" s="110" t="str">
        <f>'G-1 All Habitats'!B4</f>
        <v>Cropland - Arable field margins game bird mix</v>
      </c>
      <c r="B6" s="544" t="str">
        <f>'G-1 All Habitats'!N4</f>
        <v>Low</v>
      </c>
      <c r="C6" s="544">
        <f>'G-1 All Habitats'!O4</f>
        <v>1</v>
      </c>
      <c r="D6" s="544" t="str">
        <f>'G-1 All Habitats'!P4</f>
        <v>Low</v>
      </c>
      <c r="E6" s="544">
        <f>'G-1 All Habitats'!Q4</f>
        <v>1</v>
      </c>
      <c r="H6" s="288" t="s">
        <v>156</v>
      </c>
      <c r="I6" s="147" t="s">
        <v>920</v>
      </c>
      <c r="J6" s="188">
        <v>1</v>
      </c>
      <c r="L6" s="130" t="s">
        <v>921</v>
      </c>
      <c r="M6" s="520" t="s">
        <v>922</v>
      </c>
      <c r="N6" s="544">
        <v>1</v>
      </c>
      <c r="P6" s="130" t="s">
        <v>151</v>
      </c>
      <c r="Q6" s="544">
        <v>0.1</v>
      </c>
      <c r="S6" s="338" t="s">
        <v>923</v>
      </c>
      <c r="T6" s="520">
        <v>0.5</v>
      </c>
      <c r="W6" s="104" t="s">
        <v>24</v>
      </c>
      <c r="X6" s="544">
        <v>1.3</v>
      </c>
      <c r="Y6" s="544">
        <f t="shared" si="0"/>
        <v>15.600000000000001</v>
      </c>
      <c r="Z6" s="658">
        <f t="shared" si="1"/>
        <v>7.6415040000000017E-2</v>
      </c>
    </row>
    <row r="7" spans="1:26" ht="49.95" customHeight="1" x14ac:dyDescent="0.25">
      <c r="A7" s="110" t="str">
        <f>'G-1 All Habitats'!B5</f>
        <v>Cropland - Arable field margins pollen &amp; nectar</v>
      </c>
      <c r="B7" s="544" t="str">
        <f>'G-1 All Habitats'!N5</f>
        <v>Low</v>
      </c>
      <c r="C7" s="544">
        <f>'G-1 All Habitats'!O5</f>
        <v>1</v>
      </c>
      <c r="D7" s="544" t="str">
        <f>'G-1 All Habitats'!P5</f>
        <v>Low</v>
      </c>
      <c r="E7" s="544">
        <f>'G-1 All Habitats'!Q5</f>
        <v>1</v>
      </c>
      <c r="H7" s="288" t="s">
        <v>924</v>
      </c>
      <c r="I7" s="147" t="s">
        <v>925</v>
      </c>
      <c r="J7" s="188">
        <v>1</v>
      </c>
      <c r="S7" s="339" t="s">
        <v>926</v>
      </c>
      <c r="T7" s="520">
        <v>1</v>
      </c>
    </row>
    <row r="8" spans="1:26" ht="49.95" customHeight="1" x14ac:dyDescent="0.25">
      <c r="A8" s="110" t="str">
        <f>'G-1 All Habitats'!B6</f>
        <v>Cropland - Arable field margins tussocky</v>
      </c>
      <c r="B8" s="544" t="str">
        <f>'G-1 All Habitats'!N6</f>
        <v>Low</v>
      </c>
      <c r="C8" s="544">
        <f>'G-1 All Habitats'!O6</f>
        <v>1</v>
      </c>
      <c r="D8" s="544" t="str">
        <f>'G-1 All Habitats'!P6</f>
        <v>Low</v>
      </c>
      <c r="E8" s="544">
        <f>'G-1 All Habitats'!Q6</f>
        <v>1</v>
      </c>
      <c r="S8" s="339" t="s">
        <v>927</v>
      </c>
      <c r="T8" s="520">
        <v>0.75</v>
      </c>
    </row>
    <row r="9" spans="1:26" ht="49.95" customHeight="1" x14ac:dyDescent="0.25">
      <c r="A9" s="110" t="str">
        <f>'G-1 All Habitats'!B7</f>
        <v>Cropland - Cereal crops</v>
      </c>
      <c r="B9" s="544" t="str">
        <f>'G-1 All Habitats'!N7</f>
        <v>Low</v>
      </c>
      <c r="C9" s="544">
        <f>'G-1 All Habitats'!O7</f>
        <v>1</v>
      </c>
      <c r="D9" s="544" t="str">
        <f>'G-1 All Habitats'!P7</f>
        <v>Low</v>
      </c>
      <c r="E9" s="544">
        <f>'G-1 All Habitats'!Q7</f>
        <v>1</v>
      </c>
      <c r="S9" s="339" t="s">
        <v>928</v>
      </c>
      <c r="T9" s="520">
        <v>0.5</v>
      </c>
    </row>
    <row r="10" spans="1:26" x14ac:dyDescent="0.25">
      <c r="A10" s="110" t="str">
        <f>'G-1 All Habitats'!B8</f>
        <v>Cropland - Cereal crops winter stubble</v>
      </c>
      <c r="B10" s="544" t="str">
        <f>'G-1 All Habitats'!N8</f>
        <v>Low</v>
      </c>
      <c r="C10" s="544">
        <f>'G-1 All Habitats'!O8</f>
        <v>1</v>
      </c>
      <c r="D10" s="544" t="str">
        <f>'G-1 All Habitats'!P8</f>
        <v>Low</v>
      </c>
      <c r="E10" s="544">
        <f>'G-1 All Habitats'!Q8</f>
        <v>1</v>
      </c>
    </row>
    <row r="11" spans="1:26" x14ac:dyDescent="0.25">
      <c r="A11" s="110" t="str">
        <f>'G-1 All Habitats'!B9</f>
        <v>Cropland - Horticulture</v>
      </c>
      <c r="B11" s="544" t="str">
        <f>'G-1 All Habitats'!N9</f>
        <v>Low</v>
      </c>
      <c r="C11" s="544">
        <f>'G-1 All Habitats'!O9</f>
        <v>1</v>
      </c>
      <c r="D11" s="544" t="str">
        <f>'G-1 All Habitats'!P9</f>
        <v>Low</v>
      </c>
      <c r="E11" s="544">
        <f>'G-1 All Habitats'!Q9</f>
        <v>1</v>
      </c>
    </row>
    <row r="12" spans="1:26" x14ac:dyDescent="0.25">
      <c r="A12" s="110" t="str">
        <f>'G-1 All Habitats'!B10</f>
        <v>Cropland - Intensive orchards</v>
      </c>
      <c r="B12" s="544" t="str">
        <f>'G-1 All Habitats'!N10</f>
        <v>Low</v>
      </c>
      <c r="C12" s="544">
        <f>'G-1 All Habitats'!O10</f>
        <v>1</v>
      </c>
      <c r="D12" s="544" t="str">
        <f>'G-1 All Habitats'!P10</f>
        <v>Low</v>
      </c>
      <c r="E12" s="544">
        <f>'G-1 All Habitats'!Q10</f>
        <v>1</v>
      </c>
    </row>
    <row r="13" spans="1:26" x14ac:dyDescent="0.25">
      <c r="A13" s="110" t="str">
        <f>'G-1 All Habitats'!B11</f>
        <v>Cropland - Non-cereal crops</v>
      </c>
      <c r="B13" s="544" t="str">
        <f>'G-1 All Habitats'!N11</f>
        <v>Low</v>
      </c>
      <c r="C13" s="544">
        <f>'G-1 All Habitats'!O11</f>
        <v>1</v>
      </c>
      <c r="D13" s="544" t="str">
        <f>'G-1 All Habitats'!P11</f>
        <v>Low</v>
      </c>
      <c r="E13" s="544">
        <f>'G-1 All Habitats'!Q11</f>
        <v>1</v>
      </c>
    </row>
    <row r="14" spans="1:26" x14ac:dyDescent="0.25">
      <c r="A14" s="110" t="str">
        <f>'G-1 All Habitats'!B12</f>
        <v>Cropland - Temporary grass and clover leys</v>
      </c>
      <c r="B14" s="544" t="str">
        <f>'G-1 All Habitats'!N12</f>
        <v>Low</v>
      </c>
      <c r="C14" s="544">
        <f>'G-1 All Habitats'!O12</f>
        <v>1</v>
      </c>
      <c r="D14" s="544" t="str">
        <f>'G-1 All Habitats'!P12</f>
        <v>Low</v>
      </c>
      <c r="E14" s="544">
        <f>'G-1 All Habitats'!Q12</f>
        <v>1</v>
      </c>
    </row>
    <row r="15" spans="1:26" x14ac:dyDescent="0.25">
      <c r="A15" s="110" t="str">
        <f>'G-1 All Habitats'!B13</f>
        <v>Grassland - Traditional orchards</v>
      </c>
      <c r="B15" s="544" t="str">
        <f>'G-1 All Habitats'!N13</f>
        <v>Low</v>
      </c>
      <c r="C15" s="544">
        <f>'G-1 All Habitats'!O13</f>
        <v>1</v>
      </c>
      <c r="D15" s="544" t="str">
        <f>'G-1 All Habitats'!P13</f>
        <v>Medium</v>
      </c>
      <c r="E15" s="544">
        <f>'G-1 All Habitats'!Q13</f>
        <v>0.67</v>
      </c>
    </row>
    <row r="16" spans="1:26" x14ac:dyDescent="0.25">
      <c r="A16" s="110" t="str">
        <f>'G-1 All Habitats'!B14</f>
        <v>Grassland - Bracken</v>
      </c>
      <c r="B16" s="544" t="str">
        <f>'G-1 All Habitats'!N14</f>
        <v>Low</v>
      </c>
      <c r="C16" s="544">
        <f>'G-1 All Habitats'!O14</f>
        <v>1</v>
      </c>
      <c r="D16" s="544" t="str">
        <f>'G-1 All Habitats'!P14</f>
        <v>Low</v>
      </c>
      <c r="E16" s="544">
        <f>'G-1 All Habitats'!Q14</f>
        <v>1</v>
      </c>
    </row>
    <row r="17" spans="1:5" x14ac:dyDescent="0.25">
      <c r="A17" s="110" t="str">
        <f>'G-1 All Habitats'!B15</f>
        <v>Grassland - Floodplain Wetland Mosaic (CFGM)</v>
      </c>
      <c r="B17" s="544" t="str">
        <f>'G-1 All Habitats'!N15</f>
        <v>High</v>
      </c>
      <c r="C17" s="544">
        <f>'G-1 All Habitats'!O15</f>
        <v>0.33</v>
      </c>
      <c r="D17" s="544" t="str">
        <f>'G-1 All Habitats'!P15</f>
        <v>Medium</v>
      </c>
      <c r="E17" s="544">
        <f>'G-1 All Habitats'!Q15</f>
        <v>0.67</v>
      </c>
    </row>
    <row r="18" spans="1:5" x14ac:dyDescent="0.25">
      <c r="A18" s="110" t="str">
        <f>'G-1 All Habitats'!B16</f>
        <v>Grassland - Lowland calcareous grassland</v>
      </c>
      <c r="B18" s="544" t="str">
        <f>'G-1 All Habitats'!N16</f>
        <v>High</v>
      </c>
      <c r="C18" s="544">
        <f>'G-1 All Habitats'!O16</f>
        <v>0.33</v>
      </c>
      <c r="D18" s="544" t="str">
        <f>'G-1 All Habitats'!P16</f>
        <v>High</v>
      </c>
      <c r="E18" s="544">
        <f>'G-1 All Habitats'!Q16</f>
        <v>0.33</v>
      </c>
    </row>
    <row r="19" spans="1:5" x14ac:dyDescent="0.25">
      <c r="A19" s="110" t="str">
        <f>'G-1 All Habitats'!B17</f>
        <v>Grassland - Lowland dry acid grassland</v>
      </c>
      <c r="B19" s="544" t="str">
        <f>'G-1 All Habitats'!N17</f>
        <v>High</v>
      </c>
      <c r="C19" s="544">
        <f>'G-1 All Habitats'!O17</f>
        <v>0.33</v>
      </c>
      <c r="D19" s="544" t="str">
        <f>'G-1 All Habitats'!P17</f>
        <v>High</v>
      </c>
      <c r="E19" s="544">
        <f>'G-1 All Habitats'!Q17</f>
        <v>0.33</v>
      </c>
    </row>
    <row r="20" spans="1:5" x14ac:dyDescent="0.25">
      <c r="A20" s="110" t="str">
        <f>'G-1 All Habitats'!B18</f>
        <v>Grassland - Lowland meadows</v>
      </c>
      <c r="B20" s="544" t="str">
        <f>'G-1 All Habitats'!N18</f>
        <v>High</v>
      </c>
      <c r="C20" s="544">
        <f>'G-1 All Habitats'!O18</f>
        <v>0.33</v>
      </c>
      <c r="D20" s="544" t="str">
        <f>'G-1 All Habitats'!P18</f>
        <v>Medium</v>
      </c>
      <c r="E20" s="544">
        <f>'G-1 All Habitats'!Q18</f>
        <v>0.67</v>
      </c>
    </row>
    <row r="21" spans="1:5" x14ac:dyDescent="0.25">
      <c r="A21" s="110" t="str">
        <f>'G-1 All Habitats'!B19</f>
        <v>Grassland - Modified grassland</v>
      </c>
      <c r="B21" s="544" t="str">
        <f>'G-1 All Habitats'!N19</f>
        <v>Low</v>
      </c>
      <c r="C21" s="544">
        <f>'G-1 All Habitats'!O19</f>
        <v>1</v>
      </c>
      <c r="D21" s="544" t="str">
        <f>'G-1 All Habitats'!P19</f>
        <v>Low</v>
      </c>
      <c r="E21" s="544">
        <f>'G-1 All Habitats'!Q19</f>
        <v>1</v>
      </c>
    </row>
    <row r="22" spans="1:5" x14ac:dyDescent="0.25">
      <c r="A22" s="110" t="str">
        <f>'G-1 All Habitats'!B20</f>
        <v>Grassland - Other lowland acid grassland</v>
      </c>
      <c r="B22" s="544" t="str">
        <f>'G-1 All Habitats'!N20</f>
        <v>Low</v>
      </c>
      <c r="C22" s="544">
        <f>'G-1 All Habitats'!O20</f>
        <v>1</v>
      </c>
      <c r="D22" s="544" t="str">
        <f>'G-1 All Habitats'!P20</f>
        <v>Low</v>
      </c>
      <c r="E22" s="544">
        <f>'G-1 All Habitats'!Q20</f>
        <v>1</v>
      </c>
    </row>
    <row r="23" spans="1:5" x14ac:dyDescent="0.25">
      <c r="A23" s="110" t="str">
        <f>'G-1 All Habitats'!B21</f>
        <v>Grassland - Other neutral grassland</v>
      </c>
      <c r="B23" s="544" t="str">
        <f>'G-1 All Habitats'!N21</f>
        <v>Low</v>
      </c>
      <c r="C23" s="544">
        <f>'G-1 All Habitats'!O21</f>
        <v>1</v>
      </c>
      <c r="D23" s="544" t="str">
        <f>'G-1 All Habitats'!P21</f>
        <v>Low</v>
      </c>
      <c r="E23" s="544">
        <f>'G-1 All Habitats'!Q21</f>
        <v>1</v>
      </c>
    </row>
    <row r="24" spans="1:5" x14ac:dyDescent="0.25">
      <c r="A24" s="110" t="str">
        <f>'G-1 All Habitats'!B22</f>
        <v>Grassland - Tall herb communities (H6430)</v>
      </c>
      <c r="B24" s="544" t="str">
        <f>'G-1 All Habitats'!N22</f>
        <v>High</v>
      </c>
      <c r="C24" s="544">
        <f>'G-1 All Habitats'!O22</f>
        <v>0.33</v>
      </c>
      <c r="D24" s="544" t="str">
        <f>'G-1 All Habitats'!P22</f>
        <v>High</v>
      </c>
      <c r="E24" s="544">
        <f>'G-1 All Habitats'!Q22</f>
        <v>0.33</v>
      </c>
    </row>
    <row r="25" spans="1:5" x14ac:dyDescent="0.25">
      <c r="A25" s="110" t="str">
        <f>'G-1 All Habitats'!B23</f>
        <v>Grassland - Upland acid grassland</v>
      </c>
      <c r="B25" s="544" t="str">
        <f>'G-1 All Habitats'!N23</f>
        <v>Low</v>
      </c>
      <c r="C25" s="544">
        <f>'G-1 All Habitats'!O23</f>
        <v>1</v>
      </c>
      <c r="D25" s="544" t="str">
        <f>'G-1 All Habitats'!P23</f>
        <v>Low</v>
      </c>
      <c r="E25" s="544">
        <f>'G-1 All Habitats'!Q23</f>
        <v>1</v>
      </c>
    </row>
    <row r="26" spans="1:5" x14ac:dyDescent="0.25">
      <c r="A26" s="110" t="str">
        <f>'G-1 All Habitats'!B24</f>
        <v>Grassland - Upland calcareous grassland</v>
      </c>
      <c r="B26" s="544" t="str">
        <f>'G-1 All Habitats'!N24</f>
        <v>High</v>
      </c>
      <c r="C26" s="544">
        <f>'G-1 All Habitats'!O24</f>
        <v>0.33</v>
      </c>
      <c r="D26" s="544" t="str">
        <f>'G-1 All Habitats'!P24</f>
        <v>High</v>
      </c>
      <c r="E26" s="544">
        <f>'G-1 All Habitats'!Q24</f>
        <v>0.33</v>
      </c>
    </row>
    <row r="27" spans="1:5" x14ac:dyDescent="0.25">
      <c r="A27" s="110" t="str">
        <f>'G-1 All Habitats'!B25</f>
        <v>Grassland - Upland hay meadows</v>
      </c>
      <c r="B27" s="544" t="str">
        <f>'G-1 All Habitats'!N25</f>
        <v>High</v>
      </c>
      <c r="C27" s="544">
        <f>'G-1 All Habitats'!O25</f>
        <v>0.33</v>
      </c>
      <c r="D27" s="544" t="str">
        <f>'G-1 All Habitats'!P25</f>
        <v>Medium</v>
      </c>
      <c r="E27" s="544">
        <f>'G-1 All Habitats'!Q25</f>
        <v>0.67</v>
      </c>
    </row>
    <row r="28" spans="1:5" x14ac:dyDescent="0.25">
      <c r="A28" s="110" t="str">
        <f>'G-1 All Habitats'!B26</f>
        <v>Heathland and shrub - Blackthorn scrub</v>
      </c>
      <c r="B28" s="544" t="str">
        <f>'G-1 All Habitats'!N26</f>
        <v>Low</v>
      </c>
      <c r="C28" s="544">
        <f>'G-1 All Habitats'!O26</f>
        <v>1</v>
      </c>
      <c r="D28" s="544" t="str">
        <f>'G-1 All Habitats'!P26</f>
        <v>Low</v>
      </c>
      <c r="E28" s="544">
        <f>'G-1 All Habitats'!Q26</f>
        <v>1</v>
      </c>
    </row>
    <row r="29" spans="1:5" x14ac:dyDescent="0.25">
      <c r="A29" s="110" t="str">
        <f>'G-1 All Habitats'!B27</f>
        <v>Heathland and shrub - Bramble scrub</v>
      </c>
      <c r="B29" s="544" t="str">
        <f>'G-1 All Habitats'!N27</f>
        <v>Low</v>
      </c>
      <c r="C29" s="544">
        <f>'G-1 All Habitats'!O27</f>
        <v>1</v>
      </c>
      <c r="D29" s="544" t="str">
        <f>'G-1 All Habitats'!P27</f>
        <v>Low</v>
      </c>
      <c r="E29" s="544">
        <f>'G-1 All Habitats'!Q27</f>
        <v>1</v>
      </c>
    </row>
    <row r="30" spans="1:5" x14ac:dyDescent="0.25">
      <c r="A30" s="110" t="str">
        <f>'G-1 All Habitats'!B28</f>
        <v>Heathland and shrub - Gorse scrub</v>
      </c>
      <c r="B30" s="544" t="str">
        <f>'G-1 All Habitats'!N28</f>
        <v>Low</v>
      </c>
      <c r="C30" s="544">
        <f>'G-1 All Habitats'!O28</f>
        <v>1</v>
      </c>
      <c r="D30" s="544" t="str">
        <f>'G-1 All Habitats'!P28</f>
        <v>Low</v>
      </c>
      <c r="E30" s="544">
        <f>'G-1 All Habitats'!Q28</f>
        <v>1</v>
      </c>
    </row>
    <row r="31" spans="1:5" x14ac:dyDescent="0.25">
      <c r="A31" s="110" t="str">
        <f>'G-1 All Habitats'!B29</f>
        <v>Heathland and shrub - Hawthorn scrub</v>
      </c>
      <c r="B31" s="544" t="str">
        <f>'G-1 All Habitats'!N29</f>
        <v>Low</v>
      </c>
      <c r="C31" s="544">
        <f>'G-1 All Habitats'!O29</f>
        <v>1</v>
      </c>
      <c r="D31" s="544" t="str">
        <f>'G-1 All Habitats'!P29</f>
        <v>Low</v>
      </c>
      <c r="E31" s="544">
        <f>'G-1 All Habitats'!Q29</f>
        <v>1</v>
      </c>
    </row>
    <row r="32" spans="1:5" x14ac:dyDescent="0.25">
      <c r="A32" s="110" t="str">
        <f>'G-1 All Habitats'!B30</f>
        <v>Heathland and shrub - Hazel scrub</v>
      </c>
      <c r="B32" s="544" t="s">
        <v>23</v>
      </c>
      <c r="C32" s="544">
        <f>'G-1 All Habitats'!O30</f>
        <v>1</v>
      </c>
      <c r="D32" s="544" t="s">
        <v>23</v>
      </c>
      <c r="E32" s="544">
        <f>'G-1 All Habitats'!Q30</f>
        <v>1</v>
      </c>
    </row>
    <row r="33" spans="1:5" x14ac:dyDescent="0.25">
      <c r="A33" s="110" t="str">
        <f>'G-1 All Habitats'!B31</f>
        <v>Heathland and shrub - Lowland Heathland</v>
      </c>
      <c r="B33" s="544" t="str">
        <f>'G-1 All Habitats'!N31</f>
        <v>High</v>
      </c>
      <c r="C33" s="544">
        <f>'G-1 All Habitats'!O31</f>
        <v>0.33</v>
      </c>
      <c r="D33" s="544" t="str">
        <f>'G-1 All Habitats'!P31</f>
        <v>Medium</v>
      </c>
      <c r="E33" s="544">
        <f>'G-1 All Habitats'!Q31</f>
        <v>0.67</v>
      </c>
    </row>
    <row r="34" spans="1:5" x14ac:dyDescent="0.25">
      <c r="A34" s="110" t="str">
        <f>'G-1 All Habitats'!B32</f>
        <v>Heathland and shrub - Mixed scrub</v>
      </c>
      <c r="B34" s="544" t="str">
        <f>'G-1 All Habitats'!N32</f>
        <v>Low</v>
      </c>
      <c r="C34" s="544">
        <f>'G-1 All Habitats'!O32</f>
        <v>1</v>
      </c>
      <c r="D34" s="544" t="str">
        <f>'G-1 All Habitats'!P32</f>
        <v>Low</v>
      </c>
      <c r="E34" s="544">
        <f>'G-1 All Habitats'!Q32</f>
        <v>1</v>
      </c>
    </row>
    <row r="35" spans="1:5" x14ac:dyDescent="0.25">
      <c r="A35" s="110" t="str">
        <f>'G-1 All Habitats'!B33</f>
        <v>Heathland and shrub - Mountain heaths and willow scrub</v>
      </c>
      <c r="B35" s="544" t="str">
        <f>'G-1 All Habitats'!N33</f>
        <v>High</v>
      </c>
      <c r="C35" s="544">
        <f>'G-1 All Habitats'!O33</f>
        <v>0.33</v>
      </c>
      <c r="D35" s="544" t="str">
        <f>'G-1 All Habitats'!P33</f>
        <v>High</v>
      </c>
      <c r="E35" s="544">
        <f>'G-1 All Habitats'!Q33</f>
        <v>0.33</v>
      </c>
    </row>
    <row r="36" spans="1:5" x14ac:dyDescent="0.25">
      <c r="A36" s="110" t="str">
        <f>'G-1 All Habitats'!B34</f>
        <v>Heathland and shrub - Rhododendron scrub</v>
      </c>
      <c r="B36" s="544" t="str">
        <f>'G-1 All Habitats'!N34</f>
        <v>Low</v>
      </c>
      <c r="C36" s="544">
        <f>'G-1 All Habitats'!O34</f>
        <v>1</v>
      </c>
      <c r="D36" s="544" t="str">
        <f>'G-1 All Habitats'!P34</f>
        <v>Low</v>
      </c>
      <c r="E36" s="544">
        <f>'G-1 All Habitats'!Q34</f>
        <v>1</v>
      </c>
    </row>
    <row r="37" spans="1:5" x14ac:dyDescent="0.25">
      <c r="A37" s="110" t="str">
        <f>'G-1 All Habitats'!B35</f>
        <v>Heathland and shrub - Sea buckthorn scrub (Annex 1)</v>
      </c>
      <c r="B37" s="544" t="str">
        <f>'G-1 All Habitats'!N35</f>
        <v>Medium</v>
      </c>
      <c r="C37" s="544">
        <f>'G-1 All Habitats'!O35</f>
        <v>0.67</v>
      </c>
      <c r="D37" s="544" t="str">
        <f>'G-1 All Habitats'!P35</f>
        <v>Low</v>
      </c>
      <c r="E37" s="544">
        <f>'G-1 All Habitats'!Q35</f>
        <v>1</v>
      </c>
    </row>
    <row r="38" spans="1:5" x14ac:dyDescent="0.25">
      <c r="A38" s="110" t="str">
        <f>'G-1 All Habitats'!B36</f>
        <v>Heathland and shrub - Sea buckthorn scrub (other)</v>
      </c>
      <c r="B38" s="544" t="str">
        <f>'G-1 All Habitats'!N36</f>
        <v>Low</v>
      </c>
      <c r="C38" s="544">
        <f>'G-1 All Habitats'!O36</f>
        <v>1</v>
      </c>
      <c r="D38" s="544" t="str">
        <f>'G-1 All Habitats'!P36</f>
        <v>Low</v>
      </c>
      <c r="E38" s="544">
        <f>'G-1 All Habitats'!Q36</f>
        <v>1</v>
      </c>
    </row>
    <row r="39" spans="1:5" x14ac:dyDescent="0.25">
      <c r="A39" s="110" t="str">
        <f>'G-1 All Habitats'!B37</f>
        <v>Heathland and shrub - Upland Heathland</v>
      </c>
      <c r="B39" s="544" t="str">
        <f>'G-1 All Habitats'!N37</f>
        <v>Medium</v>
      </c>
      <c r="C39" s="544">
        <f>'G-1 All Habitats'!O37</f>
        <v>0.67</v>
      </c>
      <c r="D39" s="544" t="str">
        <f>'G-1 All Habitats'!P37</f>
        <v>Medium</v>
      </c>
      <c r="E39" s="544">
        <f>'G-1 All Habitats'!Q37</f>
        <v>0.67</v>
      </c>
    </row>
    <row r="40" spans="1:5" x14ac:dyDescent="0.25">
      <c r="A40" s="110" t="str">
        <f>'G-1 All Habitats'!B124</f>
        <v>Intertidal sediment - Artificial littoral biogenic reefs</v>
      </c>
      <c r="B40" s="544" t="str">
        <f>'G-1 All Habitats'!N124</f>
        <v>High</v>
      </c>
      <c r="C40" s="544">
        <f>'G-1 All Habitats'!O124</f>
        <v>0.33</v>
      </c>
      <c r="D40" s="544" t="str">
        <f>'G-1 All Habitats'!P124</f>
        <v>Medium</v>
      </c>
      <c r="E40" s="544">
        <f>'G-1 All Habitats'!Q124</f>
        <v>0.67</v>
      </c>
    </row>
    <row r="41" spans="1:5" x14ac:dyDescent="0.25">
      <c r="A41" s="110" t="str">
        <f>'G-1 All Habitats'!B118</f>
        <v>Intertidal sediment - Artificial littoral coarse sediment</v>
      </c>
      <c r="B41" s="544" t="str">
        <f>'G-1 All Habitats'!N118</f>
        <v>Medium</v>
      </c>
      <c r="C41" s="544">
        <f>'G-1 All Habitats'!O118</f>
        <v>0.67</v>
      </c>
      <c r="D41" s="544" t="str">
        <f>'G-1 All Habitats'!P118</f>
        <v>Medium</v>
      </c>
      <c r="E41" s="544">
        <f>'G-1 All Habitats'!Q118</f>
        <v>0.67</v>
      </c>
    </row>
    <row r="42" spans="1:5" x14ac:dyDescent="0.25">
      <c r="A42" s="110" t="str">
        <f>'G-1 All Habitats'!B122</f>
        <v>Intertidal sediment - Artificial littoral mixed sediments</v>
      </c>
      <c r="B42" s="544" t="str">
        <f>'G-1 All Habitats'!N122</f>
        <v>High</v>
      </c>
      <c r="C42" s="544">
        <f>'G-1 All Habitats'!O122</f>
        <v>0.33</v>
      </c>
      <c r="D42" s="544" t="str">
        <f>'G-1 All Habitats'!P122</f>
        <v>Medium</v>
      </c>
      <c r="E42" s="544">
        <f>'G-1 All Habitats'!Q122</f>
        <v>0.67</v>
      </c>
    </row>
    <row r="43" spans="1:5" x14ac:dyDescent="0.25">
      <c r="A43" s="110" t="str">
        <f>'G-1 All Habitats'!B121</f>
        <v>Intertidal sediment - Artificial littoral muddy sand</v>
      </c>
      <c r="B43" s="544" t="str">
        <f>'G-1 All Habitats'!N121</f>
        <v>High</v>
      </c>
      <c r="C43" s="544">
        <f>'G-1 All Habitats'!O121</f>
        <v>0.33</v>
      </c>
      <c r="D43" s="544" t="str">
        <f>'G-1 All Habitats'!P121</f>
        <v>Medium</v>
      </c>
      <c r="E43" s="544">
        <f>'G-1 All Habitats'!Q121</f>
        <v>0.67</v>
      </c>
    </row>
    <row r="44" spans="1:5" x14ac:dyDescent="0.25">
      <c r="A44" s="110" t="str">
        <f>'G-1 All Habitats'!B123</f>
        <v>Intertidal sediment - Artificial littoral seagrass</v>
      </c>
      <c r="B44" s="544" t="str">
        <f>'G-1 All Habitats'!N123</f>
        <v>High</v>
      </c>
      <c r="C44" s="544">
        <f>'G-1 All Habitats'!O123</f>
        <v>0.33</v>
      </c>
      <c r="D44" s="544" t="str">
        <f>'G-1 All Habitats'!P123</f>
        <v>High</v>
      </c>
      <c r="E44" s="544">
        <f>'G-1 All Habitats'!Q123</f>
        <v>0.33</v>
      </c>
    </row>
    <row r="45" spans="1:5" x14ac:dyDescent="0.25">
      <c r="A45" s="110" t="str">
        <f>'G-1 All Habitats'!B117</f>
        <v>Intertidal sediment - Features of littoral sediment</v>
      </c>
      <c r="B45" s="544" t="str">
        <f>'G-1 All Habitats'!N117</f>
        <v>High</v>
      </c>
      <c r="C45" s="544">
        <f>'G-1 All Habitats'!O117</f>
        <v>0.33</v>
      </c>
      <c r="D45" s="544" t="str">
        <f>'G-1 All Habitats'!P117</f>
        <v>Medium</v>
      </c>
      <c r="E45" s="544">
        <f>'G-1 All Habitats'!Q117</f>
        <v>0.67</v>
      </c>
    </row>
    <row r="46" spans="1:5" x14ac:dyDescent="0.25">
      <c r="A46" s="110" t="str">
        <f>'G-1 All Habitats'!B116</f>
        <v>Intertidal sediment - Littoral biogenic reefs - Sabellaria</v>
      </c>
      <c r="B46" s="544" t="str">
        <f>'G-1 All Habitats'!N116</f>
        <v>High</v>
      </c>
      <c r="C46" s="544">
        <f>'G-1 All Habitats'!O116</f>
        <v>0.33</v>
      </c>
      <c r="D46" s="544" t="str">
        <f>'G-1 All Habitats'!P116</f>
        <v>Medium</v>
      </c>
      <c r="E46" s="544">
        <f>'G-1 All Habitats'!Q116</f>
        <v>0.67</v>
      </c>
    </row>
    <row r="47" spans="1:5" x14ac:dyDescent="0.25">
      <c r="A47" s="110" t="str">
        <f>'G-1 All Habitats'!B110</f>
        <v>Intertidal sediment - Littoral coarse sediment</v>
      </c>
      <c r="B47" s="544" t="str">
        <f>'G-1 All Habitats'!N110</f>
        <v>Medium</v>
      </c>
      <c r="C47" s="544">
        <f>'G-1 All Habitats'!O110</f>
        <v>0.67</v>
      </c>
      <c r="D47" s="544" t="str">
        <f>'G-1 All Habitats'!P110</f>
        <v>Medium</v>
      </c>
      <c r="E47" s="544">
        <f>'G-1 All Habitats'!Q110</f>
        <v>0.67</v>
      </c>
    </row>
    <row r="48" spans="1:5" x14ac:dyDescent="0.25">
      <c r="A48" s="110" t="str">
        <f>'G-1 All Habitats'!B112</f>
        <v>Intertidal sediment - Littoral mixed sediments</v>
      </c>
      <c r="B48" s="544" t="str">
        <f>'G-1 All Habitats'!N112</f>
        <v>High</v>
      </c>
      <c r="C48" s="544">
        <f>'G-1 All Habitats'!O112</f>
        <v>0.33</v>
      </c>
      <c r="D48" s="544" t="str">
        <f>'G-1 All Habitats'!P112</f>
        <v>Medium</v>
      </c>
      <c r="E48" s="544">
        <f>'G-1 All Habitats'!Q112</f>
        <v>0.67</v>
      </c>
    </row>
    <row r="49" spans="1:5" x14ac:dyDescent="0.25">
      <c r="A49" s="110" t="str">
        <f>'G-1 All Habitats'!B111</f>
        <v>Intertidal sediment - Littoral mud</v>
      </c>
      <c r="B49" s="544" t="str">
        <f>'G-1 All Habitats'!N111</f>
        <v>High</v>
      </c>
      <c r="C49" s="544">
        <f>'G-1 All Habitats'!O111</f>
        <v>0.33</v>
      </c>
      <c r="D49" s="544" t="str">
        <f>'G-1 All Habitats'!P111</f>
        <v>Medium</v>
      </c>
      <c r="E49" s="544">
        <f>'G-1 All Habitats'!Q111</f>
        <v>0.67</v>
      </c>
    </row>
    <row r="50" spans="1:5" x14ac:dyDescent="0.25">
      <c r="A50" s="110" t="str">
        <f>'G-1 All Habitats'!B113</f>
        <v>Intertidal sediment - Littoral seagrass</v>
      </c>
      <c r="B50" s="544" t="str">
        <f>'G-1 All Habitats'!N113</f>
        <v>High</v>
      </c>
      <c r="C50" s="544">
        <f>'G-1 All Habitats'!O113</f>
        <v>0.33</v>
      </c>
      <c r="D50" s="544" t="str">
        <f>'G-1 All Habitats'!P113</f>
        <v>High</v>
      </c>
      <c r="E50" s="544">
        <f>'G-1 All Habitats'!Q113</f>
        <v>0.33</v>
      </c>
    </row>
    <row r="51" spans="1:5" x14ac:dyDescent="0.25">
      <c r="A51" s="110" t="str">
        <f>'G-1 All Habitats'!B114</f>
        <v>Intertidal sediment - Littoral seagrass on peat, clay or chalk</v>
      </c>
      <c r="B51" s="544" t="str">
        <f>'G-1 All Habitats'!N114</f>
        <v>Very High</v>
      </c>
      <c r="C51" s="544">
        <f>'G-1 All Habitats'!O114</f>
        <v>0.1</v>
      </c>
      <c r="D51" s="544" t="str">
        <f>'G-1 All Habitats'!P114</f>
        <v>High</v>
      </c>
      <c r="E51" s="544">
        <f>'G-1 All Habitats'!Q114</f>
        <v>0.33</v>
      </c>
    </row>
    <row r="52" spans="1:5" x14ac:dyDescent="0.25">
      <c r="A52" s="110" t="str">
        <f>'G-1 All Habitats'!B38</f>
        <v>Lakes - Aquifer fed naturally fluctuating water bodies</v>
      </c>
      <c r="B52" s="544" t="str">
        <f>'G-1 All Habitats'!N38</f>
        <v>Very High</v>
      </c>
      <c r="C52" s="544">
        <f>'G-1 All Habitats'!O38</f>
        <v>0.1</v>
      </c>
      <c r="D52" s="544" t="str">
        <f>'G-1 All Habitats'!P38</f>
        <v>High</v>
      </c>
      <c r="E52" s="544">
        <f>'G-1 All Habitats'!Q38</f>
        <v>0.33</v>
      </c>
    </row>
    <row r="53" spans="1:5" x14ac:dyDescent="0.25">
      <c r="A53" s="110" t="str">
        <f>'G-1 All Habitats'!B39</f>
        <v>Lakes - Ornamental lake or pond</v>
      </c>
      <c r="B53" s="544" t="str">
        <f>'G-1 All Habitats'!N39</f>
        <v>Low</v>
      </c>
      <c r="C53" s="544">
        <f>'G-1 All Habitats'!O39</f>
        <v>1</v>
      </c>
      <c r="D53" s="544" t="str">
        <f>'G-1 All Habitats'!P39</f>
        <v>High</v>
      </c>
      <c r="E53" s="544">
        <f>'G-1 All Habitats'!Q39</f>
        <v>0.33</v>
      </c>
    </row>
    <row r="54" spans="1:5" x14ac:dyDescent="0.25">
      <c r="A54" s="110" t="str">
        <f>'G-1 All Habitats'!B40</f>
        <v>Lakes - High alkalinity lakes</v>
      </c>
      <c r="B54" s="544" t="str">
        <f>'G-1 All Habitats'!N40</f>
        <v>High</v>
      </c>
      <c r="C54" s="544">
        <f>'G-1 All Habitats'!O40</f>
        <v>0.33</v>
      </c>
      <c r="D54" s="544" t="str">
        <f>'G-1 All Habitats'!P40</f>
        <v>High</v>
      </c>
      <c r="E54" s="544">
        <f>'G-1 All Habitats'!Q40</f>
        <v>0.33</v>
      </c>
    </row>
    <row r="55" spans="1:5" x14ac:dyDescent="0.25">
      <c r="A55" s="110" t="str">
        <f>'G-1 All Habitats'!B41</f>
        <v>Lakes - Low alkalinity lakes</v>
      </c>
      <c r="B55" s="544" t="str">
        <f>'G-1 All Habitats'!N41</f>
        <v>High</v>
      </c>
      <c r="C55" s="544">
        <f>'G-1 All Habitats'!O41</f>
        <v>0.33</v>
      </c>
      <c r="D55" s="544" t="str">
        <f>'G-1 All Habitats'!P41</f>
        <v>Medium</v>
      </c>
      <c r="E55" s="544">
        <f>'G-1 All Habitats'!Q41</f>
        <v>0.67</v>
      </c>
    </row>
    <row r="56" spans="1:5" x14ac:dyDescent="0.25">
      <c r="A56" s="110" t="str">
        <f>'G-1 All Habitats'!B42</f>
        <v>Lakes - Marl Lakes</v>
      </c>
      <c r="B56" s="544" t="str">
        <f>'G-1 All Habitats'!N42</f>
        <v>High</v>
      </c>
      <c r="C56" s="544">
        <f>'G-1 All Habitats'!O42</f>
        <v>0.33</v>
      </c>
      <c r="D56" s="544" t="str">
        <f>'G-1 All Habitats'!P42</f>
        <v>High</v>
      </c>
      <c r="E56" s="544">
        <f>'G-1 All Habitats'!Q42</f>
        <v>0.33</v>
      </c>
    </row>
    <row r="57" spans="1:5" x14ac:dyDescent="0.25">
      <c r="A57" s="110" t="str">
        <f>'G-1 All Habitats'!B43</f>
        <v>Lakes - Moderate alkalinity lakes</v>
      </c>
      <c r="B57" s="544" t="str">
        <f>'G-1 All Habitats'!N43</f>
        <v>High</v>
      </c>
      <c r="C57" s="544">
        <f>'G-1 All Habitats'!O43</f>
        <v>0.33</v>
      </c>
      <c r="D57" s="544" t="str">
        <f>'G-1 All Habitats'!P43</f>
        <v>High</v>
      </c>
      <c r="E57" s="544">
        <f>'G-1 All Habitats'!Q43</f>
        <v>0.33</v>
      </c>
    </row>
    <row r="58" spans="1:5" x14ac:dyDescent="0.25">
      <c r="A58" s="110" t="str">
        <f>'G-1 All Habitats'!B44</f>
        <v>Lakes - Peat Lakes</v>
      </c>
      <c r="B58" s="544" t="str">
        <f>'G-1 All Habitats'!N44</f>
        <v>High</v>
      </c>
      <c r="C58" s="544">
        <f>'G-1 All Habitats'!O44</f>
        <v>0.33</v>
      </c>
      <c r="D58" s="544" t="str">
        <f>'G-1 All Habitats'!P44</f>
        <v>High</v>
      </c>
      <c r="E58" s="544">
        <f>'G-1 All Habitats'!Q44</f>
        <v>0.33</v>
      </c>
    </row>
    <row r="59" spans="1:5" x14ac:dyDescent="0.25">
      <c r="A59" s="110" t="str">
        <f>'G-1 All Habitats'!B46</f>
        <v>Lakes - Ponds (Non- Priority Habitat)</v>
      </c>
      <c r="B59" s="544" t="str">
        <f>'G-1 All Habitats'!N46</f>
        <v>Low</v>
      </c>
      <c r="C59" s="544">
        <f>'G-1 All Habitats'!O46</f>
        <v>1</v>
      </c>
      <c r="D59" s="544" t="str">
        <f>'G-1 All Habitats'!P46</f>
        <v>Medium</v>
      </c>
      <c r="E59" s="544">
        <f>'G-1 All Habitats'!Q46</f>
        <v>0.67</v>
      </c>
    </row>
    <row r="60" spans="1:5" x14ac:dyDescent="0.25">
      <c r="A60" s="110" t="str">
        <f>'G-1 All Habitats'!B45</f>
        <v>Lakes - Ponds (Priority Habitat)</v>
      </c>
      <c r="B60" s="544" t="str">
        <f>'G-1 All Habitats'!N45</f>
        <v>Medium</v>
      </c>
      <c r="C60" s="544">
        <f>'G-1 All Habitats'!O45</f>
        <v>0.67</v>
      </c>
      <c r="D60" s="544" t="str">
        <f>'G-1 All Habitats'!P45</f>
        <v>Medium</v>
      </c>
      <c r="E60" s="544">
        <f>'G-1 All Habitats'!Q45</f>
        <v>0.67</v>
      </c>
    </row>
    <row r="61" spans="1:5" x14ac:dyDescent="0.25">
      <c r="A61" s="110" t="str">
        <f>'G-1 All Habitats'!B47</f>
        <v>Lakes - Reservoirs</v>
      </c>
      <c r="B61" s="544" t="str">
        <f>'G-1 All Habitats'!N47</f>
        <v>Medium</v>
      </c>
      <c r="C61" s="544">
        <f>'G-1 All Habitats'!O47</f>
        <v>0.67</v>
      </c>
      <c r="D61" s="544" t="str">
        <f>'G-1 All Habitats'!P47</f>
        <v>Medium</v>
      </c>
      <c r="E61" s="544">
        <f>'G-1 All Habitats'!Q47</f>
        <v>0.67</v>
      </c>
    </row>
    <row r="62" spans="1:5" x14ac:dyDescent="0.25">
      <c r="A62" s="110" t="str">
        <f>'G-1 All Habitats'!B48</f>
        <v>Lakes - Temporary lakes, ponds and pools</v>
      </c>
      <c r="B62" s="544" t="str">
        <f>'G-1 All Habitats'!N48</f>
        <v>Medium</v>
      </c>
      <c r="C62" s="544">
        <f>'G-1 All Habitats'!O48</f>
        <v>0.67</v>
      </c>
      <c r="D62" s="544" t="str">
        <f>'G-1 All Habitats'!P48</f>
        <v>Medium</v>
      </c>
      <c r="E62" s="544">
        <f>'G-1 All Habitats'!Q48</f>
        <v>0.67</v>
      </c>
    </row>
    <row r="63" spans="1:5" x14ac:dyDescent="0.25">
      <c r="A63" s="110" t="str">
        <f>'G-1 All Habitats'!B106</f>
        <v>Rocky shore - Features of littoral rock</v>
      </c>
      <c r="B63" s="544" t="str">
        <f>'G-1 All Habitats'!N106</f>
        <v>High</v>
      </c>
      <c r="C63" s="544">
        <f>'G-1 All Habitats'!O106</f>
        <v>0.33</v>
      </c>
      <c r="D63" s="544" t="str">
        <f>'G-1 All Habitats'!P106</f>
        <v>Medium</v>
      </c>
      <c r="E63" s="544">
        <f>'G-1 All Habitats'!Q106</f>
        <v>0.67</v>
      </c>
    </row>
    <row r="64" spans="1:5" x14ac:dyDescent="0.25">
      <c r="A64" s="110" t="str">
        <f>'G-1 All Habitats'!B107</f>
        <v>Rocky shore - Features of littoral rock - on peat, clay or chalk</v>
      </c>
      <c r="B64" s="544" t="str">
        <f>'G-1 All Habitats'!N107</f>
        <v>Very High</v>
      </c>
      <c r="C64" s="544">
        <f>'G-1 All Habitats'!O107</f>
        <v>0.1</v>
      </c>
      <c r="D64" s="544" t="str">
        <f>'G-1 All Habitats'!P107</f>
        <v>Medium</v>
      </c>
      <c r="E64" s="544">
        <f>'G-1 All Habitats'!Q107</f>
        <v>0.67</v>
      </c>
    </row>
    <row r="65" spans="1:5" x14ac:dyDescent="0.25">
      <c r="A65" s="110" t="str">
        <f>'G-1 All Habitats'!B100</f>
        <v>Rocky shore - High energy littoral rock</v>
      </c>
      <c r="B65" s="544" t="str">
        <f>'G-1 All Habitats'!N100</f>
        <v>High</v>
      </c>
      <c r="C65" s="544">
        <f>'G-1 All Habitats'!O100</f>
        <v>0.33</v>
      </c>
      <c r="D65" s="544" t="str">
        <f>'G-1 All Habitats'!P100</f>
        <v>Medium</v>
      </c>
      <c r="E65" s="544">
        <f>'G-1 All Habitats'!Q100</f>
        <v>0.67</v>
      </c>
    </row>
    <row r="66" spans="1:5" x14ac:dyDescent="0.25">
      <c r="A66" s="110" t="str">
        <f>'G-1 All Habitats'!B101</f>
        <v>Rocky shore - High energy littoral rock - on peat, clay or chalk</v>
      </c>
      <c r="B66" s="544" t="str">
        <f>'G-1 All Habitats'!N101</f>
        <v>Very High</v>
      </c>
      <c r="C66" s="544">
        <f>'G-1 All Habitats'!O101</f>
        <v>0.1</v>
      </c>
      <c r="D66" s="544" t="str">
        <f>'G-1 All Habitats'!P101</f>
        <v>Medium</v>
      </c>
      <c r="E66" s="544">
        <f>'G-1 All Habitats'!Q101</f>
        <v>0.67</v>
      </c>
    </row>
    <row r="67" spans="1:5" x14ac:dyDescent="0.25">
      <c r="A67" s="110" t="str">
        <f>'G-1 All Habitats'!B104</f>
        <v>Rocky shore - Low energy littoral rock</v>
      </c>
      <c r="B67" s="544" t="str">
        <f>'G-1 All Habitats'!N104</f>
        <v>High</v>
      </c>
      <c r="C67" s="544">
        <f>'G-1 All Habitats'!O104</f>
        <v>0.33</v>
      </c>
      <c r="D67" s="544" t="str">
        <f>'G-1 All Habitats'!P104</f>
        <v>Medium</v>
      </c>
      <c r="E67" s="544">
        <f>'G-1 All Habitats'!Q104</f>
        <v>0.67</v>
      </c>
    </row>
    <row r="68" spans="1:5" x14ac:dyDescent="0.25">
      <c r="A68" s="110" t="str">
        <f>'G-1 All Habitats'!B105</f>
        <v>Rocky shore - Low energy littoral rock - on peat, clay or chalk</v>
      </c>
      <c r="B68" s="544" t="str">
        <f>'G-1 All Habitats'!N105</f>
        <v>Very High</v>
      </c>
      <c r="C68" s="544">
        <f>'G-1 All Habitats'!O105</f>
        <v>0.1</v>
      </c>
      <c r="D68" s="544" t="str">
        <f>'G-1 All Habitats'!P105</f>
        <v>Medium</v>
      </c>
      <c r="E68" s="544">
        <f>'G-1 All Habitats'!Q105</f>
        <v>0.67</v>
      </c>
    </row>
    <row r="69" spans="1:5" x14ac:dyDescent="0.25">
      <c r="A69" s="110" t="str">
        <f>'G-1 All Habitats'!B102</f>
        <v>Rocky shore - Moderate energy littoral rock</v>
      </c>
      <c r="B69" s="544" t="str">
        <f>'G-1 All Habitats'!N102</f>
        <v>High</v>
      </c>
      <c r="C69" s="544">
        <f>'G-1 All Habitats'!O102</f>
        <v>0.33</v>
      </c>
      <c r="D69" s="544" t="str">
        <f>'G-1 All Habitats'!P102</f>
        <v>Medium</v>
      </c>
      <c r="E69" s="544">
        <f>'G-1 All Habitats'!Q102</f>
        <v>0.67</v>
      </c>
    </row>
    <row r="70" spans="1:5" x14ac:dyDescent="0.25">
      <c r="A70" s="110" t="str">
        <f>'G-1 All Habitats'!B103</f>
        <v>Rocky shore - Moderate energy littoral rock - on peat, clay or chalk</v>
      </c>
      <c r="B70" s="544" t="str">
        <f>'G-1 All Habitats'!N103</f>
        <v>Very High</v>
      </c>
      <c r="C70" s="544">
        <f>'G-1 All Habitats'!O103</f>
        <v>0.1</v>
      </c>
      <c r="D70" s="544" t="str">
        <f>'G-1 All Habitats'!P103</f>
        <v>Medium</v>
      </c>
      <c r="E70" s="544">
        <f>'G-1 All Habitats'!Q103</f>
        <v>0.67</v>
      </c>
    </row>
    <row r="71" spans="1:5" x14ac:dyDescent="0.25">
      <c r="A71" s="110" t="str">
        <f>'G-1 All Habitats'!B49</f>
        <v>Sparsely vegetated land - Calaminarian grasslands</v>
      </c>
      <c r="B71" s="544" t="str">
        <f>'G-1 All Habitats'!N49</f>
        <v>Very High</v>
      </c>
      <c r="C71" s="544">
        <f>'G-1 All Habitats'!O49</f>
        <v>0.1</v>
      </c>
      <c r="D71" s="544" t="str">
        <f>'G-1 All Habitats'!P49</f>
        <v>Medium</v>
      </c>
      <c r="E71" s="544">
        <f>'G-1 All Habitats'!Q49</f>
        <v>0.67</v>
      </c>
    </row>
    <row r="72" spans="1:5" x14ac:dyDescent="0.25">
      <c r="A72" s="110" t="str">
        <f>'G-1 All Habitats'!B50</f>
        <v>Sparsely vegetated land - Coastal sand dunes</v>
      </c>
      <c r="B72" s="544" t="str">
        <f>'G-1 All Habitats'!N50</f>
        <v>Very High</v>
      </c>
      <c r="C72" s="544">
        <f>'G-1 All Habitats'!O50</f>
        <v>0.1</v>
      </c>
      <c r="D72" s="544" t="str">
        <f>'G-1 All Habitats'!P50</f>
        <v>Medium</v>
      </c>
      <c r="E72" s="544">
        <f>'G-1 All Habitats'!Q50</f>
        <v>0.67</v>
      </c>
    </row>
    <row r="73" spans="1:5" x14ac:dyDescent="0.25">
      <c r="A73" s="110" t="str">
        <f>'G-1 All Habitats'!B51</f>
        <v>Sparsely vegetated land - Coastal vegetated shingle</v>
      </c>
      <c r="B73" s="544" t="str">
        <f>'G-1 All Habitats'!N51</f>
        <v>Very High</v>
      </c>
      <c r="C73" s="544">
        <f>'G-1 All Habitats'!O51</f>
        <v>0.1</v>
      </c>
      <c r="D73" s="544" t="str">
        <f>'G-1 All Habitats'!P51</f>
        <v>Medium</v>
      </c>
      <c r="E73" s="544">
        <f>'G-1 All Habitats'!Q51</f>
        <v>0.67</v>
      </c>
    </row>
    <row r="74" spans="1:5" x14ac:dyDescent="0.25">
      <c r="A74" s="110" t="str">
        <f>'G-1 All Habitats'!B53</f>
        <v>Sparsely vegetated land - Inland rock outcrop and scree habitats</v>
      </c>
      <c r="B74" s="544" t="str">
        <f>'G-1 All Habitats'!N53</f>
        <v>High</v>
      </c>
      <c r="C74" s="544">
        <f>'G-1 All Habitats'!O53</f>
        <v>0.33</v>
      </c>
      <c r="D74" s="544" t="str">
        <f>'G-1 All Habitats'!P53</f>
        <v>Low</v>
      </c>
      <c r="E74" s="544">
        <f>'G-1 All Habitats'!Q53</f>
        <v>1</v>
      </c>
    </row>
    <row r="75" spans="1:5" x14ac:dyDescent="0.25">
      <c r="A75" s="110" t="str">
        <f>'G-1 All Habitats'!B54</f>
        <v>Sparsely vegetated land - Limestone pavement</v>
      </c>
      <c r="B75" s="544" t="str">
        <f>'G-1 All Habitats'!N54</f>
        <v>Very High</v>
      </c>
      <c r="C75" s="544">
        <f>'G-1 All Habitats'!O54</f>
        <v>0.1</v>
      </c>
      <c r="D75" s="544" t="str">
        <f>'G-1 All Habitats'!P54</f>
        <v>Medium</v>
      </c>
      <c r="E75" s="544">
        <f>'G-1 All Habitats'!Q54</f>
        <v>0.67</v>
      </c>
    </row>
    <row r="76" spans="1:5" x14ac:dyDescent="0.25">
      <c r="A76" s="110" t="str">
        <f>'G-1 All Habitats'!B55</f>
        <v>Sparsely vegetated land - Maritime cliff and slopes</v>
      </c>
      <c r="B76" s="544" t="str">
        <f>'G-1 All Habitats'!N55</f>
        <v>High</v>
      </c>
      <c r="C76" s="544">
        <f>'G-1 All Habitats'!O55</f>
        <v>0.33</v>
      </c>
      <c r="D76" s="544" t="str">
        <f>'G-1 All Habitats'!P55</f>
        <v>Medium</v>
      </c>
      <c r="E76" s="544">
        <f>'G-1 All Habitats'!Q55</f>
        <v>0.67</v>
      </c>
    </row>
    <row r="77" spans="1:5" x14ac:dyDescent="0.25">
      <c r="A77" s="110" t="str">
        <f>'G-1 All Habitats'!B56</f>
        <v>Sparsely vegetated land - Other inland rock and scree</v>
      </c>
      <c r="B77" s="544" t="str">
        <f>'G-1 All Habitats'!N56</f>
        <v>Medium</v>
      </c>
      <c r="C77" s="544">
        <f>'G-1 All Habitats'!O56</f>
        <v>0.67</v>
      </c>
      <c r="D77" s="544" t="str">
        <f>'G-1 All Habitats'!P56</f>
        <v>Medium</v>
      </c>
      <c r="E77" s="544">
        <f>'G-1 All Habitats'!Q56</f>
        <v>0.67</v>
      </c>
    </row>
    <row r="78" spans="1:5" x14ac:dyDescent="0.25">
      <c r="A78" s="110" t="str">
        <f>'G-1 All Habitats'!B52</f>
        <v>Sparsely vegetated land - Ruderal/Ephemeral</v>
      </c>
      <c r="B78" s="544" t="str">
        <f>'G-1 All Habitats'!N52</f>
        <v>Low</v>
      </c>
      <c r="C78" s="544">
        <f>'G-1 All Habitats'!O52</f>
        <v>1</v>
      </c>
      <c r="D78" s="544" t="str">
        <f>'G-1 All Habitats'!P52</f>
        <v>Medium</v>
      </c>
      <c r="E78" s="544">
        <f>'G-1 All Habitats'!Q52</f>
        <v>0.67</v>
      </c>
    </row>
    <row r="79" spans="1:5" x14ac:dyDescent="0.25">
      <c r="A79" s="110" t="str">
        <f>'G-1 All Habitats'!B76</f>
        <v>Urban - Vacant/derelict land/ bareground</v>
      </c>
      <c r="B79" s="544" t="str">
        <f>'G-1 All Habitats'!N76</f>
        <v>Low</v>
      </c>
      <c r="C79" s="544">
        <f>'G-1 All Habitats'!O76</f>
        <v>1</v>
      </c>
      <c r="D79" s="544" t="str">
        <f>'G-1 All Habitats'!P76</f>
        <v>Low</v>
      </c>
      <c r="E79" s="544">
        <f>'G-1 All Habitats'!Q76</f>
        <v>1</v>
      </c>
    </row>
    <row r="80" spans="1:5" x14ac:dyDescent="0.25">
      <c r="A80" s="110" t="str">
        <f>'G-1 All Habitats'!B57</f>
        <v>Urban - Allotments</v>
      </c>
      <c r="B80" s="544" t="str">
        <f>'G-1 All Habitats'!N57</f>
        <v>Low</v>
      </c>
      <c r="C80" s="544">
        <f>'G-1 All Habitats'!O57</f>
        <v>1</v>
      </c>
      <c r="D80" s="544" t="str">
        <f>'G-1 All Habitats'!P57</f>
        <v>Low</v>
      </c>
      <c r="E80" s="544">
        <f>'G-1 All Habitats'!Q57</f>
        <v>1</v>
      </c>
    </row>
    <row r="81" spans="1:5" x14ac:dyDescent="0.25">
      <c r="A81" s="110" t="str">
        <f>'G-1 All Habitats'!B58</f>
        <v>Urban - Artificial unvegetated, unsealed surface</v>
      </c>
      <c r="B81" s="544" t="str">
        <f>'G-1 All Habitats'!N58</f>
        <v>Low</v>
      </c>
      <c r="C81" s="544">
        <f>'G-1 All Habitats'!O58</f>
        <v>1</v>
      </c>
      <c r="D81" s="544" t="str">
        <f>'G-1 All Habitats'!P58</f>
        <v>Low</v>
      </c>
      <c r="E81" s="544">
        <f>'G-1 All Habitats'!Q58</f>
        <v>1</v>
      </c>
    </row>
    <row r="82" spans="1:5" x14ac:dyDescent="0.25">
      <c r="A82" s="110" t="str">
        <f>'G-1 All Habitats'!B59</f>
        <v>Urban - Bioswale</v>
      </c>
      <c r="B82" s="544" t="str">
        <f>'G-1 All Habitats'!N59</f>
        <v>Medium</v>
      </c>
      <c r="C82" s="544">
        <f>'G-1 All Habitats'!O59</f>
        <v>0.67</v>
      </c>
      <c r="D82" s="544" t="str">
        <f>'G-1 All Habitats'!P59</f>
        <v>Low</v>
      </c>
      <c r="E82" s="544">
        <f>'G-1 All Habitats'!Q59</f>
        <v>1</v>
      </c>
    </row>
    <row r="83" spans="1:5" x14ac:dyDescent="0.25">
      <c r="A83" s="110" t="str">
        <f>'G-1 All Habitats'!B60</f>
        <v>Urban - Intensive green roof</v>
      </c>
      <c r="B83" s="544" t="str">
        <f>'G-1 All Habitats'!N60</f>
        <v>Low</v>
      </c>
      <c r="C83" s="544">
        <f>'G-1 All Habitats'!O60</f>
        <v>1</v>
      </c>
      <c r="D83" s="544" t="str">
        <f>'G-1 All Habitats'!P60</f>
        <v>Low</v>
      </c>
      <c r="E83" s="544">
        <f>'G-1 All Habitats'!Q60</f>
        <v>1</v>
      </c>
    </row>
    <row r="84" spans="1:5" x14ac:dyDescent="0.25">
      <c r="A84" s="110" t="str">
        <f>'G-1 All Habitats'!B61</f>
        <v>Urban - Built linear features</v>
      </c>
      <c r="B84" s="544" t="str">
        <f>'G-1 All Habitats'!N61</f>
        <v>Low</v>
      </c>
      <c r="C84" s="544">
        <f>'G-1 All Habitats'!O61</f>
        <v>1</v>
      </c>
      <c r="D84" s="544" t="str">
        <f>'G-1 All Habitats'!P61</f>
        <v>Low</v>
      </c>
      <c r="E84" s="544">
        <f>'G-1 All Habitats'!Q61</f>
        <v>1</v>
      </c>
    </row>
    <row r="85" spans="1:5" x14ac:dyDescent="0.25">
      <c r="A85" s="110" t="str">
        <f>'G-1 All Habitats'!B62</f>
        <v>Urban - Cemeteries and churchyards</v>
      </c>
      <c r="B85" s="544" t="str">
        <f>'G-1 All Habitats'!N62</f>
        <v>Medium</v>
      </c>
      <c r="C85" s="544">
        <f>'G-1 All Habitats'!O62</f>
        <v>0.67</v>
      </c>
      <c r="D85" s="544" t="str">
        <f>'G-1 All Habitats'!P62</f>
        <v>Low</v>
      </c>
      <c r="E85" s="544">
        <f>'G-1 All Habitats'!Q62</f>
        <v>1</v>
      </c>
    </row>
    <row r="86" spans="1:5" x14ac:dyDescent="0.25">
      <c r="A86" s="110" t="str">
        <f>'G-1 All Habitats'!B63</f>
        <v>Urban - Developed land; sealed surface</v>
      </c>
      <c r="B86" s="544" t="str">
        <f>'G-1 All Habitats'!N63</f>
        <v>Low</v>
      </c>
      <c r="C86" s="544">
        <f>'G-1 All Habitats'!O63</f>
        <v>1</v>
      </c>
      <c r="D86" s="544" t="str">
        <f>'G-1 All Habitats'!P63</f>
        <v>Medium</v>
      </c>
      <c r="E86" s="544">
        <f>'G-1 All Habitats'!Q63</f>
        <v>0.67</v>
      </c>
    </row>
    <row r="87" spans="1:5" x14ac:dyDescent="0.25">
      <c r="A87" s="110" t="str">
        <f>'G-1 All Habitats'!B64</f>
        <v>Urban - Other green roof</v>
      </c>
      <c r="B87" s="544" t="str">
        <f>'G-1 All Habitats'!N64</f>
        <v>Low</v>
      </c>
      <c r="C87" s="544">
        <f>'G-1 All Habitats'!O64</f>
        <v>1</v>
      </c>
      <c r="D87" s="544" t="str">
        <f>'G-1 All Habitats'!P64</f>
        <v>Low</v>
      </c>
      <c r="E87" s="544">
        <f>'G-1 All Habitats'!Q64</f>
        <v>1</v>
      </c>
    </row>
    <row r="88" spans="1:5" x14ac:dyDescent="0.25">
      <c r="A88" s="110" t="str">
        <f>'G-1 All Habitats'!B65</f>
        <v>Urban - Facade-bound green wall</v>
      </c>
      <c r="B88" s="544" t="str">
        <f>'G-1 All Habitats'!N65</f>
        <v>Medium</v>
      </c>
      <c r="C88" s="544">
        <f>'G-1 All Habitats'!O65</f>
        <v>0.67</v>
      </c>
      <c r="D88" s="544" t="str">
        <f>'G-1 All Habitats'!P65</f>
        <v>Medium</v>
      </c>
      <c r="E88" s="544">
        <f>'G-1 All Habitats'!Q65</f>
        <v>0.67</v>
      </c>
    </row>
    <row r="89" spans="1:5" x14ac:dyDescent="0.25">
      <c r="A89" s="110" t="str">
        <f>'G-1 All Habitats'!B66</f>
        <v>Urban - Ground based green wall</v>
      </c>
      <c r="B89" s="544" t="str">
        <f>'G-1 All Habitats'!N66</f>
        <v>Medium</v>
      </c>
      <c r="C89" s="544">
        <f>'G-1 All Habitats'!O66</f>
        <v>0.67</v>
      </c>
      <c r="D89" s="544" t="str">
        <f>'G-1 All Habitats'!P66</f>
        <v>Medium</v>
      </c>
      <c r="E89" s="544">
        <f>'G-1 All Habitats'!Q66</f>
        <v>0.67</v>
      </c>
    </row>
    <row r="90" spans="1:5" x14ac:dyDescent="0.25">
      <c r="A90" s="110" t="str">
        <f>'G-1 All Habitats'!B67</f>
        <v>Urban - Ground level planters</v>
      </c>
      <c r="B90" s="544" t="str">
        <f>'G-1 All Habitats'!N67</f>
        <v>Low</v>
      </c>
      <c r="C90" s="544">
        <f>'G-1 All Habitats'!O67</f>
        <v>1</v>
      </c>
      <c r="D90" s="544" t="str">
        <f>'G-1 All Habitats'!P67</f>
        <v>Low</v>
      </c>
      <c r="E90" s="544">
        <f>'G-1 All Habitats'!Q67</f>
        <v>1</v>
      </c>
    </row>
    <row r="91" spans="1:5" x14ac:dyDescent="0.25">
      <c r="A91" s="110" t="str">
        <f>'G-1 All Habitats'!B68</f>
        <v>Urban - Biodiverse green roof</v>
      </c>
      <c r="B91" s="544" t="str">
        <f>'G-1 All Habitats'!N68</f>
        <v>Medium</v>
      </c>
      <c r="C91" s="544">
        <f>'G-1 All Habitats'!O68</f>
        <v>0.67</v>
      </c>
      <c r="D91" s="544" t="str">
        <f>'G-1 All Habitats'!P68</f>
        <v>Medium</v>
      </c>
      <c r="E91" s="544">
        <f>'G-1 All Habitats'!Q68</f>
        <v>0.67</v>
      </c>
    </row>
    <row r="92" spans="1:5" x14ac:dyDescent="0.25">
      <c r="A92" s="110" t="str">
        <f>'G-1 All Habitats'!B69</f>
        <v>Urban - Introduced shrub</v>
      </c>
      <c r="B92" s="544" t="str">
        <f>'G-1 All Habitats'!N69</f>
        <v>Low</v>
      </c>
      <c r="C92" s="544">
        <f>'G-1 All Habitats'!O69</f>
        <v>1</v>
      </c>
      <c r="D92" s="544" t="str">
        <f>'G-1 All Habitats'!P69</f>
        <v>Low</v>
      </c>
      <c r="E92" s="544">
        <f>'G-1 All Habitats'!Q69</f>
        <v>1</v>
      </c>
    </row>
    <row r="93" spans="1:5" x14ac:dyDescent="0.25">
      <c r="A93" s="110" t="str">
        <f>'G-1 All Habitats'!B70</f>
        <v>Urban - Open Mosaic Habitats on Previously Developed Land</v>
      </c>
      <c r="B93" s="544" t="str">
        <f>'G-1 All Habitats'!N70</f>
        <v>Medium</v>
      </c>
      <c r="C93" s="544">
        <f>'G-1 All Habitats'!O70</f>
        <v>0.67</v>
      </c>
      <c r="D93" s="544" t="str">
        <f>'G-1 All Habitats'!P70</f>
        <v>Medium</v>
      </c>
      <c r="E93" s="544">
        <f>'G-1 All Habitats'!Q70</f>
        <v>0.67</v>
      </c>
    </row>
    <row r="94" spans="1:5" x14ac:dyDescent="0.25">
      <c r="A94" s="110" t="str">
        <f>'G-1 All Habitats'!B71</f>
        <v>Urban - Rain garden</v>
      </c>
      <c r="B94" s="544" t="str">
        <f>'G-1 All Habitats'!N71</f>
        <v>Low</v>
      </c>
      <c r="C94" s="544">
        <f>'G-1 All Habitats'!O71</f>
        <v>1</v>
      </c>
      <c r="D94" s="544" t="str">
        <f>'G-1 All Habitats'!P71</f>
        <v>Low</v>
      </c>
      <c r="E94" s="544">
        <f>'G-1 All Habitats'!Q71</f>
        <v>1</v>
      </c>
    </row>
    <row r="95" spans="1:5" x14ac:dyDescent="0.25">
      <c r="A95" s="110" t="str">
        <f>'G-1 All Habitats'!B72</f>
        <v>Urban - Actively worked sand pit quarry or open cast mine</v>
      </c>
      <c r="B95" s="544" t="str">
        <f>'G-1 All Habitats'!N72</f>
        <v>Medium</v>
      </c>
      <c r="C95" s="544">
        <f>'G-1 All Habitats'!O72</f>
        <v>0.67</v>
      </c>
      <c r="D95" s="544" t="str">
        <f>'G-1 All Habitats'!P72</f>
        <v>Medium</v>
      </c>
      <c r="E95" s="544">
        <f>'G-1 All Habitats'!Q72</f>
        <v>0.67</v>
      </c>
    </row>
    <row r="96" spans="1:5" x14ac:dyDescent="0.25">
      <c r="A96" s="110" t="str">
        <f>'G-1 All Habitats'!B73</f>
        <v>Urban - Urban Tree</v>
      </c>
      <c r="B96" s="544" t="str">
        <f>'G-1 All Habitats'!N73</f>
        <v>Low</v>
      </c>
      <c r="C96" s="544">
        <f>'G-1 All Habitats'!O73</f>
        <v>1</v>
      </c>
      <c r="D96" s="544" t="str">
        <f>'G-1 All Habitats'!P73</f>
        <v>Low</v>
      </c>
      <c r="E96" s="544">
        <f>'G-1 All Habitats'!Q73</f>
        <v>1</v>
      </c>
    </row>
    <row r="97" spans="1:5" x14ac:dyDescent="0.25">
      <c r="A97" s="110" t="str">
        <f>'G-1 All Habitats'!B74</f>
        <v>Urban - Sustainable urban drainage feature</v>
      </c>
      <c r="B97" s="544" t="str">
        <f>'G-1 All Habitats'!N74</f>
        <v>Medium</v>
      </c>
      <c r="C97" s="544">
        <f>'G-1 All Habitats'!O74</f>
        <v>0.67</v>
      </c>
      <c r="D97" s="544" t="str">
        <f>'G-1 All Habitats'!P74</f>
        <v>Medium</v>
      </c>
      <c r="E97" s="544">
        <f>'G-1 All Habitats'!Q74</f>
        <v>0.67</v>
      </c>
    </row>
    <row r="98" spans="1:5" x14ac:dyDescent="0.25">
      <c r="A98" s="110" t="str">
        <f>'G-1 All Habitats'!B75</f>
        <v>Urban - Un-vegetated garden</v>
      </c>
      <c r="B98" s="544" t="str">
        <f>'G-1 All Habitats'!N75</f>
        <v>Low</v>
      </c>
      <c r="C98" s="544">
        <f>'G-1 All Habitats'!O75</f>
        <v>1</v>
      </c>
      <c r="D98" s="544" t="str">
        <f>'G-1 All Habitats'!P75</f>
        <v>Low</v>
      </c>
      <c r="E98" s="544">
        <f>'G-1 All Habitats'!Q75</f>
        <v>1</v>
      </c>
    </row>
    <row r="99" spans="1:5" x14ac:dyDescent="0.25">
      <c r="A99" s="110" t="str">
        <f>'G-1 All Habitats'!B77</f>
        <v>Urban - Vegetated garden</v>
      </c>
      <c r="B99" s="544" t="str">
        <f>'G-1 All Habitats'!N77</f>
        <v>Low</v>
      </c>
      <c r="C99" s="544">
        <f>'G-1 All Habitats'!O77</f>
        <v>1</v>
      </c>
      <c r="D99" s="544" t="str">
        <f>'G-1 All Habitats'!P77</f>
        <v>Low</v>
      </c>
      <c r="E99" s="544">
        <f>'G-1 All Habitats'!Q77</f>
        <v>1</v>
      </c>
    </row>
    <row r="100" spans="1:5" x14ac:dyDescent="0.25">
      <c r="A100" s="110" t="str">
        <f>'G-1 All Habitats'!B78</f>
        <v>Wetland - Blanket bog</v>
      </c>
      <c r="B100" s="544" t="str">
        <f>'G-1 All Habitats'!N78</f>
        <v>Very High</v>
      </c>
      <c r="C100" s="544">
        <f>'G-1 All Habitats'!O78</f>
        <v>0.1</v>
      </c>
      <c r="D100" s="544" t="str">
        <f>'G-1 All Habitats'!P78</f>
        <v>High</v>
      </c>
      <c r="E100" s="544">
        <f>'G-1 All Habitats'!Q78</f>
        <v>0.33</v>
      </c>
    </row>
    <row r="101" spans="1:5" x14ac:dyDescent="0.25">
      <c r="A101" s="110" t="str">
        <f>'G-1 All Habitats'!B79</f>
        <v>Wetland - Depressions on Peat substrates (H7150)</v>
      </c>
      <c r="B101" s="544" t="str">
        <f>'G-1 All Habitats'!N79</f>
        <v>Very High</v>
      </c>
      <c r="C101" s="544">
        <f>'G-1 All Habitats'!O79</f>
        <v>0.1</v>
      </c>
      <c r="D101" s="544" t="str">
        <f>'G-1 All Habitats'!P79</f>
        <v>High</v>
      </c>
      <c r="E101" s="544">
        <f>'G-1 All Habitats'!Q79</f>
        <v>0.33</v>
      </c>
    </row>
    <row r="102" spans="1:5" x14ac:dyDescent="0.25">
      <c r="A102" s="110" t="str">
        <f>'G-1 All Habitats'!B80</f>
        <v>Wetland - Fens (upland and lowland)</v>
      </c>
      <c r="B102" s="544" t="str">
        <f>'G-1 All Habitats'!N80</f>
        <v>High</v>
      </c>
      <c r="C102" s="544">
        <f>'G-1 All Habitats'!O80</f>
        <v>0.33</v>
      </c>
      <c r="D102" s="544" t="str">
        <f>'G-1 All Habitats'!P80</f>
        <v>High</v>
      </c>
      <c r="E102" s="544">
        <f>'G-1 All Habitats'!Q80</f>
        <v>0.33</v>
      </c>
    </row>
    <row r="103" spans="1:5" x14ac:dyDescent="0.25">
      <c r="A103" s="110" t="str">
        <f>'G-1 All Habitats'!B81</f>
        <v>Wetland - Lowland raised bog</v>
      </c>
      <c r="B103" s="544" t="str">
        <f>'G-1 All Habitats'!N81</f>
        <v>Very High</v>
      </c>
      <c r="C103" s="544">
        <f>'G-1 All Habitats'!O81</f>
        <v>0.1</v>
      </c>
      <c r="D103" s="544" t="str">
        <f>'G-1 All Habitats'!P81</f>
        <v>High</v>
      </c>
      <c r="E103" s="544">
        <f>'G-1 All Habitats'!Q81</f>
        <v>0.33</v>
      </c>
    </row>
    <row r="104" spans="1:5" x14ac:dyDescent="0.25">
      <c r="A104" s="110" t="str">
        <f>'G-1 All Habitats'!B82</f>
        <v>Wetland - Oceanic Valley Mire[1] (D2.1)</v>
      </c>
      <c r="B104" s="544" t="str">
        <f>'G-1 All Habitats'!N82</f>
        <v>Very High</v>
      </c>
      <c r="C104" s="544">
        <f>'G-1 All Habitats'!O82</f>
        <v>0.1</v>
      </c>
      <c r="D104" s="544" t="str">
        <f>'G-1 All Habitats'!P82</f>
        <v>High</v>
      </c>
      <c r="E104" s="544">
        <f>'G-1 All Habitats'!Q82</f>
        <v>0.33</v>
      </c>
    </row>
    <row r="105" spans="1:5" x14ac:dyDescent="0.25">
      <c r="A105" s="110" t="str">
        <f>'G-1 All Habitats'!B83</f>
        <v>Wetland - Purple moor grass and rush pastures</v>
      </c>
      <c r="B105" s="544" t="str">
        <f>'G-1 All Habitats'!N83</f>
        <v>High</v>
      </c>
      <c r="C105" s="544">
        <f>'G-1 All Habitats'!O83</f>
        <v>0.33</v>
      </c>
      <c r="D105" s="544" t="str">
        <f>'G-1 All Habitats'!P83</f>
        <v>High</v>
      </c>
      <c r="E105" s="544">
        <f>'G-1 All Habitats'!Q83</f>
        <v>0.33</v>
      </c>
    </row>
    <row r="106" spans="1:5" x14ac:dyDescent="0.25">
      <c r="A106" s="110" t="str">
        <f>'G-1 All Habitats'!B84</f>
        <v>Wetland - Reedbeds</v>
      </c>
      <c r="B106" s="544" t="str">
        <f>'G-1 All Habitats'!N84</f>
        <v>Medium</v>
      </c>
      <c r="C106" s="544">
        <f>'G-1 All Habitats'!O84</f>
        <v>0.67</v>
      </c>
      <c r="D106" s="544" t="str">
        <f>'G-1 All Habitats'!P84</f>
        <v>Medium</v>
      </c>
      <c r="E106" s="544">
        <f>'G-1 All Habitats'!Q84</f>
        <v>0.67</v>
      </c>
    </row>
    <row r="107" spans="1:5" x14ac:dyDescent="0.25">
      <c r="A107" s="110" t="str">
        <f>'G-1 All Habitats'!B85</f>
        <v>Wetland - Transition mires and quaking bogs (H7140)</v>
      </c>
      <c r="B107" s="544" t="str">
        <f>'G-1 All Habitats'!N85</f>
        <v>Very High</v>
      </c>
      <c r="C107" s="544">
        <f>'G-1 All Habitats'!O85</f>
        <v>0.1</v>
      </c>
      <c r="D107" s="544" t="str">
        <f>'G-1 All Habitats'!P85</f>
        <v>High</v>
      </c>
      <c r="E107" s="544">
        <f>'G-1 All Habitats'!Q85</f>
        <v>0.33</v>
      </c>
    </row>
    <row r="108" spans="1:5" x14ac:dyDescent="0.25">
      <c r="A108" s="110" t="str">
        <f>'G-1 All Habitats'!B86</f>
        <v>Woodland and forest - Felled</v>
      </c>
      <c r="B108" s="544" t="s">
        <v>153</v>
      </c>
      <c r="C108" s="544">
        <f>'G-1 All Habitats'!O86</f>
        <v>1</v>
      </c>
      <c r="D108" s="544" t="str">
        <f>'G-1 All Habitats'!P86</f>
        <v>Low</v>
      </c>
      <c r="E108" s="544">
        <f>'G-1 All Habitats'!Q86</f>
        <v>1</v>
      </c>
    </row>
    <row r="109" spans="1:5" x14ac:dyDescent="0.25">
      <c r="A109" s="110" t="str">
        <f>'G-1 All Habitats'!B87</f>
        <v>Woodland and forest - Lowland beech and yew woodland</v>
      </c>
      <c r="B109" s="544" t="str">
        <f>'G-1 All Habitats'!N87</f>
        <v>High</v>
      </c>
      <c r="C109" s="544">
        <f>'G-1 All Habitats'!O87</f>
        <v>0.33</v>
      </c>
      <c r="D109" s="544" t="str">
        <f>'G-1 All Habitats'!P87</f>
        <v>High</v>
      </c>
      <c r="E109" s="544">
        <f>'G-1 All Habitats'!Q87</f>
        <v>0.33</v>
      </c>
    </row>
    <row r="110" spans="1:5" x14ac:dyDescent="0.25">
      <c r="A110" s="110" t="str">
        <f>'G-1 All Habitats'!B88</f>
        <v>Woodland and forest - Lowland mixed deciduous woodland</v>
      </c>
      <c r="B110" s="544" t="str">
        <f>'G-1 All Habitats'!N88</f>
        <v>High</v>
      </c>
      <c r="C110" s="544">
        <f>'G-1 All Habitats'!O88</f>
        <v>0.33</v>
      </c>
      <c r="D110" s="544" t="str">
        <f>'G-1 All Habitats'!P88</f>
        <v>High</v>
      </c>
      <c r="E110" s="544">
        <f>'G-1 All Habitats'!Q88</f>
        <v>0.33</v>
      </c>
    </row>
    <row r="111" spans="1:5" x14ac:dyDescent="0.25">
      <c r="A111" s="110" t="str">
        <f>'G-1 All Habitats'!B89</f>
        <v>Woodland and forest - Native pine woodlands</v>
      </c>
      <c r="B111" s="544" t="str">
        <f>'G-1 All Habitats'!N89</f>
        <v>High</v>
      </c>
      <c r="C111" s="544">
        <f>'G-1 All Habitats'!O89</f>
        <v>0.33</v>
      </c>
      <c r="D111" s="544" t="str">
        <f>'G-1 All Habitats'!P89</f>
        <v>High</v>
      </c>
      <c r="E111" s="544">
        <f>'G-1 All Habitats'!Q89</f>
        <v>0.33</v>
      </c>
    </row>
    <row r="112" spans="1:5" x14ac:dyDescent="0.25">
      <c r="A112" s="110" t="str">
        <f>'G-1 All Habitats'!B90</f>
        <v>Woodland and forest - Other coniferous woodland</v>
      </c>
      <c r="B112" s="544" t="str">
        <f>'G-1 All Habitats'!N90</f>
        <v>Low</v>
      </c>
      <c r="C112" s="544">
        <f>'G-1 All Habitats'!O90</f>
        <v>1</v>
      </c>
      <c r="D112" s="544" t="str">
        <f>'G-1 All Habitats'!P90</f>
        <v>Low</v>
      </c>
      <c r="E112" s="544">
        <f>'G-1 All Habitats'!Q90</f>
        <v>1</v>
      </c>
    </row>
    <row r="113" spans="1:5" x14ac:dyDescent="0.25">
      <c r="A113" s="110" t="str">
        <f>'G-1 All Habitats'!B91</f>
        <v>Woodland and forest - Other Scot's Pine woodland</v>
      </c>
      <c r="B113" s="544" t="str">
        <f>'G-1 All Habitats'!N91</f>
        <v>Medium</v>
      </c>
      <c r="C113" s="544">
        <f>'G-1 All Habitats'!O91</f>
        <v>0.67</v>
      </c>
      <c r="D113" s="544" t="str">
        <f>'G-1 All Habitats'!P91</f>
        <v>Medium</v>
      </c>
      <c r="E113" s="544">
        <f>'G-1 All Habitats'!Q91</f>
        <v>0.67</v>
      </c>
    </row>
    <row r="114" spans="1:5" x14ac:dyDescent="0.25">
      <c r="A114" s="110" t="str">
        <f>'G-1 All Habitats'!B92</f>
        <v>Woodland and forest - Other woodland; broadleaved</v>
      </c>
      <c r="B114" s="544" t="str">
        <f>'G-1 All Habitats'!N92</f>
        <v>Low</v>
      </c>
      <c r="C114" s="544">
        <f>'G-1 All Habitats'!O92</f>
        <v>1</v>
      </c>
      <c r="D114" s="544" t="str">
        <f>'G-1 All Habitats'!P92</f>
        <v>Low</v>
      </c>
      <c r="E114" s="544">
        <f>'G-1 All Habitats'!Q92</f>
        <v>1</v>
      </c>
    </row>
    <row r="115" spans="1:5" x14ac:dyDescent="0.25">
      <c r="A115" s="110" t="str">
        <f>'G-1 All Habitats'!B93</f>
        <v>Woodland and forest - Other woodland; mixed</v>
      </c>
      <c r="B115" s="544" t="str">
        <f>'G-1 All Habitats'!N93</f>
        <v>Low</v>
      </c>
      <c r="C115" s="544">
        <f>'G-1 All Habitats'!O93</f>
        <v>1</v>
      </c>
      <c r="D115" s="544" t="str">
        <f>'G-1 All Habitats'!P93</f>
        <v>Low</v>
      </c>
      <c r="E115" s="544">
        <f>'G-1 All Habitats'!Q93</f>
        <v>1</v>
      </c>
    </row>
    <row r="116" spans="1:5" x14ac:dyDescent="0.25">
      <c r="A116" s="110" t="str">
        <f>'G-1 All Habitats'!B94</f>
        <v>Woodland and forest - Upland birchwoods</v>
      </c>
      <c r="B116" s="544" t="str">
        <f>'G-1 All Habitats'!N94</f>
        <v>Medium</v>
      </c>
      <c r="C116" s="544">
        <f>'G-1 All Habitats'!O94</f>
        <v>0.67</v>
      </c>
      <c r="D116" s="544" t="str">
        <f>'G-1 All Habitats'!P94</f>
        <v>Medium</v>
      </c>
      <c r="E116" s="544">
        <f>'G-1 All Habitats'!Q94</f>
        <v>0.67</v>
      </c>
    </row>
    <row r="117" spans="1:5" x14ac:dyDescent="0.25">
      <c r="A117" s="110" t="str">
        <f>'G-1 All Habitats'!B95</f>
        <v>Woodland and forest - Upland mixed ashwoods</v>
      </c>
      <c r="B117" s="544" t="str">
        <f>'G-1 All Habitats'!N95</f>
        <v>High</v>
      </c>
      <c r="C117" s="544">
        <f>'G-1 All Habitats'!O95</f>
        <v>0.33</v>
      </c>
      <c r="D117" s="544" t="str">
        <f>'G-1 All Habitats'!P95</f>
        <v>High</v>
      </c>
      <c r="E117" s="544">
        <f>'G-1 All Habitats'!Q95</f>
        <v>0.33</v>
      </c>
    </row>
    <row r="118" spans="1:5" x14ac:dyDescent="0.25">
      <c r="A118" s="110" t="str">
        <f>'G-1 All Habitats'!B96</f>
        <v>Woodland and forest - Upland oakwood</v>
      </c>
      <c r="B118" s="544" t="str">
        <f>'G-1 All Habitats'!N96</f>
        <v>High</v>
      </c>
      <c r="C118" s="544">
        <f>'G-1 All Habitats'!O96</f>
        <v>0.33</v>
      </c>
      <c r="D118" s="544" t="str">
        <f>'G-1 All Habitats'!P96</f>
        <v>High</v>
      </c>
      <c r="E118" s="544">
        <f>'G-1 All Habitats'!Q96</f>
        <v>0.33</v>
      </c>
    </row>
    <row r="119" spans="1:5" x14ac:dyDescent="0.25">
      <c r="A119" s="110" t="str">
        <f>'G-1 All Habitats'!B97</f>
        <v>Woodland and forest - Wet woodland</v>
      </c>
      <c r="B119" s="544" t="str">
        <f>'G-1 All Habitats'!N97</f>
        <v>Medium</v>
      </c>
      <c r="C119" s="544">
        <f>'G-1 All Habitats'!O97</f>
        <v>0.67</v>
      </c>
      <c r="D119" s="544" t="str">
        <f>'G-1 All Habitats'!P97</f>
        <v>Medium</v>
      </c>
      <c r="E119" s="544">
        <f>'G-1 All Habitats'!Q97</f>
        <v>0.67</v>
      </c>
    </row>
    <row r="120" spans="1:5" x14ac:dyDescent="0.25">
      <c r="A120" s="110" t="str">
        <f>'G-1 All Habitats'!B98</f>
        <v>Woodland and forest - Wood-pasture and parkland</v>
      </c>
      <c r="B120" s="544" t="str">
        <f>'G-1 All Habitats'!N98</f>
        <v>Very High</v>
      </c>
      <c r="C120" s="544">
        <f>'G-1 All Habitats'!O98</f>
        <v>0.1</v>
      </c>
      <c r="D120" s="544" t="str">
        <f>'G-1 All Habitats'!P98</f>
        <v>High</v>
      </c>
      <c r="E120" s="544">
        <f>'G-1 All Habitats'!Q98</f>
        <v>0.33</v>
      </c>
    </row>
    <row r="121" spans="1:5" x14ac:dyDescent="0.25">
      <c r="A121" s="110" t="str">
        <f>'G-1 All Habitats'!B125</f>
        <v>Intertidal sediment - Littoral sand</v>
      </c>
      <c r="B121" s="544" t="str">
        <f>'G-1 All Habitats'!N125</f>
        <v>Medium</v>
      </c>
      <c r="C121" s="544">
        <f>'G-1 All Habitats'!O125</f>
        <v>0.67</v>
      </c>
      <c r="D121" s="544" t="str">
        <f>'G-1 All Habitats'!P125</f>
        <v>Medium</v>
      </c>
      <c r="E121" s="544">
        <f>'G-1 All Habitats'!Q125</f>
        <v>0.67</v>
      </c>
    </row>
    <row r="122" spans="1:5" x14ac:dyDescent="0.25">
      <c r="A122" s="110" t="str">
        <f>'G-1 All Habitats'!B126</f>
        <v>Intertidal sediment - Littoral muddy sand</v>
      </c>
      <c r="B122" s="544" t="str">
        <f>'G-1 All Habitats'!N126</f>
        <v>High</v>
      </c>
      <c r="C122" s="544">
        <f>'G-1 All Habitats'!O126</f>
        <v>0.33</v>
      </c>
      <c r="D122" s="544" t="str">
        <f>'G-1 All Habitats'!P126</f>
        <v>Medium</v>
      </c>
      <c r="E122" s="544">
        <f>'G-1 All Habitats'!Q126</f>
        <v>0.67</v>
      </c>
    </row>
    <row r="123" spans="1:5" x14ac:dyDescent="0.25">
      <c r="A123" s="110" t="str">
        <f>'G-1 All Habitats'!B127</f>
        <v>Intertidal Hard Structures - Artificial hard structures</v>
      </c>
      <c r="B123" s="544" t="str">
        <f>'G-1 All Habitats'!N127</f>
        <v>Medium</v>
      </c>
      <c r="C123" s="544">
        <f>'G-1 All Habitats'!O127</f>
        <v>0.67</v>
      </c>
      <c r="D123" s="544" t="str">
        <f>'G-1 All Habitats'!P127</f>
        <v>Medium</v>
      </c>
      <c r="E123" s="544">
        <f>'G-1 All Habitats'!Q127</f>
        <v>0.67</v>
      </c>
    </row>
    <row r="124" spans="1:5" x14ac:dyDescent="0.25">
      <c r="A124" s="110" t="str">
        <f>'G-1 All Habitats'!B128</f>
        <v>Intertidal Hard Structures - Artificial features of hard structures</v>
      </c>
      <c r="B124" s="544" t="str">
        <f>'G-1 All Habitats'!N128</f>
        <v>Medium</v>
      </c>
      <c r="C124" s="544">
        <f>'G-1 All Habitats'!O128</f>
        <v>0.67</v>
      </c>
      <c r="D124" s="544" t="str">
        <f>'G-1 All Habitats'!P128</f>
        <v>Medium</v>
      </c>
      <c r="E124" s="544">
        <f>'G-1 All Habitats'!Q128</f>
        <v>0.67</v>
      </c>
    </row>
    <row r="125" spans="1:5" x14ac:dyDescent="0.25">
      <c r="A125" s="110" t="str">
        <f>'G-1 All Habitats'!B129</f>
        <v>Intertidal Hard Structures - Artificial hard structures with Integrated Greening of Grey Infrastructure (IGGI)</v>
      </c>
      <c r="B125" s="544" t="str">
        <f>'G-1 All Habitats'!N129</f>
        <v>Medium</v>
      </c>
      <c r="C125" s="544">
        <f>'G-1 All Habitats'!O129</f>
        <v>0.67</v>
      </c>
      <c r="D125" s="544" t="str">
        <f>'G-1 All Habitats'!P129</f>
        <v>Medium</v>
      </c>
      <c r="E125" s="544">
        <f>'G-1 All Habitats'!Q129</f>
        <v>0.67</v>
      </c>
    </row>
    <row r="126" spans="1:5" x14ac:dyDescent="0.25">
      <c r="A126" s="110" t="str">
        <f>'G-1 All Habitats'!B109</f>
        <v>Coastal saltmarsh - Artificial saltmarshes and saline reedbeds</v>
      </c>
      <c r="B126" s="544" t="str">
        <f>'G-1 All Habitats'!N109</f>
        <v>High</v>
      </c>
      <c r="C126" s="544">
        <f>'G-1 All Habitats'!O109</f>
        <v>0.33</v>
      </c>
      <c r="D126" s="544" t="str">
        <f>'G-1 All Habitats'!P109</f>
        <v>Medium</v>
      </c>
      <c r="E126" s="544">
        <f>'G-1 All Habitats'!Q109</f>
        <v>0.67</v>
      </c>
    </row>
    <row r="127" spans="1:5" x14ac:dyDescent="0.25">
      <c r="A127" s="110" t="str">
        <f>'G-1 All Habitats'!B115</f>
        <v>Intertidal sediment - Littoral biogenic reefs - Mussels</v>
      </c>
      <c r="B127" s="544" t="str">
        <f>'G-1 All Habitats'!N115</f>
        <v>High</v>
      </c>
      <c r="C127" s="544">
        <f>'G-1 All Habitats'!O115</f>
        <v>0.33</v>
      </c>
      <c r="D127" s="544" t="str">
        <f>'G-1 All Habitats'!P115</f>
        <v>Medium</v>
      </c>
      <c r="E127" s="544">
        <f>'G-1 All Habitats'!Q115</f>
        <v>0.67</v>
      </c>
    </row>
    <row r="128" spans="1:5" x14ac:dyDescent="0.25">
      <c r="A128" s="110" t="str">
        <f>'G-1 All Habitats'!B119</f>
        <v>Intertidal sediment - Artificial littoral mud</v>
      </c>
      <c r="B128" s="544" t="str">
        <f>'G-1 All Habitats'!N119</f>
        <v>High</v>
      </c>
      <c r="C128" s="544">
        <f>'G-1 All Habitats'!O119</f>
        <v>0.33</v>
      </c>
      <c r="D128" s="544" t="str">
        <f>'G-1 All Habitats'!P119</f>
        <v>Medium</v>
      </c>
      <c r="E128" s="544">
        <f>'G-1 All Habitats'!Q119</f>
        <v>0.67</v>
      </c>
    </row>
    <row r="129" spans="1:5" x14ac:dyDescent="0.25">
      <c r="A129" s="110" t="str">
        <f>'G-1 All Habitats'!B120</f>
        <v>Intertidal sediment - Artificial littoral sand</v>
      </c>
      <c r="B129" s="544" t="str">
        <f>'G-1 All Habitats'!N120</f>
        <v>Medium</v>
      </c>
      <c r="C129" s="544">
        <f>'G-1 All Habitats'!O120</f>
        <v>0.67</v>
      </c>
      <c r="D129" s="544" t="str">
        <f>'G-1 All Habitats'!P120</f>
        <v>Medium</v>
      </c>
      <c r="E129" s="544">
        <f>'G-1 All Habitats'!Q120</f>
        <v>0.67</v>
      </c>
    </row>
    <row r="130" spans="1:5" x14ac:dyDescent="0.25"/>
    <row r="131" spans="1:5" x14ac:dyDescent="0.25"/>
    <row r="132" spans="1:5" x14ac:dyDescent="0.25"/>
    <row r="133" spans="1:5" x14ac:dyDescent="0.25"/>
    <row r="134" spans="1:5" x14ac:dyDescent="0.25"/>
    <row r="135" spans="1:5" x14ac:dyDescent="0.25"/>
    <row r="136" spans="1:5" x14ac:dyDescent="0.25"/>
    <row r="137" spans="1:5" x14ac:dyDescent="0.25"/>
    <row r="138" spans="1:5" x14ac:dyDescent="0.25"/>
    <row r="139" spans="1:5" x14ac:dyDescent="0.25"/>
    <row r="140" spans="1:5" x14ac:dyDescent="0.25"/>
    <row r="141" spans="1:5" x14ac:dyDescent="0.25"/>
    <row r="142" spans="1:5" x14ac:dyDescent="0.25"/>
  </sheetData>
  <sheetProtection algorithmName="SHA-512" hashValue="9O67g0RlKc1ZEVdbJS2MVBXi59m5qq0zeGBZeMcsXZDAeKvXirI0w9hzQ1fBX5YK1tqyE49TDs5dYLvL3XdR8A==" saltValue="onOWuUib8OzuozTewhoxlQ==" spinCount="100000" sheet="1" objects="1" scenarios="1"/>
  <autoFilter ref="A2:E121" xr:uid="{00000000-0009-0000-0000-00001E000000}">
    <sortState xmlns:xlrd2="http://schemas.microsoft.com/office/spreadsheetml/2017/richdata2" ref="A9:E140">
      <sortCondition ref="A2:A140"/>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D3:D129 B3:B129" xr:uid="{00000000-0002-0000-1E00-000000000000}">
      <formula1>$P$3:$P$6</formula1>
    </dataValidation>
    <dataValidation type="list" allowBlank="1" showInputMessage="1" showErrorMessage="1" sqref="C3:C129" xr:uid="{00000000-0002-0000-1E00-000001000000}">
      <formula1>$Q$3:$Q$6</formula1>
    </dataValidation>
  </dataValidation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49"/>
  <sheetViews>
    <sheetView showGridLines="0" showRowColHeaders="0" zoomScale="90" zoomScaleNormal="90" workbookViewId="0">
      <pane xSplit="6" ySplit="3" topLeftCell="G58" activePane="bottomRight" state="frozen"/>
      <selection pane="topRight" activeCell="S28" sqref="S28"/>
      <selection pane="bottomLeft" activeCell="S28" sqref="S28"/>
      <selection pane="bottomRight" sqref="A1:C1"/>
    </sheetView>
  </sheetViews>
  <sheetFormatPr defaultColWidth="0" defaultRowHeight="13.8" zeroHeight="1" x14ac:dyDescent="0.25"/>
  <cols>
    <col min="1" max="1" width="14.5546875" style="31" customWidth="1"/>
    <col min="2" max="2" width="16.5546875" style="31" customWidth="1"/>
    <col min="3" max="3" width="16.44140625" style="31" customWidth="1"/>
    <col min="4" max="4" width="3" style="31" customWidth="1"/>
    <col min="5" max="5" width="4.109375" style="31" customWidth="1"/>
    <col min="6" max="6" width="88.88671875" style="31" bestFit="1" customWidth="1"/>
    <col min="7" max="7" width="13.109375" style="31" bestFit="1" customWidth="1"/>
    <col min="8" max="8" width="18.5546875" style="31" bestFit="1" customWidth="1"/>
    <col min="9" max="9" width="16.88671875" style="31" bestFit="1" customWidth="1"/>
    <col min="10" max="10" width="17.6640625" style="31" bestFit="1" customWidth="1"/>
    <col min="11" max="11" width="13" style="31" bestFit="1" customWidth="1"/>
    <col min="12" max="12" width="23.5546875" style="31" bestFit="1" customWidth="1"/>
    <col min="13" max="13" width="18.5546875" style="31" bestFit="1" customWidth="1"/>
    <col min="14" max="14" width="9.109375" style="31" customWidth="1"/>
    <col min="15" max="16" width="12.109375" style="31" customWidth="1"/>
    <col min="17" max="17" width="12.88671875" style="31" customWidth="1"/>
    <col min="18" max="18" width="11.44140625" style="31" customWidth="1"/>
    <col min="19" max="33" width="9.109375" style="31" customWidth="1"/>
    <col min="34" max="34" width="8.109375" style="31" hidden="1" customWidth="1"/>
    <col min="35" max="16384" width="9.109375" style="31" hidden="1"/>
  </cols>
  <sheetData>
    <row r="1" spans="1:13" ht="55.2" customHeight="1" x14ac:dyDescent="0.5">
      <c r="A1" s="1053"/>
      <c r="B1" s="1053"/>
      <c r="C1" s="1053"/>
      <c r="F1" s="281"/>
      <c r="G1" s="281"/>
      <c r="H1" s="281"/>
      <c r="I1" s="281"/>
      <c r="J1" s="281"/>
      <c r="K1" s="281"/>
      <c r="L1" s="281"/>
      <c r="M1" s="281"/>
    </row>
    <row r="2" spans="1:13" ht="29.4" customHeight="1" x14ac:dyDescent="0.5">
      <c r="A2" s="1052" t="s">
        <v>929</v>
      </c>
      <c r="B2" s="1052"/>
      <c r="C2" s="1052"/>
      <c r="F2" s="282"/>
      <c r="G2" s="1054" t="s">
        <v>930</v>
      </c>
      <c r="H2" s="1054"/>
      <c r="I2" s="1054"/>
      <c r="J2" s="1054"/>
      <c r="K2" s="1054"/>
      <c r="L2" s="1054"/>
      <c r="M2" s="1055"/>
    </row>
    <row r="3" spans="1:13" ht="27.6" x14ac:dyDescent="0.25">
      <c r="A3" s="103" t="s">
        <v>931</v>
      </c>
      <c r="B3" s="103" t="s">
        <v>932</v>
      </c>
      <c r="C3" s="103" t="s">
        <v>933</v>
      </c>
      <c r="F3" s="283" t="s">
        <v>820</v>
      </c>
      <c r="G3" s="104" t="s">
        <v>21</v>
      </c>
      <c r="H3" s="104" t="s">
        <v>382</v>
      </c>
      <c r="I3" s="104" t="s">
        <v>20</v>
      </c>
      <c r="J3" s="104" t="s">
        <v>393</v>
      </c>
      <c r="K3" s="130" t="s">
        <v>242</v>
      </c>
      <c r="L3" s="130" t="s">
        <v>403</v>
      </c>
      <c r="M3" s="104" t="s">
        <v>407</v>
      </c>
    </row>
    <row r="4" spans="1:13" x14ac:dyDescent="0.25">
      <c r="A4" s="104">
        <v>0</v>
      </c>
      <c r="B4" s="544">
        <v>100</v>
      </c>
      <c r="C4" s="655">
        <v>1</v>
      </c>
      <c r="F4" s="88" t="str">
        <f>'G-1 All Habitats'!B3</f>
        <v>Cropland - Arable field margins cultivated annually</v>
      </c>
      <c r="G4" s="544" t="s">
        <v>934</v>
      </c>
      <c r="H4" s="544" t="s">
        <v>934</v>
      </c>
      <c r="I4" s="544" t="s">
        <v>934</v>
      </c>
      <c r="J4" s="544" t="s">
        <v>934</v>
      </c>
      <c r="K4" s="544" t="s">
        <v>934</v>
      </c>
      <c r="L4" s="544">
        <v>1</v>
      </c>
      <c r="M4" s="544" t="s">
        <v>934</v>
      </c>
    </row>
    <row r="5" spans="1:13" x14ac:dyDescent="0.25">
      <c r="A5" s="104">
        <v>1</v>
      </c>
      <c r="B5" s="544">
        <v>96.5</v>
      </c>
      <c r="C5" s="655">
        <v>0.96499999999999997</v>
      </c>
      <c r="F5" s="88" t="str">
        <f>'G-1 All Habitats'!B4</f>
        <v>Cropland - Arable field margins game bird mix</v>
      </c>
      <c r="G5" s="544" t="s">
        <v>934</v>
      </c>
      <c r="H5" s="544" t="s">
        <v>934</v>
      </c>
      <c r="I5" s="544" t="s">
        <v>934</v>
      </c>
      <c r="J5" s="544" t="s">
        <v>934</v>
      </c>
      <c r="K5" s="544" t="s">
        <v>934</v>
      </c>
      <c r="L5" s="544">
        <v>1</v>
      </c>
      <c r="M5" s="544" t="s">
        <v>934</v>
      </c>
    </row>
    <row r="6" spans="1:13" x14ac:dyDescent="0.25">
      <c r="A6" s="104">
        <v>2</v>
      </c>
      <c r="B6" s="544">
        <v>93.122500000000002</v>
      </c>
      <c r="C6" s="655">
        <v>0.93122499999999997</v>
      </c>
      <c r="F6" s="88" t="str">
        <f>'G-1 All Habitats'!B5</f>
        <v>Cropland - Arable field margins pollen &amp; nectar</v>
      </c>
      <c r="G6" s="544" t="s">
        <v>934</v>
      </c>
      <c r="H6" s="544" t="s">
        <v>934</v>
      </c>
      <c r="I6" s="544" t="s">
        <v>934</v>
      </c>
      <c r="J6" s="544" t="s">
        <v>934</v>
      </c>
      <c r="K6" s="544" t="s">
        <v>934</v>
      </c>
      <c r="L6" s="544">
        <v>1</v>
      </c>
      <c r="M6" s="544" t="s">
        <v>934</v>
      </c>
    </row>
    <row r="7" spans="1:13" x14ac:dyDescent="0.25">
      <c r="A7" s="104">
        <v>3</v>
      </c>
      <c r="B7" s="544">
        <v>89.863212500000003</v>
      </c>
      <c r="C7" s="655">
        <v>0.898632125</v>
      </c>
      <c r="F7" s="88" t="str">
        <f>'G-1 All Habitats'!B6</f>
        <v>Cropland - Arable field margins tussocky</v>
      </c>
      <c r="G7" s="544" t="s">
        <v>934</v>
      </c>
      <c r="H7" s="544" t="s">
        <v>934</v>
      </c>
      <c r="I7" s="544" t="s">
        <v>934</v>
      </c>
      <c r="J7" s="544" t="s">
        <v>934</v>
      </c>
      <c r="K7" s="544" t="s">
        <v>934</v>
      </c>
      <c r="L7" s="544">
        <v>1</v>
      </c>
      <c r="M7" s="544" t="s">
        <v>934</v>
      </c>
    </row>
    <row r="8" spans="1:13" x14ac:dyDescent="0.25">
      <c r="A8" s="104">
        <v>4</v>
      </c>
      <c r="B8" s="544">
        <v>86.718000059999994</v>
      </c>
      <c r="C8" s="655">
        <v>0.86718000059999989</v>
      </c>
      <c r="F8" s="88" t="str">
        <f>'G-1 All Habitats'!B7</f>
        <v>Cropland - Cereal crops</v>
      </c>
      <c r="G8" s="544" t="s">
        <v>934</v>
      </c>
      <c r="H8" s="544" t="s">
        <v>934</v>
      </c>
      <c r="I8" s="544" t="s">
        <v>934</v>
      </c>
      <c r="J8" s="544" t="s">
        <v>934</v>
      </c>
      <c r="K8" s="544" t="s">
        <v>934</v>
      </c>
      <c r="L8" s="544">
        <v>1</v>
      </c>
      <c r="M8" s="544" t="s">
        <v>934</v>
      </c>
    </row>
    <row r="9" spans="1:13" x14ac:dyDescent="0.25">
      <c r="A9" s="104">
        <v>5</v>
      </c>
      <c r="B9" s="544">
        <v>83.682870059999999</v>
      </c>
      <c r="C9" s="655">
        <v>0.83682870060000003</v>
      </c>
      <c r="F9" s="88" t="str">
        <f>'G-1 All Habitats'!B8</f>
        <v>Cropland - Cereal crops winter stubble</v>
      </c>
      <c r="G9" s="544" t="s">
        <v>934</v>
      </c>
      <c r="H9" s="544" t="s">
        <v>934</v>
      </c>
      <c r="I9" s="544" t="s">
        <v>934</v>
      </c>
      <c r="J9" s="544" t="s">
        <v>934</v>
      </c>
      <c r="K9" s="544" t="s">
        <v>934</v>
      </c>
      <c r="L9" s="544">
        <v>1</v>
      </c>
      <c r="M9" s="544" t="s">
        <v>934</v>
      </c>
    </row>
    <row r="10" spans="1:13" x14ac:dyDescent="0.25">
      <c r="A10" s="104">
        <v>6</v>
      </c>
      <c r="B10" s="544">
        <v>80.753969609999999</v>
      </c>
      <c r="C10" s="655">
        <v>0.80753969609999998</v>
      </c>
      <c r="F10" s="88" t="str">
        <f>'G-1 All Habitats'!B9</f>
        <v>Cropland - Horticulture</v>
      </c>
      <c r="G10" s="544" t="s">
        <v>934</v>
      </c>
      <c r="H10" s="544" t="s">
        <v>934</v>
      </c>
      <c r="I10" s="544" t="s">
        <v>934</v>
      </c>
      <c r="J10" s="544" t="s">
        <v>934</v>
      </c>
      <c r="K10" s="544" t="s">
        <v>934</v>
      </c>
      <c r="L10" s="544">
        <v>1</v>
      </c>
      <c r="M10" s="544" t="s">
        <v>934</v>
      </c>
    </row>
    <row r="11" spans="1:13" x14ac:dyDescent="0.25">
      <c r="A11" s="104">
        <v>7</v>
      </c>
      <c r="B11" s="544">
        <v>77.927580669999998</v>
      </c>
      <c r="C11" s="655">
        <v>0.77927580669999996</v>
      </c>
      <c r="F11" s="88" t="str">
        <f>'G-1 All Habitats'!B10</f>
        <v>Cropland - Intensive orchards</v>
      </c>
      <c r="G11" s="544" t="s">
        <v>934</v>
      </c>
      <c r="H11" s="544" t="s">
        <v>934</v>
      </c>
      <c r="I11" s="544" t="s">
        <v>934</v>
      </c>
      <c r="J11" s="544" t="s">
        <v>934</v>
      </c>
      <c r="K11" s="544" t="s">
        <v>934</v>
      </c>
      <c r="L11" s="544">
        <v>1</v>
      </c>
      <c r="M11" s="544" t="s">
        <v>934</v>
      </c>
    </row>
    <row r="12" spans="1:13" x14ac:dyDescent="0.25">
      <c r="A12" s="104">
        <v>8</v>
      </c>
      <c r="B12" s="544">
        <v>75.200115350000004</v>
      </c>
      <c r="C12" s="655">
        <v>0.75200115350000007</v>
      </c>
      <c r="F12" s="88" t="str">
        <f>'G-1 All Habitats'!B11</f>
        <v>Cropland - Non-cereal crops</v>
      </c>
      <c r="G12" s="544" t="s">
        <v>934</v>
      </c>
      <c r="H12" s="544" t="s">
        <v>934</v>
      </c>
      <c r="I12" s="544" t="s">
        <v>934</v>
      </c>
      <c r="J12" s="544" t="s">
        <v>934</v>
      </c>
      <c r="K12" s="544" t="s">
        <v>934</v>
      </c>
      <c r="L12" s="544">
        <v>1</v>
      </c>
      <c r="M12" s="544" t="s">
        <v>934</v>
      </c>
    </row>
    <row r="13" spans="1:13" x14ac:dyDescent="0.25">
      <c r="A13" s="104">
        <v>9</v>
      </c>
      <c r="B13" s="544">
        <v>72.568111310000006</v>
      </c>
      <c r="C13" s="655">
        <v>0.72568111310000005</v>
      </c>
      <c r="F13" s="88" t="str">
        <f>'G-1 All Habitats'!B12</f>
        <v>Cropland - Temporary grass and clover leys</v>
      </c>
      <c r="G13" s="544" t="s">
        <v>934</v>
      </c>
      <c r="H13" s="544" t="s">
        <v>934</v>
      </c>
      <c r="I13" s="544" t="s">
        <v>934</v>
      </c>
      <c r="J13" s="544" t="s">
        <v>934</v>
      </c>
      <c r="K13" s="544" t="s">
        <v>934</v>
      </c>
      <c r="L13" s="544">
        <v>1</v>
      </c>
      <c r="M13" s="544" t="s">
        <v>934</v>
      </c>
    </row>
    <row r="14" spans="1:13" x14ac:dyDescent="0.25">
      <c r="A14" s="104">
        <v>10</v>
      </c>
      <c r="B14" s="544">
        <v>70.028227419999993</v>
      </c>
      <c r="C14" s="655">
        <v>0.70028227419999989</v>
      </c>
      <c r="F14" s="88" t="str">
        <f>'G-1 All Habitats'!B13</f>
        <v>Grassland - Traditional orchards</v>
      </c>
      <c r="G14" s="544">
        <v>30</v>
      </c>
      <c r="H14" s="544">
        <v>25</v>
      </c>
      <c r="I14" s="544">
        <v>20</v>
      </c>
      <c r="J14" s="544">
        <v>10</v>
      </c>
      <c r="K14" s="544">
        <v>5</v>
      </c>
      <c r="L14" s="544" t="s">
        <v>934</v>
      </c>
      <c r="M14" s="544" t="s">
        <v>934</v>
      </c>
    </row>
    <row r="15" spans="1:13" x14ac:dyDescent="0.25">
      <c r="A15" s="104">
        <v>11</v>
      </c>
      <c r="B15" s="544">
        <v>67.577239460000001</v>
      </c>
      <c r="C15" s="655">
        <v>0.67577239460000005</v>
      </c>
      <c r="F15" s="88" t="str">
        <f>'G-1 All Habitats'!B14</f>
        <v>Grassland - Bracken</v>
      </c>
      <c r="G15" s="544" t="s">
        <v>934</v>
      </c>
      <c r="H15" s="544" t="s">
        <v>934</v>
      </c>
      <c r="I15" s="544" t="s">
        <v>934</v>
      </c>
      <c r="J15" s="544" t="s">
        <v>934</v>
      </c>
      <c r="K15" s="544" t="s">
        <v>934</v>
      </c>
      <c r="L15" s="544">
        <v>1</v>
      </c>
      <c r="M15" s="544" t="s">
        <v>934</v>
      </c>
    </row>
    <row r="16" spans="1:13" x14ac:dyDescent="0.25">
      <c r="A16" s="104">
        <v>12</v>
      </c>
      <c r="B16" s="544">
        <v>65.212036069999996</v>
      </c>
      <c r="C16" s="655">
        <v>0.65212036070000001</v>
      </c>
      <c r="F16" s="88" t="str">
        <f>'G-1 All Habitats'!B15</f>
        <v>Grassland - Floodplain Wetland Mosaic (CFGM)</v>
      </c>
      <c r="G16" s="544">
        <v>20</v>
      </c>
      <c r="H16" s="544">
        <v>15</v>
      </c>
      <c r="I16" s="544">
        <v>10</v>
      </c>
      <c r="J16" s="544">
        <v>8</v>
      </c>
      <c r="K16" s="544">
        <v>5</v>
      </c>
      <c r="L16" s="544" t="s">
        <v>934</v>
      </c>
      <c r="M16" s="544" t="s">
        <v>934</v>
      </c>
    </row>
    <row r="17" spans="1:13" x14ac:dyDescent="0.25">
      <c r="A17" s="104">
        <v>13</v>
      </c>
      <c r="B17" s="544">
        <v>62.929614809999997</v>
      </c>
      <c r="C17" s="655">
        <v>0.62929614810000001</v>
      </c>
      <c r="F17" s="88" t="str">
        <f>'G-1 All Habitats'!B16</f>
        <v>Grassland - Lowland calcareous grassland</v>
      </c>
      <c r="G17" s="544">
        <v>20</v>
      </c>
      <c r="H17" s="544">
        <v>15</v>
      </c>
      <c r="I17" s="544">
        <v>10</v>
      </c>
      <c r="J17" s="544">
        <v>8</v>
      </c>
      <c r="K17" s="544">
        <v>5</v>
      </c>
      <c r="L17" s="544" t="s">
        <v>934</v>
      </c>
      <c r="M17" s="544" t="s">
        <v>934</v>
      </c>
    </row>
    <row r="18" spans="1:13" x14ac:dyDescent="0.25">
      <c r="A18" s="104">
        <v>14</v>
      </c>
      <c r="B18" s="544">
        <v>60.727078290000001</v>
      </c>
      <c r="C18" s="655">
        <v>0.60727078290000003</v>
      </c>
      <c r="F18" s="88" t="str">
        <f>'G-1 All Habitats'!B17</f>
        <v>Grassland - Lowland dry acid grassland</v>
      </c>
      <c r="G18" s="544" t="s">
        <v>935</v>
      </c>
      <c r="H18" s="544">
        <v>25</v>
      </c>
      <c r="I18" s="544">
        <v>20</v>
      </c>
      <c r="J18" s="544">
        <v>15</v>
      </c>
      <c r="K18" s="544">
        <v>10</v>
      </c>
      <c r="L18" s="544" t="s">
        <v>934</v>
      </c>
      <c r="M18" s="544" t="s">
        <v>934</v>
      </c>
    </row>
    <row r="19" spans="1:13" x14ac:dyDescent="0.25">
      <c r="A19" s="104">
        <v>15</v>
      </c>
      <c r="B19" s="544">
        <v>58.601630550000003</v>
      </c>
      <c r="C19" s="655">
        <v>0.58601630550000006</v>
      </c>
      <c r="F19" s="88" t="str">
        <f>'G-1 All Habitats'!B18</f>
        <v>Grassland - Lowland meadows</v>
      </c>
      <c r="G19" s="544">
        <v>15</v>
      </c>
      <c r="H19" s="544">
        <v>12</v>
      </c>
      <c r="I19" s="544">
        <v>10</v>
      </c>
      <c r="J19" s="544">
        <v>8</v>
      </c>
      <c r="K19" s="544">
        <v>5</v>
      </c>
      <c r="L19" s="544" t="s">
        <v>934</v>
      </c>
      <c r="M19" s="544" t="s">
        <v>934</v>
      </c>
    </row>
    <row r="20" spans="1:13" x14ac:dyDescent="0.25">
      <c r="A20" s="104">
        <v>16</v>
      </c>
      <c r="B20" s="544">
        <v>56.550573479999997</v>
      </c>
      <c r="C20" s="655">
        <v>0.56550573479999999</v>
      </c>
      <c r="F20" s="88" t="str">
        <f>'G-1 All Habitats'!B19</f>
        <v>Grassland - Modified grassland</v>
      </c>
      <c r="G20" s="544">
        <v>7</v>
      </c>
      <c r="H20" s="544">
        <v>5</v>
      </c>
      <c r="I20" s="544">
        <v>4</v>
      </c>
      <c r="J20" s="544">
        <v>2</v>
      </c>
      <c r="K20" s="544">
        <v>1</v>
      </c>
      <c r="L20" s="544">
        <v>1</v>
      </c>
      <c r="M20" s="544" t="s">
        <v>934</v>
      </c>
    </row>
    <row r="21" spans="1:13" ht="15" customHeight="1" x14ac:dyDescent="0.25">
      <c r="A21" s="104">
        <v>17</v>
      </c>
      <c r="B21" s="544">
        <v>54.571303409999999</v>
      </c>
      <c r="C21" s="655">
        <v>0.54571303409999994</v>
      </c>
      <c r="F21" s="88" t="str">
        <f>'G-1 All Habitats'!B20</f>
        <v>Grassland - Other lowland acid grassland</v>
      </c>
      <c r="G21" s="544">
        <v>15</v>
      </c>
      <c r="H21" s="544">
        <v>12</v>
      </c>
      <c r="I21" s="544">
        <v>10</v>
      </c>
      <c r="J21" s="544">
        <v>5</v>
      </c>
      <c r="K21" s="544">
        <v>1</v>
      </c>
      <c r="L21" s="544" t="s">
        <v>934</v>
      </c>
      <c r="M21" s="544" t="s">
        <v>934</v>
      </c>
    </row>
    <row r="22" spans="1:13" ht="15" customHeight="1" x14ac:dyDescent="0.25">
      <c r="A22" s="104">
        <v>18</v>
      </c>
      <c r="B22" s="544">
        <v>52.661307790000002</v>
      </c>
      <c r="C22" s="655">
        <v>0.5266130779</v>
      </c>
      <c r="F22" s="88" t="str">
        <f>'G-1 All Habitats'!B21</f>
        <v>Grassland - Other neutral grassland</v>
      </c>
      <c r="G22" s="544">
        <v>10</v>
      </c>
      <c r="H22" s="544">
        <v>7</v>
      </c>
      <c r="I22" s="544">
        <v>5</v>
      </c>
      <c r="J22" s="544">
        <v>3</v>
      </c>
      <c r="K22" s="544">
        <v>2</v>
      </c>
      <c r="L22" s="544" t="s">
        <v>934</v>
      </c>
      <c r="M22" s="544" t="s">
        <v>934</v>
      </c>
    </row>
    <row r="23" spans="1:13" ht="15" customHeight="1" x14ac:dyDescent="0.25">
      <c r="A23" s="104">
        <v>19</v>
      </c>
      <c r="B23" s="544">
        <v>50.818162020000003</v>
      </c>
      <c r="C23" s="655">
        <v>0.50818162020000002</v>
      </c>
      <c r="F23" s="88" t="str">
        <f>'G-1 All Habitats'!B22</f>
        <v>Grassland - Tall herb communities (H6430)</v>
      </c>
      <c r="G23" s="544">
        <v>30</v>
      </c>
      <c r="H23" s="544">
        <v>25</v>
      </c>
      <c r="I23" s="544">
        <v>20</v>
      </c>
      <c r="J23" s="544">
        <v>15</v>
      </c>
      <c r="K23" s="544">
        <v>10</v>
      </c>
      <c r="L23" s="544" t="s">
        <v>934</v>
      </c>
      <c r="M23" s="544" t="s">
        <v>934</v>
      </c>
    </row>
    <row r="24" spans="1:13" ht="15" customHeight="1" x14ac:dyDescent="0.25">
      <c r="A24" s="104">
        <v>20</v>
      </c>
      <c r="B24" s="544">
        <v>49.039526350000003</v>
      </c>
      <c r="C24" s="655">
        <v>0.49039526350000001</v>
      </c>
      <c r="F24" s="88" t="str">
        <f>'G-1 All Habitats'!B23</f>
        <v>Grassland - Upland acid grassland</v>
      </c>
      <c r="G24" s="544">
        <v>15</v>
      </c>
      <c r="H24" s="544">
        <v>12</v>
      </c>
      <c r="I24" s="544">
        <v>10</v>
      </c>
      <c r="J24" s="544">
        <v>5</v>
      </c>
      <c r="K24" s="544">
        <v>1</v>
      </c>
      <c r="L24" s="544" t="s">
        <v>934</v>
      </c>
      <c r="M24" s="544" t="s">
        <v>934</v>
      </c>
    </row>
    <row r="25" spans="1:13" ht="15" customHeight="1" x14ac:dyDescent="0.25">
      <c r="A25" s="104">
        <v>21</v>
      </c>
      <c r="B25" s="544">
        <v>47.323142930000003</v>
      </c>
      <c r="C25" s="655">
        <v>0.47323142930000001</v>
      </c>
      <c r="F25" s="88" t="str">
        <f>'G-1 All Habitats'!B24</f>
        <v>Grassland - Upland calcareous grassland</v>
      </c>
      <c r="G25" s="544">
        <v>25</v>
      </c>
      <c r="H25" s="544">
        <v>20</v>
      </c>
      <c r="I25" s="544">
        <v>15</v>
      </c>
      <c r="J25" s="544">
        <v>12</v>
      </c>
      <c r="K25" s="544">
        <v>10</v>
      </c>
      <c r="L25" s="544" t="s">
        <v>934</v>
      </c>
      <c r="M25" s="544" t="s">
        <v>934</v>
      </c>
    </row>
    <row r="26" spans="1:13" ht="15" customHeight="1" x14ac:dyDescent="0.25">
      <c r="A26" s="104">
        <v>22</v>
      </c>
      <c r="B26" s="544">
        <v>45.666832919999997</v>
      </c>
      <c r="C26" s="655">
        <v>0.4566683292</v>
      </c>
      <c r="F26" s="88" t="str">
        <f>'G-1 All Habitats'!B25</f>
        <v>Grassland - Upland hay meadows</v>
      </c>
      <c r="G26" s="544">
        <v>20</v>
      </c>
      <c r="H26" s="544">
        <v>18</v>
      </c>
      <c r="I26" s="544">
        <v>15</v>
      </c>
      <c r="J26" s="544">
        <v>12</v>
      </c>
      <c r="K26" s="544">
        <v>10</v>
      </c>
      <c r="L26" s="544" t="s">
        <v>934</v>
      </c>
      <c r="M26" s="544" t="s">
        <v>934</v>
      </c>
    </row>
    <row r="27" spans="1:13" x14ac:dyDescent="0.25">
      <c r="A27" s="104">
        <v>23</v>
      </c>
      <c r="B27" s="544">
        <v>44.068493770000003</v>
      </c>
      <c r="C27" s="655">
        <v>0.44068493770000006</v>
      </c>
      <c r="F27" s="88" t="str">
        <f>'G-1 All Habitats'!B26</f>
        <v>Heathland and shrub - Blackthorn scrub</v>
      </c>
      <c r="G27" s="544">
        <v>10</v>
      </c>
      <c r="H27" s="544">
        <v>7</v>
      </c>
      <c r="I27" s="544">
        <v>5</v>
      </c>
      <c r="J27" s="544">
        <v>3</v>
      </c>
      <c r="K27" s="544">
        <v>1</v>
      </c>
      <c r="L27" s="544" t="s">
        <v>934</v>
      </c>
      <c r="M27" s="544" t="s">
        <v>934</v>
      </c>
    </row>
    <row r="28" spans="1:13" x14ac:dyDescent="0.25">
      <c r="A28" s="104">
        <v>24</v>
      </c>
      <c r="B28" s="544">
        <v>42.52609649</v>
      </c>
      <c r="C28" s="655">
        <v>0.42526096489999998</v>
      </c>
      <c r="F28" s="88" t="str">
        <f>'G-1 All Habitats'!B27</f>
        <v>Heathland and shrub - Bramble scrub</v>
      </c>
      <c r="G28" s="544" t="s">
        <v>934</v>
      </c>
      <c r="H28" s="544" t="s">
        <v>934</v>
      </c>
      <c r="I28" s="544" t="s">
        <v>934</v>
      </c>
      <c r="J28" s="544" t="s">
        <v>934</v>
      </c>
      <c r="K28" s="544" t="s">
        <v>934</v>
      </c>
      <c r="L28" s="544">
        <v>1</v>
      </c>
      <c r="M28" s="544" t="s">
        <v>934</v>
      </c>
    </row>
    <row r="29" spans="1:13" x14ac:dyDescent="0.25">
      <c r="A29" s="104">
        <v>25</v>
      </c>
      <c r="B29" s="544">
        <v>41.037683110000003</v>
      </c>
      <c r="C29" s="655">
        <v>0.41037683110000001</v>
      </c>
      <c r="F29" s="88" t="str">
        <f>'G-1 All Habitats'!B28</f>
        <v>Heathland and shrub - Gorse scrub</v>
      </c>
      <c r="G29" s="544">
        <v>10</v>
      </c>
      <c r="H29" s="544">
        <v>7</v>
      </c>
      <c r="I29" s="544">
        <v>5</v>
      </c>
      <c r="J29" s="544">
        <v>3</v>
      </c>
      <c r="K29" s="544">
        <v>1</v>
      </c>
      <c r="L29" s="544" t="s">
        <v>934</v>
      </c>
      <c r="M29" s="544" t="s">
        <v>934</v>
      </c>
    </row>
    <row r="30" spans="1:13" x14ac:dyDescent="0.25">
      <c r="A30" s="104">
        <v>26</v>
      </c>
      <c r="B30" s="544">
        <v>39.601364199999999</v>
      </c>
      <c r="C30" s="655">
        <v>0.396013642</v>
      </c>
      <c r="F30" s="88" t="str">
        <f>'G-1 All Habitats'!B29</f>
        <v>Heathland and shrub - Hawthorn scrub</v>
      </c>
      <c r="G30" s="544">
        <v>10</v>
      </c>
      <c r="H30" s="544">
        <v>7</v>
      </c>
      <c r="I30" s="544">
        <v>5</v>
      </c>
      <c r="J30" s="544">
        <v>3</v>
      </c>
      <c r="K30" s="544">
        <v>1</v>
      </c>
      <c r="L30" s="544" t="s">
        <v>934</v>
      </c>
      <c r="M30" s="544" t="s">
        <v>934</v>
      </c>
    </row>
    <row r="31" spans="1:13" x14ac:dyDescent="0.25">
      <c r="A31" s="104">
        <v>27</v>
      </c>
      <c r="B31" s="544">
        <v>38.215316459999997</v>
      </c>
      <c r="C31" s="655">
        <v>0.38215316459999998</v>
      </c>
      <c r="F31" s="88" t="str">
        <f>'G-1 All Habitats'!B30</f>
        <v>Heathland and shrub - Hazel scrub</v>
      </c>
      <c r="G31" s="544">
        <v>15</v>
      </c>
      <c r="H31" s="544">
        <v>12</v>
      </c>
      <c r="I31" s="544">
        <v>10</v>
      </c>
      <c r="J31" s="544">
        <v>7</v>
      </c>
      <c r="K31" s="544">
        <v>5</v>
      </c>
      <c r="L31" s="544" t="s">
        <v>934</v>
      </c>
      <c r="M31" s="544" t="s">
        <v>934</v>
      </c>
    </row>
    <row r="32" spans="1:13" x14ac:dyDescent="0.25">
      <c r="A32" s="104">
        <v>28</v>
      </c>
      <c r="B32" s="544">
        <v>36.877780379999997</v>
      </c>
      <c r="C32" s="655">
        <v>0.36877780379999997</v>
      </c>
      <c r="F32" s="88" t="str">
        <f>'G-1 All Habitats'!B31</f>
        <v>Heathland and shrub - Lowland Heathland</v>
      </c>
      <c r="G32" s="544" t="s">
        <v>935</v>
      </c>
      <c r="H32" s="544">
        <v>25</v>
      </c>
      <c r="I32" s="544">
        <v>20</v>
      </c>
      <c r="J32" s="544">
        <v>15</v>
      </c>
      <c r="K32" s="544">
        <v>10</v>
      </c>
      <c r="L32" s="544" t="s">
        <v>934</v>
      </c>
      <c r="M32" s="544" t="s">
        <v>934</v>
      </c>
    </row>
    <row r="33" spans="1:13" x14ac:dyDescent="0.25">
      <c r="A33" s="104">
        <v>29</v>
      </c>
      <c r="B33" s="544">
        <v>35.587058069999998</v>
      </c>
      <c r="C33" s="655">
        <v>0.35587058069999999</v>
      </c>
      <c r="F33" s="88" t="str">
        <f>'G-1 All Habitats'!B32</f>
        <v>Heathland and shrub - Mixed scrub</v>
      </c>
      <c r="G33" s="544">
        <v>10</v>
      </c>
      <c r="H33" s="544">
        <v>7</v>
      </c>
      <c r="I33" s="544">
        <v>5</v>
      </c>
      <c r="J33" s="544">
        <v>3</v>
      </c>
      <c r="K33" s="544">
        <v>1</v>
      </c>
      <c r="L33" s="544" t="s">
        <v>934</v>
      </c>
      <c r="M33" s="544" t="s">
        <v>934</v>
      </c>
    </row>
    <row r="34" spans="1:13" x14ac:dyDescent="0.25">
      <c r="A34" s="104">
        <v>30</v>
      </c>
      <c r="B34" s="544">
        <v>34.34151104</v>
      </c>
      <c r="C34" s="655">
        <v>0.3434151104</v>
      </c>
      <c r="F34" s="88" t="str">
        <f>'G-1 All Habitats'!B33</f>
        <v>Heathland and shrub - Mountain heaths and willow scrub</v>
      </c>
      <c r="G34" s="544" t="s">
        <v>935</v>
      </c>
      <c r="H34" s="544" t="s">
        <v>935</v>
      </c>
      <c r="I34" s="544">
        <v>25</v>
      </c>
      <c r="J34" s="544">
        <v>23</v>
      </c>
      <c r="K34" s="544">
        <v>15</v>
      </c>
      <c r="L34" s="544" t="s">
        <v>934</v>
      </c>
      <c r="M34" s="544" t="s">
        <v>934</v>
      </c>
    </row>
    <row r="35" spans="1:13" x14ac:dyDescent="0.25">
      <c r="A35" s="104">
        <v>31</v>
      </c>
      <c r="B35" s="544">
        <v>33.139558149999999</v>
      </c>
      <c r="C35" s="655">
        <v>0.33139558149999998</v>
      </c>
      <c r="F35" s="88" t="str">
        <f>'G-1 All Habitats'!B34</f>
        <v>Heathland and shrub - Rhododendron scrub</v>
      </c>
      <c r="G35" s="544" t="s">
        <v>934</v>
      </c>
      <c r="H35" s="544" t="s">
        <v>934</v>
      </c>
      <c r="I35" s="544" t="s">
        <v>934</v>
      </c>
      <c r="J35" s="544" t="s">
        <v>934</v>
      </c>
      <c r="K35" s="544" t="s">
        <v>934</v>
      </c>
      <c r="L35" s="544">
        <v>1</v>
      </c>
      <c r="M35" s="544" t="s">
        <v>934</v>
      </c>
    </row>
    <row r="36" spans="1:13" x14ac:dyDescent="0.25">
      <c r="A36" s="104" t="s">
        <v>935</v>
      </c>
      <c r="B36" s="594">
        <v>31.979673609999999</v>
      </c>
      <c r="C36" s="655">
        <v>0.31979673609999998</v>
      </c>
      <c r="F36" s="88" t="str">
        <f>'G-1 All Habitats'!B35</f>
        <v>Heathland and shrub - Sea buckthorn scrub (Annex 1)</v>
      </c>
      <c r="G36" s="544">
        <v>10</v>
      </c>
      <c r="H36" s="544">
        <v>7</v>
      </c>
      <c r="I36" s="544">
        <v>5</v>
      </c>
      <c r="J36" s="544">
        <v>3</v>
      </c>
      <c r="K36" s="544">
        <v>1</v>
      </c>
      <c r="L36" s="544" t="s">
        <v>934</v>
      </c>
      <c r="M36" s="544" t="s">
        <v>934</v>
      </c>
    </row>
    <row r="37" spans="1:13" x14ac:dyDescent="0.25">
      <c r="A37" s="284" t="s">
        <v>934</v>
      </c>
      <c r="B37" s="656" t="s">
        <v>924</v>
      </c>
      <c r="C37" s="656" t="s">
        <v>924</v>
      </c>
      <c r="F37" s="88" t="str">
        <f>'G-1 All Habitats'!B36</f>
        <v>Heathland and shrub - Sea buckthorn scrub (other)</v>
      </c>
      <c r="G37" s="544" t="s">
        <v>934</v>
      </c>
      <c r="H37" s="544" t="s">
        <v>934</v>
      </c>
      <c r="I37" s="544" t="s">
        <v>934</v>
      </c>
      <c r="J37" s="544" t="s">
        <v>934</v>
      </c>
      <c r="K37" s="544" t="s">
        <v>934</v>
      </c>
      <c r="L37" s="544">
        <v>1</v>
      </c>
      <c r="M37" s="544" t="s">
        <v>934</v>
      </c>
    </row>
    <row r="38" spans="1:13" x14ac:dyDescent="0.25">
      <c r="A38" s="42"/>
      <c r="B38" s="42"/>
      <c r="C38" s="42"/>
      <c r="F38" s="88" t="str">
        <f>'G-1 All Habitats'!B37</f>
        <v>Heathland and shrub - Upland Heathland</v>
      </c>
      <c r="G38" s="544">
        <v>30</v>
      </c>
      <c r="H38" s="544">
        <v>25</v>
      </c>
      <c r="I38" s="544">
        <v>20</v>
      </c>
      <c r="J38" s="544">
        <v>15</v>
      </c>
      <c r="K38" s="544">
        <v>10</v>
      </c>
      <c r="L38" s="544" t="s">
        <v>934</v>
      </c>
      <c r="M38" s="544" t="s">
        <v>934</v>
      </c>
    </row>
    <row r="39" spans="1:13" ht="41.4" x14ac:dyDescent="0.25">
      <c r="A39" s="285" t="s">
        <v>936</v>
      </c>
      <c r="B39" s="42"/>
      <c r="C39" s="42"/>
      <c r="F39" s="88" t="str">
        <f>'G-1 All Habitats'!B38</f>
        <v>Lakes - Aquifer fed naturally fluctuating water bodies</v>
      </c>
      <c r="G39" s="544">
        <v>30</v>
      </c>
      <c r="H39" s="544">
        <v>20</v>
      </c>
      <c r="I39" s="544">
        <v>15</v>
      </c>
      <c r="J39" s="544">
        <v>10</v>
      </c>
      <c r="K39" s="544">
        <v>1</v>
      </c>
      <c r="L39" s="544" t="s">
        <v>934</v>
      </c>
      <c r="M39" s="544" t="s">
        <v>934</v>
      </c>
    </row>
    <row r="40" spans="1:13" x14ac:dyDescent="0.25">
      <c r="A40" s="103" t="s">
        <v>931</v>
      </c>
      <c r="B40" s="42"/>
      <c r="C40" s="42"/>
      <c r="F40" s="88" t="str">
        <f>'G-1 All Habitats'!B40</f>
        <v>Lakes - High alkalinity lakes</v>
      </c>
      <c r="G40" s="544">
        <v>30</v>
      </c>
      <c r="H40" s="544">
        <v>20</v>
      </c>
      <c r="I40" s="544">
        <v>10</v>
      </c>
      <c r="J40" s="544">
        <v>7</v>
      </c>
      <c r="K40" s="544">
        <v>5</v>
      </c>
      <c r="L40" s="544" t="s">
        <v>934</v>
      </c>
      <c r="M40" s="544" t="s">
        <v>934</v>
      </c>
    </row>
    <row r="41" spans="1:13" x14ac:dyDescent="0.25">
      <c r="A41" s="544">
        <v>0</v>
      </c>
      <c r="B41" s="42"/>
      <c r="C41" s="42"/>
      <c r="F41" s="88" t="str">
        <f>'G-1 All Habitats'!B41</f>
        <v>Lakes - Low alkalinity lakes</v>
      </c>
      <c r="G41" s="544">
        <v>30</v>
      </c>
      <c r="H41" s="544">
        <v>20</v>
      </c>
      <c r="I41" s="544">
        <v>10</v>
      </c>
      <c r="J41" s="544">
        <v>7</v>
      </c>
      <c r="K41" s="544">
        <v>5</v>
      </c>
      <c r="L41" s="544" t="s">
        <v>934</v>
      </c>
      <c r="M41" s="544" t="s">
        <v>934</v>
      </c>
    </row>
    <row r="42" spans="1:13" x14ac:dyDescent="0.25">
      <c r="A42" s="544">
        <v>1</v>
      </c>
      <c r="B42" s="42"/>
      <c r="C42" s="42"/>
      <c r="F42" s="88" t="str">
        <f>'G-1 All Habitats'!B42</f>
        <v>Lakes - Marl Lakes</v>
      </c>
      <c r="G42" s="544">
        <v>30</v>
      </c>
      <c r="H42" s="544">
        <v>20</v>
      </c>
      <c r="I42" s="544">
        <v>10</v>
      </c>
      <c r="J42" s="544">
        <v>7</v>
      </c>
      <c r="K42" s="544">
        <v>5</v>
      </c>
      <c r="L42" s="544" t="s">
        <v>934</v>
      </c>
      <c r="M42" s="544" t="s">
        <v>934</v>
      </c>
    </row>
    <row r="43" spans="1:13" x14ac:dyDescent="0.25">
      <c r="A43" s="544">
        <v>2</v>
      </c>
      <c r="B43" s="42"/>
      <c r="C43" s="42"/>
      <c r="F43" s="88" t="str">
        <f>'G-1 All Habitats'!B43</f>
        <v>Lakes - Moderate alkalinity lakes</v>
      </c>
      <c r="G43" s="544">
        <v>30</v>
      </c>
      <c r="H43" s="544">
        <v>20</v>
      </c>
      <c r="I43" s="544">
        <v>10</v>
      </c>
      <c r="J43" s="544">
        <v>7</v>
      </c>
      <c r="K43" s="544">
        <v>5</v>
      </c>
      <c r="L43" s="544" t="s">
        <v>934</v>
      </c>
      <c r="M43" s="544" t="s">
        <v>934</v>
      </c>
    </row>
    <row r="44" spans="1:13" x14ac:dyDescent="0.25">
      <c r="A44" s="544">
        <v>3</v>
      </c>
      <c r="B44" s="42"/>
      <c r="C44" s="42"/>
      <c r="F44" s="88" t="str">
        <f>'G-1 All Habitats'!B44</f>
        <v>Lakes - Peat Lakes</v>
      </c>
      <c r="G44" s="544">
        <v>30</v>
      </c>
      <c r="H44" s="544">
        <v>20</v>
      </c>
      <c r="I44" s="544">
        <v>10</v>
      </c>
      <c r="J44" s="544">
        <v>7</v>
      </c>
      <c r="K44" s="544">
        <v>5</v>
      </c>
      <c r="L44" s="544" t="s">
        <v>934</v>
      </c>
      <c r="M44" s="544" t="s">
        <v>934</v>
      </c>
    </row>
    <row r="45" spans="1:13" x14ac:dyDescent="0.25">
      <c r="A45" s="544">
        <v>4</v>
      </c>
      <c r="B45" s="42"/>
      <c r="C45" s="42"/>
      <c r="F45" s="88" t="str">
        <f>'G-1 All Habitats'!B45</f>
        <v>Lakes - Ponds (Priority Habitat)</v>
      </c>
      <c r="G45" s="544">
        <v>5</v>
      </c>
      <c r="H45" s="544">
        <v>4</v>
      </c>
      <c r="I45" s="544">
        <v>3</v>
      </c>
      <c r="J45" s="544">
        <v>2</v>
      </c>
      <c r="K45" s="544">
        <v>1</v>
      </c>
      <c r="L45" s="544" t="s">
        <v>934</v>
      </c>
      <c r="M45" s="544" t="s">
        <v>934</v>
      </c>
    </row>
    <row r="46" spans="1:13" x14ac:dyDescent="0.25">
      <c r="A46" s="544">
        <v>5</v>
      </c>
      <c r="B46" s="42"/>
      <c r="C46" s="42"/>
      <c r="F46" s="88" t="str">
        <f>'G-1 All Habitats'!B46</f>
        <v>Lakes - Ponds (Non- Priority Habitat)</v>
      </c>
      <c r="G46" s="544">
        <v>5</v>
      </c>
      <c r="H46" s="544">
        <v>4</v>
      </c>
      <c r="I46" s="544">
        <v>3</v>
      </c>
      <c r="J46" s="544">
        <v>2</v>
      </c>
      <c r="K46" s="544">
        <v>1</v>
      </c>
      <c r="L46" s="544" t="s">
        <v>934</v>
      </c>
      <c r="M46" s="544" t="s">
        <v>934</v>
      </c>
    </row>
    <row r="47" spans="1:13" x14ac:dyDescent="0.25">
      <c r="A47" s="544">
        <v>6</v>
      </c>
      <c r="B47" s="42"/>
      <c r="C47" s="42"/>
      <c r="F47" s="88" t="str">
        <f>'G-1 All Habitats'!B47</f>
        <v>Lakes - Reservoirs</v>
      </c>
      <c r="G47" s="544">
        <v>10</v>
      </c>
      <c r="H47" s="544">
        <v>7</v>
      </c>
      <c r="I47" s="544">
        <v>5</v>
      </c>
      <c r="J47" s="544">
        <v>3</v>
      </c>
      <c r="K47" s="544">
        <v>1</v>
      </c>
      <c r="L47" s="544" t="s">
        <v>934</v>
      </c>
      <c r="M47" s="544" t="s">
        <v>934</v>
      </c>
    </row>
    <row r="48" spans="1:13" x14ac:dyDescent="0.25">
      <c r="A48" s="544">
        <v>7</v>
      </c>
      <c r="B48" s="42"/>
      <c r="C48" s="42"/>
      <c r="F48" s="88" t="str">
        <f>'G-1 All Habitats'!B48</f>
        <v>Lakes - Temporary lakes, ponds and pools</v>
      </c>
      <c r="G48" s="544">
        <v>5</v>
      </c>
      <c r="H48" s="544">
        <v>4</v>
      </c>
      <c r="I48" s="544">
        <v>3</v>
      </c>
      <c r="J48" s="544">
        <v>2</v>
      </c>
      <c r="K48" s="544">
        <v>1</v>
      </c>
      <c r="L48" s="544" t="s">
        <v>934</v>
      </c>
      <c r="M48" s="544" t="s">
        <v>934</v>
      </c>
    </row>
    <row r="49" spans="1:13" x14ac:dyDescent="0.25">
      <c r="A49" s="544">
        <v>8</v>
      </c>
      <c r="B49" s="42"/>
      <c r="C49" s="42"/>
      <c r="F49" s="88" t="str">
        <f>'G-1 All Habitats'!B49</f>
        <v>Sparsely vegetated land - Calaminarian grasslands</v>
      </c>
      <c r="G49" s="544">
        <v>10</v>
      </c>
      <c r="H49" s="544">
        <v>7</v>
      </c>
      <c r="I49" s="544">
        <v>5</v>
      </c>
      <c r="J49" s="544">
        <v>3</v>
      </c>
      <c r="K49" s="544">
        <v>2</v>
      </c>
      <c r="L49" s="544" t="s">
        <v>934</v>
      </c>
      <c r="M49" s="544" t="s">
        <v>934</v>
      </c>
    </row>
    <row r="50" spans="1:13" x14ac:dyDescent="0.25">
      <c r="A50" s="544">
        <v>9</v>
      </c>
      <c r="B50" s="42"/>
      <c r="C50" s="42"/>
      <c r="F50" s="88" t="str">
        <f>'G-1 All Habitats'!B50</f>
        <v>Sparsely vegetated land - Coastal sand dunes</v>
      </c>
      <c r="G50" s="544">
        <v>20</v>
      </c>
      <c r="H50" s="544">
        <v>15</v>
      </c>
      <c r="I50" s="544">
        <v>10</v>
      </c>
      <c r="J50" s="544">
        <v>7</v>
      </c>
      <c r="K50" s="544">
        <v>5</v>
      </c>
      <c r="L50" s="544" t="s">
        <v>934</v>
      </c>
      <c r="M50" s="544" t="s">
        <v>934</v>
      </c>
    </row>
    <row r="51" spans="1:13" x14ac:dyDescent="0.25">
      <c r="A51" s="544">
        <v>10</v>
      </c>
      <c r="B51" s="42"/>
      <c r="C51" s="42"/>
      <c r="F51" s="88" t="str">
        <f>'G-1 All Habitats'!B51</f>
        <v>Sparsely vegetated land - Coastal vegetated shingle</v>
      </c>
      <c r="G51" s="544">
        <v>20</v>
      </c>
      <c r="H51" s="544">
        <v>15</v>
      </c>
      <c r="I51" s="544">
        <v>10</v>
      </c>
      <c r="J51" s="544">
        <v>7</v>
      </c>
      <c r="K51" s="544">
        <v>5</v>
      </c>
      <c r="L51" s="544" t="s">
        <v>934</v>
      </c>
      <c r="M51" s="544" t="s">
        <v>934</v>
      </c>
    </row>
    <row r="52" spans="1:13" x14ac:dyDescent="0.25">
      <c r="A52" s="544">
        <v>11</v>
      </c>
      <c r="B52" s="42"/>
      <c r="C52" s="42"/>
      <c r="F52" s="88" t="str">
        <f>'G-1 All Habitats'!B52</f>
        <v>Sparsely vegetated land - Ruderal/Ephemeral</v>
      </c>
      <c r="G52" s="544">
        <v>5</v>
      </c>
      <c r="H52" s="544">
        <v>4</v>
      </c>
      <c r="I52" s="544">
        <v>3</v>
      </c>
      <c r="J52" s="544">
        <v>2</v>
      </c>
      <c r="K52" s="544">
        <v>1</v>
      </c>
      <c r="L52" s="544" t="s">
        <v>934</v>
      </c>
      <c r="M52" s="544" t="s">
        <v>934</v>
      </c>
    </row>
    <row r="53" spans="1:13" x14ac:dyDescent="0.25">
      <c r="A53" s="544">
        <v>12</v>
      </c>
      <c r="B53" s="42"/>
      <c r="C53" s="42"/>
      <c r="F53" s="88" t="str">
        <f>'G-1 All Habitats'!B53</f>
        <v>Sparsely vegetated land - Inland rock outcrop and scree habitats</v>
      </c>
      <c r="G53" s="544" t="s">
        <v>935</v>
      </c>
      <c r="H53" s="544">
        <v>25</v>
      </c>
      <c r="I53" s="544">
        <v>20</v>
      </c>
      <c r="J53" s="544">
        <v>15</v>
      </c>
      <c r="K53" s="544">
        <v>10</v>
      </c>
      <c r="L53" s="544" t="s">
        <v>934</v>
      </c>
      <c r="M53" s="544" t="s">
        <v>934</v>
      </c>
    </row>
    <row r="54" spans="1:13" x14ac:dyDescent="0.25">
      <c r="A54" s="544">
        <v>13</v>
      </c>
      <c r="B54" s="42"/>
      <c r="C54" s="42"/>
      <c r="F54" s="88" t="str">
        <f>'G-1 All Habitats'!B54</f>
        <v>Sparsely vegetated land - Limestone pavement</v>
      </c>
      <c r="G54" s="544" t="s">
        <v>935</v>
      </c>
      <c r="H54" s="544" t="s">
        <v>935</v>
      </c>
      <c r="I54" s="544" t="s">
        <v>935</v>
      </c>
      <c r="J54" s="544" t="s">
        <v>935</v>
      </c>
      <c r="K54" s="544" t="s">
        <v>935</v>
      </c>
      <c r="L54" s="544" t="s">
        <v>934</v>
      </c>
      <c r="M54" s="544" t="s">
        <v>934</v>
      </c>
    </row>
    <row r="55" spans="1:13" x14ac:dyDescent="0.25">
      <c r="A55" s="544">
        <v>14</v>
      </c>
      <c r="B55" s="42"/>
      <c r="C55" s="42"/>
      <c r="F55" s="88" t="str">
        <f>'G-1 All Habitats'!B55</f>
        <v>Sparsely vegetated land - Maritime cliff and slopes</v>
      </c>
      <c r="G55" s="544">
        <v>20</v>
      </c>
      <c r="H55" s="544">
        <v>15</v>
      </c>
      <c r="I55" s="544">
        <v>10</v>
      </c>
      <c r="J55" s="544">
        <v>7</v>
      </c>
      <c r="K55" s="544">
        <v>5</v>
      </c>
      <c r="L55" s="544" t="s">
        <v>934</v>
      </c>
      <c r="M55" s="544" t="s">
        <v>934</v>
      </c>
    </row>
    <row r="56" spans="1:13" x14ac:dyDescent="0.25">
      <c r="A56" s="544">
        <v>15</v>
      </c>
      <c r="B56" s="42"/>
      <c r="C56" s="42"/>
      <c r="F56" s="88" t="str">
        <f>'G-1 All Habitats'!B56</f>
        <v>Sparsely vegetated land - Other inland rock and scree</v>
      </c>
      <c r="G56" s="544">
        <v>20</v>
      </c>
      <c r="H56" s="544">
        <v>15</v>
      </c>
      <c r="I56" s="544">
        <v>10</v>
      </c>
      <c r="J56" s="544">
        <v>7</v>
      </c>
      <c r="K56" s="544">
        <v>5</v>
      </c>
      <c r="L56" s="544" t="s">
        <v>934</v>
      </c>
      <c r="M56" s="544" t="s">
        <v>934</v>
      </c>
    </row>
    <row r="57" spans="1:13" x14ac:dyDescent="0.25">
      <c r="A57" s="544">
        <v>16</v>
      </c>
      <c r="B57" s="42"/>
      <c r="C57" s="42"/>
      <c r="F57" s="88" t="str">
        <f>'G-1 All Habitats'!B57</f>
        <v>Urban - Allotments</v>
      </c>
      <c r="G57" s="544">
        <v>1</v>
      </c>
      <c r="H57" s="544">
        <v>1</v>
      </c>
      <c r="I57" s="544">
        <v>1</v>
      </c>
      <c r="J57" s="544">
        <v>1</v>
      </c>
      <c r="K57" s="544">
        <v>1</v>
      </c>
      <c r="L57" s="544" t="s">
        <v>934</v>
      </c>
      <c r="M57" s="544" t="s">
        <v>934</v>
      </c>
    </row>
    <row r="58" spans="1:13" x14ac:dyDescent="0.25">
      <c r="A58" s="544">
        <v>17</v>
      </c>
      <c r="B58" s="42"/>
      <c r="C58" s="42"/>
      <c r="F58" s="88" t="str">
        <f>'G-1 All Habitats'!B39</f>
        <v>Lakes - Ornamental lake or pond</v>
      </c>
      <c r="G58" s="544">
        <v>5</v>
      </c>
      <c r="H58" s="544">
        <v>4</v>
      </c>
      <c r="I58" s="544">
        <v>3</v>
      </c>
      <c r="J58" s="544">
        <v>2</v>
      </c>
      <c r="K58" s="544">
        <v>1</v>
      </c>
      <c r="L58" s="544" t="s">
        <v>934</v>
      </c>
      <c r="M58" s="544" t="s">
        <v>934</v>
      </c>
    </row>
    <row r="59" spans="1:13" x14ac:dyDescent="0.25">
      <c r="A59" s="544">
        <v>18</v>
      </c>
      <c r="B59" s="42"/>
      <c r="C59" s="42"/>
      <c r="F59" s="88" t="str">
        <f>'G-1 All Habitats'!B58</f>
        <v>Urban - Artificial unvegetated, unsealed surface</v>
      </c>
      <c r="G59" s="544" t="s">
        <v>934</v>
      </c>
      <c r="H59" s="544" t="s">
        <v>934</v>
      </c>
      <c r="I59" s="544" t="s">
        <v>934</v>
      </c>
      <c r="J59" s="544" t="s">
        <v>934</v>
      </c>
      <c r="K59" s="544" t="s">
        <v>934</v>
      </c>
      <c r="L59" s="544" t="s">
        <v>934</v>
      </c>
      <c r="M59" s="544">
        <v>0</v>
      </c>
    </row>
    <row r="60" spans="1:13" x14ac:dyDescent="0.25">
      <c r="A60" s="544">
        <v>19</v>
      </c>
      <c r="B60" s="42"/>
      <c r="C60" s="42"/>
      <c r="F60" s="88" t="str">
        <f>'G-1 All Habitats'!B59</f>
        <v>Urban - Bioswale</v>
      </c>
      <c r="G60" s="544">
        <v>3</v>
      </c>
      <c r="H60" s="544">
        <v>2</v>
      </c>
      <c r="I60" s="544">
        <v>1</v>
      </c>
      <c r="J60" s="544">
        <v>1</v>
      </c>
      <c r="K60" s="544">
        <v>1</v>
      </c>
      <c r="L60" s="544" t="s">
        <v>934</v>
      </c>
      <c r="M60" s="544" t="s">
        <v>934</v>
      </c>
    </row>
    <row r="61" spans="1:13" x14ac:dyDescent="0.25">
      <c r="A61" s="544">
        <v>20</v>
      </c>
      <c r="B61" s="42"/>
      <c r="C61" s="42"/>
      <c r="F61" s="88" t="str">
        <f>'G-1 All Habitats'!B60</f>
        <v>Urban - Intensive green roof</v>
      </c>
      <c r="G61" s="544">
        <v>5</v>
      </c>
      <c r="H61" s="544">
        <v>4</v>
      </c>
      <c r="I61" s="544">
        <v>3</v>
      </c>
      <c r="J61" s="544">
        <v>2</v>
      </c>
      <c r="K61" s="544">
        <v>1</v>
      </c>
      <c r="L61" s="544" t="s">
        <v>934</v>
      </c>
      <c r="M61" s="544" t="s">
        <v>934</v>
      </c>
    </row>
    <row r="62" spans="1:13" x14ac:dyDescent="0.25">
      <c r="A62" s="544">
        <v>21</v>
      </c>
      <c r="B62" s="42"/>
      <c r="C62" s="42"/>
      <c r="F62" s="88" t="str">
        <f>'G-1 All Habitats'!B61</f>
        <v>Urban - Built linear features</v>
      </c>
      <c r="G62" s="544" t="s">
        <v>934</v>
      </c>
      <c r="H62" s="544" t="s">
        <v>934</v>
      </c>
      <c r="I62" s="544" t="s">
        <v>934</v>
      </c>
      <c r="J62" s="544" t="s">
        <v>934</v>
      </c>
      <c r="K62" s="544" t="s">
        <v>934</v>
      </c>
      <c r="L62" s="544" t="s">
        <v>934</v>
      </c>
      <c r="M62" s="544">
        <v>0</v>
      </c>
    </row>
    <row r="63" spans="1:13" x14ac:dyDescent="0.25">
      <c r="A63" s="544">
        <v>22</v>
      </c>
      <c r="B63" s="42"/>
      <c r="C63" s="42"/>
      <c r="F63" s="88" t="str">
        <f>'G-1 All Habitats'!B62</f>
        <v>Urban - Cemeteries and churchyards</v>
      </c>
      <c r="G63" s="544">
        <v>20</v>
      </c>
      <c r="H63" s="544">
        <v>17</v>
      </c>
      <c r="I63" s="544">
        <v>15</v>
      </c>
      <c r="J63" s="544">
        <v>12</v>
      </c>
      <c r="K63" s="544">
        <v>10</v>
      </c>
      <c r="L63" s="544" t="s">
        <v>934</v>
      </c>
      <c r="M63" s="544" t="s">
        <v>934</v>
      </c>
    </row>
    <row r="64" spans="1:13" x14ac:dyDescent="0.25">
      <c r="A64" s="544">
        <v>23</v>
      </c>
      <c r="B64" s="42"/>
      <c r="C64" s="42"/>
      <c r="F64" s="88" t="str">
        <f>'G-1 All Habitats'!B63</f>
        <v>Urban - Developed land; sealed surface</v>
      </c>
      <c r="G64" s="544" t="s">
        <v>934</v>
      </c>
      <c r="H64" s="544" t="s">
        <v>934</v>
      </c>
      <c r="I64" s="544" t="s">
        <v>934</v>
      </c>
      <c r="J64" s="544" t="s">
        <v>934</v>
      </c>
      <c r="K64" s="544" t="s">
        <v>934</v>
      </c>
      <c r="L64" s="544" t="s">
        <v>934</v>
      </c>
      <c r="M64" s="544">
        <v>0</v>
      </c>
    </row>
    <row r="65" spans="1:13" x14ac:dyDescent="0.25">
      <c r="A65" s="544">
        <v>24</v>
      </c>
      <c r="B65" s="42"/>
      <c r="C65" s="42"/>
      <c r="F65" s="88" t="str">
        <f>'G-1 All Habitats'!B64</f>
        <v>Urban - Other green roof</v>
      </c>
      <c r="G65" s="544" t="s">
        <v>934</v>
      </c>
      <c r="H65" s="544" t="s">
        <v>934</v>
      </c>
      <c r="I65" s="544" t="s">
        <v>934</v>
      </c>
      <c r="J65" s="544" t="s">
        <v>934</v>
      </c>
      <c r="K65" s="544" t="s">
        <v>934</v>
      </c>
      <c r="L65" s="544">
        <v>1</v>
      </c>
      <c r="M65" s="544" t="s">
        <v>934</v>
      </c>
    </row>
    <row r="66" spans="1:13" x14ac:dyDescent="0.25">
      <c r="A66" s="544">
        <v>25</v>
      </c>
      <c r="B66" s="42"/>
      <c r="C66" s="42"/>
      <c r="F66" s="88" t="str">
        <f>'G-1 All Habitats'!B65</f>
        <v>Urban - Facade-bound green wall</v>
      </c>
      <c r="G66" s="544">
        <v>5</v>
      </c>
      <c r="H66" s="544">
        <v>4</v>
      </c>
      <c r="I66" s="544">
        <v>3</v>
      </c>
      <c r="J66" s="544">
        <v>2</v>
      </c>
      <c r="K66" s="544">
        <v>1</v>
      </c>
      <c r="L66" s="544" t="s">
        <v>934</v>
      </c>
      <c r="M66" s="544" t="s">
        <v>934</v>
      </c>
    </row>
    <row r="67" spans="1:13" x14ac:dyDescent="0.25">
      <c r="A67" s="544">
        <v>26</v>
      </c>
      <c r="B67" s="42"/>
      <c r="C67" s="42"/>
      <c r="F67" s="88" t="str">
        <f>'G-1 All Habitats'!B66</f>
        <v>Urban - Ground based green wall</v>
      </c>
      <c r="G67" s="544">
        <v>5</v>
      </c>
      <c r="H67" s="544">
        <v>4</v>
      </c>
      <c r="I67" s="544">
        <v>3</v>
      </c>
      <c r="J67" s="544">
        <v>2</v>
      </c>
      <c r="K67" s="544">
        <v>1</v>
      </c>
      <c r="L67" s="544" t="s">
        <v>934</v>
      </c>
      <c r="M67" s="544" t="s">
        <v>934</v>
      </c>
    </row>
    <row r="68" spans="1:13" x14ac:dyDescent="0.25">
      <c r="A68" s="544">
        <v>27</v>
      </c>
      <c r="B68" s="42"/>
      <c r="C68" s="42"/>
      <c r="F68" s="88" t="str">
        <f>'G-1 All Habitats'!B67</f>
        <v>Urban - Ground level planters</v>
      </c>
      <c r="G68" s="544" t="s">
        <v>934</v>
      </c>
      <c r="H68" s="544" t="s">
        <v>934</v>
      </c>
      <c r="I68" s="544" t="s">
        <v>934</v>
      </c>
      <c r="J68" s="544" t="s">
        <v>934</v>
      </c>
      <c r="K68" s="544" t="s">
        <v>934</v>
      </c>
      <c r="L68" s="544">
        <v>1</v>
      </c>
      <c r="M68" s="544" t="s">
        <v>934</v>
      </c>
    </row>
    <row r="69" spans="1:13" x14ac:dyDescent="0.25">
      <c r="A69" s="544">
        <v>28</v>
      </c>
      <c r="B69" s="42"/>
      <c r="C69" s="42"/>
      <c r="F69" s="88" t="str">
        <f>'G-1 All Habitats'!B68</f>
        <v>Urban - Biodiverse green roof</v>
      </c>
      <c r="G69" s="544">
        <v>10</v>
      </c>
      <c r="H69" s="544">
        <v>8</v>
      </c>
      <c r="I69" s="544">
        <v>5</v>
      </c>
      <c r="J69" s="544">
        <v>3</v>
      </c>
      <c r="K69" s="544">
        <v>1</v>
      </c>
      <c r="L69" s="544" t="s">
        <v>934</v>
      </c>
      <c r="M69" s="544" t="s">
        <v>934</v>
      </c>
    </row>
    <row r="70" spans="1:13" x14ac:dyDescent="0.25">
      <c r="A70" s="544">
        <v>29</v>
      </c>
      <c r="B70" s="42"/>
      <c r="C70" s="42"/>
      <c r="F70" s="88" t="str">
        <f>'G-1 All Habitats'!B69</f>
        <v>Urban - Introduced shrub</v>
      </c>
      <c r="G70" s="544" t="s">
        <v>934</v>
      </c>
      <c r="H70" s="544" t="s">
        <v>934</v>
      </c>
      <c r="I70" s="544" t="s">
        <v>934</v>
      </c>
      <c r="J70" s="544" t="s">
        <v>934</v>
      </c>
      <c r="K70" s="544" t="s">
        <v>934</v>
      </c>
      <c r="L70" s="544">
        <v>1</v>
      </c>
      <c r="M70" s="544" t="s">
        <v>934</v>
      </c>
    </row>
    <row r="71" spans="1:13" x14ac:dyDescent="0.25">
      <c r="A71" s="544">
        <v>30</v>
      </c>
      <c r="B71" s="42"/>
      <c r="C71" s="42"/>
      <c r="F71" s="88" t="str">
        <f>'G-1 All Habitats'!B70</f>
        <v>Urban - Open Mosaic Habitats on Previously Developed Land</v>
      </c>
      <c r="G71" s="544">
        <v>10</v>
      </c>
      <c r="H71" s="544">
        <v>7</v>
      </c>
      <c r="I71" s="544">
        <v>4</v>
      </c>
      <c r="J71" s="544">
        <v>2</v>
      </c>
      <c r="K71" s="544">
        <v>0</v>
      </c>
      <c r="L71" s="544" t="s">
        <v>934</v>
      </c>
      <c r="M71" s="544" t="s">
        <v>934</v>
      </c>
    </row>
    <row r="72" spans="1:13" x14ac:dyDescent="0.25">
      <c r="A72" s="544" t="s">
        <v>935</v>
      </c>
      <c r="B72" s="42"/>
      <c r="C72" s="42"/>
      <c r="F72" s="88" t="str">
        <f>'G-1 All Habitats'!B71</f>
        <v>Urban - Rain garden</v>
      </c>
      <c r="G72" s="544">
        <v>5</v>
      </c>
      <c r="H72" s="544">
        <v>4</v>
      </c>
      <c r="I72" s="544">
        <v>3</v>
      </c>
      <c r="J72" s="544">
        <v>2</v>
      </c>
      <c r="K72" s="544">
        <v>1</v>
      </c>
      <c r="L72" s="544" t="s">
        <v>934</v>
      </c>
      <c r="M72" s="544" t="s">
        <v>934</v>
      </c>
    </row>
    <row r="73" spans="1:13" x14ac:dyDescent="0.25">
      <c r="A73" s="42"/>
      <c r="B73" s="42"/>
      <c r="C73" s="42"/>
      <c r="F73" s="88" t="str">
        <f>'G-1 All Habitats'!B72</f>
        <v>Urban - Actively worked sand pit quarry or open cast mine</v>
      </c>
      <c r="G73" s="544" t="s">
        <v>934</v>
      </c>
      <c r="H73" s="544" t="s">
        <v>934</v>
      </c>
      <c r="I73" s="544" t="s">
        <v>934</v>
      </c>
      <c r="J73" s="544" t="s">
        <v>934</v>
      </c>
      <c r="K73" s="544" t="s">
        <v>934</v>
      </c>
      <c r="L73" s="544">
        <v>1</v>
      </c>
      <c r="M73" s="544" t="s">
        <v>934</v>
      </c>
    </row>
    <row r="74" spans="1:13" x14ac:dyDescent="0.25">
      <c r="A74" s="42"/>
      <c r="B74" s="42"/>
      <c r="C74" s="42"/>
      <c r="F74" s="88" t="str">
        <f>'G-1 All Habitats'!B73</f>
        <v>Urban - Urban Tree</v>
      </c>
      <c r="G74" s="544" t="s">
        <v>935</v>
      </c>
      <c r="H74" s="544" t="s">
        <v>935</v>
      </c>
      <c r="I74" s="544">
        <v>27</v>
      </c>
      <c r="J74" s="544">
        <v>15</v>
      </c>
      <c r="K74" s="544">
        <v>10</v>
      </c>
      <c r="L74" s="544" t="s">
        <v>934</v>
      </c>
      <c r="M74" s="544" t="s">
        <v>934</v>
      </c>
    </row>
    <row r="75" spans="1:13" x14ac:dyDescent="0.25">
      <c r="A75" s="42"/>
      <c r="B75" s="42"/>
      <c r="C75" s="42"/>
      <c r="F75" s="88" t="str">
        <f>'G-1 All Habitats'!B74</f>
        <v>Urban - Sustainable urban drainage feature</v>
      </c>
      <c r="G75" s="544">
        <v>5</v>
      </c>
      <c r="H75" s="544">
        <v>4</v>
      </c>
      <c r="I75" s="544">
        <v>3</v>
      </c>
      <c r="J75" s="544">
        <v>2</v>
      </c>
      <c r="K75" s="544">
        <v>1</v>
      </c>
      <c r="L75" s="544" t="s">
        <v>934</v>
      </c>
      <c r="M75" s="544" t="s">
        <v>934</v>
      </c>
    </row>
    <row r="76" spans="1:13" x14ac:dyDescent="0.25">
      <c r="A76" s="42"/>
      <c r="B76" s="42"/>
      <c r="C76" s="42"/>
      <c r="F76" s="88" t="str">
        <f>'G-1 All Habitats'!B75</f>
        <v>Urban - Un-vegetated garden</v>
      </c>
      <c r="G76" s="544" t="s">
        <v>934</v>
      </c>
      <c r="H76" s="544" t="s">
        <v>934</v>
      </c>
      <c r="I76" s="544" t="s">
        <v>934</v>
      </c>
      <c r="J76" s="544" t="s">
        <v>934</v>
      </c>
      <c r="K76" s="544" t="s">
        <v>934</v>
      </c>
      <c r="L76" s="544" t="s">
        <v>934</v>
      </c>
      <c r="M76" s="544">
        <v>0</v>
      </c>
    </row>
    <row r="77" spans="1:13" x14ac:dyDescent="0.25">
      <c r="A77" s="42"/>
      <c r="B77" s="42"/>
      <c r="C77" s="42"/>
      <c r="F77" s="88" t="str">
        <f>'G-1 All Habitats'!B76</f>
        <v>Urban - Vacant/derelict land/ bareground</v>
      </c>
      <c r="G77" s="544">
        <v>5</v>
      </c>
      <c r="H77" s="544">
        <v>4</v>
      </c>
      <c r="I77" s="544">
        <v>3</v>
      </c>
      <c r="J77" s="544">
        <v>2</v>
      </c>
      <c r="K77" s="544">
        <v>1</v>
      </c>
      <c r="L77" s="544" t="s">
        <v>934</v>
      </c>
      <c r="M77" s="544" t="s">
        <v>934</v>
      </c>
    </row>
    <row r="78" spans="1:13" x14ac:dyDescent="0.25">
      <c r="A78" s="42"/>
      <c r="B78" s="42"/>
      <c r="C78" s="42"/>
      <c r="F78" s="88" t="str">
        <f>'G-1 All Habitats'!B77</f>
        <v>Urban - Vegetated garden</v>
      </c>
      <c r="G78" s="544" t="s">
        <v>934</v>
      </c>
      <c r="H78" s="544" t="s">
        <v>934</v>
      </c>
      <c r="I78" s="544" t="s">
        <v>934</v>
      </c>
      <c r="J78" s="544" t="s">
        <v>934</v>
      </c>
      <c r="K78" s="544" t="s">
        <v>934</v>
      </c>
      <c r="L78" s="544">
        <v>1</v>
      </c>
      <c r="M78" s="544" t="s">
        <v>934</v>
      </c>
    </row>
    <row r="79" spans="1:13" x14ac:dyDescent="0.25">
      <c r="A79" s="42"/>
      <c r="B79" s="42"/>
      <c r="C79" s="42"/>
      <c r="F79" s="88" t="str">
        <f>'G-1 All Habitats'!B78</f>
        <v>Wetland - Blanket bog</v>
      </c>
      <c r="G79" s="544" t="s">
        <v>935</v>
      </c>
      <c r="H79" s="544" t="s">
        <v>935</v>
      </c>
      <c r="I79" s="544" t="s">
        <v>935</v>
      </c>
      <c r="J79" s="544" t="s">
        <v>935</v>
      </c>
      <c r="K79" s="544" t="s">
        <v>935</v>
      </c>
      <c r="L79" s="544" t="s">
        <v>934</v>
      </c>
      <c r="M79" s="544" t="s">
        <v>934</v>
      </c>
    </row>
    <row r="80" spans="1:13" x14ac:dyDescent="0.25">
      <c r="A80" s="42"/>
      <c r="B80" s="42"/>
      <c r="C80" s="42"/>
      <c r="F80" s="88" t="str">
        <f>'G-1 All Habitats'!B79</f>
        <v>Wetland - Depressions on Peat substrates (H7150)</v>
      </c>
      <c r="G80" s="544" t="s">
        <v>935</v>
      </c>
      <c r="H80" s="544" t="s">
        <v>935</v>
      </c>
      <c r="I80" s="544">
        <v>30</v>
      </c>
      <c r="J80" s="544">
        <v>25</v>
      </c>
      <c r="K80" s="544">
        <v>15</v>
      </c>
      <c r="L80" s="544" t="s">
        <v>934</v>
      </c>
      <c r="M80" s="544" t="s">
        <v>934</v>
      </c>
    </row>
    <row r="81" spans="1:13" x14ac:dyDescent="0.25">
      <c r="A81" s="42"/>
      <c r="B81" s="42"/>
      <c r="C81" s="42"/>
      <c r="F81" s="88" t="str">
        <f>'G-1 All Habitats'!B80</f>
        <v>Wetland - Fens (upland and lowland)</v>
      </c>
      <c r="G81" s="544">
        <v>30</v>
      </c>
      <c r="H81" s="544">
        <v>25</v>
      </c>
      <c r="I81" s="544">
        <v>20</v>
      </c>
      <c r="J81" s="544">
        <v>15</v>
      </c>
      <c r="K81" s="544">
        <v>10</v>
      </c>
      <c r="L81" s="544" t="s">
        <v>934</v>
      </c>
      <c r="M81" s="544" t="s">
        <v>934</v>
      </c>
    </row>
    <row r="82" spans="1:13" x14ac:dyDescent="0.25">
      <c r="A82" s="42"/>
      <c r="B82" s="42"/>
      <c r="C82" s="42"/>
      <c r="F82" s="88" t="str">
        <f>'G-1 All Habitats'!B81</f>
        <v>Wetland - Lowland raised bog</v>
      </c>
      <c r="G82" s="544" t="s">
        <v>935</v>
      </c>
      <c r="H82" s="544" t="s">
        <v>935</v>
      </c>
      <c r="I82" s="544">
        <v>30</v>
      </c>
      <c r="J82" s="544">
        <v>20</v>
      </c>
      <c r="K82" s="544">
        <v>15</v>
      </c>
      <c r="L82" s="544" t="s">
        <v>934</v>
      </c>
      <c r="M82" s="544" t="s">
        <v>934</v>
      </c>
    </row>
    <row r="83" spans="1:13" x14ac:dyDescent="0.25">
      <c r="A83" s="42"/>
      <c r="B83" s="42"/>
      <c r="C83" s="42"/>
      <c r="F83" s="88" t="str">
        <f>'G-1 All Habitats'!B82</f>
        <v>Wetland - Oceanic Valley Mire[1] (D2.1)</v>
      </c>
      <c r="G83" s="544" t="s">
        <v>935</v>
      </c>
      <c r="H83" s="544" t="s">
        <v>935</v>
      </c>
      <c r="I83" s="544">
        <v>30</v>
      </c>
      <c r="J83" s="544">
        <v>20</v>
      </c>
      <c r="K83" s="544">
        <v>15</v>
      </c>
      <c r="L83" s="544" t="s">
        <v>934</v>
      </c>
      <c r="M83" s="544" t="s">
        <v>934</v>
      </c>
    </row>
    <row r="84" spans="1:13" x14ac:dyDescent="0.25">
      <c r="A84" s="42"/>
      <c r="B84" s="42"/>
      <c r="C84" s="42"/>
      <c r="F84" s="88" t="str">
        <f>'G-1 All Habitats'!B83</f>
        <v>Wetland - Purple moor grass and rush pastures</v>
      </c>
      <c r="G84" s="544">
        <v>30</v>
      </c>
      <c r="H84" s="544">
        <v>25</v>
      </c>
      <c r="I84" s="544">
        <v>20</v>
      </c>
      <c r="J84" s="544">
        <v>15</v>
      </c>
      <c r="K84" s="544">
        <v>10</v>
      </c>
      <c r="L84" s="544" t="s">
        <v>934</v>
      </c>
      <c r="M84" s="544" t="s">
        <v>934</v>
      </c>
    </row>
    <row r="85" spans="1:13" x14ac:dyDescent="0.25">
      <c r="A85" s="42"/>
      <c r="B85" s="42"/>
      <c r="C85" s="42"/>
      <c r="F85" s="88" t="str">
        <f>'G-1 All Habitats'!B84</f>
        <v>Wetland - Reedbeds</v>
      </c>
      <c r="G85" s="544">
        <v>12</v>
      </c>
      <c r="H85" s="544">
        <v>10</v>
      </c>
      <c r="I85" s="544">
        <v>7</v>
      </c>
      <c r="J85" s="544">
        <v>5</v>
      </c>
      <c r="K85" s="544">
        <v>3</v>
      </c>
      <c r="L85" s="544" t="s">
        <v>934</v>
      </c>
      <c r="M85" s="544" t="s">
        <v>934</v>
      </c>
    </row>
    <row r="86" spans="1:13" x14ac:dyDescent="0.25">
      <c r="A86" s="42"/>
      <c r="B86" s="42"/>
      <c r="C86" s="42"/>
      <c r="F86" s="88" t="str">
        <f>'G-1 All Habitats'!B85</f>
        <v>Wetland - Transition mires and quaking bogs (H7140)</v>
      </c>
      <c r="G86" s="544" t="s">
        <v>935</v>
      </c>
      <c r="H86" s="544" t="s">
        <v>935</v>
      </c>
      <c r="I86" s="544">
        <v>30</v>
      </c>
      <c r="J86" s="544">
        <v>25</v>
      </c>
      <c r="K86" s="544">
        <v>15</v>
      </c>
      <c r="L86" s="544" t="s">
        <v>934</v>
      </c>
      <c r="M86" s="544" t="s">
        <v>934</v>
      </c>
    </row>
    <row r="87" spans="1:13" x14ac:dyDescent="0.25">
      <c r="A87" s="42"/>
      <c r="B87" s="42"/>
      <c r="C87" s="42"/>
      <c r="F87" s="88" t="str">
        <f>'G-1 All Habitats'!B86</f>
        <v>Woodland and forest - Felled</v>
      </c>
      <c r="G87" s="544" t="s">
        <v>935</v>
      </c>
      <c r="H87" s="544" t="s">
        <v>934</v>
      </c>
      <c r="I87" s="544" t="s">
        <v>934</v>
      </c>
      <c r="J87" s="544" t="s">
        <v>934</v>
      </c>
      <c r="K87" s="544" t="s">
        <v>934</v>
      </c>
      <c r="L87" s="544" t="s">
        <v>934</v>
      </c>
      <c r="M87" s="544" t="s">
        <v>934</v>
      </c>
    </row>
    <row r="88" spans="1:13" x14ac:dyDescent="0.25">
      <c r="A88" s="42"/>
      <c r="B88" s="42"/>
      <c r="C88" s="42"/>
      <c r="F88" s="88" t="str">
        <f>'G-1 All Habitats'!B87</f>
        <v>Woodland and forest - Lowland beech and yew woodland</v>
      </c>
      <c r="G88" s="544" t="s">
        <v>935</v>
      </c>
      <c r="H88" s="544" t="s">
        <v>935</v>
      </c>
      <c r="I88" s="544" t="s">
        <v>935</v>
      </c>
      <c r="J88" s="544">
        <v>25</v>
      </c>
      <c r="K88" s="544">
        <v>10</v>
      </c>
      <c r="L88" s="544" t="s">
        <v>934</v>
      </c>
      <c r="M88" s="544" t="s">
        <v>934</v>
      </c>
    </row>
    <row r="89" spans="1:13" x14ac:dyDescent="0.25">
      <c r="A89" s="42"/>
      <c r="B89" s="42"/>
      <c r="C89" s="42"/>
      <c r="F89" s="88" t="str">
        <f>'G-1 All Habitats'!B88</f>
        <v>Woodland and forest - Lowland mixed deciduous woodland</v>
      </c>
      <c r="G89" s="544" t="s">
        <v>935</v>
      </c>
      <c r="H89" s="544" t="s">
        <v>935</v>
      </c>
      <c r="I89" s="544" t="s">
        <v>935</v>
      </c>
      <c r="J89" s="544">
        <v>25</v>
      </c>
      <c r="K89" s="544">
        <v>10</v>
      </c>
      <c r="L89" s="544" t="s">
        <v>934</v>
      </c>
      <c r="M89" s="544" t="s">
        <v>934</v>
      </c>
    </row>
    <row r="90" spans="1:13" x14ac:dyDescent="0.25">
      <c r="A90" s="42"/>
      <c r="B90" s="42"/>
      <c r="C90" s="42"/>
      <c r="F90" s="88" t="str">
        <f>'G-1 All Habitats'!B89</f>
        <v>Woodland and forest - Native pine woodlands</v>
      </c>
      <c r="G90" s="544" t="s">
        <v>935</v>
      </c>
      <c r="H90" s="544" t="s">
        <v>935</v>
      </c>
      <c r="I90" s="544" t="s">
        <v>935</v>
      </c>
      <c r="J90" s="544">
        <v>25</v>
      </c>
      <c r="K90" s="544">
        <v>10</v>
      </c>
      <c r="L90" s="544" t="s">
        <v>934</v>
      </c>
      <c r="M90" s="544" t="s">
        <v>934</v>
      </c>
    </row>
    <row r="91" spans="1:13" x14ac:dyDescent="0.25">
      <c r="A91" s="42"/>
      <c r="B91" s="42"/>
      <c r="C91" s="42"/>
      <c r="F91" s="88" t="str">
        <f>'G-1 All Habitats'!B90</f>
        <v>Woodland and forest - Other coniferous woodland</v>
      </c>
      <c r="G91" s="544" t="s">
        <v>935</v>
      </c>
      <c r="H91" s="544" t="s">
        <v>935</v>
      </c>
      <c r="I91" s="544">
        <v>30</v>
      </c>
      <c r="J91" s="544">
        <v>10</v>
      </c>
      <c r="K91" s="544">
        <v>5</v>
      </c>
      <c r="L91" s="544" t="s">
        <v>934</v>
      </c>
      <c r="M91" s="544" t="s">
        <v>934</v>
      </c>
    </row>
    <row r="92" spans="1:13" x14ac:dyDescent="0.25">
      <c r="A92" s="42"/>
      <c r="B92" s="42"/>
      <c r="C92" s="42"/>
      <c r="F92" s="88" t="str">
        <f>'G-1 All Habitats'!B91</f>
        <v>Woodland and forest - Other Scot's Pine woodland</v>
      </c>
      <c r="G92" s="544" t="s">
        <v>935</v>
      </c>
      <c r="H92" s="544" t="s">
        <v>935</v>
      </c>
      <c r="I92" s="544" t="s">
        <v>935</v>
      </c>
      <c r="J92" s="544">
        <v>25</v>
      </c>
      <c r="K92" s="544">
        <v>10</v>
      </c>
      <c r="L92" s="544" t="s">
        <v>934</v>
      </c>
      <c r="M92" s="544" t="s">
        <v>934</v>
      </c>
    </row>
    <row r="93" spans="1:13" x14ac:dyDescent="0.25">
      <c r="A93" s="42"/>
      <c r="B93" s="42"/>
      <c r="C93" s="42"/>
      <c r="F93" s="88" t="str">
        <f>'G-1 All Habitats'!B92</f>
        <v>Woodland and forest - Other woodland; broadleaved</v>
      </c>
      <c r="G93" s="544" t="s">
        <v>935</v>
      </c>
      <c r="H93" s="544">
        <v>25</v>
      </c>
      <c r="I93" s="544">
        <v>15</v>
      </c>
      <c r="J93" s="544">
        <v>7</v>
      </c>
      <c r="K93" s="544">
        <v>5</v>
      </c>
      <c r="L93" s="544" t="s">
        <v>934</v>
      </c>
      <c r="M93" s="544" t="s">
        <v>934</v>
      </c>
    </row>
    <row r="94" spans="1:13" x14ac:dyDescent="0.25">
      <c r="A94" s="42"/>
      <c r="B94" s="42"/>
      <c r="C94" s="42"/>
      <c r="F94" s="88" t="str">
        <f>'G-1 All Habitats'!B93</f>
        <v>Woodland and forest - Other woodland; mixed</v>
      </c>
      <c r="G94" s="544" t="s">
        <v>935</v>
      </c>
      <c r="H94" s="544" t="s">
        <v>935</v>
      </c>
      <c r="I94" s="544">
        <v>30</v>
      </c>
      <c r="J94" s="544">
        <v>10</v>
      </c>
      <c r="K94" s="544">
        <v>5</v>
      </c>
      <c r="L94" s="544" t="s">
        <v>934</v>
      </c>
      <c r="M94" s="544" t="s">
        <v>934</v>
      </c>
    </row>
    <row r="95" spans="1:13" x14ac:dyDescent="0.25">
      <c r="A95" s="42"/>
      <c r="B95" s="42"/>
      <c r="C95" s="42"/>
      <c r="F95" s="88" t="str">
        <f>'G-1 All Habitats'!B94</f>
        <v>Woodland and forest - Upland birchwoods</v>
      </c>
      <c r="G95" s="544" t="s">
        <v>935</v>
      </c>
      <c r="H95" s="544">
        <v>30</v>
      </c>
      <c r="I95" s="544">
        <v>25</v>
      </c>
      <c r="J95" s="544">
        <v>20</v>
      </c>
      <c r="K95" s="544">
        <v>10</v>
      </c>
      <c r="L95" s="544" t="s">
        <v>934</v>
      </c>
      <c r="M95" s="544" t="s">
        <v>934</v>
      </c>
    </row>
    <row r="96" spans="1:13" x14ac:dyDescent="0.25">
      <c r="A96" s="42"/>
      <c r="B96" s="42"/>
      <c r="C96" s="42"/>
      <c r="F96" s="88" t="str">
        <f>'G-1 All Habitats'!B95</f>
        <v>Woodland and forest - Upland mixed ashwoods</v>
      </c>
      <c r="G96" s="544" t="s">
        <v>935</v>
      </c>
      <c r="H96" s="544" t="s">
        <v>935</v>
      </c>
      <c r="I96" s="544" t="s">
        <v>935</v>
      </c>
      <c r="J96" s="544">
        <v>25</v>
      </c>
      <c r="K96" s="544">
        <v>10</v>
      </c>
      <c r="L96" s="544" t="s">
        <v>934</v>
      </c>
      <c r="M96" s="544" t="s">
        <v>934</v>
      </c>
    </row>
    <row r="97" spans="1:13" x14ac:dyDescent="0.25">
      <c r="A97" s="42"/>
      <c r="B97" s="42"/>
      <c r="C97" s="42"/>
      <c r="F97" s="88" t="str">
        <f>'G-1 All Habitats'!B96</f>
        <v>Woodland and forest - Upland oakwood</v>
      </c>
      <c r="G97" s="544" t="s">
        <v>935</v>
      </c>
      <c r="H97" s="544" t="s">
        <v>935</v>
      </c>
      <c r="I97" s="544" t="s">
        <v>935</v>
      </c>
      <c r="J97" s="544">
        <v>25</v>
      </c>
      <c r="K97" s="544">
        <v>10</v>
      </c>
      <c r="L97" s="544" t="s">
        <v>934</v>
      </c>
      <c r="M97" s="544" t="s">
        <v>934</v>
      </c>
    </row>
    <row r="98" spans="1:13" x14ac:dyDescent="0.25">
      <c r="A98" s="42"/>
      <c r="B98" s="42"/>
      <c r="C98" s="42"/>
      <c r="F98" s="88" t="str">
        <f>'G-1 All Habitats'!B97</f>
        <v>Woodland and forest - Wet woodland</v>
      </c>
      <c r="G98" s="544" t="s">
        <v>935</v>
      </c>
      <c r="H98" s="544">
        <v>30</v>
      </c>
      <c r="I98" s="544">
        <v>15</v>
      </c>
      <c r="J98" s="544">
        <v>10</v>
      </c>
      <c r="K98" s="544">
        <v>5</v>
      </c>
      <c r="L98" s="544" t="s">
        <v>934</v>
      </c>
      <c r="M98" s="544" t="s">
        <v>934</v>
      </c>
    </row>
    <row r="99" spans="1:13" x14ac:dyDescent="0.25">
      <c r="F99" s="88" t="str">
        <f>'G-1 All Habitats'!B98</f>
        <v>Woodland and forest - Wood-pasture and parkland</v>
      </c>
      <c r="G99" s="544" t="s">
        <v>935</v>
      </c>
      <c r="H99" s="544" t="s">
        <v>935</v>
      </c>
      <c r="I99" s="544" t="s">
        <v>935</v>
      </c>
      <c r="J99" s="544">
        <v>25</v>
      </c>
      <c r="K99" s="544">
        <v>10</v>
      </c>
      <c r="L99" s="544" t="s">
        <v>934</v>
      </c>
      <c r="M99" s="544" t="s">
        <v>934</v>
      </c>
    </row>
    <row r="100" spans="1:13" x14ac:dyDescent="0.25">
      <c r="F100" s="88" t="str">
        <f>'G-1 All Habitats'!B99</f>
        <v>Coastal lagoons - Coastal lagoons</v>
      </c>
      <c r="G100" s="544">
        <v>10</v>
      </c>
      <c r="H100" s="544">
        <v>8</v>
      </c>
      <c r="I100" s="544">
        <v>5</v>
      </c>
      <c r="J100" s="544">
        <v>3</v>
      </c>
      <c r="K100" s="544">
        <v>1</v>
      </c>
      <c r="L100" s="544" t="s">
        <v>934</v>
      </c>
      <c r="M100" s="544" t="s">
        <v>934</v>
      </c>
    </row>
    <row r="101" spans="1:13" x14ac:dyDescent="0.25">
      <c r="F101" s="88" t="str">
        <f>'G-1 All Habitats'!B100</f>
        <v>Rocky shore - High energy littoral rock</v>
      </c>
      <c r="G101" s="544">
        <v>10</v>
      </c>
      <c r="H101" s="544">
        <v>7</v>
      </c>
      <c r="I101" s="544">
        <v>4</v>
      </c>
      <c r="J101" s="544">
        <v>2</v>
      </c>
      <c r="K101" s="544">
        <v>1</v>
      </c>
      <c r="L101" s="544" t="s">
        <v>934</v>
      </c>
      <c r="M101" s="544" t="s">
        <v>934</v>
      </c>
    </row>
    <row r="102" spans="1:13" x14ac:dyDescent="0.25">
      <c r="F102" s="88" t="str">
        <f>'G-1 All Habitats'!B101</f>
        <v>Rocky shore - High energy littoral rock - on peat, clay or chalk</v>
      </c>
      <c r="G102" s="544" t="s">
        <v>935</v>
      </c>
      <c r="H102" s="544" t="s">
        <v>935</v>
      </c>
      <c r="I102" s="544" t="s">
        <v>935</v>
      </c>
      <c r="J102" s="544" t="s">
        <v>935</v>
      </c>
      <c r="K102" s="544" t="s">
        <v>935</v>
      </c>
      <c r="L102" s="544" t="s">
        <v>934</v>
      </c>
      <c r="M102" s="544" t="s">
        <v>934</v>
      </c>
    </row>
    <row r="103" spans="1:13" x14ac:dyDescent="0.25">
      <c r="F103" s="88" t="str">
        <f>'G-1 All Habitats'!B102</f>
        <v>Rocky shore - Moderate energy littoral rock</v>
      </c>
      <c r="G103" s="544">
        <v>13</v>
      </c>
      <c r="H103" s="544">
        <v>8</v>
      </c>
      <c r="I103" s="544">
        <v>4</v>
      </c>
      <c r="J103" s="544">
        <v>2</v>
      </c>
      <c r="K103" s="544">
        <v>1</v>
      </c>
      <c r="L103" s="544" t="s">
        <v>934</v>
      </c>
      <c r="M103" s="544" t="s">
        <v>934</v>
      </c>
    </row>
    <row r="104" spans="1:13" x14ac:dyDescent="0.25">
      <c r="F104" s="88" t="str">
        <f>'G-1 All Habitats'!B103</f>
        <v>Rocky shore - Moderate energy littoral rock - on peat, clay or chalk</v>
      </c>
      <c r="G104" s="544" t="s">
        <v>935</v>
      </c>
      <c r="H104" s="544" t="s">
        <v>935</v>
      </c>
      <c r="I104" s="544" t="s">
        <v>935</v>
      </c>
      <c r="J104" s="544" t="s">
        <v>935</v>
      </c>
      <c r="K104" s="544" t="s">
        <v>935</v>
      </c>
      <c r="L104" s="544" t="s">
        <v>934</v>
      </c>
      <c r="M104" s="544" t="s">
        <v>934</v>
      </c>
    </row>
    <row r="105" spans="1:13" x14ac:dyDescent="0.25">
      <c r="F105" s="88" t="str">
        <f>'G-1 All Habitats'!B104</f>
        <v>Rocky shore - Low energy littoral rock</v>
      </c>
      <c r="G105" s="544">
        <v>15</v>
      </c>
      <c r="H105" s="544">
        <v>10</v>
      </c>
      <c r="I105" s="544">
        <v>5</v>
      </c>
      <c r="J105" s="544">
        <v>1</v>
      </c>
      <c r="K105" s="544">
        <v>1</v>
      </c>
      <c r="L105" s="544" t="s">
        <v>934</v>
      </c>
      <c r="M105" s="544" t="s">
        <v>934</v>
      </c>
    </row>
    <row r="106" spans="1:13" x14ac:dyDescent="0.25">
      <c r="F106" s="88" t="str">
        <f>'G-1 All Habitats'!B105</f>
        <v>Rocky shore - Low energy littoral rock - on peat, clay or chalk</v>
      </c>
      <c r="G106" s="544" t="s">
        <v>935</v>
      </c>
      <c r="H106" s="544" t="s">
        <v>935</v>
      </c>
      <c r="I106" s="544" t="s">
        <v>935</v>
      </c>
      <c r="J106" s="544" t="s">
        <v>935</v>
      </c>
      <c r="K106" s="544" t="s">
        <v>935</v>
      </c>
      <c r="L106" s="544" t="s">
        <v>934</v>
      </c>
      <c r="M106" s="544" t="s">
        <v>934</v>
      </c>
    </row>
    <row r="107" spans="1:13" x14ac:dyDescent="0.25">
      <c r="F107" s="88" t="str">
        <f>'G-1 All Habitats'!B106</f>
        <v>Rocky shore - Features of littoral rock</v>
      </c>
      <c r="G107" s="544">
        <v>13</v>
      </c>
      <c r="H107" s="544">
        <v>8</v>
      </c>
      <c r="I107" s="544">
        <v>4</v>
      </c>
      <c r="J107" s="544">
        <v>2</v>
      </c>
      <c r="K107" s="544">
        <v>1</v>
      </c>
      <c r="L107" s="544" t="s">
        <v>934</v>
      </c>
      <c r="M107" s="544" t="s">
        <v>934</v>
      </c>
    </row>
    <row r="108" spans="1:13" x14ac:dyDescent="0.25">
      <c r="F108" s="88" t="str">
        <f>'G-1 All Habitats'!B107</f>
        <v>Rocky shore - Features of littoral rock - on peat, clay or chalk</v>
      </c>
      <c r="G108" s="544" t="s">
        <v>935</v>
      </c>
      <c r="H108" s="544" t="s">
        <v>935</v>
      </c>
      <c r="I108" s="544" t="s">
        <v>935</v>
      </c>
      <c r="J108" s="544" t="s">
        <v>935</v>
      </c>
      <c r="K108" s="544" t="s">
        <v>935</v>
      </c>
      <c r="L108" s="544" t="s">
        <v>934</v>
      </c>
      <c r="M108" s="544" t="s">
        <v>934</v>
      </c>
    </row>
    <row r="109" spans="1:13" x14ac:dyDescent="0.25">
      <c r="F109" s="88" t="str">
        <f>'G-1 All Habitats'!B110</f>
        <v>Intertidal sediment - Littoral coarse sediment</v>
      </c>
      <c r="G109" s="544">
        <v>3</v>
      </c>
      <c r="H109" s="544">
        <v>2</v>
      </c>
      <c r="I109" s="544">
        <v>1</v>
      </c>
      <c r="J109" s="544">
        <v>1</v>
      </c>
      <c r="K109" s="544">
        <v>1</v>
      </c>
      <c r="L109" s="544" t="s">
        <v>934</v>
      </c>
      <c r="M109" s="544" t="s">
        <v>934</v>
      </c>
    </row>
    <row r="110" spans="1:13" x14ac:dyDescent="0.25">
      <c r="F110" s="88" t="str">
        <f>'G-1 All Habitats'!B111</f>
        <v>Intertidal sediment - Littoral mud</v>
      </c>
      <c r="G110" s="544">
        <v>6</v>
      </c>
      <c r="H110" s="544">
        <v>4</v>
      </c>
      <c r="I110" s="544">
        <v>3</v>
      </c>
      <c r="J110" s="544">
        <v>2</v>
      </c>
      <c r="K110" s="544">
        <v>1</v>
      </c>
      <c r="L110" s="544" t="s">
        <v>934</v>
      </c>
      <c r="M110" s="544" t="s">
        <v>934</v>
      </c>
    </row>
    <row r="111" spans="1:13" x14ac:dyDescent="0.25">
      <c r="F111" s="88" t="str">
        <f>'G-1 All Habitats'!B112</f>
        <v>Intertidal sediment - Littoral mixed sediments</v>
      </c>
      <c r="G111" s="544">
        <v>5</v>
      </c>
      <c r="H111" s="544">
        <v>4</v>
      </c>
      <c r="I111" s="544">
        <v>3</v>
      </c>
      <c r="J111" s="544">
        <v>2</v>
      </c>
      <c r="K111" s="544">
        <v>1</v>
      </c>
      <c r="L111" s="544" t="s">
        <v>934</v>
      </c>
      <c r="M111" s="544" t="s">
        <v>934</v>
      </c>
    </row>
    <row r="112" spans="1:13" x14ac:dyDescent="0.25">
      <c r="F112" s="88" t="str">
        <f>'G-1 All Habitats'!B108</f>
        <v>Coastal saltmarsh - Saltmarshes and saline reedbeds</v>
      </c>
      <c r="G112" s="544">
        <v>15</v>
      </c>
      <c r="H112" s="544">
        <v>10</v>
      </c>
      <c r="I112" s="544">
        <v>7</v>
      </c>
      <c r="J112" s="544">
        <v>3</v>
      </c>
      <c r="K112" s="544">
        <v>1</v>
      </c>
      <c r="L112" s="544" t="s">
        <v>934</v>
      </c>
      <c r="M112" s="544" t="s">
        <v>934</v>
      </c>
    </row>
    <row r="113" spans="6:13" x14ac:dyDescent="0.25">
      <c r="F113" s="88" t="str">
        <f>'G-1 All Habitats'!B109</f>
        <v>Coastal saltmarsh - Artificial saltmarshes and saline reedbeds</v>
      </c>
      <c r="G113" s="544">
        <v>15</v>
      </c>
      <c r="H113" s="544">
        <v>10</v>
      </c>
      <c r="I113" s="544">
        <v>7</v>
      </c>
      <c r="J113" s="544">
        <v>3</v>
      </c>
      <c r="K113" s="544">
        <v>1</v>
      </c>
      <c r="L113" s="544" t="s">
        <v>934</v>
      </c>
      <c r="M113" s="544" t="s">
        <v>934</v>
      </c>
    </row>
    <row r="114" spans="6:13" x14ac:dyDescent="0.25">
      <c r="F114" s="88" t="str">
        <f>'G-1 All Habitats'!B113</f>
        <v>Intertidal sediment - Littoral seagrass</v>
      </c>
      <c r="G114" s="544">
        <v>20</v>
      </c>
      <c r="H114" s="544">
        <v>15</v>
      </c>
      <c r="I114" s="544">
        <v>10</v>
      </c>
      <c r="J114" s="544">
        <v>5</v>
      </c>
      <c r="K114" s="544">
        <v>2</v>
      </c>
      <c r="L114" s="544" t="s">
        <v>934</v>
      </c>
      <c r="M114" s="544" t="s">
        <v>934</v>
      </c>
    </row>
    <row r="115" spans="6:13" x14ac:dyDescent="0.25">
      <c r="F115" s="88" t="str">
        <f>'G-1 All Habitats'!B114</f>
        <v>Intertidal sediment - Littoral seagrass on peat, clay or chalk</v>
      </c>
      <c r="G115" s="544" t="s">
        <v>935</v>
      </c>
      <c r="H115" s="544" t="s">
        <v>935</v>
      </c>
      <c r="I115" s="544" t="s">
        <v>935</v>
      </c>
      <c r="J115" s="544" t="s">
        <v>935</v>
      </c>
      <c r="K115" s="544" t="s">
        <v>935</v>
      </c>
      <c r="L115" s="544" t="s">
        <v>934</v>
      </c>
      <c r="M115" s="544" t="s">
        <v>934</v>
      </c>
    </row>
    <row r="116" spans="6:13" x14ac:dyDescent="0.25">
      <c r="F116" s="88" t="str">
        <f>'G-1 All Habitats'!B115</f>
        <v>Intertidal sediment - Littoral biogenic reefs - Mussels</v>
      </c>
      <c r="G116" s="544">
        <v>15</v>
      </c>
      <c r="H116" s="544">
        <v>10</v>
      </c>
      <c r="I116" s="544">
        <v>5</v>
      </c>
      <c r="J116" s="544">
        <v>3</v>
      </c>
      <c r="K116" s="544">
        <v>3</v>
      </c>
      <c r="L116" s="544" t="s">
        <v>934</v>
      </c>
      <c r="M116" s="544" t="s">
        <v>934</v>
      </c>
    </row>
    <row r="117" spans="6:13" x14ac:dyDescent="0.25">
      <c r="F117" s="88" t="str">
        <f>'G-1 All Habitats'!B116</f>
        <v>Intertidal sediment - Littoral biogenic reefs - Sabellaria</v>
      </c>
      <c r="G117" s="544">
        <v>15</v>
      </c>
      <c r="H117" s="544">
        <v>10</v>
      </c>
      <c r="I117" s="544">
        <v>5</v>
      </c>
      <c r="J117" s="544">
        <v>3</v>
      </c>
      <c r="K117" s="544">
        <v>3</v>
      </c>
      <c r="L117" s="544" t="s">
        <v>934</v>
      </c>
      <c r="M117" s="544" t="s">
        <v>934</v>
      </c>
    </row>
    <row r="118" spans="6:13" x14ac:dyDescent="0.25">
      <c r="F118" s="88" t="str">
        <f>'G-1 All Habitats'!B117</f>
        <v>Intertidal sediment - Features of littoral sediment</v>
      </c>
      <c r="G118" s="544">
        <v>10</v>
      </c>
      <c r="H118" s="544">
        <v>7</v>
      </c>
      <c r="I118" s="544">
        <v>5</v>
      </c>
      <c r="J118" s="544">
        <v>3</v>
      </c>
      <c r="K118" s="544">
        <v>3</v>
      </c>
      <c r="L118" s="544" t="s">
        <v>934</v>
      </c>
      <c r="M118" s="544" t="s">
        <v>934</v>
      </c>
    </row>
    <row r="119" spans="6:13" x14ac:dyDescent="0.25">
      <c r="F119" s="88" t="str">
        <f>'G-1 All Habitats'!B118</f>
        <v>Intertidal sediment - Artificial littoral coarse sediment</v>
      </c>
      <c r="G119" s="544">
        <v>3</v>
      </c>
      <c r="H119" s="544">
        <v>2</v>
      </c>
      <c r="I119" s="544">
        <v>1</v>
      </c>
      <c r="J119" s="544">
        <v>1</v>
      </c>
      <c r="K119" s="544">
        <v>1</v>
      </c>
      <c r="L119" s="544" t="s">
        <v>934</v>
      </c>
      <c r="M119" s="544" t="s">
        <v>934</v>
      </c>
    </row>
    <row r="120" spans="6:13" x14ac:dyDescent="0.25">
      <c r="F120" s="88" t="str">
        <f>'G-1 All Habitats'!B119</f>
        <v>Intertidal sediment - Artificial littoral mud</v>
      </c>
      <c r="G120" s="544">
        <v>6</v>
      </c>
      <c r="H120" s="544">
        <v>4</v>
      </c>
      <c r="I120" s="544">
        <v>3</v>
      </c>
      <c r="J120" s="544">
        <v>2</v>
      </c>
      <c r="K120" s="544">
        <v>1</v>
      </c>
      <c r="L120" s="544" t="s">
        <v>934</v>
      </c>
      <c r="M120" s="544" t="s">
        <v>934</v>
      </c>
    </row>
    <row r="121" spans="6:13" x14ac:dyDescent="0.25">
      <c r="F121" s="88" t="str">
        <f>'G-1 All Habitats'!B120</f>
        <v>Intertidal sediment - Artificial littoral sand</v>
      </c>
      <c r="G121" s="544">
        <v>4</v>
      </c>
      <c r="H121" s="544">
        <v>2</v>
      </c>
      <c r="I121" s="544">
        <v>1</v>
      </c>
      <c r="J121" s="544">
        <v>1</v>
      </c>
      <c r="K121" s="544">
        <v>1</v>
      </c>
      <c r="L121" s="544" t="s">
        <v>934</v>
      </c>
      <c r="M121" s="544" t="s">
        <v>934</v>
      </c>
    </row>
    <row r="122" spans="6:13" x14ac:dyDescent="0.25">
      <c r="F122" s="88" t="str">
        <f>'G-1 All Habitats'!B121</f>
        <v>Intertidal sediment - Artificial littoral muddy sand</v>
      </c>
      <c r="G122" s="544">
        <v>5</v>
      </c>
      <c r="H122" s="544">
        <v>4</v>
      </c>
      <c r="I122" s="544">
        <v>3</v>
      </c>
      <c r="J122" s="544">
        <v>2</v>
      </c>
      <c r="K122" s="544">
        <v>1</v>
      </c>
      <c r="L122" s="544" t="s">
        <v>934</v>
      </c>
      <c r="M122" s="544" t="s">
        <v>934</v>
      </c>
    </row>
    <row r="123" spans="6:13" x14ac:dyDescent="0.25">
      <c r="F123" s="88" t="str">
        <f>'G-1 All Habitats'!B122</f>
        <v>Intertidal sediment - Artificial littoral mixed sediments</v>
      </c>
      <c r="G123" s="544">
        <v>5</v>
      </c>
      <c r="H123" s="544">
        <v>4</v>
      </c>
      <c r="I123" s="544">
        <v>3</v>
      </c>
      <c r="J123" s="544">
        <v>2</v>
      </c>
      <c r="K123" s="544">
        <v>1</v>
      </c>
      <c r="L123" s="544" t="s">
        <v>934</v>
      </c>
      <c r="M123" s="544" t="s">
        <v>934</v>
      </c>
    </row>
    <row r="124" spans="6:13" x14ac:dyDescent="0.25">
      <c r="F124" s="88" t="str">
        <f>'G-1 All Habitats'!B123</f>
        <v>Intertidal sediment - Artificial littoral seagrass</v>
      </c>
      <c r="G124" s="544">
        <v>20</v>
      </c>
      <c r="H124" s="544">
        <v>15</v>
      </c>
      <c r="I124" s="544">
        <v>10</v>
      </c>
      <c r="J124" s="544">
        <v>5</v>
      </c>
      <c r="K124" s="544">
        <v>2</v>
      </c>
      <c r="L124" s="544" t="s">
        <v>934</v>
      </c>
      <c r="M124" s="544" t="s">
        <v>934</v>
      </c>
    </row>
    <row r="125" spans="6:13" x14ac:dyDescent="0.25">
      <c r="F125" s="88" t="str">
        <f>'G-1 All Habitats'!B124</f>
        <v>Intertidal sediment - Artificial littoral biogenic reefs</v>
      </c>
      <c r="G125" s="544">
        <v>15</v>
      </c>
      <c r="H125" s="544">
        <v>10</v>
      </c>
      <c r="I125" s="544">
        <v>5</v>
      </c>
      <c r="J125" s="544">
        <v>3</v>
      </c>
      <c r="K125" s="544">
        <v>3</v>
      </c>
      <c r="L125" s="544" t="s">
        <v>934</v>
      </c>
      <c r="M125" s="544" t="s">
        <v>934</v>
      </c>
    </row>
    <row r="126" spans="6:13" x14ac:dyDescent="0.25">
      <c r="F126" s="88" t="str">
        <f>'G-1 All Habitats'!B125</f>
        <v>Intertidal sediment - Littoral sand</v>
      </c>
      <c r="G126" s="544">
        <v>4</v>
      </c>
      <c r="H126" s="544">
        <v>2</v>
      </c>
      <c r="I126" s="544">
        <v>1</v>
      </c>
      <c r="J126" s="544">
        <v>1</v>
      </c>
      <c r="K126" s="544">
        <v>1</v>
      </c>
      <c r="L126" s="544" t="s">
        <v>934</v>
      </c>
      <c r="M126" s="544" t="s">
        <v>934</v>
      </c>
    </row>
    <row r="127" spans="6:13" x14ac:dyDescent="0.25">
      <c r="F127" s="88" t="str">
        <f>'G-1 All Habitats'!B126</f>
        <v>Intertidal sediment - Littoral muddy sand</v>
      </c>
      <c r="G127" s="544">
        <v>5</v>
      </c>
      <c r="H127" s="544">
        <v>4</v>
      </c>
      <c r="I127" s="544">
        <v>3</v>
      </c>
      <c r="J127" s="544">
        <v>2</v>
      </c>
      <c r="K127" s="544">
        <v>1</v>
      </c>
      <c r="L127" s="544" t="s">
        <v>934</v>
      </c>
      <c r="M127" s="544" t="s">
        <v>934</v>
      </c>
    </row>
    <row r="128" spans="6:13" x14ac:dyDescent="0.25">
      <c r="F128" s="88" t="str">
        <f>'G-1 All Habitats'!B127</f>
        <v>Intertidal Hard Structures - Artificial hard structures</v>
      </c>
      <c r="G128" s="544">
        <v>15</v>
      </c>
      <c r="H128" s="544">
        <v>10</v>
      </c>
      <c r="I128" s="544">
        <v>5</v>
      </c>
      <c r="J128" s="544">
        <v>2</v>
      </c>
      <c r="K128" s="544">
        <v>1</v>
      </c>
      <c r="L128" s="544" t="s">
        <v>934</v>
      </c>
      <c r="M128" s="544" t="s">
        <v>934</v>
      </c>
    </row>
    <row r="129" spans="6:13" x14ac:dyDescent="0.25">
      <c r="F129" s="88" t="str">
        <f>'G-1 All Habitats'!B128</f>
        <v>Intertidal Hard Structures - Artificial features of hard structures</v>
      </c>
      <c r="G129" s="544">
        <v>13</v>
      </c>
      <c r="H129" s="544">
        <v>8</v>
      </c>
      <c r="I129" s="544">
        <v>4</v>
      </c>
      <c r="J129" s="544">
        <v>2</v>
      </c>
      <c r="K129" s="544">
        <v>1</v>
      </c>
      <c r="L129" s="544" t="s">
        <v>934</v>
      </c>
      <c r="M129" s="544" t="s">
        <v>934</v>
      </c>
    </row>
    <row r="130" spans="6:13" x14ac:dyDescent="0.25">
      <c r="F130" s="88" t="str">
        <f>'G-1 All Habitats'!B129</f>
        <v>Intertidal Hard Structures - Artificial hard structures with Integrated Greening of Grey Infrastructure (IGGI)</v>
      </c>
      <c r="G130" s="544">
        <v>13</v>
      </c>
      <c r="H130" s="544">
        <v>8</v>
      </c>
      <c r="I130" s="544">
        <v>4</v>
      </c>
      <c r="J130" s="544">
        <v>2</v>
      </c>
      <c r="K130" s="544">
        <v>1</v>
      </c>
      <c r="L130" s="544" t="s">
        <v>934</v>
      </c>
      <c r="M130" s="544" t="s">
        <v>934</v>
      </c>
    </row>
    <row r="131" spans="6:13" x14ac:dyDescent="0.25"/>
    <row r="132" spans="6:13" x14ac:dyDescent="0.25"/>
    <row r="133" spans="6:13" x14ac:dyDescent="0.25"/>
    <row r="134" spans="6:13" x14ac:dyDescent="0.25"/>
    <row r="135" spans="6:13" x14ac:dyDescent="0.25"/>
    <row r="136" spans="6:13" x14ac:dyDescent="0.25"/>
    <row r="137" spans="6:13" x14ac:dyDescent="0.25"/>
    <row r="138" spans="6:13" x14ac:dyDescent="0.25"/>
    <row r="139" spans="6:13" x14ac:dyDescent="0.25"/>
    <row r="140" spans="6:13" x14ac:dyDescent="0.25"/>
    <row r="141" spans="6:13" x14ac:dyDescent="0.25"/>
    <row r="142" spans="6:13" x14ac:dyDescent="0.25"/>
    <row r="143" spans="6:13" x14ac:dyDescent="0.25"/>
    <row r="144" spans="6:13" x14ac:dyDescent="0.25"/>
    <row r="145" x14ac:dyDescent="0.25"/>
    <row r="146" x14ac:dyDescent="0.25"/>
    <row r="147" x14ac:dyDescent="0.25"/>
    <row r="148" x14ac:dyDescent="0.25"/>
    <row r="149" x14ac:dyDescent="0.25"/>
  </sheetData>
  <sheetProtection algorithmName="SHA-512" hashValue="ygTsETF25n1nPrwb3r1brEIRFCORyV0b8qWeuUOzOWjfFEVkcwEbr5hfTpU3RsJcUzz2nTsrbF4+nBpJxk5Z8w==" saltValue="xCGwITbHpUB+6SJLTWlYSw==" spinCount="100000" sheet="1" objects="1" scenarios="1"/>
  <autoFilter ref="F3:M128"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0"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2"/>
  <sheetViews>
    <sheetView showGridLines="0" showRowColHeaders="0" zoomScaleNormal="100" workbookViewId="0">
      <pane xSplit="3" ySplit="4" topLeftCell="J47" activePane="bottomRight" state="frozen"/>
      <selection pane="topRight" activeCell="S28" sqref="S28"/>
      <selection pane="bottomLeft" activeCell="S28" sqref="S28"/>
      <selection pane="bottomRight"/>
    </sheetView>
  </sheetViews>
  <sheetFormatPr defaultColWidth="0" defaultRowHeight="13.8" zeroHeight="1" x14ac:dyDescent="0.25"/>
  <cols>
    <col min="1" max="1" width="3.5546875" style="31" customWidth="1"/>
    <col min="2" max="2" width="3.109375" style="31" customWidth="1"/>
    <col min="3" max="3" width="88.88671875" style="31" bestFit="1" customWidth="1"/>
    <col min="4" max="4" width="18" style="42" customWidth="1"/>
    <col min="5" max="5" width="21.5546875" style="42" customWidth="1"/>
    <col min="6" max="6" width="17.88671875" style="42" customWidth="1"/>
    <col min="7" max="7" width="18.6640625" style="42" customWidth="1"/>
    <col min="8" max="8" width="18.88671875" style="42" customWidth="1"/>
    <col min="9" max="9" width="17.6640625" style="42" customWidth="1"/>
    <col min="10" max="14" width="17.44140625" style="42" customWidth="1"/>
    <col min="15" max="15" width="14.44140625" style="42" bestFit="1" customWidth="1"/>
    <col min="16" max="16" width="12.6640625" style="42" bestFit="1" customWidth="1"/>
    <col min="17" max="21" width="14.44140625" style="42" bestFit="1" customWidth="1"/>
    <col min="22" max="22" width="14.33203125" style="42" bestFit="1" customWidth="1"/>
    <col min="23" max="23" width="13.109375" style="42" bestFit="1" customWidth="1"/>
    <col min="24" max="24" width="14.44140625" style="42" bestFit="1" customWidth="1"/>
    <col min="25" max="25" width="12.6640625" style="42" bestFit="1" customWidth="1"/>
    <col min="26" max="26" width="11.88671875" style="42" customWidth="1"/>
    <col min="27" max="30" width="11.88671875" style="31" customWidth="1"/>
    <col min="31" max="40" width="11.88671875" style="31" hidden="1" customWidth="1"/>
    <col min="41" max="16384" width="9.109375" style="31" hidden="1"/>
  </cols>
  <sheetData>
    <row r="1" spans="3:25" ht="33.6" customHeight="1" x14ac:dyDescent="0.25">
      <c r="D1" s="31"/>
      <c r="E1" s="31"/>
      <c r="F1" s="31"/>
      <c r="G1" s="31"/>
      <c r="H1" s="31"/>
      <c r="I1" s="31"/>
      <c r="J1" s="31"/>
      <c r="K1" s="31"/>
      <c r="L1" s="31"/>
      <c r="M1" s="31"/>
      <c r="N1" s="31"/>
      <c r="O1" s="31"/>
      <c r="P1" s="31"/>
      <c r="Q1" s="31"/>
      <c r="R1" s="31"/>
      <c r="S1" s="31"/>
      <c r="T1" s="31"/>
      <c r="U1" s="31"/>
      <c r="V1" s="31"/>
      <c r="W1" s="31"/>
      <c r="X1" s="31"/>
      <c r="Y1" s="31"/>
    </row>
    <row r="2" spans="3:25" ht="41.4" x14ac:dyDescent="0.25">
      <c r="C2" s="280" t="s">
        <v>937</v>
      </c>
      <c r="D2" s="105" t="s">
        <v>938</v>
      </c>
      <c r="E2" s="105" t="s">
        <v>938</v>
      </c>
      <c r="F2" s="105" t="s">
        <v>938</v>
      </c>
      <c r="G2" s="105" t="s">
        <v>938</v>
      </c>
      <c r="H2" s="105" t="s">
        <v>938</v>
      </c>
      <c r="I2" s="105" t="s">
        <v>938</v>
      </c>
      <c r="J2" s="105" t="s">
        <v>938</v>
      </c>
      <c r="K2" s="105" t="s">
        <v>403</v>
      </c>
      <c r="L2" s="105" t="s">
        <v>403</v>
      </c>
      <c r="M2" s="105" t="s">
        <v>403</v>
      </c>
      <c r="N2" s="105" t="s">
        <v>403</v>
      </c>
      <c r="O2" s="105" t="s">
        <v>242</v>
      </c>
      <c r="P2" s="105" t="s">
        <v>242</v>
      </c>
      <c r="Q2" s="105" t="s">
        <v>242</v>
      </c>
      <c r="R2" s="105" t="s">
        <v>242</v>
      </c>
      <c r="S2" s="105" t="s">
        <v>393</v>
      </c>
      <c r="T2" s="105" t="s">
        <v>393</v>
      </c>
      <c r="U2" s="105" t="s">
        <v>393</v>
      </c>
      <c r="V2" s="105" t="s">
        <v>20</v>
      </c>
      <c r="W2" s="105" t="s">
        <v>20</v>
      </c>
      <c r="X2" s="105" t="s">
        <v>382</v>
      </c>
      <c r="Y2" s="105" t="s">
        <v>21</v>
      </c>
    </row>
    <row r="3" spans="3:25" ht="29.4" customHeight="1" x14ac:dyDescent="0.25">
      <c r="C3" s="280" t="s">
        <v>939</v>
      </c>
      <c r="D3" s="105" t="s">
        <v>407</v>
      </c>
      <c r="E3" s="105" t="s">
        <v>403</v>
      </c>
      <c r="F3" s="105" t="s">
        <v>242</v>
      </c>
      <c r="G3" s="105" t="s">
        <v>393</v>
      </c>
      <c r="H3" s="105" t="s">
        <v>20</v>
      </c>
      <c r="I3" s="105" t="s">
        <v>382</v>
      </c>
      <c r="J3" s="105" t="s">
        <v>21</v>
      </c>
      <c r="K3" s="105" t="s">
        <v>393</v>
      </c>
      <c r="L3" s="105" t="s">
        <v>20</v>
      </c>
      <c r="M3" s="105" t="s">
        <v>382</v>
      </c>
      <c r="N3" s="105" t="s">
        <v>21</v>
      </c>
      <c r="O3" s="105" t="s">
        <v>393</v>
      </c>
      <c r="P3" s="105" t="s">
        <v>20</v>
      </c>
      <c r="Q3" s="105" t="s">
        <v>382</v>
      </c>
      <c r="R3" s="105" t="s">
        <v>21</v>
      </c>
      <c r="S3" s="105" t="s">
        <v>20</v>
      </c>
      <c r="T3" s="105" t="s">
        <v>382</v>
      </c>
      <c r="U3" s="105" t="s">
        <v>21</v>
      </c>
      <c r="V3" s="105" t="s">
        <v>382</v>
      </c>
      <c r="W3" s="105" t="s">
        <v>21</v>
      </c>
      <c r="X3" s="105" t="s">
        <v>21</v>
      </c>
      <c r="Y3" s="105" t="s">
        <v>21</v>
      </c>
    </row>
    <row r="4" spans="3:25" ht="72" customHeight="1" x14ac:dyDescent="0.25">
      <c r="C4" s="280" t="s">
        <v>253</v>
      </c>
      <c r="D4" s="103" t="s">
        <v>940</v>
      </c>
      <c r="E4" s="103" t="s">
        <v>941</v>
      </c>
      <c r="F4" s="103" t="s">
        <v>942</v>
      </c>
      <c r="G4" s="103" t="s">
        <v>943</v>
      </c>
      <c r="H4" s="103" t="s">
        <v>944</v>
      </c>
      <c r="I4" s="103" t="s">
        <v>945</v>
      </c>
      <c r="J4" s="103" t="s">
        <v>946</v>
      </c>
      <c r="K4" s="103" t="s">
        <v>947</v>
      </c>
      <c r="L4" s="103" t="s">
        <v>948</v>
      </c>
      <c r="M4" s="103" t="s">
        <v>949</v>
      </c>
      <c r="N4" s="103" t="s">
        <v>950</v>
      </c>
      <c r="O4" s="103" t="s">
        <v>951</v>
      </c>
      <c r="P4" s="103" t="s">
        <v>952</v>
      </c>
      <c r="Q4" s="103" t="s">
        <v>953</v>
      </c>
      <c r="R4" s="103" t="s">
        <v>954</v>
      </c>
      <c r="S4" s="103" t="s">
        <v>955</v>
      </c>
      <c r="T4" s="103" t="s">
        <v>956</v>
      </c>
      <c r="U4" s="103" t="s">
        <v>957</v>
      </c>
      <c r="V4" s="103" t="s">
        <v>958</v>
      </c>
      <c r="W4" s="103" t="s">
        <v>959</v>
      </c>
      <c r="X4" s="103" t="s">
        <v>960</v>
      </c>
      <c r="Y4" s="103" t="s">
        <v>961</v>
      </c>
    </row>
    <row r="5" spans="3:25" x14ac:dyDescent="0.25">
      <c r="C5" s="88" t="str">
        <f>'G-1 All Habitats'!B3</f>
        <v>Cropland - Arable field margins cultivated annually</v>
      </c>
      <c r="D5" s="544" t="s">
        <v>934</v>
      </c>
      <c r="E5" s="544">
        <v>1</v>
      </c>
      <c r="F5" s="544" t="s">
        <v>934</v>
      </c>
      <c r="G5" s="544" t="s">
        <v>934</v>
      </c>
      <c r="H5" s="544" t="s">
        <v>934</v>
      </c>
      <c r="I5" s="544" t="s">
        <v>934</v>
      </c>
      <c r="J5" s="544" t="s">
        <v>934</v>
      </c>
      <c r="K5" s="544" t="s">
        <v>934</v>
      </c>
      <c r="L5" s="544" t="s">
        <v>934</v>
      </c>
      <c r="M5" s="544" t="s">
        <v>934</v>
      </c>
      <c r="N5" s="544" t="s">
        <v>934</v>
      </c>
      <c r="O5" s="544" t="s">
        <v>934</v>
      </c>
      <c r="P5" s="544" t="s">
        <v>934</v>
      </c>
      <c r="Q5" s="544" t="s">
        <v>934</v>
      </c>
      <c r="R5" s="544" t="s">
        <v>934</v>
      </c>
      <c r="S5" s="544" t="s">
        <v>934</v>
      </c>
      <c r="T5" s="544" t="s">
        <v>934</v>
      </c>
      <c r="U5" s="544" t="s">
        <v>934</v>
      </c>
      <c r="V5" s="544" t="s">
        <v>934</v>
      </c>
      <c r="W5" s="544" t="s">
        <v>934</v>
      </c>
      <c r="X5" s="544" t="s">
        <v>934</v>
      </c>
      <c r="Y5" s="544" t="s">
        <v>934</v>
      </c>
    </row>
    <row r="6" spans="3:25" x14ac:dyDescent="0.25">
      <c r="C6" s="88" t="str">
        <f>'G-1 All Habitats'!B4</f>
        <v>Cropland - Arable field margins game bird mix</v>
      </c>
      <c r="D6" s="544" t="s">
        <v>934</v>
      </c>
      <c r="E6" s="544">
        <v>1</v>
      </c>
      <c r="F6" s="544" t="s">
        <v>934</v>
      </c>
      <c r="G6" s="544" t="s">
        <v>934</v>
      </c>
      <c r="H6" s="544" t="s">
        <v>934</v>
      </c>
      <c r="I6" s="544" t="s">
        <v>934</v>
      </c>
      <c r="J6" s="544" t="s">
        <v>934</v>
      </c>
      <c r="K6" s="544" t="s">
        <v>934</v>
      </c>
      <c r="L6" s="544" t="s">
        <v>934</v>
      </c>
      <c r="M6" s="544" t="s">
        <v>934</v>
      </c>
      <c r="N6" s="544" t="s">
        <v>934</v>
      </c>
      <c r="O6" s="544" t="s">
        <v>934</v>
      </c>
      <c r="P6" s="544" t="s">
        <v>934</v>
      </c>
      <c r="Q6" s="544" t="s">
        <v>934</v>
      </c>
      <c r="R6" s="544" t="s">
        <v>934</v>
      </c>
      <c r="S6" s="544" t="s">
        <v>934</v>
      </c>
      <c r="T6" s="544" t="s">
        <v>934</v>
      </c>
      <c r="U6" s="544" t="s">
        <v>934</v>
      </c>
      <c r="V6" s="544" t="s">
        <v>934</v>
      </c>
      <c r="W6" s="544" t="s">
        <v>934</v>
      </c>
      <c r="X6" s="544" t="s">
        <v>934</v>
      </c>
      <c r="Y6" s="544" t="s">
        <v>934</v>
      </c>
    </row>
    <row r="7" spans="3:25" x14ac:dyDescent="0.25">
      <c r="C7" s="88" t="str">
        <f>'G-1 All Habitats'!B5</f>
        <v>Cropland - Arable field margins pollen &amp; nectar</v>
      </c>
      <c r="D7" s="544" t="s">
        <v>934</v>
      </c>
      <c r="E7" s="544">
        <v>1</v>
      </c>
      <c r="F7" s="544" t="s">
        <v>934</v>
      </c>
      <c r="G7" s="544" t="s">
        <v>934</v>
      </c>
      <c r="H7" s="544" t="s">
        <v>934</v>
      </c>
      <c r="I7" s="544" t="s">
        <v>934</v>
      </c>
      <c r="J7" s="544" t="s">
        <v>934</v>
      </c>
      <c r="K7" s="544" t="s">
        <v>934</v>
      </c>
      <c r="L7" s="544" t="s">
        <v>934</v>
      </c>
      <c r="M7" s="544" t="s">
        <v>934</v>
      </c>
      <c r="N7" s="544" t="s">
        <v>934</v>
      </c>
      <c r="O7" s="544" t="s">
        <v>934</v>
      </c>
      <c r="P7" s="544" t="s">
        <v>934</v>
      </c>
      <c r="Q7" s="544" t="s">
        <v>934</v>
      </c>
      <c r="R7" s="544" t="s">
        <v>934</v>
      </c>
      <c r="S7" s="544" t="s">
        <v>934</v>
      </c>
      <c r="T7" s="544" t="s">
        <v>934</v>
      </c>
      <c r="U7" s="544" t="s">
        <v>934</v>
      </c>
      <c r="V7" s="544" t="s">
        <v>934</v>
      </c>
      <c r="W7" s="544" t="s">
        <v>934</v>
      </c>
      <c r="X7" s="544" t="s">
        <v>934</v>
      </c>
      <c r="Y7" s="544" t="s">
        <v>934</v>
      </c>
    </row>
    <row r="8" spans="3:25" x14ac:dyDescent="0.25">
      <c r="C8" s="88" t="str">
        <f>'G-1 All Habitats'!B6</f>
        <v>Cropland - Arable field margins tussocky</v>
      </c>
      <c r="D8" s="544" t="s">
        <v>934</v>
      </c>
      <c r="E8" s="544">
        <v>1</v>
      </c>
      <c r="F8" s="544" t="s">
        <v>934</v>
      </c>
      <c r="G8" s="544" t="s">
        <v>934</v>
      </c>
      <c r="H8" s="544" t="s">
        <v>934</v>
      </c>
      <c r="I8" s="544" t="s">
        <v>934</v>
      </c>
      <c r="J8" s="544" t="s">
        <v>934</v>
      </c>
      <c r="K8" s="544" t="s">
        <v>934</v>
      </c>
      <c r="L8" s="544" t="s">
        <v>934</v>
      </c>
      <c r="M8" s="544" t="s">
        <v>934</v>
      </c>
      <c r="N8" s="544" t="s">
        <v>934</v>
      </c>
      <c r="O8" s="544" t="s">
        <v>934</v>
      </c>
      <c r="P8" s="544" t="s">
        <v>934</v>
      </c>
      <c r="Q8" s="544" t="s">
        <v>934</v>
      </c>
      <c r="R8" s="544" t="s">
        <v>934</v>
      </c>
      <c r="S8" s="544" t="s">
        <v>934</v>
      </c>
      <c r="T8" s="544" t="s">
        <v>934</v>
      </c>
      <c r="U8" s="544" t="s">
        <v>934</v>
      </c>
      <c r="V8" s="544" t="s">
        <v>934</v>
      </c>
      <c r="W8" s="544" t="s">
        <v>934</v>
      </c>
      <c r="X8" s="544" t="s">
        <v>934</v>
      </c>
      <c r="Y8" s="544" t="s">
        <v>934</v>
      </c>
    </row>
    <row r="9" spans="3:25" x14ac:dyDescent="0.25">
      <c r="C9" s="88" t="str">
        <f>'G-1 All Habitats'!B7</f>
        <v>Cropland - Cereal crops</v>
      </c>
      <c r="D9" s="544" t="s">
        <v>934</v>
      </c>
      <c r="E9" s="544" t="s">
        <v>934</v>
      </c>
      <c r="F9" s="544" t="s">
        <v>934</v>
      </c>
      <c r="G9" s="544" t="s">
        <v>934</v>
      </c>
      <c r="H9" s="544" t="s">
        <v>934</v>
      </c>
      <c r="I9" s="544" t="s">
        <v>934</v>
      </c>
      <c r="J9" s="544" t="s">
        <v>934</v>
      </c>
      <c r="K9" s="544" t="s">
        <v>934</v>
      </c>
      <c r="L9" s="544" t="s">
        <v>934</v>
      </c>
      <c r="M9" s="544" t="s">
        <v>934</v>
      </c>
      <c r="N9" s="544" t="s">
        <v>934</v>
      </c>
      <c r="O9" s="544" t="s">
        <v>934</v>
      </c>
      <c r="P9" s="544" t="s">
        <v>934</v>
      </c>
      <c r="Q9" s="544" t="s">
        <v>934</v>
      </c>
      <c r="R9" s="544" t="s">
        <v>934</v>
      </c>
      <c r="S9" s="544" t="s">
        <v>934</v>
      </c>
      <c r="T9" s="544" t="s">
        <v>934</v>
      </c>
      <c r="U9" s="544" t="s">
        <v>934</v>
      </c>
      <c r="V9" s="544" t="s">
        <v>934</v>
      </c>
      <c r="W9" s="544" t="s">
        <v>934</v>
      </c>
      <c r="X9" s="544" t="s">
        <v>934</v>
      </c>
      <c r="Y9" s="544" t="s">
        <v>934</v>
      </c>
    </row>
    <row r="10" spans="3:25" x14ac:dyDescent="0.25">
      <c r="C10" s="88" t="str">
        <f>'G-1 All Habitats'!B8</f>
        <v>Cropland - Cereal crops winter stubble</v>
      </c>
      <c r="D10" s="544" t="s">
        <v>934</v>
      </c>
      <c r="E10" s="544" t="s">
        <v>934</v>
      </c>
      <c r="F10" s="544" t="s">
        <v>934</v>
      </c>
      <c r="G10" s="544" t="s">
        <v>934</v>
      </c>
      <c r="H10" s="544" t="s">
        <v>934</v>
      </c>
      <c r="I10" s="544" t="s">
        <v>934</v>
      </c>
      <c r="J10" s="544" t="s">
        <v>934</v>
      </c>
      <c r="K10" s="544" t="s">
        <v>934</v>
      </c>
      <c r="L10" s="544" t="s">
        <v>934</v>
      </c>
      <c r="M10" s="544" t="s">
        <v>934</v>
      </c>
      <c r="N10" s="544" t="s">
        <v>934</v>
      </c>
      <c r="O10" s="544" t="s">
        <v>934</v>
      </c>
      <c r="P10" s="544" t="s">
        <v>934</v>
      </c>
      <c r="Q10" s="544" t="s">
        <v>934</v>
      </c>
      <c r="R10" s="544" t="s">
        <v>934</v>
      </c>
      <c r="S10" s="544" t="s">
        <v>934</v>
      </c>
      <c r="T10" s="544" t="s">
        <v>934</v>
      </c>
      <c r="U10" s="544" t="s">
        <v>934</v>
      </c>
      <c r="V10" s="544" t="s">
        <v>934</v>
      </c>
      <c r="W10" s="544" t="s">
        <v>934</v>
      </c>
      <c r="X10" s="544" t="s">
        <v>934</v>
      </c>
      <c r="Y10" s="544" t="s">
        <v>934</v>
      </c>
    </row>
    <row r="11" spans="3:25" x14ac:dyDescent="0.25">
      <c r="C11" s="88" t="str">
        <f>'G-1 All Habitats'!B9</f>
        <v>Cropland - Horticulture</v>
      </c>
      <c r="D11" s="544" t="s">
        <v>934</v>
      </c>
      <c r="E11" s="544" t="s">
        <v>934</v>
      </c>
      <c r="F11" s="544" t="s">
        <v>934</v>
      </c>
      <c r="G11" s="544" t="s">
        <v>934</v>
      </c>
      <c r="H11" s="544" t="s">
        <v>934</v>
      </c>
      <c r="I11" s="544" t="s">
        <v>934</v>
      </c>
      <c r="J11" s="544" t="s">
        <v>934</v>
      </c>
      <c r="K11" s="544" t="s">
        <v>934</v>
      </c>
      <c r="L11" s="544" t="s">
        <v>934</v>
      </c>
      <c r="M11" s="544" t="s">
        <v>934</v>
      </c>
      <c r="N11" s="544" t="s">
        <v>934</v>
      </c>
      <c r="O11" s="544" t="s">
        <v>934</v>
      </c>
      <c r="P11" s="544" t="s">
        <v>934</v>
      </c>
      <c r="Q11" s="544" t="s">
        <v>934</v>
      </c>
      <c r="R11" s="544" t="s">
        <v>934</v>
      </c>
      <c r="S11" s="544" t="s">
        <v>934</v>
      </c>
      <c r="T11" s="544" t="s">
        <v>934</v>
      </c>
      <c r="U11" s="544" t="s">
        <v>934</v>
      </c>
      <c r="V11" s="544" t="s">
        <v>934</v>
      </c>
      <c r="W11" s="544" t="s">
        <v>934</v>
      </c>
      <c r="X11" s="544" t="s">
        <v>934</v>
      </c>
      <c r="Y11" s="544" t="s">
        <v>934</v>
      </c>
    </row>
    <row r="12" spans="3:25" x14ac:dyDescent="0.25">
      <c r="C12" s="88" t="str">
        <f>'G-1 All Habitats'!B10</f>
        <v>Cropland - Intensive orchards</v>
      </c>
      <c r="D12" s="544" t="s">
        <v>934</v>
      </c>
      <c r="E12" s="544" t="s">
        <v>934</v>
      </c>
      <c r="F12" s="544" t="s">
        <v>934</v>
      </c>
      <c r="G12" s="544" t="s">
        <v>934</v>
      </c>
      <c r="H12" s="544" t="s">
        <v>934</v>
      </c>
      <c r="I12" s="544" t="s">
        <v>934</v>
      </c>
      <c r="J12" s="544" t="s">
        <v>934</v>
      </c>
      <c r="K12" s="544" t="s">
        <v>934</v>
      </c>
      <c r="L12" s="544" t="s">
        <v>934</v>
      </c>
      <c r="M12" s="544" t="s">
        <v>934</v>
      </c>
      <c r="N12" s="544" t="s">
        <v>934</v>
      </c>
      <c r="O12" s="544" t="s">
        <v>934</v>
      </c>
      <c r="P12" s="544" t="s">
        <v>934</v>
      </c>
      <c r="Q12" s="544" t="s">
        <v>934</v>
      </c>
      <c r="R12" s="544" t="s">
        <v>934</v>
      </c>
      <c r="S12" s="544" t="s">
        <v>934</v>
      </c>
      <c r="T12" s="544" t="s">
        <v>934</v>
      </c>
      <c r="U12" s="544" t="s">
        <v>934</v>
      </c>
      <c r="V12" s="544" t="s">
        <v>934</v>
      </c>
      <c r="W12" s="544" t="s">
        <v>934</v>
      </c>
      <c r="X12" s="544" t="s">
        <v>934</v>
      </c>
      <c r="Y12" s="544" t="s">
        <v>934</v>
      </c>
    </row>
    <row r="13" spans="3:25" x14ac:dyDescent="0.25">
      <c r="C13" s="88" t="str">
        <f>'G-1 All Habitats'!B11</f>
        <v>Cropland - Non-cereal crops</v>
      </c>
      <c r="D13" s="544" t="s">
        <v>934</v>
      </c>
      <c r="E13" s="544" t="s">
        <v>934</v>
      </c>
      <c r="F13" s="544" t="s">
        <v>934</v>
      </c>
      <c r="G13" s="544" t="s">
        <v>934</v>
      </c>
      <c r="H13" s="544" t="s">
        <v>934</v>
      </c>
      <c r="I13" s="544" t="s">
        <v>934</v>
      </c>
      <c r="J13" s="544" t="s">
        <v>934</v>
      </c>
      <c r="K13" s="544" t="s">
        <v>934</v>
      </c>
      <c r="L13" s="544" t="s">
        <v>934</v>
      </c>
      <c r="M13" s="544" t="s">
        <v>934</v>
      </c>
      <c r="N13" s="544" t="s">
        <v>934</v>
      </c>
      <c r="O13" s="544" t="s">
        <v>934</v>
      </c>
      <c r="P13" s="544" t="s">
        <v>934</v>
      </c>
      <c r="Q13" s="544" t="s">
        <v>934</v>
      </c>
      <c r="R13" s="544" t="s">
        <v>934</v>
      </c>
      <c r="S13" s="544" t="s">
        <v>934</v>
      </c>
      <c r="T13" s="544" t="s">
        <v>934</v>
      </c>
      <c r="U13" s="544" t="s">
        <v>934</v>
      </c>
      <c r="V13" s="544" t="s">
        <v>934</v>
      </c>
      <c r="W13" s="544" t="s">
        <v>934</v>
      </c>
      <c r="X13" s="544" t="s">
        <v>934</v>
      </c>
      <c r="Y13" s="544" t="s">
        <v>934</v>
      </c>
    </row>
    <row r="14" spans="3:25" x14ac:dyDescent="0.25">
      <c r="C14" s="88" t="str">
        <f>'G-1 All Habitats'!B12</f>
        <v>Cropland - Temporary grass and clover leys</v>
      </c>
      <c r="D14" s="544" t="s">
        <v>934</v>
      </c>
      <c r="E14" s="544" t="s">
        <v>934</v>
      </c>
      <c r="F14" s="544" t="s">
        <v>934</v>
      </c>
      <c r="G14" s="544" t="s">
        <v>934</v>
      </c>
      <c r="H14" s="544" t="s">
        <v>934</v>
      </c>
      <c r="I14" s="544" t="s">
        <v>934</v>
      </c>
      <c r="J14" s="544" t="s">
        <v>934</v>
      </c>
      <c r="K14" s="544" t="s">
        <v>934</v>
      </c>
      <c r="L14" s="544" t="s">
        <v>934</v>
      </c>
      <c r="M14" s="544" t="s">
        <v>934</v>
      </c>
      <c r="N14" s="544" t="s">
        <v>934</v>
      </c>
      <c r="O14" s="544" t="s">
        <v>934</v>
      </c>
      <c r="P14" s="544" t="s">
        <v>934</v>
      </c>
      <c r="Q14" s="544" t="s">
        <v>934</v>
      </c>
      <c r="R14" s="544" t="s">
        <v>934</v>
      </c>
      <c r="S14" s="544" t="s">
        <v>934</v>
      </c>
      <c r="T14" s="544" t="s">
        <v>934</v>
      </c>
      <c r="U14" s="544" t="s">
        <v>934</v>
      </c>
      <c r="V14" s="544" t="s">
        <v>934</v>
      </c>
      <c r="W14" s="544" t="s">
        <v>934</v>
      </c>
      <c r="X14" s="544" t="s">
        <v>934</v>
      </c>
      <c r="Y14" s="544" t="s">
        <v>934</v>
      </c>
    </row>
    <row r="15" spans="3:25" x14ac:dyDescent="0.25">
      <c r="C15" s="88" t="str">
        <f>'G-1 All Habitats'!B13</f>
        <v>Grassland - Traditional orchards</v>
      </c>
      <c r="D15" s="544" t="s">
        <v>934</v>
      </c>
      <c r="E15" s="544" t="s">
        <v>934</v>
      </c>
      <c r="F15" s="544">
        <v>5</v>
      </c>
      <c r="G15" s="544">
        <v>10</v>
      </c>
      <c r="H15" s="544">
        <v>20</v>
      </c>
      <c r="I15" s="544">
        <v>25</v>
      </c>
      <c r="J15" s="544">
        <v>30</v>
      </c>
      <c r="K15" s="544" t="s">
        <v>934</v>
      </c>
      <c r="L15" s="544" t="s">
        <v>934</v>
      </c>
      <c r="M15" s="544" t="s">
        <v>934</v>
      </c>
      <c r="N15" s="544" t="s">
        <v>934</v>
      </c>
      <c r="O15" s="544">
        <v>5</v>
      </c>
      <c r="P15" s="544">
        <v>15</v>
      </c>
      <c r="Q15" s="544">
        <v>20</v>
      </c>
      <c r="R15" s="544">
        <v>25</v>
      </c>
      <c r="S15" s="544">
        <v>10</v>
      </c>
      <c r="T15" s="544">
        <v>15</v>
      </c>
      <c r="U15" s="544">
        <v>20</v>
      </c>
      <c r="V15" s="544">
        <v>5</v>
      </c>
      <c r="W15" s="544">
        <v>10</v>
      </c>
      <c r="X15" s="544">
        <v>5</v>
      </c>
      <c r="Y15" s="544" t="s">
        <v>934</v>
      </c>
    </row>
    <row r="16" spans="3:25" x14ac:dyDescent="0.25">
      <c r="C16" s="88" t="str">
        <f>'G-1 All Habitats'!B14</f>
        <v>Grassland - Bracken</v>
      </c>
      <c r="D16" s="544" t="s">
        <v>934</v>
      </c>
      <c r="E16" s="544" t="s">
        <v>934</v>
      </c>
      <c r="F16" s="544">
        <v>1</v>
      </c>
      <c r="G16" s="544" t="s">
        <v>934</v>
      </c>
      <c r="H16" s="544" t="s">
        <v>934</v>
      </c>
      <c r="I16" s="544" t="s">
        <v>934</v>
      </c>
      <c r="J16" s="544" t="s">
        <v>934</v>
      </c>
      <c r="K16" s="544" t="s">
        <v>934</v>
      </c>
      <c r="L16" s="544" t="s">
        <v>934</v>
      </c>
      <c r="M16" s="544" t="s">
        <v>934</v>
      </c>
      <c r="N16" s="544" t="s">
        <v>934</v>
      </c>
      <c r="O16" s="544" t="s">
        <v>934</v>
      </c>
      <c r="P16" s="544" t="s">
        <v>934</v>
      </c>
      <c r="Q16" s="544" t="s">
        <v>934</v>
      </c>
      <c r="R16" s="544" t="s">
        <v>934</v>
      </c>
      <c r="S16" s="544" t="s">
        <v>934</v>
      </c>
      <c r="T16" s="544" t="s">
        <v>934</v>
      </c>
      <c r="U16" s="544" t="s">
        <v>934</v>
      </c>
      <c r="V16" s="544" t="s">
        <v>934</v>
      </c>
      <c r="W16" s="544" t="s">
        <v>934</v>
      </c>
      <c r="X16" s="544" t="s">
        <v>934</v>
      </c>
      <c r="Y16" s="544" t="s">
        <v>934</v>
      </c>
    </row>
    <row r="17" spans="3:25" x14ac:dyDescent="0.25">
      <c r="C17" s="88" t="str">
        <f>'G-1 All Habitats'!B15</f>
        <v>Grassland - Floodplain Wetland Mosaic (CFGM)</v>
      </c>
      <c r="D17" s="544" t="s">
        <v>934</v>
      </c>
      <c r="E17" s="544" t="s">
        <v>934</v>
      </c>
      <c r="F17" s="544">
        <v>5</v>
      </c>
      <c r="G17" s="544">
        <v>8</v>
      </c>
      <c r="H17" s="544">
        <v>10</v>
      </c>
      <c r="I17" s="544">
        <v>12</v>
      </c>
      <c r="J17" s="544">
        <v>15</v>
      </c>
      <c r="K17" s="544" t="s">
        <v>934</v>
      </c>
      <c r="L17" s="544" t="s">
        <v>934</v>
      </c>
      <c r="M17" s="544" t="s">
        <v>934</v>
      </c>
      <c r="N17" s="544" t="s">
        <v>934</v>
      </c>
      <c r="O17" s="544">
        <v>8</v>
      </c>
      <c r="P17" s="544">
        <v>10</v>
      </c>
      <c r="Q17" s="544">
        <v>12</v>
      </c>
      <c r="R17" s="544">
        <v>15</v>
      </c>
      <c r="S17" s="544">
        <v>2</v>
      </c>
      <c r="T17" s="544">
        <v>4</v>
      </c>
      <c r="U17" s="544">
        <v>7</v>
      </c>
      <c r="V17" s="544">
        <v>2</v>
      </c>
      <c r="W17" s="544">
        <v>4</v>
      </c>
      <c r="X17" s="544">
        <v>3</v>
      </c>
      <c r="Y17" s="544" t="s">
        <v>934</v>
      </c>
    </row>
    <row r="18" spans="3:25" x14ac:dyDescent="0.25">
      <c r="C18" s="88" t="str">
        <f>'G-1 All Habitats'!B16</f>
        <v>Grassland - Lowland calcareous grassland</v>
      </c>
      <c r="D18" s="544" t="s">
        <v>934</v>
      </c>
      <c r="E18" s="544" t="s">
        <v>934</v>
      </c>
      <c r="F18" s="544">
        <v>10</v>
      </c>
      <c r="G18" s="544">
        <v>15</v>
      </c>
      <c r="H18" s="544">
        <v>20</v>
      </c>
      <c r="I18" s="544">
        <v>25</v>
      </c>
      <c r="J18" s="544">
        <v>30</v>
      </c>
      <c r="K18" s="544" t="s">
        <v>934</v>
      </c>
      <c r="L18" s="544" t="s">
        <v>934</v>
      </c>
      <c r="M18" s="544" t="s">
        <v>934</v>
      </c>
      <c r="N18" s="544" t="s">
        <v>934</v>
      </c>
      <c r="O18" s="544">
        <v>5</v>
      </c>
      <c r="P18" s="544">
        <v>10</v>
      </c>
      <c r="Q18" s="544">
        <v>15</v>
      </c>
      <c r="R18" s="544">
        <v>20</v>
      </c>
      <c r="S18" s="544">
        <v>5</v>
      </c>
      <c r="T18" s="544">
        <v>10</v>
      </c>
      <c r="U18" s="544">
        <v>15</v>
      </c>
      <c r="V18" s="544">
        <v>5</v>
      </c>
      <c r="W18" s="544">
        <v>10</v>
      </c>
      <c r="X18" s="544">
        <v>5</v>
      </c>
      <c r="Y18" s="544" t="s">
        <v>934</v>
      </c>
    </row>
    <row r="19" spans="3:25" x14ac:dyDescent="0.25">
      <c r="C19" s="88" t="str">
        <f>'G-1 All Habitats'!B17</f>
        <v>Grassland - Lowland dry acid grassland</v>
      </c>
      <c r="D19" s="544" t="s">
        <v>934</v>
      </c>
      <c r="E19" s="544" t="s">
        <v>934</v>
      </c>
      <c r="F19" s="544">
        <v>10</v>
      </c>
      <c r="G19" s="544">
        <v>15</v>
      </c>
      <c r="H19" s="544">
        <v>20</v>
      </c>
      <c r="I19" s="544">
        <v>25</v>
      </c>
      <c r="J19" s="544" t="s">
        <v>935</v>
      </c>
      <c r="K19" s="544" t="s">
        <v>934</v>
      </c>
      <c r="L19" s="544" t="s">
        <v>934</v>
      </c>
      <c r="M19" s="544" t="s">
        <v>934</v>
      </c>
      <c r="N19" s="544" t="s">
        <v>934</v>
      </c>
      <c r="O19" s="544">
        <v>5</v>
      </c>
      <c r="P19" s="544">
        <v>15</v>
      </c>
      <c r="Q19" s="544">
        <v>20</v>
      </c>
      <c r="R19" s="544" t="s">
        <v>935</v>
      </c>
      <c r="S19" s="544">
        <v>8</v>
      </c>
      <c r="T19" s="544">
        <v>15</v>
      </c>
      <c r="U19" s="544">
        <v>25</v>
      </c>
      <c r="V19" s="544">
        <v>10</v>
      </c>
      <c r="W19" s="544">
        <v>20</v>
      </c>
      <c r="X19" s="544">
        <v>10</v>
      </c>
      <c r="Y19" s="544" t="s">
        <v>934</v>
      </c>
    </row>
    <row r="20" spans="3:25" x14ac:dyDescent="0.25">
      <c r="C20" s="88" t="str">
        <f>'G-1 All Habitats'!B18</f>
        <v>Grassland - Lowland meadows</v>
      </c>
      <c r="D20" s="544" t="s">
        <v>934</v>
      </c>
      <c r="E20" s="544" t="s">
        <v>934</v>
      </c>
      <c r="F20" s="544">
        <v>5</v>
      </c>
      <c r="G20" s="544">
        <v>8</v>
      </c>
      <c r="H20" s="544">
        <v>10</v>
      </c>
      <c r="I20" s="544">
        <v>12</v>
      </c>
      <c r="J20" s="544">
        <v>15</v>
      </c>
      <c r="K20" s="544" t="s">
        <v>934</v>
      </c>
      <c r="L20" s="544" t="s">
        <v>934</v>
      </c>
      <c r="M20" s="544" t="s">
        <v>934</v>
      </c>
      <c r="N20" s="544" t="s">
        <v>934</v>
      </c>
      <c r="O20" s="544">
        <v>4</v>
      </c>
      <c r="P20" s="544">
        <v>8</v>
      </c>
      <c r="Q20" s="544">
        <v>11</v>
      </c>
      <c r="R20" s="544">
        <v>15</v>
      </c>
      <c r="S20" s="544">
        <v>4</v>
      </c>
      <c r="T20" s="544">
        <v>8</v>
      </c>
      <c r="U20" s="544">
        <v>11</v>
      </c>
      <c r="V20" s="544">
        <v>4</v>
      </c>
      <c r="W20" s="544">
        <v>8</v>
      </c>
      <c r="X20" s="544">
        <v>4</v>
      </c>
      <c r="Y20" s="544" t="s">
        <v>934</v>
      </c>
    </row>
    <row r="21" spans="3:25" x14ac:dyDescent="0.25">
      <c r="C21" s="88" t="str">
        <f>'G-1 All Habitats'!B19</f>
        <v>Grassland - Modified grassland</v>
      </c>
      <c r="D21" s="544" t="s">
        <v>934</v>
      </c>
      <c r="E21" s="544">
        <v>1</v>
      </c>
      <c r="F21" s="544">
        <v>1</v>
      </c>
      <c r="G21" s="544">
        <v>5</v>
      </c>
      <c r="H21" s="544">
        <v>10</v>
      </c>
      <c r="I21" s="544">
        <v>12</v>
      </c>
      <c r="J21" s="544">
        <v>15</v>
      </c>
      <c r="K21" s="544" t="s">
        <v>934</v>
      </c>
      <c r="L21" s="544" t="s">
        <v>934</v>
      </c>
      <c r="M21" s="544" t="s">
        <v>934</v>
      </c>
      <c r="N21" s="544" t="s">
        <v>934</v>
      </c>
      <c r="O21" s="544">
        <v>5</v>
      </c>
      <c r="P21" s="544">
        <v>10</v>
      </c>
      <c r="Q21" s="544">
        <v>12</v>
      </c>
      <c r="R21" s="544">
        <v>15</v>
      </c>
      <c r="S21" s="544">
        <v>8</v>
      </c>
      <c r="T21" s="544">
        <v>10</v>
      </c>
      <c r="U21" s="544">
        <v>12</v>
      </c>
      <c r="V21" s="544">
        <v>8</v>
      </c>
      <c r="W21" s="544">
        <v>10</v>
      </c>
      <c r="X21" s="544">
        <v>8</v>
      </c>
      <c r="Y21" s="544" t="s">
        <v>934</v>
      </c>
    </row>
    <row r="22" spans="3:25" x14ac:dyDescent="0.25">
      <c r="C22" s="88" t="str">
        <f>'G-1 All Habitats'!B20</f>
        <v>Grassland - Other lowland acid grassland</v>
      </c>
      <c r="D22" s="544" t="s">
        <v>934</v>
      </c>
      <c r="E22" s="544" t="s">
        <v>934</v>
      </c>
      <c r="F22" s="544">
        <v>1</v>
      </c>
      <c r="G22" s="544">
        <v>5</v>
      </c>
      <c r="H22" s="544">
        <v>10</v>
      </c>
      <c r="I22" s="544">
        <v>12</v>
      </c>
      <c r="J22" s="544">
        <v>15</v>
      </c>
      <c r="K22" s="544" t="s">
        <v>934</v>
      </c>
      <c r="L22" s="544" t="s">
        <v>934</v>
      </c>
      <c r="M22" s="544" t="s">
        <v>934</v>
      </c>
      <c r="N22" s="544" t="s">
        <v>934</v>
      </c>
      <c r="O22" s="544">
        <v>5</v>
      </c>
      <c r="P22" s="544">
        <v>10</v>
      </c>
      <c r="Q22" s="544">
        <v>12</v>
      </c>
      <c r="R22" s="544">
        <v>15</v>
      </c>
      <c r="S22" s="544">
        <v>8</v>
      </c>
      <c r="T22" s="544">
        <v>10</v>
      </c>
      <c r="U22" s="544">
        <v>12</v>
      </c>
      <c r="V22" s="544">
        <v>8</v>
      </c>
      <c r="W22" s="544">
        <v>10</v>
      </c>
      <c r="X22" s="544">
        <v>8</v>
      </c>
      <c r="Y22" s="544" t="s">
        <v>934</v>
      </c>
    </row>
    <row r="23" spans="3:25" x14ac:dyDescent="0.25">
      <c r="C23" s="88" t="str">
        <f>'G-1 All Habitats'!B21</f>
        <v>Grassland - Other neutral grassland</v>
      </c>
      <c r="D23" s="544" t="s">
        <v>934</v>
      </c>
      <c r="E23" s="544" t="s">
        <v>934</v>
      </c>
      <c r="F23" s="544">
        <v>1</v>
      </c>
      <c r="G23" s="544">
        <v>5</v>
      </c>
      <c r="H23" s="544">
        <v>10</v>
      </c>
      <c r="I23" s="544">
        <v>12</v>
      </c>
      <c r="J23" s="544">
        <v>15</v>
      </c>
      <c r="K23" s="544" t="s">
        <v>934</v>
      </c>
      <c r="L23" s="544" t="s">
        <v>934</v>
      </c>
      <c r="M23" s="544" t="s">
        <v>934</v>
      </c>
      <c r="N23" s="544" t="s">
        <v>934</v>
      </c>
      <c r="O23" s="544">
        <v>5</v>
      </c>
      <c r="P23" s="544">
        <v>10</v>
      </c>
      <c r="Q23" s="544">
        <v>12</v>
      </c>
      <c r="R23" s="544">
        <v>15</v>
      </c>
      <c r="S23" s="544">
        <v>8</v>
      </c>
      <c r="T23" s="544">
        <v>10</v>
      </c>
      <c r="U23" s="544">
        <v>12</v>
      </c>
      <c r="V23" s="544">
        <v>8</v>
      </c>
      <c r="W23" s="544">
        <v>10</v>
      </c>
      <c r="X23" s="544">
        <v>8</v>
      </c>
      <c r="Y23" s="544" t="s">
        <v>934</v>
      </c>
    </row>
    <row r="24" spans="3:25" x14ac:dyDescent="0.25">
      <c r="C24" s="88" t="str">
        <f>'G-1 All Habitats'!B22</f>
        <v>Grassland - Tall herb communities (H6430)</v>
      </c>
      <c r="D24" s="544" t="s">
        <v>934</v>
      </c>
      <c r="E24" s="544" t="s">
        <v>934</v>
      </c>
      <c r="F24" s="544">
        <v>10</v>
      </c>
      <c r="G24" s="544">
        <v>15</v>
      </c>
      <c r="H24" s="544">
        <v>20</v>
      </c>
      <c r="I24" s="544">
        <v>25</v>
      </c>
      <c r="J24" s="544">
        <v>30</v>
      </c>
      <c r="K24" s="544" t="s">
        <v>934</v>
      </c>
      <c r="L24" s="544" t="s">
        <v>934</v>
      </c>
      <c r="M24" s="544" t="s">
        <v>934</v>
      </c>
      <c r="N24" s="544" t="s">
        <v>934</v>
      </c>
      <c r="O24" s="544">
        <v>10</v>
      </c>
      <c r="P24" s="544">
        <v>20</v>
      </c>
      <c r="Q24" s="544">
        <v>25</v>
      </c>
      <c r="R24" s="544">
        <v>30</v>
      </c>
      <c r="S24" s="544">
        <v>10</v>
      </c>
      <c r="T24" s="544">
        <v>10</v>
      </c>
      <c r="U24" s="544">
        <v>15</v>
      </c>
      <c r="V24" s="544">
        <v>5</v>
      </c>
      <c r="W24" s="544">
        <v>10</v>
      </c>
      <c r="X24" s="544">
        <v>5</v>
      </c>
      <c r="Y24" s="544" t="s">
        <v>934</v>
      </c>
    </row>
    <row r="25" spans="3:25" x14ac:dyDescent="0.25">
      <c r="C25" s="88" t="str">
        <f>'G-1 All Habitats'!B23</f>
        <v>Grassland - Upland acid grassland</v>
      </c>
      <c r="D25" s="544" t="s">
        <v>934</v>
      </c>
      <c r="E25" s="544" t="s">
        <v>934</v>
      </c>
      <c r="F25" s="544">
        <v>1</v>
      </c>
      <c r="G25" s="544">
        <v>5</v>
      </c>
      <c r="H25" s="544">
        <v>10</v>
      </c>
      <c r="I25" s="544">
        <v>12</v>
      </c>
      <c r="J25" s="544">
        <v>15</v>
      </c>
      <c r="K25" s="544" t="s">
        <v>934</v>
      </c>
      <c r="L25" s="544" t="s">
        <v>934</v>
      </c>
      <c r="M25" s="544" t="s">
        <v>934</v>
      </c>
      <c r="N25" s="544" t="s">
        <v>934</v>
      </c>
      <c r="O25" s="544">
        <v>5</v>
      </c>
      <c r="P25" s="544">
        <v>10</v>
      </c>
      <c r="Q25" s="544">
        <v>12</v>
      </c>
      <c r="R25" s="544">
        <v>15</v>
      </c>
      <c r="S25" s="544">
        <v>8</v>
      </c>
      <c r="T25" s="544">
        <v>10</v>
      </c>
      <c r="U25" s="544">
        <v>12</v>
      </c>
      <c r="V25" s="544">
        <v>8</v>
      </c>
      <c r="W25" s="544">
        <v>10</v>
      </c>
      <c r="X25" s="544">
        <v>8</v>
      </c>
      <c r="Y25" s="544" t="s">
        <v>934</v>
      </c>
    </row>
    <row r="26" spans="3:25" x14ac:dyDescent="0.25">
      <c r="C26" s="88" t="str">
        <f>'G-1 All Habitats'!B24</f>
        <v>Grassland - Upland calcareous grassland</v>
      </c>
      <c r="D26" s="544" t="s">
        <v>934</v>
      </c>
      <c r="E26" s="544" t="s">
        <v>934</v>
      </c>
      <c r="F26" s="544">
        <v>10</v>
      </c>
      <c r="G26" s="544">
        <v>12</v>
      </c>
      <c r="H26" s="544">
        <v>15</v>
      </c>
      <c r="I26" s="544">
        <v>20</v>
      </c>
      <c r="J26" s="544">
        <v>25</v>
      </c>
      <c r="K26" s="544" t="s">
        <v>934</v>
      </c>
      <c r="L26" s="544" t="s">
        <v>934</v>
      </c>
      <c r="M26" s="544" t="s">
        <v>934</v>
      </c>
      <c r="N26" s="544" t="s">
        <v>934</v>
      </c>
      <c r="O26" s="544">
        <v>10</v>
      </c>
      <c r="P26" s="544">
        <v>15</v>
      </c>
      <c r="Q26" s="544">
        <v>18</v>
      </c>
      <c r="R26" s="544">
        <v>20</v>
      </c>
      <c r="S26" s="544">
        <v>10</v>
      </c>
      <c r="T26" s="544">
        <v>15</v>
      </c>
      <c r="U26" s="544">
        <v>18</v>
      </c>
      <c r="V26" s="544">
        <v>10</v>
      </c>
      <c r="W26" s="544">
        <v>10</v>
      </c>
      <c r="X26" s="544">
        <v>10</v>
      </c>
      <c r="Y26" s="544" t="s">
        <v>934</v>
      </c>
    </row>
    <row r="27" spans="3:25" x14ac:dyDescent="0.25">
      <c r="C27" s="88" t="str">
        <f>'G-1 All Habitats'!B25</f>
        <v>Grassland - Upland hay meadows</v>
      </c>
      <c r="D27" s="544" t="s">
        <v>934</v>
      </c>
      <c r="E27" s="544" t="s">
        <v>934</v>
      </c>
      <c r="F27" s="544">
        <v>10</v>
      </c>
      <c r="G27" s="544">
        <v>12</v>
      </c>
      <c r="H27" s="544">
        <v>15</v>
      </c>
      <c r="I27" s="544">
        <v>18</v>
      </c>
      <c r="J27" s="544">
        <v>20</v>
      </c>
      <c r="K27" s="544" t="s">
        <v>934</v>
      </c>
      <c r="L27" s="544" t="s">
        <v>934</v>
      </c>
      <c r="M27" s="544" t="s">
        <v>934</v>
      </c>
      <c r="N27" s="544" t="s">
        <v>934</v>
      </c>
      <c r="O27" s="544">
        <v>10</v>
      </c>
      <c r="P27" s="544">
        <v>15</v>
      </c>
      <c r="Q27" s="544">
        <v>18</v>
      </c>
      <c r="R27" s="544">
        <v>20</v>
      </c>
      <c r="S27" s="544">
        <v>10</v>
      </c>
      <c r="T27" s="544">
        <v>15</v>
      </c>
      <c r="U27" s="544">
        <v>18</v>
      </c>
      <c r="V27" s="544">
        <v>10</v>
      </c>
      <c r="W27" s="544">
        <v>15</v>
      </c>
      <c r="X27" s="544">
        <v>10</v>
      </c>
      <c r="Y27" s="544" t="s">
        <v>934</v>
      </c>
    </row>
    <row r="28" spans="3:25" x14ac:dyDescent="0.25">
      <c r="C28" s="88" t="str">
        <f>'G-1 All Habitats'!B26</f>
        <v>Heathland and shrub - Blackthorn scrub</v>
      </c>
      <c r="D28" s="544" t="s">
        <v>934</v>
      </c>
      <c r="E28" s="544" t="s">
        <v>934</v>
      </c>
      <c r="F28" s="544">
        <v>1</v>
      </c>
      <c r="G28" s="544">
        <v>3</v>
      </c>
      <c r="H28" s="544">
        <v>5</v>
      </c>
      <c r="I28" s="544">
        <v>7</v>
      </c>
      <c r="J28" s="544">
        <v>10</v>
      </c>
      <c r="K28" s="544">
        <v>1</v>
      </c>
      <c r="L28" s="544">
        <v>5</v>
      </c>
      <c r="M28" s="544">
        <v>7</v>
      </c>
      <c r="N28" s="544">
        <v>10</v>
      </c>
      <c r="O28" s="544">
        <v>1</v>
      </c>
      <c r="P28" s="544">
        <v>5</v>
      </c>
      <c r="Q28" s="544">
        <v>7</v>
      </c>
      <c r="R28" s="544">
        <v>10</v>
      </c>
      <c r="S28" s="544">
        <v>3</v>
      </c>
      <c r="T28" s="544">
        <v>5</v>
      </c>
      <c r="U28" s="544">
        <v>3</v>
      </c>
      <c r="V28" s="544">
        <v>2</v>
      </c>
      <c r="W28" s="544">
        <v>3</v>
      </c>
      <c r="X28" s="544">
        <v>2</v>
      </c>
      <c r="Y28" s="544" t="s">
        <v>934</v>
      </c>
    </row>
    <row r="29" spans="3:25" x14ac:dyDescent="0.25">
      <c r="C29" s="88" t="str">
        <f>'G-1 All Habitats'!B27</f>
        <v>Heathland and shrub - Bramble scrub</v>
      </c>
      <c r="D29" s="544" t="s">
        <v>934</v>
      </c>
      <c r="E29" s="544" t="s">
        <v>934</v>
      </c>
      <c r="F29" s="544">
        <v>1</v>
      </c>
      <c r="G29" s="544" t="s">
        <v>934</v>
      </c>
      <c r="H29" s="544" t="s">
        <v>934</v>
      </c>
      <c r="I29" s="544" t="s">
        <v>934</v>
      </c>
      <c r="J29" s="544" t="s">
        <v>934</v>
      </c>
      <c r="K29" s="544" t="s">
        <v>934</v>
      </c>
      <c r="L29" s="544" t="s">
        <v>934</v>
      </c>
      <c r="M29" s="544" t="s">
        <v>934</v>
      </c>
      <c r="N29" s="544" t="s">
        <v>934</v>
      </c>
      <c r="O29" s="544" t="s">
        <v>934</v>
      </c>
      <c r="P29" s="544" t="s">
        <v>934</v>
      </c>
      <c r="Q29" s="544" t="s">
        <v>934</v>
      </c>
      <c r="R29" s="544" t="s">
        <v>934</v>
      </c>
      <c r="S29" s="544" t="s">
        <v>934</v>
      </c>
      <c r="T29" s="544" t="s">
        <v>934</v>
      </c>
      <c r="U29" s="544" t="s">
        <v>934</v>
      </c>
      <c r="V29" s="544" t="s">
        <v>934</v>
      </c>
      <c r="W29" s="544" t="s">
        <v>934</v>
      </c>
      <c r="X29" s="544" t="s">
        <v>934</v>
      </c>
      <c r="Y29" s="544" t="s">
        <v>934</v>
      </c>
    </row>
    <row r="30" spans="3:25" x14ac:dyDescent="0.25">
      <c r="C30" s="88" t="str">
        <f>'G-1 All Habitats'!B28</f>
        <v>Heathland and shrub - Gorse scrub</v>
      </c>
      <c r="D30" s="544" t="s">
        <v>934</v>
      </c>
      <c r="E30" s="544" t="s">
        <v>934</v>
      </c>
      <c r="F30" s="544">
        <v>1</v>
      </c>
      <c r="G30" s="544">
        <v>3</v>
      </c>
      <c r="H30" s="544">
        <v>5</v>
      </c>
      <c r="I30" s="544">
        <v>7</v>
      </c>
      <c r="J30" s="544">
        <v>10</v>
      </c>
      <c r="K30" s="544">
        <v>1</v>
      </c>
      <c r="L30" s="544">
        <v>5</v>
      </c>
      <c r="M30" s="544">
        <v>7</v>
      </c>
      <c r="N30" s="544">
        <v>10</v>
      </c>
      <c r="O30" s="544">
        <v>1</v>
      </c>
      <c r="P30" s="544">
        <v>5</v>
      </c>
      <c r="Q30" s="544">
        <v>7</v>
      </c>
      <c r="R30" s="544">
        <v>10</v>
      </c>
      <c r="S30" s="544">
        <v>3</v>
      </c>
      <c r="T30" s="544">
        <v>5</v>
      </c>
      <c r="U30" s="544">
        <v>7</v>
      </c>
      <c r="V30" s="544">
        <v>2</v>
      </c>
      <c r="W30" s="544">
        <v>3</v>
      </c>
      <c r="X30" s="544">
        <v>2</v>
      </c>
      <c r="Y30" s="544" t="s">
        <v>934</v>
      </c>
    </row>
    <row r="31" spans="3:25" x14ac:dyDescent="0.25">
      <c r="C31" s="88" t="str">
        <f>'G-1 All Habitats'!B29</f>
        <v>Heathland and shrub - Hawthorn scrub</v>
      </c>
      <c r="D31" s="544" t="s">
        <v>934</v>
      </c>
      <c r="E31" s="544" t="s">
        <v>934</v>
      </c>
      <c r="F31" s="544">
        <v>1</v>
      </c>
      <c r="G31" s="544">
        <v>3</v>
      </c>
      <c r="H31" s="544">
        <v>5</v>
      </c>
      <c r="I31" s="544">
        <v>7</v>
      </c>
      <c r="J31" s="544">
        <v>10</v>
      </c>
      <c r="K31" s="544">
        <v>1</v>
      </c>
      <c r="L31" s="544">
        <v>5</v>
      </c>
      <c r="M31" s="544">
        <v>7</v>
      </c>
      <c r="N31" s="544">
        <v>10</v>
      </c>
      <c r="O31" s="544">
        <v>1</v>
      </c>
      <c r="P31" s="544">
        <v>5</v>
      </c>
      <c r="Q31" s="544">
        <v>7</v>
      </c>
      <c r="R31" s="544">
        <v>10</v>
      </c>
      <c r="S31" s="544">
        <v>3</v>
      </c>
      <c r="T31" s="544">
        <v>5</v>
      </c>
      <c r="U31" s="544">
        <v>7</v>
      </c>
      <c r="V31" s="544">
        <v>2</v>
      </c>
      <c r="W31" s="544">
        <v>3</v>
      </c>
      <c r="X31" s="544">
        <v>2</v>
      </c>
      <c r="Y31" s="544" t="s">
        <v>934</v>
      </c>
    </row>
    <row r="32" spans="3:25" x14ac:dyDescent="0.25">
      <c r="C32" s="88" t="str">
        <f>'G-1 All Habitats'!B30</f>
        <v>Heathland and shrub - Hazel scrub</v>
      </c>
      <c r="D32" s="544" t="s">
        <v>934</v>
      </c>
      <c r="E32" s="544" t="s">
        <v>934</v>
      </c>
      <c r="F32" s="544">
        <v>5</v>
      </c>
      <c r="G32" s="544">
        <v>7</v>
      </c>
      <c r="H32" s="544">
        <v>10</v>
      </c>
      <c r="I32" s="544">
        <v>12</v>
      </c>
      <c r="J32" s="544">
        <v>15</v>
      </c>
      <c r="K32" s="544">
        <v>5</v>
      </c>
      <c r="L32" s="544">
        <v>7</v>
      </c>
      <c r="M32" s="544">
        <v>12</v>
      </c>
      <c r="N32" s="544">
        <v>15</v>
      </c>
      <c r="O32" s="544">
        <v>5</v>
      </c>
      <c r="P32" s="544">
        <v>7</v>
      </c>
      <c r="Q32" s="544">
        <v>12</v>
      </c>
      <c r="R32" s="544">
        <v>15</v>
      </c>
      <c r="S32" s="544">
        <v>5</v>
      </c>
      <c r="T32" s="544">
        <v>8</v>
      </c>
      <c r="U32" s="544">
        <v>12</v>
      </c>
      <c r="V32" s="544">
        <v>5</v>
      </c>
      <c r="W32" s="544">
        <v>7</v>
      </c>
      <c r="X32" s="544">
        <v>5</v>
      </c>
      <c r="Y32" s="544" t="s">
        <v>934</v>
      </c>
    </row>
    <row r="33" spans="3:25" x14ac:dyDescent="0.25">
      <c r="C33" s="88" t="str">
        <f>'G-1 All Habitats'!B31</f>
        <v>Heathland and shrub - Lowland Heathland</v>
      </c>
      <c r="D33" s="544" t="s">
        <v>934</v>
      </c>
      <c r="E33" s="544" t="s">
        <v>934</v>
      </c>
      <c r="F33" s="544">
        <v>10</v>
      </c>
      <c r="G33" s="544">
        <v>15</v>
      </c>
      <c r="H33" s="544">
        <v>20</v>
      </c>
      <c r="I33" s="544">
        <v>25</v>
      </c>
      <c r="J33" s="544" t="s">
        <v>935</v>
      </c>
      <c r="K33" s="544">
        <v>5</v>
      </c>
      <c r="L33" s="544">
        <v>10</v>
      </c>
      <c r="M33" s="544">
        <v>15</v>
      </c>
      <c r="N33" s="544">
        <v>25</v>
      </c>
      <c r="O33" s="544">
        <v>5</v>
      </c>
      <c r="P33" s="544">
        <v>10</v>
      </c>
      <c r="Q33" s="544">
        <v>15</v>
      </c>
      <c r="R33" s="544">
        <v>25</v>
      </c>
      <c r="S33" s="544">
        <v>5</v>
      </c>
      <c r="T33" s="544">
        <v>10</v>
      </c>
      <c r="U33" s="544">
        <v>20</v>
      </c>
      <c r="V33" s="544">
        <v>5</v>
      </c>
      <c r="W33" s="544">
        <v>15</v>
      </c>
      <c r="X33" s="544">
        <v>10</v>
      </c>
      <c r="Y33" s="544" t="s">
        <v>934</v>
      </c>
    </row>
    <row r="34" spans="3:25" x14ac:dyDescent="0.25">
      <c r="C34" s="88" t="str">
        <f>'G-1 All Habitats'!B32</f>
        <v>Heathland and shrub - Mixed scrub</v>
      </c>
      <c r="D34" s="544" t="s">
        <v>934</v>
      </c>
      <c r="E34" s="544" t="s">
        <v>934</v>
      </c>
      <c r="F34" s="544">
        <v>1</v>
      </c>
      <c r="G34" s="544">
        <v>3</v>
      </c>
      <c r="H34" s="544">
        <v>5</v>
      </c>
      <c r="I34" s="544">
        <v>7</v>
      </c>
      <c r="J34" s="544">
        <v>10</v>
      </c>
      <c r="K34" s="544">
        <v>1</v>
      </c>
      <c r="L34" s="544">
        <v>5</v>
      </c>
      <c r="M34" s="544">
        <v>7</v>
      </c>
      <c r="N34" s="544">
        <v>10</v>
      </c>
      <c r="O34" s="544">
        <v>1</v>
      </c>
      <c r="P34" s="544">
        <v>5</v>
      </c>
      <c r="Q34" s="544">
        <v>7</v>
      </c>
      <c r="R34" s="544">
        <v>10</v>
      </c>
      <c r="S34" s="544">
        <v>3</v>
      </c>
      <c r="T34" s="544">
        <v>5</v>
      </c>
      <c r="U34" s="544">
        <v>7</v>
      </c>
      <c r="V34" s="544">
        <v>2</v>
      </c>
      <c r="W34" s="544">
        <v>3</v>
      </c>
      <c r="X34" s="544">
        <v>2</v>
      </c>
      <c r="Y34" s="544" t="s">
        <v>934</v>
      </c>
    </row>
    <row r="35" spans="3:25" x14ac:dyDescent="0.25">
      <c r="C35" s="88" t="str">
        <f>'G-1 All Habitats'!B33</f>
        <v>Heathland and shrub - Mountain heaths and willow scrub</v>
      </c>
      <c r="D35" s="544" t="s">
        <v>934</v>
      </c>
      <c r="E35" s="544" t="s">
        <v>934</v>
      </c>
      <c r="F35" s="544">
        <v>15</v>
      </c>
      <c r="G35" s="544">
        <v>23</v>
      </c>
      <c r="H35" s="544">
        <v>25</v>
      </c>
      <c r="I35" s="544" t="s">
        <v>935</v>
      </c>
      <c r="J35" s="544" t="s">
        <v>935</v>
      </c>
      <c r="K35" s="544">
        <v>20</v>
      </c>
      <c r="L35" s="544" t="s">
        <v>935</v>
      </c>
      <c r="M35" s="544" t="s">
        <v>935</v>
      </c>
      <c r="N35" s="544" t="s">
        <v>935</v>
      </c>
      <c r="O35" s="544">
        <v>20</v>
      </c>
      <c r="P35" s="544" t="s">
        <v>935</v>
      </c>
      <c r="Q35" s="544" t="s">
        <v>935</v>
      </c>
      <c r="R35" s="544" t="s">
        <v>935</v>
      </c>
      <c r="S35" s="544">
        <v>20</v>
      </c>
      <c r="T35" s="544" t="s">
        <v>935</v>
      </c>
      <c r="U35" s="544" t="s">
        <v>935</v>
      </c>
      <c r="V35" s="544">
        <v>20</v>
      </c>
      <c r="W35" s="544" t="s">
        <v>935</v>
      </c>
      <c r="X35" s="544">
        <v>20</v>
      </c>
      <c r="Y35" s="544" t="s">
        <v>934</v>
      </c>
    </row>
    <row r="36" spans="3:25" x14ac:dyDescent="0.25">
      <c r="C36" s="88" t="str">
        <f>'G-1 All Habitats'!B34</f>
        <v>Heathland and shrub - Rhododendron scrub</v>
      </c>
      <c r="D36" s="544" t="s">
        <v>934</v>
      </c>
      <c r="E36" s="544" t="s">
        <v>934</v>
      </c>
      <c r="F36" s="544">
        <v>1</v>
      </c>
      <c r="G36" s="544" t="s">
        <v>934</v>
      </c>
      <c r="H36" s="544" t="s">
        <v>934</v>
      </c>
      <c r="I36" s="544" t="s">
        <v>934</v>
      </c>
      <c r="J36" s="544" t="s">
        <v>934</v>
      </c>
      <c r="K36" s="544" t="s">
        <v>934</v>
      </c>
      <c r="L36" s="544" t="s">
        <v>934</v>
      </c>
      <c r="M36" s="544" t="s">
        <v>934</v>
      </c>
      <c r="N36" s="544" t="s">
        <v>934</v>
      </c>
      <c r="O36" s="544" t="s">
        <v>934</v>
      </c>
      <c r="P36" s="544" t="s">
        <v>934</v>
      </c>
      <c r="Q36" s="544" t="s">
        <v>934</v>
      </c>
      <c r="R36" s="544" t="s">
        <v>934</v>
      </c>
      <c r="S36" s="544" t="s">
        <v>934</v>
      </c>
      <c r="T36" s="544" t="s">
        <v>934</v>
      </c>
      <c r="U36" s="544" t="s">
        <v>934</v>
      </c>
      <c r="V36" s="544" t="s">
        <v>934</v>
      </c>
      <c r="W36" s="544" t="s">
        <v>934</v>
      </c>
      <c r="X36" s="544" t="s">
        <v>934</v>
      </c>
      <c r="Y36" s="544" t="s">
        <v>934</v>
      </c>
    </row>
    <row r="37" spans="3:25" x14ac:dyDescent="0.25">
      <c r="C37" s="88" t="str">
        <f>'G-1 All Habitats'!B35</f>
        <v>Heathland and shrub - Sea buckthorn scrub (Annex 1)</v>
      </c>
      <c r="D37" s="544" t="s">
        <v>934</v>
      </c>
      <c r="E37" s="544" t="s">
        <v>934</v>
      </c>
      <c r="F37" s="544">
        <v>5</v>
      </c>
      <c r="G37" s="544">
        <v>7</v>
      </c>
      <c r="H37" s="544">
        <v>10</v>
      </c>
      <c r="I37" s="544">
        <v>12</v>
      </c>
      <c r="J37" s="544">
        <v>15</v>
      </c>
      <c r="K37" s="544">
        <v>5</v>
      </c>
      <c r="L37" s="544">
        <v>7</v>
      </c>
      <c r="M37" s="544">
        <v>10</v>
      </c>
      <c r="N37" s="544">
        <v>12</v>
      </c>
      <c r="O37" s="544">
        <v>5</v>
      </c>
      <c r="P37" s="544">
        <v>7</v>
      </c>
      <c r="Q37" s="544">
        <v>10</v>
      </c>
      <c r="R37" s="544">
        <v>12</v>
      </c>
      <c r="S37" s="544">
        <v>5</v>
      </c>
      <c r="T37" s="544">
        <v>7</v>
      </c>
      <c r="U37" s="544">
        <v>10</v>
      </c>
      <c r="V37" s="544">
        <v>5</v>
      </c>
      <c r="W37" s="544">
        <v>7</v>
      </c>
      <c r="X37" s="544">
        <v>5</v>
      </c>
      <c r="Y37" s="544" t="s">
        <v>934</v>
      </c>
    </row>
    <row r="38" spans="3:25" x14ac:dyDescent="0.25">
      <c r="C38" s="88" t="str">
        <f>'G-1 All Habitats'!B36</f>
        <v>Heathland and shrub - Sea buckthorn scrub (other)</v>
      </c>
      <c r="D38" s="544" t="s">
        <v>934</v>
      </c>
      <c r="E38" s="544" t="s">
        <v>934</v>
      </c>
      <c r="F38" s="544" t="s">
        <v>934</v>
      </c>
      <c r="G38" s="544" t="s">
        <v>934</v>
      </c>
      <c r="H38" s="544" t="s">
        <v>934</v>
      </c>
      <c r="I38" s="544" t="s">
        <v>934</v>
      </c>
      <c r="J38" s="544" t="s">
        <v>934</v>
      </c>
      <c r="K38" s="544" t="s">
        <v>934</v>
      </c>
      <c r="L38" s="544" t="s">
        <v>934</v>
      </c>
      <c r="M38" s="544" t="s">
        <v>934</v>
      </c>
      <c r="N38" s="544" t="s">
        <v>934</v>
      </c>
      <c r="O38" s="544" t="s">
        <v>934</v>
      </c>
      <c r="P38" s="544" t="s">
        <v>934</v>
      </c>
      <c r="Q38" s="544" t="s">
        <v>934</v>
      </c>
      <c r="R38" s="544" t="s">
        <v>934</v>
      </c>
      <c r="S38" s="544" t="s">
        <v>934</v>
      </c>
      <c r="T38" s="544" t="s">
        <v>934</v>
      </c>
      <c r="U38" s="544" t="s">
        <v>934</v>
      </c>
      <c r="V38" s="544" t="s">
        <v>934</v>
      </c>
      <c r="W38" s="544" t="s">
        <v>934</v>
      </c>
      <c r="X38" s="544" t="s">
        <v>934</v>
      </c>
      <c r="Y38" s="544" t="s">
        <v>934</v>
      </c>
    </row>
    <row r="39" spans="3:25" x14ac:dyDescent="0.25">
      <c r="C39" s="88" t="str">
        <f>'G-1 All Habitats'!B37</f>
        <v>Heathland and shrub - Upland Heathland</v>
      </c>
      <c r="D39" s="544" t="s">
        <v>934</v>
      </c>
      <c r="E39" s="544" t="s">
        <v>934</v>
      </c>
      <c r="F39" s="544">
        <v>10</v>
      </c>
      <c r="G39" s="544">
        <v>15</v>
      </c>
      <c r="H39" s="544">
        <v>20</v>
      </c>
      <c r="I39" s="544">
        <v>25</v>
      </c>
      <c r="J39" s="544">
        <v>30</v>
      </c>
      <c r="K39" s="544" t="s">
        <v>934</v>
      </c>
      <c r="L39" s="544" t="s">
        <v>934</v>
      </c>
      <c r="M39" s="544" t="s">
        <v>934</v>
      </c>
      <c r="N39" s="544" t="s">
        <v>934</v>
      </c>
      <c r="O39" s="544">
        <v>10</v>
      </c>
      <c r="P39" s="544">
        <v>20</v>
      </c>
      <c r="Q39" s="544">
        <v>30</v>
      </c>
      <c r="R39" s="544" t="s">
        <v>935</v>
      </c>
      <c r="S39" s="544">
        <v>10</v>
      </c>
      <c r="T39" s="544">
        <v>20</v>
      </c>
      <c r="U39" s="544">
        <v>30</v>
      </c>
      <c r="V39" s="544">
        <v>10</v>
      </c>
      <c r="W39" s="544">
        <v>20</v>
      </c>
      <c r="X39" s="544">
        <v>10</v>
      </c>
      <c r="Y39" s="544" t="s">
        <v>934</v>
      </c>
    </row>
    <row r="40" spans="3:25" x14ac:dyDescent="0.25">
      <c r="C40" s="88" t="str">
        <f>'G-1 All Habitats'!B38</f>
        <v>Lakes - Aquifer fed naturally fluctuating water bodies</v>
      </c>
      <c r="D40" s="544" t="s">
        <v>934</v>
      </c>
      <c r="E40" s="544" t="s">
        <v>934</v>
      </c>
      <c r="F40" s="544">
        <v>1</v>
      </c>
      <c r="G40" s="544">
        <v>10</v>
      </c>
      <c r="H40" s="544">
        <v>15</v>
      </c>
      <c r="I40" s="544">
        <v>20</v>
      </c>
      <c r="J40" s="544">
        <v>30</v>
      </c>
      <c r="K40" s="544" t="s">
        <v>934</v>
      </c>
      <c r="L40" s="544" t="s">
        <v>934</v>
      </c>
      <c r="M40" s="544" t="s">
        <v>934</v>
      </c>
      <c r="N40" s="544" t="s">
        <v>934</v>
      </c>
      <c r="O40" s="544">
        <v>5</v>
      </c>
      <c r="P40" s="544">
        <v>10</v>
      </c>
      <c r="Q40" s="544">
        <v>15</v>
      </c>
      <c r="R40" s="544">
        <v>30</v>
      </c>
      <c r="S40" s="544">
        <v>5</v>
      </c>
      <c r="T40" s="544">
        <v>15</v>
      </c>
      <c r="U40" s="544">
        <v>25</v>
      </c>
      <c r="V40" s="544">
        <v>5</v>
      </c>
      <c r="W40" s="544">
        <v>20</v>
      </c>
      <c r="X40" s="544">
        <v>5</v>
      </c>
      <c r="Y40" s="544" t="s">
        <v>934</v>
      </c>
    </row>
    <row r="41" spans="3:25" x14ac:dyDescent="0.25">
      <c r="C41" s="88" t="str">
        <f>'G-1 All Habitats'!B40</f>
        <v>Lakes - High alkalinity lakes</v>
      </c>
      <c r="D41" s="544" t="s">
        <v>934</v>
      </c>
      <c r="E41" s="544" t="s">
        <v>934</v>
      </c>
      <c r="F41" s="544">
        <v>2</v>
      </c>
      <c r="G41" s="544">
        <v>3</v>
      </c>
      <c r="H41" s="544">
        <v>5</v>
      </c>
      <c r="I41" s="544">
        <v>7</v>
      </c>
      <c r="J41" s="544">
        <v>10</v>
      </c>
      <c r="K41" s="544" t="s">
        <v>934</v>
      </c>
      <c r="L41" s="544" t="s">
        <v>934</v>
      </c>
      <c r="M41" s="544" t="s">
        <v>934</v>
      </c>
      <c r="N41" s="544" t="s">
        <v>934</v>
      </c>
      <c r="O41" s="544">
        <v>5</v>
      </c>
      <c r="P41" s="544">
        <v>10</v>
      </c>
      <c r="Q41" s="544">
        <v>15</v>
      </c>
      <c r="R41" s="544">
        <v>30</v>
      </c>
      <c r="S41" s="544">
        <v>5</v>
      </c>
      <c r="T41" s="544">
        <v>15</v>
      </c>
      <c r="U41" s="544">
        <v>25</v>
      </c>
      <c r="V41" s="544">
        <v>10</v>
      </c>
      <c r="W41" s="544">
        <v>20</v>
      </c>
      <c r="X41" s="544">
        <v>10</v>
      </c>
      <c r="Y41" s="544" t="s">
        <v>934</v>
      </c>
    </row>
    <row r="42" spans="3:25" x14ac:dyDescent="0.25">
      <c r="C42" s="88" t="str">
        <f>'G-1 All Habitats'!B41</f>
        <v>Lakes - Low alkalinity lakes</v>
      </c>
      <c r="D42" s="544" t="s">
        <v>934</v>
      </c>
      <c r="E42" s="544" t="s">
        <v>934</v>
      </c>
      <c r="F42" s="544">
        <v>5</v>
      </c>
      <c r="G42" s="544">
        <v>10</v>
      </c>
      <c r="H42" s="544">
        <v>15</v>
      </c>
      <c r="I42" s="544">
        <v>20</v>
      </c>
      <c r="J42" s="544">
        <v>30</v>
      </c>
      <c r="K42" s="544" t="s">
        <v>934</v>
      </c>
      <c r="L42" s="544" t="s">
        <v>934</v>
      </c>
      <c r="M42" s="544" t="s">
        <v>934</v>
      </c>
      <c r="N42" s="544" t="s">
        <v>934</v>
      </c>
      <c r="O42" s="544">
        <v>5</v>
      </c>
      <c r="P42" s="544">
        <v>10</v>
      </c>
      <c r="Q42" s="544">
        <v>15</v>
      </c>
      <c r="R42" s="544">
        <v>20</v>
      </c>
      <c r="S42" s="544">
        <v>5</v>
      </c>
      <c r="T42" s="544">
        <v>10</v>
      </c>
      <c r="U42" s="544">
        <v>15</v>
      </c>
      <c r="V42" s="544">
        <v>5</v>
      </c>
      <c r="W42" s="544">
        <v>10</v>
      </c>
      <c r="X42" s="544">
        <v>5</v>
      </c>
      <c r="Y42" s="544" t="s">
        <v>934</v>
      </c>
    </row>
    <row r="43" spans="3:25" x14ac:dyDescent="0.25">
      <c r="C43" s="88" t="str">
        <f>'G-1 All Habitats'!B42</f>
        <v>Lakes - Marl Lakes</v>
      </c>
      <c r="D43" s="544" t="s">
        <v>934</v>
      </c>
      <c r="E43" s="544" t="s">
        <v>934</v>
      </c>
      <c r="F43" s="544">
        <v>5</v>
      </c>
      <c r="G43" s="544">
        <v>7</v>
      </c>
      <c r="H43" s="544">
        <v>10</v>
      </c>
      <c r="I43" s="544">
        <v>15</v>
      </c>
      <c r="J43" s="544">
        <v>20</v>
      </c>
      <c r="K43" s="544" t="s">
        <v>934</v>
      </c>
      <c r="L43" s="544" t="s">
        <v>934</v>
      </c>
      <c r="M43" s="544" t="s">
        <v>934</v>
      </c>
      <c r="N43" s="544" t="s">
        <v>934</v>
      </c>
      <c r="O43" s="544">
        <v>5</v>
      </c>
      <c r="P43" s="544">
        <v>10</v>
      </c>
      <c r="Q43" s="544">
        <v>15</v>
      </c>
      <c r="R43" s="544">
        <v>30</v>
      </c>
      <c r="S43" s="544">
        <v>5</v>
      </c>
      <c r="T43" s="544">
        <v>15</v>
      </c>
      <c r="U43" s="544">
        <v>25</v>
      </c>
      <c r="V43" s="544">
        <v>10</v>
      </c>
      <c r="W43" s="544">
        <v>20</v>
      </c>
      <c r="X43" s="544">
        <v>10</v>
      </c>
      <c r="Y43" s="544" t="s">
        <v>934</v>
      </c>
    </row>
    <row r="44" spans="3:25" x14ac:dyDescent="0.25">
      <c r="C44" s="88" t="str">
        <f>'G-1 All Habitats'!B43</f>
        <v>Lakes - Moderate alkalinity lakes</v>
      </c>
      <c r="D44" s="544" t="s">
        <v>934</v>
      </c>
      <c r="E44" s="544" t="s">
        <v>934</v>
      </c>
      <c r="F44" s="544">
        <v>5</v>
      </c>
      <c r="G44" s="544">
        <v>7</v>
      </c>
      <c r="H44" s="544">
        <v>10</v>
      </c>
      <c r="I44" s="544">
        <v>15</v>
      </c>
      <c r="J44" s="544">
        <v>20</v>
      </c>
      <c r="K44" s="544" t="s">
        <v>934</v>
      </c>
      <c r="L44" s="544" t="s">
        <v>934</v>
      </c>
      <c r="M44" s="544" t="s">
        <v>934</v>
      </c>
      <c r="N44" s="544" t="s">
        <v>934</v>
      </c>
      <c r="O44" s="544">
        <v>5</v>
      </c>
      <c r="P44" s="544">
        <v>10</v>
      </c>
      <c r="Q44" s="544">
        <v>15</v>
      </c>
      <c r="R44" s="544">
        <v>30</v>
      </c>
      <c r="S44" s="544">
        <v>5</v>
      </c>
      <c r="T44" s="544">
        <v>15</v>
      </c>
      <c r="U44" s="544">
        <v>25</v>
      </c>
      <c r="V44" s="544">
        <v>10</v>
      </c>
      <c r="W44" s="544">
        <v>20</v>
      </c>
      <c r="X44" s="544">
        <v>10</v>
      </c>
      <c r="Y44" s="544" t="s">
        <v>934</v>
      </c>
    </row>
    <row r="45" spans="3:25" x14ac:dyDescent="0.25">
      <c r="C45" s="88" t="str">
        <f>'G-1 All Habitats'!B44</f>
        <v>Lakes - Peat Lakes</v>
      </c>
      <c r="D45" s="544" t="s">
        <v>934</v>
      </c>
      <c r="E45" s="544" t="s">
        <v>934</v>
      </c>
      <c r="F45" s="544">
        <v>5</v>
      </c>
      <c r="G45" s="544">
        <v>10</v>
      </c>
      <c r="H45" s="544">
        <v>15</v>
      </c>
      <c r="I45" s="544">
        <v>20</v>
      </c>
      <c r="J45" s="544">
        <v>30</v>
      </c>
      <c r="K45" s="544" t="s">
        <v>934</v>
      </c>
      <c r="L45" s="544" t="s">
        <v>934</v>
      </c>
      <c r="M45" s="544" t="s">
        <v>934</v>
      </c>
      <c r="N45" s="544" t="s">
        <v>934</v>
      </c>
      <c r="O45" s="544">
        <v>5</v>
      </c>
      <c r="P45" s="544">
        <v>10</v>
      </c>
      <c r="Q45" s="544">
        <v>15</v>
      </c>
      <c r="R45" s="544">
        <v>30</v>
      </c>
      <c r="S45" s="544">
        <v>5</v>
      </c>
      <c r="T45" s="544">
        <v>15</v>
      </c>
      <c r="U45" s="544">
        <v>25</v>
      </c>
      <c r="V45" s="544">
        <v>10</v>
      </c>
      <c r="W45" s="544">
        <v>20</v>
      </c>
      <c r="X45" s="544">
        <v>10</v>
      </c>
      <c r="Y45" s="544" t="s">
        <v>934</v>
      </c>
    </row>
    <row r="46" spans="3:25" x14ac:dyDescent="0.25">
      <c r="C46" s="88" t="str">
        <f>'G-1 All Habitats'!B45</f>
        <v>Lakes - Ponds (Priority Habitat)</v>
      </c>
      <c r="D46" s="544" t="s">
        <v>934</v>
      </c>
      <c r="E46" s="544" t="s">
        <v>934</v>
      </c>
      <c r="F46" s="544">
        <v>2</v>
      </c>
      <c r="G46" s="544">
        <v>3</v>
      </c>
      <c r="H46" s="544">
        <v>5</v>
      </c>
      <c r="I46" s="544">
        <v>7</v>
      </c>
      <c r="J46" s="544">
        <v>10</v>
      </c>
      <c r="K46" s="544" t="s">
        <v>934</v>
      </c>
      <c r="L46" s="544" t="s">
        <v>934</v>
      </c>
      <c r="M46" s="544" t="s">
        <v>934</v>
      </c>
      <c r="N46" s="544" t="s">
        <v>934</v>
      </c>
      <c r="O46" s="544">
        <v>2</v>
      </c>
      <c r="P46" s="544">
        <v>4</v>
      </c>
      <c r="Q46" s="544">
        <v>6</v>
      </c>
      <c r="R46" s="544">
        <v>8</v>
      </c>
      <c r="S46" s="544">
        <v>2</v>
      </c>
      <c r="T46" s="544">
        <v>4</v>
      </c>
      <c r="U46" s="544">
        <v>6</v>
      </c>
      <c r="V46" s="544">
        <v>2</v>
      </c>
      <c r="W46" s="544">
        <v>4</v>
      </c>
      <c r="X46" s="544">
        <v>2</v>
      </c>
      <c r="Y46" s="544" t="s">
        <v>934</v>
      </c>
    </row>
    <row r="47" spans="3:25" x14ac:dyDescent="0.25">
      <c r="C47" s="88" t="str">
        <f>'G-1 All Habitats'!B46</f>
        <v>Lakes - Ponds (Non- Priority Habitat)</v>
      </c>
      <c r="D47" s="544" t="s">
        <v>934</v>
      </c>
      <c r="E47" s="544" t="s">
        <v>934</v>
      </c>
      <c r="F47" s="544">
        <v>1</v>
      </c>
      <c r="G47" s="544">
        <v>2</v>
      </c>
      <c r="H47" s="544">
        <v>3</v>
      </c>
      <c r="I47" s="544">
        <v>4</v>
      </c>
      <c r="J47" s="544">
        <v>5</v>
      </c>
      <c r="K47" s="544" t="s">
        <v>934</v>
      </c>
      <c r="L47" s="544" t="s">
        <v>934</v>
      </c>
      <c r="M47" s="544" t="s">
        <v>934</v>
      </c>
      <c r="N47" s="544" t="s">
        <v>934</v>
      </c>
      <c r="O47" s="544">
        <v>2</v>
      </c>
      <c r="P47" s="544">
        <v>4</v>
      </c>
      <c r="Q47" s="544">
        <v>6</v>
      </c>
      <c r="R47" s="544">
        <v>8</v>
      </c>
      <c r="S47" s="544">
        <v>2</v>
      </c>
      <c r="T47" s="544">
        <v>4</v>
      </c>
      <c r="U47" s="544">
        <v>6</v>
      </c>
      <c r="V47" s="544">
        <v>2</v>
      </c>
      <c r="W47" s="544">
        <v>4</v>
      </c>
      <c r="X47" s="544">
        <v>2</v>
      </c>
      <c r="Y47" s="544" t="s">
        <v>934</v>
      </c>
    </row>
    <row r="48" spans="3:25" x14ac:dyDescent="0.25">
      <c r="C48" s="88" t="str">
        <f>'G-1 All Habitats'!B47</f>
        <v>Lakes - Reservoirs</v>
      </c>
      <c r="D48" s="544" t="s">
        <v>934</v>
      </c>
      <c r="E48" s="544" t="s">
        <v>934</v>
      </c>
      <c r="F48" s="544">
        <v>1</v>
      </c>
      <c r="G48" s="544">
        <v>3</v>
      </c>
      <c r="H48" s="544">
        <v>5</v>
      </c>
      <c r="I48" s="544">
        <v>7</v>
      </c>
      <c r="J48" s="544">
        <v>10</v>
      </c>
      <c r="K48" s="544" t="s">
        <v>934</v>
      </c>
      <c r="L48" s="544" t="s">
        <v>934</v>
      </c>
      <c r="M48" s="544" t="s">
        <v>934</v>
      </c>
      <c r="N48" s="544" t="s">
        <v>934</v>
      </c>
      <c r="O48" s="544">
        <v>5</v>
      </c>
      <c r="P48" s="544">
        <v>10</v>
      </c>
      <c r="Q48" s="544">
        <v>15</v>
      </c>
      <c r="R48" s="544">
        <v>30</v>
      </c>
      <c r="S48" s="544">
        <v>5</v>
      </c>
      <c r="T48" s="544">
        <v>15</v>
      </c>
      <c r="U48" s="544">
        <v>25</v>
      </c>
      <c r="V48" s="544">
        <v>10</v>
      </c>
      <c r="W48" s="544">
        <v>20</v>
      </c>
      <c r="X48" s="544">
        <v>10</v>
      </c>
      <c r="Y48" s="544" t="s">
        <v>934</v>
      </c>
    </row>
    <row r="49" spans="3:25" x14ac:dyDescent="0.25">
      <c r="C49" s="88" t="str">
        <f>'G-1 All Habitats'!B48</f>
        <v>Lakes - Temporary lakes, ponds and pools</v>
      </c>
      <c r="D49" s="544" t="s">
        <v>934</v>
      </c>
      <c r="E49" s="544" t="s">
        <v>934</v>
      </c>
      <c r="F49" s="544">
        <v>2</v>
      </c>
      <c r="G49" s="544">
        <v>3</v>
      </c>
      <c r="H49" s="544">
        <v>5</v>
      </c>
      <c r="I49" s="544">
        <v>7</v>
      </c>
      <c r="J49" s="544">
        <v>10</v>
      </c>
      <c r="K49" s="544" t="s">
        <v>934</v>
      </c>
      <c r="L49" s="544" t="s">
        <v>934</v>
      </c>
      <c r="M49" s="544" t="s">
        <v>934</v>
      </c>
      <c r="N49" s="544" t="s">
        <v>934</v>
      </c>
      <c r="O49" s="544">
        <v>2</v>
      </c>
      <c r="P49" s="544">
        <v>4</v>
      </c>
      <c r="Q49" s="544">
        <v>6</v>
      </c>
      <c r="R49" s="544">
        <v>8</v>
      </c>
      <c r="S49" s="544">
        <v>2</v>
      </c>
      <c r="T49" s="544">
        <v>4</v>
      </c>
      <c r="U49" s="544">
        <v>6</v>
      </c>
      <c r="V49" s="544">
        <v>2</v>
      </c>
      <c r="W49" s="544">
        <v>4</v>
      </c>
      <c r="X49" s="544">
        <v>2</v>
      </c>
      <c r="Y49" s="544" t="s">
        <v>934</v>
      </c>
    </row>
    <row r="50" spans="3:25" x14ac:dyDescent="0.25">
      <c r="C50" s="88" t="str">
        <f>'G-1 All Habitats'!B49</f>
        <v>Sparsely vegetated land - Calaminarian grasslands</v>
      </c>
      <c r="D50" s="544" t="s">
        <v>934</v>
      </c>
      <c r="E50" s="544" t="s">
        <v>934</v>
      </c>
      <c r="F50" s="544">
        <v>2</v>
      </c>
      <c r="G50" s="544">
        <v>3</v>
      </c>
      <c r="H50" s="544">
        <v>5</v>
      </c>
      <c r="I50" s="544">
        <v>7</v>
      </c>
      <c r="J50" s="544">
        <v>10</v>
      </c>
      <c r="K50" s="544" t="s">
        <v>934</v>
      </c>
      <c r="L50" s="544" t="s">
        <v>934</v>
      </c>
      <c r="M50" s="544" t="s">
        <v>934</v>
      </c>
      <c r="N50" s="544" t="s">
        <v>934</v>
      </c>
      <c r="O50" s="544">
        <v>1</v>
      </c>
      <c r="P50" s="544">
        <v>3</v>
      </c>
      <c r="Q50" s="544">
        <v>5</v>
      </c>
      <c r="R50" s="544">
        <v>8</v>
      </c>
      <c r="S50" s="544">
        <v>1</v>
      </c>
      <c r="T50" s="544">
        <v>4</v>
      </c>
      <c r="U50" s="544">
        <v>7</v>
      </c>
      <c r="V50" s="544">
        <v>2</v>
      </c>
      <c r="W50" s="544">
        <v>5</v>
      </c>
      <c r="X50" s="544">
        <v>3</v>
      </c>
      <c r="Y50" s="544" t="s">
        <v>934</v>
      </c>
    </row>
    <row r="51" spans="3:25" x14ac:dyDescent="0.25">
      <c r="C51" s="88" t="str">
        <f>'G-1 All Habitats'!B50</f>
        <v>Sparsely vegetated land - Coastal sand dunes</v>
      </c>
      <c r="D51" s="544" t="s">
        <v>934</v>
      </c>
      <c r="E51" s="544" t="s">
        <v>934</v>
      </c>
      <c r="F51" s="544">
        <v>5</v>
      </c>
      <c r="G51" s="544">
        <v>7</v>
      </c>
      <c r="H51" s="544">
        <v>10</v>
      </c>
      <c r="I51" s="544">
        <v>15</v>
      </c>
      <c r="J51" s="544">
        <v>20</v>
      </c>
      <c r="K51" s="544" t="s">
        <v>934</v>
      </c>
      <c r="L51" s="544" t="s">
        <v>934</v>
      </c>
      <c r="M51" s="544" t="s">
        <v>934</v>
      </c>
      <c r="N51" s="544" t="s">
        <v>934</v>
      </c>
      <c r="O51" s="544">
        <v>5</v>
      </c>
      <c r="P51" s="544">
        <v>8</v>
      </c>
      <c r="Q51" s="544">
        <v>15</v>
      </c>
      <c r="R51" s="544">
        <v>20</v>
      </c>
      <c r="S51" s="544">
        <v>5</v>
      </c>
      <c r="T51" s="544">
        <v>10</v>
      </c>
      <c r="U51" s="544">
        <v>18</v>
      </c>
      <c r="V51" s="544">
        <v>7</v>
      </c>
      <c r="W51" s="544">
        <v>12</v>
      </c>
      <c r="X51" s="544">
        <v>8</v>
      </c>
      <c r="Y51" s="544" t="s">
        <v>934</v>
      </c>
    </row>
    <row r="52" spans="3:25" x14ac:dyDescent="0.25">
      <c r="C52" s="88" t="str">
        <f>'G-1 All Habitats'!B51</f>
        <v>Sparsely vegetated land - Coastal vegetated shingle</v>
      </c>
      <c r="D52" s="544" t="s">
        <v>934</v>
      </c>
      <c r="E52" s="544" t="s">
        <v>934</v>
      </c>
      <c r="F52" s="544">
        <v>5</v>
      </c>
      <c r="G52" s="544">
        <v>7</v>
      </c>
      <c r="H52" s="544">
        <v>10</v>
      </c>
      <c r="I52" s="544">
        <v>15</v>
      </c>
      <c r="J52" s="544">
        <v>20</v>
      </c>
      <c r="K52" s="544" t="s">
        <v>934</v>
      </c>
      <c r="L52" s="544" t="s">
        <v>934</v>
      </c>
      <c r="M52" s="544" t="s">
        <v>934</v>
      </c>
      <c r="N52" s="544" t="s">
        <v>934</v>
      </c>
      <c r="O52" s="544">
        <v>5</v>
      </c>
      <c r="P52" s="544">
        <v>8</v>
      </c>
      <c r="Q52" s="544">
        <v>15</v>
      </c>
      <c r="R52" s="544">
        <v>20</v>
      </c>
      <c r="S52" s="544">
        <v>5</v>
      </c>
      <c r="T52" s="544">
        <v>10</v>
      </c>
      <c r="U52" s="544">
        <v>18</v>
      </c>
      <c r="V52" s="544">
        <v>7</v>
      </c>
      <c r="W52" s="544">
        <v>12</v>
      </c>
      <c r="X52" s="544">
        <v>8</v>
      </c>
      <c r="Y52" s="544" t="s">
        <v>934</v>
      </c>
    </row>
    <row r="53" spans="3:25" x14ac:dyDescent="0.25">
      <c r="C53" s="88" t="str">
        <f>'G-1 All Habitats'!B52</f>
        <v>Sparsely vegetated land - Ruderal/Ephemeral</v>
      </c>
      <c r="D53" s="544" t="s">
        <v>934</v>
      </c>
      <c r="E53" s="544" t="s">
        <v>934</v>
      </c>
      <c r="F53" s="544" t="s">
        <v>934</v>
      </c>
      <c r="G53" s="544" t="s">
        <v>934</v>
      </c>
      <c r="H53" s="544" t="s">
        <v>934</v>
      </c>
      <c r="I53" s="544" t="s">
        <v>934</v>
      </c>
      <c r="J53" s="544" t="s">
        <v>934</v>
      </c>
      <c r="K53" s="544" t="s">
        <v>934</v>
      </c>
      <c r="L53" s="544" t="s">
        <v>934</v>
      </c>
      <c r="M53" s="544" t="s">
        <v>934</v>
      </c>
      <c r="N53" s="544" t="s">
        <v>934</v>
      </c>
      <c r="O53" s="544">
        <v>1</v>
      </c>
      <c r="P53" s="544">
        <v>2</v>
      </c>
      <c r="Q53" s="544">
        <v>3</v>
      </c>
      <c r="R53" s="544">
        <v>5</v>
      </c>
      <c r="S53" s="544">
        <v>1</v>
      </c>
      <c r="T53" s="544">
        <v>2</v>
      </c>
      <c r="U53" s="544">
        <v>3</v>
      </c>
      <c r="V53" s="544">
        <v>1</v>
      </c>
      <c r="W53" s="544">
        <v>2</v>
      </c>
      <c r="X53" s="544">
        <v>1</v>
      </c>
      <c r="Y53" s="544" t="s">
        <v>934</v>
      </c>
    </row>
    <row r="54" spans="3:25" x14ac:dyDescent="0.25">
      <c r="C54" s="88" t="str">
        <f>'G-1 All Habitats'!B53</f>
        <v>Sparsely vegetated land - Inland rock outcrop and scree habitats</v>
      </c>
      <c r="D54" s="544" t="s">
        <v>934</v>
      </c>
      <c r="E54" s="544" t="s">
        <v>934</v>
      </c>
      <c r="F54" s="544">
        <v>10</v>
      </c>
      <c r="G54" s="544">
        <v>15</v>
      </c>
      <c r="H54" s="544">
        <v>20</v>
      </c>
      <c r="I54" s="544">
        <v>25</v>
      </c>
      <c r="J54" s="544" t="s">
        <v>935</v>
      </c>
      <c r="K54" s="544" t="s">
        <v>934</v>
      </c>
      <c r="L54" s="544" t="s">
        <v>934</v>
      </c>
      <c r="M54" s="544" t="s">
        <v>934</v>
      </c>
      <c r="N54" s="544" t="s">
        <v>934</v>
      </c>
      <c r="O54" s="544">
        <v>10</v>
      </c>
      <c r="P54" s="544">
        <v>15</v>
      </c>
      <c r="Q54" s="544">
        <v>25</v>
      </c>
      <c r="R54" s="544" t="s">
        <v>935</v>
      </c>
      <c r="S54" s="544">
        <v>20</v>
      </c>
      <c r="T54" s="544">
        <v>25</v>
      </c>
      <c r="U54" s="544">
        <v>27</v>
      </c>
      <c r="V54" s="544">
        <v>15</v>
      </c>
      <c r="W54" s="544">
        <v>20</v>
      </c>
      <c r="X54" s="544">
        <v>15</v>
      </c>
      <c r="Y54" s="544" t="s">
        <v>934</v>
      </c>
    </row>
    <row r="55" spans="3:25" x14ac:dyDescent="0.25">
      <c r="C55" s="88" t="str">
        <f>'G-1 All Habitats'!B54</f>
        <v>Sparsely vegetated land - Limestone pavement</v>
      </c>
      <c r="D55" s="544" t="s">
        <v>934</v>
      </c>
      <c r="E55" s="544" t="s">
        <v>934</v>
      </c>
      <c r="F55" s="544" t="s">
        <v>935</v>
      </c>
      <c r="G55" s="544" t="s">
        <v>935</v>
      </c>
      <c r="H55" s="544" t="s">
        <v>935</v>
      </c>
      <c r="I55" s="544" t="s">
        <v>935</v>
      </c>
      <c r="J55" s="544" t="s">
        <v>935</v>
      </c>
      <c r="K55" s="544" t="s">
        <v>934</v>
      </c>
      <c r="L55" s="544" t="s">
        <v>934</v>
      </c>
      <c r="M55" s="544" t="s">
        <v>934</v>
      </c>
      <c r="N55" s="544" t="s">
        <v>934</v>
      </c>
      <c r="O55" s="544">
        <v>5</v>
      </c>
      <c r="P55" s="544">
        <v>10</v>
      </c>
      <c r="Q55" s="544">
        <v>15</v>
      </c>
      <c r="R55" s="544">
        <v>20</v>
      </c>
      <c r="S55" s="544">
        <v>5</v>
      </c>
      <c r="T55" s="544">
        <v>10</v>
      </c>
      <c r="U55" s="544">
        <v>15</v>
      </c>
      <c r="V55" s="544">
        <v>5</v>
      </c>
      <c r="W55" s="544">
        <v>10</v>
      </c>
      <c r="X55" s="544">
        <v>5</v>
      </c>
      <c r="Y55" s="544" t="s">
        <v>934</v>
      </c>
    </row>
    <row r="56" spans="3:25" x14ac:dyDescent="0.25">
      <c r="C56" s="88" t="str">
        <f>'G-1 All Habitats'!B55</f>
        <v>Sparsely vegetated land - Maritime cliff and slopes</v>
      </c>
      <c r="D56" s="544" t="s">
        <v>934</v>
      </c>
      <c r="E56" s="544" t="s">
        <v>934</v>
      </c>
      <c r="F56" s="544">
        <v>10</v>
      </c>
      <c r="G56" s="544">
        <v>15</v>
      </c>
      <c r="H56" s="544">
        <v>20</v>
      </c>
      <c r="I56" s="544">
        <v>25</v>
      </c>
      <c r="J56" s="544" t="s">
        <v>935</v>
      </c>
      <c r="K56" s="544" t="s">
        <v>934</v>
      </c>
      <c r="L56" s="544" t="s">
        <v>934</v>
      </c>
      <c r="M56" s="544" t="s">
        <v>934</v>
      </c>
      <c r="N56" s="544" t="s">
        <v>934</v>
      </c>
      <c r="O56" s="544">
        <v>5</v>
      </c>
      <c r="P56" s="544">
        <v>8</v>
      </c>
      <c r="Q56" s="544">
        <v>15</v>
      </c>
      <c r="R56" s="544">
        <v>20</v>
      </c>
      <c r="S56" s="544">
        <v>5</v>
      </c>
      <c r="T56" s="544">
        <v>10</v>
      </c>
      <c r="U56" s="544">
        <v>18</v>
      </c>
      <c r="V56" s="544">
        <v>7</v>
      </c>
      <c r="W56" s="544">
        <v>12</v>
      </c>
      <c r="X56" s="544">
        <v>8</v>
      </c>
      <c r="Y56" s="544" t="s">
        <v>934</v>
      </c>
    </row>
    <row r="57" spans="3:25" x14ac:dyDescent="0.25">
      <c r="C57" s="88" t="str">
        <f>'G-1 All Habitats'!B56</f>
        <v>Sparsely vegetated land - Other inland rock and scree</v>
      </c>
      <c r="D57" s="544" t="s">
        <v>934</v>
      </c>
      <c r="E57" s="544" t="s">
        <v>934</v>
      </c>
      <c r="F57" s="544">
        <v>3</v>
      </c>
      <c r="G57" s="544">
        <v>5</v>
      </c>
      <c r="H57" s="544">
        <v>10</v>
      </c>
      <c r="I57" s="544">
        <v>15</v>
      </c>
      <c r="J57" s="544">
        <v>20</v>
      </c>
      <c r="K57" s="544" t="s">
        <v>934</v>
      </c>
      <c r="L57" s="544" t="s">
        <v>934</v>
      </c>
      <c r="M57" s="544" t="s">
        <v>934</v>
      </c>
      <c r="N57" s="544" t="s">
        <v>934</v>
      </c>
      <c r="O57" s="544">
        <v>5</v>
      </c>
      <c r="P57" s="544">
        <v>10</v>
      </c>
      <c r="Q57" s="544">
        <v>15</v>
      </c>
      <c r="R57" s="544">
        <v>20</v>
      </c>
      <c r="S57" s="544">
        <v>5</v>
      </c>
      <c r="T57" s="544">
        <v>10</v>
      </c>
      <c r="U57" s="544">
        <v>15</v>
      </c>
      <c r="V57" s="544">
        <v>5</v>
      </c>
      <c r="W57" s="544">
        <v>10</v>
      </c>
      <c r="X57" s="544">
        <v>5</v>
      </c>
      <c r="Y57" s="544" t="s">
        <v>934</v>
      </c>
    </row>
    <row r="58" spans="3:25" x14ac:dyDescent="0.25">
      <c r="C58" s="88" t="str">
        <f>'G-1 All Habitats'!B57</f>
        <v>Urban - Allotments</v>
      </c>
      <c r="D58" s="544" t="s">
        <v>934</v>
      </c>
      <c r="E58" s="544" t="s">
        <v>934</v>
      </c>
      <c r="F58" s="544">
        <v>1</v>
      </c>
      <c r="G58" s="544">
        <v>1</v>
      </c>
      <c r="H58" s="544">
        <v>1</v>
      </c>
      <c r="I58" s="544">
        <v>1</v>
      </c>
      <c r="J58" s="544">
        <v>1</v>
      </c>
      <c r="K58" s="544" t="s">
        <v>934</v>
      </c>
      <c r="L58" s="544" t="s">
        <v>934</v>
      </c>
      <c r="M58" s="544" t="s">
        <v>934</v>
      </c>
      <c r="N58" s="544" t="s">
        <v>934</v>
      </c>
      <c r="O58" s="544">
        <v>1</v>
      </c>
      <c r="P58" s="544">
        <v>1</v>
      </c>
      <c r="Q58" s="544">
        <v>1</v>
      </c>
      <c r="R58" s="544">
        <v>1</v>
      </c>
      <c r="S58" s="544">
        <v>1</v>
      </c>
      <c r="T58" s="544">
        <v>1</v>
      </c>
      <c r="U58" s="544">
        <v>1</v>
      </c>
      <c r="V58" s="544">
        <v>1</v>
      </c>
      <c r="W58" s="544">
        <v>1</v>
      </c>
      <c r="X58" s="544">
        <v>1</v>
      </c>
      <c r="Y58" s="544" t="s">
        <v>934</v>
      </c>
    </row>
    <row r="59" spans="3:25" x14ac:dyDescent="0.25">
      <c r="C59" s="88" t="str">
        <f>'G-1 All Habitats'!B39</f>
        <v>Lakes - Ornamental lake or pond</v>
      </c>
      <c r="D59" s="544" t="s">
        <v>934</v>
      </c>
      <c r="E59" s="544" t="s">
        <v>934</v>
      </c>
      <c r="F59" s="544">
        <v>1</v>
      </c>
      <c r="G59" s="544">
        <v>2</v>
      </c>
      <c r="H59" s="544">
        <v>3</v>
      </c>
      <c r="I59" s="544">
        <v>4</v>
      </c>
      <c r="J59" s="544">
        <v>5</v>
      </c>
      <c r="K59" s="544" t="s">
        <v>934</v>
      </c>
      <c r="L59" s="544" t="s">
        <v>934</v>
      </c>
      <c r="M59" s="544" t="s">
        <v>934</v>
      </c>
      <c r="N59" s="544" t="s">
        <v>934</v>
      </c>
      <c r="O59" s="544">
        <v>2</v>
      </c>
      <c r="P59" s="544">
        <v>4</v>
      </c>
      <c r="Q59" s="544">
        <v>6</v>
      </c>
      <c r="R59" s="544">
        <v>8</v>
      </c>
      <c r="S59" s="544">
        <v>2</v>
      </c>
      <c r="T59" s="544">
        <v>4</v>
      </c>
      <c r="U59" s="544">
        <v>6</v>
      </c>
      <c r="V59" s="544">
        <v>2</v>
      </c>
      <c r="W59" s="544">
        <v>4</v>
      </c>
      <c r="X59" s="544">
        <v>2</v>
      </c>
      <c r="Y59" s="544" t="s">
        <v>934</v>
      </c>
    </row>
    <row r="60" spans="3:25" x14ac:dyDescent="0.25">
      <c r="C60" s="88" t="str">
        <f>'G-1 All Habitats'!B58</f>
        <v>Urban - Artificial unvegetated, unsealed surface</v>
      </c>
      <c r="D60" s="544" t="s">
        <v>934</v>
      </c>
      <c r="E60" s="544" t="s">
        <v>934</v>
      </c>
      <c r="F60" s="544" t="s">
        <v>934</v>
      </c>
      <c r="G60" s="544" t="s">
        <v>934</v>
      </c>
      <c r="H60" s="544" t="s">
        <v>934</v>
      </c>
      <c r="I60" s="544" t="s">
        <v>934</v>
      </c>
      <c r="J60" s="544" t="s">
        <v>934</v>
      </c>
      <c r="K60" s="544" t="s">
        <v>934</v>
      </c>
      <c r="L60" s="544" t="s">
        <v>934</v>
      </c>
      <c r="M60" s="544" t="s">
        <v>934</v>
      </c>
      <c r="N60" s="544" t="s">
        <v>934</v>
      </c>
      <c r="O60" s="544" t="s">
        <v>934</v>
      </c>
      <c r="P60" s="544" t="s">
        <v>934</v>
      </c>
      <c r="Q60" s="544" t="s">
        <v>934</v>
      </c>
      <c r="R60" s="544" t="s">
        <v>934</v>
      </c>
      <c r="S60" s="544" t="s">
        <v>934</v>
      </c>
      <c r="T60" s="544" t="s">
        <v>934</v>
      </c>
      <c r="U60" s="544" t="s">
        <v>934</v>
      </c>
      <c r="V60" s="544" t="s">
        <v>934</v>
      </c>
      <c r="W60" s="544" t="s">
        <v>934</v>
      </c>
      <c r="X60" s="544" t="s">
        <v>934</v>
      </c>
      <c r="Y60" s="544" t="s">
        <v>934</v>
      </c>
    </row>
    <row r="61" spans="3:25" x14ac:dyDescent="0.25">
      <c r="C61" s="88" t="str">
        <f>'G-1 All Habitats'!B59</f>
        <v>Urban - Bioswale</v>
      </c>
      <c r="D61" s="544" t="s">
        <v>934</v>
      </c>
      <c r="E61" s="544" t="s">
        <v>934</v>
      </c>
      <c r="F61" s="544">
        <v>1</v>
      </c>
      <c r="G61" s="544">
        <v>1</v>
      </c>
      <c r="H61" s="544">
        <v>1</v>
      </c>
      <c r="I61" s="544">
        <v>2</v>
      </c>
      <c r="J61" s="544">
        <v>3</v>
      </c>
      <c r="K61" s="544" t="s">
        <v>934</v>
      </c>
      <c r="L61" s="544" t="s">
        <v>934</v>
      </c>
      <c r="M61" s="544" t="s">
        <v>934</v>
      </c>
      <c r="N61" s="544" t="s">
        <v>934</v>
      </c>
      <c r="O61" s="544">
        <v>1</v>
      </c>
      <c r="P61" s="544">
        <v>2</v>
      </c>
      <c r="Q61" s="544">
        <v>2</v>
      </c>
      <c r="R61" s="544">
        <v>3</v>
      </c>
      <c r="S61" s="544">
        <v>1</v>
      </c>
      <c r="T61" s="544">
        <v>3</v>
      </c>
      <c r="U61" s="544">
        <v>3</v>
      </c>
      <c r="V61" s="544">
        <v>2</v>
      </c>
      <c r="W61" s="544">
        <v>2</v>
      </c>
      <c r="X61" s="544">
        <v>2</v>
      </c>
      <c r="Y61" s="544" t="s">
        <v>934</v>
      </c>
    </row>
    <row r="62" spans="3:25" x14ac:dyDescent="0.25">
      <c r="C62" s="88" t="str">
        <f>'G-1 All Habitats'!B60</f>
        <v>Urban - Intensive green roof</v>
      </c>
      <c r="D62" s="544" t="s">
        <v>934</v>
      </c>
      <c r="E62" s="544" t="s">
        <v>934</v>
      </c>
      <c r="F62" s="544">
        <v>1</v>
      </c>
      <c r="G62" s="544">
        <v>2</v>
      </c>
      <c r="H62" s="544">
        <v>3</v>
      </c>
      <c r="I62" s="544">
        <v>4</v>
      </c>
      <c r="J62" s="544">
        <v>5</v>
      </c>
      <c r="K62" s="544" t="s">
        <v>934</v>
      </c>
      <c r="L62" s="544" t="s">
        <v>934</v>
      </c>
      <c r="M62" s="544" t="s">
        <v>934</v>
      </c>
      <c r="N62" s="544" t="s">
        <v>934</v>
      </c>
      <c r="O62" s="544">
        <v>1</v>
      </c>
      <c r="P62" s="544">
        <v>2</v>
      </c>
      <c r="Q62" s="544">
        <v>3</v>
      </c>
      <c r="R62" s="544">
        <v>5</v>
      </c>
      <c r="S62" s="544">
        <v>1</v>
      </c>
      <c r="T62" s="544">
        <v>2</v>
      </c>
      <c r="U62" s="544">
        <v>3</v>
      </c>
      <c r="V62" s="544">
        <v>1</v>
      </c>
      <c r="W62" s="544">
        <v>2</v>
      </c>
      <c r="X62" s="544">
        <v>1</v>
      </c>
      <c r="Y62" s="544" t="s">
        <v>934</v>
      </c>
    </row>
    <row r="63" spans="3:25" x14ac:dyDescent="0.25">
      <c r="C63" s="88" t="str">
        <f>'G-1 All Habitats'!B61</f>
        <v>Urban - Built linear features</v>
      </c>
      <c r="D63" s="544" t="s">
        <v>934</v>
      </c>
      <c r="E63" s="544" t="s">
        <v>934</v>
      </c>
      <c r="F63" s="544" t="s">
        <v>934</v>
      </c>
      <c r="G63" s="544" t="s">
        <v>934</v>
      </c>
      <c r="H63" s="544" t="s">
        <v>934</v>
      </c>
      <c r="I63" s="544" t="s">
        <v>934</v>
      </c>
      <c r="J63" s="544" t="s">
        <v>934</v>
      </c>
      <c r="K63" s="544" t="s">
        <v>934</v>
      </c>
      <c r="L63" s="544" t="s">
        <v>934</v>
      </c>
      <c r="M63" s="544" t="s">
        <v>934</v>
      </c>
      <c r="N63" s="544" t="s">
        <v>934</v>
      </c>
      <c r="O63" s="544" t="s">
        <v>934</v>
      </c>
      <c r="P63" s="544" t="s">
        <v>934</v>
      </c>
      <c r="Q63" s="544" t="s">
        <v>934</v>
      </c>
      <c r="R63" s="544" t="s">
        <v>934</v>
      </c>
      <c r="S63" s="544" t="s">
        <v>934</v>
      </c>
      <c r="T63" s="544" t="s">
        <v>934</v>
      </c>
      <c r="U63" s="544" t="s">
        <v>934</v>
      </c>
      <c r="V63" s="544" t="s">
        <v>934</v>
      </c>
      <c r="W63" s="544" t="s">
        <v>934</v>
      </c>
      <c r="X63" s="544" t="s">
        <v>934</v>
      </c>
      <c r="Y63" s="544" t="s">
        <v>934</v>
      </c>
    </row>
    <row r="64" spans="3:25" x14ac:dyDescent="0.25">
      <c r="C64" s="88" t="str">
        <f>'G-1 All Habitats'!B62</f>
        <v>Urban - Cemeteries and churchyards</v>
      </c>
      <c r="D64" s="544" t="s">
        <v>934</v>
      </c>
      <c r="E64" s="544" t="s">
        <v>934</v>
      </c>
      <c r="F64" s="544">
        <v>10</v>
      </c>
      <c r="G64" s="544">
        <v>12</v>
      </c>
      <c r="H64" s="544">
        <v>15</v>
      </c>
      <c r="I64" s="544">
        <v>17</v>
      </c>
      <c r="J64" s="544">
        <v>20</v>
      </c>
      <c r="K64" s="544" t="s">
        <v>934</v>
      </c>
      <c r="L64" s="544" t="s">
        <v>934</v>
      </c>
      <c r="M64" s="544" t="s">
        <v>934</v>
      </c>
      <c r="N64" s="544" t="s">
        <v>934</v>
      </c>
      <c r="O64" s="544">
        <v>5</v>
      </c>
      <c r="P64" s="544">
        <v>10</v>
      </c>
      <c r="Q64" s="544">
        <v>15</v>
      </c>
      <c r="R64" s="544">
        <v>20</v>
      </c>
      <c r="S64" s="544">
        <v>10</v>
      </c>
      <c r="T64" s="544">
        <v>15</v>
      </c>
      <c r="U64" s="544">
        <v>20</v>
      </c>
      <c r="V64" s="544">
        <v>10</v>
      </c>
      <c r="W64" s="544">
        <v>15</v>
      </c>
      <c r="X64" s="544">
        <v>5</v>
      </c>
      <c r="Y64" s="544" t="s">
        <v>934</v>
      </c>
    </row>
    <row r="65" spans="3:25" x14ac:dyDescent="0.25">
      <c r="C65" s="88" t="str">
        <f>'G-1 All Habitats'!B63</f>
        <v>Urban - Developed land; sealed surface</v>
      </c>
      <c r="D65" s="544" t="s">
        <v>934</v>
      </c>
      <c r="E65" s="544" t="s">
        <v>934</v>
      </c>
      <c r="F65" s="544" t="s">
        <v>934</v>
      </c>
      <c r="G65" s="544" t="s">
        <v>934</v>
      </c>
      <c r="H65" s="544" t="s">
        <v>934</v>
      </c>
      <c r="I65" s="544" t="s">
        <v>934</v>
      </c>
      <c r="J65" s="544" t="s">
        <v>934</v>
      </c>
      <c r="K65" s="544" t="s">
        <v>934</v>
      </c>
      <c r="L65" s="544" t="s">
        <v>934</v>
      </c>
      <c r="M65" s="544" t="s">
        <v>934</v>
      </c>
      <c r="N65" s="544" t="s">
        <v>934</v>
      </c>
      <c r="O65" s="544" t="s">
        <v>934</v>
      </c>
      <c r="P65" s="544" t="s">
        <v>934</v>
      </c>
      <c r="Q65" s="544" t="s">
        <v>934</v>
      </c>
      <c r="R65" s="544" t="s">
        <v>934</v>
      </c>
      <c r="S65" s="544" t="s">
        <v>934</v>
      </c>
      <c r="T65" s="544" t="s">
        <v>934</v>
      </c>
      <c r="U65" s="544" t="s">
        <v>934</v>
      </c>
      <c r="V65" s="544" t="s">
        <v>934</v>
      </c>
      <c r="W65" s="544" t="s">
        <v>934</v>
      </c>
      <c r="X65" s="544" t="s">
        <v>934</v>
      </c>
      <c r="Y65" s="544" t="s">
        <v>934</v>
      </c>
    </row>
    <row r="66" spans="3:25" x14ac:dyDescent="0.25">
      <c r="C66" s="88" t="str">
        <f>'G-1 All Habitats'!B64</f>
        <v>Urban - Other green roof</v>
      </c>
      <c r="D66" s="544" t="s">
        <v>934</v>
      </c>
      <c r="E66" s="544" t="s">
        <v>934</v>
      </c>
      <c r="F66" s="544" t="s">
        <v>934</v>
      </c>
      <c r="G66" s="544" t="s">
        <v>934</v>
      </c>
      <c r="H66" s="544" t="s">
        <v>934</v>
      </c>
      <c r="I66" s="544" t="s">
        <v>934</v>
      </c>
      <c r="J66" s="544" t="s">
        <v>934</v>
      </c>
      <c r="K66" s="544" t="s">
        <v>934</v>
      </c>
      <c r="L66" s="544" t="s">
        <v>934</v>
      </c>
      <c r="M66" s="544" t="s">
        <v>934</v>
      </c>
      <c r="N66" s="544" t="s">
        <v>934</v>
      </c>
      <c r="O66" s="544" t="s">
        <v>934</v>
      </c>
      <c r="P66" s="544" t="s">
        <v>934</v>
      </c>
      <c r="Q66" s="544" t="s">
        <v>934</v>
      </c>
      <c r="R66" s="544" t="s">
        <v>934</v>
      </c>
      <c r="S66" s="544" t="s">
        <v>934</v>
      </c>
      <c r="T66" s="544" t="s">
        <v>934</v>
      </c>
      <c r="U66" s="544" t="s">
        <v>934</v>
      </c>
      <c r="V66" s="544" t="s">
        <v>934</v>
      </c>
      <c r="W66" s="544" t="s">
        <v>934</v>
      </c>
      <c r="X66" s="544" t="s">
        <v>934</v>
      </c>
      <c r="Y66" s="544" t="s">
        <v>934</v>
      </c>
    </row>
    <row r="67" spans="3:25" x14ac:dyDescent="0.25">
      <c r="C67" s="88" t="str">
        <f>'G-1 All Habitats'!B65</f>
        <v>Urban - Facade-bound green wall</v>
      </c>
      <c r="D67" s="544" t="s">
        <v>934</v>
      </c>
      <c r="E67" s="544" t="s">
        <v>934</v>
      </c>
      <c r="F67" s="544">
        <v>1</v>
      </c>
      <c r="G67" s="544">
        <v>2</v>
      </c>
      <c r="H67" s="544">
        <v>3</v>
      </c>
      <c r="I67" s="544">
        <v>4</v>
      </c>
      <c r="J67" s="544">
        <v>5</v>
      </c>
      <c r="K67" s="544" t="s">
        <v>934</v>
      </c>
      <c r="L67" s="544" t="s">
        <v>934</v>
      </c>
      <c r="M67" s="544" t="s">
        <v>934</v>
      </c>
      <c r="N67" s="544" t="s">
        <v>934</v>
      </c>
      <c r="O67" s="544">
        <v>1</v>
      </c>
      <c r="P67" s="544">
        <v>2</v>
      </c>
      <c r="Q67" s="544">
        <v>3</v>
      </c>
      <c r="R67" s="544">
        <v>5</v>
      </c>
      <c r="S67" s="544">
        <v>1</v>
      </c>
      <c r="T67" s="544">
        <v>2</v>
      </c>
      <c r="U67" s="544">
        <v>3</v>
      </c>
      <c r="V67" s="544">
        <v>1</v>
      </c>
      <c r="W67" s="544">
        <v>2</v>
      </c>
      <c r="X67" s="544">
        <v>1</v>
      </c>
      <c r="Y67" s="544" t="s">
        <v>934</v>
      </c>
    </row>
    <row r="68" spans="3:25" x14ac:dyDescent="0.25">
      <c r="C68" s="88" t="str">
        <f>'G-1 All Habitats'!B66</f>
        <v>Urban - Ground based green wall</v>
      </c>
      <c r="D68" s="544" t="s">
        <v>934</v>
      </c>
      <c r="E68" s="544" t="s">
        <v>934</v>
      </c>
      <c r="F68" s="544">
        <v>1</v>
      </c>
      <c r="G68" s="544">
        <v>2</v>
      </c>
      <c r="H68" s="544">
        <v>3</v>
      </c>
      <c r="I68" s="544">
        <v>4</v>
      </c>
      <c r="J68" s="544">
        <v>5</v>
      </c>
      <c r="K68" s="544" t="s">
        <v>934</v>
      </c>
      <c r="L68" s="544" t="s">
        <v>934</v>
      </c>
      <c r="M68" s="544" t="s">
        <v>934</v>
      </c>
      <c r="N68" s="544" t="s">
        <v>934</v>
      </c>
      <c r="O68" s="544">
        <v>1</v>
      </c>
      <c r="P68" s="544">
        <v>2</v>
      </c>
      <c r="Q68" s="544">
        <v>3</v>
      </c>
      <c r="R68" s="544">
        <v>5</v>
      </c>
      <c r="S68" s="544">
        <v>1</v>
      </c>
      <c r="T68" s="544">
        <v>2</v>
      </c>
      <c r="U68" s="544">
        <v>3</v>
      </c>
      <c r="V68" s="544">
        <v>1</v>
      </c>
      <c r="W68" s="544">
        <v>2</v>
      </c>
      <c r="X68" s="544">
        <v>1</v>
      </c>
      <c r="Y68" s="544" t="s">
        <v>934</v>
      </c>
    </row>
    <row r="69" spans="3:25" x14ac:dyDescent="0.25">
      <c r="C69" s="88" t="str">
        <f>'G-1 All Habitats'!B67</f>
        <v>Urban - Ground level planters</v>
      </c>
      <c r="D69" s="544" t="s">
        <v>934</v>
      </c>
      <c r="E69" s="544" t="s">
        <v>934</v>
      </c>
      <c r="F69" s="544" t="s">
        <v>934</v>
      </c>
      <c r="G69" s="544" t="s">
        <v>934</v>
      </c>
      <c r="H69" s="544" t="s">
        <v>934</v>
      </c>
      <c r="I69" s="544" t="s">
        <v>934</v>
      </c>
      <c r="J69" s="544" t="s">
        <v>934</v>
      </c>
      <c r="K69" s="544" t="s">
        <v>934</v>
      </c>
      <c r="L69" s="544" t="s">
        <v>934</v>
      </c>
      <c r="M69" s="544" t="s">
        <v>934</v>
      </c>
      <c r="N69" s="544" t="s">
        <v>934</v>
      </c>
      <c r="O69" s="544" t="s">
        <v>934</v>
      </c>
      <c r="P69" s="544" t="s">
        <v>934</v>
      </c>
      <c r="Q69" s="544" t="s">
        <v>934</v>
      </c>
      <c r="R69" s="544" t="s">
        <v>934</v>
      </c>
      <c r="S69" s="544" t="s">
        <v>934</v>
      </c>
      <c r="T69" s="544" t="s">
        <v>934</v>
      </c>
      <c r="U69" s="544" t="s">
        <v>934</v>
      </c>
      <c r="V69" s="544" t="s">
        <v>934</v>
      </c>
      <c r="W69" s="544" t="s">
        <v>934</v>
      </c>
      <c r="X69" s="544" t="s">
        <v>934</v>
      </c>
      <c r="Y69" s="544" t="s">
        <v>934</v>
      </c>
    </row>
    <row r="70" spans="3:25" x14ac:dyDescent="0.25">
      <c r="C70" s="88" t="str">
        <f>'G-1 All Habitats'!B68</f>
        <v>Urban - Biodiverse green roof</v>
      </c>
      <c r="D70" s="544" t="s">
        <v>934</v>
      </c>
      <c r="E70" s="544" t="s">
        <v>934</v>
      </c>
      <c r="F70" s="544">
        <v>1</v>
      </c>
      <c r="G70" s="544">
        <v>3</v>
      </c>
      <c r="H70" s="544">
        <v>5</v>
      </c>
      <c r="I70" s="544">
        <v>8</v>
      </c>
      <c r="J70" s="544">
        <v>10</v>
      </c>
      <c r="K70" s="544" t="s">
        <v>934</v>
      </c>
      <c r="L70" s="544" t="s">
        <v>934</v>
      </c>
      <c r="M70" s="544" t="s">
        <v>934</v>
      </c>
      <c r="N70" s="544" t="s">
        <v>934</v>
      </c>
      <c r="O70" s="544">
        <v>3</v>
      </c>
      <c r="P70" s="544">
        <v>5</v>
      </c>
      <c r="Q70" s="544">
        <v>8</v>
      </c>
      <c r="R70" s="544">
        <v>10</v>
      </c>
      <c r="S70" s="544">
        <v>3</v>
      </c>
      <c r="T70" s="544">
        <v>8</v>
      </c>
      <c r="U70" s="544">
        <v>8</v>
      </c>
      <c r="V70" s="544">
        <v>3</v>
      </c>
      <c r="W70" s="544">
        <v>5</v>
      </c>
      <c r="X70" s="544">
        <v>2</v>
      </c>
      <c r="Y70" s="544" t="s">
        <v>934</v>
      </c>
    </row>
    <row r="71" spans="3:25" x14ac:dyDescent="0.25">
      <c r="C71" s="88" t="str">
        <f>'G-1 All Habitats'!B69</f>
        <v>Urban - Introduced shrub</v>
      </c>
      <c r="D71" s="544" t="s">
        <v>934</v>
      </c>
      <c r="E71" s="544" t="s">
        <v>934</v>
      </c>
      <c r="F71" s="544" t="s">
        <v>934</v>
      </c>
      <c r="G71" s="544" t="s">
        <v>934</v>
      </c>
      <c r="H71" s="544" t="s">
        <v>934</v>
      </c>
      <c r="I71" s="544" t="s">
        <v>934</v>
      </c>
      <c r="J71" s="544" t="s">
        <v>934</v>
      </c>
      <c r="K71" s="544" t="s">
        <v>934</v>
      </c>
      <c r="L71" s="544" t="s">
        <v>934</v>
      </c>
      <c r="M71" s="544" t="s">
        <v>934</v>
      </c>
      <c r="N71" s="544" t="s">
        <v>934</v>
      </c>
      <c r="O71" s="544" t="s">
        <v>934</v>
      </c>
      <c r="P71" s="544" t="s">
        <v>934</v>
      </c>
      <c r="Q71" s="544" t="s">
        <v>934</v>
      </c>
      <c r="R71" s="544" t="s">
        <v>934</v>
      </c>
      <c r="S71" s="544" t="s">
        <v>934</v>
      </c>
      <c r="T71" s="544" t="s">
        <v>934</v>
      </c>
      <c r="U71" s="544" t="s">
        <v>934</v>
      </c>
      <c r="V71" s="544" t="s">
        <v>934</v>
      </c>
      <c r="W71" s="544" t="s">
        <v>934</v>
      </c>
      <c r="X71" s="544" t="s">
        <v>934</v>
      </c>
      <c r="Y71" s="544" t="s">
        <v>934</v>
      </c>
    </row>
    <row r="72" spans="3:25" x14ac:dyDescent="0.25">
      <c r="C72" s="88" t="str">
        <f>'G-1 All Habitats'!B70</f>
        <v>Urban - Open Mosaic Habitats on Previously Developed Land</v>
      </c>
      <c r="D72" s="544" t="s">
        <v>934</v>
      </c>
      <c r="E72" s="544" t="s">
        <v>934</v>
      </c>
      <c r="F72" s="544">
        <v>0</v>
      </c>
      <c r="G72" s="544">
        <v>2</v>
      </c>
      <c r="H72" s="544">
        <v>4</v>
      </c>
      <c r="I72" s="544">
        <v>7</v>
      </c>
      <c r="J72" s="544">
        <v>10</v>
      </c>
      <c r="K72" s="544" t="s">
        <v>934</v>
      </c>
      <c r="L72" s="544" t="s">
        <v>934</v>
      </c>
      <c r="M72" s="544" t="s">
        <v>934</v>
      </c>
      <c r="N72" s="544" t="s">
        <v>934</v>
      </c>
      <c r="O72" s="544">
        <v>2</v>
      </c>
      <c r="P72" s="544">
        <v>4</v>
      </c>
      <c r="Q72" s="544">
        <v>7</v>
      </c>
      <c r="R72" s="544">
        <v>10</v>
      </c>
      <c r="S72" s="544">
        <v>2</v>
      </c>
      <c r="T72" s="544">
        <v>5</v>
      </c>
      <c r="U72" s="544">
        <v>8</v>
      </c>
      <c r="V72" s="544">
        <v>3</v>
      </c>
      <c r="W72" s="544">
        <v>4</v>
      </c>
      <c r="X72" s="544">
        <v>3</v>
      </c>
      <c r="Y72" s="544" t="s">
        <v>934</v>
      </c>
    </row>
    <row r="73" spans="3:25" x14ac:dyDescent="0.25">
      <c r="C73" s="88" t="str">
        <f>'G-1 All Habitats'!B71</f>
        <v>Urban - Rain garden</v>
      </c>
      <c r="D73" s="544" t="s">
        <v>934</v>
      </c>
      <c r="E73" s="544" t="s">
        <v>934</v>
      </c>
      <c r="F73" s="544">
        <v>1</v>
      </c>
      <c r="G73" s="544">
        <v>1</v>
      </c>
      <c r="H73" s="544">
        <v>1</v>
      </c>
      <c r="I73" s="544">
        <v>1</v>
      </c>
      <c r="J73" s="544">
        <v>1</v>
      </c>
      <c r="K73" s="544" t="s">
        <v>934</v>
      </c>
      <c r="L73" s="544" t="s">
        <v>934</v>
      </c>
      <c r="M73" s="544" t="s">
        <v>934</v>
      </c>
      <c r="N73" s="544" t="s">
        <v>934</v>
      </c>
      <c r="O73" s="544">
        <v>1</v>
      </c>
      <c r="P73" s="544">
        <v>1</v>
      </c>
      <c r="Q73" s="544">
        <v>1</v>
      </c>
      <c r="R73" s="544">
        <v>1</v>
      </c>
      <c r="S73" s="544">
        <v>1</v>
      </c>
      <c r="T73" s="544">
        <v>1</v>
      </c>
      <c r="U73" s="544">
        <v>1</v>
      </c>
      <c r="V73" s="544">
        <v>1</v>
      </c>
      <c r="W73" s="544">
        <v>1</v>
      </c>
      <c r="X73" s="544">
        <v>1</v>
      </c>
      <c r="Y73" s="544" t="s">
        <v>934</v>
      </c>
    </row>
    <row r="74" spans="3:25" x14ac:dyDescent="0.25">
      <c r="C74" s="88" t="str">
        <f>'G-1 All Habitats'!B72</f>
        <v>Urban - Actively worked sand pit quarry or open cast mine</v>
      </c>
      <c r="D74" s="544" t="s">
        <v>934</v>
      </c>
      <c r="E74" s="544" t="s">
        <v>934</v>
      </c>
      <c r="F74" s="544">
        <v>1</v>
      </c>
      <c r="G74" s="544" t="s">
        <v>934</v>
      </c>
      <c r="H74" s="544" t="s">
        <v>934</v>
      </c>
      <c r="I74" s="544" t="s">
        <v>934</v>
      </c>
      <c r="J74" s="544" t="s">
        <v>934</v>
      </c>
      <c r="K74" s="544" t="s">
        <v>934</v>
      </c>
      <c r="L74" s="544" t="s">
        <v>934</v>
      </c>
      <c r="M74" s="544" t="s">
        <v>934</v>
      </c>
      <c r="N74" s="544" t="s">
        <v>934</v>
      </c>
      <c r="O74" s="544" t="s">
        <v>934</v>
      </c>
      <c r="P74" s="544" t="s">
        <v>934</v>
      </c>
      <c r="Q74" s="544" t="s">
        <v>934</v>
      </c>
      <c r="R74" s="544" t="s">
        <v>934</v>
      </c>
      <c r="S74" s="544" t="s">
        <v>934</v>
      </c>
      <c r="T74" s="544" t="s">
        <v>934</v>
      </c>
      <c r="U74" s="544" t="s">
        <v>934</v>
      </c>
      <c r="V74" s="544" t="s">
        <v>934</v>
      </c>
      <c r="W74" s="544" t="s">
        <v>934</v>
      </c>
      <c r="X74" s="544" t="s">
        <v>934</v>
      </c>
      <c r="Y74" s="544" t="s">
        <v>934</v>
      </c>
    </row>
    <row r="75" spans="3:25" x14ac:dyDescent="0.25">
      <c r="C75" s="88" t="str">
        <f>'G-1 All Habitats'!B73</f>
        <v>Urban - Urban Tree</v>
      </c>
      <c r="D75" s="544" t="s">
        <v>934</v>
      </c>
      <c r="E75" s="544" t="s">
        <v>934</v>
      </c>
      <c r="F75" s="544" t="s">
        <v>934</v>
      </c>
      <c r="G75" s="544" t="s">
        <v>934</v>
      </c>
      <c r="H75" s="544" t="s">
        <v>934</v>
      </c>
      <c r="I75" s="544" t="s">
        <v>934</v>
      </c>
      <c r="J75" s="544" t="s">
        <v>934</v>
      </c>
      <c r="K75" s="544" t="s">
        <v>934</v>
      </c>
      <c r="L75" s="544" t="s">
        <v>934</v>
      </c>
      <c r="M75" s="544" t="s">
        <v>934</v>
      </c>
      <c r="N75" s="544" t="s">
        <v>934</v>
      </c>
      <c r="O75" s="544">
        <v>8</v>
      </c>
      <c r="P75" s="544">
        <v>16</v>
      </c>
      <c r="Q75" s="544">
        <v>24</v>
      </c>
      <c r="R75" s="544" t="s">
        <v>935</v>
      </c>
      <c r="S75" s="544">
        <v>8</v>
      </c>
      <c r="T75" s="544">
        <v>16</v>
      </c>
      <c r="U75" s="544">
        <v>24</v>
      </c>
      <c r="V75" s="544">
        <v>8</v>
      </c>
      <c r="W75" s="544">
        <v>16</v>
      </c>
      <c r="X75" s="544">
        <v>8</v>
      </c>
      <c r="Y75" s="544" t="s">
        <v>934</v>
      </c>
    </row>
    <row r="76" spans="3:25" x14ac:dyDescent="0.25">
      <c r="C76" s="88" t="str">
        <f>'G-1 All Habitats'!B74</f>
        <v>Urban - Sustainable urban drainage feature</v>
      </c>
      <c r="D76" s="544" t="s">
        <v>934</v>
      </c>
      <c r="E76" s="544" t="s">
        <v>934</v>
      </c>
      <c r="F76" s="544">
        <v>1</v>
      </c>
      <c r="G76" s="544">
        <v>2</v>
      </c>
      <c r="H76" s="544">
        <v>3</v>
      </c>
      <c r="I76" s="544">
        <v>4</v>
      </c>
      <c r="J76" s="544">
        <v>5</v>
      </c>
      <c r="K76" s="544" t="s">
        <v>934</v>
      </c>
      <c r="L76" s="544" t="s">
        <v>934</v>
      </c>
      <c r="M76" s="544" t="s">
        <v>934</v>
      </c>
      <c r="N76" s="544" t="s">
        <v>934</v>
      </c>
      <c r="O76" s="544">
        <v>1</v>
      </c>
      <c r="P76" s="544">
        <v>2</v>
      </c>
      <c r="Q76" s="544">
        <v>3</v>
      </c>
      <c r="R76" s="544">
        <v>5</v>
      </c>
      <c r="S76" s="544">
        <v>1</v>
      </c>
      <c r="T76" s="544">
        <v>2</v>
      </c>
      <c r="U76" s="544">
        <v>3</v>
      </c>
      <c r="V76" s="544">
        <v>1</v>
      </c>
      <c r="W76" s="544">
        <v>2</v>
      </c>
      <c r="X76" s="544">
        <v>1</v>
      </c>
      <c r="Y76" s="544" t="s">
        <v>934</v>
      </c>
    </row>
    <row r="77" spans="3:25" x14ac:dyDescent="0.25">
      <c r="C77" s="88" t="str">
        <f>'G-1 All Habitats'!B75</f>
        <v>Urban - Un-vegetated garden</v>
      </c>
      <c r="D77" s="544" t="s">
        <v>934</v>
      </c>
      <c r="E77" s="544" t="s">
        <v>934</v>
      </c>
      <c r="F77" s="544" t="s">
        <v>934</v>
      </c>
      <c r="G77" s="544" t="s">
        <v>934</v>
      </c>
      <c r="H77" s="544" t="s">
        <v>934</v>
      </c>
      <c r="I77" s="544" t="s">
        <v>934</v>
      </c>
      <c r="J77" s="544" t="s">
        <v>934</v>
      </c>
      <c r="K77" s="544" t="s">
        <v>934</v>
      </c>
      <c r="L77" s="544" t="s">
        <v>934</v>
      </c>
      <c r="M77" s="544" t="s">
        <v>934</v>
      </c>
      <c r="N77" s="544" t="s">
        <v>934</v>
      </c>
      <c r="O77" s="544" t="s">
        <v>934</v>
      </c>
      <c r="P77" s="544" t="s">
        <v>934</v>
      </c>
      <c r="Q77" s="544" t="s">
        <v>934</v>
      </c>
      <c r="R77" s="544" t="s">
        <v>934</v>
      </c>
      <c r="S77" s="544" t="s">
        <v>934</v>
      </c>
      <c r="T77" s="544" t="s">
        <v>934</v>
      </c>
      <c r="U77" s="544" t="s">
        <v>934</v>
      </c>
      <c r="V77" s="544" t="s">
        <v>934</v>
      </c>
      <c r="W77" s="544" t="s">
        <v>934</v>
      </c>
      <c r="X77" s="544" t="s">
        <v>934</v>
      </c>
      <c r="Y77" s="544" t="s">
        <v>934</v>
      </c>
    </row>
    <row r="78" spans="3:25" x14ac:dyDescent="0.25">
      <c r="C78" s="88" t="str">
        <f>'G-1 All Habitats'!B76</f>
        <v>Urban - Vacant/derelict land/ bareground</v>
      </c>
      <c r="D78" s="544" t="s">
        <v>934</v>
      </c>
      <c r="E78" s="544" t="s">
        <v>934</v>
      </c>
      <c r="F78" s="544">
        <v>1</v>
      </c>
      <c r="G78" s="544">
        <v>1</v>
      </c>
      <c r="H78" s="544">
        <v>1</v>
      </c>
      <c r="I78" s="544">
        <v>1</v>
      </c>
      <c r="J78" s="544">
        <v>1</v>
      </c>
      <c r="K78" s="544" t="s">
        <v>934</v>
      </c>
      <c r="L78" s="544" t="s">
        <v>934</v>
      </c>
      <c r="M78" s="544" t="s">
        <v>934</v>
      </c>
      <c r="N78" s="544" t="s">
        <v>934</v>
      </c>
      <c r="O78" s="544">
        <v>1</v>
      </c>
      <c r="P78" s="544">
        <v>1</v>
      </c>
      <c r="Q78" s="544">
        <v>1</v>
      </c>
      <c r="R78" s="544">
        <v>1</v>
      </c>
      <c r="S78" s="544">
        <v>1</v>
      </c>
      <c r="T78" s="544">
        <v>1</v>
      </c>
      <c r="U78" s="544">
        <v>1</v>
      </c>
      <c r="V78" s="544">
        <v>1</v>
      </c>
      <c r="W78" s="544">
        <v>1</v>
      </c>
      <c r="X78" s="544">
        <v>1</v>
      </c>
      <c r="Y78" s="544" t="s">
        <v>934</v>
      </c>
    </row>
    <row r="79" spans="3:25" x14ac:dyDescent="0.25">
      <c r="C79" s="88" t="str">
        <f>'G-1 All Habitats'!B77</f>
        <v>Urban - Vegetated garden</v>
      </c>
      <c r="D79" s="544" t="s">
        <v>934</v>
      </c>
      <c r="E79" s="544" t="s">
        <v>934</v>
      </c>
      <c r="F79" s="544">
        <v>1</v>
      </c>
      <c r="G79" s="544">
        <v>2</v>
      </c>
      <c r="H79" s="544">
        <v>3</v>
      </c>
      <c r="I79" s="544">
        <v>4</v>
      </c>
      <c r="J79" s="544">
        <v>5</v>
      </c>
      <c r="K79" s="544" t="s">
        <v>934</v>
      </c>
      <c r="L79" s="544" t="s">
        <v>934</v>
      </c>
      <c r="M79" s="544" t="s">
        <v>934</v>
      </c>
      <c r="N79" s="544" t="s">
        <v>934</v>
      </c>
      <c r="O79" s="544">
        <v>1</v>
      </c>
      <c r="P79" s="544">
        <v>2</v>
      </c>
      <c r="Q79" s="544">
        <v>3</v>
      </c>
      <c r="R79" s="544">
        <v>5</v>
      </c>
      <c r="S79" s="544">
        <v>1</v>
      </c>
      <c r="T79" s="544">
        <v>2</v>
      </c>
      <c r="U79" s="544">
        <v>3</v>
      </c>
      <c r="V79" s="544">
        <v>1</v>
      </c>
      <c r="W79" s="544">
        <v>2</v>
      </c>
      <c r="X79" s="544">
        <v>1</v>
      </c>
      <c r="Y79" s="544" t="s">
        <v>934</v>
      </c>
    </row>
    <row r="80" spans="3:25" x14ac:dyDescent="0.25">
      <c r="C80" s="88" t="str">
        <f>'G-1 All Habitats'!B78</f>
        <v>Wetland - Blanket bog</v>
      </c>
      <c r="D80" s="544" t="s">
        <v>934</v>
      </c>
      <c r="E80" s="544" t="s">
        <v>934</v>
      </c>
      <c r="F80" s="544">
        <v>15</v>
      </c>
      <c r="G80" s="544">
        <v>25</v>
      </c>
      <c r="H80" s="544">
        <v>30</v>
      </c>
      <c r="I80" s="544" t="s">
        <v>935</v>
      </c>
      <c r="J80" s="544" t="s">
        <v>935</v>
      </c>
      <c r="K80" s="544" t="s">
        <v>934</v>
      </c>
      <c r="L80" s="544" t="s">
        <v>934</v>
      </c>
      <c r="M80" s="544" t="s">
        <v>934</v>
      </c>
      <c r="N80" s="544" t="s">
        <v>934</v>
      </c>
      <c r="O80" s="544">
        <v>10</v>
      </c>
      <c r="P80" s="544">
        <v>20</v>
      </c>
      <c r="Q80" s="544" t="s">
        <v>935</v>
      </c>
      <c r="R80" s="544">
        <v>30</v>
      </c>
      <c r="S80" s="544">
        <v>10</v>
      </c>
      <c r="T80" s="544" t="s">
        <v>935</v>
      </c>
      <c r="U80" s="544" t="s">
        <v>935</v>
      </c>
      <c r="V80" s="544">
        <v>30</v>
      </c>
      <c r="W80" s="544" t="s">
        <v>935</v>
      </c>
      <c r="X80" s="544">
        <v>30</v>
      </c>
      <c r="Y80" s="544" t="s">
        <v>934</v>
      </c>
    </row>
    <row r="81" spans="3:25" x14ac:dyDescent="0.25">
      <c r="C81" s="88" t="str">
        <f>'G-1 All Habitats'!B79</f>
        <v>Wetland - Depressions on Peat substrates (H7150)</v>
      </c>
      <c r="D81" s="544" t="s">
        <v>934</v>
      </c>
      <c r="E81" s="544" t="s">
        <v>934</v>
      </c>
      <c r="F81" s="544">
        <v>15</v>
      </c>
      <c r="G81" s="544">
        <v>25</v>
      </c>
      <c r="H81" s="544">
        <v>30</v>
      </c>
      <c r="I81" s="544" t="s">
        <v>935</v>
      </c>
      <c r="J81" s="544" t="s">
        <v>935</v>
      </c>
      <c r="K81" s="544" t="s">
        <v>934</v>
      </c>
      <c r="L81" s="544" t="s">
        <v>934</v>
      </c>
      <c r="M81" s="544" t="s">
        <v>934</v>
      </c>
      <c r="N81" s="544" t="s">
        <v>934</v>
      </c>
      <c r="O81" s="544">
        <v>10</v>
      </c>
      <c r="P81" s="544">
        <v>20</v>
      </c>
      <c r="Q81" s="544">
        <v>25</v>
      </c>
      <c r="R81" s="544">
        <v>30</v>
      </c>
      <c r="S81" s="544">
        <v>10</v>
      </c>
      <c r="T81" s="544">
        <v>20</v>
      </c>
      <c r="U81" s="544">
        <v>25</v>
      </c>
      <c r="V81" s="544">
        <v>10</v>
      </c>
      <c r="W81" s="544">
        <v>20</v>
      </c>
      <c r="X81" s="544">
        <v>10</v>
      </c>
      <c r="Y81" s="544" t="s">
        <v>934</v>
      </c>
    </row>
    <row r="82" spans="3:25" x14ac:dyDescent="0.25">
      <c r="C82" s="88" t="str">
        <f>'G-1 All Habitats'!B80</f>
        <v>Wetland - Fens (upland and lowland)</v>
      </c>
      <c r="D82" s="544" t="s">
        <v>934</v>
      </c>
      <c r="E82" s="544" t="s">
        <v>934</v>
      </c>
      <c r="F82" s="544">
        <v>10</v>
      </c>
      <c r="G82" s="544">
        <v>12</v>
      </c>
      <c r="H82" s="544">
        <v>15</v>
      </c>
      <c r="I82" s="544">
        <v>25</v>
      </c>
      <c r="J82" s="544">
        <v>30</v>
      </c>
      <c r="K82" s="544" t="s">
        <v>934</v>
      </c>
      <c r="L82" s="544" t="s">
        <v>934</v>
      </c>
      <c r="M82" s="544" t="s">
        <v>934</v>
      </c>
      <c r="N82" s="544" t="s">
        <v>934</v>
      </c>
      <c r="O82" s="544">
        <v>10</v>
      </c>
      <c r="P82" s="544">
        <v>12</v>
      </c>
      <c r="Q82" s="544">
        <v>15</v>
      </c>
      <c r="R82" s="544">
        <v>18</v>
      </c>
      <c r="S82" s="544">
        <v>10</v>
      </c>
      <c r="T82" s="544">
        <v>12</v>
      </c>
      <c r="U82" s="544">
        <v>15</v>
      </c>
      <c r="V82" s="544">
        <v>10</v>
      </c>
      <c r="W82" s="544">
        <v>12</v>
      </c>
      <c r="X82" s="544">
        <v>10</v>
      </c>
      <c r="Y82" s="544" t="s">
        <v>934</v>
      </c>
    </row>
    <row r="83" spans="3:25" x14ac:dyDescent="0.25">
      <c r="C83" s="88" t="str">
        <f>'G-1 All Habitats'!B81</f>
        <v>Wetland - Lowland raised bog</v>
      </c>
      <c r="D83" s="544" t="s">
        <v>934</v>
      </c>
      <c r="E83" s="544" t="s">
        <v>934</v>
      </c>
      <c r="F83" s="544">
        <v>15</v>
      </c>
      <c r="G83" s="544">
        <v>20</v>
      </c>
      <c r="H83" s="544">
        <v>30</v>
      </c>
      <c r="I83" s="544" t="s">
        <v>935</v>
      </c>
      <c r="J83" s="544" t="s">
        <v>935</v>
      </c>
      <c r="K83" s="544" t="s">
        <v>934</v>
      </c>
      <c r="L83" s="544" t="s">
        <v>934</v>
      </c>
      <c r="M83" s="544" t="s">
        <v>934</v>
      </c>
      <c r="N83" s="544" t="s">
        <v>934</v>
      </c>
      <c r="O83" s="544">
        <v>10</v>
      </c>
      <c r="P83" s="544">
        <v>20</v>
      </c>
      <c r="Q83" s="544">
        <v>25</v>
      </c>
      <c r="R83" s="544">
        <v>30</v>
      </c>
      <c r="S83" s="544">
        <v>10</v>
      </c>
      <c r="T83" s="544">
        <v>20</v>
      </c>
      <c r="U83" s="544">
        <v>20</v>
      </c>
      <c r="V83" s="544">
        <v>10</v>
      </c>
      <c r="W83" s="544">
        <v>15</v>
      </c>
      <c r="X83" s="544">
        <v>10</v>
      </c>
      <c r="Y83" s="544" t="s">
        <v>934</v>
      </c>
    </row>
    <row r="84" spans="3:25" x14ac:dyDescent="0.25">
      <c r="C84" s="88" t="str">
        <f>'G-1 All Habitats'!B82</f>
        <v>Wetland - Oceanic Valley Mire[1] (D2.1)</v>
      </c>
      <c r="D84" s="544" t="s">
        <v>934</v>
      </c>
      <c r="E84" s="544" t="s">
        <v>934</v>
      </c>
      <c r="F84" s="544">
        <v>15</v>
      </c>
      <c r="G84" s="544">
        <v>20</v>
      </c>
      <c r="H84" s="544">
        <v>30</v>
      </c>
      <c r="I84" s="544" t="s">
        <v>935</v>
      </c>
      <c r="J84" s="544" t="s">
        <v>935</v>
      </c>
      <c r="K84" s="544" t="s">
        <v>934</v>
      </c>
      <c r="L84" s="544" t="s">
        <v>934</v>
      </c>
      <c r="M84" s="544" t="s">
        <v>934</v>
      </c>
      <c r="N84" s="544" t="s">
        <v>934</v>
      </c>
      <c r="O84" s="544">
        <v>10</v>
      </c>
      <c r="P84" s="544">
        <v>20</v>
      </c>
      <c r="Q84" s="544">
        <v>25</v>
      </c>
      <c r="R84" s="544">
        <v>30</v>
      </c>
      <c r="S84" s="544">
        <v>10</v>
      </c>
      <c r="T84" s="544">
        <v>20</v>
      </c>
      <c r="U84" s="544">
        <v>20</v>
      </c>
      <c r="V84" s="544">
        <v>10</v>
      </c>
      <c r="W84" s="544">
        <v>15</v>
      </c>
      <c r="X84" s="544">
        <v>10</v>
      </c>
      <c r="Y84" s="544" t="s">
        <v>934</v>
      </c>
    </row>
    <row r="85" spans="3:25" x14ac:dyDescent="0.25">
      <c r="C85" s="88" t="str">
        <f>'G-1 All Habitats'!B83</f>
        <v>Wetland - Purple moor grass and rush pastures</v>
      </c>
      <c r="D85" s="544" t="s">
        <v>934</v>
      </c>
      <c r="E85" s="544" t="s">
        <v>934</v>
      </c>
      <c r="F85" s="544">
        <v>10</v>
      </c>
      <c r="G85" s="544">
        <v>12</v>
      </c>
      <c r="H85" s="544">
        <v>15</v>
      </c>
      <c r="I85" s="544">
        <v>17</v>
      </c>
      <c r="J85" s="544">
        <v>20</v>
      </c>
      <c r="K85" s="544" t="s">
        <v>934</v>
      </c>
      <c r="L85" s="544" t="s">
        <v>934</v>
      </c>
      <c r="M85" s="544" t="s">
        <v>934</v>
      </c>
      <c r="N85" s="544" t="s">
        <v>934</v>
      </c>
      <c r="O85" s="544">
        <v>10</v>
      </c>
      <c r="P85" s="544">
        <v>10</v>
      </c>
      <c r="Q85" s="544">
        <v>15</v>
      </c>
      <c r="R85" s="544">
        <v>20</v>
      </c>
      <c r="S85" s="544">
        <v>10</v>
      </c>
      <c r="T85" s="544">
        <v>15</v>
      </c>
      <c r="U85" s="544">
        <v>20</v>
      </c>
      <c r="V85" s="544">
        <v>10</v>
      </c>
      <c r="W85" s="544">
        <v>15</v>
      </c>
      <c r="X85" s="544">
        <v>10</v>
      </c>
      <c r="Y85" s="544" t="s">
        <v>934</v>
      </c>
    </row>
    <row r="86" spans="3:25" x14ac:dyDescent="0.25">
      <c r="C86" s="88" t="str">
        <f>'G-1 All Habitats'!B84</f>
        <v>Wetland - Reedbeds</v>
      </c>
      <c r="D86" s="544" t="s">
        <v>934</v>
      </c>
      <c r="E86" s="544" t="s">
        <v>934</v>
      </c>
      <c r="F86" s="544">
        <v>5</v>
      </c>
      <c r="G86" s="544">
        <v>7</v>
      </c>
      <c r="H86" s="544">
        <v>10</v>
      </c>
      <c r="I86" s="544">
        <v>12</v>
      </c>
      <c r="J86" s="544">
        <v>15</v>
      </c>
      <c r="K86" s="544" t="s">
        <v>934</v>
      </c>
      <c r="L86" s="544" t="s">
        <v>934</v>
      </c>
      <c r="M86" s="544" t="s">
        <v>934</v>
      </c>
      <c r="N86" s="544" t="s">
        <v>934</v>
      </c>
      <c r="O86" s="544">
        <v>5</v>
      </c>
      <c r="P86" s="544">
        <v>7</v>
      </c>
      <c r="Q86" s="544">
        <v>10</v>
      </c>
      <c r="R86" s="544">
        <v>12</v>
      </c>
      <c r="S86" s="544">
        <v>5</v>
      </c>
      <c r="T86" s="544">
        <v>7</v>
      </c>
      <c r="U86" s="544">
        <v>10</v>
      </c>
      <c r="V86" s="544">
        <v>5</v>
      </c>
      <c r="W86" s="544">
        <v>7</v>
      </c>
      <c r="X86" s="544">
        <v>5</v>
      </c>
      <c r="Y86" s="544" t="s">
        <v>934</v>
      </c>
    </row>
    <row r="87" spans="3:25" x14ac:dyDescent="0.25">
      <c r="C87" s="88" t="str">
        <f>'G-1 All Habitats'!B85</f>
        <v>Wetland - Transition mires and quaking bogs (H7140)</v>
      </c>
      <c r="D87" s="544" t="s">
        <v>934</v>
      </c>
      <c r="E87" s="544" t="s">
        <v>934</v>
      </c>
      <c r="F87" s="544">
        <v>15</v>
      </c>
      <c r="G87" s="544">
        <v>25</v>
      </c>
      <c r="H87" s="544">
        <v>30</v>
      </c>
      <c r="I87" s="544" t="s">
        <v>935</v>
      </c>
      <c r="J87" s="544" t="s">
        <v>935</v>
      </c>
      <c r="K87" s="544" t="s">
        <v>934</v>
      </c>
      <c r="L87" s="544" t="s">
        <v>934</v>
      </c>
      <c r="M87" s="544" t="s">
        <v>934</v>
      </c>
      <c r="N87" s="544" t="s">
        <v>934</v>
      </c>
      <c r="O87" s="544">
        <v>10</v>
      </c>
      <c r="P87" s="544">
        <v>20</v>
      </c>
      <c r="Q87" s="544">
        <v>25</v>
      </c>
      <c r="R87" s="544">
        <v>30</v>
      </c>
      <c r="S87" s="544">
        <v>10</v>
      </c>
      <c r="T87" s="544">
        <v>20</v>
      </c>
      <c r="U87" s="544">
        <v>20</v>
      </c>
      <c r="V87" s="544">
        <v>10</v>
      </c>
      <c r="W87" s="544">
        <v>15</v>
      </c>
      <c r="X87" s="544">
        <v>10</v>
      </c>
      <c r="Y87" s="544" t="s">
        <v>934</v>
      </c>
    </row>
    <row r="88" spans="3:25" x14ac:dyDescent="0.25">
      <c r="C88" s="88" t="str">
        <f>'G-1 All Habitats'!B86</f>
        <v>Woodland and forest - Felled</v>
      </c>
      <c r="D88" s="544" t="s">
        <v>934</v>
      </c>
      <c r="E88" s="544" t="s">
        <v>934</v>
      </c>
      <c r="F88" s="544" t="s">
        <v>934</v>
      </c>
      <c r="G88" s="544" t="s">
        <v>934</v>
      </c>
      <c r="H88" s="544" t="s">
        <v>934</v>
      </c>
      <c r="I88" s="544" t="s">
        <v>934</v>
      </c>
      <c r="J88" s="544" t="s">
        <v>934</v>
      </c>
      <c r="K88" s="544" t="s">
        <v>934</v>
      </c>
      <c r="L88" s="544" t="s">
        <v>934</v>
      </c>
      <c r="M88" s="544" t="s">
        <v>934</v>
      </c>
      <c r="N88" s="544" t="s">
        <v>934</v>
      </c>
      <c r="O88" s="544" t="s">
        <v>934</v>
      </c>
      <c r="P88" s="544" t="s">
        <v>934</v>
      </c>
      <c r="Q88" s="544" t="s">
        <v>934</v>
      </c>
      <c r="R88" s="544" t="s">
        <v>934</v>
      </c>
      <c r="S88" s="544" t="s">
        <v>934</v>
      </c>
      <c r="T88" s="544" t="s">
        <v>934</v>
      </c>
      <c r="U88" s="544" t="s">
        <v>934</v>
      </c>
      <c r="V88" s="544" t="s">
        <v>934</v>
      </c>
      <c r="W88" s="544" t="s">
        <v>934</v>
      </c>
      <c r="X88" s="544" t="s">
        <v>934</v>
      </c>
      <c r="Y88" s="544" t="s">
        <v>934</v>
      </c>
    </row>
    <row r="89" spans="3:25" x14ac:dyDescent="0.25">
      <c r="C89" s="88" t="str">
        <f>'G-1 All Habitats'!B87</f>
        <v>Woodland and forest - Lowland beech and yew woodland</v>
      </c>
      <c r="D89" s="544" t="s">
        <v>934</v>
      </c>
      <c r="E89" s="544" t="s">
        <v>934</v>
      </c>
      <c r="F89" s="544">
        <v>10</v>
      </c>
      <c r="G89" s="544">
        <v>25</v>
      </c>
      <c r="H89" s="544" t="s">
        <v>935</v>
      </c>
      <c r="I89" s="544" t="s">
        <v>935</v>
      </c>
      <c r="J89" s="544" t="s">
        <v>935</v>
      </c>
      <c r="K89" s="544" t="s">
        <v>934</v>
      </c>
      <c r="L89" s="544" t="s">
        <v>934</v>
      </c>
      <c r="M89" s="544" t="s">
        <v>934</v>
      </c>
      <c r="N89" s="544" t="s">
        <v>934</v>
      </c>
      <c r="O89" s="544">
        <v>25</v>
      </c>
      <c r="P89" s="544" t="s">
        <v>935</v>
      </c>
      <c r="Q89" s="544" t="s">
        <v>935</v>
      </c>
      <c r="R89" s="544" t="s">
        <v>935</v>
      </c>
      <c r="S89" s="544" t="s">
        <v>935</v>
      </c>
      <c r="T89" s="544" t="s">
        <v>935</v>
      </c>
      <c r="U89" s="544" t="s">
        <v>935</v>
      </c>
      <c r="V89" s="544" t="s">
        <v>935</v>
      </c>
      <c r="W89" s="544" t="s">
        <v>935</v>
      </c>
      <c r="X89" s="544" t="s">
        <v>935</v>
      </c>
      <c r="Y89" s="544" t="s">
        <v>934</v>
      </c>
    </row>
    <row r="90" spans="3:25" x14ac:dyDescent="0.25">
      <c r="C90" s="88" t="str">
        <f>'G-1 All Habitats'!B88</f>
        <v>Woodland and forest - Lowland mixed deciduous woodland</v>
      </c>
      <c r="D90" s="544" t="s">
        <v>934</v>
      </c>
      <c r="E90" s="544" t="s">
        <v>934</v>
      </c>
      <c r="F90" s="544">
        <v>10</v>
      </c>
      <c r="G90" s="544">
        <v>25</v>
      </c>
      <c r="H90" s="544" t="s">
        <v>935</v>
      </c>
      <c r="I90" s="544" t="s">
        <v>935</v>
      </c>
      <c r="J90" s="544" t="s">
        <v>935</v>
      </c>
      <c r="K90" s="544" t="s">
        <v>934</v>
      </c>
      <c r="L90" s="544" t="s">
        <v>934</v>
      </c>
      <c r="M90" s="544" t="s">
        <v>934</v>
      </c>
      <c r="N90" s="544" t="s">
        <v>934</v>
      </c>
      <c r="O90" s="544">
        <v>10</v>
      </c>
      <c r="P90" s="544">
        <v>20</v>
      </c>
      <c r="Q90" s="544">
        <v>25</v>
      </c>
      <c r="R90" s="544" t="s">
        <v>935</v>
      </c>
      <c r="S90" s="544">
        <v>10</v>
      </c>
      <c r="T90" s="544">
        <v>20</v>
      </c>
      <c r="U90" s="544">
        <v>25</v>
      </c>
      <c r="V90" s="544">
        <v>10</v>
      </c>
      <c r="W90" s="544">
        <v>20</v>
      </c>
      <c r="X90" s="544">
        <v>10</v>
      </c>
      <c r="Y90" s="544" t="s">
        <v>934</v>
      </c>
    </row>
    <row r="91" spans="3:25" x14ac:dyDescent="0.25">
      <c r="C91" s="88" t="str">
        <f>'G-1 All Habitats'!B89</f>
        <v>Woodland and forest - Native pine woodlands</v>
      </c>
      <c r="D91" s="544" t="s">
        <v>934</v>
      </c>
      <c r="E91" s="544" t="s">
        <v>934</v>
      </c>
      <c r="F91" s="544">
        <v>25</v>
      </c>
      <c r="G91" s="544">
        <v>30</v>
      </c>
      <c r="H91" s="544" t="s">
        <v>935</v>
      </c>
      <c r="I91" s="544" t="s">
        <v>935</v>
      </c>
      <c r="J91" s="544" t="s">
        <v>935</v>
      </c>
      <c r="K91" s="544" t="s">
        <v>934</v>
      </c>
      <c r="L91" s="544" t="s">
        <v>934</v>
      </c>
      <c r="M91" s="544" t="s">
        <v>934</v>
      </c>
      <c r="N91" s="544" t="s">
        <v>934</v>
      </c>
      <c r="O91" s="544">
        <v>10</v>
      </c>
      <c r="P91" s="544">
        <v>15</v>
      </c>
      <c r="Q91" s="544">
        <v>20</v>
      </c>
      <c r="R91" s="544" t="s">
        <v>935</v>
      </c>
      <c r="S91" s="544">
        <v>15</v>
      </c>
      <c r="T91" s="544">
        <v>20</v>
      </c>
      <c r="U91" s="544">
        <v>25</v>
      </c>
      <c r="V91" s="544">
        <v>10</v>
      </c>
      <c r="W91" s="544">
        <v>15</v>
      </c>
      <c r="X91" s="544">
        <v>10</v>
      </c>
      <c r="Y91" s="544" t="s">
        <v>934</v>
      </c>
    </row>
    <row r="92" spans="3:25" x14ac:dyDescent="0.25">
      <c r="C92" s="88" t="str">
        <f>'G-1 All Habitats'!B90</f>
        <v>Woodland and forest - Other coniferous woodland</v>
      </c>
      <c r="D92" s="544" t="s">
        <v>934</v>
      </c>
      <c r="E92" s="544" t="s">
        <v>934</v>
      </c>
      <c r="F92" s="544" t="s">
        <v>934</v>
      </c>
      <c r="G92" s="544" t="s">
        <v>934</v>
      </c>
      <c r="H92" s="544" t="s">
        <v>934</v>
      </c>
      <c r="I92" s="544" t="s">
        <v>934</v>
      </c>
      <c r="J92" s="544" t="s">
        <v>934</v>
      </c>
      <c r="K92" s="544" t="s">
        <v>934</v>
      </c>
      <c r="L92" s="544" t="s">
        <v>934</v>
      </c>
      <c r="M92" s="544" t="s">
        <v>934</v>
      </c>
      <c r="N92" s="544" t="s">
        <v>934</v>
      </c>
      <c r="O92" s="544">
        <v>5</v>
      </c>
      <c r="P92" s="544">
        <v>25</v>
      </c>
      <c r="Q92" s="544" t="s">
        <v>935</v>
      </c>
      <c r="R92" s="544" t="s">
        <v>935</v>
      </c>
      <c r="S92" s="544">
        <v>20</v>
      </c>
      <c r="T92" s="544">
        <v>15</v>
      </c>
      <c r="U92" s="544">
        <v>25</v>
      </c>
      <c r="V92" s="544">
        <v>5</v>
      </c>
      <c r="W92" s="544">
        <v>7</v>
      </c>
      <c r="X92" s="544">
        <v>10</v>
      </c>
      <c r="Y92" s="544" t="s">
        <v>934</v>
      </c>
    </row>
    <row r="93" spans="3:25" x14ac:dyDescent="0.25">
      <c r="C93" s="88" t="str">
        <f>'G-1 All Habitats'!B91</f>
        <v>Woodland and forest - Other Scot's Pine woodland</v>
      </c>
      <c r="D93" s="544" t="s">
        <v>934</v>
      </c>
      <c r="E93" s="544" t="s">
        <v>934</v>
      </c>
      <c r="F93" s="544">
        <v>20</v>
      </c>
      <c r="G93" s="544">
        <v>25</v>
      </c>
      <c r="H93" s="544" t="s">
        <v>935</v>
      </c>
      <c r="I93" s="544" t="s">
        <v>935</v>
      </c>
      <c r="J93" s="544" t="s">
        <v>935</v>
      </c>
      <c r="K93" s="544" t="s">
        <v>934</v>
      </c>
      <c r="L93" s="544" t="s">
        <v>934</v>
      </c>
      <c r="M93" s="544" t="s">
        <v>934</v>
      </c>
      <c r="N93" s="544" t="s">
        <v>934</v>
      </c>
      <c r="O93" s="544">
        <v>10</v>
      </c>
      <c r="P93" s="544">
        <v>15</v>
      </c>
      <c r="Q93" s="544">
        <v>20</v>
      </c>
      <c r="R93" s="544" t="s">
        <v>935</v>
      </c>
      <c r="S93" s="544">
        <v>15</v>
      </c>
      <c r="T93" s="544">
        <v>20</v>
      </c>
      <c r="U93" s="544">
        <v>25</v>
      </c>
      <c r="V93" s="544">
        <v>10</v>
      </c>
      <c r="W93" s="544">
        <v>15</v>
      </c>
      <c r="X93" s="544">
        <v>10</v>
      </c>
      <c r="Y93" s="544" t="s">
        <v>934</v>
      </c>
    </row>
    <row r="94" spans="3:25" x14ac:dyDescent="0.25">
      <c r="C94" s="88" t="str">
        <f>'G-1 All Habitats'!B92</f>
        <v>Woodland and forest - Other woodland; broadleaved</v>
      </c>
      <c r="D94" s="544" t="s">
        <v>934</v>
      </c>
      <c r="E94" s="544" t="s">
        <v>934</v>
      </c>
      <c r="F94" s="544">
        <v>5</v>
      </c>
      <c r="G94" s="544">
        <v>10</v>
      </c>
      <c r="H94" s="544">
        <v>15</v>
      </c>
      <c r="I94" s="544">
        <v>20</v>
      </c>
      <c r="J94" s="544">
        <v>25</v>
      </c>
      <c r="K94" s="544" t="s">
        <v>934</v>
      </c>
      <c r="L94" s="544" t="s">
        <v>934</v>
      </c>
      <c r="M94" s="544" t="s">
        <v>934</v>
      </c>
      <c r="N94" s="544" t="s">
        <v>934</v>
      </c>
      <c r="O94" s="544">
        <v>5</v>
      </c>
      <c r="P94" s="544">
        <v>10</v>
      </c>
      <c r="Q94" s="544">
        <v>15</v>
      </c>
      <c r="R94" s="544">
        <v>20</v>
      </c>
      <c r="S94" s="544">
        <v>5</v>
      </c>
      <c r="T94" s="544">
        <v>10</v>
      </c>
      <c r="U94" s="544">
        <v>15</v>
      </c>
      <c r="V94" s="544">
        <v>5</v>
      </c>
      <c r="W94" s="544">
        <v>10</v>
      </c>
      <c r="X94" s="544">
        <v>5</v>
      </c>
      <c r="Y94" s="544" t="s">
        <v>934</v>
      </c>
    </row>
    <row r="95" spans="3:25" x14ac:dyDescent="0.25">
      <c r="C95" s="88" t="str">
        <f>'G-1 All Habitats'!B93</f>
        <v>Woodland and forest - Other woodland; mixed</v>
      </c>
      <c r="D95" s="544" t="s">
        <v>934</v>
      </c>
      <c r="E95" s="544" t="s">
        <v>934</v>
      </c>
      <c r="F95" s="544">
        <v>5</v>
      </c>
      <c r="G95" s="544">
        <v>10</v>
      </c>
      <c r="H95" s="544">
        <v>15</v>
      </c>
      <c r="I95" s="544">
        <v>20</v>
      </c>
      <c r="J95" s="544">
        <v>25</v>
      </c>
      <c r="K95" s="544" t="s">
        <v>934</v>
      </c>
      <c r="L95" s="544" t="s">
        <v>934</v>
      </c>
      <c r="M95" s="544" t="s">
        <v>934</v>
      </c>
      <c r="N95" s="544" t="s">
        <v>934</v>
      </c>
      <c r="O95" s="544">
        <v>5</v>
      </c>
      <c r="P95" s="544">
        <v>10</v>
      </c>
      <c r="Q95" s="544">
        <v>15</v>
      </c>
      <c r="R95" s="544">
        <v>20</v>
      </c>
      <c r="S95" s="544">
        <v>5</v>
      </c>
      <c r="T95" s="544">
        <v>10</v>
      </c>
      <c r="U95" s="544">
        <v>15</v>
      </c>
      <c r="V95" s="544">
        <v>5</v>
      </c>
      <c r="W95" s="544">
        <v>10</v>
      </c>
      <c r="X95" s="544">
        <v>5</v>
      </c>
      <c r="Y95" s="544" t="s">
        <v>934</v>
      </c>
    </row>
    <row r="96" spans="3:25" x14ac:dyDescent="0.25">
      <c r="C96" s="88" t="str">
        <f>'G-1 All Habitats'!B94</f>
        <v>Woodland and forest - Upland birchwoods</v>
      </c>
      <c r="D96" s="544" t="s">
        <v>934</v>
      </c>
      <c r="E96" s="544" t="s">
        <v>934</v>
      </c>
      <c r="F96" s="544">
        <v>10</v>
      </c>
      <c r="G96" s="544">
        <v>20</v>
      </c>
      <c r="H96" s="544">
        <v>25</v>
      </c>
      <c r="I96" s="544">
        <v>30</v>
      </c>
      <c r="J96" s="544" t="s">
        <v>935</v>
      </c>
      <c r="K96" s="544" t="s">
        <v>934</v>
      </c>
      <c r="L96" s="544" t="s">
        <v>934</v>
      </c>
      <c r="M96" s="544" t="s">
        <v>934</v>
      </c>
      <c r="N96" s="544" t="s">
        <v>934</v>
      </c>
      <c r="O96" s="544">
        <v>10</v>
      </c>
      <c r="P96" s="544">
        <v>15</v>
      </c>
      <c r="Q96" s="544">
        <v>20</v>
      </c>
      <c r="R96" s="544" t="s">
        <v>935</v>
      </c>
      <c r="S96" s="544">
        <v>15</v>
      </c>
      <c r="T96" s="544">
        <v>20</v>
      </c>
      <c r="U96" s="544">
        <v>25</v>
      </c>
      <c r="V96" s="544">
        <v>10</v>
      </c>
      <c r="W96" s="544">
        <v>15</v>
      </c>
      <c r="X96" s="544">
        <v>10</v>
      </c>
      <c r="Y96" s="544" t="s">
        <v>934</v>
      </c>
    </row>
    <row r="97" spans="3:25" x14ac:dyDescent="0.25">
      <c r="C97" s="88" t="str">
        <f>'G-1 All Habitats'!B95</f>
        <v>Woodland and forest - Upland mixed ashwoods</v>
      </c>
      <c r="D97" s="544" t="s">
        <v>934</v>
      </c>
      <c r="E97" s="544" t="s">
        <v>934</v>
      </c>
      <c r="F97" s="544">
        <v>10</v>
      </c>
      <c r="G97" s="544">
        <v>25</v>
      </c>
      <c r="H97" s="544" t="s">
        <v>935</v>
      </c>
      <c r="I97" s="544" t="s">
        <v>935</v>
      </c>
      <c r="J97" s="544" t="s">
        <v>935</v>
      </c>
      <c r="K97" s="544" t="s">
        <v>934</v>
      </c>
      <c r="L97" s="544" t="s">
        <v>934</v>
      </c>
      <c r="M97" s="544" t="s">
        <v>934</v>
      </c>
      <c r="N97" s="544" t="s">
        <v>934</v>
      </c>
      <c r="O97" s="544">
        <v>10</v>
      </c>
      <c r="P97" s="544">
        <v>15</v>
      </c>
      <c r="Q97" s="544">
        <v>20</v>
      </c>
      <c r="R97" s="544" t="s">
        <v>935</v>
      </c>
      <c r="S97" s="544">
        <v>15</v>
      </c>
      <c r="T97" s="544">
        <v>20</v>
      </c>
      <c r="U97" s="544">
        <v>25</v>
      </c>
      <c r="V97" s="544">
        <v>10</v>
      </c>
      <c r="W97" s="544">
        <v>15</v>
      </c>
      <c r="X97" s="544">
        <v>10</v>
      </c>
      <c r="Y97" s="544" t="s">
        <v>934</v>
      </c>
    </row>
    <row r="98" spans="3:25" x14ac:dyDescent="0.25">
      <c r="C98" s="88" t="str">
        <f>'G-1 All Habitats'!B96</f>
        <v>Woodland and forest - Upland oakwood</v>
      </c>
      <c r="D98" s="544" t="s">
        <v>934</v>
      </c>
      <c r="E98" s="544" t="s">
        <v>934</v>
      </c>
      <c r="F98" s="544">
        <v>10</v>
      </c>
      <c r="G98" s="544">
        <v>25</v>
      </c>
      <c r="H98" s="544" t="s">
        <v>935</v>
      </c>
      <c r="I98" s="544" t="s">
        <v>935</v>
      </c>
      <c r="J98" s="544" t="s">
        <v>935</v>
      </c>
      <c r="K98" s="544" t="s">
        <v>934</v>
      </c>
      <c r="L98" s="544" t="s">
        <v>934</v>
      </c>
      <c r="M98" s="544" t="s">
        <v>934</v>
      </c>
      <c r="N98" s="544" t="s">
        <v>934</v>
      </c>
      <c r="O98" s="544">
        <v>25</v>
      </c>
      <c r="P98" s="544" t="s">
        <v>935</v>
      </c>
      <c r="Q98" s="544" t="s">
        <v>935</v>
      </c>
      <c r="R98" s="544" t="s">
        <v>935</v>
      </c>
      <c r="S98" s="544" t="s">
        <v>935</v>
      </c>
      <c r="T98" s="544" t="s">
        <v>935</v>
      </c>
      <c r="U98" s="544" t="s">
        <v>935</v>
      </c>
      <c r="V98" s="544" t="s">
        <v>935</v>
      </c>
      <c r="W98" s="544" t="s">
        <v>935</v>
      </c>
      <c r="X98" s="544" t="s">
        <v>935</v>
      </c>
      <c r="Y98" s="544" t="s">
        <v>934</v>
      </c>
    </row>
    <row r="99" spans="3:25" x14ac:dyDescent="0.25">
      <c r="C99" s="88" t="str">
        <f>'G-1 All Habitats'!B97</f>
        <v>Woodland and forest - Wet woodland</v>
      </c>
      <c r="D99" s="544" t="s">
        <v>934</v>
      </c>
      <c r="E99" s="544" t="s">
        <v>934</v>
      </c>
      <c r="F99" s="544">
        <v>10</v>
      </c>
      <c r="G99" s="544">
        <v>20</v>
      </c>
      <c r="H99" s="544">
        <v>25</v>
      </c>
      <c r="I99" s="544">
        <v>30</v>
      </c>
      <c r="J99" s="544" t="s">
        <v>935</v>
      </c>
      <c r="K99" s="544" t="s">
        <v>934</v>
      </c>
      <c r="L99" s="544" t="s">
        <v>934</v>
      </c>
      <c r="M99" s="544" t="s">
        <v>934</v>
      </c>
      <c r="N99" s="544" t="s">
        <v>934</v>
      </c>
      <c r="O99" s="544">
        <v>10</v>
      </c>
      <c r="P99" s="544">
        <v>10</v>
      </c>
      <c r="Q99" s="544">
        <v>15</v>
      </c>
      <c r="R99" s="544" t="s">
        <v>935</v>
      </c>
      <c r="S99" s="544">
        <v>15</v>
      </c>
      <c r="T99" s="544">
        <v>20</v>
      </c>
      <c r="U99" s="544">
        <v>25</v>
      </c>
      <c r="V99" s="544">
        <v>10</v>
      </c>
      <c r="W99" s="544">
        <v>15</v>
      </c>
      <c r="X99" s="544">
        <v>10</v>
      </c>
      <c r="Y99" s="544" t="s">
        <v>934</v>
      </c>
    </row>
    <row r="100" spans="3:25" x14ac:dyDescent="0.25">
      <c r="C100" s="88" t="str">
        <f>'G-1 All Habitats'!B98</f>
        <v>Woodland and forest - Wood-pasture and parkland</v>
      </c>
      <c r="D100" s="544" t="s">
        <v>934</v>
      </c>
      <c r="E100" s="544" t="s">
        <v>934</v>
      </c>
      <c r="F100" s="544">
        <v>10</v>
      </c>
      <c r="G100" s="544">
        <v>25</v>
      </c>
      <c r="H100" s="544" t="s">
        <v>935</v>
      </c>
      <c r="I100" s="544" t="s">
        <v>935</v>
      </c>
      <c r="J100" s="544" t="s">
        <v>935</v>
      </c>
      <c r="K100" s="544" t="s">
        <v>934</v>
      </c>
      <c r="L100" s="544" t="s">
        <v>934</v>
      </c>
      <c r="M100" s="544" t="s">
        <v>934</v>
      </c>
      <c r="N100" s="544" t="s">
        <v>934</v>
      </c>
      <c r="O100" s="544">
        <v>25</v>
      </c>
      <c r="P100" s="544" t="s">
        <v>935</v>
      </c>
      <c r="Q100" s="544" t="s">
        <v>935</v>
      </c>
      <c r="R100" s="544" t="s">
        <v>935</v>
      </c>
      <c r="S100" s="544" t="s">
        <v>935</v>
      </c>
      <c r="T100" s="544" t="s">
        <v>935</v>
      </c>
      <c r="U100" s="544" t="s">
        <v>935</v>
      </c>
      <c r="V100" s="544" t="s">
        <v>935</v>
      </c>
      <c r="W100" s="544" t="s">
        <v>935</v>
      </c>
      <c r="X100" s="544" t="s">
        <v>935</v>
      </c>
      <c r="Y100" s="544" t="s">
        <v>934</v>
      </c>
    </row>
    <row r="101" spans="3:25" x14ac:dyDescent="0.25">
      <c r="C101" s="88" t="str">
        <f>'G-1 All Habitats'!B99</f>
        <v>Coastal lagoons - Coastal lagoons</v>
      </c>
      <c r="D101" s="544" t="s">
        <v>934</v>
      </c>
      <c r="E101" s="544" t="s">
        <v>934</v>
      </c>
      <c r="F101" s="544" t="s">
        <v>934</v>
      </c>
      <c r="G101" s="544" t="s">
        <v>934</v>
      </c>
      <c r="H101" s="544" t="s">
        <v>934</v>
      </c>
      <c r="I101" s="544" t="s">
        <v>934</v>
      </c>
      <c r="J101" s="544" t="s">
        <v>934</v>
      </c>
      <c r="K101" s="544" t="s">
        <v>934</v>
      </c>
      <c r="L101" s="544" t="s">
        <v>934</v>
      </c>
      <c r="M101" s="544" t="s">
        <v>934</v>
      </c>
      <c r="N101" s="544" t="s">
        <v>934</v>
      </c>
      <c r="O101" s="544">
        <v>1</v>
      </c>
      <c r="P101" s="544">
        <v>4</v>
      </c>
      <c r="Q101" s="544">
        <v>8</v>
      </c>
      <c r="R101" s="544">
        <v>12</v>
      </c>
      <c r="S101" s="544">
        <v>3</v>
      </c>
      <c r="T101" s="544">
        <v>7</v>
      </c>
      <c r="U101" s="544">
        <v>11</v>
      </c>
      <c r="V101" s="544">
        <v>4</v>
      </c>
      <c r="W101" s="544">
        <v>8</v>
      </c>
      <c r="X101" s="544">
        <v>4</v>
      </c>
      <c r="Y101" s="544" t="s">
        <v>934</v>
      </c>
    </row>
    <row r="102" spans="3:25" x14ac:dyDescent="0.25">
      <c r="C102" s="88" t="str">
        <f>'G-1 All Habitats'!B100</f>
        <v>Rocky shore - High energy littoral rock</v>
      </c>
      <c r="D102" s="544" t="s">
        <v>934</v>
      </c>
      <c r="E102" s="544" t="s">
        <v>934</v>
      </c>
      <c r="F102" s="544" t="s">
        <v>934</v>
      </c>
      <c r="G102" s="544" t="s">
        <v>934</v>
      </c>
      <c r="H102" s="544" t="s">
        <v>934</v>
      </c>
      <c r="I102" s="544" t="s">
        <v>934</v>
      </c>
      <c r="J102" s="544" t="s">
        <v>934</v>
      </c>
      <c r="K102" s="544" t="s">
        <v>934</v>
      </c>
      <c r="L102" s="544" t="s">
        <v>934</v>
      </c>
      <c r="M102" s="544" t="s">
        <v>934</v>
      </c>
      <c r="N102" s="544" t="s">
        <v>934</v>
      </c>
      <c r="O102" s="544">
        <v>2</v>
      </c>
      <c r="P102" s="544">
        <v>4</v>
      </c>
      <c r="Q102" s="544">
        <v>6</v>
      </c>
      <c r="R102" s="544">
        <v>10</v>
      </c>
      <c r="S102" s="544">
        <v>2</v>
      </c>
      <c r="T102" s="544">
        <v>4</v>
      </c>
      <c r="U102" s="544">
        <v>8</v>
      </c>
      <c r="V102" s="544">
        <v>2</v>
      </c>
      <c r="W102" s="544">
        <v>6</v>
      </c>
      <c r="X102" s="544">
        <v>4</v>
      </c>
      <c r="Y102" s="544" t="s">
        <v>934</v>
      </c>
    </row>
    <row r="103" spans="3:25" x14ac:dyDescent="0.25">
      <c r="C103" s="88" t="str">
        <f>'G-1 All Habitats'!B101</f>
        <v>Rocky shore - High energy littoral rock - on peat, clay or chalk</v>
      </c>
      <c r="D103" s="544" t="s">
        <v>934</v>
      </c>
      <c r="E103" s="544" t="s">
        <v>934</v>
      </c>
      <c r="F103" s="544" t="s">
        <v>934</v>
      </c>
      <c r="G103" s="544" t="s">
        <v>934</v>
      </c>
      <c r="H103" s="544" t="s">
        <v>934</v>
      </c>
      <c r="I103" s="544" t="s">
        <v>934</v>
      </c>
      <c r="J103" s="544" t="s">
        <v>934</v>
      </c>
      <c r="K103" s="544" t="s">
        <v>934</v>
      </c>
      <c r="L103" s="544" t="s">
        <v>934</v>
      </c>
      <c r="M103" s="544" t="s">
        <v>934</v>
      </c>
      <c r="N103" s="544" t="s">
        <v>934</v>
      </c>
      <c r="O103" s="544">
        <v>2</v>
      </c>
      <c r="P103" s="544">
        <v>4</v>
      </c>
      <c r="Q103" s="544">
        <v>6</v>
      </c>
      <c r="R103" s="544">
        <v>10</v>
      </c>
      <c r="S103" s="544">
        <v>2</v>
      </c>
      <c r="T103" s="544">
        <v>4</v>
      </c>
      <c r="U103" s="544">
        <v>8</v>
      </c>
      <c r="V103" s="544">
        <v>2</v>
      </c>
      <c r="W103" s="544">
        <v>6</v>
      </c>
      <c r="X103" s="544">
        <v>4</v>
      </c>
      <c r="Y103" s="544" t="s">
        <v>934</v>
      </c>
    </row>
    <row r="104" spans="3:25" x14ac:dyDescent="0.25">
      <c r="C104" s="88" t="str">
        <f>'G-1 All Habitats'!B102</f>
        <v>Rocky shore - Moderate energy littoral rock</v>
      </c>
      <c r="D104" s="544" t="s">
        <v>934</v>
      </c>
      <c r="E104" s="544" t="s">
        <v>934</v>
      </c>
      <c r="F104" s="544" t="s">
        <v>934</v>
      </c>
      <c r="G104" s="544" t="s">
        <v>934</v>
      </c>
      <c r="H104" s="544" t="s">
        <v>934</v>
      </c>
      <c r="I104" s="544" t="s">
        <v>934</v>
      </c>
      <c r="J104" s="544" t="s">
        <v>934</v>
      </c>
      <c r="K104" s="544" t="s">
        <v>934</v>
      </c>
      <c r="L104" s="544" t="s">
        <v>934</v>
      </c>
      <c r="M104" s="544" t="s">
        <v>934</v>
      </c>
      <c r="N104" s="544" t="s">
        <v>934</v>
      </c>
      <c r="O104" s="544">
        <v>2</v>
      </c>
      <c r="P104" s="544">
        <v>4</v>
      </c>
      <c r="Q104" s="544">
        <v>6</v>
      </c>
      <c r="R104" s="544">
        <v>11</v>
      </c>
      <c r="S104" s="544">
        <v>2</v>
      </c>
      <c r="T104" s="544">
        <v>4</v>
      </c>
      <c r="U104" s="544">
        <v>9</v>
      </c>
      <c r="V104" s="544">
        <v>2</v>
      </c>
      <c r="W104" s="544">
        <v>7</v>
      </c>
      <c r="X104" s="544">
        <v>5</v>
      </c>
      <c r="Y104" s="544" t="s">
        <v>934</v>
      </c>
    </row>
    <row r="105" spans="3:25" x14ac:dyDescent="0.25">
      <c r="C105" s="88" t="str">
        <f>'G-1 All Habitats'!B103</f>
        <v>Rocky shore - Moderate energy littoral rock - on peat, clay or chalk</v>
      </c>
      <c r="D105" s="544" t="s">
        <v>934</v>
      </c>
      <c r="E105" s="544" t="s">
        <v>934</v>
      </c>
      <c r="F105" s="544" t="s">
        <v>934</v>
      </c>
      <c r="G105" s="544" t="s">
        <v>934</v>
      </c>
      <c r="H105" s="544" t="s">
        <v>934</v>
      </c>
      <c r="I105" s="544" t="s">
        <v>934</v>
      </c>
      <c r="J105" s="544" t="s">
        <v>934</v>
      </c>
      <c r="K105" s="544" t="s">
        <v>934</v>
      </c>
      <c r="L105" s="544" t="s">
        <v>934</v>
      </c>
      <c r="M105" s="544" t="s">
        <v>934</v>
      </c>
      <c r="N105" s="544" t="s">
        <v>934</v>
      </c>
      <c r="O105" s="544">
        <v>2</v>
      </c>
      <c r="P105" s="544">
        <v>4</v>
      </c>
      <c r="Q105" s="544">
        <v>6</v>
      </c>
      <c r="R105" s="544">
        <v>11</v>
      </c>
      <c r="S105" s="544">
        <v>2</v>
      </c>
      <c r="T105" s="544">
        <v>4</v>
      </c>
      <c r="U105" s="544">
        <v>9</v>
      </c>
      <c r="V105" s="544">
        <v>2</v>
      </c>
      <c r="W105" s="544">
        <v>7</v>
      </c>
      <c r="X105" s="544">
        <v>5</v>
      </c>
      <c r="Y105" s="544" t="s">
        <v>934</v>
      </c>
    </row>
    <row r="106" spans="3:25" x14ac:dyDescent="0.25">
      <c r="C106" s="88" t="str">
        <f>'G-1 All Habitats'!B104</f>
        <v>Rocky shore - Low energy littoral rock</v>
      </c>
      <c r="D106" s="544" t="s">
        <v>934</v>
      </c>
      <c r="E106" s="544" t="s">
        <v>934</v>
      </c>
      <c r="F106" s="544" t="s">
        <v>934</v>
      </c>
      <c r="G106" s="544" t="s">
        <v>934</v>
      </c>
      <c r="H106" s="544" t="s">
        <v>934</v>
      </c>
      <c r="I106" s="544" t="s">
        <v>934</v>
      </c>
      <c r="J106" s="544" t="s">
        <v>934</v>
      </c>
      <c r="K106" s="544" t="s">
        <v>934</v>
      </c>
      <c r="L106" s="544" t="s">
        <v>934</v>
      </c>
      <c r="M106" s="544" t="s">
        <v>934</v>
      </c>
      <c r="N106" s="544" t="s">
        <v>934</v>
      </c>
      <c r="O106" s="544">
        <v>2</v>
      </c>
      <c r="P106" s="544">
        <v>4</v>
      </c>
      <c r="Q106" s="544">
        <v>6</v>
      </c>
      <c r="R106" s="544">
        <v>12</v>
      </c>
      <c r="S106" s="544">
        <v>2</v>
      </c>
      <c r="T106" s="544">
        <v>4</v>
      </c>
      <c r="U106" s="544">
        <v>10</v>
      </c>
      <c r="V106" s="544">
        <v>2</v>
      </c>
      <c r="W106" s="544">
        <v>8</v>
      </c>
      <c r="X106" s="544">
        <v>6</v>
      </c>
      <c r="Y106" s="544" t="s">
        <v>934</v>
      </c>
    </row>
    <row r="107" spans="3:25" x14ac:dyDescent="0.25">
      <c r="C107" s="88" t="str">
        <f>'G-1 All Habitats'!B105</f>
        <v>Rocky shore - Low energy littoral rock - on peat, clay or chalk</v>
      </c>
      <c r="D107" s="544" t="s">
        <v>934</v>
      </c>
      <c r="E107" s="544" t="s">
        <v>934</v>
      </c>
      <c r="F107" s="544" t="s">
        <v>934</v>
      </c>
      <c r="G107" s="544" t="s">
        <v>934</v>
      </c>
      <c r="H107" s="544" t="s">
        <v>934</v>
      </c>
      <c r="I107" s="544" t="s">
        <v>934</v>
      </c>
      <c r="J107" s="544" t="s">
        <v>934</v>
      </c>
      <c r="K107" s="544" t="s">
        <v>934</v>
      </c>
      <c r="L107" s="544" t="s">
        <v>934</v>
      </c>
      <c r="M107" s="544" t="s">
        <v>934</v>
      </c>
      <c r="N107" s="544" t="s">
        <v>934</v>
      </c>
      <c r="O107" s="544">
        <v>2</v>
      </c>
      <c r="P107" s="544">
        <v>4</v>
      </c>
      <c r="Q107" s="544">
        <v>6</v>
      </c>
      <c r="R107" s="544">
        <v>12</v>
      </c>
      <c r="S107" s="544">
        <v>2</v>
      </c>
      <c r="T107" s="544">
        <v>4</v>
      </c>
      <c r="U107" s="544">
        <v>10</v>
      </c>
      <c r="V107" s="544">
        <v>2</v>
      </c>
      <c r="W107" s="544">
        <v>8</v>
      </c>
      <c r="X107" s="544">
        <v>6</v>
      </c>
      <c r="Y107" s="544" t="s">
        <v>934</v>
      </c>
    </row>
    <row r="108" spans="3:25" x14ac:dyDescent="0.25">
      <c r="C108" s="88" t="str">
        <f>'G-1 All Habitats'!B106</f>
        <v>Rocky shore - Features of littoral rock</v>
      </c>
      <c r="D108" s="544" t="s">
        <v>934</v>
      </c>
      <c r="E108" s="544" t="s">
        <v>934</v>
      </c>
      <c r="F108" s="544" t="s">
        <v>934</v>
      </c>
      <c r="G108" s="544" t="s">
        <v>934</v>
      </c>
      <c r="H108" s="544" t="s">
        <v>934</v>
      </c>
      <c r="I108" s="544" t="s">
        <v>934</v>
      </c>
      <c r="J108" s="544" t="s">
        <v>934</v>
      </c>
      <c r="K108" s="544" t="s">
        <v>934</v>
      </c>
      <c r="L108" s="544" t="s">
        <v>934</v>
      </c>
      <c r="M108" s="544" t="s">
        <v>934</v>
      </c>
      <c r="N108" s="544" t="s">
        <v>934</v>
      </c>
      <c r="O108" s="544">
        <v>2</v>
      </c>
      <c r="P108" s="544">
        <v>4</v>
      </c>
      <c r="Q108" s="544">
        <v>6</v>
      </c>
      <c r="R108" s="544">
        <v>11</v>
      </c>
      <c r="S108" s="544">
        <v>2</v>
      </c>
      <c r="T108" s="544">
        <v>4</v>
      </c>
      <c r="U108" s="544">
        <v>9</v>
      </c>
      <c r="V108" s="544">
        <v>2</v>
      </c>
      <c r="W108" s="544">
        <v>7</v>
      </c>
      <c r="X108" s="544">
        <v>5</v>
      </c>
      <c r="Y108" s="544" t="s">
        <v>934</v>
      </c>
    </row>
    <row r="109" spans="3:25" x14ac:dyDescent="0.25">
      <c r="C109" s="88" t="str">
        <f>'G-1 All Habitats'!B107</f>
        <v>Rocky shore - Features of littoral rock - on peat, clay or chalk</v>
      </c>
      <c r="D109" s="544" t="s">
        <v>934</v>
      </c>
      <c r="E109" s="544" t="s">
        <v>934</v>
      </c>
      <c r="F109" s="544" t="s">
        <v>934</v>
      </c>
      <c r="G109" s="544" t="s">
        <v>934</v>
      </c>
      <c r="H109" s="544" t="s">
        <v>934</v>
      </c>
      <c r="I109" s="544" t="s">
        <v>934</v>
      </c>
      <c r="J109" s="544" t="s">
        <v>934</v>
      </c>
      <c r="K109" s="544" t="s">
        <v>934</v>
      </c>
      <c r="L109" s="544" t="s">
        <v>934</v>
      </c>
      <c r="M109" s="544" t="s">
        <v>934</v>
      </c>
      <c r="N109" s="544" t="s">
        <v>934</v>
      </c>
      <c r="O109" s="544">
        <v>2</v>
      </c>
      <c r="P109" s="544">
        <v>4</v>
      </c>
      <c r="Q109" s="544">
        <v>6</v>
      </c>
      <c r="R109" s="544">
        <v>11</v>
      </c>
      <c r="S109" s="544">
        <v>2</v>
      </c>
      <c r="T109" s="544">
        <v>4</v>
      </c>
      <c r="U109" s="544">
        <v>9</v>
      </c>
      <c r="V109" s="544">
        <v>2</v>
      </c>
      <c r="W109" s="544">
        <v>7</v>
      </c>
      <c r="X109" s="544">
        <v>5</v>
      </c>
      <c r="Y109" s="544" t="s">
        <v>934</v>
      </c>
    </row>
    <row r="110" spans="3:25" x14ac:dyDescent="0.25">
      <c r="C110" s="88" t="str">
        <f>'G-1 All Habitats'!B110</f>
        <v>Intertidal sediment - Littoral coarse sediment</v>
      </c>
      <c r="D110" s="544" t="s">
        <v>934</v>
      </c>
      <c r="E110" s="544" t="s">
        <v>934</v>
      </c>
      <c r="F110" s="544" t="s">
        <v>934</v>
      </c>
      <c r="G110" s="544" t="s">
        <v>934</v>
      </c>
      <c r="H110" s="544" t="s">
        <v>934</v>
      </c>
      <c r="I110" s="544" t="s">
        <v>934</v>
      </c>
      <c r="J110" s="544" t="s">
        <v>934</v>
      </c>
      <c r="K110" s="544" t="s">
        <v>934</v>
      </c>
      <c r="L110" s="544" t="s">
        <v>934</v>
      </c>
      <c r="M110" s="544" t="s">
        <v>934</v>
      </c>
      <c r="N110" s="544" t="s">
        <v>934</v>
      </c>
      <c r="O110" s="544">
        <v>1</v>
      </c>
      <c r="P110" s="544">
        <v>2</v>
      </c>
      <c r="Q110" s="544">
        <v>3</v>
      </c>
      <c r="R110" s="544">
        <v>4</v>
      </c>
      <c r="S110" s="544">
        <v>1</v>
      </c>
      <c r="T110" s="544">
        <v>2</v>
      </c>
      <c r="U110" s="544">
        <v>3</v>
      </c>
      <c r="V110" s="544">
        <v>1</v>
      </c>
      <c r="W110" s="544">
        <v>2</v>
      </c>
      <c r="X110" s="544">
        <v>1</v>
      </c>
      <c r="Y110" s="544" t="s">
        <v>934</v>
      </c>
    </row>
    <row r="111" spans="3:25" x14ac:dyDescent="0.25">
      <c r="C111" s="88" t="str">
        <f>'G-1 All Habitats'!B111</f>
        <v>Intertidal sediment - Littoral mud</v>
      </c>
      <c r="D111" s="544" t="s">
        <v>934</v>
      </c>
      <c r="E111" s="544" t="s">
        <v>934</v>
      </c>
      <c r="F111" s="544" t="s">
        <v>934</v>
      </c>
      <c r="G111" s="544" t="s">
        <v>934</v>
      </c>
      <c r="H111" s="544" t="s">
        <v>934</v>
      </c>
      <c r="I111" s="544" t="s">
        <v>934</v>
      </c>
      <c r="J111" s="544" t="s">
        <v>934</v>
      </c>
      <c r="K111" s="544" t="s">
        <v>934</v>
      </c>
      <c r="L111" s="544" t="s">
        <v>934</v>
      </c>
      <c r="M111" s="544" t="s">
        <v>934</v>
      </c>
      <c r="N111" s="544" t="s">
        <v>934</v>
      </c>
      <c r="O111" s="544">
        <v>2</v>
      </c>
      <c r="P111" s="544">
        <v>4</v>
      </c>
      <c r="Q111" s="544">
        <v>6</v>
      </c>
      <c r="R111" s="544">
        <v>8</v>
      </c>
      <c r="S111" s="544">
        <v>2</v>
      </c>
      <c r="T111" s="544">
        <v>4</v>
      </c>
      <c r="U111" s="544">
        <v>6</v>
      </c>
      <c r="V111" s="544">
        <v>2</v>
      </c>
      <c r="W111" s="544">
        <v>4</v>
      </c>
      <c r="X111" s="544">
        <v>2</v>
      </c>
      <c r="Y111" s="544" t="s">
        <v>934</v>
      </c>
    </row>
    <row r="112" spans="3:25" x14ac:dyDescent="0.25">
      <c r="C112" s="88" t="str">
        <f>'G-1 All Habitats'!B112</f>
        <v>Intertidal sediment - Littoral mixed sediments</v>
      </c>
      <c r="D112" s="544" t="s">
        <v>934</v>
      </c>
      <c r="E112" s="544" t="s">
        <v>934</v>
      </c>
      <c r="F112" s="544" t="s">
        <v>934</v>
      </c>
      <c r="G112" s="544" t="s">
        <v>934</v>
      </c>
      <c r="H112" s="544" t="s">
        <v>934</v>
      </c>
      <c r="I112" s="544" t="s">
        <v>934</v>
      </c>
      <c r="J112" s="544" t="s">
        <v>934</v>
      </c>
      <c r="K112" s="544" t="s">
        <v>934</v>
      </c>
      <c r="L112" s="544" t="s">
        <v>934</v>
      </c>
      <c r="M112" s="544" t="s">
        <v>934</v>
      </c>
      <c r="N112" s="544" t="s">
        <v>934</v>
      </c>
      <c r="O112" s="544">
        <v>1</v>
      </c>
      <c r="P112" s="544">
        <v>2</v>
      </c>
      <c r="Q112" s="544">
        <v>3</v>
      </c>
      <c r="R112" s="544">
        <v>4</v>
      </c>
      <c r="S112" s="544">
        <v>1</v>
      </c>
      <c r="T112" s="544">
        <v>2</v>
      </c>
      <c r="U112" s="544">
        <v>3</v>
      </c>
      <c r="V112" s="544">
        <v>1</v>
      </c>
      <c r="W112" s="544">
        <v>2</v>
      </c>
      <c r="X112" s="544">
        <v>1</v>
      </c>
      <c r="Y112" s="544" t="s">
        <v>934</v>
      </c>
    </row>
    <row r="113" spans="3:25" x14ac:dyDescent="0.25">
      <c r="C113" s="88" t="str">
        <f>'G-1 All Habitats'!B108</f>
        <v>Coastal saltmarsh - Saltmarshes and saline reedbeds</v>
      </c>
      <c r="D113" s="544" t="s">
        <v>934</v>
      </c>
      <c r="E113" s="544" t="s">
        <v>934</v>
      </c>
      <c r="F113" s="544" t="s">
        <v>934</v>
      </c>
      <c r="G113" s="544" t="s">
        <v>934</v>
      </c>
      <c r="H113" s="544" t="s">
        <v>934</v>
      </c>
      <c r="I113" s="544" t="s">
        <v>934</v>
      </c>
      <c r="J113" s="544" t="s">
        <v>934</v>
      </c>
      <c r="K113" s="544" t="s">
        <v>934</v>
      </c>
      <c r="L113" s="544" t="s">
        <v>934</v>
      </c>
      <c r="M113" s="544" t="s">
        <v>934</v>
      </c>
      <c r="N113" s="544" t="s">
        <v>934</v>
      </c>
      <c r="O113" s="544">
        <v>2</v>
      </c>
      <c r="P113" s="544">
        <v>6</v>
      </c>
      <c r="Q113" s="544">
        <v>10</v>
      </c>
      <c r="R113" s="544">
        <v>20</v>
      </c>
      <c r="S113" s="544">
        <v>4</v>
      </c>
      <c r="T113" s="544">
        <v>8</v>
      </c>
      <c r="U113" s="544">
        <v>18</v>
      </c>
      <c r="V113" s="544">
        <v>4</v>
      </c>
      <c r="W113" s="544">
        <v>14</v>
      </c>
      <c r="X113" s="544">
        <v>10</v>
      </c>
      <c r="Y113" s="544" t="s">
        <v>934</v>
      </c>
    </row>
    <row r="114" spans="3:25" x14ac:dyDescent="0.25">
      <c r="C114" s="88" t="str">
        <f>'G-1 All Habitats'!B109</f>
        <v>Coastal saltmarsh - Artificial saltmarshes and saline reedbeds</v>
      </c>
      <c r="D114" s="544" t="s">
        <v>934</v>
      </c>
      <c r="E114" s="544" t="s">
        <v>934</v>
      </c>
      <c r="F114" s="544" t="s">
        <v>934</v>
      </c>
      <c r="G114" s="544" t="s">
        <v>934</v>
      </c>
      <c r="H114" s="544" t="s">
        <v>934</v>
      </c>
      <c r="I114" s="544" t="s">
        <v>934</v>
      </c>
      <c r="J114" s="544" t="s">
        <v>934</v>
      </c>
      <c r="K114" s="544" t="s">
        <v>934</v>
      </c>
      <c r="L114" s="544" t="s">
        <v>934</v>
      </c>
      <c r="M114" s="544" t="s">
        <v>934</v>
      </c>
      <c r="N114" s="544" t="s">
        <v>934</v>
      </c>
      <c r="O114" s="544">
        <v>2</v>
      </c>
      <c r="P114" s="544">
        <v>6</v>
      </c>
      <c r="Q114" s="544">
        <v>10</v>
      </c>
      <c r="R114" s="544">
        <v>20</v>
      </c>
      <c r="S114" s="544">
        <v>4</v>
      </c>
      <c r="T114" s="544">
        <v>8</v>
      </c>
      <c r="U114" s="544">
        <v>18</v>
      </c>
      <c r="V114" s="544">
        <v>4</v>
      </c>
      <c r="W114" s="544">
        <v>14</v>
      </c>
      <c r="X114" s="544">
        <v>10</v>
      </c>
      <c r="Y114" s="544" t="s">
        <v>934</v>
      </c>
    </row>
    <row r="115" spans="3:25" x14ac:dyDescent="0.25">
      <c r="C115" s="88" t="str">
        <f>'G-1 All Habitats'!B113</f>
        <v>Intertidal sediment - Littoral seagrass</v>
      </c>
      <c r="D115" s="544" t="s">
        <v>934</v>
      </c>
      <c r="E115" s="544" t="s">
        <v>934</v>
      </c>
      <c r="F115" s="544" t="s">
        <v>934</v>
      </c>
      <c r="G115" s="544" t="s">
        <v>934</v>
      </c>
      <c r="H115" s="544" t="s">
        <v>934</v>
      </c>
      <c r="I115" s="544" t="s">
        <v>934</v>
      </c>
      <c r="J115" s="544" t="s">
        <v>934</v>
      </c>
      <c r="K115" s="544" t="s">
        <v>934</v>
      </c>
      <c r="L115" s="544" t="s">
        <v>934</v>
      </c>
      <c r="M115" s="544" t="s">
        <v>934</v>
      </c>
      <c r="N115" s="544" t="s">
        <v>934</v>
      </c>
      <c r="O115" s="544">
        <v>3</v>
      </c>
      <c r="P115" s="544">
        <v>13</v>
      </c>
      <c r="Q115" s="544">
        <v>23</v>
      </c>
      <c r="R115" s="544">
        <v>0</v>
      </c>
      <c r="S115" s="544">
        <v>10</v>
      </c>
      <c r="T115" s="544">
        <v>20</v>
      </c>
      <c r="U115" s="544">
        <v>30</v>
      </c>
      <c r="V115" s="544">
        <v>10</v>
      </c>
      <c r="W115" s="544">
        <v>20</v>
      </c>
      <c r="X115" s="544">
        <v>10</v>
      </c>
      <c r="Y115" s="544" t="s">
        <v>934</v>
      </c>
    </row>
    <row r="116" spans="3:25" x14ac:dyDescent="0.25">
      <c r="C116" s="88" t="str">
        <f>'G-1 All Habitats'!B114</f>
        <v>Intertidal sediment - Littoral seagrass on peat, clay or chalk</v>
      </c>
      <c r="D116" s="544" t="s">
        <v>934</v>
      </c>
      <c r="E116" s="544" t="s">
        <v>934</v>
      </c>
      <c r="F116" s="544" t="s">
        <v>934</v>
      </c>
      <c r="G116" s="544" t="s">
        <v>934</v>
      </c>
      <c r="H116" s="544" t="s">
        <v>934</v>
      </c>
      <c r="I116" s="544" t="s">
        <v>934</v>
      </c>
      <c r="J116" s="544" t="s">
        <v>934</v>
      </c>
      <c r="K116" s="544" t="s">
        <v>934</v>
      </c>
      <c r="L116" s="544" t="s">
        <v>934</v>
      </c>
      <c r="M116" s="544" t="s">
        <v>934</v>
      </c>
      <c r="N116" s="544" t="s">
        <v>934</v>
      </c>
      <c r="O116" s="544">
        <v>2</v>
      </c>
      <c r="P116" s="544">
        <v>4</v>
      </c>
      <c r="Q116" s="544">
        <v>7</v>
      </c>
      <c r="R116" s="544">
        <v>0</v>
      </c>
      <c r="S116" s="544">
        <v>2</v>
      </c>
      <c r="T116" s="544">
        <v>3</v>
      </c>
      <c r="U116" s="544">
        <v>8</v>
      </c>
      <c r="V116" s="544">
        <v>3</v>
      </c>
      <c r="W116" s="544">
        <v>6</v>
      </c>
      <c r="X116" s="544">
        <v>3</v>
      </c>
      <c r="Y116" s="544" t="s">
        <v>934</v>
      </c>
    </row>
    <row r="117" spans="3:25" x14ac:dyDescent="0.25">
      <c r="C117" s="88" t="str">
        <f>'G-1 All Habitats'!B115</f>
        <v>Intertidal sediment - Littoral biogenic reefs - Mussels</v>
      </c>
      <c r="D117" s="544" t="s">
        <v>934</v>
      </c>
      <c r="E117" s="544" t="s">
        <v>934</v>
      </c>
      <c r="F117" s="544" t="s">
        <v>934</v>
      </c>
      <c r="G117" s="544" t="s">
        <v>934</v>
      </c>
      <c r="H117" s="544" t="s">
        <v>934</v>
      </c>
      <c r="I117" s="544" t="s">
        <v>934</v>
      </c>
      <c r="J117" s="544" t="s">
        <v>934</v>
      </c>
      <c r="K117" s="544" t="s">
        <v>934</v>
      </c>
      <c r="L117" s="544" t="s">
        <v>934</v>
      </c>
      <c r="M117" s="544" t="s">
        <v>934</v>
      </c>
      <c r="N117" s="544" t="s">
        <v>934</v>
      </c>
      <c r="O117" s="544">
        <v>2</v>
      </c>
      <c r="P117" s="544">
        <v>4</v>
      </c>
      <c r="Q117" s="544">
        <v>7</v>
      </c>
      <c r="R117" s="544">
        <v>10</v>
      </c>
      <c r="S117" s="544">
        <v>2</v>
      </c>
      <c r="T117" s="544">
        <v>3</v>
      </c>
      <c r="U117" s="544">
        <v>8</v>
      </c>
      <c r="V117" s="544">
        <v>3</v>
      </c>
      <c r="W117" s="544">
        <v>6</v>
      </c>
      <c r="X117" s="544">
        <v>3</v>
      </c>
      <c r="Y117" s="544" t="s">
        <v>934</v>
      </c>
    </row>
    <row r="118" spans="3:25" x14ac:dyDescent="0.25">
      <c r="C118" s="88" t="str">
        <f>'G-1 All Habitats'!B116</f>
        <v>Intertidal sediment - Littoral biogenic reefs - Sabellaria</v>
      </c>
      <c r="D118" s="544" t="s">
        <v>934</v>
      </c>
      <c r="E118" s="544" t="s">
        <v>934</v>
      </c>
      <c r="F118" s="544" t="s">
        <v>934</v>
      </c>
      <c r="G118" s="544" t="s">
        <v>934</v>
      </c>
      <c r="H118" s="544" t="s">
        <v>934</v>
      </c>
      <c r="I118" s="544" t="s">
        <v>934</v>
      </c>
      <c r="J118" s="544" t="s">
        <v>934</v>
      </c>
      <c r="K118" s="544" t="s">
        <v>934</v>
      </c>
      <c r="L118" s="544" t="s">
        <v>934</v>
      </c>
      <c r="M118" s="544" t="s">
        <v>934</v>
      </c>
      <c r="N118" s="544" t="s">
        <v>934</v>
      </c>
      <c r="O118" s="544">
        <v>2</v>
      </c>
      <c r="P118" s="544">
        <v>4</v>
      </c>
      <c r="Q118" s="544">
        <v>7</v>
      </c>
      <c r="R118" s="544">
        <v>10</v>
      </c>
      <c r="S118" s="544">
        <v>2</v>
      </c>
      <c r="T118" s="544">
        <v>3</v>
      </c>
      <c r="U118" s="544">
        <v>8</v>
      </c>
      <c r="V118" s="544">
        <v>3</v>
      </c>
      <c r="W118" s="544">
        <v>6</v>
      </c>
      <c r="X118" s="544">
        <v>3</v>
      </c>
      <c r="Y118" s="544" t="s">
        <v>934</v>
      </c>
    </row>
    <row r="119" spans="3:25" x14ac:dyDescent="0.25">
      <c r="C119" s="88" t="str">
        <f>'G-1 All Habitats'!B117</f>
        <v>Intertidal sediment - Features of littoral sediment</v>
      </c>
      <c r="D119" s="544" t="s">
        <v>934</v>
      </c>
      <c r="E119" s="544" t="s">
        <v>934</v>
      </c>
      <c r="F119" s="544" t="s">
        <v>934</v>
      </c>
      <c r="G119" s="544" t="s">
        <v>934</v>
      </c>
      <c r="H119" s="544" t="s">
        <v>934</v>
      </c>
      <c r="I119" s="544" t="s">
        <v>934</v>
      </c>
      <c r="J119" s="544" t="s">
        <v>934</v>
      </c>
      <c r="K119" s="544" t="s">
        <v>934</v>
      </c>
      <c r="L119" s="544" t="s">
        <v>934</v>
      </c>
      <c r="M119" s="544" t="s">
        <v>934</v>
      </c>
      <c r="N119" s="544" t="s">
        <v>934</v>
      </c>
      <c r="O119" s="544">
        <v>1</v>
      </c>
      <c r="P119" s="544">
        <v>2</v>
      </c>
      <c r="Q119" s="544">
        <v>3</v>
      </c>
      <c r="R119" s="544">
        <v>5</v>
      </c>
      <c r="S119" s="544">
        <v>1</v>
      </c>
      <c r="T119" s="544">
        <v>2</v>
      </c>
      <c r="U119" s="544">
        <v>4</v>
      </c>
      <c r="V119" s="544">
        <v>1</v>
      </c>
      <c r="W119" s="544">
        <v>3</v>
      </c>
      <c r="X119" s="544">
        <v>2</v>
      </c>
      <c r="Y119" s="544" t="s">
        <v>934</v>
      </c>
    </row>
    <row r="120" spans="3:25" x14ac:dyDescent="0.25">
      <c r="C120" s="88" t="str">
        <f>'G-1 All Habitats'!B118</f>
        <v>Intertidal sediment - Artificial littoral coarse sediment</v>
      </c>
      <c r="D120" s="544" t="s">
        <v>934</v>
      </c>
      <c r="E120" s="544" t="s">
        <v>934</v>
      </c>
      <c r="F120" s="544" t="s">
        <v>934</v>
      </c>
      <c r="G120" s="544" t="s">
        <v>934</v>
      </c>
      <c r="H120" s="544" t="s">
        <v>934</v>
      </c>
      <c r="I120" s="544" t="s">
        <v>934</v>
      </c>
      <c r="J120" s="544" t="s">
        <v>934</v>
      </c>
      <c r="K120" s="544" t="s">
        <v>934</v>
      </c>
      <c r="L120" s="544" t="s">
        <v>934</v>
      </c>
      <c r="M120" s="544" t="s">
        <v>934</v>
      </c>
      <c r="N120" s="544" t="s">
        <v>934</v>
      </c>
      <c r="O120" s="544">
        <v>1</v>
      </c>
      <c r="P120" s="544">
        <v>2</v>
      </c>
      <c r="Q120" s="544">
        <v>3</v>
      </c>
      <c r="R120" s="544">
        <v>4</v>
      </c>
      <c r="S120" s="544">
        <v>1</v>
      </c>
      <c r="T120" s="544">
        <v>2</v>
      </c>
      <c r="U120" s="544">
        <v>3</v>
      </c>
      <c r="V120" s="544">
        <v>1</v>
      </c>
      <c r="W120" s="544">
        <v>2</v>
      </c>
      <c r="X120" s="544">
        <v>1</v>
      </c>
      <c r="Y120" s="544" t="s">
        <v>934</v>
      </c>
    </row>
    <row r="121" spans="3:25" x14ac:dyDescent="0.25">
      <c r="C121" s="88" t="str">
        <f>'G-1 All Habitats'!B119</f>
        <v>Intertidal sediment - Artificial littoral mud</v>
      </c>
      <c r="D121" s="544" t="s">
        <v>934</v>
      </c>
      <c r="E121" s="544" t="s">
        <v>934</v>
      </c>
      <c r="F121" s="544" t="s">
        <v>934</v>
      </c>
      <c r="G121" s="544" t="s">
        <v>934</v>
      </c>
      <c r="H121" s="544" t="s">
        <v>934</v>
      </c>
      <c r="I121" s="544" t="s">
        <v>934</v>
      </c>
      <c r="J121" s="544" t="s">
        <v>934</v>
      </c>
      <c r="K121" s="544" t="s">
        <v>934</v>
      </c>
      <c r="L121" s="544" t="s">
        <v>934</v>
      </c>
      <c r="M121" s="544" t="s">
        <v>934</v>
      </c>
      <c r="N121" s="544" t="s">
        <v>934</v>
      </c>
      <c r="O121" s="544">
        <v>2</v>
      </c>
      <c r="P121" s="544">
        <v>4</v>
      </c>
      <c r="Q121" s="544">
        <v>6</v>
      </c>
      <c r="R121" s="544">
        <v>8</v>
      </c>
      <c r="S121" s="544">
        <v>2</v>
      </c>
      <c r="T121" s="544">
        <v>4</v>
      </c>
      <c r="U121" s="544">
        <v>6</v>
      </c>
      <c r="V121" s="544">
        <v>2</v>
      </c>
      <c r="W121" s="544">
        <v>4</v>
      </c>
      <c r="X121" s="544">
        <v>2</v>
      </c>
      <c r="Y121" s="544" t="s">
        <v>934</v>
      </c>
    </row>
    <row r="122" spans="3:25" x14ac:dyDescent="0.25">
      <c r="C122" s="88" t="str">
        <f>'G-1 All Habitats'!B120</f>
        <v>Intertidal sediment - Artificial littoral sand</v>
      </c>
      <c r="D122" s="544" t="s">
        <v>934</v>
      </c>
      <c r="E122" s="544" t="s">
        <v>934</v>
      </c>
      <c r="F122" s="544" t="s">
        <v>934</v>
      </c>
      <c r="G122" s="544" t="s">
        <v>934</v>
      </c>
      <c r="H122" s="544" t="s">
        <v>934</v>
      </c>
      <c r="I122" s="544" t="s">
        <v>934</v>
      </c>
      <c r="J122" s="544" t="s">
        <v>934</v>
      </c>
      <c r="K122" s="544" t="s">
        <v>934</v>
      </c>
      <c r="L122" s="544" t="s">
        <v>934</v>
      </c>
      <c r="M122" s="544" t="s">
        <v>934</v>
      </c>
      <c r="N122" s="544" t="s">
        <v>934</v>
      </c>
      <c r="O122" s="544">
        <v>2</v>
      </c>
      <c r="P122" s="544">
        <v>3</v>
      </c>
      <c r="Q122" s="544">
        <v>4</v>
      </c>
      <c r="R122" s="544">
        <v>6</v>
      </c>
      <c r="S122" s="544">
        <v>1</v>
      </c>
      <c r="T122" s="544">
        <v>2</v>
      </c>
      <c r="U122" s="544">
        <v>4</v>
      </c>
      <c r="V122" s="544">
        <v>1</v>
      </c>
      <c r="W122" s="544">
        <v>3</v>
      </c>
      <c r="X122" s="544">
        <v>2</v>
      </c>
      <c r="Y122" s="544" t="s">
        <v>934</v>
      </c>
    </row>
    <row r="123" spans="3:25" x14ac:dyDescent="0.25">
      <c r="C123" s="88" t="str">
        <f>'G-1 All Habitats'!B121</f>
        <v>Intertidal sediment - Artificial littoral muddy sand</v>
      </c>
      <c r="D123" s="544" t="s">
        <v>934</v>
      </c>
      <c r="E123" s="544" t="s">
        <v>934</v>
      </c>
      <c r="F123" s="544" t="s">
        <v>934</v>
      </c>
      <c r="G123" s="544" t="s">
        <v>934</v>
      </c>
      <c r="H123" s="544" t="s">
        <v>934</v>
      </c>
      <c r="I123" s="544" t="s">
        <v>934</v>
      </c>
      <c r="J123" s="544" t="s">
        <v>934</v>
      </c>
      <c r="K123" s="544" t="s">
        <v>934</v>
      </c>
      <c r="L123" s="544" t="s">
        <v>934</v>
      </c>
      <c r="M123" s="544" t="s">
        <v>934</v>
      </c>
      <c r="N123" s="544" t="s">
        <v>934</v>
      </c>
      <c r="O123" s="544">
        <v>2</v>
      </c>
      <c r="P123" s="544">
        <v>4</v>
      </c>
      <c r="Q123" s="544">
        <v>6</v>
      </c>
      <c r="R123" s="544">
        <v>8</v>
      </c>
      <c r="S123" s="544">
        <v>2</v>
      </c>
      <c r="T123" s="544">
        <v>4</v>
      </c>
      <c r="U123" s="544">
        <v>6</v>
      </c>
      <c r="V123" s="544">
        <v>2</v>
      </c>
      <c r="W123" s="544">
        <v>4</v>
      </c>
      <c r="X123" s="544">
        <v>2</v>
      </c>
      <c r="Y123" s="544" t="s">
        <v>934</v>
      </c>
    </row>
    <row r="124" spans="3:25" x14ac:dyDescent="0.25">
      <c r="C124" s="88" t="str">
        <f>'G-1 All Habitats'!B122</f>
        <v>Intertidal sediment - Artificial littoral mixed sediments</v>
      </c>
      <c r="D124" s="544" t="s">
        <v>934</v>
      </c>
      <c r="E124" s="544" t="s">
        <v>934</v>
      </c>
      <c r="F124" s="544" t="s">
        <v>934</v>
      </c>
      <c r="G124" s="544" t="s">
        <v>934</v>
      </c>
      <c r="H124" s="544" t="s">
        <v>934</v>
      </c>
      <c r="I124" s="544" t="s">
        <v>934</v>
      </c>
      <c r="J124" s="544" t="s">
        <v>934</v>
      </c>
      <c r="K124" s="544" t="s">
        <v>934</v>
      </c>
      <c r="L124" s="544" t="s">
        <v>934</v>
      </c>
      <c r="M124" s="544" t="s">
        <v>934</v>
      </c>
      <c r="N124" s="544" t="s">
        <v>934</v>
      </c>
      <c r="O124" s="544">
        <v>1</v>
      </c>
      <c r="P124" s="544">
        <v>2</v>
      </c>
      <c r="Q124" s="544">
        <v>3</v>
      </c>
      <c r="R124" s="544">
        <v>4</v>
      </c>
      <c r="S124" s="544">
        <v>1</v>
      </c>
      <c r="T124" s="544">
        <v>2</v>
      </c>
      <c r="U124" s="544">
        <v>3</v>
      </c>
      <c r="V124" s="544">
        <v>1</v>
      </c>
      <c r="W124" s="544">
        <v>2</v>
      </c>
      <c r="X124" s="544">
        <v>1</v>
      </c>
      <c r="Y124" s="544" t="s">
        <v>934</v>
      </c>
    </row>
    <row r="125" spans="3:25" x14ac:dyDescent="0.25">
      <c r="C125" s="88" t="str">
        <f>'G-1 All Habitats'!B123</f>
        <v>Intertidal sediment - Artificial littoral seagrass</v>
      </c>
      <c r="D125" s="544" t="s">
        <v>934</v>
      </c>
      <c r="E125" s="544" t="s">
        <v>934</v>
      </c>
      <c r="F125" s="544" t="s">
        <v>934</v>
      </c>
      <c r="G125" s="544" t="s">
        <v>934</v>
      </c>
      <c r="H125" s="544" t="s">
        <v>934</v>
      </c>
      <c r="I125" s="544" t="s">
        <v>934</v>
      </c>
      <c r="J125" s="544" t="s">
        <v>934</v>
      </c>
      <c r="K125" s="544" t="s">
        <v>934</v>
      </c>
      <c r="L125" s="544" t="s">
        <v>934</v>
      </c>
      <c r="M125" s="544" t="s">
        <v>934</v>
      </c>
      <c r="N125" s="544" t="s">
        <v>934</v>
      </c>
      <c r="O125" s="544">
        <v>3</v>
      </c>
      <c r="P125" s="544">
        <v>13</v>
      </c>
      <c r="Q125" s="544">
        <v>23</v>
      </c>
      <c r="R125" s="544" t="s">
        <v>935</v>
      </c>
      <c r="S125" s="544">
        <v>10</v>
      </c>
      <c r="T125" s="544">
        <v>20</v>
      </c>
      <c r="U125" s="544">
        <v>30</v>
      </c>
      <c r="V125" s="544">
        <v>10</v>
      </c>
      <c r="W125" s="544">
        <v>20</v>
      </c>
      <c r="X125" s="544">
        <v>10</v>
      </c>
      <c r="Y125" s="544" t="s">
        <v>934</v>
      </c>
    </row>
    <row r="126" spans="3:25" x14ac:dyDescent="0.25">
      <c r="C126" s="88" t="str">
        <f>'G-1 All Habitats'!B124</f>
        <v>Intertidal sediment - Artificial littoral biogenic reefs</v>
      </c>
      <c r="D126" s="544" t="s">
        <v>934</v>
      </c>
      <c r="E126" s="544" t="s">
        <v>934</v>
      </c>
      <c r="F126" s="544" t="s">
        <v>934</v>
      </c>
      <c r="G126" s="544" t="s">
        <v>934</v>
      </c>
      <c r="H126" s="544" t="s">
        <v>934</v>
      </c>
      <c r="I126" s="544" t="s">
        <v>934</v>
      </c>
      <c r="J126" s="544" t="s">
        <v>934</v>
      </c>
      <c r="K126" s="544" t="s">
        <v>934</v>
      </c>
      <c r="L126" s="544" t="s">
        <v>934</v>
      </c>
      <c r="M126" s="544" t="s">
        <v>934</v>
      </c>
      <c r="N126" s="544" t="s">
        <v>934</v>
      </c>
      <c r="O126" s="544">
        <v>2</v>
      </c>
      <c r="P126" s="544">
        <v>4</v>
      </c>
      <c r="Q126" s="544">
        <v>7</v>
      </c>
      <c r="R126" s="544">
        <v>10</v>
      </c>
      <c r="S126" s="544">
        <v>2</v>
      </c>
      <c r="T126" s="544">
        <v>3</v>
      </c>
      <c r="U126" s="544">
        <v>8</v>
      </c>
      <c r="V126" s="544">
        <v>3</v>
      </c>
      <c r="W126" s="544">
        <v>6</v>
      </c>
      <c r="X126" s="544">
        <v>3</v>
      </c>
      <c r="Y126" s="544" t="s">
        <v>934</v>
      </c>
    </row>
    <row r="127" spans="3:25" x14ac:dyDescent="0.25">
      <c r="C127" s="88" t="str">
        <f>'G-1 All Habitats'!B125</f>
        <v>Intertidal sediment - Littoral sand</v>
      </c>
      <c r="D127" s="544" t="s">
        <v>934</v>
      </c>
      <c r="E127" s="544" t="s">
        <v>934</v>
      </c>
      <c r="F127" s="544" t="s">
        <v>934</v>
      </c>
      <c r="G127" s="544" t="s">
        <v>934</v>
      </c>
      <c r="H127" s="544" t="s">
        <v>934</v>
      </c>
      <c r="I127" s="544" t="s">
        <v>934</v>
      </c>
      <c r="J127" s="544" t="s">
        <v>934</v>
      </c>
      <c r="K127" s="544" t="s">
        <v>934</v>
      </c>
      <c r="L127" s="544" t="s">
        <v>934</v>
      </c>
      <c r="M127" s="544" t="s">
        <v>934</v>
      </c>
      <c r="N127" s="544" t="s">
        <v>934</v>
      </c>
      <c r="O127" s="544">
        <v>2</v>
      </c>
      <c r="P127" s="544">
        <v>3</v>
      </c>
      <c r="Q127" s="544">
        <v>4</v>
      </c>
      <c r="R127" s="544">
        <v>6</v>
      </c>
      <c r="S127" s="544">
        <v>1</v>
      </c>
      <c r="T127" s="544">
        <v>2</v>
      </c>
      <c r="U127" s="544">
        <v>4</v>
      </c>
      <c r="V127" s="544">
        <v>1</v>
      </c>
      <c r="W127" s="544">
        <v>3</v>
      </c>
      <c r="X127" s="544">
        <v>2</v>
      </c>
      <c r="Y127" s="544" t="s">
        <v>934</v>
      </c>
    </row>
    <row r="128" spans="3:25" x14ac:dyDescent="0.25">
      <c r="C128" s="88" t="str">
        <f>'G-1 All Habitats'!B126</f>
        <v>Intertidal sediment - Littoral muddy sand</v>
      </c>
      <c r="D128" s="544" t="s">
        <v>934</v>
      </c>
      <c r="E128" s="544" t="s">
        <v>934</v>
      </c>
      <c r="F128" s="544" t="s">
        <v>934</v>
      </c>
      <c r="G128" s="544" t="s">
        <v>934</v>
      </c>
      <c r="H128" s="544" t="s">
        <v>934</v>
      </c>
      <c r="I128" s="544" t="s">
        <v>934</v>
      </c>
      <c r="J128" s="544" t="s">
        <v>934</v>
      </c>
      <c r="K128" s="544" t="s">
        <v>934</v>
      </c>
      <c r="L128" s="544" t="s">
        <v>934</v>
      </c>
      <c r="M128" s="544" t="s">
        <v>934</v>
      </c>
      <c r="N128" s="544" t="s">
        <v>934</v>
      </c>
      <c r="O128" s="544">
        <v>2</v>
      </c>
      <c r="P128" s="544">
        <v>4</v>
      </c>
      <c r="Q128" s="544">
        <v>6</v>
      </c>
      <c r="R128" s="544">
        <v>8</v>
      </c>
      <c r="S128" s="544">
        <v>2</v>
      </c>
      <c r="T128" s="544">
        <v>4</v>
      </c>
      <c r="U128" s="544">
        <v>6</v>
      </c>
      <c r="V128" s="544">
        <v>2</v>
      </c>
      <c r="W128" s="544">
        <v>4</v>
      </c>
      <c r="X128" s="544">
        <v>2</v>
      </c>
      <c r="Y128" s="544" t="s">
        <v>934</v>
      </c>
    </row>
    <row r="129" spans="3:25" x14ac:dyDescent="0.25">
      <c r="C129" s="88" t="str">
        <f>'G-1 All Habitats'!B127</f>
        <v>Intertidal Hard Structures - Artificial hard structures</v>
      </c>
      <c r="D129" s="544" t="s">
        <v>934</v>
      </c>
      <c r="E129" s="544" t="s">
        <v>934</v>
      </c>
      <c r="F129" s="544" t="s">
        <v>934</v>
      </c>
      <c r="G129" s="544" t="s">
        <v>934</v>
      </c>
      <c r="H129" s="544" t="s">
        <v>934</v>
      </c>
      <c r="I129" s="544" t="s">
        <v>934</v>
      </c>
      <c r="J129" s="544" t="s">
        <v>934</v>
      </c>
      <c r="K129" s="544" t="s">
        <v>934</v>
      </c>
      <c r="L129" s="544" t="s">
        <v>934</v>
      </c>
      <c r="M129" s="544" t="s">
        <v>934</v>
      </c>
      <c r="N129" s="544" t="s">
        <v>934</v>
      </c>
      <c r="O129" s="544">
        <v>6</v>
      </c>
      <c r="P129" s="544">
        <v>4</v>
      </c>
      <c r="Q129" s="544">
        <v>10</v>
      </c>
      <c r="R129" s="544">
        <v>2</v>
      </c>
      <c r="S129" s="544">
        <v>2</v>
      </c>
      <c r="T129" s="544">
        <v>8</v>
      </c>
      <c r="U129" s="544">
        <v>6</v>
      </c>
      <c r="V129" s="544">
        <v>2</v>
      </c>
      <c r="W129" s="544">
        <v>12</v>
      </c>
      <c r="X129" s="544">
        <v>4</v>
      </c>
      <c r="Y129" s="544" t="s">
        <v>934</v>
      </c>
    </row>
    <row r="130" spans="3:25" x14ac:dyDescent="0.25">
      <c r="C130" s="88" t="str">
        <f>'G-1 All Habitats'!B128</f>
        <v>Intertidal Hard Structures - Artificial features of hard structures</v>
      </c>
      <c r="D130" s="544" t="s">
        <v>934</v>
      </c>
      <c r="E130" s="544" t="s">
        <v>934</v>
      </c>
      <c r="F130" s="544" t="s">
        <v>934</v>
      </c>
      <c r="G130" s="544" t="s">
        <v>934</v>
      </c>
      <c r="H130" s="544" t="s">
        <v>934</v>
      </c>
      <c r="I130" s="544" t="s">
        <v>934</v>
      </c>
      <c r="J130" s="544" t="s">
        <v>934</v>
      </c>
      <c r="K130" s="544" t="s">
        <v>934</v>
      </c>
      <c r="L130" s="544" t="s">
        <v>934</v>
      </c>
      <c r="M130" s="544" t="s">
        <v>934</v>
      </c>
      <c r="N130" s="544" t="s">
        <v>934</v>
      </c>
      <c r="O130" s="544">
        <v>5</v>
      </c>
      <c r="P130" s="544">
        <v>4</v>
      </c>
      <c r="Q130" s="544">
        <v>9</v>
      </c>
      <c r="R130" s="544">
        <v>2</v>
      </c>
      <c r="S130" s="544">
        <v>2</v>
      </c>
      <c r="T130" s="544">
        <v>7</v>
      </c>
      <c r="U130" s="544">
        <v>6</v>
      </c>
      <c r="V130" s="544">
        <v>2</v>
      </c>
      <c r="W130" s="544">
        <v>11</v>
      </c>
      <c r="X130" s="544">
        <v>4</v>
      </c>
      <c r="Y130" s="544" t="s">
        <v>934</v>
      </c>
    </row>
    <row r="131" spans="3:25" x14ac:dyDescent="0.25">
      <c r="C131" s="88" t="str">
        <f>'G-1 All Habitats'!B129</f>
        <v>Intertidal Hard Structures - Artificial hard structures with Integrated Greening of Grey Infrastructure (IGGI)</v>
      </c>
      <c r="D131" s="544" t="s">
        <v>934</v>
      </c>
      <c r="E131" s="544" t="s">
        <v>934</v>
      </c>
      <c r="F131" s="544" t="s">
        <v>934</v>
      </c>
      <c r="G131" s="544" t="s">
        <v>934</v>
      </c>
      <c r="H131" s="544" t="s">
        <v>934</v>
      </c>
      <c r="I131" s="544" t="s">
        <v>934</v>
      </c>
      <c r="J131" s="544" t="s">
        <v>934</v>
      </c>
      <c r="K131" s="544" t="s">
        <v>934</v>
      </c>
      <c r="L131" s="544" t="s">
        <v>934</v>
      </c>
      <c r="M131" s="544" t="s">
        <v>934</v>
      </c>
      <c r="N131" s="544" t="s">
        <v>934</v>
      </c>
      <c r="O131" s="544">
        <v>5</v>
      </c>
      <c r="P131" s="544">
        <v>4</v>
      </c>
      <c r="Q131" s="544">
        <v>9</v>
      </c>
      <c r="R131" s="544">
        <v>2</v>
      </c>
      <c r="S131" s="544">
        <v>2</v>
      </c>
      <c r="T131" s="544">
        <v>7</v>
      </c>
      <c r="U131" s="544">
        <v>6</v>
      </c>
      <c r="V131" s="544">
        <v>2</v>
      </c>
      <c r="W131" s="544">
        <v>11</v>
      </c>
      <c r="X131" s="544">
        <v>4</v>
      </c>
      <c r="Y131" s="544" t="s">
        <v>934</v>
      </c>
    </row>
    <row r="132" spans="3:25" x14ac:dyDescent="0.25">
      <c r="C132" s="42"/>
    </row>
    <row r="133" spans="3:25" x14ac:dyDescent="0.25">
      <c r="C133" s="42"/>
    </row>
    <row r="144" spans="3:2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sheetData>
  <sheetProtection algorithmName="SHA-512" hashValue="ceMHt66DiNPa57IZkWUWEP5VAkbXLizhG0pIIBNGvHXrgyE8NGOr81SWC9yeKnIM4sjUYD1buhjVERALN+0lJA==" saltValue="ridfCE3TR+ofgaGK5NrG+g=="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D5:Y131</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showRowColHeaders="0" zoomScaleNormal="100" workbookViewId="0">
      <pane xSplit="2" ySplit="2" topLeftCell="C3" activePane="bottomRight" state="frozen"/>
      <selection pane="topRight" activeCell="S28" sqref="S28"/>
      <selection pane="bottomLeft" activeCell="S28" sqref="S28"/>
      <selection pane="bottomRight" sqref="A1:B1"/>
    </sheetView>
  </sheetViews>
  <sheetFormatPr defaultColWidth="0" defaultRowHeight="13.8" zeroHeight="1" x14ac:dyDescent="0.25"/>
  <cols>
    <col min="1" max="1" width="8.33203125" style="31" customWidth="1"/>
    <col min="2" max="2" width="66.44140625" style="31" bestFit="1" customWidth="1"/>
    <col min="3" max="3" width="17.33203125" style="31" customWidth="1"/>
    <col min="4" max="4" width="17.109375" style="31" customWidth="1"/>
    <col min="5" max="5" width="10.33203125" style="31" customWidth="1"/>
    <col min="6" max="6" width="9.5546875" style="31" hidden="1" customWidth="1"/>
    <col min="7" max="7" width="12.109375" style="31" customWidth="1"/>
    <col min="8" max="8" width="10" style="31" hidden="1" customWidth="1"/>
    <col min="9" max="9" width="10.33203125" style="31" customWidth="1"/>
    <col min="10" max="10" width="8.109375" style="31" hidden="1" customWidth="1"/>
    <col min="11" max="11" width="12.109375" style="31" customWidth="1"/>
    <col min="12" max="12" width="7.88671875" style="31" hidden="1" customWidth="1"/>
    <col min="13" max="13" width="10.6640625" style="31" customWidth="1"/>
    <col min="14" max="14" width="10.5546875" style="31" hidden="1" customWidth="1"/>
    <col min="15" max="15" width="10.6640625" style="31" hidden="1" customWidth="1"/>
    <col min="16" max="16" width="4.109375" style="31" hidden="1" customWidth="1"/>
    <col min="17" max="17" width="12.5546875" style="190" customWidth="1"/>
    <col min="18" max="18" width="4.109375" style="31" hidden="1" customWidth="1"/>
    <col min="19" max="19" width="6.88671875" style="31" bestFit="1" customWidth="1"/>
    <col min="20" max="31" width="5.33203125" style="31" bestFit="1" customWidth="1"/>
    <col min="32" max="32" width="12.6640625" style="31" customWidth="1"/>
    <col min="33" max="33" width="15.6640625" style="31" customWidth="1"/>
    <col min="34" max="34" width="32.109375" style="31" customWidth="1"/>
    <col min="35" max="35" width="8.88671875" style="31" customWidth="1"/>
    <col min="36" max="37" width="14" style="31" customWidth="1"/>
    <col min="38" max="38" width="8.88671875" style="31" customWidth="1"/>
    <col min="39" max="39" width="66.44140625" style="31" bestFit="1" customWidth="1"/>
    <col min="40" max="40" width="14.5546875" style="31" bestFit="1" customWidth="1"/>
    <col min="41" max="52" width="16.88671875" style="31" bestFit="1" customWidth="1"/>
    <col min="53" max="56" width="8.88671875" style="31" customWidth="1"/>
    <col min="57" max="61" width="8.88671875" style="31" hidden="1" customWidth="1"/>
    <col min="62" max="62" width="12.44140625" style="175" hidden="1" customWidth="1"/>
    <col min="63" max="64" width="12" style="31" hidden="1" customWidth="1"/>
    <col min="65" max="75" width="0" style="31" hidden="1" customWidth="1"/>
    <col min="76" max="16384" width="8.88671875" style="31" hidden="1"/>
  </cols>
  <sheetData>
    <row r="1" spans="1:64" ht="66.75" customHeight="1" thickBot="1" x14ac:dyDescent="0.4">
      <c r="A1" s="1053"/>
      <c r="B1" s="1056"/>
      <c r="C1" s="1060" t="s">
        <v>871</v>
      </c>
      <c r="D1" s="1061"/>
      <c r="E1" s="1057" t="s">
        <v>962</v>
      </c>
      <c r="F1" s="1058"/>
      <c r="G1" s="1058"/>
      <c r="H1" s="1058"/>
      <c r="I1" s="1059"/>
      <c r="J1" s="1057" t="s">
        <v>963</v>
      </c>
      <c r="K1" s="1058"/>
      <c r="L1" s="1058"/>
      <c r="M1" s="1058"/>
      <c r="N1" s="1058"/>
      <c r="O1" s="1058"/>
      <c r="P1" s="1058"/>
      <c r="Q1" s="1058"/>
      <c r="R1" s="1059"/>
      <c r="S1" s="1057" t="s">
        <v>964</v>
      </c>
      <c r="T1" s="1058"/>
      <c r="U1" s="1058"/>
      <c r="V1" s="1058"/>
      <c r="W1" s="1058"/>
      <c r="X1" s="1058"/>
      <c r="Y1" s="1058"/>
      <c r="Z1" s="1058"/>
      <c r="AA1" s="1058"/>
      <c r="AB1" s="1058"/>
      <c r="AC1" s="1058"/>
      <c r="AD1" s="1058"/>
      <c r="AE1" s="1059"/>
      <c r="AF1" s="1060" t="s">
        <v>291</v>
      </c>
      <c r="AG1" s="1061"/>
      <c r="AH1" s="970" t="s">
        <v>965</v>
      </c>
      <c r="AJ1" s="1060" t="s">
        <v>966</v>
      </c>
      <c r="AK1" s="1061"/>
      <c r="AM1" s="174" t="s">
        <v>967</v>
      </c>
      <c r="AN1" s="1064" t="s">
        <v>968</v>
      </c>
      <c r="AO1" s="1064"/>
      <c r="AP1" s="1064"/>
      <c r="AQ1" s="1064"/>
      <c r="AR1" s="1064"/>
      <c r="AS1" s="1064"/>
      <c r="AT1" s="1064"/>
      <c r="AU1" s="1064"/>
      <c r="AV1" s="1064"/>
      <c r="AW1" s="1064"/>
      <c r="AX1" s="1064"/>
      <c r="AY1" s="1064"/>
      <c r="AZ1" s="1064"/>
      <c r="BK1" s="1062" t="s">
        <v>969</v>
      </c>
      <c r="BL1" s="1063"/>
    </row>
    <row r="2" spans="1:64" ht="182.25" customHeight="1" thickBot="1" x14ac:dyDescent="0.3">
      <c r="B2" s="176" t="s">
        <v>820</v>
      </c>
      <c r="C2" s="173" t="s">
        <v>970</v>
      </c>
      <c r="D2" s="177" t="s">
        <v>971</v>
      </c>
      <c r="E2" s="173" t="s">
        <v>242</v>
      </c>
      <c r="F2" s="178"/>
      <c r="G2" s="178" t="s">
        <v>20</v>
      </c>
      <c r="H2" s="178"/>
      <c r="I2" s="177" t="s">
        <v>21</v>
      </c>
      <c r="J2" s="173"/>
      <c r="K2" s="178" t="s">
        <v>952</v>
      </c>
      <c r="L2" s="178"/>
      <c r="M2" s="178" t="s">
        <v>954</v>
      </c>
      <c r="N2" s="178"/>
      <c r="O2" s="178"/>
      <c r="P2" s="178"/>
      <c r="Q2" s="177" t="s">
        <v>959</v>
      </c>
      <c r="R2" s="179"/>
      <c r="S2" s="180" t="s">
        <v>107</v>
      </c>
      <c r="T2" s="181" t="s">
        <v>108</v>
      </c>
      <c r="U2" s="181" t="s">
        <v>972</v>
      </c>
      <c r="V2" s="181" t="s">
        <v>973</v>
      </c>
      <c r="W2" s="181" t="s">
        <v>111</v>
      </c>
      <c r="X2" s="181" t="s">
        <v>974</v>
      </c>
      <c r="Y2" s="181" t="s">
        <v>113</v>
      </c>
      <c r="Z2" s="181" t="s">
        <v>975</v>
      </c>
      <c r="AA2" s="181" t="s">
        <v>976</v>
      </c>
      <c r="AB2" s="181" t="s">
        <v>116</v>
      </c>
      <c r="AC2" s="181" t="s">
        <v>117</v>
      </c>
      <c r="AD2" s="181" t="s">
        <v>977</v>
      </c>
      <c r="AE2" s="181" t="s">
        <v>119</v>
      </c>
      <c r="AF2" s="173" t="s">
        <v>359</v>
      </c>
      <c r="AG2" s="177" t="s">
        <v>360</v>
      </c>
      <c r="AH2" s="997"/>
      <c r="AJ2" s="173" t="s">
        <v>978</v>
      </c>
      <c r="AK2" s="177" t="s">
        <v>979</v>
      </c>
      <c r="AM2" s="182" t="s">
        <v>980</v>
      </c>
      <c r="AN2" s="165" t="s">
        <v>107</v>
      </c>
      <c r="AO2" s="165" t="s">
        <v>108</v>
      </c>
      <c r="AP2" s="165" t="s">
        <v>109</v>
      </c>
      <c r="AQ2" s="165" t="s">
        <v>973</v>
      </c>
      <c r="AR2" s="165" t="s">
        <v>111</v>
      </c>
      <c r="AS2" s="165" t="s">
        <v>974</v>
      </c>
      <c r="AT2" s="165" t="s">
        <v>113</v>
      </c>
      <c r="AU2" s="165" t="s">
        <v>975</v>
      </c>
      <c r="AV2" s="165" t="s">
        <v>976</v>
      </c>
      <c r="AW2" s="165" t="s">
        <v>116</v>
      </c>
      <c r="AX2" s="165" t="s">
        <v>117</v>
      </c>
      <c r="AY2" s="165" t="s">
        <v>118</v>
      </c>
      <c r="AZ2" s="165" t="s">
        <v>119</v>
      </c>
      <c r="BK2" s="89" t="s">
        <v>981</v>
      </c>
      <c r="BL2" s="89" t="s">
        <v>982</v>
      </c>
    </row>
    <row r="3" spans="1:64" ht="30.75" customHeight="1" thickBot="1" x14ac:dyDescent="0.3">
      <c r="A3" s="183"/>
      <c r="B3" s="638" t="s">
        <v>107</v>
      </c>
      <c r="C3" s="596" t="s">
        <v>375</v>
      </c>
      <c r="D3" s="597">
        <v>8</v>
      </c>
      <c r="E3" s="598">
        <v>1</v>
      </c>
      <c r="F3" s="599"/>
      <c r="G3" s="599">
        <v>10</v>
      </c>
      <c r="H3" s="599"/>
      <c r="I3" s="597">
        <v>20</v>
      </c>
      <c r="J3" s="598"/>
      <c r="K3" s="599">
        <v>6</v>
      </c>
      <c r="L3" s="599"/>
      <c r="M3" s="599">
        <v>10</v>
      </c>
      <c r="N3" s="599"/>
      <c r="O3" s="599"/>
      <c r="P3" s="599"/>
      <c r="Q3" s="597">
        <v>4</v>
      </c>
      <c r="R3" s="600"/>
      <c r="S3" s="601" t="s">
        <v>983</v>
      </c>
      <c r="T3" s="602" t="s">
        <v>983</v>
      </c>
      <c r="U3" s="602" t="s">
        <v>983</v>
      </c>
      <c r="V3" s="602" t="s">
        <v>983</v>
      </c>
      <c r="W3" s="602" t="s">
        <v>983</v>
      </c>
      <c r="X3" s="602" t="s">
        <v>983</v>
      </c>
      <c r="Y3" s="602" t="s">
        <v>983</v>
      </c>
      <c r="Z3" s="602" t="s">
        <v>983</v>
      </c>
      <c r="AA3" s="602" t="s">
        <v>983</v>
      </c>
      <c r="AB3" s="602" t="s">
        <v>983</v>
      </c>
      <c r="AC3" s="602" t="s">
        <v>983</v>
      </c>
      <c r="AD3" s="602" t="s">
        <v>983</v>
      </c>
      <c r="AE3" s="603" t="s">
        <v>983</v>
      </c>
      <c r="AF3" s="604" t="s">
        <v>156</v>
      </c>
      <c r="AG3" s="605" t="s">
        <v>156</v>
      </c>
      <c r="AH3" s="606" t="s">
        <v>984</v>
      </c>
      <c r="AJ3" s="185" t="s">
        <v>21</v>
      </c>
      <c r="AK3" s="614">
        <v>3</v>
      </c>
      <c r="AM3" s="184" t="s">
        <v>107</v>
      </c>
      <c r="AN3" s="602" t="s">
        <v>985</v>
      </c>
      <c r="AO3" s="617" t="s">
        <v>986</v>
      </c>
      <c r="AP3" s="602" t="s">
        <v>986</v>
      </c>
      <c r="AQ3" s="602" t="s">
        <v>986</v>
      </c>
      <c r="AR3" s="602" t="s">
        <v>986</v>
      </c>
      <c r="AS3" s="602" t="s">
        <v>986</v>
      </c>
      <c r="AT3" s="602" t="s">
        <v>986</v>
      </c>
      <c r="AU3" s="602" t="s">
        <v>986</v>
      </c>
      <c r="AV3" s="602" t="s">
        <v>986</v>
      </c>
      <c r="AW3" s="602" t="s">
        <v>986</v>
      </c>
      <c r="AX3" s="602" t="s">
        <v>986</v>
      </c>
      <c r="AY3" s="602" t="s">
        <v>986</v>
      </c>
      <c r="AZ3" s="602" t="s">
        <v>986</v>
      </c>
      <c r="BJ3" s="175" t="s">
        <v>981</v>
      </c>
      <c r="BK3" s="186" t="s">
        <v>21</v>
      </c>
      <c r="BL3" s="186" t="s">
        <v>242</v>
      </c>
    </row>
    <row r="4" spans="1:64" ht="30.75" customHeight="1" thickBot="1" x14ac:dyDescent="0.3">
      <c r="A4" s="183"/>
      <c r="B4" s="639" t="s">
        <v>108</v>
      </c>
      <c r="C4" s="537" t="s">
        <v>153</v>
      </c>
      <c r="D4" s="605">
        <v>6</v>
      </c>
      <c r="E4" s="604">
        <v>1</v>
      </c>
      <c r="F4" s="544"/>
      <c r="G4" s="544">
        <v>10</v>
      </c>
      <c r="H4" s="544"/>
      <c r="I4" s="605">
        <v>20</v>
      </c>
      <c r="J4" s="604"/>
      <c r="K4" s="544">
        <v>6</v>
      </c>
      <c r="L4" s="544"/>
      <c r="M4" s="544">
        <v>10</v>
      </c>
      <c r="N4" s="544"/>
      <c r="O4" s="544"/>
      <c r="P4" s="544"/>
      <c r="Q4" s="605">
        <v>4</v>
      </c>
      <c r="R4" s="607"/>
      <c r="S4" s="604">
        <v>5</v>
      </c>
      <c r="T4" s="602" t="s">
        <v>983</v>
      </c>
      <c r="U4" s="602" t="s">
        <v>983</v>
      </c>
      <c r="V4" s="602" t="s">
        <v>983</v>
      </c>
      <c r="W4" s="602" t="s">
        <v>983</v>
      </c>
      <c r="X4" s="602" t="s">
        <v>983</v>
      </c>
      <c r="Y4" s="602" t="s">
        <v>983</v>
      </c>
      <c r="Z4" s="602" t="s">
        <v>983</v>
      </c>
      <c r="AA4" s="602" t="s">
        <v>983</v>
      </c>
      <c r="AB4" s="602" t="s">
        <v>983</v>
      </c>
      <c r="AC4" s="602" t="s">
        <v>983</v>
      </c>
      <c r="AD4" s="602" t="s">
        <v>983</v>
      </c>
      <c r="AE4" s="603" t="s">
        <v>983</v>
      </c>
      <c r="AF4" s="604" t="s">
        <v>156</v>
      </c>
      <c r="AG4" s="605" t="s">
        <v>156</v>
      </c>
      <c r="AH4" s="608" t="s">
        <v>987</v>
      </c>
      <c r="AJ4" s="87" t="s">
        <v>20</v>
      </c>
      <c r="AK4" s="615">
        <v>2</v>
      </c>
      <c r="AM4" s="184" t="s">
        <v>108</v>
      </c>
      <c r="AN4" s="602" t="s">
        <v>988</v>
      </c>
      <c r="AO4" s="617" t="s">
        <v>989</v>
      </c>
      <c r="AP4" s="602" t="s">
        <v>989</v>
      </c>
      <c r="AQ4" s="602" t="s">
        <v>989</v>
      </c>
      <c r="AR4" s="602" t="s">
        <v>986</v>
      </c>
      <c r="AS4" s="602" t="s">
        <v>986</v>
      </c>
      <c r="AT4" s="602" t="s">
        <v>986</v>
      </c>
      <c r="AU4" s="602" t="s">
        <v>986</v>
      </c>
      <c r="AV4" s="602" t="s">
        <v>986</v>
      </c>
      <c r="AW4" s="602" t="s">
        <v>986</v>
      </c>
      <c r="AX4" s="602" t="s">
        <v>986</v>
      </c>
      <c r="AY4" s="602" t="s">
        <v>986</v>
      </c>
      <c r="AZ4" s="602" t="s">
        <v>986</v>
      </c>
      <c r="BJ4" s="175" t="s">
        <v>981</v>
      </c>
      <c r="BK4" s="186" t="s">
        <v>20</v>
      </c>
    </row>
    <row r="5" spans="1:64" ht="30.75" customHeight="1" thickBot="1" x14ac:dyDescent="0.3">
      <c r="A5" s="183"/>
      <c r="B5" s="639" t="s">
        <v>109</v>
      </c>
      <c r="C5" s="537" t="s">
        <v>153</v>
      </c>
      <c r="D5" s="605">
        <v>6</v>
      </c>
      <c r="E5" s="604">
        <v>1</v>
      </c>
      <c r="F5" s="544"/>
      <c r="G5" s="544">
        <v>5</v>
      </c>
      <c r="H5" s="544"/>
      <c r="I5" s="605">
        <v>12</v>
      </c>
      <c r="J5" s="604"/>
      <c r="K5" s="544">
        <v>3</v>
      </c>
      <c r="L5" s="544"/>
      <c r="M5" s="544">
        <v>5</v>
      </c>
      <c r="N5" s="544"/>
      <c r="O5" s="544"/>
      <c r="P5" s="544"/>
      <c r="Q5" s="605">
        <v>2</v>
      </c>
      <c r="R5" s="607"/>
      <c r="S5" s="604">
        <v>10</v>
      </c>
      <c r="T5" s="602" t="s">
        <v>983</v>
      </c>
      <c r="U5" s="602" t="s">
        <v>983</v>
      </c>
      <c r="V5" s="602" t="s">
        <v>983</v>
      </c>
      <c r="W5" s="602" t="s">
        <v>983</v>
      </c>
      <c r="X5" s="602" t="s">
        <v>983</v>
      </c>
      <c r="Y5" s="602" t="s">
        <v>983</v>
      </c>
      <c r="Z5" s="602" t="s">
        <v>983</v>
      </c>
      <c r="AA5" s="602" t="s">
        <v>983</v>
      </c>
      <c r="AB5" s="602" t="s">
        <v>983</v>
      </c>
      <c r="AC5" s="602" t="s">
        <v>983</v>
      </c>
      <c r="AD5" s="602" t="s">
        <v>983</v>
      </c>
      <c r="AE5" s="603" t="s">
        <v>983</v>
      </c>
      <c r="AF5" s="604" t="s">
        <v>156</v>
      </c>
      <c r="AG5" s="605" t="s">
        <v>156</v>
      </c>
      <c r="AH5" s="608" t="s">
        <v>987</v>
      </c>
      <c r="AJ5" s="89" t="s">
        <v>242</v>
      </c>
      <c r="AK5" s="616">
        <v>1</v>
      </c>
      <c r="AM5" s="184" t="s">
        <v>109</v>
      </c>
      <c r="AN5" s="602" t="s">
        <v>988</v>
      </c>
      <c r="AO5" s="617" t="s">
        <v>989</v>
      </c>
      <c r="AP5" s="602" t="s">
        <v>989</v>
      </c>
      <c r="AQ5" s="602" t="s">
        <v>989</v>
      </c>
      <c r="AR5" s="602" t="s">
        <v>986</v>
      </c>
      <c r="AS5" s="602" t="s">
        <v>986</v>
      </c>
      <c r="AT5" s="602" t="s">
        <v>986</v>
      </c>
      <c r="AU5" s="602" t="s">
        <v>986</v>
      </c>
      <c r="AV5" s="602" t="s">
        <v>986</v>
      </c>
      <c r="AW5" s="602" t="s">
        <v>986</v>
      </c>
      <c r="AX5" s="602" t="s">
        <v>986</v>
      </c>
      <c r="AY5" s="602" t="s">
        <v>986</v>
      </c>
      <c r="AZ5" s="602" t="s">
        <v>986</v>
      </c>
      <c r="BJ5" s="175" t="s">
        <v>981</v>
      </c>
      <c r="BK5" s="186" t="s">
        <v>242</v>
      </c>
    </row>
    <row r="6" spans="1:64" ht="30.75" customHeight="1" thickBot="1" x14ac:dyDescent="0.3">
      <c r="A6" s="183"/>
      <c r="B6" s="639" t="s">
        <v>110</v>
      </c>
      <c r="C6" s="537" t="s">
        <v>153</v>
      </c>
      <c r="D6" s="605">
        <v>6</v>
      </c>
      <c r="E6" s="604">
        <v>1</v>
      </c>
      <c r="F6" s="544"/>
      <c r="G6" s="544">
        <v>10</v>
      </c>
      <c r="H6" s="544"/>
      <c r="I6" s="605">
        <v>20</v>
      </c>
      <c r="J6" s="604"/>
      <c r="K6" s="544">
        <v>6</v>
      </c>
      <c r="L6" s="544"/>
      <c r="M6" s="544">
        <v>10</v>
      </c>
      <c r="N6" s="544"/>
      <c r="O6" s="544"/>
      <c r="P6" s="544"/>
      <c r="Q6" s="605">
        <v>4</v>
      </c>
      <c r="R6" s="607"/>
      <c r="S6" s="604">
        <v>5</v>
      </c>
      <c r="T6" s="602" t="s">
        <v>983</v>
      </c>
      <c r="U6" s="602" t="s">
        <v>983</v>
      </c>
      <c r="V6" s="602" t="s">
        <v>983</v>
      </c>
      <c r="W6" s="602" t="s">
        <v>983</v>
      </c>
      <c r="X6" s="602" t="s">
        <v>983</v>
      </c>
      <c r="Y6" s="602" t="s">
        <v>983</v>
      </c>
      <c r="Z6" s="602" t="s">
        <v>983</v>
      </c>
      <c r="AA6" s="602" t="s">
        <v>983</v>
      </c>
      <c r="AB6" s="602" t="s">
        <v>983</v>
      </c>
      <c r="AC6" s="602" t="s">
        <v>983</v>
      </c>
      <c r="AD6" s="602" t="s">
        <v>983</v>
      </c>
      <c r="AE6" s="603" t="s">
        <v>983</v>
      </c>
      <c r="AF6" s="604" t="s">
        <v>156</v>
      </c>
      <c r="AG6" s="605" t="s">
        <v>156</v>
      </c>
      <c r="AH6" s="608" t="s">
        <v>987</v>
      </c>
      <c r="AM6" s="184" t="s">
        <v>110</v>
      </c>
      <c r="AN6" s="617" t="s">
        <v>988</v>
      </c>
      <c r="AO6" s="617" t="s">
        <v>989</v>
      </c>
      <c r="AP6" s="617" t="s">
        <v>989</v>
      </c>
      <c r="AQ6" s="617" t="s">
        <v>989</v>
      </c>
      <c r="AR6" s="617" t="s">
        <v>986</v>
      </c>
      <c r="AS6" s="617" t="s">
        <v>986</v>
      </c>
      <c r="AT6" s="617" t="s">
        <v>986</v>
      </c>
      <c r="AU6" s="617" t="s">
        <v>986</v>
      </c>
      <c r="AV6" s="617" t="s">
        <v>986</v>
      </c>
      <c r="AW6" s="617" t="s">
        <v>986</v>
      </c>
      <c r="AX6" s="617" t="s">
        <v>986</v>
      </c>
      <c r="AY6" s="617" t="s">
        <v>986</v>
      </c>
      <c r="AZ6" s="617" t="s">
        <v>986</v>
      </c>
      <c r="BJ6" s="175" t="s">
        <v>981</v>
      </c>
    </row>
    <row r="7" spans="1:64" ht="42" thickBot="1" x14ac:dyDescent="0.3">
      <c r="A7" s="183"/>
      <c r="B7" s="639" t="s">
        <v>111</v>
      </c>
      <c r="C7" s="537" t="s">
        <v>23</v>
      </c>
      <c r="D7" s="605">
        <v>4</v>
      </c>
      <c r="E7" s="604">
        <v>1</v>
      </c>
      <c r="F7" s="544"/>
      <c r="G7" s="544">
        <v>5</v>
      </c>
      <c r="H7" s="544"/>
      <c r="I7" s="605">
        <v>12</v>
      </c>
      <c r="J7" s="604"/>
      <c r="K7" s="544">
        <v>3</v>
      </c>
      <c r="L7" s="544"/>
      <c r="M7" s="544">
        <v>5</v>
      </c>
      <c r="N7" s="544"/>
      <c r="O7" s="544"/>
      <c r="P7" s="544"/>
      <c r="Q7" s="605">
        <v>2</v>
      </c>
      <c r="R7" s="607"/>
      <c r="S7" s="604">
        <v>10</v>
      </c>
      <c r="T7" s="544">
        <v>10</v>
      </c>
      <c r="U7" s="544">
        <v>5</v>
      </c>
      <c r="V7" s="544">
        <v>10</v>
      </c>
      <c r="W7" s="602" t="s">
        <v>983</v>
      </c>
      <c r="X7" s="602" t="s">
        <v>983</v>
      </c>
      <c r="Y7" s="602" t="s">
        <v>983</v>
      </c>
      <c r="Z7" s="602" t="s">
        <v>983</v>
      </c>
      <c r="AA7" s="602" t="s">
        <v>983</v>
      </c>
      <c r="AB7" s="602" t="s">
        <v>983</v>
      </c>
      <c r="AC7" s="602" t="s">
        <v>983</v>
      </c>
      <c r="AD7" s="602" t="s">
        <v>983</v>
      </c>
      <c r="AE7" s="603" t="s">
        <v>983</v>
      </c>
      <c r="AF7" s="604" t="s">
        <v>156</v>
      </c>
      <c r="AG7" s="605" t="s">
        <v>156</v>
      </c>
      <c r="AH7" s="608" t="s">
        <v>987</v>
      </c>
      <c r="AM7" s="184" t="s">
        <v>111</v>
      </c>
      <c r="AN7" s="617" t="s">
        <v>990</v>
      </c>
      <c r="AO7" s="520" t="s">
        <v>991</v>
      </c>
      <c r="AP7" s="520" t="s">
        <v>991</v>
      </c>
      <c r="AQ7" s="520" t="s">
        <v>991</v>
      </c>
      <c r="AR7" s="520" t="s">
        <v>992</v>
      </c>
      <c r="AS7" s="520" t="s">
        <v>992</v>
      </c>
      <c r="AT7" s="520" t="s">
        <v>992</v>
      </c>
      <c r="AU7" s="520" t="s">
        <v>993</v>
      </c>
      <c r="AV7" s="520" t="s">
        <v>993</v>
      </c>
      <c r="AW7" s="617" t="s">
        <v>986</v>
      </c>
      <c r="AX7" s="617" t="s">
        <v>986</v>
      </c>
      <c r="AY7" s="617" t="s">
        <v>986</v>
      </c>
      <c r="AZ7" s="617" t="s">
        <v>986</v>
      </c>
      <c r="BJ7" s="175" t="s">
        <v>981</v>
      </c>
    </row>
    <row r="8" spans="1:64" ht="42" thickBot="1" x14ac:dyDescent="0.3">
      <c r="A8" s="183"/>
      <c r="B8" s="639" t="s">
        <v>112</v>
      </c>
      <c r="C8" s="537" t="s">
        <v>23</v>
      </c>
      <c r="D8" s="605">
        <v>4</v>
      </c>
      <c r="E8" s="604">
        <v>1</v>
      </c>
      <c r="F8" s="544"/>
      <c r="G8" s="544">
        <v>5</v>
      </c>
      <c r="H8" s="544"/>
      <c r="I8" s="605">
        <v>12</v>
      </c>
      <c r="J8" s="604"/>
      <c r="K8" s="544">
        <v>3</v>
      </c>
      <c r="L8" s="544"/>
      <c r="M8" s="544">
        <v>5</v>
      </c>
      <c r="N8" s="544"/>
      <c r="O8" s="544"/>
      <c r="P8" s="544"/>
      <c r="Q8" s="605">
        <v>2</v>
      </c>
      <c r="R8" s="607"/>
      <c r="S8" s="604">
        <v>10</v>
      </c>
      <c r="T8" s="544">
        <v>10</v>
      </c>
      <c r="U8" s="544">
        <v>5</v>
      </c>
      <c r="V8" s="544">
        <v>10</v>
      </c>
      <c r="W8" s="602" t="s">
        <v>983</v>
      </c>
      <c r="X8" s="602" t="s">
        <v>983</v>
      </c>
      <c r="Y8" s="602" t="s">
        <v>983</v>
      </c>
      <c r="Z8" s="602" t="s">
        <v>983</v>
      </c>
      <c r="AA8" s="602" t="s">
        <v>983</v>
      </c>
      <c r="AB8" s="602" t="s">
        <v>983</v>
      </c>
      <c r="AC8" s="602" t="s">
        <v>983</v>
      </c>
      <c r="AD8" s="602" t="s">
        <v>983</v>
      </c>
      <c r="AE8" s="603" t="s">
        <v>983</v>
      </c>
      <c r="AF8" s="604" t="s">
        <v>156</v>
      </c>
      <c r="AG8" s="605" t="s">
        <v>156</v>
      </c>
      <c r="AH8" s="608" t="s">
        <v>987</v>
      </c>
      <c r="AM8" s="184" t="s">
        <v>112</v>
      </c>
      <c r="AN8" s="617" t="s">
        <v>990</v>
      </c>
      <c r="AO8" s="520" t="s">
        <v>991</v>
      </c>
      <c r="AP8" s="520" t="s">
        <v>991</v>
      </c>
      <c r="AQ8" s="520" t="s">
        <v>991</v>
      </c>
      <c r="AR8" s="520" t="s">
        <v>992</v>
      </c>
      <c r="AS8" s="520" t="s">
        <v>992</v>
      </c>
      <c r="AT8" s="520" t="s">
        <v>992</v>
      </c>
      <c r="AU8" s="520" t="s">
        <v>993</v>
      </c>
      <c r="AV8" s="520" t="s">
        <v>993</v>
      </c>
      <c r="AW8" s="617" t="s">
        <v>986</v>
      </c>
      <c r="AX8" s="617" t="s">
        <v>986</v>
      </c>
      <c r="AY8" s="617" t="s">
        <v>986</v>
      </c>
      <c r="AZ8" s="617" t="s">
        <v>986</v>
      </c>
      <c r="BJ8" s="175" t="s">
        <v>981</v>
      </c>
    </row>
    <row r="9" spans="1:64" ht="14.4" thickBot="1" x14ac:dyDescent="0.3">
      <c r="B9" s="639" t="s">
        <v>113</v>
      </c>
      <c r="C9" s="537" t="s">
        <v>23</v>
      </c>
      <c r="D9" s="605">
        <v>4</v>
      </c>
      <c r="E9" s="604">
        <v>1</v>
      </c>
      <c r="F9" s="544"/>
      <c r="G9" s="544">
        <v>10</v>
      </c>
      <c r="H9" s="544"/>
      <c r="I9" s="605">
        <v>20</v>
      </c>
      <c r="J9" s="604"/>
      <c r="K9" s="544">
        <v>6</v>
      </c>
      <c r="L9" s="544"/>
      <c r="M9" s="544">
        <v>10</v>
      </c>
      <c r="N9" s="544"/>
      <c r="O9" s="544"/>
      <c r="P9" s="544"/>
      <c r="Q9" s="605">
        <v>4</v>
      </c>
      <c r="R9" s="607"/>
      <c r="S9" s="604">
        <v>5</v>
      </c>
      <c r="T9" s="544">
        <v>5</v>
      </c>
      <c r="U9" s="544">
        <v>5</v>
      </c>
      <c r="V9" s="544">
        <v>5</v>
      </c>
      <c r="W9" s="602" t="s">
        <v>983</v>
      </c>
      <c r="X9" s="602" t="s">
        <v>983</v>
      </c>
      <c r="Y9" s="602" t="s">
        <v>983</v>
      </c>
      <c r="Z9" s="602" t="s">
        <v>983</v>
      </c>
      <c r="AA9" s="602" t="s">
        <v>983</v>
      </c>
      <c r="AB9" s="602" t="s">
        <v>983</v>
      </c>
      <c r="AC9" s="602" t="s">
        <v>983</v>
      </c>
      <c r="AD9" s="602" t="s">
        <v>983</v>
      </c>
      <c r="AE9" s="603" t="s">
        <v>983</v>
      </c>
      <c r="AF9" s="604" t="s">
        <v>156</v>
      </c>
      <c r="AG9" s="605" t="s">
        <v>156</v>
      </c>
      <c r="AH9" s="608" t="s">
        <v>987</v>
      </c>
      <c r="AM9" s="184" t="s">
        <v>113</v>
      </c>
      <c r="AN9" s="617" t="s">
        <v>990</v>
      </c>
      <c r="AO9" s="520" t="s">
        <v>991</v>
      </c>
      <c r="AP9" s="520" t="s">
        <v>991</v>
      </c>
      <c r="AQ9" s="520" t="s">
        <v>991</v>
      </c>
      <c r="AR9" s="520" t="s">
        <v>992</v>
      </c>
      <c r="AS9" s="520" t="s">
        <v>992</v>
      </c>
      <c r="AT9" s="520" t="s">
        <v>992</v>
      </c>
      <c r="AU9" s="520" t="s">
        <v>992</v>
      </c>
      <c r="AV9" s="520" t="s">
        <v>992</v>
      </c>
      <c r="AW9" s="617" t="s">
        <v>986</v>
      </c>
      <c r="AX9" s="617" t="s">
        <v>986</v>
      </c>
      <c r="AY9" s="617" t="s">
        <v>986</v>
      </c>
      <c r="AZ9" s="617" t="s">
        <v>986</v>
      </c>
      <c r="BJ9" s="175" t="s">
        <v>981</v>
      </c>
    </row>
    <row r="10" spans="1:64" ht="42" thickBot="1" x14ac:dyDescent="0.3">
      <c r="B10" s="639" t="s">
        <v>114</v>
      </c>
      <c r="C10" s="537" t="s">
        <v>23</v>
      </c>
      <c r="D10" s="605">
        <v>4</v>
      </c>
      <c r="E10" s="604">
        <v>5</v>
      </c>
      <c r="F10" s="544"/>
      <c r="G10" s="544">
        <v>20</v>
      </c>
      <c r="H10" s="544"/>
      <c r="I10" s="605" t="s">
        <v>935</v>
      </c>
      <c r="J10" s="604"/>
      <c r="K10" s="544">
        <v>20</v>
      </c>
      <c r="L10" s="544"/>
      <c r="M10" s="544">
        <v>30</v>
      </c>
      <c r="N10" s="544"/>
      <c r="O10" s="544"/>
      <c r="P10" s="544"/>
      <c r="Q10" s="605">
        <v>10</v>
      </c>
      <c r="R10" s="607"/>
      <c r="S10" s="604">
        <v>12</v>
      </c>
      <c r="T10" s="544">
        <v>12</v>
      </c>
      <c r="U10" s="602" t="s">
        <v>983</v>
      </c>
      <c r="V10" s="544">
        <v>12</v>
      </c>
      <c r="W10" s="602" t="s">
        <v>983</v>
      </c>
      <c r="X10" s="602" t="s">
        <v>983</v>
      </c>
      <c r="Y10" s="602" t="s">
        <v>983</v>
      </c>
      <c r="Z10" s="602" t="s">
        <v>983</v>
      </c>
      <c r="AA10" s="602" t="s">
        <v>983</v>
      </c>
      <c r="AB10" s="602" t="s">
        <v>983</v>
      </c>
      <c r="AC10" s="602" t="s">
        <v>983</v>
      </c>
      <c r="AD10" s="602" t="s">
        <v>983</v>
      </c>
      <c r="AE10" s="603" t="s">
        <v>983</v>
      </c>
      <c r="AF10" s="604" t="s">
        <v>156</v>
      </c>
      <c r="AG10" s="605" t="s">
        <v>156</v>
      </c>
      <c r="AH10" s="608" t="s">
        <v>987</v>
      </c>
      <c r="AM10" s="184" t="s">
        <v>975</v>
      </c>
      <c r="AN10" s="617" t="s">
        <v>990</v>
      </c>
      <c r="AO10" s="520" t="s">
        <v>991</v>
      </c>
      <c r="AP10" s="520" t="s">
        <v>993</v>
      </c>
      <c r="AQ10" s="520" t="s">
        <v>991</v>
      </c>
      <c r="AR10" s="520" t="s">
        <v>993</v>
      </c>
      <c r="AS10" s="520" t="s">
        <v>993</v>
      </c>
      <c r="AT10" s="520" t="s">
        <v>992</v>
      </c>
      <c r="AU10" s="520" t="s">
        <v>992</v>
      </c>
      <c r="AV10" s="520" t="s">
        <v>992</v>
      </c>
      <c r="AW10" s="617" t="s">
        <v>986</v>
      </c>
      <c r="AX10" s="617" t="s">
        <v>986</v>
      </c>
      <c r="AY10" s="617" t="s">
        <v>986</v>
      </c>
      <c r="AZ10" s="617" t="s">
        <v>986</v>
      </c>
      <c r="BJ10" s="175" t="s">
        <v>981</v>
      </c>
    </row>
    <row r="11" spans="1:64" ht="42" thickBot="1" x14ac:dyDescent="0.3">
      <c r="B11" s="639" t="s">
        <v>115</v>
      </c>
      <c r="C11" s="537" t="s">
        <v>23</v>
      </c>
      <c r="D11" s="605">
        <v>4</v>
      </c>
      <c r="E11" s="604">
        <v>5</v>
      </c>
      <c r="F11" s="544"/>
      <c r="G11" s="544">
        <v>20</v>
      </c>
      <c r="H11" s="544"/>
      <c r="I11" s="605" t="s">
        <v>935</v>
      </c>
      <c r="J11" s="604"/>
      <c r="K11" s="544">
        <v>20</v>
      </c>
      <c r="L11" s="544"/>
      <c r="M11" s="544">
        <v>30</v>
      </c>
      <c r="N11" s="544"/>
      <c r="O11" s="544"/>
      <c r="P11" s="544"/>
      <c r="Q11" s="605">
        <v>10</v>
      </c>
      <c r="R11" s="607"/>
      <c r="S11" s="604">
        <v>12</v>
      </c>
      <c r="T11" s="544">
        <v>12</v>
      </c>
      <c r="U11" s="602" t="s">
        <v>983</v>
      </c>
      <c r="V11" s="544">
        <v>12</v>
      </c>
      <c r="W11" s="602" t="s">
        <v>983</v>
      </c>
      <c r="X11" s="602" t="s">
        <v>983</v>
      </c>
      <c r="Y11" s="602" t="s">
        <v>983</v>
      </c>
      <c r="Z11" s="602" t="s">
        <v>983</v>
      </c>
      <c r="AA11" s="602" t="s">
        <v>983</v>
      </c>
      <c r="AB11" s="602" t="s">
        <v>983</v>
      </c>
      <c r="AC11" s="602" t="s">
        <v>983</v>
      </c>
      <c r="AD11" s="602" t="s">
        <v>983</v>
      </c>
      <c r="AE11" s="603" t="s">
        <v>983</v>
      </c>
      <c r="AF11" s="604" t="s">
        <v>156</v>
      </c>
      <c r="AG11" s="605" t="s">
        <v>156</v>
      </c>
      <c r="AH11" s="608" t="s">
        <v>987</v>
      </c>
      <c r="AM11" s="184" t="s">
        <v>976</v>
      </c>
      <c r="AN11" s="617" t="s">
        <v>990</v>
      </c>
      <c r="AO11" s="520" t="s">
        <v>991</v>
      </c>
      <c r="AP11" s="520" t="s">
        <v>993</v>
      </c>
      <c r="AQ11" s="520" t="s">
        <v>991</v>
      </c>
      <c r="AR11" s="520" t="s">
        <v>993</v>
      </c>
      <c r="AS11" s="520" t="s">
        <v>993</v>
      </c>
      <c r="AT11" s="520" t="s">
        <v>992</v>
      </c>
      <c r="AU11" s="520" t="s">
        <v>992</v>
      </c>
      <c r="AV11" s="520" t="s">
        <v>992</v>
      </c>
      <c r="AW11" s="617" t="s">
        <v>986</v>
      </c>
      <c r="AX11" s="617" t="s">
        <v>986</v>
      </c>
      <c r="AY11" s="617" t="s">
        <v>986</v>
      </c>
      <c r="AZ11" s="617" t="s">
        <v>986</v>
      </c>
      <c r="BJ11" s="175" t="s">
        <v>981</v>
      </c>
    </row>
    <row r="12" spans="1:64" ht="42" thickBot="1" x14ac:dyDescent="0.3">
      <c r="B12" s="639" t="s">
        <v>116</v>
      </c>
      <c r="C12" s="537" t="s">
        <v>156</v>
      </c>
      <c r="D12" s="605">
        <v>2</v>
      </c>
      <c r="E12" s="604">
        <v>1</v>
      </c>
      <c r="F12" s="544"/>
      <c r="G12" s="544">
        <v>5</v>
      </c>
      <c r="H12" s="544"/>
      <c r="I12" s="605">
        <v>12</v>
      </c>
      <c r="J12" s="604"/>
      <c r="K12" s="544">
        <v>3</v>
      </c>
      <c r="L12" s="544"/>
      <c r="M12" s="544">
        <v>5</v>
      </c>
      <c r="N12" s="544"/>
      <c r="O12" s="544"/>
      <c r="P12" s="544"/>
      <c r="Q12" s="605">
        <v>2</v>
      </c>
      <c r="R12" s="607"/>
      <c r="S12" s="604">
        <v>10</v>
      </c>
      <c r="T12" s="544">
        <v>10</v>
      </c>
      <c r="U12" s="544">
        <v>5</v>
      </c>
      <c r="V12" s="544">
        <v>10</v>
      </c>
      <c r="W12" s="544">
        <v>5</v>
      </c>
      <c r="X12" s="544">
        <v>6</v>
      </c>
      <c r="Y12" s="544">
        <v>10</v>
      </c>
      <c r="Z12" s="602" t="s">
        <v>983</v>
      </c>
      <c r="AA12" s="602" t="s">
        <v>983</v>
      </c>
      <c r="AB12" s="602" t="s">
        <v>983</v>
      </c>
      <c r="AC12" s="602" t="s">
        <v>983</v>
      </c>
      <c r="AD12" s="602" t="s">
        <v>983</v>
      </c>
      <c r="AE12" s="603" t="s">
        <v>983</v>
      </c>
      <c r="AF12" s="604" t="s">
        <v>156</v>
      </c>
      <c r="AG12" s="605" t="s">
        <v>156</v>
      </c>
      <c r="AH12" s="608" t="s">
        <v>994</v>
      </c>
      <c r="AM12" s="184" t="s">
        <v>116</v>
      </c>
      <c r="AN12" s="617" t="s">
        <v>995</v>
      </c>
      <c r="AO12" s="617" t="s">
        <v>996</v>
      </c>
      <c r="AP12" s="617" t="s">
        <v>996</v>
      </c>
      <c r="AQ12" s="617" t="s">
        <v>996</v>
      </c>
      <c r="AR12" s="617" t="s">
        <v>997</v>
      </c>
      <c r="AS12" s="617" t="s">
        <v>997</v>
      </c>
      <c r="AT12" s="617" t="s">
        <v>997</v>
      </c>
      <c r="AU12" s="520" t="s">
        <v>993</v>
      </c>
      <c r="AV12" s="520" t="s">
        <v>993</v>
      </c>
      <c r="AW12" s="520" t="s">
        <v>998</v>
      </c>
      <c r="AX12" s="520" t="s">
        <v>993</v>
      </c>
      <c r="AY12" s="520" t="s">
        <v>993</v>
      </c>
      <c r="AZ12" s="617" t="s">
        <v>986</v>
      </c>
      <c r="BJ12" s="175" t="s">
        <v>981</v>
      </c>
    </row>
    <row r="13" spans="1:64" ht="42" thickBot="1" x14ac:dyDescent="0.3">
      <c r="B13" s="639" t="s">
        <v>117</v>
      </c>
      <c r="C13" s="537" t="s">
        <v>156</v>
      </c>
      <c r="D13" s="605">
        <v>2</v>
      </c>
      <c r="E13" s="604">
        <v>5</v>
      </c>
      <c r="F13" s="544"/>
      <c r="G13" s="544">
        <v>20</v>
      </c>
      <c r="H13" s="544"/>
      <c r="I13" s="605" t="s">
        <v>935</v>
      </c>
      <c r="J13" s="604"/>
      <c r="K13" s="544">
        <v>20</v>
      </c>
      <c r="L13" s="544"/>
      <c r="M13" s="544">
        <v>30</v>
      </c>
      <c r="N13" s="544"/>
      <c r="O13" s="544"/>
      <c r="P13" s="544"/>
      <c r="Q13" s="605">
        <v>10</v>
      </c>
      <c r="R13" s="607"/>
      <c r="S13" s="604">
        <v>12</v>
      </c>
      <c r="T13" s="544">
        <v>12</v>
      </c>
      <c r="U13" s="602" t="s">
        <v>983</v>
      </c>
      <c r="V13" s="544">
        <v>12</v>
      </c>
      <c r="W13" s="602" t="s">
        <v>983</v>
      </c>
      <c r="X13" s="602" t="s">
        <v>983</v>
      </c>
      <c r="Y13" s="544">
        <v>12</v>
      </c>
      <c r="Z13" s="602" t="s">
        <v>983</v>
      </c>
      <c r="AA13" s="602" t="s">
        <v>983</v>
      </c>
      <c r="AB13" s="602" t="s">
        <v>983</v>
      </c>
      <c r="AC13" s="602" t="s">
        <v>983</v>
      </c>
      <c r="AD13" s="602" t="s">
        <v>983</v>
      </c>
      <c r="AE13" s="603" t="s">
        <v>983</v>
      </c>
      <c r="AF13" s="604" t="s">
        <v>156</v>
      </c>
      <c r="AG13" s="605" t="s">
        <v>156</v>
      </c>
      <c r="AH13" s="608" t="s">
        <v>994</v>
      </c>
      <c r="AM13" s="184" t="s">
        <v>117</v>
      </c>
      <c r="AN13" s="617" t="s">
        <v>995</v>
      </c>
      <c r="AO13" s="617" t="s">
        <v>996</v>
      </c>
      <c r="AP13" s="520" t="s">
        <v>993</v>
      </c>
      <c r="AQ13" s="617" t="s">
        <v>996</v>
      </c>
      <c r="AR13" s="520" t="s">
        <v>993</v>
      </c>
      <c r="AS13" s="520" t="s">
        <v>993</v>
      </c>
      <c r="AT13" s="617" t="s">
        <v>997</v>
      </c>
      <c r="AU13" s="520" t="s">
        <v>993</v>
      </c>
      <c r="AV13" s="520" t="s">
        <v>993</v>
      </c>
      <c r="AW13" s="520" t="s">
        <v>993</v>
      </c>
      <c r="AX13" s="520" t="s">
        <v>998</v>
      </c>
      <c r="AY13" s="520" t="s">
        <v>998</v>
      </c>
      <c r="AZ13" s="617" t="s">
        <v>986</v>
      </c>
      <c r="BJ13" s="175" t="s">
        <v>981</v>
      </c>
    </row>
    <row r="14" spans="1:64" ht="42" thickBot="1" x14ac:dyDescent="0.3">
      <c r="B14" s="639" t="s">
        <v>118</v>
      </c>
      <c r="C14" s="537" t="s">
        <v>156</v>
      </c>
      <c r="D14" s="605">
        <v>2</v>
      </c>
      <c r="E14" s="604">
        <v>5</v>
      </c>
      <c r="F14" s="544"/>
      <c r="G14" s="544">
        <v>20</v>
      </c>
      <c r="H14" s="544"/>
      <c r="I14" s="605" t="s">
        <v>935</v>
      </c>
      <c r="J14" s="604"/>
      <c r="K14" s="544">
        <v>20</v>
      </c>
      <c r="L14" s="544"/>
      <c r="M14" s="544">
        <v>30</v>
      </c>
      <c r="N14" s="544"/>
      <c r="O14" s="544"/>
      <c r="P14" s="544"/>
      <c r="Q14" s="605">
        <v>10</v>
      </c>
      <c r="R14" s="607"/>
      <c r="S14" s="604">
        <v>12</v>
      </c>
      <c r="T14" s="544">
        <v>12</v>
      </c>
      <c r="U14" s="602" t="s">
        <v>983</v>
      </c>
      <c r="V14" s="544">
        <v>12</v>
      </c>
      <c r="W14" s="602" t="s">
        <v>983</v>
      </c>
      <c r="X14" s="602" t="s">
        <v>983</v>
      </c>
      <c r="Y14" s="544">
        <v>12</v>
      </c>
      <c r="Z14" s="602" t="s">
        <v>983</v>
      </c>
      <c r="AA14" s="602" t="s">
        <v>983</v>
      </c>
      <c r="AB14" s="602" t="s">
        <v>983</v>
      </c>
      <c r="AC14" s="602" t="s">
        <v>983</v>
      </c>
      <c r="AD14" s="602" t="s">
        <v>983</v>
      </c>
      <c r="AE14" s="603" t="s">
        <v>983</v>
      </c>
      <c r="AF14" s="604" t="s">
        <v>156</v>
      </c>
      <c r="AG14" s="605" t="s">
        <v>156</v>
      </c>
      <c r="AH14" s="608" t="s">
        <v>994</v>
      </c>
      <c r="AM14" s="184" t="s">
        <v>118</v>
      </c>
      <c r="AN14" s="617" t="s">
        <v>995</v>
      </c>
      <c r="AO14" s="617" t="s">
        <v>996</v>
      </c>
      <c r="AP14" s="520" t="s">
        <v>993</v>
      </c>
      <c r="AQ14" s="617" t="s">
        <v>996</v>
      </c>
      <c r="AR14" s="520" t="s">
        <v>993</v>
      </c>
      <c r="AS14" s="520" t="s">
        <v>993</v>
      </c>
      <c r="AT14" s="617" t="s">
        <v>997</v>
      </c>
      <c r="AU14" s="520" t="s">
        <v>993</v>
      </c>
      <c r="AV14" s="520" t="s">
        <v>993</v>
      </c>
      <c r="AW14" s="520" t="s">
        <v>993</v>
      </c>
      <c r="AX14" s="520" t="s">
        <v>998</v>
      </c>
      <c r="AY14" s="520" t="s">
        <v>998</v>
      </c>
      <c r="AZ14" s="617" t="s">
        <v>986</v>
      </c>
      <c r="BJ14" s="175" t="s">
        <v>981</v>
      </c>
    </row>
    <row r="15" spans="1:64" ht="42" thickBot="1" x14ac:dyDescent="0.3">
      <c r="B15" s="640" t="s">
        <v>119</v>
      </c>
      <c r="C15" s="500" t="s">
        <v>397</v>
      </c>
      <c r="D15" s="595">
        <v>1</v>
      </c>
      <c r="E15" s="609">
        <v>1</v>
      </c>
      <c r="F15" s="526"/>
      <c r="G15" s="526" t="s">
        <v>924</v>
      </c>
      <c r="H15" s="526"/>
      <c r="I15" s="595" t="s">
        <v>924</v>
      </c>
      <c r="J15" s="609"/>
      <c r="K15" s="526" t="s">
        <v>924</v>
      </c>
      <c r="L15" s="526"/>
      <c r="M15" s="526" t="s">
        <v>924</v>
      </c>
      <c r="N15" s="526"/>
      <c r="O15" s="526"/>
      <c r="P15" s="526"/>
      <c r="Q15" s="595" t="s">
        <v>924</v>
      </c>
      <c r="R15" s="610"/>
      <c r="S15" s="611" t="s">
        <v>983</v>
      </c>
      <c r="T15" s="612" t="s">
        <v>983</v>
      </c>
      <c r="U15" s="612" t="s">
        <v>983</v>
      </c>
      <c r="V15" s="612" t="s">
        <v>983</v>
      </c>
      <c r="W15" s="612" t="s">
        <v>983</v>
      </c>
      <c r="X15" s="612" t="s">
        <v>983</v>
      </c>
      <c r="Y15" s="612" t="s">
        <v>983</v>
      </c>
      <c r="Z15" s="612" t="s">
        <v>983</v>
      </c>
      <c r="AA15" s="612" t="s">
        <v>983</v>
      </c>
      <c r="AB15" s="612" t="s">
        <v>983</v>
      </c>
      <c r="AC15" s="612" t="s">
        <v>983</v>
      </c>
      <c r="AD15" s="612" t="s">
        <v>983</v>
      </c>
      <c r="AE15" s="613" t="s">
        <v>983</v>
      </c>
      <c r="AF15" s="609" t="s">
        <v>156</v>
      </c>
      <c r="AG15" s="595" t="s">
        <v>156</v>
      </c>
      <c r="AH15" s="568" t="s">
        <v>994</v>
      </c>
      <c r="AM15" s="184" t="s">
        <v>119</v>
      </c>
      <c r="AN15" s="520" t="s">
        <v>993</v>
      </c>
      <c r="AO15" s="520" t="s">
        <v>993</v>
      </c>
      <c r="AP15" s="520" t="s">
        <v>993</v>
      </c>
      <c r="AQ15" s="520" t="s">
        <v>993</v>
      </c>
      <c r="AR15" s="520" t="s">
        <v>993</v>
      </c>
      <c r="AS15" s="520" t="s">
        <v>993</v>
      </c>
      <c r="AT15" s="520" t="s">
        <v>993</v>
      </c>
      <c r="AU15" s="520" t="s">
        <v>993</v>
      </c>
      <c r="AV15" s="520" t="s">
        <v>993</v>
      </c>
      <c r="AW15" s="520" t="s">
        <v>993</v>
      </c>
      <c r="AX15" s="520" t="s">
        <v>993</v>
      </c>
      <c r="AY15" s="520" t="s">
        <v>993</v>
      </c>
      <c r="AZ15" s="520" t="s">
        <v>999</v>
      </c>
      <c r="BJ15" s="175" t="s">
        <v>982</v>
      </c>
    </row>
    <row r="16" spans="1:64" x14ac:dyDescent="0.25">
      <c r="Q16" s="46"/>
    </row>
    <row r="17" spans="17:17" x14ac:dyDescent="0.25">
      <c r="Q17" s="31"/>
    </row>
    <row r="18" spans="17:17" x14ac:dyDescent="0.25">
      <c r="Q18" s="31"/>
    </row>
    <row r="19" spans="17:17" x14ac:dyDescent="0.25">
      <c r="Q19" s="31"/>
    </row>
    <row r="20" spans="17:17" ht="184.5" hidden="1" customHeight="1" x14ac:dyDescent="0.25"/>
  </sheetData>
  <sheetProtection algorithmName="SHA-512" hashValue="gnb4iphI83TBg+35+X8XHYqim3Sgt1GWU85UJsDgJYjlZih/s9xoiP2qO03Vs3Isv9PvhYjQfmE3QSEuaTMwaw==" saltValue="XEusxsX5Dlag1Cv9nc2iPg=="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BK1:BL1"/>
    <mergeCell ref="AF1:AG1"/>
    <mergeCell ref="AH1:AH2"/>
    <mergeCell ref="AJ1:AK1"/>
    <mergeCell ref="AN1:AZ1"/>
    <mergeCell ref="A1:B1"/>
    <mergeCell ref="E1:I1"/>
    <mergeCell ref="C1:D1"/>
    <mergeCell ref="J1:R1"/>
    <mergeCell ref="S1:AE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BJ30"/>
  <sheetViews>
    <sheetView showGridLines="0" showRowColHeaders="0" workbookViewId="0">
      <selection activeCell="S28" sqref="S28"/>
    </sheetView>
  </sheetViews>
  <sheetFormatPr defaultColWidth="0" defaultRowHeight="13.8" zeroHeight="1" x14ac:dyDescent="0.25"/>
  <cols>
    <col min="1" max="1" width="9.109375" style="31" customWidth="1"/>
    <col min="2" max="2" width="37.33203125" style="31" customWidth="1"/>
    <col min="3" max="4" width="17.6640625" style="31" customWidth="1"/>
    <col min="5" max="5" width="14.5546875" style="31" customWidth="1"/>
    <col min="6" max="6" width="15.6640625" style="31" customWidth="1"/>
    <col min="7" max="7" width="13.109375" style="31" customWidth="1"/>
    <col min="8" max="9" width="11.88671875" style="31" customWidth="1"/>
    <col min="10" max="10" width="13" style="31" customWidth="1"/>
    <col min="11" max="11" width="12.109375" style="31" customWidth="1"/>
    <col min="12" max="13" width="10.6640625" style="31" customWidth="1"/>
    <col min="14" max="14" width="14.109375" style="31" customWidth="1"/>
    <col min="15" max="15" width="8.5546875" style="31" customWidth="1"/>
    <col min="16" max="16" width="10.6640625" style="31" customWidth="1"/>
    <col min="17" max="17" width="19" style="31" customWidth="1"/>
    <col min="18" max="18" width="16" style="31" customWidth="1"/>
    <col min="19" max="19" width="14.44140625" style="31" customWidth="1"/>
    <col min="20" max="20" width="15.88671875" style="31" customWidth="1"/>
    <col min="21" max="22" width="15.6640625" style="31" customWidth="1"/>
    <col min="23" max="26" width="10.6640625" style="31" customWidth="1"/>
    <col min="27" max="27" width="18.88671875" style="31" bestFit="1" customWidth="1"/>
    <col min="28" max="28" width="13.44140625" style="31" customWidth="1"/>
    <col min="29" max="29" width="9.109375" style="31" customWidth="1"/>
    <col min="30" max="30" width="18" style="31" customWidth="1"/>
    <col min="31" max="31" width="9.5546875" style="31" bestFit="1" customWidth="1"/>
    <col min="32" max="32" width="9.109375" style="31" customWidth="1"/>
    <col min="33" max="33" width="59.88671875" style="31" customWidth="1"/>
    <col min="34" max="34" width="24.6640625" style="31" customWidth="1"/>
    <col min="35" max="35" width="18.88671875" style="31" customWidth="1"/>
    <col min="36" max="36" width="9.109375" style="31" customWidth="1"/>
    <col min="37" max="37" width="46.6640625" style="31" bestFit="1" customWidth="1"/>
    <col min="38" max="38" width="24.33203125" style="31" customWidth="1"/>
    <col min="39" max="39" width="13.6640625" style="31" customWidth="1"/>
    <col min="40" max="40" width="9.109375" style="31" customWidth="1"/>
    <col min="41" max="41" width="28.33203125" style="31" customWidth="1"/>
    <col min="42" max="42" width="13" style="31" customWidth="1"/>
    <col min="43" max="44" width="9.109375" style="31" customWidth="1"/>
    <col min="45" max="45" width="25.109375" style="31" bestFit="1" customWidth="1"/>
    <col min="46" max="46" width="20.44140625" style="31" bestFit="1" customWidth="1"/>
    <col min="47" max="47" width="31.33203125" style="31" customWidth="1"/>
    <col min="48" max="48" width="9.109375" style="31" customWidth="1"/>
    <col min="49" max="49" width="13" style="31" customWidth="1"/>
    <col min="50" max="50" width="9.109375" style="31" hidden="1" customWidth="1"/>
    <col min="51" max="51" width="23.6640625" style="31" hidden="1" customWidth="1"/>
    <col min="52" max="52" width="15.6640625" style="31" hidden="1" customWidth="1"/>
    <col min="53" max="53" width="9.109375" style="31" hidden="1" customWidth="1"/>
    <col min="54" max="55" width="10.88671875" style="31" hidden="1" customWidth="1"/>
    <col min="56" max="62" width="0" style="31" hidden="1" customWidth="1"/>
    <col min="63" max="16384" width="9.109375" style="31" hidden="1"/>
  </cols>
  <sheetData>
    <row r="1" spans="1:55" ht="14.4" thickBot="1" x14ac:dyDescent="0.3">
      <c r="A1" s="1053"/>
      <c r="B1" s="1053"/>
    </row>
    <row r="2" spans="1:55" ht="31.5" customHeight="1" thickBot="1" x14ac:dyDescent="0.35">
      <c r="A2" s="1053"/>
      <c r="B2" s="1053"/>
      <c r="C2" s="1067" t="s">
        <v>871</v>
      </c>
      <c r="D2" s="1068"/>
      <c r="E2" s="1057" t="s">
        <v>291</v>
      </c>
      <c r="F2" s="1058"/>
      <c r="G2" s="1058"/>
      <c r="H2" s="1057" t="s">
        <v>966</v>
      </c>
      <c r="I2" s="1058"/>
      <c r="J2" s="1058"/>
      <c r="K2" s="1058"/>
      <c r="L2" s="1059"/>
      <c r="N2" s="1069" t="s">
        <v>1000</v>
      </c>
      <c r="O2" s="1070"/>
      <c r="Q2" s="1065" t="s">
        <v>1001</v>
      </c>
      <c r="R2" s="1066"/>
      <c r="T2" s="1006" t="s">
        <v>1002</v>
      </c>
      <c r="U2" s="1012"/>
      <c r="V2" s="1012"/>
      <c r="W2" s="1012"/>
      <c r="X2" s="1012"/>
      <c r="Y2" s="1074"/>
      <c r="AA2" s="1075" t="s">
        <v>1003</v>
      </c>
      <c r="AB2" s="1076"/>
      <c r="AC2" s="132"/>
      <c r="AD2" s="1075" t="s">
        <v>1003</v>
      </c>
      <c r="AE2" s="1076"/>
      <c r="AG2" s="1075" t="s">
        <v>1004</v>
      </c>
      <c r="AH2" s="1077"/>
      <c r="AI2" s="1076"/>
      <c r="AK2" s="1075" t="s">
        <v>1004</v>
      </c>
      <c r="AL2" s="1077"/>
      <c r="AM2" s="1076"/>
      <c r="AO2" s="833" t="s">
        <v>1004</v>
      </c>
      <c r="AP2" s="1071"/>
      <c r="AQ2" s="289"/>
      <c r="AS2" s="1034" t="s">
        <v>1005</v>
      </c>
      <c r="AT2" s="1072"/>
      <c r="AU2" s="1073"/>
      <c r="AY2" s="290"/>
      <c r="AZ2" s="291" t="s">
        <v>200</v>
      </c>
      <c r="BB2" s="290" t="s">
        <v>1006</v>
      </c>
      <c r="BC2" s="291" t="s">
        <v>1007</v>
      </c>
    </row>
    <row r="3" spans="1:55" ht="42" thickBot="1" x14ac:dyDescent="0.3">
      <c r="B3" s="292" t="s">
        <v>820</v>
      </c>
      <c r="C3" s="266" t="s">
        <v>970</v>
      </c>
      <c r="D3" s="136" t="s">
        <v>971</v>
      </c>
      <c r="E3" s="641" t="s">
        <v>359</v>
      </c>
      <c r="F3" s="136" t="s">
        <v>360</v>
      </c>
      <c r="G3" s="643" t="s">
        <v>965</v>
      </c>
      <c r="H3" s="642" t="s">
        <v>21</v>
      </c>
      <c r="I3" s="293" t="s">
        <v>382</v>
      </c>
      <c r="J3" s="293" t="s">
        <v>20</v>
      </c>
      <c r="K3" s="293" t="s">
        <v>393</v>
      </c>
      <c r="L3" s="294" t="s">
        <v>242</v>
      </c>
      <c r="N3" s="644" t="s">
        <v>21</v>
      </c>
      <c r="O3" s="504">
        <v>10</v>
      </c>
      <c r="Q3" s="344" t="s">
        <v>967</v>
      </c>
      <c r="R3" s="595">
        <v>10</v>
      </c>
      <c r="T3" s="266"/>
      <c r="U3" s="1006" t="s">
        <v>1008</v>
      </c>
      <c r="V3" s="1012"/>
      <c r="W3" s="1012"/>
      <c r="X3" s="1012"/>
      <c r="Y3" s="1074"/>
      <c r="AA3" s="266" t="s">
        <v>1009</v>
      </c>
      <c r="AB3" s="265" t="s">
        <v>1010</v>
      </c>
      <c r="AC3" s="132"/>
      <c r="AD3" s="266" t="s">
        <v>1011</v>
      </c>
      <c r="AE3" s="265" t="s">
        <v>1010</v>
      </c>
      <c r="AG3" s="265" t="s">
        <v>1012</v>
      </c>
      <c r="AH3" s="264" t="s">
        <v>66</v>
      </c>
      <c r="AI3" s="136" t="s">
        <v>1013</v>
      </c>
      <c r="AK3" s="265" t="s">
        <v>1012</v>
      </c>
      <c r="AL3" s="264" t="s">
        <v>66</v>
      </c>
      <c r="AM3" s="136" t="s">
        <v>1013</v>
      </c>
      <c r="AO3" s="295" t="s">
        <v>1012</v>
      </c>
      <c r="AP3" s="136" t="s">
        <v>1013</v>
      </c>
      <c r="AS3" s="290" t="s">
        <v>1014</v>
      </c>
      <c r="AT3" s="296" t="s">
        <v>971</v>
      </c>
      <c r="AU3" s="291" t="s">
        <v>1015</v>
      </c>
      <c r="AY3" s="297" t="s">
        <v>139</v>
      </c>
      <c r="AZ3" s="298" t="s">
        <v>1006</v>
      </c>
      <c r="BB3" s="143" t="s">
        <v>21</v>
      </c>
      <c r="BC3" s="144" t="s">
        <v>242</v>
      </c>
    </row>
    <row r="4" spans="1:55" ht="28.2" thickBot="1" x14ac:dyDescent="0.3">
      <c r="B4" s="88" t="s">
        <v>139</v>
      </c>
      <c r="C4" s="571" t="s">
        <v>375</v>
      </c>
      <c r="D4" s="520">
        <v>8</v>
      </c>
      <c r="E4" s="586" t="s">
        <v>153</v>
      </c>
      <c r="F4" s="586" t="s">
        <v>23</v>
      </c>
      <c r="G4" s="594" t="s">
        <v>1016</v>
      </c>
      <c r="H4" s="586">
        <v>3</v>
      </c>
      <c r="I4" s="586">
        <v>2.5</v>
      </c>
      <c r="J4" s="586">
        <v>2</v>
      </c>
      <c r="K4" s="586">
        <v>1.5</v>
      </c>
      <c r="L4" s="594">
        <v>1</v>
      </c>
      <c r="M4" s="22"/>
      <c r="N4" s="130" t="s">
        <v>382</v>
      </c>
      <c r="O4" s="520">
        <v>8</v>
      </c>
      <c r="T4" s="167" t="s">
        <v>1017</v>
      </c>
      <c r="U4" s="645" t="s">
        <v>242</v>
      </c>
      <c r="V4" s="299" t="s">
        <v>393</v>
      </c>
      <c r="W4" s="299" t="s">
        <v>20</v>
      </c>
      <c r="X4" s="299" t="s">
        <v>382</v>
      </c>
      <c r="Y4" s="299" t="s">
        <v>21</v>
      </c>
      <c r="AA4" s="104" t="s">
        <v>1018</v>
      </c>
      <c r="AB4" s="544">
        <v>1</v>
      </c>
      <c r="AC4" s="132"/>
      <c r="AD4" s="104" t="s">
        <v>1018</v>
      </c>
      <c r="AE4" s="544">
        <v>1</v>
      </c>
      <c r="AG4" s="104" t="s">
        <v>1019</v>
      </c>
      <c r="AH4" s="520" t="s">
        <v>922</v>
      </c>
      <c r="AI4" s="544">
        <v>1</v>
      </c>
      <c r="AK4" s="104" t="s">
        <v>1019</v>
      </c>
      <c r="AL4" s="520" t="s">
        <v>922</v>
      </c>
      <c r="AM4" s="544">
        <v>1</v>
      </c>
      <c r="AO4" s="130" t="s">
        <v>1020</v>
      </c>
      <c r="AP4" s="544">
        <v>1</v>
      </c>
      <c r="AS4" s="300" t="s">
        <v>375</v>
      </c>
      <c r="AT4" s="521">
        <v>8</v>
      </c>
      <c r="AU4" s="648" t="s">
        <v>1021</v>
      </c>
      <c r="AY4" s="87" t="s">
        <v>140</v>
      </c>
      <c r="AZ4" s="298" t="s">
        <v>1006</v>
      </c>
      <c r="BB4" s="187" t="s">
        <v>382</v>
      </c>
      <c r="BC4" s="301"/>
    </row>
    <row r="5" spans="1:55" ht="27.6" x14ac:dyDescent="0.25">
      <c r="B5" s="88" t="s">
        <v>140</v>
      </c>
      <c r="C5" s="571" t="s">
        <v>153</v>
      </c>
      <c r="D5" s="520">
        <v>6</v>
      </c>
      <c r="E5" s="586" t="s">
        <v>153</v>
      </c>
      <c r="F5" s="586" t="s">
        <v>23</v>
      </c>
      <c r="G5" s="594" t="s">
        <v>1016</v>
      </c>
      <c r="H5" s="586">
        <v>3</v>
      </c>
      <c r="I5" s="586">
        <v>2.5</v>
      </c>
      <c r="J5" s="586">
        <v>2</v>
      </c>
      <c r="K5" s="586">
        <v>1.5</v>
      </c>
      <c r="L5" s="594">
        <v>1</v>
      </c>
      <c r="M5" s="22"/>
      <c r="N5" s="130" t="s">
        <v>20</v>
      </c>
      <c r="O5" s="520">
        <v>5</v>
      </c>
      <c r="T5" s="130" t="s">
        <v>242</v>
      </c>
      <c r="U5" s="646">
        <v>1</v>
      </c>
      <c r="V5" s="585">
        <v>2</v>
      </c>
      <c r="W5" s="585">
        <v>4</v>
      </c>
      <c r="X5" s="585">
        <v>6</v>
      </c>
      <c r="Y5" s="585">
        <v>8</v>
      </c>
      <c r="AA5" s="104" t="s">
        <v>1022</v>
      </c>
      <c r="AB5" s="544">
        <v>0.8</v>
      </c>
      <c r="AC5" s="132"/>
      <c r="AD5" s="104" t="s">
        <v>1022</v>
      </c>
      <c r="AE5" s="544">
        <v>0.95</v>
      </c>
      <c r="AG5" s="104" t="s">
        <v>1023</v>
      </c>
      <c r="AH5" s="520" t="s">
        <v>914</v>
      </c>
      <c r="AI5" s="544">
        <v>1.1499999999999999</v>
      </c>
      <c r="AK5" s="104" t="s">
        <v>1024</v>
      </c>
      <c r="AL5" s="520" t="s">
        <v>914</v>
      </c>
      <c r="AM5" s="544">
        <v>1.1499999999999999</v>
      </c>
      <c r="AO5" s="130" t="s">
        <v>1025</v>
      </c>
      <c r="AP5" s="544">
        <v>0.75</v>
      </c>
      <c r="AS5" s="267" t="s">
        <v>153</v>
      </c>
      <c r="AT5" s="544">
        <v>6</v>
      </c>
      <c r="AU5" s="524" t="s">
        <v>1026</v>
      </c>
      <c r="AY5" s="87" t="s">
        <v>141</v>
      </c>
      <c r="AZ5" s="298" t="s">
        <v>1006</v>
      </c>
      <c r="BB5" s="187" t="s">
        <v>20</v>
      </c>
      <c r="BC5" s="301"/>
    </row>
    <row r="6" spans="1:55" x14ac:dyDescent="0.25">
      <c r="B6" s="88" t="s">
        <v>141</v>
      </c>
      <c r="C6" s="571" t="s">
        <v>23</v>
      </c>
      <c r="D6" s="544">
        <v>4</v>
      </c>
      <c r="E6" s="586" t="s">
        <v>156</v>
      </c>
      <c r="F6" s="586" t="s">
        <v>23</v>
      </c>
      <c r="G6" s="594" t="s">
        <v>1016</v>
      </c>
      <c r="H6" s="586">
        <v>3</v>
      </c>
      <c r="I6" s="586">
        <v>2.5</v>
      </c>
      <c r="J6" s="586">
        <v>2</v>
      </c>
      <c r="K6" s="586">
        <v>1.5</v>
      </c>
      <c r="L6" s="594">
        <v>1</v>
      </c>
      <c r="M6" s="22"/>
      <c r="N6" s="130" t="s">
        <v>393</v>
      </c>
      <c r="O6" s="520">
        <v>2</v>
      </c>
      <c r="T6" s="130" t="s">
        <v>393</v>
      </c>
      <c r="U6" s="647" t="s">
        <v>924</v>
      </c>
      <c r="V6" s="586">
        <v>1</v>
      </c>
      <c r="W6" s="586">
        <v>2</v>
      </c>
      <c r="X6" s="586">
        <v>4</v>
      </c>
      <c r="Y6" s="586">
        <v>6</v>
      </c>
      <c r="AA6" s="104" t="s">
        <v>1027</v>
      </c>
      <c r="AB6" s="544">
        <v>0.5</v>
      </c>
      <c r="AC6" s="132"/>
      <c r="AD6" s="104" t="s">
        <v>20</v>
      </c>
      <c r="AE6" s="544">
        <v>0.85</v>
      </c>
      <c r="AG6" s="104" t="s">
        <v>1028</v>
      </c>
      <c r="AH6" s="520" t="s">
        <v>914</v>
      </c>
      <c r="AI6" s="544">
        <v>1.1499999999999999</v>
      </c>
      <c r="AK6" s="104" t="s">
        <v>1029</v>
      </c>
      <c r="AL6" s="520" t="s">
        <v>914</v>
      </c>
      <c r="AM6" s="544">
        <v>1.1499999999999999</v>
      </c>
      <c r="AO6" s="130" t="s">
        <v>1030</v>
      </c>
      <c r="AP6" s="544">
        <v>0.5</v>
      </c>
      <c r="AS6" s="267" t="s">
        <v>23</v>
      </c>
      <c r="AT6" s="544">
        <v>4</v>
      </c>
      <c r="AU6" s="524" t="s">
        <v>1031</v>
      </c>
      <c r="AY6" s="87" t="s">
        <v>142</v>
      </c>
      <c r="AZ6" s="298" t="s">
        <v>1006</v>
      </c>
      <c r="BB6" s="187" t="s">
        <v>393</v>
      </c>
      <c r="BC6" s="301"/>
    </row>
    <row r="7" spans="1:55" ht="14.4" thickBot="1" x14ac:dyDescent="0.3">
      <c r="B7" s="88" t="s">
        <v>142</v>
      </c>
      <c r="C7" s="571" t="s">
        <v>23</v>
      </c>
      <c r="D7" s="544">
        <v>4</v>
      </c>
      <c r="E7" s="586" t="s">
        <v>156</v>
      </c>
      <c r="F7" s="586" t="s">
        <v>23</v>
      </c>
      <c r="G7" s="594" t="s">
        <v>1016</v>
      </c>
      <c r="H7" s="586">
        <v>3</v>
      </c>
      <c r="I7" s="586">
        <v>2.5</v>
      </c>
      <c r="J7" s="586">
        <v>2</v>
      </c>
      <c r="K7" s="586">
        <v>1.5</v>
      </c>
      <c r="L7" s="594">
        <v>1</v>
      </c>
      <c r="M7" s="22"/>
      <c r="N7" s="130" t="s">
        <v>242</v>
      </c>
      <c r="O7" s="520">
        <v>1</v>
      </c>
      <c r="T7" s="130" t="s">
        <v>20</v>
      </c>
      <c r="U7" s="647" t="s">
        <v>924</v>
      </c>
      <c r="V7" s="586" t="s">
        <v>924</v>
      </c>
      <c r="W7" s="586">
        <v>1</v>
      </c>
      <c r="X7" s="586">
        <v>2</v>
      </c>
      <c r="Y7" s="586">
        <v>4</v>
      </c>
      <c r="AA7" s="104" t="s">
        <v>1032</v>
      </c>
      <c r="AB7" s="544">
        <v>1</v>
      </c>
      <c r="AC7" s="132"/>
      <c r="AD7" s="104" t="s">
        <v>1027</v>
      </c>
      <c r="AE7" s="544">
        <v>0.75</v>
      </c>
      <c r="AG7" s="104" t="s">
        <v>1033</v>
      </c>
      <c r="AH7" s="520" t="s">
        <v>914</v>
      </c>
      <c r="AI7" s="544">
        <v>1.1499999999999999</v>
      </c>
      <c r="AK7" s="104" t="s">
        <v>1034</v>
      </c>
      <c r="AL7" s="520" t="s">
        <v>914</v>
      </c>
      <c r="AM7" s="544">
        <v>1.1499999999999999</v>
      </c>
      <c r="AO7" s="302"/>
      <c r="AP7" s="302"/>
      <c r="AS7" s="262" t="s">
        <v>156</v>
      </c>
      <c r="AT7" s="526">
        <v>2</v>
      </c>
      <c r="AU7" s="595" t="s">
        <v>1035</v>
      </c>
      <c r="AY7" s="89" t="s">
        <v>143</v>
      </c>
      <c r="AZ7" s="298" t="s">
        <v>1007</v>
      </c>
      <c r="BB7" s="189" t="s">
        <v>242</v>
      </c>
      <c r="BC7" s="303"/>
    </row>
    <row r="8" spans="1:55" x14ac:dyDescent="0.25">
      <c r="B8" s="110" t="s">
        <v>143</v>
      </c>
      <c r="C8" s="571" t="s">
        <v>156</v>
      </c>
      <c r="D8" s="544">
        <v>2</v>
      </c>
      <c r="E8" s="586" t="s">
        <v>156</v>
      </c>
      <c r="F8" s="586" t="s">
        <v>23</v>
      </c>
      <c r="G8" s="594" t="s">
        <v>1016</v>
      </c>
      <c r="H8" s="586" t="s">
        <v>934</v>
      </c>
      <c r="I8" s="586" t="s">
        <v>934</v>
      </c>
      <c r="J8" s="586" t="s">
        <v>934</v>
      </c>
      <c r="K8" s="586" t="s">
        <v>934</v>
      </c>
      <c r="L8" s="594">
        <v>1</v>
      </c>
      <c r="M8" s="22"/>
      <c r="T8" s="130" t="s">
        <v>382</v>
      </c>
      <c r="U8" s="647" t="s">
        <v>924</v>
      </c>
      <c r="V8" s="586" t="s">
        <v>924</v>
      </c>
      <c r="W8" s="586" t="s">
        <v>924</v>
      </c>
      <c r="X8" s="586">
        <v>1</v>
      </c>
      <c r="Y8" s="586">
        <v>2</v>
      </c>
      <c r="AC8" s="132"/>
      <c r="AG8" s="104" t="s">
        <v>1036</v>
      </c>
      <c r="AH8" s="520" t="s">
        <v>914</v>
      </c>
      <c r="AI8" s="544">
        <v>1.1499999999999999</v>
      </c>
      <c r="AK8" s="104" t="s">
        <v>1037</v>
      </c>
      <c r="AL8" s="520" t="s">
        <v>914</v>
      </c>
      <c r="AM8" s="544">
        <v>1.1499999999999999</v>
      </c>
    </row>
    <row r="9" spans="1:55" x14ac:dyDescent="0.25">
      <c r="T9" s="130" t="s">
        <v>21</v>
      </c>
      <c r="U9" s="647" t="s">
        <v>924</v>
      </c>
      <c r="V9" s="586" t="s">
        <v>924</v>
      </c>
      <c r="W9" s="586" t="s">
        <v>924</v>
      </c>
      <c r="X9" s="586" t="s">
        <v>924</v>
      </c>
      <c r="Y9" s="586">
        <v>1</v>
      </c>
      <c r="AG9" s="104" t="s">
        <v>1038</v>
      </c>
      <c r="AH9" s="520" t="s">
        <v>914</v>
      </c>
      <c r="AI9" s="544">
        <v>1.1499999999999999</v>
      </c>
      <c r="AK9" s="104" t="s">
        <v>1039</v>
      </c>
      <c r="AL9" s="520" t="s">
        <v>914</v>
      </c>
      <c r="AM9" s="544">
        <v>1.1499999999999999</v>
      </c>
    </row>
    <row r="10" spans="1:55" x14ac:dyDescent="0.25">
      <c r="AF10" s="132"/>
    </row>
    <row r="11" spans="1:55" x14ac:dyDescent="0.25">
      <c r="AF11" s="132"/>
    </row>
    <row r="12" spans="1:55" x14ac:dyDescent="0.25">
      <c r="AF12" s="132"/>
    </row>
    <row r="13" spans="1:55" x14ac:dyDescent="0.25">
      <c r="AF13" s="132"/>
      <c r="AG13" s="132"/>
      <c r="AH13" s="132"/>
    </row>
    <row r="14" spans="1:55" x14ac:dyDescent="0.25">
      <c r="AF14" s="132"/>
    </row>
    <row r="15" spans="1:55" x14ac:dyDescent="0.25"/>
    <row r="16" spans="1:55"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sheetData>
  <sheetProtection algorithmName="SHA-512" hashValue="NiMLO3g70PVOG64djAUkiK9US5VDgjEfS8U6sqljLhczHzciBkV2iw2CHH3h/YN20TyvAdDv55LsyWqm/jcUDA==" saltValue="mcCGlK0xVDseic36vqIQ7Q==" spinCount="100000" sheet="1" objects="1" scenarios="1"/>
  <customSheetViews>
    <customSheetView guid="{8BDA793C-C9C5-4FC6-A0A5-F1109F6D4F22}" state="hidden">
      <selection activeCell="D14" sqref="D14"/>
    </customSheetView>
  </customSheetViews>
  <mergeCells count="14">
    <mergeCell ref="AO2:AP2"/>
    <mergeCell ref="AS2:AU2"/>
    <mergeCell ref="U3:Y3"/>
    <mergeCell ref="T2:Y2"/>
    <mergeCell ref="AA2:AB2"/>
    <mergeCell ref="AD2:AE2"/>
    <mergeCell ref="AG2:AI2"/>
    <mergeCell ref="AK2:AM2"/>
    <mergeCell ref="Q2:R2"/>
    <mergeCell ref="A1:B2"/>
    <mergeCell ref="C2:D2"/>
    <mergeCell ref="E2:G2"/>
    <mergeCell ref="H2:L2"/>
    <mergeCell ref="N2:O2"/>
  </mergeCells>
  <pageMargins left="0.7" right="0.7" top="0.75" bottom="0.75" header="0.3" footer="0.3"/>
  <pageSetup paperSize="9" orientation="portrait" horizontalDpi="90" verticalDpi="9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47"/>
  <sheetViews>
    <sheetView showGridLines="0" showRowColHeaders="0" zoomScaleNormal="100" workbookViewId="0">
      <pane xSplit="1" ySplit="3" topLeftCell="B97" activePane="bottomRight" state="frozen"/>
      <selection pane="topRight" activeCell="S28" sqref="S28"/>
      <selection pane="bottomLeft" activeCell="S28" sqref="S28"/>
      <selection pane="bottomRight" activeCell="A3" sqref="A3:H130"/>
    </sheetView>
  </sheetViews>
  <sheetFormatPr defaultColWidth="0" defaultRowHeight="0" customHeight="1" zeroHeight="1" x14ac:dyDescent="0.25"/>
  <cols>
    <col min="1" max="1" width="88.88671875" style="31" bestFit="1" customWidth="1"/>
    <col min="2" max="2" width="12.6640625" style="31" bestFit="1" customWidth="1"/>
    <col min="3" max="3" width="17.109375" style="31" bestFit="1" customWidth="1"/>
    <col min="4" max="4" width="15.33203125" style="31" bestFit="1" customWidth="1"/>
    <col min="5" max="5" width="16.33203125" style="31" bestFit="1" customWidth="1"/>
    <col min="6" max="6" width="12.6640625" style="31" bestFit="1" customWidth="1"/>
    <col min="7" max="7" width="22" style="31" bestFit="1" customWidth="1"/>
    <col min="8" max="8" width="16.6640625" style="31" customWidth="1"/>
    <col min="9" max="9" width="15.6640625" style="31" hidden="1" customWidth="1"/>
    <col min="10" max="10" width="27" style="31" hidden="1" customWidth="1"/>
    <col min="11" max="11" width="11.33203125" style="31" hidden="1" customWidth="1"/>
    <col min="12" max="12" width="6.5546875" style="31" hidden="1" customWidth="1"/>
    <col min="13" max="13" width="11" style="31" hidden="1" customWidth="1"/>
    <col min="14" max="14" width="14.109375" style="31" hidden="1" customWidth="1"/>
    <col min="15" max="15" width="15.109375" style="31" customWidth="1"/>
    <col min="16" max="17" width="9.109375" style="31" customWidth="1"/>
    <col min="18" max="16384" width="9.109375" style="31" hidden="1"/>
  </cols>
  <sheetData>
    <row r="1" spans="1:14" ht="28.95" customHeight="1" x14ac:dyDescent="0.5">
      <c r="A1" s="1080"/>
      <c r="B1" s="281"/>
      <c r="C1" s="281"/>
      <c r="D1" s="281"/>
      <c r="E1" s="281"/>
      <c r="F1" s="281"/>
      <c r="G1" s="281"/>
      <c r="H1" s="306"/>
    </row>
    <row r="2" spans="1:14" ht="29.4" customHeight="1" x14ac:dyDescent="0.5">
      <c r="A2" s="1081"/>
      <c r="B2" s="1078" t="s">
        <v>966</v>
      </c>
      <c r="C2" s="1078"/>
      <c r="D2" s="1078"/>
      <c r="E2" s="1078"/>
      <c r="F2" s="1078"/>
      <c r="G2" s="1078"/>
      <c r="H2" s="1079"/>
    </row>
    <row r="3" spans="1:14" ht="27.6" x14ac:dyDescent="0.4">
      <c r="A3" s="283" t="s">
        <v>820</v>
      </c>
      <c r="B3" s="104" t="s">
        <v>21</v>
      </c>
      <c r="C3" s="104" t="s">
        <v>382</v>
      </c>
      <c r="D3" s="104" t="s">
        <v>20</v>
      </c>
      <c r="E3" s="104" t="s">
        <v>393</v>
      </c>
      <c r="F3" s="130" t="s">
        <v>242</v>
      </c>
      <c r="G3" s="130" t="s">
        <v>403</v>
      </c>
      <c r="H3" s="104" t="s">
        <v>407</v>
      </c>
      <c r="I3" s="31" t="s">
        <v>200</v>
      </c>
      <c r="J3" s="1082" t="s">
        <v>1040</v>
      </c>
      <c r="K3" s="1083"/>
      <c r="L3" s="1083"/>
      <c r="M3" s="1084"/>
    </row>
    <row r="4" spans="1:14" ht="13.8" x14ac:dyDescent="0.25">
      <c r="A4" s="88" t="str">
        <f>'G-1 All Habitats'!B3</f>
        <v>Cropland - Arable field margins cultivated annually</v>
      </c>
      <c r="B4" s="544" t="s">
        <v>934</v>
      </c>
      <c r="C4" s="544" t="s">
        <v>934</v>
      </c>
      <c r="D4" s="544" t="s">
        <v>934</v>
      </c>
      <c r="E4" s="544" t="s">
        <v>934</v>
      </c>
      <c r="F4" s="544" t="s">
        <v>934</v>
      </c>
      <c r="G4" s="544">
        <v>1</v>
      </c>
      <c r="H4" s="544" t="s">
        <v>934</v>
      </c>
      <c r="I4" s="31" t="str">
        <f>IF(G4=1,"Cond1",IF(H4=0,"Cond2",IF(AND(B4=3,C4=2.5,D4=2,E4=1.5,F4=1),"Cond4",IF(F4=1,"Cond3","Check"))))</f>
        <v>Cond1</v>
      </c>
      <c r="J4" s="305" t="s">
        <v>1041</v>
      </c>
      <c r="K4" s="305" t="s">
        <v>1042</v>
      </c>
      <c r="L4" s="305" t="s">
        <v>1043</v>
      </c>
      <c r="M4" s="305" t="s">
        <v>1044</v>
      </c>
      <c r="N4" s="31" t="s">
        <v>1045</v>
      </c>
    </row>
    <row r="5" spans="1:14" ht="13.8" x14ac:dyDescent="0.25">
      <c r="A5" s="88" t="str">
        <f>'G-1 All Habitats'!B4</f>
        <v>Cropland - Arable field margins game bird mix</v>
      </c>
      <c r="B5" s="544" t="s">
        <v>934</v>
      </c>
      <c r="C5" s="544" t="s">
        <v>934</v>
      </c>
      <c r="D5" s="544" t="s">
        <v>934</v>
      </c>
      <c r="E5" s="544" t="s">
        <v>934</v>
      </c>
      <c r="F5" s="544" t="s">
        <v>934</v>
      </c>
      <c r="G5" s="544">
        <v>1</v>
      </c>
      <c r="H5" s="544" t="s">
        <v>934</v>
      </c>
      <c r="I5" s="31" t="str">
        <f t="shared" ref="I5:I8" si="0">IF(G5=1,"Cond1",IF(H5=0,"Cond2",IF(AND(B5=3,C5=2.5,D5=2,E5=1.5,F5=1),"Cond4",IF(F5=1,"Cond3","Check"))))</f>
        <v>Cond1</v>
      </c>
      <c r="J5" s="217" t="s">
        <v>403</v>
      </c>
      <c r="K5" s="217" t="s">
        <v>407</v>
      </c>
      <c r="L5" s="278" t="s">
        <v>242</v>
      </c>
      <c r="M5" s="217" t="s">
        <v>21</v>
      </c>
      <c r="N5" s="31" t="s">
        <v>21</v>
      </c>
    </row>
    <row r="6" spans="1:14" ht="13.8" x14ac:dyDescent="0.25">
      <c r="A6" s="88" t="str">
        <f>'G-1 All Habitats'!B5</f>
        <v>Cropland - Arable field margins pollen &amp; nectar</v>
      </c>
      <c r="B6" s="544" t="s">
        <v>934</v>
      </c>
      <c r="C6" s="544" t="s">
        <v>934</v>
      </c>
      <c r="D6" s="544" t="s">
        <v>934</v>
      </c>
      <c r="E6" s="544" t="s">
        <v>934</v>
      </c>
      <c r="F6" s="544" t="s">
        <v>934</v>
      </c>
      <c r="G6" s="544">
        <v>1</v>
      </c>
      <c r="H6" s="544" t="s">
        <v>934</v>
      </c>
      <c r="I6" s="31" t="str">
        <f t="shared" si="0"/>
        <v>Cond1</v>
      </c>
      <c r="M6" s="217" t="s">
        <v>382</v>
      </c>
    </row>
    <row r="7" spans="1:14" ht="13.8" x14ac:dyDescent="0.25">
      <c r="A7" s="88" t="str">
        <f>'G-1 All Habitats'!B6</f>
        <v>Cropland - Arable field margins tussocky</v>
      </c>
      <c r="B7" s="544" t="s">
        <v>934</v>
      </c>
      <c r="C7" s="544" t="s">
        <v>934</v>
      </c>
      <c r="D7" s="544" t="s">
        <v>934</v>
      </c>
      <c r="E7" s="544" t="s">
        <v>934</v>
      </c>
      <c r="F7" s="544" t="s">
        <v>934</v>
      </c>
      <c r="G7" s="544">
        <v>1</v>
      </c>
      <c r="H7" s="544" t="s">
        <v>934</v>
      </c>
      <c r="I7" s="31" t="str">
        <f t="shared" si="0"/>
        <v>Cond1</v>
      </c>
      <c r="M7" s="217" t="s">
        <v>20</v>
      </c>
    </row>
    <row r="8" spans="1:14" ht="13.8" x14ac:dyDescent="0.25">
      <c r="A8" s="88" t="str">
        <f>'G-1 All Habitats'!B7</f>
        <v>Cropland - Cereal crops</v>
      </c>
      <c r="B8" s="544" t="s">
        <v>934</v>
      </c>
      <c r="C8" s="544" t="s">
        <v>934</v>
      </c>
      <c r="D8" s="544" t="s">
        <v>934</v>
      </c>
      <c r="E8" s="544" t="s">
        <v>934</v>
      </c>
      <c r="F8" s="544" t="s">
        <v>934</v>
      </c>
      <c r="G8" s="544">
        <v>1</v>
      </c>
      <c r="H8" s="544" t="s">
        <v>934</v>
      </c>
      <c r="I8" s="31" t="str">
        <f t="shared" si="0"/>
        <v>Cond1</v>
      </c>
      <c r="M8" s="217" t="s">
        <v>393</v>
      </c>
    </row>
    <row r="9" spans="1:14" ht="13.8" x14ac:dyDescent="0.25">
      <c r="A9" s="88" t="str">
        <f>'G-1 All Habitats'!B8</f>
        <v>Cropland - Cereal crops winter stubble</v>
      </c>
      <c r="B9" s="544" t="s">
        <v>934</v>
      </c>
      <c r="C9" s="544" t="s">
        <v>934</v>
      </c>
      <c r="D9" s="544" t="s">
        <v>934</v>
      </c>
      <c r="E9" s="544" t="s">
        <v>934</v>
      </c>
      <c r="F9" s="544" t="s">
        <v>934</v>
      </c>
      <c r="G9" s="544">
        <v>1</v>
      </c>
      <c r="H9" s="544" t="s">
        <v>934</v>
      </c>
      <c r="I9" s="31" t="str">
        <f t="shared" ref="I9:I40" si="1">IF(G9=1,"Cond1",IF(H9=0,"Cond2",IF(AND(B9=3,C9=2.5,D9=2,E9=1.5,F9=1),"Cond4",IF(F9=1,"Cond3","Check"))))</f>
        <v>Cond1</v>
      </c>
      <c r="M9" s="278" t="s">
        <v>242</v>
      </c>
    </row>
    <row r="10" spans="1:14" ht="13.8" x14ac:dyDescent="0.25">
      <c r="A10" s="88" t="str">
        <f>'G-1 All Habitats'!B9</f>
        <v>Cropland - Horticulture</v>
      </c>
      <c r="B10" s="544" t="s">
        <v>934</v>
      </c>
      <c r="C10" s="544" t="s">
        <v>934</v>
      </c>
      <c r="D10" s="544" t="s">
        <v>934</v>
      </c>
      <c r="E10" s="544" t="s">
        <v>934</v>
      </c>
      <c r="F10" s="544" t="s">
        <v>934</v>
      </c>
      <c r="G10" s="544">
        <v>1</v>
      </c>
      <c r="H10" s="544" t="s">
        <v>934</v>
      </c>
      <c r="I10" s="31" t="str">
        <f t="shared" si="1"/>
        <v>Cond1</v>
      </c>
    </row>
    <row r="11" spans="1:14" ht="13.8" x14ac:dyDescent="0.25">
      <c r="A11" s="88" t="str">
        <f>'G-1 All Habitats'!B10</f>
        <v>Cropland - Intensive orchards</v>
      </c>
      <c r="B11" s="544" t="s">
        <v>934</v>
      </c>
      <c r="C11" s="544" t="s">
        <v>934</v>
      </c>
      <c r="D11" s="544" t="s">
        <v>934</v>
      </c>
      <c r="E11" s="544" t="s">
        <v>934</v>
      </c>
      <c r="F11" s="544" t="s">
        <v>934</v>
      </c>
      <c r="G11" s="544">
        <v>1</v>
      </c>
      <c r="H11" s="544" t="s">
        <v>934</v>
      </c>
      <c r="I11" s="31" t="str">
        <f t="shared" si="1"/>
        <v>Cond1</v>
      </c>
    </row>
    <row r="12" spans="1:14" ht="13.8" x14ac:dyDescent="0.25">
      <c r="A12" s="88" t="str">
        <f>'G-1 All Habitats'!B11</f>
        <v>Cropland - Non-cereal crops</v>
      </c>
      <c r="B12" s="544" t="s">
        <v>934</v>
      </c>
      <c r="C12" s="544" t="s">
        <v>934</v>
      </c>
      <c r="D12" s="544" t="s">
        <v>934</v>
      </c>
      <c r="E12" s="544" t="s">
        <v>934</v>
      </c>
      <c r="F12" s="544" t="s">
        <v>934</v>
      </c>
      <c r="G12" s="544">
        <v>1</v>
      </c>
      <c r="H12" s="544" t="s">
        <v>934</v>
      </c>
      <c r="I12" s="31" t="str">
        <f t="shared" si="1"/>
        <v>Cond1</v>
      </c>
    </row>
    <row r="13" spans="1:14" ht="13.8" x14ac:dyDescent="0.25">
      <c r="A13" s="88" t="str">
        <f>'G-1 All Habitats'!B12</f>
        <v>Cropland - Temporary grass and clover leys</v>
      </c>
      <c r="B13" s="544" t="s">
        <v>934</v>
      </c>
      <c r="C13" s="544" t="s">
        <v>934</v>
      </c>
      <c r="D13" s="544" t="s">
        <v>934</v>
      </c>
      <c r="E13" s="544" t="s">
        <v>934</v>
      </c>
      <c r="F13" s="544" t="s">
        <v>934</v>
      </c>
      <c r="G13" s="544">
        <v>1</v>
      </c>
      <c r="H13" s="544" t="s">
        <v>934</v>
      </c>
      <c r="I13" s="31" t="str">
        <f t="shared" si="1"/>
        <v>Cond1</v>
      </c>
    </row>
    <row r="14" spans="1:14" ht="13.8" x14ac:dyDescent="0.25">
      <c r="A14" s="88" t="str">
        <f>'G-1 All Habitats'!B13</f>
        <v>Grassland - Traditional orchards</v>
      </c>
      <c r="B14" s="544">
        <v>3</v>
      </c>
      <c r="C14" s="544">
        <v>2.5</v>
      </c>
      <c r="D14" s="544">
        <v>2</v>
      </c>
      <c r="E14" s="544">
        <v>1.5</v>
      </c>
      <c r="F14" s="544">
        <v>1</v>
      </c>
      <c r="G14" s="544" t="s">
        <v>934</v>
      </c>
      <c r="H14" s="544" t="s">
        <v>934</v>
      </c>
      <c r="I14" s="31" t="str">
        <f t="shared" si="1"/>
        <v>Cond4</v>
      </c>
    </row>
    <row r="15" spans="1:14" ht="13.8" x14ac:dyDescent="0.25">
      <c r="A15" s="88" t="str">
        <f>'G-1 All Habitats'!B14</f>
        <v>Grassland - Bracken</v>
      </c>
      <c r="B15" s="544" t="s">
        <v>934</v>
      </c>
      <c r="C15" s="544" t="s">
        <v>934</v>
      </c>
      <c r="D15" s="544" t="s">
        <v>934</v>
      </c>
      <c r="E15" s="544" t="s">
        <v>934</v>
      </c>
      <c r="F15" s="544" t="s">
        <v>934</v>
      </c>
      <c r="G15" s="544">
        <v>1</v>
      </c>
      <c r="H15" s="544" t="s">
        <v>934</v>
      </c>
      <c r="I15" s="31" t="str">
        <f t="shared" si="1"/>
        <v>Cond1</v>
      </c>
    </row>
    <row r="16" spans="1:14" ht="13.8" x14ac:dyDescent="0.25">
      <c r="A16" s="88" t="str">
        <f>'G-1 All Habitats'!B15</f>
        <v>Grassland - Floodplain Wetland Mosaic (CFGM)</v>
      </c>
      <c r="B16" s="544">
        <v>3</v>
      </c>
      <c r="C16" s="544">
        <v>2.5</v>
      </c>
      <c r="D16" s="544">
        <v>2</v>
      </c>
      <c r="E16" s="544">
        <v>1.5</v>
      </c>
      <c r="F16" s="544">
        <v>1</v>
      </c>
      <c r="G16" s="544" t="s">
        <v>934</v>
      </c>
      <c r="H16" s="544" t="s">
        <v>934</v>
      </c>
      <c r="I16" s="31" t="str">
        <f t="shared" si="1"/>
        <v>Cond4</v>
      </c>
    </row>
    <row r="17" spans="1:9" ht="13.8" x14ac:dyDescent="0.25">
      <c r="A17" s="88" t="str">
        <f>'G-1 All Habitats'!B16</f>
        <v>Grassland - Lowland calcareous grassland</v>
      </c>
      <c r="B17" s="544">
        <v>3</v>
      </c>
      <c r="C17" s="544">
        <v>2.5</v>
      </c>
      <c r="D17" s="544">
        <v>2</v>
      </c>
      <c r="E17" s="544">
        <v>1.5</v>
      </c>
      <c r="F17" s="544">
        <v>1</v>
      </c>
      <c r="G17" s="544" t="s">
        <v>934</v>
      </c>
      <c r="H17" s="544" t="s">
        <v>934</v>
      </c>
      <c r="I17" s="31" t="str">
        <f t="shared" si="1"/>
        <v>Cond4</v>
      </c>
    </row>
    <row r="18" spans="1:9" ht="13.8" x14ac:dyDescent="0.25">
      <c r="A18" s="88" t="str">
        <f>'G-1 All Habitats'!B17</f>
        <v>Grassland - Lowland dry acid grassland</v>
      </c>
      <c r="B18" s="544">
        <v>3</v>
      </c>
      <c r="C18" s="544">
        <v>2.5</v>
      </c>
      <c r="D18" s="544">
        <v>2</v>
      </c>
      <c r="E18" s="544">
        <v>1.5</v>
      </c>
      <c r="F18" s="544">
        <v>1</v>
      </c>
      <c r="G18" s="544" t="s">
        <v>934</v>
      </c>
      <c r="H18" s="544" t="s">
        <v>934</v>
      </c>
      <c r="I18" s="31" t="str">
        <f t="shared" si="1"/>
        <v>Cond4</v>
      </c>
    </row>
    <row r="19" spans="1:9" ht="13.8" x14ac:dyDescent="0.25">
      <c r="A19" s="88" t="str">
        <f>'G-1 All Habitats'!B18</f>
        <v>Grassland - Lowland meadows</v>
      </c>
      <c r="B19" s="544">
        <v>3</v>
      </c>
      <c r="C19" s="544">
        <v>2.5</v>
      </c>
      <c r="D19" s="544">
        <v>2</v>
      </c>
      <c r="E19" s="544">
        <v>1.5</v>
      </c>
      <c r="F19" s="544">
        <v>1</v>
      </c>
      <c r="G19" s="544" t="s">
        <v>934</v>
      </c>
      <c r="H19" s="544" t="s">
        <v>934</v>
      </c>
      <c r="I19" s="31" t="str">
        <f t="shared" si="1"/>
        <v>Cond4</v>
      </c>
    </row>
    <row r="20" spans="1:9" ht="13.8" x14ac:dyDescent="0.25">
      <c r="A20" s="88" t="str">
        <f>'G-1 All Habitats'!B19</f>
        <v>Grassland - Modified grassland</v>
      </c>
      <c r="B20" s="544">
        <v>3</v>
      </c>
      <c r="C20" s="544">
        <v>2.5</v>
      </c>
      <c r="D20" s="544">
        <v>2</v>
      </c>
      <c r="E20" s="544">
        <v>1.5</v>
      </c>
      <c r="F20" s="544">
        <v>1</v>
      </c>
      <c r="G20" s="544" t="s">
        <v>934</v>
      </c>
      <c r="H20" s="544" t="s">
        <v>934</v>
      </c>
      <c r="I20" s="31" t="str">
        <f t="shared" si="1"/>
        <v>Cond4</v>
      </c>
    </row>
    <row r="21" spans="1:9" ht="15" customHeight="1" x14ac:dyDescent="0.25">
      <c r="A21" s="88" t="str">
        <f>'G-1 All Habitats'!B20</f>
        <v>Grassland - Other lowland acid grassland</v>
      </c>
      <c r="B21" s="544">
        <v>3</v>
      </c>
      <c r="C21" s="544">
        <v>2.5</v>
      </c>
      <c r="D21" s="544">
        <v>2</v>
      </c>
      <c r="E21" s="544">
        <v>1.5</v>
      </c>
      <c r="F21" s="544">
        <v>1</v>
      </c>
      <c r="G21" s="544" t="s">
        <v>934</v>
      </c>
      <c r="H21" s="544" t="s">
        <v>934</v>
      </c>
      <c r="I21" s="31" t="str">
        <f t="shared" si="1"/>
        <v>Cond4</v>
      </c>
    </row>
    <row r="22" spans="1:9" ht="15" customHeight="1" x14ac:dyDescent="0.25">
      <c r="A22" s="88" t="str">
        <f>'G-1 All Habitats'!B21</f>
        <v>Grassland - Other neutral grassland</v>
      </c>
      <c r="B22" s="544">
        <v>3</v>
      </c>
      <c r="C22" s="544">
        <v>2.5</v>
      </c>
      <c r="D22" s="544">
        <v>2</v>
      </c>
      <c r="E22" s="544">
        <v>1.5</v>
      </c>
      <c r="F22" s="544">
        <v>1</v>
      </c>
      <c r="G22" s="544" t="s">
        <v>934</v>
      </c>
      <c r="H22" s="544" t="s">
        <v>934</v>
      </c>
      <c r="I22" s="31" t="str">
        <f t="shared" si="1"/>
        <v>Cond4</v>
      </c>
    </row>
    <row r="23" spans="1:9" ht="15" customHeight="1" x14ac:dyDescent="0.25">
      <c r="A23" s="88" t="str">
        <f>'G-1 All Habitats'!B22</f>
        <v>Grassland - Tall herb communities (H6430)</v>
      </c>
      <c r="B23" s="544">
        <v>3</v>
      </c>
      <c r="C23" s="544">
        <v>2.5</v>
      </c>
      <c r="D23" s="544">
        <v>2</v>
      </c>
      <c r="E23" s="544">
        <v>1.5</v>
      </c>
      <c r="F23" s="544">
        <v>1</v>
      </c>
      <c r="G23" s="544" t="s">
        <v>934</v>
      </c>
      <c r="H23" s="544" t="s">
        <v>934</v>
      </c>
      <c r="I23" s="31" t="str">
        <f t="shared" si="1"/>
        <v>Cond4</v>
      </c>
    </row>
    <row r="24" spans="1:9" ht="15" customHeight="1" x14ac:dyDescent="0.25">
      <c r="A24" s="88" t="str">
        <f>'G-1 All Habitats'!B23</f>
        <v>Grassland - Upland acid grassland</v>
      </c>
      <c r="B24" s="544">
        <v>3</v>
      </c>
      <c r="C24" s="544">
        <v>2.5</v>
      </c>
      <c r="D24" s="544">
        <v>2</v>
      </c>
      <c r="E24" s="544">
        <v>1.5</v>
      </c>
      <c r="F24" s="544">
        <v>1</v>
      </c>
      <c r="G24" s="544" t="s">
        <v>934</v>
      </c>
      <c r="H24" s="544" t="s">
        <v>934</v>
      </c>
      <c r="I24" s="31" t="str">
        <f t="shared" si="1"/>
        <v>Cond4</v>
      </c>
    </row>
    <row r="25" spans="1:9" ht="15" customHeight="1" x14ac:dyDescent="0.25">
      <c r="A25" s="88" t="str">
        <f>'G-1 All Habitats'!B24</f>
        <v>Grassland - Upland calcareous grassland</v>
      </c>
      <c r="B25" s="544">
        <v>3</v>
      </c>
      <c r="C25" s="544">
        <v>2.5</v>
      </c>
      <c r="D25" s="544">
        <v>2</v>
      </c>
      <c r="E25" s="544">
        <v>1.5</v>
      </c>
      <c r="F25" s="544">
        <v>1</v>
      </c>
      <c r="G25" s="544" t="s">
        <v>934</v>
      </c>
      <c r="H25" s="544" t="s">
        <v>934</v>
      </c>
      <c r="I25" s="31" t="str">
        <f t="shared" si="1"/>
        <v>Cond4</v>
      </c>
    </row>
    <row r="26" spans="1:9" ht="15" customHeight="1" x14ac:dyDescent="0.25">
      <c r="A26" s="88" t="str">
        <f>'G-1 All Habitats'!B25</f>
        <v>Grassland - Upland hay meadows</v>
      </c>
      <c r="B26" s="544">
        <v>3</v>
      </c>
      <c r="C26" s="544">
        <v>2.5</v>
      </c>
      <c r="D26" s="544">
        <v>2</v>
      </c>
      <c r="E26" s="544">
        <v>1.5</v>
      </c>
      <c r="F26" s="544">
        <v>1</v>
      </c>
      <c r="G26" s="544" t="s">
        <v>934</v>
      </c>
      <c r="H26" s="544" t="s">
        <v>934</v>
      </c>
      <c r="I26" s="31" t="str">
        <f t="shared" si="1"/>
        <v>Cond4</v>
      </c>
    </row>
    <row r="27" spans="1:9" ht="13.8" x14ac:dyDescent="0.25">
      <c r="A27" s="88" t="str">
        <f>'G-1 All Habitats'!B26</f>
        <v>Heathland and shrub - Blackthorn scrub</v>
      </c>
      <c r="B27" s="544">
        <v>3</v>
      </c>
      <c r="C27" s="544">
        <v>2.5</v>
      </c>
      <c r="D27" s="544">
        <v>2</v>
      </c>
      <c r="E27" s="544">
        <v>1.5</v>
      </c>
      <c r="F27" s="544">
        <v>1</v>
      </c>
      <c r="G27" s="544" t="s">
        <v>934</v>
      </c>
      <c r="H27" s="544" t="s">
        <v>934</v>
      </c>
      <c r="I27" s="31" t="str">
        <f t="shared" si="1"/>
        <v>Cond4</v>
      </c>
    </row>
    <row r="28" spans="1:9" ht="13.8" x14ac:dyDescent="0.25">
      <c r="A28" s="88" t="str">
        <f>'G-1 All Habitats'!B27</f>
        <v>Heathland and shrub - Bramble scrub</v>
      </c>
      <c r="B28" s="544" t="s">
        <v>934</v>
      </c>
      <c r="C28" s="544" t="s">
        <v>934</v>
      </c>
      <c r="D28" s="544" t="s">
        <v>934</v>
      </c>
      <c r="E28" s="544" t="s">
        <v>934</v>
      </c>
      <c r="F28" s="544" t="s">
        <v>934</v>
      </c>
      <c r="G28" s="544">
        <v>1</v>
      </c>
      <c r="H28" s="544" t="s">
        <v>934</v>
      </c>
      <c r="I28" s="31" t="str">
        <f t="shared" si="1"/>
        <v>Cond1</v>
      </c>
    </row>
    <row r="29" spans="1:9" ht="13.8" x14ac:dyDescent="0.25">
      <c r="A29" s="88" t="str">
        <f>'G-1 All Habitats'!B28</f>
        <v>Heathland and shrub - Gorse scrub</v>
      </c>
      <c r="B29" s="544">
        <v>3</v>
      </c>
      <c r="C29" s="544">
        <v>2.5</v>
      </c>
      <c r="D29" s="544">
        <v>2</v>
      </c>
      <c r="E29" s="544">
        <v>1.5</v>
      </c>
      <c r="F29" s="544">
        <v>1</v>
      </c>
      <c r="G29" s="544" t="s">
        <v>934</v>
      </c>
      <c r="H29" s="544" t="s">
        <v>934</v>
      </c>
      <c r="I29" s="31" t="str">
        <f t="shared" si="1"/>
        <v>Cond4</v>
      </c>
    </row>
    <row r="30" spans="1:9" ht="13.8" x14ac:dyDescent="0.25">
      <c r="A30" s="88" t="str">
        <f>'G-1 All Habitats'!B29</f>
        <v>Heathland and shrub - Hawthorn scrub</v>
      </c>
      <c r="B30" s="544">
        <v>3</v>
      </c>
      <c r="C30" s="544">
        <v>2.5</v>
      </c>
      <c r="D30" s="544">
        <v>2</v>
      </c>
      <c r="E30" s="544">
        <v>1.5</v>
      </c>
      <c r="F30" s="544">
        <v>1</v>
      </c>
      <c r="G30" s="544" t="s">
        <v>934</v>
      </c>
      <c r="H30" s="544" t="s">
        <v>934</v>
      </c>
      <c r="I30" s="31" t="str">
        <f t="shared" si="1"/>
        <v>Cond4</v>
      </c>
    </row>
    <row r="31" spans="1:9" ht="13.8" x14ac:dyDescent="0.25">
      <c r="A31" s="88" t="str">
        <f>'G-1 All Habitats'!B30</f>
        <v>Heathland and shrub - Hazel scrub</v>
      </c>
      <c r="B31" s="544">
        <v>3</v>
      </c>
      <c r="C31" s="544">
        <v>2.5</v>
      </c>
      <c r="D31" s="544">
        <v>2</v>
      </c>
      <c r="E31" s="544">
        <v>1.5</v>
      </c>
      <c r="F31" s="544">
        <v>1</v>
      </c>
      <c r="G31" s="544" t="s">
        <v>934</v>
      </c>
      <c r="H31" s="544" t="s">
        <v>934</v>
      </c>
      <c r="I31" s="31" t="str">
        <f t="shared" si="1"/>
        <v>Cond4</v>
      </c>
    </row>
    <row r="32" spans="1:9" ht="13.8" x14ac:dyDescent="0.25">
      <c r="A32" s="88" t="str">
        <f>'G-1 All Habitats'!B31</f>
        <v>Heathland and shrub - Lowland Heathland</v>
      </c>
      <c r="B32" s="544">
        <v>3</v>
      </c>
      <c r="C32" s="544">
        <v>2.5</v>
      </c>
      <c r="D32" s="544">
        <v>2</v>
      </c>
      <c r="E32" s="544">
        <v>1.5</v>
      </c>
      <c r="F32" s="544">
        <v>1</v>
      </c>
      <c r="G32" s="544" t="s">
        <v>934</v>
      </c>
      <c r="H32" s="544" t="s">
        <v>934</v>
      </c>
      <c r="I32" s="31" t="str">
        <f t="shared" si="1"/>
        <v>Cond4</v>
      </c>
    </row>
    <row r="33" spans="1:9" ht="13.8" x14ac:dyDescent="0.25">
      <c r="A33" s="88" t="str">
        <f>'G-1 All Habitats'!B32</f>
        <v>Heathland and shrub - Mixed scrub</v>
      </c>
      <c r="B33" s="544">
        <v>3</v>
      </c>
      <c r="C33" s="544">
        <v>2.5</v>
      </c>
      <c r="D33" s="544">
        <v>2</v>
      </c>
      <c r="E33" s="544">
        <v>1.5</v>
      </c>
      <c r="F33" s="544">
        <v>1</v>
      </c>
      <c r="G33" s="544" t="s">
        <v>934</v>
      </c>
      <c r="H33" s="544" t="s">
        <v>934</v>
      </c>
      <c r="I33" s="31" t="str">
        <f t="shared" si="1"/>
        <v>Cond4</v>
      </c>
    </row>
    <row r="34" spans="1:9" ht="13.8" x14ac:dyDescent="0.25">
      <c r="A34" s="88" t="str">
        <f>'G-1 All Habitats'!B33</f>
        <v>Heathland and shrub - Mountain heaths and willow scrub</v>
      </c>
      <c r="B34" s="544">
        <v>3</v>
      </c>
      <c r="C34" s="544">
        <v>2.5</v>
      </c>
      <c r="D34" s="544">
        <v>2</v>
      </c>
      <c r="E34" s="544">
        <v>1.5</v>
      </c>
      <c r="F34" s="544">
        <v>1</v>
      </c>
      <c r="G34" s="544" t="s">
        <v>934</v>
      </c>
      <c r="H34" s="544" t="s">
        <v>934</v>
      </c>
      <c r="I34" s="31" t="str">
        <f t="shared" si="1"/>
        <v>Cond4</v>
      </c>
    </row>
    <row r="35" spans="1:9" ht="13.8" x14ac:dyDescent="0.25">
      <c r="A35" s="88" t="str">
        <f>'G-1 All Habitats'!B34</f>
        <v>Heathland and shrub - Rhododendron scrub</v>
      </c>
      <c r="B35" s="544" t="s">
        <v>934</v>
      </c>
      <c r="C35" s="544" t="s">
        <v>934</v>
      </c>
      <c r="D35" s="544" t="s">
        <v>934</v>
      </c>
      <c r="E35" s="544" t="s">
        <v>934</v>
      </c>
      <c r="F35" s="544" t="s">
        <v>934</v>
      </c>
      <c r="G35" s="544">
        <v>1</v>
      </c>
      <c r="H35" s="544" t="s">
        <v>934</v>
      </c>
      <c r="I35" s="31" t="str">
        <f t="shared" si="1"/>
        <v>Cond1</v>
      </c>
    </row>
    <row r="36" spans="1:9" ht="13.8" x14ac:dyDescent="0.25">
      <c r="A36" s="88" t="str">
        <f>'G-1 All Habitats'!B35</f>
        <v>Heathland and shrub - Sea buckthorn scrub (Annex 1)</v>
      </c>
      <c r="B36" s="544">
        <v>3</v>
      </c>
      <c r="C36" s="544">
        <v>2.5</v>
      </c>
      <c r="D36" s="544">
        <v>2</v>
      </c>
      <c r="E36" s="544">
        <v>1.5</v>
      </c>
      <c r="F36" s="544">
        <v>1</v>
      </c>
      <c r="G36" s="544" t="s">
        <v>934</v>
      </c>
      <c r="H36" s="544" t="s">
        <v>934</v>
      </c>
      <c r="I36" s="31" t="str">
        <f t="shared" si="1"/>
        <v>Cond4</v>
      </c>
    </row>
    <row r="37" spans="1:9" ht="13.8" x14ac:dyDescent="0.25">
      <c r="A37" s="88" t="str">
        <f>'G-1 All Habitats'!B36</f>
        <v>Heathland and shrub - Sea buckthorn scrub (other)</v>
      </c>
      <c r="B37" s="544" t="s">
        <v>934</v>
      </c>
      <c r="C37" s="544" t="s">
        <v>934</v>
      </c>
      <c r="D37" s="544" t="s">
        <v>934</v>
      </c>
      <c r="E37" s="544" t="s">
        <v>934</v>
      </c>
      <c r="F37" s="544" t="s">
        <v>934</v>
      </c>
      <c r="G37" s="544">
        <v>1</v>
      </c>
      <c r="H37" s="544" t="s">
        <v>934</v>
      </c>
      <c r="I37" s="31" t="str">
        <f t="shared" si="1"/>
        <v>Cond1</v>
      </c>
    </row>
    <row r="38" spans="1:9" ht="13.8" x14ac:dyDescent="0.25">
      <c r="A38" s="88" t="str">
        <f>'G-1 All Habitats'!B37</f>
        <v>Heathland and shrub - Upland Heathland</v>
      </c>
      <c r="B38" s="544">
        <v>3</v>
      </c>
      <c r="C38" s="544">
        <v>2.5</v>
      </c>
      <c r="D38" s="544">
        <v>2</v>
      </c>
      <c r="E38" s="544">
        <v>1.5</v>
      </c>
      <c r="F38" s="544">
        <v>1</v>
      </c>
      <c r="G38" s="544" t="s">
        <v>934</v>
      </c>
      <c r="H38" s="544" t="s">
        <v>934</v>
      </c>
      <c r="I38" s="31" t="str">
        <f t="shared" si="1"/>
        <v>Cond4</v>
      </c>
    </row>
    <row r="39" spans="1:9" ht="13.8" x14ac:dyDescent="0.25">
      <c r="A39" s="88" t="str">
        <f>'G-1 All Habitats'!B38</f>
        <v>Lakes - Aquifer fed naturally fluctuating water bodies</v>
      </c>
      <c r="B39" s="544">
        <v>3</v>
      </c>
      <c r="C39" s="544">
        <v>2.5</v>
      </c>
      <c r="D39" s="544">
        <v>2</v>
      </c>
      <c r="E39" s="544">
        <v>1.5</v>
      </c>
      <c r="F39" s="544">
        <v>1</v>
      </c>
      <c r="G39" s="544" t="s">
        <v>934</v>
      </c>
      <c r="H39" s="544" t="s">
        <v>934</v>
      </c>
      <c r="I39" s="31" t="str">
        <f t="shared" si="1"/>
        <v>Cond4</v>
      </c>
    </row>
    <row r="40" spans="1:9" ht="13.8" x14ac:dyDescent="0.25">
      <c r="A40" s="88" t="str">
        <f>'G-1 All Habitats'!B40</f>
        <v>Lakes - High alkalinity lakes</v>
      </c>
      <c r="B40" s="544">
        <v>3</v>
      </c>
      <c r="C40" s="544">
        <v>2.5</v>
      </c>
      <c r="D40" s="544">
        <v>2</v>
      </c>
      <c r="E40" s="544">
        <v>1.5</v>
      </c>
      <c r="F40" s="544">
        <v>1</v>
      </c>
      <c r="G40" s="544" t="s">
        <v>934</v>
      </c>
      <c r="H40" s="544" t="s">
        <v>934</v>
      </c>
      <c r="I40" s="31" t="str">
        <f t="shared" si="1"/>
        <v>Cond4</v>
      </c>
    </row>
    <row r="41" spans="1:9" ht="13.8" x14ac:dyDescent="0.25">
      <c r="A41" s="88" t="str">
        <f>'G-1 All Habitats'!B41</f>
        <v>Lakes - Low alkalinity lakes</v>
      </c>
      <c r="B41" s="544">
        <v>3</v>
      </c>
      <c r="C41" s="544">
        <v>2.5</v>
      </c>
      <c r="D41" s="544">
        <v>2</v>
      </c>
      <c r="E41" s="544">
        <v>1.5</v>
      </c>
      <c r="F41" s="544">
        <v>1</v>
      </c>
      <c r="G41" s="544" t="s">
        <v>934</v>
      </c>
      <c r="H41" s="544" t="s">
        <v>934</v>
      </c>
      <c r="I41" s="31" t="str">
        <f t="shared" ref="I41:I72" si="2">IF(G41=1,"Cond1",IF(H41=0,"Cond2",IF(AND(B41=3,C41=2.5,D41=2,E41=1.5,F41=1),"Cond4",IF(F41=1,"Cond3","Check"))))</f>
        <v>Cond4</v>
      </c>
    </row>
    <row r="42" spans="1:9" ht="13.8" x14ac:dyDescent="0.25">
      <c r="A42" s="88" t="str">
        <f>'G-1 All Habitats'!B42</f>
        <v>Lakes - Marl Lakes</v>
      </c>
      <c r="B42" s="544">
        <v>3</v>
      </c>
      <c r="C42" s="544">
        <v>2.5</v>
      </c>
      <c r="D42" s="544">
        <v>2</v>
      </c>
      <c r="E42" s="544">
        <v>1.5</v>
      </c>
      <c r="F42" s="544">
        <v>1</v>
      </c>
      <c r="G42" s="544" t="s">
        <v>934</v>
      </c>
      <c r="H42" s="544" t="s">
        <v>934</v>
      </c>
      <c r="I42" s="31" t="str">
        <f t="shared" si="2"/>
        <v>Cond4</v>
      </c>
    </row>
    <row r="43" spans="1:9" ht="13.8" x14ac:dyDescent="0.25">
      <c r="A43" s="88" t="str">
        <f>'G-1 All Habitats'!B43</f>
        <v>Lakes - Moderate alkalinity lakes</v>
      </c>
      <c r="B43" s="544">
        <v>3</v>
      </c>
      <c r="C43" s="544">
        <v>2.5</v>
      </c>
      <c r="D43" s="544">
        <v>2</v>
      </c>
      <c r="E43" s="544">
        <v>1.5</v>
      </c>
      <c r="F43" s="544">
        <v>1</v>
      </c>
      <c r="G43" s="544" t="s">
        <v>934</v>
      </c>
      <c r="H43" s="544" t="s">
        <v>934</v>
      </c>
      <c r="I43" s="31" t="str">
        <f t="shared" si="2"/>
        <v>Cond4</v>
      </c>
    </row>
    <row r="44" spans="1:9" ht="13.8" x14ac:dyDescent="0.25">
      <c r="A44" s="88" t="str">
        <f>'G-1 All Habitats'!B44</f>
        <v>Lakes - Peat Lakes</v>
      </c>
      <c r="B44" s="544">
        <v>3</v>
      </c>
      <c r="C44" s="544">
        <v>2.5</v>
      </c>
      <c r="D44" s="544">
        <v>2</v>
      </c>
      <c r="E44" s="544">
        <v>1.5</v>
      </c>
      <c r="F44" s="544">
        <v>1</v>
      </c>
      <c r="G44" s="544" t="s">
        <v>934</v>
      </c>
      <c r="H44" s="544" t="s">
        <v>934</v>
      </c>
      <c r="I44" s="31" t="str">
        <f t="shared" si="2"/>
        <v>Cond4</v>
      </c>
    </row>
    <row r="45" spans="1:9" ht="13.8" x14ac:dyDescent="0.25">
      <c r="A45" s="88" t="str">
        <f>'G-1 All Habitats'!B45</f>
        <v>Lakes - Ponds (Priority Habitat)</v>
      </c>
      <c r="B45" s="544">
        <v>3</v>
      </c>
      <c r="C45" s="544">
        <v>2.5</v>
      </c>
      <c r="D45" s="544">
        <v>2</v>
      </c>
      <c r="E45" s="544">
        <v>1.5</v>
      </c>
      <c r="F45" s="544">
        <v>1</v>
      </c>
      <c r="G45" s="544" t="s">
        <v>934</v>
      </c>
      <c r="H45" s="544" t="s">
        <v>934</v>
      </c>
      <c r="I45" s="31" t="str">
        <f t="shared" si="2"/>
        <v>Cond4</v>
      </c>
    </row>
    <row r="46" spans="1:9" ht="13.8" x14ac:dyDescent="0.25">
      <c r="A46" s="88" t="str">
        <f>'G-1 All Habitats'!B46</f>
        <v>Lakes - Ponds (Non- Priority Habitat)</v>
      </c>
      <c r="B46" s="544">
        <v>3</v>
      </c>
      <c r="C46" s="544">
        <v>2.5</v>
      </c>
      <c r="D46" s="544">
        <v>2</v>
      </c>
      <c r="E46" s="544">
        <v>1.5</v>
      </c>
      <c r="F46" s="544">
        <v>1</v>
      </c>
      <c r="G46" s="544" t="s">
        <v>934</v>
      </c>
      <c r="H46" s="544" t="s">
        <v>934</v>
      </c>
      <c r="I46" s="31" t="str">
        <f t="shared" si="2"/>
        <v>Cond4</v>
      </c>
    </row>
    <row r="47" spans="1:9" ht="13.8" x14ac:dyDescent="0.25">
      <c r="A47" s="88" t="str">
        <f>'G-1 All Habitats'!B47</f>
        <v>Lakes - Reservoirs</v>
      </c>
      <c r="B47" s="544">
        <v>3</v>
      </c>
      <c r="C47" s="544">
        <v>2.5</v>
      </c>
      <c r="D47" s="544">
        <v>2</v>
      </c>
      <c r="E47" s="544">
        <v>1.5</v>
      </c>
      <c r="F47" s="544">
        <v>1</v>
      </c>
      <c r="G47" s="544" t="s">
        <v>934</v>
      </c>
      <c r="H47" s="544" t="s">
        <v>934</v>
      </c>
      <c r="I47" s="31" t="str">
        <f t="shared" si="2"/>
        <v>Cond4</v>
      </c>
    </row>
    <row r="48" spans="1:9" ht="13.8" x14ac:dyDescent="0.25">
      <c r="A48" s="88" t="str">
        <f>'G-1 All Habitats'!B48</f>
        <v>Lakes - Temporary lakes, ponds and pools</v>
      </c>
      <c r="B48" s="544">
        <v>3</v>
      </c>
      <c r="C48" s="544">
        <v>2.5</v>
      </c>
      <c r="D48" s="544">
        <v>2</v>
      </c>
      <c r="E48" s="544">
        <v>1.5</v>
      </c>
      <c r="F48" s="544">
        <v>1</v>
      </c>
      <c r="G48" s="544" t="s">
        <v>934</v>
      </c>
      <c r="H48" s="544" t="s">
        <v>934</v>
      </c>
      <c r="I48" s="31" t="str">
        <f t="shared" si="2"/>
        <v>Cond4</v>
      </c>
    </row>
    <row r="49" spans="1:9" ht="13.8" x14ac:dyDescent="0.25">
      <c r="A49" s="88" t="str">
        <f>'G-1 All Habitats'!B49</f>
        <v>Sparsely vegetated land - Calaminarian grasslands</v>
      </c>
      <c r="B49" s="544">
        <v>3</v>
      </c>
      <c r="C49" s="544">
        <v>2.5</v>
      </c>
      <c r="D49" s="544">
        <v>2</v>
      </c>
      <c r="E49" s="544">
        <v>1.5</v>
      </c>
      <c r="F49" s="544">
        <v>1</v>
      </c>
      <c r="G49" s="544" t="s">
        <v>934</v>
      </c>
      <c r="H49" s="544" t="s">
        <v>934</v>
      </c>
      <c r="I49" s="31" t="str">
        <f t="shared" si="2"/>
        <v>Cond4</v>
      </c>
    </row>
    <row r="50" spans="1:9" ht="13.8" x14ac:dyDescent="0.25">
      <c r="A50" s="88" t="str">
        <f>'G-1 All Habitats'!B50</f>
        <v>Sparsely vegetated land - Coastal sand dunes</v>
      </c>
      <c r="B50" s="544">
        <v>3</v>
      </c>
      <c r="C50" s="544">
        <v>2.5</v>
      </c>
      <c r="D50" s="544">
        <v>2</v>
      </c>
      <c r="E50" s="544">
        <v>1.5</v>
      </c>
      <c r="F50" s="544">
        <v>1</v>
      </c>
      <c r="G50" s="544" t="s">
        <v>934</v>
      </c>
      <c r="H50" s="544" t="s">
        <v>934</v>
      </c>
      <c r="I50" s="31" t="str">
        <f t="shared" si="2"/>
        <v>Cond4</v>
      </c>
    </row>
    <row r="51" spans="1:9" ht="13.8" x14ac:dyDescent="0.25">
      <c r="A51" s="88" t="str">
        <f>'G-1 All Habitats'!B51</f>
        <v>Sparsely vegetated land - Coastal vegetated shingle</v>
      </c>
      <c r="B51" s="544">
        <v>3</v>
      </c>
      <c r="C51" s="544">
        <v>2.5</v>
      </c>
      <c r="D51" s="544">
        <v>2</v>
      </c>
      <c r="E51" s="544">
        <v>1.5</v>
      </c>
      <c r="F51" s="544">
        <v>1</v>
      </c>
      <c r="G51" s="544" t="s">
        <v>934</v>
      </c>
      <c r="H51" s="544" t="s">
        <v>934</v>
      </c>
      <c r="I51" s="31" t="str">
        <f t="shared" si="2"/>
        <v>Cond4</v>
      </c>
    </row>
    <row r="52" spans="1:9" ht="13.8" x14ac:dyDescent="0.25">
      <c r="A52" s="88" t="str">
        <f>'G-1 All Habitats'!B52</f>
        <v>Sparsely vegetated land - Ruderal/Ephemeral</v>
      </c>
      <c r="B52" s="544">
        <v>3</v>
      </c>
      <c r="C52" s="544">
        <v>2.5</v>
      </c>
      <c r="D52" s="544">
        <v>2</v>
      </c>
      <c r="E52" s="544">
        <v>1.5</v>
      </c>
      <c r="F52" s="544">
        <v>1</v>
      </c>
      <c r="G52" s="544" t="s">
        <v>934</v>
      </c>
      <c r="H52" s="544" t="s">
        <v>934</v>
      </c>
      <c r="I52" s="31" t="str">
        <f t="shared" si="2"/>
        <v>Cond4</v>
      </c>
    </row>
    <row r="53" spans="1:9" ht="13.8" x14ac:dyDescent="0.25">
      <c r="A53" s="88" t="str">
        <f>'G-1 All Habitats'!B53</f>
        <v>Sparsely vegetated land - Inland rock outcrop and scree habitats</v>
      </c>
      <c r="B53" s="544">
        <v>3</v>
      </c>
      <c r="C53" s="544">
        <v>2.5</v>
      </c>
      <c r="D53" s="544">
        <v>2</v>
      </c>
      <c r="E53" s="544">
        <v>1.5</v>
      </c>
      <c r="F53" s="544">
        <v>1</v>
      </c>
      <c r="G53" s="544" t="s">
        <v>934</v>
      </c>
      <c r="H53" s="544" t="s">
        <v>934</v>
      </c>
      <c r="I53" s="31" t="str">
        <f t="shared" si="2"/>
        <v>Cond4</v>
      </c>
    </row>
    <row r="54" spans="1:9" ht="13.8" x14ac:dyDescent="0.25">
      <c r="A54" s="88" t="str">
        <f>'G-1 All Habitats'!B54</f>
        <v>Sparsely vegetated land - Limestone pavement</v>
      </c>
      <c r="B54" s="544">
        <v>3</v>
      </c>
      <c r="C54" s="544">
        <v>2.5</v>
      </c>
      <c r="D54" s="544">
        <v>2</v>
      </c>
      <c r="E54" s="544">
        <v>1.5</v>
      </c>
      <c r="F54" s="544">
        <v>1</v>
      </c>
      <c r="G54" s="544" t="s">
        <v>934</v>
      </c>
      <c r="H54" s="544" t="s">
        <v>934</v>
      </c>
      <c r="I54" s="31" t="str">
        <f t="shared" si="2"/>
        <v>Cond4</v>
      </c>
    </row>
    <row r="55" spans="1:9" ht="13.8" x14ac:dyDescent="0.25">
      <c r="A55" s="88" t="str">
        <f>'G-1 All Habitats'!B55</f>
        <v>Sparsely vegetated land - Maritime cliff and slopes</v>
      </c>
      <c r="B55" s="544">
        <v>3</v>
      </c>
      <c r="C55" s="544">
        <v>2.5</v>
      </c>
      <c r="D55" s="544">
        <v>2</v>
      </c>
      <c r="E55" s="544">
        <v>1.5</v>
      </c>
      <c r="F55" s="544">
        <v>1</v>
      </c>
      <c r="G55" s="544" t="s">
        <v>934</v>
      </c>
      <c r="H55" s="544" t="s">
        <v>934</v>
      </c>
      <c r="I55" s="31" t="str">
        <f t="shared" si="2"/>
        <v>Cond4</v>
      </c>
    </row>
    <row r="56" spans="1:9" ht="13.8" x14ac:dyDescent="0.25">
      <c r="A56" s="88" t="str">
        <f>'G-1 All Habitats'!B56</f>
        <v>Sparsely vegetated land - Other inland rock and scree</v>
      </c>
      <c r="B56" s="544">
        <v>3</v>
      </c>
      <c r="C56" s="544">
        <v>2.5</v>
      </c>
      <c r="D56" s="544">
        <v>2</v>
      </c>
      <c r="E56" s="544">
        <v>1.5</v>
      </c>
      <c r="F56" s="544">
        <v>1</v>
      </c>
      <c r="G56" s="544" t="s">
        <v>934</v>
      </c>
      <c r="H56" s="544" t="s">
        <v>934</v>
      </c>
      <c r="I56" s="31" t="str">
        <f t="shared" si="2"/>
        <v>Cond4</v>
      </c>
    </row>
    <row r="57" spans="1:9" ht="13.8" x14ac:dyDescent="0.25">
      <c r="A57" s="88" t="str">
        <f>'G-1 All Habitats'!B57</f>
        <v>Urban - Allotments</v>
      </c>
      <c r="B57" s="544">
        <v>3</v>
      </c>
      <c r="C57" s="544">
        <v>2.5</v>
      </c>
      <c r="D57" s="544">
        <v>2</v>
      </c>
      <c r="E57" s="544">
        <v>1.5</v>
      </c>
      <c r="F57" s="544">
        <v>1</v>
      </c>
      <c r="G57" s="544" t="s">
        <v>934</v>
      </c>
      <c r="H57" s="544" t="s">
        <v>934</v>
      </c>
      <c r="I57" s="31" t="str">
        <f t="shared" si="2"/>
        <v>Cond4</v>
      </c>
    </row>
    <row r="58" spans="1:9" ht="13.8" x14ac:dyDescent="0.25">
      <c r="A58" s="88" t="str">
        <f>'G-1 All Habitats'!B39</f>
        <v>Lakes - Ornamental lake or pond</v>
      </c>
      <c r="B58" s="544">
        <v>3</v>
      </c>
      <c r="C58" s="544">
        <v>2.5</v>
      </c>
      <c r="D58" s="544">
        <v>2</v>
      </c>
      <c r="E58" s="544">
        <v>1.5</v>
      </c>
      <c r="F58" s="544">
        <v>1</v>
      </c>
      <c r="G58" s="544" t="s">
        <v>934</v>
      </c>
      <c r="H58" s="544" t="s">
        <v>934</v>
      </c>
      <c r="I58" s="31" t="str">
        <f t="shared" si="2"/>
        <v>Cond4</v>
      </c>
    </row>
    <row r="59" spans="1:9" ht="13.8" x14ac:dyDescent="0.25">
      <c r="A59" s="88" t="str">
        <f>'G-1 All Habitats'!B58</f>
        <v>Urban - Artificial unvegetated, unsealed surface</v>
      </c>
      <c r="B59" s="544" t="s">
        <v>934</v>
      </c>
      <c r="C59" s="544" t="s">
        <v>934</v>
      </c>
      <c r="D59" s="544" t="s">
        <v>934</v>
      </c>
      <c r="E59" s="544" t="s">
        <v>934</v>
      </c>
      <c r="F59" s="544" t="s">
        <v>934</v>
      </c>
      <c r="G59" s="544" t="s">
        <v>934</v>
      </c>
      <c r="H59" s="593">
        <v>0</v>
      </c>
      <c r="I59" s="31" t="str">
        <f t="shared" si="2"/>
        <v>Cond2</v>
      </c>
    </row>
    <row r="60" spans="1:9" ht="13.8" x14ac:dyDescent="0.25">
      <c r="A60" s="88" t="str">
        <f>'G-1 All Habitats'!B59</f>
        <v>Urban - Bioswale</v>
      </c>
      <c r="B60" s="544">
        <v>3</v>
      </c>
      <c r="C60" s="544">
        <v>2.5</v>
      </c>
      <c r="D60" s="544">
        <v>2</v>
      </c>
      <c r="E60" s="544">
        <v>1.5</v>
      </c>
      <c r="F60" s="544">
        <v>1</v>
      </c>
      <c r="G60" s="544" t="s">
        <v>934</v>
      </c>
      <c r="H60" s="544" t="s">
        <v>934</v>
      </c>
      <c r="I60" s="31" t="str">
        <f t="shared" si="2"/>
        <v>Cond4</v>
      </c>
    </row>
    <row r="61" spans="1:9" ht="13.8" x14ac:dyDescent="0.25">
      <c r="A61" s="88" t="str">
        <f>'G-1 All Habitats'!B60</f>
        <v>Urban - Intensive green roof</v>
      </c>
      <c r="B61" s="544">
        <v>3</v>
      </c>
      <c r="C61" s="544">
        <v>2.5</v>
      </c>
      <c r="D61" s="544">
        <v>2</v>
      </c>
      <c r="E61" s="544">
        <v>1.5</v>
      </c>
      <c r="F61" s="544">
        <v>1</v>
      </c>
      <c r="G61" s="544" t="s">
        <v>934</v>
      </c>
      <c r="H61" s="544" t="s">
        <v>934</v>
      </c>
      <c r="I61" s="31" t="str">
        <f t="shared" si="2"/>
        <v>Cond4</v>
      </c>
    </row>
    <row r="62" spans="1:9" ht="13.8" x14ac:dyDescent="0.25">
      <c r="A62" s="88" t="str">
        <f>'G-1 All Habitats'!B61</f>
        <v>Urban - Built linear features</v>
      </c>
      <c r="B62" s="544" t="s">
        <v>934</v>
      </c>
      <c r="C62" s="544" t="s">
        <v>934</v>
      </c>
      <c r="D62" s="544" t="s">
        <v>934</v>
      </c>
      <c r="E62" s="544" t="s">
        <v>934</v>
      </c>
      <c r="F62" s="544" t="s">
        <v>934</v>
      </c>
      <c r="G62" s="544" t="s">
        <v>934</v>
      </c>
      <c r="H62" s="593">
        <v>0</v>
      </c>
      <c r="I62" s="31" t="str">
        <f t="shared" si="2"/>
        <v>Cond2</v>
      </c>
    </row>
    <row r="63" spans="1:9" ht="13.8" x14ac:dyDescent="0.25">
      <c r="A63" s="88" t="str">
        <f>'G-1 All Habitats'!B62</f>
        <v>Urban - Cemeteries and churchyards</v>
      </c>
      <c r="B63" s="544">
        <v>3</v>
      </c>
      <c r="C63" s="544">
        <v>2.5</v>
      </c>
      <c r="D63" s="544">
        <v>2</v>
      </c>
      <c r="E63" s="544">
        <v>1.5</v>
      </c>
      <c r="F63" s="544">
        <v>1</v>
      </c>
      <c r="G63" s="544" t="s">
        <v>934</v>
      </c>
      <c r="H63" s="544" t="s">
        <v>934</v>
      </c>
      <c r="I63" s="31" t="str">
        <f t="shared" si="2"/>
        <v>Cond4</v>
      </c>
    </row>
    <row r="64" spans="1:9" ht="13.8" x14ac:dyDescent="0.25">
      <c r="A64" s="88" t="str">
        <f>'G-1 All Habitats'!B63</f>
        <v>Urban - Developed land; sealed surface</v>
      </c>
      <c r="B64" s="544" t="s">
        <v>934</v>
      </c>
      <c r="C64" s="544" t="s">
        <v>934</v>
      </c>
      <c r="D64" s="544" t="s">
        <v>934</v>
      </c>
      <c r="E64" s="544" t="s">
        <v>934</v>
      </c>
      <c r="F64" s="544" t="s">
        <v>934</v>
      </c>
      <c r="G64" s="544" t="s">
        <v>934</v>
      </c>
      <c r="H64" s="593">
        <v>0</v>
      </c>
      <c r="I64" s="31" t="str">
        <f t="shared" si="2"/>
        <v>Cond2</v>
      </c>
    </row>
    <row r="65" spans="1:9" ht="13.8" x14ac:dyDescent="0.25">
      <c r="A65" s="88" t="str">
        <f>'G-1 All Habitats'!B64</f>
        <v>Urban - Other green roof</v>
      </c>
      <c r="B65" s="544" t="s">
        <v>934</v>
      </c>
      <c r="C65" s="544" t="s">
        <v>934</v>
      </c>
      <c r="D65" s="544" t="s">
        <v>934</v>
      </c>
      <c r="E65" s="544" t="s">
        <v>934</v>
      </c>
      <c r="F65" s="544" t="s">
        <v>934</v>
      </c>
      <c r="G65" s="544">
        <v>1</v>
      </c>
      <c r="H65" s="544" t="s">
        <v>934</v>
      </c>
      <c r="I65" s="31" t="str">
        <f t="shared" si="2"/>
        <v>Cond1</v>
      </c>
    </row>
    <row r="66" spans="1:9" ht="13.8" x14ac:dyDescent="0.25">
      <c r="A66" s="88" t="str">
        <f>'G-1 All Habitats'!B65</f>
        <v>Urban - Facade-bound green wall</v>
      </c>
      <c r="B66" s="544">
        <v>3</v>
      </c>
      <c r="C66" s="544">
        <v>2.5</v>
      </c>
      <c r="D66" s="544">
        <v>2</v>
      </c>
      <c r="E66" s="544">
        <v>1.5</v>
      </c>
      <c r="F66" s="544">
        <v>1</v>
      </c>
      <c r="G66" s="544" t="s">
        <v>934</v>
      </c>
      <c r="H66" s="544" t="s">
        <v>934</v>
      </c>
      <c r="I66" s="31" t="str">
        <f t="shared" si="2"/>
        <v>Cond4</v>
      </c>
    </row>
    <row r="67" spans="1:9" ht="13.8" x14ac:dyDescent="0.25">
      <c r="A67" s="88" t="str">
        <f>'G-1 All Habitats'!B66</f>
        <v>Urban - Ground based green wall</v>
      </c>
      <c r="B67" s="544">
        <v>3</v>
      </c>
      <c r="C67" s="544">
        <v>2.5</v>
      </c>
      <c r="D67" s="544">
        <v>2</v>
      </c>
      <c r="E67" s="544">
        <v>1.5</v>
      </c>
      <c r="F67" s="544">
        <v>1</v>
      </c>
      <c r="G67" s="544" t="s">
        <v>934</v>
      </c>
      <c r="H67" s="544" t="s">
        <v>934</v>
      </c>
      <c r="I67" s="31" t="str">
        <f t="shared" si="2"/>
        <v>Cond4</v>
      </c>
    </row>
    <row r="68" spans="1:9" ht="13.8" x14ac:dyDescent="0.25">
      <c r="A68" s="88" t="str">
        <f>'G-1 All Habitats'!B67</f>
        <v>Urban - Ground level planters</v>
      </c>
      <c r="B68" s="544" t="s">
        <v>934</v>
      </c>
      <c r="C68" s="544" t="s">
        <v>934</v>
      </c>
      <c r="D68" s="544" t="s">
        <v>934</v>
      </c>
      <c r="E68" s="544" t="s">
        <v>934</v>
      </c>
      <c r="F68" s="544" t="s">
        <v>934</v>
      </c>
      <c r="G68" s="544">
        <v>1</v>
      </c>
      <c r="H68" s="544" t="s">
        <v>934</v>
      </c>
      <c r="I68" s="31" t="str">
        <f t="shared" si="2"/>
        <v>Cond1</v>
      </c>
    </row>
    <row r="69" spans="1:9" ht="13.8" x14ac:dyDescent="0.25">
      <c r="A69" s="88" t="str">
        <f>'G-1 All Habitats'!B68</f>
        <v>Urban - Biodiverse green roof</v>
      </c>
      <c r="B69" s="544">
        <v>3</v>
      </c>
      <c r="C69" s="544">
        <v>2.5</v>
      </c>
      <c r="D69" s="544">
        <v>2</v>
      </c>
      <c r="E69" s="544">
        <v>1.5</v>
      </c>
      <c r="F69" s="544">
        <v>1</v>
      </c>
      <c r="G69" s="544" t="s">
        <v>934</v>
      </c>
      <c r="H69" s="544" t="s">
        <v>934</v>
      </c>
      <c r="I69" s="31" t="str">
        <f t="shared" si="2"/>
        <v>Cond4</v>
      </c>
    </row>
    <row r="70" spans="1:9" ht="13.8" x14ac:dyDescent="0.25">
      <c r="A70" s="88" t="str">
        <f>'G-1 All Habitats'!B69</f>
        <v>Urban - Introduced shrub</v>
      </c>
      <c r="B70" s="544" t="s">
        <v>934</v>
      </c>
      <c r="C70" s="544" t="s">
        <v>934</v>
      </c>
      <c r="D70" s="544" t="s">
        <v>934</v>
      </c>
      <c r="E70" s="544" t="s">
        <v>934</v>
      </c>
      <c r="F70" s="544" t="s">
        <v>934</v>
      </c>
      <c r="G70" s="544">
        <v>1</v>
      </c>
      <c r="H70" s="544" t="s">
        <v>934</v>
      </c>
      <c r="I70" s="31" t="str">
        <f t="shared" si="2"/>
        <v>Cond1</v>
      </c>
    </row>
    <row r="71" spans="1:9" ht="13.8" x14ac:dyDescent="0.25">
      <c r="A71" s="88" t="str">
        <f>'G-1 All Habitats'!B70</f>
        <v>Urban - Open Mosaic Habitats on Previously Developed Land</v>
      </c>
      <c r="B71" s="544">
        <v>3</v>
      </c>
      <c r="C71" s="544">
        <v>2.5</v>
      </c>
      <c r="D71" s="544">
        <v>2</v>
      </c>
      <c r="E71" s="544">
        <v>1.5</v>
      </c>
      <c r="F71" s="544">
        <v>1</v>
      </c>
      <c r="G71" s="544" t="s">
        <v>934</v>
      </c>
      <c r="H71" s="544" t="s">
        <v>934</v>
      </c>
      <c r="I71" s="31" t="str">
        <f t="shared" si="2"/>
        <v>Cond4</v>
      </c>
    </row>
    <row r="72" spans="1:9" ht="13.8" x14ac:dyDescent="0.25">
      <c r="A72" s="88" t="str">
        <f>'G-1 All Habitats'!B71</f>
        <v>Urban - Rain garden</v>
      </c>
      <c r="B72" s="544">
        <v>3</v>
      </c>
      <c r="C72" s="544">
        <v>2.5</v>
      </c>
      <c r="D72" s="544">
        <v>2</v>
      </c>
      <c r="E72" s="544">
        <v>1.5</v>
      </c>
      <c r="F72" s="544">
        <v>1</v>
      </c>
      <c r="G72" s="544" t="s">
        <v>934</v>
      </c>
      <c r="H72" s="544" t="s">
        <v>934</v>
      </c>
      <c r="I72" s="31" t="str">
        <f t="shared" si="2"/>
        <v>Cond4</v>
      </c>
    </row>
    <row r="73" spans="1:9" ht="13.8" x14ac:dyDescent="0.25">
      <c r="A73" s="88" t="str">
        <f>'G-1 All Habitats'!B72</f>
        <v>Urban - Actively worked sand pit quarry or open cast mine</v>
      </c>
      <c r="B73" s="544" t="s">
        <v>934</v>
      </c>
      <c r="C73" s="544" t="s">
        <v>934</v>
      </c>
      <c r="D73" s="544" t="s">
        <v>934</v>
      </c>
      <c r="E73" s="544" t="s">
        <v>934</v>
      </c>
      <c r="F73" s="544" t="s">
        <v>934</v>
      </c>
      <c r="G73" s="544">
        <v>1</v>
      </c>
      <c r="H73" s="544" t="s">
        <v>934</v>
      </c>
      <c r="I73" s="31" t="str">
        <f t="shared" ref="I73:I86" si="3">IF(G73=1,"Cond1",IF(H73=0,"Cond2",IF(AND(B73=3,C73=2.5,D73=2,E73=1.5,F73=1),"Cond4",IF(F73=1,"Cond3","Check"))))</f>
        <v>Cond1</v>
      </c>
    </row>
    <row r="74" spans="1:9" ht="13.8" x14ac:dyDescent="0.25">
      <c r="A74" s="88" t="str">
        <f>'G-1 All Habitats'!B73</f>
        <v>Urban - Urban Tree</v>
      </c>
      <c r="B74" s="544">
        <v>3</v>
      </c>
      <c r="C74" s="544">
        <v>2.5</v>
      </c>
      <c r="D74" s="544">
        <v>2</v>
      </c>
      <c r="E74" s="544">
        <v>1.5</v>
      </c>
      <c r="F74" s="544">
        <v>1</v>
      </c>
      <c r="G74" s="544" t="s">
        <v>934</v>
      </c>
      <c r="H74" s="544" t="s">
        <v>934</v>
      </c>
      <c r="I74" s="31" t="str">
        <f t="shared" si="3"/>
        <v>Cond4</v>
      </c>
    </row>
    <row r="75" spans="1:9" ht="13.8" x14ac:dyDescent="0.25">
      <c r="A75" s="88" t="str">
        <f>'G-1 All Habitats'!B74</f>
        <v>Urban - Sustainable urban drainage feature</v>
      </c>
      <c r="B75" s="544">
        <v>3</v>
      </c>
      <c r="C75" s="544">
        <v>2.5</v>
      </c>
      <c r="D75" s="544">
        <v>2</v>
      </c>
      <c r="E75" s="544">
        <v>1.5</v>
      </c>
      <c r="F75" s="544">
        <v>1</v>
      </c>
      <c r="G75" s="544" t="s">
        <v>934</v>
      </c>
      <c r="H75" s="544" t="s">
        <v>934</v>
      </c>
      <c r="I75" s="31" t="str">
        <f t="shared" si="3"/>
        <v>Cond4</v>
      </c>
    </row>
    <row r="76" spans="1:9" ht="13.8" x14ac:dyDescent="0.25">
      <c r="A76" s="88" t="str">
        <f>'G-1 All Habitats'!B75</f>
        <v>Urban - Un-vegetated garden</v>
      </c>
      <c r="B76" s="544" t="s">
        <v>934</v>
      </c>
      <c r="C76" s="544" t="s">
        <v>934</v>
      </c>
      <c r="D76" s="544" t="s">
        <v>934</v>
      </c>
      <c r="E76" s="544" t="s">
        <v>934</v>
      </c>
      <c r="F76" s="544" t="s">
        <v>934</v>
      </c>
      <c r="G76" s="544" t="s">
        <v>934</v>
      </c>
      <c r="H76" s="593">
        <v>0</v>
      </c>
      <c r="I76" s="31" t="str">
        <f t="shared" si="3"/>
        <v>Cond2</v>
      </c>
    </row>
    <row r="77" spans="1:9" ht="13.8" x14ac:dyDescent="0.25">
      <c r="A77" s="88" t="str">
        <f>'G-1 All Habitats'!B76</f>
        <v>Urban - Vacant/derelict land/ bareground</v>
      </c>
      <c r="B77" s="544">
        <v>3</v>
      </c>
      <c r="C77" s="544">
        <v>2.5</v>
      </c>
      <c r="D77" s="544">
        <v>2</v>
      </c>
      <c r="E77" s="544">
        <v>1.5</v>
      </c>
      <c r="F77" s="544">
        <v>1</v>
      </c>
      <c r="G77" s="544" t="s">
        <v>934</v>
      </c>
      <c r="H77" s="544" t="s">
        <v>934</v>
      </c>
      <c r="I77" s="31" t="str">
        <f t="shared" si="3"/>
        <v>Cond4</v>
      </c>
    </row>
    <row r="78" spans="1:9" ht="13.8" x14ac:dyDescent="0.25">
      <c r="A78" s="88" t="str">
        <f>'G-1 All Habitats'!B77</f>
        <v>Urban - Vegetated garden</v>
      </c>
      <c r="B78" s="544" t="s">
        <v>934</v>
      </c>
      <c r="C78" s="544" t="s">
        <v>934</v>
      </c>
      <c r="D78" s="544" t="s">
        <v>934</v>
      </c>
      <c r="E78" s="544" t="s">
        <v>934</v>
      </c>
      <c r="F78" s="544" t="s">
        <v>934</v>
      </c>
      <c r="G78" s="544">
        <v>1</v>
      </c>
      <c r="H78" s="544" t="s">
        <v>934</v>
      </c>
      <c r="I78" s="31" t="str">
        <f t="shared" si="3"/>
        <v>Cond1</v>
      </c>
    </row>
    <row r="79" spans="1:9" ht="13.8" x14ac:dyDescent="0.25">
      <c r="A79" s="88" t="str">
        <f>'G-1 All Habitats'!B78</f>
        <v>Wetland - Blanket bog</v>
      </c>
      <c r="B79" s="544">
        <v>3</v>
      </c>
      <c r="C79" s="544">
        <v>2.5</v>
      </c>
      <c r="D79" s="544">
        <v>2</v>
      </c>
      <c r="E79" s="544">
        <v>1.5</v>
      </c>
      <c r="F79" s="544">
        <v>1</v>
      </c>
      <c r="G79" s="544" t="s">
        <v>934</v>
      </c>
      <c r="H79" s="544" t="s">
        <v>934</v>
      </c>
      <c r="I79" s="31" t="str">
        <f t="shared" si="3"/>
        <v>Cond4</v>
      </c>
    </row>
    <row r="80" spans="1:9" ht="13.8" x14ac:dyDescent="0.25">
      <c r="A80" s="88" t="str">
        <f>'G-1 All Habitats'!B79</f>
        <v>Wetland - Depressions on Peat substrates (H7150)</v>
      </c>
      <c r="B80" s="544">
        <v>3</v>
      </c>
      <c r="C80" s="544">
        <v>2.5</v>
      </c>
      <c r="D80" s="544">
        <v>2</v>
      </c>
      <c r="E80" s="544">
        <v>1.5</v>
      </c>
      <c r="F80" s="544">
        <v>1</v>
      </c>
      <c r="G80" s="544" t="s">
        <v>934</v>
      </c>
      <c r="H80" s="544" t="s">
        <v>934</v>
      </c>
      <c r="I80" s="31" t="str">
        <f t="shared" si="3"/>
        <v>Cond4</v>
      </c>
    </row>
    <row r="81" spans="1:9" ht="13.8" x14ac:dyDescent="0.25">
      <c r="A81" s="88" t="str">
        <f>'G-1 All Habitats'!B80</f>
        <v>Wetland - Fens (upland and lowland)</v>
      </c>
      <c r="B81" s="544">
        <v>3</v>
      </c>
      <c r="C81" s="544">
        <v>2.5</v>
      </c>
      <c r="D81" s="544">
        <v>2</v>
      </c>
      <c r="E81" s="544">
        <v>1.5</v>
      </c>
      <c r="F81" s="544">
        <v>1</v>
      </c>
      <c r="G81" s="544" t="s">
        <v>934</v>
      </c>
      <c r="H81" s="544" t="s">
        <v>934</v>
      </c>
      <c r="I81" s="31" t="str">
        <f t="shared" si="3"/>
        <v>Cond4</v>
      </c>
    </row>
    <row r="82" spans="1:9" ht="13.8" x14ac:dyDescent="0.25">
      <c r="A82" s="88" t="str">
        <f>'G-1 All Habitats'!B81</f>
        <v>Wetland - Lowland raised bog</v>
      </c>
      <c r="B82" s="544">
        <v>3</v>
      </c>
      <c r="C82" s="544">
        <v>2.5</v>
      </c>
      <c r="D82" s="544">
        <v>2</v>
      </c>
      <c r="E82" s="544">
        <v>1.5</v>
      </c>
      <c r="F82" s="544">
        <v>1</v>
      </c>
      <c r="G82" s="544" t="s">
        <v>934</v>
      </c>
      <c r="H82" s="544" t="s">
        <v>934</v>
      </c>
      <c r="I82" s="31" t="str">
        <f t="shared" si="3"/>
        <v>Cond4</v>
      </c>
    </row>
    <row r="83" spans="1:9" ht="13.8" x14ac:dyDescent="0.25">
      <c r="A83" s="88" t="str">
        <f>'G-1 All Habitats'!B82</f>
        <v>Wetland - Oceanic Valley Mire[1] (D2.1)</v>
      </c>
      <c r="B83" s="544">
        <v>3</v>
      </c>
      <c r="C83" s="544">
        <v>2.5</v>
      </c>
      <c r="D83" s="544">
        <v>2</v>
      </c>
      <c r="E83" s="544">
        <v>1.5</v>
      </c>
      <c r="F83" s="544">
        <v>1</v>
      </c>
      <c r="G83" s="544" t="s">
        <v>934</v>
      </c>
      <c r="H83" s="544" t="s">
        <v>934</v>
      </c>
      <c r="I83" s="31" t="str">
        <f t="shared" si="3"/>
        <v>Cond4</v>
      </c>
    </row>
    <row r="84" spans="1:9" ht="13.8" x14ac:dyDescent="0.25">
      <c r="A84" s="88" t="str">
        <f>'G-1 All Habitats'!B83</f>
        <v>Wetland - Purple moor grass and rush pastures</v>
      </c>
      <c r="B84" s="544">
        <v>3</v>
      </c>
      <c r="C84" s="544">
        <v>2.5</v>
      </c>
      <c r="D84" s="544">
        <v>2</v>
      </c>
      <c r="E84" s="544">
        <v>1.5</v>
      </c>
      <c r="F84" s="544">
        <v>1</v>
      </c>
      <c r="G84" s="544" t="s">
        <v>934</v>
      </c>
      <c r="H84" s="544" t="s">
        <v>934</v>
      </c>
      <c r="I84" s="31" t="str">
        <f t="shared" si="3"/>
        <v>Cond4</v>
      </c>
    </row>
    <row r="85" spans="1:9" ht="13.8" x14ac:dyDescent="0.25">
      <c r="A85" s="88" t="str">
        <f>'G-1 All Habitats'!B84</f>
        <v>Wetland - Reedbeds</v>
      </c>
      <c r="B85" s="544">
        <v>3</v>
      </c>
      <c r="C85" s="544">
        <v>2.5</v>
      </c>
      <c r="D85" s="544">
        <v>2</v>
      </c>
      <c r="E85" s="544">
        <v>1.5</v>
      </c>
      <c r="F85" s="544">
        <v>1</v>
      </c>
      <c r="G85" s="544" t="s">
        <v>934</v>
      </c>
      <c r="H85" s="544" t="s">
        <v>934</v>
      </c>
      <c r="I85" s="31" t="str">
        <f t="shared" si="3"/>
        <v>Cond4</v>
      </c>
    </row>
    <row r="86" spans="1:9" ht="13.8" x14ac:dyDescent="0.25">
      <c r="A86" s="88" t="str">
        <f>'G-1 All Habitats'!B85</f>
        <v>Wetland - Transition mires and quaking bogs (H7140)</v>
      </c>
      <c r="B86" s="544">
        <v>3</v>
      </c>
      <c r="C86" s="544">
        <v>2.5</v>
      </c>
      <c r="D86" s="544">
        <v>2</v>
      </c>
      <c r="E86" s="544">
        <v>1.5</v>
      </c>
      <c r="F86" s="544">
        <v>1</v>
      </c>
      <c r="G86" s="544" t="s">
        <v>934</v>
      </c>
      <c r="H86" s="544" t="s">
        <v>934</v>
      </c>
      <c r="I86" s="31" t="str">
        <f t="shared" si="3"/>
        <v>Cond4</v>
      </c>
    </row>
    <row r="87" spans="1:9" ht="13.8" x14ac:dyDescent="0.25">
      <c r="A87" s="88" t="str">
        <f>'G-1 All Habitats'!B86</f>
        <v>Woodland and forest - Felled</v>
      </c>
      <c r="B87" s="544">
        <v>3</v>
      </c>
      <c r="C87" s="544" t="s">
        <v>934</v>
      </c>
      <c r="D87" s="544" t="s">
        <v>934</v>
      </c>
      <c r="E87" s="544" t="s">
        <v>934</v>
      </c>
      <c r="F87" s="544" t="s">
        <v>934</v>
      </c>
      <c r="G87" s="544" t="s">
        <v>934</v>
      </c>
      <c r="H87" s="544" t="s">
        <v>934</v>
      </c>
      <c r="I87" s="31" t="s">
        <v>1045</v>
      </c>
    </row>
    <row r="88" spans="1:9" ht="13.8" x14ac:dyDescent="0.25">
      <c r="A88" s="88" t="str">
        <f>'G-1 All Habitats'!B87</f>
        <v>Woodland and forest - Lowland beech and yew woodland</v>
      </c>
      <c r="B88" s="544">
        <v>3</v>
      </c>
      <c r="C88" s="544">
        <v>2.5</v>
      </c>
      <c r="D88" s="544">
        <v>2</v>
      </c>
      <c r="E88" s="544">
        <v>1.5</v>
      </c>
      <c r="F88" s="544">
        <v>1</v>
      </c>
      <c r="G88" s="544" t="s">
        <v>934</v>
      </c>
      <c r="H88" s="544" t="s">
        <v>934</v>
      </c>
      <c r="I88" s="31" t="str">
        <f t="shared" ref="I88:I130" si="4">IF(G88=1,"Cond1",IF(H88=0,"Cond2",IF(AND(B88=3,C88=2.5,D88=2,E88=1.5,F88=1),"Cond4",IF(F88=1,"Cond3","Check"))))</f>
        <v>Cond4</v>
      </c>
    </row>
    <row r="89" spans="1:9" ht="13.8" x14ac:dyDescent="0.25">
      <c r="A89" s="88" t="str">
        <f>'G-1 All Habitats'!B88</f>
        <v>Woodland and forest - Lowland mixed deciduous woodland</v>
      </c>
      <c r="B89" s="544">
        <v>3</v>
      </c>
      <c r="C89" s="544">
        <v>2.5</v>
      </c>
      <c r="D89" s="544">
        <v>2</v>
      </c>
      <c r="E89" s="544">
        <v>1.5</v>
      </c>
      <c r="F89" s="544">
        <v>1</v>
      </c>
      <c r="G89" s="544" t="s">
        <v>934</v>
      </c>
      <c r="H89" s="544" t="s">
        <v>934</v>
      </c>
      <c r="I89" s="31" t="str">
        <f t="shared" si="4"/>
        <v>Cond4</v>
      </c>
    </row>
    <row r="90" spans="1:9" ht="13.8" x14ac:dyDescent="0.25">
      <c r="A90" s="88" t="str">
        <f>'G-1 All Habitats'!B89</f>
        <v>Woodland and forest - Native pine woodlands</v>
      </c>
      <c r="B90" s="544">
        <v>3</v>
      </c>
      <c r="C90" s="544">
        <v>2.5</v>
      </c>
      <c r="D90" s="544">
        <v>2</v>
      </c>
      <c r="E90" s="544">
        <v>1.5</v>
      </c>
      <c r="F90" s="544">
        <v>1</v>
      </c>
      <c r="G90" s="544" t="s">
        <v>934</v>
      </c>
      <c r="H90" s="544" t="s">
        <v>934</v>
      </c>
      <c r="I90" s="31" t="str">
        <f t="shared" si="4"/>
        <v>Cond4</v>
      </c>
    </row>
    <row r="91" spans="1:9" ht="13.8" x14ac:dyDescent="0.25">
      <c r="A91" s="88" t="str">
        <f>'G-1 All Habitats'!B90</f>
        <v>Woodland and forest - Other coniferous woodland</v>
      </c>
      <c r="B91" s="544">
        <v>3</v>
      </c>
      <c r="C91" s="544">
        <v>2.5</v>
      </c>
      <c r="D91" s="544">
        <v>2</v>
      </c>
      <c r="E91" s="544">
        <v>1.5</v>
      </c>
      <c r="F91" s="544">
        <v>1</v>
      </c>
      <c r="G91" s="544" t="s">
        <v>934</v>
      </c>
      <c r="H91" s="544" t="s">
        <v>934</v>
      </c>
      <c r="I91" s="31" t="str">
        <f t="shared" si="4"/>
        <v>Cond4</v>
      </c>
    </row>
    <row r="92" spans="1:9" ht="13.8" x14ac:dyDescent="0.25">
      <c r="A92" s="88" t="str">
        <f>'G-1 All Habitats'!B91</f>
        <v>Woodland and forest - Other Scot's Pine woodland</v>
      </c>
      <c r="B92" s="544">
        <v>3</v>
      </c>
      <c r="C92" s="544">
        <v>2.5</v>
      </c>
      <c r="D92" s="544">
        <v>2</v>
      </c>
      <c r="E92" s="544">
        <v>1.5</v>
      </c>
      <c r="F92" s="544">
        <v>1</v>
      </c>
      <c r="G92" s="544" t="s">
        <v>934</v>
      </c>
      <c r="H92" s="544" t="s">
        <v>934</v>
      </c>
      <c r="I92" s="31" t="str">
        <f t="shared" si="4"/>
        <v>Cond4</v>
      </c>
    </row>
    <row r="93" spans="1:9" ht="13.8" x14ac:dyDescent="0.25">
      <c r="A93" s="88" t="str">
        <f>'G-1 All Habitats'!B92</f>
        <v>Woodland and forest - Other woodland; broadleaved</v>
      </c>
      <c r="B93" s="544">
        <v>3</v>
      </c>
      <c r="C93" s="544">
        <v>2.5</v>
      </c>
      <c r="D93" s="544">
        <v>2</v>
      </c>
      <c r="E93" s="544">
        <v>1.5</v>
      </c>
      <c r="F93" s="544">
        <v>1</v>
      </c>
      <c r="G93" s="544" t="s">
        <v>934</v>
      </c>
      <c r="H93" s="544" t="s">
        <v>934</v>
      </c>
      <c r="I93" s="31" t="str">
        <f t="shared" si="4"/>
        <v>Cond4</v>
      </c>
    </row>
    <row r="94" spans="1:9" ht="13.8" x14ac:dyDescent="0.25">
      <c r="A94" s="88" t="str">
        <f>'G-1 All Habitats'!B93</f>
        <v>Woodland and forest - Other woodland; mixed</v>
      </c>
      <c r="B94" s="544">
        <v>3</v>
      </c>
      <c r="C94" s="544">
        <v>2.5</v>
      </c>
      <c r="D94" s="544">
        <v>2</v>
      </c>
      <c r="E94" s="544">
        <v>1.5</v>
      </c>
      <c r="F94" s="544">
        <v>1</v>
      </c>
      <c r="G94" s="544" t="s">
        <v>934</v>
      </c>
      <c r="H94" s="544" t="s">
        <v>934</v>
      </c>
      <c r="I94" s="31" t="str">
        <f t="shared" si="4"/>
        <v>Cond4</v>
      </c>
    </row>
    <row r="95" spans="1:9" ht="13.8" x14ac:dyDescent="0.25">
      <c r="A95" s="88" t="str">
        <f>'G-1 All Habitats'!B94</f>
        <v>Woodland and forest - Upland birchwoods</v>
      </c>
      <c r="B95" s="544">
        <v>3</v>
      </c>
      <c r="C95" s="544">
        <v>2.5</v>
      </c>
      <c r="D95" s="544">
        <v>2</v>
      </c>
      <c r="E95" s="544">
        <v>1.5</v>
      </c>
      <c r="F95" s="544">
        <v>1</v>
      </c>
      <c r="G95" s="544" t="s">
        <v>934</v>
      </c>
      <c r="H95" s="544" t="s">
        <v>934</v>
      </c>
      <c r="I95" s="31" t="str">
        <f t="shared" si="4"/>
        <v>Cond4</v>
      </c>
    </row>
    <row r="96" spans="1:9" ht="13.8" x14ac:dyDescent="0.25">
      <c r="A96" s="88" t="str">
        <f>'G-1 All Habitats'!B95</f>
        <v>Woodland and forest - Upland mixed ashwoods</v>
      </c>
      <c r="B96" s="544">
        <v>3</v>
      </c>
      <c r="C96" s="544">
        <v>2.5</v>
      </c>
      <c r="D96" s="544">
        <v>2</v>
      </c>
      <c r="E96" s="544">
        <v>1.5</v>
      </c>
      <c r="F96" s="544">
        <v>1</v>
      </c>
      <c r="G96" s="544" t="s">
        <v>934</v>
      </c>
      <c r="H96" s="544" t="s">
        <v>934</v>
      </c>
      <c r="I96" s="31" t="str">
        <f t="shared" si="4"/>
        <v>Cond4</v>
      </c>
    </row>
    <row r="97" spans="1:9" ht="13.8" x14ac:dyDescent="0.25">
      <c r="A97" s="88" t="str">
        <f>'G-1 All Habitats'!B96</f>
        <v>Woodland and forest - Upland oakwood</v>
      </c>
      <c r="B97" s="544">
        <v>3</v>
      </c>
      <c r="C97" s="544">
        <v>2.5</v>
      </c>
      <c r="D97" s="544">
        <v>2</v>
      </c>
      <c r="E97" s="544">
        <v>1.5</v>
      </c>
      <c r="F97" s="544">
        <v>1</v>
      </c>
      <c r="G97" s="544" t="s">
        <v>934</v>
      </c>
      <c r="H97" s="544" t="s">
        <v>934</v>
      </c>
      <c r="I97" s="31" t="str">
        <f t="shared" si="4"/>
        <v>Cond4</v>
      </c>
    </row>
    <row r="98" spans="1:9" ht="13.8" x14ac:dyDescent="0.25">
      <c r="A98" s="88" t="str">
        <f>'G-1 All Habitats'!B97</f>
        <v>Woodland and forest - Wet woodland</v>
      </c>
      <c r="B98" s="544">
        <v>3</v>
      </c>
      <c r="C98" s="544">
        <v>2.5</v>
      </c>
      <c r="D98" s="544">
        <v>2</v>
      </c>
      <c r="E98" s="544">
        <v>1.5</v>
      </c>
      <c r="F98" s="544">
        <v>1</v>
      </c>
      <c r="G98" s="544" t="s">
        <v>934</v>
      </c>
      <c r="H98" s="544" t="s">
        <v>934</v>
      </c>
      <c r="I98" s="31" t="str">
        <f t="shared" si="4"/>
        <v>Cond4</v>
      </c>
    </row>
    <row r="99" spans="1:9" ht="13.8" x14ac:dyDescent="0.25">
      <c r="A99" s="88" t="str">
        <f>'G-1 All Habitats'!B98</f>
        <v>Woodland and forest - Wood-pasture and parkland</v>
      </c>
      <c r="B99" s="544">
        <v>3</v>
      </c>
      <c r="C99" s="544">
        <v>2.5</v>
      </c>
      <c r="D99" s="544">
        <v>2</v>
      </c>
      <c r="E99" s="544">
        <v>1.5</v>
      </c>
      <c r="F99" s="544">
        <v>1</v>
      </c>
      <c r="G99" s="544" t="s">
        <v>934</v>
      </c>
      <c r="H99" s="544" t="s">
        <v>934</v>
      </c>
      <c r="I99" s="31" t="str">
        <f t="shared" si="4"/>
        <v>Cond4</v>
      </c>
    </row>
    <row r="100" spans="1:9" ht="13.8" x14ac:dyDescent="0.25">
      <c r="A100" s="88" t="str">
        <f>'G-1 All Habitats'!B99</f>
        <v>Coastal lagoons - Coastal lagoons</v>
      </c>
      <c r="B100" s="544">
        <v>3</v>
      </c>
      <c r="C100" s="544">
        <v>2.5</v>
      </c>
      <c r="D100" s="544">
        <v>2</v>
      </c>
      <c r="E100" s="544">
        <v>1.5</v>
      </c>
      <c r="F100" s="544">
        <v>1</v>
      </c>
      <c r="G100" s="544" t="s">
        <v>934</v>
      </c>
      <c r="H100" s="544" t="s">
        <v>934</v>
      </c>
      <c r="I100" s="31" t="str">
        <f t="shared" si="4"/>
        <v>Cond4</v>
      </c>
    </row>
    <row r="101" spans="1:9" ht="13.8" x14ac:dyDescent="0.25">
      <c r="A101" s="88" t="str">
        <f>'G-1 All Habitats'!B100</f>
        <v>Rocky shore - High energy littoral rock</v>
      </c>
      <c r="B101" s="544">
        <v>3</v>
      </c>
      <c r="C101" s="544">
        <v>2.5</v>
      </c>
      <c r="D101" s="544">
        <v>2</v>
      </c>
      <c r="E101" s="544">
        <v>1.5</v>
      </c>
      <c r="F101" s="544">
        <v>1</v>
      </c>
      <c r="G101" s="544" t="s">
        <v>934</v>
      </c>
      <c r="H101" s="544" t="s">
        <v>934</v>
      </c>
      <c r="I101" s="31" t="str">
        <f t="shared" si="4"/>
        <v>Cond4</v>
      </c>
    </row>
    <row r="102" spans="1:9" ht="13.8" x14ac:dyDescent="0.25">
      <c r="A102" s="88" t="str">
        <f>'G-1 All Habitats'!B101</f>
        <v>Rocky shore - High energy littoral rock - on peat, clay or chalk</v>
      </c>
      <c r="B102" s="544">
        <v>3</v>
      </c>
      <c r="C102" s="544">
        <v>2.5</v>
      </c>
      <c r="D102" s="544">
        <v>2</v>
      </c>
      <c r="E102" s="544">
        <v>1.5</v>
      </c>
      <c r="F102" s="544">
        <v>1</v>
      </c>
      <c r="G102" s="544" t="s">
        <v>934</v>
      </c>
      <c r="H102" s="544" t="s">
        <v>934</v>
      </c>
      <c r="I102" s="31" t="str">
        <f t="shared" si="4"/>
        <v>Cond4</v>
      </c>
    </row>
    <row r="103" spans="1:9" ht="13.8" x14ac:dyDescent="0.25">
      <c r="A103" s="88" t="str">
        <f>'G-1 All Habitats'!B102</f>
        <v>Rocky shore - Moderate energy littoral rock</v>
      </c>
      <c r="B103" s="544">
        <v>3</v>
      </c>
      <c r="C103" s="544">
        <v>2.5</v>
      </c>
      <c r="D103" s="544">
        <v>2</v>
      </c>
      <c r="E103" s="544">
        <v>1.5</v>
      </c>
      <c r="F103" s="544">
        <v>1</v>
      </c>
      <c r="G103" s="544" t="s">
        <v>934</v>
      </c>
      <c r="H103" s="544" t="s">
        <v>934</v>
      </c>
      <c r="I103" s="31" t="str">
        <f t="shared" si="4"/>
        <v>Cond4</v>
      </c>
    </row>
    <row r="104" spans="1:9" ht="13.8" x14ac:dyDescent="0.25">
      <c r="A104" s="88" t="str">
        <f>'G-1 All Habitats'!B103</f>
        <v>Rocky shore - Moderate energy littoral rock - on peat, clay or chalk</v>
      </c>
      <c r="B104" s="544">
        <v>3</v>
      </c>
      <c r="C104" s="544">
        <v>2.5</v>
      </c>
      <c r="D104" s="544">
        <v>2</v>
      </c>
      <c r="E104" s="544">
        <v>1.5</v>
      </c>
      <c r="F104" s="544">
        <v>1</v>
      </c>
      <c r="G104" s="544" t="s">
        <v>934</v>
      </c>
      <c r="H104" s="544" t="s">
        <v>934</v>
      </c>
      <c r="I104" s="31" t="str">
        <f t="shared" si="4"/>
        <v>Cond4</v>
      </c>
    </row>
    <row r="105" spans="1:9" ht="13.8" x14ac:dyDescent="0.25">
      <c r="A105" s="88" t="str">
        <f>'G-1 All Habitats'!B104</f>
        <v>Rocky shore - Low energy littoral rock</v>
      </c>
      <c r="B105" s="544">
        <v>3</v>
      </c>
      <c r="C105" s="544">
        <v>2.5</v>
      </c>
      <c r="D105" s="544">
        <v>2</v>
      </c>
      <c r="E105" s="544">
        <v>1.5</v>
      </c>
      <c r="F105" s="544">
        <v>1</v>
      </c>
      <c r="G105" s="544" t="s">
        <v>934</v>
      </c>
      <c r="H105" s="544" t="s">
        <v>934</v>
      </c>
      <c r="I105" s="31" t="str">
        <f t="shared" si="4"/>
        <v>Cond4</v>
      </c>
    </row>
    <row r="106" spans="1:9" ht="13.8" x14ac:dyDescent="0.25">
      <c r="A106" s="88" t="str">
        <f>'G-1 All Habitats'!B105</f>
        <v>Rocky shore - Low energy littoral rock - on peat, clay or chalk</v>
      </c>
      <c r="B106" s="544">
        <v>3</v>
      </c>
      <c r="C106" s="544">
        <v>2.5</v>
      </c>
      <c r="D106" s="544">
        <v>2</v>
      </c>
      <c r="E106" s="544">
        <v>1.5</v>
      </c>
      <c r="F106" s="544">
        <v>1</v>
      </c>
      <c r="G106" s="544" t="s">
        <v>934</v>
      </c>
      <c r="H106" s="544" t="s">
        <v>934</v>
      </c>
      <c r="I106" s="31" t="str">
        <f t="shared" si="4"/>
        <v>Cond4</v>
      </c>
    </row>
    <row r="107" spans="1:9" ht="13.8" x14ac:dyDescent="0.25">
      <c r="A107" s="88" t="str">
        <f>'G-1 All Habitats'!B106</f>
        <v>Rocky shore - Features of littoral rock</v>
      </c>
      <c r="B107" s="544">
        <v>3</v>
      </c>
      <c r="C107" s="544">
        <v>2.5</v>
      </c>
      <c r="D107" s="544">
        <v>2</v>
      </c>
      <c r="E107" s="544">
        <v>1.5</v>
      </c>
      <c r="F107" s="544">
        <v>1</v>
      </c>
      <c r="G107" s="544" t="s">
        <v>934</v>
      </c>
      <c r="H107" s="544" t="s">
        <v>934</v>
      </c>
      <c r="I107" s="31" t="str">
        <f t="shared" si="4"/>
        <v>Cond4</v>
      </c>
    </row>
    <row r="108" spans="1:9" ht="13.8" x14ac:dyDescent="0.25">
      <c r="A108" s="88" t="str">
        <f>'G-1 All Habitats'!B107</f>
        <v>Rocky shore - Features of littoral rock - on peat, clay or chalk</v>
      </c>
      <c r="B108" s="544">
        <v>3</v>
      </c>
      <c r="C108" s="544">
        <v>2.5</v>
      </c>
      <c r="D108" s="544">
        <v>2</v>
      </c>
      <c r="E108" s="544">
        <v>1.5</v>
      </c>
      <c r="F108" s="544">
        <v>1</v>
      </c>
      <c r="G108" s="544" t="s">
        <v>934</v>
      </c>
      <c r="H108" s="544" t="s">
        <v>934</v>
      </c>
      <c r="I108" s="31" t="str">
        <f t="shared" si="4"/>
        <v>Cond4</v>
      </c>
    </row>
    <row r="109" spans="1:9" ht="13.8" x14ac:dyDescent="0.25">
      <c r="A109" s="88" t="str">
        <f>'G-1 All Habitats'!B110</f>
        <v>Intertidal sediment - Littoral coarse sediment</v>
      </c>
      <c r="B109" s="544">
        <v>3</v>
      </c>
      <c r="C109" s="544">
        <v>2.5</v>
      </c>
      <c r="D109" s="544">
        <v>2</v>
      </c>
      <c r="E109" s="544">
        <v>1.5</v>
      </c>
      <c r="F109" s="544">
        <v>1</v>
      </c>
      <c r="G109" s="544" t="s">
        <v>934</v>
      </c>
      <c r="H109" s="544" t="s">
        <v>934</v>
      </c>
      <c r="I109" s="31" t="str">
        <f t="shared" si="4"/>
        <v>Cond4</v>
      </c>
    </row>
    <row r="110" spans="1:9" ht="13.8" x14ac:dyDescent="0.25">
      <c r="A110" s="88" t="str">
        <f>'G-1 All Habitats'!B111</f>
        <v>Intertidal sediment - Littoral mud</v>
      </c>
      <c r="B110" s="544">
        <v>3</v>
      </c>
      <c r="C110" s="544">
        <v>2.5</v>
      </c>
      <c r="D110" s="544">
        <v>2</v>
      </c>
      <c r="E110" s="544">
        <v>1.5</v>
      </c>
      <c r="F110" s="544">
        <v>1</v>
      </c>
      <c r="G110" s="544" t="s">
        <v>934</v>
      </c>
      <c r="H110" s="544" t="s">
        <v>934</v>
      </c>
      <c r="I110" s="31" t="str">
        <f t="shared" si="4"/>
        <v>Cond4</v>
      </c>
    </row>
    <row r="111" spans="1:9" ht="13.8" x14ac:dyDescent="0.25">
      <c r="A111" s="88" t="str">
        <f>'G-1 All Habitats'!B112</f>
        <v>Intertidal sediment - Littoral mixed sediments</v>
      </c>
      <c r="B111" s="544">
        <v>3</v>
      </c>
      <c r="C111" s="544">
        <v>2.5</v>
      </c>
      <c r="D111" s="544">
        <v>2</v>
      </c>
      <c r="E111" s="544">
        <v>1.5</v>
      </c>
      <c r="F111" s="544">
        <v>1</v>
      </c>
      <c r="G111" s="544" t="s">
        <v>934</v>
      </c>
      <c r="H111" s="544" t="s">
        <v>934</v>
      </c>
      <c r="I111" s="31" t="str">
        <f t="shared" si="4"/>
        <v>Cond4</v>
      </c>
    </row>
    <row r="112" spans="1:9" ht="13.8" x14ac:dyDescent="0.25">
      <c r="A112" s="88" t="str">
        <f>'G-1 All Habitats'!B108</f>
        <v>Coastal saltmarsh - Saltmarshes and saline reedbeds</v>
      </c>
      <c r="B112" s="544">
        <v>3</v>
      </c>
      <c r="C112" s="544">
        <v>2.5</v>
      </c>
      <c r="D112" s="544">
        <v>2</v>
      </c>
      <c r="E112" s="544">
        <v>1.5</v>
      </c>
      <c r="F112" s="544">
        <v>1</v>
      </c>
      <c r="G112" s="544" t="s">
        <v>934</v>
      </c>
      <c r="H112" s="544" t="s">
        <v>934</v>
      </c>
      <c r="I112" s="31" t="str">
        <f t="shared" si="4"/>
        <v>Cond4</v>
      </c>
    </row>
    <row r="113" spans="1:9" ht="13.8" x14ac:dyDescent="0.25">
      <c r="A113" s="88" t="str">
        <f>'G-1 All Habitats'!B109</f>
        <v>Coastal saltmarsh - Artificial saltmarshes and saline reedbeds</v>
      </c>
      <c r="B113" s="544">
        <v>3</v>
      </c>
      <c r="C113" s="544">
        <v>2.5</v>
      </c>
      <c r="D113" s="544">
        <v>2</v>
      </c>
      <c r="E113" s="544">
        <v>1.5</v>
      </c>
      <c r="F113" s="544">
        <v>1</v>
      </c>
      <c r="G113" s="544" t="s">
        <v>934</v>
      </c>
      <c r="H113" s="544" t="s">
        <v>934</v>
      </c>
      <c r="I113" s="31" t="str">
        <f t="shared" si="4"/>
        <v>Cond4</v>
      </c>
    </row>
    <row r="114" spans="1:9" ht="13.8" x14ac:dyDescent="0.25">
      <c r="A114" s="88" t="str">
        <f>'G-1 All Habitats'!B113</f>
        <v>Intertidal sediment - Littoral seagrass</v>
      </c>
      <c r="B114" s="544">
        <v>3</v>
      </c>
      <c r="C114" s="544">
        <v>2.5</v>
      </c>
      <c r="D114" s="544">
        <v>2</v>
      </c>
      <c r="E114" s="544">
        <v>1.5</v>
      </c>
      <c r="F114" s="544">
        <v>1</v>
      </c>
      <c r="G114" s="544" t="s">
        <v>934</v>
      </c>
      <c r="H114" s="544" t="s">
        <v>934</v>
      </c>
      <c r="I114" s="31" t="str">
        <f t="shared" si="4"/>
        <v>Cond4</v>
      </c>
    </row>
    <row r="115" spans="1:9" ht="13.8" x14ac:dyDescent="0.25">
      <c r="A115" s="88" t="str">
        <f>'G-1 All Habitats'!B114</f>
        <v>Intertidal sediment - Littoral seagrass on peat, clay or chalk</v>
      </c>
      <c r="B115" s="544">
        <v>3</v>
      </c>
      <c r="C115" s="544">
        <v>2.5</v>
      </c>
      <c r="D115" s="544">
        <v>2</v>
      </c>
      <c r="E115" s="544">
        <v>1.5</v>
      </c>
      <c r="F115" s="544">
        <v>1</v>
      </c>
      <c r="G115" s="544" t="s">
        <v>934</v>
      </c>
      <c r="H115" s="544" t="s">
        <v>934</v>
      </c>
      <c r="I115" s="31" t="str">
        <f t="shared" si="4"/>
        <v>Cond4</v>
      </c>
    </row>
    <row r="116" spans="1:9" ht="13.8" x14ac:dyDescent="0.25">
      <c r="A116" s="88" t="str">
        <f>'G-1 All Habitats'!B115</f>
        <v>Intertidal sediment - Littoral biogenic reefs - Mussels</v>
      </c>
      <c r="B116" s="544">
        <v>3</v>
      </c>
      <c r="C116" s="544">
        <v>2.5</v>
      </c>
      <c r="D116" s="544">
        <v>2</v>
      </c>
      <c r="E116" s="544">
        <v>1.5</v>
      </c>
      <c r="F116" s="544">
        <v>1</v>
      </c>
      <c r="G116" s="544" t="s">
        <v>934</v>
      </c>
      <c r="H116" s="544" t="s">
        <v>934</v>
      </c>
      <c r="I116" s="31" t="str">
        <f t="shared" si="4"/>
        <v>Cond4</v>
      </c>
    </row>
    <row r="117" spans="1:9" ht="13.8" x14ac:dyDescent="0.25">
      <c r="A117" s="88" t="str">
        <f>'G-1 All Habitats'!B116</f>
        <v>Intertidal sediment - Littoral biogenic reefs - Sabellaria</v>
      </c>
      <c r="B117" s="544">
        <v>3</v>
      </c>
      <c r="C117" s="544">
        <v>2.5</v>
      </c>
      <c r="D117" s="544">
        <v>2</v>
      </c>
      <c r="E117" s="544">
        <v>1.5</v>
      </c>
      <c r="F117" s="544">
        <v>1</v>
      </c>
      <c r="G117" s="544" t="s">
        <v>934</v>
      </c>
      <c r="H117" s="544" t="s">
        <v>934</v>
      </c>
      <c r="I117" s="31" t="str">
        <f t="shared" si="4"/>
        <v>Cond4</v>
      </c>
    </row>
    <row r="118" spans="1:9" ht="13.8" x14ac:dyDescent="0.25">
      <c r="A118" s="88" t="str">
        <f>'G-1 All Habitats'!B117</f>
        <v>Intertidal sediment - Features of littoral sediment</v>
      </c>
      <c r="B118" s="544">
        <v>3</v>
      </c>
      <c r="C118" s="544">
        <v>2.5</v>
      </c>
      <c r="D118" s="544">
        <v>2</v>
      </c>
      <c r="E118" s="544">
        <v>1.5</v>
      </c>
      <c r="F118" s="544">
        <v>1</v>
      </c>
      <c r="G118" s="544" t="s">
        <v>934</v>
      </c>
      <c r="H118" s="544" t="s">
        <v>934</v>
      </c>
      <c r="I118" s="31" t="str">
        <f t="shared" si="4"/>
        <v>Cond4</v>
      </c>
    </row>
    <row r="119" spans="1:9" ht="13.8" x14ac:dyDescent="0.25">
      <c r="A119" s="88" t="str">
        <f>'G-1 All Habitats'!B118</f>
        <v>Intertidal sediment - Artificial littoral coarse sediment</v>
      </c>
      <c r="B119" s="544">
        <v>3</v>
      </c>
      <c r="C119" s="544">
        <v>2.5</v>
      </c>
      <c r="D119" s="544">
        <v>2</v>
      </c>
      <c r="E119" s="544">
        <v>1.5</v>
      </c>
      <c r="F119" s="544">
        <v>1</v>
      </c>
      <c r="G119" s="544" t="s">
        <v>934</v>
      </c>
      <c r="H119" s="544" t="s">
        <v>934</v>
      </c>
      <c r="I119" s="31" t="str">
        <f t="shared" si="4"/>
        <v>Cond4</v>
      </c>
    </row>
    <row r="120" spans="1:9" ht="13.8" x14ac:dyDescent="0.25">
      <c r="A120" s="88" t="str">
        <f>'G-1 All Habitats'!B119</f>
        <v>Intertidal sediment - Artificial littoral mud</v>
      </c>
      <c r="B120" s="544">
        <v>3</v>
      </c>
      <c r="C120" s="544">
        <v>2.5</v>
      </c>
      <c r="D120" s="544">
        <v>2</v>
      </c>
      <c r="E120" s="544">
        <v>1.5</v>
      </c>
      <c r="F120" s="544">
        <v>1</v>
      </c>
      <c r="G120" s="544" t="s">
        <v>934</v>
      </c>
      <c r="H120" s="544" t="s">
        <v>934</v>
      </c>
      <c r="I120" s="31" t="str">
        <f t="shared" si="4"/>
        <v>Cond4</v>
      </c>
    </row>
    <row r="121" spans="1:9" ht="13.8" x14ac:dyDescent="0.25">
      <c r="A121" s="88" t="str">
        <f>'G-1 All Habitats'!B120</f>
        <v>Intertidal sediment - Artificial littoral sand</v>
      </c>
      <c r="B121" s="544">
        <v>3</v>
      </c>
      <c r="C121" s="544">
        <v>2.5</v>
      </c>
      <c r="D121" s="544">
        <v>2</v>
      </c>
      <c r="E121" s="544">
        <v>1.5</v>
      </c>
      <c r="F121" s="544">
        <v>1</v>
      </c>
      <c r="G121" s="544" t="s">
        <v>934</v>
      </c>
      <c r="H121" s="544" t="s">
        <v>934</v>
      </c>
      <c r="I121" s="31" t="str">
        <f t="shared" si="4"/>
        <v>Cond4</v>
      </c>
    </row>
    <row r="122" spans="1:9" ht="13.8" x14ac:dyDescent="0.25">
      <c r="A122" s="88" t="str">
        <f>'G-1 All Habitats'!B121</f>
        <v>Intertidal sediment - Artificial littoral muddy sand</v>
      </c>
      <c r="B122" s="544">
        <v>3</v>
      </c>
      <c r="C122" s="544">
        <v>2.5</v>
      </c>
      <c r="D122" s="544">
        <v>2</v>
      </c>
      <c r="E122" s="544">
        <v>1.5</v>
      </c>
      <c r="F122" s="544">
        <v>1</v>
      </c>
      <c r="G122" s="544" t="s">
        <v>934</v>
      </c>
      <c r="H122" s="544" t="s">
        <v>934</v>
      </c>
      <c r="I122" s="31" t="str">
        <f t="shared" si="4"/>
        <v>Cond4</v>
      </c>
    </row>
    <row r="123" spans="1:9" ht="13.8" x14ac:dyDescent="0.25">
      <c r="A123" s="88" t="str">
        <f>'G-1 All Habitats'!B122</f>
        <v>Intertidal sediment - Artificial littoral mixed sediments</v>
      </c>
      <c r="B123" s="544">
        <v>3</v>
      </c>
      <c r="C123" s="544">
        <v>2.5</v>
      </c>
      <c r="D123" s="544">
        <v>2</v>
      </c>
      <c r="E123" s="544">
        <v>1.5</v>
      </c>
      <c r="F123" s="544">
        <v>1</v>
      </c>
      <c r="G123" s="544" t="s">
        <v>934</v>
      </c>
      <c r="H123" s="544" t="s">
        <v>934</v>
      </c>
      <c r="I123" s="31" t="str">
        <f t="shared" si="4"/>
        <v>Cond4</v>
      </c>
    </row>
    <row r="124" spans="1:9" ht="13.8" x14ac:dyDescent="0.25">
      <c r="A124" s="88" t="str">
        <f>'G-1 All Habitats'!B123</f>
        <v>Intertidal sediment - Artificial littoral seagrass</v>
      </c>
      <c r="B124" s="544">
        <v>3</v>
      </c>
      <c r="C124" s="544">
        <v>2.5</v>
      </c>
      <c r="D124" s="544">
        <v>2</v>
      </c>
      <c r="E124" s="544">
        <v>1.5</v>
      </c>
      <c r="F124" s="544">
        <v>1</v>
      </c>
      <c r="G124" s="544" t="s">
        <v>934</v>
      </c>
      <c r="H124" s="544" t="s">
        <v>934</v>
      </c>
      <c r="I124" s="31" t="str">
        <f t="shared" si="4"/>
        <v>Cond4</v>
      </c>
    </row>
    <row r="125" spans="1:9" ht="13.8" x14ac:dyDescent="0.25">
      <c r="A125" s="88" t="str">
        <f>'G-1 All Habitats'!B124</f>
        <v>Intertidal sediment - Artificial littoral biogenic reefs</v>
      </c>
      <c r="B125" s="544">
        <v>3</v>
      </c>
      <c r="C125" s="544">
        <v>2.5</v>
      </c>
      <c r="D125" s="544">
        <v>2</v>
      </c>
      <c r="E125" s="544">
        <v>1.5</v>
      </c>
      <c r="F125" s="544">
        <v>1</v>
      </c>
      <c r="G125" s="544" t="s">
        <v>934</v>
      </c>
      <c r="H125" s="544" t="s">
        <v>934</v>
      </c>
      <c r="I125" s="31" t="str">
        <f t="shared" si="4"/>
        <v>Cond4</v>
      </c>
    </row>
    <row r="126" spans="1:9" ht="13.8" x14ac:dyDescent="0.25">
      <c r="A126" s="88" t="str">
        <f>'G-1 All Habitats'!B125</f>
        <v>Intertidal sediment - Littoral sand</v>
      </c>
      <c r="B126" s="544">
        <v>3</v>
      </c>
      <c r="C126" s="544">
        <v>2.5</v>
      </c>
      <c r="D126" s="544">
        <v>2</v>
      </c>
      <c r="E126" s="544">
        <v>1.5</v>
      </c>
      <c r="F126" s="544">
        <v>1</v>
      </c>
      <c r="G126" s="544" t="s">
        <v>934</v>
      </c>
      <c r="H126" s="544" t="s">
        <v>934</v>
      </c>
      <c r="I126" s="31" t="str">
        <f t="shared" si="4"/>
        <v>Cond4</v>
      </c>
    </row>
    <row r="127" spans="1:9" ht="13.8" x14ac:dyDescent="0.25">
      <c r="A127" s="88" t="str">
        <f>'G-1 All Habitats'!B126</f>
        <v>Intertidal sediment - Littoral muddy sand</v>
      </c>
      <c r="B127" s="544">
        <v>3</v>
      </c>
      <c r="C127" s="544">
        <v>2.5</v>
      </c>
      <c r="D127" s="544">
        <v>2</v>
      </c>
      <c r="E127" s="544">
        <v>1.5</v>
      </c>
      <c r="F127" s="544">
        <v>1</v>
      </c>
      <c r="G127" s="544" t="s">
        <v>934</v>
      </c>
      <c r="H127" s="544" t="s">
        <v>934</v>
      </c>
      <c r="I127" s="31" t="str">
        <f t="shared" si="4"/>
        <v>Cond4</v>
      </c>
    </row>
    <row r="128" spans="1:9" ht="13.8" x14ac:dyDescent="0.25">
      <c r="A128" s="88" t="str">
        <f>'G-1 All Habitats'!B127</f>
        <v>Intertidal Hard Structures - Artificial hard structures</v>
      </c>
      <c r="B128" s="544">
        <v>3</v>
      </c>
      <c r="C128" s="544">
        <v>2.5</v>
      </c>
      <c r="D128" s="544">
        <v>2</v>
      </c>
      <c r="E128" s="544">
        <v>1.5</v>
      </c>
      <c r="F128" s="544">
        <v>1</v>
      </c>
      <c r="G128" s="544" t="s">
        <v>934</v>
      </c>
      <c r="H128" s="544" t="s">
        <v>934</v>
      </c>
      <c r="I128" s="31" t="str">
        <f t="shared" si="4"/>
        <v>Cond4</v>
      </c>
    </row>
    <row r="129" spans="1:9" ht="13.8" x14ac:dyDescent="0.25">
      <c r="A129" s="88" t="str">
        <f>'G-1 All Habitats'!B128</f>
        <v>Intertidal Hard Structures - Artificial features of hard structures</v>
      </c>
      <c r="B129" s="544">
        <v>3</v>
      </c>
      <c r="C129" s="544">
        <v>2.5</v>
      </c>
      <c r="D129" s="544">
        <v>2</v>
      </c>
      <c r="E129" s="544">
        <v>1.5</v>
      </c>
      <c r="F129" s="544">
        <v>1</v>
      </c>
      <c r="G129" s="544" t="s">
        <v>934</v>
      </c>
      <c r="H129" s="544" t="s">
        <v>934</v>
      </c>
      <c r="I129" s="31" t="str">
        <f t="shared" si="4"/>
        <v>Cond4</v>
      </c>
    </row>
    <row r="130" spans="1:9" ht="13.8" x14ac:dyDescent="0.25">
      <c r="A130" s="88" t="str">
        <f>'G-1 All Habitats'!B129</f>
        <v>Intertidal Hard Structures - Artificial hard structures with Integrated Greening of Grey Infrastructure (IGGI)</v>
      </c>
      <c r="B130" s="544">
        <v>3</v>
      </c>
      <c r="C130" s="544">
        <v>2.5</v>
      </c>
      <c r="D130" s="544">
        <v>2</v>
      </c>
      <c r="E130" s="544">
        <v>1.5</v>
      </c>
      <c r="F130" s="544">
        <v>1</v>
      </c>
      <c r="G130" s="544" t="s">
        <v>934</v>
      </c>
      <c r="H130" s="544" t="s">
        <v>934</v>
      </c>
      <c r="I130" s="31" t="str">
        <f t="shared" si="4"/>
        <v>Cond4</v>
      </c>
    </row>
    <row r="131" spans="1:9" ht="13.8" x14ac:dyDescent="0.25"/>
    <row r="132" spans="1:9" ht="13.8" x14ac:dyDescent="0.25"/>
    <row r="133" spans="1:9" ht="14.4" customHeight="1" x14ac:dyDescent="0.25"/>
    <row r="134" spans="1:9" ht="14.4" customHeight="1" x14ac:dyDescent="0.25"/>
    <row r="135" spans="1:9" ht="14.4" customHeight="1" x14ac:dyDescent="0.25"/>
    <row r="136" spans="1:9" ht="14.4" customHeight="1" x14ac:dyDescent="0.25"/>
    <row r="137" spans="1:9" ht="14.4" customHeight="1" x14ac:dyDescent="0.25"/>
    <row r="138" spans="1:9" ht="14.4" customHeight="1" x14ac:dyDescent="0.25"/>
    <row r="139" spans="1:9" ht="14.4" customHeight="1" x14ac:dyDescent="0.25"/>
    <row r="140" spans="1:9" ht="14.4" customHeight="1" x14ac:dyDescent="0.25"/>
    <row r="141" spans="1:9" ht="14.4" customHeight="1" x14ac:dyDescent="0.25"/>
    <row r="142" spans="1:9" ht="14.4" customHeight="1" x14ac:dyDescent="0.25"/>
    <row r="143" spans="1:9" ht="14.4" customHeight="1" x14ac:dyDescent="0.25"/>
    <row r="144" spans="1:9" ht="14.4" customHeight="1" x14ac:dyDescent="0.25"/>
    <row r="145" ht="14.4" customHeight="1" x14ac:dyDescent="0.25"/>
    <row r="146" ht="14.4" customHeight="1" x14ac:dyDescent="0.25"/>
    <row r="147" ht="14.4" customHeight="1" x14ac:dyDescent="0.25"/>
  </sheetData>
  <sheetProtection algorithmName="SHA-512" hashValue="Wo5XlwgJ6t842cpLsWQ6lAHGbPZJIu8guiGDdsQ5ctAFnexwS8i8uq+r1Jde4Yp2l2Q3HBe72xgsO2qq+L16/A==" saltValue="fBalizJEz7dgrue2lUWJMQ==" spinCount="100000" sheet="1" objects="1" scenarios="1"/>
  <autoFilter ref="A3:H79"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FFC000"/>
  </sheetPr>
  <dimension ref="A1:S211"/>
  <sheetViews>
    <sheetView showGridLines="0" showRowColHeaders="0" zoomScale="130" zoomScaleNormal="130" workbookViewId="0">
      <selection activeCell="S28" sqref="S28"/>
    </sheetView>
  </sheetViews>
  <sheetFormatPr defaultColWidth="0" defaultRowHeight="14.4" zeroHeight="1" x14ac:dyDescent="0.3"/>
  <cols>
    <col min="1" max="1" width="9.109375" style="274" customWidth="1"/>
    <col min="2" max="2" width="44.33203125" style="274" customWidth="1"/>
    <col min="3" max="3" width="60.5546875" style="274" customWidth="1"/>
    <col min="4" max="4" width="22.44140625" style="274" customWidth="1"/>
    <col min="5" max="19" width="9.109375" style="274" customWidth="1"/>
    <col min="20" max="16384" width="9.109375" style="274" hidden="1"/>
  </cols>
  <sheetData>
    <row r="1" spans="2:4" ht="61.2" customHeight="1" x14ac:dyDescent="0.3"/>
    <row r="2" spans="2:4" ht="15.6" x14ac:dyDescent="0.3">
      <c r="B2" s="123" t="s">
        <v>1046</v>
      </c>
      <c r="C2" s="123" t="s">
        <v>1047</v>
      </c>
      <c r="D2" s="123" t="s">
        <v>1048</v>
      </c>
    </row>
    <row r="3" spans="2:4" x14ac:dyDescent="0.3">
      <c r="B3" s="649" t="s">
        <v>1049</v>
      </c>
      <c r="C3" s="544" t="s">
        <v>695</v>
      </c>
      <c r="D3" s="544" t="s">
        <v>23</v>
      </c>
    </row>
    <row r="4" spans="2:4" x14ac:dyDescent="0.3">
      <c r="B4" s="649" t="s">
        <v>1050</v>
      </c>
      <c r="C4" s="544" t="s">
        <v>692</v>
      </c>
      <c r="D4" s="544" t="s">
        <v>23</v>
      </c>
    </row>
    <row r="5" spans="2:4" x14ac:dyDescent="0.3">
      <c r="B5" s="649" t="s">
        <v>1051</v>
      </c>
      <c r="C5" s="544" t="s">
        <v>678</v>
      </c>
      <c r="D5" s="544" t="s">
        <v>153</v>
      </c>
    </row>
    <row r="6" spans="2:4" x14ac:dyDescent="0.3">
      <c r="B6" s="649" t="s">
        <v>1052</v>
      </c>
      <c r="C6" s="544" t="s">
        <v>692</v>
      </c>
      <c r="D6" s="544" t="s">
        <v>23</v>
      </c>
    </row>
    <row r="7" spans="2:4" x14ac:dyDescent="0.3">
      <c r="B7" s="649" t="s">
        <v>684</v>
      </c>
      <c r="C7" s="544" t="s">
        <v>686</v>
      </c>
      <c r="D7" s="544" t="s">
        <v>156</v>
      </c>
    </row>
    <row r="8" spans="2:4" x14ac:dyDescent="0.3">
      <c r="B8" s="649" t="s">
        <v>1053</v>
      </c>
      <c r="C8" s="544" t="s">
        <v>681</v>
      </c>
      <c r="D8" s="544" t="s">
        <v>153</v>
      </c>
    </row>
    <row r="9" spans="2:4" x14ac:dyDescent="0.3">
      <c r="B9" s="649" t="s">
        <v>1054</v>
      </c>
      <c r="C9" s="544" t="s">
        <v>686</v>
      </c>
      <c r="D9" s="544" t="s">
        <v>156</v>
      </c>
    </row>
    <row r="10" spans="2:4" x14ac:dyDescent="0.3">
      <c r="B10" s="649" t="s">
        <v>1055</v>
      </c>
      <c r="C10" s="544" t="s">
        <v>695</v>
      </c>
      <c r="D10" s="544" t="s">
        <v>23</v>
      </c>
    </row>
    <row r="11" spans="2:4" x14ac:dyDescent="0.3">
      <c r="B11" s="649" t="s">
        <v>1056</v>
      </c>
      <c r="C11" s="544" t="s">
        <v>678</v>
      </c>
      <c r="D11" s="544" t="s">
        <v>153</v>
      </c>
    </row>
    <row r="12" spans="2:4" x14ac:dyDescent="0.3">
      <c r="B12" s="649" t="s">
        <v>1057</v>
      </c>
      <c r="C12" s="544" t="s">
        <v>695</v>
      </c>
      <c r="D12" s="544" t="s">
        <v>23</v>
      </c>
    </row>
    <row r="13" spans="2:4" x14ac:dyDescent="0.3">
      <c r="B13" s="649" t="s">
        <v>1058</v>
      </c>
      <c r="C13" s="544" t="s">
        <v>496</v>
      </c>
      <c r="D13" s="544" t="s">
        <v>23</v>
      </c>
    </row>
    <row r="14" spans="2:4" x14ac:dyDescent="0.3">
      <c r="B14" s="649" t="s">
        <v>1059</v>
      </c>
      <c r="C14" s="544" t="s">
        <v>496</v>
      </c>
      <c r="D14" s="544" t="s">
        <v>23</v>
      </c>
    </row>
    <row r="15" spans="2:4" x14ac:dyDescent="0.3">
      <c r="B15" s="649" t="s">
        <v>1060</v>
      </c>
      <c r="C15" s="544" t="s">
        <v>496</v>
      </c>
      <c r="D15" s="544" t="s">
        <v>23</v>
      </c>
    </row>
    <row r="16" spans="2:4" x14ac:dyDescent="0.3">
      <c r="B16" s="649" t="s">
        <v>1061</v>
      </c>
      <c r="C16" s="544" t="s">
        <v>712</v>
      </c>
      <c r="D16" s="544" t="s">
        <v>153</v>
      </c>
    </row>
    <row r="17" spans="2:4" x14ac:dyDescent="0.3">
      <c r="B17" s="649" t="s">
        <v>1062</v>
      </c>
      <c r="C17" s="544" t="s">
        <v>712</v>
      </c>
      <c r="D17" s="544" t="s">
        <v>153</v>
      </c>
    </row>
    <row r="18" spans="2:4" x14ac:dyDescent="0.3">
      <c r="B18" s="649" t="s">
        <v>1063</v>
      </c>
      <c r="C18" s="544" t="s">
        <v>686</v>
      </c>
      <c r="D18" s="544" t="s">
        <v>23</v>
      </c>
    </row>
    <row r="19" spans="2:4" x14ac:dyDescent="0.3">
      <c r="B19" s="649" t="s">
        <v>1064</v>
      </c>
      <c r="C19" s="544" t="s">
        <v>712</v>
      </c>
      <c r="D19" s="544" t="s">
        <v>153</v>
      </c>
    </row>
    <row r="20" spans="2:4" x14ac:dyDescent="0.3">
      <c r="B20" s="649" t="s">
        <v>1065</v>
      </c>
      <c r="C20" s="544" t="s">
        <v>671</v>
      </c>
      <c r="D20" s="544" t="s">
        <v>153</v>
      </c>
    </row>
    <row r="21" spans="2:4" x14ac:dyDescent="0.3">
      <c r="B21" s="649" t="s">
        <v>1066</v>
      </c>
      <c r="C21" s="544" t="s">
        <v>671</v>
      </c>
      <c r="D21" s="544" t="s">
        <v>153</v>
      </c>
    </row>
    <row r="22" spans="2:4" x14ac:dyDescent="0.3">
      <c r="B22" s="649" t="s">
        <v>1067</v>
      </c>
      <c r="C22" s="544" t="s">
        <v>671</v>
      </c>
      <c r="D22" s="544" t="s">
        <v>153</v>
      </c>
    </row>
    <row r="23" spans="2:4" x14ac:dyDescent="0.3">
      <c r="B23" s="649" t="s">
        <v>1068</v>
      </c>
      <c r="C23" s="544" t="s">
        <v>671</v>
      </c>
      <c r="D23" s="544" t="s">
        <v>153</v>
      </c>
    </row>
    <row r="24" spans="2:4" x14ac:dyDescent="0.3">
      <c r="B24" s="649" t="s">
        <v>426</v>
      </c>
      <c r="C24" s="544" t="s">
        <v>453</v>
      </c>
      <c r="D24" s="544" t="s">
        <v>23</v>
      </c>
    </row>
    <row r="25" spans="2:4" x14ac:dyDescent="0.3">
      <c r="B25" s="649" t="s">
        <v>426</v>
      </c>
      <c r="C25" s="544" t="s">
        <v>464</v>
      </c>
      <c r="D25" s="544" t="s">
        <v>23</v>
      </c>
    </row>
    <row r="26" spans="2:4" x14ac:dyDescent="0.3">
      <c r="B26" s="649" t="s">
        <v>1069</v>
      </c>
      <c r="C26" s="544" t="s">
        <v>439</v>
      </c>
      <c r="D26" s="544" t="s">
        <v>375</v>
      </c>
    </row>
    <row r="27" spans="2:4" x14ac:dyDescent="0.3">
      <c r="B27" s="649" t="s">
        <v>1069</v>
      </c>
      <c r="C27" s="544" t="s">
        <v>470</v>
      </c>
      <c r="D27" s="544" t="s">
        <v>375</v>
      </c>
    </row>
    <row r="28" spans="2:4" x14ac:dyDescent="0.3">
      <c r="B28" s="649" t="s">
        <v>1070</v>
      </c>
      <c r="C28" s="544" t="s">
        <v>464</v>
      </c>
      <c r="D28" s="544" t="s">
        <v>23</v>
      </c>
    </row>
    <row r="29" spans="2:4" x14ac:dyDescent="0.3">
      <c r="B29" s="649" t="s">
        <v>1070</v>
      </c>
      <c r="C29" s="544" t="s">
        <v>453</v>
      </c>
      <c r="D29" s="544" t="s">
        <v>23</v>
      </c>
    </row>
    <row r="30" spans="2:4" x14ac:dyDescent="0.3">
      <c r="B30" s="649" t="s">
        <v>1071</v>
      </c>
      <c r="C30" s="544" t="s">
        <v>449</v>
      </c>
      <c r="D30" s="544" t="s">
        <v>156</v>
      </c>
    </row>
    <row r="31" spans="2:4" x14ac:dyDescent="0.3">
      <c r="B31" s="649" t="s">
        <v>447</v>
      </c>
      <c r="C31" s="544" t="s">
        <v>456</v>
      </c>
      <c r="D31" s="544" t="s">
        <v>23</v>
      </c>
    </row>
    <row r="32" spans="2:4" x14ac:dyDescent="0.3">
      <c r="B32" s="649" t="s">
        <v>1072</v>
      </c>
      <c r="C32" s="544" t="s">
        <v>444</v>
      </c>
      <c r="D32" s="544" t="s">
        <v>375</v>
      </c>
    </row>
    <row r="33" spans="2:4" x14ac:dyDescent="0.3">
      <c r="B33" s="650" t="s">
        <v>1073</v>
      </c>
      <c r="C33" s="571" t="s">
        <v>456</v>
      </c>
      <c r="D33" s="571" t="s">
        <v>23</v>
      </c>
    </row>
    <row r="34" spans="2:4" x14ac:dyDescent="0.3">
      <c r="B34" s="649" t="s">
        <v>1074</v>
      </c>
      <c r="C34" s="544" t="s">
        <v>449</v>
      </c>
      <c r="D34" s="544" t="s">
        <v>156</v>
      </c>
    </row>
    <row r="35" spans="2:4" x14ac:dyDescent="0.3">
      <c r="B35" s="649" t="s">
        <v>437</v>
      </c>
      <c r="C35" s="544" t="s">
        <v>467</v>
      </c>
      <c r="D35" s="544" t="s">
        <v>153</v>
      </c>
    </row>
    <row r="36" spans="2:4" x14ac:dyDescent="0.3">
      <c r="B36" s="649" t="s">
        <v>437</v>
      </c>
      <c r="C36" s="544" t="s">
        <v>434</v>
      </c>
      <c r="D36" s="544" t="s">
        <v>153</v>
      </c>
    </row>
    <row r="37" spans="2:4" x14ac:dyDescent="0.3">
      <c r="B37" s="649" t="s">
        <v>1075</v>
      </c>
      <c r="C37" s="544" t="s">
        <v>434</v>
      </c>
      <c r="D37" s="544" t="s">
        <v>153</v>
      </c>
    </row>
    <row r="38" spans="2:4" x14ac:dyDescent="0.3">
      <c r="B38" s="649" t="s">
        <v>1075</v>
      </c>
      <c r="C38" s="544" t="s">
        <v>467</v>
      </c>
      <c r="D38" s="544" t="s">
        <v>153</v>
      </c>
    </row>
    <row r="39" spans="2:4" x14ac:dyDescent="0.3">
      <c r="B39" s="649" t="s">
        <v>1076</v>
      </c>
      <c r="C39" s="544" t="s">
        <v>467</v>
      </c>
      <c r="D39" s="544" t="s">
        <v>153</v>
      </c>
    </row>
    <row r="40" spans="2:4" x14ac:dyDescent="0.3">
      <c r="B40" s="649" t="s">
        <v>1076</v>
      </c>
      <c r="C40" s="544" t="s">
        <v>434</v>
      </c>
      <c r="D40" s="544" t="s">
        <v>153</v>
      </c>
    </row>
    <row r="41" spans="2:4" x14ac:dyDescent="0.3">
      <c r="B41" s="649" t="s">
        <v>1077</v>
      </c>
      <c r="C41" s="544" t="s">
        <v>449</v>
      </c>
      <c r="D41" s="544" t="s">
        <v>156</v>
      </c>
    </row>
    <row r="42" spans="2:4" x14ac:dyDescent="0.3">
      <c r="B42" s="649" t="s">
        <v>1078</v>
      </c>
      <c r="C42" s="544" t="s">
        <v>449</v>
      </c>
      <c r="D42" s="544" t="s">
        <v>156</v>
      </c>
    </row>
    <row r="43" spans="2:4" x14ac:dyDescent="0.3">
      <c r="B43" s="649" t="s">
        <v>1079</v>
      </c>
      <c r="C43" s="544" t="s">
        <v>662</v>
      </c>
      <c r="D43" s="544" t="s">
        <v>375</v>
      </c>
    </row>
    <row r="44" spans="2:4" x14ac:dyDescent="0.3">
      <c r="B44" s="649" t="s">
        <v>1079</v>
      </c>
      <c r="C44" s="544" t="s">
        <v>456</v>
      </c>
      <c r="D44" s="544" t="s">
        <v>23</v>
      </c>
    </row>
    <row r="45" spans="2:4" x14ac:dyDescent="0.3">
      <c r="B45" s="649" t="s">
        <v>1079</v>
      </c>
      <c r="C45" s="544" t="s">
        <v>449</v>
      </c>
      <c r="D45" s="544" t="s">
        <v>156</v>
      </c>
    </row>
    <row r="46" spans="2:4" x14ac:dyDescent="0.3">
      <c r="B46" s="649" t="s">
        <v>1080</v>
      </c>
      <c r="C46" s="544" t="s">
        <v>449</v>
      </c>
      <c r="D46" s="544" t="s">
        <v>156</v>
      </c>
    </row>
    <row r="47" spans="2:4" x14ac:dyDescent="0.3">
      <c r="B47" s="649" t="s">
        <v>1081</v>
      </c>
      <c r="C47" s="544" t="s">
        <v>562</v>
      </c>
      <c r="D47" s="544" t="s">
        <v>153</v>
      </c>
    </row>
    <row r="48" spans="2:4" x14ac:dyDescent="0.3">
      <c r="B48" s="649" t="s">
        <v>1082</v>
      </c>
      <c r="C48" s="544" t="s">
        <v>558</v>
      </c>
      <c r="D48" s="544" t="s">
        <v>153</v>
      </c>
    </row>
    <row r="49" spans="2:4" x14ac:dyDescent="0.3">
      <c r="B49" s="649" t="s">
        <v>1083</v>
      </c>
      <c r="C49" s="544" t="s">
        <v>558</v>
      </c>
      <c r="D49" s="544" t="s">
        <v>153</v>
      </c>
    </row>
    <row r="50" spans="2:4" x14ac:dyDescent="0.3">
      <c r="B50" s="649" t="s">
        <v>1084</v>
      </c>
      <c r="C50" s="544" t="s">
        <v>558</v>
      </c>
      <c r="D50" s="544" t="s">
        <v>153</v>
      </c>
    </row>
    <row r="51" spans="2:4" x14ac:dyDescent="0.3">
      <c r="B51" s="649" t="s">
        <v>1085</v>
      </c>
      <c r="C51" s="544" t="s">
        <v>558</v>
      </c>
      <c r="D51" s="544" t="s">
        <v>153</v>
      </c>
    </row>
    <row r="52" spans="2:4" x14ac:dyDescent="0.3">
      <c r="B52" s="649" t="s">
        <v>1086</v>
      </c>
      <c r="C52" s="544" t="s">
        <v>558</v>
      </c>
      <c r="D52" s="544" t="s">
        <v>153</v>
      </c>
    </row>
    <row r="53" spans="2:4" x14ac:dyDescent="0.3">
      <c r="B53" s="649" t="s">
        <v>1087</v>
      </c>
      <c r="C53" s="544" t="s">
        <v>558</v>
      </c>
      <c r="D53" s="544" t="s">
        <v>153</v>
      </c>
    </row>
    <row r="54" spans="2:4" x14ac:dyDescent="0.3">
      <c r="B54" s="649" t="s">
        <v>1088</v>
      </c>
      <c r="C54" s="544" t="s">
        <v>577</v>
      </c>
      <c r="D54" s="544" t="s">
        <v>153</v>
      </c>
    </row>
    <row r="55" spans="2:4" x14ac:dyDescent="0.3">
      <c r="B55" s="649" t="s">
        <v>1089</v>
      </c>
      <c r="C55" s="544" t="s">
        <v>577</v>
      </c>
      <c r="D55" s="544" t="s">
        <v>153</v>
      </c>
    </row>
    <row r="56" spans="2:4" x14ac:dyDescent="0.3">
      <c r="B56" s="649" t="s">
        <v>1090</v>
      </c>
      <c r="C56" s="544" t="s">
        <v>577</v>
      </c>
      <c r="D56" s="544" t="s">
        <v>153</v>
      </c>
    </row>
    <row r="57" spans="2:4" x14ac:dyDescent="0.3">
      <c r="B57" s="649" t="s">
        <v>1091</v>
      </c>
      <c r="C57" s="544" t="s">
        <v>577</v>
      </c>
      <c r="D57" s="544" t="s">
        <v>153</v>
      </c>
    </row>
    <row r="58" spans="2:4" x14ac:dyDescent="0.3">
      <c r="B58" s="649" t="s">
        <v>1091</v>
      </c>
      <c r="C58" s="544" t="s">
        <v>1092</v>
      </c>
      <c r="D58" s="544" t="s">
        <v>153</v>
      </c>
    </row>
    <row r="59" spans="2:4" x14ac:dyDescent="0.3">
      <c r="B59" s="649" t="s">
        <v>1093</v>
      </c>
      <c r="C59" s="544" t="s">
        <v>577</v>
      </c>
      <c r="D59" s="544" t="s">
        <v>153</v>
      </c>
    </row>
    <row r="60" spans="2:4" x14ac:dyDescent="0.3">
      <c r="B60" s="649" t="s">
        <v>1093</v>
      </c>
      <c r="C60" s="544" t="s">
        <v>444</v>
      </c>
      <c r="D60" s="544" t="s">
        <v>375</v>
      </c>
    </row>
    <row r="61" spans="2:4" x14ac:dyDescent="0.3">
      <c r="B61" s="649" t="s">
        <v>1093</v>
      </c>
      <c r="C61" s="544" t="s">
        <v>439</v>
      </c>
      <c r="D61" s="544" t="s">
        <v>375</v>
      </c>
    </row>
    <row r="62" spans="2:4" x14ac:dyDescent="0.3">
      <c r="B62" s="649" t="s">
        <v>1093</v>
      </c>
      <c r="C62" s="544" t="s">
        <v>453</v>
      </c>
      <c r="D62" s="544" t="s">
        <v>23</v>
      </c>
    </row>
    <row r="63" spans="2:4" x14ac:dyDescent="0.3">
      <c r="B63" s="649" t="s">
        <v>1094</v>
      </c>
      <c r="C63" s="544" t="s">
        <v>577</v>
      </c>
      <c r="D63" s="544" t="s">
        <v>153</v>
      </c>
    </row>
    <row r="64" spans="2:4" x14ac:dyDescent="0.3">
      <c r="B64" s="649" t="s">
        <v>1094</v>
      </c>
      <c r="C64" s="574" t="s">
        <v>490</v>
      </c>
      <c r="D64" s="544" t="s">
        <v>153</v>
      </c>
    </row>
    <row r="65" spans="2:4" x14ac:dyDescent="0.3">
      <c r="B65" s="649" t="s">
        <v>1095</v>
      </c>
      <c r="C65" s="544" t="s">
        <v>1096</v>
      </c>
      <c r="D65" s="544" t="s">
        <v>375</v>
      </c>
    </row>
    <row r="66" spans="2:4" x14ac:dyDescent="0.3">
      <c r="B66" s="649" t="s">
        <v>1095</v>
      </c>
      <c r="C66" s="544" t="s">
        <v>1097</v>
      </c>
      <c r="D66" s="544" t="s">
        <v>23</v>
      </c>
    </row>
    <row r="67" spans="2:4" x14ac:dyDescent="0.3">
      <c r="B67" s="649" t="s">
        <v>1095</v>
      </c>
      <c r="C67" s="544" t="s">
        <v>526</v>
      </c>
      <c r="D67" s="544" t="s">
        <v>153</v>
      </c>
    </row>
    <row r="68" spans="2:4" x14ac:dyDescent="0.3">
      <c r="B68" s="649" t="s">
        <v>1095</v>
      </c>
      <c r="C68" s="544" t="s">
        <v>529</v>
      </c>
      <c r="D68" s="544" t="s">
        <v>153</v>
      </c>
    </row>
    <row r="69" spans="2:4" x14ac:dyDescent="0.3">
      <c r="B69" s="649" t="s">
        <v>1095</v>
      </c>
      <c r="C69" s="544" t="s">
        <v>532</v>
      </c>
      <c r="D69" s="544" t="s">
        <v>153</v>
      </c>
    </row>
    <row r="70" spans="2:4" x14ac:dyDescent="0.3">
      <c r="B70" s="649" t="s">
        <v>1095</v>
      </c>
      <c r="C70" s="544" t="s">
        <v>535</v>
      </c>
      <c r="D70" s="544" t="s">
        <v>153</v>
      </c>
    </row>
    <row r="71" spans="2:4" x14ac:dyDescent="0.3">
      <c r="B71" s="649" t="s">
        <v>1095</v>
      </c>
      <c r="C71" s="544" t="s">
        <v>538</v>
      </c>
      <c r="D71" s="544" t="s">
        <v>153</v>
      </c>
    </row>
    <row r="72" spans="2:4" x14ac:dyDescent="0.3">
      <c r="B72" s="649" t="s">
        <v>1095</v>
      </c>
      <c r="C72" s="544" t="s">
        <v>1098</v>
      </c>
      <c r="D72" s="544" t="s">
        <v>153</v>
      </c>
    </row>
    <row r="73" spans="2:4" x14ac:dyDescent="0.3">
      <c r="B73" s="649" t="s">
        <v>1095</v>
      </c>
      <c r="C73" s="544" t="s">
        <v>1099</v>
      </c>
      <c r="D73" s="544" t="s">
        <v>23</v>
      </c>
    </row>
    <row r="74" spans="2:4" x14ac:dyDescent="0.3">
      <c r="B74" s="649" t="s">
        <v>1095</v>
      </c>
      <c r="C74" s="544" t="s">
        <v>1100</v>
      </c>
      <c r="D74" s="544" t="s">
        <v>23</v>
      </c>
    </row>
    <row r="75" spans="2:4" x14ac:dyDescent="0.3">
      <c r="B75" s="649" t="s">
        <v>1095</v>
      </c>
      <c r="C75" s="544" t="s">
        <v>550</v>
      </c>
      <c r="D75" s="544" t="s">
        <v>153</v>
      </c>
    </row>
    <row r="76" spans="2:4" x14ac:dyDescent="0.3">
      <c r="B76" s="649" t="s">
        <v>1101</v>
      </c>
      <c r="C76" s="544" t="s">
        <v>490</v>
      </c>
      <c r="D76" s="544" t="s">
        <v>153</v>
      </c>
    </row>
    <row r="77" spans="2:4" x14ac:dyDescent="0.3">
      <c r="B77" s="649" t="s">
        <v>1101</v>
      </c>
      <c r="C77" s="544" t="s">
        <v>515</v>
      </c>
      <c r="D77" s="544" t="s">
        <v>153</v>
      </c>
    </row>
    <row r="78" spans="2:4" x14ac:dyDescent="0.3">
      <c r="B78" s="649" t="s">
        <v>1102</v>
      </c>
      <c r="C78" s="544" t="s">
        <v>490</v>
      </c>
      <c r="D78" s="544" t="s">
        <v>153</v>
      </c>
    </row>
    <row r="79" spans="2:4" x14ac:dyDescent="0.3">
      <c r="B79" s="649" t="s">
        <v>1102</v>
      </c>
      <c r="C79" s="544" t="s">
        <v>515</v>
      </c>
      <c r="D79" s="544" t="s">
        <v>153</v>
      </c>
    </row>
    <row r="80" spans="2:4" x14ac:dyDescent="0.3">
      <c r="B80" s="649" t="s">
        <v>1103</v>
      </c>
      <c r="C80" s="544" t="s">
        <v>490</v>
      </c>
      <c r="D80" s="544" t="s">
        <v>153</v>
      </c>
    </row>
    <row r="81" spans="2:4" x14ac:dyDescent="0.3">
      <c r="B81" s="649" t="s">
        <v>1103</v>
      </c>
      <c r="C81" s="544" t="s">
        <v>515</v>
      </c>
      <c r="D81" s="544" t="s">
        <v>153</v>
      </c>
    </row>
    <row r="82" spans="2:4" x14ac:dyDescent="0.3">
      <c r="B82" s="649" t="s">
        <v>1104</v>
      </c>
      <c r="C82" s="544" t="s">
        <v>490</v>
      </c>
      <c r="D82" s="544" t="s">
        <v>153</v>
      </c>
    </row>
    <row r="83" spans="2:4" x14ac:dyDescent="0.3">
      <c r="B83" s="649" t="s">
        <v>1104</v>
      </c>
      <c r="C83" s="544" t="s">
        <v>515</v>
      </c>
      <c r="D83" s="544" t="s">
        <v>153</v>
      </c>
    </row>
    <row r="84" spans="2:4" x14ac:dyDescent="0.3">
      <c r="B84" s="649" t="s">
        <v>1105</v>
      </c>
      <c r="C84" s="544" t="s">
        <v>490</v>
      </c>
      <c r="D84" s="544" t="s">
        <v>153</v>
      </c>
    </row>
    <row r="85" spans="2:4" x14ac:dyDescent="0.3">
      <c r="B85" s="649" t="s">
        <v>1105</v>
      </c>
      <c r="C85" s="544" t="s">
        <v>515</v>
      </c>
      <c r="D85" s="544" t="s">
        <v>153</v>
      </c>
    </row>
    <row r="86" spans="2:4" x14ac:dyDescent="0.3">
      <c r="B86" s="649" t="s">
        <v>1106</v>
      </c>
      <c r="C86" s="544" t="s">
        <v>500</v>
      </c>
      <c r="D86" s="544" t="s">
        <v>375</v>
      </c>
    </row>
    <row r="87" spans="2:4" x14ac:dyDescent="0.3">
      <c r="B87" s="649" t="s">
        <v>1107</v>
      </c>
      <c r="C87" s="544" t="s">
        <v>490</v>
      </c>
      <c r="D87" s="544" t="s">
        <v>153</v>
      </c>
    </row>
    <row r="88" spans="2:4" x14ac:dyDescent="0.3">
      <c r="B88" s="649" t="s">
        <v>1108</v>
      </c>
      <c r="C88" s="544" t="s">
        <v>490</v>
      </c>
      <c r="D88" s="544" t="s">
        <v>153</v>
      </c>
    </row>
    <row r="89" spans="2:4" x14ac:dyDescent="0.3">
      <c r="B89" s="649" t="s">
        <v>1107</v>
      </c>
      <c r="C89" s="544" t="s">
        <v>515</v>
      </c>
      <c r="D89" s="544" t="s">
        <v>153</v>
      </c>
    </row>
    <row r="90" spans="2:4" x14ac:dyDescent="0.3">
      <c r="B90" s="649" t="s">
        <v>1108</v>
      </c>
      <c r="C90" s="544" t="s">
        <v>515</v>
      </c>
      <c r="D90" s="544" t="s">
        <v>153</v>
      </c>
    </row>
    <row r="91" spans="2:4" x14ac:dyDescent="0.3">
      <c r="B91" s="649" t="s">
        <v>423</v>
      </c>
      <c r="C91" s="544" t="s">
        <v>424</v>
      </c>
      <c r="D91" s="544" t="s">
        <v>156</v>
      </c>
    </row>
    <row r="92" spans="2:4" x14ac:dyDescent="0.3">
      <c r="B92" s="649" t="s">
        <v>1109</v>
      </c>
      <c r="C92" s="544" t="s">
        <v>424</v>
      </c>
      <c r="D92" s="544" t="s">
        <v>156</v>
      </c>
    </row>
    <row r="93" spans="2:4" x14ac:dyDescent="0.3">
      <c r="B93" s="649" t="s">
        <v>1110</v>
      </c>
      <c r="C93" s="544" t="s">
        <v>424</v>
      </c>
      <c r="D93" s="544" t="s">
        <v>156</v>
      </c>
    </row>
    <row r="94" spans="2:4" x14ac:dyDescent="0.3">
      <c r="B94" s="649" t="s">
        <v>1111</v>
      </c>
      <c r="C94" s="574" t="s">
        <v>569</v>
      </c>
      <c r="D94" s="544" t="s">
        <v>153</v>
      </c>
    </row>
    <row r="95" spans="2:4" x14ac:dyDescent="0.3">
      <c r="B95" s="649" t="s">
        <v>1112</v>
      </c>
      <c r="C95" s="544" t="s">
        <v>424</v>
      </c>
      <c r="D95" s="544" t="s">
        <v>23</v>
      </c>
    </row>
    <row r="96" spans="2:4" x14ac:dyDescent="0.3">
      <c r="B96" s="649" t="s">
        <v>1113</v>
      </c>
      <c r="C96" s="574" t="s">
        <v>565</v>
      </c>
      <c r="D96" s="544" t="s">
        <v>156</v>
      </c>
    </row>
    <row r="97" spans="2:4" x14ac:dyDescent="0.3">
      <c r="B97" s="649" t="s">
        <v>1114</v>
      </c>
      <c r="C97" s="574" t="s">
        <v>565</v>
      </c>
      <c r="D97" s="544" t="s">
        <v>156</v>
      </c>
    </row>
    <row r="98" spans="2:4" x14ac:dyDescent="0.3">
      <c r="B98" s="649" t="s">
        <v>643</v>
      </c>
      <c r="C98" s="544" t="s">
        <v>655</v>
      </c>
      <c r="D98" s="544" t="s">
        <v>375</v>
      </c>
    </row>
    <row r="99" spans="2:4" x14ac:dyDescent="0.3">
      <c r="B99" s="649" t="s">
        <v>1115</v>
      </c>
      <c r="C99" s="544" t="s">
        <v>655</v>
      </c>
      <c r="D99" s="544" t="s">
        <v>375</v>
      </c>
    </row>
    <row r="100" spans="2:4" x14ac:dyDescent="0.3">
      <c r="B100" s="649" t="s">
        <v>640</v>
      </c>
      <c r="C100" s="544" t="s">
        <v>641</v>
      </c>
      <c r="D100" s="544" t="s">
        <v>375</v>
      </c>
    </row>
    <row r="101" spans="2:4" x14ac:dyDescent="0.3">
      <c r="B101" s="649" t="s">
        <v>1116</v>
      </c>
      <c r="C101" s="544" t="s">
        <v>655</v>
      </c>
      <c r="D101" s="544" t="s">
        <v>375</v>
      </c>
    </row>
    <row r="102" spans="2:4" x14ac:dyDescent="0.3">
      <c r="B102" s="649" t="s">
        <v>1117</v>
      </c>
      <c r="C102" s="651" t="s">
        <v>668</v>
      </c>
      <c r="D102" s="544" t="s">
        <v>375</v>
      </c>
    </row>
    <row r="103" spans="2:4" x14ac:dyDescent="0.3">
      <c r="B103" s="649" t="s">
        <v>1118</v>
      </c>
      <c r="C103" s="544" t="s">
        <v>641</v>
      </c>
      <c r="D103" s="544" t="s">
        <v>375</v>
      </c>
    </row>
    <row r="104" spans="2:4" x14ac:dyDescent="0.3">
      <c r="B104" s="649" t="s">
        <v>1118</v>
      </c>
      <c r="C104" s="544" t="s">
        <v>655</v>
      </c>
      <c r="D104" s="544" t="s">
        <v>375</v>
      </c>
    </row>
    <row r="105" spans="2:4" x14ac:dyDescent="0.3">
      <c r="B105" s="649" t="s">
        <v>1119</v>
      </c>
      <c r="C105" s="544" t="s">
        <v>649</v>
      </c>
      <c r="D105" s="544" t="s">
        <v>375</v>
      </c>
    </row>
    <row r="106" spans="2:4" x14ac:dyDescent="0.3">
      <c r="B106" s="649" t="s">
        <v>1120</v>
      </c>
      <c r="C106" s="544" t="s">
        <v>649</v>
      </c>
      <c r="D106" s="544" t="s">
        <v>375</v>
      </c>
    </row>
    <row r="107" spans="2:4" x14ac:dyDescent="0.3">
      <c r="B107" s="649" t="s">
        <v>1121</v>
      </c>
      <c r="C107" s="544" t="s">
        <v>649</v>
      </c>
      <c r="D107" s="544" t="s">
        <v>375</v>
      </c>
    </row>
    <row r="108" spans="2:4" x14ac:dyDescent="0.3">
      <c r="B108" s="649" t="s">
        <v>1122</v>
      </c>
      <c r="C108" s="544" t="s">
        <v>649</v>
      </c>
      <c r="D108" s="544" t="s">
        <v>375</v>
      </c>
    </row>
    <row r="109" spans="2:4" x14ac:dyDescent="0.3">
      <c r="B109" s="649" t="s">
        <v>1123</v>
      </c>
      <c r="C109" s="544" t="s">
        <v>649</v>
      </c>
      <c r="D109" s="544" t="s">
        <v>375</v>
      </c>
    </row>
    <row r="110" spans="2:4" x14ac:dyDescent="0.3">
      <c r="B110" s="649" t="s">
        <v>1124</v>
      </c>
      <c r="C110" s="544" t="s">
        <v>1125</v>
      </c>
      <c r="D110" s="544" t="s">
        <v>375</v>
      </c>
    </row>
    <row r="111" spans="2:4" x14ac:dyDescent="0.3">
      <c r="B111" s="649" t="s">
        <v>1126</v>
      </c>
      <c r="C111" s="544" t="s">
        <v>1125</v>
      </c>
      <c r="D111" s="544" t="s">
        <v>375</v>
      </c>
    </row>
    <row r="112" spans="2:4" x14ac:dyDescent="0.3">
      <c r="B112" s="649" t="s">
        <v>1127</v>
      </c>
      <c r="C112" s="544" t="s">
        <v>1125</v>
      </c>
      <c r="D112" s="544" t="s">
        <v>375</v>
      </c>
    </row>
    <row r="113" spans="2:4" x14ac:dyDescent="0.3">
      <c r="B113" s="649" t="s">
        <v>1128</v>
      </c>
      <c r="C113" s="544" t="s">
        <v>645</v>
      </c>
      <c r="D113" s="544" t="s">
        <v>375</v>
      </c>
    </row>
    <row r="114" spans="2:4" x14ac:dyDescent="0.3">
      <c r="B114" s="649" t="s">
        <v>1129</v>
      </c>
      <c r="C114" s="544" t="s">
        <v>649</v>
      </c>
      <c r="D114" s="544" t="s">
        <v>375</v>
      </c>
    </row>
    <row r="115" spans="2:4" x14ac:dyDescent="0.3">
      <c r="B115" s="649" t="s">
        <v>1130</v>
      </c>
      <c r="C115" s="544" t="s">
        <v>649</v>
      </c>
      <c r="D115" s="544" t="s">
        <v>375</v>
      </c>
    </row>
    <row r="116" spans="2:4" x14ac:dyDescent="0.3">
      <c r="B116" s="649" t="s">
        <v>1130</v>
      </c>
      <c r="C116" s="574" t="s">
        <v>665</v>
      </c>
      <c r="D116" s="571" t="s">
        <v>153</v>
      </c>
    </row>
    <row r="117" spans="2:4" x14ac:dyDescent="0.3">
      <c r="B117" s="649" t="s">
        <v>1131</v>
      </c>
      <c r="C117" s="544" t="s">
        <v>1132</v>
      </c>
      <c r="D117" s="586"/>
    </row>
    <row r="118" spans="2:4" x14ac:dyDescent="0.3">
      <c r="B118" s="649" t="s">
        <v>1133</v>
      </c>
      <c r="C118" s="574" t="s">
        <v>665</v>
      </c>
      <c r="D118" s="571" t="s">
        <v>153</v>
      </c>
    </row>
    <row r="119" spans="2:4" x14ac:dyDescent="0.3">
      <c r="B119" s="649" t="s">
        <v>1134</v>
      </c>
      <c r="C119" s="544" t="s">
        <v>569</v>
      </c>
      <c r="D119" s="544" t="s">
        <v>153</v>
      </c>
    </row>
    <row r="120" spans="2:4" x14ac:dyDescent="0.3">
      <c r="B120" s="649" t="s">
        <v>1135</v>
      </c>
      <c r="C120" s="574" t="s">
        <v>582</v>
      </c>
      <c r="D120" s="544" t="s">
        <v>23</v>
      </c>
    </row>
    <row r="121" spans="2:4" x14ac:dyDescent="0.3">
      <c r="B121" s="649" t="s">
        <v>1136</v>
      </c>
      <c r="C121" s="544" t="s">
        <v>569</v>
      </c>
      <c r="D121" s="544" t="s">
        <v>153</v>
      </c>
    </row>
    <row r="122" spans="2:4" x14ac:dyDescent="0.3">
      <c r="B122" s="649" t="s">
        <v>1137</v>
      </c>
      <c r="C122" s="574" t="s">
        <v>582</v>
      </c>
      <c r="D122" s="544" t="s">
        <v>23</v>
      </c>
    </row>
    <row r="123" spans="2:4" x14ac:dyDescent="0.3">
      <c r="B123" s="649" t="s">
        <v>1138</v>
      </c>
      <c r="C123" s="544" t="s">
        <v>569</v>
      </c>
      <c r="D123" s="544" t="s">
        <v>153</v>
      </c>
    </row>
    <row r="124" spans="2:4" x14ac:dyDescent="0.3">
      <c r="B124" s="649" t="s">
        <v>1139</v>
      </c>
      <c r="C124" s="544" t="s">
        <v>569</v>
      </c>
      <c r="D124" s="544" t="s">
        <v>153</v>
      </c>
    </row>
    <row r="125" spans="2:4" x14ac:dyDescent="0.3">
      <c r="B125" s="649" t="s">
        <v>1140</v>
      </c>
      <c r="C125" s="544" t="s">
        <v>569</v>
      </c>
      <c r="D125" s="544" t="s">
        <v>153</v>
      </c>
    </row>
    <row r="126" spans="2:4" x14ac:dyDescent="0.3">
      <c r="B126" s="649" t="s">
        <v>1141</v>
      </c>
      <c r="C126" s="544" t="s">
        <v>569</v>
      </c>
      <c r="D126" s="544" t="s">
        <v>153</v>
      </c>
    </row>
    <row r="127" spans="2:4" x14ac:dyDescent="0.3">
      <c r="B127" s="649" t="s">
        <v>1142</v>
      </c>
      <c r="C127" s="544" t="s">
        <v>569</v>
      </c>
      <c r="D127" s="544" t="s">
        <v>153</v>
      </c>
    </row>
    <row r="128" spans="2:4" x14ac:dyDescent="0.3">
      <c r="B128" s="649" t="s">
        <v>573</v>
      </c>
      <c r="C128" s="544" t="s">
        <v>574</v>
      </c>
      <c r="D128" s="544" t="s">
        <v>375</v>
      </c>
    </row>
    <row r="129" spans="2:4" x14ac:dyDescent="0.3">
      <c r="B129" s="649" t="s">
        <v>1143</v>
      </c>
      <c r="C129" s="544" t="s">
        <v>582</v>
      </c>
      <c r="D129" s="544" t="s">
        <v>23</v>
      </c>
    </row>
    <row r="130" spans="2:4" x14ac:dyDescent="0.3">
      <c r="B130" s="649" t="s">
        <v>1144</v>
      </c>
      <c r="C130" s="544" t="s">
        <v>582</v>
      </c>
      <c r="D130" s="544" t="s">
        <v>23</v>
      </c>
    </row>
    <row r="131" spans="2:4" x14ac:dyDescent="0.3">
      <c r="B131" s="649" t="s">
        <v>1145</v>
      </c>
      <c r="C131" s="544" t="s">
        <v>582</v>
      </c>
      <c r="D131" s="544" t="s">
        <v>23</v>
      </c>
    </row>
    <row r="132" spans="2:4" x14ac:dyDescent="0.3">
      <c r="B132" s="649" t="s">
        <v>1146</v>
      </c>
      <c r="C132" s="544" t="s">
        <v>582</v>
      </c>
      <c r="D132" s="544" t="s">
        <v>23</v>
      </c>
    </row>
    <row r="133" spans="2:4" x14ac:dyDescent="0.3">
      <c r="B133" s="649" t="s">
        <v>1146</v>
      </c>
      <c r="C133" s="544" t="s">
        <v>582</v>
      </c>
      <c r="D133" s="544" t="s">
        <v>23</v>
      </c>
    </row>
    <row r="134" spans="2:4" x14ac:dyDescent="0.3">
      <c r="B134" s="649" t="s">
        <v>1146</v>
      </c>
      <c r="C134" s="544" t="s">
        <v>582</v>
      </c>
      <c r="D134" s="544" t="s">
        <v>23</v>
      </c>
    </row>
    <row r="135" spans="2:4" x14ac:dyDescent="0.3">
      <c r="B135" s="649" t="s">
        <v>1146</v>
      </c>
      <c r="C135" s="544" t="s">
        <v>582</v>
      </c>
      <c r="D135" s="544" t="s">
        <v>23</v>
      </c>
    </row>
    <row r="136" spans="2:4" x14ac:dyDescent="0.3">
      <c r="B136" s="649" t="s">
        <v>1146</v>
      </c>
      <c r="C136" s="544" t="s">
        <v>582</v>
      </c>
      <c r="D136" s="544" t="s">
        <v>23</v>
      </c>
    </row>
    <row r="137" spans="2:4" x14ac:dyDescent="0.3">
      <c r="B137" s="649" t="s">
        <v>1146</v>
      </c>
      <c r="C137" s="544" t="s">
        <v>582</v>
      </c>
      <c r="D137" s="544" t="s">
        <v>23</v>
      </c>
    </row>
    <row r="138" spans="2:4" x14ac:dyDescent="0.3">
      <c r="B138" s="649" t="s">
        <v>1147</v>
      </c>
      <c r="C138" s="544" t="s">
        <v>1148</v>
      </c>
      <c r="D138" s="544" t="s">
        <v>156</v>
      </c>
    </row>
    <row r="139" spans="2:4" x14ac:dyDescent="0.3">
      <c r="B139" s="649" t="s">
        <v>1149</v>
      </c>
      <c r="C139" s="544" t="s">
        <v>1148</v>
      </c>
      <c r="D139" s="544" t="s">
        <v>156</v>
      </c>
    </row>
    <row r="140" spans="2:4" x14ac:dyDescent="0.3">
      <c r="B140" s="649" t="s">
        <v>1150</v>
      </c>
      <c r="C140" s="544" t="s">
        <v>1148</v>
      </c>
      <c r="D140" s="544" t="s">
        <v>156</v>
      </c>
    </row>
    <row r="141" spans="2:4" x14ac:dyDescent="0.3">
      <c r="B141" s="649" t="s">
        <v>1151</v>
      </c>
      <c r="C141" s="544" t="s">
        <v>587</v>
      </c>
      <c r="D141" s="544" t="s">
        <v>397</v>
      </c>
    </row>
    <row r="142" spans="2:4" x14ac:dyDescent="0.3">
      <c r="B142" s="649" t="s">
        <v>1152</v>
      </c>
      <c r="C142" s="544" t="s">
        <v>395</v>
      </c>
      <c r="D142" s="544" t="s">
        <v>156</v>
      </c>
    </row>
    <row r="143" spans="2:4" x14ac:dyDescent="0.3">
      <c r="B143" s="649" t="s">
        <v>1153</v>
      </c>
      <c r="C143" s="544" t="s">
        <v>395</v>
      </c>
      <c r="D143" s="544" t="s">
        <v>156</v>
      </c>
    </row>
    <row r="144" spans="2:4" x14ac:dyDescent="0.3">
      <c r="B144" s="649" t="s">
        <v>1154</v>
      </c>
      <c r="C144" s="544" t="s">
        <v>449</v>
      </c>
      <c r="D144" s="544" t="s">
        <v>156</v>
      </c>
    </row>
    <row r="145" spans="2:4" x14ac:dyDescent="0.3">
      <c r="B145" s="649" t="s">
        <v>1155</v>
      </c>
      <c r="C145" s="574" t="s">
        <v>565</v>
      </c>
      <c r="D145" s="544" t="s">
        <v>156</v>
      </c>
    </row>
    <row r="146" spans="2:4" x14ac:dyDescent="0.3">
      <c r="B146" s="649" t="s">
        <v>615</v>
      </c>
      <c r="C146" s="544" t="s">
        <v>616</v>
      </c>
      <c r="D146" s="544" t="s">
        <v>156</v>
      </c>
    </row>
    <row r="147" spans="2:4" x14ac:dyDescent="0.3">
      <c r="B147" s="649" t="s">
        <v>1156</v>
      </c>
      <c r="C147" s="544" t="s">
        <v>595</v>
      </c>
      <c r="D147" s="544" t="s">
        <v>397</v>
      </c>
    </row>
    <row r="148" spans="2:4" x14ac:dyDescent="0.3">
      <c r="B148" s="649" t="s">
        <v>1157</v>
      </c>
      <c r="C148" s="544" t="s">
        <v>595</v>
      </c>
      <c r="D148" s="544" t="s">
        <v>397</v>
      </c>
    </row>
    <row r="149" spans="2:4" x14ac:dyDescent="0.3">
      <c r="B149" s="649" t="s">
        <v>1158</v>
      </c>
      <c r="C149" s="544" t="s">
        <v>600</v>
      </c>
      <c r="D149" s="544" t="s">
        <v>397</v>
      </c>
    </row>
    <row r="150" spans="2:4" x14ac:dyDescent="0.3">
      <c r="B150" s="649" t="s">
        <v>1159</v>
      </c>
      <c r="C150" s="544" t="s">
        <v>600</v>
      </c>
      <c r="D150" s="544" t="s">
        <v>397</v>
      </c>
    </row>
    <row r="151" spans="2:4" x14ac:dyDescent="0.3">
      <c r="B151" s="649" t="s">
        <v>1160</v>
      </c>
      <c r="C151" s="544" t="s">
        <v>600</v>
      </c>
      <c r="D151" s="544" t="s">
        <v>397</v>
      </c>
    </row>
    <row r="152" spans="2:4" x14ac:dyDescent="0.3">
      <c r="B152" s="649" t="s">
        <v>1161</v>
      </c>
      <c r="C152" s="544" t="s">
        <v>600</v>
      </c>
      <c r="D152" s="544" t="s">
        <v>397</v>
      </c>
    </row>
    <row r="153" spans="2:4" x14ac:dyDescent="0.3">
      <c r="B153" s="649" t="s">
        <v>1162</v>
      </c>
      <c r="C153" s="544" t="s">
        <v>636</v>
      </c>
      <c r="D153" s="544" t="s">
        <v>156</v>
      </c>
    </row>
    <row r="154" spans="2:4" x14ac:dyDescent="0.3"/>
    <row r="155" spans="2:4" x14ac:dyDescent="0.3"/>
    <row r="156" spans="2:4" x14ac:dyDescent="0.3"/>
    <row r="157" spans="2:4" x14ac:dyDescent="0.3"/>
    <row r="158" spans="2:4" x14ac:dyDescent="0.3">
      <c r="B158" s="307"/>
    </row>
    <row r="159" spans="2:4" x14ac:dyDescent="0.3">
      <c r="B159" s="307"/>
    </row>
    <row r="160" spans="2:4" x14ac:dyDescent="0.3">
      <c r="B160" s="307"/>
    </row>
    <row r="161" spans="2:2" x14ac:dyDescent="0.3">
      <c r="B161" s="307"/>
    </row>
    <row r="162" spans="2:2" x14ac:dyDescent="0.3">
      <c r="B162" s="307"/>
    </row>
    <row r="163" spans="2:2" x14ac:dyDescent="0.3">
      <c r="B163" s="307"/>
    </row>
    <row r="164" spans="2:2" hidden="1" x14ac:dyDescent="0.3">
      <c r="B164" s="307"/>
    </row>
    <row r="165" spans="2:2" hidden="1" x14ac:dyDescent="0.3">
      <c r="B165" s="307"/>
    </row>
    <row r="166" spans="2:2" hidden="1" x14ac:dyDescent="0.3">
      <c r="B166" s="307"/>
    </row>
    <row r="167" spans="2:2" hidden="1" x14ac:dyDescent="0.3">
      <c r="B167" s="307"/>
    </row>
    <row r="168" spans="2:2" hidden="1" x14ac:dyDescent="0.3">
      <c r="B168" s="307"/>
    </row>
    <row r="169" spans="2:2" hidden="1" x14ac:dyDescent="0.3">
      <c r="B169" s="307"/>
    </row>
    <row r="170" spans="2:2" hidden="1" x14ac:dyDescent="0.3">
      <c r="B170" s="307"/>
    </row>
    <row r="171" spans="2:2" hidden="1" x14ac:dyDescent="0.3">
      <c r="B171" s="307"/>
    </row>
    <row r="172" spans="2:2" hidden="1" x14ac:dyDescent="0.3">
      <c r="B172" s="307"/>
    </row>
    <row r="173" spans="2:2" hidden="1" x14ac:dyDescent="0.3">
      <c r="B173" s="307"/>
    </row>
    <row r="174" spans="2:2" hidden="1" x14ac:dyDescent="0.3">
      <c r="B174" s="307"/>
    </row>
    <row r="175" spans="2:2" hidden="1" x14ac:dyDescent="0.3">
      <c r="B175" s="307"/>
    </row>
    <row r="176" spans="2:2" hidden="1" x14ac:dyDescent="0.3">
      <c r="B176" s="307"/>
    </row>
    <row r="177" spans="2:2" hidden="1" x14ac:dyDescent="0.3">
      <c r="B177" s="307"/>
    </row>
    <row r="178" spans="2:2" hidden="1" x14ac:dyDescent="0.3">
      <c r="B178" s="307"/>
    </row>
    <row r="179" spans="2:2" hidden="1" x14ac:dyDescent="0.3">
      <c r="B179" s="307"/>
    </row>
    <row r="180" spans="2:2" hidden="1" x14ac:dyDescent="0.3">
      <c r="B180" s="307"/>
    </row>
    <row r="181" spans="2:2" hidden="1" x14ac:dyDescent="0.3">
      <c r="B181" s="307"/>
    </row>
    <row r="182" spans="2:2" hidden="1" x14ac:dyDescent="0.3">
      <c r="B182" s="307"/>
    </row>
    <row r="183" spans="2:2" hidden="1" x14ac:dyDescent="0.3">
      <c r="B183" s="307"/>
    </row>
    <row r="184" spans="2:2" hidden="1" x14ac:dyDescent="0.3">
      <c r="B184" s="307"/>
    </row>
    <row r="185" spans="2:2" hidden="1" x14ac:dyDescent="0.3">
      <c r="B185" s="307"/>
    </row>
    <row r="186" spans="2:2" hidden="1" x14ac:dyDescent="0.3">
      <c r="B186" s="307"/>
    </row>
    <row r="187" spans="2:2" hidden="1" x14ac:dyDescent="0.3">
      <c r="B187" s="307"/>
    </row>
    <row r="188" spans="2:2" hidden="1" x14ac:dyDescent="0.3">
      <c r="B188" s="307"/>
    </row>
    <row r="189" spans="2:2" hidden="1" x14ac:dyDescent="0.3">
      <c r="B189" s="307"/>
    </row>
    <row r="190" spans="2:2" hidden="1" x14ac:dyDescent="0.3">
      <c r="B190" s="307"/>
    </row>
    <row r="191" spans="2:2" hidden="1" x14ac:dyDescent="0.3">
      <c r="B191" s="307"/>
    </row>
    <row r="192" spans="2:2" hidden="1" x14ac:dyDescent="0.3">
      <c r="B192" s="307"/>
    </row>
    <row r="193" spans="2:2" hidden="1" x14ac:dyDescent="0.3">
      <c r="B193" s="307"/>
    </row>
    <row r="194" spans="2:2" hidden="1" x14ac:dyDescent="0.3">
      <c r="B194" s="307"/>
    </row>
    <row r="195" spans="2:2" hidden="1" x14ac:dyDescent="0.3">
      <c r="B195" s="307"/>
    </row>
    <row r="196" spans="2:2" hidden="1" x14ac:dyDescent="0.3">
      <c r="B196" s="307"/>
    </row>
    <row r="197" spans="2:2" hidden="1" x14ac:dyDescent="0.3">
      <c r="B197" s="307"/>
    </row>
    <row r="198" spans="2:2" hidden="1" x14ac:dyDescent="0.3">
      <c r="B198" s="307"/>
    </row>
    <row r="199" spans="2:2" hidden="1" x14ac:dyDescent="0.3">
      <c r="B199" s="307"/>
    </row>
    <row r="200" spans="2:2" hidden="1" x14ac:dyDescent="0.3">
      <c r="B200" s="307"/>
    </row>
    <row r="201" spans="2:2" hidden="1" x14ac:dyDescent="0.3">
      <c r="B201" s="307"/>
    </row>
    <row r="202" spans="2:2" hidden="1" x14ac:dyDescent="0.3">
      <c r="B202" s="307"/>
    </row>
    <row r="203" spans="2:2" hidden="1" x14ac:dyDescent="0.3">
      <c r="B203" s="307"/>
    </row>
    <row r="204" spans="2:2" hidden="1" x14ac:dyDescent="0.3">
      <c r="B204" s="307"/>
    </row>
    <row r="205" spans="2:2" hidden="1" x14ac:dyDescent="0.3">
      <c r="B205" s="307"/>
    </row>
    <row r="206" spans="2:2" hidden="1" x14ac:dyDescent="0.3">
      <c r="B206" s="307"/>
    </row>
    <row r="207" spans="2:2" hidden="1" x14ac:dyDescent="0.3">
      <c r="B207" s="307"/>
    </row>
    <row r="208" spans="2:2" hidden="1" x14ac:dyDescent="0.3">
      <c r="B208" s="307"/>
    </row>
    <row r="209" spans="2:2" hidden="1" x14ac:dyDescent="0.3">
      <c r="B209" s="307"/>
    </row>
    <row r="210" spans="2:2" hidden="1" x14ac:dyDescent="0.3">
      <c r="B210" s="307"/>
    </row>
    <row r="211" spans="2:2" hidden="1" x14ac:dyDescent="0.3">
      <c r="B211" s="308"/>
    </row>
  </sheetData>
  <sheetProtection algorithmName="SHA-512" hashValue="dZjvQEAIoPSP1MLKxZYeSJeCJajjLM0/Q59hpA760IXs+Eo8ZzSZQM6oVVQyo/aYWTSNjlflqMtNsjtoG3TQHw==" saltValue="t/nZnKWmXEqNrQQT1jpZhw==" spinCount="100000" sheet="1" objects="1" scenarios="1"/>
  <autoFilter ref="B2:D150" xr:uid="{00000000-0009-0000-0000-000022000000}"/>
  <customSheetViews>
    <customSheetView guid="{8BDA793C-C9C5-4FC6-A0A5-F1109F6D4F22}" state="hidden">
      <selection activeCell="D14" sqref="D14"/>
    </customSheetView>
  </customSheetView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topLeftCell="A7" zoomScaleNormal="100" workbookViewId="0"/>
  </sheetViews>
  <sheetFormatPr defaultColWidth="9.109375" defaultRowHeight="14.4" customHeight="1" zeroHeight="1" x14ac:dyDescent="0.3"/>
  <cols>
    <col min="1" max="3" width="2.109375" style="9" customWidth="1"/>
    <col min="4" max="4" width="18.6640625" style="9" customWidth="1"/>
    <col min="5" max="8" width="9.109375" style="9" customWidth="1"/>
    <col min="9" max="9" width="7" style="9" customWidth="1"/>
    <col min="10" max="12" width="9.109375" style="9" customWidth="1"/>
    <col min="13" max="13" width="12.109375" style="9" customWidth="1"/>
    <col min="14" max="14" width="5.6640625" style="9" customWidth="1"/>
    <col min="15" max="15" width="9.109375" style="9" customWidth="1"/>
    <col min="16" max="16" width="34.5546875" style="9" customWidth="1"/>
    <col min="17" max="17" width="13.6640625" style="9" bestFit="1" customWidth="1"/>
    <col min="18" max="18" width="19.33203125" style="9" customWidth="1"/>
    <col min="19" max="20" width="9.109375" style="9" customWidth="1"/>
    <col min="21" max="16384" width="9.109375" style="9"/>
  </cols>
  <sheetData>
    <row r="1" spans="1:18" ht="15.75" customHeight="1" x14ac:dyDescent="0.6">
      <c r="B1" s="16"/>
      <c r="C1" s="16"/>
      <c r="E1" s="17"/>
      <c r="F1" s="713"/>
      <c r="G1" s="713"/>
      <c r="H1" s="713"/>
      <c r="I1" s="713"/>
      <c r="J1" s="713"/>
      <c r="K1" s="714"/>
      <c r="L1" s="714"/>
      <c r="M1" s="714"/>
      <c r="N1" s="714"/>
      <c r="O1" s="714"/>
    </row>
    <row r="2" spans="1:18" ht="15.75" customHeight="1" x14ac:dyDescent="0.6">
      <c r="B2" s="16"/>
      <c r="C2" s="16"/>
      <c r="E2" s="17"/>
    </row>
    <row r="3" spans="1:18" ht="15.75" customHeight="1" x14ac:dyDescent="0.6">
      <c r="A3" s="17"/>
      <c r="B3" s="17"/>
      <c r="C3" s="17"/>
      <c r="D3" s="17"/>
      <c r="E3" s="17"/>
      <c r="F3" s="18"/>
      <c r="G3" s="18"/>
      <c r="H3" s="18"/>
      <c r="I3" s="18"/>
      <c r="J3" s="18"/>
      <c r="K3" s="18"/>
      <c r="L3" s="18"/>
      <c r="M3" s="18"/>
      <c r="N3" s="18"/>
      <c r="O3" s="18"/>
      <c r="P3" s="18"/>
    </row>
    <row r="4" spans="1:18" ht="16.5" customHeight="1" x14ac:dyDescent="0.6">
      <c r="A4" s="17"/>
      <c r="B4" s="17"/>
      <c r="C4" s="17"/>
      <c r="D4" s="17"/>
      <c r="E4" s="17"/>
      <c r="F4" s="18"/>
      <c r="G4" s="18"/>
      <c r="H4" s="18"/>
      <c r="I4" s="18"/>
      <c r="J4" s="18"/>
      <c r="K4" s="18"/>
      <c r="L4" s="18"/>
      <c r="M4" s="18"/>
      <c r="N4" s="18"/>
      <c r="O4" s="18"/>
      <c r="P4" s="18"/>
    </row>
    <row r="5" spans="1:18" ht="16.5" customHeight="1" x14ac:dyDescent="0.6">
      <c r="A5" s="17"/>
      <c r="B5" s="17"/>
      <c r="C5" s="17"/>
      <c r="D5" s="17"/>
      <c r="E5" s="17"/>
      <c r="F5" s="19"/>
      <c r="G5" s="19"/>
      <c r="H5" s="19"/>
      <c r="I5" s="19"/>
      <c r="J5" s="19"/>
      <c r="K5" s="19"/>
      <c r="L5" s="19"/>
      <c r="M5" s="19"/>
      <c r="N5" s="19"/>
      <c r="O5" s="19"/>
      <c r="P5" s="19"/>
      <c r="Q5" s="19"/>
      <c r="R5" s="19"/>
    </row>
    <row r="6" spans="1:18" ht="16.5" customHeight="1" x14ac:dyDescent="0.6">
      <c r="B6" s="16"/>
      <c r="C6" s="16"/>
      <c r="D6" s="17"/>
      <c r="E6" s="17"/>
      <c r="F6" s="19"/>
      <c r="G6" s="19"/>
      <c r="H6" s="19"/>
      <c r="I6" s="19"/>
      <c r="J6" s="19"/>
      <c r="K6" s="19"/>
      <c r="L6" s="19"/>
      <c r="M6" s="19"/>
      <c r="N6" s="19"/>
      <c r="O6" s="19"/>
      <c r="P6" s="19"/>
      <c r="Q6" s="19"/>
      <c r="R6" s="19"/>
    </row>
    <row r="7" spans="1:18" ht="16.5" customHeight="1" x14ac:dyDescent="0.6">
      <c r="B7" s="16"/>
      <c r="C7" s="17"/>
      <c r="D7" s="17"/>
      <c r="E7" s="17"/>
      <c r="F7" s="19"/>
      <c r="G7" s="19"/>
      <c r="H7" s="19"/>
      <c r="I7" s="19"/>
      <c r="J7" s="19"/>
      <c r="K7" s="19"/>
      <c r="L7" s="19"/>
      <c r="M7" s="19"/>
      <c r="N7" s="19"/>
      <c r="O7" s="19"/>
      <c r="P7" s="19"/>
      <c r="Q7" s="19"/>
      <c r="R7" s="19"/>
    </row>
    <row r="8" spans="1:18" ht="16.5" customHeight="1" x14ac:dyDescent="0.6">
      <c r="B8" s="16"/>
      <c r="C8" s="16"/>
      <c r="D8" s="17"/>
      <c r="E8" s="17"/>
      <c r="F8" s="19"/>
      <c r="G8" s="19"/>
      <c r="H8" s="19"/>
      <c r="I8" s="19"/>
      <c r="J8" s="19"/>
      <c r="K8" s="19"/>
      <c r="L8" s="19"/>
      <c r="M8" s="19"/>
      <c r="N8" s="19"/>
      <c r="O8" s="19"/>
      <c r="P8" s="19"/>
      <c r="Q8" s="19"/>
      <c r="R8" s="19"/>
    </row>
    <row r="9" spans="1:18" ht="16.5" customHeight="1" x14ac:dyDescent="0.3">
      <c r="B9" s="16"/>
      <c r="C9" s="16"/>
      <c r="D9" s="20"/>
      <c r="E9" s="20"/>
      <c r="F9" s="19"/>
      <c r="G9" s="19"/>
      <c r="H9" s="19"/>
      <c r="I9" s="19"/>
      <c r="J9" s="19"/>
      <c r="K9" s="19"/>
      <c r="L9" s="19"/>
      <c r="M9" s="19"/>
      <c r="N9" s="19"/>
      <c r="O9" s="19"/>
      <c r="P9" s="19"/>
      <c r="Q9" s="19"/>
      <c r="R9" s="19"/>
    </row>
    <row r="10" spans="1:18" ht="30" customHeight="1" x14ac:dyDescent="0.4">
      <c r="B10" s="16"/>
      <c r="C10" s="16"/>
      <c r="D10" s="1085"/>
      <c r="E10" s="1085"/>
      <c r="F10" s="1085"/>
      <c r="G10" s="1085"/>
      <c r="H10" s="1085"/>
      <c r="I10" s="1085"/>
      <c r="J10" s="1085"/>
      <c r="K10" s="1085"/>
      <c r="L10" s="1085"/>
      <c r="M10" s="1085"/>
    </row>
    <row r="11" spans="1:18" ht="16.5" customHeight="1" x14ac:dyDescent="0.3">
      <c r="B11" s="16"/>
      <c r="C11" s="16"/>
    </row>
    <row r="12" spans="1:18" ht="16.5" customHeight="1" x14ac:dyDescent="0.3">
      <c r="B12" s="16"/>
      <c r="C12" s="16"/>
    </row>
    <row r="13" spans="1:18" ht="16.5" customHeight="1" x14ac:dyDescent="0.3">
      <c r="B13" s="16"/>
      <c r="C13" s="16"/>
    </row>
    <row r="14" spans="1:18" ht="16.5" customHeight="1" x14ac:dyDescent="0.3">
      <c r="B14" s="16"/>
      <c r="C14" s="16"/>
    </row>
    <row r="15" spans="1:18" ht="16.5" customHeight="1" x14ac:dyDescent="0.3">
      <c r="B15" s="16"/>
      <c r="C15" s="16"/>
    </row>
    <row r="16" spans="1:18"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x14ac:dyDescent="0.3"/>
    <row r="28" x14ac:dyDescent="0.3"/>
    <row r="29" x14ac:dyDescent="0.3"/>
    <row r="30" x14ac:dyDescent="0.3"/>
    <row r="31" x14ac:dyDescent="0.3"/>
    <row r="32"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row r="48" x14ac:dyDescent="0.3"/>
    <row r="49" x14ac:dyDescent="0.3"/>
    <row r="50" x14ac:dyDescent="0.3"/>
    <row r="51" x14ac:dyDescent="0.3"/>
    <row r="52" x14ac:dyDescent="0.3"/>
  </sheetData>
  <sheetProtection algorithmName="SHA-512" hashValue="aRrauwGLgfCUvc+lseJgfA0WfHeXXO66CzKgTlCxnjq5v/ebRG2PMqStJmcfMkKrPABUOhbpzA3IX0SOEUEC+w==" saltValue="xf7Gcg2dAxSf/nkshwMiPw=="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showRowColHeaders="0" workbookViewId="0">
      <selection activeCell="S28" sqref="S28"/>
    </sheetView>
  </sheetViews>
  <sheetFormatPr defaultColWidth="9.109375" defaultRowHeight="14.4" x14ac:dyDescent="0.3"/>
  <cols>
    <col min="1" max="1" width="41.33203125" style="274" customWidth="1"/>
    <col min="2" max="2" width="56.44140625" style="274" bestFit="1" customWidth="1"/>
    <col min="3" max="3" width="9.109375" style="274"/>
    <col min="4" max="4" width="48.88671875" style="274" customWidth="1"/>
    <col min="5" max="16384" width="9.109375" style="274"/>
  </cols>
  <sheetData>
    <row r="1" spans="1:4" s="275" customFormat="1" x14ac:dyDescent="0.3">
      <c r="A1" s="309" t="s">
        <v>1163</v>
      </c>
      <c r="B1" s="310" t="s">
        <v>1164</v>
      </c>
      <c r="D1" s="279" t="s">
        <v>1165</v>
      </c>
    </row>
    <row r="2" spans="1:4" x14ac:dyDescent="0.3">
      <c r="A2" s="659" t="s">
        <v>1166</v>
      </c>
      <c r="B2" s="660" t="s">
        <v>1167</v>
      </c>
      <c r="D2" s="659" t="str">
        <f>'G-1 All Habitats'!B3</f>
        <v>Cropland - Arable field margins cultivated annually</v>
      </c>
    </row>
    <row r="3" spans="1:4" x14ac:dyDescent="0.3">
      <c r="A3" s="659" t="s">
        <v>1168</v>
      </c>
      <c r="B3" s="660" t="s">
        <v>1169</v>
      </c>
      <c r="D3" s="659" t="str">
        <f>'G-1 All Habitats'!B4</f>
        <v>Cropland - Arable field margins game bird mix</v>
      </c>
    </row>
    <row r="4" spans="1:4" x14ac:dyDescent="0.3">
      <c r="A4" s="659" t="s">
        <v>1170</v>
      </c>
      <c r="B4" s="660" t="s">
        <v>1171</v>
      </c>
      <c r="D4" s="659" t="str">
        <f>'G-1 All Habitats'!B5</f>
        <v>Cropland - Arable field margins pollen &amp; nectar</v>
      </c>
    </row>
    <row r="5" spans="1:4" x14ac:dyDescent="0.3">
      <c r="A5" s="659" t="s">
        <v>1172</v>
      </c>
      <c r="B5" s="660" t="s">
        <v>1173</v>
      </c>
      <c r="D5" s="659" t="str">
        <f>'G-1 All Habitats'!B6</f>
        <v>Cropland - Arable field margins tussocky</v>
      </c>
    </row>
    <row r="6" spans="1:4" x14ac:dyDescent="0.3">
      <c r="A6" s="659" t="s">
        <v>1174</v>
      </c>
      <c r="B6" s="660" t="s">
        <v>1175</v>
      </c>
      <c r="D6" s="659" t="str">
        <f>'G-1 All Habitats'!B7</f>
        <v>Cropland - Cereal crops</v>
      </c>
    </row>
    <row r="7" spans="1:4" x14ac:dyDescent="0.3">
      <c r="A7" s="659" t="s">
        <v>1176</v>
      </c>
      <c r="B7" s="660" t="s">
        <v>1177</v>
      </c>
      <c r="D7" s="659" t="e">
        <f>'G-1 All Habitats'!#REF!</f>
        <v>#REF!</v>
      </c>
    </row>
    <row r="8" spans="1:4" x14ac:dyDescent="0.3">
      <c r="A8" s="659" t="s">
        <v>1178</v>
      </c>
      <c r="B8" s="660" t="s">
        <v>1179</v>
      </c>
      <c r="D8" s="659" t="str">
        <f>'G-1 All Habitats'!B8</f>
        <v>Cropland - Cereal crops winter stubble</v>
      </c>
    </row>
    <row r="9" spans="1:4" x14ac:dyDescent="0.3">
      <c r="A9" s="659" t="s">
        <v>1180</v>
      </c>
      <c r="B9" s="660" t="s">
        <v>1181</v>
      </c>
      <c r="D9" s="659" t="str">
        <f>'G-1 All Habitats'!B9</f>
        <v>Cropland - Horticulture</v>
      </c>
    </row>
    <row r="10" spans="1:4" x14ac:dyDescent="0.3">
      <c r="A10" s="659" t="s">
        <v>1182</v>
      </c>
      <c r="B10" s="660" t="s">
        <v>1183</v>
      </c>
      <c r="D10" s="659" t="str">
        <f>'G-1 All Habitats'!B10</f>
        <v>Cropland - Intensive orchards</v>
      </c>
    </row>
    <row r="11" spans="1:4" x14ac:dyDescent="0.3">
      <c r="A11" s="659" t="s">
        <v>1184</v>
      </c>
      <c r="B11" s="660" t="s">
        <v>1185</v>
      </c>
      <c r="D11" s="659" t="str">
        <f>'G-1 All Habitats'!B11</f>
        <v>Cropland - Non-cereal crops</v>
      </c>
    </row>
    <row r="12" spans="1:4" x14ac:dyDescent="0.3">
      <c r="A12" s="659" t="s">
        <v>1186</v>
      </c>
      <c r="B12" s="660" t="s">
        <v>1187</v>
      </c>
      <c r="D12" s="659" t="str">
        <f>'G-1 All Habitats'!B12</f>
        <v>Cropland - Temporary grass and clover leys</v>
      </c>
    </row>
    <row r="13" spans="1:4" x14ac:dyDescent="0.3">
      <c r="A13" s="659" t="s">
        <v>1188</v>
      </c>
      <c r="B13" s="660" t="s">
        <v>1189</v>
      </c>
      <c r="D13" s="659" t="str">
        <f>'G-1 All Habitats'!B13</f>
        <v>Grassland - Traditional orchards</v>
      </c>
    </row>
    <row r="14" spans="1:4" x14ac:dyDescent="0.3">
      <c r="A14" s="659" t="s">
        <v>1190</v>
      </c>
      <c r="B14" s="660" t="s">
        <v>1191</v>
      </c>
      <c r="D14" s="659" t="str">
        <f>'G-1 All Habitats'!B14</f>
        <v>Grassland - Bracken</v>
      </c>
    </row>
    <row r="15" spans="1:4" x14ac:dyDescent="0.3">
      <c r="A15" s="659" t="s">
        <v>1192</v>
      </c>
      <c r="B15" s="660" t="s">
        <v>1193</v>
      </c>
      <c r="D15" s="659" t="str">
        <f>'G-1 All Habitats'!B15</f>
        <v>Grassland - Floodplain Wetland Mosaic (CFGM)</v>
      </c>
    </row>
    <row r="16" spans="1:4" x14ac:dyDescent="0.3">
      <c r="A16" s="659" t="s">
        <v>1194</v>
      </c>
      <c r="B16" s="660" t="s">
        <v>1195</v>
      </c>
      <c r="D16" s="659" t="str">
        <f>'G-1 All Habitats'!B16</f>
        <v>Grassland - Lowland calcareous grassland</v>
      </c>
    </row>
    <row r="17" spans="1:4" x14ac:dyDescent="0.3">
      <c r="A17" s="659" t="s">
        <v>1196</v>
      </c>
      <c r="D17" s="659" t="str">
        <f>'G-1 All Habitats'!B17</f>
        <v>Grassland - Lowland dry acid grassland</v>
      </c>
    </row>
    <row r="18" spans="1:4" x14ac:dyDescent="0.3">
      <c r="A18" s="659" t="s">
        <v>1197</v>
      </c>
      <c r="D18" s="659" t="str">
        <f>'G-1 All Habitats'!B18</f>
        <v>Grassland - Lowland meadows</v>
      </c>
    </row>
    <row r="19" spans="1:4" x14ac:dyDescent="0.3">
      <c r="A19" s="659" t="s">
        <v>1198</v>
      </c>
      <c r="D19" s="659" t="str">
        <f>'G-1 All Habitats'!B19</f>
        <v>Grassland - Modified grassland</v>
      </c>
    </row>
    <row r="20" spans="1:4" x14ac:dyDescent="0.3">
      <c r="A20" s="659" t="s">
        <v>1199</v>
      </c>
      <c r="D20" s="659" t="str">
        <f>'G-1 All Habitats'!B20</f>
        <v>Grassland - Other lowland acid grassland</v>
      </c>
    </row>
    <row r="21" spans="1:4" x14ac:dyDescent="0.3">
      <c r="A21" s="659" t="s">
        <v>1200</v>
      </c>
      <c r="D21" s="659" t="str">
        <f>'G-1 All Habitats'!B21</f>
        <v>Grassland - Other neutral grassland</v>
      </c>
    </row>
    <row r="22" spans="1:4" x14ac:dyDescent="0.3">
      <c r="A22" s="659" t="s">
        <v>1201</v>
      </c>
      <c r="D22" s="659" t="str">
        <f>'G-1 All Habitats'!B22</f>
        <v>Grassland - Tall herb communities (H6430)</v>
      </c>
    </row>
    <row r="23" spans="1:4" x14ac:dyDescent="0.3">
      <c r="A23" s="659" t="s">
        <v>1202</v>
      </c>
      <c r="D23" s="659" t="str">
        <f>'G-1 All Habitats'!B23</f>
        <v>Grassland - Upland acid grassland</v>
      </c>
    </row>
    <row r="24" spans="1:4" x14ac:dyDescent="0.3">
      <c r="A24" s="659" t="s">
        <v>1203</v>
      </c>
      <c r="D24" s="659" t="str">
        <f>'G-1 All Habitats'!B24</f>
        <v>Grassland - Upland calcareous grassland</v>
      </c>
    </row>
    <row r="25" spans="1:4" x14ac:dyDescent="0.3">
      <c r="A25" s="659" t="s">
        <v>1204</v>
      </c>
      <c r="D25" s="659" t="str">
        <f>'G-1 All Habitats'!B25</f>
        <v>Grassland - Upland hay meadows</v>
      </c>
    </row>
    <row r="26" spans="1:4" x14ac:dyDescent="0.3">
      <c r="A26" s="659" t="s">
        <v>1205</v>
      </c>
      <c r="D26" s="659" t="str">
        <f>'G-1 All Habitats'!B26</f>
        <v>Heathland and shrub - Blackthorn scrub</v>
      </c>
    </row>
    <row r="27" spans="1:4" x14ac:dyDescent="0.3">
      <c r="A27" s="659" t="s">
        <v>1206</v>
      </c>
      <c r="D27" s="659" t="str">
        <f>'G-1 All Habitats'!B27</f>
        <v>Heathland and shrub - Bramble scrub</v>
      </c>
    </row>
    <row r="28" spans="1:4" x14ac:dyDescent="0.3">
      <c r="A28" s="659" t="s">
        <v>1207</v>
      </c>
      <c r="D28" s="659" t="str">
        <f>'G-1 All Habitats'!B28</f>
        <v>Heathland and shrub - Gorse scrub</v>
      </c>
    </row>
    <row r="29" spans="1:4" x14ac:dyDescent="0.3">
      <c r="A29" s="659" t="s">
        <v>1208</v>
      </c>
      <c r="D29" s="659" t="str">
        <f>'G-1 All Habitats'!B29</f>
        <v>Heathland and shrub - Hawthorn scrub</v>
      </c>
    </row>
    <row r="30" spans="1:4" x14ac:dyDescent="0.3">
      <c r="A30" s="659" t="s">
        <v>1209</v>
      </c>
      <c r="D30" s="659" t="str">
        <f>'G-1 All Habitats'!B30</f>
        <v>Heathland and shrub - Hazel scrub</v>
      </c>
    </row>
    <row r="31" spans="1:4" x14ac:dyDescent="0.3">
      <c r="A31" s="659" t="s">
        <v>1210</v>
      </c>
      <c r="D31" s="659" t="str">
        <f>'G-1 All Habitats'!B31</f>
        <v>Heathland and shrub - Lowland Heathland</v>
      </c>
    </row>
    <row r="32" spans="1:4" x14ac:dyDescent="0.3">
      <c r="A32" s="659" t="s">
        <v>1211</v>
      </c>
      <c r="D32" s="659" t="str">
        <f>'G-1 All Habitats'!B32</f>
        <v>Heathland and shrub - Mixed scrub</v>
      </c>
    </row>
    <row r="33" spans="1:4" x14ac:dyDescent="0.3">
      <c r="A33" s="659" t="s">
        <v>1212</v>
      </c>
      <c r="D33" s="659" t="str">
        <f>'G-1 All Habitats'!B33</f>
        <v>Heathland and shrub - Mountain heaths and willow scrub</v>
      </c>
    </row>
    <row r="34" spans="1:4" x14ac:dyDescent="0.3">
      <c r="A34" s="659" t="s">
        <v>1213</v>
      </c>
      <c r="D34" s="659" t="str">
        <f>'G-1 All Habitats'!B34</f>
        <v>Heathland and shrub - Rhododendron scrub</v>
      </c>
    </row>
    <row r="35" spans="1:4" x14ac:dyDescent="0.3">
      <c r="A35" s="659" t="s">
        <v>1214</v>
      </c>
      <c r="D35" s="659" t="str">
        <f>'G-1 All Habitats'!B35</f>
        <v>Heathland and shrub - Sea buckthorn scrub (Annex 1)</v>
      </c>
    </row>
    <row r="36" spans="1:4" x14ac:dyDescent="0.3">
      <c r="A36" s="659" t="s">
        <v>1215</v>
      </c>
      <c r="D36" s="659" t="str">
        <f>'G-1 All Habitats'!B36</f>
        <v>Heathland and shrub - Sea buckthorn scrub (other)</v>
      </c>
    </row>
    <row r="37" spans="1:4" x14ac:dyDescent="0.3">
      <c r="A37" s="659" t="s">
        <v>1216</v>
      </c>
      <c r="D37" s="659" t="str">
        <f>'G-1 All Habitats'!B37</f>
        <v>Heathland and shrub - Upland Heathland</v>
      </c>
    </row>
    <row r="38" spans="1:4" x14ac:dyDescent="0.3">
      <c r="A38" s="659" t="s">
        <v>1217</v>
      </c>
      <c r="D38" s="659" t="str">
        <f>'G-1 All Habitats'!B38</f>
        <v>Lakes - Aquifer fed naturally fluctuating water bodies</v>
      </c>
    </row>
    <row r="39" spans="1:4" x14ac:dyDescent="0.3">
      <c r="A39" s="659" t="s">
        <v>1218</v>
      </c>
      <c r="D39" s="659" t="e">
        <f>'G-1 All Habitats'!#REF!</f>
        <v>#REF!</v>
      </c>
    </row>
    <row r="40" spans="1:4" x14ac:dyDescent="0.3">
      <c r="A40" s="659" t="s">
        <v>1219</v>
      </c>
      <c r="D40" s="659" t="str">
        <f>'G-1 All Habitats'!B40</f>
        <v>Lakes - High alkalinity lakes</v>
      </c>
    </row>
    <row r="41" spans="1:4" x14ac:dyDescent="0.3">
      <c r="A41" s="659" t="s">
        <v>1220</v>
      </c>
      <c r="D41" s="659" t="str">
        <f>'G-1 All Habitats'!B41</f>
        <v>Lakes - Low alkalinity lakes</v>
      </c>
    </row>
    <row r="42" spans="1:4" x14ac:dyDescent="0.3">
      <c r="A42" s="659" t="s">
        <v>1221</v>
      </c>
      <c r="D42" s="659" t="str">
        <f>'G-1 All Habitats'!B42</f>
        <v>Lakes - Marl Lakes</v>
      </c>
    </row>
    <row r="43" spans="1:4" x14ac:dyDescent="0.3">
      <c r="A43" s="659" t="s">
        <v>1222</v>
      </c>
      <c r="D43" s="659" t="str">
        <f>'G-1 All Habitats'!B43</f>
        <v>Lakes - Moderate alkalinity lakes</v>
      </c>
    </row>
    <row r="44" spans="1:4" x14ac:dyDescent="0.3">
      <c r="A44" s="659" t="s">
        <v>1223</v>
      </c>
      <c r="D44" s="659" t="str">
        <f>'G-1 All Habitats'!B44</f>
        <v>Lakes - Peat Lakes</v>
      </c>
    </row>
    <row r="45" spans="1:4" x14ac:dyDescent="0.3">
      <c r="A45" s="659" t="s">
        <v>1224</v>
      </c>
      <c r="D45" s="659" t="str">
        <f>'G-1 All Habitats'!B45</f>
        <v>Lakes - Ponds (Priority Habitat)</v>
      </c>
    </row>
    <row r="46" spans="1:4" x14ac:dyDescent="0.3">
      <c r="A46" s="659" t="s">
        <v>1225</v>
      </c>
      <c r="D46" s="659" t="str">
        <f>'G-1 All Habitats'!B46</f>
        <v>Lakes - Ponds (Non- Priority Habitat)</v>
      </c>
    </row>
    <row r="47" spans="1:4" x14ac:dyDescent="0.3">
      <c r="A47" s="659" t="s">
        <v>1226</v>
      </c>
      <c r="D47" s="659" t="str">
        <f>'G-1 All Habitats'!B47</f>
        <v>Lakes - Reservoirs</v>
      </c>
    </row>
    <row r="48" spans="1:4" x14ac:dyDescent="0.3">
      <c r="A48" s="659" t="s">
        <v>1227</v>
      </c>
      <c r="D48" s="659" t="str">
        <f>'G-1 All Habitats'!B48</f>
        <v>Lakes - Temporary lakes, ponds and pools</v>
      </c>
    </row>
    <row r="49" spans="1:4" x14ac:dyDescent="0.3">
      <c r="A49" s="659" t="s">
        <v>1228</v>
      </c>
      <c r="D49" s="659" t="str">
        <f>'G-1 All Habitats'!B49</f>
        <v>Sparsely vegetated land - Calaminarian grasslands</v>
      </c>
    </row>
    <row r="50" spans="1:4" x14ac:dyDescent="0.3">
      <c r="A50" s="659" t="s">
        <v>1229</v>
      </c>
      <c r="D50" s="659" t="str">
        <f>'G-1 All Habitats'!B50</f>
        <v>Sparsely vegetated land - Coastal sand dunes</v>
      </c>
    </row>
    <row r="51" spans="1:4" x14ac:dyDescent="0.3">
      <c r="A51" s="659" t="s">
        <v>1230</v>
      </c>
      <c r="D51" s="659" t="str">
        <f>'G-1 All Habitats'!B51</f>
        <v>Sparsely vegetated land - Coastal vegetated shingle</v>
      </c>
    </row>
    <row r="52" spans="1:4" x14ac:dyDescent="0.3">
      <c r="A52" s="659" t="s">
        <v>1231</v>
      </c>
      <c r="D52" s="659" t="str">
        <f>'G-1 All Habitats'!B52</f>
        <v>Sparsely vegetated land - Ruderal/Ephemeral</v>
      </c>
    </row>
    <row r="53" spans="1:4" x14ac:dyDescent="0.3">
      <c r="A53" s="659" t="s">
        <v>1232</v>
      </c>
      <c r="D53" s="659" t="str">
        <f>'G-1 All Habitats'!B53</f>
        <v>Sparsely vegetated land - Inland rock outcrop and scree habitats</v>
      </c>
    </row>
    <row r="54" spans="1:4" x14ac:dyDescent="0.3">
      <c r="A54" s="659" t="s">
        <v>1233</v>
      </c>
      <c r="D54" s="659" t="str">
        <f>'G-1 All Habitats'!B54</f>
        <v>Sparsely vegetated land - Limestone pavement</v>
      </c>
    </row>
    <row r="55" spans="1:4" x14ac:dyDescent="0.3">
      <c r="A55" s="659" t="s">
        <v>1234</v>
      </c>
      <c r="D55" s="659" t="str">
        <f>'G-1 All Habitats'!B55</f>
        <v>Sparsely vegetated land - Maritime cliff and slopes</v>
      </c>
    </row>
    <row r="56" spans="1:4" x14ac:dyDescent="0.3">
      <c r="A56" s="659" t="s">
        <v>1235</v>
      </c>
      <c r="D56" s="659" t="str">
        <f>'G-1 All Habitats'!B56</f>
        <v>Sparsely vegetated land - Other inland rock and scree</v>
      </c>
    </row>
    <row r="57" spans="1:4" x14ac:dyDescent="0.3">
      <c r="A57" s="659" t="s">
        <v>1236</v>
      </c>
      <c r="D57" s="659" t="str">
        <f>'G-1 All Habitats'!B57</f>
        <v>Urban - Allotments</v>
      </c>
    </row>
    <row r="58" spans="1:4" x14ac:dyDescent="0.3">
      <c r="A58" s="659" t="s">
        <v>1237</v>
      </c>
      <c r="D58" s="659" t="str">
        <f>'G-1 All Habitats'!B39</f>
        <v>Lakes - Ornamental lake or pond</v>
      </c>
    </row>
    <row r="59" spans="1:4" x14ac:dyDescent="0.3">
      <c r="A59" s="659" t="s">
        <v>1238</v>
      </c>
      <c r="D59" s="659" t="str">
        <f>'G-1 All Habitats'!B58</f>
        <v>Urban - Artificial unvegetated, unsealed surface</v>
      </c>
    </row>
    <row r="60" spans="1:4" x14ac:dyDescent="0.3">
      <c r="A60" s="659" t="s">
        <v>1239</v>
      </c>
      <c r="D60" s="659" t="str">
        <f>'G-1 All Habitats'!B59</f>
        <v>Urban - Bioswale</v>
      </c>
    </row>
    <row r="61" spans="1:4" x14ac:dyDescent="0.3">
      <c r="A61" s="659" t="s">
        <v>1240</v>
      </c>
      <c r="D61" s="659" t="str">
        <f>'G-1 All Habitats'!B60</f>
        <v>Urban - Intensive green roof</v>
      </c>
    </row>
    <row r="62" spans="1:4" x14ac:dyDescent="0.3">
      <c r="A62" s="659" t="s">
        <v>1241</v>
      </c>
      <c r="D62" s="659" t="str">
        <f>'G-1 All Habitats'!B61</f>
        <v>Urban - Built linear features</v>
      </c>
    </row>
    <row r="63" spans="1:4" x14ac:dyDescent="0.3">
      <c r="A63" s="659" t="s">
        <v>1242</v>
      </c>
      <c r="D63" s="659" t="str">
        <f>'G-1 All Habitats'!B62</f>
        <v>Urban - Cemeteries and churchyards</v>
      </c>
    </row>
    <row r="64" spans="1:4" x14ac:dyDescent="0.3">
      <c r="A64" s="659" t="s">
        <v>1243</v>
      </c>
      <c r="D64" s="659" t="str">
        <f>'G-1 All Habitats'!B63</f>
        <v>Urban - Developed land; sealed surface</v>
      </c>
    </row>
    <row r="65" spans="1:4" x14ac:dyDescent="0.3">
      <c r="A65" s="659" t="s">
        <v>1244</v>
      </c>
      <c r="D65" s="659" t="str">
        <f>'G-1 All Habitats'!B64</f>
        <v>Urban - Other green roof</v>
      </c>
    </row>
    <row r="66" spans="1:4" x14ac:dyDescent="0.3">
      <c r="A66" s="659" t="s">
        <v>1245</v>
      </c>
      <c r="D66" s="659" t="str">
        <f>'G-1 All Habitats'!B65</f>
        <v>Urban - Facade-bound green wall</v>
      </c>
    </row>
    <row r="67" spans="1:4" x14ac:dyDescent="0.3">
      <c r="A67" s="659" t="s">
        <v>1246</v>
      </c>
      <c r="D67" s="659" t="str">
        <f>'G-1 All Habitats'!B66</f>
        <v>Urban - Ground based green wall</v>
      </c>
    </row>
    <row r="68" spans="1:4" x14ac:dyDescent="0.3">
      <c r="A68" s="659" t="s">
        <v>1247</v>
      </c>
      <c r="D68" s="659" t="str">
        <f>'G-1 All Habitats'!B67</f>
        <v>Urban - Ground level planters</v>
      </c>
    </row>
    <row r="69" spans="1:4" x14ac:dyDescent="0.3">
      <c r="A69" s="659" t="s">
        <v>1248</v>
      </c>
      <c r="D69" s="659" t="str">
        <f>'G-1 All Habitats'!B68</f>
        <v>Urban - Biodiverse green roof</v>
      </c>
    </row>
    <row r="70" spans="1:4" x14ac:dyDescent="0.3">
      <c r="A70" s="659" t="s">
        <v>1249</v>
      </c>
      <c r="D70" s="659" t="str">
        <f>'G-1 All Habitats'!B69</f>
        <v>Urban - Introduced shrub</v>
      </c>
    </row>
    <row r="71" spans="1:4" x14ac:dyDescent="0.3">
      <c r="A71" s="659" t="s">
        <v>1250</v>
      </c>
      <c r="D71" s="659" t="e">
        <f>'G-1 All Habitats'!#REF!</f>
        <v>#REF!</v>
      </c>
    </row>
    <row r="72" spans="1:4" x14ac:dyDescent="0.3">
      <c r="A72" s="659" t="s">
        <v>1251</v>
      </c>
      <c r="D72" s="659" t="str">
        <f>'G-1 All Habitats'!B70</f>
        <v>Urban - Open Mosaic Habitats on Previously Developed Land</v>
      </c>
    </row>
    <row r="73" spans="1:4" x14ac:dyDescent="0.3">
      <c r="A73" s="659" t="s">
        <v>1252</v>
      </c>
      <c r="D73" s="659" t="e">
        <f>'G-1 All Habitats'!#REF!</f>
        <v>#REF!</v>
      </c>
    </row>
    <row r="74" spans="1:4" x14ac:dyDescent="0.3">
      <c r="A74" s="659" t="s">
        <v>1253</v>
      </c>
      <c r="D74" s="659" t="str">
        <f>'G-1 All Habitats'!B71</f>
        <v>Urban - Rain garden</v>
      </c>
    </row>
    <row r="75" spans="1:4" x14ac:dyDescent="0.3">
      <c r="A75" s="659" t="s">
        <v>1254</v>
      </c>
      <c r="D75" s="659" t="str">
        <f>'G-1 All Habitats'!B72</f>
        <v>Urban - Actively worked sand pit quarry or open cast mine</v>
      </c>
    </row>
    <row r="76" spans="1:4" x14ac:dyDescent="0.3">
      <c r="A76" s="659" t="s">
        <v>1255</v>
      </c>
      <c r="D76" s="659" t="str">
        <f>'G-1 All Habitats'!B73</f>
        <v>Urban - Urban Tree</v>
      </c>
    </row>
    <row r="77" spans="1:4" x14ac:dyDescent="0.3">
      <c r="A77" s="659" t="s">
        <v>1256</v>
      </c>
      <c r="D77" s="659" t="e">
        <f>'G-1 All Habitats'!#REF!</f>
        <v>#REF!</v>
      </c>
    </row>
    <row r="78" spans="1:4" x14ac:dyDescent="0.3">
      <c r="A78" s="659" t="s">
        <v>1257</v>
      </c>
      <c r="D78" s="659" t="str">
        <f>'G-1 All Habitats'!B74</f>
        <v>Urban - Sustainable urban drainage feature</v>
      </c>
    </row>
    <row r="79" spans="1:4" x14ac:dyDescent="0.3">
      <c r="A79" s="659" t="s">
        <v>1258</v>
      </c>
      <c r="D79" s="659" t="str">
        <f>'G-1 All Habitats'!B75</f>
        <v>Urban - Un-vegetated garden</v>
      </c>
    </row>
    <row r="80" spans="1:4" x14ac:dyDescent="0.3">
      <c r="A80" s="659" t="s">
        <v>1259</v>
      </c>
      <c r="D80" s="659" t="str">
        <f>'G-1 All Habitats'!B76</f>
        <v>Urban - Vacant/derelict land/ bareground</v>
      </c>
    </row>
    <row r="81" spans="1:4" x14ac:dyDescent="0.3">
      <c r="A81" s="659" t="s">
        <v>1260</v>
      </c>
      <c r="D81" s="659" t="str">
        <f>'G-1 All Habitats'!B77</f>
        <v>Urban - Vegetated garden</v>
      </c>
    </row>
    <row r="82" spans="1:4" x14ac:dyDescent="0.3">
      <c r="A82" s="659" t="s">
        <v>1261</v>
      </c>
      <c r="D82" s="659" t="e">
        <f>'G-1 All Habitats'!#REF!</f>
        <v>#REF!</v>
      </c>
    </row>
    <row r="83" spans="1:4" x14ac:dyDescent="0.3">
      <c r="A83" s="659" t="s">
        <v>1262</v>
      </c>
      <c r="D83" s="659" t="str">
        <f>'G-1 All Habitats'!B78</f>
        <v>Wetland - Blanket bog</v>
      </c>
    </row>
    <row r="84" spans="1:4" x14ac:dyDescent="0.3">
      <c r="A84" s="659" t="s">
        <v>1263</v>
      </c>
      <c r="D84" s="659" t="str">
        <f>'G-1 All Habitats'!B79</f>
        <v>Wetland - Depressions on Peat substrates (H7150)</v>
      </c>
    </row>
    <row r="85" spans="1:4" x14ac:dyDescent="0.3">
      <c r="A85" s="659" t="s">
        <v>1264</v>
      </c>
      <c r="D85" s="659" t="str">
        <f>'G-1 All Habitats'!B80</f>
        <v>Wetland - Fens (upland and lowland)</v>
      </c>
    </row>
    <row r="86" spans="1:4" x14ac:dyDescent="0.3">
      <c r="A86" s="659" t="s">
        <v>1265</v>
      </c>
      <c r="D86" s="659" t="str">
        <f>'G-1 All Habitats'!B81</f>
        <v>Wetland - Lowland raised bog</v>
      </c>
    </row>
    <row r="87" spans="1:4" x14ac:dyDescent="0.3">
      <c r="A87" s="659" t="s">
        <v>1266</v>
      </c>
      <c r="D87" s="659" t="str">
        <f>'G-1 All Habitats'!B82</f>
        <v>Wetland - Oceanic Valley Mire[1] (D2.1)</v>
      </c>
    </row>
    <row r="88" spans="1:4" x14ac:dyDescent="0.3">
      <c r="A88" s="659" t="s">
        <v>1267</v>
      </c>
      <c r="D88" s="659" t="str">
        <f>'G-1 All Habitats'!B83</f>
        <v>Wetland - Purple moor grass and rush pastures</v>
      </c>
    </row>
    <row r="89" spans="1:4" x14ac:dyDescent="0.3">
      <c r="A89" s="659" t="s">
        <v>1268</v>
      </c>
      <c r="D89" s="659" t="str">
        <f>'G-1 All Habitats'!B84</f>
        <v>Wetland - Reedbeds</v>
      </c>
    </row>
    <row r="90" spans="1:4" x14ac:dyDescent="0.3">
      <c r="A90" s="659" t="s">
        <v>1269</v>
      </c>
      <c r="D90" s="659" t="str">
        <f>'G-1 All Habitats'!B85</f>
        <v>Wetland - Transition mires and quaking bogs (H7140)</v>
      </c>
    </row>
    <row r="91" spans="1:4" x14ac:dyDescent="0.3">
      <c r="A91" s="659" t="s">
        <v>1270</v>
      </c>
      <c r="D91" s="659" t="str">
        <f>'G-1 All Habitats'!B86</f>
        <v>Woodland and forest - Felled</v>
      </c>
    </row>
    <row r="92" spans="1:4" x14ac:dyDescent="0.3">
      <c r="A92" s="659" t="s">
        <v>1271</v>
      </c>
      <c r="D92" s="659" t="str">
        <f>'G-1 All Habitats'!B87</f>
        <v>Woodland and forest - Lowland beech and yew woodland</v>
      </c>
    </row>
    <row r="93" spans="1:4" x14ac:dyDescent="0.3">
      <c r="A93" s="659" t="s">
        <v>1272</v>
      </c>
      <c r="D93" s="659" t="str">
        <f>'G-1 All Habitats'!B88</f>
        <v>Woodland and forest - Lowland mixed deciduous woodland</v>
      </c>
    </row>
    <row r="94" spans="1:4" x14ac:dyDescent="0.3">
      <c r="A94" s="659" t="s">
        <v>1273</v>
      </c>
      <c r="D94" s="659" t="str">
        <f>'G-1 All Habitats'!B89</f>
        <v>Woodland and forest - Native pine woodlands</v>
      </c>
    </row>
    <row r="95" spans="1:4" x14ac:dyDescent="0.3">
      <c r="A95" s="659" t="s">
        <v>1274</v>
      </c>
      <c r="D95" s="659" t="str">
        <f>'G-1 All Habitats'!B90</f>
        <v>Woodland and forest - Other coniferous woodland</v>
      </c>
    </row>
    <row r="96" spans="1:4" x14ac:dyDescent="0.3">
      <c r="A96" s="659" t="s">
        <v>1275</v>
      </c>
      <c r="D96" s="659" t="str">
        <f>'G-1 All Habitats'!B91</f>
        <v>Woodland and forest - Other Scot's Pine woodland</v>
      </c>
    </row>
    <row r="97" spans="1:4" x14ac:dyDescent="0.3">
      <c r="A97" s="659" t="s">
        <v>1276</v>
      </c>
      <c r="D97" s="659" t="str">
        <f>'G-1 All Habitats'!B92</f>
        <v>Woodland and forest - Other woodland; broadleaved</v>
      </c>
    </row>
    <row r="98" spans="1:4" x14ac:dyDescent="0.3">
      <c r="A98" s="659" t="s">
        <v>1277</v>
      </c>
      <c r="D98" s="659" t="str">
        <f>'G-1 All Habitats'!B93</f>
        <v>Woodland and forest - Other woodland; mixed</v>
      </c>
    </row>
    <row r="99" spans="1:4" x14ac:dyDescent="0.3">
      <c r="A99" s="659" t="s">
        <v>1278</v>
      </c>
      <c r="D99" s="659" t="e">
        <f>'G-1 All Habitats'!#REF!</f>
        <v>#REF!</v>
      </c>
    </row>
    <row r="100" spans="1:4" x14ac:dyDescent="0.3">
      <c r="A100" s="659" t="s">
        <v>1279</v>
      </c>
      <c r="D100" s="659" t="str">
        <f>'G-1 All Habitats'!B94</f>
        <v>Woodland and forest - Upland birchwoods</v>
      </c>
    </row>
    <row r="101" spans="1:4" x14ac:dyDescent="0.3">
      <c r="A101" s="659" t="s">
        <v>1280</v>
      </c>
      <c r="D101" s="659" t="str">
        <f>'G-1 All Habitats'!B95</f>
        <v>Woodland and forest - Upland mixed ashwoods</v>
      </c>
    </row>
    <row r="102" spans="1:4" x14ac:dyDescent="0.3">
      <c r="A102" s="659" t="s">
        <v>1281</v>
      </c>
      <c r="D102" s="659" t="str">
        <f>'G-1 All Habitats'!B96</f>
        <v>Woodland and forest - Upland oakwood</v>
      </c>
    </row>
    <row r="103" spans="1:4" x14ac:dyDescent="0.3">
      <c r="A103" s="659" t="s">
        <v>1282</v>
      </c>
      <c r="D103" s="659" t="str">
        <f>'G-1 All Habitats'!B97</f>
        <v>Woodland and forest - Wet woodland</v>
      </c>
    </row>
    <row r="104" spans="1:4" x14ac:dyDescent="0.3">
      <c r="A104" s="659" t="s">
        <v>1283</v>
      </c>
      <c r="D104" s="659" t="str">
        <f>'G-1 All Habitats'!B98</f>
        <v>Woodland and forest - Wood-pasture and parkland</v>
      </c>
    </row>
    <row r="105" spans="1:4" x14ac:dyDescent="0.3">
      <c r="A105" s="659" t="s">
        <v>1284</v>
      </c>
      <c r="D105" s="659" t="str">
        <f>'G-1 All Habitats'!B99</f>
        <v>Coastal lagoons - Coastal lagoons</v>
      </c>
    </row>
    <row r="106" spans="1:4" x14ac:dyDescent="0.3">
      <c r="A106" s="659" t="s">
        <v>1285</v>
      </c>
      <c r="D106" s="659" t="str">
        <f>'G-1 All Habitats'!B100</f>
        <v>Rocky shore - High energy littoral rock</v>
      </c>
    </row>
    <row r="107" spans="1:4" x14ac:dyDescent="0.3">
      <c r="A107" s="659" t="s">
        <v>1286</v>
      </c>
      <c r="D107" s="659" t="str">
        <f>'G-1 All Habitats'!B101</f>
        <v>Rocky shore - High energy littoral rock - on peat, clay or chalk</v>
      </c>
    </row>
    <row r="108" spans="1:4" x14ac:dyDescent="0.3">
      <c r="A108" s="659" t="s">
        <v>1287</v>
      </c>
      <c r="D108" s="659" t="str">
        <f>'G-1 All Habitats'!B102</f>
        <v>Rocky shore - Moderate energy littoral rock</v>
      </c>
    </row>
    <row r="109" spans="1:4" x14ac:dyDescent="0.3">
      <c r="A109" s="659" t="s">
        <v>1288</v>
      </c>
      <c r="D109" s="659" t="str">
        <f>'G-1 All Habitats'!B103</f>
        <v>Rocky shore - Moderate energy littoral rock - on peat, clay or chalk</v>
      </c>
    </row>
    <row r="110" spans="1:4" x14ac:dyDescent="0.3">
      <c r="A110" s="659" t="s">
        <v>1289</v>
      </c>
      <c r="D110" s="659" t="str">
        <f>'G-1 All Habitats'!B104</f>
        <v>Rocky shore - Low energy littoral rock</v>
      </c>
    </row>
    <row r="111" spans="1:4" x14ac:dyDescent="0.3">
      <c r="A111" s="659" t="s">
        <v>1290</v>
      </c>
      <c r="D111" s="659" t="str">
        <f>'G-1 All Habitats'!B105</f>
        <v>Rocky shore - Low energy littoral rock - on peat, clay or chalk</v>
      </c>
    </row>
    <row r="112" spans="1:4" x14ac:dyDescent="0.3">
      <c r="A112" s="659" t="s">
        <v>1291</v>
      </c>
      <c r="D112" s="659" t="str">
        <f>'G-1 All Habitats'!B106</f>
        <v>Rocky shore - Features of littoral rock</v>
      </c>
    </row>
    <row r="113" spans="1:4" x14ac:dyDescent="0.3">
      <c r="A113" s="659" t="s">
        <v>1292</v>
      </c>
      <c r="D113" s="659" t="str">
        <f>'G-1 All Habitats'!B107</f>
        <v>Rocky shore - Features of littoral rock - on peat, clay or chalk</v>
      </c>
    </row>
    <row r="114" spans="1:4" x14ac:dyDescent="0.3">
      <c r="A114" s="659" t="s">
        <v>1293</v>
      </c>
      <c r="D114" s="659" t="e">
        <f>'G-1 All Habitats'!#REF!</f>
        <v>#REF!</v>
      </c>
    </row>
    <row r="115" spans="1:4" x14ac:dyDescent="0.3">
      <c r="A115" s="659" t="s">
        <v>1294</v>
      </c>
      <c r="D115" s="659" t="e">
        <f>'G-1 All Habitats'!#REF!</f>
        <v>#REF!</v>
      </c>
    </row>
    <row r="116" spans="1:4" x14ac:dyDescent="0.3">
      <c r="A116" s="659" t="s">
        <v>1295</v>
      </c>
      <c r="D116" s="659" t="e">
        <f>'G-1 All Habitats'!#REF!</f>
        <v>#REF!</v>
      </c>
    </row>
    <row r="117" spans="1:4" x14ac:dyDescent="0.3">
      <c r="A117" s="659" t="s">
        <v>1296</v>
      </c>
      <c r="D117" s="659" t="e">
        <f>'G-1 All Habitats'!#REF!</f>
        <v>#REF!</v>
      </c>
    </row>
    <row r="118" spans="1:4" x14ac:dyDescent="0.3">
      <c r="A118" s="659" t="s">
        <v>1297</v>
      </c>
      <c r="D118" s="659" t="str">
        <f>'G-1 All Habitats'!B110</f>
        <v>Intertidal sediment - Littoral coarse sediment</v>
      </c>
    </row>
    <row r="119" spans="1:4" x14ac:dyDescent="0.3">
      <c r="A119" s="659" t="s">
        <v>1298</v>
      </c>
      <c r="D119" s="659" t="e">
        <f>'G-1 All Habitats'!#REF!</f>
        <v>#REF!</v>
      </c>
    </row>
    <row r="120" spans="1:4" x14ac:dyDescent="0.3">
      <c r="A120" s="659" t="s">
        <v>1299</v>
      </c>
      <c r="D120" s="659" t="str">
        <f>'G-1 All Habitats'!B111</f>
        <v>Intertidal sediment - Littoral mud</v>
      </c>
    </row>
    <row r="121" spans="1:4" x14ac:dyDescent="0.3">
      <c r="A121" s="659" t="s">
        <v>1300</v>
      </c>
      <c r="D121" s="659" t="str">
        <f>'G-1 All Habitats'!B112</f>
        <v>Intertidal sediment - Littoral mixed sediments</v>
      </c>
    </row>
    <row r="122" spans="1:4" x14ac:dyDescent="0.3">
      <c r="A122" s="659" t="s">
        <v>1301</v>
      </c>
      <c r="D122" s="659" t="str">
        <f>'G-1 All Habitats'!B108</f>
        <v>Coastal saltmarsh - Saltmarshes and saline reedbeds</v>
      </c>
    </row>
    <row r="123" spans="1:4" x14ac:dyDescent="0.3">
      <c r="A123" s="659" t="s">
        <v>1302</v>
      </c>
      <c r="D123" s="659" t="str">
        <f>'G-1 All Habitats'!B113</f>
        <v>Intertidal sediment - Littoral seagrass</v>
      </c>
    </row>
    <row r="124" spans="1:4" x14ac:dyDescent="0.3">
      <c r="A124" s="659" t="s">
        <v>1303</v>
      </c>
      <c r="D124" s="659" t="str">
        <f>'G-1 All Habitats'!B114</f>
        <v>Intertidal sediment - Littoral seagrass on peat, clay or chalk</v>
      </c>
    </row>
    <row r="125" spans="1:4" x14ac:dyDescent="0.3">
      <c r="A125" s="659" t="s">
        <v>1304</v>
      </c>
      <c r="D125" s="659" t="str">
        <f>'G-1 All Habitats'!B116</f>
        <v>Intertidal sediment - Littoral biogenic reefs - Sabellaria</v>
      </c>
    </row>
    <row r="126" spans="1:4" x14ac:dyDescent="0.3">
      <c r="A126" s="659" t="s">
        <v>1305</v>
      </c>
      <c r="D126" s="659" t="e">
        <f>'G-1 All Habitats'!#REF!</f>
        <v>#REF!</v>
      </c>
    </row>
    <row r="127" spans="1:4" x14ac:dyDescent="0.3">
      <c r="A127" s="659" t="s">
        <v>1306</v>
      </c>
      <c r="D127" s="659" t="str">
        <f>'G-1 All Habitats'!B117</f>
        <v>Intertidal sediment - Features of littoral sediment</v>
      </c>
    </row>
    <row r="128" spans="1:4" x14ac:dyDescent="0.3">
      <c r="A128" s="659" t="s">
        <v>1307</v>
      </c>
      <c r="D128" s="659" t="str">
        <f>'G-1 All Habitats'!B118</f>
        <v>Intertidal sediment - Artificial littoral coarse sediment</v>
      </c>
    </row>
    <row r="129" spans="1:4" x14ac:dyDescent="0.3">
      <c r="A129" s="659" t="s">
        <v>1308</v>
      </c>
      <c r="D129" s="659" t="e">
        <f>'G-1 All Habitats'!#REF!</f>
        <v>#REF!</v>
      </c>
    </row>
    <row r="130" spans="1:4" x14ac:dyDescent="0.3">
      <c r="A130" s="659" t="s">
        <v>1309</v>
      </c>
      <c r="D130" s="659" t="str">
        <f>'G-1 All Habitats'!B121</f>
        <v>Intertidal sediment - Artificial littoral muddy sand</v>
      </c>
    </row>
    <row r="131" spans="1:4" x14ac:dyDescent="0.3">
      <c r="A131" s="659" t="s">
        <v>1310</v>
      </c>
      <c r="D131" s="659" t="str">
        <f>'G-1 All Habitats'!B122</f>
        <v>Intertidal sediment - Artificial littoral mixed sediments</v>
      </c>
    </row>
    <row r="132" spans="1:4" x14ac:dyDescent="0.3">
      <c r="A132" s="659" t="s">
        <v>1311</v>
      </c>
      <c r="D132" s="659" t="str">
        <f>'G-1 All Habitats'!B123</f>
        <v>Intertidal sediment - Artificial littoral seagrass</v>
      </c>
    </row>
    <row r="133" spans="1:4" x14ac:dyDescent="0.3">
      <c r="A133" s="659" t="s">
        <v>1312</v>
      </c>
      <c r="D133" s="659" t="str">
        <f>'G-1 All Habitats'!B124</f>
        <v>Intertidal sediment - Artificial littoral biogenic reefs</v>
      </c>
    </row>
    <row r="134" spans="1:4" x14ac:dyDescent="0.3">
      <c r="A134" s="659" t="s">
        <v>1313</v>
      </c>
      <c r="D134" s="659" t="e">
        <f>'G-1 All Habitats'!#REF!</f>
        <v>#REF!</v>
      </c>
    </row>
    <row r="135" spans="1:4" x14ac:dyDescent="0.3">
      <c r="A135" s="659" t="s">
        <v>1314</v>
      </c>
      <c r="D135" s="659" t="e">
        <f>'G-1 All Habitats'!#REF!</f>
        <v>#REF!</v>
      </c>
    </row>
    <row r="136" spans="1:4" x14ac:dyDescent="0.3">
      <c r="A136" s="659" t="s">
        <v>1315</v>
      </c>
      <c r="D136" s="659">
        <f>'G-1 All Habitats'!B130</f>
        <v>0</v>
      </c>
    </row>
    <row r="137" spans="1:4" x14ac:dyDescent="0.3">
      <c r="A137" s="659" t="s">
        <v>1316</v>
      </c>
      <c r="D137" s="659">
        <f>'G-1 All Habitats'!B131</f>
        <v>0</v>
      </c>
    </row>
    <row r="138" spans="1:4" x14ac:dyDescent="0.3">
      <c r="A138" s="659" t="s">
        <v>1317</v>
      </c>
      <c r="D138" s="659">
        <f>'G-1 All Habitats'!B132</f>
        <v>0</v>
      </c>
    </row>
    <row r="139" spans="1:4" x14ac:dyDescent="0.3">
      <c r="A139" s="659" t="s">
        <v>1318</v>
      </c>
      <c r="D139" s="659">
        <f>'G-1 All Habitats'!B133</f>
        <v>0</v>
      </c>
    </row>
    <row r="140" spans="1:4" x14ac:dyDescent="0.3">
      <c r="A140" s="659" t="s">
        <v>1319</v>
      </c>
      <c r="D140" s="659">
        <f>'G-1 All Habitats'!B134</f>
        <v>0</v>
      </c>
    </row>
    <row r="141" spans="1:4" x14ac:dyDescent="0.3">
      <c r="A141" s="659" t="s">
        <v>1320</v>
      </c>
      <c r="D141" s="659">
        <f>'G-1 All Habitats'!B135</f>
        <v>0</v>
      </c>
    </row>
    <row r="142" spans="1:4" x14ac:dyDescent="0.3">
      <c r="A142" s="659" t="s">
        <v>1321</v>
      </c>
      <c r="D142" s="659">
        <f>'G-1 All Habitats'!B136</f>
        <v>0</v>
      </c>
    </row>
    <row r="143" spans="1:4" x14ac:dyDescent="0.3">
      <c r="A143" s="659" t="s">
        <v>1322</v>
      </c>
      <c r="D143" s="659">
        <f>'G-1 All Habitats'!B137</f>
        <v>0</v>
      </c>
    </row>
    <row r="144" spans="1:4" x14ac:dyDescent="0.3">
      <c r="A144" s="659" t="s">
        <v>1323</v>
      </c>
      <c r="D144" s="659">
        <f>'G-1 All Habitats'!B138</f>
        <v>0</v>
      </c>
    </row>
    <row r="145" spans="1:4" x14ac:dyDescent="0.3">
      <c r="A145" s="659" t="s">
        <v>1324</v>
      </c>
      <c r="D145" s="659">
        <f>'G-1 All Habitats'!B139</f>
        <v>0</v>
      </c>
    </row>
    <row r="146" spans="1:4" x14ac:dyDescent="0.3">
      <c r="A146" s="659" t="s">
        <v>1325</v>
      </c>
      <c r="D146" s="659">
        <f>'G-1 All Habitats'!B140</f>
        <v>0</v>
      </c>
    </row>
    <row r="147" spans="1:4" x14ac:dyDescent="0.3">
      <c r="A147" s="659" t="s">
        <v>1326</v>
      </c>
      <c r="D147" s="659">
        <f>'G-1 All Habitats'!B141</f>
        <v>0</v>
      </c>
    </row>
    <row r="148" spans="1:4" x14ac:dyDescent="0.3">
      <c r="A148" s="659" t="s">
        <v>1327</v>
      </c>
      <c r="D148" s="659">
        <f>'G-1 All Habitats'!B142</f>
        <v>0</v>
      </c>
    </row>
    <row r="149" spans="1:4" x14ac:dyDescent="0.3">
      <c r="A149" s="659" t="s">
        <v>1328</v>
      </c>
      <c r="D149" s="659">
        <f>'G-1 All Habitats'!B143</f>
        <v>0</v>
      </c>
    </row>
    <row r="150" spans="1:4" x14ac:dyDescent="0.3">
      <c r="A150" s="659" t="s">
        <v>1329</v>
      </c>
      <c r="D150" s="659">
        <f>'G-1 All Habitats'!B144</f>
        <v>0</v>
      </c>
    </row>
    <row r="151" spans="1:4" x14ac:dyDescent="0.3">
      <c r="A151" s="659" t="s">
        <v>1330</v>
      </c>
      <c r="D151" s="659">
        <f>'G-1 All Habitats'!B145</f>
        <v>0</v>
      </c>
    </row>
    <row r="152" spans="1:4" x14ac:dyDescent="0.3">
      <c r="A152" s="659" t="s">
        <v>1331</v>
      </c>
      <c r="D152" s="659">
        <f>'G-1 All Habitats'!B146</f>
        <v>0</v>
      </c>
    </row>
    <row r="153" spans="1:4" x14ac:dyDescent="0.3">
      <c r="A153" s="659" t="s">
        <v>1332</v>
      </c>
      <c r="D153" s="659">
        <f>'G-1 All Habitats'!B147</f>
        <v>0</v>
      </c>
    </row>
    <row r="154" spans="1:4" x14ac:dyDescent="0.3">
      <c r="A154" s="659" t="s">
        <v>1333</v>
      </c>
      <c r="D154" s="659">
        <f>'G-1 All Habitats'!B148</f>
        <v>0</v>
      </c>
    </row>
    <row r="155" spans="1:4" x14ac:dyDescent="0.3">
      <c r="A155" s="659" t="s">
        <v>1334</v>
      </c>
      <c r="D155" s="659">
        <f>'G-1 All Habitats'!B149</f>
        <v>0</v>
      </c>
    </row>
    <row r="156" spans="1:4" x14ac:dyDescent="0.3">
      <c r="A156" s="659" t="s">
        <v>1335</v>
      </c>
      <c r="D156" s="659">
        <f>'G-1 All Habitats'!B150</f>
        <v>0</v>
      </c>
    </row>
    <row r="157" spans="1:4" x14ac:dyDescent="0.3">
      <c r="A157" s="659" t="s">
        <v>1336</v>
      </c>
    </row>
    <row r="158" spans="1:4" x14ac:dyDescent="0.3">
      <c r="A158" s="659" t="s">
        <v>1337</v>
      </c>
    </row>
    <row r="159" spans="1:4" x14ac:dyDescent="0.3">
      <c r="A159" s="659" t="s">
        <v>1338</v>
      </c>
    </row>
    <row r="160" spans="1:4" x14ac:dyDescent="0.3">
      <c r="A160" s="659" t="s">
        <v>1339</v>
      </c>
    </row>
    <row r="161" spans="1:1" x14ac:dyDescent="0.3">
      <c r="A161" s="659" t="s">
        <v>1340</v>
      </c>
    </row>
    <row r="162" spans="1:1" x14ac:dyDescent="0.3">
      <c r="A162" s="659" t="s">
        <v>1341</v>
      </c>
    </row>
    <row r="163" spans="1:1" x14ac:dyDescent="0.3">
      <c r="A163" s="659" t="s">
        <v>1342</v>
      </c>
    </row>
    <row r="164" spans="1:1" x14ac:dyDescent="0.3">
      <c r="A164" s="659" t="s">
        <v>1343</v>
      </c>
    </row>
    <row r="165" spans="1:1" x14ac:dyDescent="0.3">
      <c r="A165" s="659" t="s">
        <v>1344</v>
      </c>
    </row>
    <row r="166" spans="1:1" x14ac:dyDescent="0.3">
      <c r="A166" s="659" t="s">
        <v>1345</v>
      </c>
    </row>
    <row r="167" spans="1:1" x14ac:dyDescent="0.3">
      <c r="A167" s="659" t="s">
        <v>1346</v>
      </c>
    </row>
    <row r="168" spans="1:1" x14ac:dyDescent="0.3">
      <c r="A168" s="659" t="s">
        <v>1347</v>
      </c>
    </row>
    <row r="169" spans="1:1" x14ac:dyDescent="0.3">
      <c r="A169" s="659" t="s">
        <v>1348</v>
      </c>
    </row>
    <row r="170" spans="1:1" x14ac:dyDescent="0.3">
      <c r="A170" s="659" t="s">
        <v>1349</v>
      </c>
    </row>
    <row r="171" spans="1:1" x14ac:dyDescent="0.3">
      <c r="A171" s="659" t="s">
        <v>1350</v>
      </c>
    </row>
    <row r="172" spans="1:1" x14ac:dyDescent="0.3">
      <c r="A172" s="659" t="s">
        <v>1351</v>
      </c>
    </row>
    <row r="173" spans="1:1" x14ac:dyDescent="0.3">
      <c r="A173" s="659" t="s">
        <v>1352</v>
      </c>
    </row>
    <row r="174" spans="1:1" x14ac:dyDescent="0.3">
      <c r="A174" s="659" t="s">
        <v>1353</v>
      </c>
    </row>
    <row r="175" spans="1:1" x14ac:dyDescent="0.3">
      <c r="A175" s="659" t="s">
        <v>1354</v>
      </c>
    </row>
    <row r="176" spans="1:1" x14ac:dyDescent="0.3">
      <c r="A176" s="659" t="s">
        <v>1355</v>
      </c>
    </row>
    <row r="177" spans="1:1" x14ac:dyDescent="0.3">
      <c r="A177" s="659" t="s">
        <v>1356</v>
      </c>
    </row>
    <row r="178" spans="1:1" x14ac:dyDescent="0.3">
      <c r="A178" s="659" t="s">
        <v>1357</v>
      </c>
    </row>
    <row r="179" spans="1:1" x14ac:dyDescent="0.3">
      <c r="A179" s="659" t="s">
        <v>1358</v>
      </c>
    </row>
    <row r="180" spans="1:1" x14ac:dyDescent="0.3">
      <c r="A180" s="659" t="s">
        <v>1359</v>
      </c>
    </row>
    <row r="181" spans="1:1" x14ac:dyDescent="0.3">
      <c r="A181" s="659" t="s">
        <v>1360</v>
      </c>
    </row>
    <row r="182" spans="1:1" x14ac:dyDescent="0.3">
      <c r="A182" s="659" t="s">
        <v>1361</v>
      </c>
    </row>
    <row r="183" spans="1:1" x14ac:dyDescent="0.3">
      <c r="A183" s="659" t="s">
        <v>1362</v>
      </c>
    </row>
    <row r="184" spans="1:1" x14ac:dyDescent="0.3">
      <c r="A184" s="659" t="s">
        <v>1363</v>
      </c>
    </row>
    <row r="185" spans="1:1" x14ac:dyDescent="0.3">
      <c r="A185" s="659" t="s">
        <v>1364</v>
      </c>
    </row>
    <row r="186" spans="1:1" x14ac:dyDescent="0.3">
      <c r="A186" s="659" t="s">
        <v>1365</v>
      </c>
    </row>
    <row r="187" spans="1:1" x14ac:dyDescent="0.3">
      <c r="A187" s="659" t="s">
        <v>1366</v>
      </c>
    </row>
    <row r="188" spans="1:1" x14ac:dyDescent="0.3">
      <c r="A188" s="659" t="s">
        <v>1367</v>
      </c>
    </row>
    <row r="189" spans="1:1" x14ac:dyDescent="0.3">
      <c r="A189" s="659" t="s">
        <v>1368</v>
      </c>
    </row>
    <row r="190" spans="1:1" x14ac:dyDescent="0.3">
      <c r="A190" s="659" t="s">
        <v>1369</v>
      </c>
    </row>
    <row r="191" spans="1:1" x14ac:dyDescent="0.3">
      <c r="A191" s="659" t="s">
        <v>1370</v>
      </c>
    </row>
    <row r="192" spans="1:1" x14ac:dyDescent="0.3">
      <c r="A192" s="659" t="s">
        <v>1371</v>
      </c>
    </row>
    <row r="193" spans="1:1" x14ac:dyDescent="0.3">
      <c r="A193" s="659" t="s">
        <v>1372</v>
      </c>
    </row>
    <row r="194" spans="1:1" x14ac:dyDescent="0.3">
      <c r="A194" s="659" t="s">
        <v>1373</v>
      </c>
    </row>
    <row r="195" spans="1:1" x14ac:dyDescent="0.3">
      <c r="A195" s="659" t="s">
        <v>1374</v>
      </c>
    </row>
    <row r="196" spans="1:1" x14ac:dyDescent="0.3">
      <c r="A196" s="659" t="s">
        <v>1375</v>
      </c>
    </row>
    <row r="197" spans="1:1" x14ac:dyDescent="0.3">
      <c r="A197" s="659" t="s">
        <v>1376</v>
      </c>
    </row>
    <row r="198" spans="1:1" x14ac:dyDescent="0.3">
      <c r="A198" s="659" t="s">
        <v>1377</v>
      </c>
    </row>
    <row r="199" spans="1:1" x14ac:dyDescent="0.3">
      <c r="A199" s="659" t="s">
        <v>1378</v>
      </c>
    </row>
    <row r="200" spans="1:1" x14ac:dyDescent="0.3">
      <c r="A200" s="659" t="s">
        <v>1379</v>
      </c>
    </row>
    <row r="201" spans="1:1" x14ac:dyDescent="0.3">
      <c r="A201" s="659" t="s">
        <v>1380</v>
      </c>
    </row>
    <row r="202" spans="1:1" x14ac:dyDescent="0.3">
      <c r="A202" s="659" t="s">
        <v>1381</v>
      </c>
    </row>
    <row r="203" spans="1:1" x14ac:dyDescent="0.3">
      <c r="A203" s="659" t="s">
        <v>1382</v>
      </c>
    </row>
    <row r="204" spans="1:1" x14ac:dyDescent="0.3">
      <c r="A204" s="659" t="s">
        <v>1383</v>
      </c>
    </row>
    <row r="205" spans="1:1" x14ac:dyDescent="0.3">
      <c r="A205" s="659" t="s">
        <v>1384</v>
      </c>
    </row>
    <row r="206" spans="1:1" x14ac:dyDescent="0.3">
      <c r="A206" s="659" t="s">
        <v>1385</v>
      </c>
    </row>
    <row r="207" spans="1:1" x14ac:dyDescent="0.3">
      <c r="A207" s="659" t="s">
        <v>1386</v>
      </c>
    </row>
    <row r="208" spans="1:1" x14ac:dyDescent="0.3">
      <c r="A208" s="659" t="s">
        <v>1387</v>
      </c>
    </row>
    <row r="209" spans="1:1" x14ac:dyDescent="0.3">
      <c r="A209" s="659" t="s">
        <v>1388</v>
      </c>
    </row>
    <row r="210" spans="1:1" x14ac:dyDescent="0.3">
      <c r="A210" s="659" t="s">
        <v>1389</v>
      </c>
    </row>
    <row r="211" spans="1:1" x14ac:dyDescent="0.3">
      <c r="A211" s="659" t="s">
        <v>1390</v>
      </c>
    </row>
    <row r="212" spans="1:1" x14ac:dyDescent="0.3">
      <c r="A212" s="659" t="s">
        <v>1391</v>
      </c>
    </row>
    <row r="213" spans="1:1" x14ac:dyDescent="0.3">
      <c r="A213" s="659" t="s">
        <v>1392</v>
      </c>
    </row>
    <row r="214" spans="1:1" x14ac:dyDescent="0.3">
      <c r="A214" s="659" t="s">
        <v>1393</v>
      </c>
    </row>
    <row r="215" spans="1:1" x14ac:dyDescent="0.3">
      <c r="A215" s="659" t="s">
        <v>1394</v>
      </c>
    </row>
    <row r="216" spans="1:1" x14ac:dyDescent="0.3">
      <c r="A216" s="659" t="s">
        <v>1395</v>
      </c>
    </row>
    <row r="217" spans="1:1" x14ac:dyDescent="0.3">
      <c r="A217" s="659" t="s">
        <v>1396</v>
      </c>
    </row>
    <row r="218" spans="1:1" x14ac:dyDescent="0.3">
      <c r="A218" s="659" t="s">
        <v>1397</v>
      </c>
    </row>
    <row r="219" spans="1:1" x14ac:dyDescent="0.3">
      <c r="A219" s="659" t="s">
        <v>1398</v>
      </c>
    </row>
    <row r="220" spans="1:1" x14ac:dyDescent="0.3">
      <c r="A220" s="659" t="s">
        <v>1399</v>
      </c>
    </row>
    <row r="221" spans="1:1" x14ac:dyDescent="0.3">
      <c r="A221" s="659" t="s">
        <v>1400</v>
      </c>
    </row>
    <row r="222" spans="1:1" x14ac:dyDescent="0.3">
      <c r="A222" s="659" t="s">
        <v>1401</v>
      </c>
    </row>
    <row r="223" spans="1:1" x14ac:dyDescent="0.3">
      <c r="A223" s="659" t="s">
        <v>1402</v>
      </c>
    </row>
    <row r="224" spans="1:1" x14ac:dyDescent="0.3">
      <c r="A224" s="659" t="s">
        <v>1403</v>
      </c>
    </row>
    <row r="225" spans="1:1" x14ac:dyDescent="0.3">
      <c r="A225" s="659" t="s">
        <v>1404</v>
      </c>
    </row>
    <row r="226" spans="1:1" x14ac:dyDescent="0.3">
      <c r="A226" s="659" t="s">
        <v>1405</v>
      </c>
    </row>
    <row r="227" spans="1:1" x14ac:dyDescent="0.3">
      <c r="A227" s="659" t="s">
        <v>1406</v>
      </c>
    </row>
    <row r="228" spans="1:1" x14ac:dyDescent="0.3">
      <c r="A228" s="659" t="s">
        <v>1407</v>
      </c>
    </row>
    <row r="229" spans="1:1" x14ac:dyDescent="0.3">
      <c r="A229" s="659" t="s">
        <v>1408</v>
      </c>
    </row>
    <row r="230" spans="1:1" x14ac:dyDescent="0.3">
      <c r="A230" s="659" t="s">
        <v>1409</v>
      </c>
    </row>
    <row r="231" spans="1:1" x14ac:dyDescent="0.3">
      <c r="A231" s="659" t="s">
        <v>1410</v>
      </c>
    </row>
    <row r="232" spans="1:1" x14ac:dyDescent="0.3">
      <c r="A232" s="659" t="s">
        <v>1411</v>
      </c>
    </row>
    <row r="233" spans="1:1" x14ac:dyDescent="0.3">
      <c r="A233" s="659" t="s">
        <v>1412</v>
      </c>
    </row>
    <row r="234" spans="1:1" x14ac:dyDescent="0.3">
      <c r="A234" s="659" t="s">
        <v>1413</v>
      </c>
    </row>
    <row r="235" spans="1:1" x14ac:dyDescent="0.3">
      <c r="A235" s="659" t="s">
        <v>1414</v>
      </c>
    </row>
    <row r="236" spans="1:1" x14ac:dyDescent="0.3">
      <c r="A236" s="659" t="s">
        <v>1415</v>
      </c>
    </row>
    <row r="237" spans="1:1" x14ac:dyDescent="0.3">
      <c r="A237" s="659" t="s">
        <v>1416</v>
      </c>
    </row>
    <row r="238" spans="1:1" x14ac:dyDescent="0.3">
      <c r="A238" s="659" t="s">
        <v>1417</v>
      </c>
    </row>
    <row r="239" spans="1:1" x14ac:dyDescent="0.3">
      <c r="A239" s="659" t="s">
        <v>1418</v>
      </c>
    </row>
    <row r="240" spans="1:1" x14ac:dyDescent="0.3">
      <c r="A240" s="659" t="s">
        <v>1419</v>
      </c>
    </row>
    <row r="241" spans="1:1" x14ac:dyDescent="0.3">
      <c r="A241" s="659" t="s">
        <v>1420</v>
      </c>
    </row>
    <row r="242" spans="1:1" x14ac:dyDescent="0.3">
      <c r="A242" s="659" t="s">
        <v>1421</v>
      </c>
    </row>
    <row r="243" spans="1:1" x14ac:dyDescent="0.3">
      <c r="A243" s="659" t="s">
        <v>1422</v>
      </c>
    </row>
    <row r="244" spans="1:1" x14ac:dyDescent="0.3">
      <c r="A244" s="659" t="s">
        <v>1423</v>
      </c>
    </row>
    <row r="245" spans="1:1" x14ac:dyDescent="0.3">
      <c r="A245" s="659" t="s">
        <v>1424</v>
      </c>
    </row>
    <row r="246" spans="1:1" x14ac:dyDescent="0.3">
      <c r="A246" s="659" t="s">
        <v>1425</v>
      </c>
    </row>
    <row r="247" spans="1:1" x14ac:dyDescent="0.3">
      <c r="A247" s="659" t="s">
        <v>1426</v>
      </c>
    </row>
    <row r="248" spans="1:1" x14ac:dyDescent="0.3">
      <c r="A248" s="659" t="s">
        <v>1427</v>
      </c>
    </row>
    <row r="249" spans="1:1" x14ac:dyDescent="0.3">
      <c r="A249" s="659" t="s">
        <v>1428</v>
      </c>
    </row>
    <row r="250" spans="1:1" x14ac:dyDescent="0.3">
      <c r="A250" s="659" t="s">
        <v>1429</v>
      </c>
    </row>
    <row r="251" spans="1:1" x14ac:dyDescent="0.3">
      <c r="A251" s="659" t="s">
        <v>1430</v>
      </c>
    </row>
    <row r="252" spans="1:1" x14ac:dyDescent="0.3">
      <c r="A252" s="659" t="s">
        <v>1431</v>
      </c>
    </row>
    <row r="253" spans="1:1" x14ac:dyDescent="0.3">
      <c r="A253" s="659" t="s">
        <v>1432</v>
      </c>
    </row>
    <row r="254" spans="1:1" x14ac:dyDescent="0.3">
      <c r="A254" s="659" t="s">
        <v>1433</v>
      </c>
    </row>
    <row r="255" spans="1:1" x14ac:dyDescent="0.3">
      <c r="A255" s="659" t="s">
        <v>1434</v>
      </c>
    </row>
    <row r="256" spans="1:1" x14ac:dyDescent="0.3">
      <c r="A256" s="659" t="s">
        <v>1435</v>
      </c>
    </row>
    <row r="257" spans="1:1" x14ac:dyDescent="0.3">
      <c r="A257" s="659" t="s">
        <v>1436</v>
      </c>
    </row>
    <row r="258" spans="1:1" x14ac:dyDescent="0.3">
      <c r="A258" s="659" t="s">
        <v>1437</v>
      </c>
    </row>
    <row r="259" spans="1:1" x14ac:dyDescent="0.3">
      <c r="A259" s="659" t="s">
        <v>1438</v>
      </c>
    </row>
    <row r="260" spans="1:1" x14ac:dyDescent="0.3">
      <c r="A260" s="659" t="s">
        <v>1439</v>
      </c>
    </row>
    <row r="261" spans="1:1" x14ac:dyDescent="0.3">
      <c r="A261" s="659" t="s">
        <v>1440</v>
      </c>
    </row>
    <row r="262" spans="1:1" x14ac:dyDescent="0.3">
      <c r="A262" s="659" t="s">
        <v>1441</v>
      </c>
    </row>
    <row r="263" spans="1:1" x14ac:dyDescent="0.3">
      <c r="A263" s="659" t="s">
        <v>1442</v>
      </c>
    </row>
    <row r="264" spans="1:1" x14ac:dyDescent="0.3">
      <c r="A264" s="659" t="s">
        <v>1443</v>
      </c>
    </row>
    <row r="265" spans="1:1" x14ac:dyDescent="0.3">
      <c r="A265" s="659" t="s">
        <v>1444</v>
      </c>
    </row>
    <row r="266" spans="1:1" x14ac:dyDescent="0.3">
      <c r="A266" s="659" t="s">
        <v>1445</v>
      </c>
    </row>
    <row r="267" spans="1:1" x14ac:dyDescent="0.3">
      <c r="A267" s="659" t="s">
        <v>1446</v>
      </c>
    </row>
    <row r="268" spans="1:1" x14ac:dyDescent="0.3">
      <c r="A268" s="659" t="s">
        <v>1447</v>
      </c>
    </row>
    <row r="269" spans="1:1" x14ac:dyDescent="0.3">
      <c r="A269" s="659" t="s">
        <v>1448</v>
      </c>
    </row>
    <row r="270" spans="1:1" x14ac:dyDescent="0.3">
      <c r="A270" s="659" t="s">
        <v>1449</v>
      </c>
    </row>
    <row r="271" spans="1:1" x14ac:dyDescent="0.3">
      <c r="A271" s="659" t="s">
        <v>1450</v>
      </c>
    </row>
    <row r="272" spans="1:1" x14ac:dyDescent="0.3">
      <c r="A272" s="659" t="s">
        <v>1451</v>
      </c>
    </row>
    <row r="273" spans="1:1" x14ac:dyDescent="0.3">
      <c r="A273" s="659" t="s">
        <v>1452</v>
      </c>
    </row>
    <row r="274" spans="1:1" x14ac:dyDescent="0.3">
      <c r="A274" s="659" t="s">
        <v>1453</v>
      </c>
    </row>
    <row r="275" spans="1:1" x14ac:dyDescent="0.3">
      <c r="A275" s="659" t="s">
        <v>1454</v>
      </c>
    </row>
    <row r="276" spans="1:1" x14ac:dyDescent="0.3">
      <c r="A276" s="659" t="s">
        <v>1455</v>
      </c>
    </row>
    <row r="277" spans="1:1" x14ac:dyDescent="0.3">
      <c r="A277" s="659" t="s">
        <v>1456</v>
      </c>
    </row>
    <row r="278" spans="1:1" x14ac:dyDescent="0.3">
      <c r="A278" s="659" t="s">
        <v>1457</v>
      </c>
    </row>
    <row r="279" spans="1:1" x14ac:dyDescent="0.3">
      <c r="A279" s="659" t="s">
        <v>1458</v>
      </c>
    </row>
    <row r="280" spans="1:1" x14ac:dyDescent="0.3">
      <c r="A280" s="659" t="s">
        <v>1459</v>
      </c>
    </row>
    <row r="281" spans="1:1" x14ac:dyDescent="0.3">
      <c r="A281" s="659" t="s">
        <v>1460</v>
      </c>
    </row>
    <row r="282" spans="1:1" x14ac:dyDescent="0.3">
      <c r="A282" s="659" t="s">
        <v>1461</v>
      </c>
    </row>
    <row r="283" spans="1:1" x14ac:dyDescent="0.3">
      <c r="A283" s="659" t="s">
        <v>1462</v>
      </c>
    </row>
    <row r="284" spans="1:1" x14ac:dyDescent="0.3">
      <c r="A284" s="659" t="s">
        <v>1463</v>
      </c>
    </row>
    <row r="285" spans="1:1" x14ac:dyDescent="0.3">
      <c r="A285" s="659" t="s">
        <v>1464</v>
      </c>
    </row>
    <row r="286" spans="1:1" x14ac:dyDescent="0.3">
      <c r="A286" s="659" t="s">
        <v>1465</v>
      </c>
    </row>
    <row r="287" spans="1:1" x14ac:dyDescent="0.3">
      <c r="A287" s="659" t="s">
        <v>1466</v>
      </c>
    </row>
    <row r="288" spans="1:1" x14ac:dyDescent="0.3">
      <c r="A288" s="659" t="s">
        <v>1467</v>
      </c>
    </row>
    <row r="289" spans="1:1" x14ac:dyDescent="0.3">
      <c r="A289" s="659" t="s">
        <v>1468</v>
      </c>
    </row>
    <row r="290" spans="1:1" x14ac:dyDescent="0.3">
      <c r="A290" s="659" t="s">
        <v>1469</v>
      </c>
    </row>
    <row r="291" spans="1:1" x14ac:dyDescent="0.3">
      <c r="A291" s="659" t="s">
        <v>1470</v>
      </c>
    </row>
    <row r="292" spans="1:1" x14ac:dyDescent="0.3">
      <c r="A292" s="659" t="s">
        <v>1471</v>
      </c>
    </row>
    <row r="293" spans="1:1" x14ac:dyDescent="0.3">
      <c r="A293" s="659" t="s">
        <v>1472</v>
      </c>
    </row>
    <row r="294" spans="1:1" x14ac:dyDescent="0.3">
      <c r="A294" s="659" t="s">
        <v>1473</v>
      </c>
    </row>
    <row r="295" spans="1:1" x14ac:dyDescent="0.3">
      <c r="A295" s="659" t="s">
        <v>1474</v>
      </c>
    </row>
    <row r="296" spans="1:1" x14ac:dyDescent="0.3">
      <c r="A296" s="659" t="s">
        <v>1475</v>
      </c>
    </row>
    <row r="297" spans="1:1" x14ac:dyDescent="0.3">
      <c r="A297" s="659" t="s">
        <v>1476</v>
      </c>
    </row>
    <row r="298" spans="1:1" x14ac:dyDescent="0.3">
      <c r="A298" s="659" t="s">
        <v>1477</v>
      </c>
    </row>
    <row r="299" spans="1:1" x14ac:dyDescent="0.3">
      <c r="A299" s="659" t="s">
        <v>1478</v>
      </c>
    </row>
    <row r="300" spans="1:1" x14ac:dyDescent="0.3">
      <c r="A300" s="659" t="s">
        <v>1479</v>
      </c>
    </row>
    <row r="301" spans="1:1" x14ac:dyDescent="0.3">
      <c r="A301" s="659" t="s">
        <v>1480</v>
      </c>
    </row>
    <row r="302" spans="1:1" x14ac:dyDescent="0.3">
      <c r="A302" s="659" t="s">
        <v>1481</v>
      </c>
    </row>
    <row r="303" spans="1:1" x14ac:dyDescent="0.3">
      <c r="A303" s="659" t="s">
        <v>1482</v>
      </c>
    </row>
    <row r="304" spans="1:1" x14ac:dyDescent="0.3">
      <c r="A304" s="659" t="s">
        <v>1483</v>
      </c>
    </row>
    <row r="305" spans="1:1" x14ac:dyDescent="0.3">
      <c r="A305" s="659" t="s">
        <v>1484</v>
      </c>
    </row>
    <row r="306" spans="1:1" x14ac:dyDescent="0.3">
      <c r="A306" s="659" t="s">
        <v>1485</v>
      </c>
    </row>
    <row r="307" spans="1:1" x14ac:dyDescent="0.3">
      <c r="A307" s="659" t="s">
        <v>1486</v>
      </c>
    </row>
    <row r="308" spans="1:1" x14ac:dyDescent="0.3">
      <c r="A308" s="659" t="s">
        <v>1487</v>
      </c>
    </row>
    <row r="309" spans="1:1" x14ac:dyDescent="0.3">
      <c r="A309" s="659" t="s">
        <v>1488</v>
      </c>
    </row>
    <row r="310" spans="1:1" x14ac:dyDescent="0.3">
      <c r="A310" s="659" t="s">
        <v>1489</v>
      </c>
    </row>
    <row r="311" spans="1:1" x14ac:dyDescent="0.3">
      <c r="A311" s="659" t="s">
        <v>1490</v>
      </c>
    </row>
    <row r="312" spans="1:1" x14ac:dyDescent="0.3">
      <c r="A312" s="659" t="s">
        <v>1491</v>
      </c>
    </row>
    <row r="313" spans="1:1" x14ac:dyDescent="0.3">
      <c r="A313" s="659" t="s">
        <v>1492</v>
      </c>
    </row>
    <row r="314" spans="1:1" x14ac:dyDescent="0.3">
      <c r="A314" s="659" t="s">
        <v>1493</v>
      </c>
    </row>
    <row r="315" spans="1:1" x14ac:dyDescent="0.3">
      <c r="A315" s="659" t="s">
        <v>1494</v>
      </c>
    </row>
    <row r="316" spans="1:1" x14ac:dyDescent="0.3">
      <c r="A316" s="659" t="s">
        <v>1495</v>
      </c>
    </row>
    <row r="317" spans="1:1" x14ac:dyDescent="0.3">
      <c r="A317" s="659" t="s">
        <v>1496</v>
      </c>
    </row>
    <row r="318" spans="1:1" x14ac:dyDescent="0.3">
      <c r="A318" s="659" t="s">
        <v>1497</v>
      </c>
    </row>
    <row r="319" spans="1:1" x14ac:dyDescent="0.3">
      <c r="A319" s="659" t="s">
        <v>1498</v>
      </c>
    </row>
    <row r="320" spans="1:1" x14ac:dyDescent="0.3">
      <c r="A320" s="659" t="s">
        <v>1499</v>
      </c>
    </row>
    <row r="321" spans="1:1" x14ac:dyDescent="0.3">
      <c r="A321" s="659" t="s">
        <v>1500</v>
      </c>
    </row>
    <row r="322" spans="1:1" x14ac:dyDescent="0.3">
      <c r="A322" s="659" t="s">
        <v>1501</v>
      </c>
    </row>
    <row r="323" spans="1:1" x14ac:dyDescent="0.3">
      <c r="A323" s="659" t="s">
        <v>1502</v>
      </c>
    </row>
    <row r="324" spans="1:1" x14ac:dyDescent="0.3">
      <c r="A324" s="659" t="s">
        <v>1503</v>
      </c>
    </row>
    <row r="325" spans="1:1" x14ac:dyDescent="0.3">
      <c r="A325" s="659" t="s">
        <v>1504</v>
      </c>
    </row>
    <row r="326" spans="1:1" x14ac:dyDescent="0.3">
      <c r="A326" s="659" t="s">
        <v>1505</v>
      </c>
    </row>
    <row r="327" spans="1:1" x14ac:dyDescent="0.3">
      <c r="A327" s="659" t="s">
        <v>1506</v>
      </c>
    </row>
    <row r="328" spans="1:1" x14ac:dyDescent="0.3">
      <c r="A328" s="659" t="s">
        <v>1507</v>
      </c>
    </row>
    <row r="329" spans="1:1" x14ac:dyDescent="0.3">
      <c r="A329" s="659" t="s">
        <v>1508</v>
      </c>
    </row>
    <row r="330" spans="1:1" x14ac:dyDescent="0.3">
      <c r="A330" s="659" t="s">
        <v>1509</v>
      </c>
    </row>
    <row r="331" spans="1:1" x14ac:dyDescent="0.3">
      <c r="A331" s="659" t="s">
        <v>1510</v>
      </c>
    </row>
    <row r="332" spans="1:1" x14ac:dyDescent="0.3">
      <c r="A332" s="659" t="s">
        <v>1511</v>
      </c>
    </row>
    <row r="333" spans="1:1" x14ac:dyDescent="0.3">
      <c r="A333" s="659" t="s">
        <v>1512</v>
      </c>
    </row>
    <row r="334" spans="1:1" x14ac:dyDescent="0.3">
      <c r="A334" s="659" t="s">
        <v>1513</v>
      </c>
    </row>
    <row r="335" spans="1:1" x14ac:dyDescent="0.3">
      <c r="A335" s="659" t="s">
        <v>1514</v>
      </c>
    </row>
    <row r="336" spans="1:1" x14ac:dyDescent="0.3">
      <c r="A336" s="659" t="s">
        <v>1515</v>
      </c>
    </row>
    <row r="337" spans="1:1" x14ac:dyDescent="0.3">
      <c r="A337" s="659" t="s">
        <v>1516</v>
      </c>
    </row>
    <row r="338" spans="1:1" x14ac:dyDescent="0.3">
      <c r="A338" s="659" t="s">
        <v>1517</v>
      </c>
    </row>
    <row r="339" spans="1:1" x14ac:dyDescent="0.3">
      <c r="A339" s="659" t="s">
        <v>1518</v>
      </c>
    </row>
    <row r="340" spans="1:1" x14ac:dyDescent="0.3">
      <c r="A340" s="659" t="s">
        <v>1519</v>
      </c>
    </row>
    <row r="341" spans="1:1" x14ac:dyDescent="0.3">
      <c r="A341" s="659" t="s">
        <v>1520</v>
      </c>
    </row>
    <row r="342" spans="1:1" x14ac:dyDescent="0.3">
      <c r="A342" s="659" t="s">
        <v>1521</v>
      </c>
    </row>
    <row r="343" spans="1:1" x14ac:dyDescent="0.3">
      <c r="A343" s="659" t="s">
        <v>1522</v>
      </c>
    </row>
    <row r="344" spans="1:1" x14ac:dyDescent="0.3">
      <c r="A344" s="659" t="s">
        <v>1523</v>
      </c>
    </row>
    <row r="345" spans="1:1" x14ac:dyDescent="0.3">
      <c r="A345" s="659" t="s">
        <v>1524</v>
      </c>
    </row>
    <row r="346" spans="1:1" x14ac:dyDescent="0.3">
      <c r="A346" s="659" t="s">
        <v>1525</v>
      </c>
    </row>
    <row r="347" spans="1:1" x14ac:dyDescent="0.3">
      <c r="A347" s="659" t="s">
        <v>1526</v>
      </c>
    </row>
    <row r="348" spans="1:1" x14ac:dyDescent="0.3">
      <c r="A348" s="659" t="s">
        <v>1527</v>
      </c>
    </row>
    <row r="349" spans="1:1" x14ac:dyDescent="0.3">
      <c r="A349" s="659" t="s">
        <v>1528</v>
      </c>
    </row>
    <row r="350" spans="1:1" x14ac:dyDescent="0.3">
      <c r="A350" s="659" t="s">
        <v>1529</v>
      </c>
    </row>
    <row r="351" spans="1:1" x14ac:dyDescent="0.3">
      <c r="A351" s="659" t="s">
        <v>1530</v>
      </c>
    </row>
    <row r="352" spans="1:1" x14ac:dyDescent="0.3">
      <c r="A352" s="659" t="s">
        <v>1531</v>
      </c>
    </row>
    <row r="353" spans="1:1" x14ac:dyDescent="0.3">
      <c r="A353" s="659" t="s">
        <v>1532</v>
      </c>
    </row>
    <row r="354" spans="1:1" x14ac:dyDescent="0.3">
      <c r="A354" s="659" t="s">
        <v>1533</v>
      </c>
    </row>
    <row r="355" spans="1:1" x14ac:dyDescent="0.3">
      <c r="A355" s="659" t="s">
        <v>1534</v>
      </c>
    </row>
    <row r="356" spans="1:1" x14ac:dyDescent="0.3">
      <c r="A356" s="659" t="s">
        <v>1535</v>
      </c>
    </row>
    <row r="357" spans="1:1" x14ac:dyDescent="0.3">
      <c r="A357" s="659" t="s">
        <v>1536</v>
      </c>
    </row>
    <row r="358" spans="1:1" x14ac:dyDescent="0.3">
      <c r="A358" s="659" t="s">
        <v>1537</v>
      </c>
    </row>
    <row r="359" spans="1:1" x14ac:dyDescent="0.3">
      <c r="A359" s="659" t="s">
        <v>1538</v>
      </c>
    </row>
    <row r="360" spans="1:1" x14ac:dyDescent="0.3">
      <c r="A360" s="659" t="s">
        <v>1539</v>
      </c>
    </row>
    <row r="361" spans="1:1" x14ac:dyDescent="0.3">
      <c r="A361" s="659" t="s">
        <v>1540</v>
      </c>
    </row>
    <row r="362" spans="1:1" x14ac:dyDescent="0.3">
      <c r="A362" s="659" t="s">
        <v>1541</v>
      </c>
    </row>
    <row r="363" spans="1:1" x14ac:dyDescent="0.3">
      <c r="A363" s="659" t="s">
        <v>1542</v>
      </c>
    </row>
    <row r="364" spans="1:1" x14ac:dyDescent="0.3">
      <c r="A364" s="659" t="s">
        <v>1543</v>
      </c>
    </row>
    <row r="365" spans="1:1" x14ac:dyDescent="0.3">
      <c r="A365" s="659" t="s">
        <v>1544</v>
      </c>
    </row>
    <row r="366" spans="1:1" x14ac:dyDescent="0.3">
      <c r="A366" s="659" t="s">
        <v>1545</v>
      </c>
    </row>
    <row r="367" spans="1:1" x14ac:dyDescent="0.3">
      <c r="A367" s="659" t="s">
        <v>1546</v>
      </c>
    </row>
    <row r="368" spans="1:1" x14ac:dyDescent="0.3">
      <c r="A368" s="659" t="s">
        <v>1547</v>
      </c>
    </row>
    <row r="369" spans="1:1" x14ac:dyDescent="0.3">
      <c r="A369" s="659" t="s">
        <v>1548</v>
      </c>
    </row>
    <row r="370" spans="1:1" x14ac:dyDescent="0.3">
      <c r="A370" s="659" t="s">
        <v>1549</v>
      </c>
    </row>
    <row r="371" spans="1:1" x14ac:dyDescent="0.3">
      <c r="A371" s="659" t="s">
        <v>1550</v>
      </c>
    </row>
    <row r="372" spans="1:1" x14ac:dyDescent="0.3">
      <c r="A372" s="659" t="s">
        <v>1551</v>
      </c>
    </row>
    <row r="373" spans="1:1" x14ac:dyDescent="0.3">
      <c r="A373" s="659" t="s">
        <v>1552</v>
      </c>
    </row>
    <row r="374" spans="1:1" x14ac:dyDescent="0.3">
      <c r="A374" s="659" t="s">
        <v>1553</v>
      </c>
    </row>
    <row r="375" spans="1:1" x14ac:dyDescent="0.3">
      <c r="A375" s="659" t="s">
        <v>1554</v>
      </c>
    </row>
    <row r="376" spans="1:1" x14ac:dyDescent="0.3">
      <c r="A376" s="659" t="s">
        <v>1555</v>
      </c>
    </row>
    <row r="377" spans="1:1" x14ac:dyDescent="0.3">
      <c r="A377" s="659" t="s">
        <v>1556</v>
      </c>
    </row>
    <row r="378" spans="1:1" x14ac:dyDescent="0.3">
      <c r="A378" s="659" t="s">
        <v>1557</v>
      </c>
    </row>
  </sheetData>
  <sheetProtection algorithmName="SHA-512" hashValue="ZdVOKuWqtI0ZFI4I19Uzyk5dpIwJKFffpFWSihZ4XO2bJzzM3yhcaVXgI9B6+yJhVhg1P+o2moOLWGOZ7EgE+A==" saltValue="+nVlcq+rFf1FA43bCp0RNg=="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11" ma:contentTypeDescription="Create a new document." ma:contentTypeScope="" ma:versionID="6e76f92f5f00916c9a9aa0abcbfdeb0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5c84f677a90429634029db2e377df7ac"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xsd:simpleType>
        <xsd:restriction base="dms:Text"/>
      </xsd:simpleType>
    </xsd:element>
    <xsd:element name="Topic" ma:index="20" nillable="true" ma:displayName="Topic" ma:default="002"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d06ba8-3d0c-4461-b1b9-cc99cc46e70a">
      <Terms xmlns="http://schemas.microsoft.com/office/infopath/2007/PartnerControls"/>
    </lcf76f155ced4ddcb4097134ff3c332f>
    <FileType1 xmlns="f4edfb27-fdcf-4944-9520-fd54d4f1d725">Superseded Documentation</FileType1>
    <TaxCatchAll xmlns="f4edfb27-fdcf-4944-9520-fd54d4f1d725" xsi:nil="true"/>
    <_Flow_SignoffStatus xmlns="0cd06ba8-3d0c-4461-b1b9-cc99cc46e70a" xsi:nil="true"/>
    <CategoryDescription xmlns="http://schemas.microsoft.com/sharepoint.v3" xsi:nil="true"/>
    <Public xmlns="f4edfb27-fdcf-4944-9520-fd54d4f1d725">true</Public>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239782-4E07-4B04-8FC6-10B477E7F061}">
  <ds:schemaRefs>
    <ds:schemaRef ds:uri="http://schemas.microsoft.com/sharepoint/v3/contenttype/forms"/>
  </ds:schemaRefs>
</ds:datastoreItem>
</file>

<file path=customXml/itemProps2.xml><?xml version="1.0" encoding="utf-8"?>
<ds:datastoreItem xmlns:ds="http://schemas.openxmlformats.org/officeDocument/2006/customXml" ds:itemID="{D1F0FDB1-FF7A-4C29-A49D-E068A2997C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D8E80E-3650-4921-9D0F-F779F71661B1}">
  <ds:schemaRefs>
    <ds:schemaRef ds:uri="http://purl.org/dc/dcmitype/"/>
    <ds:schemaRef ds:uri="98e27532-bbeb-4da6-8880-e7fe4b0abe63"/>
    <ds:schemaRef ds:uri="http://purl.org/dc/elements/1.1/"/>
    <ds:schemaRef ds:uri="http://purl.org/dc/terms/"/>
    <ds:schemaRef ds:uri="http://schemas.microsoft.com/office/2006/documentManagement/types"/>
    <ds:schemaRef ds:uri="http://schemas.openxmlformats.org/package/2006/metadata/core-properties"/>
    <ds:schemaRef ds:uri="662745e8-e224-48e8-a2e3-254862b8c2f5"/>
    <ds:schemaRef ds:uri="http://www.w3.org/XML/1998/namespace"/>
    <ds:schemaRef ds:uri="http://schemas.microsoft.com/office/2006/metadata/properties"/>
    <ds:schemaRef ds:uri="http://schemas.microsoft.com/office/infopath/2007/PartnerControls"/>
    <ds:schemaRef ds:uri="08894ec1-7550-4066-aff3-9f6acf21a880"/>
  </ds:schemaRefs>
</ds:datastoreItem>
</file>

<file path=customXml/itemProps4.xml><?xml version="1.0" encoding="utf-8"?>
<ds:datastoreItem xmlns:ds="http://schemas.openxmlformats.org/officeDocument/2006/customXml" ds:itemID="{EC5B9F8E-675B-4BB0-B46A-B84E13FBF08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51</vt:i4>
      </vt:variant>
    </vt:vector>
  </HeadingPairs>
  <TitlesOfParts>
    <vt:vector size="88" baseType="lpstr">
      <vt:lpstr>Introduction</vt:lpstr>
      <vt:lpstr>Start</vt:lpstr>
      <vt:lpstr>Instructions</vt:lpstr>
      <vt:lpstr>Main Menu</vt:lpstr>
      <vt:lpstr>Results</vt:lpstr>
      <vt:lpstr>Headline Results</vt:lpstr>
      <vt:lpstr>Detailed Results</vt:lpstr>
      <vt:lpstr>Trading Summary</vt:lpstr>
      <vt:lpstr>A-1 Site Habitat Baseline</vt:lpstr>
      <vt:lpstr>A-2 Site Habitat Creation</vt:lpstr>
      <vt:lpstr>A-3 Site Habitat Enhancement</vt:lpstr>
      <vt:lpstr>D-1 Off Site Habitat Baseline</vt:lpstr>
      <vt:lpstr>D-2 Off Site Habitat Creation</vt:lpstr>
      <vt:lpstr>D-3 Off Site Habitat Enhancment</vt:lpstr>
      <vt:lpstr>B-1 Site Hedge Baseline</vt:lpstr>
      <vt:lpstr>B-2 Site Hedge Creation</vt:lpstr>
      <vt:lpstr>B-3 Site Hedge Enhancement</vt:lpstr>
      <vt:lpstr>E-1 Off Site Hedge Baseline</vt:lpstr>
      <vt:lpstr>E-2 Off Site Hedge Creation</vt:lpstr>
      <vt:lpstr>E-3 Off Site Hedge Enhancement</vt:lpstr>
      <vt:lpstr>C-1 Site River Baseline</vt:lpstr>
      <vt:lpstr>C-2 Site River Creation</vt:lpstr>
      <vt:lpstr>C-3 Site River Enhancement</vt:lpstr>
      <vt:lpstr>F-1 Off Site River Baseline</vt:lpstr>
      <vt:lpstr>F-2 Off Site River Creation</vt:lpstr>
      <vt:lpstr>F-3 Off Site River Enhancement</vt:lpstr>
      <vt:lpstr>G-1 All Habitats</vt:lpstr>
      <vt:lpstr>G-2 Habitat groups</vt:lpstr>
      <vt:lpstr>G-3 Multipliers</vt:lpstr>
      <vt:lpstr>G-4 Temporal multipliers</vt:lpstr>
      <vt:lpstr>G-5 Enhancement Temporal</vt:lpstr>
      <vt:lpstr>G-6 Hedgerow Data</vt:lpstr>
      <vt:lpstr>G-7 Rivers Data</vt:lpstr>
      <vt:lpstr>G-8 Condition Look up</vt:lpstr>
      <vt:lpstr>G-9 Translation Phase 1</vt:lpstr>
      <vt:lpstr>Technical Data</vt:lpstr>
      <vt:lpstr>Lists</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Stuart Macpherson - Pennine Ecological</cp:lastModifiedBy>
  <cp:revision/>
  <dcterms:created xsi:type="dcterms:W3CDTF">2018-04-09T09:41:18Z</dcterms:created>
  <dcterms:modified xsi:type="dcterms:W3CDTF">2022-05-06T14:39:11Z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0x01010084F35F844C555749A4A584284E5541DC</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y fmtid="{D5CDD505-2E9C-101B-9397-08002B2CF9AE}" pid="12" name="MediaServiceImageTags">
    <vt:lpwstr/>
  </property>
</Properties>
</file>